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omments2.xml" ContentType="application/vnd.openxmlformats-officedocument.spreadsheetml.comments+xml"/>
  <Override PartName="/xl/drawings/drawing2.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xml"/>
  <Override PartName="/xl/tables/table1.xml" ContentType="application/vnd.openxmlformats-officedocument.spreadsheetml.table+xml"/>
  <Override PartName="/xl/comments3.xml" ContentType="application/vnd.openxmlformats-officedocument.spreadsheetml.comments+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charts/chart12.xml" ContentType="application/vnd.openxmlformats-officedocument.drawingml.chart+xml"/>
  <Override PartName="/xl/charts/style9.xml" ContentType="application/vnd.ms-office.chartstyle+xml"/>
  <Override PartName="/xl/charts/colors9.xml" ContentType="application/vnd.ms-office.chartcolorstyle+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5.xml" ContentType="application/vnd.openxmlformats-officedocument.drawing+xml"/>
  <Override PartName="/xl/charts/chart14.xml" ContentType="application/vnd.openxmlformats-officedocument.drawingml.chart+xml"/>
  <Override PartName="/xl/charts/style11.xml" ContentType="application/vnd.ms-office.chartstyle+xml"/>
  <Override PartName="/xl/charts/colors11.xml" ContentType="application/vnd.ms-office.chartcolorstyle+xml"/>
  <Override PartName="/xl/charts/chart15.xml" ContentType="application/vnd.openxmlformats-officedocument.drawingml.chart+xml"/>
  <Override PartName="/xl/charts/style12.xml" ContentType="application/vnd.ms-office.chartstyle+xml"/>
  <Override PartName="/xl/charts/colors12.xml" ContentType="application/vnd.ms-office.chartcolorstyle+xml"/>
  <Override PartName="/xl/charts/chart16.xml" ContentType="application/vnd.openxmlformats-officedocument.drawingml.chart+xml"/>
  <Override PartName="/xl/charts/style13.xml" ContentType="application/vnd.ms-office.chartstyle+xml"/>
  <Override PartName="/xl/charts/colors13.xml" ContentType="application/vnd.ms-office.chartcolorstyle+xml"/>
  <Override PartName="/xl/charts/chart17.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6.xml" ContentType="application/vnd.openxmlformats-officedocument.drawingml.chartshapes+xml"/>
  <Override PartName="/xl/charts/chart18.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7.xml" ContentType="application/vnd.openxmlformats-officedocument.drawing+xml"/>
  <Override PartName="/xl/comments4.xml" ContentType="application/vnd.openxmlformats-officedocument.spreadsheetml.comments+xml"/>
  <Override PartName="/xl/charts/chart19.xml" ContentType="application/vnd.openxmlformats-officedocument.drawingml.chart+xml"/>
  <Override PartName="/xl/charts/style16.xml" ContentType="application/vnd.ms-office.chartstyle+xml"/>
  <Override PartName="/xl/charts/colors16.xml" ContentType="application/vnd.ms-office.chartcolorstyle+xml"/>
  <Override PartName="/xl/charts/chart20.xml" ContentType="application/vnd.openxmlformats-officedocument.drawingml.chart+xml"/>
  <Override PartName="/xl/charts/style17.xml" ContentType="application/vnd.ms-office.chartstyle+xml"/>
  <Override PartName="/xl/charts/colors17.xml" ContentType="application/vnd.ms-office.chartcolorstyle+xml"/>
  <Override PartName="/xl/charts/chart21.xml" ContentType="application/vnd.openxmlformats-officedocument.drawingml.chart+xml"/>
  <Override PartName="/xl/charts/style18.xml" ContentType="application/vnd.ms-office.chartstyle+xml"/>
  <Override PartName="/xl/charts/colors18.xml" ContentType="application/vnd.ms-office.chartcolorstyle+xml"/>
  <Override PartName="/xl/charts/chart22.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8.xml" ContentType="application/vnd.openxmlformats-officedocument.drawing+xml"/>
  <Override PartName="/xl/charts/chart23.xml" ContentType="application/vnd.openxmlformats-officedocument.drawingml.chart+xml"/>
  <Override PartName="/xl/tables/table2.xml" ContentType="application/vnd.openxmlformats-officedocument.spreadsheetml.table+xml"/>
  <Override PartName="/xl/drawings/drawing9.xml" ContentType="application/vnd.openxmlformats-officedocument.drawing+xml"/>
  <Override PartName="/xl/charts/chart24.xml" ContentType="application/vnd.openxmlformats-officedocument.drawingml.chart+xml"/>
  <Override PartName="/xl/charts/style20.xml" ContentType="application/vnd.ms-office.chartstyle+xml"/>
  <Override PartName="/xl/charts/colors20.xml" ContentType="application/vnd.ms-office.chartcolorstyle+xml"/>
  <Override PartName="/xl/comments5.xml" ContentType="application/vnd.openxmlformats-officedocument.spreadsheetml.comments+xml"/>
  <Override PartName="/xl/drawings/drawing10.xml" ContentType="application/vnd.openxmlformats-officedocument.drawing+xml"/>
  <Override PartName="/xl/comments6.xml" ContentType="application/vnd.openxmlformats-officedocument.spreadsheetml.comments+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9"/>
  <workbookPr defaultThemeVersion="124226"/>
  <mc:AlternateContent xmlns:mc="http://schemas.openxmlformats.org/markup-compatibility/2006">
    <mc:Choice Requires="x15">
      <x15ac:absPath xmlns:x15ac="http://schemas.microsoft.com/office/spreadsheetml/2010/11/ac" url="/Users/skoebric/Dropbox/TONGA TEEMP/Deliverables/"/>
    </mc:Choice>
  </mc:AlternateContent>
  <xr:revisionPtr revIDLastSave="0" documentId="8_{C0BDB55E-3557-2541-A74C-1F9DEF041B3C}" xr6:coauthVersionLast="34" xr6:coauthVersionMax="34" xr10:uidLastSave="{00000000-0000-0000-0000-000000000000}"/>
  <bookViews>
    <workbookView xWindow="0" yWindow="460" windowWidth="38400" windowHeight="22140" activeTab="3" xr2:uid="{00000000-000D-0000-FFFF-FFFF00000000}"/>
  </bookViews>
  <sheets>
    <sheet name="Basic Parameters and Results" sheetId="22" r:id="rId1"/>
    <sheet name="Advanced Parameters" sheetId="23" r:id="rId2"/>
    <sheet name="Combined" sheetId="15" r:id="rId3"/>
    <sheet name="Transportation" sheetId="4" r:id="rId4"/>
    <sheet name="Electricity" sheetId="14" r:id="rId5"/>
    <sheet name="Other Figures" sheetId="25" state="hidden" r:id="rId6"/>
    <sheet name="Energy Intensity" sheetId="27" r:id="rId7"/>
    <sheet name="TPL Forecast" sheetId="21" state="hidden" r:id="rId8"/>
    <sheet name="2017 Sankey" sheetId="17" state="hidden" r:id="rId9"/>
    <sheet name="2030 Sankey" sheetId="20" state="hidden" r:id="rId10"/>
    <sheet name="2030BAU Sankey" sheetId="26" state="hidden" r:id="rId11"/>
    <sheet name="Sankey Consumption Data" sheetId="18" state="hidden" r:id="rId12"/>
    <sheet name="FE Improvement &amp; EVs" sheetId="5" state="hidden" r:id="rId13"/>
    <sheet name="Idle Redux" sheetId="6" state="hidden" r:id="rId14"/>
    <sheet name="Signal Synchro" sheetId="7" state="hidden" r:id="rId15"/>
    <sheet name="Biodiesel" sheetId="10" state="hidden" r:id="rId16"/>
    <sheet name="GREET Fuel Attributes" sheetId="13" state="hidden" r:id="rId17"/>
    <sheet name="Summary" sheetId="11" state="hidden" r:id="rId18"/>
  </sheets>
  <externalReferences>
    <externalReference r:id="rId19"/>
    <externalReference r:id="rId20"/>
    <externalReference r:id="rId21"/>
    <externalReference r:id="rId22"/>
  </externalReferences>
  <definedNames>
    <definedName name="AFLEET_look_up_tables">'GREET Fuel Attributes'!$A$172</definedName>
    <definedName name="ALABAMA">'GREET Fuel Attributes'!$C$10567:$C$10633</definedName>
    <definedName name="ALASKA">'GREET Fuel Attributes'!$C$10634:$C$10662</definedName>
    <definedName name="alternative_emissions">'GREET Fuel Attributes'!$B$9102</definedName>
    <definedName name="Annual_FE_Improvement">'FE Improvement &amp; EVs'!$B$6</definedName>
    <definedName name="Annual_Vehicle_Mileage">'GREET Fuel Attributes'!$B$1140</definedName>
    <definedName name="ARIZONA">'GREET Fuel Attributes'!$C$10663:$C$10677</definedName>
    <definedName name="ARKANSAS">'GREET Fuel Attributes'!$C$10678:$C$10752</definedName>
    <definedName name="B100_gallon2GGE">'GREET Fuel Attributes'!$D$123</definedName>
    <definedName name="B20_gallon2GGE">'GREET Fuel Attributes'!$D$122</definedName>
    <definedName name="BAU_diesel_increase">'Basic Parameters and Results'!$F$121</definedName>
    <definedName name="BAU_gasoline_increase">'Basic Parameters and Results'!$F$120</definedName>
    <definedName name="BAU_petro_increase">'Basic Parameters and Results'!$F$120</definedName>
    <definedName name="BTU2kWh">[1]Fuel_Specs!$G$147</definedName>
    <definedName name="bus_idle_flow_rate">'Idle Redux'!$B$4</definedName>
    <definedName name="Calculated_Gasoline_LHV">'GREET Fuel Attributes'!$C$112</definedName>
    <definedName name="CALIFORNIA">'GREET Fuel Attributes'!$C$10753:$C$10810</definedName>
    <definedName name="CH4GWP" localSheetId="10">#REF!</definedName>
    <definedName name="CH4GWP">#REF!</definedName>
    <definedName name="CNG_GGE2GGE">'GREET Fuel Attributes'!$D$126</definedName>
    <definedName name="CNG_station_type_list">'GREET Fuel Attributes'!$M$1623:$M$1628</definedName>
    <definedName name="CO2_Cost_CMP" localSheetId="10">#REF!</definedName>
    <definedName name="CO2_Cost_CMP">#REF!</definedName>
    <definedName name="COLORADO">'GREET Fuel Attributes'!$C$10811:$C$10873</definedName>
    <definedName name="Combination_Unit_Long_Haul_Truck">'GREET Fuel Attributes'!$K$1178</definedName>
    <definedName name="Combination_Unit_Short_Haul_Truck">'GREET Fuel Attributes'!$J$1178</definedName>
    <definedName name="CONNECTICUT">'GREET Fuel Attributes'!$C$10874:$C$10881</definedName>
    <definedName name="Consumer_Price_Index">'GREET Fuel Attributes'!$B$809</definedName>
    <definedName name="county_name">[2]Inputs!$C$4</definedName>
    <definedName name="DELAWARE">'GREET Fuel Attributes'!$C$10882:$C$10884</definedName>
    <definedName name="Diesel_Buses">'Idle Redux'!$B$6</definedName>
    <definedName name="diesel_gallon2GGE">'GREET Fuel Attributes'!$D$119</definedName>
    <definedName name="Diesel_GHG_Emissions">'GREET Fuel Attributes'!$C$6</definedName>
    <definedName name="Diesel_per_vehicle">'FE Improvement &amp; EVs'!$B$10</definedName>
    <definedName name="Diesel_Trucks">'Idle Redux'!$B$5</definedName>
    <definedName name="DISTRICT_OF_COLUMBIA">'GREET Fuel Attributes'!$C$10885</definedName>
    <definedName name="E85_gallon2GGE">'GREET Fuel Attributes'!$D$124</definedName>
    <definedName name="Electric_percent">'Basic Parameters and Results'!$F$132</definedName>
    <definedName name="EV_fuel_redux" localSheetId="10">Transportation!#REF!</definedName>
    <definedName name="EV_fuel_redux">Transportation!#REF!</definedName>
    <definedName name="EVSE_type_list">'GREET Fuel Attributes'!$N$1314:$N$1318</definedName>
    <definedName name="Externality_Cost_Data">'GREET Fuel Attributes'!$A$10452</definedName>
    <definedName name="FE_Improvement">'Basic Parameters and Results'!$F$129</definedName>
    <definedName name="FLORIDA">'GREET Fuel Attributes'!$C$10886:$C$10952</definedName>
    <definedName name="Fuel_Cost_Data">'GREET Fuel Attributes'!$A$547</definedName>
    <definedName name="gasoline_gallon2GGE">'GREET Fuel Attributes'!$D$118</definedName>
    <definedName name="Gasoline_GHG_Emissions">'GREET Fuel Attributes'!$C$4</definedName>
    <definedName name="GEORGIA">'GREET Fuel Attributes'!$C$10953:$C$11111</definedName>
    <definedName name="gPerLb">[3]GHG!$B$28</definedName>
    <definedName name="Grease_Biodiesel">Biodiesel!$C$6</definedName>
    <definedName name="greet_specs">'GREET Fuel Attributes'!$A$1</definedName>
    <definedName name="GWPCH4" localSheetId="10">#REF!</definedName>
    <definedName name="GWPCH4">#REF!</definedName>
    <definedName name="GWPN2O" localSheetId="10">#REF!</definedName>
    <definedName name="GWPN2O">#REF!</definedName>
    <definedName name="H2_kg2GGE">'GREET Fuel Attributes'!$D$121</definedName>
    <definedName name="HAWAII">'GREET Fuel Attributes'!$C$11112:$C$11116</definedName>
    <definedName name="HDV_list">'GREET Fuel Attributes'!$B$1168:$B$1174</definedName>
    <definedName name="HDV_ownership">[2]Inputs!$D$58</definedName>
    <definedName name="HDV_type">[2]Inputs!$C$21</definedName>
    <definedName name="IDAHO">'GREET Fuel Attributes'!$C$11117:$C$11160</definedName>
    <definedName name="Idle_hours_reduced">'Basic Parameters and Results'!$F$130</definedName>
    <definedName name="idling_data">'GREET Fuel Attributes'!$A$10309</definedName>
    <definedName name="ILLINOIS">'GREET Fuel Attributes'!$C$11161:$C$11262</definedName>
    <definedName name="INDIANA">'GREET Fuel Attributes'!$C$11263:$C$11354</definedName>
    <definedName name="Infrastructure_Cost_Data">'GREET Fuel Attributes'!$A$1207</definedName>
    <definedName name="IOWA">'GREET Fuel Attributes'!$C$11355:$C$11453</definedName>
    <definedName name="KANSAS">'GREET Fuel Attributes'!$C$11454:$C$11558</definedName>
    <definedName name="KENTUCKY">'GREET Fuel Attributes'!$C$11559:$C$11678</definedName>
    <definedName name="kWh_to_battery_per_barrel" localSheetId="10">#REF!</definedName>
    <definedName name="kWh_to_battery_per_barrel">#REF!</definedName>
    <definedName name="kWh2BTU">[4]Fuel_Specs!$F$132</definedName>
    <definedName name="kWh2GGE">'GREET Fuel Attributes'!$D$120</definedName>
    <definedName name="LDV_Fuel_Econ_Beginning">'FE Improvement &amp; EVs'!$B$3</definedName>
    <definedName name="LDV_Increase" localSheetId="10">'FE Improvement &amp; EVs'!#REF!</definedName>
    <definedName name="LDV_Increase">'FE Improvement &amp; EVs'!#REF!</definedName>
    <definedName name="LDV_list">'GREET Fuel Attributes'!$B$1165:$B$1167</definedName>
    <definedName name="LDV_ownership">[2]Inputs!$D$56</definedName>
    <definedName name="LDV_type">[2]Inputs!$C$6</definedName>
    <definedName name="LDV_VKT">'FE Improvement &amp; EVs'!$B$8</definedName>
    <definedName name="LDV_VMT">'FE Improvement &amp; EVs'!$B$8</definedName>
    <definedName name="Light_Commercial_Truck">'GREET Fuel Attributes'!$D$1178:$D$1180</definedName>
    <definedName name="LNG_gallon2GGE">'GREET Fuel Attributes'!$D$127</definedName>
    <definedName name="LOCAL_MYSQL_DATE_FORMAT"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tion_costs">'GREET Fuel Attributes'!$B$604:$B$656</definedName>
    <definedName name="location_stations">'GREET Fuel Attributes'!$B$677:$B$729</definedName>
    <definedName name="LOUISIANA">'GREET Fuel Attributes'!$C$11679:$C$11742</definedName>
    <definedName name="LPG_gallon2GGE">'GREET Fuel Attributes'!$D$125</definedName>
    <definedName name="MAINE">'GREET Fuel Attributes'!$C$11743:$C$11758</definedName>
    <definedName name="MARYLAND">'GREET Fuel Attributes'!$C$11759:$C$11782</definedName>
    <definedName name="MASSACHUSETTS">'GREET Fuel Attributes'!$C$11783:$C$11796</definedName>
    <definedName name="MICHIGAN">'GREET Fuel Attributes'!$C$11797:$C$11879</definedName>
    <definedName name="MINNESOTA">'GREET Fuel Attributes'!$C$11880:$C$11966</definedName>
    <definedName name="MISSISSIPPI">'GREET Fuel Attributes'!$C$11967:$C$12048</definedName>
    <definedName name="MISSOURI">'GREET Fuel Attributes'!$C$12049:$C$12163</definedName>
    <definedName name="MONTANA">'GREET Fuel Attributes'!$C$12164:$C$12219</definedName>
    <definedName name="moves_list">'GREET Fuel Attributes'!$B$1165:$B$1174</definedName>
    <definedName name="N2OGWP" localSheetId="10">#REF!</definedName>
    <definedName name="N2OGWP">#REF!</definedName>
    <definedName name="national_emissions">'GREET Fuel Attributes'!$B$8945</definedName>
    <definedName name="NEBRASKA">'GREET Fuel Attributes'!$C$12220:$C$12312</definedName>
    <definedName name="NEVADA">'GREET Fuel Attributes'!$C$12313:$C$12329</definedName>
    <definedName name="NEW_HAMPSHIRE">'GREET Fuel Attributes'!$C$12330:$C$12339</definedName>
    <definedName name="NEW_JERSEY">'GREET Fuel Attributes'!$C$12340:$C$12360</definedName>
    <definedName name="NEW_MEXICO">'GREET Fuel Attributes'!$C$12361:$C$12393</definedName>
    <definedName name="NEW_YORK">'GREET Fuel Attributes'!$C$12394:$C$12455</definedName>
    <definedName name="NORTH_CAROLINA">'GREET Fuel Attributes'!$C$12456:$C$12555</definedName>
    <definedName name="NORTH_DAKOTA">'GREET Fuel Attributes'!$C$12556:$C$12608</definedName>
    <definedName name="OHIO">'GREET Fuel Attributes'!$C$12609:$C$12696</definedName>
    <definedName name="OKLAHOMA">'GREET Fuel Attributes'!$C$12697:$C$12773</definedName>
    <definedName name="OREGON">'GREET Fuel Attributes'!$C$12774:$C$12809</definedName>
    <definedName name="padd">'GREET Fuel Attributes'!$Z$665:$Z$671</definedName>
    <definedName name="padd_private_cost">'GREET Fuel Attributes'!$AK$665:$AT$671</definedName>
    <definedName name="padd_private_fuel">'GREET Fuel Attributes'!$AK$663:$AT$663</definedName>
    <definedName name="padd_public_cost">'GREET Fuel Attributes'!$AA$665:$AJ$671</definedName>
    <definedName name="padd_public_fuel">'GREET Fuel Attributes'!$AA$663:$AJ$663</definedName>
    <definedName name="padd_states">'GREET Fuel Attributes'!$Z$604:$Z$656</definedName>
    <definedName name="Passenger_Car">'GREET Fuel Attributes'!$B$1178:$B$1181</definedName>
    <definedName name="Passenger_Truck">'GREET Fuel Attributes'!$C$1178:$C$1180</definedName>
    <definedName name="PENNSYLVANIA">'GREET Fuel Attributes'!$C$12810:$C$12876</definedName>
    <definedName name="Perc_Biodiesel">'Basic Parameters and Results'!$F$131</definedName>
    <definedName name="Petrol_GHG_Emissions">Transportation!$B$12</definedName>
    <definedName name="Petrol_per_vehicle">'FE Improvement &amp; EVs'!$B$9</definedName>
    <definedName name="Portion_Gasoline">'Basic Parameters and Results'!$F$122</definedName>
    <definedName name="private_cost_gge">'GREET Fuel Attributes'!$AK$604:$AT$656</definedName>
    <definedName name="private_fuel_gge">'GREET Fuel Attributes'!$AK$602:$AT$602</definedName>
    <definedName name="private_national_gge">'GREET Fuel Attributes'!$AK$657:$AT$657</definedName>
    <definedName name="private_stations">'GREET Fuel Attributes'!$M$677:$V$729</definedName>
    <definedName name="private_stations_fuel">'GREET Fuel Attributes'!$M$676:$V$676</definedName>
    <definedName name="public_cost_gge">'GREET Fuel Attributes'!$AA$604:$AJ$656</definedName>
    <definedName name="public_fuel_gge">'GREET Fuel Attributes'!$AA$602:$AJ$602</definedName>
    <definedName name="public_national_gge">'GREET Fuel Attributes'!$AA$657:$AJ$657</definedName>
    <definedName name="public_stations">'GREET Fuel Attributes'!$C$677:$L$729</definedName>
    <definedName name="public_stations_fuel">'GREET Fuel Attributes'!$C$676:$L$676</definedName>
    <definedName name="PUERTO_RICO">'GREET Fuel Attributes'!$C$13710:$C$13787</definedName>
    <definedName name="Refuse_Truck">'GREET Fuel Attributes'!$G$1178</definedName>
    <definedName name="RHODE_ISLAND">'GREET Fuel Attributes'!$C$12877:$C$12881</definedName>
    <definedName name="School_Bus">'GREET Fuel Attributes'!$E$1178:$E$1179</definedName>
    <definedName name="Scrap_Rate">'FE Improvement &amp; EVs'!$B$7</definedName>
    <definedName name="Scrappage">Transportation!$B$13</definedName>
    <definedName name="signal_gallons_saved">Transportation!$B$15</definedName>
    <definedName name="Single_Unit_Long_Haul_Truck">'GREET Fuel Attributes'!$I$1178</definedName>
    <definedName name="Single_Unit_Short_Haul_Truck">'GREET Fuel Attributes'!$H$1178:$H$1183</definedName>
    <definedName name="SOUTH_CAROLINA">'GREET Fuel Attributes'!$C$12882:$C$12927</definedName>
    <definedName name="SOUTH_DAKOTA">'GREET Fuel Attributes'!$C$12928:$C$12993</definedName>
    <definedName name="state_emissions">'GREET Fuel Attributes'!$A$1859</definedName>
    <definedName name="state_list">'GREET Fuel Attributes'!$B$741:$B$793</definedName>
    <definedName name="state_name">[2]Inputs!$C$3</definedName>
    <definedName name="Station_type_list">'GREET Fuel Attributes'!$I$1212:$I$1215</definedName>
    <definedName name="Synchronized_signals">Transportation!$B$16</definedName>
    <definedName name="TENNESSEE">'GREET Fuel Attributes'!$C$12994:$C$13088</definedName>
    <definedName name="TEXAS">'GREET Fuel Attributes'!$C$13089:$C$13342</definedName>
    <definedName name="Tonga_LDV_Fuel_Econ">'FE Improvement &amp; EVs'!$B$3</definedName>
    <definedName name="Transit_Bus">'GREET Fuel Attributes'!$F$1178</definedName>
    <definedName name="truck_idle_flow_rate">'Idle Redux'!$B$3</definedName>
    <definedName name="user_defined_mix">'GREET Fuel Attributes'!$N$1747</definedName>
    <definedName name="UTAH">'GREET Fuel Attributes'!$C$13343:$C$13371</definedName>
    <definedName name="Vehicle_Cost_Data">'GREET Fuel Attributes'!$A$800</definedName>
    <definedName name="VERMONT">'GREET Fuel Attributes'!$C$13372:$C$13385</definedName>
    <definedName name="VIRGIN_ISLANDS">'GREET Fuel Attributes'!$C$13788:$C$13790</definedName>
    <definedName name="VIRGINIA">'GREET Fuel Attributes'!$C$13386:$C$13520</definedName>
    <definedName name="VMT_Redux">'Basic Parameters and Results'!$F$128</definedName>
    <definedName name="vocation_selection">'GREET Fuel Attributes'!$B$174</definedName>
    <definedName name="WASHINGTON">'GREET Fuel Attributes'!$C$13521:$C$13559</definedName>
    <definedName name="WEST_VIRGINIA">'GREET Fuel Attributes'!$C$13560:$C$13614</definedName>
    <definedName name="WISCONSIN">'GREET Fuel Attributes'!$C$13615:$C$13686</definedName>
    <definedName name="WYOMING">'GREET Fuel Attributes'!$C$13687:$C$13709</definedName>
  </definedNames>
  <calcPr calcId="179021"/>
</workbook>
</file>

<file path=xl/calcChain.xml><?xml version="1.0" encoding="utf-8"?>
<calcChain xmlns="http://schemas.openxmlformats.org/spreadsheetml/2006/main">
  <c r="E258" i="22" l="1"/>
  <c r="E259" i="22"/>
  <c r="E260" i="22"/>
  <c r="E261" i="22"/>
  <c r="E257" i="22"/>
  <c r="F52" i="22" l="1"/>
  <c r="H413" i="14" l="1"/>
  <c r="H423" i="14"/>
  <c r="F51" i="22"/>
  <c r="H415" i="14" l="1"/>
  <c r="F53" i="22"/>
  <c r="H414" i="14"/>
  <c r="F54" i="22" l="1"/>
  <c r="H416" i="14"/>
  <c r="H417" i="14" l="1"/>
  <c r="F55" i="22"/>
  <c r="I48" i="21"/>
  <c r="I47" i="21" s="1"/>
  <c r="I46" i="21" s="1"/>
  <c r="I45" i="21" s="1"/>
  <c r="I44" i="21" s="1"/>
  <c r="I43" i="21" s="1"/>
  <c r="I42" i="21" s="1"/>
  <c r="I41" i="21" s="1"/>
  <c r="I40" i="21" s="1"/>
  <c r="I39" i="21" s="1"/>
  <c r="I38" i="21" s="1"/>
  <c r="I50" i="21"/>
  <c r="I51" i="21" s="1"/>
  <c r="I52" i="21" s="1"/>
  <c r="I53" i="21" s="1"/>
  <c r="I54" i="21" s="1"/>
  <c r="I55" i="21" s="1"/>
  <c r="I56" i="21" s="1"/>
  <c r="I57" i="21" s="1"/>
  <c r="I58" i="21" s="1"/>
  <c r="I59" i="21" s="1"/>
  <c r="I60" i="21" s="1"/>
  <c r="I61" i="21" s="1"/>
  <c r="F56" i="22" l="1"/>
  <c r="H418" i="14"/>
  <c r="L2" i="27"/>
  <c r="L6" i="27"/>
  <c r="L5" i="27"/>
  <c r="F57" i="22" l="1"/>
  <c r="H419" i="14"/>
  <c r="G104" i="22"/>
  <c r="F58" i="22" l="1"/>
  <c r="H420" i="14"/>
  <c r="D88" i="25"/>
  <c r="D87" i="25"/>
  <c r="D86" i="25"/>
  <c r="D79" i="25"/>
  <c r="C475" i="14"/>
  <c r="B73" i="22"/>
  <c r="C73" i="22"/>
  <c r="D73" i="22"/>
  <c r="F73" i="22"/>
  <c r="E73" i="22"/>
  <c r="G73" i="22"/>
  <c r="K73" i="22"/>
  <c r="F59" i="22" l="1"/>
  <c r="H422" i="14" s="1"/>
  <c r="H421" i="14"/>
  <c r="E22" i="26"/>
  <c r="B21" i="26"/>
  <c r="A21" i="26"/>
  <c r="A20" i="26"/>
  <c r="A19" i="26"/>
  <c r="D18" i="26"/>
  <c r="B18" i="26"/>
  <c r="A18" i="26"/>
  <c r="D17" i="26"/>
  <c r="B17" i="26"/>
  <c r="A17" i="26"/>
  <c r="D16" i="26"/>
  <c r="B16" i="26"/>
  <c r="A16" i="26"/>
  <c r="D15" i="26"/>
  <c r="B15" i="26"/>
  <c r="A15" i="26"/>
  <c r="D14" i="26"/>
  <c r="B14" i="26"/>
  <c r="A14" i="26"/>
  <c r="D13" i="26"/>
  <c r="B13" i="26"/>
  <c r="A13" i="26"/>
  <c r="D12" i="26"/>
  <c r="B12" i="26"/>
  <c r="A12" i="26"/>
  <c r="D11" i="26"/>
  <c r="B11" i="26"/>
  <c r="A11" i="26"/>
  <c r="B10" i="26"/>
  <c r="A10" i="26"/>
  <c r="D9" i="26"/>
  <c r="B9" i="26"/>
  <c r="A9" i="26"/>
  <c r="D8" i="26"/>
  <c r="B8" i="26"/>
  <c r="A8" i="26"/>
  <c r="D7" i="26"/>
  <c r="B7" i="26"/>
  <c r="A7" i="26"/>
  <c r="D6" i="26"/>
  <c r="B6" i="26"/>
  <c r="A6" i="26"/>
  <c r="D5" i="26"/>
  <c r="B5" i="26"/>
  <c r="A5" i="26"/>
  <c r="D4" i="26"/>
  <c r="B4" i="26"/>
  <c r="A4" i="26"/>
  <c r="D3" i="26"/>
  <c r="B3" i="26"/>
  <c r="A3" i="26"/>
  <c r="D2" i="26"/>
  <c r="B2" i="26"/>
  <c r="A2" i="26"/>
  <c r="M98" i="18"/>
  <c r="E21" i="26" s="1"/>
  <c r="M87" i="18"/>
  <c r="E10" i="26" s="1"/>
  <c r="F173" i="14"/>
  <c r="F174" i="14"/>
  <c r="F175" i="14"/>
  <c r="F176" i="14"/>
  <c r="F177" i="14"/>
  <c r="F178" i="14"/>
  <c r="F179" i="14"/>
  <c r="F180" i="14"/>
  <c r="F181" i="14"/>
  <c r="F182" i="14"/>
  <c r="F183" i="14"/>
  <c r="F184" i="14"/>
  <c r="F185" i="14"/>
  <c r="F186" i="14"/>
  <c r="N423" i="14" l="1"/>
  <c r="N422" i="14"/>
  <c r="N421" i="14"/>
  <c r="N420" i="14"/>
  <c r="N419" i="14"/>
  <c r="N418" i="14"/>
  <c r="N417" i="14"/>
  <c r="N416" i="14"/>
  <c r="N415" i="14"/>
  <c r="N414" i="14"/>
  <c r="N413" i="14"/>
  <c r="M411" i="14"/>
  <c r="M412" i="14" s="1"/>
  <c r="N412" i="14" s="1"/>
  <c r="N410" i="14"/>
  <c r="K423" i="14"/>
  <c r="K422" i="14"/>
  <c r="K421" i="14"/>
  <c r="K420" i="14"/>
  <c r="K419" i="14"/>
  <c r="K418" i="14"/>
  <c r="K417" i="14"/>
  <c r="K416" i="14"/>
  <c r="K415" i="14"/>
  <c r="K414" i="14"/>
  <c r="K413" i="14"/>
  <c r="N411" i="14" l="1"/>
  <c r="H30" i="4" l="1"/>
  <c r="H31" i="4"/>
  <c r="H32" i="4"/>
  <c r="H33" i="4"/>
  <c r="H34" i="4"/>
  <c r="H35" i="4"/>
  <c r="H29" i="4"/>
  <c r="T31" i="4"/>
  <c r="S31" i="4"/>
  <c r="R31" i="4"/>
  <c r="Q31" i="4"/>
  <c r="P31" i="4"/>
  <c r="O31" i="4"/>
  <c r="N31" i="4"/>
  <c r="M31" i="4"/>
  <c r="L31" i="4"/>
  <c r="K31" i="4"/>
  <c r="J31" i="4"/>
  <c r="I30" i="4"/>
  <c r="I31" i="4"/>
  <c r="I32" i="4"/>
  <c r="I33" i="4"/>
  <c r="I34" i="4"/>
  <c r="I35" i="4"/>
  <c r="J29" i="4"/>
  <c r="K29" i="4"/>
  <c r="L29" i="4"/>
  <c r="M29" i="4"/>
  <c r="N29" i="4"/>
  <c r="O29" i="4"/>
  <c r="P29" i="4"/>
  <c r="Q29" i="4"/>
  <c r="R29" i="4"/>
  <c r="S29" i="4"/>
  <c r="T29" i="4"/>
  <c r="I29" i="4"/>
  <c r="E138" i="22"/>
  <c r="F138" i="22" s="1"/>
  <c r="G138" i="22" s="1"/>
  <c r="H138" i="22" s="1"/>
  <c r="I138" i="22" s="1"/>
  <c r="J138" i="22" s="1"/>
  <c r="K138" i="22" s="1"/>
  <c r="L138" i="22" s="1"/>
  <c r="M138" i="22" s="1"/>
  <c r="N138" i="22" s="1"/>
  <c r="O138" i="22" s="1"/>
  <c r="T30" i="4" s="1"/>
  <c r="E140" i="22"/>
  <c r="F140" i="22" s="1"/>
  <c r="G140" i="22" s="1"/>
  <c r="H140" i="22" s="1"/>
  <c r="I140" i="22" s="1"/>
  <c r="J140" i="22" s="1"/>
  <c r="K140" i="22" s="1"/>
  <c r="L140" i="22" s="1"/>
  <c r="M140" i="22" s="1"/>
  <c r="N140" i="22" s="1"/>
  <c r="O140" i="22" s="1"/>
  <c r="T32" i="4" s="1"/>
  <c r="E141" i="22"/>
  <c r="J33" i="4" s="1"/>
  <c r="E142" i="22"/>
  <c r="J34" i="4" s="1"/>
  <c r="E143" i="22"/>
  <c r="J35" i="4" s="1"/>
  <c r="F122" i="22"/>
  <c r="B10" i="4" s="1"/>
  <c r="B9" i="4"/>
  <c r="B8" i="4"/>
  <c r="B7" i="4"/>
  <c r="B6" i="4"/>
  <c r="B5" i="4"/>
  <c r="B4" i="4"/>
  <c r="B3" i="4"/>
  <c r="D436" i="14"/>
  <c r="I286" i="14"/>
  <c r="I287" i="14"/>
  <c r="I289" i="14"/>
  <c r="I290" i="14"/>
  <c r="I291" i="14"/>
  <c r="I292" i="14"/>
  <c r="I295" i="14"/>
  <c r="I296" i="14"/>
  <c r="I298" i="14"/>
  <c r="I285" i="14"/>
  <c r="E309" i="14"/>
  <c r="D309" i="14"/>
  <c r="E308" i="14"/>
  <c r="D308" i="14"/>
  <c r="E307" i="14"/>
  <c r="D307" i="14"/>
  <c r="E306" i="14"/>
  <c r="D306" i="14"/>
  <c r="E305" i="14"/>
  <c r="D305" i="14"/>
  <c r="E304" i="14"/>
  <c r="D304" i="14"/>
  <c r="E303" i="14"/>
  <c r="D303" i="14"/>
  <c r="E302" i="14"/>
  <c r="D302" i="14"/>
  <c r="E301" i="14"/>
  <c r="D301" i="14"/>
  <c r="E300" i="14"/>
  <c r="D300" i="14"/>
  <c r="E299" i="14"/>
  <c r="D299" i="14"/>
  <c r="G298" i="14"/>
  <c r="F298" i="14"/>
  <c r="E298" i="14"/>
  <c r="D298" i="14"/>
  <c r="C298" i="14"/>
  <c r="G297" i="14"/>
  <c r="F297" i="14"/>
  <c r="E297" i="14"/>
  <c r="D297" i="14"/>
  <c r="C297" i="14"/>
  <c r="G296" i="14"/>
  <c r="F296" i="14"/>
  <c r="E296" i="14"/>
  <c r="D296" i="14"/>
  <c r="C296" i="14"/>
  <c r="G295" i="14"/>
  <c r="F295" i="14"/>
  <c r="E295" i="14"/>
  <c r="D295" i="14"/>
  <c r="C295" i="14"/>
  <c r="G294" i="14"/>
  <c r="F294" i="14"/>
  <c r="E294" i="14"/>
  <c r="D294" i="14"/>
  <c r="C294" i="14"/>
  <c r="G293" i="14"/>
  <c r="F293" i="14"/>
  <c r="E293" i="14"/>
  <c r="D293" i="14"/>
  <c r="C293" i="14"/>
  <c r="G292" i="14"/>
  <c r="F292" i="14"/>
  <c r="E292" i="14"/>
  <c r="D292" i="14"/>
  <c r="C292" i="14"/>
  <c r="G291" i="14"/>
  <c r="F291" i="14"/>
  <c r="E291" i="14"/>
  <c r="D291" i="14"/>
  <c r="C291" i="14"/>
  <c r="G290" i="14"/>
  <c r="F290" i="14"/>
  <c r="E290" i="14"/>
  <c r="D290" i="14"/>
  <c r="C290" i="14"/>
  <c r="G289" i="14"/>
  <c r="F289" i="14"/>
  <c r="E289" i="14"/>
  <c r="D289" i="14"/>
  <c r="C289" i="14"/>
  <c r="G288" i="14"/>
  <c r="F288" i="14"/>
  <c r="E288" i="14"/>
  <c r="D288" i="14"/>
  <c r="C288" i="14"/>
  <c r="G287" i="14"/>
  <c r="F287" i="14"/>
  <c r="E287" i="14"/>
  <c r="D287" i="14"/>
  <c r="C287" i="14"/>
  <c r="G286" i="14"/>
  <c r="F286" i="14"/>
  <c r="E286" i="14"/>
  <c r="D286" i="14"/>
  <c r="C286" i="14"/>
  <c r="G285" i="14"/>
  <c r="F285" i="14"/>
  <c r="E285" i="14"/>
  <c r="D285" i="14"/>
  <c r="C285" i="14"/>
  <c r="H285" i="14"/>
  <c r="H286" i="14"/>
  <c r="H288" i="14"/>
  <c r="H289" i="14"/>
  <c r="H290" i="14"/>
  <c r="H291" i="14"/>
  <c r="H292" i="14"/>
  <c r="H293" i="14"/>
  <c r="H294" i="14"/>
  <c r="H295" i="14"/>
  <c r="H296" i="14"/>
  <c r="H297" i="14"/>
  <c r="H298" i="14"/>
  <c r="H299" i="14"/>
  <c r="H300" i="14"/>
  <c r="H301" i="14"/>
  <c r="H302" i="14"/>
  <c r="H303" i="14"/>
  <c r="J303" i="14" s="1"/>
  <c r="H304" i="14"/>
  <c r="J304" i="14" s="1"/>
  <c r="H305" i="14"/>
  <c r="J305" i="14" s="1"/>
  <c r="H306" i="14"/>
  <c r="J306" i="14" s="1"/>
  <c r="H307" i="14"/>
  <c r="J307" i="14" s="1"/>
  <c r="H308" i="14"/>
  <c r="J308" i="14" s="1"/>
  <c r="H309" i="14"/>
  <c r="J309" i="14" s="1"/>
  <c r="N229" i="14"/>
  <c r="M229" i="14"/>
  <c r="L229" i="14"/>
  <c r="K229" i="14"/>
  <c r="J229" i="14"/>
  <c r="I229" i="14"/>
  <c r="H229" i="14"/>
  <c r="G229" i="14"/>
  <c r="F229" i="14"/>
  <c r="E229" i="14"/>
  <c r="D229" i="14"/>
  <c r="N228" i="14"/>
  <c r="M228" i="14"/>
  <c r="L228" i="14"/>
  <c r="K228" i="14"/>
  <c r="J228" i="14"/>
  <c r="I228" i="14"/>
  <c r="H228" i="14"/>
  <c r="G228" i="14"/>
  <c r="F228" i="14"/>
  <c r="E228" i="14"/>
  <c r="D228" i="14"/>
  <c r="C223" i="14"/>
  <c r="C222" i="14"/>
  <c r="C221" i="14"/>
  <c r="C220" i="14"/>
  <c r="C219" i="14"/>
  <c r="C218" i="14"/>
  <c r="C217" i="14"/>
  <c r="C216" i="14"/>
  <c r="C215" i="14"/>
  <c r="C214" i="14"/>
  <c r="C213" i="14"/>
  <c r="C212" i="14"/>
  <c r="C211" i="14"/>
  <c r="C210" i="14"/>
  <c r="C77" i="14"/>
  <c r="C76" i="14"/>
  <c r="C75" i="14"/>
  <c r="C74" i="14"/>
  <c r="C73" i="14"/>
  <c r="C72" i="14"/>
  <c r="C71" i="14"/>
  <c r="C70" i="14"/>
  <c r="C69" i="14"/>
  <c r="C68" i="14"/>
  <c r="C67" i="14"/>
  <c r="C66" i="14"/>
  <c r="C65" i="14"/>
  <c r="C64" i="14"/>
  <c r="G44" i="22"/>
  <c r="E77" i="14" s="1"/>
  <c r="F44" i="22"/>
  <c r="D77" i="14" s="1"/>
  <c r="G43" i="22"/>
  <c r="E76" i="14" s="1"/>
  <c r="F43" i="22"/>
  <c r="D76" i="14" s="1"/>
  <c r="G42" i="22"/>
  <c r="E75" i="14" s="1"/>
  <c r="F42" i="22"/>
  <c r="D75" i="14" s="1"/>
  <c r="G41" i="22"/>
  <c r="E74" i="14" s="1"/>
  <c r="F41" i="22"/>
  <c r="D74" i="14" s="1"/>
  <c r="G40" i="22"/>
  <c r="E73" i="14" s="1"/>
  <c r="F40" i="22"/>
  <c r="D73" i="14" s="1"/>
  <c r="G39" i="22"/>
  <c r="E72" i="14" s="1"/>
  <c r="F39" i="22"/>
  <c r="D72" i="14" s="1"/>
  <c r="G38" i="22"/>
  <c r="E71" i="14" s="1"/>
  <c r="F38" i="22"/>
  <c r="D71" i="14" s="1"/>
  <c r="G37" i="22"/>
  <c r="E70" i="14" s="1"/>
  <c r="F37" i="22"/>
  <c r="D70" i="14" s="1"/>
  <c r="G36" i="22"/>
  <c r="E69" i="14" s="1"/>
  <c r="F36" i="22"/>
  <c r="D69" i="14" s="1"/>
  <c r="G35" i="22"/>
  <c r="E68" i="14" s="1"/>
  <c r="F35" i="22"/>
  <c r="D68" i="14" s="1"/>
  <c r="G34" i="22"/>
  <c r="E67" i="14" s="1"/>
  <c r="F34" i="22"/>
  <c r="D67" i="14" s="1"/>
  <c r="G33" i="22"/>
  <c r="E66" i="14" s="1"/>
  <c r="F33" i="22"/>
  <c r="D66" i="14" s="1"/>
  <c r="G32" i="22"/>
  <c r="E65" i="14" s="1"/>
  <c r="F32" i="22"/>
  <c r="D65" i="14" s="1"/>
  <c r="G31" i="22"/>
  <c r="E64" i="14" s="1"/>
  <c r="F31" i="22"/>
  <c r="D64" i="14" s="1"/>
  <c r="E101" i="14"/>
  <c r="E60" i="14"/>
  <c r="F39" i="14"/>
  <c r="F38" i="14"/>
  <c r="M36" i="14"/>
  <c r="L36" i="14"/>
  <c r="K36" i="14"/>
  <c r="J36" i="14"/>
  <c r="I36" i="14"/>
  <c r="H36" i="14"/>
  <c r="G36" i="14"/>
  <c r="F36" i="14"/>
  <c r="E36" i="14"/>
  <c r="D36" i="14"/>
  <c r="C36" i="14"/>
  <c r="K30" i="14"/>
  <c r="J30" i="14"/>
  <c r="H30" i="14"/>
  <c r="I8" i="23"/>
  <c r="L30" i="14" s="1"/>
  <c r="F8" i="23"/>
  <c r="I30" i="14" s="1"/>
  <c r="D8" i="23"/>
  <c r="G30" i="14" s="1"/>
  <c r="C8" i="23"/>
  <c r="F30" i="14" s="1"/>
  <c r="B8" i="23"/>
  <c r="E30" i="14" s="1"/>
  <c r="G10" i="14"/>
  <c r="G9" i="14"/>
  <c r="G8" i="14"/>
  <c r="K30" i="4" l="1"/>
  <c r="O30" i="4"/>
  <c r="R32" i="4"/>
  <c r="N32" i="4"/>
  <c r="S30" i="4"/>
  <c r="F143" i="22"/>
  <c r="K35" i="4" s="1"/>
  <c r="J32" i="4"/>
  <c r="F141" i="22"/>
  <c r="J30" i="4"/>
  <c r="M32" i="4"/>
  <c r="N30" i="4"/>
  <c r="Q32" i="4"/>
  <c r="R30" i="4"/>
  <c r="L32" i="4"/>
  <c r="M30" i="4"/>
  <c r="P32" i="4"/>
  <c r="Q30" i="4"/>
  <c r="F142" i="22"/>
  <c r="K32" i="4"/>
  <c r="L30" i="4"/>
  <c r="O32" i="4"/>
  <c r="P30" i="4"/>
  <c r="S32" i="4"/>
  <c r="J12" i="21"/>
  <c r="N12" i="21"/>
  <c r="R12" i="21"/>
  <c r="V12" i="21"/>
  <c r="J13" i="21"/>
  <c r="N13" i="21"/>
  <c r="R13" i="21"/>
  <c r="V13" i="21"/>
  <c r="J14" i="21"/>
  <c r="N14" i="21"/>
  <c r="R14" i="21"/>
  <c r="V14" i="21"/>
  <c r="J15" i="21"/>
  <c r="N15" i="21"/>
  <c r="R15" i="21"/>
  <c r="V15" i="21"/>
  <c r="J16" i="21"/>
  <c r="N16" i="21"/>
  <c r="R16" i="21"/>
  <c r="V16" i="21"/>
  <c r="J17" i="21"/>
  <c r="J22" i="21" s="1"/>
  <c r="N17" i="21"/>
  <c r="R17" i="21"/>
  <c r="V17" i="21"/>
  <c r="V22" i="21" s="1"/>
  <c r="V23" i="21" s="1"/>
  <c r="J18" i="21"/>
  <c r="N18" i="21"/>
  <c r="R18" i="21"/>
  <c r="V18" i="21"/>
  <c r="J19" i="21"/>
  <c r="N19" i="21"/>
  <c r="R19" i="21"/>
  <c r="V19" i="21"/>
  <c r="J20" i="21"/>
  <c r="N20" i="21"/>
  <c r="R20" i="21"/>
  <c r="V20" i="21"/>
  <c r="E21" i="21"/>
  <c r="E22" i="21" s="1"/>
  <c r="F21" i="21"/>
  <c r="I21" i="21"/>
  <c r="J21" i="21"/>
  <c r="M21" i="21"/>
  <c r="N21" i="21"/>
  <c r="Q21" i="21"/>
  <c r="R21" i="21"/>
  <c r="U21" i="21"/>
  <c r="U22" i="21" s="1"/>
  <c r="V21" i="21"/>
  <c r="F22" i="21"/>
  <c r="F23" i="21" s="1"/>
  <c r="N22" i="21"/>
  <c r="N23" i="21" s="1"/>
  <c r="N24" i="21" s="1"/>
  <c r="N25" i="21" s="1"/>
  <c r="T5" i="21" l="1"/>
  <c r="J23" i="21"/>
  <c r="R22" i="21"/>
  <c r="Q22" i="21" s="1"/>
  <c r="M22" i="21"/>
  <c r="M23" i="21" s="1"/>
  <c r="M24" i="21" s="1"/>
  <c r="M25" i="21" s="1"/>
  <c r="I22" i="21"/>
  <c r="G143" i="22"/>
  <c r="L35" i="4" s="1"/>
  <c r="K34" i="4"/>
  <c r="G142" i="22"/>
  <c r="G141" i="22"/>
  <c r="K33" i="4"/>
  <c r="E23" i="21"/>
  <c r="R23" i="21"/>
  <c r="I23" i="21"/>
  <c r="R24" i="21"/>
  <c r="U23" i="21"/>
  <c r="U24" i="21" s="1"/>
  <c r="J24" i="21"/>
  <c r="J25" i="21" s="1"/>
  <c r="N26" i="21"/>
  <c r="V24" i="21"/>
  <c r="V25" i="21" s="1"/>
  <c r="F24" i="21"/>
  <c r="F25" i="21" s="1"/>
  <c r="I24" i="21" l="1"/>
  <c r="M26" i="21"/>
  <c r="U25" i="21"/>
  <c r="H143" i="22"/>
  <c r="I143" i="22" s="1"/>
  <c r="H141" i="22"/>
  <c r="L33" i="4"/>
  <c r="H142" i="22"/>
  <c r="L34" i="4"/>
  <c r="E24" i="21"/>
  <c r="E25" i="21" s="1"/>
  <c r="E26" i="21" s="1"/>
  <c r="V26" i="21"/>
  <c r="F26" i="21"/>
  <c r="F27" i="21" s="1"/>
  <c r="R25" i="21"/>
  <c r="R26" i="21" s="1"/>
  <c r="Q23" i="21"/>
  <c r="Q24" i="21" s="1"/>
  <c r="N27" i="21"/>
  <c r="N28" i="21" s="1"/>
  <c r="I25" i="21"/>
  <c r="I26" i="21" s="1"/>
  <c r="J26" i="21"/>
  <c r="J27" i="21" s="1"/>
  <c r="AK37" i="5"/>
  <c r="AJ37" i="5"/>
  <c r="AI37" i="5"/>
  <c r="AH37" i="5"/>
  <c r="AG37" i="5"/>
  <c r="AF37" i="5"/>
  <c r="AE37" i="5"/>
  <c r="AD37" i="5"/>
  <c r="AC37" i="5"/>
  <c r="AB37" i="5"/>
  <c r="AA37" i="5"/>
  <c r="Z37" i="5"/>
  <c r="Y37" i="5"/>
  <c r="X37" i="5"/>
  <c r="W37" i="5"/>
  <c r="V37" i="5"/>
  <c r="U37" i="5"/>
  <c r="T37" i="5"/>
  <c r="S37" i="5"/>
  <c r="S38" i="5" s="1"/>
  <c r="R37" i="5"/>
  <c r="R38" i="5" s="1"/>
  <c r="Q37" i="5"/>
  <c r="Q38" i="5" s="1"/>
  <c r="P37" i="5"/>
  <c r="P38" i="5" s="1"/>
  <c r="C38" i="5"/>
  <c r="D38" i="5"/>
  <c r="E38" i="5"/>
  <c r="F38" i="5"/>
  <c r="B38" i="5"/>
  <c r="F28" i="21" l="1"/>
  <c r="F29" i="21" s="1"/>
  <c r="E27" i="21"/>
  <c r="E28" i="21" s="1"/>
  <c r="Q25" i="21"/>
  <c r="Q26" i="21" s="1"/>
  <c r="M35" i="4"/>
  <c r="I142" i="22"/>
  <c r="M34" i="4"/>
  <c r="J143" i="22"/>
  <c r="N35" i="4"/>
  <c r="I141" i="22"/>
  <c r="M33" i="4"/>
  <c r="N29" i="21"/>
  <c r="J28" i="21"/>
  <c r="J30" i="21" s="1"/>
  <c r="U26" i="21"/>
  <c r="R27" i="21"/>
  <c r="M27" i="21"/>
  <c r="M28" i="21" s="1"/>
  <c r="J29" i="21"/>
  <c r="I27" i="21"/>
  <c r="I28" i="21" s="1"/>
  <c r="V27" i="21"/>
  <c r="V28" i="21" s="1"/>
  <c r="U38" i="5"/>
  <c r="T38" i="5"/>
  <c r="D475" i="14"/>
  <c r="E475" i="14"/>
  <c r="B21" i="17"/>
  <c r="A21" i="17"/>
  <c r="A20" i="17"/>
  <c r="A19" i="17"/>
  <c r="D18" i="17"/>
  <c r="B18" i="17"/>
  <c r="A18" i="17"/>
  <c r="D17" i="17"/>
  <c r="B17" i="17"/>
  <c r="A17" i="17"/>
  <c r="D16" i="17"/>
  <c r="B16" i="17"/>
  <c r="A16" i="17"/>
  <c r="D15" i="17"/>
  <c r="B15" i="17"/>
  <c r="A15" i="17"/>
  <c r="D14" i="17"/>
  <c r="B14" i="17"/>
  <c r="A14" i="17"/>
  <c r="D13" i="17"/>
  <c r="B13" i="17"/>
  <c r="A13" i="17"/>
  <c r="D12" i="17"/>
  <c r="B12" i="17"/>
  <c r="A12" i="17"/>
  <c r="D11" i="17"/>
  <c r="B11" i="17"/>
  <c r="A11" i="17"/>
  <c r="B10" i="17"/>
  <c r="A10" i="17"/>
  <c r="D9" i="17"/>
  <c r="B9" i="17"/>
  <c r="A9" i="17"/>
  <c r="D8" i="17"/>
  <c r="B8" i="17"/>
  <c r="A8" i="17"/>
  <c r="D7" i="17"/>
  <c r="B7" i="17"/>
  <c r="A7" i="17"/>
  <c r="D6" i="17"/>
  <c r="B6" i="17"/>
  <c r="A6" i="17"/>
  <c r="D5" i="17"/>
  <c r="B5" i="17"/>
  <c r="A5" i="17"/>
  <c r="D4" i="17"/>
  <c r="B4" i="17"/>
  <c r="A4" i="17"/>
  <c r="D3" i="17"/>
  <c r="B3" i="17"/>
  <c r="A3" i="17"/>
  <c r="D2" i="17"/>
  <c r="B2" i="17"/>
  <c r="A2" i="17"/>
  <c r="B21" i="20"/>
  <c r="A21" i="20"/>
  <c r="A20" i="20"/>
  <c r="A19" i="20"/>
  <c r="D18" i="20"/>
  <c r="B18" i="20"/>
  <c r="A18" i="20"/>
  <c r="D17" i="20"/>
  <c r="B17" i="20"/>
  <c r="A17" i="20"/>
  <c r="D16" i="20"/>
  <c r="B16" i="20"/>
  <c r="A16" i="20"/>
  <c r="D15" i="20"/>
  <c r="B15" i="20"/>
  <c r="A15" i="20"/>
  <c r="D14" i="20"/>
  <c r="B14" i="20"/>
  <c r="A14" i="20"/>
  <c r="D13" i="20"/>
  <c r="B13" i="20"/>
  <c r="A13" i="20"/>
  <c r="D12" i="20"/>
  <c r="B12" i="20"/>
  <c r="A12" i="20"/>
  <c r="D11" i="20"/>
  <c r="B11" i="20"/>
  <c r="A11" i="20"/>
  <c r="B10" i="20"/>
  <c r="A10" i="20"/>
  <c r="D9" i="20"/>
  <c r="B9" i="20"/>
  <c r="A9" i="20"/>
  <c r="D8" i="20"/>
  <c r="B8" i="20"/>
  <c r="A8" i="20"/>
  <c r="D7" i="20"/>
  <c r="B7" i="20"/>
  <c r="A7" i="20"/>
  <c r="D6" i="20"/>
  <c r="B6" i="20"/>
  <c r="A6" i="20"/>
  <c r="D5" i="20"/>
  <c r="B5" i="20"/>
  <c r="A5" i="20"/>
  <c r="D4" i="20"/>
  <c r="B4" i="20"/>
  <c r="A4" i="20"/>
  <c r="D3" i="20"/>
  <c r="B3" i="20"/>
  <c r="A3" i="20"/>
  <c r="D2" i="20"/>
  <c r="B2" i="20"/>
  <c r="A2" i="20"/>
  <c r="I525" i="13"/>
  <c r="C357" i="13"/>
  <c r="G311" i="13"/>
  <c r="H284" i="13"/>
  <c r="G284" i="13"/>
  <c r="Q257" i="13"/>
  <c r="P257" i="13"/>
  <c r="O257" i="13"/>
  <c r="N257" i="13"/>
  <c r="J257" i="13"/>
  <c r="I257" i="13"/>
  <c r="H257" i="13"/>
  <c r="G257" i="13"/>
  <c r="F257" i="13"/>
  <c r="E257" i="13"/>
  <c r="M257" i="13" s="1"/>
  <c r="C257" i="13"/>
  <c r="F30" i="21" l="1"/>
  <c r="E29" i="21"/>
  <c r="E30" i="21" s="1"/>
  <c r="J31" i="21"/>
  <c r="M29" i="21"/>
  <c r="I29" i="21"/>
  <c r="F31" i="21"/>
  <c r="F32" i="21"/>
  <c r="K143" i="22"/>
  <c r="O35" i="4"/>
  <c r="J141" i="22"/>
  <c r="N33" i="4"/>
  <c r="J142" i="22"/>
  <c r="N34" i="4"/>
  <c r="V29" i="21"/>
  <c r="J32" i="21"/>
  <c r="J33" i="21" s="1"/>
  <c r="J34" i="21" s="1"/>
  <c r="I30" i="21"/>
  <c r="I31" i="21" s="1"/>
  <c r="N30" i="21"/>
  <c r="V30" i="21"/>
  <c r="Q27" i="21"/>
  <c r="U27" i="21"/>
  <c r="U28" i="21" s="1"/>
  <c r="R28" i="21"/>
  <c r="V38" i="5"/>
  <c r="V31" i="21" l="1"/>
  <c r="V32" i="21" s="1"/>
  <c r="F33" i="21"/>
  <c r="F34" i="21" s="1"/>
  <c r="E31" i="21"/>
  <c r="E32" i="21" s="1"/>
  <c r="E33" i="21" s="1"/>
  <c r="E34" i="21" s="1"/>
  <c r="U29" i="21"/>
  <c r="U30" i="21" s="1"/>
  <c r="U31" i="21" s="1"/>
  <c r="U32" i="21" s="1"/>
  <c r="K142" i="22"/>
  <c r="O34" i="4"/>
  <c r="K141" i="22"/>
  <c r="O33" i="4"/>
  <c r="L143" i="22"/>
  <c r="P35" i="4"/>
  <c r="R29" i="21"/>
  <c r="R30" i="21" s="1"/>
  <c r="N31" i="21"/>
  <c r="N32" i="21" s="1"/>
  <c r="V33" i="21"/>
  <c r="V34" i="21" s="1"/>
  <c r="M30" i="21"/>
  <c r="M31" i="21" s="1"/>
  <c r="Q28" i="21"/>
  <c r="I32" i="21"/>
  <c r="I33" i="21" s="1"/>
  <c r="I34" i="21" s="1"/>
  <c r="W38" i="5"/>
  <c r="D173" i="14"/>
  <c r="J3" i="18" s="1"/>
  <c r="D174" i="14"/>
  <c r="J4" i="18" s="1"/>
  <c r="R31" i="21" l="1"/>
  <c r="R32" i="21" s="1"/>
  <c r="R33" i="21" s="1"/>
  <c r="R34" i="21" s="1"/>
  <c r="L141" i="22"/>
  <c r="P33" i="4"/>
  <c r="M143" i="22"/>
  <c r="Q35" i="4"/>
  <c r="L142" i="22"/>
  <c r="P34" i="4"/>
  <c r="N33" i="21"/>
  <c r="N34" i="21" s="1"/>
  <c r="M32" i="21"/>
  <c r="Q29" i="21"/>
  <c r="Q30" i="21" s="1"/>
  <c r="U33" i="21"/>
  <c r="U34" i="21" s="1"/>
  <c r="X38" i="5"/>
  <c r="E110" i="14"/>
  <c r="E107" i="14"/>
  <c r="E105" i="14"/>
  <c r="E100" i="14"/>
  <c r="C159" i="14"/>
  <c r="C158" i="14"/>
  <c r="C155" i="14"/>
  <c r="C154" i="14"/>
  <c r="C153" i="14"/>
  <c r="C151" i="14"/>
  <c r="C150" i="14"/>
  <c r="C149" i="14"/>
  <c r="C146" i="14"/>
  <c r="L45" i="14"/>
  <c r="K45" i="14"/>
  <c r="I45" i="14"/>
  <c r="G45" i="14"/>
  <c r="F45" i="14"/>
  <c r="D45" i="14"/>
  <c r="C45" i="14"/>
  <c r="H45" i="14"/>
  <c r="I15" i="14"/>
  <c r="I16" i="14" s="1"/>
  <c r="F15" i="14"/>
  <c r="E15" i="14"/>
  <c r="K15" i="14"/>
  <c r="J15" i="14"/>
  <c r="J16" i="14" s="1"/>
  <c r="H15" i="14"/>
  <c r="H16" i="14" s="1"/>
  <c r="L14" i="14"/>
  <c r="G14" i="14"/>
  <c r="Q31" i="21" l="1"/>
  <c r="Q32" i="21" s="1"/>
  <c r="Q33" i="21" s="1"/>
  <c r="Q34" i="21" s="1"/>
  <c r="D20" i="23"/>
  <c r="M142" i="22"/>
  <c r="Q34" i="4"/>
  <c r="N143" i="22"/>
  <c r="R35" i="4"/>
  <c r="M141" i="22"/>
  <c r="Q33" i="4"/>
  <c r="D21" i="23"/>
  <c r="E103" i="14" s="1"/>
  <c r="E102" i="14"/>
  <c r="M33" i="21"/>
  <c r="M34" i="21" s="1"/>
  <c r="Y38" i="5"/>
  <c r="D46" i="14"/>
  <c r="J45" i="14"/>
  <c r="I46" i="14"/>
  <c r="C46" i="14"/>
  <c r="F46" i="14"/>
  <c r="G46" i="14"/>
  <c r="E115" i="14"/>
  <c r="I17" i="14"/>
  <c r="G47" i="14"/>
  <c r="C156" i="14"/>
  <c r="J17" i="14"/>
  <c r="H47" i="14"/>
  <c r="C148" i="14"/>
  <c r="K46" i="14"/>
  <c r="E104" i="14"/>
  <c r="C152" i="14"/>
  <c r="E45" i="14"/>
  <c r="G15" i="14"/>
  <c r="L15" i="14"/>
  <c r="H17" i="14"/>
  <c r="F47" i="14"/>
  <c r="K16" i="14"/>
  <c r="E16" i="14"/>
  <c r="H46" i="14"/>
  <c r="C147" i="14"/>
  <c r="C157" i="14"/>
  <c r="F16" i="14"/>
  <c r="L46" i="14"/>
  <c r="B2" i="5"/>
  <c r="O143" i="22" l="1"/>
  <c r="T35" i="4" s="1"/>
  <c r="S35" i="4"/>
  <c r="N141" i="22"/>
  <c r="R33" i="4"/>
  <c r="N142" i="22"/>
  <c r="R34" i="4"/>
  <c r="Z38" i="5"/>
  <c r="M45" i="14"/>
  <c r="C81" i="14" s="1"/>
  <c r="E116" i="14"/>
  <c r="E117" i="14" s="1"/>
  <c r="L47" i="14"/>
  <c r="E17" i="14"/>
  <c r="C47" i="14"/>
  <c r="J18" i="14"/>
  <c r="H48" i="14"/>
  <c r="I47" i="14"/>
  <c r="K17" i="14"/>
  <c r="F17" i="14"/>
  <c r="D47" i="14"/>
  <c r="E106" i="14"/>
  <c r="D122" i="14"/>
  <c r="H18" i="14"/>
  <c r="F48" i="14"/>
  <c r="J46" i="14"/>
  <c r="L16" i="14"/>
  <c r="E46" i="14"/>
  <c r="G16" i="14"/>
  <c r="I18" i="14"/>
  <c r="G48" i="14"/>
  <c r="K47" i="14"/>
  <c r="C80" i="13"/>
  <c r="C81" i="13"/>
  <c r="C28" i="13" s="1"/>
  <c r="C82" i="13"/>
  <c r="C29" i="13" s="1"/>
  <c r="C83" i="13"/>
  <c r="C30" i="13" s="1"/>
  <c r="C84" i="13"/>
  <c r="C85" i="13"/>
  <c r="C32" i="13" s="1"/>
  <c r="C86" i="13"/>
  <c r="C87" i="13"/>
  <c r="C88" i="13"/>
  <c r="C89" i="13"/>
  <c r="C90" i="13"/>
  <c r="C91" i="13"/>
  <c r="C92" i="13"/>
  <c r="C93" i="13"/>
  <c r="C40" i="13" s="1"/>
  <c r="C94" i="13"/>
  <c r="C95" i="13"/>
  <c r="C98" i="13"/>
  <c r="C99" i="13"/>
  <c r="C46" i="13" s="1"/>
  <c r="C103" i="13"/>
  <c r="C50" i="13" s="1"/>
  <c r="C105" i="13"/>
  <c r="P10562" i="13"/>
  <c r="O10562" i="13"/>
  <c r="N10562" i="13"/>
  <c r="M10562" i="13"/>
  <c r="L10562" i="13"/>
  <c r="K10562" i="13"/>
  <c r="J10562" i="13"/>
  <c r="I10562" i="13"/>
  <c r="H10562" i="13"/>
  <c r="G10562" i="13"/>
  <c r="P10561" i="13"/>
  <c r="O10561" i="13"/>
  <c r="N10561" i="13"/>
  <c r="M10561" i="13"/>
  <c r="L10561" i="13"/>
  <c r="K10561" i="13"/>
  <c r="J10561" i="13"/>
  <c r="I10561" i="13"/>
  <c r="H10561" i="13"/>
  <c r="G10561" i="13"/>
  <c r="P10560" i="13"/>
  <c r="O10560" i="13"/>
  <c r="N10560" i="13"/>
  <c r="M10560" i="13"/>
  <c r="L10560" i="13"/>
  <c r="K10560" i="13"/>
  <c r="J10560" i="13"/>
  <c r="I10560" i="13"/>
  <c r="H10560" i="13"/>
  <c r="G10560" i="13"/>
  <c r="P10559" i="13"/>
  <c r="O10559" i="13"/>
  <c r="N10559" i="13"/>
  <c r="M10559" i="13"/>
  <c r="L10559" i="13"/>
  <c r="K10559" i="13"/>
  <c r="J10559" i="13"/>
  <c r="I10559" i="13"/>
  <c r="H10559" i="13"/>
  <c r="G10559" i="13"/>
  <c r="P10558" i="13"/>
  <c r="O10558" i="13"/>
  <c r="N10558" i="13"/>
  <c r="M10558" i="13"/>
  <c r="L10558" i="13"/>
  <c r="K10558" i="13"/>
  <c r="J10558" i="13"/>
  <c r="I10558" i="13"/>
  <c r="H10558" i="13"/>
  <c r="G10558" i="13"/>
  <c r="P10557" i="13"/>
  <c r="O10557" i="13"/>
  <c r="N10557" i="13"/>
  <c r="M10557" i="13"/>
  <c r="L10557" i="13"/>
  <c r="K10557" i="13"/>
  <c r="J10557" i="13"/>
  <c r="I10557" i="13"/>
  <c r="H10557" i="13"/>
  <c r="G10557" i="13"/>
  <c r="P10556" i="13"/>
  <c r="O10556" i="13"/>
  <c r="N10556" i="13"/>
  <c r="M10556" i="13"/>
  <c r="L10556" i="13"/>
  <c r="K10556" i="13"/>
  <c r="J10556" i="13"/>
  <c r="I10556" i="13"/>
  <c r="H10556" i="13"/>
  <c r="G10556" i="13"/>
  <c r="F10555" i="13"/>
  <c r="E10555" i="13"/>
  <c r="E10562" i="13" s="1"/>
  <c r="F10554" i="13"/>
  <c r="F10561" i="13" s="1"/>
  <c r="E10554" i="13"/>
  <c r="E10561" i="13" s="1"/>
  <c r="F10553" i="13"/>
  <c r="F10560" i="13" s="1"/>
  <c r="E10553" i="13"/>
  <c r="F10552" i="13"/>
  <c r="F10559" i="13" s="1"/>
  <c r="E10552" i="13"/>
  <c r="E10559" i="13" s="1"/>
  <c r="F10551" i="13"/>
  <c r="E10551" i="13"/>
  <c r="E10558" i="13" s="1"/>
  <c r="F10550" i="13"/>
  <c r="F10557" i="13" s="1"/>
  <c r="E10550" i="13"/>
  <c r="E10557" i="13" s="1"/>
  <c r="F10549" i="13"/>
  <c r="E10549" i="13"/>
  <c r="E10556" i="13" s="1"/>
  <c r="H10543" i="13"/>
  <c r="G10543" i="13"/>
  <c r="F10543" i="13"/>
  <c r="E10543" i="13"/>
  <c r="H10542" i="13"/>
  <c r="G10542" i="13"/>
  <c r="F10542" i="13"/>
  <c r="E10542" i="13"/>
  <c r="H10541" i="13"/>
  <c r="G10541" i="13"/>
  <c r="F10541" i="13"/>
  <c r="E10541" i="13"/>
  <c r="H10540" i="13"/>
  <c r="G10540" i="13"/>
  <c r="F10540" i="13"/>
  <c r="E10540" i="13"/>
  <c r="H10539" i="13"/>
  <c r="G10539" i="13"/>
  <c r="F10539" i="13"/>
  <c r="E10539" i="13"/>
  <c r="B10502" i="13"/>
  <c r="J10498" i="13" a="1"/>
  <c r="J10498" i="13" s="1"/>
  <c r="I10498" i="13" a="1"/>
  <c r="I10498" i="13" s="1"/>
  <c r="H10498" i="13" a="1"/>
  <c r="H10498" i="13" s="1"/>
  <c r="G10498" i="13" a="1"/>
  <c r="G10498" i="13" s="1"/>
  <c r="F10498" i="13" a="1"/>
  <c r="F10498" i="13" s="1"/>
  <c r="E10498" i="13" a="1"/>
  <c r="E10498" i="13" s="1"/>
  <c r="B10498" i="13"/>
  <c r="J10497" i="13"/>
  <c r="I10497" i="13"/>
  <c r="H10497" i="13"/>
  <c r="G10497" i="13"/>
  <c r="F10497" i="13"/>
  <c r="E10497" i="13"/>
  <c r="J10496" i="13"/>
  <c r="I10496" i="13"/>
  <c r="H10496" i="13"/>
  <c r="G10496" i="13"/>
  <c r="F10496" i="13"/>
  <c r="E10496" i="13"/>
  <c r="J10495" i="13"/>
  <c r="I10495" i="13"/>
  <c r="H10495" i="13"/>
  <c r="G10495" i="13"/>
  <c r="F10495" i="13"/>
  <c r="E10495" i="13"/>
  <c r="J10494" i="13" a="1"/>
  <c r="J10494" i="13" s="1"/>
  <c r="I10494" i="13" a="1"/>
  <c r="I10494" i="13" s="1"/>
  <c r="H10494" i="13" a="1"/>
  <c r="H10494" i="13" s="1"/>
  <c r="G10494" i="13" a="1"/>
  <c r="G10494" i="13" s="1"/>
  <c r="F10494" i="13" a="1"/>
  <c r="F10494" i="13" s="1"/>
  <c r="E10494" i="13" a="1"/>
  <c r="E10494" i="13" s="1"/>
  <c r="B10494" i="13"/>
  <c r="J10493" i="13"/>
  <c r="I10493" i="13"/>
  <c r="H10493" i="13"/>
  <c r="G10493" i="13"/>
  <c r="F10493" i="13"/>
  <c r="E10493" i="13"/>
  <c r="J10492" i="13"/>
  <c r="I10492" i="13"/>
  <c r="H10492" i="13"/>
  <c r="G10492" i="13"/>
  <c r="F10492" i="13"/>
  <c r="E10492" i="13"/>
  <c r="J10491" i="13"/>
  <c r="I10491" i="13"/>
  <c r="H10491" i="13"/>
  <c r="G10491" i="13"/>
  <c r="F10491" i="13"/>
  <c r="E10491" i="13"/>
  <c r="G10487" i="13"/>
  <c r="F10487" i="13"/>
  <c r="E10487" i="13"/>
  <c r="D10457" i="13" s="1"/>
  <c r="E10457" i="13" s="1"/>
  <c r="F10457" i="13" s="1"/>
  <c r="G10457" i="13" s="1"/>
  <c r="H10457" i="13" s="1"/>
  <c r="I10457" i="13" s="1"/>
  <c r="J10457" i="13" s="1"/>
  <c r="K10457" i="13" s="1"/>
  <c r="L10457" i="13" s="1"/>
  <c r="M10457" i="13" s="1"/>
  <c r="N10457" i="13" s="1"/>
  <c r="O10457" i="13" s="1"/>
  <c r="P10457" i="13" s="1"/>
  <c r="Q10457" i="13" s="1"/>
  <c r="R10457" i="13" s="1"/>
  <c r="S10457" i="13" s="1"/>
  <c r="T10457" i="13" s="1"/>
  <c r="U10457" i="13" s="1"/>
  <c r="V10457" i="13" s="1"/>
  <c r="W10457" i="13" s="1"/>
  <c r="X10457" i="13" s="1"/>
  <c r="Y10457" i="13" s="1"/>
  <c r="Z10457" i="13" s="1"/>
  <c r="AA10457" i="13" s="1"/>
  <c r="AB10457" i="13" s="1"/>
  <c r="AC10457" i="13" s="1"/>
  <c r="AD10457" i="13" s="1"/>
  <c r="AE10457" i="13" s="1"/>
  <c r="AF10457" i="13" s="1"/>
  <c r="AG10457" i="13" s="1"/>
  <c r="AH10457" i="13" s="1"/>
  <c r="D10487" i="13"/>
  <c r="F10472" i="13"/>
  <c r="F10473" i="13" s="1"/>
  <c r="F10474" i="13" s="1"/>
  <c r="E10472" i="13"/>
  <c r="E10473" i="13" s="1"/>
  <c r="E10474" i="13" s="1"/>
  <c r="D10456" i="13" s="1"/>
  <c r="E10456" i="13" s="1"/>
  <c r="F10456" i="13" s="1"/>
  <c r="G10456" i="13" s="1"/>
  <c r="H10456" i="13" s="1"/>
  <c r="I10456" i="13" s="1"/>
  <c r="J10456" i="13" s="1"/>
  <c r="K10456" i="13" s="1"/>
  <c r="L10456" i="13" s="1"/>
  <c r="M10456" i="13" s="1"/>
  <c r="N10456" i="13" s="1"/>
  <c r="O10456" i="13" s="1"/>
  <c r="P10456" i="13" s="1"/>
  <c r="Q10456" i="13" s="1"/>
  <c r="R10456" i="13" s="1"/>
  <c r="S10456" i="13" s="1"/>
  <c r="T10456" i="13" s="1"/>
  <c r="U10456" i="13" s="1"/>
  <c r="V10456" i="13" s="1"/>
  <c r="W10456" i="13" s="1"/>
  <c r="X10456" i="13" s="1"/>
  <c r="Y10456" i="13" s="1"/>
  <c r="Z10456" i="13" s="1"/>
  <c r="AA10456" i="13" s="1"/>
  <c r="AB10456" i="13" s="1"/>
  <c r="AC10456" i="13" s="1"/>
  <c r="AD10456" i="13" s="1"/>
  <c r="AE10456" i="13" s="1"/>
  <c r="AF10456" i="13" s="1"/>
  <c r="AG10456" i="13" s="1"/>
  <c r="AH10456" i="13" s="1"/>
  <c r="D10472" i="13"/>
  <c r="D10473" i="13" s="1"/>
  <c r="D10474" i="13" s="1"/>
  <c r="C10327" i="13"/>
  <c r="H10322" i="13"/>
  <c r="H10323" i="13" s="1"/>
  <c r="C10322" i="13"/>
  <c r="C10318" i="13"/>
  <c r="H10317" i="13"/>
  <c r="H10318" i="13" s="1"/>
  <c r="H10319" i="13" s="1"/>
  <c r="C10317" i="13"/>
  <c r="T9139" i="13"/>
  <c r="S9139" i="13"/>
  <c r="R9139" i="13"/>
  <c r="Q9139" i="13"/>
  <c r="T9138" i="13"/>
  <c r="S9138" i="13"/>
  <c r="R9138" i="13"/>
  <c r="Q9138" i="13"/>
  <c r="AL9083" i="13"/>
  <c r="AL9082" i="13"/>
  <c r="AL9081" i="13"/>
  <c r="AL9080" i="13"/>
  <c r="AL9079" i="13"/>
  <c r="AL9078" i="13"/>
  <c r="AL9077" i="13"/>
  <c r="AL9076" i="13"/>
  <c r="AL9075" i="13"/>
  <c r="AL9074" i="13"/>
  <c r="AL9073" i="13"/>
  <c r="AL9072" i="13"/>
  <c r="AL9071" i="13"/>
  <c r="AL9070" i="13"/>
  <c r="AL9069" i="13"/>
  <c r="AL9068" i="13"/>
  <c r="AL9067" i="13"/>
  <c r="AL9066" i="13"/>
  <c r="AL9065" i="13"/>
  <c r="AL9064" i="13"/>
  <c r="AL9063" i="13"/>
  <c r="AL9062" i="13"/>
  <c r="AL9061" i="13"/>
  <c r="AL9060" i="13"/>
  <c r="AL9059" i="13"/>
  <c r="AL9058" i="13"/>
  <c r="AL9057" i="13"/>
  <c r="AL9056" i="13"/>
  <c r="AL9055" i="13"/>
  <c r="AL9054" i="13"/>
  <c r="AL9053" i="13"/>
  <c r="AL9052" i="13"/>
  <c r="AL9051" i="13"/>
  <c r="AL9050" i="13"/>
  <c r="AL9049" i="13"/>
  <c r="AL9048" i="13"/>
  <c r="AL9047" i="13"/>
  <c r="AL9046" i="13"/>
  <c r="AL9045" i="13"/>
  <c r="AL9044" i="13"/>
  <c r="AL9043" i="13"/>
  <c r="AL9042" i="13"/>
  <c r="AL9041" i="13"/>
  <c r="AL9040" i="13"/>
  <c r="AL9039" i="13"/>
  <c r="AL9038" i="13"/>
  <c r="AL9037" i="13"/>
  <c r="AL9036" i="13"/>
  <c r="AL9035" i="13"/>
  <c r="AL9034" i="13"/>
  <c r="AL9033" i="13"/>
  <c r="AL9032" i="13"/>
  <c r="AL9031" i="13"/>
  <c r="AL9030" i="13"/>
  <c r="AL9029" i="13"/>
  <c r="AL9028" i="13"/>
  <c r="AL9027" i="13"/>
  <c r="AL9026" i="13"/>
  <c r="AL9025" i="13"/>
  <c r="AL9024" i="13"/>
  <c r="AL9023" i="13"/>
  <c r="AL9022" i="13"/>
  <c r="AL9021" i="13"/>
  <c r="AL9020" i="13"/>
  <c r="AL9019" i="13"/>
  <c r="AL9018" i="13"/>
  <c r="AL9017" i="13"/>
  <c r="AL9016" i="13"/>
  <c r="AL9015" i="13"/>
  <c r="AL9014" i="13"/>
  <c r="AL9013" i="13"/>
  <c r="AL9012" i="13"/>
  <c r="AL9011" i="13"/>
  <c r="AL9010" i="13"/>
  <c r="AL9009" i="13"/>
  <c r="AL9008" i="13"/>
  <c r="AL9007" i="13"/>
  <c r="AL9006" i="13"/>
  <c r="AL9005" i="13"/>
  <c r="AL9004" i="13"/>
  <c r="AL9003" i="13"/>
  <c r="AL9002" i="13"/>
  <c r="AL9001" i="13"/>
  <c r="AL9000" i="13"/>
  <c r="AL8999" i="13"/>
  <c r="AL8998" i="13"/>
  <c r="AL8997" i="13"/>
  <c r="AL8996" i="13"/>
  <c r="AL8995" i="13"/>
  <c r="AL8994" i="13"/>
  <c r="AL8993" i="13"/>
  <c r="AL8992" i="13"/>
  <c r="AL8991" i="13"/>
  <c r="AL8990" i="13"/>
  <c r="AL8989" i="13"/>
  <c r="AL8988" i="13"/>
  <c r="AL8987" i="13"/>
  <c r="AL8986" i="13"/>
  <c r="AL8985" i="13"/>
  <c r="AL8984" i="13"/>
  <c r="AL8983" i="13"/>
  <c r="AL8982" i="13"/>
  <c r="AL8981" i="13"/>
  <c r="AL8980" i="13"/>
  <c r="AL8979" i="13"/>
  <c r="AL8978" i="13"/>
  <c r="AL8977" i="13"/>
  <c r="AL8976" i="13"/>
  <c r="AL8975" i="13"/>
  <c r="AL8974" i="13"/>
  <c r="AL8973" i="13"/>
  <c r="AL8972" i="13"/>
  <c r="AL8971" i="13"/>
  <c r="AL8970" i="13"/>
  <c r="AL8969" i="13"/>
  <c r="AL8968" i="13"/>
  <c r="AL8967" i="13"/>
  <c r="AL8966" i="13"/>
  <c r="AL8965" i="13"/>
  <c r="AL8964" i="13"/>
  <c r="AL8963" i="13"/>
  <c r="AL8962" i="13"/>
  <c r="AL8961" i="13"/>
  <c r="AL8960" i="13"/>
  <c r="AL8959" i="13"/>
  <c r="AL8958" i="13"/>
  <c r="AL8957" i="13"/>
  <c r="AL8956" i="13"/>
  <c r="AL8955" i="13"/>
  <c r="AL8954" i="13"/>
  <c r="AL8953" i="13"/>
  <c r="AL8952" i="13"/>
  <c r="AL8951" i="13"/>
  <c r="AL8950" i="13"/>
  <c r="AL8949" i="13"/>
  <c r="AL8948" i="13"/>
  <c r="B8939" i="13"/>
  <c r="AB8939" i="13" s="1" a="1"/>
  <c r="AB8939" i="13" s="1"/>
  <c r="B8938" i="13"/>
  <c r="B8937" i="13"/>
  <c r="E8937" i="13" s="1" a="1"/>
  <c r="E8937" i="13" s="1"/>
  <c r="B8936" i="13"/>
  <c r="M8936" i="13" s="1" a="1"/>
  <c r="M8936" i="13" s="1"/>
  <c r="B8935" i="13"/>
  <c r="AD8935" i="13" s="1" a="1"/>
  <c r="AD8935" i="13" s="1"/>
  <c r="B8934" i="13"/>
  <c r="AD8934" i="13" s="1" a="1"/>
  <c r="AD8934" i="13" s="1"/>
  <c r="B8933" i="13"/>
  <c r="B8932" i="13"/>
  <c r="AG8932" i="13" s="1" a="1"/>
  <c r="AG8932" i="13" s="1"/>
  <c r="B8931" i="13"/>
  <c r="T8931" i="13" s="1" a="1"/>
  <c r="T8931" i="13" s="1"/>
  <c r="B8930" i="13"/>
  <c r="AI8930" i="13" s="1" a="1"/>
  <c r="AI8930" i="13" s="1"/>
  <c r="AO8930" i="13" s="1" a="1"/>
  <c r="AO8930" i="13" s="1"/>
  <c r="AK8930" i="13" s="1"/>
  <c r="B8929" i="13"/>
  <c r="E8929" i="13" s="1" a="1"/>
  <c r="E8929" i="13" s="1"/>
  <c r="B8928" i="13"/>
  <c r="Y8928" i="13" s="1" a="1"/>
  <c r="Y8928" i="13" s="1"/>
  <c r="B8927" i="13"/>
  <c r="P8927" i="13" s="1" a="1"/>
  <c r="P8927" i="13" s="1"/>
  <c r="B8926" i="13"/>
  <c r="F8926" i="13" s="1" a="1"/>
  <c r="F8926" i="13" s="1"/>
  <c r="B8925" i="13"/>
  <c r="X8925" i="13" s="1" a="1"/>
  <c r="X8925" i="13" s="1"/>
  <c r="B8924" i="13"/>
  <c r="O8924" i="13" s="1" a="1"/>
  <c r="O8924" i="13" s="1"/>
  <c r="B8923" i="13"/>
  <c r="V8923" i="13" s="1" a="1"/>
  <c r="V8923" i="13" s="1"/>
  <c r="B8922" i="13"/>
  <c r="B8921" i="13"/>
  <c r="T8921" i="13" s="1" a="1"/>
  <c r="T8921" i="13" s="1"/>
  <c r="B8920" i="13"/>
  <c r="B8919" i="13"/>
  <c r="AG8919" i="13" s="1" a="1"/>
  <c r="AG8919" i="13" s="1"/>
  <c r="B8918" i="13"/>
  <c r="B8917" i="13"/>
  <c r="U8917" i="13" s="1" a="1"/>
  <c r="U8917" i="13" s="1"/>
  <c r="B8916" i="13"/>
  <c r="B8915" i="13"/>
  <c r="Q8915" i="13" s="1" a="1"/>
  <c r="Q8915" i="13" s="1"/>
  <c r="B8914" i="13"/>
  <c r="B8913" i="13"/>
  <c r="AH8913" i="13" s="1" a="1"/>
  <c r="AH8913" i="13" s="1"/>
  <c r="B8912" i="13"/>
  <c r="AC8912" i="13" s="1" a="1"/>
  <c r="AC8912" i="13" s="1"/>
  <c r="B8911" i="13"/>
  <c r="Z8911" i="13" s="1" a="1"/>
  <c r="Z8911" i="13" s="1"/>
  <c r="B8910" i="13"/>
  <c r="B8909" i="13"/>
  <c r="W8909" i="13" s="1" a="1"/>
  <c r="W8909" i="13" s="1"/>
  <c r="B8908" i="13"/>
  <c r="T8908" i="13" s="1" a="1"/>
  <c r="T8908" i="13" s="1"/>
  <c r="B8907" i="13"/>
  <c r="AI8907" i="13" s="1" a="1"/>
  <c r="AI8907" i="13" s="1"/>
  <c r="AO8907" i="13" s="1" a="1"/>
  <c r="AO8907" i="13" s="1"/>
  <c r="B8906" i="13"/>
  <c r="B8905" i="13"/>
  <c r="J8905" i="13" s="1" a="1"/>
  <c r="J8905" i="13" s="1"/>
  <c r="B8904" i="13"/>
  <c r="T8904" i="13" s="1" a="1"/>
  <c r="T8904" i="13" s="1"/>
  <c r="B8903" i="13"/>
  <c r="AD8903" i="13" s="1" a="1"/>
  <c r="AD8903" i="13" s="1"/>
  <c r="B8902" i="13"/>
  <c r="AI8902" i="13" s="1" a="1"/>
  <c r="AI8902" i="13" s="1"/>
  <c r="AO8902" i="13" s="1" a="1"/>
  <c r="AO8902" i="13" s="1"/>
  <c r="B8901" i="13"/>
  <c r="AF8901" i="13" s="1" a="1"/>
  <c r="AF8901" i="13" s="1"/>
  <c r="B8900" i="13"/>
  <c r="AD8900" i="13" s="1" a="1"/>
  <c r="AD8900" i="13" s="1"/>
  <c r="B8899" i="13"/>
  <c r="B8898" i="13"/>
  <c r="M8898" i="13" s="1" a="1"/>
  <c r="M8898" i="13" s="1"/>
  <c r="B8897" i="13"/>
  <c r="Y8897" i="13" s="1" a="1"/>
  <c r="Y8897" i="13" s="1"/>
  <c r="B8896" i="13"/>
  <c r="N8896" i="13" s="1" a="1"/>
  <c r="N8896" i="13" s="1"/>
  <c r="B8895" i="13"/>
  <c r="E8895" i="13" s="1" a="1"/>
  <c r="E8895" i="13" s="1"/>
  <c r="B8894" i="13"/>
  <c r="AC8894" i="13" s="1" a="1"/>
  <c r="AC8894" i="13" s="1"/>
  <c r="B8893" i="13"/>
  <c r="AF8893" i="13" s="1" a="1"/>
  <c r="AF8893" i="13" s="1"/>
  <c r="B8892" i="13"/>
  <c r="AF8892" i="13" s="1" a="1"/>
  <c r="AF8892" i="13" s="1"/>
  <c r="B8891" i="13"/>
  <c r="F8891" i="13" s="1" a="1"/>
  <c r="F8891" i="13" s="1"/>
  <c r="B8890" i="13"/>
  <c r="K8890" i="13" s="1" a="1"/>
  <c r="K8890" i="13" s="1"/>
  <c r="B8889" i="13"/>
  <c r="AG8889" i="13" s="1" a="1"/>
  <c r="AG8889" i="13" s="1"/>
  <c r="B8888" i="13"/>
  <c r="R8888" i="13" s="1" a="1"/>
  <c r="R8888" i="13" s="1"/>
  <c r="B8887" i="13"/>
  <c r="AD8887" i="13" s="1" a="1"/>
  <c r="AD8887" i="13" s="1"/>
  <c r="B8886" i="13"/>
  <c r="AI8886" i="13" s="1" a="1"/>
  <c r="AI8886" i="13" s="1"/>
  <c r="AO8886" i="13" s="1" a="1"/>
  <c r="AO8886" i="13" s="1"/>
  <c r="B8885" i="13"/>
  <c r="AF8885" i="13" s="1" a="1"/>
  <c r="AF8885" i="13" s="1"/>
  <c r="B8884" i="13"/>
  <c r="X8884" i="13" s="1" a="1"/>
  <c r="X8884" i="13" s="1"/>
  <c r="B8883" i="13"/>
  <c r="AF8883" i="13" s="1" a="1"/>
  <c r="AF8883" i="13" s="1"/>
  <c r="B8882" i="13"/>
  <c r="AC8882" i="13" s="1" a="1"/>
  <c r="AC8882" i="13" s="1"/>
  <c r="B8881" i="13"/>
  <c r="Q8881" i="13" s="1" a="1"/>
  <c r="Q8881" i="13" s="1"/>
  <c r="B8880" i="13"/>
  <c r="W8880" i="13" s="1" a="1"/>
  <c r="W8880" i="13" s="1"/>
  <c r="B8879" i="13"/>
  <c r="T8879" i="13" s="1" a="1"/>
  <c r="T8879" i="13" s="1"/>
  <c r="B8878" i="13"/>
  <c r="AG8878" i="13" s="1" a="1"/>
  <c r="AG8878" i="13" s="1"/>
  <c r="B8877" i="13"/>
  <c r="Q8877" i="13" s="1" a="1"/>
  <c r="Q8877" i="13" s="1"/>
  <c r="B8876" i="13"/>
  <c r="N8876" i="13" s="1" a="1"/>
  <c r="N8876" i="13" s="1"/>
  <c r="B8875" i="13"/>
  <c r="P8875" i="13" s="1" a="1"/>
  <c r="P8875" i="13" s="1"/>
  <c r="B8874" i="13"/>
  <c r="AF8874" i="13" s="1" a="1"/>
  <c r="AF8874" i="13" s="1"/>
  <c r="B8873" i="13"/>
  <c r="M8873" i="13" s="1" a="1"/>
  <c r="M8873" i="13" s="1"/>
  <c r="B8872" i="13"/>
  <c r="AA8872" i="13" s="1" a="1"/>
  <c r="AA8872" i="13" s="1"/>
  <c r="B8871" i="13"/>
  <c r="T8871" i="13" s="1" a="1"/>
  <c r="T8871" i="13" s="1"/>
  <c r="B8870" i="13"/>
  <c r="AG8870" i="13" s="1" a="1"/>
  <c r="AG8870" i="13" s="1"/>
  <c r="B8869" i="13"/>
  <c r="Q8869" i="13" s="1" a="1"/>
  <c r="Q8869" i="13" s="1"/>
  <c r="B8868" i="13"/>
  <c r="S8868" i="13" s="1" a="1"/>
  <c r="S8868" i="13" s="1"/>
  <c r="B8867" i="13"/>
  <c r="T8867" i="13" s="1" a="1"/>
  <c r="T8867" i="13" s="1"/>
  <c r="B8866" i="13"/>
  <c r="AI8866" i="13" s="1" a="1"/>
  <c r="AI8866" i="13" s="1"/>
  <c r="AO8866" i="13" s="1" a="1"/>
  <c r="AO8866" i="13" s="1"/>
  <c r="AK8866" i="13" s="1"/>
  <c r="B8865" i="13"/>
  <c r="Q8865" i="13" s="1" a="1"/>
  <c r="Q8865" i="13" s="1"/>
  <c r="B8864" i="13"/>
  <c r="T8864" i="13" s="1" a="1"/>
  <c r="T8864" i="13" s="1"/>
  <c r="B8863" i="13"/>
  <c r="B8862" i="13"/>
  <c r="T8862" i="13" s="1" a="1"/>
  <c r="T8862" i="13" s="1"/>
  <c r="B8861" i="13"/>
  <c r="U8861" i="13" s="1" a="1"/>
  <c r="U8861" i="13" s="1"/>
  <c r="B8860" i="13"/>
  <c r="B8859" i="13"/>
  <c r="H8859" i="13" s="1" a="1"/>
  <c r="H8859" i="13" s="1"/>
  <c r="B8858" i="13"/>
  <c r="X8858" i="13" s="1" a="1"/>
  <c r="X8858" i="13" s="1"/>
  <c r="B8857" i="13"/>
  <c r="AG8857" i="13" s="1" a="1"/>
  <c r="AG8857" i="13" s="1"/>
  <c r="B8856" i="13"/>
  <c r="T8856" i="13" s="1" a="1"/>
  <c r="T8856" i="13" s="1"/>
  <c r="B8855" i="13"/>
  <c r="H8855" i="13" s="1" a="1"/>
  <c r="H8855" i="13" s="1"/>
  <c r="B8854" i="13"/>
  <c r="B8853" i="13"/>
  <c r="AF8853" i="13" s="1" a="1"/>
  <c r="AF8853" i="13" s="1"/>
  <c r="B8852" i="13"/>
  <c r="T8852" i="13" s="1" a="1"/>
  <c r="T8852" i="13" s="1"/>
  <c r="B8851" i="13"/>
  <c r="W8851" i="13" s="1" a="1"/>
  <c r="W8851" i="13" s="1"/>
  <c r="B8850" i="13"/>
  <c r="AC8850" i="13" s="1" a="1"/>
  <c r="AC8850" i="13" s="1"/>
  <c r="B8849" i="13"/>
  <c r="AI8849" i="13" s="1" a="1"/>
  <c r="AI8849" i="13" s="1"/>
  <c r="AO8849" i="13" s="1" a="1"/>
  <c r="AO8849" i="13" s="1"/>
  <c r="B8848" i="13"/>
  <c r="B8847" i="13"/>
  <c r="O8847" i="13" s="1" a="1"/>
  <c r="O8847" i="13" s="1"/>
  <c r="B8846" i="13"/>
  <c r="AC8846" i="13" s="1" a="1"/>
  <c r="AC8846" i="13" s="1"/>
  <c r="B8845" i="13"/>
  <c r="AC8845" i="13" s="1" a="1"/>
  <c r="AC8845" i="13" s="1"/>
  <c r="B8844" i="13"/>
  <c r="P8844" i="13" s="1" a="1"/>
  <c r="P8844" i="13" s="1"/>
  <c r="B8843" i="13"/>
  <c r="O8843" i="13" s="1" a="1"/>
  <c r="O8843" i="13" s="1"/>
  <c r="B8842" i="13"/>
  <c r="G8842" i="13" s="1" a="1"/>
  <c r="G8842" i="13" s="1"/>
  <c r="B8841" i="13"/>
  <c r="B8840" i="13"/>
  <c r="X8840" i="13" s="1" a="1"/>
  <c r="X8840" i="13" s="1"/>
  <c r="B8839" i="13"/>
  <c r="P8839" i="13" s="1" a="1"/>
  <c r="P8839" i="13" s="1"/>
  <c r="B8838" i="13"/>
  <c r="AC8838" i="13" s="1" a="1"/>
  <c r="AC8838" i="13" s="1"/>
  <c r="B8837" i="13"/>
  <c r="B8836" i="13"/>
  <c r="B8835" i="13"/>
  <c r="Q8835" i="13" s="1" a="1"/>
  <c r="Q8835" i="13" s="1"/>
  <c r="B8834" i="13"/>
  <c r="B8833" i="13"/>
  <c r="B8832" i="13"/>
  <c r="N8832" i="13" s="1" a="1"/>
  <c r="N8832" i="13" s="1"/>
  <c r="B8831" i="13"/>
  <c r="B8830" i="13"/>
  <c r="Y8830" i="13" s="1" a="1"/>
  <c r="Y8830" i="13" s="1"/>
  <c r="B8829" i="13"/>
  <c r="M8829" i="13" s="1" a="1"/>
  <c r="M8829" i="13" s="1"/>
  <c r="B8828" i="13"/>
  <c r="B8827" i="13"/>
  <c r="B8826" i="13"/>
  <c r="B8825" i="13"/>
  <c r="B8824" i="13"/>
  <c r="B8823" i="13"/>
  <c r="F8823" i="13" s="1" a="1"/>
  <c r="F8823" i="13" s="1"/>
  <c r="B8822" i="13"/>
  <c r="B8821" i="13"/>
  <c r="B8820" i="13"/>
  <c r="B8819" i="13"/>
  <c r="V8819" i="13" s="1" a="1"/>
  <c r="V8819" i="13" s="1"/>
  <c r="B8818" i="13"/>
  <c r="AI8818" i="13" s="1" a="1"/>
  <c r="AI8818" i="13" s="1"/>
  <c r="AO8818" i="13" s="1" a="1"/>
  <c r="AO8818" i="13" s="1"/>
  <c r="B8817" i="13"/>
  <c r="B8816" i="13"/>
  <c r="N8816" i="13" s="1" a="1"/>
  <c r="N8816" i="13" s="1"/>
  <c r="B8815" i="13"/>
  <c r="B8814" i="13"/>
  <c r="B8813" i="13"/>
  <c r="AG8813" i="13" s="1" a="1"/>
  <c r="AG8813" i="13" s="1"/>
  <c r="B8812" i="13"/>
  <c r="N8812" i="13" s="1" a="1"/>
  <c r="N8812" i="13" s="1"/>
  <c r="B8811" i="13"/>
  <c r="X8811" i="13" s="1" a="1"/>
  <c r="X8811" i="13" s="1"/>
  <c r="B8810" i="13"/>
  <c r="S8810" i="13" s="1" a="1"/>
  <c r="S8810" i="13" s="1"/>
  <c r="B8809" i="13"/>
  <c r="AC8809" i="13" s="1" a="1"/>
  <c r="AC8809" i="13" s="1"/>
  <c r="B8808" i="13"/>
  <c r="B8807" i="13"/>
  <c r="B8806" i="13"/>
  <c r="S8806" i="13" s="1" a="1"/>
  <c r="S8806" i="13" s="1"/>
  <c r="B8805" i="13"/>
  <c r="AI8805" i="13" s="1" a="1"/>
  <c r="AI8805" i="13" s="1"/>
  <c r="AO8805" i="13" s="1" a="1"/>
  <c r="AO8805" i="13" s="1"/>
  <c r="AK8805" i="13" s="1"/>
  <c r="B8804" i="13"/>
  <c r="K1850" i="13"/>
  <c r="L1848" i="13"/>
  <c r="L1847" i="13"/>
  <c r="K1847" i="13"/>
  <c r="L1833" i="13"/>
  <c r="K1833" i="13"/>
  <c r="N1769" i="13"/>
  <c r="M1769" i="13"/>
  <c r="L1769" i="13"/>
  <c r="K1769" i="13"/>
  <c r="J1769" i="13"/>
  <c r="I1769" i="13"/>
  <c r="H1769" i="13"/>
  <c r="G1769" i="13"/>
  <c r="F1769" i="13"/>
  <c r="E1769" i="13"/>
  <c r="D1769" i="13"/>
  <c r="C1769" i="13"/>
  <c r="N1768" i="13"/>
  <c r="M1768" i="13"/>
  <c r="L1768" i="13"/>
  <c r="K1768" i="13"/>
  <c r="J1768" i="13"/>
  <c r="I1768" i="13"/>
  <c r="H1768" i="13"/>
  <c r="G1768" i="13"/>
  <c r="F1768" i="13"/>
  <c r="E1768" i="13"/>
  <c r="D1768" i="13"/>
  <c r="C1768" i="13"/>
  <c r="N1767" i="13"/>
  <c r="M1767" i="13"/>
  <c r="L1767" i="13"/>
  <c r="K1767" i="13"/>
  <c r="J1767" i="13"/>
  <c r="I1767" i="13"/>
  <c r="H1767" i="13"/>
  <c r="G1767" i="13"/>
  <c r="F1767" i="13"/>
  <c r="E1767" i="13"/>
  <c r="D1767" i="13"/>
  <c r="C1767" i="13"/>
  <c r="N1766" i="13"/>
  <c r="M1766" i="13"/>
  <c r="L1766" i="13"/>
  <c r="K1766" i="13"/>
  <c r="J1766" i="13"/>
  <c r="I1766" i="13"/>
  <c r="H1766" i="13"/>
  <c r="G1766" i="13"/>
  <c r="F1766" i="13"/>
  <c r="E1766" i="13"/>
  <c r="D1766" i="13"/>
  <c r="C1766" i="13"/>
  <c r="N1765" i="13"/>
  <c r="N1770" i="13" s="1"/>
  <c r="M1765" i="13"/>
  <c r="M1770" i="13" s="1"/>
  <c r="L1765" i="13"/>
  <c r="L1770" i="13" s="1"/>
  <c r="K1765" i="13"/>
  <c r="K1770" i="13" s="1"/>
  <c r="J1765" i="13"/>
  <c r="J1770" i="13" s="1"/>
  <c r="I1765" i="13"/>
  <c r="I1770" i="13" s="1"/>
  <c r="H1765" i="13"/>
  <c r="H1770" i="13" s="1"/>
  <c r="G1765" i="13"/>
  <c r="G1770" i="13" s="1"/>
  <c r="F1765" i="13"/>
  <c r="F1770" i="13" s="1"/>
  <c r="E1765" i="13"/>
  <c r="E1770" i="13" s="1"/>
  <c r="D1765" i="13"/>
  <c r="D1770" i="13" s="1"/>
  <c r="C1765" i="13"/>
  <c r="C1770" i="13" s="1"/>
  <c r="N1751" i="13"/>
  <c r="M1751" i="13"/>
  <c r="L1751" i="13"/>
  <c r="K1751" i="13"/>
  <c r="J1751" i="13"/>
  <c r="I1751" i="13"/>
  <c r="H1751" i="13"/>
  <c r="G1751" i="13"/>
  <c r="F1751" i="13"/>
  <c r="E1751" i="13"/>
  <c r="D1751" i="13"/>
  <c r="C1751" i="13"/>
  <c r="C1760" i="13" s="1"/>
  <c r="N1750" i="13"/>
  <c r="M1750" i="13"/>
  <c r="L1750" i="13"/>
  <c r="K1750" i="13"/>
  <c r="J1750" i="13"/>
  <c r="I1750" i="13"/>
  <c r="H1750" i="13"/>
  <c r="G1750" i="13"/>
  <c r="F1750" i="13"/>
  <c r="E1750" i="13"/>
  <c r="D1750" i="13"/>
  <c r="C1750" i="13"/>
  <c r="C1759" i="13" s="1"/>
  <c r="N1749" i="13"/>
  <c r="M1749" i="13"/>
  <c r="L1749" i="13"/>
  <c r="K1749" i="13"/>
  <c r="J1749" i="13"/>
  <c r="I1749" i="13"/>
  <c r="H1749" i="13"/>
  <c r="G1749" i="13"/>
  <c r="F1749" i="13"/>
  <c r="E1749" i="13"/>
  <c r="D1749" i="13"/>
  <c r="C1749" i="13"/>
  <c r="C1758" i="13" s="1"/>
  <c r="N1748" i="13"/>
  <c r="M1748" i="13"/>
  <c r="L1748" i="13"/>
  <c r="K1748" i="13"/>
  <c r="J1748" i="13"/>
  <c r="I1748" i="13"/>
  <c r="H1748" i="13"/>
  <c r="G1748" i="13"/>
  <c r="F1748" i="13"/>
  <c r="E1748" i="13"/>
  <c r="D1748" i="13"/>
  <c r="C1748" i="13"/>
  <c r="C1757" i="13" s="1"/>
  <c r="N1747" i="13"/>
  <c r="N1752" i="13" s="1"/>
  <c r="M1747" i="13"/>
  <c r="M1752" i="13" s="1"/>
  <c r="L1747" i="13"/>
  <c r="L1752" i="13" s="1"/>
  <c r="K1747" i="13"/>
  <c r="K1752" i="13" s="1"/>
  <c r="J1747" i="13"/>
  <c r="J1752" i="13" s="1"/>
  <c r="I1747" i="13"/>
  <c r="I1752" i="13" s="1"/>
  <c r="H1747" i="13"/>
  <c r="H1752" i="13" s="1"/>
  <c r="G1747" i="13"/>
  <c r="G1752" i="13" s="1"/>
  <c r="F1747" i="13"/>
  <c r="F1752" i="13" s="1"/>
  <c r="E1747" i="13"/>
  <c r="E1752" i="13" s="1"/>
  <c r="D1747" i="13"/>
  <c r="D1752" i="13" s="1"/>
  <c r="C1747" i="13"/>
  <c r="C1756" i="13" s="1"/>
  <c r="H1707" i="13"/>
  <c r="G1707" i="13"/>
  <c r="F1707" i="13"/>
  <c r="E1707" i="13"/>
  <c r="D1707" i="13"/>
  <c r="H1704" i="13"/>
  <c r="G1704" i="13"/>
  <c r="F1704" i="13"/>
  <c r="E1704" i="13"/>
  <c r="D1704" i="13"/>
  <c r="G1686" i="13"/>
  <c r="G1691" i="13" s="1"/>
  <c r="G1697" i="13" s="1"/>
  <c r="F1686" i="13"/>
  <c r="F1691" i="13" s="1"/>
  <c r="E1686" i="13"/>
  <c r="E1691" i="13" s="1"/>
  <c r="E1697" i="13" s="1"/>
  <c r="D1686" i="13"/>
  <c r="D1691" i="13" s="1"/>
  <c r="P1669" i="13"/>
  <c r="O1669" i="13"/>
  <c r="N1669" i="13"/>
  <c r="M1669" i="13"/>
  <c r="L1669" i="13"/>
  <c r="K1669" i="13"/>
  <c r="J1669" i="13"/>
  <c r="I1669" i="13"/>
  <c r="H1669" i="13"/>
  <c r="G1669" i="13"/>
  <c r="F1669" i="13"/>
  <c r="E1669" i="13"/>
  <c r="D1669" i="13"/>
  <c r="E1663" i="13"/>
  <c r="D1663" i="13"/>
  <c r="E1662" i="13"/>
  <c r="D1662" i="13"/>
  <c r="K1660" i="13"/>
  <c r="K1661" i="13" s="1"/>
  <c r="J1660" i="13"/>
  <c r="J1661" i="13" s="1"/>
  <c r="I1660" i="13"/>
  <c r="I1661" i="13" s="1"/>
  <c r="H1660" i="13"/>
  <c r="H1661" i="13" s="1"/>
  <c r="G1660" i="13"/>
  <c r="G1661" i="13" s="1"/>
  <c r="F1660" i="13"/>
  <c r="F1661" i="13" s="1"/>
  <c r="K1659" i="13"/>
  <c r="J1659" i="13"/>
  <c r="I1659" i="13"/>
  <c r="H1659" i="13"/>
  <c r="G1659" i="13"/>
  <c r="F1659" i="13"/>
  <c r="E1659" i="13"/>
  <c r="D1659" i="13"/>
  <c r="K1646" i="13"/>
  <c r="K1647" i="13" s="1"/>
  <c r="J1646" i="13"/>
  <c r="J1647" i="13" s="1"/>
  <c r="I1646" i="13"/>
  <c r="I1647" i="13" s="1"/>
  <c r="H1646" i="13"/>
  <c r="H1647" i="13" s="1"/>
  <c r="G1646" i="13"/>
  <c r="G1647" i="13" s="1"/>
  <c r="F1646" i="13"/>
  <c r="F1647" i="13" s="1"/>
  <c r="E1646" i="13"/>
  <c r="E1647" i="13" s="1"/>
  <c r="D1646" i="13"/>
  <c r="D1647" i="13" s="1"/>
  <c r="K1645" i="13"/>
  <c r="J1645" i="13"/>
  <c r="I1645" i="13"/>
  <c r="H1645" i="13"/>
  <c r="G1645" i="13"/>
  <c r="F1645" i="13"/>
  <c r="E1645" i="13"/>
  <c r="D1645" i="13"/>
  <c r="I1623" i="13"/>
  <c r="I1628" i="13" s="1"/>
  <c r="I1634" i="13" s="1"/>
  <c r="H1623" i="13"/>
  <c r="H1622" i="13" s="1"/>
  <c r="G1623" i="13"/>
  <c r="F1623" i="13"/>
  <c r="F1628" i="13" s="1"/>
  <c r="F1634" i="13" s="1"/>
  <c r="E1623" i="13"/>
  <c r="D1623" i="13"/>
  <c r="D1628" i="13" s="1"/>
  <c r="H1597" i="13"/>
  <c r="G1597" i="13"/>
  <c r="F1597" i="13"/>
  <c r="E1597" i="13"/>
  <c r="D1597" i="13"/>
  <c r="H1594" i="13"/>
  <c r="G1594" i="13"/>
  <c r="F1594" i="13"/>
  <c r="E1594" i="13"/>
  <c r="D1594" i="13"/>
  <c r="G1575" i="13"/>
  <c r="G1580" i="13" s="1"/>
  <c r="G1586" i="13" s="1"/>
  <c r="F1575" i="13"/>
  <c r="F1580" i="13" s="1"/>
  <c r="E1575" i="13"/>
  <c r="D1575" i="13"/>
  <c r="D1580" i="13" s="1"/>
  <c r="D1569" i="13"/>
  <c r="D1568" i="13"/>
  <c r="D1567" i="13"/>
  <c r="F1550" i="13"/>
  <c r="D1550" i="13"/>
  <c r="F1543" i="13"/>
  <c r="D1527" i="13" s="1"/>
  <c r="D1543" i="13"/>
  <c r="D1551" i="13" s="1"/>
  <c r="G1525" i="13"/>
  <c r="F1525" i="13"/>
  <c r="E1525" i="13"/>
  <c r="D1525" i="13"/>
  <c r="G1524" i="13"/>
  <c r="F1524" i="13"/>
  <c r="E1524" i="13"/>
  <c r="D1524" i="13"/>
  <c r="D1519" i="13"/>
  <c r="D1518" i="13"/>
  <c r="D1517" i="13"/>
  <c r="F1500" i="13"/>
  <c r="D1500" i="13"/>
  <c r="F1493" i="13"/>
  <c r="F1501" i="13" s="1"/>
  <c r="D1493" i="13"/>
  <c r="G1477" i="13" s="1"/>
  <c r="G1475" i="13"/>
  <c r="F1475" i="13"/>
  <c r="E1475" i="13"/>
  <c r="D1475" i="13"/>
  <c r="G1474" i="13"/>
  <c r="F1474" i="13"/>
  <c r="E1474" i="13"/>
  <c r="D1474" i="13"/>
  <c r="G1460" i="13"/>
  <c r="F1460" i="13"/>
  <c r="E1460" i="13"/>
  <c r="D1460" i="13"/>
  <c r="G1455" i="13"/>
  <c r="F1455" i="13"/>
  <c r="E1455" i="13"/>
  <c r="D1455" i="13"/>
  <c r="I1451" i="13"/>
  <c r="H1451" i="13"/>
  <c r="G1451" i="13"/>
  <c r="F1451" i="13"/>
  <c r="E1451" i="13"/>
  <c r="D1451" i="13"/>
  <c r="G1446" i="13"/>
  <c r="F1446" i="13"/>
  <c r="E1446" i="13"/>
  <c r="D1446" i="13"/>
  <c r="G1430" i="13"/>
  <c r="F1430" i="13"/>
  <c r="E1430" i="13"/>
  <c r="D1430" i="13"/>
  <c r="G1419" i="13"/>
  <c r="G1424" i="13" s="1"/>
  <c r="F1419" i="13"/>
  <c r="F1424" i="13" s="1"/>
  <c r="E1419" i="13"/>
  <c r="E1421" i="13" s="1"/>
  <c r="D1419" i="13"/>
  <c r="D1421" i="13" s="1"/>
  <c r="G1412" i="13"/>
  <c r="F1412" i="13"/>
  <c r="E1412" i="13"/>
  <c r="D1412" i="13"/>
  <c r="G1397" i="13"/>
  <c r="G1402" i="13" s="1"/>
  <c r="G1408" i="13" s="1"/>
  <c r="F1397" i="13"/>
  <c r="F1402" i="13" s="1"/>
  <c r="E1397" i="13"/>
  <c r="E1402" i="13" s="1"/>
  <c r="E1408" i="13" s="1"/>
  <c r="D1397" i="13"/>
  <c r="D1402" i="13" s="1"/>
  <c r="D1388" i="13"/>
  <c r="D1387" i="13"/>
  <c r="D1386" i="13"/>
  <c r="D1382" i="13"/>
  <c r="D1381" i="13"/>
  <c r="H1330" i="13" s="1"/>
  <c r="D1374" i="13"/>
  <c r="L1339" i="13"/>
  <c r="K1339" i="13"/>
  <c r="L1338" i="13"/>
  <c r="K1338" i="13"/>
  <c r="E1333" i="13"/>
  <c r="D1333" i="13"/>
  <c r="H1331" i="13"/>
  <c r="G1331" i="13"/>
  <c r="F1331" i="13"/>
  <c r="K1324" i="13"/>
  <c r="I1324" i="13"/>
  <c r="H1324" i="13"/>
  <c r="E1324" i="13"/>
  <c r="D1324" i="13"/>
  <c r="L1323" i="13"/>
  <c r="K1323" i="13"/>
  <c r="I1323" i="13"/>
  <c r="H1323" i="13"/>
  <c r="G1323" i="13"/>
  <c r="G1332" i="13" s="1"/>
  <c r="F1323" i="13"/>
  <c r="F1332" i="13" s="1"/>
  <c r="E1323" i="13"/>
  <c r="D1323" i="13"/>
  <c r="D1325" i="13" s="1"/>
  <c r="L1321" i="13"/>
  <c r="O1320" i="13"/>
  <c r="F1318" i="13" s="1"/>
  <c r="L1320" i="13"/>
  <c r="L1319" i="13"/>
  <c r="L1318" i="13"/>
  <c r="L1317" i="13"/>
  <c r="L1316" i="13"/>
  <c r="D1308" i="13"/>
  <c r="D1307" i="13"/>
  <c r="D1306" i="13"/>
  <c r="F1289" i="13"/>
  <c r="D1289" i="13"/>
  <c r="F1282" i="13"/>
  <c r="F1290" i="13" s="1"/>
  <c r="D1282" i="13"/>
  <c r="G1266" i="13" s="1"/>
  <c r="G1264" i="13"/>
  <c r="F1264" i="13"/>
  <c r="E1264" i="13"/>
  <c r="D1264" i="13"/>
  <c r="G1263" i="13"/>
  <c r="F1263" i="13"/>
  <c r="E1263" i="13"/>
  <c r="D1263" i="13"/>
  <c r="D1257" i="13"/>
  <c r="D1256" i="13"/>
  <c r="D1255" i="13"/>
  <c r="F1238" i="13"/>
  <c r="D1238" i="13"/>
  <c r="F1231" i="13"/>
  <c r="F1239" i="13" s="1"/>
  <c r="D1231" i="13"/>
  <c r="G1213" i="13"/>
  <c r="F1213" i="13"/>
  <c r="E1213" i="13"/>
  <c r="D1213" i="13"/>
  <c r="G1212" i="13"/>
  <c r="F1212" i="13"/>
  <c r="E1212" i="13"/>
  <c r="D1212" i="13"/>
  <c r="G1194" i="13"/>
  <c r="D1188" i="13"/>
  <c r="AH1157" i="13"/>
  <c r="AG1157" i="13"/>
  <c r="AF1157" i="13"/>
  <c r="AE1157" i="13"/>
  <c r="AD1157" i="13"/>
  <c r="AC1157" i="13"/>
  <c r="AB1157" i="13"/>
  <c r="AA1157" i="13"/>
  <c r="Z1157" i="13"/>
  <c r="Y1157" i="13"/>
  <c r="X1157" i="13"/>
  <c r="W1157" i="13"/>
  <c r="V1157" i="13"/>
  <c r="U1157" i="13"/>
  <c r="T1157" i="13"/>
  <c r="S1157" i="13"/>
  <c r="R1157" i="13"/>
  <c r="Q1157" i="13"/>
  <c r="P1157" i="13"/>
  <c r="O1157" i="13"/>
  <c r="N1157" i="13"/>
  <c r="M1157" i="13"/>
  <c r="L1157" i="13"/>
  <c r="K1157" i="13"/>
  <c r="J1157" i="13"/>
  <c r="I1157" i="13"/>
  <c r="H1157" i="13"/>
  <c r="G1157" i="13"/>
  <c r="F1157" i="13"/>
  <c r="E1157" i="13"/>
  <c r="D1157" i="13"/>
  <c r="AH1156" i="13"/>
  <c r="AG1156" i="13"/>
  <c r="AF1156" i="13"/>
  <c r="AE1156" i="13"/>
  <c r="AD1156" i="13"/>
  <c r="AC1156" i="13"/>
  <c r="AB1156" i="13"/>
  <c r="AA1156" i="13"/>
  <c r="Z1156" i="13"/>
  <c r="Y1156" i="13"/>
  <c r="X1156" i="13"/>
  <c r="W1156" i="13"/>
  <c r="V1156" i="13"/>
  <c r="U1156" i="13"/>
  <c r="T1156" i="13"/>
  <c r="S1156" i="13"/>
  <c r="R1156" i="13"/>
  <c r="Q1156" i="13"/>
  <c r="P1156" i="13"/>
  <c r="O1156" i="13"/>
  <c r="N1156" i="13"/>
  <c r="M1156" i="13"/>
  <c r="L1156" i="13"/>
  <c r="K1156" i="13"/>
  <c r="J1156" i="13"/>
  <c r="I1156" i="13"/>
  <c r="H1156" i="13"/>
  <c r="G1156" i="13"/>
  <c r="F1156" i="13"/>
  <c r="E1156" i="13"/>
  <c r="D1156" i="13"/>
  <c r="AE1161" i="13" s="1"/>
  <c r="AH1155" i="13"/>
  <c r="AG1155" i="13"/>
  <c r="AF1155" i="13"/>
  <c r="AE1155" i="13"/>
  <c r="AD1155" i="13"/>
  <c r="AC1155" i="13"/>
  <c r="AB1155" i="13"/>
  <c r="AA1155" i="13"/>
  <c r="Z1155" i="13"/>
  <c r="Y1155" i="13"/>
  <c r="X1155" i="13"/>
  <c r="W1155" i="13"/>
  <c r="V1155" i="13"/>
  <c r="U1155" i="13"/>
  <c r="T1155" i="13"/>
  <c r="S1155" i="13"/>
  <c r="R1155" i="13"/>
  <c r="Q1155" i="13"/>
  <c r="P1155" i="13"/>
  <c r="O1155" i="13"/>
  <c r="N1155" i="13"/>
  <c r="M1155" i="13"/>
  <c r="L1155" i="13"/>
  <c r="K1155" i="13"/>
  <c r="J1155" i="13"/>
  <c r="I1155" i="13"/>
  <c r="H1155" i="13"/>
  <c r="G1155" i="13"/>
  <c r="F1155" i="13"/>
  <c r="E1155" i="13"/>
  <c r="D1155" i="13"/>
  <c r="AH1154" i="13"/>
  <c r="AG1154" i="13"/>
  <c r="AF1154" i="13"/>
  <c r="AE1154" i="13"/>
  <c r="AD1154" i="13"/>
  <c r="AC1154" i="13"/>
  <c r="AB1154" i="13"/>
  <c r="AA1154" i="13"/>
  <c r="Z1154" i="13"/>
  <c r="Y1154" i="13"/>
  <c r="X1154" i="13"/>
  <c r="W1154" i="13"/>
  <c r="V1154" i="13"/>
  <c r="U1154" i="13"/>
  <c r="T1154" i="13"/>
  <c r="S1154" i="13"/>
  <c r="R1154" i="13"/>
  <c r="Q1154" i="13"/>
  <c r="P1154" i="13"/>
  <c r="O1154" i="13"/>
  <c r="N1154" i="13"/>
  <c r="M1154" i="13"/>
  <c r="L1154" i="13"/>
  <c r="K1154" i="13"/>
  <c r="J1154" i="13"/>
  <c r="I1154" i="13"/>
  <c r="H1154" i="13"/>
  <c r="G1154" i="13"/>
  <c r="F1154" i="13"/>
  <c r="E1154" i="13"/>
  <c r="D1154" i="13"/>
  <c r="AH1153" i="13"/>
  <c r="AG1153" i="13"/>
  <c r="AF1153" i="13"/>
  <c r="AE1153" i="13"/>
  <c r="AD1153" i="13"/>
  <c r="AC1153" i="13"/>
  <c r="AB1153" i="13"/>
  <c r="AA1153" i="13"/>
  <c r="Z1153" i="13"/>
  <c r="Y1153" i="13"/>
  <c r="X1153" i="13"/>
  <c r="W1153" i="13"/>
  <c r="V1153" i="13"/>
  <c r="U1153" i="13"/>
  <c r="T1153" i="13"/>
  <c r="S1153" i="13"/>
  <c r="R1153" i="13"/>
  <c r="Q1153" i="13"/>
  <c r="P1153" i="13"/>
  <c r="O1153" i="13"/>
  <c r="N1153" i="13"/>
  <c r="M1153" i="13"/>
  <c r="L1153" i="13"/>
  <c r="K1153" i="13"/>
  <c r="J1153" i="13"/>
  <c r="I1153" i="13"/>
  <c r="H1153" i="13"/>
  <c r="G1153" i="13"/>
  <c r="F1153" i="13"/>
  <c r="E1153" i="13"/>
  <c r="D1153" i="13"/>
  <c r="AH1152" i="13"/>
  <c r="AG1152" i="13"/>
  <c r="AF1152" i="13"/>
  <c r="AE1152" i="13"/>
  <c r="AD1152" i="13"/>
  <c r="AC1152" i="13"/>
  <c r="AB1152" i="13"/>
  <c r="AA1152" i="13"/>
  <c r="Z1152" i="13"/>
  <c r="Y1152" i="13"/>
  <c r="X1152" i="13"/>
  <c r="W1152" i="13"/>
  <c r="V1152" i="13"/>
  <c r="U1152" i="13"/>
  <c r="T1152" i="13"/>
  <c r="S1152" i="13"/>
  <c r="R1152" i="13"/>
  <c r="Q1152" i="13"/>
  <c r="P1152" i="13"/>
  <c r="O1152" i="13"/>
  <c r="N1152" i="13"/>
  <c r="M1152" i="13"/>
  <c r="L1152" i="13"/>
  <c r="K1152" i="13"/>
  <c r="J1152" i="13"/>
  <c r="I1152" i="13"/>
  <c r="H1152" i="13"/>
  <c r="G1152" i="13"/>
  <c r="F1152" i="13"/>
  <c r="E1152" i="13"/>
  <c r="D1152" i="13"/>
  <c r="AH1151" i="13"/>
  <c r="AG1151" i="13"/>
  <c r="AF1151" i="13"/>
  <c r="AE1151" i="13"/>
  <c r="AD1151" i="13"/>
  <c r="AC1151" i="13"/>
  <c r="AB1151" i="13"/>
  <c r="AA1151" i="13"/>
  <c r="Z1151" i="13"/>
  <c r="Y1151" i="13"/>
  <c r="X1151" i="13"/>
  <c r="W1151" i="13"/>
  <c r="V1151" i="13"/>
  <c r="U1151" i="13"/>
  <c r="T1151" i="13"/>
  <c r="S1151" i="13"/>
  <c r="R1151" i="13"/>
  <c r="Q1151" i="13"/>
  <c r="P1151" i="13"/>
  <c r="O1151" i="13"/>
  <c r="N1151" i="13"/>
  <c r="M1151" i="13"/>
  <c r="L1151" i="13"/>
  <c r="K1151" i="13"/>
  <c r="J1151" i="13"/>
  <c r="I1151" i="13"/>
  <c r="H1151" i="13"/>
  <c r="G1151" i="13"/>
  <c r="F1151" i="13"/>
  <c r="E1151" i="13"/>
  <c r="D1151" i="13"/>
  <c r="Q1160" i="13" s="1"/>
  <c r="AI1138" i="13"/>
  <c r="AH1138" i="13"/>
  <c r="AG1138" i="13"/>
  <c r="AF1138" i="13"/>
  <c r="AE1138" i="13"/>
  <c r="AD1138" i="13"/>
  <c r="AC1138" i="13"/>
  <c r="AB1138" i="13"/>
  <c r="AA1138" i="13"/>
  <c r="Z1138" i="13"/>
  <c r="Y1138" i="13"/>
  <c r="X1138" i="13"/>
  <c r="W1138" i="13"/>
  <c r="V1138" i="13"/>
  <c r="U1138" i="13"/>
  <c r="T1138" i="13"/>
  <c r="S1138" i="13"/>
  <c r="R1138" i="13"/>
  <c r="Q1138" i="13"/>
  <c r="P1138" i="13"/>
  <c r="O1138" i="13"/>
  <c r="N1138" i="13"/>
  <c r="M1138" i="13"/>
  <c r="L1138" i="13"/>
  <c r="K1138" i="13"/>
  <c r="J1138" i="13"/>
  <c r="I1138" i="13"/>
  <c r="H1138" i="13"/>
  <c r="G1138" i="13"/>
  <c r="F1138" i="13"/>
  <c r="E1138" i="13"/>
  <c r="D1138" i="13"/>
  <c r="AI1137" i="13"/>
  <c r="AH1137" i="13"/>
  <c r="AG1137" i="13"/>
  <c r="AF1137" i="13"/>
  <c r="AE1137" i="13"/>
  <c r="AD1137" i="13"/>
  <c r="AC1137" i="13"/>
  <c r="AB1137" i="13"/>
  <c r="AA1137" i="13"/>
  <c r="Z1137" i="13"/>
  <c r="Y1137" i="13"/>
  <c r="X1137" i="13"/>
  <c r="W1137" i="13"/>
  <c r="V1137" i="13"/>
  <c r="U1137" i="13"/>
  <c r="T1137" i="13"/>
  <c r="S1137" i="13"/>
  <c r="R1137" i="13"/>
  <c r="Q1137" i="13"/>
  <c r="P1137" i="13"/>
  <c r="O1137" i="13"/>
  <c r="N1137" i="13"/>
  <c r="M1137" i="13"/>
  <c r="L1137" i="13"/>
  <c r="K1137" i="13"/>
  <c r="J1137" i="13"/>
  <c r="I1137" i="13"/>
  <c r="H1137" i="13"/>
  <c r="G1137" i="13"/>
  <c r="F1137" i="13"/>
  <c r="E1137" i="13"/>
  <c r="D1137" i="13"/>
  <c r="AI1136" i="13"/>
  <c r="AH1136" i="13"/>
  <c r="AG1136" i="13"/>
  <c r="AF1136" i="13"/>
  <c r="AE1136" i="13"/>
  <c r="AD1136" i="13"/>
  <c r="AC1136" i="13"/>
  <c r="AB1136" i="13"/>
  <c r="AA1136" i="13"/>
  <c r="Z1136" i="13"/>
  <c r="Y1136" i="13"/>
  <c r="X1136" i="13"/>
  <c r="W1136" i="13"/>
  <c r="V1136" i="13"/>
  <c r="U1136" i="13"/>
  <c r="T1136" i="13"/>
  <c r="S1136" i="13"/>
  <c r="R1136" i="13"/>
  <c r="Q1136" i="13"/>
  <c r="P1136" i="13"/>
  <c r="O1136" i="13"/>
  <c r="N1136" i="13"/>
  <c r="M1136" i="13"/>
  <c r="L1136" i="13"/>
  <c r="K1136" i="13"/>
  <c r="J1136" i="13"/>
  <c r="I1136" i="13"/>
  <c r="H1136" i="13"/>
  <c r="G1136" i="13"/>
  <c r="F1136" i="13"/>
  <c r="E1136" i="13"/>
  <c r="D1136" i="13"/>
  <c r="AI1135" i="13"/>
  <c r="AH1135" i="13"/>
  <c r="AG1135" i="13"/>
  <c r="AF1135" i="13"/>
  <c r="AE1135" i="13"/>
  <c r="AD1135" i="13"/>
  <c r="AC1135" i="13"/>
  <c r="AB1135" i="13"/>
  <c r="AA1135" i="13"/>
  <c r="Z1135" i="13"/>
  <c r="Y1135" i="13"/>
  <c r="X1135" i="13"/>
  <c r="W1135" i="13"/>
  <c r="V1135" i="13"/>
  <c r="U1135" i="13"/>
  <c r="T1135" i="13"/>
  <c r="S1135" i="13"/>
  <c r="R1135" i="13"/>
  <c r="Q1135" i="13"/>
  <c r="P1135" i="13"/>
  <c r="O1135" i="13"/>
  <c r="N1135" i="13"/>
  <c r="M1135" i="13"/>
  <c r="L1135" i="13"/>
  <c r="K1135" i="13"/>
  <c r="J1135" i="13"/>
  <c r="I1135" i="13"/>
  <c r="H1135" i="13"/>
  <c r="G1135" i="13"/>
  <c r="F1135" i="13"/>
  <c r="E1135" i="13"/>
  <c r="D1135" i="13"/>
  <c r="AI1134" i="13"/>
  <c r="AH1134" i="13"/>
  <c r="AG1134" i="13"/>
  <c r="AF1134" i="13"/>
  <c r="AE1134" i="13"/>
  <c r="AD1134" i="13"/>
  <c r="AC1134" i="13"/>
  <c r="AB1134" i="13"/>
  <c r="AA1134" i="13"/>
  <c r="Z1134" i="13"/>
  <c r="Y1134" i="13"/>
  <c r="X1134" i="13"/>
  <c r="W1134" i="13"/>
  <c r="V1134" i="13"/>
  <c r="U1134" i="13"/>
  <c r="T1134" i="13"/>
  <c r="S1134" i="13"/>
  <c r="R1134" i="13"/>
  <c r="Q1134" i="13"/>
  <c r="P1134" i="13"/>
  <c r="O1134" i="13"/>
  <c r="N1134" i="13"/>
  <c r="M1134" i="13"/>
  <c r="L1134" i="13"/>
  <c r="K1134" i="13"/>
  <c r="J1134" i="13"/>
  <c r="I1134" i="13"/>
  <c r="H1134" i="13"/>
  <c r="G1134" i="13"/>
  <c r="F1134" i="13"/>
  <c r="E1134" i="13"/>
  <c r="D1134" i="13"/>
  <c r="AI1133" i="13"/>
  <c r="AH1133" i="13"/>
  <c r="AG1133" i="13"/>
  <c r="AF1133" i="13"/>
  <c r="AE1133" i="13"/>
  <c r="AD1133" i="13"/>
  <c r="AC1133" i="13"/>
  <c r="AB1133" i="13"/>
  <c r="AA1133" i="13"/>
  <c r="Z1133" i="13"/>
  <c r="Y1133" i="13"/>
  <c r="X1133" i="13"/>
  <c r="W1133" i="13"/>
  <c r="V1133" i="13"/>
  <c r="U1133" i="13"/>
  <c r="T1133" i="13"/>
  <c r="S1133" i="13"/>
  <c r="R1133" i="13"/>
  <c r="Q1133" i="13"/>
  <c r="P1133" i="13"/>
  <c r="O1133" i="13"/>
  <c r="N1133" i="13"/>
  <c r="M1133" i="13"/>
  <c r="L1133" i="13"/>
  <c r="K1133" i="13"/>
  <c r="J1133" i="13"/>
  <c r="I1133" i="13"/>
  <c r="H1133" i="13"/>
  <c r="G1133" i="13"/>
  <c r="F1133" i="13"/>
  <c r="E1133" i="13"/>
  <c r="D1133" i="13"/>
  <c r="AI1132" i="13"/>
  <c r="AH1132" i="13"/>
  <c r="AG1132" i="13"/>
  <c r="AF1132" i="13"/>
  <c r="AE1132" i="13"/>
  <c r="AD1132" i="13"/>
  <c r="AC1132" i="13"/>
  <c r="AB1132" i="13"/>
  <c r="AA1132" i="13"/>
  <c r="Z1132" i="13"/>
  <c r="Y1132" i="13"/>
  <c r="X1132" i="13"/>
  <c r="W1132" i="13"/>
  <c r="V1132" i="13"/>
  <c r="U1132" i="13"/>
  <c r="T1132" i="13"/>
  <c r="S1132" i="13"/>
  <c r="R1132" i="13"/>
  <c r="Q1132" i="13"/>
  <c r="P1132" i="13"/>
  <c r="O1132" i="13"/>
  <c r="N1132" i="13"/>
  <c r="M1132" i="13"/>
  <c r="L1132" i="13"/>
  <c r="K1132" i="13"/>
  <c r="J1132" i="13"/>
  <c r="I1132" i="13"/>
  <c r="H1132" i="13"/>
  <c r="G1132" i="13"/>
  <c r="F1132" i="13"/>
  <c r="E1132" i="13"/>
  <c r="D1132" i="13"/>
  <c r="AI1131" i="13"/>
  <c r="AH1131" i="13"/>
  <c r="AG1131" i="13"/>
  <c r="AF1131" i="13"/>
  <c r="AE1131" i="13"/>
  <c r="AD1131" i="13"/>
  <c r="AC1131" i="13"/>
  <c r="AB1131" i="13"/>
  <c r="AA1131" i="13"/>
  <c r="Z1131" i="13"/>
  <c r="Y1131" i="13"/>
  <c r="X1131" i="13"/>
  <c r="W1131" i="13"/>
  <c r="V1131" i="13"/>
  <c r="U1131" i="13"/>
  <c r="T1131" i="13"/>
  <c r="S1131" i="13"/>
  <c r="R1131" i="13"/>
  <c r="Q1131" i="13"/>
  <c r="P1131" i="13"/>
  <c r="O1131" i="13"/>
  <c r="N1131" i="13"/>
  <c r="M1131" i="13"/>
  <c r="L1131" i="13"/>
  <c r="K1131" i="13"/>
  <c r="J1131" i="13"/>
  <c r="I1131" i="13"/>
  <c r="H1131" i="13"/>
  <c r="G1131" i="13"/>
  <c r="F1131" i="13"/>
  <c r="E1131" i="13"/>
  <c r="D1131" i="13"/>
  <c r="AI1130" i="13"/>
  <c r="AH1130" i="13"/>
  <c r="AG1130" i="13"/>
  <c r="AF1130" i="13"/>
  <c r="AE1130" i="13"/>
  <c r="AD1130" i="13"/>
  <c r="AC1130" i="13"/>
  <c r="AB1130" i="13"/>
  <c r="AA1130" i="13"/>
  <c r="Z1130" i="13"/>
  <c r="Y1130" i="13"/>
  <c r="X1130" i="13"/>
  <c r="W1130" i="13"/>
  <c r="V1130" i="13"/>
  <c r="U1130" i="13"/>
  <c r="T1130" i="13"/>
  <c r="S1130" i="13"/>
  <c r="R1130" i="13"/>
  <c r="Q1130" i="13"/>
  <c r="P1130" i="13"/>
  <c r="O1130" i="13"/>
  <c r="N1130" i="13"/>
  <c r="M1130" i="13"/>
  <c r="L1130" i="13"/>
  <c r="K1130" i="13"/>
  <c r="J1130" i="13"/>
  <c r="I1130" i="13"/>
  <c r="H1130" i="13"/>
  <c r="G1130" i="13"/>
  <c r="F1130" i="13"/>
  <c r="E1130" i="13"/>
  <c r="D1130" i="13"/>
  <c r="AI1129" i="13"/>
  <c r="AH1129" i="13"/>
  <c r="AG1129" i="13"/>
  <c r="AF1129" i="13"/>
  <c r="AE1129" i="13"/>
  <c r="AD1129" i="13"/>
  <c r="AC1129" i="13"/>
  <c r="AB1129" i="13"/>
  <c r="AA1129" i="13"/>
  <c r="Z1129" i="13"/>
  <c r="Y1129" i="13"/>
  <c r="X1129" i="13"/>
  <c r="W1129" i="13"/>
  <c r="V1129" i="13"/>
  <c r="U1129" i="13"/>
  <c r="T1129" i="13"/>
  <c r="S1129" i="13"/>
  <c r="R1129" i="13"/>
  <c r="Q1129" i="13"/>
  <c r="P1129" i="13"/>
  <c r="O1129" i="13"/>
  <c r="N1129" i="13"/>
  <c r="M1129" i="13"/>
  <c r="L1129" i="13"/>
  <c r="K1129" i="13"/>
  <c r="J1129" i="13"/>
  <c r="I1129" i="13"/>
  <c r="H1129" i="13"/>
  <c r="G1129" i="13"/>
  <c r="F1129" i="13"/>
  <c r="E1129" i="13"/>
  <c r="D1129" i="13"/>
  <c r="AI1128" i="13"/>
  <c r="AH1128" i="13"/>
  <c r="AG1128" i="13"/>
  <c r="AF1128" i="13"/>
  <c r="AE1128" i="13"/>
  <c r="AD1128" i="13"/>
  <c r="AC1128" i="13"/>
  <c r="AB1128" i="13"/>
  <c r="AA1128" i="13"/>
  <c r="Z1128" i="13"/>
  <c r="Y1128" i="13"/>
  <c r="X1128" i="13"/>
  <c r="W1128" i="13"/>
  <c r="V1128" i="13"/>
  <c r="U1128" i="13"/>
  <c r="T1128" i="13"/>
  <c r="S1128" i="13"/>
  <c r="R1128" i="13"/>
  <c r="Q1128" i="13"/>
  <c r="P1128" i="13"/>
  <c r="O1128" i="13"/>
  <c r="N1128" i="13"/>
  <c r="M1128" i="13"/>
  <c r="L1128" i="13"/>
  <c r="K1128" i="13"/>
  <c r="J1128" i="13"/>
  <c r="I1128" i="13"/>
  <c r="H1128" i="13"/>
  <c r="G1128" i="13"/>
  <c r="F1128" i="13"/>
  <c r="E1128" i="13"/>
  <c r="D1128" i="13"/>
  <c r="AI1127" i="13"/>
  <c r="AH1127" i="13"/>
  <c r="AG1127" i="13"/>
  <c r="AF1127" i="13"/>
  <c r="AE1127" i="13"/>
  <c r="AD1127" i="13"/>
  <c r="AC1127" i="13"/>
  <c r="AB1127" i="13"/>
  <c r="AA1127" i="13"/>
  <c r="Z1127" i="13"/>
  <c r="Y1127" i="13"/>
  <c r="X1127" i="13"/>
  <c r="W1127" i="13"/>
  <c r="V1127" i="13"/>
  <c r="U1127" i="13"/>
  <c r="T1127" i="13"/>
  <c r="S1127" i="13"/>
  <c r="R1127" i="13"/>
  <c r="Q1127" i="13"/>
  <c r="P1127" i="13"/>
  <c r="O1127" i="13"/>
  <c r="N1127" i="13"/>
  <c r="M1127" i="13"/>
  <c r="L1127" i="13"/>
  <c r="K1127" i="13"/>
  <c r="J1127" i="13"/>
  <c r="I1127" i="13"/>
  <c r="H1127" i="13"/>
  <c r="G1127" i="13"/>
  <c r="F1127" i="13"/>
  <c r="E1127" i="13"/>
  <c r="D1127" i="13"/>
  <c r="AI1126" i="13"/>
  <c r="AH1126" i="13"/>
  <c r="AG1126" i="13"/>
  <c r="AF1126" i="13"/>
  <c r="AE1126" i="13"/>
  <c r="AD1126" i="13"/>
  <c r="AC1126" i="13"/>
  <c r="AB1126" i="13"/>
  <c r="AA1126" i="13"/>
  <c r="Z1126" i="13"/>
  <c r="Y1126" i="13"/>
  <c r="X1126" i="13"/>
  <c r="W1126" i="13"/>
  <c r="V1126" i="13"/>
  <c r="U1126" i="13"/>
  <c r="T1126" i="13"/>
  <c r="S1126" i="13"/>
  <c r="R1126" i="13"/>
  <c r="Q1126" i="13"/>
  <c r="P1126" i="13"/>
  <c r="O1126" i="13"/>
  <c r="N1126" i="13"/>
  <c r="M1126" i="13"/>
  <c r="L1126" i="13"/>
  <c r="K1126" i="13"/>
  <c r="J1126" i="13"/>
  <c r="I1126" i="13"/>
  <c r="H1126" i="13"/>
  <c r="G1126" i="13"/>
  <c r="F1126" i="13"/>
  <c r="E1126" i="13"/>
  <c r="D1126" i="13"/>
  <c r="AI1121" i="13"/>
  <c r="AH1121" i="13"/>
  <c r="AG1121" i="13"/>
  <c r="AF1121" i="13"/>
  <c r="AE1121" i="13"/>
  <c r="AD1121" i="13"/>
  <c r="AC1121" i="13"/>
  <c r="AB1121" i="13"/>
  <c r="AA1121" i="13"/>
  <c r="Z1121" i="13"/>
  <c r="Y1121" i="13"/>
  <c r="X1121" i="13"/>
  <c r="W1121" i="13"/>
  <c r="V1121" i="13"/>
  <c r="U1121" i="13"/>
  <c r="T1121" i="13"/>
  <c r="S1121" i="13"/>
  <c r="R1121" i="13"/>
  <c r="Q1121" i="13"/>
  <c r="P1121" i="13"/>
  <c r="O1121" i="13"/>
  <c r="N1121" i="13"/>
  <c r="M1121" i="13"/>
  <c r="L1121" i="13"/>
  <c r="K1121" i="13"/>
  <c r="J1121" i="13"/>
  <c r="I1121" i="13"/>
  <c r="H1121" i="13"/>
  <c r="G1121" i="13"/>
  <c r="F1121" i="13"/>
  <c r="E1121" i="13"/>
  <c r="D1121" i="13"/>
  <c r="AI1120" i="13"/>
  <c r="AH1120" i="13"/>
  <c r="AG1120" i="13"/>
  <c r="AF1120" i="13"/>
  <c r="AE1120" i="13"/>
  <c r="AD1120" i="13"/>
  <c r="AC1120" i="13"/>
  <c r="AB1120" i="13"/>
  <c r="AA1120" i="13"/>
  <c r="Z1120" i="13"/>
  <c r="Y1120" i="13"/>
  <c r="X1120" i="13"/>
  <c r="W1120" i="13"/>
  <c r="V1120" i="13"/>
  <c r="U1120" i="13"/>
  <c r="T1120" i="13"/>
  <c r="S1120" i="13"/>
  <c r="R1120" i="13"/>
  <c r="Q1120" i="13"/>
  <c r="P1120" i="13"/>
  <c r="O1120" i="13"/>
  <c r="N1120" i="13"/>
  <c r="M1120" i="13"/>
  <c r="L1120" i="13"/>
  <c r="K1120" i="13"/>
  <c r="J1120" i="13"/>
  <c r="I1120" i="13"/>
  <c r="H1120" i="13"/>
  <c r="G1120" i="13"/>
  <c r="F1120" i="13"/>
  <c r="E1120" i="13"/>
  <c r="D1120" i="13"/>
  <c r="AI1119" i="13"/>
  <c r="AH1119" i="13"/>
  <c r="AG1119" i="13"/>
  <c r="AF1119" i="13"/>
  <c r="AE1119" i="13"/>
  <c r="AD1119" i="13"/>
  <c r="AC1119" i="13"/>
  <c r="AB1119" i="13"/>
  <c r="AA1119" i="13"/>
  <c r="Z1119" i="13"/>
  <c r="Y1119" i="13"/>
  <c r="X1119" i="13"/>
  <c r="W1119" i="13"/>
  <c r="V1119" i="13"/>
  <c r="U1119" i="13"/>
  <c r="T1119" i="13"/>
  <c r="S1119" i="13"/>
  <c r="R1119" i="13"/>
  <c r="Q1119" i="13"/>
  <c r="P1119" i="13"/>
  <c r="O1119" i="13"/>
  <c r="N1119" i="13"/>
  <c r="M1119" i="13"/>
  <c r="L1119" i="13"/>
  <c r="K1119" i="13"/>
  <c r="J1119" i="13"/>
  <c r="I1119" i="13"/>
  <c r="H1119" i="13"/>
  <c r="G1119" i="13"/>
  <c r="F1119" i="13"/>
  <c r="E1119" i="13"/>
  <c r="D1119" i="13"/>
  <c r="AI1118" i="13"/>
  <c r="AH1118" i="13"/>
  <c r="AG1118" i="13"/>
  <c r="AF1118" i="13"/>
  <c r="AE1118" i="13"/>
  <c r="AD1118" i="13"/>
  <c r="AC1118" i="13"/>
  <c r="AB1118" i="13"/>
  <c r="AA1118" i="13"/>
  <c r="Z1118" i="13"/>
  <c r="Y1118" i="13"/>
  <c r="X1118" i="13"/>
  <c r="W1118" i="13"/>
  <c r="V1118" i="13"/>
  <c r="U1118" i="13"/>
  <c r="T1118" i="13"/>
  <c r="S1118" i="13"/>
  <c r="R1118" i="13"/>
  <c r="Q1118" i="13"/>
  <c r="P1118" i="13"/>
  <c r="O1118" i="13"/>
  <c r="N1118" i="13"/>
  <c r="M1118" i="13"/>
  <c r="L1118" i="13"/>
  <c r="K1118" i="13"/>
  <c r="J1118" i="13"/>
  <c r="I1118" i="13"/>
  <c r="H1118" i="13"/>
  <c r="G1118" i="13"/>
  <c r="F1118" i="13"/>
  <c r="E1118" i="13"/>
  <c r="D1118" i="13"/>
  <c r="AI1117" i="13"/>
  <c r="AH1117" i="13"/>
  <c r="AG1117" i="13"/>
  <c r="AF1117" i="13"/>
  <c r="AE1117" i="13"/>
  <c r="AD1117" i="13"/>
  <c r="AC1117" i="13"/>
  <c r="AB1117" i="13"/>
  <c r="AA1117" i="13"/>
  <c r="Z1117" i="13"/>
  <c r="Y1117" i="13"/>
  <c r="X1117" i="13"/>
  <c r="W1117" i="13"/>
  <c r="V1117" i="13"/>
  <c r="U1117" i="13"/>
  <c r="T1117" i="13"/>
  <c r="S1117" i="13"/>
  <c r="R1117" i="13"/>
  <c r="Q1117" i="13"/>
  <c r="P1117" i="13"/>
  <c r="O1117" i="13"/>
  <c r="N1117" i="13"/>
  <c r="M1117" i="13"/>
  <c r="L1117" i="13"/>
  <c r="K1117" i="13"/>
  <c r="J1117" i="13"/>
  <c r="I1117" i="13"/>
  <c r="H1117" i="13"/>
  <c r="G1117" i="13"/>
  <c r="F1117" i="13"/>
  <c r="E1117" i="13"/>
  <c r="D1117" i="13"/>
  <c r="AI1116" i="13"/>
  <c r="AH1116" i="13"/>
  <c r="AG1116" i="13"/>
  <c r="AF1116" i="13"/>
  <c r="AE1116" i="13"/>
  <c r="AD1116" i="13"/>
  <c r="AC1116" i="13"/>
  <c r="AB1116" i="13"/>
  <c r="AA1116" i="13"/>
  <c r="Z1116" i="13"/>
  <c r="Y1116" i="13"/>
  <c r="X1116" i="13"/>
  <c r="W1116" i="13"/>
  <c r="V1116" i="13"/>
  <c r="U1116" i="13"/>
  <c r="T1116" i="13"/>
  <c r="S1116" i="13"/>
  <c r="R1116" i="13"/>
  <c r="Q1116" i="13"/>
  <c r="P1116" i="13"/>
  <c r="O1116" i="13"/>
  <c r="N1116" i="13"/>
  <c r="M1116" i="13"/>
  <c r="L1116" i="13"/>
  <c r="K1116" i="13"/>
  <c r="J1116" i="13"/>
  <c r="I1116" i="13"/>
  <c r="H1116" i="13"/>
  <c r="G1116" i="13"/>
  <c r="F1116" i="13"/>
  <c r="E1116" i="13"/>
  <c r="D1116" i="13"/>
  <c r="AI1115" i="13"/>
  <c r="AH1115" i="13"/>
  <c r="AG1115" i="13"/>
  <c r="AF1115" i="13"/>
  <c r="AE1115" i="13"/>
  <c r="AD1115" i="13"/>
  <c r="AC1115" i="13"/>
  <c r="AB1115" i="13"/>
  <c r="AA1115" i="13"/>
  <c r="Z1115" i="13"/>
  <c r="Y1115" i="13"/>
  <c r="X1115" i="13"/>
  <c r="W1115" i="13"/>
  <c r="V1115" i="13"/>
  <c r="U1115" i="13"/>
  <c r="T1115" i="13"/>
  <c r="S1115" i="13"/>
  <c r="R1115" i="13"/>
  <c r="Q1115" i="13"/>
  <c r="P1115" i="13"/>
  <c r="O1115" i="13"/>
  <c r="N1115" i="13"/>
  <c r="M1115" i="13"/>
  <c r="L1115" i="13"/>
  <c r="K1115" i="13"/>
  <c r="J1115" i="13"/>
  <c r="I1115" i="13"/>
  <c r="H1115" i="13"/>
  <c r="G1115" i="13"/>
  <c r="F1115" i="13"/>
  <c r="E1115" i="13"/>
  <c r="D1115" i="13"/>
  <c r="AI1114" i="13"/>
  <c r="AH1114" i="13"/>
  <c r="AG1114" i="13"/>
  <c r="AF1114" i="13"/>
  <c r="AE1114" i="13"/>
  <c r="AD1114" i="13"/>
  <c r="AC1114" i="13"/>
  <c r="AB1114" i="13"/>
  <c r="AA1114" i="13"/>
  <c r="Z1114" i="13"/>
  <c r="Y1114" i="13"/>
  <c r="X1114" i="13"/>
  <c r="W1114" i="13"/>
  <c r="V1114" i="13"/>
  <c r="U1114" i="13"/>
  <c r="T1114" i="13"/>
  <c r="S1114" i="13"/>
  <c r="R1114" i="13"/>
  <c r="Q1114" i="13"/>
  <c r="P1114" i="13"/>
  <c r="O1114" i="13"/>
  <c r="N1114" i="13"/>
  <c r="M1114" i="13"/>
  <c r="L1114" i="13"/>
  <c r="K1114" i="13"/>
  <c r="J1114" i="13"/>
  <c r="I1114" i="13"/>
  <c r="H1114" i="13"/>
  <c r="G1114" i="13"/>
  <c r="F1114" i="13"/>
  <c r="E1114" i="13"/>
  <c r="D1114" i="13"/>
  <c r="AI1113" i="13"/>
  <c r="AH1113" i="13"/>
  <c r="AG1113" i="13"/>
  <c r="AF1113" i="13"/>
  <c r="AE1113" i="13"/>
  <c r="AD1113" i="13"/>
  <c r="AC1113" i="13"/>
  <c r="AB1113" i="13"/>
  <c r="AA1113" i="13"/>
  <c r="Z1113" i="13"/>
  <c r="Y1113" i="13"/>
  <c r="X1113" i="13"/>
  <c r="W1113" i="13"/>
  <c r="V1113" i="13"/>
  <c r="U1113" i="13"/>
  <c r="T1113" i="13"/>
  <c r="S1113" i="13"/>
  <c r="R1113" i="13"/>
  <c r="Q1113" i="13"/>
  <c r="P1113" i="13"/>
  <c r="O1113" i="13"/>
  <c r="N1113" i="13"/>
  <c r="M1113" i="13"/>
  <c r="L1113" i="13"/>
  <c r="K1113" i="13"/>
  <c r="J1113" i="13"/>
  <c r="I1113" i="13"/>
  <c r="H1113" i="13"/>
  <c r="G1113" i="13"/>
  <c r="F1113" i="13"/>
  <c r="E1113" i="13"/>
  <c r="D1113" i="13"/>
  <c r="AI1112" i="13"/>
  <c r="AH1112" i="13"/>
  <c r="AG1112" i="13"/>
  <c r="AF1112" i="13"/>
  <c r="AE1112" i="13"/>
  <c r="AD1112" i="13"/>
  <c r="AC1112" i="13"/>
  <c r="AB1112" i="13"/>
  <c r="AA1112" i="13"/>
  <c r="Z1112" i="13"/>
  <c r="Y1112" i="13"/>
  <c r="X1112" i="13"/>
  <c r="W1112" i="13"/>
  <c r="V1112" i="13"/>
  <c r="U1112" i="13"/>
  <c r="T1112" i="13"/>
  <c r="S1112" i="13"/>
  <c r="R1112" i="13"/>
  <c r="Q1112" i="13"/>
  <c r="P1112" i="13"/>
  <c r="O1112" i="13"/>
  <c r="N1112" i="13"/>
  <c r="M1112" i="13"/>
  <c r="L1112" i="13"/>
  <c r="K1112" i="13"/>
  <c r="J1112" i="13"/>
  <c r="I1112" i="13"/>
  <c r="H1112" i="13"/>
  <c r="G1112" i="13"/>
  <c r="F1112" i="13"/>
  <c r="E1112" i="13"/>
  <c r="D1112" i="13"/>
  <c r="AI1111" i="13"/>
  <c r="AH1111" i="13"/>
  <c r="AG1111" i="13"/>
  <c r="AF1111" i="13"/>
  <c r="AE1111" i="13"/>
  <c r="AD1111" i="13"/>
  <c r="AC1111" i="13"/>
  <c r="AB1111" i="13"/>
  <c r="AA1111" i="13"/>
  <c r="Z1111" i="13"/>
  <c r="Y1111" i="13"/>
  <c r="X1111" i="13"/>
  <c r="W1111" i="13"/>
  <c r="V1111" i="13"/>
  <c r="U1111" i="13"/>
  <c r="T1111" i="13"/>
  <c r="S1111" i="13"/>
  <c r="R1111" i="13"/>
  <c r="Q1111" i="13"/>
  <c r="P1111" i="13"/>
  <c r="O1111" i="13"/>
  <c r="N1111" i="13"/>
  <c r="M1111" i="13"/>
  <c r="L1111" i="13"/>
  <c r="K1111" i="13"/>
  <c r="J1111" i="13"/>
  <c r="I1111" i="13"/>
  <c r="H1111" i="13"/>
  <c r="G1111" i="13"/>
  <c r="F1111" i="13"/>
  <c r="E1111" i="13"/>
  <c r="D1111" i="13"/>
  <c r="R1103" i="13"/>
  <c r="Q1103" i="13"/>
  <c r="P1103" i="13"/>
  <c r="O1103" i="13"/>
  <c r="N1103" i="13"/>
  <c r="M1103" i="13"/>
  <c r="K1103" i="13"/>
  <c r="J1103" i="13"/>
  <c r="I1103" i="13"/>
  <c r="H1103" i="13"/>
  <c r="G1103" i="13"/>
  <c r="F1103" i="13"/>
  <c r="E1103" i="13"/>
  <c r="D1103" i="13"/>
  <c r="D1065" i="13"/>
  <c r="D1067" i="13" s="1"/>
  <c r="D1064" i="13"/>
  <c r="D1063" i="13"/>
  <c r="D1062" i="13"/>
  <c r="D1061" i="13"/>
  <c r="D1054" i="13"/>
  <c r="D1051" i="13"/>
  <c r="L1047" i="13"/>
  <c r="K1047" i="13"/>
  <c r="L1046" i="13"/>
  <c r="K1046" i="13"/>
  <c r="L1045" i="13"/>
  <c r="K1045" i="13"/>
  <c r="L1044" i="13"/>
  <c r="K1044" i="13"/>
  <c r="E1044" i="13"/>
  <c r="J1044" i="13" s="1"/>
  <c r="L1043" i="13"/>
  <c r="K1043" i="13"/>
  <c r="E1043" i="13"/>
  <c r="J1043" i="13" s="1"/>
  <c r="L1042" i="13"/>
  <c r="K1042" i="13"/>
  <c r="E1042" i="13"/>
  <c r="J1042" i="13" s="1"/>
  <c r="D1021" i="13"/>
  <c r="D1019" i="13"/>
  <c r="D1018" i="13"/>
  <c r="D1017" i="13"/>
  <c r="D1014" i="13"/>
  <c r="D1013" i="13"/>
  <c r="D1007" i="13"/>
  <c r="D1006" i="13"/>
  <c r="D1001" i="13"/>
  <c r="D1000" i="13"/>
  <c r="I988" i="13"/>
  <c r="H987" i="13"/>
  <c r="I987" i="13" s="1"/>
  <c r="I983" i="13"/>
  <c r="H982" i="13"/>
  <c r="I982" i="13" s="1"/>
  <c r="I978" i="13"/>
  <c r="H977" i="13"/>
  <c r="I977" i="13" s="1"/>
  <c r="I973" i="13"/>
  <c r="H972" i="13"/>
  <c r="I972" i="13" s="1"/>
  <c r="I968" i="13"/>
  <c r="H967" i="13"/>
  <c r="I967" i="13" s="1"/>
  <c r="I963" i="13"/>
  <c r="H962" i="13"/>
  <c r="I962" i="13" s="1"/>
  <c r="I958" i="13"/>
  <c r="H957" i="13"/>
  <c r="I957" i="13" s="1"/>
  <c r="K925" i="13"/>
  <c r="H925" i="13" s="1"/>
  <c r="K924" i="13"/>
  <c r="H924" i="13" s="1"/>
  <c r="K923" i="13"/>
  <c r="H923" i="13" s="1"/>
  <c r="K922" i="13"/>
  <c r="H922" i="13" s="1"/>
  <c r="K921" i="13"/>
  <c r="H921" i="13" s="1"/>
  <c r="K920" i="13"/>
  <c r="H920" i="13" s="1"/>
  <c r="K919" i="13"/>
  <c r="K918" i="13"/>
  <c r="H918" i="13" s="1"/>
  <c r="K917" i="13"/>
  <c r="H917" i="13" s="1"/>
  <c r="K916" i="13"/>
  <c r="H916" i="13" s="1"/>
  <c r="K915" i="13"/>
  <c r="H915" i="13" s="1"/>
  <c r="K914" i="13"/>
  <c r="H914" i="13" s="1"/>
  <c r="K913" i="13"/>
  <c r="H913" i="13" s="1"/>
  <c r="K912" i="13"/>
  <c r="H912" i="13" s="1"/>
  <c r="K911" i="13"/>
  <c r="H911" i="13" s="1"/>
  <c r="K910" i="13"/>
  <c r="K909" i="13"/>
  <c r="H909" i="13" s="1"/>
  <c r="K908" i="13"/>
  <c r="H908" i="13" s="1"/>
  <c r="C900" i="13"/>
  <c r="B900" i="13"/>
  <c r="D896" i="13"/>
  <c r="H887" i="13"/>
  <c r="D900" i="13" s="1"/>
  <c r="M882" i="13"/>
  <c r="L882" i="13"/>
  <c r="K882" i="13"/>
  <c r="J882" i="13"/>
  <c r="M881" i="13"/>
  <c r="L881" i="13"/>
  <c r="K881" i="13"/>
  <c r="J881" i="13"/>
  <c r="L880" i="13"/>
  <c r="K880" i="13"/>
  <c r="J880" i="13"/>
  <c r="G880" i="13"/>
  <c r="M880" i="13" s="1"/>
  <c r="L879" i="13"/>
  <c r="K879" i="13"/>
  <c r="J879" i="13"/>
  <c r="G879" i="13"/>
  <c r="M879" i="13" s="1"/>
  <c r="L878" i="13"/>
  <c r="K878" i="13"/>
  <c r="J878" i="13"/>
  <c r="G878" i="13"/>
  <c r="M878" i="13" s="1"/>
  <c r="M877" i="13"/>
  <c r="L877" i="13"/>
  <c r="K877" i="13"/>
  <c r="J877" i="13"/>
  <c r="M876" i="13"/>
  <c r="L876" i="13"/>
  <c r="K876" i="13"/>
  <c r="J876" i="13"/>
  <c r="M875" i="13"/>
  <c r="L875" i="13"/>
  <c r="K875" i="13"/>
  <c r="J875" i="13"/>
  <c r="M874" i="13"/>
  <c r="L874" i="13"/>
  <c r="K874" i="13"/>
  <c r="J874" i="13"/>
  <c r="L873" i="13"/>
  <c r="K873" i="13"/>
  <c r="J873" i="13"/>
  <c r="G873" i="13"/>
  <c r="M873" i="13" s="1"/>
  <c r="L872" i="13"/>
  <c r="K872" i="13"/>
  <c r="J872" i="13"/>
  <c r="G872" i="13"/>
  <c r="M872" i="13" s="1"/>
  <c r="M871" i="13"/>
  <c r="L871" i="13"/>
  <c r="K871" i="13"/>
  <c r="J871" i="13"/>
  <c r="L870" i="13"/>
  <c r="K870" i="13"/>
  <c r="J870" i="13"/>
  <c r="G870" i="13"/>
  <c r="M870" i="13" s="1"/>
  <c r="L869" i="13"/>
  <c r="K869" i="13"/>
  <c r="J869" i="13"/>
  <c r="G869" i="13"/>
  <c r="M869" i="13" s="1"/>
  <c r="F863" i="13"/>
  <c r="G863" i="13" s="1"/>
  <c r="H863" i="13" s="1"/>
  <c r="I863" i="13" s="1"/>
  <c r="J863" i="13" s="1"/>
  <c r="K863" i="13" s="1"/>
  <c r="L863" i="13" s="1"/>
  <c r="M863" i="13" s="1"/>
  <c r="N863" i="13" s="1"/>
  <c r="O863" i="13" s="1"/>
  <c r="P863" i="13" s="1"/>
  <c r="Q863" i="13" s="1"/>
  <c r="R863" i="13" s="1"/>
  <c r="S863" i="13" s="1"/>
  <c r="T863" i="13" s="1"/>
  <c r="U863" i="13" s="1"/>
  <c r="V863" i="13" s="1"/>
  <c r="W863" i="13" s="1"/>
  <c r="X863" i="13" s="1"/>
  <c r="Y863" i="13" s="1"/>
  <c r="Z863" i="13" s="1"/>
  <c r="AA863" i="13" s="1"/>
  <c r="AB863" i="13" s="1"/>
  <c r="AC863" i="13" s="1"/>
  <c r="AD863" i="13" s="1"/>
  <c r="AE863" i="13" s="1"/>
  <c r="AF863" i="13" s="1"/>
  <c r="AG863" i="13" s="1"/>
  <c r="AH863" i="13" s="1"/>
  <c r="AI863" i="13" s="1"/>
  <c r="F862" i="13"/>
  <c r="G862" i="13" s="1"/>
  <c r="H862" i="13" s="1"/>
  <c r="I862" i="13" s="1"/>
  <c r="J862" i="13" s="1"/>
  <c r="K862" i="13" s="1"/>
  <c r="L862" i="13" s="1"/>
  <c r="M862" i="13" s="1"/>
  <c r="N862" i="13" s="1"/>
  <c r="O862" i="13" s="1"/>
  <c r="P862" i="13" s="1"/>
  <c r="Q862" i="13" s="1"/>
  <c r="R862" i="13" s="1"/>
  <c r="S862" i="13" s="1"/>
  <c r="T862" i="13" s="1"/>
  <c r="U862" i="13" s="1"/>
  <c r="V862" i="13" s="1"/>
  <c r="W862" i="13" s="1"/>
  <c r="X862" i="13" s="1"/>
  <c r="Y862" i="13" s="1"/>
  <c r="Z862" i="13" s="1"/>
  <c r="AA862" i="13" s="1"/>
  <c r="AB862" i="13" s="1"/>
  <c r="AC862" i="13" s="1"/>
  <c r="AD862" i="13" s="1"/>
  <c r="AE862" i="13" s="1"/>
  <c r="AF862" i="13" s="1"/>
  <c r="AG862" i="13" s="1"/>
  <c r="AH862" i="13" s="1"/>
  <c r="AI862" i="13" s="1"/>
  <c r="E861" i="13"/>
  <c r="F861" i="13" s="1"/>
  <c r="G861" i="13" s="1"/>
  <c r="H861" i="13" s="1"/>
  <c r="I861" i="13" s="1"/>
  <c r="J861" i="13" s="1"/>
  <c r="K861" i="13" s="1"/>
  <c r="L861" i="13" s="1"/>
  <c r="M861" i="13" s="1"/>
  <c r="N861" i="13" s="1"/>
  <c r="O861" i="13" s="1"/>
  <c r="P861" i="13" s="1"/>
  <c r="Q861" i="13" s="1"/>
  <c r="R861" i="13" s="1"/>
  <c r="S861" i="13" s="1"/>
  <c r="T861" i="13" s="1"/>
  <c r="U861" i="13" s="1"/>
  <c r="V861" i="13" s="1"/>
  <c r="W861" i="13" s="1"/>
  <c r="X861" i="13" s="1"/>
  <c r="Y861" i="13" s="1"/>
  <c r="Z861" i="13" s="1"/>
  <c r="AA861" i="13" s="1"/>
  <c r="AB861" i="13" s="1"/>
  <c r="AC861" i="13" s="1"/>
  <c r="AD861" i="13" s="1"/>
  <c r="AE861" i="13" s="1"/>
  <c r="AF861" i="13" s="1"/>
  <c r="AG861" i="13" s="1"/>
  <c r="AH861" i="13" s="1"/>
  <c r="AI861" i="13" s="1"/>
  <c r="E860" i="13"/>
  <c r="F860" i="13" s="1"/>
  <c r="G860" i="13" s="1"/>
  <c r="H860" i="13" s="1"/>
  <c r="I860" i="13" s="1"/>
  <c r="J860" i="13" s="1"/>
  <c r="K860" i="13" s="1"/>
  <c r="L860" i="13" s="1"/>
  <c r="M860" i="13" s="1"/>
  <c r="N860" i="13" s="1"/>
  <c r="O860" i="13" s="1"/>
  <c r="P860" i="13" s="1"/>
  <c r="Q860" i="13" s="1"/>
  <c r="R860" i="13" s="1"/>
  <c r="S860" i="13" s="1"/>
  <c r="T860" i="13" s="1"/>
  <c r="U860" i="13" s="1"/>
  <c r="V860" i="13" s="1"/>
  <c r="W860" i="13" s="1"/>
  <c r="X860" i="13" s="1"/>
  <c r="Y860" i="13" s="1"/>
  <c r="Z860" i="13" s="1"/>
  <c r="AA860" i="13" s="1"/>
  <c r="AB860" i="13" s="1"/>
  <c r="AC860" i="13" s="1"/>
  <c r="AD860" i="13" s="1"/>
  <c r="AE860" i="13" s="1"/>
  <c r="AF860" i="13" s="1"/>
  <c r="AG860" i="13" s="1"/>
  <c r="AH860" i="13" s="1"/>
  <c r="AI860" i="13" s="1"/>
  <c r="F859" i="13"/>
  <c r="G859" i="13" s="1"/>
  <c r="H859" i="13" s="1"/>
  <c r="I859" i="13" s="1"/>
  <c r="J859" i="13" s="1"/>
  <c r="K859" i="13" s="1"/>
  <c r="L859" i="13" s="1"/>
  <c r="M859" i="13" s="1"/>
  <c r="N859" i="13" s="1"/>
  <c r="O859" i="13" s="1"/>
  <c r="P859" i="13" s="1"/>
  <c r="Q859" i="13" s="1"/>
  <c r="R859" i="13" s="1"/>
  <c r="S859" i="13" s="1"/>
  <c r="T859" i="13" s="1"/>
  <c r="U859" i="13" s="1"/>
  <c r="V859" i="13" s="1"/>
  <c r="W859" i="13" s="1"/>
  <c r="X859" i="13" s="1"/>
  <c r="Y859" i="13" s="1"/>
  <c r="Z859" i="13" s="1"/>
  <c r="AA859" i="13" s="1"/>
  <c r="AB859" i="13" s="1"/>
  <c r="AC859" i="13" s="1"/>
  <c r="AD859" i="13" s="1"/>
  <c r="AE859" i="13" s="1"/>
  <c r="AF859" i="13" s="1"/>
  <c r="AG859" i="13" s="1"/>
  <c r="AH859" i="13" s="1"/>
  <c r="AI859" i="13" s="1"/>
  <c r="F858" i="13"/>
  <c r="G858" i="13" s="1"/>
  <c r="H858" i="13" s="1"/>
  <c r="I858" i="13" s="1"/>
  <c r="J858" i="13" s="1"/>
  <c r="K858" i="13" s="1"/>
  <c r="L858" i="13" s="1"/>
  <c r="M858" i="13" s="1"/>
  <c r="N858" i="13" s="1"/>
  <c r="O858" i="13" s="1"/>
  <c r="P858" i="13" s="1"/>
  <c r="Q858" i="13" s="1"/>
  <c r="R858" i="13" s="1"/>
  <c r="S858" i="13" s="1"/>
  <c r="T858" i="13" s="1"/>
  <c r="U858" i="13" s="1"/>
  <c r="V858" i="13" s="1"/>
  <c r="W858" i="13" s="1"/>
  <c r="X858" i="13" s="1"/>
  <c r="Y858" i="13" s="1"/>
  <c r="Z858" i="13" s="1"/>
  <c r="AA858" i="13" s="1"/>
  <c r="AB858" i="13" s="1"/>
  <c r="AC858" i="13" s="1"/>
  <c r="AD858" i="13" s="1"/>
  <c r="AE858" i="13" s="1"/>
  <c r="AF858" i="13" s="1"/>
  <c r="AG858" i="13" s="1"/>
  <c r="AH858" i="13" s="1"/>
  <c r="AI858" i="13" s="1"/>
  <c r="AC678" i="13"/>
  <c r="AS671" i="13"/>
  <c r="AN671" i="13"/>
  <c r="AM671" i="13"/>
  <c r="AK671" i="13"/>
  <c r="AI671" i="13"/>
  <c r="AD671" i="13"/>
  <c r="AC671" i="13"/>
  <c r="AA671" i="13"/>
  <c r="AS670" i="13"/>
  <c r="AP670" i="13"/>
  <c r="AN670" i="13"/>
  <c r="AM670" i="13"/>
  <c r="AK670" i="13"/>
  <c r="AI670" i="13"/>
  <c r="AD670" i="13"/>
  <c r="AC670" i="13"/>
  <c r="AA670" i="13"/>
  <c r="AT669" i="13"/>
  <c r="AS669" i="13"/>
  <c r="AN669" i="13"/>
  <c r="AM669" i="13"/>
  <c r="AL669" i="13"/>
  <c r="AK669" i="13"/>
  <c r="AI669" i="13"/>
  <c r="AD669" i="13"/>
  <c r="AC669" i="13"/>
  <c r="AA669" i="13"/>
  <c r="AT668" i="13"/>
  <c r="AS668" i="13"/>
  <c r="AN668" i="13"/>
  <c r="AM668" i="13"/>
  <c r="AK668" i="13"/>
  <c r="AI668" i="13"/>
  <c r="AD668" i="13"/>
  <c r="AC668" i="13"/>
  <c r="AA668" i="13"/>
  <c r="AT667" i="13"/>
  <c r="AS667" i="13"/>
  <c r="AN667" i="13"/>
  <c r="AM667" i="13"/>
  <c r="AK667" i="13"/>
  <c r="AI667" i="13"/>
  <c r="AD667" i="13"/>
  <c r="AC667" i="13"/>
  <c r="AA667" i="13"/>
  <c r="AT666" i="13"/>
  <c r="AS666" i="13"/>
  <c r="AP666" i="13"/>
  <c r="AN666" i="13"/>
  <c r="AM666" i="13"/>
  <c r="AK666" i="13"/>
  <c r="AJ666" i="13"/>
  <c r="AI666" i="13"/>
  <c r="AD666" i="13"/>
  <c r="AC666" i="13"/>
  <c r="AA666" i="13"/>
  <c r="AT665" i="13"/>
  <c r="AS665" i="13"/>
  <c r="AQ665" i="13"/>
  <c r="AP665" i="13"/>
  <c r="AN665" i="13"/>
  <c r="AM665" i="13"/>
  <c r="AK665" i="13"/>
  <c r="AI665" i="13"/>
  <c r="AD665" i="13"/>
  <c r="AC665" i="13"/>
  <c r="AA665" i="13"/>
  <c r="AS657" i="13"/>
  <c r="AN657" i="13"/>
  <c r="AK657" i="13"/>
  <c r="AI657" i="13"/>
  <c r="AD657" i="13"/>
  <c r="AA657" i="13"/>
  <c r="AT656" i="13"/>
  <c r="AS656" i="13"/>
  <c r="AR656" i="13"/>
  <c r="AQ656" i="13"/>
  <c r="AP656" i="13"/>
  <c r="AO656" i="13"/>
  <c r="AN656" i="13"/>
  <c r="AL656" i="13"/>
  <c r="AK656" i="13"/>
  <c r="AJ656" i="13"/>
  <c r="AI656" i="13"/>
  <c r="AH656" i="13"/>
  <c r="AG656" i="13"/>
  <c r="AF656" i="13"/>
  <c r="AD656" i="13"/>
  <c r="AA656" i="13"/>
  <c r="AT655" i="13"/>
  <c r="AS655" i="13"/>
  <c r="AR655" i="13"/>
  <c r="AQ655" i="13"/>
  <c r="AP655" i="13"/>
  <c r="AO655" i="13"/>
  <c r="AN655" i="13"/>
  <c r="AL655" i="13"/>
  <c r="AK655" i="13"/>
  <c r="AI655" i="13"/>
  <c r="AD655" i="13"/>
  <c r="AA655" i="13"/>
  <c r="AT654" i="13"/>
  <c r="AS654" i="13"/>
  <c r="AR654" i="13"/>
  <c r="AQ654" i="13"/>
  <c r="AP654" i="13"/>
  <c r="AO654" i="13"/>
  <c r="AN654" i="13"/>
  <c r="AL654" i="13"/>
  <c r="AK654" i="13"/>
  <c r="AJ654" i="13"/>
  <c r="AI654" i="13"/>
  <c r="AF654" i="13"/>
  <c r="AE654" i="13"/>
  <c r="AD654" i="13"/>
  <c r="AA654" i="13"/>
  <c r="AT653" i="13"/>
  <c r="AS653" i="13"/>
  <c r="AR653" i="13"/>
  <c r="AP653" i="13"/>
  <c r="AO653" i="13"/>
  <c r="AN653" i="13"/>
  <c r="AL653" i="13"/>
  <c r="AK653" i="13"/>
  <c r="AI653" i="13"/>
  <c r="AD653" i="13"/>
  <c r="AA653" i="13"/>
  <c r="AT652" i="13"/>
  <c r="AS652" i="13"/>
  <c r="AR652" i="13"/>
  <c r="AP652" i="13"/>
  <c r="AN652" i="13"/>
  <c r="AK652" i="13"/>
  <c r="AJ652" i="13"/>
  <c r="AI652" i="13"/>
  <c r="AF652" i="13"/>
  <c r="AD652" i="13"/>
  <c r="AA652" i="13"/>
  <c r="AT651" i="13"/>
  <c r="AS651" i="13"/>
  <c r="AR651" i="13"/>
  <c r="AQ651" i="13"/>
  <c r="AP651" i="13"/>
  <c r="AO651" i="13"/>
  <c r="AN651" i="13"/>
  <c r="AM651" i="13"/>
  <c r="AL651" i="13"/>
  <c r="AK651" i="13"/>
  <c r="AJ651" i="13"/>
  <c r="AI651" i="13"/>
  <c r="AH651" i="13"/>
  <c r="AG651" i="13"/>
  <c r="AF651" i="13"/>
  <c r="AE651" i="13"/>
  <c r="AD651" i="13"/>
  <c r="AC651" i="13"/>
  <c r="AB651" i="13"/>
  <c r="AA651" i="13"/>
  <c r="AT650" i="13"/>
  <c r="AS650" i="13"/>
  <c r="AR650" i="13"/>
  <c r="AQ650" i="13"/>
  <c r="AP650" i="13"/>
  <c r="AO650" i="13"/>
  <c r="AN650" i="13"/>
  <c r="AL650" i="13"/>
  <c r="AK650" i="13"/>
  <c r="AJ650" i="13"/>
  <c r="AI650" i="13"/>
  <c r="AG650" i="13"/>
  <c r="AD650" i="13"/>
  <c r="AA650" i="13"/>
  <c r="AT649" i="13"/>
  <c r="AS649" i="13"/>
  <c r="AR649" i="13"/>
  <c r="AQ649" i="13"/>
  <c r="AP649" i="13"/>
  <c r="AO649" i="13"/>
  <c r="AN649" i="13"/>
  <c r="AL649" i="13"/>
  <c r="AK649" i="13"/>
  <c r="AI649" i="13"/>
  <c r="AD649" i="13"/>
  <c r="AA649" i="13"/>
  <c r="AT648" i="13"/>
  <c r="AS648" i="13"/>
  <c r="AR648" i="13"/>
  <c r="AQ648" i="13"/>
  <c r="AO648" i="13"/>
  <c r="AN648" i="13"/>
  <c r="AL648" i="13"/>
  <c r="AK648" i="13"/>
  <c r="AI648" i="13"/>
  <c r="AD648" i="13"/>
  <c r="AA648" i="13"/>
  <c r="AT647" i="13"/>
  <c r="AS647" i="13"/>
  <c r="AQ647" i="13"/>
  <c r="AP647" i="13"/>
  <c r="AO647" i="13"/>
  <c r="AN647" i="13"/>
  <c r="AK647" i="13"/>
  <c r="AI647" i="13"/>
  <c r="AF647" i="13"/>
  <c r="AD647" i="13"/>
  <c r="AA647" i="13"/>
  <c r="AT646" i="13"/>
  <c r="AS646" i="13"/>
  <c r="AR646" i="13"/>
  <c r="AQ646" i="13"/>
  <c r="AP646" i="13"/>
  <c r="AO646" i="13"/>
  <c r="AN646" i="13"/>
  <c r="AL646" i="13"/>
  <c r="AK646" i="13"/>
  <c r="AJ646" i="13"/>
  <c r="AI646" i="13"/>
  <c r="AF646" i="13"/>
  <c r="AE646" i="13"/>
  <c r="AD646" i="13"/>
  <c r="AA646" i="13"/>
  <c r="AT645" i="13"/>
  <c r="AS645" i="13"/>
  <c r="AR645" i="13"/>
  <c r="AQ645" i="13"/>
  <c r="AP645" i="13"/>
  <c r="AO645" i="13"/>
  <c r="AN645" i="13"/>
  <c r="AL645" i="13"/>
  <c r="AK645" i="13"/>
  <c r="AI645" i="13"/>
  <c r="AD645" i="13"/>
  <c r="AA645" i="13"/>
  <c r="AT644" i="13"/>
  <c r="AS644" i="13"/>
  <c r="AR644" i="13"/>
  <c r="AQ644" i="13"/>
  <c r="AP644" i="13"/>
  <c r="AO644" i="13"/>
  <c r="AN644" i="13"/>
  <c r="AK644" i="13"/>
  <c r="AJ644" i="13"/>
  <c r="AI644" i="13"/>
  <c r="AG644" i="13"/>
  <c r="AD644" i="13"/>
  <c r="AA644" i="13"/>
  <c r="AT643" i="13"/>
  <c r="AS643" i="13"/>
  <c r="AR643" i="13"/>
  <c r="AQ643" i="13"/>
  <c r="AP643" i="13"/>
  <c r="AO643" i="13"/>
  <c r="AN643" i="13"/>
  <c r="AL643" i="13"/>
  <c r="AK643" i="13"/>
  <c r="AJ643" i="13"/>
  <c r="AI643" i="13"/>
  <c r="AH643" i="13"/>
  <c r="AG643" i="13"/>
  <c r="AF643" i="13"/>
  <c r="AE643" i="13"/>
  <c r="AD643" i="13"/>
  <c r="AB643" i="13"/>
  <c r="AA643" i="13"/>
  <c r="AT642" i="13"/>
  <c r="AS642" i="13"/>
  <c r="AP642" i="13"/>
  <c r="AO642" i="13"/>
  <c r="AN642" i="13"/>
  <c r="AL642" i="13"/>
  <c r="AK642" i="13"/>
  <c r="AJ642" i="13"/>
  <c r="AI642" i="13"/>
  <c r="AD642" i="13"/>
  <c r="AA642" i="13"/>
  <c r="AT641" i="13"/>
  <c r="AS641" i="13"/>
  <c r="AQ641" i="13"/>
  <c r="AN641" i="13"/>
  <c r="AL641" i="13"/>
  <c r="AK641" i="13"/>
  <c r="AI641" i="13"/>
  <c r="AD641" i="13"/>
  <c r="AA641" i="13"/>
  <c r="AT640" i="13"/>
  <c r="AS640" i="13"/>
  <c r="AQ640" i="13"/>
  <c r="AP640" i="13"/>
  <c r="AO640" i="13"/>
  <c r="AN640" i="13"/>
  <c r="AL640" i="13"/>
  <c r="AK640" i="13"/>
  <c r="AJ640" i="13"/>
  <c r="AI640" i="13"/>
  <c r="AF640" i="13"/>
  <c r="AE640" i="13"/>
  <c r="AD640" i="13"/>
  <c r="AA640" i="13"/>
  <c r="AT639" i="13"/>
  <c r="AS639" i="13"/>
  <c r="AR639" i="13"/>
  <c r="AQ639" i="13"/>
  <c r="AP639" i="13"/>
  <c r="AO639" i="13"/>
  <c r="AN639" i="13"/>
  <c r="AL639" i="13"/>
  <c r="AK639" i="13"/>
  <c r="AJ639" i="13"/>
  <c r="AI639" i="13"/>
  <c r="AF639" i="13"/>
  <c r="AD639" i="13"/>
  <c r="AA639" i="13"/>
  <c r="AT638" i="13"/>
  <c r="AS638" i="13"/>
  <c r="AR638" i="13"/>
  <c r="AQ638" i="13"/>
  <c r="AP638" i="13"/>
  <c r="AO638" i="13"/>
  <c r="AN638" i="13"/>
  <c r="AL638" i="13"/>
  <c r="AK638" i="13"/>
  <c r="AJ638" i="13"/>
  <c r="AI638" i="13"/>
  <c r="AF638" i="13"/>
  <c r="AE638" i="13"/>
  <c r="AD638" i="13"/>
  <c r="AA638" i="13"/>
  <c r="AT637" i="13"/>
  <c r="AS637" i="13"/>
  <c r="AN637" i="13"/>
  <c r="AK637" i="13"/>
  <c r="AJ637" i="13"/>
  <c r="AI637" i="13"/>
  <c r="AD637" i="13"/>
  <c r="AA637" i="13"/>
  <c r="AT636" i="13"/>
  <c r="AS636" i="13"/>
  <c r="AP636" i="13"/>
  <c r="AN636" i="13"/>
  <c r="AK636" i="13"/>
  <c r="AJ636" i="13"/>
  <c r="AI636" i="13"/>
  <c r="AF636" i="13"/>
  <c r="AD636" i="13"/>
  <c r="AA636" i="13"/>
  <c r="AT635" i="13"/>
  <c r="AS635" i="13"/>
  <c r="AR635" i="13"/>
  <c r="AQ635" i="13"/>
  <c r="AP635" i="13"/>
  <c r="AO635" i="13"/>
  <c r="AN635" i="13"/>
  <c r="AL635" i="13"/>
  <c r="AK635" i="13"/>
  <c r="AI635" i="13"/>
  <c r="AH635" i="13"/>
  <c r="AF635" i="13"/>
  <c r="AD635" i="13"/>
  <c r="AA635" i="13"/>
  <c r="AT634" i="13"/>
  <c r="AS634" i="13"/>
  <c r="AR634" i="13"/>
  <c r="AQ634" i="13"/>
  <c r="AP634" i="13"/>
  <c r="AN634" i="13"/>
  <c r="AL634" i="13"/>
  <c r="AK634" i="13"/>
  <c r="AJ634" i="13"/>
  <c r="AI634" i="13"/>
  <c r="AF634" i="13"/>
  <c r="AD634" i="13"/>
  <c r="AA634" i="13"/>
  <c r="AT633" i="13"/>
  <c r="AS633" i="13"/>
  <c r="AQ633" i="13"/>
  <c r="AP633" i="13"/>
  <c r="AN633" i="13"/>
  <c r="AK633" i="13"/>
  <c r="AJ633" i="13"/>
  <c r="AI633" i="13"/>
  <c r="AG633" i="13"/>
  <c r="AF633" i="13"/>
  <c r="AD633" i="13"/>
  <c r="AA633" i="13"/>
  <c r="AT632" i="13"/>
  <c r="AS632" i="13"/>
  <c r="AR632" i="13"/>
  <c r="AQ632" i="13"/>
  <c r="AP632" i="13"/>
  <c r="AO632" i="13"/>
  <c r="AN632" i="13"/>
  <c r="AL632" i="13"/>
  <c r="AK632" i="13"/>
  <c r="AJ632" i="13"/>
  <c r="AI632" i="13"/>
  <c r="AG632" i="13"/>
  <c r="AF632" i="13"/>
  <c r="AE632" i="13"/>
  <c r="AD632" i="13"/>
  <c r="AB632" i="13"/>
  <c r="AA632" i="13"/>
  <c r="AT631" i="13"/>
  <c r="AS631" i="13"/>
  <c r="AR631" i="13"/>
  <c r="AQ631" i="13"/>
  <c r="AP631" i="13"/>
  <c r="AO631" i="13"/>
  <c r="AN631" i="13"/>
  <c r="AL631" i="13"/>
  <c r="AK631" i="13"/>
  <c r="AJ631" i="13"/>
  <c r="AI631" i="13"/>
  <c r="AF631" i="13"/>
  <c r="AD631" i="13"/>
  <c r="AB631" i="13"/>
  <c r="AA631" i="13"/>
  <c r="AT630" i="13"/>
  <c r="AS630" i="13"/>
  <c r="AR630" i="13"/>
  <c r="AQ630" i="13"/>
  <c r="AP630" i="13"/>
  <c r="AO630" i="13"/>
  <c r="AN630" i="13"/>
  <c r="AL630" i="13"/>
  <c r="AK630" i="13"/>
  <c r="AJ630" i="13"/>
  <c r="AI630" i="13"/>
  <c r="AG630" i="13"/>
  <c r="AF630" i="13"/>
  <c r="AD630" i="13"/>
  <c r="AA630" i="13"/>
  <c r="AT629" i="13"/>
  <c r="AS629" i="13"/>
  <c r="AQ629" i="13"/>
  <c r="AN629" i="13"/>
  <c r="AL629" i="13"/>
  <c r="AK629" i="13"/>
  <c r="AI629" i="13"/>
  <c r="AD629" i="13"/>
  <c r="AA629" i="13"/>
  <c r="AT628" i="13"/>
  <c r="AS628" i="13"/>
  <c r="AR628" i="13"/>
  <c r="AQ628" i="13"/>
  <c r="AP628" i="13"/>
  <c r="AO628" i="13"/>
  <c r="AN628" i="13"/>
  <c r="AL628" i="13"/>
  <c r="AK628" i="13"/>
  <c r="AJ628" i="13"/>
  <c r="AI628" i="13"/>
  <c r="AG628" i="13"/>
  <c r="AF628" i="13"/>
  <c r="AE628" i="13"/>
  <c r="AD628" i="13"/>
  <c r="AB628" i="13"/>
  <c r="AA628" i="13"/>
  <c r="AT627" i="13"/>
  <c r="AS627" i="13"/>
  <c r="AR627" i="13"/>
  <c r="AQ627" i="13"/>
  <c r="AP627" i="13"/>
  <c r="AO627" i="13"/>
  <c r="AN627" i="13"/>
  <c r="AL627" i="13"/>
  <c r="AK627" i="13"/>
  <c r="AJ627" i="13"/>
  <c r="AI627" i="13"/>
  <c r="AD627" i="13"/>
  <c r="AA627" i="13"/>
  <c r="AT626" i="13"/>
  <c r="AS626" i="13"/>
  <c r="AR626" i="13"/>
  <c r="AQ626" i="13"/>
  <c r="AP626" i="13"/>
  <c r="AO626" i="13"/>
  <c r="AN626" i="13"/>
  <c r="AL626" i="13"/>
  <c r="AK626" i="13"/>
  <c r="AJ626" i="13"/>
  <c r="AI626" i="13"/>
  <c r="AF626" i="13"/>
  <c r="AD626" i="13"/>
  <c r="AA626" i="13"/>
  <c r="AT625" i="13"/>
  <c r="AS625" i="13"/>
  <c r="AR625" i="13"/>
  <c r="AQ625" i="13"/>
  <c r="AP625" i="13"/>
  <c r="AO625" i="13"/>
  <c r="AN625" i="13"/>
  <c r="AL625" i="13"/>
  <c r="AK625" i="13"/>
  <c r="AJ625" i="13"/>
  <c r="AI625" i="13"/>
  <c r="AH625" i="13"/>
  <c r="AF625" i="13"/>
  <c r="AD625" i="13"/>
  <c r="AB625" i="13"/>
  <c r="AA625" i="13"/>
  <c r="AT624" i="13"/>
  <c r="AS624" i="13"/>
  <c r="AP624" i="13"/>
  <c r="AN624" i="13"/>
  <c r="AK624" i="13"/>
  <c r="AJ624" i="13"/>
  <c r="AI624" i="13"/>
  <c r="AD624" i="13"/>
  <c r="AA624" i="13"/>
  <c r="AT623" i="13"/>
  <c r="AS623" i="13"/>
  <c r="AR623" i="13"/>
  <c r="AQ623" i="13"/>
  <c r="AP623" i="13"/>
  <c r="AO623" i="13"/>
  <c r="AN623" i="13"/>
  <c r="AL623" i="13"/>
  <c r="AK623" i="13"/>
  <c r="AJ623" i="13"/>
  <c r="AI623" i="13"/>
  <c r="AG623" i="13"/>
  <c r="AD623" i="13"/>
  <c r="AA623" i="13"/>
  <c r="AT622" i="13"/>
  <c r="AS622" i="13"/>
  <c r="AP622" i="13"/>
  <c r="AN622" i="13"/>
  <c r="AL622" i="13"/>
  <c r="AK622" i="13"/>
  <c r="AI622" i="13"/>
  <c r="AF622" i="13"/>
  <c r="AE622" i="13"/>
  <c r="AD622" i="13"/>
  <c r="AA622" i="13"/>
  <c r="AT621" i="13"/>
  <c r="AS621" i="13"/>
  <c r="AR621" i="13"/>
  <c r="AP621" i="13"/>
  <c r="AO621" i="13"/>
  <c r="AN621" i="13"/>
  <c r="AL621" i="13"/>
  <c r="AK621" i="13"/>
  <c r="AI621" i="13"/>
  <c r="AH621" i="13"/>
  <c r="AF621" i="13"/>
  <c r="AE621" i="13"/>
  <c r="AD621" i="13"/>
  <c r="AB621" i="13"/>
  <c r="AA621" i="13"/>
  <c r="AT620" i="13"/>
  <c r="AS620" i="13"/>
  <c r="AR620" i="13"/>
  <c r="AQ620" i="13"/>
  <c r="AP620" i="13"/>
  <c r="AO620" i="13"/>
  <c r="AN620" i="13"/>
  <c r="AL620" i="13"/>
  <c r="AK620" i="13"/>
  <c r="AJ620" i="13"/>
  <c r="AI620" i="13"/>
  <c r="AF620" i="13"/>
  <c r="AD620" i="13"/>
  <c r="AA620" i="13"/>
  <c r="AT619" i="13"/>
  <c r="AS619" i="13"/>
  <c r="AR619" i="13"/>
  <c r="AQ619" i="13"/>
  <c r="AP619" i="13"/>
  <c r="AO619" i="13"/>
  <c r="AN619" i="13"/>
  <c r="AL619" i="13"/>
  <c r="AK619" i="13"/>
  <c r="AJ619" i="13"/>
  <c r="AI619" i="13"/>
  <c r="AH619" i="13"/>
  <c r="AF619" i="13"/>
  <c r="AD619" i="13"/>
  <c r="AA619" i="13"/>
  <c r="AT618" i="13"/>
  <c r="AS618" i="13"/>
  <c r="AR618" i="13"/>
  <c r="AP618" i="13"/>
  <c r="AN618" i="13"/>
  <c r="AL618" i="13"/>
  <c r="AK618" i="13"/>
  <c r="AI618" i="13"/>
  <c r="AF618" i="13"/>
  <c r="AE618" i="13"/>
  <c r="AD618" i="13"/>
  <c r="AA618" i="13"/>
  <c r="AT617" i="13"/>
  <c r="AS617" i="13"/>
  <c r="AP617" i="13"/>
  <c r="AN617" i="13"/>
  <c r="AL617" i="13"/>
  <c r="AK617" i="13"/>
  <c r="AI617" i="13"/>
  <c r="AH617" i="13"/>
  <c r="AF617" i="13"/>
  <c r="AE617" i="13"/>
  <c r="AD617" i="13"/>
  <c r="AA617" i="13"/>
  <c r="AT616" i="13"/>
  <c r="AS616" i="13"/>
  <c r="AR616" i="13"/>
  <c r="AP616" i="13"/>
  <c r="AN616" i="13"/>
  <c r="AK616" i="13"/>
  <c r="AI616" i="13"/>
  <c r="AF616" i="13"/>
  <c r="AD616" i="13"/>
  <c r="AA616" i="13"/>
  <c r="AT615" i="13"/>
  <c r="AS615" i="13"/>
  <c r="AQ615" i="13"/>
  <c r="AN615" i="13"/>
  <c r="AL615" i="13"/>
  <c r="AK615" i="13"/>
  <c r="AJ615" i="13"/>
  <c r="AI615" i="13"/>
  <c r="AG615" i="13"/>
  <c r="AD615" i="13"/>
  <c r="AA615" i="13"/>
  <c r="AT614" i="13"/>
  <c r="AS614" i="13"/>
  <c r="AR614" i="13"/>
  <c r="AQ614" i="13"/>
  <c r="AP614" i="13"/>
  <c r="AO614" i="13"/>
  <c r="AN614" i="13"/>
  <c r="AL614" i="13"/>
  <c r="AK614" i="13"/>
  <c r="AI614" i="13"/>
  <c r="AD614" i="13"/>
  <c r="AA614" i="13"/>
  <c r="AT613" i="13"/>
  <c r="AS613" i="13"/>
  <c r="AP613" i="13"/>
  <c r="AN613" i="13"/>
  <c r="AL613" i="13"/>
  <c r="AK613" i="13"/>
  <c r="AJ613" i="13"/>
  <c r="AI613" i="13"/>
  <c r="AD613" i="13"/>
  <c r="AA613" i="13"/>
  <c r="AT612" i="13"/>
  <c r="AS612" i="13"/>
  <c r="AR612" i="13"/>
  <c r="AP612" i="13"/>
  <c r="AN612" i="13"/>
  <c r="AK612" i="13"/>
  <c r="AJ612" i="13"/>
  <c r="AI612" i="13"/>
  <c r="AH612" i="13"/>
  <c r="AF612" i="13"/>
  <c r="AE612" i="13"/>
  <c r="AD612" i="13"/>
  <c r="AA612" i="13"/>
  <c r="AT611" i="13"/>
  <c r="AS611" i="13"/>
  <c r="AQ611" i="13"/>
  <c r="AP611" i="13"/>
  <c r="AO611" i="13"/>
  <c r="AN611" i="13"/>
  <c r="AL611" i="13"/>
  <c r="AK611" i="13"/>
  <c r="AJ611" i="13"/>
  <c r="AI611" i="13"/>
  <c r="AG611" i="13"/>
  <c r="AF611" i="13"/>
  <c r="AE611" i="13"/>
  <c r="AD611" i="13"/>
  <c r="AA611" i="13"/>
  <c r="AT610" i="13"/>
  <c r="AS610" i="13"/>
  <c r="AQ610" i="13"/>
  <c r="AP610" i="13"/>
  <c r="AN610" i="13"/>
  <c r="AK610" i="13"/>
  <c r="AI610" i="13"/>
  <c r="AF610" i="13"/>
  <c r="AD610" i="13"/>
  <c r="AA610" i="13"/>
  <c r="AS609" i="13"/>
  <c r="AP609" i="13"/>
  <c r="AN609" i="13"/>
  <c r="AK609" i="13"/>
  <c r="AJ609" i="13"/>
  <c r="AI609" i="13"/>
  <c r="AF609" i="13"/>
  <c r="AD609" i="13"/>
  <c r="AA609" i="13"/>
  <c r="AS608" i="13"/>
  <c r="AP608" i="13"/>
  <c r="AN608" i="13"/>
  <c r="AK608" i="13"/>
  <c r="AI608" i="13"/>
  <c r="AD608" i="13"/>
  <c r="AA608" i="13"/>
  <c r="AT607" i="13"/>
  <c r="AS607" i="13"/>
  <c r="AR607" i="13"/>
  <c r="AQ607" i="13"/>
  <c r="AP607" i="13"/>
  <c r="AO607" i="13"/>
  <c r="AN607" i="13"/>
  <c r="AL607" i="13"/>
  <c r="AK607" i="13"/>
  <c r="AI607" i="13"/>
  <c r="AF607" i="13"/>
  <c r="AD607" i="13"/>
  <c r="AA607" i="13"/>
  <c r="AT606" i="13"/>
  <c r="AS606" i="13"/>
  <c r="AR606" i="13"/>
  <c r="AQ606" i="13"/>
  <c r="AP606" i="13"/>
  <c r="AO606" i="13"/>
  <c r="AN606" i="13"/>
  <c r="AL606" i="13"/>
  <c r="AK606" i="13"/>
  <c r="AI606" i="13"/>
  <c r="AD606" i="13"/>
  <c r="AA606" i="13"/>
  <c r="AT605" i="13"/>
  <c r="AS605" i="13"/>
  <c r="AR605" i="13"/>
  <c r="AQ605" i="13"/>
  <c r="AP605" i="13"/>
  <c r="AO605" i="13"/>
  <c r="AN605" i="13"/>
  <c r="AL605" i="13"/>
  <c r="AK605" i="13"/>
  <c r="AJ605" i="13"/>
  <c r="AI605" i="13"/>
  <c r="AG605" i="13"/>
  <c r="AF605" i="13"/>
  <c r="AE605" i="13"/>
  <c r="AD605" i="13"/>
  <c r="AB605" i="13"/>
  <c r="AA605" i="13"/>
  <c r="AT604" i="13"/>
  <c r="AS604" i="13"/>
  <c r="AQ604" i="13"/>
  <c r="AP604" i="13"/>
  <c r="AO604" i="13"/>
  <c r="AN604" i="13"/>
  <c r="AL604" i="13"/>
  <c r="AK604" i="13"/>
  <c r="AJ604" i="13"/>
  <c r="AI604" i="13"/>
  <c r="AF604" i="13"/>
  <c r="AD604" i="13"/>
  <c r="AB604" i="13"/>
  <c r="AA604" i="13"/>
  <c r="F597" i="13"/>
  <c r="E597" i="13"/>
  <c r="D597" i="13"/>
  <c r="F596" i="13"/>
  <c r="G596" i="13" s="1"/>
  <c r="H596" i="13" s="1"/>
  <c r="I596" i="13" s="1"/>
  <c r="J596" i="13" s="1"/>
  <c r="K596" i="13" s="1"/>
  <c r="L596" i="13" s="1"/>
  <c r="M596" i="13" s="1"/>
  <c r="N596" i="13" s="1"/>
  <c r="O596" i="13" s="1"/>
  <c r="P596" i="13" s="1"/>
  <c r="Q596" i="13" s="1"/>
  <c r="R596" i="13" s="1"/>
  <c r="S596" i="13" s="1"/>
  <c r="T596" i="13" s="1"/>
  <c r="U596" i="13" s="1"/>
  <c r="V596" i="13" s="1"/>
  <c r="W596" i="13" s="1"/>
  <c r="X596" i="13" s="1"/>
  <c r="Y596" i="13" s="1"/>
  <c r="Z596" i="13" s="1"/>
  <c r="AA596" i="13" s="1"/>
  <c r="AB596" i="13" s="1"/>
  <c r="AC596" i="13" s="1"/>
  <c r="AD596" i="13" s="1"/>
  <c r="AE596" i="13" s="1"/>
  <c r="AF596" i="13" s="1"/>
  <c r="AG596" i="13" s="1"/>
  <c r="AH596" i="13" s="1"/>
  <c r="AI596" i="13" s="1"/>
  <c r="F595" i="13"/>
  <c r="G595" i="13" s="1"/>
  <c r="H595" i="13" s="1"/>
  <c r="I595" i="13" s="1"/>
  <c r="J595" i="13" s="1"/>
  <c r="K595" i="13" s="1"/>
  <c r="L595" i="13" s="1"/>
  <c r="M595" i="13" s="1"/>
  <c r="N595" i="13" s="1"/>
  <c r="O595" i="13" s="1"/>
  <c r="P595" i="13" s="1"/>
  <c r="Q595" i="13" s="1"/>
  <c r="R595" i="13" s="1"/>
  <c r="S595" i="13" s="1"/>
  <c r="T595" i="13" s="1"/>
  <c r="U595" i="13" s="1"/>
  <c r="V595" i="13" s="1"/>
  <c r="W595" i="13" s="1"/>
  <c r="X595" i="13" s="1"/>
  <c r="Y595" i="13" s="1"/>
  <c r="Z595" i="13" s="1"/>
  <c r="AA595" i="13" s="1"/>
  <c r="AB595" i="13" s="1"/>
  <c r="AC595" i="13" s="1"/>
  <c r="AD595" i="13" s="1"/>
  <c r="AE595" i="13" s="1"/>
  <c r="AF595" i="13" s="1"/>
  <c r="AG595" i="13" s="1"/>
  <c r="AH595" i="13" s="1"/>
  <c r="AI595" i="13" s="1"/>
  <c r="F594" i="13"/>
  <c r="G594" i="13" s="1"/>
  <c r="H594" i="13" s="1"/>
  <c r="I594" i="13" s="1"/>
  <c r="J594" i="13" s="1"/>
  <c r="K594" i="13" s="1"/>
  <c r="L594" i="13" s="1"/>
  <c r="M594" i="13" s="1"/>
  <c r="N594" i="13" s="1"/>
  <c r="O594" i="13" s="1"/>
  <c r="P594" i="13" s="1"/>
  <c r="Q594" i="13" s="1"/>
  <c r="R594" i="13" s="1"/>
  <c r="S594" i="13" s="1"/>
  <c r="T594" i="13" s="1"/>
  <c r="U594" i="13" s="1"/>
  <c r="V594" i="13" s="1"/>
  <c r="W594" i="13" s="1"/>
  <c r="X594" i="13" s="1"/>
  <c r="Y594" i="13" s="1"/>
  <c r="Z594" i="13" s="1"/>
  <c r="AA594" i="13" s="1"/>
  <c r="AB594" i="13" s="1"/>
  <c r="AC594" i="13" s="1"/>
  <c r="AD594" i="13" s="1"/>
  <c r="AE594" i="13" s="1"/>
  <c r="AF594" i="13" s="1"/>
  <c r="AG594" i="13" s="1"/>
  <c r="AH594" i="13" s="1"/>
  <c r="AI594" i="13" s="1"/>
  <c r="F593" i="13"/>
  <c r="G593" i="13" s="1"/>
  <c r="H593" i="13" s="1"/>
  <c r="I593" i="13" s="1"/>
  <c r="J593" i="13" s="1"/>
  <c r="K593" i="13" s="1"/>
  <c r="L593" i="13" s="1"/>
  <c r="M593" i="13" s="1"/>
  <c r="N593" i="13" s="1"/>
  <c r="O593" i="13" s="1"/>
  <c r="P593" i="13" s="1"/>
  <c r="Q593" i="13" s="1"/>
  <c r="R593" i="13" s="1"/>
  <c r="S593" i="13" s="1"/>
  <c r="T593" i="13" s="1"/>
  <c r="U593" i="13" s="1"/>
  <c r="V593" i="13" s="1"/>
  <c r="W593" i="13" s="1"/>
  <c r="X593" i="13" s="1"/>
  <c r="Y593" i="13" s="1"/>
  <c r="Z593" i="13" s="1"/>
  <c r="AA593" i="13" s="1"/>
  <c r="AB593" i="13" s="1"/>
  <c r="AC593" i="13" s="1"/>
  <c r="AD593" i="13" s="1"/>
  <c r="AE593" i="13" s="1"/>
  <c r="AF593" i="13" s="1"/>
  <c r="AG593" i="13" s="1"/>
  <c r="AH593" i="13" s="1"/>
  <c r="AI593" i="13" s="1"/>
  <c r="F592" i="13"/>
  <c r="D592" i="13"/>
  <c r="F591" i="13"/>
  <c r="D591" i="13"/>
  <c r="F590" i="13"/>
  <c r="D590" i="13"/>
  <c r="F589" i="13"/>
  <c r="G589" i="13" s="1"/>
  <c r="H589" i="13" s="1"/>
  <c r="I589" i="13" s="1"/>
  <c r="J589" i="13" s="1"/>
  <c r="K589" i="13" s="1"/>
  <c r="L589" i="13" s="1"/>
  <c r="M589" i="13" s="1"/>
  <c r="N589" i="13" s="1"/>
  <c r="O589" i="13" s="1"/>
  <c r="P589" i="13" s="1"/>
  <c r="Q589" i="13" s="1"/>
  <c r="R589" i="13" s="1"/>
  <c r="S589" i="13" s="1"/>
  <c r="T589" i="13" s="1"/>
  <c r="U589" i="13" s="1"/>
  <c r="V589" i="13" s="1"/>
  <c r="W589" i="13" s="1"/>
  <c r="X589" i="13" s="1"/>
  <c r="Y589" i="13" s="1"/>
  <c r="Z589" i="13" s="1"/>
  <c r="AA589" i="13" s="1"/>
  <c r="AB589" i="13" s="1"/>
  <c r="AC589" i="13" s="1"/>
  <c r="AD589" i="13" s="1"/>
  <c r="AE589" i="13" s="1"/>
  <c r="AF589" i="13" s="1"/>
  <c r="AG589" i="13" s="1"/>
  <c r="AH589" i="13" s="1"/>
  <c r="AI589" i="13" s="1"/>
  <c r="F588" i="13"/>
  <c r="G588" i="13" s="1"/>
  <c r="H588" i="13" s="1"/>
  <c r="I588" i="13" s="1"/>
  <c r="J588" i="13" s="1"/>
  <c r="K588" i="13" s="1"/>
  <c r="L588" i="13" s="1"/>
  <c r="M588" i="13" s="1"/>
  <c r="N588" i="13" s="1"/>
  <c r="O588" i="13" s="1"/>
  <c r="P588" i="13" s="1"/>
  <c r="Q588" i="13" s="1"/>
  <c r="R588" i="13" s="1"/>
  <c r="S588" i="13" s="1"/>
  <c r="T588" i="13" s="1"/>
  <c r="U588" i="13" s="1"/>
  <c r="V588" i="13" s="1"/>
  <c r="W588" i="13" s="1"/>
  <c r="X588" i="13" s="1"/>
  <c r="Y588" i="13" s="1"/>
  <c r="Z588" i="13" s="1"/>
  <c r="AA588" i="13" s="1"/>
  <c r="AB588" i="13" s="1"/>
  <c r="AC588" i="13" s="1"/>
  <c r="AD588" i="13" s="1"/>
  <c r="AE588" i="13" s="1"/>
  <c r="AF588" i="13" s="1"/>
  <c r="AG588" i="13" s="1"/>
  <c r="AH588" i="13" s="1"/>
  <c r="AI588" i="13" s="1"/>
  <c r="F587" i="13"/>
  <c r="G587" i="13" s="1"/>
  <c r="H587" i="13" s="1"/>
  <c r="I587" i="13" s="1"/>
  <c r="J587" i="13" s="1"/>
  <c r="K587" i="13" s="1"/>
  <c r="L587" i="13" s="1"/>
  <c r="M587" i="13" s="1"/>
  <c r="N587" i="13" s="1"/>
  <c r="O587" i="13" s="1"/>
  <c r="P587" i="13" s="1"/>
  <c r="Q587" i="13" s="1"/>
  <c r="R587" i="13" s="1"/>
  <c r="S587" i="13" s="1"/>
  <c r="T587" i="13" s="1"/>
  <c r="U587" i="13" s="1"/>
  <c r="V587" i="13" s="1"/>
  <c r="W587" i="13" s="1"/>
  <c r="X587" i="13" s="1"/>
  <c r="Y587" i="13" s="1"/>
  <c r="Z587" i="13" s="1"/>
  <c r="AA587" i="13" s="1"/>
  <c r="AB587" i="13" s="1"/>
  <c r="AC587" i="13" s="1"/>
  <c r="AD587" i="13" s="1"/>
  <c r="AE587" i="13" s="1"/>
  <c r="AF587" i="13" s="1"/>
  <c r="AG587" i="13" s="1"/>
  <c r="AH587" i="13" s="1"/>
  <c r="AI587" i="13" s="1"/>
  <c r="C584" i="13"/>
  <c r="D580" i="13"/>
  <c r="C567" i="13"/>
  <c r="D563" i="13"/>
  <c r="C550" i="13"/>
  <c r="I524" i="13"/>
  <c r="E456" i="13"/>
  <c r="F456" i="13" s="1"/>
  <c r="G456" i="13" s="1"/>
  <c r="H456" i="13" s="1"/>
  <c r="I456" i="13" s="1"/>
  <c r="K456" i="13" s="1"/>
  <c r="L456" i="13" s="1"/>
  <c r="M456" i="13" s="1"/>
  <c r="N456" i="13" s="1"/>
  <c r="O456" i="13" s="1"/>
  <c r="P456" i="13" s="1"/>
  <c r="Q456" i="13" s="1"/>
  <c r="R456" i="13" s="1"/>
  <c r="S456" i="13" s="1"/>
  <c r="T456" i="13" s="1"/>
  <c r="J456" i="13" s="1"/>
  <c r="U456" i="13" s="1"/>
  <c r="K441" i="13"/>
  <c r="S432" i="13"/>
  <c r="R432" i="13"/>
  <c r="Q432" i="13"/>
  <c r="S431" i="13"/>
  <c r="R431" i="13"/>
  <c r="Q431" i="13"/>
  <c r="E429" i="13"/>
  <c r="F429" i="13" s="1"/>
  <c r="G429" i="13" s="1"/>
  <c r="H429" i="13" s="1"/>
  <c r="I429" i="13" s="1"/>
  <c r="K429" i="13" s="1"/>
  <c r="L429" i="13" s="1"/>
  <c r="M429" i="13" s="1"/>
  <c r="N429" i="13" s="1"/>
  <c r="O429" i="13" s="1"/>
  <c r="P429" i="13" s="1"/>
  <c r="Q429" i="13" s="1"/>
  <c r="R429" i="13" s="1"/>
  <c r="S429" i="13" s="1"/>
  <c r="T429" i="13" s="1"/>
  <c r="J429" i="13" s="1"/>
  <c r="U429" i="13" s="1"/>
  <c r="C427" i="13"/>
  <c r="C426" i="13"/>
  <c r="Q425" i="13"/>
  <c r="P425" i="13"/>
  <c r="O425" i="13"/>
  <c r="D425" i="13"/>
  <c r="C425" i="13"/>
  <c r="Q424" i="13"/>
  <c r="P424" i="13"/>
  <c r="O424" i="13"/>
  <c r="D424" i="13"/>
  <c r="C424" i="13"/>
  <c r="Q423" i="13"/>
  <c r="P423" i="13"/>
  <c r="O423" i="13"/>
  <c r="D423" i="13"/>
  <c r="C423" i="13"/>
  <c r="Q422" i="13"/>
  <c r="P422" i="13"/>
  <c r="O422" i="13"/>
  <c r="D422" i="13"/>
  <c r="C422" i="13"/>
  <c r="Q421" i="13"/>
  <c r="P421" i="13"/>
  <c r="O421" i="13"/>
  <c r="D421" i="13"/>
  <c r="C421" i="13"/>
  <c r="Q420" i="13"/>
  <c r="P420" i="13"/>
  <c r="O420" i="13"/>
  <c r="D420" i="13"/>
  <c r="C420" i="13"/>
  <c r="Q419" i="13"/>
  <c r="P419" i="13"/>
  <c r="O419" i="13"/>
  <c r="D419" i="13"/>
  <c r="C419" i="13"/>
  <c r="Q418" i="13"/>
  <c r="P418" i="13"/>
  <c r="O418" i="13"/>
  <c r="N418" i="13"/>
  <c r="M418" i="13"/>
  <c r="E418" i="13"/>
  <c r="D418" i="13"/>
  <c r="C418" i="13"/>
  <c r="Q417" i="13"/>
  <c r="P417" i="13"/>
  <c r="O417" i="13"/>
  <c r="N417" i="13"/>
  <c r="M417" i="13"/>
  <c r="E417" i="13"/>
  <c r="D417" i="13"/>
  <c r="C417" i="13"/>
  <c r="P416" i="13"/>
  <c r="O416" i="13"/>
  <c r="N416" i="13"/>
  <c r="M416" i="13"/>
  <c r="E416" i="13"/>
  <c r="D416" i="13"/>
  <c r="C416" i="13"/>
  <c r="C415" i="13"/>
  <c r="N414" i="13"/>
  <c r="M414" i="13"/>
  <c r="E414" i="13"/>
  <c r="J414" i="13" s="1"/>
  <c r="C414" i="13"/>
  <c r="N413" i="13"/>
  <c r="M413" i="13"/>
  <c r="E413" i="13"/>
  <c r="C413" i="13"/>
  <c r="C412" i="13"/>
  <c r="C411" i="13"/>
  <c r="C410" i="13"/>
  <c r="C409" i="13"/>
  <c r="C408" i="13"/>
  <c r="C407" i="13"/>
  <c r="C406" i="13"/>
  <c r="C405" i="13"/>
  <c r="C404" i="13"/>
  <c r="E402" i="13"/>
  <c r="F402" i="13" s="1"/>
  <c r="G402" i="13" s="1"/>
  <c r="H402" i="13" s="1"/>
  <c r="I402" i="13" s="1"/>
  <c r="K402" i="13" s="1"/>
  <c r="L402" i="13" s="1"/>
  <c r="M402" i="13" s="1"/>
  <c r="N402" i="13" s="1"/>
  <c r="O402" i="13" s="1"/>
  <c r="P402" i="13" s="1"/>
  <c r="Q402" i="13" s="1"/>
  <c r="R402" i="13" s="1"/>
  <c r="S402" i="13" s="1"/>
  <c r="T402" i="13" s="1"/>
  <c r="J402" i="13" s="1"/>
  <c r="U402" i="13" s="1"/>
  <c r="C400" i="13"/>
  <c r="U399" i="13"/>
  <c r="T399" i="13"/>
  <c r="S399" i="13"/>
  <c r="R399" i="13"/>
  <c r="Q399" i="13"/>
  <c r="P399" i="13"/>
  <c r="L399" i="13"/>
  <c r="K399" i="13"/>
  <c r="J399" i="13"/>
  <c r="H399" i="13"/>
  <c r="G399" i="13"/>
  <c r="F399" i="13"/>
  <c r="E399" i="13"/>
  <c r="D399" i="13"/>
  <c r="C399" i="13"/>
  <c r="U398" i="13"/>
  <c r="T398" i="13"/>
  <c r="S398" i="13"/>
  <c r="R398" i="13"/>
  <c r="L398" i="13"/>
  <c r="K398" i="13"/>
  <c r="D398" i="13"/>
  <c r="C398" i="13"/>
  <c r="U397" i="13"/>
  <c r="T397" i="13"/>
  <c r="S397" i="13"/>
  <c r="R397" i="13"/>
  <c r="L397" i="13"/>
  <c r="K397" i="13"/>
  <c r="D397" i="13"/>
  <c r="C397" i="13"/>
  <c r="U396" i="13"/>
  <c r="T396" i="13"/>
  <c r="S396" i="13"/>
  <c r="R396" i="13"/>
  <c r="L396" i="13"/>
  <c r="K396" i="13"/>
  <c r="D396" i="13"/>
  <c r="C396" i="13"/>
  <c r="U395" i="13"/>
  <c r="T395" i="13"/>
  <c r="S395" i="13"/>
  <c r="R395" i="13"/>
  <c r="L395" i="13"/>
  <c r="K395" i="13"/>
  <c r="H395" i="13"/>
  <c r="G395" i="13"/>
  <c r="D395" i="13"/>
  <c r="C395" i="13"/>
  <c r="U394" i="13"/>
  <c r="T394" i="13"/>
  <c r="S394" i="13"/>
  <c r="R394" i="13"/>
  <c r="L394" i="13"/>
  <c r="K394" i="13"/>
  <c r="H394" i="13"/>
  <c r="G394" i="13"/>
  <c r="D394" i="13"/>
  <c r="C394" i="13"/>
  <c r="U393" i="13"/>
  <c r="T393" i="13"/>
  <c r="S393" i="13"/>
  <c r="R393" i="13"/>
  <c r="L393" i="13"/>
  <c r="K393" i="13"/>
  <c r="J393" i="13"/>
  <c r="I393" i="13"/>
  <c r="H393" i="13"/>
  <c r="G393" i="13"/>
  <c r="F393" i="13"/>
  <c r="D393" i="13"/>
  <c r="C393" i="13"/>
  <c r="U392" i="13"/>
  <c r="T392" i="13"/>
  <c r="S392" i="13"/>
  <c r="R392" i="13"/>
  <c r="L392" i="13"/>
  <c r="K392" i="13"/>
  <c r="J392" i="13"/>
  <c r="I392" i="13"/>
  <c r="H392" i="13"/>
  <c r="G392" i="13"/>
  <c r="F392" i="13"/>
  <c r="D392" i="13"/>
  <c r="C392" i="13"/>
  <c r="U391" i="13"/>
  <c r="T391" i="13"/>
  <c r="S391" i="13"/>
  <c r="R391" i="13"/>
  <c r="L391" i="13"/>
  <c r="K391" i="13"/>
  <c r="J391" i="13"/>
  <c r="H391" i="13"/>
  <c r="G391" i="13"/>
  <c r="F391" i="13"/>
  <c r="D391" i="13"/>
  <c r="C391" i="13"/>
  <c r="U390" i="13"/>
  <c r="T390" i="13"/>
  <c r="S390" i="13"/>
  <c r="R390" i="13"/>
  <c r="L390" i="13"/>
  <c r="K390" i="13"/>
  <c r="J390" i="13"/>
  <c r="I390" i="13"/>
  <c r="H390" i="13"/>
  <c r="G390" i="13"/>
  <c r="F390" i="13"/>
  <c r="D390" i="13"/>
  <c r="C390" i="13"/>
  <c r="U389" i="13"/>
  <c r="T389" i="13"/>
  <c r="S389" i="13"/>
  <c r="R389" i="13"/>
  <c r="O389" i="13"/>
  <c r="L389" i="13"/>
  <c r="J389" i="13"/>
  <c r="I389" i="13"/>
  <c r="H389" i="13"/>
  <c r="G389" i="13"/>
  <c r="F389" i="13"/>
  <c r="E389" i="13"/>
  <c r="D389" i="13"/>
  <c r="C389" i="13"/>
  <c r="U388" i="13"/>
  <c r="T388" i="13"/>
  <c r="S388" i="13"/>
  <c r="O388" i="13"/>
  <c r="L388" i="13"/>
  <c r="J388" i="13"/>
  <c r="I388" i="13"/>
  <c r="H388" i="13"/>
  <c r="G388" i="13"/>
  <c r="F388" i="13"/>
  <c r="E388" i="13"/>
  <c r="D388" i="13"/>
  <c r="C388" i="13"/>
  <c r="U387" i="13"/>
  <c r="T387" i="13"/>
  <c r="S387" i="13"/>
  <c r="P387" i="13"/>
  <c r="O387" i="13"/>
  <c r="L387" i="13"/>
  <c r="H387" i="13"/>
  <c r="G387" i="13"/>
  <c r="F387" i="13"/>
  <c r="E387" i="13"/>
  <c r="D387" i="13"/>
  <c r="C387" i="13"/>
  <c r="U386" i="13"/>
  <c r="S386" i="13"/>
  <c r="P386" i="13"/>
  <c r="O386" i="13"/>
  <c r="J386" i="13"/>
  <c r="I386" i="13"/>
  <c r="H386" i="13"/>
  <c r="G386" i="13"/>
  <c r="F386" i="13"/>
  <c r="E386" i="13"/>
  <c r="D386" i="13"/>
  <c r="C386" i="13"/>
  <c r="U385" i="13"/>
  <c r="T385" i="13"/>
  <c r="S385" i="13"/>
  <c r="R385" i="13"/>
  <c r="P385" i="13"/>
  <c r="O385" i="13"/>
  <c r="L385" i="13"/>
  <c r="K385" i="13"/>
  <c r="J385" i="13"/>
  <c r="I385" i="13"/>
  <c r="H385" i="13"/>
  <c r="G385" i="13"/>
  <c r="F385" i="13"/>
  <c r="E385" i="13"/>
  <c r="D385" i="13"/>
  <c r="C385" i="13"/>
  <c r="U384" i="13"/>
  <c r="T384" i="13"/>
  <c r="S384" i="13"/>
  <c r="P384" i="13"/>
  <c r="O384" i="13"/>
  <c r="L384" i="13"/>
  <c r="K384" i="13"/>
  <c r="J384" i="13"/>
  <c r="I384" i="13"/>
  <c r="H384" i="13"/>
  <c r="G384" i="13"/>
  <c r="F384" i="13"/>
  <c r="E384" i="13"/>
  <c r="D384" i="13"/>
  <c r="C384" i="13"/>
  <c r="U383" i="13"/>
  <c r="T383" i="13"/>
  <c r="S383" i="13"/>
  <c r="P383" i="13"/>
  <c r="O383" i="13"/>
  <c r="L383" i="13"/>
  <c r="K383" i="13"/>
  <c r="J383" i="13"/>
  <c r="I383" i="13"/>
  <c r="H383" i="13"/>
  <c r="G383" i="13"/>
  <c r="F383" i="13"/>
  <c r="E383" i="13"/>
  <c r="D383" i="13"/>
  <c r="C383" i="13"/>
  <c r="U382" i="13"/>
  <c r="S382" i="13"/>
  <c r="P382" i="13"/>
  <c r="O382" i="13"/>
  <c r="L382" i="13"/>
  <c r="K382" i="13"/>
  <c r="J382" i="13"/>
  <c r="H382" i="13"/>
  <c r="G382" i="13"/>
  <c r="F382" i="13"/>
  <c r="E382" i="13"/>
  <c r="D382" i="13"/>
  <c r="C382" i="13"/>
  <c r="U381" i="13"/>
  <c r="T381" i="13"/>
  <c r="S381" i="13"/>
  <c r="P381" i="13"/>
  <c r="O381" i="13"/>
  <c r="L381" i="13"/>
  <c r="K381" i="13"/>
  <c r="J381" i="13"/>
  <c r="I381" i="13"/>
  <c r="H381" i="13"/>
  <c r="G381" i="13"/>
  <c r="F381" i="13"/>
  <c r="E381" i="13"/>
  <c r="D381" i="13"/>
  <c r="C381" i="13"/>
  <c r="U380" i="13"/>
  <c r="S380" i="13"/>
  <c r="P380" i="13"/>
  <c r="O380" i="13"/>
  <c r="L380" i="13"/>
  <c r="J380" i="13"/>
  <c r="H380" i="13"/>
  <c r="G380" i="13"/>
  <c r="F380" i="13"/>
  <c r="E380" i="13"/>
  <c r="D380" i="13"/>
  <c r="C380" i="13"/>
  <c r="U379" i="13"/>
  <c r="S379" i="13"/>
  <c r="P379" i="13"/>
  <c r="O379" i="13"/>
  <c r="L379" i="13"/>
  <c r="J379" i="13"/>
  <c r="I379" i="13"/>
  <c r="H379" i="13"/>
  <c r="G379" i="13"/>
  <c r="F379" i="13"/>
  <c r="E379" i="13"/>
  <c r="D379" i="13"/>
  <c r="C379" i="13"/>
  <c r="U378" i="13"/>
  <c r="T378" i="13"/>
  <c r="P378" i="13"/>
  <c r="O378" i="13"/>
  <c r="L378" i="13"/>
  <c r="J378" i="13"/>
  <c r="I378" i="13"/>
  <c r="H378" i="13"/>
  <c r="G378" i="13"/>
  <c r="F378" i="13"/>
  <c r="E378" i="13"/>
  <c r="D378" i="13"/>
  <c r="C378" i="13"/>
  <c r="U377" i="13"/>
  <c r="T377" i="13"/>
  <c r="P377" i="13"/>
  <c r="O377" i="13"/>
  <c r="L377" i="13"/>
  <c r="J377" i="13"/>
  <c r="I377" i="13"/>
  <c r="H377" i="13"/>
  <c r="G377" i="13"/>
  <c r="F377" i="13"/>
  <c r="E377" i="13"/>
  <c r="D377" i="13"/>
  <c r="C377" i="13"/>
  <c r="E375" i="13"/>
  <c r="F375" i="13" s="1"/>
  <c r="G375" i="13" s="1"/>
  <c r="H375" i="13" s="1"/>
  <c r="I375" i="13" s="1"/>
  <c r="K375" i="13" s="1"/>
  <c r="L375" i="13" s="1"/>
  <c r="M375" i="13" s="1"/>
  <c r="N375" i="13" s="1"/>
  <c r="O375" i="13" s="1"/>
  <c r="P375" i="13" s="1"/>
  <c r="Q375" i="13" s="1"/>
  <c r="R375" i="13" s="1"/>
  <c r="S375" i="13" s="1"/>
  <c r="T375" i="13" s="1"/>
  <c r="J375" i="13" s="1"/>
  <c r="U375" i="13" s="1"/>
  <c r="C373" i="13"/>
  <c r="C372" i="13"/>
  <c r="C371" i="13"/>
  <c r="C370" i="13"/>
  <c r="C369" i="13"/>
  <c r="C368" i="13"/>
  <c r="C367" i="13"/>
  <c r="C366" i="13"/>
  <c r="C365" i="13"/>
  <c r="C364" i="13"/>
  <c r="C363" i="13"/>
  <c r="C362" i="13"/>
  <c r="C361" i="13"/>
  <c r="C360" i="13"/>
  <c r="C359" i="13"/>
  <c r="C358" i="13"/>
  <c r="C356" i="13"/>
  <c r="C355" i="13"/>
  <c r="C354" i="13"/>
  <c r="C353" i="13"/>
  <c r="C352" i="13"/>
  <c r="C351" i="13"/>
  <c r="C350" i="13"/>
  <c r="E348" i="13"/>
  <c r="F348" i="13" s="1"/>
  <c r="G348" i="13" s="1"/>
  <c r="H348" i="13" s="1"/>
  <c r="I348" i="13" s="1"/>
  <c r="K348" i="13" s="1"/>
  <c r="L348" i="13" s="1"/>
  <c r="M348" i="13" s="1"/>
  <c r="N348" i="13" s="1"/>
  <c r="O348" i="13" s="1"/>
  <c r="P348" i="13" s="1"/>
  <c r="Q348" i="13" s="1"/>
  <c r="R348" i="13" s="1"/>
  <c r="S348" i="13" s="1"/>
  <c r="T348" i="13" s="1"/>
  <c r="J348" i="13" s="1"/>
  <c r="U348" i="13" s="1"/>
  <c r="C346" i="13"/>
  <c r="C345" i="13"/>
  <c r="C344" i="13"/>
  <c r="C343" i="13"/>
  <c r="C342" i="13"/>
  <c r="C341" i="13"/>
  <c r="C340" i="13"/>
  <c r="C339" i="13"/>
  <c r="C338" i="13"/>
  <c r="C337" i="13"/>
  <c r="C336" i="13"/>
  <c r="C335" i="13"/>
  <c r="C334" i="13"/>
  <c r="C333" i="13"/>
  <c r="C332" i="13"/>
  <c r="C331" i="13"/>
  <c r="C330" i="13"/>
  <c r="C329" i="13"/>
  <c r="C328" i="13"/>
  <c r="C327" i="13"/>
  <c r="C326" i="13"/>
  <c r="C325" i="13"/>
  <c r="C324" i="13"/>
  <c r="C323" i="13"/>
  <c r="E321" i="13"/>
  <c r="F321" i="13" s="1"/>
  <c r="G321" i="13" s="1"/>
  <c r="H321" i="13" s="1"/>
  <c r="I321" i="13" s="1"/>
  <c r="K321" i="13" s="1"/>
  <c r="L321" i="13" s="1"/>
  <c r="M321" i="13" s="1"/>
  <c r="N321" i="13" s="1"/>
  <c r="O321" i="13" s="1"/>
  <c r="P321" i="13" s="1"/>
  <c r="Q321" i="13" s="1"/>
  <c r="R321" i="13" s="1"/>
  <c r="S321" i="13" s="1"/>
  <c r="T321" i="13" s="1"/>
  <c r="J321" i="13" s="1"/>
  <c r="U321" i="13" s="1"/>
  <c r="C319" i="13"/>
  <c r="G318" i="13"/>
  <c r="C318" i="13"/>
  <c r="G317" i="13"/>
  <c r="C317" i="13"/>
  <c r="G316" i="13"/>
  <c r="C316" i="13"/>
  <c r="G315" i="13"/>
  <c r="C315" i="13"/>
  <c r="G314" i="13"/>
  <c r="C314" i="13"/>
  <c r="G313" i="13"/>
  <c r="C313" i="13"/>
  <c r="G312" i="13"/>
  <c r="C312" i="13"/>
  <c r="C311" i="13"/>
  <c r="G310" i="13"/>
  <c r="C310" i="13"/>
  <c r="G309" i="13"/>
  <c r="C309" i="13"/>
  <c r="C308" i="13"/>
  <c r="C307" i="13"/>
  <c r="C306" i="13"/>
  <c r="C305" i="13"/>
  <c r="C304" i="13"/>
  <c r="C303" i="13"/>
  <c r="C302" i="13"/>
  <c r="C301" i="13"/>
  <c r="C300" i="13"/>
  <c r="C299" i="13"/>
  <c r="C298" i="13"/>
  <c r="C297" i="13"/>
  <c r="C296" i="13"/>
  <c r="E294" i="13"/>
  <c r="F294" i="13" s="1"/>
  <c r="G294" i="13" s="1"/>
  <c r="H294" i="13" s="1"/>
  <c r="I294" i="13" s="1"/>
  <c r="K294" i="13" s="1"/>
  <c r="L294" i="13" s="1"/>
  <c r="M294" i="13" s="1"/>
  <c r="N294" i="13" s="1"/>
  <c r="O294" i="13" s="1"/>
  <c r="P294" i="13" s="1"/>
  <c r="Q294" i="13" s="1"/>
  <c r="R294" i="13" s="1"/>
  <c r="S294" i="13" s="1"/>
  <c r="T294" i="13" s="1"/>
  <c r="J294" i="13" s="1"/>
  <c r="U294" i="13" s="1"/>
  <c r="C292" i="13"/>
  <c r="H291" i="13"/>
  <c r="G291" i="13"/>
  <c r="C291" i="13"/>
  <c r="H290" i="13"/>
  <c r="G290" i="13"/>
  <c r="C290" i="13"/>
  <c r="H289" i="13"/>
  <c r="G289" i="13"/>
  <c r="C289" i="13"/>
  <c r="H288" i="13"/>
  <c r="G288" i="13"/>
  <c r="C288" i="13"/>
  <c r="H287" i="13"/>
  <c r="G287" i="13"/>
  <c r="C287" i="13"/>
  <c r="H286" i="13"/>
  <c r="G286" i="13"/>
  <c r="C286" i="13"/>
  <c r="H285" i="13"/>
  <c r="G285" i="13"/>
  <c r="C285" i="13"/>
  <c r="C284" i="13"/>
  <c r="H283" i="13"/>
  <c r="G283" i="13"/>
  <c r="C283" i="13"/>
  <c r="H282" i="13"/>
  <c r="G282" i="13"/>
  <c r="C282" i="13"/>
  <c r="C281" i="13"/>
  <c r="C280" i="13"/>
  <c r="C279" i="13"/>
  <c r="C278" i="13"/>
  <c r="C277" i="13"/>
  <c r="C276" i="13"/>
  <c r="C275" i="13"/>
  <c r="C274" i="13"/>
  <c r="C273" i="13"/>
  <c r="C272" i="13"/>
  <c r="C271" i="13"/>
  <c r="C270" i="13"/>
  <c r="C269" i="13"/>
  <c r="E267" i="13"/>
  <c r="F267" i="13" s="1"/>
  <c r="G267" i="13" s="1"/>
  <c r="H267" i="13" s="1"/>
  <c r="I267" i="13" s="1"/>
  <c r="K267" i="13" s="1"/>
  <c r="L267" i="13" s="1"/>
  <c r="M267" i="13" s="1"/>
  <c r="N267" i="13" s="1"/>
  <c r="O267" i="13" s="1"/>
  <c r="P267" i="13" s="1"/>
  <c r="Q267" i="13" s="1"/>
  <c r="R267" i="13" s="1"/>
  <c r="S267" i="13" s="1"/>
  <c r="T267" i="13" s="1"/>
  <c r="J267" i="13" s="1"/>
  <c r="U267" i="13" s="1"/>
  <c r="C265" i="13"/>
  <c r="Q264" i="13"/>
  <c r="P264" i="13"/>
  <c r="O264" i="13"/>
  <c r="J264" i="13"/>
  <c r="I264" i="13"/>
  <c r="H264" i="13"/>
  <c r="G264" i="13"/>
  <c r="F264" i="13"/>
  <c r="E264" i="13"/>
  <c r="C264" i="13"/>
  <c r="Q263" i="13"/>
  <c r="P263" i="13"/>
  <c r="O263" i="13"/>
  <c r="J263" i="13"/>
  <c r="I263" i="13"/>
  <c r="H263" i="13"/>
  <c r="G263" i="13"/>
  <c r="F263" i="13"/>
  <c r="E263" i="13"/>
  <c r="C263" i="13"/>
  <c r="Q262" i="13"/>
  <c r="P262" i="13"/>
  <c r="O262" i="13"/>
  <c r="J262" i="13"/>
  <c r="I262" i="13"/>
  <c r="H262" i="13"/>
  <c r="G262" i="13"/>
  <c r="F262" i="13"/>
  <c r="E262" i="13"/>
  <c r="C262" i="13"/>
  <c r="Q261" i="13"/>
  <c r="P261" i="13"/>
  <c r="O261" i="13"/>
  <c r="J261" i="13"/>
  <c r="I261" i="13"/>
  <c r="H261" i="13"/>
  <c r="G261" i="13"/>
  <c r="F261" i="13"/>
  <c r="E261" i="13"/>
  <c r="C261" i="13"/>
  <c r="Q260" i="13"/>
  <c r="P260" i="13"/>
  <c r="O260" i="13"/>
  <c r="J260" i="13"/>
  <c r="I260" i="13"/>
  <c r="H260" i="13"/>
  <c r="G260" i="13"/>
  <c r="F260" i="13"/>
  <c r="E260" i="13"/>
  <c r="C260" i="13"/>
  <c r="Q259" i="13"/>
  <c r="P259" i="13"/>
  <c r="O259" i="13"/>
  <c r="J259" i="13"/>
  <c r="I259" i="13"/>
  <c r="H259" i="13"/>
  <c r="G259" i="13"/>
  <c r="F259" i="13"/>
  <c r="E259" i="13"/>
  <c r="C259" i="13"/>
  <c r="Q258" i="13"/>
  <c r="P258" i="13"/>
  <c r="O258" i="13"/>
  <c r="J258" i="13"/>
  <c r="I258" i="13"/>
  <c r="H258" i="13"/>
  <c r="G258" i="13"/>
  <c r="F258" i="13"/>
  <c r="E258" i="13"/>
  <c r="C258" i="13"/>
  <c r="Q256" i="13"/>
  <c r="P256" i="13"/>
  <c r="O256" i="13"/>
  <c r="J256" i="13"/>
  <c r="I256" i="13"/>
  <c r="H256" i="13"/>
  <c r="G256" i="13"/>
  <c r="F256" i="13"/>
  <c r="E256" i="13"/>
  <c r="C256" i="13"/>
  <c r="Q255" i="13"/>
  <c r="P255" i="13"/>
  <c r="O255" i="13"/>
  <c r="J255" i="13"/>
  <c r="I255" i="13"/>
  <c r="H255" i="13"/>
  <c r="G255" i="13"/>
  <c r="F255" i="13"/>
  <c r="E255" i="13"/>
  <c r="C255" i="13"/>
  <c r="S254" i="13"/>
  <c r="Q254" i="13"/>
  <c r="R254" i="13" s="1"/>
  <c r="N254" i="13"/>
  <c r="M254" i="13"/>
  <c r="L254" i="13"/>
  <c r="K254" i="13"/>
  <c r="J254" i="13"/>
  <c r="I254" i="13"/>
  <c r="D254" i="13"/>
  <c r="O254" i="13" s="1"/>
  <c r="C254" i="13"/>
  <c r="C253" i="13"/>
  <c r="C252" i="13"/>
  <c r="T251" i="13"/>
  <c r="S251" i="13"/>
  <c r="Q251" i="13"/>
  <c r="R251" i="13" s="1"/>
  <c r="N251" i="13"/>
  <c r="M251" i="13"/>
  <c r="L251" i="13"/>
  <c r="K251" i="13"/>
  <c r="J251" i="13"/>
  <c r="I251" i="13"/>
  <c r="D251" i="13"/>
  <c r="P251" i="13" s="1"/>
  <c r="C251" i="13"/>
  <c r="S250" i="13"/>
  <c r="Q250" i="13"/>
  <c r="R250" i="13" s="1"/>
  <c r="N250" i="13"/>
  <c r="M250" i="13"/>
  <c r="L250" i="13"/>
  <c r="K250" i="13"/>
  <c r="J250" i="13"/>
  <c r="I250" i="13"/>
  <c r="D250" i="13"/>
  <c r="P250" i="13" s="1"/>
  <c r="C250" i="13"/>
  <c r="J249" i="13"/>
  <c r="C249" i="13"/>
  <c r="S248" i="13"/>
  <c r="Q248" i="13"/>
  <c r="R248" i="13" s="1"/>
  <c r="N248" i="13"/>
  <c r="M248" i="13"/>
  <c r="L248" i="13"/>
  <c r="K248" i="13"/>
  <c r="J248" i="13"/>
  <c r="I248" i="13"/>
  <c r="D248" i="13"/>
  <c r="C248" i="13"/>
  <c r="T247" i="13"/>
  <c r="S247" i="13"/>
  <c r="Q247" i="13"/>
  <c r="R247" i="13" s="1"/>
  <c r="N247" i="13"/>
  <c r="M247" i="13"/>
  <c r="L247" i="13"/>
  <c r="K247" i="13"/>
  <c r="J247" i="13"/>
  <c r="I247" i="13"/>
  <c r="D247" i="13"/>
  <c r="O247" i="13" s="1"/>
  <c r="C247" i="13"/>
  <c r="S246" i="13"/>
  <c r="Q246" i="13"/>
  <c r="R246" i="13" s="1"/>
  <c r="N246" i="13"/>
  <c r="M246" i="13"/>
  <c r="L246" i="13"/>
  <c r="K246" i="13"/>
  <c r="J246" i="13"/>
  <c r="I246" i="13"/>
  <c r="D246" i="13"/>
  <c r="P246" i="13" s="1"/>
  <c r="C246" i="13"/>
  <c r="C245" i="13"/>
  <c r="C244" i="13"/>
  <c r="C243" i="13"/>
  <c r="C242" i="13"/>
  <c r="E240" i="13"/>
  <c r="F240" i="13" s="1"/>
  <c r="G240" i="13" s="1"/>
  <c r="H240" i="13" s="1"/>
  <c r="I240" i="13" s="1"/>
  <c r="K240" i="13" s="1"/>
  <c r="L240" i="13" s="1"/>
  <c r="M240" i="13" s="1"/>
  <c r="N240" i="13" s="1"/>
  <c r="O240" i="13" s="1"/>
  <c r="P240" i="13" s="1"/>
  <c r="Q240" i="13" s="1"/>
  <c r="R240" i="13" s="1"/>
  <c r="S240" i="13" s="1"/>
  <c r="T240" i="13" s="1"/>
  <c r="J240" i="13" s="1"/>
  <c r="U240" i="13" s="1"/>
  <c r="P234" i="13"/>
  <c r="Q231" i="13"/>
  <c r="P231" i="13"/>
  <c r="Q230" i="13"/>
  <c r="Q229" i="13"/>
  <c r="Q228" i="13"/>
  <c r="E228" i="13"/>
  <c r="E213" i="13"/>
  <c r="F213" i="13" s="1"/>
  <c r="G213" i="13" s="1"/>
  <c r="H213" i="13" s="1"/>
  <c r="I213" i="13" s="1"/>
  <c r="K213" i="13" s="1"/>
  <c r="L213" i="13" s="1"/>
  <c r="M213" i="13" s="1"/>
  <c r="N213" i="13" s="1"/>
  <c r="O213" i="13" s="1"/>
  <c r="P213" i="13" s="1"/>
  <c r="Q213" i="13" s="1"/>
  <c r="R213" i="13" s="1"/>
  <c r="S213" i="13" s="1"/>
  <c r="T213" i="13" s="1"/>
  <c r="J213" i="13" s="1"/>
  <c r="U213" i="13" s="1"/>
  <c r="C211" i="13"/>
  <c r="O210" i="13"/>
  <c r="O399" i="13" s="1"/>
  <c r="N210" i="13"/>
  <c r="N399" i="13" s="1"/>
  <c r="M210" i="13"/>
  <c r="M399" i="13" s="1"/>
  <c r="I210" i="13"/>
  <c r="I399" i="13" s="1"/>
  <c r="C210" i="13"/>
  <c r="Q209" i="13"/>
  <c r="Q398" i="13" s="1"/>
  <c r="P209" i="13"/>
  <c r="P398" i="13" s="1"/>
  <c r="O209" i="13"/>
  <c r="O398" i="13" s="1"/>
  <c r="J209" i="13"/>
  <c r="J398" i="13" s="1"/>
  <c r="I209" i="13"/>
  <c r="I398" i="13" s="1"/>
  <c r="H209" i="13"/>
  <c r="H398" i="13" s="1"/>
  <c r="G209" i="13"/>
  <c r="G398" i="13" s="1"/>
  <c r="F209" i="13"/>
  <c r="F398" i="13" s="1"/>
  <c r="E209" i="13"/>
  <c r="M209" i="13" s="1"/>
  <c r="M398" i="13" s="1"/>
  <c r="C209" i="13"/>
  <c r="Q208" i="13"/>
  <c r="Q397" i="13" s="1"/>
  <c r="P208" i="13"/>
  <c r="P397" i="13" s="1"/>
  <c r="O208" i="13"/>
  <c r="O397" i="13" s="1"/>
  <c r="J208" i="13"/>
  <c r="J397" i="13" s="1"/>
  <c r="I208" i="13"/>
  <c r="I397" i="13" s="1"/>
  <c r="H208" i="13"/>
  <c r="H397" i="13" s="1"/>
  <c r="G208" i="13"/>
  <c r="G397" i="13" s="1"/>
  <c r="F208" i="13"/>
  <c r="F397" i="13" s="1"/>
  <c r="E208" i="13"/>
  <c r="C208" i="13"/>
  <c r="Q207" i="13"/>
  <c r="Q396" i="13" s="1"/>
  <c r="P207" i="13"/>
  <c r="P396" i="13" s="1"/>
  <c r="O207" i="13"/>
  <c r="O396" i="13" s="1"/>
  <c r="J207" i="13"/>
  <c r="J396" i="13" s="1"/>
  <c r="I207" i="13"/>
  <c r="I396" i="13" s="1"/>
  <c r="H207" i="13"/>
  <c r="H396" i="13" s="1"/>
  <c r="G207" i="13"/>
  <c r="G396" i="13" s="1"/>
  <c r="F207" i="13"/>
  <c r="F396" i="13" s="1"/>
  <c r="E207" i="13"/>
  <c r="M207" i="13" s="1"/>
  <c r="M396" i="13" s="1"/>
  <c r="C207" i="13"/>
  <c r="Q206" i="13"/>
  <c r="Q395" i="13" s="1"/>
  <c r="P206" i="13"/>
  <c r="P395" i="13" s="1"/>
  <c r="O206" i="13"/>
  <c r="O395" i="13" s="1"/>
  <c r="J206" i="13"/>
  <c r="J395" i="13" s="1"/>
  <c r="I206" i="13"/>
  <c r="I395" i="13" s="1"/>
  <c r="F206" i="13"/>
  <c r="F395" i="13" s="1"/>
  <c r="E206" i="13"/>
  <c r="E395" i="13" s="1"/>
  <c r="C206" i="13"/>
  <c r="Q205" i="13"/>
  <c r="Q394" i="13" s="1"/>
  <c r="P205" i="13"/>
  <c r="P394" i="13" s="1"/>
  <c r="O205" i="13"/>
  <c r="O394" i="13" s="1"/>
  <c r="J205" i="13"/>
  <c r="J394" i="13" s="1"/>
  <c r="I205" i="13"/>
  <c r="I394" i="13" s="1"/>
  <c r="F205" i="13"/>
  <c r="F394" i="13" s="1"/>
  <c r="E205" i="13"/>
  <c r="M205" i="13" s="1"/>
  <c r="M394" i="13" s="1"/>
  <c r="C205" i="13"/>
  <c r="Q204" i="13"/>
  <c r="Q393" i="13" s="1"/>
  <c r="P204" i="13"/>
  <c r="P393" i="13" s="1"/>
  <c r="O204" i="13"/>
  <c r="O393" i="13" s="1"/>
  <c r="E204" i="13"/>
  <c r="C204" i="13"/>
  <c r="Q203" i="13"/>
  <c r="Q392" i="13" s="1"/>
  <c r="P203" i="13"/>
  <c r="P392" i="13" s="1"/>
  <c r="O203" i="13"/>
  <c r="O392" i="13" s="1"/>
  <c r="E203" i="13"/>
  <c r="E392" i="13" s="1"/>
  <c r="C203" i="13"/>
  <c r="Q202" i="13"/>
  <c r="Q391" i="13" s="1"/>
  <c r="P202" i="13"/>
  <c r="P391" i="13" s="1"/>
  <c r="O202" i="13"/>
  <c r="O391" i="13" s="1"/>
  <c r="I202" i="13"/>
  <c r="I391" i="13" s="1"/>
  <c r="E202" i="13"/>
  <c r="N202" i="13" s="1"/>
  <c r="N391" i="13" s="1"/>
  <c r="C202" i="13"/>
  <c r="Q201" i="13"/>
  <c r="Q390" i="13" s="1"/>
  <c r="P201" i="13"/>
  <c r="P390" i="13" s="1"/>
  <c r="O201" i="13"/>
  <c r="O390" i="13" s="1"/>
  <c r="E201" i="13"/>
  <c r="C201" i="13"/>
  <c r="Q200" i="13"/>
  <c r="Q389" i="13" s="1"/>
  <c r="P200" i="13"/>
  <c r="P389" i="13" s="1"/>
  <c r="N200" i="13"/>
  <c r="N389" i="13" s="1"/>
  <c r="M200" i="13"/>
  <c r="M389" i="13" s="1"/>
  <c r="K200" i="13"/>
  <c r="K389" i="13" s="1"/>
  <c r="C200" i="13"/>
  <c r="R199" i="13"/>
  <c r="R388" i="13" s="1"/>
  <c r="Q199" i="13"/>
  <c r="Q388" i="13" s="1"/>
  <c r="P199" i="13"/>
  <c r="P388" i="13" s="1"/>
  <c r="N199" i="13"/>
  <c r="N388" i="13" s="1"/>
  <c r="M199" i="13"/>
  <c r="M388" i="13" s="1"/>
  <c r="K199" i="13"/>
  <c r="K388" i="13" s="1"/>
  <c r="C199" i="13"/>
  <c r="R198" i="13"/>
  <c r="R387" i="13" s="1"/>
  <c r="Q198" i="13"/>
  <c r="Q387" i="13" s="1"/>
  <c r="N198" i="13"/>
  <c r="N387" i="13" s="1"/>
  <c r="M198" i="13"/>
  <c r="M387" i="13" s="1"/>
  <c r="K198" i="13"/>
  <c r="K387" i="13" s="1"/>
  <c r="J198" i="13"/>
  <c r="J387" i="13" s="1"/>
  <c r="I198" i="13"/>
  <c r="I387" i="13" s="1"/>
  <c r="C198" i="13"/>
  <c r="T197" i="13"/>
  <c r="T386" i="13" s="1"/>
  <c r="R197" i="13"/>
  <c r="R386" i="13" s="1"/>
  <c r="Q197" i="13"/>
  <c r="Q386" i="13" s="1"/>
  <c r="N197" i="13"/>
  <c r="N386" i="13" s="1"/>
  <c r="M197" i="13"/>
  <c r="M386" i="13" s="1"/>
  <c r="L197" i="13"/>
  <c r="L386" i="13" s="1"/>
  <c r="K197" i="13"/>
  <c r="K386" i="13" s="1"/>
  <c r="C197" i="13"/>
  <c r="Q196" i="13"/>
  <c r="Q385" i="13" s="1"/>
  <c r="N196" i="13"/>
  <c r="N385" i="13" s="1"/>
  <c r="M196" i="13"/>
  <c r="M385" i="13" s="1"/>
  <c r="C196" i="13"/>
  <c r="R195" i="13"/>
  <c r="R384" i="13" s="1"/>
  <c r="Q195" i="13"/>
  <c r="Q384" i="13" s="1"/>
  <c r="N195" i="13"/>
  <c r="N384" i="13" s="1"/>
  <c r="M195" i="13"/>
  <c r="M384" i="13" s="1"/>
  <c r="C195" i="13"/>
  <c r="R194" i="13"/>
  <c r="R383" i="13" s="1"/>
  <c r="Q194" i="13"/>
  <c r="Q383" i="13" s="1"/>
  <c r="N194" i="13"/>
  <c r="N383" i="13" s="1"/>
  <c r="M194" i="13"/>
  <c r="M383" i="13" s="1"/>
  <c r="C194" i="13"/>
  <c r="T193" i="13"/>
  <c r="T382" i="13" s="1"/>
  <c r="R193" i="13"/>
  <c r="R382" i="13" s="1"/>
  <c r="Q193" i="13"/>
  <c r="Q382" i="13" s="1"/>
  <c r="N193" i="13"/>
  <c r="N382" i="13" s="1"/>
  <c r="M193" i="13"/>
  <c r="M382" i="13" s="1"/>
  <c r="I193" i="13"/>
  <c r="I382" i="13" s="1"/>
  <c r="C193" i="13"/>
  <c r="R192" i="13"/>
  <c r="R381" i="13" s="1"/>
  <c r="Q192" i="13"/>
  <c r="Q381" i="13" s="1"/>
  <c r="N192" i="13"/>
  <c r="N381" i="13" s="1"/>
  <c r="M192" i="13"/>
  <c r="M381" i="13" s="1"/>
  <c r="C192" i="13"/>
  <c r="T191" i="13"/>
  <c r="T380" i="13" s="1"/>
  <c r="R191" i="13"/>
  <c r="R380" i="13" s="1"/>
  <c r="Q191" i="13"/>
  <c r="Q380" i="13" s="1"/>
  <c r="N191" i="13"/>
  <c r="N380" i="13" s="1"/>
  <c r="M191" i="13"/>
  <c r="M380" i="13" s="1"/>
  <c r="K191" i="13"/>
  <c r="K380" i="13" s="1"/>
  <c r="I191" i="13"/>
  <c r="I380" i="13" s="1"/>
  <c r="C191" i="13"/>
  <c r="T190" i="13"/>
  <c r="T379" i="13" s="1"/>
  <c r="R190" i="13"/>
  <c r="R379" i="13" s="1"/>
  <c r="Q190" i="13"/>
  <c r="Q379" i="13" s="1"/>
  <c r="N190" i="13"/>
  <c r="N379" i="13" s="1"/>
  <c r="M190" i="13"/>
  <c r="M379" i="13" s="1"/>
  <c r="K190" i="13"/>
  <c r="K379" i="13" s="1"/>
  <c r="C190" i="13"/>
  <c r="S189" i="13"/>
  <c r="S378" i="13" s="1"/>
  <c r="R189" i="13"/>
  <c r="R378" i="13" s="1"/>
  <c r="Q189" i="13"/>
  <c r="Q378" i="13" s="1"/>
  <c r="N189" i="13"/>
  <c r="N378" i="13" s="1"/>
  <c r="M189" i="13"/>
  <c r="M378" i="13" s="1"/>
  <c r="K189" i="13"/>
  <c r="K378" i="13" s="1"/>
  <c r="C189" i="13"/>
  <c r="S188" i="13"/>
  <c r="S377" i="13" s="1"/>
  <c r="R188" i="13"/>
  <c r="R377" i="13" s="1"/>
  <c r="Q188" i="13"/>
  <c r="Q377" i="13" s="1"/>
  <c r="N188" i="13"/>
  <c r="N377" i="13" s="1"/>
  <c r="M188" i="13"/>
  <c r="M377" i="13" s="1"/>
  <c r="K188" i="13"/>
  <c r="K377" i="13" s="1"/>
  <c r="C188" i="13"/>
  <c r="B166" i="13"/>
  <c r="B164" i="13"/>
  <c r="B163" i="13"/>
  <c r="B162" i="13"/>
  <c r="B161" i="13"/>
  <c r="B160" i="13"/>
  <c r="B159" i="13"/>
  <c r="B158" i="13"/>
  <c r="B157" i="13"/>
  <c r="L152" i="13"/>
  <c r="L1824" i="13" s="1"/>
  <c r="K152" i="13"/>
  <c r="L151" i="13"/>
  <c r="K151" i="13"/>
  <c r="L150" i="13"/>
  <c r="K150" i="13"/>
  <c r="L149" i="13"/>
  <c r="K149" i="13"/>
  <c r="L148" i="13"/>
  <c r="K148" i="13"/>
  <c r="L145" i="13"/>
  <c r="K145" i="13"/>
  <c r="L144" i="13"/>
  <c r="K144" i="13"/>
  <c r="L143" i="13"/>
  <c r="K143" i="13"/>
  <c r="L142" i="13"/>
  <c r="K142" i="13"/>
  <c r="L141" i="13"/>
  <c r="K141" i="13"/>
  <c r="L140" i="13"/>
  <c r="K140" i="13"/>
  <c r="L138" i="13"/>
  <c r="L1823" i="13" s="1"/>
  <c r="K138" i="13"/>
  <c r="K1823" i="13" s="1"/>
  <c r="L137" i="13"/>
  <c r="K137" i="13"/>
  <c r="L136" i="13"/>
  <c r="K136" i="13"/>
  <c r="L135" i="13"/>
  <c r="K135" i="13"/>
  <c r="L134" i="13"/>
  <c r="K134" i="13"/>
  <c r="D119" i="13"/>
  <c r="E118" i="13"/>
  <c r="E114" i="13"/>
  <c r="C112" i="13"/>
  <c r="C72" i="13"/>
  <c r="C73" i="13" s="1"/>
  <c r="F52" i="13"/>
  <c r="D52" i="13"/>
  <c r="D51" i="13"/>
  <c r="F50" i="13"/>
  <c r="H50" i="13" s="1"/>
  <c r="D50" i="13"/>
  <c r="D47" i="13"/>
  <c r="F46" i="13"/>
  <c r="H46" i="13" s="1"/>
  <c r="D46" i="13"/>
  <c r="F45" i="13"/>
  <c r="D45" i="13"/>
  <c r="C45" i="13"/>
  <c r="D43" i="13"/>
  <c r="F41" i="13"/>
  <c r="D41" i="13"/>
  <c r="F40" i="13"/>
  <c r="H40" i="13" s="1"/>
  <c r="D40" i="13"/>
  <c r="F39" i="13"/>
  <c r="D39" i="13"/>
  <c r="C39" i="13"/>
  <c r="F37" i="13"/>
  <c r="H37" i="13" s="1"/>
  <c r="D37" i="13"/>
  <c r="F36" i="13"/>
  <c r="D36" i="13"/>
  <c r="F35" i="13"/>
  <c r="H35" i="13" s="1"/>
  <c r="D35" i="13"/>
  <c r="C35" i="13"/>
  <c r="F33" i="13"/>
  <c r="H33" i="13" s="1"/>
  <c r="D33" i="13"/>
  <c r="F32" i="13"/>
  <c r="D32" i="13"/>
  <c r="F31" i="13"/>
  <c r="H31" i="13" s="1"/>
  <c r="D31" i="13"/>
  <c r="C31" i="13"/>
  <c r="F30" i="13"/>
  <c r="D30" i="13"/>
  <c r="F29" i="13"/>
  <c r="H29" i="13" s="1"/>
  <c r="D29" i="13"/>
  <c r="F28" i="13"/>
  <c r="D28" i="13"/>
  <c r="F26" i="13"/>
  <c r="H26" i="13" s="1"/>
  <c r="D26" i="13"/>
  <c r="C26" i="13"/>
  <c r="C52" i="13"/>
  <c r="C36" i="13"/>
  <c r="H28" i="13" l="1"/>
  <c r="H30" i="13"/>
  <c r="H36" i="13"/>
  <c r="D124" i="13"/>
  <c r="H34" i="13"/>
  <c r="H49" i="13"/>
  <c r="H44" i="13"/>
  <c r="H42" i="13"/>
  <c r="H38" i="13"/>
  <c r="H48" i="13"/>
  <c r="H32" i="13"/>
  <c r="H39" i="13"/>
  <c r="H41" i="13"/>
  <c r="H45" i="13"/>
  <c r="H52" i="13"/>
  <c r="O142" i="22"/>
  <c r="T34" i="4" s="1"/>
  <c r="S34" i="4"/>
  <c r="O141" i="22"/>
  <c r="T33" i="4" s="1"/>
  <c r="S33" i="4"/>
  <c r="AA38" i="5"/>
  <c r="E575" i="13"/>
  <c r="E570" i="13"/>
  <c r="E573" i="13"/>
  <c r="E578" i="13"/>
  <c r="G1396" i="13"/>
  <c r="J81" i="14"/>
  <c r="H81" i="14"/>
  <c r="D81" i="14"/>
  <c r="K81" i="14"/>
  <c r="D20" i="18" s="1"/>
  <c r="F81" i="14"/>
  <c r="I81" i="14"/>
  <c r="E81" i="14"/>
  <c r="L81" i="14"/>
  <c r="G81" i="14"/>
  <c r="L17" i="14"/>
  <c r="J47" i="14"/>
  <c r="D135" i="14"/>
  <c r="D133" i="14"/>
  <c r="D131" i="14"/>
  <c r="D129" i="14"/>
  <c r="D127" i="14"/>
  <c r="D125" i="14"/>
  <c r="D123" i="14"/>
  <c r="D128" i="14"/>
  <c r="D130" i="14"/>
  <c r="D132" i="14"/>
  <c r="D126" i="14"/>
  <c r="D124" i="14"/>
  <c r="D134" i="14"/>
  <c r="I19" i="14"/>
  <c r="G49" i="14"/>
  <c r="D48" i="14"/>
  <c r="F18" i="14"/>
  <c r="F19" i="14" s="1"/>
  <c r="J19" i="14"/>
  <c r="H49" i="14"/>
  <c r="G17" i="14"/>
  <c r="E47" i="14"/>
  <c r="M46" i="14"/>
  <c r="E82" i="14" s="1"/>
  <c r="C48" i="14"/>
  <c r="E18" i="14"/>
  <c r="H19" i="14"/>
  <c r="F49" i="14"/>
  <c r="L48" i="14"/>
  <c r="K48" i="14"/>
  <c r="D146" i="14"/>
  <c r="H20" i="18" s="1"/>
  <c r="C122" i="14"/>
  <c r="I48" i="14"/>
  <c r="K18" i="14"/>
  <c r="C37" i="13"/>
  <c r="E37" i="13" s="1"/>
  <c r="I914" i="13"/>
  <c r="C41" i="13"/>
  <c r="E41" i="13" s="1"/>
  <c r="C33" i="13"/>
  <c r="E33" i="13" s="1"/>
  <c r="AC8937" i="13" a="1"/>
  <c r="AC8937" i="13" s="1"/>
  <c r="K1325" i="13"/>
  <c r="Y8857" i="13" a="1"/>
  <c r="Y8857" i="13" s="1"/>
  <c r="V8896" i="13" a="1"/>
  <c r="V8896" i="13" s="1"/>
  <c r="H8903" i="13" a="1"/>
  <c r="H8903" i="13" s="1"/>
  <c r="G97" i="13"/>
  <c r="M8813" i="13" a="1"/>
  <c r="M8813" i="13" s="1"/>
  <c r="P8917" i="13" a="1"/>
  <c r="P8917" i="13" s="1"/>
  <c r="D10464" i="13"/>
  <c r="E10464" i="13" s="1"/>
  <c r="F10464" i="13" s="1"/>
  <c r="G10464" i="13" s="1"/>
  <c r="H10464" i="13" s="1"/>
  <c r="I10464" i="13" s="1"/>
  <c r="J10464" i="13" s="1"/>
  <c r="K10464" i="13" s="1"/>
  <c r="L10464" i="13" s="1"/>
  <c r="M10464" i="13" s="1"/>
  <c r="N10464" i="13" s="1"/>
  <c r="O10464" i="13" s="1"/>
  <c r="P10464" i="13" s="1"/>
  <c r="Q10464" i="13" s="1"/>
  <c r="R10464" i="13" s="1"/>
  <c r="S10464" i="13" s="1"/>
  <c r="T10464" i="13" s="1"/>
  <c r="U10464" i="13" s="1"/>
  <c r="V10464" i="13" s="1"/>
  <c r="W10464" i="13" s="1"/>
  <c r="X10464" i="13" s="1"/>
  <c r="Y10464" i="13" s="1"/>
  <c r="Z10464" i="13" s="1"/>
  <c r="AA10464" i="13" s="1"/>
  <c r="AB10464" i="13" s="1"/>
  <c r="AC10464" i="13" s="1"/>
  <c r="AD10464" i="13" s="1"/>
  <c r="AE10464" i="13" s="1"/>
  <c r="AF10464" i="13" s="1"/>
  <c r="AG10464" i="13" s="1"/>
  <c r="AH10464" i="13" s="1"/>
  <c r="P8856" i="13" a="1"/>
  <c r="P8856" i="13" s="1"/>
  <c r="AF8856" i="13" a="1"/>
  <c r="AF8856" i="13" s="1"/>
  <c r="G34" i="13"/>
  <c r="G44" i="13"/>
  <c r="R8864" i="13" a="1"/>
  <c r="R8864" i="13" s="1"/>
  <c r="AE8919" i="13" a="1"/>
  <c r="AE8919" i="13" s="1"/>
  <c r="E8810" i="13" a="1"/>
  <c r="E8810" i="13" s="1"/>
  <c r="E8813" i="13" a="1"/>
  <c r="E8813" i="13" s="1"/>
  <c r="Y8813" i="13" a="1"/>
  <c r="Y8813" i="13" s="1"/>
  <c r="Y8858" i="13" a="1"/>
  <c r="Y8858" i="13" s="1"/>
  <c r="E8861" i="13" a="1"/>
  <c r="E8861" i="13" s="1"/>
  <c r="E8864" i="13" a="1"/>
  <c r="E8864" i="13" s="1"/>
  <c r="AC8877" i="13" a="1"/>
  <c r="AC8877" i="13" s="1"/>
  <c r="G8880" i="13" a="1"/>
  <c r="G8880" i="13" s="1"/>
  <c r="K8887" i="13" a="1"/>
  <c r="K8887" i="13" s="1"/>
  <c r="G8919" i="13" a="1"/>
  <c r="G8919" i="13" s="1"/>
  <c r="E8928" i="13" a="1"/>
  <c r="E8928" i="13" s="1"/>
  <c r="H8931" i="13" a="1"/>
  <c r="H8931" i="13" s="1"/>
  <c r="V8813" i="13" a="1"/>
  <c r="V8813" i="13" s="1"/>
  <c r="J8843" i="13" a="1"/>
  <c r="J8843" i="13" s="1"/>
  <c r="M1161" i="13"/>
  <c r="F8813" i="13" a="1"/>
  <c r="F8813" i="13" s="1"/>
  <c r="AE8813" i="13" a="1"/>
  <c r="AE8813" i="13" s="1"/>
  <c r="H8857" i="13" a="1"/>
  <c r="H8857" i="13" s="1"/>
  <c r="K8864" i="13" a="1"/>
  <c r="K8864" i="13" s="1"/>
  <c r="P8919" i="13" a="1"/>
  <c r="P8919" i="13" s="1"/>
  <c r="J922" i="13"/>
  <c r="AG1160" i="13"/>
  <c r="AF8880" i="13" a="1"/>
  <c r="AF8880" i="13" s="1"/>
  <c r="E1160" i="13"/>
  <c r="G1479" i="13"/>
  <c r="G1485" i="13" s="1"/>
  <c r="P8805" i="13" a="1"/>
  <c r="P8805" i="13" s="1"/>
  <c r="S8829" i="13" a="1"/>
  <c r="S8829" i="13" s="1"/>
  <c r="AD8888" i="13" a="1"/>
  <c r="AD8888" i="13" s="1"/>
  <c r="H8904" i="13" a="1"/>
  <c r="H8904" i="13" s="1"/>
  <c r="AD8915" i="13" a="1"/>
  <c r="AD8915" i="13" s="1"/>
  <c r="AD8931" i="13" a="1"/>
  <c r="AD8931" i="13" s="1"/>
  <c r="J8880" i="13" a="1"/>
  <c r="J8880" i="13" s="1"/>
  <c r="J915" i="13"/>
  <c r="I918" i="13"/>
  <c r="I1160" i="13"/>
  <c r="F1266" i="13"/>
  <c r="D1685" i="13"/>
  <c r="P8813" i="13" a="1"/>
  <c r="P8813" i="13" s="1"/>
  <c r="AF8813" i="13" a="1"/>
  <c r="AF8813" i="13" s="1"/>
  <c r="AD8823" i="13" a="1"/>
  <c r="AD8823" i="13" s="1"/>
  <c r="X8844" i="13" a="1"/>
  <c r="X8844" i="13" s="1"/>
  <c r="E8857" i="13" a="1"/>
  <c r="E8857" i="13" s="1"/>
  <c r="M8858" i="13" a="1"/>
  <c r="M8858" i="13" s="1"/>
  <c r="AE8864" i="13" a="1"/>
  <c r="AE8864" i="13" s="1"/>
  <c r="K8880" i="13" a="1"/>
  <c r="K8880" i="13" s="1"/>
  <c r="H8896" i="13" a="1"/>
  <c r="H8896" i="13" s="1"/>
  <c r="AC8927" i="13" a="1"/>
  <c r="AC8927" i="13" s="1"/>
  <c r="AF8872" i="13" a="1"/>
  <c r="AF8872" i="13" s="1"/>
  <c r="H8885" i="13" a="1"/>
  <c r="H8885" i="13" s="1"/>
  <c r="V8885" i="13" a="1"/>
  <c r="V8885" i="13" s="1"/>
  <c r="AD8907" i="13" a="1"/>
  <c r="AD8907" i="13" s="1"/>
  <c r="AB8908" i="13" a="1"/>
  <c r="AB8908" i="13" s="1"/>
  <c r="K8909" i="13" a="1"/>
  <c r="K8909" i="13" s="1"/>
  <c r="O8923" i="13" a="1"/>
  <c r="O8923" i="13" s="1"/>
  <c r="E8818" i="13" a="1"/>
  <c r="E8818" i="13" s="1"/>
  <c r="T8840" i="13" a="1"/>
  <c r="T8840" i="13" s="1"/>
  <c r="M8885" i="13" a="1"/>
  <c r="M8885" i="13" s="1"/>
  <c r="AB8885" i="13" a="1"/>
  <c r="AB8885" i="13" s="1"/>
  <c r="AA8909" i="13" a="1"/>
  <c r="AA8909" i="13" s="1"/>
  <c r="Z8923" i="13" a="1"/>
  <c r="Z8923" i="13" s="1"/>
  <c r="E28" i="13"/>
  <c r="C6" i="13" s="1"/>
  <c r="D23" i="23" s="1"/>
  <c r="N1042" i="13"/>
  <c r="P8809" i="13" a="1"/>
  <c r="P8809" i="13" s="1"/>
  <c r="J914" i="13"/>
  <c r="N1044" i="13"/>
  <c r="P1160" i="13"/>
  <c r="AB1161" i="13"/>
  <c r="E1660" i="13"/>
  <c r="E1661" i="13" s="1"/>
  <c r="G8813" i="13" a="1"/>
  <c r="G8813" i="13" s="1"/>
  <c r="R8813" i="13" a="1"/>
  <c r="R8813" i="13" s="1"/>
  <c r="AA8813" i="13" a="1"/>
  <c r="AA8813" i="13" s="1"/>
  <c r="AI8813" i="13" a="1"/>
  <c r="AI8813" i="13" s="1"/>
  <c r="AO8813" i="13" s="1" a="1"/>
  <c r="AO8813" i="13" s="1"/>
  <c r="AK8813" i="13" s="1"/>
  <c r="J8816" i="13" a="1"/>
  <c r="J8816" i="13" s="1"/>
  <c r="I8839" i="13" a="1"/>
  <c r="I8839" i="13" s="1"/>
  <c r="Z8843" i="13" a="1"/>
  <c r="Z8843" i="13" s="1"/>
  <c r="H8845" i="13" a="1"/>
  <c r="H8845" i="13" s="1"/>
  <c r="Q8855" i="13" a="1"/>
  <c r="Q8855" i="13" s="1"/>
  <c r="P8859" i="13" a="1"/>
  <c r="P8859" i="13" s="1"/>
  <c r="M8861" i="13" a="1"/>
  <c r="M8861" i="13" s="1"/>
  <c r="AA8864" i="13" a="1"/>
  <c r="AA8864" i="13" s="1"/>
  <c r="H8866" i="13" a="1"/>
  <c r="H8866" i="13" s="1"/>
  <c r="K8868" i="13" a="1"/>
  <c r="K8868" i="13" s="1"/>
  <c r="U8873" i="13" a="1"/>
  <c r="U8873" i="13" s="1"/>
  <c r="AA8880" i="13" a="1"/>
  <c r="AA8880" i="13" s="1"/>
  <c r="Q8882" i="13" a="1"/>
  <c r="Q8882" i="13" s="1"/>
  <c r="E8885" i="13" a="1"/>
  <c r="E8885" i="13" s="1"/>
  <c r="N8885" i="13" a="1"/>
  <c r="N8885" i="13" s="1"/>
  <c r="AD8885" i="13" a="1"/>
  <c r="AD8885" i="13" s="1"/>
  <c r="T8903" i="13" a="1"/>
  <c r="T8903" i="13" s="1"/>
  <c r="F8907" i="13" a="1"/>
  <c r="F8907" i="13" s="1"/>
  <c r="H8908" i="13" a="1"/>
  <c r="H8908" i="13" s="1"/>
  <c r="G8909" i="13" a="1"/>
  <c r="G8909" i="13" s="1"/>
  <c r="AF8909" i="13" a="1"/>
  <c r="AF8909" i="13" s="1"/>
  <c r="G8923" i="13" a="1"/>
  <c r="G8923" i="13" s="1"/>
  <c r="AE8923" i="13" a="1"/>
  <c r="AE8923" i="13" s="1"/>
  <c r="I8928" i="13" a="1"/>
  <c r="I8928" i="13" s="1"/>
  <c r="C10323" i="13"/>
  <c r="E1325" i="13"/>
  <c r="F1685" i="13"/>
  <c r="E30" i="13"/>
  <c r="N207" i="13"/>
  <c r="N396" i="13" s="1"/>
  <c r="J923" i="13"/>
  <c r="D1002" i="13"/>
  <c r="AA1160" i="13"/>
  <c r="L8813" i="13" a="1"/>
  <c r="L8813" i="13" s="1"/>
  <c r="T8813" i="13" a="1"/>
  <c r="T8813" i="13" s="1"/>
  <c r="AB8813" i="13" a="1"/>
  <c r="AB8813" i="13" s="1"/>
  <c r="W8839" i="13" a="1"/>
  <c r="W8839" i="13" s="1"/>
  <c r="Y8845" i="13" a="1"/>
  <c r="Y8845" i="13" s="1"/>
  <c r="U8866" i="13" a="1"/>
  <c r="U8866" i="13" s="1"/>
  <c r="V8868" i="13" a="1"/>
  <c r="V8868" i="13" s="1"/>
  <c r="F8885" i="13" a="1"/>
  <c r="F8885" i="13" s="1"/>
  <c r="S8885" i="13" a="1"/>
  <c r="S8885" i="13" s="1"/>
  <c r="AG8903" i="13" a="1"/>
  <c r="AG8903" i="13" s="1"/>
  <c r="U8907" i="13" a="1"/>
  <c r="U8907" i="13" s="1"/>
  <c r="J8909" i="13" a="1"/>
  <c r="J8909" i="13" s="1"/>
  <c r="J8923" i="13" a="1"/>
  <c r="J8923" i="13" s="1"/>
  <c r="U8928" i="13" a="1"/>
  <c r="U8928" i="13" s="1"/>
  <c r="W8827" i="13" a="1"/>
  <c r="W8827" i="13" s="1"/>
  <c r="T8827" i="13" a="1"/>
  <c r="T8827" i="13" s="1"/>
  <c r="F8827" i="13" a="1"/>
  <c r="F8827" i="13" s="1"/>
  <c r="N8804" i="13" a="1"/>
  <c r="N8804" i="13" s="1"/>
  <c r="J8804" i="13" a="1"/>
  <c r="J8804" i="13" s="1"/>
  <c r="AF8817" i="13" a="1"/>
  <c r="AF8817" i="13" s="1"/>
  <c r="AB8817" i="13" a="1"/>
  <c r="AB8817" i="13" s="1"/>
  <c r="N8817" i="13" a="1"/>
  <c r="N8817" i="13" s="1"/>
  <c r="AI8817" i="13" a="1"/>
  <c r="AI8817" i="13" s="1"/>
  <c r="AO8817" i="13" s="1" a="1"/>
  <c r="AO8817" i="13" s="1"/>
  <c r="AK8817" i="13" s="1"/>
  <c r="W8817" i="13" a="1"/>
  <c r="W8817" i="13" s="1"/>
  <c r="I8817" i="13" a="1"/>
  <c r="I8817" i="13" s="1"/>
  <c r="AH8817" i="13" a="1"/>
  <c r="AH8817" i="13" s="1"/>
  <c r="T8817" i="13" a="1"/>
  <c r="T8817" i="13" s="1"/>
  <c r="G8817" i="13" a="1"/>
  <c r="G8817" i="13" s="1"/>
  <c r="H910" i="13"/>
  <c r="J910" i="13"/>
  <c r="I910" i="13"/>
  <c r="E1685" i="13"/>
  <c r="AF8809" i="13" a="1"/>
  <c r="AF8809" i="13" s="1"/>
  <c r="AB8809" i="13" a="1"/>
  <c r="AB8809" i="13" s="1"/>
  <c r="N8809" i="13" a="1"/>
  <c r="N8809" i="13" s="1"/>
  <c r="AI8809" i="13" a="1"/>
  <c r="AI8809" i="13" s="1"/>
  <c r="AO8809" i="13" s="1" a="1"/>
  <c r="AO8809" i="13" s="1"/>
  <c r="AK8809" i="13" s="1"/>
  <c r="W8809" i="13" a="1"/>
  <c r="W8809" i="13" s="1"/>
  <c r="I8809" i="13" a="1"/>
  <c r="I8809" i="13" s="1"/>
  <c r="AH8809" i="13" a="1"/>
  <c r="AH8809" i="13" s="1"/>
  <c r="T8809" i="13" a="1"/>
  <c r="T8809" i="13" s="1"/>
  <c r="G8809" i="13" a="1"/>
  <c r="G8809" i="13" s="1"/>
  <c r="P8817" i="13" a="1"/>
  <c r="P8817" i="13" s="1"/>
  <c r="AH8828" i="13" a="1"/>
  <c r="AH8828" i="13" s="1"/>
  <c r="N8828" i="13" a="1"/>
  <c r="N8828" i="13" s="1"/>
  <c r="J8828" i="13" a="1"/>
  <c r="J8828" i="13" s="1"/>
  <c r="H919" i="13"/>
  <c r="J919" i="13"/>
  <c r="E1580" i="13"/>
  <c r="E1586" i="13" s="1"/>
  <c r="E1574" i="13"/>
  <c r="AC8817" i="13" a="1"/>
  <c r="AC8817" i="13" s="1"/>
  <c r="AE8837" i="13" a="1"/>
  <c r="AE8837" i="13" s="1"/>
  <c r="AG8837" i="13" a="1"/>
  <c r="AG8837" i="13" s="1"/>
  <c r="W8837" i="13" a="1"/>
  <c r="W8837" i="13" s="1"/>
  <c r="K8837" i="13" a="1"/>
  <c r="K8837" i="13" s="1"/>
  <c r="Z8849" i="13" a="1"/>
  <c r="Z8849" i="13" s="1"/>
  <c r="Q8853" i="13" a="1"/>
  <c r="Q8853" i="13" s="1"/>
  <c r="AH8853" i="13" a="1"/>
  <c r="AH8853" i="13" s="1"/>
  <c r="P8866" i="13" a="1"/>
  <c r="P8866" i="13" s="1"/>
  <c r="AC8866" i="13" a="1"/>
  <c r="AC8866" i="13" s="1"/>
  <c r="E52" i="13"/>
  <c r="C18" i="13" s="1"/>
  <c r="J911" i="13"/>
  <c r="J918" i="13"/>
  <c r="M1044" i="13"/>
  <c r="P1161" i="13"/>
  <c r="AC1161" i="13"/>
  <c r="D1622" i="13"/>
  <c r="W8805" i="13" a="1"/>
  <c r="W8805" i="13" s="1"/>
  <c r="AE8843" i="13" a="1"/>
  <c r="AE8843" i="13" s="1"/>
  <c r="H8849" i="13" a="1"/>
  <c r="H8849" i="13" s="1"/>
  <c r="AC8849" i="13" a="1"/>
  <c r="AC8849" i="13" s="1"/>
  <c r="I8853" i="13" a="1"/>
  <c r="I8853" i="13" s="1"/>
  <c r="W8853" i="13" a="1"/>
  <c r="W8853" i="13" s="1"/>
  <c r="W8857" i="13" a="1"/>
  <c r="W8857" i="13" s="1"/>
  <c r="X8859" i="13" a="1"/>
  <c r="X8859" i="13" s="1"/>
  <c r="O8864" i="13" a="1"/>
  <c r="O8864" i="13" s="1"/>
  <c r="AC8864" i="13" a="1"/>
  <c r="AC8864" i="13" s="1"/>
  <c r="E8866" i="13" a="1"/>
  <c r="E8866" i="13" s="1"/>
  <c r="Q8866" i="13" a="1"/>
  <c r="Q8866" i="13" s="1"/>
  <c r="AF8866" i="13" a="1"/>
  <c r="AF8866" i="13" s="1"/>
  <c r="AC8869" i="13" a="1"/>
  <c r="AC8869" i="13" s="1"/>
  <c r="K8872" i="13" a="1"/>
  <c r="K8872" i="13" s="1"/>
  <c r="AF8875" i="13" a="1"/>
  <c r="AF8875" i="13" s="1"/>
  <c r="R8876" i="13" a="1"/>
  <c r="R8876" i="13" s="1"/>
  <c r="AF8896" i="13" a="1"/>
  <c r="AF8896" i="13" s="1"/>
  <c r="O8897" i="13" a="1"/>
  <c r="O8897" i="13" s="1"/>
  <c r="AH8897" i="13" a="1"/>
  <c r="AH8897" i="13" s="1"/>
  <c r="U8898" i="13" a="1"/>
  <c r="U8898" i="13" s="1"/>
  <c r="I8901" i="13" a="1"/>
  <c r="I8901" i="13" s="1"/>
  <c r="V8901" i="13" a="1"/>
  <c r="V8901" i="13" s="1"/>
  <c r="AI8901" i="13" a="1"/>
  <c r="AI8901" i="13" s="1"/>
  <c r="AO8901" i="13" s="1" a="1"/>
  <c r="AO8901" i="13" s="1"/>
  <c r="F8903" i="13" a="1"/>
  <c r="F8903" i="13" s="1"/>
  <c r="Q8903" i="13" a="1"/>
  <c r="Q8903" i="13" s="1"/>
  <c r="AC8903" i="13" a="1"/>
  <c r="AC8903" i="13" s="1"/>
  <c r="X8907" i="13" a="1"/>
  <c r="X8907" i="13" s="1"/>
  <c r="O8912" i="13" a="1"/>
  <c r="O8912" i="13" s="1"/>
  <c r="I8917" i="13" a="1"/>
  <c r="I8917" i="13" s="1"/>
  <c r="Y8919" i="13" a="1"/>
  <c r="Y8919" i="13" s="1"/>
  <c r="AE8924" i="13" a="1"/>
  <c r="AE8924" i="13" s="1"/>
  <c r="Y8925" i="13" a="1"/>
  <c r="Y8925" i="13" s="1"/>
  <c r="I8927" i="13" a="1"/>
  <c r="I8927" i="13" s="1"/>
  <c r="AC8932" i="13" a="1"/>
  <c r="AC8932" i="13" s="1"/>
  <c r="V8936" i="13" a="1"/>
  <c r="V8936" i="13" s="1"/>
  <c r="U1161" i="13"/>
  <c r="G1685" i="13"/>
  <c r="AC8805" i="13" a="1"/>
  <c r="AC8805" i="13" s="1"/>
  <c r="J8853" i="13" a="1"/>
  <c r="J8853" i="13" s="1"/>
  <c r="Z8853" i="13" a="1"/>
  <c r="Z8853" i="13" s="1"/>
  <c r="AE8876" i="13" a="1"/>
  <c r="AE8876" i="13" s="1"/>
  <c r="S8897" i="13" a="1"/>
  <c r="S8897" i="13" s="1"/>
  <c r="AC8898" i="13" a="1"/>
  <c r="AC8898" i="13" s="1"/>
  <c r="AC8936" i="13" a="1"/>
  <c r="AC8936" i="13" s="1"/>
  <c r="F1161" i="13"/>
  <c r="AH1161" i="13"/>
  <c r="Q8849" i="13" a="1"/>
  <c r="Q8849" i="13" s="1"/>
  <c r="AH8849" i="13" a="1"/>
  <c r="AH8849" i="13" s="1"/>
  <c r="M8901" i="13" a="1"/>
  <c r="M8901" i="13" s="1"/>
  <c r="W8901" i="13" a="1"/>
  <c r="W8901" i="13" s="1"/>
  <c r="E36" i="13"/>
  <c r="C13" i="13" s="1"/>
  <c r="E46" i="13"/>
  <c r="G46" i="13" s="1"/>
  <c r="I922" i="13"/>
  <c r="Y1160" i="13"/>
  <c r="H1161" i="13"/>
  <c r="V1161" i="13"/>
  <c r="I8805" i="13" a="1"/>
  <c r="I8805" i="13" s="1"/>
  <c r="J8813" i="13" a="1"/>
  <c r="J8813" i="13" s="1"/>
  <c r="Q8813" i="13" a="1"/>
  <c r="Q8813" i="13" s="1"/>
  <c r="W8813" i="13" a="1"/>
  <c r="W8813" i="13" s="1"/>
  <c r="AD8813" i="13" a="1"/>
  <c r="AD8813" i="13" s="1"/>
  <c r="AF8816" i="13" a="1"/>
  <c r="AF8816" i="13" s="1"/>
  <c r="T8823" i="13" a="1"/>
  <c r="T8823" i="13" s="1"/>
  <c r="Q8845" i="13" a="1"/>
  <c r="Q8845" i="13" s="1"/>
  <c r="T8849" i="13" a="1"/>
  <c r="T8849" i="13" s="1"/>
  <c r="X8852" i="13" a="1"/>
  <c r="X8852" i="13" s="1"/>
  <c r="O8853" i="13" a="1"/>
  <c r="O8853" i="13" s="1"/>
  <c r="R8856" i="13" a="1"/>
  <c r="R8856" i="13" s="1"/>
  <c r="F8857" i="13" a="1"/>
  <c r="F8857" i="13" s="1"/>
  <c r="G8864" i="13" a="1"/>
  <c r="G8864" i="13" s="1"/>
  <c r="I8866" i="13" a="1"/>
  <c r="I8866" i="13" s="1"/>
  <c r="Y8866" i="13" a="1"/>
  <c r="Y8866" i="13" s="1"/>
  <c r="M8869" i="13" a="1"/>
  <c r="M8869" i="13" s="1"/>
  <c r="H8875" i="13" a="1"/>
  <c r="H8875" i="13" s="1"/>
  <c r="J8876" i="13" a="1"/>
  <c r="J8876" i="13" s="1"/>
  <c r="K8885" i="13" a="1"/>
  <c r="K8885" i="13" s="1"/>
  <c r="U8885" i="13" a="1"/>
  <c r="U8885" i="13" s="1"/>
  <c r="E8894" i="13" a="1"/>
  <c r="E8894" i="13" s="1"/>
  <c r="E8897" i="13" a="1"/>
  <c r="E8897" i="13" s="1"/>
  <c r="X8897" i="13" a="1"/>
  <c r="X8897" i="13" s="1"/>
  <c r="I8898" i="13" a="1"/>
  <c r="I8898" i="13" s="1"/>
  <c r="E8901" i="13" a="1"/>
  <c r="E8901" i="13" s="1"/>
  <c r="N8901" i="13" a="1"/>
  <c r="N8901" i="13" s="1"/>
  <c r="Z8901" i="13" a="1"/>
  <c r="Z8901" i="13" s="1"/>
  <c r="U8902" i="13" a="1"/>
  <c r="U8902" i="13" s="1"/>
  <c r="K8903" i="13" a="1"/>
  <c r="K8903" i="13" s="1"/>
  <c r="X8903" i="13" a="1"/>
  <c r="X8903" i="13" s="1"/>
  <c r="M8907" i="13" a="1"/>
  <c r="M8907" i="13" s="1"/>
  <c r="K8919" i="13" a="1"/>
  <c r="K8919" i="13" s="1"/>
  <c r="M8924" i="13" a="1"/>
  <c r="M8924" i="13" s="1"/>
  <c r="E8925" i="13" a="1"/>
  <c r="E8925" i="13" s="1"/>
  <c r="AB8926" i="13" a="1"/>
  <c r="AB8926" i="13" s="1"/>
  <c r="AI8928" i="13" a="1"/>
  <c r="AI8928" i="13" s="1"/>
  <c r="AO8928" i="13" s="1" a="1"/>
  <c r="AO8928" i="13" s="1"/>
  <c r="G8932" i="13" a="1"/>
  <c r="G8932" i="13" s="1"/>
  <c r="G8936" i="13" a="1"/>
  <c r="G8936" i="13" s="1"/>
  <c r="AH8936" i="13" a="1"/>
  <c r="AH8936" i="13" s="1"/>
  <c r="D10459" i="13"/>
  <c r="E10459" i="13" s="1"/>
  <c r="F10459" i="13" s="1"/>
  <c r="G10459" i="13" s="1"/>
  <c r="H10459" i="13" s="1"/>
  <c r="I10459" i="13" s="1"/>
  <c r="J10459" i="13" s="1"/>
  <c r="K10459" i="13" s="1"/>
  <c r="L10459" i="13" s="1"/>
  <c r="M10459" i="13" s="1"/>
  <c r="N10459" i="13" s="1"/>
  <c r="O10459" i="13" s="1"/>
  <c r="P10459" i="13" s="1"/>
  <c r="Q10459" i="13" s="1"/>
  <c r="R10459" i="13" s="1"/>
  <c r="S10459" i="13" s="1"/>
  <c r="T10459" i="13" s="1"/>
  <c r="U10459" i="13" s="1"/>
  <c r="V10459" i="13" s="1"/>
  <c r="W10459" i="13" s="1"/>
  <c r="X10459" i="13" s="1"/>
  <c r="Y10459" i="13" s="1"/>
  <c r="Z10459" i="13" s="1"/>
  <c r="AA10459" i="13" s="1"/>
  <c r="AB10459" i="13" s="1"/>
  <c r="AC10459" i="13" s="1"/>
  <c r="AD10459" i="13" s="1"/>
  <c r="AE10459" i="13" s="1"/>
  <c r="AF10459" i="13" s="1"/>
  <c r="AG10459" i="13" s="1"/>
  <c r="AH10459" i="13" s="1"/>
  <c r="T8875" i="13" a="1"/>
  <c r="T8875" i="13" s="1"/>
  <c r="I8897" i="13" a="1"/>
  <c r="I8897" i="13" s="1"/>
  <c r="AC8897" i="13" a="1"/>
  <c r="AC8897" i="13" s="1"/>
  <c r="F8901" i="13" a="1"/>
  <c r="F8901" i="13" s="1"/>
  <c r="Q8901" i="13" a="1"/>
  <c r="Q8901" i="13" s="1"/>
  <c r="AD8901" i="13" a="1"/>
  <c r="AD8901" i="13" s="1"/>
  <c r="N8903" i="13" a="1"/>
  <c r="N8903" i="13" s="1"/>
  <c r="Y8903" i="13" a="1"/>
  <c r="Y8903" i="13" s="1"/>
  <c r="W8932" i="13" a="1"/>
  <c r="W8932" i="13" s="1"/>
  <c r="G1215" i="13"/>
  <c r="D1215" i="13"/>
  <c r="N256" i="13"/>
  <c r="M256" i="13"/>
  <c r="N260" i="13"/>
  <c r="M260" i="13"/>
  <c r="M262" i="13"/>
  <c r="N262" i="13"/>
  <c r="N264" i="13"/>
  <c r="M264" i="13"/>
  <c r="M201" i="13"/>
  <c r="M390" i="13" s="1"/>
  <c r="N201" i="13"/>
  <c r="N390" i="13" s="1"/>
  <c r="F1574" i="13"/>
  <c r="M255" i="13"/>
  <c r="N255" i="13"/>
  <c r="M259" i="13"/>
  <c r="N259" i="13"/>
  <c r="M261" i="13"/>
  <c r="N261" i="13"/>
  <c r="N263" i="13"/>
  <c r="M263" i="13"/>
  <c r="E1628" i="13"/>
  <c r="E1634" i="13" s="1"/>
  <c r="E1622" i="13"/>
  <c r="Z8819" i="13" a="1"/>
  <c r="Z8819" i="13" s="1"/>
  <c r="K8819" i="13" a="1"/>
  <c r="K8819" i="13" s="1"/>
  <c r="AH8819" i="13" a="1"/>
  <c r="AH8819" i="13" s="1"/>
  <c r="L8819" i="13" a="1"/>
  <c r="L8819" i="13" s="1"/>
  <c r="AD8819" i="13" a="1"/>
  <c r="AD8819" i="13" s="1"/>
  <c r="G8819" i="13" a="1"/>
  <c r="G8819" i="13" s="1"/>
  <c r="T8819" i="13" a="1"/>
  <c r="T8819" i="13" s="1"/>
  <c r="AF8825" i="13" a="1"/>
  <c r="AF8825" i="13" s="1"/>
  <c r="Q8825" i="13" a="1"/>
  <c r="Q8825" i="13" s="1"/>
  <c r="K8825" i="13" a="1"/>
  <c r="K8825" i="13" s="1"/>
  <c r="AC8825" i="13" a="1"/>
  <c r="AC8825" i="13" s="1"/>
  <c r="V8825" i="13" a="1"/>
  <c r="V8825" i="13" s="1"/>
  <c r="E8825" i="13" a="1"/>
  <c r="E8825" i="13" s="1"/>
  <c r="M258" i="13"/>
  <c r="N258" i="13"/>
  <c r="S8814" i="13" a="1"/>
  <c r="S8814" i="13" s="1"/>
  <c r="E8814" i="13" a="1"/>
  <c r="E8814" i="13" s="1"/>
  <c r="N8808" i="13" a="1"/>
  <c r="N8808" i="13" s="1"/>
  <c r="AF8808" i="13" a="1"/>
  <c r="AF8808" i="13" s="1"/>
  <c r="AI8811" i="13" a="1"/>
  <c r="AI8811" i="13" s="1"/>
  <c r="AO8811" i="13" s="1" a="1"/>
  <c r="AO8811" i="13" s="1"/>
  <c r="AF8811" i="13" a="1"/>
  <c r="AF8811" i="13" s="1"/>
  <c r="F8811" i="13" a="1"/>
  <c r="F8811" i="13" s="1"/>
  <c r="N8811" i="13" a="1"/>
  <c r="N8811" i="13" s="1"/>
  <c r="AH8811" i="13" a="1"/>
  <c r="AH8811" i="13" s="1"/>
  <c r="E8811" i="13" a="1"/>
  <c r="E8811" i="13" s="1"/>
  <c r="W8811" i="13" a="1"/>
  <c r="W8811" i="13" s="1"/>
  <c r="AF8833" i="13" a="1"/>
  <c r="AF8833" i="13" s="1"/>
  <c r="AI8833" i="13" a="1"/>
  <c r="AI8833" i="13" s="1"/>
  <c r="AO8833" i="13" s="1" a="1"/>
  <c r="AO8833" i="13" s="1"/>
  <c r="S8833" i="13" a="1"/>
  <c r="S8833" i="13" s="1"/>
  <c r="F8833" i="13" a="1"/>
  <c r="F8833" i="13" s="1"/>
  <c r="N8833" i="13" a="1"/>
  <c r="N8833" i="13" s="1"/>
  <c r="AH8836" i="13" a="1"/>
  <c r="AH8836" i="13" s="1"/>
  <c r="AF8836" i="13" a="1"/>
  <c r="AF8836" i="13" s="1"/>
  <c r="P8836" i="13" a="1"/>
  <c r="P8836" i="13" s="1"/>
  <c r="AB8836" i="13" a="1"/>
  <c r="AB8836" i="13" s="1"/>
  <c r="AG8860" i="13" a="1"/>
  <c r="AG8860" i="13" s="1"/>
  <c r="AH8860" i="13" a="1"/>
  <c r="AH8860" i="13" s="1"/>
  <c r="AB8860" i="13" a="1"/>
  <c r="AB8860" i="13" s="1"/>
  <c r="W8860" i="13" a="1"/>
  <c r="W8860" i="13" s="1"/>
  <c r="R8860" i="13" a="1"/>
  <c r="R8860" i="13" s="1"/>
  <c r="L8860" i="13" a="1"/>
  <c r="L8860" i="13" s="1"/>
  <c r="G8860" i="13" a="1"/>
  <c r="G8860" i="13" s="1"/>
  <c r="I8860" i="13" a="1"/>
  <c r="I8860" i="13" s="1"/>
  <c r="P8860" i="13" a="1"/>
  <c r="P8860" i="13" s="1"/>
  <c r="X8860" i="13" a="1"/>
  <c r="X8860" i="13" s="1"/>
  <c r="AE8860" i="13" a="1"/>
  <c r="AE8860" i="13" s="1"/>
  <c r="G1574" i="13"/>
  <c r="AG8805" i="13" a="1"/>
  <c r="AG8805" i="13" s="1"/>
  <c r="AE8805" i="13" a="1"/>
  <c r="AE8805" i="13" s="1"/>
  <c r="AA8805" i="13" a="1"/>
  <c r="AA8805" i="13" s="1"/>
  <c r="V8805" i="13" a="1"/>
  <c r="V8805" i="13" s="1"/>
  <c r="Q8805" i="13" a="1"/>
  <c r="Q8805" i="13" s="1"/>
  <c r="L8805" i="13" a="1"/>
  <c r="L8805" i="13" s="1"/>
  <c r="F8805" i="13" a="1"/>
  <c r="F8805" i="13" s="1"/>
  <c r="J8805" i="13" a="1"/>
  <c r="J8805" i="13" s="1"/>
  <c r="R8805" i="13" a="1"/>
  <c r="R8805" i="13" s="1"/>
  <c r="X8805" i="13" a="1"/>
  <c r="X8805" i="13" s="1"/>
  <c r="AD8805" i="13" a="1"/>
  <c r="AD8805" i="13" s="1"/>
  <c r="E8833" i="13" a="1"/>
  <c r="E8833" i="13" s="1"/>
  <c r="V8833" i="13" a="1"/>
  <c r="V8833" i="13" s="1"/>
  <c r="AB8841" i="13" a="1"/>
  <c r="AB8841" i="13" s="1"/>
  <c r="H8841" i="13" a="1"/>
  <c r="H8841" i="13" s="1"/>
  <c r="U8842" i="13" a="1"/>
  <c r="U8842" i="13" s="1"/>
  <c r="E8846" i="13" a="1"/>
  <c r="E8846" i="13" s="1"/>
  <c r="E8847" i="13" a="1"/>
  <c r="E8847" i="13" s="1"/>
  <c r="E8860" i="13" a="1"/>
  <c r="E8860" i="13" s="1"/>
  <c r="J8860" i="13" a="1"/>
  <c r="J8860" i="13" s="1"/>
  <c r="S8860" i="13" a="1"/>
  <c r="S8860" i="13" s="1"/>
  <c r="Y8860" i="13" a="1"/>
  <c r="Y8860" i="13" s="1"/>
  <c r="AF8860" i="13" a="1"/>
  <c r="AF8860" i="13" s="1"/>
  <c r="E50" i="13"/>
  <c r="G50" i="13" s="1"/>
  <c r="E396" i="13"/>
  <c r="P8841" i="13" a="1"/>
  <c r="P8841" i="13" s="1"/>
  <c r="AC8843" i="13" a="1"/>
  <c r="AC8843" i="13" s="1"/>
  <c r="AH8843" i="13" a="1"/>
  <c r="AH8843" i="13" s="1"/>
  <c r="Q8843" i="13" a="1"/>
  <c r="Q8843" i="13" s="1"/>
  <c r="H8843" i="13" a="1"/>
  <c r="H8843" i="13" s="1"/>
  <c r="P8843" i="13" a="1"/>
  <c r="P8843" i="13" s="1"/>
  <c r="AH8844" i="13" a="1"/>
  <c r="AH8844" i="13" s="1"/>
  <c r="R8844" i="13" a="1"/>
  <c r="R8844" i="13" s="1"/>
  <c r="AB8844" i="13" a="1"/>
  <c r="AB8844" i="13" s="1"/>
  <c r="O8850" i="13" a="1"/>
  <c r="O8850" i="13" s="1"/>
  <c r="P8852" i="13" a="1"/>
  <c r="P8852" i="13" s="1"/>
  <c r="AD8853" i="13" a="1"/>
  <c r="AD8853" i="13" s="1"/>
  <c r="Y8853" i="13" a="1"/>
  <c r="Y8853" i="13" s="1"/>
  <c r="S8853" i="13" a="1"/>
  <c r="S8853" i="13" s="1"/>
  <c r="M8853" i="13" a="1"/>
  <c r="M8853" i="13" s="1"/>
  <c r="F8853" i="13" a="1"/>
  <c r="F8853" i="13" s="1"/>
  <c r="K8853" i="13" a="1"/>
  <c r="K8853" i="13" s="1"/>
  <c r="T8853" i="13" a="1"/>
  <c r="T8853" i="13" s="1"/>
  <c r="AA8853" i="13" a="1"/>
  <c r="AA8853" i="13" s="1"/>
  <c r="I8854" i="13" a="1"/>
  <c r="I8854" i="13" s="1"/>
  <c r="AG8854" i="13" a="1"/>
  <c r="AG8854" i="13" s="1"/>
  <c r="F8860" i="13" a="1"/>
  <c r="F8860" i="13" s="1"/>
  <c r="M8860" i="13" a="1"/>
  <c r="M8860" i="13" s="1"/>
  <c r="U8860" i="13" a="1"/>
  <c r="U8860" i="13" s="1"/>
  <c r="Z8860" i="13" a="1"/>
  <c r="Z8860" i="13" s="1"/>
  <c r="AI8860" i="13" a="1"/>
  <c r="AI8860" i="13" s="1"/>
  <c r="AO8860" i="13" s="1" a="1"/>
  <c r="AO8860" i="13" s="1"/>
  <c r="E8868" i="13" a="1"/>
  <c r="E8868" i="13" s="1"/>
  <c r="R8868" i="13" a="1"/>
  <c r="R8868" i="13" s="1"/>
  <c r="AI8868" i="13" a="1"/>
  <c r="AI8868" i="13" s="1"/>
  <c r="AO8868" i="13" s="1" a="1"/>
  <c r="AO8868" i="13" s="1"/>
  <c r="M8877" i="13" a="1"/>
  <c r="M8877" i="13" s="1"/>
  <c r="I8882" i="13" a="1"/>
  <c r="I8882" i="13" s="1"/>
  <c r="AE8882" i="13" a="1"/>
  <c r="AE8882" i="13" s="1"/>
  <c r="J8884" i="13" a="1"/>
  <c r="J8884" i="13" s="1"/>
  <c r="AI8895" i="13" a="1"/>
  <c r="AI8895" i="13" s="1"/>
  <c r="AO8895" i="13" s="1" a="1"/>
  <c r="AO8895" i="13" s="1"/>
  <c r="V8900" i="13" a="1"/>
  <c r="V8900" i="13" s="1"/>
  <c r="F8900" i="13" a="1"/>
  <c r="F8900" i="13" s="1"/>
  <c r="T8900" i="13" a="1"/>
  <c r="T8900" i="13" s="1"/>
  <c r="AG8905" i="13" a="1"/>
  <c r="AG8905" i="13" s="1"/>
  <c r="AC8905" i="13" a="1"/>
  <c r="AC8905" i="13" s="1"/>
  <c r="N8905" i="13" a="1"/>
  <c r="N8905" i="13" s="1"/>
  <c r="F8905" i="13" a="1"/>
  <c r="F8905" i="13" s="1"/>
  <c r="AF8905" i="13" a="1"/>
  <c r="AF8905" i="13" s="1"/>
  <c r="K8905" i="13" a="1"/>
  <c r="K8905" i="13" s="1"/>
  <c r="W8905" i="13" a="1"/>
  <c r="W8905" i="13" s="1"/>
  <c r="G591" i="13"/>
  <c r="H591" i="13" s="1"/>
  <c r="I591" i="13" s="1"/>
  <c r="J591" i="13" s="1"/>
  <c r="K591" i="13" s="1"/>
  <c r="L591" i="13" s="1"/>
  <c r="M591" i="13" s="1"/>
  <c r="N591" i="13" s="1"/>
  <c r="O591" i="13" s="1"/>
  <c r="P591" i="13" s="1"/>
  <c r="Q591" i="13" s="1"/>
  <c r="R591" i="13" s="1"/>
  <c r="S591" i="13" s="1"/>
  <c r="T591" i="13" s="1"/>
  <c r="U591" i="13" s="1"/>
  <c r="V591" i="13" s="1"/>
  <c r="W591" i="13" s="1"/>
  <c r="X591" i="13" s="1"/>
  <c r="Y591" i="13" s="1"/>
  <c r="Z591" i="13" s="1"/>
  <c r="AA591" i="13" s="1"/>
  <c r="AB591" i="13" s="1"/>
  <c r="AC591" i="13" s="1"/>
  <c r="AD591" i="13" s="1"/>
  <c r="AE591" i="13" s="1"/>
  <c r="AF591" i="13" s="1"/>
  <c r="AG591" i="13" s="1"/>
  <c r="AH591" i="13" s="1"/>
  <c r="AI591" i="13" s="1"/>
  <c r="J884" i="13"/>
  <c r="I911" i="13"/>
  <c r="I915" i="13"/>
  <c r="I919" i="13"/>
  <c r="I923" i="13"/>
  <c r="N1043" i="13"/>
  <c r="E1161" i="13"/>
  <c r="L1161" i="13"/>
  <c r="R1161" i="13"/>
  <c r="Z1161" i="13"/>
  <c r="AG1161" i="13"/>
  <c r="D1217" i="13"/>
  <c r="D1266" i="13"/>
  <c r="D1268" i="13" s="1"/>
  <c r="D1660" i="13"/>
  <c r="D1661" i="13" s="1"/>
  <c r="G8805" i="13" a="1"/>
  <c r="G8805" i="13" s="1"/>
  <c r="N8805" i="13" a="1"/>
  <c r="N8805" i="13" s="1"/>
  <c r="T8805" i="13" a="1"/>
  <c r="T8805" i="13" s="1"/>
  <c r="AB8805" i="13" a="1"/>
  <c r="AB8805" i="13" s="1"/>
  <c r="AH8805" i="13" a="1"/>
  <c r="AH8805" i="13" s="1"/>
  <c r="E8809" i="13" a="1"/>
  <c r="E8809" i="13" s="1"/>
  <c r="M8809" i="13" a="1"/>
  <c r="M8809" i="13" s="1"/>
  <c r="S8809" i="13" a="1"/>
  <c r="S8809" i="13" s="1"/>
  <c r="Y8809" i="13" a="1"/>
  <c r="Y8809" i="13" s="1"/>
  <c r="J8812" i="13" a="1"/>
  <c r="J8812" i="13" s="1"/>
  <c r="E8817" i="13" a="1"/>
  <c r="E8817" i="13" s="1"/>
  <c r="M8817" i="13" a="1"/>
  <c r="M8817" i="13" s="1"/>
  <c r="S8817" i="13" a="1"/>
  <c r="S8817" i="13" s="1"/>
  <c r="Y8817" i="13" a="1"/>
  <c r="Y8817" i="13" s="1"/>
  <c r="T8832" i="13" a="1"/>
  <c r="T8832" i="13" s="1"/>
  <c r="K8833" i="13" a="1"/>
  <c r="K8833" i="13" s="1"/>
  <c r="AE8833" i="13" a="1"/>
  <c r="AE8833" i="13" s="1"/>
  <c r="AE8835" i="13" a="1"/>
  <c r="AE8835" i="13" s="1"/>
  <c r="X8836" i="13" a="1"/>
  <c r="X8836" i="13" s="1"/>
  <c r="F8837" i="13" a="1"/>
  <c r="F8837" i="13" s="1"/>
  <c r="U8837" i="13" a="1"/>
  <c r="U8837" i="13" s="1"/>
  <c r="AF8839" i="13" a="1"/>
  <c r="AF8839" i="13" s="1"/>
  <c r="AH8839" i="13" a="1"/>
  <c r="AH8839" i="13" s="1"/>
  <c r="E8839" i="13" a="1"/>
  <c r="E8839" i="13" s="1"/>
  <c r="AG8841" i="13" a="1"/>
  <c r="AG8841" i="13" s="1"/>
  <c r="E8843" i="13" a="1"/>
  <c r="E8843" i="13" s="1"/>
  <c r="X8843" i="13" a="1"/>
  <c r="X8843" i="13" s="1"/>
  <c r="J8844" i="13" a="1"/>
  <c r="J8844" i="13" s="1"/>
  <c r="AF8844" i="13" a="1"/>
  <c r="AF8844" i="13" s="1"/>
  <c r="AH8847" i="13" a="1"/>
  <c r="AH8847" i="13" s="1"/>
  <c r="E8853" i="13" a="1"/>
  <c r="E8853" i="13" s="1"/>
  <c r="N8853" i="13" a="1"/>
  <c r="N8853" i="13" s="1"/>
  <c r="V8853" i="13" a="1"/>
  <c r="V8853" i="13" s="1"/>
  <c r="AC8853" i="13" a="1"/>
  <c r="AC8853" i="13" s="1"/>
  <c r="H8858" i="13" a="1"/>
  <c r="H8858" i="13" s="1"/>
  <c r="T8859" i="13" a="1"/>
  <c r="T8859" i="13" s="1"/>
  <c r="AF8859" i="13" a="1"/>
  <c r="AF8859" i="13" s="1"/>
  <c r="L8859" i="13" a="1"/>
  <c r="L8859" i="13" s="1"/>
  <c r="AB8859" i="13" a="1"/>
  <c r="AB8859" i="13" s="1"/>
  <c r="H8860" i="13" a="1"/>
  <c r="H8860" i="13" s="1"/>
  <c r="O8860" i="13" a="1"/>
  <c r="O8860" i="13" s="1"/>
  <c r="V8860" i="13" a="1"/>
  <c r="V8860" i="13" s="1"/>
  <c r="AC8860" i="13" a="1"/>
  <c r="AC8860" i="13" s="1"/>
  <c r="AG8861" i="13" a="1"/>
  <c r="AG8861" i="13" s="1"/>
  <c r="AC8861" i="13" a="1"/>
  <c r="AC8861" i="13" s="1"/>
  <c r="I8861" i="13" a="1"/>
  <c r="I8861" i="13" s="1"/>
  <c r="Y8861" i="13" a="1"/>
  <c r="Y8861" i="13" s="1"/>
  <c r="AF8864" i="13" a="1"/>
  <c r="AF8864" i="13" s="1"/>
  <c r="X8864" i="13" a="1"/>
  <c r="X8864" i="13" s="1"/>
  <c r="P8864" i="13" a="1"/>
  <c r="P8864" i="13" s="1"/>
  <c r="J8864" i="13" a="1"/>
  <c r="J8864" i="13" s="1"/>
  <c r="N8864" i="13" a="1"/>
  <c r="N8864" i="13" s="1"/>
  <c r="W8864" i="13" a="1"/>
  <c r="W8864" i="13" s="1"/>
  <c r="AG8864" i="13" a="1"/>
  <c r="AG8864" i="13" s="1"/>
  <c r="I8868" i="13" a="1"/>
  <c r="I8868" i="13" s="1"/>
  <c r="AG8869" i="13" a="1"/>
  <c r="AG8869" i="13" s="1"/>
  <c r="E8869" i="13" a="1"/>
  <c r="E8869" i="13" s="1"/>
  <c r="J8872" i="13" a="1"/>
  <c r="J8872" i="13" s="1"/>
  <c r="W8876" i="13" a="1"/>
  <c r="W8876" i="13" s="1"/>
  <c r="E8876" i="13" a="1"/>
  <c r="E8876" i="13" s="1"/>
  <c r="AA8876" i="13" a="1"/>
  <c r="AA8876" i="13" s="1"/>
  <c r="AG8880" i="13" a="1"/>
  <c r="AG8880" i="13" s="1"/>
  <c r="AB8880" i="13" a="1"/>
  <c r="AB8880" i="13" s="1"/>
  <c r="N8880" i="13" a="1"/>
  <c r="N8880" i="13" s="1"/>
  <c r="F8880" i="13" a="1"/>
  <c r="F8880" i="13" s="1"/>
  <c r="S8880" i="13" a="1"/>
  <c r="S8880" i="13" s="1"/>
  <c r="M8882" i="13" a="1"/>
  <c r="M8882" i="13" s="1"/>
  <c r="AG8885" i="13" a="1"/>
  <c r="AG8885" i="13" s="1"/>
  <c r="AH8885" i="13" a="1"/>
  <c r="AH8885" i="13" s="1"/>
  <c r="AC8885" i="13" a="1"/>
  <c r="AC8885" i="13" s="1"/>
  <c r="X8885" i="13" a="1"/>
  <c r="X8885" i="13" s="1"/>
  <c r="R8885" i="13" a="1"/>
  <c r="R8885" i="13" s="1"/>
  <c r="AE8885" i="13" a="1"/>
  <c r="AE8885" i="13" s="1"/>
  <c r="Y8885" i="13" a="1"/>
  <c r="Y8885" i="13" s="1"/>
  <c r="P8885" i="13" a="1"/>
  <c r="P8885" i="13" s="1"/>
  <c r="L8885" i="13" a="1"/>
  <c r="L8885" i="13" s="1"/>
  <c r="G8885" i="13" a="1"/>
  <c r="G8885" i="13" s="1"/>
  <c r="I8885" i="13" a="1"/>
  <c r="I8885" i="13" s="1"/>
  <c r="O8885" i="13" a="1"/>
  <c r="O8885" i="13" s="1"/>
  <c r="AA8885" i="13" a="1"/>
  <c r="AA8885" i="13" s="1"/>
  <c r="AI8885" i="13" a="1"/>
  <c r="AI8885" i="13" s="1"/>
  <c r="AO8885" i="13" s="1" a="1"/>
  <c r="AO8885" i="13" s="1"/>
  <c r="V8888" i="13" a="1"/>
  <c r="V8888" i="13" s="1"/>
  <c r="AH8888" i="13" a="1"/>
  <c r="AH8888" i="13" s="1"/>
  <c r="F8888" i="13" a="1"/>
  <c r="F8888" i="13" s="1"/>
  <c r="N8888" i="13" a="1"/>
  <c r="N8888" i="13" s="1"/>
  <c r="T8896" i="13" a="1"/>
  <c r="T8896" i="13" s="1"/>
  <c r="AD8896" i="13" a="1"/>
  <c r="AD8896" i="13" s="1"/>
  <c r="P8896" i="13" a="1"/>
  <c r="P8896" i="13" s="1"/>
  <c r="F8896" i="13" a="1"/>
  <c r="F8896" i="13" s="1"/>
  <c r="AB8896" i="13" a="1"/>
  <c r="AB8896" i="13" s="1"/>
  <c r="L8896" i="13" a="1"/>
  <c r="L8896" i="13" s="1"/>
  <c r="X8896" i="13" a="1"/>
  <c r="X8896" i="13" s="1"/>
  <c r="H8897" i="13" a="1"/>
  <c r="H8897" i="13" s="1"/>
  <c r="R8897" i="13" a="1"/>
  <c r="R8897" i="13" s="1"/>
  <c r="AA8898" i="13" a="1"/>
  <c r="AA8898" i="13" s="1"/>
  <c r="AG8898" i="13" a="1"/>
  <c r="AG8898" i="13" s="1"/>
  <c r="S8898" i="13" a="1"/>
  <c r="S8898" i="13" s="1"/>
  <c r="E8898" i="13" a="1"/>
  <c r="E8898" i="13" s="1"/>
  <c r="AI8898" i="13" a="1"/>
  <c r="AI8898" i="13" s="1"/>
  <c r="AO8898" i="13" s="1" a="1"/>
  <c r="AO8898" i="13" s="1"/>
  <c r="Q8898" i="13" a="1"/>
  <c r="Q8898" i="13" s="1"/>
  <c r="Y8898" i="13" a="1"/>
  <c r="Y8898" i="13" s="1"/>
  <c r="L8900" i="13" a="1"/>
  <c r="L8900" i="13" s="1"/>
  <c r="AF8904" i="13" a="1"/>
  <c r="AF8904" i="13" s="1"/>
  <c r="P8904" i="13" a="1"/>
  <c r="P8904" i="13" s="1"/>
  <c r="AD8904" i="13" a="1"/>
  <c r="AD8904" i="13" s="1"/>
  <c r="G8905" i="13" a="1"/>
  <c r="G8905" i="13" s="1"/>
  <c r="AA8905" i="13" a="1"/>
  <c r="AA8905" i="13" s="1"/>
  <c r="K8907" i="13" a="1"/>
  <c r="K8907" i="13" s="1"/>
  <c r="V8907" i="13" a="1"/>
  <c r="V8907" i="13" s="1"/>
  <c r="L8911" i="13" a="1"/>
  <c r="L8911" i="13" s="1"/>
  <c r="U8911" i="13" a="1"/>
  <c r="U8911" i="13" s="1"/>
  <c r="AE8911" i="13" a="1"/>
  <c r="AE8911" i="13" s="1"/>
  <c r="AC8919" i="13" a="1"/>
  <c r="AC8919" i="13" s="1"/>
  <c r="W8919" i="13" a="1"/>
  <c r="W8919" i="13" s="1"/>
  <c r="O8919" i="13" a="1"/>
  <c r="O8919" i="13" s="1"/>
  <c r="H8919" i="13" a="1"/>
  <c r="H8919" i="13" s="1"/>
  <c r="AA8919" i="13" a="1"/>
  <c r="AA8919" i="13" s="1"/>
  <c r="R8919" i="13" a="1"/>
  <c r="R8919" i="13" s="1"/>
  <c r="J8919" i="13" a="1"/>
  <c r="J8919" i="13" s="1"/>
  <c r="AF8919" i="13" a="1"/>
  <c r="AF8919" i="13" s="1"/>
  <c r="X8919" i="13" a="1"/>
  <c r="X8919" i="13" s="1"/>
  <c r="N8919" i="13" a="1"/>
  <c r="N8919" i="13" s="1"/>
  <c r="E8919" i="13" a="1"/>
  <c r="E8919" i="13" s="1"/>
  <c r="T8919" i="13" a="1"/>
  <c r="T8919" i="13" s="1"/>
  <c r="AG8923" i="13" a="1"/>
  <c r="AG8923" i="13" s="1"/>
  <c r="AI8923" i="13" a="1"/>
  <c r="AI8923" i="13" s="1"/>
  <c r="AO8923" i="13" s="1" a="1"/>
  <c r="AO8923" i="13" s="1"/>
  <c r="AC8923" i="13" a="1"/>
  <c r="AC8923" i="13" s="1"/>
  <c r="W8923" i="13" a="1"/>
  <c r="W8923" i="13" s="1"/>
  <c r="R8923" i="13" a="1"/>
  <c r="R8923" i="13" s="1"/>
  <c r="L8923" i="13" a="1"/>
  <c r="L8923" i="13" s="1"/>
  <c r="F8923" i="13" a="1"/>
  <c r="F8923" i="13" s="1"/>
  <c r="AF8923" i="13" a="1"/>
  <c r="AF8923" i="13" s="1"/>
  <c r="Y8923" i="13" a="1"/>
  <c r="Y8923" i="13" s="1"/>
  <c r="P8923" i="13" a="1"/>
  <c r="P8923" i="13" s="1"/>
  <c r="I8923" i="13" a="1"/>
  <c r="I8923" i="13" s="1"/>
  <c r="AB8923" i="13" a="1"/>
  <c r="AB8923" i="13" s="1"/>
  <c r="U8923" i="13" a="1"/>
  <c r="U8923" i="13" s="1"/>
  <c r="M8923" i="13" a="1"/>
  <c r="M8923" i="13" s="1"/>
  <c r="E8923" i="13" a="1"/>
  <c r="E8923" i="13" s="1"/>
  <c r="S8923" i="13" a="1"/>
  <c r="S8923" i="13" s="1"/>
  <c r="AH8923" i="13" a="1"/>
  <c r="AH8923" i="13" s="1"/>
  <c r="AB8935" i="13" a="1"/>
  <c r="AB8935" i="13" s="1"/>
  <c r="X8935" i="13" a="1"/>
  <c r="X8935" i="13" s="1"/>
  <c r="H8935" i="13" a="1"/>
  <c r="H8935" i="13" s="1"/>
  <c r="AF8935" i="13" a="1"/>
  <c r="AF8935" i="13" s="1"/>
  <c r="N8935" i="13" a="1"/>
  <c r="N8935" i="13" s="1"/>
  <c r="V8935" i="13" a="1"/>
  <c r="V8935" i="13" s="1"/>
  <c r="F8935" i="13" a="1"/>
  <c r="F8935" i="13" s="1"/>
  <c r="AI8936" i="13" a="1"/>
  <c r="AI8936" i="13" s="1"/>
  <c r="AO8936" i="13" s="1" a="1"/>
  <c r="AO8936" i="13" s="1"/>
  <c r="AE8936" i="13" a="1"/>
  <c r="AE8936" i="13" s="1"/>
  <c r="Y8936" i="13" a="1"/>
  <c r="Y8936" i="13" s="1"/>
  <c r="U8936" i="13" a="1"/>
  <c r="U8936" i="13" s="1"/>
  <c r="O8936" i="13" a="1"/>
  <c r="O8936" i="13" s="1"/>
  <c r="I8936" i="13" a="1"/>
  <c r="I8936" i="13" s="1"/>
  <c r="E8936" i="13" a="1"/>
  <c r="E8936" i="13" s="1"/>
  <c r="AD8936" i="13" a="1"/>
  <c r="AD8936" i="13" s="1"/>
  <c r="W8936" i="13" a="1"/>
  <c r="W8936" i="13" s="1"/>
  <c r="P8936" i="13" a="1"/>
  <c r="P8936" i="13" s="1"/>
  <c r="H8936" i="13" a="1"/>
  <c r="H8936" i="13" s="1"/>
  <c r="Z8936" i="13" a="1"/>
  <c r="Z8936" i="13" s="1"/>
  <c r="S8936" i="13" a="1"/>
  <c r="S8936" i="13" s="1"/>
  <c r="L8936" i="13" a="1"/>
  <c r="L8936" i="13" s="1"/>
  <c r="F8936" i="13" a="1"/>
  <c r="F8936" i="13" s="1"/>
  <c r="R8936" i="13" a="1"/>
  <c r="R8936" i="13" s="1"/>
  <c r="AG8936" i="13" a="1"/>
  <c r="AG8936" i="13" s="1"/>
  <c r="W8886" i="13" a="1"/>
  <c r="W8886" i="13" s="1"/>
  <c r="K8886" i="13" a="1"/>
  <c r="K8886" i="13" s="1"/>
  <c r="G8886" i="13" a="1"/>
  <c r="G8886" i="13" s="1"/>
  <c r="N1047" i="13"/>
  <c r="E8850" i="13" a="1"/>
  <c r="E8850" i="13" s="1"/>
  <c r="AB8852" i="13" a="1"/>
  <c r="AB8852" i="13" s="1"/>
  <c r="AF8852" i="13" a="1"/>
  <c r="AF8852" i="13" s="1"/>
  <c r="J8852" i="13" a="1"/>
  <c r="J8852" i="13" s="1"/>
  <c r="AH8852" i="13" a="1"/>
  <c r="AH8852" i="13" s="1"/>
  <c r="AG8868" i="13" a="1"/>
  <c r="AG8868" i="13" s="1"/>
  <c r="AA8868" i="13" a="1"/>
  <c r="AA8868" i="13" s="1"/>
  <c r="O8868" i="13" a="1"/>
  <c r="O8868" i="13" s="1"/>
  <c r="F8868" i="13" a="1"/>
  <c r="F8868" i="13" s="1"/>
  <c r="N8868" i="13" a="1"/>
  <c r="N8868" i="13" s="1"/>
  <c r="AE8868" i="13" a="1"/>
  <c r="AE8868" i="13" s="1"/>
  <c r="AG8872" i="13" a="1"/>
  <c r="AG8872" i="13" s="1"/>
  <c r="AB8872" i="13" a="1"/>
  <c r="AB8872" i="13" s="1"/>
  <c r="N8872" i="13" a="1"/>
  <c r="N8872" i="13" s="1"/>
  <c r="F8872" i="13" a="1"/>
  <c r="F8872" i="13" s="1"/>
  <c r="S8872" i="13" a="1"/>
  <c r="S8872" i="13" s="1"/>
  <c r="AG8873" i="13" a="1"/>
  <c r="AG8873" i="13" s="1"/>
  <c r="AC8873" i="13" a="1"/>
  <c r="AC8873" i="13" s="1"/>
  <c r="I8873" i="13" a="1"/>
  <c r="I8873" i="13" s="1"/>
  <c r="Y8873" i="13" a="1"/>
  <c r="Y8873" i="13" s="1"/>
  <c r="AG8877" i="13" a="1"/>
  <c r="AG8877" i="13" s="1"/>
  <c r="E8877" i="13" a="1"/>
  <c r="E8877" i="13" s="1"/>
  <c r="H8882" i="13" a="1"/>
  <c r="H8882" i="13" s="1"/>
  <c r="F8884" i="13" a="1"/>
  <c r="F8884" i="13" s="1"/>
  <c r="S8886" i="13" a="1"/>
  <c r="S8886" i="13" s="1"/>
  <c r="U8894" i="13" a="1"/>
  <c r="U8894" i="13" s="1"/>
  <c r="S8894" i="13" a="1"/>
  <c r="S8894" i="13" s="1"/>
  <c r="I8894" i="13" a="1"/>
  <c r="I8894" i="13" s="1"/>
  <c r="AG8897" i="13" a="1"/>
  <c r="AG8897" i="13" s="1"/>
  <c r="AF8897" i="13" a="1"/>
  <c r="AF8897" i="13" s="1"/>
  <c r="Z8897" i="13" a="1"/>
  <c r="Z8897" i="13" s="1"/>
  <c r="V8897" i="13" a="1"/>
  <c r="V8897" i="13" s="1"/>
  <c r="P8897" i="13" a="1"/>
  <c r="P8897" i="13" s="1"/>
  <c r="J8897" i="13" a="1"/>
  <c r="J8897" i="13" s="1"/>
  <c r="F8897" i="13" a="1"/>
  <c r="F8897" i="13" s="1"/>
  <c r="AI8897" i="13" a="1"/>
  <c r="AI8897" i="13" s="1"/>
  <c r="AO8897" i="13" s="1" a="1"/>
  <c r="AO8897" i="13" s="1"/>
  <c r="AB8897" i="13" a="1"/>
  <c r="AB8897" i="13" s="1"/>
  <c r="U8897" i="13" a="1"/>
  <c r="U8897" i="13" s="1"/>
  <c r="M8897" i="13" a="1"/>
  <c r="M8897" i="13" s="1"/>
  <c r="G8897" i="13" a="1"/>
  <c r="G8897" i="13" s="1"/>
  <c r="L8897" i="13" a="1"/>
  <c r="L8897" i="13" s="1"/>
  <c r="W8897" i="13" a="1"/>
  <c r="W8897" i="13" s="1"/>
  <c r="AE8897" i="13" a="1"/>
  <c r="AE8897" i="13" s="1"/>
  <c r="M8902" i="13" a="1"/>
  <c r="M8902" i="13" s="1"/>
  <c r="AG8902" i="13" a="1"/>
  <c r="AG8902" i="13" s="1"/>
  <c r="S8905" i="13" a="1"/>
  <c r="S8905" i="13" s="1"/>
  <c r="AH8907" i="13" a="1"/>
  <c r="AH8907" i="13" s="1"/>
  <c r="AG8907" i="13" a="1"/>
  <c r="AG8907" i="13" s="1"/>
  <c r="Y8907" i="13" a="1"/>
  <c r="Y8907" i="13" s="1"/>
  <c r="T8907" i="13" a="1"/>
  <c r="T8907" i="13" s="1"/>
  <c r="L8907" i="13" a="1"/>
  <c r="L8907" i="13" s="1"/>
  <c r="E8907" i="13" a="1"/>
  <c r="E8907" i="13" s="1"/>
  <c r="AA8907" i="13" a="1"/>
  <c r="AA8907" i="13" s="1"/>
  <c r="Q8907" i="13" a="1"/>
  <c r="Q8907" i="13" s="1"/>
  <c r="H8907" i="13" a="1"/>
  <c r="H8907" i="13" s="1"/>
  <c r="P8907" i="13" a="1"/>
  <c r="P8907" i="13" s="1"/>
  <c r="AC8907" i="13" a="1"/>
  <c r="AC8907" i="13" s="1"/>
  <c r="F8911" i="13" a="1"/>
  <c r="F8911" i="13" s="1"/>
  <c r="O8911" i="13" a="1"/>
  <c r="O8911" i="13" s="1"/>
  <c r="H8914" i="13" a="1"/>
  <c r="H8914" i="13" s="1"/>
  <c r="Z8914" i="13" a="1"/>
  <c r="Z8914" i="13" s="1"/>
  <c r="AF8931" i="13" a="1"/>
  <c r="AF8931" i="13" s="1"/>
  <c r="AB8931" i="13" a="1"/>
  <c r="AB8931" i="13" s="1"/>
  <c r="N8931" i="13" a="1"/>
  <c r="N8931" i="13" s="1"/>
  <c r="P8931" i="13" a="1"/>
  <c r="P8931" i="13" s="1"/>
  <c r="V8931" i="13" a="1"/>
  <c r="V8931" i="13" s="1"/>
  <c r="F8931" i="13" a="1"/>
  <c r="F8931" i="13" s="1"/>
  <c r="P8935" i="13" a="1"/>
  <c r="P8935" i="13" s="1"/>
  <c r="J8936" i="13" a="1"/>
  <c r="J8936" i="13" s="1"/>
  <c r="X8936" i="13" a="1"/>
  <c r="X8936" i="13" s="1"/>
  <c r="O8846" i="13" a="1"/>
  <c r="O8846" i="13" s="1"/>
  <c r="Y8846" i="13" a="1"/>
  <c r="Y8846" i="13" s="1"/>
  <c r="AF8862" i="13" a="1"/>
  <c r="AF8862" i="13" s="1"/>
  <c r="P8862" i="13" a="1"/>
  <c r="P8862" i="13" s="1"/>
  <c r="AB8862" i="13" a="1"/>
  <c r="AB8862" i="13" s="1"/>
  <c r="AA8882" i="13" a="1"/>
  <c r="AA8882" i="13" s="1"/>
  <c r="P8882" i="13" a="1"/>
  <c r="P8882" i="13" s="1"/>
  <c r="E8882" i="13" a="1"/>
  <c r="E8882" i="13" s="1"/>
  <c r="K8895" i="13" a="1"/>
  <c r="K8895" i="13" s="1"/>
  <c r="S8895" i="13" a="1"/>
  <c r="S8895" i="13" s="1"/>
  <c r="AG8911" i="13" a="1"/>
  <c r="AG8911" i="13" s="1"/>
  <c r="AH8911" i="13" a="1"/>
  <c r="AH8911" i="13" s="1"/>
  <c r="AB8911" i="13" a="1"/>
  <c r="AB8911" i="13" s="1"/>
  <c r="V8911" i="13" a="1"/>
  <c r="V8911" i="13" s="1"/>
  <c r="P8911" i="13" a="1"/>
  <c r="P8911" i="13" s="1"/>
  <c r="J8911" i="13" a="1"/>
  <c r="J8911" i="13" s="1"/>
  <c r="E8911" i="13" a="1"/>
  <c r="E8911" i="13" s="1"/>
  <c r="AF8911" i="13" a="1"/>
  <c r="AF8911" i="13" s="1"/>
  <c r="Y8911" i="13" a="1"/>
  <c r="Y8911" i="13" s="1"/>
  <c r="R8911" i="13" a="1"/>
  <c r="R8911" i="13" s="1"/>
  <c r="I8911" i="13" a="1"/>
  <c r="I8911" i="13" s="1"/>
  <c r="M8911" i="13" a="1"/>
  <c r="M8911" i="13" s="1"/>
  <c r="W8911" i="13" a="1"/>
  <c r="W8911" i="13" s="1"/>
  <c r="AI8911" i="13" a="1"/>
  <c r="AI8911" i="13" s="1"/>
  <c r="AO8911" i="13" s="1" a="1"/>
  <c r="AO8911" i="13" s="1"/>
  <c r="AH8921" i="13" a="1"/>
  <c r="AH8921" i="13" s="1"/>
  <c r="P8921" i="13" a="1"/>
  <c r="P8921" i="13" s="1"/>
  <c r="G590" i="13"/>
  <c r="H590" i="13" s="1"/>
  <c r="I590" i="13" s="1"/>
  <c r="J590" i="13" s="1"/>
  <c r="K590" i="13" s="1"/>
  <c r="L590" i="13" s="1"/>
  <c r="M590" i="13" s="1"/>
  <c r="N590" i="13" s="1"/>
  <c r="O590" i="13" s="1"/>
  <c r="P590" i="13" s="1"/>
  <c r="Q590" i="13" s="1"/>
  <c r="R590" i="13" s="1"/>
  <c r="S590" i="13" s="1"/>
  <c r="T590" i="13" s="1"/>
  <c r="U590" i="13" s="1"/>
  <c r="V590" i="13" s="1"/>
  <c r="W590" i="13" s="1"/>
  <c r="X590" i="13" s="1"/>
  <c r="Y590" i="13" s="1"/>
  <c r="Z590" i="13" s="1"/>
  <c r="AA590" i="13" s="1"/>
  <c r="AB590" i="13" s="1"/>
  <c r="AC590" i="13" s="1"/>
  <c r="AD590" i="13" s="1"/>
  <c r="AE590" i="13" s="1"/>
  <c r="AF590" i="13" s="1"/>
  <c r="AG590" i="13" s="1"/>
  <c r="AH590" i="13" s="1"/>
  <c r="AI590" i="13" s="1"/>
  <c r="AI8829" i="13" a="1"/>
  <c r="AI8829" i="13" s="1"/>
  <c r="AO8829" i="13" s="1" a="1"/>
  <c r="AO8829" i="13" s="1"/>
  <c r="AK8829" i="13" s="1"/>
  <c r="AL8829" i="13" s="1"/>
  <c r="AM8829" i="13" s="1"/>
  <c r="AN8829" i="13" s="1"/>
  <c r="Y8829" i="13" a="1"/>
  <c r="Y8829" i="13" s="1"/>
  <c r="F8829" i="13" a="1"/>
  <c r="F8829" i="13" s="1"/>
  <c r="AE8829" i="13" a="1"/>
  <c r="AE8829" i="13" s="1"/>
  <c r="J8836" i="13" a="1"/>
  <c r="J8836" i="13" s="1"/>
  <c r="AI8837" i="13" a="1"/>
  <c r="AI8837" i="13" s="1"/>
  <c r="AO8837" i="13" s="1" a="1"/>
  <c r="AO8837" i="13" s="1"/>
  <c r="AK8837" i="13" s="1"/>
  <c r="AL8837" i="13" s="1"/>
  <c r="AM8837" i="13" s="1"/>
  <c r="AN8837" i="13" s="1"/>
  <c r="AA8837" i="13" a="1"/>
  <c r="AA8837" i="13" s="1"/>
  <c r="R8837" i="13" a="1"/>
  <c r="R8837" i="13" s="1"/>
  <c r="H8837" i="13" a="1"/>
  <c r="H8837" i="13" s="1"/>
  <c r="N8837" i="13" a="1"/>
  <c r="N8837" i="13" s="1"/>
  <c r="Z8837" i="13" a="1"/>
  <c r="Z8837" i="13" s="1"/>
  <c r="AI8858" i="13" a="1"/>
  <c r="AI8858" i="13" s="1"/>
  <c r="AO8858" i="13" s="1" a="1"/>
  <c r="AO8858" i="13" s="1"/>
  <c r="AK8858" i="13" s="1"/>
  <c r="AF8858" i="13" a="1"/>
  <c r="AF8858" i="13" s="1"/>
  <c r="U8858" i="13" a="1"/>
  <c r="U8858" i="13" s="1"/>
  <c r="I8858" i="13" a="1"/>
  <c r="I8858" i="13" s="1"/>
  <c r="P8858" i="13" a="1"/>
  <c r="P8858" i="13" s="1"/>
  <c r="AC8858" i="13" a="1"/>
  <c r="AC8858" i="13" s="1"/>
  <c r="E8862" i="13" a="1"/>
  <c r="E8862" i="13" s="1"/>
  <c r="AC8862" i="13" a="1"/>
  <c r="AC8862" i="13" s="1"/>
  <c r="H926" i="13"/>
  <c r="J1161" i="13"/>
  <c r="Q1161" i="13"/>
  <c r="X1161" i="13"/>
  <c r="AF1161" i="13"/>
  <c r="I1325" i="13"/>
  <c r="E8805" i="13" a="1"/>
  <c r="E8805" i="13" s="1"/>
  <c r="M8805" i="13" a="1"/>
  <c r="M8805" i="13" s="1"/>
  <c r="S8805" i="13" a="1"/>
  <c r="S8805" i="13" s="1"/>
  <c r="Y8805" i="13" a="1"/>
  <c r="Y8805" i="13" s="1"/>
  <c r="AF8805" i="13" a="1"/>
  <c r="AF8805" i="13" s="1"/>
  <c r="AG8809" i="13" a="1"/>
  <c r="AG8809" i="13" s="1"/>
  <c r="AE8809" i="13" a="1"/>
  <c r="AE8809" i="13" s="1"/>
  <c r="AA8809" i="13" a="1"/>
  <c r="AA8809" i="13" s="1"/>
  <c r="V8809" i="13" a="1"/>
  <c r="V8809" i="13" s="1"/>
  <c r="Q8809" i="13" a="1"/>
  <c r="Q8809" i="13" s="1"/>
  <c r="L8809" i="13" a="1"/>
  <c r="L8809" i="13" s="1"/>
  <c r="F8809" i="13" a="1"/>
  <c r="F8809" i="13" s="1"/>
  <c r="J8809" i="13" a="1"/>
  <c r="J8809" i="13" s="1"/>
  <c r="R8809" i="13" a="1"/>
  <c r="R8809" i="13" s="1"/>
  <c r="X8809" i="13" a="1"/>
  <c r="X8809" i="13" s="1"/>
  <c r="AD8809" i="13" a="1"/>
  <c r="AD8809" i="13" s="1"/>
  <c r="AG8817" i="13" a="1"/>
  <c r="AG8817" i="13" s="1"/>
  <c r="AE8817" i="13" a="1"/>
  <c r="AE8817" i="13" s="1"/>
  <c r="AA8817" i="13" a="1"/>
  <c r="AA8817" i="13" s="1"/>
  <c r="V8817" i="13" a="1"/>
  <c r="V8817" i="13" s="1"/>
  <c r="Q8817" i="13" a="1"/>
  <c r="Q8817" i="13" s="1"/>
  <c r="L8817" i="13" a="1"/>
  <c r="L8817" i="13" s="1"/>
  <c r="F8817" i="13" a="1"/>
  <c r="F8817" i="13" s="1"/>
  <c r="J8817" i="13" a="1"/>
  <c r="J8817" i="13" s="1"/>
  <c r="R8817" i="13" a="1"/>
  <c r="R8817" i="13" s="1"/>
  <c r="X8817" i="13" a="1"/>
  <c r="X8817" i="13" s="1"/>
  <c r="AD8817" i="13" a="1"/>
  <c r="AD8817" i="13" s="1"/>
  <c r="W8823" i="13" a="1"/>
  <c r="W8823" i="13" s="1"/>
  <c r="O8823" i="13" a="1"/>
  <c r="O8823" i="13" s="1"/>
  <c r="AH8823" i="13" a="1"/>
  <c r="AH8823" i="13" s="1"/>
  <c r="G8829" i="13" a="1"/>
  <c r="G8829" i="13" s="1"/>
  <c r="AF8829" i="13" a="1"/>
  <c r="AF8829" i="13" s="1"/>
  <c r="J8832" i="13" a="1"/>
  <c r="J8832" i="13" s="1"/>
  <c r="J8833" i="13" a="1"/>
  <c r="J8833" i="13" s="1"/>
  <c r="Z8833" i="13" a="1"/>
  <c r="Z8833" i="13" s="1"/>
  <c r="H8835" i="13" a="1"/>
  <c r="H8835" i="13" s="1"/>
  <c r="R8836" i="13" a="1"/>
  <c r="R8836" i="13" s="1"/>
  <c r="E8837" i="13" a="1"/>
  <c r="E8837" i="13" s="1"/>
  <c r="O8837" i="13" a="1"/>
  <c r="O8837" i="13" s="1"/>
  <c r="AD8837" i="13" a="1"/>
  <c r="AD8837" i="13" s="1"/>
  <c r="O8838" i="13" a="1"/>
  <c r="O8838" i="13" s="1"/>
  <c r="G8846" i="13" a="1"/>
  <c r="G8846" i="13" s="1"/>
  <c r="T8847" i="13" a="1"/>
  <c r="T8847" i="13" s="1"/>
  <c r="E8858" i="13" a="1"/>
  <c r="E8858" i="13" s="1"/>
  <c r="Q8858" i="13" a="1"/>
  <c r="Q8858" i="13" s="1"/>
  <c r="AG8858" i="13" a="1"/>
  <c r="AG8858" i="13" s="1"/>
  <c r="H8862" i="13" a="1"/>
  <c r="H8862" i="13" s="1"/>
  <c r="G8872" i="13" a="1"/>
  <c r="G8872" i="13" s="1"/>
  <c r="W8872" i="13" a="1"/>
  <c r="W8872" i="13" s="1"/>
  <c r="E8873" i="13" a="1"/>
  <c r="E8873" i="13" s="1"/>
  <c r="AA8886" i="13" a="1"/>
  <c r="AA8886" i="13" s="1"/>
  <c r="G8911" i="13" a="1"/>
  <c r="G8911" i="13" s="1"/>
  <c r="S8911" i="13" a="1"/>
  <c r="S8911" i="13" s="1"/>
  <c r="AC8911" i="13" a="1"/>
  <c r="AC8911" i="13" s="1"/>
  <c r="Z8915" i="13" a="1"/>
  <c r="Z8915" i="13" s="1"/>
  <c r="M8915" i="13" a="1"/>
  <c r="M8915" i="13" s="1"/>
  <c r="AB8918" i="13" a="1"/>
  <c r="AB8918" i="13" s="1"/>
  <c r="J8918" i="13" a="1"/>
  <c r="J8918" i="13" s="1"/>
  <c r="K1843" i="13"/>
  <c r="I8813" i="13" a="1"/>
  <c r="I8813" i="13" s="1"/>
  <c r="N8813" i="13" a="1"/>
  <c r="N8813" i="13" s="1"/>
  <c r="S8813" i="13" a="1"/>
  <c r="S8813" i="13" s="1"/>
  <c r="X8813" i="13" a="1"/>
  <c r="X8813" i="13" s="1"/>
  <c r="AC8813" i="13" a="1"/>
  <c r="AC8813" i="13" s="1"/>
  <c r="AH8813" i="13" a="1"/>
  <c r="AH8813" i="13" s="1"/>
  <c r="AH8845" i="13" a="1"/>
  <c r="AH8845" i="13" s="1"/>
  <c r="X8849" i="13" a="1"/>
  <c r="X8849" i="13" s="1"/>
  <c r="O8857" i="13" a="1"/>
  <c r="O8857" i="13" s="1"/>
  <c r="M8866" i="13" a="1"/>
  <c r="M8866" i="13" s="1"/>
  <c r="X8866" i="13" a="1"/>
  <c r="X8866" i="13" s="1"/>
  <c r="AG8866" i="13" a="1"/>
  <c r="AG8866" i="13" s="1"/>
  <c r="W8890" i="13" a="1"/>
  <c r="W8890" i="13" s="1"/>
  <c r="S8890" i="13" a="1"/>
  <c r="S8890" i="13" s="1"/>
  <c r="AF8908" i="13" a="1"/>
  <c r="AF8908" i="13" s="1"/>
  <c r="P8908" i="13" a="1"/>
  <c r="P8908" i="13" s="1"/>
  <c r="AG8909" i="13" a="1"/>
  <c r="AG8909" i="13" s="1"/>
  <c r="AB8909" i="13" a="1"/>
  <c r="AB8909" i="13" s="1"/>
  <c r="N8909" i="13" a="1"/>
  <c r="N8909" i="13" s="1"/>
  <c r="F8909" i="13" a="1"/>
  <c r="F8909" i="13" s="1"/>
  <c r="S8909" i="13" a="1"/>
  <c r="S8909" i="13" s="1"/>
  <c r="W8917" i="13" a="1"/>
  <c r="W8917" i="13" s="1"/>
  <c r="E8917" i="13" a="1"/>
  <c r="E8917" i="13" s="1"/>
  <c r="Y8917" i="13" a="1"/>
  <c r="Y8917" i="13" s="1"/>
  <c r="AC8924" i="13" a="1"/>
  <c r="AC8924" i="13" s="1"/>
  <c r="Q8924" i="13" a="1"/>
  <c r="Q8924" i="13" s="1"/>
  <c r="AB8925" i="13" a="1"/>
  <c r="AB8925" i="13" s="1"/>
  <c r="I8925" i="13" a="1"/>
  <c r="I8925" i="13" s="1"/>
  <c r="Q8927" i="13" a="1"/>
  <c r="Q8927" i="13" s="1"/>
  <c r="Q8932" i="13" a="1"/>
  <c r="Q8932" i="13" s="1"/>
  <c r="Y8932" i="13" a="1"/>
  <c r="Y8932" i="13" s="1"/>
  <c r="AB8932" i="13" a="1"/>
  <c r="AB8932" i="13" s="1"/>
  <c r="L8932" i="13" a="1"/>
  <c r="L8932" i="13" s="1"/>
  <c r="J8901" i="13" a="1"/>
  <c r="J8901" i="13" s="1"/>
  <c r="S8901" i="13" a="1"/>
  <c r="S8901" i="13" s="1"/>
  <c r="AA8901" i="13" a="1"/>
  <c r="AA8901" i="13" s="1"/>
  <c r="L8903" i="13" a="1"/>
  <c r="L8903" i="13" s="1"/>
  <c r="U8903" i="13" a="1"/>
  <c r="U8903" i="13" s="1"/>
  <c r="C10328" i="13"/>
  <c r="D10551" i="13"/>
  <c r="D10558" i="13" s="1"/>
  <c r="G48" i="13"/>
  <c r="F1622" i="13"/>
  <c r="G36" i="13"/>
  <c r="G52" i="13"/>
  <c r="G38" i="13"/>
  <c r="G42" i="13"/>
  <c r="G49" i="13"/>
  <c r="D127" i="13"/>
  <c r="G1706" i="13" s="1"/>
  <c r="G1705" i="13" s="1"/>
  <c r="I1622" i="13"/>
  <c r="D1574" i="13"/>
  <c r="D1396" i="13"/>
  <c r="D123" i="13"/>
  <c r="AP669" i="13" s="1"/>
  <c r="E1396" i="13"/>
  <c r="G28" i="13"/>
  <c r="D125" i="13"/>
  <c r="AH671" i="13" s="1"/>
  <c r="E415" i="13"/>
  <c r="P415" i="13"/>
  <c r="AH8820" i="13" a="1"/>
  <c r="AH8820" i="13" s="1"/>
  <c r="L8820" i="13" a="1"/>
  <c r="L8820" i="13" s="1"/>
  <c r="AD8820" i="13" a="1"/>
  <c r="AD8820" i="13" s="1"/>
  <c r="J8820" i="13" a="1"/>
  <c r="J8820" i="13" s="1"/>
  <c r="AH8821" i="13" a="1"/>
  <c r="AH8821" i="13" s="1"/>
  <c r="AD8821" i="13" a="1"/>
  <c r="AD8821" i="13" s="1"/>
  <c r="AA8821" i="13" a="1"/>
  <c r="AA8821" i="13" s="1"/>
  <c r="X8821" i="13" a="1"/>
  <c r="X8821" i="13" s="1"/>
  <c r="U8821" i="13" a="1"/>
  <c r="U8821" i="13" s="1"/>
  <c r="R8821" i="13" a="1"/>
  <c r="R8821" i="13" s="1"/>
  <c r="O8821" i="13" a="1"/>
  <c r="O8821" i="13" s="1"/>
  <c r="L8821" i="13" a="1"/>
  <c r="L8821" i="13" s="1"/>
  <c r="F8821" i="13" a="1"/>
  <c r="F8821" i="13" s="1"/>
  <c r="AG8821" i="13" a="1"/>
  <c r="AG8821" i="13" s="1"/>
  <c r="Z8821" i="13" a="1"/>
  <c r="Z8821" i="13" s="1"/>
  <c r="W8821" i="13" a="1"/>
  <c r="W8821" i="13" s="1"/>
  <c r="T8821" i="13" a="1"/>
  <c r="T8821" i="13" s="1"/>
  <c r="N8821" i="13" a="1"/>
  <c r="N8821" i="13" s="1"/>
  <c r="I8821" i="13" a="1"/>
  <c r="I8821" i="13" s="1"/>
  <c r="J8821" i="13" a="1"/>
  <c r="J8821" i="13" s="1"/>
  <c r="P8821" i="13" a="1"/>
  <c r="P8821" i="13" s="1"/>
  <c r="AB8821" i="13" a="1"/>
  <c r="AB8821" i="13" s="1"/>
  <c r="AI8821" i="13" a="1"/>
  <c r="AI8821" i="13" s="1"/>
  <c r="AO8821" i="13" s="1" a="1"/>
  <c r="AO8821" i="13" s="1"/>
  <c r="Y8826" i="13" a="1"/>
  <c r="Y8826" i="13" s="1"/>
  <c r="O8826" i="13" a="1"/>
  <c r="O8826" i="13" s="1"/>
  <c r="G8826" i="13" a="1"/>
  <c r="G8826" i="13" s="1"/>
  <c r="AH8848" i="13" a="1"/>
  <c r="AH8848" i="13" s="1"/>
  <c r="AF8848" i="13" a="1"/>
  <c r="AF8848" i="13" s="1"/>
  <c r="R8848" i="13" a="1"/>
  <c r="R8848" i="13" s="1"/>
  <c r="AB8848" i="13" a="1"/>
  <c r="AB8848" i="13" s="1"/>
  <c r="P8848" i="13" a="1"/>
  <c r="P8848" i="13" s="1"/>
  <c r="N1674" i="13"/>
  <c r="N1678" i="13" s="1"/>
  <c r="AL636" i="13"/>
  <c r="AL624" i="13"/>
  <c r="E243" i="13"/>
  <c r="S243" i="13" s="1"/>
  <c r="E397" i="13"/>
  <c r="M208" i="13"/>
  <c r="M397" i="13" s="1"/>
  <c r="AD8815" i="13" a="1"/>
  <c r="AD8815" i="13" s="1"/>
  <c r="U8815" i="13" a="1"/>
  <c r="U8815" i="13" s="1"/>
  <c r="P8815" i="13" a="1"/>
  <c r="P8815" i="13" s="1"/>
  <c r="G8815" i="13" a="1"/>
  <c r="G8815" i="13" s="1"/>
  <c r="M8815" i="13" a="1"/>
  <c r="M8815" i="13" s="1"/>
  <c r="S8815" i="13" a="1"/>
  <c r="S8815" i="13" s="1"/>
  <c r="AE8815" i="13" a="1"/>
  <c r="AE8815" i="13" s="1"/>
  <c r="V8824" i="13" a="1"/>
  <c r="V8824" i="13" s="1"/>
  <c r="AH8824" i="13" a="1"/>
  <c r="AH8824" i="13" s="1"/>
  <c r="J8824" i="13" a="1"/>
  <c r="J8824" i="13" s="1"/>
  <c r="AB8824" i="13" a="1"/>
  <c r="AB8824" i="13" s="1"/>
  <c r="F8824" i="13" a="1"/>
  <c r="F8824" i="13" s="1"/>
  <c r="J8811" i="13" a="1"/>
  <c r="J8811" i="13" s="1"/>
  <c r="R8811" i="13" a="1"/>
  <c r="R8811" i="13" s="1"/>
  <c r="AA8811" i="13" a="1"/>
  <c r="AA8811" i="13" s="1"/>
  <c r="AF8812" i="13" a="1"/>
  <c r="AF8812" i="13" s="1"/>
  <c r="AI8814" i="13" a="1"/>
  <c r="AI8814" i="13" s="1"/>
  <c r="AO8814" i="13" s="1" a="1"/>
  <c r="AO8814" i="13" s="1"/>
  <c r="AK8814" i="13" s="1"/>
  <c r="AL8814" i="13" s="1"/>
  <c r="AM8814" i="13" s="1"/>
  <c r="AN8814" i="13" s="1"/>
  <c r="W8814" i="13" a="1"/>
  <c r="W8814" i="13" s="1"/>
  <c r="E8815" i="13" a="1"/>
  <c r="E8815" i="13" s="1"/>
  <c r="N8815" i="13" a="1"/>
  <c r="N8815" i="13" s="1"/>
  <c r="W8815" i="13" a="1"/>
  <c r="W8815" i="13" s="1"/>
  <c r="AF8815" i="13" a="1"/>
  <c r="AF8815" i="13" s="1"/>
  <c r="R8816" i="13" a="1"/>
  <c r="R8816" i="13" s="1"/>
  <c r="F8816" i="13" a="1"/>
  <c r="F8816" i="13" s="1"/>
  <c r="X8816" i="13" a="1"/>
  <c r="X8816" i="13" s="1"/>
  <c r="Y8819" i="13" a="1"/>
  <c r="Y8819" i="13" s="1"/>
  <c r="O8819" i="13" a="1"/>
  <c r="O8819" i="13" s="1"/>
  <c r="F8819" i="13" a="1"/>
  <c r="F8819" i="13" s="1"/>
  <c r="R8819" i="13" a="1"/>
  <c r="R8819" i="13" s="1"/>
  <c r="AA8819" i="13" a="1"/>
  <c r="AA8819" i="13" s="1"/>
  <c r="F8820" i="13" a="1"/>
  <c r="F8820" i="13" s="1"/>
  <c r="E8821" i="13" a="1"/>
  <c r="E8821" i="13" s="1"/>
  <c r="K8821" i="13" a="1"/>
  <c r="K8821" i="13" s="1"/>
  <c r="Q8821" i="13" a="1"/>
  <c r="Q8821" i="13" s="1"/>
  <c r="V8821" i="13" a="1"/>
  <c r="V8821" i="13" s="1"/>
  <c r="AC8821" i="13" a="1"/>
  <c r="AC8821" i="13" s="1"/>
  <c r="N8824" i="13" a="1"/>
  <c r="N8824" i="13" s="1"/>
  <c r="G8825" i="13" a="1"/>
  <c r="G8825" i="13" s="1"/>
  <c r="M8825" i="13" a="1"/>
  <c r="M8825" i="13" s="1"/>
  <c r="S8825" i="13" a="1"/>
  <c r="S8825" i="13" s="1"/>
  <c r="Y8825" i="13" a="1"/>
  <c r="Y8825" i="13" s="1"/>
  <c r="AE8825" i="13" a="1"/>
  <c r="AE8825" i="13" s="1"/>
  <c r="AD8827" i="13" a="1"/>
  <c r="AD8827" i="13" s="1"/>
  <c r="O8827" i="13" a="1"/>
  <c r="O8827" i="13" s="1"/>
  <c r="AA8827" i="13" a="1"/>
  <c r="AA8827" i="13" s="1"/>
  <c r="I8827" i="13" a="1"/>
  <c r="I8827" i="13" s="1"/>
  <c r="AH8827" i="13" a="1"/>
  <c r="AH8827" i="13" s="1"/>
  <c r="J8829" i="13" a="1"/>
  <c r="J8829" i="13" s="1"/>
  <c r="P8829" i="13" a="1"/>
  <c r="P8829" i="13" s="1"/>
  <c r="AB8829" i="13" a="1"/>
  <c r="AB8829" i="13" s="1"/>
  <c r="I8841" i="13" a="1"/>
  <c r="I8841" i="13" s="1"/>
  <c r="Q8841" i="13" a="1"/>
  <c r="Q8841" i="13" s="1"/>
  <c r="Y8841" i="13" a="1"/>
  <c r="Y8841" i="13" s="1"/>
  <c r="I8845" i="13" a="1"/>
  <c r="I8845" i="13" s="1"/>
  <c r="R8845" i="13" a="1"/>
  <c r="R8845" i="13" s="1"/>
  <c r="Z8845" i="13" a="1"/>
  <c r="Z8845" i="13" s="1"/>
  <c r="AI8845" i="13" a="1"/>
  <c r="AI8845" i="13" s="1"/>
  <c r="AO8845" i="13" s="1" a="1"/>
  <c r="AO8845" i="13" s="1"/>
  <c r="AK8845" i="13" s="1"/>
  <c r="J8848" i="13" a="1"/>
  <c r="J8848" i="13" s="1"/>
  <c r="AF8849" i="13" a="1"/>
  <c r="AF8849" i="13" s="1"/>
  <c r="AB8849" i="13" a="1"/>
  <c r="AB8849" i="13" s="1"/>
  <c r="Y8849" i="13" a="1"/>
  <c r="Y8849" i="13" s="1"/>
  <c r="V8849" i="13" a="1"/>
  <c r="V8849" i="13" s="1"/>
  <c r="S8849" i="13" a="1"/>
  <c r="S8849" i="13" s="1"/>
  <c r="P8849" i="13" a="1"/>
  <c r="P8849" i="13" s="1"/>
  <c r="L8849" i="13" a="1"/>
  <c r="L8849" i="13" s="1"/>
  <c r="I8849" i="13" a="1"/>
  <c r="I8849" i="13" s="1"/>
  <c r="F8849" i="13" a="1"/>
  <c r="F8849" i="13" s="1"/>
  <c r="AG8849" i="13" a="1"/>
  <c r="AG8849" i="13" s="1"/>
  <c r="O8849" i="13" a="1"/>
  <c r="O8849" i="13" s="1"/>
  <c r="K8849" i="13" a="1"/>
  <c r="K8849" i="13" s="1"/>
  <c r="G8849" i="13" a="1"/>
  <c r="G8849" i="13" s="1"/>
  <c r="AE8849" i="13" a="1"/>
  <c r="AE8849" i="13" s="1"/>
  <c r="AA8849" i="13" a="1"/>
  <c r="AA8849" i="13" s="1"/>
  <c r="W8849" i="13" a="1"/>
  <c r="W8849" i="13" s="1"/>
  <c r="R8849" i="13" a="1"/>
  <c r="R8849" i="13" s="1"/>
  <c r="N8849" i="13" a="1"/>
  <c r="N8849" i="13" s="1"/>
  <c r="J8849" i="13" a="1"/>
  <c r="J8849" i="13" s="1"/>
  <c r="E8849" i="13" a="1"/>
  <c r="E8849" i="13" s="1"/>
  <c r="M8849" i="13" a="1"/>
  <c r="M8849" i="13" s="1"/>
  <c r="U8849" i="13" a="1"/>
  <c r="U8849" i="13" s="1"/>
  <c r="AD8849" i="13" a="1"/>
  <c r="AD8849" i="13" s="1"/>
  <c r="Z8855" i="13" a="1"/>
  <c r="Z8855" i="13" s="1"/>
  <c r="L8855" i="13" a="1"/>
  <c r="L8855" i="13" s="1"/>
  <c r="P8855" i="13" a="1"/>
  <c r="P8855" i="13" s="1"/>
  <c r="AE8855" i="13" a="1"/>
  <c r="AE8855" i="13" s="1"/>
  <c r="AD8807" i="13" a="1"/>
  <c r="AD8807" i="13" s="1"/>
  <c r="U8807" i="13" a="1"/>
  <c r="U8807" i="13" s="1"/>
  <c r="P8807" i="13" a="1"/>
  <c r="P8807" i="13" s="1"/>
  <c r="G8807" i="13" a="1"/>
  <c r="G8807" i="13" s="1"/>
  <c r="M8807" i="13" a="1"/>
  <c r="M8807" i="13" s="1"/>
  <c r="S8807" i="13" a="1"/>
  <c r="S8807" i="13" s="1"/>
  <c r="AE8807" i="13" a="1"/>
  <c r="AE8807" i="13" s="1"/>
  <c r="N209" i="13"/>
  <c r="N398" i="13" s="1"/>
  <c r="E394" i="13"/>
  <c r="AL644" i="13"/>
  <c r="AL657" i="13"/>
  <c r="AL665" i="13"/>
  <c r="L884" i="13"/>
  <c r="I909" i="13"/>
  <c r="I913" i="13"/>
  <c r="I917" i="13"/>
  <c r="I921" i="13"/>
  <c r="I925" i="13"/>
  <c r="AB1160" i="13"/>
  <c r="U1160" i="13"/>
  <c r="O1160" i="13"/>
  <c r="G1160" i="13"/>
  <c r="K1160" i="13"/>
  <c r="T1160" i="13"/>
  <c r="AE1160" i="13"/>
  <c r="E1215" i="13"/>
  <c r="E1217" i="13" s="1"/>
  <c r="E1223" i="13" s="1"/>
  <c r="G1320" i="13"/>
  <c r="G1324" i="13" s="1"/>
  <c r="G1325" i="13" s="1"/>
  <c r="H1325" i="13"/>
  <c r="H1332" i="13"/>
  <c r="D1424" i="13"/>
  <c r="E1674" i="13"/>
  <c r="E1675" i="13" s="1"/>
  <c r="E1676" i="13" s="1"/>
  <c r="AF8804" i="13" a="1"/>
  <c r="AF8804" i="13" s="1"/>
  <c r="AI8806" i="13" a="1"/>
  <c r="AI8806" i="13" s="1"/>
  <c r="AO8806" i="13" s="1" a="1"/>
  <c r="AO8806" i="13" s="1"/>
  <c r="W8806" i="13" a="1"/>
  <c r="W8806" i="13" s="1"/>
  <c r="E8807" i="13" a="1"/>
  <c r="E8807" i="13" s="1"/>
  <c r="N8807" i="13" a="1"/>
  <c r="N8807" i="13" s="1"/>
  <c r="W8807" i="13" a="1"/>
  <c r="W8807" i="13" s="1"/>
  <c r="AF8807" i="13" a="1"/>
  <c r="AF8807" i="13" s="1"/>
  <c r="R8808" i="13" a="1"/>
  <c r="R8808" i="13" s="1"/>
  <c r="F8808" i="13" a="1"/>
  <c r="F8808" i="13" s="1"/>
  <c r="X8808" i="13" a="1"/>
  <c r="X8808" i="13" s="1"/>
  <c r="E26" i="13"/>
  <c r="C4" i="13" s="1"/>
  <c r="E45" i="13"/>
  <c r="G45" i="13" s="1"/>
  <c r="N208" i="13"/>
  <c r="N397" i="13" s="1"/>
  <c r="O251" i="13"/>
  <c r="E398" i="13"/>
  <c r="N425" i="13"/>
  <c r="G592" i="13"/>
  <c r="H592" i="13" s="1"/>
  <c r="I592" i="13" s="1"/>
  <c r="J592" i="13" s="1"/>
  <c r="K592" i="13" s="1"/>
  <c r="L592" i="13" s="1"/>
  <c r="M592" i="13" s="1"/>
  <c r="N592" i="13" s="1"/>
  <c r="O592" i="13" s="1"/>
  <c r="P592" i="13" s="1"/>
  <c r="Q592" i="13" s="1"/>
  <c r="R592" i="13" s="1"/>
  <c r="S592" i="13" s="1"/>
  <c r="T592" i="13" s="1"/>
  <c r="U592" i="13" s="1"/>
  <c r="V592" i="13" s="1"/>
  <c r="W592" i="13" s="1"/>
  <c r="X592" i="13" s="1"/>
  <c r="Y592" i="13" s="1"/>
  <c r="Z592" i="13" s="1"/>
  <c r="AA592" i="13" s="1"/>
  <c r="AB592" i="13" s="1"/>
  <c r="AC592" i="13" s="1"/>
  <c r="AD592" i="13" s="1"/>
  <c r="AE592" i="13" s="1"/>
  <c r="AF592" i="13" s="1"/>
  <c r="AG592" i="13" s="1"/>
  <c r="AH592" i="13" s="1"/>
  <c r="AI592" i="13" s="1"/>
  <c r="AL609" i="13"/>
  <c r="I908" i="13"/>
  <c r="J909" i="13"/>
  <c r="I912" i="13"/>
  <c r="J913" i="13"/>
  <c r="I916" i="13"/>
  <c r="J917" i="13"/>
  <c r="I920" i="13"/>
  <c r="J921" i="13"/>
  <c r="I924" i="13"/>
  <c r="J925" i="13"/>
  <c r="N1046" i="13"/>
  <c r="D1160" i="13"/>
  <c r="L1160" i="13"/>
  <c r="W1160" i="13"/>
  <c r="AF1160" i="13"/>
  <c r="G1268" i="13"/>
  <c r="G1274" i="13" s="1"/>
  <c r="E1477" i="13"/>
  <c r="E1479" i="13" s="1"/>
  <c r="E1485" i="13" s="1"/>
  <c r="F1477" i="13"/>
  <c r="F1479" i="13" s="1"/>
  <c r="F1674" i="13"/>
  <c r="F1678" i="13" s="1"/>
  <c r="E8806" i="13" a="1"/>
  <c r="E8806" i="13" s="1"/>
  <c r="F8807" i="13" a="1"/>
  <c r="F8807" i="13" s="1"/>
  <c r="X8807" i="13" a="1"/>
  <c r="X8807" i="13" s="1"/>
  <c r="AH8807" i="13" a="1"/>
  <c r="AH8807" i="13" s="1"/>
  <c r="J8808" i="13" a="1"/>
  <c r="J8808" i="13" s="1"/>
  <c r="AD8811" i="13" a="1"/>
  <c r="AD8811" i="13" s="1"/>
  <c r="U8811" i="13" a="1"/>
  <c r="U8811" i="13" s="1"/>
  <c r="P8811" i="13" a="1"/>
  <c r="P8811" i="13" s="1"/>
  <c r="G8811" i="13" a="1"/>
  <c r="G8811" i="13" s="1"/>
  <c r="M8811" i="13" a="1"/>
  <c r="M8811" i="13" s="1"/>
  <c r="S8811" i="13" a="1"/>
  <c r="S8811" i="13" s="1"/>
  <c r="AE8811" i="13" a="1"/>
  <c r="AE8811" i="13" s="1"/>
  <c r="F8815" i="13" a="1"/>
  <c r="F8815" i="13" s="1"/>
  <c r="X8815" i="13" a="1"/>
  <c r="X8815" i="13" s="1"/>
  <c r="AH8815" i="13" a="1"/>
  <c r="AH8815" i="13" s="1"/>
  <c r="T8820" i="13" a="1"/>
  <c r="T8820" i="13" s="1"/>
  <c r="G8821" i="13" a="1"/>
  <c r="G8821" i="13" s="1"/>
  <c r="M8821" i="13" a="1"/>
  <c r="M8821" i="13" s="1"/>
  <c r="S8821" i="13" a="1"/>
  <c r="S8821" i="13" s="1"/>
  <c r="Y8821" i="13" a="1"/>
  <c r="Y8821" i="13" s="1"/>
  <c r="AE8821" i="13" a="1"/>
  <c r="AE8821" i="13" s="1"/>
  <c r="T8824" i="13" a="1"/>
  <c r="T8824" i="13" s="1"/>
  <c r="H8825" i="13" a="1"/>
  <c r="H8825" i="13" s="1"/>
  <c r="V8828" i="13" a="1"/>
  <c r="V8828" i="13" s="1"/>
  <c r="AB8828" i="13" a="1"/>
  <c r="AB8828" i="13" s="1"/>
  <c r="T8828" i="13" a="1"/>
  <c r="T8828" i="13" s="1"/>
  <c r="F8828" i="13" a="1"/>
  <c r="F8828" i="13" s="1"/>
  <c r="AH8829" i="13" a="1"/>
  <c r="AH8829" i="13" s="1"/>
  <c r="AD8829" i="13" a="1"/>
  <c r="AD8829" i="13" s="1"/>
  <c r="AA8829" i="13" a="1"/>
  <c r="AA8829" i="13" s="1"/>
  <c r="X8829" i="13" a="1"/>
  <c r="X8829" i="13" s="1"/>
  <c r="U8829" i="13" a="1"/>
  <c r="U8829" i="13" s="1"/>
  <c r="R8829" i="13" a="1"/>
  <c r="R8829" i="13" s="1"/>
  <c r="O8829" i="13" a="1"/>
  <c r="O8829" i="13" s="1"/>
  <c r="L8829" i="13" a="1"/>
  <c r="L8829" i="13" s="1"/>
  <c r="I8829" i="13" a="1"/>
  <c r="I8829" i="13" s="1"/>
  <c r="AG8829" i="13" a="1"/>
  <c r="AG8829" i="13" s="1"/>
  <c r="Z8829" i="13" a="1"/>
  <c r="Z8829" i="13" s="1"/>
  <c r="W8829" i="13" a="1"/>
  <c r="W8829" i="13" s="1"/>
  <c r="T8829" i="13" a="1"/>
  <c r="T8829" i="13" s="1"/>
  <c r="N8829" i="13" a="1"/>
  <c r="N8829" i="13" s="1"/>
  <c r="H8829" i="13" a="1"/>
  <c r="H8829" i="13" s="1"/>
  <c r="E8829" i="13" a="1"/>
  <c r="E8829" i="13" s="1"/>
  <c r="K8829" i="13" a="1"/>
  <c r="K8829" i="13" s="1"/>
  <c r="Q8829" i="13" a="1"/>
  <c r="Q8829" i="13" s="1"/>
  <c r="V8829" i="13" a="1"/>
  <c r="V8829" i="13" s="1"/>
  <c r="AC8829" i="13" a="1"/>
  <c r="AC8829" i="13" s="1"/>
  <c r="K8830" i="13" a="1"/>
  <c r="K8830" i="13" s="1"/>
  <c r="G8830" i="13" a="1"/>
  <c r="G8830" i="13" s="1"/>
  <c r="L8845" i="13" a="1"/>
  <c r="L8845" i="13" s="1"/>
  <c r="U8845" i="13" a="1"/>
  <c r="U8845" i="13" s="1"/>
  <c r="T8848" i="13" a="1"/>
  <c r="T8848" i="13" s="1"/>
  <c r="N205" i="13"/>
  <c r="N394" i="13" s="1"/>
  <c r="E253" i="13"/>
  <c r="K253" i="13" s="1"/>
  <c r="K884" i="13"/>
  <c r="F423" i="13" s="1"/>
  <c r="E29" i="13"/>
  <c r="E35" i="13"/>
  <c r="E393" i="13"/>
  <c r="M204" i="13"/>
  <c r="M393" i="13" s="1"/>
  <c r="P248" i="13"/>
  <c r="O248" i="13"/>
  <c r="O250" i="13"/>
  <c r="AL652" i="13"/>
  <c r="J908" i="13"/>
  <c r="J912" i="13"/>
  <c r="J916" i="13"/>
  <c r="J920" i="13"/>
  <c r="J924" i="13"/>
  <c r="G1217" i="13"/>
  <c r="G1223" i="13" s="1"/>
  <c r="D1239" i="13"/>
  <c r="F1215" i="13"/>
  <c r="F1217" i="13" s="1"/>
  <c r="F1319" i="13"/>
  <c r="G1321" i="13"/>
  <c r="G1333" i="13"/>
  <c r="H1628" i="13"/>
  <c r="H1634" i="13" s="1"/>
  <c r="K1674" i="13"/>
  <c r="K1678" i="13" s="1"/>
  <c r="R8804" i="13" a="1"/>
  <c r="R8804" i="13" s="1"/>
  <c r="F8804" i="13" a="1"/>
  <c r="F8804" i="13" s="1"/>
  <c r="X8804" i="13" a="1"/>
  <c r="X8804" i="13" s="1"/>
  <c r="J8807" i="13" a="1"/>
  <c r="J8807" i="13" s="1"/>
  <c r="R8807" i="13" a="1"/>
  <c r="R8807" i="13" s="1"/>
  <c r="AA8807" i="13" a="1"/>
  <c r="AA8807" i="13" s="1"/>
  <c r="AI8807" i="13" a="1"/>
  <c r="AI8807" i="13" s="1"/>
  <c r="AO8807" i="13" s="1" a="1"/>
  <c r="AO8807" i="13" s="1"/>
  <c r="AK8807" i="13" s="1"/>
  <c r="AL8807" i="13" s="1"/>
  <c r="AM8807" i="13" s="1"/>
  <c r="AN8807" i="13" s="1"/>
  <c r="AI8810" i="13" a="1"/>
  <c r="AI8810" i="13" s="1"/>
  <c r="AO8810" i="13" s="1" a="1"/>
  <c r="AO8810" i="13" s="1"/>
  <c r="AK8810" i="13" s="1"/>
  <c r="AL8810" i="13" s="1"/>
  <c r="AM8810" i="13" s="1"/>
  <c r="AN8810" i="13" s="1"/>
  <c r="W8810" i="13" a="1"/>
  <c r="W8810" i="13" s="1"/>
  <c r="R8812" i="13" a="1"/>
  <c r="R8812" i="13" s="1"/>
  <c r="F8812" i="13" a="1"/>
  <c r="F8812" i="13" s="1"/>
  <c r="X8812" i="13" a="1"/>
  <c r="X8812" i="13" s="1"/>
  <c r="J8815" i="13" a="1"/>
  <c r="J8815" i="13" s="1"/>
  <c r="R8815" i="13" a="1"/>
  <c r="R8815" i="13" s="1"/>
  <c r="AA8815" i="13" a="1"/>
  <c r="AA8815" i="13" s="1"/>
  <c r="AI8815" i="13" a="1"/>
  <c r="AI8815" i="13" s="1"/>
  <c r="AO8815" i="13" s="1" a="1"/>
  <c r="AO8815" i="13" s="1"/>
  <c r="AK8815" i="13" s="1"/>
  <c r="AL8815" i="13" s="1"/>
  <c r="AM8815" i="13" s="1"/>
  <c r="AN8815" i="13" s="1"/>
  <c r="Z8820" i="13" a="1"/>
  <c r="Z8820" i="13" s="1"/>
  <c r="H8821" i="13" a="1"/>
  <c r="H8821" i="13" s="1"/>
  <c r="AF8821" i="13" a="1"/>
  <c r="AF8821" i="13" s="1"/>
  <c r="AH8825" i="13" a="1"/>
  <c r="AH8825" i="13" s="1"/>
  <c r="AD8825" i="13" a="1"/>
  <c r="AD8825" i="13" s="1"/>
  <c r="AA8825" i="13" a="1"/>
  <c r="AA8825" i="13" s="1"/>
  <c r="X8825" i="13" a="1"/>
  <c r="X8825" i="13" s="1"/>
  <c r="U8825" i="13" a="1"/>
  <c r="U8825" i="13" s="1"/>
  <c r="R8825" i="13" a="1"/>
  <c r="R8825" i="13" s="1"/>
  <c r="O8825" i="13" a="1"/>
  <c r="O8825" i="13" s="1"/>
  <c r="L8825" i="13" a="1"/>
  <c r="L8825" i="13" s="1"/>
  <c r="F8825" i="13" a="1"/>
  <c r="F8825" i="13" s="1"/>
  <c r="AG8825" i="13" a="1"/>
  <c r="AG8825" i="13" s="1"/>
  <c r="Z8825" i="13" a="1"/>
  <c r="Z8825" i="13" s="1"/>
  <c r="W8825" i="13" a="1"/>
  <c r="W8825" i="13" s="1"/>
  <c r="T8825" i="13" a="1"/>
  <c r="T8825" i="13" s="1"/>
  <c r="N8825" i="13" a="1"/>
  <c r="N8825" i="13" s="1"/>
  <c r="I8825" i="13" a="1"/>
  <c r="I8825" i="13" s="1"/>
  <c r="J8825" i="13" a="1"/>
  <c r="J8825" i="13" s="1"/>
  <c r="P8825" i="13" a="1"/>
  <c r="P8825" i="13" s="1"/>
  <c r="AB8825" i="13" a="1"/>
  <c r="AB8825" i="13" s="1"/>
  <c r="AI8825" i="13" a="1"/>
  <c r="AI8825" i="13" s="1"/>
  <c r="AO8825" i="13" s="1" a="1"/>
  <c r="AO8825" i="13" s="1"/>
  <c r="AK8825" i="13" s="1"/>
  <c r="AL8825" i="13" s="1"/>
  <c r="AM8825" i="13" s="1"/>
  <c r="AN8825" i="13" s="1"/>
  <c r="AH8840" i="13" a="1"/>
  <c r="AH8840" i="13" s="1"/>
  <c r="J8840" i="13" a="1"/>
  <c r="J8840" i="13" s="1"/>
  <c r="AF8840" i="13" a="1"/>
  <c r="AF8840" i="13" s="1"/>
  <c r="R8840" i="13" a="1"/>
  <c r="R8840" i="13" s="1"/>
  <c r="AB8840" i="13" a="1"/>
  <c r="AB8840" i="13" s="1"/>
  <c r="P8840" i="13" a="1"/>
  <c r="P8840" i="13" s="1"/>
  <c r="AH8841" i="13" a="1"/>
  <c r="AH8841" i="13" s="1"/>
  <c r="AE8841" i="13" a="1"/>
  <c r="AE8841" i="13" s="1"/>
  <c r="X8841" i="13" a="1"/>
  <c r="X8841" i="13" s="1"/>
  <c r="U8841" i="13" a="1"/>
  <c r="U8841" i="13" s="1"/>
  <c r="R8841" i="13" a="1"/>
  <c r="R8841" i="13" s="1"/>
  <c r="L8841" i="13" a="1"/>
  <c r="L8841" i="13" s="1"/>
  <c r="F8841" i="13" a="1"/>
  <c r="F8841" i="13" s="1"/>
  <c r="AF8841" i="13" a="1"/>
  <c r="AF8841" i="13" s="1"/>
  <c r="AA8841" i="13" a="1"/>
  <c r="AA8841" i="13" s="1"/>
  <c r="W8841" i="13" a="1"/>
  <c r="W8841" i="13" s="1"/>
  <c r="S8841" i="13" a="1"/>
  <c r="S8841" i="13" s="1"/>
  <c r="O8841" i="13" a="1"/>
  <c r="O8841" i="13" s="1"/>
  <c r="K8841" i="13" a="1"/>
  <c r="K8841" i="13" s="1"/>
  <c r="G8841" i="13" a="1"/>
  <c r="G8841" i="13" s="1"/>
  <c r="AI8841" i="13" a="1"/>
  <c r="AI8841" i="13" s="1"/>
  <c r="AO8841" i="13" s="1" a="1"/>
  <c r="AO8841" i="13" s="1"/>
  <c r="AK8841" i="13" s="1"/>
  <c r="AL8841" i="13" s="1"/>
  <c r="AM8841" i="13" s="1"/>
  <c r="AN8841" i="13" s="1"/>
  <c r="AD8841" i="13" a="1"/>
  <c r="AD8841" i="13" s="1"/>
  <c r="Z8841" i="13" a="1"/>
  <c r="Z8841" i="13" s="1"/>
  <c r="V8841" i="13" a="1"/>
  <c r="V8841" i="13" s="1"/>
  <c r="N8841" i="13" a="1"/>
  <c r="N8841" i="13" s="1"/>
  <c r="J8841" i="13" a="1"/>
  <c r="J8841" i="13" s="1"/>
  <c r="E8841" i="13" a="1"/>
  <c r="E8841" i="13" s="1"/>
  <c r="M8841" i="13" a="1"/>
  <c r="M8841" i="13" s="1"/>
  <c r="T8841" i="13" a="1"/>
  <c r="T8841" i="13" s="1"/>
  <c r="AC8841" i="13" a="1"/>
  <c r="AC8841" i="13" s="1"/>
  <c r="AD8845" i="13" a="1"/>
  <c r="AD8845" i="13" s="1"/>
  <c r="AA8845" i="13" a="1"/>
  <c r="AA8845" i="13" s="1"/>
  <c r="T8845" i="13" a="1"/>
  <c r="T8845" i="13" s="1"/>
  <c r="N8845" i="13" a="1"/>
  <c r="N8845" i="13" s="1"/>
  <c r="K8845" i="13" a="1"/>
  <c r="K8845" i="13" s="1"/>
  <c r="G8845" i="13" a="1"/>
  <c r="G8845" i="13" s="1"/>
  <c r="AG8845" i="13" a="1"/>
  <c r="AG8845" i="13" s="1"/>
  <c r="AB8845" i="13" a="1"/>
  <c r="AB8845" i="13" s="1"/>
  <c r="X8845" i="13" a="1"/>
  <c r="X8845" i="13" s="1"/>
  <c r="P8845" i="13" a="1"/>
  <c r="P8845" i="13" s="1"/>
  <c r="F8845" i="13" a="1"/>
  <c r="F8845" i="13" s="1"/>
  <c r="AF8845" i="13" a="1"/>
  <c r="AF8845" i="13" s="1"/>
  <c r="W8845" i="13" a="1"/>
  <c r="W8845" i="13" s="1"/>
  <c r="S8845" i="13" a="1"/>
  <c r="S8845" i="13" s="1"/>
  <c r="O8845" i="13" a="1"/>
  <c r="O8845" i="13" s="1"/>
  <c r="J8845" i="13" a="1"/>
  <c r="J8845" i="13" s="1"/>
  <c r="E8845" i="13" a="1"/>
  <c r="E8845" i="13" s="1"/>
  <c r="M8845" i="13" a="1"/>
  <c r="M8845" i="13" s="1"/>
  <c r="V8845" i="13" a="1"/>
  <c r="V8845" i="13" s="1"/>
  <c r="AE8845" i="13" a="1"/>
  <c r="AE8845" i="13" s="1"/>
  <c r="X8848" i="13" a="1"/>
  <c r="X8848" i="13" s="1"/>
  <c r="AB8863" i="13" a="1"/>
  <c r="AB8863" i="13" s="1"/>
  <c r="L8863" i="13" a="1"/>
  <c r="L8863" i="13" s="1"/>
  <c r="X8863" i="13" a="1"/>
  <c r="X8863" i="13" s="1"/>
  <c r="L8870" i="13" a="1"/>
  <c r="L8870" i="13" s="1"/>
  <c r="X8870" i="13" a="1"/>
  <c r="X8870" i="13" s="1"/>
  <c r="L8874" i="13" a="1"/>
  <c r="L8874" i="13" s="1"/>
  <c r="U8874" i="13" a="1"/>
  <c r="U8874" i="13" s="1"/>
  <c r="AI8876" i="13" a="1"/>
  <c r="AI8876" i="13" s="1"/>
  <c r="AO8876" i="13" s="1" a="1"/>
  <c r="AO8876" i="13" s="1"/>
  <c r="AK8876" i="13" s="1"/>
  <c r="AL8876" i="13" s="1"/>
  <c r="AM8876" i="13" s="1"/>
  <c r="AN8876" i="13" s="1"/>
  <c r="AB8876" i="13" a="1"/>
  <c r="AB8876" i="13" s="1"/>
  <c r="Y8876" i="13" a="1"/>
  <c r="Y8876" i="13" s="1"/>
  <c r="V8876" i="13" a="1"/>
  <c r="V8876" i="13" s="1"/>
  <c r="S8876" i="13" a="1"/>
  <c r="S8876" i="13" s="1"/>
  <c r="L8876" i="13" a="1"/>
  <c r="L8876" i="13" s="1"/>
  <c r="I8876" i="13" a="1"/>
  <c r="I8876" i="13" s="1"/>
  <c r="F8876" i="13" a="1"/>
  <c r="F8876" i="13" s="1"/>
  <c r="H8876" i="13" a="1"/>
  <c r="H8876" i="13" s="1"/>
  <c r="M8876" i="13" a="1"/>
  <c r="M8876" i="13" s="1"/>
  <c r="Q8876" i="13" a="1"/>
  <c r="Q8876" i="13" s="1"/>
  <c r="U8876" i="13" a="1"/>
  <c r="U8876" i="13" s="1"/>
  <c r="Z8876" i="13" a="1"/>
  <c r="Z8876" i="13" s="1"/>
  <c r="AD8876" i="13" a="1"/>
  <c r="AD8876" i="13" s="1"/>
  <c r="AH8876" i="13" a="1"/>
  <c r="AH8876" i="13" s="1"/>
  <c r="L8878" i="13" a="1"/>
  <c r="L8878" i="13" s="1"/>
  <c r="X8878" i="13" a="1"/>
  <c r="X8878" i="13" s="1"/>
  <c r="P8883" i="13" a="1"/>
  <c r="P8883" i="13" s="1"/>
  <c r="V8887" i="13" a="1"/>
  <c r="V8887" i="13" s="1"/>
  <c r="F8887" i="13" a="1"/>
  <c r="F8887" i="13" s="1"/>
  <c r="AA8887" i="13" a="1"/>
  <c r="AA8887" i="13" s="1"/>
  <c r="G8889" i="13" a="1"/>
  <c r="G8889" i="13" s="1"/>
  <c r="L8889" i="13" a="1"/>
  <c r="L8889" i="13" s="1"/>
  <c r="P8889" i="13" a="1"/>
  <c r="P8889" i="13" s="1"/>
  <c r="T8889" i="13" a="1"/>
  <c r="T8889" i="13" s="1"/>
  <c r="Y8889" i="13" a="1"/>
  <c r="Y8889" i="13" s="1"/>
  <c r="AC8889" i="13" a="1"/>
  <c r="AC8889" i="13" s="1"/>
  <c r="AA8891" i="13" a="1"/>
  <c r="AA8891" i="13" s="1"/>
  <c r="K8891" i="13" a="1"/>
  <c r="K8891" i="13" s="1"/>
  <c r="V8891" i="13" a="1"/>
  <c r="V8891" i="13" s="1"/>
  <c r="N8892" i="13" a="1"/>
  <c r="N8892" i="13" s="1"/>
  <c r="V8892" i="13" a="1"/>
  <c r="V8892" i="13" s="1"/>
  <c r="G8893" i="13" a="1"/>
  <c r="G8893" i="13" s="1"/>
  <c r="K8893" i="13" a="1"/>
  <c r="K8893" i="13" s="1"/>
  <c r="O8893" i="13" a="1"/>
  <c r="O8893" i="13" s="1"/>
  <c r="T8893" i="13" a="1"/>
  <c r="T8893" i="13" s="1"/>
  <c r="AH8895" i="13" a="1"/>
  <c r="AH8895" i="13" s="1"/>
  <c r="AD8895" i="13" a="1"/>
  <c r="AD8895" i="13" s="1"/>
  <c r="Y8895" i="13" a="1"/>
  <c r="Y8895" i="13" s="1"/>
  <c r="V8895" i="13" a="1"/>
  <c r="V8895" i="13" s="1"/>
  <c r="Q8895" i="13" a="1"/>
  <c r="Q8895" i="13" s="1"/>
  <c r="AG8895" i="13" a="1"/>
  <c r="AG8895" i="13" s="1"/>
  <c r="AA8895" i="13" a="1"/>
  <c r="AA8895" i="13" s="1"/>
  <c r="U8895" i="13" a="1"/>
  <c r="U8895" i="13" s="1"/>
  <c r="N8895" i="13" a="1"/>
  <c r="N8895" i="13" s="1"/>
  <c r="I8895" i="13" a="1"/>
  <c r="I8895" i="13" s="1"/>
  <c r="F8895" i="13" a="1"/>
  <c r="F8895" i="13" s="1"/>
  <c r="P8895" i="13" a="1"/>
  <c r="P8895" i="13" s="1"/>
  <c r="X8895" i="13" a="1"/>
  <c r="X8895" i="13" s="1"/>
  <c r="AF8895" i="13" a="1"/>
  <c r="AF8895" i="13" s="1"/>
  <c r="AH8899" i="13" a="1"/>
  <c r="AH8899" i="13" s="1"/>
  <c r="AI8899" i="13" a="1"/>
  <c r="AI8899" i="13" s="1"/>
  <c r="AO8899" i="13" s="1" a="1"/>
  <c r="AO8899" i="13" s="1"/>
  <c r="AA8899" i="13" a="1"/>
  <c r="AA8899" i="13" s="1"/>
  <c r="U8899" i="13" a="1"/>
  <c r="U8899" i="13" s="1"/>
  <c r="M8899" i="13" a="1"/>
  <c r="M8899" i="13" s="1"/>
  <c r="H8899" i="13" a="1"/>
  <c r="H8899" i="13" s="1"/>
  <c r="AF8899" i="13" a="1"/>
  <c r="AF8899" i="13" s="1"/>
  <c r="Y8899" i="13" a="1"/>
  <c r="Y8899" i="13" s="1"/>
  <c r="S8899" i="13" a="1"/>
  <c r="S8899" i="13" s="1"/>
  <c r="N8899" i="13" a="1"/>
  <c r="N8899" i="13" s="1"/>
  <c r="F8899" i="13" a="1"/>
  <c r="F8899" i="13" s="1"/>
  <c r="AD8899" i="13" a="1"/>
  <c r="AD8899" i="13" s="1"/>
  <c r="X8899" i="13" a="1"/>
  <c r="X8899" i="13" s="1"/>
  <c r="Q8899" i="13" a="1"/>
  <c r="Q8899" i="13" s="1"/>
  <c r="L8899" i="13" a="1"/>
  <c r="L8899" i="13" s="1"/>
  <c r="E8899" i="13" a="1"/>
  <c r="E8899" i="13" s="1"/>
  <c r="P8899" i="13" a="1"/>
  <c r="P8899" i="13" s="1"/>
  <c r="AC8899" i="13" a="1"/>
  <c r="AC8899" i="13" s="1"/>
  <c r="AC8906" i="13" a="1"/>
  <c r="AC8906" i="13" s="1"/>
  <c r="U8906" i="13" a="1"/>
  <c r="U8906" i="13" s="1"/>
  <c r="M8906" i="13" a="1"/>
  <c r="M8906" i="13" s="1"/>
  <c r="E8906" i="13" a="1"/>
  <c r="E8906" i="13" s="1"/>
  <c r="AG8906" i="13" a="1"/>
  <c r="AG8906" i="13" s="1"/>
  <c r="I8906" i="13" a="1"/>
  <c r="I8906" i="13" s="1"/>
  <c r="AA8906" i="13" a="1"/>
  <c r="AA8906" i="13" s="1"/>
  <c r="S8906" i="13" a="1"/>
  <c r="S8906" i="13" s="1"/>
  <c r="Y8906" i="13" a="1"/>
  <c r="Y8906" i="13" s="1"/>
  <c r="Z8910" i="13" a="1"/>
  <c r="Z8910" i="13" s="1"/>
  <c r="P8910" i="13" a="1"/>
  <c r="P8910" i="13" s="1"/>
  <c r="E8910" i="13" a="1"/>
  <c r="E8910" i="13" s="1"/>
  <c r="X8910" i="13" a="1"/>
  <c r="X8910" i="13" s="1"/>
  <c r="J8910" i="13" a="1"/>
  <c r="J8910" i="13" s="1"/>
  <c r="H8910" i="13" a="1"/>
  <c r="H8910" i="13" s="1"/>
  <c r="AB8910" i="13" a="1"/>
  <c r="AB8910" i="13" s="1"/>
  <c r="L8910" i="13" a="1"/>
  <c r="L8910" i="13" s="1"/>
  <c r="H8863" i="13" a="1"/>
  <c r="H8863" i="13" s="1"/>
  <c r="AF8863" i="13" a="1"/>
  <c r="AF8863" i="13" s="1"/>
  <c r="AF8867" i="13" a="1"/>
  <c r="AF8867" i="13" s="1"/>
  <c r="P8867" i="13" a="1"/>
  <c r="P8867" i="13" s="1"/>
  <c r="X8867" i="13" a="1"/>
  <c r="X8867" i="13" s="1"/>
  <c r="X8871" i="13" a="1"/>
  <c r="X8871" i="13" s="1"/>
  <c r="H8871" i="13" a="1"/>
  <c r="H8871" i="13" s="1"/>
  <c r="AB8871" i="13" a="1"/>
  <c r="AB8871" i="13" s="1"/>
  <c r="AI8878" i="13" a="1"/>
  <c r="AI8878" i="13" s="1"/>
  <c r="AO8878" i="13" s="1" a="1"/>
  <c r="AO8878" i="13" s="1"/>
  <c r="AC8878" i="13" a="1"/>
  <c r="AC8878" i="13" s="1"/>
  <c r="U8878" i="13" a="1"/>
  <c r="U8878" i="13" s="1"/>
  <c r="M8878" i="13" a="1"/>
  <c r="M8878" i="13" s="1"/>
  <c r="E8878" i="13" a="1"/>
  <c r="E8878" i="13" s="1"/>
  <c r="P8878" i="13" a="1"/>
  <c r="P8878" i="13" s="1"/>
  <c r="Y8878" i="13" a="1"/>
  <c r="Y8878" i="13" s="1"/>
  <c r="X8879" i="13" a="1"/>
  <c r="X8879" i="13" s="1"/>
  <c r="H8879" i="13" a="1"/>
  <c r="H8879" i="13" s="1"/>
  <c r="AB8879" i="13" a="1"/>
  <c r="AB8879" i="13" s="1"/>
  <c r="AD8889" i="13" a="1"/>
  <c r="AD8889" i="13" s="1"/>
  <c r="AA8889" i="13" a="1"/>
  <c r="AA8889" i="13" s="1"/>
  <c r="X8889" i="13" a="1"/>
  <c r="X8889" i="13" s="1"/>
  <c r="U8889" i="13" a="1"/>
  <c r="U8889" i="13" s="1"/>
  <c r="N8889" i="13" a="1"/>
  <c r="N8889" i="13" s="1"/>
  <c r="K8889" i="13" a="1"/>
  <c r="K8889" i="13" s="1"/>
  <c r="H8889" i="13" a="1"/>
  <c r="H8889" i="13" s="1"/>
  <c r="E8889" i="13" a="1"/>
  <c r="E8889" i="13" s="1"/>
  <c r="I8889" i="13" a="1"/>
  <c r="I8889" i="13" s="1"/>
  <c r="M8889" i="13" a="1"/>
  <c r="M8889" i="13" s="1"/>
  <c r="Q8889" i="13" a="1"/>
  <c r="Q8889" i="13" s="1"/>
  <c r="AH8889" i="13" a="1"/>
  <c r="AH8889" i="13" s="1"/>
  <c r="AB8892" i="13" a="1"/>
  <c r="AB8892" i="13" s="1"/>
  <c r="L8892" i="13" a="1"/>
  <c r="L8892" i="13" s="1"/>
  <c r="X8892" i="13" a="1"/>
  <c r="X8892" i="13" s="1"/>
  <c r="AI8893" i="13" a="1"/>
  <c r="AI8893" i="13" s="1"/>
  <c r="AO8893" i="13" s="1" a="1"/>
  <c r="AO8893" i="13" s="1"/>
  <c r="AK8893" i="13" s="1"/>
  <c r="AL8893" i="13" s="1"/>
  <c r="AM8893" i="13" s="1"/>
  <c r="AN8893" i="13" s="1"/>
  <c r="AB8893" i="13" a="1"/>
  <c r="AB8893" i="13" s="1"/>
  <c r="Y8893" i="13" a="1"/>
  <c r="Y8893" i="13" s="1"/>
  <c r="V8893" i="13" a="1"/>
  <c r="V8893" i="13" s="1"/>
  <c r="S8893" i="13" a="1"/>
  <c r="S8893" i="13" s="1"/>
  <c r="L8893" i="13" a="1"/>
  <c r="L8893" i="13" s="1"/>
  <c r="I8893" i="13" a="1"/>
  <c r="I8893" i="13" s="1"/>
  <c r="F8893" i="13" a="1"/>
  <c r="F8893" i="13" s="1"/>
  <c r="P8893" i="13" a="1"/>
  <c r="P8893" i="13" s="1"/>
  <c r="U8893" i="13" a="1"/>
  <c r="U8893" i="13" s="1"/>
  <c r="X8893" i="13" a="1"/>
  <c r="X8893" i="13" s="1"/>
  <c r="AC8893" i="13" a="1"/>
  <c r="AC8893" i="13" s="1"/>
  <c r="AG8893" i="13" a="1"/>
  <c r="AG8893" i="13" s="1"/>
  <c r="I8899" i="13" a="1"/>
  <c r="I8899" i="13" s="1"/>
  <c r="T8899" i="13" a="1"/>
  <c r="T8899" i="13" s="1"/>
  <c r="K8906" i="13" a="1"/>
  <c r="K8906" i="13" s="1"/>
  <c r="AI8906" i="13" a="1"/>
  <c r="AI8906" i="13" s="1"/>
  <c r="AO8906" i="13" s="1" a="1"/>
  <c r="AO8906" i="13" s="1"/>
  <c r="AK8906" i="13" s="1"/>
  <c r="AL8906" i="13" s="1"/>
  <c r="AM8906" i="13" s="1"/>
  <c r="AN8906" i="13" s="1"/>
  <c r="T8910" i="13" a="1"/>
  <c r="T8910" i="13" s="1"/>
  <c r="Y8913" i="13" a="1"/>
  <c r="Y8913" i="13" s="1"/>
  <c r="R8913" i="13" a="1"/>
  <c r="R8913" i="13" s="1"/>
  <c r="E8913" i="13" a="1"/>
  <c r="E8913" i="13" s="1"/>
  <c r="W8913" i="13" a="1"/>
  <c r="W8913" i="13" s="1"/>
  <c r="I8913" i="13" a="1"/>
  <c r="I8913" i="13" s="1"/>
  <c r="U8913" i="13" a="1"/>
  <c r="U8913" i="13" s="1"/>
  <c r="G8913" i="13" a="1"/>
  <c r="G8913" i="13" s="1"/>
  <c r="AF8913" i="13" a="1"/>
  <c r="AF8913" i="13" s="1"/>
  <c r="P8913" i="13" a="1"/>
  <c r="P8913" i="13" s="1"/>
  <c r="AC8916" i="13" a="1"/>
  <c r="AC8916" i="13" s="1"/>
  <c r="Q8916" i="13" a="1"/>
  <c r="Q8916" i="13" s="1"/>
  <c r="AE8916" i="13" a="1"/>
  <c r="AE8916" i="13" s="1"/>
  <c r="M8916" i="13" a="1"/>
  <c r="M8916" i="13" s="1"/>
  <c r="U8865" i="13" a="1"/>
  <c r="U8865" i="13" s="1"/>
  <c r="E8865" i="13" a="1"/>
  <c r="E8865" i="13" s="1"/>
  <c r="Y8865" i="13" a="1"/>
  <c r="Y8865" i="13" s="1"/>
  <c r="AI8870" i="13" a="1"/>
  <c r="AI8870" i="13" s="1"/>
  <c r="AO8870" i="13" s="1" a="1"/>
  <c r="AO8870" i="13" s="1"/>
  <c r="AK8870" i="13" s="1"/>
  <c r="AL8870" i="13" s="1"/>
  <c r="AM8870" i="13" s="1"/>
  <c r="AN8870" i="13" s="1"/>
  <c r="AC8870" i="13" a="1"/>
  <c r="AC8870" i="13" s="1"/>
  <c r="U8870" i="13" a="1"/>
  <c r="U8870" i="13" s="1"/>
  <c r="M8870" i="13" a="1"/>
  <c r="M8870" i="13" s="1"/>
  <c r="E8870" i="13" a="1"/>
  <c r="E8870" i="13" s="1"/>
  <c r="P8870" i="13" a="1"/>
  <c r="P8870" i="13" s="1"/>
  <c r="Y8870" i="13" a="1"/>
  <c r="Y8870" i="13" s="1"/>
  <c r="AI8874" i="13" a="1"/>
  <c r="AI8874" i="13" s="1"/>
  <c r="AO8874" i="13" s="1" a="1"/>
  <c r="AO8874" i="13" s="1"/>
  <c r="AK8874" i="13" s="1"/>
  <c r="AG8874" i="13" a="1"/>
  <c r="AG8874" i="13" s="1"/>
  <c r="Y8874" i="13" a="1"/>
  <c r="Y8874" i="13" s="1"/>
  <c r="Q8874" i="13" a="1"/>
  <c r="Q8874" i="13" s="1"/>
  <c r="I8874" i="13" a="1"/>
  <c r="I8874" i="13" s="1"/>
  <c r="M8874" i="13" a="1"/>
  <c r="M8874" i="13" s="1"/>
  <c r="X8874" i="13" a="1"/>
  <c r="X8874" i="13" s="1"/>
  <c r="U8881" i="13" a="1"/>
  <c r="U8881" i="13" s="1"/>
  <c r="E8881" i="13" a="1"/>
  <c r="E8881" i="13" s="1"/>
  <c r="Y8881" i="13" a="1"/>
  <c r="Y8881" i="13" s="1"/>
  <c r="AD8883" i="13" a="1"/>
  <c r="AD8883" i="13" s="1"/>
  <c r="R8883" i="13" a="1"/>
  <c r="R8883" i="13" s="1"/>
  <c r="E8883" i="13" a="1"/>
  <c r="E8883" i="13" s="1"/>
  <c r="S8883" i="13" a="1"/>
  <c r="S8883" i="13" s="1"/>
  <c r="AH8883" i="13" a="1"/>
  <c r="AH8883" i="13" s="1"/>
  <c r="E32" i="13"/>
  <c r="E40" i="13"/>
  <c r="E31" i="13"/>
  <c r="E39" i="13"/>
  <c r="D120" i="13"/>
  <c r="M425" i="13"/>
  <c r="G597" i="13"/>
  <c r="H597" i="13" s="1"/>
  <c r="I597" i="13" s="1"/>
  <c r="J597" i="13" s="1"/>
  <c r="K597" i="13" s="1"/>
  <c r="L597" i="13" s="1"/>
  <c r="M597" i="13" s="1"/>
  <c r="N597" i="13" s="1"/>
  <c r="O597" i="13" s="1"/>
  <c r="P597" i="13" s="1"/>
  <c r="Q597" i="13" s="1"/>
  <c r="R597" i="13" s="1"/>
  <c r="S597" i="13" s="1"/>
  <c r="T597" i="13" s="1"/>
  <c r="U597" i="13" s="1"/>
  <c r="V597" i="13" s="1"/>
  <c r="W597" i="13" s="1"/>
  <c r="X597" i="13" s="1"/>
  <c r="Y597" i="13" s="1"/>
  <c r="Z597" i="13" s="1"/>
  <c r="AA597" i="13" s="1"/>
  <c r="AB597" i="13" s="1"/>
  <c r="AC597" i="13" s="1"/>
  <c r="AD597" i="13" s="1"/>
  <c r="AE597" i="13" s="1"/>
  <c r="AF597" i="13" s="1"/>
  <c r="AG597" i="13" s="1"/>
  <c r="AH597" i="13" s="1"/>
  <c r="AI597" i="13" s="1"/>
  <c r="M1043" i="13"/>
  <c r="M1045" i="13"/>
  <c r="D1161" i="13"/>
  <c r="I1161" i="13"/>
  <c r="N1161" i="13"/>
  <c r="T1161" i="13"/>
  <c r="Y1161" i="13"/>
  <c r="AD1161" i="13"/>
  <c r="F1268" i="13"/>
  <c r="H8805" i="13" a="1"/>
  <c r="H8805" i="13" s="1"/>
  <c r="K8805" i="13" a="1"/>
  <c r="K8805" i="13" s="1"/>
  <c r="O8805" i="13" a="1"/>
  <c r="O8805" i="13" s="1"/>
  <c r="U8805" i="13" a="1"/>
  <c r="U8805" i="13" s="1"/>
  <c r="Z8805" i="13" a="1"/>
  <c r="Z8805" i="13" s="1"/>
  <c r="H8809" i="13" a="1"/>
  <c r="H8809" i="13" s="1"/>
  <c r="K8809" i="13" a="1"/>
  <c r="K8809" i="13" s="1"/>
  <c r="O8809" i="13" a="1"/>
  <c r="O8809" i="13" s="1"/>
  <c r="U8809" i="13" a="1"/>
  <c r="U8809" i="13" s="1"/>
  <c r="Z8809" i="13" a="1"/>
  <c r="Z8809" i="13" s="1"/>
  <c r="H8813" i="13" a="1"/>
  <c r="H8813" i="13" s="1"/>
  <c r="K8813" i="13" a="1"/>
  <c r="K8813" i="13" s="1"/>
  <c r="O8813" i="13" a="1"/>
  <c r="O8813" i="13" s="1"/>
  <c r="U8813" i="13" a="1"/>
  <c r="U8813" i="13" s="1"/>
  <c r="Z8813" i="13" a="1"/>
  <c r="Z8813" i="13" s="1"/>
  <c r="H8817" i="13" a="1"/>
  <c r="H8817" i="13" s="1"/>
  <c r="K8817" i="13" a="1"/>
  <c r="K8817" i="13" s="1"/>
  <c r="O8817" i="13" a="1"/>
  <c r="O8817" i="13" s="1"/>
  <c r="U8817" i="13" a="1"/>
  <c r="U8817" i="13" s="1"/>
  <c r="Z8817" i="13" a="1"/>
  <c r="Z8817" i="13" s="1"/>
  <c r="AA8823" i="13" a="1"/>
  <c r="AA8823" i="13" s="1"/>
  <c r="V8832" i="13" a="1"/>
  <c r="V8832" i="13" s="1"/>
  <c r="AB8832" i="13" a="1"/>
  <c r="AB8832" i="13" s="1"/>
  <c r="F8832" i="13" a="1"/>
  <c r="F8832" i="13" s="1"/>
  <c r="AH8832" i="13" a="1"/>
  <c r="AH8832" i="13" s="1"/>
  <c r="G8833" i="13" a="1"/>
  <c r="G8833" i="13" s="1"/>
  <c r="P8833" i="13" a="1"/>
  <c r="P8833" i="13" s="1"/>
  <c r="W8833" i="13" a="1"/>
  <c r="W8833" i="13" s="1"/>
  <c r="AB8833" i="13" a="1"/>
  <c r="AB8833" i="13" s="1"/>
  <c r="AF8837" i="13" a="1"/>
  <c r="AF8837" i="13" s="1"/>
  <c r="AB8837" i="13" a="1"/>
  <c r="AB8837" i="13" s="1"/>
  <c r="Y8837" i="13" a="1"/>
  <c r="Y8837" i="13" s="1"/>
  <c r="V8837" i="13" a="1"/>
  <c r="V8837" i="13" s="1"/>
  <c r="S8837" i="13" a="1"/>
  <c r="S8837" i="13" s="1"/>
  <c r="P8837" i="13" a="1"/>
  <c r="P8837" i="13" s="1"/>
  <c r="M8837" i="13" a="1"/>
  <c r="M8837" i="13" s="1"/>
  <c r="J8837" i="13" a="1"/>
  <c r="J8837" i="13" s="1"/>
  <c r="G8837" i="13" a="1"/>
  <c r="G8837" i="13" s="1"/>
  <c r="I8837" i="13" a="1"/>
  <c r="I8837" i="13" s="1"/>
  <c r="L8837" i="13" a="1"/>
  <c r="L8837" i="13" s="1"/>
  <c r="Q8837" i="13" a="1"/>
  <c r="Q8837" i="13" s="1"/>
  <c r="T8837" i="13" a="1"/>
  <c r="T8837" i="13" s="1"/>
  <c r="X8837" i="13" a="1"/>
  <c r="X8837" i="13" s="1"/>
  <c r="AC8837" i="13" a="1"/>
  <c r="AC8837" i="13" s="1"/>
  <c r="AH8837" i="13" a="1"/>
  <c r="AH8837" i="13" s="1"/>
  <c r="AE8847" i="13" a="1"/>
  <c r="AE8847" i="13" s="1"/>
  <c r="AC8847" i="13" a="1"/>
  <c r="AC8847" i="13" s="1"/>
  <c r="J8847" i="13" a="1"/>
  <c r="J8847" i="13" s="1"/>
  <c r="X8847" i="13" a="1"/>
  <c r="X8847" i="13" s="1"/>
  <c r="U8850" i="13" a="1"/>
  <c r="U8850" i="13" s="1"/>
  <c r="Y8850" i="13" a="1"/>
  <c r="Y8850" i="13" s="1"/>
  <c r="AI8853" i="13" a="1"/>
  <c r="AI8853" i="13" s="1"/>
  <c r="AO8853" i="13" s="1" a="1"/>
  <c r="AO8853" i="13" s="1"/>
  <c r="AK8853" i="13" s="1"/>
  <c r="AE8853" i="13" a="1"/>
  <c r="AE8853" i="13" s="1"/>
  <c r="X8853" i="13" a="1"/>
  <c r="X8853" i="13" s="1"/>
  <c r="U8853" i="13" a="1"/>
  <c r="U8853" i="13" s="1"/>
  <c r="R8853" i="13" a="1"/>
  <c r="R8853" i="13" s="1"/>
  <c r="L8853" i="13" a="1"/>
  <c r="L8853" i="13" s="1"/>
  <c r="G8853" i="13" a="1"/>
  <c r="G8853" i="13" s="1"/>
  <c r="H8853" i="13" a="1"/>
  <c r="H8853" i="13" s="1"/>
  <c r="P8853" i="13" a="1"/>
  <c r="P8853" i="13" s="1"/>
  <c r="AB8853" i="13" a="1"/>
  <c r="AB8853" i="13" s="1"/>
  <c r="AG8853" i="13" a="1"/>
  <c r="AG8853" i="13" s="1"/>
  <c r="AC8857" i="13" a="1"/>
  <c r="AC8857" i="13" s="1"/>
  <c r="U8857" i="13" a="1"/>
  <c r="U8857" i="13" s="1"/>
  <c r="M8857" i="13" a="1"/>
  <c r="M8857" i="13" s="1"/>
  <c r="G8857" i="13" a="1"/>
  <c r="G8857" i="13" s="1"/>
  <c r="I8857" i="13" a="1"/>
  <c r="I8857" i="13" s="1"/>
  <c r="Q8857" i="13" a="1"/>
  <c r="Q8857" i="13" s="1"/>
  <c r="AE8857" i="13" a="1"/>
  <c r="AE8857" i="13" s="1"/>
  <c r="L8862" i="13" a="1"/>
  <c r="L8862" i="13" s="1"/>
  <c r="U8862" i="13" a="1"/>
  <c r="U8862" i="13" s="1"/>
  <c r="P8863" i="13" a="1"/>
  <c r="P8863" i="13" s="1"/>
  <c r="AI8864" i="13" a="1"/>
  <c r="AI8864" i="13" s="1"/>
  <c r="AO8864" i="13" s="1" a="1"/>
  <c r="AO8864" i="13" s="1"/>
  <c r="AB8864" i="13" a="1"/>
  <c r="AB8864" i="13" s="1"/>
  <c r="Y8864" i="13" a="1"/>
  <c r="Y8864" i="13" s="1"/>
  <c r="V8864" i="13" a="1"/>
  <c r="V8864" i="13" s="1"/>
  <c r="S8864" i="13" a="1"/>
  <c r="S8864" i="13" s="1"/>
  <c r="L8864" i="13" a="1"/>
  <c r="L8864" i="13" s="1"/>
  <c r="I8864" i="13" a="1"/>
  <c r="I8864" i="13" s="1"/>
  <c r="F8864" i="13" a="1"/>
  <c r="F8864" i="13" s="1"/>
  <c r="H8864" i="13" a="1"/>
  <c r="H8864" i="13" s="1"/>
  <c r="M8864" i="13" a="1"/>
  <c r="M8864" i="13" s="1"/>
  <c r="Q8864" i="13" a="1"/>
  <c r="Q8864" i="13" s="1"/>
  <c r="U8864" i="13" a="1"/>
  <c r="U8864" i="13" s="1"/>
  <c r="Z8864" i="13" a="1"/>
  <c r="Z8864" i="13" s="1"/>
  <c r="AD8864" i="13" a="1"/>
  <c r="AD8864" i="13" s="1"/>
  <c r="AH8864" i="13" a="1"/>
  <c r="AH8864" i="13" s="1"/>
  <c r="I8865" i="13" a="1"/>
  <c r="I8865" i="13" s="1"/>
  <c r="AC8865" i="13" a="1"/>
  <c r="AC8865" i="13" s="1"/>
  <c r="H8867" i="13" a="1"/>
  <c r="H8867" i="13" s="1"/>
  <c r="AB8867" i="13" a="1"/>
  <c r="AB8867" i="13" s="1"/>
  <c r="T8868" i="13" a="1"/>
  <c r="T8868" i="13" s="1"/>
  <c r="X8868" i="13" a="1"/>
  <c r="X8868" i="13" s="1"/>
  <c r="AB8868" i="13" a="1"/>
  <c r="AB8868" i="13" s="1"/>
  <c r="Y8869" i="13" a="1"/>
  <c r="Y8869" i="13" s="1"/>
  <c r="I8869" i="13" a="1"/>
  <c r="I8869" i="13" s="1"/>
  <c r="U8869" i="13" a="1"/>
  <c r="U8869" i="13" s="1"/>
  <c r="H8870" i="13" a="1"/>
  <c r="H8870" i="13" s="1"/>
  <c r="Q8870" i="13" a="1"/>
  <c r="Q8870" i="13" s="1"/>
  <c r="AB8870" i="13" a="1"/>
  <c r="AB8870" i="13" s="1"/>
  <c r="L8871" i="13" a="1"/>
  <c r="L8871" i="13" s="1"/>
  <c r="AF8871" i="13" a="1"/>
  <c r="AF8871" i="13" s="1"/>
  <c r="L8872" i="13" a="1"/>
  <c r="L8872" i="13" s="1"/>
  <c r="P8872" i="13" a="1"/>
  <c r="P8872" i="13" s="1"/>
  <c r="T8872" i="13" a="1"/>
  <c r="T8872" i="13" s="1"/>
  <c r="Y8872" i="13" a="1"/>
  <c r="Y8872" i="13" s="1"/>
  <c r="AC8872" i="13" a="1"/>
  <c r="AC8872" i="13" s="1"/>
  <c r="E8874" i="13" a="1"/>
  <c r="E8874" i="13" s="1"/>
  <c r="P8874" i="13" a="1"/>
  <c r="P8874" i="13" s="1"/>
  <c r="AB8874" i="13" a="1"/>
  <c r="AB8874" i="13" s="1"/>
  <c r="AB8875" i="13" a="1"/>
  <c r="AB8875" i="13" s="1"/>
  <c r="L8875" i="13" a="1"/>
  <c r="L8875" i="13" s="1"/>
  <c r="X8875" i="13" a="1"/>
  <c r="X8875" i="13" s="1"/>
  <c r="G8876" i="13" a="1"/>
  <c r="G8876" i="13" s="1"/>
  <c r="K8876" i="13" a="1"/>
  <c r="K8876" i="13" s="1"/>
  <c r="O8876" i="13" a="1"/>
  <c r="O8876" i="13" s="1"/>
  <c r="AF8876" i="13" a="1"/>
  <c r="AF8876" i="13" s="1"/>
  <c r="Y8877" i="13" a="1"/>
  <c r="Y8877" i="13" s="1"/>
  <c r="I8877" i="13" a="1"/>
  <c r="I8877" i="13" s="1"/>
  <c r="U8877" i="13" a="1"/>
  <c r="U8877" i="13" s="1"/>
  <c r="H8878" i="13" a="1"/>
  <c r="H8878" i="13" s="1"/>
  <c r="Q8878" i="13" a="1"/>
  <c r="Q8878" i="13" s="1"/>
  <c r="AB8878" i="13" a="1"/>
  <c r="AB8878" i="13" s="1"/>
  <c r="L8879" i="13" a="1"/>
  <c r="L8879" i="13" s="1"/>
  <c r="AF8879" i="13" a="1"/>
  <c r="AF8879" i="13" s="1"/>
  <c r="L8880" i="13" a="1"/>
  <c r="L8880" i="13" s="1"/>
  <c r="P8880" i="13" a="1"/>
  <c r="P8880" i="13" s="1"/>
  <c r="T8880" i="13" a="1"/>
  <c r="T8880" i="13" s="1"/>
  <c r="Y8880" i="13" a="1"/>
  <c r="Y8880" i="13" s="1"/>
  <c r="AC8880" i="13" a="1"/>
  <c r="AC8880" i="13" s="1"/>
  <c r="I8881" i="13" a="1"/>
  <c r="I8881" i="13" s="1"/>
  <c r="AC8881" i="13" a="1"/>
  <c r="AC8881" i="13" s="1"/>
  <c r="G8883" i="13" a="1"/>
  <c r="G8883" i="13" s="1"/>
  <c r="U8883" i="13" a="1"/>
  <c r="U8883" i="13" s="1"/>
  <c r="AI8883" i="13" a="1"/>
  <c r="AI8883" i="13" s="1"/>
  <c r="AO8883" i="13" s="1" a="1"/>
  <c r="AO8883" i="13" s="1"/>
  <c r="N8887" i="13" a="1"/>
  <c r="N8887" i="13" s="1"/>
  <c r="AI8887" i="13" a="1"/>
  <c r="AI8887" i="13" s="1"/>
  <c r="AO8887" i="13" s="1" a="1"/>
  <c r="AO8887" i="13" s="1"/>
  <c r="AK8887" i="13" s="1"/>
  <c r="AL8887" i="13" s="1"/>
  <c r="AM8887" i="13" s="1"/>
  <c r="AN8887" i="13" s="1"/>
  <c r="R8889" i="13" a="1"/>
  <c r="R8889" i="13" s="1"/>
  <c r="V8889" i="13" a="1"/>
  <c r="V8889" i="13" s="1"/>
  <c r="Z8889" i="13" a="1"/>
  <c r="Z8889" i="13" s="1"/>
  <c r="AE8889" i="13" a="1"/>
  <c r="AE8889" i="13" s="1"/>
  <c r="AI8889" i="13" a="1"/>
  <c r="AI8889" i="13" s="1"/>
  <c r="AO8889" i="13" s="1" a="1"/>
  <c r="AO8889" i="13" s="1"/>
  <c r="AK8889" i="13" s="1"/>
  <c r="AL8889" i="13" s="1"/>
  <c r="AM8889" i="13" s="1"/>
  <c r="AN8889" i="13" s="1"/>
  <c r="N8891" i="13" a="1"/>
  <c r="N8891" i="13" s="1"/>
  <c r="F8892" i="13" a="1"/>
  <c r="F8892" i="13" s="1"/>
  <c r="P8892" i="13" a="1"/>
  <c r="P8892" i="13" s="1"/>
  <c r="AD8892" i="13" a="1"/>
  <c r="AD8892" i="13" s="1"/>
  <c r="E8893" i="13" a="1"/>
  <c r="E8893" i="13" s="1"/>
  <c r="H8893" i="13" a="1"/>
  <c r="H8893" i="13" s="1"/>
  <c r="M8893" i="13" a="1"/>
  <c r="M8893" i="13" s="1"/>
  <c r="Q8893" i="13" a="1"/>
  <c r="Q8893" i="13" s="1"/>
  <c r="Z8893" i="13" a="1"/>
  <c r="Z8893" i="13" s="1"/>
  <c r="AD8893" i="13" a="1"/>
  <c r="AD8893" i="13" s="1"/>
  <c r="AH8893" i="13" a="1"/>
  <c r="AH8893" i="13" s="1"/>
  <c r="L8895" i="13" a="1"/>
  <c r="L8895" i="13" s="1"/>
  <c r="T8895" i="13" a="1"/>
  <c r="T8895" i="13" s="1"/>
  <c r="AB8895" i="13" a="1"/>
  <c r="AB8895" i="13" s="1"/>
  <c r="K8899" i="13" a="1"/>
  <c r="K8899" i="13" s="1"/>
  <c r="V8899" i="13" a="1"/>
  <c r="V8899" i="13" s="1"/>
  <c r="AG8899" i="13" a="1"/>
  <c r="AG8899" i="13" s="1"/>
  <c r="Y8902" i="13" a="1"/>
  <c r="Y8902" i="13" s="1"/>
  <c r="I8902" i="13" a="1"/>
  <c r="I8902" i="13" s="1"/>
  <c r="AC8902" i="13" a="1"/>
  <c r="AC8902" i="13" s="1"/>
  <c r="S8902" i="13" a="1"/>
  <c r="S8902" i="13" s="1"/>
  <c r="K8902" i="13" a="1"/>
  <c r="K8902" i="13" s="1"/>
  <c r="Q8902" i="13" a="1"/>
  <c r="Q8902" i="13" s="1"/>
  <c r="E8902" i="13" a="1"/>
  <c r="E8902" i="13" s="1"/>
  <c r="AA8902" i="13" a="1"/>
  <c r="AA8902" i="13" s="1"/>
  <c r="Q8906" i="13" a="1"/>
  <c r="Q8906" i="13" s="1"/>
  <c r="AH8910" i="13" a="1"/>
  <c r="AH8910" i="13" s="1"/>
  <c r="T8913" i="13" a="1"/>
  <c r="T8913" i="13" s="1"/>
  <c r="AI8915" i="13" a="1"/>
  <c r="AI8915" i="13" s="1"/>
  <c r="AO8915" i="13" s="1" a="1"/>
  <c r="AO8915" i="13" s="1"/>
  <c r="AE8915" i="13" a="1"/>
  <c r="AE8915" i="13" s="1"/>
  <c r="Y8915" i="13" a="1"/>
  <c r="Y8915" i="13" s="1"/>
  <c r="U8915" i="13" a="1"/>
  <c r="U8915" i="13" s="1"/>
  <c r="R8915" i="13" a="1"/>
  <c r="R8915" i="13" s="1"/>
  <c r="O8915" i="13" a="1"/>
  <c r="O8915" i="13" s="1"/>
  <c r="I8915" i="13" a="1"/>
  <c r="I8915" i="13" s="1"/>
  <c r="E8915" i="13" a="1"/>
  <c r="E8915" i="13" s="1"/>
  <c r="AG8915" i="13" a="1"/>
  <c r="AG8915" i="13" s="1"/>
  <c r="AB8915" i="13" a="1"/>
  <c r="AB8915" i="13" s="1"/>
  <c r="X8915" i="13" a="1"/>
  <c r="X8915" i="13" s="1"/>
  <c r="K8915" i="13" a="1"/>
  <c r="K8915" i="13" s="1"/>
  <c r="G8915" i="13" a="1"/>
  <c r="G8915" i="13" s="1"/>
  <c r="AF8915" i="13" a="1"/>
  <c r="AF8915" i="13" s="1"/>
  <c r="AA8915" i="13" a="1"/>
  <c r="AA8915" i="13" s="1"/>
  <c r="W8915" i="13" a="1"/>
  <c r="W8915" i="13" s="1"/>
  <c r="S8915" i="13" a="1"/>
  <c r="S8915" i="13" s="1"/>
  <c r="N8915" i="13" a="1"/>
  <c r="N8915" i="13" s="1"/>
  <c r="J8915" i="13" a="1"/>
  <c r="J8915" i="13" s="1"/>
  <c r="F8915" i="13" a="1"/>
  <c r="F8915" i="13" s="1"/>
  <c r="AH8915" i="13" a="1"/>
  <c r="AH8915" i="13" s="1"/>
  <c r="AC8915" i="13" a="1"/>
  <c r="AC8915" i="13" s="1"/>
  <c r="T8915" i="13" a="1"/>
  <c r="T8915" i="13" s="1"/>
  <c r="P8915" i="13" a="1"/>
  <c r="P8915" i="13" s="1"/>
  <c r="L8915" i="13" a="1"/>
  <c r="L8915" i="13" s="1"/>
  <c r="H8915" i="13" a="1"/>
  <c r="H8915" i="13" s="1"/>
  <c r="V8915" i="13" a="1"/>
  <c r="V8915" i="13" s="1"/>
  <c r="AH8833" i="13" a="1"/>
  <c r="AH8833" i="13" s="1"/>
  <c r="AD8833" i="13" a="1"/>
  <c r="AD8833" i="13" s="1"/>
  <c r="AA8833" i="13" a="1"/>
  <c r="AA8833" i="13" s="1"/>
  <c r="X8833" i="13" a="1"/>
  <c r="X8833" i="13" s="1"/>
  <c r="U8833" i="13" a="1"/>
  <c r="U8833" i="13" s="1"/>
  <c r="R8833" i="13" a="1"/>
  <c r="R8833" i="13" s="1"/>
  <c r="O8833" i="13" a="1"/>
  <c r="O8833" i="13" s="1"/>
  <c r="L8833" i="13" a="1"/>
  <c r="L8833" i="13" s="1"/>
  <c r="I8833" i="13" a="1"/>
  <c r="I8833" i="13" s="1"/>
  <c r="H8833" i="13" a="1"/>
  <c r="H8833" i="13" s="1"/>
  <c r="M8833" i="13" a="1"/>
  <c r="M8833" i="13" s="1"/>
  <c r="Q8833" i="13" a="1"/>
  <c r="Q8833" i="13" s="1"/>
  <c r="T8833" i="13" a="1"/>
  <c r="T8833" i="13" s="1"/>
  <c r="Y8833" i="13" a="1"/>
  <c r="Y8833" i="13" s="1"/>
  <c r="AC8833" i="13" a="1"/>
  <c r="AC8833" i="13" s="1"/>
  <c r="AG8833" i="13" a="1"/>
  <c r="AG8833" i="13" s="1"/>
  <c r="U8846" i="13" a="1"/>
  <c r="U8846" i="13" s="1"/>
  <c r="AH8856" i="13" a="1"/>
  <c r="AH8856" i="13" s="1"/>
  <c r="X8856" i="13" a="1"/>
  <c r="X8856" i="13" s="1"/>
  <c r="J8856" i="13" a="1"/>
  <c r="J8856" i="13" s="1"/>
  <c r="AB8856" i="13" a="1"/>
  <c r="AB8856" i="13" s="1"/>
  <c r="AI8862" i="13" a="1"/>
  <c r="AI8862" i="13" s="1"/>
  <c r="AO8862" i="13" s="1" a="1"/>
  <c r="AO8862" i="13" s="1"/>
  <c r="AG8862" i="13" a="1"/>
  <c r="AG8862" i="13" s="1"/>
  <c r="Y8862" i="13" a="1"/>
  <c r="Y8862" i="13" s="1"/>
  <c r="Q8862" i="13" a="1"/>
  <c r="Q8862" i="13" s="1"/>
  <c r="I8862" i="13" a="1"/>
  <c r="I8862" i="13" s="1"/>
  <c r="M8862" i="13" a="1"/>
  <c r="M8862" i="13" s="1"/>
  <c r="X8862" i="13" a="1"/>
  <c r="X8862" i="13" s="1"/>
  <c r="T8863" i="13" a="1"/>
  <c r="T8863" i="13" s="1"/>
  <c r="M8865" i="13" a="1"/>
  <c r="M8865" i="13" s="1"/>
  <c r="AG8865" i="13" a="1"/>
  <c r="AG8865" i="13" s="1"/>
  <c r="L8867" i="13" a="1"/>
  <c r="L8867" i="13" s="1"/>
  <c r="AF8868" i="13" a="1"/>
  <c r="AF8868" i="13" s="1"/>
  <c r="AC8868" i="13" a="1"/>
  <c r="AC8868" i="13" s="1"/>
  <c r="Z8868" i="13" a="1"/>
  <c r="Z8868" i="13" s="1"/>
  <c r="W8868" i="13" a="1"/>
  <c r="W8868" i="13" s="1"/>
  <c r="P8868" i="13" a="1"/>
  <c r="P8868" i="13" s="1"/>
  <c r="M8868" i="13" a="1"/>
  <c r="M8868" i="13" s="1"/>
  <c r="J8868" i="13" a="1"/>
  <c r="J8868" i="13" s="1"/>
  <c r="G8868" i="13" a="1"/>
  <c r="G8868" i="13" s="1"/>
  <c r="H8868" i="13" a="1"/>
  <c r="H8868" i="13" s="1"/>
  <c r="L8868" i="13" a="1"/>
  <c r="L8868" i="13" s="1"/>
  <c r="Q8868" i="13" a="1"/>
  <c r="Q8868" i="13" s="1"/>
  <c r="U8868" i="13" a="1"/>
  <c r="U8868" i="13" s="1"/>
  <c r="Y8868" i="13" a="1"/>
  <c r="Y8868" i="13" s="1"/>
  <c r="AD8868" i="13" a="1"/>
  <c r="AD8868" i="13" s="1"/>
  <c r="AH8868" i="13" a="1"/>
  <c r="AH8868" i="13" s="1"/>
  <c r="I8870" i="13" a="1"/>
  <c r="I8870" i="13" s="1"/>
  <c r="T8870" i="13" a="1"/>
  <c r="T8870" i="13" s="1"/>
  <c r="AF8870" i="13" a="1"/>
  <c r="AF8870" i="13" s="1"/>
  <c r="P8871" i="13" a="1"/>
  <c r="P8871" i="13" s="1"/>
  <c r="AH8872" i="13" a="1"/>
  <c r="AH8872" i="13" s="1"/>
  <c r="AE8872" i="13" a="1"/>
  <c r="AE8872" i="13" s="1"/>
  <c r="X8872" i="13" a="1"/>
  <c r="X8872" i="13" s="1"/>
  <c r="U8872" i="13" a="1"/>
  <c r="U8872" i="13" s="1"/>
  <c r="R8872" i="13" a="1"/>
  <c r="R8872" i="13" s="1"/>
  <c r="O8872" i="13" a="1"/>
  <c r="O8872" i="13" s="1"/>
  <c r="H8872" i="13" a="1"/>
  <c r="H8872" i="13" s="1"/>
  <c r="E8872" i="13" a="1"/>
  <c r="E8872" i="13" s="1"/>
  <c r="I8872" i="13" a="1"/>
  <c r="I8872" i="13" s="1"/>
  <c r="M8872" i="13" a="1"/>
  <c r="M8872" i="13" s="1"/>
  <c r="Q8872" i="13" a="1"/>
  <c r="Q8872" i="13" s="1"/>
  <c r="V8872" i="13" a="1"/>
  <c r="V8872" i="13" s="1"/>
  <c r="Z8872" i="13" a="1"/>
  <c r="Z8872" i="13" s="1"/>
  <c r="AD8872" i="13" a="1"/>
  <c r="AD8872" i="13" s="1"/>
  <c r="AI8872" i="13" a="1"/>
  <c r="AI8872" i="13" s="1"/>
  <c r="AO8872" i="13" s="1" a="1"/>
  <c r="AO8872" i="13" s="1"/>
  <c r="AK8872" i="13" s="1"/>
  <c r="AL8872" i="13" s="1"/>
  <c r="AM8872" i="13" s="1"/>
  <c r="AN8872" i="13" s="1"/>
  <c r="H8874" i="13" a="1"/>
  <c r="H8874" i="13" s="1"/>
  <c r="T8874" i="13" a="1"/>
  <c r="T8874" i="13" s="1"/>
  <c r="AC8874" i="13" a="1"/>
  <c r="AC8874" i="13" s="1"/>
  <c r="P8876" i="13" a="1"/>
  <c r="P8876" i="13" s="1"/>
  <c r="T8876" i="13" a="1"/>
  <c r="T8876" i="13" s="1"/>
  <c r="X8876" i="13" a="1"/>
  <c r="X8876" i="13" s="1"/>
  <c r="AC8876" i="13" a="1"/>
  <c r="AC8876" i="13" s="1"/>
  <c r="AG8876" i="13" a="1"/>
  <c r="AG8876" i="13" s="1"/>
  <c r="I8878" i="13" a="1"/>
  <c r="I8878" i="13" s="1"/>
  <c r="T8878" i="13" a="1"/>
  <c r="T8878" i="13" s="1"/>
  <c r="AF8878" i="13" a="1"/>
  <c r="AF8878" i="13" s="1"/>
  <c r="P8879" i="13" a="1"/>
  <c r="P8879" i="13" s="1"/>
  <c r="AH8880" i="13" a="1"/>
  <c r="AH8880" i="13" s="1"/>
  <c r="AE8880" i="13" a="1"/>
  <c r="AE8880" i="13" s="1"/>
  <c r="X8880" i="13" a="1"/>
  <c r="X8880" i="13" s="1"/>
  <c r="U8880" i="13" a="1"/>
  <c r="U8880" i="13" s="1"/>
  <c r="R8880" i="13" a="1"/>
  <c r="R8880" i="13" s="1"/>
  <c r="O8880" i="13" a="1"/>
  <c r="O8880" i="13" s="1"/>
  <c r="H8880" i="13" a="1"/>
  <c r="H8880" i="13" s="1"/>
  <c r="E8880" i="13" a="1"/>
  <c r="E8880" i="13" s="1"/>
  <c r="I8880" i="13" a="1"/>
  <c r="I8880" i="13" s="1"/>
  <c r="M8880" i="13" a="1"/>
  <c r="M8880" i="13" s="1"/>
  <c r="Q8880" i="13" a="1"/>
  <c r="Q8880" i="13" s="1"/>
  <c r="V8880" i="13" a="1"/>
  <c r="V8880" i="13" s="1"/>
  <c r="Z8880" i="13" a="1"/>
  <c r="Z8880" i="13" s="1"/>
  <c r="AD8880" i="13" a="1"/>
  <c r="AD8880" i="13" s="1"/>
  <c r="AI8880" i="13" a="1"/>
  <c r="AI8880" i="13" s="1"/>
  <c r="AO8880" i="13" s="1" a="1"/>
  <c r="AO8880" i="13" s="1"/>
  <c r="AK8880" i="13" s="1"/>
  <c r="AL8880" i="13" s="1"/>
  <c r="AM8880" i="13" s="1"/>
  <c r="AN8880" i="13" s="1"/>
  <c r="M8881" i="13" a="1"/>
  <c r="M8881" i="13" s="1"/>
  <c r="AG8881" i="13" a="1"/>
  <c r="AG8881" i="13" s="1"/>
  <c r="N8883" i="13" a="1"/>
  <c r="N8883" i="13" s="1"/>
  <c r="W8883" i="13" a="1"/>
  <c r="W8883" i="13" s="1"/>
  <c r="S8887" i="13" a="1"/>
  <c r="S8887" i="13" s="1"/>
  <c r="F8889" i="13" a="1"/>
  <c r="F8889" i="13" s="1"/>
  <c r="J8889" i="13" a="1"/>
  <c r="J8889" i="13" s="1"/>
  <c r="O8889" i="13" a="1"/>
  <c r="O8889" i="13" s="1"/>
  <c r="S8889" i="13" a="1"/>
  <c r="S8889" i="13" s="1"/>
  <c r="W8889" i="13" a="1"/>
  <c r="W8889" i="13" s="1"/>
  <c r="AB8889" i="13" a="1"/>
  <c r="AB8889" i="13" s="1"/>
  <c r="AF8889" i="13" a="1"/>
  <c r="AF8889" i="13" s="1"/>
  <c r="AA8890" i="13" a="1"/>
  <c r="AA8890" i="13" s="1"/>
  <c r="G8890" i="13" a="1"/>
  <c r="G8890" i="13" s="1"/>
  <c r="AI8890" i="13" a="1"/>
  <c r="AI8890" i="13" s="1"/>
  <c r="AO8890" i="13" s="1" a="1"/>
  <c r="AO8890" i="13" s="1"/>
  <c r="AK8890" i="13" s="1"/>
  <c r="AL8890" i="13" s="1"/>
  <c r="AM8890" i="13" s="1"/>
  <c r="AN8890" i="13" s="1"/>
  <c r="S8891" i="13" a="1"/>
  <c r="S8891" i="13" s="1"/>
  <c r="H8892" i="13" a="1"/>
  <c r="H8892" i="13" s="1"/>
  <c r="T8892" i="13" a="1"/>
  <c r="T8892" i="13" s="1"/>
  <c r="J8893" i="13" a="1"/>
  <c r="J8893" i="13" s="1"/>
  <c r="N8893" i="13" a="1"/>
  <c r="N8893" i="13" s="1"/>
  <c r="R8893" i="13" a="1"/>
  <c r="R8893" i="13" s="1"/>
  <c r="W8893" i="13" a="1"/>
  <c r="W8893" i="13" s="1"/>
  <c r="AA8893" i="13" a="1"/>
  <c r="AA8893" i="13" s="1"/>
  <c r="AE8893" i="13" a="1"/>
  <c r="AE8893" i="13" s="1"/>
  <c r="AG8894" i="13" a="1"/>
  <c r="AG8894" i="13" s="1"/>
  <c r="AA8894" i="13" a="1"/>
  <c r="AA8894" i="13" s="1"/>
  <c r="Q8894" i="13" a="1"/>
  <c r="Q8894" i="13" s="1"/>
  <c r="K8894" i="13" a="1"/>
  <c r="K8894" i="13" s="1"/>
  <c r="M8894" i="13" a="1"/>
  <c r="M8894" i="13" s="1"/>
  <c r="Y8894" i="13" a="1"/>
  <c r="Y8894" i="13" s="1"/>
  <c r="AI8894" i="13" a="1"/>
  <c r="AI8894" i="13" s="1"/>
  <c r="AO8894" i="13" s="1" a="1"/>
  <c r="AO8894" i="13" s="1"/>
  <c r="AK8894" i="13" s="1"/>
  <c r="AL8894" i="13" s="1"/>
  <c r="AM8894" i="13" s="1"/>
  <c r="AN8894" i="13" s="1"/>
  <c r="H8895" i="13" a="1"/>
  <c r="H8895" i="13" s="1"/>
  <c r="M8895" i="13" a="1"/>
  <c r="M8895" i="13" s="1"/>
  <c r="AC8895" i="13" a="1"/>
  <c r="AC8895" i="13" s="1"/>
  <c r="AB8899" i="13" a="1"/>
  <c r="AB8899" i="13" s="1"/>
  <c r="V8926" i="13" a="1"/>
  <c r="V8926" i="13" s="1"/>
  <c r="AF8926" i="13" a="1"/>
  <c r="AF8926" i="13" s="1"/>
  <c r="T8926" i="13" a="1"/>
  <c r="T8926" i="13" s="1"/>
  <c r="L8926" i="13" a="1"/>
  <c r="L8926" i="13" s="1"/>
  <c r="AD8926" i="13" a="1"/>
  <c r="AD8926" i="13" s="1"/>
  <c r="H8926" i="13" a="1"/>
  <c r="H8926" i="13" s="1"/>
  <c r="X8926" i="13" a="1"/>
  <c r="X8926" i="13" s="1"/>
  <c r="K8929" i="13" a="1"/>
  <c r="K8929" i="13" s="1"/>
  <c r="F8929" i="13" a="1"/>
  <c r="F8929" i="13" s="1"/>
  <c r="AC8929" i="13" a="1"/>
  <c r="AC8929" i="13" s="1"/>
  <c r="M8929" i="13" a="1"/>
  <c r="M8929" i="13" s="1"/>
  <c r="AA8929" i="13" a="1"/>
  <c r="AA8929" i="13" s="1"/>
  <c r="I8929" i="13" a="1"/>
  <c r="I8929" i="13" s="1"/>
  <c r="Y8929" i="13" a="1"/>
  <c r="Y8929" i="13" s="1"/>
  <c r="H8929" i="13" a="1"/>
  <c r="H8929" i="13" s="1"/>
  <c r="AG8929" i="13" a="1"/>
  <c r="AG8929" i="13" s="1"/>
  <c r="AI8933" i="13" a="1"/>
  <c r="AI8933" i="13" s="1"/>
  <c r="AO8933" i="13" s="1" a="1"/>
  <c r="AO8933" i="13" s="1"/>
  <c r="AK8933" i="13" s="1"/>
  <c r="AL8933" i="13" s="1"/>
  <c r="AM8933" i="13" s="1"/>
  <c r="AN8933" i="13" s="1"/>
  <c r="M8933" i="13" a="1"/>
  <c r="M8933" i="13" s="1"/>
  <c r="AC8933" i="13" a="1"/>
  <c r="AC8933" i="13" s="1"/>
  <c r="S8933" i="13" a="1"/>
  <c r="S8933" i="13" s="1"/>
  <c r="K8933" i="13" a="1"/>
  <c r="K8933" i="13" s="1"/>
  <c r="AG8933" i="13" a="1"/>
  <c r="AG8933" i="13" s="1"/>
  <c r="U8933" i="13" a="1"/>
  <c r="U8933" i="13" s="1"/>
  <c r="I8933" i="13" a="1"/>
  <c r="I8933" i="13" s="1"/>
  <c r="Q8933" i="13" a="1"/>
  <c r="Q8933" i="13" s="1"/>
  <c r="E8933" i="13" a="1"/>
  <c r="E8933" i="13" s="1"/>
  <c r="AA8933" i="13" a="1"/>
  <c r="AA8933" i="13" s="1"/>
  <c r="N8934" i="13" a="1"/>
  <c r="N8934" i="13" s="1"/>
  <c r="AH8930" i="13" a="1"/>
  <c r="AH8930" i="13" s="1"/>
  <c r="AG8930" i="13" a="1"/>
  <c r="AG8930" i="13" s="1"/>
  <c r="AC8930" i="13" a="1"/>
  <c r="AC8930" i="13" s="1"/>
  <c r="X8930" i="13" a="1"/>
  <c r="X8930" i="13" s="1"/>
  <c r="S8930" i="13" a="1"/>
  <c r="S8930" i="13" s="1"/>
  <c r="K8930" i="13" a="1"/>
  <c r="K8930" i="13" s="1"/>
  <c r="F8930" i="13" a="1"/>
  <c r="F8930" i="13" s="1"/>
  <c r="AF8930" i="13" a="1"/>
  <c r="AF8930" i="13" s="1"/>
  <c r="Y8930" i="13" a="1"/>
  <c r="Y8930" i="13" s="1"/>
  <c r="Q8930" i="13" a="1"/>
  <c r="Q8930" i="13" s="1"/>
  <c r="M8930" i="13" a="1"/>
  <c r="M8930" i="13" s="1"/>
  <c r="H8930" i="13" a="1"/>
  <c r="H8930" i="13" s="1"/>
  <c r="V8930" i="13" a="1"/>
  <c r="V8930" i="13" s="1"/>
  <c r="P8930" i="13" a="1"/>
  <c r="P8930" i="13" s="1"/>
  <c r="AD8930" i="13" a="1"/>
  <c r="AD8930" i="13" s="1"/>
  <c r="U8930" i="13" a="1"/>
  <c r="U8930" i="13" s="1"/>
  <c r="N8930" i="13" a="1"/>
  <c r="N8930" i="13" s="1"/>
  <c r="E8930" i="13" a="1"/>
  <c r="E8930" i="13" s="1"/>
  <c r="T8930" i="13" a="1"/>
  <c r="T8930" i="13" s="1"/>
  <c r="AH8934" i="13" a="1"/>
  <c r="AH8934" i="13" s="1"/>
  <c r="AG8934" i="13" a="1"/>
  <c r="AG8934" i="13" s="1"/>
  <c r="AC8934" i="13" a="1"/>
  <c r="AC8934" i="13" s="1"/>
  <c r="U8934" i="13" a="1"/>
  <c r="U8934" i="13" s="1"/>
  <c r="L8934" i="13" a="1"/>
  <c r="L8934" i="13" s="1"/>
  <c r="H8934" i="13" a="1"/>
  <c r="H8934" i="13" s="1"/>
  <c r="AB8934" i="13" a="1"/>
  <c r="AB8934" i="13" s="1"/>
  <c r="Q8934" i="13" a="1"/>
  <c r="Q8934" i="13" s="1"/>
  <c r="K8934" i="13" a="1"/>
  <c r="K8934" i="13" s="1"/>
  <c r="E8934" i="13" a="1"/>
  <c r="E8934" i="13" s="1"/>
  <c r="AF8934" i="13" a="1"/>
  <c r="AF8934" i="13" s="1"/>
  <c r="Y8934" i="13" a="1"/>
  <c r="Y8934" i="13" s="1"/>
  <c r="S8934" i="13" a="1"/>
  <c r="S8934" i="13" s="1"/>
  <c r="I8934" i="13" a="1"/>
  <c r="I8934" i="13" s="1"/>
  <c r="X8934" i="13" a="1"/>
  <c r="X8934" i="13" s="1"/>
  <c r="P8934" i="13" a="1"/>
  <c r="P8934" i="13" s="1"/>
  <c r="T8934" i="13" a="1"/>
  <c r="T8934" i="13" s="1"/>
  <c r="AI8934" i="13" a="1"/>
  <c r="AI8934" i="13" s="1"/>
  <c r="AO8934" i="13" s="1" a="1"/>
  <c r="AO8934" i="13" s="1"/>
  <c r="AK8934" i="13" s="1"/>
  <c r="AL8934" i="13" s="1"/>
  <c r="AM8934" i="13" s="1"/>
  <c r="AN8934" i="13" s="1"/>
  <c r="T8836" i="13" a="1"/>
  <c r="T8836" i="13" s="1"/>
  <c r="T8839" i="13" a="1"/>
  <c r="T8839" i="13" s="1"/>
  <c r="L8843" i="13" a="1"/>
  <c r="L8843" i="13" s="1"/>
  <c r="T8843" i="13" a="1"/>
  <c r="T8843" i="13" s="1"/>
  <c r="T8844" i="13" a="1"/>
  <c r="T8844" i="13" s="1"/>
  <c r="R8852" i="13" a="1"/>
  <c r="R8852" i="13" s="1"/>
  <c r="L8858" i="13" a="1"/>
  <c r="L8858" i="13" s="1"/>
  <c r="T8858" i="13" a="1"/>
  <c r="T8858" i="13" s="1"/>
  <c r="AB8858" i="13" a="1"/>
  <c r="AB8858" i="13" s="1"/>
  <c r="K8860" i="13" a="1"/>
  <c r="K8860" i="13" s="1"/>
  <c r="N8860" i="13" a="1"/>
  <c r="N8860" i="13" s="1"/>
  <c r="Q8860" i="13" a="1"/>
  <c r="Q8860" i="13" s="1"/>
  <c r="T8860" i="13" a="1"/>
  <c r="T8860" i="13" s="1"/>
  <c r="AA8860" i="13" a="1"/>
  <c r="AA8860" i="13" s="1"/>
  <c r="AD8860" i="13" a="1"/>
  <c r="AD8860" i="13" s="1"/>
  <c r="Q8861" i="13" a="1"/>
  <c r="Q8861" i="13" s="1"/>
  <c r="L8866" i="13" a="1"/>
  <c r="L8866" i="13" s="1"/>
  <c r="T8866" i="13" a="1"/>
  <c r="T8866" i="13" s="1"/>
  <c r="AB8866" i="13" a="1"/>
  <c r="AB8866" i="13" s="1"/>
  <c r="Q8873" i="13" a="1"/>
  <c r="Q8873" i="13" s="1"/>
  <c r="L8882" i="13" a="1"/>
  <c r="L8882" i="13" s="1"/>
  <c r="J8885" i="13" a="1"/>
  <c r="J8885" i="13" s="1"/>
  <c r="Q8885" i="13" a="1"/>
  <c r="Q8885" i="13" s="1"/>
  <c r="T8885" i="13" a="1"/>
  <c r="T8885" i="13" s="1"/>
  <c r="W8885" i="13" a="1"/>
  <c r="W8885" i="13" s="1"/>
  <c r="Z8885" i="13" a="1"/>
  <c r="Z8885" i="13" s="1"/>
  <c r="N8900" i="13" a="1"/>
  <c r="N8900" i="13" s="1"/>
  <c r="G8901" i="13" a="1"/>
  <c r="G8901" i="13" s="1"/>
  <c r="K8901" i="13" a="1"/>
  <c r="K8901" i="13" s="1"/>
  <c r="T8901" i="13" a="1"/>
  <c r="T8901" i="13" s="1"/>
  <c r="AB8901" i="13" a="1"/>
  <c r="AB8901" i="13" s="1"/>
  <c r="AH8903" i="13" a="1"/>
  <c r="AH8903" i="13" s="1"/>
  <c r="AF8903" i="13" a="1"/>
  <c r="AF8903" i="13" s="1"/>
  <c r="AA8903" i="13" a="1"/>
  <c r="AA8903" i="13" s="1"/>
  <c r="S8903" i="13" a="1"/>
  <c r="S8903" i="13" s="1"/>
  <c r="M8903" i="13" a="1"/>
  <c r="M8903" i="13" s="1"/>
  <c r="E8903" i="13" a="1"/>
  <c r="E8903" i="13" s="1"/>
  <c r="I8903" i="13" a="1"/>
  <c r="I8903" i="13" s="1"/>
  <c r="P8903" i="13" a="1"/>
  <c r="P8903" i="13" s="1"/>
  <c r="V8903" i="13" a="1"/>
  <c r="V8903" i="13" s="1"/>
  <c r="AB8903" i="13" a="1"/>
  <c r="AB8903" i="13" s="1"/>
  <c r="AI8903" i="13" a="1"/>
  <c r="AI8903" i="13" s="1"/>
  <c r="AO8903" i="13" s="1" a="1"/>
  <c r="AO8903" i="13" s="1"/>
  <c r="M8905" i="13" a="1"/>
  <c r="M8905" i="13" s="1"/>
  <c r="P8905" i="13" a="1"/>
  <c r="P8905" i="13" s="1"/>
  <c r="T8905" i="13" a="1"/>
  <c r="T8905" i="13" s="1"/>
  <c r="Y8905" i="13" a="1"/>
  <c r="Y8905" i="13" s="1"/>
  <c r="L8908" i="13" a="1"/>
  <c r="L8908" i="13" s="1"/>
  <c r="L8909" i="13" a="1"/>
  <c r="L8909" i="13" s="1"/>
  <c r="P8909" i="13" a="1"/>
  <c r="P8909" i="13" s="1"/>
  <c r="T8909" i="13" a="1"/>
  <c r="T8909" i="13" s="1"/>
  <c r="Y8909" i="13" a="1"/>
  <c r="Y8909" i="13" s="1"/>
  <c r="AC8909" i="13" a="1"/>
  <c r="AC8909" i="13" s="1"/>
  <c r="Y8921" i="13" a="1"/>
  <c r="Y8921" i="13" s="1"/>
  <c r="R8921" i="13" a="1"/>
  <c r="R8921" i="13" s="1"/>
  <c r="E8921" i="13" a="1"/>
  <c r="E8921" i="13" s="1"/>
  <c r="U8921" i="13" a="1"/>
  <c r="U8921" i="13" s="1"/>
  <c r="G8921" i="13" a="1"/>
  <c r="G8921" i="13" s="1"/>
  <c r="W8921" i="13" a="1"/>
  <c r="W8921" i="13" s="1"/>
  <c r="N8926" i="13" a="1"/>
  <c r="N8926" i="13" s="1"/>
  <c r="AG8927" i="13" a="1"/>
  <c r="AG8927" i="13" s="1"/>
  <c r="AD8927" i="13" a="1"/>
  <c r="AD8927" i="13" s="1"/>
  <c r="AA8927" i="13" a="1"/>
  <c r="AA8927" i="13" s="1"/>
  <c r="T8927" i="13" a="1"/>
  <c r="T8927" i="13" s="1"/>
  <c r="AB8927" i="13" a="1"/>
  <c r="AB8927" i="13" s="1"/>
  <c r="W8927" i="13" a="1"/>
  <c r="W8927" i="13" s="1"/>
  <c r="R8927" i="13" a="1"/>
  <c r="R8927" i="13" s="1"/>
  <c r="O8927" i="13" a="1"/>
  <c r="O8927" i="13" s="1"/>
  <c r="H8927" i="13" a="1"/>
  <c r="H8927" i="13" s="1"/>
  <c r="AF8927" i="13" a="1"/>
  <c r="AF8927" i="13" s="1"/>
  <c r="Z8927" i="13" a="1"/>
  <c r="Z8927" i="13" s="1"/>
  <c r="U8927" i="13" a="1"/>
  <c r="U8927" i="13" s="1"/>
  <c r="K8927" i="13" a="1"/>
  <c r="K8927" i="13" s="1"/>
  <c r="G8927" i="13" a="1"/>
  <c r="G8927" i="13" s="1"/>
  <c r="AE8927" i="13" a="1"/>
  <c r="AE8927" i="13" s="1"/>
  <c r="Y8927" i="13" a="1"/>
  <c r="Y8927" i="13" s="1"/>
  <c r="S8927" i="13" a="1"/>
  <c r="S8927" i="13" s="1"/>
  <c r="N8927" i="13" a="1"/>
  <c r="N8927" i="13" s="1"/>
  <c r="J8927" i="13" a="1"/>
  <c r="J8927" i="13" s="1"/>
  <c r="F8927" i="13" a="1"/>
  <c r="F8927" i="13" s="1"/>
  <c r="L8927" i="13" a="1"/>
  <c r="L8927" i="13" s="1"/>
  <c r="V8927" i="13" a="1"/>
  <c r="V8927" i="13" s="1"/>
  <c r="AH8927" i="13" a="1"/>
  <c r="AH8927" i="13" s="1"/>
  <c r="I8930" i="13" a="1"/>
  <c r="I8930" i="13" s="1"/>
  <c r="AA8930" i="13" a="1"/>
  <c r="AA8930" i="13" s="1"/>
  <c r="F8934" i="13" a="1"/>
  <c r="F8934" i="13" s="1"/>
  <c r="V8934" i="13" a="1"/>
  <c r="V8934" i="13" s="1"/>
  <c r="AF8900" i="13" a="1"/>
  <c r="AF8900" i="13" s="1"/>
  <c r="X8900" i="13" a="1"/>
  <c r="X8900" i="13" s="1"/>
  <c r="P8900" i="13" a="1"/>
  <c r="P8900" i="13" s="1"/>
  <c r="H8900" i="13" a="1"/>
  <c r="H8900" i="13" s="1"/>
  <c r="AB8900" i="13" a="1"/>
  <c r="AB8900" i="13" s="1"/>
  <c r="AH8901" i="13" a="1"/>
  <c r="AH8901" i="13" s="1"/>
  <c r="AE8901" i="13" a="1"/>
  <c r="AE8901" i="13" s="1"/>
  <c r="X8901" i="13" a="1"/>
  <c r="X8901" i="13" s="1"/>
  <c r="R8901" i="13" a="1"/>
  <c r="R8901" i="13" s="1"/>
  <c r="O8901" i="13" a="1"/>
  <c r="O8901" i="13" s="1"/>
  <c r="H8901" i="13" a="1"/>
  <c r="H8901" i="13" s="1"/>
  <c r="L8901" i="13" a="1"/>
  <c r="L8901" i="13" s="1"/>
  <c r="P8901" i="13" a="1"/>
  <c r="P8901" i="13" s="1"/>
  <c r="U8901" i="13" a="1"/>
  <c r="U8901" i="13" s="1"/>
  <c r="Y8901" i="13" a="1"/>
  <c r="Y8901" i="13" s="1"/>
  <c r="AC8901" i="13" a="1"/>
  <c r="AC8901" i="13" s="1"/>
  <c r="AG8901" i="13" a="1"/>
  <c r="AG8901" i="13" s="1"/>
  <c r="AB8904" i="13" a="1"/>
  <c r="AB8904" i="13" s="1"/>
  <c r="V8904" i="13" a="1"/>
  <c r="V8904" i="13" s="1"/>
  <c r="L8904" i="13" a="1"/>
  <c r="L8904" i="13" s="1"/>
  <c r="F8904" i="13" a="1"/>
  <c r="F8904" i="13" s="1"/>
  <c r="N8904" i="13" a="1"/>
  <c r="N8904" i="13" s="1"/>
  <c r="X8904" i="13" a="1"/>
  <c r="X8904" i="13" s="1"/>
  <c r="AH8905" i="13" a="1"/>
  <c r="AH8905" i="13" s="1"/>
  <c r="AE8905" i="13" a="1"/>
  <c r="AE8905" i="13" s="1"/>
  <c r="AB8905" i="13" a="1"/>
  <c r="AB8905" i="13" s="1"/>
  <c r="X8905" i="13" a="1"/>
  <c r="X8905" i="13" s="1"/>
  <c r="U8905" i="13" a="1"/>
  <c r="U8905" i="13" s="1"/>
  <c r="R8905" i="13" a="1"/>
  <c r="R8905" i="13" s="1"/>
  <c r="O8905" i="13" a="1"/>
  <c r="O8905" i="13" s="1"/>
  <c r="L8905" i="13" a="1"/>
  <c r="L8905" i="13" s="1"/>
  <c r="H8905" i="13" a="1"/>
  <c r="H8905" i="13" s="1"/>
  <c r="E8905" i="13" a="1"/>
  <c r="E8905" i="13" s="1"/>
  <c r="I8905" i="13" a="1"/>
  <c r="I8905" i="13" s="1"/>
  <c r="Q8905" i="13" a="1"/>
  <c r="Q8905" i="13" s="1"/>
  <c r="V8905" i="13" a="1"/>
  <c r="V8905" i="13" s="1"/>
  <c r="Z8905" i="13" a="1"/>
  <c r="Z8905" i="13" s="1"/>
  <c r="AD8905" i="13" a="1"/>
  <c r="AD8905" i="13" s="1"/>
  <c r="AI8905" i="13" a="1"/>
  <c r="AI8905" i="13" s="1"/>
  <c r="AO8905" i="13" s="1" a="1"/>
  <c r="AO8905" i="13" s="1"/>
  <c r="AD8908" i="13" a="1"/>
  <c r="AD8908" i="13" s="1"/>
  <c r="V8908" i="13" a="1"/>
  <c r="V8908" i="13" s="1"/>
  <c r="N8908" i="13" a="1"/>
  <c r="N8908" i="13" s="1"/>
  <c r="F8908" i="13" a="1"/>
  <c r="F8908" i="13" s="1"/>
  <c r="X8908" i="13" a="1"/>
  <c r="X8908" i="13" s="1"/>
  <c r="AH8909" i="13" a="1"/>
  <c r="AH8909" i="13" s="1"/>
  <c r="AE8909" i="13" a="1"/>
  <c r="AE8909" i="13" s="1"/>
  <c r="X8909" i="13" a="1"/>
  <c r="X8909" i="13" s="1"/>
  <c r="U8909" i="13" a="1"/>
  <c r="U8909" i="13" s="1"/>
  <c r="R8909" i="13" a="1"/>
  <c r="R8909" i="13" s="1"/>
  <c r="O8909" i="13" a="1"/>
  <c r="O8909" i="13" s="1"/>
  <c r="H8909" i="13" a="1"/>
  <c r="H8909" i="13" s="1"/>
  <c r="E8909" i="13" a="1"/>
  <c r="E8909" i="13" s="1"/>
  <c r="I8909" i="13" a="1"/>
  <c r="I8909" i="13" s="1"/>
  <c r="M8909" i="13" a="1"/>
  <c r="M8909" i="13" s="1"/>
  <c r="Q8909" i="13" a="1"/>
  <c r="Q8909" i="13" s="1"/>
  <c r="V8909" i="13" a="1"/>
  <c r="V8909" i="13" s="1"/>
  <c r="Z8909" i="13" a="1"/>
  <c r="Z8909" i="13" s="1"/>
  <c r="AD8909" i="13" a="1"/>
  <c r="AD8909" i="13" s="1"/>
  <c r="AI8909" i="13" a="1"/>
  <c r="AI8909" i="13" s="1"/>
  <c r="AO8909" i="13" s="1" a="1"/>
  <c r="AO8909" i="13" s="1"/>
  <c r="AK8909" i="13" s="1"/>
  <c r="AL8909" i="13" s="1"/>
  <c r="AM8909" i="13" s="1"/>
  <c r="AN8909" i="13" s="1"/>
  <c r="L8914" i="13" a="1"/>
  <c r="L8914" i="13" s="1"/>
  <c r="H8918" i="13" a="1"/>
  <c r="H8918" i="13" s="1"/>
  <c r="X8918" i="13" a="1"/>
  <c r="X8918" i="13" s="1"/>
  <c r="I8921" i="13" a="1"/>
  <c r="I8921" i="13" s="1"/>
  <c r="AF8921" i="13" a="1"/>
  <c r="AF8921" i="13" s="1"/>
  <c r="P8926" i="13" a="1"/>
  <c r="P8926" i="13" s="1"/>
  <c r="E8927" i="13" a="1"/>
  <c r="E8927" i="13" s="1"/>
  <c r="M8927" i="13" a="1"/>
  <c r="M8927" i="13" s="1"/>
  <c r="X8927" i="13" a="1"/>
  <c r="X8927" i="13" s="1"/>
  <c r="AI8927" i="13" a="1"/>
  <c r="AI8927" i="13" s="1"/>
  <c r="AO8927" i="13" s="1" a="1"/>
  <c r="AO8927" i="13" s="1"/>
  <c r="AK8927" i="13" s="1"/>
  <c r="AL8927" i="13" s="1"/>
  <c r="AM8927" i="13" s="1"/>
  <c r="AN8927" i="13" s="1"/>
  <c r="S8929" i="13" a="1"/>
  <c r="S8929" i="13" s="1"/>
  <c r="L8930" i="13" a="1"/>
  <c r="L8930" i="13" s="1"/>
  <c r="AB8930" i="13" a="1"/>
  <c r="AB8930" i="13" s="1"/>
  <c r="Y8933" i="13" a="1"/>
  <c r="Y8933" i="13" s="1"/>
  <c r="M8934" i="13" a="1"/>
  <c r="M8934" i="13" s="1"/>
  <c r="AA8934" i="13" a="1"/>
  <c r="AA8934" i="13" s="1"/>
  <c r="AF8938" i="13" a="1"/>
  <c r="AF8938" i="13" s="1"/>
  <c r="T8938" i="13" a="1"/>
  <c r="T8938" i="13" s="1"/>
  <c r="N8938" i="13" a="1"/>
  <c r="N8938" i="13" s="1"/>
  <c r="X8938" i="13" a="1"/>
  <c r="X8938" i="13" s="1"/>
  <c r="R8938" i="13" a="1"/>
  <c r="R8938" i="13" s="1"/>
  <c r="L8938" i="13" a="1"/>
  <c r="L8938" i="13" s="1"/>
  <c r="F8938" i="13" a="1"/>
  <c r="F8938" i="13" s="1"/>
  <c r="J8938" i="13" a="1"/>
  <c r="J8938" i="13" s="1"/>
  <c r="V8938" i="13" a="1"/>
  <c r="V8938" i="13" s="1"/>
  <c r="H8938" i="13" a="1"/>
  <c r="H8938" i="13" s="1"/>
  <c r="AG8939" i="13" a="1"/>
  <c r="AG8939" i="13" s="1"/>
  <c r="AD8939" i="13" a="1"/>
  <c r="AD8939" i="13" s="1"/>
  <c r="AA8939" i="13" a="1"/>
  <c r="AA8939" i="13" s="1"/>
  <c r="X8939" i="13" a="1"/>
  <c r="X8939" i="13" s="1"/>
  <c r="U8939" i="13" a="1"/>
  <c r="U8939" i="13" s="1"/>
  <c r="O8939" i="13" a="1"/>
  <c r="O8939" i="13" s="1"/>
  <c r="K8939" i="13" a="1"/>
  <c r="K8939" i="13" s="1"/>
  <c r="H8939" i="13" a="1"/>
  <c r="H8939" i="13" s="1"/>
  <c r="AI8939" i="13" a="1"/>
  <c r="AI8939" i="13" s="1"/>
  <c r="AO8939" i="13" s="1" a="1"/>
  <c r="AO8939" i="13" s="1"/>
  <c r="AK8939" i="13" s="1"/>
  <c r="AL8939" i="13" s="1"/>
  <c r="AM8939" i="13" s="1"/>
  <c r="AN8939" i="13" s="1"/>
  <c r="AF8939" i="13" a="1"/>
  <c r="AF8939" i="13" s="1"/>
  <c r="Z8939" i="13" a="1"/>
  <c r="Z8939" i="13" s="1"/>
  <c r="T8939" i="13" a="1"/>
  <c r="T8939" i="13" s="1"/>
  <c r="Q8939" i="13" a="1"/>
  <c r="Q8939" i="13" s="1"/>
  <c r="N8939" i="13" a="1"/>
  <c r="N8939" i="13" s="1"/>
  <c r="J8939" i="13" a="1"/>
  <c r="J8939" i="13" s="1"/>
  <c r="E8939" i="13" a="1"/>
  <c r="E8939" i="13" s="1"/>
  <c r="S8939" i="13" a="1"/>
  <c r="S8939" i="13" s="1"/>
  <c r="M8939" i="13" a="1"/>
  <c r="M8939" i="13" s="1"/>
  <c r="G8939" i="13" a="1"/>
  <c r="G8939" i="13" s="1"/>
  <c r="AE8939" i="13" a="1"/>
  <c r="AE8939" i="13" s="1"/>
  <c r="Y8939" i="13" a="1"/>
  <c r="Y8939" i="13" s="1"/>
  <c r="R8939" i="13" a="1"/>
  <c r="R8939" i="13" s="1"/>
  <c r="L8939" i="13" a="1"/>
  <c r="L8939" i="13" s="1"/>
  <c r="F8939" i="13" a="1"/>
  <c r="F8939" i="13" s="1"/>
  <c r="P8939" i="13" a="1"/>
  <c r="P8939" i="13" s="1"/>
  <c r="AC8939" i="13" a="1"/>
  <c r="AC8939" i="13" s="1"/>
  <c r="K8897" i="13" a="1"/>
  <c r="K8897" i="13" s="1"/>
  <c r="N8897" i="13" a="1"/>
  <c r="N8897" i="13" s="1"/>
  <c r="Q8897" i="13" a="1"/>
  <c r="Q8897" i="13" s="1"/>
  <c r="T8897" i="13" a="1"/>
  <c r="T8897" i="13" s="1"/>
  <c r="AA8897" i="13" a="1"/>
  <c r="AA8897" i="13" s="1"/>
  <c r="AD8897" i="13" a="1"/>
  <c r="AD8897" i="13" s="1"/>
  <c r="K8898" i="13" a="1"/>
  <c r="K8898" i="13" s="1"/>
  <c r="I8907" i="13" a="1"/>
  <c r="I8907" i="13" s="1"/>
  <c r="N8907" i="13" a="1"/>
  <c r="N8907" i="13" s="1"/>
  <c r="S8907" i="13" a="1"/>
  <c r="S8907" i="13" s="1"/>
  <c r="AB8907" i="13" a="1"/>
  <c r="AB8907" i="13" s="1"/>
  <c r="AF8907" i="13" a="1"/>
  <c r="AF8907" i="13" s="1"/>
  <c r="H8911" i="13" a="1"/>
  <c r="H8911" i="13" s="1"/>
  <c r="K8911" i="13" a="1"/>
  <c r="K8911" i="13" s="1"/>
  <c r="N8911" i="13" a="1"/>
  <c r="N8911" i="13" s="1"/>
  <c r="Q8911" i="13" a="1"/>
  <c r="Q8911" i="13" s="1"/>
  <c r="T8911" i="13" a="1"/>
  <c r="T8911" i="13" s="1"/>
  <c r="X8911" i="13" a="1"/>
  <c r="X8911" i="13" s="1"/>
  <c r="AA8911" i="13" a="1"/>
  <c r="AA8911" i="13" s="1"/>
  <c r="AD8911" i="13" a="1"/>
  <c r="AD8911" i="13" s="1"/>
  <c r="AF8917" i="13" a="1"/>
  <c r="AF8917" i="13" s="1"/>
  <c r="T8917" i="13" a="1"/>
  <c r="T8917" i="13" s="1"/>
  <c r="G8917" i="13" a="1"/>
  <c r="G8917" i="13" s="1"/>
  <c r="R8917" i="13" a="1"/>
  <c r="R8917" i="13" s="1"/>
  <c r="AH8917" i="13" a="1"/>
  <c r="AH8917" i="13" s="1"/>
  <c r="AI8919" i="13" a="1"/>
  <c r="AI8919" i="13" s="1"/>
  <c r="AO8919" i="13" s="1" a="1"/>
  <c r="AO8919" i="13" s="1"/>
  <c r="AK8919" i="13" s="1"/>
  <c r="AL8919" i="13" s="1"/>
  <c r="AM8919" i="13" s="1"/>
  <c r="AN8919" i="13" s="1"/>
  <c r="AB8919" i="13" a="1"/>
  <c r="AB8919" i="13" s="1"/>
  <c r="V8919" i="13" a="1"/>
  <c r="V8919" i="13" s="1"/>
  <c r="S8919" i="13" a="1"/>
  <c r="S8919" i="13" s="1"/>
  <c r="L8919" i="13" a="1"/>
  <c r="L8919" i="13" s="1"/>
  <c r="F8919" i="13" a="1"/>
  <c r="F8919" i="13" s="1"/>
  <c r="I8919" i="13" a="1"/>
  <c r="I8919" i="13" s="1"/>
  <c r="M8919" i="13" a="1"/>
  <c r="M8919" i="13" s="1"/>
  <c r="Q8919" i="13" a="1"/>
  <c r="Q8919" i="13" s="1"/>
  <c r="U8919" i="13" a="1"/>
  <c r="U8919" i="13" s="1"/>
  <c r="Z8919" i="13" a="1"/>
  <c r="Z8919" i="13" s="1"/>
  <c r="AD8919" i="13" a="1"/>
  <c r="AD8919" i="13" s="1"/>
  <c r="AH8919" i="13" a="1"/>
  <c r="AH8919" i="13" s="1"/>
  <c r="K8925" i="13" a="1"/>
  <c r="K8925" i="13" s="1"/>
  <c r="AG8928" i="13" a="1"/>
  <c r="AG8928" i="13" s="1"/>
  <c r="AA8928" i="13" a="1"/>
  <c r="AA8928" i="13" s="1"/>
  <c r="S8928" i="13" a="1"/>
  <c r="S8928" i="13" s="1"/>
  <c r="K8928" i="13" a="1"/>
  <c r="K8928" i="13" s="1"/>
  <c r="M8928" i="13" a="1"/>
  <c r="M8928" i="13" s="1"/>
  <c r="Q8928" i="13" a="1"/>
  <c r="Q8928" i="13" s="1"/>
  <c r="AC8928" i="13" a="1"/>
  <c r="AC8928" i="13" s="1"/>
  <c r="H8932" i="13" a="1"/>
  <c r="H8932" i="13" s="1"/>
  <c r="O8932" i="13" a="1"/>
  <c r="O8932" i="13" s="1"/>
  <c r="T8932" i="13" a="1"/>
  <c r="T8932" i="13" s="1"/>
  <c r="I8939" i="13" a="1"/>
  <c r="I8939" i="13" s="1"/>
  <c r="V8939" i="13" a="1"/>
  <c r="V8939" i="13" s="1"/>
  <c r="AI8925" i="13" a="1"/>
  <c r="AI8925" i="13" s="1"/>
  <c r="AO8925" i="13" s="1" a="1"/>
  <c r="AO8925" i="13" s="1"/>
  <c r="AK8925" i="13" s="1"/>
  <c r="AL8925" i="13" s="1"/>
  <c r="AM8925" i="13" s="1"/>
  <c r="AN8925" i="13" s="1"/>
  <c r="U8925" i="13" a="1"/>
  <c r="U8925" i="13" s="1"/>
  <c r="G8925" i="13" a="1"/>
  <c r="G8925" i="13" s="1"/>
  <c r="N8925" i="13" a="1"/>
  <c r="N8925" i="13" s="1"/>
  <c r="AH8932" i="13" a="1"/>
  <c r="AH8932" i="13" s="1"/>
  <c r="AE8932" i="13" a="1"/>
  <c r="AE8932" i="13" s="1"/>
  <c r="X8932" i="13" a="1"/>
  <c r="X8932" i="13" s="1"/>
  <c r="S8932" i="13" a="1"/>
  <c r="S8932" i="13" s="1"/>
  <c r="M8932" i="13" a="1"/>
  <c r="M8932" i="13" s="1"/>
  <c r="I8932" i="13" a="1"/>
  <c r="I8932" i="13" s="1"/>
  <c r="F8932" i="13" a="1"/>
  <c r="F8932" i="13" s="1"/>
  <c r="AI8932" i="13" a="1"/>
  <c r="AI8932" i="13" s="1"/>
  <c r="AO8932" i="13" s="1" a="1"/>
  <c r="AO8932" i="13" s="1"/>
  <c r="AK8932" i="13" s="1"/>
  <c r="AL8932" i="13" s="1"/>
  <c r="AM8932" i="13" s="1"/>
  <c r="AN8932" i="13" s="1"/>
  <c r="AD8932" i="13" a="1"/>
  <c r="AD8932" i="13" s="1"/>
  <c r="Z8932" i="13" a="1"/>
  <c r="Z8932" i="13" s="1"/>
  <c r="V8932" i="13" a="1"/>
  <c r="V8932" i="13" s="1"/>
  <c r="R8932" i="13" a="1"/>
  <c r="R8932" i="13" s="1"/>
  <c r="N8932" i="13" a="1"/>
  <c r="N8932" i="13" s="1"/>
  <c r="J8932" i="13" a="1"/>
  <c r="J8932" i="13" s="1"/>
  <c r="E8932" i="13" a="1"/>
  <c r="E8932" i="13" s="1"/>
  <c r="K8932" i="13" a="1"/>
  <c r="K8932" i="13" s="1"/>
  <c r="P8932" i="13" a="1"/>
  <c r="P8932" i="13" s="1"/>
  <c r="U8932" i="13" a="1"/>
  <c r="U8932" i="13" s="1"/>
  <c r="AA8932" i="13" a="1"/>
  <c r="AA8932" i="13" s="1"/>
  <c r="AF8932" i="13" a="1"/>
  <c r="AF8932" i="13" s="1"/>
  <c r="P8938" i="13" a="1"/>
  <c r="P8938" i="13" s="1"/>
  <c r="W8939" i="13" a="1"/>
  <c r="W8939" i="13" s="1"/>
  <c r="AH8939" i="13" a="1"/>
  <c r="AH8939" i="13" s="1"/>
  <c r="H8923" i="13" a="1"/>
  <c r="H8923" i="13" s="1"/>
  <c r="K8923" i="13" a="1"/>
  <c r="K8923" i="13" s="1"/>
  <c r="N8923" i="13" a="1"/>
  <c r="N8923" i="13" s="1"/>
  <c r="Q8923" i="13" a="1"/>
  <c r="Q8923" i="13" s="1"/>
  <c r="T8923" i="13" a="1"/>
  <c r="T8923" i="13" s="1"/>
  <c r="X8923" i="13" a="1"/>
  <c r="X8923" i="13" s="1"/>
  <c r="AA8923" i="13" a="1"/>
  <c r="AA8923" i="13" s="1"/>
  <c r="AD8923" i="13" a="1"/>
  <c r="AD8923" i="13" s="1"/>
  <c r="U8937" i="13" a="1"/>
  <c r="U8937" i="13" s="1"/>
  <c r="M8937" i="13" a="1"/>
  <c r="M8937" i="13" s="1"/>
  <c r="E10560" i="13"/>
  <c r="D10553" i="13"/>
  <c r="D10560" i="13" s="1"/>
  <c r="F10556" i="13"/>
  <c r="D10549" i="13"/>
  <c r="D10556" i="13" s="1"/>
  <c r="D10555" i="13"/>
  <c r="D10562" i="13" s="1"/>
  <c r="L8931" i="13" a="1"/>
  <c r="L8931" i="13" s="1"/>
  <c r="X8931" i="13" a="1"/>
  <c r="X8931" i="13" s="1"/>
  <c r="L8935" i="13" a="1"/>
  <c r="L8935" i="13" s="1"/>
  <c r="T8935" i="13" a="1"/>
  <c r="T8935" i="13" s="1"/>
  <c r="K8936" i="13" a="1"/>
  <c r="K8936" i="13" s="1"/>
  <c r="N8936" i="13" a="1"/>
  <c r="N8936" i="13" s="1"/>
  <c r="Q8936" i="13" a="1"/>
  <c r="Q8936" i="13" s="1"/>
  <c r="T8936" i="13" a="1"/>
  <c r="T8936" i="13" s="1"/>
  <c r="AB8936" i="13" a="1"/>
  <c r="AB8936" i="13" s="1"/>
  <c r="D10465" i="13"/>
  <c r="E10465" i="13" s="1"/>
  <c r="F10465" i="13" s="1"/>
  <c r="G10465" i="13" s="1"/>
  <c r="H10465" i="13" s="1"/>
  <c r="I10465" i="13" s="1"/>
  <c r="J10465" i="13" s="1"/>
  <c r="K10465" i="13" s="1"/>
  <c r="L10465" i="13" s="1"/>
  <c r="M10465" i="13" s="1"/>
  <c r="N10465" i="13" s="1"/>
  <c r="O10465" i="13" s="1"/>
  <c r="P10465" i="13" s="1"/>
  <c r="Q10465" i="13" s="1"/>
  <c r="R10465" i="13" s="1"/>
  <c r="S10465" i="13" s="1"/>
  <c r="T10465" i="13" s="1"/>
  <c r="U10465" i="13" s="1"/>
  <c r="V10465" i="13" s="1"/>
  <c r="W10465" i="13" s="1"/>
  <c r="X10465" i="13" s="1"/>
  <c r="Y10465" i="13" s="1"/>
  <c r="Z10465" i="13" s="1"/>
  <c r="AA10465" i="13" s="1"/>
  <c r="AB10465" i="13" s="1"/>
  <c r="AC10465" i="13" s="1"/>
  <c r="AD10465" i="13" s="1"/>
  <c r="AE10465" i="13" s="1"/>
  <c r="AF10465" i="13" s="1"/>
  <c r="AG10465" i="13" s="1"/>
  <c r="AH10465" i="13" s="1"/>
  <c r="AQ642" i="13"/>
  <c r="AG636" i="13"/>
  <c r="AQ621" i="13"/>
  <c r="AG619" i="13"/>
  <c r="AQ616" i="13"/>
  <c r="AG614" i="13"/>
  <c r="AG609" i="13"/>
  <c r="AQ608" i="13"/>
  <c r="AG606" i="13"/>
  <c r="E124" i="13"/>
  <c r="AG657" i="13"/>
  <c r="AG653" i="13"/>
  <c r="AG626" i="13"/>
  <c r="AQ671" i="13"/>
  <c r="AQ670" i="13"/>
  <c r="AQ669" i="13"/>
  <c r="AQ668" i="13"/>
  <c r="AQ667" i="13"/>
  <c r="AQ666" i="13"/>
  <c r="AG654" i="13"/>
  <c r="AG652" i="13"/>
  <c r="AG649" i="13"/>
  <c r="AG646" i="13"/>
  <c r="AG638" i="13"/>
  <c r="AQ637" i="13"/>
  <c r="AG634" i="13"/>
  <c r="AG627" i="13"/>
  <c r="AG624" i="13"/>
  <c r="AG621" i="13"/>
  <c r="AG620" i="13"/>
  <c r="AQ618" i="13"/>
  <c r="AG616" i="13"/>
  <c r="AG613" i="13"/>
  <c r="AQ612" i="13"/>
  <c r="AG608" i="13"/>
  <c r="AG604" i="13"/>
  <c r="AG670" i="13"/>
  <c r="AG669" i="13"/>
  <c r="AG668" i="13"/>
  <c r="AG667" i="13"/>
  <c r="AQ657" i="13"/>
  <c r="AG647" i="13"/>
  <c r="AG642" i="13"/>
  <c r="AG641" i="13"/>
  <c r="AG639" i="13"/>
  <c r="AG635" i="13"/>
  <c r="AQ622" i="13"/>
  <c r="AG618" i="13"/>
  <c r="AQ617" i="13"/>
  <c r="E576" i="13" s="1"/>
  <c r="AG610" i="13"/>
  <c r="AQ609" i="13"/>
  <c r="AG607" i="13"/>
  <c r="AG666" i="13"/>
  <c r="AG645" i="13"/>
  <c r="AG629" i="13"/>
  <c r="AQ624" i="13"/>
  <c r="AG622" i="13"/>
  <c r="AG617" i="13"/>
  <c r="E559" i="13" s="1"/>
  <c r="AQ613" i="13"/>
  <c r="AG671" i="13"/>
  <c r="AQ653" i="13"/>
  <c r="AG648" i="13"/>
  <c r="AQ636" i="13"/>
  <c r="AG631" i="13"/>
  <c r="AG625" i="13"/>
  <c r="AG665" i="13"/>
  <c r="AG655" i="13"/>
  <c r="AQ652" i="13"/>
  <c r="AG640" i="13"/>
  <c r="AG637" i="13"/>
  <c r="AG612" i="13"/>
  <c r="M884" i="13"/>
  <c r="I424" i="13" s="1"/>
  <c r="J424" i="13" s="1"/>
  <c r="F1333" i="13"/>
  <c r="H425" i="13"/>
  <c r="G422" i="13"/>
  <c r="H421" i="13"/>
  <c r="G418" i="13"/>
  <c r="H417" i="13"/>
  <c r="F424" i="13"/>
  <c r="G425" i="13"/>
  <c r="H424" i="13"/>
  <c r="F422" i="13"/>
  <c r="G421" i="13"/>
  <c r="H420" i="13"/>
  <c r="F418" i="13"/>
  <c r="G417" i="13"/>
  <c r="G420" i="13"/>
  <c r="H419" i="13"/>
  <c r="F417" i="13"/>
  <c r="G419" i="13"/>
  <c r="F425" i="13"/>
  <c r="G424" i="13"/>
  <c r="H423" i="13"/>
  <c r="G423" i="13"/>
  <c r="H422" i="13"/>
  <c r="H418" i="13"/>
  <c r="D1425" i="13"/>
  <c r="D1432" i="13"/>
  <c r="D1423" i="13"/>
  <c r="D1433" i="13" s="1"/>
  <c r="AK8806" i="13"/>
  <c r="AL8806" i="13" s="1"/>
  <c r="AM8806" i="13" s="1"/>
  <c r="AN8806" i="13" s="1"/>
  <c r="AK8818" i="13"/>
  <c r="AL8818" i="13" s="1"/>
  <c r="AM8818" i="13" s="1"/>
  <c r="AN8818" i="13" s="1"/>
  <c r="D1008" i="13"/>
  <c r="D1010" i="13" s="1"/>
  <c r="D996" i="13"/>
  <c r="D997" i="13" s="1"/>
  <c r="E1432" i="13"/>
  <c r="E1423" i="13"/>
  <c r="E1433" i="13" s="1"/>
  <c r="E1425" i="13"/>
  <c r="AK8821" i="13"/>
  <c r="AL8821" i="13" s="1"/>
  <c r="AM8821" i="13" s="1"/>
  <c r="AN8821" i="13" s="1"/>
  <c r="M206" i="13"/>
  <c r="M395" i="13" s="1"/>
  <c r="L243" i="13"/>
  <c r="M419" i="13"/>
  <c r="E421" i="13"/>
  <c r="N422" i="13"/>
  <c r="P1104" i="13"/>
  <c r="G1104" i="13"/>
  <c r="G1105" i="13" s="1"/>
  <c r="D1071" i="13" s="1"/>
  <c r="AK8811" i="13"/>
  <c r="AL8811" i="13" s="1"/>
  <c r="AM8811" i="13" s="1"/>
  <c r="AN8811" i="13" s="1"/>
  <c r="AH8822" i="13" a="1"/>
  <c r="AH8822" i="13" s="1"/>
  <c r="AF8822" i="13" a="1"/>
  <c r="AF8822" i="13" s="1"/>
  <c r="AD8822" i="13" a="1"/>
  <c r="AD8822" i="13" s="1"/>
  <c r="AB8822" i="13" a="1"/>
  <c r="AB8822" i="13" s="1"/>
  <c r="Z8822" i="13" a="1"/>
  <c r="Z8822" i="13" s="1"/>
  <c r="X8822" i="13" a="1"/>
  <c r="X8822" i="13" s="1"/>
  <c r="V8822" i="13" a="1"/>
  <c r="V8822" i="13" s="1"/>
  <c r="T8822" i="13" a="1"/>
  <c r="T8822" i="13" s="1"/>
  <c r="R8822" i="13" a="1"/>
  <c r="R8822" i="13" s="1"/>
  <c r="P8822" i="13" a="1"/>
  <c r="P8822" i="13" s="1"/>
  <c r="N8822" i="13" a="1"/>
  <c r="N8822" i="13" s="1"/>
  <c r="L8822" i="13" a="1"/>
  <c r="L8822" i="13" s="1"/>
  <c r="J8822" i="13" a="1"/>
  <c r="J8822" i="13" s="1"/>
  <c r="H8822" i="13" a="1"/>
  <c r="H8822" i="13" s="1"/>
  <c r="F8822" i="13" a="1"/>
  <c r="F8822" i="13" s="1"/>
  <c r="AC8822" i="13" a="1"/>
  <c r="AC8822" i="13" s="1"/>
  <c r="U8822" i="13" a="1"/>
  <c r="U8822" i="13" s="1"/>
  <c r="M8822" i="13" a="1"/>
  <c r="M8822" i="13" s="1"/>
  <c r="E8822" i="13" a="1"/>
  <c r="E8822" i="13" s="1"/>
  <c r="AI8822" i="13" a="1"/>
  <c r="AI8822" i="13" s="1"/>
  <c r="AO8822" i="13" s="1" a="1"/>
  <c r="AO8822" i="13" s="1"/>
  <c r="AE8822" i="13" a="1"/>
  <c r="AE8822" i="13" s="1"/>
  <c r="Q8822" i="13" a="1"/>
  <c r="Q8822" i="13" s="1"/>
  <c r="AA8822" i="13" a="1"/>
  <c r="AA8822" i="13" s="1"/>
  <c r="W8822" i="13" a="1"/>
  <c r="W8822" i="13" s="1"/>
  <c r="I8822" i="13" a="1"/>
  <c r="I8822" i="13" s="1"/>
  <c r="S8822" i="13" a="1"/>
  <c r="S8822" i="13" s="1"/>
  <c r="AG8822" i="13" a="1"/>
  <c r="AG8822" i="13" s="1"/>
  <c r="AF8831" i="13" a="1"/>
  <c r="AF8831" i="13" s="1"/>
  <c r="AC8831" i="13" a="1"/>
  <c r="AC8831" i="13" s="1"/>
  <c r="X8831" i="13" a="1"/>
  <c r="X8831" i="13" s="1"/>
  <c r="U8831" i="13" a="1"/>
  <c r="U8831" i="13" s="1"/>
  <c r="P8831" i="13" a="1"/>
  <c r="P8831" i="13" s="1"/>
  <c r="M8831" i="13" a="1"/>
  <c r="M8831" i="13" s="1"/>
  <c r="H8831" i="13" a="1"/>
  <c r="H8831" i="13" s="1"/>
  <c r="E8831" i="13" a="1"/>
  <c r="E8831" i="13" s="1"/>
  <c r="Y8831" i="13" a="1"/>
  <c r="Y8831" i="13" s="1"/>
  <c r="V8831" i="13" a="1"/>
  <c r="V8831" i="13" s="1"/>
  <c r="R8831" i="13" a="1"/>
  <c r="R8831" i="13" s="1"/>
  <c r="K8831" i="13" a="1"/>
  <c r="K8831" i="13" s="1"/>
  <c r="G8831" i="13" a="1"/>
  <c r="G8831" i="13" s="1"/>
  <c r="AI8831" i="13" a="1"/>
  <c r="AI8831" i="13" s="1"/>
  <c r="AO8831" i="13" s="1" a="1"/>
  <c r="AO8831" i="13" s="1"/>
  <c r="AE8831" i="13" a="1"/>
  <c r="AE8831" i="13" s="1"/>
  <c r="AB8831" i="13" a="1"/>
  <c r="AB8831" i="13" s="1"/>
  <c r="Q8831" i="13" a="1"/>
  <c r="Q8831" i="13" s="1"/>
  <c r="N8831" i="13" a="1"/>
  <c r="N8831" i="13" s="1"/>
  <c r="J8831" i="13" a="1"/>
  <c r="J8831" i="13" s="1"/>
  <c r="AH8831" i="13" a="1"/>
  <c r="AH8831" i="13" s="1"/>
  <c r="AA8831" i="13" a="1"/>
  <c r="AA8831" i="13" s="1"/>
  <c r="W8831" i="13" a="1"/>
  <c r="W8831" i="13" s="1"/>
  <c r="T8831" i="13" a="1"/>
  <c r="T8831" i="13" s="1"/>
  <c r="I8831" i="13" a="1"/>
  <c r="I8831" i="13" s="1"/>
  <c r="F8831" i="13" a="1"/>
  <c r="F8831" i="13" s="1"/>
  <c r="S8831" i="13" a="1"/>
  <c r="S8831" i="13" s="1"/>
  <c r="AG8831" i="13" a="1"/>
  <c r="AG8831" i="13" s="1"/>
  <c r="AK8833" i="13"/>
  <c r="AL8833" i="13" s="1"/>
  <c r="AM8833" i="13" s="1"/>
  <c r="AN8833" i="13" s="1"/>
  <c r="D10462" i="13"/>
  <c r="E10462" i="13" s="1"/>
  <c r="F10462" i="13" s="1"/>
  <c r="G10462" i="13" s="1"/>
  <c r="H10462" i="13" s="1"/>
  <c r="I10462" i="13" s="1"/>
  <c r="J10462" i="13" s="1"/>
  <c r="K10462" i="13" s="1"/>
  <c r="L10462" i="13" s="1"/>
  <c r="M10462" i="13" s="1"/>
  <c r="N10462" i="13" s="1"/>
  <c r="O10462" i="13" s="1"/>
  <c r="P10462" i="13" s="1"/>
  <c r="Q10462" i="13" s="1"/>
  <c r="R10462" i="13" s="1"/>
  <c r="S10462" i="13" s="1"/>
  <c r="T10462" i="13" s="1"/>
  <c r="U10462" i="13" s="1"/>
  <c r="V10462" i="13" s="1"/>
  <c r="W10462" i="13" s="1"/>
  <c r="X10462" i="13" s="1"/>
  <c r="Y10462" i="13" s="1"/>
  <c r="Z10462" i="13" s="1"/>
  <c r="AA10462" i="13" s="1"/>
  <c r="AB10462" i="13" s="1"/>
  <c r="AC10462" i="13" s="1"/>
  <c r="AD10462" i="13" s="1"/>
  <c r="AE10462" i="13" s="1"/>
  <c r="AF10462" i="13" s="1"/>
  <c r="AG10462" i="13" s="1"/>
  <c r="AH10462" i="13" s="1"/>
  <c r="D10463" i="13"/>
  <c r="E10463" i="13" s="1"/>
  <c r="F10463" i="13" s="1"/>
  <c r="G10463" i="13" s="1"/>
  <c r="H10463" i="13" s="1"/>
  <c r="I10463" i="13" s="1"/>
  <c r="J10463" i="13" s="1"/>
  <c r="K10463" i="13" s="1"/>
  <c r="L10463" i="13" s="1"/>
  <c r="M10463" i="13" s="1"/>
  <c r="N10463" i="13" s="1"/>
  <c r="O10463" i="13" s="1"/>
  <c r="P10463" i="13" s="1"/>
  <c r="Q10463" i="13" s="1"/>
  <c r="R10463" i="13" s="1"/>
  <c r="S10463" i="13" s="1"/>
  <c r="T10463" i="13" s="1"/>
  <c r="U10463" i="13" s="1"/>
  <c r="V10463" i="13" s="1"/>
  <c r="W10463" i="13" s="1"/>
  <c r="X10463" i="13" s="1"/>
  <c r="Y10463" i="13" s="1"/>
  <c r="Z10463" i="13" s="1"/>
  <c r="AA10463" i="13" s="1"/>
  <c r="AB10463" i="13" s="1"/>
  <c r="AC10463" i="13" s="1"/>
  <c r="AD10463" i="13" s="1"/>
  <c r="AE10463" i="13" s="1"/>
  <c r="AF10463" i="13" s="1"/>
  <c r="AG10463" i="13" s="1"/>
  <c r="AH10463" i="13" s="1"/>
  <c r="E1718" i="13"/>
  <c r="E1719" i="13" s="1"/>
  <c r="E1717" i="13" s="1"/>
  <c r="P1674" i="13"/>
  <c r="L1674" i="13"/>
  <c r="H1674" i="13"/>
  <c r="D1674" i="13"/>
  <c r="M1674" i="13"/>
  <c r="G1674" i="13"/>
  <c r="AB671" i="13"/>
  <c r="AB670" i="13"/>
  <c r="AB669" i="13"/>
  <c r="AB668" i="13"/>
  <c r="AB667" i="13"/>
  <c r="AB666" i="13"/>
  <c r="AB665" i="13"/>
  <c r="AB657" i="13"/>
  <c r="AB656" i="13"/>
  <c r="AB655" i="13"/>
  <c r="AB654" i="13"/>
  <c r="AB653" i="13"/>
  <c r="AB652" i="13"/>
  <c r="AB650" i="13"/>
  <c r="AB649" i="13"/>
  <c r="AB648" i="13"/>
  <c r="AB647" i="13"/>
  <c r="AB646" i="13"/>
  <c r="AB645" i="13"/>
  <c r="AB644" i="13"/>
  <c r="AB642" i="13"/>
  <c r="AB641" i="13"/>
  <c r="AB640" i="13"/>
  <c r="AB639" i="13"/>
  <c r="AB638" i="13"/>
  <c r="AB637" i="13"/>
  <c r="AB636" i="13"/>
  <c r="AB635" i="13"/>
  <c r="AB634" i="13"/>
  <c r="AB633" i="13"/>
  <c r="AB630" i="13"/>
  <c r="AB629" i="13"/>
  <c r="AB627" i="13"/>
  <c r="AB626" i="13"/>
  <c r="AB624" i="13"/>
  <c r="AB623" i="13"/>
  <c r="AB622" i="13"/>
  <c r="AB620" i="13"/>
  <c r="AB619" i="13"/>
  <c r="AB618" i="13"/>
  <c r="AB617" i="13"/>
  <c r="E554" i="13" s="1"/>
  <c r="AB616" i="13"/>
  <c r="AB615" i="13"/>
  <c r="AB614" i="13"/>
  <c r="AB613" i="13"/>
  <c r="AB612" i="13"/>
  <c r="AB611" i="13"/>
  <c r="AB610" i="13"/>
  <c r="AB609" i="13"/>
  <c r="AB608" i="13"/>
  <c r="AB607" i="13"/>
  <c r="AB606" i="13"/>
  <c r="M203" i="13"/>
  <c r="M392" i="13" s="1"/>
  <c r="N204" i="13"/>
  <c r="N393" i="13" s="1"/>
  <c r="M243" i="13"/>
  <c r="E252" i="13"/>
  <c r="M420" i="13"/>
  <c r="E422" i="13"/>
  <c r="N423" i="13"/>
  <c r="AC607" i="13"/>
  <c r="AT608" i="13"/>
  <c r="AM609" i="13"/>
  <c r="AC610" i="13"/>
  <c r="AL612" i="13"/>
  <c r="AH615" i="13"/>
  <c r="AC618" i="13"/>
  <c r="AM622" i="13"/>
  <c r="AC632" i="13"/>
  <c r="AC639" i="13"/>
  <c r="AP641" i="13"/>
  <c r="AL647" i="13"/>
  <c r="AM650" i="13"/>
  <c r="AC653" i="13"/>
  <c r="AP668" i="13"/>
  <c r="M8810" i="13" a="1"/>
  <c r="M8810" i="13" s="1"/>
  <c r="AA8810" i="13" a="1"/>
  <c r="AA8810" i="13" s="1"/>
  <c r="AE8810" i="13" a="1"/>
  <c r="AE8810" i="13" s="1"/>
  <c r="G8822" i="13" a="1"/>
  <c r="G8822" i="13" s="1"/>
  <c r="AH8834" i="13" a="1"/>
  <c r="AH8834" i="13" s="1"/>
  <c r="AF8834" i="13" a="1"/>
  <c r="AF8834" i="13" s="1"/>
  <c r="AD8834" i="13" a="1"/>
  <c r="AD8834" i="13" s="1"/>
  <c r="AB8834" i="13" a="1"/>
  <c r="AB8834" i="13" s="1"/>
  <c r="Z8834" i="13" a="1"/>
  <c r="Z8834" i="13" s="1"/>
  <c r="X8834" i="13" a="1"/>
  <c r="X8834" i="13" s="1"/>
  <c r="V8834" i="13" a="1"/>
  <c r="V8834" i="13" s="1"/>
  <c r="T8834" i="13" a="1"/>
  <c r="T8834" i="13" s="1"/>
  <c r="R8834" i="13" a="1"/>
  <c r="R8834" i="13" s="1"/>
  <c r="P8834" i="13" a="1"/>
  <c r="P8834" i="13" s="1"/>
  <c r="N8834" i="13" a="1"/>
  <c r="N8834" i="13" s="1"/>
  <c r="L8834" i="13" a="1"/>
  <c r="L8834" i="13" s="1"/>
  <c r="J8834" i="13" a="1"/>
  <c r="J8834" i="13" s="1"/>
  <c r="H8834" i="13" a="1"/>
  <c r="H8834" i="13" s="1"/>
  <c r="F8834" i="13" a="1"/>
  <c r="F8834" i="13" s="1"/>
  <c r="AI8834" i="13" a="1"/>
  <c r="AI8834" i="13" s="1"/>
  <c r="AO8834" i="13" s="1" a="1"/>
  <c r="AO8834" i="13" s="1"/>
  <c r="AA8834" i="13" a="1"/>
  <c r="AA8834" i="13" s="1"/>
  <c r="S8834" i="13" a="1"/>
  <c r="S8834" i="13" s="1"/>
  <c r="K8834" i="13" a="1"/>
  <c r="K8834" i="13" s="1"/>
  <c r="AE8834" i="13" a="1"/>
  <c r="AE8834" i="13" s="1"/>
  <c r="Q8834" i="13" a="1"/>
  <c r="Q8834" i="13" s="1"/>
  <c r="M8834" i="13" a="1"/>
  <c r="M8834" i="13" s="1"/>
  <c r="U8834" i="13" a="1"/>
  <c r="U8834" i="13" s="1"/>
  <c r="G8834" i="13" a="1"/>
  <c r="G8834" i="13" s="1"/>
  <c r="AC8834" i="13" a="1"/>
  <c r="AC8834" i="13" s="1"/>
  <c r="Y8834" i="13" a="1"/>
  <c r="Y8834" i="13" s="1"/>
  <c r="O8834" i="13" a="1"/>
  <c r="O8834" i="13" s="1"/>
  <c r="E8834" i="13" a="1"/>
  <c r="E8834" i="13" s="1"/>
  <c r="W8834" i="13" a="1"/>
  <c r="W8834" i="13" s="1"/>
  <c r="AF670" i="13"/>
  <c r="AF669" i="13"/>
  <c r="AF666" i="13"/>
  <c r="AF650" i="13"/>
  <c r="AF645" i="13"/>
  <c r="AF637" i="13"/>
  <c r="AF623" i="13"/>
  <c r="AF608" i="13"/>
  <c r="AF606" i="13"/>
  <c r="P247" i="13"/>
  <c r="F1396" i="13"/>
  <c r="F1421" i="13"/>
  <c r="C1752" i="13"/>
  <c r="C1761" i="13" s="1"/>
  <c r="H152" i="13" s="1"/>
  <c r="K1828" i="13"/>
  <c r="D10502" i="13"/>
  <c r="D10458" i="13" s="1"/>
  <c r="E10458" i="13" s="1"/>
  <c r="F10458" i="13" s="1"/>
  <c r="G10458" i="13" s="1"/>
  <c r="H10458" i="13" s="1"/>
  <c r="I10458" i="13" s="1"/>
  <c r="J10458" i="13" s="1"/>
  <c r="K10458" i="13" s="1"/>
  <c r="L10458" i="13" s="1"/>
  <c r="M10458" i="13" s="1"/>
  <c r="N10458" i="13" s="1"/>
  <c r="O10458" i="13" s="1"/>
  <c r="P10458" i="13" s="1"/>
  <c r="Q10458" i="13" s="1"/>
  <c r="R10458" i="13" s="1"/>
  <c r="S10458" i="13" s="1"/>
  <c r="T10458" i="13" s="1"/>
  <c r="U10458" i="13" s="1"/>
  <c r="V10458" i="13" s="1"/>
  <c r="W10458" i="13" s="1"/>
  <c r="X10458" i="13" s="1"/>
  <c r="Y10458" i="13" s="1"/>
  <c r="Z10458" i="13" s="1"/>
  <c r="AA10458" i="13" s="1"/>
  <c r="AB10458" i="13" s="1"/>
  <c r="AC10458" i="13" s="1"/>
  <c r="AD10458" i="13" s="1"/>
  <c r="AE10458" i="13" s="1"/>
  <c r="AF10458" i="13" s="1"/>
  <c r="AG10458" i="13" s="1"/>
  <c r="AH10458" i="13" s="1"/>
  <c r="D10461" i="13"/>
  <c r="E10461" i="13" s="1"/>
  <c r="F10461" i="13" s="1"/>
  <c r="G10461" i="13" s="1"/>
  <c r="H10461" i="13" s="1"/>
  <c r="I10461" i="13" s="1"/>
  <c r="J10461" i="13" s="1"/>
  <c r="K10461" i="13" s="1"/>
  <c r="L10461" i="13" s="1"/>
  <c r="M10461" i="13" s="1"/>
  <c r="N10461" i="13" s="1"/>
  <c r="O10461" i="13" s="1"/>
  <c r="P10461" i="13" s="1"/>
  <c r="Q10461" i="13" s="1"/>
  <c r="R10461" i="13" s="1"/>
  <c r="S10461" i="13" s="1"/>
  <c r="T10461" i="13" s="1"/>
  <c r="U10461" i="13" s="1"/>
  <c r="V10461" i="13" s="1"/>
  <c r="W10461" i="13" s="1"/>
  <c r="X10461" i="13" s="1"/>
  <c r="Y10461" i="13" s="1"/>
  <c r="Z10461" i="13" s="1"/>
  <c r="AA10461" i="13" s="1"/>
  <c r="AB10461" i="13" s="1"/>
  <c r="AC10461" i="13" s="1"/>
  <c r="AD10461" i="13" s="1"/>
  <c r="AE10461" i="13" s="1"/>
  <c r="AF10461" i="13" s="1"/>
  <c r="AG10461" i="13" s="1"/>
  <c r="AH10461" i="13" s="1"/>
  <c r="D10460" i="13"/>
  <c r="E10460" i="13" s="1"/>
  <c r="F10460" i="13" s="1"/>
  <c r="G10460" i="13" s="1"/>
  <c r="H10460" i="13" s="1"/>
  <c r="I10460" i="13" s="1"/>
  <c r="J10460" i="13" s="1"/>
  <c r="K10460" i="13" s="1"/>
  <c r="L10460" i="13" s="1"/>
  <c r="M10460" i="13" s="1"/>
  <c r="N10460" i="13" s="1"/>
  <c r="O10460" i="13" s="1"/>
  <c r="P10460" i="13" s="1"/>
  <c r="Q10460" i="13" s="1"/>
  <c r="R10460" i="13" s="1"/>
  <c r="S10460" i="13" s="1"/>
  <c r="T10460" i="13" s="1"/>
  <c r="U10460" i="13" s="1"/>
  <c r="V10460" i="13" s="1"/>
  <c r="W10460" i="13" s="1"/>
  <c r="X10460" i="13" s="1"/>
  <c r="Y10460" i="13" s="1"/>
  <c r="Z10460" i="13" s="1"/>
  <c r="AA10460" i="13" s="1"/>
  <c r="AB10460" i="13" s="1"/>
  <c r="AC10460" i="13" s="1"/>
  <c r="AD10460" i="13" s="1"/>
  <c r="AE10460" i="13" s="1"/>
  <c r="AF10460" i="13" s="1"/>
  <c r="AG10460" i="13" s="1"/>
  <c r="AH10460" i="13" s="1"/>
  <c r="E121" i="13"/>
  <c r="E123" i="13"/>
  <c r="L1843" i="13"/>
  <c r="K1824" i="13"/>
  <c r="E97" i="13" s="1"/>
  <c r="C97" i="13" s="1"/>
  <c r="N206" i="13"/>
  <c r="N395" i="13" s="1"/>
  <c r="Q243" i="13"/>
  <c r="R243" i="13" s="1"/>
  <c r="E245" i="13"/>
  <c r="E390" i="13"/>
  <c r="M415" i="13"/>
  <c r="N419" i="13"/>
  <c r="M424" i="13"/>
  <c r="AC605" i="13"/>
  <c r="AL610" i="13"/>
  <c r="AC615" i="13"/>
  <c r="AP615" i="13"/>
  <c r="AM617" i="13"/>
  <c r="E572" i="13" s="1"/>
  <c r="AM619" i="13"/>
  <c r="AC623" i="13"/>
  <c r="AC625" i="13"/>
  <c r="AC629" i="13"/>
  <c r="AM629" i="13"/>
  <c r="AC630" i="13"/>
  <c r="AC631" i="13"/>
  <c r="AL633" i="13"/>
  <c r="AC635" i="13"/>
  <c r="AM636" i="13"/>
  <c r="AC637" i="13"/>
  <c r="AL637" i="13"/>
  <c r="AC645" i="13"/>
  <c r="AM645" i="13"/>
  <c r="AC647" i="13"/>
  <c r="AM653" i="13"/>
  <c r="AC655" i="13"/>
  <c r="AM655" i="13"/>
  <c r="AC657" i="13"/>
  <c r="AM657" i="13"/>
  <c r="AH665" i="13"/>
  <c r="AL666" i="13"/>
  <c r="AL667" i="13"/>
  <c r="AL668" i="13"/>
  <c r="E571" i="13" s="1"/>
  <c r="AL670" i="13"/>
  <c r="AL671" i="13"/>
  <c r="M1042" i="13"/>
  <c r="D1104" i="13"/>
  <c r="D1290" i="13"/>
  <c r="L1324" i="13"/>
  <c r="L1325" i="13" s="1"/>
  <c r="H1333" i="13"/>
  <c r="E1424" i="13"/>
  <c r="D1501" i="13"/>
  <c r="D1529" i="13"/>
  <c r="E1527" i="13"/>
  <c r="E1529" i="13" s="1"/>
  <c r="E1535" i="13" s="1"/>
  <c r="I1674" i="13"/>
  <c r="O1674" i="13"/>
  <c r="N1679" i="13"/>
  <c r="L1829" i="13"/>
  <c r="AI8804" i="13" a="1"/>
  <c r="AI8804" i="13" s="1"/>
  <c r="AO8804" i="13" s="1" a="1"/>
  <c r="AO8804" i="13" s="1"/>
  <c r="AG8804" i="13" a="1"/>
  <c r="AG8804" i="13" s="1"/>
  <c r="AE8804" i="13" a="1"/>
  <c r="AE8804" i="13" s="1"/>
  <c r="AC8804" i="13" a="1"/>
  <c r="AC8804" i="13" s="1"/>
  <c r="AA8804" i="13" a="1"/>
  <c r="AA8804" i="13" s="1"/>
  <c r="Y8804" i="13" a="1"/>
  <c r="Y8804" i="13" s="1"/>
  <c r="W8804" i="13" a="1"/>
  <c r="W8804" i="13" s="1"/>
  <c r="U8804" i="13" a="1"/>
  <c r="U8804" i="13" s="1"/>
  <c r="S8804" i="13" a="1"/>
  <c r="S8804" i="13" s="1"/>
  <c r="Q8804" i="13" a="1"/>
  <c r="Q8804" i="13" s="1"/>
  <c r="O8804" i="13" a="1"/>
  <c r="O8804" i="13" s="1"/>
  <c r="M8804" i="13" a="1"/>
  <c r="M8804" i="13" s="1"/>
  <c r="K8804" i="13" a="1"/>
  <c r="K8804" i="13" s="1"/>
  <c r="I8804" i="13" a="1"/>
  <c r="I8804" i="13" s="1"/>
  <c r="G8804" i="13" a="1"/>
  <c r="G8804" i="13" s="1"/>
  <c r="E8804" i="13" a="1"/>
  <c r="E8804" i="13" s="1"/>
  <c r="AB8804" i="13" a="1"/>
  <c r="AB8804" i="13" s="1"/>
  <c r="T8804" i="13" a="1"/>
  <c r="T8804" i="13" s="1"/>
  <c r="L8804" i="13" a="1"/>
  <c r="L8804" i="13" s="1"/>
  <c r="H8804" i="13" a="1"/>
  <c r="H8804" i="13" s="1"/>
  <c r="V8804" i="13" a="1"/>
  <c r="V8804" i="13" s="1"/>
  <c r="Z8804" i="13" a="1"/>
  <c r="Z8804" i="13" s="1"/>
  <c r="M8806" i="13" a="1"/>
  <c r="M8806" i="13" s="1"/>
  <c r="AA8806" i="13" a="1"/>
  <c r="AA8806" i="13" s="1"/>
  <c r="AE8806" i="13" a="1"/>
  <c r="AE8806" i="13" s="1"/>
  <c r="AI8808" i="13" a="1"/>
  <c r="AI8808" i="13" s="1"/>
  <c r="AO8808" i="13" s="1" a="1"/>
  <c r="AO8808" i="13" s="1"/>
  <c r="AG8808" i="13" a="1"/>
  <c r="AG8808" i="13" s="1"/>
  <c r="AE8808" i="13" a="1"/>
  <c r="AE8808" i="13" s="1"/>
  <c r="AC8808" i="13" a="1"/>
  <c r="AC8808" i="13" s="1"/>
  <c r="AA8808" i="13" a="1"/>
  <c r="AA8808" i="13" s="1"/>
  <c r="Y8808" i="13" a="1"/>
  <c r="Y8808" i="13" s="1"/>
  <c r="W8808" i="13" a="1"/>
  <c r="W8808" i="13" s="1"/>
  <c r="U8808" i="13" a="1"/>
  <c r="U8808" i="13" s="1"/>
  <c r="S8808" i="13" a="1"/>
  <c r="S8808" i="13" s="1"/>
  <c r="Q8808" i="13" a="1"/>
  <c r="Q8808" i="13" s="1"/>
  <c r="O8808" i="13" a="1"/>
  <c r="O8808" i="13" s="1"/>
  <c r="M8808" i="13" a="1"/>
  <c r="M8808" i="13" s="1"/>
  <c r="K8808" i="13" a="1"/>
  <c r="K8808" i="13" s="1"/>
  <c r="I8808" i="13" a="1"/>
  <c r="I8808" i="13" s="1"/>
  <c r="G8808" i="13" a="1"/>
  <c r="G8808" i="13" s="1"/>
  <c r="E8808" i="13" a="1"/>
  <c r="E8808" i="13" s="1"/>
  <c r="AB8808" i="13" a="1"/>
  <c r="AB8808" i="13" s="1"/>
  <c r="T8808" i="13" a="1"/>
  <c r="T8808" i="13" s="1"/>
  <c r="L8808" i="13" a="1"/>
  <c r="L8808" i="13" s="1"/>
  <c r="H8808" i="13" a="1"/>
  <c r="H8808" i="13" s="1"/>
  <c r="V8808" i="13" a="1"/>
  <c r="V8808" i="13" s="1"/>
  <c r="Z8808" i="13" a="1"/>
  <c r="Z8808" i="13" s="1"/>
  <c r="AI8812" i="13" a="1"/>
  <c r="AI8812" i="13" s="1"/>
  <c r="AO8812" i="13" s="1" a="1"/>
  <c r="AO8812" i="13" s="1"/>
  <c r="AG8812" i="13" a="1"/>
  <c r="AG8812" i="13" s="1"/>
  <c r="AE8812" i="13" a="1"/>
  <c r="AE8812" i="13" s="1"/>
  <c r="AC8812" i="13" a="1"/>
  <c r="AC8812" i="13" s="1"/>
  <c r="AA8812" i="13" a="1"/>
  <c r="AA8812" i="13" s="1"/>
  <c r="Y8812" i="13" a="1"/>
  <c r="Y8812" i="13" s="1"/>
  <c r="W8812" i="13" a="1"/>
  <c r="W8812" i="13" s="1"/>
  <c r="U8812" i="13" a="1"/>
  <c r="U8812" i="13" s="1"/>
  <c r="S8812" i="13" a="1"/>
  <c r="S8812" i="13" s="1"/>
  <c r="Q8812" i="13" a="1"/>
  <c r="Q8812" i="13" s="1"/>
  <c r="O8812" i="13" a="1"/>
  <c r="O8812" i="13" s="1"/>
  <c r="M8812" i="13" a="1"/>
  <c r="M8812" i="13" s="1"/>
  <c r="K8812" i="13" a="1"/>
  <c r="K8812" i="13" s="1"/>
  <c r="I8812" i="13" a="1"/>
  <c r="I8812" i="13" s="1"/>
  <c r="G8812" i="13" a="1"/>
  <c r="G8812" i="13" s="1"/>
  <c r="E8812" i="13" a="1"/>
  <c r="E8812" i="13" s="1"/>
  <c r="AB8812" i="13" a="1"/>
  <c r="AB8812" i="13" s="1"/>
  <c r="T8812" i="13" a="1"/>
  <c r="T8812" i="13" s="1"/>
  <c r="L8812" i="13" a="1"/>
  <c r="L8812" i="13" s="1"/>
  <c r="H8812" i="13" a="1"/>
  <c r="H8812" i="13" s="1"/>
  <c r="V8812" i="13" a="1"/>
  <c r="V8812" i="13" s="1"/>
  <c r="Z8812" i="13" a="1"/>
  <c r="Z8812" i="13" s="1"/>
  <c r="M8814" i="13" a="1"/>
  <c r="M8814" i="13" s="1"/>
  <c r="AA8814" i="13" a="1"/>
  <c r="AA8814" i="13" s="1"/>
  <c r="AE8814" i="13" a="1"/>
  <c r="AE8814" i="13" s="1"/>
  <c r="AI8816" i="13" a="1"/>
  <c r="AI8816" i="13" s="1"/>
  <c r="AO8816" i="13" s="1" a="1"/>
  <c r="AO8816" i="13" s="1"/>
  <c r="AG8816" i="13" a="1"/>
  <c r="AG8816" i="13" s="1"/>
  <c r="AE8816" i="13" a="1"/>
  <c r="AE8816" i="13" s="1"/>
  <c r="AC8816" i="13" a="1"/>
  <c r="AC8816" i="13" s="1"/>
  <c r="AA8816" i="13" a="1"/>
  <c r="AA8816" i="13" s="1"/>
  <c r="Y8816" i="13" a="1"/>
  <c r="Y8816" i="13" s="1"/>
  <c r="W8816" i="13" a="1"/>
  <c r="W8816" i="13" s="1"/>
  <c r="U8816" i="13" a="1"/>
  <c r="U8816" i="13" s="1"/>
  <c r="S8816" i="13" a="1"/>
  <c r="S8816" i="13" s="1"/>
  <c r="Q8816" i="13" a="1"/>
  <c r="Q8816" i="13" s="1"/>
  <c r="O8816" i="13" a="1"/>
  <c r="O8816" i="13" s="1"/>
  <c r="M8816" i="13" a="1"/>
  <c r="M8816" i="13" s="1"/>
  <c r="K8816" i="13" a="1"/>
  <c r="K8816" i="13" s="1"/>
  <c r="I8816" i="13" a="1"/>
  <c r="I8816" i="13" s="1"/>
  <c r="G8816" i="13" a="1"/>
  <c r="G8816" i="13" s="1"/>
  <c r="E8816" i="13" a="1"/>
  <c r="E8816" i="13" s="1"/>
  <c r="AB8816" i="13" a="1"/>
  <c r="AB8816" i="13" s="1"/>
  <c r="T8816" i="13" a="1"/>
  <c r="T8816" i="13" s="1"/>
  <c r="L8816" i="13" a="1"/>
  <c r="L8816" i="13" s="1"/>
  <c r="H8816" i="13" a="1"/>
  <c r="H8816" i="13" s="1"/>
  <c r="V8816" i="13" a="1"/>
  <c r="V8816" i="13" s="1"/>
  <c r="Z8816" i="13" a="1"/>
  <c r="Z8816" i="13" s="1"/>
  <c r="S8818" i="13" a="1"/>
  <c r="S8818" i="13" s="1"/>
  <c r="AG8818" i="13" a="1"/>
  <c r="AG8818" i="13" s="1"/>
  <c r="E119" i="13"/>
  <c r="D122" i="13"/>
  <c r="E126" i="13"/>
  <c r="M202" i="13"/>
  <c r="M391" i="13" s="1"/>
  <c r="N203" i="13"/>
  <c r="N392" i="13" s="1"/>
  <c r="E242" i="13"/>
  <c r="J243" i="13"/>
  <c r="N243" i="13"/>
  <c r="O246" i="13"/>
  <c r="N415" i="13"/>
  <c r="E419" i="13"/>
  <c r="N420" i="13"/>
  <c r="M421" i="13"/>
  <c r="E423" i="13"/>
  <c r="N424" i="13"/>
  <c r="E553" i="13"/>
  <c r="E561" i="13"/>
  <c r="AC604" i="13"/>
  <c r="AM607" i="13"/>
  <c r="AL608" i="13"/>
  <c r="AM610" i="13"/>
  <c r="AC611" i="13"/>
  <c r="AM612" i="13"/>
  <c r="AM615" i="13"/>
  <c r="AC616" i="13"/>
  <c r="AL616" i="13"/>
  <c r="AM618" i="13"/>
  <c r="AC620" i="13"/>
  <c r="AC621" i="13"/>
  <c r="AM623" i="13"/>
  <c r="AM626" i="13"/>
  <c r="AC628" i="13"/>
  <c r="AM633" i="13"/>
  <c r="AC634" i="13"/>
  <c r="AM635" i="13"/>
  <c r="AM637" i="13"/>
  <c r="AC638" i="13"/>
  <c r="AM640" i="13"/>
  <c r="AC641" i="13"/>
  <c r="AM641" i="13"/>
  <c r="AC642" i="13"/>
  <c r="AM643" i="13"/>
  <c r="AC646" i="13"/>
  <c r="AM647" i="13"/>
  <c r="AC648" i="13"/>
  <c r="AM648" i="13"/>
  <c r="AC652" i="13"/>
  <c r="AC654" i="13"/>
  <c r="AC656" i="13"/>
  <c r="H890" i="13"/>
  <c r="D1003" i="13"/>
  <c r="N1045" i="13"/>
  <c r="M1047" i="13"/>
  <c r="J1104" i="13"/>
  <c r="AH1160" i="13"/>
  <c r="AD1160" i="13"/>
  <c r="Z1160" i="13"/>
  <c r="V1160" i="13"/>
  <c r="R1160" i="13"/>
  <c r="N1160" i="13"/>
  <c r="J1160" i="13"/>
  <c r="F1160" i="13"/>
  <c r="H1160" i="13"/>
  <c r="M1160" i="13"/>
  <c r="S1160" i="13"/>
  <c r="X1160" i="13"/>
  <c r="AC1160" i="13"/>
  <c r="E1266" i="13"/>
  <c r="E1268" i="13" s="1"/>
  <c r="E1274" i="13" s="1"/>
  <c r="F1320" i="13"/>
  <c r="F1321" i="13"/>
  <c r="D1477" i="13"/>
  <c r="D1479" i="13" s="1"/>
  <c r="F1527" i="13"/>
  <c r="F1529" i="13" s="1"/>
  <c r="G1628" i="13"/>
  <c r="G1622" i="13"/>
  <c r="J1674" i="13"/>
  <c r="N1677" i="13"/>
  <c r="D1718" i="13"/>
  <c r="D1719" i="13" s="1"/>
  <c r="K1829" i="13"/>
  <c r="P8804" i="13" a="1"/>
  <c r="P8804" i="13" s="1"/>
  <c r="AD8804" i="13" a="1"/>
  <c r="AD8804" i="13" s="1"/>
  <c r="AH8804" i="13" a="1"/>
  <c r="AH8804" i="13" s="1"/>
  <c r="G8806" i="13" a="1"/>
  <c r="G8806" i="13" s="1"/>
  <c r="U8806" i="13" a="1"/>
  <c r="U8806" i="13" s="1"/>
  <c r="AG8807" i="13" a="1"/>
  <c r="AG8807" i="13" s="1"/>
  <c r="AB8807" i="13" a="1"/>
  <c r="AB8807" i="13" s="1"/>
  <c r="Y8807" i="13" a="1"/>
  <c r="Y8807" i="13" s="1"/>
  <c r="T8807" i="13" a="1"/>
  <c r="T8807" i="13" s="1"/>
  <c r="Q8807" i="13" a="1"/>
  <c r="Q8807" i="13" s="1"/>
  <c r="L8807" i="13" a="1"/>
  <c r="L8807" i="13" s="1"/>
  <c r="I8807" i="13" a="1"/>
  <c r="I8807" i="13" s="1"/>
  <c r="H8807" i="13" a="1"/>
  <c r="H8807" i="13" s="1"/>
  <c r="K8807" i="13" a="1"/>
  <c r="K8807" i="13" s="1"/>
  <c r="O8807" i="13" a="1"/>
  <c r="O8807" i="13" s="1"/>
  <c r="V8807" i="13" a="1"/>
  <c r="V8807" i="13" s="1"/>
  <c r="Z8807" i="13" a="1"/>
  <c r="Z8807" i="13" s="1"/>
  <c r="AC8807" i="13" a="1"/>
  <c r="AC8807" i="13" s="1"/>
  <c r="P8808" i="13" a="1"/>
  <c r="P8808" i="13" s="1"/>
  <c r="AD8808" i="13" a="1"/>
  <c r="AD8808" i="13" s="1"/>
  <c r="AH8808" i="13" a="1"/>
  <c r="AH8808" i="13" s="1"/>
  <c r="G8810" i="13" a="1"/>
  <c r="G8810" i="13" s="1"/>
  <c r="U8810" i="13" a="1"/>
  <c r="U8810" i="13" s="1"/>
  <c r="AG8811" i="13" a="1"/>
  <c r="AG8811" i="13" s="1"/>
  <c r="AB8811" i="13" a="1"/>
  <c r="AB8811" i="13" s="1"/>
  <c r="Y8811" i="13" a="1"/>
  <c r="Y8811" i="13" s="1"/>
  <c r="T8811" i="13" a="1"/>
  <c r="T8811" i="13" s="1"/>
  <c r="Q8811" i="13" a="1"/>
  <c r="Q8811" i="13" s="1"/>
  <c r="L8811" i="13" a="1"/>
  <c r="L8811" i="13" s="1"/>
  <c r="I8811" i="13" a="1"/>
  <c r="I8811" i="13" s="1"/>
  <c r="H8811" i="13" a="1"/>
  <c r="H8811" i="13" s="1"/>
  <c r="K8811" i="13" a="1"/>
  <c r="K8811" i="13" s="1"/>
  <c r="O8811" i="13" a="1"/>
  <c r="O8811" i="13" s="1"/>
  <c r="V8811" i="13" a="1"/>
  <c r="V8811" i="13" s="1"/>
  <c r="Z8811" i="13" a="1"/>
  <c r="Z8811" i="13" s="1"/>
  <c r="AC8811" i="13" a="1"/>
  <c r="AC8811" i="13" s="1"/>
  <c r="P8812" i="13" a="1"/>
  <c r="P8812" i="13" s="1"/>
  <c r="AD8812" i="13" a="1"/>
  <c r="AD8812" i="13" s="1"/>
  <c r="AH8812" i="13" a="1"/>
  <c r="AH8812" i="13" s="1"/>
  <c r="G8814" i="13" a="1"/>
  <c r="G8814" i="13" s="1"/>
  <c r="U8814" i="13" a="1"/>
  <c r="U8814" i="13" s="1"/>
  <c r="AG8815" i="13" a="1"/>
  <c r="AG8815" i="13" s="1"/>
  <c r="AB8815" i="13" a="1"/>
  <c r="AB8815" i="13" s="1"/>
  <c r="Y8815" i="13" a="1"/>
  <c r="Y8815" i="13" s="1"/>
  <c r="T8815" i="13" a="1"/>
  <c r="T8815" i="13" s="1"/>
  <c r="Q8815" i="13" a="1"/>
  <c r="Q8815" i="13" s="1"/>
  <c r="L8815" i="13" a="1"/>
  <c r="L8815" i="13" s="1"/>
  <c r="I8815" i="13" a="1"/>
  <c r="I8815" i="13" s="1"/>
  <c r="H8815" i="13" a="1"/>
  <c r="H8815" i="13" s="1"/>
  <c r="K8815" i="13" a="1"/>
  <c r="K8815" i="13" s="1"/>
  <c r="O8815" i="13" a="1"/>
  <c r="O8815" i="13" s="1"/>
  <c r="V8815" i="13" a="1"/>
  <c r="V8815" i="13" s="1"/>
  <c r="Z8815" i="13" a="1"/>
  <c r="Z8815" i="13" s="1"/>
  <c r="AC8815" i="13" a="1"/>
  <c r="AC8815" i="13" s="1"/>
  <c r="P8816" i="13" a="1"/>
  <c r="P8816" i="13" s="1"/>
  <c r="AD8816" i="13" a="1"/>
  <c r="AD8816" i="13" s="1"/>
  <c r="AH8816" i="13" a="1"/>
  <c r="AH8816" i="13" s="1"/>
  <c r="G8818" i="13" a="1"/>
  <c r="G8818" i="13" s="1"/>
  <c r="K8818" i="13" a="1"/>
  <c r="K8818" i="13" s="1"/>
  <c r="O8818" i="13" a="1"/>
  <c r="O8818" i="13" s="1"/>
  <c r="Y8818" i="13" a="1"/>
  <c r="Y8818" i="13" s="1"/>
  <c r="AF8819" i="13" a="1"/>
  <c r="AF8819" i="13" s="1"/>
  <c r="AC8819" i="13" a="1"/>
  <c r="AC8819" i="13" s="1"/>
  <c r="X8819" i="13" a="1"/>
  <c r="X8819" i="13" s="1"/>
  <c r="U8819" i="13" a="1"/>
  <c r="U8819" i="13" s="1"/>
  <c r="P8819" i="13" a="1"/>
  <c r="P8819" i="13" s="1"/>
  <c r="M8819" i="13" a="1"/>
  <c r="M8819" i="13" s="1"/>
  <c r="H8819" i="13" a="1"/>
  <c r="H8819" i="13" s="1"/>
  <c r="E8819" i="13" a="1"/>
  <c r="E8819" i="13" s="1"/>
  <c r="AI8819" i="13" a="1"/>
  <c r="AI8819" i="13" s="1"/>
  <c r="AO8819" i="13" s="1" a="1"/>
  <c r="AO8819" i="13" s="1"/>
  <c r="AE8819" i="13" a="1"/>
  <c r="AE8819" i="13" s="1"/>
  <c r="AB8819" i="13" a="1"/>
  <c r="AB8819" i="13" s="1"/>
  <c r="Q8819" i="13" a="1"/>
  <c r="Q8819" i="13" s="1"/>
  <c r="N8819" i="13" a="1"/>
  <c r="N8819" i="13" s="1"/>
  <c r="J8819" i="13" a="1"/>
  <c r="J8819" i="13" s="1"/>
  <c r="I8819" i="13" a="1"/>
  <c r="I8819" i="13" s="1"/>
  <c r="S8819" i="13" a="1"/>
  <c r="S8819" i="13" s="1"/>
  <c r="W8819" i="13" a="1"/>
  <c r="W8819" i="13" s="1"/>
  <c r="AG8819" i="13" a="1"/>
  <c r="AG8819" i="13" s="1"/>
  <c r="O8822" i="13" a="1"/>
  <c r="O8822" i="13" s="1"/>
  <c r="I8823" i="13" a="1"/>
  <c r="I8823" i="13" s="1"/>
  <c r="K8826" i="13" a="1"/>
  <c r="K8826" i="13" s="1"/>
  <c r="AF8827" i="13" a="1"/>
  <c r="AF8827" i="13" s="1"/>
  <c r="AC8827" i="13" a="1"/>
  <c r="AC8827" i="13" s="1"/>
  <c r="X8827" i="13" a="1"/>
  <c r="X8827" i="13" s="1"/>
  <c r="U8827" i="13" a="1"/>
  <c r="U8827" i="13" s="1"/>
  <c r="P8827" i="13" a="1"/>
  <c r="P8827" i="13" s="1"/>
  <c r="M8827" i="13" a="1"/>
  <c r="M8827" i="13" s="1"/>
  <c r="H8827" i="13" a="1"/>
  <c r="H8827" i="13" s="1"/>
  <c r="E8827" i="13" a="1"/>
  <c r="E8827" i="13" s="1"/>
  <c r="Y8827" i="13" a="1"/>
  <c r="Y8827" i="13" s="1"/>
  <c r="V8827" i="13" a="1"/>
  <c r="V8827" i="13" s="1"/>
  <c r="R8827" i="13" a="1"/>
  <c r="R8827" i="13" s="1"/>
  <c r="K8827" i="13" a="1"/>
  <c r="K8827" i="13" s="1"/>
  <c r="G8827" i="13" a="1"/>
  <c r="G8827" i="13" s="1"/>
  <c r="AI8827" i="13" a="1"/>
  <c r="AI8827" i="13" s="1"/>
  <c r="AO8827" i="13" s="1" a="1"/>
  <c r="AO8827" i="13" s="1"/>
  <c r="AE8827" i="13" a="1"/>
  <c r="AE8827" i="13" s="1"/>
  <c r="AB8827" i="13" a="1"/>
  <c r="AB8827" i="13" s="1"/>
  <c r="Q8827" i="13" a="1"/>
  <c r="Q8827" i="13" s="1"/>
  <c r="N8827" i="13" a="1"/>
  <c r="N8827" i="13" s="1"/>
  <c r="J8827" i="13" a="1"/>
  <c r="J8827" i="13" s="1"/>
  <c r="L8827" i="13" a="1"/>
  <c r="L8827" i="13" s="1"/>
  <c r="S8827" i="13" a="1"/>
  <c r="S8827" i="13" s="1"/>
  <c r="Z8827" i="13" a="1"/>
  <c r="Z8827" i="13" s="1"/>
  <c r="AG8827" i="13" a="1"/>
  <c r="AG8827" i="13" s="1"/>
  <c r="L8831" i="13" a="1"/>
  <c r="L8831" i="13" s="1"/>
  <c r="Z8831" i="13" a="1"/>
  <c r="Z8831" i="13" s="1"/>
  <c r="I8834" i="13" a="1"/>
  <c r="I8834" i="13" s="1"/>
  <c r="AR670" i="13"/>
  <c r="AR622" i="13"/>
  <c r="P254" i="13"/>
  <c r="E391" i="13"/>
  <c r="M423" i="13"/>
  <c r="E425" i="13"/>
  <c r="AP629" i="13"/>
  <c r="E1595" i="13"/>
  <c r="E1596" i="13" s="1"/>
  <c r="F1679" i="13"/>
  <c r="F1677" i="13"/>
  <c r="N1675" i="13"/>
  <c r="N1676" i="13" s="1"/>
  <c r="L1828" i="13"/>
  <c r="AJ669" i="13"/>
  <c r="AJ668" i="13"/>
  <c r="AJ657" i="13"/>
  <c r="AJ655" i="13"/>
  <c r="AJ648" i="13"/>
  <c r="AJ647" i="13"/>
  <c r="AJ635" i="13"/>
  <c r="AJ629" i="13"/>
  <c r="AJ618" i="13"/>
  <c r="AJ617" i="13"/>
  <c r="E562" i="13" s="1"/>
  <c r="AJ610" i="13"/>
  <c r="AJ608" i="13"/>
  <c r="D243" i="13"/>
  <c r="K243" i="13"/>
  <c r="D415" i="13"/>
  <c r="O415" i="13"/>
  <c r="E420" i="13"/>
  <c r="N421" i="13"/>
  <c r="M422" i="13"/>
  <c r="E424" i="13"/>
  <c r="E556" i="13"/>
  <c r="AM605" i="13"/>
  <c r="AC608" i="13"/>
  <c r="AM608" i="13"/>
  <c r="AC609" i="13"/>
  <c r="AC613" i="13"/>
  <c r="AM616" i="13"/>
  <c r="AC619" i="13"/>
  <c r="AM621" i="13"/>
  <c r="AC624" i="13"/>
  <c r="AM625" i="13"/>
  <c r="AC627" i="13"/>
  <c r="AM630" i="13"/>
  <c r="AM631" i="13"/>
  <c r="AM632" i="13"/>
  <c r="AC636" i="13"/>
  <c r="AM639" i="13"/>
  <c r="AM642" i="13"/>
  <c r="AC644" i="13"/>
  <c r="AC649" i="13"/>
  <c r="H927" i="13"/>
  <c r="M1046" i="13"/>
  <c r="M1104" i="13"/>
  <c r="M1105" i="13" s="1"/>
  <c r="G1527" i="13"/>
  <c r="G1529" i="13" s="1"/>
  <c r="G1535" i="13" s="1"/>
  <c r="F1551" i="13"/>
  <c r="E1677" i="13"/>
  <c r="K1679" i="13"/>
  <c r="K1675" i="13"/>
  <c r="K1676" i="13" s="1"/>
  <c r="K1677" i="13"/>
  <c r="F1675" i="13"/>
  <c r="F1676" i="13" s="1"/>
  <c r="AL8805" i="13"/>
  <c r="AM8805" i="13" s="1"/>
  <c r="AN8805" i="13" s="1"/>
  <c r="AH8806" i="13" a="1"/>
  <c r="AH8806" i="13" s="1"/>
  <c r="AF8806" i="13" a="1"/>
  <c r="AF8806" i="13" s="1"/>
  <c r="AD8806" i="13" a="1"/>
  <c r="AD8806" i="13" s="1"/>
  <c r="AB8806" i="13" a="1"/>
  <c r="AB8806" i="13" s="1"/>
  <c r="Z8806" i="13" a="1"/>
  <c r="Z8806" i="13" s="1"/>
  <c r="X8806" i="13" a="1"/>
  <c r="X8806" i="13" s="1"/>
  <c r="V8806" i="13" a="1"/>
  <c r="V8806" i="13" s="1"/>
  <c r="T8806" i="13" a="1"/>
  <c r="T8806" i="13" s="1"/>
  <c r="R8806" i="13" a="1"/>
  <c r="R8806" i="13" s="1"/>
  <c r="P8806" i="13" a="1"/>
  <c r="P8806" i="13" s="1"/>
  <c r="N8806" i="13" a="1"/>
  <c r="N8806" i="13" s="1"/>
  <c r="L8806" i="13" a="1"/>
  <c r="L8806" i="13" s="1"/>
  <c r="J8806" i="13" a="1"/>
  <c r="J8806" i="13" s="1"/>
  <c r="H8806" i="13" a="1"/>
  <c r="H8806" i="13" s="1"/>
  <c r="F8806" i="13" a="1"/>
  <c r="F8806" i="13" s="1"/>
  <c r="AG8806" i="13" a="1"/>
  <c r="AG8806" i="13" s="1"/>
  <c r="Y8806" i="13" a="1"/>
  <c r="Y8806" i="13" s="1"/>
  <c r="Q8806" i="13" a="1"/>
  <c r="Q8806" i="13" s="1"/>
  <c r="I8806" i="13" a="1"/>
  <c r="I8806" i="13" s="1"/>
  <c r="K8806" i="13" a="1"/>
  <c r="K8806" i="13" s="1"/>
  <c r="O8806" i="13" a="1"/>
  <c r="O8806" i="13" s="1"/>
  <c r="AC8806" i="13" a="1"/>
  <c r="AC8806" i="13" s="1"/>
  <c r="AL8809" i="13"/>
  <c r="AM8809" i="13" s="1"/>
  <c r="AN8809" i="13" s="1"/>
  <c r="AH8810" i="13" a="1"/>
  <c r="AH8810" i="13" s="1"/>
  <c r="AF8810" i="13" a="1"/>
  <c r="AF8810" i="13" s="1"/>
  <c r="AD8810" i="13" a="1"/>
  <c r="AD8810" i="13" s="1"/>
  <c r="AB8810" i="13" a="1"/>
  <c r="AB8810" i="13" s="1"/>
  <c r="Z8810" i="13" a="1"/>
  <c r="Z8810" i="13" s="1"/>
  <c r="X8810" i="13" a="1"/>
  <c r="X8810" i="13" s="1"/>
  <c r="V8810" i="13" a="1"/>
  <c r="V8810" i="13" s="1"/>
  <c r="T8810" i="13" a="1"/>
  <c r="T8810" i="13" s="1"/>
  <c r="R8810" i="13" a="1"/>
  <c r="R8810" i="13" s="1"/>
  <c r="P8810" i="13" a="1"/>
  <c r="P8810" i="13" s="1"/>
  <c r="N8810" i="13" a="1"/>
  <c r="N8810" i="13" s="1"/>
  <c r="L8810" i="13" a="1"/>
  <c r="L8810" i="13" s="1"/>
  <c r="J8810" i="13" a="1"/>
  <c r="J8810" i="13" s="1"/>
  <c r="H8810" i="13" a="1"/>
  <c r="H8810" i="13" s="1"/>
  <c r="F8810" i="13" a="1"/>
  <c r="F8810" i="13" s="1"/>
  <c r="AG8810" i="13" a="1"/>
  <c r="AG8810" i="13" s="1"/>
  <c r="Y8810" i="13" a="1"/>
  <c r="Y8810" i="13" s="1"/>
  <c r="Q8810" i="13" a="1"/>
  <c r="Q8810" i="13" s="1"/>
  <c r="I8810" i="13" a="1"/>
  <c r="I8810" i="13" s="1"/>
  <c r="K8810" i="13" a="1"/>
  <c r="K8810" i="13" s="1"/>
  <c r="O8810" i="13" a="1"/>
  <c r="O8810" i="13" s="1"/>
  <c r="AC8810" i="13" a="1"/>
  <c r="AC8810" i="13" s="1"/>
  <c r="AL8813" i="13"/>
  <c r="AM8813" i="13" s="1"/>
  <c r="AN8813" i="13" s="1"/>
  <c r="AH8814" i="13" a="1"/>
  <c r="AH8814" i="13" s="1"/>
  <c r="AF8814" i="13" a="1"/>
  <c r="AF8814" i="13" s="1"/>
  <c r="AD8814" i="13" a="1"/>
  <c r="AD8814" i="13" s="1"/>
  <c r="AB8814" i="13" a="1"/>
  <c r="AB8814" i="13" s="1"/>
  <c r="Z8814" i="13" a="1"/>
  <c r="Z8814" i="13" s="1"/>
  <c r="X8814" i="13" a="1"/>
  <c r="X8814" i="13" s="1"/>
  <c r="V8814" i="13" a="1"/>
  <c r="V8814" i="13" s="1"/>
  <c r="T8814" i="13" a="1"/>
  <c r="T8814" i="13" s="1"/>
  <c r="R8814" i="13" a="1"/>
  <c r="R8814" i="13" s="1"/>
  <c r="P8814" i="13" a="1"/>
  <c r="P8814" i="13" s="1"/>
  <c r="N8814" i="13" a="1"/>
  <c r="N8814" i="13" s="1"/>
  <c r="L8814" i="13" a="1"/>
  <c r="L8814" i="13" s="1"/>
  <c r="J8814" i="13" a="1"/>
  <c r="J8814" i="13" s="1"/>
  <c r="H8814" i="13" a="1"/>
  <c r="H8814" i="13" s="1"/>
  <c r="F8814" i="13" a="1"/>
  <c r="F8814" i="13" s="1"/>
  <c r="AG8814" i="13" a="1"/>
  <c r="AG8814" i="13" s="1"/>
  <c r="Y8814" i="13" a="1"/>
  <c r="Y8814" i="13" s="1"/>
  <c r="Q8814" i="13" a="1"/>
  <c r="Q8814" i="13" s="1"/>
  <c r="I8814" i="13" a="1"/>
  <c r="I8814" i="13" s="1"/>
  <c r="K8814" i="13" a="1"/>
  <c r="K8814" i="13" s="1"/>
  <c r="O8814" i="13" a="1"/>
  <c r="O8814" i="13" s="1"/>
  <c r="AC8814" i="13" a="1"/>
  <c r="AC8814" i="13" s="1"/>
  <c r="AH8818" i="13" a="1"/>
  <c r="AH8818" i="13" s="1"/>
  <c r="AF8818" i="13" a="1"/>
  <c r="AF8818" i="13" s="1"/>
  <c r="AD8818" i="13" a="1"/>
  <c r="AD8818" i="13" s="1"/>
  <c r="AB8818" i="13" a="1"/>
  <c r="AB8818" i="13" s="1"/>
  <c r="Z8818" i="13" a="1"/>
  <c r="Z8818" i="13" s="1"/>
  <c r="X8818" i="13" a="1"/>
  <c r="X8818" i="13" s="1"/>
  <c r="V8818" i="13" a="1"/>
  <c r="V8818" i="13" s="1"/>
  <c r="T8818" i="13" a="1"/>
  <c r="T8818" i="13" s="1"/>
  <c r="R8818" i="13" a="1"/>
  <c r="R8818" i="13" s="1"/>
  <c r="P8818" i="13" a="1"/>
  <c r="P8818" i="13" s="1"/>
  <c r="N8818" i="13" a="1"/>
  <c r="N8818" i="13" s="1"/>
  <c r="L8818" i="13" a="1"/>
  <c r="L8818" i="13" s="1"/>
  <c r="J8818" i="13" a="1"/>
  <c r="J8818" i="13" s="1"/>
  <c r="H8818" i="13" a="1"/>
  <c r="H8818" i="13" s="1"/>
  <c r="F8818" i="13" a="1"/>
  <c r="F8818" i="13" s="1"/>
  <c r="AC8818" i="13" a="1"/>
  <c r="AC8818" i="13" s="1"/>
  <c r="U8818" i="13" a="1"/>
  <c r="U8818" i="13" s="1"/>
  <c r="M8818" i="13" a="1"/>
  <c r="M8818" i="13" s="1"/>
  <c r="AA8818" i="13" a="1"/>
  <c r="AA8818" i="13" s="1"/>
  <c r="W8818" i="13" a="1"/>
  <c r="W8818" i="13" s="1"/>
  <c r="I8818" i="13" a="1"/>
  <c r="I8818" i="13" s="1"/>
  <c r="Q8818" i="13" a="1"/>
  <c r="Q8818" i="13" s="1"/>
  <c r="AE8818" i="13" a="1"/>
  <c r="AE8818" i="13" s="1"/>
  <c r="AI8820" i="13" a="1"/>
  <c r="AI8820" i="13" s="1"/>
  <c r="AO8820" i="13" s="1" a="1"/>
  <c r="AO8820" i="13" s="1"/>
  <c r="AG8820" i="13" a="1"/>
  <c r="AG8820" i="13" s="1"/>
  <c r="AE8820" i="13" a="1"/>
  <c r="AE8820" i="13" s="1"/>
  <c r="AC8820" i="13" a="1"/>
  <c r="AC8820" i="13" s="1"/>
  <c r="AA8820" i="13" a="1"/>
  <c r="AA8820" i="13" s="1"/>
  <c r="Y8820" i="13" a="1"/>
  <c r="Y8820" i="13" s="1"/>
  <c r="W8820" i="13" a="1"/>
  <c r="W8820" i="13" s="1"/>
  <c r="U8820" i="13" a="1"/>
  <c r="U8820" i="13" s="1"/>
  <c r="S8820" i="13" a="1"/>
  <c r="S8820" i="13" s="1"/>
  <c r="Q8820" i="13" a="1"/>
  <c r="Q8820" i="13" s="1"/>
  <c r="O8820" i="13" a="1"/>
  <c r="O8820" i="13" s="1"/>
  <c r="M8820" i="13" a="1"/>
  <c r="M8820" i="13" s="1"/>
  <c r="K8820" i="13" a="1"/>
  <c r="K8820" i="13" s="1"/>
  <c r="I8820" i="13" a="1"/>
  <c r="I8820" i="13" s="1"/>
  <c r="G8820" i="13" a="1"/>
  <c r="G8820" i="13" s="1"/>
  <c r="E8820" i="13" a="1"/>
  <c r="E8820" i="13" s="1"/>
  <c r="AF8820" i="13" a="1"/>
  <c r="AF8820" i="13" s="1"/>
  <c r="X8820" i="13" a="1"/>
  <c r="X8820" i="13" s="1"/>
  <c r="P8820" i="13" a="1"/>
  <c r="P8820" i="13" s="1"/>
  <c r="H8820" i="13" a="1"/>
  <c r="H8820" i="13" s="1"/>
  <c r="V8820" i="13" a="1"/>
  <c r="V8820" i="13" s="1"/>
  <c r="R8820" i="13" a="1"/>
  <c r="R8820" i="13" s="1"/>
  <c r="N8820" i="13" a="1"/>
  <c r="N8820" i="13" s="1"/>
  <c r="AB8820" i="13" a="1"/>
  <c r="AB8820" i="13" s="1"/>
  <c r="K8822" i="13" a="1"/>
  <c r="K8822" i="13" s="1"/>
  <c r="Y8822" i="13" a="1"/>
  <c r="Y8822" i="13" s="1"/>
  <c r="AF8823" i="13" a="1"/>
  <c r="AF8823" i="13" s="1"/>
  <c r="AC8823" i="13" a="1"/>
  <c r="AC8823" i="13" s="1"/>
  <c r="X8823" i="13" a="1"/>
  <c r="X8823" i="13" s="1"/>
  <c r="U8823" i="13" a="1"/>
  <c r="U8823" i="13" s="1"/>
  <c r="P8823" i="13" a="1"/>
  <c r="P8823" i="13" s="1"/>
  <c r="M8823" i="13" a="1"/>
  <c r="M8823" i="13" s="1"/>
  <c r="H8823" i="13" a="1"/>
  <c r="H8823" i="13" s="1"/>
  <c r="E8823" i="13" a="1"/>
  <c r="E8823" i="13" s="1"/>
  <c r="Y8823" i="13" a="1"/>
  <c r="Y8823" i="13" s="1"/>
  <c r="V8823" i="13" a="1"/>
  <c r="V8823" i="13" s="1"/>
  <c r="R8823" i="13" a="1"/>
  <c r="R8823" i="13" s="1"/>
  <c r="K8823" i="13" a="1"/>
  <c r="K8823" i="13" s="1"/>
  <c r="G8823" i="13" a="1"/>
  <c r="G8823" i="13" s="1"/>
  <c r="AI8823" i="13" a="1"/>
  <c r="AI8823" i="13" s="1"/>
  <c r="AO8823" i="13" s="1" a="1"/>
  <c r="AO8823" i="13" s="1"/>
  <c r="AE8823" i="13" a="1"/>
  <c r="AE8823" i="13" s="1"/>
  <c r="AB8823" i="13" a="1"/>
  <c r="AB8823" i="13" s="1"/>
  <c r="Q8823" i="13" a="1"/>
  <c r="Q8823" i="13" s="1"/>
  <c r="N8823" i="13" a="1"/>
  <c r="N8823" i="13" s="1"/>
  <c r="J8823" i="13" a="1"/>
  <c r="J8823" i="13" s="1"/>
  <c r="L8823" i="13" a="1"/>
  <c r="L8823" i="13" s="1"/>
  <c r="S8823" i="13" a="1"/>
  <c r="S8823" i="13" s="1"/>
  <c r="Z8823" i="13" a="1"/>
  <c r="Z8823" i="13" s="1"/>
  <c r="AG8823" i="13" a="1"/>
  <c r="AG8823" i="13" s="1"/>
  <c r="AH8826" i="13" a="1"/>
  <c r="AH8826" i="13" s="1"/>
  <c r="AF8826" i="13" a="1"/>
  <c r="AF8826" i="13" s="1"/>
  <c r="AD8826" i="13" a="1"/>
  <c r="AD8826" i="13" s="1"/>
  <c r="AB8826" i="13" a="1"/>
  <c r="AB8826" i="13" s="1"/>
  <c r="Z8826" i="13" a="1"/>
  <c r="Z8826" i="13" s="1"/>
  <c r="X8826" i="13" a="1"/>
  <c r="X8826" i="13" s="1"/>
  <c r="V8826" i="13" a="1"/>
  <c r="V8826" i="13" s="1"/>
  <c r="T8826" i="13" a="1"/>
  <c r="T8826" i="13" s="1"/>
  <c r="R8826" i="13" a="1"/>
  <c r="R8826" i="13" s="1"/>
  <c r="P8826" i="13" a="1"/>
  <c r="P8826" i="13" s="1"/>
  <c r="N8826" i="13" a="1"/>
  <c r="N8826" i="13" s="1"/>
  <c r="L8826" i="13" a="1"/>
  <c r="L8826" i="13" s="1"/>
  <c r="J8826" i="13" a="1"/>
  <c r="J8826" i="13" s="1"/>
  <c r="H8826" i="13" a="1"/>
  <c r="H8826" i="13" s="1"/>
  <c r="F8826" i="13" a="1"/>
  <c r="F8826" i="13" s="1"/>
  <c r="AC8826" i="13" a="1"/>
  <c r="AC8826" i="13" s="1"/>
  <c r="U8826" i="13" a="1"/>
  <c r="U8826" i="13" s="1"/>
  <c r="M8826" i="13" a="1"/>
  <c r="M8826" i="13" s="1"/>
  <c r="E8826" i="13" a="1"/>
  <c r="E8826" i="13" s="1"/>
  <c r="AI8826" i="13" a="1"/>
  <c r="AI8826" i="13" s="1"/>
  <c r="AO8826" i="13" s="1" a="1"/>
  <c r="AO8826" i="13" s="1"/>
  <c r="AE8826" i="13" a="1"/>
  <c r="AE8826" i="13" s="1"/>
  <c r="Q8826" i="13" a="1"/>
  <c r="Q8826" i="13" s="1"/>
  <c r="AA8826" i="13" a="1"/>
  <c r="AA8826" i="13" s="1"/>
  <c r="W8826" i="13" a="1"/>
  <c r="W8826" i="13" s="1"/>
  <c r="I8826" i="13" a="1"/>
  <c r="I8826" i="13" s="1"/>
  <c r="S8826" i="13" a="1"/>
  <c r="S8826" i="13" s="1"/>
  <c r="AG8826" i="13" a="1"/>
  <c r="AG8826" i="13" s="1"/>
  <c r="O8831" i="13" a="1"/>
  <c r="O8831" i="13" s="1"/>
  <c r="AD8831" i="13" a="1"/>
  <c r="AD8831" i="13" s="1"/>
  <c r="AG8834" i="13" a="1"/>
  <c r="AG8834" i="13" s="1"/>
  <c r="AI8851" i="13" a="1"/>
  <c r="AI8851" i="13" s="1"/>
  <c r="AO8851" i="13" s="1" a="1"/>
  <c r="AO8851" i="13" s="1"/>
  <c r="AD8851" i="13" a="1"/>
  <c r="AD8851" i="13" s="1"/>
  <c r="AA8851" i="13" a="1"/>
  <c r="AA8851" i="13" s="1"/>
  <c r="V8851" i="13" a="1"/>
  <c r="V8851" i="13" s="1"/>
  <c r="S8851" i="13" a="1"/>
  <c r="S8851" i="13" s="1"/>
  <c r="N8851" i="13" a="1"/>
  <c r="N8851" i="13" s="1"/>
  <c r="K8851" i="13" a="1"/>
  <c r="K8851" i="13" s="1"/>
  <c r="F8851" i="13" a="1"/>
  <c r="F8851" i="13" s="1"/>
  <c r="AF8851" i="13" a="1"/>
  <c r="AF8851" i="13" s="1"/>
  <c r="Y8851" i="13" a="1"/>
  <c r="Y8851" i="13" s="1"/>
  <c r="U8851" i="13" a="1"/>
  <c r="U8851" i="13" s="1"/>
  <c r="R8851" i="13" a="1"/>
  <c r="R8851" i="13" s="1"/>
  <c r="G8851" i="13" a="1"/>
  <c r="G8851" i="13" s="1"/>
  <c r="AE8851" i="13" a="1"/>
  <c r="AE8851" i="13" s="1"/>
  <c r="Q8851" i="13" a="1"/>
  <c r="Q8851" i="13" s="1"/>
  <c r="H8851" i="13" a="1"/>
  <c r="H8851" i="13" s="1"/>
  <c r="Z8851" i="13" a="1"/>
  <c r="Z8851" i="13" s="1"/>
  <c r="P8851" i="13" a="1"/>
  <c r="P8851" i="13" s="1"/>
  <c r="L8851" i="13" a="1"/>
  <c r="L8851" i="13" s="1"/>
  <c r="AH8851" i="13" a="1"/>
  <c r="AH8851" i="13" s="1"/>
  <c r="AC8851" i="13" a="1"/>
  <c r="AC8851" i="13" s="1"/>
  <c r="X8851" i="13" a="1"/>
  <c r="X8851" i="13" s="1"/>
  <c r="T8851" i="13" a="1"/>
  <c r="T8851" i="13" s="1"/>
  <c r="O8851" i="13" a="1"/>
  <c r="O8851" i="13" s="1"/>
  <c r="J8851" i="13" a="1"/>
  <c r="J8851" i="13" s="1"/>
  <c r="E8851" i="13" a="1"/>
  <c r="E8851" i="13" s="1"/>
  <c r="AG8851" i="13" a="1"/>
  <c r="AG8851" i="13" s="1"/>
  <c r="M8851" i="13" a="1"/>
  <c r="M8851" i="13" s="1"/>
  <c r="AB8851" i="13" a="1"/>
  <c r="AB8851" i="13" s="1"/>
  <c r="I8851" i="13" a="1"/>
  <c r="I8851" i="13" s="1"/>
  <c r="AH8830" i="13" a="1"/>
  <c r="AH8830" i="13" s="1"/>
  <c r="AF8830" i="13" a="1"/>
  <c r="AF8830" i="13" s="1"/>
  <c r="AD8830" i="13" a="1"/>
  <c r="AD8830" i="13" s="1"/>
  <c r="AB8830" i="13" a="1"/>
  <c r="AB8830" i="13" s="1"/>
  <c r="Z8830" i="13" a="1"/>
  <c r="Z8830" i="13" s="1"/>
  <c r="X8830" i="13" a="1"/>
  <c r="X8830" i="13" s="1"/>
  <c r="V8830" i="13" a="1"/>
  <c r="V8830" i="13" s="1"/>
  <c r="T8830" i="13" a="1"/>
  <c r="T8830" i="13" s="1"/>
  <c r="R8830" i="13" a="1"/>
  <c r="R8830" i="13" s="1"/>
  <c r="P8830" i="13" a="1"/>
  <c r="P8830" i="13" s="1"/>
  <c r="N8830" i="13" a="1"/>
  <c r="N8830" i="13" s="1"/>
  <c r="L8830" i="13" a="1"/>
  <c r="L8830" i="13" s="1"/>
  <c r="J8830" i="13" a="1"/>
  <c r="J8830" i="13" s="1"/>
  <c r="H8830" i="13" a="1"/>
  <c r="H8830" i="13" s="1"/>
  <c r="F8830" i="13" a="1"/>
  <c r="F8830" i="13" s="1"/>
  <c r="AC8830" i="13" a="1"/>
  <c r="AC8830" i="13" s="1"/>
  <c r="U8830" i="13" a="1"/>
  <c r="U8830" i="13" s="1"/>
  <c r="M8830" i="13" a="1"/>
  <c r="M8830" i="13" s="1"/>
  <c r="E8830" i="13" a="1"/>
  <c r="E8830" i="13" s="1"/>
  <c r="O8830" i="13" a="1"/>
  <c r="O8830" i="13" s="1"/>
  <c r="S8830" i="13" a="1"/>
  <c r="S8830" i="13" s="1"/>
  <c r="AG8830" i="13" a="1"/>
  <c r="AG8830" i="13" s="1"/>
  <c r="AI8835" i="13" a="1"/>
  <c r="AI8835" i="13" s="1"/>
  <c r="AO8835" i="13" s="1" a="1"/>
  <c r="AO8835" i="13" s="1"/>
  <c r="AD8835" i="13" a="1"/>
  <c r="AD8835" i="13" s="1"/>
  <c r="AA8835" i="13" a="1"/>
  <c r="AA8835" i="13" s="1"/>
  <c r="V8835" i="13" a="1"/>
  <c r="V8835" i="13" s="1"/>
  <c r="S8835" i="13" a="1"/>
  <c r="S8835" i="13" s="1"/>
  <c r="N8835" i="13" a="1"/>
  <c r="N8835" i="13" s="1"/>
  <c r="K8835" i="13" a="1"/>
  <c r="K8835" i="13" s="1"/>
  <c r="F8835" i="13" a="1"/>
  <c r="F8835" i="13" s="1"/>
  <c r="AF8835" i="13" a="1"/>
  <c r="AF8835" i="13" s="1"/>
  <c r="Y8835" i="13" a="1"/>
  <c r="Y8835" i="13" s="1"/>
  <c r="U8835" i="13" a="1"/>
  <c r="U8835" i="13" s="1"/>
  <c r="R8835" i="13" a="1"/>
  <c r="R8835" i="13" s="1"/>
  <c r="G8835" i="13" a="1"/>
  <c r="G8835" i="13" s="1"/>
  <c r="I8835" i="13" a="1"/>
  <c r="I8835" i="13" s="1"/>
  <c r="M8835" i="13" a="1"/>
  <c r="M8835" i="13" s="1"/>
  <c r="W8835" i="13" a="1"/>
  <c r="W8835" i="13" s="1"/>
  <c r="AB8835" i="13" a="1"/>
  <c r="AB8835" i="13" s="1"/>
  <c r="AG8835" i="13" a="1"/>
  <c r="AG8835" i="13" s="1"/>
  <c r="AH8838" i="13" a="1"/>
  <c r="AH8838" i="13" s="1"/>
  <c r="AF8838" i="13" a="1"/>
  <c r="AF8838" i="13" s="1"/>
  <c r="AD8838" i="13" a="1"/>
  <c r="AD8838" i="13" s="1"/>
  <c r="AB8838" i="13" a="1"/>
  <c r="AB8838" i="13" s="1"/>
  <c r="Z8838" i="13" a="1"/>
  <c r="Z8838" i="13" s="1"/>
  <c r="X8838" i="13" a="1"/>
  <c r="X8838" i="13" s="1"/>
  <c r="V8838" i="13" a="1"/>
  <c r="V8838" i="13" s="1"/>
  <c r="T8838" i="13" a="1"/>
  <c r="T8838" i="13" s="1"/>
  <c r="R8838" i="13" a="1"/>
  <c r="R8838" i="13" s="1"/>
  <c r="P8838" i="13" a="1"/>
  <c r="P8838" i="13" s="1"/>
  <c r="N8838" i="13" a="1"/>
  <c r="N8838" i="13" s="1"/>
  <c r="L8838" i="13" a="1"/>
  <c r="L8838" i="13" s="1"/>
  <c r="J8838" i="13" a="1"/>
  <c r="J8838" i="13" s="1"/>
  <c r="H8838" i="13" a="1"/>
  <c r="H8838" i="13" s="1"/>
  <c r="F8838" i="13" a="1"/>
  <c r="F8838" i="13" s="1"/>
  <c r="AI8838" i="13" a="1"/>
  <c r="AI8838" i="13" s="1"/>
  <c r="AO8838" i="13" s="1" a="1"/>
  <c r="AO8838" i="13" s="1"/>
  <c r="AA8838" i="13" a="1"/>
  <c r="AA8838" i="13" s="1"/>
  <c r="S8838" i="13" a="1"/>
  <c r="S8838" i="13" s="1"/>
  <c r="K8838" i="13" a="1"/>
  <c r="K8838" i="13" s="1"/>
  <c r="Y8838" i="13" a="1"/>
  <c r="Y8838" i="13" s="1"/>
  <c r="U8838" i="13" a="1"/>
  <c r="U8838" i="13" s="1"/>
  <c r="G8838" i="13" a="1"/>
  <c r="G8838" i="13" s="1"/>
  <c r="AE8838" i="13" a="1"/>
  <c r="AE8838" i="13" s="1"/>
  <c r="Q8838" i="13" a="1"/>
  <c r="Q8838" i="13" s="1"/>
  <c r="M8838" i="13" a="1"/>
  <c r="M8838" i="13" s="1"/>
  <c r="W8838" i="13" a="1"/>
  <c r="W8838" i="13" s="1"/>
  <c r="I8838" i="13" a="1"/>
  <c r="I8838" i="13" s="1"/>
  <c r="E8838" i="13" a="1"/>
  <c r="E8838" i="13" s="1"/>
  <c r="AG8838" i="13" a="1"/>
  <c r="AG8838" i="13" s="1"/>
  <c r="G1161" i="13"/>
  <c r="K1161" i="13"/>
  <c r="O1161" i="13"/>
  <c r="S1161" i="13"/>
  <c r="W1161" i="13"/>
  <c r="AA1161" i="13"/>
  <c r="G1421" i="13"/>
  <c r="R8824" i="13" a="1"/>
  <c r="R8824" i="13" s="1"/>
  <c r="R8828" i="13" a="1"/>
  <c r="R8828" i="13" s="1"/>
  <c r="I8830" i="13" a="1"/>
  <c r="I8830" i="13" s="1"/>
  <c r="W8830" i="13" a="1"/>
  <c r="W8830" i="13" s="1"/>
  <c r="AA8830" i="13" a="1"/>
  <c r="AA8830" i="13" s="1"/>
  <c r="R8832" i="13" a="1"/>
  <c r="R8832" i="13" s="1"/>
  <c r="E8835" i="13" a="1"/>
  <c r="E8835" i="13" s="1"/>
  <c r="J8835" i="13" a="1"/>
  <c r="J8835" i="13" s="1"/>
  <c r="O8835" i="13" a="1"/>
  <c r="O8835" i="13" s="1"/>
  <c r="T8835" i="13" a="1"/>
  <c r="T8835" i="13" s="1"/>
  <c r="X8835" i="13" a="1"/>
  <c r="X8835" i="13" s="1"/>
  <c r="AC8835" i="13" a="1"/>
  <c r="AC8835" i="13" s="1"/>
  <c r="AH8835" i="13" a="1"/>
  <c r="AH8835" i="13" s="1"/>
  <c r="AH8854" i="13" a="1"/>
  <c r="AH8854" i="13" s="1"/>
  <c r="AF8854" i="13" a="1"/>
  <c r="AF8854" i="13" s="1"/>
  <c r="AD8854" i="13" a="1"/>
  <c r="AD8854" i="13" s="1"/>
  <c r="AB8854" i="13" a="1"/>
  <c r="AB8854" i="13" s="1"/>
  <c r="Z8854" i="13" a="1"/>
  <c r="Z8854" i="13" s="1"/>
  <c r="X8854" i="13" a="1"/>
  <c r="X8854" i="13" s="1"/>
  <c r="V8854" i="13" a="1"/>
  <c r="V8854" i="13" s="1"/>
  <c r="T8854" i="13" a="1"/>
  <c r="T8854" i="13" s="1"/>
  <c r="R8854" i="13" a="1"/>
  <c r="R8854" i="13" s="1"/>
  <c r="P8854" i="13" a="1"/>
  <c r="P8854" i="13" s="1"/>
  <c r="N8854" i="13" a="1"/>
  <c r="N8854" i="13" s="1"/>
  <c r="L8854" i="13" a="1"/>
  <c r="L8854" i="13" s="1"/>
  <c r="J8854" i="13" a="1"/>
  <c r="J8854" i="13" s="1"/>
  <c r="H8854" i="13" a="1"/>
  <c r="H8854" i="13" s="1"/>
  <c r="F8854" i="13" a="1"/>
  <c r="F8854" i="13" s="1"/>
  <c r="AI8854" i="13" a="1"/>
  <c r="AI8854" i="13" s="1"/>
  <c r="AO8854" i="13" s="1" a="1"/>
  <c r="AO8854" i="13" s="1"/>
  <c r="AA8854" i="13" a="1"/>
  <c r="AA8854" i="13" s="1"/>
  <c r="S8854" i="13" a="1"/>
  <c r="S8854" i="13" s="1"/>
  <c r="K8854" i="13" a="1"/>
  <c r="K8854" i="13" s="1"/>
  <c r="AE8854" i="13" a="1"/>
  <c r="AE8854" i="13" s="1"/>
  <c r="Q8854" i="13" a="1"/>
  <c r="Q8854" i="13" s="1"/>
  <c r="M8854" i="13" a="1"/>
  <c r="M8854" i="13" s="1"/>
  <c r="U8854" i="13" a="1"/>
  <c r="U8854" i="13" s="1"/>
  <c r="G8854" i="13" a="1"/>
  <c r="G8854" i="13" s="1"/>
  <c r="AC8854" i="13" a="1"/>
  <c r="AC8854" i="13" s="1"/>
  <c r="Y8854" i="13" a="1"/>
  <c r="Y8854" i="13" s="1"/>
  <c r="O8854" i="13" a="1"/>
  <c r="O8854" i="13" s="1"/>
  <c r="E8854" i="13" a="1"/>
  <c r="E8854" i="13" s="1"/>
  <c r="W8854" i="13" a="1"/>
  <c r="W8854" i="13" s="1"/>
  <c r="AI8824" i="13" a="1"/>
  <c r="AI8824" i="13" s="1"/>
  <c r="AO8824" i="13" s="1" a="1"/>
  <c r="AO8824" i="13" s="1"/>
  <c r="AG8824" i="13" a="1"/>
  <c r="AG8824" i="13" s="1"/>
  <c r="AE8824" i="13" a="1"/>
  <c r="AE8824" i="13" s="1"/>
  <c r="AC8824" i="13" a="1"/>
  <c r="AC8824" i="13" s="1"/>
  <c r="AA8824" i="13" a="1"/>
  <c r="AA8824" i="13" s="1"/>
  <c r="Y8824" i="13" a="1"/>
  <c r="Y8824" i="13" s="1"/>
  <c r="W8824" i="13" a="1"/>
  <c r="W8824" i="13" s="1"/>
  <c r="U8824" i="13" a="1"/>
  <c r="U8824" i="13" s="1"/>
  <c r="S8824" i="13" a="1"/>
  <c r="S8824" i="13" s="1"/>
  <c r="Q8824" i="13" a="1"/>
  <c r="Q8824" i="13" s="1"/>
  <c r="O8824" i="13" a="1"/>
  <c r="O8824" i="13" s="1"/>
  <c r="M8824" i="13" a="1"/>
  <c r="M8824" i="13" s="1"/>
  <c r="K8824" i="13" a="1"/>
  <c r="K8824" i="13" s="1"/>
  <c r="I8824" i="13" a="1"/>
  <c r="I8824" i="13" s="1"/>
  <c r="G8824" i="13" a="1"/>
  <c r="G8824" i="13" s="1"/>
  <c r="E8824" i="13" a="1"/>
  <c r="E8824" i="13" s="1"/>
  <c r="AF8824" i="13" a="1"/>
  <c r="AF8824" i="13" s="1"/>
  <c r="X8824" i="13" a="1"/>
  <c r="X8824" i="13" s="1"/>
  <c r="P8824" i="13" a="1"/>
  <c r="P8824" i="13" s="1"/>
  <c r="H8824" i="13" a="1"/>
  <c r="H8824" i="13" s="1"/>
  <c r="L8824" i="13" a="1"/>
  <c r="L8824" i="13" s="1"/>
  <c r="Z8824" i="13" a="1"/>
  <c r="Z8824" i="13" s="1"/>
  <c r="AD8824" i="13" a="1"/>
  <c r="AD8824" i="13" s="1"/>
  <c r="AI8828" i="13" a="1"/>
  <c r="AI8828" i="13" s="1"/>
  <c r="AO8828" i="13" s="1" a="1"/>
  <c r="AO8828" i="13" s="1"/>
  <c r="AG8828" i="13" a="1"/>
  <c r="AG8828" i="13" s="1"/>
  <c r="AE8828" i="13" a="1"/>
  <c r="AE8828" i="13" s="1"/>
  <c r="AC8828" i="13" a="1"/>
  <c r="AC8828" i="13" s="1"/>
  <c r="AA8828" i="13" a="1"/>
  <c r="AA8828" i="13" s="1"/>
  <c r="Y8828" i="13" a="1"/>
  <c r="Y8828" i="13" s="1"/>
  <c r="W8828" i="13" a="1"/>
  <c r="W8828" i="13" s="1"/>
  <c r="U8828" i="13" a="1"/>
  <c r="U8828" i="13" s="1"/>
  <c r="S8828" i="13" a="1"/>
  <c r="S8828" i="13" s="1"/>
  <c r="Q8828" i="13" a="1"/>
  <c r="Q8828" i="13" s="1"/>
  <c r="O8828" i="13" a="1"/>
  <c r="O8828" i="13" s="1"/>
  <c r="M8828" i="13" a="1"/>
  <c r="M8828" i="13" s="1"/>
  <c r="K8828" i="13" a="1"/>
  <c r="K8828" i="13" s="1"/>
  <c r="I8828" i="13" a="1"/>
  <c r="I8828" i="13" s="1"/>
  <c r="G8828" i="13" a="1"/>
  <c r="G8828" i="13" s="1"/>
  <c r="E8828" i="13" a="1"/>
  <c r="E8828" i="13" s="1"/>
  <c r="AF8828" i="13" a="1"/>
  <c r="AF8828" i="13" s="1"/>
  <c r="X8828" i="13" a="1"/>
  <c r="X8828" i="13" s="1"/>
  <c r="P8828" i="13" a="1"/>
  <c r="P8828" i="13" s="1"/>
  <c r="H8828" i="13" a="1"/>
  <c r="H8828" i="13" s="1"/>
  <c r="L8828" i="13" a="1"/>
  <c r="L8828" i="13" s="1"/>
  <c r="Z8828" i="13" a="1"/>
  <c r="Z8828" i="13" s="1"/>
  <c r="AD8828" i="13" a="1"/>
  <c r="AD8828" i="13" s="1"/>
  <c r="Q8830" i="13" a="1"/>
  <c r="Q8830" i="13" s="1"/>
  <c r="AE8830" i="13" a="1"/>
  <c r="AE8830" i="13" s="1"/>
  <c r="AI8830" i="13" a="1"/>
  <c r="AI8830" i="13" s="1"/>
  <c r="AO8830" i="13" s="1" a="1"/>
  <c r="AO8830" i="13" s="1"/>
  <c r="AI8832" i="13" a="1"/>
  <c r="AI8832" i="13" s="1"/>
  <c r="AO8832" i="13" s="1" a="1"/>
  <c r="AO8832" i="13" s="1"/>
  <c r="AG8832" i="13" a="1"/>
  <c r="AG8832" i="13" s="1"/>
  <c r="AE8832" i="13" a="1"/>
  <c r="AE8832" i="13" s="1"/>
  <c r="AC8832" i="13" a="1"/>
  <c r="AC8832" i="13" s="1"/>
  <c r="AA8832" i="13" a="1"/>
  <c r="AA8832" i="13" s="1"/>
  <c r="Y8832" i="13" a="1"/>
  <c r="Y8832" i="13" s="1"/>
  <c r="W8832" i="13" a="1"/>
  <c r="W8832" i="13" s="1"/>
  <c r="U8832" i="13" a="1"/>
  <c r="U8832" i="13" s="1"/>
  <c r="S8832" i="13" a="1"/>
  <c r="S8832" i="13" s="1"/>
  <c r="Q8832" i="13" a="1"/>
  <c r="Q8832" i="13" s="1"/>
  <c r="O8832" i="13" a="1"/>
  <c r="O8832" i="13" s="1"/>
  <c r="M8832" i="13" a="1"/>
  <c r="M8832" i="13" s="1"/>
  <c r="K8832" i="13" a="1"/>
  <c r="K8832" i="13" s="1"/>
  <c r="I8832" i="13" a="1"/>
  <c r="I8832" i="13" s="1"/>
  <c r="G8832" i="13" a="1"/>
  <c r="G8832" i="13" s="1"/>
  <c r="E8832" i="13" a="1"/>
  <c r="E8832" i="13" s="1"/>
  <c r="AF8832" i="13" a="1"/>
  <c r="AF8832" i="13" s="1"/>
  <c r="X8832" i="13" a="1"/>
  <c r="X8832" i="13" s="1"/>
  <c r="P8832" i="13" a="1"/>
  <c r="P8832" i="13" s="1"/>
  <c r="H8832" i="13" a="1"/>
  <c r="H8832" i="13" s="1"/>
  <c r="L8832" i="13" a="1"/>
  <c r="L8832" i="13" s="1"/>
  <c r="Z8832" i="13" a="1"/>
  <c r="Z8832" i="13" s="1"/>
  <c r="AD8832" i="13" a="1"/>
  <c r="AD8832" i="13" s="1"/>
  <c r="L8835" i="13" a="1"/>
  <c r="L8835" i="13" s="1"/>
  <c r="P8835" i="13" a="1"/>
  <c r="P8835" i="13" s="1"/>
  <c r="Z8835" i="13" a="1"/>
  <c r="Z8835" i="13" s="1"/>
  <c r="AL8845" i="13"/>
  <c r="AM8845" i="13" s="1"/>
  <c r="AN8845" i="13" s="1"/>
  <c r="AK8849" i="13"/>
  <c r="AL8849" i="13" s="1"/>
  <c r="AM8849" i="13" s="1"/>
  <c r="AN8849" i="13" s="1"/>
  <c r="J8839" i="13" a="1"/>
  <c r="J8839" i="13" s="1"/>
  <c r="M8839" i="13" a="1"/>
  <c r="M8839" i="13" s="1"/>
  <c r="Q8839" i="13" a="1"/>
  <c r="Q8839" i="13" s="1"/>
  <c r="X8839" i="13" a="1"/>
  <c r="X8839" i="13" s="1"/>
  <c r="AB8839" i="13" a="1"/>
  <c r="AB8839" i="13" s="1"/>
  <c r="AE8839" i="13" a="1"/>
  <c r="AE8839" i="13" s="1"/>
  <c r="AH8842" i="13" a="1"/>
  <c r="AH8842" i="13" s="1"/>
  <c r="AF8842" i="13" a="1"/>
  <c r="AF8842" i="13" s="1"/>
  <c r="AD8842" i="13" a="1"/>
  <c r="AD8842" i="13" s="1"/>
  <c r="AB8842" i="13" a="1"/>
  <c r="AB8842" i="13" s="1"/>
  <c r="Z8842" i="13" a="1"/>
  <c r="Z8842" i="13" s="1"/>
  <c r="X8842" i="13" a="1"/>
  <c r="X8842" i="13" s="1"/>
  <c r="V8842" i="13" a="1"/>
  <c r="V8842" i="13" s="1"/>
  <c r="T8842" i="13" a="1"/>
  <c r="T8842" i="13" s="1"/>
  <c r="R8842" i="13" a="1"/>
  <c r="R8842" i="13" s="1"/>
  <c r="P8842" i="13" a="1"/>
  <c r="P8842" i="13" s="1"/>
  <c r="N8842" i="13" a="1"/>
  <c r="N8842" i="13" s="1"/>
  <c r="L8842" i="13" a="1"/>
  <c r="L8842" i="13" s="1"/>
  <c r="J8842" i="13" a="1"/>
  <c r="J8842" i="13" s="1"/>
  <c r="H8842" i="13" a="1"/>
  <c r="H8842" i="13" s="1"/>
  <c r="F8842" i="13" a="1"/>
  <c r="F8842" i="13" s="1"/>
  <c r="AI8842" i="13" a="1"/>
  <c r="AI8842" i="13" s="1"/>
  <c r="AO8842" i="13" s="1" a="1"/>
  <c r="AO8842" i="13" s="1"/>
  <c r="AA8842" i="13" a="1"/>
  <c r="AA8842" i="13" s="1"/>
  <c r="S8842" i="13" a="1"/>
  <c r="S8842" i="13" s="1"/>
  <c r="K8842" i="13" a="1"/>
  <c r="K8842" i="13" s="1"/>
  <c r="AE8842" i="13" a="1"/>
  <c r="AE8842" i="13" s="1"/>
  <c r="Q8842" i="13" a="1"/>
  <c r="Q8842" i="13" s="1"/>
  <c r="M8842" i="13" a="1"/>
  <c r="M8842" i="13" s="1"/>
  <c r="I8842" i="13" a="1"/>
  <c r="I8842" i="13" s="1"/>
  <c r="W8842" i="13" a="1"/>
  <c r="W8842" i="13" s="1"/>
  <c r="AG8842" i="13" a="1"/>
  <c r="AG8842" i="13" s="1"/>
  <c r="L8847" i="13" a="1"/>
  <c r="L8847" i="13" s="1"/>
  <c r="P8847" i="13" a="1"/>
  <c r="P8847" i="13" s="1"/>
  <c r="Z8847" i="13" a="1"/>
  <c r="Z8847" i="13" s="1"/>
  <c r="G8850" i="13" a="1"/>
  <c r="G8850" i="13" s="1"/>
  <c r="AI8855" i="13" a="1"/>
  <c r="AI8855" i="13" s="1"/>
  <c r="AO8855" i="13" s="1" a="1"/>
  <c r="AO8855" i="13" s="1"/>
  <c r="AD8855" i="13" a="1"/>
  <c r="AD8855" i="13" s="1"/>
  <c r="AA8855" i="13" a="1"/>
  <c r="AA8855" i="13" s="1"/>
  <c r="V8855" i="13" a="1"/>
  <c r="V8855" i="13" s="1"/>
  <c r="S8855" i="13" a="1"/>
  <c r="S8855" i="13" s="1"/>
  <c r="N8855" i="13" a="1"/>
  <c r="N8855" i="13" s="1"/>
  <c r="K8855" i="13" a="1"/>
  <c r="K8855" i="13" s="1"/>
  <c r="F8855" i="13" a="1"/>
  <c r="F8855" i="13" s="1"/>
  <c r="AF8855" i="13" a="1"/>
  <c r="AF8855" i="13" s="1"/>
  <c r="Y8855" i="13" a="1"/>
  <c r="Y8855" i="13" s="1"/>
  <c r="U8855" i="13" a="1"/>
  <c r="U8855" i="13" s="1"/>
  <c r="R8855" i="13" a="1"/>
  <c r="R8855" i="13" s="1"/>
  <c r="G8855" i="13" a="1"/>
  <c r="G8855" i="13" s="1"/>
  <c r="I8855" i="13" a="1"/>
  <c r="I8855" i="13" s="1"/>
  <c r="M8855" i="13" a="1"/>
  <c r="M8855" i="13" s="1"/>
  <c r="W8855" i="13" a="1"/>
  <c r="W8855" i="13" s="1"/>
  <c r="AB8855" i="13" a="1"/>
  <c r="AB8855" i="13" s="1"/>
  <c r="AG8855" i="13" a="1"/>
  <c r="AG8855" i="13" s="1"/>
  <c r="AI8836" i="13" a="1"/>
  <c r="AI8836" i="13" s="1"/>
  <c r="AO8836" i="13" s="1" a="1"/>
  <c r="AO8836" i="13" s="1"/>
  <c r="AG8836" i="13" a="1"/>
  <c r="AG8836" i="13" s="1"/>
  <c r="AE8836" i="13" a="1"/>
  <c r="AE8836" i="13" s="1"/>
  <c r="AC8836" i="13" a="1"/>
  <c r="AC8836" i="13" s="1"/>
  <c r="AA8836" i="13" a="1"/>
  <c r="AA8836" i="13" s="1"/>
  <c r="Y8836" i="13" a="1"/>
  <c r="Y8836" i="13" s="1"/>
  <c r="W8836" i="13" a="1"/>
  <c r="W8836" i="13" s="1"/>
  <c r="U8836" i="13" a="1"/>
  <c r="U8836" i="13" s="1"/>
  <c r="S8836" i="13" a="1"/>
  <c r="S8836" i="13" s="1"/>
  <c r="Q8836" i="13" a="1"/>
  <c r="Q8836" i="13" s="1"/>
  <c r="O8836" i="13" a="1"/>
  <c r="O8836" i="13" s="1"/>
  <c r="M8836" i="13" a="1"/>
  <c r="M8836" i="13" s="1"/>
  <c r="K8836" i="13" a="1"/>
  <c r="K8836" i="13" s="1"/>
  <c r="I8836" i="13" a="1"/>
  <c r="I8836" i="13" s="1"/>
  <c r="G8836" i="13" a="1"/>
  <c r="G8836" i="13" s="1"/>
  <c r="E8836" i="13" a="1"/>
  <c r="E8836" i="13" s="1"/>
  <c r="AD8836" i="13" a="1"/>
  <c r="AD8836" i="13" s="1"/>
  <c r="V8836" i="13" a="1"/>
  <c r="V8836" i="13" s="1"/>
  <c r="N8836" i="13" a="1"/>
  <c r="N8836" i="13" s="1"/>
  <c r="F8836" i="13" a="1"/>
  <c r="F8836" i="13" s="1"/>
  <c r="H8836" i="13" a="1"/>
  <c r="H8836" i="13" s="1"/>
  <c r="L8836" i="13" a="1"/>
  <c r="L8836" i="13" s="1"/>
  <c r="Z8836" i="13" a="1"/>
  <c r="Z8836" i="13" s="1"/>
  <c r="G8839" i="13" a="1"/>
  <c r="G8839" i="13" s="1"/>
  <c r="R8839" i="13" a="1"/>
  <c r="R8839" i="13" s="1"/>
  <c r="U8839" i="13" a="1"/>
  <c r="U8839" i="13" s="1"/>
  <c r="Y8839" i="13" a="1"/>
  <c r="Y8839" i="13" s="1"/>
  <c r="AI8840" i="13" a="1"/>
  <c r="AI8840" i="13" s="1"/>
  <c r="AO8840" i="13" s="1" a="1"/>
  <c r="AO8840" i="13" s="1"/>
  <c r="AG8840" i="13" a="1"/>
  <c r="AG8840" i="13" s="1"/>
  <c r="AE8840" i="13" a="1"/>
  <c r="AE8840" i="13" s="1"/>
  <c r="AC8840" i="13" a="1"/>
  <c r="AC8840" i="13" s="1"/>
  <c r="AA8840" i="13" a="1"/>
  <c r="AA8840" i="13" s="1"/>
  <c r="Y8840" i="13" a="1"/>
  <c r="Y8840" i="13" s="1"/>
  <c r="W8840" i="13" a="1"/>
  <c r="W8840" i="13" s="1"/>
  <c r="U8840" i="13" a="1"/>
  <c r="U8840" i="13" s="1"/>
  <c r="S8840" i="13" a="1"/>
  <c r="S8840" i="13" s="1"/>
  <c r="Q8840" i="13" a="1"/>
  <c r="Q8840" i="13" s="1"/>
  <c r="O8840" i="13" a="1"/>
  <c r="O8840" i="13" s="1"/>
  <c r="M8840" i="13" a="1"/>
  <c r="M8840" i="13" s="1"/>
  <c r="K8840" i="13" a="1"/>
  <c r="K8840" i="13" s="1"/>
  <c r="I8840" i="13" a="1"/>
  <c r="I8840" i="13" s="1"/>
  <c r="G8840" i="13" a="1"/>
  <c r="G8840" i="13" s="1"/>
  <c r="E8840" i="13" a="1"/>
  <c r="E8840" i="13" s="1"/>
  <c r="AD8840" i="13" a="1"/>
  <c r="AD8840" i="13" s="1"/>
  <c r="V8840" i="13" a="1"/>
  <c r="V8840" i="13" s="1"/>
  <c r="N8840" i="13" a="1"/>
  <c r="N8840" i="13" s="1"/>
  <c r="F8840" i="13" a="1"/>
  <c r="F8840" i="13" s="1"/>
  <c r="H8840" i="13" a="1"/>
  <c r="H8840" i="13" s="1"/>
  <c r="L8840" i="13" a="1"/>
  <c r="L8840" i="13" s="1"/>
  <c r="Z8840" i="13" a="1"/>
  <c r="Z8840" i="13" s="1"/>
  <c r="E8842" i="13" a="1"/>
  <c r="E8842" i="13" s="1"/>
  <c r="O8842" i="13" a="1"/>
  <c r="O8842" i="13" s="1"/>
  <c r="Y8842" i="13" a="1"/>
  <c r="Y8842" i="13" s="1"/>
  <c r="AC8842" i="13" a="1"/>
  <c r="AC8842" i="13" s="1"/>
  <c r="AI8843" i="13" a="1"/>
  <c r="AI8843" i="13" s="1"/>
  <c r="AO8843" i="13" s="1" a="1"/>
  <c r="AO8843" i="13" s="1"/>
  <c r="AD8843" i="13" a="1"/>
  <c r="AD8843" i="13" s="1"/>
  <c r="AA8843" i="13" a="1"/>
  <c r="AA8843" i="13" s="1"/>
  <c r="V8843" i="13" a="1"/>
  <c r="V8843" i="13" s="1"/>
  <c r="S8843" i="13" a="1"/>
  <c r="S8843" i="13" s="1"/>
  <c r="N8843" i="13" a="1"/>
  <c r="N8843" i="13" s="1"/>
  <c r="K8843" i="13" a="1"/>
  <c r="K8843" i="13" s="1"/>
  <c r="F8843" i="13" a="1"/>
  <c r="F8843" i="13" s="1"/>
  <c r="AF8843" i="13" a="1"/>
  <c r="AF8843" i="13" s="1"/>
  <c r="Y8843" i="13" a="1"/>
  <c r="Y8843" i="13" s="1"/>
  <c r="U8843" i="13" a="1"/>
  <c r="U8843" i="13" s="1"/>
  <c r="R8843" i="13" a="1"/>
  <c r="R8843" i="13" s="1"/>
  <c r="G8843" i="13" a="1"/>
  <c r="G8843" i="13" s="1"/>
  <c r="I8843" i="13" a="1"/>
  <c r="I8843" i="13" s="1"/>
  <c r="M8843" i="13" a="1"/>
  <c r="M8843" i="13" s="1"/>
  <c r="W8843" i="13" a="1"/>
  <c r="W8843" i="13" s="1"/>
  <c r="AB8843" i="13" a="1"/>
  <c r="AB8843" i="13" s="1"/>
  <c r="AG8843" i="13" a="1"/>
  <c r="AG8843" i="13" s="1"/>
  <c r="AH8846" i="13" a="1"/>
  <c r="AH8846" i="13" s="1"/>
  <c r="AF8846" i="13" a="1"/>
  <c r="AF8846" i="13" s="1"/>
  <c r="AD8846" i="13" a="1"/>
  <c r="AD8846" i="13" s="1"/>
  <c r="AB8846" i="13" a="1"/>
  <c r="AB8846" i="13" s="1"/>
  <c r="Z8846" i="13" a="1"/>
  <c r="Z8846" i="13" s="1"/>
  <c r="X8846" i="13" a="1"/>
  <c r="X8846" i="13" s="1"/>
  <c r="V8846" i="13" a="1"/>
  <c r="V8846" i="13" s="1"/>
  <c r="T8846" i="13" a="1"/>
  <c r="T8846" i="13" s="1"/>
  <c r="R8846" i="13" a="1"/>
  <c r="R8846" i="13" s="1"/>
  <c r="P8846" i="13" a="1"/>
  <c r="P8846" i="13" s="1"/>
  <c r="N8846" i="13" a="1"/>
  <c r="N8846" i="13" s="1"/>
  <c r="L8846" i="13" a="1"/>
  <c r="L8846" i="13" s="1"/>
  <c r="J8846" i="13" a="1"/>
  <c r="J8846" i="13" s="1"/>
  <c r="H8846" i="13" a="1"/>
  <c r="H8846" i="13" s="1"/>
  <c r="F8846" i="13" a="1"/>
  <c r="F8846" i="13" s="1"/>
  <c r="AI8846" i="13" a="1"/>
  <c r="AI8846" i="13" s="1"/>
  <c r="AO8846" i="13" s="1" a="1"/>
  <c r="AO8846" i="13" s="1"/>
  <c r="AA8846" i="13" a="1"/>
  <c r="AA8846" i="13" s="1"/>
  <c r="S8846" i="13" a="1"/>
  <c r="S8846" i="13" s="1"/>
  <c r="K8846" i="13" a="1"/>
  <c r="K8846" i="13" s="1"/>
  <c r="AE8846" i="13" a="1"/>
  <c r="AE8846" i="13" s="1"/>
  <c r="Q8846" i="13" a="1"/>
  <c r="Q8846" i="13" s="1"/>
  <c r="M8846" i="13" a="1"/>
  <c r="M8846" i="13" s="1"/>
  <c r="I8846" i="13" a="1"/>
  <c r="I8846" i="13" s="1"/>
  <c r="W8846" i="13" a="1"/>
  <c r="W8846" i="13" s="1"/>
  <c r="AG8846" i="13" a="1"/>
  <c r="AG8846" i="13" s="1"/>
  <c r="H8847" i="13" a="1"/>
  <c r="H8847" i="13" s="1"/>
  <c r="Q8847" i="13" a="1"/>
  <c r="Q8847" i="13" s="1"/>
  <c r="E8855" i="13" a="1"/>
  <c r="E8855" i="13" s="1"/>
  <c r="J8855" i="13" a="1"/>
  <c r="J8855" i="13" s="1"/>
  <c r="O8855" i="13" a="1"/>
  <c r="O8855" i="13" s="1"/>
  <c r="T8855" i="13" a="1"/>
  <c r="T8855" i="13" s="1"/>
  <c r="X8855" i="13" a="1"/>
  <c r="X8855" i="13" s="1"/>
  <c r="AC8855" i="13" a="1"/>
  <c r="AC8855" i="13" s="1"/>
  <c r="AH8855" i="13" a="1"/>
  <c r="AH8855" i="13" s="1"/>
  <c r="AL8858" i="13"/>
  <c r="AM8858" i="13" s="1"/>
  <c r="AN8858" i="13" s="1"/>
  <c r="AK8886" i="13"/>
  <c r="AL8886" i="13" s="1"/>
  <c r="AM8886" i="13" s="1"/>
  <c r="AN8886" i="13" s="1"/>
  <c r="AI8839" i="13" a="1"/>
  <c r="AI8839" i="13" s="1"/>
  <c r="AO8839" i="13" s="1" a="1"/>
  <c r="AO8839" i="13" s="1"/>
  <c r="AD8839" i="13" a="1"/>
  <c r="AD8839" i="13" s="1"/>
  <c r="AA8839" i="13" a="1"/>
  <c r="AA8839" i="13" s="1"/>
  <c r="V8839" i="13" a="1"/>
  <c r="V8839" i="13" s="1"/>
  <c r="S8839" i="13" a="1"/>
  <c r="S8839" i="13" s="1"/>
  <c r="N8839" i="13" a="1"/>
  <c r="N8839" i="13" s="1"/>
  <c r="K8839" i="13" a="1"/>
  <c r="K8839" i="13" s="1"/>
  <c r="F8839" i="13" a="1"/>
  <c r="F8839" i="13" s="1"/>
  <c r="H8839" i="13" a="1"/>
  <c r="H8839" i="13" s="1"/>
  <c r="L8839" i="13" a="1"/>
  <c r="L8839" i="13" s="1"/>
  <c r="O8839" i="13" a="1"/>
  <c r="O8839" i="13" s="1"/>
  <c r="Z8839" i="13" a="1"/>
  <c r="Z8839" i="13" s="1"/>
  <c r="AC8839" i="13" a="1"/>
  <c r="AC8839" i="13" s="1"/>
  <c r="AG8839" i="13" a="1"/>
  <c r="AG8839" i="13" s="1"/>
  <c r="AI8847" i="13" a="1"/>
  <c r="AI8847" i="13" s="1"/>
  <c r="AO8847" i="13" s="1" a="1"/>
  <c r="AO8847" i="13" s="1"/>
  <c r="AD8847" i="13" a="1"/>
  <c r="AD8847" i="13" s="1"/>
  <c r="AA8847" i="13" a="1"/>
  <c r="AA8847" i="13" s="1"/>
  <c r="V8847" i="13" a="1"/>
  <c r="V8847" i="13" s="1"/>
  <c r="S8847" i="13" a="1"/>
  <c r="S8847" i="13" s="1"/>
  <c r="N8847" i="13" a="1"/>
  <c r="N8847" i="13" s="1"/>
  <c r="K8847" i="13" a="1"/>
  <c r="K8847" i="13" s="1"/>
  <c r="F8847" i="13" a="1"/>
  <c r="F8847" i="13" s="1"/>
  <c r="AF8847" i="13" a="1"/>
  <c r="AF8847" i="13" s="1"/>
  <c r="Y8847" i="13" a="1"/>
  <c r="Y8847" i="13" s="1"/>
  <c r="U8847" i="13" a="1"/>
  <c r="U8847" i="13" s="1"/>
  <c r="R8847" i="13" a="1"/>
  <c r="R8847" i="13" s="1"/>
  <c r="G8847" i="13" a="1"/>
  <c r="G8847" i="13" s="1"/>
  <c r="I8847" i="13" a="1"/>
  <c r="I8847" i="13" s="1"/>
  <c r="M8847" i="13" a="1"/>
  <c r="M8847" i="13" s="1"/>
  <c r="W8847" i="13" a="1"/>
  <c r="W8847" i="13" s="1"/>
  <c r="AB8847" i="13" a="1"/>
  <c r="AB8847" i="13" s="1"/>
  <c r="AG8847" i="13" a="1"/>
  <c r="AG8847" i="13" s="1"/>
  <c r="AH8850" i="13" a="1"/>
  <c r="AH8850" i="13" s="1"/>
  <c r="AF8850" i="13" a="1"/>
  <c r="AF8850" i="13" s="1"/>
  <c r="AD8850" i="13" a="1"/>
  <c r="AD8850" i="13" s="1"/>
  <c r="AB8850" i="13" a="1"/>
  <c r="AB8850" i="13" s="1"/>
  <c r="Z8850" i="13" a="1"/>
  <c r="Z8850" i="13" s="1"/>
  <c r="X8850" i="13" a="1"/>
  <c r="X8850" i="13" s="1"/>
  <c r="V8850" i="13" a="1"/>
  <c r="V8850" i="13" s="1"/>
  <c r="T8850" i="13" a="1"/>
  <c r="T8850" i="13" s="1"/>
  <c r="R8850" i="13" a="1"/>
  <c r="R8850" i="13" s="1"/>
  <c r="P8850" i="13" a="1"/>
  <c r="P8850" i="13" s="1"/>
  <c r="N8850" i="13" a="1"/>
  <c r="N8850" i="13" s="1"/>
  <c r="L8850" i="13" a="1"/>
  <c r="L8850" i="13" s="1"/>
  <c r="J8850" i="13" a="1"/>
  <c r="J8850" i="13" s="1"/>
  <c r="H8850" i="13" a="1"/>
  <c r="H8850" i="13" s="1"/>
  <c r="F8850" i="13" a="1"/>
  <c r="F8850" i="13" s="1"/>
  <c r="AI8850" i="13" a="1"/>
  <c r="AI8850" i="13" s="1"/>
  <c r="AO8850" i="13" s="1" a="1"/>
  <c r="AO8850" i="13" s="1"/>
  <c r="AA8850" i="13" a="1"/>
  <c r="AA8850" i="13" s="1"/>
  <c r="S8850" i="13" a="1"/>
  <c r="S8850" i="13" s="1"/>
  <c r="K8850" i="13" a="1"/>
  <c r="K8850" i="13" s="1"/>
  <c r="AE8850" i="13" a="1"/>
  <c r="AE8850" i="13" s="1"/>
  <c r="Q8850" i="13" a="1"/>
  <c r="Q8850" i="13" s="1"/>
  <c r="M8850" i="13" a="1"/>
  <c r="M8850" i="13" s="1"/>
  <c r="I8850" i="13" a="1"/>
  <c r="I8850" i="13" s="1"/>
  <c r="W8850" i="13" a="1"/>
  <c r="W8850" i="13" s="1"/>
  <c r="AG8850" i="13" a="1"/>
  <c r="AG8850" i="13" s="1"/>
  <c r="AL8853" i="13"/>
  <c r="AM8853" i="13" s="1"/>
  <c r="AN8853" i="13" s="1"/>
  <c r="AK8902" i="13"/>
  <c r="AL8902" i="13" s="1"/>
  <c r="AM8902" i="13" s="1"/>
  <c r="AN8902" i="13" s="1"/>
  <c r="AI8922" i="13" a="1"/>
  <c r="AI8922" i="13" s="1"/>
  <c r="AO8922" i="13" s="1" a="1"/>
  <c r="AO8922" i="13" s="1"/>
  <c r="AG8922" i="13" a="1"/>
  <c r="AG8922" i="13" s="1"/>
  <c r="AE8922" i="13" a="1"/>
  <c r="AE8922" i="13" s="1"/>
  <c r="AC8922" i="13" a="1"/>
  <c r="AC8922" i="13" s="1"/>
  <c r="AA8922" i="13" a="1"/>
  <c r="AA8922" i="13" s="1"/>
  <c r="Y8922" i="13" a="1"/>
  <c r="Y8922" i="13" s="1"/>
  <c r="W8922" i="13" a="1"/>
  <c r="W8922" i="13" s="1"/>
  <c r="U8922" i="13" a="1"/>
  <c r="U8922" i="13" s="1"/>
  <c r="S8922" i="13" a="1"/>
  <c r="S8922" i="13" s="1"/>
  <c r="Q8922" i="13" a="1"/>
  <c r="Q8922" i="13" s="1"/>
  <c r="O8922" i="13" a="1"/>
  <c r="O8922" i="13" s="1"/>
  <c r="M8922" i="13" a="1"/>
  <c r="M8922" i="13" s="1"/>
  <c r="K8922" i="13" a="1"/>
  <c r="K8922" i="13" s="1"/>
  <c r="I8922" i="13" a="1"/>
  <c r="I8922" i="13" s="1"/>
  <c r="G8922" i="13" a="1"/>
  <c r="G8922" i="13" s="1"/>
  <c r="E8922" i="13" a="1"/>
  <c r="E8922" i="13" s="1"/>
  <c r="AD8922" i="13" a="1"/>
  <c r="AD8922" i="13" s="1"/>
  <c r="V8922" i="13" a="1"/>
  <c r="V8922" i="13" s="1"/>
  <c r="N8922" i="13" a="1"/>
  <c r="N8922" i="13" s="1"/>
  <c r="F8922" i="13" a="1"/>
  <c r="F8922" i="13" s="1"/>
  <c r="AF8922" i="13" a="1"/>
  <c r="AF8922" i="13" s="1"/>
  <c r="R8922" i="13" a="1"/>
  <c r="R8922" i="13" s="1"/>
  <c r="AH8922" i="13" a="1"/>
  <c r="AH8922" i="13" s="1"/>
  <c r="T8922" i="13" a="1"/>
  <c r="T8922" i="13" s="1"/>
  <c r="P8922" i="13" a="1"/>
  <c r="P8922" i="13" s="1"/>
  <c r="X8922" i="13" a="1"/>
  <c r="X8922" i="13" s="1"/>
  <c r="J8922" i="13" a="1"/>
  <c r="J8922" i="13" s="1"/>
  <c r="AB8922" i="13" a="1"/>
  <c r="AB8922" i="13" s="1"/>
  <c r="H8922" i="13" a="1"/>
  <c r="H8922" i="13" s="1"/>
  <c r="Z8922" i="13" a="1"/>
  <c r="Z8922" i="13" s="1"/>
  <c r="L8922" i="13" a="1"/>
  <c r="L8922" i="13" s="1"/>
  <c r="AI8844" i="13" a="1"/>
  <c r="AI8844" i="13" s="1"/>
  <c r="AO8844" i="13" s="1" a="1"/>
  <c r="AO8844" i="13" s="1"/>
  <c r="AG8844" i="13" a="1"/>
  <c r="AG8844" i="13" s="1"/>
  <c r="AE8844" i="13" a="1"/>
  <c r="AE8844" i="13" s="1"/>
  <c r="AC8844" i="13" a="1"/>
  <c r="AC8844" i="13" s="1"/>
  <c r="AA8844" i="13" a="1"/>
  <c r="AA8844" i="13" s="1"/>
  <c r="Y8844" i="13" a="1"/>
  <c r="Y8844" i="13" s="1"/>
  <c r="W8844" i="13" a="1"/>
  <c r="W8844" i="13" s="1"/>
  <c r="U8844" i="13" a="1"/>
  <c r="U8844" i="13" s="1"/>
  <c r="S8844" i="13" a="1"/>
  <c r="S8844" i="13" s="1"/>
  <c r="Q8844" i="13" a="1"/>
  <c r="Q8844" i="13" s="1"/>
  <c r="O8844" i="13" a="1"/>
  <c r="O8844" i="13" s="1"/>
  <c r="M8844" i="13" a="1"/>
  <c r="M8844" i="13" s="1"/>
  <c r="K8844" i="13" a="1"/>
  <c r="K8844" i="13" s="1"/>
  <c r="I8844" i="13" a="1"/>
  <c r="I8844" i="13" s="1"/>
  <c r="G8844" i="13" a="1"/>
  <c r="G8844" i="13" s="1"/>
  <c r="E8844" i="13" a="1"/>
  <c r="E8844" i="13" s="1"/>
  <c r="AD8844" i="13" a="1"/>
  <c r="AD8844" i="13" s="1"/>
  <c r="V8844" i="13" a="1"/>
  <c r="V8844" i="13" s="1"/>
  <c r="N8844" i="13" a="1"/>
  <c r="N8844" i="13" s="1"/>
  <c r="F8844" i="13" a="1"/>
  <c r="F8844" i="13" s="1"/>
  <c r="H8844" i="13" a="1"/>
  <c r="H8844" i="13" s="1"/>
  <c r="L8844" i="13" a="1"/>
  <c r="L8844" i="13" s="1"/>
  <c r="Z8844" i="13" a="1"/>
  <c r="Z8844" i="13" s="1"/>
  <c r="AI8848" i="13" a="1"/>
  <c r="AI8848" i="13" s="1"/>
  <c r="AO8848" i="13" s="1" a="1"/>
  <c r="AO8848" i="13" s="1"/>
  <c r="AG8848" i="13" a="1"/>
  <c r="AG8848" i="13" s="1"/>
  <c r="AE8848" i="13" a="1"/>
  <c r="AE8848" i="13" s="1"/>
  <c r="AC8848" i="13" a="1"/>
  <c r="AC8848" i="13" s="1"/>
  <c r="AA8848" i="13" a="1"/>
  <c r="AA8848" i="13" s="1"/>
  <c r="Y8848" i="13" a="1"/>
  <c r="Y8848" i="13" s="1"/>
  <c r="W8848" i="13" a="1"/>
  <c r="W8848" i="13" s="1"/>
  <c r="U8848" i="13" a="1"/>
  <c r="U8848" i="13" s="1"/>
  <c r="S8848" i="13" a="1"/>
  <c r="S8848" i="13" s="1"/>
  <c r="Q8848" i="13" a="1"/>
  <c r="Q8848" i="13" s="1"/>
  <c r="O8848" i="13" a="1"/>
  <c r="O8848" i="13" s="1"/>
  <c r="M8848" i="13" a="1"/>
  <c r="M8848" i="13" s="1"/>
  <c r="K8848" i="13" a="1"/>
  <c r="K8848" i="13" s="1"/>
  <c r="I8848" i="13" a="1"/>
  <c r="I8848" i="13" s="1"/>
  <c r="G8848" i="13" a="1"/>
  <c r="G8848" i="13" s="1"/>
  <c r="E8848" i="13" a="1"/>
  <c r="E8848" i="13" s="1"/>
  <c r="AD8848" i="13" a="1"/>
  <c r="AD8848" i="13" s="1"/>
  <c r="V8848" i="13" a="1"/>
  <c r="V8848" i="13" s="1"/>
  <c r="N8848" i="13" a="1"/>
  <c r="N8848" i="13" s="1"/>
  <c r="F8848" i="13" a="1"/>
  <c r="F8848" i="13" s="1"/>
  <c r="H8848" i="13" a="1"/>
  <c r="H8848" i="13" s="1"/>
  <c r="L8848" i="13" a="1"/>
  <c r="L8848" i="13" s="1"/>
  <c r="Z8848" i="13" a="1"/>
  <c r="Z8848" i="13" s="1"/>
  <c r="AI8852" i="13" a="1"/>
  <c r="AI8852" i="13" s="1"/>
  <c r="AO8852" i="13" s="1" a="1"/>
  <c r="AO8852" i="13" s="1"/>
  <c r="AG8852" i="13" a="1"/>
  <c r="AG8852" i="13" s="1"/>
  <c r="AE8852" i="13" a="1"/>
  <c r="AE8852" i="13" s="1"/>
  <c r="AC8852" i="13" a="1"/>
  <c r="AC8852" i="13" s="1"/>
  <c r="AA8852" i="13" a="1"/>
  <c r="AA8852" i="13" s="1"/>
  <c r="Y8852" i="13" a="1"/>
  <c r="Y8852" i="13" s="1"/>
  <c r="W8852" i="13" a="1"/>
  <c r="W8852" i="13" s="1"/>
  <c r="U8852" i="13" a="1"/>
  <c r="U8852" i="13" s="1"/>
  <c r="S8852" i="13" a="1"/>
  <c r="S8852" i="13" s="1"/>
  <c r="Q8852" i="13" a="1"/>
  <c r="Q8852" i="13" s="1"/>
  <c r="O8852" i="13" a="1"/>
  <c r="O8852" i="13" s="1"/>
  <c r="M8852" i="13" a="1"/>
  <c r="M8852" i="13" s="1"/>
  <c r="K8852" i="13" a="1"/>
  <c r="K8852" i="13" s="1"/>
  <c r="I8852" i="13" a="1"/>
  <c r="I8852" i="13" s="1"/>
  <c r="G8852" i="13" a="1"/>
  <c r="G8852" i="13" s="1"/>
  <c r="E8852" i="13" a="1"/>
  <c r="E8852" i="13" s="1"/>
  <c r="AD8852" i="13" a="1"/>
  <c r="AD8852" i="13" s="1"/>
  <c r="V8852" i="13" a="1"/>
  <c r="V8852" i="13" s="1"/>
  <c r="N8852" i="13" a="1"/>
  <c r="N8852" i="13" s="1"/>
  <c r="F8852" i="13" a="1"/>
  <c r="F8852" i="13" s="1"/>
  <c r="H8852" i="13" a="1"/>
  <c r="H8852" i="13" s="1"/>
  <c r="L8852" i="13" a="1"/>
  <c r="L8852" i="13" s="1"/>
  <c r="Z8852" i="13" a="1"/>
  <c r="Z8852" i="13" s="1"/>
  <c r="AI8856" i="13" a="1"/>
  <c r="AI8856" i="13" s="1"/>
  <c r="AO8856" i="13" s="1" a="1"/>
  <c r="AO8856" i="13" s="1"/>
  <c r="AG8856" i="13" a="1"/>
  <c r="AG8856" i="13" s="1"/>
  <c r="AE8856" i="13" a="1"/>
  <c r="AE8856" i="13" s="1"/>
  <c r="AC8856" i="13" a="1"/>
  <c r="AC8856" i="13" s="1"/>
  <c r="AA8856" i="13" a="1"/>
  <c r="AA8856" i="13" s="1"/>
  <c r="Y8856" i="13" a="1"/>
  <c r="Y8856" i="13" s="1"/>
  <c r="W8856" i="13" a="1"/>
  <c r="W8856" i="13" s="1"/>
  <c r="U8856" i="13" a="1"/>
  <c r="U8856" i="13" s="1"/>
  <c r="S8856" i="13" a="1"/>
  <c r="S8856" i="13" s="1"/>
  <c r="Q8856" i="13" a="1"/>
  <c r="Q8856" i="13" s="1"/>
  <c r="O8856" i="13" a="1"/>
  <c r="O8856" i="13" s="1"/>
  <c r="M8856" i="13" a="1"/>
  <c r="M8856" i="13" s="1"/>
  <c r="K8856" i="13" a="1"/>
  <c r="K8856" i="13" s="1"/>
  <c r="I8856" i="13" a="1"/>
  <c r="I8856" i="13" s="1"/>
  <c r="G8856" i="13" a="1"/>
  <c r="G8856" i="13" s="1"/>
  <c r="E8856" i="13" a="1"/>
  <c r="E8856" i="13" s="1"/>
  <c r="AD8856" i="13" a="1"/>
  <c r="AD8856" i="13" s="1"/>
  <c r="V8856" i="13" a="1"/>
  <c r="V8856" i="13" s="1"/>
  <c r="N8856" i="13" a="1"/>
  <c r="N8856" i="13" s="1"/>
  <c r="F8856" i="13" a="1"/>
  <c r="F8856" i="13" s="1"/>
  <c r="H8856" i="13" a="1"/>
  <c r="H8856" i="13" s="1"/>
  <c r="L8856" i="13" a="1"/>
  <c r="L8856" i="13" s="1"/>
  <c r="Z8856" i="13" a="1"/>
  <c r="Z8856" i="13" s="1"/>
  <c r="AK8878" i="13"/>
  <c r="AL8878" i="13" s="1"/>
  <c r="AM8878" i="13" s="1"/>
  <c r="AN8878" i="13" s="1"/>
  <c r="AK8901" i="13"/>
  <c r="AL8901" i="13" s="1"/>
  <c r="AM8901" i="13" s="1"/>
  <c r="AN8901" i="13" s="1"/>
  <c r="AK8860" i="13"/>
  <c r="AL8860" i="13" s="1"/>
  <c r="AM8860" i="13" s="1"/>
  <c r="AN8860" i="13" s="1"/>
  <c r="AK8864" i="13"/>
  <c r="AL8864" i="13" s="1"/>
  <c r="AM8864" i="13" s="1"/>
  <c r="AN8864" i="13" s="1"/>
  <c r="AL8866" i="13"/>
  <c r="AM8866" i="13" s="1"/>
  <c r="AN8866" i="13" s="1"/>
  <c r="AK8885" i="13"/>
  <c r="AL8885" i="13" s="1"/>
  <c r="AM8885" i="13" s="1"/>
  <c r="AN8885" i="13" s="1"/>
  <c r="AK8868" i="13"/>
  <c r="AL8868" i="13" s="1"/>
  <c r="AM8868" i="13" s="1"/>
  <c r="AN8868" i="13" s="1"/>
  <c r="AI8884" i="13" a="1"/>
  <c r="AI8884" i="13" s="1"/>
  <c r="AO8884" i="13" s="1" a="1"/>
  <c r="AO8884" i="13" s="1"/>
  <c r="AG8884" i="13" a="1"/>
  <c r="AG8884" i="13" s="1"/>
  <c r="AE8884" i="13" a="1"/>
  <c r="AE8884" i="13" s="1"/>
  <c r="AC8884" i="13" a="1"/>
  <c r="AC8884" i="13" s="1"/>
  <c r="AA8884" i="13" a="1"/>
  <c r="AA8884" i="13" s="1"/>
  <c r="Y8884" i="13" a="1"/>
  <c r="Y8884" i="13" s="1"/>
  <c r="W8884" i="13" a="1"/>
  <c r="W8884" i="13" s="1"/>
  <c r="U8884" i="13" a="1"/>
  <c r="U8884" i="13" s="1"/>
  <c r="S8884" i="13" a="1"/>
  <c r="S8884" i="13" s="1"/>
  <c r="Q8884" i="13" a="1"/>
  <c r="Q8884" i="13" s="1"/>
  <c r="O8884" i="13" a="1"/>
  <c r="O8884" i="13" s="1"/>
  <c r="M8884" i="13" a="1"/>
  <c r="M8884" i="13" s="1"/>
  <c r="K8884" i="13" a="1"/>
  <c r="K8884" i="13" s="1"/>
  <c r="I8884" i="13" a="1"/>
  <c r="I8884" i="13" s="1"/>
  <c r="G8884" i="13" a="1"/>
  <c r="G8884" i="13" s="1"/>
  <c r="E8884" i="13" a="1"/>
  <c r="E8884" i="13" s="1"/>
  <c r="AB8884" i="13" a="1"/>
  <c r="AB8884" i="13" s="1"/>
  <c r="T8884" i="13" a="1"/>
  <c r="T8884" i="13" s="1"/>
  <c r="L8884" i="13" a="1"/>
  <c r="L8884" i="13" s="1"/>
  <c r="AF8884" i="13" a="1"/>
  <c r="AF8884" i="13" s="1"/>
  <c r="R8884" i="13" a="1"/>
  <c r="R8884" i="13" s="1"/>
  <c r="N8884" i="13" a="1"/>
  <c r="N8884" i="13" s="1"/>
  <c r="AH8884" i="13" a="1"/>
  <c r="AH8884" i="13" s="1"/>
  <c r="AD8884" i="13" a="1"/>
  <c r="AD8884" i="13" s="1"/>
  <c r="P8884" i="13" a="1"/>
  <c r="P8884" i="13" s="1"/>
  <c r="Z8884" i="13" a="1"/>
  <c r="Z8884" i="13" s="1"/>
  <c r="AK8899" i="13"/>
  <c r="AL8899" i="13" s="1"/>
  <c r="AM8899" i="13" s="1"/>
  <c r="AN8899" i="13" s="1"/>
  <c r="AH8920" i="13" a="1"/>
  <c r="AH8920" i="13" s="1"/>
  <c r="AF8920" i="13" a="1"/>
  <c r="AF8920" i="13" s="1"/>
  <c r="AD8920" i="13" a="1"/>
  <c r="AD8920" i="13" s="1"/>
  <c r="AB8920" i="13" a="1"/>
  <c r="AB8920" i="13" s="1"/>
  <c r="Z8920" i="13" a="1"/>
  <c r="Z8920" i="13" s="1"/>
  <c r="X8920" i="13" a="1"/>
  <c r="X8920" i="13" s="1"/>
  <c r="V8920" i="13" a="1"/>
  <c r="V8920" i="13" s="1"/>
  <c r="T8920" i="13" a="1"/>
  <c r="T8920" i="13" s="1"/>
  <c r="R8920" i="13" a="1"/>
  <c r="R8920" i="13" s="1"/>
  <c r="P8920" i="13" a="1"/>
  <c r="P8920" i="13" s="1"/>
  <c r="N8920" i="13" a="1"/>
  <c r="N8920" i="13" s="1"/>
  <c r="L8920" i="13" a="1"/>
  <c r="L8920" i="13" s="1"/>
  <c r="J8920" i="13" a="1"/>
  <c r="J8920" i="13" s="1"/>
  <c r="H8920" i="13" a="1"/>
  <c r="H8920" i="13" s="1"/>
  <c r="F8920" i="13" a="1"/>
  <c r="F8920" i="13" s="1"/>
  <c r="AI8920" i="13" a="1"/>
  <c r="AI8920" i="13" s="1"/>
  <c r="AO8920" i="13" s="1" a="1"/>
  <c r="AO8920" i="13" s="1"/>
  <c r="AA8920" i="13" a="1"/>
  <c r="AA8920" i="13" s="1"/>
  <c r="S8920" i="13" a="1"/>
  <c r="S8920" i="13" s="1"/>
  <c r="K8920" i="13" a="1"/>
  <c r="K8920" i="13" s="1"/>
  <c r="W8920" i="13" a="1"/>
  <c r="W8920" i="13" s="1"/>
  <c r="I8920" i="13" a="1"/>
  <c r="I8920" i="13" s="1"/>
  <c r="E8920" i="13" a="1"/>
  <c r="E8920" i="13" s="1"/>
  <c r="Y8920" i="13" a="1"/>
  <c r="Y8920" i="13" s="1"/>
  <c r="U8920" i="13" a="1"/>
  <c r="U8920" i="13" s="1"/>
  <c r="G8920" i="13" a="1"/>
  <c r="G8920" i="13" s="1"/>
  <c r="AE8920" i="13" a="1"/>
  <c r="AE8920" i="13" s="1"/>
  <c r="Q8920" i="13" a="1"/>
  <c r="Q8920" i="13" s="1"/>
  <c r="M8920" i="13" a="1"/>
  <c r="M8920" i="13" s="1"/>
  <c r="AC8920" i="13" a="1"/>
  <c r="AC8920" i="13" s="1"/>
  <c r="O8920" i="13" a="1"/>
  <c r="O8920" i="13" s="1"/>
  <c r="AG8920" i="13" a="1"/>
  <c r="AG8920" i="13" s="1"/>
  <c r="AK8895" i="13"/>
  <c r="AL8895" i="13" s="1"/>
  <c r="AM8895" i="13" s="1"/>
  <c r="AN8895" i="13" s="1"/>
  <c r="AK8903" i="13"/>
  <c r="AL8903" i="13" s="1"/>
  <c r="AM8903" i="13" s="1"/>
  <c r="AN8903" i="13" s="1"/>
  <c r="AK8862" i="13"/>
  <c r="AL8862" i="13" s="1"/>
  <c r="AM8862" i="13" s="1"/>
  <c r="AN8862" i="13" s="1"/>
  <c r="AK8883" i="13"/>
  <c r="AL8883" i="13" s="1"/>
  <c r="AM8883" i="13" s="1"/>
  <c r="AN8883" i="13" s="1"/>
  <c r="H8884" i="13" a="1"/>
  <c r="H8884" i="13" s="1"/>
  <c r="V8884" i="13" a="1"/>
  <c r="V8884" i="13" s="1"/>
  <c r="AK8911" i="13"/>
  <c r="AL8911" i="13" s="1"/>
  <c r="AM8911" i="13" s="1"/>
  <c r="AN8911" i="13" s="1"/>
  <c r="G8858" i="13" a="1"/>
  <c r="G8858" i="13" s="1"/>
  <c r="J8858" i="13" a="1"/>
  <c r="J8858" i="13" s="1"/>
  <c r="O8858" i="13" a="1"/>
  <c r="O8858" i="13" s="1"/>
  <c r="R8858" i="13" a="1"/>
  <c r="R8858" i="13" s="1"/>
  <c r="W8858" i="13" a="1"/>
  <c r="W8858" i="13" s="1"/>
  <c r="Z8858" i="13" a="1"/>
  <c r="Z8858" i="13" s="1"/>
  <c r="AE8858" i="13" a="1"/>
  <c r="AE8858" i="13" s="1"/>
  <c r="AH8858" i="13" a="1"/>
  <c r="AH8858" i="13" s="1"/>
  <c r="AI8859" i="13" a="1"/>
  <c r="AI8859" i="13" s="1"/>
  <c r="AO8859" i="13" s="1" a="1"/>
  <c r="AO8859" i="13" s="1"/>
  <c r="AG8859" i="13" a="1"/>
  <c r="AG8859" i="13" s="1"/>
  <c r="AE8859" i="13" a="1"/>
  <c r="AE8859" i="13" s="1"/>
  <c r="AC8859" i="13" a="1"/>
  <c r="AC8859" i="13" s="1"/>
  <c r="AA8859" i="13" a="1"/>
  <c r="AA8859" i="13" s="1"/>
  <c r="Y8859" i="13" a="1"/>
  <c r="Y8859" i="13" s="1"/>
  <c r="W8859" i="13" a="1"/>
  <c r="W8859" i="13" s="1"/>
  <c r="U8859" i="13" a="1"/>
  <c r="U8859" i="13" s="1"/>
  <c r="S8859" i="13" a="1"/>
  <c r="S8859" i="13" s="1"/>
  <c r="Q8859" i="13" a="1"/>
  <c r="Q8859" i="13" s="1"/>
  <c r="O8859" i="13" a="1"/>
  <c r="O8859" i="13" s="1"/>
  <c r="M8859" i="13" a="1"/>
  <c r="M8859" i="13" s="1"/>
  <c r="K8859" i="13" a="1"/>
  <c r="K8859" i="13" s="1"/>
  <c r="I8859" i="13" a="1"/>
  <c r="I8859" i="13" s="1"/>
  <c r="G8859" i="13" a="1"/>
  <c r="G8859" i="13" s="1"/>
  <c r="E8859" i="13" a="1"/>
  <c r="E8859" i="13" s="1"/>
  <c r="J8859" i="13" a="1"/>
  <c r="J8859" i="13" s="1"/>
  <c r="R8859" i="13" a="1"/>
  <c r="R8859" i="13" s="1"/>
  <c r="Z8859" i="13" a="1"/>
  <c r="Z8859" i="13" s="1"/>
  <c r="AH8859" i="13" a="1"/>
  <c r="AH8859" i="13" s="1"/>
  <c r="AH8861" i="13" a="1"/>
  <c r="AH8861" i="13" s="1"/>
  <c r="AF8861" i="13" a="1"/>
  <c r="AF8861" i="13" s="1"/>
  <c r="AD8861" i="13" a="1"/>
  <c r="AD8861" i="13" s="1"/>
  <c r="AB8861" i="13" a="1"/>
  <c r="AB8861" i="13" s="1"/>
  <c r="Z8861" i="13" a="1"/>
  <c r="Z8861" i="13" s="1"/>
  <c r="X8861" i="13" a="1"/>
  <c r="X8861" i="13" s="1"/>
  <c r="V8861" i="13" a="1"/>
  <c r="V8861" i="13" s="1"/>
  <c r="T8861" i="13" a="1"/>
  <c r="T8861" i="13" s="1"/>
  <c r="R8861" i="13" a="1"/>
  <c r="R8861" i="13" s="1"/>
  <c r="P8861" i="13" a="1"/>
  <c r="P8861" i="13" s="1"/>
  <c r="N8861" i="13" a="1"/>
  <c r="N8861" i="13" s="1"/>
  <c r="L8861" i="13" a="1"/>
  <c r="L8861" i="13" s="1"/>
  <c r="J8861" i="13" a="1"/>
  <c r="J8861" i="13" s="1"/>
  <c r="H8861" i="13" a="1"/>
  <c r="H8861" i="13" s="1"/>
  <c r="F8861" i="13" a="1"/>
  <c r="F8861" i="13" s="1"/>
  <c r="G8861" i="13" a="1"/>
  <c r="G8861" i="13" s="1"/>
  <c r="O8861" i="13" a="1"/>
  <c r="O8861" i="13" s="1"/>
  <c r="W8861" i="13" a="1"/>
  <c r="W8861" i="13" s="1"/>
  <c r="AE8861" i="13" a="1"/>
  <c r="AE8861" i="13" s="1"/>
  <c r="G8862" i="13" a="1"/>
  <c r="G8862" i="13" s="1"/>
  <c r="J8862" i="13" a="1"/>
  <c r="J8862" i="13" s="1"/>
  <c r="O8862" i="13" a="1"/>
  <c r="O8862" i="13" s="1"/>
  <c r="R8862" i="13" a="1"/>
  <c r="R8862" i="13" s="1"/>
  <c r="W8862" i="13" a="1"/>
  <c r="W8862" i="13" s="1"/>
  <c r="Z8862" i="13" a="1"/>
  <c r="Z8862" i="13" s="1"/>
  <c r="AE8862" i="13" a="1"/>
  <c r="AE8862" i="13" s="1"/>
  <c r="AH8862" i="13" a="1"/>
  <c r="AH8862" i="13" s="1"/>
  <c r="AI8863" i="13" a="1"/>
  <c r="AI8863" i="13" s="1"/>
  <c r="AO8863" i="13" s="1" a="1"/>
  <c r="AO8863" i="13" s="1"/>
  <c r="AG8863" i="13" a="1"/>
  <c r="AG8863" i="13" s="1"/>
  <c r="AE8863" i="13" a="1"/>
  <c r="AE8863" i="13" s="1"/>
  <c r="AC8863" i="13" a="1"/>
  <c r="AC8863" i="13" s="1"/>
  <c r="AA8863" i="13" a="1"/>
  <c r="AA8863" i="13" s="1"/>
  <c r="Y8863" i="13" a="1"/>
  <c r="Y8863" i="13" s="1"/>
  <c r="W8863" i="13" a="1"/>
  <c r="W8863" i="13" s="1"/>
  <c r="U8863" i="13" a="1"/>
  <c r="U8863" i="13" s="1"/>
  <c r="S8863" i="13" a="1"/>
  <c r="S8863" i="13" s="1"/>
  <c r="Q8863" i="13" a="1"/>
  <c r="Q8863" i="13" s="1"/>
  <c r="O8863" i="13" a="1"/>
  <c r="O8863" i="13" s="1"/>
  <c r="M8863" i="13" a="1"/>
  <c r="M8863" i="13" s="1"/>
  <c r="K8863" i="13" a="1"/>
  <c r="K8863" i="13" s="1"/>
  <c r="I8863" i="13" a="1"/>
  <c r="I8863" i="13" s="1"/>
  <c r="G8863" i="13" a="1"/>
  <c r="G8863" i="13" s="1"/>
  <c r="E8863" i="13" a="1"/>
  <c r="E8863" i="13" s="1"/>
  <c r="J8863" i="13" a="1"/>
  <c r="J8863" i="13" s="1"/>
  <c r="R8863" i="13" a="1"/>
  <c r="R8863" i="13" s="1"/>
  <c r="Z8863" i="13" a="1"/>
  <c r="Z8863" i="13" s="1"/>
  <c r="AH8863" i="13" a="1"/>
  <c r="AH8863" i="13" s="1"/>
  <c r="AH8865" i="13" a="1"/>
  <c r="AH8865" i="13" s="1"/>
  <c r="AF8865" i="13" a="1"/>
  <c r="AF8865" i="13" s="1"/>
  <c r="AD8865" i="13" a="1"/>
  <c r="AD8865" i="13" s="1"/>
  <c r="AB8865" i="13" a="1"/>
  <c r="AB8865" i="13" s="1"/>
  <c r="Z8865" i="13" a="1"/>
  <c r="Z8865" i="13" s="1"/>
  <c r="X8865" i="13" a="1"/>
  <c r="X8865" i="13" s="1"/>
  <c r="V8865" i="13" a="1"/>
  <c r="V8865" i="13" s="1"/>
  <c r="T8865" i="13" a="1"/>
  <c r="T8865" i="13" s="1"/>
  <c r="R8865" i="13" a="1"/>
  <c r="R8865" i="13" s="1"/>
  <c r="P8865" i="13" a="1"/>
  <c r="P8865" i="13" s="1"/>
  <c r="N8865" i="13" a="1"/>
  <c r="N8865" i="13" s="1"/>
  <c r="L8865" i="13" a="1"/>
  <c r="L8865" i="13" s="1"/>
  <c r="J8865" i="13" a="1"/>
  <c r="J8865" i="13" s="1"/>
  <c r="H8865" i="13" a="1"/>
  <c r="H8865" i="13" s="1"/>
  <c r="F8865" i="13" a="1"/>
  <c r="F8865" i="13" s="1"/>
  <c r="G8865" i="13" a="1"/>
  <c r="G8865" i="13" s="1"/>
  <c r="O8865" i="13" a="1"/>
  <c r="O8865" i="13" s="1"/>
  <c r="W8865" i="13" a="1"/>
  <c r="W8865" i="13" s="1"/>
  <c r="AE8865" i="13" a="1"/>
  <c r="AE8865" i="13" s="1"/>
  <c r="G8866" i="13" a="1"/>
  <c r="G8866" i="13" s="1"/>
  <c r="J8866" i="13" a="1"/>
  <c r="J8866" i="13" s="1"/>
  <c r="O8866" i="13" a="1"/>
  <c r="O8866" i="13" s="1"/>
  <c r="R8866" i="13" a="1"/>
  <c r="R8866" i="13" s="1"/>
  <c r="W8866" i="13" a="1"/>
  <c r="W8866" i="13" s="1"/>
  <c r="Z8866" i="13" a="1"/>
  <c r="Z8866" i="13" s="1"/>
  <c r="AE8866" i="13" a="1"/>
  <c r="AE8866" i="13" s="1"/>
  <c r="AH8866" i="13" a="1"/>
  <c r="AH8866" i="13" s="1"/>
  <c r="AI8867" i="13" a="1"/>
  <c r="AI8867" i="13" s="1"/>
  <c r="AO8867" i="13" s="1" a="1"/>
  <c r="AO8867" i="13" s="1"/>
  <c r="AG8867" i="13" a="1"/>
  <c r="AG8867" i="13" s="1"/>
  <c r="AE8867" i="13" a="1"/>
  <c r="AE8867" i="13" s="1"/>
  <c r="AC8867" i="13" a="1"/>
  <c r="AC8867" i="13" s="1"/>
  <c r="AA8867" i="13" a="1"/>
  <c r="AA8867" i="13" s="1"/>
  <c r="Y8867" i="13" a="1"/>
  <c r="Y8867" i="13" s="1"/>
  <c r="W8867" i="13" a="1"/>
  <c r="W8867" i="13" s="1"/>
  <c r="U8867" i="13" a="1"/>
  <c r="U8867" i="13" s="1"/>
  <c r="S8867" i="13" a="1"/>
  <c r="S8867" i="13" s="1"/>
  <c r="Q8867" i="13" a="1"/>
  <c r="Q8867" i="13" s="1"/>
  <c r="O8867" i="13" a="1"/>
  <c r="O8867" i="13" s="1"/>
  <c r="M8867" i="13" a="1"/>
  <c r="M8867" i="13" s="1"/>
  <c r="K8867" i="13" a="1"/>
  <c r="K8867" i="13" s="1"/>
  <c r="I8867" i="13" a="1"/>
  <c r="I8867" i="13" s="1"/>
  <c r="G8867" i="13" a="1"/>
  <c r="G8867" i="13" s="1"/>
  <c r="E8867" i="13" a="1"/>
  <c r="E8867" i="13" s="1"/>
  <c r="J8867" i="13" a="1"/>
  <c r="J8867" i="13" s="1"/>
  <c r="R8867" i="13" a="1"/>
  <c r="R8867" i="13" s="1"/>
  <c r="Z8867" i="13" a="1"/>
  <c r="Z8867" i="13" s="1"/>
  <c r="AH8867" i="13" a="1"/>
  <c r="AH8867" i="13" s="1"/>
  <c r="AH8869" i="13" a="1"/>
  <c r="AH8869" i="13" s="1"/>
  <c r="AF8869" i="13" a="1"/>
  <c r="AF8869" i="13" s="1"/>
  <c r="AD8869" i="13" a="1"/>
  <c r="AD8869" i="13" s="1"/>
  <c r="AB8869" i="13" a="1"/>
  <c r="AB8869" i="13" s="1"/>
  <c r="Z8869" i="13" a="1"/>
  <c r="Z8869" i="13" s="1"/>
  <c r="X8869" i="13" a="1"/>
  <c r="X8869" i="13" s="1"/>
  <c r="V8869" i="13" a="1"/>
  <c r="V8869" i="13" s="1"/>
  <c r="T8869" i="13" a="1"/>
  <c r="T8869" i="13" s="1"/>
  <c r="R8869" i="13" a="1"/>
  <c r="R8869" i="13" s="1"/>
  <c r="P8869" i="13" a="1"/>
  <c r="P8869" i="13" s="1"/>
  <c r="N8869" i="13" a="1"/>
  <c r="N8869" i="13" s="1"/>
  <c r="L8869" i="13" a="1"/>
  <c r="L8869" i="13" s="1"/>
  <c r="J8869" i="13" a="1"/>
  <c r="J8869" i="13" s="1"/>
  <c r="H8869" i="13" a="1"/>
  <c r="H8869" i="13" s="1"/>
  <c r="F8869" i="13" a="1"/>
  <c r="F8869" i="13" s="1"/>
  <c r="G8869" i="13" a="1"/>
  <c r="G8869" i="13" s="1"/>
  <c r="O8869" i="13" a="1"/>
  <c r="O8869" i="13" s="1"/>
  <c r="W8869" i="13" a="1"/>
  <c r="W8869" i="13" s="1"/>
  <c r="AE8869" i="13" a="1"/>
  <c r="AE8869" i="13" s="1"/>
  <c r="G8870" i="13" a="1"/>
  <c r="G8870" i="13" s="1"/>
  <c r="J8870" i="13" a="1"/>
  <c r="J8870" i="13" s="1"/>
  <c r="O8870" i="13" a="1"/>
  <c r="O8870" i="13" s="1"/>
  <c r="R8870" i="13" a="1"/>
  <c r="R8870" i="13" s="1"/>
  <c r="W8870" i="13" a="1"/>
  <c r="W8870" i="13" s="1"/>
  <c r="Z8870" i="13" a="1"/>
  <c r="Z8870" i="13" s="1"/>
  <c r="AE8870" i="13" a="1"/>
  <c r="AE8870" i="13" s="1"/>
  <c r="AH8870" i="13" a="1"/>
  <c r="AH8870" i="13" s="1"/>
  <c r="AI8871" i="13" a="1"/>
  <c r="AI8871" i="13" s="1"/>
  <c r="AO8871" i="13" s="1" a="1"/>
  <c r="AO8871" i="13" s="1"/>
  <c r="AG8871" i="13" a="1"/>
  <c r="AG8871" i="13" s="1"/>
  <c r="AE8871" i="13" a="1"/>
  <c r="AE8871" i="13" s="1"/>
  <c r="AC8871" i="13" a="1"/>
  <c r="AC8871" i="13" s="1"/>
  <c r="AA8871" i="13" a="1"/>
  <c r="AA8871" i="13" s="1"/>
  <c r="Y8871" i="13" a="1"/>
  <c r="Y8871" i="13" s="1"/>
  <c r="W8871" i="13" a="1"/>
  <c r="W8871" i="13" s="1"/>
  <c r="U8871" i="13" a="1"/>
  <c r="U8871" i="13" s="1"/>
  <c r="S8871" i="13" a="1"/>
  <c r="S8871" i="13" s="1"/>
  <c r="Q8871" i="13" a="1"/>
  <c r="Q8871" i="13" s="1"/>
  <c r="O8871" i="13" a="1"/>
  <c r="O8871" i="13" s="1"/>
  <c r="M8871" i="13" a="1"/>
  <c r="M8871" i="13" s="1"/>
  <c r="K8871" i="13" a="1"/>
  <c r="K8871" i="13" s="1"/>
  <c r="I8871" i="13" a="1"/>
  <c r="I8871" i="13" s="1"/>
  <c r="G8871" i="13" a="1"/>
  <c r="G8871" i="13" s="1"/>
  <c r="E8871" i="13" a="1"/>
  <c r="E8871" i="13" s="1"/>
  <c r="J8871" i="13" a="1"/>
  <c r="J8871" i="13" s="1"/>
  <c r="R8871" i="13" a="1"/>
  <c r="R8871" i="13" s="1"/>
  <c r="Z8871" i="13" a="1"/>
  <c r="Z8871" i="13" s="1"/>
  <c r="AH8871" i="13" a="1"/>
  <c r="AH8871" i="13" s="1"/>
  <c r="AH8873" i="13" a="1"/>
  <c r="AH8873" i="13" s="1"/>
  <c r="AF8873" i="13" a="1"/>
  <c r="AF8873" i="13" s="1"/>
  <c r="AD8873" i="13" a="1"/>
  <c r="AD8873" i="13" s="1"/>
  <c r="AB8873" i="13" a="1"/>
  <c r="AB8873" i="13" s="1"/>
  <c r="Z8873" i="13" a="1"/>
  <c r="Z8873" i="13" s="1"/>
  <c r="X8873" i="13" a="1"/>
  <c r="X8873" i="13" s="1"/>
  <c r="V8873" i="13" a="1"/>
  <c r="V8873" i="13" s="1"/>
  <c r="T8873" i="13" a="1"/>
  <c r="T8873" i="13" s="1"/>
  <c r="R8873" i="13" a="1"/>
  <c r="R8873" i="13" s="1"/>
  <c r="P8873" i="13" a="1"/>
  <c r="P8873" i="13" s="1"/>
  <c r="N8873" i="13" a="1"/>
  <c r="N8873" i="13" s="1"/>
  <c r="L8873" i="13" a="1"/>
  <c r="L8873" i="13" s="1"/>
  <c r="J8873" i="13" a="1"/>
  <c r="J8873" i="13" s="1"/>
  <c r="H8873" i="13" a="1"/>
  <c r="H8873" i="13" s="1"/>
  <c r="F8873" i="13" a="1"/>
  <c r="F8873" i="13" s="1"/>
  <c r="G8873" i="13" a="1"/>
  <c r="G8873" i="13" s="1"/>
  <c r="O8873" i="13" a="1"/>
  <c r="O8873" i="13" s="1"/>
  <c r="W8873" i="13" a="1"/>
  <c r="W8873" i="13" s="1"/>
  <c r="AE8873" i="13" a="1"/>
  <c r="AE8873" i="13" s="1"/>
  <c r="G8874" i="13" a="1"/>
  <c r="G8874" i="13" s="1"/>
  <c r="J8874" i="13" a="1"/>
  <c r="J8874" i="13" s="1"/>
  <c r="O8874" i="13" a="1"/>
  <c r="O8874" i="13" s="1"/>
  <c r="R8874" i="13" a="1"/>
  <c r="R8874" i="13" s="1"/>
  <c r="W8874" i="13" a="1"/>
  <c r="W8874" i="13" s="1"/>
  <c r="Z8874" i="13" a="1"/>
  <c r="Z8874" i="13" s="1"/>
  <c r="AE8874" i="13" a="1"/>
  <c r="AE8874" i="13" s="1"/>
  <c r="AH8874" i="13" a="1"/>
  <c r="AH8874" i="13" s="1"/>
  <c r="AI8875" i="13" a="1"/>
  <c r="AI8875" i="13" s="1"/>
  <c r="AO8875" i="13" s="1" a="1"/>
  <c r="AO8875" i="13" s="1"/>
  <c r="AG8875" i="13" a="1"/>
  <c r="AG8875" i="13" s="1"/>
  <c r="AE8875" i="13" a="1"/>
  <c r="AE8875" i="13" s="1"/>
  <c r="AC8875" i="13" a="1"/>
  <c r="AC8875" i="13" s="1"/>
  <c r="AA8875" i="13" a="1"/>
  <c r="AA8875" i="13" s="1"/>
  <c r="Y8875" i="13" a="1"/>
  <c r="Y8875" i="13" s="1"/>
  <c r="W8875" i="13" a="1"/>
  <c r="W8875" i="13" s="1"/>
  <c r="U8875" i="13" a="1"/>
  <c r="U8875" i="13" s="1"/>
  <c r="S8875" i="13" a="1"/>
  <c r="S8875" i="13" s="1"/>
  <c r="Q8875" i="13" a="1"/>
  <c r="Q8875" i="13" s="1"/>
  <c r="O8875" i="13" a="1"/>
  <c r="O8875" i="13" s="1"/>
  <c r="M8875" i="13" a="1"/>
  <c r="M8875" i="13" s="1"/>
  <c r="K8875" i="13" a="1"/>
  <c r="K8875" i="13" s="1"/>
  <c r="I8875" i="13" a="1"/>
  <c r="I8875" i="13" s="1"/>
  <c r="G8875" i="13" a="1"/>
  <c r="G8875" i="13" s="1"/>
  <c r="E8875" i="13" a="1"/>
  <c r="E8875" i="13" s="1"/>
  <c r="J8875" i="13" a="1"/>
  <c r="J8875" i="13" s="1"/>
  <c r="R8875" i="13" a="1"/>
  <c r="R8875" i="13" s="1"/>
  <c r="Z8875" i="13" a="1"/>
  <c r="Z8875" i="13" s="1"/>
  <c r="AH8875" i="13" a="1"/>
  <c r="AH8875" i="13" s="1"/>
  <c r="AH8877" i="13" a="1"/>
  <c r="AH8877" i="13" s="1"/>
  <c r="AF8877" i="13" a="1"/>
  <c r="AF8877" i="13" s="1"/>
  <c r="AD8877" i="13" a="1"/>
  <c r="AD8877" i="13" s="1"/>
  <c r="AB8877" i="13" a="1"/>
  <c r="AB8877" i="13" s="1"/>
  <c r="Z8877" i="13" a="1"/>
  <c r="Z8877" i="13" s="1"/>
  <c r="X8877" i="13" a="1"/>
  <c r="X8877" i="13" s="1"/>
  <c r="V8877" i="13" a="1"/>
  <c r="V8877" i="13" s="1"/>
  <c r="T8877" i="13" a="1"/>
  <c r="T8877" i="13" s="1"/>
  <c r="R8877" i="13" a="1"/>
  <c r="R8877" i="13" s="1"/>
  <c r="P8877" i="13" a="1"/>
  <c r="P8877" i="13" s="1"/>
  <c r="N8877" i="13" a="1"/>
  <c r="N8877" i="13" s="1"/>
  <c r="L8877" i="13" a="1"/>
  <c r="L8877" i="13" s="1"/>
  <c r="J8877" i="13" a="1"/>
  <c r="J8877" i="13" s="1"/>
  <c r="H8877" i="13" a="1"/>
  <c r="H8877" i="13" s="1"/>
  <c r="F8877" i="13" a="1"/>
  <c r="F8877" i="13" s="1"/>
  <c r="G8877" i="13" a="1"/>
  <c r="G8877" i="13" s="1"/>
  <c r="O8877" i="13" a="1"/>
  <c r="O8877" i="13" s="1"/>
  <c r="W8877" i="13" a="1"/>
  <c r="W8877" i="13" s="1"/>
  <c r="AE8877" i="13" a="1"/>
  <c r="AE8877" i="13" s="1"/>
  <c r="G8878" i="13" a="1"/>
  <c r="G8878" i="13" s="1"/>
  <c r="J8878" i="13" a="1"/>
  <c r="J8878" i="13" s="1"/>
  <c r="O8878" i="13" a="1"/>
  <c r="O8878" i="13" s="1"/>
  <c r="R8878" i="13" a="1"/>
  <c r="R8878" i="13" s="1"/>
  <c r="W8878" i="13" a="1"/>
  <c r="W8878" i="13" s="1"/>
  <c r="Z8878" i="13" a="1"/>
  <c r="Z8878" i="13" s="1"/>
  <c r="AE8878" i="13" a="1"/>
  <c r="AE8878" i="13" s="1"/>
  <c r="AH8878" i="13" a="1"/>
  <c r="AH8878" i="13" s="1"/>
  <c r="AI8879" i="13" a="1"/>
  <c r="AI8879" i="13" s="1"/>
  <c r="AO8879" i="13" s="1" a="1"/>
  <c r="AO8879" i="13" s="1"/>
  <c r="AG8879" i="13" a="1"/>
  <c r="AG8879" i="13" s="1"/>
  <c r="AE8879" i="13" a="1"/>
  <c r="AE8879" i="13" s="1"/>
  <c r="AC8879" i="13" a="1"/>
  <c r="AC8879" i="13" s="1"/>
  <c r="AA8879" i="13" a="1"/>
  <c r="AA8879" i="13" s="1"/>
  <c r="Y8879" i="13" a="1"/>
  <c r="Y8879" i="13" s="1"/>
  <c r="W8879" i="13" a="1"/>
  <c r="W8879" i="13" s="1"/>
  <c r="U8879" i="13" a="1"/>
  <c r="U8879" i="13" s="1"/>
  <c r="S8879" i="13" a="1"/>
  <c r="S8879" i="13" s="1"/>
  <c r="Q8879" i="13" a="1"/>
  <c r="Q8879" i="13" s="1"/>
  <c r="O8879" i="13" a="1"/>
  <c r="O8879" i="13" s="1"/>
  <c r="M8879" i="13" a="1"/>
  <c r="M8879" i="13" s="1"/>
  <c r="K8879" i="13" a="1"/>
  <c r="K8879" i="13" s="1"/>
  <c r="I8879" i="13" a="1"/>
  <c r="I8879" i="13" s="1"/>
  <c r="G8879" i="13" a="1"/>
  <c r="G8879" i="13" s="1"/>
  <c r="E8879" i="13" a="1"/>
  <c r="E8879" i="13" s="1"/>
  <c r="J8879" i="13" a="1"/>
  <c r="J8879" i="13" s="1"/>
  <c r="R8879" i="13" a="1"/>
  <c r="R8879" i="13" s="1"/>
  <c r="Z8879" i="13" a="1"/>
  <c r="Z8879" i="13" s="1"/>
  <c r="AH8879" i="13" a="1"/>
  <c r="AH8879" i="13" s="1"/>
  <c r="AH8881" i="13" a="1"/>
  <c r="AH8881" i="13" s="1"/>
  <c r="AF8881" i="13" a="1"/>
  <c r="AF8881" i="13" s="1"/>
  <c r="AD8881" i="13" a="1"/>
  <c r="AD8881" i="13" s="1"/>
  <c r="AB8881" i="13" a="1"/>
  <c r="AB8881" i="13" s="1"/>
  <c r="Z8881" i="13" a="1"/>
  <c r="Z8881" i="13" s="1"/>
  <c r="X8881" i="13" a="1"/>
  <c r="X8881" i="13" s="1"/>
  <c r="V8881" i="13" a="1"/>
  <c r="V8881" i="13" s="1"/>
  <c r="T8881" i="13" a="1"/>
  <c r="T8881" i="13" s="1"/>
  <c r="R8881" i="13" a="1"/>
  <c r="R8881" i="13" s="1"/>
  <c r="P8881" i="13" a="1"/>
  <c r="P8881" i="13" s="1"/>
  <c r="N8881" i="13" a="1"/>
  <c r="N8881" i="13" s="1"/>
  <c r="L8881" i="13" a="1"/>
  <c r="L8881" i="13" s="1"/>
  <c r="J8881" i="13" a="1"/>
  <c r="J8881" i="13" s="1"/>
  <c r="H8881" i="13" a="1"/>
  <c r="H8881" i="13" s="1"/>
  <c r="F8881" i="13" a="1"/>
  <c r="F8881" i="13" s="1"/>
  <c r="G8881" i="13" a="1"/>
  <c r="G8881" i="13" s="1"/>
  <c r="O8881" i="13" a="1"/>
  <c r="O8881" i="13" s="1"/>
  <c r="W8881" i="13" a="1"/>
  <c r="W8881" i="13" s="1"/>
  <c r="AE8881" i="13" a="1"/>
  <c r="AE8881" i="13" s="1"/>
  <c r="AH8882" i="13" a="1"/>
  <c r="AH8882" i="13" s="1"/>
  <c r="AF8882" i="13" a="1"/>
  <c r="AF8882" i="13" s="1"/>
  <c r="AD8882" i="13" a="1"/>
  <c r="AD8882" i="13" s="1"/>
  <c r="AB8882" i="13" a="1"/>
  <c r="AB8882" i="13" s="1"/>
  <c r="Z8882" i="13" a="1"/>
  <c r="Z8882" i="13" s="1"/>
  <c r="X8882" i="13" a="1"/>
  <c r="X8882" i="13" s="1"/>
  <c r="V8882" i="13" a="1"/>
  <c r="V8882" i="13" s="1"/>
  <c r="T8882" i="13" a="1"/>
  <c r="T8882" i="13" s="1"/>
  <c r="AG8882" i="13" a="1"/>
  <c r="AG8882" i="13" s="1"/>
  <c r="Y8882" i="13" a="1"/>
  <c r="Y8882" i="13" s="1"/>
  <c r="G8882" i="13" a="1"/>
  <c r="G8882" i="13" s="1"/>
  <c r="J8882" i="13" a="1"/>
  <c r="J8882" i="13" s="1"/>
  <c r="O8882" i="13" a="1"/>
  <c r="O8882" i="13" s="1"/>
  <c r="R8882" i="13" a="1"/>
  <c r="R8882" i="13" s="1"/>
  <c r="U8882" i="13" a="1"/>
  <c r="U8882" i="13" s="1"/>
  <c r="AI8882" i="13" a="1"/>
  <c r="AI8882" i="13" s="1"/>
  <c r="AO8882" i="13" s="1" a="1"/>
  <c r="AO8882" i="13" s="1"/>
  <c r="AG8883" i="13" a="1"/>
  <c r="AG8883" i="13" s="1"/>
  <c r="AB8883" i="13" a="1"/>
  <c r="AB8883" i="13" s="1"/>
  <c r="Y8883" i="13" a="1"/>
  <c r="Y8883" i="13" s="1"/>
  <c r="T8883" i="13" a="1"/>
  <c r="T8883" i="13" s="1"/>
  <c r="Q8883" i="13" a="1"/>
  <c r="Q8883" i="13" s="1"/>
  <c r="L8883" i="13" a="1"/>
  <c r="L8883" i="13" s="1"/>
  <c r="I8883" i="13" a="1"/>
  <c r="I8883" i="13" s="1"/>
  <c r="H8883" i="13" a="1"/>
  <c r="H8883" i="13" s="1"/>
  <c r="K8883" i="13" a="1"/>
  <c r="K8883" i="13" s="1"/>
  <c r="O8883" i="13" a="1"/>
  <c r="O8883" i="13" s="1"/>
  <c r="V8883" i="13" a="1"/>
  <c r="V8883" i="13" s="1"/>
  <c r="Z8883" i="13" a="1"/>
  <c r="Z8883" i="13" s="1"/>
  <c r="AC8883" i="13" a="1"/>
  <c r="AC8883" i="13" s="1"/>
  <c r="AG8887" i="13" a="1"/>
  <c r="AG8887" i="13" s="1"/>
  <c r="AB8887" i="13" a="1"/>
  <c r="AB8887" i="13" s="1"/>
  <c r="Y8887" i="13" a="1"/>
  <c r="Y8887" i="13" s="1"/>
  <c r="T8887" i="13" a="1"/>
  <c r="T8887" i="13" s="1"/>
  <c r="Q8887" i="13" a="1"/>
  <c r="Q8887" i="13" s="1"/>
  <c r="L8887" i="13" a="1"/>
  <c r="L8887" i="13" s="1"/>
  <c r="I8887" i="13" a="1"/>
  <c r="I8887" i="13" s="1"/>
  <c r="AF8887" i="13" a="1"/>
  <c r="AF8887" i="13" s="1"/>
  <c r="AC8887" i="13" a="1"/>
  <c r="AC8887" i="13" s="1"/>
  <c r="X8887" i="13" a="1"/>
  <c r="X8887" i="13" s="1"/>
  <c r="U8887" i="13" a="1"/>
  <c r="U8887" i="13" s="1"/>
  <c r="P8887" i="13" a="1"/>
  <c r="P8887" i="13" s="1"/>
  <c r="M8887" i="13" a="1"/>
  <c r="M8887" i="13" s="1"/>
  <c r="H8887" i="13" a="1"/>
  <c r="H8887" i="13" s="1"/>
  <c r="E8887" i="13" a="1"/>
  <c r="E8887" i="13" s="1"/>
  <c r="J8887" i="13" a="1"/>
  <c r="J8887" i="13" s="1"/>
  <c r="O8887" i="13" a="1"/>
  <c r="O8887" i="13" s="1"/>
  <c r="Z8887" i="13" a="1"/>
  <c r="Z8887" i="13" s="1"/>
  <c r="AE8887" i="13" a="1"/>
  <c r="AE8887" i="13" s="1"/>
  <c r="AH8891" i="13" a="1"/>
  <c r="AH8891" i="13" s="1"/>
  <c r="AE8891" i="13" a="1"/>
  <c r="AE8891" i="13" s="1"/>
  <c r="AI8891" i="13" a="1"/>
  <c r="AI8891" i="13" s="1"/>
  <c r="AO8891" i="13" s="1" a="1"/>
  <c r="AO8891" i="13" s="1"/>
  <c r="AF8891" i="13" a="1"/>
  <c r="AF8891" i="13" s="1"/>
  <c r="AB8891" i="13" a="1"/>
  <c r="AB8891" i="13" s="1"/>
  <c r="Y8891" i="13" a="1"/>
  <c r="Y8891" i="13" s="1"/>
  <c r="T8891" i="13" a="1"/>
  <c r="T8891" i="13" s="1"/>
  <c r="Q8891" i="13" a="1"/>
  <c r="Q8891" i="13" s="1"/>
  <c r="L8891" i="13" a="1"/>
  <c r="L8891" i="13" s="1"/>
  <c r="I8891" i="13" a="1"/>
  <c r="I8891" i="13" s="1"/>
  <c r="AG8891" i="13" a="1"/>
  <c r="AG8891" i="13" s="1"/>
  <c r="AD8891" i="13" a="1"/>
  <c r="AD8891" i="13" s="1"/>
  <c r="X8891" i="13" a="1"/>
  <c r="X8891" i="13" s="1"/>
  <c r="U8891" i="13" a="1"/>
  <c r="U8891" i="13" s="1"/>
  <c r="P8891" i="13" a="1"/>
  <c r="P8891" i="13" s="1"/>
  <c r="M8891" i="13" a="1"/>
  <c r="M8891" i="13" s="1"/>
  <c r="H8891" i="13" a="1"/>
  <c r="H8891" i="13" s="1"/>
  <c r="E8891" i="13" a="1"/>
  <c r="E8891" i="13" s="1"/>
  <c r="J8891" i="13" a="1"/>
  <c r="J8891" i="13" s="1"/>
  <c r="O8891" i="13" a="1"/>
  <c r="O8891" i="13" s="1"/>
  <c r="Z8891" i="13" a="1"/>
  <c r="Z8891" i="13" s="1"/>
  <c r="AK8897" i="13"/>
  <c r="AL8897" i="13" s="1"/>
  <c r="AM8897" i="13" s="1"/>
  <c r="AN8897" i="13" s="1"/>
  <c r="AK8905" i="13"/>
  <c r="AL8905" i="13" s="1"/>
  <c r="AM8905" i="13" s="1"/>
  <c r="AN8905" i="13" s="1"/>
  <c r="AH8912" i="13" a="1"/>
  <c r="AH8912" i="13" s="1"/>
  <c r="AF8912" i="13" a="1"/>
  <c r="AF8912" i="13" s="1"/>
  <c r="AD8912" i="13" a="1"/>
  <c r="AD8912" i="13" s="1"/>
  <c r="AB8912" i="13" a="1"/>
  <c r="AB8912" i="13" s="1"/>
  <c r="Z8912" i="13" a="1"/>
  <c r="Z8912" i="13" s="1"/>
  <c r="X8912" i="13" a="1"/>
  <c r="X8912" i="13" s="1"/>
  <c r="V8912" i="13" a="1"/>
  <c r="V8912" i="13" s="1"/>
  <c r="T8912" i="13" a="1"/>
  <c r="T8912" i="13" s="1"/>
  <c r="R8912" i="13" a="1"/>
  <c r="R8912" i="13" s="1"/>
  <c r="P8912" i="13" a="1"/>
  <c r="P8912" i="13" s="1"/>
  <c r="N8912" i="13" a="1"/>
  <c r="N8912" i="13" s="1"/>
  <c r="L8912" i="13" a="1"/>
  <c r="L8912" i="13" s="1"/>
  <c r="J8912" i="13" a="1"/>
  <c r="J8912" i="13" s="1"/>
  <c r="H8912" i="13" a="1"/>
  <c r="H8912" i="13" s="1"/>
  <c r="F8912" i="13" a="1"/>
  <c r="F8912" i="13" s="1"/>
  <c r="AI8912" i="13" a="1"/>
  <c r="AI8912" i="13" s="1"/>
  <c r="AO8912" i="13" s="1" a="1"/>
  <c r="AO8912" i="13" s="1"/>
  <c r="AA8912" i="13" a="1"/>
  <c r="AA8912" i="13" s="1"/>
  <c r="S8912" i="13" a="1"/>
  <c r="S8912" i="13" s="1"/>
  <c r="K8912" i="13" a="1"/>
  <c r="K8912" i="13" s="1"/>
  <c r="W8912" i="13" a="1"/>
  <c r="W8912" i="13" s="1"/>
  <c r="I8912" i="13" a="1"/>
  <c r="I8912" i="13" s="1"/>
  <c r="E8912" i="13" a="1"/>
  <c r="E8912" i="13" s="1"/>
  <c r="Y8912" i="13" a="1"/>
  <c r="Y8912" i="13" s="1"/>
  <c r="U8912" i="13" a="1"/>
  <c r="U8912" i="13" s="1"/>
  <c r="G8912" i="13" a="1"/>
  <c r="G8912" i="13" s="1"/>
  <c r="M8912" i="13" a="1"/>
  <c r="M8912" i="13" s="1"/>
  <c r="AE8912" i="13" a="1"/>
  <c r="AE8912" i="13" s="1"/>
  <c r="Q8912" i="13" a="1"/>
  <c r="Q8912" i="13" s="1"/>
  <c r="AG8912" i="13" a="1"/>
  <c r="AG8912" i="13" s="1"/>
  <c r="AH8857" i="13" a="1"/>
  <c r="AH8857" i="13" s="1"/>
  <c r="AF8857" i="13" a="1"/>
  <c r="AF8857" i="13" s="1"/>
  <c r="AD8857" i="13" a="1"/>
  <c r="AD8857" i="13" s="1"/>
  <c r="AB8857" i="13" a="1"/>
  <c r="AB8857" i="13" s="1"/>
  <c r="Z8857" i="13" a="1"/>
  <c r="Z8857" i="13" s="1"/>
  <c r="X8857" i="13" a="1"/>
  <c r="X8857" i="13" s="1"/>
  <c r="V8857" i="13" a="1"/>
  <c r="V8857" i="13" s="1"/>
  <c r="T8857" i="13" a="1"/>
  <c r="T8857" i="13" s="1"/>
  <c r="R8857" i="13" a="1"/>
  <c r="R8857" i="13" s="1"/>
  <c r="P8857" i="13" a="1"/>
  <c r="P8857" i="13" s="1"/>
  <c r="N8857" i="13" a="1"/>
  <c r="N8857" i="13" s="1"/>
  <c r="L8857" i="13" a="1"/>
  <c r="L8857" i="13" s="1"/>
  <c r="J8857" i="13" a="1"/>
  <c r="J8857" i="13" s="1"/>
  <c r="K8857" i="13" a="1"/>
  <c r="K8857" i="13" s="1"/>
  <c r="S8857" i="13" a="1"/>
  <c r="S8857" i="13" s="1"/>
  <c r="AA8857" i="13" a="1"/>
  <c r="AA8857" i="13" s="1"/>
  <c r="AI8857" i="13" a="1"/>
  <c r="AI8857" i="13" s="1"/>
  <c r="AO8857" i="13" s="1" a="1"/>
  <c r="AO8857" i="13" s="1"/>
  <c r="F8858" i="13" a="1"/>
  <c r="F8858" i="13" s="1"/>
  <c r="K8858" i="13" a="1"/>
  <c r="K8858" i="13" s="1"/>
  <c r="N8858" i="13" a="1"/>
  <c r="N8858" i="13" s="1"/>
  <c r="S8858" i="13" a="1"/>
  <c r="S8858" i="13" s="1"/>
  <c r="V8858" i="13" a="1"/>
  <c r="V8858" i="13" s="1"/>
  <c r="AA8858" i="13" a="1"/>
  <c r="AA8858" i="13" s="1"/>
  <c r="AD8858" i="13" a="1"/>
  <c r="AD8858" i="13" s="1"/>
  <c r="F8859" i="13" a="1"/>
  <c r="F8859" i="13" s="1"/>
  <c r="N8859" i="13" a="1"/>
  <c r="N8859" i="13" s="1"/>
  <c r="V8859" i="13" a="1"/>
  <c r="V8859" i="13" s="1"/>
  <c r="AD8859" i="13" a="1"/>
  <c r="AD8859" i="13" s="1"/>
  <c r="K8861" i="13" a="1"/>
  <c r="K8861" i="13" s="1"/>
  <c r="S8861" i="13" a="1"/>
  <c r="S8861" i="13" s="1"/>
  <c r="AA8861" i="13" a="1"/>
  <c r="AA8861" i="13" s="1"/>
  <c r="AI8861" i="13" a="1"/>
  <c r="AI8861" i="13" s="1"/>
  <c r="AO8861" i="13" s="1" a="1"/>
  <c r="AO8861" i="13" s="1"/>
  <c r="F8862" i="13" a="1"/>
  <c r="F8862" i="13" s="1"/>
  <c r="K8862" i="13" a="1"/>
  <c r="K8862" i="13" s="1"/>
  <c r="N8862" i="13" a="1"/>
  <c r="N8862" i="13" s="1"/>
  <c r="S8862" i="13" a="1"/>
  <c r="S8862" i="13" s="1"/>
  <c r="V8862" i="13" a="1"/>
  <c r="V8862" i="13" s="1"/>
  <c r="AA8862" i="13" a="1"/>
  <c r="AA8862" i="13" s="1"/>
  <c r="AD8862" i="13" a="1"/>
  <c r="AD8862" i="13" s="1"/>
  <c r="F8863" i="13" a="1"/>
  <c r="F8863" i="13" s="1"/>
  <c r="N8863" i="13" a="1"/>
  <c r="N8863" i="13" s="1"/>
  <c r="V8863" i="13" a="1"/>
  <c r="V8863" i="13" s="1"/>
  <c r="AD8863" i="13" a="1"/>
  <c r="AD8863" i="13" s="1"/>
  <c r="K8865" i="13" a="1"/>
  <c r="K8865" i="13" s="1"/>
  <c r="S8865" i="13" a="1"/>
  <c r="S8865" i="13" s="1"/>
  <c r="AA8865" i="13" a="1"/>
  <c r="AA8865" i="13" s="1"/>
  <c r="AI8865" i="13" a="1"/>
  <c r="AI8865" i="13" s="1"/>
  <c r="AO8865" i="13" s="1" a="1"/>
  <c r="AO8865" i="13" s="1"/>
  <c r="F8866" i="13" a="1"/>
  <c r="F8866" i="13" s="1"/>
  <c r="K8866" i="13" a="1"/>
  <c r="K8866" i="13" s="1"/>
  <c r="N8866" i="13" a="1"/>
  <c r="N8866" i="13" s="1"/>
  <c r="S8866" i="13" a="1"/>
  <c r="S8866" i="13" s="1"/>
  <c r="V8866" i="13" a="1"/>
  <c r="V8866" i="13" s="1"/>
  <c r="AA8866" i="13" a="1"/>
  <c r="AA8866" i="13" s="1"/>
  <c r="AD8866" i="13" a="1"/>
  <c r="AD8866" i="13" s="1"/>
  <c r="F8867" i="13" a="1"/>
  <c r="F8867" i="13" s="1"/>
  <c r="N8867" i="13" a="1"/>
  <c r="N8867" i="13" s="1"/>
  <c r="V8867" i="13" a="1"/>
  <c r="V8867" i="13" s="1"/>
  <c r="AD8867" i="13" a="1"/>
  <c r="AD8867" i="13" s="1"/>
  <c r="K8869" i="13" a="1"/>
  <c r="K8869" i="13" s="1"/>
  <c r="S8869" i="13" a="1"/>
  <c r="S8869" i="13" s="1"/>
  <c r="AA8869" i="13" a="1"/>
  <c r="AA8869" i="13" s="1"/>
  <c r="AI8869" i="13" a="1"/>
  <c r="AI8869" i="13" s="1"/>
  <c r="AO8869" i="13" s="1" a="1"/>
  <c r="AO8869" i="13" s="1"/>
  <c r="F8870" i="13" a="1"/>
  <c r="F8870" i="13" s="1"/>
  <c r="K8870" i="13" a="1"/>
  <c r="K8870" i="13" s="1"/>
  <c r="N8870" i="13" a="1"/>
  <c r="N8870" i="13" s="1"/>
  <c r="S8870" i="13" a="1"/>
  <c r="S8870" i="13" s="1"/>
  <c r="V8870" i="13" a="1"/>
  <c r="V8870" i="13" s="1"/>
  <c r="AA8870" i="13" a="1"/>
  <c r="AA8870" i="13" s="1"/>
  <c r="AD8870" i="13" a="1"/>
  <c r="AD8870" i="13" s="1"/>
  <c r="F8871" i="13" a="1"/>
  <c r="F8871" i="13" s="1"/>
  <c r="N8871" i="13" a="1"/>
  <c r="N8871" i="13" s="1"/>
  <c r="V8871" i="13" a="1"/>
  <c r="V8871" i="13" s="1"/>
  <c r="AD8871" i="13" a="1"/>
  <c r="AD8871" i="13" s="1"/>
  <c r="K8873" i="13" a="1"/>
  <c r="K8873" i="13" s="1"/>
  <c r="S8873" i="13" a="1"/>
  <c r="S8873" i="13" s="1"/>
  <c r="AA8873" i="13" a="1"/>
  <c r="AA8873" i="13" s="1"/>
  <c r="AI8873" i="13" a="1"/>
  <c r="AI8873" i="13" s="1"/>
  <c r="AO8873" i="13" s="1" a="1"/>
  <c r="AO8873" i="13" s="1"/>
  <c r="F8874" i="13" a="1"/>
  <c r="F8874" i="13" s="1"/>
  <c r="K8874" i="13" a="1"/>
  <c r="K8874" i="13" s="1"/>
  <c r="N8874" i="13" a="1"/>
  <c r="N8874" i="13" s="1"/>
  <c r="S8874" i="13" a="1"/>
  <c r="S8874" i="13" s="1"/>
  <c r="V8874" i="13" a="1"/>
  <c r="V8874" i="13" s="1"/>
  <c r="AA8874" i="13" a="1"/>
  <c r="AA8874" i="13" s="1"/>
  <c r="AD8874" i="13" a="1"/>
  <c r="AD8874" i="13" s="1"/>
  <c r="F8875" i="13" a="1"/>
  <c r="F8875" i="13" s="1"/>
  <c r="N8875" i="13" a="1"/>
  <c r="N8875" i="13" s="1"/>
  <c r="V8875" i="13" a="1"/>
  <c r="V8875" i="13" s="1"/>
  <c r="AD8875" i="13" a="1"/>
  <c r="AD8875" i="13" s="1"/>
  <c r="K8877" i="13" a="1"/>
  <c r="K8877" i="13" s="1"/>
  <c r="S8877" i="13" a="1"/>
  <c r="S8877" i="13" s="1"/>
  <c r="AA8877" i="13" a="1"/>
  <c r="AA8877" i="13" s="1"/>
  <c r="AI8877" i="13" a="1"/>
  <c r="AI8877" i="13" s="1"/>
  <c r="AO8877" i="13" s="1" a="1"/>
  <c r="AO8877" i="13" s="1"/>
  <c r="F8878" i="13" a="1"/>
  <c r="F8878" i="13" s="1"/>
  <c r="K8878" i="13" a="1"/>
  <c r="K8878" i="13" s="1"/>
  <c r="N8878" i="13" a="1"/>
  <c r="N8878" i="13" s="1"/>
  <c r="S8878" i="13" a="1"/>
  <c r="S8878" i="13" s="1"/>
  <c r="V8878" i="13" a="1"/>
  <c r="V8878" i="13" s="1"/>
  <c r="AA8878" i="13" a="1"/>
  <c r="AA8878" i="13" s="1"/>
  <c r="AD8878" i="13" a="1"/>
  <c r="AD8878" i="13" s="1"/>
  <c r="F8879" i="13" a="1"/>
  <c r="F8879" i="13" s="1"/>
  <c r="N8879" i="13" a="1"/>
  <c r="N8879" i="13" s="1"/>
  <c r="V8879" i="13" a="1"/>
  <c r="V8879" i="13" s="1"/>
  <c r="AD8879" i="13" a="1"/>
  <c r="AD8879" i="13" s="1"/>
  <c r="K8881" i="13" a="1"/>
  <c r="K8881" i="13" s="1"/>
  <c r="S8881" i="13" a="1"/>
  <c r="S8881" i="13" s="1"/>
  <c r="AA8881" i="13" a="1"/>
  <c r="AA8881" i="13" s="1"/>
  <c r="AI8881" i="13" a="1"/>
  <c r="AI8881" i="13" s="1"/>
  <c r="AO8881" i="13" s="1" a="1"/>
  <c r="AO8881" i="13" s="1"/>
  <c r="F8882" i="13" a="1"/>
  <c r="F8882" i="13" s="1"/>
  <c r="K8882" i="13" a="1"/>
  <c r="K8882" i="13" s="1"/>
  <c r="N8882" i="13" a="1"/>
  <c r="N8882" i="13" s="1"/>
  <c r="S8882" i="13" a="1"/>
  <c r="S8882" i="13" s="1"/>
  <c r="W8882" i="13" a="1"/>
  <c r="W8882" i="13" s="1"/>
  <c r="F8883" i="13" a="1"/>
  <c r="F8883" i="13" s="1"/>
  <c r="J8883" i="13" a="1"/>
  <c r="J8883" i="13" s="1"/>
  <c r="M8883" i="13" a="1"/>
  <c r="M8883" i="13" s="1"/>
  <c r="X8883" i="13" a="1"/>
  <c r="X8883" i="13" s="1"/>
  <c r="AA8883" i="13" a="1"/>
  <c r="AA8883" i="13" s="1"/>
  <c r="AE8883" i="13" a="1"/>
  <c r="AE8883" i="13" s="1"/>
  <c r="AH8886" i="13" a="1"/>
  <c r="AH8886" i="13" s="1"/>
  <c r="AF8886" i="13" a="1"/>
  <c r="AF8886" i="13" s="1"/>
  <c r="AD8886" i="13" a="1"/>
  <c r="AD8886" i="13" s="1"/>
  <c r="AB8886" i="13" a="1"/>
  <c r="AB8886" i="13" s="1"/>
  <c r="Z8886" i="13" a="1"/>
  <c r="Z8886" i="13" s="1"/>
  <c r="X8886" i="13" a="1"/>
  <c r="X8886" i="13" s="1"/>
  <c r="V8886" i="13" a="1"/>
  <c r="V8886" i="13" s="1"/>
  <c r="T8886" i="13" a="1"/>
  <c r="T8886" i="13" s="1"/>
  <c r="R8886" i="13" a="1"/>
  <c r="R8886" i="13" s="1"/>
  <c r="P8886" i="13" a="1"/>
  <c r="P8886" i="13" s="1"/>
  <c r="N8886" i="13" a="1"/>
  <c r="N8886" i="13" s="1"/>
  <c r="L8886" i="13" a="1"/>
  <c r="L8886" i="13" s="1"/>
  <c r="J8886" i="13" a="1"/>
  <c r="J8886" i="13" s="1"/>
  <c r="H8886" i="13" a="1"/>
  <c r="H8886" i="13" s="1"/>
  <c r="F8886" i="13" a="1"/>
  <c r="F8886" i="13" s="1"/>
  <c r="AG8886" i="13" a="1"/>
  <c r="AG8886" i="13" s="1"/>
  <c r="Y8886" i="13" a="1"/>
  <c r="Y8886" i="13" s="1"/>
  <c r="Q8886" i="13" a="1"/>
  <c r="Q8886" i="13" s="1"/>
  <c r="I8886" i="13" a="1"/>
  <c r="I8886" i="13" s="1"/>
  <c r="AC8886" i="13" a="1"/>
  <c r="AC8886" i="13" s="1"/>
  <c r="U8886" i="13" a="1"/>
  <c r="U8886" i="13" s="1"/>
  <c r="M8886" i="13" a="1"/>
  <c r="M8886" i="13" s="1"/>
  <c r="E8886" i="13" a="1"/>
  <c r="E8886" i="13" s="1"/>
  <c r="O8886" i="13" a="1"/>
  <c r="O8886" i="13" s="1"/>
  <c r="AE8886" i="13" a="1"/>
  <c r="AE8886" i="13" s="1"/>
  <c r="G8887" i="13" a="1"/>
  <c r="G8887" i="13" s="1"/>
  <c r="R8887" i="13" a="1"/>
  <c r="R8887" i="13" s="1"/>
  <c r="W8887" i="13" a="1"/>
  <c r="W8887" i="13" s="1"/>
  <c r="AH8887" i="13" a="1"/>
  <c r="AH8887" i="13" s="1"/>
  <c r="AI8888" i="13" a="1"/>
  <c r="AI8888" i="13" s="1"/>
  <c r="AO8888" i="13" s="1" a="1"/>
  <c r="AO8888" i="13" s="1"/>
  <c r="AG8888" i="13" a="1"/>
  <c r="AG8888" i="13" s="1"/>
  <c r="AE8888" i="13" a="1"/>
  <c r="AE8888" i="13" s="1"/>
  <c r="AC8888" i="13" a="1"/>
  <c r="AC8888" i="13" s="1"/>
  <c r="AA8888" i="13" a="1"/>
  <c r="AA8888" i="13" s="1"/>
  <c r="Y8888" i="13" a="1"/>
  <c r="Y8888" i="13" s="1"/>
  <c r="W8888" i="13" a="1"/>
  <c r="W8888" i="13" s="1"/>
  <c r="U8888" i="13" a="1"/>
  <c r="U8888" i="13" s="1"/>
  <c r="S8888" i="13" a="1"/>
  <c r="S8888" i="13" s="1"/>
  <c r="Q8888" i="13" a="1"/>
  <c r="Q8888" i="13" s="1"/>
  <c r="O8888" i="13" a="1"/>
  <c r="O8888" i="13" s="1"/>
  <c r="M8888" i="13" a="1"/>
  <c r="M8888" i="13" s="1"/>
  <c r="K8888" i="13" a="1"/>
  <c r="K8888" i="13" s="1"/>
  <c r="I8888" i="13" a="1"/>
  <c r="I8888" i="13" s="1"/>
  <c r="G8888" i="13" a="1"/>
  <c r="G8888" i="13" s="1"/>
  <c r="E8888" i="13" a="1"/>
  <c r="E8888" i="13" s="1"/>
  <c r="AB8888" i="13" a="1"/>
  <c r="AB8888" i="13" s="1"/>
  <c r="T8888" i="13" a="1"/>
  <c r="T8888" i="13" s="1"/>
  <c r="L8888" i="13" a="1"/>
  <c r="L8888" i="13" s="1"/>
  <c r="AF8888" i="13" a="1"/>
  <c r="AF8888" i="13" s="1"/>
  <c r="X8888" i="13" a="1"/>
  <c r="X8888" i="13" s="1"/>
  <c r="P8888" i="13" a="1"/>
  <c r="P8888" i="13" s="1"/>
  <c r="H8888" i="13" a="1"/>
  <c r="H8888" i="13" s="1"/>
  <c r="J8888" i="13" a="1"/>
  <c r="J8888" i="13" s="1"/>
  <c r="Z8888" i="13" a="1"/>
  <c r="Z8888" i="13" s="1"/>
  <c r="AH8890" i="13" a="1"/>
  <c r="AH8890" i="13" s="1"/>
  <c r="AF8890" i="13" a="1"/>
  <c r="AF8890" i="13" s="1"/>
  <c r="AD8890" i="13" a="1"/>
  <c r="AD8890" i="13" s="1"/>
  <c r="AB8890" i="13" a="1"/>
  <c r="AB8890" i="13" s="1"/>
  <c r="Z8890" i="13" a="1"/>
  <c r="Z8890" i="13" s="1"/>
  <c r="X8890" i="13" a="1"/>
  <c r="X8890" i="13" s="1"/>
  <c r="V8890" i="13" a="1"/>
  <c r="V8890" i="13" s="1"/>
  <c r="T8890" i="13" a="1"/>
  <c r="T8890" i="13" s="1"/>
  <c r="R8890" i="13" a="1"/>
  <c r="R8890" i="13" s="1"/>
  <c r="P8890" i="13" a="1"/>
  <c r="P8890" i="13" s="1"/>
  <c r="N8890" i="13" a="1"/>
  <c r="N8890" i="13" s="1"/>
  <c r="L8890" i="13" a="1"/>
  <c r="L8890" i="13" s="1"/>
  <c r="J8890" i="13" a="1"/>
  <c r="J8890" i="13" s="1"/>
  <c r="H8890" i="13" a="1"/>
  <c r="H8890" i="13" s="1"/>
  <c r="F8890" i="13" a="1"/>
  <c r="F8890" i="13" s="1"/>
  <c r="AG8890" i="13" a="1"/>
  <c r="AG8890" i="13" s="1"/>
  <c r="Y8890" i="13" a="1"/>
  <c r="Y8890" i="13" s="1"/>
  <c r="Q8890" i="13" a="1"/>
  <c r="Q8890" i="13" s="1"/>
  <c r="I8890" i="13" a="1"/>
  <c r="I8890" i="13" s="1"/>
  <c r="AC8890" i="13" a="1"/>
  <c r="AC8890" i="13" s="1"/>
  <c r="U8890" i="13" a="1"/>
  <c r="U8890" i="13" s="1"/>
  <c r="M8890" i="13" a="1"/>
  <c r="M8890" i="13" s="1"/>
  <c r="E8890" i="13" a="1"/>
  <c r="E8890" i="13" s="1"/>
  <c r="O8890" i="13" a="1"/>
  <c r="O8890" i="13" s="1"/>
  <c r="AE8890" i="13" a="1"/>
  <c r="AE8890" i="13" s="1"/>
  <c r="G8891" i="13" a="1"/>
  <c r="G8891" i="13" s="1"/>
  <c r="R8891" i="13" a="1"/>
  <c r="R8891" i="13" s="1"/>
  <c r="W8891" i="13" a="1"/>
  <c r="W8891" i="13" s="1"/>
  <c r="AC8891" i="13" a="1"/>
  <c r="AC8891" i="13" s="1"/>
  <c r="AK8898" i="13"/>
  <c r="AL8898" i="13" s="1"/>
  <c r="AM8898" i="13" s="1"/>
  <c r="AN8898" i="13" s="1"/>
  <c r="AK8907" i="13"/>
  <c r="AL8907" i="13" s="1"/>
  <c r="AM8907" i="13" s="1"/>
  <c r="AN8907" i="13" s="1"/>
  <c r="AI8914" i="13" a="1"/>
  <c r="AI8914" i="13" s="1"/>
  <c r="AO8914" i="13" s="1" a="1"/>
  <c r="AO8914" i="13" s="1"/>
  <c r="AG8914" i="13" a="1"/>
  <c r="AG8914" i="13" s="1"/>
  <c r="AE8914" i="13" a="1"/>
  <c r="AE8914" i="13" s="1"/>
  <c r="AC8914" i="13" a="1"/>
  <c r="AC8914" i="13" s="1"/>
  <c r="AA8914" i="13" a="1"/>
  <c r="AA8914" i="13" s="1"/>
  <c r="Y8914" i="13" a="1"/>
  <c r="Y8914" i="13" s="1"/>
  <c r="W8914" i="13" a="1"/>
  <c r="W8914" i="13" s="1"/>
  <c r="U8914" i="13" a="1"/>
  <c r="U8914" i="13" s="1"/>
  <c r="S8914" i="13" a="1"/>
  <c r="S8914" i="13" s="1"/>
  <c r="Q8914" i="13" a="1"/>
  <c r="Q8914" i="13" s="1"/>
  <c r="O8914" i="13" a="1"/>
  <c r="O8914" i="13" s="1"/>
  <c r="M8914" i="13" a="1"/>
  <c r="M8914" i="13" s="1"/>
  <c r="K8914" i="13" a="1"/>
  <c r="K8914" i="13" s="1"/>
  <c r="I8914" i="13" a="1"/>
  <c r="I8914" i="13" s="1"/>
  <c r="G8914" i="13" a="1"/>
  <c r="G8914" i="13" s="1"/>
  <c r="E8914" i="13" a="1"/>
  <c r="E8914" i="13" s="1"/>
  <c r="AD8914" i="13" a="1"/>
  <c r="AD8914" i="13" s="1"/>
  <c r="V8914" i="13" a="1"/>
  <c r="V8914" i="13" s="1"/>
  <c r="N8914" i="13" a="1"/>
  <c r="N8914" i="13" s="1"/>
  <c r="F8914" i="13" a="1"/>
  <c r="F8914" i="13" s="1"/>
  <c r="AF8914" i="13" a="1"/>
  <c r="AF8914" i="13" s="1"/>
  <c r="R8914" i="13" a="1"/>
  <c r="R8914" i="13" s="1"/>
  <c r="AH8914" i="13" a="1"/>
  <c r="AH8914" i="13" s="1"/>
  <c r="T8914" i="13" a="1"/>
  <c r="T8914" i="13" s="1"/>
  <c r="P8914" i="13" a="1"/>
  <c r="P8914" i="13" s="1"/>
  <c r="AB8914" i="13" a="1"/>
  <c r="AB8914" i="13" s="1"/>
  <c r="X8914" i="13" a="1"/>
  <c r="X8914" i="13" s="1"/>
  <c r="J8914" i="13" a="1"/>
  <c r="J8914" i="13" s="1"/>
  <c r="AK8928" i="13"/>
  <c r="AL8928" i="13" s="1"/>
  <c r="AM8928" i="13" s="1"/>
  <c r="AN8928" i="13" s="1"/>
  <c r="AK8915" i="13"/>
  <c r="AL8915" i="13" s="1"/>
  <c r="AM8915" i="13" s="1"/>
  <c r="AN8915" i="13" s="1"/>
  <c r="O8916" i="13" a="1"/>
  <c r="O8916" i="13" s="1"/>
  <c r="AH8924" i="13" a="1"/>
  <c r="AH8924" i="13" s="1"/>
  <c r="AF8924" i="13" a="1"/>
  <c r="AF8924" i="13" s="1"/>
  <c r="AD8924" i="13" a="1"/>
  <c r="AD8924" i="13" s="1"/>
  <c r="AB8924" i="13" a="1"/>
  <c r="AB8924" i="13" s="1"/>
  <c r="Z8924" i="13" a="1"/>
  <c r="Z8924" i="13" s="1"/>
  <c r="X8924" i="13" a="1"/>
  <c r="X8924" i="13" s="1"/>
  <c r="V8924" i="13" a="1"/>
  <c r="V8924" i="13" s="1"/>
  <c r="T8924" i="13" a="1"/>
  <c r="T8924" i="13" s="1"/>
  <c r="R8924" i="13" a="1"/>
  <c r="R8924" i="13" s="1"/>
  <c r="P8924" i="13" a="1"/>
  <c r="P8924" i="13" s="1"/>
  <c r="N8924" i="13" a="1"/>
  <c r="N8924" i="13" s="1"/>
  <c r="L8924" i="13" a="1"/>
  <c r="L8924" i="13" s="1"/>
  <c r="J8924" i="13" a="1"/>
  <c r="J8924" i="13" s="1"/>
  <c r="H8924" i="13" a="1"/>
  <c r="H8924" i="13" s="1"/>
  <c r="F8924" i="13" a="1"/>
  <c r="F8924" i="13" s="1"/>
  <c r="AI8924" i="13" a="1"/>
  <c r="AI8924" i="13" s="1"/>
  <c r="AO8924" i="13" s="1" a="1"/>
  <c r="AO8924" i="13" s="1"/>
  <c r="AA8924" i="13" a="1"/>
  <c r="AA8924" i="13" s="1"/>
  <c r="S8924" i="13" a="1"/>
  <c r="S8924" i="13" s="1"/>
  <c r="K8924" i="13" a="1"/>
  <c r="K8924" i="13" s="1"/>
  <c r="W8924" i="13" a="1"/>
  <c r="W8924" i="13" s="1"/>
  <c r="I8924" i="13" a="1"/>
  <c r="I8924" i="13" s="1"/>
  <c r="E8924" i="13" a="1"/>
  <c r="E8924" i="13" s="1"/>
  <c r="Y8924" i="13" a="1"/>
  <c r="Y8924" i="13" s="1"/>
  <c r="U8924" i="13" a="1"/>
  <c r="U8924" i="13" s="1"/>
  <c r="G8924" i="13" a="1"/>
  <c r="G8924" i="13" s="1"/>
  <c r="AG8924" i="13" a="1"/>
  <c r="AG8924" i="13" s="1"/>
  <c r="AH8916" i="13" a="1"/>
  <c r="AH8916" i="13" s="1"/>
  <c r="AF8916" i="13" a="1"/>
  <c r="AF8916" i="13" s="1"/>
  <c r="AD8916" i="13" a="1"/>
  <c r="AD8916" i="13" s="1"/>
  <c r="AB8916" i="13" a="1"/>
  <c r="AB8916" i="13" s="1"/>
  <c r="Z8916" i="13" a="1"/>
  <c r="Z8916" i="13" s="1"/>
  <c r="X8916" i="13" a="1"/>
  <c r="X8916" i="13" s="1"/>
  <c r="V8916" i="13" a="1"/>
  <c r="V8916" i="13" s="1"/>
  <c r="T8916" i="13" a="1"/>
  <c r="T8916" i="13" s="1"/>
  <c r="R8916" i="13" a="1"/>
  <c r="R8916" i="13" s="1"/>
  <c r="P8916" i="13" a="1"/>
  <c r="P8916" i="13" s="1"/>
  <c r="N8916" i="13" a="1"/>
  <c r="N8916" i="13" s="1"/>
  <c r="L8916" i="13" a="1"/>
  <c r="L8916" i="13" s="1"/>
  <c r="J8916" i="13" a="1"/>
  <c r="J8916" i="13" s="1"/>
  <c r="H8916" i="13" a="1"/>
  <c r="H8916" i="13" s="1"/>
  <c r="F8916" i="13" a="1"/>
  <c r="F8916" i="13" s="1"/>
  <c r="AI8916" i="13" a="1"/>
  <c r="AI8916" i="13" s="1"/>
  <c r="AO8916" i="13" s="1" a="1"/>
  <c r="AO8916" i="13" s="1"/>
  <c r="AA8916" i="13" a="1"/>
  <c r="AA8916" i="13" s="1"/>
  <c r="S8916" i="13" a="1"/>
  <c r="S8916" i="13" s="1"/>
  <c r="K8916" i="13" a="1"/>
  <c r="K8916" i="13" s="1"/>
  <c r="W8916" i="13" a="1"/>
  <c r="W8916" i="13" s="1"/>
  <c r="I8916" i="13" a="1"/>
  <c r="I8916" i="13" s="1"/>
  <c r="E8916" i="13" a="1"/>
  <c r="E8916" i="13" s="1"/>
  <c r="Y8916" i="13" a="1"/>
  <c r="Y8916" i="13" s="1"/>
  <c r="U8916" i="13" a="1"/>
  <c r="U8916" i="13" s="1"/>
  <c r="G8916" i="13" a="1"/>
  <c r="G8916" i="13" s="1"/>
  <c r="AG8916" i="13" a="1"/>
  <c r="AG8916" i="13" s="1"/>
  <c r="AI8918" i="13" a="1"/>
  <c r="AI8918" i="13" s="1"/>
  <c r="AO8918" i="13" s="1" a="1"/>
  <c r="AO8918" i="13" s="1"/>
  <c r="AG8918" i="13" a="1"/>
  <c r="AG8918" i="13" s="1"/>
  <c r="AE8918" i="13" a="1"/>
  <c r="AE8918" i="13" s="1"/>
  <c r="AC8918" i="13" a="1"/>
  <c r="AC8918" i="13" s="1"/>
  <c r="AA8918" i="13" a="1"/>
  <c r="AA8918" i="13" s="1"/>
  <c r="Y8918" i="13" a="1"/>
  <c r="Y8918" i="13" s="1"/>
  <c r="W8918" i="13" a="1"/>
  <c r="W8918" i="13" s="1"/>
  <c r="U8918" i="13" a="1"/>
  <c r="U8918" i="13" s="1"/>
  <c r="S8918" i="13" a="1"/>
  <c r="S8918" i="13" s="1"/>
  <c r="Q8918" i="13" a="1"/>
  <c r="Q8918" i="13" s="1"/>
  <c r="O8918" i="13" a="1"/>
  <c r="O8918" i="13" s="1"/>
  <c r="M8918" i="13" a="1"/>
  <c r="M8918" i="13" s="1"/>
  <c r="K8918" i="13" a="1"/>
  <c r="K8918" i="13" s="1"/>
  <c r="I8918" i="13" a="1"/>
  <c r="I8918" i="13" s="1"/>
  <c r="G8918" i="13" a="1"/>
  <c r="G8918" i="13" s="1"/>
  <c r="E8918" i="13" a="1"/>
  <c r="E8918" i="13" s="1"/>
  <c r="AD8918" i="13" a="1"/>
  <c r="AD8918" i="13" s="1"/>
  <c r="V8918" i="13" a="1"/>
  <c r="V8918" i="13" s="1"/>
  <c r="N8918" i="13" a="1"/>
  <c r="N8918" i="13" s="1"/>
  <c r="F8918" i="13" a="1"/>
  <c r="F8918" i="13" s="1"/>
  <c r="AF8918" i="13" a="1"/>
  <c r="AF8918" i="13" s="1"/>
  <c r="R8918" i="13" a="1"/>
  <c r="R8918" i="13" s="1"/>
  <c r="AH8918" i="13" a="1"/>
  <c r="AH8918" i="13" s="1"/>
  <c r="T8918" i="13" a="1"/>
  <c r="T8918" i="13" s="1"/>
  <c r="P8918" i="13" a="1"/>
  <c r="P8918" i="13" s="1"/>
  <c r="L8918" i="13" a="1"/>
  <c r="L8918" i="13" s="1"/>
  <c r="Z8918" i="13" a="1"/>
  <c r="Z8918" i="13" s="1"/>
  <c r="AK8923" i="13"/>
  <c r="AL8923" i="13" s="1"/>
  <c r="AM8923" i="13" s="1"/>
  <c r="AN8923" i="13" s="1"/>
  <c r="AI8913" i="13" a="1"/>
  <c r="AI8913" i="13" s="1"/>
  <c r="AO8913" i="13" s="1" a="1"/>
  <c r="AO8913" i="13" s="1"/>
  <c r="AD8913" i="13" a="1"/>
  <c r="AD8913" i="13" s="1"/>
  <c r="AA8913" i="13" a="1"/>
  <c r="AA8913" i="13" s="1"/>
  <c r="V8913" i="13" a="1"/>
  <c r="V8913" i="13" s="1"/>
  <c r="S8913" i="13" a="1"/>
  <c r="S8913" i="13" s="1"/>
  <c r="N8913" i="13" a="1"/>
  <c r="N8913" i="13" s="1"/>
  <c r="K8913" i="13" a="1"/>
  <c r="K8913" i="13" s="1"/>
  <c r="F8913" i="13" a="1"/>
  <c r="F8913" i="13" s="1"/>
  <c r="H8913" i="13" a="1"/>
  <c r="H8913" i="13" s="1"/>
  <c r="L8913" i="13" a="1"/>
  <c r="L8913" i="13" s="1"/>
  <c r="O8913" i="13" a="1"/>
  <c r="O8913" i="13" s="1"/>
  <c r="Z8913" i="13" a="1"/>
  <c r="Z8913" i="13" s="1"/>
  <c r="AC8913" i="13" a="1"/>
  <c r="AC8913" i="13" s="1"/>
  <c r="AG8913" i="13" a="1"/>
  <c r="AG8913" i="13" s="1"/>
  <c r="AI8917" i="13" a="1"/>
  <c r="AI8917" i="13" s="1"/>
  <c r="AO8917" i="13" s="1" a="1"/>
  <c r="AO8917" i="13" s="1"/>
  <c r="AD8917" i="13" a="1"/>
  <c r="AD8917" i="13" s="1"/>
  <c r="AA8917" i="13" a="1"/>
  <c r="AA8917" i="13" s="1"/>
  <c r="V8917" i="13" a="1"/>
  <c r="V8917" i="13" s="1"/>
  <c r="S8917" i="13" a="1"/>
  <c r="S8917" i="13" s="1"/>
  <c r="N8917" i="13" a="1"/>
  <c r="N8917" i="13" s="1"/>
  <c r="K8917" i="13" a="1"/>
  <c r="K8917" i="13" s="1"/>
  <c r="F8917" i="13" a="1"/>
  <c r="F8917" i="13" s="1"/>
  <c r="H8917" i="13" a="1"/>
  <c r="H8917" i="13" s="1"/>
  <c r="L8917" i="13" a="1"/>
  <c r="L8917" i="13" s="1"/>
  <c r="O8917" i="13" a="1"/>
  <c r="O8917" i="13" s="1"/>
  <c r="Z8917" i="13" a="1"/>
  <c r="Z8917" i="13" s="1"/>
  <c r="AC8917" i="13" a="1"/>
  <c r="AC8917" i="13" s="1"/>
  <c r="AG8917" i="13" a="1"/>
  <c r="AG8917" i="13" s="1"/>
  <c r="AI8921" i="13" a="1"/>
  <c r="AI8921" i="13" s="1"/>
  <c r="AO8921" i="13" s="1" a="1"/>
  <c r="AO8921" i="13" s="1"/>
  <c r="AD8921" i="13" a="1"/>
  <c r="AD8921" i="13" s="1"/>
  <c r="AA8921" i="13" a="1"/>
  <c r="AA8921" i="13" s="1"/>
  <c r="V8921" i="13" a="1"/>
  <c r="V8921" i="13" s="1"/>
  <c r="S8921" i="13" a="1"/>
  <c r="S8921" i="13" s="1"/>
  <c r="N8921" i="13" a="1"/>
  <c r="N8921" i="13" s="1"/>
  <c r="K8921" i="13" a="1"/>
  <c r="K8921" i="13" s="1"/>
  <c r="F8921" i="13" a="1"/>
  <c r="F8921" i="13" s="1"/>
  <c r="H8921" i="13" a="1"/>
  <c r="H8921" i="13" s="1"/>
  <c r="L8921" i="13" a="1"/>
  <c r="L8921" i="13" s="1"/>
  <c r="O8921" i="13" a="1"/>
  <c r="O8921" i="13" s="1"/>
  <c r="Z8921" i="13" a="1"/>
  <c r="Z8921" i="13" s="1"/>
  <c r="AC8921" i="13" a="1"/>
  <c r="AC8921" i="13" s="1"/>
  <c r="AG8921" i="13" a="1"/>
  <c r="AG8921" i="13" s="1"/>
  <c r="AH8925" i="13" a="1"/>
  <c r="AH8925" i="13" s="1"/>
  <c r="AE8925" i="13" a="1"/>
  <c r="AE8925" i="13" s="1"/>
  <c r="Z8925" i="13" a="1"/>
  <c r="Z8925" i="13" s="1"/>
  <c r="W8925" i="13" a="1"/>
  <c r="W8925" i="13" s="1"/>
  <c r="R8925" i="13" a="1"/>
  <c r="R8925" i="13" s="1"/>
  <c r="O8925" i="13" a="1"/>
  <c r="O8925" i="13" s="1"/>
  <c r="J8925" i="13" a="1"/>
  <c r="J8925" i="13" s="1"/>
  <c r="AG8925" i="13" a="1"/>
  <c r="AG8925" i="13" s="1"/>
  <c r="AD8925" i="13" a="1"/>
  <c r="AD8925" i="13" s="1"/>
  <c r="S8925" i="13" a="1"/>
  <c r="S8925" i="13" s="1"/>
  <c r="P8925" i="13" a="1"/>
  <c r="P8925" i="13" s="1"/>
  <c r="L8925" i="13" a="1"/>
  <c r="L8925" i="13" s="1"/>
  <c r="F8925" i="13" a="1"/>
  <c r="F8925" i="13" s="1"/>
  <c r="H8925" i="13" a="1"/>
  <c r="H8925" i="13" s="1"/>
  <c r="M8925" i="13" a="1"/>
  <c r="M8925" i="13" s="1"/>
  <c r="Q8925" i="13" a="1"/>
  <c r="Q8925" i="13" s="1"/>
  <c r="V8925" i="13" a="1"/>
  <c r="V8925" i="13" s="1"/>
  <c r="AA8925" i="13" a="1"/>
  <c r="AA8925" i="13" s="1"/>
  <c r="AF8925" i="13" a="1"/>
  <c r="AF8925" i="13" s="1"/>
  <c r="AI8892" i="13" a="1"/>
  <c r="AI8892" i="13" s="1"/>
  <c r="AO8892" i="13" s="1" a="1"/>
  <c r="AO8892" i="13" s="1"/>
  <c r="AG8892" i="13" a="1"/>
  <c r="AG8892" i="13" s="1"/>
  <c r="AE8892" i="13" a="1"/>
  <c r="AE8892" i="13" s="1"/>
  <c r="AC8892" i="13" a="1"/>
  <c r="AC8892" i="13" s="1"/>
  <c r="AA8892" i="13" a="1"/>
  <c r="AA8892" i="13" s="1"/>
  <c r="Y8892" i="13" a="1"/>
  <c r="Y8892" i="13" s="1"/>
  <c r="W8892" i="13" a="1"/>
  <c r="W8892" i="13" s="1"/>
  <c r="U8892" i="13" a="1"/>
  <c r="U8892" i="13" s="1"/>
  <c r="S8892" i="13" a="1"/>
  <c r="S8892" i="13" s="1"/>
  <c r="Q8892" i="13" a="1"/>
  <c r="Q8892" i="13" s="1"/>
  <c r="O8892" i="13" a="1"/>
  <c r="O8892" i="13" s="1"/>
  <c r="M8892" i="13" a="1"/>
  <c r="M8892" i="13" s="1"/>
  <c r="K8892" i="13" a="1"/>
  <c r="K8892" i="13" s="1"/>
  <c r="I8892" i="13" a="1"/>
  <c r="I8892" i="13" s="1"/>
  <c r="G8892" i="13" a="1"/>
  <c r="G8892" i="13" s="1"/>
  <c r="E8892" i="13" a="1"/>
  <c r="E8892" i="13" s="1"/>
  <c r="J8892" i="13" a="1"/>
  <c r="J8892" i="13" s="1"/>
  <c r="R8892" i="13" a="1"/>
  <c r="R8892" i="13" s="1"/>
  <c r="Z8892" i="13" a="1"/>
  <c r="Z8892" i="13" s="1"/>
  <c r="AH8892" i="13" a="1"/>
  <c r="AH8892" i="13" s="1"/>
  <c r="AH8894" i="13" a="1"/>
  <c r="AH8894" i="13" s="1"/>
  <c r="AF8894" i="13" a="1"/>
  <c r="AF8894" i="13" s="1"/>
  <c r="AD8894" i="13" a="1"/>
  <c r="AD8894" i="13" s="1"/>
  <c r="AB8894" i="13" a="1"/>
  <c r="AB8894" i="13" s="1"/>
  <c r="Z8894" i="13" a="1"/>
  <c r="Z8894" i="13" s="1"/>
  <c r="X8894" i="13" a="1"/>
  <c r="X8894" i="13" s="1"/>
  <c r="V8894" i="13" a="1"/>
  <c r="V8894" i="13" s="1"/>
  <c r="T8894" i="13" a="1"/>
  <c r="T8894" i="13" s="1"/>
  <c r="R8894" i="13" a="1"/>
  <c r="R8894" i="13" s="1"/>
  <c r="P8894" i="13" a="1"/>
  <c r="P8894" i="13" s="1"/>
  <c r="N8894" i="13" a="1"/>
  <c r="N8894" i="13" s="1"/>
  <c r="L8894" i="13" a="1"/>
  <c r="L8894" i="13" s="1"/>
  <c r="J8894" i="13" a="1"/>
  <c r="J8894" i="13" s="1"/>
  <c r="H8894" i="13" a="1"/>
  <c r="H8894" i="13" s="1"/>
  <c r="F8894" i="13" a="1"/>
  <c r="F8894" i="13" s="1"/>
  <c r="G8894" i="13" a="1"/>
  <c r="G8894" i="13" s="1"/>
  <c r="O8894" i="13" a="1"/>
  <c r="O8894" i="13" s="1"/>
  <c r="W8894" i="13" a="1"/>
  <c r="W8894" i="13" s="1"/>
  <c r="AE8894" i="13" a="1"/>
  <c r="AE8894" i="13" s="1"/>
  <c r="G8895" i="13" a="1"/>
  <c r="G8895" i="13" s="1"/>
  <c r="J8895" i="13" a="1"/>
  <c r="J8895" i="13" s="1"/>
  <c r="O8895" i="13" a="1"/>
  <c r="O8895" i="13" s="1"/>
  <c r="R8895" i="13" a="1"/>
  <c r="R8895" i="13" s="1"/>
  <c r="W8895" i="13" a="1"/>
  <c r="W8895" i="13" s="1"/>
  <c r="Z8895" i="13" a="1"/>
  <c r="Z8895" i="13" s="1"/>
  <c r="AE8895" i="13" a="1"/>
  <c r="AE8895" i="13" s="1"/>
  <c r="AI8896" i="13" a="1"/>
  <c r="AI8896" i="13" s="1"/>
  <c r="AO8896" i="13" s="1" a="1"/>
  <c r="AO8896" i="13" s="1"/>
  <c r="AG8896" i="13" a="1"/>
  <c r="AG8896" i="13" s="1"/>
  <c r="AE8896" i="13" a="1"/>
  <c r="AE8896" i="13" s="1"/>
  <c r="AC8896" i="13" a="1"/>
  <c r="AC8896" i="13" s="1"/>
  <c r="AA8896" i="13" a="1"/>
  <c r="AA8896" i="13" s="1"/>
  <c r="Y8896" i="13" a="1"/>
  <c r="Y8896" i="13" s="1"/>
  <c r="W8896" i="13" a="1"/>
  <c r="W8896" i="13" s="1"/>
  <c r="U8896" i="13" a="1"/>
  <c r="U8896" i="13" s="1"/>
  <c r="S8896" i="13" a="1"/>
  <c r="S8896" i="13" s="1"/>
  <c r="Q8896" i="13" a="1"/>
  <c r="Q8896" i="13" s="1"/>
  <c r="O8896" i="13" a="1"/>
  <c r="O8896" i="13" s="1"/>
  <c r="M8896" i="13" a="1"/>
  <c r="M8896" i="13" s="1"/>
  <c r="K8896" i="13" a="1"/>
  <c r="K8896" i="13" s="1"/>
  <c r="I8896" i="13" a="1"/>
  <c r="I8896" i="13" s="1"/>
  <c r="G8896" i="13" a="1"/>
  <c r="G8896" i="13" s="1"/>
  <c r="E8896" i="13" a="1"/>
  <c r="E8896" i="13" s="1"/>
  <c r="J8896" i="13" a="1"/>
  <c r="J8896" i="13" s="1"/>
  <c r="R8896" i="13" a="1"/>
  <c r="R8896" i="13" s="1"/>
  <c r="Z8896" i="13" a="1"/>
  <c r="Z8896" i="13" s="1"/>
  <c r="AH8896" i="13" a="1"/>
  <c r="AH8896" i="13" s="1"/>
  <c r="AH8898" i="13" a="1"/>
  <c r="AH8898" i="13" s="1"/>
  <c r="AF8898" i="13" a="1"/>
  <c r="AF8898" i="13" s="1"/>
  <c r="AD8898" i="13" a="1"/>
  <c r="AD8898" i="13" s="1"/>
  <c r="AB8898" i="13" a="1"/>
  <c r="AB8898" i="13" s="1"/>
  <c r="Z8898" i="13" a="1"/>
  <c r="Z8898" i="13" s="1"/>
  <c r="X8898" i="13" a="1"/>
  <c r="X8898" i="13" s="1"/>
  <c r="V8898" i="13" a="1"/>
  <c r="V8898" i="13" s="1"/>
  <c r="T8898" i="13" a="1"/>
  <c r="T8898" i="13" s="1"/>
  <c r="R8898" i="13" a="1"/>
  <c r="R8898" i="13" s="1"/>
  <c r="P8898" i="13" a="1"/>
  <c r="P8898" i="13" s="1"/>
  <c r="N8898" i="13" a="1"/>
  <c r="N8898" i="13" s="1"/>
  <c r="L8898" i="13" a="1"/>
  <c r="L8898" i="13" s="1"/>
  <c r="J8898" i="13" a="1"/>
  <c r="J8898" i="13" s="1"/>
  <c r="H8898" i="13" a="1"/>
  <c r="H8898" i="13" s="1"/>
  <c r="F8898" i="13" a="1"/>
  <c r="F8898" i="13" s="1"/>
  <c r="G8898" i="13" a="1"/>
  <c r="G8898" i="13" s="1"/>
  <c r="O8898" i="13" a="1"/>
  <c r="O8898" i="13" s="1"/>
  <c r="W8898" i="13" a="1"/>
  <c r="W8898" i="13" s="1"/>
  <c r="AE8898" i="13" a="1"/>
  <c r="AE8898" i="13" s="1"/>
  <c r="G8899" i="13" a="1"/>
  <c r="G8899" i="13" s="1"/>
  <c r="J8899" i="13" a="1"/>
  <c r="J8899" i="13" s="1"/>
  <c r="O8899" i="13" a="1"/>
  <c r="O8899" i="13" s="1"/>
  <c r="R8899" i="13" a="1"/>
  <c r="R8899" i="13" s="1"/>
  <c r="W8899" i="13" a="1"/>
  <c r="W8899" i="13" s="1"/>
  <c r="Z8899" i="13" a="1"/>
  <c r="Z8899" i="13" s="1"/>
  <c r="AE8899" i="13" a="1"/>
  <c r="AE8899" i="13" s="1"/>
  <c r="AI8900" i="13" a="1"/>
  <c r="AI8900" i="13" s="1"/>
  <c r="AO8900" i="13" s="1" a="1"/>
  <c r="AO8900" i="13" s="1"/>
  <c r="AG8900" i="13" a="1"/>
  <c r="AG8900" i="13" s="1"/>
  <c r="AE8900" i="13" a="1"/>
  <c r="AE8900" i="13" s="1"/>
  <c r="AC8900" i="13" a="1"/>
  <c r="AC8900" i="13" s="1"/>
  <c r="AA8900" i="13" a="1"/>
  <c r="AA8900" i="13" s="1"/>
  <c r="Y8900" i="13" a="1"/>
  <c r="Y8900" i="13" s="1"/>
  <c r="W8900" i="13" a="1"/>
  <c r="W8900" i="13" s="1"/>
  <c r="U8900" i="13" a="1"/>
  <c r="U8900" i="13" s="1"/>
  <c r="S8900" i="13" a="1"/>
  <c r="S8900" i="13" s="1"/>
  <c r="Q8900" i="13" a="1"/>
  <c r="Q8900" i="13" s="1"/>
  <c r="O8900" i="13" a="1"/>
  <c r="O8900" i="13" s="1"/>
  <c r="M8900" i="13" a="1"/>
  <c r="M8900" i="13" s="1"/>
  <c r="K8900" i="13" a="1"/>
  <c r="K8900" i="13" s="1"/>
  <c r="I8900" i="13" a="1"/>
  <c r="I8900" i="13" s="1"/>
  <c r="G8900" i="13" a="1"/>
  <c r="G8900" i="13" s="1"/>
  <c r="E8900" i="13" a="1"/>
  <c r="E8900" i="13" s="1"/>
  <c r="J8900" i="13" a="1"/>
  <c r="J8900" i="13" s="1"/>
  <c r="R8900" i="13" a="1"/>
  <c r="R8900" i="13" s="1"/>
  <c r="Z8900" i="13" a="1"/>
  <c r="Z8900" i="13" s="1"/>
  <c r="AH8900" i="13" a="1"/>
  <c r="AH8900" i="13" s="1"/>
  <c r="AH8902" i="13" a="1"/>
  <c r="AH8902" i="13" s="1"/>
  <c r="AF8902" i="13" a="1"/>
  <c r="AF8902" i="13" s="1"/>
  <c r="AD8902" i="13" a="1"/>
  <c r="AD8902" i="13" s="1"/>
  <c r="AB8902" i="13" a="1"/>
  <c r="AB8902" i="13" s="1"/>
  <c r="Z8902" i="13" a="1"/>
  <c r="Z8902" i="13" s="1"/>
  <c r="X8902" i="13" a="1"/>
  <c r="X8902" i="13" s="1"/>
  <c r="V8902" i="13" a="1"/>
  <c r="V8902" i="13" s="1"/>
  <c r="T8902" i="13" a="1"/>
  <c r="T8902" i="13" s="1"/>
  <c r="R8902" i="13" a="1"/>
  <c r="R8902" i="13" s="1"/>
  <c r="P8902" i="13" a="1"/>
  <c r="P8902" i="13" s="1"/>
  <c r="N8902" i="13" a="1"/>
  <c r="N8902" i="13" s="1"/>
  <c r="L8902" i="13" a="1"/>
  <c r="L8902" i="13" s="1"/>
  <c r="J8902" i="13" a="1"/>
  <c r="J8902" i="13" s="1"/>
  <c r="H8902" i="13" a="1"/>
  <c r="H8902" i="13" s="1"/>
  <c r="F8902" i="13" a="1"/>
  <c r="F8902" i="13" s="1"/>
  <c r="G8902" i="13" a="1"/>
  <c r="G8902" i="13" s="1"/>
  <c r="O8902" i="13" a="1"/>
  <c r="O8902" i="13" s="1"/>
  <c r="W8902" i="13" a="1"/>
  <c r="W8902" i="13" s="1"/>
  <c r="AE8902" i="13" a="1"/>
  <c r="AE8902" i="13" s="1"/>
  <c r="G8903" i="13" a="1"/>
  <c r="G8903" i="13" s="1"/>
  <c r="J8903" i="13" a="1"/>
  <c r="J8903" i="13" s="1"/>
  <c r="O8903" i="13" a="1"/>
  <c r="O8903" i="13" s="1"/>
  <c r="R8903" i="13" a="1"/>
  <c r="R8903" i="13" s="1"/>
  <c r="W8903" i="13" a="1"/>
  <c r="W8903" i="13" s="1"/>
  <c r="Z8903" i="13" a="1"/>
  <c r="Z8903" i="13" s="1"/>
  <c r="AE8903" i="13" a="1"/>
  <c r="AE8903" i="13" s="1"/>
  <c r="AI8904" i="13" a="1"/>
  <c r="AI8904" i="13" s="1"/>
  <c r="AO8904" i="13" s="1" a="1"/>
  <c r="AO8904" i="13" s="1"/>
  <c r="AG8904" i="13" a="1"/>
  <c r="AG8904" i="13" s="1"/>
  <c r="AE8904" i="13" a="1"/>
  <c r="AE8904" i="13" s="1"/>
  <c r="AC8904" i="13" a="1"/>
  <c r="AC8904" i="13" s="1"/>
  <c r="AA8904" i="13" a="1"/>
  <c r="AA8904" i="13" s="1"/>
  <c r="Y8904" i="13" a="1"/>
  <c r="Y8904" i="13" s="1"/>
  <c r="W8904" i="13" a="1"/>
  <c r="W8904" i="13" s="1"/>
  <c r="U8904" i="13" a="1"/>
  <c r="U8904" i="13" s="1"/>
  <c r="S8904" i="13" a="1"/>
  <c r="S8904" i="13" s="1"/>
  <c r="Q8904" i="13" a="1"/>
  <c r="Q8904" i="13" s="1"/>
  <c r="O8904" i="13" a="1"/>
  <c r="O8904" i="13" s="1"/>
  <c r="M8904" i="13" a="1"/>
  <c r="M8904" i="13" s="1"/>
  <c r="K8904" i="13" a="1"/>
  <c r="K8904" i="13" s="1"/>
  <c r="I8904" i="13" a="1"/>
  <c r="I8904" i="13" s="1"/>
  <c r="G8904" i="13" a="1"/>
  <c r="G8904" i="13" s="1"/>
  <c r="E8904" i="13" a="1"/>
  <c r="E8904" i="13" s="1"/>
  <c r="J8904" i="13" a="1"/>
  <c r="J8904" i="13" s="1"/>
  <c r="R8904" i="13" a="1"/>
  <c r="R8904" i="13" s="1"/>
  <c r="Z8904" i="13" a="1"/>
  <c r="Z8904" i="13" s="1"/>
  <c r="AH8904" i="13" a="1"/>
  <c r="AH8904" i="13" s="1"/>
  <c r="AH8906" i="13" a="1"/>
  <c r="AH8906" i="13" s="1"/>
  <c r="AF8906" i="13" a="1"/>
  <c r="AF8906" i="13" s="1"/>
  <c r="AD8906" i="13" a="1"/>
  <c r="AD8906" i="13" s="1"/>
  <c r="AB8906" i="13" a="1"/>
  <c r="AB8906" i="13" s="1"/>
  <c r="Z8906" i="13" a="1"/>
  <c r="Z8906" i="13" s="1"/>
  <c r="X8906" i="13" a="1"/>
  <c r="X8906" i="13" s="1"/>
  <c r="V8906" i="13" a="1"/>
  <c r="V8906" i="13" s="1"/>
  <c r="T8906" i="13" a="1"/>
  <c r="T8906" i="13" s="1"/>
  <c r="R8906" i="13" a="1"/>
  <c r="R8906" i="13" s="1"/>
  <c r="P8906" i="13" a="1"/>
  <c r="P8906" i="13" s="1"/>
  <c r="N8906" i="13" a="1"/>
  <c r="N8906" i="13" s="1"/>
  <c r="L8906" i="13" a="1"/>
  <c r="L8906" i="13" s="1"/>
  <c r="J8906" i="13" a="1"/>
  <c r="J8906" i="13" s="1"/>
  <c r="H8906" i="13" a="1"/>
  <c r="H8906" i="13" s="1"/>
  <c r="F8906" i="13" a="1"/>
  <c r="F8906" i="13" s="1"/>
  <c r="G8906" i="13" a="1"/>
  <c r="G8906" i="13" s="1"/>
  <c r="O8906" i="13" a="1"/>
  <c r="O8906" i="13" s="1"/>
  <c r="W8906" i="13" a="1"/>
  <c r="W8906" i="13" s="1"/>
  <c r="AE8906" i="13" a="1"/>
  <c r="AE8906" i="13" s="1"/>
  <c r="G8907" i="13" a="1"/>
  <c r="G8907" i="13" s="1"/>
  <c r="J8907" i="13" a="1"/>
  <c r="J8907" i="13" s="1"/>
  <c r="O8907" i="13" a="1"/>
  <c r="O8907" i="13" s="1"/>
  <c r="R8907" i="13" a="1"/>
  <c r="R8907" i="13" s="1"/>
  <c r="W8907" i="13" a="1"/>
  <c r="W8907" i="13" s="1"/>
  <c r="Z8907" i="13" a="1"/>
  <c r="Z8907" i="13" s="1"/>
  <c r="AE8907" i="13" a="1"/>
  <c r="AE8907" i="13" s="1"/>
  <c r="AI8908" i="13" a="1"/>
  <c r="AI8908" i="13" s="1"/>
  <c r="AO8908" i="13" s="1" a="1"/>
  <c r="AO8908" i="13" s="1"/>
  <c r="AG8908" i="13" a="1"/>
  <c r="AG8908" i="13" s="1"/>
  <c r="AE8908" i="13" a="1"/>
  <c r="AE8908" i="13" s="1"/>
  <c r="AC8908" i="13" a="1"/>
  <c r="AC8908" i="13" s="1"/>
  <c r="AA8908" i="13" a="1"/>
  <c r="AA8908" i="13" s="1"/>
  <c r="Y8908" i="13" a="1"/>
  <c r="Y8908" i="13" s="1"/>
  <c r="W8908" i="13" a="1"/>
  <c r="W8908" i="13" s="1"/>
  <c r="U8908" i="13" a="1"/>
  <c r="U8908" i="13" s="1"/>
  <c r="S8908" i="13" a="1"/>
  <c r="S8908" i="13" s="1"/>
  <c r="Q8908" i="13" a="1"/>
  <c r="Q8908" i="13" s="1"/>
  <c r="O8908" i="13" a="1"/>
  <c r="O8908" i="13" s="1"/>
  <c r="M8908" i="13" a="1"/>
  <c r="M8908" i="13" s="1"/>
  <c r="K8908" i="13" a="1"/>
  <c r="K8908" i="13" s="1"/>
  <c r="I8908" i="13" a="1"/>
  <c r="I8908" i="13" s="1"/>
  <c r="G8908" i="13" a="1"/>
  <c r="G8908" i="13" s="1"/>
  <c r="E8908" i="13" a="1"/>
  <c r="E8908" i="13" s="1"/>
  <c r="J8908" i="13" a="1"/>
  <c r="J8908" i="13" s="1"/>
  <c r="R8908" i="13" a="1"/>
  <c r="R8908" i="13" s="1"/>
  <c r="Z8908" i="13" a="1"/>
  <c r="Z8908" i="13" s="1"/>
  <c r="AH8908" i="13" a="1"/>
  <c r="AH8908" i="13" s="1"/>
  <c r="AI8910" i="13" a="1"/>
  <c r="AI8910" i="13" s="1"/>
  <c r="AO8910" i="13" s="1" a="1"/>
  <c r="AO8910" i="13" s="1"/>
  <c r="AG8910" i="13" a="1"/>
  <c r="AG8910" i="13" s="1"/>
  <c r="AE8910" i="13" a="1"/>
  <c r="AE8910" i="13" s="1"/>
  <c r="AC8910" i="13" a="1"/>
  <c r="AC8910" i="13" s="1"/>
  <c r="AA8910" i="13" a="1"/>
  <c r="AA8910" i="13" s="1"/>
  <c r="Y8910" i="13" a="1"/>
  <c r="Y8910" i="13" s="1"/>
  <c r="W8910" i="13" a="1"/>
  <c r="W8910" i="13" s="1"/>
  <c r="U8910" i="13" a="1"/>
  <c r="U8910" i="13" s="1"/>
  <c r="S8910" i="13" a="1"/>
  <c r="S8910" i="13" s="1"/>
  <c r="Q8910" i="13" a="1"/>
  <c r="Q8910" i="13" s="1"/>
  <c r="O8910" i="13" a="1"/>
  <c r="O8910" i="13" s="1"/>
  <c r="M8910" i="13" a="1"/>
  <c r="M8910" i="13" s="1"/>
  <c r="K8910" i="13" a="1"/>
  <c r="K8910" i="13" s="1"/>
  <c r="I8910" i="13" a="1"/>
  <c r="I8910" i="13" s="1"/>
  <c r="G8910" i="13" a="1"/>
  <c r="G8910" i="13" s="1"/>
  <c r="AD8910" i="13" a="1"/>
  <c r="AD8910" i="13" s="1"/>
  <c r="V8910" i="13" a="1"/>
  <c r="V8910" i="13" s="1"/>
  <c r="N8910" i="13" a="1"/>
  <c r="N8910" i="13" s="1"/>
  <c r="F8910" i="13" a="1"/>
  <c r="F8910" i="13" s="1"/>
  <c r="R8910" i="13" a="1"/>
  <c r="R8910" i="13" s="1"/>
  <c r="AF8910" i="13" a="1"/>
  <c r="AF8910" i="13" s="1"/>
  <c r="J8913" i="13" a="1"/>
  <c r="J8913" i="13" s="1"/>
  <c r="M8913" i="13" a="1"/>
  <c r="M8913" i="13" s="1"/>
  <c r="Q8913" i="13" a="1"/>
  <c r="Q8913" i="13" s="1"/>
  <c r="X8913" i="13" a="1"/>
  <c r="X8913" i="13" s="1"/>
  <c r="AB8913" i="13" a="1"/>
  <c r="AB8913" i="13" s="1"/>
  <c r="AE8913" i="13" a="1"/>
  <c r="AE8913" i="13" s="1"/>
  <c r="J8917" i="13" a="1"/>
  <c r="J8917" i="13" s="1"/>
  <c r="M8917" i="13" a="1"/>
  <c r="M8917" i="13" s="1"/>
  <c r="Q8917" i="13" a="1"/>
  <c r="Q8917" i="13" s="1"/>
  <c r="X8917" i="13" a="1"/>
  <c r="X8917" i="13" s="1"/>
  <c r="AB8917" i="13" a="1"/>
  <c r="AB8917" i="13" s="1"/>
  <c r="AE8917" i="13" a="1"/>
  <c r="AE8917" i="13" s="1"/>
  <c r="J8921" i="13" a="1"/>
  <c r="J8921" i="13" s="1"/>
  <c r="M8921" i="13" a="1"/>
  <c r="M8921" i="13" s="1"/>
  <c r="Q8921" i="13" a="1"/>
  <c r="Q8921" i="13" s="1"/>
  <c r="X8921" i="13" a="1"/>
  <c r="X8921" i="13" s="1"/>
  <c r="AB8921" i="13" a="1"/>
  <c r="AB8921" i="13" s="1"/>
  <c r="AE8921" i="13" a="1"/>
  <c r="AE8921" i="13" s="1"/>
  <c r="T8925" i="13" a="1"/>
  <c r="T8925" i="13" s="1"/>
  <c r="AC8925" i="13" a="1"/>
  <c r="AC8925" i="13" s="1"/>
  <c r="AL8930" i="13"/>
  <c r="AM8930" i="13" s="1"/>
  <c r="AN8930" i="13" s="1"/>
  <c r="AI8926" i="13" a="1"/>
  <c r="AI8926" i="13" s="1"/>
  <c r="AO8926" i="13" s="1" a="1"/>
  <c r="AO8926" i="13" s="1"/>
  <c r="AG8926" i="13" a="1"/>
  <c r="AG8926" i="13" s="1"/>
  <c r="AE8926" i="13" a="1"/>
  <c r="AE8926" i="13" s="1"/>
  <c r="AC8926" i="13" a="1"/>
  <c r="AC8926" i="13" s="1"/>
  <c r="AA8926" i="13" a="1"/>
  <c r="AA8926" i="13" s="1"/>
  <c r="Y8926" i="13" a="1"/>
  <c r="Y8926" i="13" s="1"/>
  <c r="W8926" i="13" a="1"/>
  <c r="W8926" i="13" s="1"/>
  <c r="U8926" i="13" a="1"/>
  <c r="U8926" i="13" s="1"/>
  <c r="S8926" i="13" a="1"/>
  <c r="S8926" i="13" s="1"/>
  <c r="Q8926" i="13" a="1"/>
  <c r="Q8926" i="13" s="1"/>
  <c r="O8926" i="13" a="1"/>
  <c r="O8926" i="13" s="1"/>
  <c r="M8926" i="13" a="1"/>
  <c r="M8926" i="13" s="1"/>
  <c r="K8926" i="13" a="1"/>
  <c r="K8926" i="13" s="1"/>
  <c r="I8926" i="13" a="1"/>
  <c r="I8926" i="13" s="1"/>
  <c r="G8926" i="13" a="1"/>
  <c r="G8926" i="13" s="1"/>
  <c r="E8926" i="13" a="1"/>
  <c r="E8926" i="13" s="1"/>
  <c r="J8926" i="13" a="1"/>
  <c r="J8926" i="13" s="1"/>
  <c r="R8926" i="13" a="1"/>
  <c r="R8926" i="13" s="1"/>
  <c r="Z8926" i="13" a="1"/>
  <c r="Z8926" i="13" s="1"/>
  <c r="AH8926" i="13" a="1"/>
  <c r="AH8926" i="13" s="1"/>
  <c r="AH8928" i="13" a="1"/>
  <c r="AH8928" i="13" s="1"/>
  <c r="AF8928" i="13" a="1"/>
  <c r="AF8928" i="13" s="1"/>
  <c r="AD8928" i="13" a="1"/>
  <c r="AD8928" i="13" s="1"/>
  <c r="AB8928" i="13" a="1"/>
  <c r="AB8928" i="13" s="1"/>
  <c r="Z8928" i="13" a="1"/>
  <c r="Z8928" i="13" s="1"/>
  <c r="X8928" i="13" a="1"/>
  <c r="X8928" i="13" s="1"/>
  <c r="V8928" i="13" a="1"/>
  <c r="V8928" i="13" s="1"/>
  <c r="T8928" i="13" a="1"/>
  <c r="T8928" i="13" s="1"/>
  <c r="R8928" i="13" a="1"/>
  <c r="R8928" i="13" s="1"/>
  <c r="P8928" i="13" a="1"/>
  <c r="P8928" i="13" s="1"/>
  <c r="N8928" i="13" a="1"/>
  <c r="N8928" i="13" s="1"/>
  <c r="L8928" i="13" a="1"/>
  <c r="L8928" i="13" s="1"/>
  <c r="J8928" i="13" a="1"/>
  <c r="J8928" i="13" s="1"/>
  <c r="H8928" i="13" a="1"/>
  <c r="H8928" i="13" s="1"/>
  <c r="F8928" i="13" a="1"/>
  <c r="F8928" i="13" s="1"/>
  <c r="G8928" i="13" a="1"/>
  <c r="G8928" i="13" s="1"/>
  <c r="O8928" i="13" a="1"/>
  <c r="O8928" i="13" s="1"/>
  <c r="W8928" i="13" a="1"/>
  <c r="W8928" i="13" s="1"/>
  <c r="AE8928" i="13" a="1"/>
  <c r="AE8928" i="13" s="1"/>
  <c r="AH8929" i="13" a="1"/>
  <c r="AH8929" i="13" s="1"/>
  <c r="AF8929" i="13" a="1"/>
  <c r="AF8929" i="13" s="1"/>
  <c r="AD8929" i="13" a="1"/>
  <c r="AD8929" i="13" s="1"/>
  <c r="AB8929" i="13" a="1"/>
  <c r="AB8929" i="13" s="1"/>
  <c r="Z8929" i="13" a="1"/>
  <c r="Z8929" i="13" s="1"/>
  <c r="X8929" i="13" a="1"/>
  <c r="X8929" i="13" s="1"/>
  <c r="V8929" i="13" a="1"/>
  <c r="V8929" i="13" s="1"/>
  <c r="T8929" i="13" a="1"/>
  <c r="T8929" i="13" s="1"/>
  <c r="R8929" i="13" a="1"/>
  <c r="R8929" i="13" s="1"/>
  <c r="P8929" i="13" a="1"/>
  <c r="P8929" i="13" s="1"/>
  <c r="N8929" i="13" a="1"/>
  <c r="N8929" i="13" s="1"/>
  <c r="L8929" i="13" a="1"/>
  <c r="L8929" i="13" s="1"/>
  <c r="J8929" i="13" a="1"/>
  <c r="J8929" i="13" s="1"/>
  <c r="AE8929" i="13" a="1"/>
  <c r="AE8929" i="13" s="1"/>
  <c r="W8929" i="13" a="1"/>
  <c r="W8929" i="13" s="1"/>
  <c r="O8929" i="13" a="1"/>
  <c r="O8929" i="13" s="1"/>
  <c r="G8929" i="13" a="1"/>
  <c r="G8929" i="13" s="1"/>
  <c r="Q8929" i="13" a="1"/>
  <c r="Q8929" i="13" s="1"/>
  <c r="U8929" i="13" a="1"/>
  <c r="U8929" i="13" s="1"/>
  <c r="AI8929" i="13" a="1"/>
  <c r="AI8929" i="13" s="1"/>
  <c r="AO8929" i="13" s="1" a="1"/>
  <c r="AO8929" i="13" s="1"/>
  <c r="AK8936" i="13"/>
  <c r="AL8936" i="13" s="1"/>
  <c r="AM8936" i="13" s="1"/>
  <c r="AN8936" i="13" s="1"/>
  <c r="AH8937" i="13" a="1"/>
  <c r="AH8937" i="13" s="1"/>
  <c r="AF8937" i="13" a="1"/>
  <c r="AF8937" i="13" s="1"/>
  <c r="AD8937" i="13" a="1"/>
  <c r="AD8937" i="13" s="1"/>
  <c r="AB8937" i="13" a="1"/>
  <c r="AB8937" i="13" s="1"/>
  <c r="Z8937" i="13" a="1"/>
  <c r="Z8937" i="13" s="1"/>
  <c r="X8937" i="13" a="1"/>
  <c r="X8937" i="13" s="1"/>
  <c r="V8937" i="13" a="1"/>
  <c r="V8937" i="13" s="1"/>
  <c r="T8937" i="13" a="1"/>
  <c r="T8937" i="13" s="1"/>
  <c r="R8937" i="13" a="1"/>
  <c r="R8937" i="13" s="1"/>
  <c r="P8937" i="13" a="1"/>
  <c r="P8937" i="13" s="1"/>
  <c r="N8937" i="13" a="1"/>
  <c r="N8937" i="13" s="1"/>
  <c r="L8937" i="13" a="1"/>
  <c r="L8937" i="13" s="1"/>
  <c r="J8937" i="13" a="1"/>
  <c r="J8937" i="13" s="1"/>
  <c r="H8937" i="13" a="1"/>
  <c r="H8937" i="13" s="1"/>
  <c r="F8937" i="13" a="1"/>
  <c r="F8937" i="13" s="1"/>
  <c r="AI8937" i="13" a="1"/>
  <c r="AI8937" i="13" s="1"/>
  <c r="AO8937" i="13" s="1" a="1"/>
  <c r="AO8937" i="13" s="1"/>
  <c r="AE8937" i="13" a="1"/>
  <c r="AE8937" i="13" s="1"/>
  <c r="AA8937" i="13" a="1"/>
  <c r="AA8937" i="13" s="1"/>
  <c r="W8937" i="13" a="1"/>
  <c r="W8937" i="13" s="1"/>
  <c r="S8937" i="13" a="1"/>
  <c r="S8937" i="13" s="1"/>
  <c r="O8937" i="13" a="1"/>
  <c r="O8937" i="13" s="1"/>
  <c r="K8937" i="13" a="1"/>
  <c r="K8937" i="13" s="1"/>
  <c r="G8937" i="13" a="1"/>
  <c r="G8937" i="13" s="1"/>
  <c r="I8937" i="13" a="1"/>
  <c r="I8937" i="13" s="1"/>
  <c r="Y8937" i="13" a="1"/>
  <c r="Y8937" i="13" s="1"/>
  <c r="G8930" i="13" a="1"/>
  <c r="G8930" i="13" s="1"/>
  <c r="J8930" i="13" a="1"/>
  <c r="J8930" i="13" s="1"/>
  <c r="O8930" i="13" a="1"/>
  <c r="O8930" i="13" s="1"/>
  <c r="R8930" i="13" a="1"/>
  <c r="R8930" i="13" s="1"/>
  <c r="W8930" i="13" a="1"/>
  <c r="W8930" i="13" s="1"/>
  <c r="Z8930" i="13" a="1"/>
  <c r="Z8930" i="13" s="1"/>
  <c r="AE8930" i="13" a="1"/>
  <c r="AE8930" i="13" s="1"/>
  <c r="AI8931" i="13" a="1"/>
  <c r="AI8931" i="13" s="1"/>
  <c r="AO8931" i="13" s="1" a="1"/>
  <c r="AO8931" i="13" s="1"/>
  <c r="AG8931" i="13" a="1"/>
  <c r="AG8931" i="13" s="1"/>
  <c r="AE8931" i="13" a="1"/>
  <c r="AE8931" i="13" s="1"/>
  <c r="AC8931" i="13" a="1"/>
  <c r="AC8931" i="13" s="1"/>
  <c r="AA8931" i="13" a="1"/>
  <c r="AA8931" i="13" s="1"/>
  <c r="Y8931" i="13" a="1"/>
  <c r="Y8931" i="13" s="1"/>
  <c r="W8931" i="13" a="1"/>
  <c r="W8931" i="13" s="1"/>
  <c r="U8931" i="13" a="1"/>
  <c r="U8931" i="13" s="1"/>
  <c r="S8931" i="13" a="1"/>
  <c r="S8931" i="13" s="1"/>
  <c r="Q8931" i="13" a="1"/>
  <c r="Q8931" i="13" s="1"/>
  <c r="O8931" i="13" a="1"/>
  <c r="O8931" i="13" s="1"/>
  <c r="M8931" i="13" a="1"/>
  <c r="M8931" i="13" s="1"/>
  <c r="K8931" i="13" a="1"/>
  <c r="K8931" i="13" s="1"/>
  <c r="I8931" i="13" a="1"/>
  <c r="I8931" i="13" s="1"/>
  <c r="G8931" i="13" a="1"/>
  <c r="G8931" i="13" s="1"/>
  <c r="E8931" i="13" a="1"/>
  <c r="E8931" i="13" s="1"/>
  <c r="J8931" i="13" a="1"/>
  <c r="J8931" i="13" s="1"/>
  <c r="R8931" i="13" a="1"/>
  <c r="R8931" i="13" s="1"/>
  <c r="Z8931" i="13" a="1"/>
  <c r="Z8931" i="13" s="1"/>
  <c r="AH8931" i="13" a="1"/>
  <c r="AH8931" i="13" s="1"/>
  <c r="AH8933" i="13" a="1"/>
  <c r="AH8933" i="13" s="1"/>
  <c r="AF8933" i="13" a="1"/>
  <c r="AF8933" i="13" s="1"/>
  <c r="AD8933" i="13" a="1"/>
  <c r="AD8933" i="13" s="1"/>
  <c r="AB8933" i="13" a="1"/>
  <c r="AB8933" i="13" s="1"/>
  <c r="Z8933" i="13" a="1"/>
  <c r="Z8933" i="13" s="1"/>
  <c r="X8933" i="13" a="1"/>
  <c r="X8933" i="13" s="1"/>
  <c r="V8933" i="13" a="1"/>
  <c r="V8933" i="13" s="1"/>
  <c r="T8933" i="13" a="1"/>
  <c r="T8933" i="13" s="1"/>
  <c r="R8933" i="13" a="1"/>
  <c r="R8933" i="13" s="1"/>
  <c r="P8933" i="13" a="1"/>
  <c r="P8933" i="13" s="1"/>
  <c r="N8933" i="13" a="1"/>
  <c r="N8933" i="13" s="1"/>
  <c r="L8933" i="13" a="1"/>
  <c r="L8933" i="13" s="1"/>
  <c r="J8933" i="13" a="1"/>
  <c r="J8933" i="13" s="1"/>
  <c r="H8933" i="13" a="1"/>
  <c r="H8933" i="13" s="1"/>
  <c r="F8933" i="13" a="1"/>
  <c r="F8933" i="13" s="1"/>
  <c r="G8933" i="13" a="1"/>
  <c r="G8933" i="13" s="1"/>
  <c r="O8933" i="13" a="1"/>
  <c r="O8933" i="13" s="1"/>
  <c r="W8933" i="13" a="1"/>
  <c r="W8933" i="13" s="1"/>
  <c r="AE8933" i="13" a="1"/>
  <c r="AE8933" i="13" s="1"/>
  <c r="G8934" i="13" a="1"/>
  <c r="G8934" i="13" s="1"/>
  <c r="J8934" i="13" a="1"/>
  <c r="J8934" i="13" s="1"/>
  <c r="O8934" i="13" a="1"/>
  <c r="O8934" i="13" s="1"/>
  <c r="R8934" i="13" a="1"/>
  <c r="R8934" i="13" s="1"/>
  <c r="W8934" i="13" a="1"/>
  <c r="W8934" i="13" s="1"/>
  <c r="Z8934" i="13" a="1"/>
  <c r="Z8934" i="13" s="1"/>
  <c r="AE8934" i="13" a="1"/>
  <c r="AE8934" i="13" s="1"/>
  <c r="AI8935" i="13" a="1"/>
  <c r="AI8935" i="13" s="1"/>
  <c r="AO8935" i="13" s="1" a="1"/>
  <c r="AO8935" i="13" s="1"/>
  <c r="AG8935" i="13" a="1"/>
  <c r="AG8935" i="13" s="1"/>
  <c r="AE8935" i="13" a="1"/>
  <c r="AE8935" i="13" s="1"/>
  <c r="AC8935" i="13" a="1"/>
  <c r="AC8935" i="13" s="1"/>
  <c r="AA8935" i="13" a="1"/>
  <c r="AA8935" i="13" s="1"/>
  <c r="Y8935" i="13" a="1"/>
  <c r="Y8935" i="13" s="1"/>
  <c r="W8935" i="13" a="1"/>
  <c r="W8935" i="13" s="1"/>
  <c r="U8935" i="13" a="1"/>
  <c r="U8935" i="13" s="1"/>
  <c r="S8935" i="13" a="1"/>
  <c r="S8935" i="13" s="1"/>
  <c r="Q8935" i="13" a="1"/>
  <c r="Q8935" i="13" s="1"/>
  <c r="O8935" i="13" a="1"/>
  <c r="O8935" i="13" s="1"/>
  <c r="M8935" i="13" a="1"/>
  <c r="M8935" i="13" s="1"/>
  <c r="K8935" i="13" a="1"/>
  <c r="K8935" i="13" s="1"/>
  <c r="I8935" i="13" a="1"/>
  <c r="I8935" i="13" s="1"/>
  <c r="G8935" i="13" a="1"/>
  <c r="G8935" i="13" s="1"/>
  <c r="E8935" i="13" a="1"/>
  <c r="E8935" i="13" s="1"/>
  <c r="J8935" i="13" a="1"/>
  <c r="J8935" i="13" s="1"/>
  <c r="R8935" i="13" a="1"/>
  <c r="R8935" i="13" s="1"/>
  <c r="Z8935" i="13" a="1"/>
  <c r="Z8935" i="13" s="1"/>
  <c r="AH8935" i="13" a="1"/>
  <c r="AH8935" i="13" s="1"/>
  <c r="Q8937" i="13" a="1"/>
  <c r="Q8937" i="13" s="1"/>
  <c r="AG8937" i="13" a="1"/>
  <c r="AG8937" i="13" s="1"/>
  <c r="AA8936" i="13" a="1"/>
  <c r="AA8936" i="13" s="1"/>
  <c r="AF8936" i="13" a="1"/>
  <c r="AF8936" i="13" s="1"/>
  <c r="AI8938" i="13" a="1"/>
  <c r="AI8938" i="13" s="1"/>
  <c r="AO8938" i="13" s="1" a="1"/>
  <c r="AO8938" i="13" s="1"/>
  <c r="AG8938" i="13" a="1"/>
  <c r="AG8938" i="13" s="1"/>
  <c r="AE8938" i="13" a="1"/>
  <c r="AE8938" i="13" s="1"/>
  <c r="AC8938" i="13" a="1"/>
  <c r="AC8938" i="13" s="1"/>
  <c r="AA8938" i="13" a="1"/>
  <c r="AA8938" i="13" s="1"/>
  <c r="Y8938" i="13" a="1"/>
  <c r="Y8938" i="13" s="1"/>
  <c r="AH8938" i="13" a="1"/>
  <c r="AH8938" i="13" s="1"/>
  <c r="Z8938" i="13" a="1"/>
  <c r="Z8938" i="13" s="1"/>
  <c r="AB8938" i="13" a="1"/>
  <c r="AB8938" i="13" s="1"/>
  <c r="W8938" i="13" a="1"/>
  <c r="W8938" i="13" s="1"/>
  <c r="U8938" i="13" a="1"/>
  <c r="U8938" i="13" s="1"/>
  <c r="S8938" i="13" a="1"/>
  <c r="S8938" i="13" s="1"/>
  <c r="Q8938" i="13" a="1"/>
  <c r="Q8938" i="13" s="1"/>
  <c r="O8938" i="13" a="1"/>
  <c r="O8938" i="13" s="1"/>
  <c r="M8938" i="13" a="1"/>
  <c r="M8938" i="13" s="1"/>
  <c r="K8938" i="13" a="1"/>
  <c r="K8938" i="13" s="1"/>
  <c r="I8938" i="13" a="1"/>
  <c r="I8938" i="13" s="1"/>
  <c r="G8938" i="13" a="1"/>
  <c r="G8938" i="13" s="1"/>
  <c r="E8938" i="13" a="1"/>
  <c r="E8938" i="13" s="1"/>
  <c r="AD8938" i="13" a="1"/>
  <c r="AD8938" i="13" s="1"/>
  <c r="C10329" i="13"/>
  <c r="M10314" i="13" s="1"/>
  <c r="H10324" i="13"/>
  <c r="M10315" i="13" s="1"/>
  <c r="D10552" i="13"/>
  <c r="D10559" i="13" s="1"/>
  <c r="F10558" i="13"/>
  <c r="F10562" i="13"/>
  <c r="D10550" i="13"/>
  <c r="D10557" i="13" s="1"/>
  <c r="D10554" i="13"/>
  <c r="D10561" i="13" s="1"/>
  <c r="D437" i="14" l="1"/>
  <c r="T6" i="21"/>
  <c r="J39" i="18"/>
  <c r="J40" i="18"/>
  <c r="C25" i="4"/>
  <c r="B25" i="4"/>
  <c r="D25" i="4"/>
  <c r="E25" i="4"/>
  <c r="H56" i="18"/>
  <c r="D56" i="18"/>
  <c r="B20" i="18"/>
  <c r="B56" i="18" s="1"/>
  <c r="C20" i="18"/>
  <c r="C56" i="18" s="1"/>
  <c r="AL8874" i="13"/>
  <c r="AM8874" i="13" s="1"/>
  <c r="AN8874" i="13" s="1"/>
  <c r="F1324" i="13"/>
  <c r="F1325" i="13" s="1"/>
  <c r="G139" i="13"/>
  <c r="J144" i="13"/>
  <c r="H134" i="13"/>
  <c r="I143" i="13"/>
  <c r="G134" i="13"/>
  <c r="H141" i="13"/>
  <c r="G151" i="13"/>
  <c r="G141" i="13"/>
  <c r="H145" i="13"/>
  <c r="J140" i="13"/>
  <c r="G145" i="13"/>
  <c r="AB38" i="5"/>
  <c r="D572" i="13"/>
  <c r="F572" i="13"/>
  <c r="I140" i="13"/>
  <c r="I144" i="13"/>
  <c r="H135" i="13"/>
  <c r="J141" i="13"/>
  <c r="J145" i="13"/>
  <c r="G136" i="13"/>
  <c r="G142" i="13"/>
  <c r="G148" i="13"/>
  <c r="H136" i="13"/>
  <c r="H142" i="13"/>
  <c r="H148" i="13"/>
  <c r="D576" i="13"/>
  <c r="F576" i="13"/>
  <c r="E587" i="13"/>
  <c r="F570" i="13"/>
  <c r="D570" i="13"/>
  <c r="AL8817" i="13"/>
  <c r="AM8817" i="13" s="1"/>
  <c r="AN8817" i="13" s="1"/>
  <c r="G135" i="13"/>
  <c r="I141" i="13"/>
  <c r="I145" i="13"/>
  <c r="H137" i="13"/>
  <c r="J142" i="13"/>
  <c r="H149" i="13"/>
  <c r="G138" i="13"/>
  <c r="G143" i="13"/>
  <c r="G150" i="13"/>
  <c r="H138" i="13"/>
  <c r="H143" i="13"/>
  <c r="H150" i="13"/>
  <c r="F578" i="13"/>
  <c r="D578" i="13"/>
  <c r="G137" i="13"/>
  <c r="I142" i="13"/>
  <c r="G149" i="13"/>
  <c r="H139" i="13"/>
  <c r="H1825" i="13" s="1"/>
  <c r="J143" i="13"/>
  <c r="H151" i="13"/>
  <c r="G140" i="13"/>
  <c r="G144" i="13"/>
  <c r="G152" i="13"/>
  <c r="H140" i="13"/>
  <c r="H144" i="13"/>
  <c r="F573" i="13"/>
  <c r="D573" i="13"/>
  <c r="F575" i="13"/>
  <c r="D575" i="13"/>
  <c r="F571" i="13"/>
  <c r="D571" i="13"/>
  <c r="C24" i="4"/>
  <c r="D24" i="4"/>
  <c r="B24" i="4"/>
  <c r="E24" i="4"/>
  <c r="E122" i="14"/>
  <c r="J82" i="14"/>
  <c r="M47" i="14"/>
  <c r="F83" i="14" s="1"/>
  <c r="I49" i="14"/>
  <c r="K19" i="14"/>
  <c r="D149" i="14"/>
  <c r="H23" i="18" s="1"/>
  <c r="H59" i="18" s="1"/>
  <c r="C125" i="14"/>
  <c r="D151" i="14"/>
  <c r="H25" i="18" s="1"/>
  <c r="H61" i="18" s="1"/>
  <c r="C127" i="14"/>
  <c r="I20" i="14"/>
  <c r="G50" i="14"/>
  <c r="D148" i="14"/>
  <c r="H22" i="18" s="1"/>
  <c r="H58" i="18" s="1"/>
  <c r="C124" i="14"/>
  <c r="C129" i="14"/>
  <c r="D153" i="14"/>
  <c r="H27" i="18" s="1"/>
  <c r="H63" i="18" s="1"/>
  <c r="D158" i="14"/>
  <c r="H32" i="18" s="1"/>
  <c r="H68" i="18" s="1"/>
  <c r="C134" i="14"/>
  <c r="E146" i="14"/>
  <c r="E48" i="14"/>
  <c r="G18" i="14"/>
  <c r="D150" i="14"/>
  <c r="H24" i="18" s="1"/>
  <c r="H60" i="18" s="1"/>
  <c r="C126" i="14"/>
  <c r="D155" i="14"/>
  <c r="H29" i="18" s="1"/>
  <c r="H65" i="18" s="1"/>
  <c r="C131" i="14"/>
  <c r="D156" i="14"/>
  <c r="H30" i="18" s="1"/>
  <c r="H66" i="18" s="1"/>
  <c r="C132" i="14"/>
  <c r="D157" i="14"/>
  <c r="H31" i="18" s="1"/>
  <c r="H67" i="18" s="1"/>
  <c r="C133" i="14"/>
  <c r="L49" i="14"/>
  <c r="F50" i="14"/>
  <c r="H20" i="14"/>
  <c r="N46" i="14"/>
  <c r="C82" i="14"/>
  <c r="F82" i="14"/>
  <c r="C21" i="18" s="1"/>
  <c r="C57" i="18" s="1"/>
  <c r="G82" i="14"/>
  <c r="D82" i="14"/>
  <c r="I82" i="14"/>
  <c r="L82" i="14"/>
  <c r="H82" i="14"/>
  <c r="K82" i="14"/>
  <c r="D21" i="18" s="1"/>
  <c r="D57" i="18" s="1"/>
  <c r="D154" i="14"/>
  <c r="H28" i="18" s="1"/>
  <c r="H64" i="18" s="1"/>
  <c r="C130" i="14"/>
  <c r="C135" i="14"/>
  <c r="D159" i="14"/>
  <c r="H33" i="18" s="1"/>
  <c r="H69" i="18" s="1"/>
  <c r="K49" i="14"/>
  <c r="J20" i="14"/>
  <c r="H50" i="14"/>
  <c r="D152" i="14"/>
  <c r="H26" i="18" s="1"/>
  <c r="H62" i="18" s="1"/>
  <c r="C128" i="14"/>
  <c r="E19" i="14"/>
  <c r="C49" i="14"/>
  <c r="D49" i="14"/>
  <c r="D147" i="14"/>
  <c r="H21" i="18" s="1"/>
  <c r="H57" i="18" s="1"/>
  <c r="C123" i="14"/>
  <c r="J48" i="14"/>
  <c r="L18" i="14"/>
  <c r="AF629" i="13"/>
  <c r="AF653" i="13"/>
  <c r="G33" i="13"/>
  <c r="C11" i="13"/>
  <c r="G39" i="13"/>
  <c r="C15" i="13"/>
  <c r="G30" i="13"/>
  <c r="C8" i="13"/>
  <c r="G31" i="13"/>
  <c r="C9" i="13"/>
  <c r="C5" i="13" s="1"/>
  <c r="G35" i="13"/>
  <c r="C12" i="13"/>
  <c r="G41" i="13"/>
  <c r="C17" i="13"/>
  <c r="G40" i="13"/>
  <c r="C16" i="13"/>
  <c r="G29" i="13"/>
  <c r="C7" i="13"/>
  <c r="G37" i="13"/>
  <c r="C14" i="13"/>
  <c r="AP671" i="13"/>
  <c r="AP667" i="13"/>
  <c r="AP657" i="13"/>
  <c r="AF615" i="13"/>
  <c r="AF644" i="13"/>
  <c r="AF665" i="13"/>
  <c r="G32" i="13"/>
  <c r="C10" i="13"/>
  <c r="G26" i="13"/>
  <c r="AH646" i="13"/>
  <c r="AH627" i="13"/>
  <c r="AH611" i="13"/>
  <c r="AH608" i="13"/>
  <c r="AH657" i="13"/>
  <c r="H1706" i="13"/>
  <c r="H1705" i="13" s="1"/>
  <c r="AT657" i="13"/>
  <c r="AT609" i="13"/>
  <c r="AJ606" i="13"/>
  <c r="AJ614" i="13"/>
  <c r="AJ621" i="13"/>
  <c r="AJ641" i="13"/>
  <c r="AJ649" i="13"/>
  <c r="AJ665" i="13"/>
  <c r="AJ670" i="13"/>
  <c r="AR604" i="13"/>
  <c r="AR642" i="13"/>
  <c r="D1717" i="13"/>
  <c r="AH647" i="13"/>
  <c r="AH631" i="13"/>
  <c r="D253" i="13"/>
  <c r="P253" i="13" s="1"/>
  <c r="AP648" i="13"/>
  <c r="AH622" i="13"/>
  <c r="J253" i="13"/>
  <c r="AF613" i="13"/>
  <c r="AF624" i="13"/>
  <c r="AF641" i="13"/>
  <c r="AF648" i="13"/>
  <c r="AF655" i="13"/>
  <c r="AF667" i="13"/>
  <c r="AF671" i="13"/>
  <c r="AR636" i="13"/>
  <c r="AH618" i="13"/>
  <c r="S253" i="13"/>
  <c r="AH626" i="13"/>
  <c r="N253" i="13"/>
  <c r="F1706" i="13"/>
  <c r="F1705" i="13" s="1"/>
  <c r="AH654" i="13"/>
  <c r="AJ607" i="13"/>
  <c r="AJ616" i="13"/>
  <c r="AJ622" i="13"/>
  <c r="AJ645" i="13"/>
  <c r="AJ653" i="13"/>
  <c r="AJ667" i="13"/>
  <c r="AJ671" i="13"/>
  <c r="AR611" i="13"/>
  <c r="AR666" i="13"/>
  <c r="E1706" i="13"/>
  <c r="E1705" i="13" s="1"/>
  <c r="AH667" i="13"/>
  <c r="AH637" i="13"/>
  <c r="E127" i="13"/>
  <c r="AF614" i="13"/>
  <c r="AF627" i="13"/>
  <c r="AF642" i="13"/>
  <c r="AF649" i="13"/>
  <c r="AF657" i="13"/>
  <c r="AF668" i="13"/>
  <c r="E558" i="13" s="1"/>
  <c r="F558" i="13" s="1"/>
  <c r="AP637" i="13"/>
  <c r="E101" i="13"/>
  <c r="C101" i="13" s="1"/>
  <c r="AH634" i="13"/>
  <c r="AH628" i="13"/>
  <c r="AH624" i="13"/>
  <c r="AH604" i="13"/>
  <c r="AR610" i="13"/>
  <c r="AR617" i="13"/>
  <c r="E577" i="13" s="1"/>
  <c r="D577" i="13" s="1"/>
  <c r="AR633" i="13"/>
  <c r="AR641" i="13"/>
  <c r="AR665" i="13"/>
  <c r="AR669" i="13"/>
  <c r="AH668" i="13"/>
  <c r="E560" i="13" s="1"/>
  <c r="D560" i="13" s="1"/>
  <c r="AH642" i="13"/>
  <c r="AH632" i="13"/>
  <c r="AH610" i="13"/>
  <c r="AH605" i="13"/>
  <c r="AH666" i="13"/>
  <c r="AH606" i="13"/>
  <c r="AH640" i="13"/>
  <c r="AH629" i="13"/>
  <c r="AH609" i="13"/>
  <c r="AT671" i="13"/>
  <c r="D1595" i="13"/>
  <c r="D1596" i="13" s="1"/>
  <c r="AH652" i="13"/>
  <c r="AH644" i="13"/>
  <c r="AH638" i="13"/>
  <c r="AH616" i="13"/>
  <c r="AH650" i="13"/>
  <c r="AR608" i="13"/>
  <c r="AR613" i="13"/>
  <c r="AR624" i="13"/>
  <c r="AR637" i="13"/>
  <c r="AR647" i="13"/>
  <c r="AR667" i="13"/>
  <c r="AR671" i="13"/>
  <c r="AH670" i="13"/>
  <c r="AH648" i="13"/>
  <c r="AH639" i="13"/>
  <c r="AH630" i="13"/>
  <c r="AH633" i="13"/>
  <c r="AH655" i="13"/>
  <c r="AH645" i="13"/>
  <c r="AH623" i="13"/>
  <c r="AH649" i="13"/>
  <c r="AH620" i="13"/>
  <c r="AH613" i="13"/>
  <c r="AH636" i="13"/>
  <c r="AR609" i="13"/>
  <c r="AR615" i="13"/>
  <c r="AR629" i="13"/>
  <c r="AR640" i="13"/>
  <c r="AR657" i="13"/>
  <c r="AR668" i="13"/>
  <c r="G1595" i="13"/>
  <c r="G1596" i="13" s="1"/>
  <c r="AH669" i="13"/>
  <c r="AH641" i="13"/>
  <c r="AH607" i="13"/>
  <c r="H1595" i="13"/>
  <c r="H1596" i="13" s="1"/>
  <c r="AH653" i="13"/>
  <c r="E125" i="13"/>
  <c r="F1595" i="13"/>
  <c r="F1596" i="13" s="1"/>
  <c r="AH614" i="13"/>
  <c r="G101" i="13"/>
  <c r="I243" i="13"/>
  <c r="I425" i="13"/>
  <c r="J425" i="13" s="1"/>
  <c r="AT670" i="13"/>
  <c r="D1706" i="13"/>
  <c r="D1705" i="13" s="1"/>
  <c r="I419" i="13"/>
  <c r="J419" i="13" s="1"/>
  <c r="I423" i="13"/>
  <c r="J423" i="13" s="1"/>
  <c r="I421" i="13"/>
  <c r="J421" i="13" s="1"/>
  <c r="F419" i="13"/>
  <c r="M10316" i="13"/>
  <c r="M10317" i="13" s="1"/>
  <c r="F420" i="13"/>
  <c r="F421" i="13"/>
  <c r="F1680" i="13"/>
  <c r="N1680" i="13"/>
  <c r="J926" i="13"/>
  <c r="J927" i="13"/>
  <c r="L253" i="13"/>
  <c r="Q253" i="13"/>
  <c r="R253" i="13" s="1"/>
  <c r="M253" i="13"/>
  <c r="I253" i="13"/>
  <c r="AM649" i="13"/>
  <c r="AM652" i="13"/>
  <c r="AM646" i="13"/>
  <c r="AM644" i="13"/>
  <c r="AC643" i="13"/>
  <c r="AC640" i="13"/>
  <c r="AC617" i="13"/>
  <c r="E555" i="13" s="1"/>
  <c r="D555" i="13" s="1"/>
  <c r="AC612" i="13"/>
  <c r="AM611" i="13"/>
  <c r="AC650" i="13"/>
  <c r="AC633" i="13"/>
  <c r="AC606" i="13"/>
  <c r="AM654" i="13"/>
  <c r="AM627" i="13"/>
  <c r="AC622" i="13"/>
  <c r="AM634" i="13"/>
  <c r="AM628" i="13"/>
  <c r="AM624" i="13"/>
  <c r="AM613" i="13"/>
  <c r="AM604" i="13"/>
  <c r="AM656" i="13"/>
  <c r="AM638" i="13"/>
  <c r="AM614" i="13"/>
  <c r="AC626" i="13"/>
  <c r="AM620" i="13"/>
  <c r="AC614" i="13"/>
  <c r="AM606" i="13"/>
  <c r="I926" i="13"/>
  <c r="I927" i="13"/>
  <c r="E1678" i="13"/>
  <c r="E1679" i="13"/>
  <c r="I422" i="13"/>
  <c r="J422" i="13" s="1"/>
  <c r="I417" i="13"/>
  <c r="J417" i="13" s="1"/>
  <c r="I418" i="13"/>
  <c r="J418" i="13" s="1"/>
  <c r="I420" i="13"/>
  <c r="J420" i="13" s="1"/>
  <c r="E120" i="13"/>
  <c r="D1073" i="13"/>
  <c r="D1083" i="13"/>
  <c r="D562" i="13"/>
  <c r="F562" i="13"/>
  <c r="S404" i="13"/>
  <c r="S405" i="13"/>
  <c r="AK8904" i="13"/>
  <c r="AL8904" i="13" s="1"/>
  <c r="AM8904" i="13" s="1"/>
  <c r="AN8904" i="13" s="1"/>
  <c r="AK8888" i="13"/>
  <c r="AL8888" i="13" s="1"/>
  <c r="AM8888" i="13" s="1"/>
  <c r="AN8888" i="13" s="1"/>
  <c r="AK8844" i="13"/>
  <c r="AL8844" i="13" s="1"/>
  <c r="AM8844" i="13" s="1"/>
  <c r="AN8844" i="13" s="1"/>
  <c r="AK8847" i="13"/>
  <c r="AL8847" i="13" s="1"/>
  <c r="AM8847" i="13" s="1"/>
  <c r="AN8847" i="13" s="1"/>
  <c r="AK8846" i="13"/>
  <c r="AL8846" i="13" s="1"/>
  <c r="AM8846" i="13" s="1"/>
  <c r="AN8846" i="13" s="1"/>
  <c r="AK8840" i="13"/>
  <c r="AL8840" i="13" s="1"/>
  <c r="AM8840" i="13" s="1"/>
  <c r="AN8840" i="13" s="1"/>
  <c r="AK8854" i="13"/>
  <c r="AL8854" i="13" s="1"/>
  <c r="AM8854" i="13" s="1"/>
  <c r="AN8854" i="13" s="1"/>
  <c r="O243" i="13"/>
  <c r="P243" i="13"/>
  <c r="E593" i="13"/>
  <c r="AK8819" i="13"/>
  <c r="AL8819" i="13" s="1"/>
  <c r="AM8819" i="13" s="1"/>
  <c r="AN8819" i="13" s="1"/>
  <c r="E595" i="13"/>
  <c r="E588" i="13"/>
  <c r="F1423" i="13"/>
  <c r="F1433" i="13" s="1"/>
  <c r="F1432" i="13"/>
  <c r="F1425" i="13"/>
  <c r="N252" i="13"/>
  <c r="J252" i="13"/>
  <c r="K252" i="13"/>
  <c r="Q252" i="13"/>
  <c r="R252" i="13" s="1"/>
  <c r="M252" i="13"/>
  <c r="I252" i="13"/>
  <c r="L252" i="13"/>
  <c r="S252" i="13"/>
  <c r="D252" i="13"/>
  <c r="G1679" i="13"/>
  <c r="G1675" i="13"/>
  <c r="G1676" i="13" s="1"/>
  <c r="G1678" i="13"/>
  <c r="G1677" i="13"/>
  <c r="L1678" i="13"/>
  <c r="L1679" i="13"/>
  <c r="L1675" i="13"/>
  <c r="L1676" i="13" s="1"/>
  <c r="L1677" i="13"/>
  <c r="AK8896" i="13"/>
  <c r="AL8896" i="13" s="1"/>
  <c r="AM8896" i="13" s="1"/>
  <c r="AN8896" i="13" s="1"/>
  <c r="AK8916" i="13"/>
  <c r="AL8916" i="13" s="1"/>
  <c r="AM8916" i="13" s="1"/>
  <c r="AN8916" i="13" s="1"/>
  <c r="AK8877" i="13"/>
  <c r="AL8877" i="13" s="1"/>
  <c r="AM8877" i="13" s="1"/>
  <c r="AN8877" i="13" s="1"/>
  <c r="AK8882" i="13"/>
  <c r="AL8882" i="13" s="1"/>
  <c r="AM8882" i="13" s="1"/>
  <c r="AN8882" i="13" s="1"/>
  <c r="AK8937" i="13"/>
  <c r="AL8937" i="13" s="1"/>
  <c r="AM8937" i="13" s="1"/>
  <c r="AN8937" i="13" s="1"/>
  <c r="AK8929" i="13"/>
  <c r="AL8929" i="13" s="1"/>
  <c r="AM8929" i="13" s="1"/>
  <c r="AN8929" i="13" s="1"/>
  <c r="AK8917" i="13"/>
  <c r="AL8917" i="13" s="1"/>
  <c r="AM8917" i="13" s="1"/>
  <c r="AN8917" i="13" s="1"/>
  <c r="AK8881" i="13"/>
  <c r="AL8881" i="13" s="1"/>
  <c r="AM8881" i="13" s="1"/>
  <c r="AN8881" i="13" s="1"/>
  <c r="AK8865" i="13"/>
  <c r="AL8865" i="13" s="1"/>
  <c r="AM8865" i="13" s="1"/>
  <c r="AN8865" i="13" s="1"/>
  <c r="AK8912" i="13"/>
  <c r="AL8912" i="13" s="1"/>
  <c r="AM8912" i="13" s="1"/>
  <c r="AN8912" i="13" s="1"/>
  <c r="AK8891" i="13"/>
  <c r="AL8891" i="13" s="1"/>
  <c r="AM8891" i="13" s="1"/>
  <c r="AN8891" i="13" s="1"/>
  <c r="AK8875" i="13"/>
  <c r="AL8875" i="13" s="1"/>
  <c r="AM8875" i="13" s="1"/>
  <c r="AN8875" i="13" s="1"/>
  <c r="AK8859" i="13"/>
  <c r="AL8859" i="13" s="1"/>
  <c r="AM8859" i="13" s="1"/>
  <c r="AN8859" i="13" s="1"/>
  <c r="AK8920" i="13"/>
  <c r="AL8920" i="13" s="1"/>
  <c r="AM8920" i="13" s="1"/>
  <c r="AN8920" i="13" s="1"/>
  <c r="AK8848" i="13"/>
  <c r="AL8848" i="13" s="1"/>
  <c r="AM8848" i="13" s="1"/>
  <c r="AN8848" i="13" s="1"/>
  <c r="AK8843" i="13"/>
  <c r="AL8843" i="13" s="1"/>
  <c r="AM8843" i="13" s="1"/>
  <c r="AN8843" i="13" s="1"/>
  <c r="AK8855" i="13"/>
  <c r="AL8855" i="13" s="1"/>
  <c r="AM8855" i="13" s="1"/>
  <c r="AN8855" i="13" s="1"/>
  <c r="AK8832" i="13"/>
  <c r="AL8832" i="13" s="1"/>
  <c r="AM8832" i="13" s="1"/>
  <c r="AN8832" i="13" s="1"/>
  <c r="E589" i="13"/>
  <c r="J1675" i="13"/>
  <c r="J1676" i="13" s="1"/>
  <c r="J1679" i="13"/>
  <c r="J1678" i="13"/>
  <c r="J1677" i="13"/>
  <c r="F553" i="13"/>
  <c r="D553" i="13"/>
  <c r="AK8816" i="13"/>
  <c r="AL8816" i="13" s="1"/>
  <c r="AM8816" i="13" s="1"/>
  <c r="AN8816" i="13" s="1"/>
  <c r="AK8808" i="13"/>
  <c r="AL8808" i="13" s="1"/>
  <c r="AM8808" i="13" s="1"/>
  <c r="AN8808" i="13" s="1"/>
  <c r="F1104" i="13"/>
  <c r="F1105" i="13" s="1"/>
  <c r="D1080" i="13" s="1"/>
  <c r="E1104" i="13"/>
  <c r="E1105" i="13" s="1"/>
  <c r="D1075" i="13" s="1"/>
  <c r="D1105" i="13"/>
  <c r="D1070" i="13" s="1"/>
  <c r="D554" i="13"/>
  <c r="F554" i="13"/>
  <c r="N245" i="13"/>
  <c r="J245" i="13"/>
  <c r="S245" i="13"/>
  <c r="D245" i="13"/>
  <c r="Q245" i="13"/>
  <c r="R245" i="13" s="1"/>
  <c r="M245" i="13"/>
  <c r="I245" i="13"/>
  <c r="E244" i="13"/>
  <c r="T245" i="13"/>
  <c r="L245" i="13"/>
  <c r="K244" i="13"/>
  <c r="K245" i="13"/>
  <c r="M1677" i="13"/>
  <c r="M1675" i="13"/>
  <c r="M1676" i="13" s="1"/>
  <c r="M1678" i="13"/>
  <c r="M1679" i="13"/>
  <c r="P1678" i="13"/>
  <c r="P1677" i="13"/>
  <c r="P1675" i="13"/>
  <c r="P1676" i="13" s="1"/>
  <c r="P1679" i="13"/>
  <c r="E405" i="13"/>
  <c r="N404" i="13"/>
  <c r="N405" i="13"/>
  <c r="M404" i="13"/>
  <c r="M405" i="13"/>
  <c r="E404" i="13"/>
  <c r="H1824" i="13"/>
  <c r="AK8918" i="13"/>
  <c r="AL8918" i="13" s="1"/>
  <c r="AM8918" i="13" s="1"/>
  <c r="AN8918" i="13" s="1"/>
  <c r="AK8914" i="13"/>
  <c r="AL8914" i="13" s="1"/>
  <c r="AM8914" i="13" s="1"/>
  <c r="AN8914" i="13" s="1"/>
  <c r="AK8938" i="13"/>
  <c r="AL8938" i="13" s="1"/>
  <c r="AM8938" i="13" s="1"/>
  <c r="AN8938" i="13" s="1"/>
  <c r="AK8935" i="13"/>
  <c r="AL8935" i="13" s="1"/>
  <c r="AM8935" i="13" s="1"/>
  <c r="AN8935" i="13" s="1"/>
  <c r="AK8910" i="13"/>
  <c r="AL8910" i="13" s="1"/>
  <c r="AM8910" i="13" s="1"/>
  <c r="AN8910" i="13" s="1"/>
  <c r="AK8908" i="13"/>
  <c r="AL8908" i="13" s="1"/>
  <c r="AM8908" i="13" s="1"/>
  <c r="AN8908" i="13" s="1"/>
  <c r="AK8900" i="13"/>
  <c r="AL8900" i="13" s="1"/>
  <c r="AM8900" i="13" s="1"/>
  <c r="AN8900" i="13" s="1"/>
  <c r="AK8892" i="13"/>
  <c r="AL8892" i="13" s="1"/>
  <c r="AM8892" i="13" s="1"/>
  <c r="AN8892" i="13" s="1"/>
  <c r="AK8924" i="13"/>
  <c r="AL8924" i="13" s="1"/>
  <c r="AM8924" i="13" s="1"/>
  <c r="AN8924" i="13" s="1"/>
  <c r="AK8869" i="13"/>
  <c r="AL8869" i="13" s="1"/>
  <c r="AM8869" i="13" s="1"/>
  <c r="AN8869" i="13" s="1"/>
  <c r="AK8879" i="13"/>
  <c r="AL8879" i="13" s="1"/>
  <c r="AM8879" i="13" s="1"/>
  <c r="AN8879" i="13" s="1"/>
  <c r="AK8863" i="13"/>
  <c r="AL8863" i="13" s="1"/>
  <c r="AM8863" i="13" s="1"/>
  <c r="AN8863" i="13" s="1"/>
  <c r="AK8884" i="13"/>
  <c r="AL8884" i="13" s="1"/>
  <c r="AM8884" i="13" s="1"/>
  <c r="AN8884" i="13" s="1"/>
  <c r="AK8852" i="13"/>
  <c r="AL8852" i="13" s="1"/>
  <c r="AM8852" i="13" s="1"/>
  <c r="AN8852" i="13" s="1"/>
  <c r="AK8839" i="13"/>
  <c r="AL8839" i="13" s="1"/>
  <c r="AM8839" i="13" s="1"/>
  <c r="AN8839" i="13" s="1"/>
  <c r="AK8830" i="13"/>
  <c r="AL8830" i="13" s="1"/>
  <c r="AM8830" i="13" s="1"/>
  <c r="AN8830" i="13" s="1"/>
  <c r="AK8824" i="13"/>
  <c r="AL8824" i="13" s="1"/>
  <c r="AM8824" i="13" s="1"/>
  <c r="AN8824" i="13" s="1"/>
  <c r="G1432" i="13"/>
  <c r="G1425" i="13"/>
  <c r="G1423" i="13"/>
  <c r="G1433" i="13" s="1"/>
  <c r="AK8838" i="13"/>
  <c r="AL8838" i="13" s="1"/>
  <c r="AM8838" i="13" s="1"/>
  <c r="AN8838" i="13" s="1"/>
  <c r="AK8826" i="13"/>
  <c r="AL8826" i="13" s="1"/>
  <c r="AM8826" i="13" s="1"/>
  <c r="AN8826" i="13" s="1"/>
  <c r="AK8820" i="13"/>
  <c r="AL8820" i="13" s="1"/>
  <c r="AM8820" i="13" s="1"/>
  <c r="AN8820" i="13" s="1"/>
  <c r="K1680" i="13"/>
  <c r="O1104" i="13"/>
  <c r="O1105" i="13" s="1"/>
  <c r="N1104" i="13"/>
  <c r="N1105" i="13" s="1"/>
  <c r="D1078" i="13" s="1"/>
  <c r="E590" i="13"/>
  <c r="D559" i="13"/>
  <c r="F559" i="13"/>
  <c r="AK8827" i="13"/>
  <c r="AL8827" i="13" s="1"/>
  <c r="AM8827" i="13" s="1"/>
  <c r="AN8827" i="13" s="1"/>
  <c r="R405" i="13"/>
  <c r="Q404" i="13"/>
  <c r="Q405" i="13"/>
  <c r="R404" i="13"/>
  <c r="O1679" i="13"/>
  <c r="O1675" i="13"/>
  <c r="O1676" i="13" s="1"/>
  <c r="O1677" i="13"/>
  <c r="O1678" i="13"/>
  <c r="AK8834" i="13"/>
  <c r="AL8834" i="13" s="1"/>
  <c r="AM8834" i="13" s="1"/>
  <c r="AN8834" i="13" s="1"/>
  <c r="D1678" i="13"/>
  <c r="D1679" i="13"/>
  <c r="D1675" i="13"/>
  <c r="D1676" i="13" s="1"/>
  <c r="D1677" i="13"/>
  <c r="AK8831" i="13"/>
  <c r="AL8831" i="13" s="1"/>
  <c r="AM8831" i="13" s="1"/>
  <c r="AN8831" i="13" s="1"/>
  <c r="H1104" i="13"/>
  <c r="H1105" i="13" s="1"/>
  <c r="D1076" i="13" s="1"/>
  <c r="I1104" i="13"/>
  <c r="I1105" i="13" s="1"/>
  <c r="D1081" i="13" s="1"/>
  <c r="E1081" i="13" s="1"/>
  <c r="H1823" i="13"/>
  <c r="AK8931" i="13"/>
  <c r="AL8931" i="13" s="1"/>
  <c r="AM8931" i="13" s="1"/>
  <c r="AN8931" i="13" s="1"/>
  <c r="AK8861" i="13"/>
  <c r="AL8861" i="13" s="1"/>
  <c r="AM8861" i="13" s="1"/>
  <c r="AN8861" i="13" s="1"/>
  <c r="AK8871" i="13"/>
  <c r="AL8871" i="13" s="1"/>
  <c r="AM8871" i="13" s="1"/>
  <c r="AN8871" i="13" s="1"/>
  <c r="AK8926" i="13"/>
  <c r="AL8926" i="13" s="1"/>
  <c r="AM8926" i="13" s="1"/>
  <c r="AN8926" i="13" s="1"/>
  <c r="AK8921" i="13"/>
  <c r="AL8921" i="13" s="1"/>
  <c r="AM8921" i="13" s="1"/>
  <c r="AN8921" i="13" s="1"/>
  <c r="AK8913" i="13"/>
  <c r="AL8913" i="13" s="1"/>
  <c r="AM8913" i="13" s="1"/>
  <c r="AN8913" i="13" s="1"/>
  <c r="AK8873" i="13"/>
  <c r="AL8873" i="13" s="1"/>
  <c r="AM8873" i="13" s="1"/>
  <c r="AN8873" i="13" s="1"/>
  <c r="AK8857" i="13"/>
  <c r="AL8857" i="13" s="1"/>
  <c r="AM8857" i="13" s="1"/>
  <c r="AN8857" i="13" s="1"/>
  <c r="AK8867" i="13"/>
  <c r="AL8867" i="13" s="1"/>
  <c r="AM8867" i="13" s="1"/>
  <c r="AN8867" i="13" s="1"/>
  <c r="AK8856" i="13"/>
  <c r="AL8856" i="13" s="1"/>
  <c r="AM8856" i="13" s="1"/>
  <c r="AN8856" i="13" s="1"/>
  <c r="AK8922" i="13"/>
  <c r="AL8922" i="13" s="1"/>
  <c r="AM8922" i="13" s="1"/>
  <c r="AN8922" i="13" s="1"/>
  <c r="AK8850" i="13"/>
  <c r="AL8850" i="13" s="1"/>
  <c r="AM8850" i="13" s="1"/>
  <c r="AN8850" i="13" s="1"/>
  <c r="AK8836" i="13"/>
  <c r="AL8836" i="13" s="1"/>
  <c r="AM8836" i="13" s="1"/>
  <c r="AN8836" i="13" s="1"/>
  <c r="AK8842" i="13"/>
  <c r="AL8842" i="13" s="1"/>
  <c r="AM8842" i="13" s="1"/>
  <c r="AN8842" i="13" s="1"/>
  <c r="AK8828" i="13"/>
  <c r="AL8828" i="13" s="1"/>
  <c r="AM8828" i="13" s="1"/>
  <c r="AN8828" i="13" s="1"/>
  <c r="AK8835" i="13"/>
  <c r="AL8835" i="13" s="1"/>
  <c r="AM8835" i="13" s="1"/>
  <c r="AN8835" i="13" s="1"/>
  <c r="AK8851" i="13"/>
  <c r="AL8851" i="13" s="1"/>
  <c r="AM8851" i="13" s="1"/>
  <c r="AN8851" i="13" s="1"/>
  <c r="AK8823" i="13"/>
  <c r="AL8823" i="13" s="1"/>
  <c r="AM8823" i="13" s="1"/>
  <c r="AN8823" i="13" s="1"/>
  <c r="F556" i="13"/>
  <c r="D556" i="13"/>
  <c r="K1104" i="13"/>
  <c r="K1105" i="13" s="1"/>
  <c r="D1077" i="13" s="1"/>
  <c r="J1105" i="13"/>
  <c r="D1072" i="13" s="1"/>
  <c r="H892" i="13"/>
  <c r="H891" i="13"/>
  <c r="F561" i="13"/>
  <c r="D561" i="13"/>
  <c r="Q242" i="13"/>
  <c r="R242" i="13" s="1"/>
  <c r="M242" i="13"/>
  <c r="I242" i="13"/>
  <c r="L242" i="13"/>
  <c r="S242" i="13"/>
  <c r="D242" i="13"/>
  <c r="K242" i="13"/>
  <c r="N242" i="13"/>
  <c r="J242" i="13"/>
  <c r="AE666" i="13"/>
  <c r="AO665" i="13"/>
  <c r="AE665" i="13"/>
  <c r="AO657" i="13"/>
  <c r="AE657" i="13"/>
  <c r="AE655" i="13"/>
  <c r="AE653" i="13"/>
  <c r="AE647" i="13"/>
  <c r="AE645" i="13"/>
  <c r="AE639" i="13"/>
  <c r="AE637" i="13"/>
  <c r="AO636" i="13"/>
  <c r="AE635" i="13"/>
  <c r="AE631" i="13"/>
  <c r="AE630" i="13"/>
  <c r="AO629" i="13"/>
  <c r="AE629" i="13"/>
  <c r="AE625" i="13"/>
  <c r="AE623" i="13"/>
  <c r="AO622" i="13"/>
  <c r="AO617" i="13"/>
  <c r="E574" i="13" s="1"/>
  <c r="AE615" i="13"/>
  <c r="AE610" i="13"/>
  <c r="AO609" i="13"/>
  <c r="AE607" i="13"/>
  <c r="E122" i="13"/>
  <c r="AO671" i="13"/>
  <c r="AE641" i="13"/>
  <c r="AO633" i="13"/>
  <c r="AE604" i="13"/>
  <c r="AO652" i="13"/>
  <c r="AE650" i="13"/>
  <c r="AO634" i="13"/>
  <c r="AE633" i="13"/>
  <c r="AE626" i="13"/>
  <c r="AO624" i="13"/>
  <c r="AE614" i="13"/>
  <c r="AO613" i="13"/>
  <c r="AE606" i="13"/>
  <c r="AE649" i="13"/>
  <c r="AE644" i="13"/>
  <c r="AE627" i="13"/>
  <c r="AE624" i="13"/>
  <c r="AE619" i="13"/>
  <c r="AO616" i="13"/>
  <c r="AE609" i="13"/>
  <c r="AO608" i="13"/>
  <c r="AE671" i="13"/>
  <c r="AE669" i="13"/>
  <c r="AO668" i="13"/>
  <c r="AE668" i="13"/>
  <c r="E557" i="13" s="1"/>
  <c r="AO667" i="13"/>
  <c r="AE667" i="13"/>
  <c r="AO666" i="13"/>
  <c r="AE656" i="13"/>
  <c r="AE642" i="13"/>
  <c r="AO637" i="13"/>
  <c r="AE634" i="13"/>
  <c r="AO615" i="13"/>
  <c r="AE636" i="13"/>
  <c r="AE613" i="13"/>
  <c r="AE608" i="13"/>
  <c r="AO670" i="13"/>
  <c r="AE670" i="13"/>
  <c r="AO669" i="13"/>
  <c r="AE652" i="13"/>
  <c r="AE648" i="13"/>
  <c r="AO641" i="13"/>
  <c r="AE620" i="13"/>
  <c r="AO618" i="13"/>
  <c r="AE616" i="13"/>
  <c r="AO612" i="13"/>
  <c r="AO610" i="13"/>
  <c r="AK8812" i="13"/>
  <c r="AL8812" i="13" s="1"/>
  <c r="AM8812" i="13" s="1"/>
  <c r="AN8812" i="13" s="1"/>
  <c r="AK8804" i="13"/>
  <c r="AL8804" i="13" s="1"/>
  <c r="AM8804" i="13" s="1"/>
  <c r="AN8804" i="13" s="1"/>
  <c r="I1677" i="13"/>
  <c r="I1678" i="13"/>
  <c r="I1679" i="13"/>
  <c r="I1675" i="13"/>
  <c r="I1676" i="13" s="1"/>
  <c r="E592" i="13"/>
  <c r="H1678" i="13"/>
  <c r="H1677" i="13"/>
  <c r="H1675" i="13"/>
  <c r="H1676" i="13" s="1"/>
  <c r="H1679" i="13"/>
  <c r="AK8822" i="13"/>
  <c r="AL8822" i="13" s="1"/>
  <c r="AM8822" i="13" s="1"/>
  <c r="AN8822" i="13" s="1"/>
  <c r="R1104" i="13"/>
  <c r="R1105" i="13" s="1"/>
  <c r="D1084" i="13" s="1"/>
  <c r="P1105" i="13"/>
  <c r="D1074" i="13" s="1"/>
  <c r="Q1104" i="13"/>
  <c r="Q1105" i="13" s="1"/>
  <c r="D1079" i="13" s="1"/>
  <c r="N407" i="13"/>
  <c r="M407" i="13"/>
  <c r="P407" i="13"/>
  <c r="E407" i="13"/>
  <c r="O407" i="13"/>
  <c r="D407" i="13"/>
  <c r="T7" i="21" l="1"/>
  <c r="D75" i="25"/>
  <c r="M79" i="18"/>
  <c r="E2" i="26" s="1"/>
  <c r="M88" i="18"/>
  <c r="E11" i="26" s="1"/>
  <c r="B21" i="18"/>
  <c r="B57" i="18" s="1"/>
  <c r="F577" i="13"/>
  <c r="E579" i="13"/>
  <c r="AC38" i="5"/>
  <c r="D557" i="13"/>
  <c r="F557" i="13"/>
  <c r="F574" i="13"/>
  <c r="D574" i="13"/>
  <c r="F122" i="14"/>
  <c r="D558" i="13"/>
  <c r="E594" i="13"/>
  <c r="J83" i="14"/>
  <c r="M48" i="14"/>
  <c r="G84" i="14" s="1"/>
  <c r="I83" i="14"/>
  <c r="C83" i="14"/>
  <c r="K83" i="14"/>
  <c r="D22" i="18" s="1"/>
  <c r="D58" i="18" s="1"/>
  <c r="H83" i="14"/>
  <c r="G83" i="14"/>
  <c r="N47" i="14"/>
  <c r="E83" i="14"/>
  <c r="C22" i="18" s="1"/>
  <c r="C58" i="18" s="1"/>
  <c r="L83" i="14"/>
  <c r="D83" i="14"/>
  <c r="O253" i="13"/>
  <c r="H21" i="14"/>
  <c r="F51" i="14"/>
  <c r="I21" i="14"/>
  <c r="G51" i="14"/>
  <c r="E149" i="14"/>
  <c r="E159" i="14"/>
  <c r="L50" i="14"/>
  <c r="E49" i="14"/>
  <c r="G19" i="14"/>
  <c r="E153" i="14"/>
  <c r="D50" i="14"/>
  <c r="F20" i="14"/>
  <c r="E154" i="14"/>
  <c r="J21" i="14"/>
  <c r="H51" i="14"/>
  <c r="E157" i="14"/>
  <c r="E155" i="14"/>
  <c r="E148" i="14"/>
  <c r="L19" i="14"/>
  <c r="J49" i="14"/>
  <c r="C50" i="14"/>
  <c r="E20" i="14"/>
  <c r="K50" i="14"/>
  <c r="F146" i="14"/>
  <c r="I146" i="14"/>
  <c r="E20" i="18" s="1"/>
  <c r="E56" i="18" s="1"/>
  <c r="H146" i="14"/>
  <c r="G146" i="14"/>
  <c r="E151" i="14"/>
  <c r="I50" i="14"/>
  <c r="K20" i="14"/>
  <c r="E123" i="14"/>
  <c r="F123" i="14" s="1"/>
  <c r="E158" i="14"/>
  <c r="E147" i="14"/>
  <c r="E152" i="14"/>
  <c r="E156" i="14"/>
  <c r="E150" i="14"/>
  <c r="F560" i="13"/>
  <c r="F555" i="13"/>
  <c r="D1086" i="13"/>
  <c r="L407" i="13" s="1"/>
  <c r="D1091" i="13"/>
  <c r="E1091" i="13" s="1"/>
  <c r="E1680" i="13"/>
  <c r="L1680" i="13"/>
  <c r="G1680" i="13"/>
  <c r="M1680" i="13"/>
  <c r="O1680" i="13"/>
  <c r="E1079" i="13"/>
  <c r="E1084" i="13"/>
  <c r="O252" i="13"/>
  <c r="P252" i="13"/>
  <c r="P406" i="13"/>
  <c r="E406" i="13"/>
  <c r="O406" i="13"/>
  <c r="D406" i="13"/>
  <c r="N406" i="13"/>
  <c r="D1088" i="13"/>
  <c r="M406" i="13"/>
  <c r="D1093" i="13"/>
  <c r="D1089" i="13"/>
  <c r="E1089" i="13" s="1"/>
  <c r="D1094" i="13"/>
  <c r="H1680" i="13"/>
  <c r="I1680" i="13"/>
  <c r="H1851" i="13"/>
  <c r="L1851" i="13" s="1"/>
  <c r="H1837" i="13"/>
  <c r="G1851" i="13"/>
  <c r="K1851" i="13" s="1"/>
  <c r="G1837" i="13"/>
  <c r="H1829" i="13"/>
  <c r="H1843" i="13"/>
  <c r="G1843" i="13"/>
  <c r="G1824" i="13"/>
  <c r="G1829" i="13"/>
  <c r="E1075" i="13"/>
  <c r="J1680" i="13"/>
  <c r="D1090" i="13"/>
  <c r="E1090" i="13" s="1"/>
  <c r="D1085" i="13"/>
  <c r="E1085" i="13" s="1"/>
  <c r="E591" i="13"/>
  <c r="P242" i="13"/>
  <c r="O242" i="13"/>
  <c r="M412" i="13"/>
  <c r="E411" i="13"/>
  <c r="N409" i="13"/>
  <c r="M408" i="13"/>
  <c r="N412" i="13"/>
  <c r="E410" i="13"/>
  <c r="E412" i="13"/>
  <c r="N410" i="13"/>
  <c r="M409" i="13"/>
  <c r="E408" i="13"/>
  <c r="E409" i="13"/>
  <c r="N411" i="13"/>
  <c r="M410" i="13"/>
  <c r="M411" i="13"/>
  <c r="N408" i="13"/>
  <c r="E1076" i="13"/>
  <c r="R407" i="13"/>
  <c r="Q407" i="13"/>
  <c r="S407" i="13"/>
  <c r="Q244" i="13"/>
  <c r="R244" i="13" s="1"/>
  <c r="M244" i="13"/>
  <c r="I244" i="13"/>
  <c r="J244" i="13"/>
  <c r="T244" i="13"/>
  <c r="L244" i="13"/>
  <c r="D244" i="13"/>
  <c r="S244" i="13"/>
  <c r="N244" i="13"/>
  <c r="O245" i="13"/>
  <c r="P245" i="13"/>
  <c r="E1080" i="13"/>
  <c r="E1086" i="13"/>
  <c r="H1852" i="13"/>
  <c r="L1852" i="13" s="1"/>
  <c r="H1838" i="13"/>
  <c r="G1838" i="13"/>
  <c r="G1852" i="13"/>
  <c r="G1823" i="13"/>
  <c r="H1853" i="13"/>
  <c r="L1853" i="13" s="1"/>
  <c r="H1839" i="13"/>
  <c r="G1853" i="13"/>
  <c r="G1825" i="13"/>
  <c r="H96" i="13" s="1"/>
  <c r="G1839" i="13"/>
  <c r="E1077" i="13"/>
  <c r="D1082" i="13"/>
  <c r="E1082" i="13" s="1"/>
  <c r="S412" i="13"/>
  <c r="R411" i="13"/>
  <c r="Q410" i="13"/>
  <c r="S408" i="13"/>
  <c r="S411" i="13"/>
  <c r="R412" i="13"/>
  <c r="Q411" i="13"/>
  <c r="S409" i="13"/>
  <c r="R408" i="13"/>
  <c r="Q412" i="13"/>
  <c r="R409" i="13"/>
  <c r="S410" i="13"/>
  <c r="Q408" i="13"/>
  <c r="R410" i="13"/>
  <c r="Q409" i="13"/>
  <c r="D1680" i="13"/>
  <c r="E1078" i="13"/>
  <c r="S406" i="13"/>
  <c r="R406" i="13"/>
  <c r="Q406" i="13"/>
  <c r="P1680" i="13"/>
  <c r="E1083" i="13"/>
  <c r="D76" i="25" l="1"/>
  <c r="D77" i="25" s="1"/>
  <c r="B22" i="18"/>
  <c r="B58" i="18" s="1"/>
  <c r="C174" i="14"/>
  <c r="E174" i="14" s="1"/>
  <c r="I21" i="18"/>
  <c r="I57" i="18" s="1"/>
  <c r="E190" i="14"/>
  <c r="F20" i="18"/>
  <c r="F56" i="18" s="1"/>
  <c r="D190" i="14"/>
  <c r="G20" i="18"/>
  <c r="G56" i="18" s="1"/>
  <c r="D165" i="14"/>
  <c r="D167" i="14" s="1"/>
  <c r="D168" i="14" s="1"/>
  <c r="I20" i="18"/>
  <c r="I56" i="18" s="1"/>
  <c r="C190" i="14"/>
  <c r="F579" i="13"/>
  <c r="D579" i="13"/>
  <c r="E596" i="13"/>
  <c r="AD38" i="5"/>
  <c r="I157" i="14"/>
  <c r="G157" i="14"/>
  <c r="F31" i="18" s="1"/>
  <c r="F67" i="18" s="1"/>
  <c r="H157" i="14"/>
  <c r="G31" i="18" s="1"/>
  <c r="G67" i="18" s="1"/>
  <c r="F157" i="14"/>
  <c r="C173" i="14"/>
  <c r="C84" i="14"/>
  <c r="D84" i="14"/>
  <c r="L84" i="14"/>
  <c r="I84" i="14"/>
  <c r="N48" i="14"/>
  <c r="K84" i="14"/>
  <c r="D23" i="18" s="1"/>
  <c r="D59" i="18" s="1"/>
  <c r="J84" i="14"/>
  <c r="E84" i="14"/>
  <c r="F84" i="14"/>
  <c r="H84" i="14"/>
  <c r="E124" i="14"/>
  <c r="F124" i="14" s="1"/>
  <c r="H147" i="14"/>
  <c r="I147" i="14"/>
  <c r="G147" i="14"/>
  <c r="F147" i="14"/>
  <c r="I51" i="14"/>
  <c r="K21" i="14"/>
  <c r="H150" i="14"/>
  <c r="G24" i="18" s="1"/>
  <c r="G60" i="18" s="1"/>
  <c r="G150" i="14"/>
  <c r="F24" i="18" s="1"/>
  <c r="F60" i="18" s="1"/>
  <c r="F150" i="14"/>
  <c r="I150" i="14"/>
  <c r="I22" i="14"/>
  <c r="G52" i="14"/>
  <c r="H156" i="14"/>
  <c r="G30" i="18" s="1"/>
  <c r="G66" i="18" s="1"/>
  <c r="F156" i="14"/>
  <c r="I156" i="14"/>
  <c r="G156" i="14"/>
  <c r="F30" i="18" s="1"/>
  <c r="F66" i="18" s="1"/>
  <c r="I151" i="14"/>
  <c r="H151" i="14"/>
  <c r="G25" i="18" s="1"/>
  <c r="G61" i="18" s="1"/>
  <c r="G151" i="14"/>
  <c r="F25" i="18" s="1"/>
  <c r="F61" i="18" s="1"/>
  <c r="F151" i="14"/>
  <c r="J50" i="14"/>
  <c r="L20" i="14"/>
  <c r="G155" i="14"/>
  <c r="F29" i="18" s="1"/>
  <c r="F65" i="18" s="1"/>
  <c r="I155" i="14"/>
  <c r="H155" i="14"/>
  <c r="G29" i="18" s="1"/>
  <c r="G65" i="18" s="1"/>
  <c r="F155" i="14"/>
  <c r="J22" i="14"/>
  <c r="H52" i="14"/>
  <c r="F154" i="14"/>
  <c r="H154" i="14"/>
  <c r="G28" i="18" s="1"/>
  <c r="G64" i="18" s="1"/>
  <c r="I154" i="14"/>
  <c r="G154" i="14"/>
  <c r="F28" i="18" s="1"/>
  <c r="F64" i="18" s="1"/>
  <c r="H153" i="14"/>
  <c r="G27" i="18" s="1"/>
  <c r="G63" i="18" s="1"/>
  <c r="I153" i="14"/>
  <c r="G153" i="14"/>
  <c r="F27" i="18" s="1"/>
  <c r="F63" i="18" s="1"/>
  <c r="F153" i="14"/>
  <c r="I159" i="14"/>
  <c r="H159" i="14"/>
  <c r="G33" i="18" s="1"/>
  <c r="G69" i="18" s="1"/>
  <c r="G159" i="14"/>
  <c r="F33" i="18" s="1"/>
  <c r="F69" i="18" s="1"/>
  <c r="F159" i="14"/>
  <c r="H158" i="14"/>
  <c r="G32" i="18" s="1"/>
  <c r="G68" i="18" s="1"/>
  <c r="I158" i="14"/>
  <c r="G158" i="14"/>
  <c r="F32" i="18" s="1"/>
  <c r="F68" i="18" s="1"/>
  <c r="F158" i="14"/>
  <c r="F21" i="14"/>
  <c r="D51" i="14"/>
  <c r="E50" i="14"/>
  <c r="G20" i="14"/>
  <c r="C51" i="14"/>
  <c r="E21" i="14"/>
  <c r="M49" i="14"/>
  <c r="J85" i="14" s="1"/>
  <c r="H152" i="14"/>
  <c r="G26" i="18" s="1"/>
  <c r="G62" i="18" s="1"/>
  <c r="G152" i="14"/>
  <c r="F26" i="18" s="1"/>
  <c r="F62" i="18" s="1"/>
  <c r="I152" i="14"/>
  <c r="F152" i="14"/>
  <c r="K51" i="14"/>
  <c r="H148" i="14"/>
  <c r="F148" i="14"/>
  <c r="G148" i="14"/>
  <c r="I148" i="14"/>
  <c r="L51" i="14"/>
  <c r="I149" i="14"/>
  <c r="G149" i="14"/>
  <c r="F23" i="18" s="1"/>
  <c r="F59" i="18" s="1"/>
  <c r="H149" i="14"/>
  <c r="G23" i="18" s="1"/>
  <c r="G59" i="18" s="1"/>
  <c r="F149" i="14"/>
  <c r="H22" i="14"/>
  <c r="F52" i="14"/>
  <c r="E104" i="13"/>
  <c r="C104" i="13" s="1"/>
  <c r="C51" i="13" s="1"/>
  <c r="E51" i="13" s="1"/>
  <c r="G51" i="13" s="1"/>
  <c r="E96" i="13"/>
  <c r="C96" i="13" s="1"/>
  <c r="C43" i="13" s="1"/>
  <c r="E43" i="13" s="1"/>
  <c r="G43" i="13" s="1"/>
  <c r="G96" i="13"/>
  <c r="F43" i="13" s="1"/>
  <c r="H43" i="13" s="1"/>
  <c r="E100" i="13"/>
  <c r="C100" i="13" s="1"/>
  <c r="C47" i="13" s="1"/>
  <c r="E47" i="13" s="1"/>
  <c r="G47" i="13" s="1"/>
  <c r="I407" i="13"/>
  <c r="J407" i="13" s="1"/>
  <c r="K407" i="13"/>
  <c r="H1844" i="13"/>
  <c r="G1844" i="13"/>
  <c r="K1853" i="13"/>
  <c r="K1852" i="13"/>
  <c r="G1842" i="13"/>
  <c r="H1842" i="13"/>
  <c r="P244" i="13"/>
  <c r="O244" i="13"/>
  <c r="D1092" i="13"/>
  <c r="L406" i="13"/>
  <c r="K406" i="13"/>
  <c r="E1088" i="13"/>
  <c r="H1828" i="13"/>
  <c r="G1828" i="13"/>
  <c r="I416" i="13"/>
  <c r="J416" i="13" s="1"/>
  <c r="I413" i="13"/>
  <c r="J413" i="13" s="1"/>
  <c r="I414" i="13"/>
  <c r="I415" i="13"/>
  <c r="J415" i="13" s="1"/>
  <c r="H1830" i="13"/>
  <c r="G1830" i="13"/>
  <c r="K414" i="13"/>
  <c r="L416" i="13"/>
  <c r="K416" i="13"/>
  <c r="L415" i="13"/>
  <c r="L414" i="13"/>
  <c r="K413" i="13"/>
  <c r="L413" i="13"/>
  <c r="K415" i="13"/>
  <c r="Q416" i="13"/>
  <c r="Q414" i="13"/>
  <c r="R414" i="13"/>
  <c r="Q413" i="13"/>
  <c r="S413" i="13"/>
  <c r="S416" i="13"/>
  <c r="R413" i="13"/>
  <c r="S414" i="13"/>
  <c r="R416" i="13"/>
  <c r="R415" i="13"/>
  <c r="S415" i="13"/>
  <c r="Q415" i="13"/>
  <c r="I405" i="13"/>
  <c r="J405" i="13" s="1"/>
  <c r="E1094" i="13"/>
  <c r="I404" i="13"/>
  <c r="J404" i="13" s="1"/>
  <c r="E1093" i="13"/>
  <c r="I406" i="13"/>
  <c r="J406" i="13" s="1"/>
  <c r="D1087" i="13"/>
  <c r="K405" i="13"/>
  <c r="K404" i="13"/>
  <c r="L405" i="13"/>
  <c r="L404" i="13"/>
  <c r="E24" i="18" l="1"/>
  <c r="E60" i="18" s="1"/>
  <c r="D83" i="25"/>
  <c r="M56" i="18"/>
  <c r="C191" i="14"/>
  <c r="I174" i="14"/>
  <c r="E22" i="18"/>
  <c r="E58" i="18" s="1"/>
  <c r="E29" i="18"/>
  <c r="E65" i="18" s="1"/>
  <c r="E28" i="18"/>
  <c r="E64" i="18" s="1"/>
  <c r="E30" i="18"/>
  <c r="E66" i="18" s="1"/>
  <c r="E23" i="18"/>
  <c r="E59" i="18" s="1"/>
  <c r="C175" i="14"/>
  <c r="I175" i="14" s="1"/>
  <c r="I22" i="18"/>
  <c r="I58" i="18" s="1"/>
  <c r="E191" i="14"/>
  <c r="F21" i="18"/>
  <c r="F57" i="18" s="1"/>
  <c r="M91" i="18"/>
  <c r="E14" i="26" s="1"/>
  <c r="M82" i="18"/>
  <c r="E5" i="26" s="1"/>
  <c r="E26" i="18"/>
  <c r="E62" i="18" s="1"/>
  <c r="E32" i="18"/>
  <c r="E68" i="18" s="1"/>
  <c r="E27" i="18"/>
  <c r="E63" i="18" s="1"/>
  <c r="E21" i="18"/>
  <c r="E57" i="18" s="1"/>
  <c r="B23" i="18"/>
  <c r="B59" i="18" s="1"/>
  <c r="E192" i="14"/>
  <c r="F22" i="18"/>
  <c r="F58" i="18" s="1"/>
  <c r="M90" i="18"/>
  <c r="E13" i="26" s="1"/>
  <c r="M81" i="18"/>
  <c r="E4" i="26" s="1"/>
  <c r="D192" i="14"/>
  <c r="G22" i="18"/>
  <c r="G58" i="18" s="1"/>
  <c r="E33" i="18"/>
  <c r="E69" i="18" s="1"/>
  <c r="E25" i="18"/>
  <c r="E61" i="18" s="1"/>
  <c r="D191" i="14"/>
  <c r="G21" i="18"/>
  <c r="G57" i="18" s="1"/>
  <c r="C23" i="18"/>
  <c r="C59" i="18" s="1"/>
  <c r="E31" i="18"/>
  <c r="E67" i="18" s="1"/>
  <c r="C192" i="14"/>
  <c r="E193" i="14"/>
  <c r="D193" i="14"/>
  <c r="C193" i="14"/>
  <c r="E173" i="14"/>
  <c r="I173" i="14"/>
  <c r="L233" i="14"/>
  <c r="D170" i="14"/>
  <c r="AE38" i="5"/>
  <c r="J233" i="14"/>
  <c r="E125" i="14"/>
  <c r="F125" i="14" s="1"/>
  <c r="I23" i="18" s="1"/>
  <c r="I59" i="18" s="1"/>
  <c r="M50" i="14"/>
  <c r="I86" i="14" s="1"/>
  <c r="F22" i="14"/>
  <c r="D52" i="14"/>
  <c r="G53" i="14"/>
  <c r="I23" i="14"/>
  <c r="I52" i="14"/>
  <c r="K22" i="14"/>
  <c r="J23" i="14"/>
  <c r="H53" i="14"/>
  <c r="E85" i="14"/>
  <c r="N49" i="14"/>
  <c r="G85" i="14"/>
  <c r="H85" i="14"/>
  <c r="F85" i="14"/>
  <c r="I85" i="14"/>
  <c r="D85" i="14"/>
  <c r="C85" i="14"/>
  <c r="L85" i="14"/>
  <c r="K85" i="14"/>
  <c r="K52" i="14"/>
  <c r="E22" i="14"/>
  <c r="C52" i="14"/>
  <c r="J51" i="14"/>
  <c r="L21" i="14"/>
  <c r="L52" i="14"/>
  <c r="E51" i="14"/>
  <c r="G21" i="14"/>
  <c r="F53" i="14"/>
  <c r="H23" i="14"/>
  <c r="G104" i="13"/>
  <c r="F51" i="13" s="1"/>
  <c r="H51" i="13" s="1"/>
  <c r="G100" i="13"/>
  <c r="F47" i="13" s="1"/>
  <c r="H47" i="13" s="1"/>
  <c r="H104" i="13"/>
  <c r="H100" i="13"/>
  <c r="K1842" i="13"/>
  <c r="L1842" i="13"/>
  <c r="E1087" i="13"/>
  <c r="L411" i="13"/>
  <c r="K410" i="13"/>
  <c r="L412" i="13"/>
  <c r="K411" i="13"/>
  <c r="L408" i="13"/>
  <c r="K408" i="13"/>
  <c r="K412" i="13"/>
  <c r="L409" i="13"/>
  <c r="L410" i="13"/>
  <c r="K409" i="13"/>
  <c r="E1092" i="13"/>
  <c r="I412" i="13"/>
  <c r="J412" i="13" s="1"/>
  <c r="I408" i="13"/>
  <c r="J408" i="13" s="1"/>
  <c r="I411" i="13"/>
  <c r="J411" i="13" s="1"/>
  <c r="I409" i="13"/>
  <c r="J409" i="13" s="1"/>
  <c r="I410" i="13"/>
  <c r="J410" i="13" s="1"/>
  <c r="M58" i="18" l="1"/>
  <c r="M59" i="18"/>
  <c r="M57" i="18"/>
  <c r="C24" i="18"/>
  <c r="C60" i="18" s="1"/>
  <c r="B24" i="18"/>
  <c r="B60" i="18" s="1"/>
  <c r="M95" i="18"/>
  <c r="E18" i="26" s="1"/>
  <c r="M86" i="18"/>
  <c r="E9" i="26" s="1"/>
  <c r="E194" i="14"/>
  <c r="D24" i="18"/>
  <c r="D60" i="18" s="1"/>
  <c r="C194" i="14"/>
  <c r="D194" i="14"/>
  <c r="C250" i="14"/>
  <c r="C331" i="14" s="1" a="1"/>
  <c r="C331" i="14" s="1"/>
  <c r="H3" i="18" s="1"/>
  <c r="H39" i="18" s="1"/>
  <c r="H173" i="14"/>
  <c r="G233" i="14"/>
  <c r="G314" i="14" s="1" a="1"/>
  <c r="G314" i="14" s="1"/>
  <c r="C233" i="14"/>
  <c r="F250" i="14"/>
  <c r="G250" i="14"/>
  <c r="G331" i="14" s="1" a="1"/>
  <c r="G331" i="14" s="1"/>
  <c r="G173" i="14"/>
  <c r="C267" i="14" s="1"/>
  <c r="C347" i="14" s="1"/>
  <c r="I233" i="14"/>
  <c r="I314" i="14" s="1" a="1"/>
  <c r="I314" i="14" s="1"/>
  <c r="G251" i="14"/>
  <c r="F233" i="14"/>
  <c r="F314" i="14" s="1" a="1"/>
  <c r="F314" i="14" s="1"/>
  <c r="E250" i="14"/>
  <c r="E233" i="14"/>
  <c r="D250" i="14"/>
  <c r="H233" i="14"/>
  <c r="H314" i="14" s="1" a="1"/>
  <c r="H314" i="14" s="1"/>
  <c r="K233" i="14"/>
  <c r="D233" i="14"/>
  <c r="D314" i="14" s="1" a="1"/>
  <c r="D314" i="14" s="1"/>
  <c r="AF38" i="5"/>
  <c r="C176" i="14"/>
  <c r="E86" i="14"/>
  <c r="K86" i="14"/>
  <c r="L86" i="14"/>
  <c r="J86" i="14"/>
  <c r="D86" i="14"/>
  <c r="F86" i="14"/>
  <c r="H86" i="14"/>
  <c r="G86" i="14"/>
  <c r="C86" i="14"/>
  <c r="N50" i="14"/>
  <c r="I24" i="14"/>
  <c r="G54" i="14"/>
  <c r="I53" i="14"/>
  <c r="K23" i="14"/>
  <c r="L314" i="14" a="1"/>
  <c r="L314" i="14" s="1"/>
  <c r="J314" i="14" a="1"/>
  <c r="J314" i="14" s="1"/>
  <c r="M51" i="14"/>
  <c r="E87" i="14" s="1"/>
  <c r="L53" i="14"/>
  <c r="H24" i="14"/>
  <c r="F54" i="14"/>
  <c r="C53" i="14"/>
  <c r="E23" i="14"/>
  <c r="E126" i="14"/>
  <c r="F126" i="14" s="1"/>
  <c r="J24" i="14"/>
  <c r="H54" i="14"/>
  <c r="F23" i="14"/>
  <c r="D53" i="14"/>
  <c r="J52" i="14"/>
  <c r="L22" i="14"/>
  <c r="E52" i="14"/>
  <c r="G22" i="14"/>
  <c r="K53" i="14"/>
  <c r="G48" i="5"/>
  <c r="C25" i="18" l="1"/>
  <c r="C61" i="18" s="1"/>
  <c r="E195" i="14"/>
  <c r="D25" i="18"/>
  <c r="D61" i="18" s="1"/>
  <c r="B25" i="18"/>
  <c r="B61" i="18" s="1"/>
  <c r="C177" i="14"/>
  <c r="I24" i="18"/>
  <c r="I60" i="18" s="1"/>
  <c r="M60" i="18" s="1"/>
  <c r="D195" i="14"/>
  <c r="C195" i="14"/>
  <c r="I176" i="14"/>
  <c r="C410" i="14"/>
  <c r="I365" i="14"/>
  <c r="G234" i="14"/>
  <c r="G315" i="14" s="1" a="1"/>
  <c r="G315" i="14" s="1"/>
  <c r="L234" i="14"/>
  <c r="L315" i="14" s="1" a="1"/>
  <c r="L315" i="14" s="1"/>
  <c r="F251" i="14"/>
  <c r="D234" i="14"/>
  <c r="D315" i="14" s="1" a="1"/>
  <c r="D315" i="14" s="1"/>
  <c r="H174" i="14"/>
  <c r="C251" i="14"/>
  <c r="C332" i="14" s="1" a="1"/>
  <c r="C332" i="14" s="1"/>
  <c r="I234" i="14"/>
  <c r="I315" i="14" s="1" a="1"/>
  <c r="I315" i="14" s="1"/>
  <c r="J234" i="14"/>
  <c r="J315" i="14" s="1" a="1"/>
  <c r="J315" i="14" s="1"/>
  <c r="F234" i="14"/>
  <c r="F315" i="14" s="1" a="1"/>
  <c r="F315" i="14" s="1"/>
  <c r="D251" i="14"/>
  <c r="E251" i="14"/>
  <c r="I235" i="14"/>
  <c r="I316" i="14" s="1" a="1"/>
  <c r="I316" i="14" s="1"/>
  <c r="K234" i="14"/>
  <c r="C234" i="14"/>
  <c r="E234" i="14"/>
  <c r="H234" i="14"/>
  <c r="H315" i="14" s="1" a="1"/>
  <c r="H315" i="14" s="1"/>
  <c r="G174" i="14"/>
  <c r="C268" i="14" s="1"/>
  <c r="C348" i="14" s="1"/>
  <c r="AG38" i="5"/>
  <c r="J87" i="14"/>
  <c r="E127" i="14"/>
  <c r="F127" i="14" s="1"/>
  <c r="I25" i="18" s="1"/>
  <c r="I61" i="18" s="1"/>
  <c r="E331" i="14" a="1"/>
  <c r="E331" i="14" s="1"/>
  <c r="E314" i="14" a="1"/>
  <c r="E314" i="14" s="1"/>
  <c r="I25" i="14"/>
  <c r="G55" i="14"/>
  <c r="F331" i="14" a="1"/>
  <c r="F331" i="14" s="1"/>
  <c r="G3" i="18" s="1"/>
  <c r="G39" i="18" s="1"/>
  <c r="D331" i="14" a="1"/>
  <c r="D331" i="14" s="1"/>
  <c r="J53" i="14"/>
  <c r="L23" i="14"/>
  <c r="H25" i="14"/>
  <c r="F55" i="14"/>
  <c r="G332" i="14" a="1"/>
  <c r="G332" i="14" s="1"/>
  <c r="K54" i="14"/>
  <c r="D54" i="14"/>
  <c r="F24" i="14"/>
  <c r="C54" i="14"/>
  <c r="E24" i="14"/>
  <c r="E53" i="14"/>
  <c r="G23" i="14"/>
  <c r="M52" i="14"/>
  <c r="E88" i="14" s="1"/>
  <c r="N51" i="14"/>
  <c r="G87" i="14"/>
  <c r="F87" i="14"/>
  <c r="C196" i="14" s="1"/>
  <c r="H87" i="14"/>
  <c r="I87" i="14"/>
  <c r="D87" i="14"/>
  <c r="L87" i="14"/>
  <c r="K87" i="14"/>
  <c r="C87" i="14"/>
  <c r="J25" i="14"/>
  <c r="H55" i="14"/>
  <c r="L54" i="14"/>
  <c r="D267" i="14"/>
  <c r="E410" i="14" s="1"/>
  <c r="C314" i="14" a="1"/>
  <c r="C314" i="14" s="1"/>
  <c r="K314" i="14" a="1"/>
  <c r="K314" i="14" s="1"/>
  <c r="I54" i="14"/>
  <c r="K24" i="14"/>
  <c r="B4" i="5"/>
  <c r="B6" i="5" s="1"/>
  <c r="M61" i="18" l="1"/>
  <c r="E196" i="14"/>
  <c r="D26" i="18"/>
  <c r="D62" i="18" s="1"/>
  <c r="B26" i="18"/>
  <c r="B62" i="18" s="1"/>
  <c r="C26" i="18"/>
  <c r="C62" i="18" s="1"/>
  <c r="H4" i="18"/>
  <c r="H40" i="18" s="1"/>
  <c r="C3" i="18"/>
  <c r="C39" i="18" s="1"/>
  <c r="F3" i="18"/>
  <c r="F39" i="18" s="1"/>
  <c r="E3" i="18"/>
  <c r="D3" i="18"/>
  <c r="D39" i="18" s="1"/>
  <c r="B3" i="18"/>
  <c r="B39" i="18" s="1"/>
  <c r="F47" i="22"/>
  <c r="D196" i="14"/>
  <c r="I177" i="14"/>
  <c r="I366" i="14"/>
  <c r="J235" i="14"/>
  <c r="J316" i="14" s="1" a="1"/>
  <c r="J316" i="14" s="1"/>
  <c r="G252" i="14"/>
  <c r="G333" i="14" s="1" a="1"/>
  <c r="G333" i="14" s="1"/>
  <c r="H235" i="14"/>
  <c r="H316" i="14" s="1" a="1"/>
  <c r="H316" i="14" s="1"/>
  <c r="C252" i="14"/>
  <c r="C333" i="14" s="1" a="1"/>
  <c r="C333" i="14" s="1"/>
  <c r="C235" i="14"/>
  <c r="C316" i="14" s="1" a="1"/>
  <c r="C316" i="14" s="1"/>
  <c r="D252" i="14"/>
  <c r="D333" i="14" s="1" a="1"/>
  <c r="D333" i="14" s="1"/>
  <c r="F252" i="14"/>
  <c r="F333" i="14" s="1" a="1"/>
  <c r="F333" i="14" s="1"/>
  <c r="G5" i="18" s="1"/>
  <c r="G41" i="18" s="1"/>
  <c r="D235" i="14"/>
  <c r="D316" i="14" s="1" a="1"/>
  <c r="D316" i="14" s="1"/>
  <c r="G235" i="14"/>
  <c r="G316" i="14" s="1" a="1"/>
  <c r="G316" i="14" s="1"/>
  <c r="F235" i="14"/>
  <c r="F316" i="14" s="1" a="1"/>
  <c r="F316" i="14" s="1"/>
  <c r="K235" i="14"/>
  <c r="K316" i="14" s="1" a="1"/>
  <c r="K316" i="14" s="1"/>
  <c r="C411" i="14"/>
  <c r="L235" i="14"/>
  <c r="L316" i="14" s="1" a="1"/>
  <c r="L316" i="14" s="1"/>
  <c r="E235" i="14"/>
  <c r="E316" i="14" s="1" a="1"/>
  <c r="E316" i="14" s="1"/>
  <c r="E252" i="14"/>
  <c r="E333" i="14" s="1" a="1"/>
  <c r="E333" i="14" s="1"/>
  <c r="AH38" i="5"/>
  <c r="C178" i="14"/>
  <c r="H365" i="14"/>
  <c r="E365" i="14"/>
  <c r="C365" i="14"/>
  <c r="G365" i="14"/>
  <c r="F365" i="14"/>
  <c r="E267" i="14"/>
  <c r="D347" i="14"/>
  <c r="E347" i="14"/>
  <c r="K315" i="14" a="1"/>
  <c r="K315" i="14" s="1"/>
  <c r="J54" i="14"/>
  <c r="L24" i="14"/>
  <c r="N52" i="14"/>
  <c r="F88" i="14"/>
  <c r="C197" i="14" s="1"/>
  <c r="H88" i="14"/>
  <c r="G88" i="14"/>
  <c r="C88" i="14"/>
  <c r="L88" i="14"/>
  <c r="K88" i="14"/>
  <c r="I88" i="14"/>
  <c r="D88" i="14"/>
  <c r="I55" i="14"/>
  <c r="K25" i="14"/>
  <c r="L55" i="14"/>
  <c r="E25" i="14"/>
  <c r="C55" i="14"/>
  <c r="K55" i="14"/>
  <c r="E332" i="14" a="1"/>
  <c r="E332" i="14" s="1"/>
  <c r="G56" i="14"/>
  <c r="I26" i="14"/>
  <c r="D365" i="14"/>
  <c r="D332" i="14" a="1"/>
  <c r="D332" i="14" s="1"/>
  <c r="E128" i="14"/>
  <c r="F128" i="14" s="1"/>
  <c r="F25" i="14"/>
  <c r="D55" i="14"/>
  <c r="J88" i="14"/>
  <c r="M53" i="14"/>
  <c r="J89" i="14" s="1"/>
  <c r="E315" i="14" a="1"/>
  <c r="E315" i="14" s="1"/>
  <c r="J26" i="14"/>
  <c r="H56" i="14"/>
  <c r="G24" i="14"/>
  <c r="E54" i="14"/>
  <c r="F332" i="14" a="1"/>
  <c r="F332" i="14" s="1"/>
  <c r="G4" i="18" s="1"/>
  <c r="G40" i="18" s="1"/>
  <c r="D268" i="14"/>
  <c r="C315" i="14" a="1"/>
  <c r="C315" i="14" s="1"/>
  <c r="F56" i="14"/>
  <c r="H26" i="14"/>
  <c r="F48" i="22" l="1"/>
  <c r="H410" i="14"/>
  <c r="E197" i="14"/>
  <c r="D27" i="18"/>
  <c r="D63" i="18" s="1"/>
  <c r="C179" i="14"/>
  <c r="I26" i="18"/>
  <c r="I62" i="18" s="1"/>
  <c r="M62" i="18" s="1"/>
  <c r="B27" i="18"/>
  <c r="B63" i="18" s="1"/>
  <c r="C27" i="18"/>
  <c r="C63" i="18" s="1"/>
  <c r="E39" i="18"/>
  <c r="E109" i="18" s="1"/>
  <c r="E9" i="17" s="1"/>
  <c r="C5" i="18"/>
  <c r="C41" i="18" s="1"/>
  <c r="E5" i="18"/>
  <c r="E41" i="18" s="1"/>
  <c r="B5" i="18"/>
  <c r="B41" i="18" s="1"/>
  <c r="E105" i="18"/>
  <c r="E5" i="17" s="1"/>
  <c r="E113" i="18"/>
  <c r="E13" i="17" s="1"/>
  <c r="E106" i="18"/>
  <c r="E6" i="17" s="1"/>
  <c r="D4" i="18"/>
  <c r="D40" i="18" s="1"/>
  <c r="H5" i="18"/>
  <c r="H41" i="18" s="1"/>
  <c r="B4" i="18"/>
  <c r="B40" i="18" s="1"/>
  <c r="F5" i="18"/>
  <c r="F41" i="18" s="1"/>
  <c r="D5" i="18"/>
  <c r="D41" i="18" s="1"/>
  <c r="C4" i="18"/>
  <c r="C40" i="18" s="1"/>
  <c r="E4" i="18"/>
  <c r="E40" i="18" s="1"/>
  <c r="F4" i="18"/>
  <c r="F40" i="18" s="1"/>
  <c r="E108" i="18"/>
  <c r="E8" i="17" s="1"/>
  <c r="E117" i="18"/>
  <c r="E17" i="17" s="1"/>
  <c r="E103" i="18"/>
  <c r="E3" i="17" s="1"/>
  <c r="E112" i="18"/>
  <c r="E12" i="17" s="1"/>
  <c r="I3" i="18"/>
  <c r="I39" i="18" s="1"/>
  <c r="D197" i="14"/>
  <c r="E110" i="18"/>
  <c r="E10" i="17" s="1"/>
  <c r="G37" i="5"/>
  <c r="G38" i="5" s="1"/>
  <c r="E102" i="18"/>
  <c r="E2" i="17" s="1"/>
  <c r="E121" i="18"/>
  <c r="E21" i="17" s="1"/>
  <c r="E115" i="18"/>
  <c r="E15" i="17" s="1"/>
  <c r="E111" i="18"/>
  <c r="E11" i="17" s="1"/>
  <c r="E114" i="18"/>
  <c r="E14" i="17" s="1"/>
  <c r="I178" i="14"/>
  <c r="I367" i="14"/>
  <c r="D269" i="14"/>
  <c r="D349" i="14" s="1"/>
  <c r="G367" i="14"/>
  <c r="C253" i="14"/>
  <c r="G236" i="14"/>
  <c r="G317" i="14" s="1" a="1"/>
  <c r="G317" i="14" s="1"/>
  <c r="D253" i="14"/>
  <c r="D334" i="14" s="1" a="1"/>
  <c r="D334" i="14" s="1"/>
  <c r="J236" i="14"/>
  <c r="J317" i="14" s="1" a="1"/>
  <c r="J317" i="14" s="1"/>
  <c r="E253" i="14"/>
  <c r="E334" i="14" s="1" a="1"/>
  <c r="E334" i="14" s="1"/>
  <c r="F6" i="18" s="1"/>
  <c r="F42" i="18" s="1"/>
  <c r="F236" i="14"/>
  <c r="F317" i="14" s="1" a="1"/>
  <c r="F317" i="14" s="1"/>
  <c r="C236" i="14"/>
  <c r="C317" i="14" s="1" a="1"/>
  <c r="C317" i="14" s="1"/>
  <c r="E236" i="14"/>
  <c r="E317" i="14" s="1" a="1"/>
  <c r="E317" i="14" s="1"/>
  <c r="I236" i="14"/>
  <c r="I317" i="14" s="1" a="1"/>
  <c r="I317" i="14" s="1"/>
  <c r="L236" i="14"/>
  <c r="L317" i="14" s="1" a="1"/>
  <c r="L317" i="14" s="1"/>
  <c r="K236" i="14"/>
  <c r="K317" i="14" s="1" a="1"/>
  <c r="K317" i="14" s="1"/>
  <c r="D6" i="18" s="1"/>
  <c r="D42" i="18" s="1"/>
  <c r="H236" i="14"/>
  <c r="H317" i="14" s="1" a="1"/>
  <c r="H317" i="14" s="1"/>
  <c r="F253" i="14"/>
  <c r="F334" i="14" s="1" a="1"/>
  <c r="F334" i="14" s="1"/>
  <c r="G6" i="18" s="1"/>
  <c r="G42" i="18" s="1"/>
  <c r="G253" i="14"/>
  <c r="G334" i="14" s="1" a="1"/>
  <c r="G334" i="14" s="1"/>
  <c r="D236" i="14"/>
  <c r="D317" i="14" s="1" a="1"/>
  <c r="D317" i="14" s="1"/>
  <c r="AI38" i="5"/>
  <c r="E104" i="18"/>
  <c r="E4" i="17" s="1"/>
  <c r="H367" i="14"/>
  <c r="H366" i="14"/>
  <c r="C366" i="14"/>
  <c r="E367" i="14"/>
  <c r="F367" i="14"/>
  <c r="C367" i="14"/>
  <c r="F366" i="14"/>
  <c r="E366" i="14"/>
  <c r="F410" i="14"/>
  <c r="G366" i="14"/>
  <c r="F347" i="14"/>
  <c r="E268" i="14"/>
  <c r="D348" i="14"/>
  <c r="E349" i="14"/>
  <c r="I5" i="18" s="1"/>
  <c r="I41" i="18" s="1"/>
  <c r="I56" i="14"/>
  <c r="K26" i="14"/>
  <c r="I27" i="14"/>
  <c r="G58" i="14" s="1"/>
  <c r="G57" i="14"/>
  <c r="K56" i="14"/>
  <c r="J27" i="14"/>
  <c r="H58" i="14" s="1"/>
  <c r="H57" i="14"/>
  <c r="C56" i="14"/>
  <c r="E26" i="14"/>
  <c r="J55" i="14"/>
  <c r="L25" i="14"/>
  <c r="D367" i="14"/>
  <c r="E348" i="14"/>
  <c r="I4" i="18" s="1"/>
  <c r="I40" i="18" s="1"/>
  <c r="E89" i="14"/>
  <c r="D366" i="14"/>
  <c r="M54" i="14"/>
  <c r="D56" i="14"/>
  <c r="F26" i="14"/>
  <c r="L56" i="14"/>
  <c r="E129" i="14"/>
  <c r="F129" i="14" s="1"/>
  <c r="E55" i="14"/>
  <c r="G25" i="14"/>
  <c r="N53" i="14"/>
  <c r="G89" i="14"/>
  <c r="H89" i="14"/>
  <c r="F89" i="14"/>
  <c r="I89" i="14"/>
  <c r="D89" i="14"/>
  <c r="C89" i="14"/>
  <c r="K89" i="14"/>
  <c r="L89" i="14"/>
  <c r="H27" i="14"/>
  <c r="F58" i="14" s="1"/>
  <c r="F57" i="14"/>
  <c r="B15" i="5"/>
  <c r="K410" i="14" l="1"/>
  <c r="I410" i="14"/>
  <c r="H411" i="14"/>
  <c r="K411" i="14" s="1"/>
  <c r="F49" i="22"/>
  <c r="H412" i="14" s="1"/>
  <c r="K412" i="14" s="1"/>
  <c r="E198" i="14"/>
  <c r="D28" i="18"/>
  <c r="D64" i="18" s="1"/>
  <c r="C28" i="18"/>
  <c r="C64" i="18" s="1"/>
  <c r="D198" i="14"/>
  <c r="B28" i="18"/>
  <c r="B64" i="18" s="1"/>
  <c r="E118" i="18"/>
  <c r="E18" i="17" s="1"/>
  <c r="C180" i="14"/>
  <c r="I27" i="18"/>
  <c r="I63" i="18" s="1"/>
  <c r="M63" i="18" s="1"/>
  <c r="E6" i="18"/>
  <c r="E42" i="18" s="1"/>
  <c r="B6" i="18"/>
  <c r="B42" i="18" s="1"/>
  <c r="C6" i="18"/>
  <c r="C42" i="18" s="1"/>
  <c r="E116" i="18"/>
  <c r="E16" i="17" s="1"/>
  <c r="E107" i="18"/>
  <c r="E7" i="17" s="1"/>
  <c r="C198" i="14"/>
  <c r="I179" i="14"/>
  <c r="D270" i="14"/>
  <c r="D350" i="14" s="1"/>
  <c r="C254" i="14"/>
  <c r="J237" i="14"/>
  <c r="J318" i="14" s="1" a="1"/>
  <c r="J318" i="14" s="1"/>
  <c r="D254" i="14"/>
  <c r="E254" i="14"/>
  <c r="F254" i="14"/>
  <c r="G254" i="14"/>
  <c r="G335" i="14" s="1" a="1"/>
  <c r="G335" i="14" s="1"/>
  <c r="L237" i="14"/>
  <c r="L318" i="14" s="1" a="1"/>
  <c r="L318" i="14" s="1"/>
  <c r="K237" i="14"/>
  <c r="C237" i="14"/>
  <c r="E237" i="14"/>
  <c r="I237" i="14"/>
  <c r="I318" i="14" s="1" a="1"/>
  <c r="I318" i="14" s="1"/>
  <c r="D237" i="14"/>
  <c r="D318" i="14" s="1" a="1"/>
  <c r="D318" i="14" s="1"/>
  <c r="F237" i="14"/>
  <c r="F318" i="14" s="1" a="1"/>
  <c r="F318" i="14" s="1"/>
  <c r="H237" i="14"/>
  <c r="H318" i="14" s="1" a="1"/>
  <c r="H318" i="14" s="1"/>
  <c r="G237" i="14"/>
  <c r="G318" i="14" s="1" a="1"/>
  <c r="G318" i="14" s="1"/>
  <c r="C334" i="14" a="1"/>
  <c r="C334" i="14" s="1"/>
  <c r="AJ38" i="5"/>
  <c r="D368" i="14"/>
  <c r="G368" i="14"/>
  <c r="F368" i="14"/>
  <c r="H368" i="14"/>
  <c r="F411" i="14"/>
  <c r="F412" i="14"/>
  <c r="C368" i="14"/>
  <c r="E368" i="14"/>
  <c r="F349" i="14"/>
  <c r="F348" i="14"/>
  <c r="E56" i="14"/>
  <c r="G26" i="14"/>
  <c r="N54" i="14"/>
  <c r="G90" i="14"/>
  <c r="F90" i="14"/>
  <c r="H90" i="14"/>
  <c r="L90" i="14"/>
  <c r="C90" i="14"/>
  <c r="D90" i="14"/>
  <c r="K90" i="14"/>
  <c r="I90" i="14"/>
  <c r="C57" i="14"/>
  <c r="E27" i="14"/>
  <c r="C58" i="14" s="1"/>
  <c r="L57" i="14"/>
  <c r="L58" i="14" s="1"/>
  <c r="E130" i="14"/>
  <c r="F130" i="14" s="1"/>
  <c r="I57" i="14"/>
  <c r="K27" i="14"/>
  <c r="I58" i="14" s="1"/>
  <c r="J56" i="14"/>
  <c r="L26" i="14"/>
  <c r="K57" i="14"/>
  <c r="K58" i="14" s="1"/>
  <c r="J90" i="14"/>
  <c r="D57" i="14"/>
  <c r="F27" i="14"/>
  <c r="D58" i="14" s="1"/>
  <c r="M55" i="14"/>
  <c r="E90" i="14"/>
  <c r="Q7" i="7"/>
  <c r="R7" i="7"/>
  <c r="S7" i="7"/>
  <c r="T7" i="7"/>
  <c r="U7" i="7"/>
  <c r="V7" i="7"/>
  <c r="W7" i="7"/>
  <c r="X7" i="7"/>
  <c r="Y7" i="7"/>
  <c r="Z7" i="7"/>
  <c r="AA7" i="7"/>
  <c r="AB7" i="7"/>
  <c r="AC7" i="7"/>
  <c r="AD7" i="7"/>
  <c r="AE7" i="7"/>
  <c r="AF7" i="7"/>
  <c r="AG7" i="7"/>
  <c r="AH7" i="7"/>
  <c r="AI7" i="7"/>
  <c r="AJ7" i="7"/>
  <c r="AK7" i="7"/>
  <c r="AL7" i="7"/>
  <c r="AM7" i="7"/>
  <c r="AN7" i="7"/>
  <c r="C199" i="14" l="1"/>
  <c r="C29" i="18"/>
  <c r="C65" i="18" s="1"/>
  <c r="B29" i="18"/>
  <c r="B65" i="18" s="1"/>
  <c r="C181" i="14"/>
  <c r="I28" i="18"/>
  <c r="I64" i="18" s="1"/>
  <c r="M64" i="18" s="1"/>
  <c r="E199" i="14"/>
  <c r="D29" i="18"/>
  <c r="D65" i="18" s="1"/>
  <c r="H6" i="18"/>
  <c r="H42" i="18" s="1"/>
  <c r="D199" i="14"/>
  <c r="I180" i="14"/>
  <c r="E350" i="14"/>
  <c r="F350" i="14" s="1"/>
  <c r="C335" i="14" a="1"/>
  <c r="C335" i="14" s="1"/>
  <c r="I368" i="14"/>
  <c r="C255" i="14"/>
  <c r="G255" i="14"/>
  <c r="G336" i="14" s="1" a="1"/>
  <c r="G336" i="14" s="1"/>
  <c r="E255" i="14"/>
  <c r="E336" i="14" s="1" a="1"/>
  <c r="E336" i="14" s="1"/>
  <c r="F8" i="18" s="1"/>
  <c r="F44" i="18" s="1"/>
  <c r="F255" i="14"/>
  <c r="F336" i="14" s="1" a="1"/>
  <c r="F336" i="14" s="1"/>
  <c r="G8" i="18" s="1"/>
  <c r="G44" i="18" s="1"/>
  <c r="D255" i="14"/>
  <c r="D336" i="14" s="1" a="1"/>
  <c r="D336" i="14" s="1"/>
  <c r="I238" i="14"/>
  <c r="I319" i="14" s="1" a="1"/>
  <c r="I319" i="14" s="1"/>
  <c r="J238" i="14"/>
  <c r="J319" i="14" s="1" a="1"/>
  <c r="J319" i="14" s="1"/>
  <c r="E238" i="14"/>
  <c r="E319" i="14" s="1" a="1"/>
  <c r="E319" i="14" s="1"/>
  <c r="D238" i="14"/>
  <c r="D319" i="14" s="1" a="1"/>
  <c r="D319" i="14" s="1"/>
  <c r="G238" i="14"/>
  <c r="G319" i="14" s="1" a="1"/>
  <c r="G319" i="14" s="1"/>
  <c r="L238" i="14"/>
  <c r="L319" i="14" s="1" a="1"/>
  <c r="L319" i="14" s="1"/>
  <c r="H238" i="14"/>
  <c r="H319" i="14" s="1" a="1"/>
  <c r="H319" i="14" s="1"/>
  <c r="K238" i="14"/>
  <c r="K319" i="14" s="1" a="1"/>
  <c r="K319" i="14" s="1"/>
  <c r="D8" i="18" s="1"/>
  <c r="D44" i="18" s="1"/>
  <c r="F238" i="14"/>
  <c r="F319" i="14" s="1" a="1"/>
  <c r="F319" i="14" s="1"/>
  <c r="C238" i="14"/>
  <c r="C319" i="14" s="1" a="1"/>
  <c r="C319" i="14" s="1"/>
  <c r="AK38" i="5"/>
  <c r="M56" i="14"/>
  <c r="E318" i="14" a="1"/>
  <c r="E318" i="14" s="1"/>
  <c r="C7" i="18" s="1"/>
  <c r="C43" i="18" s="1"/>
  <c r="D335" i="14" a="1"/>
  <c r="D335" i="14" s="1"/>
  <c r="E7" i="18" s="1"/>
  <c r="E43" i="18" s="1"/>
  <c r="K318" i="14" a="1"/>
  <c r="K318" i="14" s="1"/>
  <c r="D7" i="18" s="1"/>
  <c r="D43" i="18" s="1"/>
  <c r="E335" i="14" a="1"/>
  <c r="E335" i="14" s="1"/>
  <c r="F7" i="18" s="1"/>
  <c r="F43" i="18" s="1"/>
  <c r="F335" i="14" a="1"/>
  <c r="F335" i="14" s="1"/>
  <c r="G7" i="18" s="1"/>
  <c r="G43" i="18" s="1"/>
  <c r="N55" i="14"/>
  <c r="F91" i="14"/>
  <c r="G91" i="14"/>
  <c r="H91" i="14"/>
  <c r="I91" i="14"/>
  <c r="L91" i="14"/>
  <c r="C91" i="14"/>
  <c r="D91" i="14"/>
  <c r="K91" i="14"/>
  <c r="E91" i="14"/>
  <c r="D271" i="14"/>
  <c r="C318" i="14" a="1"/>
  <c r="C318" i="14" s="1"/>
  <c r="B7" i="18" s="1"/>
  <c r="B43" i="18" s="1"/>
  <c r="E131" i="14"/>
  <c r="F131" i="14" s="1"/>
  <c r="E57" i="14"/>
  <c r="G27" i="14"/>
  <c r="E58" i="14" s="1"/>
  <c r="J91" i="14"/>
  <c r="J57" i="14"/>
  <c r="L27" i="14"/>
  <c r="J58" i="14" s="1"/>
  <c r="I27" i="5"/>
  <c r="H27" i="5"/>
  <c r="C40" i="4"/>
  <c r="C55" i="4" s="1"/>
  <c r="D40" i="4"/>
  <c r="D55" i="4" s="1"/>
  <c r="E40" i="4"/>
  <c r="E55" i="4" s="1"/>
  <c r="B40" i="4"/>
  <c r="B55" i="4" s="1"/>
  <c r="F13" i="6"/>
  <c r="F14" i="6"/>
  <c r="G14" i="6" s="1"/>
  <c r="H14" i="6" s="1"/>
  <c r="I14" i="6" s="1"/>
  <c r="J14" i="6" s="1"/>
  <c r="K14" i="6" s="1"/>
  <c r="L14" i="6" s="1"/>
  <c r="M14" i="6" s="1"/>
  <c r="N14" i="6" s="1"/>
  <c r="O14" i="6" s="1"/>
  <c r="P14" i="6" s="1"/>
  <c r="Q14" i="6" s="1"/>
  <c r="U43" i="4"/>
  <c r="V43" i="4"/>
  <c r="W43" i="4"/>
  <c r="X43" i="4"/>
  <c r="Y43" i="4"/>
  <c r="Z43" i="4"/>
  <c r="AA43" i="4"/>
  <c r="AB43" i="4"/>
  <c r="AC43" i="4"/>
  <c r="AD43" i="4"/>
  <c r="AE43" i="4"/>
  <c r="AF43" i="4"/>
  <c r="AG43" i="4"/>
  <c r="AH43" i="4"/>
  <c r="AI43" i="4"/>
  <c r="AJ43" i="4"/>
  <c r="AK43" i="4"/>
  <c r="AL43" i="4"/>
  <c r="AM43" i="4"/>
  <c r="AN43" i="4"/>
  <c r="G27" i="5"/>
  <c r="B27" i="5"/>
  <c r="F21" i="4"/>
  <c r="F24" i="4" s="1"/>
  <c r="Q23" i="5"/>
  <c r="R23" i="5"/>
  <c r="S23" i="5"/>
  <c r="T23" i="5"/>
  <c r="U23" i="5"/>
  <c r="V23" i="5"/>
  <c r="W23" i="5"/>
  <c r="X23" i="5"/>
  <c r="Y23" i="5"/>
  <c r="Z23" i="5"/>
  <c r="AA23" i="5"/>
  <c r="AB23" i="5"/>
  <c r="AC23" i="5"/>
  <c r="AD23" i="5"/>
  <c r="AE23" i="5"/>
  <c r="AF23" i="5"/>
  <c r="AG23" i="5"/>
  <c r="AH23" i="5"/>
  <c r="AI23" i="5"/>
  <c r="AJ23" i="5"/>
  <c r="AK23" i="5"/>
  <c r="AL23" i="5"/>
  <c r="AM23" i="5"/>
  <c r="AN23" i="5"/>
  <c r="Q24" i="5"/>
  <c r="R24" i="5"/>
  <c r="S24" i="5"/>
  <c r="T24" i="5"/>
  <c r="U24" i="5"/>
  <c r="V24" i="5"/>
  <c r="W24" i="5"/>
  <c r="X24" i="5"/>
  <c r="Y24" i="5"/>
  <c r="Z24" i="5"/>
  <c r="AA24" i="5"/>
  <c r="AB24" i="5"/>
  <c r="AC24" i="5"/>
  <c r="AD24" i="5"/>
  <c r="AE24" i="5"/>
  <c r="AF24" i="5"/>
  <c r="AG24" i="5"/>
  <c r="AH24" i="5"/>
  <c r="AI24" i="5"/>
  <c r="AJ24" i="5"/>
  <c r="AK24" i="5"/>
  <c r="AL24" i="5"/>
  <c r="AM24" i="5"/>
  <c r="AN24" i="5"/>
  <c r="F15" i="6" l="1"/>
  <c r="G13" i="6"/>
  <c r="H13" i="6" s="1"/>
  <c r="I13" i="6" s="1"/>
  <c r="J13" i="6" s="1"/>
  <c r="K13" i="6" s="1"/>
  <c r="L13" i="6" s="1"/>
  <c r="M13" i="6" s="1"/>
  <c r="N13" i="6" s="1"/>
  <c r="O13" i="6" s="1"/>
  <c r="P13" i="6" s="1"/>
  <c r="Q13" i="6" s="1"/>
  <c r="C182" i="14"/>
  <c r="I29" i="18"/>
  <c r="I65" i="18" s="1"/>
  <c r="M65" i="18" s="1"/>
  <c r="E200" i="14"/>
  <c r="D30" i="18"/>
  <c r="D66" i="18" s="1"/>
  <c r="B30" i="18"/>
  <c r="B66" i="18" s="1"/>
  <c r="C200" i="14"/>
  <c r="C30" i="18"/>
  <c r="C66" i="18" s="1"/>
  <c r="B8" i="18"/>
  <c r="B44" i="18" s="1"/>
  <c r="E8" i="18"/>
  <c r="E44" i="18" s="1"/>
  <c r="C8" i="18"/>
  <c r="C44" i="18" s="1"/>
  <c r="H7" i="18"/>
  <c r="H43" i="18" s="1"/>
  <c r="I6" i="18"/>
  <c r="I42" i="18" s="1"/>
  <c r="D200" i="14"/>
  <c r="F413" i="14"/>
  <c r="I181" i="14"/>
  <c r="D272" i="14"/>
  <c r="D352" i="14" s="1"/>
  <c r="I369" i="14"/>
  <c r="C336" i="14" a="1"/>
  <c r="C336" i="14" s="1"/>
  <c r="C256" i="14"/>
  <c r="F256" i="14"/>
  <c r="D256" i="14"/>
  <c r="G256" i="14"/>
  <c r="G337" i="14" s="1" a="1"/>
  <c r="G337" i="14" s="1"/>
  <c r="E256" i="14"/>
  <c r="E239" i="14"/>
  <c r="K239" i="14"/>
  <c r="J239" i="14"/>
  <c r="J320" i="14" s="1" a="1"/>
  <c r="J320" i="14" s="1"/>
  <c r="L239" i="14"/>
  <c r="L320" i="14" s="1" a="1"/>
  <c r="L320" i="14" s="1"/>
  <c r="F239" i="14"/>
  <c r="F320" i="14" s="1" a="1"/>
  <c r="F320" i="14" s="1"/>
  <c r="D239" i="14"/>
  <c r="D320" i="14" s="1" a="1"/>
  <c r="D320" i="14" s="1"/>
  <c r="G239" i="14"/>
  <c r="G320" i="14" s="1" a="1"/>
  <c r="G320" i="14" s="1"/>
  <c r="I239" i="14"/>
  <c r="I320" i="14" s="1" a="1"/>
  <c r="I320" i="14" s="1"/>
  <c r="H239" i="14"/>
  <c r="H320" i="14" s="1" a="1"/>
  <c r="H320" i="14" s="1"/>
  <c r="C239" i="14"/>
  <c r="M57" i="14"/>
  <c r="F93" i="14" s="1"/>
  <c r="I92" i="14"/>
  <c r="G370" i="14"/>
  <c r="C369" i="14"/>
  <c r="H369" i="14"/>
  <c r="H370" i="14"/>
  <c r="G369" i="14"/>
  <c r="E369" i="14"/>
  <c r="C370" i="14"/>
  <c r="D369" i="14"/>
  <c r="F370" i="14"/>
  <c r="E370" i="14"/>
  <c r="F369" i="14"/>
  <c r="F92" i="14"/>
  <c r="K92" i="14"/>
  <c r="N56" i="14"/>
  <c r="E92" i="14"/>
  <c r="L92" i="14"/>
  <c r="D92" i="14"/>
  <c r="J92" i="14"/>
  <c r="H92" i="14"/>
  <c r="C92" i="14"/>
  <c r="G92" i="14"/>
  <c r="D351" i="14"/>
  <c r="D370" i="14"/>
  <c r="M58" i="14"/>
  <c r="E132" i="14"/>
  <c r="F132" i="14" s="1"/>
  <c r="E351" i="14"/>
  <c r="I7" i="18" s="1"/>
  <c r="I43" i="18" s="1"/>
  <c r="E13" i="6"/>
  <c r="D13" i="6" s="1"/>
  <c r="C13" i="6" s="1"/>
  <c r="B13" i="6" s="1"/>
  <c r="B15" i="6" s="1"/>
  <c r="E14" i="6"/>
  <c r="D14" i="6" s="1"/>
  <c r="C14" i="6" s="1"/>
  <c r="B14" i="6" s="1"/>
  <c r="Q43" i="4"/>
  <c r="Q16" i="6"/>
  <c r="R14" i="6"/>
  <c r="Q15" i="6" l="1"/>
  <c r="R13" i="6"/>
  <c r="C183" i="14"/>
  <c r="I30" i="18"/>
  <c r="I66" i="18" s="1"/>
  <c r="M66" i="18" s="1"/>
  <c r="E201" i="14"/>
  <c r="D31" i="18"/>
  <c r="D67" i="18" s="1"/>
  <c r="B31" i="18"/>
  <c r="B67" i="18" s="1"/>
  <c r="C31" i="18"/>
  <c r="C67" i="18" s="1"/>
  <c r="H8" i="18"/>
  <c r="H44" i="18" s="1"/>
  <c r="C201" i="14"/>
  <c r="D201" i="14"/>
  <c r="I182" i="14"/>
  <c r="N58" i="14"/>
  <c r="I370" i="14"/>
  <c r="C337" i="14" a="1"/>
  <c r="C337" i="14" s="1"/>
  <c r="E352" i="14"/>
  <c r="C257" i="14"/>
  <c r="F257" i="14"/>
  <c r="F338" i="14" s="1" a="1"/>
  <c r="F338" i="14" s="1"/>
  <c r="G10" i="18" s="1"/>
  <c r="G46" i="18" s="1"/>
  <c r="D257" i="14"/>
  <c r="D338" i="14" s="1" a="1"/>
  <c r="D338" i="14" s="1"/>
  <c r="E257" i="14"/>
  <c r="E338" i="14" s="1" a="1"/>
  <c r="E338" i="14" s="1"/>
  <c r="G257" i="14"/>
  <c r="G338" i="14" s="1" a="1"/>
  <c r="G338" i="14" s="1"/>
  <c r="E240" i="14"/>
  <c r="E321" i="14" s="1" a="1"/>
  <c r="E321" i="14" s="1"/>
  <c r="C240" i="14"/>
  <c r="C321" i="14" s="1" a="1"/>
  <c r="C321" i="14" s="1"/>
  <c r="J240" i="14"/>
  <c r="J321" i="14" s="1" a="1"/>
  <c r="J321" i="14" s="1"/>
  <c r="H240" i="14"/>
  <c r="H321" i="14" s="1" a="1"/>
  <c r="H321" i="14" s="1"/>
  <c r="L240" i="14"/>
  <c r="L321" i="14" s="1" a="1"/>
  <c r="L321" i="14" s="1"/>
  <c r="F240" i="14"/>
  <c r="F321" i="14" s="1" a="1"/>
  <c r="F321" i="14" s="1"/>
  <c r="D240" i="14"/>
  <c r="D321" i="14" s="1" a="1"/>
  <c r="D321" i="14" s="1"/>
  <c r="G240" i="14"/>
  <c r="G321" i="14" s="1" a="1"/>
  <c r="G321" i="14" s="1"/>
  <c r="I240" i="14"/>
  <c r="I321" i="14" s="1" a="1"/>
  <c r="I321" i="14" s="1"/>
  <c r="K240" i="14"/>
  <c r="K321" i="14" s="1" a="1"/>
  <c r="K321" i="14" s="1"/>
  <c r="D10" i="18" s="1"/>
  <c r="D46" i="18" s="1"/>
  <c r="H93" i="14"/>
  <c r="N57" i="14"/>
  <c r="L93" i="14"/>
  <c r="D93" i="14"/>
  <c r="E93" i="14"/>
  <c r="I93" i="14"/>
  <c r="J93" i="14"/>
  <c r="C93" i="14"/>
  <c r="K93" i="14"/>
  <c r="G93" i="14"/>
  <c r="K94" i="14"/>
  <c r="F414" i="14"/>
  <c r="E133" i="14"/>
  <c r="F133" i="14" s="1"/>
  <c r="I31" i="18" s="1"/>
  <c r="I67" i="18" s="1"/>
  <c r="F351" i="14"/>
  <c r="D273" i="14"/>
  <c r="C320" i="14" a="1"/>
  <c r="C320" i="14" s="1"/>
  <c r="E320" i="14" a="1"/>
  <c r="E320" i="14" s="1"/>
  <c r="C9" i="18" s="1"/>
  <c r="C45" i="18" s="1"/>
  <c r="F94" i="14"/>
  <c r="H94" i="14"/>
  <c r="G94" i="14"/>
  <c r="C94" i="14"/>
  <c r="I94" i="14"/>
  <c r="D94" i="14"/>
  <c r="J94" i="14"/>
  <c r="E94" i="14"/>
  <c r="D337" i="14" a="1"/>
  <c r="D337" i="14" s="1"/>
  <c r="E9" i="18" s="1"/>
  <c r="E45" i="18" s="1"/>
  <c r="F337" i="14" a="1"/>
  <c r="F337" i="14" s="1"/>
  <c r="G9" i="18" s="1"/>
  <c r="G45" i="18" s="1"/>
  <c r="K320" i="14" a="1"/>
  <c r="K320" i="14" s="1"/>
  <c r="D9" i="18" s="1"/>
  <c r="D45" i="18" s="1"/>
  <c r="E337" i="14" a="1"/>
  <c r="E337" i="14" s="1"/>
  <c r="F9" i="18" s="1"/>
  <c r="F45" i="18" s="1"/>
  <c r="L94" i="14"/>
  <c r="R43" i="4"/>
  <c r="S13" i="6"/>
  <c r="R15" i="6"/>
  <c r="Q17" i="6"/>
  <c r="Q42" i="4" s="1"/>
  <c r="Q57" i="4" s="1"/>
  <c r="F98" i="4" s="1"/>
  <c r="E15" i="15" s="1"/>
  <c r="S14" i="6"/>
  <c r="R16" i="6"/>
  <c r="B33" i="18" l="1"/>
  <c r="B69" i="18" s="1"/>
  <c r="M67" i="18"/>
  <c r="C33" i="18"/>
  <c r="C69" i="18" s="1"/>
  <c r="M80" i="18" s="1"/>
  <c r="E3" i="26" s="1"/>
  <c r="E203" i="14"/>
  <c r="D33" i="18"/>
  <c r="D69" i="18" s="1"/>
  <c r="E202" i="14"/>
  <c r="D32" i="18"/>
  <c r="D68" i="18" s="1"/>
  <c r="C202" i="14"/>
  <c r="C32" i="18"/>
  <c r="C68" i="18" s="1"/>
  <c r="B32" i="18"/>
  <c r="B68" i="18" s="1"/>
  <c r="E10" i="18"/>
  <c r="E46" i="18" s="1"/>
  <c r="C10" i="18"/>
  <c r="C46" i="18" s="1"/>
  <c r="B10" i="18"/>
  <c r="B46" i="18" s="1"/>
  <c r="H9" i="18"/>
  <c r="H45" i="18" s="1"/>
  <c r="B9" i="18"/>
  <c r="B45" i="18" s="1"/>
  <c r="F10" i="18"/>
  <c r="F46" i="18" s="1"/>
  <c r="F415" i="14"/>
  <c r="I8" i="18"/>
  <c r="I44" i="18" s="1"/>
  <c r="C203" i="14"/>
  <c r="D203" i="14"/>
  <c r="D202" i="14"/>
  <c r="F352" i="14"/>
  <c r="I183" i="14"/>
  <c r="D274" i="14"/>
  <c r="D354" i="14" s="1"/>
  <c r="C338" i="14" a="1"/>
  <c r="C338" i="14" s="1"/>
  <c r="C258" i="14"/>
  <c r="E258" i="14"/>
  <c r="E339" i="14" s="1" a="1"/>
  <c r="E339" i="14" s="1"/>
  <c r="F11" i="18" s="1"/>
  <c r="F47" i="18" s="1"/>
  <c r="D258" i="14"/>
  <c r="D339" i="14" s="1" a="1"/>
  <c r="D339" i="14" s="1"/>
  <c r="G258" i="14"/>
  <c r="G339" i="14" s="1" a="1"/>
  <c r="G339" i="14" s="1"/>
  <c r="F258" i="14"/>
  <c r="J241" i="14"/>
  <c r="J322" i="14" s="1" a="1"/>
  <c r="J322" i="14" s="1"/>
  <c r="I241" i="14"/>
  <c r="I322" i="14" s="1" a="1"/>
  <c r="I322" i="14" s="1"/>
  <c r="C241" i="14"/>
  <c r="C322" i="14" s="1" a="1"/>
  <c r="C322" i="14" s="1"/>
  <c r="F241" i="14"/>
  <c r="F322" i="14" s="1" a="1"/>
  <c r="F322" i="14" s="1"/>
  <c r="G241" i="14"/>
  <c r="G322" i="14" s="1" a="1"/>
  <c r="G322" i="14" s="1"/>
  <c r="L241" i="14"/>
  <c r="L322" i="14" s="1" a="1"/>
  <c r="L322" i="14" s="1"/>
  <c r="K241" i="14"/>
  <c r="K322" i="14" s="1" a="1"/>
  <c r="K322" i="14" s="1"/>
  <c r="D11" i="18" s="1"/>
  <c r="D47" i="18" s="1"/>
  <c r="D241" i="14"/>
  <c r="D322" i="14" s="1" a="1"/>
  <c r="D322" i="14" s="1"/>
  <c r="E241" i="14"/>
  <c r="E322" i="14" s="1" a="1"/>
  <c r="E322" i="14" s="1"/>
  <c r="H241" i="14"/>
  <c r="H322" i="14" s="1" a="1"/>
  <c r="H322" i="14" s="1"/>
  <c r="G372" i="14"/>
  <c r="I371" i="14"/>
  <c r="C184" i="14"/>
  <c r="C372" i="14"/>
  <c r="E371" i="14"/>
  <c r="C371" i="14"/>
  <c r="F372" i="14"/>
  <c r="H372" i="14"/>
  <c r="G371" i="14"/>
  <c r="H371" i="14"/>
  <c r="F371" i="14"/>
  <c r="E372" i="14"/>
  <c r="D353" i="14"/>
  <c r="D372" i="14"/>
  <c r="E134" i="14"/>
  <c r="F134" i="14" s="1"/>
  <c r="E353" i="14"/>
  <c r="I9" i="18" s="1"/>
  <c r="I45" i="18" s="1"/>
  <c r="D371" i="14"/>
  <c r="E135" i="14"/>
  <c r="F135" i="14" s="1"/>
  <c r="F339" i="14" a="1"/>
  <c r="F339" i="14" s="1"/>
  <c r="G11" i="18" s="1"/>
  <c r="G47" i="18" s="1"/>
  <c r="S43" i="4"/>
  <c r="T43" i="4"/>
  <c r="T14" i="6"/>
  <c r="S16" i="6"/>
  <c r="R17" i="6"/>
  <c r="R42" i="4" s="1"/>
  <c r="R57" i="4" s="1"/>
  <c r="F99" i="4" s="1"/>
  <c r="E16" i="15" s="1"/>
  <c r="T13" i="6"/>
  <c r="S15" i="6"/>
  <c r="M89" i="18" l="1"/>
  <c r="E12" i="26" s="1"/>
  <c r="C186" i="14"/>
  <c r="I33" i="18"/>
  <c r="I69" i="18" s="1"/>
  <c r="M69" i="18" s="1"/>
  <c r="M83" i="18"/>
  <c r="E6" i="26" s="1"/>
  <c r="M92" i="18"/>
  <c r="E15" i="26" s="1"/>
  <c r="C185" i="14"/>
  <c r="I32" i="18"/>
  <c r="I68" i="18" s="1"/>
  <c r="M68" i="18" s="1"/>
  <c r="M94" i="18"/>
  <c r="E17" i="26" s="1"/>
  <c r="M85" i="18"/>
  <c r="E8" i="26" s="1"/>
  <c r="C11" i="18"/>
  <c r="C47" i="18" s="1"/>
  <c r="B11" i="18"/>
  <c r="B47" i="18" s="1"/>
  <c r="H10" i="18"/>
  <c r="H46" i="18" s="1"/>
  <c r="E11" i="18"/>
  <c r="E47" i="18" s="1"/>
  <c r="I184" i="14"/>
  <c r="D275" i="14"/>
  <c r="D355" i="14" s="1"/>
  <c r="I372" i="14"/>
  <c r="C339" i="14" a="1"/>
  <c r="C339" i="14" s="1"/>
  <c r="E354" i="14"/>
  <c r="C259" i="14"/>
  <c r="G259" i="14"/>
  <c r="G340" i="14" s="1" a="1"/>
  <c r="G340" i="14" s="1"/>
  <c r="F259" i="14"/>
  <c r="D259" i="14"/>
  <c r="E259" i="14"/>
  <c r="D242" i="14"/>
  <c r="D323" i="14" s="1" a="1"/>
  <c r="D323" i="14" s="1"/>
  <c r="J242" i="14"/>
  <c r="J323" i="14" s="1" a="1"/>
  <c r="J323" i="14" s="1"/>
  <c r="C242" i="14"/>
  <c r="G242" i="14"/>
  <c r="G323" i="14" s="1" a="1"/>
  <c r="G323" i="14" s="1"/>
  <c r="L242" i="14"/>
  <c r="L323" i="14" s="1" a="1"/>
  <c r="L323" i="14" s="1"/>
  <c r="I242" i="14"/>
  <c r="I323" i="14" s="1" a="1"/>
  <c r="I323" i="14" s="1"/>
  <c r="H242" i="14"/>
  <c r="H323" i="14" s="1" a="1"/>
  <c r="H323" i="14" s="1"/>
  <c r="E242" i="14"/>
  <c r="F242" i="14"/>
  <c r="F323" i="14" s="1" a="1"/>
  <c r="F323" i="14" s="1"/>
  <c r="K242" i="14"/>
  <c r="E373" i="14"/>
  <c r="H373" i="14"/>
  <c r="C373" i="14"/>
  <c r="G373" i="14"/>
  <c r="F416" i="14"/>
  <c r="F373" i="14"/>
  <c r="F353" i="14"/>
  <c r="D373" i="14"/>
  <c r="S17" i="6"/>
  <c r="S42" i="4" s="1"/>
  <c r="S57" i="4" s="1"/>
  <c r="F100" i="4" s="1"/>
  <c r="E17" i="15" s="1"/>
  <c r="T16" i="6"/>
  <c r="U14" i="6"/>
  <c r="U13" i="6"/>
  <c r="T15" i="6"/>
  <c r="M93" i="18" l="1"/>
  <c r="E16" i="26" s="1"/>
  <c r="M84" i="18"/>
  <c r="E7" i="26" s="1"/>
  <c r="I10" i="18"/>
  <c r="I46" i="18" s="1"/>
  <c r="H11" i="18"/>
  <c r="H47" i="18" s="1"/>
  <c r="I186" i="14"/>
  <c r="I185" i="14"/>
  <c r="F417" i="14"/>
  <c r="F354" i="14"/>
  <c r="E355" i="14"/>
  <c r="C340" i="14" a="1"/>
  <c r="C340" i="14" s="1"/>
  <c r="C260" i="14"/>
  <c r="D260" i="14"/>
  <c r="E260" i="14"/>
  <c r="F260" i="14"/>
  <c r="G260" i="14"/>
  <c r="G341" i="14" s="1" a="1"/>
  <c r="G341" i="14" s="1"/>
  <c r="I243" i="14"/>
  <c r="I324" i="14" s="1" a="1"/>
  <c r="I324" i="14" s="1"/>
  <c r="K243" i="14"/>
  <c r="J243" i="14"/>
  <c r="J324" i="14" s="1" a="1"/>
  <c r="J324" i="14" s="1"/>
  <c r="H243" i="14"/>
  <c r="H324" i="14" s="1" a="1"/>
  <c r="H324" i="14" s="1"/>
  <c r="D243" i="14"/>
  <c r="D324" i="14" s="1" a="1"/>
  <c r="D324" i="14" s="1"/>
  <c r="E243" i="14"/>
  <c r="C243" i="14"/>
  <c r="F243" i="14"/>
  <c r="L243" i="14"/>
  <c r="L324" i="14" s="1" a="1"/>
  <c r="L324" i="14" s="1"/>
  <c r="G243" i="14"/>
  <c r="I373" i="14"/>
  <c r="E340" i="14" a="1"/>
  <c r="E340" i="14" s="1"/>
  <c r="F12" i="18" s="1"/>
  <c r="F48" i="18" s="1"/>
  <c r="D276" i="14"/>
  <c r="C323" i="14" a="1"/>
  <c r="C323" i="14" s="1"/>
  <c r="K323" i="14" a="1"/>
  <c r="K323" i="14" s="1"/>
  <c r="D12" i="18" s="1"/>
  <c r="D48" i="18" s="1"/>
  <c r="D340" i="14" a="1"/>
  <c r="D340" i="14" s="1"/>
  <c r="E12" i="18" s="1"/>
  <c r="E48" i="18" s="1"/>
  <c r="E323" i="14" a="1"/>
  <c r="E323" i="14" s="1"/>
  <c r="C12" i="18" s="1"/>
  <c r="C48" i="18" s="1"/>
  <c r="F340" i="14" a="1"/>
  <c r="F340" i="14" s="1"/>
  <c r="G12" i="18" s="1"/>
  <c r="G48" i="18" s="1"/>
  <c r="G324" i="14" a="1"/>
  <c r="G324" i="14" s="1"/>
  <c r="F324" i="14" a="1"/>
  <c r="F324" i="14" s="1"/>
  <c r="T17" i="6"/>
  <c r="T42" i="4" s="1"/>
  <c r="T57" i="4" s="1"/>
  <c r="U15" i="6"/>
  <c r="V13" i="6"/>
  <c r="U16" i="6"/>
  <c r="V14" i="6"/>
  <c r="H12" i="18" l="1"/>
  <c r="H48" i="18" s="1"/>
  <c r="B12" i="18"/>
  <c r="B48" i="18" s="1"/>
  <c r="F418" i="14"/>
  <c r="E405" i="14" s="1"/>
  <c r="E406" i="14" s="1"/>
  <c r="I11" i="18"/>
  <c r="I47" i="18" s="1"/>
  <c r="F101" i="4"/>
  <c r="E18" i="15" s="1"/>
  <c r="C254" i="22"/>
  <c r="F355" i="14"/>
  <c r="C341" i="14" a="1"/>
  <c r="C341" i="14" s="1"/>
  <c r="C261" i="14"/>
  <c r="E261" i="14"/>
  <c r="E342" i="14" s="1" a="1"/>
  <c r="E342" i="14" s="1"/>
  <c r="F14" i="18" s="1"/>
  <c r="F50" i="18" s="1"/>
  <c r="G261" i="14"/>
  <c r="G342" i="14" s="1" a="1"/>
  <c r="G342" i="14" s="1"/>
  <c r="D261" i="14"/>
  <c r="D342" i="14" s="1" a="1"/>
  <c r="D342" i="14" s="1"/>
  <c r="F261" i="14"/>
  <c r="F342" i="14" s="1" a="1"/>
  <c r="F342" i="14" s="1"/>
  <c r="G14" i="18" s="1"/>
  <c r="G50" i="18" s="1"/>
  <c r="G244" i="14"/>
  <c r="G325" i="14" s="1" a="1"/>
  <c r="G325" i="14" s="1"/>
  <c r="K244" i="14"/>
  <c r="K325" i="14" s="1" a="1"/>
  <c r="K325" i="14" s="1"/>
  <c r="D14" i="18" s="1"/>
  <c r="D50" i="18" s="1"/>
  <c r="I244" i="14"/>
  <c r="I325" i="14" s="1" a="1"/>
  <c r="I325" i="14" s="1"/>
  <c r="C244" i="14"/>
  <c r="C325" i="14" s="1" a="1"/>
  <c r="C325" i="14" s="1"/>
  <c r="L244" i="14"/>
  <c r="L325" i="14" s="1" a="1"/>
  <c r="L325" i="14" s="1"/>
  <c r="D244" i="14"/>
  <c r="D325" i="14" s="1" a="1"/>
  <c r="D325" i="14" s="1"/>
  <c r="F244" i="14"/>
  <c r="F325" i="14" s="1" a="1"/>
  <c r="F325" i="14" s="1"/>
  <c r="E244" i="14"/>
  <c r="E325" i="14" s="1" a="1"/>
  <c r="E325" i="14" s="1"/>
  <c r="H244" i="14"/>
  <c r="H325" i="14" s="1" a="1"/>
  <c r="H325" i="14" s="1"/>
  <c r="J244" i="14"/>
  <c r="J325" i="14" s="1" a="1"/>
  <c r="J325" i="14" s="1"/>
  <c r="I374" i="14"/>
  <c r="G374" i="14"/>
  <c r="H374" i="14"/>
  <c r="C374" i="14"/>
  <c r="F374" i="14"/>
  <c r="E374" i="14"/>
  <c r="D356" i="14"/>
  <c r="F341" i="14" a="1"/>
  <c r="F341" i="14" s="1"/>
  <c r="G13" i="18" s="1"/>
  <c r="G49" i="18" s="1"/>
  <c r="E356" i="14"/>
  <c r="I12" i="18" s="1"/>
  <c r="I48" i="18" s="1"/>
  <c r="K324" i="14" a="1"/>
  <c r="K324" i="14" s="1"/>
  <c r="D13" i="18" s="1"/>
  <c r="D49" i="18" s="1"/>
  <c r="D277" i="14"/>
  <c r="C324" i="14" a="1"/>
  <c r="C324" i="14" s="1"/>
  <c r="E324" i="14" a="1"/>
  <c r="E324" i="14" s="1"/>
  <c r="C13" i="18" s="1"/>
  <c r="C49" i="18" s="1"/>
  <c r="D374" i="14"/>
  <c r="E341" i="14" a="1"/>
  <c r="E341" i="14" s="1"/>
  <c r="F13" i="18" s="1"/>
  <c r="F49" i="18" s="1"/>
  <c r="D341" i="14" a="1"/>
  <c r="D341" i="14" s="1"/>
  <c r="E13" i="18" s="1"/>
  <c r="E49" i="18" s="1"/>
  <c r="U17" i="6"/>
  <c r="U42" i="4" s="1"/>
  <c r="U57" i="4" s="1"/>
  <c r="W14" i="6"/>
  <c r="V16" i="6"/>
  <c r="V15" i="6"/>
  <c r="W13" i="6"/>
  <c r="E14" i="18" l="1"/>
  <c r="E50" i="18" s="1"/>
  <c r="B13" i="18"/>
  <c r="B49" i="18" s="1"/>
  <c r="H13" i="18"/>
  <c r="H49" i="18" s="1"/>
  <c r="C14" i="18"/>
  <c r="C50" i="18" s="1"/>
  <c r="B14" i="18"/>
  <c r="B50" i="18" s="1"/>
  <c r="C342" i="14" a="1"/>
  <c r="C342" i="14" s="1"/>
  <c r="C262" i="14"/>
  <c r="F262" i="14"/>
  <c r="G262" i="14"/>
  <c r="G343" i="14" s="1" a="1"/>
  <c r="G343" i="14" s="1"/>
  <c r="E262" i="14"/>
  <c r="D262" i="14"/>
  <c r="K245" i="14"/>
  <c r="G245" i="14"/>
  <c r="G326" i="14" s="1" a="1"/>
  <c r="G326" i="14" s="1"/>
  <c r="F245" i="14"/>
  <c r="F326" i="14" s="1" a="1"/>
  <c r="F326" i="14" s="1"/>
  <c r="H245" i="14"/>
  <c r="L245" i="14"/>
  <c r="L326" i="14" s="1" a="1"/>
  <c r="L326" i="14" s="1"/>
  <c r="D245" i="14"/>
  <c r="D326" i="14" s="1" a="1"/>
  <c r="D326" i="14" s="1"/>
  <c r="C245" i="14"/>
  <c r="E245" i="14"/>
  <c r="J245" i="14"/>
  <c r="J326" i="14" s="1" a="1"/>
  <c r="J326" i="14" s="1"/>
  <c r="I245" i="14"/>
  <c r="I326" i="14" s="1" a="1"/>
  <c r="I326" i="14" s="1"/>
  <c r="I375" i="14"/>
  <c r="D278" i="14"/>
  <c r="D358" i="14" s="1"/>
  <c r="D357" i="14"/>
  <c r="C375" i="14"/>
  <c r="H375" i="14"/>
  <c r="C376" i="14"/>
  <c r="F375" i="14"/>
  <c r="F419" i="14"/>
  <c r="E375" i="14"/>
  <c r="E376" i="14"/>
  <c r="G375" i="14"/>
  <c r="G376" i="14"/>
  <c r="H376" i="14"/>
  <c r="F376" i="14"/>
  <c r="F356" i="14"/>
  <c r="H326" i="14" a="1"/>
  <c r="H326" i="14" s="1"/>
  <c r="E357" i="14"/>
  <c r="I13" i="18" s="1"/>
  <c r="I49" i="18" s="1"/>
  <c r="D376" i="14"/>
  <c r="D375" i="14"/>
  <c r="V17" i="6"/>
  <c r="V42" i="4" s="1"/>
  <c r="V57" i="4" s="1"/>
  <c r="W16" i="6"/>
  <c r="X14" i="6"/>
  <c r="X13" i="6"/>
  <c r="W15" i="6"/>
  <c r="H14" i="18" l="1"/>
  <c r="H50" i="18" s="1"/>
  <c r="E358" i="14"/>
  <c r="C343" i="14" a="1"/>
  <c r="C343" i="14" s="1"/>
  <c r="C263" i="14"/>
  <c r="G263" i="14"/>
  <c r="G344" i="14" s="1" a="1"/>
  <c r="G344" i="14" s="1"/>
  <c r="E263" i="14"/>
  <c r="E344" i="14" s="1" a="1"/>
  <c r="E344" i="14" s="1"/>
  <c r="F263" i="14"/>
  <c r="F344" i="14" s="1" a="1"/>
  <c r="F344" i="14" s="1"/>
  <c r="G16" i="18" s="1"/>
  <c r="G52" i="18" s="1"/>
  <c r="E90" i="18" s="1"/>
  <c r="D263" i="14"/>
  <c r="D344" i="14" s="1" a="1"/>
  <c r="D344" i="14" s="1"/>
  <c r="G246" i="14"/>
  <c r="G327" i="14" s="1" a="1"/>
  <c r="G327" i="14" s="1"/>
  <c r="L246" i="14"/>
  <c r="L327" i="14" s="1" a="1"/>
  <c r="L327" i="14" s="1"/>
  <c r="H246" i="14"/>
  <c r="H327" i="14" s="1" a="1"/>
  <c r="H327" i="14" s="1"/>
  <c r="E246" i="14"/>
  <c r="E327" i="14" s="1" a="1"/>
  <c r="E327" i="14" s="1"/>
  <c r="I246" i="14"/>
  <c r="I327" i="14" s="1" a="1"/>
  <c r="I327" i="14" s="1"/>
  <c r="C246" i="14"/>
  <c r="K246" i="14"/>
  <c r="K327" i="14" s="1" a="1"/>
  <c r="K327" i="14" s="1"/>
  <c r="D16" i="18" s="1"/>
  <c r="D52" i="18" s="1"/>
  <c r="E92" i="18" s="1"/>
  <c r="J246" i="14"/>
  <c r="J327" i="14" s="1" a="1"/>
  <c r="J327" i="14" s="1"/>
  <c r="F246" i="14"/>
  <c r="F327" i="14" s="1" a="1"/>
  <c r="F327" i="14" s="1"/>
  <c r="D246" i="14"/>
  <c r="D327" i="14" s="1" a="1"/>
  <c r="D327" i="14" s="1"/>
  <c r="I376" i="14"/>
  <c r="F420" i="14"/>
  <c r="F357" i="14"/>
  <c r="F343" i="14" a="1"/>
  <c r="F343" i="14" s="1"/>
  <c r="G15" i="18" s="1"/>
  <c r="G51" i="18" s="1"/>
  <c r="K326" i="14" a="1"/>
  <c r="K326" i="14" s="1"/>
  <c r="D15" i="18" s="1"/>
  <c r="D51" i="18" s="1"/>
  <c r="D279" i="14"/>
  <c r="C326" i="14" a="1"/>
  <c r="C326" i="14" s="1"/>
  <c r="D343" i="14" a="1"/>
  <c r="D343" i="14" s="1"/>
  <c r="E15" i="18" s="1"/>
  <c r="E51" i="18" s="1"/>
  <c r="E343" i="14" a="1"/>
  <c r="E343" i="14" s="1"/>
  <c r="F15" i="18" s="1"/>
  <c r="F51" i="18" s="1"/>
  <c r="E326" i="14" a="1"/>
  <c r="E326" i="14" s="1"/>
  <c r="C15" i="18" s="1"/>
  <c r="C51" i="18" s="1"/>
  <c r="W17" i="6"/>
  <c r="W42" i="4" s="1"/>
  <c r="W57" i="4" s="1"/>
  <c r="X15" i="6"/>
  <c r="Y13" i="6"/>
  <c r="Y14" i="6"/>
  <c r="X16" i="6"/>
  <c r="E16" i="18" l="1"/>
  <c r="E52" i="18" s="1"/>
  <c r="E95" i="18" s="1"/>
  <c r="H15" i="18"/>
  <c r="H51" i="18" s="1"/>
  <c r="B15" i="18"/>
  <c r="B51" i="18" s="1"/>
  <c r="F16" i="18"/>
  <c r="F52" i="18" s="1"/>
  <c r="E91" i="18" s="1"/>
  <c r="F421" i="14"/>
  <c r="I14" i="18"/>
  <c r="I50" i="18" s="1"/>
  <c r="C16" i="18"/>
  <c r="C52" i="18" s="1"/>
  <c r="E89" i="18" s="1"/>
  <c r="F358" i="14"/>
  <c r="D280" i="14"/>
  <c r="D360" i="14" s="1"/>
  <c r="G378" i="14"/>
  <c r="C327" i="14" a="1"/>
  <c r="C327" i="14" s="1"/>
  <c r="B16" i="18" s="1"/>
  <c r="B52" i="18" s="1"/>
  <c r="E94" i="18" s="1"/>
  <c r="C344" i="14" a="1"/>
  <c r="C344" i="14" s="1"/>
  <c r="I377" i="14"/>
  <c r="F377" i="14"/>
  <c r="E378" i="14"/>
  <c r="C378" i="14"/>
  <c r="H378" i="14"/>
  <c r="E377" i="14"/>
  <c r="C377" i="14"/>
  <c r="H377" i="14"/>
  <c r="G377" i="14"/>
  <c r="F378" i="14"/>
  <c r="D359" i="14"/>
  <c r="E359" i="14"/>
  <c r="I15" i="18" s="1"/>
  <c r="I51" i="18" s="1"/>
  <c r="D377" i="14"/>
  <c r="Y15" i="6"/>
  <c r="Z13" i="6"/>
  <c r="Y16" i="6"/>
  <c r="Z14" i="6"/>
  <c r="X17" i="6"/>
  <c r="X42" i="4" s="1"/>
  <c r="X57" i="4" s="1"/>
  <c r="E82" i="18" l="1"/>
  <c r="D378" i="14"/>
  <c r="H16" i="18"/>
  <c r="H52" i="18" s="1"/>
  <c r="E88" i="18" s="1"/>
  <c r="I378" i="14"/>
  <c r="E360" i="14"/>
  <c r="E86" i="18"/>
  <c r="E80" i="18"/>
  <c r="E83" i="18"/>
  <c r="E81" i="18"/>
  <c r="F422" i="14"/>
  <c r="F359" i="14"/>
  <c r="AA13" i="6"/>
  <c r="Z15" i="6"/>
  <c r="AA14" i="6"/>
  <c r="Z16" i="6"/>
  <c r="Y17" i="6"/>
  <c r="Y42" i="4" s="1"/>
  <c r="Y57" i="4" s="1"/>
  <c r="E6" i="20" l="1"/>
  <c r="E9" i="20"/>
  <c r="E18" i="20"/>
  <c r="E15" i="20"/>
  <c r="E13" i="20"/>
  <c r="E12" i="20"/>
  <c r="E14" i="20"/>
  <c r="E4" i="20"/>
  <c r="E3" i="20"/>
  <c r="E5" i="20"/>
  <c r="E79" i="18"/>
  <c r="F360" i="14"/>
  <c r="I16" i="18"/>
  <c r="F423" i="14"/>
  <c r="E85" i="18"/>
  <c r="AB14" i="6"/>
  <c r="AA16" i="6"/>
  <c r="Z17" i="6"/>
  <c r="Z42" i="4" s="1"/>
  <c r="Z57" i="4" s="1"/>
  <c r="AB13" i="6"/>
  <c r="AA15" i="6"/>
  <c r="I52" i="18" l="1"/>
  <c r="E17" i="20"/>
  <c r="E11" i="20"/>
  <c r="E8" i="20"/>
  <c r="E2" i="20"/>
  <c r="AA17" i="6"/>
  <c r="AA42" i="4" s="1"/>
  <c r="AA57" i="4" s="1"/>
  <c r="AC13" i="6"/>
  <c r="AB15" i="6"/>
  <c r="AB16" i="6"/>
  <c r="AC14" i="6"/>
  <c r="E84" i="18" l="1"/>
  <c r="E7" i="20" s="1"/>
  <c r="E93" i="18"/>
  <c r="E16" i="20" s="1"/>
  <c r="AC16" i="6"/>
  <c r="AD14" i="6"/>
  <c r="AB17" i="6"/>
  <c r="AB42" i="4" s="1"/>
  <c r="AB57" i="4" s="1"/>
  <c r="AC15" i="6"/>
  <c r="AD13" i="6"/>
  <c r="AC17" i="6" l="1"/>
  <c r="AC42" i="4" s="1"/>
  <c r="AC57" i="4" s="1"/>
  <c r="AE14" i="6"/>
  <c r="AD16" i="6"/>
  <c r="AD15" i="6"/>
  <c r="AE13" i="6"/>
  <c r="AD17" i="6" l="1"/>
  <c r="AD42" i="4" s="1"/>
  <c r="AD57" i="4" s="1"/>
  <c r="AF13" i="6"/>
  <c r="AE15" i="6"/>
  <c r="AE16" i="6"/>
  <c r="AF14" i="6"/>
  <c r="AG14" i="6" l="1"/>
  <c r="AF16" i="6"/>
  <c r="AE17" i="6"/>
  <c r="AE42" i="4" s="1"/>
  <c r="AE57" i="4" s="1"/>
  <c r="AG13" i="6"/>
  <c r="AF15" i="6"/>
  <c r="AF17" i="6" l="1"/>
  <c r="AF42" i="4" s="1"/>
  <c r="AF57" i="4" s="1"/>
  <c r="AG16" i="6"/>
  <c r="AH14" i="6"/>
  <c r="AG15" i="6"/>
  <c r="AH13" i="6"/>
  <c r="AH15" i="6" l="1"/>
  <c r="AI13" i="6"/>
  <c r="AG17" i="6"/>
  <c r="AG42" i="4" s="1"/>
  <c r="AG57" i="4" s="1"/>
  <c r="AI14" i="6"/>
  <c r="AH16" i="6"/>
  <c r="AJ14" i="6" l="1"/>
  <c r="AI16" i="6"/>
  <c r="AJ13" i="6"/>
  <c r="AI15" i="6"/>
  <c r="AH17" i="6"/>
  <c r="AH42" i="4" s="1"/>
  <c r="AH57" i="4" s="1"/>
  <c r="AI17" i="6" l="1"/>
  <c r="AI42" i="4" s="1"/>
  <c r="AI57" i="4" s="1"/>
  <c r="AJ16" i="6"/>
  <c r="AK14" i="6"/>
  <c r="AJ15" i="6"/>
  <c r="AK13" i="6"/>
  <c r="AJ17" i="6" l="1"/>
  <c r="AJ42" i="4" s="1"/>
  <c r="AJ57" i="4" s="1"/>
  <c r="AK15" i="6"/>
  <c r="AL13" i="6"/>
  <c r="AK16" i="6"/>
  <c r="AL14" i="6"/>
  <c r="C23" i="4"/>
  <c r="D23" i="4"/>
  <c r="E23" i="4"/>
  <c r="B23" i="4"/>
  <c r="C20" i="5"/>
  <c r="C21" i="5" s="1"/>
  <c r="D20" i="5"/>
  <c r="D21" i="5" s="1"/>
  <c r="E20" i="5"/>
  <c r="E21" i="5" s="1"/>
  <c r="B20" i="5"/>
  <c r="B21" i="5" s="1"/>
  <c r="B22" i="5" s="1"/>
  <c r="B26" i="4"/>
  <c r="D78" i="25" s="1"/>
  <c r="D80" i="25" s="1"/>
  <c r="D81" i="25" s="1"/>
  <c r="D82" i="25" s="1"/>
  <c r="F22" i="4"/>
  <c r="F25" i="4" s="1"/>
  <c r="G21" i="4"/>
  <c r="D3" i="27" s="1"/>
  <c r="D85" i="25" l="1"/>
  <c r="D84" i="25"/>
  <c r="H21" i="4"/>
  <c r="D4" i="27" s="1"/>
  <c r="G24" i="4"/>
  <c r="K56" i="18" s="1"/>
  <c r="G22" i="4"/>
  <c r="E3" i="27" s="1"/>
  <c r="F40" i="4"/>
  <c r="F55" i="4" s="1"/>
  <c r="AK17" i="6"/>
  <c r="AK42" i="4" s="1"/>
  <c r="AK57" i="4" s="1"/>
  <c r="AM14" i="6"/>
  <c r="AL16" i="6"/>
  <c r="AM13" i="6"/>
  <c r="AL15" i="6"/>
  <c r="D26" i="4"/>
  <c r="F23" i="4"/>
  <c r="C26" i="4"/>
  <c r="E26" i="4"/>
  <c r="G23" i="4" l="1"/>
  <c r="G25" i="4"/>
  <c r="I21" i="4"/>
  <c r="D5" i="27" s="1"/>
  <c r="H24" i="4"/>
  <c r="K57" i="18" s="1"/>
  <c r="G40" i="4"/>
  <c r="G55" i="4" s="1"/>
  <c r="D88" i="4" s="1"/>
  <c r="C5" i="15" s="1"/>
  <c r="AN13" i="6"/>
  <c r="AN15" i="6" s="1"/>
  <c r="AM15" i="6"/>
  <c r="AL17" i="6"/>
  <c r="AL42" i="4" s="1"/>
  <c r="AL57" i="4" s="1"/>
  <c r="AM16" i="6"/>
  <c r="AN14" i="6"/>
  <c r="AN16" i="6" s="1"/>
  <c r="F26" i="4"/>
  <c r="G26" i="4" l="1"/>
  <c r="L56" i="18"/>
  <c r="J21" i="4"/>
  <c r="D6" i="27" s="1"/>
  <c r="I24" i="4"/>
  <c r="K58" i="18" s="1"/>
  <c r="AN17" i="6"/>
  <c r="AN42" i="4" s="1"/>
  <c r="AN57" i="4" s="1"/>
  <c r="AM17" i="6"/>
  <c r="AM42" i="4" s="1"/>
  <c r="AM57" i="4" s="1"/>
  <c r="F100" i="25" l="1"/>
  <c r="N56" i="18"/>
  <c r="K21" i="4"/>
  <c r="D7" i="27" s="1"/>
  <c r="J24" i="4"/>
  <c r="K59" i="18" s="1"/>
  <c r="L21" i="4" l="1"/>
  <c r="D8" i="27" s="1"/>
  <c r="K24" i="4"/>
  <c r="K60" i="18" s="1"/>
  <c r="M21" i="4" l="1"/>
  <c r="D9" i="27" s="1"/>
  <c r="L24" i="4"/>
  <c r="K61" i="18" s="1"/>
  <c r="N21" i="4" l="1"/>
  <c r="D10" i="27" s="1"/>
  <c r="M24" i="4"/>
  <c r="K62" i="18" s="1"/>
  <c r="O21" i="4" l="1"/>
  <c r="D11" i="27" s="1"/>
  <c r="N24" i="4"/>
  <c r="K63" i="18" s="1"/>
  <c r="P21" i="4" l="1"/>
  <c r="D12" i="27" s="1"/>
  <c r="O24" i="4"/>
  <c r="K64" i="18" s="1"/>
  <c r="Q21" i="4" l="1"/>
  <c r="D13" i="27" s="1"/>
  <c r="P24" i="4"/>
  <c r="K65" i="18" s="1"/>
  <c r="Q24" i="4" l="1"/>
  <c r="K66" i="18" s="1"/>
  <c r="R21" i="4"/>
  <c r="D14" i="27" s="1"/>
  <c r="R24" i="4" l="1"/>
  <c r="K67" i="18" s="1"/>
  <c r="S21" i="4"/>
  <c r="D15" i="27" s="1"/>
  <c r="S24" i="4" l="1"/>
  <c r="K68" i="18" s="1"/>
  <c r="T21" i="4"/>
  <c r="D16" i="27" s="1"/>
  <c r="T24" i="4" l="1"/>
  <c r="K69" i="18" s="1"/>
  <c r="U21" i="4"/>
  <c r="M96" i="18" l="1"/>
  <c r="E19" i="26" s="1"/>
  <c r="U24" i="4"/>
  <c r="V21" i="4"/>
  <c r="V24" i="4" l="1"/>
  <c r="W21" i="4"/>
  <c r="W24" i="4" l="1"/>
  <c r="X21" i="4"/>
  <c r="X24" i="4" l="1"/>
  <c r="Y21" i="4"/>
  <c r="Y24" i="4" l="1"/>
  <c r="Z21" i="4"/>
  <c r="Z24" i="4" l="1"/>
  <c r="AA21" i="4"/>
  <c r="AA24" i="4" l="1"/>
  <c r="AB21" i="4"/>
  <c r="AB24" i="4" l="1"/>
  <c r="AC21" i="4"/>
  <c r="AC24" i="4" l="1"/>
  <c r="AD21" i="4"/>
  <c r="AD24" i="4" l="1"/>
  <c r="AE21" i="4"/>
  <c r="B2" i="6"/>
  <c r="H10" i="11"/>
  <c r="H9" i="11"/>
  <c r="H8" i="11"/>
  <c r="H7" i="11"/>
  <c r="H6" i="11"/>
  <c r="H5" i="11"/>
  <c r="B24" i="5"/>
  <c r="C4" i="10"/>
  <c r="C6" i="10" s="1"/>
  <c r="H22" i="4"/>
  <c r="E4" i="27" s="1"/>
  <c r="C43" i="4"/>
  <c r="D43" i="4"/>
  <c r="E43" i="4"/>
  <c r="F43" i="4"/>
  <c r="G43" i="4"/>
  <c r="H43" i="4"/>
  <c r="I43" i="4"/>
  <c r="J43" i="4"/>
  <c r="K43" i="4"/>
  <c r="L43" i="4"/>
  <c r="M43" i="4"/>
  <c r="N43" i="4"/>
  <c r="O43" i="4"/>
  <c r="P43" i="4"/>
  <c r="B43" i="4"/>
  <c r="C7" i="7"/>
  <c r="D7" i="7"/>
  <c r="E7" i="7"/>
  <c r="F7" i="7"/>
  <c r="G7" i="7"/>
  <c r="H7" i="7"/>
  <c r="I7" i="7"/>
  <c r="J7" i="7"/>
  <c r="K7" i="7"/>
  <c r="L7" i="7"/>
  <c r="M7" i="7"/>
  <c r="N7" i="7"/>
  <c r="O7" i="7"/>
  <c r="P7" i="7"/>
  <c r="B7" i="7"/>
  <c r="C16" i="6"/>
  <c r="D16" i="6"/>
  <c r="E16" i="6"/>
  <c r="F16" i="6"/>
  <c r="G16" i="6"/>
  <c r="H16" i="6"/>
  <c r="I16" i="6"/>
  <c r="J16" i="6"/>
  <c r="K16" i="6"/>
  <c r="L16" i="6"/>
  <c r="M16" i="6"/>
  <c r="N16" i="6"/>
  <c r="O16" i="6"/>
  <c r="P16" i="6"/>
  <c r="B16" i="6"/>
  <c r="C15" i="6"/>
  <c r="D15" i="6"/>
  <c r="E15" i="6"/>
  <c r="G15" i="6"/>
  <c r="H15" i="6"/>
  <c r="I15" i="6"/>
  <c r="J15" i="6"/>
  <c r="K15" i="6"/>
  <c r="L15" i="6"/>
  <c r="M15" i="6"/>
  <c r="N15" i="6"/>
  <c r="O15" i="6"/>
  <c r="P15" i="6"/>
  <c r="F27" i="5"/>
  <c r="E27" i="5"/>
  <c r="D27" i="5"/>
  <c r="C27" i="5"/>
  <c r="C24" i="5"/>
  <c r="D24" i="5"/>
  <c r="E24" i="5"/>
  <c r="F24" i="5"/>
  <c r="G24" i="5"/>
  <c r="H24" i="5"/>
  <c r="I24" i="5"/>
  <c r="J24" i="5"/>
  <c r="K24" i="5"/>
  <c r="L24" i="5"/>
  <c r="M24" i="5"/>
  <c r="N24" i="5"/>
  <c r="O24" i="5"/>
  <c r="P24" i="5"/>
  <c r="C23" i="5"/>
  <c r="D23" i="5"/>
  <c r="E23" i="5"/>
  <c r="F23" i="5"/>
  <c r="G23" i="5"/>
  <c r="H23" i="5"/>
  <c r="I23" i="5"/>
  <c r="J23" i="5"/>
  <c r="K23" i="5"/>
  <c r="L23" i="5"/>
  <c r="M23" i="5"/>
  <c r="N23" i="5"/>
  <c r="O23" i="5"/>
  <c r="P23" i="5"/>
  <c r="B23" i="5"/>
  <c r="B16" i="5" s="1"/>
  <c r="C22" i="5"/>
  <c r="B25" i="5" s="1"/>
  <c r="D22" i="5"/>
  <c r="E22" i="5"/>
  <c r="F20" i="5"/>
  <c r="F21" i="5" s="1"/>
  <c r="F22" i="5" s="1"/>
  <c r="G20" i="5"/>
  <c r="G21" i="5" s="1"/>
  <c r="G22" i="5" s="1"/>
  <c r="G17" i="6" l="1"/>
  <c r="H40" i="4"/>
  <c r="H55" i="4" s="1"/>
  <c r="D89" i="4" s="1"/>
  <c r="C6" i="15" s="1"/>
  <c r="H25" i="4"/>
  <c r="L57" i="18" s="1"/>
  <c r="AE24" i="4"/>
  <c r="AF21" i="4"/>
  <c r="H23" i="4"/>
  <c r="M17" i="6"/>
  <c r="M42" i="4" s="1"/>
  <c r="M57" i="4" s="1"/>
  <c r="F94" i="4" s="1"/>
  <c r="E11" i="15" s="1"/>
  <c r="E17" i="6"/>
  <c r="E42" i="4" s="1"/>
  <c r="E57" i="4" s="1"/>
  <c r="P17" i="6"/>
  <c r="P42" i="4" s="1"/>
  <c r="P57" i="4" s="1"/>
  <c r="F97" i="4" s="1"/>
  <c r="E14" i="15" s="1"/>
  <c r="D17" i="6"/>
  <c r="D42" i="4" s="1"/>
  <c r="D57" i="4" s="1"/>
  <c r="O17" i="6"/>
  <c r="O42" i="4" s="1"/>
  <c r="O57" i="4" s="1"/>
  <c r="F96" i="4" s="1"/>
  <c r="E13" i="15" s="1"/>
  <c r="G42" i="4"/>
  <c r="G57" i="4" s="1"/>
  <c r="F88" i="4" s="1"/>
  <c r="E5" i="15" s="1"/>
  <c r="L17" i="6"/>
  <c r="L42" i="4" s="1"/>
  <c r="L57" i="4" s="1"/>
  <c r="F93" i="4" s="1"/>
  <c r="E10" i="15" s="1"/>
  <c r="K17" i="6"/>
  <c r="K42" i="4" s="1"/>
  <c r="K57" i="4" s="1"/>
  <c r="F92" i="4" s="1"/>
  <c r="E9" i="15" s="1"/>
  <c r="H17" i="6"/>
  <c r="H42" i="4" s="1"/>
  <c r="H57" i="4" s="1"/>
  <c r="F89" i="4" s="1"/>
  <c r="E6" i="15" s="1"/>
  <c r="C17" i="6"/>
  <c r="C42" i="4" s="1"/>
  <c r="C57" i="4" s="1"/>
  <c r="N17" i="6"/>
  <c r="N42" i="4" s="1"/>
  <c r="N57" i="4" s="1"/>
  <c r="F95" i="4" s="1"/>
  <c r="E12" i="15" s="1"/>
  <c r="F17" i="6"/>
  <c r="F42" i="4" s="1"/>
  <c r="F57" i="4" s="1"/>
  <c r="D25" i="5"/>
  <c r="C25" i="5"/>
  <c r="F25" i="5"/>
  <c r="E25" i="5"/>
  <c r="I22" i="4"/>
  <c r="E5" i="27" s="1"/>
  <c r="B17" i="6"/>
  <c r="B42" i="4" s="1"/>
  <c r="B57" i="4" s="1"/>
  <c r="I17" i="6"/>
  <c r="I42" i="4" s="1"/>
  <c r="I57" i="4" s="1"/>
  <c r="F90" i="4" s="1"/>
  <c r="E7" i="15" s="1"/>
  <c r="J17" i="6"/>
  <c r="J42" i="4" s="1"/>
  <c r="J57" i="4" s="1"/>
  <c r="F91" i="4" s="1"/>
  <c r="E8" i="15" s="1"/>
  <c r="F101" i="25" l="1"/>
  <c r="N57" i="18"/>
  <c r="AF24" i="4"/>
  <c r="AG21" i="4"/>
  <c r="I40" i="4"/>
  <c r="I55" i="4" s="1"/>
  <c r="D90" i="4" s="1"/>
  <c r="C7" i="15" s="1"/>
  <c r="I25" i="4"/>
  <c r="L58" i="18" s="1"/>
  <c r="I23" i="4"/>
  <c r="H20" i="5"/>
  <c r="H21" i="5" s="1"/>
  <c r="H22" i="5" s="1"/>
  <c r="G25" i="5" s="1"/>
  <c r="G36" i="5" s="1"/>
  <c r="G39" i="5" s="1"/>
  <c r="G44" i="4" s="1"/>
  <c r="G59" i="4" s="1"/>
  <c r="H88" i="4" s="1"/>
  <c r="G5" i="15" s="1"/>
  <c r="H26" i="4"/>
  <c r="J22" i="4"/>
  <c r="E6" i="27" s="1"/>
  <c r="E36" i="5"/>
  <c r="D36" i="5"/>
  <c r="C36" i="5"/>
  <c r="F36" i="5"/>
  <c r="B36" i="5"/>
  <c r="F102" i="25" l="1"/>
  <c r="N58" i="18"/>
  <c r="B39" i="5"/>
  <c r="B44" i="4" s="1"/>
  <c r="B59" i="4" s="1"/>
  <c r="J40" i="4"/>
  <c r="J55" i="4" s="1"/>
  <c r="D91" i="4" s="1"/>
  <c r="C8" i="15" s="1"/>
  <c r="J25" i="4"/>
  <c r="L59" i="18" s="1"/>
  <c r="AG24" i="4"/>
  <c r="AH21" i="4"/>
  <c r="C26" i="5"/>
  <c r="C29" i="5" s="1"/>
  <c r="C39" i="5"/>
  <c r="C44" i="4" s="1"/>
  <c r="C59" i="4" s="1"/>
  <c r="D26" i="5"/>
  <c r="D28" i="5" s="1"/>
  <c r="D39" i="5"/>
  <c r="D44" i="4" s="1"/>
  <c r="D59" i="4" s="1"/>
  <c r="E26" i="5"/>
  <c r="E29" i="5" s="1"/>
  <c r="E39" i="5"/>
  <c r="E44" i="4" s="1"/>
  <c r="E59" i="4" s="1"/>
  <c r="F26" i="5"/>
  <c r="F29" i="5" s="1"/>
  <c r="F39" i="5"/>
  <c r="F44" i="4" s="1"/>
  <c r="F59" i="4" s="1"/>
  <c r="J23" i="4"/>
  <c r="I20" i="5"/>
  <c r="I21" i="5" s="1"/>
  <c r="I22" i="5" s="1"/>
  <c r="H25" i="5" s="1"/>
  <c r="H36" i="5" s="1"/>
  <c r="I26" i="4"/>
  <c r="K22" i="4"/>
  <c r="G26" i="5"/>
  <c r="B26" i="5"/>
  <c r="B28" i="5" s="1"/>
  <c r="K40" i="4" l="1"/>
  <c r="E7" i="27"/>
  <c r="F103" i="25"/>
  <c r="N59" i="18"/>
  <c r="C28" i="5"/>
  <c r="C30" i="5" s="1"/>
  <c r="E28" i="5"/>
  <c r="E30" i="5" s="1"/>
  <c r="AH24" i="4"/>
  <c r="AI21" i="4"/>
  <c r="K55" i="4"/>
  <c r="D92" i="4" s="1"/>
  <c r="C9" i="15" s="1"/>
  <c r="K25" i="4"/>
  <c r="L60" i="18" s="1"/>
  <c r="D29" i="5"/>
  <c r="D30" i="5" s="1"/>
  <c r="F28" i="5"/>
  <c r="F30" i="5" s="1"/>
  <c r="B29" i="5"/>
  <c r="K23" i="4"/>
  <c r="G28" i="5"/>
  <c r="G29" i="5"/>
  <c r="J20" i="5"/>
  <c r="J21" i="5" s="1"/>
  <c r="J22" i="5" s="1"/>
  <c r="I25" i="5" s="1"/>
  <c r="I36" i="5" s="1"/>
  <c r="J26" i="4"/>
  <c r="H26" i="5"/>
  <c r="L22" i="4"/>
  <c r="E8" i="27" s="1"/>
  <c r="F104" i="25" l="1"/>
  <c r="N60" i="18"/>
  <c r="I40" i="5"/>
  <c r="I41" i="5" s="1"/>
  <c r="D175" i="14" s="1"/>
  <c r="J5" i="18" s="1"/>
  <c r="J41" i="18" s="1"/>
  <c r="L40" i="4"/>
  <c r="L55" i="4" s="1"/>
  <c r="D93" i="4" s="1"/>
  <c r="C10" i="15" s="1"/>
  <c r="L25" i="4"/>
  <c r="L61" i="18" s="1"/>
  <c r="AI24" i="4"/>
  <c r="AJ21" i="4"/>
  <c r="K20" i="5"/>
  <c r="K21" i="5" s="1"/>
  <c r="K22" i="5" s="1"/>
  <c r="J25" i="5" s="1"/>
  <c r="J36" i="5" s="1"/>
  <c r="K26" i="4"/>
  <c r="L23" i="4"/>
  <c r="H28" i="5"/>
  <c r="H29" i="5"/>
  <c r="I26" i="5"/>
  <c r="B30" i="5"/>
  <c r="G30" i="5"/>
  <c r="M22" i="4"/>
  <c r="E9" i="27" s="1"/>
  <c r="F105" i="25" l="1"/>
  <c r="N61" i="18"/>
  <c r="E175" i="14"/>
  <c r="J40" i="5"/>
  <c r="J41" i="5" s="1"/>
  <c r="D176" i="14" s="1"/>
  <c r="J6" i="18" s="1"/>
  <c r="J42" i="18" s="1"/>
  <c r="AJ24" i="4"/>
  <c r="AK21" i="4"/>
  <c r="M40" i="4"/>
  <c r="M55" i="4" s="1"/>
  <c r="D94" i="4" s="1"/>
  <c r="C11" i="15" s="1"/>
  <c r="M25" i="4"/>
  <c r="L62" i="18" s="1"/>
  <c r="H30" i="5"/>
  <c r="H31" i="5" s="1"/>
  <c r="H41" i="4" s="1"/>
  <c r="M23" i="4"/>
  <c r="L20" i="5"/>
  <c r="L21" i="5" s="1"/>
  <c r="L22" i="5" s="1"/>
  <c r="K25" i="5" s="1"/>
  <c r="K36" i="5" s="1"/>
  <c r="L26" i="4"/>
  <c r="I28" i="5"/>
  <c r="I29" i="5"/>
  <c r="J26" i="5"/>
  <c r="B31" i="5"/>
  <c r="B41" i="4" s="1"/>
  <c r="E31" i="5"/>
  <c r="E41" i="4" s="1"/>
  <c r="F31" i="5"/>
  <c r="F41" i="4" s="1"/>
  <c r="C31" i="5"/>
  <c r="C41" i="4" s="1"/>
  <c r="D31" i="5"/>
  <c r="D41" i="4" s="1"/>
  <c r="G31" i="5"/>
  <c r="G41" i="4" s="1"/>
  <c r="N22" i="4"/>
  <c r="E10" i="27" s="1"/>
  <c r="F106" i="25" l="1"/>
  <c r="N62" i="18"/>
  <c r="E176" i="14"/>
  <c r="K40" i="5"/>
  <c r="K41" i="5" s="1"/>
  <c r="D177" i="14" s="1"/>
  <c r="J7" i="18" s="1"/>
  <c r="J43" i="18" s="1"/>
  <c r="G175" i="14"/>
  <c r="H175" i="14"/>
  <c r="H56" i="4"/>
  <c r="E89" i="4" s="1"/>
  <c r="D6" i="15" s="1"/>
  <c r="F56" i="4"/>
  <c r="E56" i="4"/>
  <c r="G56" i="4"/>
  <c r="E88" i="4" s="1"/>
  <c r="D5" i="15" s="1"/>
  <c r="D56" i="4"/>
  <c r="B56" i="4"/>
  <c r="C56" i="4"/>
  <c r="N40" i="4"/>
  <c r="N55" i="4" s="1"/>
  <c r="D95" i="4" s="1"/>
  <c r="C12" i="15" s="1"/>
  <c r="N25" i="4"/>
  <c r="L63" i="18" s="1"/>
  <c r="AK24" i="4"/>
  <c r="AL21" i="4"/>
  <c r="B51" i="4"/>
  <c r="K26" i="5"/>
  <c r="K29" i="5" s="1"/>
  <c r="J29" i="5"/>
  <c r="N23" i="4"/>
  <c r="M20" i="5"/>
  <c r="M21" i="5" s="1"/>
  <c r="M22" i="5" s="1"/>
  <c r="L25" i="5" s="1"/>
  <c r="L36" i="5" s="1"/>
  <c r="M26" i="4"/>
  <c r="H51" i="4"/>
  <c r="H50" i="4"/>
  <c r="G51" i="4"/>
  <c r="G50" i="4"/>
  <c r="F50" i="4"/>
  <c r="F47" i="4" s="1"/>
  <c r="F51" i="4"/>
  <c r="E51" i="4"/>
  <c r="E50" i="4"/>
  <c r="D50" i="4"/>
  <c r="D47" i="4" s="1"/>
  <c r="D51" i="4"/>
  <c r="C51" i="4"/>
  <c r="C50" i="4"/>
  <c r="B50" i="4"/>
  <c r="I30" i="5"/>
  <c r="I31" i="5" s="1"/>
  <c r="I41" i="4" s="1"/>
  <c r="O22" i="4"/>
  <c r="E11" i="27" s="1"/>
  <c r="F107" i="25" l="1"/>
  <c r="N63" i="18"/>
  <c r="L40" i="5"/>
  <c r="L41" i="5" s="1"/>
  <c r="D178" i="14" s="1"/>
  <c r="C58" i="4"/>
  <c r="H58" i="4"/>
  <c r="G89" i="4" s="1"/>
  <c r="F6" i="15" s="1"/>
  <c r="G58" i="4"/>
  <c r="G88" i="4" s="1"/>
  <c r="F5" i="15" s="1"/>
  <c r="C412" i="14"/>
  <c r="C269" i="14"/>
  <c r="E177" i="14"/>
  <c r="C47" i="4"/>
  <c r="C62" i="4" s="1"/>
  <c r="H176" i="14"/>
  <c r="G176" i="14"/>
  <c r="B58" i="4"/>
  <c r="G47" i="4"/>
  <c r="F58" i="4"/>
  <c r="B47" i="4"/>
  <c r="B62" i="4" s="1"/>
  <c r="D58" i="4"/>
  <c r="E58" i="4"/>
  <c r="E47" i="4"/>
  <c r="E62" i="4" s="1"/>
  <c r="I56" i="4"/>
  <c r="E90" i="4" s="1"/>
  <c r="D7" i="15" s="1"/>
  <c r="C11" i="10"/>
  <c r="C12" i="10" s="1"/>
  <c r="AL24" i="4"/>
  <c r="AM21" i="4"/>
  <c r="O40" i="4"/>
  <c r="O55" i="4" s="1"/>
  <c r="D96" i="4" s="1"/>
  <c r="C13" i="15" s="1"/>
  <c r="O25" i="4"/>
  <c r="L64" i="18" s="1"/>
  <c r="F62" i="4"/>
  <c r="D62" i="4"/>
  <c r="I50" i="4"/>
  <c r="L26" i="5"/>
  <c r="L29" i="5" s="1"/>
  <c r="I11" i="10"/>
  <c r="I12" i="10" s="1"/>
  <c r="I13" i="10" s="1"/>
  <c r="D11" i="10"/>
  <c r="D12" i="10" s="1"/>
  <c r="D13" i="10" s="1"/>
  <c r="F11" i="10"/>
  <c r="F12" i="10" s="1"/>
  <c r="F13" i="10" s="1"/>
  <c r="H11" i="10"/>
  <c r="H12" i="10" s="1"/>
  <c r="H13" i="10" s="1"/>
  <c r="E11" i="10"/>
  <c r="E12" i="10" s="1"/>
  <c r="E13" i="10" s="1"/>
  <c r="G11" i="10"/>
  <c r="G12" i="10" s="1"/>
  <c r="G13" i="10" s="1"/>
  <c r="O23" i="4"/>
  <c r="N20" i="5"/>
  <c r="N21" i="5" s="1"/>
  <c r="N22" i="5" s="1"/>
  <c r="M25" i="5" s="1"/>
  <c r="N26" i="4"/>
  <c r="I51" i="4"/>
  <c r="P22" i="4"/>
  <c r="E12" i="27" s="1"/>
  <c r="F108" i="25" l="1"/>
  <c r="N64" i="18"/>
  <c r="B45" i="4"/>
  <c r="B60" i="4" s="1"/>
  <c r="C13" i="10"/>
  <c r="G62" i="4"/>
  <c r="K88" i="4" s="1"/>
  <c r="J5" i="15" s="1"/>
  <c r="E21" i="27"/>
  <c r="E178" i="14"/>
  <c r="G178" i="14" s="1"/>
  <c r="J8" i="18"/>
  <c r="J44" i="18" s="1"/>
  <c r="H177" i="14"/>
  <c r="G177" i="14"/>
  <c r="C349" i="14"/>
  <c r="E269" i="14"/>
  <c r="I58" i="4"/>
  <c r="G90" i="4" s="1"/>
  <c r="F7" i="15" s="1"/>
  <c r="C413" i="14"/>
  <c r="C270" i="14"/>
  <c r="B46" i="4"/>
  <c r="B61" i="4" s="1"/>
  <c r="P40" i="4"/>
  <c r="P55" i="4" s="1"/>
  <c r="D97" i="4" s="1"/>
  <c r="C14" i="15" s="1"/>
  <c r="P25" i="4"/>
  <c r="L65" i="18" s="1"/>
  <c r="AM24" i="4"/>
  <c r="AN21" i="4"/>
  <c r="AN24" i="4" s="1"/>
  <c r="F45" i="4"/>
  <c r="F60" i="4" s="1"/>
  <c r="G45" i="4"/>
  <c r="G60" i="4" s="1"/>
  <c r="I88" i="4" s="1"/>
  <c r="H5" i="15" s="1"/>
  <c r="E71" i="15" s="1"/>
  <c r="C45" i="4"/>
  <c r="C60" i="4" s="1"/>
  <c r="D45" i="4"/>
  <c r="D60" i="4" s="1"/>
  <c r="E45" i="4"/>
  <c r="E60" i="4" s="1"/>
  <c r="H45" i="4"/>
  <c r="H60" i="4" s="1"/>
  <c r="I89" i="4" s="1"/>
  <c r="H6" i="15" s="1"/>
  <c r="J11" i="10"/>
  <c r="J12" i="10" s="1"/>
  <c r="J13" i="10" s="1"/>
  <c r="Q22" i="4"/>
  <c r="E13" i="27" s="1"/>
  <c r="P23" i="4"/>
  <c r="O20" i="5"/>
  <c r="O21" i="5" s="1"/>
  <c r="O22" i="5" s="1"/>
  <c r="N25" i="5" s="1"/>
  <c r="N36" i="5" s="1"/>
  <c r="O26" i="4"/>
  <c r="M36" i="5"/>
  <c r="M40" i="5" s="1"/>
  <c r="M41" i="5" s="1"/>
  <c r="D179" i="14" s="1"/>
  <c r="J9" i="18" s="1"/>
  <c r="J45" i="18" s="1"/>
  <c r="F109" i="25" l="1"/>
  <c r="N65" i="18"/>
  <c r="L39" i="18"/>
  <c r="E120" i="18" s="1"/>
  <c r="E20" i="17" s="1"/>
  <c r="H178" i="14"/>
  <c r="C272" i="14"/>
  <c r="C415" i="14"/>
  <c r="E179" i="14"/>
  <c r="C414" i="14"/>
  <c r="C271" i="14"/>
  <c r="B48" i="4"/>
  <c r="C350" i="14"/>
  <c r="E270" i="14"/>
  <c r="N40" i="5"/>
  <c r="N41" i="5" s="1"/>
  <c r="D180" i="14" s="1"/>
  <c r="J10" i="18" s="1"/>
  <c r="J46" i="18" s="1"/>
  <c r="Q40" i="4"/>
  <c r="Q55" i="4" s="1"/>
  <c r="D98" i="4" s="1"/>
  <c r="C15" i="15" s="1"/>
  <c r="Q25" i="4"/>
  <c r="L66" i="18" s="1"/>
  <c r="E46" i="4"/>
  <c r="E61" i="4" s="1"/>
  <c r="F46" i="4"/>
  <c r="F61" i="4" s="1"/>
  <c r="C46" i="4"/>
  <c r="C61" i="4" s="1"/>
  <c r="R22" i="4"/>
  <c r="H46" i="4"/>
  <c r="D46" i="4"/>
  <c r="D61" i="4" s="1"/>
  <c r="G46" i="4"/>
  <c r="M26" i="5"/>
  <c r="M29" i="5" s="1"/>
  <c r="I45" i="4"/>
  <c r="I60" i="4" s="1"/>
  <c r="I90" i="4" s="1"/>
  <c r="H7" i="15" s="1"/>
  <c r="P20" i="5"/>
  <c r="P21" i="5" s="1"/>
  <c r="P22" i="5" s="1"/>
  <c r="O25" i="5" s="1"/>
  <c r="O36" i="5" s="1"/>
  <c r="P26" i="4"/>
  <c r="Q23" i="4"/>
  <c r="N26" i="5"/>
  <c r="F110" i="25" l="1"/>
  <c r="N66" i="18"/>
  <c r="R23" i="4"/>
  <c r="E14" i="27"/>
  <c r="G61" i="4"/>
  <c r="K39" i="18" s="1"/>
  <c r="G100" i="25" s="1"/>
  <c r="K100" i="25" s="1"/>
  <c r="D21" i="27"/>
  <c r="H61" i="4"/>
  <c r="K40" i="18" s="1"/>
  <c r="D22" i="27"/>
  <c r="O40" i="5"/>
  <c r="O41" i="5" s="1"/>
  <c r="D181" i="14" s="1"/>
  <c r="E181" i="14" s="1"/>
  <c r="C351" i="14"/>
  <c r="E271" i="14"/>
  <c r="G179" i="14"/>
  <c r="H179" i="14"/>
  <c r="E180" i="14"/>
  <c r="C352" i="14"/>
  <c r="E272" i="14"/>
  <c r="R40" i="4"/>
  <c r="R55" i="4" s="1"/>
  <c r="D99" i="4" s="1"/>
  <c r="C16" i="15" s="1"/>
  <c r="R25" i="4"/>
  <c r="I46" i="4"/>
  <c r="E48" i="4"/>
  <c r="S22" i="4"/>
  <c r="D48" i="4"/>
  <c r="G48" i="4"/>
  <c r="C48" i="4"/>
  <c r="F48" i="4"/>
  <c r="O26" i="5"/>
  <c r="O29" i="5" s="1"/>
  <c r="N29" i="5"/>
  <c r="P25" i="5"/>
  <c r="P36" i="5" s="1"/>
  <c r="Q20" i="5"/>
  <c r="Q21" i="5" s="1"/>
  <c r="Q22" i="5" s="1"/>
  <c r="Q25" i="5" s="1"/>
  <c r="Q26" i="4"/>
  <c r="S23" i="4" l="1"/>
  <c r="E15" i="27"/>
  <c r="E119" i="18"/>
  <c r="E19" i="17" s="1"/>
  <c r="H115" i="18" s="1"/>
  <c r="J88" i="4"/>
  <c r="I5" i="15" s="1"/>
  <c r="I61" i="4"/>
  <c r="K41" i="18" s="1"/>
  <c r="D23" i="27"/>
  <c r="J89" i="4"/>
  <c r="I6" i="15" s="1"/>
  <c r="R26" i="4"/>
  <c r="L67" i="18"/>
  <c r="J11" i="18"/>
  <c r="J47" i="18" s="1"/>
  <c r="R20" i="5"/>
  <c r="R21" i="5" s="1"/>
  <c r="R22" i="5" s="1"/>
  <c r="R25" i="5" s="1"/>
  <c r="G181" i="14"/>
  <c r="H181" i="14"/>
  <c r="G180" i="14"/>
  <c r="H180" i="14"/>
  <c r="C273" i="14"/>
  <c r="C416" i="14"/>
  <c r="P39" i="5"/>
  <c r="P44" i="4" s="1"/>
  <c r="P59" i="4" s="1"/>
  <c r="H97" i="4" s="1"/>
  <c r="G14" i="15" s="1"/>
  <c r="P40" i="5"/>
  <c r="P41" i="5" s="1"/>
  <c r="D182" i="14" s="1"/>
  <c r="J12" i="18" s="1"/>
  <c r="J48" i="18" s="1"/>
  <c r="S40" i="4"/>
  <c r="S55" i="4" s="1"/>
  <c r="D100" i="4" s="1"/>
  <c r="C17" i="15" s="1"/>
  <c r="S25" i="4"/>
  <c r="T22" i="4"/>
  <c r="E16" i="27" s="1"/>
  <c r="Q36" i="5"/>
  <c r="P26" i="5"/>
  <c r="J90" i="4" l="1"/>
  <c r="I7" i="15" s="1"/>
  <c r="F111" i="25"/>
  <c r="N67" i="18"/>
  <c r="H110" i="18"/>
  <c r="G115" i="18"/>
  <c r="G110" i="18"/>
  <c r="S26" i="4"/>
  <c r="L68" i="18"/>
  <c r="Q40" i="5"/>
  <c r="Q41" i="5" s="1"/>
  <c r="D183" i="14" s="1"/>
  <c r="C274" i="14"/>
  <c r="C417" i="14"/>
  <c r="E182" i="14"/>
  <c r="G182" i="14" s="1"/>
  <c r="S20" i="5"/>
  <c r="S21" i="5" s="1"/>
  <c r="S22" i="5" s="1"/>
  <c r="S25" i="5" s="1"/>
  <c r="S36" i="5" s="1"/>
  <c r="C353" i="14"/>
  <c r="E273" i="14"/>
  <c r="C275" i="14"/>
  <c r="C418" i="14"/>
  <c r="T40" i="4"/>
  <c r="T55" i="4" s="1"/>
  <c r="B14" i="4" s="1"/>
  <c r="T25" i="4"/>
  <c r="U22" i="4"/>
  <c r="U23" i="4" s="1"/>
  <c r="T23" i="4"/>
  <c r="Q26" i="5"/>
  <c r="Q29" i="5" s="1"/>
  <c r="Q39" i="5"/>
  <c r="Q44" i="4" s="1"/>
  <c r="Q59" i="4" s="1"/>
  <c r="H98" i="4" s="1"/>
  <c r="G15" i="15" s="1"/>
  <c r="R36" i="5"/>
  <c r="P29" i="5"/>
  <c r="F112" i="25" l="1"/>
  <c r="N68" i="18"/>
  <c r="J13" i="18"/>
  <c r="J49" i="18" s="1"/>
  <c r="T26" i="4"/>
  <c r="C238" i="22" s="1"/>
  <c r="L69" i="18"/>
  <c r="D101" i="4"/>
  <c r="C18" i="15" s="1"/>
  <c r="C252" i="22"/>
  <c r="E183" i="14"/>
  <c r="G183" i="14" s="1"/>
  <c r="C354" i="14"/>
  <c r="E274" i="14"/>
  <c r="C355" i="14"/>
  <c r="E275" i="14"/>
  <c r="H182" i="14"/>
  <c r="R39" i="5"/>
  <c r="R44" i="4" s="1"/>
  <c r="R59" i="4" s="1"/>
  <c r="H99" i="4" s="1"/>
  <c r="G16" i="15" s="1"/>
  <c r="R40" i="5"/>
  <c r="R41" i="5" s="1"/>
  <c r="D184" i="14" s="1"/>
  <c r="J14" i="18" s="1"/>
  <c r="J50" i="18" s="1"/>
  <c r="T20" i="5"/>
  <c r="T21" i="5" s="1"/>
  <c r="T22" i="5" s="1"/>
  <c r="T25" i="5" s="1"/>
  <c r="T36" i="5" s="1"/>
  <c r="U40" i="4"/>
  <c r="U55" i="4" s="1"/>
  <c r="U25" i="4"/>
  <c r="U26" i="4" s="1"/>
  <c r="V22" i="4"/>
  <c r="W22" i="4" s="1"/>
  <c r="S26" i="5"/>
  <c r="S29" i="5" s="1"/>
  <c r="S39" i="5"/>
  <c r="S44" i="4" s="1"/>
  <c r="S59" i="4" s="1"/>
  <c r="H100" i="4" s="1"/>
  <c r="G17" i="15" s="1"/>
  <c r="R26" i="5"/>
  <c r="N69" i="18" l="1"/>
  <c r="M97" i="18"/>
  <c r="E20" i="26" s="1"/>
  <c r="F113" i="25"/>
  <c r="S40" i="5"/>
  <c r="S41" i="5" s="1"/>
  <c r="D185" i="14" s="1"/>
  <c r="H183" i="14"/>
  <c r="C277" i="14"/>
  <c r="C420" i="14"/>
  <c r="E184" i="14"/>
  <c r="C276" i="14"/>
  <c r="C419" i="14"/>
  <c r="T39" i="5"/>
  <c r="T44" i="4" s="1"/>
  <c r="T59" i="4" s="1"/>
  <c r="W40" i="4"/>
  <c r="W55" i="4" s="1"/>
  <c r="W25" i="4"/>
  <c r="V40" i="4"/>
  <c r="V55" i="4" s="1"/>
  <c r="V25" i="4"/>
  <c r="V26" i="4" s="1"/>
  <c r="U20" i="5"/>
  <c r="U21" i="5" s="1"/>
  <c r="U22" i="5" s="1"/>
  <c r="U25" i="5" s="1"/>
  <c r="U36" i="5" s="1"/>
  <c r="V23" i="4"/>
  <c r="T26" i="5"/>
  <c r="R29" i="5"/>
  <c r="W23" i="4"/>
  <c r="X22" i="4"/>
  <c r="E9" i="11"/>
  <c r="E5" i="11"/>
  <c r="E8" i="11"/>
  <c r="E185" i="14" l="1"/>
  <c r="G185" i="14" s="1"/>
  <c r="J15" i="18"/>
  <c r="J51" i="18" s="1"/>
  <c r="H101" i="4"/>
  <c r="G18" i="15" s="1"/>
  <c r="C255" i="22"/>
  <c r="T40" i="5"/>
  <c r="T41" i="5" s="1"/>
  <c r="D186" i="14" s="1"/>
  <c r="H185" i="14"/>
  <c r="C356" i="14"/>
  <c r="E276" i="14"/>
  <c r="H184" i="14"/>
  <c r="G184" i="14"/>
  <c r="C357" i="14"/>
  <c r="E277" i="14"/>
  <c r="X40" i="4"/>
  <c r="X55" i="4" s="1"/>
  <c r="X25" i="4"/>
  <c r="U26" i="5"/>
  <c r="U29" i="5" s="1"/>
  <c r="U39" i="5"/>
  <c r="U44" i="4" s="1"/>
  <c r="U59" i="4" s="1"/>
  <c r="T29" i="5"/>
  <c r="X23" i="4"/>
  <c r="V20" i="5"/>
  <c r="V21" i="5" s="1"/>
  <c r="V22" i="5" s="1"/>
  <c r="V25" i="5" s="1"/>
  <c r="W26" i="4"/>
  <c r="Y22" i="4"/>
  <c r="J16" i="18" l="1"/>
  <c r="J52" i="18" s="1"/>
  <c r="E98" i="18" s="1"/>
  <c r="E186" i="14"/>
  <c r="H186" i="14" s="1"/>
  <c r="C278" i="14"/>
  <c r="C421" i="14"/>
  <c r="C279" i="14"/>
  <c r="C422" i="14"/>
  <c r="Y40" i="4"/>
  <c r="Y55" i="4" s="1"/>
  <c r="Y25" i="4"/>
  <c r="V36" i="5"/>
  <c r="V39" i="5" s="1"/>
  <c r="V44" i="4" s="1"/>
  <c r="V59" i="4" s="1"/>
  <c r="W20" i="5"/>
  <c r="W21" i="5" s="1"/>
  <c r="W22" i="5" s="1"/>
  <c r="W25" i="5" s="1"/>
  <c r="Y23" i="4"/>
  <c r="X26" i="4"/>
  <c r="Z22" i="4"/>
  <c r="E87" i="18" l="1"/>
  <c r="G186" i="14"/>
  <c r="C280" i="14" s="1"/>
  <c r="C359" i="14"/>
  <c r="E279" i="14"/>
  <c r="C358" i="14"/>
  <c r="E278" i="14"/>
  <c r="Z40" i="4"/>
  <c r="Z55" i="4" s="1"/>
  <c r="Z25" i="4"/>
  <c r="V26" i="5"/>
  <c r="W36" i="5"/>
  <c r="W39" i="5" s="1"/>
  <c r="W44" i="4" s="1"/>
  <c r="W59" i="4" s="1"/>
  <c r="X20" i="5"/>
  <c r="X21" i="5" s="1"/>
  <c r="X22" i="5" s="1"/>
  <c r="X25" i="5" s="1"/>
  <c r="Z23" i="4"/>
  <c r="Y26" i="4"/>
  <c r="AA22" i="4"/>
  <c r="E21" i="20" l="1"/>
  <c r="E10" i="20"/>
  <c r="C423" i="14"/>
  <c r="C360" i="14"/>
  <c r="E280" i="14"/>
  <c r="AA40" i="4"/>
  <c r="AA55" i="4" s="1"/>
  <c r="AA25" i="4"/>
  <c r="X36" i="5"/>
  <c r="W26" i="5"/>
  <c r="V29" i="5"/>
  <c r="Z26" i="4"/>
  <c r="AA23" i="4"/>
  <c r="Y20" i="5"/>
  <c r="Y21" i="5" s="1"/>
  <c r="Y22" i="5" s="1"/>
  <c r="Y25" i="5" s="1"/>
  <c r="AB22" i="4"/>
  <c r="D426" i="14" l="1"/>
  <c r="D429" i="14" s="1"/>
  <c r="AB40" i="4"/>
  <c r="AB55" i="4" s="1"/>
  <c r="AB25" i="4"/>
  <c r="X26" i="5"/>
  <c r="X29" i="5" s="1"/>
  <c r="X39" i="5"/>
  <c r="X44" i="4" s="1"/>
  <c r="X59" i="4" s="1"/>
  <c r="Y36" i="5"/>
  <c r="W29" i="5"/>
  <c r="AB23" i="4"/>
  <c r="AA26" i="4"/>
  <c r="Z20" i="5"/>
  <c r="Z21" i="5" s="1"/>
  <c r="Z22" i="5" s="1"/>
  <c r="Z25" i="5" s="1"/>
  <c r="AC22" i="4"/>
  <c r="AC40" i="4" l="1"/>
  <c r="AC55" i="4" s="1"/>
  <c r="AC25" i="4"/>
  <c r="Y26" i="5"/>
  <c r="Y29" i="5" s="1"/>
  <c r="Y39" i="5"/>
  <c r="Y44" i="4" s="1"/>
  <c r="Y59" i="4" s="1"/>
  <c r="Z36" i="5"/>
  <c r="AC23" i="4"/>
  <c r="AA20" i="5"/>
  <c r="AA21" i="5" s="1"/>
  <c r="AA22" i="5" s="1"/>
  <c r="AA25" i="5" s="1"/>
  <c r="AB26" i="4"/>
  <c r="AD22" i="4"/>
  <c r="AD40" i="4" l="1"/>
  <c r="AD55" i="4" s="1"/>
  <c r="AD25" i="4"/>
  <c r="Z26" i="5"/>
  <c r="Z29" i="5" s="1"/>
  <c r="Z39" i="5"/>
  <c r="Z44" i="4" s="1"/>
  <c r="Z59" i="4" s="1"/>
  <c r="AA36" i="5"/>
  <c r="AA39" i="5" s="1"/>
  <c r="AA44" i="4" s="1"/>
  <c r="AA59" i="4" s="1"/>
  <c r="AB20" i="5"/>
  <c r="AB21" i="5" s="1"/>
  <c r="AB22" i="5" s="1"/>
  <c r="AB25" i="5" s="1"/>
  <c r="AD23" i="4"/>
  <c r="AC26" i="4"/>
  <c r="AE22" i="4"/>
  <c r="AE40" i="4" l="1"/>
  <c r="AE55" i="4" s="1"/>
  <c r="AE25" i="4"/>
  <c r="AB36" i="5"/>
  <c r="AB39" i="5" s="1"/>
  <c r="AB44" i="4" s="1"/>
  <c r="AB59" i="4" s="1"/>
  <c r="AA26" i="5"/>
  <c r="AE23" i="4"/>
  <c r="AC20" i="5"/>
  <c r="AC21" i="5" s="1"/>
  <c r="AC22" i="5" s="1"/>
  <c r="AC25" i="5" s="1"/>
  <c r="AD26" i="4"/>
  <c r="AF22" i="4"/>
  <c r="AF40" i="4" l="1"/>
  <c r="AF55" i="4" s="1"/>
  <c r="AF25" i="4"/>
  <c r="AA29" i="5"/>
  <c r="AC36" i="5"/>
  <c r="AC39" i="5" s="1"/>
  <c r="AC44" i="4" s="1"/>
  <c r="AC59" i="4" s="1"/>
  <c r="AB26" i="5"/>
  <c r="AF23" i="4"/>
  <c r="AD20" i="5"/>
  <c r="AD21" i="5" s="1"/>
  <c r="AD22" i="5" s="1"/>
  <c r="AD25" i="5" s="1"/>
  <c r="AE26" i="4"/>
  <c r="AG22" i="4"/>
  <c r="AG40" i="4" l="1"/>
  <c r="AG55" i="4" s="1"/>
  <c r="AG25" i="4"/>
  <c r="AB29" i="5"/>
  <c r="AD36" i="5"/>
  <c r="AD39" i="5" s="1"/>
  <c r="AD44" i="4" s="1"/>
  <c r="AD59" i="4" s="1"/>
  <c r="AC26" i="5"/>
  <c r="AG23" i="4"/>
  <c r="AE20" i="5"/>
  <c r="AE21" i="5" s="1"/>
  <c r="AE22" i="5" s="1"/>
  <c r="AE25" i="5" s="1"/>
  <c r="AF26" i="4"/>
  <c r="AH22" i="4"/>
  <c r="AH40" i="4" l="1"/>
  <c r="AH55" i="4" s="1"/>
  <c r="AH25" i="4"/>
  <c r="AE36" i="5"/>
  <c r="AE39" i="5" s="1"/>
  <c r="AE44" i="4" s="1"/>
  <c r="AE59" i="4" s="1"/>
  <c r="AC29" i="5"/>
  <c r="AD26" i="5"/>
  <c r="AG26" i="4"/>
  <c r="AH23" i="4"/>
  <c r="AF20" i="5"/>
  <c r="AF21" i="5" s="1"/>
  <c r="AF22" i="5" s="1"/>
  <c r="AF25" i="5" s="1"/>
  <c r="AI22" i="4"/>
  <c r="AI40" i="4" l="1"/>
  <c r="AI55" i="4" s="1"/>
  <c r="AI25" i="4"/>
  <c r="AD29" i="5"/>
  <c r="AE26" i="5"/>
  <c r="AF36" i="5"/>
  <c r="AF39" i="5" s="1"/>
  <c r="AF44" i="4" s="1"/>
  <c r="AF59" i="4" s="1"/>
  <c r="AI23" i="4"/>
  <c r="AH26" i="4"/>
  <c r="AG20" i="5"/>
  <c r="AG21" i="5" s="1"/>
  <c r="AG22" i="5" s="1"/>
  <c r="AG25" i="5" s="1"/>
  <c r="AJ22" i="4"/>
  <c r="AJ40" i="4" l="1"/>
  <c r="AJ55" i="4" s="1"/>
  <c r="AJ25" i="4"/>
  <c r="AG36" i="5"/>
  <c r="AF26" i="5"/>
  <c r="AE29" i="5"/>
  <c r="AJ23" i="4"/>
  <c r="AI26" i="4"/>
  <c r="AH20" i="5"/>
  <c r="AH21" i="5" s="1"/>
  <c r="AH22" i="5" s="1"/>
  <c r="AH25" i="5" s="1"/>
  <c r="AK22" i="4"/>
  <c r="AK40" i="4" l="1"/>
  <c r="AK55" i="4" s="1"/>
  <c r="AK25" i="4"/>
  <c r="AG26" i="5"/>
  <c r="AG29" i="5" s="1"/>
  <c r="AG39" i="5"/>
  <c r="AG44" i="4" s="1"/>
  <c r="AG59" i="4" s="1"/>
  <c r="AH36" i="5"/>
  <c r="AH39" i="5" s="1"/>
  <c r="AH44" i="4" s="1"/>
  <c r="AH59" i="4" s="1"/>
  <c r="AF29" i="5"/>
  <c r="AK23" i="4"/>
  <c r="AJ26" i="4"/>
  <c r="AI20" i="5"/>
  <c r="AI21" i="5" s="1"/>
  <c r="AI22" i="5" s="1"/>
  <c r="AI25" i="5" s="1"/>
  <c r="AL22" i="4"/>
  <c r="AL40" i="4" l="1"/>
  <c r="AL55" i="4" s="1"/>
  <c r="AL25" i="4"/>
  <c r="AI36" i="5"/>
  <c r="AH26" i="5"/>
  <c r="AL23" i="4"/>
  <c r="AK26" i="4"/>
  <c r="AJ20" i="5"/>
  <c r="AJ21" i="5" s="1"/>
  <c r="AJ22" i="5" s="1"/>
  <c r="AJ25" i="5" s="1"/>
  <c r="AM22" i="4"/>
  <c r="AM40" i="4" l="1"/>
  <c r="AM55" i="4" s="1"/>
  <c r="AM25" i="4"/>
  <c r="AI26" i="5"/>
  <c r="AI29" i="5" s="1"/>
  <c r="AI39" i="5"/>
  <c r="AI44" i="4" s="1"/>
  <c r="AI59" i="4" s="1"/>
  <c r="AJ36" i="5"/>
  <c r="AJ39" i="5" s="1"/>
  <c r="AJ44" i="4" s="1"/>
  <c r="AJ59" i="4" s="1"/>
  <c r="AH29" i="5"/>
  <c r="AK20" i="5"/>
  <c r="AK21" i="5" s="1"/>
  <c r="AK22" i="5" s="1"/>
  <c r="AK25" i="5" s="1"/>
  <c r="AL26" i="4"/>
  <c r="AM23" i="4"/>
  <c r="AN22" i="4"/>
  <c r="AN40" i="4" l="1"/>
  <c r="AN55" i="4" s="1"/>
  <c r="AN25" i="4"/>
  <c r="AK36" i="5"/>
  <c r="AK39" i="5" s="1"/>
  <c r="AK44" i="4" s="1"/>
  <c r="AK59" i="4" s="1"/>
  <c r="AJ26" i="5"/>
  <c r="AM26" i="4"/>
  <c r="AN23" i="4"/>
  <c r="AL20" i="5"/>
  <c r="AL21" i="5" s="1"/>
  <c r="AL22" i="5" s="1"/>
  <c r="AL25" i="5" s="1"/>
  <c r="AL36" i="5" l="1"/>
  <c r="AJ29" i="5"/>
  <c r="AK26" i="5"/>
  <c r="AM20" i="5"/>
  <c r="AM21" i="5" s="1"/>
  <c r="AM22" i="5" s="1"/>
  <c r="AM25" i="5" s="1"/>
  <c r="AN26" i="4"/>
  <c r="AL26" i="5" l="1"/>
  <c r="AL29" i="5" s="1"/>
  <c r="AM36" i="5"/>
  <c r="AK29" i="5"/>
  <c r="AN20" i="5"/>
  <c r="AN21" i="5" s="1"/>
  <c r="AN22" i="5" s="1"/>
  <c r="AN25" i="5" s="1"/>
  <c r="AN36" i="5" l="1"/>
  <c r="AM26" i="5"/>
  <c r="AM29" i="5" l="1"/>
  <c r="AN26" i="5"/>
  <c r="AN29" i="5" l="1"/>
  <c r="E6" i="11"/>
  <c r="J27" i="5"/>
  <c r="K27" i="5" s="1"/>
  <c r="L27" i="5" s="1"/>
  <c r="M27" i="5" s="1"/>
  <c r="N27" i="5" s="1"/>
  <c r="O27" i="5" s="1"/>
  <c r="P27" i="5" s="1"/>
  <c r="Q27" i="5" s="1"/>
  <c r="R27" i="5" s="1"/>
  <c r="S27" i="5" s="1"/>
  <c r="T27" i="5" s="1"/>
  <c r="U27" i="5" s="1"/>
  <c r="V27" i="5" s="1"/>
  <c r="W27" i="5" s="1"/>
  <c r="X27" i="5" s="1"/>
  <c r="Y27" i="5" s="1"/>
  <c r="Z27" i="5" s="1"/>
  <c r="AA27" i="5" s="1"/>
  <c r="AB27" i="5" s="1"/>
  <c r="AC27" i="5" s="1"/>
  <c r="AD27" i="5" s="1"/>
  <c r="AE27" i="5" s="1"/>
  <c r="AF27" i="5" s="1"/>
  <c r="AG27" i="5" s="1"/>
  <c r="AH27" i="5" s="1"/>
  <c r="AI27" i="5" s="1"/>
  <c r="AJ27" i="5" s="1"/>
  <c r="AK27" i="5" s="1"/>
  <c r="AL27" i="5" s="1"/>
  <c r="AM27" i="5" s="1"/>
  <c r="AN27" i="5" s="1"/>
  <c r="J28" i="5" l="1"/>
  <c r="J30" i="5" s="1"/>
  <c r="J31" i="5" l="1"/>
  <c r="J41" i="4" s="1"/>
  <c r="K28" i="5"/>
  <c r="K30" i="5" s="1"/>
  <c r="K31" i="5" s="1"/>
  <c r="K41" i="4" s="1"/>
  <c r="K56" i="4" l="1"/>
  <c r="E92" i="4" s="1"/>
  <c r="D9" i="15" s="1"/>
  <c r="J56" i="4"/>
  <c r="E91" i="4" s="1"/>
  <c r="D8" i="15" s="1"/>
  <c r="K50" i="4"/>
  <c r="K51" i="4"/>
  <c r="L28" i="5"/>
  <c r="L30" i="5" s="1"/>
  <c r="J51" i="4"/>
  <c r="J50" i="4"/>
  <c r="K58" i="4" l="1"/>
  <c r="G92" i="4" s="1"/>
  <c r="F9" i="15" s="1"/>
  <c r="J58" i="4"/>
  <c r="G91" i="4" s="1"/>
  <c r="F8" i="15" s="1"/>
  <c r="K11" i="10"/>
  <c r="K12" i="10" s="1"/>
  <c r="K13" i="10" s="1"/>
  <c r="L11" i="10"/>
  <c r="L12" i="10" s="1"/>
  <c r="L31" i="5"/>
  <c r="L41" i="4" s="1"/>
  <c r="M28" i="5"/>
  <c r="M30" i="5" s="1"/>
  <c r="K45" i="4" l="1"/>
  <c r="K60" i="4" s="1"/>
  <c r="I92" i="4" s="1"/>
  <c r="H9" i="15" s="1"/>
  <c r="L13" i="10"/>
  <c r="J45" i="4"/>
  <c r="J60" i="4" s="1"/>
  <c r="I91" i="4" s="1"/>
  <c r="H8" i="15" s="1"/>
  <c r="L56" i="4"/>
  <c r="E93" i="4" s="1"/>
  <c r="D10" i="15" s="1"/>
  <c r="K46" i="4"/>
  <c r="L50" i="4"/>
  <c r="L51" i="4"/>
  <c r="N28" i="5"/>
  <c r="N30" i="5" s="1"/>
  <c r="M31" i="5"/>
  <c r="M41" i="4" s="1"/>
  <c r="K61" i="4" l="1"/>
  <c r="J92" i="4" s="1"/>
  <c r="I9" i="15" s="1"/>
  <c r="D25" i="27"/>
  <c r="J46" i="4"/>
  <c r="L58" i="4"/>
  <c r="G93" i="4" s="1"/>
  <c r="F10" i="15" s="1"/>
  <c r="M56" i="4"/>
  <c r="E94" i="4" s="1"/>
  <c r="D11" i="15" s="1"/>
  <c r="M11" i="10"/>
  <c r="M12" i="10" s="1"/>
  <c r="M13" i="10" s="1"/>
  <c r="N31" i="5"/>
  <c r="N41" i="4" s="1"/>
  <c r="M51" i="4"/>
  <c r="M50" i="4"/>
  <c r="O28" i="5"/>
  <c r="O30" i="5" s="1"/>
  <c r="K43" i="18" l="1"/>
  <c r="J61" i="4"/>
  <c r="J91" i="4" s="1"/>
  <c r="I8" i="15" s="1"/>
  <c r="D24" i="27"/>
  <c r="M58" i="4"/>
  <c r="G94" i="4" s="1"/>
  <c r="F11" i="15" s="1"/>
  <c r="L45" i="4"/>
  <c r="L60" i="4" s="1"/>
  <c r="I93" i="4" s="1"/>
  <c r="H10" i="15" s="1"/>
  <c r="N11" i="10"/>
  <c r="N12" i="10" s="1"/>
  <c r="N13" i="10" s="1"/>
  <c r="N56" i="4"/>
  <c r="E95" i="4" s="1"/>
  <c r="D12" i="15" s="1"/>
  <c r="O31" i="5"/>
  <c r="O41" i="4" s="1"/>
  <c r="P28" i="5"/>
  <c r="P30" i="5" s="1"/>
  <c r="N50" i="4"/>
  <c r="N51" i="4"/>
  <c r="K42" i="18" l="1"/>
  <c r="L46" i="4"/>
  <c r="M45" i="4"/>
  <c r="M60" i="4" s="1"/>
  <c r="I94" i="4" s="1"/>
  <c r="H11" i="15" s="1"/>
  <c r="N58" i="4"/>
  <c r="G95" i="4" s="1"/>
  <c r="F12" i="15" s="1"/>
  <c r="O11" i="10"/>
  <c r="O12" i="10" s="1"/>
  <c r="O13" i="10" s="1"/>
  <c r="O56" i="4"/>
  <c r="E96" i="4" s="1"/>
  <c r="D13" i="15" s="1"/>
  <c r="O50" i="4"/>
  <c r="O51" i="4"/>
  <c r="Q28" i="5"/>
  <c r="Q30" i="5" s="1"/>
  <c r="Q31" i="5" s="1"/>
  <c r="Q41" i="4" s="1"/>
  <c r="P31" i="5"/>
  <c r="P41" i="4" s="1"/>
  <c r="L61" i="4" l="1"/>
  <c r="K44" i="18" s="1"/>
  <c r="D26" i="27"/>
  <c r="M46" i="4"/>
  <c r="N45" i="4"/>
  <c r="N60" i="4" s="1"/>
  <c r="I95" i="4" s="1"/>
  <c r="H12" i="15" s="1"/>
  <c r="O58" i="4"/>
  <c r="G96" i="4" s="1"/>
  <c r="F13" i="15" s="1"/>
  <c r="P11" i="10"/>
  <c r="P12" i="10" s="1"/>
  <c r="P56" i="4"/>
  <c r="E97" i="4" s="1"/>
  <c r="D14" i="15" s="1"/>
  <c r="Q56" i="4"/>
  <c r="E98" i="4" s="1"/>
  <c r="D15" i="15" s="1"/>
  <c r="P50" i="4"/>
  <c r="P51" i="4"/>
  <c r="Q50" i="4"/>
  <c r="Q47" i="4" s="1"/>
  <c r="E31" i="27" s="1"/>
  <c r="Q51" i="4"/>
  <c r="R28" i="5"/>
  <c r="R30" i="5" s="1"/>
  <c r="O45" i="4" l="1"/>
  <c r="O60" i="4" s="1"/>
  <c r="I96" i="4" s="1"/>
  <c r="H13" i="15" s="1"/>
  <c r="P13" i="10"/>
  <c r="J93" i="4"/>
  <c r="I10" i="15" s="1"/>
  <c r="M61" i="4"/>
  <c r="K45" i="18" s="1"/>
  <c r="D27" i="27"/>
  <c r="N46" i="4"/>
  <c r="P58" i="4"/>
  <c r="G97" i="4" s="1"/>
  <c r="F14" i="15" s="1"/>
  <c r="Q58" i="4"/>
  <c r="G98" i="4" s="1"/>
  <c r="F15" i="15" s="1"/>
  <c r="P47" i="4"/>
  <c r="R11" i="10"/>
  <c r="R12" i="10" s="1"/>
  <c r="R13" i="10" s="1"/>
  <c r="Q11" i="10"/>
  <c r="Q12" i="10" s="1"/>
  <c r="Q13" i="10" s="1"/>
  <c r="Q62" i="4"/>
  <c r="O46" i="4"/>
  <c r="R31" i="5"/>
  <c r="R41" i="4" s="1"/>
  <c r="S28" i="5"/>
  <c r="S30" i="5" s="1"/>
  <c r="J94" i="4" l="1"/>
  <c r="I11" i="15" s="1"/>
  <c r="O61" i="4"/>
  <c r="K47" i="18" s="1"/>
  <c r="D29" i="27"/>
  <c r="P62" i="4"/>
  <c r="L48" i="18" s="1"/>
  <c r="E30" i="27"/>
  <c r="N61" i="4"/>
  <c r="J95" i="4" s="1"/>
  <c r="I12" i="15" s="1"/>
  <c r="D28" i="27"/>
  <c r="J96" i="4"/>
  <c r="I13" i="15" s="1"/>
  <c r="K98" i="4"/>
  <c r="J15" i="15" s="1"/>
  <c r="L49" i="18"/>
  <c r="R56" i="4"/>
  <c r="E99" i="4" s="1"/>
  <c r="D16" i="15" s="1"/>
  <c r="P45" i="4"/>
  <c r="P60" i="4" s="1"/>
  <c r="I97" i="4" s="1"/>
  <c r="H14" i="15" s="1"/>
  <c r="E80" i="15" s="1"/>
  <c r="Q45" i="4"/>
  <c r="Q60" i="4" s="1"/>
  <c r="I98" i="4" s="1"/>
  <c r="H15" i="15" s="1"/>
  <c r="E81" i="15" s="1"/>
  <c r="S31" i="5"/>
  <c r="S41" i="4" s="1"/>
  <c r="T28" i="5"/>
  <c r="T30" i="5" s="1"/>
  <c r="R51" i="4"/>
  <c r="R50" i="4"/>
  <c r="E7" i="11"/>
  <c r="K46" i="18" l="1"/>
  <c r="K97" i="4"/>
  <c r="J14" i="15" s="1"/>
  <c r="Q46" i="4"/>
  <c r="R58" i="4"/>
  <c r="G99" i="4" s="1"/>
  <c r="F16" i="15" s="1"/>
  <c r="R47" i="4"/>
  <c r="P46" i="4"/>
  <c r="S56" i="4"/>
  <c r="E100" i="4" s="1"/>
  <c r="D17" i="15" s="1"/>
  <c r="S11" i="10"/>
  <c r="S12" i="10" s="1"/>
  <c r="S13" i="10" s="1"/>
  <c r="T31" i="5"/>
  <c r="T41" i="4" s="1"/>
  <c r="S51" i="4"/>
  <c r="S50" i="4"/>
  <c r="U28" i="5"/>
  <c r="U30" i="5" s="1"/>
  <c r="P61" i="4" l="1"/>
  <c r="J97" i="4" s="1"/>
  <c r="I14" i="15" s="1"/>
  <c r="D30" i="27"/>
  <c r="R62" i="4"/>
  <c r="L50" i="18" s="1"/>
  <c r="E32" i="27"/>
  <c r="Q61" i="4"/>
  <c r="K49" i="18" s="1"/>
  <c r="G110" i="25" s="1"/>
  <c r="K110" i="25" s="1"/>
  <c r="D31" i="27"/>
  <c r="Q48" i="4"/>
  <c r="S58" i="4"/>
  <c r="G100" i="4" s="1"/>
  <c r="F17" i="15" s="1"/>
  <c r="J98" i="4"/>
  <c r="I15" i="15" s="1"/>
  <c r="P48" i="4"/>
  <c r="S47" i="4"/>
  <c r="T11" i="10"/>
  <c r="T12" i="10" s="1"/>
  <c r="T13" i="10" s="1"/>
  <c r="R45" i="4"/>
  <c r="R60" i="4" s="1"/>
  <c r="I99" i="4" s="1"/>
  <c r="H16" i="15" s="1"/>
  <c r="E82" i="15" s="1"/>
  <c r="T56" i="4"/>
  <c r="U31" i="5"/>
  <c r="U41" i="4" s="1"/>
  <c r="T51" i="4"/>
  <c r="T50" i="4"/>
  <c r="V28" i="5"/>
  <c r="V30" i="5" s="1"/>
  <c r="K99" i="4" l="1"/>
  <c r="J16" i="15" s="1"/>
  <c r="K48" i="18"/>
  <c r="G109" i="25" s="1"/>
  <c r="K109" i="25" s="1"/>
  <c r="S62" i="4"/>
  <c r="K100" i="4" s="1"/>
  <c r="J17" i="15" s="1"/>
  <c r="E33" i="27"/>
  <c r="E101" i="4"/>
  <c r="D18" i="15" s="1"/>
  <c r="C253" i="22"/>
  <c r="E10" i="11"/>
  <c r="R46" i="4"/>
  <c r="S45" i="4"/>
  <c r="S60" i="4" s="1"/>
  <c r="I100" i="4" s="1"/>
  <c r="H17" i="15" s="1"/>
  <c r="E83" i="15" s="1"/>
  <c r="T58" i="4"/>
  <c r="G101" i="4" s="1"/>
  <c r="F18" i="15" s="1"/>
  <c r="T47" i="4"/>
  <c r="U11" i="10"/>
  <c r="U12" i="10" s="1"/>
  <c r="U56" i="4"/>
  <c r="V31" i="5"/>
  <c r="V41" i="4" s="1"/>
  <c r="U50" i="4"/>
  <c r="U51" i="4"/>
  <c r="W28" i="5"/>
  <c r="W30" i="5" s="1"/>
  <c r="L51" i="18" l="1"/>
  <c r="U13" i="10"/>
  <c r="C7" i="10"/>
  <c r="R61" i="4"/>
  <c r="J99" i="4" s="1"/>
  <c r="I16" i="15" s="1"/>
  <c r="D32" i="27"/>
  <c r="T62" i="4"/>
  <c r="C267" i="22" s="1"/>
  <c r="E34" i="27"/>
  <c r="E22" i="20"/>
  <c r="R48" i="4"/>
  <c r="S46" i="4"/>
  <c r="U58" i="4"/>
  <c r="T45" i="4"/>
  <c r="T60" i="4" s="1"/>
  <c r="U47" i="4"/>
  <c r="U62" i="4" s="1"/>
  <c r="V56" i="4"/>
  <c r="V11" i="10"/>
  <c r="V12" i="10" s="1"/>
  <c r="W31" i="5"/>
  <c r="W41" i="4" s="1"/>
  <c r="X28" i="5"/>
  <c r="X30" i="5" s="1"/>
  <c r="V50" i="4"/>
  <c r="V51" i="4"/>
  <c r="U45" i="4" l="1"/>
  <c r="U60" i="4" s="1"/>
  <c r="V13" i="10"/>
  <c r="K50" i="18"/>
  <c r="G111" i="25" s="1"/>
  <c r="K111" i="25" s="1"/>
  <c r="L52" i="18"/>
  <c r="S61" i="4"/>
  <c r="J100" i="4" s="1"/>
  <c r="I17" i="15" s="1"/>
  <c r="D33" i="27"/>
  <c r="K101" i="4"/>
  <c r="J18" i="15" s="1"/>
  <c r="I101" i="4"/>
  <c r="H18" i="15" s="1"/>
  <c r="E84" i="15" s="1"/>
  <c r="C256" i="22"/>
  <c r="S48" i="4"/>
  <c r="V58" i="4"/>
  <c r="T46" i="4"/>
  <c r="V47" i="4"/>
  <c r="V62" i="4" s="1"/>
  <c r="W56" i="4"/>
  <c r="W11" i="10"/>
  <c r="W12" i="10" s="1"/>
  <c r="U46" i="4"/>
  <c r="U61" i="4" s="1"/>
  <c r="Y28" i="5"/>
  <c r="Y30" i="5" s="1"/>
  <c r="X31" i="5"/>
  <c r="X41" i="4" s="1"/>
  <c r="W50" i="4"/>
  <c r="W51" i="4"/>
  <c r="E97" i="18" l="1"/>
  <c r="E20" i="20" s="1"/>
  <c r="V45" i="4"/>
  <c r="V60" i="4" s="1"/>
  <c r="W13" i="10"/>
  <c r="K51" i="18"/>
  <c r="G112" i="25" s="1"/>
  <c r="K112" i="25" s="1"/>
  <c r="T61" i="4"/>
  <c r="D34" i="27"/>
  <c r="T48" i="4"/>
  <c r="W58" i="4"/>
  <c r="W47" i="4"/>
  <c r="W62" i="4" s="1"/>
  <c r="X11" i="10"/>
  <c r="X12" i="10" s="1"/>
  <c r="X13" i="10" s="1"/>
  <c r="X56" i="4"/>
  <c r="U48" i="4"/>
  <c r="V46" i="4"/>
  <c r="V61" i="4" s="1"/>
  <c r="X50" i="4"/>
  <c r="X51" i="4"/>
  <c r="Y31" i="5"/>
  <c r="Y41" i="4" s="1"/>
  <c r="Z28" i="5"/>
  <c r="Z30" i="5" s="1"/>
  <c r="C266" i="22" l="1"/>
  <c r="C241" i="22"/>
  <c r="J101" i="4"/>
  <c r="I18" i="15" s="1"/>
  <c r="C276" i="22" s="1"/>
  <c r="K52" i="18"/>
  <c r="X58" i="4"/>
  <c r="W45" i="4"/>
  <c r="W60" i="4" s="1"/>
  <c r="X47" i="4"/>
  <c r="X62" i="4" s="1"/>
  <c r="Y11" i="10"/>
  <c r="Y12" i="10" s="1"/>
  <c r="Y13" i="10" s="1"/>
  <c r="Y56" i="4"/>
  <c r="V48" i="4"/>
  <c r="Y50" i="4"/>
  <c r="Y51" i="4"/>
  <c r="AA28" i="5"/>
  <c r="AA30" i="5" s="1"/>
  <c r="Z31" i="5"/>
  <c r="Z41" i="4" s="1"/>
  <c r="E96" i="18" l="1"/>
  <c r="E19" i="20" s="1"/>
  <c r="C245" i="22"/>
  <c r="D245" i="22" s="1"/>
  <c r="G113" i="25"/>
  <c r="K113" i="25" s="1"/>
  <c r="N47" i="18"/>
  <c r="C271" i="22"/>
  <c r="W46" i="4"/>
  <c r="W61" i="4" s="1"/>
  <c r="Y58" i="4"/>
  <c r="X45" i="4"/>
  <c r="X60" i="4" s="1"/>
  <c r="Y47" i="4"/>
  <c r="Y62" i="4" s="1"/>
  <c r="Z56" i="4"/>
  <c r="Z11" i="10"/>
  <c r="Z12" i="10" s="1"/>
  <c r="Z13" i="10" s="1"/>
  <c r="AA31" i="5"/>
  <c r="AA41" i="4" s="1"/>
  <c r="AB28" i="5"/>
  <c r="AB30" i="5" s="1"/>
  <c r="Z51" i="4"/>
  <c r="Z50" i="4"/>
  <c r="G90" i="18" l="1"/>
  <c r="H95" i="18"/>
  <c r="G95" i="18"/>
  <c r="H90" i="18"/>
  <c r="X46" i="4"/>
  <c r="X61" i="4" s="1"/>
  <c r="Z58" i="4"/>
  <c r="W48" i="4"/>
  <c r="Y45" i="4"/>
  <c r="Y60" i="4" s="1"/>
  <c r="Z47" i="4"/>
  <c r="Z62" i="4" s="1"/>
  <c r="AA56" i="4"/>
  <c r="AA11" i="10"/>
  <c r="AA12" i="10" s="1"/>
  <c r="AB31" i="5"/>
  <c r="AB41" i="4" s="1"/>
  <c r="AA50" i="4"/>
  <c r="AA51" i="4"/>
  <c r="AC28" i="5"/>
  <c r="AC30" i="5" s="1"/>
  <c r="Z45" i="4" l="1"/>
  <c r="Z60" i="4" s="1"/>
  <c r="AA13" i="10"/>
  <c r="X48" i="4"/>
  <c r="Y46" i="4"/>
  <c r="Y61" i="4" s="1"/>
  <c r="AA58" i="4"/>
  <c r="AA47" i="4"/>
  <c r="AA62" i="4" s="1"/>
  <c r="AB11" i="10"/>
  <c r="AB12" i="10" s="1"/>
  <c r="AB56" i="4"/>
  <c r="Z46" i="4"/>
  <c r="Z61" i="4" s="1"/>
  <c r="AD28" i="5"/>
  <c r="AD30" i="5" s="1"/>
  <c r="AC31" i="5"/>
  <c r="AC41" i="4" s="1"/>
  <c r="AB51" i="4"/>
  <c r="AB50" i="4"/>
  <c r="AA45" i="4" l="1"/>
  <c r="AA60" i="4" s="1"/>
  <c r="AB13" i="10"/>
  <c r="AB58" i="4"/>
  <c r="Y48" i="4"/>
  <c r="AB47" i="4"/>
  <c r="AB62" i="4" s="1"/>
  <c r="AC11" i="10"/>
  <c r="AC12" i="10" s="1"/>
  <c r="AC56" i="4"/>
  <c r="AA46" i="4"/>
  <c r="AA61" i="4" s="1"/>
  <c r="Z48" i="4"/>
  <c r="AE28" i="5"/>
  <c r="AE30" i="5" s="1"/>
  <c r="AC50" i="4"/>
  <c r="AC47" i="4" s="1"/>
  <c r="AC51" i="4"/>
  <c r="AD31" i="5"/>
  <c r="AD41" i="4" s="1"/>
  <c r="AB45" i="4" l="1"/>
  <c r="AB60" i="4" s="1"/>
  <c r="AC13" i="10"/>
  <c r="AC58" i="4"/>
  <c r="AD56" i="4"/>
  <c r="AD11" i="10"/>
  <c r="AD12" i="10" s="1"/>
  <c r="AD13" i="10" s="1"/>
  <c r="AC62" i="4"/>
  <c r="AA48" i="4"/>
  <c r="AB46" i="4"/>
  <c r="AB61" i="4" s="1"/>
  <c r="AF28" i="5"/>
  <c r="AF30" i="5" s="1"/>
  <c r="AD50" i="4"/>
  <c r="AD47" i="4" s="1"/>
  <c r="AD51" i="4"/>
  <c r="AE31" i="5"/>
  <c r="AE41" i="4" s="1"/>
  <c r="AC45" i="4" l="1"/>
  <c r="AC60" i="4" s="1"/>
  <c r="AD58" i="4"/>
  <c r="AE56" i="4"/>
  <c r="AE11" i="10"/>
  <c r="AE12" i="10" s="1"/>
  <c r="AE13" i="10" s="1"/>
  <c r="AD62" i="4"/>
  <c r="AB48" i="4"/>
  <c r="AG28" i="5"/>
  <c r="AG30" i="5" s="1"/>
  <c r="AF31" i="5"/>
  <c r="AF41" i="4" s="1"/>
  <c r="AE50" i="4"/>
  <c r="AE47" i="4" s="1"/>
  <c r="AE51" i="4"/>
  <c r="AC46" i="4" l="1"/>
  <c r="AC61" i="4" s="1"/>
  <c r="AE58" i="4"/>
  <c r="AD45" i="4"/>
  <c r="AD60" i="4" s="1"/>
  <c r="AF56" i="4"/>
  <c r="AF11" i="10"/>
  <c r="AF12" i="10" s="1"/>
  <c r="AF13" i="10" s="1"/>
  <c r="AE62" i="4"/>
  <c r="AH28" i="5"/>
  <c r="AH30" i="5" s="1"/>
  <c r="AF50" i="4"/>
  <c r="AF51" i="4"/>
  <c r="AG31" i="5"/>
  <c r="AG41" i="4" s="1"/>
  <c r="AC48" i="4" l="1"/>
  <c r="AD46" i="4"/>
  <c r="AD61" i="4" s="1"/>
  <c r="AF58" i="4"/>
  <c r="AF47" i="4"/>
  <c r="AF62" i="4" s="1"/>
  <c r="AG56" i="4"/>
  <c r="AG11" i="10"/>
  <c r="AG12" i="10" s="1"/>
  <c r="AE45" i="4"/>
  <c r="AE60" i="4" s="1"/>
  <c r="AH31" i="5"/>
  <c r="AH41" i="4" s="1"/>
  <c r="AG50" i="4"/>
  <c r="AG51" i="4"/>
  <c r="AI28" i="5"/>
  <c r="AI30" i="5" s="1"/>
  <c r="AF45" i="4" l="1"/>
  <c r="AF60" i="4" s="1"/>
  <c r="AG13" i="10"/>
  <c r="AD48" i="4"/>
  <c r="AE46" i="4"/>
  <c r="AE61" i="4" s="1"/>
  <c r="AG58" i="4"/>
  <c r="AG47" i="4"/>
  <c r="AG62" i="4" s="1"/>
  <c r="AH56" i="4"/>
  <c r="AH11" i="10"/>
  <c r="AH12" i="10" s="1"/>
  <c r="AH13" i="10" s="1"/>
  <c r="AF46" i="4"/>
  <c r="AF61" i="4" s="1"/>
  <c r="AJ28" i="5"/>
  <c r="AJ30" i="5" s="1"/>
  <c r="AJ31" i="5" s="1"/>
  <c r="AJ41" i="4" s="1"/>
  <c r="AH50" i="4"/>
  <c r="AH51" i="4"/>
  <c r="AI31" i="5"/>
  <c r="AI41" i="4" s="1"/>
  <c r="AH58" i="4" l="1"/>
  <c r="AE48" i="4"/>
  <c r="AH47" i="4"/>
  <c r="AH62" i="4" s="1"/>
  <c r="AI11" i="10"/>
  <c r="AI12" i="10" s="1"/>
  <c r="AI56" i="4"/>
  <c r="AJ56" i="4"/>
  <c r="AG45" i="4"/>
  <c r="AG60" i="4" s="1"/>
  <c r="AF48" i="4"/>
  <c r="AK28" i="5"/>
  <c r="AK30" i="5" s="1"/>
  <c r="AK31" i="5" s="1"/>
  <c r="AK41" i="4" s="1"/>
  <c r="AJ50" i="4"/>
  <c r="AJ51" i="4"/>
  <c r="AI50" i="4"/>
  <c r="AI47" i="4" s="1"/>
  <c r="AI51" i="4"/>
  <c r="AH45" i="4" l="1"/>
  <c r="AH60" i="4" s="1"/>
  <c r="AI13" i="10"/>
  <c r="AI58" i="4"/>
  <c r="AJ58" i="4"/>
  <c r="AJ47" i="4"/>
  <c r="AJ62" i="4" s="1"/>
  <c r="AK11" i="10"/>
  <c r="AK12" i="10" s="1"/>
  <c r="AK56" i="4"/>
  <c r="AJ11" i="10"/>
  <c r="AJ12" i="10" s="1"/>
  <c r="AG46" i="4"/>
  <c r="AG61" i="4" s="1"/>
  <c r="AI62" i="4"/>
  <c r="AH46" i="4"/>
  <c r="AH61" i="4" s="1"/>
  <c r="AL28" i="5"/>
  <c r="AL30" i="5" s="1"/>
  <c r="AL31" i="5" s="1"/>
  <c r="AL41" i="4" s="1"/>
  <c r="AK50" i="4"/>
  <c r="AK51" i="4"/>
  <c r="AI45" i="4" l="1"/>
  <c r="AI60" i="4" s="1"/>
  <c r="AJ13" i="10"/>
  <c r="AJ45" i="4"/>
  <c r="AJ60" i="4" s="1"/>
  <c r="AK13" i="10"/>
  <c r="AK58" i="4"/>
  <c r="AK47" i="4"/>
  <c r="AK62" i="4" s="1"/>
  <c r="AG48" i="4"/>
  <c r="AL11" i="10"/>
  <c r="AL12" i="10" s="1"/>
  <c r="AL13" i="10" s="1"/>
  <c r="AL56" i="4"/>
  <c r="AI46" i="4"/>
  <c r="AI61" i="4" s="1"/>
  <c r="AH48" i="4"/>
  <c r="AL50" i="4"/>
  <c r="AL51" i="4"/>
  <c r="AN28" i="5"/>
  <c r="AN30" i="5" s="1"/>
  <c r="AM28" i="5"/>
  <c r="AM30" i="5" s="1"/>
  <c r="AM31" i="5" s="1"/>
  <c r="AM41" i="4" s="1"/>
  <c r="AJ46" i="4" l="1"/>
  <c r="AJ61" i="4" s="1"/>
  <c r="AL58" i="4"/>
  <c r="AK45" i="4"/>
  <c r="AK60" i="4" s="1"/>
  <c r="AM56" i="4"/>
  <c r="AM11" i="10"/>
  <c r="AM12" i="10" s="1"/>
  <c r="AJ48" i="4"/>
  <c r="AI48" i="4"/>
  <c r="AM50" i="4"/>
  <c r="AM51" i="4"/>
  <c r="AN31" i="5"/>
  <c r="AN41" i="4" s="1"/>
  <c r="AL45" i="4" l="1"/>
  <c r="AL60" i="4" s="1"/>
  <c r="AM13" i="10"/>
  <c r="AM58" i="4"/>
  <c r="AK46" i="4"/>
  <c r="AK61" i="4" s="1"/>
  <c r="AN11" i="10"/>
  <c r="AN12" i="10" s="1"/>
  <c r="AN56" i="4"/>
  <c r="AL46" i="4"/>
  <c r="AL61" i="4" s="1"/>
  <c r="AN50" i="4"/>
  <c r="AN51" i="4"/>
  <c r="AM45" i="4" l="1"/>
  <c r="AM60" i="4" s="1"/>
  <c r="AN13" i="10"/>
  <c r="AK48" i="4"/>
  <c r="AN58" i="4"/>
  <c r="AO11" i="10"/>
  <c r="AO12" i="10" s="1"/>
  <c r="AN45" i="4" l="1"/>
  <c r="AN60" i="4" s="1"/>
  <c r="AO13" i="10"/>
  <c r="AM46" i="4"/>
  <c r="AM61" i="4" s="1"/>
  <c r="AN46" i="4" l="1"/>
  <c r="AN61" i="4" s="1"/>
  <c r="E420" i="14"/>
  <c r="E412" i="14" l="1"/>
  <c r="D417" i="14"/>
  <c r="D418" i="14"/>
  <c r="D414" i="14"/>
  <c r="D411" i="14"/>
  <c r="D420" i="14"/>
  <c r="D410" i="14"/>
  <c r="D416" i="14"/>
  <c r="D421" i="14"/>
  <c r="E411" i="14"/>
  <c r="E441" i="14"/>
  <c r="E415" i="14"/>
  <c r="E421" i="14"/>
  <c r="E418" i="14"/>
  <c r="E423" i="14"/>
  <c r="E416" i="14"/>
  <c r="E417" i="14"/>
  <c r="D415" i="14"/>
  <c r="D419" i="14"/>
  <c r="E413" i="14"/>
  <c r="E414" i="14"/>
  <c r="D412" i="14"/>
  <c r="E422" i="14"/>
  <c r="E419" i="14"/>
  <c r="D422" i="14"/>
  <c r="D413" i="14"/>
  <c r="D423" i="14"/>
  <c r="C447" i="14" l="1"/>
  <c r="C9" i="27"/>
  <c r="F9" i="27" s="1"/>
  <c r="H9" i="27"/>
  <c r="C445" i="14"/>
  <c r="H104" i="25" s="1"/>
  <c r="C7" i="27"/>
  <c r="F7" i="27" s="1"/>
  <c r="H7" i="27"/>
  <c r="C454" i="14"/>
  <c r="C239" i="22" s="1"/>
  <c r="C16" i="27"/>
  <c r="F16" i="27" s="1"/>
  <c r="H16" i="27"/>
  <c r="C12" i="27"/>
  <c r="F12" i="27" s="1"/>
  <c r="H12" i="27"/>
  <c r="C441" i="14"/>
  <c r="H100" i="25" s="1"/>
  <c r="C3" i="27"/>
  <c r="F3" i="27" s="1"/>
  <c r="H3" i="27"/>
  <c r="C449" i="14"/>
  <c r="D108" i="25" s="1"/>
  <c r="C11" i="27"/>
  <c r="F11" i="27" s="1"/>
  <c r="H11" i="27"/>
  <c r="C6" i="27"/>
  <c r="F6" i="27" s="1"/>
  <c r="H6" i="27"/>
  <c r="C5" i="27"/>
  <c r="F5" i="27" s="1"/>
  <c r="H5" i="27"/>
  <c r="C8" i="27"/>
  <c r="F8" i="27" s="1"/>
  <c r="H8" i="27"/>
  <c r="C451" i="14"/>
  <c r="D110" i="25" s="1"/>
  <c r="C13" i="27"/>
  <c r="F13" i="27" s="1"/>
  <c r="H13" i="27"/>
  <c r="C448" i="14"/>
  <c r="D107" i="25" s="1"/>
  <c r="C10" i="27"/>
  <c r="F10" i="27" s="1"/>
  <c r="H10" i="27"/>
  <c r="C15" i="27"/>
  <c r="F15" i="27" s="1"/>
  <c r="H15" i="27"/>
  <c r="C452" i="14"/>
  <c r="D111" i="25" s="1"/>
  <c r="C14" i="27"/>
  <c r="F14" i="27" s="1"/>
  <c r="H14" i="27"/>
  <c r="C442" i="14"/>
  <c r="H101" i="25" s="1"/>
  <c r="C4" i="27"/>
  <c r="F4" i="27" s="1"/>
  <c r="H4" i="27"/>
  <c r="H106" i="25"/>
  <c r="D106" i="25"/>
  <c r="D113" i="25"/>
  <c r="S5" i="15"/>
  <c r="G71" i="15" s="1"/>
  <c r="D476" i="14"/>
  <c r="G418" i="14"/>
  <c r="G411" i="14"/>
  <c r="G417" i="14"/>
  <c r="G414" i="14"/>
  <c r="G416" i="14"/>
  <c r="G420" i="14"/>
  <c r="G421" i="14"/>
  <c r="G410" i="14"/>
  <c r="G412" i="14"/>
  <c r="C443" i="14"/>
  <c r="G423" i="14"/>
  <c r="C444" i="14"/>
  <c r="G413" i="14"/>
  <c r="C450" i="14"/>
  <c r="G419" i="14"/>
  <c r="G422" i="14"/>
  <c r="C453" i="14"/>
  <c r="C446" i="14"/>
  <c r="G415" i="14"/>
  <c r="C240" i="22" l="1"/>
  <c r="G11" i="27"/>
  <c r="I11" i="27"/>
  <c r="G15" i="27"/>
  <c r="I15" i="27"/>
  <c r="G6" i="27"/>
  <c r="I6" i="27"/>
  <c r="G12" i="27"/>
  <c r="I12" i="27"/>
  <c r="G9" i="27"/>
  <c r="I9" i="27"/>
  <c r="G4" i="27"/>
  <c r="I4" i="27"/>
  <c r="G10" i="27"/>
  <c r="I10" i="27"/>
  <c r="G5" i="27"/>
  <c r="I5" i="27"/>
  <c r="G16" i="27"/>
  <c r="I16" i="27"/>
  <c r="H113" i="25"/>
  <c r="G8" i="27"/>
  <c r="I8" i="27"/>
  <c r="D101" i="25"/>
  <c r="G14" i="27"/>
  <c r="I14" i="27"/>
  <c r="G13" i="27"/>
  <c r="I13" i="27"/>
  <c r="G3" i="27"/>
  <c r="I3" i="27"/>
  <c r="G7" i="27"/>
  <c r="I7" i="27"/>
  <c r="H111" i="25"/>
  <c r="H107" i="25"/>
  <c r="H108" i="25"/>
  <c r="D100" i="25"/>
  <c r="D104" i="25"/>
  <c r="H110" i="25"/>
  <c r="H112" i="25"/>
  <c r="D112" i="25"/>
  <c r="H105" i="25"/>
  <c r="D105" i="25"/>
  <c r="H109" i="25"/>
  <c r="D109" i="25"/>
  <c r="H102" i="25"/>
  <c r="D102" i="25"/>
  <c r="H103" i="25"/>
  <c r="D103" i="25"/>
  <c r="I415" i="14"/>
  <c r="J415" i="14" s="1"/>
  <c r="I419" i="14"/>
  <c r="J419" i="14" s="1"/>
  <c r="I423" i="14"/>
  <c r="D427" i="14" s="1"/>
  <c r="D430" i="14" s="1"/>
  <c r="E429" i="14" s="1"/>
  <c r="I394" i="14"/>
  <c r="L452" i="14" s="1"/>
  <c r="Q16" i="15" s="1"/>
  <c r="I421" i="14"/>
  <c r="J421" i="14" s="1"/>
  <c r="H390" i="14"/>
  <c r="K448" i="14" s="1"/>
  <c r="P12" i="15" s="1"/>
  <c r="I417" i="14"/>
  <c r="J417" i="14" s="1"/>
  <c r="C391" i="14"/>
  <c r="F449" i="14" s="1"/>
  <c r="E484" i="14" s="1"/>
  <c r="I418" i="14"/>
  <c r="J418" i="14" s="1"/>
  <c r="C393" i="14"/>
  <c r="F451" i="14" s="1"/>
  <c r="I420" i="14"/>
  <c r="J420" i="14" s="1"/>
  <c r="I413" i="14"/>
  <c r="J413" i="14" s="1"/>
  <c r="I412" i="14"/>
  <c r="J412" i="14" s="1"/>
  <c r="J389" i="14"/>
  <c r="M447" i="14" s="1"/>
  <c r="R11" i="15" s="1"/>
  <c r="I416" i="14"/>
  <c r="J416" i="14" s="1"/>
  <c r="C384" i="14"/>
  <c r="F442" i="14" s="1"/>
  <c r="E477" i="14" s="1"/>
  <c r="I411" i="14"/>
  <c r="E442" i="14" s="1"/>
  <c r="S6" i="15" s="1"/>
  <c r="G72" i="15" s="1"/>
  <c r="I422" i="14"/>
  <c r="J422" i="14" s="1"/>
  <c r="M441" i="14"/>
  <c r="R5" i="15" s="1"/>
  <c r="J410" i="14"/>
  <c r="H387" i="14"/>
  <c r="K445" i="14" s="1"/>
  <c r="P9" i="15" s="1"/>
  <c r="I414" i="14"/>
  <c r="J414" i="14" s="1"/>
  <c r="I391" i="14"/>
  <c r="L449" i="14" s="1"/>
  <c r="Q13" i="15" s="1"/>
  <c r="G391" i="14"/>
  <c r="J449" i="14" s="1"/>
  <c r="O13" i="15" s="1"/>
  <c r="E391" i="14"/>
  <c r="H449" i="14" s="1"/>
  <c r="J391" i="14"/>
  <c r="M449" i="14" s="1"/>
  <c r="R13" i="15" s="1"/>
  <c r="F391" i="14"/>
  <c r="I449" i="14" s="1"/>
  <c r="N13" i="15" s="1"/>
  <c r="H391" i="14"/>
  <c r="K449" i="14" s="1"/>
  <c r="P13" i="15" s="1"/>
  <c r="D391" i="14"/>
  <c r="G449" i="14" s="1"/>
  <c r="H395" i="14"/>
  <c r="K453" i="14" s="1"/>
  <c r="P17" i="15" s="1"/>
  <c r="J395" i="14"/>
  <c r="M453" i="14" s="1"/>
  <c r="R17" i="15" s="1"/>
  <c r="I395" i="14"/>
  <c r="L453" i="14" s="1"/>
  <c r="Q17" i="15" s="1"/>
  <c r="D395" i="14"/>
  <c r="G453" i="14" s="1"/>
  <c r="F395" i="14"/>
  <c r="I453" i="14" s="1"/>
  <c r="G395" i="14"/>
  <c r="J453" i="14" s="1"/>
  <c r="O17" i="15" s="1"/>
  <c r="E395" i="14"/>
  <c r="H453" i="14" s="1"/>
  <c r="F393" i="14"/>
  <c r="I451" i="14" s="1"/>
  <c r="I384" i="14"/>
  <c r="L442" i="14" s="1"/>
  <c r="Q6" i="15" s="1"/>
  <c r="F384" i="14"/>
  <c r="I442" i="14" s="1"/>
  <c r="J384" i="14"/>
  <c r="M442" i="14" s="1"/>
  <c r="R6" i="15" s="1"/>
  <c r="E384" i="14"/>
  <c r="H442" i="14" s="1"/>
  <c r="H384" i="14"/>
  <c r="K442" i="14" s="1"/>
  <c r="P6" i="15" s="1"/>
  <c r="D384" i="14"/>
  <c r="G442" i="14" s="1"/>
  <c r="G384" i="14"/>
  <c r="J442" i="14" s="1"/>
  <c r="O6" i="15" s="1"/>
  <c r="E394" i="14"/>
  <c r="H452" i="14" s="1"/>
  <c r="E390" i="14"/>
  <c r="H448" i="14" s="1"/>
  <c r="D389" i="14"/>
  <c r="G447" i="14" s="1"/>
  <c r="G389" i="14"/>
  <c r="J447" i="14" s="1"/>
  <c r="O11" i="15" s="1"/>
  <c r="C390" i="14"/>
  <c r="F448" i="14" s="1"/>
  <c r="G390" i="14"/>
  <c r="J448" i="14" s="1"/>
  <c r="O12" i="15" s="1"/>
  <c r="J390" i="14"/>
  <c r="M448" i="14" s="1"/>
  <c r="R12" i="15" s="1"/>
  <c r="D387" i="14"/>
  <c r="G445" i="14" s="1"/>
  <c r="E387" i="14"/>
  <c r="H445" i="14" s="1"/>
  <c r="D390" i="14"/>
  <c r="G448" i="14" s="1"/>
  <c r="J387" i="14"/>
  <c r="M445" i="14" s="1"/>
  <c r="R9" i="15" s="1"/>
  <c r="C387" i="14"/>
  <c r="F445" i="14" s="1"/>
  <c r="I390" i="14"/>
  <c r="L448" i="14" s="1"/>
  <c r="Q12" i="15" s="1"/>
  <c r="F390" i="14"/>
  <c r="I448" i="14" s="1"/>
  <c r="F389" i="14"/>
  <c r="I447" i="14" s="1"/>
  <c r="I389" i="14"/>
  <c r="L447" i="14" s="1"/>
  <c r="Q11" i="15" s="1"/>
  <c r="C389" i="14"/>
  <c r="F447" i="14" s="1"/>
  <c r="E389" i="14"/>
  <c r="H447" i="14" s="1"/>
  <c r="H389" i="14"/>
  <c r="K447" i="14" s="1"/>
  <c r="P11" i="15" s="1"/>
  <c r="H441" i="14"/>
  <c r="I441" i="14"/>
  <c r="F441" i="14"/>
  <c r="G441" i="14"/>
  <c r="G393" i="14"/>
  <c r="J451" i="14" s="1"/>
  <c r="O15" i="15" s="1"/>
  <c r="G394" i="14"/>
  <c r="J452" i="14" s="1"/>
  <c r="O16" i="15" s="1"/>
  <c r="F394" i="14"/>
  <c r="I452" i="14" s="1"/>
  <c r="D393" i="14"/>
  <c r="G451" i="14" s="1"/>
  <c r="D394" i="14"/>
  <c r="G452" i="14" s="1"/>
  <c r="J394" i="14"/>
  <c r="M452" i="14" s="1"/>
  <c r="R16" i="15" s="1"/>
  <c r="H393" i="14"/>
  <c r="K451" i="14" s="1"/>
  <c r="P15" i="15" s="1"/>
  <c r="H394" i="14"/>
  <c r="K452" i="14" s="1"/>
  <c r="P16" i="15" s="1"/>
  <c r="E393" i="14"/>
  <c r="H451" i="14" s="1"/>
  <c r="C394" i="14"/>
  <c r="F452" i="14" s="1"/>
  <c r="G387" i="14"/>
  <c r="J445" i="14" s="1"/>
  <c r="O9" i="15" s="1"/>
  <c r="I393" i="14"/>
  <c r="L451" i="14" s="1"/>
  <c r="Q15" i="15" s="1"/>
  <c r="F387" i="14"/>
  <c r="I445" i="14" s="1"/>
  <c r="I387" i="14"/>
  <c r="L445" i="14" s="1"/>
  <c r="Q9" i="15" s="1"/>
  <c r="J393" i="14"/>
  <c r="M451" i="14" s="1"/>
  <c r="R15" i="15" s="1"/>
  <c r="K441" i="14"/>
  <c r="P5" i="15" s="1"/>
  <c r="L441" i="14"/>
  <c r="Q5" i="15" s="1"/>
  <c r="J441" i="14"/>
  <c r="O5" i="15" s="1"/>
  <c r="F388" i="14"/>
  <c r="I446" i="14" s="1"/>
  <c r="J388" i="14"/>
  <c r="M446" i="14" s="1"/>
  <c r="R10" i="15" s="1"/>
  <c r="I388" i="14"/>
  <c r="L446" i="14" s="1"/>
  <c r="Q10" i="15" s="1"/>
  <c r="G388" i="14"/>
  <c r="J446" i="14" s="1"/>
  <c r="O10" i="15" s="1"/>
  <c r="E388" i="14"/>
  <c r="H446" i="14" s="1"/>
  <c r="C388" i="14"/>
  <c r="F446" i="14" s="1"/>
  <c r="E481" i="14" s="1"/>
  <c r="H388" i="14"/>
  <c r="K446" i="14" s="1"/>
  <c r="P10" i="15" s="1"/>
  <c r="D388" i="14"/>
  <c r="G446" i="14" s="1"/>
  <c r="F396" i="14"/>
  <c r="I454" i="14" s="1"/>
  <c r="E396" i="14"/>
  <c r="H454" i="14" s="1"/>
  <c r="D396" i="14"/>
  <c r="G454" i="14" s="1"/>
  <c r="G396" i="14"/>
  <c r="J454" i="14" s="1"/>
  <c r="O18" i="15" s="1"/>
  <c r="C396" i="14"/>
  <c r="F454" i="14" s="1"/>
  <c r="I396" i="14"/>
  <c r="L454" i="14" s="1"/>
  <c r="Q18" i="15" s="1"/>
  <c r="J396" i="14"/>
  <c r="M454" i="14" s="1"/>
  <c r="R18" i="15" s="1"/>
  <c r="H396" i="14"/>
  <c r="K454" i="14" s="1"/>
  <c r="P18" i="15" s="1"/>
  <c r="D385" i="14"/>
  <c r="G443" i="14" s="1"/>
  <c r="F385" i="14"/>
  <c r="I443" i="14" s="1"/>
  <c r="J385" i="14"/>
  <c r="M443" i="14" s="1"/>
  <c r="R7" i="15" s="1"/>
  <c r="G385" i="14"/>
  <c r="J443" i="14" s="1"/>
  <c r="O7" i="15" s="1"/>
  <c r="C385" i="14"/>
  <c r="F443" i="14" s="1"/>
  <c r="E478" i="14" s="1"/>
  <c r="E385" i="14"/>
  <c r="H443" i="14" s="1"/>
  <c r="I385" i="14"/>
  <c r="L443" i="14" s="1"/>
  <c r="Q7" i="15" s="1"/>
  <c r="H385" i="14"/>
  <c r="K443" i="14" s="1"/>
  <c r="P7" i="15" s="1"/>
  <c r="D392" i="14"/>
  <c r="G450" i="14" s="1"/>
  <c r="H392" i="14"/>
  <c r="K450" i="14" s="1"/>
  <c r="P14" i="15" s="1"/>
  <c r="C392" i="14"/>
  <c r="F450" i="14" s="1"/>
  <c r="E485" i="14" s="1"/>
  <c r="F392" i="14"/>
  <c r="I450" i="14" s="1"/>
  <c r="J392" i="14"/>
  <c r="M450" i="14" s="1"/>
  <c r="R14" i="15" s="1"/>
  <c r="G392" i="14"/>
  <c r="J450" i="14" s="1"/>
  <c r="O14" i="15" s="1"/>
  <c r="I392" i="14"/>
  <c r="L450" i="14" s="1"/>
  <c r="Q14" i="15" s="1"/>
  <c r="E392" i="14"/>
  <c r="H450" i="14" s="1"/>
  <c r="C395" i="14"/>
  <c r="F453" i="14" s="1"/>
  <c r="E488" i="14" s="1"/>
  <c r="I386" i="14"/>
  <c r="L444" i="14" s="1"/>
  <c r="Q8" i="15" s="1"/>
  <c r="J386" i="14"/>
  <c r="M444" i="14" s="1"/>
  <c r="R8" i="15" s="1"/>
  <c r="H386" i="14"/>
  <c r="K444" i="14" s="1"/>
  <c r="P8" i="15" s="1"/>
  <c r="E386" i="14"/>
  <c r="H444" i="14" s="1"/>
  <c r="F386" i="14"/>
  <c r="I444" i="14" s="1"/>
  <c r="G386" i="14"/>
  <c r="J444" i="14" s="1"/>
  <c r="O8" i="15" s="1"/>
  <c r="C386" i="14"/>
  <c r="F444" i="14" s="1"/>
  <c r="E479" i="14" s="1"/>
  <c r="D386" i="14"/>
  <c r="G444" i="14" s="1"/>
  <c r="J289" i="14" l="1"/>
  <c r="J285" i="14"/>
  <c r="J294" i="14"/>
  <c r="J290" i="14"/>
  <c r="J287" i="14"/>
  <c r="J286" i="14"/>
  <c r="K13" i="15"/>
  <c r="C466" i="14"/>
  <c r="C27" i="27"/>
  <c r="H27" i="27"/>
  <c r="C28" i="27"/>
  <c r="H28" i="27"/>
  <c r="C25" i="27"/>
  <c r="H25" i="27"/>
  <c r="C33" i="27"/>
  <c r="F33" i="27" s="1"/>
  <c r="H33" i="27"/>
  <c r="C30" i="27"/>
  <c r="F30" i="27" s="1"/>
  <c r="H30" i="27"/>
  <c r="D443" i="14"/>
  <c r="T7" i="15" s="1"/>
  <c r="C23" i="27"/>
  <c r="H23" i="27"/>
  <c r="C29" i="27"/>
  <c r="H29" i="27"/>
  <c r="C32" i="27"/>
  <c r="F32" i="27" s="1"/>
  <c r="H32" i="27"/>
  <c r="C26" i="27"/>
  <c r="H26" i="27"/>
  <c r="C31" i="27"/>
  <c r="F31" i="27" s="1"/>
  <c r="H31" i="27"/>
  <c r="D441" i="14"/>
  <c r="E100" i="25" s="1"/>
  <c r="C21" i="27"/>
  <c r="F21" i="27" s="1"/>
  <c r="H21" i="27"/>
  <c r="C24" i="27"/>
  <c r="H24" i="27"/>
  <c r="K6" i="15"/>
  <c r="E443" i="14"/>
  <c r="D478" i="14" s="1"/>
  <c r="C459" i="14"/>
  <c r="J411" i="14"/>
  <c r="D477" i="14"/>
  <c r="J423" i="14"/>
  <c r="E444" i="14"/>
  <c r="S8" i="15" s="1"/>
  <c r="G74" i="15" s="1"/>
  <c r="F484" i="14"/>
  <c r="G484" i="14"/>
  <c r="M13" i="15"/>
  <c r="H484" i="14"/>
  <c r="F488" i="14"/>
  <c r="L13" i="15"/>
  <c r="D466" i="14"/>
  <c r="F489" i="14"/>
  <c r="C259" i="22" s="1"/>
  <c r="F478" i="14"/>
  <c r="F481" i="14"/>
  <c r="N6" i="15"/>
  <c r="H477" i="14"/>
  <c r="L5" i="15"/>
  <c r="F476" i="14"/>
  <c r="K5" i="15"/>
  <c r="E476" i="14"/>
  <c r="N5" i="15"/>
  <c r="H476" i="14"/>
  <c r="L6" i="15"/>
  <c r="F477" i="14"/>
  <c r="M5" i="15"/>
  <c r="AL37" i="5"/>
  <c r="AL38" i="5" s="1"/>
  <c r="AL39" i="5" s="1"/>
  <c r="AL44" i="4" s="1"/>
  <c r="G476" i="14"/>
  <c r="M6" i="15"/>
  <c r="AM37" i="5"/>
  <c r="AM38" i="5" s="1"/>
  <c r="AM39" i="5" s="1"/>
  <c r="AM44" i="4" s="1"/>
  <c r="G477" i="14"/>
  <c r="N9" i="15"/>
  <c r="H480" i="14"/>
  <c r="M11" i="15"/>
  <c r="G482" i="14"/>
  <c r="L9" i="15"/>
  <c r="F480" i="14"/>
  <c r="M17" i="15"/>
  <c r="G488" i="14"/>
  <c r="N12" i="15"/>
  <c r="H483" i="14"/>
  <c r="L11" i="15"/>
  <c r="F482" i="14"/>
  <c r="F485" i="14"/>
  <c r="E489" i="14"/>
  <c r="C258" i="22" s="1"/>
  <c r="N18" i="15"/>
  <c r="H489" i="14"/>
  <c r="C261" i="22" s="1"/>
  <c r="M10" i="15"/>
  <c r="G481" i="14"/>
  <c r="N10" i="15"/>
  <c r="H481" i="14"/>
  <c r="L16" i="15"/>
  <c r="F487" i="14"/>
  <c r="L12" i="15"/>
  <c r="F483" i="14"/>
  <c r="M12" i="15"/>
  <c r="G483" i="14"/>
  <c r="M15" i="15"/>
  <c r="G486" i="14"/>
  <c r="N16" i="15"/>
  <c r="H487" i="14"/>
  <c r="N11" i="15"/>
  <c r="H482" i="14"/>
  <c r="M7" i="15"/>
  <c r="AN37" i="5"/>
  <c r="AN38" i="5" s="1"/>
  <c r="AN39" i="5" s="1"/>
  <c r="AN44" i="4" s="1"/>
  <c r="G478" i="14"/>
  <c r="N7" i="15"/>
  <c r="H478" i="14"/>
  <c r="M18" i="15"/>
  <c r="G489" i="14"/>
  <c r="C260" i="22" s="1"/>
  <c r="K15" i="15"/>
  <c r="E486" i="14"/>
  <c r="K11" i="15"/>
  <c r="E482" i="14"/>
  <c r="N8" i="15"/>
  <c r="H479" i="14"/>
  <c r="N17" i="15"/>
  <c r="H488" i="14"/>
  <c r="F479" i="14"/>
  <c r="M8" i="15"/>
  <c r="G479" i="14"/>
  <c r="M14" i="15"/>
  <c r="G485" i="14"/>
  <c r="N14" i="15"/>
  <c r="H485" i="14"/>
  <c r="C469" i="14"/>
  <c r="E487" i="14"/>
  <c r="L15" i="15"/>
  <c r="F486" i="14"/>
  <c r="C462" i="14"/>
  <c r="E480" i="14"/>
  <c r="M9" i="15"/>
  <c r="G480" i="14"/>
  <c r="C465" i="14"/>
  <c r="E483" i="14"/>
  <c r="M16" i="15"/>
  <c r="G487" i="14"/>
  <c r="N15" i="15"/>
  <c r="H486" i="14"/>
  <c r="K12" i="15"/>
  <c r="D459" i="14"/>
  <c r="C464" i="14"/>
  <c r="D465" i="14"/>
  <c r="K9" i="15"/>
  <c r="K16" i="15"/>
  <c r="C458" i="14"/>
  <c r="D464" i="14"/>
  <c r="D469" i="14"/>
  <c r="C468" i="14"/>
  <c r="D458" i="14"/>
  <c r="D468" i="14"/>
  <c r="D462" i="14"/>
  <c r="D460" i="14"/>
  <c r="L7" i="15"/>
  <c r="K10" i="15"/>
  <c r="C463" i="14"/>
  <c r="D461" i="14"/>
  <c r="L8" i="15"/>
  <c r="D470" i="14"/>
  <c r="L17" i="15"/>
  <c r="C461" i="14"/>
  <c r="K8" i="15"/>
  <c r="D467" i="14"/>
  <c r="L14" i="15"/>
  <c r="C470" i="14"/>
  <c r="K17" i="15"/>
  <c r="L10" i="15"/>
  <c r="D463" i="14"/>
  <c r="K18" i="15"/>
  <c r="C471" i="14"/>
  <c r="C460" i="14"/>
  <c r="K7" i="15"/>
  <c r="D471" i="14"/>
  <c r="L18" i="15"/>
  <c r="K14" i="15"/>
  <c r="C467" i="14"/>
  <c r="C478" i="14" l="1"/>
  <c r="G30" i="27"/>
  <c r="I30" i="27"/>
  <c r="I100" i="25"/>
  <c r="J100" i="25" s="1"/>
  <c r="G31" i="27"/>
  <c r="I31" i="27"/>
  <c r="G32" i="27"/>
  <c r="I32" i="27"/>
  <c r="C476" i="14"/>
  <c r="G21" i="27"/>
  <c r="I21" i="27"/>
  <c r="G33" i="27"/>
  <c r="I33" i="27"/>
  <c r="D442" i="14"/>
  <c r="C22" i="27"/>
  <c r="H22" i="27"/>
  <c r="I102" i="25"/>
  <c r="J102" i="25" s="1"/>
  <c r="S7" i="15"/>
  <c r="G73" i="15" s="1"/>
  <c r="C34" i="27"/>
  <c r="F34" i="27" s="1"/>
  <c r="H34" i="27"/>
  <c r="T5" i="15"/>
  <c r="H71" i="15" s="1"/>
  <c r="D479" i="14"/>
  <c r="F79" i="15"/>
  <c r="F75" i="15"/>
  <c r="F72" i="15"/>
  <c r="F77" i="15"/>
  <c r="F71" i="15"/>
  <c r="F82" i="15"/>
  <c r="F81" i="15"/>
  <c r="AL59" i="4"/>
  <c r="AL47" i="4"/>
  <c r="AM59" i="4"/>
  <c r="AM47" i="4"/>
  <c r="F78" i="15"/>
  <c r="AN59" i="4"/>
  <c r="AN47" i="4"/>
  <c r="D444" i="14"/>
  <c r="K37" i="5"/>
  <c r="K38" i="5" s="1"/>
  <c r="K39" i="5" s="1"/>
  <c r="K44" i="4" s="1"/>
  <c r="E445" i="14"/>
  <c r="F73" i="15"/>
  <c r="F80" i="15"/>
  <c r="E446" i="14"/>
  <c r="L37" i="5"/>
  <c r="L38" i="5" s="1"/>
  <c r="L39" i="5" s="1"/>
  <c r="L44" i="4" s="1"/>
  <c r="F76" i="15"/>
  <c r="F83" i="15"/>
  <c r="F84" i="15"/>
  <c r="F74" i="15"/>
  <c r="I101" i="25" l="1"/>
  <c r="J101" i="25" s="1"/>
  <c r="T6" i="15"/>
  <c r="C477" i="14"/>
  <c r="G34" i="27"/>
  <c r="I34" i="27"/>
  <c r="I103" i="25"/>
  <c r="J103" i="25" s="1"/>
  <c r="S9" i="15"/>
  <c r="G75" i="15" s="1"/>
  <c r="D480" i="14"/>
  <c r="AM62" i="4"/>
  <c r="AM48" i="4"/>
  <c r="K59" i="4"/>
  <c r="H92" i="4" s="1"/>
  <c r="G9" i="15" s="1"/>
  <c r="E75" i="15" s="1"/>
  <c r="K47" i="4"/>
  <c r="E25" i="27" s="1"/>
  <c r="F25" i="27" s="1"/>
  <c r="S10" i="15"/>
  <c r="G76" i="15" s="1"/>
  <c r="D481" i="14"/>
  <c r="AL62" i="4"/>
  <c r="AL48" i="4"/>
  <c r="L59" i="4"/>
  <c r="H93" i="4" s="1"/>
  <c r="G10" i="15" s="1"/>
  <c r="E76" i="15" s="1"/>
  <c r="L47" i="4"/>
  <c r="E26" i="27" s="1"/>
  <c r="F26" i="27" s="1"/>
  <c r="T8" i="15"/>
  <c r="C479" i="14"/>
  <c r="AN62" i="4"/>
  <c r="AN48" i="4"/>
  <c r="D445" i="14"/>
  <c r="D446" i="14"/>
  <c r="E447" i="14"/>
  <c r="M37" i="5"/>
  <c r="M38" i="5" s="1"/>
  <c r="M39" i="5" s="1"/>
  <c r="M44" i="4" s="1"/>
  <c r="G26" i="27" l="1"/>
  <c r="I26" i="27"/>
  <c r="G25" i="27"/>
  <c r="I25" i="27"/>
  <c r="I104" i="25"/>
  <c r="J104" i="25" s="1"/>
  <c r="I105" i="25"/>
  <c r="J105" i="25" s="1"/>
  <c r="T10" i="15"/>
  <c r="C481" i="14"/>
  <c r="K62" i="4"/>
  <c r="K48" i="4"/>
  <c r="M59" i="4"/>
  <c r="H94" i="4" s="1"/>
  <c r="G11" i="15" s="1"/>
  <c r="E77" i="15" s="1"/>
  <c r="M47" i="4"/>
  <c r="E27" i="27" s="1"/>
  <c r="F27" i="27" s="1"/>
  <c r="S11" i="15"/>
  <c r="G77" i="15" s="1"/>
  <c r="D482" i="14"/>
  <c r="L62" i="4"/>
  <c r="L48" i="4"/>
  <c r="T9" i="15"/>
  <c r="C480" i="14"/>
  <c r="D447" i="14"/>
  <c r="E448" i="14"/>
  <c r="N37" i="5"/>
  <c r="N38" i="5" s="1"/>
  <c r="N39" i="5" s="1"/>
  <c r="N44" i="4" s="1"/>
  <c r="G27" i="27" l="1"/>
  <c r="I27" i="27"/>
  <c r="I106" i="25"/>
  <c r="J106" i="25" s="1"/>
  <c r="K93" i="4"/>
  <c r="J10" i="15" s="1"/>
  <c r="H76" i="15" s="1"/>
  <c r="L44" i="18"/>
  <c r="S12" i="15"/>
  <c r="G78" i="15" s="1"/>
  <c r="D483" i="14"/>
  <c r="T11" i="15"/>
  <c r="C482" i="14"/>
  <c r="K92" i="4"/>
  <c r="J9" i="15" s="1"/>
  <c r="H75" i="15" s="1"/>
  <c r="L43" i="18"/>
  <c r="M62" i="4"/>
  <c r="M48" i="4"/>
  <c r="N59" i="4"/>
  <c r="H95" i="4" s="1"/>
  <c r="G12" i="15" s="1"/>
  <c r="E78" i="15" s="1"/>
  <c r="N47" i="4"/>
  <c r="E28" i="27" s="1"/>
  <c r="F28" i="27" s="1"/>
  <c r="D448" i="14"/>
  <c r="E449" i="14"/>
  <c r="O37" i="5"/>
  <c r="O38" i="5" s="1"/>
  <c r="O39" i="5" s="1"/>
  <c r="O44" i="4" s="1"/>
  <c r="G28" i="27" l="1"/>
  <c r="I28" i="27"/>
  <c r="G104" i="25"/>
  <c r="K104" i="25" s="1"/>
  <c r="E104" i="25"/>
  <c r="G105" i="25"/>
  <c r="K105" i="25" s="1"/>
  <c r="E105" i="25"/>
  <c r="I107" i="25"/>
  <c r="J107" i="25" s="1"/>
  <c r="T12" i="15"/>
  <c r="C483" i="14"/>
  <c r="O59" i="4"/>
  <c r="H96" i="4" s="1"/>
  <c r="G13" i="15" s="1"/>
  <c r="E79" i="15" s="1"/>
  <c r="O47" i="4"/>
  <c r="E29" i="27" s="1"/>
  <c r="F29" i="27" s="1"/>
  <c r="S13" i="15"/>
  <c r="G79" i="15" s="1"/>
  <c r="D484" i="14"/>
  <c r="N62" i="4"/>
  <c r="N48" i="4"/>
  <c r="K94" i="4"/>
  <c r="J11" i="15" s="1"/>
  <c r="H77" i="15" s="1"/>
  <c r="L45" i="18"/>
  <c r="D449" i="14"/>
  <c r="E450" i="14"/>
  <c r="G29" i="27" l="1"/>
  <c r="I29" i="27"/>
  <c r="G106" i="25"/>
  <c r="K106" i="25" s="1"/>
  <c r="E106" i="25"/>
  <c r="I108" i="25"/>
  <c r="J108" i="25" s="1"/>
  <c r="K95" i="4"/>
  <c r="J12" i="15" s="1"/>
  <c r="H78" i="15" s="1"/>
  <c r="L46" i="18"/>
  <c r="S14" i="15"/>
  <c r="G80" i="15" s="1"/>
  <c r="D485" i="14"/>
  <c r="O62" i="4"/>
  <c r="O48" i="4"/>
  <c r="T13" i="15"/>
  <c r="C484" i="14"/>
  <c r="D450" i="14"/>
  <c r="E451" i="14"/>
  <c r="G107" i="25" l="1"/>
  <c r="K107" i="25" s="1"/>
  <c r="E107" i="25"/>
  <c r="I109" i="25"/>
  <c r="J109" i="25" s="1"/>
  <c r="E109" i="25"/>
  <c r="K96" i="4"/>
  <c r="J13" i="15" s="1"/>
  <c r="H79" i="15" s="1"/>
  <c r="L47" i="18"/>
  <c r="S15" i="15"/>
  <c r="G81" i="15" s="1"/>
  <c r="D486" i="14"/>
  <c r="T14" i="15"/>
  <c r="H80" i="15" s="1"/>
  <c r="C485" i="14"/>
  <c r="D451" i="14"/>
  <c r="E452" i="14"/>
  <c r="I110" i="25" l="1"/>
  <c r="J110" i="25" s="1"/>
  <c r="E110" i="25"/>
  <c r="G108" i="25"/>
  <c r="K108" i="25" s="1"/>
  <c r="E108" i="25"/>
  <c r="S16" i="15"/>
  <c r="G82" i="15" s="1"/>
  <c r="D487" i="14"/>
  <c r="T15" i="15"/>
  <c r="H81" i="15" s="1"/>
  <c r="C486" i="14"/>
  <c r="D452" i="14"/>
  <c r="E453" i="14"/>
  <c r="I111" i="25" l="1"/>
  <c r="J111" i="25" s="1"/>
  <c r="E111" i="25"/>
  <c r="S17" i="15"/>
  <c r="G83" i="15" s="1"/>
  <c r="D488" i="14"/>
  <c r="T16" i="15"/>
  <c r="H82" i="15" s="1"/>
  <c r="C487" i="14"/>
  <c r="D453" i="14"/>
  <c r="E454" i="14"/>
  <c r="I112" i="25" l="1"/>
  <c r="J112" i="25" s="1"/>
  <c r="E112" i="25"/>
  <c r="T17" i="15"/>
  <c r="H83" i="15" s="1"/>
  <c r="C488" i="14"/>
  <c r="D489" i="14"/>
  <c r="C257" i="22" s="1"/>
  <c r="S18" i="15"/>
  <c r="G84" i="15" s="1"/>
  <c r="J84" i="15" s="1"/>
  <c r="D454" i="14"/>
  <c r="C242" i="22" s="1"/>
  <c r="C244" i="22" l="1"/>
  <c r="C243" i="22"/>
  <c r="G462" i="14"/>
  <c r="G461" i="14"/>
  <c r="J297" i="14" s="1"/>
  <c r="I113" i="25"/>
  <c r="E113" i="25"/>
  <c r="D257" i="22"/>
  <c r="D256" i="22"/>
  <c r="D252" i="22"/>
  <c r="D255" i="22"/>
  <c r="D253" i="22"/>
  <c r="D261" i="22"/>
  <c r="D254" i="22"/>
  <c r="D260" i="22"/>
  <c r="D258" i="22"/>
  <c r="D259" i="22"/>
  <c r="C489" i="14"/>
  <c r="T18" i="15"/>
  <c r="G466" i="14" l="1"/>
  <c r="J302" i="14" s="1"/>
  <c r="J298" i="14"/>
  <c r="C246" i="22"/>
  <c r="D246" i="22" s="1"/>
  <c r="D244" i="22"/>
  <c r="G464" i="14"/>
  <c r="J300" i="14" s="1"/>
  <c r="G465" i="14"/>
  <c r="J301" i="14" s="1"/>
  <c r="G463" i="14"/>
  <c r="J299" i="14" s="1"/>
  <c r="J113" i="25"/>
  <c r="I114" i="25"/>
  <c r="C275" i="22"/>
  <c r="C277" i="22"/>
  <c r="C270" i="22"/>
  <c r="C272" i="22"/>
  <c r="H84" i="15"/>
  <c r="K84" i="15" s="1"/>
  <c r="C265" i="22"/>
  <c r="D265" i="22" l="1"/>
  <c r="D267" i="22"/>
  <c r="D266" i="22"/>
  <c r="J37" i="5" l="1"/>
  <c r="J38" i="5" s="1"/>
  <c r="J39" i="5" s="1"/>
  <c r="J44" i="4" s="1"/>
  <c r="H37" i="5"/>
  <c r="H38" i="5" s="1"/>
  <c r="H39" i="5" s="1"/>
  <c r="H44" i="4" s="1"/>
  <c r="H47" i="4" l="1"/>
  <c r="H59" i="4"/>
  <c r="H89" i="4" s="1"/>
  <c r="G6" i="15" s="1"/>
  <c r="E72" i="15" s="1"/>
  <c r="J59" i="4"/>
  <c r="H91" i="4" s="1"/>
  <c r="G8" i="15" s="1"/>
  <c r="E74" i="15" s="1"/>
  <c r="J47" i="4"/>
  <c r="I37" i="5"/>
  <c r="I38" i="5" s="1"/>
  <c r="I39" i="5" s="1"/>
  <c r="I44" i="4" s="1"/>
  <c r="J48" i="4" l="1"/>
  <c r="J62" i="4"/>
  <c r="E24" i="27"/>
  <c r="F24" i="27" s="1"/>
  <c r="I59" i="4"/>
  <c r="H90" i="4" s="1"/>
  <c r="G7" i="15" s="1"/>
  <c r="E73" i="15" s="1"/>
  <c r="I47" i="4"/>
  <c r="E22" i="27"/>
  <c r="F22" i="27" s="1"/>
  <c r="H48" i="4"/>
  <c r="H62" i="4"/>
  <c r="L40" i="18" l="1"/>
  <c r="K89" i="4"/>
  <c r="J6" i="15" s="1"/>
  <c r="H72" i="15" s="1"/>
  <c r="G22" i="27"/>
  <c r="I22" i="27"/>
  <c r="G24" i="27"/>
  <c r="I24" i="27"/>
  <c r="K91" i="4"/>
  <c r="J8" i="15" s="1"/>
  <c r="H74" i="15" s="1"/>
  <c r="L42" i="18"/>
  <c r="E23" i="27"/>
  <c r="F23" i="27" s="1"/>
  <c r="I62" i="4"/>
  <c r="I48" i="4"/>
  <c r="E103" i="25" l="1"/>
  <c r="G103" i="25"/>
  <c r="K103" i="25" s="1"/>
  <c r="L41" i="18"/>
  <c r="K90" i="4"/>
  <c r="J7" i="15" s="1"/>
  <c r="H73" i="15" s="1"/>
  <c r="G23" i="27"/>
  <c r="I23" i="27"/>
  <c r="E101" i="25"/>
  <c r="G101" i="25"/>
  <c r="K101" i="25" s="1"/>
  <c r="G102" i="25" l="1"/>
  <c r="K102" i="25" s="1"/>
  <c r="E102"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Koebrich, Sam</author>
  </authors>
  <commentList>
    <comment ref="F14" authorId="0" shapeId="0" xr:uid="{6E3B3D2B-5CD7-4B61-B8D8-90BE15604F78}">
      <text>
        <r>
          <rPr>
            <b/>
            <sz val="9"/>
            <color indexed="81"/>
            <rFont val="Tahoma"/>
            <family val="2"/>
          </rPr>
          <t>Koebrich, Sam:</t>
        </r>
        <r>
          <rPr>
            <sz val="9"/>
            <color indexed="81"/>
            <rFont val="Tahoma"/>
            <family val="2"/>
          </rPr>
          <t xml:space="preserve">
http://www.pnas.org/content/pnas/early/2015/04/22/1423558112.full.pdf
</t>
        </r>
      </text>
    </comment>
    <comment ref="E50" authorId="0" shapeId="0" xr:uid="{6FD7BFFB-EC4D-4721-B7F0-772C9DD2BFA6}">
      <text>
        <r>
          <rPr>
            <b/>
            <sz val="9"/>
            <color indexed="81"/>
            <rFont val="Tahoma"/>
            <family val="2"/>
          </rPr>
          <t>Koebrich, Sam:</t>
        </r>
        <r>
          <rPr>
            <sz val="9"/>
            <color indexed="81"/>
            <rFont val="Tahoma"/>
            <family val="2"/>
          </rPr>
          <t xml:space="preserve">
9.9% is the </t>
        </r>
        <r>
          <rPr>
            <i/>
            <sz val="9"/>
            <color indexed="81"/>
            <rFont val="Tahoma"/>
            <family val="2"/>
          </rPr>
          <t>billed relative</t>
        </r>
        <r>
          <rPr>
            <sz val="9"/>
            <color indexed="81"/>
            <rFont val="Tahoma"/>
            <family val="2"/>
          </rPr>
          <t xml:space="preserve"> equivalent of Tonga's 9% </t>
        </r>
        <r>
          <rPr>
            <i/>
            <sz val="9"/>
            <color indexed="81"/>
            <rFont val="Tahoma"/>
            <family val="2"/>
          </rPr>
          <t>generation relative</t>
        </r>
        <r>
          <rPr>
            <sz val="9"/>
            <color indexed="81"/>
            <rFont val="Tahoma"/>
            <family val="2"/>
          </rPr>
          <t xml:space="preserve"> goal by 2020, as expressed in Tonga's INDC.
</t>
        </r>
      </text>
    </comment>
    <comment ref="F62" authorId="0" shapeId="0" xr:uid="{35A211A6-9641-44AF-86C6-FD0838F7392A}">
      <text>
        <r>
          <rPr>
            <b/>
            <sz val="9"/>
            <color indexed="81"/>
            <rFont val="Tahoma"/>
            <family val="2"/>
          </rPr>
          <t>Koebrich, Sam:</t>
        </r>
        <r>
          <rPr>
            <sz val="9"/>
            <color indexed="81"/>
            <rFont val="Tahoma"/>
            <family val="2"/>
          </rPr>
          <t xml:space="preserve">
http://www.tongapower.to/Portals/2/Docs/Final%20AR_201617.pdf
</t>
        </r>
      </text>
    </comment>
    <comment ref="B68" authorId="0" shapeId="0" xr:uid="{EB4E4A0F-E931-46DB-BCE4-5003622FDB88}">
      <text>
        <r>
          <rPr>
            <b/>
            <sz val="9"/>
            <color rgb="FF000000"/>
            <rFont val="Tahoma"/>
            <family val="2"/>
          </rPr>
          <t>Koebrich, Sam:</t>
        </r>
        <r>
          <rPr>
            <sz val="9"/>
            <color rgb="FF000000"/>
            <rFont val="Tahoma"/>
            <family val="2"/>
          </rPr>
          <t xml:space="preserve">
</t>
        </r>
        <r>
          <rPr>
            <sz val="9"/>
            <color rgb="FF000000"/>
            <rFont val="Tahoma"/>
            <family val="2"/>
          </rPr>
          <t xml:space="preserve">http://prdrse4all.spc.int/system/files/11pb_the_costs_and_benefits_of_introducing_standards_and_labels_for_electrical_appliances_in_pics.pdf
</t>
        </r>
        <r>
          <rPr>
            <sz val="9"/>
            <color rgb="FF000000"/>
            <rFont val="Tahoma"/>
            <family val="2"/>
          </rPr>
          <t xml:space="preserve">
</t>
        </r>
      </text>
    </comment>
    <comment ref="B70" authorId="0" shapeId="0" xr:uid="{B6C51FD1-12B6-4C96-A751-49EED83E5FA3}">
      <text>
        <r>
          <rPr>
            <b/>
            <sz val="9"/>
            <color rgb="FF000000"/>
            <rFont val="Tahoma"/>
            <family val="2"/>
          </rPr>
          <t>Koebrich, Sam:</t>
        </r>
        <r>
          <rPr>
            <sz val="9"/>
            <color rgb="FF000000"/>
            <rFont val="Tahoma"/>
            <family val="2"/>
          </rPr>
          <t xml:space="preserve">
</t>
        </r>
        <r>
          <rPr>
            <sz val="9"/>
            <color rgb="FF000000"/>
            <rFont val="Tahoma"/>
            <family val="2"/>
          </rPr>
          <t>https://www.researchgate.net/publication/308939349_Energy_Efficiency_The_Implementation_of_Minimum_Energy_Performance_Standard_MEPS_Application_on_Home_Appliances_for_Residential</t>
        </r>
      </text>
    </comment>
    <comment ref="D70" authorId="0" shapeId="0" xr:uid="{6A28CE5E-A44E-43F6-855B-A3E070687FDC}">
      <text>
        <r>
          <rPr>
            <b/>
            <sz val="9"/>
            <color rgb="FF000000"/>
            <rFont val="Tahoma"/>
            <family val="2"/>
          </rPr>
          <t>Koebrich, Sam:</t>
        </r>
        <r>
          <rPr>
            <sz val="9"/>
            <color rgb="FF000000"/>
            <rFont val="Tahoma"/>
            <family val="2"/>
          </rPr>
          <t xml:space="preserve">
</t>
        </r>
        <r>
          <rPr>
            <sz val="9"/>
            <color rgb="FF000000"/>
            <rFont val="Tahoma"/>
            <family val="2"/>
          </rPr>
          <t>https://www.researchgate.net/publication/308939349_Energy_Efficiency_The_Implementation_of_Minimum_Energy_Performance_Standard_MEPS_Application_on_Home_Appliances_for_Residential</t>
        </r>
      </text>
    </comment>
    <comment ref="E70" authorId="0" shapeId="0" xr:uid="{6EAA6934-1C1C-4EAC-84D7-AFA564DEEADF}">
      <text>
        <r>
          <rPr>
            <b/>
            <sz val="9"/>
            <color rgb="FF000000"/>
            <rFont val="Tahoma"/>
            <family val="2"/>
          </rPr>
          <t>Koebrich, Sam:</t>
        </r>
        <r>
          <rPr>
            <sz val="9"/>
            <color rgb="FF000000"/>
            <rFont val="Tahoma"/>
            <family val="2"/>
          </rPr>
          <t xml:space="preserve">
</t>
        </r>
        <r>
          <rPr>
            <sz val="9"/>
            <color rgb="FF000000"/>
            <rFont val="Tahoma"/>
            <family val="2"/>
          </rPr>
          <t>https://www.researchgate.net/publication/308939349_Energy_Efficiency_The_Implementation_of_Minimum_Energy_Performance_Standard_MEPS_Application_on_Home_Appliances_for_Residential</t>
        </r>
      </text>
    </comment>
    <comment ref="F70" authorId="0" shapeId="0" xr:uid="{0D6051C6-4A1B-49C4-B7D3-D61FAB5FE7B4}">
      <text>
        <r>
          <rPr>
            <b/>
            <sz val="9"/>
            <color rgb="FF000000"/>
            <rFont val="Tahoma"/>
            <family val="2"/>
          </rPr>
          <t>Koebrich, Sam:</t>
        </r>
        <r>
          <rPr>
            <sz val="9"/>
            <color rgb="FF000000"/>
            <rFont val="Tahoma"/>
            <family val="2"/>
          </rPr>
          <t xml:space="preserve">
</t>
        </r>
        <r>
          <rPr>
            <sz val="9"/>
            <color rgb="FF000000"/>
            <rFont val="Tahoma"/>
            <family val="2"/>
          </rPr>
          <t>https://www.researchgate.net/publication/308939349_Energy_Efficiency_The_Implementation_of_Minimum_Energy_Performance_Standard_MEPS_Application_on_Home_Appliances_for_Residential</t>
        </r>
      </text>
    </comment>
    <comment ref="J70" authorId="0" shapeId="0" xr:uid="{C98F9620-9EE7-49FF-ADDC-2C104B7CE3E2}">
      <text>
        <r>
          <rPr>
            <b/>
            <sz val="9"/>
            <color indexed="81"/>
            <rFont val="Tahoma"/>
            <family val="2"/>
          </rPr>
          <t>Koebrich, Sam:</t>
        </r>
        <r>
          <rPr>
            <sz val="9"/>
            <color indexed="81"/>
            <rFont val="Tahoma"/>
            <family val="2"/>
          </rPr>
          <t xml:space="preserve">
https://ris.pmc.gov.au/sites/default/files/posts/2013/06/energy-performance-standards-and-energy-labelling-for-computer-monitors-RIS.pdf</t>
        </r>
      </text>
    </comment>
    <comment ref="K70" authorId="0" shapeId="0" xr:uid="{1FF142F4-4A46-4328-8D6A-8AFA9666E1AC}">
      <text>
        <r>
          <rPr>
            <b/>
            <sz val="9"/>
            <color rgb="FF000000"/>
            <rFont val="Tahoma"/>
            <family val="2"/>
          </rPr>
          <t>Koebrich, Sam:</t>
        </r>
        <r>
          <rPr>
            <sz val="9"/>
            <color rgb="FF000000"/>
            <rFont val="Tahoma"/>
            <family val="2"/>
          </rPr>
          <t xml:space="preserve">
</t>
        </r>
        <r>
          <rPr>
            <sz val="9"/>
            <color rgb="FF000000"/>
            <rFont val="Tahoma"/>
            <family val="2"/>
          </rPr>
          <t>http://prdrse4all.spc.int/sites/default/files/energy_labelling_and_minimum_energy_performance_standards_for_appliances_and_lighting-impacts_in_ci.fj_.ki_.sa_.to_.va_.pdf</t>
        </r>
      </text>
    </comment>
    <comment ref="B73" authorId="0" shapeId="0" xr:uid="{0B08DF93-0986-45FC-974A-85E297C53F1C}">
      <text>
        <r>
          <rPr>
            <b/>
            <sz val="9"/>
            <color rgb="FF000000"/>
            <rFont val="Tahoma"/>
            <family val="2"/>
          </rPr>
          <t>Koebrich, Sam:</t>
        </r>
        <r>
          <rPr>
            <sz val="9"/>
            <color rgb="FF000000"/>
            <rFont val="Tahoma"/>
            <family val="2"/>
          </rPr>
          <t xml:space="preserve">
</t>
        </r>
        <r>
          <rPr>
            <sz val="9"/>
            <color rgb="FF000000"/>
            <rFont val="Tahoma"/>
            <family val="2"/>
          </rPr>
          <t xml:space="preserve">https://www.researchgate.net/publication/308939349_Energy_Efficiency_The_Implementation_of_Minimum_Energy_Performance_Standard_MEPS_Application_on_Home_Appliances_for_Residential
</t>
        </r>
      </text>
    </comment>
    <comment ref="D73" authorId="0" shapeId="0" xr:uid="{0CD289D5-84F1-4FF4-BD70-C280A7A7B10A}">
      <text>
        <r>
          <rPr>
            <b/>
            <sz val="9"/>
            <color rgb="FF000000"/>
            <rFont val="Tahoma"/>
            <family val="2"/>
          </rPr>
          <t>Koebrich, Sam:</t>
        </r>
        <r>
          <rPr>
            <sz val="9"/>
            <color rgb="FF000000"/>
            <rFont val="Tahoma"/>
            <family val="2"/>
          </rPr>
          <t xml:space="preserve">
</t>
        </r>
        <r>
          <rPr>
            <sz val="9"/>
            <color rgb="FF000000"/>
            <rFont val="Tahoma"/>
            <family val="2"/>
          </rPr>
          <t xml:space="preserve">https://www.researchgate.net/publication/308939349_Energy_Efficiency_The_Implementation_of_Minimum_Energy_Performance_Standard_MEPS_Application_on_Home_Appliances_for_Residential
</t>
        </r>
      </text>
    </comment>
    <comment ref="E73" authorId="0" shapeId="0" xr:uid="{57F9A1E8-84C1-4BF9-8ADF-8C988B779610}">
      <text>
        <r>
          <rPr>
            <b/>
            <sz val="9"/>
            <color rgb="FF000000"/>
            <rFont val="Tahoma"/>
            <family val="2"/>
          </rPr>
          <t>Koebrich, Sam:</t>
        </r>
        <r>
          <rPr>
            <sz val="9"/>
            <color rgb="FF000000"/>
            <rFont val="Tahoma"/>
            <family val="2"/>
          </rPr>
          <t xml:space="preserve">
</t>
        </r>
        <r>
          <rPr>
            <sz val="9"/>
            <color rgb="FF000000"/>
            <rFont val="Tahoma"/>
            <family val="2"/>
          </rPr>
          <t>https://www.researchgate.net/publication/308939349_Energy_Efficiency_The_Implementation_of_Minimum_Energy_Performance_Standard_MEPS_Application_on_Home_Appliances_for_Residential</t>
        </r>
      </text>
    </comment>
    <comment ref="J73" authorId="0" shapeId="0" xr:uid="{90B0B0B7-F532-4E9C-99E1-A8C6D9C9151C}">
      <text>
        <r>
          <rPr>
            <b/>
            <sz val="9"/>
            <color rgb="FF000000"/>
            <rFont val="Tahoma"/>
            <family val="2"/>
          </rPr>
          <t>Koebrich, Sam:</t>
        </r>
        <r>
          <rPr>
            <sz val="9"/>
            <color rgb="FF000000"/>
            <rFont val="Tahoma"/>
            <family val="2"/>
          </rPr>
          <t xml:space="preserve">
</t>
        </r>
        <r>
          <rPr>
            <sz val="9"/>
            <color rgb="FF000000"/>
            <rFont val="Tahoma"/>
            <family val="2"/>
          </rPr>
          <t>https://ris.pmc.gov.au/sites/default/files/posts/2013/06/energy-performance-standards-and-energy-labelling-for-computer-monitors-RIS.pdf</t>
        </r>
      </text>
    </comment>
    <comment ref="H81" authorId="0" shapeId="0" xr:uid="{575480A6-A975-4EC9-A099-81EE87ED3100}">
      <text>
        <r>
          <rPr>
            <b/>
            <sz val="9"/>
            <color rgb="FF000000"/>
            <rFont val="Tahoma"/>
            <family val="2"/>
          </rPr>
          <t>Koebrich, Sam:</t>
        </r>
        <r>
          <rPr>
            <sz val="9"/>
            <color rgb="FF000000"/>
            <rFont val="Tahoma"/>
            <family val="2"/>
          </rPr>
          <t xml:space="preserve">
</t>
        </r>
        <r>
          <rPr>
            <sz val="9"/>
            <color rgb="FF000000"/>
            <rFont val="Tahoma"/>
            <family val="2"/>
          </rPr>
          <t>http://www.ee-pacific.net/index.php/database/country-information/tonga</t>
        </r>
      </text>
    </comment>
    <comment ref="I83" authorId="0" shapeId="0" xr:uid="{87256284-E39A-4F3C-82E9-9E16A9A652AB}">
      <text>
        <r>
          <rPr>
            <b/>
            <sz val="9"/>
            <color rgb="FF000000"/>
            <rFont val="Tahoma"/>
            <family val="2"/>
          </rPr>
          <t>Koebrich, Sam:</t>
        </r>
        <r>
          <rPr>
            <sz val="9"/>
            <color rgb="FF000000"/>
            <rFont val="Tahoma"/>
            <family val="2"/>
          </rPr>
          <t xml:space="preserve">
</t>
        </r>
        <r>
          <rPr>
            <sz val="9"/>
            <color rgb="FF000000"/>
            <rFont val="Tahoma"/>
            <family val="2"/>
          </rPr>
          <t xml:space="preserve">Estimating that 4% of commercial load is hotels, and that green programs could have a 18
</t>
        </r>
        <r>
          <rPr>
            <sz val="9"/>
            <color rgb="FF000000"/>
            <rFont val="Tahoma"/>
            <family val="2"/>
          </rPr>
          <t xml:space="preserve">% impact
</t>
        </r>
      </text>
    </comment>
    <comment ref="I90" authorId="0" shapeId="0" xr:uid="{573C5634-690D-4510-BDAB-2B98FA3A0222}">
      <text>
        <r>
          <rPr>
            <b/>
            <sz val="9"/>
            <color indexed="81"/>
            <rFont val="Tahoma"/>
            <family val="2"/>
          </rPr>
          <t>Koebrich, Sam:</t>
        </r>
        <r>
          <rPr>
            <sz val="9"/>
            <color indexed="81"/>
            <rFont val="Tahoma"/>
            <family val="2"/>
          </rPr>
          <t xml:space="preserve">
Assuming 20% of office equipment load is CRT monitors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Koebrich, Sam</author>
  </authors>
  <commentList>
    <comment ref="G3" authorId="0" shapeId="0" xr:uid="{A76C61A6-21EE-47E3-924D-B952E9DD0C29}">
      <text>
        <r>
          <rPr>
            <b/>
            <sz val="9"/>
            <color rgb="FF000000"/>
            <rFont val="Tahoma"/>
            <family val="2"/>
          </rPr>
          <t>Koebrich, Sam:</t>
        </r>
        <r>
          <rPr>
            <sz val="9"/>
            <color rgb="FF000000"/>
            <rFont val="Tahoma"/>
            <family val="2"/>
          </rPr>
          <t xml:space="preserve">
</t>
        </r>
        <r>
          <rPr>
            <sz val="9"/>
            <color rgb="FF000000"/>
            <rFont val="Tahoma"/>
            <family val="2"/>
          </rPr>
          <t xml:space="preserve">2015/2016 HIES Report
</t>
        </r>
        <r>
          <rPr>
            <sz val="9"/>
            <color rgb="FF000000"/>
            <rFont val="Tahoma"/>
            <family val="2"/>
          </rPr>
          <t xml:space="preserve">
</t>
        </r>
      </text>
    </comment>
    <comment ref="G4" authorId="0" shapeId="0" xr:uid="{CD390E9C-BDCC-42F6-A9B1-759250414C6B}">
      <text>
        <r>
          <rPr>
            <b/>
            <sz val="9"/>
            <color rgb="FF000000"/>
            <rFont val="Tahoma"/>
            <family val="2"/>
          </rPr>
          <t>Koebrich, Sam:</t>
        </r>
        <r>
          <rPr>
            <sz val="9"/>
            <color rgb="FF000000"/>
            <rFont val="Tahoma"/>
            <family val="2"/>
          </rPr>
          <t xml:space="preserve">
</t>
        </r>
        <r>
          <rPr>
            <sz val="9"/>
            <color rgb="FF000000"/>
            <rFont val="Tahoma"/>
            <family val="2"/>
          </rPr>
          <t xml:space="preserve">http://www.tongapower.to/Portals/2/Docs/Final%20AR_201617.pdf
</t>
        </r>
        <r>
          <rPr>
            <sz val="9"/>
            <color rgb="FF000000"/>
            <rFont val="Tahoma"/>
            <family val="2"/>
          </rPr>
          <t xml:space="preserve">
</t>
        </r>
      </text>
    </comment>
    <comment ref="B6" authorId="0" shapeId="0" xr:uid="{E7D11F0A-88F5-4CB0-8628-08D312D3E810}">
      <text>
        <r>
          <rPr>
            <b/>
            <sz val="9"/>
            <color indexed="81"/>
            <rFont val="Tahoma"/>
            <family val="2"/>
          </rPr>
          <t>Koebrich, Sam:</t>
        </r>
        <r>
          <rPr>
            <sz val="9"/>
            <color indexed="81"/>
            <rFont val="Tahoma"/>
            <family val="2"/>
          </rPr>
          <t xml:space="preserve">
http://doc.as.gov/wp-content/uploads/2017/01/American-Samoa-2015-Household-Income-and-Expenditure-Report.pdf
</t>
        </r>
      </text>
    </comment>
    <comment ref="B10" authorId="0" shapeId="0" xr:uid="{407F8F19-53CE-4119-9183-403AFA6FAD84}">
      <text>
        <r>
          <rPr>
            <b/>
            <sz val="9"/>
            <color indexed="81"/>
            <rFont val="Tahoma"/>
            <family val="2"/>
          </rPr>
          <t>Koebrich, Sam:</t>
        </r>
        <r>
          <rPr>
            <sz val="9"/>
            <color indexed="81"/>
            <rFont val="Tahoma"/>
            <family val="2"/>
          </rPr>
          <t xml:space="preserve">
https://s3.amazonaws.com/clasp-siteattachments/1996-12_PacificIslandLabelsMEPS.pdf</t>
        </r>
      </text>
    </comment>
    <comment ref="F15" authorId="0" shapeId="0" xr:uid="{D0757230-7863-4E6D-B1B3-6C99AE102AE5}">
      <text>
        <r>
          <rPr>
            <b/>
            <sz val="9"/>
            <color indexed="81"/>
            <rFont val="Tahoma"/>
            <family val="2"/>
          </rPr>
          <t>Koebrich, Sam:</t>
        </r>
        <r>
          <rPr>
            <sz val="9"/>
            <color indexed="81"/>
            <rFont val="Tahoma"/>
            <family val="2"/>
          </rPr>
          <t xml:space="preserve">
http://prdrse4all.spc.int/sites/default/files/energy_labelling_and_minimum_energy_performance_standards_for_appliances_and_lighting-impacts_in_ci.fj_.ki_.sa_.to_.va_.pdf</t>
        </r>
      </text>
    </comment>
    <comment ref="F16" authorId="0" shapeId="0" xr:uid="{A8B62EDC-51FB-4235-B18B-AEC48235B55B}">
      <text>
        <r>
          <rPr>
            <b/>
            <sz val="9"/>
            <color indexed="81"/>
            <rFont val="Tahoma"/>
            <family val="2"/>
          </rPr>
          <t>Koebrich, Sam:</t>
        </r>
        <r>
          <rPr>
            <sz val="9"/>
            <color indexed="81"/>
            <rFont val="Tahoma"/>
            <family val="2"/>
          </rPr>
          <t xml:space="preserve">
based on appliance growth projection
</t>
        </r>
      </text>
    </comment>
    <comment ref="D19" authorId="0" shapeId="0" xr:uid="{80BA9CBF-557A-431B-91B2-389A7EA6595F}">
      <text>
        <r>
          <rPr>
            <b/>
            <sz val="9"/>
            <color indexed="81"/>
            <rFont val="Tahoma"/>
            <family val="2"/>
          </rPr>
          <t>Koebrich, Sam:</t>
        </r>
        <r>
          <rPr>
            <sz val="9"/>
            <color indexed="81"/>
            <rFont val="Tahoma"/>
            <family val="2"/>
          </rPr>
          <t xml:space="preserve">
http://prdrse4all.spc.int/system/files/led_streetlight_performance_report.pdf</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Koebrich, Sam</author>
  </authors>
  <commentList>
    <comment ref="B29" authorId="0" shapeId="0" xr:uid="{13F84A5A-FDD5-427A-AA14-6760A14D488F}">
      <text>
        <r>
          <rPr>
            <b/>
            <sz val="9"/>
            <color indexed="81"/>
            <rFont val="Tahoma"/>
            <family val="2"/>
          </rPr>
          <t>Koebrich, Sam:</t>
        </r>
        <r>
          <rPr>
            <sz val="9"/>
            <color indexed="81"/>
            <rFont val="Tahoma"/>
            <family val="2"/>
          </rPr>
          <t xml:space="preserve">
http://doc.as.gov/wp-content/uploads/2017/01/American-Samoa-2015-Household-Income-and-Expenditure-Report.pdf
</t>
        </r>
      </text>
    </comment>
    <comment ref="B34" authorId="0" shapeId="0" xr:uid="{05B1150E-40F1-485A-9869-81BEBB1F3827}">
      <text>
        <r>
          <rPr>
            <b/>
            <sz val="9"/>
            <color rgb="FF000000"/>
            <rFont val="Tahoma"/>
            <family val="2"/>
          </rPr>
          <t>Koebrich, Sam:</t>
        </r>
        <r>
          <rPr>
            <sz val="9"/>
            <color rgb="FF000000"/>
            <rFont val="Tahoma"/>
            <family val="2"/>
          </rPr>
          <t xml:space="preserve">
</t>
        </r>
        <r>
          <rPr>
            <sz val="9"/>
            <color rgb="FF000000"/>
            <rFont val="Tahoma"/>
            <family val="2"/>
          </rPr>
          <t xml:space="preserve">http://prdrse4all.spc.int/system/files/11pb_the_costs_and_benefits_of_introducing_standards_and_labels_for_electrical_appliances_in_pics.pdf
</t>
        </r>
        <r>
          <rPr>
            <sz val="9"/>
            <color rgb="FF000000"/>
            <rFont val="Tahoma"/>
            <family val="2"/>
          </rPr>
          <t xml:space="preserve">
</t>
        </r>
      </text>
    </comment>
    <comment ref="E99" authorId="0" shapeId="0" xr:uid="{BBE753B1-A43B-445E-9297-E254D1EE4456}">
      <text>
        <r>
          <rPr>
            <b/>
            <sz val="9"/>
            <color indexed="81"/>
            <rFont val="Tahoma"/>
            <family val="2"/>
          </rPr>
          <t>Koebrich, Sam:</t>
        </r>
        <r>
          <rPr>
            <sz val="9"/>
            <color indexed="81"/>
            <rFont val="Tahoma"/>
            <family val="2"/>
          </rPr>
          <t xml:space="preserve">
http://prdrse4all.spc.int/system/files/led_streetlight_performance_report.pdf
</t>
        </r>
      </text>
    </comment>
    <comment ref="E105" authorId="0" shapeId="0" xr:uid="{725E4451-3406-46E5-9BE4-231E338030B8}">
      <text>
        <r>
          <rPr>
            <b/>
            <sz val="9"/>
            <color indexed="81"/>
            <rFont val="Tahoma"/>
            <family val="2"/>
          </rPr>
          <t>Koebrich, Sam:</t>
        </r>
        <r>
          <rPr>
            <sz val="9"/>
            <color indexed="81"/>
            <rFont val="Tahoma"/>
            <family val="2"/>
          </rPr>
          <t xml:space="preserve">
http://www.iiec.org/iiec-knowledge-products/636-iiec-successfully-implements-the-largest-energy-efficiency-project-in-the-south-pacific
</t>
        </r>
      </text>
    </comment>
    <comment ref="E110" authorId="0" shapeId="0" xr:uid="{52AA6559-EF1F-425A-8185-ED79C2DE8117}">
      <text>
        <r>
          <rPr>
            <b/>
            <sz val="9"/>
            <color indexed="81"/>
            <rFont val="Tahoma"/>
            <family val="2"/>
          </rPr>
          <t>Koebrich, Sam:</t>
        </r>
        <r>
          <rPr>
            <sz val="9"/>
            <color indexed="81"/>
            <rFont val="Tahoma"/>
            <family val="2"/>
          </rPr>
          <t xml:space="preserve">
https://www.astae.net/sites/astae/files/publication/Tonga-Electric-Supply-System-Forecasts%5B1%5D.pdf
</t>
        </r>
      </text>
    </comment>
    <comment ref="E114" authorId="0" shapeId="0" xr:uid="{E264CA8F-246D-4DD3-A494-F081036878FA}">
      <text>
        <r>
          <rPr>
            <b/>
            <sz val="9"/>
            <color indexed="81"/>
            <rFont val="Tahoma"/>
            <family val="2"/>
          </rPr>
          <t>Koebrich, Sam:</t>
        </r>
        <r>
          <rPr>
            <sz val="9"/>
            <color indexed="81"/>
            <rFont val="Tahoma"/>
            <family val="2"/>
          </rPr>
          <t xml:space="preserve">
http://www.tongapower.to/Portals/2/Docs/Final%20AR_201617.pdf
</t>
        </r>
      </text>
    </comment>
    <comment ref="F141" authorId="0" shapeId="0" xr:uid="{4D815AE3-96E7-42A6-9103-5BB200655246}">
      <text>
        <r>
          <rPr>
            <b/>
            <sz val="9"/>
            <color indexed="81"/>
            <rFont val="Tahoma"/>
            <family val="2"/>
          </rPr>
          <t>Koebrich, Sam:</t>
        </r>
        <r>
          <rPr>
            <sz val="9"/>
            <color indexed="81"/>
            <rFont val="Tahoma"/>
            <family val="2"/>
          </rPr>
          <t xml:space="preserve">
combining with Misc Equipment
</t>
        </r>
      </text>
    </comment>
    <comment ref="C229" authorId="0" shapeId="0" xr:uid="{5D578D09-ADBE-4722-8014-6B5077ED4FFD}">
      <text>
        <r>
          <rPr>
            <b/>
            <sz val="9"/>
            <color indexed="81"/>
            <rFont val="Tahoma"/>
            <family val="2"/>
          </rPr>
          <t>Koebrich, Sam:</t>
        </r>
        <r>
          <rPr>
            <sz val="9"/>
            <color indexed="81"/>
            <rFont val="Tahoma"/>
            <family val="2"/>
          </rPr>
          <t xml:space="preserve">
https://s3.amazonaws.com/clasp-siteattachments/1996-12_PacificIslandLabelsMEPS.pdf</t>
        </r>
      </text>
    </comment>
    <comment ref="E402" authorId="0" shapeId="0" xr:uid="{44B75384-D2E0-43B0-BB4A-19835CF08F49}">
      <text>
        <r>
          <rPr>
            <b/>
            <sz val="9"/>
            <color rgb="FF000000"/>
            <rFont val="Tahoma"/>
            <family val="2"/>
          </rPr>
          <t>Koebrich, Sam:</t>
        </r>
        <r>
          <rPr>
            <sz val="9"/>
            <color rgb="FF000000"/>
            <rFont val="Tahoma"/>
            <family val="2"/>
          </rPr>
          <t xml:space="preserve">
</t>
        </r>
        <r>
          <rPr>
            <sz val="9"/>
            <color rgb="FF000000"/>
            <rFont val="Tahoma"/>
            <family val="2"/>
          </rPr>
          <t xml:space="preserve">http://www.tongapower.to/Portals/2/Docs/Final%20AR_201617.pdf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Koebrich, Sam</author>
  </authors>
  <commentList>
    <comment ref="L6" authorId="0" shapeId="0" xr:uid="{21BC8937-B232-4A44-B2E0-589911BF087B}">
      <text>
        <r>
          <rPr>
            <b/>
            <sz val="10"/>
            <color rgb="FF000000"/>
            <rFont val="Tahoma"/>
            <family val="2"/>
          </rPr>
          <t>Koebrich, Sam:</t>
        </r>
        <r>
          <rPr>
            <sz val="10"/>
            <color rgb="FF000000"/>
            <rFont val="Tahoma"/>
            <family val="2"/>
          </rPr>
          <t xml:space="preserve">
</t>
        </r>
        <r>
          <rPr>
            <sz val="10"/>
            <color rgb="FF000000"/>
            <rFont val="Tahoma"/>
            <family val="2"/>
          </rPr>
          <t>https://www.extension.iastate.edu/agdm/wholefarm/pdf/c6-87.pdf</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Caley</author>
  </authors>
  <commentList>
    <comment ref="A27" authorId="0" shapeId="0" xr:uid="{93C6A0A4-8585-4B48-AD86-B0929CAC32F7}">
      <text>
        <r>
          <rPr>
            <b/>
            <sz val="9"/>
            <color indexed="81"/>
            <rFont val="Tahoma"/>
            <family val="2"/>
          </rPr>
          <t>Caley:</t>
        </r>
        <r>
          <rPr>
            <sz val="9"/>
            <color indexed="81"/>
            <rFont val="Tahoma"/>
            <family val="2"/>
          </rPr>
          <t xml:space="preserve">
Don't compound this. Better to do a total drop by 2050</t>
        </r>
      </text>
    </comment>
    <comment ref="U37" authorId="0" shapeId="0" xr:uid="{1A721CE5-FCA1-46F7-8298-8ABF78CB5FAC}">
      <text>
        <r>
          <rPr>
            <b/>
            <sz val="9"/>
            <color indexed="81"/>
            <rFont val="Tahoma"/>
            <family val="2"/>
          </rPr>
          <t>Caley:</t>
        </r>
        <r>
          <rPr>
            <sz val="9"/>
            <color indexed="81"/>
            <rFont val="Tahoma"/>
            <family val="2"/>
          </rPr>
          <t xml:space="preserve">
The Electricity spreadsheet only goes to 2030 right now.</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aburnham</author>
    <author>Johnson, Dana L.</author>
  </authors>
  <commentList>
    <comment ref="G26" authorId="0" shapeId="0" xr:uid="{D9A49C72-DB5A-4618-9C01-6FE17C91EEED}">
      <text>
        <r>
          <rPr>
            <b/>
            <sz val="9"/>
            <color indexed="81"/>
            <rFont val="Tahoma"/>
            <family val="2"/>
          </rPr>
          <t>Formula:
# of vehicles * miles/vehicle * gasoline gallon equivalent/100 miles * (Btu / gallon of CG/RFG gasoline) * (WTW GHG g / Btu of fuel burned) / (907184.74 g / short ton)</t>
        </r>
        <r>
          <rPr>
            <sz val="9"/>
            <color indexed="81"/>
            <rFont val="Tahoma"/>
            <family val="2"/>
          </rPr>
          <t xml:space="preserve">
</t>
        </r>
      </text>
    </comment>
    <comment ref="C121" authorId="0" shapeId="0" xr:uid="{55A816C3-CB83-498E-841C-D749F49FF932}">
      <text>
        <r>
          <rPr>
            <sz val="9"/>
            <color indexed="81"/>
            <rFont val="Tahoma"/>
            <family val="2"/>
          </rPr>
          <t>1 kg of H2 assumed to equal 1 GGE of H2</t>
        </r>
      </text>
    </comment>
    <comment ref="B174" authorId="0" shapeId="0" xr:uid="{18E48A28-E32B-4962-8812-283CCE2B0B54}">
      <text>
        <r>
          <rPr>
            <sz val="9"/>
            <color indexed="81"/>
            <rFont val="Tahoma"/>
            <family val="2"/>
          </rPr>
          <t>Drop down menus can be used to switch which vocation type and corresponding default data are used for each MOVES vehicle classification</t>
        </r>
      </text>
    </comment>
    <comment ref="M187" authorId="0" shapeId="0" xr:uid="{D5F68945-54AE-4E65-B4E9-D04ABC83C4CB}">
      <text>
        <r>
          <rPr>
            <sz val="9"/>
            <color indexed="81"/>
            <rFont val="Tahoma"/>
            <family val="2"/>
          </rPr>
          <t>Assumed no incremental cost for biodiesel vehicles</t>
        </r>
      </text>
    </comment>
    <comment ref="N187" authorId="0" shapeId="0" xr:uid="{71C1BF32-8179-40EA-86DA-5D00AF43B599}">
      <text>
        <r>
          <rPr>
            <sz val="9"/>
            <color indexed="81"/>
            <rFont val="Tahoma"/>
            <family val="2"/>
          </rPr>
          <t>Assumed no incremental cost for biodiesel vehicles</t>
        </r>
      </text>
    </comment>
    <comment ref="O187" authorId="0" shapeId="0" xr:uid="{4C8F2CCA-23EC-4E68-A93F-BFE11F4A9FB2}">
      <text>
        <r>
          <rPr>
            <sz val="9"/>
            <color indexed="81"/>
            <rFont val="Tahoma"/>
            <family val="2"/>
          </rPr>
          <t>Assumed no incremental cost for flex fuel (E85) vehicles</t>
        </r>
      </text>
    </comment>
    <comment ref="B188" authorId="0" shapeId="0" xr:uid="{821182DE-2972-4A8C-B7D7-6E0DC4D554BC}">
      <text>
        <r>
          <rPr>
            <sz val="9"/>
            <color indexed="81"/>
            <rFont val="Tahoma"/>
            <family val="2"/>
          </rPr>
          <t>Tractor only</t>
        </r>
      </text>
    </comment>
    <comment ref="E188" authorId="0" shapeId="0" xr:uid="{7911AD76-F3B3-46C0-A145-E7429750B818}">
      <text>
        <r>
          <rPr>
            <sz val="9"/>
            <color indexed="81"/>
            <rFont val="Tahoma"/>
            <family val="2"/>
          </rPr>
          <t>LNG Westport Q2 2013 ARRA data</t>
        </r>
      </text>
    </comment>
    <comment ref="K188" authorId="0" shapeId="0" xr:uid="{2935B310-A6A1-47AB-94CE-7E6BDA3B014C}">
      <text>
        <r>
          <rPr>
            <sz val="9"/>
            <color indexed="81"/>
            <rFont val="Tahoma"/>
            <family val="2"/>
          </rPr>
          <t>NHTSA (2010) Factors and Considerations for Establishing a Fuel Efficiency Regulatory Program for Commercial Medium- and Heavy-Duty Vehicles
Table II.C.5 - mild hybrid</t>
        </r>
      </text>
    </comment>
    <comment ref="Q188" authorId="0" shapeId="0" xr:uid="{99005788-201A-44CD-ABEA-7DD7B77F05C4}">
      <text>
        <r>
          <rPr>
            <sz val="9"/>
            <color indexed="81"/>
            <rFont val="Tahoma"/>
            <family val="2"/>
          </rPr>
          <t>Based on Deal (2012) What Set of Conditions Would Make the Business Case to Convert Heavy Trucks to Natural Gas? – a Case Study
Figure 3
Based on Deal (2012) side mounted dual tank package (2) 41 DGE tanks ~ 74 DGE usable &amp; (5) 15 DGE tanks behind the cab  &amp; 367 +  400 = 767 mile range</t>
        </r>
      </text>
    </comment>
    <comment ref="R188" authorId="0" shapeId="0" xr:uid="{286B9ECF-F063-4ADD-9F02-380EE3AF9016}">
      <text>
        <r>
          <rPr>
            <sz val="9"/>
            <color indexed="81"/>
            <rFont val="Tahoma"/>
            <family val="2"/>
          </rPr>
          <t>Based on Deal (2012) What Set of Conditions Would Make the Business Case to Convert Heavy Trucks to Natural Gas? – a Case Study
Figure 3
side mounted dual tank package (2) 150 DGE tank ~ 150 DGE usable &amp; 810 mile range</t>
        </r>
      </text>
    </comment>
    <comment ref="S188" authorId="0" shapeId="0" xr:uid="{5DA5ED79-BB6D-4221-A877-1CF5C7372ACF}">
      <text>
        <r>
          <rPr>
            <sz val="9"/>
            <color indexed="81"/>
            <rFont val="Tahoma"/>
            <family val="2"/>
          </rPr>
          <t xml:space="preserve">Based on Santini (2013) Energy Security and Greenhouse Gas Emissions of Natural Gas Heavy-Duty Commercial Trucking
Based on Westport reference for dual tank option
http://www.westport.com/products/engines/15/savings-estimator
</t>
        </r>
      </text>
    </comment>
    <comment ref="B189" authorId="0" shapeId="0" xr:uid="{459DDC94-4729-4810-9D88-694976F7E374}">
      <text>
        <r>
          <rPr>
            <sz val="9"/>
            <color indexed="81"/>
            <rFont val="Tahoma"/>
            <family val="2"/>
          </rPr>
          <t>Tractor only</t>
        </r>
      </text>
    </comment>
    <comment ref="E189" authorId="0" shapeId="0" xr:uid="{E225C6CA-ACBE-4B85-B641-78E5C5E56A95}">
      <text>
        <r>
          <rPr>
            <sz val="9"/>
            <color indexed="81"/>
            <rFont val="Tahoma"/>
            <family val="2"/>
          </rPr>
          <t>Average of Cummins CNG/LNG Q2 2013 ARRA data</t>
        </r>
      </text>
    </comment>
    <comment ref="K189" authorId="0" shapeId="0" xr:uid="{4DE3D2C4-22B7-4A67-9524-7602D820F2C8}">
      <text>
        <r>
          <rPr>
            <sz val="9"/>
            <color indexed="81"/>
            <rFont val="Tahoma"/>
            <family val="2"/>
          </rPr>
          <t>NHTSA (2010) Factors and Considerations for Establishing a Fuel Efficiency Regulatory Program for Commercial Medium- and Heavy-Duty Vehicles
Table II.C.5 - moderate hybrid</t>
        </r>
      </text>
    </comment>
    <comment ref="Q189" authorId="0" shapeId="0" xr:uid="{C6B83486-9FF0-427E-B7E5-8CA3EB214A5F}">
      <text>
        <r>
          <rPr>
            <sz val="9"/>
            <color indexed="81"/>
            <rFont val="Tahoma"/>
            <family val="2"/>
          </rPr>
          <t>Based on Deal (2012) What Set of Conditions Would Make the Business Case to Convert Heavy Trucks to Natural Gas? – a Case Study
Figure 3
side mounted dual tank package (2) 41 DGE tanks ~ 74 DGE usable &amp; 400 mile range</t>
        </r>
      </text>
    </comment>
    <comment ref="R189" authorId="0" shapeId="0" xr:uid="{D5F0E3F2-D564-4CC3-8D53-E95297ACDD61}">
      <text>
        <r>
          <rPr>
            <sz val="9"/>
            <color indexed="81"/>
            <rFont val="Tahoma"/>
            <family val="2"/>
          </rPr>
          <t>Based on Deal (2012) What Set of Conditions Would Make the Business Case to Convert Heavy Trucks to Natural Gas? – a Case Study
Figure 3
side mounted singe tank package (1) 150 DGE tank ~ 75 DGE usable &amp; 405 mile range</t>
        </r>
      </text>
    </comment>
    <comment ref="S189" authorId="0" shapeId="0" xr:uid="{19D10A08-0AA1-42D9-A83A-FCB6C9AE56B0}">
      <text>
        <r>
          <rPr>
            <sz val="9"/>
            <color indexed="81"/>
            <rFont val="Tahoma"/>
            <family val="2"/>
          </rPr>
          <t xml:space="preserve">Based on Santini (2013) Energy Security and Greenhouse Gas Emissions of Natural Gas Heavy-Duty Commercial Trucking
Based on Westport reference for single tank option
http://www.westport.com/products/engines/15/savings-estimator
</t>
        </r>
      </text>
    </comment>
    <comment ref="B190" authorId="0" shapeId="0" xr:uid="{31D189E1-9402-4B1B-98D1-4291FC534703}">
      <text>
        <r>
          <rPr>
            <sz val="9"/>
            <color indexed="81"/>
            <rFont val="Tahoma"/>
            <family val="2"/>
          </rPr>
          <t>Class 6/7</t>
        </r>
      </text>
    </comment>
    <comment ref="E190" authorId="0" shapeId="0" xr:uid="{32FA8194-DBFA-4881-8296-AC2E3536245F}">
      <text>
        <r>
          <rPr>
            <sz val="9"/>
            <color indexed="81"/>
            <rFont val="Tahoma"/>
            <family val="2"/>
          </rPr>
          <t>HEV Q2 2013 ARRA data</t>
        </r>
      </text>
    </comment>
    <comment ref="K190" authorId="0" shapeId="0" xr:uid="{0800103B-2793-4D01-BB70-41CEDDF8FAD9}">
      <text>
        <r>
          <rPr>
            <sz val="9"/>
            <color indexed="81"/>
            <rFont val="Tahoma"/>
            <family val="2"/>
          </rPr>
          <t>Q2 2013 ARRA data</t>
        </r>
      </text>
    </comment>
    <comment ref="Q190" authorId="0" shapeId="0" xr:uid="{420D94CC-4234-4D94-A8D7-B6FFF5316003}">
      <text>
        <r>
          <rPr>
            <sz val="9"/>
            <color indexed="81"/>
            <rFont val="Tahoma"/>
            <family val="2"/>
          </rPr>
          <t>Based on Deal (2012) What Set of Conditions Would Make the Business Case to Convert Heavy Trucks to Natural Gas? – a Case Study
Figure 3
side mounted dual tank package (2) 41 DGE tanks ~ 74 DGE usable &amp; 400 mile range</t>
        </r>
      </text>
    </comment>
    <comment ref="R190" authorId="0" shapeId="0" xr:uid="{2BDAD990-780C-453F-B33A-BF95B4779ACB}">
      <text>
        <r>
          <rPr>
            <sz val="9"/>
            <color indexed="81"/>
            <rFont val="Tahoma"/>
            <family val="2"/>
          </rPr>
          <t>Based on Deal (2012) What Set of Conditions Would Make the Business Case to Convert Heavy Trucks to Natural Gas? – a Case Study
side mounted dual tank package (2) 150 DGE tank ~ 150 DGE usable &amp; 810 mile range</t>
        </r>
      </text>
    </comment>
    <comment ref="T190" authorId="0" shapeId="0" xr:uid="{E3444B40-1414-499B-9F48-99285F5D7EC4}">
      <text>
        <r>
          <rPr>
            <sz val="9"/>
            <color indexed="81"/>
            <rFont val="Tahoma"/>
            <family val="2"/>
          </rPr>
          <t>NHTSA (2010) Factors and Considerations for Establishing a Fuel Efficiency Regulatory Program for Commercial Medium- and Heavy-Duty Vehicles
Table II.C.5 - Box and Bucket ePTO current</t>
        </r>
      </text>
    </comment>
    <comment ref="B191" authorId="0" shapeId="0" xr:uid="{80D6D27D-E0A7-4A8F-9B7E-DC6E627CCBC8}">
      <text>
        <r>
          <rPr>
            <sz val="9"/>
            <color indexed="81"/>
            <rFont val="Tahoma"/>
            <family val="2"/>
          </rPr>
          <t>Class 5/6</t>
        </r>
      </text>
    </comment>
    <comment ref="E191" authorId="0" shapeId="0" xr:uid="{85452D72-2BC9-49FC-A40A-88D38AE4E30B}">
      <text>
        <r>
          <rPr>
            <sz val="9"/>
            <color indexed="81"/>
            <rFont val="Tahoma"/>
            <family val="2"/>
          </rPr>
          <t>Average of CNG/EV/HEV/HHV Q2 2013 ARRA data</t>
        </r>
      </text>
    </comment>
    <comment ref="I191" authorId="0" shapeId="0" xr:uid="{55D014D6-512E-45DE-87B6-A2E626CB4E68}">
      <text>
        <r>
          <rPr>
            <sz val="9"/>
            <color indexed="81"/>
            <rFont val="Tahoma"/>
            <family val="2"/>
          </rPr>
          <t>Q2 2013 ARRA data</t>
        </r>
      </text>
    </comment>
    <comment ref="K191" authorId="0" shapeId="0" xr:uid="{6069F77F-C743-48EE-8184-4FF4AC0E43A3}">
      <text>
        <r>
          <rPr>
            <sz val="9"/>
            <color indexed="81"/>
            <rFont val="Tahoma"/>
            <family val="2"/>
          </rPr>
          <t>Q2 2013 ARRA data</t>
        </r>
      </text>
    </comment>
    <comment ref="Q191" authorId="0" shapeId="0" xr:uid="{554B654E-B5E9-422D-A880-6E957355767C}">
      <text>
        <r>
          <rPr>
            <sz val="9"/>
            <color indexed="81"/>
            <rFont val="Tahoma"/>
            <family val="2"/>
          </rPr>
          <t>Based on Deal (2012) What Set of Conditions Would Make the Business Case to Convert Heavy Trucks to Natural Gas? – a Case Study
Figure 3
side mounted dual tank package (2) 41 DGE tanks ~ 74 DGE usable &amp; 400 mile range</t>
        </r>
      </text>
    </comment>
    <comment ref="R191" authorId="0" shapeId="0" xr:uid="{CBD20540-4241-4CD0-9541-C075BCAB747D}">
      <text>
        <r>
          <rPr>
            <sz val="9"/>
            <color indexed="81"/>
            <rFont val="Tahoma"/>
            <family val="2"/>
          </rPr>
          <t>Based on Deal (2012) What Set of Conditions Would Make the Business Case to Convert Heavy Trucks to Natural Gas? – a Case Study
Figure 3
side mounted singe tank package (1) 150 DGE tank ~ 75 DGE usable &amp; 405 mile range</t>
        </r>
      </text>
    </comment>
    <comment ref="T191" authorId="0" shapeId="0" xr:uid="{4C7891C9-B6D2-4EAC-8A24-806E96747594}">
      <text>
        <r>
          <rPr>
            <sz val="9"/>
            <color indexed="81"/>
            <rFont val="Tahoma"/>
            <family val="2"/>
          </rPr>
          <t>NHTSA (2010) Factors and Considerations for Establishing a Fuel Efficiency Regulatory Program for Commercial Medium- and Heavy-Duty Vehicles
Table II.C.5 - Box and Bucket ePTO current</t>
        </r>
      </text>
    </comment>
    <comment ref="E192" authorId="0" shapeId="0" xr:uid="{5AAE0364-7688-451B-AC38-3910360B2442}">
      <text>
        <r>
          <rPr>
            <sz val="9"/>
            <color indexed="81"/>
            <rFont val="Tahoma"/>
            <family val="2"/>
          </rPr>
          <t>CNG Q2 2013 ARRA data</t>
        </r>
      </text>
    </comment>
    <comment ref="Q192" authorId="0" shapeId="0" xr:uid="{3A67EFD9-4597-4B71-B253-E82EDE341A17}">
      <text>
        <r>
          <rPr>
            <sz val="9"/>
            <color indexed="81"/>
            <rFont val="Tahoma"/>
            <family val="2"/>
          </rPr>
          <t>Q2 2013 ARRA data</t>
        </r>
      </text>
    </comment>
    <comment ref="R192" authorId="0" shapeId="0" xr:uid="{E616AC77-15AF-49F3-BAEC-18DAE36A4BC8}">
      <text>
        <r>
          <rPr>
            <sz val="9"/>
            <color indexed="81"/>
            <rFont val="Tahoma"/>
            <family val="2"/>
          </rPr>
          <t>Based on Deal (2012) What Set of Conditions Would Make the Business Case to Convert Heavy Trucks to Natural Gas? – a Case Study
Figure 3
Cost for 75 DGE is ~$10000 less for LNG vs CNG</t>
        </r>
      </text>
    </comment>
    <comment ref="E193" authorId="0" shapeId="0" xr:uid="{8E766AD6-CEF1-4A53-A10E-21E7C9930BF8}">
      <text>
        <r>
          <rPr>
            <sz val="9"/>
            <color indexed="81"/>
            <rFont val="Tahoma"/>
            <family val="2"/>
          </rPr>
          <t>Average of HEV/EV Q2 2013 ARRA data</t>
        </r>
      </text>
    </comment>
    <comment ref="I193" authorId="0" shapeId="0" xr:uid="{F2C21CCE-0309-45B8-B605-6C35C176CB67}">
      <text>
        <r>
          <rPr>
            <sz val="9"/>
            <color indexed="81"/>
            <rFont val="Tahoma"/>
            <family val="2"/>
          </rPr>
          <t>Q2 2013 ARRA data</t>
        </r>
      </text>
    </comment>
    <comment ref="Q193" authorId="0" shapeId="0" xr:uid="{564292C9-E08B-4749-9F08-68273DA3B6D4}">
      <text>
        <r>
          <rPr>
            <sz val="9"/>
            <color indexed="81"/>
            <rFont val="Tahoma"/>
            <family val="2"/>
          </rPr>
          <t>Q2 2013 ARRA data</t>
        </r>
      </text>
    </comment>
    <comment ref="R193" authorId="0" shapeId="0" xr:uid="{BE2BB4EC-FC78-4E61-9E6E-1642254708C2}">
      <text>
        <r>
          <rPr>
            <sz val="9"/>
            <color indexed="81"/>
            <rFont val="Tahoma"/>
            <family val="2"/>
          </rPr>
          <t>Based on Deal (2012) What Set of Conditions Would Make the Business Case to Convert Heavy Trucks to Natural Gas? – a Case Study
Figure 3
Cost for 75 DGE is ~$10000 less for LNG vs CNG</t>
        </r>
      </text>
    </comment>
    <comment ref="T193" authorId="0" shapeId="0" xr:uid="{BCFA6F85-B193-4420-86A0-640A99EA5295}">
      <text>
        <r>
          <rPr>
            <sz val="9"/>
            <color indexed="81"/>
            <rFont val="Tahoma"/>
            <family val="2"/>
          </rPr>
          <t>NHTSA (2010) Factors and Considerations for Establishing a Fuel Efficiency Regulatory Program for Commercial Medium- and Heavy-Duty Vehicles
Table II.C.5 - Box and Bucket ePTO current</t>
        </r>
      </text>
    </comment>
    <comment ref="E194" authorId="0" shapeId="0" xr:uid="{7F1942EA-6811-4FEF-B8AE-E462E5E1D20E}">
      <text>
        <r>
          <rPr>
            <sz val="9"/>
            <color indexed="81"/>
            <rFont val="Tahoma"/>
            <family val="2"/>
          </rPr>
          <t>CNG Q2 2013 ARRA data</t>
        </r>
      </text>
    </comment>
    <comment ref="Q194" authorId="0" shapeId="0" xr:uid="{BF761E82-7F03-41F2-94AE-209AA5A861C6}">
      <text>
        <r>
          <rPr>
            <sz val="9"/>
            <color indexed="81"/>
            <rFont val="Tahoma"/>
            <family val="2"/>
          </rPr>
          <t>Q2 2013 ARRA data</t>
        </r>
      </text>
    </comment>
    <comment ref="R194" authorId="0" shapeId="0" xr:uid="{559F2374-E45C-4C46-88EF-F8C4C8FC74AC}">
      <text>
        <r>
          <rPr>
            <sz val="9"/>
            <color indexed="81"/>
            <rFont val="Tahoma"/>
            <family val="2"/>
          </rPr>
          <t xml:space="preserve">Based on Deal (2012) What Set of Conditions Would Make the Business Case to Convert Heavy Trucks to Natural Gas? – a Case Study
Figure 3
Cost for 75 DGE is ~$10000 less for LNG vs CNG
</t>
        </r>
      </text>
    </comment>
    <comment ref="E195" authorId="0" shapeId="0" xr:uid="{08D0459C-41F4-4C32-8E9A-9A2E1ED5A562}">
      <text>
        <r>
          <rPr>
            <sz val="9"/>
            <color indexed="81"/>
            <rFont val="Tahoma"/>
            <family val="2"/>
          </rPr>
          <t>CNG Q2 2013 ARRA data</t>
        </r>
      </text>
    </comment>
    <comment ref="Q195" authorId="0" shapeId="0" xr:uid="{E7F98609-CDC9-43AF-A6FE-7E3B29928240}">
      <text>
        <r>
          <rPr>
            <sz val="9"/>
            <color indexed="81"/>
            <rFont val="Tahoma"/>
            <family val="2"/>
          </rPr>
          <t>Q2 2013 ARRA data</t>
        </r>
      </text>
    </comment>
    <comment ref="R195" authorId="0" shapeId="0" xr:uid="{24CED98E-7882-435D-98AE-AD33B399F455}">
      <text>
        <r>
          <rPr>
            <sz val="9"/>
            <color indexed="81"/>
            <rFont val="Tahoma"/>
            <family val="2"/>
          </rPr>
          <t>Based on Deal (2012) What Set of Conditions Would Make the Business Case to Convert Heavy Trucks to Natural Gas? – a Case Study
Figure 3
Assume since CNG incremental cost is low only using 1 side mounted tank, so assume same cost for LNG single tank</t>
        </r>
      </text>
    </comment>
    <comment ref="E196" authorId="0" shapeId="0" xr:uid="{770B9DEF-CF70-40B6-9BD1-6BBF0C246FC5}">
      <text>
        <r>
          <rPr>
            <sz val="9"/>
            <color indexed="81"/>
            <rFont val="Tahoma"/>
            <family val="2"/>
          </rPr>
          <t>CNG Q2 2013 ARRA data</t>
        </r>
      </text>
    </comment>
    <comment ref="Q196" authorId="0" shapeId="0" xr:uid="{2EE0078E-BC27-4537-ACE0-A9AB967B5A9E}">
      <text>
        <r>
          <rPr>
            <sz val="9"/>
            <color indexed="81"/>
            <rFont val="Tahoma"/>
            <family val="2"/>
          </rPr>
          <t>Q2 2013 ARRA data</t>
        </r>
      </text>
    </comment>
    <comment ref="E197" authorId="0" shapeId="0" xr:uid="{02362B2C-E2B1-40BC-8E20-AA483608D926}">
      <text>
        <r>
          <rPr>
            <sz val="9"/>
            <color indexed="81"/>
            <rFont val="Tahoma"/>
            <family val="2"/>
          </rPr>
          <t>Average of CNG/HEV/HHV Q2 2013 ARRA data</t>
        </r>
      </text>
    </comment>
    <comment ref="I197" authorId="0" shapeId="0" xr:uid="{6194DA4B-BC01-46CA-9694-1CA73BFE2A88}">
      <text>
        <r>
          <rPr>
            <sz val="9"/>
            <color indexed="81"/>
            <rFont val="Tahoma"/>
            <family val="2"/>
          </rPr>
          <t>Based on Motiv All-Electric Refuse Truck
http://www.greencarcongress.com/2012/11/motiv-20121119.html
http://www.motivps.com/pdfs/AllElectricRefuseTruck_1sheetVF_website-050313.pdf</t>
        </r>
      </text>
    </comment>
    <comment ref="K197" authorId="0" shapeId="0" xr:uid="{CEFB48C0-6829-4D82-BEFB-DBF965F1D4A0}">
      <text>
        <r>
          <rPr>
            <sz val="9"/>
            <color indexed="81"/>
            <rFont val="Tahoma"/>
            <family val="2"/>
          </rPr>
          <t>Q2 2013 ARRA data</t>
        </r>
      </text>
    </comment>
    <comment ref="L197" authorId="0" shapeId="0" xr:uid="{79AB9B37-608F-4212-B60F-5D4CAB4732AC}">
      <text>
        <r>
          <rPr>
            <sz val="9"/>
            <color indexed="81"/>
            <rFont val="Tahoma"/>
            <family val="2"/>
          </rPr>
          <t>Q2 2013 ARRA data</t>
        </r>
      </text>
    </comment>
    <comment ref="Q197" authorId="0" shapeId="0" xr:uid="{99FB1D7D-4FF8-45BC-A3F7-FB181C41DE3A}">
      <text>
        <r>
          <rPr>
            <sz val="9"/>
            <color indexed="81"/>
            <rFont val="Tahoma"/>
            <family val="2"/>
          </rPr>
          <t>Q2 2013 ARRA data</t>
        </r>
      </text>
    </comment>
    <comment ref="R197" authorId="0" shapeId="0" xr:uid="{6610F505-E113-47AD-9BBB-0A00EE8CDEA0}">
      <text>
        <r>
          <rPr>
            <sz val="9"/>
            <color indexed="81"/>
            <rFont val="Tahoma"/>
            <family val="2"/>
          </rPr>
          <t>Based on Deal (2012) What Set of Conditions Would Make the Business Case to Convert Heavy Trucks to Natural Gas? – a Case Study
Figure 3
Cost for 75 DGE is ~$10000 less for LNG vs CNG</t>
        </r>
      </text>
    </comment>
    <comment ref="T197" authorId="0" shapeId="0" xr:uid="{2C589AAC-6F19-4FCE-8FE9-A2023DFEA1FC}">
      <text>
        <r>
          <rPr>
            <sz val="9"/>
            <color indexed="81"/>
            <rFont val="Tahoma"/>
            <family val="2"/>
          </rPr>
          <t>NHTSA (2010) Factors and Considerations for Establishing a Fuel Efficiency Regulatory Program for Commercial Medium- and Heavy-Duty Vehicles
Table II.C.5 - refuse ePTO current</t>
        </r>
      </text>
    </comment>
    <comment ref="E198" authorId="0" shapeId="0" xr:uid="{F7AC05B1-EA31-4F42-8FB7-8CC3A36844BE}">
      <text>
        <r>
          <rPr>
            <sz val="9"/>
            <color indexed="81"/>
            <rFont val="Tahoma"/>
            <family val="2"/>
          </rPr>
          <t>Volpe - Bus Lifecycle Cost Model Dec 2011
40 foot bus
http://www.volpe.dot.gov/coi/ppoa/publiclands/projects/busandferrycost.html</t>
        </r>
      </text>
    </comment>
    <comment ref="I198" authorId="0" shapeId="0" xr:uid="{A4D727CA-F0B8-4381-A5A5-08358AD0BE48}">
      <text>
        <r>
          <rPr>
            <sz val="9"/>
            <color indexed="81"/>
            <rFont val="Tahoma"/>
            <family val="2"/>
          </rPr>
          <t xml:space="preserve">https://nextcity.org/daily/entry/ex-tesla-employee-electric-bus-beat-diesel
$800,000 - Proterra - 7/2015
http://www.greentechmedia.com/articles/read/Electric-Bus-Builder-Proterra-Innovates-in-Conservative-Transit-Market
sub $800,000 - Proterra and $800,000 BYD  - 5/2015
http://www.bloomberg.com/news/articles/2015-04-27/china-s-byd-wins-its-biggest-electric-bus-order-in-u-s-
$800,000 BYD  - 4/2015
coss.fsu.edu/maep/sites/coss.fsu.edu.maep/files/Electric%20Bus_Final.ppt
~$750,000 - Proterra undated but seems like 2014 or after
http://news.nationalgeographic.com/energy/2015/03/150312-tesla-for-the-masses-electric-buses-take-off/
$700,000 - Proterra - 3/2015
</t>
        </r>
      </text>
    </comment>
    <comment ref="J198" authorId="0" shapeId="0" xr:uid="{B2FCE240-9CE6-4652-A42E-4BC4B2185298}">
      <text>
        <r>
          <rPr>
            <sz val="9"/>
            <color indexed="81"/>
            <rFont val="Tahoma"/>
            <family val="2"/>
          </rPr>
          <t xml:space="preserve">Eudy et al. 2015 Fuel Cell Buses in U.S. Transit Fleets:  Current Status 2015
http://www.nrel.gov/hydrogen/proj_fc_bus_eval.html
...cost per bus was $1.8 million. Previous versions were $2.4 million. This cost should continue to decrease with larger orders of buses. The industry projects an order for 40 buses could result in costs closer to $1 million each.
</t>
        </r>
      </text>
    </comment>
    <comment ref="K198" authorId="0" shapeId="0" xr:uid="{3D4F52CB-4159-4738-A0F6-FED6C4B295F8}">
      <text>
        <r>
          <rPr>
            <sz val="9"/>
            <color indexed="81"/>
            <rFont val="Tahoma"/>
            <family val="2"/>
          </rPr>
          <t>Q2 2013 ARRA data</t>
        </r>
      </text>
    </comment>
    <comment ref="Q198" authorId="0" shapeId="0" xr:uid="{DB11AF49-A185-4C66-8A2C-0AB7B1028D0C}">
      <text>
        <r>
          <rPr>
            <sz val="9"/>
            <color indexed="81"/>
            <rFont val="Tahoma"/>
            <family val="2"/>
          </rPr>
          <t>Q2 2013 ARRA data</t>
        </r>
      </text>
    </comment>
    <comment ref="R198" authorId="0" shapeId="0" xr:uid="{5CCB9F38-BB58-415E-A15E-B231361F59E1}">
      <text>
        <r>
          <rPr>
            <sz val="9"/>
            <color indexed="81"/>
            <rFont val="Tahoma"/>
            <family val="2"/>
          </rPr>
          <t>Based on Deal (2012) What Set of Conditions Would Make the Business Case to Convert Heavy Trucks to Natural Gas? – a Case Study
Cost for 75 DGE is ~$10000 less for LNG vs CNG</t>
        </r>
      </text>
    </comment>
    <comment ref="E199" authorId="0" shapeId="0" xr:uid="{AA273768-AE1D-4A25-8A94-B1AEB479D8D6}">
      <text>
        <r>
          <rPr>
            <sz val="9"/>
            <color indexed="81"/>
            <rFont val="Tahoma"/>
            <family val="2"/>
          </rPr>
          <t xml:space="preserve">Average of CNG/HEV/LPG Q2 2013 ARRA data
Based on Type C bus
Type A data shows diesel cost ~$60,000 (from LPG values)
</t>
        </r>
      </text>
    </comment>
    <comment ref="K199" authorId="0" shapeId="0" xr:uid="{11974BAD-AC5A-4B0C-9868-2B0B16B60A50}">
      <text>
        <r>
          <rPr>
            <sz val="9"/>
            <color indexed="81"/>
            <rFont val="Tahoma"/>
            <family val="2"/>
          </rPr>
          <t>Q2 2013 ARRA data</t>
        </r>
      </text>
    </comment>
    <comment ref="P199" authorId="0" shapeId="0" xr:uid="{84BE5799-2C32-4F83-B66B-9958F1256F4B}">
      <text>
        <r>
          <rPr>
            <sz val="9"/>
            <color indexed="81"/>
            <rFont val="Tahoma"/>
            <family val="2"/>
          </rPr>
          <t>Q2 2013 ARRA data</t>
        </r>
      </text>
    </comment>
    <comment ref="Q199" authorId="0" shapeId="0" xr:uid="{4369E5D4-10EA-44CA-A399-85502F8684D0}">
      <text>
        <r>
          <rPr>
            <sz val="9"/>
            <color indexed="81"/>
            <rFont val="Tahoma"/>
            <family val="2"/>
          </rPr>
          <t>Q2 2013 ARRA data</t>
        </r>
      </text>
    </comment>
    <comment ref="R199" authorId="0" shapeId="0" xr:uid="{D1A4C8CA-0D4C-4C03-ABE1-95B6C6785FFB}">
      <text>
        <r>
          <rPr>
            <sz val="9"/>
            <color indexed="81"/>
            <rFont val="Tahoma"/>
            <family val="2"/>
          </rPr>
          <t>Based on Deal (2012) What Set of Conditions Would Make the Business Case to Convert Heavy Trucks to Natural Gas? – a Case Study
Figure 3
Cost for 75 DGE is ~$10000 less for LNG vs CNG</t>
        </r>
      </text>
    </comment>
    <comment ref="E200" authorId="0" shapeId="0" xr:uid="{B92CCE5D-3B89-4187-BD97-F95D51D9793E}">
      <text>
        <r>
          <rPr>
            <sz val="9"/>
            <color indexed="81"/>
            <rFont val="Tahoma"/>
            <family val="2"/>
          </rPr>
          <t>Average of CNG/HEV/LPG Q2 2013 ARRA data</t>
        </r>
      </text>
    </comment>
    <comment ref="K200" authorId="0" shapeId="0" xr:uid="{04846ECE-A55F-4191-8378-C13FA63769E0}">
      <text>
        <r>
          <rPr>
            <sz val="9"/>
            <color indexed="81"/>
            <rFont val="Tahoma"/>
            <family val="2"/>
          </rPr>
          <t>Q2 2013 ARRA data</t>
        </r>
      </text>
    </comment>
    <comment ref="P200" authorId="0" shapeId="0" xr:uid="{F0668395-7481-4E85-8E60-41A79BD9479D}">
      <text>
        <r>
          <rPr>
            <sz val="9"/>
            <color indexed="81"/>
            <rFont val="Tahoma"/>
            <family val="2"/>
          </rPr>
          <t>Q2 2013 ARRA data</t>
        </r>
      </text>
    </comment>
    <comment ref="Q200" authorId="0" shapeId="0" xr:uid="{5E29A3AE-6CDC-405A-8C06-1D3C2809B8E8}">
      <text>
        <r>
          <rPr>
            <sz val="9"/>
            <color indexed="81"/>
            <rFont val="Tahoma"/>
            <family val="2"/>
          </rPr>
          <t>Q2 2013 ARRA data</t>
        </r>
      </text>
    </comment>
    <comment ref="D201" authorId="0" shapeId="0" xr:uid="{C376859C-ADAD-457A-A86B-DAA5FE299060}">
      <text>
        <r>
          <rPr>
            <sz val="9"/>
            <color indexed="81"/>
            <rFont val="Tahoma"/>
            <family val="2"/>
          </rPr>
          <t xml:space="preserve">Based on MSRP of MY2016:
Regular Cab - 4WD - base model
Chevy Silverado 2500 - http://www.truecar.com/prices-new/chevrolet/silverado-2500hd-pricing
Ford F250 - http://www.truecar.com/prices-new/ford/super-duty-f-250-srw-pricing/
Dodge Ram 2500 - http://www.truecar.com/prices-new/ram/2500-pricing/
</t>
        </r>
      </text>
    </comment>
    <comment ref="E201" authorId="0" shapeId="0" xr:uid="{1AF760BB-62C1-431C-8129-59770AFFB70C}">
      <text>
        <r>
          <rPr>
            <sz val="9"/>
            <color indexed="81"/>
            <rFont val="Tahoma"/>
            <family val="2"/>
          </rPr>
          <t>Based on MSRP of MY2016:
Chevy Silverado 2500 - http://www.truecar.com/prices-new/chevrolet/silverado-2500hd-pricing
Ford F250 - http://www.truecar.com/prices-new/ford/super-duty-f-250-srw-pricing/
Dodge Ram 2500 - http://www.truecar.com/prices-new/ram/2500-pricing/
10760+9720+10500</t>
        </r>
      </text>
    </comment>
    <comment ref="P201" authorId="0" shapeId="0" xr:uid="{39CE5661-5665-48AD-8E70-1B248F276671}">
      <text>
        <r>
          <rPr>
            <sz val="9"/>
            <color indexed="81"/>
            <rFont val="Tahoma"/>
            <family val="2"/>
          </rPr>
          <t>Q2 2013 ARRA data</t>
        </r>
      </text>
    </comment>
    <comment ref="Q201" authorId="0" shapeId="0" xr:uid="{6B2855B4-0D80-414A-B3D6-C62F090685BA}">
      <text>
        <r>
          <rPr>
            <sz val="9"/>
            <color indexed="81"/>
            <rFont val="Tahoma"/>
            <family val="2"/>
          </rPr>
          <t>Q2 2013 ARRA data</t>
        </r>
      </text>
    </comment>
    <comment ref="D202" authorId="0" shapeId="0" xr:uid="{7C8988FF-03C1-4019-AE9D-7E660737EB1C}">
      <text>
        <r>
          <rPr>
            <sz val="9"/>
            <color indexed="81"/>
            <rFont val="Tahoma"/>
            <family val="2"/>
          </rPr>
          <t xml:space="preserve">Based on MSRP of MY2016:
https://www.truecar.com/prices-new/chevrolet/express-cargo-van-pricing
https://www.truecar.com/prices-new/ford/transit-cargo-van-pricing/2016
https://www.truecar.com/prices-new/ram/promaster-cargo-van-pricing/2016/
</t>
        </r>
      </text>
    </comment>
    <comment ref="E202" authorId="0" shapeId="0" xr:uid="{61CC0C02-3A75-4083-9DE2-16AD93CE0A4D}">
      <text>
        <r>
          <rPr>
            <sz val="9"/>
            <color indexed="81"/>
            <rFont val="Tahoma"/>
            <family val="2"/>
          </rPr>
          <t xml:space="preserve">Based on MSRP of MY2014:
GMC Savana 2500 - www.truecar.com/prices-new/gmc/savana-cargo-van-pricing/2014/BD8C67FE/
GMC Savana 3500 - www.truecar.com/prices-new/gmc/savana-cargo-van-pricing/2014/BD8C67FE/
2500 and 3500 incremental cost is the same
</t>
        </r>
      </text>
    </comment>
    <comment ref="I202" authorId="0" shapeId="0" xr:uid="{10440E45-77C2-4F10-9329-84F3812B38B0}">
      <text>
        <r>
          <rPr>
            <sz val="9"/>
            <color indexed="81"/>
            <rFont val="Tahoma"/>
            <family val="2"/>
          </rPr>
          <t>Q2 2013 ARRA data</t>
        </r>
      </text>
    </comment>
    <comment ref="P202" authorId="0" shapeId="0" xr:uid="{13C24996-B17B-46FC-A003-2450AF3305EF}">
      <text>
        <r>
          <rPr>
            <sz val="9"/>
            <color indexed="81"/>
            <rFont val="Tahoma"/>
            <family val="2"/>
          </rPr>
          <t>Q2 2013 ARRA data</t>
        </r>
      </text>
    </comment>
    <comment ref="Q202" authorId="0" shapeId="0" xr:uid="{416ED3BE-7BAF-4D66-98EC-9C76BE205B6D}">
      <text>
        <r>
          <rPr>
            <sz val="9"/>
            <color indexed="81"/>
            <rFont val="Tahoma"/>
            <family val="2"/>
          </rPr>
          <t>Q2 2013 ARRA data</t>
        </r>
      </text>
    </comment>
    <comment ref="D203" authorId="0" shapeId="0" xr:uid="{8F2A0C9D-C3AE-47B0-A4CD-FAEB8AF145C1}">
      <text>
        <r>
          <rPr>
            <sz val="9"/>
            <color indexed="81"/>
            <rFont val="Tahoma"/>
            <family val="2"/>
          </rPr>
          <t>MY2016
https://www.truecar.com/prices-new/chevrolet/express-passenger-pricing/
https://www.truecar.com/prices-new/gmc/savana-passenger-pricing/</t>
        </r>
      </text>
    </comment>
    <comment ref="E203" authorId="0" shapeId="0" xr:uid="{3A3562B5-AF19-4666-8B73-B72953E143A0}">
      <text>
        <r>
          <rPr>
            <sz val="9"/>
            <color indexed="81"/>
            <rFont val="Tahoma"/>
            <family val="2"/>
          </rPr>
          <t xml:space="preserve">Based on MSRP of MY2014:
GMC Savana 2500 - www.truecar.com/prices-new/gmc/savana-cargo-van-pricing/2014/BD8C67FE/
GMC Savana 3500 - www.truecar.com/prices-new/gmc/savana-cargo-van-pricing/2014/BD8C67FE/
2500 and 3500 incremental cost is the same
</t>
        </r>
      </text>
    </comment>
    <comment ref="P203" authorId="0" shapeId="0" xr:uid="{83490FD4-4427-4B48-A916-A49DC9BE6417}">
      <text>
        <r>
          <rPr>
            <sz val="9"/>
            <color indexed="81"/>
            <rFont val="Tahoma"/>
            <family val="2"/>
          </rPr>
          <t>Q2 2013 ARRA data</t>
        </r>
      </text>
    </comment>
    <comment ref="Q203" authorId="0" shapeId="0" xr:uid="{0B97028C-E0C9-4BDA-B4FF-1457D039C4C3}">
      <text>
        <r>
          <rPr>
            <sz val="9"/>
            <color indexed="81"/>
            <rFont val="Tahoma"/>
            <family val="2"/>
          </rPr>
          <t>Q2 2013 ARRA data
and  MY 2016 Express Passenger
https://www.truecar.com/prices-new/chevrolet/express-passenger-pricing/</t>
        </r>
      </text>
    </comment>
    <comment ref="D204" authorId="0" shapeId="0" xr:uid="{A78C2E15-BA0A-4113-8807-63ADC84ADEA2}">
      <text>
        <r>
          <rPr>
            <sz val="9"/>
            <color indexed="81"/>
            <rFont val="Tahoma"/>
            <family val="2"/>
          </rPr>
          <t xml:space="preserve">Based on MSRP of MY2015:
Chevy Silverado 1500 - https://www.truecar.com/prices-new/chevrolet/silverado-1500-pricing/2016/6FEDF14D/
Ford F150 - https://www.truecar.com/prices-new/ford/f-150-pricing/2016/4FC86674/
Dodge Ram 1500 - https://www.truecar.com/prices-new/ram/1500-pricing/2016/06AA5235/
</t>
        </r>
      </text>
    </comment>
    <comment ref="E204" authorId="0" shapeId="0" xr:uid="{63789539-71DB-46D4-B06C-3F51C74ED6BB}">
      <text>
        <r>
          <rPr>
            <sz val="9"/>
            <color indexed="81"/>
            <rFont val="Tahoma"/>
            <family val="2"/>
          </rPr>
          <t xml:space="preserve">MY2016 - Ram 1500
https://www.truecar.com/prices-new/ram/1500-pricing/
</t>
        </r>
      </text>
    </comment>
    <comment ref="P204" authorId="0" shapeId="0" xr:uid="{447A75FD-B255-4D04-B5E9-31215EE6088B}">
      <text>
        <r>
          <rPr>
            <sz val="9"/>
            <color indexed="81"/>
            <rFont val="Tahoma"/>
            <family val="2"/>
          </rPr>
          <t>Q2 2013 ARRA data</t>
        </r>
      </text>
    </comment>
    <comment ref="Q204" authorId="0" shapeId="0" xr:uid="{31381C65-97F6-4213-873A-DF0D7F4B03E4}">
      <text>
        <r>
          <rPr>
            <sz val="9"/>
            <color indexed="81"/>
            <rFont val="Tahoma"/>
            <family val="2"/>
          </rPr>
          <t>Q2 2013 ARRA data</t>
        </r>
      </text>
    </comment>
    <comment ref="D205" authorId="0" shapeId="0" xr:uid="{0789C200-FB6C-4AF1-BDD4-DB38187D3206}">
      <text>
        <r>
          <rPr>
            <sz val="9"/>
            <color indexed="81"/>
            <rFont val="Tahoma"/>
            <family val="2"/>
          </rPr>
          <t xml:space="preserve">Based on MSRP of MY2016:
Ford Escape - https://www.truecar.com/prices-new/ford/escape-pricing/
Honda CR-V - www.truecar.com/prices-new/honda/cr-v-pricing/2013/
Toyota Rav4 - https://www.truecar.com/prices-new/toyota/rav4-pricing/2016/B2C18DF2/
($26,195+$28,045+$28570)/3 = $27,500
</t>
        </r>
      </text>
    </comment>
    <comment ref="E205" authorId="0" shapeId="0" xr:uid="{8DFE3181-0B2E-4A75-81D5-83AC2F1ACA5E}">
      <text>
        <r>
          <rPr>
            <sz val="9"/>
            <color indexed="81"/>
            <rFont val="Tahoma"/>
            <family val="2"/>
          </rPr>
          <t>Used MY13 VW Jetta SportWagen SE vs TDI as they are the same trim level
http://www.vw.com/en/models/jettasportwagen/trims-specs.html
http://www.truecar.com/prices-new/volkswagen/jetta-sportwagen-pricing/2013/DEEFDF70/</t>
        </r>
      </text>
    </comment>
    <comment ref="F205" authorId="0" shapeId="0" xr:uid="{0AB76542-A4C7-43E5-8D02-48A058FE3576}">
      <text>
        <r>
          <rPr>
            <sz val="9"/>
            <color indexed="81"/>
            <rFont val="Tahoma"/>
            <family val="2"/>
          </rPr>
          <t xml:space="preserve">MY2015-2016 
https://www.truecar.com/prices-new/toyota/rav4-pricing/2016/B2C18DF2/
https://www.truecar.com/prices-new/toyota/rav4-hybrid-pricing/
https://www.truecar.com/prices-new/toyota/highlander-pricing/2016/E6A62986/
https://www.truecar.com/prices-new/toyota/highlander-hybrid-pricing/2016/8C20B780/
https://www.truecar.com/prices-new/subaru/xv-crosstrek-pricing/2015/3672DABD/
https://www.truecar.com/prices-new/subaru/xv-crosstrek-hybrid-pricing/2015/070B26E9/
https://www.truecar.com/prices-new/infiniti/qx60-pricing/2015/E2C3C131/
</t>
        </r>
      </text>
    </comment>
    <comment ref="I205" authorId="0" shapeId="0" xr:uid="{4B2F40F6-2B94-4D03-A94C-055712DE14E7}">
      <text>
        <r>
          <rPr>
            <sz val="9"/>
            <color indexed="81"/>
            <rFont val="Tahoma"/>
            <family val="2"/>
          </rPr>
          <t>Based on average of Q2 2013 ARRA data for Transit Connect EV and  MY2013 Toyota Rav4 EV
http://www.truecar.com/prices-new/toyota/rav4-ev-pricing/2013/
http://www.truecar.com/prices-new/toyota/rav4-pricing/2013/
50645 - 24145 = $26500
(36500+26500)/2 = $31500</t>
        </r>
      </text>
    </comment>
    <comment ref="J205" authorId="0" shapeId="0" xr:uid="{215224C9-209A-43E6-A1C4-36A0144BB5C8}">
      <text>
        <r>
          <rPr>
            <sz val="9"/>
            <color indexed="81"/>
            <rFont val="Tahoma"/>
            <family val="2"/>
          </rPr>
          <t>Hyundai Tucson is only available as lease, but assume if it becomes available for sale that incremental price will be similar to  Toyota Mirai.
http://www.cheatsheet.com/automobiles/fuel-cell-vehicles-of-2016-toyota-mirai-vs-hyundai-tucson.html/?a=viewall
http://www.usatoday.com/story/money/cars/2015/12/11/toyota-mirai-review/77106202/
MSRP $57,500 plus $835 in delivery charges</t>
        </r>
      </text>
    </comment>
    <comment ref="P205" authorId="0" shapeId="0" xr:uid="{DDB66CC5-C60E-4084-BED6-7935A6C3713B}">
      <text>
        <r>
          <rPr>
            <sz val="9"/>
            <color indexed="81"/>
            <rFont val="Tahoma"/>
            <family val="2"/>
          </rPr>
          <t>Q2 2013 ARRA data</t>
        </r>
      </text>
    </comment>
    <comment ref="Q205" authorId="0" shapeId="0" xr:uid="{DC065BAE-CA9E-44C0-8A89-4CF612F050E5}">
      <text>
        <r>
          <rPr>
            <sz val="9"/>
            <color indexed="81"/>
            <rFont val="Tahoma"/>
            <family val="2"/>
          </rPr>
          <t>Q2 2013 ARRA data</t>
        </r>
      </text>
    </comment>
    <comment ref="D206" authorId="0" shapeId="0" xr:uid="{ACD82273-2A4F-4573-B222-4630964ABF30}">
      <text>
        <r>
          <rPr>
            <sz val="9"/>
            <color indexed="81"/>
            <rFont val="Tahoma"/>
            <family val="2"/>
          </rPr>
          <t xml:space="preserve">Based on MSRP of MY2016:
Ford Escape - https://www.truecar.com/prices-new/ford/escape-pricing/
Honda CR-V - www.truecar.com/prices-new/honda/cr-v-pricing/2013/
Toyota Rav4 - https://www.truecar.com/prices-new/toyota/rav4-pricing/2016/B2C18DF2/
($26,195+$28,045+$28570)/3 = $27,500
</t>
        </r>
      </text>
    </comment>
    <comment ref="E206" authorId="0" shapeId="0" xr:uid="{C01E04BB-B44E-4822-B2E3-4B096D5DA233}">
      <text>
        <r>
          <rPr>
            <sz val="9"/>
            <color indexed="81"/>
            <rFont val="Tahoma"/>
            <family val="2"/>
          </rPr>
          <t>Used MY13 VW Jetta SportWagen SE vs TDI as they are the same trim level
http://www.vw.com/en/models/jettasportwagen/trims-specs.html
http://www.truecar.com/prices-new/volkswagen/jetta-sportwagen-pricing/2013/DEEFDF70/</t>
        </r>
      </text>
    </comment>
    <comment ref="F206" authorId="0" shapeId="0" xr:uid="{9B587419-81F9-4A67-A5CC-0CB41402CA10}">
      <text>
        <r>
          <rPr>
            <sz val="9"/>
            <color indexed="81"/>
            <rFont val="Tahoma"/>
            <family val="2"/>
          </rPr>
          <t xml:space="preserve">MY2015-2016 
https://www.truecar.com/prices-new/toyota/rav4-pricing/2016/B2C18DF2/
https://www.truecar.com/prices-new/toyota/rav4-hybrid-pricing/
https://www.truecar.com/prices-new/toyota/highlander-pricing/2016/E6A62986/
https://www.truecar.com/prices-new/toyota/highlander-hybrid-pricing/2016/8C20B780/
https://www.truecar.com/prices-new/subaru/xv-crosstrek-pricing/2015/3672DABD/
https://www.truecar.com/prices-new/subaru/xv-crosstrek-hybrid-pricing/2015/070B26E9/
https://www.truecar.com/prices-new/infiniti/qx60-pricing/2015/E2C3C131/
</t>
        </r>
      </text>
    </comment>
    <comment ref="I206" authorId="0" shapeId="0" xr:uid="{103C53DA-5E17-4354-91F0-B0C4D59894DB}">
      <text>
        <r>
          <rPr>
            <sz val="9"/>
            <color indexed="81"/>
            <rFont val="Tahoma"/>
            <family val="2"/>
          </rPr>
          <t>Based on average of Q2 2013 ARRA data for Transit Connect EV and  MY2013 Toyota Rav4 EV
http://www.truecar.com/prices-new/toyota/rav4-ev-pricing/2013/
http://www.truecar.com/prices-new/toyota/rav4-pricing/2013/
50645 - 24145 = $26500
(36500+26500)/2 = $31500</t>
        </r>
      </text>
    </comment>
    <comment ref="J206" authorId="0" shapeId="0" xr:uid="{1D146D66-8C0C-4292-AA57-C3B6D6386086}">
      <text>
        <r>
          <rPr>
            <sz val="9"/>
            <color indexed="81"/>
            <rFont val="Tahoma"/>
            <family val="2"/>
          </rPr>
          <t>Toyota Mirai
http://www.usatoday.com/story/money/cars/2015/12/11/toyota-mirai-review/77106202/
MSRP $57,500 plus $835 in delivery charges</t>
        </r>
      </text>
    </comment>
    <comment ref="P206" authorId="0" shapeId="0" xr:uid="{1B443CC6-8AE3-4517-A431-00962B01BF08}">
      <text>
        <r>
          <rPr>
            <sz val="9"/>
            <color indexed="81"/>
            <rFont val="Tahoma"/>
            <family val="2"/>
          </rPr>
          <t>Q2 2013 ARRA data</t>
        </r>
      </text>
    </comment>
    <comment ref="Q206" authorId="0" shapeId="0" xr:uid="{15002DC1-AE49-43B9-9A55-36E25FB10B87}">
      <text>
        <r>
          <rPr>
            <sz val="9"/>
            <color indexed="81"/>
            <rFont val="Tahoma"/>
            <family val="2"/>
          </rPr>
          <t>Q2 2013 ARRA data</t>
        </r>
      </text>
    </comment>
    <comment ref="D207" authorId="0" shapeId="0" xr:uid="{33AD3BA8-DDCB-4BCA-B3A5-DF8BE2C55A7E}">
      <text>
        <r>
          <rPr>
            <sz val="9"/>
            <color indexed="81"/>
            <rFont val="Tahoma"/>
            <family val="2"/>
          </rPr>
          <t xml:space="preserve">FY16 Toyota Corolla S (auto); VW Jetta SE (auto); Honda Civic LX (auto)
https://www.truecar.com/prices-new/toyota/corolla-pricing/2016/D58EA4D5/
$20,130
http://www.truecar.com/prices-new/volkswagen/jetta-sedan-pricing/2013/52624D4E/
$20,915
https://www.truecar.com/prices-new/honda/civic-sedan-pricing/2016/BFE9A28C/
$20,275
</t>
        </r>
      </text>
    </comment>
    <comment ref="E207" authorId="0" shapeId="0" xr:uid="{EFA14DD6-FA17-4EB7-93E7-506D32D2AEB9}">
      <text>
        <r>
          <rPr>
            <sz val="9"/>
            <color indexed="81"/>
            <rFont val="Tahoma"/>
            <family val="2"/>
          </rPr>
          <t>MY13 VW Jetta SE vs TDI as they are the same trim level and Passat SE vs TDI
http://www.vw.com/en/models/jetta/trims-specs.html
http://www.vw.com/en/models/passat/trims-specs.html
http://www.truecar.com/prices-new/volkswagen/jetta-sedan-pricing/2013/
http://www.truecar.com/prices-new/volkswagen/passat-pricing/2013/</t>
        </r>
      </text>
    </comment>
    <comment ref="F207" authorId="0" shapeId="0" xr:uid="{913EFD8A-BAA6-4A9B-AA62-6762DBDCAA00}">
      <text>
        <r>
          <rPr>
            <sz val="9"/>
            <color indexed="81"/>
            <rFont val="Tahoma"/>
            <family val="2"/>
          </rPr>
          <t>MY2015-2016 (1/2016) https://www.fueleconomy.gov/feg/hybridCompare.jsp</t>
        </r>
      </text>
    </comment>
    <comment ref="G207" authorId="0" shapeId="0" xr:uid="{DB477477-5FB2-4461-A05C-5A01D02A2AAA}">
      <text>
        <r>
          <rPr>
            <sz val="9"/>
            <color indexed="81"/>
            <rFont val="Tahoma"/>
            <family val="2"/>
          </rPr>
          <t xml:space="preserve">Based on  MY2016 Ford C-Max Energi
http://www.truecar.com/prices-new/ford/c-max-energi-pricing/2016/
$32,645
</t>
        </r>
      </text>
    </comment>
    <comment ref="H207" authorId="0" shapeId="0" xr:uid="{0EA9EC0A-2383-40A1-9D36-8DDCB2971C0C}">
      <text>
        <r>
          <rPr>
            <sz val="9"/>
            <color indexed="81"/>
            <rFont val="Tahoma"/>
            <family val="2"/>
          </rPr>
          <t>MY16 Chevy Volt - LT
https://www.truecar.com/prices-new/chevrolet/volt-pricing/2016/C6AF17FE/
$33,995</t>
        </r>
      </text>
    </comment>
    <comment ref="I207" authorId="0" shapeId="0" xr:uid="{021A4589-7569-4B30-B307-02F25014F064}">
      <text>
        <r>
          <rPr>
            <sz val="9"/>
            <color indexed="81"/>
            <rFont val="Tahoma"/>
            <family val="2"/>
          </rPr>
          <t xml:space="preserve">MY2016  - Ford Focus, Kia Soul EV, VW eGolf (SE and SEL, Fiat 500e, Nissan Leaf, MY2015 Spark EV
https://www.truecar.com/prices-new/ford/focus-pricing/2016/E8F0F955/ 
https://www.truecar.com/prices-new/ford/focus-electric-pricing/2016/ 
https://www.truecar.com/prices-new/kia/soul-ev-pricing/ 
https://www.truecar.com/prices-new/kia/soul-pricing/2016/E2EA937E/ 
https://www.truecar.com/prices-new/volkswagen/e-golf-pricing/ 
https://www.truecar.com/prices-new/volkswagen/golf-pricing/2016/4D0354C0/ 
https://www.truecar.com/prices-new/nissan/leaf-pricing/ 
https://www.truecar.com/prices-new/nissan/versa-note-pricing/2016/E97DAB28/ 
https://www.truecar.com/prices-new/fiat/500-pricing/2016/EA359E5C/
https://www.truecar.com/prices-new/fiat/500e-pricing/2016/
http://www.chevrolet.com/all-vehicles-nav/cars/2015-spark/compare.extapp.html?x-brand=Chevrolet&amp;x-country=US&amp;x-language=en&amp;x-chrome=365900&amp;chrome2=365880&amp;chrome3=369618
</t>
        </r>
      </text>
    </comment>
    <comment ref="J207" authorId="0" shapeId="0" xr:uid="{F5407688-2882-4AD1-8DBD-630266B8FB2A}">
      <text>
        <r>
          <rPr>
            <sz val="9"/>
            <color indexed="81"/>
            <rFont val="Tahoma"/>
            <family val="2"/>
          </rPr>
          <t>Toyota Mirai
http://www.usatoday.com/story/money/cars/2015/12/11/toyota-mirai-review/77106202/
MSRP $57,500 plus $835 in delivery charges
http://www.fleetsandfuels.com/fuels/hydrogen/2016/01/honda-clarity-fcv-to-cost-60000</t>
        </r>
      </text>
    </comment>
    <comment ref="P207" authorId="0" shapeId="0" xr:uid="{1462965C-6A68-418A-A16D-2CDA67602A0F}">
      <text>
        <r>
          <rPr>
            <sz val="9"/>
            <color indexed="81"/>
            <rFont val="Tahoma"/>
            <family val="2"/>
          </rPr>
          <t>Q2 2013 ARRA data</t>
        </r>
      </text>
    </comment>
    <comment ref="Q207" authorId="0" shapeId="0" xr:uid="{13307207-C855-4F2A-AE37-F04A82093655}">
      <text>
        <r>
          <rPr>
            <sz val="9"/>
            <color indexed="81"/>
            <rFont val="Tahoma"/>
            <family val="2"/>
          </rPr>
          <t>Honda Civic vs Civic CNG
http://www.truecar.com/prices-new/honda/civic-sedan-pricing/
http://www.greencarreports.com/review/1051854_honda-civic-gx-natural-gas-vehicle-first-drive-review
No longer in production but assume same cost</t>
        </r>
      </text>
    </comment>
    <comment ref="D208" authorId="0" shapeId="0" xr:uid="{E0158EB2-9D79-4DD6-A981-DD14F76DAC51}">
      <text>
        <r>
          <rPr>
            <sz val="9"/>
            <color indexed="81"/>
            <rFont val="Tahoma"/>
            <family val="2"/>
          </rPr>
          <t xml:space="preserve">FY16 Toyota Corolla S (auto); VW Jetta SE (auto); Honda Civic LX (auto)
https://www.truecar.com/prices-new/toyota/corolla-pricing/2016/D58EA4D5/
$20,130
http://www.truecar.com/prices-new/volkswagen/jetta-sedan-pricing/2013/52624D4E/
$20,915
https://www.truecar.com/prices-new/honda/civic-sedan-pricing/2016/BFE9A28C/
$20,275
</t>
        </r>
      </text>
    </comment>
    <comment ref="E208" authorId="0" shapeId="0" xr:uid="{787DB9B5-8735-43A5-9234-DDA3DE43268C}">
      <text>
        <r>
          <rPr>
            <sz val="9"/>
            <color indexed="81"/>
            <rFont val="Tahoma"/>
            <family val="2"/>
          </rPr>
          <t>MY13 VW Jetta SE vs TDI as they are the same trim level and Passat SE vs TDI
http://www.vw.com/en/models/jetta/trims-specs.html
http://www.vw.com/en/models/passat/trims-specs.html
http://www.truecar.com/prices-new/volkswagen/jetta-sedan-pricing/2013/
http://www.truecar.com/prices-new/volkswagen/passat-pricing/2013/</t>
        </r>
      </text>
    </comment>
    <comment ref="F208" authorId="0" shapeId="0" xr:uid="{31602BE5-2250-4F52-8C71-42B6A5FE0D83}">
      <text>
        <r>
          <rPr>
            <sz val="9"/>
            <color indexed="81"/>
            <rFont val="Tahoma"/>
            <family val="2"/>
          </rPr>
          <t>MY2015-2016 (1/2016) https://www.fueleconomy.gov/feg/hybridCompare.jsp</t>
        </r>
      </text>
    </comment>
    <comment ref="G208" authorId="0" shapeId="0" xr:uid="{BC776F4E-0EC5-45C2-A32D-199943BBE6DB}">
      <text>
        <r>
          <rPr>
            <sz val="9"/>
            <color indexed="81"/>
            <rFont val="Tahoma"/>
            <family val="2"/>
          </rPr>
          <t xml:space="preserve">Based on  MY2016 Ford C-Max Energi
http://www.truecar.com/prices-new/ford/c-max-energi-pricing/2016/
$32,645
</t>
        </r>
      </text>
    </comment>
    <comment ref="H208" authorId="0" shapeId="0" xr:uid="{7B597777-40B8-4C7F-92B6-3635AE1DBCB6}">
      <text>
        <r>
          <rPr>
            <sz val="9"/>
            <color indexed="81"/>
            <rFont val="Tahoma"/>
            <family val="2"/>
          </rPr>
          <t>MY16 Chevy Volt - LT
https://www.truecar.com/prices-new/chevrolet/volt-pricing/2016/C6AF17FE/
$33,995</t>
        </r>
      </text>
    </comment>
    <comment ref="I208" authorId="0" shapeId="0" xr:uid="{7702BD47-0B57-4367-B38D-0BA27731EB86}">
      <text>
        <r>
          <rPr>
            <sz val="9"/>
            <color indexed="81"/>
            <rFont val="Tahoma"/>
            <family val="2"/>
          </rPr>
          <t xml:space="preserve">MY2016  - Ford Focus, Kia Soul EV, VW eGolf (SE and SEL, Fiat 500e, Nissan Leaf, MY2015 Spark EV
https://www.truecar.com/prices-new/ford/focus-pricing/2016/E8F0F955/ 
https://www.truecar.com/prices-new/ford/focus-electric-pricing/2016/ 
https://www.truecar.com/prices-new/kia/soul-ev-pricing/ 
https://www.truecar.com/prices-new/kia/soul-pricing/2016/E2EA937E/ 
https://www.truecar.com/prices-new/volkswagen/e-golf-pricing/ 
https://www.truecar.com/prices-new/volkswagen/golf-pricing/2016/4D0354C0/ 
https://www.truecar.com/prices-new/nissan/leaf-pricing/ 
https://www.truecar.com/prices-new/nissan/versa-note-pricing/2016/E97DAB28/ 
https://www.truecar.com/prices-new/fiat/500-pricing/2016/EA359E5C/
https://www.truecar.com/prices-new/fiat/500e-pricing/2016/
http://www.chevrolet.com/all-vehicles-nav/cars/2015-spark/compare.extapp.html?x-brand=Chevrolet&amp;x-country=US&amp;x-language=en&amp;x-chrome=365900&amp;chrome2=365880&amp;chrome3=369618
</t>
        </r>
      </text>
    </comment>
    <comment ref="J208" authorId="0" shapeId="0" xr:uid="{86EB948B-BE98-4EB0-A5E6-48A7E1940A9B}">
      <text>
        <r>
          <rPr>
            <sz val="9"/>
            <color indexed="81"/>
            <rFont val="Tahoma"/>
            <family val="2"/>
          </rPr>
          <t>Toyota Mirai
http://www.usatoday.com/story/money/cars/2015/12/11/toyota-mirai-review/77106202/
MSRP $57,500 plus $835 in delivery charges
http://www.fleetsandfuels.com/fuels/hydrogen/2016/01/honda-clarity-fcv-to-cost-60000</t>
        </r>
      </text>
    </comment>
    <comment ref="P208" authorId="0" shapeId="0" xr:uid="{6F649308-517D-43B4-B642-C9CBFB6363EC}">
      <text>
        <r>
          <rPr>
            <sz val="9"/>
            <color indexed="81"/>
            <rFont val="Tahoma"/>
            <family val="2"/>
          </rPr>
          <t>Q2 2013 ARRA data</t>
        </r>
      </text>
    </comment>
    <comment ref="Q208" authorId="0" shapeId="0" xr:uid="{C607105D-B35C-4B82-BD3D-4ABD673F7C10}">
      <text>
        <r>
          <rPr>
            <sz val="9"/>
            <color indexed="81"/>
            <rFont val="Tahoma"/>
            <family val="2"/>
          </rPr>
          <t>Honda Civic vs Civic CNG
http://www.truecar.com/prices-new/honda/civic-sedan-pricing/
http://www.greencarreports.com/review/1051854_honda-civic-gx-natural-gas-vehicle-first-drive-review
No longer in production but assume same cost</t>
        </r>
      </text>
    </comment>
    <comment ref="D209" authorId="0" shapeId="0" xr:uid="{B96C75DF-A933-4A8C-9604-7FB8C8B7CEE8}">
      <text>
        <r>
          <rPr>
            <sz val="9"/>
            <color indexed="81"/>
            <rFont val="Tahoma"/>
            <family val="2"/>
          </rPr>
          <t xml:space="preserve">FY16 Toyota Corolla S (auto); VW Jetta SE (auto); Honda Civic LX (auto)
https://www.truecar.com/prices-new/toyota/corolla-pricing/2016/D58EA4D5/
$20,130
http://www.truecar.com/prices-new/volkswagen/jetta-sedan-pricing/2013/52624D4E/
$20,915
https://www.truecar.com/prices-new/honda/civic-sedan-pricing/2016/BFE9A28C/
$20,275
</t>
        </r>
      </text>
    </comment>
    <comment ref="E209" authorId="0" shapeId="0" xr:uid="{476ABB92-DAE3-4483-BC69-7B5B5569B886}">
      <text>
        <r>
          <rPr>
            <sz val="9"/>
            <color indexed="81"/>
            <rFont val="Tahoma"/>
            <family val="2"/>
          </rPr>
          <t>MY13 VW Jetta SE vs TDI as they are the same trim level and Passat SE vs TDI
http://www.vw.com/en/models/jetta/trims-specs.html
http://www.vw.com/en/models/passat/trims-specs.html
http://www.truecar.com/prices-new/volkswagen/jetta-sedan-pricing/2013/
http://www.truecar.com/prices-new/volkswagen/passat-pricing/2013/</t>
        </r>
      </text>
    </comment>
    <comment ref="F209" authorId="0" shapeId="0" xr:uid="{7C03447B-8BD8-45D8-B37E-BC849BCA99ED}">
      <text>
        <r>
          <rPr>
            <sz val="9"/>
            <color indexed="81"/>
            <rFont val="Tahoma"/>
            <family val="2"/>
          </rPr>
          <t>MY2015-2016 (1/2016) https://www.fueleconomy.gov/feg/hybridCompare.jsp</t>
        </r>
      </text>
    </comment>
    <comment ref="G209" authorId="0" shapeId="0" xr:uid="{F21A1194-0525-4A68-9FD2-88656ACC242B}">
      <text>
        <r>
          <rPr>
            <sz val="9"/>
            <color indexed="81"/>
            <rFont val="Tahoma"/>
            <family val="2"/>
          </rPr>
          <t xml:space="preserve">Based on  MY2016 Ford C-Max Energi
http://www.truecar.com/prices-new/ford/c-max-energi-pricing/2016/
$32,645
</t>
        </r>
      </text>
    </comment>
    <comment ref="H209" authorId="0" shapeId="0" xr:uid="{F7E1E0F0-6B3C-4331-AC1D-BC716C22480E}">
      <text>
        <r>
          <rPr>
            <sz val="9"/>
            <color indexed="81"/>
            <rFont val="Tahoma"/>
            <family val="2"/>
          </rPr>
          <t>MY16 Chevy Volt - LT
https://www.truecar.com/prices-new/chevrolet/volt-pricing/2016/C6AF17FE/
$33,995</t>
        </r>
      </text>
    </comment>
    <comment ref="I209" authorId="0" shapeId="0" xr:uid="{111E1146-7085-46B7-B0E6-FD7BEF41FE0F}">
      <text>
        <r>
          <rPr>
            <sz val="9"/>
            <color indexed="81"/>
            <rFont val="Tahoma"/>
            <family val="2"/>
          </rPr>
          <t xml:space="preserve">MY2016  - Ford Focus, Kia Soul EV, VW eGolf (SE and SEL, Fiat 500e, Nissan Leaf, MY2015 Spark EV
https://www.truecar.com/prices-new/ford/focus-pricing/2016/E8F0F955/ 
https://www.truecar.com/prices-new/ford/focus-electric-pricing/2016/ 
https://www.truecar.com/prices-new/kia/soul-ev-pricing/ 
https://www.truecar.com/prices-new/kia/soul-pricing/2016/E2EA937E/ 
https://www.truecar.com/prices-new/volkswagen/e-golf-pricing/ 
https://www.truecar.com/prices-new/volkswagen/golf-pricing/2016/4D0354C0/ 
https://www.truecar.com/prices-new/nissan/leaf-pricing/ 
https://www.truecar.com/prices-new/nissan/versa-note-pricing/2016/E97DAB28/ 
https://www.truecar.com/prices-new/fiat/500-pricing/2016/EA359E5C/
https://www.truecar.com/prices-new/fiat/500e-pricing/2016/
http://www.chevrolet.com/all-vehicles-nav/cars/2015-spark/compare.extapp.html?x-brand=Chevrolet&amp;x-country=US&amp;x-language=en&amp;x-chrome=365900&amp;chrome2=365880&amp;chrome3=369618
</t>
        </r>
      </text>
    </comment>
    <comment ref="J209" authorId="0" shapeId="0" xr:uid="{F9A2477F-70A1-421A-9C80-24EC9C8D9501}">
      <text>
        <r>
          <rPr>
            <sz val="9"/>
            <color indexed="81"/>
            <rFont val="Tahoma"/>
            <family val="2"/>
          </rPr>
          <t>Toyota Mirai
http://www.usatoday.com/story/money/cars/2015/12/11/toyota-mirai-review/77106202/
MSRP $57,500 plus $835 in delivery charges
http://www.fleetsandfuels.com/fuels/hydrogen/2016/01/honda-clarity-fcv-to-cost-60000</t>
        </r>
      </text>
    </comment>
    <comment ref="P209" authorId="0" shapeId="0" xr:uid="{33146241-001D-4AC9-9407-2C0066F7047C}">
      <text>
        <r>
          <rPr>
            <sz val="9"/>
            <color indexed="81"/>
            <rFont val="Tahoma"/>
            <family val="2"/>
          </rPr>
          <t>Q2 2013 ARRA data</t>
        </r>
      </text>
    </comment>
    <comment ref="Q209" authorId="0" shapeId="0" xr:uid="{8EF49EC0-D355-4544-8936-D88D0A13495A}">
      <text>
        <r>
          <rPr>
            <sz val="9"/>
            <color indexed="81"/>
            <rFont val="Tahoma"/>
            <family val="2"/>
          </rPr>
          <t>Honda Civic vs Civic CNG
http://www.truecar.com/prices-new/honda/civic-sedan-pricing/
http://www.greencarreports.com/review/1051854_honda-civic-gx-natural-gas-vehicle-first-drive-review
No longer in production but assume same cost</t>
        </r>
      </text>
    </comment>
    <comment ref="D210" authorId="0" shapeId="0" xr:uid="{D349DD63-D81C-4B8B-9F2C-242432779D57}">
      <text>
        <r>
          <rPr>
            <sz val="9"/>
            <color indexed="81"/>
            <rFont val="Tahoma"/>
            <family val="2"/>
          </rPr>
          <t xml:space="preserve">NEV Q2 2013 ARRA data
</t>
        </r>
      </text>
    </comment>
    <comment ref="I210" authorId="0" shapeId="0" xr:uid="{12218A78-A38B-488E-9E5D-290B690D3A30}">
      <text>
        <r>
          <rPr>
            <sz val="9"/>
            <color indexed="81"/>
            <rFont val="Tahoma"/>
            <family val="2"/>
          </rPr>
          <t>Q2 2013 ARRA data</t>
        </r>
      </text>
    </comment>
    <comment ref="F241" authorId="0" shapeId="0" xr:uid="{A2C8EFD9-F306-48CF-BFE8-9B53DF3D7299}">
      <text>
        <r>
          <rPr>
            <sz val="9"/>
            <color indexed="81"/>
            <rFont val="Tahoma"/>
            <family val="2"/>
          </rPr>
          <t xml:space="preserve">Based on GREET 1  2015 - MY2015
</t>
        </r>
      </text>
    </comment>
    <comment ref="G241" authorId="0" shapeId="0" xr:uid="{CFC3A42B-BA70-466D-8414-77399E1ACDC4}">
      <text>
        <r>
          <rPr>
            <sz val="9"/>
            <color indexed="81"/>
            <rFont val="Tahoma"/>
            <family val="2"/>
          </rPr>
          <t xml:space="preserve">Based on GREET 1  2015 - MY2015 PHEV 20
</t>
        </r>
      </text>
    </comment>
    <comment ref="H241" authorId="0" shapeId="0" xr:uid="{C1CAF655-970A-4541-8F23-F9A67077DE0E}">
      <text>
        <r>
          <rPr>
            <sz val="9"/>
            <color indexed="81"/>
            <rFont val="Tahoma"/>
            <family val="2"/>
          </rPr>
          <t xml:space="preserve">Based on GREET 1  2015 - MY2015 PHEV 40
</t>
        </r>
      </text>
    </comment>
    <comment ref="I241" authorId="0" shapeId="0" xr:uid="{7C1043F2-0E3B-4000-BA51-7454C47369B5}">
      <text>
        <r>
          <rPr>
            <sz val="9"/>
            <color indexed="81"/>
            <rFont val="Tahoma"/>
            <family val="2"/>
          </rPr>
          <t xml:space="preserve">Based on GREET 1 2015 - MY2015 assumptions.
This value accounts for charger efficiency of 85%
</t>
        </r>
      </text>
    </comment>
    <comment ref="J241" authorId="0" shapeId="0" xr:uid="{8640C735-4D7C-45ED-8E71-B5BC5D07DBE5}">
      <text>
        <r>
          <rPr>
            <sz val="9"/>
            <color indexed="81"/>
            <rFont val="Tahoma"/>
            <family val="2"/>
          </rPr>
          <t xml:space="preserve">Based on GREET 1  2015 - MY2015
</t>
        </r>
      </text>
    </comment>
    <comment ref="M241" authorId="0" shapeId="0" xr:uid="{4F6BB718-EFFA-41C2-8208-B479ED73DD32}">
      <text>
        <r>
          <rPr>
            <sz val="9"/>
            <color indexed="81"/>
            <rFont val="Tahoma"/>
            <family val="2"/>
          </rPr>
          <t>All vehicles based on GREET 1 2015 assumption of same fuel economy as diesel</t>
        </r>
      </text>
    </comment>
    <comment ref="N241" authorId="0" shapeId="0" xr:uid="{9B3589BB-CD64-4F04-9F2C-04C0DF702D11}">
      <text>
        <r>
          <rPr>
            <sz val="9"/>
            <color indexed="81"/>
            <rFont val="Tahoma"/>
            <family val="2"/>
          </rPr>
          <t>All vehicles based on GREET 1  2015 assumption of same fuel economy as diesel</t>
        </r>
      </text>
    </comment>
    <comment ref="O241" authorId="0" shapeId="0" xr:uid="{1FFFE833-208E-4160-AE4F-5F19E1696879}">
      <text>
        <r>
          <rPr>
            <sz val="9"/>
            <color indexed="81"/>
            <rFont val="Tahoma"/>
            <family val="2"/>
          </rPr>
          <t>All vehicles based on GREET 1  2015 assumption of same fuel economy as gasoline</t>
        </r>
      </text>
    </comment>
    <comment ref="P241" authorId="0" shapeId="0" xr:uid="{4E988D39-2F06-4B12-937D-47AC119BF6FA}">
      <text>
        <r>
          <rPr>
            <sz val="9"/>
            <color indexed="81"/>
            <rFont val="Tahoma"/>
            <family val="2"/>
          </rPr>
          <t xml:space="preserve">Assumed same energy equivalent fuel economy as gasoline vehicle - GREET 1 2015 MY2010 default assumption, as limited data available showing better MPG.
</t>
        </r>
      </text>
    </comment>
    <comment ref="Q241" authorId="0" shapeId="0" xr:uid="{3F7F649C-E6C2-4B9E-9344-B3E023120A88}">
      <text>
        <r>
          <rPr>
            <sz val="9"/>
            <color indexed="81"/>
            <rFont val="Tahoma"/>
            <family val="2"/>
          </rPr>
          <t xml:space="preserve">Using GREET 1 2015 MY2015 for 
HDVs with significant highway driving ~ 0.90 vs. diesel
HDVs with significant city driving ~ 0.85 vs. diesel
LDVs ~0.95 vs. gasoline
</t>
        </r>
      </text>
    </comment>
    <comment ref="R241" authorId="0" shapeId="0" xr:uid="{57F13D12-2F1E-420F-9995-9032CB969CE3}">
      <text>
        <r>
          <rPr>
            <sz val="9"/>
            <color indexed="81"/>
            <rFont val="Tahoma"/>
            <family val="2"/>
          </rPr>
          <t>LNG SI assumed to be the same as CNG</t>
        </r>
      </text>
    </comment>
    <comment ref="S241" authorId="0" shapeId="0" xr:uid="{5CED1E0C-77D4-4403-813E-89E66AC6567E}">
      <text>
        <r>
          <rPr>
            <sz val="9"/>
            <color indexed="81"/>
            <rFont val="Tahoma"/>
            <family val="2"/>
          </rPr>
          <t xml:space="preserve">Based on GREET 1  2015 - MY2015
</t>
        </r>
      </text>
    </comment>
    <comment ref="D242" authorId="0" shapeId="0" xr:uid="{717F3273-1A03-40A5-A8F1-38FCE0D5918D}">
      <text>
        <r>
          <rPr>
            <sz val="9"/>
            <color indexed="81"/>
            <rFont val="Tahoma"/>
            <family val="2"/>
          </rPr>
          <t xml:space="preserve">Diesel vehicles assumed to have 1.2x better fuel economy than gasoline, based on GREET 1 2015 - MY2015 assumptions.
</t>
        </r>
      </text>
    </comment>
    <comment ref="E242" authorId="0" shapeId="0" xr:uid="{91729B6B-FC28-432F-8FE4-4176DC83CA77}">
      <text>
        <r>
          <rPr>
            <sz val="9"/>
            <color indexed="81"/>
            <rFont val="Tahoma"/>
            <family val="2"/>
          </rPr>
          <t xml:space="preserve">Based on GREET 1  2015 - MY2015 </t>
        </r>
      </text>
    </comment>
    <comment ref="K242" authorId="0" shapeId="0" xr:uid="{457F27D0-8987-40A0-AEDC-A1857741DD21}">
      <text>
        <r>
          <rPr>
            <sz val="9"/>
            <color indexed="81"/>
            <rFont val="Tahoma"/>
            <family val="2"/>
          </rPr>
          <t>NHTSA (2010) Factors and Considerations for Establishing a Fuel Efficiency Regulatory Program for Commercial Medium- and Heavy-Duty Vehicles
Table II.C.5 - mild hybrid</t>
        </r>
      </text>
    </comment>
    <comment ref="L242" authorId="0" shapeId="0" xr:uid="{14D9C0A8-CC6A-43D9-A222-E7DB78DA1397}">
      <text>
        <r>
          <rPr>
            <sz val="9"/>
            <color indexed="81"/>
            <rFont val="Tahoma"/>
            <family val="2"/>
          </rPr>
          <t>This technology is not applicable for line-haul applications, so assume same as diesel</t>
        </r>
      </text>
    </comment>
    <comment ref="D243" authorId="0" shapeId="0" xr:uid="{45F92E10-0D2F-4D62-BAEC-FDD15CDF4AF2}">
      <text>
        <r>
          <rPr>
            <sz val="9"/>
            <color indexed="81"/>
            <rFont val="Tahoma"/>
            <family val="2"/>
          </rPr>
          <t xml:space="preserve">Diesel vehicles assumed to have 1.2x better fuel economy than gasoline, based on GREET 1 2015 - MY2015 assumptions.
</t>
        </r>
      </text>
    </comment>
    <comment ref="E243" authorId="0" shapeId="0" xr:uid="{1074B505-8F1B-4686-94B5-EFE30FC06ED4}">
      <text>
        <r>
          <rPr>
            <sz val="9"/>
            <color indexed="81"/>
            <rFont val="Tahoma"/>
            <family val="2"/>
          </rPr>
          <t xml:space="preserve">Based on GREET 1  2015 - MY2015 </t>
        </r>
      </text>
    </comment>
    <comment ref="K243" authorId="0" shapeId="0" xr:uid="{CBEB73E0-D5C7-48C5-A3C1-DE3904D9B027}">
      <text>
        <r>
          <rPr>
            <sz val="9"/>
            <color indexed="81"/>
            <rFont val="Tahoma"/>
            <family val="2"/>
          </rPr>
          <t>NHTSA (2010) Factors and Considerations for Establishing a Fuel Efficiency Regulatory Program for Commercial Medium- and Heavy-Duty Vehicles
Table II.C.5 - mild hybrid</t>
        </r>
      </text>
    </comment>
    <comment ref="L243" authorId="0" shapeId="0" xr:uid="{1B0749ED-DE46-45F4-8049-883537BF2CB3}">
      <text>
        <r>
          <rPr>
            <sz val="9"/>
            <color indexed="81"/>
            <rFont val="Tahoma"/>
            <family val="2"/>
          </rPr>
          <t>This technology is not applicable for line-haul applications, so assume same as diesel</t>
        </r>
      </text>
    </comment>
    <comment ref="D244" authorId="0" shapeId="0" xr:uid="{13E23736-E0F2-4CDD-B34E-0EC46C6D8990}">
      <text>
        <r>
          <rPr>
            <sz val="9"/>
            <color indexed="81"/>
            <rFont val="Tahoma"/>
            <family val="2"/>
          </rPr>
          <t xml:space="preserve">Diesel vehicles assumed to have 1.2x better fuel economy than gasoline, based on GREET 1 2015 - MY2015 assumptions.
</t>
        </r>
      </text>
    </comment>
    <comment ref="E244" authorId="0" shapeId="0" xr:uid="{3311B16F-729D-49F0-8022-58575D75CA35}">
      <text>
        <r>
          <rPr>
            <sz val="9"/>
            <color indexed="81"/>
            <rFont val="Tahoma"/>
            <family val="2"/>
          </rPr>
          <t>Scaled using AFLEET 2013 assumptions
Straight truck = 5.5 MPG
Based on HEV Q2 2013 ARRA data - additional Maryland reporting
Lammert (2012) Measured Laboratory and In-Use Fuel Economy Observed over Targeted Drive Cycles for Comparable Hybrid and Conventional Package Delivery Vehicles - NREL SAE Paper
adjusted results:
diesel - 7.1 mpdge
diesel HEV - 9.0 mpdge</t>
        </r>
      </text>
    </comment>
    <comment ref="K244" authorId="0" shapeId="0" xr:uid="{095C321F-ADC0-4914-BCC1-DF98B525D214}">
      <text>
        <r>
          <rPr>
            <sz val="9"/>
            <color indexed="81"/>
            <rFont val="Tahoma"/>
            <family val="2"/>
          </rPr>
          <t>Based on HEV Q2 2013 ARRA data - additional Maryland reporting</t>
        </r>
      </text>
    </comment>
    <comment ref="L244" authorId="0" shapeId="0" xr:uid="{93855160-652B-40E6-9251-EE9D0D270106}">
      <text>
        <r>
          <rPr>
            <sz val="9"/>
            <color indexed="81"/>
            <rFont val="Tahoma"/>
            <family val="2"/>
          </rPr>
          <t>Assiume same as
NHTSA (2010) Factors and Considerations for Establishing a Fuel Efficiency Regulatory Program for Commercial Medium- and Heavy-Duty Vehicles
Table II.C.5 - parallel HHV</t>
        </r>
      </text>
    </comment>
    <comment ref="T244" authorId="0" shapeId="0" xr:uid="{78EAB871-4782-4C0E-BAB1-83C046D0FBA0}">
      <text>
        <r>
          <rPr>
            <sz val="9"/>
            <color indexed="81"/>
            <rFont val="Tahoma"/>
            <family val="2"/>
          </rPr>
          <t>NHTSA (2010) Factors and Considerations for Establishing a Fuel Efficiency Regulatory Program for Commercial Medium- and Heavy-Duty Vehicles
Table II.C.5 - Box and Bucket ePTO current</t>
        </r>
      </text>
    </comment>
    <comment ref="D245" authorId="0" shapeId="0" xr:uid="{156905AD-E946-4368-B4CD-2A95640D8445}">
      <text>
        <r>
          <rPr>
            <sz val="9"/>
            <color indexed="81"/>
            <rFont val="Tahoma"/>
            <family val="2"/>
          </rPr>
          <t xml:space="preserve">Diesel vehicles assumed to have 1.2x better fuel economy than gasoline, based on GREET 1 2015 - MY2015 assumptions.
</t>
        </r>
      </text>
    </comment>
    <comment ref="E245" authorId="0" shapeId="0" xr:uid="{559850B1-72C4-4BFD-918E-EC54BBC9EB2F}">
      <text>
        <r>
          <rPr>
            <sz val="9"/>
            <color indexed="81"/>
            <rFont val="Tahoma"/>
            <family val="2"/>
          </rPr>
          <t xml:space="preserve">Based on GREET 1  2015 - MY2015 </t>
        </r>
      </text>
    </comment>
    <comment ref="K245" authorId="0" shapeId="0" xr:uid="{F9A86735-2282-4F1C-9249-9766575F07F9}">
      <text>
        <r>
          <rPr>
            <sz val="9"/>
            <color indexed="81"/>
            <rFont val="Tahoma"/>
            <family val="2"/>
          </rPr>
          <t>Lammert (2012) Measured Laboratory and In-Use Fuel Economy Observed over Targeted Drive Cycles for Comparable Hybrid and Conventional Package Delivery Vehicles - NREL SAE Paper
adjusted results:
diesel - 7.1 mpdge
diesel HEV - 9.0 mpdge</t>
        </r>
      </text>
    </comment>
    <comment ref="L245" authorId="0" shapeId="0" xr:uid="{8F68569D-730D-45C9-9A80-CB832F2227DE}">
      <text>
        <r>
          <rPr>
            <sz val="9"/>
            <color indexed="81"/>
            <rFont val="Tahoma"/>
            <family val="2"/>
          </rPr>
          <t>Assiume same as
NHTSA (2010) Factors and Considerations for Establishing a Fuel Efficiency Regulatory Program for Commercial Medium- and Heavy-Duty Vehicles
Table II.C.5 - parallel HHV</t>
        </r>
      </text>
    </comment>
    <comment ref="T245" authorId="0" shapeId="0" xr:uid="{DE949E01-AC07-4C07-BA1C-20C402CCCF3E}">
      <text>
        <r>
          <rPr>
            <sz val="9"/>
            <color indexed="81"/>
            <rFont val="Tahoma"/>
            <family val="2"/>
          </rPr>
          <t>NHTSA (2010) Factors and Considerations for Establishing a Fuel Efficiency Regulatory Program for Commercial Medium- and Heavy-Duty Vehicles
Table II.C.5 - Box and Bucket ePTO current</t>
        </r>
      </text>
    </comment>
    <comment ref="D246" authorId="0" shapeId="0" xr:uid="{99093632-DEA1-4CBC-A92B-21FD2C7F3E97}">
      <text>
        <r>
          <rPr>
            <sz val="9"/>
            <color indexed="81"/>
            <rFont val="Tahoma"/>
            <family val="2"/>
          </rPr>
          <t xml:space="preserve">Diesel vehicles assumed to have 1.2x better fuel economy than gasoline, based on GREET 1 2015 - MY2015 assumptions.
</t>
        </r>
      </text>
    </comment>
    <comment ref="E246" authorId="0" shapeId="0" xr:uid="{5C9EF02D-9F85-403A-8C3E-F28751754BFB}">
      <text>
        <r>
          <rPr>
            <sz val="9"/>
            <color indexed="81"/>
            <rFont val="Tahoma"/>
            <family val="2"/>
          </rPr>
          <t>Based on CNG Q2 2013 ARRA data; assumed diesel has 10% better fuel economy</t>
        </r>
      </text>
    </comment>
    <comment ref="K246" authorId="0" shapeId="0" xr:uid="{77522687-2F1C-4AA5-A6FC-5E6A8C583838}">
      <text>
        <r>
          <rPr>
            <sz val="9"/>
            <color indexed="81"/>
            <rFont val="Tahoma"/>
            <family val="2"/>
          </rPr>
          <t>Assume same as
NHTSA (2010) Factors and Considerations for Establishing a Fuel Efficiency Regulatory Program for Commercial Medium- and Heavy-Duty Vehicles
Table II.C.5 - parallel HEV - box and bucket</t>
        </r>
      </text>
    </comment>
    <comment ref="L246" authorId="0" shapeId="0" xr:uid="{DA433645-C2C0-4EFD-9CE6-768C6A31E4C8}">
      <text>
        <r>
          <rPr>
            <sz val="9"/>
            <color indexed="81"/>
            <rFont val="Tahoma"/>
            <family val="2"/>
          </rPr>
          <t>Assiume same as
NHTSA (2010) Factors and Considerations for Establishing a Fuel Efficiency Regulatory Program for Commercial Medium- and Heavy-Duty Vehicles
Table II.C.5 - parallel HHV</t>
        </r>
      </text>
    </comment>
    <comment ref="D247" authorId="0" shapeId="0" xr:uid="{84ADE60B-66DA-4CED-B8FE-14F534D069A5}">
      <text>
        <r>
          <rPr>
            <sz val="9"/>
            <color indexed="81"/>
            <rFont val="Tahoma"/>
            <family val="2"/>
          </rPr>
          <t xml:space="preserve">Diesel vehicles assumed to have 1.2x better fuel economy than gasoline, based on GREET 1 2015 - MY2015 assumptions.
</t>
        </r>
      </text>
    </comment>
    <comment ref="E247" authorId="0" shapeId="0" xr:uid="{C2BFB0F4-67C2-4C1E-870B-55B692FF433C}">
      <text>
        <r>
          <rPr>
            <sz val="9"/>
            <color indexed="81"/>
            <rFont val="Tahoma"/>
            <family val="2"/>
          </rPr>
          <t>National Academy of Sciences (2010) Technologies and Approaches to Reducing the Fuel Consumption of Medium- and Heavy-Duty Vehicles 
pg 148
20 diesel gallons per 100 miles = 5 mpdge</t>
        </r>
      </text>
    </comment>
    <comment ref="K247" authorId="0" shapeId="0" xr:uid="{93665BD4-2886-4809-BC71-04D7789EA1C3}">
      <text>
        <r>
          <rPr>
            <sz val="9"/>
            <color indexed="81"/>
            <rFont val="Tahoma"/>
            <family val="2"/>
          </rPr>
          <t>NHTSA (2010) Factors and Considerations for Establishing a Fuel Efficiency Regulatory Program for Commercial Medium- and Heavy-Duty Vehicles
Table II.C.5 - parallel HEV - box and bucket</t>
        </r>
      </text>
    </comment>
    <comment ref="L247" authorId="0" shapeId="0" xr:uid="{E1A42B04-F506-49F2-BB02-F2870B7F2D7E}">
      <text>
        <r>
          <rPr>
            <sz val="9"/>
            <color indexed="81"/>
            <rFont val="Tahoma"/>
            <family val="2"/>
          </rPr>
          <t>Assiume same as
NHTSA (2010) Factors and Considerations for Establishing a Fuel Efficiency Regulatory Program for Commercial Medium- and Heavy-Duty Vehicles
Table II.C.5 - parallel HHV</t>
        </r>
      </text>
    </comment>
    <comment ref="T247" authorId="0" shapeId="0" xr:uid="{36B1846D-20CA-4212-891C-91E60B0CAF3E}">
      <text>
        <r>
          <rPr>
            <sz val="9"/>
            <color indexed="81"/>
            <rFont val="Tahoma"/>
            <family val="2"/>
          </rPr>
          <t>NHTSA (2010) Factors and Considerations for Establishing a Fuel Efficiency Regulatory Program for Commercial Medium- and Heavy-Duty Vehicles
Table II.C.5 - Box and Bucket ePTO current</t>
        </r>
      </text>
    </comment>
    <comment ref="D248" authorId="0" shapeId="0" xr:uid="{88DFFEAC-CCF9-40F5-82B0-064F2B9FA47C}">
      <text>
        <r>
          <rPr>
            <sz val="9"/>
            <color indexed="81"/>
            <rFont val="Tahoma"/>
            <family val="2"/>
          </rPr>
          <t xml:space="preserve">Diesel vehicles assumed to have 1.2x better fuel economy than gasoline, based on GREET 1 2015 - MY2015 assumptions.
</t>
        </r>
      </text>
    </comment>
    <comment ref="E248" authorId="0" shapeId="0" xr:uid="{B0C936C9-82C5-43AB-A06C-3C077E1E44AF}">
      <text>
        <r>
          <rPr>
            <sz val="9"/>
            <color indexed="81"/>
            <rFont val="Tahoma"/>
            <family val="2"/>
          </rPr>
          <t>Based on CNG Q2 2013 ARRA data; assumed diesel has 10% better fuel economy</t>
        </r>
      </text>
    </comment>
    <comment ref="K248" authorId="0" shapeId="0" xr:uid="{87B8B07C-7176-4722-A5D8-508CE2737963}">
      <text>
        <r>
          <rPr>
            <sz val="9"/>
            <color indexed="81"/>
            <rFont val="Tahoma"/>
            <family val="2"/>
          </rPr>
          <t>Assume same as
NHTSA (2010) Factors and Considerations for Establishing a Fuel Efficiency Regulatory Program for Commercial Medium- and Heavy-Duty Vehicles
Table II.C.5 - parallel HEV - box and bucket</t>
        </r>
      </text>
    </comment>
    <comment ref="L248" authorId="0" shapeId="0" xr:uid="{20A59C4A-CD23-4970-8033-04D46B6681FE}">
      <text>
        <r>
          <rPr>
            <sz val="9"/>
            <color indexed="81"/>
            <rFont val="Tahoma"/>
            <family val="2"/>
          </rPr>
          <t>Assiume same as
NHTSA (2010) Factors and Considerations for Establishing a Fuel Efficiency Regulatory Program for Commercial Medium- and Heavy-Duty Vehicles
Table II.C.5 - parallel HHV</t>
        </r>
      </text>
    </comment>
    <comment ref="D250" authorId="0" shapeId="0" xr:uid="{EF3F34CE-6510-4754-A72E-23BCD3B2A30D}">
      <text>
        <r>
          <rPr>
            <sz val="9"/>
            <color indexed="81"/>
            <rFont val="Tahoma"/>
            <family val="2"/>
          </rPr>
          <t xml:space="preserve">Diesel vehicles assumed to have 1.2x better fuel economy than gasoline, based on GREET 1 2015 - MY2015 assumptions.
</t>
        </r>
      </text>
    </comment>
    <comment ref="E250" authorId="0" shapeId="0" xr:uid="{C059C8B9-D5B5-4652-B719-D5B7708BE8F2}">
      <text>
        <r>
          <rPr>
            <sz val="9"/>
            <color indexed="81"/>
            <rFont val="Tahoma"/>
            <family val="2"/>
          </rPr>
          <t>Based on CNG Q2 2013 ARRA data</t>
        </r>
      </text>
    </comment>
    <comment ref="K250" authorId="0" shapeId="0" xr:uid="{35801EEE-21B8-4CB9-A2EF-6EC839F42D92}">
      <text>
        <r>
          <rPr>
            <sz val="9"/>
            <color indexed="81"/>
            <rFont val="Tahoma"/>
            <family val="2"/>
          </rPr>
          <t>NHTSA (2010) Factors and Considerations for Establishing a Fuel Efficiency Regulatory Program for Commercial Medium- and Heavy-Duty Vehicles
Table II.C.5 - parallel HEV - box and bucket
http://inhabitat.com/allianz-4000-the-worlds-first-hybrid-electric-street-sweeper/new-10-67/</t>
        </r>
      </text>
    </comment>
    <comment ref="L250" authorId="0" shapeId="0" xr:uid="{D89932ED-A529-47DF-B83A-51CD33B06D46}">
      <text>
        <r>
          <rPr>
            <sz val="9"/>
            <color indexed="81"/>
            <rFont val="Tahoma"/>
            <family val="2"/>
          </rPr>
          <t>Assiume same as
NHTSA (2010) Factors and Considerations for Establishing a Fuel Efficiency Regulatory Program for Commercial Medium- and Heavy-Duty Vehicles
Table II.C.5 - parallel HHV</t>
        </r>
      </text>
    </comment>
    <comment ref="D251" authorId="0" shapeId="0" xr:uid="{B8DBB963-E7EA-43F9-86DE-8638E2DA6BCA}">
      <text>
        <r>
          <rPr>
            <sz val="9"/>
            <color indexed="81"/>
            <rFont val="Tahoma"/>
            <family val="2"/>
          </rPr>
          <t xml:space="preserve">Diesel vehicles assumed to have 1.2x better fuel economy than gasoline, based on GREET 1 2015 - MY2015 assumptions.
</t>
        </r>
      </text>
    </comment>
    <comment ref="E251" authorId="0" shapeId="0" xr:uid="{7297274F-EBF9-4B2C-A7F5-D696D5D8AA8C}">
      <text>
        <r>
          <rPr>
            <sz val="9"/>
            <color indexed="81"/>
            <rFont val="Tahoma"/>
            <family val="2"/>
          </rPr>
          <t>Based on Argonne (2013) Case Study -  Compressed Natural Gas refuse truck diesel data, which matches GREET Fleet
1.75 mpdge</t>
        </r>
      </text>
    </comment>
    <comment ref="K251" authorId="0" shapeId="0" xr:uid="{3109BAA9-07BC-4301-A84F-C4DFC24616A1}">
      <text>
        <r>
          <rPr>
            <sz val="9"/>
            <color indexed="81"/>
            <rFont val="Tahoma"/>
            <family val="2"/>
          </rPr>
          <t>NHTSA (2010) Factors and Considerations for Establishing a Fuel Efficiency Regulatory Program for Commercial Medium- and Heavy-Duty Vehicles
Table II.C.5 - parallel HEV - refuse</t>
        </r>
      </text>
    </comment>
    <comment ref="L251" authorId="0" shapeId="0" xr:uid="{A89C2C29-02E4-4132-8586-F21BC646D8CE}">
      <text>
        <r>
          <rPr>
            <sz val="9"/>
            <color indexed="81"/>
            <rFont val="Tahoma"/>
            <family val="2"/>
          </rPr>
          <t>NHTSA (2010) Factors and Considerations for Establishing a Fuel Efficiency Regulatory Program for Commercial Medium- and Heavy-Duty Vehicles
Table II.C.5 - parallel HHV</t>
        </r>
      </text>
    </comment>
    <comment ref="T251" authorId="0" shapeId="0" xr:uid="{EAE9A956-2B74-460E-BD1A-1DB8F11CEF4A}">
      <text>
        <r>
          <rPr>
            <sz val="9"/>
            <color indexed="81"/>
            <rFont val="Tahoma"/>
            <family val="2"/>
          </rPr>
          <t>NHTSA (2010) Factors and Considerations for Establishing a Fuel Efficiency Regulatory Program for Commercial Medium- and Heavy-Duty Vehicles
Table II.C.5 - refuse ePTO current</t>
        </r>
      </text>
    </comment>
    <comment ref="D252" authorId="0" shapeId="0" xr:uid="{11082983-624B-4514-AA46-1E72ACC41D4A}">
      <text>
        <r>
          <rPr>
            <sz val="9"/>
            <color indexed="81"/>
            <rFont val="Tahoma"/>
            <family val="2"/>
          </rPr>
          <t xml:space="preserve">Diesel vehicles assumed to have 1.2x better fuel economy than gasoline, based on GREET 1 2015 - MY2015 assumptions.
</t>
        </r>
      </text>
    </comment>
    <comment ref="E252" authorId="0" shapeId="0" xr:uid="{69912625-57C9-4B56-A52A-4D50249A79C1}">
      <text>
        <r>
          <rPr>
            <sz val="9"/>
            <color indexed="81"/>
            <rFont val="Tahoma"/>
            <family val="2"/>
          </rPr>
          <t xml:space="preserve">Based on GREET 1  2015 - MY2015 </t>
        </r>
      </text>
    </comment>
    <comment ref="K252" authorId="0" shapeId="0" xr:uid="{EBEF4B21-CBE8-4A22-9C55-FB7110DD6996}">
      <text>
        <r>
          <rPr>
            <sz val="9"/>
            <color indexed="81"/>
            <rFont val="Tahoma"/>
            <family val="2"/>
          </rPr>
          <t>NHTSA (2010) Factors and Considerations for Establishing a Fuel Efficiency Regulatory Program for Commercial Medium- and Heavy-Duty Vehicles
Table II.C.5 - parallel HEV - transit</t>
        </r>
      </text>
    </comment>
    <comment ref="L252" authorId="0" shapeId="0" xr:uid="{3AB66FC1-2206-48D8-9F07-6F9047C7025A}">
      <text>
        <r>
          <rPr>
            <sz val="9"/>
            <color indexed="81"/>
            <rFont val="Tahoma"/>
            <family val="2"/>
          </rPr>
          <t>Assiume same as
NHTSA (2010) Factors and Considerations for Establishing a Fuel Efficiency Regulatory Program for Commercial Medium- and Heavy-Duty Vehicles
Table II.C.5 - parallel HHV</t>
        </r>
      </text>
    </comment>
    <comment ref="D253" authorId="0" shapeId="0" xr:uid="{CD4781A5-BE93-49CE-A8B0-7484028CD22B}">
      <text>
        <r>
          <rPr>
            <sz val="9"/>
            <color indexed="81"/>
            <rFont val="Tahoma"/>
            <family val="2"/>
          </rPr>
          <t xml:space="preserve">Diesel vehicles assumed to have 1.2x better fuel economy than gasoline, based on GREET 1 2015 - MY2015 assumptions.
</t>
        </r>
      </text>
    </comment>
    <comment ref="E253" authorId="0" shapeId="0" xr:uid="{AB171647-B57C-4A75-A124-CD7637AD8AAD}">
      <text>
        <r>
          <rPr>
            <sz val="9"/>
            <color indexed="81"/>
            <rFont val="Tahoma"/>
            <family val="2"/>
          </rPr>
          <t xml:space="preserve">Based on GREET 1  2015 - MY2015 </t>
        </r>
      </text>
    </comment>
    <comment ref="K253" authorId="0" shapeId="0" xr:uid="{657481BD-699B-4C91-A658-2D24B0DFADD8}">
      <text>
        <r>
          <rPr>
            <sz val="9"/>
            <color indexed="81"/>
            <rFont val="Tahoma"/>
            <family val="2"/>
          </rPr>
          <t>Kentucky Clean Fuels Coalition - Hybrid School Bus dataset  - 6-21-13 update
HEV buses averaged a 35% improvement over diesel counterparts</t>
        </r>
      </text>
    </comment>
    <comment ref="L253" authorId="0" shapeId="0" xr:uid="{F83F2BC4-8EDA-41F3-B6E5-894C12787320}">
      <text>
        <r>
          <rPr>
            <sz val="9"/>
            <color indexed="81"/>
            <rFont val="Tahoma"/>
            <family val="2"/>
          </rPr>
          <t>Assiume same as
NHTSA (2010) Factors and Considerations for Establishing a Fuel Efficiency Regulatory Program for Commercial Medium- and Heavy-Duty Vehicles
Table II.C.5 - parallel HHV</t>
        </r>
      </text>
    </comment>
    <comment ref="D254" authorId="0" shapeId="0" xr:uid="{1D6ECC65-1EFF-4FBF-A0CA-DB6DB4391E8B}">
      <text>
        <r>
          <rPr>
            <sz val="9"/>
            <color indexed="81"/>
            <rFont val="Tahoma"/>
            <family val="2"/>
          </rPr>
          <t xml:space="preserve">Diesel vehicles assumed to have 1.2x better fuel economy than gasoline, based on GREET 1 2015 - MY2015 assumptions.
</t>
        </r>
      </text>
    </comment>
    <comment ref="E254" authorId="0" shapeId="0" xr:uid="{2D3F8303-28C9-4C03-B5EE-F691155E9F95}">
      <text>
        <r>
          <rPr>
            <sz val="9"/>
            <color indexed="81"/>
            <rFont val="Tahoma"/>
            <family val="2"/>
          </rPr>
          <t>Based on CNG/LPG Q2 2013 ARRA data
Assumed 10% penalty of CNG/LPG shuttle buses whose average fuel economy was ~7.2 mpgge</t>
        </r>
      </text>
    </comment>
    <comment ref="K254" authorId="0" shapeId="0" xr:uid="{5BEBFAE0-F714-4ED3-AB74-293300672D45}">
      <text>
        <r>
          <rPr>
            <sz val="9"/>
            <color indexed="81"/>
            <rFont val="Tahoma"/>
            <family val="2"/>
          </rPr>
          <t>Used school bus as placeholder
Kentucky Clean Fuels Coalition - Hybrid School Bus dataset  - 6-21-13 update
HEV buses averaged a 35% improvement over diesel counterparts</t>
        </r>
      </text>
    </comment>
    <comment ref="L254" authorId="0" shapeId="0" xr:uid="{92F2E230-17D6-4E29-8903-18697A421DCF}">
      <text>
        <r>
          <rPr>
            <sz val="9"/>
            <color indexed="81"/>
            <rFont val="Tahoma"/>
            <family val="2"/>
          </rPr>
          <t>Assiume same as
NHTSA (2010) Factors and Considerations for Establishing a Fuel Efficiency Regulatory Program for Commercial Medium- and Heavy-Duty Vehicles
Table II.C.5 - parallel HHV</t>
        </r>
      </text>
    </comment>
    <comment ref="D255" authorId="0" shapeId="0" xr:uid="{D642F9D1-F7CB-41CB-AFA5-39A6DCEE3D83}">
      <text>
        <r>
          <rPr>
            <sz val="9"/>
            <color indexed="81"/>
            <rFont val="Tahoma"/>
            <family val="2"/>
          </rPr>
          <t xml:space="preserve">Based on CNG/LPG Q2 2013 ARRA data
</t>
        </r>
      </text>
    </comment>
    <comment ref="E255" authorId="0" shapeId="0" xr:uid="{0C062AC0-C6F9-4C0F-834D-AA92E99255B8}">
      <text>
        <r>
          <rPr>
            <sz val="9"/>
            <color indexed="81"/>
            <rFont val="Tahoma"/>
            <family val="2"/>
          </rPr>
          <t xml:space="preserve">Based on GREET 1  2015 - MY2015 </t>
        </r>
      </text>
    </comment>
    <comment ref="D256" authorId="0" shapeId="0" xr:uid="{AF3416B8-7755-4B0A-B529-A7844C305C74}">
      <text>
        <r>
          <rPr>
            <sz val="9"/>
            <color indexed="81"/>
            <rFont val="Tahoma"/>
            <family val="2"/>
          </rPr>
          <t xml:space="preserve">Based on CNG/LPG Q2 2013 ARRA data
</t>
        </r>
      </text>
    </comment>
    <comment ref="E256" authorId="0" shapeId="0" xr:uid="{4CC259B2-D98F-40EB-B213-286FB312877F}">
      <text>
        <r>
          <rPr>
            <sz val="9"/>
            <color indexed="81"/>
            <rFont val="Tahoma"/>
            <family val="2"/>
          </rPr>
          <t xml:space="preserve">Based on GREET 1  2015 - MY2015 </t>
        </r>
      </text>
    </comment>
    <comment ref="D257" authorId="0" shapeId="0" xr:uid="{95C85B34-D590-4F82-B9AB-890276358879}">
      <text>
        <r>
          <rPr>
            <sz val="9"/>
            <color indexed="81"/>
            <rFont val="Tahoma"/>
            <family val="2"/>
          </rPr>
          <t xml:space="preserve">Based on CNG/LPG Q2 2013 ARRA data
</t>
        </r>
      </text>
    </comment>
    <comment ref="E257" authorId="0" shapeId="0" xr:uid="{EA81D9D6-1F9E-4180-98D4-16D8DA8B268A}">
      <text>
        <r>
          <rPr>
            <sz val="9"/>
            <color indexed="81"/>
            <rFont val="Tahoma"/>
            <family val="2"/>
          </rPr>
          <t xml:space="preserve">Based on GREET 1  2015 - MY2015 </t>
        </r>
      </text>
    </comment>
    <comment ref="D258" authorId="0" shapeId="0" xr:uid="{6D0DD196-004B-4DBB-AF42-D711E2C28587}">
      <text>
        <r>
          <rPr>
            <sz val="9"/>
            <color indexed="81"/>
            <rFont val="Tahoma"/>
            <family val="2"/>
          </rPr>
          <t>GREET 1 2015 - MY 2015</t>
        </r>
      </text>
    </comment>
    <comment ref="E258" authorId="0" shapeId="0" xr:uid="{5048332D-6E27-42C0-BA6E-2842D9B65B72}">
      <text>
        <r>
          <rPr>
            <sz val="9"/>
            <color indexed="81"/>
            <rFont val="Tahoma"/>
            <family val="2"/>
          </rPr>
          <t xml:space="preserve">Based on GREET 1  2015 - MY2015 </t>
        </r>
      </text>
    </comment>
    <comment ref="D259" authorId="0" shapeId="0" xr:uid="{A2546174-C1FF-4D58-AF98-3B6EC1449287}">
      <text>
        <r>
          <rPr>
            <sz val="9"/>
            <color indexed="81"/>
            <rFont val="Tahoma"/>
            <family val="2"/>
          </rPr>
          <t>GREET 1 2015 - MY 2015</t>
        </r>
      </text>
    </comment>
    <comment ref="E259" authorId="0" shapeId="0" xr:uid="{81E8C479-7349-4744-80C8-6ED3431F7F58}">
      <text>
        <r>
          <rPr>
            <sz val="9"/>
            <color indexed="81"/>
            <rFont val="Tahoma"/>
            <family val="2"/>
          </rPr>
          <t xml:space="preserve">Based on GREET 1  2015 - MY2015 </t>
        </r>
      </text>
    </comment>
    <comment ref="D260" authorId="0" shapeId="0" xr:uid="{EBC87D34-51E1-4949-BE06-4E08038AEE4A}">
      <text>
        <r>
          <rPr>
            <sz val="9"/>
            <color indexed="81"/>
            <rFont val="Tahoma"/>
            <family val="2"/>
          </rPr>
          <t>GREET 1 2015 - MY 2015</t>
        </r>
      </text>
    </comment>
    <comment ref="E260" authorId="0" shapeId="0" xr:uid="{0F843354-6A81-44A4-AF87-267B7C27F4D2}">
      <text>
        <r>
          <rPr>
            <sz val="9"/>
            <color indexed="81"/>
            <rFont val="Tahoma"/>
            <family val="2"/>
          </rPr>
          <t xml:space="preserve">Based on GREET 1  2015 - MY2015 </t>
        </r>
      </text>
    </comment>
    <comment ref="D261" authorId="0" shapeId="0" xr:uid="{FE63B55C-0F56-4EF4-92AD-6E69C6341BDD}">
      <text>
        <r>
          <rPr>
            <sz val="9"/>
            <color indexed="81"/>
            <rFont val="Tahoma"/>
            <family val="2"/>
          </rPr>
          <t>GREET 1 2015 - MY 2015</t>
        </r>
      </text>
    </comment>
    <comment ref="E261" authorId="0" shapeId="0" xr:uid="{BF7B6B2A-FDB1-4553-928F-F22FFA6CBFE8}">
      <text>
        <r>
          <rPr>
            <sz val="9"/>
            <color indexed="81"/>
            <rFont val="Tahoma"/>
            <family val="2"/>
          </rPr>
          <t xml:space="preserve">Based on GREET 1  2015 - MY2015 </t>
        </r>
      </text>
    </comment>
    <comment ref="D262" authorId="0" shapeId="0" xr:uid="{F0A32C89-9EAE-42AB-B024-E20C6ED5CF84}">
      <text>
        <r>
          <rPr>
            <sz val="9"/>
            <color indexed="81"/>
            <rFont val="Tahoma"/>
            <family val="2"/>
          </rPr>
          <t>GREET 1 2015 - MY 2015</t>
        </r>
      </text>
    </comment>
    <comment ref="E262" authorId="0" shapeId="0" xr:uid="{3C5D8B9F-D632-472B-B849-23EE8517A0F1}">
      <text>
        <r>
          <rPr>
            <sz val="9"/>
            <color indexed="81"/>
            <rFont val="Tahoma"/>
            <family val="2"/>
          </rPr>
          <t xml:space="preserve">Based on GREET 1  2015 - MY2015 </t>
        </r>
      </text>
    </comment>
    <comment ref="D263" authorId="0" shapeId="0" xr:uid="{2B183E92-A192-4F34-B109-1C7426D32F36}">
      <text>
        <r>
          <rPr>
            <sz val="9"/>
            <color indexed="81"/>
            <rFont val="Tahoma"/>
            <family val="2"/>
          </rPr>
          <t>GREET 1 2015 - MY 2015</t>
        </r>
      </text>
    </comment>
    <comment ref="E263" authorId="0" shapeId="0" xr:uid="{62B46BB5-EC72-47AD-ACC7-941D65A21FDC}">
      <text>
        <r>
          <rPr>
            <sz val="9"/>
            <color indexed="81"/>
            <rFont val="Tahoma"/>
            <family val="2"/>
          </rPr>
          <t xml:space="preserve">Based on GREET 1  2015 - MY2015 </t>
        </r>
      </text>
    </comment>
    <comment ref="D264" authorId="0" shapeId="0" xr:uid="{5E0E75E1-5585-47A2-BDCD-0486FA586E0B}">
      <text>
        <r>
          <rPr>
            <sz val="9"/>
            <color indexed="81"/>
            <rFont val="Tahoma"/>
            <family val="2"/>
          </rPr>
          <t xml:space="preserve">Based on NEV Q2 2013 ARRA data
</t>
        </r>
      </text>
    </comment>
    <comment ref="E264" authorId="0" shapeId="0" xr:uid="{A5780F2E-00F7-4B56-81F3-D964FE6FA71E}">
      <text>
        <r>
          <rPr>
            <sz val="9"/>
            <color indexed="81"/>
            <rFont val="Tahoma"/>
            <family val="2"/>
          </rPr>
          <t xml:space="preserve">Based on GREET 1  2015 - MY2015 </t>
        </r>
      </text>
    </comment>
    <comment ref="G268" authorId="0" shapeId="0" xr:uid="{CD48B24E-45F3-470F-986F-5A06D1064B5C}">
      <text>
        <r>
          <rPr>
            <sz val="9"/>
            <color indexed="81"/>
            <rFont val="Tahoma"/>
            <family val="2"/>
          </rPr>
          <t xml:space="preserve">Based on GREET 1  2015 - MY2015 PHEV 20
</t>
        </r>
      </text>
    </comment>
    <comment ref="H268" authorId="0" shapeId="0" xr:uid="{0644706A-E644-4B4D-822D-E6A12A86513C}">
      <text>
        <r>
          <rPr>
            <sz val="9"/>
            <color indexed="81"/>
            <rFont val="Tahoma"/>
            <family val="2"/>
          </rPr>
          <t xml:space="preserve">Based on GREET 1  2015 - MY2015 PHEV 40
</t>
        </r>
      </text>
    </comment>
    <comment ref="G295" authorId="0" shapeId="0" xr:uid="{C13BA721-1632-4B33-BF43-C5A5F3741DEC}">
      <text>
        <r>
          <rPr>
            <sz val="9"/>
            <color indexed="81"/>
            <rFont val="Tahoma"/>
            <family val="2"/>
          </rPr>
          <t xml:space="preserve">Based on GREET 1  2015 - MY2015 PHEV 20
</t>
        </r>
      </text>
    </comment>
    <comment ref="H295" authorId="0" shapeId="0" xr:uid="{39020F94-9DA7-46B4-94EE-80A24E843350}">
      <text>
        <r>
          <rPr>
            <sz val="9"/>
            <color indexed="81"/>
            <rFont val="Tahoma"/>
            <family val="2"/>
          </rPr>
          <t xml:space="preserve">Based on GREET 1  2015 - MY2015 PHEV 40
</t>
        </r>
      </text>
    </comment>
    <comment ref="S322" authorId="0" shapeId="0" xr:uid="{1D3FCB50-D8E1-4BAA-8225-1FDBE70403A8}">
      <text>
        <r>
          <rPr>
            <sz val="9"/>
            <color indexed="81"/>
            <rFont val="Tahoma"/>
            <family val="2"/>
          </rPr>
          <t>Based on Deal (2012) What Set of Conditions Would Make the Business Case to Convert Heavy Trucks to Natural Gas? – a Case Study</t>
        </r>
      </text>
    </comment>
    <comment ref="E349" authorId="0" shapeId="0" xr:uid="{4269990E-2078-4870-A63D-CE46CB91BD04}">
      <text>
        <r>
          <rPr>
            <sz val="9"/>
            <color indexed="81"/>
            <rFont val="Tahoma"/>
            <family val="2"/>
          </rPr>
          <t xml:space="preserve">
Cummins = 2% (range 1-3%)
http://www.cumminsfiltration.com/pdfs/product_lit/americas_brochures/MB10033.pdf
Discover DEF = range 2-3%
http://www.discoverdef.com/def-overview/faq/
Assume 2%
For light duty:
Mercedes Benz
~6.6 DEF gallons per 8000 miles and 20 miles per gallon fuel economy is about 1.65%
http://www.sprinter-rentals.com/sprinter-blog/def
http://www.gizmag.com/sportsmobile-mercedes-sprinter-4x4-camper/37910/
Ram 1500 anecdotal - 2.8%
http://www.edmunds.com/ram/1500/2014/long-term-road-test/2014-ram-1500-ecodiesel-adding-and-tracking-def.html
Assume same as HDV ~2% and that all LDV diesel will use DEF
2% on GGE basis is 2.3% on DGE basis (2% * 1.15)</t>
        </r>
      </text>
    </comment>
    <comment ref="K349" authorId="0" shapeId="0" xr:uid="{E073DB50-D25C-4AFC-ADA2-9A2FFE85F23A}">
      <text>
        <r>
          <rPr>
            <sz val="9"/>
            <color indexed="81"/>
            <rFont val="Tahoma"/>
            <family val="2"/>
          </rPr>
          <t xml:space="preserve">
Cummins = 2% (range 1-3%)
http://www.cumminsfiltration.com/pdfs/product_lit/americas_brochures/MB10033.pdf
Discover DEF = range 2-3%
http://www.discoverdef.com/def-overview/faq/
Assume 2%
</t>
        </r>
      </text>
    </comment>
    <comment ref="L349" authorId="0" shapeId="0" xr:uid="{D8DE645A-14C3-40A4-B0EB-91A1740F97BC}">
      <text>
        <r>
          <rPr>
            <sz val="9"/>
            <color indexed="81"/>
            <rFont val="Tahoma"/>
            <family val="2"/>
          </rPr>
          <t xml:space="preserve">
Cummins = 2% (range 1-3%)
http://www.cumminsfiltration.com/pdfs/product_lit/americas_brochures/MB10033.pdf
Discover DEF = range 2-3%
http://www.discoverdef.com/def-overview/faq/
Assume 2%
</t>
        </r>
      </text>
    </comment>
    <comment ref="M349" authorId="0" shapeId="0" xr:uid="{E2B11C3A-F73E-4415-92B4-3F4AA0C84DBF}">
      <text>
        <r>
          <rPr>
            <sz val="9"/>
            <color indexed="81"/>
            <rFont val="Tahoma"/>
            <family val="2"/>
          </rPr>
          <t xml:space="preserve">
Cummins = 2% (range 1-3%)
http://www.cumminsfiltration.com/pdfs/product_lit/americas_brochures/MB10033.pdf
Discover DEF = range 2-3%
http://www.discoverdef.com/def-overview/faq/
Assume 2%
</t>
        </r>
      </text>
    </comment>
    <comment ref="N349" authorId="0" shapeId="0" xr:uid="{90FF0A18-733C-4FE0-BC41-EEDDDB92DB25}">
      <text>
        <r>
          <rPr>
            <sz val="9"/>
            <color indexed="81"/>
            <rFont val="Tahoma"/>
            <family val="2"/>
          </rPr>
          <t xml:space="preserve">
Cummins = 2% (range 1-3%)
http://www.cumminsfiltration.com/pdfs/product_lit/americas_brochures/MB10033.pdf
Discover DEF = range 2-3%
http://www.discoverdef.com/def-overview/faq/
Assume 2%
</t>
        </r>
      </text>
    </comment>
    <comment ref="S349" authorId="0" shapeId="0" xr:uid="{E1ED2581-DED9-4333-9F25-67AD902440C8}">
      <text>
        <r>
          <rPr>
            <sz val="9"/>
            <color indexed="81"/>
            <rFont val="Tahoma"/>
            <family val="2"/>
          </rPr>
          <t xml:space="preserve">
Cummins = 2% (range 1-3%)
http://www.cumminsfiltration.com/pdfs/product_lit/americas_brochures/MB10033.pdf
Discover DEF = range 2-3%
http://www.discoverdef.com/def-overview/faq/
Assume 2%
</t>
        </r>
      </text>
    </comment>
    <comment ref="T349" authorId="0" shapeId="0" xr:uid="{FDE169A9-CAB2-4062-89C6-7AAD0D3589C1}">
      <text>
        <r>
          <rPr>
            <sz val="9"/>
            <color indexed="81"/>
            <rFont val="Tahoma"/>
            <family val="2"/>
          </rPr>
          <t xml:space="preserve">
Cummins = 2% (range 1-3%)
http://www.cumminsfiltration.com/pdfs/product_lit/americas_brochures/MB10033.pdf
Discover DEF = range 2-3%
http://www.discoverdef.com/def-overview/faq/
Assume 2%
</t>
        </r>
      </text>
    </comment>
    <comment ref="B377" authorId="0" shapeId="0" xr:uid="{962D0DB6-046B-4E3D-AD55-0128C1D0988C}">
      <text>
        <r>
          <rPr>
            <sz val="9"/>
            <color indexed="81"/>
            <rFont val="Tahoma"/>
            <family val="2"/>
          </rPr>
          <t>Trucking Industry Facts 2010
http://www.cargotransporters.com/pdf/dyk201001.pdf
Average daily distance ~500 miles. Assume driven ~11 months per year (4 weeks of downtime)</t>
        </r>
      </text>
    </comment>
    <comment ref="B378" authorId="0" shapeId="0" xr:uid="{C75ACFD3-1577-45EA-82D2-8B887C86FD0B}">
      <text>
        <r>
          <rPr>
            <sz val="9"/>
            <color indexed="81"/>
            <rFont val="Tahoma"/>
            <family val="2"/>
          </rPr>
          <t>ORNL - Davis (2013) Transportation Energy Data Book 32
http://cta.ornl.gov/data/tedb32/Edition32_Chapter05.pdf
Table 5.2 - 2011
Based on FHWA</t>
        </r>
      </text>
    </comment>
    <comment ref="B379" authorId="0" shapeId="0" xr:uid="{81158BD0-E455-4452-81AF-402BE21A1316}">
      <text>
        <r>
          <rPr>
            <sz val="9"/>
            <color indexed="81"/>
            <rFont val="Tahoma"/>
            <family val="2"/>
          </rPr>
          <t xml:space="preserve">HEV ARRA Q2 2013
Also from VIUS 2002, 19,300 miles, while 1998 was 23,000. For now will use 23,000 as it matches ARRA data
Vehicle Inventory and Use Survey
http://www.census.gov/svsd/www/vius/2002.html
Table 2a - Single unit Van, basic enclosed </t>
        </r>
      </text>
    </comment>
    <comment ref="B380" authorId="0" shapeId="0" xr:uid="{A996EA6A-4610-4F5E-8AB0-A814B0A3FA92}">
      <text>
        <r>
          <rPr>
            <sz val="9"/>
            <color indexed="81"/>
            <rFont val="Tahoma"/>
            <family val="2"/>
          </rPr>
          <t>Vehicle Inventory and Use Survey - 2002
http://www.census.gov/svsd/www/vius/2002.html
Table 2a - Single unit Van, step, walk-in, or multistop</t>
        </r>
      </text>
    </comment>
    <comment ref="B381" authorId="0" shapeId="0" xr:uid="{B4FFDB91-60D2-4C28-8FAB-BE047D191DAE}">
      <text>
        <r>
          <rPr>
            <sz val="9"/>
            <color indexed="81"/>
            <rFont val="Tahoma"/>
            <family val="2"/>
          </rPr>
          <t>Vehicle Inventory and Use Survey - 2002
http://www.census.gov/svsd/www/vius/2002.html
Table 2a - Single unit Dump</t>
        </r>
      </text>
    </comment>
    <comment ref="B382" authorId="0" shapeId="0" xr:uid="{758FE8AC-D1E4-4DBE-90D2-CC6DC8F1C62F}">
      <text>
        <r>
          <rPr>
            <sz val="9"/>
            <color indexed="81"/>
            <rFont val="Tahoma"/>
            <family val="2"/>
          </rPr>
          <t>Vehicle Inventory and Use Survey - 2002
http://www.census.gov/svsd/www/vius/2002.html
Table 2a: aerial work platform/bucket</t>
        </r>
      </text>
    </comment>
    <comment ref="B383" authorId="0" shapeId="0" xr:uid="{54458B61-A766-405E-A5D6-08215ECE24E0}">
      <text>
        <r>
          <rPr>
            <sz val="9"/>
            <color indexed="81"/>
            <rFont val="Tahoma"/>
            <family val="2"/>
          </rPr>
          <t>Vehicle Inventory and Use Survey - 2002
http://www.census.gov/svsd/www/vius/2002.html
Table 2a: mounting bar for snowplow</t>
        </r>
      </text>
    </comment>
    <comment ref="B385" authorId="0" shapeId="0" xr:uid="{D4F35E3A-4A90-48A3-B0B5-374377700A39}">
      <text>
        <r>
          <rPr>
            <sz val="9"/>
            <color indexed="81"/>
            <rFont val="Tahoma"/>
            <family val="2"/>
          </rPr>
          <t>Vehicle Inventory and Use Survey - 2002
http://www.census.gov/svsd/www/vius/2002.html
Table 2a: Single unit, Street Sweeper</t>
        </r>
      </text>
    </comment>
    <comment ref="B386" authorId="0" shapeId="0" xr:uid="{0ECE8C22-27E2-4339-9844-FE2741B4DCBD}">
      <text>
        <r>
          <rPr>
            <sz val="9"/>
            <color indexed="81"/>
            <rFont val="Tahoma"/>
            <family val="2"/>
          </rPr>
          <t>Vehicle Inventory and Use Survey - 2002
http://www.census.gov/svsd/www/vius/2002.html
Table 2a: Single unit, Trash, Garbage, Recycling</t>
        </r>
      </text>
    </comment>
    <comment ref="B387" authorId="0" shapeId="0" xr:uid="{9E577240-C010-4849-8ECC-1EE46F4418CE}">
      <text>
        <r>
          <rPr>
            <sz val="9"/>
            <color indexed="81"/>
            <rFont val="Tahoma"/>
            <family val="2"/>
          </rPr>
          <t>ORNL - Davis (2013) Transportation Energy Data Book 32
http://cta.ornl.gov/data/tedb32/Edition32_Chapter05.pdf
Table 5.16 - 2011
Based on APTA</t>
        </r>
      </text>
    </comment>
    <comment ref="B388" authorId="0" shapeId="0" xr:uid="{3126F1CC-316A-44A9-A3EB-D1DA06A5604C}">
      <text>
        <r>
          <rPr>
            <sz val="9"/>
            <color indexed="81"/>
            <rFont val="Tahoma"/>
            <family val="2"/>
          </rPr>
          <t>Average of CNG/HEV/LPG Q2 2013 ARRA data</t>
        </r>
      </text>
    </comment>
    <comment ref="B389" authorId="0" shapeId="0" xr:uid="{90C8B57A-FE44-47DA-AD77-7FAB547F7A39}">
      <text>
        <r>
          <rPr>
            <sz val="9"/>
            <color indexed="81"/>
            <rFont val="Tahoma"/>
            <family val="2"/>
          </rPr>
          <t>Average of CNG/HEV/LPG Q2 2013 ARRA data</t>
        </r>
      </text>
    </comment>
    <comment ref="B390" authorId="0" shapeId="0" xr:uid="{F19A1FA2-5405-4EDE-BE2B-8B9CB6188F6A}">
      <text>
        <r>
          <rPr>
            <sz val="9"/>
            <color indexed="81"/>
            <rFont val="Tahoma"/>
            <family val="2"/>
          </rPr>
          <t>ORNL - Davis (2013) Transportation Energy Data Book 32
http://cta.ornl.gov/data/tedb32/Edition32_Chapter05.pdf
Table 7.3 - pickup trucks 2011
Based on Automotive Fleet Factbook</t>
        </r>
      </text>
    </comment>
    <comment ref="B391" authorId="0" shapeId="0" xr:uid="{332E6C03-9FF3-4CE9-84C8-DDEC856BD628}">
      <text>
        <r>
          <rPr>
            <sz val="9"/>
            <color indexed="81"/>
            <rFont val="Tahoma"/>
            <family val="2"/>
          </rPr>
          <t>ORNL - Davis (2013) Transportation Energy Data Book 32
http://cta.ornl.gov/data/tedb32/Edition32_Chapter05.pdf
Table 7.3 - full-size van 2011
Based on Automotive Fleet Factbook</t>
        </r>
      </text>
    </comment>
    <comment ref="B392" authorId="0" shapeId="0" xr:uid="{1085C7DD-0013-4674-B507-54805915776B}">
      <text>
        <r>
          <rPr>
            <sz val="9"/>
            <color indexed="81"/>
            <rFont val="Tahoma"/>
            <family val="2"/>
          </rPr>
          <t>Average of CNG/LPG Q2 2013 ARRA data</t>
        </r>
      </text>
    </comment>
    <comment ref="B393" authorId="0" shapeId="0" xr:uid="{BF92B2FC-6701-4AB7-B216-5463FAF2A9B3}">
      <text>
        <r>
          <rPr>
            <sz val="9"/>
            <color indexed="81"/>
            <rFont val="Tahoma"/>
            <family val="2"/>
          </rPr>
          <t>Vehicle Inventory and Use Survey - 2002
http://www.census.gov/svsd/www/vius/2002.html
Table 2a: Single unit, Pickup</t>
        </r>
      </text>
    </comment>
    <comment ref="B394" authorId="0" shapeId="0" xr:uid="{E9730A86-732F-4F28-B28B-F5624B69B33C}">
      <text>
        <r>
          <rPr>
            <sz val="9"/>
            <color indexed="81"/>
            <rFont val="Tahoma"/>
            <family val="2"/>
          </rPr>
          <t>Vehicle Inventory and Use Survey - 2002
http://www.census.gov/svsd/www/vius/2002.html
Table 2a: Single unit, Sport Utility</t>
        </r>
      </text>
    </comment>
    <comment ref="B395" authorId="0" shapeId="0" xr:uid="{BDCEE28F-DA90-42C8-BA31-BC7CA15F457F}">
      <text>
        <r>
          <rPr>
            <sz val="9"/>
            <color indexed="81"/>
            <rFont val="Tahoma"/>
            <family val="2"/>
          </rPr>
          <t>Average of CNG/HEV/LPG Q2 2013 ARRA data
combined both car and SUV to get total average for taxis</t>
        </r>
      </text>
    </comment>
    <comment ref="B396" authorId="0" shapeId="0" xr:uid="{53C3FA29-0192-4C76-9BB4-936DCC7262F7}">
      <text>
        <r>
          <rPr>
            <sz val="9"/>
            <color indexed="81"/>
            <rFont val="Tahoma"/>
            <family val="2"/>
          </rPr>
          <t>ORNL - Davis (2013) Transportation Energy Data Book 32
http://cta.ornl.gov/data/tedb32/Edition32_Chapter05.pdf
Table 4.1 - 2011
Based on FHWA</t>
        </r>
      </text>
    </comment>
    <comment ref="B397" authorId="0" shapeId="0" xr:uid="{4A7FE37C-032C-48C1-ADAD-A353B7A96F4C}">
      <text>
        <r>
          <rPr>
            <sz val="9"/>
            <color indexed="81"/>
            <rFont val="Tahoma"/>
            <family val="2"/>
          </rPr>
          <t>Average of CNG/HEV/LPG Q2 2013 ARRA data
combined both car and SUV to get total average for taxis</t>
        </r>
      </text>
    </comment>
    <comment ref="B398" authorId="0" shapeId="0" xr:uid="{CB913B12-5808-462C-A5E3-2E8C9C1BEC0E}">
      <text>
        <r>
          <rPr>
            <sz val="9"/>
            <color indexed="81"/>
            <rFont val="Tahoma"/>
            <family val="2"/>
          </rPr>
          <t>Average of CNG/HEV/LPG Q2 2013 ARRA data
combined both car and SUV to get total average for police vehicles</t>
        </r>
      </text>
    </comment>
    <comment ref="B399" authorId="0" shapeId="0" xr:uid="{1D90A614-BBE9-4805-A1D8-19B26B5218BA}">
      <text>
        <r>
          <rPr>
            <sz val="9"/>
            <color indexed="81"/>
            <rFont val="Tahoma"/>
            <family val="2"/>
          </rPr>
          <t xml:space="preserve">Based on NEV Q2 2013 ARRA data
</t>
        </r>
      </text>
    </comment>
    <comment ref="J403" authorId="0" shapeId="0" xr:uid="{710D8187-E115-42DE-BE75-DFAF1DCC1FA8}">
      <text>
        <r>
          <rPr>
            <sz val="9"/>
            <color indexed="81"/>
            <rFont val="Tahoma"/>
            <family val="2"/>
          </rPr>
          <t>Assume the same as EV except where noted</t>
        </r>
      </text>
    </comment>
    <comment ref="E404" authorId="0" shapeId="0" xr:uid="{B9AB4DCD-5F0C-4697-90D9-F87FD8CD0334}">
      <text>
        <r>
          <rPr>
            <sz val="9"/>
            <color indexed="81"/>
            <rFont val="Tahoma"/>
            <family val="2"/>
          </rPr>
          <t>Cummins; ATRI - An Analysis of the Operational Costs of Trucking 2012</t>
        </r>
      </text>
    </comment>
    <comment ref="I404" authorId="0" shapeId="0" xr:uid="{815D3D3F-1E8D-4F2A-B25F-66078055945D}">
      <text>
        <r>
          <rPr>
            <sz val="9"/>
            <color indexed="81"/>
            <rFont val="Tahoma"/>
            <family val="2"/>
          </rPr>
          <t>Ricardo; http://www.aga.org/our-issues/natural-gas-vehicles/Pages/default.aspx</t>
        </r>
      </text>
    </comment>
    <comment ref="K404" authorId="0" shapeId="0" xr:uid="{598E4C12-F7B2-4682-9DBD-C87767E97FD7}">
      <text>
        <r>
          <rPr>
            <sz val="9"/>
            <color indexed="81"/>
            <rFont val="Tahoma"/>
            <family val="2"/>
          </rPr>
          <t>Ricardo; Cummins; ATRI - An Analysis of the Operational Costs of Trucking 2012</t>
        </r>
      </text>
    </comment>
    <comment ref="L404" authorId="0" shapeId="0" xr:uid="{F855F2DC-9C14-4C5E-9309-F201ED868305}">
      <text>
        <r>
          <rPr>
            <sz val="9"/>
            <color indexed="81"/>
            <rFont val="Tahoma"/>
            <family val="2"/>
          </rPr>
          <t>Assume same as diesel HEV
Ricardo; Cummins; ATRI - An Analysis of the Operational Costs of Trucking 2012</t>
        </r>
      </text>
    </comment>
    <comment ref="M404" authorId="0" shapeId="0" xr:uid="{4D0AD4D4-C058-45B1-9C7D-BA7849B7DF95}">
      <text>
        <r>
          <rPr>
            <sz val="9"/>
            <color indexed="81"/>
            <rFont val="Tahoma"/>
            <family val="2"/>
          </rPr>
          <t>Assume same as diesel
Cummins; ATRI - An Analysis of the Operational Costs of Trucking 2012</t>
        </r>
      </text>
    </comment>
    <comment ref="N404" authorId="0" shapeId="0" xr:uid="{0706318A-F84C-4433-9E57-A73B86B9B318}">
      <text>
        <r>
          <rPr>
            <sz val="9"/>
            <color indexed="81"/>
            <rFont val="Tahoma"/>
            <family val="2"/>
          </rPr>
          <t>Assume same as diesel
Cummins; ATRI - An Analysis of the Operational Costs of Trucking 2012</t>
        </r>
      </text>
    </comment>
    <comment ref="Q404" authorId="0" shapeId="0" xr:uid="{303D0BEB-9AAC-4384-8703-4918CD9D841A}">
      <text>
        <r>
          <rPr>
            <sz val="9"/>
            <color indexed="81"/>
            <rFont val="Tahoma"/>
            <family val="2"/>
          </rPr>
          <t>Cummins Westport; ATRI - An Analysis of the Operational Costs of Trucking 2012</t>
        </r>
      </text>
    </comment>
    <comment ref="R404" authorId="0" shapeId="0" xr:uid="{8C1E14F0-D9C3-4CE2-AB67-EC5C0A5F9090}">
      <text>
        <r>
          <rPr>
            <sz val="9"/>
            <color indexed="81"/>
            <rFont val="Tahoma"/>
            <family val="2"/>
          </rPr>
          <t>Cummins Westport; ATRI - An Analysis of the Operational Costs of Trucking 2012</t>
        </r>
      </text>
    </comment>
    <comment ref="S404" authorId="0" shapeId="0" xr:uid="{6F473EA4-DEBE-4337-8576-DA7CA4FA515A}">
      <text>
        <r>
          <rPr>
            <sz val="9"/>
            <color indexed="81"/>
            <rFont val="Tahoma"/>
            <family val="2"/>
          </rPr>
          <t xml:space="preserve">Westport
ATRI - An Analysis of the Operational Costs of Trucking 2012
</t>
        </r>
      </text>
    </comment>
    <comment ref="E405" authorId="0" shapeId="0" xr:uid="{B4985C51-46A2-4F30-B45A-45E27A49402B}">
      <text>
        <r>
          <rPr>
            <sz val="9"/>
            <color indexed="81"/>
            <rFont val="Tahoma"/>
            <family val="2"/>
          </rPr>
          <t>Cummins; ATRI - An Analysis of the Operational Costs of Trucking 2012</t>
        </r>
      </text>
    </comment>
    <comment ref="I405" authorId="0" shapeId="0" xr:uid="{A98B3C59-B52A-4EF4-9D59-5BC97A9F2D52}">
      <text>
        <r>
          <rPr>
            <sz val="9"/>
            <color indexed="81"/>
            <rFont val="Tahoma"/>
            <family val="2"/>
          </rPr>
          <t>Ricardo; http://www.aga.org/our-issues/natural-gas-vehicles/Pages/default.aspx</t>
        </r>
      </text>
    </comment>
    <comment ref="K405" authorId="0" shapeId="0" xr:uid="{033FDBFE-42CF-4944-9CC3-F8E5C370CCD4}">
      <text>
        <r>
          <rPr>
            <sz val="9"/>
            <color indexed="81"/>
            <rFont val="Tahoma"/>
            <family val="2"/>
          </rPr>
          <t>Ricardo; Cummins; ATRI - An Analysis of the Operational Costs of Trucking 2012</t>
        </r>
      </text>
    </comment>
    <comment ref="L405" authorId="0" shapeId="0" xr:uid="{2A305350-0272-40F5-B646-885708CE9EC9}">
      <text>
        <r>
          <rPr>
            <sz val="9"/>
            <color indexed="81"/>
            <rFont val="Tahoma"/>
            <family val="2"/>
          </rPr>
          <t>Assume same as diesel HEV
Ricardo; Cummins; ATRI - An Analysis of the Operational Costs of Trucking 2012</t>
        </r>
      </text>
    </comment>
    <comment ref="M405" authorId="0" shapeId="0" xr:uid="{9DF6A9F2-F6C3-45D9-B42D-49FDC5F26C80}">
      <text>
        <r>
          <rPr>
            <sz val="9"/>
            <color indexed="81"/>
            <rFont val="Tahoma"/>
            <family val="2"/>
          </rPr>
          <t>Assume same as diesel
Cummins; ATRI - An Analysis of the Operational Costs of Trucking 2012</t>
        </r>
      </text>
    </comment>
    <comment ref="N405" authorId="0" shapeId="0" xr:uid="{9439C07F-AD7A-4055-BF1F-3F237F8E6436}">
      <text>
        <r>
          <rPr>
            <sz val="9"/>
            <color indexed="81"/>
            <rFont val="Tahoma"/>
            <family val="2"/>
          </rPr>
          <t>Assume same as diesel
Cummins; ATRI - An Analysis of the Operational Costs of Trucking 2012</t>
        </r>
      </text>
    </comment>
    <comment ref="Q405" authorId="0" shapeId="0" xr:uid="{ACBFE3D1-4348-410D-B63E-4D11C022BA44}">
      <text>
        <r>
          <rPr>
            <sz val="9"/>
            <color indexed="81"/>
            <rFont val="Tahoma"/>
            <family val="2"/>
          </rPr>
          <t>Cummins Westport; ATRI - An Analysis of the Operational Costs of Trucking 2012</t>
        </r>
      </text>
    </comment>
    <comment ref="R405" authorId="0" shapeId="0" xr:uid="{73CDD518-2C45-4250-8993-8562514D9D8E}">
      <text>
        <r>
          <rPr>
            <sz val="9"/>
            <color indexed="81"/>
            <rFont val="Tahoma"/>
            <family val="2"/>
          </rPr>
          <t>Cummins Westport; ATRI - An Analysis of the Operational Costs of Trucking 2012</t>
        </r>
      </text>
    </comment>
    <comment ref="S405" authorId="0" shapeId="0" xr:uid="{05CC6DB3-3C81-4FB7-BB97-8B3472686C47}">
      <text>
        <r>
          <rPr>
            <sz val="9"/>
            <color indexed="81"/>
            <rFont val="Tahoma"/>
            <family val="2"/>
          </rPr>
          <t xml:space="preserve">Westport
ATRI - An Analysis of the Operational Costs of Trucking 2012
</t>
        </r>
      </text>
    </comment>
    <comment ref="D406" authorId="0" shapeId="0" xr:uid="{0FD82BD7-38AD-4337-A381-2A807CD6D281}">
      <text>
        <r>
          <rPr>
            <sz val="9"/>
            <color indexed="81"/>
            <rFont val="Tahoma"/>
            <family val="2"/>
          </rPr>
          <t>No data so assume same as diesel, not clear the maintenance savings seen for gasoline light vehicles will translate to heavy duty
Ricardo; http://www.aga.org/our-issues/natural-gas-vehicles/Pages/default.aspx</t>
        </r>
      </text>
    </comment>
    <comment ref="E406" authorId="0" shapeId="0" xr:uid="{6EAE5C9D-9851-44B0-B096-54220FB813E3}">
      <text>
        <r>
          <rPr>
            <sz val="9"/>
            <color indexed="81"/>
            <rFont val="Tahoma"/>
            <family val="2"/>
          </rPr>
          <t>Ricardo; http://www.aga.org/our-issues/natural-gas-vehicles/Pages/default.aspx</t>
        </r>
      </text>
    </comment>
    <comment ref="I406" authorId="0" shapeId="0" xr:uid="{1A5C263C-AC81-45FF-93F6-4617CA7971EF}">
      <text>
        <r>
          <rPr>
            <sz val="9"/>
            <color indexed="81"/>
            <rFont val="Tahoma"/>
            <family val="2"/>
          </rPr>
          <t>Ricardo; http://www.aga.org/our-issues/natural-gas-vehicles/Pages/default.aspx</t>
        </r>
      </text>
    </comment>
    <comment ref="K406" authorId="0" shapeId="0" xr:uid="{4811BC8A-6E84-4244-AA5A-7822C09155E6}">
      <text>
        <r>
          <rPr>
            <sz val="9"/>
            <color indexed="81"/>
            <rFont val="Tahoma"/>
            <family val="2"/>
          </rPr>
          <t>Ricardo; http://www.aga.org/our-issues/natural-gas-vehicles/Pages/default.aspx</t>
        </r>
      </text>
    </comment>
    <comment ref="L406" authorId="0" shapeId="0" xr:uid="{8EE137E7-885D-48BC-8CC8-311DB88FE20F}">
      <text>
        <r>
          <rPr>
            <sz val="9"/>
            <color indexed="81"/>
            <rFont val="Tahoma"/>
            <family val="2"/>
          </rPr>
          <t>Assume same as diesel HEV
Ricardo; http://www.aga.org/our-issues/natural-gas-vehicles/Pages/default.aspx</t>
        </r>
      </text>
    </comment>
    <comment ref="M406" authorId="0" shapeId="0" xr:uid="{0BF134DC-3886-4747-BD4B-51F978371F58}">
      <text>
        <r>
          <rPr>
            <sz val="9"/>
            <color indexed="81"/>
            <rFont val="Tahoma"/>
            <family val="2"/>
          </rPr>
          <t>Assume same as diesel
Ricardo; http://www.aga.org/our-issues/natural-gas-vehicles/Pages/default.aspx</t>
        </r>
      </text>
    </comment>
    <comment ref="N406" authorId="0" shapeId="0" xr:uid="{47863350-35A8-45B1-B325-A7AB683D7ACF}">
      <text>
        <r>
          <rPr>
            <sz val="9"/>
            <color indexed="81"/>
            <rFont val="Tahoma"/>
            <family val="2"/>
          </rPr>
          <t>Assume same as diesel
Ricardo; http://www.aga.org/our-issues/natural-gas-vehicles/Pages/default.aspx</t>
        </r>
      </text>
    </comment>
    <comment ref="O406" authorId="0" shapeId="0" xr:uid="{B29535CE-44AC-4052-834B-61D68A9DC6F4}">
      <text>
        <r>
          <rPr>
            <sz val="9"/>
            <color indexed="81"/>
            <rFont val="Tahoma"/>
            <family val="2"/>
          </rPr>
          <t>Ricardo; http://www.aga.org/our-issues/natural-gas-vehicles/Pages/default.aspx</t>
        </r>
      </text>
    </comment>
    <comment ref="P406" authorId="0" shapeId="0" xr:uid="{ACCFF98F-59ED-46C7-8447-8DFFB646F90B}">
      <text>
        <r>
          <rPr>
            <sz val="9"/>
            <color indexed="81"/>
            <rFont val="Tahoma"/>
            <family val="2"/>
          </rPr>
          <t>Ricardo; http://www.aga.org/our-issues/natural-gas-vehicles/Pages/default.aspx</t>
        </r>
      </text>
    </comment>
    <comment ref="Q406" authorId="0" shapeId="0" xr:uid="{10935BAD-CCBE-4C4C-81D5-04860D36B429}">
      <text>
        <r>
          <rPr>
            <sz val="9"/>
            <color indexed="81"/>
            <rFont val="Tahoma"/>
            <family val="2"/>
          </rPr>
          <t>Ricardo; http://www.aga.org/our-issues/natural-gas-vehicles/Pages/default.aspx</t>
        </r>
      </text>
    </comment>
    <comment ref="R406" authorId="0" shapeId="0" xr:uid="{AB328FBC-65EC-4884-8E4F-5D1AF8FD5FBB}">
      <text>
        <r>
          <rPr>
            <sz val="9"/>
            <color indexed="81"/>
            <rFont val="Tahoma"/>
            <family val="2"/>
          </rPr>
          <t>Ricardo; http://www.aga.org/our-issues/natural-gas-vehicles/Pages/default.aspx</t>
        </r>
      </text>
    </comment>
    <comment ref="S406" authorId="0" shapeId="0" xr:uid="{C4A1B175-4BE5-4431-B410-DA38458C8D5D}">
      <text>
        <r>
          <rPr>
            <sz val="9"/>
            <color indexed="81"/>
            <rFont val="Tahoma"/>
            <family val="2"/>
          </rPr>
          <t>Ricardo; http://www.aga.org/our-issues/natural-gas-vehicles/Pages/default.aspx
Incremental = Westport</t>
        </r>
      </text>
    </comment>
    <comment ref="D407" authorId="0" shapeId="0" xr:uid="{B1063424-7799-46AA-AFB1-4DA3F701C7D6}">
      <text>
        <r>
          <rPr>
            <sz val="9"/>
            <color indexed="81"/>
            <rFont val="Tahoma"/>
            <family val="2"/>
          </rPr>
          <t>No data so assume same as diesel, not clear the maintenance savings seen for gasoline light vehicles will translate to heavy duty
Ricardo; http://www.aga.org/our-issues/natural-gas-vehicles/Pages/default.aspx</t>
        </r>
      </text>
    </comment>
    <comment ref="E407" authorId="0" shapeId="0" xr:uid="{230033C7-49C9-4D38-BF14-AEBAFBFF3B3A}">
      <text>
        <r>
          <rPr>
            <sz val="9"/>
            <color indexed="81"/>
            <rFont val="Tahoma"/>
            <family val="2"/>
          </rPr>
          <t>Ricardo; http://www.aga.org/our-issues/natural-gas-vehicles/Pages/default.aspx</t>
        </r>
      </text>
    </comment>
    <comment ref="I407" authorId="0" shapeId="0" xr:uid="{56E471D4-7D96-4BC9-8DFD-8A59871FF99A}">
      <text>
        <r>
          <rPr>
            <sz val="9"/>
            <color indexed="81"/>
            <rFont val="Tahoma"/>
            <family val="2"/>
          </rPr>
          <t>Ricardo; http://www.aga.org/our-issues/natural-gas-vehicles/Pages/default.aspx</t>
        </r>
      </text>
    </comment>
    <comment ref="K407" authorId="0" shapeId="0" xr:uid="{8385D726-0DA3-4014-81D1-85950E096340}">
      <text>
        <r>
          <rPr>
            <sz val="9"/>
            <color indexed="81"/>
            <rFont val="Tahoma"/>
            <family val="2"/>
          </rPr>
          <t>Ricardo; http://www.aga.org/our-issues/natural-gas-vehicles/Pages/default.aspx</t>
        </r>
      </text>
    </comment>
    <comment ref="L407" authorId="0" shapeId="0" xr:uid="{C52C2648-EBD5-4B45-99AC-5757BFEDD869}">
      <text>
        <r>
          <rPr>
            <sz val="9"/>
            <color indexed="81"/>
            <rFont val="Tahoma"/>
            <family val="2"/>
          </rPr>
          <t>Assume same as diesel HEV
Ricardo; http://www.aga.org/our-issues/natural-gas-vehicles/Pages/default.aspx</t>
        </r>
      </text>
    </comment>
    <comment ref="M407" authorId="0" shapeId="0" xr:uid="{FA191227-6316-483A-83A4-CF15B292C686}">
      <text>
        <r>
          <rPr>
            <sz val="9"/>
            <color indexed="81"/>
            <rFont val="Tahoma"/>
            <family val="2"/>
          </rPr>
          <t>Assume same as diesel
Ricardo; http://www.aga.org/our-issues/natural-gas-vehicles/Pages/default.aspx</t>
        </r>
      </text>
    </comment>
    <comment ref="N407" authorId="0" shapeId="0" xr:uid="{4BDA8B9A-C7BA-4B80-AD66-C4746119DF0C}">
      <text>
        <r>
          <rPr>
            <sz val="9"/>
            <color indexed="81"/>
            <rFont val="Tahoma"/>
            <family val="2"/>
          </rPr>
          <t>Assume same as diesel
Ricardo; http://www.aga.org/our-issues/natural-gas-vehicles/Pages/default.aspx</t>
        </r>
      </text>
    </comment>
    <comment ref="O407" authorId="0" shapeId="0" xr:uid="{F1BD60E1-B01B-4886-82B7-53407E1AE4CD}">
      <text>
        <r>
          <rPr>
            <sz val="9"/>
            <color indexed="81"/>
            <rFont val="Tahoma"/>
            <family val="2"/>
          </rPr>
          <t>Ricardo; http://www.aga.org/our-issues/natural-gas-vehicles/Pages/default.aspx</t>
        </r>
      </text>
    </comment>
    <comment ref="P407" authorId="0" shapeId="0" xr:uid="{A7809370-3DBF-4EAD-BB09-9C6772557713}">
      <text>
        <r>
          <rPr>
            <sz val="9"/>
            <color indexed="81"/>
            <rFont val="Tahoma"/>
            <family val="2"/>
          </rPr>
          <t>Ricardo; http://www.aga.org/our-issues/natural-gas-vehicles/Pages/default.aspx</t>
        </r>
      </text>
    </comment>
    <comment ref="Q407" authorId="0" shapeId="0" xr:uid="{33DC5D0D-9B92-4747-9EA5-1C40533241BC}">
      <text>
        <r>
          <rPr>
            <sz val="9"/>
            <color indexed="81"/>
            <rFont val="Tahoma"/>
            <family val="2"/>
          </rPr>
          <t>Ricardo; http://www.aga.org/our-issues/natural-gas-vehicles/Pages/default.aspx</t>
        </r>
      </text>
    </comment>
    <comment ref="R407" authorId="0" shapeId="0" xr:uid="{458C5E24-A05C-43D8-9A61-434C950ADFB0}">
      <text>
        <r>
          <rPr>
            <sz val="9"/>
            <color indexed="81"/>
            <rFont val="Tahoma"/>
            <family val="2"/>
          </rPr>
          <t>Ricardo; http://www.aga.org/our-issues/natural-gas-vehicles/Pages/default.aspx</t>
        </r>
      </text>
    </comment>
    <comment ref="S407" authorId="0" shapeId="0" xr:uid="{9D62E8A4-B1C7-4BCF-9E26-63235597003D}">
      <text>
        <r>
          <rPr>
            <sz val="9"/>
            <color indexed="81"/>
            <rFont val="Tahoma"/>
            <family val="2"/>
          </rPr>
          <t>Ricardo; http://www.aga.org/our-issues/natural-gas-vehicles/Pages/default.aspx
Incremental = Westport</t>
        </r>
      </text>
    </comment>
    <comment ref="E408" authorId="0" shapeId="0" xr:uid="{E2E60C5A-5A0E-4C87-BC3C-373EA46C5871}">
      <text>
        <r>
          <rPr>
            <sz val="9"/>
            <color indexed="81"/>
            <rFont val="Tahoma"/>
            <family val="2"/>
          </rPr>
          <t>Ricardo; http://www.aga.org/our-issues/natural-gas-vehicles/Pages/default.aspx</t>
        </r>
      </text>
    </comment>
    <comment ref="I408" authorId="0" shapeId="0" xr:uid="{FA2E8F60-D023-479E-89B4-E67C8CE0F671}">
      <text>
        <r>
          <rPr>
            <sz val="9"/>
            <color indexed="81"/>
            <rFont val="Tahoma"/>
            <family val="2"/>
          </rPr>
          <t>Ricardo; http://www.aga.org/our-issues/natural-gas-vehicles/Pages/default.aspx</t>
        </r>
      </text>
    </comment>
    <comment ref="K408" authorId="0" shapeId="0" xr:uid="{C77C75BD-55D7-4CC5-8842-AC4C93411A73}">
      <text>
        <r>
          <rPr>
            <sz val="9"/>
            <color indexed="81"/>
            <rFont val="Tahoma"/>
            <family val="2"/>
          </rPr>
          <t>Ricardo; http://www.aga.org/our-issues/natural-gas-vehicles/Pages/default.aspx</t>
        </r>
      </text>
    </comment>
    <comment ref="L408" authorId="0" shapeId="0" xr:uid="{467543AC-ADA0-4928-B2D8-2BC42ABE1EC9}">
      <text>
        <r>
          <rPr>
            <sz val="9"/>
            <color indexed="81"/>
            <rFont val="Tahoma"/>
            <family val="2"/>
          </rPr>
          <t>Assume same as diesel HEV
Ricardo; http://www.aga.org/our-issues/natural-gas-vehicles/Pages/default.aspx</t>
        </r>
      </text>
    </comment>
    <comment ref="M408" authorId="0" shapeId="0" xr:uid="{D58E5CD6-99EB-4D5B-A4A2-274DEEEE2FDC}">
      <text>
        <r>
          <rPr>
            <sz val="9"/>
            <color indexed="81"/>
            <rFont val="Tahoma"/>
            <family val="2"/>
          </rPr>
          <t>Assume same as diesel
Ricardo; http://www.aga.org/our-issues/natural-gas-vehicles/Pages/default.aspx</t>
        </r>
      </text>
    </comment>
    <comment ref="N408" authorId="0" shapeId="0" xr:uid="{CC797A1E-F82E-41F0-8B62-2A2B36A8840E}">
      <text>
        <r>
          <rPr>
            <sz val="9"/>
            <color indexed="81"/>
            <rFont val="Tahoma"/>
            <family val="2"/>
          </rPr>
          <t>Assume same as diesel
Ricardo; http://www.aga.org/our-issues/natural-gas-vehicles/Pages/default.aspx</t>
        </r>
      </text>
    </comment>
    <comment ref="Q408" authorId="0" shapeId="0" xr:uid="{6599D8CF-364E-4F20-A3FC-7F4329D87140}">
      <text>
        <r>
          <rPr>
            <sz val="9"/>
            <color indexed="81"/>
            <rFont val="Tahoma"/>
            <family val="2"/>
          </rPr>
          <t>Ricardo; http://www.aga.org/our-issues/natural-gas-vehicles/Pages/default.aspx</t>
        </r>
      </text>
    </comment>
    <comment ref="R408" authorId="0" shapeId="0" xr:uid="{1904F440-CF9A-44D5-B5DE-DDBA43014BB2}">
      <text>
        <r>
          <rPr>
            <sz val="9"/>
            <color indexed="81"/>
            <rFont val="Tahoma"/>
            <family val="2"/>
          </rPr>
          <t>Ricardo; http://www.aga.org/our-issues/natural-gas-vehicles/Pages/default.aspx</t>
        </r>
      </text>
    </comment>
    <comment ref="S408" authorId="0" shapeId="0" xr:uid="{71885C8E-A77D-4B89-9D82-8107E0B4B2A6}">
      <text>
        <r>
          <rPr>
            <sz val="9"/>
            <color indexed="81"/>
            <rFont val="Tahoma"/>
            <family val="2"/>
          </rPr>
          <t>Ricardo; http://www.aga.org/our-issues/natural-gas-vehicles/Pages/default.aspx
Incremental = Westport</t>
        </r>
      </text>
    </comment>
    <comment ref="E409" authorId="0" shapeId="0" xr:uid="{0BD889F8-ADEC-4795-A89B-BC6F521DA69C}">
      <text>
        <r>
          <rPr>
            <sz val="9"/>
            <color indexed="81"/>
            <rFont val="Tahoma"/>
            <family val="2"/>
          </rPr>
          <t>Ricardo; http://www.aga.org/our-issues/natural-gas-vehicles/Pages/default.aspx</t>
        </r>
      </text>
    </comment>
    <comment ref="I409" authorId="0" shapeId="0" xr:uid="{9234EDB7-0A82-416A-B6EB-793901842209}">
      <text>
        <r>
          <rPr>
            <sz val="9"/>
            <color indexed="81"/>
            <rFont val="Tahoma"/>
            <family val="2"/>
          </rPr>
          <t>Ricardo; http://www.aga.org/our-issues/natural-gas-vehicles/Pages/default.aspx</t>
        </r>
      </text>
    </comment>
    <comment ref="K409" authorId="0" shapeId="0" xr:uid="{C953B358-7D6B-44E4-87C7-3EB70C80786E}">
      <text>
        <r>
          <rPr>
            <sz val="9"/>
            <color indexed="81"/>
            <rFont val="Tahoma"/>
            <family val="2"/>
          </rPr>
          <t>Ricardo; http://www.aga.org/our-issues/natural-gas-vehicles/Pages/default.aspx</t>
        </r>
      </text>
    </comment>
    <comment ref="L409" authorId="0" shapeId="0" xr:uid="{62B8185C-2342-45A7-9A5C-1B04B86B0DA4}">
      <text>
        <r>
          <rPr>
            <sz val="9"/>
            <color indexed="81"/>
            <rFont val="Tahoma"/>
            <family val="2"/>
          </rPr>
          <t>Assume same as diesel HEV
Ricardo; http://www.aga.org/our-issues/natural-gas-vehicles/Pages/default.aspx</t>
        </r>
      </text>
    </comment>
    <comment ref="M409" authorId="0" shapeId="0" xr:uid="{61B94AD2-BB83-4CA9-A30F-A5E93621033F}">
      <text>
        <r>
          <rPr>
            <sz val="9"/>
            <color indexed="81"/>
            <rFont val="Tahoma"/>
            <family val="2"/>
          </rPr>
          <t>Assume same as diesel
Ricardo; http://www.aga.org/our-issues/natural-gas-vehicles/Pages/default.aspx</t>
        </r>
      </text>
    </comment>
    <comment ref="N409" authorId="0" shapeId="0" xr:uid="{1A9EC946-CD7F-4C42-A502-81E428EA9724}">
      <text>
        <r>
          <rPr>
            <sz val="9"/>
            <color indexed="81"/>
            <rFont val="Tahoma"/>
            <family val="2"/>
          </rPr>
          <t>Assume same as diesel
Ricardo; http://www.aga.org/our-issues/natural-gas-vehicles/Pages/default.aspx</t>
        </r>
      </text>
    </comment>
    <comment ref="Q409" authorId="0" shapeId="0" xr:uid="{A25A7373-BF31-47BB-B22D-1C7502CCB204}">
      <text>
        <r>
          <rPr>
            <sz val="9"/>
            <color indexed="81"/>
            <rFont val="Tahoma"/>
            <family val="2"/>
          </rPr>
          <t>Ricardo; http://www.aga.org/our-issues/natural-gas-vehicles/Pages/default.aspx</t>
        </r>
      </text>
    </comment>
    <comment ref="R409" authorId="0" shapeId="0" xr:uid="{7EB3DD71-5E75-44B4-BC9D-5AC8BDFD2B8E}">
      <text>
        <r>
          <rPr>
            <sz val="9"/>
            <color indexed="81"/>
            <rFont val="Tahoma"/>
            <family val="2"/>
          </rPr>
          <t>Ricardo; http://www.aga.org/our-issues/natural-gas-vehicles/Pages/default.aspx</t>
        </r>
      </text>
    </comment>
    <comment ref="S409" authorId="0" shapeId="0" xr:uid="{159CA1A4-3593-42CE-B246-E3DCCE93F3EE}">
      <text>
        <r>
          <rPr>
            <sz val="9"/>
            <color indexed="81"/>
            <rFont val="Tahoma"/>
            <family val="2"/>
          </rPr>
          <t>Ricardo; http://www.aga.org/our-issues/natural-gas-vehicles/Pages/default.aspx
Incremental = Westport</t>
        </r>
      </text>
    </comment>
    <comment ref="E410" authorId="0" shapeId="0" xr:uid="{D31AFD4E-D977-42BB-8919-BBC8B1EE9ED6}">
      <text>
        <r>
          <rPr>
            <sz val="9"/>
            <color indexed="81"/>
            <rFont val="Tahoma"/>
            <family val="2"/>
          </rPr>
          <t>Ricardo; http://www.aga.org/our-issues/natural-gas-vehicles/Pages/default.aspx</t>
        </r>
      </text>
    </comment>
    <comment ref="I410" authorId="0" shapeId="0" xr:uid="{A79E0B26-4971-4FB7-9AC9-1259DD87AD4D}">
      <text>
        <r>
          <rPr>
            <sz val="9"/>
            <color indexed="81"/>
            <rFont val="Tahoma"/>
            <family val="2"/>
          </rPr>
          <t>Ricardo; http://www.aga.org/our-issues/natural-gas-vehicles/Pages/default.aspx</t>
        </r>
      </text>
    </comment>
    <comment ref="K410" authorId="0" shapeId="0" xr:uid="{B186D0B3-3708-4F0B-98F7-3054183931C2}">
      <text>
        <r>
          <rPr>
            <sz val="9"/>
            <color indexed="81"/>
            <rFont val="Tahoma"/>
            <family val="2"/>
          </rPr>
          <t>Ricardo; http://www.aga.org/our-issues/natural-gas-vehicles/Pages/default.aspx</t>
        </r>
      </text>
    </comment>
    <comment ref="L410" authorId="0" shapeId="0" xr:uid="{056BC990-F293-4786-91B6-67724F503450}">
      <text>
        <r>
          <rPr>
            <sz val="9"/>
            <color indexed="81"/>
            <rFont val="Tahoma"/>
            <family val="2"/>
          </rPr>
          <t>Assume same as diesel HEV
Ricardo; http://www.aga.org/our-issues/natural-gas-vehicles/Pages/default.aspx</t>
        </r>
      </text>
    </comment>
    <comment ref="M410" authorId="0" shapeId="0" xr:uid="{FC075AD3-5F9C-4CA7-B5F1-2167AD3C331F}">
      <text>
        <r>
          <rPr>
            <sz val="9"/>
            <color indexed="81"/>
            <rFont val="Tahoma"/>
            <family val="2"/>
          </rPr>
          <t>Assume same as diesel
Ricardo; http://www.aga.org/our-issues/natural-gas-vehicles/Pages/default.aspx</t>
        </r>
      </text>
    </comment>
    <comment ref="N410" authorId="0" shapeId="0" xr:uid="{F7BA30A4-8952-4EA2-AA3B-FD9A6102CB60}">
      <text>
        <r>
          <rPr>
            <sz val="9"/>
            <color indexed="81"/>
            <rFont val="Tahoma"/>
            <family val="2"/>
          </rPr>
          <t>Assume same as diesel
Ricardo; http://www.aga.org/our-issues/natural-gas-vehicles/Pages/default.aspx</t>
        </r>
      </text>
    </comment>
    <comment ref="Q410" authorId="0" shapeId="0" xr:uid="{4F75B43C-2553-478D-A3AD-B29754CEDEC7}">
      <text>
        <r>
          <rPr>
            <sz val="9"/>
            <color indexed="81"/>
            <rFont val="Tahoma"/>
            <family val="2"/>
          </rPr>
          <t>Ricardo; http://www.aga.org/our-issues/natural-gas-vehicles/Pages/default.aspx</t>
        </r>
      </text>
    </comment>
    <comment ref="R410" authorId="0" shapeId="0" xr:uid="{D378C9CB-A692-4DB6-A1B3-EB10221E2BF4}">
      <text>
        <r>
          <rPr>
            <sz val="9"/>
            <color indexed="81"/>
            <rFont val="Tahoma"/>
            <family val="2"/>
          </rPr>
          <t>Ricardo; http://www.aga.org/our-issues/natural-gas-vehicles/Pages/default.aspx</t>
        </r>
      </text>
    </comment>
    <comment ref="S410" authorId="0" shapeId="0" xr:uid="{BF645755-E600-4759-9B84-C6AE1B178753}">
      <text>
        <r>
          <rPr>
            <sz val="9"/>
            <color indexed="81"/>
            <rFont val="Tahoma"/>
            <family val="2"/>
          </rPr>
          <t>Ricardo; http://www.aga.org/our-issues/natural-gas-vehicles/Pages/default.aspx
Incremental = Westport</t>
        </r>
      </text>
    </comment>
    <comment ref="E411" authorId="0" shapeId="0" xr:uid="{437E3778-B6EF-4083-BDBC-049C46FA0A8D}">
      <text>
        <r>
          <rPr>
            <sz val="9"/>
            <color indexed="81"/>
            <rFont val="Tahoma"/>
            <family val="2"/>
          </rPr>
          <t>Ricardo; http://www.aga.org/our-issues/natural-gas-vehicles/Pages/default.aspx</t>
        </r>
      </text>
    </comment>
    <comment ref="I411" authorId="0" shapeId="0" xr:uid="{A19E8A79-F0DC-4B39-BF11-D28A04313F9E}">
      <text>
        <r>
          <rPr>
            <sz val="9"/>
            <color indexed="81"/>
            <rFont val="Tahoma"/>
            <family val="2"/>
          </rPr>
          <t>Ricardo; http://www.aga.org/our-issues/natural-gas-vehicles/Pages/default.aspx</t>
        </r>
      </text>
    </comment>
    <comment ref="K411" authorId="0" shapeId="0" xr:uid="{1B07469D-1430-4B31-B704-56FB1E162F5A}">
      <text>
        <r>
          <rPr>
            <sz val="9"/>
            <color indexed="81"/>
            <rFont val="Tahoma"/>
            <family val="2"/>
          </rPr>
          <t>Ricardo; http://www.aga.org/our-issues/natural-gas-vehicles/Pages/default.aspx</t>
        </r>
      </text>
    </comment>
    <comment ref="L411" authorId="0" shapeId="0" xr:uid="{D19BBA87-54F5-4096-9E59-687DD1BE3C1A}">
      <text>
        <r>
          <rPr>
            <sz val="9"/>
            <color indexed="81"/>
            <rFont val="Tahoma"/>
            <family val="2"/>
          </rPr>
          <t>Assume same as diesel HEV
Ricardo; http://www.aga.org/our-issues/natural-gas-vehicles/Pages/default.aspx</t>
        </r>
      </text>
    </comment>
    <comment ref="M411" authorId="0" shapeId="0" xr:uid="{697E2969-CFFB-486F-A329-ED1E291B2908}">
      <text>
        <r>
          <rPr>
            <sz val="9"/>
            <color indexed="81"/>
            <rFont val="Tahoma"/>
            <family val="2"/>
          </rPr>
          <t>Assume same as diesel
Ricardo; http://www.aga.org/our-issues/natural-gas-vehicles/Pages/default.aspx</t>
        </r>
      </text>
    </comment>
    <comment ref="N411" authorId="0" shapeId="0" xr:uid="{32584FCE-DFDD-40B5-B436-C90281231AFF}">
      <text>
        <r>
          <rPr>
            <sz val="9"/>
            <color indexed="81"/>
            <rFont val="Tahoma"/>
            <family val="2"/>
          </rPr>
          <t>Assume same as diesel
Ricardo; http://www.aga.org/our-issues/natural-gas-vehicles/Pages/default.aspx</t>
        </r>
      </text>
    </comment>
    <comment ref="Q411" authorId="0" shapeId="0" xr:uid="{69CFECB8-EFA0-4588-AF72-2AC0EBB03E68}">
      <text>
        <r>
          <rPr>
            <sz val="9"/>
            <color indexed="81"/>
            <rFont val="Tahoma"/>
            <family val="2"/>
          </rPr>
          <t>Ricardo; http://www.aga.org/our-issues/natural-gas-vehicles/Pages/default.aspx</t>
        </r>
      </text>
    </comment>
    <comment ref="R411" authorId="0" shapeId="0" xr:uid="{6308C90D-F9E1-4AC0-B968-9D45DE4BE5B8}">
      <text>
        <r>
          <rPr>
            <sz val="9"/>
            <color indexed="81"/>
            <rFont val="Tahoma"/>
            <family val="2"/>
          </rPr>
          <t>Ricardo; http://www.aga.org/our-issues/natural-gas-vehicles/Pages/default.aspx</t>
        </r>
      </text>
    </comment>
    <comment ref="S411" authorId="0" shapeId="0" xr:uid="{C2BA8A1B-D608-410C-8539-3D7F57B47048}">
      <text>
        <r>
          <rPr>
            <sz val="9"/>
            <color indexed="81"/>
            <rFont val="Tahoma"/>
            <family val="2"/>
          </rPr>
          <t>Ricardo; http://www.aga.org/our-issues/natural-gas-vehicles/Pages/default.aspx
Incremental = Westport</t>
        </r>
      </text>
    </comment>
    <comment ref="E412" authorId="0" shapeId="0" xr:uid="{0DD685CE-643F-4988-A24C-6AD53DA4BB52}">
      <text>
        <r>
          <rPr>
            <sz val="9"/>
            <color indexed="81"/>
            <rFont val="Tahoma"/>
            <family val="2"/>
          </rPr>
          <t>Ricardo; http://www.aga.org/our-issues/natural-gas-vehicles/Pages/default.aspx</t>
        </r>
      </text>
    </comment>
    <comment ref="I412" authorId="0" shapeId="0" xr:uid="{B7F62D27-72A9-4F17-AFC3-475D72DED061}">
      <text>
        <r>
          <rPr>
            <sz val="9"/>
            <color indexed="81"/>
            <rFont val="Tahoma"/>
            <family val="2"/>
          </rPr>
          <t>Ricardo; http://www.aga.org/our-issues/natural-gas-vehicles/Pages/default.aspx</t>
        </r>
      </text>
    </comment>
    <comment ref="K412" authorId="0" shapeId="0" xr:uid="{48A2860F-D3AC-4B5F-81D6-41030C3AC344}">
      <text>
        <r>
          <rPr>
            <sz val="9"/>
            <color indexed="81"/>
            <rFont val="Tahoma"/>
            <family val="2"/>
          </rPr>
          <t>Ricardo; http://www.aga.org/our-issues/natural-gas-vehicles/Pages/default.aspx</t>
        </r>
      </text>
    </comment>
    <comment ref="L412" authorId="0" shapeId="0" xr:uid="{668EEC4A-8EF6-471F-BA25-E8C0BDCDF8FE}">
      <text>
        <r>
          <rPr>
            <sz val="9"/>
            <color indexed="81"/>
            <rFont val="Tahoma"/>
            <family val="2"/>
          </rPr>
          <t>Assume same as diesel HEV
Ricardo; http://www.aga.org/our-issues/natural-gas-vehicles/Pages/default.aspx</t>
        </r>
      </text>
    </comment>
    <comment ref="M412" authorId="0" shapeId="0" xr:uid="{4FE7C609-C51D-4394-AE6E-3C7157EEEB1E}">
      <text>
        <r>
          <rPr>
            <sz val="9"/>
            <color indexed="81"/>
            <rFont val="Tahoma"/>
            <family val="2"/>
          </rPr>
          <t>Assume same as diesel
Ricardo; http://www.aga.org/our-issues/natural-gas-vehicles/Pages/default.aspx</t>
        </r>
      </text>
    </comment>
    <comment ref="N412" authorId="0" shapeId="0" xr:uid="{08510CC1-9B30-4AB7-B88C-DA095406753E}">
      <text>
        <r>
          <rPr>
            <sz val="9"/>
            <color indexed="81"/>
            <rFont val="Tahoma"/>
            <family val="2"/>
          </rPr>
          <t>Assume same as diesel
Ricardo; http://www.aga.org/our-issues/natural-gas-vehicles/Pages/default.aspx</t>
        </r>
      </text>
    </comment>
    <comment ref="Q412" authorId="0" shapeId="0" xr:uid="{351EE39D-0D52-4647-B2D3-BD9FF8B900BD}">
      <text>
        <r>
          <rPr>
            <sz val="9"/>
            <color indexed="81"/>
            <rFont val="Tahoma"/>
            <family val="2"/>
          </rPr>
          <t>Ricardo; http://www.aga.org/our-issues/natural-gas-vehicles/Pages/default.aspx</t>
        </r>
      </text>
    </comment>
    <comment ref="R412" authorId="0" shapeId="0" xr:uid="{8649C3B0-6442-479E-8A35-48F605A18158}">
      <text>
        <r>
          <rPr>
            <sz val="9"/>
            <color indexed="81"/>
            <rFont val="Tahoma"/>
            <family val="2"/>
          </rPr>
          <t>Ricardo; http://www.aga.org/our-issues/natural-gas-vehicles/Pages/default.aspx</t>
        </r>
      </text>
    </comment>
    <comment ref="S412" authorId="0" shapeId="0" xr:uid="{314D44F2-6D5D-451E-8FBF-A540EB39755C}">
      <text>
        <r>
          <rPr>
            <sz val="9"/>
            <color indexed="81"/>
            <rFont val="Tahoma"/>
            <family val="2"/>
          </rPr>
          <t>Ricardo; http://www.aga.org/our-issues/natural-gas-vehicles/Pages/default.aspx
Incremental = Westport</t>
        </r>
      </text>
    </comment>
    <comment ref="E413" authorId="0" shapeId="0" xr:uid="{19B40875-42CB-43FE-847A-DDE20492E5DC}">
      <text>
        <r>
          <rPr>
            <sz val="9"/>
            <color indexed="81"/>
            <rFont val="Tahoma"/>
            <family val="2"/>
          </rPr>
          <t>Utilimarc</t>
        </r>
      </text>
    </comment>
    <comment ref="I413" authorId="0" shapeId="0" xr:uid="{BBA26BF3-F261-4146-A4B6-0534D81CBFBC}">
      <text>
        <r>
          <rPr>
            <sz val="9"/>
            <color indexed="81"/>
            <rFont val="Tahoma"/>
            <family val="2"/>
          </rPr>
          <t>Utilimarc</t>
        </r>
      </text>
    </comment>
    <comment ref="K413" authorId="0" shapeId="0" xr:uid="{6AD82216-ECEB-4730-8796-153E1EF3DB04}">
      <text>
        <r>
          <rPr>
            <sz val="9"/>
            <color indexed="81"/>
            <rFont val="Tahoma"/>
            <family val="2"/>
          </rPr>
          <t>Utilimarc</t>
        </r>
      </text>
    </comment>
    <comment ref="L413" authorId="0" shapeId="0" xr:uid="{47B9FBF6-5E07-4EF6-AB8E-72E89B18D6F0}">
      <text>
        <r>
          <rPr>
            <sz val="9"/>
            <color indexed="81"/>
            <rFont val="Tahoma"/>
            <family val="2"/>
          </rPr>
          <t>Utilimarc</t>
        </r>
      </text>
    </comment>
    <comment ref="M413" authorId="0" shapeId="0" xr:uid="{4C1C5D07-5523-4037-B6C9-E99B5A5FD21D}">
      <text>
        <r>
          <rPr>
            <sz val="9"/>
            <color indexed="81"/>
            <rFont val="Tahoma"/>
            <family val="2"/>
          </rPr>
          <t>Utilimarc</t>
        </r>
      </text>
    </comment>
    <comment ref="N413" authorId="0" shapeId="0" xr:uid="{19D4FAA9-4557-40AE-87A3-61432997B040}">
      <text>
        <r>
          <rPr>
            <sz val="9"/>
            <color indexed="81"/>
            <rFont val="Tahoma"/>
            <family val="2"/>
          </rPr>
          <t>Utilimarc</t>
        </r>
      </text>
    </comment>
    <comment ref="Q413" authorId="0" shapeId="0" xr:uid="{98F3BF67-29B7-4A5A-A64B-EC78F42B0380}">
      <text>
        <r>
          <rPr>
            <sz val="9"/>
            <color indexed="81"/>
            <rFont val="Tahoma"/>
            <family val="2"/>
          </rPr>
          <t>Utilimarc
Incremental = Ricardo; http://www.aga.org/our-issues/natural-gas-vehicles/Pages/default.aspx</t>
        </r>
      </text>
    </comment>
    <comment ref="R413" authorId="0" shapeId="0" xr:uid="{9BED4DC7-75EF-463A-A5EE-2D0A53E35BBA}">
      <text>
        <r>
          <rPr>
            <sz val="9"/>
            <color indexed="81"/>
            <rFont val="Tahoma"/>
            <family val="2"/>
          </rPr>
          <t>Assume same as CNG
Utilimarc
Incremental = Ricardo; http://www.aga.org/our-issues/natural-gas-vehicles/Pages/default.aspx</t>
        </r>
      </text>
    </comment>
    <comment ref="S413" authorId="0" shapeId="0" xr:uid="{C2513DE2-9D4B-408C-B0C3-5903D0E56873}">
      <text>
        <r>
          <rPr>
            <sz val="9"/>
            <color indexed="81"/>
            <rFont val="Tahoma"/>
            <family val="2"/>
          </rPr>
          <t>Utilimarc
Incremental = Westport</t>
        </r>
      </text>
    </comment>
    <comment ref="E414" authorId="0" shapeId="0" xr:uid="{FB16672A-EEC5-4F6B-A28D-73219B2572BC}">
      <text>
        <r>
          <rPr>
            <sz val="9"/>
            <color indexed="81"/>
            <rFont val="Tahoma"/>
            <family val="2"/>
          </rPr>
          <t>Volpe; DOT model http://www.volpe.dot.gov/coi/ppoa/publiclands/projects/busandferrycost.html; http://ntl.bts.gov/lib/44000/44200/44244/Bus_Lifecycle_Cost_Model_User_s_Guide.pdf</t>
        </r>
      </text>
    </comment>
    <comment ref="I414" authorId="0" shapeId="0" xr:uid="{D1E63033-77D0-4AEE-AF13-D537FE235346}">
      <text>
        <r>
          <rPr>
            <sz val="9"/>
            <color indexed="81"/>
            <rFont val="Tahoma"/>
            <family val="2"/>
          </rPr>
          <t>Volpe; DOT model http://www.volpe.dot.gov/coi/ppoa/publiclands/projects/busandferrycost.html; http://ntl.bts.gov/lib/44000/44200/44244/Bus_Lifecycle_Cost_Model_User_s_Guide.pdf
Ricardo; http://www.aga.org/our-issues/natural-gas-vehicles/Pages/default.aspx</t>
        </r>
      </text>
    </comment>
    <comment ref="J414" authorId="0" shapeId="0" xr:uid="{70CEE5B4-6894-4098-8712-FE439160DE3C}">
      <text>
        <r>
          <rPr>
            <sz val="9"/>
            <color indexed="81"/>
            <rFont val="Tahoma"/>
            <family val="2"/>
          </rPr>
          <t>Eudy et al. 2015 Fuel Cell Buses in U.S. Transit Fleets:  Current Status 2015
http://www.nrel.gov/hydrogen/proj_fc_bus_eval.html
Table 12 - Fleet Average</t>
        </r>
      </text>
    </comment>
    <comment ref="K414" authorId="0" shapeId="0" xr:uid="{8BA2A0AA-BCEB-48FE-B653-7F4DFB179B89}">
      <text>
        <r>
          <rPr>
            <sz val="9"/>
            <color indexed="81"/>
            <rFont val="Tahoma"/>
            <family val="2"/>
          </rPr>
          <t>Volpe; DOT model http://www.volpe.dot.gov/coi/ppoa/publiclands/projects/busandferrycost.html; http://ntl.bts.gov/lib/44000/44200/44244/Bus_Lifecycle_Cost_Model_User_s_Guide.pdf
Ricardo; http://www.aga.org/our-issues/natural-gas-vehicles/Pages/default.aspx</t>
        </r>
      </text>
    </comment>
    <comment ref="L414" authorId="0" shapeId="0" xr:uid="{3A3208F1-34AE-491A-9369-B35919ADD9CD}">
      <text>
        <r>
          <rPr>
            <sz val="9"/>
            <color indexed="81"/>
            <rFont val="Tahoma"/>
            <family val="2"/>
          </rPr>
          <t>Assume same as diesel HEV
Volpe; DOT model http://www.volpe.dot.gov/coi/ppoa/publiclands/projects/busandferrycost.html; http://ntl.bts.gov/lib/44000/44200/44244/Bus_Lifecycle_Cost_Model_User_s_Guide.pdf
Ricardo; http://www.aga.org/our-issues/natural-gas-vehicles/Pages/default.aspx</t>
        </r>
      </text>
    </comment>
    <comment ref="M414" authorId="0" shapeId="0" xr:uid="{7F1E77D0-DA77-4842-BD13-4EDA8D211023}">
      <text>
        <r>
          <rPr>
            <sz val="9"/>
            <color indexed="81"/>
            <rFont val="Tahoma"/>
            <family val="2"/>
          </rPr>
          <t>Volpe; DOT model http://www.volpe.dot.gov/coi/ppoa/publiclands/projects/busandferrycost.html; http://ntl.bts.gov/lib/44000/44200/44244/Bus_Lifecycle_Cost_Model_User_s_Guide.pdf</t>
        </r>
      </text>
    </comment>
    <comment ref="N414" authorId="0" shapeId="0" xr:uid="{0FF650EC-D061-49ED-9364-D3F04A2335DE}">
      <text>
        <r>
          <rPr>
            <sz val="9"/>
            <color indexed="81"/>
            <rFont val="Tahoma"/>
            <family val="2"/>
          </rPr>
          <t>Volpe; DOT model http://www.volpe.dot.gov/coi/ppoa/publiclands/projects/busandferrycost.html; http://ntl.bts.gov/lib/44000/44200/44244/Bus_Lifecycle_Cost_Model_User_s_Guide.pdf</t>
        </r>
      </text>
    </comment>
    <comment ref="Q414" authorId="0" shapeId="0" xr:uid="{C04F9AFD-1430-4CF9-BE6A-2D8D88A714E0}">
      <text>
        <r>
          <rPr>
            <sz val="9"/>
            <color indexed="81"/>
            <rFont val="Tahoma"/>
            <family val="2"/>
          </rPr>
          <t>Volpe; DOT model http://www.volpe.dot.gov/coi/ppoa/publiclands/projects/busandferrycost.html; http://ntl.bts.gov/lib/44000/44200/44244/Bus_Lifecycle_Cost_Model_User_s_Guide.pdf
Incremental = Ricardo; http://www.aga.org/our-issues/natural-gas-vehicles/Pages/default.aspx</t>
        </r>
      </text>
    </comment>
    <comment ref="R414" authorId="0" shapeId="0" xr:uid="{329D740F-F0AC-488D-879E-2DE10CCC25AD}">
      <text>
        <r>
          <rPr>
            <sz val="9"/>
            <color indexed="81"/>
            <rFont val="Tahoma"/>
            <family val="2"/>
          </rPr>
          <t>Assume same as CNG
Volpe; DOT model http://www.volpe.dot.gov/coi/ppoa/publiclands/projects/busandferrycost.html; http://ntl.bts.gov/lib/44000/44200/44244/Bus_Lifecycle_Cost_Model_User_s_Guide.pdf
Ricardo; http://www.aga.org/our-issues/natural-gas-vehicles/Pages/default.aspx</t>
        </r>
      </text>
    </comment>
    <comment ref="S414" authorId="0" shapeId="0" xr:uid="{7F085B2D-F95B-4E91-A241-A90DBAF7CA66}">
      <text>
        <r>
          <rPr>
            <sz val="9"/>
            <color indexed="81"/>
            <rFont val="Tahoma"/>
            <family val="2"/>
          </rPr>
          <t>Assume same as CNG
Volpe; DOT model http://www.volpe.dot.gov/coi/ppoa/publiclands/projects/busandferrycost.html; http://ntl.bts.gov/lib/44000/44200/44244/Bus_Lifecycle_Cost_Model_User_s_Guide.pdf
Incremental = Ricardo; http://www.aga.org/our-issues/natural-gas-vehicles/Pages/default.aspx
Incremental = Westport</t>
        </r>
      </text>
    </comment>
    <comment ref="D415" authorId="0" shapeId="0" xr:uid="{F33A913F-3180-4EE2-8F5D-BF8F60E3D22D}">
      <text>
        <r>
          <rPr>
            <sz val="9"/>
            <color indexed="81"/>
            <rFont val="Tahoma"/>
            <family val="2"/>
          </rPr>
          <t>No data so assume same as diesel, not clear the maintenance savings seen for gasoline light vehicles will translate to heavy duty
Gloucester County, VA School District</t>
        </r>
      </text>
    </comment>
    <comment ref="E415" authorId="0" shapeId="0" xr:uid="{20E27038-724E-42A2-A8A8-89E7F900C542}">
      <text>
        <r>
          <rPr>
            <sz val="9"/>
            <color indexed="81"/>
            <rFont val="Tahoma"/>
            <family val="2"/>
          </rPr>
          <t>Gloucester County, VA School District</t>
        </r>
      </text>
    </comment>
    <comment ref="I415" authorId="0" shapeId="0" xr:uid="{C6861B50-EB7D-494F-B3A0-0846405908E7}">
      <text>
        <r>
          <rPr>
            <sz val="9"/>
            <color indexed="81"/>
            <rFont val="Tahoma"/>
            <family val="2"/>
          </rPr>
          <t>Gloucester County, VA School District;
Ricardo; http://www.aga.org/our-issues/natural-gas-vehicles/Pages/default.aspx</t>
        </r>
      </text>
    </comment>
    <comment ref="K415" authorId="0" shapeId="0" xr:uid="{8F76A0BD-446F-421F-BDAE-B38CB0678676}">
      <text>
        <r>
          <rPr>
            <sz val="9"/>
            <color indexed="81"/>
            <rFont val="Tahoma"/>
            <family val="2"/>
          </rPr>
          <t>Gloucester County, VA School District;
Ricardo; http://www.aga.org/our-issues/natural-gas-vehicles/Pages/default.aspx</t>
        </r>
      </text>
    </comment>
    <comment ref="L415" authorId="0" shapeId="0" xr:uid="{84ED08A6-360E-46B2-93CB-EB2152B5C0FD}">
      <text>
        <r>
          <rPr>
            <sz val="9"/>
            <color indexed="81"/>
            <rFont val="Tahoma"/>
            <family val="2"/>
          </rPr>
          <t>Assume same as diesel HEV
Gloucester County, VA School District;
Ricardo; http://www.aga.org/our-issues/natural-gas-vehicles/Pages/default.aspx</t>
        </r>
      </text>
    </comment>
    <comment ref="M415" authorId="0" shapeId="0" xr:uid="{ECA7886D-3078-4E54-BECB-BA393B18E37E}">
      <text>
        <r>
          <rPr>
            <sz val="9"/>
            <color indexed="81"/>
            <rFont val="Tahoma"/>
            <family val="2"/>
          </rPr>
          <t>Gloucester County, VA School District</t>
        </r>
      </text>
    </comment>
    <comment ref="N415" authorId="0" shapeId="0" xr:uid="{2A4A5BE3-4434-4279-9A10-9A30BC715280}">
      <text>
        <r>
          <rPr>
            <sz val="9"/>
            <color indexed="81"/>
            <rFont val="Tahoma"/>
            <family val="2"/>
          </rPr>
          <t>Gloucester County, VA School District</t>
        </r>
      </text>
    </comment>
    <comment ref="O415" authorId="0" shapeId="0" xr:uid="{DAF27E2B-F02A-4CA8-AB81-2BC8495EFA96}">
      <text>
        <r>
          <rPr>
            <sz val="9"/>
            <color indexed="81"/>
            <rFont val="Tahoma"/>
            <family val="2"/>
          </rPr>
          <t>Gloucester County, VA School District</t>
        </r>
      </text>
    </comment>
    <comment ref="P415" authorId="0" shapeId="0" xr:uid="{2CD06B2F-21EF-427B-AF05-2690EAF73C28}">
      <text>
        <r>
          <rPr>
            <sz val="9"/>
            <color indexed="81"/>
            <rFont val="Tahoma"/>
            <family val="2"/>
          </rPr>
          <t>Gloucester County, VA School District</t>
        </r>
      </text>
    </comment>
    <comment ref="Q415" authorId="0" shapeId="0" xr:uid="{2498267D-C7E9-4397-B859-6703701E7C57}">
      <text>
        <r>
          <rPr>
            <sz val="9"/>
            <color indexed="81"/>
            <rFont val="Tahoma"/>
            <family val="2"/>
          </rPr>
          <t>Gloucester County, VA School District;
Ricardo; http://www.aga.org/our-issues/natural-gas-vehicles/Pages/default.aspx</t>
        </r>
      </text>
    </comment>
    <comment ref="R415" authorId="0" shapeId="0" xr:uid="{4D9CA637-F638-48CB-93E4-EE9AD55D5E4F}">
      <text>
        <r>
          <rPr>
            <sz val="9"/>
            <color indexed="81"/>
            <rFont val="Tahoma"/>
            <family val="2"/>
          </rPr>
          <t>Assume same as CNG 
Gloucester County, VA School District;
Ricardo; http://www.aga.org/our-issues/natural-gas-vehicles/Pages/default.aspx</t>
        </r>
      </text>
    </comment>
    <comment ref="S415" authorId="0" shapeId="0" xr:uid="{0CD6091E-B735-4275-B63A-EE9955A0830B}">
      <text>
        <r>
          <rPr>
            <sz val="9"/>
            <color indexed="81"/>
            <rFont val="Tahoma"/>
            <family val="2"/>
          </rPr>
          <t>Assume same as CNG 
Gloucester County, VA School District;
Ricardo; http://www.aga.org/our-issues/natural-gas-vehicles/Pages/default.aspx
Wesport = Incremental</t>
        </r>
      </text>
    </comment>
    <comment ref="D416" authorId="0" shapeId="0" xr:uid="{9A9CA1D7-E41D-427F-A173-1AC9B7094123}">
      <text>
        <r>
          <rPr>
            <sz val="9"/>
            <color indexed="81"/>
            <rFont val="Tahoma"/>
            <family val="2"/>
          </rPr>
          <t>No data so assume same as diesel, not clear the maintenance savings seen for gasoline light vehicles will translate to heavy duty
Volpe; DOT model http://www.volpe.dot.gov/coi/ppoa/publiclands/projects/busandferrycost.html; http://ntl.bts.gov/lib/44000/44200/44244/Bus_Lifecycle_Cost_Model_User_s_Guide.pdf</t>
        </r>
      </text>
    </comment>
    <comment ref="E416" authorId="0" shapeId="0" xr:uid="{975CA988-B7FA-418D-BFC8-9EF23ABC931A}">
      <text>
        <r>
          <rPr>
            <sz val="9"/>
            <color indexed="81"/>
            <rFont val="Tahoma"/>
            <family val="2"/>
          </rPr>
          <t>Volpe; DOT model http://www.volpe.dot.gov/coi/ppoa/publiclands/projects/busandferrycost.html; http://ntl.bts.gov/lib/44000/44200/44244/Bus_Lifecycle_Cost_Model_User_s_Guide.pdf</t>
        </r>
      </text>
    </comment>
    <comment ref="I416" authorId="0" shapeId="0" xr:uid="{9656D8E3-850D-42AA-A6D3-329A8F6282A1}">
      <text>
        <r>
          <rPr>
            <sz val="9"/>
            <color indexed="81"/>
            <rFont val="Tahoma"/>
            <family val="2"/>
          </rPr>
          <t>Volpe; DOT model http://www.volpe.dot.gov/coi/ppoa/publiclands/projects/busandferrycost.html; http://ntl.bts.gov/lib/44000/44200/44244/Bus_Lifecycle_Cost_Model_User_s_Guide.pdf
Ricardo; http://www.aga.org/our-issues/natural-gas-vehicles/Pages/default.aspx</t>
        </r>
      </text>
    </comment>
    <comment ref="K416" authorId="0" shapeId="0" xr:uid="{CFE03BAE-8C26-4542-A260-352115B4EA81}">
      <text>
        <r>
          <rPr>
            <sz val="9"/>
            <color indexed="81"/>
            <rFont val="Tahoma"/>
            <family val="2"/>
          </rPr>
          <t>Volpe; DOT model http://www.volpe.dot.gov/coi/ppoa/publiclands/projects/busandferrycost.html; http://ntl.bts.gov/lib/44000/44200/44244/Bus_Lifecycle_Cost_Model_User_s_Guide.pdf
Ricardo; http://www.aga.org/our-issues/natural-gas-vehicles/Pages/default.aspx</t>
        </r>
      </text>
    </comment>
    <comment ref="L416" authorId="0" shapeId="0" xr:uid="{878AAC65-8C7D-42F5-BCB8-A747C08DB7C1}">
      <text>
        <r>
          <rPr>
            <sz val="9"/>
            <color indexed="81"/>
            <rFont val="Tahoma"/>
            <family val="2"/>
          </rPr>
          <t>Assume same as diesel HEV
Volpe; DOT model http://www.volpe.dot.gov/coi/ppoa/publiclands/projects/busandferrycost.html; http://ntl.bts.gov/lib/44000/44200/44244/Bus_Lifecycle_Cost_Model_User_s_Guide.pdf
Ricardo; http://www.aga.org/our-issues/natural-gas-vehicles/Pages/default.aspx</t>
        </r>
      </text>
    </comment>
    <comment ref="M416" authorId="0" shapeId="0" xr:uid="{0A47BA4A-1925-4D8D-8AF9-CCDAF82EEDF2}">
      <text>
        <r>
          <rPr>
            <sz val="9"/>
            <color indexed="81"/>
            <rFont val="Tahoma"/>
            <family val="2"/>
          </rPr>
          <t>Volpe; DOT model http://www.volpe.dot.gov/coi/ppoa/publiclands/projects/busandferrycost.html; http://ntl.bts.gov/lib/44000/44200/44244/Bus_Lifecycle_Cost_Model_User_s_Guide.pdf</t>
        </r>
      </text>
    </comment>
    <comment ref="N416" authorId="0" shapeId="0" xr:uid="{382474EA-E606-4AE6-B6A7-6A9B026C4A92}">
      <text>
        <r>
          <rPr>
            <sz val="9"/>
            <color indexed="81"/>
            <rFont val="Tahoma"/>
            <family val="2"/>
          </rPr>
          <t>Volpe; DOT model http://www.volpe.dot.gov/coi/ppoa/publiclands/projects/busandferrycost.html; http://ntl.bts.gov/lib/44000/44200/44244/Bus_Lifecycle_Cost_Model_User_s_Guide.pdf</t>
        </r>
      </text>
    </comment>
    <comment ref="O416" authorId="0" shapeId="0" xr:uid="{1F9D06FD-0BA7-45A3-9473-B2071ADD1E0B}">
      <text>
        <r>
          <rPr>
            <sz val="9"/>
            <color indexed="81"/>
            <rFont val="Tahoma"/>
            <family val="2"/>
          </rPr>
          <t>Volpe; DOT model http://www.volpe.dot.gov/coi/ppoa/publiclands/projects/busandferrycost.html; http://ntl.bts.gov/lib/44000/44200/44244/Bus_Lifecycle_Cost_Model_User_s_Guide.pdf</t>
        </r>
      </text>
    </comment>
    <comment ref="P416" authorId="0" shapeId="0" xr:uid="{8E688487-98BE-4B37-A752-462E5233FFEE}">
      <text>
        <r>
          <rPr>
            <sz val="9"/>
            <color indexed="81"/>
            <rFont val="Tahoma"/>
            <family val="2"/>
          </rPr>
          <t>Volpe; DOT model http://www.volpe.dot.gov/coi/ppoa/publiclands/projects/busandferrycost.html; http://ntl.bts.gov/lib/44000/44200/44244/Bus_Lifecycle_Cost_Model_User_s_Guide.pdf</t>
        </r>
      </text>
    </comment>
    <comment ref="Q416" authorId="0" shapeId="0" xr:uid="{9514649F-C2E7-48E6-B5DC-3E9FB4D6F13C}">
      <text>
        <r>
          <rPr>
            <sz val="9"/>
            <color indexed="81"/>
            <rFont val="Tahoma"/>
            <family val="2"/>
          </rPr>
          <t>Volpe; DOT model http://www.volpe.dot.gov/coi/ppoa/publiclands/projects/busandferrycost.html; http://ntl.bts.gov/lib/44000/44200/44244/Bus_Lifecycle_Cost_Model_User_s_Guide.pdf
Incremental = Ricardo; http://www.aga.org/our-issues/natural-gas-vehicles/Pages/default.aspx</t>
        </r>
      </text>
    </comment>
    <comment ref="R416" authorId="0" shapeId="0" xr:uid="{9DF6300F-7FA3-452A-BB55-137D95CAE0D1}">
      <text>
        <r>
          <rPr>
            <sz val="9"/>
            <color indexed="81"/>
            <rFont val="Tahoma"/>
            <family val="2"/>
          </rPr>
          <t>Assume same as CNG
Volpe; DOT model http://www.volpe.dot.gov/coi/ppoa/publiclands/projects/busandferrycost.html; http://ntl.bts.gov/lib/44000/44200/44244/Bus_Lifecycle_Cost_Model_User_s_Guide.pdf
Ricardo; http://www.aga.org/our-issues/natural-gas-vehicles/Pages/default.aspx</t>
        </r>
      </text>
    </comment>
    <comment ref="S416" authorId="0" shapeId="0" xr:uid="{4124CE3C-D157-44DA-A79C-2AB7F78E5F01}">
      <text>
        <r>
          <rPr>
            <sz val="9"/>
            <color indexed="81"/>
            <rFont val="Tahoma"/>
            <family val="2"/>
          </rPr>
          <t>Assume same as CNG
Volpe; DOT model http://www.volpe.dot.gov/coi/ppoa/publiclands/projects/busandferrycost.html; http://ntl.bts.gov/lib/44000/44200/44244/Bus_Lifecycle_Cost_Model_User_s_Guide.pdf
Incremental = Ricardo; http://www.aga.org/our-issues/natural-gas-vehicles/Pages/default.aspx
Incremental = Westport</t>
        </r>
      </text>
    </comment>
    <comment ref="B417" authorId="0" shapeId="0" xr:uid="{28C08CA0-81FF-4677-BF60-06FF850735D2}">
      <text>
        <r>
          <rPr>
            <sz val="9"/>
            <color indexed="81"/>
            <rFont val="Tahoma"/>
            <family val="2"/>
          </rPr>
          <t>Light Duty Vehicles and 2 medium duty vehicles are based on Vyas and Utilimarc data</t>
        </r>
      </text>
    </comment>
    <comment ref="B418" authorId="0" shapeId="0" xr:uid="{F9DD52D1-B9FD-4D21-9A42-10942707BF68}">
      <text>
        <r>
          <rPr>
            <sz val="9"/>
            <color indexed="81"/>
            <rFont val="Tahoma"/>
            <family val="2"/>
          </rPr>
          <t>Light Duty Vehicles and 2 medium duty vehicles are based on Vyas and Utilimarc data</t>
        </r>
      </text>
    </comment>
    <comment ref="B419" authorId="0" shapeId="0" xr:uid="{33D7E3F3-1B6D-41AD-966F-899AC45453FD}">
      <text>
        <r>
          <rPr>
            <sz val="9"/>
            <color indexed="81"/>
            <rFont val="Tahoma"/>
            <family val="2"/>
          </rPr>
          <t>Light Duty Vehicles and 2 medium duty vehicles are based on Vyas and Utilimarc data</t>
        </r>
      </text>
    </comment>
    <comment ref="E419" authorId="0" shapeId="0" xr:uid="{E9570DB4-153D-418E-BF35-ECAAC49F447C}">
      <text>
        <r>
          <rPr>
            <sz val="9"/>
            <color indexed="81"/>
            <rFont val="Tahoma"/>
            <family val="2"/>
          </rPr>
          <t>Limited data to compare gasoline vs. diesel light duty vehicle maintenance and repair
Vincentric study suggests higher costs for diesel but was not able to find published values.
http://www.forbes.com/sites/matthewdepaula/2012/08/27/clean-diesel-cars-and-trucks-that-will-save-you-money/
So default assumes ratio of gasoline and diesel costs for utility cargo vans from Utilimarc data</t>
        </r>
      </text>
    </comment>
    <comment ref="M419" authorId="0" shapeId="0" xr:uid="{43464B20-6B77-48F5-9912-C9AC41AE8BFF}">
      <text>
        <r>
          <rPr>
            <sz val="9"/>
            <color indexed="81"/>
            <rFont val="Tahoma"/>
            <family val="2"/>
          </rPr>
          <t>Limited data to compare gasoline vs. diesel light duty vehicle maintenance and repair
Vincentric study suggests higher costs for diesel but was not able to find published values.
http://www.forbes.com/sites/matthewdepaula/2012/08/27/clean-diesel-cars-and-trucks-that-will-save-you-money/
So default assumes ratio of gasoline and diesel costs for utility cargo vans from Utilimarc data</t>
        </r>
      </text>
    </comment>
    <comment ref="N419" authorId="0" shapeId="0" xr:uid="{4A6A60FF-D717-421F-A80A-D41B161D753D}">
      <text>
        <r>
          <rPr>
            <sz val="9"/>
            <color indexed="81"/>
            <rFont val="Tahoma"/>
            <family val="2"/>
          </rPr>
          <t>Limited data to compare gasoline vs. diesel light duty vehicle maintenance and repair
Vincentric study suggests higher costs for diesel but was not able to find published values.
http://www.forbes.com/sites/matthewdepaula/2012/08/27/clean-diesel-cars-and-trucks-that-will-save-you-money/
So default assumes ratio of gasoline and diesel costs for utility cargo vans from Utilimarc data</t>
        </r>
      </text>
    </comment>
    <comment ref="B420" authorId="0" shapeId="0" xr:uid="{8F9BB4B2-0708-4263-887C-C447E321939F}">
      <text>
        <r>
          <rPr>
            <sz val="9"/>
            <color indexed="81"/>
            <rFont val="Tahoma"/>
            <family val="2"/>
          </rPr>
          <t>Light Duty Vehicles and 2 medium duty vehicles are based on Vyas and Utilimarc data</t>
        </r>
      </text>
    </comment>
    <comment ref="E420" authorId="0" shapeId="0" xr:uid="{44A8F1A2-A647-458C-9060-B2B6209AD9D3}">
      <text>
        <r>
          <rPr>
            <sz val="9"/>
            <color indexed="81"/>
            <rFont val="Tahoma"/>
            <family val="2"/>
          </rPr>
          <t>Limited data to compare gasoline vs. diesel light duty vehicle maintenance and repair
Vincentric study suggests higher costs for diesel but was not able to find published values.
http://www.forbes.com/sites/matthewdepaula/2012/08/27/clean-diesel-cars-and-trucks-that-will-save-you-money/
So default assumes ratio of gasoline and diesel costs for utility cargo vans from Utilimarc data</t>
        </r>
      </text>
    </comment>
    <comment ref="M420" authorId="0" shapeId="0" xr:uid="{DF9F9B03-9121-40E1-8529-67DA9784BC5B}">
      <text>
        <r>
          <rPr>
            <sz val="9"/>
            <color indexed="81"/>
            <rFont val="Tahoma"/>
            <family val="2"/>
          </rPr>
          <t>Limited data to compare gasoline vs. diesel light duty vehicle maintenance and repair
Vincentric study suggests higher costs for diesel but was not able to find published values.
http://www.forbes.com/sites/matthewdepaula/2012/08/27/clean-diesel-cars-and-trucks-that-will-save-you-money/
So default assumes ratio of gasoline and diesel costs for utility cargo vans from Utilimarc data</t>
        </r>
      </text>
    </comment>
    <comment ref="N420" authorId="0" shapeId="0" xr:uid="{F7E93F54-1886-4B1B-B3AC-97EDE52A6477}">
      <text>
        <r>
          <rPr>
            <sz val="9"/>
            <color indexed="81"/>
            <rFont val="Tahoma"/>
            <family val="2"/>
          </rPr>
          <t>Limited data to compare gasoline vs. diesel light duty vehicle maintenance and repair
Vincentric study suggests higher costs for diesel but was not able to find published values.
http://www.forbes.com/sites/matthewdepaula/2012/08/27/clean-diesel-cars-and-trucks-that-will-save-you-money/
So default assumes ratio of gasoline and diesel costs for utility cargo vans from Utilimarc data</t>
        </r>
      </text>
    </comment>
    <comment ref="B421" authorId="0" shapeId="0" xr:uid="{E778BA53-4D80-4238-BCB7-C680244BBF0A}">
      <text>
        <r>
          <rPr>
            <sz val="9"/>
            <color indexed="81"/>
            <rFont val="Tahoma"/>
            <family val="2"/>
          </rPr>
          <t>Light Duty Vehicles and 2 medium duty vehicles are based on Vyas and Utilimarc data</t>
        </r>
      </text>
    </comment>
    <comment ref="E421" authorId="0" shapeId="0" xr:uid="{7CBF393D-055C-49A5-849D-BBD54D00D0B8}">
      <text>
        <r>
          <rPr>
            <sz val="9"/>
            <color indexed="81"/>
            <rFont val="Tahoma"/>
            <family val="2"/>
          </rPr>
          <t>Limited data to compare gasoline vs. diesel light duty vehicle maintenance and repair
Vincentric study suggests higher costs for diesel but was not able to find published values.
http://www.forbes.com/sites/matthewdepaula/2012/08/27/clean-diesel-cars-and-trucks-that-will-save-you-money/
So default assumes ratio of gasoline and diesel costs for utility cargo vans from Utilimarc data</t>
        </r>
      </text>
    </comment>
    <comment ref="M421" authorId="0" shapeId="0" xr:uid="{F94FE284-47C5-480B-BA2F-5DAA9354BC09}">
      <text>
        <r>
          <rPr>
            <sz val="9"/>
            <color indexed="81"/>
            <rFont val="Tahoma"/>
            <family val="2"/>
          </rPr>
          <t>Limited data to compare gasoline vs. diesel light duty vehicle maintenance and repair
Vincentric study suggests higher costs for diesel but was not able to find published values.
http://www.forbes.com/sites/matthewdepaula/2012/08/27/clean-diesel-cars-and-trucks-that-will-save-you-money/
So default assumes ratio of gasoline and diesel costs for utility cargo vans from Utilimarc data</t>
        </r>
      </text>
    </comment>
    <comment ref="N421" authorId="0" shapeId="0" xr:uid="{F12D46AE-1796-433B-9D2B-CECCA7051086}">
      <text>
        <r>
          <rPr>
            <sz val="9"/>
            <color indexed="81"/>
            <rFont val="Tahoma"/>
            <family val="2"/>
          </rPr>
          <t>Limited data to compare gasoline vs. diesel light duty vehicle maintenance and repair
Vincentric study suggests higher costs for diesel but was not able to find published values.
http://www.forbes.com/sites/matthewdepaula/2012/08/27/clean-diesel-cars-and-trucks-that-will-save-you-money/
So default assumes ratio of gasoline and diesel costs for utility cargo vans from Utilimarc data</t>
        </r>
      </text>
    </comment>
    <comment ref="B422" authorId="0" shapeId="0" xr:uid="{AB186C74-902E-4529-A6B0-C25DA8834D10}">
      <text>
        <r>
          <rPr>
            <sz val="9"/>
            <color indexed="81"/>
            <rFont val="Tahoma"/>
            <family val="2"/>
          </rPr>
          <t>Light Duty Vehicles and 2 medium duty vehicles are based on Vyas and Utilimarc data</t>
        </r>
      </text>
    </comment>
    <comment ref="E422" authorId="0" shapeId="0" xr:uid="{797AEAD7-968A-4ACC-95D3-000A3599EC44}">
      <text>
        <r>
          <rPr>
            <sz val="9"/>
            <color indexed="81"/>
            <rFont val="Tahoma"/>
            <family val="2"/>
          </rPr>
          <t>Limited data to compare gasoline vs. diesel light duty vehicle maintenance and repair
Vincentric study suggests higher costs for diesel but was not able to find published values.
http://www.forbes.com/sites/matthewdepaula/2012/08/27/clean-diesel-cars-and-trucks-that-will-save-you-money/
So default assumes ratio of gasoline and diesel costs for utility cargo vans from Utilimarc data</t>
        </r>
      </text>
    </comment>
    <comment ref="M422" authorId="0" shapeId="0" xr:uid="{9F9BF2EF-21EF-4D10-9FF5-F27FF0FE1827}">
      <text>
        <r>
          <rPr>
            <sz val="9"/>
            <color indexed="81"/>
            <rFont val="Tahoma"/>
            <family val="2"/>
          </rPr>
          <t>Limited data to compare gasoline vs. diesel light duty vehicle maintenance and repair
Vincentric study suggests higher costs for diesel but was not able to find published values.
http://www.forbes.com/sites/matthewdepaula/2012/08/27/clean-diesel-cars-and-trucks-that-will-save-you-money/
So default assumes ratio of gasoline and diesel costs for utility cargo vans from Utilimarc data</t>
        </r>
      </text>
    </comment>
    <comment ref="N422" authorId="0" shapeId="0" xr:uid="{8AF6C9F4-48BE-432C-AC8E-D4A09FA96BF8}">
      <text>
        <r>
          <rPr>
            <sz val="9"/>
            <color indexed="81"/>
            <rFont val="Tahoma"/>
            <family val="2"/>
          </rPr>
          <t>Limited data to compare gasoline vs. diesel light duty vehicle maintenance and repair
Vincentric study suggests higher costs for diesel but was not able to find published values.
http://www.forbes.com/sites/matthewdepaula/2012/08/27/clean-diesel-cars-and-trucks-that-will-save-you-money/
So default assumes ratio of gasoline and diesel costs for utility cargo vans from Utilimarc data</t>
        </r>
      </text>
    </comment>
    <comment ref="B423" authorId="0" shapeId="0" xr:uid="{7A98FEA1-1078-4074-B52E-89D1D6267FB7}">
      <text>
        <r>
          <rPr>
            <sz val="9"/>
            <color indexed="81"/>
            <rFont val="Tahoma"/>
            <family val="2"/>
          </rPr>
          <t>Light Duty Vehicles and 2 medium duty vehicles are based on Vyas and Utilimarc data</t>
        </r>
      </text>
    </comment>
    <comment ref="E423" authorId="0" shapeId="0" xr:uid="{6AB72FEB-5008-4533-BEB9-3352EE08EA2D}">
      <text>
        <r>
          <rPr>
            <sz val="9"/>
            <color indexed="81"/>
            <rFont val="Tahoma"/>
            <family val="2"/>
          </rPr>
          <t>Limited data to compare gasoline vs. diesel light duty vehicle maintenance and repair
Vincentric study suggests higher costs for diesel but was not able to find published values.
http://www.forbes.com/sites/matthewdepaula/2012/08/27/clean-diesel-cars-and-trucks-that-will-save-you-money/
So default assumes ratio of gasoline and diesel costs for utility cargo vans from Utilimarc data</t>
        </r>
      </text>
    </comment>
    <comment ref="M423" authorId="0" shapeId="0" xr:uid="{D5E0BDB4-19FA-4DBD-A7F2-6DF4F1EC81D1}">
      <text>
        <r>
          <rPr>
            <sz val="9"/>
            <color indexed="81"/>
            <rFont val="Tahoma"/>
            <family val="2"/>
          </rPr>
          <t>Limited data to compare gasoline vs. diesel light duty vehicle maintenance and repair
Vincentric study suggests higher costs for diesel but was not able to find published values.
http://www.forbes.com/sites/matthewdepaula/2012/08/27/clean-diesel-cars-and-trucks-that-will-save-you-money/
So default assumes ratio of gasoline and diesel costs for utility cargo vans from Utilimarc data</t>
        </r>
      </text>
    </comment>
    <comment ref="N423" authorId="0" shapeId="0" xr:uid="{2983412E-954F-46B2-9A8A-190BCA8E2D5A}">
      <text>
        <r>
          <rPr>
            <sz val="9"/>
            <color indexed="81"/>
            <rFont val="Tahoma"/>
            <family val="2"/>
          </rPr>
          <t>Limited data to compare gasoline vs. diesel light duty vehicle maintenance and repair
Vincentric study suggests higher costs for diesel but was not able to find published values.
http://www.forbes.com/sites/matthewdepaula/2012/08/27/clean-diesel-cars-and-trucks-that-will-save-you-money/
So default assumes ratio of gasoline and diesel costs for utility cargo vans from Utilimarc data</t>
        </r>
      </text>
    </comment>
    <comment ref="B424" authorId="0" shapeId="0" xr:uid="{1EA10C03-5ADA-4773-A715-6160A6945F8B}">
      <text>
        <r>
          <rPr>
            <sz val="9"/>
            <color indexed="81"/>
            <rFont val="Tahoma"/>
            <family val="2"/>
          </rPr>
          <t>Light Duty Vehicles and 2 medium duty vehicles are based on Vyas and Utilimarc data</t>
        </r>
      </text>
    </comment>
    <comment ref="E424" authorId="0" shapeId="0" xr:uid="{2C66A6FA-2C94-44FF-A4E5-14EFB68E3F62}">
      <text>
        <r>
          <rPr>
            <sz val="9"/>
            <color indexed="81"/>
            <rFont val="Tahoma"/>
            <family val="2"/>
          </rPr>
          <t>Limited data to compare gasoline vs. diesel light duty vehicle maintenance and repair
Vincentric study suggests higher costs for diesel but was not able to find published values.
http://www.forbes.com/sites/matthewdepaula/2012/08/27/clean-diesel-cars-and-trucks-that-will-save-you-money/
So default assumes ratio of gasoline and diesel costs for utility cargo vans from Utilimarc data</t>
        </r>
      </text>
    </comment>
    <comment ref="M424" authorId="0" shapeId="0" xr:uid="{7A02421A-5D02-42C7-A5E0-1102F462673B}">
      <text>
        <r>
          <rPr>
            <sz val="9"/>
            <color indexed="81"/>
            <rFont val="Tahoma"/>
            <family val="2"/>
          </rPr>
          <t>Limited data to compare gasoline vs. diesel light duty vehicle maintenance and repair
Vincentric study suggests higher costs for diesel but was not able to find published values.
http://www.forbes.com/sites/matthewdepaula/2012/08/27/clean-diesel-cars-and-trucks-that-will-save-you-money/
So default assumes ratio of gasoline and diesel costs for utility cargo vans from Utilimarc data</t>
        </r>
      </text>
    </comment>
    <comment ref="N424" authorId="0" shapeId="0" xr:uid="{81589733-23ED-42D4-AD64-189AD10BD5BF}">
      <text>
        <r>
          <rPr>
            <sz val="9"/>
            <color indexed="81"/>
            <rFont val="Tahoma"/>
            <family val="2"/>
          </rPr>
          <t>Limited data to compare gasoline vs. diesel light duty vehicle maintenance and repair
Vincentric study suggests higher costs for diesel but was not able to find published values.
http://www.forbes.com/sites/matthewdepaula/2012/08/27/clean-diesel-cars-and-trucks-that-will-save-you-money/
So default assumes ratio of gasoline and diesel costs for utility cargo vans from Utilimarc data</t>
        </r>
      </text>
    </comment>
    <comment ref="B425" authorId="0" shapeId="0" xr:uid="{09CA5502-9A0F-4FBE-BCFC-3B57466CB80F}">
      <text>
        <r>
          <rPr>
            <sz val="9"/>
            <color indexed="81"/>
            <rFont val="Tahoma"/>
            <family val="2"/>
          </rPr>
          <t>Light Duty Vehicles and 2 medium duty vehicles are based on Vyas and Utilimarc data</t>
        </r>
      </text>
    </comment>
    <comment ref="E425" authorId="0" shapeId="0" xr:uid="{11BC7D5B-35CD-4B70-8572-B1121D1FB285}">
      <text>
        <r>
          <rPr>
            <sz val="9"/>
            <color indexed="81"/>
            <rFont val="Tahoma"/>
            <family val="2"/>
          </rPr>
          <t>Limited data to compare gasoline vs. diesel light duty vehicle maintenance and repair
Vincentric study suggests higher costs for diesel but was not able to find published values.
http://www.forbes.com/sites/matthewdepaula/2012/08/27/clean-diesel-cars-and-trucks-that-will-save-you-money/
So default assumes ratio of gasoline and diesel costs for utility cargo vans from Utilimarc data</t>
        </r>
      </text>
    </comment>
    <comment ref="M425" authorId="0" shapeId="0" xr:uid="{1B101BD8-1C09-4960-9480-F336593E0D5D}">
      <text>
        <r>
          <rPr>
            <sz val="9"/>
            <color indexed="81"/>
            <rFont val="Tahoma"/>
            <family val="2"/>
          </rPr>
          <t>Limited data to compare gasoline vs. diesel light duty vehicle maintenance and repair
Vincentric study suggests higher costs for diesel but was not able to find published values.
http://www.forbes.com/sites/matthewdepaula/2012/08/27/clean-diesel-cars-and-trucks-that-will-save-you-money/
So default assumes ratio of gasoline and diesel costs for utility cargo vans from Utilimarc data</t>
        </r>
      </text>
    </comment>
    <comment ref="N425" authorId="0" shapeId="0" xr:uid="{39B7C1D0-0B07-4EE8-917B-C60BACE3B030}">
      <text>
        <r>
          <rPr>
            <sz val="9"/>
            <color indexed="81"/>
            <rFont val="Tahoma"/>
            <family val="2"/>
          </rPr>
          <t>Limited data to compare gasoline vs. diesel light duty vehicle maintenance and repair
Vincentric study suggests higher costs for diesel but was not able to find published values.
http://www.forbes.com/sites/matthewdepaula/2012/08/27/clean-diesel-cars-and-trucks-that-will-save-you-money/
So default assumes ratio of gasoline and diesel costs for utility cargo vans from Utilimarc data</t>
        </r>
      </text>
    </comment>
    <comment ref="K431" authorId="0" shapeId="0" xr:uid="{4025CC62-BE3F-48FF-90B1-5CCE88190AA9}">
      <text>
        <r>
          <rPr>
            <sz val="9"/>
            <color indexed="81"/>
            <rFont val="Tahoma"/>
            <family val="2"/>
          </rPr>
          <t>NHTSA (2010) Factors and Considerations for Establishing a Fuel Efficiency Regulatory Program for Commercial Medium- and Heavy-Duty Vehicles
Table II.C.5 - mild hybrid</t>
        </r>
      </text>
    </comment>
    <comment ref="Q431" authorId="0" shapeId="0" xr:uid="{C40134A4-7F19-4324-BFD8-3BA966F852E5}">
      <text>
        <r>
          <rPr>
            <sz val="9"/>
            <color indexed="81"/>
            <rFont val="Tahoma"/>
            <family val="2"/>
          </rPr>
          <t xml:space="preserve">Based on Deal (2012) side mounted dual tank package (2) 41 DGE tanks ~ 74 DGE usable &amp; (5) 15 DGE tanks behind the cab  &amp; 400 + 367 = 767 mile range
Figure 3 &amp; Figure 18
2 diesel tanks = 2 * (81+510) are adjusted by range 767 mi (CNG) vs 900 mi (diesel)
Engine weight - 1625 lb NG vs 1800 lb diesel
Aftertreatment weight - 100 lb NG vs 550 lb diesel
</t>
        </r>
      </text>
    </comment>
    <comment ref="R431" authorId="0" shapeId="0" xr:uid="{7778C108-3E10-4AA1-8BC4-5854A405B777}">
      <text>
        <r>
          <rPr>
            <sz val="9"/>
            <color indexed="81"/>
            <rFont val="Tahoma"/>
            <family val="2"/>
          </rPr>
          <t>Based on Deal (2012) side mounted dual tank package (2) 150 DGE tank ~ 150 DGE usable &amp; 810 mile range
Figure 3 &amp; Figure 18
2 diesel tanks = 2 * (81+510) are adjusted by range 810 mi (LNG) vs 900 mi (diesel)
Engine weight - 1625 lb NG vs 1800 lb diesel
Aftertreatment weight - 100 lb NG vs 550 lb diesel</t>
        </r>
      </text>
    </comment>
    <comment ref="S431" authorId="0" shapeId="0" xr:uid="{E3B3AB38-03D7-4C11-822D-B5AFEE3A8245}">
      <text>
        <r>
          <rPr>
            <sz val="9"/>
            <color indexed="81"/>
            <rFont val="Tahoma"/>
            <family val="2"/>
          </rPr>
          <t xml:space="preserve">Based on Deal (2012) side mounted singe tank package (1) 119 DGE tank ~ 58 DGE usable &amp; 365 mile range + another (1) 119 DGE (58 DGE) tank 365 mile (based on Westport's dual tank package; = 730 mile range
http://www.westport.com/products/engines/15/savings-estimator
Figure 3 &amp; Figure 18
2 diesel tanks = 2 * (81+510) are adjusted by range 730mi (LNG) vs 900 mi (diesel)
Engine weight - 3243 lb NG vs 3286 lb diesel
Same aftertreatment
</t>
        </r>
      </text>
    </comment>
    <comment ref="K432" authorId="0" shapeId="0" xr:uid="{92B76535-E9DD-4512-9959-44B776C278AB}">
      <text>
        <r>
          <rPr>
            <sz val="9"/>
            <color indexed="81"/>
            <rFont val="Tahoma"/>
            <family val="2"/>
          </rPr>
          <t>NHTSA (2010) Factors and Considerations for Establishing a Fuel Efficiency Regulatory Program for Commercial Medium- and Heavy-Duty Vehicles
Table II.C.5 - moderate hybrid</t>
        </r>
      </text>
    </comment>
    <comment ref="Q432" authorId="0" shapeId="0" xr:uid="{9C7AFFDE-3614-49AA-8C9E-9F2F04ECA858}">
      <text>
        <r>
          <rPr>
            <sz val="9"/>
            <color indexed="81"/>
            <rFont val="Tahoma"/>
            <family val="2"/>
          </rPr>
          <t xml:space="preserve">Based on Deal (2012) side mounted dual tank package (2) 41 DGE tanks ~ 74 DGE usable; 400 mile range
Figure 3 &amp; Figure 18
1 diesel tanks =(81+510) are adjusted by actual range  400 mi (CNG) vs 450 mi (diesel)
Engine weight - 1625 lb NG vs 1800 lb diesel
Aftertreatment weight - 100 lb NG vs 550 lb diesel
</t>
        </r>
      </text>
    </comment>
    <comment ref="R432" authorId="0" shapeId="0" xr:uid="{99031347-7140-40A7-AE19-CFA5DDDA4D4D}">
      <text>
        <r>
          <rPr>
            <sz val="9"/>
            <color indexed="81"/>
            <rFont val="Tahoma"/>
            <family val="2"/>
          </rPr>
          <t>Based on Deal (2012) side mounted singe tank package (1) 150 DGE tank ~ 75 DGE usable &amp; 405 mile range
Figure 3 &amp; Figure 18
1  diesel tank = (81+510) are adjusted by range 405 mi (LNG) vs 450 mi (diesel)
Engine weight - 1625 lb NG vs 1800 lb diesel
Aftertreatment weight - 100 lb NG vs 550 lb diesel</t>
        </r>
      </text>
    </comment>
    <comment ref="S432" authorId="0" shapeId="0" xr:uid="{38416890-6491-4776-A3AB-8A759794B712}">
      <text>
        <r>
          <rPr>
            <sz val="9"/>
            <color indexed="81"/>
            <rFont val="Tahoma"/>
            <family val="2"/>
          </rPr>
          <t xml:space="preserve">Based on Deal (2012) side mounted singe tank package (1) 119 DGE tank ~ 58 DGE usable &amp; 365 mile range
Figure 3 &amp; Figure 18
1  diesel tank = (81+510) are adjusted by range 365 mi (LNG) vs 450 mi (diesel)
Engine weight - 3243 lb NG vs 3286 lb diesel
Same aftertreatment
</t>
        </r>
      </text>
    </comment>
    <comment ref="K433" authorId="0" shapeId="0" xr:uid="{05C13720-384E-40CF-8937-E405A3DA445E}">
      <text>
        <r>
          <rPr>
            <sz val="9"/>
            <color indexed="81"/>
            <rFont val="Tahoma"/>
            <family val="2"/>
          </rPr>
          <t>NHTSA (2010) Factors and Considerations for Establishing a Fuel Efficiency Regulatory Program for Commercial Medium- and Heavy-Duty Vehicles
Table II.C.5</t>
        </r>
      </text>
    </comment>
    <comment ref="L433" authorId="0" shapeId="0" xr:uid="{5891CCE1-0BCF-4DF0-A03F-C22F15F69005}">
      <text>
        <r>
          <rPr>
            <sz val="9"/>
            <color indexed="81"/>
            <rFont val="Tahoma"/>
            <family val="2"/>
          </rPr>
          <t>NHTSA (2010) Factors and Considerations for Establishing a Fuel Efficiency Regulatory Program for Commercial Medium- and Heavy-Duty Vehicles
Table II.C.5</t>
        </r>
      </text>
    </comment>
    <comment ref="K434" authorId="0" shapeId="0" xr:uid="{816F86B9-A024-4857-9DAF-1DE47A49169E}">
      <text>
        <r>
          <rPr>
            <sz val="9"/>
            <color indexed="81"/>
            <rFont val="Tahoma"/>
            <family val="2"/>
          </rPr>
          <t>NHTSA (2010) Factors and Considerations for Establishing a Fuel Efficiency Regulatory Program for Commercial Medium- and Heavy-Duty Vehicles
Table II.C.5</t>
        </r>
      </text>
    </comment>
    <comment ref="L434" authorId="0" shapeId="0" xr:uid="{93645A95-897B-4006-9686-1E44416623CD}">
      <text>
        <r>
          <rPr>
            <sz val="9"/>
            <color indexed="81"/>
            <rFont val="Tahoma"/>
            <family val="2"/>
          </rPr>
          <t>NHTSA (2010) Factors and Considerations for Establishing a Fuel Efficiency Regulatory Program for Commercial Medium- and Heavy-Duty Vehicles
Table II.C.5</t>
        </r>
      </text>
    </comment>
    <comment ref="K436" authorId="0" shapeId="0" xr:uid="{5C8DC3EE-D112-407F-B7FA-F65182D946C9}">
      <text>
        <r>
          <rPr>
            <sz val="9"/>
            <color indexed="81"/>
            <rFont val="Tahoma"/>
            <family val="2"/>
          </rPr>
          <t>NHTSA (2010) Factors and Considerations for Establishing a Fuel Efficiency Regulatory Program for Commercial Medium- and Heavy-Duty Vehicles
Table II.C.5</t>
        </r>
      </text>
    </comment>
    <comment ref="L436" authorId="0" shapeId="0" xr:uid="{631C9EBA-1D27-4067-B89C-9A60BC693197}">
      <text>
        <r>
          <rPr>
            <sz val="9"/>
            <color indexed="81"/>
            <rFont val="Tahoma"/>
            <family val="2"/>
          </rPr>
          <t>NHTSA (2010) Factors and Considerations for Establishing a Fuel Efficiency Regulatory Program for Commercial Medium- and Heavy-Duty Vehicles
Table II.C.5</t>
        </r>
      </text>
    </comment>
    <comment ref="T436" authorId="0" shapeId="0" xr:uid="{A2F4E6AC-8620-4698-A965-29DBA871F98C}">
      <text>
        <r>
          <rPr>
            <sz val="9"/>
            <color indexed="81"/>
            <rFont val="Tahoma"/>
            <family val="2"/>
          </rPr>
          <t>NHTSA (2010) Factors and Considerations for Establishing a Fuel Efficiency Regulatory Program for Commercial Medium- and Heavy-Duty Vehicles
Table II.C.5</t>
        </r>
      </text>
    </comment>
    <comment ref="K440" authorId="0" shapeId="0" xr:uid="{B455F25F-9537-45D9-AFF7-F8345741E0DB}">
      <text>
        <r>
          <rPr>
            <sz val="9"/>
            <color indexed="81"/>
            <rFont val="Tahoma"/>
            <family val="2"/>
          </rPr>
          <t>NHTSA (2010) Factors and Considerations for Establishing a Fuel Efficiency Regulatory Program for Commercial Medium- and Heavy-Duty Vehicles
Table II.C.5</t>
        </r>
      </text>
    </comment>
    <comment ref="L440" authorId="0" shapeId="0" xr:uid="{FA5F417B-AE75-40A2-858E-DFBB966152FD}">
      <text>
        <r>
          <rPr>
            <sz val="9"/>
            <color indexed="81"/>
            <rFont val="Tahoma"/>
            <family val="2"/>
          </rPr>
          <t>NHTSA (2010) Factors and Considerations for Establishing a Fuel Efficiency Regulatory Program for Commercial Medium- and Heavy-Duty Vehicles
Table II.C.5</t>
        </r>
      </text>
    </comment>
    <comment ref="T440" authorId="0" shapeId="0" xr:uid="{E173ECEE-C26F-465F-A66D-3A51BC413CD3}">
      <text>
        <r>
          <rPr>
            <sz val="9"/>
            <color indexed="81"/>
            <rFont val="Tahoma"/>
            <family val="2"/>
          </rPr>
          <t>NHTSA (2010) Factors and Considerations for Establishing a Fuel Efficiency Regulatory Program for Commercial Medium- and Heavy-Duty Vehicles
Table II.C.5</t>
        </r>
      </text>
    </comment>
    <comment ref="K441" authorId="0" shapeId="0" xr:uid="{EB26E8EC-847C-4689-962E-A9E37EA74D73}">
      <text>
        <r>
          <rPr>
            <sz val="9"/>
            <color indexed="81"/>
            <rFont val="Tahoma"/>
            <family val="2"/>
          </rPr>
          <t>NHTSA (2010) Factors and Considerations for Establishing a Fuel Efficiency Regulatory Program for Commercial Medium- and Heavy-Duty Vehicles
Table II.C.5</t>
        </r>
      </text>
    </comment>
    <comment ref="G457" authorId="0" shapeId="0" xr:uid="{06ABF3A0-A5DD-46E0-BC5B-A485D1E8591A}">
      <text>
        <r>
          <rPr>
            <sz val="9"/>
            <color indexed="81"/>
            <rFont val="Tahoma"/>
            <family val="2"/>
          </rPr>
          <t xml:space="preserve">Based on GREET 1  2015 - MY2015 PHEV 20
</t>
        </r>
      </text>
    </comment>
    <comment ref="H457" authorId="0" shapeId="0" xr:uid="{4CC9210F-CA63-41D2-BAD3-0D88AC301476}">
      <text>
        <r>
          <rPr>
            <sz val="9"/>
            <color indexed="81"/>
            <rFont val="Tahoma"/>
            <family val="2"/>
          </rPr>
          <t>Based on GREET 1  2015 - MY2015 PHEV 40
and MY 2016 Chevrolet Volt w/ 53 mi AER
Use ratio of PHEV 40 rating and actual mileage in GREET and Volt's rating to estimate actual mileage
25.9/40 *  55 = 34</t>
        </r>
      </text>
    </comment>
    <comment ref="C555" authorId="0" shapeId="0" xr:uid="{B3E89940-41BD-4E9E-8078-850F379DF878}">
      <text>
        <r>
          <rPr>
            <sz val="9"/>
            <color indexed="81"/>
            <rFont val="Tahoma"/>
            <family val="2"/>
          </rPr>
          <t>AEO reports in dollars per million Btu</t>
        </r>
      </text>
    </comment>
    <comment ref="E563" authorId="0" shapeId="0" xr:uid="{18FEF034-C64C-4FC4-8D39-6950950A8E28}">
      <text>
        <r>
          <rPr>
            <sz val="9"/>
            <color indexed="81"/>
            <rFont val="Tahoma"/>
            <family val="2"/>
          </rPr>
          <t>DEF is per gallon</t>
        </r>
      </text>
    </comment>
    <comment ref="C572" authorId="0" shapeId="0" xr:uid="{908DB0E5-9D81-43EC-9043-2CB270053C09}">
      <text>
        <r>
          <rPr>
            <sz val="9"/>
            <color indexed="81"/>
            <rFont val="Tahoma"/>
            <family val="2"/>
          </rPr>
          <t>AEO reports in dollars per million Btu</t>
        </r>
      </text>
    </comment>
    <comment ref="E580" authorId="0" shapeId="0" xr:uid="{BE5A3FE5-89D6-4BCA-9126-39C78ED83959}">
      <text>
        <r>
          <rPr>
            <sz val="9"/>
            <color indexed="81"/>
            <rFont val="Tahoma"/>
            <family val="2"/>
          </rPr>
          <t>DEF is per gallon</t>
        </r>
      </text>
    </comment>
    <comment ref="C597" authorId="0" shapeId="0" xr:uid="{A0364A60-3A82-48E7-94D2-04A529A59FA0}">
      <text>
        <r>
          <rPr>
            <sz val="9"/>
            <color indexed="81"/>
            <rFont val="Tahoma"/>
            <family val="2"/>
          </rPr>
          <t>Natural gas is needed to produce ammonia, which is needed for urea. Which is key component of DEF</t>
        </r>
      </text>
    </comment>
    <comment ref="E597" authorId="0" shapeId="0" xr:uid="{0A310D66-657A-47B6-8DB7-466669D2E5AD}">
      <text>
        <r>
          <rPr>
            <sz val="9"/>
            <color indexed="81"/>
            <rFont val="Tahoma"/>
            <family val="2"/>
          </rPr>
          <t>DEF is per gallon</t>
        </r>
      </text>
    </comment>
    <comment ref="C858" authorId="0" shapeId="0" xr:uid="{04073B1C-E30B-4CFA-8A3E-C33DCDEFAD75}">
      <text>
        <r>
          <rPr>
            <sz val="9"/>
            <color indexed="81"/>
            <rFont val="Tahoma"/>
            <family val="2"/>
          </rPr>
          <t>http://www.dmv.org/insurance/liability-insurance-for-commercial-vehicles.php
recommends at least $500,000 of liability insurance per commercial vehicle
IL - New Passenger Car (Honda Accord 2014)
Liabilitiy - $500,000 combined single limit
Uninsured - $500,000 combined single limit
Underinsured  - $500,000 combined single limit</t>
        </r>
      </text>
    </comment>
    <comment ref="C859" authorId="0" shapeId="0" xr:uid="{36F7B2C6-C660-4485-B916-5A21F289EF69}">
      <text>
        <r>
          <rPr>
            <sz val="9"/>
            <color indexed="81"/>
            <rFont val="Tahoma"/>
            <family val="2"/>
          </rPr>
          <t>http://www.dmv.org/insurance/liability-insurance-for-commercial-vehicles.php
recommends at least $500,000 of liability insurance per commercial vehicle
IL - New Truck Tractor (Freightliner 2014) - revalue set at 70,000 (25% depreciation of $90,000 new truck)
Liabilitiy - $500,000 combined single limit
Uninsured - $500,000 combined single limit
Underinsured  - $500,000 combined single limit</t>
        </r>
      </text>
    </comment>
    <comment ref="C860" authorId="0" shapeId="0" xr:uid="{D6766204-A8FB-48AB-BC84-2607F630D98D}">
      <text>
        <r>
          <rPr>
            <sz val="9"/>
            <color indexed="81"/>
            <rFont val="Tahoma"/>
            <family val="2"/>
          </rPr>
          <t>Value used by Vehicle Cost Calculator is from AAA. It includes taxes and fees at purchase. Not clear those taxes would extend past first year.</t>
        </r>
      </text>
    </comment>
    <comment ref="C862" authorId="0" shapeId="0" xr:uid="{C805FD28-E150-448A-8332-8A2B876B7171}">
      <text>
        <r>
          <rPr>
            <sz val="9"/>
            <color indexed="81"/>
            <rFont val="Tahoma"/>
            <family val="2"/>
          </rPr>
          <t>Value used by Vehicle Cost Calculator is from AAA. It includes taxes and fees at purchase. Those taxes look to be from vehicle purchase</t>
        </r>
      </text>
    </comment>
    <comment ref="C863" authorId="0" shapeId="0" xr:uid="{FC16CBE4-DA86-4971-81F8-FBFCB5610DD7}">
      <text>
        <r>
          <rPr>
            <sz val="9"/>
            <color indexed="81"/>
            <rFont val="Tahoma"/>
            <family val="2"/>
          </rPr>
          <t>Value used by Vehicle Cost Calculator is from AAA. It includes taxes and fees at purchase. Those taxes look to be from vehicle purchase</t>
        </r>
      </text>
    </comment>
    <comment ref="H890" authorId="0" shapeId="0" xr:uid="{6424F109-784B-4F2C-A2CA-8A575F2853BF}">
      <text>
        <r>
          <rPr>
            <sz val="9"/>
            <color indexed="81"/>
            <rFont val="Tahoma"/>
            <family val="2"/>
          </rPr>
          <t>Batpac runs from A. Vyas show a PHEV10 battery to be ~1.5x that of a HEV battery</t>
        </r>
      </text>
    </comment>
    <comment ref="H891" authorId="0" shapeId="0" xr:uid="{C19A6946-2EA0-4DD9-8E02-CFA8C2727519}">
      <text>
        <r>
          <rPr>
            <sz val="9"/>
            <color indexed="81"/>
            <rFont val="Tahoma"/>
            <family val="2"/>
          </rPr>
          <t>Batpac runs from A. Vyas show a PHEV10 battery to be ~1.5x that of a HEV battery
Scaling up by kWh.
This is rough need to find more info</t>
        </r>
      </text>
    </comment>
    <comment ref="H892" authorId="0" shapeId="0" xr:uid="{AD3935B1-1E0C-4A8B-8A8A-FEF8AE2D9D5B}">
      <text>
        <r>
          <rPr>
            <sz val="9"/>
            <color indexed="81"/>
            <rFont val="Tahoma"/>
            <family val="2"/>
          </rPr>
          <t>Batpac runs from A. Vyas show a PHEV10 battery to be ~1.5x that of a HEV battery
Scaling up by kWh.
This is rough need to find more info</t>
        </r>
      </text>
    </comment>
    <comment ref="D902" authorId="0" shapeId="0" xr:uid="{A2B84471-644C-45B9-8E29-EBF0F265EEEE}">
      <text>
        <r>
          <rPr>
            <sz val="9"/>
            <color indexed="81"/>
            <rFont val="Tahoma"/>
            <family val="2"/>
          </rPr>
          <t>Codes (e.g. DOT's FMVSS 304 - 3 yr or 36,000 mile) and recommended practice are not consistent at this point for heavy duty vehicles. Every 36,000 miles inspections may be burdensome for long-haul fleets. A suggested practice for those fleets is a general visual inspection every 36,000 miles, and more detailed inspection every year.
Some fleets may have a person from their staff become a certified CNG cylinder inspector, while others may hire someone to perform those services. Costs for external inspection were estimated to be $150 for the 1st cylinder and $75 for additional cylinders (not including labor cost to any remove shields).</t>
        </r>
      </text>
    </comment>
    <comment ref="K907" authorId="0" shapeId="0" xr:uid="{9EDE4A04-FF7A-48EC-B5B2-698A5F0F0E53}">
      <text>
        <r>
          <rPr>
            <sz val="9"/>
            <color indexed="81"/>
            <rFont val="Tahoma"/>
            <family val="2"/>
          </rPr>
          <t>Includes parts &amp; labor costs</t>
        </r>
      </text>
    </comment>
    <comment ref="H956" authorId="1" shapeId="0" xr:uid="{E7482461-F25B-4E3D-97D9-E3930F768C4E}">
      <text>
        <r>
          <rPr>
            <sz val="9"/>
            <color indexed="81"/>
            <rFont val="Tahoma"/>
            <family val="2"/>
          </rPr>
          <t>Costs come from http://www.profleettrucklube.com/services</t>
        </r>
      </text>
    </comment>
    <comment ref="H957" authorId="1" shapeId="0" xr:uid="{CDAB5169-FC8F-4B7E-8349-FC508D5B1FB0}">
      <text>
        <r>
          <rPr>
            <sz val="9"/>
            <color indexed="81"/>
            <rFont val="Tahoma"/>
            <family val="2"/>
          </rPr>
          <t>Quick oil changes cost ~$200 and include oil and oil filter. Oil filters are about $10 a piece and standard oil change is for two filters</t>
        </r>
      </text>
    </comment>
    <comment ref="C1013" authorId="0" shapeId="0" xr:uid="{9BFCF627-BA9C-439C-B532-602BC587AB3D}">
      <text>
        <r>
          <rPr>
            <b/>
            <sz val="9"/>
            <color indexed="81"/>
            <rFont val="Tahoma"/>
            <family val="2"/>
          </rPr>
          <t>aburnham:</t>
        </r>
        <r>
          <rPr>
            <sz val="9"/>
            <color indexed="81"/>
            <rFont val="Tahoma"/>
            <family val="2"/>
          </rPr>
          <t xml:space="preserve">
based on 13 month period during first 28 months of operation. Warranty costs not included</t>
        </r>
      </text>
    </comment>
    <comment ref="D1021" authorId="0" shapeId="0" xr:uid="{6BA83E54-F01E-405B-8EAC-85433569DC78}">
      <text>
        <r>
          <rPr>
            <sz val="9"/>
            <color indexed="81"/>
            <rFont val="Tahoma"/>
            <family val="2"/>
          </rPr>
          <t>Not sure the basis</t>
        </r>
      </text>
    </comment>
    <comment ref="D1082" authorId="0" shapeId="0" xr:uid="{7ABF56B4-02A4-46A3-9C1D-884D92C9A2F9}">
      <text>
        <r>
          <rPr>
            <sz val="9"/>
            <color indexed="81"/>
            <rFont val="Tahoma"/>
            <family val="2"/>
          </rPr>
          <t>No data from Ricardo, assume same differential as Class 4-6 Delivery</t>
        </r>
      </text>
    </comment>
    <comment ref="D1087" authorId="0" shapeId="0" xr:uid="{D1EECBF9-9F2E-4C68-B3B0-732ED7C94C78}">
      <text>
        <r>
          <rPr>
            <sz val="9"/>
            <color indexed="81"/>
            <rFont val="Tahoma"/>
            <family val="2"/>
          </rPr>
          <t>No data from Ricardo, assume same differential as Class 4-6 Delivery</t>
        </r>
      </text>
    </comment>
    <comment ref="D1092" authorId="0" shapeId="0" xr:uid="{353EA14B-CC96-45DC-A456-AA4931B31825}">
      <text>
        <r>
          <rPr>
            <sz val="9"/>
            <color indexed="81"/>
            <rFont val="Tahoma"/>
            <family val="2"/>
          </rPr>
          <t>No data from Ricardo, assume same differential as Class 4-6 Delivery</t>
        </r>
      </text>
    </comment>
    <comment ref="F1193" authorId="0" shapeId="0" xr:uid="{85D2998F-81E9-4BC9-BC3A-3643DC0465F5}">
      <text>
        <r>
          <rPr>
            <sz val="9"/>
            <color indexed="81"/>
            <rFont val="Tahoma"/>
            <family val="2"/>
          </rPr>
          <t>Range assumes 6 mpg for diesel and 10% fuel economy penalty for "spark" natural gas engines. Compression-ignited
natural gas engines have approximately the same fuel economy as diesel and account for 5% diesel mixture.</t>
        </r>
      </text>
    </comment>
    <comment ref="G1193" authorId="0" shapeId="0" xr:uid="{55FBCAC5-40AF-45BE-87FC-9F4619DEF92E}">
      <text>
        <r>
          <rPr>
            <sz val="9"/>
            <color indexed="81"/>
            <rFont val="Tahoma"/>
            <family val="2"/>
          </rPr>
          <t>Diesel weight includes diesel tank, fuel and after-treatment system (DPF + SCR + Urea Storage with solution = 546 lbs).
Westport HD weight assumes that 45 gallon diesel tank, hydraulic pump and diesel weigh 400 lbs. **SCR not included?</t>
        </r>
      </text>
    </comment>
    <comment ref="H1193" authorId="0" shapeId="0" xr:uid="{3F59BD1F-B4D0-471D-8785-C66902A71698}">
      <text>
        <r>
          <rPr>
            <sz val="9"/>
            <color indexed="81"/>
            <rFont val="Tahoma"/>
            <family val="2"/>
          </rPr>
          <t>Does not include Federal Excise Tax (FET).</t>
        </r>
      </text>
    </comment>
    <comment ref="G1194" authorId="0" shapeId="0" xr:uid="{EC637845-A3B8-490D-BFCD-A4AF82EC857F}">
      <text>
        <r>
          <rPr>
            <sz val="9"/>
            <color indexed="81"/>
            <rFont val="Tahoma"/>
            <family val="2"/>
          </rPr>
          <t>1250 value in original table includes
510 lb (full fuel)
81 lb (fuel tank)
550 lb (aftertreatment weight) - NG aftertreatment (100 lb)
175 lb (incremental engine weight)?</t>
        </r>
      </text>
    </comment>
    <comment ref="G1200" authorId="0" shapeId="0" xr:uid="{5EE8ED81-85E7-47F3-A1B1-53BECDDC9B6C}">
      <text>
        <r>
          <rPr>
            <b/>
            <sz val="9"/>
            <color indexed="81"/>
            <rFont val="Tahoma"/>
            <family val="2"/>
          </rPr>
          <t>aburnham:</t>
        </r>
        <r>
          <rPr>
            <sz val="9"/>
            <color indexed="81"/>
            <rFont val="Tahoma"/>
            <family val="2"/>
          </rPr>
          <t xml:space="preserve">
Westport HD weight assumes that 45 gallon diesel tank, hydraulic pump and diesel weigh 400 lbs.</t>
        </r>
      </text>
    </comment>
    <comment ref="H1200" authorId="0" shapeId="0" xr:uid="{CD560327-748B-48D2-BC57-366E4ACCB543}">
      <text>
        <r>
          <rPr>
            <b/>
            <sz val="9"/>
            <color indexed="81"/>
            <rFont val="Tahoma"/>
            <family val="2"/>
          </rPr>
          <t>aburnham:</t>
        </r>
        <r>
          <rPr>
            <sz val="9"/>
            <color indexed="81"/>
            <rFont val="Tahoma"/>
            <family val="2"/>
          </rPr>
          <t xml:space="preserve">
Westport HD fuel system includes HDPI engine, hydraulic pump, and fuel tank.</t>
        </r>
      </text>
    </comment>
    <comment ref="F1318" authorId="0" shapeId="0" xr:uid="{2C3F4081-8424-4348-89BF-D1D8AC457A77}">
      <text>
        <r>
          <rPr>
            <sz val="9"/>
            <color indexed="81"/>
            <rFont val="Tahoma"/>
            <family val="2"/>
          </rPr>
          <t>Formula based on Single and 5 Station costs in this table</t>
        </r>
      </text>
    </comment>
    <comment ref="F1319" authorId="0" shapeId="0" xr:uid="{FE008853-AADD-4574-BACB-0F7B2B092213}">
      <text>
        <r>
          <rPr>
            <sz val="9"/>
            <color indexed="81"/>
            <rFont val="Tahoma"/>
            <family val="2"/>
          </rPr>
          <t>Formula based on Single and 5 Station costs in this table</t>
        </r>
      </text>
    </comment>
    <comment ref="F1320" authorId="0" shapeId="0" xr:uid="{8699B485-F8C4-43DA-B447-A4689C32C7DC}">
      <text>
        <r>
          <rPr>
            <sz val="9"/>
            <color indexed="81"/>
            <rFont val="Tahoma"/>
            <family val="2"/>
          </rPr>
          <t>Formula based on Single and 5 Station costs in this table
Fixed cost</t>
        </r>
      </text>
    </comment>
    <comment ref="G1320" authorId="0" shapeId="0" xr:uid="{04736580-6A05-490B-A006-D4AFDB7EEA6D}">
      <text>
        <r>
          <rPr>
            <sz val="9"/>
            <color indexed="81"/>
            <rFont val="Tahoma"/>
            <family val="2"/>
          </rPr>
          <t>Assumed fixed cost</t>
        </r>
      </text>
    </comment>
    <comment ref="H1320" authorId="0" shapeId="0" xr:uid="{590291FD-5654-4FA7-9C91-D180A1F68BF9}">
      <text>
        <r>
          <rPr>
            <sz val="9"/>
            <color indexed="81"/>
            <rFont val="Tahoma"/>
            <family val="2"/>
          </rPr>
          <t>Assumed fixed cost</t>
        </r>
      </text>
    </comment>
    <comment ref="F1321" authorId="0" shapeId="0" xr:uid="{EA6DE198-242D-4AE9-B27E-C2C9A74320F1}">
      <text>
        <r>
          <rPr>
            <sz val="9"/>
            <color indexed="81"/>
            <rFont val="Tahoma"/>
            <family val="2"/>
          </rPr>
          <t>Formula based on Single and 5 Station costs in this table
Fixed cost</t>
        </r>
      </text>
    </comment>
    <comment ref="G1321" authorId="0" shapeId="0" xr:uid="{5B55F82A-CD7F-471E-A047-CDCDF12466AE}">
      <text>
        <r>
          <rPr>
            <sz val="9"/>
            <color indexed="81"/>
            <rFont val="Tahoma"/>
            <family val="2"/>
          </rPr>
          <t>Assumed fixed cost</t>
        </r>
      </text>
    </comment>
    <comment ref="H1321" authorId="0" shapeId="0" xr:uid="{6B0C627A-0C19-4547-B5AE-35D9DC01CF6A}">
      <text>
        <r>
          <rPr>
            <sz val="9"/>
            <color indexed="81"/>
            <rFont val="Tahoma"/>
            <family val="2"/>
          </rPr>
          <t>Assumed fixed cost</t>
        </r>
      </text>
    </comment>
    <comment ref="H1322" authorId="0" shapeId="0" xr:uid="{22F08DC7-02E4-416C-9739-5C7DD2C365F8}">
      <text>
        <r>
          <rPr>
            <sz val="9"/>
            <color indexed="81"/>
            <rFont val="Tahoma"/>
            <family val="2"/>
          </rPr>
          <t>Assumed fixed cost</t>
        </r>
      </text>
    </comment>
    <comment ref="D1376" authorId="0" shapeId="0" xr:uid="{55DDC206-AE1E-49AB-8D5E-893108AD1334}">
      <text>
        <r>
          <rPr>
            <sz val="9"/>
            <color indexed="81"/>
            <rFont val="Tahoma"/>
            <family val="2"/>
          </rPr>
          <t>Average from NYC report</t>
        </r>
      </text>
    </comment>
    <comment ref="E1376" authorId="0" shapeId="0" xr:uid="{F82207F6-FCEA-4E2B-B208-92C881E27C4F}">
      <text>
        <r>
          <rPr>
            <sz val="9"/>
            <color indexed="81"/>
            <rFont val="Tahoma"/>
            <family val="2"/>
          </rPr>
          <t>Range from Clean Cities report</t>
        </r>
      </text>
    </comment>
    <comment ref="D1648" authorId="0" shapeId="0" xr:uid="{96AB8C60-ECFE-4AED-9592-49C2B9507AEA}">
      <text>
        <r>
          <rPr>
            <sz val="9"/>
            <color indexed="81"/>
            <rFont val="Tahoma"/>
            <family val="2"/>
          </rPr>
          <t>Assumed</t>
        </r>
      </text>
    </comment>
    <comment ref="E1648" authorId="0" shapeId="0" xr:uid="{B054334F-C26F-4EF5-93F0-DAB8315734CA}">
      <text>
        <r>
          <rPr>
            <sz val="9"/>
            <color indexed="81"/>
            <rFont val="Tahoma"/>
            <family val="2"/>
          </rPr>
          <t>Assumed</t>
        </r>
      </text>
    </comment>
    <comment ref="D1662" authorId="0" shapeId="0" xr:uid="{10DB8882-E807-4546-B462-7612A4396ADB}">
      <text>
        <r>
          <rPr>
            <sz val="9"/>
            <color indexed="81"/>
            <rFont val="Tahoma"/>
            <family val="2"/>
          </rPr>
          <t>http://www.reuters.com/article/2013/10/04/us-naturalgas-home-refueling-insight-idUSBRE9930D120131004</t>
        </r>
      </text>
    </comment>
    <comment ref="E1662" authorId="0" shapeId="0" xr:uid="{5EA093F8-C35F-400A-BCD8-5502EE269658}">
      <text>
        <r>
          <rPr>
            <sz val="9"/>
            <color indexed="81"/>
            <rFont val="Tahoma"/>
            <family val="2"/>
          </rPr>
          <t>http://www.reuters.com/article/2013/10/04/us-naturalgas-home-refueling-insight-idUSBRE9930D120131004</t>
        </r>
      </text>
    </comment>
    <comment ref="H1663" authorId="0" shapeId="0" xr:uid="{8839B2C9-27F0-4434-8D25-23E0BFEB1B7E}">
      <text>
        <r>
          <rPr>
            <sz val="9"/>
            <color indexed="81"/>
            <rFont val="Tahoma"/>
            <family val="2"/>
          </rPr>
          <t xml:space="preserve">These values made fitting an equation difficult, so they are admitted. Result is small station dispensing rates are underestimated
</t>
        </r>
      </text>
    </comment>
    <comment ref="I1663" authorId="0" shapeId="0" xr:uid="{098535D8-6502-46FF-9C7C-D76F084A3505}">
      <text>
        <r>
          <rPr>
            <sz val="9"/>
            <color indexed="81"/>
            <rFont val="Tahoma"/>
            <family val="2"/>
          </rPr>
          <t xml:space="preserve">These values made fitting an equation difficult, so they are admitted. Result is small station dispensing rates are underestimated
</t>
        </r>
      </text>
    </comment>
    <comment ref="H1664" authorId="0" shapeId="0" xr:uid="{6571BF0B-6899-40D2-9891-49BF75B8DF5A}">
      <text>
        <r>
          <rPr>
            <sz val="9"/>
            <color indexed="81"/>
            <rFont val="Tahoma"/>
            <family val="2"/>
          </rPr>
          <t xml:space="preserve">These values made fitting an equation difficult, so they are admitted. Result is small station dispensing rates are underestimated
</t>
        </r>
      </text>
    </comment>
    <comment ref="I1664" authorId="0" shapeId="0" xr:uid="{F63E53CE-8B51-4D50-87B2-86232B521652}">
      <text>
        <r>
          <rPr>
            <sz val="9"/>
            <color indexed="81"/>
            <rFont val="Tahoma"/>
            <family val="2"/>
          </rPr>
          <t xml:space="preserve">These values made fitting an equation difficult, so they are admitted. Result is small station dispensing rates are underestimated
</t>
        </r>
      </text>
    </comment>
    <comment ref="G1833" authorId="0" shapeId="0" xr:uid="{BD97D453-3DA3-403B-AD5D-0A0D785EBB09}">
      <text>
        <r>
          <rPr>
            <b/>
            <sz val="9"/>
            <color indexed="81"/>
            <rFont val="Tahoma"/>
            <family val="2"/>
          </rPr>
          <t>Cell BG115 in Hydrogen sheet, GREET1_2015
To update, use most recent value for electricity use.</t>
        </r>
      </text>
    </comment>
    <comment ref="H1833" authorId="0" shapeId="0" xr:uid="{54CE62A2-A655-4B75-8A88-DE5711D208DC}">
      <text>
        <r>
          <rPr>
            <b/>
            <sz val="9"/>
            <color indexed="81"/>
            <rFont val="Tahoma"/>
            <family val="2"/>
          </rPr>
          <t>Cell BH115 in Hydrogen sheet, GREET1_2015
To update, use most recent value for electricity use.</t>
        </r>
      </text>
    </comment>
    <comment ref="G1835" authorId="0" shapeId="0" xr:uid="{313B8621-E2C1-4852-ABE9-BB8B424AC35D}">
      <text>
        <r>
          <rPr>
            <b/>
            <sz val="9"/>
            <color indexed="81"/>
            <rFont val="Tahoma"/>
            <family val="2"/>
          </rPr>
          <t>Cell F71 in WCF sheet, GREET1_2015
To update, use most recent value for water consumption</t>
        </r>
      </text>
    </comment>
    <comment ref="G1836" authorId="0" shapeId="0" xr:uid="{20ED48FE-17A9-4949-8376-8584325008A0}">
      <text>
        <r>
          <rPr>
            <b/>
            <sz val="9"/>
            <color indexed="81"/>
            <rFont val="Tahoma"/>
            <family val="2"/>
          </rPr>
          <t>Cell T147 in Hydrogen sheet, GREET1_2015
To update, use most recent value for electricity use.</t>
        </r>
      </text>
    </comment>
    <comment ref="G1847" authorId="0" shapeId="0" xr:uid="{12ABC3F2-BB42-4971-A2F2-1AA9F49743D3}">
      <text>
        <r>
          <rPr>
            <b/>
            <sz val="9"/>
            <color indexed="81"/>
            <rFont val="Tahoma"/>
            <family val="2"/>
          </rPr>
          <t>Cell DQ115 in Hydrogen sheet, GREET1_2015
To update, use most recent value for electricity use.</t>
        </r>
      </text>
    </comment>
    <comment ref="H1847" authorId="0" shapeId="0" xr:uid="{3BBB5C10-CD31-4E5C-B20B-0B7E746266DF}">
      <text>
        <r>
          <rPr>
            <b/>
            <sz val="9"/>
            <color indexed="81"/>
            <rFont val="Tahoma"/>
            <family val="2"/>
          </rPr>
          <t>Cell DR115 in Hydrogen sheet, GREET1_2015
To update, use most recent value for electricity use.</t>
        </r>
      </text>
    </comment>
    <comment ref="H1848" authorId="0" shapeId="0" xr:uid="{FD45A81F-E738-4AA3-A69A-B7476A8FFAA9}">
      <text>
        <r>
          <rPr>
            <b/>
            <sz val="9"/>
            <color indexed="81"/>
            <rFont val="Tahoma"/>
            <family val="2"/>
          </rPr>
          <t>Cell DR116 in Hydrogen sheet, GREET1_2015
To update, use most recent value for electricity use.</t>
        </r>
      </text>
    </comment>
    <comment ref="G1849" authorId="0" shapeId="0" xr:uid="{3229DBFA-2EB8-46AF-B3B6-4D445A8D0475}">
      <text>
        <r>
          <rPr>
            <b/>
            <sz val="9"/>
            <color indexed="81"/>
            <rFont val="Tahoma"/>
            <family val="2"/>
          </rPr>
          <t>Cell F71 in WCF sheet, GREET1_2015
To update, use most recent value for water consumption</t>
        </r>
      </text>
    </comment>
    <comment ref="G1850" authorId="0" shapeId="0" xr:uid="{309D509F-10C8-485F-99B7-B0637D7A62EF}">
      <text>
        <r>
          <rPr>
            <b/>
            <sz val="9"/>
            <color indexed="81"/>
            <rFont val="Tahoma"/>
            <family val="2"/>
          </rPr>
          <t>Cell AS147 in Hydrogen sheet, GREET1_2015
To update, use most recent value for electricity use.</t>
        </r>
      </text>
    </comment>
    <comment ref="D8930" authorId="0" shapeId="0" xr:uid="{37D2A3E0-81A1-44E6-9CF1-7386FD6DBE76}">
      <text>
        <r>
          <rPr>
            <b/>
            <sz val="9"/>
            <color indexed="81"/>
            <rFont val="Tahoma"/>
            <family val="2"/>
          </rPr>
          <t>aburnham:</t>
        </r>
        <r>
          <rPr>
            <sz val="9"/>
            <color indexed="81"/>
            <rFont val="Tahoma"/>
            <family val="2"/>
          </rPr>
          <t xml:space="preserve">
Used NMHC values as placeholder since VOC exhaust values are 0 from MOVES</t>
        </r>
      </text>
    </comment>
    <comment ref="F8947" authorId="0" shapeId="0" xr:uid="{14D68D61-A0B0-4488-9284-CB37225CD9F4}">
      <text>
        <r>
          <rPr>
            <sz val="9"/>
            <color indexed="81"/>
            <rFont val="Tahoma"/>
            <family val="2"/>
          </rPr>
          <t>Based on MY2010 deterioration rates</t>
        </r>
      </text>
    </comment>
    <comment ref="D9028" authorId="0" shapeId="0" xr:uid="{F8E5E97B-7B79-4395-B3B9-7E298D44651A}">
      <text>
        <r>
          <rPr>
            <sz val="9"/>
            <color indexed="81"/>
            <rFont val="Tahoma"/>
            <family val="2"/>
          </rPr>
          <t>Not run for GREET, so assume 1.0</t>
        </r>
      </text>
    </comment>
    <comment ref="E9028" authorId="0" shapeId="0" xr:uid="{B173F3C3-DFBD-4178-A855-F707882410A2}">
      <text>
        <r>
          <rPr>
            <sz val="9"/>
            <color indexed="81"/>
            <rFont val="Tahoma"/>
            <family val="2"/>
          </rPr>
          <t>Not run for GREET, so assume 1.0</t>
        </r>
      </text>
    </comment>
    <comment ref="D9029" authorId="0" shapeId="0" xr:uid="{6746C8CC-3D4C-4109-BAC4-E64FC3D987B5}">
      <text>
        <r>
          <rPr>
            <sz val="9"/>
            <color indexed="81"/>
            <rFont val="Tahoma"/>
            <family val="2"/>
          </rPr>
          <t>Not run for GREET, so assume 1.0</t>
        </r>
      </text>
    </comment>
    <comment ref="E9029" authorId="0" shapeId="0" xr:uid="{28809D0E-7593-46D0-B752-FF561025475B}">
      <text>
        <r>
          <rPr>
            <sz val="9"/>
            <color indexed="81"/>
            <rFont val="Tahoma"/>
            <family val="2"/>
          </rPr>
          <t>Not run for GREET, so assume 1.0</t>
        </r>
      </text>
    </comment>
    <comment ref="D9030" authorId="0" shapeId="0" xr:uid="{1165EEC1-ED1A-442C-AC32-96AEE8FCF384}">
      <text>
        <r>
          <rPr>
            <sz val="9"/>
            <color indexed="81"/>
            <rFont val="Tahoma"/>
            <family val="2"/>
          </rPr>
          <t>Not run for GREET, so assume 1.0</t>
        </r>
      </text>
    </comment>
    <comment ref="E9030" authorId="0" shapeId="0" xr:uid="{9844690E-4C39-4545-8D4A-6BF59486AFD7}">
      <text>
        <r>
          <rPr>
            <sz val="9"/>
            <color indexed="81"/>
            <rFont val="Tahoma"/>
            <family val="2"/>
          </rPr>
          <t>Not run for GREET, so assume 1.0</t>
        </r>
      </text>
    </comment>
    <comment ref="D9031" authorId="0" shapeId="0" xr:uid="{D413E6E3-6359-44D1-890E-E2557C753EF1}">
      <text>
        <r>
          <rPr>
            <sz val="9"/>
            <color indexed="81"/>
            <rFont val="Tahoma"/>
            <family val="2"/>
          </rPr>
          <t>Not run for GREET, so assume 1.0</t>
        </r>
      </text>
    </comment>
    <comment ref="E9031" authorId="0" shapeId="0" xr:uid="{6B8A2527-E20E-432C-A1AA-D7E4E82A2365}">
      <text>
        <r>
          <rPr>
            <sz val="9"/>
            <color indexed="81"/>
            <rFont val="Tahoma"/>
            <family val="2"/>
          </rPr>
          <t>Not run for GREET, so assume 1.0</t>
        </r>
      </text>
    </comment>
    <comment ref="D9032" authorId="0" shapeId="0" xr:uid="{4592CE6F-E8CC-4DB7-B539-CD0774BB54B8}">
      <text>
        <r>
          <rPr>
            <sz val="9"/>
            <color indexed="81"/>
            <rFont val="Tahoma"/>
            <family val="2"/>
          </rPr>
          <t>Not run for GREET, so assume 1.0</t>
        </r>
      </text>
    </comment>
    <comment ref="E9032" authorId="0" shapeId="0" xr:uid="{36DE0A50-4F15-479C-9FE5-218A90F020BB}">
      <text>
        <r>
          <rPr>
            <sz val="9"/>
            <color indexed="81"/>
            <rFont val="Tahoma"/>
            <family val="2"/>
          </rPr>
          <t>Not run for GREET, so assume 1.0</t>
        </r>
      </text>
    </comment>
    <comment ref="D9033" authorId="0" shapeId="0" xr:uid="{D7DFD2F7-B2D3-4581-9E87-5534004FD26C}">
      <text>
        <r>
          <rPr>
            <sz val="9"/>
            <color indexed="81"/>
            <rFont val="Tahoma"/>
            <family val="2"/>
          </rPr>
          <t>Not run for GREET, so assume 1.0</t>
        </r>
      </text>
    </comment>
    <comment ref="E9033" authorId="0" shapeId="0" xr:uid="{09AD6E7B-47BB-4BDA-8740-16D431846188}">
      <text>
        <r>
          <rPr>
            <sz val="9"/>
            <color indexed="81"/>
            <rFont val="Tahoma"/>
            <family val="2"/>
          </rPr>
          <t>Not run for GREET, so assume 1.0</t>
        </r>
      </text>
    </comment>
    <comment ref="D9034" authorId="0" shapeId="0" xr:uid="{163FB155-EDB1-4D6F-B177-CB3E85F9B49D}">
      <text>
        <r>
          <rPr>
            <sz val="9"/>
            <color indexed="81"/>
            <rFont val="Tahoma"/>
            <family val="2"/>
          </rPr>
          <t>Not run for GREET, so assume 1.0</t>
        </r>
      </text>
    </comment>
    <comment ref="E9034" authorId="0" shapeId="0" xr:uid="{D01B7163-E443-45AE-914D-E9375468AB2C}">
      <text>
        <r>
          <rPr>
            <sz val="9"/>
            <color indexed="81"/>
            <rFont val="Tahoma"/>
            <family val="2"/>
          </rPr>
          <t>Not run for GREET, so assume 1.0</t>
        </r>
      </text>
    </comment>
    <comment ref="D9035" authorId="0" shapeId="0" xr:uid="{D5E0A190-6D4E-40D5-AC75-C35CA36C4124}">
      <text>
        <r>
          <rPr>
            <sz val="9"/>
            <color indexed="81"/>
            <rFont val="Tahoma"/>
            <family val="2"/>
          </rPr>
          <t>Not run for GREET, so assume 1.0</t>
        </r>
      </text>
    </comment>
    <comment ref="E9035" authorId="0" shapeId="0" xr:uid="{0C07250D-B637-4674-9C56-22A235E4B03E}">
      <text>
        <r>
          <rPr>
            <sz val="9"/>
            <color indexed="81"/>
            <rFont val="Tahoma"/>
            <family val="2"/>
          </rPr>
          <t>Not run for GREET, so assume 1.0</t>
        </r>
      </text>
    </comment>
    <comment ref="D9068" authorId="0" shapeId="0" xr:uid="{88491D41-F51C-4822-96F4-2C5CC7D1C5A0}">
      <text>
        <r>
          <rPr>
            <sz val="9"/>
            <color indexed="81"/>
            <rFont val="Tahoma"/>
            <family val="2"/>
          </rPr>
          <t>Not run for GREET, so assume 1.0</t>
        </r>
      </text>
    </comment>
    <comment ref="E9068" authorId="0" shapeId="0" xr:uid="{9F14A4BA-7A91-499F-9FCD-0DD44C9238D7}">
      <text>
        <r>
          <rPr>
            <sz val="9"/>
            <color indexed="81"/>
            <rFont val="Tahoma"/>
            <family val="2"/>
          </rPr>
          <t>Not run for GREET, so assume 1.0</t>
        </r>
      </text>
    </comment>
    <comment ref="D9069" authorId="0" shapeId="0" xr:uid="{90F1C22E-4EA3-4840-8A7D-C97CC3004D35}">
      <text>
        <r>
          <rPr>
            <sz val="9"/>
            <color indexed="81"/>
            <rFont val="Tahoma"/>
            <family val="2"/>
          </rPr>
          <t>Not run for GREET, so assume 1.0</t>
        </r>
      </text>
    </comment>
    <comment ref="E9069" authorId="0" shapeId="0" xr:uid="{6F8EAF1D-6798-42C5-B678-36AB152448C1}">
      <text>
        <r>
          <rPr>
            <sz val="9"/>
            <color indexed="81"/>
            <rFont val="Tahoma"/>
            <family val="2"/>
          </rPr>
          <t>Not run for GREET, so assume 1.0</t>
        </r>
      </text>
    </comment>
    <comment ref="D9070" authorId="0" shapeId="0" xr:uid="{ACD4BDCD-C44C-4C6F-96D8-F022513DB393}">
      <text>
        <r>
          <rPr>
            <sz val="9"/>
            <color indexed="81"/>
            <rFont val="Tahoma"/>
            <family val="2"/>
          </rPr>
          <t>Not run for GREET, so assume 1.0</t>
        </r>
      </text>
    </comment>
    <comment ref="E9070" authorId="0" shapeId="0" xr:uid="{43E37DA1-F22E-4FDC-BB59-A1C874617121}">
      <text>
        <r>
          <rPr>
            <sz val="9"/>
            <color indexed="81"/>
            <rFont val="Tahoma"/>
            <family val="2"/>
          </rPr>
          <t>Not run for GREET, so assume 1.0</t>
        </r>
      </text>
    </comment>
    <comment ref="D9071" authorId="0" shapeId="0" xr:uid="{66EFBE06-7BA5-462C-953A-9DBBDD6C675C}">
      <text>
        <r>
          <rPr>
            <sz val="9"/>
            <color indexed="81"/>
            <rFont val="Tahoma"/>
            <family val="2"/>
          </rPr>
          <t>Not run for GREET, so assume 1.0</t>
        </r>
      </text>
    </comment>
    <comment ref="E9071" authorId="0" shapeId="0" xr:uid="{27BA95C9-DC1B-445B-942C-539462A7FD2D}">
      <text>
        <r>
          <rPr>
            <sz val="9"/>
            <color indexed="81"/>
            <rFont val="Tahoma"/>
            <family val="2"/>
          </rPr>
          <t>Not run for GREET, so assume 1.0</t>
        </r>
      </text>
    </comment>
    <comment ref="D9072" authorId="0" shapeId="0" xr:uid="{080EF1DE-83BA-41BF-AB34-500AECAC6369}">
      <text>
        <r>
          <rPr>
            <sz val="9"/>
            <color indexed="81"/>
            <rFont val="Tahoma"/>
            <family val="2"/>
          </rPr>
          <t>Not run for GREET, so assume 1.0</t>
        </r>
      </text>
    </comment>
    <comment ref="E9072" authorId="0" shapeId="0" xr:uid="{EBB6C50B-B49E-496D-A755-435B2873EB7B}">
      <text>
        <r>
          <rPr>
            <sz val="9"/>
            <color indexed="81"/>
            <rFont val="Tahoma"/>
            <family val="2"/>
          </rPr>
          <t>Not run for GREET, so assume 1.0</t>
        </r>
      </text>
    </comment>
    <comment ref="D9073" authorId="0" shapeId="0" xr:uid="{5FB6BA9B-C266-4CB2-8C83-887A459C3510}">
      <text>
        <r>
          <rPr>
            <sz val="9"/>
            <color indexed="81"/>
            <rFont val="Tahoma"/>
            <family val="2"/>
          </rPr>
          <t>Not run for GREET, so assume 1.0</t>
        </r>
      </text>
    </comment>
    <comment ref="E9073" authorId="0" shapeId="0" xr:uid="{8CCF105F-A87E-4032-AE4F-D31403B25CD8}">
      <text>
        <r>
          <rPr>
            <sz val="9"/>
            <color indexed="81"/>
            <rFont val="Tahoma"/>
            <family val="2"/>
          </rPr>
          <t>Not run for GREET, so assume 1.0</t>
        </r>
      </text>
    </comment>
    <comment ref="C9074" authorId="0" shapeId="0" xr:uid="{B039FE97-7575-420F-9CC5-3A42CBA60C55}">
      <text>
        <r>
          <rPr>
            <sz val="9"/>
            <color indexed="81"/>
            <rFont val="Tahoma"/>
            <family val="2"/>
          </rPr>
          <t>Used NMHC values as placeholder since VOC exhaust values are 0 from MOVES</t>
        </r>
      </text>
    </comment>
    <comment ref="D9074" authorId="0" shapeId="0" xr:uid="{64E0BE12-1DFF-4C54-A560-DB25D00EDD64}">
      <text>
        <r>
          <rPr>
            <sz val="9"/>
            <color indexed="81"/>
            <rFont val="Tahoma"/>
            <family val="2"/>
          </rPr>
          <t>Not run for GREET, so assume 1.0</t>
        </r>
      </text>
    </comment>
    <comment ref="E9074" authorId="0" shapeId="0" xr:uid="{B0786E53-11B3-4980-B8EA-DD7E3539C3F3}">
      <text>
        <r>
          <rPr>
            <sz val="9"/>
            <color indexed="81"/>
            <rFont val="Tahoma"/>
            <family val="2"/>
          </rPr>
          <t>Not run for GREET, so assume 1.0</t>
        </r>
      </text>
    </comment>
    <comment ref="D9075" authorId="0" shapeId="0" xr:uid="{3B4C654B-2D3B-4230-A645-4E1C08742E33}">
      <text>
        <r>
          <rPr>
            <sz val="9"/>
            <color indexed="81"/>
            <rFont val="Tahoma"/>
            <family val="2"/>
          </rPr>
          <t>Not run for GREET, so assume 1.0</t>
        </r>
      </text>
    </comment>
    <comment ref="E9075" authorId="0" shapeId="0" xr:uid="{E4F13DCD-ECFF-4745-BA91-DCB71EF119CB}">
      <text>
        <r>
          <rPr>
            <sz val="9"/>
            <color indexed="81"/>
            <rFont val="Tahoma"/>
            <family val="2"/>
          </rPr>
          <t>Not run for GREET, so assume 1.0</t>
        </r>
      </text>
    </comment>
    <comment ref="B9102" authorId="0" shapeId="0" xr:uid="{B0B98E0F-A5DE-44AC-9938-4FC2B418CDAF}">
      <text>
        <r>
          <rPr>
            <sz val="9"/>
            <color indexed="81"/>
            <rFont val="Tahoma"/>
            <family val="2"/>
          </rPr>
          <t>For light-duty AFVs, multipliers are relative gasoline vehicles except for B20 and B100, which are relative to diesel
For heavy-duty AFVs, multipliers are relative diesel vehicles except for E85 and LPG, which are relative to gasoline</t>
        </r>
      </text>
    </comment>
    <comment ref="X9150" authorId="0" shapeId="0" xr:uid="{F1F38F87-7180-4CF9-BAC9-1AF06116F552}">
      <text>
        <r>
          <rPr>
            <sz val="9"/>
            <color indexed="81"/>
            <rFont val="Tahoma"/>
            <family val="2"/>
          </rPr>
          <t>Assume same as passenger truck as there is no medium duty HEV testing</t>
        </r>
      </text>
    </comment>
    <comment ref="F10144" authorId="0" shapeId="0" xr:uid="{847D061B-39C7-4C99-AE0C-72D4590570BC}">
      <text>
        <r>
          <rPr>
            <sz val="9"/>
            <color indexed="81"/>
            <rFont val="Tahoma"/>
            <family val="2"/>
          </rPr>
          <t>Using HEV as a placeholder for CS PHEV operation</t>
        </r>
      </text>
    </comment>
    <comment ref="F10145" authorId="0" shapeId="0" xr:uid="{4F894EE3-0ACE-4F08-97EF-4D8E6FCC3971}">
      <text>
        <r>
          <rPr>
            <sz val="9"/>
            <color indexed="81"/>
            <rFont val="Tahoma"/>
            <family val="2"/>
          </rPr>
          <t>Using HEV as a placeholder for CS PHEV operation</t>
        </r>
      </text>
    </comment>
    <comment ref="F10146" authorId="0" shapeId="0" xr:uid="{B8389E9B-F61A-490B-AEE6-D5DCB7E100EB}">
      <text>
        <r>
          <rPr>
            <sz val="9"/>
            <color indexed="81"/>
            <rFont val="Tahoma"/>
            <family val="2"/>
          </rPr>
          <t>Using HEV as a placeholder for CS PHEV operation</t>
        </r>
      </text>
    </comment>
    <comment ref="F10147" authorId="0" shapeId="0" xr:uid="{CEB183A9-F841-4503-9C97-BCC0351E28A5}">
      <text>
        <r>
          <rPr>
            <sz val="9"/>
            <color indexed="81"/>
            <rFont val="Tahoma"/>
            <family val="2"/>
          </rPr>
          <t>Using HEV as a placeholder for CS PHEV operation</t>
        </r>
      </text>
    </comment>
    <comment ref="F10148" authorId="0" shapeId="0" xr:uid="{F016F23B-E2B1-4D8F-8E4A-1EB3E295CE54}">
      <text>
        <r>
          <rPr>
            <sz val="9"/>
            <color indexed="81"/>
            <rFont val="Tahoma"/>
            <family val="2"/>
          </rPr>
          <t>Using HEV as a placeholder for CS PHEV operation</t>
        </r>
      </text>
    </comment>
    <comment ref="F10149" authorId="0" shapeId="0" xr:uid="{C579DF88-215A-4138-A690-898C0691042F}">
      <text>
        <r>
          <rPr>
            <sz val="9"/>
            <color indexed="81"/>
            <rFont val="Tahoma"/>
            <family val="2"/>
          </rPr>
          <t>Using HEV as a placeholder for CS PHEV operation</t>
        </r>
      </text>
    </comment>
    <comment ref="F10150" authorId="0" shapeId="0" xr:uid="{D43855DA-8006-401F-AF59-597D35E31434}">
      <text>
        <r>
          <rPr>
            <sz val="9"/>
            <color indexed="81"/>
            <rFont val="Tahoma"/>
            <family val="2"/>
          </rPr>
          <t>Using HEV as a placeholder for CS PHEV operation</t>
        </r>
      </text>
    </comment>
    <comment ref="F10151" authorId="0" shapeId="0" xr:uid="{7983E57A-6C9F-4C81-9505-FB8535BA8F29}">
      <text>
        <r>
          <rPr>
            <sz val="9"/>
            <color indexed="81"/>
            <rFont val="Tahoma"/>
            <family val="2"/>
          </rPr>
          <t>Using HEV as a placeholder for CS PHEV operation</t>
        </r>
      </text>
    </comment>
    <comment ref="F10152" authorId="0" shapeId="0" xr:uid="{7122775D-0C8C-4F14-87B1-D673476D3566}">
      <text>
        <r>
          <rPr>
            <sz val="9"/>
            <color indexed="81"/>
            <rFont val="Tahoma"/>
            <family val="2"/>
          </rPr>
          <t>Using HEV as a placeholder for CS PHEV operation</t>
        </r>
      </text>
    </comment>
    <comment ref="F10153" authorId="0" shapeId="0" xr:uid="{DECCDF48-7660-40CC-99E4-4A636EF8FA87}">
      <text>
        <r>
          <rPr>
            <sz val="9"/>
            <color indexed="81"/>
            <rFont val="Tahoma"/>
            <family val="2"/>
          </rPr>
          <t>Using HEV as a placeholder for CS PHEV operation</t>
        </r>
      </text>
    </comment>
    <comment ref="F10154" authorId="0" shapeId="0" xr:uid="{8FED524F-0B68-4453-81BB-4EDD7B93663F}">
      <text>
        <r>
          <rPr>
            <sz val="9"/>
            <color indexed="81"/>
            <rFont val="Tahoma"/>
            <family val="2"/>
          </rPr>
          <t>Using HEV as a placeholder for CS PHEV operation</t>
        </r>
      </text>
    </comment>
    <comment ref="F10155" authorId="0" shapeId="0" xr:uid="{FA6CD0CD-D8C2-4E28-9275-CE4AF2FBB005}">
      <text>
        <r>
          <rPr>
            <sz val="9"/>
            <color indexed="81"/>
            <rFont val="Tahoma"/>
            <family val="2"/>
          </rPr>
          <t>Using HEV as a placeholder for CS PHEV operation</t>
        </r>
      </text>
    </comment>
    <comment ref="F10156" authorId="0" shapeId="0" xr:uid="{54F004A7-6209-41E5-AB2D-F427F1A54890}">
      <text>
        <r>
          <rPr>
            <sz val="9"/>
            <color indexed="81"/>
            <rFont val="Tahoma"/>
            <family val="2"/>
          </rPr>
          <t>Using HEV as a placeholder for CS PHEV operation</t>
        </r>
      </text>
    </comment>
    <comment ref="F10157" authorId="0" shapeId="0" xr:uid="{D53355CF-D67B-4318-A095-2F9A50097387}">
      <text>
        <r>
          <rPr>
            <sz val="9"/>
            <color indexed="81"/>
            <rFont val="Tahoma"/>
            <family val="2"/>
          </rPr>
          <t>Using HEV as a placeholder for CS PHEV operation</t>
        </r>
      </text>
    </comment>
    <comment ref="F10158" authorId="0" shapeId="0" xr:uid="{291CCE02-9721-4647-8C8A-A17D932131B6}">
      <text>
        <r>
          <rPr>
            <sz val="9"/>
            <color indexed="81"/>
            <rFont val="Tahoma"/>
            <family val="2"/>
          </rPr>
          <t>Using HEV as a placeholder for CS PHEV operation</t>
        </r>
      </text>
    </comment>
    <comment ref="F10159" authorId="0" shapeId="0" xr:uid="{32A29C34-661B-4BE7-BC32-40D881403424}">
      <text>
        <r>
          <rPr>
            <sz val="9"/>
            <color indexed="81"/>
            <rFont val="Tahoma"/>
            <family val="2"/>
          </rPr>
          <t>Using HEV as a placeholder for CS PHEV operation</t>
        </r>
      </text>
    </comment>
    <comment ref="F10160" authorId="0" shapeId="0" xr:uid="{2F7B3BCA-A79A-4611-935C-CFED31D75359}">
      <text>
        <r>
          <rPr>
            <sz val="9"/>
            <color indexed="81"/>
            <rFont val="Tahoma"/>
            <family val="2"/>
          </rPr>
          <t>Using HEV as a placeholder for CS PHEV operation</t>
        </r>
      </text>
    </comment>
    <comment ref="F10161" authorId="0" shapeId="0" xr:uid="{75B46049-7CAD-4E69-B836-F75DCE694809}">
      <text>
        <r>
          <rPr>
            <sz val="9"/>
            <color indexed="81"/>
            <rFont val="Tahoma"/>
            <family val="2"/>
          </rPr>
          <t>Using HEV as a placeholder for CS PHEV operation</t>
        </r>
      </text>
    </comment>
    <comment ref="F10162" authorId="0" shapeId="0" xr:uid="{43BF8C8B-6F75-4919-84CC-76B8A36F4298}">
      <text>
        <r>
          <rPr>
            <sz val="9"/>
            <color indexed="81"/>
            <rFont val="Tahoma"/>
            <family val="2"/>
          </rPr>
          <t>Using HEV as a placeholder for CS PHEV operation</t>
        </r>
      </text>
    </comment>
    <comment ref="F10163" authorId="0" shapeId="0" xr:uid="{1E9A3B31-60ED-4F35-9648-CED733AD69AE}">
      <text>
        <r>
          <rPr>
            <sz val="9"/>
            <color indexed="81"/>
            <rFont val="Tahoma"/>
            <family val="2"/>
          </rPr>
          <t>Using HEV as a placeholder for CS PHEV operation</t>
        </r>
      </text>
    </comment>
    <comment ref="F10164" authorId="0" shapeId="0" xr:uid="{28FC07D6-93DF-4CF2-9E51-FE33A3FAF272}">
      <text>
        <r>
          <rPr>
            <sz val="9"/>
            <color indexed="81"/>
            <rFont val="Tahoma"/>
            <family val="2"/>
          </rPr>
          <t>Using HEV as a placeholder for CS PHEV operation</t>
        </r>
      </text>
    </comment>
    <comment ref="F10165" authorId="0" shapeId="0" xr:uid="{7D06165A-8268-40A0-8B10-6B22AE09F60C}">
      <text>
        <r>
          <rPr>
            <sz val="9"/>
            <color indexed="81"/>
            <rFont val="Tahoma"/>
            <family val="2"/>
          </rPr>
          <t>Using HEV as a placeholder for CS PHEV operation</t>
        </r>
      </text>
    </comment>
    <comment ref="F10166" authorId="0" shapeId="0" xr:uid="{A646DAA1-57DF-4B21-9A09-203D082B2AFE}">
      <text>
        <r>
          <rPr>
            <sz val="9"/>
            <color indexed="81"/>
            <rFont val="Tahoma"/>
            <family val="2"/>
          </rPr>
          <t>Using HEV as a placeholder for CS PHEV operation</t>
        </r>
      </text>
    </comment>
    <comment ref="F10167" authorId="0" shapeId="0" xr:uid="{552A4683-E226-4C41-9223-814F4213714D}">
      <text>
        <r>
          <rPr>
            <sz val="9"/>
            <color indexed="81"/>
            <rFont val="Tahoma"/>
            <family val="2"/>
          </rPr>
          <t>Using HEV as a placeholder for CS PHEV operation</t>
        </r>
      </text>
    </comment>
    <comment ref="F10168" authorId="0" shapeId="0" xr:uid="{49C5EEBE-95BE-4ACE-82BC-731B73560507}">
      <text>
        <r>
          <rPr>
            <sz val="9"/>
            <color indexed="81"/>
            <rFont val="Tahoma"/>
            <family val="2"/>
          </rPr>
          <t>Using HEV as a placeholder for CS PHEV operation</t>
        </r>
      </text>
    </comment>
    <comment ref="F10169" authorId="0" shapeId="0" xr:uid="{1C16FD09-36F1-458B-83AB-C249E737DBA0}">
      <text>
        <r>
          <rPr>
            <sz val="9"/>
            <color indexed="81"/>
            <rFont val="Tahoma"/>
            <family val="2"/>
          </rPr>
          <t>Using HEV as a placeholder for CS PHEV operation</t>
        </r>
      </text>
    </comment>
    <comment ref="F10170" authorId="0" shapeId="0" xr:uid="{EB96AF24-7EF8-4DC4-A59B-89A2D49BEB87}">
      <text>
        <r>
          <rPr>
            <sz val="9"/>
            <color indexed="81"/>
            <rFont val="Tahoma"/>
            <family val="2"/>
          </rPr>
          <t>Using HEV as a placeholder for CS PHEV operation</t>
        </r>
      </text>
    </comment>
    <comment ref="F10171" authorId="0" shapeId="0" xr:uid="{EE964970-8355-4AF0-B9F2-53045025361B}">
      <text>
        <r>
          <rPr>
            <sz val="9"/>
            <color indexed="81"/>
            <rFont val="Tahoma"/>
            <family val="2"/>
          </rPr>
          <t>Using HEV as a placeholder for CS PHEV operation</t>
        </r>
      </text>
    </comment>
    <comment ref="F10172" authorId="0" shapeId="0" xr:uid="{96DF76E5-6BF6-439E-870C-5AD63B3900A6}">
      <text>
        <r>
          <rPr>
            <sz val="9"/>
            <color indexed="81"/>
            <rFont val="Tahoma"/>
            <family val="2"/>
          </rPr>
          <t>Using HEV as a placeholder for CS PHEV operation</t>
        </r>
      </text>
    </comment>
    <comment ref="F10173" authorId="0" shapeId="0" xr:uid="{99B53EC1-FBEA-4307-ACB7-B7E10BD45DEA}">
      <text>
        <r>
          <rPr>
            <sz val="9"/>
            <color indexed="81"/>
            <rFont val="Tahoma"/>
            <family val="2"/>
          </rPr>
          <t>Using HEV as a placeholder for CS PHEV operation</t>
        </r>
      </text>
    </comment>
    <comment ref="F10174" authorId="0" shapeId="0" xr:uid="{892C644F-4B1A-4C1D-ACBC-0FBC015D5E64}">
      <text>
        <r>
          <rPr>
            <sz val="9"/>
            <color indexed="81"/>
            <rFont val="Tahoma"/>
            <family val="2"/>
          </rPr>
          <t>Using HEV as a placeholder for CS PHEV operation</t>
        </r>
      </text>
    </comment>
    <comment ref="F10175" authorId="0" shapeId="0" xr:uid="{9A4C4361-D7F3-4D09-8121-816D05E63023}">
      <text>
        <r>
          <rPr>
            <sz val="9"/>
            <color indexed="81"/>
            <rFont val="Tahoma"/>
            <family val="2"/>
          </rPr>
          <t>Using HEV as a placeholder for CS PHEV operation</t>
        </r>
      </text>
    </comment>
    <comment ref="F10176" authorId="0" shapeId="0" xr:uid="{B9D51DC3-C6BF-4BB1-A21D-C34EA422CFD4}">
      <text>
        <r>
          <rPr>
            <sz val="9"/>
            <color indexed="81"/>
            <rFont val="Tahoma"/>
            <family val="2"/>
          </rPr>
          <t>Using HEV as a placeholder for CS PHEV operation</t>
        </r>
      </text>
    </comment>
    <comment ref="F10177" authorId="0" shapeId="0" xr:uid="{697CC3A5-545F-41F7-9BA9-50BCF1099DFE}">
      <text>
        <r>
          <rPr>
            <sz val="9"/>
            <color indexed="81"/>
            <rFont val="Tahoma"/>
            <family val="2"/>
          </rPr>
          <t>Using HEV as a placeholder for CS PHEV operation</t>
        </r>
      </text>
    </comment>
    <comment ref="F10178" authorId="0" shapeId="0" xr:uid="{2CD5F698-CA60-43CC-91C3-C81E4B004298}">
      <text>
        <r>
          <rPr>
            <sz val="9"/>
            <color indexed="81"/>
            <rFont val="Tahoma"/>
            <family val="2"/>
          </rPr>
          <t>Using HEV as a placeholder for CS PHEV operation</t>
        </r>
      </text>
    </comment>
    <comment ref="F10179" authorId="0" shapeId="0" xr:uid="{94B5F6F2-BF24-421A-8A05-0DE13536762B}">
      <text>
        <r>
          <rPr>
            <sz val="9"/>
            <color indexed="81"/>
            <rFont val="Tahoma"/>
            <family val="2"/>
          </rPr>
          <t>Using HEV as a placeholder for CS PHEV operation</t>
        </r>
      </text>
    </comment>
    <comment ref="F10180" authorId="0" shapeId="0" xr:uid="{CBD88D70-EE37-4774-812B-978C03E65BF9}">
      <text>
        <r>
          <rPr>
            <sz val="9"/>
            <color indexed="81"/>
            <rFont val="Tahoma"/>
            <family val="2"/>
          </rPr>
          <t>Using HEV as a placeholder for CS PHEV operation</t>
        </r>
      </text>
    </comment>
    <comment ref="F10181" authorId="0" shapeId="0" xr:uid="{BA436791-2FFC-45C0-A2F4-7C06D58C2060}">
      <text>
        <r>
          <rPr>
            <sz val="9"/>
            <color indexed="81"/>
            <rFont val="Tahoma"/>
            <family val="2"/>
          </rPr>
          <t>Using HEV as a placeholder for CS PHEV operation</t>
        </r>
      </text>
    </comment>
    <comment ref="F10182" authorId="0" shapeId="0" xr:uid="{3ADC80C6-2810-4884-A34F-5986F31D080A}">
      <text>
        <r>
          <rPr>
            <sz val="9"/>
            <color indexed="81"/>
            <rFont val="Tahoma"/>
            <family val="2"/>
          </rPr>
          <t>Using HEV as a placeholder for CS PHEV operation</t>
        </r>
      </text>
    </comment>
    <comment ref="F10183" authorId="0" shapeId="0" xr:uid="{C8D60BA7-94F3-464C-BE85-BB4BAFB79BDC}">
      <text>
        <r>
          <rPr>
            <sz val="9"/>
            <color indexed="81"/>
            <rFont val="Tahoma"/>
            <family val="2"/>
          </rPr>
          <t>Using HEV as a placeholder for CS PHEV operation</t>
        </r>
      </text>
    </comment>
    <comment ref="F10184" authorId="0" shapeId="0" xr:uid="{CC12EE16-5D20-490C-83BA-745C42755810}">
      <text>
        <r>
          <rPr>
            <sz val="9"/>
            <color indexed="81"/>
            <rFont val="Tahoma"/>
            <family val="2"/>
          </rPr>
          <t>Using HEV as a placeholder for CS PHEV operation</t>
        </r>
      </text>
    </comment>
    <comment ref="F10185" authorId="0" shapeId="0" xr:uid="{A9F0737C-BDE2-4F40-9C12-1E4C48B00198}">
      <text>
        <r>
          <rPr>
            <sz val="9"/>
            <color indexed="81"/>
            <rFont val="Tahoma"/>
            <family val="2"/>
          </rPr>
          <t>Using HEV as a placeholder for CS PHEV operation</t>
        </r>
      </text>
    </comment>
    <comment ref="F10186" authorId="0" shapeId="0" xr:uid="{3FC3BA15-2F11-4F1F-9DF6-4BEA8E13C9A8}">
      <text>
        <r>
          <rPr>
            <sz val="9"/>
            <color indexed="81"/>
            <rFont val="Tahoma"/>
            <family val="2"/>
          </rPr>
          <t>Using HEV as a placeholder for CS PHEV operation</t>
        </r>
      </text>
    </comment>
    <comment ref="F10187" authorId="0" shapeId="0" xr:uid="{0A3CBF63-8EA8-4C92-B6F5-A67C2F2A3D0B}">
      <text>
        <r>
          <rPr>
            <sz val="9"/>
            <color indexed="81"/>
            <rFont val="Tahoma"/>
            <family val="2"/>
          </rPr>
          <t>Using HEV as a placeholder for CS PHEV operation</t>
        </r>
      </text>
    </comment>
    <comment ref="F10188" authorId="0" shapeId="0" xr:uid="{E15FF4BC-4731-4CAF-82B7-56025A6CD2CB}">
      <text>
        <r>
          <rPr>
            <sz val="9"/>
            <color indexed="81"/>
            <rFont val="Tahoma"/>
            <family val="2"/>
          </rPr>
          <t>Using HEV as a placeholder for CS PHEV operation</t>
        </r>
      </text>
    </comment>
    <comment ref="F10189" authorId="0" shapeId="0" xr:uid="{F6922A82-F01F-430D-BEA0-0238A9375F9B}">
      <text>
        <r>
          <rPr>
            <sz val="9"/>
            <color indexed="81"/>
            <rFont val="Tahoma"/>
            <family val="2"/>
          </rPr>
          <t>Using HEV as a placeholder for CS PHEV operation</t>
        </r>
      </text>
    </comment>
    <comment ref="F10190" authorId="0" shapeId="0" xr:uid="{567DA0B9-B2C4-4ADB-886B-A0A5DFACF5BF}">
      <text>
        <r>
          <rPr>
            <sz val="9"/>
            <color indexed="81"/>
            <rFont val="Tahoma"/>
            <family val="2"/>
          </rPr>
          <t>Using HEV as a placeholder for CS PHEV operation</t>
        </r>
      </text>
    </comment>
    <comment ref="F10191" authorId="0" shapeId="0" xr:uid="{8B5BCCAE-37B4-494D-9972-1D73336C5A7B}">
      <text>
        <r>
          <rPr>
            <sz val="9"/>
            <color indexed="81"/>
            <rFont val="Tahoma"/>
            <family val="2"/>
          </rPr>
          <t>Using HEV as a placeholder for CS PHEV operation</t>
        </r>
      </text>
    </comment>
    <comment ref="F10192" authorId="0" shapeId="0" xr:uid="{1E0F7324-DD54-48F5-96E2-9B9D383A36B3}">
      <text>
        <r>
          <rPr>
            <sz val="9"/>
            <color indexed="81"/>
            <rFont val="Tahoma"/>
            <family val="2"/>
          </rPr>
          <t>Using HEV as a placeholder for CS PHEV operation</t>
        </r>
      </text>
    </comment>
    <comment ref="F10193" authorId="0" shapeId="0" xr:uid="{1A5F8D96-1EC3-4CB8-B8A7-E7FB12101BC5}">
      <text>
        <r>
          <rPr>
            <sz val="9"/>
            <color indexed="81"/>
            <rFont val="Tahoma"/>
            <family val="2"/>
          </rPr>
          <t>Using HEV as a placeholder for CS PHEV operation</t>
        </r>
      </text>
    </comment>
    <comment ref="F10194" authorId="0" shapeId="0" xr:uid="{BADE9A24-72D1-416B-85C4-8FE72642FB18}">
      <text>
        <r>
          <rPr>
            <sz val="9"/>
            <color indexed="81"/>
            <rFont val="Tahoma"/>
            <family val="2"/>
          </rPr>
          <t>Using HEV as a placeholder for CS PHEV operation</t>
        </r>
      </text>
    </comment>
    <comment ref="F10195" authorId="0" shapeId="0" xr:uid="{3E7E35A3-35D2-45A4-8084-53DBAC635EF9}">
      <text>
        <r>
          <rPr>
            <sz val="9"/>
            <color indexed="81"/>
            <rFont val="Tahoma"/>
            <family val="2"/>
          </rPr>
          <t>Using HEV as a placeholder for CS PHEV operation</t>
        </r>
      </text>
    </comment>
    <comment ref="F10196" authorId="0" shapeId="0" xr:uid="{C4036B8F-5D29-4FEE-9373-ED4029FC5694}">
      <text>
        <r>
          <rPr>
            <sz val="9"/>
            <color indexed="81"/>
            <rFont val="Tahoma"/>
            <family val="2"/>
          </rPr>
          <t>Using HEV as a placeholder for CS PHEV operation</t>
        </r>
      </text>
    </comment>
    <comment ref="F10197" authorId="0" shapeId="0" xr:uid="{0B3D151E-B215-4E85-97DF-E4232EA0CA7E}">
      <text>
        <r>
          <rPr>
            <sz val="9"/>
            <color indexed="81"/>
            <rFont val="Tahoma"/>
            <family val="2"/>
          </rPr>
          <t>Using HEV as a placeholder for CS PHEV operation</t>
        </r>
      </text>
    </comment>
    <comment ref="F10198" authorId="0" shapeId="0" xr:uid="{F941D695-0E01-4628-B8D1-CAEBCF256ED0}">
      <text>
        <r>
          <rPr>
            <sz val="9"/>
            <color indexed="81"/>
            <rFont val="Tahoma"/>
            <family val="2"/>
          </rPr>
          <t>Using HEV as a placeholder for CS PHEV operation</t>
        </r>
      </text>
    </comment>
    <comment ref="F10199" authorId="0" shapeId="0" xr:uid="{A2F0A90D-F583-4E5D-9E5A-16B71248FCF0}">
      <text>
        <r>
          <rPr>
            <sz val="9"/>
            <color indexed="81"/>
            <rFont val="Tahoma"/>
            <family val="2"/>
          </rPr>
          <t>Using HEV as a placeholder for CS PHEV operation</t>
        </r>
      </text>
    </comment>
    <comment ref="F10200" authorId="0" shapeId="0" xr:uid="{DD965C7D-77B7-41D1-BE9F-7E5CE7E51B46}">
      <text>
        <r>
          <rPr>
            <sz val="9"/>
            <color indexed="81"/>
            <rFont val="Tahoma"/>
            <family val="2"/>
          </rPr>
          <t>Using HEV as a placeholder for CS PHEV operation</t>
        </r>
      </text>
    </comment>
    <comment ref="F10201" authorId="0" shapeId="0" xr:uid="{EEBD2719-5DE3-4AF2-9474-F281992A9891}">
      <text>
        <r>
          <rPr>
            <sz val="9"/>
            <color indexed="81"/>
            <rFont val="Tahoma"/>
            <family val="2"/>
          </rPr>
          <t>Using HEV as a placeholder for CS PHEV operation</t>
        </r>
      </text>
    </comment>
    <comment ref="F10202" authorId="0" shapeId="0" xr:uid="{A84D9DF0-FB4A-4877-85C8-02E160DEECC8}">
      <text>
        <r>
          <rPr>
            <sz val="9"/>
            <color indexed="81"/>
            <rFont val="Tahoma"/>
            <family val="2"/>
          </rPr>
          <t>Using HEV as a placeholder for CS PHEV operation</t>
        </r>
      </text>
    </comment>
    <comment ref="F10203" authorId="0" shapeId="0" xr:uid="{B7B4DFDD-7301-4AAC-A147-C44EE3685250}">
      <text>
        <r>
          <rPr>
            <sz val="9"/>
            <color indexed="81"/>
            <rFont val="Tahoma"/>
            <family val="2"/>
          </rPr>
          <t>Using HEV as a placeholder for CS PHEV operation</t>
        </r>
      </text>
    </comment>
    <comment ref="F10204" authorId="0" shapeId="0" xr:uid="{1F16F6B1-E210-45F4-AB51-E1B4A012E351}">
      <text>
        <r>
          <rPr>
            <sz val="9"/>
            <color indexed="81"/>
            <rFont val="Tahoma"/>
            <family val="2"/>
          </rPr>
          <t>Using HEV as a placeholder for CS PHEV operation</t>
        </r>
      </text>
    </comment>
    <comment ref="F10205" authorId="0" shapeId="0" xr:uid="{E16F44B5-694D-4B94-9057-EF61D028DE6C}">
      <text>
        <r>
          <rPr>
            <sz val="9"/>
            <color indexed="81"/>
            <rFont val="Tahoma"/>
            <family val="2"/>
          </rPr>
          <t>Using HEV as a placeholder for CS PHEV operation</t>
        </r>
      </text>
    </comment>
    <comment ref="F10206" authorId="0" shapeId="0" xr:uid="{A4CA824D-134B-4AA8-A78F-2E40890D0FAE}">
      <text>
        <r>
          <rPr>
            <sz val="9"/>
            <color indexed="81"/>
            <rFont val="Tahoma"/>
            <family val="2"/>
          </rPr>
          <t>Using HEV as a placeholder for CS PHEV operation</t>
        </r>
      </text>
    </comment>
    <comment ref="F10207" authorId="0" shapeId="0" xr:uid="{2AB918E7-F7F3-4AB6-8B6C-48B904768658}">
      <text>
        <r>
          <rPr>
            <sz val="9"/>
            <color indexed="81"/>
            <rFont val="Tahoma"/>
            <family val="2"/>
          </rPr>
          <t>Using HEV as a placeholder for CS PHEV operation</t>
        </r>
      </text>
    </comment>
    <comment ref="F10208" authorId="0" shapeId="0" xr:uid="{1BFFBCB5-C3CC-430A-8468-92ABD912F2B1}">
      <text>
        <r>
          <rPr>
            <sz val="9"/>
            <color indexed="81"/>
            <rFont val="Tahoma"/>
            <family val="2"/>
          </rPr>
          <t>Using HEV as a placeholder for CS PHEV operation</t>
        </r>
      </text>
    </comment>
    <comment ref="F10209" authorId="0" shapeId="0" xr:uid="{9A10D3B4-B0D0-4E4A-B7DB-98165AEC72D5}">
      <text>
        <r>
          <rPr>
            <sz val="9"/>
            <color indexed="81"/>
            <rFont val="Tahoma"/>
            <family val="2"/>
          </rPr>
          <t>Using HEV as a placeholder for CS PHEV operation</t>
        </r>
      </text>
    </comment>
    <comment ref="F10210" authorId="0" shapeId="0" xr:uid="{C6A5DB13-B95D-409C-BCB8-4C1D7077EB78}">
      <text>
        <r>
          <rPr>
            <sz val="9"/>
            <color indexed="81"/>
            <rFont val="Tahoma"/>
            <family val="2"/>
          </rPr>
          <t>Using HEV as a placeholder for CS PHEV operation</t>
        </r>
      </text>
    </comment>
    <comment ref="F10211" authorId="0" shapeId="0" xr:uid="{386872E6-56E4-4385-99C9-7AC6ED2CDDC6}">
      <text>
        <r>
          <rPr>
            <sz val="9"/>
            <color indexed="81"/>
            <rFont val="Tahoma"/>
            <family val="2"/>
          </rPr>
          <t>Using HEV as a placeholder for CS PHEV operation</t>
        </r>
      </text>
    </comment>
    <comment ref="F10212" authorId="0" shapeId="0" xr:uid="{2E792527-F121-4207-9F4F-A9D4CC719F49}">
      <text>
        <r>
          <rPr>
            <sz val="9"/>
            <color indexed="81"/>
            <rFont val="Tahoma"/>
            <family val="2"/>
          </rPr>
          <t>Using HEV as a placeholder for CS PHEV operation</t>
        </r>
      </text>
    </comment>
    <comment ref="F10213" authorId="0" shapeId="0" xr:uid="{53627E01-24A0-435C-BDD9-E928D8F64B11}">
      <text>
        <r>
          <rPr>
            <sz val="9"/>
            <color indexed="81"/>
            <rFont val="Tahoma"/>
            <family val="2"/>
          </rPr>
          <t>Using HEV as a placeholder for CS PHEV operation</t>
        </r>
      </text>
    </comment>
    <comment ref="F10214" authorId="0" shapeId="0" xr:uid="{2F0B3E2A-C6D1-4201-A94D-5D19F597A005}">
      <text>
        <r>
          <rPr>
            <sz val="9"/>
            <color indexed="81"/>
            <rFont val="Tahoma"/>
            <family val="2"/>
          </rPr>
          <t>Using HEV as a placeholder for CS PHEV operation</t>
        </r>
      </text>
    </comment>
    <comment ref="F10215" authorId="0" shapeId="0" xr:uid="{D65B7487-238D-4CFF-A6E6-318033046099}">
      <text>
        <r>
          <rPr>
            <sz val="9"/>
            <color indexed="81"/>
            <rFont val="Tahoma"/>
            <family val="2"/>
          </rPr>
          <t>Using HEV as a placeholder for CS PHEV operation</t>
        </r>
      </text>
    </comment>
    <comment ref="F10216" authorId="0" shapeId="0" xr:uid="{2DBA4B98-33ED-4F95-81BA-317C32EB7803}">
      <text>
        <r>
          <rPr>
            <sz val="9"/>
            <color indexed="81"/>
            <rFont val="Tahoma"/>
            <family val="2"/>
          </rPr>
          <t>Using HEV as a placeholder for CS PHEV operation</t>
        </r>
      </text>
    </comment>
    <comment ref="F10217" authorId="0" shapeId="0" xr:uid="{3FC44D7A-FCD8-43F1-90F0-F57DE1751593}">
      <text>
        <r>
          <rPr>
            <sz val="9"/>
            <color indexed="81"/>
            <rFont val="Tahoma"/>
            <family val="2"/>
          </rPr>
          <t>Using HEV as a placeholder for CS PHEV operation</t>
        </r>
      </text>
    </comment>
    <comment ref="F10218" authorId="0" shapeId="0" xr:uid="{24DF1B89-7DFA-4B3B-9C66-E6D8F591BB86}">
      <text>
        <r>
          <rPr>
            <sz val="9"/>
            <color indexed="81"/>
            <rFont val="Tahoma"/>
            <family val="2"/>
          </rPr>
          <t>Using HEV as a placeholder for CS PHEV operation</t>
        </r>
      </text>
    </comment>
    <comment ref="F10219" authorId="0" shapeId="0" xr:uid="{1A918681-85E6-4D13-9B50-7C7B3AF29A69}">
      <text>
        <r>
          <rPr>
            <sz val="9"/>
            <color indexed="81"/>
            <rFont val="Tahoma"/>
            <family val="2"/>
          </rPr>
          <t>Using HEV as a placeholder for CS PHEV operation</t>
        </r>
      </text>
    </comment>
    <comment ref="F10220" authorId="0" shapeId="0" xr:uid="{DAF3E33A-6575-4C19-A08E-703CD4026E67}">
      <text>
        <r>
          <rPr>
            <sz val="9"/>
            <color indexed="81"/>
            <rFont val="Tahoma"/>
            <family val="2"/>
          </rPr>
          <t>Using HEV as a placeholder for CS PHEV operation</t>
        </r>
      </text>
    </comment>
    <comment ref="F10221" authorId="0" shapeId="0" xr:uid="{0B3A698C-2553-4F12-B357-4D266D8A1C6F}">
      <text>
        <r>
          <rPr>
            <sz val="9"/>
            <color indexed="81"/>
            <rFont val="Tahoma"/>
            <family val="2"/>
          </rPr>
          <t>Using HEV as a placeholder for CS PHEV operation</t>
        </r>
      </text>
    </comment>
    <comment ref="F10222" authorId="0" shapeId="0" xr:uid="{304CA094-CFF0-4DB6-B36B-5B2BA2FCC6F6}">
      <text>
        <r>
          <rPr>
            <sz val="9"/>
            <color indexed="81"/>
            <rFont val="Tahoma"/>
            <family val="2"/>
          </rPr>
          <t>Using HEV as a placeholder for CS PHEV operation</t>
        </r>
      </text>
    </comment>
    <comment ref="F10223" authorId="0" shapeId="0" xr:uid="{FB6A63ED-1072-4106-B8CB-F0810D02A72F}">
      <text>
        <r>
          <rPr>
            <sz val="9"/>
            <color indexed="81"/>
            <rFont val="Tahoma"/>
            <family val="2"/>
          </rPr>
          <t>Using HEV as a placeholder for CS PHEV operation</t>
        </r>
      </text>
    </comment>
    <comment ref="F10224" authorId="0" shapeId="0" xr:uid="{771416D5-0FD7-4888-B6A5-56C3B7BB89B2}">
      <text>
        <r>
          <rPr>
            <sz val="9"/>
            <color indexed="81"/>
            <rFont val="Tahoma"/>
            <family val="2"/>
          </rPr>
          <t>Using HEV as a placeholder for CS EREV operation</t>
        </r>
      </text>
    </comment>
    <comment ref="F10225" authorId="0" shapeId="0" xr:uid="{62883EB7-5E63-4269-83E5-C3E947970303}">
      <text>
        <r>
          <rPr>
            <sz val="9"/>
            <color indexed="81"/>
            <rFont val="Tahoma"/>
            <family val="2"/>
          </rPr>
          <t>Using HEV as a placeholder for CS EREV operation</t>
        </r>
      </text>
    </comment>
    <comment ref="F10226" authorId="0" shapeId="0" xr:uid="{49F99F34-E89C-41D7-80F1-968587F8C74D}">
      <text>
        <r>
          <rPr>
            <sz val="9"/>
            <color indexed="81"/>
            <rFont val="Tahoma"/>
            <family val="2"/>
          </rPr>
          <t>Using HEV as a placeholder for CS EREV operation</t>
        </r>
      </text>
    </comment>
    <comment ref="F10227" authorId="0" shapeId="0" xr:uid="{516FA470-94E9-49CF-99D3-C351EBB3E82D}">
      <text>
        <r>
          <rPr>
            <sz val="9"/>
            <color indexed="81"/>
            <rFont val="Tahoma"/>
            <family val="2"/>
          </rPr>
          <t>Using HEV as a placeholder for CS EREV operation</t>
        </r>
      </text>
    </comment>
    <comment ref="F10228" authorId="0" shapeId="0" xr:uid="{6BB2766A-D090-49B1-8674-59A9FA88DCE7}">
      <text>
        <r>
          <rPr>
            <sz val="9"/>
            <color indexed="81"/>
            <rFont val="Tahoma"/>
            <family val="2"/>
          </rPr>
          <t>Using HEV as a placeholder for CS EREV operation</t>
        </r>
      </text>
    </comment>
    <comment ref="F10229" authorId="0" shapeId="0" xr:uid="{31E93526-9233-419A-B4BB-40A9029B03D6}">
      <text>
        <r>
          <rPr>
            <sz val="9"/>
            <color indexed="81"/>
            <rFont val="Tahoma"/>
            <family val="2"/>
          </rPr>
          <t>Using HEV as a placeholder for CS EREV operation</t>
        </r>
      </text>
    </comment>
    <comment ref="F10230" authorId="0" shapeId="0" xr:uid="{494FD6CC-967C-4D08-9AA5-3F42910C9386}">
      <text>
        <r>
          <rPr>
            <sz val="9"/>
            <color indexed="81"/>
            <rFont val="Tahoma"/>
            <family val="2"/>
          </rPr>
          <t>Using HEV as a placeholder for CS EREV operation</t>
        </r>
      </text>
    </comment>
    <comment ref="F10231" authorId="0" shapeId="0" xr:uid="{BC12EAC7-1973-4F7C-8D1B-E23E7380CB54}">
      <text>
        <r>
          <rPr>
            <sz val="9"/>
            <color indexed="81"/>
            <rFont val="Tahoma"/>
            <family val="2"/>
          </rPr>
          <t>Using HEV as a placeholder for CS EREV operation</t>
        </r>
      </text>
    </comment>
    <comment ref="F10232" authorId="0" shapeId="0" xr:uid="{4CFC5926-63B5-4CF1-A750-A4A8F69E0E74}">
      <text>
        <r>
          <rPr>
            <sz val="9"/>
            <color indexed="81"/>
            <rFont val="Tahoma"/>
            <family val="2"/>
          </rPr>
          <t>Using HEV as a placeholder for CS EREV operation</t>
        </r>
      </text>
    </comment>
    <comment ref="F10233" authorId="0" shapeId="0" xr:uid="{FCE1F19B-5195-4CC7-A357-B39B40383542}">
      <text>
        <r>
          <rPr>
            <sz val="9"/>
            <color indexed="81"/>
            <rFont val="Tahoma"/>
            <family val="2"/>
          </rPr>
          <t>Using HEV as a placeholder for CS EREV operation</t>
        </r>
      </text>
    </comment>
    <comment ref="F10234" authorId="0" shapeId="0" xr:uid="{5ED18FDA-059F-4C7F-BA97-EC125C9DB1C9}">
      <text>
        <r>
          <rPr>
            <sz val="9"/>
            <color indexed="81"/>
            <rFont val="Tahoma"/>
            <family val="2"/>
          </rPr>
          <t>Using HEV as a placeholder for CS EREV operation</t>
        </r>
      </text>
    </comment>
    <comment ref="F10235" authorId="0" shapeId="0" xr:uid="{D0700126-E3AD-4A85-988D-62F94699816F}">
      <text>
        <r>
          <rPr>
            <sz val="9"/>
            <color indexed="81"/>
            <rFont val="Tahoma"/>
            <family val="2"/>
          </rPr>
          <t>Using HEV as a placeholder for CS EREV operation</t>
        </r>
      </text>
    </comment>
    <comment ref="F10236" authorId="0" shapeId="0" xr:uid="{7B4760A9-ECD7-4450-8ED6-99C13580A749}">
      <text>
        <r>
          <rPr>
            <sz val="9"/>
            <color indexed="81"/>
            <rFont val="Tahoma"/>
            <family val="2"/>
          </rPr>
          <t>Using HEV as a placeholder for CS EREV operation</t>
        </r>
      </text>
    </comment>
    <comment ref="F10237" authorId="0" shapeId="0" xr:uid="{9851FF6C-0A3F-4478-B03F-5C6868E3CF6C}">
      <text>
        <r>
          <rPr>
            <sz val="9"/>
            <color indexed="81"/>
            <rFont val="Tahoma"/>
            <family val="2"/>
          </rPr>
          <t>Using HEV as a placeholder for CS EREV operation</t>
        </r>
      </text>
    </comment>
    <comment ref="F10238" authorId="0" shapeId="0" xr:uid="{5DB87FA5-A1E8-4041-A07F-7499CACBAE05}">
      <text>
        <r>
          <rPr>
            <sz val="9"/>
            <color indexed="81"/>
            <rFont val="Tahoma"/>
            <family val="2"/>
          </rPr>
          <t>Using HEV as a placeholder for CS EREV operation</t>
        </r>
      </text>
    </comment>
    <comment ref="F10239" authorId="0" shapeId="0" xr:uid="{D25BFD0B-4B9B-4BD9-8504-394749BA7864}">
      <text>
        <r>
          <rPr>
            <sz val="9"/>
            <color indexed="81"/>
            <rFont val="Tahoma"/>
            <family val="2"/>
          </rPr>
          <t>Using HEV as a placeholder for CS EREV operation</t>
        </r>
      </text>
    </comment>
    <comment ref="F10240" authorId="0" shapeId="0" xr:uid="{D4E85C54-8C74-4C45-A950-7A764B072524}">
      <text>
        <r>
          <rPr>
            <sz val="9"/>
            <color indexed="81"/>
            <rFont val="Tahoma"/>
            <family val="2"/>
          </rPr>
          <t>Using HEV as a placeholder for CS EREV operation</t>
        </r>
      </text>
    </comment>
    <comment ref="F10241" authorId="0" shapeId="0" xr:uid="{2720D0FA-4EE8-4B2E-8DF1-4E6233E6E37C}">
      <text>
        <r>
          <rPr>
            <sz val="9"/>
            <color indexed="81"/>
            <rFont val="Tahoma"/>
            <family val="2"/>
          </rPr>
          <t>Using HEV as a placeholder for CS EREV operation</t>
        </r>
      </text>
    </comment>
    <comment ref="F10242" authorId="0" shapeId="0" xr:uid="{41C581C1-BFF6-4EE6-9A40-5F418C4A00B6}">
      <text>
        <r>
          <rPr>
            <sz val="9"/>
            <color indexed="81"/>
            <rFont val="Tahoma"/>
            <family val="2"/>
          </rPr>
          <t>Using HEV as a placeholder for CS EREV operation</t>
        </r>
      </text>
    </comment>
    <comment ref="F10243" authorId="0" shapeId="0" xr:uid="{167137E2-E055-4836-860A-242C7A874111}">
      <text>
        <r>
          <rPr>
            <sz val="9"/>
            <color indexed="81"/>
            <rFont val="Tahoma"/>
            <family val="2"/>
          </rPr>
          <t>Using HEV as a placeholder for CS EREV operation</t>
        </r>
      </text>
    </comment>
    <comment ref="F10244" authorId="0" shapeId="0" xr:uid="{1337C473-4ED2-4E19-B396-C8877EB3C572}">
      <text>
        <r>
          <rPr>
            <sz val="9"/>
            <color indexed="81"/>
            <rFont val="Tahoma"/>
            <family val="2"/>
          </rPr>
          <t>Using HEV as a placeholder for CS EREV operation</t>
        </r>
      </text>
    </comment>
    <comment ref="F10245" authorId="0" shapeId="0" xr:uid="{5E979ACC-A904-485D-BE7B-12E2204C901A}">
      <text>
        <r>
          <rPr>
            <sz val="9"/>
            <color indexed="81"/>
            <rFont val="Tahoma"/>
            <family val="2"/>
          </rPr>
          <t>Using HEV as a placeholder for CS EREV operation</t>
        </r>
      </text>
    </comment>
    <comment ref="F10246" authorId="0" shapeId="0" xr:uid="{B6A828CD-D627-41FF-8540-2904BF09EB00}">
      <text>
        <r>
          <rPr>
            <sz val="9"/>
            <color indexed="81"/>
            <rFont val="Tahoma"/>
            <family val="2"/>
          </rPr>
          <t>Using HEV as a placeholder for CS EREV operation</t>
        </r>
      </text>
    </comment>
    <comment ref="F10247" authorId="0" shapeId="0" xr:uid="{FB04E665-1C1A-4874-A6A8-8EC213F22A8D}">
      <text>
        <r>
          <rPr>
            <sz val="9"/>
            <color indexed="81"/>
            <rFont val="Tahoma"/>
            <family val="2"/>
          </rPr>
          <t>Using HEV as a placeholder for CS EREV operation</t>
        </r>
      </text>
    </comment>
    <comment ref="F10248" authorId="0" shapeId="0" xr:uid="{6CC1B2A0-C80D-4E0C-B33A-42C45D017CAF}">
      <text>
        <r>
          <rPr>
            <sz val="9"/>
            <color indexed="81"/>
            <rFont val="Tahoma"/>
            <family val="2"/>
          </rPr>
          <t>Using HEV as a placeholder for CS EREV operation</t>
        </r>
      </text>
    </comment>
    <comment ref="F10249" authorId="0" shapeId="0" xr:uid="{1A3CB10F-8DE3-4EFD-8C74-F24B764EB1F2}">
      <text>
        <r>
          <rPr>
            <sz val="9"/>
            <color indexed="81"/>
            <rFont val="Tahoma"/>
            <family val="2"/>
          </rPr>
          <t>Using HEV as a placeholder for CS EREV operation</t>
        </r>
      </text>
    </comment>
    <comment ref="F10250" authorId="0" shapeId="0" xr:uid="{77E36B10-0215-47A5-8AF5-347B14C47357}">
      <text>
        <r>
          <rPr>
            <sz val="9"/>
            <color indexed="81"/>
            <rFont val="Tahoma"/>
            <family val="2"/>
          </rPr>
          <t>Using HEV as a placeholder for CS EREV operation</t>
        </r>
      </text>
    </comment>
    <comment ref="F10251" authorId="0" shapeId="0" xr:uid="{340B6EB5-D75B-4B71-AAD5-0170BFCFD286}">
      <text>
        <r>
          <rPr>
            <sz val="9"/>
            <color indexed="81"/>
            <rFont val="Tahoma"/>
            <family val="2"/>
          </rPr>
          <t>Using HEV as a placeholder for CS EREV operation</t>
        </r>
      </text>
    </comment>
    <comment ref="F10252" authorId="0" shapeId="0" xr:uid="{B053ED3B-B540-4EFC-9BDD-327CE34B7377}">
      <text>
        <r>
          <rPr>
            <sz val="9"/>
            <color indexed="81"/>
            <rFont val="Tahoma"/>
            <family val="2"/>
          </rPr>
          <t>Using HEV as a placeholder for CS EREV operation</t>
        </r>
      </text>
    </comment>
    <comment ref="F10253" authorId="0" shapeId="0" xr:uid="{1A39D735-AA58-4D6F-B2DD-8F926F5A76C8}">
      <text>
        <r>
          <rPr>
            <sz val="9"/>
            <color indexed="81"/>
            <rFont val="Tahoma"/>
            <family val="2"/>
          </rPr>
          <t>Using HEV as a placeholder for CS EREV operation</t>
        </r>
      </text>
    </comment>
    <comment ref="F10254" authorId="0" shapeId="0" xr:uid="{D5FB1FFD-7D45-4B49-A341-0344F7BD7BC9}">
      <text>
        <r>
          <rPr>
            <sz val="9"/>
            <color indexed="81"/>
            <rFont val="Tahoma"/>
            <family val="2"/>
          </rPr>
          <t>Using HEV as a placeholder for CS EREV operation</t>
        </r>
      </text>
    </comment>
    <comment ref="F10255" authorId="0" shapeId="0" xr:uid="{DC95A434-D137-4953-A766-90647546C450}">
      <text>
        <r>
          <rPr>
            <sz val="9"/>
            <color indexed="81"/>
            <rFont val="Tahoma"/>
            <family val="2"/>
          </rPr>
          <t>Using HEV as a placeholder for CS EREV operation</t>
        </r>
      </text>
    </comment>
    <comment ref="F10256" authorId="0" shapeId="0" xr:uid="{43AC574B-D400-40DE-8A16-8E26067663DA}">
      <text>
        <r>
          <rPr>
            <sz val="9"/>
            <color indexed="81"/>
            <rFont val="Tahoma"/>
            <family val="2"/>
          </rPr>
          <t>Using HEV as a placeholder for CS EREV operation</t>
        </r>
      </text>
    </comment>
    <comment ref="F10257" authorId="0" shapeId="0" xr:uid="{8FDFA991-4126-48EE-833E-1852A5C0003A}">
      <text>
        <r>
          <rPr>
            <sz val="9"/>
            <color indexed="81"/>
            <rFont val="Tahoma"/>
            <family val="2"/>
          </rPr>
          <t>Using HEV as a placeholder for CS EREV operation</t>
        </r>
      </text>
    </comment>
    <comment ref="F10258" authorId="0" shapeId="0" xr:uid="{A287610E-1146-435C-8FD3-1E2950D80EB5}">
      <text>
        <r>
          <rPr>
            <sz val="9"/>
            <color indexed="81"/>
            <rFont val="Tahoma"/>
            <family val="2"/>
          </rPr>
          <t>Using HEV as a placeholder for CS EREV operation</t>
        </r>
      </text>
    </comment>
    <comment ref="F10259" authorId="0" shapeId="0" xr:uid="{F5A87D75-A675-42C8-9B92-6F498B851DEA}">
      <text>
        <r>
          <rPr>
            <sz val="9"/>
            <color indexed="81"/>
            <rFont val="Tahoma"/>
            <family val="2"/>
          </rPr>
          <t>Using HEV as a placeholder for CS EREV operation</t>
        </r>
      </text>
    </comment>
    <comment ref="F10260" authorId="0" shapeId="0" xr:uid="{77902510-2580-4102-844D-F220BAD04EC8}">
      <text>
        <r>
          <rPr>
            <sz val="9"/>
            <color indexed="81"/>
            <rFont val="Tahoma"/>
            <family val="2"/>
          </rPr>
          <t>Using HEV as a placeholder for CS EREV operation</t>
        </r>
      </text>
    </comment>
    <comment ref="F10261" authorId="0" shapeId="0" xr:uid="{6166C454-E180-4B58-A99B-DA2AA6FD21CA}">
      <text>
        <r>
          <rPr>
            <sz val="9"/>
            <color indexed="81"/>
            <rFont val="Tahoma"/>
            <family val="2"/>
          </rPr>
          <t>Using HEV as a placeholder for CS EREV operation</t>
        </r>
      </text>
    </comment>
    <comment ref="F10262" authorId="0" shapeId="0" xr:uid="{D366364C-6322-4954-A968-FBDC9DCCA10B}">
      <text>
        <r>
          <rPr>
            <sz val="9"/>
            <color indexed="81"/>
            <rFont val="Tahoma"/>
            <family val="2"/>
          </rPr>
          <t>Using HEV as a placeholder for CS EREV operation</t>
        </r>
      </text>
    </comment>
    <comment ref="F10263" authorId="0" shapeId="0" xr:uid="{9E21DAA4-A0E2-48DD-8D48-60BAE3849A4A}">
      <text>
        <r>
          <rPr>
            <sz val="9"/>
            <color indexed="81"/>
            <rFont val="Tahoma"/>
            <family val="2"/>
          </rPr>
          <t>Using HEV as a placeholder for CS EREV operation</t>
        </r>
      </text>
    </comment>
    <comment ref="F10264" authorId="0" shapeId="0" xr:uid="{8E9A1F1D-6AF8-47E0-BE16-0778409BA31F}">
      <text>
        <r>
          <rPr>
            <sz val="9"/>
            <color indexed="81"/>
            <rFont val="Tahoma"/>
            <family val="2"/>
          </rPr>
          <t>Using HEV as a placeholder for CS EREV operation</t>
        </r>
      </text>
    </comment>
    <comment ref="F10265" authorId="0" shapeId="0" xr:uid="{0246F355-F97B-43D1-94BE-B530CB2E54B3}">
      <text>
        <r>
          <rPr>
            <sz val="9"/>
            <color indexed="81"/>
            <rFont val="Tahoma"/>
            <family val="2"/>
          </rPr>
          <t>Using HEV as a placeholder for CS EREV operation</t>
        </r>
      </text>
    </comment>
    <comment ref="F10266" authorId="0" shapeId="0" xr:uid="{EBAC93A9-B4D9-46A7-B7E3-4CC751FB7EE1}">
      <text>
        <r>
          <rPr>
            <sz val="9"/>
            <color indexed="81"/>
            <rFont val="Tahoma"/>
            <family val="2"/>
          </rPr>
          <t>Using HEV as a placeholder for CS EREV operation</t>
        </r>
      </text>
    </comment>
    <comment ref="F10267" authorId="0" shapeId="0" xr:uid="{02A821EE-6371-445E-8BD0-35EA3E5D20C0}">
      <text>
        <r>
          <rPr>
            <sz val="9"/>
            <color indexed="81"/>
            <rFont val="Tahoma"/>
            <family val="2"/>
          </rPr>
          <t>Using HEV as a placeholder for CS EREV operation</t>
        </r>
      </text>
    </comment>
    <comment ref="F10268" authorId="0" shapeId="0" xr:uid="{7922B70A-5F31-4CE6-A269-8CDBDC06D5B8}">
      <text>
        <r>
          <rPr>
            <sz val="9"/>
            <color indexed="81"/>
            <rFont val="Tahoma"/>
            <family val="2"/>
          </rPr>
          <t>Using HEV as a placeholder for CS EREV operation</t>
        </r>
      </text>
    </comment>
    <comment ref="F10269" authorId="0" shapeId="0" xr:uid="{469A5BD2-86A9-4459-A7B1-A11D102B33FF}">
      <text>
        <r>
          <rPr>
            <sz val="9"/>
            <color indexed="81"/>
            <rFont val="Tahoma"/>
            <family val="2"/>
          </rPr>
          <t>Using HEV as a placeholder for CS EREV operation</t>
        </r>
      </text>
    </comment>
    <comment ref="F10270" authorId="0" shapeId="0" xr:uid="{2D346711-4F47-4AB2-9050-3CDA48110842}">
      <text>
        <r>
          <rPr>
            <sz val="9"/>
            <color indexed="81"/>
            <rFont val="Tahoma"/>
            <family val="2"/>
          </rPr>
          <t>Using HEV as a placeholder for CS EREV operation</t>
        </r>
      </text>
    </comment>
    <comment ref="F10271" authorId="0" shapeId="0" xr:uid="{B2E3E348-713D-42AC-A5A9-77E656A46B44}">
      <text>
        <r>
          <rPr>
            <sz val="9"/>
            <color indexed="81"/>
            <rFont val="Tahoma"/>
            <family val="2"/>
          </rPr>
          <t>Using HEV as a placeholder for CS EREV operation</t>
        </r>
      </text>
    </comment>
    <comment ref="F10272" authorId="0" shapeId="0" xr:uid="{7EEEFDCD-1462-443A-8571-DF4371F4ECD3}">
      <text>
        <r>
          <rPr>
            <sz val="9"/>
            <color indexed="81"/>
            <rFont val="Tahoma"/>
            <family val="2"/>
          </rPr>
          <t>Using HEV as a placeholder for CS EREV operation</t>
        </r>
      </text>
    </comment>
    <comment ref="F10273" authorId="0" shapeId="0" xr:uid="{42DB1869-9729-425D-8799-BBF1F1FAAA65}">
      <text>
        <r>
          <rPr>
            <sz val="9"/>
            <color indexed="81"/>
            <rFont val="Tahoma"/>
            <family val="2"/>
          </rPr>
          <t>Using HEV as a placeholder for CS EREV operation</t>
        </r>
      </text>
    </comment>
    <comment ref="F10274" authorId="0" shapeId="0" xr:uid="{F78914DF-659B-4C43-BE13-05C20EACB14F}">
      <text>
        <r>
          <rPr>
            <sz val="9"/>
            <color indexed="81"/>
            <rFont val="Tahoma"/>
            <family val="2"/>
          </rPr>
          <t>Using HEV as a placeholder for CS EREV operation</t>
        </r>
      </text>
    </comment>
    <comment ref="F10275" authorId="0" shapeId="0" xr:uid="{86F6C896-F280-4E1E-9DB5-5D687826BBF1}">
      <text>
        <r>
          <rPr>
            <sz val="9"/>
            <color indexed="81"/>
            <rFont val="Tahoma"/>
            <family val="2"/>
          </rPr>
          <t>Using HEV as a placeholder for CS EREV operation</t>
        </r>
      </text>
    </comment>
    <comment ref="F10276" authorId="0" shapeId="0" xr:uid="{C84E8181-419C-4A3C-8105-ED494ABBE9B2}">
      <text>
        <r>
          <rPr>
            <sz val="9"/>
            <color indexed="81"/>
            <rFont val="Tahoma"/>
            <family val="2"/>
          </rPr>
          <t>Using HEV as a placeholder for CS EREV operation</t>
        </r>
      </text>
    </comment>
    <comment ref="F10277" authorId="0" shapeId="0" xr:uid="{7D1EE118-E6C9-48F6-AF38-40FA205FF71F}">
      <text>
        <r>
          <rPr>
            <sz val="9"/>
            <color indexed="81"/>
            <rFont val="Tahoma"/>
            <family val="2"/>
          </rPr>
          <t>Using HEV as a placeholder for CS EREV operation</t>
        </r>
      </text>
    </comment>
    <comment ref="F10278" authorId="0" shapeId="0" xr:uid="{F4809AC1-F46F-4085-9977-6816F89CBC25}">
      <text>
        <r>
          <rPr>
            <sz val="9"/>
            <color indexed="81"/>
            <rFont val="Tahoma"/>
            <family val="2"/>
          </rPr>
          <t>Using HEV as a placeholder for CS EREV operation</t>
        </r>
      </text>
    </comment>
    <comment ref="F10279" authorId="0" shapeId="0" xr:uid="{0BB872DB-E731-429A-8AAF-880D0B2B9B0F}">
      <text>
        <r>
          <rPr>
            <sz val="9"/>
            <color indexed="81"/>
            <rFont val="Tahoma"/>
            <family val="2"/>
          </rPr>
          <t>Using HEV as a placeholder for CS EREV operation</t>
        </r>
      </text>
    </comment>
    <comment ref="F10280" authorId="0" shapeId="0" xr:uid="{763C83CC-0096-4A2E-BB02-36B9838AAD5E}">
      <text>
        <r>
          <rPr>
            <sz val="9"/>
            <color indexed="81"/>
            <rFont val="Tahoma"/>
            <family val="2"/>
          </rPr>
          <t>Using HEV as a placeholder for CS EREV operation</t>
        </r>
      </text>
    </comment>
    <comment ref="F10281" authorId="0" shapeId="0" xr:uid="{13B3737F-0BDE-47C8-A4E3-2EC072B023A1}">
      <text>
        <r>
          <rPr>
            <sz val="9"/>
            <color indexed="81"/>
            <rFont val="Tahoma"/>
            <family val="2"/>
          </rPr>
          <t>Using HEV as a placeholder for CS EREV operation</t>
        </r>
      </text>
    </comment>
    <comment ref="F10282" authorId="0" shapeId="0" xr:uid="{4997C7F7-C7F8-4598-9C23-E94D612DB40D}">
      <text>
        <r>
          <rPr>
            <sz val="9"/>
            <color indexed="81"/>
            <rFont val="Tahoma"/>
            <family val="2"/>
          </rPr>
          <t>Using HEV as a placeholder for CS EREV operation</t>
        </r>
      </text>
    </comment>
    <comment ref="F10283" authorId="0" shapeId="0" xr:uid="{5E8EF836-B787-428E-BDB1-1453AB873B7A}">
      <text>
        <r>
          <rPr>
            <sz val="9"/>
            <color indexed="81"/>
            <rFont val="Tahoma"/>
            <family val="2"/>
          </rPr>
          <t>Using HEV as a placeholder for CS EREV operation</t>
        </r>
      </text>
    </comment>
    <comment ref="F10284" authorId="0" shapeId="0" xr:uid="{B51068C6-9DC0-4085-9E95-8FFA803C4353}">
      <text>
        <r>
          <rPr>
            <sz val="9"/>
            <color indexed="81"/>
            <rFont val="Tahoma"/>
            <family val="2"/>
          </rPr>
          <t>Using HEV as a placeholder for CS EREV operation</t>
        </r>
      </text>
    </comment>
    <comment ref="F10285" authorId="0" shapeId="0" xr:uid="{E7019FB4-88E4-4200-9CD9-10397CEC5B9D}">
      <text>
        <r>
          <rPr>
            <sz val="9"/>
            <color indexed="81"/>
            <rFont val="Tahoma"/>
            <family val="2"/>
          </rPr>
          <t>Using HEV as a placeholder for CS EREV operation</t>
        </r>
      </text>
    </comment>
    <comment ref="F10286" authorId="0" shapeId="0" xr:uid="{A4879EDF-58BF-429E-9793-B3EF9676ED0B}">
      <text>
        <r>
          <rPr>
            <sz val="9"/>
            <color indexed="81"/>
            <rFont val="Tahoma"/>
            <family val="2"/>
          </rPr>
          <t>Using HEV as a placeholder for CS EREV operation</t>
        </r>
      </text>
    </comment>
    <comment ref="F10287" authorId="0" shapeId="0" xr:uid="{3D8C5C6D-6752-4D5A-B5A8-A0C5DC51B951}">
      <text>
        <r>
          <rPr>
            <sz val="9"/>
            <color indexed="81"/>
            <rFont val="Tahoma"/>
            <family val="2"/>
          </rPr>
          <t>Using HEV as a placeholder for CS EREV operation</t>
        </r>
      </text>
    </comment>
    <comment ref="F10288" authorId="0" shapeId="0" xr:uid="{77864D2A-ED1D-4752-9948-A31E9B890369}">
      <text>
        <r>
          <rPr>
            <sz val="9"/>
            <color indexed="81"/>
            <rFont val="Tahoma"/>
            <family val="2"/>
          </rPr>
          <t>Using HEV as a placeholder for CS EREV operation</t>
        </r>
      </text>
    </comment>
    <comment ref="F10289" authorId="0" shapeId="0" xr:uid="{3785A3B7-63D1-444D-AC10-A94CCF9488EC}">
      <text>
        <r>
          <rPr>
            <sz val="9"/>
            <color indexed="81"/>
            <rFont val="Tahoma"/>
            <family val="2"/>
          </rPr>
          <t>Using HEV as a placeholder for CS EREV operation</t>
        </r>
      </text>
    </comment>
    <comment ref="F10290" authorId="0" shapeId="0" xr:uid="{03EB6C6B-941C-4BB7-89AE-F0D62AF56DB0}">
      <text>
        <r>
          <rPr>
            <sz val="9"/>
            <color indexed="81"/>
            <rFont val="Tahoma"/>
            <family val="2"/>
          </rPr>
          <t>Using HEV as a placeholder for CS EREV operation</t>
        </r>
      </text>
    </comment>
    <comment ref="F10291" authorId="0" shapeId="0" xr:uid="{15E75202-A573-4AFD-A338-35163C626057}">
      <text>
        <r>
          <rPr>
            <sz val="9"/>
            <color indexed="81"/>
            <rFont val="Tahoma"/>
            <family val="2"/>
          </rPr>
          <t>Using HEV as a placeholder for CS EREV operation</t>
        </r>
      </text>
    </comment>
    <comment ref="F10292" authorId="0" shapeId="0" xr:uid="{CC9A984F-3593-4571-B1E6-63B05A065C46}">
      <text>
        <r>
          <rPr>
            <sz val="9"/>
            <color indexed="81"/>
            <rFont val="Tahoma"/>
            <family val="2"/>
          </rPr>
          <t>Using HEV as a placeholder for CS EREV operation</t>
        </r>
      </text>
    </comment>
    <comment ref="F10293" authorId="0" shapeId="0" xr:uid="{AE715220-F481-464A-B086-9AAEF034197C}">
      <text>
        <r>
          <rPr>
            <sz val="9"/>
            <color indexed="81"/>
            <rFont val="Tahoma"/>
            <family val="2"/>
          </rPr>
          <t>Using HEV as a placeholder for CS EREV operation</t>
        </r>
      </text>
    </comment>
    <comment ref="F10294" authorId="0" shapeId="0" xr:uid="{ACE81E77-D58E-4E06-B7B3-61DB5E9ECD88}">
      <text>
        <r>
          <rPr>
            <sz val="9"/>
            <color indexed="81"/>
            <rFont val="Tahoma"/>
            <family val="2"/>
          </rPr>
          <t>Using HEV as a placeholder for CS EREV operation</t>
        </r>
      </text>
    </comment>
    <comment ref="F10295" authorId="0" shapeId="0" xr:uid="{D0EC42F5-52B7-4533-9D2D-F157F023784E}">
      <text>
        <r>
          <rPr>
            <sz val="9"/>
            <color indexed="81"/>
            <rFont val="Tahoma"/>
            <family val="2"/>
          </rPr>
          <t>Using HEV as a placeholder for CS EREV operation</t>
        </r>
      </text>
    </comment>
    <comment ref="F10296" authorId="0" shapeId="0" xr:uid="{2ED86312-5E50-437F-AE03-4C742DB64971}">
      <text>
        <r>
          <rPr>
            <sz val="9"/>
            <color indexed="81"/>
            <rFont val="Tahoma"/>
            <family val="2"/>
          </rPr>
          <t>Using HEV as a placeholder for CS EREV operation</t>
        </r>
      </text>
    </comment>
    <comment ref="F10297" authorId="0" shapeId="0" xr:uid="{61B5C328-F4BA-4794-AAA2-DE21A5042A06}">
      <text>
        <r>
          <rPr>
            <sz val="9"/>
            <color indexed="81"/>
            <rFont val="Tahoma"/>
            <family val="2"/>
          </rPr>
          <t>Using HEV as a placeholder for CS EREV operation</t>
        </r>
      </text>
    </comment>
    <comment ref="F10298" authorId="0" shapeId="0" xr:uid="{87DBC3A8-CA26-482A-B044-AADFDF5D4124}">
      <text>
        <r>
          <rPr>
            <sz val="9"/>
            <color indexed="81"/>
            <rFont val="Tahoma"/>
            <family val="2"/>
          </rPr>
          <t>Using HEV as a placeholder for CS EREV operation</t>
        </r>
      </text>
    </comment>
    <comment ref="F10299" authorId="0" shapeId="0" xr:uid="{DE2D4F4F-12B1-4DC1-90D4-2D6BD5BEA53E}">
      <text>
        <r>
          <rPr>
            <sz val="9"/>
            <color indexed="81"/>
            <rFont val="Tahoma"/>
            <family val="2"/>
          </rPr>
          <t>Using HEV as a placeholder for CS EREV operation</t>
        </r>
      </text>
    </comment>
    <comment ref="F10300" authorId="0" shapeId="0" xr:uid="{FBB203DE-DA2E-4798-87F8-F02266642C03}">
      <text>
        <r>
          <rPr>
            <sz val="9"/>
            <color indexed="81"/>
            <rFont val="Tahoma"/>
            <family val="2"/>
          </rPr>
          <t>Using HEV as a placeholder for CS EREV operation</t>
        </r>
      </text>
    </comment>
    <comment ref="F10301" authorId="0" shapeId="0" xr:uid="{AE730C50-3B0F-4A97-A1F9-35BD68F7211F}">
      <text>
        <r>
          <rPr>
            <sz val="9"/>
            <color indexed="81"/>
            <rFont val="Tahoma"/>
            <family val="2"/>
          </rPr>
          <t>Using HEV as a placeholder for CS EREV operation</t>
        </r>
      </text>
    </comment>
    <comment ref="F10302" authorId="0" shapeId="0" xr:uid="{0DCEF10C-C76F-4654-8566-09B1944DEF66}">
      <text>
        <r>
          <rPr>
            <sz val="9"/>
            <color indexed="81"/>
            <rFont val="Tahoma"/>
            <family val="2"/>
          </rPr>
          <t>Using HEV as a placeholder for CS EREV operation</t>
        </r>
      </text>
    </comment>
    <comment ref="F10303" authorId="0" shapeId="0" xr:uid="{5D92795E-AB43-41CF-9671-118BA1A7406E}">
      <text>
        <r>
          <rPr>
            <sz val="9"/>
            <color indexed="81"/>
            <rFont val="Tahoma"/>
            <family val="2"/>
          </rPr>
          <t>Using HEV as a placeholder for CS EREV operation</t>
        </r>
      </text>
    </comment>
    <comment ref="B10454" authorId="0" shapeId="0" xr:uid="{F6F93286-0392-4F3C-9866-2CAA9BF7C789}">
      <text>
        <r>
          <rPr>
            <sz val="9"/>
            <color indexed="81"/>
            <rFont val="Tahoma"/>
            <family val="2"/>
          </rPr>
          <t>Air pollutant county (and petroleum and GHG) costs have no formatting
Air pollutant national averages are underlined and italic</t>
        </r>
      </text>
    </comment>
    <comment ref="C10898" authorId="0" shapeId="0" xr:uid="{8B78D8F2-97C1-4CF7-88BB-EAADAC962100}">
      <text>
        <r>
          <rPr>
            <sz val="9"/>
            <color indexed="81"/>
            <rFont val="Tahoma"/>
            <family val="2"/>
          </rPr>
          <t>Dade County, FL (formerly 12025) changed its name to Miami-Dade (now 12086)</t>
        </r>
      </text>
    </comment>
    <comment ref="D10898" authorId="0" shapeId="0" xr:uid="{C1669761-5B8E-4A53-8A25-0B095409A0D9}">
      <text>
        <r>
          <rPr>
            <sz val="9"/>
            <color indexed="81"/>
            <rFont val="Tahoma"/>
            <family val="2"/>
          </rPr>
          <t>Dade County, FL (formerly 12025) changed its name to Miami-Dade (now 12086)</t>
        </r>
      </text>
    </comment>
    <comment ref="C13487" authorId="0" shapeId="0" xr:uid="{352052AB-BA37-447F-8BD4-BB98DD7EC5B5}">
      <text>
        <r>
          <rPr>
            <sz val="9"/>
            <color indexed="81"/>
            <rFont val="Tahoma"/>
            <family val="2"/>
          </rPr>
          <t xml:space="preserve">The city of Clifton Forge (51560) was incorporated into Allegheny County (51005). </t>
        </r>
      </text>
    </comment>
    <comment ref="D13487" authorId="0" shapeId="0" xr:uid="{1B141BF0-4E69-48A1-A718-33A0A0B0BCBB}">
      <text>
        <r>
          <rPr>
            <sz val="9"/>
            <color indexed="81"/>
            <rFont val="Tahoma"/>
            <family val="2"/>
          </rPr>
          <t xml:space="preserve">The city of Clifton Forge (51560) was incorporated into Allegheny County (51005). </t>
        </r>
      </text>
    </comment>
  </commentList>
</comments>
</file>

<file path=xl/sharedStrings.xml><?xml version="1.0" encoding="utf-8"?>
<sst xmlns="http://schemas.openxmlformats.org/spreadsheetml/2006/main" count="39219" uniqueCount="4040">
  <si>
    <t>TOTAL</t>
  </si>
  <si>
    <t>Month</t>
  </si>
  <si>
    <t>Propane</t>
  </si>
  <si>
    <t>Year</t>
  </si>
  <si>
    <t>Gasoline</t>
  </si>
  <si>
    <t>Diesel</t>
  </si>
  <si>
    <t>Biodiesel</t>
  </si>
  <si>
    <t>Electric Vehicles</t>
  </si>
  <si>
    <t>Value</t>
  </si>
  <si>
    <t>Unit</t>
  </si>
  <si>
    <t>Source</t>
  </si>
  <si>
    <t>Number of traffic signals synchronized</t>
  </si>
  <si>
    <t>FE improvements and downsizing</t>
  </si>
  <si>
    <t>Gasoline Use</t>
  </si>
  <si>
    <t>Diesel Use</t>
  </si>
  <si>
    <t>Baseline</t>
  </si>
  <si>
    <t>Transit, rideshare, telecommute</t>
  </si>
  <si>
    <t>percent</t>
  </si>
  <si>
    <t>Scrappage Rate</t>
  </si>
  <si>
    <t>per year</t>
  </si>
  <si>
    <t>signals</t>
  </si>
  <si>
    <t>Biodiesel blend level</t>
  </si>
  <si>
    <t>HDV idle time reduced</t>
  </si>
  <si>
    <t>% LDV miles reduction through transit, rideshare, telecommute</t>
  </si>
  <si>
    <t>Cell Name</t>
  </si>
  <si>
    <t>Post VMT redux # LDVs</t>
  </si>
  <si>
    <t>BAU LDV Fuel Economy</t>
  </si>
  <si>
    <t># new vehicles purchased</t>
  </si>
  <si>
    <t>BAU new LDV gasoline use (assuming vehicles and VMT constant)</t>
  </si>
  <si>
    <t>New vehicle fuel Savings by achieving goal</t>
  </si>
  <si>
    <t>All vehicle annual fuel savings</t>
  </si>
  <si>
    <t>Gasoline Use (post VMT Reduction)</t>
  </si>
  <si>
    <t>Cell</t>
  </si>
  <si>
    <t>Assumed that vehicle # decreases commensurately with VMT</t>
  </si>
  <si>
    <t>LDV_VMT</t>
  </si>
  <si>
    <t>BAU LDV FE</t>
  </si>
  <si>
    <t>Annual improvement in fuel economy of new vehicle purchases</t>
  </si>
  <si>
    <t>FE_Improvement</t>
  </si>
  <si>
    <t>Scrap_Rate</t>
  </si>
  <si>
    <t>Average vehicle age assumed to be 8 years when calculating fuel savings</t>
  </si>
  <si>
    <t>hours per weekday</t>
  </si>
  <si>
    <t>Diesel Trucks</t>
  </si>
  <si>
    <t>Diesel Buses</t>
  </si>
  <si>
    <t>Truck gallons/hour idling</t>
  </si>
  <si>
    <t>Buses gallons/hour idling</t>
  </si>
  <si>
    <t>Assumption</t>
  </si>
  <si>
    <t>bus_idle_flow_rate</t>
  </si>
  <si>
    <t>truck_idle_flow_rate</t>
  </si>
  <si>
    <t>Average gallons saved per signal</t>
  </si>
  <si>
    <t>gallons/year</t>
  </si>
  <si>
    <t>Petroleum Saved Through signal sync (gallons)</t>
  </si>
  <si>
    <t>Signal Synchronization</t>
  </si>
  <si>
    <t>Lowest of three TrafficWare projects</t>
  </si>
  <si>
    <t>Traffic signal synchronization</t>
  </si>
  <si>
    <t>% of LDVs</t>
  </si>
  <si>
    <t>Gasoline reduced thru signal synchro</t>
  </si>
  <si>
    <t>Diesel reduced thru signal synchro</t>
  </si>
  <si>
    <t>by volume</t>
  </si>
  <si>
    <t>Combined Petroleum Use</t>
  </si>
  <si>
    <t>Notes</t>
  </si>
  <si>
    <t>Average annual gasoline increase under BAU</t>
  </si>
  <si>
    <t>Average annual diesel increase under BAU</t>
  </si>
  <si>
    <t>% of total reduction</t>
  </si>
  <si>
    <t>Number</t>
  </si>
  <si>
    <t>lbs waste grease per person</t>
  </si>
  <si>
    <t>lbs waste grease for 1 gallon biodiesel</t>
  </si>
  <si>
    <t>http://www.nrel.gov/docs/fy99osti/26141.pdf</t>
  </si>
  <si>
    <t>calc</t>
  </si>
  <si>
    <t>http://www.aae.wisc.edu/pubs/sps/pdf/stpap481.pdf</t>
  </si>
  <si>
    <t>Fuel Economy</t>
  </si>
  <si>
    <t>% of new LDV purchases to be electric</t>
  </si>
  <si>
    <t># new vehicles purchased after EVs</t>
  </si>
  <si>
    <t>Number of EVs purchased</t>
  </si>
  <si>
    <t>Summary</t>
  </si>
  <si>
    <t>Wedge</t>
  </si>
  <si>
    <t>2020 Goal</t>
  </si>
  <si>
    <t>Miles Reduction</t>
  </si>
  <si>
    <t>Fuel Economy Improvements</t>
  </si>
  <si>
    <t>Goal</t>
  </si>
  <si>
    <t>Traffic Signal Synchronization</t>
  </si>
  <si>
    <t>Both</t>
  </si>
  <si>
    <t>All diesel fuel contains 5% biodiesel</t>
  </si>
  <si>
    <t>Idle Time Reduced</t>
  </si>
  <si>
    <t>All 84 traffic signals are synchronized</t>
  </si>
  <si>
    <t>Fuel economy of new LDVs improves 6% each year</t>
  </si>
  <si>
    <t>Idle time by 45 minutes per day for each HDV</t>
  </si>
  <si>
    <t>Allocation order</t>
  </si>
  <si>
    <t>Fuel reduced</t>
  </si>
  <si>
    <t>smooth</t>
  </si>
  <si>
    <t>delayed</t>
  </si>
  <si>
    <t>LDVs travel 10% less</t>
  </si>
  <si>
    <t>10% of new LDVs to be electric</t>
  </si>
  <si>
    <t>immediate</t>
  </si>
  <si>
    <t>one shot</t>
  </si>
  <si>
    <t>jumps</t>
  </si>
  <si>
    <t>Diesel Use (L)</t>
  </si>
  <si>
    <t>Gasoline Use (L)</t>
  </si>
  <si>
    <t>Combined (L)</t>
  </si>
  <si>
    <t>GREET</t>
  </si>
  <si>
    <t>Diesel lifecycle GHG emissions</t>
  </si>
  <si>
    <t>Petrol lifecycle GHG emissions</t>
  </si>
  <si>
    <t>metric tonne/L</t>
  </si>
  <si>
    <t>Percent Implimentation towards goal</t>
  </si>
  <si>
    <t>FE improvements and HEVs</t>
  </si>
  <si>
    <t>Diesel use per vehicle</t>
  </si>
  <si>
    <t>Petrol use per vehicle</t>
  </si>
  <si>
    <t>L petrol/vehicle</t>
  </si>
  <si>
    <t>L diesel/vehicle</t>
  </si>
  <si>
    <t>kilometers</t>
  </si>
  <si>
    <t>VKT Spreadsheet</t>
  </si>
  <si>
    <t>LDV VKT</t>
  </si>
  <si>
    <t>LDV_Fuel_Econ</t>
  </si>
  <si>
    <t>Petrol_per_vehicle</t>
  </si>
  <si>
    <t>Diesel_per_vehicle</t>
  </si>
  <si>
    <t>Based on 7.3 year lifetime (2016 Census)</t>
  </si>
  <si>
    <t>BAU Petrol Vehicles (post VMT reduction)</t>
  </si>
  <si>
    <t>2030 Goals (relative to BAU)</t>
  </si>
  <si>
    <t>Guam New Fuel Economy (L/100km)</t>
  </si>
  <si>
    <t>VKT per Vehicle</t>
  </si>
  <si>
    <t>L/100km</t>
  </si>
  <si>
    <t>New LDV gasoline use (L)</t>
  </si>
  <si>
    <t>Trucks</t>
  </si>
  <si>
    <t>Buses</t>
  </si>
  <si>
    <t># Diesel Trucks (2016)</t>
  </si>
  <si>
    <t># Diesel Buses (2016)</t>
  </si>
  <si>
    <t>Improvement in new LDV Fuel Economy 2015-2030</t>
  </si>
  <si>
    <t>Annual improvement in LDV Fuel Economy 2019-2030</t>
  </si>
  <si>
    <t>Population of Tonga</t>
  </si>
  <si>
    <t>lbs waste grease on Tonga</t>
  </si>
  <si>
    <t>2016 Census</t>
  </si>
  <si>
    <t>Waste Grease</t>
  </si>
  <si>
    <t>Biodiesel (L) in desired blend level</t>
  </si>
  <si>
    <t>Tonga Vehicles and Fuel Summary</t>
  </si>
  <si>
    <t>Percent Renewable Electricity Generation at 2015</t>
  </si>
  <si>
    <t>Percent Renewable Electricity Generation at 2030</t>
  </si>
  <si>
    <t>EV emissions spreadsheet</t>
  </si>
  <si>
    <t>Renewable penetration</t>
  </si>
  <si>
    <t>EV Effective Reduction in Petroleum Use and GHG Emissions</t>
  </si>
  <si>
    <t>Renewables accounted for?</t>
  </si>
  <si>
    <t>Petroleum reduced by EVs</t>
  </si>
  <si>
    <t>Annual_FE_Improvement</t>
  </si>
  <si>
    <t>Years until goal</t>
  </si>
  <si>
    <t>Goal Fuel Economy</t>
  </si>
  <si>
    <t>CAFÉ was 23.5 (combined) in 2010 and 35.76 in 2017, or 10 L/100km to 6.578 L/100km (34% improvement)</t>
  </si>
  <si>
    <t>GREET Fleet Specifications</t>
  </si>
  <si>
    <t>GREET SOFTWARE COPYRIGHT NOTIFICATION  
© COPYRIGHT 1999 UChicago Argonne, LLC    All rights reserved.  The GREET software, manual and  supporting documentation are protectable under copyright laws of the United States.
GREET Fleet Footprint Calculator is a module of the GREET software and retains the GREET copyright notice.  All rights are reserved to the GREET Fleet Footprint Calculator.
NEITHER THE UNITED STATES GOVERNMENT NOR ANY AGENCY THEREOF, NOR THE UCHICAGO ARGONNE, LLC, NOR ANY OF THEIR EMPLOYEES, MAKES ANY WARRANTY, EXPRESS OR IMPLIED, OR ASSUMES ANY LEGAL LIABILITY OR RESPONSIBILITY FOR THE ACCURACY, COMPLETENESS, OR USEFULNESS OF ANY INFORMATION, APPARATUS, PRODUCT, OR PROCESS DISCLOSED, OR REPRESENTS THAT ITS USE WOULD NOT INFRINGE PRIVATELY OWNED RIGHTS.</t>
  </si>
  <si>
    <t>1. GREET1_2015 Output (10/22/2015)</t>
  </si>
  <si>
    <t>CO2-equiv. GHGs: g/mi, upstream</t>
  </si>
  <si>
    <t>CO2-equiv. GHGs: g/mi, tailpipe</t>
  </si>
  <si>
    <t xml:space="preserve">CO2-equiv GHGs: g/mi, WTW </t>
  </si>
  <si>
    <t>Vehi. Fuel use: Btu/mi</t>
  </si>
  <si>
    <t>WTW Petroleum Use: Btu/mi</t>
  </si>
  <si>
    <t>Water Consumption: gal/mi</t>
  </si>
  <si>
    <t>Biodiesel - Soy (B100)</t>
  </si>
  <si>
    <t>Biodiesel - Algae (B100)</t>
  </si>
  <si>
    <t>Corn Ethanol (E100)</t>
  </si>
  <si>
    <t>Cellulosic Ethanol - Switchgrass (E100)</t>
  </si>
  <si>
    <t>CNG (NA - Conventional)</t>
  </si>
  <si>
    <t>CNG (NA - Shale)</t>
  </si>
  <si>
    <t>CNG (RNG - Wastewater Treatment)</t>
  </si>
  <si>
    <t>CNG (RNG - Landfill)</t>
  </si>
  <si>
    <t>LNG (NA - Conventional)</t>
  </si>
  <si>
    <t>LNG (NA - Shale)</t>
  </si>
  <si>
    <t>LNG (RNG - Wastewater Treatment)</t>
  </si>
  <si>
    <t>LNG (RNG - Landfill)</t>
  </si>
  <si>
    <t>LPG (100% NG)</t>
  </si>
  <si>
    <t>LPG (100% Petrol)</t>
  </si>
  <si>
    <t>Electricity (On-Road Fleet)</t>
  </si>
  <si>
    <t>Electricity (Off-Road Fleet)</t>
  </si>
  <si>
    <t>G.H2 (Refueling Station NG SMR)</t>
  </si>
  <si>
    <t>G.H2 (Central NG SMR)</t>
  </si>
  <si>
    <t>G.H2 (Electrolysis On-Road Fleet)</t>
  </si>
  <si>
    <t>G.H2 (Electrolysis Off-Road Fleet)</t>
  </si>
  <si>
    <t>L.H2 (Refueling Station NG SMR)</t>
  </si>
  <si>
    <t>L.H2 (Central NG SMR)</t>
  </si>
  <si>
    <t>L.H2 (Electrolysis On-Road Fleet)</t>
  </si>
  <si>
    <t>Renewable Diesel II - Soy  (RDII 100)</t>
  </si>
  <si>
    <t>2. CO2-equivalent Emissions and Petroleum Use</t>
  </si>
  <si>
    <t>Upstream GHGs</t>
  </si>
  <si>
    <t>Tailpipe GHGs</t>
  </si>
  <si>
    <t>WTW GHGs</t>
  </si>
  <si>
    <t>WTW Petroleum Use</t>
  </si>
  <si>
    <t>g/Btu</t>
  </si>
  <si>
    <t>Btu/Btu</t>
  </si>
  <si>
    <t>short ton/GGE</t>
  </si>
  <si>
    <t>barrels/GGE</t>
  </si>
  <si>
    <t>E10</t>
  </si>
  <si>
    <t>Ratio of ethanol/gasoline BTU content in E10</t>
  </si>
  <si>
    <t>Cellulosic Ethanol (E100)</t>
  </si>
  <si>
    <t>CNG (NA - On-Road Fleet)</t>
  </si>
  <si>
    <t>CNG (NA - Off-Road Fleet)</t>
  </si>
  <si>
    <t>LNG (NA - On-Road Fleet)</t>
  </si>
  <si>
    <t>LNG (NA - Off-Road Fleet)</t>
  </si>
  <si>
    <t>LPG (On-Road Fleet)</t>
  </si>
  <si>
    <t>LPG (Off-Road Fleet)</t>
  </si>
  <si>
    <t>G.H2 (Refueling Station SMR)</t>
  </si>
  <si>
    <t>G.H2 (Central SMR)</t>
  </si>
  <si>
    <t>L.H2 (Refueling Station SMR)</t>
  </si>
  <si>
    <t>L.H2 (Central SMR)</t>
  </si>
  <si>
    <t>3. Fuel Specifications</t>
  </si>
  <si>
    <t>LHV</t>
  </si>
  <si>
    <t>HHV</t>
  </si>
  <si>
    <t>Density</t>
  </si>
  <si>
    <t>Carbon content</t>
  </si>
  <si>
    <t>Sulfur content</t>
  </si>
  <si>
    <t>Fuel</t>
  </si>
  <si>
    <t>Btu/gal</t>
  </si>
  <si>
    <t>grams/gal</t>
  </si>
  <si>
    <t>(% by wt)</t>
  </si>
  <si>
    <t>(ppm by wt)</t>
  </si>
  <si>
    <t>Crude oil</t>
  </si>
  <si>
    <t>Gasoline blendstock</t>
  </si>
  <si>
    <t>Gasoline (formerly reformulated gasoline)</t>
  </si>
  <si>
    <t>Low-sulfur diesel</t>
  </si>
  <si>
    <t>Biodiesel (methyl ester)</t>
  </si>
  <si>
    <t>Renewable Diesel II (UOP-HDO)</t>
  </si>
  <si>
    <t>Ethanol</t>
  </si>
  <si>
    <t>LPG</t>
  </si>
  <si>
    <t>LNG</t>
  </si>
  <si>
    <t>Liquid Hydrogen</t>
  </si>
  <si>
    <t>Natural Gas (per ft3)</t>
  </si>
  <si>
    <t>Gaseous Hydrogen (per ft3)</t>
  </si>
  <si>
    <t>Electricity (per kWh)</t>
  </si>
  <si>
    <t>Liters in a gallon</t>
  </si>
  <si>
    <t>pounds in a kilogram</t>
  </si>
  <si>
    <t>BTUs in E10</t>
  </si>
  <si>
    <t>Percent of BTUs that are ethanol in E10</t>
  </si>
  <si>
    <t>Notes:</t>
  </si>
  <si>
    <t>1) Global warming potentials of GHGs are: 1 for CO2, 25 for CH4, and 298 for N2O.</t>
  </si>
  <si>
    <t>2) Diesel results are for 100% low-sulfur diesel.</t>
  </si>
  <si>
    <t xml:space="preserve">3) Gasoline results have a </t>
  </si>
  <si>
    <t xml:space="preserve"> share of reformulated gasoline.</t>
  </si>
  <si>
    <t>4) Calculated Gasoline LHV =</t>
  </si>
  <si>
    <t>5) Landfill gas results assume the LFG is trucked 50 miles to the refueling site.</t>
  </si>
  <si>
    <t xml:space="preserve">6) Ethanol results assume E85 actually has </t>
  </si>
  <si>
    <t>ethanol and</t>
  </si>
  <si>
    <t xml:space="preserve"> gasoline by volume. Ethanol contains 2% gasoline as a denaturant.</t>
  </si>
  <si>
    <t>7) Simulation year</t>
  </si>
  <si>
    <t>Today</t>
  </si>
  <si>
    <t>Convert to GGE</t>
  </si>
  <si>
    <t>Convert to DGE</t>
  </si>
  <si>
    <t>gasoline gallon</t>
  </si>
  <si>
    <t>diesel gallon</t>
  </si>
  <si>
    <t>Electricity</t>
  </si>
  <si>
    <t>kWh</t>
  </si>
  <si>
    <t>Gaseous Hydrogen (G.H2)</t>
  </si>
  <si>
    <t>H2 kg</t>
  </si>
  <si>
    <t>Biodiesel (B20)</t>
  </si>
  <si>
    <t>B20 gallon</t>
  </si>
  <si>
    <t>Biodiesel (B100)</t>
  </si>
  <si>
    <t>B100 gallon</t>
  </si>
  <si>
    <t>Ethanol (E85)</t>
  </si>
  <si>
    <t>E85 gallon</t>
  </si>
  <si>
    <t>Propane (LPG)</t>
  </si>
  <si>
    <t>LPG gallon</t>
  </si>
  <si>
    <t>Compressed Natural Gas (CNG)</t>
  </si>
  <si>
    <t>CNG GGE</t>
  </si>
  <si>
    <t>Liquefied Natural Gas (LNG)</t>
  </si>
  <si>
    <t>LNG gallon</t>
  </si>
  <si>
    <t>9) Fuel-Cycle Energy Use, Water Consumption, and Emissions of Electric Generation: Btu or Gallons or Grams per mmBtu of Electricity Available at User Sites (wall outlets)</t>
  </si>
  <si>
    <t>Stationary Use</t>
  </si>
  <si>
    <t>Transportation Use (On-Road)</t>
  </si>
  <si>
    <t>Transportation Use (Off-Road)</t>
  </si>
  <si>
    <t>Oil-Fired Power Plant</t>
  </si>
  <si>
    <t>NG-Fired Power Plant</t>
  </si>
  <si>
    <t>Coal-Fired Power Plant</t>
  </si>
  <si>
    <t>Biomass-Fired Power Plant</t>
  </si>
  <si>
    <t>Nuclear Power Plant (LWR): for electrolysis to G.H2 at refueling station</t>
  </si>
  <si>
    <t>Nuclear Power Plant (LWR): for electrolysis to L.H2 at refueling station</t>
  </si>
  <si>
    <t>Nuclear Power Plant (HTGR): for electrolysis to H2 in central plant</t>
  </si>
  <si>
    <t>Other Power Plants</t>
  </si>
  <si>
    <t>Total</t>
  </si>
  <si>
    <t>Urban</t>
  </si>
  <si>
    <t xml:space="preserve">                         Total</t>
  </si>
  <si>
    <t>Feedstock</t>
  </si>
  <si>
    <t>Total energy</t>
  </si>
  <si>
    <t>Fossil fuels</t>
  </si>
  <si>
    <t>Coal</t>
  </si>
  <si>
    <t>Natural gas</t>
  </si>
  <si>
    <t>Petroleum</t>
  </si>
  <si>
    <t>Water consumption</t>
  </si>
  <si>
    <t>VOC</t>
  </si>
  <si>
    <t>CO</t>
  </si>
  <si>
    <t>NOx</t>
  </si>
  <si>
    <t>PM10</t>
  </si>
  <si>
    <t>PM2.5</t>
  </si>
  <si>
    <t>SOx</t>
  </si>
  <si>
    <t>BC</t>
  </si>
  <si>
    <t>OC</t>
  </si>
  <si>
    <t>CH4</t>
  </si>
  <si>
    <t>N2O</t>
  </si>
  <si>
    <t>CO2</t>
  </si>
  <si>
    <t>CO2 (w/ C in VOC &amp; CO)</t>
  </si>
  <si>
    <t>GHGs</t>
  </si>
  <si>
    <t>Assumed distribution losses</t>
  </si>
  <si>
    <t>Andy told me this one</t>
  </si>
  <si>
    <t>Background Data</t>
  </si>
  <si>
    <t>Idling Emissions Data</t>
  </si>
  <si>
    <t>AFLEET Look Up Tables</t>
  </si>
  <si>
    <t>Vehicle Vocation Selection</t>
  </si>
  <si>
    <t>Passenger Car</t>
  </si>
  <si>
    <t>Car</t>
  </si>
  <si>
    <t>Passenger Truck</t>
  </si>
  <si>
    <t>Light-Duty Pickup Truck</t>
  </si>
  <si>
    <t>Light Commercial Truck</t>
  </si>
  <si>
    <t>Medium-Duty Pickup Truck</t>
  </si>
  <si>
    <t>School Bus</t>
  </si>
  <si>
    <t>Transit Bus</t>
  </si>
  <si>
    <t>Refuse Truck</t>
  </si>
  <si>
    <t>Single Unit Short-Haul Truck</t>
  </si>
  <si>
    <t>Delivery Step Van</t>
  </si>
  <si>
    <t>Single Unit Long-Haul Truck</t>
  </si>
  <si>
    <t>Delivery Straight Truck</t>
  </si>
  <si>
    <t>Combination Short-Haul Truck</t>
  </si>
  <si>
    <t>Regional Haul Freight Truck</t>
  </si>
  <si>
    <t>Combination Long-Haul Truck</t>
  </si>
  <si>
    <t>Long Haul Freight Truck</t>
  </si>
  <si>
    <t>New Vehicle Purchase Price ($)</t>
  </si>
  <si>
    <t>Vocation Type</t>
  </si>
  <si>
    <t>MOVES Category</t>
  </si>
  <si>
    <t>Gasoline Hybrid Electric Vehicle (HEV)</t>
  </si>
  <si>
    <t>Gasoline Plug-in Hybrid Electric Vehicle (PHEV)</t>
  </si>
  <si>
    <t>Gasoline Extended Range Electric Vehicle (EREV)</t>
  </si>
  <si>
    <t>All-Electric Vehicle (EV)</t>
  </si>
  <si>
    <t>Gaseous Hydrogen (G.H2) Fuel Cell Vehicle (FCV)</t>
  </si>
  <si>
    <t>Diesel Hybrid Electric Vehicle (HEV)</t>
  </si>
  <si>
    <t>Diesel Hydraulic Hybrid (HHV)</t>
  </si>
  <si>
    <t>LNG / Diesel Pilot Ignition</t>
  </si>
  <si>
    <t>Diesel HEV PTO</t>
  </si>
  <si>
    <t>Liquid Hydrogen (L.H2) Fuel Cell Vehicle (FCV)</t>
  </si>
  <si>
    <t>Dump Truck</t>
  </si>
  <si>
    <t>Bucket/Aerial Truck</t>
  </si>
  <si>
    <t>Snow Plow/Sander</t>
  </si>
  <si>
    <t>Sewer Cleaner</t>
  </si>
  <si>
    <t>Street Sweeper</t>
  </si>
  <si>
    <t>Shuttle/Paratransit Bus</t>
  </si>
  <si>
    <t>Utility Cargo Van</t>
  </si>
  <si>
    <t>Shuttle/Paratransit Van</t>
  </si>
  <si>
    <t>SUV</t>
  </si>
  <si>
    <t>SUV - Taxi</t>
  </si>
  <si>
    <t>Car - Taxi</t>
  </si>
  <si>
    <t>Car - Police</t>
  </si>
  <si>
    <t>Maintenance Utility Vehicle</t>
  </si>
  <si>
    <t>Other</t>
  </si>
  <si>
    <t>Retrofit/Conversion Purchase Price ($)</t>
  </si>
  <si>
    <t>Average Fuel Economy (miles per gasoline gallon equivalent)</t>
  </si>
  <si>
    <t>PHEV CD Mode Electricity Consumption (kWh/100 mi)</t>
  </si>
  <si>
    <t>PHEV CD Mode Gasoline Consumption (GGE/100 mi)</t>
  </si>
  <si>
    <t>Share of Alternative Fuel Use in Bi-Fuel or Dual-Fuel Vehicle (Energy %)</t>
  </si>
  <si>
    <t>Diesel Emission Fluid Use (% of fuel consumption)</t>
  </si>
  <si>
    <t>Average Annual Vehicle Miles Traveled</t>
  </si>
  <si>
    <t>Used for table formulas</t>
  </si>
  <si>
    <t>Maintenance and Repair ($/mile)</t>
  </si>
  <si>
    <t>Average Incremental Weight (pounds)</t>
  </si>
  <si>
    <t>Range - CD Range for PHEVs and EVs (miles)</t>
  </si>
  <si>
    <t>Used for Payback sheet -------------------------------------------------------------------------&gt;</t>
  </si>
  <si>
    <t>Gasoline HEV</t>
  </si>
  <si>
    <t>Gasoline PHEV</t>
  </si>
  <si>
    <t>Gasoline EREV</t>
  </si>
  <si>
    <t>EV</t>
  </si>
  <si>
    <t>G.H2 FCV</t>
  </si>
  <si>
    <t>Diesel HEV</t>
  </si>
  <si>
    <t>Diesel HHV</t>
  </si>
  <si>
    <t>B20</t>
  </si>
  <si>
    <t>B100</t>
  </si>
  <si>
    <t>E85</t>
  </si>
  <si>
    <t>CNG</t>
  </si>
  <si>
    <t>L.H2 FCV</t>
  </si>
  <si>
    <t>Most of us perceive one sound to be twice as loud as another one when they are about 10 dB apart. http://www.noisehelp.com/decibel-scale.html</t>
  </si>
  <si>
    <t>Average Idling for Each Vehicle Type in the On-Road Fleet (hours per year)</t>
  </si>
  <si>
    <t xml:space="preserve">                                     &gt;80000 mi/yr</t>
  </si>
  <si>
    <t>60,000-80,000 mi/ yr</t>
  </si>
  <si>
    <t xml:space="preserve">     40,000-60,000 mi/yr</t>
  </si>
  <si>
    <t xml:space="preserve">                                                        &lt; 40000 mi/yr</t>
  </si>
  <si>
    <t>DEQ; http://www.epa.gov/cleandiesel/documents/420b10035.pdf</t>
  </si>
  <si>
    <t>miles driven &gt; 80000</t>
  </si>
  <si>
    <t>miles driven &lt; 80000</t>
  </si>
  <si>
    <t>Sleeper trucks</t>
  </si>
  <si>
    <t>Average Noise Level (dBA)</t>
  </si>
  <si>
    <t>The OSHA permissible exposure limit (PEL) for noise is 90 dBA time-weighted average (TWA) for an 8-h workday and NIOSH recommends 85 dBA for the 8-h TWA.</t>
  </si>
  <si>
    <t>Idle</t>
  </si>
  <si>
    <t>Parellel</t>
  </si>
  <si>
    <t>G.H2</t>
  </si>
  <si>
    <t>Hydraulic</t>
  </si>
  <si>
    <t>LNG/Diesel</t>
  </si>
  <si>
    <t>L.H2</t>
  </si>
  <si>
    <t>Every increase of 3 dB represents a doubling of sound intensity. The relative loudness that we perceive is a subjective psychological phenomenon, not something that can be objectively measured. http://www.noisehelp.com/decibel-scale.html</t>
  </si>
  <si>
    <t>Lee, Role of Driver Hearing in Commercial Motor Vehicle Operation, 1999, Page 92</t>
  </si>
  <si>
    <t>CNG engine (8.9 L) up to 10 dB quieter at idle</t>
  </si>
  <si>
    <t>http://www1.eere.energy.gov/cleancities/pdfs/ngvtf11_wilson.pdf</t>
  </si>
  <si>
    <t>CNG engine (8.9 L) up to 5.5 dB quieter at peak torque and load</t>
  </si>
  <si>
    <t>http://www.kenworth.com/media/11184/20110208-Ferrara-Bros.pdf</t>
  </si>
  <si>
    <t>Refuse Truck (driver)</t>
  </si>
  <si>
    <t>http://www.informinc.org/NYCCommercial2.pdf</t>
  </si>
  <si>
    <t>Refuse Truck (beside)</t>
  </si>
  <si>
    <t>Refuse Truck (behind)</t>
  </si>
  <si>
    <t>http://www.informinc.org/FS_ST_NYC_Refuse.pdf</t>
  </si>
  <si>
    <t>Proterra - Altoona April 2012 test</t>
  </si>
  <si>
    <t>Transit Bus Accel from constant speed</t>
  </si>
  <si>
    <t>34.4 ambient noise</t>
  </si>
  <si>
    <t>Transit Bus Accel from standstill</t>
  </si>
  <si>
    <t>33.7 ambient noise</t>
  </si>
  <si>
    <t>Transit Bus Idling</t>
  </si>
  <si>
    <t>34.5 ambient noise</t>
  </si>
  <si>
    <t>Data for long term effectiveness of training from Stillwater (UC Davis)</t>
  </si>
  <si>
    <t>Fuel Cost Data</t>
  </si>
  <si>
    <t>Public Station</t>
  </si>
  <si>
    <t>State</t>
  </si>
  <si>
    <t>Default</t>
  </si>
  <si>
    <t>Per Fuel Unit</t>
  </si>
  <si>
    <t>Per GGE</t>
  </si>
  <si>
    <t>Per DGE</t>
  </si>
  <si>
    <t>AFDC Price Report - 2015 average</t>
  </si>
  <si>
    <t xml:space="preserve">EIA - 2014 residential </t>
  </si>
  <si>
    <t>Hydrogen</t>
  </si>
  <si>
    <t xml:space="preserve">CNG </t>
  </si>
  <si>
    <t>Diesel Exhaust Fluid</t>
  </si>
  <si>
    <t>http://www.truckinginfo.com/news/news-detail.asp?news_id=78437&amp;news_category_id=42</t>
  </si>
  <si>
    <t>DEF is per gallon</t>
  </si>
  <si>
    <t>Private Station</t>
  </si>
  <si>
    <t>TCO Fuel Prices</t>
  </si>
  <si>
    <t>Vehicle Age</t>
  </si>
  <si>
    <t>User</t>
  </si>
  <si>
    <t>Price Escalation Rate</t>
  </si>
  <si>
    <t>AEO 2015 Table A3 (Years 2013 - 2040) - http://www.eia.gov/forecasts/aeo/pdf/0383(2015).pdf</t>
  </si>
  <si>
    <t>Assumed the same as natural gas</t>
  </si>
  <si>
    <t>Assumed same as diesel</t>
  </si>
  <si>
    <t>Public and Private Station Fuel Cost - State Level and National Average</t>
  </si>
  <si>
    <t>Public</t>
  </si>
  <si>
    <t>Private</t>
  </si>
  <si>
    <t>State/Region</t>
  </si>
  <si>
    <t>PADD</t>
  </si>
  <si>
    <t>(gal)</t>
  </si>
  <si>
    <t>(kWh)</t>
  </si>
  <si>
    <t>(GGE)</t>
  </si>
  <si>
    <t>ALABAMA</t>
  </si>
  <si>
    <t>ALASKA</t>
  </si>
  <si>
    <t>ARIZONA</t>
  </si>
  <si>
    <t>ARKANSAS</t>
  </si>
  <si>
    <t>CALIFORNIA</t>
  </si>
  <si>
    <t>COLORADO</t>
  </si>
  <si>
    <t>CONNECTICUT</t>
  </si>
  <si>
    <t>1a</t>
  </si>
  <si>
    <t>DELAWARE</t>
  </si>
  <si>
    <t>1b</t>
  </si>
  <si>
    <t>DISTRICT OF COLUMBIA</t>
  </si>
  <si>
    <t>FLORIDA</t>
  </si>
  <si>
    <t>1c</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</si>
  <si>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</si>
  <si>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</si>
  <si>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</si>
  <si>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</si>
  <si>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</si>
  <si>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</si>
  <si>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</si>
  <si>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</si>
  <si>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</si>
  <si>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</si>
  <si>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</si>
  <si>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</si>
  <si>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</si>
  <si>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</si>
  <si>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</si>
  <si>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</si>
  <si>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</si>
  <si>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</si>
  <si>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</si>
  <si>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</si>
  <si>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</si>
  <si>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</si>
  <si>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</si>
  <si>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</si>
  <si>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</si>
  <si>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</si>
  <si>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</si>
  <si>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</si>
  <si>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</si>
  <si>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</si>
  <si>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</si>
  <si>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</si>
  <si>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</si>
  <si>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</si>
  <si>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</si>
  <si>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</si>
  <si>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</si>
  <si>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 ISLANDS</t>
  </si>
  <si>
    <t>VIRGINIA</t>
  </si>
  <si>
    <t>WASHINGTON</t>
  </si>
  <si>
    <t>WEST VIRGINIA</t>
  </si>
  <si>
    <t>WISCONSIN</t>
  </si>
  <si>
    <t>WYOMING</t>
  </si>
  <si>
    <t>National Average</t>
  </si>
  <si>
    <t>Clean Cities Alternative Fuel Price Report  - 2015 average - http://www.afdc.energy.gov/publications/search/keyword/?q=alternative%20fuel%20price%20report</t>
  </si>
  <si>
    <t>Electricity Data</t>
  </si>
  <si>
    <t>http://www.eia.gov/electricity/data/eia826/xls/sales_revenue.xls</t>
  </si>
  <si>
    <t>Public and Private Station Fuel Cost - PADD Level</t>
  </si>
  <si>
    <t xml:space="preserve">Public </t>
  </si>
  <si>
    <t>1a. New England</t>
  </si>
  <si>
    <t>1b. Central Atlantic</t>
  </si>
  <si>
    <t>1c. Lower Atlantic</t>
  </si>
  <si>
    <t>2. Midwest</t>
  </si>
  <si>
    <t>3. Gulf Coast</t>
  </si>
  <si>
    <t>4. Rocky Mountain</t>
  </si>
  <si>
    <t>5. West Coast</t>
  </si>
  <si>
    <t>Public and Private Stations - State Level</t>
  </si>
  <si>
    <t>X</t>
  </si>
  <si>
    <t>http://www.afdc.energy.gov/fuels/stations_counts.html</t>
  </si>
  <si>
    <t>Data last updated: 03/03/2016</t>
  </si>
  <si>
    <t>Gasoline and Diesel stations were assumed to de present in all states</t>
  </si>
  <si>
    <t xml:space="preserve">B20 and B99/B100 stations were assumed  to be the same as Biodiesel </t>
  </si>
  <si>
    <t>No data for Puerto Rico and Virgin Islands</t>
  </si>
  <si>
    <t>Electricity Price</t>
  </si>
  <si>
    <t>States and US Avg</t>
  </si>
  <si>
    <t>Data for 2014</t>
  </si>
  <si>
    <t>Last Update: January 21, 2016</t>
  </si>
  <si>
    <t>Puerto Rico</t>
  </si>
  <si>
    <t>US Virgin Islands</t>
  </si>
  <si>
    <t>http://www.nrel.gov/docs/fy15osti/62701.pdf</t>
  </si>
  <si>
    <t>Data for 2015</t>
  </si>
  <si>
    <t>RESIDENTIAL</t>
  </si>
  <si>
    <t>COMMERCIAL</t>
  </si>
  <si>
    <t>INDUSTRIAL</t>
  </si>
  <si>
    <t>TRANSPORTATION</t>
  </si>
  <si>
    <t>OTHER</t>
  </si>
  <si>
    <t xml:space="preserve">Name </t>
  </si>
  <si>
    <t xml:space="preserve"> ($/kWh) </t>
  </si>
  <si>
    <t xml:space="preserve">U.S. Total </t>
  </si>
  <si>
    <t>Vehicle Cost Data</t>
  </si>
  <si>
    <t>Discount Factor</t>
  </si>
  <si>
    <t>http://www.bankrate.com/finance/cd/cd-rates.aspx</t>
  </si>
  <si>
    <t>for February 11, 2016  - 5 year rate</t>
  </si>
  <si>
    <t>Vehicle Cost Calculator; http://www.afdc.energy.gov/calc/cost_calculator_methodology.html</t>
  </si>
  <si>
    <t>based on BankRate.com at time of Cost Calculator's development ~2011</t>
  </si>
  <si>
    <t>Inflation - Consumer price index</t>
  </si>
  <si>
    <t>https://www.cbo.gov/sites/default/files/114th-congress-2015-2016/reports/51129-2016Outlook_OneCol-2.pdf</t>
  </si>
  <si>
    <t>for 2016-2026</t>
  </si>
  <si>
    <t>VICE Model - Municipal Government Discount Factor</t>
  </si>
  <si>
    <t>http://www.afdc.energy.gov/pdfs/47919.pdf</t>
  </si>
  <si>
    <t>EPA’s Guidelines for Economic Analysis recommend using both 3% and 7% discount rates</t>
  </si>
  <si>
    <t>http://epa.gov/statelocalclimate/documents/pdf/Quickstart-Tutorial-How-To-Use-COBRA.pdf</t>
  </si>
  <si>
    <t>Consumer Price Index</t>
  </si>
  <si>
    <t>Consumer Price Index Data from 1913 to 2015 - All Urban Consumers (CPI-U)</t>
  </si>
  <si>
    <t>http://www.usinflationcalculator.com/inflation/consumer-price-index-and-annual-percent-changes-from-1913-to-2008/</t>
  </si>
  <si>
    <t>Updated March 16, 2016</t>
  </si>
  <si>
    <t>CPI factor</t>
  </si>
  <si>
    <t>Loan</t>
  </si>
  <si>
    <t>Loan term (years)</t>
  </si>
  <si>
    <t>http://www.bankrate.com/finance/auto/auto-loan-rates.aspx</t>
  </si>
  <si>
    <t>years</t>
  </si>
  <si>
    <t>for February 12, 2016</t>
  </si>
  <si>
    <t>Interest rate</t>
  </si>
  <si>
    <t>Down payment</t>
  </si>
  <si>
    <t>of purchase price</t>
  </si>
  <si>
    <t>Insurance and Registration</t>
  </si>
  <si>
    <t>Vehicle Type</t>
  </si>
  <si>
    <t>Vehicle Age 1</t>
  </si>
  <si>
    <t>Insurance - LDV</t>
  </si>
  <si>
    <t>Progressive Commercial Coverage - http://www.progressivecommercial.com/insurance/business-auto-insurance.aspx</t>
  </si>
  <si>
    <t>LDV</t>
  </si>
  <si>
    <t>Insurance - HDV</t>
  </si>
  <si>
    <t>Progressive Commercial Coverage - http://www.progressivecommercial.com/insurance/truck-insurance-quotes.aspx</t>
  </si>
  <si>
    <t>HDV</t>
  </si>
  <si>
    <t>License and Registration - LDV</t>
  </si>
  <si>
    <t>http://www.cyberdriveillinois.com/departments/vehicles/basicfees.html; http://www.cyberdriveillinois.com/departments/drivers/basicfees.html</t>
  </si>
  <si>
    <t>License and Registration - HDV</t>
  </si>
  <si>
    <t>Utilimarc; http://www.cyberdriveillinois.com/departments/drivers/basicfees.html</t>
  </si>
  <si>
    <t>License and Registration and Taxes</t>
  </si>
  <si>
    <t>AAA 2012</t>
  </si>
  <si>
    <t>Insurance and License and Registration and Taxes</t>
  </si>
  <si>
    <t>Light-Duty Maintenance and Repairs</t>
  </si>
  <si>
    <t>Light-Duty</t>
  </si>
  <si>
    <t>Scheduled Maintenance and Costs</t>
  </si>
  <si>
    <t>Maintenance Interval (Miles)</t>
  </si>
  <si>
    <t>$/mile</t>
  </si>
  <si>
    <t>Item</t>
  </si>
  <si>
    <t>Conventional</t>
  </si>
  <si>
    <t>HEV</t>
  </si>
  <si>
    <t>PHEV</t>
  </si>
  <si>
    <t>BEV</t>
  </si>
  <si>
    <t>Cost</t>
  </si>
  <si>
    <t>Engine Oil</t>
  </si>
  <si>
    <t>Anant Vyas - Vehicle TCO; 11/27/2012; Argonne National Laboratory</t>
  </si>
  <si>
    <t>Oil Filter</t>
  </si>
  <si>
    <t>Tire Rotation</t>
  </si>
  <si>
    <t>Fuel Filter</t>
  </si>
  <si>
    <t>Air Filter</t>
  </si>
  <si>
    <t>Cooling System</t>
  </si>
  <si>
    <t>Tires Replaced</t>
  </si>
  <si>
    <t>Brake Pads</t>
  </si>
  <si>
    <t>Headlight Bulbs</t>
  </si>
  <si>
    <t>Transmission Service</t>
  </si>
  <si>
    <t>Timing Belt</t>
  </si>
  <si>
    <t>Spark Plugs</t>
  </si>
  <si>
    <t>Brake Rotors</t>
  </si>
  <si>
    <t>Pb-Ac Battery Replacement</t>
  </si>
  <si>
    <t>GREET 2; http://www.automd.com/repaircost/ - 2005 Honda Accord 4 Cyl 2.4L - $110 parts - $25 labor</t>
  </si>
  <si>
    <t>Other (Avg $/Year)</t>
  </si>
  <si>
    <t>Not included; added battery</t>
  </si>
  <si>
    <t>PEV Battery Replacement</t>
  </si>
  <si>
    <t>NiMH HEV Battery Replacement</t>
  </si>
  <si>
    <t>http://www.tirebusiness.com/article/20121120/NEWS/121129994/replacing-hybrids-battery-not-as-costly-as-you-think</t>
  </si>
  <si>
    <t>Li-Ion EV Battery Replacement</t>
  </si>
  <si>
    <t>http://green.autoblog.com/2013/06/20/nissan-leaf-battery-replacement-will-cost-100-month/</t>
  </si>
  <si>
    <t>per month after warranty</t>
  </si>
  <si>
    <t>per year after warranty</t>
  </si>
  <si>
    <t>http://green.autoblog.com/2012/12/27/nissan-leaf-battery-warranty-upgraded-first-capacity-loss/</t>
  </si>
  <si>
    <t>MY13 - http://www.leftlanenews.com/new-car-buying/toyota/prius-plug-in-hybrid/#; http://pressroom.toyota.com/toyota/toyota+introduces+2012+prius+plug-in+hybrid.print</t>
  </si>
  <si>
    <t>EREV</t>
  </si>
  <si>
    <t>MY13 - http://www.chevrolet.com/volt-electric-car/specs/options.html</t>
  </si>
  <si>
    <t>MY13 - http://www.nissanusa.com/electric-cars/leaf/versions-specs/</t>
  </si>
  <si>
    <t>Maintenance (per mile)</t>
  </si>
  <si>
    <t>EV Maintenance (per mile)</t>
  </si>
  <si>
    <t>AFDC Price Report Assumption: AAA maintenance reduced by 28% based on: DeLuchi, Mark and Lipman, Timothy, An Analysis of the Retail and Life Cycle Cost of Battery-Powered Electric Vehicles; UC-Davis Institute of Transportation Studies. http://escholarship.org/uc/iyem/50q9060k</t>
  </si>
  <si>
    <t>Tires (per mile)</t>
  </si>
  <si>
    <t>CNG Tank Replacement</t>
  </si>
  <si>
    <t>CNG Tank Inspection</t>
  </si>
  <si>
    <t>Personal communication with Bill McGlinchey; http://www.cleanvehicle.org/technology/cylinder.shtml</t>
  </si>
  <si>
    <t>Biodiesel Additives</t>
  </si>
  <si>
    <t>Auto Shop - $86/hr</t>
  </si>
  <si>
    <t>Unscheduled Maintenance</t>
  </si>
  <si>
    <t>http://www.automd.com/repaircost/</t>
  </si>
  <si>
    <t>2005 Honda Accord 4 Cyl 2.4L</t>
  </si>
  <si>
    <t>Replacement Schedule</t>
  </si>
  <si>
    <t>Range (low)</t>
  </si>
  <si>
    <t>Range (high)</t>
  </si>
  <si>
    <t>Repair Cost</t>
  </si>
  <si>
    <t>Engine</t>
  </si>
  <si>
    <t>Spitzley 2005 - Life Cycle Economics and Replacement Optimization for a Generic U.S. Family Sedan</t>
  </si>
  <si>
    <t>Valves &amp; Gaskets</t>
  </si>
  <si>
    <t>Cylinder Head Gasket Replacement</t>
  </si>
  <si>
    <t>Short Block</t>
  </si>
  <si>
    <t>Engine Assembly - Short Block Replacement</t>
  </si>
  <si>
    <t>Cooling</t>
  </si>
  <si>
    <t>Water Pump</t>
  </si>
  <si>
    <t>Water Pump Replacement</t>
  </si>
  <si>
    <t>Radiator &amp; Hoses</t>
  </si>
  <si>
    <t>Radiator Replacement &amp; Radiator Hose Replacement</t>
  </si>
  <si>
    <t>Fuel Pump</t>
  </si>
  <si>
    <t>Fuel Pump Replacement</t>
  </si>
  <si>
    <t>Fuel Injector</t>
  </si>
  <si>
    <t>Fuel Injector Replacement</t>
  </si>
  <si>
    <t>Control Module</t>
  </si>
  <si>
    <t>Engine Control Module Replacement</t>
  </si>
  <si>
    <t>Oxygen Sensor</t>
  </si>
  <si>
    <t>Oxygen Sensor Replacement</t>
  </si>
  <si>
    <t>Ignition</t>
  </si>
  <si>
    <t>Starter</t>
  </si>
  <si>
    <t>Starter Motor Replacement</t>
  </si>
  <si>
    <t>Alternator</t>
  </si>
  <si>
    <t>Alternator Replacement</t>
  </si>
  <si>
    <t>Transmission</t>
  </si>
  <si>
    <t>Trans Assembly Replacement &amp; Flexplate Replacement &amp; Torque Converter Replacement &amp; Clutch Assembly Replacement &amp; Clutch Master Cylinder Replacement &amp; Clutch Slave Cylinder Replacement &amp; Axle Shaft Replacement &amp; CV Joint Boot Replacement &amp; Axle Shaft Oil Seal Replacement &amp; Trans Mount Replacement</t>
  </si>
  <si>
    <t>Electrical</t>
  </si>
  <si>
    <t>Window Motor</t>
  </si>
  <si>
    <t>Window Regulator Motor Replacement</t>
  </si>
  <si>
    <t>Wiper Motor</t>
  </si>
  <si>
    <t>Windshield Wiper Motor Replacement</t>
  </si>
  <si>
    <t>Air Conditioning</t>
  </si>
  <si>
    <t>Blower and Heater Core</t>
  </si>
  <si>
    <t>HVAC Blower Motor Replacement &amp; Heater Core Replacement</t>
  </si>
  <si>
    <t>Compressor</t>
  </si>
  <si>
    <t>Air Conditioning Compressor Replacement</t>
  </si>
  <si>
    <t>Suspension</t>
  </si>
  <si>
    <t>Tie Rod</t>
  </si>
  <si>
    <t xml:space="preserve">Tie Rod Replacement </t>
  </si>
  <si>
    <t>Ball Joint</t>
  </si>
  <si>
    <t>Suspension Ball Joint Replacement</t>
  </si>
  <si>
    <t>Struts/Shocks</t>
  </si>
  <si>
    <t>Suspension Shock Absorber Replacement &amp; Suspension Strut Assembly Replacement</t>
  </si>
  <si>
    <t>Total assuming vehicle is scrapped before engine replacement</t>
  </si>
  <si>
    <t>Utilimarc Maintenance and Repairs LDV and HDV</t>
  </si>
  <si>
    <t>Maintenance and Repairs</t>
  </si>
  <si>
    <t>Includes parts and labor (contract + internal)</t>
  </si>
  <si>
    <t>Vehicle Segment</t>
  </si>
  <si>
    <t>Avg Model Year</t>
  </si>
  <si>
    <t>Avg Age</t>
  </si>
  <si>
    <t>Units</t>
  </si>
  <si>
    <t>Avg Mileage</t>
  </si>
  <si>
    <t>$/yr</t>
  </si>
  <si>
    <t>$/mi</t>
  </si>
  <si>
    <t>HD Buses</t>
  </si>
  <si>
    <t>Utilimarc</t>
  </si>
  <si>
    <t>MD (shuttle/paratransit) Buses</t>
  </si>
  <si>
    <t>HD Refuse Trucks</t>
  </si>
  <si>
    <t>Diesel Hybrid</t>
  </si>
  <si>
    <t>HD Semi-Trailer Trucks</t>
  </si>
  <si>
    <t>LD Cars</t>
  </si>
  <si>
    <t>LD Pickup Trucks</t>
  </si>
  <si>
    <t>LD SUVs</t>
  </si>
  <si>
    <t>LD Vans (150, Passenger)</t>
  </si>
  <si>
    <t>MD Pickup Trucks (250, 350)</t>
  </si>
  <si>
    <t>MD Utility/Cargo Vans (250, 350)</t>
  </si>
  <si>
    <t>MD Utility Van/Cutaways (450)</t>
  </si>
  <si>
    <t>MD Step Van</t>
  </si>
  <si>
    <t>Electric</t>
  </si>
  <si>
    <t>Heavy-Duty Maintenance and Repairs</t>
  </si>
  <si>
    <t>References</t>
  </si>
  <si>
    <t xml:space="preserve">Duty Cycle </t>
  </si>
  <si>
    <t xml:space="preserve">Maintenance Interval  (hours) </t>
  </si>
  <si>
    <t>Maintenance Interval (miles)</t>
  </si>
  <si>
    <t>Conventional Medium-Duty</t>
  </si>
  <si>
    <t>Maintenance Interval: http://cumminsengines.com/isl9-medium-duty-truck-2013?#maintenance; Cost: http://www.profleettrucklube.com/services</t>
  </si>
  <si>
    <t>Normal</t>
  </si>
  <si>
    <t>Maintenance Interval: http://cumminsengines.com/isl9-medium-duty-truck-2013?#maintenance</t>
  </si>
  <si>
    <t>Coolant Filter</t>
  </si>
  <si>
    <t>Coolant Change</t>
  </si>
  <si>
    <t>Conventional Heavy-Duty</t>
  </si>
  <si>
    <t>Maintenance Interval: http://cumminsengines.com/isx12-heavy-duty-truck-2013?#maintenance; Cost: http://www.profleettrucklube.com/services</t>
  </si>
  <si>
    <t>Light</t>
  </si>
  <si>
    <t>Maintenance Interval: http://cumminsengines.com/isx12-heavy-duty-truck-2013?#maintenance;  Cost: http://www.profleettrucklube.com/services</t>
  </si>
  <si>
    <t>Maintenance Interval: http://cumminsengines.com/isx12-heavy-duty-truck-2013?#maintenance</t>
  </si>
  <si>
    <t>Severe</t>
  </si>
  <si>
    <t>NG Medium-Duty</t>
  </si>
  <si>
    <t>Maintenance Interval: http://www.cumminswestport.com/models/isl-g</t>
  </si>
  <si>
    <t>NG Refuse/Bus</t>
  </si>
  <si>
    <t>NG Heavy-Duty</t>
  </si>
  <si>
    <t>Maintenance Interval: http://www.cumminswestport.com/models/isx12-g</t>
  </si>
  <si>
    <t>Diesel - Commercial Truck Maintenance and Repair</t>
  </si>
  <si>
    <t>Commercial Carrier - HDV Truck - Repair and Maintenance</t>
  </si>
  <si>
    <t>ATRI 2013 - An Analysis of the Operational Costs of Trucking 2013; http://atri-online.org/2013/09/04/an-analysis-of-the-operational-costs-of-trucking-a-2013-update-report-request/</t>
  </si>
  <si>
    <t>Commercial Carrier - HDV Truck - Tires</t>
  </si>
  <si>
    <t>Commercial Carrier - HDV Truck - Oil</t>
  </si>
  <si>
    <t>Cummins and ProFleet Truck Lube</t>
  </si>
  <si>
    <t>Diesel Commercial Truck Total</t>
  </si>
  <si>
    <t>Natural Gas (CNG/LNG) - Spark Ignition  - Commercial Truck Maintenance and Repair</t>
  </si>
  <si>
    <t>Natural Gas Spark Ignition - Commercial Truck Total</t>
  </si>
  <si>
    <t>LNG / Diesel Pilot Ignition - Compression Ignition  - Commercial Truck Maintenance and Repair</t>
  </si>
  <si>
    <t>http://www.westport.com/products/engines/15/faq/; Maintenance of the Westport 15L system coincides with regularly scheduled vehicle and engine maintenance intervals. For a typical maintenance schedule, see the Westport 15L Engine Specifications page.; http://www.westport.com/products/engines/15/specifications</t>
  </si>
  <si>
    <t>Commercial Carrier - HDV Truck - HPDI LNG equipment maintenance</t>
  </si>
  <si>
    <t>Used average value (range from $0.005-0.007/mile of incremental cost; slide 10 of Burke 2010 NGVA presentation http://www.cleanvehicle.org/conference/2010/images/JONATHANBURKE-WESTPORTGXUPDATE.pdf</t>
  </si>
  <si>
    <t>LNG / Diesel Pilot Ignition - Compression Ignition - Commercial Truck Total</t>
  </si>
  <si>
    <t>http://www.westport.com/products/engines/15/specifications</t>
  </si>
  <si>
    <t>Class 7/8 combination HD HEV maintenance</t>
  </si>
  <si>
    <t>NREL: Coca-Cola Hybrid Electric Delivery Trucks; http://www.nrel.gov/docs/fy12osti/53502.pdf</t>
  </si>
  <si>
    <t>Class 7/8 combination HD maintenance</t>
  </si>
  <si>
    <t>Semi-truck maintenance and repair</t>
  </si>
  <si>
    <t>The Per-mile Costs of Operating Automobiles and Trucks; http://www.lrrb.org/media/reports/200319.pdf</t>
  </si>
  <si>
    <t>Straight truck- pick-up/delivery van maintenance and repair</t>
  </si>
  <si>
    <t>Straight truck- industrial/construction maintenance and repair</t>
  </si>
  <si>
    <t>Incremental Diesel Hybrid Operation and Maintenance Cost</t>
  </si>
  <si>
    <t>NAS 2010_Technologies and Approaches to Reducing the Fuel Consumption of Medium- and Heavy-Duty Vehicles Table 6-21 and Table 6-22</t>
  </si>
  <si>
    <t>CNG Vehicle Maintenance (per mile)</t>
  </si>
  <si>
    <t>VICE model</t>
  </si>
  <si>
    <t>Diesel Vehicle Maintenance (per mile)</t>
  </si>
  <si>
    <t>Station</t>
  </si>
  <si>
    <t>Maintenance Facility</t>
  </si>
  <si>
    <t>Maintenance Facility Retrofit</t>
  </si>
  <si>
    <t>Battery Replacement</t>
  </si>
  <si>
    <t>Hydraulic Hybrids</t>
  </si>
  <si>
    <t>http://www.eaton.com/Eaton/OurCompany/NewsEvents/NewsReleases/PCT_199893</t>
  </si>
  <si>
    <t>Testing has shown a significant improvement in maintenance costs. Brake replacement cost can potentially be reduced by four times compared to a baseline truck.</t>
  </si>
  <si>
    <t>Transit Bus Maintenance</t>
  </si>
  <si>
    <t>Volpe; DOT model http://www.volpe.dot.gov/coi/ppoa/publiclands/projects/busandferrycost.html; http://ntl.bts.gov/lib/44000/44200/44244/Bus_Lifecycle_Cost_Model_User_s_Guide.pdf</t>
  </si>
  <si>
    <t>Shuttle/Cutaway Bus Maintenance</t>
  </si>
  <si>
    <t>School Bus Maintenance</t>
  </si>
  <si>
    <t>Transit Bus Maintenance Range</t>
  </si>
  <si>
    <t>$0.75-1.25</t>
  </si>
  <si>
    <t>Passenger Van Maintenance Range</t>
  </si>
  <si>
    <t>$0.60-0.75</t>
  </si>
  <si>
    <t>Battery Replacement Interval</t>
  </si>
  <si>
    <t>Overhaul Interval (miles/yrs)</t>
  </si>
  <si>
    <t>Engine Overhaul</t>
  </si>
  <si>
    <t>Transmission Overhaul</t>
  </si>
  <si>
    <t>Battery $/mi</t>
  </si>
  <si>
    <t>Engine $/mi</t>
  </si>
  <si>
    <t>Transmission $/mi</t>
  </si>
  <si>
    <t>Total w/battery replacement $/mi</t>
  </si>
  <si>
    <t>Total w/obattery replacement $/mi</t>
  </si>
  <si>
    <t>Hybrid Transit Bus/Shuttle/Cutaway/School Bus Battery Replacement</t>
  </si>
  <si>
    <t>Volpe = every 6 yrs, regardless of mileage</t>
  </si>
  <si>
    <t>Hybrid Transit Bus</t>
  </si>
  <si>
    <t>assume 30,000mi/yr = 180,000 mi</t>
  </si>
  <si>
    <t>Engine (V6) Overhaul</t>
  </si>
  <si>
    <t>Hybrid Shuttle/Cutaway</t>
  </si>
  <si>
    <t>Hybrid School Bus</t>
  </si>
  <si>
    <t>assume 15,000mi/yr = 180,000 mi</t>
  </si>
  <si>
    <t>Engine (V8) Overhaul</t>
  </si>
  <si>
    <t>Shuttle/Cutaway</t>
  </si>
  <si>
    <t>Large Transit Bus (=&gt; 40 ft) Maintenance Labor</t>
  </si>
  <si>
    <t>Bus Size Evaluation Tool (BSeT); http://www.nctr.usf.edu/pdf/77713.pdf</t>
  </si>
  <si>
    <t>Large Transit Bus (=&gt; 40 ft) Maintenance Parts</t>
  </si>
  <si>
    <t>Large Transit Bus (=&gt; 40 ft) Maintenance Total</t>
  </si>
  <si>
    <t>Small Transit Bus (=&lt; 40 ft) Maintenance Labor</t>
  </si>
  <si>
    <t>Small Transit Bus (=&lt; 40 ft) Maintenance Total</t>
  </si>
  <si>
    <t>Small Transit Bus (=&lt; 40 ft) Maintenance Parts</t>
  </si>
  <si>
    <t>School Bus Fleet - Parts</t>
  </si>
  <si>
    <t>Gloucester County, VA School District</t>
  </si>
  <si>
    <t>School Bus Fleet - Labor</t>
  </si>
  <si>
    <t>School Bus Fleet - Other - Includes Oil Change</t>
  </si>
  <si>
    <t>Total School Bus Maintenance</t>
  </si>
  <si>
    <t>School Bus Fleet - Tires/Batteries</t>
  </si>
  <si>
    <t>Michigan School Bus Officials Template</t>
  </si>
  <si>
    <t>School Bus Fleet - Labor (Mechanic Salary)</t>
  </si>
  <si>
    <t>School Bus Fleet - Contracted Maintenance Cost</t>
  </si>
  <si>
    <t>Average of Volpe, Gloucester, Michigan data sources</t>
  </si>
  <si>
    <t>Ricardo Maintenance Data</t>
  </si>
  <si>
    <t>http://www.aga.org/our-issues/natural-gas-vehicles/Pages/default.aspx; http://next10automotive.com/wp-content/uploads/2013/04/Ricardo.pdf</t>
  </si>
  <si>
    <t>incremental $mile</t>
  </si>
  <si>
    <t>Diesel Class 3 Delivery</t>
  </si>
  <si>
    <t>Ricardo; includes brake, oil change, fuel filter, and other</t>
  </si>
  <si>
    <t>N/A</t>
  </si>
  <si>
    <t>Diesel Class 4-6 Delivery</t>
  </si>
  <si>
    <t>Diesel Class 6 Work Truck</t>
  </si>
  <si>
    <t>Diesel Class 7-8 Delivery</t>
  </si>
  <si>
    <t>Diesel Class 8 Intercity</t>
  </si>
  <si>
    <t>NG Class 3 Delivery</t>
  </si>
  <si>
    <t>Ricardo; includes brake, oil change, fuel filter, CNG tank inspections and other</t>
  </si>
  <si>
    <t>NG Class 4-6 Delivery</t>
  </si>
  <si>
    <t>NG Class 6 Work Truck</t>
  </si>
  <si>
    <t>NG Class 7-8 Delivery</t>
  </si>
  <si>
    <t>NG Class 8 Intercity</t>
  </si>
  <si>
    <t>NG HEV Class 3 Delivery</t>
  </si>
  <si>
    <t>NG HEV Class 4-6 Delivery</t>
  </si>
  <si>
    <t>NG HEV Class 6 Work Truck</t>
  </si>
  <si>
    <t>NG HEV Class 7-8 Delivery</t>
  </si>
  <si>
    <t>NG HEV Class 8 Intercity</t>
  </si>
  <si>
    <t>Diesel HEV Class 3 Delivery</t>
  </si>
  <si>
    <t>Used incremental difference of NG Hybrid vs NG to modify diesel</t>
  </si>
  <si>
    <t>Diesel HEV Class 4-6 Delivery</t>
  </si>
  <si>
    <t>Diesel HEV Class 6 Work Truck</t>
  </si>
  <si>
    <t>Diesel HEV Class 7-8 Delivery</t>
  </si>
  <si>
    <t>Diesel HEV Class 8 Intercity</t>
  </si>
  <si>
    <t>EV Class 3 Delivery</t>
  </si>
  <si>
    <t>Used Diesel HEV values for braking and Other maintenance, subtracted out oil changes and fuel filters</t>
  </si>
  <si>
    <t>EV Class 4-6 Delivery</t>
  </si>
  <si>
    <t>EV Class 6 Work Truck</t>
  </si>
  <si>
    <t>EV Class 7-8 Delivery</t>
  </si>
  <si>
    <t>EV Class 8 Intercity</t>
  </si>
  <si>
    <t>Class 3</t>
  </si>
  <si>
    <t>Class 4-6</t>
  </si>
  <si>
    <t>Class 6</t>
  </si>
  <si>
    <t xml:space="preserve">Class 7-8 </t>
  </si>
  <si>
    <t>Class 8</t>
  </si>
  <si>
    <t>Delivery</t>
  </si>
  <si>
    <t>Work Truck</t>
  </si>
  <si>
    <t>Intercity</t>
  </si>
  <si>
    <t>Natural Gas</t>
  </si>
  <si>
    <t>NG Hybrid</t>
  </si>
  <si>
    <t>Brake Maintenance Cost</t>
  </si>
  <si>
    <t>Ricardo; http://www.aga.org/our-issues/natural-gas-vehicles/Pages/default.aspx</t>
  </si>
  <si>
    <t>Oil Change Maintenance Cost</t>
  </si>
  <si>
    <t>Fuel Filter Maintenance Cost</t>
  </si>
  <si>
    <t>Other Maintenance Costs</t>
  </si>
  <si>
    <t>Tires</t>
  </si>
  <si>
    <t>Other Repair Costs</t>
  </si>
  <si>
    <t xml:space="preserve">Ricardo and ATRI 2013 </t>
  </si>
  <si>
    <t>Total Maintenance Cost</t>
  </si>
  <si>
    <t>Depreciation - Light-Duty</t>
  </si>
  <si>
    <t>Vehicle</t>
  </si>
  <si>
    <t>% drop in value in year x from x-1</t>
  </si>
  <si>
    <t xml:space="preserve">Average rate; http://www.money-zine.com/calculators/auto-loan-calculators/car-depreciation-calculator/ -  </t>
  </si>
  <si>
    <t>Assumed the same as gasoline car</t>
  </si>
  <si>
    <t>FCV</t>
  </si>
  <si>
    <t>Depreciation - Heavy-Duty</t>
  </si>
  <si>
    <t>Diesel Hydraulic Hybrid</t>
  </si>
  <si>
    <t>Annual Average Vehicle Mileage Accumulation per Vehicle (miles)</t>
  </si>
  <si>
    <t>Inventory of U.S. Greenhouse Gas Emissions and Sinks: 1990-2013
(April 2015) EPA 430-R-14-003: ANNEX 3 Methodological Descriptions for Additional Source or Sink Categories</t>
  </si>
  <si>
    <t xml:space="preserve">Vehicle Age </t>
  </si>
  <si>
    <t>https://www3.epa.gov/climatechange/Downloads/ghgemissions/US-GHG-Inventory-2015-Annexes.pdf</t>
  </si>
  <si>
    <t>LDGV (light-duty gasoline vehicles)</t>
  </si>
  <si>
    <t>EPA chart starts at year 0, AFLEET starts at Project Year 1</t>
  </si>
  <si>
    <t>LDGV (light-duty gasoline trucks)</t>
  </si>
  <si>
    <t>HDGV (heavy-duty gasoline vehicles)</t>
  </si>
  <si>
    <t>LDDV (light-duty diesel vehicles)</t>
  </si>
  <si>
    <t>LDDT (light-duty diesel trucks)</t>
  </si>
  <si>
    <t>HDDV (heavy-duty diesel vehicles)</t>
  </si>
  <si>
    <t>MC (motorcycles)</t>
  </si>
  <si>
    <t>Mileage per Year as a Function of Year 1</t>
  </si>
  <si>
    <t>For TCO Calculations</t>
  </si>
  <si>
    <t>AFLEET LDVs</t>
  </si>
  <si>
    <t>Same mi/yr as default but LDGV is good option if wanting to estimate</t>
  </si>
  <si>
    <t>Same mi/yr as default but HDDV is good option if wanting to estimate</t>
  </si>
  <si>
    <t>MOVES Vehicle Types</t>
  </si>
  <si>
    <t>Vocation Types for each MOVES Category</t>
  </si>
  <si>
    <t>Vehicle Lifetime</t>
  </si>
  <si>
    <t>Average car lifetime</t>
  </si>
  <si>
    <t>TEDB 32; ORNL - Davis (2013) Transportation Energy Data Book 32
http://cta.ornl.gov/data/tedb32/Edition32_Chapter05.pdf</t>
  </si>
  <si>
    <t>Average light truck lifetime</t>
  </si>
  <si>
    <t>Average Light-Duty vehicle</t>
  </si>
  <si>
    <t>average of car and light truck</t>
  </si>
  <si>
    <t>Average heavy truck lifetime</t>
  </si>
  <si>
    <t>Assumed years of planned LDV and HDV ownership</t>
  </si>
  <si>
    <t xml:space="preserve">Assumed to be 15 years </t>
  </si>
  <si>
    <t>Natural Gas Incremental Tank Cost and Range</t>
  </si>
  <si>
    <t>Tank Config/Nominal Size</t>
  </si>
  <si>
    <t>Effective Size (DGE)</t>
  </si>
  <si>
    <t>Effective Range - Miles</t>
  </si>
  <si>
    <t>Full System Weight (full fuel)</t>
  </si>
  <si>
    <t>Additional Cost of Fuel System Installed</t>
  </si>
  <si>
    <t>What Set of Conditions Would Make the Business Case to Convert Heavy trucks to Natural-Gas-for-Heavy-Trucks_case study - Figure 3 (Deal 2012)</t>
  </si>
  <si>
    <t>75 diesel gallon</t>
  </si>
  <si>
    <t>(5) - 15 DGE behind cab</t>
  </si>
  <si>
    <t>(2) - 41 DGE side mounted</t>
  </si>
  <si>
    <t>(1) - 119 DGE side mounted</t>
  </si>
  <si>
    <t>(1) - 150 DGE side mounted</t>
  </si>
  <si>
    <t>(2) - 150 DGE side mounted</t>
  </si>
  <si>
    <t>LNG Westport</t>
  </si>
  <si>
    <t>What Set of Conditions Would Make the Business Case to Convert Heavy trucks to Natural-Gas-for-Heavy-Trucks_case study (Deal 2012)</t>
  </si>
  <si>
    <t>Infrastructure Cost Data</t>
  </si>
  <si>
    <t>Gasoline Station Cost</t>
  </si>
  <si>
    <t>New Public</t>
  </si>
  <si>
    <t>New Private</t>
  </si>
  <si>
    <t>Upgrade Public</t>
  </si>
  <si>
    <t>Upgrade Private</t>
  </si>
  <si>
    <t>Type of Gasoline Station</t>
  </si>
  <si>
    <t>Tanks</t>
  </si>
  <si>
    <t>http://www.afdc.energy.gov/uploads/publication/increasing_biofuel_deployment.pdf</t>
  </si>
  <si>
    <t>Dispensers</t>
  </si>
  <si>
    <t>Labor</t>
  </si>
  <si>
    <t>Land</t>
  </si>
  <si>
    <t>Total Station Cost</t>
  </si>
  <si>
    <t># of tanks (public stations)</t>
  </si>
  <si>
    <t># of tanks (private stations)</t>
  </si>
  <si>
    <t>Private Gasoline Station/EVSE Operation &amp; Maintenance Costs ($/yr)</t>
  </si>
  <si>
    <t># of dispensers (public stations)</t>
  </si>
  <si>
    <t># of dispensers (private stations)</t>
  </si>
  <si>
    <t>Operation</t>
  </si>
  <si>
    <t>Maintenance</t>
  </si>
  <si>
    <t>Total Private O&amp;M Cost</t>
  </si>
  <si>
    <t>Use average of 5-8% of upfront costs - http://www.afdc.energy.gov/pdfs/47919.pdf</t>
  </si>
  <si>
    <t>Conventional and Ethanol Station Equipment Cost</t>
  </si>
  <si>
    <t>E0-E10</t>
  </si>
  <si>
    <t>E15-E25</t>
  </si>
  <si>
    <t>Per Equipment</t>
  </si>
  <si>
    <t>Tank at existing station</t>
  </si>
  <si>
    <t>Tank at new station</t>
  </si>
  <si>
    <t>Dispenser</t>
  </si>
  <si>
    <t>Total Hanging Hardware Cost</t>
  </si>
  <si>
    <t>per dispenser</t>
  </si>
  <si>
    <t>Nozzle</t>
  </si>
  <si>
    <t>Breakaway</t>
  </si>
  <si>
    <t>Swivel</t>
  </si>
  <si>
    <t>Hose</t>
  </si>
  <si>
    <t>Whip hose</t>
  </si>
  <si>
    <t>Shear valve</t>
  </si>
  <si>
    <t>Total Tank (existing station), Dispenser, and Hanging Hardware Cost</t>
  </si>
  <si>
    <t>Total Tank (new station), Dispenser, and Hanging Hardware Cost</t>
  </si>
  <si>
    <t>Biodiesel FY2014 Q1 ARRA data</t>
  </si>
  <si>
    <t>Costs for a new Station</t>
  </si>
  <si>
    <t>Motor fuel equipment</t>
  </si>
  <si>
    <t>Technology</t>
  </si>
  <si>
    <t>Building</t>
  </si>
  <si>
    <t>Food service equipment</t>
  </si>
  <si>
    <t>Merchandise Equipment</t>
  </si>
  <si>
    <t>Car wash</t>
  </si>
  <si>
    <t>Beginning motor fuel inventory</t>
  </si>
  <si>
    <t>Beginning merchandise inventory</t>
  </si>
  <si>
    <t>Total Cost (w/ convenience store)</t>
  </si>
  <si>
    <t>Total Cost (w/o convenience store)</t>
  </si>
  <si>
    <t>Total Cost (w/o convenience store &amp; land)</t>
  </si>
  <si>
    <t>Diesel Station Cost</t>
  </si>
  <si>
    <t>Type of Diesel Station</t>
  </si>
  <si>
    <t>Assume same as gasoline - http://www.afdc.energy.gov/uploads/publication/increasing_biofuel_deployment.pdf</t>
  </si>
  <si>
    <t>Private Diesel Station/EVSE Operation &amp; Maintenance Costs ($/yr)</t>
  </si>
  <si>
    <t>EVSE Cost</t>
  </si>
  <si>
    <t>Level 1</t>
  </si>
  <si>
    <t>Level 2 - Home</t>
  </si>
  <si>
    <t>Level 2 - Parking Garage</t>
  </si>
  <si>
    <t>Level 2 - Curbside</t>
  </si>
  <si>
    <t>DC Fast</t>
  </si>
  <si>
    <t>Type of EVSE</t>
  </si>
  <si>
    <t>http://blog.rmi.org/blog_2014_04_29_pulling_back_the_veil_on_ev_charging_station_costs</t>
  </si>
  <si>
    <t>Single Station (Cost per charger)</t>
  </si>
  <si>
    <t>X Stations  (Cost per charger)</t>
  </si>
  <si>
    <t>5 Stations  (Cost per charger)</t>
  </si>
  <si>
    <t>Dual Station (Cost per charger)</t>
  </si>
  <si>
    <t>Hardware</t>
  </si>
  <si>
    <t>Elect. Materials</t>
  </si>
  <si>
    <t>Other Materials</t>
  </si>
  <si>
    <t>Electrician Labor</t>
  </si>
  <si>
    <t>Other Labor</t>
  </si>
  <si>
    <t>Mobilization</t>
  </si>
  <si>
    <t># of stations</t>
  </si>
  <si>
    <t>Permiting</t>
  </si>
  <si>
    <t>Transformer</t>
  </si>
  <si>
    <t>Total Hardware Cost</t>
  </si>
  <si>
    <t>Total Installation Cost</t>
  </si>
  <si>
    <t>Total EVSE Cost</t>
  </si>
  <si>
    <t>Private EVSE Operation &amp; Maintenance Costs ($/yr)</t>
  </si>
  <si>
    <t>Demand Charges</t>
  </si>
  <si>
    <t>Data and Connectivity</t>
  </si>
  <si>
    <t>EVSE Unit Cost Range in 2015</t>
  </si>
  <si>
    <t>EVSE Unit Cost Range</t>
  </si>
  <si>
    <t>Level 1 (Single Port)</t>
  </si>
  <si>
    <t>http://www.afdc.energy.gov/uploads/publication/evse_cost_report_2015.pdf</t>
  </si>
  <si>
    <t>$300-$1,500</t>
  </si>
  <si>
    <t>Level 2 (Single Port)</t>
  </si>
  <si>
    <t>$400-$6,500</t>
  </si>
  <si>
    <t>DC Fast Charge (Single Port)</t>
  </si>
  <si>
    <t>$10,000-$40,000</t>
  </si>
  <si>
    <t>DC Fast Charge (Dual Port)</t>
  </si>
  <si>
    <t>http://avt.inel.gov/pdf/presentations/CleanCitiesWebinarNovember2015.pdf</t>
  </si>
  <si>
    <t>$20,000-$36,000</t>
  </si>
  <si>
    <t>DC Fast Charge CHAdeMO Prices</t>
  </si>
  <si>
    <t>Max Amps</t>
  </si>
  <si>
    <t>http://www.pluginamerica.org/accessories</t>
  </si>
  <si>
    <t xml:space="preserve">Price </t>
  </si>
  <si>
    <t>Ballpark costs for installation of Level 1, Level 2, and DCFC EVSE (not including the EVSE unit)</t>
  </si>
  <si>
    <t>Average Installation Cost (per unit)</t>
  </si>
  <si>
    <t>Installation Cost Range (per unit)</t>
  </si>
  <si>
    <t>$0-$3,000</t>
  </si>
  <si>
    <t>Level 2</t>
  </si>
  <si>
    <t>$600-$12,700</t>
  </si>
  <si>
    <t>DC Fast Charge</t>
  </si>
  <si>
    <t>$4,000-$51,000</t>
  </si>
  <si>
    <t>EV Project - Public Level 2 EVSE Installation Costs</t>
  </si>
  <si>
    <t xml:space="preserve">Level 2 - Public </t>
  </si>
  <si>
    <t>$599-$12,660</t>
  </si>
  <si>
    <t>Level 2 - Workplace Wall</t>
  </si>
  <si>
    <t>$624-$5,960</t>
  </si>
  <si>
    <t>Level 2 - Workplace Pedestal</t>
  </si>
  <si>
    <t>$8,500-$50,000+</t>
  </si>
  <si>
    <t>DC Fast Charge Installation Costs</t>
  </si>
  <si>
    <t>http://www.nyc.gov/html/tlc/downloads/pdf/electric_taxi_task_force_report_20131231.pdf</t>
  </si>
  <si>
    <t>Easier Interior Garage</t>
  </si>
  <si>
    <t>480V service available and no concrete work; unit bolted to floor</t>
  </si>
  <si>
    <t>$5,000-$15,000</t>
  </si>
  <si>
    <t>Harder Interior Garage</t>
  </si>
  <si>
    <t>208V service available but it is low voltage and needs to be stepped up w/ transformer and associated indoor switches</t>
  </si>
  <si>
    <t>$15,000-$25,000</t>
  </si>
  <si>
    <t>Easier Surface Lot</t>
  </si>
  <si>
    <t>480V or 208V service available, transformer might be needed</t>
  </si>
  <si>
    <t>$20,000-$40,000</t>
  </si>
  <si>
    <t>Harder Surface Lot</t>
  </si>
  <si>
    <t>Needs new service or a step up transformer of existing service. Switchgear, asphalt/concrete work, etc. needed</t>
  </si>
  <si>
    <t>$40,000-$75000</t>
  </si>
  <si>
    <t>Easier Sidewalk</t>
  </si>
  <si>
    <t>480V or 208V service available from adjacent building w/ spare capacity</t>
  </si>
  <si>
    <t>$30,000-$50,000</t>
  </si>
  <si>
    <t>Harder Sidewalk</t>
  </si>
  <si>
    <t>$50,000-$85,000</t>
  </si>
  <si>
    <t>EVSE Annual Data and Network Costs</t>
  </si>
  <si>
    <t>Average Annual Network Cost (per unit)</t>
  </si>
  <si>
    <t>Cost Range (per unit)</t>
  </si>
  <si>
    <t>Connectivity</t>
  </si>
  <si>
    <t>$120-$420</t>
  </si>
  <si>
    <t>Network Maintenance</t>
  </si>
  <si>
    <t>Data and Connectivity - Average</t>
  </si>
  <si>
    <t>http://www.afdc.energy.gov/uploads/publication/evse_cost_report_2015.pdf; http://www.nyc.gov/html/tlc/downloads/pdf/electric_taxi_task_force_report_20131231.pdf</t>
  </si>
  <si>
    <t>$100-$900</t>
  </si>
  <si>
    <t>Utility Demand Charges</t>
  </si>
  <si>
    <t>Average Annual Demand Charge (per unit)</t>
  </si>
  <si>
    <t>EVSE</t>
  </si>
  <si>
    <t>Many utilities start demand charges at 20 kW and charge $10 to $20 per kW</t>
  </si>
  <si>
    <t>An EVSE site can experience demand charges from $0 to over $2,000/month</t>
  </si>
  <si>
    <t>DC Fast 50 kW Charger</t>
  </si>
  <si>
    <t>$19,200-$21,600/yr ($1,600-$1,800/month)</t>
  </si>
  <si>
    <t>EVSE Annual Maintenance Costs</t>
  </si>
  <si>
    <t>Average Annual Maintenance Cost (per unit)</t>
  </si>
  <si>
    <t>Maintenance Cost Range (per unit)</t>
  </si>
  <si>
    <t>http://luskin.ucla.edu/sites/default/files/Non-Residential%20Charging%20Stations.pdf</t>
  </si>
  <si>
    <t>assumes a maintenance cost of 10% of equipment costs</t>
  </si>
  <si>
    <t>DC Fast Charge - Indoor</t>
  </si>
  <si>
    <t>$700-$1,500</t>
  </si>
  <si>
    <t>DC Fast Charge - Outdoor</t>
  </si>
  <si>
    <t>$2,300-$3,100</t>
  </si>
  <si>
    <t>DC Fast Charge - Average</t>
  </si>
  <si>
    <t>G.H2 Station Cost</t>
  </si>
  <si>
    <t>Dispensing rate per station (GGE/day)</t>
  </si>
  <si>
    <t>Type of Gaseous Hydrogen Station</t>
  </si>
  <si>
    <t>Dispensing rate per station (GGE/yr)</t>
  </si>
  <si>
    <t>Station Equipment</t>
  </si>
  <si>
    <t>Equipment Installation</t>
  </si>
  <si>
    <t>Site Preparation and Design</t>
  </si>
  <si>
    <t>https://www.hydrogen.energy.gov/h2a_delivery.html</t>
  </si>
  <si>
    <t>Private H2 Station Operation &amp; Maintenance Costs ($/yr)</t>
  </si>
  <si>
    <t>~6.1% of total costs - HRSAM - https://www.hydrogen.energy.gov/h2a_delivery.html</t>
  </si>
  <si>
    <t>H2A Refueling Station Analysis Model (HRSAM) Version 1.1</t>
  </si>
  <si>
    <t>Dispensing rate (kg/day)</t>
  </si>
  <si>
    <t>Dispensing rate (kg/yr)</t>
  </si>
  <si>
    <t>Refrigeration Equipment</t>
  </si>
  <si>
    <t>Compressor(s)</t>
  </si>
  <si>
    <t>Dispenser(s)</t>
  </si>
  <si>
    <t>Cascade</t>
  </si>
  <si>
    <t>Safety Equipment</t>
  </si>
  <si>
    <t>Total Equipment</t>
  </si>
  <si>
    <t>Total Installed Equipment</t>
  </si>
  <si>
    <t>Site preparation and design</t>
  </si>
  <si>
    <t>Total Cost</t>
  </si>
  <si>
    <t>Installation cost as % of equipment cost</t>
  </si>
  <si>
    <t>Site preparation and design cost as % of total installated cost</t>
  </si>
  <si>
    <t>*Gaseous,tube-trailer supply, 700bar cascade dispensing</t>
  </si>
  <si>
    <t>Operation &amp; Maintenance</t>
  </si>
  <si>
    <t>O&amp;M cost as % of total installated cost</t>
  </si>
  <si>
    <t>O&amp;M cost as % of total cost</t>
  </si>
  <si>
    <t>O&amp;M includes: station labor, electricity cost, insurance, property taxes, licensing and permits, and capital operating, maintenance, and repairs</t>
  </si>
  <si>
    <t>HRSAM Equipment Assumptions</t>
  </si>
  <si>
    <t>Compressors</t>
  </si>
  <si>
    <t>Maximum number of vehicle back-to-back fills per HOSE during peak hours</t>
  </si>
  <si>
    <t xml:space="preserve">Number of Hoses </t>
  </si>
  <si>
    <t>Max. Dispensed Amount per Vehicle (kg)</t>
  </si>
  <si>
    <t>Total vehicle fill time (min)</t>
  </si>
  <si>
    <t>Vehicle Lingering time (min)</t>
  </si>
  <si>
    <t>JOBS H2 Model</t>
  </si>
  <si>
    <t>http://jobsfc.es.anl.gov/index.php?content=h2</t>
  </si>
  <si>
    <t>$/station</t>
  </si>
  <si>
    <t>Equipment Shipping</t>
  </si>
  <si>
    <t>Station Development and Installation</t>
  </si>
  <si>
    <t>Installation</t>
  </si>
  <si>
    <t>Station Development</t>
  </si>
  <si>
    <t>Land Cost</t>
  </si>
  <si>
    <t>Gaseous,tube-trailer supply, 700 bar cascade dispensing</t>
  </si>
  <si>
    <t>Biodiesel Station Cost</t>
  </si>
  <si>
    <t>Type of Biodiesel Station</t>
  </si>
  <si>
    <t>Private Biodiesel Station/EVSE Operation &amp; Maintenance Costs ($/yr)</t>
  </si>
  <si>
    <t>Assume higher end of range due to more maintenance, 5-8% of upfront costs - http://www.afdc.energy.gov/pdfs/47919.pdf and http://biodiesel.org/docs/using-hotline/nrel-handling-and-use.pdf?sfvrsn=4</t>
  </si>
  <si>
    <t>Ethanol Station Cost</t>
  </si>
  <si>
    <t>Type of E85 Station</t>
  </si>
  <si>
    <t>Assume higher end of range due to more maintenance, 5-8% of upfront costs - http://www.afdc.energy.gov/pdfs/47919.pdf and https://www.dep.state.fl.us/waste/quick_topics/publications/pss/tanks/ethanol/EthanolStorageinUSTandAST.pdf</t>
  </si>
  <si>
    <t>LPG Station Cost</t>
  </si>
  <si>
    <t>Type of Propane Station</t>
  </si>
  <si>
    <t>http://www.afdc.energy.gov/uploads/publication/propane_costs.pdf</t>
  </si>
  <si>
    <t>Private LPG Station Operation &amp; Maintenance Costs ($/yr)</t>
  </si>
  <si>
    <t>Type</t>
  </si>
  <si>
    <t>Small (Skid-Mounted) Station</t>
  </si>
  <si>
    <t>Medium Station</t>
  </si>
  <si>
    <t>Large Station</t>
  </si>
  <si>
    <t>Storage tank(s)</t>
  </si>
  <si>
    <t>1000 gallon tank</t>
  </si>
  <si>
    <t>Two 1000 gallon tanks</t>
  </si>
  <si>
    <t>12,000 gallon tank</t>
  </si>
  <si>
    <t>18,000 gallon tank</t>
  </si>
  <si>
    <t>30,000 gallon tank</t>
  </si>
  <si>
    <t>1 single-hose</t>
  </si>
  <si>
    <t>1 dual-hose</t>
  </si>
  <si>
    <t>2 dual-hose</t>
  </si>
  <si>
    <t>3 dual-hose</t>
  </si>
  <si>
    <t>4 dual-hose</t>
  </si>
  <si>
    <t>Approximate Daily Fuel Use (LPG gal/day)</t>
  </si>
  <si>
    <t>100 - 400</t>
  </si>
  <si>
    <t>200 - 800</t>
  </si>
  <si>
    <t>450 - 1800</t>
  </si>
  <si>
    <t>900 - 2400</t>
  </si>
  <si>
    <t>900 - 3000</t>
  </si>
  <si>
    <t>Cost Range</t>
  </si>
  <si>
    <t>$45,000-$60,000</t>
  </si>
  <si>
    <t>$60,000-$70,000</t>
  </si>
  <si>
    <t>$120,000-$145,000</t>
  </si>
  <si>
    <t>$150,000-$220,000</t>
  </si>
  <si>
    <t>$225,000-$300,000</t>
  </si>
  <si>
    <t>Average dispensing rate per station (LPG gal/day)</t>
  </si>
  <si>
    <t>Average dispensing rate per station (GGE/day)</t>
  </si>
  <si>
    <t>Average dispensing rate per station (GGE/yr)</t>
  </si>
  <si>
    <t>Average Cost</t>
  </si>
  <si>
    <t>Range of Estimated Equipment Costs</t>
  </si>
  <si>
    <t>Low Cost</t>
  </si>
  <si>
    <t>High Cost</t>
  </si>
  <si>
    <t>Storage Tank</t>
  </si>
  <si>
    <t>Tank Sensors</t>
  </si>
  <si>
    <t>http://www.google.com/url?sa=t&amp;rct=j&amp;q=&amp;esrc=s&amp;source=web&amp;cd=1&amp;ved=0CEYQFjAA&amp;url=http%3A%2F%2Fwww.propanecouncil.org%2FWorkArea%2FDownloadAsset.aspx%3Fid%3D7855&amp;ei=0ACWU4XZHsWMyATDyoLoCA&amp;usg=AFQjCNGOf8Qqfe5hc5bdhzXHIKU0XRHX2g&amp;sig2=G5RYQfmzeFWEgJOjKxnjWQ</t>
  </si>
  <si>
    <t>Pump &amp; Motor</t>
  </si>
  <si>
    <t>Fuel Management System</t>
  </si>
  <si>
    <t>Backup Generator</t>
  </si>
  <si>
    <t>Propane Station Cost</t>
  </si>
  <si>
    <t>http://www.ipd.anl.gov/anlpubs/2010/06/67243.pdf</t>
  </si>
  <si>
    <t>Base Model Propane Fueling Dispenser</t>
  </si>
  <si>
    <t>Propane Fueling Station, Fleet Applications</t>
  </si>
  <si>
    <t>Propane Fueling Station, Retail or Large Fleet</t>
  </si>
  <si>
    <t>Non-electronic meter, .5-hp pump</t>
  </si>
  <si>
    <t>Fully integrated electronic dispenser</t>
  </si>
  <si>
    <t>Fully functional electronic dispenser system</t>
  </si>
  <si>
    <t>Not recommended for motor fuel applications</t>
  </si>
  <si>
    <t>Interfaces with most major proprietary fuel management network cards</t>
  </si>
  <si>
    <t>Designed for retail and large fleet applications</t>
  </si>
  <si>
    <t>Records Word- or Excel-based transaction data</t>
  </si>
  <si>
    <t>Handles electronic point of sale (EPOS) credit card transactions</t>
  </si>
  <si>
    <t>Scenario</t>
  </si>
  <si>
    <t>#1</t>
  </si>
  <si>
    <t>#2</t>
  </si>
  <si>
    <t>#3</t>
  </si>
  <si>
    <t>#4</t>
  </si>
  <si>
    <t>#5</t>
  </si>
  <si>
    <t>Storage Volume</t>
  </si>
  <si>
    <t>500 gal</t>
  </si>
  <si>
    <t>1000 gal</t>
  </si>
  <si>
    <t>2000 gal</t>
  </si>
  <si>
    <t>15000 gal</t>
  </si>
  <si>
    <t>Dispenser Quantity, Type</t>
  </si>
  <si>
    <t>1, Turnkey</t>
  </si>
  <si>
    <t>2, Electronic</t>
  </si>
  <si>
    <t>4, Electronic</t>
  </si>
  <si>
    <t>1, Turnkey EPOS</t>
  </si>
  <si>
    <t>2, EPOS</t>
  </si>
  <si>
    <t>4, EPOS</t>
  </si>
  <si>
    <t>System Type</t>
  </si>
  <si>
    <t>Skid</t>
  </si>
  <si>
    <t>Fueling Island</t>
  </si>
  <si>
    <t>Estimated Avg Cost</t>
  </si>
  <si>
    <t>Compressed Natural Gas</t>
  </si>
  <si>
    <t>CNG Station Cost</t>
  </si>
  <si>
    <t>New Public: Fast-Fill</t>
  </si>
  <si>
    <t>New Private: Time-Fill</t>
  </si>
  <si>
    <t>New Private: Fast-Fill</t>
  </si>
  <si>
    <t>Upgrade Public: Fast-Fill</t>
  </si>
  <si>
    <t>Upgrade Private: Time-Fill</t>
  </si>
  <si>
    <t>Upgrade Private: Fast-Fill</t>
  </si>
  <si>
    <t>Type of Compressed Natural Gas Station</t>
  </si>
  <si>
    <t>http://www.afdc.energy.gov/uploads/publication/cng_infrastructure_costs.pdf</t>
  </si>
  <si>
    <t>Private CNG Station Operation &amp; Maintenance Costs ($/yr)</t>
  </si>
  <si>
    <t>Fast-Fill CNG Station Cost</t>
  </si>
  <si>
    <t>Starter Station</t>
  </si>
  <si>
    <t>Small Station</t>
  </si>
  <si>
    <t>Storage</t>
  </si>
  <si>
    <t>3,780 scf storage (30 GGE)</t>
  </si>
  <si>
    <t>16,250 scf storage (129 GGE)</t>
  </si>
  <si>
    <t>34,000 scf storage (270 GGE)</t>
  </si>
  <si>
    <t>55,000 scf storage (437 GGE)</t>
  </si>
  <si>
    <t>8-scfm (4.0 GGE/hr)</t>
  </si>
  <si>
    <t>40–75 scfm (19–24 GGE/hr)</t>
  </si>
  <si>
    <t>180–300 scfm (86–143 GGE/hr)</t>
  </si>
  <si>
    <t>2 compressors: 300–400 scfm (143–190 GGE/hr)</t>
  </si>
  <si>
    <t>1 single-hose (metered)</t>
  </si>
  <si>
    <t>1 dual-hose (metered)</t>
  </si>
  <si>
    <t>2 dual-hoses (metered)</t>
  </si>
  <si>
    <t>Inlet Gas Pressure (psi)</t>
  </si>
  <si>
    <t>2 - 5</t>
  </si>
  <si>
    <t>5 - 15</t>
  </si>
  <si>
    <t>30</t>
  </si>
  <si>
    <t>Approximate Daily Fuel Use (GGE/day)</t>
  </si>
  <si>
    <t>20 - 40</t>
  </si>
  <si>
    <t>100 - 200</t>
  </si>
  <si>
    <t>500 - 800</t>
  </si>
  <si>
    <t>1,500 - 2,000</t>
  </si>
  <si>
    <t>$45,000-$75,000</t>
  </si>
  <si>
    <t>$400,000-$600,000</t>
  </si>
  <si>
    <t>$700,000-$900,000</t>
  </si>
  <si>
    <t>$1,200,000-$1,800,000</t>
  </si>
  <si>
    <t>Average Equipment Cost</t>
  </si>
  <si>
    <t>Average Installation Cost</t>
  </si>
  <si>
    <t>Installation Cost % of Equipment Cost</t>
  </si>
  <si>
    <t>Time-Fill CNG Station Cost</t>
  </si>
  <si>
    <t>Basic Time-Fill</t>
  </si>
  <si>
    <t>1-scfm compressor (0.5 GGE/hr)</t>
  </si>
  <si>
    <t>2-scfm compressor (1.0 GGE/hr)</t>
  </si>
  <si>
    <t>8-scfm compressor (4.0 GGE/hr)</t>
  </si>
  <si>
    <t>20–50 scfm (10-24 GGE/hr)</t>
  </si>
  <si>
    <t>100–175 scfm (48–83 GGE/hr)</t>
  </si>
  <si>
    <t>2 dual-hoses</t>
  </si>
  <si>
    <t>10 dual-hoses</t>
  </si>
  <si>
    <t>0.25 - 2</t>
  </si>
  <si>
    <t>5 - 10</t>
  </si>
  <si>
    <t>5</t>
  </si>
  <si>
    <t>10</t>
  </si>
  <si>
    <t>$5,500-$6,500</t>
  </si>
  <si>
    <t>$9,000-$10,000</t>
  </si>
  <si>
    <t>$35,000-$50,000</t>
  </si>
  <si>
    <t>$250,000-$500,000</t>
  </si>
  <si>
    <t>$550,000-$850,000</t>
  </si>
  <si>
    <t>JOBS NG Model</t>
  </si>
  <si>
    <t>http://jobsmodels.es.anl.gov/index.php?content=h2</t>
  </si>
  <si>
    <t>Average dispensing rate per station (GGE/hour)</t>
  </si>
  <si>
    <t>model input</t>
  </si>
  <si>
    <t>Assumed 6 hour operation/day</t>
  </si>
  <si>
    <t>Average dispensing rate per station (GGE/year)</t>
  </si>
  <si>
    <t>Fast Station Cost</t>
  </si>
  <si>
    <t>Time Station Cost</t>
  </si>
  <si>
    <t>VICE 1.0 Model - Business Case for Compressed Natural Gas in Municipal Fleet</t>
  </si>
  <si>
    <t>Average dispensing rate per station (DGE/month)</t>
  </si>
  <si>
    <t>Fast Fill Station</t>
  </si>
  <si>
    <t>Transit Bus Scenario</t>
  </si>
  <si>
    <t>School Bus Scenario</t>
  </si>
  <si>
    <t>Trash Truck Scenario</t>
  </si>
  <si>
    <t>Average</t>
  </si>
  <si>
    <t>Liquefied Natural Gas</t>
  </si>
  <si>
    <t>LNG Station Cost</t>
  </si>
  <si>
    <t>Type of Liquefied Natural Gas Station</t>
  </si>
  <si>
    <t>https://www.aga.org/sites/default/files/legacy-assets/our-issues/natural-gas-vehicles/Documents/TIAX%20LNG%20Full%20Report.pdf</t>
  </si>
  <si>
    <t>LNG Station Cost based on Capacity</t>
  </si>
  <si>
    <t>Storage Capacity (LNG gallons)</t>
  </si>
  <si>
    <t>Storage Capacity Refill Frequency (#/year)</t>
  </si>
  <si>
    <t>Average dispensing rate per station (LNG gallons/year)</t>
  </si>
  <si>
    <t>LNG Station ($2015)</t>
  </si>
  <si>
    <t>LNG Station ($2010)</t>
  </si>
  <si>
    <t>CPI Inflation Calculator</t>
  </si>
  <si>
    <t>http://www.bls.gov/data/inflation_calculator.htm</t>
  </si>
  <si>
    <t>According to Clean Energy, the estimated cost of a large fleet LNG station with dispensing capacity of 4 to 20 million diesel gallons equivalent (DGE) per year ranges from $2.25 to $7.5 million.</t>
  </si>
  <si>
    <t>Clean Energy Large Fleet LNG Station Estimate</t>
  </si>
  <si>
    <t xml:space="preserve">https://www.aga.org/sites/default/files/legacy-assets/our-issues/natural-gas-vehicles/Documents/TIAX%20LNG%20Full%20Report.pdf; Clean Energy presentation to California Energy Commission at Integrated Energy Policy Report hearing
 </t>
  </si>
  <si>
    <t>Average dispensing rate per station (DGE/year)</t>
  </si>
  <si>
    <t>Average dispensing rate per station (LNG gal/year)</t>
  </si>
  <si>
    <t>LNG Station</t>
  </si>
  <si>
    <t>Depreciation - Stations/EVSE</t>
  </si>
  <si>
    <t>Assumed to be 10% depreciation; http://www.afdc.energy.gov/pdfs/47919.pdf suggests ~20% salvage value at end of life of a CNG station</t>
  </si>
  <si>
    <t>Assumed to be 10% depreciation; EVSE depreciation rates might be different than a refueling station; lifetime is unknown; though some have modeled it being 10 years; http://luskin.ucla.edu/sites/default/files/Non-Residential%20Charging%20Stations.pdf; http://www.afdc.energy.gov/pdfs/47919.pdf suggests ~20% salvage value at end of life of a CNG station</t>
  </si>
  <si>
    <t>Infrastructure Assumption</t>
  </si>
  <si>
    <t>Average lifetime</t>
  </si>
  <si>
    <t>Assumed to be 30 years to match max vehicle lifetime; EVSE lifetime is unknown; though some have modeled it being 10 years; http://luskin.ucla.edu/sites/default/files/Non-Residential%20Charging%20Stations.pdf</t>
  </si>
  <si>
    <t>Assumed years of planned ownership</t>
  </si>
  <si>
    <t>Assumed to be 15 years to match LDV lifetime; EVSE lifetime is unknown; though some have modeled it being 10 years; http://luskin.ucla.edu/sites/default/files/Non-Residential%20Charging%20Stations.pdf</t>
  </si>
  <si>
    <t>4. Electric Generation Mix: Data Table for On-Road Simulation</t>
  </si>
  <si>
    <t>U.S. Average Mix</t>
  </si>
  <si>
    <t>Alaska Systems Coordinating Council (ASCC)</t>
  </si>
  <si>
    <t>Florida Reliability Coordinating Council (FRCC)</t>
  </si>
  <si>
    <t>Hawaiian Islands Coordinating Council (HICC)</t>
  </si>
  <si>
    <t>Midwest Reliability Organization (MRO)</t>
  </si>
  <si>
    <t>Northeast Power Coordinating Council (NPCC)</t>
  </si>
  <si>
    <t>Reliability First Corporation (RFC)</t>
  </si>
  <si>
    <t>SERC Reliability Corporation (SERC)</t>
  </si>
  <si>
    <t>Southwest Power Pool (SPP)</t>
  </si>
  <si>
    <t>Texas Regional Entity (TRE)</t>
  </si>
  <si>
    <t>Western Electricity Coordinating Council (WECC)</t>
  </si>
  <si>
    <t xml:space="preserve">User Mix </t>
  </si>
  <si>
    <t>Residual oil</t>
  </si>
  <si>
    <t>Nuclear power</t>
  </si>
  <si>
    <t>Biomass</t>
  </si>
  <si>
    <t>Others (Wind, Solar, Hydro, etc)</t>
  </si>
  <si>
    <t>5. Electric Generation Mix for On-Road Simulation</t>
  </si>
  <si>
    <t>Mix for Transportation Use</t>
  </si>
  <si>
    <t>6. Electric Generation Mix: Data Table for Off-Road Simulation</t>
  </si>
  <si>
    <t>7. Electric Generation Mix for Off-Road Simulation</t>
  </si>
  <si>
    <t>Electric Generation Mixes</t>
  </si>
  <si>
    <t xml:space="preserve">U.S. Mix: Transportation Use </t>
  </si>
  <si>
    <t>U.S. Mix: Stationary Use</t>
  </si>
  <si>
    <t xml:space="preserve">ASCC Mix: Transportation Use </t>
  </si>
  <si>
    <t>ASCC Mix: Stationary Use</t>
  </si>
  <si>
    <t xml:space="preserve">FRCC Mix: Transportation Use </t>
  </si>
  <si>
    <t>FRCC Mix: Stationary Use</t>
  </si>
  <si>
    <t xml:space="preserve">HICC Mix: Transportation Use </t>
  </si>
  <si>
    <t>HICC Mix: Stationary Use</t>
  </si>
  <si>
    <t xml:space="preserve">MRO Mix: Transportation Use </t>
  </si>
  <si>
    <t>MRO Mix: Stationary Use</t>
  </si>
  <si>
    <t xml:space="preserve">NPCC Mix: Transportation Use </t>
  </si>
  <si>
    <t>NPCC Mix: Stationary Use</t>
  </si>
  <si>
    <t xml:space="preserve">RFC Mix: Transportation Use </t>
  </si>
  <si>
    <t>RFC Mix: Stationary Use</t>
  </si>
  <si>
    <t>5-year period</t>
  </si>
  <si>
    <t>Residual Oil</t>
  </si>
  <si>
    <t>Nuclear</t>
  </si>
  <si>
    <t>Others</t>
  </si>
  <si>
    <t xml:space="preserve">SERC Mix: Transportation Use </t>
  </si>
  <si>
    <t>SERC Mix: Stationary Use</t>
  </si>
  <si>
    <t xml:space="preserve">SPP Mix: Transportation Use </t>
  </si>
  <si>
    <t>SPP Mix: Stationary Use</t>
  </si>
  <si>
    <t xml:space="preserve">TRE Mix: Transportation Use </t>
  </si>
  <si>
    <t>TRE Mix: Stationary Use</t>
  </si>
  <si>
    <t xml:space="preserve">WECC Mix: Transportation Use </t>
  </si>
  <si>
    <t>WECC Mix: Stationary Use</t>
  </si>
  <si>
    <t xml:space="preserve">CA Mix: Transportation Use </t>
  </si>
  <si>
    <t>CA Mix: Stationary Use</t>
  </si>
  <si>
    <t xml:space="preserve">User Defined Mix: Transportation Use </t>
  </si>
  <si>
    <t>User Defined Mix: Stationary Use</t>
  </si>
  <si>
    <t>On-Road</t>
  </si>
  <si>
    <t>Off-Road</t>
  </si>
  <si>
    <t>Petroleum (Btu/mi)</t>
  </si>
  <si>
    <t>GHGs (g/mi)</t>
  </si>
  <si>
    <t>Water consumption (gal/mi)</t>
  </si>
  <si>
    <t>G.H2 (Refueling Station Electrolysis)</t>
  </si>
  <si>
    <t>G.H2 Production</t>
  </si>
  <si>
    <t>G.H2 Compression</t>
  </si>
  <si>
    <t>Electricity Use</t>
  </si>
  <si>
    <t>Feedstock Loss</t>
  </si>
  <si>
    <t>Electrolysis Water consumption</t>
  </si>
  <si>
    <t>Loss Factor</t>
  </si>
  <si>
    <t>Total Energy</t>
  </si>
  <si>
    <t>Water Consumption</t>
  </si>
  <si>
    <t>L.H2 (Refueling Station Electrolysis)</t>
  </si>
  <si>
    <t>G.H2 Liquefaction</t>
  </si>
  <si>
    <t>State Emission Factors</t>
  </si>
  <si>
    <t>EPA MOVES2014a - http://www.epa.gov/otaq/models/moves/index.htm</t>
  </si>
  <si>
    <t>Model Year of Vehicle in 2015</t>
  </si>
  <si>
    <t>Vehicle type</t>
  </si>
  <si>
    <t>Pollutant (g/mi)</t>
  </si>
  <si>
    <t>Combination long-haul truck, diesel</t>
  </si>
  <si>
    <t>Combination short-haul truck, diesel</t>
  </si>
  <si>
    <t>Light Commercial truck, diesel</t>
  </si>
  <si>
    <t>Light Commercial truck, gasoline</t>
  </si>
  <si>
    <t>Passenger car, diesel</t>
  </si>
  <si>
    <t>Passenger car, gasoline</t>
  </si>
  <si>
    <t>Passenger truck, diesel</t>
  </si>
  <si>
    <t>Passenger truck, gasoline</t>
  </si>
  <si>
    <t>Refuse truck, diesel</t>
  </si>
  <si>
    <t>School bus, diesel</t>
  </si>
  <si>
    <t>School bus, gasoline</t>
  </si>
  <si>
    <t>Single unit long-haul truck, diesel</t>
  </si>
  <si>
    <t>Single unit long-haul truck, gasoline</t>
  </si>
  <si>
    <t>Single unit short-haul truck, diesel</t>
  </si>
  <si>
    <t>Single unit short-haul truck, gasoline</t>
  </si>
  <si>
    <t>Transit bus, CNG</t>
  </si>
  <si>
    <t>Transit bus, diesel</t>
  </si>
  <si>
    <t>PM10 (TBW)</t>
  </si>
  <si>
    <t>PM2.5 (TBW)</t>
  </si>
  <si>
    <t xml:space="preserve">VOC </t>
  </si>
  <si>
    <t>Light commercial truck, diesel</t>
  </si>
  <si>
    <t>Light commercial truck, gasoline</t>
  </si>
  <si>
    <t>VOC (Evap)</t>
  </si>
  <si>
    <t>State Emission Factors for Use in AFLEET Tool</t>
  </si>
  <si>
    <t>New MY Vehicle -&gt;</t>
  </si>
  <si>
    <t>diesel</t>
  </si>
  <si>
    <t>gasoline</t>
  </si>
  <si>
    <t>National Emission Factors</t>
  </si>
  <si>
    <t>EPA MOVES 2010b (deterioration), EPA MOVES2014a  (MY values), GREET 1 2015 (MY values)</t>
  </si>
  <si>
    <t>Model Year - GREET 1 2015</t>
  </si>
  <si>
    <t>Deterioration Factor by Age (% of Age 0 emissions) - EPA MOVES2010b</t>
  </si>
  <si>
    <t>New</t>
  </si>
  <si>
    <t>DEQ</t>
  </si>
  <si>
    <t>% reduction with retrofit of technology</t>
  </si>
  <si>
    <t>HC</t>
  </si>
  <si>
    <t>SCR</t>
  </si>
  <si>
    <t>Diesel Oxidation Catalyst</t>
  </si>
  <si>
    <t>Diesel Oxidation Catalyst + ULSD</t>
  </si>
  <si>
    <t>Diesel Oxidation Catalyst + Closed Crankcase  Ventilation</t>
  </si>
  <si>
    <t>Diesel Oxidation Catalyst + Closed Crankcase  Ventilation + ULSD</t>
  </si>
  <si>
    <t>Diesel Particulate Filter</t>
  </si>
  <si>
    <t>Diesel Particulate Filter + ULSD</t>
  </si>
  <si>
    <t>Diesel Particulate Filter + Closed Crankcase Ventilation</t>
  </si>
  <si>
    <t>Exhaust Gas Recirculation + Diesel Particulate Filter</t>
  </si>
  <si>
    <t>Alternative Fuel Emission Factor Multipliers</t>
  </si>
  <si>
    <t>Alt Fuel Torque - Avg</t>
  </si>
  <si>
    <t>Conventional Torque - Avg</t>
  </si>
  <si>
    <t>Multiplier</t>
  </si>
  <si>
    <t>Application</t>
  </si>
  <si>
    <t>Torque (lb-ft)</t>
  </si>
  <si>
    <t>Pollutant</t>
  </si>
  <si>
    <t>Certification Year</t>
  </si>
  <si>
    <t>AFV</t>
  </si>
  <si>
    <t>Emission Type</t>
  </si>
  <si>
    <t>Conventional Engine/Vehicle</t>
  </si>
  <si>
    <t>Service/Engines</t>
  </si>
  <si>
    <t>(lb-ft)</t>
  </si>
  <si>
    <t>PM</t>
  </si>
  <si>
    <t>OMNMHCE</t>
  </si>
  <si>
    <t>FORM</t>
  </si>
  <si>
    <t>exhaust</t>
  </si>
  <si>
    <t>Diesel CI</t>
  </si>
  <si>
    <t>HHDD avg of 8.9 and 12</t>
  </si>
  <si>
    <t>http://epa.gov/otaq/cert/eng-cert/on-hwy/on-hwy13.xls</t>
  </si>
  <si>
    <t>average of 8.9 and 12</t>
  </si>
  <si>
    <t>Urban Bus 8.9</t>
  </si>
  <si>
    <t>MHDD 8.9</t>
  </si>
  <si>
    <t>Urban Bus</t>
  </si>
  <si>
    <t>Light Commercial</t>
  </si>
  <si>
    <t>Gasoline SI</t>
  </si>
  <si>
    <t>average</t>
  </si>
  <si>
    <t>LNG/D</t>
  </si>
  <si>
    <t>HHDD</t>
  </si>
  <si>
    <t>Light Truck</t>
  </si>
  <si>
    <t>http://www.epa.gov/otaq/crttst.htm</t>
  </si>
  <si>
    <t>assume the same as HEV</t>
  </si>
  <si>
    <t>evaporative</t>
  </si>
  <si>
    <t>CNG/LNG</t>
  </si>
  <si>
    <t>Combination Long-Haul Truck; Combination Short-Haul Truck</t>
  </si>
  <si>
    <t>Transit Bus/School Bus</t>
  </si>
  <si>
    <t>Single Unit Long-Haul Truck; Single Unit Short-Haul Truck</t>
  </si>
  <si>
    <t>Light Commercial; School Bus; Single Unit Long-Haul Truck; Single Unit Short-Haul Truck</t>
  </si>
  <si>
    <t>Emission</t>
  </si>
  <si>
    <t>EPA</t>
  </si>
  <si>
    <t>GREET1 2015</t>
  </si>
  <si>
    <t>EtOH FFV</t>
  </si>
  <si>
    <t>Bi-fuel CNGV on CNG</t>
  </si>
  <si>
    <t>Dedicated CNGV</t>
  </si>
  <si>
    <t>Dedicated LPGV</t>
  </si>
  <si>
    <t xml:space="preserve">Grid-Indpendent SI HEV: Gasoline </t>
  </si>
  <si>
    <t>Grid-connected SI PHEV: Gasoline CS Mode</t>
  </si>
  <si>
    <t>Biodiesel Blend</t>
  </si>
  <si>
    <t>VOC (Exhaust)</t>
  </si>
  <si>
    <t>VOC (Evap.)</t>
  </si>
  <si>
    <t>PM10 (Exhaust)</t>
  </si>
  <si>
    <t>PM2.5 (Exhaust)</t>
  </si>
  <si>
    <t>LDT1</t>
  </si>
  <si>
    <t>LDT2</t>
  </si>
  <si>
    <t>Heavy-Duty</t>
  </si>
  <si>
    <t>HEV: Diesel</t>
  </si>
  <si>
    <t>CNG`</t>
  </si>
  <si>
    <t>Hydraulic HEV: Diesel</t>
  </si>
  <si>
    <t xml:space="preserve"> HEV: Diesel</t>
  </si>
  <si>
    <t>HEV:Diesel</t>
  </si>
  <si>
    <t>Heavy HD Vocational Vehicles</t>
  </si>
  <si>
    <t>Medium HD Vocational Vehicles</t>
  </si>
  <si>
    <t>Light HD Vocational Vehicles</t>
  </si>
  <si>
    <t>Light HD Vocational</t>
  </si>
  <si>
    <t>Heavy-Duty Pick-Up Trucks and Vans:</t>
  </si>
  <si>
    <t>Refuse Trucks</t>
  </si>
  <si>
    <t>School Buses</t>
  </si>
  <si>
    <t>Transit Buses</t>
  </si>
  <si>
    <t>Diesel Cl</t>
  </si>
  <si>
    <t>AFLEET/MOVES Category</t>
  </si>
  <si>
    <t>GREET Category Used</t>
  </si>
  <si>
    <t>No engine</t>
  </si>
  <si>
    <t>Idling</t>
  </si>
  <si>
    <t>Idling fuel cost</t>
  </si>
  <si>
    <t>Idling Reduction (IR) Technology</t>
  </si>
  <si>
    <t>Payback Calculator</t>
  </si>
  <si>
    <t>Idling emissions</t>
  </si>
  <si>
    <t>Hours of idling (h/year)</t>
  </si>
  <si>
    <t>Device</t>
  </si>
  <si>
    <t>Cost of IR device ($)</t>
  </si>
  <si>
    <t>Idling fuel consumption (gal/h)</t>
  </si>
  <si>
    <t>Device fuel consumption (gal/h)</t>
  </si>
  <si>
    <t>Total cost of idling ($/year)</t>
  </si>
  <si>
    <t>VOC (g/hr)</t>
  </si>
  <si>
    <t>Fuel cost ($/gallon)</t>
  </si>
  <si>
    <t>Usage (h/year)</t>
  </si>
  <si>
    <t>Total cost of IR operation ($/year)</t>
  </si>
  <si>
    <t>THC (g/hr)</t>
  </si>
  <si>
    <t>Fuel economy (miles/gal)</t>
  </si>
  <si>
    <t>Maintenance of IR device ($/year)</t>
  </si>
  <si>
    <t>Savings using IR device ($/year)</t>
  </si>
  <si>
    <t>CO (g/hr)</t>
  </si>
  <si>
    <t>Idling miles (miles/year)</t>
  </si>
  <si>
    <t>Fuel used (gallons/year)</t>
  </si>
  <si>
    <t>Payback time (years)</t>
  </si>
  <si>
    <r>
      <t>NO</t>
    </r>
    <r>
      <rPr>
        <vertAlign val="subscript"/>
        <sz val="11"/>
        <color theme="1"/>
        <rFont val="Calibri"/>
        <family val="2"/>
        <scheme val="minor"/>
      </rPr>
      <t>x</t>
    </r>
    <r>
      <rPr>
        <sz val="11"/>
        <color theme="1"/>
        <rFont val="Calibri"/>
        <family val="2"/>
        <scheme val="minor"/>
      </rPr>
      <t xml:space="preserve"> (g/hr)</t>
    </r>
  </si>
  <si>
    <t>Idling fuel cost ($/year)</t>
  </si>
  <si>
    <t>Cost of fuel ($/year)</t>
  </si>
  <si>
    <r>
      <t>PM</t>
    </r>
    <r>
      <rPr>
        <vertAlign val="subscript"/>
        <sz val="11"/>
        <color theme="1"/>
        <rFont val="Calibri"/>
        <family val="2"/>
        <scheme val="minor"/>
      </rPr>
      <t>2.5</t>
    </r>
    <r>
      <rPr>
        <sz val="11"/>
        <color theme="1"/>
        <rFont val="Calibri"/>
        <family val="2"/>
        <scheme val="minor"/>
      </rPr>
      <t xml:space="preserve"> (g/hr)</t>
    </r>
  </si>
  <si>
    <t>Idling Maintenance</t>
  </si>
  <si>
    <t>Total cost of device operation ($/year)</t>
  </si>
  <si>
    <r>
      <t>PM</t>
    </r>
    <r>
      <rPr>
        <vertAlign val="subscript"/>
        <sz val="11"/>
        <color theme="1"/>
        <rFont val="Calibri"/>
        <family val="2"/>
        <scheme val="minor"/>
      </rPr>
      <t>10</t>
    </r>
    <r>
      <rPr>
        <sz val="11"/>
        <color theme="1"/>
        <rFont val="Calibri"/>
        <family val="2"/>
        <scheme val="minor"/>
      </rPr>
      <t xml:space="preserve"> (g/hr)</t>
    </r>
  </si>
  <si>
    <t>Oil Change cost ($)</t>
  </si>
  <si>
    <t>Electrified Parking Space (EPS)</t>
  </si>
  <si>
    <t>Oil change interval (miles)</t>
  </si>
  <si>
    <t>Cost ($/h)</t>
  </si>
  <si>
    <t>Cost ($/mile)</t>
  </si>
  <si>
    <t>Preventive Maintenance Cost ($/year)</t>
  </si>
  <si>
    <t>Cost of operation ($/year)</t>
  </si>
  <si>
    <t>Engine overhaul or new vehicle replacement</t>
  </si>
  <si>
    <t>Total Cost of IR operation ($/year)</t>
  </si>
  <si>
    <t>Engine overhaul or new vehicle cost ($)</t>
  </si>
  <si>
    <t>Interval between replacemnets (miles)</t>
  </si>
  <si>
    <t>Overhaul or Replacement idling costs ($)</t>
  </si>
  <si>
    <t>Total idling cost</t>
  </si>
  <si>
    <t xml:space="preserve">SW Idle factors (g/hr) from MOVES2010a </t>
  </si>
  <si>
    <t>Source:  David Brz, OTAQ, 12-21-11</t>
  </si>
  <si>
    <t xml:space="preserve">SmartWay 2.0.11 </t>
  </si>
  <si>
    <t>average of Jan and July factors</t>
  </si>
  <si>
    <t>Truck Tool Technical Documentation</t>
  </si>
  <si>
    <t>Truck Class</t>
  </si>
  <si>
    <t>United States Version</t>
  </si>
  <si>
    <t>Model Year</t>
  </si>
  <si>
    <t>HDGV</t>
  </si>
  <si>
    <t>LHDDV</t>
  </si>
  <si>
    <t>MHDDV</t>
  </si>
  <si>
    <t>HHDDV</t>
  </si>
  <si>
    <t>Annual Av</t>
  </si>
  <si>
    <t>NOX</t>
  </si>
  <si>
    <t>Total PM10</t>
  </si>
  <si>
    <t>Truck Class Definitions</t>
  </si>
  <si>
    <t xml:space="preserve">HDGV </t>
  </si>
  <si>
    <t>gasoline trucks - all classes</t>
  </si>
  <si>
    <t>diesel classes 2b - 5</t>
  </si>
  <si>
    <t>diesel classes 6 and 7</t>
  </si>
  <si>
    <t>diesel classes 8a and 8b</t>
  </si>
  <si>
    <t>Public Transit GHG Emissions Management Calculator</t>
  </si>
  <si>
    <t>http://www.ornl.gov/filedownload?ftp=e;dir=uP17ecuTxjsT</t>
  </si>
  <si>
    <t>From Zhenhong Lin (ORNL) and Ann Xu (Georgia Tech University)</t>
  </si>
  <si>
    <t>Vehicle Technology</t>
  </si>
  <si>
    <t>SI/CI</t>
  </si>
  <si>
    <t>Parallel Hybrid Electric</t>
  </si>
  <si>
    <t>Series Hybrid Electric</t>
  </si>
  <si>
    <t>Battery Electric (BE)</t>
  </si>
  <si>
    <t>Fuel Type</t>
  </si>
  <si>
    <t>Conventional Diesel</t>
  </si>
  <si>
    <t>Biodiesel 5</t>
  </si>
  <si>
    <t>Biodiesel 10</t>
  </si>
  <si>
    <t>Biodiesel 20</t>
  </si>
  <si>
    <t xml:space="preserve">Idle Emission Rates </t>
  </si>
  <si>
    <t>Atmospheric CO2</t>
  </si>
  <si>
    <t>g/sec</t>
  </si>
  <si>
    <t>Methane (CH4)</t>
  </si>
  <si>
    <t>Nitrous Oxide (N2O)</t>
  </si>
  <si>
    <t>Primary PM2.5 -Elemental Carbon</t>
  </si>
  <si>
    <t>Carbon Monoxide (CO)</t>
  </si>
  <si>
    <t>Volatile Organic Compounds</t>
  </si>
  <si>
    <t>Oxides of Nitrogen (NOx)</t>
  </si>
  <si>
    <t>Nitrogen Dioxide (NO2)</t>
  </si>
  <si>
    <t>Primary Exhaust PM2.5 -Total</t>
  </si>
  <si>
    <t>Primary Exhaust PM10 - Total</t>
  </si>
  <si>
    <t>Sulfur Dioxide (SO2)</t>
  </si>
  <si>
    <t>Fuel consumption during idle</t>
  </si>
  <si>
    <t>Linda Gaines - Idling Calculators</t>
  </si>
  <si>
    <t>http://www.transportation.anl.gov/engines/idling.html</t>
  </si>
  <si>
    <t>How much fuel is used for idling (gallons/hour)?</t>
  </si>
  <si>
    <t>Idling Fuel Use (gal/h)</t>
  </si>
  <si>
    <t>RPM</t>
  </si>
  <si>
    <t>AC off</t>
  </si>
  <si>
    <t>AC 50%</t>
  </si>
  <si>
    <t>AC on</t>
  </si>
  <si>
    <t>Locate your engine idling RPM and the percentage of time you run your air conditioning (AC) while idling. The corresponding number is approximately how much fuel you use to idle. For example, 800 RPM with no air conditioning consumes about 0.64 gallons of fuel an hour.</t>
  </si>
  <si>
    <t xml:space="preserve">  How much fuel is used for idling (gal/h)?</t>
  </si>
  <si>
    <t xml:space="preserve">   Engine Size for Example Vehicles</t>
  </si>
  <si>
    <t>Manufacturer</t>
  </si>
  <si>
    <t>Model</t>
  </si>
  <si>
    <t>Engine Size (liters)</t>
  </si>
  <si>
    <t xml:space="preserve">Idling Fuel Use </t>
  </si>
  <si>
    <t>Honda</t>
  </si>
  <si>
    <t>Civic</t>
  </si>
  <si>
    <t>(gal/h, no accessories)</t>
  </si>
  <si>
    <t>Accord</t>
  </si>
  <si>
    <t>Ford</t>
  </si>
  <si>
    <t>Fusion</t>
  </si>
  <si>
    <t>Toyota</t>
  </si>
  <si>
    <t>Camry</t>
  </si>
  <si>
    <t>Chevrolet</t>
  </si>
  <si>
    <t>Malibu</t>
  </si>
  <si>
    <t>Explorer</t>
  </si>
  <si>
    <t>Corvette</t>
  </si>
  <si>
    <t>Externality Cost Data</t>
  </si>
  <si>
    <t>AFLEET Externality Costs</t>
  </si>
  <si>
    <t>Petroleum Use</t>
  </si>
  <si>
    <t>2015$ per barrel</t>
  </si>
  <si>
    <t>GHG</t>
  </si>
  <si>
    <t>2015$ per short ton</t>
  </si>
  <si>
    <t>2015$ per pound</t>
  </si>
  <si>
    <t>PM10* (PM2.5-10)</t>
  </si>
  <si>
    <t>PM10* (TBW) (PM2.5-10)</t>
  </si>
  <si>
    <t>Oil Consumption Valuation</t>
  </si>
  <si>
    <t>Michalek 2011 - http://www.pnas.org/content/108/40/16554</t>
  </si>
  <si>
    <t>dollars</t>
  </si>
  <si>
    <t xml:space="preserve"> </t>
  </si>
  <si>
    <t>Low case</t>
  </si>
  <si>
    <t>Base case</t>
  </si>
  <si>
    <t>High case</t>
  </si>
  <si>
    <t>Supply disruption</t>
  </si>
  <si>
    <t>2010$ per gallon</t>
  </si>
  <si>
    <t>Monopsony premium</t>
  </si>
  <si>
    <t>Military spending</t>
  </si>
  <si>
    <t>2015$ per gallon</t>
  </si>
  <si>
    <t>Social Cost of CO2, 2015-2050 a (in 2007 Dollars per metric ton CO2)</t>
  </si>
  <si>
    <t>Discount Rate and Statistic</t>
  </si>
  <si>
    <t>5% Average</t>
  </si>
  <si>
    <t>3% Average</t>
  </si>
  <si>
    <t>2.5% Average</t>
  </si>
  <si>
    <t>3% 95th percentile</t>
  </si>
  <si>
    <t>2007$ per metric tonne</t>
  </si>
  <si>
    <t>2015$ per short ton;  3% used as central value https://www.whitehouse.gov/sites/default/files/omb/inforeg/social_cost_of_carbon_for_ria_2013_update.pdf</t>
  </si>
  <si>
    <t>Summary APEEP 2002 Updated Version - Marginal Damages Data</t>
  </si>
  <si>
    <t>NH3</t>
  </si>
  <si>
    <t>SO2</t>
  </si>
  <si>
    <t>U.S.</t>
  </si>
  <si>
    <t>2000$ per short ton</t>
  </si>
  <si>
    <t>max</t>
  </si>
  <si>
    <t>median</t>
  </si>
  <si>
    <t>min</t>
  </si>
  <si>
    <t>Carbon Monoxide APEEP Estimate</t>
  </si>
  <si>
    <t>Note</t>
  </si>
  <si>
    <t>nd.edu/~kshrader/interest/us-epa-2011-summary-report-costs-benefits%20of%20clean%20air%20act%20amendments.pdf</t>
  </si>
  <si>
    <t>CO benefits are not quantified in EPA estimates or APEEP, so at this time assume zero as default due to significant absolute emissions</t>
  </si>
  <si>
    <t>pnas.org/content/108/40/16554</t>
  </si>
  <si>
    <t>CO scaled by median PM10 based on  Michalek 2011 approach</t>
  </si>
  <si>
    <t>Victoria Transport Policy Institute: Transportation Cost and Benefit Analysis - Techniques, Estimates and Implications [Second Edition]</t>
  </si>
  <si>
    <t>http://www.vtpi.org/tca/</t>
  </si>
  <si>
    <t>January, 2009</t>
  </si>
  <si>
    <t>2007 U.S. Dollars Per Vehicle Mile</t>
  </si>
  <si>
    <t>Mode</t>
  </si>
  <si>
    <t>Average Car</t>
  </si>
  <si>
    <t>Compact Car</t>
  </si>
  <si>
    <t>Electric Car</t>
  </si>
  <si>
    <t>Van or Pickup</t>
  </si>
  <si>
    <t>Rideshare Passenger</t>
  </si>
  <si>
    <t>Diesel Bus</t>
  </si>
  <si>
    <t>Electric Trolley</t>
  </si>
  <si>
    <t>Motor-cycle</t>
  </si>
  <si>
    <t>Bicycle</t>
  </si>
  <si>
    <t>Walk</t>
  </si>
  <si>
    <t>Telework</t>
  </si>
  <si>
    <t>Internal</t>
  </si>
  <si>
    <t>Fixed</t>
  </si>
  <si>
    <t>Market</t>
  </si>
  <si>
    <t>Average Occupancy</t>
  </si>
  <si>
    <t>2007$</t>
  </si>
  <si>
    <t xml:space="preserve">  </t>
  </si>
  <si>
    <t>Vehicle Ownership</t>
  </si>
  <si>
    <t>Veh-Mile</t>
  </si>
  <si>
    <t>Vehicle Operation</t>
  </si>
  <si>
    <t>Operating Subsidy</t>
  </si>
  <si>
    <t>Travel Time</t>
  </si>
  <si>
    <t>Pass-Mile</t>
  </si>
  <si>
    <t>Internal Crash</t>
  </si>
  <si>
    <t>External Crash</t>
  </si>
  <si>
    <t>Internal Health Ben.</t>
  </si>
  <si>
    <t>External Health Ben.</t>
  </si>
  <si>
    <t>Internal Parking</t>
  </si>
  <si>
    <t>External Parking</t>
  </si>
  <si>
    <t>Congestion</t>
  </si>
  <si>
    <t>Road Facilities</t>
  </si>
  <si>
    <t>Land Value</t>
  </si>
  <si>
    <t>Traffic Services</t>
  </si>
  <si>
    <t>Transport Diversity</t>
  </si>
  <si>
    <t>Air Pollution</t>
  </si>
  <si>
    <t>Noise</t>
  </si>
  <si>
    <t>Resource Externalities</t>
  </si>
  <si>
    <t>Barrier Effect</t>
  </si>
  <si>
    <t>Land Use Impacts</t>
  </si>
  <si>
    <t>Water Pollution</t>
  </si>
  <si>
    <t>Waste</t>
  </si>
  <si>
    <t>Totals</t>
  </si>
  <si>
    <t>Unit Social Damage Estimates for Some Carbon Monoxide Emissions - Matthews and Lave 2000</t>
  </si>
  <si>
    <t>Studies</t>
  </si>
  <si>
    <t>Minimum</t>
  </si>
  <si>
    <t>Median</t>
  </si>
  <si>
    <t>Mean</t>
  </si>
  <si>
    <t>Max</t>
  </si>
  <si>
    <t>Carbon monoxide (CO)</t>
  </si>
  <si>
    <t>1992$ per short ton</t>
  </si>
  <si>
    <t>Nitrogen Oxides (NOx)</t>
  </si>
  <si>
    <t>Sulfur dioxide (SO2)</t>
  </si>
  <si>
    <t>Particulate matter (PM)</t>
  </si>
  <si>
    <t>Volatile organic compounds (VOCs)</t>
  </si>
  <si>
    <t>VOCs</t>
  </si>
  <si>
    <t>Health, Visibility, and Agriculture Cost of Emissions from Motor Vehicles - Delucchi, 2004</t>
  </si>
  <si>
    <t>https://www.researchgate.net/publication/242745402_SUMMARY_OF_THE_NONMONETARY_EXTERNALITIES_OF_MOTOR_VEHICLE_USE_Report_9_in_the_series_The_Annualized_Social_Cost_of_MotorVehicle_Use_in_the_United_States_based_on_1990-1991_Data</t>
  </si>
  <si>
    <t>Health</t>
  </si>
  <si>
    <t>Visibility</t>
  </si>
  <si>
    <t>Crops</t>
  </si>
  <si>
    <t>United States</t>
  </si>
  <si>
    <t>All urban areas</t>
  </si>
  <si>
    <t>Los Angeles</t>
  </si>
  <si>
    <t>low</t>
  </si>
  <si>
    <t>high</t>
  </si>
  <si>
    <t>1991$ per kilogram</t>
  </si>
  <si>
    <t>PM10 (PM2.5-10)</t>
  </si>
  <si>
    <t>VOC+NOx</t>
  </si>
  <si>
    <t>APEEP 2002 Updated Version - Marginal Damages Data</t>
  </si>
  <si>
    <t>https://sites.google.com/site/nickmullershomepage/home/ap2-apeep-model-2</t>
  </si>
  <si>
    <t>Aug 19, 2011</t>
  </si>
  <si>
    <t>See CPI table</t>
  </si>
  <si>
    <t>Ground Level Sources (2000$ per short ton)</t>
  </si>
  <si>
    <t>County</t>
  </si>
  <si>
    <t>FIPS Code</t>
  </si>
  <si>
    <t>AUTAUGA</t>
  </si>
  <si>
    <t>BALDWIN</t>
  </si>
  <si>
    <t>BARBOUR</t>
  </si>
  <si>
    <t>BIBB</t>
  </si>
  <si>
    <t>BLOUNT</t>
  </si>
  <si>
    <t>BULLOCK</t>
  </si>
  <si>
    <t>BUTLER</t>
  </si>
  <si>
    <t>CALHOUN</t>
  </si>
  <si>
    <t>CHAMBERS</t>
  </si>
  <si>
    <t>CHEROKEE</t>
  </si>
  <si>
    <t>CHILTON</t>
  </si>
  <si>
    <t>CHOCTAW</t>
  </si>
  <si>
    <t>CLARKE</t>
  </si>
  <si>
    <t>CLAY</t>
  </si>
  <si>
    <t>CLEBURNE</t>
  </si>
  <si>
    <t>COFFEE</t>
  </si>
  <si>
    <t>COLBERT</t>
  </si>
  <si>
    <t>CONECUH</t>
  </si>
  <si>
    <t>COOSA</t>
  </si>
  <si>
    <t>COVINGTON</t>
  </si>
  <si>
    <t>CRENSHAW</t>
  </si>
  <si>
    <t>CULLMAN</t>
  </si>
  <si>
    <t>DALE</t>
  </si>
  <si>
    <t>DALLAS</t>
  </si>
  <si>
    <t>DEKALB</t>
  </si>
  <si>
    <t>ELMORE</t>
  </si>
  <si>
    <t>ESCAMBIA</t>
  </si>
  <si>
    <t>ETOWAH</t>
  </si>
  <si>
    <t>FAYETTE</t>
  </si>
  <si>
    <t>FRANKLIN</t>
  </si>
  <si>
    <t>GENEVA</t>
  </si>
  <si>
    <t>GREENE</t>
  </si>
  <si>
    <t>HALE</t>
  </si>
  <si>
    <t>HENRY</t>
  </si>
  <si>
    <t>HOUSTON</t>
  </si>
  <si>
    <t>JACKSON</t>
  </si>
  <si>
    <t>JEFFERSON</t>
  </si>
  <si>
    <t>LAMAR</t>
  </si>
  <si>
    <t>LAUDERDALE</t>
  </si>
  <si>
    <t>LAWRENCE</t>
  </si>
  <si>
    <t>LEE</t>
  </si>
  <si>
    <t>LIMESTONE</t>
  </si>
  <si>
    <t>LOWNDES</t>
  </si>
  <si>
    <t>MACON</t>
  </si>
  <si>
    <t>MADISON</t>
  </si>
  <si>
    <t>MARENGO</t>
  </si>
  <si>
    <t>MARION</t>
  </si>
  <si>
    <t>MARSHALL</t>
  </si>
  <si>
    <t>MOBILE</t>
  </si>
  <si>
    <t>MONROE</t>
  </si>
  <si>
    <t>MONTGOMERY</t>
  </si>
  <si>
    <t>MORGAN</t>
  </si>
  <si>
    <t>PERRY</t>
  </si>
  <si>
    <t>PICKENS</t>
  </si>
  <si>
    <t>PIKE</t>
  </si>
  <si>
    <t>RANDOLPH</t>
  </si>
  <si>
    <t>RUSSELL</t>
  </si>
  <si>
    <t>ST. CLAIR</t>
  </si>
  <si>
    <t>SHELBY</t>
  </si>
  <si>
    <t>SUMTER</t>
  </si>
  <si>
    <t>TALLADEGA</t>
  </si>
  <si>
    <t>TALLAPOOSA</t>
  </si>
  <si>
    <t>TUSCALOOSA</t>
  </si>
  <si>
    <t>WALKER</t>
  </si>
  <si>
    <t>WILCOX</t>
  </si>
  <si>
    <t>WINSTON</t>
  </si>
  <si>
    <t>ALEUTIANS EAST BOROUGH</t>
  </si>
  <si>
    <t>x</t>
  </si>
  <si>
    <t>ALEUTIANS WEST CENSUS AREA</t>
  </si>
  <si>
    <t>ANCHORAGE MUNICIPALITY</t>
  </si>
  <si>
    <t>BETHEL CENSUS AREA</t>
  </si>
  <si>
    <t>BRISTOL BAY BOROUGH</t>
  </si>
  <si>
    <t>DENALI BOROUGH</t>
  </si>
  <si>
    <t>DILLINGHAM CENSUS AREA</t>
  </si>
  <si>
    <t>FAIRBANKS NORTH STAR BOROUGH</t>
  </si>
  <si>
    <t>HAINES BOROUGH</t>
  </si>
  <si>
    <t>HOONAH-ANGOON CENSUS AREA</t>
  </si>
  <si>
    <t>JUNEAU CITY AND BOROUGH</t>
  </si>
  <si>
    <t>KENAI PENINSULA BOROUGH</t>
  </si>
  <si>
    <t>KETCHIKAN GATEWAY BOROUGH</t>
  </si>
  <si>
    <t>KODIAK ISLAND BOROUGH</t>
  </si>
  <si>
    <t>LAKE AND PENINSULA BOROUGH</t>
  </si>
  <si>
    <t>MATANUSKA-SUSITNA BOROUGH</t>
  </si>
  <si>
    <t>NOME CENSUS AREA</t>
  </si>
  <si>
    <t>NORTH SLOPE BOROUGH</t>
  </si>
  <si>
    <t>NORTHWEST ARCTIC BOROUGH</t>
  </si>
  <si>
    <t>PETERSBURG CENSUS AREA</t>
  </si>
  <si>
    <t>PRINCE OF WALES-HYDER CENSUS AREA</t>
  </si>
  <si>
    <t>SITKA CITY AND BOROUGH</t>
  </si>
  <si>
    <t>SKAGWAY MUNICIPALITY</t>
  </si>
  <si>
    <t>SOUTHEAST FAIRBANKS CENSUS AREA</t>
  </si>
  <si>
    <t>VALDEZ-CORDOVA CENSUS AREA</t>
  </si>
  <si>
    <t>WADE HAMPTON CENSUS AREA</t>
  </si>
  <si>
    <t>WRANGELL CITY AND BOROUGH</t>
  </si>
  <si>
    <t>YAKUTAT CITY AND BOROUGH</t>
  </si>
  <si>
    <t>YUKON-KOYUKUK CENSUS AREA</t>
  </si>
  <si>
    <t>APACHE</t>
  </si>
  <si>
    <t>COCHISE</t>
  </si>
  <si>
    <t>COCONINO</t>
  </si>
  <si>
    <t>GILA</t>
  </si>
  <si>
    <t>GRAHAM</t>
  </si>
  <si>
    <t>GREENLEE</t>
  </si>
  <si>
    <t>LA PAZ</t>
  </si>
  <si>
    <t>MARICOPA</t>
  </si>
  <si>
    <t>MOHAVE</t>
  </si>
  <si>
    <t>NAVAJO</t>
  </si>
  <si>
    <t>PIMA</t>
  </si>
  <si>
    <t>PINAL</t>
  </si>
  <si>
    <t>SANTA CRUZ</t>
  </si>
  <si>
    <t>YAVAPAI</t>
  </si>
  <si>
    <t>YUMA</t>
  </si>
  <si>
    <t>ASHLEY</t>
  </si>
  <si>
    <t>BAXTER</t>
  </si>
  <si>
    <t>BENTON</t>
  </si>
  <si>
    <t>BOONE</t>
  </si>
  <si>
    <t>BRADLEY</t>
  </si>
  <si>
    <t>CARROLL</t>
  </si>
  <si>
    <t>CHICOT</t>
  </si>
  <si>
    <t>CLARK</t>
  </si>
  <si>
    <t>CLEVELAND</t>
  </si>
  <si>
    <t>COLUMBIA</t>
  </si>
  <si>
    <t>CONWAY</t>
  </si>
  <si>
    <t>CRAIGHEAD</t>
  </si>
  <si>
    <t>CRAWFORD</t>
  </si>
  <si>
    <t>CRITTENDEN</t>
  </si>
  <si>
    <t>CROSS</t>
  </si>
  <si>
    <t>DESHA</t>
  </si>
  <si>
    <t>DREW</t>
  </si>
  <si>
    <t>FAULKNER</t>
  </si>
  <si>
    <t>FULTON</t>
  </si>
  <si>
    <t>GARLAND</t>
  </si>
  <si>
    <t>GRANT</t>
  </si>
  <si>
    <t>HEMPSTEAD</t>
  </si>
  <si>
    <t>HOT SPRING</t>
  </si>
  <si>
    <t>HOWARD</t>
  </si>
  <si>
    <t>INDEPENDENCE</t>
  </si>
  <si>
    <t>IZARD</t>
  </si>
  <si>
    <t>JOHNSON</t>
  </si>
  <si>
    <t>LAFAYETTE</t>
  </si>
  <si>
    <t>LINCOLN</t>
  </si>
  <si>
    <t>LITTLE RIVER</t>
  </si>
  <si>
    <t>LOGAN</t>
  </si>
  <si>
    <t>LONOKE</t>
  </si>
  <si>
    <t>MILLER</t>
  </si>
  <si>
    <t>NEWTON</t>
  </si>
  <si>
    <t>OUACHITA</t>
  </si>
  <si>
    <t>PHILLIPS</t>
  </si>
  <si>
    <t>POINSETT</t>
  </si>
  <si>
    <t>POLK</t>
  </si>
  <si>
    <t>POPE</t>
  </si>
  <si>
    <t>PRAIRIE</t>
  </si>
  <si>
    <t>PULASKI</t>
  </si>
  <si>
    <t>ST. FRANCIS</t>
  </si>
  <si>
    <t>SALINE</t>
  </si>
  <si>
    <t>SCOTT</t>
  </si>
  <si>
    <t>SEARCY</t>
  </si>
  <si>
    <t>SEBASTIAN</t>
  </si>
  <si>
    <t>SEVIER</t>
  </si>
  <si>
    <t>SHARP</t>
  </si>
  <si>
    <t>STONE</t>
  </si>
  <si>
    <t>UNION</t>
  </si>
  <si>
    <t>VAN BUREN</t>
  </si>
  <si>
    <t>WHITE</t>
  </si>
  <si>
    <t>WOODRUFF</t>
  </si>
  <si>
    <t>YELL</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</si>
  <si>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</si>
  <si>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</si>
  <si>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</si>
  <si>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</si>
  <si>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</si>
  <si>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</si>
  <si>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</si>
  <si>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</si>
  <si>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</si>
  <si>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</si>
  <si>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</si>
  <si>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</si>
  <si>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</si>
  <si>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</si>
  <si>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</si>
  <si>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</si>
  <si>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</si>
  <si>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</si>
  <si>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</si>
  <si>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</si>
  <si>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</si>
  <si>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</si>
  <si>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</si>
  <si>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</si>
  <si>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</si>
  <si>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</si>
  <si>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</si>
  <si>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</si>
  <si>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ORANGE</t>
  </si>
  <si>
    <t>PLACER</t>
  </si>
  <si>
    <t>PLUMAS</t>
  </si>
  <si>
    <t>RIVERSIDE</t>
  </si>
  <si>
    <t>SACRAMENTO</t>
  </si>
  <si>
    <t>SAN BENITO</t>
  </si>
  <si>
    <t>SAN BERNARDINO</t>
  </si>
  <si>
    <t>SAN DIEGO</t>
  </si>
  <si>
    <t>SAN FRANCISCO</t>
  </si>
  <si>
    <t>SAN JOAQUIN</t>
  </si>
  <si>
    <t>SAN LUIS OBISPO</t>
  </si>
  <si>
    <t>SAN MATEO</t>
  </si>
  <si>
    <t>SANTA BARBARA</t>
  </si>
  <si>
    <t>SANTA CLARA</t>
  </si>
  <si>
    <t>SHASTA</t>
  </si>
  <si>
    <t>SIERRA</t>
  </si>
  <si>
    <t>SISKIYOU</t>
  </si>
  <si>
    <t>SOLANO</t>
  </si>
  <si>
    <t>SONOMA</t>
  </si>
  <si>
    <t>STANISLAUS</t>
  </si>
  <si>
    <t>SUTTER</t>
  </si>
  <si>
    <t>TEHAMA</t>
  </si>
  <si>
    <t>TRINITY</t>
  </si>
  <si>
    <t>TULARE</t>
  </si>
  <si>
    <t>TUOLUMNE</t>
  </si>
  <si>
    <t>VENTURA</t>
  </si>
  <si>
    <t>YOLO</t>
  </si>
  <si>
    <t>YUBA</t>
  </si>
  <si>
    <t>ADAMS</t>
  </si>
  <si>
    <t>ALAMOSA</t>
  </si>
  <si>
    <t>ARAPAHOE</t>
  </si>
  <si>
    <t>ARCHULETA</t>
  </si>
  <si>
    <t>BACA</t>
  </si>
  <si>
    <t>BENT</t>
  </si>
  <si>
    <t>BOULDER</t>
  </si>
  <si>
    <t>CHAFFEE</t>
  </si>
  <si>
    <t>CHEYENNE</t>
  </si>
  <si>
    <t>CLEAR CREEK</t>
  </si>
  <si>
    <t>CONEJOS</t>
  </si>
  <si>
    <t>COSTILLA</t>
  </si>
  <si>
    <t>CROWLEY</t>
  </si>
  <si>
    <t>CUSTER</t>
  </si>
  <si>
    <t>DELTA</t>
  </si>
  <si>
    <t>DENVER</t>
  </si>
  <si>
    <t>DOLORES</t>
  </si>
  <si>
    <t>DOUGLAS</t>
  </si>
  <si>
    <t>EAGLE</t>
  </si>
  <si>
    <t>ELBERT</t>
  </si>
  <si>
    <t>EL PASO</t>
  </si>
  <si>
    <t>FREMONT</t>
  </si>
  <si>
    <t>GARFIELD</t>
  </si>
  <si>
    <t>GILPIN</t>
  </si>
  <si>
    <t>GRAND</t>
  </si>
  <si>
    <t>GUNNISON</t>
  </si>
  <si>
    <t>HINSDALE</t>
  </si>
  <si>
    <t>HUERFANO</t>
  </si>
  <si>
    <t>KIOWA</t>
  </si>
  <si>
    <t>KIT CARSON</t>
  </si>
  <si>
    <t>LA PLATA</t>
  </si>
  <si>
    <t>LARIMER</t>
  </si>
  <si>
    <t>LAS ANIMAS</t>
  </si>
  <si>
    <t>MESA</t>
  </si>
  <si>
    <t>MINERAL</t>
  </si>
  <si>
    <t>MOFFAT</t>
  </si>
  <si>
    <t>MONTEZUMA</t>
  </si>
  <si>
    <t>MONTROSE</t>
  </si>
  <si>
    <t>OTERO</t>
  </si>
  <si>
    <t>OURAY</t>
  </si>
  <si>
    <t>PARK</t>
  </si>
  <si>
    <t>PITKIN</t>
  </si>
  <si>
    <t>PROWERS</t>
  </si>
  <si>
    <t>PUEBLO</t>
  </si>
  <si>
    <t>RIO BLANCO</t>
  </si>
  <si>
    <t>RIO GRANDE</t>
  </si>
  <si>
    <t>ROUTT</t>
  </si>
  <si>
    <t>SAGUACHE</t>
  </si>
  <si>
    <t>SAN JUAN</t>
  </si>
  <si>
    <t>SAN MIGUEL</t>
  </si>
  <si>
    <t>SEDGWICK</t>
  </si>
  <si>
    <t>SUMMIT</t>
  </si>
  <si>
    <t>TELLER</t>
  </si>
  <si>
    <t>WELD</t>
  </si>
  <si>
    <t>FAIRFIELD</t>
  </si>
  <si>
    <t>HARTFORD</t>
  </si>
  <si>
    <t>LITCHFIELD</t>
  </si>
  <si>
    <t>MIDDLESEX</t>
  </si>
  <si>
    <t>NEW HAVEN</t>
  </si>
  <si>
    <t>NEW LONDON</t>
  </si>
  <si>
    <t>TOLLAND</t>
  </si>
  <si>
    <t>WINDHAM</t>
  </si>
  <si>
    <t>KENT</t>
  </si>
  <si>
    <t>NEW CASTLE</t>
  </si>
  <si>
    <t>SUSSEX</t>
  </si>
  <si>
    <t>ALACHUA</t>
  </si>
  <si>
    <t>BAKER</t>
  </si>
  <si>
    <t>BAY</t>
  </si>
  <si>
    <t>BRADFORD</t>
  </si>
  <si>
    <t>BREVARD</t>
  </si>
  <si>
    <t>BROWARD</t>
  </si>
  <si>
    <t>CHARLOTTE</t>
  </si>
  <si>
    <t>CITRUS</t>
  </si>
  <si>
    <t>COLLIER</t>
  </si>
  <si>
    <t>MIAMI-DADE</t>
  </si>
  <si>
    <t>DESOTO</t>
  </si>
  <si>
    <t>DIXIE</t>
  </si>
  <si>
    <t>DUVAL</t>
  </si>
  <si>
    <t>FLAGLER</t>
  </si>
  <si>
    <t>GADSDEN</t>
  </si>
  <si>
    <t>GILCHRIST</t>
  </si>
  <si>
    <t>GLADES</t>
  </si>
  <si>
    <t>GULF</t>
  </si>
  <si>
    <t>HAMILTON</t>
  </si>
  <si>
    <t>HARDEE</t>
  </si>
  <si>
    <t>HENDRY</t>
  </si>
  <si>
    <t>HERNANDO</t>
  </si>
  <si>
    <t>HIGHLANDS</t>
  </si>
  <si>
    <t>HILLSBOROUGH</t>
  </si>
  <si>
    <t>HOLMES</t>
  </si>
  <si>
    <t>INDIAN RIVER</t>
  </si>
  <si>
    <t>LEON</t>
  </si>
  <si>
    <t>LEVY</t>
  </si>
  <si>
    <t>LIBERTY</t>
  </si>
  <si>
    <t>MANATEE</t>
  </si>
  <si>
    <t>MARTIN</t>
  </si>
  <si>
    <t>NASSAU</t>
  </si>
  <si>
    <t>OKALOOSA</t>
  </si>
  <si>
    <t>OKEECHOBEE</t>
  </si>
  <si>
    <t>OSCEOLA</t>
  </si>
  <si>
    <t>PALM BEACH</t>
  </si>
  <si>
    <t>PASCO</t>
  </si>
  <si>
    <t>PINELLAS</t>
  </si>
  <si>
    <t>PUTNAM</t>
  </si>
  <si>
    <t>ST. JOHNS</t>
  </si>
  <si>
    <t>ST. LUCIE</t>
  </si>
  <si>
    <t>SANTA ROSA</t>
  </si>
  <si>
    <t>SARASOTA</t>
  </si>
  <si>
    <t>SEMINOLE</t>
  </si>
  <si>
    <t>SUWANNEE</t>
  </si>
  <si>
    <t>TAYLOR</t>
  </si>
  <si>
    <t>VOLUSIA</t>
  </si>
  <si>
    <t>WAKULLA</t>
  </si>
  <si>
    <t>WALTON</t>
  </si>
  <si>
    <t>APPLING</t>
  </si>
  <si>
    <t>ATKINSON</t>
  </si>
  <si>
    <t>BACON</t>
  </si>
  <si>
    <t>BANKS</t>
  </si>
  <si>
    <t>BARROW</t>
  </si>
  <si>
    <t>BARTOW</t>
  </si>
  <si>
    <t>BEN HILL</t>
  </si>
  <si>
    <t>BERRIEN</t>
  </si>
  <si>
    <t>BLECKLEY</t>
  </si>
  <si>
    <t>BRANTLEY</t>
  </si>
  <si>
    <t>BROOKS</t>
  </si>
  <si>
    <t>BRYAN</t>
  </si>
  <si>
    <t>BULLOCH</t>
  </si>
  <si>
    <t>BURKE</t>
  </si>
  <si>
    <t>BUTTS</t>
  </si>
  <si>
    <t>CAMDEN</t>
  </si>
  <si>
    <t>CANDLER</t>
  </si>
  <si>
    <t>CATOOSA</t>
  </si>
  <si>
    <t>CHARLTON</t>
  </si>
  <si>
    <t>CHATHAM</t>
  </si>
  <si>
    <t>CHATTAHOOCHEE</t>
  </si>
  <si>
    <t>CHATTOOGA</t>
  </si>
  <si>
    <t>CLAYTON</t>
  </si>
  <si>
    <t>CLINCH</t>
  </si>
  <si>
    <t>COBB</t>
  </si>
  <si>
    <t>COLQUITT</t>
  </si>
  <si>
    <t>COOK</t>
  </si>
  <si>
    <t>COWETA</t>
  </si>
  <si>
    <t>CRISP</t>
  </si>
  <si>
    <t>DADE</t>
  </si>
  <si>
    <t>DAWSON</t>
  </si>
  <si>
    <t>DECATUR</t>
  </si>
  <si>
    <t>DODGE</t>
  </si>
  <si>
    <t>DOOLY</t>
  </si>
  <si>
    <t>DOUGHERTY</t>
  </si>
  <si>
    <t>EARLY</t>
  </si>
  <si>
    <t>ECHOLS</t>
  </si>
  <si>
    <t>EFFINGHAM</t>
  </si>
  <si>
    <t>EMANUEL</t>
  </si>
  <si>
    <t>EVANS</t>
  </si>
  <si>
    <t>FANNIN</t>
  </si>
  <si>
    <t>FLOYD</t>
  </si>
  <si>
    <t>FORSYTH</t>
  </si>
  <si>
    <t>GILMER</t>
  </si>
  <si>
    <t>GLASCOCK</t>
  </si>
  <si>
    <t>GLYNN</t>
  </si>
  <si>
    <t>GORDON</t>
  </si>
  <si>
    <t>GRADY</t>
  </si>
  <si>
    <t>GWINNETT</t>
  </si>
  <si>
    <t>HABERSHAM</t>
  </si>
  <si>
    <t>HALL</t>
  </si>
  <si>
    <t>HANCOCK</t>
  </si>
  <si>
    <t>HARALSON</t>
  </si>
  <si>
    <t>HARRIS</t>
  </si>
  <si>
    <t>HART</t>
  </si>
  <si>
    <t>HEARD</t>
  </si>
  <si>
    <t>IRWIN</t>
  </si>
  <si>
    <t>JASPER</t>
  </si>
  <si>
    <t>JEFF DAVIS</t>
  </si>
  <si>
    <t>JENKINS</t>
  </si>
  <si>
    <t>JONES</t>
  </si>
  <si>
    <t>LANIER</t>
  </si>
  <si>
    <t>LAURENS</t>
  </si>
  <si>
    <t>LONG</t>
  </si>
  <si>
    <t>LUMPKIN</t>
  </si>
  <si>
    <t>MCDUFFIE</t>
  </si>
  <si>
    <t>MCINTOSH</t>
  </si>
  <si>
    <t>MERIWETHER</t>
  </si>
  <si>
    <t>MITCHELL</t>
  </si>
  <si>
    <t>MURRAY</t>
  </si>
  <si>
    <t>MUSCOGEE</t>
  </si>
  <si>
    <t>OCONEE</t>
  </si>
  <si>
    <t>OGLETHORPE</t>
  </si>
  <si>
    <t>PAULDING</t>
  </si>
  <si>
    <t>PEACH</t>
  </si>
  <si>
    <t>PIERCE</t>
  </si>
  <si>
    <t>QUITMAN</t>
  </si>
  <si>
    <t>RABUN</t>
  </si>
  <si>
    <t>RICHMOND</t>
  </si>
  <si>
    <t>ROCKDALE</t>
  </si>
  <si>
    <t>SCHLEY</t>
  </si>
  <si>
    <t>SCREVEN</t>
  </si>
  <si>
    <t>SPALDING</t>
  </si>
  <si>
    <t>STEPHENS</t>
  </si>
  <si>
    <t>STEWART</t>
  </si>
  <si>
    <t>TALBOT</t>
  </si>
  <si>
    <t>TALIAFERRO</t>
  </si>
  <si>
    <t>TATTNALL</t>
  </si>
  <si>
    <t>TELFAIR</t>
  </si>
  <si>
    <t>TERRELL</t>
  </si>
  <si>
    <t>THOMAS</t>
  </si>
  <si>
    <t>TIFT</t>
  </si>
  <si>
    <t>TOOMBS</t>
  </si>
  <si>
    <t>TOWNS</t>
  </si>
  <si>
    <t>TREUTLEN</t>
  </si>
  <si>
    <t>TROUP</t>
  </si>
  <si>
    <t>TURNER</t>
  </si>
  <si>
    <t>TWIGGS</t>
  </si>
  <si>
    <t>UPSON</t>
  </si>
  <si>
    <t>WARE</t>
  </si>
  <si>
    <t>WARREN</t>
  </si>
  <si>
    <t>WAYNE</t>
  </si>
  <si>
    <t>WEBSTER</t>
  </si>
  <si>
    <t>WHEELER</t>
  </si>
  <si>
    <t>WHITFIELD</t>
  </si>
  <si>
    <t>WILKES</t>
  </si>
  <si>
    <t>WILKINSON</t>
  </si>
  <si>
    <t>WORTH</t>
  </si>
  <si>
    <t>HONOLULU</t>
  </si>
  <si>
    <t>KALAWAO</t>
  </si>
  <si>
    <t>KAUAI</t>
  </si>
  <si>
    <t>MAUI</t>
  </si>
  <si>
    <t>ADA</t>
  </si>
  <si>
    <t>BANNOCK</t>
  </si>
  <si>
    <t>BEAR LAKE</t>
  </si>
  <si>
    <t>BENEWAH</t>
  </si>
  <si>
    <t>BINGHAM</t>
  </si>
  <si>
    <t>BLAINE</t>
  </si>
  <si>
    <t>BOISE</t>
  </si>
  <si>
    <t>BONNER</t>
  </si>
  <si>
    <t>BONNEVILLE</t>
  </si>
  <si>
    <t>BOUNDARY</t>
  </si>
  <si>
    <t>CAMAS</t>
  </si>
  <si>
    <t>CANYON</t>
  </si>
  <si>
    <t>CARIBOU</t>
  </si>
  <si>
    <t>CASSIA</t>
  </si>
  <si>
    <t>CLEARWATER</t>
  </si>
  <si>
    <t>GEM</t>
  </si>
  <si>
    <t>GOODING</t>
  </si>
  <si>
    <t>JEROME</t>
  </si>
  <si>
    <t>KOOTENAI</t>
  </si>
  <si>
    <t>LATAH</t>
  </si>
  <si>
    <t>LEMHI</t>
  </si>
  <si>
    <t>LEWIS</t>
  </si>
  <si>
    <t>MINIDOKA</t>
  </si>
  <si>
    <t>NEZ PERCE</t>
  </si>
  <si>
    <t>ONEIDA</t>
  </si>
  <si>
    <t>OWYHEE</t>
  </si>
  <si>
    <t>PAYETTE</t>
  </si>
  <si>
    <t>POWER</t>
  </si>
  <si>
    <t>SHOSHONE</t>
  </si>
  <si>
    <t>TETON</t>
  </si>
  <si>
    <t>TWIN FALLS</t>
  </si>
  <si>
    <t>VALLEY</t>
  </si>
  <si>
    <t>ALEXANDER</t>
  </si>
  <si>
    <t>BOND</t>
  </si>
  <si>
    <t>BROWN</t>
  </si>
  <si>
    <t>BUREAU</t>
  </si>
  <si>
    <t>CASS</t>
  </si>
  <si>
    <t>CHAMPAIGN</t>
  </si>
  <si>
    <t>CHRISTIAN</t>
  </si>
  <si>
    <t>CLINTON</t>
  </si>
  <si>
    <t>COLES</t>
  </si>
  <si>
    <t>CUMBERLAND</t>
  </si>
  <si>
    <t>DE WITT</t>
  </si>
  <si>
    <t>DUPAGE</t>
  </si>
  <si>
    <t>EDGAR</t>
  </si>
  <si>
    <t>EDWARDS</t>
  </si>
  <si>
    <t>FORD</t>
  </si>
  <si>
    <t>GALLATIN</t>
  </si>
  <si>
    <t>GRUNDY</t>
  </si>
  <si>
    <t>HARDIN</t>
  </si>
  <si>
    <t>HENDERSON</t>
  </si>
  <si>
    <t>IROQUOIS</t>
  </si>
  <si>
    <t>JERSEY</t>
  </si>
  <si>
    <t>JO DAVIESS</t>
  </si>
  <si>
    <t>KANE</t>
  </si>
  <si>
    <t>KANKAKEE</t>
  </si>
  <si>
    <t>KENDALL</t>
  </si>
  <si>
    <t>KNOX</t>
  </si>
  <si>
    <t>LASALLE</t>
  </si>
  <si>
    <t>LIVINGSTON</t>
  </si>
  <si>
    <t>MCDONOUGH</t>
  </si>
  <si>
    <t>MCHENRY</t>
  </si>
  <si>
    <t>MCLEAN</t>
  </si>
  <si>
    <t>MACOUPIN</t>
  </si>
  <si>
    <t>MASON</t>
  </si>
  <si>
    <t>MASSAC</t>
  </si>
  <si>
    <t>MENARD</t>
  </si>
  <si>
    <t>MERCER</t>
  </si>
  <si>
    <t>MOULTRIE</t>
  </si>
  <si>
    <t>OGLE</t>
  </si>
  <si>
    <t>PEORIA</t>
  </si>
  <si>
    <t>PIATT</t>
  </si>
  <si>
    <t>RICHLAND</t>
  </si>
  <si>
    <t>ROCK ISLAND</t>
  </si>
  <si>
    <t>SANGAMON</t>
  </si>
  <si>
    <t>SCHUYLER</t>
  </si>
  <si>
    <t>STARK</t>
  </si>
  <si>
    <t>STEPHENSON</t>
  </si>
  <si>
    <t>TAZEWELL</t>
  </si>
  <si>
    <t>VERMILION</t>
  </si>
  <si>
    <t>WABASH</t>
  </si>
  <si>
    <t>WHITESIDE</t>
  </si>
  <si>
    <t>WILL</t>
  </si>
  <si>
    <t>WILLIAMSON</t>
  </si>
  <si>
    <t>WINNEBAGO</t>
  </si>
  <si>
    <t>WOODFORD</t>
  </si>
  <si>
    <t>ALLEN</t>
  </si>
  <si>
    <t>BARTHOLOMEW</t>
  </si>
  <si>
    <t>BLACKFORD</t>
  </si>
  <si>
    <t>DAVIESS</t>
  </si>
  <si>
    <t>DEARBORN</t>
  </si>
  <si>
    <t>DUBOIS</t>
  </si>
  <si>
    <t>ELKHART</t>
  </si>
  <si>
    <t>FOUNTAIN</t>
  </si>
  <si>
    <t>GIBSON</t>
  </si>
  <si>
    <t>HARRISON</t>
  </si>
  <si>
    <t>HENDRICKS</t>
  </si>
  <si>
    <t>HUNTINGTON</t>
  </si>
  <si>
    <t>JAY</t>
  </si>
  <si>
    <t>JENNINGS</t>
  </si>
  <si>
    <t>KOSCIUSKO</t>
  </si>
  <si>
    <t>LAGRANGE</t>
  </si>
  <si>
    <t>LAPORTE</t>
  </si>
  <si>
    <t>MIAMI</t>
  </si>
  <si>
    <t>NOBLE</t>
  </si>
  <si>
    <t>OWEN</t>
  </si>
  <si>
    <t>PARKE</t>
  </si>
  <si>
    <t>PORTER</t>
  </si>
  <si>
    <t>POSEY</t>
  </si>
  <si>
    <t>RIPLEY</t>
  </si>
  <si>
    <t>RUSH</t>
  </si>
  <si>
    <t>ST. JOSEPH</t>
  </si>
  <si>
    <t>SPENCER</t>
  </si>
  <si>
    <t>STARKE</t>
  </si>
  <si>
    <t>STEUBEN</t>
  </si>
  <si>
    <t>SULLIVAN</t>
  </si>
  <si>
    <t>SWITZERLAND</t>
  </si>
  <si>
    <t>TIPPECANOE</t>
  </si>
  <si>
    <t>TIPTON</t>
  </si>
  <si>
    <t>VANDERBURGH</t>
  </si>
  <si>
    <t>VERMILLION</t>
  </si>
  <si>
    <t>VIGO</t>
  </si>
  <si>
    <t>WARRICK</t>
  </si>
  <si>
    <t>WELLS</t>
  </si>
  <si>
    <t>WHITLEY</t>
  </si>
  <si>
    <t>ADAIR</t>
  </si>
  <si>
    <t>ALLAMAKEE</t>
  </si>
  <si>
    <t>APPANOOSE</t>
  </si>
  <si>
    <t>AUDUBON</t>
  </si>
  <si>
    <t>BLACK HAWK</t>
  </si>
  <si>
    <t>BREMER</t>
  </si>
  <si>
    <t>BUCHANAN</t>
  </si>
  <si>
    <t>BUENA VISTA</t>
  </si>
  <si>
    <t>CEDAR</t>
  </si>
  <si>
    <t>CERRO GORDO</t>
  </si>
  <si>
    <t>CHICKASAW</t>
  </si>
  <si>
    <t>DAVIS</t>
  </si>
  <si>
    <t>DES MOINES</t>
  </si>
  <si>
    <t>DICKINSON</t>
  </si>
  <si>
    <t>DUBUQUE</t>
  </si>
  <si>
    <t>EMMET</t>
  </si>
  <si>
    <t>GUTHRIE</t>
  </si>
  <si>
    <t>IDA</t>
  </si>
  <si>
    <t>KEOKUK</t>
  </si>
  <si>
    <t>KOSSUTH</t>
  </si>
  <si>
    <t>LINN</t>
  </si>
  <si>
    <t>LOUISA</t>
  </si>
  <si>
    <t>LUCAS</t>
  </si>
  <si>
    <t>LYON</t>
  </si>
  <si>
    <t>MAHASKA</t>
  </si>
  <si>
    <t>MILLS</t>
  </si>
  <si>
    <t>MONONA</t>
  </si>
  <si>
    <t>MUSCATINE</t>
  </si>
  <si>
    <t>O'BRIEN</t>
  </si>
  <si>
    <t>PAGE</t>
  </si>
  <si>
    <t>PALO ALTO</t>
  </si>
  <si>
    <t>PLYMOUTH</t>
  </si>
  <si>
    <t>POCAHONTAS</t>
  </si>
  <si>
    <t>POTTAWATTAMIE</t>
  </si>
  <si>
    <t>POWESHIEK</t>
  </si>
  <si>
    <t>RINGGOLD</t>
  </si>
  <si>
    <t>SAC</t>
  </si>
  <si>
    <t>SIOUX</t>
  </si>
  <si>
    <t>STORY</t>
  </si>
  <si>
    <t>TAMA</t>
  </si>
  <si>
    <t>WAPELLO</t>
  </si>
  <si>
    <t>WINNESHIEK</t>
  </si>
  <si>
    <t>WOODBURY</t>
  </si>
  <si>
    <t>WRIGHT</t>
  </si>
  <si>
    <t>ANDERSON</t>
  </si>
  <si>
    <t>ATCHISON</t>
  </si>
  <si>
    <t>BARBER</t>
  </si>
  <si>
    <t>BARTON</t>
  </si>
  <si>
    <t>BOURBON</t>
  </si>
  <si>
    <t>CHASE</t>
  </si>
  <si>
    <t>CHAUTAUQUA</t>
  </si>
  <si>
    <t>CLOUD</t>
  </si>
  <si>
    <t>COFFEY</t>
  </si>
  <si>
    <t>COMANCHE</t>
  </si>
  <si>
    <t>COWLEY</t>
  </si>
  <si>
    <t>DONIPHAN</t>
  </si>
  <si>
    <t>ELK</t>
  </si>
  <si>
    <t>ELLIS</t>
  </si>
  <si>
    <t>ELLSWORTH</t>
  </si>
  <si>
    <t>FINNEY</t>
  </si>
  <si>
    <t>GEARY</t>
  </si>
  <si>
    <t>GOVE</t>
  </si>
  <si>
    <t>GRAY</t>
  </si>
  <si>
    <t>GREELEY</t>
  </si>
  <si>
    <t>GREENWOOD</t>
  </si>
  <si>
    <t>HARPER</t>
  </si>
  <si>
    <t>HARVEY</t>
  </si>
  <si>
    <t>HASKELL</t>
  </si>
  <si>
    <t>HODGEMAN</t>
  </si>
  <si>
    <t>JEWELL</t>
  </si>
  <si>
    <t>KEARNY</t>
  </si>
  <si>
    <t>KINGMAN</t>
  </si>
  <si>
    <t>LABETTE</t>
  </si>
  <si>
    <t>LANE</t>
  </si>
  <si>
    <t>LEAVENWORTH</t>
  </si>
  <si>
    <t>MCPHERSON</t>
  </si>
  <si>
    <t>MEADE</t>
  </si>
  <si>
    <t>MORRIS</t>
  </si>
  <si>
    <t>MORTON</t>
  </si>
  <si>
    <t>NEMAHA</t>
  </si>
  <si>
    <t>NEOSHO</t>
  </si>
  <si>
    <t>NESS</t>
  </si>
  <si>
    <t>NORTON</t>
  </si>
  <si>
    <t>OSAGE</t>
  </si>
  <si>
    <t>OSBORNE</t>
  </si>
  <si>
    <t>OTTAWA</t>
  </si>
  <si>
    <t>PAWNEE</t>
  </si>
  <si>
    <t>POTTAWATOMIE</t>
  </si>
  <si>
    <t>PRATT</t>
  </si>
  <si>
    <t>RAWLINS</t>
  </si>
  <si>
    <t>RENO</t>
  </si>
  <si>
    <t>REPUBLIC</t>
  </si>
  <si>
    <t>RICE</t>
  </si>
  <si>
    <t>RILEY</t>
  </si>
  <si>
    <t>ROOKS</t>
  </si>
  <si>
    <t>SEWARD</t>
  </si>
  <si>
    <t>SHAWNEE</t>
  </si>
  <si>
    <t>SHERIDAN</t>
  </si>
  <si>
    <t>SHERMAN</t>
  </si>
  <si>
    <t>SMITH</t>
  </si>
  <si>
    <t>STAFFORD</t>
  </si>
  <si>
    <t>STANTON</t>
  </si>
  <si>
    <t>STEVENS</t>
  </si>
  <si>
    <t>SUMNER</t>
  </si>
  <si>
    <t>TREGO</t>
  </si>
  <si>
    <t>WABAUNSEE</t>
  </si>
  <si>
    <t>WALLACE</t>
  </si>
  <si>
    <t>WICHITA</t>
  </si>
  <si>
    <t>WILSON</t>
  </si>
  <si>
    <t>WOODSON</t>
  </si>
  <si>
    <t>WYANDOTTE</t>
  </si>
  <si>
    <t>BALLARD</t>
  </si>
  <si>
    <t>BARREN</t>
  </si>
  <si>
    <t>BATH</t>
  </si>
  <si>
    <t>BELL</t>
  </si>
  <si>
    <t>BOYD</t>
  </si>
  <si>
    <t>BOYLE</t>
  </si>
  <si>
    <t>BRACKEN</t>
  </si>
  <si>
    <t>BREATHITT</t>
  </si>
  <si>
    <t>BRECKINRIDGE</t>
  </si>
  <si>
    <t>BULLITT</t>
  </si>
  <si>
    <t>CALDWELL</t>
  </si>
  <si>
    <t>CALLOWAY</t>
  </si>
  <si>
    <t>CAMPBELL</t>
  </si>
  <si>
    <t>CARLISLE</t>
  </si>
  <si>
    <t>CARTER</t>
  </si>
  <si>
    <t>CASEY</t>
  </si>
  <si>
    <t>EDMONSON</t>
  </si>
  <si>
    <t>ELLIOTT</t>
  </si>
  <si>
    <t>ESTILL</t>
  </si>
  <si>
    <t>FLEMING</t>
  </si>
  <si>
    <t>GARRARD</t>
  </si>
  <si>
    <t>GRAVES</t>
  </si>
  <si>
    <t>GRAYSON</t>
  </si>
  <si>
    <t>GREEN</t>
  </si>
  <si>
    <t>GREENUP</t>
  </si>
  <si>
    <t>HARLAN</t>
  </si>
  <si>
    <t>HICKMAN</t>
  </si>
  <si>
    <t>HOPKINS</t>
  </si>
  <si>
    <t>JESSAMINE</t>
  </si>
  <si>
    <t>KENTON</t>
  </si>
  <si>
    <t>KNOTT</t>
  </si>
  <si>
    <t>LARUE</t>
  </si>
  <si>
    <t>LAUREL</t>
  </si>
  <si>
    <t>LESLIE</t>
  </si>
  <si>
    <t>LETCHER</t>
  </si>
  <si>
    <t>MCCRACKEN</t>
  </si>
  <si>
    <t>MCCREARY</t>
  </si>
  <si>
    <t>MAGOFFIN</t>
  </si>
  <si>
    <t>MENIFEE</t>
  </si>
  <si>
    <t>METCALFE</t>
  </si>
  <si>
    <t>MUHLENBERG</t>
  </si>
  <si>
    <t>NELSON</t>
  </si>
  <si>
    <t>NICHOLAS</t>
  </si>
  <si>
    <t>OLDHAM</t>
  </si>
  <si>
    <t>OWSLEY</t>
  </si>
  <si>
    <t>PENDLETON</t>
  </si>
  <si>
    <t>POWELL</t>
  </si>
  <si>
    <t>ROBERTSON</t>
  </si>
  <si>
    <t>ROCKCASTLE</t>
  </si>
  <si>
    <t>ROWAN</t>
  </si>
  <si>
    <t>SIMPSON</t>
  </si>
  <si>
    <t>TODD</t>
  </si>
  <si>
    <t>TRIGG</t>
  </si>
  <si>
    <t>TRIMBLE</t>
  </si>
  <si>
    <t>WOLFE</t>
  </si>
  <si>
    <t>ACADIA PARISH</t>
  </si>
  <si>
    <t>ALLEN PARISH</t>
  </si>
  <si>
    <t>ASCENSION PARISH</t>
  </si>
  <si>
    <t>ASSUMPTION PARISH</t>
  </si>
  <si>
    <t>AVOYELLES PARISH</t>
  </si>
  <si>
    <t>BEAUREGARD PARISH</t>
  </si>
  <si>
    <t>BIENVILLE PARISH</t>
  </si>
  <si>
    <t>BOSSIER PARISH</t>
  </si>
  <si>
    <t>CADDO PARISH</t>
  </si>
  <si>
    <t>CALCASIEU PARISH</t>
  </si>
  <si>
    <t>CALDWELL PARISH</t>
  </si>
  <si>
    <t>CAMERON PARISH</t>
  </si>
  <si>
    <t>CATAHOULA PARISH</t>
  </si>
  <si>
    <t>CLAIBORNE PARISH</t>
  </si>
  <si>
    <t>CONCORDIA PARISH</t>
  </si>
  <si>
    <t>DE SOTO PARISH</t>
  </si>
  <si>
    <t>EAST BATON ROUGE PARISH</t>
  </si>
  <si>
    <t>EAST CARROLL PARISH</t>
  </si>
  <si>
    <t>EAST FELICIANA PARISH</t>
  </si>
  <si>
    <t>EVANGELINE PARISH</t>
  </si>
  <si>
    <t>FRANKLIN PARISH</t>
  </si>
  <si>
    <t>GRANT PARISH</t>
  </si>
  <si>
    <t>IBERIA PARISH</t>
  </si>
  <si>
    <t>IBERVILLE PARISH</t>
  </si>
  <si>
    <t>JACKSON PARISH</t>
  </si>
  <si>
    <t>JEFFERSON PARISH</t>
  </si>
  <si>
    <t>JEFFERSON DAVIS PARISH</t>
  </si>
  <si>
    <t>LAFAYETTE PARISH</t>
  </si>
  <si>
    <t>LAFOURCHE PARISH</t>
  </si>
  <si>
    <t>LA SALLE PARISH</t>
  </si>
  <si>
    <t>LINCOLN PARISH</t>
  </si>
  <si>
    <t>LIVINGSTON PARISH</t>
  </si>
  <si>
    <t>MADISON PARISH</t>
  </si>
  <si>
    <t>MOREHOUSE PARISH</t>
  </si>
  <si>
    <t>NATCHITOCHES PARISH</t>
  </si>
  <si>
    <t>ORLEANS PARISH</t>
  </si>
  <si>
    <t>OUACHITA PARISH</t>
  </si>
  <si>
    <t>PLAQUEMINES PARISH</t>
  </si>
  <si>
    <t>POINTE COUPEE PARISH</t>
  </si>
  <si>
    <t>RAPIDES PARISH</t>
  </si>
  <si>
    <t>RED RIVER PARISH</t>
  </si>
  <si>
    <t>RICHLAND PARISH</t>
  </si>
  <si>
    <t>SABINE PARISH</t>
  </si>
  <si>
    <t>ST. BERNARD PARISH</t>
  </si>
  <si>
    <t>ST. CHARLES PARISH</t>
  </si>
  <si>
    <t>ST. HELENA PARISH</t>
  </si>
  <si>
    <t>ST. JAMES PARISH</t>
  </si>
  <si>
    <t>ST. JOHN THE BAPTIST PARISH</t>
  </si>
  <si>
    <t>ST. LANDRY PARISH</t>
  </si>
  <si>
    <t>ST. MARTIN PARISH</t>
  </si>
  <si>
    <t>ST. MARY PARISH</t>
  </si>
  <si>
    <t>ST. TAMMANY PARISH</t>
  </si>
  <si>
    <t>TANGIPAHOA PARISH</t>
  </si>
  <si>
    <t>TENSAS PARISH</t>
  </si>
  <si>
    <t>TERREBONNE PARISH</t>
  </si>
  <si>
    <t>UNION PARISH</t>
  </si>
  <si>
    <t>VERMILION PARISH</t>
  </si>
  <si>
    <t>VERNON PARISH</t>
  </si>
  <si>
    <t>WASHINGTON PARISH</t>
  </si>
  <si>
    <t>WEBSTER PARISH</t>
  </si>
  <si>
    <t>WEST BATON ROUGE PARISH</t>
  </si>
  <si>
    <t>WEST CARROLL PARISH</t>
  </si>
  <si>
    <t>WEST FELICIANA PARISH</t>
  </si>
  <si>
    <t>WINN PARISH</t>
  </si>
  <si>
    <t>ANDROSCOGGIN</t>
  </si>
  <si>
    <t>AROOSTOOK</t>
  </si>
  <si>
    <t>KENNEBEC</t>
  </si>
  <si>
    <t>OXFORD</t>
  </si>
  <si>
    <t>PENOBSCOT</t>
  </si>
  <si>
    <t>PISCATAQUIS</t>
  </si>
  <si>
    <t>SAGADAHOC</t>
  </si>
  <si>
    <t>SOMERSET</t>
  </si>
  <si>
    <t>WALDO</t>
  </si>
  <si>
    <t>YORK</t>
  </si>
  <si>
    <t>ALLEGANY</t>
  </si>
  <si>
    <t>ANNE ARUNDEL</t>
  </si>
  <si>
    <t>BALTIMORE</t>
  </si>
  <si>
    <t>CALVERT</t>
  </si>
  <si>
    <t>CAROLINE</t>
  </si>
  <si>
    <t>CECIL</t>
  </si>
  <si>
    <t>CHARLES</t>
  </si>
  <si>
    <t>DORCHESTER</t>
  </si>
  <si>
    <t>FREDERICK</t>
  </si>
  <si>
    <t>GARRETT</t>
  </si>
  <si>
    <t>HARFORD</t>
  </si>
  <si>
    <t>PRINCE GEORGE'S</t>
  </si>
  <si>
    <t>QUEEN ANNE'S</t>
  </si>
  <si>
    <t>ST. MARY'S</t>
  </si>
  <si>
    <t>WICOMICO</t>
  </si>
  <si>
    <t>WORCESTER</t>
  </si>
  <si>
    <t>BALTIMORE CITY</t>
  </si>
  <si>
    <t>BARNSTABLE</t>
  </si>
  <si>
    <t>BERKSHIRE</t>
  </si>
  <si>
    <t>BRISTOL</t>
  </si>
  <si>
    <t>DUKES</t>
  </si>
  <si>
    <t>ESSEX</t>
  </si>
  <si>
    <t>HAMPDEN</t>
  </si>
  <si>
    <t>HAMPSHIRE</t>
  </si>
  <si>
    <t>NANTUCKET</t>
  </si>
  <si>
    <t>NORFOLK</t>
  </si>
  <si>
    <t>SUFFOLK</t>
  </si>
  <si>
    <t>ALCONA</t>
  </si>
  <si>
    <t>ALGER</t>
  </si>
  <si>
    <t>ALLEGAN</t>
  </si>
  <si>
    <t>ALPENA</t>
  </si>
  <si>
    <t>ANTRIM</t>
  </si>
  <si>
    <t>ARENAC</t>
  </si>
  <si>
    <t>BARAGA</t>
  </si>
  <si>
    <t>BARRY</t>
  </si>
  <si>
    <t>BENZIE</t>
  </si>
  <si>
    <t>BRANCH</t>
  </si>
  <si>
    <t>CHARLEVOIX</t>
  </si>
  <si>
    <t>CHEBOYGAN</t>
  </si>
  <si>
    <t>CHIPPEWA</t>
  </si>
  <si>
    <t>CLARE</t>
  </si>
  <si>
    <t>EATON</t>
  </si>
  <si>
    <t>GENESEE</t>
  </si>
  <si>
    <t>GLADWIN</t>
  </si>
  <si>
    <t>GOGEBIC</t>
  </si>
  <si>
    <t>GRAND TRAVERSE</t>
  </si>
  <si>
    <t>GRATIOT</t>
  </si>
  <si>
    <t>HILLSDALE</t>
  </si>
  <si>
    <t>HOUGHTON</t>
  </si>
  <si>
    <t>HURON</t>
  </si>
  <si>
    <t>INGHAM</t>
  </si>
  <si>
    <t>IONIA</t>
  </si>
  <si>
    <t>IOSCO</t>
  </si>
  <si>
    <t>IRON</t>
  </si>
  <si>
    <t>ISABELLA</t>
  </si>
  <si>
    <t>KALAMAZOO</t>
  </si>
  <si>
    <t>KALKASKA</t>
  </si>
  <si>
    <t>KEWEENAW</t>
  </si>
  <si>
    <t>LAPEER</t>
  </si>
  <si>
    <t>LEELANAU</t>
  </si>
  <si>
    <t>LENAWEE</t>
  </si>
  <si>
    <t>LUCE</t>
  </si>
  <si>
    <t>MACKINAC</t>
  </si>
  <si>
    <t>MACOMB</t>
  </si>
  <si>
    <t>MANISTEE</t>
  </si>
  <si>
    <t>MARQUETTE</t>
  </si>
  <si>
    <t>MECOSTA</t>
  </si>
  <si>
    <t>MENOMINEE</t>
  </si>
  <si>
    <t>MIDLAND</t>
  </si>
  <si>
    <t>MISSAUKEE</t>
  </si>
  <si>
    <t>MONTCALM</t>
  </si>
  <si>
    <t>MONTMORENCY</t>
  </si>
  <si>
    <t>MUSKEGON</t>
  </si>
  <si>
    <t>NEWAYGO</t>
  </si>
  <si>
    <t>OAKLAND</t>
  </si>
  <si>
    <t>OCEANA</t>
  </si>
  <si>
    <t>OGEMAW</t>
  </si>
  <si>
    <t>ONTONAGON</t>
  </si>
  <si>
    <t>OSCODA</t>
  </si>
  <si>
    <t>OTSEGO</t>
  </si>
  <si>
    <t>PRESQUE ISLE</t>
  </si>
  <si>
    <t>ROSCOMMON</t>
  </si>
  <si>
    <t>SAGINAW</t>
  </si>
  <si>
    <t>SANILAC</t>
  </si>
  <si>
    <t>SCHOOLCRAFT</t>
  </si>
  <si>
    <t>SHIAWASSEE</t>
  </si>
  <si>
    <t>TUSCOLA</t>
  </si>
  <si>
    <t>WASHTENAW</t>
  </si>
  <si>
    <t>WEXFORD</t>
  </si>
  <si>
    <t>AITKIN</t>
  </si>
  <si>
    <t>ANOKA</t>
  </si>
  <si>
    <t>BECKER</t>
  </si>
  <si>
    <t>BELTRAMI</t>
  </si>
  <si>
    <t>BIG STONE</t>
  </si>
  <si>
    <t>BLUE EARTH</t>
  </si>
  <si>
    <t>CARLTON</t>
  </si>
  <si>
    <t>CARVER</t>
  </si>
  <si>
    <t>CHISAGO</t>
  </si>
  <si>
    <t>COTTONWOOD</t>
  </si>
  <si>
    <t>CROW WING</t>
  </si>
  <si>
    <t>DAKOTA</t>
  </si>
  <si>
    <t>FARIBAULT</t>
  </si>
  <si>
    <t>FILLMORE</t>
  </si>
  <si>
    <t>FREEBORN</t>
  </si>
  <si>
    <t>GOODHUE</t>
  </si>
  <si>
    <t>HENNEPIN</t>
  </si>
  <si>
    <t>HUBBARD</t>
  </si>
  <si>
    <t>ISANTI</t>
  </si>
  <si>
    <t>ITASCA</t>
  </si>
  <si>
    <t>KANABEC</t>
  </si>
  <si>
    <t>KANDIYOHI</t>
  </si>
  <si>
    <t>KITTSON</t>
  </si>
  <si>
    <t>KOOCHICHING</t>
  </si>
  <si>
    <t>LAC QUI PARLE</t>
  </si>
  <si>
    <t>LAKE OF THE WOODS</t>
  </si>
  <si>
    <t>LE SUEUR</t>
  </si>
  <si>
    <t>MCLEOD</t>
  </si>
  <si>
    <t>MAHNOMEN</t>
  </si>
  <si>
    <t>MEEKER</t>
  </si>
  <si>
    <t>MILLE LACS</t>
  </si>
  <si>
    <t>MORRISON</t>
  </si>
  <si>
    <t>MOWER</t>
  </si>
  <si>
    <t>NICOLLET</t>
  </si>
  <si>
    <t>NOBLES</t>
  </si>
  <si>
    <t>NORMAN</t>
  </si>
  <si>
    <t>OLMSTED</t>
  </si>
  <si>
    <t>OTTER TAIL</t>
  </si>
  <si>
    <t>PENNINGTON</t>
  </si>
  <si>
    <t>PINE</t>
  </si>
  <si>
    <t>PIPESTONE</t>
  </si>
  <si>
    <t>RAMSEY</t>
  </si>
  <si>
    <t>RED LAKE</t>
  </si>
  <si>
    <t>REDWOOD</t>
  </si>
  <si>
    <t>RENVILLE</t>
  </si>
  <si>
    <t>ROCK</t>
  </si>
  <si>
    <t>ROSEAU</t>
  </si>
  <si>
    <t>ST. LOUIS</t>
  </si>
  <si>
    <t>SHERBURNE</t>
  </si>
  <si>
    <t>SIBLEY</t>
  </si>
  <si>
    <t>STEARNS</t>
  </si>
  <si>
    <t>STEELE</t>
  </si>
  <si>
    <t>SWIFT</t>
  </si>
  <si>
    <t>TRAVERSE</t>
  </si>
  <si>
    <t>WABASHA</t>
  </si>
  <si>
    <t>WADENA</t>
  </si>
  <si>
    <t>WASECA</t>
  </si>
  <si>
    <t>WATONWAN</t>
  </si>
  <si>
    <t>WILKIN</t>
  </si>
  <si>
    <t>WINONA</t>
  </si>
  <si>
    <t>YELLOW MEDICINE</t>
  </si>
  <si>
    <t>ALCORN</t>
  </si>
  <si>
    <t>AMITE</t>
  </si>
  <si>
    <t>ATTALA</t>
  </si>
  <si>
    <t>BOLIVAR</t>
  </si>
  <si>
    <t>CLAIBORNE</t>
  </si>
  <si>
    <t>COAHOMA</t>
  </si>
  <si>
    <t>COPIAH</t>
  </si>
  <si>
    <t>FORREST</t>
  </si>
  <si>
    <t>GEORGE</t>
  </si>
  <si>
    <t>GRENADA</t>
  </si>
  <si>
    <t>HINDS</t>
  </si>
  <si>
    <t>HUMPHREYS</t>
  </si>
  <si>
    <t>ISSAQUENA</t>
  </si>
  <si>
    <t>ITAWAMBA</t>
  </si>
  <si>
    <t>JEFFERSON DAVIS</t>
  </si>
  <si>
    <t>KEMPER</t>
  </si>
  <si>
    <t>LEAKE</t>
  </si>
  <si>
    <t>LEFLORE</t>
  </si>
  <si>
    <t>NESHOBA</t>
  </si>
  <si>
    <t>NOXUBEE</t>
  </si>
  <si>
    <t>OKTIBBEHA</t>
  </si>
  <si>
    <t>PANOLA</t>
  </si>
  <si>
    <t>PEARL RIVER</t>
  </si>
  <si>
    <t>PONTOTOC</t>
  </si>
  <si>
    <t>PRENTISS</t>
  </si>
  <si>
    <t>RANKIN</t>
  </si>
  <si>
    <t>SHARKEY</t>
  </si>
  <si>
    <t>SUNFLOWER</t>
  </si>
  <si>
    <t>TALLAHATCHIE</t>
  </si>
  <si>
    <t>TATE</t>
  </si>
  <si>
    <t>TIPPAH</t>
  </si>
  <si>
    <t>TISHOMINGO</t>
  </si>
  <si>
    <t>TUNICA</t>
  </si>
  <si>
    <t>WALTHALL</t>
  </si>
  <si>
    <t>YALOBUSHA</t>
  </si>
  <si>
    <t>YAZOO</t>
  </si>
  <si>
    <t>ANDREW</t>
  </si>
  <si>
    <t>AUDRAIN</t>
  </si>
  <si>
    <t>BATES</t>
  </si>
  <si>
    <t>BOLLINGER</t>
  </si>
  <si>
    <t>CALLAWAY</t>
  </si>
  <si>
    <t>CAPE GIRARDEAU</t>
  </si>
  <si>
    <t>CHARITON</t>
  </si>
  <si>
    <t>COLE</t>
  </si>
  <si>
    <t>COOPER</t>
  </si>
  <si>
    <t>DENT</t>
  </si>
  <si>
    <t>DUNKLIN</t>
  </si>
  <si>
    <t>GASCONADE</t>
  </si>
  <si>
    <t>GENTRY</t>
  </si>
  <si>
    <t>HICKORY</t>
  </si>
  <si>
    <t>HOLT</t>
  </si>
  <si>
    <t>HOWELL</t>
  </si>
  <si>
    <t>LACLEDE</t>
  </si>
  <si>
    <t>MCDONALD</t>
  </si>
  <si>
    <t>MARIES</t>
  </si>
  <si>
    <t>MONITEAU</t>
  </si>
  <si>
    <t>NEW MADRID</t>
  </si>
  <si>
    <t>NODAWAY</t>
  </si>
  <si>
    <t>OZARK</t>
  </si>
  <si>
    <t>PEMISCOT</t>
  </si>
  <si>
    <t>PETTIS</t>
  </si>
  <si>
    <t>PHELPS</t>
  </si>
  <si>
    <t>PLATTE</t>
  </si>
  <si>
    <t>RALLS</t>
  </si>
  <si>
    <t>RAY</t>
  </si>
  <si>
    <t>REYNOLDS</t>
  </si>
  <si>
    <t>ST. CHARLES</t>
  </si>
  <si>
    <t>STE. GENEVIEVE</t>
  </si>
  <si>
    <t>ST. FRANCOIS</t>
  </si>
  <si>
    <t>SCOTLAND</t>
  </si>
  <si>
    <t>SHANNON</t>
  </si>
  <si>
    <t>STODDARD</t>
  </si>
  <si>
    <t>TANEY</t>
  </si>
  <si>
    <t>VERNON</t>
  </si>
  <si>
    <t>ST. LOUIS CITY</t>
  </si>
  <si>
    <t>BEAVERHEAD</t>
  </si>
  <si>
    <t>BIG HORN</t>
  </si>
  <si>
    <t>BROADWATER</t>
  </si>
  <si>
    <t>CARBON</t>
  </si>
  <si>
    <t>CASCADE</t>
  </si>
  <si>
    <t>CHOUTEAU</t>
  </si>
  <si>
    <t>DANIELS</t>
  </si>
  <si>
    <t>DEER LODGE</t>
  </si>
  <si>
    <t>FALLON</t>
  </si>
  <si>
    <t>FERGUS</t>
  </si>
  <si>
    <t>FLATHEAD</t>
  </si>
  <si>
    <t>GLACIER</t>
  </si>
  <si>
    <t>GOLDEN VALLEY</t>
  </si>
  <si>
    <t>GRANITE</t>
  </si>
  <si>
    <t>HILL</t>
  </si>
  <si>
    <t>JUDITH BASIN</t>
  </si>
  <si>
    <t>LEWIS AND CLARK</t>
  </si>
  <si>
    <t>MCCONE</t>
  </si>
  <si>
    <t>MEAGHER</t>
  </si>
  <si>
    <t>MISSOULA</t>
  </si>
  <si>
    <t>MUSSELSHELL</t>
  </si>
  <si>
    <t>PETROLEUM</t>
  </si>
  <si>
    <t>PONDERA</t>
  </si>
  <si>
    <t>POWDER RIVER</t>
  </si>
  <si>
    <t>RAVALLI</t>
  </si>
  <si>
    <t>ROOSEVELT</t>
  </si>
  <si>
    <t>ROSEBUD</t>
  </si>
  <si>
    <t>SANDERS</t>
  </si>
  <si>
    <t>SILVER BOW</t>
  </si>
  <si>
    <t>STILLWATER</t>
  </si>
  <si>
    <t>SWEET GRASS</t>
  </si>
  <si>
    <t>TOOLE</t>
  </si>
  <si>
    <t>TREASURE</t>
  </si>
  <si>
    <t>WHEATLAND</t>
  </si>
  <si>
    <t>WIBAUX</t>
  </si>
  <si>
    <t>YELLOWSTONE</t>
  </si>
  <si>
    <t>ANTELOPE</t>
  </si>
  <si>
    <t>ARTHUR</t>
  </si>
  <si>
    <t>BANNER</t>
  </si>
  <si>
    <t>BOX BUTTE</t>
  </si>
  <si>
    <t>BUFFALO</t>
  </si>
  <si>
    <t>BURT</t>
  </si>
  <si>
    <t>CHERRY</t>
  </si>
  <si>
    <t>COLFAX</t>
  </si>
  <si>
    <t>CUMING</t>
  </si>
  <si>
    <t>DAWES</t>
  </si>
  <si>
    <t>DEUEL</t>
  </si>
  <si>
    <t>DIXON</t>
  </si>
  <si>
    <t>DUNDY</t>
  </si>
  <si>
    <t>FRONTIER</t>
  </si>
  <si>
    <t>FURNAS</t>
  </si>
  <si>
    <t>GAGE</t>
  </si>
  <si>
    <t>GARDEN</t>
  </si>
  <si>
    <t>GOSPER</t>
  </si>
  <si>
    <t>HAYES</t>
  </si>
  <si>
    <t>HITCHCOCK</t>
  </si>
  <si>
    <t>HOOKER</t>
  </si>
  <si>
    <t>KEARNEY</t>
  </si>
  <si>
    <t>KEITH</t>
  </si>
  <si>
    <t>KEYA PAHA</t>
  </si>
  <si>
    <t>KIMBALL</t>
  </si>
  <si>
    <t>LANCASTER</t>
  </si>
  <si>
    <t>LOUP</t>
  </si>
  <si>
    <t>MERRICK</t>
  </si>
  <si>
    <t>MORRILL</t>
  </si>
  <si>
    <t>NANCE</t>
  </si>
  <si>
    <t>NUCKOLLS</t>
  </si>
  <si>
    <t>OTOE</t>
  </si>
  <si>
    <t>PERKINS</t>
  </si>
  <si>
    <t>RED WILLOW</t>
  </si>
  <si>
    <t>RICHARDSON</t>
  </si>
  <si>
    <t>SARPY</t>
  </si>
  <si>
    <t>SAUNDERS</t>
  </si>
  <si>
    <t>SCOTTS BLUFF</t>
  </si>
  <si>
    <t>THAYER</t>
  </si>
  <si>
    <t>THURSTON</t>
  </si>
  <si>
    <t>CHURCHILL</t>
  </si>
  <si>
    <t>ELKO</t>
  </si>
  <si>
    <t>ESMERALDA</t>
  </si>
  <si>
    <t>EUREKA</t>
  </si>
  <si>
    <t>LANDER</t>
  </si>
  <si>
    <t>NYE</t>
  </si>
  <si>
    <t>PERSHING</t>
  </si>
  <si>
    <t>STOREY</t>
  </si>
  <si>
    <t>WASHOE</t>
  </si>
  <si>
    <t>WHITE PINE</t>
  </si>
  <si>
    <t>CARSON CITY</t>
  </si>
  <si>
    <t>BELKNAP</t>
  </si>
  <si>
    <t>CHESHIRE</t>
  </si>
  <si>
    <t>COOS</t>
  </si>
  <si>
    <t>GRAFTON</t>
  </si>
  <si>
    <t>MERRIMACK</t>
  </si>
  <si>
    <t>ROCKINGHAM</t>
  </si>
  <si>
    <t>STRAFFORD</t>
  </si>
  <si>
    <t>ATLANTIC</t>
  </si>
  <si>
    <t>BERGEN</t>
  </si>
  <si>
    <t>BURLINGTON</t>
  </si>
  <si>
    <t>CAPE MAY</t>
  </si>
  <si>
    <t>GLOUCESTER</t>
  </si>
  <si>
    <t>HUDSON</t>
  </si>
  <si>
    <t>HUNTERDON</t>
  </si>
  <si>
    <t>MONMOUTH</t>
  </si>
  <si>
    <t>OCEAN</t>
  </si>
  <si>
    <t>PASSAIC</t>
  </si>
  <si>
    <t>SALEM</t>
  </si>
  <si>
    <t>BERNALILLO</t>
  </si>
  <si>
    <t>CATRON</t>
  </si>
  <si>
    <t>CHAVES</t>
  </si>
  <si>
    <t>CIBOLA</t>
  </si>
  <si>
    <t>CURRY</t>
  </si>
  <si>
    <t>DE BACA</t>
  </si>
  <si>
    <t>DONA ANA</t>
  </si>
  <si>
    <t>EDDY</t>
  </si>
  <si>
    <t>GUADALUPE</t>
  </si>
  <si>
    <t>HARDING</t>
  </si>
  <si>
    <t>HIDALGO</t>
  </si>
  <si>
    <t>LEA</t>
  </si>
  <si>
    <t>LOS ALAMOS</t>
  </si>
  <si>
    <t>LUNA</t>
  </si>
  <si>
    <t>MCKINLEY</t>
  </si>
  <si>
    <t>MORA</t>
  </si>
  <si>
    <t>QUAY</t>
  </si>
  <si>
    <t>RIO ARRIBA</t>
  </si>
  <si>
    <t>SANDOVAL</t>
  </si>
  <si>
    <t>SANTA FE</t>
  </si>
  <si>
    <t>SOCORRO</t>
  </si>
  <si>
    <t>TAOS</t>
  </si>
  <si>
    <t>TORRANCE</t>
  </si>
  <si>
    <t>VALENCIA</t>
  </si>
  <si>
    <t>ALBANY</t>
  </si>
  <si>
    <t>BRONX</t>
  </si>
  <si>
    <t>BROOME</t>
  </si>
  <si>
    <t>CATTARAUGUS</t>
  </si>
  <si>
    <t>CAYUGA</t>
  </si>
  <si>
    <t>CHEMUNG</t>
  </si>
  <si>
    <t>CHENANGO</t>
  </si>
  <si>
    <t>CORTLAND</t>
  </si>
  <si>
    <t>DUTCHESS</t>
  </si>
  <si>
    <t>ERIE</t>
  </si>
  <si>
    <t>HERKIMER</t>
  </si>
  <si>
    <t>NIAGARA</t>
  </si>
  <si>
    <t>ONONDAGA</t>
  </si>
  <si>
    <t>ONTARIO</t>
  </si>
  <si>
    <t>ORLEANS</t>
  </si>
  <si>
    <t>OSWEGO</t>
  </si>
  <si>
    <t>QUEENS</t>
  </si>
  <si>
    <t>RENSSELAER</t>
  </si>
  <si>
    <t>ROCKLAND</t>
  </si>
  <si>
    <t>ST. LAWRENCE</t>
  </si>
  <si>
    <t>SARATOGA</t>
  </si>
  <si>
    <t>SCHENECTADY</t>
  </si>
  <si>
    <t>SCHOHARIE</t>
  </si>
  <si>
    <t>SENECA</t>
  </si>
  <si>
    <t>TIOGA</t>
  </si>
  <si>
    <t>TOMPKINS</t>
  </si>
  <si>
    <t>ULSTER</t>
  </si>
  <si>
    <t>WESTCHESTER</t>
  </si>
  <si>
    <t>YATES</t>
  </si>
  <si>
    <t>ALAMANCE</t>
  </si>
  <si>
    <t>ALLEGHANY</t>
  </si>
  <si>
    <t>ANSON</t>
  </si>
  <si>
    <t>ASHE</t>
  </si>
  <si>
    <t>AVERY</t>
  </si>
  <si>
    <t>BEAUFORT</t>
  </si>
  <si>
    <t>BERTIE</t>
  </si>
  <si>
    <t>BLADEN</t>
  </si>
  <si>
    <t>BRUNSWICK</t>
  </si>
  <si>
    <t>BUNCOMBE</t>
  </si>
  <si>
    <t>CABARRUS</t>
  </si>
  <si>
    <t>CARTERET</t>
  </si>
  <si>
    <t>CASWELL</t>
  </si>
  <si>
    <t>CATAWBA</t>
  </si>
  <si>
    <t>CHOWAN</t>
  </si>
  <si>
    <t>COLUMBUS</t>
  </si>
  <si>
    <t>CRAVEN</t>
  </si>
  <si>
    <t>CURRITUCK</t>
  </si>
  <si>
    <t>DARE</t>
  </si>
  <si>
    <t>DAVIDSON</t>
  </si>
  <si>
    <t>DAVIE</t>
  </si>
  <si>
    <t>DUPLIN</t>
  </si>
  <si>
    <t>DURHAM</t>
  </si>
  <si>
    <t>EDGECOMBE</t>
  </si>
  <si>
    <t>GASTON</t>
  </si>
  <si>
    <t>GATES</t>
  </si>
  <si>
    <t>GRANVILLE</t>
  </si>
  <si>
    <t>GUILFORD</t>
  </si>
  <si>
    <t>HALIFAX</t>
  </si>
  <si>
    <t>HARNETT</t>
  </si>
  <si>
    <t>HAYWOOD</t>
  </si>
  <si>
    <t>HERTFORD</t>
  </si>
  <si>
    <t>HOKE</t>
  </si>
  <si>
    <t>HYDE</t>
  </si>
  <si>
    <t>IREDELL</t>
  </si>
  <si>
    <t>JOHNSTON</t>
  </si>
  <si>
    <t>LENOIR</t>
  </si>
  <si>
    <t>MCDOWELL</t>
  </si>
  <si>
    <t>MECKLENBURG</t>
  </si>
  <si>
    <t>MOORE</t>
  </si>
  <si>
    <t>NASH</t>
  </si>
  <si>
    <t>NEW HANOVER</t>
  </si>
  <si>
    <t>NORTHAMPTON</t>
  </si>
  <si>
    <t>ONSLOW</t>
  </si>
  <si>
    <t>PAMLICO</t>
  </si>
  <si>
    <t>PASQUOTANK</t>
  </si>
  <si>
    <t>PENDER</t>
  </si>
  <si>
    <t>PERQUIMANS</t>
  </si>
  <si>
    <t>PERSON</t>
  </si>
  <si>
    <t>PITT</t>
  </si>
  <si>
    <t>ROBESON</t>
  </si>
  <si>
    <t>RUTHERFORD</t>
  </si>
  <si>
    <t>SAMPSON</t>
  </si>
  <si>
    <t>STANLY</t>
  </si>
  <si>
    <t>STOKES</t>
  </si>
  <si>
    <t>SURRY</t>
  </si>
  <si>
    <t>SWAIN</t>
  </si>
  <si>
    <t>TRANSYLVANIA</t>
  </si>
  <si>
    <t>TYRRELL</t>
  </si>
  <si>
    <t>VANCE</t>
  </si>
  <si>
    <t>WAKE</t>
  </si>
  <si>
    <t>WATAUGA</t>
  </si>
  <si>
    <t>YADKIN</t>
  </si>
  <si>
    <t>YANCEY</t>
  </si>
  <si>
    <t>BARNES</t>
  </si>
  <si>
    <t>BENSON</t>
  </si>
  <si>
    <t>BILLINGS</t>
  </si>
  <si>
    <t>BOTTINEAU</t>
  </si>
  <si>
    <t>BOWMAN</t>
  </si>
  <si>
    <t>BURLEIGH</t>
  </si>
  <si>
    <t>CAVALIER</t>
  </si>
  <si>
    <t>DICKEY</t>
  </si>
  <si>
    <t>DIVIDE</t>
  </si>
  <si>
    <t>DUNN</t>
  </si>
  <si>
    <t>EMMONS</t>
  </si>
  <si>
    <t>FOSTER</t>
  </si>
  <si>
    <t>GRAND FORKS</t>
  </si>
  <si>
    <t>GRIGGS</t>
  </si>
  <si>
    <t>HETTINGER</t>
  </si>
  <si>
    <t>KIDDER</t>
  </si>
  <si>
    <t>LAMOURE</t>
  </si>
  <si>
    <t>MCKENZIE</t>
  </si>
  <si>
    <t>MOUNTRAIL</t>
  </si>
  <si>
    <t>OLIVER</t>
  </si>
  <si>
    <t>PEMBINA</t>
  </si>
  <si>
    <t>RANSOM</t>
  </si>
  <si>
    <t>ROLETTE</t>
  </si>
  <si>
    <t>SARGENT</t>
  </si>
  <si>
    <t>SLOPE</t>
  </si>
  <si>
    <t>STUTSMAN</t>
  </si>
  <si>
    <t>TOWNER</t>
  </si>
  <si>
    <t>TRAILL</t>
  </si>
  <si>
    <t>WALSH</t>
  </si>
  <si>
    <t>WARD</t>
  </si>
  <si>
    <t>WILLIAMS</t>
  </si>
  <si>
    <t>ASHLAND</t>
  </si>
  <si>
    <t>ASHTABULA</t>
  </si>
  <si>
    <t>ATHENS</t>
  </si>
  <si>
    <t>AUGLAIZE</t>
  </si>
  <si>
    <t>BELMONT</t>
  </si>
  <si>
    <t>CLERMONT</t>
  </si>
  <si>
    <t>COLUMBIANA</t>
  </si>
  <si>
    <t>COSHOCTON</t>
  </si>
  <si>
    <t>CUYAHOGA</t>
  </si>
  <si>
    <t>DARKE</t>
  </si>
  <si>
    <t>DEFIANCE</t>
  </si>
  <si>
    <t>GALLIA</t>
  </si>
  <si>
    <t>GEAUGA</t>
  </si>
  <si>
    <t>GUERNSEY</t>
  </si>
  <si>
    <t>HIGHLAND</t>
  </si>
  <si>
    <t>HOCKING</t>
  </si>
  <si>
    <t>LICKING</t>
  </si>
  <si>
    <t>LORAIN</t>
  </si>
  <si>
    <t>MAHONING</t>
  </si>
  <si>
    <t>MEDINA</t>
  </si>
  <si>
    <t>MEIGS</t>
  </si>
  <si>
    <t>MORROW</t>
  </si>
  <si>
    <t>MUSKINGUM</t>
  </si>
  <si>
    <t>PICKAWAY</t>
  </si>
  <si>
    <t>PORTAGE</t>
  </si>
  <si>
    <t>PREBLE</t>
  </si>
  <si>
    <t>ROSS</t>
  </si>
  <si>
    <t>SANDUSKY</t>
  </si>
  <si>
    <t>SCIOTO</t>
  </si>
  <si>
    <t>TRUMBULL</t>
  </si>
  <si>
    <t>TUSCARAWAS</t>
  </si>
  <si>
    <t>VAN WERT</t>
  </si>
  <si>
    <t>VINTON</t>
  </si>
  <si>
    <t>WOOD</t>
  </si>
  <si>
    <t>WYANDOT</t>
  </si>
  <si>
    <t>ALFALFA</t>
  </si>
  <si>
    <t>ATOKA</t>
  </si>
  <si>
    <t>BEAVER</t>
  </si>
  <si>
    <t>BECKHAM</t>
  </si>
  <si>
    <t>CADDO</t>
  </si>
  <si>
    <t>CANADIAN</t>
  </si>
  <si>
    <t>CIMARRON</t>
  </si>
  <si>
    <t>COAL</t>
  </si>
  <si>
    <t>COTTON</t>
  </si>
  <si>
    <t>CRAIG</t>
  </si>
  <si>
    <t>CREEK</t>
  </si>
  <si>
    <t>DEWEY</t>
  </si>
  <si>
    <t>GARVIN</t>
  </si>
  <si>
    <t>GREER</t>
  </si>
  <si>
    <t>HARMON</t>
  </si>
  <si>
    <t>HUGHES</t>
  </si>
  <si>
    <t>KAY</t>
  </si>
  <si>
    <t>KINGFISHER</t>
  </si>
  <si>
    <t>LATIMER</t>
  </si>
  <si>
    <t>LE FLORE</t>
  </si>
  <si>
    <t>LOVE</t>
  </si>
  <si>
    <t>MCCLAIN</t>
  </si>
  <si>
    <t>MCCURTAIN</t>
  </si>
  <si>
    <t>MAJOR</t>
  </si>
  <si>
    <t>MAYES</t>
  </si>
  <si>
    <t>MUSKOGEE</t>
  </si>
  <si>
    <t>NOWATA</t>
  </si>
  <si>
    <t>OKFUSKEE</t>
  </si>
  <si>
    <t>OKMULGEE</t>
  </si>
  <si>
    <t>PAYNE</t>
  </si>
  <si>
    <t>PITTSBURG</t>
  </si>
  <si>
    <t>PUSHMATAHA</t>
  </si>
  <si>
    <t>ROGER MILLS</t>
  </si>
  <si>
    <t>ROGERS</t>
  </si>
  <si>
    <t>SEQUOYAH</t>
  </si>
  <si>
    <t>TILLMAN</t>
  </si>
  <si>
    <t>TULSA</t>
  </si>
  <si>
    <t>WAGONER</t>
  </si>
  <si>
    <t>WASHITA</t>
  </si>
  <si>
    <t>WOODS</t>
  </si>
  <si>
    <t>WOODWARD</t>
  </si>
  <si>
    <t>CLACKAMAS</t>
  </si>
  <si>
    <t>CLATSOP</t>
  </si>
  <si>
    <t>CROOK</t>
  </si>
  <si>
    <t>DESCHUTES</t>
  </si>
  <si>
    <t>GILLIAM</t>
  </si>
  <si>
    <t>HARNEY</t>
  </si>
  <si>
    <t>HOOD RIVER</t>
  </si>
  <si>
    <t>JOSEPHINE</t>
  </si>
  <si>
    <t>KLAMATH</t>
  </si>
  <si>
    <t>MALHEUR</t>
  </si>
  <si>
    <t>MULTNOMAH</t>
  </si>
  <si>
    <t>TILLAMOOK</t>
  </si>
  <si>
    <t>UMATILLA</t>
  </si>
  <si>
    <t>WALLOWA</t>
  </si>
  <si>
    <t>WASCO</t>
  </si>
  <si>
    <t>YAMHILL</t>
  </si>
  <si>
    <t>ALLEGHENY</t>
  </si>
  <si>
    <t>ARMSTRONG</t>
  </si>
  <si>
    <t>BEDFORD</t>
  </si>
  <si>
    <t>BERKS</t>
  </si>
  <si>
    <t>BLAIR</t>
  </si>
  <si>
    <t>BUCKS</t>
  </si>
  <si>
    <t>CAMBRIA</t>
  </si>
  <si>
    <t>CAMERON</t>
  </si>
  <si>
    <t>CENTRE</t>
  </si>
  <si>
    <t>CHESTER</t>
  </si>
  <si>
    <t>CLARION</t>
  </si>
  <si>
    <t>CLEARFIELD</t>
  </si>
  <si>
    <t>DAUPHIN</t>
  </si>
  <si>
    <t>FOREST</t>
  </si>
  <si>
    <t>HUNTINGDON</t>
  </si>
  <si>
    <t>JUNIATA</t>
  </si>
  <si>
    <t>LACKAWANNA</t>
  </si>
  <si>
    <t>LEBANON</t>
  </si>
  <si>
    <t>LEHIGH</t>
  </si>
  <si>
    <t>LUZERNE</t>
  </si>
  <si>
    <t>LYCOMING</t>
  </si>
  <si>
    <t>MCKEAN</t>
  </si>
  <si>
    <t>MIFFLIN</t>
  </si>
  <si>
    <t>MONTOUR</t>
  </si>
  <si>
    <t>NORTHUMBERLAND</t>
  </si>
  <si>
    <t>PHILADELPHIA</t>
  </si>
  <si>
    <t>POTTER</t>
  </si>
  <si>
    <t>SCHUYLKILL</t>
  </si>
  <si>
    <t>SNYDER</t>
  </si>
  <si>
    <t>SUSQUEHANNA</t>
  </si>
  <si>
    <t>VENANGO</t>
  </si>
  <si>
    <t>WESTMORELAND</t>
  </si>
  <si>
    <t>NEWPORT</t>
  </si>
  <si>
    <t>PROVIDENCE</t>
  </si>
  <si>
    <t>ABBEVILLE</t>
  </si>
  <si>
    <t>AIKEN</t>
  </si>
  <si>
    <t>ALLENDALE</t>
  </si>
  <si>
    <t>BAMBERG</t>
  </si>
  <si>
    <t>BARNWELL</t>
  </si>
  <si>
    <t>BERKELEY</t>
  </si>
  <si>
    <t>CHARLESTON</t>
  </si>
  <si>
    <t>CHESTERFIELD</t>
  </si>
  <si>
    <t>CLARENDON</t>
  </si>
  <si>
    <t>COLLETON</t>
  </si>
  <si>
    <t>DARLINGTON</t>
  </si>
  <si>
    <t>DILLON</t>
  </si>
  <si>
    <t>EDGEFIELD</t>
  </si>
  <si>
    <t>FLORENCE</t>
  </si>
  <si>
    <t>GEORGETOWN</t>
  </si>
  <si>
    <t>GREENVILLE</t>
  </si>
  <si>
    <t>HAMPTON</t>
  </si>
  <si>
    <t>HORRY</t>
  </si>
  <si>
    <t>KERSHAW</t>
  </si>
  <si>
    <t>LEXINGTON</t>
  </si>
  <si>
    <t>MCCORMICK</t>
  </si>
  <si>
    <t>MARLBORO</t>
  </si>
  <si>
    <t>NEWBERRY</t>
  </si>
  <si>
    <t>ORANGEBURG</t>
  </si>
  <si>
    <t>SALUDA</t>
  </si>
  <si>
    <t>SPARTANBURG</t>
  </si>
  <si>
    <t>WILLIAMSBURG</t>
  </si>
  <si>
    <t>AURORA</t>
  </si>
  <si>
    <t>BEADLE</t>
  </si>
  <si>
    <t>BENNETT</t>
  </si>
  <si>
    <t>BON HOMME</t>
  </si>
  <si>
    <t>BROOKINGS</t>
  </si>
  <si>
    <t>BRULE</t>
  </si>
  <si>
    <t>CHARLES MIX</t>
  </si>
  <si>
    <t>CODINGTON</t>
  </si>
  <si>
    <t>CORSON</t>
  </si>
  <si>
    <t>DAVISON</t>
  </si>
  <si>
    <t>DAY</t>
  </si>
  <si>
    <t>EDMUNDS</t>
  </si>
  <si>
    <t>FALL RIVER</t>
  </si>
  <si>
    <t>FAULK</t>
  </si>
  <si>
    <t>GREGORY</t>
  </si>
  <si>
    <t>HAAKON</t>
  </si>
  <si>
    <t>HAMLIN</t>
  </si>
  <si>
    <t>HAND</t>
  </si>
  <si>
    <t>HANSON</t>
  </si>
  <si>
    <t>HUTCHINSON</t>
  </si>
  <si>
    <t>JERAULD</t>
  </si>
  <si>
    <t>KINGSBURY</t>
  </si>
  <si>
    <t>LYMAN</t>
  </si>
  <si>
    <t>MCCOOK</t>
  </si>
  <si>
    <t>MELLETTE</t>
  </si>
  <si>
    <t>MINER</t>
  </si>
  <si>
    <t>MINNEHAHA</t>
  </si>
  <si>
    <t>MOODY</t>
  </si>
  <si>
    <t>ROBERTS</t>
  </si>
  <si>
    <t>SANBORN</t>
  </si>
  <si>
    <t>SPINK</t>
  </si>
  <si>
    <t>STANLEY</t>
  </si>
  <si>
    <t>SULLY</t>
  </si>
  <si>
    <t>TRIPP</t>
  </si>
  <si>
    <t>WALWORTH</t>
  </si>
  <si>
    <t>YANKTON</t>
  </si>
  <si>
    <t>ZIEBACH</t>
  </si>
  <si>
    <t>BLEDSOE</t>
  </si>
  <si>
    <t>CANNON</t>
  </si>
  <si>
    <t>CHEATHAM</t>
  </si>
  <si>
    <t>COCKE</t>
  </si>
  <si>
    <t>CROCKETT</t>
  </si>
  <si>
    <t>DICKSON</t>
  </si>
  <si>
    <t>DYER</t>
  </si>
  <si>
    <t>FENTRESS</t>
  </si>
  <si>
    <t>GILES</t>
  </si>
  <si>
    <t>GRAINGER</t>
  </si>
  <si>
    <t>HAMBLEN</t>
  </si>
  <si>
    <t>HARDEMAN</t>
  </si>
  <si>
    <t>HAWKINS</t>
  </si>
  <si>
    <t>LOUDON</t>
  </si>
  <si>
    <t>MCMINN</t>
  </si>
  <si>
    <t>MCNAIRY</t>
  </si>
  <si>
    <t>MAURY</t>
  </si>
  <si>
    <t>OBION</t>
  </si>
  <si>
    <t>OVERTON</t>
  </si>
  <si>
    <t>PICKETT</t>
  </si>
  <si>
    <t>RHEA</t>
  </si>
  <si>
    <t>ROANE</t>
  </si>
  <si>
    <t>SEQUATCHIE</t>
  </si>
  <si>
    <t>TROUSDALE</t>
  </si>
  <si>
    <t>UNICOI</t>
  </si>
  <si>
    <t>WEAKLEY</t>
  </si>
  <si>
    <t>ANDREWS</t>
  </si>
  <si>
    <t>ANGELINA</t>
  </si>
  <si>
    <t>ARANSAS</t>
  </si>
  <si>
    <t>ARCHER</t>
  </si>
  <si>
    <t>ATASCOSA</t>
  </si>
  <si>
    <t>AUSTIN</t>
  </si>
  <si>
    <t>BAILEY</t>
  </si>
  <si>
    <t>BANDERA</t>
  </si>
  <si>
    <t>BASTROP</t>
  </si>
  <si>
    <t>BAYLOR</t>
  </si>
  <si>
    <t>BEE</t>
  </si>
  <si>
    <t>BEXAR</t>
  </si>
  <si>
    <t>BLANCO</t>
  </si>
  <si>
    <t>BORDEN</t>
  </si>
  <si>
    <t>BOSQUE</t>
  </si>
  <si>
    <t>BOWIE</t>
  </si>
  <si>
    <t>BRAZORIA</t>
  </si>
  <si>
    <t>BRAZOS</t>
  </si>
  <si>
    <t>BREWSTER</t>
  </si>
  <si>
    <t>BRISCOE</t>
  </si>
  <si>
    <t>BURLESON</t>
  </si>
  <si>
    <t>BURNET</t>
  </si>
  <si>
    <t>CALLAHAN</t>
  </si>
  <si>
    <t>CAMP</t>
  </si>
  <si>
    <t>CARSON</t>
  </si>
  <si>
    <t>CASTRO</t>
  </si>
  <si>
    <t>CHILDRESS</t>
  </si>
  <si>
    <t>COCHRAN</t>
  </si>
  <si>
    <t>COKE</t>
  </si>
  <si>
    <t>COLEMAN</t>
  </si>
  <si>
    <t>COLLIN</t>
  </si>
  <si>
    <t>COLLINGSWORTH</t>
  </si>
  <si>
    <t>COMAL</t>
  </si>
  <si>
    <t>CONCHO</t>
  </si>
  <si>
    <t>COOKE</t>
  </si>
  <si>
    <t>CORYELL</t>
  </si>
  <si>
    <t>COTTLE</t>
  </si>
  <si>
    <t>CRANE</t>
  </si>
  <si>
    <t>CROSBY</t>
  </si>
  <si>
    <t>CULBERSON</t>
  </si>
  <si>
    <t>DALLAM</t>
  </si>
  <si>
    <t>DEAF SMITH</t>
  </si>
  <si>
    <t>DENTON</t>
  </si>
  <si>
    <t>DEWITT</t>
  </si>
  <si>
    <t>DICKENS</t>
  </si>
  <si>
    <t>DIMMIT</t>
  </si>
  <si>
    <t>DONLEY</t>
  </si>
  <si>
    <t>EASTLAND</t>
  </si>
  <si>
    <t>ECTOR</t>
  </si>
  <si>
    <t>ERATH</t>
  </si>
  <si>
    <t>FALLS</t>
  </si>
  <si>
    <t>FISHER</t>
  </si>
  <si>
    <t>FOARD</t>
  </si>
  <si>
    <t>FORT BEND</t>
  </si>
  <si>
    <t>FREESTONE</t>
  </si>
  <si>
    <t>FRIO</t>
  </si>
  <si>
    <t>GAINES</t>
  </si>
  <si>
    <t>GALVESTON</t>
  </si>
  <si>
    <t>GARZA</t>
  </si>
  <si>
    <t>GILLESPIE</t>
  </si>
  <si>
    <t>GLASSCOCK</t>
  </si>
  <si>
    <t>GOLIAD</t>
  </si>
  <si>
    <t>GONZALES</t>
  </si>
  <si>
    <t>GREGG</t>
  </si>
  <si>
    <t>GRIMES</t>
  </si>
  <si>
    <t>HANSFORD</t>
  </si>
  <si>
    <t>HARTLEY</t>
  </si>
  <si>
    <t>HAYS</t>
  </si>
  <si>
    <t>HEMPHILL</t>
  </si>
  <si>
    <t>HOCKLEY</t>
  </si>
  <si>
    <t>HOOD</t>
  </si>
  <si>
    <t>HUDSPETH</t>
  </si>
  <si>
    <t>HUNT</t>
  </si>
  <si>
    <t>IRION</t>
  </si>
  <si>
    <t>JACK</t>
  </si>
  <si>
    <t>JIM HOGG</t>
  </si>
  <si>
    <t>JIM WELLS</t>
  </si>
  <si>
    <t>KARNES</t>
  </si>
  <si>
    <t>KAUFMAN</t>
  </si>
  <si>
    <t>KENEDY</t>
  </si>
  <si>
    <t>KERR</t>
  </si>
  <si>
    <t>KIMBLE</t>
  </si>
  <si>
    <t>KING</t>
  </si>
  <si>
    <t>KINNEY</t>
  </si>
  <si>
    <t>KLEBERG</t>
  </si>
  <si>
    <t>LAMB</t>
  </si>
  <si>
    <t>LAMPASAS</t>
  </si>
  <si>
    <t>LA SALLE</t>
  </si>
  <si>
    <t>LAVACA</t>
  </si>
  <si>
    <t>LIPSCOMB</t>
  </si>
  <si>
    <t>LIVE OAK</t>
  </si>
  <si>
    <t>LLANO</t>
  </si>
  <si>
    <t>LOVING</t>
  </si>
  <si>
    <t>LUBBOCK</t>
  </si>
  <si>
    <t>LYNN</t>
  </si>
  <si>
    <t>MCCULLOCH</t>
  </si>
  <si>
    <t>MCLENNAN</t>
  </si>
  <si>
    <t>MCMULLEN</t>
  </si>
  <si>
    <t>MATAGORDA</t>
  </si>
  <si>
    <t>MAVERICK</t>
  </si>
  <si>
    <t>MILAM</t>
  </si>
  <si>
    <t>MONTAGUE</t>
  </si>
  <si>
    <t>MOTLEY</t>
  </si>
  <si>
    <t>NACOGDOCHES</t>
  </si>
  <si>
    <t>NAVARRO</t>
  </si>
  <si>
    <t>NOLAN</t>
  </si>
  <si>
    <t>NUECES</t>
  </si>
  <si>
    <t>OCHILTREE</t>
  </si>
  <si>
    <t>PALO PINTO</t>
  </si>
  <si>
    <t>PARKER</t>
  </si>
  <si>
    <t>PARMER</t>
  </si>
  <si>
    <t>PECOS</t>
  </si>
  <si>
    <t>PRESIDIO</t>
  </si>
  <si>
    <t>RAINS</t>
  </si>
  <si>
    <t>RANDALL</t>
  </si>
  <si>
    <t>REAGAN</t>
  </si>
  <si>
    <t>REAL</t>
  </si>
  <si>
    <t>RED RIVER</t>
  </si>
  <si>
    <t>REEVES</t>
  </si>
  <si>
    <t>REFUGIO</t>
  </si>
  <si>
    <t>ROCKWALL</t>
  </si>
  <si>
    <t>RUNNELS</t>
  </si>
  <si>
    <t>RUSK</t>
  </si>
  <si>
    <t>SABINE</t>
  </si>
  <si>
    <t>SAN AUGUSTINE</t>
  </si>
  <si>
    <t>SAN JACINTO</t>
  </si>
  <si>
    <t>SAN PATRICIO</t>
  </si>
  <si>
    <t>SAN SABA</t>
  </si>
  <si>
    <t>SCHLEICHER</t>
  </si>
  <si>
    <t>SCURRY</t>
  </si>
  <si>
    <t>SHACKELFORD</t>
  </si>
  <si>
    <t>SOMERVELL</t>
  </si>
  <si>
    <t>STARR</t>
  </si>
  <si>
    <t>STERLING</t>
  </si>
  <si>
    <t>STONEWALL</t>
  </si>
  <si>
    <t>SUTTON</t>
  </si>
  <si>
    <t>SWISHER</t>
  </si>
  <si>
    <t>TARRANT</t>
  </si>
  <si>
    <t>TERRY</t>
  </si>
  <si>
    <t>THROCKMORTON</t>
  </si>
  <si>
    <t>TITUS</t>
  </si>
  <si>
    <t>TOM GREEN</t>
  </si>
  <si>
    <t>TRAVIS</t>
  </si>
  <si>
    <t>TYLER</t>
  </si>
  <si>
    <t>UPSHUR</t>
  </si>
  <si>
    <t>UPTON</t>
  </si>
  <si>
    <t>UVALDE</t>
  </si>
  <si>
    <t>VAL VERDE</t>
  </si>
  <si>
    <t>VAN ZANDT</t>
  </si>
  <si>
    <t>VICTORIA</t>
  </si>
  <si>
    <t>WALLER</t>
  </si>
  <si>
    <t>WEBB</t>
  </si>
  <si>
    <t>WHARTON</t>
  </si>
  <si>
    <t>WILBARGER</t>
  </si>
  <si>
    <t>WILLACY</t>
  </si>
  <si>
    <t>WINKLER</t>
  </si>
  <si>
    <t>WISE</t>
  </si>
  <si>
    <t>YOAKUM</t>
  </si>
  <si>
    <t>YOUNG</t>
  </si>
  <si>
    <t>ZAPATA</t>
  </si>
  <si>
    <t>ZAVALA</t>
  </si>
  <si>
    <t>BOX ELDER</t>
  </si>
  <si>
    <t>CACHE</t>
  </si>
  <si>
    <t>DAGGETT</t>
  </si>
  <si>
    <t>DUCHESNE</t>
  </si>
  <si>
    <t>EMERY</t>
  </si>
  <si>
    <t>JUAB</t>
  </si>
  <si>
    <t>MILLARD</t>
  </si>
  <si>
    <t>PIUTE</t>
  </si>
  <si>
    <t>RICH</t>
  </si>
  <si>
    <t>SALT LAKE</t>
  </si>
  <si>
    <t>SANPETE</t>
  </si>
  <si>
    <t>TOOELE</t>
  </si>
  <si>
    <t>UINTAH</t>
  </si>
  <si>
    <t>WASATCH</t>
  </si>
  <si>
    <t>WEBER</t>
  </si>
  <si>
    <t>ADDISON</t>
  </si>
  <si>
    <t>BENNINGTON</t>
  </si>
  <si>
    <t>CALEDONIA</t>
  </si>
  <si>
    <t>CHITTENDEN</t>
  </si>
  <si>
    <t>GRAND ISLE</t>
  </si>
  <si>
    <t>LAMOILLE</t>
  </si>
  <si>
    <t>RUTLAND</t>
  </si>
  <si>
    <t>WINDSOR</t>
  </si>
  <si>
    <t>ACCOMACK</t>
  </si>
  <si>
    <t>ALBEMARLE</t>
  </si>
  <si>
    <t>AMELIA</t>
  </si>
  <si>
    <t>AMHERST</t>
  </si>
  <si>
    <t>APPOMATTOX</t>
  </si>
  <si>
    <t>ARLINGTON</t>
  </si>
  <si>
    <t>AUGUSTA</t>
  </si>
  <si>
    <t>BLAND</t>
  </si>
  <si>
    <t>BOTETOURT</t>
  </si>
  <si>
    <t>BUCKINGHAM</t>
  </si>
  <si>
    <t>CHARLES CITY</t>
  </si>
  <si>
    <t>CULPEPER</t>
  </si>
  <si>
    <t>DICKENSON</t>
  </si>
  <si>
    <t>DINWIDDIE</t>
  </si>
  <si>
    <t>FAIRFAX</t>
  </si>
  <si>
    <t>FAUQUIER</t>
  </si>
  <si>
    <t>FLUVANNA</t>
  </si>
  <si>
    <t>GOOCHLAND</t>
  </si>
  <si>
    <t>GREENSVILLE</t>
  </si>
  <si>
    <t>HANOVER</t>
  </si>
  <si>
    <t>HENRICO</t>
  </si>
  <si>
    <t>ISLE OF WIGHT</t>
  </si>
  <si>
    <t>JAMES CITY</t>
  </si>
  <si>
    <t>KING AND QUEEN</t>
  </si>
  <si>
    <t>KING GEORGE</t>
  </si>
  <si>
    <t>KING WILLIAM</t>
  </si>
  <si>
    <t>LOUDOUN</t>
  </si>
  <si>
    <t>LUNENBURG</t>
  </si>
  <si>
    <t>MATHEWS</t>
  </si>
  <si>
    <t>NEW KENT</t>
  </si>
  <si>
    <t>NOTTOWAY</t>
  </si>
  <si>
    <t>PATRICK</t>
  </si>
  <si>
    <t>PITTSYLVANIA</t>
  </si>
  <si>
    <t>POWHATAN</t>
  </si>
  <si>
    <t>PRINCE EDWARD</t>
  </si>
  <si>
    <t>PRINCE GEORGE</t>
  </si>
  <si>
    <t>PRINCE WILLIAM</t>
  </si>
  <si>
    <t>RAPPAHANNOCK</t>
  </si>
  <si>
    <t>ROANOKE</t>
  </si>
  <si>
    <t>ROCKBRIDGE</t>
  </si>
  <si>
    <t>SHENANDOAH</t>
  </si>
  <si>
    <t>SMYTH</t>
  </si>
  <si>
    <t>SOUTHAMPTON</t>
  </si>
  <si>
    <t>SPOTSYLVANIA</t>
  </si>
  <si>
    <t>WYTHE</t>
  </si>
  <si>
    <t>ALEXANDRIA CITY</t>
  </si>
  <si>
    <t>BEDFORD CITY</t>
  </si>
  <si>
    <t>BRISTOL CITY</t>
  </si>
  <si>
    <t>BUENA VISTA CITY</t>
  </si>
  <si>
    <t>CHARLOTTESVILLE CITY</t>
  </si>
  <si>
    <t>CHESAPEAKE CITY</t>
  </si>
  <si>
    <t>CLIFTON FORGE CITY</t>
  </si>
  <si>
    <t>COLONIAL HEIGHTS CITY</t>
  </si>
  <si>
    <t>COVINGTON CITY</t>
  </si>
  <si>
    <t>DANVILLE CITY</t>
  </si>
  <si>
    <t>EMPORIA CITY</t>
  </si>
  <si>
    <t>FAIRFAX CITY</t>
  </si>
  <si>
    <t>FALLS CHURCH CITY</t>
  </si>
  <si>
    <t>FRANKLIN CITY</t>
  </si>
  <si>
    <t>FREDERICKSBURG CITY</t>
  </si>
  <si>
    <t>GALAX CITY</t>
  </si>
  <si>
    <t>HAMPTON CITY</t>
  </si>
  <si>
    <t>HARRISONBURG CITY</t>
  </si>
  <si>
    <t>HOPEWELL CITY</t>
  </si>
  <si>
    <t>LEXINGTON CITY</t>
  </si>
  <si>
    <t>LYNCHBURG CITY</t>
  </si>
  <si>
    <t>MANASSAS CITY</t>
  </si>
  <si>
    <t>MANASSAS PARK CITY</t>
  </si>
  <si>
    <t>MARTINSVILLE CITY</t>
  </si>
  <si>
    <t>NEWPORT NEWS CITY</t>
  </si>
  <si>
    <t>NORFOLK CITY</t>
  </si>
  <si>
    <t>NORTON CITY</t>
  </si>
  <si>
    <t>PETERSBURG CITY</t>
  </si>
  <si>
    <t>POQUOSON CITY</t>
  </si>
  <si>
    <t>PORTSMOUTH CITY</t>
  </si>
  <si>
    <t>RADFORD CITY</t>
  </si>
  <si>
    <t>RICHMOND CITY</t>
  </si>
  <si>
    <t>ROANOKE CITY</t>
  </si>
  <si>
    <t>SALEM CITY</t>
  </si>
  <si>
    <t>STAUNTON CITY</t>
  </si>
  <si>
    <t>SUFFOLK CITY</t>
  </si>
  <si>
    <t>VIRGINIA BEACH CITY</t>
  </si>
  <si>
    <t>WAYNESBORO CITY</t>
  </si>
  <si>
    <t>WILLIAMSBURG CITY</t>
  </si>
  <si>
    <t>WINCHESTER CITY</t>
  </si>
  <si>
    <t>ASOTIN</t>
  </si>
  <si>
    <t>CHELAN</t>
  </si>
  <si>
    <t>CLALLAM</t>
  </si>
  <si>
    <t>COWLITZ</t>
  </si>
  <si>
    <t>FERRY</t>
  </si>
  <si>
    <t>GRAYS HARBOR</t>
  </si>
  <si>
    <t>ISLAND</t>
  </si>
  <si>
    <t>KITSAP</t>
  </si>
  <si>
    <t>KITTITAS</t>
  </si>
  <si>
    <t>KLICKITAT</t>
  </si>
  <si>
    <t>OKANOGAN</t>
  </si>
  <si>
    <t>PACIFIC</t>
  </si>
  <si>
    <t>PEND OREILLE</t>
  </si>
  <si>
    <t>SKAGIT</t>
  </si>
  <si>
    <t>SKAMANIA</t>
  </si>
  <si>
    <t>SNOHOMISH</t>
  </si>
  <si>
    <t>SPOKANE</t>
  </si>
  <si>
    <t>WAHKIAKUM</t>
  </si>
  <si>
    <t>WALLA WALLA</t>
  </si>
  <si>
    <t>WHATCOM</t>
  </si>
  <si>
    <t>WHITMAN</t>
  </si>
  <si>
    <t>YAKIMA</t>
  </si>
  <si>
    <t>BRAXTON</t>
  </si>
  <si>
    <t>BROOKE</t>
  </si>
  <si>
    <t>CABELL</t>
  </si>
  <si>
    <t>DODDRIDGE</t>
  </si>
  <si>
    <t>GREENBRIER</t>
  </si>
  <si>
    <t>HARDY</t>
  </si>
  <si>
    <t>KANAWHA</t>
  </si>
  <si>
    <t>MINGO</t>
  </si>
  <si>
    <t>MONONGALIA</t>
  </si>
  <si>
    <t>PLEASANTS</t>
  </si>
  <si>
    <t>PRESTON</t>
  </si>
  <si>
    <t>RALEIGH</t>
  </si>
  <si>
    <t>RITCHIE</t>
  </si>
  <si>
    <t>SUMMERS</t>
  </si>
  <si>
    <t>TUCKER</t>
  </si>
  <si>
    <t>WETZEL</t>
  </si>
  <si>
    <t>WIRT</t>
  </si>
  <si>
    <t>BARRON</t>
  </si>
  <si>
    <t>BAYFIELD</t>
  </si>
  <si>
    <t>BURNETT</t>
  </si>
  <si>
    <t>CALUMET</t>
  </si>
  <si>
    <t>DANE</t>
  </si>
  <si>
    <t>DOOR</t>
  </si>
  <si>
    <t>EAU CLAIRE</t>
  </si>
  <si>
    <t>FOND DU LAC</t>
  </si>
  <si>
    <t>GREEN LAKE</t>
  </si>
  <si>
    <t>JUNEAU</t>
  </si>
  <si>
    <t>KENOSHA</t>
  </si>
  <si>
    <t>KEWAUNEE</t>
  </si>
  <si>
    <t>LA CROSSE</t>
  </si>
  <si>
    <t>LANGLADE</t>
  </si>
  <si>
    <t>MANITOWOC</t>
  </si>
  <si>
    <t>MARATHON</t>
  </si>
  <si>
    <t>MARINETTE</t>
  </si>
  <si>
    <t>MILWAUKEE</t>
  </si>
  <si>
    <t>OCONTO</t>
  </si>
  <si>
    <t>OUTAGAMIE</t>
  </si>
  <si>
    <t>OZAUKEE</t>
  </si>
  <si>
    <t>PEPIN</t>
  </si>
  <si>
    <t>PRICE</t>
  </si>
  <si>
    <t>RACINE</t>
  </si>
  <si>
    <t>ST. CROIX</t>
  </si>
  <si>
    <t>SAUK</t>
  </si>
  <si>
    <t>SAWYER</t>
  </si>
  <si>
    <t>SHAWANO</t>
  </si>
  <si>
    <t>SHEBOYGAN</t>
  </si>
  <si>
    <t>TREMPEALEAU</t>
  </si>
  <si>
    <t>VILAS</t>
  </si>
  <si>
    <t>WASHBURN</t>
  </si>
  <si>
    <t>WAUKESHA</t>
  </si>
  <si>
    <t>WAUPACA</t>
  </si>
  <si>
    <t>WAUSHARA</t>
  </si>
  <si>
    <t>CONVERSE</t>
  </si>
  <si>
    <t>GOSHEN</t>
  </si>
  <si>
    <t>HOT SPRINGS</t>
  </si>
  <si>
    <t>LARAMIE</t>
  </si>
  <si>
    <t>NATRONA</t>
  </si>
  <si>
    <t>NIOBRARA</t>
  </si>
  <si>
    <t>SUBLETTE</t>
  </si>
  <si>
    <t>SWEETWATER</t>
  </si>
  <si>
    <t>UINTA</t>
  </si>
  <si>
    <t>WASHAKIE</t>
  </si>
  <si>
    <t>WESTON</t>
  </si>
  <si>
    <t>ADJUNTAS MUNICIPIO</t>
  </si>
  <si>
    <t>AGUADA MUNICIPIO</t>
  </si>
  <si>
    <t>AGUADILLA MUNICIPIO</t>
  </si>
  <si>
    <t>AGUAS BUENAS MUNICIPIO</t>
  </si>
  <si>
    <t>AIBONITO MUNICIPIO</t>
  </si>
  <si>
    <t>ANASCO MUNICIPIO</t>
  </si>
  <si>
    <t>ARECIBO MUNICIPIO</t>
  </si>
  <si>
    <t>ARROYO MUNICIPIO</t>
  </si>
  <si>
    <t>BARCELONETA MUNICIPIO</t>
  </si>
  <si>
    <t>BARRANQUITAS MUNICIPIO</t>
  </si>
  <si>
    <t>BAYAMON MUNICIPIO</t>
  </si>
  <si>
    <t>CABO ROJO MUNICIPIO</t>
  </si>
  <si>
    <t>CAGUAS MUNICIPIO</t>
  </si>
  <si>
    <t>CAMUY MUNICIPIO</t>
  </si>
  <si>
    <t>CANOVANAS MUNICIPIO</t>
  </si>
  <si>
    <t>CAROLINA MUNICIPIO</t>
  </si>
  <si>
    <t>CATANO MUNICIPIO</t>
  </si>
  <si>
    <t>CAYEY MUNICIPIO</t>
  </si>
  <si>
    <t>CEIBA MUNICIPIO</t>
  </si>
  <si>
    <t>CIALES MUNICIPIO</t>
  </si>
  <si>
    <t>CIDRA MUNICIPIO</t>
  </si>
  <si>
    <t>COAMO MUNICIPIO</t>
  </si>
  <si>
    <t>COMERIO MUNICIPIO</t>
  </si>
  <si>
    <t>COROZAL MUNICIPIO</t>
  </si>
  <si>
    <t>CULEBRA MUNICIPIO</t>
  </si>
  <si>
    <t>DORADO MUNICIPIO</t>
  </si>
  <si>
    <t>FAJARDO MUNICIPIO</t>
  </si>
  <si>
    <t>FLORIDA MUNICIPIO</t>
  </si>
  <si>
    <t>GUANICA MUNICIPIO</t>
  </si>
  <si>
    <t>GUAYAMA MUNICIPIO</t>
  </si>
  <si>
    <t>GUAYANILLA MUNICIPIO</t>
  </si>
  <si>
    <t>GUAYNABO MUNICIPIO</t>
  </si>
  <si>
    <t>GURABO MUNICIPIO</t>
  </si>
  <si>
    <t>HATILLO MUNICIPIO</t>
  </si>
  <si>
    <t>HORMIGUEROS MUNICIPIO</t>
  </si>
  <si>
    <t>HUMACAO MUNICIPIO</t>
  </si>
  <si>
    <t>ISABELA MUNICIPIO</t>
  </si>
  <si>
    <t>JAYUYA MUNICIPIO</t>
  </si>
  <si>
    <t>JUANA DIAZ MUNICIPIO</t>
  </si>
  <si>
    <t>JUNCOS MUNICIPIO</t>
  </si>
  <si>
    <t>LAJAS MUNICIPIO</t>
  </si>
  <si>
    <t>LARES MUNICIPIO</t>
  </si>
  <si>
    <t>LAS MARIAS MUNICIPIO</t>
  </si>
  <si>
    <t>LAS PIEDRAS MUNICIPIO</t>
  </si>
  <si>
    <t>LOIZA MUNICIPIO</t>
  </si>
  <si>
    <t>LUQUILLO MUNICIPIO</t>
  </si>
  <si>
    <t>MANATI MUNICIPIO</t>
  </si>
  <si>
    <t>MARICAO MUNICIPIO</t>
  </si>
  <si>
    <t>MAUNABO MUNICIPIO</t>
  </si>
  <si>
    <t>MAYAGUEZ MUNICIPIO</t>
  </si>
  <si>
    <t>MOCA MUNICIPIO</t>
  </si>
  <si>
    <t>MOROVIS MUNICIPIO</t>
  </si>
  <si>
    <t>NAGUABO MUNICIPIO</t>
  </si>
  <si>
    <t>NARANJITO MUNICIPIO</t>
  </si>
  <si>
    <t>OROCOVIS MUNICIPIO</t>
  </si>
  <si>
    <t>PATILLAS MUNICIPIO</t>
  </si>
  <si>
    <t>PENUELAS MUNICIPIO</t>
  </si>
  <si>
    <t>PONCE MUNICIPIO</t>
  </si>
  <si>
    <t>QUEBRADILLAS MUNICIPIO</t>
  </si>
  <si>
    <t>RINCON MUNICIPIO</t>
  </si>
  <si>
    <t>RIO GRANDE MUNICIPIO</t>
  </si>
  <si>
    <t>SABANA GRANDE MUNICIPIO</t>
  </si>
  <si>
    <t>SALINAS MUNICIPIO</t>
  </si>
  <si>
    <t>SAN GERMAN MUNICIPIO</t>
  </si>
  <si>
    <t>SAN JUAN MUNICIPIO</t>
  </si>
  <si>
    <t>SAN LORENZO MUNICIPIO</t>
  </si>
  <si>
    <t>SAN SEBASTIAN MUNICIPIO</t>
  </si>
  <si>
    <t>SANTA ISABEL MUNICIPIO</t>
  </si>
  <si>
    <t>TOA ALTA MUNICIPIO</t>
  </si>
  <si>
    <t>TOA BAJA MUNICIPIO</t>
  </si>
  <si>
    <t>TRUJILLO ALTO MUNICIPIO</t>
  </si>
  <si>
    <t>UTUADO MUNICIPIO</t>
  </si>
  <si>
    <t>VEGA ALTA MUNICIPIO</t>
  </si>
  <si>
    <t>VEGA BAJA MUNICIPIO</t>
  </si>
  <si>
    <t>VIEQUES MUNICIPIO</t>
  </si>
  <si>
    <t>VILLALBA MUNICIPIO</t>
  </si>
  <si>
    <t>YABUCOA MUNICIPIO</t>
  </si>
  <si>
    <t>YAUCO MUNICIPIO</t>
  </si>
  <si>
    <t>ST. CROIX ISLAND</t>
  </si>
  <si>
    <t>ST. JOHN ISLAND</t>
  </si>
  <si>
    <t>ST. THOMAS ISLAND</t>
  </si>
  <si>
    <t>Petroleum Reduced (L)</t>
  </si>
  <si>
    <t>Lifecycle GHG emissions kg CO2e/L</t>
  </si>
  <si>
    <t>Reduction in fuel use and GHGs from 5% renewable</t>
  </si>
  <si>
    <t>Reduction in fuel use and GHGs from 50% renewable</t>
  </si>
  <si>
    <t>GHG's Reduced (kg)</t>
  </si>
  <si>
    <t>VKT Reduction Projects</t>
  </si>
  <si>
    <t>Diesel Emissions (kg CO2e)</t>
  </si>
  <si>
    <t>Gasoline Use (kg CO2e)</t>
  </si>
  <si>
    <t>Combined  (kg CO2e)</t>
  </si>
  <si>
    <t>Section One: Residential BAU</t>
  </si>
  <si>
    <t>1.1: Estimating ddoption of appliances based on growth in household income</t>
  </si>
  <si>
    <t>Appliance Ownership Increase Per $1000 HH Income:</t>
  </si>
  <si>
    <t>Tonga Number of People per HH:</t>
  </si>
  <si>
    <t>Tonga Number of HH:</t>
  </si>
  <si>
    <t>Projected</t>
  </si>
  <si>
    <t>Actual</t>
  </si>
  <si>
    <t>Fridge</t>
  </si>
  <si>
    <t>Freezer</t>
  </si>
  <si>
    <t>AC</t>
  </si>
  <si>
    <t>Fans</t>
  </si>
  <si>
    <t>TV</t>
  </si>
  <si>
    <t>Elec Clothes Washer</t>
  </si>
  <si>
    <t>Elec Water Heater</t>
  </si>
  <si>
    <t>Cooking</t>
  </si>
  <si>
    <t>http://prdrse4all.spc.int/sites/default/files/00_pearl_-_region_report_d10.pdf</t>
  </si>
  <si>
    <t>Capping ownership percent at that of American Samoa, which currently has a GDP PPP of around $12k</t>
  </si>
  <si>
    <t>Ownership in American Samoa</t>
  </si>
  <si>
    <t>1.2: Estimating electricity consumption of appliances</t>
  </si>
  <si>
    <t>Monthly Consumption of Appliances</t>
  </si>
  <si>
    <t>Elec Washer</t>
  </si>
  <si>
    <t>Office Equipment</t>
  </si>
  <si>
    <t>Lighting</t>
  </si>
  <si>
    <t>Lighting Consumption Yearly Growth, all residential customers</t>
  </si>
  <si>
    <t>Other Consumption Yearly Growth, all residential customers</t>
  </si>
  <si>
    <t>1.3: Estimating kWh consumption by end-use</t>
  </si>
  <si>
    <t>ESTIMATES BASED ON OWNERSHIP PERCENT</t>
  </si>
  <si>
    <t>(Res) Fridge</t>
  </si>
  <si>
    <t>(Res) Freezer</t>
  </si>
  <si>
    <t>(Res) AC</t>
  </si>
  <si>
    <t>(Res) Fans</t>
  </si>
  <si>
    <t>(Res) TV</t>
  </si>
  <si>
    <t>(Res) Elec Washer</t>
  </si>
  <si>
    <t>(Res) Elec Water Heater</t>
  </si>
  <si>
    <t>(Res) Cooking</t>
  </si>
  <si>
    <t>(Res) Lighting</t>
  </si>
  <si>
    <t>(Res) Other</t>
  </si>
  <si>
    <t>Yearly Growth</t>
  </si>
  <si>
    <t>TPL 2017 percent of load that's residential</t>
  </si>
  <si>
    <t>TPL's Load Projection</t>
  </si>
  <si>
    <t>Residential</t>
  </si>
  <si>
    <t>Commercial</t>
  </si>
  <si>
    <t>ESTIMATED CONTRIBUTION TO TOTAL RESIDENTIAL LOAD BASED ON TPL'S TOTAL PROJECTED GROWTH</t>
  </si>
  <si>
    <t>Section 2: Commercial / Industrial / Government BAU</t>
  </si>
  <si>
    <t>2.1 Streetlights</t>
  </si>
  <si>
    <t>Monthly Consumption of 70 streetlight circuit</t>
  </si>
  <si>
    <t>Yearly consumption per streetlight</t>
  </si>
  <si>
    <t>Total Street Lights</t>
  </si>
  <si>
    <t>Estimate of total LED streetlights</t>
  </si>
  <si>
    <t>Estimate of non-LED streetlights</t>
  </si>
  <si>
    <t>Total Street Light Consumption</t>
  </si>
  <si>
    <t>EE savings from LED bulbs already installed</t>
  </si>
  <si>
    <t>Post EE Street Light Consumption</t>
  </si>
  <si>
    <t>Efficiency Boost from LED streetlight</t>
  </si>
  <si>
    <t>LDS Church Annual Consumption (Tongatapu)</t>
  </si>
  <si>
    <t>this section is assuming that all non-residential accounts are commercial…</t>
  </si>
  <si>
    <t>2017 Number of Commercial Accounts:</t>
  </si>
  <si>
    <t>2017 non-residential Consumption</t>
  </si>
  <si>
    <t>minus streetlights</t>
  </si>
  <si>
    <t>2017 remaining per commercial account:</t>
  </si>
  <si>
    <t>Commercial Billed</t>
  </si>
  <si>
    <t>Streetlights Billed</t>
  </si>
  <si>
    <t>Grand Total Billed</t>
  </si>
  <si>
    <t>Modeled from representative building by End-Use</t>
  </si>
  <si>
    <t>Space Cooling</t>
  </si>
  <si>
    <t>Area Lighting</t>
  </si>
  <si>
    <t>Misc. Equipment</t>
  </si>
  <si>
    <t>Exterior Usage</t>
  </si>
  <si>
    <t>Ventilation Fans</t>
  </si>
  <si>
    <t>Percent</t>
  </si>
  <si>
    <t>Total Commercial</t>
  </si>
  <si>
    <t>Ventilation (Fans)</t>
  </si>
  <si>
    <t>Section 3: Generation Mix BAU</t>
  </si>
  <si>
    <t>2017 RE Generation</t>
  </si>
  <si>
    <t>2025 RE Penetration Target</t>
  </si>
  <si>
    <t>2017 Actual Billed</t>
  </si>
  <si>
    <t>2017 Total Generation</t>
  </si>
  <si>
    <t>2017 Line Losses</t>
  </si>
  <si>
    <t>Total Billed</t>
  </si>
  <si>
    <t>Total Generated</t>
  </si>
  <si>
    <t>Line Losses</t>
  </si>
  <si>
    <t>Line Loss Reduc.</t>
  </si>
  <si>
    <t>RE Generation</t>
  </si>
  <si>
    <t xml:space="preserve">confirm with Caley CO2e per liter numbers. </t>
  </si>
  <si>
    <t>2017 Generator kWh / liter</t>
  </si>
  <si>
    <t>CO2e kg per liter</t>
  </si>
  <si>
    <t>Policy Phase In %</t>
  </si>
  <si>
    <t>Monthly Consumption of MEPS Appliances</t>
  </si>
  <si>
    <t>Streetlights</t>
  </si>
  <si>
    <t>BAU GHG Emissions</t>
  </si>
  <si>
    <t>MEPS Impact</t>
  </si>
  <si>
    <t>Policy</t>
  </si>
  <si>
    <t>Sectoral Impact</t>
  </si>
  <si>
    <t>End-Use Impact</t>
  </si>
  <si>
    <t>Percent Impact</t>
  </si>
  <si>
    <t>Percent Adoption</t>
  </si>
  <si>
    <t>Impact Multiplier</t>
  </si>
  <si>
    <t>Passive Shading</t>
  </si>
  <si>
    <t>https://scholarsmine.mst.edu/cgi/viewcontent.cgi?article=7940&amp;context=masters_theses</t>
  </si>
  <si>
    <t>LED Streetlights</t>
  </si>
  <si>
    <t>Based on impact of already installed LED streetlights</t>
  </si>
  <si>
    <t>Cool Roofs</t>
  </si>
  <si>
    <t>http://esci-ksp.org/wp/wp-content/uploads/2012/03/Cool-Roofs-in-APEC-Economies.pdf</t>
  </si>
  <si>
    <t>Replace CRT Monitors</t>
  </si>
  <si>
    <t>Solar Hot Water Heaters</t>
  </si>
  <si>
    <t>n/a</t>
  </si>
  <si>
    <t>Reductions By Policy Impact</t>
  </si>
  <si>
    <t>(Res) Space Cooling Reduc.</t>
  </si>
  <si>
    <t>(Res) Applicances Reduc.</t>
  </si>
  <si>
    <t>(Res) Lighting Reduc.</t>
  </si>
  <si>
    <t>(Com) Space Cooling Reduc.</t>
  </si>
  <si>
    <t>(Com) Lighting Reduc.</t>
  </si>
  <si>
    <t>(Com) Office Equipment Reduc.</t>
  </si>
  <si>
    <t>Streetlight Reduc.</t>
  </si>
  <si>
    <t>Transportation Policy Options</t>
  </si>
  <si>
    <t>EE Policy Options</t>
  </si>
  <si>
    <t>BAU kWh Generation</t>
  </si>
  <si>
    <t>Total Generation (with Line Losses) after MEPS: Residential</t>
  </si>
  <si>
    <t>Total Generation (with Line Losses) after MEPS: Commercial</t>
  </si>
  <si>
    <t>Generation w/ MEPS</t>
  </si>
  <si>
    <t>Generation w/o MEPS</t>
  </si>
  <si>
    <t>Generation After Policy Changes</t>
  </si>
  <si>
    <t>Section 5: GHG Conversion</t>
  </si>
  <si>
    <t>BAU Required Generation</t>
  </si>
  <si>
    <t>Renewable Penetration</t>
  </si>
  <si>
    <t>RE Gen %</t>
  </si>
  <si>
    <t>3.1 Line Losses:</t>
  </si>
  <si>
    <t>Emissions Reduc. By Policy</t>
  </si>
  <si>
    <t>Emissions Reduc. by MEPS</t>
  </si>
  <si>
    <t>Conventional Gen (50%)</t>
  </si>
  <si>
    <t>Conv. Gen (BAU at 2017 RE Output)</t>
  </si>
  <si>
    <t>Percent Impact of Reductions</t>
  </si>
  <si>
    <t>MEPS</t>
  </si>
  <si>
    <t>Policy Change Impact</t>
  </si>
  <si>
    <t>MEPS + Policy Reductions</t>
  </si>
  <si>
    <t>MEPS Reduc.</t>
  </si>
  <si>
    <t>RE Reduc.</t>
  </si>
  <si>
    <t xml:space="preserve">GDP PPP Per Capita </t>
  </si>
  <si>
    <t>HH With Appliance Ownership by GDP Per Capita</t>
  </si>
  <si>
    <t>BILLED GENERATION BY TYPE</t>
  </si>
  <si>
    <t>MODELED COMMERCIAL BILLED ELECTRICITY BY END USE</t>
  </si>
  <si>
    <t>IMPACT OF MEPS</t>
  </si>
  <si>
    <t>INPUT POLICIES HERE</t>
  </si>
  <si>
    <t>GENERATION FOR RESIDENTIAL END USES AFTER POLICIES</t>
  </si>
  <si>
    <t>GENERATION FOR COMMERCIAL END USES AFTER POLICIES</t>
  </si>
  <si>
    <t>Policy Impacts Factoring in RE Pentration</t>
  </si>
  <si>
    <t>GHG Emission Reductions By Policy</t>
  </si>
  <si>
    <t>All</t>
  </si>
  <si>
    <t>https://s3.amazonaws.com/clasp-siteattachments/1996-12_PacificIslandLabelsMEPS.pdf</t>
  </si>
  <si>
    <t>Net Metering for High Use Customers</t>
  </si>
  <si>
    <t>Public Awareness Campaign</t>
  </si>
  <si>
    <t>https://ec.europa.eu/energy/intelligent/projects/en/projects/promise</t>
  </si>
  <si>
    <t>% Applicances With MEPS already</t>
  </si>
  <si>
    <t>Conv. Gen (2017 RE) after MEPS</t>
  </si>
  <si>
    <t>Conv Gen (2017 RE) after Policy Changes</t>
  </si>
  <si>
    <t>Annual Increase Needed 2020-2025 to Meet Target</t>
  </si>
  <si>
    <t>2025 RE Pentration Target</t>
  </si>
  <si>
    <t>You can change these numbers</t>
  </si>
  <si>
    <t>These numbers are guesses, you can change them</t>
  </si>
  <si>
    <t>Legend</t>
  </si>
  <si>
    <t>2.2 Large Customers</t>
  </si>
  <si>
    <t>2.3: Estimating total consumption from non-residential accounts</t>
  </si>
  <si>
    <t>2.4 Projecting Commercial Demand</t>
  </si>
  <si>
    <t>2.5 Projecting Commercial End-Use</t>
  </si>
  <si>
    <t>Section 4: Projections with Policy Changes</t>
  </si>
  <si>
    <t>4.1: Policy Phase in (Across all policies and MEPS)</t>
  </si>
  <si>
    <t>4.2: MEPS</t>
  </si>
  <si>
    <t>4.3 Policies</t>
  </si>
  <si>
    <t>Section 6: CO2e conversion</t>
  </si>
  <si>
    <t>source</t>
  </si>
  <si>
    <t>target</t>
  </si>
  <si>
    <t>type</t>
  </si>
  <si>
    <t>value</t>
  </si>
  <si>
    <t>(Com) Office Equipment</t>
  </si>
  <si>
    <t>(Res) Appliances</t>
  </si>
  <si>
    <t>(Res) Space Cooling</t>
  </si>
  <si>
    <t>(Com) Space Cooling</t>
  </si>
  <si>
    <t>(Com) Lighting</t>
  </si>
  <si>
    <t>Line Losses (Billed Relative)</t>
  </si>
  <si>
    <t>based on 'Electricity by End Use' parameters</t>
  </si>
  <si>
    <t>Cumulative Evs</t>
  </si>
  <si>
    <t>Yearly kWh consumption from 1 EV</t>
  </si>
  <si>
    <t>Cumulative kWh needed to charge Evs</t>
  </si>
  <si>
    <t>Load from Evs</t>
  </si>
  <si>
    <t>Billed + Evs</t>
  </si>
  <si>
    <t>Transportation</t>
  </si>
  <si>
    <t>Appliances</t>
  </si>
  <si>
    <t>Renewables</t>
  </si>
  <si>
    <t>100% Labeling of Appliances</t>
  </si>
  <si>
    <t>Green Hotel Program</t>
  </si>
  <si>
    <t>EE Building Codes</t>
  </si>
  <si>
    <t>https://www.adb.org/sites/default/files/project-document/74740/42078-012-reg-tacr.pdf</t>
  </si>
  <si>
    <t>Energy Audit Program</t>
  </si>
  <si>
    <t>Data collection database</t>
  </si>
  <si>
    <t>HVAC Optimization</t>
  </si>
  <si>
    <t>Fan System Improvements</t>
  </si>
  <si>
    <t>% Reduced by RE</t>
  </si>
  <si>
    <t>% Reduced by MEPS</t>
  </si>
  <si>
    <t>% Reduced by Policies</t>
  </si>
  <si>
    <t>% Emissions 2030</t>
  </si>
  <si>
    <t>50% 2025 Policy</t>
  </si>
  <si>
    <t>50% 2025 BAU</t>
  </si>
  <si>
    <t>2030 BAU # Panels</t>
  </si>
  <si>
    <t>2030 Policy # Panels</t>
  </si>
  <si>
    <t>Number of Required Panels</t>
  </si>
  <si>
    <t>kWh from 290 W panel</t>
  </si>
  <si>
    <t>emissions</t>
  </si>
  <si>
    <t>elec</t>
  </si>
  <si>
    <t>transport</t>
  </si>
  <si>
    <t>energy</t>
  </si>
  <si>
    <t>Space Cooling Reductions</t>
  </si>
  <si>
    <t>Appliance Reductions</t>
  </si>
  <si>
    <t>Lighting Reductions</t>
  </si>
  <si>
    <t>Without Sector Breakdown</t>
  </si>
  <si>
    <t>Yearly Improvement through 2020</t>
  </si>
  <si>
    <t>2020 Line Losses Target (Billed Relative)</t>
  </si>
  <si>
    <t>2017 Line Losses (Billed Relative)</t>
  </si>
  <si>
    <t>Projection RE</t>
  </si>
  <si>
    <t>Growth</t>
  </si>
  <si>
    <t>Total Forecast</t>
  </si>
  <si>
    <t>Total Actual</t>
  </si>
  <si>
    <t>Year end to</t>
  </si>
  <si>
    <t>Eua Forecast</t>
  </si>
  <si>
    <t>Eua Actual</t>
  </si>
  <si>
    <t>Ha'apai Forecast</t>
  </si>
  <si>
    <t>Ha'apai Actual</t>
  </si>
  <si>
    <t>Vava'u Forecast</t>
  </si>
  <si>
    <t>Vava'u Actual</t>
  </si>
  <si>
    <t>Tongatapu Forecast</t>
  </si>
  <si>
    <t>Tongatapu Actual</t>
  </si>
  <si>
    <t>BESS will reduce price to the extend of diesel price saved</t>
  </si>
  <si>
    <t xml:space="preserve">Increase in demand due to increase in renewable is dependend on price of power. IPP RE is translated directly to mean fuel saving costs will now transfer directly to pay IPP. </t>
  </si>
  <si>
    <t>Demand do related to improve in system loss in so far as it improve power quality. Once nework upgrade is completed demand for power depend largely on real economic growth</t>
  </si>
  <si>
    <t>Total System loss does improve with improve in the network upgrade</t>
  </si>
  <si>
    <t>Average of last 5 year's damands</t>
  </si>
  <si>
    <t>Assumption:</t>
  </si>
  <si>
    <t>New Demand Growth Forecast 2018 - 2030</t>
  </si>
  <si>
    <t>Share of TPL's load that is residential:</t>
  </si>
  <si>
    <t>(used to calculate RE Gen % through 2025)</t>
  </si>
  <si>
    <t>Line Losses (Gen Relative)</t>
  </si>
  <si>
    <r>
      <rPr>
        <b/>
        <i/>
        <sz val="11"/>
        <rFont val="Calibri"/>
        <family val="2"/>
        <scheme val="minor"/>
      </rPr>
      <t xml:space="preserve">Step Two -- Sectoral Breakdown: </t>
    </r>
    <r>
      <rPr>
        <sz val="11"/>
        <rFont val="Calibri"/>
        <family val="2"/>
        <scheme val="minor"/>
      </rPr>
      <t>It's important to separate residential load from that of commercial/government/public service. While load growth in both sectors is tied to adoption of space cooling, or growth in appliances, residential load typically has different end-uses. The default figure is based on the percent of TPL's load that was residential in 2017, this is held constant through the model timeframe.</t>
    </r>
  </si>
  <si>
    <r>
      <t xml:space="preserve">Step One -- Residential Appliance Uptake: </t>
    </r>
    <r>
      <rPr>
        <sz val="11"/>
        <color theme="1"/>
        <rFont val="Calibri"/>
        <family val="2"/>
        <scheme val="minor"/>
      </rPr>
      <t xml:space="preserve">Growth in appliance adoption is tied to projected growth in Tonga's GDP per capita. Studies have linked growth in </t>
    </r>
    <r>
      <rPr>
        <i/>
        <sz val="11"/>
        <color theme="1"/>
        <rFont val="Calibri"/>
        <family val="2"/>
        <scheme val="minor"/>
      </rPr>
      <t>household</t>
    </r>
    <r>
      <rPr>
        <sz val="11"/>
        <color theme="1"/>
        <rFont val="Calibri"/>
        <family val="2"/>
        <scheme val="minor"/>
      </rPr>
      <t xml:space="preserve"> income of $1000 to a 2.7% increase in ownership of airconditioners. This default figure can be changed below, and is used to project the percent of household which will own a given appliance in the future. </t>
    </r>
  </si>
  <si>
    <r>
      <rPr>
        <b/>
        <i/>
        <sz val="11"/>
        <rFont val="Calibri"/>
        <family val="2"/>
        <scheme val="minor"/>
      </rPr>
      <t xml:space="preserve">Step Three -- TPL Total Load: </t>
    </r>
    <r>
      <rPr>
        <sz val="11"/>
        <rFont val="Calibri"/>
        <family val="2"/>
        <scheme val="minor"/>
      </rPr>
      <t>TPL has already projected load growth through 2030, and the model uses this amount as the BAU total load. The model works by estimating what percentage of TPL's load is from a given end-use, and then applying policies to reduce the load from that end-use.</t>
    </r>
  </si>
  <si>
    <r>
      <rPr>
        <b/>
        <i/>
        <sz val="11"/>
        <color theme="1"/>
        <rFont val="Calibri"/>
        <family val="2"/>
        <scheme val="minor"/>
      </rPr>
      <t xml:space="preserve">Step Four -- TPL Generation Profile: </t>
    </r>
    <r>
      <rPr>
        <sz val="11"/>
        <color theme="1"/>
        <rFont val="Calibri"/>
        <family val="2"/>
        <scheme val="minor"/>
      </rPr>
      <t xml:space="preserve">This section modifies parameters of TPL's generation mix, such as the efficiency of diesel generators, the renewable penetration, and the system line losses. The model accounts for renewable and conventional generation equally when calculating line losses. Line losses are also calculate </t>
    </r>
    <r>
      <rPr>
        <i/>
        <sz val="11"/>
        <color theme="1"/>
        <rFont val="Calibri"/>
        <family val="2"/>
        <scheme val="minor"/>
      </rPr>
      <t xml:space="preserve">billed </t>
    </r>
    <r>
      <rPr>
        <sz val="11"/>
        <color theme="1"/>
        <rFont val="Calibri"/>
        <family val="2"/>
        <scheme val="minor"/>
      </rPr>
      <t xml:space="preserve">relative (line losses / total billed), rather than generation relative (line losses / total generated). The default renewable penetration is based on Tonga's 2015-2025 Strategic Development Framework, if the user wishes to change the model to a more aggressive renewable penetration (such as 50% by 2020) they can do so below. The 2017 renewable generation figure is based off of data in TPL's 2017 annual report. The default diesel generator efficiency parameter is based off data in TPL's 2017 annual report. </t>
    </r>
  </si>
  <si>
    <t>2017 Generator Efficiency kWh / liter:</t>
  </si>
  <si>
    <t>BAU Monthly Consumption of Appliances</t>
  </si>
  <si>
    <t>Electricity:</t>
  </si>
  <si>
    <t>Percent LDV km reduction through walking, biking, transit, rideshare, telecommute:</t>
  </si>
  <si>
    <t>Percent of new LDV purchases to be electric:</t>
  </si>
  <si>
    <t>Biodiesel blend level:</t>
  </si>
  <si>
    <t>HDV idle time reduced:</t>
  </si>
  <si>
    <t>Improvement in Fuel Economy (new LDVs) by 2030:</t>
  </si>
  <si>
    <t>Average annual diesel increase under BAU:</t>
  </si>
  <si>
    <t>Average annual gasoline increase under BAU:</t>
  </si>
  <si>
    <t>Portion of traffic that is gasoline (weighted by fuel consumption):</t>
  </si>
  <si>
    <r>
      <rPr>
        <b/>
        <i/>
        <sz val="11"/>
        <color theme="1"/>
        <rFont val="Calibri"/>
        <family val="2"/>
        <scheme val="minor"/>
      </rPr>
      <t xml:space="preserve">Step Three -- Policy Phase-in: </t>
    </r>
    <r>
      <rPr>
        <sz val="11"/>
        <color theme="1"/>
        <rFont val="Calibri"/>
        <family val="2"/>
        <scheme val="minor"/>
      </rPr>
      <t xml:space="preserve">For each transportation policy option, the user can specify a phase in percent for every given year. </t>
    </r>
  </si>
  <si>
    <r>
      <t xml:space="preserve">Step Seven -- Policy Phase-In: </t>
    </r>
    <r>
      <rPr>
        <sz val="11"/>
        <color theme="1"/>
        <rFont val="Calibri"/>
        <family val="2"/>
        <scheme val="minor"/>
      </rPr>
      <t xml:space="preserve">This section modifies the time period over which policies chosen will be phased-in over. Users should enter a percentage of the selected policies that will be phased in for a given year. For example, the default represents a five year phase-in with 20% increase per year. </t>
    </r>
  </si>
  <si>
    <r>
      <rPr>
        <b/>
        <i/>
        <sz val="11"/>
        <color theme="1"/>
        <rFont val="Calibri"/>
        <family val="2"/>
        <scheme val="minor"/>
      </rPr>
      <t xml:space="preserve">Step Six -- Policy Options: </t>
    </r>
    <r>
      <rPr>
        <sz val="11"/>
        <color theme="1"/>
        <rFont val="Calibri"/>
        <family val="2"/>
        <scheme val="minor"/>
      </rPr>
      <t xml:space="preserve">This table allows the user to enter policy options. The 'Sectoral Impact' dropdown changes the impact of the policy between the residential or commercial sectors. The end-use impact drop-down allows the user to select which appliances or end-uses the policy is specifically targeting. The Percent Impact parameter allows the user to enter an estimated reduction of load </t>
    </r>
    <r>
      <rPr>
        <i/>
        <sz val="11"/>
        <color theme="1"/>
        <rFont val="Calibri"/>
        <family val="2"/>
        <scheme val="minor"/>
      </rPr>
      <t>from the selected end-use, within the selected sector</t>
    </r>
    <r>
      <rPr>
        <sz val="11"/>
        <color theme="1"/>
        <rFont val="Calibri"/>
        <family val="2"/>
        <scheme val="minor"/>
      </rPr>
      <t>. The percent adoption paramter is an estimate of the percent of the applicable load that will adopt, or otherwise be affected by the given policy.</t>
    </r>
  </si>
  <si>
    <r>
      <t xml:space="preserve">Step Five -- MEPS: </t>
    </r>
    <r>
      <rPr>
        <sz val="11"/>
        <color theme="1"/>
        <rFont val="Calibri"/>
        <family val="2"/>
        <scheme val="minor"/>
      </rPr>
      <t xml:space="preserve">This section allows the user to enter average monthly consumption for end-use appliances in Tonga. The BAU data is based on a public-awareness publication by TPL (referenced in comments), the MEPS data is based on MEPs in Australia and New Zealand. In some places (like lighting) the MEPS parameters are more aggressive than existing AU/NZ MEPS, and represent a move towards 100% LED bulbs. </t>
    </r>
  </si>
  <si>
    <t>Section Two: Ground Transportation</t>
  </si>
  <si>
    <t>Section One: Electricity</t>
  </si>
  <si>
    <t>Section Three: Results</t>
  </si>
  <si>
    <t>Unabated Emissions</t>
  </si>
  <si>
    <t>RE Reductions</t>
  </si>
  <si>
    <t>MEPS Reductions</t>
  </si>
  <si>
    <t>Unabated Electricity Emissions (Diesel)</t>
  </si>
  <si>
    <t>Unabated Transportation Emissions (Diesel)</t>
  </si>
  <si>
    <t>Unabated Transportation Emissions (Gasoline)</t>
  </si>
  <si>
    <t>Share of Reductions</t>
  </si>
  <si>
    <t>Share of Emissions</t>
  </si>
  <si>
    <t>2030 Emissions Reductions</t>
  </si>
  <si>
    <t>Combined</t>
  </si>
  <si>
    <t>Percent Reduction from 2030 BAU Emissions</t>
  </si>
  <si>
    <t>2030 Unabated Emissions</t>
  </si>
  <si>
    <t>Electricity (With RE)</t>
  </si>
  <si>
    <t>Transport</t>
  </si>
  <si>
    <t>Electricity Generation</t>
  </si>
  <si>
    <t>Agriculture</t>
  </si>
  <si>
    <t>From INDC:</t>
  </si>
  <si>
    <r>
      <rPr>
        <b/>
        <i/>
        <sz val="11"/>
        <color theme="1"/>
        <rFont val="Calibri"/>
        <family val="2"/>
        <scheme val="minor"/>
      </rPr>
      <t>Step One -- Growth in Transportation Fuel Consumption:</t>
    </r>
    <r>
      <rPr>
        <sz val="11"/>
        <color theme="1"/>
        <rFont val="Calibri"/>
        <family val="2"/>
        <scheme val="minor"/>
      </rPr>
      <t xml:space="preserve"> These default percentages have been estimated based on per-capita GDP. We assumed that Tonga's per-capita GDP grows at the same pace it has been for the past 30 years, and that the relationship between GDP and vehicle kilometers driven is similar to what other island nations experienced as they developed.</t>
    </r>
  </si>
  <si>
    <t xml:space="preserve">Note: This projection applies to years 2016 and later. As time passes and projection can be replaced with actual data, enter gasoline and diesel used (in service stations, government, and commercial sectors) in the Transportation tab, cells F26 and F27. </t>
  </si>
  <si>
    <r>
      <t xml:space="preserve">Step Two: </t>
    </r>
    <r>
      <rPr>
        <sz val="11"/>
        <color theme="1"/>
        <rFont val="Calibri"/>
        <family val="2"/>
        <scheme val="minor"/>
      </rPr>
      <t>Input parameters on the effectiveness of various transportation policy options. These reductions are below the 2030 BAU scenario.</t>
    </r>
  </si>
  <si>
    <r>
      <t>INSTRUCTIONS -- HOW TO USE THIS TOOL FOR MODELING AND TRACKING:</t>
    </r>
    <r>
      <rPr>
        <sz val="11"/>
        <color theme="1"/>
        <rFont val="Calibri"/>
        <family val="2"/>
        <scheme val="minor"/>
      </rPr>
      <t xml:space="preserve"> The parameters highlighted in yellow on this page ('Basic Parameters') can be changed to adjust the model under various circumstances and assumptions. Policy options for transportation and electricity can also be selected and revised. Results are shown at the bottom of this sheet. The sheet ('Advanced Parameters') provides additional options for electricity, but should not require adjustment under normal usage. Calculations and additional tables can be changed in the 'Electricity' and 'Transportation' sheets, although parameters should not be directly changed on these pages. </t>
    </r>
    <r>
      <rPr>
        <i/>
        <sz val="11"/>
        <color theme="1"/>
        <rFont val="Calibri"/>
        <family val="2"/>
        <scheme val="minor"/>
      </rPr>
      <t xml:space="preserve">The scope of this analysis is TPL's electricity generation, and ground transportation from light duty vehicles (LDVs) and heavy duty vehicles (HDVs). </t>
    </r>
  </si>
  <si>
    <t>30% is reasonable because the US improved their LDV fuel economy from 10 L/100km to 6.6 (34% improvement) between 2010 and 2017.</t>
  </si>
  <si>
    <t>Percent Reduction (or increase) from 2018 Emissions</t>
  </si>
  <si>
    <t>Number of traffic signals synchronized [not used in Tonga]</t>
  </si>
  <si>
    <t>Idle time reduced in heavy-duty vehicles</t>
  </si>
  <si>
    <t>Fuel Economy improvement in new LDVs by 2030</t>
  </si>
  <si>
    <t>% vehicle kilometers traveled (VKT) reduction from light-duty vehicles (LDVs) through walking, biking, transit, rideshare, telecommute</t>
  </si>
  <si>
    <t>20% reduction from 2030 BAU is the same as 15% reduction from 2018 VKT</t>
  </si>
  <si>
    <t>GREET 2015</t>
  </si>
  <si>
    <t>Percent VKT reduction from 2018 baseline</t>
  </si>
  <si>
    <t>Derived from Tonga 2016 Census vehicle ownership and vehicle purchase rates</t>
  </si>
  <si>
    <t>Locked at 2015 ratio</t>
  </si>
  <si>
    <t>Note: This sheet interacts with multiple hidden sheets that can be unhidden by right-clicking on the tab below</t>
  </si>
  <si>
    <t>See TEEMP for reasoning</t>
  </si>
  <si>
    <t>Conv Gen %</t>
  </si>
  <si>
    <t xml:space="preserve">RE Gen % </t>
  </si>
  <si>
    <t>For 2020 scenario chart</t>
  </si>
  <si>
    <t>Ground Transportation</t>
  </si>
  <si>
    <t>kWh by End Use (with policies)</t>
  </si>
  <si>
    <t>kWh  by End Use (BAU)</t>
  </si>
  <si>
    <t>2030 w/o policies</t>
  </si>
  <si>
    <t>material</t>
  </si>
  <si>
    <t>Unabated GHG Emissions</t>
  </si>
  <si>
    <t>Space Cooling Reduc.</t>
  </si>
  <si>
    <t>Appliance Reduc.</t>
  </si>
  <si>
    <t>Lighting Reduc.</t>
  </si>
  <si>
    <t>GHG Emissiosns by End Use (no policies)</t>
  </si>
  <si>
    <t>2006 Electricity Emissions</t>
  </si>
  <si>
    <t>2012 actual transportation emissions</t>
  </si>
  <si>
    <t>emissions yearly growth</t>
  </si>
  <si>
    <t>2006 estimated ground transportation emissions</t>
  </si>
  <si>
    <t xml:space="preserve">estimated percent of normalized transportation emissions </t>
  </si>
  <si>
    <t>ground transportation percent of total emissions</t>
  </si>
  <si>
    <t>Transportation (Marine and Air)</t>
  </si>
  <si>
    <t>2006 (normalized to 23%) total emissions</t>
  </si>
  <si>
    <t>2006 (normalized based on actual electricity) transportation emissions</t>
  </si>
  <si>
    <t>5 year growth average</t>
  </si>
  <si>
    <t>estimated 2006 electricity emissions</t>
  </si>
  <si>
    <t>estimated 2006 total emissions</t>
  </si>
  <si>
    <t>(see Other Figures sheet)</t>
  </si>
  <si>
    <t>BAU Emissions</t>
  </si>
  <si>
    <t>TEEMP Emissions</t>
  </si>
  <si>
    <t>BAU Transportation Emissions</t>
  </si>
  <si>
    <t>TEEMP Transportation Emissions</t>
  </si>
  <si>
    <t>BAU Electricity Emissios</t>
  </si>
  <si>
    <t>TEEMP Electricity Emissions</t>
  </si>
  <si>
    <t>Trans. % Emissions Reduc From BAU</t>
  </si>
  <si>
    <t>Elec. % Emissions Reduc From BAU</t>
  </si>
  <si>
    <t>Any value highlighted yellow can be changed!</t>
  </si>
  <si>
    <t>GJ Electricity</t>
  </si>
  <si>
    <t>GJ Gasoline</t>
  </si>
  <si>
    <t>GJ Diesel</t>
  </si>
  <si>
    <t>Conversion Factors:</t>
  </si>
  <si>
    <t>GJ in Liter of Gasoline</t>
  </si>
  <si>
    <t>GJ in Liter of Diesel</t>
  </si>
  <si>
    <t>Total GJ</t>
  </si>
  <si>
    <t>BAU</t>
  </si>
  <si>
    <t>Population (held constant)</t>
  </si>
  <si>
    <t>Total GJ per Capita</t>
  </si>
  <si>
    <t>W/ Policy Changes</t>
  </si>
  <si>
    <t>Electricity (kWh)</t>
  </si>
  <si>
    <t>Elec Cooking Appliances</t>
  </si>
  <si>
    <t>www.anl.gov/sites/anl.gov/files/idling_worksheet.pdf</t>
  </si>
  <si>
    <t>L/hour</t>
  </si>
  <si>
    <t>Potential Liters of grease biodiesel on Tonga</t>
  </si>
  <si>
    <t>Liters</t>
  </si>
  <si>
    <t>Waste Grease portion of 10% obligation in 2030</t>
  </si>
  <si>
    <t>Percent from waste grease</t>
  </si>
  <si>
    <t>Diesel Use (L) after all other diesel redux projects</t>
  </si>
  <si>
    <t>Fuel saved from truck idle reduction (L)</t>
  </si>
  <si>
    <t>Fuel Saved from bus idle reduction (L)</t>
  </si>
  <si>
    <t>Total saved from idle reduction (L)</t>
  </si>
  <si>
    <t>Total Emissions Reductions</t>
  </si>
  <si>
    <t>Marginal Emissions Reductions (from 2017 RE)</t>
  </si>
  <si>
    <t>BAU Electricy Emissions</t>
  </si>
  <si>
    <t>TEEMP</t>
  </si>
  <si>
    <t>(note that this number includes reductions from RE installed before 2017, which are not included in the TEEMP as new reductions)</t>
  </si>
  <si>
    <t>GHG Emissions by End Use (with policies) NO RE COUNTED IN THIS</t>
  </si>
  <si>
    <t>2030 w/ policies W/ RE BREAKDOWN</t>
  </si>
  <si>
    <t>Transportation reductions:</t>
  </si>
  <si>
    <t>BAU Electricity Emissions</t>
  </si>
  <si>
    <t>Breakdown of Emission Reductions by Policy/End-Use</t>
  </si>
  <si>
    <t>BAU Total Emissions</t>
  </si>
  <si>
    <t>TEEMP Total Emissions</t>
  </si>
  <si>
    <t>Total Emission Reductions</t>
  </si>
  <si>
    <t>Transportation Emission Reductions</t>
  </si>
  <si>
    <t>Electricity Emission Reductions</t>
  </si>
  <si>
    <t>Percent Reduction</t>
  </si>
  <si>
    <t>Impact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</si>
</sst>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6" formatCode="&quot;$&quot;#,##0_);[Red]\(&quot;$&quot;#,##0\)"/>
    <numFmt numFmtId="8" formatCode="&quot;$&quot;#,##0.00_);[Red]\(&quot;$&quot;#,##0.00\)"/>
    <numFmt numFmtId="44" formatCode="_(&quot;$&quot;* #,##0.00_);_(&quot;$&quot;* \(#,##0.00\);_(&quot;$&quot;* &quot;-&quot;??_);_(@_)"/>
    <numFmt numFmtId="43" formatCode="_(* #,##0.00_);_(* \(#,##0.00\);_(* &quot;-&quot;??_);_(@_)"/>
    <numFmt numFmtId="164" formatCode="_(* #,##0.0_);_(* \(#,##0.0\);_(* &quot;-&quot;??_);_(@_)"/>
    <numFmt numFmtId="165" formatCode="_(* #,##0_);_(* \(#,##0\);_(* &quot;-&quot;??_);_(@_)"/>
    <numFmt numFmtId="166" formatCode="0.0%"/>
    <numFmt numFmtId="167" formatCode="0.0"/>
    <numFmt numFmtId="168" formatCode="0.00000"/>
    <numFmt numFmtId="169" formatCode="0.000"/>
    <numFmt numFmtId="170" formatCode="0.0000"/>
    <numFmt numFmtId="171" formatCode="_(* #,##0.0_);_(* \(#,##0.0\);_(* &quot;-&quot;?_);_(@_)"/>
    <numFmt numFmtId="172" formatCode="#,##0.000"/>
    <numFmt numFmtId="173" formatCode="&quot;$&quot;#,##0"/>
    <numFmt numFmtId="174" formatCode="&quot;$&quot;#,##0.000"/>
    <numFmt numFmtId="175" formatCode="&quot;$&quot;#,##0.00"/>
    <numFmt numFmtId="176" formatCode="[$$-409]#,##0.00_);\([$$-409]#,##0.00\)"/>
    <numFmt numFmtId="177" formatCode="&quot;$&quot;#,##0.0000"/>
    <numFmt numFmtId="178" formatCode="0.000%"/>
    <numFmt numFmtId="179" formatCode="#,##0\ &quot;kWh&quot;"/>
    <numFmt numFmtId="180" formatCode="0.00000%"/>
    <numFmt numFmtId="181" formatCode="#,##0\ &quot;kg CO2e&quot;"/>
    <numFmt numFmtId="182" formatCode="0.000000%"/>
    <numFmt numFmtId="183" formatCode="_-* #,##0_-;\-* #,##0_-;_-* &quot;-&quot;??_-;_-@_-"/>
    <numFmt numFmtId="184" formatCode="_-* #,##0.00_-;\-* #,##0.00_-;_-* &quot;-&quot;??_-;_-@_-"/>
    <numFmt numFmtId="185" formatCode="0\ &quot;kWh / Month&quot;"/>
    <numFmt numFmtId="186" formatCode="0\ &quot;hours&quot;"/>
    <numFmt numFmtId="187" formatCode="#,##0\ &quot;GJ&quot;"/>
    <numFmt numFmtId="188" formatCode="0.00000000000000%"/>
    <numFmt numFmtId="189" formatCode="0.000000000000000%"/>
  </numFmts>
  <fonts count="64">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Arial"/>
      <family val="2"/>
    </font>
    <font>
      <sz val="10"/>
      <color theme="1"/>
      <name val="Arial"/>
      <family val="2"/>
    </font>
    <font>
      <sz val="10"/>
      <name val="Arial"/>
      <family val="2"/>
    </font>
    <font>
      <sz val="11"/>
      <color indexed="8"/>
      <name val="Calibri"/>
      <family val="2"/>
    </font>
    <font>
      <sz val="18"/>
      <name val="P-AVGARD"/>
    </font>
    <font>
      <u/>
      <sz val="10"/>
      <color theme="10"/>
      <name val="Arial"/>
      <family val="2"/>
    </font>
    <font>
      <sz val="11"/>
      <color theme="1"/>
      <name val="Calibri"/>
      <family val="2"/>
    </font>
    <font>
      <sz val="9"/>
      <color indexed="81"/>
      <name val="Tahoma"/>
      <family val="2"/>
    </font>
    <font>
      <b/>
      <sz val="9"/>
      <color indexed="81"/>
      <name val="Tahoma"/>
      <family val="2"/>
    </font>
    <font>
      <b/>
      <sz val="14"/>
      <color theme="1"/>
      <name val="Calibri"/>
      <family val="2"/>
      <scheme val="minor"/>
    </font>
    <font>
      <sz val="10"/>
      <name val="Calibri"/>
      <family val="2"/>
      <scheme val="minor"/>
    </font>
    <font>
      <b/>
      <sz val="11"/>
      <name val="Calibri"/>
      <family val="2"/>
      <scheme val="minor"/>
    </font>
    <font>
      <sz val="11"/>
      <name val="Calibri"/>
      <family val="2"/>
      <scheme val="minor"/>
    </font>
    <font>
      <sz val="10"/>
      <name val="Verdana"/>
      <family val="2"/>
    </font>
    <font>
      <sz val="9"/>
      <name val="Arial"/>
      <family val="2"/>
    </font>
    <font>
      <u/>
      <sz val="11"/>
      <color theme="10"/>
      <name val="Calibri"/>
      <family val="2"/>
      <scheme val="minor"/>
    </font>
    <font>
      <i/>
      <sz val="10"/>
      <name val="Calibri"/>
      <family val="2"/>
      <scheme val="minor"/>
    </font>
    <font>
      <i/>
      <sz val="10"/>
      <color theme="1"/>
      <name val="Calibri"/>
      <family val="2"/>
      <scheme val="minor"/>
    </font>
    <font>
      <i/>
      <u/>
      <sz val="10"/>
      <color theme="10"/>
      <name val="Calibri"/>
      <family val="2"/>
      <scheme val="minor"/>
    </font>
    <font>
      <i/>
      <sz val="11"/>
      <color theme="1"/>
      <name val="Calibri"/>
      <family val="2"/>
      <scheme val="minor"/>
    </font>
    <font>
      <b/>
      <u/>
      <sz val="11"/>
      <color theme="1"/>
      <name val="Calibri"/>
      <family val="2"/>
      <scheme val="minor"/>
    </font>
    <font>
      <b/>
      <sz val="12"/>
      <name val="Calibri"/>
      <family val="2"/>
      <scheme val="minor"/>
    </font>
    <font>
      <b/>
      <sz val="12"/>
      <color theme="1"/>
      <name val="Calibri"/>
      <family val="2"/>
      <scheme val="minor"/>
    </font>
    <font>
      <sz val="12"/>
      <color theme="1"/>
      <name val="Calibri"/>
      <family val="2"/>
      <scheme val="minor"/>
    </font>
    <font>
      <b/>
      <sz val="8"/>
      <name val="Calibri"/>
      <family val="2"/>
      <scheme val="minor"/>
    </font>
    <font>
      <sz val="8"/>
      <name val="Calibri"/>
      <family val="2"/>
      <scheme val="minor"/>
    </font>
    <font>
      <b/>
      <sz val="10"/>
      <name val="Calibri"/>
      <family val="2"/>
      <scheme val="minor"/>
    </font>
    <font>
      <b/>
      <u/>
      <sz val="11"/>
      <name val="Calibri"/>
      <family val="2"/>
      <scheme val="minor"/>
    </font>
    <font>
      <b/>
      <sz val="13"/>
      <color theme="1"/>
      <name val="Calibri"/>
      <family val="2"/>
      <scheme val="minor"/>
    </font>
    <font>
      <u/>
      <sz val="11"/>
      <color theme="1"/>
      <name val="Calibri"/>
      <family val="2"/>
      <scheme val="minor"/>
    </font>
    <font>
      <vertAlign val="subscript"/>
      <sz val="11"/>
      <color theme="1"/>
      <name val="Calibri"/>
      <family val="2"/>
      <scheme val="minor"/>
    </font>
    <font>
      <sz val="8"/>
      <color theme="1"/>
      <name val="Calibri"/>
      <family val="2"/>
      <scheme val="minor"/>
    </font>
    <font>
      <b/>
      <i/>
      <u/>
      <sz val="11"/>
      <name val="Calibri"/>
      <family val="2"/>
      <scheme val="minor"/>
    </font>
    <font>
      <b/>
      <i/>
      <sz val="11"/>
      <name val="Calibri"/>
      <family val="2"/>
      <scheme val="minor"/>
    </font>
    <font>
      <i/>
      <sz val="11"/>
      <name val="Calibri"/>
      <family val="2"/>
      <scheme val="minor"/>
    </font>
    <font>
      <u/>
      <sz val="11"/>
      <name val="Calibri"/>
      <family val="2"/>
      <scheme val="minor"/>
    </font>
    <font>
      <b/>
      <sz val="9"/>
      <name val="Arial"/>
      <family val="2"/>
    </font>
    <font>
      <sz val="12"/>
      <color rgb="FF595959"/>
      <name val="Calibri"/>
      <family val="2"/>
      <scheme val="minor"/>
    </font>
    <font>
      <b/>
      <i/>
      <sz val="11"/>
      <color theme="1"/>
      <name val="Calibri"/>
      <family val="2"/>
      <scheme val="minor"/>
    </font>
    <font>
      <i/>
      <sz val="9"/>
      <color indexed="81"/>
      <name val="Tahoma"/>
      <family val="2"/>
    </font>
    <font>
      <b/>
      <i/>
      <u/>
      <sz val="11"/>
      <color theme="1"/>
      <name val="Calibri"/>
      <family val="2"/>
      <scheme val="minor"/>
    </font>
    <font>
      <b/>
      <sz val="9"/>
      <color rgb="FF000000"/>
      <name val="Tahoma"/>
      <family val="2"/>
    </font>
    <font>
      <sz val="9"/>
      <color rgb="FF000000"/>
      <name val="Tahoma"/>
      <family val="2"/>
    </font>
    <font>
      <sz val="10"/>
      <color rgb="FF000000"/>
      <name val="Tahoma"/>
      <family val="2"/>
    </font>
    <font>
      <b/>
      <sz val="10"/>
      <color rgb="FF000000"/>
      <name val="Tahoma"/>
      <family val="2"/>
    </font>
  </fonts>
  <fills count="7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92D050"/>
        <bgColor indexed="64"/>
      </patternFill>
    </fill>
    <fill>
      <patternFill patternType="solid">
        <fgColor rgb="FFFF0000"/>
        <bgColor indexed="64"/>
      </patternFill>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theme="1" tint="4.9989318521683403E-2"/>
        <bgColor indexed="64"/>
      </patternFill>
    </fill>
    <fill>
      <patternFill patternType="solid">
        <fgColor theme="1"/>
        <bgColor indexed="64"/>
      </patternFill>
    </fill>
    <fill>
      <patternFill patternType="solid">
        <fgColor theme="0" tint="-0.499984740745262"/>
        <bgColor indexed="64"/>
      </patternFill>
    </fill>
    <fill>
      <patternFill patternType="solid">
        <fgColor rgb="FFFFFF99"/>
        <bgColor indexed="64"/>
      </patternFill>
    </fill>
    <fill>
      <patternFill patternType="solid">
        <fgColor rgb="FF66FF33"/>
        <bgColor indexed="64"/>
      </patternFill>
    </fill>
    <fill>
      <patternFill patternType="solid">
        <fgColor theme="6" tint="0.39997558519241921"/>
        <bgColor indexed="64"/>
      </patternFill>
    </fill>
    <fill>
      <patternFill patternType="solid">
        <fgColor indexed="13"/>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bgColor theme="4" tint="0.79998168889431442"/>
      </patternFill>
    </fill>
    <fill>
      <patternFill patternType="solid">
        <fgColor theme="0" tint="-4.9989318521683403E-2"/>
        <bgColor indexed="64"/>
      </patternFill>
    </fill>
    <fill>
      <patternFill patternType="solid">
        <fgColor rgb="FF00B0F0"/>
        <bgColor indexed="64"/>
      </patternFill>
    </fill>
    <fill>
      <patternFill patternType="solid">
        <fgColor theme="9" tint="0.79998168889431442"/>
        <bgColor indexed="64"/>
      </patternFill>
    </fill>
    <fill>
      <patternFill patternType="solid">
        <fgColor theme="2"/>
        <bgColor indexed="64"/>
      </patternFill>
    </fill>
    <fill>
      <patternFill patternType="solid">
        <fgColor rgb="FF00B050"/>
        <bgColor indexed="64"/>
      </patternFill>
    </fill>
    <fill>
      <patternFill patternType="solid">
        <fgColor rgb="FFFFFFFF"/>
        <bgColor indexed="64"/>
      </patternFill>
    </fill>
    <fill>
      <patternFill patternType="solid">
        <fgColor rgb="FFF0F0F0"/>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4" tint="0.79998168889431442"/>
        <bgColor theme="4" tint="0.79998168889431442"/>
      </patternFill>
    </fill>
    <fill>
      <patternFill patternType="solid">
        <fgColor theme="4"/>
        <bgColor theme="4"/>
      </patternFill>
    </fill>
    <fill>
      <patternFill patternType="solid">
        <fgColor theme="4" tint="0.59999389629810485"/>
        <bgColor theme="4" tint="0.59999389629810485"/>
      </patternFill>
    </fill>
    <fill>
      <patternFill patternType="solid">
        <fgColor theme="8" tint="0.59999389629810485"/>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FF00"/>
        <bgColor theme="4" tint="0.59999389629810485"/>
      </patternFill>
    </fill>
    <fill>
      <patternFill patternType="solid">
        <fgColor rgb="FFFFFF00"/>
        <bgColor theme="4" tint="0.79998168889431442"/>
      </patternFill>
    </fill>
  </fills>
  <borders count="9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indexed="64"/>
      </right>
      <top style="thin">
        <color indexed="64"/>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top style="medium">
        <color auto="1"/>
      </top>
      <bottom style="medium">
        <color auto="1"/>
      </bottom>
      <diagonal/>
    </border>
    <border>
      <left/>
      <right/>
      <top style="medium">
        <color auto="1"/>
      </top>
      <bottom/>
      <diagonal/>
    </border>
    <border>
      <left/>
      <right style="medium">
        <color indexed="64"/>
      </right>
      <top style="medium">
        <color indexed="64"/>
      </top>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medium">
        <color auto="1"/>
      </top>
      <bottom style="thin">
        <color auto="1"/>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auto="1"/>
      </left>
      <right/>
      <top style="medium">
        <color auto="1"/>
      </top>
      <bottom/>
      <diagonal/>
    </border>
    <border>
      <left style="medium">
        <color auto="1"/>
      </left>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style="thin">
        <color auto="1"/>
      </right>
      <top style="medium">
        <color auto="1"/>
      </top>
      <bottom/>
      <diagonal/>
    </border>
    <border>
      <left style="thin">
        <color indexed="64"/>
      </left>
      <right/>
      <top/>
      <bottom style="medium">
        <color indexed="64"/>
      </bottom>
      <diagonal/>
    </border>
    <border>
      <left style="medium">
        <color auto="1"/>
      </left>
      <right style="thin">
        <color auto="1"/>
      </right>
      <top/>
      <bottom style="medium">
        <color auto="1"/>
      </bottom>
      <diagonal/>
    </border>
    <border>
      <left style="medium">
        <color auto="1"/>
      </left>
      <right style="thin">
        <color auto="1"/>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thin">
        <color theme="4" tint="0.39997558519241921"/>
      </bottom>
      <diagonal/>
    </border>
    <border>
      <left/>
      <right/>
      <top style="medium">
        <color indexed="64"/>
      </top>
      <bottom style="thin">
        <color theme="4" tint="0.39997558519241921"/>
      </bottom>
      <diagonal/>
    </border>
    <border>
      <left/>
      <right style="medium">
        <color indexed="64"/>
      </right>
      <top style="medium">
        <color indexed="64"/>
      </top>
      <bottom style="thin">
        <color theme="4" tint="0.3999755851924192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top/>
      <bottom style="double">
        <color indexed="64"/>
      </bottom>
      <diagonal/>
    </border>
    <border>
      <left/>
      <right/>
      <top/>
      <bottom style="double">
        <color indexed="64"/>
      </bottom>
      <diagonal/>
    </border>
    <border>
      <left style="medium">
        <color indexed="64"/>
      </left>
      <right/>
      <top style="double">
        <color indexed="64"/>
      </top>
      <bottom/>
      <diagonal/>
    </border>
    <border>
      <left/>
      <right/>
      <top style="thin">
        <color indexed="64"/>
      </top>
      <bottom style="double">
        <color indexed="64"/>
      </bottom>
      <diagonal/>
    </border>
    <border>
      <left/>
      <right/>
      <top style="double">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top/>
      <bottom style="medium">
        <color rgb="FFCCCCCC"/>
      </bottom>
      <diagonal/>
    </border>
    <border>
      <left style="medium">
        <color rgb="FFCCCCCC"/>
      </left>
      <right style="medium">
        <color rgb="FFCCCCCC"/>
      </right>
      <top style="medium">
        <color rgb="FFCCCCCC"/>
      </top>
      <bottom style="medium">
        <color rgb="FFCCCCCC"/>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bottom/>
      <diagonal/>
    </border>
    <border>
      <left style="thin">
        <color theme="0"/>
      </left>
      <right style="thin">
        <color theme="0"/>
      </right>
      <top/>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style="thin">
        <color theme="0"/>
      </left>
      <right style="thin">
        <color theme="4" tint="0.39997558519241921"/>
      </right>
      <top style="thin">
        <color theme="4" tint="0.39997558519241921"/>
      </top>
      <bottom style="thin">
        <color theme="4" tint="0.39997558519241921"/>
      </bottom>
      <diagonal/>
    </border>
    <border>
      <left/>
      <right style="thin">
        <color theme="0"/>
      </right>
      <top style="thin">
        <color theme="4" tint="0.39997558519241921"/>
      </top>
      <bottom style="thin">
        <color theme="4" tint="0.39997558519241921"/>
      </bottom>
      <diagonal/>
    </border>
    <border>
      <left style="thin">
        <color theme="0"/>
      </left>
      <right/>
      <top style="thin">
        <color theme="4" tint="0.39997558519241921"/>
      </top>
      <bottom style="thin">
        <color theme="4" tint="0.39997558519241921"/>
      </bottom>
      <diagonal/>
    </border>
    <border>
      <left/>
      <right style="thin">
        <color theme="0"/>
      </right>
      <top style="thin">
        <color theme="4" tint="0.39997558519241921"/>
      </top>
      <bottom/>
      <diagonal/>
    </border>
    <border>
      <left style="thin">
        <color theme="0"/>
      </left>
      <right/>
      <top style="thin">
        <color theme="4" tint="0.39997558519241921"/>
      </top>
      <bottom/>
      <diagonal/>
    </border>
    <border>
      <left/>
      <right style="medium">
        <color rgb="FFCCCCCC"/>
      </right>
      <top/>
      <bottom/>
      <diagonal/>
    </border>
    <border>
      <left style="thin">
        <color theme="0"/>
      </left>
      <right style="thin">
        <color theme="4" tint="0.39997558519241921"/>
      </right>
      <top style="thin">
        <color theme="4" tint="0.39997558519241921"/>
      </top>
      <bottom/>
      <diagonal/>
    </border>
    <border>
      <left style="thin">
        <color theme="0"/>
      </left>
      <right/>
      <top/>
      <bottom/>
      <diagonal/>
    </border>
  </borders>
  <cellStyleXfs count="86">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xf numFmtId="0" fontId="18" fillId="0" borderId="0"/>
    <xf numFmtId="43" fontId="20" fillId="0" borderId="0" applyFont="0" applyFill="0" applyBorder="0" applyAlignment="0" applyProtection="0"/>
    <xf numFmtId="0" fontId="18" fillId="0" borderId="0"/>
    <xf numFmtId="0" fontId="21" fillId="0" borderId="0"/>
    <xf numFmtId="9" fontId="18" fillId="0" borderId="0" applyFont="0" applyFill="0" applyBorder="0" applyAlignment="0" applyProtection="0"/>
    <xf numFmtId="43" fontId="18" fillId="0" borderId="0" applyFont="0" applyFill="0" applyBorder="0" applyAlignment="0" applyProtection="0"/>
    <xf numFmtId="0" fontId="18"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22" fillId="0" borderId="0" applyFont="0" applyFill="0" applyBorder="0" applyAlignment="0" applyProtection="0"/>
    <xf numFmtId="0" fontId="1" fillId="0" borderId="0"/>
    <xf numFmtId="0" fontId="18" fillId="0" borderId="0"/>
    <xf numFmtId="43" fontId="18"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9" fontId="1" fillId="0" borderId="0" applyFont="0" applyFill="0" applyBorder="0" applyAlignment="0" applyProtection="0"/>
    <xf numFmtId="9" fontId="18"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3" fillId="0" borderId="0"/>
    <xf numFmtId="0" fontId="21" fillId="0" borderId="0"/>
    <xf numFmtId="0" fontId="20" fillId="0" borderId="0"/>
    <xf numFmtId="43" fontId="20" fillId="0" borderId="0" applyFont="0" applyFill="0" applyBorder="0" applyAlignment="0" applyProtection="0"/>
    <xf numFmtId="9" fontId="20" fillId="0" borderId="0" applyFont="0" applyFill="0" applyBorder="0" applyAlignment="0" applyProtection="0"/>
    <xf numFmtId="43" fontId="18" fillId="0" borderId="0" applyFont="0" applyFill="0" applyBorder="0" applyAlignment="0" applyProtection="0"/>
    <xf numFmtId="9" fontId="18" fillId="0" borderId="0" applyFont="0" applyFill="0" applyBorder="0" applyAlignment="0" applyProtection="0"/>
    <xf numFmtId="0" fontId="24" fillId="0" borderId="0" applyNumberFormat="0" applyFill="0" applyBorder="0" applyAlignment="0" applyProtection="0">
      <alignment vertical="top"/>
      <protection locked="0"/>
    </xf>
    <xf numFmtId="0" fontId="1" fillId="0" borderId="0"/>
    <xf numFmtId="43" fontId="1" fillId="0" borderId="0" applyFont="0" applyFill="0" applyBorder="0" applyAlignment="0" applyProtection="0"/>
    <xf numFmtId="9" fontId="1" fillId="0" borderId="0" applyFont="0" applyFill="0" applyBorder="0" applyAlignment="0" applyProtection="0"/>
    <xf numFmtId="0" fontId="32" fillId="0" borderId="0"/>
    <xf numFmtId="0" fontId="34" fillId="0" borderId="0" applyNumberFormat="0" applyFill="0" applyBorder="0" applyAlignment="0" applyProtection="0"/>
    <xf numFmtId="9" fontId="18" fillId="0" borderId="0" applyFont="0" applyFill="0" applyBorder="0" applyAlignment="0" applyProtection="0"/>
    <xf numFmtId="184" fontId="1" fillId="0" borderId="0" applyFont="0" applyFill="0" applyBorder="0" applyAlignment="0" applyProtection="0"/>
    <xf numFmtId="44" fontId="1" fillId="0" borderId="0" applyFont="0" applyFill="0" applyBorder="0" applyAlignment="0" applyProtection="0"/>
    <xf numFmtId="0" fontId="34" fillId="0" borderId="0" applyNumberFormat="0" applyFill="0" applyBorder="0" applyAlignment="0" applyProtection="0"/>
  </cellStyleXfs>
  <cellXfs count="1626">
    <xf numFmtId="0" fontId="0" fillId="0" borderId="0" xfId="0"/>
    <xf numFmtId="0" fontId="0" fillId="33" borderId="0" xfId="0" applyFill="1"/>
    <xf numFmtId="9" fontId="0" fillId="0" borderId="0" xfId="43" applyFont="1"/>
    <xf numFmtId="165" fontId="0" fillId="0" borderId="0" xfId="1" applyNumberFormat="1" applyFont="1"/>
    <xf numFmtId="165" fontId="0" fillId="33" borderId="0" xfId="1" applyNumberFormat="1" applyFont="1" applyFill="1"/>
    <xf numFmtId="0" fontId="16" fillId="0" borderId="0" xfId="0" applyFont="1"/>
    <xf numFmtId="0" fontId="0" fillId="0" borderId="0" xfId="0"/>
    <xf numFmtId="0" fontId="18" fillId="0" borderId="0" xfId="46" applyFont="1" applyFill="1"/>
    <xf numFmtId="0" fontId="18" fillId="0" borderId="0" xfId="46" applyFont="1"/>
    <xf numFmtId="0" fontId="20" fillId="37" borderId="12" xfId="71" applyFill="1" applyBorder="1"/>
    <xf numFmtId="0" fontId="18" fillId="0" borderId="0" xfId="46"/>
    <xf numFmtId="0" fontId="18" fillId="0" borderId="0" xfId="46" applyFill="1"/>
    <xf numFmtId="0" fontId="18" fillId="36" borderId="12" xfId="44" applyFont="1" applyFill="1" applyBorder="1"/>
    <xf numFmtId="0" fontId="18" fillId="37" borderId="12" xfId="44" applyFont="1" applyFill="1" applyBorder="1"/>
    <xf numFmtId="0" fontId="16" fillId="37" borderId="12" xfId="0" applyFont="1" applyFill="1" applyBorder="1"/>
    <xf numFmtId="0" fontId="0" fillId="37" borderId="12" xfId="0" applyFill="1" applyBorder="1"/>
    <xf numFmtId="9" fontId="0" fillId="37" borderId="12" xfId="43" applyFont="1" applyFill="1" applyBorder="1"/>
    <xf numFmtId="0" fontId="18" fillId="37" borderId="12" xfId="46" applyFill="1" applyBorder="1"/>
    <xf numFmtId="0" fontId="0" fillId="36" borderId="12" xfId="0" applyFill="1" applyBorder="1"/>
    <xf numFmtId="0" fontId="16" fillId="36" borderId="12" xfId="0" applyFont="1" applyFill="1" applyBorder="1"/>
    <xf numFmtId="165" fontId="0" fillId="36" borderId="12" xfId="0" applyNumberFormat="1" applyFill="1" applyBorder="1"/>
    <xf numFmtId="164" fontId="20" fillId="0" borderId="0" xfId="1" applyNumberFormat="1" applyFont="1"/>
    <xf numFmtId="0" fontId="20" fillId="0" borderId="0" xfId="71"/>
    <xf numFmtId="0" fontId="20" fillId="0" borderId="0" xfId="71" applyFill="1" applyBorder="1"/>
    <xf numFmtId="0" fontId="20" fillId="0" borderId="0" xfId="71"/>
    <xf numFmtId="166" fontId="20" fillId="0" borderId="0" xfId="73" applyNumberFormat="1" applyFont="1"/>
    <xf numFmtId="0" fontId="18" fillId="0" borderId="0" xfId="46"/>
    <xf numFmtId="0" fontId="18" fillId="0" borderId="0" xfId="46" applyFill="1"/>
    <xf numFmtId="0" fontId="20" fillId="33" borderId="0" xfId="71" applyFill="1" applyBorder="1"/>
    <xf numFmtId="0" fontId="20" fillId="0" borderId="0" xfId="71" applyFill="1"/>
    <xf numFmtId="0" fontId="20" fillId="36" borderId="12" xfId="71" applyFill="1" applyBorder="1"/>
    <xf numFmtId="165" fontId="20" fillId="0" borderId="0" xfId="1" applyNumberFormat="1" applyFont="1"/>
    <xf numFmtId="165" fontId="0" fillId="36" borderId="12" xfId="1" applyNumberFormat="1" applyFont="1" applyFill="1" applyBorder="1"/>
    <xf numFmtId="0" fontId="0" fillId="0" borderId="0" xfId="0"/>
    <xf numFmtId="165" fontId="0" fillId="0" borderId="0" xfId="0" applyNumberFormat="1"/>
    <xf numFmtId="165" fontId="0" fillId="0" borderId="0" xfId="1" applyNumberFormat="1" applyFont="1"/>
    <xf numFmtId="167" fontId="0" fillId="0" borderId="0" xfId="0" applyNumberFormat="1"/>
    <xf numFmtId="9" fontId="0" fillId="0" borderId="0" xfId="0" applyNumberFormat="1"/>
    <xf numFmtId="43" fontId="0" fillId="0" borderId="0" xfId="0" applyNumberFormat="1"/>
    <xf numFmtId="165" fontId="0" fillId="33" borderId="0" xfId="0" applyNumberFormat="1" applyFill="1"/>
    <xf numFmtId="165" fontId="0" fillId="0" borderId="0" xfId="0" applyNumberFormat="1" applyFill="1"/>
    <xf numFmtId="0" fontId="0" fillId="0" borderId="0" xfId="0"/>
    <xf numFmtId="165" fontId="0" fillId="0" borderId="0" xfId="0" applyNumberFormat="1"/>
    <xf numFmtId="0" fontId="16" fillId="0" borderId="0" xfId="0" applyFont="1"/>
    <xf numFmtId="0" fontId="0" fillId="0" borderId="0" xfId="0" applyFill="1" applyBorder="1"/>
    <xf numFmtId="165" fontId="0" fillId="0" borderId="0" xfId="0" applyNumberFormat="1" applyFill="1"/>
    <xf numFmtId="2" fontId="0" fillId="0" borderId="0" xfId="0" applyNumberFormat="1"/>
    <xf numFmtId="0" fontId="18" fillId="39" borderId="12" xfId="44" applyFont="1" applyFill="1" applyBorder="1"/>
    <xf numFmtId="165" fontId="0" fillId="39" borderId="12" xfId="1" applyNumberFormat="1" applyFont="1" applyFill="1" applyBorder="1"/>
    <xf numFmtId="165" fontId="0" fillId="39" borderId="12" xfId="0" applyNumberFormat="1" applyFill="1" applyBorder="1"/>
    <xf numFmtId="0" fontId="0" fillId="0" borderId="12" xfId="0" applyBorder="1"/>
    <xf numFmtId="166" fontId="0" fillId="0" borderId="12" xfId="43" applyNumberFormat="1" applyFont="1" applyBorder="1"/>
    <xf numFmtId="0" fontId="0" fillId="0" borderId="11" xfId="0" applyFill="1" applyBorder="1"/>
    <xf numFmtId="0" fontId="0" fillId="0" borderId="10" xfId="0" applyFill="1" applyBorder="1"/>
    <xf numFmtId="0" fontId="20" fillId="40" borderId="0" xfId="71" applyFill="1" applyBorder="1"/>
    <xf numFmtId="165" fontId="0" fillId="40" borderId="0" xfId="0" applyNumberFormat="1" applyFill="1"/>
    <xf numFmtId="0" fontId="0" fillId="40" borderId="0" xfId="0" applyFill="1"/>
    <xf numFmtId="0" fontId="20" fillId="35" borderId="0" xfId="71" applyFill="1"/>
    <xf numFmtId="43" fontId="0" fillId="0" borderId="0" xfId="0" applyNumberFormat="1" applyFill="1"/>
    <xf numFmtId="3" fontId="0" fillId="0" borderId="0" xfId="0" applyNumberFormat="1"/>
    <xf numFmtId="0" fontId="0" fillId="33" borderId="0" xfId="0" applyFill="1" applyBorder="1"/>
    <xf numFmtId="1" fontId="0" fillId="0" borderId="0" xfId="0" applyNumberFormat="1"/>
    <xf numFmtId="0" fontId="28" fillId="42" borderId="0" xfId="77" applyFont="1" applyFill="1" applyAlignment="1"/>
    <xf numFmtId="0" fontId="1" fillId="43" borderId="0" xfId="77" applyFill="1"/>
    <xf numFmtId="0" fontId="1" fillId="42" borderId="0" xfId="77" applyFont="1" applyFill="1" applyAlignment="1"/>
    <xf numFmtId="0" fontId="1" fillId="42" borderId="0" xfId="77" applyFont="1" applyFill="1"/>
    <xf numFmtId="0" fontId="29" fillId="42" borderId="0" xfId="77" applyFont="1" applyFill="1" applyAlignment="1"/>
    <xf numFmtId="0" fontId="29" fillId="42" borderId="0" xfId="77" applyFont="1" applyFill="1" applyAlignment="1">
      <alignment wrapText="1"/>
    </xf>
    <xf numFmtId="0" fontId="29" fillId="42" borderId="0" xfId="77" applyFont="1" applyFill="1" applyAlignment="1">
      <alignment horizontal="center" wrapText="1"/>
    </xf>
    <xf numFmtId="0" fontId="30" fillId="42" borderId="0" xfId="77" applyFont="1" applyFill="1"/>
    <xf numFmtId="0" fontId="30" fillId="42" borderId="14" xfId="77" applyFont="1" applyFill="1" applyBorder="1" applyAlignment="1"/>
    <xf numFmtId="0" fontId="30" fillId="42" borderId="0" xfId="77" applyFont="1" applyFill="1" applyBorder="1" applyAlignment="1"/>
    <xf numFmtId="0" fontId="1" fillId="42" borderId="15" xfId="77" applyFont="1" applyFill="1" applyBorder="1"/>
    <xf numFmtId="0" fontId="1" fillId="42" borderId="16" xfId="77" applyFont="1" applyFill="1" applyBorder="1" applyAlignment="1">
      <alignment horizontal="right" wrapText="1"/>
    </xf>
    <xf numFmtId="0" fontId="1" fillId="42" borderId="17" xfId="77" applyFont="1" applyFill="1" applyBorder="1" applyAlignment="1">
      <alignment horizontal="right" wrapText="1"/>
    </xf>
    <xf numFmtId="2" fontId="1" fillId="42" borderId="0" xfId="77" applyNumberFormat="1" applyFont="1" applyFill="1"/>
    <xf numFmtId="0" fontId="1" fillId="43" borderId="0" xfId="77" applyFont="1" applyFill="1"/>
    <xf numFmtId="1" fontId="1" fillId="42" borderId="0" xfId="77" applyNumberFormat="1" applyFont="1" applyFill="1" applyBorder="1"/>
    <xf numFmtId="0" fontId="1" fillId="42" borderId="18" xfId="77" applyFont="1" applyFill="1" applyBorder="1"/>
    <xf numFmtId="167" fontId="1" fillId="42" borderId="19" xfId="77" applyNumberFormat="1" applyFont="1" applyFill="1" applyBorder="1"/>
    <xf numFmtId="167" fontId="1" fillId="42" borderId="0" xfId="77" applyNumberFormat="1" applyFont="1" applyFill="1"/>
    <xf numFmtId="167" fontId="1" fillId="42" borderId="0" xfId="77" applyNumberFormat="1" applyFont="1" applyFill="1" applyBorder="1"/>
    <xf numFmtId="167" fontId="1" fillId="42" borderId="20" xfId="77" applyNumberFormat="1" applyFont="1" applyFill="1" applyBorder="1"/>
    <xf numFmtId="0" fontId="31" fillId="42" borderId="18" xfId="77" applyFont="1" applyFill="1" applyBorder="1"/>
    <xf numFmtId="0" fontId="31" fillId="43" borderId="18" xfId="77" applyFont="1" applyFill="1" applyBorder="1"/>
    <xf numFmtId="1" fontId="1" fillId="43" borderId="0" xfId="77" applyNumberFormat="1" applyFont="1" applyFill="1" applyBorder="1"/>
    <xf numFmtId="167" fontId="1" fillId="43" borderId="20" xfId="77" applyNumberFormat="1" applyFont="1" applyFill="1" applyBorder="1"/>
    <xf numFmtId="0" fontId="1" fillId="43" borderId="18" xfId="77" applyFont="1" applyFill="1" applyBorder="1"/>
    <xf numFmtId="0" fontId="31" fillId="44" borderId="18" xfId="77" applyFont="1" applyFill="1" applyBorder="1"/>
    <xf numFmtId="1" fontId="1" fillId="44" borderId="0" xfId="77" applyNumberFormat="1" applyFont="1" applyFill="1" applyBorder="1"/>
    <xf numFmtId="167" fontId="1" fillId="44" borderId="20" xfId="77" applyNumberFormat="1" applyFont="1" applyFill="1" applyBorder="1"/>
    <xf numFmtId="167" fontId="1" fillId="43" borderId="0" xfId="77" applyNumberFormat="1" applyFont="1" applyFill="1"/>
    <xf numFmtId="0" fontId="1" fillId="45" borderId="18" xfId="77" applyFont="1" applyFill="1" applyBorder="1"/>
    <xf numFmtId="1" fontId="1" fillId="45" borderId="0" xfId="77" applyNumberFormat="1" applyFont="1" applyFill="1" applyBorder="1"/>
    <xf numFmtId="167" fontId="1" fillId="45" borderId="20" xfId="77" applyNumberFormat="1" applyFont="1" applyFill="1" applyBorder="1"/>
    <xf numFmtId="0" fontId="1" fillId="44" borderId="18" xfId="77" applyFont="1" applyFill="1" applyBorder="1"/>
    <xf numFmtId="0" fontId="1" fillId="46" borderId="18" xfId="77" applyFont="1" applyFill="1" applyBorder="1"/>
    <xf numFmtId="1" fontId="1" fillId="46" borderId="0" xfId="77" applyNumberFormat="1" applyFont="1" applyFill="1" applyBorder="1"/>
    <xf numFmtId="167" fontId="1" fillId="46" borderId="20" xfId="77" applyNumberFormat="1" applyFont="1" applyFill="1" applyBorder="1"/>
    <xf numFmtId="0" fontId="1" fillId="42" borderId="0" xfId="77" applyFont="1" applyFill="1" applyBorder="1"/>
    <xf numFmtId="0" fontId="1" fillId="43" borderId="21" xfId="77" applyFont="1" applyFill="1" applyBorder="1"/>
    <xf numFmtId="1" fontId="1" fillId="42" borderId="14" xfId="77" applyNumberFormat="1" applyFont="1" applyFill="1" applyBorder="1"/>
    <xf numFmtId="1" fontId="1" fillId="43" borderId="14" xfId="77" applyNumberFormat="1" applyFont="1" applyFill="1" applyBorder="1"/>
    <xf numFmtId="167" fontId="1" fillId="43" borderId="22" xfId="77" applyNumberFormat="1" applyFont="1" applyFill="1" applyBorder="1"/>
    <xf numFmtId="0" fontId="1" fillId="42" borderId="0" xfId="77" applyNumberFormat="1" applyFont="1" applyFill="1" applyBorder="1"/>
    <xf numFmtId="0" fontId="1" fillId="42" borderId="0" xfId="77" applyNumberFormat="1" applyFont="1" applyFill="1"/>
    <xf numFmtId="0" fontId="30" fillId="42" borderId="23" xfId="77" applyFont="1" applyFill="1" applyBorder="1"/>
    <xf numFmtId="0" fontId="30" fillId="42" borderId="24" xfId="77" applyFont="1" applyFill="1" applyBorder="1" applyAlignment="1"/>
    <xf numFmtId="0" fontId="30" fillId="42" borderId="25" xfId="77" applyFont="1" applyFill="1" applyBorder="1" applyAlignment="1"/>
    <xf numFmtId="0" fontId="1" fillId="42" borderId="26" xfId="77" applyFont="1" applyFill="1" applyBorder="1"/>
    <xf numFmtId="0" fontId="1" fillId="47" borderId="16" xfId="77" applyFont="1" applyFill="1" applyBorder="1" applyAlignment="1">
      <alignment horizontal="right" wrapText="1"/>
    </xf>
    <xf numFmtId="0" fontId="1" fillId="47" borderId="17" xfId="77" applyFont="1" applyFill="1" applyBorder="1" applyAlignment="1">
      <alignment horizontal="right" wrapText="1"/>
    </xf>
    <xf numFmtId="0" fontId="1" fillId="42" borderId="27" xfId="77" applyFont="1" applyFill="1" applyBorder="1"/>
    <xf numFmtId="0" fontId="1" fillId="42" borderId="28" xfId="77" applyFont="1" applyFill="1" applyBorder="1" applyAlignment="1">
      <alignment horizontal="right" wrapText="1"/>
    </xf>
    <xf numFmtId="0" fontId="31" fillId="47" borderId="0" xfId="77" applyFont="1" applyFill="1" applyBorder="1" applyAlignment="1">
      <alignment horizontal="right"/>
    </xf>
    <xf numFmtId="0" fontId="31" fillId="47" borderId="20" xfId="77" applyFont="1" applyFill="1" applyBorder="1" applyAlignment="1">
      <alignment horizontal="right"/>
    </xf>
    <xf numFmtId="169" fontId="0" fillId="42" borderId="0" xfId="78" applyNumberFormat="1" applyFont="1" applyFill="1" applyBorder="1"/>
    <xf numFmtId="169" fontId="31" fillId="47" borderId="0" xfId="77" applyNumberFormat="1" applyFont="1" applyFill="1" applyBorder="1" applyAlignment="1"/>
    <xf numFmtId="170" fontId="31" fillId="47" borderId="20" xfId="77" applyNumberFormat="1" applyFont="1" applyFill="1" applyBorder="1" applyAlignment="1"/>
    <xf numFmtId="0" fontId="31" fillId="45" borderId="18" xfId="77" applyFont="1" applyFill="1" applyBorder="1"/>
    <xf numFmtId="169" fontId="0" fillId="45" borderId="0" xfId="78" applyNumberFormat="1" applyFont="1" applyFill="1" applyBorder="1"/>
    <xf numFmtId="169" fontId="0" fillId="46" borderId="0" xfId="78" applyNumberFormat="1" applyFont="1" applyFill="1" applyBorder="1"/>
    <xf numFmtId="169" fontId="31" fillId="46" borderId="0" xfId="77" applyNumberFormat="1" applyFont="1" applyFill="1" applyBorder="1" applyAlignment="1"/>
    <xf numFmtId="170" fontId="31" fillId="46" borderId="20" xfId="77" applyNumberFormat="1" applyFont="1" applyFill="1" applyBorder="1" applyAlignment="1"/>
    <xf numFmtId="169" fontId="0" fillId="42" borderId="14" xfId="78" applyNumberFormat="1" applyFont="1" applyFill="1" applyBorder="1"/>
    <xf numFmtId="169" fontId="31" fillId="47" borderId="14" xfId="77" applyNumberFormat="1" applyFont="1" applyFill="1" applyBorder="1" applyAlignment="1"/>
    <xf numFmtId="170" fontId="31" fillId="47" borderId="22" xfId="77" applyNumberFormat="1" applyFont="1" applyFill="1" applyBorder="1" applyAlignment="1"/>
    <xf numFmtId="170" fontId="0" fillId="42" borderId="0" xfId="78" applyNumberFormat="1" applyFont="1" applyFill="1" applyBorder="1"/>
    <xf numFmtId="43" fontId="1" fillId="42" borderId="0" xfId="77" applyNumberFormat="1" applyFont="1" applyFill="1"/>
    <xf numFmtId="0" fontId="1" fillId="43" borderId="15" xfId="77" applyFill="1" applyBorder="1"/>
    <xf numFmtId="0" fontId="1" fillId="43" borderId="16" xfId="77" applyFill="1" applyBorder="1" applyAlignment="1">
      <alignment horizontal="right" wrapText="1"/>
    </xf>
    <xf numFmtId="0" fontId="1" fillId="43" borderId="17" xfId="77" applyFill="1" applyBorder="1" applyAlignment="1">
      <alignment horizontal="right" wrapText="1"/>
    </xf>
    <xf numFmtId="0" fontId="1" fillId="43" borderId="0" xfId="77" applyFill="1" applyBorder="1"/>
    <xf numFmtId="0" fontId="1" fillId="43" borderId="27" xfId="77" applyFill="1" applyBorder="1"/>
    <xf numFmtId="0" fontId="1" fillId="43" borderId="28" xfId="77" applyFill="1" applyBorder="1" applyAlignment="1">
      <alignment horizontal="right" wrapText="1"/>
    </xf>
    <xf numFmtId="0" fontId="1" fillId="43" borderId="29" xfId="77" applyFill="1" applyBorder="1" applyAlignment="1">
      <alignment horizontal="right" wrapText="1"/>
    </xf>
    <xf numFmtId="0" fontId="1" fillId="43" borderId="18" xfId="77" applyFill="1" applyBorder="1"/>
    <xf numFmtId="165" fontId="1" fillId="43" borderId="0" xfId="78" applyNumberFormat="1" applyFill="1" applyBorder="1"/>
    <xf numFmtId="166" fontId="1" fillId="43" borderId="0" xfId="79" applyNumberFormat="1" applyFill="1" applyBorder="1"/>
    <xf numFmtId="3" fontId="1" fillId="43" borderId="20" xfId="77" applyNumberFormat="1" applyFill="1" applyBorder="1"/>
    <xf numFmtId="43" fontId="1" fillId="43" borderId="0" xfId="77" applyNumberFormat="1" applyFill="1"/>
    <xf numFmtId="1" fontId="1" fillId="43" borderId="20" xfId="77" applyNumberFormat="1" applyFill="1" applyBorder="1"/>
    <xf numFmtId="0" fontId="1" fillId="43" borderId="20" xfId="77" applyFill="1" applyBorder="1"/>
    <xf numFmtId="0" fontId="1" fillId="43" borderId="21" xfId="77" applyFill="1" applyBorder="1"/>
    <xf numFmtId="165" fontId="1" fillId="43" borderId="14" xfId="78" applyNumberFormat="1" applyFill="1" applyBorder="1"/>
    <xf numFmtId="0" fontId="1" fillId="43" borderId="14" xfId="77" applyFill="1" applyBorder="1"/>
    <xf numFmtId="0" fontId="1" fillId="43" borderId="22" xfId="77" applyFill="1" applyBorder="1"/>
    <xf numFmtId="0" fontId="18" fillId="42" borderId="0" xfId="80" applyFont="1" applyFill="1"/>
    <xf numFmtId="0" fontId="33" fillId="42" borderId="0" xfId="80" applyFont="1" applyFill="1" applyBorder="1" applyAlignment="1">
      <alignment horizontal="left" vertical="top" wrapText="1"/>
    </xf>
    <xf numFmtId="171" fontId="33" fillId="42" borderId="0" xfId="80" applyNumberFormat="1" applyFont="1" applyFill="1" applyBorder="1" applyAlignment="1">
      <alignment horizontal="left" vertical="top" wrapText="1"/>
    </xf>
    <xf numFmtId="0" fontId="33" fillId="42" borderId="0" xfId="80" applyFont="1" applyFill="1" applyBorder="1" applyAlignment="1">
      <alignment horizontal="left" vertical="top"/>
    </xf>
    <xf numFmtId="0" fontId="18" fillId="0" borderId="0" xfId="80" applyFont="1"/>
    <xf numFmtId="0" fontId="33" fillId="0" borderId="0" xfId="80" applyFont="1" applyFill="1" applyAlignment="1"/>
    <xf numFmtId="43" fontId="18" fillId="0" borderId="0" xfId="80" applyNumberFormat="1" applyFont="1"/>
    <xf numFmtId="0" fontId="18" fillId="42" borderId="0" xfId="80" applyFont="1" applyFill="1" applyAlignment="1">
      <alignment horizontal="center"/>
    </xf>
    <xf numFmtId="0" fontId="1" fillId="43" borderId="30" xfId="77" applyFont="1" applyFill="1" applyBorder="1"/>
    <xf numFmtId="0" fontId="1" fillId="43" borderId="31" xfId="77" applyFont="1" applyFill="1" applyBorder="1"/>
    <xf numFmtId="0" fontId="1" fillId="42" borderId="31" xfId="77" applyFont="1" applyFill="1" applyBorder="1"/>
    <xf numFmtId="0" fontId="1" fillId="42" borderId="32" xfId="77" applyFont="1" applyFill="1" applyBorder="1"/>
    <xf numFmtId="0" fontId="31" fillId="43" borderId="10" xfId="77" applyFont="1" applyFill="1" applyBorder="1"/>
    <xf numFmtId="0" fontId="1" fillId="43" borderId="0" xfId="77" applyFont="1" applyFill="1" applyBorder="1"/>
    <xf numFmtId="0" fontId="1" fillId="42" borderId="33" xfId="77" applyFont="1" applyFill="1" applyBorder="1"/>
    <xf numFmtId="0" fontId="1" fillId="43" borderId="10" xfId="77" applyFont="1" applyFill="1" applyBorder="1"/>
    <xf numFmtId="9" fontId="31" fillId="43" borderId="0" xfId="77" applyNumberFormat="1" applyFont="1" applyFill="1" applyBorder="1" applyAlignment="1">
      <alignment horizontal="center"/>
    </xf>
    <xf numFmtId="3" fontId="31" fillId="43" borderId="0" xfId="77" applyNumberFormat="1" applyFont="1" applyFill="1" applyBorder="1" applyAlignment="1">
      <alignment horizontal="center"/>
    </xf>
    <xf numFmtId="3" fontId="1" fillId="42" borderId="0" xfId="77" applyNumberFormat="1" applyFont="1" applyFill="1" applyBorder="1"/>
    <xf numFmtId="166" fontId="31" fillId="43" borderId="0" xfId="77" applyNumberFormat="1" applyFont="1" applyFill="1" applyBorder="1" applyAlignment="1">
      <alignment horizontal="center"/>
    </xf>
    <xf numFmtId="166" fontId="1" fillId="42" borderId="0" xfId="77" applyNumberFormat="1" applyFont="1" applyFill="1" applyBorder="1" applyAlignment="1">
      <alignment horizontal="center"/>
    </xf>
    <xf numFmtId="0" fontId="31" fillId="43" borderId="34" xfId="77" applyFont="1" applyFill="1" applyBorder="1"/>
    <xf numFmtId="1" fontId="31" fillId="43" borderId="35" xfId="77" applyNumberFormat="1" applyFont="1" applyFill="1" applyBorder="1" applyAlignment="1">
      <alignment horizontal="center"/>
    </xf>
    <xf numFmtId="0" fontId="1" fillId="43" borderId="35" xfId="77" applyFont="1" applyFill="1" applyBorder="1"/>
    <xf numFmtId="166" fontId="1" fillId="42" borderId="35" xfId="77" applyNumberFormat="1" applyFont="1" applyFill="1" applyBorder="1"/>
    <xf numFmtId="0" fontId="1" fillId="42" borderId="35" xfId="77" applyFont="1" applyFill="1" applyBorder="1"/>
    <xf numFmtId="0" fontId="1" fillId="42" borderId="36" xfId="77" applyFont="1" applyFill="1" applyBorder="1"/>
    <xf numFmtId="0" fontId="31" fillId="43" borderId="0" xfId="77" applyFont="1" applyFill="1" applyBorder="1"/>
    <xf numFmtId="1" fontId="31" fillId="43" borderId="0" xfId="77" applyNumberFormat="1" applyFont="1" applyFill="1" applyBorder="1" applyAlignment="1">
      <alignment horizontal="center"/>
    </xf>
    <xf numFmtId="166" fontId="1" fillId="42" borderId="0" xfId="77" applyNumberFormat="1" applyFont="1" applyFill="1" applyBorder="1"/>
    <xf numFmtId="0" fontId="1" fillId="42" borderId="37" xfId="77" applyFont="1" applyFill="1" applyBorder="1"/>
    <xf numFmtId="0" fontId="1" fillId="42" borderId="28" xfId="77" applyFont="1" applyFill="1" applyBorder="1" applyAlignment="1">
      <alignment horizontal="center"/>
    </xf>
    <xf numFmtId="0" fontId="1" fillId="42" borderId="28" xfId="77" applyFont="1" applyFill="1" applyBorder="1" applyAlignment="1">
      <alignment horizontal="right"/>
    </xf>
    <xf numFmtId="0" fontId="1" fillId="42" borderId="38" xfId="77" applyFont="1" applyFill="1" applyBorder="1" applyAlignment="1">
      <alignment horizontal="right"/>
    </xf>
    <xf numFmtId="0" fontId="1" fillId="42" borderId="10" xfId="77" applyFont="1" applyFill="1" applyBorder="1"/>
    <xf numFmtId="2" fontId="1" fillId="42" borderId="0" xfId="77" applyNumberFormat="1" applyFont="1" applyFill="1" applyBorder="1" applyAlignment="1">
      <alignment horizontal="center"/>
    </xf>
    <xf numFmtId="2" fontId="1" fillId="42" borderId="0" xfId="77" applyNumberFormat="1" applyFont="1" applyFill="1" applyBorder="1"/>
    <xf numFmtId="2" fontId="1" fillId="42" borderId="33" xfId="77" applyNumberFormat="1" applyFont="1" applyFill="1" applyBorder="1"/>
    <xf numFmtId="0" fontId="1" fillId="42" borderId="34" xfId="77" applyFont="1" applyFill="1" applyBorder="1"/>
    <xf numFmtId="2" fontId="1" fillId="42" borderId="35" xfId="77" applyNumberFormat="1" applyFont="1" applyFill="1" applyBorder="1" applyAlignment="1">
      <alignment horizontal="center"/>
    </xf>
    <xf numFmtId="2" fontId="1" fillId="42" borderId="35" xfId="77" applyNumberFormat="1" applyFont="1" applyFill="1" applyBorder="1"/>
    <xf numFmtId="2" fontId="1" fillId="42" borderId="36" xfId="77" applyNumberFormat="1" applyFont="1" applyFill="1" applyBorder="1"/>
    <xf numFmtId="0" fontId="30" fillId="42" borderId="13" xfId="77" applyFont="1" applyFill="1" applyBorder="1" applyAlignment="1">
      <alignment horizontal="center"/>
    </xf>
    <xf numFmtId="0" fontId="30" fillId="42" borderId="11" xfId="77" applyFont="1" applyFill="1" applyBorder="1"/>
    <xf numFmtId="0" fontId="30" fillId="42" borderId="37" xfId="77" applyFont="1" applyFill="1" applyBorder="1" applyAlignment="1">
      <alignment horizontal="center"/>
    </xf>
    <xf numFmtId="0" fontId="30" fillId="42" borderId="28" xfId="77" applyFont="1" applyFill="1" applyBorder="1" applyAlignment="1">
      <alignment horizontal="center"/>
    </xf>
    <xf numFmtId="0" fontId="30" fillId="42" borderId="37" xfId="77" applyFont="1" applyFill="1" applyBorder="1" applyAlignment="1"/>
    <xf numFmtId="0" fontId="30" fillId="42" borderId="38" xfId="77" applyFont="1" applyFill="1" applyBorder="1" applyAlignment="1">
      <alignment horizontal="center"/>
    </xf>
    <xf numFmtId="0" fontId="30" fillId="46" borderId="28" xfId="77" applyFont="1" applyFill="1" applyBorder="1" applyAlignment="1">
      <alignment horizontal="center"/>
    </xf>
    <xf numFmtId="0" fontId="30" fillId="46" borderId="38" xfId="77" applyFont="1" applyFill="1" applyBorder="1" applyAlignment="1">
      <alignment horizontal="center"/>
    </xf>
    <xf numFmtId="0" fontId="30" fillId="46" borderId="37" xfId="77" applyFont="1" applyFill="1" applyBorder="1" applyAlignment="1">
      <alignment horizontal="center"/>
    </xf>
    <xf numFmtId="0" fontId="30" fillId="42" borderId="31" xfId="77" applyFont="1" applyFill="1" applyBorder="1" applyAlignment="1">
      <alignment horizontal="center"/>
    </xf>
    <xf numFmtId="0" fontId="30" fillId="42" borderId="39" xfId="77" applyFont="1" applyFill="1" applyBorder="1"/>
    <xf numFmtId="0" fontId="30" fillId="42" borderId="37" xfId="77" applyFont="1" applyFill="1" applyBorder="1" applyAlignment="1">
      <alignment horizontal="right"/>
    </xf>
    <xf numFmtId="0" fontId="30" fillId="42" borderId="38" xfId="77" applyFont="1" applyFill="1" applyBorder="1" applyAlignment="1">
      <alignment horizontal="right"/>
    </xf>
    <xf numFmtId="0" fontId="30" fillId="42" borderId="28" xfId="77" applyFont="1" applyFill="1" applyBorder="1" applyAlignment="1">
      <alignment horizontal="right"/>
    </xf>
    <xf numFmtId="0" fontId="30" fillId="46" borderId="28" xfId="77" applyFont="1" applyFill="1" applyBorder="1" applyAlignment="1">
      <alignment horizontal="right"/>
    </xf>
    <xf numFmtId="0" fontId="30" fillId="46" borderId="38" xfId="77" applyFont="1" applyFill="1" applyBorder="1" applyAlignment="1">
      <alignment horizontal="right"/>
    </xf>
    <xf numFmtId="0" fontId="30" fillId="42" borderId="35" xfId="77" applyFont="1" applyFill="1" applyBorder="1" applyAlignment="1">
      <alignment horizontal="right"/>
    </xf>
    <xf numFmtId="0" fontId="31" fillId="42" borderId="11" xfId="77" applyFont="1" applyFill="1" applyBorder="1"/>
    <xf numFmtId="3" fontId="31" fillId="42" borderId="10" xfId="77" applyNumberFormat="1" applyFont="1" applyFill="1" applyBorder="1"/>
    <xf numFmtId="3" fontId="31" fillId="42" borderId="33" xfId="77" applyNumberFormat="1" applyFont="1" applyFill="1" applyBorder="1"/>
    <xf numFmtId="0" fontId="31" fillId="42" borderId="0" xfId="77" applyFont="1" applyFill="1" applyBorder="1"/>
    <xf numFmtId="3" fontId="31" fillId="42" borderId="0" xfId="77" applyNumberFormat="1" applyFont="1" applyFill="1" applyBorder="1"/>
    <xf numFmtId="3" fontId="31" fillId="44" borderId="10" xfId="77" applyNumberFormat="1" applyFont="1" applyFill="1" applyBorder="1"/>
    <xf numFmtId="3" fontId="31" fillId="44" borderId="33" xfId="77" applyNumberFormat="1" applyFont="1" applyFill="1" applyBorder="1"/>
    <xf numFmtId="3" fontId="31" fillId="46" borderId="0" xfId="77" applyNumberFormat="1" applyFont="1" applyFill="1" applyBorder="1"/>
    <xf numFmtId="3" fontId="31" fillId="46" borderId="33" xfId="77" applyNumberFormat="1" applyFont="1" applyFill="1" applyBorder="1"/>
    <xf numFmtId="0" fontId="31" fillId="46" borderId="0" xfId="77" applyFont="1" applyFill="1" applyBorder="1"/>
    <xf numFmtId="0" fontId="31" fillId="42" borderId="33" xfId="77" applyFont="1" applyFill="1" applyBorder="1"/>
    <xf numFmtId="172" fontId="31" fillId="42" borderId="10" xfId="77" applyNumberFormat="1" applyFont="1" applyFill="1" applyBorder="1"/>
    <xf numFmtId="172" fontId="31" fillId="42" borderId="33" xfId="77" applyNumberFormat="1" applyFont="1" applyFill="1" applyBorder="1"/>
    <xf numFmtId="172" fontId="31" fillId="42" borderId="0" xfId="77" applyNumberFormat="1" applyFont="1" applyFill="1" applyBorder="1"/>
    <xf numFmtId="172" fontId="31" fillId="44" borderId="10" xfId="77" applyNumberFormat="1" applyFont="1" applyFill="1" applyBorder="1"/>
    <xf numFmtId="172" fontId="31" fillId="44" borderId="33" xfId="77" applyNumberFormat="1" applyFont="1" applyFill="1" applyBorder="1"/>
    <xf numFmtId="172" fontId="31" fillId="46" borderId="0" xfId="77" applyNumberFormat="1" applyFont="1" applyFill="1" applyBorder="1"/>
    <xf numFmtId="172" fontId="31" fillId="46" borderId="33" xfId="77" applyNumberFormat="1" applyFont="1" applyFill="1" applyBorder="1"/>
    <xf numFmtId="172" fontId="31" fillId="48" borderId="10" xfId="77" applyNumberFormat="1" applyFont="1" applyFill="1" applyBorder="1"/>
    <xf numFmtId="169" fontId="31" fillId="42" borderId="0" xfId="77" applyNumberFormat="1" applyFont="1" applyFill="1" applyBorder="1"/>
    <xf numFmtId="169" fontId="31" fillId="42" borderId="33" xfId="77" applyNumberFormat="1" applyFont="1" applyFill="1" applyBorder="1"/>
    <xf numFmtId="169" fontId="31" fillId="46" borderId="0" xfId="77" applyNumberFormat="1" applyFont="1" applyFill="1" applyBorder="1"/>
    <xf numFmtId="0" fontId="31" fillId="49" borderId="11" xfId="77" applyFont="1" applyFill="1" applyBorder="1"/>
    <xf numFmtId="3" fontId="31" fillId="49" borderId="10" xfId="77" applyNumberFormat="1" applyFont="1" applyFill="1" applyBorder="1"/>
    <xf numFmtId="3" fontId="31" fillId="49" borderId="33" xfId="77" applyNumberFormat="1" applyFont="1" applyFill="1" applyBorder="1"/>
    <xf numFmtId="0" fontId="31" fillId="49" borderId="0" xfId="77" applyFont="1" applyFill="1" applyBorder="1"/>
    <xf numFmtId="3" fontId="31" fillId="49" borderId="0" xfId="77" applyNumberFormat="1" applyFont="1" applyFill="1" applyBorder="1"/>
    <xf numFmtId="0" fontId="1" fillId="49" borderId="0" xfId="77" applyFont="1" applyFill="1"/>
    <xf numFmtId="0" fontId="1" fillId="49" borderId="0" xfId="77" applyFill="1"/>
    <xf numFmtId="0" fontId="31" fillId="0" borderId="0" xfId="77" applyFont="1" applyFill="1" applyBorder="1"/>
    <xf numFmtId="3" fontId="31" fillId="0" borderId="0" xfId="77" applyNumberFormat="1" applyFont="1" applyFill="1" applyBorder="1"/>
    <xf numFmtId="0" fontId="1" fillId="0" borderId="0" xfId="77" applyFont="1" applyFill="1" applyBorder="1"/>
    <xf numFmtId="0" fontId="1" fillId="0" borderId="0" xfId="77" applyFill="1" applyBorder="1"/>
    <xf numFmtId="166" fontId="31" fillId="0" borderId="0" xfId="73" applyNumberFormat="1" applyFont="1" applyFill="1" applyBorder="1"/>
    <xf numFmtId="0" fontId="28" fillId="43" borderId="0" xfId="77" applyFont="1" applyFill="1"/>
    <xf numFmtId="0" fontId="34" fillId="43" borderId="0" xfId="81" applyFill="1"/>
    <xf numFmtId="0" fontId="34" fillId="50" borderId="0" xfId="81" applyFill="1"/>
    <xf numFmtId="0" fontId="1" fillId="50" borderId="0" xfId="77" applyFill="1"/>
    <xf numFmtId="0" fontId="16" fillId="43" borderId="0" xfId="77" applyFont="1" applyFill="1"/>
    <xf numFmtId="0" fontId="1" fillId="43" borderId="23" xfId="77" applyFill="1" applyBorder="1"/>
    <xf numFmtId="0" fontId="1" fillId="35" borderId="26" xfId="77" applyFill="1" applyBorder="1" applyAlignment="1">
      <alignment horizontal="center"/>
    </xf>
    <xf numFmtId="0" fontId="1" fillId="35" borderId="20" xfId="77" applyFill="1" applyBorder="1" applyAlignment="1">
      <alignment horizontal="center"/>
    </xf>
    <xf numFmtId="0" fontId="1" fillId="35" borderId="22" xfId="77" applyFill="1" applyBorder="1" applyAlignment="1">
      <alignment horizontal="center"/>
    </xf>
    <xf numFmtId="0" fontId="16" fillId="43" borderId="0" xfId="77" applyFont="1" applyFill="1" applyBorder="1"/>
    <xf numFmtId="0" fontId="1" fillId="43" borderId="15" xfId="77" applyFill="1" applyBorder="1" applyAlignment="1"/>
    <xf numFmtId="0" fontId="1" fillId="43" borderId="40" xfId="77" applyFill="1" applyBorder="1" applyAlignment="1"/>
    <xf numFmtId="0" fontId="1" fillId="42" borderId="16" xfId="77" applyFill="1" applyBorder="1" applyAlignment="1">
      <alignment horizontal="right" wrapText="1"/>
    </xf>
    <xf numFmtId="0" fontId="1" fillId="47" borderId="16" xfId="77" applyFill="1" applyBorder="1" applyAlignment="1">
      <alignment horizontal="right" wrapText="1"/>
    </xf>
    <xf numFmtId="0" fontId="1" fillId="47" borderId="17" xfId="77" applyFill="1" applyBorder="1" applyAlignment="1">
      <alignment horizontal="right" wrapText="1"/>
    </xf>
    <xf numFmtId="0" fontId="1" fillId="43" borderId="33" xfId="77" applyFill="1" applyBorder="1"/>
    <xf numFmtId="173" fontId="0" fillId="33" borderId="0" xfId="67" applyNumberFormat="1" applyFont="1" applyFill="1" applyBorder="1"/>
    <xf numFmtId="173" fontId="0" fillId="47" borderId="0" xfId="67" applyNumberFormat="1" applyFont="1" applyFill="1" applyBorder="1"/>
    <xf numFmtId="173" fontId="0" fillId="47" borderId="20" xfId="67" applyNumberFormat="1" applyFont="1" applyFill="1" applyBorder="1"/>
    <xf numFmtId="0" fontId="1" fillId="33" borderId="0" xfId="77" applyFill="1" applyBorder="1"/>
    <xf numFmtId="173" fontId="1" fillId="43" borderId="0" xfId="77" applyNumberFormat="1" applyFill="1"/>
    <xf numFmtId="0" fontId="1" fillId="43" borderId="41" xfId="77" applyFill="1" applyBorder="1"/>
    <xf numFmtId="0" fontId="1" fillId="33" borderId="14" xfId="77" applyFill="1" applyBorder="1"/>
    <xf numFmtId="173" fontId="0" fillId="33" borderId="14" xfId="67" applyNumberFormat="1" applyFont="1" applyFill="1" applyBorder="1"/>
    <xf numFmtId="173" fontId="0" fillId="47" borderId="14" xfId="67" applyNumberFormat="1" applyFont="1" applyFill="1" applyBorder="1"/>
    <xf numFmtId="173" fontId="0" fillId="47" borderId="22" xfId="67" applyNumberFormat="1" applyFont="1" applyFill="1" applyBorder="1"/>
    <xf numFmtId="0" fontId="16" fillId="47" borderId="0" xfId="77" applyFont="1" applyFill="1" applyBorder="1"/>
    <xf numFmtId="0" fontId="1" fillId="47" borderId="0" xfId="77" applyFill="1"/>
    <xf numFmtId="0" fontId="1" fillId="43" borderId="0" xfId="77" applyFill="1" applyAlignment="1">
      <alignment horizontal="left"/>
    </xf>
    <xf numFmtId="0" fontId="1" fillId="47" borderId="15" xfId="77" applyFill="1" applyBorder="1" applyAlignment="1"/>
    <xf numFmtId="0" fontId="1" fillId="47" borderId="40" xfId="77" applyFill="1" applyBorder="1" applyAlignment="1"/>
    <xf numFmtId="0" fontId="1" fillId="47" borderId="18" xfId="77" applyFill="1" applyBorder="1"/>
    <xf numFmtId="0" fontId="1" fillId="47" borderId="33" xfId="77" applyFill="1" applyBorder="1"/>
    <xf numFmtId="0" fontId="1" fillId="47" borderId="21" xfId="77" applyFill="1" applyBorder="1"/>
    <xf numFmtId="0" fontId="1" fillId="47" borderId="41" xfId="77" applyFill="1" applyBorder="1"/>
    <xf numFmtId="167" fontId="1" fillId="43" borderId="0" xfId="77" applyNumberFormat="1" applyFill="1" applyBorder="1"/>
    <xf numFmtId="0" fontId="19" fillId="43" borderId="0" xfId="77" applyFont="1" applyFill="1"/>
    <xf numFmtId="167" fontId="1" fillId="33" borderId="0" xfId="77" applyNumberFormat="1" applyFill="1" applyBorder="1"/>
    <xf numFmtId="169" fontId="1" fillId="33" borderId="0" xfId="77" applyNumberFormat="1" applyFill="1" applyBorder="1"/>
    <xf numFmtId="167" fontId="0" fillId="33" borderId="0" xfId="67" applyNumberFormat="1" applyFont="1" applyFill="1" applyBorder="1"/>
    <xf numFmtId="167" fontId="1" fillId="47" borderId="0" xfId="77" applyNumberFormat="1" applyFill="1" applyBorder="1"/>
    <xf numFmtId="167" fontId="1" fillId="47" borderId="20" xfId="77" applyNumberFormat="1" applyFill="1" applyBorder="1"/>
    <xf numFmtId="170" fontId="1" fillId="47" borderId="0" xfId="77" applyNumberFormat="1" applyFill="1" applyBorder="1"/>
    <xf numFmtId="9" fontId="1" fillId="43" borderId="0" xfId="77" applyNumberFormat="1" applyFill="1"/>
    <xf numFmtId="167" fontId="0" fillId="47" borderId="0" xfId="67" applyNumberFormat="1" applyFont="1" applyFill="1" applyBorder="1"/>
    <xf numFmtId="167" fontId="0" fillId="47" borderId="20" xfId="67" applyNumberFormat="1" applyFont="1" applyFill="1" applyBorder="1"/>
    <xf numFmtId="167" fontId="1" fillId="33" borderId="14" xfId="77" applyNumberFormat="1" applyFill="1" applyBorder="1"/>
    <xf numFmtId="167" fontId="1" fillId="47" borderId="14" xfId="77" applyNumberFormat="1" applyFill="1" applyBorder="1"/>
    <xf numFmtId="167" fontId="1" fillId="47" borderId="22" xfId="77" applyNumberFormat="1" applyFill="1" applyBorder="1"/>
    <xf numFmtId="169" fontId="1" fillId="47" borderId="0" xfId="77" applyNumberFormat="1" applyFill="1" applyBorder="1"/>
    <xf numFmtId="170" fontId="1" fillId="33" borderId="0" xfId="77" applyNumberFormat="1" applyFill="1" applyBorder="1"/>
    <xf numFmtId="9" fontId="1" fillId="33" borderId="0" xfId="77" applyNumberFormat="1" applyFill="1" applyBorder="1" applyAlignment="1">
      <alignment horizontal="right"/>
    </xf>
    <xf numFmtId="9" fontId="0" fillId="33" borderId="14" xfId="79" applyFont="1" applyFill="1" applyBorder="1"/>
    <xf numFmtId="9" fontId="1" fillId="47" borderId="0" xfId="77" applyNumberFormat="1" applyFill="1" applyBorder="1" applyAlignment="1">
      <alignment horizontal="right"/>
    </xf>
    <xf numFmtId="3" fontId="1" fillId="33" borderId="0" xfId="77" applyNumberFormat="1" applyFill="1" applyBorder="1"/>
    <xf numFmtId="3" fontId="1" fillId="47" borderId="0" xfId="77" applyNumberFormat="1" applyFill="1" applyBorder="1"/>
    <xf numFmtId="3" fontId="1" fillId="47" borderId="20" xfId="77" applyNumberFormat="1" applyFill="1" applyBorder="1"/>
    <xf numFmtId="3" fontId="1" fillId="51" borderId="14" xfId="77" applyNumberFormat="1" applyFill="1" applyBorder="1"/>
    <xf numFmtId="3" fontId="1" fillId="47" borderId="14" xfId="77" applyNumberFormat="1" applyFill="1" applyBorder="1"/>
    <xf numFmtId="3" fontId="1" fillId="47" borderId="22" xfId="77" applyNumberFormat="1" applyFill="1" applyBorder="1"/>
    <xf numFmtId="0" fontId="1" fillId="42" borderId="0" xfId="77" applyFill="1" applyBorder="1"/>
    <xf numFmtId="174" fontId="1" fillId="33" borderId="0" xfId="77" applyNumberFormat="1" applyFill="1" applyBorder="1"/>
    <xf numFmtId="174" fontId="1" fillId="47" borderId="0" xfId="77" applyNumberFormat="1" applyFill="1" applyBorder="1"/>
    <xf numFmtId="174" fontId="1" fillId="47" borderId="20" xfId="77" applyNumberFormat="1" applyFill="1" applyBorder="1"/>
    <xf numFmtId="174" fontId="0" fillId="33" borderId="0" xfId="67" applyNumberFormat="1" applyFont="1" applyFill="1" applyBorder="1"/>
    <xf numFmtId="174" fontId="1" fillId="33" borderId="14" xfId="77" applyNumberFormat="1" applyFill="1" applyBorder="1"/>
    <xf numFmtId="174" fontId="1" fillId="47" borderId="14" xfId="77" applyNumberFormat="1" applyFill="1" applyBorder="1"/>
    <xf numFmtId="174" fontId="1" fillId="47" borderId="22" xfId="77" applyNumberFormat="1" applyFill="1" applyBorder="1"/>
    <xf numFmtId="0" fontId="19" fillId="47" borderId="0" xfId="77" applyFont="1" applyFill="1"/>
    <xf numFmtId="0" fontId="1" fillId="42" borderId="0" xfId="77" applyFill="1"/>
    <xf numFmtId="3" fontId="0" fillId="47" borderId="0" xfId="67" applyNumberFormat="1" applyFont="1" applyFill="1" applyBorder="1"/>
    <xf numFmtId="3" fontId="0" fillId="47" borderId="20" xfId="67" applyNumberFormat="1" applyFont="1" applyFill="1" applyBorder="1"/>
    <xf numFmtId="3" fontId="0" fillId="33" borderId="0" xfId="67" applyNumberFormat="1" applyFont="1" applyFill="1" applyBorder="1"/>
    <xf numFmtId="3" fontId="1" fillId="33" borderId="14" xfId="77" applyNumberFormat="1" applyFill="1" applyBorder="1"/>
    <xf numFmtId="0" fontId="1" fillId="0" borderId="0" xfId="77" applyFill="1"/>
    <xf numFmtId="0" fontId="1" fillId="47" borderId="0" xfId="77" applyFill="1" applyAlignment="1">
      <alignment horizontal="center" wrapText="1"/>
    </xf>
    <xf numFmtId="0" fontId="1" fillId="47" borderId="0" xfId="77" applyFill="1" applyAlignment="1"/>
    <xf numFmtId="0" fontId="1" fillId="47" borderId="0" xfId="77" applyFill="1" applyAlignment="1">
      <alignment wrapText="1"/>
    </xf>
    <xf numFmtId="3" fontId="1" fillId="47" borderId="0" xfId="77" applyNumberFormat="1" applyFill="1" applyAlignment="1">
      <alignment wrapText="1"/>
    </xf>
    <xf numFmtId="0" fontId="1" fillId="47" borderId="23" xfId="77" applyFill="1" applyBorder="1"/>
    <xf numFmtId="0" fontId="1" fillId="47" borderId="42" xfId="77" applyFill="1" applyBorder="1"/>
    <xf numFmtId="3" fontId="1" fillId="47" borderId="25" xfId="77" applyNumberFormat="1" applyFill="1" applyBorder="1"/>
    <xf numFmtId="0" fontId="1" fillId="47" borderId="25" xfId="77" applyFill="1" applyBorder="1"/>
    <xf numFmtId="3" fontId="0" fillId="47" borderId="25" xfId="67" applyNumberFormat="1" applyFont="1" applyFill="1" applyBorder="1"/>
    <xf numFmtId="0" fontId="1" fillId="47" borderId="26" xfId="77" applyFill="1" applyBorder="1"/>
    <xf numFmtId="0" fontId="1" fillId="47" borderId="0" xfId="77" applyFill="1" applyBorder="1"/>
    <xf numFmtId="0" fontId="1" fillId="47" borderId="20" xfId="77" applyFill="1" applyBorder="1"/>
    <xf numFmtId="0" fontId="1" fillId="47" borderId="14" xfId="77" applyFill="1" applyBorder="1"/>
    <xf numFmtId="0" fontId="1" fillId="47" borderId="22" xfId="77" applyFill="1" applyBorder="1"/>
    <xf numFmtId="0" fontId="1" fillId="47" borderId="25" xfId="77" applyFill="1" applyBorder="1" applyAlignment="1">
      <alignment horizontal="right" wrapText="1"/>
    </xf>
    <xf numFmtId="0" fontId="1" fillId="47" borderId="26" xfId="77" applyFill="1" applyBorder="1" applyAlignment="1">
      <alignment horizontal="right" wrapText="1"/>
    </xf>
    <xf numFmtId="9" fontId="1" fillId="47" borderId="0" xfId="77" applyNumberFormat="1" applyFill="1"/>
    <xf numFmtId="0" fontId="1" fillId="43" borderId="23" xfId="77" applyFont="1" applyFill="1" applyBorder="1"/>
    <xf numFmtId="0" fontId="34" fillId="33" borderId="25" xfId="81" applyFill="1" applyBorder="1"/>
    <xf numFmtId="0" fontId="16" fillId="43" borderId="25" xfId="77" applyFont="1" applyFill="1" applyBorder="1"/>
    <xf numFmtId="0" fontId="16" fillId="43" borderId="26" xfId="77" applyFont="1" applyFill="1" applyBorder="1"/>
    <xf numFmtId="0" fontId="16" fillId="43" borderId="18" xfId="77" applyFont="1" applyFill="1" applyBorder="1"/>
    <xf numFmtId="0" fontId="1" fillId="43" borderId="43" xfId="77" applyFill="1" applyBorder="1"/>
    <xf numFmtId="0" fontId="1" fillId="43" borderId="35" xfId="77" applyFill="1" applyBorder="1"/>
    <xf numFmtId="0" fontId="1" fillId="47" borderId="35" xfId="77" applyFill="1" applyBorder="1"/>
    <xf numFmtId="0" fontId="1" fillId="47" borderId="44" xfId="77" applyFill="1" applyBorder="1"/>
    <xf numFmtId="0" fontId="1" fillId="43" borderId="45" xfId="77" applyFill="1" applyBorder="1"/>
    <xf numFmtId="0" fontId="1" fillId="43" borderId="31" xfId="77" applyFill="1" applyBorder="1"/>
    <xf numFmtId="175" fontId="1" fillId="47" borderId="31" xfId="77" applyNumberFormat="1" applyFill="1" applyBorder="1"/>
    <xf numFmtId="175" fontId="1" fillId="52" borderId="31" xfId="77" quotePrefix="1" applyNumberFormat="1" applyFill="1" applyBorder="1"/>
    <xf numFmtId="175" fontId="1" fillId="47" borderId="19" xfId="77" applyNumberFormat="1" applyFill="1" applyBorder="1"/>
    <xf numFmtId="175" fontId="1" fillId="47" borderId="0" xfId="77" applyNumberFormat="1" applyFill="1" applyBorder="1"/>
    <xf numFmtId="175" fontId="1" fillId="52" borderId="0" xfId="77" quotePrefix="1" applyNumberFormat="1" applyFill="1" applyBorder="1"/>
    <xf numFmtId="175" fontId="1" fillId="47" borderId="20" xfId="77" applyNumberFormat="1" applyFill="1" applyBorder="1"/>
    <xf numFmtId="0" fontId="34" fillId="43" borderId="35" xfId="81" applyFill="1" applyBorder="1"/>
    <xf numFmtId="175" fontId="1" fillId="47" borderId="35" xfId="77" applyNumberFormat="1" applyFill="1" applyBorder="1"/>
    <xf numFmtId="175" fontId="1" fillId="52" borderId="35" xfId="77" quotePrefix="1" applyNumberFormat="1" applyFill="1" applyBorder="1"/>
    <xf numFmtId="175" fontId="1" fillId="43" borderId="21" xfId="77" applyNumberFormat="1" applyFill="1" applyBorder="1"/>
    <xf numFmtId="175" fontId="1" fillId="43" borderId="14" xfId="77" applyNumberFormat="1" applyFill="1" applyBorder="1"/>
    <xf numFmtId="175" fontId="1" fillId="43" borderId="22" xfId="77" applyNumberFormat="1" applyFill="1" applyBorder="1"/>
    <xf numFmtId="166" fontId="1" fillId="43" borderId="0" xfId="77" applyNumberFormat="1" applyFill="1" applyBorder="1"/>
    <xf numFmtId="175" fontId="1" fillId="43" borderId="0" xfId="77" applyNumberFormat="1" applyFill="1" applyBorder="1"/>
    <xf numFmtId="166" fontId="0" fillId="43" borderId="0" xfId="79" applyNumberFormat="1" applyFont="1" applyFill="1" applyBorder="1"/>
    <xf numFmtId="0" fontId="1" fillId="43" borderId="0" xfId="77" quotePrefix="1" applyFill="1" applyBorder="1"/>
    <xf numFmtId="0" fontId="1" fillId="43" borderId="44" xfId="77" applyFill="1" applyBorder="1"/>
    <xf numFmtId="175" fontId="1" fillId="43" borderId="31" xfId="77" applyNumberFormat="1" applyFill="1" applyBorder="1"/>
    <xf numFmtId="175" fontId="1" fillId="43" borderId="19" xfId="77" applyNumberFormat="1" applyFill="1" applyBorder="1"/>
    <xf numFmtId="175" fontId="1" fillId="43" borderId="20" xfId="77" applyNumberFormat="1" applyFill="1" applyBorder="1"/>
    <xf numFmtId="166" fontId="0" fillId="43" borderId="35" xfId="79" applyNumberFormat="1" applyFont="1" applyFill="1" applyBorder="1"/>
    <xf numFmtId="175" fontId="1" fillId="43" borderId="35" xfId="77" applyNumberFormat="1" applyFill="1" applyBorder="1"/>
    <xf numFmtId="175" fontId="1" fillId="43" borderId="44" xfId="77" applyNumberFormat="1" applyFill="1" applyBorder="1"/>
    <xf numFmtId="0" fontId="34" fillId="43" borderId="14" xfId="81" applyFill="1" applyBorder="1"/>
    <xf numFmtId="0" fontId="34" fillId="43" borderId="0" xfId="81" applyFill="1" applyBorder="1"/>
    <xf numFmtId="0" fontId="31" fillId="43" borderId="23" xfId="77" applyFont="1" applyFill="1" applyBorder="1"/>
    <xf numFmtId="0" fontId="30" fillId="43" borderId="23" xfId="77" applyFont="1" applyFill="1" applyBorder="1" applyAlignment="1">
      <alignment horizontal="center"/>
    </xf>
    <xf numFmtId="0" fontId="30" fillId="43" borderId="25" xfId="77" applyFont="1" applyFill="1" applyBorder="1" applyAlignment="1">
      <alignment horizontal="center"/>
    </xf>
    <xf numFmtId="0" fontId="30" fillId="43" borderId="25" xfId="77" applyFont="1" applyFill="1" applyBorder="1" applyAlignment="1"/>
    <xf numFmtId="0" fontId="30" fillId="34" borderId="10" xfId="77" applyFont="1" applyFill="1" applyBorder="1" applyAlignment="1">
      <alignment horizontal="right" vertical="center" wrapText="1"/>
    </xf>
    <xf numFmtId="0" fontId="30" fillId="34" borderId="0" xfId="77" applyFont="1" applyFill="1" applyBorder="1" applyAlignment="1">
      <alignment horizontal="right"/>
    </xf>
    <xf numFmtId="0" fontId="30" fillId="34" borderId="20" xfId="77" applyFont="1" applyFill="1" applyBorder="1" applyAlignment="1">
      <alignment horizontal="right"/>
    </xf>
    <xf numFmtId="0" fontId="30" fillId="43" borderId="0" xfId="77" applyFont="1" applyFill="1" applyBorder="1" applyAlignment="1">
      <alignment horizontal="center"/>
    </xf>
    <xf numFmtId="0" fontId="30" fillId="34" borderId="0" xfId="77" applyFont="1" applyFill="1" applyBorder="1" applyAlignment="1">
      <alignment horizontal="center" vertical="center" wrapText="1"/>
    </xf>
    <xf numFmtId="0" fontId="30" fillId="34" borderId="0" xfId="77" applyFont="1" applyFill="1" applyBorder="1" applyAlignment="1">
      <alignment horizontal="right" vertical="center" wrapText="1"/>
    </xf>
    <xf numFmtId="0" fontId="30" fillId="34" borderId="18" xfId="77" applyFont="1" applyFill="1" applyBorder="1" applyAlignment="1">
      <alignment horizontal="right" vertical="center" wrapText="1"/>
    </xf>
    <xf numFmtId="0" fontId="16" fillId="34" borderId="10" xfId="77" applyFont="1" applyFill="1" applyBorder="1" applyAlignment="1">
      <alignment horizontal="right"/>
    </xf>
    <xf numFmtId="0" fontId="16" fillId="34" borderId="0" xfId="77" applyFont="1" applyFill="1" applyBorder="1" applyAlignment="1">
      <alignment horizontal="right"/>
    </xf>
    <xf numFmtId="0" fontId="30" fillId="34" borderId="20" xfId="77" applyFont="1" applyFill="1" applyBorder="1" applyAlignment="1">
      <alignment horizontal="right" vertical="center" wrapText="1"/>
    </xf>
    <xf numFmtId="0" fontId="30" fillId="43" borderId="0" xfId="77" applyFont="1" applyFill="1" applyBorder="1" applyAlignment="1">
      <alignment horizontal="center" vertical="center" wrapText="1"/>
    </xf>
    <xf numFmtId="0" fontId="16" fillId="34" borderId="0" xfId="77" applyFont="1" applyFill="1" applyBorder="1" applyAlignment="1">
      <alignment horizontal="center"/>
    </xf>
    <xf numFmtId="0" fontId="16" fillId="34" borderId="18" xfId="77" applyFont="1" applyFill="1" applyBorder="1" applyAlignment="1">
      <alignment horizontal="right"/>
    </xf>
    <xf numFmtId="176" fontId="31" fillId="43" borderId="10" xfId="77" applyNumberFormat="1" applyFont="1" applyFill="1" applyBorder="1" applyAlignment="1">
      <alignment horizontal="right"/>
    </xf>
    <xf numFmtId="176" fontId="31" fillId="43" borderId="0" xfId="77" applyNumberFormat="1" applyFont="1" applyFill="1" applyBorder="1" applyAlignment="1">
      <alignment horizontal="right"/>
    </xf>
    <xf numFmtId="176" fontId="31" fillId="43" borderId="20" xfId="77" applyNumberFormat="1" applyFont="1" applyFill="1" applyBorder="1" applyAlignment="1">
      <alignment horizontal="right"/>
    </xf>
    <xf numFmtId="176" fontId="31" fillId="43" borderId="0" xfId="77" applyNumberFormat="1" applyFont="1" applyFill="1" applyBorder="1" applyAlignment="1">
      <alignment horizontal="center"/>
    </xf>
    <xf numFmtId="37" fontId="31" fillId="43" borderId="0" xfId="77" applyNumberFormat="1" applyFont="1" applyFill="1" applyBorder="1" applyAlignment="1">
      <alignment horizontal="center"/>
    </xf>
    <xf numFmtId="0" fontId="31" fillId="43" borderId="0" xfId="77" applyNumberFormat="1" applyFont="1" applyFill="1" applyBorder="1" applyAlignment="1">
      <alignment horizontal="right"/>
    </xf>
    <xf numFmtId="176" fontId="31" fillId="43" borderId="18" xfId="77" applyNumberFormat="1" applyFont="1" applyFill="1" applyBorder="1" applyAlignment="1">
      <alignment horizontal="right"/>
    </xf>
    <xf numFmtId="0" fontId="31" fillId="43" borderId="20" xfId="77" applyNumberFormat="1" applyFont="1" applyFill="1" applyBorder="1" applyAlignment="1">
      <alignment horizontal="right"/>
    </xf>
    <xf numFmtId="0" fontId="31" fillId="43" borderId="47" xfId="77" applyFont="1" applyFill="1" applyBorder="1"/>
    <xf numFmtId="176" fontId="31" fillId="43" borderId="48" xfId="77" applyNumberFormat="1" applyFont="1" applyFill="1" applyBorder="1" applyAlignment="1">
      <alignment horizontal="right"/>
    </xf>
    <xf numFmtId="176" fontId="31" fillId="43" borderId="24" xfId="77" applyNumberFormat="1" applyFont="1" applyFill="1" applyBorder="1" applyAlignment="1">
      <alignment horizontal="right"/>
    </xf>
    <xf numFmtId="176" fontId="31" fillId="43" borderId="49" xfId="77" applyNumberFormat="1" applyFont="1" applyFill="1" applyBorder="1" applyAlignment="1">
      <alignment horizontal="right"/>
    </xf>
    <xf numFmtId="176" fontId="31" fillId="43" borderId="24" xfId="77" applyNumberFormat="1" applyFont="1" applyFill="1" applyBorder="1" applyAlignment="1">
      <alignment horizontal="center"/>
    </xf>
    <xf numFmtId="176" fontId="31" fillId="43" borderId="47" xfId="77" applyNumberFormat="1" applyFont="1" applyFill="1" applyBorder="1" applyAlignment="1">
      <alignment horizontal="right"/>
    </xf>
    <xf numFmtId="176" fontId="31" fillId="43" borderId="24" xfId="77" quotePrefix="1" applyNumberFormat="1" applyFont="1" applyFill="1" applyBorder="1" applyAlignment="1">
      <alignment horizontal="right"/>
    </xf>
    <xf numFmtId="0" fontId="35" fillId="43" borderId="0" xfId="77" applyFont="1" applyFill="1" applyBorder="1"/>
    <xf numFmtId="176" fontId="35" fillId="43" borderId="0" xfId="77" applyNumberFormat="1" applyFont="1" applyFill="1" applyBorder="1" applyAlignment="1">
      <alignment horizontal="left"/>
    </xf>
    <xf numFmtId="176" fontId="35" fillId="43" borderId="0" xfId="77" applyNumberFormat="1" applyFont="1" applyFill="1" applyBorder="1" applyAlignment="1">
      <alignment horizontal="center"/>
    </xf>
    <xf numFmtId="0" fontId="16" fillId="43" borderId="0" xfId="77" applyFont="1" applyFill="1" applyBorder="1" applyAlignment="1">
      <alignment horizontal="left"/>
    </xf>
    <xf numFmtId="176" fontId="31" fillId="43" borderId="0" xfId="77" quotePrefix="1" applyNumberFormat="1" applyFont="1" applyFill="1" applyBorder="1" applyAlignment="1">
      <alignment horizontal="center"/>
    </xf>
    <xf numFmtId="0" fontId="35" fillId="43" borderId="0" xfId="77" applyFont="1" applyFill="1" applyBorder="1" applyAlignment="1">
      <alignment horizontal="left"/>
    </xf>
    <xf numFmtId="0" fontId="35" fillId="43" borderId="0" xfId="77" applyNumberFormat="1" applyFont="1" applyFill="1" applyBorder="1" applyAlignment="1">
      <alignment horizontal="left"/>
    </xf>
    <xf numFmtId="0" fontId="30" fillId="43" borderId="0" xfId="77" applyFont="1" applyFill="1" applyBorder="1"/>
    <xf numFmtId="0" fontId="30" fillId="43" borderId="23" xfId="77" applyFont="1" applyFill="1" applyBorder="1"/>
    <xf numFmtId="0" fontId="30" fillId="34" borderId="46" xfId="77" applyFont="1" applyFill="1" applyBorder="1" applyAlignment="1">
      <alignment horizontal="right" vertical="center" wrapText="1"/>
    </xf>
    <xf numFmtId="0" fontId="30" fillId="34" borderId="25" xfId="77" applyFont="1" applyFill="1" applyBorder="1" applyAlignment="1">
      <alignment horizontal="right"/>
    </xf>
    <xf numFmtId="0" fontId="30" fillId="34" borderId="42" xfId="77" applyFont="1" applyFill="1" applyBorder="1" applyAlignment="1">
      <alignment horizontal="right"/>
    </xf>
    <xf numFmtId="0" fontId="30" fillId="34" borderId="25" xfId="77" applyFont="1" applyFill="1" applyBorder="1" applyAlignment="1">
      <alignment horizontal="right" vertical="center" wrapText="1"/>
    </xf>
    <xf numFmtId="0" fontId="30" fillId="34" borderId="26" xfId="77" applyFont="1" applyFill="1" applyBorder="1" applyAlignment="1">
      <alignment horizontal="right"/>
    </xf>
    <xf numFmtId="0" fontId="30" fillId="34" borderId="25" xfId="77" applyFont="1" applyFill="1" applyBorder="1" applyAlignment="1">
      <alignment horizontal="center" vertical="center" wrapText="1"/>
    </xf>
    <xf numFmtId="0" fontId="30" fillId="34" borderId="25" xfId="77" applyFont="1" applyFill="1" applyBorder="1" applyAlignment="1">
      <alignment horizontal="center"/>
    </xf>
    <xf numFmtId="0" fontId="30" fillId="34" borderId="42" xfId="77" applyFont="1" applyFill="1" applyBorder="1" applyAlignment="1">
      <alignment horizontal="center"/>
    </xf>
    <xf numFmtId="0" fontId="30" fillId="34" borderId="26" xfId="77" applyFont="1" applyFill="1" applyBorder="1" applyAlignment="1">
      <alignment horizontal="center"/>
    </xf>
    <xf numFmtId="0" fontId="16" fillId="34" borderId="52" xfId="77" applyFont="1" applyFill="1" applyBorder="1" applyAlignment="1">
      <alignment horizontal="right"/>
    </xf>
    <xf numFmtId="0" fontId="16" fillId="34" borderId="14" xfId="77" applyFont="1" applyFill="1" applyBorder="1" applyAlignment="1">
      <alignment horizontal="right"/>
    </xf>
    <xf numFmtId="0" fontId="30" fillId="34" borderId="14" xfId="77" applyFont="1" applyFill="1" applyBorder="1" applyAlignment="1">
      <alignment horizontal="right" vertical="center" wrapText="1"/>
    </xf>
    <xf numFmtId="0" fontId="30" fillId="34" borderId="41" xfId="77" applyFont="1" applyFill="1" applyBorder="1" applyAlignment="1">
      <alignment horizontal="right" vertical="center" wrapText="1"/>
    </xf>
    <xf numFmtId="0" fontId="30" fillId="34" borderId="22" xfId="77" applyFont="1" applyFill="1" applyBorder="1" applyAlignment="1">
      <alignment horizontal="right" vertical="center" wrapText="1"/>
    </xf>
    <xf numFmtId="0" fontId="16" fillId="34" borderId="14" xfId="77" applyFont="1" applyFill="1" applyBorder="1" applyAlignment="1">
      <alignment horizontal="center"/>
    </xf>
    <xf numFmtId="0" fontId="30" fillId="34" borderId="14" xfId="77" applyFont="1" applyFill="1" applyBorder="1" applyAlignment="1">
      <alignment horizontal="center" vertical="center" wrapText="1"/>
    </xf>
    <xf numFmtId="0" fontId="30" fillId="34" borderId="41" xfId="77" applyFont="1" applyFill="1" applyBorder="1" applyAlignment="1">
      <alignment horizontal="center" vertical="center" wrapText="1"/>
    </xf>
    <xf numFmtId="0" fontId="30" fillId="34" borderId="22" xfId="77" applyFont="1" applyFill="1" applyBorder="1" applyAlignment="1">
      <alignment horizontal="center" vertical="center" wrapText="1"/>
    </xf>
    <xf numFmtId="176" fontId="31" fillId="43" borderId="46" xfId="77" applyNumberFormat="1" applyFont="1" applyFill="1" applyBorder="1" applyAlignment="1">
      <alignment horizontal="right"/>
    </xf>
    <xf numFmtId="176" fontId="31" fillId="43" borderId="25" xfId="77" applyNumberFormat="1" applyFont="1" applyFill="1" applyBorder="1" applyAlignment="1">
      <alignment horizontal="right"/>
    </xf>
    <xf numFmtId="176" fontId="31" fillId="43" borderId="42" xfId="77" applyNumberFormat="1" applyFont="1" applyFill="1" applyBorder="1" applyAlignment="1">
      <alignment horizontal="right"/>
    </xf>
    <xf numFmtId="176" fontId="31" fillId="43" borderId="26" xfId="77" applyNumberFormat="1" applyFont="1" applyFill="1" applyBorder="1" applyAlignment="1">
      <alignment horizontal="right"/>
    </xf>
    <xf numFmtId="0" fontId="1" fillId="43" borderId="54" xfId="77" applyFill="1" applyBorder="1" applyAlignment="1">
      <alignment horizontal="center"/>
    </xf>
    <xf numFmtId="176" fontId="31" fillId="43" borderId="33" xfId="77" applyNumberFormat="1" applyFont="1" applyFill="1" applyBorder="1" applyAlignment="1">
      <alignment horizontal="center"/>
    </xf>
    <xf numFmtId="176" fontId="31" fillId="43" borderId="20" xfId="77" applyNumberFormat="1" applyFont="1" applyFill="1" applyBorder="1" applyAlignment="1">
      <alignment horizontal="center"/>
    </xf>
    <xf numFmtId="176" fontId="31" fillId="43" borderId="33" xfId="77" applyNumberFormat="1" applyFont="1" applyFill="1" applyBorder="1" applyAlignment="1">
      <alignment horizontal="right"/>
    </xf>
    <xf numFmtId="0" fontId="31" fillId="43" borderId="21" xfId="77" applyFont="1" applyFill="1" applyBorder="1"/>
    <xf numFmtId="176" fontId="31" fillId="43" borderId="52" xfId="77" applyNumberFormat="1" applyFont="1" applyFill="1" applyBorder="1" applyAlignment="1">
      <alignment horizontal="right"/>
    </xf>
    <xf numFmtId="176" fontId="31" fillId="43" borderId="14" xfId="77" applyNumberFormat="1" applyFont="1" applyFill="1" applyBorder="1" applyAlignment="1">
      <alignment horizontal="right"/>
    </xf>
    <xf numFmtId="176" fontId="31" fillId="43" borderId="41" xfId="77" applyNumberFormat="1" applyFont="1" applyFill="1" applyBorder="1" applyAlignment="1">
      <alignment horizontal="right"/>
    </xf>
    <xf numFmtId="176" fontId="31" fillId="43" borderId="22" xfId="77" applyNumberFormat="1" applyFont="1" applyFill="1" applyBorder="1" applyAlignment="1">
      <alignment horizontal="right"/>
    </xf>
    <xf numFmtId="0" fontId="1" fillId="43" borderId="53" xfId="77" applyFill="1" applyBorder="1" applyAlignment="1">
      <alignment horizontal="center"/>
    </xf>
    <xf numFmtId="176" fontId="31" fillId="43" borderId="14" xfId="77" applyNumberFormat="1" applyFont="1" applyFill="1" applyBorder="1" applyAlignment="1">
      <alignment horizontal="center"/>
    </xf>
    <xf numFmtId="176" fontId="31" fillId="43" borderId="41" xfId="77" applyNumberFormat="1" applyFont="1" applyFill="1" applyBorder="1" applyAlignment="1">
      <alignment horizontal="center"/>
    </xf>
    <xf numFmtId="176" fontId="31" fillId="43" borderId="14" xfId="77" quotePrefix="1" applyNumberFormat="1" applyFont="1" applyFill="1" applyBorder="1" applyAlignment="1">
      <alignment horizontal="center"/>
    </xf>
    <xf numFmtId="176" fontId="31" fillId="43" borderId="22" xfId="77" applyNumberFormat="1" applyFont="1" applyFill="1" applyBorder="1" applyAlignment="1">
      <alignment horizontal="center"/>
    </xf>
    <xf numFmtId="175" fontId="31" fillId="43" borderId="0" xfId="77" applyNumberFormat="1" applyFont="1" applyFill="1" applyBorder="1"/>
    <xf numFmtId="0" fontId="16" fillId="34" borderId="47" xfId="77" applyFont="1" applyFill="1" applyBorder="1" applyAlignment="1">
      <alignment horizontal="center"/>
    </xf>
    <xf numFmtId="0" fontId="1" fillId="43" borderId="46" xfId="77" applyFill="1" applyBorder="1" applyAlignment="1">
      <alignment horizontal="right"/>
    </xf>
    <xf numFmtId="0" fontId="1" fillId="43" borderId="25" xfId="77" applyFill="1" applyBorder="1" applyAlignment="1">
      <alignment horizontal="right"/>
    </xf>
    <xf numFmtId="0" fontId="1" fillId="43" borderId="42" xfId="77" applyFill="1" applyBorder="1" applyAlignment="1">
      <alignment horizontal="right"/>
    </xf>
    <xf numFmtId="0" fontId="1" fillId="43" borderId="26" xfId="77" applyFill="1" applyBorder="1" applyAlignment="1">
      <alignment horizontal="right"/>
    </xf>
    <xf numFmtId="0" fontId="1" fillId="43" borderId="0" xfId="77" quotePrefix="1" applyFill="1"/>
    <xf numFmtId="0" fontId="1" fillId="43" borderId="10" xfId="77" applyFill="1" applyBorder="1" applyAlignment="1">
      <alignment horizontal="right"/>
    </xf>
    <xf numFmtId="0" fontId="1" fillId="43" borderId="0" xfId="77" applyFill="1" applyBorder="1" applyAlignment="1">
      <alignment horizontal="right"/>
    </xf>
    <xf numFmtId="0" fontId="1" fillId="43" borderId="33" xfId="77" applyFill="1" applyBorder="1" applyAlignment="1">
      <alignment horizontal="right"/>
    </xf>
    <xf numFmtId="0" fontId="1" fillId="43" borderId="20" xfId="77" applyFill="1" applyBorder="1" applyAlignment="1">
      <alignment horizontal="right"/>
    </xf>
    <xf numFmtId="0" fontId="31" fillId="43" borderId="54" xfId="77" applyFont="1" applyFill="1" applyBorder="1"/>
    <xf numFmtId="0" fontId="31" fillId="43" borderId="53" xfId="77" applyFont="1" applyFill="1" applyBorder="1"/>
    <xf numFmtId="0" fontId="1" fillId="43" borderId="14" xfId="77" applyFill="1" applyBorder="1" applyAlignment="1">
      <alignment horizontal="right"/>
    </xf>
    <xf numFmtId="0" fontId="1" fillId="43" borderId="41" xfId="77" applyFill="1" applyBorder="1" applyAlignment="1">
      <alignment horizontal="right"/>
    </xf>
    <xf numFmtId="0" fontId="1" fillId="43" borderId="22" xfId="77" applyFill="1" applyBorder="1" applyAlignment="1">
      <alignment horizontal="right"/>
    </xf>
    <xf numFmtId="0" fontId="36" fillId="43" borderId="0" xfId="77" applyFont="1" applyFill="1" applyBorder="1"/>
    <xf numFmtId="0" fontId="37" fillId="43" borderId="0" xfId="81" applyFont="1" applyFill="1" applyBorder="1"/>
    <xf numFmtId="0" fontId="1" fillId="43" borderId="0" xfId="77" applyFill="1" applyBorder="1" applyAlignment="1">
      <alignment horizontal="center"/>
    </xf>
    <xf numFmtId="0" fontId="34" fillId="43" borderId="25" xfId="81" applyFill="1" applyBorder="1"/>
    <xf numFmtId="0" fontId="31" fillId="43" borderId="25" xfId="77" applyFont="1" applyFill="1" applyBorder="1"/>
    <xf numFmtId="0" fontId="31" fillId="47" borderId="25" xfId="77" applyFont="1" applyFill="1" applyBorder="1"/>
    <xf numFmtId="0" fontId="31" fillId="47" borderId="26" xfId="77" applyFont="1" applyFill="1" applyBorder="1"/>
    <xf numFmtId="0" fontId="31" fillId="47" borderId="0" xfId="77" applyFont="1" applyFill="1" applyBorder="1"/>
    <xf numFmtId="0" fontId="31" fillId="47" borderId="20" xfId="77" applyFont="1" applyFill="1" applyBorder="1"/>
    <xf numFmtId="0" fontId="31" fillId="43" borderId="31" xfId="77" applyFont="1" applyFill="1" applyBorder="1"/>
    <xf numFmtId="175" fontId="31" fillId="43" borderId="31" xfId="77" applyNumberFormat="1" applyFont="1" applyFill="1" applyBorder="1"/>
    <xf numFmtId="175" fontId="31" fillId="47" borderId="31" xfId="77" applyNumberFormat="1" applyFont="1" applyFill="1" applyBorder="1"/>
    <xf numFmtId="175" fontId="31" fillId="47" borderId="19" xfId="77" applyNumberFormat="1" applyFont="1" applyFill="1" applyBorder="1"/>
    <xf numFmtId="175" fontId="31" fillId="47" borderId="0" xfId="77" applyNumberFormat="1" applyFont="1" applyFill="1" applyBorder="1"/>
    <xf numFmtId="175" fontId="31" fillId="47" borderId="20" xfId="77" applyNumberFormat="1" applyFont="1" applyFill="1" applyBorder="1"/>
    <xf numFmtId="0" fontId="31" fillId="43" borderId="14" xfId="77" applyFont="1" applyFill="1" applyBorder="1"/>
    <xf numFmtId="175" fontId="31" fillId="43" borderId="14" xfId="77" applyNumberFormat="1" applyFont="1" applyFill="1" applyBorder="1"/>
    <xf numFmtId="175" fontId="31" fillId="47" borderId="14" xfId="77" applyNumberFormat="1" applyFont="1" applyFill="1" applyBorder="1"/>
    <xf numFmtId="175" fontId="31" fillId="47" borderId="22" xfId="77" applyNumberFormat="1" applyFont="1" applyFill="1" applyBorder="1"/>
    <xf numFmtId="3" fontId="1" fillId="43" borderId="0" xfId="77" applyNumberFormat="1" applyFill="1"/>
    <xf numFmtId="169" fontId="34" fillId="43" borderId="25" xfId="81" applyNumberFormat="1" applyFill="1" applyBorder="1"/>
    <xf numFmtId="10" fontId="31" fillId="43" borderId="25" xfId="79" applyNumberFormat="1" applyFont="1" applyFill="1" applyBorder="1"/>
    <xf numFmtId="169" fontId="31" fillId="43" borderId="25" xfId="77" applyNumberFormat="1" applyFont="1" applyFill="1" applyBorder="1"/>
    <xf numFmtId="10" fontId="0" fillId="43" borderId="0" xfId="79" applyNumberFormat="1" applyFont="1" applyFill="1" applyBorder="1"/>
    <xf numFmtId="169" fontId="1" fillId="43" borderId="0" xfId="77" applyNumberFormat="1" applyFill="1"/>
    <xf numFmtId="169" fontId="1" fillId="43" borderId="26" xfId="77" applyNumberFormat="1" applyFill="1" applyBorder="1"/>
    <xf numFmtId="10" fontId="0" fillId="47" borderId="0" xfId="79" applyNumberFormat="1" applyFont="1" applyFill="1" applyBorder="1"/>
    <xf numFmtId="169" fontId="1" fillId="47" borderId="20" xfId="77" applyNumberFormat="1" applyFill="1" applyBorder="1"/>
    <xf numFmtId="169" fontId="1" fillId="47" borderId="0" xfId="77" applyNumberFormat="1" applyFill="1"/>
    <xf numFmtId="166" fontId="31" fillId="43" borderId="0" xfId="79" applyNumberFormat="1" applyFont="1" applyFill="1" applyBorder="1"/>
    <xf numFmtId="0" fontId="31" fillId="43" borderId="0" xfId="77" applyNumberFormat="1" applyFont="1" applyFill="1" applyBorder="1"/>
    <xf numFmtId="169" fontId="1" fillId="43" borderId="20" xfId="77" applyNumberFormat="1" applyFill="1" applyBorder="1"/>
    <xf numFmtId="175" fontId="1" fillId="43" borderId="0" xfId="77" applyNumberFormat="1" applyFill="1"/>
    <xf numFmtId="0" fontId="34" fillId="47" borderId="0" xfId="81" applyFill="1" applyBorder="1"/>
    <xf numFmtId="166" fontId="0" fillId="47" borderId="0" xfId="79" applyNumberFormat="1" applyFont="1" applyFill="1" applyBorder="1"/>
    <xf numFmtId="0" fontId="1" fillId="47" borderId="21" xfId="77" applyFill="1" applyBorder="1" applyAlignment="1"/>
    <xf numFmtId="166" fontId="34" fillId="47" borderId="14" xfId="81" applyNumberFormat="1" applyFill="1" applyBorder="1"/>
    <xf numFmtId="175" fontId="1" fillId="47" borderId="14" xfId="77" applyNumberFormat="1" applyFill="1" applyBorder="1"/>
    <xf numFmtId="169" fontId="1" fillId="47" borderId="14" xfId="77" applyNumberFormat="1" applyFill="1" applyBorder="1"/>
    <xf numFmtId="169" fontId="1" fillId="47" borderId="22" xfId="77" applyNumberFormat="1" applyFill="1" applyBorder="1"/>
    <xf numFmtId="0" fontId="1" fillId="43" borderId="26" xfId="77" applyFill="1" applyBorder="1"/>
    <xf numFmtId="0" fontId="1" fillId="43" borderId="18" xfId="77" applyFill="1" applyBorder="1" applyAlignment="1">
      <alignment horizontal="left"/>
    </xf>
    <xf numFmtId="0" fontId="1" fillId="43" borderId="0" xfId="77" applyFill="1" applyBorder="1" applyAlignment="1">
      <alignment horizontal="left"/>
    </xf>
    <xf numFmtId="169" fontId="1" fillId="43" borderId="0" xfId="77" applyNumberFormat="1" applyFill="1" applyBorder="1" applyAlignment="1">
      <alignment horizontal="left"/>
    </xf>
    <xf numFmtId="0" fontId="1" fillId="47" borderId="21" xfId="77" applyFill="1" applyBorder="1" applyAlignment="1">
      <alignment horizontal="left"/>
    </xf>
    <xf numFmtId="169" fontId="1" fillId="47" borderId="14" xfId="77" applyNumberFormat="1" applyFill="1" applyBorder="1" applyAlignment="1">
      <alignment horizontal="left"/>
    </xf>
    <xf numFmtId="166" fontId="0" fillId="43" borderId="0" xfId="79" applyNumberFormat="1" applyFont="1" applyFill="1"/>
    <xf numFmtId="169" fontId="1" fillId="43" borderId="0" xfId="77" applyNumberFormat="1" applyFill="1" applyBorder="1"/>
    <xf numFmtId="0" fontId="1" fillId="43" borderId="25" xfId="77" applyFill="1" applyBorder="1"/>
    <xf numFmtId="175" fontId="1" fillId="43" borderId="25" xfId="77" applyNumberFormat="1" applyFill="1" applyBorder="1"/>
    <xf numFmtId="175" fontId="1" fillId="43" borderId="26" xfId="77" applyNumberFormat="1" applyFill="1" applyBorder="1"/>
    <xf numFmtId="175" fontId="34" fillId="43" borderId="0" xfId="81" applyNumberFormat="1" applyFill="1" applyBorder="1"/>
    <xf numFmtId="169" fontId="31" fillId="43" borderId="20" xfId="77" applyNumberFormat="1" applyFont="1" applyFill="1" applyBorder="1"/>
    <xf numFmtId="10" fontId="31" fillId="43" borderId="0" xfId="77" applyNumberFormat="1" applyFont="1" applyFill="1" applyBorder="1"/>
    <xf numFmtId="175" fontId="34" fillId="43" borderId="14" xfId="81" applyNumberFormat="1" applyFill="1" applyBorder="1"/>
    <xf numFmtId="10" fontId="1" fillId="43" borderId="14" xfId="77" applyNumberFormat="1" applyFill="1" applyBorder="1"/>
    <xf numFmtId="169" fontId="1" fillId="43" borderId="22" xfId="77" applyNumberFormat="1" applyFill="1" applyBorder="1"/>
    <xf numFmtId="0" fontId="16" fillId="43" borderId="0" xfId="77" applyFont="1" applyFill="1" applyAlignment="1">
      <alignment horizontal="right"/>
    </xf>
    <xf numFmtId="0" fontId="16" fillId="43" borderId="15" xfId="77" applyFont="1" applyFill="1" applyBorder="1"/>
    <xf numFmtId="0" fontId="1" fillId="43" borderId="16" xfId="77" applyFill="1" applyBorder="1"/>
    <xf numFmtId="0" fontId="1" fillId="43" borderId="16" xfId="77" applyFont="1" applyFill="1" applyBorder="1" applyAlignment="1">
      <alignment horizontal="left"/>
    </xf>
    <xf numFmtId="0" fontId="16" fillId="43" borderId="16" xfId="77" applyFont="1" applyFill="1" applyBorder="1" applyAlignment="1">
      <alignment horizontal="right"/>
    </xf>
    <xf numFmtId="0" fontId="16" fillId="43" borderId="16" xfId="77" applyFont="1" applyFill="1" applyBorder="1"/>
    <xf numFmtId="0" fontId="16" fillId="43" borderId="17" xfId="77" applyFont="1" applyFill="1" applyBorder="1"/>
    <xf numFmtId="0" fontId="1" fillId="0" borderId="0" xfId="77" applyBorder="1"/>
    <xf numFmtId="175" fontId="1" fillId="47" borderId="22" xfId="77" applyNumberFormat="1" applyFill="1" applyBorder="1"/>
    <xf numFmtId="166" fontId="0" fillId="43" borderId="25" xfId="79" applyNumberFormat="1" applyFont="1" applyFill="1" applyBorder="1"/>
    <xf numFmtId="175" fontId="1" fillId="43" borderId="35" xfId="77" applyNumberFormat="1" applyFill="1" applyBorder="1" applyAlignment="1">
      <alignment horizontal="right"/>
    </xf>
    <xf numFmtId="175" fontId="1" fillId="43" borderId="44" xfId="77" applyNumberFormat="1" applyFill="1" applyBorder="1" applyAlignment="1">
      <alignment horizontal="right"/>
    </xf>
    <xf numFmtId="3" fontId="1" fillId="43" borderId="0" xfId="77" applyNumberFormat="1" applyFill="1" applyBorder="1"/>
    <xf numFmtId="11" fontId="1" fillId="43" borderId="0" xfId="77" applyNumberFormat="1" applyFill="1" applyBorder="1" applyAlignment="1">
      <alignment horizontal="right"/>
    </xf>
    <xf numFmtId="175" fontId="1" fillId="42" borderId="0" xfId="77" applyNumberFormat="1" applyFill="1" applyBorder="1"/>
    <xf numFmtId="175" fontId="1" fillId="42" borderId="20" xfId="77" applyNumberFormat="1" applyFill="1" applyBorder="1"/>
    <xf numFmtId="174" fontId="1" fillId="43" borderId="0" xfId="77" applyNumberFormat="1" applyFill="1" applyBorder="1"/>
    <xf numFmtId="174" fontId="1" fillId="43" borderId="20" xfId="77" applyNumberFormat="1" applyFill="1" applyBorder="1"/>
    <xf numFmtId="175" fontId="1" fillId="47" borderId="30" xfId="77" applyNumberFormat="1" applyFill="1" applyBorder="1"/>
    <xf numFmtId="3" fontId="1" fillId="47" borderId="31" xfId="77" applyNumberFormat="1" applyFill="1" applyBorder="1"/>
    <xf numFmtId="175" fontId="1" fillId="47" borderId="32" xfId="77" applyNumberFormat="1" applyFill="1" applyBorder="1"/>
    <xf numFmtId="175" fontId="1" fillId="47" borderId="10" xfId="77" applyNumberFormat="1" applyFill="1" applyBorder="1"/>
    <xf numFmtId="175" fontId="1" fillId="47" borderId="33" xfId="77" applyNumberFormat="1" applyFill="1" applyBorder="1"/>
    <xf numFmtId="0" fontId="1" fillId="47" borderId="45" xfId="77" applyFill="1" applyBorder="1"/>
    <xf numFmtId="0" fontId="1" fillId="47" borderId="31" xfId="77" applyFill="1" applyBorder="1"/>
    <xf numFmtId="3" fontId="1" fillId="47" borderId="33" xfId="77" applyNumberFormat="1" applyFill="1" applyBorder="1"/>
    <xf numFmtId="0" fontId="1" fillId="47" borderId="43" xfId="77" applyFill="1" applyBorder="1"/>
    <xf numFmtId="3" fontId="1" fillId="47" borderId="35" xfId="77" applyNumberFormat="1" applyFill="1" applyBorder="1"/>
    <xf numFmtId="175" fontId="1" fillId="47" borderId="14" xfId="77" applyNumberFormat="1" applyFont="1" applyFill="1" applyBorder="1"/>
    <xf numFmtId="175" fontId="1" fillId="43" borderId="0" xfId="77" applyNumberFormat="1" applyFont="1" applyFill="1" applyBorder="1"/>
    <xf numFmtId="1" fontId="1" fillId="47" borderId="0" xfId="77" applyNumberFormat="1" applyFill="1" applyBorder="1"/>
    <xf numFmtId="0" fontId="1" fillId="47" borderId="0" xfId="77" applyNumberFormat="1" applyFill="1" applyBorder="1"/>
    <xf numFmtId="173" fontId="1" fillId="47" borderId="0" xfId="77" applyNumberFormat="1" applyFill="1" applyBorder="1"/>
    <xf numFmtId="1" fontId="1" fillId="43" borderId="0" xfId="77" applyNumberFormat="1" applyFill="1" applyBorder="1"/>
    <xf numFmtId="0" fontId="1" fillId="43" borderId="0" xfId="77" applyNumberFormat="1" applyFill="1" applyBorder="1"/>
    <xf numFmtId="173" fontId="1" fillId="43" borderId="0" xfId="77" applyNumberFormat="1" applyFill="1" applyBorder="1"/>
    <xf numFmtId="1" fontId="1" fillId="47" borderId="14" xfId="77" applyNumberFormat="1" applyFill="1" applyBorder="1"/>
    <xf numFmtId="0" fontId="1" fillId="47" borderId="14" xfId="77" applyNumberFormat="1" applyFill="1" applyBorder="1"/>
    <xf numFmtId="173" fontId="1" fillId="47" borderId="14" xfId="77" applyNumberFormat="1" applyFill="1" applyBorder="1"/>
    <xf numFmtId="0" fontId="1" fillId="43" borderId="0" xfId="77" applyNumberFormat="1" applyFill="1"/>
    <xf numFmtId="175" fontId="1" fillId="43" borderId="25" xfId="77" applyNumberFormat="1" applyFill="1" applyBorder="1" applyAlignment="1">
      <alignment horizontal="right"/>
    </xf>
    <xf numFmtId="4" fontId="1" fillId="43" borderId="25" xfId="77" applyNumberFormat="1" applyFill="1" applyBorder="1" applyAlignment="1">
      <alignment horizontal="right"/>
    </xf>
    <xf numFmtId="0" fontId="1" fillId="0" borderId="31" xfId="77" applyBorder="1"/>
    <xf numFmtId="3" fontId="1" fillId="43" borderId="31" xfId="77" applyNumberFormat="1" applyFill="1" applyBorder="1" applyAlignment="1">
      <alignment horizontal="right"/>
    </xf>
    <xf numFmtId="175" fontId="1" fillId="43" borderId="31" xfId="77" applyNumberFormat="1" applyFill="1" applyBorder="1" applyAlignment="1">
      <alignment horizontal="right"/>
    </xf>
    <xf numFmtId="174" fontId="1" fillId="43" borderId="32" xfId="77" applyNumberFormat="1" applyFill="1" applyBorder="1" applyAlignment="1">
      <alignment horizontal="right"/>
    </xf>
    <xf numFmtId="3" fontId="1" fillId="43" borderId="0" xfId="77" applyNumberFormat="1" applyFill="1" applyBorder="1" applyAlignment="1">
      <alignment horizontal="right"/>
    </xf>
    <xf numFmtId="175" fontId="1" fillId="43" borderId="0" xfId="77" applyNumberFormat="1" applyFill="1" applyBorder="1" applyAlignment="1">
      <alignment horizontal="right"/>
    </xf>
    <xf numFmtId="174" fontId="1" fillId="43" borderId="33" xfId="77" applyNumberFormat="1" applyFill="1" applyBorder="1" applyAlignment="1">
      <alignment horizontal="right"/>
    </xf>
    <xf numFmtId="3" fontId="1" fillId="43" borderId="35" xfId="77" applyNumberFormat="1" applyFill="1" applyBorder="1" applyAlignment="1">
      <alignment horizontal="right"/>
    </xf>
    <xf numFmtId="174" fontId="1" fillId="43" borderId="36" xfId="77" applyNumberFormat="1" applyFill="1" applyBorder="1" applyAlignment="1">
      <alignment horizontal="right"/>
    </xf>
    <xf numFmtId="4" fontId="1" fillId="43" borderId="0" xfId="77" applyNumberFormat="1" applyFill="1" applyBorder="1" applyAlignment="1">
      <alignment horizontal="right"/>
    </xf>
    <xf numFmtId="172" fontId="1" fillId="43" borderId="33" xfId="77" applyNumberFormat="1" applyFill="1" applyBorder="1" applyAlignment="1">
      <alignment horizontal="right"/>
    </xf>
    <xf numFmtId="4" fontId="1" fillId="43" borderId="35" xfId="77" applyNumberFormat="1" applyFill="1" applyBorder="1" applyAlignment="1">
      <alignment horizontal="right"/>
    </xf>
    <xf numFmtId="172" fontId="1" fillId="43" borderId="36" xfId="77" applyNumberFormat="1" applyFill="1" applyBorder="1" applyAlignment="1">
      <alignment horizontal="right"/>
    </xf>
    <xf numFmtId="175" fontId="1" fillId="43" borderId="32" xfId="77" applyNumberFormat="1" applyFill="1" applyBorder="1"/>
    <xf numFmtId="175" fontId="1" fillId="43" borderId="33" xfId="77" applyNumberFormat="1" applyFill="1" applyBorder="1"/>
    <xf numFmtId="175" fontId="1" fillId="43" borderId="36" xfId="77" applyNumberFormat="1" applyFill="1" applyBorder="1"/>
    <xf numFmtId="0" fontId="1" fillId="43" borderId="27" xfId="77" applyFont="1" applyFill="1" applyBorder="1"/>
    <xf numFmtId="0" fontId="16" fillId="43" borderId="28" xfId="77" applyFont="1" applyFill="1" applyBorder="1"/>
    <xf numFmtId="175" fontId="1" fillId="43" borderId="38" xfId="77" applyNumberFormat="1" applyFont="1" applyFill="1" applyBorder="1"/>
    <xf numFmtId="175" fontId="16" fillId="43" borderId="0" xfId="77" applyNumberFormat="1" applyFont="1" applyFill="1" applyBorder="1"/>
    <xf numFmtId="0" fontId="1" fillId="43" borderId="28" xfId="77" applyFont="1" applyFill="1" applyBorder="1"/>
    <xf numFmtId="173" fontId="1" fillId="47" borderId="0" xfId="77" applyNumberFormat="1" applyFill="1" applyBorder="1" applyAlignment="1">
      <alignment horizontal="right"/>
    </xf>
    <xf numFmtId="175" fontId="1" fillId="47" borderId="0" xfId="77" applyNumberFormat="1" applyFill="1" applyBorder="1" applyAlignment="1">
      <alignment horizontal="right"/>
    </xf>
    <xf numFmtId="0" fontId="1" fillId="47" borderId="0" xfId="77" applyFill="1" applyBorder="1" applyAlignment="1">
      <alignment wrapText="1"/>
    </xf>
    <xf numFmtId="6" fontId="1" fillId="47" borderId="31" xfId="77" applyNumberFormat="1" applyFill="1" applyBorder="1"/>
    <xf numFmtId="0" fontId="1" fillId="47" borderId="32" xfId="77" applyFill="1" applyBorder="1"/>
    <xf numFmtId="6" fontId="1" fillId="47" borderId="0" xfId="77" applyNumberFormat="1" applyFill="1" applyBorder="1"/>
    <xf numFmtId="6" fontId="1" fillId="47" borderId="0" xfId="77" applyNumberFormat="1" applyFont="1" applyFill="1" applyBorder="1"/>
    <xf numFmtId="8" fontId="1" fillId="47" borderId="0" xfId="77" applyNumberFormat="1" applyFill="1" applyBorder="1"/>
    <xf numFmtId="8" fontId="1" fillId="47" borderId="33" xfId="77" applyNumberFormat="1" applyFill="1" applyBorder="1"/>
    <xf numFmtId="6" fontId="1" fillId="47" borderId="35" xfId="77" applyNumberFormat="1" applyFill="1" applyBorder="1"/>
    <xf numFmtId="8" fontId="1" fillId="47" borderId="35" xfId="77" applyNumberFormat="1" applyFill="1" applyBorder="1"/>
    <xf numFmtId="8" fontId="1" fillId="47" borderId="36" xfId="77" applyNumberFormat="1" applyFill="1" applyBorder="1"/>
    <xf numFmtId="175" fontId="1" fillId="43" borderId="0" xfId="77" applyNumberFormat="1" applyFont="1" applyFill="1" applyBorder="1" applyAlignment="1">
      <alignment horizontal="right"/>
    </xf>
    <xf numFmtId="175" fontId="34" fillId="43" borderId="35" xfId="81" applyNumberFormat="1" applyFill="1" applyBorder="1"/>
    <xf numFmtId="174" fontId="1" fillId="43" borderId="31" xfId="77" applyNumberFormat="1" applyFill="1" applyBorder="1"/>
    <xf numFmtId="174" fontId="1" fillId="43" borderId="32" xfId="77" applyNumberFormat="1" applyFill="1" applyBorder="1"/>
    <xf numFmtId="174" fontId="1" fillId="43" borderId="33" xfId="77" applyNumberFormat="1" applyFill="1" applyBorder="1"/>
    <xf numFmtId="174" fontId="1" fillId="43" borderId="35" xfId="77" applyNumberFormat="1" applyFill="1" applyBorder="1"/>
    <xf numFmtId="174" fontId="1" fillId="43" borderId="36" xfId="77" applyNumberFormat="1" applyFill="1" applyBorder="1"/>
    <xf numFmtId="174" fontId="1" fillId="43" borderId="44" xfId="77" applyNumberFormat="1" applyFill="1" applyBorder="1"/>
    <xf numFmtId="174" fontId="1" fillId="43" borderId="14" xfId="77" applyNumberFormat="1" applyFill="1" applyBorder="1"/>
    <xf numFmtId="174" fontId="1" fillId="43" borderId="22" xfId="77" applyNumberFormat="1" applyFill="1" applyBorder="1"/>
    <xf numFmtId="0" fontId="1" fillId="43" borderId="15" xfId="77" applyFont="1" applyFill="1" applyBorder="1"/>
    <xf numFmtId="0" fontId="16" fillId="43" borderId="16" xfId="77" applyNumberFormat="1" applyFont="1" applyFill="1" applyBorder="1" applyAlignment="1">
      <alignment horizontal="right"/>
    </xf>
    <xf numFmtId="9" fontId="1" fillId="43" borderId="0" xfId="77" applyNumberFormat="1" applyFill="1" applyBorder="1"/>
    <xf numFmtId="9" fontId="1" fillId="43" borderId="20" xfId="77" applyNumberFormat="1" applyFill="1" applyBorder="1"/>
    <xf numFmtId="0" fontId="1" fillId="43" borderId="18" xfId="77" applyFont="1" applyFill="1" applyBorder="1" applyAlignment="1">
      <alignment horizontal="left" wrapText="1"/>
    </xf>
    <xf numFmtId="9" fontId="1" fillId="43" borderId="14" xfId="77" applyNumberFormat="1" applyFill="1" applyBorder="1"/>
    <xf numFmtId="9" fontId="1" fillId="43" borderId="22" xfId="77" applyNumberFormat="1" applyFill="1" applyBorder="1"/>
    <xf numFmtId="0" fontId="16" fillId="43" borderId="14" xfId="77" applyFont="1" applyFill="1" applyBorder="1"/>
    <xf numFmtId="0" fontId="1" fillId="43" borderId="21" xfId="77" applyFont="1" applyFill="1" applyBorder="1" applyAlignment="1">
      <alignment horizontal="left" wrapText="1"/>
    </xf>
    <xf numFmtId="0" fontId="1" fillId="43" borderId="0" xfId="77" applyFill="1" applyAlignment="1"/>
    <xf numFmtId="0" fontId="16" fillId="43" borderId="15" xfId="77" applyNumberFormat="1" applyFont="1" applyFill="1" applyBorder="1" applyAlignment="1">
      <alignment horizontal="left"/>
    </xf>
    <xf numFmtId="0" fontId="1" fillId="43" borderId="16" xfId="77" applyNumberFormat="1" applyFont="1" applyFill="1" applyBorder="1" applyAlignment="1">
      <alignment horizontal="left"/>
    </xf>
    <xf numFmtId="0" fontId="16" fillId="43" borderId="17" xfId="77" applyNumberFormat="1" applyFont="1" applyFill="1" applyBorder="1" applyAlignment="1">
      <alignment horizontal="right"/>
    </xf>
    <xf numFmtId="3" fontId="1" fillId="47" borderId="19" xfId="77" applyNumberFormat="1" applyFill="1" applyBorder="1"/>
    <xf numFmtId="3" fontId="1" fillId="47" borderId="44" xfId="77" applyNumberFormat="1" applyFill="1" applyBorder="1"/>
    <xf numFmtId="166" fontId="0" fillId="47" borderId="31" xfId="79" applyNumberFormat="1" applyFont="1" applyFill="1" applyBorder="1"/>
    <xf numFmtId="166" fontId="0" fillId="47" borderId="19" xfId="79" applyNumberFormat="1" applyFont="1" applyFill="1" applyBorder="1"/>
    <xf numFmtId="166" fontId="0" fillId="47" borderId="20" xfId="79" applyNumberFormat="1" applyFont="1" applyFill="1" applyBorder="1"/>
    <xf numFmtId="166" fontId="0" fillId="47" borderId="35" xfId="79" applyNumberFormat="1" applyFont="1" applyFill="1" applyBorder="1"/>
    <xf numFmtId="166" fontId="0" fillId="47" borderId="44" xfId="79" applyNumberFormat="1" applyFont="1" applyFill="1" applyBorder="1"/>
    <xf numFmtId="166" fontId="1" fillId="33" borderId="31" xfId="77" applyNumberFormat="1" applyFill="1" applyBorder="1"/>
    <xf numFmtId="166" fontId="1" fillId="33" borderId="35" xfId="77" applyNumberFormat="1" applyFill="1" applyBorder="1"/>
    <xf numFmtId="0" fontId="1" fillId="43" borderId="55" xfId="77" applyFill="1" applyBorder="1"/>
    <xf numFmtId="0" fontId="1" fillId="43" borderId="56" xfId="77" applyFill="1" applyBorder="1"/>
    <xf numFmtId="0" fontId="1" fillId="43" borderId="57" xfId="77" applyFill="1" applyBorder="1"/>
    <xf numFmtId="0" fontId="1" fillId="43" borderId="17" xfId="77" applyFill="1" applyBorder="1"/>
    <xf numFmtId="0" fontId="1" fillId="43" borderId="25" xfId="77" applyFill="1" applyBorder="1" applyAlignment="1"/>
    <xf numFmtId="3" fontId="38" fillId="43" borderId="0" xfId="77" applyNumberFormat="1" applyFont="1" applyFill="1" applyBorder="1" applyAlignment="1">
      <alignment horizontal="right"/>
    </xf>
    <xf numFmtId="0" fontId="1" fillId="43" borderId="14" xfId="77" applyFill="1" applyBorder="1" applyAlignment="1"/>
    <xf numFmtId="0" fontId="1" fillId="43" borderId="25" xfId="77" applyFill="1" applyBorder="1" applyAlignment="1">
      <alignment wrapText="1"/>
    </xf>
    <xf numFmtId="0" fontId="1" fillId="43" borderId="26" xfId="77" applyFill="1" applyBorder="1" applyAlignment="1">
      <alignment wrapText="1"/>
    </xf>
    <xf numFmtId="173" fontId="0" fillId="43" borderId="20" xfId="67" applyNumberFormat="1" applyFont="1" applyFill="1" applyBorder="1"/>
    <xf numFmtId="173" fontId="0" fillId="43" borderId="22" xfId="67" applyNumberFormat="1" applyFont="1" applyFill="1" applyBorder="1"/>
    <xf numFmtId="0" fontId="39" fillId="43" borderId="0" xfId="77" applyFont="1" applyFill="1"/>
    <xf numFmtId="0" fontId="1" fillId="0" borderId="0" xfId="77"/>
    <xf numFmtId="0" fontId="40" fillId="43" borderId="27" xfId="77" applyFont="1" applyFill="1" applyBorder="1"/>
    <xf numFmtId="0" fontId="30" fillId="43" borderId="28" xfId="77" applyFont="1" applyFill="1" applyBorder="1" applyAlignment="1">
      <alignment horizontal="center" wrapText="1"/>
    </xf>
    <xf numFmtId="0" fontId="30" fillId="43" borderId="28" xfId="77" applyFont="1" applyFill="1" applyBorder="1" applyAlignment="1">
      <alignment horizontal="right" wrapText="1"/>
    </xf>
    <xf numFmtId="0" fontId="30" fillId="43" borderId="38" xfId="77" applyFont="1" applyFill="1" applyBorder="1" applyAlignment="1">
      <alignment horizontal="right" wrapText="1"/>
    </xf>
    <xf numFmtId="0" fontId="16" fillId="43" borderId="0" xfId="77" applyFont="1" applyFill="1" applyBorder="1" applyAlignment="1"/>
    <xf numFmtId="0" fontId="31" fillId="43" borderId="45" xfId="77" applyFont="1" applyFill="1" applyBorder="1"/>
    <xf numFmtId="173" fontId="1" fillId="43" borderId="31" xfId="77" applyNumberFormat="1" applyFill="1" applyBorder="1"/>
    <xf numFmtId="173" fontId="1" fillId="43" borderId="32" xfId="77" applyNumberFormat="1" applyFill="1" applyBorder="1"/>
    <xf numFmtId="0" fontId="1" fillId="43" borderId="0" xfId="77" applyFont="1" applyFill="1" applyBorder="1" applyAlignment="1"/>
    <xf numFmtId="173" fontId="1" fillId="43" borderId="33" xfId="77" applyNumberFormat="1" applyFill="1" applyBorder="1"/>
    <xf numFmtId="0" fontId="31" fillId="43" borderId="43" xfId="77" applyFont="1" applyFill="1" applyBorder="1"/>
    <xf numFmtId="173" fontId="1" fillId="43" borderId="35" xfId="77" applyNumberFormat="1" applyFill="1" applyBorder="1"/>
    <xf numFmtId="173" fontId="1" fillId="43" borderId="36" xfId="77" applyNumberFormat="1" applyFill="1" applyBorder="1"/>
    <xf numFmtId="0" fontId="30" fillId="43" borderId="43" xfId="77" applyFont="1" applyFill="1" applyBorder="1"/>
    <xf numFmtId="173" fontId="16" fillId="43" borderId="35" xfId="77" applyNumberFormat="1" applyFont="1" applyFill="1" applyBorder="1"/>
    <xf numFmtId="173" fontId="16" fillId="43" borderId="36" xfId="77" applyNumberFormat="1" applyFont="1" applyFill="1" applyBorder="1"/>
    <xf numFmtId="0" fontId="41" fillId="43" borderId="0" xfId="77" applyFont="1" applyFill="1" applyBorder="1"/>
    <xf numFmtId="1" fontId="1" fillId="43" borderId="0" xfId="77" applyNumberFormat="1" applyFill="1" applyBorder="1" applyAlignment="1">
      <alignment horizontal="center"/>
    </xf>
    <xf numFmtId="0" fontId="1" fillId="33" borderId="20" xfId="77" applyFill="1" applyBorder="1" applyAlignment="1">
      <alignment horizontal="center"/>
    </xf>
    <xf numFmtId="0" fontId="30" fillId="43" borderId="18" xfId="77" applyFont="1" applyFill="1" applyBorder="1"/>
    <xf numFmtId="173" fontId="16" fillId="43" borderId="0" xfId="77" applyNumberFormat="1" applyFont="1" applyFill="1" applyBorder="1"/>
    <xf numFmtId="1" fontId="1" fillId="43" borderId="20" xfId="77" applyNumberFormat="1" applyFill="1" applyBorder="1" applyAlignment="1">
      <alignment horizontal="center"/>
    </xf>
    <xf numFmtId="0" fontId="30" fillId="43" borderId="28" xfId="77" applyFont="1" applyFill="1" applyBorder="1" applyAlignment="1">
      <alignment horizontal="right"/>
    </xf>
    <xf numFmtId="0" fontId="30" fillId="43" borderId="38" xfId="77" applyFont="1" applyFill="1" applyBorder="1" applyAlignment="1">
      <alignment horizontal="right"/>
    </xf>
    <xf numFmtId="0" fontId="1" fillId="43" borderId="32" xfId="77" applyFill="1" applyBorder="1"/>
    <xf numFmtId="0" fontId="1" fillId="43" borderId="36" xfId="77" applyFill="1" applyBorder="1"/>
    <xf numFmtId="0" fontId="16" fillId="43" borderId="43" xfId="77" applyFont="1" applyFill="1" applyBorder="1"/>
    <xf numFmtId="173" fontId="16" fillId="43" borderId="38" xfId="77" applyNumberFormat="1" applyFont="1" applyFill="1" applyBorder="1"/>
    <xf numFmtId="0" fontId="16" fillId="43" borderId="31" xfId="77" applyFont="1" applyFill="1" applyBorder="1"/>
    <xf numFmtId="0" fontId="16" fillId="47" borderId="31" xfId="77" applyFont="1" applyFill="1" applyBorder="1"/>
    <xf numFmtId="0" fontId="16" fillId="47" borderId="32" xfId="77" applyFont="1" applyFill="1" applyBorder="1"/>
    <xf numFmtId="173" fontId="1" fillId="43" borderId="31" xfId="77" applyNumberFormat="1" applyFont="1" applyFill="1" applyBorder="1"/>
    <xf numFmtId="173" fontId="1" fillId="47" borderId="31" xfId="77" applyNumberFormat="1" applyFont="1" applyFill="1" applyBorder="1"/>
    <xf numFmtId="173" fontId="1" fillId="47" borderId="32" xfId="77" applyNumberFormat="1" applyFont="1" applyFill="1" applyBorder="1"/>
    <xf numFmtId="173" fontId="1" fillId="43" borderId="0" xfId="77" applyNumberFormat="1" applyFont="1" applyFill="1" applyBorder="1"/>
    <xf numFmtId="173" fontId="1" fillId="47" borderId="0" xfId="77" applyNumberFormat="1" applyFont="1" applyFill="1" applyBorder="1"/>
    <xf numFmtId="173" fontId="1" fillId="47" borderId="33" xfId="77" applyNumberFormat="1" applyFont="1" applyFill="1" applyBorder="1"/>
    <xf numFmtId="0" fontId="31" fillId="43" borderId="45" xfId="77" applyFont="1" applyFill="1" applyBorder="1" applyAlignment="1">
      <alignment horizontal="left" indent="2"/>
    </xf>
    <xf numFmtId="173" fontId="1" fillId="43" borderId="31" xfId="77" applyNumberFormat="1" applyFill="1" applyBorder="1" applyAlignment="1">
      <alignment horizontal="left"/>
    </xf>
    <xf numFmtId="173" fontId="1" fillId="47" borderId="31" xfId="77" applyNumberFormat="1" applyFill="1" applyBorder="1" applyAlignment="1">
      <alignment horizontal="left"/>
    </xf>
    <xf numFmtId="173" fontId="1" fillId="47" borderId="32" xfId="77" applyNumberFormat="1" applyFill="1" applyBorder="1" applyAlignment="1">
      <alignment horizontal="left"/>
    </xf>
    <xf numFmtId="0" fontId="31" fillId="43" borderId="18" xfId="77" applyFont="1" applyFill="1" applyBorder="1" applyAlignment="1">
      <alignment horizontal="left" indent="2"/>
    </xf>
    <xf numFmtId="173" fontId="1" fillId="43" borderId="0" xfId="77" applyNumberFormat="1" applyFill="1" applyBorder="1" applyAlignment="1">
      <alignment horizontal="left"/>
    </xf>
    <xf numFmtId="173" fontId="1" fillId="47" borderId="0" xfId="77" applyNumberFormat="1" applyFill="1" applyBorder="1" applyAlignment="1">
      <alignment horizontal="left"/>
    </xf>
    <xf numFmtId="173" fontId="1" fillId="47" borderId="33" xfId="77" applyNumberFormat="1" applyFill="1" applyBorder="1" applyAlignment="1">
      <alignment horizontal="left"/>
    </xf>
    <xf numFmtId="0" fontId="31" fillId="43" borderId="43" xfId="77" applyFont="1" applyFill="1" applyBorder="1" applyAlignment="1">
      <alignment horizontal="left" indent="2"/>
    </xf>
    <xf numFmtId="173" fontId="1" fillId="43" borderId="35" xfId="77" applyNumberFormat="1" applyFill="1" applyBorder="1" applyAlignment="1">
      <alignment horizontal="left"/>
    </xf>
    <xf numFmtId="173" fontId="1" fillId="47" borderId="35" xfId="77" applyNumberFormat="1" applyFill="1" applyBorder="1" applyAlignment="1">
      <alignment horizontal="left"/>
    </xf>
    <xf numFmtId="173" fontId="1" fillId="47" borderId="36" xfId="77" applyNumberFormat="1" applyFill="1" applyBorder="1" applyAlignment="1">
      <alignment horizontal="left"/>
    </xf>
    <xf numFmtId="173" fontId="16" fillId="47" borderId="0" xfId="77" applyNumberFormat="1" applyFont="1" applyFill="1" applyBorder="1"/>
    <xf numFmtId="173" fontId="16" fillId="47" borderId="33" xfId="77" applyNumberFormat="1" applyFont="1" applyFill="1" applyBorder="1"/>
    <xf numFmtId="0" fontId="16" fillId="43" borderId="35" xfId="77" applyFont="1" applyFill="1" applyBorder="1"/>
    <xf numFmtId="173" fontId="16" fillId="47" borderId="35" xfId="77" applyNumberFormat="1" applyFont="1" applyFill="1" applyBorder="1"/>
    <xf numFmtId="173" fontId="16" fillId="47" borderId="36" xfId="77" applyNumberFormat="1" applyFont="1" applyFill="1" applyBorder="1"/>
    <xf numFmtId="0" fontId="31" fillId="47" borderId="18" xfId="77" applyFont="1" applyFill="1" applyBorder="1"/>
    <xf numFmtId="0" fontId="31" fillId="47" borderId="45" xfId="77" applyFont="1" applyFill="1" applyBorder="1"/>
    <xf numFmtId="0" fontId="31" fillId="47" borderId="27" xfId="77" applyFont="1" applyFill="1" applyBorder="1"/>
    <xf numFmtId="0" fontId="1" fillId="47" borderId="28" xfId="77" applyFill="1" applyBorder="1"/>
    <xf numFmtId="173" fontId="1" fillId="47" borderId="28" xfId="77" applyNumberFormat="1" applyFill="1" applyBorder="1"/>
    <xf numFmtId="173" fontId="1" fillId="47" borderId="38" xfId="77" applyNumberFormat="1" applyFill="1" applyBorder="1"/>
    <xf numFmtId="0" fontId="42" fillId="47" borderId="43" xfId="77" applyFont="1" applyFill="1" applyBorder="1" applyAlignment="1"/>
    <xf numFmtId="0" fontId="42" fillId="47" borderId="35" xfId="77" applyFont="1" applyFill="1" applyBorder="1" applyAlignment="1"/>
    <xf numFmtId="173" fontId="1" fillId="47" borderId="31" xfId="77" applyNumberFormat="1" applyFill="1" applyBorder="1"/>
    <xf numFmtId="173" fontId="1" fillId="47" borderId="32" xfId="77" applyNumberFormat="1" applyFill="1" applyBorder="1"/>
    <xf numFmtId="173" fontId="1" fillId="47" borderId="33" xfId="77" applyNumberFormat="1" applyFill="1" applyBorder="1"/>
    <xf numFmtId="173" fontId="1" fillId="47" borderId="35" xfId="77" applyNumberFormat="1" applyFill="1" applyBorder="1"/>
    <xf numFmtId="173" fontId="1" fillId="47" borderId="36" xfId="77" applyNumberFormat="1" applyFill="1" applyBorder="1"/>
    <xf numFmtId="173" fontId="16" fillId="47" borderId="31" xfId="77" applyNumberFormat="1" applyFont="1" applyFill="1" applyBorder="1"/>
    <xf numFmtId="0" fontId="16" fillId="47" borderId="43" xfId="77" applyFont="1" applyFill="1" applyBorder="1"/>
    <xf numFmtId="0" fontId="16" fillId="43" borderId="21" xfId="77" applyFont="1" applyFill="1" applyBorder="1"/>
    <xf numFmtId="173" fontId="16" fillId="43" borderId="14" xfId="77" applyNumberFormat="1" applyFont="1" applyFill="1" applyBorder="1"/>
    <xf numFmtId="0" fontId="41" fillId="43" borderId="20" xfId="77" applyFont="1" applyFill="1" applyBorder="1"/>
    <xf numFmtId="38" fontId="1" fillId="43" borderId="0" xfId="77" applyNumberFormat="1" applyFill="1" applyBorder="1"/>
    <xf numFmtId="0" fontId="1" fillId="43" borderId="25" xfId="77" applyFont="1" applyFill="1" applyBorder="1"/>
    <xf numFmtId="0" fontId="1" fillId="43" borderId="26" xfId="77" applyFont="1" applyFill="1" applyBorder="1"/>
    <xf numFmtId="0" fontId="40" fillId="43" borderId="45" xfId="77" applyFont="1" applyFill="1" applyBorder="1"/>
    <xf numFmtId="0" fontId="16" fillId="43" borderId="31" xfId="77" applyFont="1" applyFill="1" applyBorder="1" applyAlignment="1">
      <alignment horizontal="center"/>
    </xf>
    <xf numFmtId="0" fontId="30" fillId="43" borderId="31" xfId="77" applyFont="1" applyFill="1" applyBorder="1" applyAlignment="1">
      <alignment horizontal="right"/>
    </xf>
    <xf numFmtId="0" fontId="30" fillId="43" borderId="31" xfId="77" applyFont="1" applyFill="1" applyBorder="1" applyAlignment="1">
      <alignment horizontal="right" wrapText="1"/>
    </xf>
    <xf numFmtId="0" fontId="30" fillId="43" borderId="32" xfId="77" applyFont="1" applyFill="1" applyBorder="1" applyAlignment="1">
      <alignment horizontal="right" wrapText="1"/>
    </xf>
    <xf numFmtId="0" fontId="30" fillId="43" borderId="30" xfId="77" applyFont="1" applyFill="1" applyBorder="1" applyAlignment="1">
      <alignment horizontal="right" wrapText="1"/>
    </xf>
    <xf numFmtId="0" fontId="16" fillId="43" borderId="0" xfId="77" applyFont="1" applyFill="1" applyBorder="1" applyAlignment="1">
      <alignment horizontal="right"/>
    </xf>
    <xf numFmtId="0" fontId="30" fillId="43" borderId="43" xfId="77" applyFont="1" applyFill="1" applyBorder="1" applyAlignment="1">
      <alignment horizontal="center"/>
    </xf>
    <xf numFmtId="0" fontId="31" fillId="43" borderId="35" xfId="77" applyFont="1" applyFill="1" applyBorder="1" applyAlignment="1">
      <alignment horizontal="left"/>
    </xf>
    <xf numFmtId="0" fontId="30" fillId="43" borderId="35" xfId="77" applyFont="1" applyFill="1" applyBorder="1" applyAlignment="1">
      <alignment horizontal="right" wrapText="1"/>
    </xf>
    <xf numFmtId="0" fontId="30" fillId="43" borderId="36" xfId="77" applyFont="1" applyFill="1" applyBorder="1" applyAlignment="1">
      <alignment horizontal="right" wrapText="1"/>
    </xf>
    <xf numFmtId="0" fontId="30" fillId="43" borderId="34" xfId="77" applyFont="1" applyFill="1" applyBorder="1" applyAlignment="1">
      <alignment horizontal="right" wrapText="1"/>
    </xf>
    <xf numFmtId="173" fontId="31" fillId="43" borderId="31" xfId="77" applyNumberFormat="1" applyFont="1" applyFill="1" applyBorder="1"/>
    <xf numFmtId="173" fontId="31" fillId="43" borderId="32" xfId="77" applyNumberFormat="1" applyFont="1" applyFill="1" applyBorder="1"/>
    <xf numFmtId="173" fontId="31" fillId="43" borderId="30" xfId="77" applyNumberFormat="1" applyFont="1" applyFill="1" applyBorder="1"/>
    <xf numFmtId="173" fontId="31" fillId="43" borderId="0" xfId="77" applyNumberFormat="1" applyFont="1" applyFill="1" applyBorder="1"/>
    <xf numFmtId="173" fontId="31" fillId="43" borderId="33" xfId="77" applyNumberFormat="1" applyFont="1" applyFill="1" applyBorder="1"/>
    <xf numFmtId="173" fontId="31" fillId="43" borderId="10" xfId="77" applyNumberFormat="1" applyFont="1" applyFill="1" applyBorder="1"/>
    <xf numFmtId="173" fontId="31" fillId="35" borderId="33" xfId="77" applyNumberFormat="1" applyFont="1" applyFill="1" applyBorder="1"/>
    <xf numFmtId="173" fontId="31" fillId="35" borderId="0" xfId="77" applyNumberFormat="1" applyFont="1" applyFill="1" applyBorder="1"/>
    <xf numFmtId="173" fontId="1" fillId="43" borderId="35" xfId="77" applyNumberFormat="1" applyFont="1" applyFill="1" applyBorder="1"/>
    <xf numFmtId="173" fontId="31" fillId="43" borderId="36" xfId="77" applyNumberFormat="1" applyFont="1" applyFill="1" applyBorder="1"/>
    <xf numFmtId="173" fontId="1" fillId="43" borderId="34" xfId="77" applyNumberFormat="1" applyFont="1" applyFill="1" applyBorder="1"/>
    <xf numFmtId="173" fontId="1" fillId="43" borderId="36" xfId="77" applyNumberFormat="1" applyFont="1" applyFill="1" applyBorder="1"/>
    <xf numFmtId="173" fontId="16" fillId="43" borderId="31" xfId="77" applyNumberFormat="1" applyFont="1" applyFill="1" applyBorder="1"/>
    <xf numFmtId="173" fontId="16" fillId="43" borderId="33" xfId="77" applyNumberFormat="1" applyFont="1" applyFill="1" applyBorder="1"/>
    <xf numFmtId="173" fontId="16" fillId="43" borderId="10" xfId="77" applyNumberFormat="1" applyFont="1" applyFill="1" applyBorder="1"/>
    <xf numFmtId="173" fontId="16" fillId="43" borderId="32" xfId="77" applyNumberFormat="1" applyFont="1" applyFill="1" applyBorder="1"/>
    <xf numFmtId="0" fontId="41" fillId="43" borderId="43" xfId="77" applyFont="1" applyFill="1" applyBorder="1"/>
    <xf numFmtId="173" fontId="16" fillId="43" borderId="34" xfId="77" applyNumberFormat="1" applyFont="1" applyFill="1" applyBorder="1"/>
    <xf numFmtId="0" fontId="41" fillId="43" borderId="18" xfId="77" applyFont="1" applyFill="1" applyBorder="1"/>
    <xf numFmtId="0" fontId="16" fillId="43" borderId="45" xfId="77" applyFont="1" applyFill="1" applyBorder="1"/>
    <xf numFmtId="0" fontId="16" fillId="43" borderId="31" xfId="77" applyFont="1" applyFill="1" applyBorder="1" applyAlignment="1">
      <alignment horizontal="right" wrapText="1"/>
    </xf>
    <xf numFmtId="0" fontId="16" fillId="43" borderId="32" xfId="77" applyFont="1" applyFill="1" applyBorder="1" applyAlignment="1">
      <alignment horizontal="right" wrapText="1"/>
    </xf>
    <xf numFmtId="0" fontId="1" fillId="43" borderId="31" xfId="77" applyFill="1" applyBorder="1" applyAlignment="1">
      <alignment horizontal="right" wrapText="1"/>
    </xf>
    <xf numFmtId="0" fontId="1" fillId="43" borderId="32" xfId="77" applyFill="1" applyBorder="1" applyAlignment="1">
      <alignment horizontal="right" wrapText="1"/>
    </xf>
    <xf numFmtId="0" fontId="1" fillId="43" borderId="0" xfId="77" applyFill="1" applyBorder="1" applyAlignment="1">
      <alignment horizontal="right" wrapText="1"/>
    </xf>
    <xf numFmtId="173" fontId="1" fillId="47" borderId="32" xfId="77" applyNumberFormat="1" applyFill="1" applyBorder="1" applyAlignment="1">
      <alignment horizontal="right"/>
    </xf>
    <xf numFmtId="173" fontId="1" fillId="47" borderId="33" xfId="77" applyNumberFormat="1" applyFill="1" applyBorder="1" applyAlignment="1">
      <alignment horizontal="right"/>
    </xf>
    <xf numFmtId="173" fontId="1" fillId="47" borderId="36" xfId="77" applyNumberFormat="1" applyFill="1" applyBorder="1" applyAlignment="1">
      <alignment horizontal="right"/>
    </xf>
    <xf numFmtId="0" fontId="1" fillId="47" borderId="0" xfId="77" applyFill="1" applyBorder="1" applyAlignment="1">
      <alignment horizontal="right"/>
    </xf>
    <xf numFmtId="0" fontId="1" fillId="47" borderId="31" xfId="77" applyFill="1" applyBorder="1" applyAlignment="1">
      <alignment wrapText="1"/>
    </xf>
    <xf numFmtId="0" fontId="1" fillId="47" borderId="32" xfId="77" applyFill="1" applyBorder="1" applyAlignment="1">
      <alignment wrapText="1"/>
    </xf>
    <xf numFmtId="173" fontId="1" fillId="47" borderId="31" xfId="77" applyNumberFormat="1" applyFill="1" applyBorder="1" applyAlignment="1">
      <alignment horizontal="right"/>
    </xf>
    <xf numFmtId="0" fontId="1" fillId="47" borderId="32" xfId="77" applyFill="1" applyBorder="1" applyAlignment="1">
      <alignment horizontal="right"/>
    </xf>
    <xf numFmtId="0" fontId="1" fillId="47" borderId="33" xfId="77" applyFill="1" applyBorder="1" applyAlignment="1">
      <alignment horizontal="right"/>
    </xf>
    <xf numFmtId="173" fontId="1" fillId="47" borderId="35" xfId="77" applyNumberFormat="1" applyFill="1" applyBorder="1" applyAlignment="1">
      <alignment horizontal="right"/>
    </xf>
    <xf numFmtId="0" fontId="1" fillId="47" borderId="36" xfId="77" applyFill="1" applyBorder="1" applyAlignment="1">
      <alignment horizontal="right"/>
    </xf>
    <xf numFmtId="173" fontId="1" fillId="43" borderId="0" xfId="77" applyNumberFormat="1" applyFill="1" applyBorder="1" applyAlignment="1">
      <alignment horizontal="right"/>
    </xf>
    <xf numFmtId="173" fontId="1" fillId="43" borderId="28" xfId="77" applyNumberFormat="1" applyFill="1" applyBorder="1" applyAlignment="1">
      <alignment horizontal="left"/>
    </xf>
    <xf numFmtId="0" fontId="1" fillId="43" borderId="31" xfId="77" applyFill="1" applyBorder="1" applyAlignment="1">
      <alignment wrapText="1"/>
    </xf>
    <xf numFmtId="0" fontId="1" fillId="43" borderId="32" xfId="77" applyFill="1" applyBorder="1" applyAlignment="1">
      <alignment wrapText="1"/>
    </xf>
    <xf numFmtId="173" fontId="1" fillId="43" borderId="35" xfId="77" applyNumberFormat="1" applyFill="1" applyBorder="1" applyAlignment="1">
      <alignment horizontal="right"/>
    </xf>
    <xf numFmtId="0" fontId="1" fillId="43" borderId="36" xfId="77" applyFill="1" applyBorder="1" applyAlignment="1">
      <alignment horizontal="right"/>
    </xf>
    <xf numFmtId="173" fontId="1" fillId="43" borderId="28" xfId="77" applyNumberFormat="1" applyFill="1" applyBorder="1" applyAlignment="1">
      <alignment horizontal="right" wrapText="1"/>
    </xf>
    <xf numFmtId="0" fontId="1" fillId="43" borderId="38" xfId="77" applyFill="1" applyBorder="1" applyAlignment="1">
      <alignment horizontal="right"/>
    </xf>
    <xf numFmtId="173" fontId="1" fillId="43" borderId="33" xfId="77" applyNumberFormat="1" applyFill="1" applyBorder="1" applyAlignment="1">
      <alignment horizontal="left"/>
    </xf>
    <xf numFmtId="0" fontId="1" fillId="47" borderId="36" xfId="77" applyFill="1" applyBorder="1" applyAlignment="1">
      <alignment horizontal="left"/>
    </xf>
    <xf numFmtId="0" fontId="1" fillId="43" borderId="28" xfId="77" applyFill="1" applyBorder="1" applyAlignment="1">
      <alignment wrapText="1"/>
    </xf>
    <xf numFmtId="0" fontId="1" fillId="43" borderId="38" xfId="77" applyFill="1" applyBorder="1" applyAlignment="1">
      <alignment wrapText="1"/>
    </xf>
    <xf numFmtId="0" fontId="1" fillId="43" borderId="23" xfId="77" applyFill="1" applyBorder="1" applyAlignment="1">
      <alignment wrapText="1"/>
    </xf>
    <xf numFmtId="0" fontId="1" fillId="0" borderId="25" xfId="77" applyBorder="1"/>
    <xf numFmtId="0" fontId="30" fillId="43" borderId="16" xfId="77" applyFont="1" applyFill="1" applyBorder="1" applyAlignment="1">
      <alignment horizontal="right" wrapText="1"/>
    </xf>
    <xf numFmtId="0" fontId="30" fillId="43" borderId="40" xfId="77" applyFont="1" applyFill="1" applyBorder="1" applyAlignment="1">
      <alignment horizontal="right" wrapText="1"/>
    </xf>
    <xf numFmtId="3" fontId="1" fillId="43" borderId="31" xfId="77" applyNumberFormat="1" applyFill="1" applyBorder="1"/>
    <xf numFmtId="3" fontId="1" fillId="43" borderId="32" xfId="77" applyNumberFormat="1" applyFill="1" applyBorder="1"/>
    <xf numFmtId="3" fontId="1" fillId="43" borderId="35" xfId="77" applyNumberFormat="1" applyFill="1" applyBorder="1"/>
    <xf numFmtId="3" fontId="1" fillId="43" borderId="36" xfId="77" applyNumberFormat="1" applyFill="1" applyBorder="1"/>
    <xf numFmtId="0" fontId="1" fillId="43" borderId="18" xfId="77" applyFill="1" applyBorder="1" applyAlignment="1">
      <alignment wrapText="1"/>
    </xf>
    <xf numFmtId="0" fontId="1" fillId="43" borderId="45" xfId="77" applyFont="1" applyFill="1" applyBorder="1" applyAlignment="1">
      <alignment horizontal="left" indent="1"/>
    </xf>
    <xf numFmtId="173" fontId="1" fillId="43" borderId="32" xfId="77" applyNumberFormat="1" applyFont="1" applyFill="1" applyBorder="1"/>
    <xf numFmtId="0" fontId="1" fillId="43" borderId="18" xfId="77" applyFont="1" applyFill="1" applyBorder="1" applyAlignment="1">
      <alignment horizontal="left" indent="1"/>
    </xf>
    <xf numFmtId="173" fontId="1" fillId="43" borderId="33" xfId="77" applyNumberFormat="1" applyFont="1" applyFill="1" applyBorder="1"/>
    <xf numFmtId="0" fontId="1" fillId="43" borderId="43" xfId="77" applyFont="1" applyFill="1" applyBorder="1" applyAlignment="1">
      <alignment horizontal="left" indent="1"/>
    </xf>
    <xf numFmtId="0" fontId="1" fillId="43" borderId="45" xfId="77" applyFont="1" applyFill="1" applyBorder="1"/>
    <xf numFmtId="173" fontId="1" fillId="43" borderId="28" xfId="77" applyNumberFormat="1" applyFont="1" applyFill="1" applyBorder="1"/>
    <xf numFmtId="173" fontId="1" fillId="43" borderId="38" xfId="77" applyNumberFormat="1" applyFont="1" applyFill="1" applyBorder="1"/>
    <xf numFmtId="9" fontId="1" fillId="43" borderId="31" xfId="79" applyFont="1" applyFill="1" applyBorder="1"/>
    <xf numFmtId="9" fontId="1" fillId="43" borderId="32" xfId="79" applyFont="1" applyFill="1" applyBorder="1"/>
    <xf numFmtId="0" fontId="1" fillId="43" borderId="43" xfId="77" applyFont="1" applyFill="1" applyBorder="1"/>
    <xf numFmtId="9" fontId="1" fillId="43" borderId="35" xfId="79" applyFont="1" applyFill="1" applyBorder="1"/>
    <xf numFmtId="9" fontId="1" fillId="43" borderId="36" xfId="79" applyFont="1" applyFill="1" applyBorder="1"/>
    <xf numFmtId="9" fontId="1" fillId="43" borderId="0" xfId="79" applyFont="1" applyFill="1" applyBorder="1"/>
    <xf numFmtId="166" fontId="0" fillId="43" borderId="33" xfId="79" applyNumberFormat="1" applyFont="1" applyFill="1" applyBorder="1"/>
    <xf numFmtId="166" fontId="1" fillId="43" borderId="35" xfId="79" applyNumberFormat="1" applyFont="1" applyFill="1" applyBorder="1"/>
    <xf numFmtId="166" fontId="1" fillId="43" borderId="36" xfId="79" applyNumberFormat="1" applyFont="1" applyFill="1" applyBorder="1"/>
    <xf numFmtId="38" fontId="1" fillId="47" borderId="0" xfId="77" applyNumberFormat="1" applyFill="1" applyBorder="1"/>
    <xf numFmtId="0" fontId="30" fillId="47" borderId="35" xfId="77" applyFont="1" applyFill="1" applyBorder="1" applyAlignment="1">
      <alignment horizontal="right"/>
    </xf>
    <xf numFmtId="0" fontId="1" fillId="47" borderId="30" xfId="77" applyFill="1" applyBorder="1"/>
    <xf numFmtId="0" fontId="1" fillId="47" borderId="36" xfId="77" applyFill="1" applyBorder="1"/>
    <xf numFmtId="0" fontId="1" fillId="47" borderId="10" xfId="77" applyFill="1" applyBorder="1"/>
    <xf numFmtId="173" fontId="1" fillId="47" borderId="30" xfId="77" applyNumberFormat="1" applyFill="1" applyBorder="1"/>
    <xf numFmtId="173" fontId="1" fillId="47" borderId="10" xfId="77" applyNumberFormat="1" applyFill="1" applyBorder="1"/>
    <xf numFmtId="173" fontId="1" fillId="47" borderId="34" xfId="77" applyNumberFormat="1" applyFill="1" applyBorder="1"/>
    <xf numFmtId="0" fontId="30" fillId="47" borderId="27" xfId="77" applyFont="1" applyFill="1" applyBorder="1"/>
    <xf numFmtId="173" fontId="16" fillId="47" borderId="28" xfId="77" applyNumberFormat="1" applyFont="1" applyFill="1" applyBorder="1"/>
    <xf numFmtId="173" fontId="16" fillId="47" borderId="38" xfId="77" applyNumberFormat="1" applyFont="1" applyFill="1" applyBorder="1"/>
    <xf numFmtId="173" fontId="16" fillId="47" borderId="37" xfId="77" applyNumberFormat="1" applyFont="1" applyFill="1" applyBorder="1"/>
    <xf numFmtId="0" fontId="1" fillId="47" borderId="18" xfId="77" applyFill="1" applyBorder="1" applyAlignment="1">
      <alignment wrapText="1"/>
    </xf>
    <xf numFmtId="0" fontId="1" fillId="47" borderId="18" xfId="77" applyFont="1" applyFill="1" applyBorder="1"/>
    <xf numFmtId="0" fontId="30" fillId="43" borderId="16" xfId="77" applyFont="1" applyFill="1" applyBorder="1" applyAlignment="1">
      <alignment horizontal="center" wrapText="1"/>
    </xf>
    <xf numFmtId="0" fontId="1" fillId="43" borderId="25" xfId="77" applyFont="1" applyFill="1" applyBorder="1" applyAlignment="1"/>
    <xf numFmtId="0" fontId="1" fillId="43" borderId="0" xfId="77" applyFill="1" applyBorder="1" applyAlignment="1">
      <alignment wrapText="1"/>
    </xf>
    <xf numFmtId="0" fontId="16" fillId="43" borderId="25" xfId="77" applyFont="1" applyFill="1" applyBorder="1" applyAlignment="1">
      <alignment wrapText="1"/>
    </xf>
    <xf numFmtId="0" fontId="1" fillId="43" borderId="0" xfId="77" applyFill="1" applyAlignment="1">
      <alignment wrapText="1"/>
    </xf>
    <xf numFmtId="0" fontId="16" fillId="43" borderId="32" xfId="77" applyFont="1" applyFill="1" applyBorder="1"/>
    <xf numFmtId="173" fontId="1" fillId="43" borderId="32" xfId="77" applyNumberFormat="1" applyFill="1" applyBorder="1" applyAlignment="1">
      <alignment horizontal="left"/>
    </xf>
    <xf numFmtId="173" fontId="1" fillId="43" borderId="36" xfId="77" applyNumberFormat="1" applyFill="1" applyBorder="1" applyAlignment="1">
      <alignment horizontal="left"/>
    </xf>
    <xf numFmtId="0" fontId="1" fillId="0" borderId="25" xfId="77" applyBorder="1" applyAlignment="1">
      <alignment wrapText="1"/>
    </xf>
    <xf numFmtId="0" fontId="1" fillId="43" borderId="28" xfId="77" applyFill="1" applyBorder="1"/>
    <xf numFmtId="0" fontId="1" fillId="43" borderId="33" xfId="77" applyFill="1" applyBorder="1" applyAlignment="1">
      <alignment wrapText="1"/>
    </xf>
    <xf numFmtId="0" fontId="1" fillId="43" borderId="33" xfId="77" applyFill="1" applyBorder="1" applyAlignment="1">
      <alignment horizontal="right" wrapText="1"/>
    </xf>
    <xf numFmtId="173" fontId="1" fillId="43" borderId="43" xfId="77" applyNumberFormat="1" applyFill="1" applyBorder="1"/>
    <xf numFmtId="173" fontId="1" fillId="43" borderId="36" xfId="77" applyNumberFormat="1" applyFill="1" applyBorder="1" applyAlignment="1">
      <alignment horizontal="right"/>
    </xf>
    <xf numFmtId="3" fontId="1" fillId="43" borderId="33" xfId="77" applyNumberFormat="1" applyFill="1" applyBorder="1"/>
    <xf numFmtId="0" fontId="1" fillId="47" borderId="27" xfId="77" applyFill="1" applyBorder="1"/>
    <xf numFmtId="0" fontId="1" fillId="47" borderId="28" xfId="77" applyFill="1" applyBorder="1" applyAlignment="1">
      <alignment horizontal="right"/>
    </xf>
    <xf numFmtId="0" fontId="1" fillId="47" borderId="38" xfId="77" applyFill="1" applyBorder="1" applyAlignment="1">
      <alignment horizontal="right"/>
    </xf>
    <xf numFmtId="173" fontId="0" fillId="47" borderId="33" xfId="67" applyNumberFormat="1" applyFont="1" applyFill="1" applyBorder="1"/>
    <xf numFmtId="173" fontId="0" fillId="47" borderId="35" xfId="67" applyNumberFormat="1" applyFont="1" applyFill="1" applyBorder="1"/>
    <xf numFmtId="173" fontId="0" fillId="47" borderId="36" xfId="67" applyNumberFormat="1" applyFont="1" applyFill="1" applyBorder="1"/>
    <xf numFmtId="0" fontId="1" fillId="47" borderId="30" xfId="77" applyFill="1" applyBorder="1" applyAlignment="1">
      <alignment horizontal="left"/>
    </xf>
    <xf numFmtId="0" fontId="1" fillId="47" borderId="31" xfId="77" applyFill="1" applyBorder="1" applyAlignment="1">
      <alignment horizontal="center"/>
    </xf>
    <xf numFmtId="0" fontId="1" fillId="47" borderId="32" xfId="77" applyFill="1" applyBorder="1" applyAlignment="1">
      <alignment horizontal="center"/>
    </xf>
    <xf numFmtId="0" fontId="1" fillId="47" borderId="10" xfId="77" applyFill="1" applyBorder="1" applyAlignment="1">
      <alignment horizontal="left"/>
    </xf>
    <xf numFmtId="0" fontId="1" fillId="47" borderId="0" xfId="77" applyFill="1" applyBorder="1" applyAlignment="1">
      <alignment horizontal="center"/>
    </xf>
    <xf numFmtId="0" fontId="1" fillId="47" borderId="33" xfId="77" applyFill="1" applyBorder="1" applyAlignment="1">
      <alignment horizontal="center"/>
    </xf>
    <xf numFmtId="0" fontId="1" fillId="47" borderId="34" xfId="77" applyFill="1" applyBorder="1" applyAlignment="1">
      <alignment horizontal="left"/>
    </xf>
    <xf numFmtId="0" fontId="1" fillId="47" borderId="10" xfId="77" applyFill="1" applyBorder="1" applyAlignment="1">
      <alignment horizontal="right"/>
    </xf>
    <xf numFmtId="173" fontId="1" fillId="47" borderId="34" xfId="77" applyNumberFormat="1" applyFill="1" applyBorder="1" applyAlignment="1">
      <alignment horizontal="right"/>
    </xf>
    <xf numFmtId="44" fontId="0" fillId="43" borderId="0" xfId="67" applyFont="1" applyFill="1" applyBorder="1"/>
    <xf numFmtId="173" fontId="16" fillId="43" borderId="28" xfId="77" applyNumberFormat="1" applyFont="1" applyFill="1" applyBorder="1"/>
    <xf numFmtId="0" fontId="1" fillId="43" borderId="38" xfId="77" applyFill="1" applyBorder="1" applyAlignment="1">
      <alignment horizontal="right" wrapText="1"/>
    </xf>
    <xf numFmtId="49" fontId="1" fillId="43" borderId="0" xfId="77" applyNumberFormat="1" applyFill="1" applyBorder="1" applyAlignment="1">
      <alignment horizontal="right" wrapText="1"/>
    </xf>
    <xf numFmtId="173" fontId="1" fillId="43" borderId="35" xfId="77" applyNumberFormat="1" applyFill="1" applyBorder="1" applyAlignment="1">
      <alignment horizontal="right" wrapText="1"/>
    </xf>
    <xf numFmtId="173" fontId="1" fillId="43" borderId="36" xfId="77" applyNumberFormat="1" applyFill="1" applyBorder="1" applyAlignment="1">
      <alignment horizontal="right" wrapText="1"/>
    </xf>
    <xf numFmtId="3" fontId="1" fillId="43" borderId="0" xfId="77" applyNumberFormat="1" applyFill="1" applyBorder="1" applyAlignment="1">
      <alignment horizontal="right" wrapText="1"/>
    </xf>
    <xf numFmtId="3" fontId="1" fillId="43" borderId="31" xfId="77" applyNumberFormat="1" applyFill="1" applyBorder="1" applyAlignment="1">
      <alignment horizontal="right" wrapText="1"/>
    </xf>
    <xf numFmtId="3" fontId="1" fillId="43" borderId="32" xfId="77" applyNumberFormat="1" applyFill="1" applyBorder="1" applyAlignment="1">
      <alignment horizontal="right" wrapText="1"/>
    </xf>
    <xf numFmtId="3" fontId="1" fillId="43" borderId="33" xfId="77" applyNumberFormat="1" applyFill="1" applyBorder="1" applyAlignment="1">
      <alignment horizontal="right" wrapText="1"/>
    </xf>
    <xf numFmtId="173" fontId="1" fillId="43" borderId="0" xfId="77" applyNumberFormat="1" applyFill="1" applyBorder="1" applyAlignment="1">
      <alignment horizontal="right" wrapText="1"/>
    </xf>
    <xf numFmtId="173" fontId="1" fillId="43" borderId="33" xfId="77" applyNumberFormat="1" applyFill="1" applyBorder="1" applyAlignment="1">
      <alignment horizontal="right" wrapText="1"/>
    </xf>
    <xf numFmtId="9" fontId="0" fillId="43" borderId="0" xfId="79" applyFont="1" applyFill="1" applyBorder="1" applyAlignment="1">
      <alignment horizontal="right" wrapText="1"/>
    </xf>
    <xf numFmtId="9" fontId="0" fillId="43" borderId="33" xfId="79" applyFont="1" applyFill="1" applyBorder="1" applyAlignment="1">
      <alignment horizontal="right" wrapText="1"/>
    </xf>
    <xf numFmtId="49" fontId="1" fillId="43" borderId="33" xfId="77" applyNumberFormat="1" applyFill="1" applyBorder="1" applyAlignment="1">
      <alignment horizontal="right" wrapText="1"/>
    </xf>
    <xf numFmtId="0" fontId="1" fillId="43" borderId="0" xfId="77" applyNumberFormat="1" applyFill="1" applyBorder="1" applyAlignment="1">
      <alignment horizontal="right" wrapText="1"/>
    </xf>
    <xf numFmtId="173" fontId="1" fillId="43" borderId="31" xfId="77" applyNumberFormat="1" applyFill="1" applyBorder="1" applyAlignment="1">
      <alignment horizontal="right" wrapText="1"/>
    </xf>
    <xf numFmtId="0" fontId="1" fillId="47" borderId="35" xfId="77" applyFill="1" applyBorder="1" applyAlignment="1">
      <alignment horizontal="right"/>
    </xf>
    <xf numFmtId="0" fontId="1" fillId="47" borderId="45" xfId="77" applyNumberFormat="1" applyFill="1" applyBorder="1"/>
    <xf numFmtId="3" fontId="0" fillId="47" borderId="31" xfId="67" applyNumberFormat="1" applyFont="1" applyFill="1" applyBorder="1"/>
    <xf numFmtId="3" fontId="0" fillId="47" borderId="32" xfId="67" applyNumberFormat="1" applyFont="1" applyFill="1" applyBorder="1"/>
    <xf numFmtId="3" fontId="0" fillId="47" borderId="35" xfId="67" applyNumberFormat="1" applyFont="1" applyFill="1" applyBorder="1"/>
    <xf numFmtId="3" fontId="0" fillId="47" borderId="36" xfId="67" applyNumberFormat="1" applyFont="1" applyFill="1" applyBorder="1"/>
    <xf numFmtId="173" fontId="0" fillId="47" borderId="31" xfId="67" applyNumberFormat="1" applyFont="1" applyFill="1" applyBorder="1"/>
    <xf numFmtId="173" fontId="0" fillId="47" borderId="32" xfId="67" applyNumberFormat="1" applyFont="1" applyFill="1" applyBorder="1"/>
    <xf numFmtId="3" fontId="1" fillId="47" borderId="31" xfId="77" applyNumberFormat="1" applyFill="1" applyBorder="1" applyAlignment="1">
      <alignment horizontal="right"/>
    </xf>
    <xf numFmtId="3" fontId="1" fillId="47" borderId="32" xfId="77" applyNumberFormat="1" applyFill="1" applyBorder="1" applyAlignment="1">
      <alignment horizontal="right"/>
    </xf>
    <xf numFmtId="0" fontId="1" fillId="43" borderId="0" xfId="77" applyFill="1" applyAlignment="1">
      <alignment horizontal="right"/>
    </xf>
    <xf numFmtId="3" fontId="1" fillId="47" borderId="0" xfId="77" applyNumberFormat="1" applyFill="1" applyBorder="1" applyAlignment="1"/>
    <xf numFmtId="3" fontId="1" fillId="47" borderId="33" xfId="77" applyNumberFormat="1" applyFill="1" applyBorder="1" applyAlignment="1"/>
    <xf numFmtId="3" fontId="1" fillId="47" borderId="36" xfId="77" applyNumberFormat="1" applyFill="1" applyBorder="1" applyAlignment="1"/>
    <xf numFmtId="173" fontId="1" fillId="47" borderId="28" xfId="77" applyNumberFormat="1" applyFill="1" applyBorder="1" applyAlignment="1">
      <alignment horizontal="right"/>
    </xf>
    <xf numFmtId="173" fontId="1" fillId="47" borderId="38" xfId="77" applyNumberFormat="1" applyFill="1" applyBorder="1" applyAlignment="1">
      <alignment horizontal="right"/>
    </xf>
    <xf numFmtId="3" fontId="1" fillId="43" borderId="32" xfId="77" applyNumberFormat="1" applyFill="1" applyBorder="1" applyAlignment="1">
      <alignment horizontal="right"/>
    </xf>
    <xf numFmtId="3" fontId="1" fillId="43" borderId="33" xfId="77" applyNumberFormat="1" applyFill="1" applyBorder="1" applyAlignment="1">
      <alignment horizontal="right"/>
    </xf>
    <xf numFmtId="3" fontId="1" fillId="43" borderId="0" xfId="77" applyNumberFormat="1" applyFill="1" applyBorder="1" applyAlignment="1"/>
    <xf numFmtId="3" fontId="1" fillId="43" borderId="33" xfId="77" applyNumberFormat="1" applyFill="1" applyBorder="1" applyAlignment="1"/>
    <xf numFmtId="173" fontId="1" fillId="43" borderId="31" xfId="77" applyNumberFormat="1" applyFill="1" applyBorder="1" applyAlignment="1">
      <alignment horizontal="right"/>
    </xf>
    <xf numFmtId="173" fontId="1" fillId="43" borderId="32" xfId="77" applyNumberFormat="1" applyFill="1" applyBorder="1" applyAlignment="1">
      <alignment horizontal="right"/>
    </xf>
    <xf numFmtId="175" fontId="0" fillId="43" borderId="32" xfId="67" applyNumberFormat="1" applyFont="1" applyFill="1" applyBorder="1"/>
    <xf numFmtId="175" fontId="0" fillId="43" borderId="36" xfId="67" applyNumberFormat="1" applyFont="1" applyFill="1" applyBorder="1"/>
    <xf numFmtId="0" fontId="1" fillId="47" borderId="18" xfId="77" applyFill="1" applyBorder="1" applyAlignment="1"/>
    <xf numFmtId="3" fontId="1" fillId="47" borderId="0" xfId="77" applyNumberFormat="1" applyFill="1" applyBorder="1" applyAlignment="1">
      <alignment horizontal="right"/>
    </xf>
    <xf numFmtId="175" fontId="0" fillId="43" borderId="14" xfId="67" applyNumberFormat="1" applyFont="1" applyFill="1" applyBorder="1"/>
    <xf numFmtId="173" fontId="1" fillId="43" borderId="14" xfId="77" applyNumberFormat="1" applyFill="1" applyBorder="1"/>
    <xf numFmtId="175" fontId="0" fillId="43" borderId="0" xfId="67" applyNumberFormat="1" applyFont="1" applyFill="1" applyBorder="1"/>
    <xf numFmtId="0" fontId="30" fillId="43" borderId="0" xfId="77" applyFont="1" applyFill="1"/>
    <xf numFmtId="2" fontId="31" fillId="43" borderId="0" xfId="77" applyNumberFormat="1" applyFont="1" applyFill="1" applyBorder="1" applyAlignment="1"/>
    <xf numFmtId="2" fontId="31" fillId="42" borderId="0" xfId="77" applyNumberFormat="1" applyFont="1" applyFill="1" applyBorder="1" applyAlignment="1"/>
    <xf numFmtId="2" fontId="31" fillId="42" borderId="0" xfId="77" applyNumberFormat="1" applyFont="1" applyFill="1" applyBorder="1"/>
    <xf numFmtId="2" fontId="31" fillId="43" borderId="23" xfId="77" applyNumberFormat="1" applyFont="1" applyFill="1" applyBorder="1"/>
    <xf numFmtId="0" fontId="31" fillId="43" borderId="55" xfId="77" applyFont="1" applyFill="1" applyBorder="1" applyAlignment="1">
      <alignment horizontal="left" wrapText="1"/>
    </xf>
    <xf numFmtId="0" fontId="31" fillId="43" borderId="25" xfId="77" applyFont="1" applyFill="1" applyBorder="1" applyAlignment="1">
      <alignment horizontal="left" wrapText="1"/>
    </xf>
    <xf numFmtId="0" fontId="31" fillId="43" borderId="26" xfId="77" applyFont="1" applyFill="1" applyBorder="1" applyAlignment="1">
      <alignment horizontal="left" wrapText="1"/>
    </xf>
    <xf numFmtId="2" fontId="31" fillId="43" borderId="26" xfId="77" applyNumberFormat="1" applyFont="1" applyFill="1" applyBorder="1" applyAlignment="1">
      <alignment horizontal="left" wrapText="1"/>
    </xf>
    <xf numFmtId="0" fontId="31" fillId="43" borderId="18" xfId="77" applyFont="1" applyFill="1" applyBorder="1" applyAlignment="1">
      <alignment horizontal="right"/>
    </xf>
    <xf numFmtId="166" fontId="31" fillId="43" borderId="56" xfId="79" applyNumberFormat="1" applyFont="1" applyFill="1" applyBorder="1" applyAlignment="1">
      <alignment horizontal="right"/>
    </xf>
    <xf numFmtId="166" fontId="31" fillId="43" borderId="0" xfId="77" applyNumberFormat="1" applyFont="1" applyFill="1" applyBorder="1"/>
    <xf numFmtId="166" fontId="31" fillId="43" borderId="56" xfId="77" applyNumberFormat="1" applyFont="1" applyFill="1" applyBorder="1"/>
    <xf numFmtId="166" fontId="31" fillId="43" borderId="20" xfId="77" applyNumberFormat="1" applyFont="1" applyFill="1" applyBorder="1"/>
    <xf numFmtId="166" fontId="31" fillId="33" borderId="20" xfId="79" applyNumberFormat="1" applyFont="1" applyFill="1" applyBorder="1" applyAlignment="1">
      <alignment horizontal="right"/>
    </xf>
    <xf numFmtId="0" fontId="31" fillId="43" borderId="21" xfId="77" applyFont="1" applyFill="1" applyBorder="1" applyAlignment="1">
      <alignment horizontal="right"/>
    </xf>
    <xf numFmtId="166" fontId="31" fillId="43" borderId="57" xfId="77" applyNumberFormat="1" applyFont="1" applyFill="1" applyBorder="1"/>
    <xf numFmtId="2" fontId="43" fillId="43" borderId="0" xfId="77" applyNumberFormat="1" applyFont="1" applyFill="1" applyBorder="1"/>
    <xf numFmtId="0" fontId="44" fillId="43" borderId="0" xfId="77" applyFont="1" applyFill="1" applyBorder="1" applyAlignment="1">
      <alignment horizontal="right"/>
    </xf>
    <xf numFmtId="166" fontId="44" fillId="43" borderId="0" xfId="79" applyNumberFormat="1" applyFont="1" applyFill="1" applyBorder="1" applyAlignment="1">
      <alignment horizontal="right"/>
    </xf>
    <xf numFmtId="166" fontId="44" fillId="43" borderId="0" xfId="79" applyNumberFormat="1" applyFont="1" applyFill="1" applyBorder="1"/>
    <xf numFmtId="0" fontId="44" fillId="43" borderId="0" xfId="77" applyFont="1" applyFill="1" applyBorder="1"/>
    <xf numFmtId="0" fontId="30" fillId="43" borderId="14" xfId="77" applyFont="1" applyFill="1" applyBorder="1" applyAlignment="1"/>
    <xf numFmtId="0" fontId="45" fillId="43" borderId="0" xfId="77" applyFont="1" applyFill="1" applyBorder="1" applyAlignment="1"/>
    <xf numFmtId="2" fontId="44" fillId="43" borderId="0" xfId="77" applyNumberFormat="1" applyFont="1" applyFill="1" applyBorder="1" applyAlignment="1">
      <alignment horizontal="left"/>
    </xf>
    <xf numFmtId="2" fontId="44" fillId="43" borderId="0" xfId="77" applyNumberFormat="1" applyFont="1" applyFill="1" applyBorder="1"/>
    <xf numFmtId="1" fontId="44" fillId="43" borderId="0" xfId="77" applyNumberFormat="1" applyFont="1" applyFill="1" applyBorder="1"/>
    <xf numFmtId="0" fontId="31" fillId="43" borderId="55" xfId="77" applyFont="1" applyFill="1" applyBorder="1"/>
    <xf numFmtId="2" fontId="31" fillId="43" borderId="55" xfId="77" applyNumberFormat="1" applyFont="1" applyFill="1" applyBorder="1" applyAlignment="1">
      <alignment horizontal="right" wrapText="1"/>
    </xf>
    <xf numFmtId="0" fontId="44" fillId="43" borderId="0" xfId="77" applyFont="1" applyFill="1" applyBorder="1" applyAlignment="1">
      <alignment horizontal="center"/>
    </xf>
    <xf numFmtId="0" fontId="31" fillId="43" borderId="56" xfId="77" applyFont="1" applyFill="1" applyBorder="1" applyAlignment="1">
      <alignment horizontal="right"/>
    </xf>
    <xf numFmtId="0" fontId="44" fillId="42" borderId="0" xfId="77" applyFont="1" applyFill="1" applyBorder="1" applyAlignment="1">
      <alignment horizontal="center"/>
    </xf>
    <xf numFmtId="0" fontId="44" fillId="42" borderId="0" xfId="77" applyFont="1" applyFill="1" applyBorder="1"/>
    <xf numFmtId="166" fontId="31" fillId="43" borderId="57" xfId="79" applyNumberFormat="1" applyFont="1" applyFill="1" applyBorder="1" applyAlignment="1">
      <alignment horizontal="right"/>
    </xf>
    <xf numFmtId="2" fontId="43" fillId="42" borderId="0" xfId="77" applyNumberFormat="1" applyFont="1" applyFill="1" applyBorder="1"/>
    <xf numFmtId="0" fontId="44" fillId="42" borderId="0" xfId="77" applyFont="1" applyFill="1" applyBorder="1" applyAlignment="1">
      <alignment horizontal="right"/>
    </xf>
    <xf numFmtId="166" fontId="44" fillId="42" borderId="0" xfId="79" applyNumberFormat="1" applyFont="1" applyFill="1" applyBorder="1" applyAlignment="1">
      <alignment horizontal="right"/>
    </xf>
    <xf numFmtId="0" fontId="30" fillId="46" borderId="0" xfId="77" applyFont="1" applyFill="1"/>
    <xf numFmtId="2" fontId="30" fillId="46" borderId="14" xfId="77" applyNumberFormat="1" applyFont="1" applyFill="1" applyBorder="1" applyAlignment="1"/>
    <xf numFmtId="0" fontId="1" fillId="46" borderId="0" xfId="77" applyFont="1" applyFill="1"/>
    <xf numFmtId="2" fontId="31" fillId="46" borderId="23" xfId="77" applyNumberFormat="1" applyFont="1" applyFill="1" applyBorder="1"/>
    <xf numFmtId="0" fontId="31" fillId="46" borderId="55" xfId="77" applyFont="1" applyFill="1" applyBorder="1" applyAlignment="1">
      <alignment horizontal="left" wrapText="1"/>
    </xf>
    <xf numFmtId="0" fontId="31" fillId="46" borderId="25" xfId="77" applyFont="1" applyFill="1" applyBorder="1" applyAlignment="1">
      <alignment horizontal="left" wrapText="1"/>
    </xf>
    <xf numFmtId="0" fontId="31" fillId="46" borderId="26" xfId="77" applyFont="1" applyFill="1" applyBorder="1" applyAlignment="1">
      <alignment horizontal="left" wrapText="1"/>
    </xf>
    <xf numFmtId="2" fontId="31" fillId="46" borderId="26" xfId="77" applyNumberFormat="1" applyFont="1" applyFill="1" applyBorder="1" applyAlignment="1">
      <alignment horizontal="left" wrapText="1"/>
    </xf>
    <xf numFmtId="0" fontId="31" fillId="46" borderId="18" xfId="77" applyFont="1" applyFill="1" applyBorder="1" applyAlignment="1">
      <alignment horizontal="right"/>
    </xf>
    <xf numFmtId="166" fontId="31" fillId="46" borderId="56" xfId="79" applyNumberFormat="1" applyFont="1" applyFill="1" applyBorder="1" applyAlignment="1">
      <alignment horizontal="right"/>
    </xf>
    <xf numFmtId="166" fontId="31" fillId="46" borderId="0" xfId="77" applyNumberFormat="1" applyFont="1" applyFill="1" applyBorder="1"/>
    <xf numFmtId="166" fontId="31" fillId="46" borderId="56" xfId="77" applyNumberFormat="1" applyFont="1" applyFill="1" applyBorder="1"/>
    <xf numFmtId="166" fontId="31" fillId="46" borderId="20" xfId="77" applyNumberFormat="1" applyFont="1" applyFill="1" applyBorder="1"/>
    <xf numFmtId="166" fontId="31" fillId="46" borderId="20" xfId="79" applyNumberFormat="1" applyFont="1" applyFill="1" applyBorder="1" applyAlignment="1">
      <alignment horizontal="right"/>
    </xf>
    <xf numFmtId="0" fontId="31" fillId="46" borderId="21" xfId="77" applyFont="1" applyFill="1" applyBorder="1" applyAlignment="1">
      <alignment horizontal="right"/>
    </xf>
    <xf numFmtId="166" fontId="31" fillId="46" borderId="57" xfId="77" applyNumberFormat="1" applyFont="1" applyFill="1" applyBorder="1"/>
    <xf numFmtId="0" fontId="30" fillId="46" borderId="14" xfId="77" applyFont="1" applyFill="1" applyBorder="1" applyAlignment="1"/>
    <xf numFmtId="0" fontId="30" fillId="43" borderId="0" xfId="77" applyFont="1" applyFill="1" applyBorder="1" applyAlignment="1"/>
    <xf numFmtId="0" fontId="31" fillId="46" borderId="55" xfId="77" applyFont="1" applyFill="1" applyBorder="1"/>
    <xf numFmtId="2" fontId="31" fillId="46" borderId="55" xfId="77" applyNumberFormat="1" applyFont="1" applyFill="1" applyBorder="1" applyAlignment="1">
      <alignment horizontal="right" wrapText="1"/>
    </xf>
    <xf numFmtId="0" fontId="31" fillId="46" borderId="56" xfId="77" applyFont="1" applyFill="1" applyBorder="1" applyAlignment="1">
      <alignment horizontal="right"/>
    </xf>
    <xf numFmtId="166" fontId="31" fillId="46" borderId="57" xfId="79" applyNumberFormat="1" applyFont="1" applyFill="1" applyBorder="1" applyAlignment="1">
      <alignment horizontal="right"/>
    </xf>
    <xf numFmtId="166" fontId="44" fillId="43" borderId="0" xfId="79" applyNumberFormat="1" applyFont="1" applyFill="1" applyBorder="1" applyAlignment="1">
      <alignment horizontal="center"/>
    </xf>
    <xf numFmtId="166" fontId="44" fillId="42" borderId="0" xfId="79" applyNumberFormat="1" applyFont="1" applyFill="1" applyBorder="1" applyAlignment="1">
      <alignment horizontal="center"/>
    </xf>
    <xf numFmtId="0" fontId="46" fillId="43" borderId="30" xfId="77" applyNumberFormat="1" applyFont="1" applyFill="1" applyBorder="1" applyAlignment="1"/>
    <xf numFmtId="0" fontId="1" fillId="43" borderId="31" xfId="77" applyNumberFormat="1" applyFont="1" applyFill="1" applyBorder="1" applyAlignment="1"/>
    <xf numFmtId="0" fontId="46" fillId="46" borderId="31" xfId="77" applyNumberFormat="1" applyFont="1" applyFill="1" applyBorder="1" applyAlignment="1"/>
    <xf numFmtId="0" fontId="1" fillId="46" borderId="31" xfId="77" applyNumberFormat="1" applyFont="1" applyFill="1" applyBorder="1" applyAlignment="1"/>
    <xf numFmtId="0" fontId="46" fillId="43" borderId="31" xfId="77" applyNumberFormat="1" applyFont="1" applyFill="1" applyBorder="1" applyAlignment="1"/>
    <xf numFmtId="0" fontId="31" fillId="43" borderId="31" xfId="77" applyNumberFormat="1" applyFont="1" applyFill="1" applyBorder="1" applyAlignment="1"/>
    <xf numFmtId="0" fontId="31" fillId="46" borderId="31" xfId="77" applyNumberFormat="1" applyFont="1" applyFill="1" applyBorder="1" applyAlignment="1"/>
    <xf numFmtId="0" fontId="31" fillId="46" borderId="32" xfId="77" applyNumberFormat="1" applyFont="1" applyFill="1" applyBorder="1" applyAlignment="1"/>
    <xf numFmtId="0" fontId="46" fillId="43" borderId="10" xfId="77" applyNumberFormat="1" applyFont="1" applyFill="1" applyBorder="1" applyAlignment="1"/>
    <xf numFmtId="0" fontId="1" fillId="43" borderId="0" xfId="77" applyNumberFormat="1" applyFont="1" applyFill="1" applyBorder="1" applyAlignment="1"/>
    <xf numFmtId="0" fontId="46" fillId="46" borderId="0" xfId="77" applyNumberFormat="1" applyFont="1" applyFill="1" applyBorder="1" applyAlignment="1"/>
    <xf numFmtId="0" fontId="1" fillId="46" borderId="0" xfId="77" applyNumberFormat="1" applyFont="1" applyFill="1" applyBorder="1" applyAlignment="1"/>
    <xf numFmtId="0" fontId="46" fillId="43" borderId="0" xfId="77" applyNumberFormat="1" applyFont="1" applyFill="1" applyBorder="1" applyAlignment="1"/>
    <xf numFmtId="0" fontId="31" fillId="43" borderId="0" xfId="77" applyNumberFormat="1" applyFont="1" applyFill="1" applyBorder="1" applyAlignment="1"/>
    <xf numFmtId="0" fontId="31" fillId="46" borderId="0" xfId="77" applyNumberFormat="1" applyFont="1" applyFill="1" applyBorder="1" applyAlignment="1"/>
    <xf numFmtId="0" fontId="31" fillId="46" borderId="33" xfId="77" applyNumberFormat="1" applyFont="1" applyFill="1" applyBorder="1" applyAlignment="1"/>
    <xf numFmtId="166" fontId="1" fillId="43" borderId="10" xfId="77" applyNumberFormat="1" applyFont="1" applyFill="1" applyBorder="1" applyAlignment="1"/>
    <xf numFmtId="166" fontId="1" fillId="43" borderId="0" xfId="77" applyNumberFormat="1" applyFont="1" applyFill="1" applyBorder="1" applyAlignment="1">
      <alignment horizontal="center"/>
    </xf>
    <xf numFmtId="166" fontId="1" fillId="46" borderId="0" xfId="77" applyNumberFormat="1" applyFont="1" applyFill="1" applyBorder="1" applyAlignment="1">
      <alignment horizontal="center"/>
    </xf>
    <xf numFmtId="166" fontId="31" fillId="46" borderId="0" xfId="77" applyNumberFormat="1" applyFont="1" applyFill="1" applyBorder="1" applyAlignment="1">
      <alignment horizontal="center"/>
    </xf>
    <xf numFmtId="166" fontId="31" fillId="46" borderId="33" xfId="77" applyNumberFormat="1" applyFont="1" applyFill="1" applyBorder="1" applyAlignment="1">
      <alignment horizontal="center"/>
    </xf>
    <xf numFmtId="166" fontId="16" fillId="43" borderId="10" xfId="77" applyNumberFormat="1" applyFont="1" applyFill="1" applyBorder="1" applyAlignment="1">
      <alignment horizontal="left"/>
    </xf>
    <xf numFmtId="166" fontId="31" fillId="43" borderId="0" xfId="82" applyNumberFormat="1" applyFont="1" applyFill="1" applyBorder="1" applyAlignment="1">
      <alignment horizontal="center"/>
    </xf>
    <xf numFmtId="166" fontId="31" fillId="46" borderId="0" xfId="82" applyNumberFormat="1" applyFont="1" applyFill="1" applyBorder="1" applyAlignment="1">
      <alignment horizontal="center"/>
    </xf>
    <xf numFmtId="166" fontId="30" fillId="43" borderId="10" xfId="77" applyNumberFormat="1" applyFont="1" applyFill="1" applyBorder="1" applyAlignment="1">
      <alignment wrapText="1"/>
    </xf>
    <xf numFmtId="166" fontId="30" fillId="43" borderId="0" xfId="77" applyNumberFormat="1" applyFont="1" applyFill="1" applyBorder="1" applyAlignment="1">
      <alignment horizontal="center"/>
    </xf>
    <xf numFmtId="166" fontId="30" fillId="43" borderId="0" xfId="77" applyNumberFormat="1" applyFont="1" applyFill="1" applyBorder="1" applyAlignment="1"/>
    <xf numFmtId="166" fontId="1" fillId="43" borderId="0" xfId="77" applyNumberFormat="1" applyFont="1" applyFill="1" applyBorder="1" applyAlignment="1"/>
    <xf numFmtId="166" fontId="30" fillId="46" borderId="0" xfId="77" applyNumberFormat="1" applyFont="1" applyFill="1" applyBorder="1" applyAlignment="1">
      <alignment wrapText="1"/>
    </xf>
    <xf numFmtId="166" fontId="30" fillId="46" borderId="0" xfId="77" applyNumberFormat="1" applyFont="1" applyFill="1" applyBorder="1" applyAlignment="1">
      <alignment horizontal="center"/>
    </xf>
    <xf numFmtId="166" fontId="30" fillId="46" borderId="0" xfId="77" applyNumberFormat="1" applyFont="1" applyFill="1" applyBorder="1" applyAlignment="1"/>
    <xf numFmtId="166" fontId="30" fillId="43" borderId="0" xfId="77" applyNumberFormat="1" applyFont="1" applyFill="1" applyBorder="1" applyAlignment="1">
      <alignment wrapText="1"/>
    </xf>
    <xf numFmtId="166" fontId="31" fillId="43" borderId="0" xfId="77" applyNumberFormat="1" applyFont="1" applyFill="1" applyBorder="1" applyAlignment="1"/>
    <xf numFmtId="166" fontId="30" fillId="46" borderId="33" xfId="77" applyNumberFormat="1" applyFont="1" applyFill="1" applyBorder="1" applyAlignment="1"/>
    <xf numFmtId="0" fontId="1" fillId="43" borderId="10" xfId="77" applyNumberFormat="1" applyFont="1" applyFill="1" applyBorder="1" applyAlignment="1">
      <alignment horizontal="left"/>
    </xf>
    <xf numFmtId="166" fontId="1" fillId="46" borderId="0" xfId="77" applyNumberFormat="1" applyFont="1" applyFill="1" applyBorder="1" applyAlignment="1">
      <alignment horizontal="left"/>
    </xf>
    <xf numFmtId="0" fontId="1" fillId="43" borderId="0" xfId="77" applyNumberFormat="1" applyFont="1" applyFill="1" applyBorder="1" applyAlignment="1">
      <alignment horizontal="left"/>
    </xf>
    <xf numFmtId="166" fontId="31" fillId="46" borderId="0" xfId="77" applyNumberFormat="1" applyFont="1" applyFill="1" applyBorder="1" applyAlignment="1">
      <alignment horizontal="left"/>
    </xf>
    <xf numFmtId="0" fontId="31" fillId="43" borderId="10" xfId="77" applyNumberFormat="1" applyFont="1" applyFill="1" applyBorder="1" applyAlignment="1">
      <alignment horizontal="left"/>
    </xf>
    <xf numFmtId="0" fontId="31" fillId="43" borderId="0" xfId="77" applyNumberFormat="1" applyFont="1" applyFill="1" applyBorder="1" applyAlignment="1">
      <alignment horizontal="left"/>
    </xf>
    <xf numFmtId="10" fontId="1" fillId="43" borderId="0" xfId="77" applyNumberFormat="1" applyFont="1" applyFill="1" applyBorder="1" applyAlignment="1"/>
    <xf numFmtId="10" fontId="1" fillId="46" borderId="0" xfId="77" applyNumberFormat="1" applyFont="1" applyFill="1" applyBorder="1" applyAlignment="1">
      <alignment horizontal="left"/>
    </xf>
    <xf numFmtId="10" fontId="1" fillId="46" borderId="0" xfId="77" applyNumberFormat="1" applyFont="1" applyFill="1" applyBorder="1" applyAlignment="1">
      <alignment horizontal="center"/>
    </xf>
    <xf numFmtId="10" fontId="1" fillId="43" borderId="0" xfId="77" applyNumberFormat="1" applyFont="1" applyFill="1" applyBorder="1" applyAlignment="1">
      <alignment horizontal="left"/>
    </xf>
    <xf numFmtId="10" fontId="1" fillId="43" borderId="0" xfId="77" applyNumberFormat="1" applyFont="1" applyFill="1" applyBorder="1" applyAlignment="1">
      <alignment horizontal="center"/>
    </xf>
    <xf numFmtId="10" fontId="31" fillId="43" borderId="0" xfId="77" applyNumberFormat="1" applyFont="1" applyFill="1" applyBorder="1" applyAlignment="1"/>
    <xf numFmtId="10" fontId="31" fillId="43" borderId="0" xfId="77" applyNumberFormat="1" applyFont="1" applyFill="1" applyBorder="1" applyAlignment="1">
      <alignment horizontal="left"/>
    </xf>
    <xf numFmtId="10" fontId="31" fillId="43" borderId="0" xfId="77" applyNumberFormat="1" applyFont="1" applyFill="1" applyBorder="1" applyAlignment="1">
      <alignment horizontal="center"/>
    </xf>
    <xf numFmtId="10" fontId="31" fillId="46" borderId="0" xfId="77" applyNumberFormat="1" applyFont="1" applyFill="1" applyBorder="1" applyAlignment="1">
      <alignment horizontal="left"/>
    </xf>
    <xf numFmtId="10" fontId="31" fillId="46" borderId="0" xfId="77" applyNumberFormat="1" applyFont="1" applyFill="1" applyBorder="1" applyAlignment="1">
      <alignment horizontal="center"/>
    </xf>
    <xf numFmtId="10" fontId="31" fillId="43" borderId="33" xfId="77" applyNumberFormat="1" applyFont="1" applyFill="1" applyBorder="1" applyAlignment="1">
      <alignment horizontal="center"/>
    </xf>
    <xf numFmtId="10" fontId="46" fillId="46" borderId="0" xfId="77" applyNumberFormat="1" applyFont="1" applyFill="1" applyBorder="1" applyAlignment="1"/>
    <xf numFmtId="10" fontId="1" fillId="46" borderId="0" xfId="77" applyNumberFormat="1" applyFont="1" applyFill="1" applyBorder="1" applyAlignment="1"/>
    <xf numFmtId="10" fontId="46" fillId="43" borderId="0" xfId="77" applyNumberFormat="1" applyFont="1" applyFill="1" applyBorder="1" applyAlignment="1"/>
    <xf numFmtId="10" fontId="31" fillId="46" borderId="0" xfId="77" applyNumberFormat="1" applyFont="1" applyFill="1" applyBorder="1" applyAlignment="1"/>
    <xf numFmtId="0" fontId="1" fillId="43" borderId="10" xfId="77" applyNumberFormat="1" applyFont="1" applyFill="1" applyBorder="1" applyAlignment="1"/>
    <xf numFmtId="0" fontId="16" fillId="43" borderId="10" xfId="77" applyNumberFormat="1" applyFont="1" applyFill="1" applyBorder="1" applyAlignment="1">
      <alignment horizontal="left"/>
    </xf>
    <xf numFmtId="10" fontId="31" fillId="46" borderId="0" xfId="82" applyNumberFormat="1" applyFont="1" applyFill="1" applyBorder="1" applyAlignment="1">
      <alignment horizontal="center"/>
    </xf>
    <xf numFmtId="10" fontId="31" fillId="43" borderId="0" xfId="82" applyNumberFormat="1" applyFont="1" applyFill="1" applyBorder="1" applyAlignment="1">
      <alignment horizontal="center"/>
    </xf>
    <xf numFmtId="0" fontId="30" fillId="43" borderId="10" xfId="77" applyNumberFormat="1" applyFont="1" applyFill="1" applyBorder="1" applyAlignment="1">
      <alignment wrapText="1"/>
    </xf>
    <xf numFmtId="0" fontId="30" fillId="46" borderId="0" xfId="77" applyNumberFormat="1" applyFont="1" applyFill="1" applyBorder="1" applyAlignment="1">
      <alignment wrapText="1"/>
    </xf>
    <xf numFmtId="0" fontId="30" fillId="46" borderId="0" xfId="77" applyNumberFormat="1" applyFont="1" applyFill="1" applyBorder="1" applyAlignment="1">
      <alignment horizontal="center"/>
    </xf>
    <xf numFmtId="0" fontId="30" fillId="46" borderId="0" xfId="77" applyNumberFormat="1" applyFont="1" applyFill="1" applyBorder="1" applyAlignment="1"/>
    <xf numFmtId="0" fontId="30" fillId="43" borderId="0" xfId="77" applyNumberFormat="1" applyFont="1" applyFill="1" applyBorder="1" applyAlignment="1">
      <alignment wrapText="1"/>
    </xf>
    <xf numFmtId="0" fontId="30" fillId="43" borderId="0" xfId="77" applyNumberFormat="1" applyFont="1" applyFill="1" applyBorder="1" applyAlignment="1">
      <alignment horizontal="center"/>
    </xf>
    <xf numFmtId="0" fontId="30" fillId="43" borderId="0" xfId="77" applyNumberFormat="1" applyFont="1" applyFill="1" applyBorder="1" applyAlignment="1"/>
    <xf numFmtId="166" fontId="31" fillId="43" borderId="33" xfId="77" applyNumberFormat="1" applyFont="1" applyFill="1" applyBorder="1" applyAlignment="1">
      <alignment horizontal="center"/>
    </xf>
    <xf numFmtId="0" fontId="1" fillId="46" borderId="0" xfId="77" applyNumberFormat="1" applyFont="1" applyFill="1" applyBorder="1" applyAlignment="1">
      <alignment horizontal="left"/>
    </xf>
    <xf numFmtId="0" fontId="31" fillId="46" borderId="0" xfId="77" applyNumberFormat="1" applyFont="1" applyFill="1" applyBorder="1" applyAlignment="1">
      <alignment horizontal="left"/>
    </xf>
    <xf numFmtId="0" fontId="31" fillId="43" borderId="0" xfId="77" applyFont="1" applyFill="1"/>
    <xf numFmtId="0" fontId="31" fillId="42" borderId="0" xfId="77" applyFont="1" applyFill="1"/>
    <xf numFmtId="0" fontId="1" fillId="43" borderId="34" xfId="77" applyNumberFormat="1" applyFont="1" applyFill="1" applyBorder="1" applyAlignment="1">
      <alignment horizontal="left"/>
    </xf>
    <xf numFmtId="166" fontId="1" fillId="43" borderId="35" xfId="77" applyNumberFormat="1" applyFont="1" applyFill="1" applyBorder="1" applyAlignment="1">
      <alignment horizontal="center"/>
    </xf>
    <xf numFmtId="0" fontId="1" fillId="43" borderId="35" xfId="77" applyNumberFormat="1" applyFont="1" applyFill="1" applyBorder="1" applyAlignment="1"/>
    <xf numFmtId="0" fontId="1" fillId="46" borderId="35" xfId="77" applyNumberFormat="1" applyFont="1" applyFill="1" applyBorder="1" applyAlignment="1">
      <alignment horizontal="left"/>
    </xf>
    <xf numFmtId="166" fontId="1" fillId="46" borderId="35" xfId="77" applyNumberFormat="1" applyFont="1" applyFill="1" applyBorder="1" applyAlignment="1">
      <alignment horizontal="center"/>
    </xf>
    <xf numFmtId="0" fontId="1" fillId="43" borderId="35" xfId="77" applyNumberFormat="1" applyFont="1" applyFill="1" applyBorder="1" applyAlignment="1">
      <alignment horizontal="left"/>
    </xf>
    <xf numFmtId="0" fontId="31" fillId="43" borderId="35" xfId="77" applyNumberFormat="1" applyFont="1" applyFill="1" applyBorder="1" applyAlignment="1"/>
    <xf numFmtId="0" fontId="31" fillId="46" borderId="35" xfId="77" applyNumberFormat="1" applyFont="1" applyFill="1" applyBorder="1" applyAlignment="1">
      <alignment horizontal="left"/>
    </xf>
    <xf numFmtId="166" fontId="31" fillId="46" borderId="35" xfId="77" applyNumberFormat="1" applyFont="1" applyFill="1" applyBorder="1" applyAlignment="1">
      <alignment horizontal="center"/>
    </xf>
    <xf numFmtId="0" fontId="31" fillId="43" borderId="35" xfId="77" applyNumberFormat="1" applyFont="1" applyFill="1" applyBorder="1" applyAlignment="1">
      <alignment horizontal="left"/>
    </xf>
    <xf numFmtId="166" fontId="31" fillId="43" borderId="35" xfId="77" applyNumberFormat="1" applyFont="1" applyFill="1" applyBorder="1" applyAlignment="1">
      <alignment horizontal="center"/>
    </xf>
    <xf numFmtId="166" fontId="31" fillId="43" borderId="36" xfId="77" applyNumberFormat="1" applyFont="1" applyFill="1" applyBorder="1" applyAlignment="1">
      <alignment horizontal="center"/>
    </xf>
    <xf numFmtId="3" fontId="44" fillId="42" borderId="0" xfId="77" applyNumberFormat="1" applyFont="1" applyFill="1" applyBorder="1"/>
    <xf numFmtId="0" fontId="44" fillId="42" borderId="35" xfId="77" applyFont="1" applyFill="1" applyBorder="1"/>
    <xf numFmtId="0" fontId="1" fillId="42" borderId="30" xfId="77" applyFont="1" applyFill="1" applyBorder="1" applyAlignment="1">
      <alignment wrapText="1"/>
    </xf>
    <xf numFmtId="0" fontId="1" fillId="42" borderId="31" xfId="77" applyFont="1" applyFill="1" applyBorder="1" applyAlignment="1">
      <alignment wrapText="1"/>
    </xf>
    <xf numFmtId="0" fontId="30" fillId="43" borderId="0" xfId="77" applyFont="1" applyFill="1" applyBorder="1" applyAlignment="1">
      <alignment horizontal="center" wrapText="1"/>
    </xf>
    <xf numFmtId="0" fontId="30" fillId="42" borderId="10" xfId="77" applyFont="1" applyFill="1" applyBorder="1" applyAlignment="1">
      <alignment wrapText="1"/>
    </xf>
    <xf numFmtId="0" fontId="1" fillId="42" borderId="0" xfId="77" applyFont="1" applyFill="1" applyBorder="1" applyAlignment="1">
      <alignment wrapText="1"/>
    </xf>
    <xf numFmtId="0" fontId="30" fillId="42" borderId="31" xfId="77" applyFont="1" applyFill="1" applyBorder="1" applyAlignment="1">
      <alignment horizontal="right" wrapText="1"/>
    </xf>
    <xf numFmtId="0" fontId="30" fillId="42" borderId="32" xfId="77" applyFont="1" applyFill="1" applyBorder="1" applyAlignment="1">
      <alignment horizontal="right" wrapText="1"/>
    </xf>
    <xf numFmtId="0" fontId="1" fillId="46" borderId="0" xfId="77" applyFont="1" applyFill="1" applyBorder="1" applyAlignment="1">
      <alignment horizontal="right" wrapText="1"/>
    </xf>
    <xf numFmtId="0" fontId="30" fillId="46" borderId="31" xfId="77" applyFont="1" applyFill="1" applyBorder="1" applyAlignment="1">
      <alignment horizontal="right" wrapText="1"/>
    </xf>
    <xf numFmtId="0" fontId="30" fillId="46" borderId="32" xfId="77" applyFont="1" applyFill="1" applyBorder="1" applyAlignment="1">
      <alignment horizontal="right" wrapText="1"/>
    </xf>
    <xf numFmtId="0" fontId="30" fillId="43" borderId="0" xfId="77" applyFont="1" applyFill="1" applyBorder="1" applyAlignment="1">
      <alignment horizontal="right" wrapText="1"/>
    </xf>
    <xf numFmtId="2" fontId="1" fillId="46" borderId="0" xfId="77" applyNumberFormat="1" applyFont="1" applyFill="1" applyBorder="1"/>
    <xf numFmtId="2" fontId="1" fillId="46" borderId="33" xfId="77" applyNumberFormat="1" applyFont="1" applyFill="1" applyBorder="1"/>
    <xf numFmtId="2" fontId="1" fillId="43" borderId="0" xfId="77" applyNumberFormat="1" applyFont="1" applyFill="1" applyBorder="1"/>
    <xf numFmtId="0" fontId="30" fillId="42" borderId="30" xfId="77" applyFont="1" applyFill="1" applyBorder="1"/>
    <xf numFmtId="3" fontId="1" fillId="42" borderId="31" xfId="77" applyNumberFormat="1" applyFont="1" applyFill="1" applyBorder="1"/>
    <xf numFmtId="0" fontId="1" fillId="42" borderId="30" xfId="77" applyFont="1" applyFill="1" applyBorder="1"/>
    <xf numFmtId="2" fontId="30" fillId="43" borderId="31" xfId="77" applyNumberFormat="1" applyFont="1" applyFill="1" applyBorder="1"/>
    <xf numFmtId="2" fontId="30" fillId="42" borderId="32" xfId="77" applyNumberFormat="1" applyFont="1" applyFill="1" applyBorder="1"/>
    <xf numFmtId="2" fontId="1" fillId="46" borderId="31" xfId="77" applyNumberFormat="1" applyFont="1" applyFill="1" applyBorder="1"/>
    <xf numFmtId="2" fontId="1" fillId="46" borderId="32" xfId="77" applyNumberFormat="1" applyFont="1" applyFill="1" applyBorder="1"/>
    <xf numFmtId="0" fontId="31" fillId="42" borderId="10" xfId="77" applyFont="1" applyFill="1" applyBorder="1"/>
    <xf numFmtId="2" fontId="31" fillId="43" borderId="0" xfId="77" applyNumberFormat="1" applyFont="1" applyFill="1" applyBorder="1" applyAlignment="1">
      <alignment wrapText="1"/>
    </xf>
    <xf numFmtId="2" fontId="31" fillId="46" borderId="0" xfId="77" applyNumberFormat="1" applyFont="1" applyFill="1" applyBorder="1" applyAlignment="1">
      <alignment wrapText="1"/>
    </xf>
    <xf numFmtId="2" fontId="31" fillId="46" borderId="33" xfId="77" applyNumberFormat="1" applyFont="1" applyFill="1" applyBorder="1" applyAlignment="1"/>
    <xf numFmtId="0" fontId="31" fillId="42" borderId="10" xfId="77" applyFont="1" applyFill="1" applyBorder="1" applyAlignment="1">
      <alignment horizontal="right"/>
    </xf>
    <xf numFmtId="1" fontId="1" fillId="46" borderId="33" xfId="77" applyNumberFormat="1" applyFont="1" applyFill="1" applyBorder="1"/>
    <xf numFmtId="0" fontId="1" fillId="42" borderId="10" xfId="77" applyFont="1" applyFill="1" applyBorder="1" applyAlignment="1">
      <alignment horizontal="right"/>
    </xf>
    <xf numFmtId="169" fontId="1" fillId="43" borderId="0" xfId="77" applyNumberFormat="1" applyFont="1" applyFill="1" applyBorder="1"/>
    <xf numFmtId="1" fontId="1" fillId="43" borderId="35" xfId="77" applyNumberFormat="1" applyFont="1" applyFill="1" applyBorder="1"/>
    <xf numFmtId="2" fontId="1" fillId="46" borderId="35" xfId="77" applyNumberFormat="1" applyFont="1" applyFill="1" applyBorder="1"/>
    <xf numFmtId="2" fontId="1" fillId="46" borderId="36" xfId="77" applyNumberFormat="1" applyFont="1" applyFill="1" applyBorder="1"/>
    <xf numFmtId="0" fontId="30" fillId="42" borderId="10" xfId="77" applyFont="1" applyFill="1" applyBorder="1"/>
    <xf numFmtId="2" fontId="30" fillId="43" borderId="0" xfId="77" applyNumberFormat="1" applyFont="1" applyFill="1" applyBorder="1"/>
    <xf numFmtId="2" fontId="30" fillId="42" borderId="33" xfId="77" applyNumberFormat="1" applyFont="1" applyFill="1" applyBorder="1"/>
    <xf numFmtId="2" fontId="30" fillId="46" borderId="0" xfId="77" applyNumberFormat="1" applyFont="1" applyFill="1" applyBorder="1"/>
    <xf numFmtId="2" fontId="30" fillId="46" borderId="33" xfId="77" applyNumberFormat="1" applyFont="1" applyFill="1" applyBorder="1"/>
    <xf numFmtId="0" fontId="1" fillId="46" borderId="0" xfId="77" applyFont="1" applyFill="1" applyBorder="1"/>
    <xf numFmtId="0" fontId="1" fillId="46" borderId="33" xfId="77" applyFont="1" applyFill="1" applyBorder="1"/>
    <xf numFmtId="0" fontId="1" fillId="46" borderId="0" xfId="77" applyFont="1" applyFill="1" applyBorder="1" applyAlignment="1">
      <alignment horizontal="right"/>
    </xf>
    <xf numFmtId="169" fontId="1" fillId="46" borderId="0" xfId="77" applyNumberFormat="1" applyFont="1" applyFill="1" applyBorder="1"/>
    <xf numFmtId="169" fontId="1" fillId="46" borderId="33" xfId="77" applyNumberFormat="1" applyFont="1" applyFill="1" applyBorder="1"/>
    <xf numFmtId="0" fontId="1" fillId="42" borderId="34" xfId="77" applyFont="1" applyFill="1" applyBorder="1" applyAlignment="1">
      <alignment horizontal="right"/>
    </xf>
    <xf numFmtId="0" fontId="1" fillId="46" borderId="35" xfId="77" applyFont="1" applyFill="1" applyBorder="1" applyAlignment="1">
      <alignment horizontal="right"/>
    </xf>
    <xf numFmtId="1" fontId="1" fillId="46" borderId="35" xfId="77" applyNumberFormat="1" applyFont="1" applyFill="1" applyBorder="1"/>
    <xf numFmtId="1" fontId="1" fillId="46" borderId="36" xfId="77" applyNumberFormat="1" applyFont="1" applyFill="1" applyBorder="1"/>
    <xf numFmtId="0" fontId="16" fillId="43" borderId="14" xfId="77" applyFont="1" applyFill="1" applyBorder="1" applyAlignment="1"/>
    <xf numFmtId="0" fontId="16" fillId="43" borderId="0" xfId="77" applyFont="1" applyFill="1" applyAlignment="1"/>
    <xf numFmtId="0" fontId="16" fillId="55" borderId="58" xfId="77" applyFont="1" applyFill="1" applyBorder="1"/>
    <xf numFmtId="0" fontId="16" fillId="55" borderId="59" xfId="77" applyFont="1" applyFill="1" applyBorder="1"/>
    <xf numFmtId="0" fontId="16" fillId="55" borderId="60" xfId="77" applyFont="1" applyFill="1" applyBorder="1"/>
    <xf numFmtId="0" fontId="16" fillId="55" borderId="0" xfId="77" applyFont="1" applyFill="1" applyBorder="1"/>
    <xf numFmtId="0" fontId="16" fillId="55" borderId="0" xfId="77" applyFont="1" applyFill="1" applyBorder="1" applyAlignment="1">
      <alignment horizontal="right"/>
    </xf>
    <xf numFmtId="169" fontId="1" fillId="43" borderId="14" xfId="77" applyNumberFormat="1" applyFill="1" applyBorder="1"/>
    <xf numFmtId="0" fontId="16" fillId="55" borderId="15" xfId="77" applyFont="1" applyFill="1" applyBorder="1"/>
    <xf numFmtId="0" fontId="16" fillId="55" borderId="16" xfId="77" applyFont="1" applyFill="1" applyBorder="1"/>
    <xf numFmtId="0" fontId="16" fillId="55" borderId="16" xfId="77" applyFont="1" applyFill="1" applyBorder="1" applyAlignment="1">
      <alignment horizontal="right"/>
    </xf>
    <xf numFmtId="0" fontId="1" fillId="43" borderId="34" xfId="77" applyFill="1" applyBorder="1"/>
    <xf numFmtId="0" fontId="1" fillId="43" borderId="35" xfId="77" applyFill="1" applyBorder="1" applyAlignment="1">
      <alignment horizontal="right"/>
    </xf>
    <xf numFmtId="169" fontId="1" fillId="43" borderId="10" xfId="77" applyNumberFormat="1" applyFill="1" applyBorder="1"/>
    <xf numFmtId="169" fontId="1" fillId="43" borderId="33" xfId="77" applyNumberFormat="1" applyFill="1" applyBorder="1"/>
    <xf numFmtId="169" fontId="1" fillId="43" borderId="52" xfId="77" applyNumberFormat="1" applyFill="1" applyBorder="1"/>
    <xf numFmtId="169" fontId="1" fillId="43" borderId="41" xfId="77" applyNumberFormat="1" applyFill="1" applyBorder="1"/>
    <xf numFmtId="0" fontId="1" fillId="47" borderId="61" xfId="77" applyFill="1" applyBorder="1"/>
    <xf numFmtId="0" fontId="1" fillId="47" borderId="12" xfId="77" applyFill="1" applyBorder="1"/>
    <xf numFmtId="0" fontId="1" fillId="47" borderId="62" xfId="77" applyFill="1" applyBorder="1"/>
    <xf numFmtId="9" fontId="1" fillId="47" borderId="12" xfId="77" applyNumberFormat="1" applyFill="1" applyBorder="1"/>
    <xf numFmtId="9" fontId="1" fillId="47" borderId="62" xfId="77" applyNumberFormat="1" applyFill="1" applyBorder="1"/>
    <xf numFmtId="0" fontId="1" fillId="47" borderId="63" xfId="77" applyFill="1" applyBorder="1"/>
    <xf numFmtId="9" fontId="1" fillId="47" borderId="64" xfId="77" applyNumberFormat="1" applyFill="1" applyBorder="1"/>
    <xf numFmtId="9" fontId="1" fillId="47" borderId="65" xfId="77" applyNumberFormat="1" applyFill="1" applyBorder="1"/>
    <xf numFmtId="0" fontId="1" fillId="41" borderId="0" xfId="77" applyFill="1"/>
    <xf numFmtId="0" fontId="28" fillId="41" borderId="0" xfId="77" applyFont="1" applyFill="1"/>
    <xf numFmtId="0" fontId="16" fillId="47" borderId="16" xfId="77" applyFont="1" applyFill="1" applyBorder="1"/>
    <xf numFmtId="167" fontId="1" fillId="43" borderId="20" xfId="77" applyNumberFormat="1" applyFill="1" applyBorder="1"/>
    <xf numFmtId="2" fontId="1" fillId="47" borderId="0" xfId="77" applyNumberFormat="1" applyFill="1" applyBorder="1"/>
    <xf numFmtId="0" fontId="1" fillId="47" borderId="0" xfId="77" applyFill="1" applyBorder="1" applyAlignment="1">
      <alignment horizontal="left"/>
    </xf>
    <xf numFmtId="0" fontId="30" fillId="43" borderId="0" xfId="77" applyFont="1" applyFill="1" applyBorder="1" applyAlignment="1">
      <alignment horizontal="left"/>
    </xf>
    <xf numFmtId="0" fontId="31" fillId="43" borderId="15" xfId="77" applyNumberFormat="1" applyFont="1" applyFill="1" applyBorder="1" applyAlignment="1">
      <alignment wrapText="1"/>
    </xf>
    <xf numFmtId="0" fontId="31" fillId="43" borderId="16" xfId="77" applyNumberFormat="1" applyFont="1" applyFill="1" applyBorder="1" applyAlignment="1">
      <alignment wrapText="1"/>
    </xf>
    <xf numFmtId="0" fontId="31" fillId="43" borderId="17" xfId="77" applyNumberFormat="1" applyFont="1" applyFill="1" applyBorder="1" applyAlignment="1">
      <alignment wrapText="1"/>
    </xf>
    <xf numFmtId="169" fontId="31" fillId="43" borderId="18" xfId="77" applyNumberFormat="1" applyFont="1" applyFill="1" applyBorder="1" applyAlignment="1">
      <alignment horizontal="left" wrapText="1"/>
    </xf>
    <xf numFmtId="2" fontId="31" fillId="43" borderId="0" xfId="77" applyNumberFormat="1" applyFont="1" applyFill="1" applyBorder="1" applyAlignment="1">
      <alignment horizontal="right" wrapText="1"/>
    </xf>
    <xf numFmtId="2" fontId="31" fillId="43" borderId="20" xfId="77" applyNumberFormat="1" applyFont="1" applyFill="1" applyBorder="1" applyAlignment="1">
      <alignment horizontal="right" wrapText="1"/>
    </xf>
    <xf numFmtId="4" fontId="1" fillId="43" borderId="0" xfId="77" applyNumberFormat="1" applyFont="1" applyFill="1" applyBorder="1" applyAlignment="1"/>
    <xf numFmtId="169" fontId="1" fillId="43" borderId="0" xfId="77" applyNumberFormat="1" applyFont="1" applyFill="1" applyBorder="1" applyAlignment="1"/>
    <xf numFmtId="169" fontId="31" fillId="43" borderId="18" xfId="77" applyNumberFormat="1" applyFont="1" applyFill="1" applyBorder="1" applyAlignment="1">
      <alignment horizontal="left"/>
    </xf>
    <xf numFmtId="169" fontId="31" fillId="43" borderId="21" xfId="77" applyNumberFormat="1" applyFont="1" applyFill="1" applyBorder="1" applyAlignment="1">
      <alignment horizontal="left" wrapText="1"/>
    </xf>
    <xf numFmtId="2" fontId="31" fillId="43" borderId="14" xfId="77" applyNumberFormat="1" applyFont="1" applyFill="1" applyBorder="1" applyAlignment="1">
      <alignment horizontal="right" wrapText="1"/>
    </xf>
    <xf numFmtId="2" fontId="31" fillId="43" borderId="22" xfId="77" applyNumberFormat="1" applyFont="1" applyFill="1" applyBorder="1" applyAlignment="1">
      <alignment horizontal="right" wrapText="1"/>
    </xf>
    <xf numFmtId="0" fontId="31" fillId="43" borderId="0" xfId="77" applyNumberFormat="1" applyFont="1" applyFill="1" applyBorder="1" applyAlignment="1">
      <alignment wrapText="1"/>
    </xf>
    <xf numFmtId="4" fontId="31" fillId="43" borderId="0" xfId="77" applyNumberFormat="1" applyFont="1" applyFill="1" applyBorder="1" applyAlignment="1">
      <alignment horizontal="right" wrapText="1"/>
    </xf>
    <xf numFmtId="169" fontId="31" fillId="43" borderId="0" xfId="77" applyNumberFormat="1" applyFont="1" applyFill="1" applyBorder="1" applyAlignment="1">
      <alignment horizontal="right" wrapText="1"/>
    </xf>
    <xf numFmtId="0" fontId="30" fillId="43" borderId="0" xfId="77" applyNumberFormat="1" applyFont="1" applyFill="1" applyBorder="1" applyAlignment="1">
      <alignment horizontal="right" wrapText="1"/>
    </xf>
    <xf numFmtId="169" fontId="30" fillId="43" borderId="0" xfId="77" applyNumberFormat="1" applyFont="1" applyFill="1" applyBorder="1" applyAlignment="1">
      <alignment horizontal="right" wrapText="1"/>
    </xf>
    <xf numFmtId="0" fontId="1" fillId="43" borderId="23" xfId="77" applyFont="1" applyFill="1" applyBorder="1" applyAlignment="1">
      <alignment wrapText="1"/>
    </xf>
    <xf numFmtId="0" fontId="1" fillId="43" borderId="25" xfId="77" applyFont="1" applyFill="1" applyBorder="1" applyAlignment="1">
      <alignment wrapText="1"/>
    </xf>
    <xf numFmtId="0" fontId="1" fillId="43" borderId="42" xfId="77" applyFont="1" applyFill="1" applyBorder="1" applyAlignment="1">
      <alignment wrapText="1"/>
    </xf>
    <xf numFmtId="0" fontId="1" fillId="43" borderId="46" xfId="77" applyFont="1" applyFill="1" applyBorder="1" applyAlignment="1">
      <alignment wrapText="1"/>
    </xf>
    <xf numFmtId="0" fontId="1" fillId="43" borderId="26" xfId="77" applyFont="1" applyFill="1" applyBorder="1" applyAlignment="1">
      <alignment wrapText="1"/>
    </xf>
    <xf numFmtId="0" fontId="1" fillId="43" borderId="18" xfId="77" applyFont="1" applyFill="1" applyBorder="1" applyAlignment="1">
      <alignment wrapText="1"/>
    </xf>
    <xf numFmtId="0" fontId="1" fillId="43" borderId="0" xfId="77" applyFont="1" applyFill="1" applyBorder="1" applyAlignment="1">
      <alignment wrapText="1"/>
    </xf>
    <xf numFmtId="0" fontId="1" fillId="43" borderId="33" xfId="77" applyFont="1" applyFill="1" applyBorder="1" applyAlignment="1">
      <alignment wrapText="1"/>
    </xf>
    <xf numFmtId="0" fontId="1" fillId="43" borderId="10" xfId="77" applyFont="1" applyFill="1" applyBorder="1" applyAlignment="1">
      <alignment wrapText="1"/>
    </xf>
    <xf numFmtId="0" fontId="1" fillId="43" borderId="20" xfId="77" applyFont="1" applyFill="1" applyBorder="1" applyAlignment="1">
      <alignment wrapText="1"/>
    </xf>
    <xf numFmtId="0" fontId="1" fillId="43" borderId="43" xfId="77" applyFont="1" applyFill="1" applyBorder="1" applyAlignment="1">
      <alignment wrapText="1"/>
    </xf>
    <xf numFmtId="0" fontId="1" fillId="43" borderId="35" xfId="77" applyFont="1" applyFill="1" applyBorder="1" applyAlignment="1">
      <alignment wrapText="1"/>
    </xf>
    <xf numFmtId="0" fontId="1" fillId="43" borderId="36" xfId="77" applyFont="1" applyFill="1" applyBorder="1" applyAlignment="1">
      <alignment wrapText="1"/>
    </xf>
    <xf numFmtId="0" fontId="1" fillId="43" borderId="34" xfId="77" applyFont="1" applyFill="1" applyBorder="1" applyAlignment="1">
      <alignment wrapText="1"/>
    </xf>
    <xf numFmtId="0" fontId="1" fillId="43" borderId="44" xfId="77" applyFont="1" applyFill="1" applyBorder="1" applyAlignment="1">
      <alignment wrapText="1"/>
    </xf>
    <xf numFmtId="0" fontId="1" fillId="43" borderId="45" xfId="77" applyFont="1" applyFill="1" applyBorder="1" applyAlignment="1">
      <alignment wrapText="1"/>
    </xf>
    <xf numFmtId="2" fontId="1" fillId="43" borderId="0" xfId="77" applyNumberFormat="1" applyFont="1" applyFill="1" applyBorder="1" applyAlignment="1">
      <alignment wrapText="1"/>
    </xf>
    <xf numFmtId="2" fontId="1" fillId="43" borderId="33" xfId="77" applyNumberFormat="1" applyFont="1" applyFill="1" applyBorder="1" applyAlignment="1">
      <alignment wrapText="1"/>
    </xf>
    <xf numFmtId="2" fontId="1" fillId="43" borderId="10" xfId="77" applyNumberFormat="1" applyFont="1" applyFill="1" applyBorder="1" applyAlignment="1">
      <alignment wrapText="1"/>
    </xf>
    <xf numFmtId="2" fontId="1" fillId="43" borderId="20" xfId="77" applyNumberFormat="1" applyFont="1" applyFill="1" applyBorder="1" applyAlignment="1">
      <alignment wrapText="1"/>
    </xf>
    <xf numFmtId="0" fontId="1" fillId="43" borderId="21" xfId="77" applyFont="1" applyFill="1" applyBorder="1" applyAlignment="1">
      <alignment wrapText="1"/>
    </xf>
    <xf numFmtId="2" fontId="1" fillId="43" borderId="14" xfId="77" applyNumberFormat="1" applyFont="1" applyFill="1" applyBorder="1" applyAlignment="1">
      <alignment wrapText="1"/>
    </xf>
    <xf numFmtId="2" fontId="1" fillId="43" borderId="41" xfId="77" applyNumberFormat="1" applyFont="1" applyFill="1" applyBorder="1" applyAlignment="1">
      <alignment wrapText="1"/>
    </xf>
    <xf numFmtId="2" fontId="1" fillId="43" borderId="52" xfId="77" applyNumberFormat="1" applyFont="1" applyFill="1" applyBorder="1" applyAlignment="1">
      <alignment wrapText="1"/>
    </xf>
    <xf numFmtId="2" fontId="1" fillId="43" borderId="22" xfId="77" applyNumberFormat="1" applyFont="1" applyFill="1" applyBorder="1" applyAlignment="1">
      <alignment wrapText="1"/>
    </xf>
    <xf numFmtId="0" fontId="1" fillId="43" borderId="0" xfId="77" applyFont="1" applyFill="1" applyAlignment="1">
      <alignment wrapText="1"/>
    </xf>
    <xf numFmtId="0" fontId="1" fillId="57" borderId="18" xfId="77" applyFill="1" applyBorder="1"/>
    <xf numFmtId="0" fontId="1" fillId="57" borderId="0" xfId="77" applyFill="1" applyBorder="1"/>
    <xf numFmtId="167" fontId="1" fillId="57" borderId="20" xfId="77" applyNumberFormat="1" applyFill="1" applyBorder="1"/>
    <xf numFmtId="0" fontId="1" fillId="35" borderId="18" xfId="77" applyFill="1" applyBorder="1"/>
    <xf numFmtId="0" fontId="1" fillId="35" borderId="0" xfId="77" applyFill="1" applyBorder="1"/>
    <xf numFmtId="167" fontId="1" fillId="35" borderId="20" xfId="77" applyNumberFormat="1" applyFill="1" applyBorder="1"/>
    <xf numFmtId="0" fontId="1" fillId="40" borderId="18" xfId="77" applyFill="1" applyBorder="1"/>
    <xf numFmtId="0" fontId="1" fillId="40" borderId="0" xfId="77" applyFill="1" applyBorder="1"/>
    <xf numFmtId="167" fontId="1" fillId="40" borderId="20" xfId="77" applyNumberFormat="1" applyFill="1" applyBorder="1"/>
    <xf numFmtId="0" fontId="1" fillId="58" borderId="18" xfId="77" applyFill="1" applyBorder="1"/>
    <xf numFmtId="0" fontId="1" fillId="58" borderId="0" xfId="77" applyFill="1" applyBorder="1"/>
    <xf numFmtId="167" fontId="1" fillId="58" borderId="20" xfId="77" applyNumberFormat="1" applyFill="1" applyBorder="1"/>
    <xf numFmtId="0" fontId="1" fillId="53" borderId="18" xfId="77" applyFill="1" applyBorder="1"/>
    <xf numFmtId="0" fontId="1" fillId="53" borderId="0" xfId="77" applyFill="1" applyBorder="1"/>
    <xf numFmtId="167" fontId="1" fillId="53" borderId="20" xfId="77" applyNumberFormat="1" applyFill="1" applyBorder="1"/>
    <xf numFmtId="0" fontId="1" fillId="59" borderId="18" xfId="77" applyFill="1" applyBorder="1"/>
    <xf numFmtId="0" fontId="1" fillId="59" borderId="0" xfId="77" applyFill="1" applyBorder="1"/>
    <xf numFmtId="167" fontId="1" fillId="59" borderId="20" xfId="77" applyNumberFormat="1" applyFill="1" applyBorder="1"/>
    <xf numFmtId="0" fontId="1" fillId="34" borderId="18" xfId="77" applyFill="1" applyBorder="1"/>
    <xf numFmtId="0" fontId="1" fillId="34" borderId="0" xfId="77" applyFill="1" applyBorder="1"/>
    <xf numFmtId="167" fontId="1" fillId="34" borderId="20" xfId="77" applyNumberFormat="1" applyFill="1" applyBorder="1"/>
    <xf numFmtId="0" fontId="1" fillId="60" borderId="18" xfId="77" applyFill="1" applyBorder="1"/>
    <xf numFmtId="0" fontId="1" fillId="60" borderId="0" xfId="77" applyFill="1" applyBorder="1"/>
    <xf numFmtId="167" fontId="1" fillId="60" borderId="20" xfId="77" applyNumberFormat="1" applyFill="1" applyBorder="1"/>
    <xf numFmtId="0" fontId="1" fillId="60" borderId="21" xfId="77" applyFill="1" applyBorder="1"/>
    <xf numFmtId="0" fontId="1" fillId="60" borderId="14" xfId="77" applyFill="1" applyBorder="1"/>
    <xf numFmtId="167" fontId="1" fillId="60" borderId="22" xfId="77" applyNumberFormat="1" applyFill="1" applyBorder="1"/>
    <xf numFmtId="0" fontId="31" fillId="50" borderId="0" xfId="77" applyFont="1" applyFill="1"/>
    <xf numFmtId="0" fontId="28" fillId="47" borderId="0" xfId="77" applyFont="1" applyFill="1"/>
    <xf numFmtId="0" fontId="47" fillId="47" borderId="23" xfId="77" applyNumberFormat="1" applyFont="1" applyFill="1" applyBorder="1"/>
    <xf numFmtId="0" fontId="1" fillId="47" borderId="66" xfId="77" applyNumberFormat="1" applyFont="1" applyFill="1" applyBorder="1"/>
    <xf numFmtId="0" fontId="1" fillId="47" borderId="67" xfId="77" applyFill="1" applyBorder="1"/>
    <xf numFmtId="0" fontId="1" fillId="47" borderId="68" xfId="77" applyNumberFormat="1" applyFill="1" applyBorder="1" applyAlignment="1">
      <alignment horizontal="left" indent="1"/>
    </xf>
    <xf numFmtId="4" fontId="1" fillId="47" borderId="0" xfId="77" applyNumberFormat="1" applyFill="1" applyBorder="1" applyAlignment="1">
      <alignment horizontal="right"/>
    </xf>
    <xf numFmtId="0" fontId="1" fillId="47" borderId="69" xfId="77" applyFill="1" applyBorder="1"/>
    <xf numFmtId="0" fontId="1" fillId="47" borderId="0" xfId="77" applyFill="1" applyBorder="1" applyAlignment="1">
      <alignment horizontal="left" indent="1"/>
    </xf>
    <xf numFmtId="0" fontId="48" fillId="47" borderId="0" xfId="77" applyFont="1" applyFill="1" applyBorder="1" applyAlignment="1">
      <alignment horizontal="center"/>
    </xf>
    <xf numFmtId="0" fontId="1" fillId="47" borderId="18" xfId="77" applyNumberFormat="1" applyFill="1" applyBorder="1" applyAlignment="1">
      <alignment horizontal="left" indent="1"/>
    </xf>
    <xf numFmtId="4" fontId="1" fillId="47" borderId="0" xfId="77" applyNumberFormat="1" applyFill="1" applyBorder="1"/>
    <xf numFmtId="0" fontId="1" fillId="47" borderId="0" xfId="77" applyFill="1" applyBorder="1" applyAlignment="1"/>
    <xf numFmtId="4" fontId="1" fillId="47" borderId="0" xfId="77" applyNumberFormat="1" applyFill="1" applyAlignment="1">
      <alignment horizontal="right"/>
    </xf>
    <xf numFmtId="4" fontId="1" fillId="47" borderId="0" xfId="77" quotePrefix="1" applyNumberFormat="1" applyFill="1" applyBorder="1" applyAlignment="1">
      <alignment horizontal="right"/>
    </xf>
    <xf numFmtId="4" fontId="1" fillId="47" borderId="31" xfId="77" applyNumberFormat="1" applyFill="1" applyBorder="1"/>
    <xf numFmtId="0" fontId="1" fillId="47" borderId="43" xfId="77" applyNumberFormat="1" applyFill="1" applyBorder="1" applyAlignment="1">
      <alignment horizontal="left" indent="1"/>
    </xf>
    <xf numFmtId="175" fontId="1" fillId="47" borderId="35" xfId="77" quotePrefix="1" applyNumberFormat="1" applyFill="1" applyBorder="1" applyAlignment="1">
      <alignment horizontal="right"/>
    </xf>
    <xf numFmtId="0" fontId="1" fillId="47" borderId="66" xfId="77" applyNumberFormat="1" applyFill="1" applyBorder="1"/>
    <xf numFmtId="175" fontId="1" fillId="47" borderId="28" xfId="77" applyNumberFormat="1" applyFill="1" applyBorder="1"/>
    <xf numFmtId="0" fontId="1" fillId="47" borderId="66" xfId="77" applyNumberFormat="1" applyFill="1" applyBorder="1" applyAlignment="1">
      <alignment horizontal="left" indent="1"/>
    </xf>
    <xf numFmtId="0" fontId="1" fillId="47" borderId="70" xfId="77" applyFill="1" applyBorder="1"/>
    <xf numFmtId="175" fontId="16" fillId="47" borderId="70" xfId="77" applyNumberFormat="1" applyFont="1" applyFill="1" applyBorder="1"/>
    <xf numFmtId="0" fontId="1" fillId="47" borderId="71" xfId="77" applyNumberFormat="1" applyFill="1" applyBorder="1"/>
    <xf numFmtId="175" fontId="16" fillId="47" borderId="72" xfId="77" applyNumberFormat="1" applyFont="1" applyFill="1" applyBorder="1"/>
    <xf numFmtId="0" fontId="16" fillId="47" borderId="25" xfId="77" applyFont="1" applyFill="1" applyBorder="1"/>
    <xf numFmtId="14" fontId="16" fillId="47" borderId="0" xfId="77" applyNumberFormat="1" applyFont="1" applyFill="1" applyBorder="1"/>
    <xf numFmtId="0" fontId="34" fillId="47" borderId="18" xfId="81" applyFill="1" applyBorder="1"/>
    <xf numFmtId="0" fontId="50" fillId="47" borderId="0" xfId="77" applyFont="1" applyFill="1" applyBorder="1" applyAlignment="1">
      <alignment wrapText="1"/>
    </xf>
    <xf numFmtId="0" fontId="50" fillId="47" borderId="20" xfId="77" applyFont="1" applyFill="1" applyBorder="1" applyAlignment="1">
      <alignment wrapText="1"/>
    </xf>
    <xf numFmtId="11" fontId="1" fillId="47" borderId="0" xfId="77" applyNumberFormat="1" applyFill="1" applyBorder="1"/>
    <xf numFmtId="11" fontId="1" fillId="47" borderId="20" xfId="77" applyNumberFormat="1" applyFill="1" applyBorder="1"/>
    <xf numFmtId="0" fontId="1" fillId="52" borderId="18" xfId="77" applyFill="1" applyBorder="1"/>
    <xf numFmtId="0" fontId="1" fillId="47" borderId="18" xfId="77" applyFill="1" applyBorder="1" applyAlignment="1">
      <alignment vertical="top"/>
    </xf>
    <xf numFmtId="0" fontId="1" fillId="47" borderId="0" xfId="77" applyFill="1" applyBorder="1" applyAlignment="1">
      <alignment vertical="top"/>
    </xf>
    <xf numFmtId="0" fontId="1" fillId="47" borderId="20" xfId="77" applyFill="1" applyBorder="1" applyAlignment="1">
      <alignment vertical="top"/>
    </xf>
    <xf numFmtId="0" fontId="1" fillId="43" borderId="0" xfId="77" applyFill="1" applyBorder="1" applyAlignment="1">
      <alignment vertical="top"/>
    </xf>
    <xf numFmtId="0" fontId="1" fillId="47" borderId="20" xfId="77" applyFill="1" applyBorder="1" applyAlignment="1"/>
    <xf numFmtId="0" fontId="34" fillId="47" borderId="0" xfId="81" applyFill="1" applyBorder="1" applyAlignment="1"/>
    <xf numFmtId="0" fontId="1" fillId="47" borderId="18" xfId="77" applyFill="1" applyBorder="1" applyAlignment="1">
      <alignment horizontal="left"/>
    </xf>
    <xf numFmtId="0" fontId="1" fillId="47" borderId="14" xfId="77" applyFill="1" applyBorder="1" applyAlignment="1">
      <alignment horizontal="center"/>
    </xf>
    <xf numFmtId="0" fontId="16" fillId="43" borderId="25" xfId="77" applyFont="1" applyFill="1" applyBorder="1" applyAlignment="1">
      <alignment horizontal="right"/>
    </xf>
    <xf numFmtId="0" fontId="31" fillId="43" borderId="0" xfId="81" applyFont="1" applyFill="1" applyBorder="1"/>
    <xf numFmtId="0" fontId="1" fillId="43" borderId="37" xfId="77" applyFill="1" applyBorder="1"/>
    <xf numFmtId="0" fontId="34" fillId="43" borderId="28" xfId="81" applyFill="1" applyBorder="1"/>
    <xf numFmtId="0" fontId="1" fillId="43" borderId="38" xfId="77" applyFill="1" applyBorder="1"/>
    <xf numFmtId="0" fontId="1" fillId="43" borderId="30" xfId="77" applyFill="1" applyBorder="1"/>
    <xf numFmtId="0" fontId="1" fillId="43" borderId="10" xfId="77" applyFill="1" applyBorder="1"/>
    <xf numFmtId="0" fontId="1" fillId="43" borderId="10" xfId="77" applyNumberFormat="1" applyFill="1" applyBorder="1"/>
    <xf numFmtId="0" fontId="1" fillId="43" borderId="30" xfId="77" applyNumberFormat="1" applyFill="1" applyBorder="1"/>
    <xf numFmtId="0" fontId="16" fillId="43" borderId="34" xfId="77" applyFont="1" applyFill="1" applyBorder="1"/>
    <xf numFmtId="175" fontId="16" fillId="43" borderId="35" xfId="77" applyNumberFormat="1" applyFont="1" applyFill="1" applyBorder="1"/>
    <xf numFmtId="175" fontId="16" fillId="43" borderId="36" xfId="77" applyNumberFormat="1" applyFont="1" applyFill="1" applyBorder="1"/>
    <xf numFmtId="0" fontId="1" fillId="43" borderId="37" xfId="77" applyFill="1" applyBorder="1" applyAlignment="1">
      <alignment wrapText="1"/>
    </xf>
    <xf numFmtId="0" fontId="1" fillId="43" borderId="28" xfId="77" applyFill="1" applyBorder="1" applyAlignment="1"/>
    <xf numFmtId="0" fontId="1" fillId="43" borderId="28" xfId="77" applyNumberFormat="1" applyFill="1" applyBorder="1"/>
    <xf numFmtId="0" fontId="1" fillId="43" borderId="10" xfId="77" applyFill="1" applyBorder="1" applyAlignment="1">
      <alignment horizontal="left" wrapText="1"/>
    </xf>
    <xf numFmtId="0" fontId="1" fillId="43" borderId="10" xfId="77" applyFill="1" applyBorder="1" applyAlignment="1">
      <alignment horizontal="left"/>
    </xf>
    <xf numFmtId="0" fontId="1" fillId="43" borderId="34" xfId="77" applyFill="1" applyBorder="1" applyAlignment="1">
      <alignment horizontal="left"/>
    </xf>
    <xf numFmtId="0" fontId="16" fillId="43" borderId="37" xfId="77" applyFont="1" applyFill="1" applyBorder="1" applyAlignment="1">
      <alignment horizontal="left"/>
    </xf>
    <xf numFmtId="0" fontId="1" fillId="43" borderId="28" xfId="77" applyFill="1" applyBorder="1" applyAlignment="1">
      <alignment horizontal="right"/>
    </xf>
    <xf numFmtId="0" fontId="16" fillId="43" borderId="10" xfId="77" applyFont="1" applyFill="1" applyBorder="1"/>
    <xf numFmtId="173" fontId="16" fillId="43" borderId="0" xfId="77" applyNumberFormat="1" applyFont="1" applyFill="1" applyBorder="1" applyAlignment="1">
      <alignment horizontal="right"/>
    </xf>
    <xf numFmtId="173" fontId="16" fillId="47" borderId="0" xfId="77" applyNumberFormat="1" applyFont="1" applyFill="1" applyBorder="1" applyAlignment="1">
      <alignment horizontal="right"/>
    </xf>
    <xf numFmtId="173" fontId="16" fillId="47" borderId="33" xfId="77" applyNumberFormat="1" applyFont="1" applyFill="1" applyBorder="1" applyAlignment="1">
      <alignment horizontal="right"/>
    </xf>
    <xf numFmtId="173" fontId="16" fillId="43" borderId="35" xfId="77" applyNumberFormat="1" applyFont="1" applyFill="1" applyBorder="1" applyAlignment="1">
      <alignment horizontal="right"/>
    </xf>
    <xf numFmtId="173" fontId="16" fillId="47" borderId="35" xfId="77" applyNumberFormat="1" applyFont="1" applyFill="1" applyBorder="1" applyAlignment="1">
      <alignment horizontal="right"/>
    </xf>
    <xf numFmtId="173" fontId="16" fillId="47" borderId="36" xfId="77" applyNumberFormat="1" applyFont="1" applyFill="1" applyBorder="1" applyAlignment="1">
      <alignment horizontal="right"/>
    </xf>
    <xf numFmtId="0" fontId="16" fillId="43" borderId="30" xfId="77" applyFont="1" applyFill="1" applyBorder="1"/>
    <xf numFmtId="173" fontId="16" fillId="33" borderId="31" xfId="77" applyNumberFormat="1" applyFont="1" applyFill="1" applyBorder="1"/>
    <xf numFmtId="0" fontId="34" fillId="43" borderId="31" xfId="81" applyFill="1" applyBorder="1"/>
    <xf numFmtId="0" fontId="34" fillId="47" borderId="0" xfId="81" applyFill="1"/>
    <xf numFmtId="0" fontId="1" fillId="47" borderId="0" xfId="77" applyNumberFormat="1" applyFill="1"/>
    <xf numFmtId="0" fontId="31" fillId="47" borderId="30" xfId="81" applyFont="1" applyFill="1" applyBorder="1"/>
    <xf numFmtId="0" fontId="31" fillId="47" borderId="31" xfId="81" applyFont="1" applyFill="1" applyBorder="1"/>
    <xf numFmtId="0" fontId="1" fillId="47" borderId="30" xfId="77" applyFill="1" applyBorder="1" applyAlignment="1">
      <alignment wrapText="1"/>
    </xf>
    <xf numFmtId="0" fontId="1" fillId="47" borderId="31" xfId="77" applyNumberFormat="1" applyFill="1" applyBorder="1" applyAlignment="1">
      <alignment horizontal="right" wrapText="1"/>
    </xf>
    <xf numFmtId="0" fontId="1" fillId="47" borderId="31" xfId="77" applyFill="1" applyBorder="1" applyAlignment="1">
      <alignment horizontal="right" wrapText="1"/>
    </xf>
    <xf numFmtId="0" fontId="1" fillId="47" borderId="32" xfId="77" applyFill="1" applyBorder="1" applyAlignment="1">
      <alignment horizontal="right" wrapText="1"/>
    </xf>
    <xf numFmtId="174" fontId="1" fillId="47" borderId="31" xfId="77" applyNumberFormat="1" applyFill="1" applyBorder="1"/>
    <xf numFmtId="169" fontId="1" fillId="47" borderId="31" xfId="77" applyNumberFormat="1" applyFill="1" applyBorder="1"/>
    <xf numFmtId="169" fontId="1" fillId="47" borderId="32" xfId="77" applyNumberFormat="1" applyFill="1" applyBorder="1"/>
    <xf numFmtId="0" fontId="31" fillId="47" borderId="10" xfId="81" applyFont="1" applyFill="1" applyBorder="1"/>
    <xf numFmtId="0" fontId="31" fillId="47" borderId="0" xfId="81" applyFont="1" applyFill="1" applyBorder="1"/>
    <xf numFmtId="0" fontId="1" fillId="47" borderId="10" xfId="77" applyFill="1" applyBorder="1" applyAlignment="1">
      <alignment wrapText="1"/>
    </xf>
    <xf numFmtId="9" fontId="0" fillId="47" borderId="0" xfId="79" applyFont="1" applyFill="1" applyBorder="1"/>
    <xf numFmtId="9" fontId="0" fillId="47" borderId="33" xfId="79" applyFont="1" applyFill="1" applyBorder="1"/>
    <xf numFmtId="0" fontId="31" fillId="47" borderId="34" xfId="81" applyFont="1" applyFill="1" applyBorder="1"/>
    <xf numFmtId="0" fontId="31" fillId="47" borderId="35" xfId="81" applyFont="1" applyFill="1" applyBorder="1"/>
    <xf numFmtId="0" fontId="1" fillId="47" borderId="34" xfId="77" applyFill="1" applyBorder="1" applyAlignment="1">
      <alignment wrapText="1"/>
    </xf>
    <xf numFmtId="177" fontId="1" fillId="47" borderId="35" xfId="77" applyNumberFormat="1" applyFill="1" applyBorder="1"/>
    <xf numFmtId="9" fontId="0" fillId="47" borderId="35" xfId="79" applyFont="1" applyFill="1" applyBorder="1"/>
    <xf numFmtId="9" fontId="0" fillId="47" borderId="36" xfId="79" applyFont="1" applyFill="1" applyBorder="1"/>
    <xf numFmtId="0" fontId="31" fillId="47" borderId="37" xfId="81" applyFont="1" applyFill="1" applyBorder="1"/>
    <xf numFmtId="0" fontId="31" fillId="47" borderId="28" xfId="81" applyFont="1" applyFill="1" applyBorder="1"/>
    <xf numFmtId="0" fontId="1" fillId="47" borderId="37" xfId="77" applyFill="1" applyBorder="1" applyAlignment="1">
      <alignment wrapText="1"/>
    </xf>
    <xf numFmtId="174" fontId="1" fillId="47" borderId="28" xfId="77" applyNumberFormat="1" applyFill="1" applyBorder="1"/>
    <xf numFmtId="169" fontId="1" fillId="47" borderId="28" xfId="77" applyNumberFormat="1" applyFill="1" applyBorder="1"/>
    <xf numFmtId="169" fontId="1" fillId="47" borderId="38" xfId="77" applyNumberFormat="1" applyFill="1" applyBorder="1"/>
    <xf numFmtId="6" fontId="1" fillId="47" borderId="32" xfId="77" applyNumberFormat="1" applyFill="1" applyBorder="1"/>
    <xf numFmtId="6" fontId="1" fillId="47" borderId="33" xfId="77" applyNumberFormat="1" applyFill="1" applyBorder="1"/>
    <xf numFmtId="0" fontId="1" fillId="47" borderId="34" xfId="77" applyFill="1" applyBorder="1"/>
    <xf numFmtId="6" fontId="1" fillId="47" borderId="36" xfId="77" applyNumberFormat="1" applyFill="1" applyBorder="1"/>
    <xf numFmtId="0" fontId="1" fillId="47" borderId="13" xfId="77" applyFill="1" applyBorder="1" applyAlignment="1">
      <alignment horizontal="right"/>
    </xf>
    <xf numFmtId="0" fontId="1" fillId="47" borderId="30" xfId="77" applyFill="1" applyBorder="1" applyAlignment="1">
      <alignment horizontal="right"/>
    </xf>
    <xf numFmtId="0" fontId="1" fillId="47" borderId="31" xfId="77" applyFill="1" applyBorder="1" applyAlignment="1">
      <alignment horizontal="right"/>
    </xf>
    <xf numFmtId="0" fontId="1" fillId="47" borderId="11" xfId="77" applyFill="1" applyBorder="1" applyAlignment="1">
      <alignment horizontal="right"/>
    </xf>
    <xf numFmtId="175" fontId="1" fillId="47" borderId="13" xfId="77" applyNumberFormat="1" applyFill="1" applyBorder="1" applyAlignment="1">
      <alignment horizontal="right"/>
    </xf>
    <xf numFmtId="175" fontId="1" fillId="47" borderId="30" xfId="77" applyNumberFormat="1" applyFill="1" applyBorder="1" applyAlignment="1">
      <alignment horizontal="right"/>
    </xf>
    <xf numFmtId="175" fontId="1" fillId="47" borderId="32" xfId="77" applyNumberFormat="1" applyFill="1" applyBorder="1" applyAlignment="1">
      <alignment horizontal="right"/>
    </xf>
    <xf numFmtId="175" fontId="1" fillId="47" borderId="31" xfId="77" applyNumberFormat="1" applyFill="1" applyBorder="1" applyAlignment="1">
      <alignment horizontal="right"/>
    </xf>
    <xf numFmtId="175" fontId="1" fillId="47" borderId="11" xfId="77" applyNumberFormat="1" applyFill="1" applyBorder="1" applyAlignment="1">
      <alignment horizontal="right"/>
    </xf>
    <xf numFmtId="175" fontId="1" fillId="47" borderId="10" xfId="77" applyNumberFormat="1" applyFill="1" applyBorder="1" applyAlignment="1">
      <alignment horizontal="right"/>
    </xf>
    <xf numFmtId="175" fontId="1" fillId="47" borderId="33" xfId="77" applyNumberFormat="1" applyFill="1" applyBorder="1" applyAlignment="1">
      <alignment horizontal="right"/>
    </xf>
    <xf numFmtId="175" fontId="1" fillId="47" borderId="39" xfId="77" applyNumberFormat="1" applyFill="1" applyBorder="1" applyAlignment="1">
      <alignment horizontal="right"/>
    </xf>
    <xf numFmtId="175" fontId="1" fillId="47" borderId="34" xfId="77" applyNumberFormat="1" applyFill="1" applyBorder="1" applyAlignment="1">
      <alignment horizontal="right"/>
    </xf>
    <xf numFmtId="175" fontId="1" fillId="47" borderId="36" xfId="77" applyNumberFormat="1" applyFill="1" applyBorder="1" applyAlignment="1">
      <alignment horizontal="right"/>
    </xf>
    <xf numFmtId="175" fontId="1" fillId="47" borderId="35" xfId="77" applyNumberFormat="1" applyFill="1" applyBorder="1" applyAlignment="1">
      <alignment horizontal="right"/>
    </xf>
    <xf numFmtId="173" fontId="1" fillId="47" borderId="30" xfId="77" applyNumberFormat="1" applyFill="1" applyBorder="1" applyAlignment="1">
      <alignment horizontal="right"/>
    </xf>
    <xf numFmtId="173" fontId="1" fillId="47" borderId="10" xfId="77" applyNumberFormat="1" applyFill="1" applyBorder="1" applyAlignment="1">
      <alignment horizontal="right"/>
    </xf>
    <xf numFmtId="49" fontId="1" fillId="43" borderId="0" xfId="77" applyNumberFormat="1" applyFill="1"/>
    <xf numFmtId="0" fontId="1" fillId="43" borderId="31" xfId="77" applyFill="1" applyBorder="1" applyAlignment="1">
      <alignment horizontal="right"/>
    </xf>
    <xf numFmtId="0" fontId="1" fillId="43" borderId="32" xfId="77" applyFill="1" applyBorder="1" applyAlignment="1">
      <alignment horizontal="right"/>
    </xf>
    <xf numFmtId="0" fontId="1" fillId="33" borderId="10" xfId="77" applyFill="1" applyBorder="1"/>
    <xf numFmtId="0" fontId="1" fillId="33" borderId="33" xfId="77" applyFill="1" applyBorder="1"/>
    <xf numFmtId="173" fontId="1" fillId="33" borderId="0" xfId="77" applyNumberFormat="1" applyFill="1" applyBorder="1"/>
    <xf numFmtId="173" fontId="1" fillId="33" borderId="33" xfId="77" applyNumberFormat="1" applyFill="1" applyBorder="1"/>
    <xf numFmtId="0" fontId="16" fillId="58" borderId="13" xfId="0" applyFont="1" applyFill="1" applyBorder="1"/>
    <xf numFmtId="0" fontId="0" fillId="58" borderId="13" xfId="0" applyFill="1" applyBorder="1"/>
    <xf numFmtId="0" fontId="0" fillId="58" borderId="0" xfId="0" applyFill="1"/>
    <xf numFmtId="0" fontId="0" fillId="58" borderId="12" xfId="0" applyFill="1" applyBorder="1"/>
    <xf numFmtId="0" fontId="20" fillId="58" borderId="12" xfId="71" applyFill="1" applyBorder="1"/>
    <xf numFmtId="0" fontId="18" fillId="58" borderId="12" xfId="44" applyFont="1" applyFill="1" applyBorder="1"/>
    <xf numFmtId="165" fontId="0" fillId="58" borderId="12" xfId="0" applyNumberFormat="1" applyFill="1" applyBorder="1"/>
    <xf numFmtId="165" fontId="0" fillId="58" borderId="12" xfId="1" applyNumberFormat="1" applyFont="1" applyFill="1" applyBorder="1"/>
    <xf numFmtId="165" fontId="0" fillId="39" borderId="12" xfId="1" applyNumberFormat="1" applyFont="1" applyFill="1" applyBorder="1" applyAlignment="1">
      <alignment horizontal="left" indent="1"/>
    </xf>
    <xf numFmtId="0" fontId="1" fillId="42" borderId="12" xfId="77" applyFont="1" applyFill="1" applyBorder="1"/>
    <xf numFmtId="0" fontId="31" fillId="42" borderId="12" xfId="77" applyFont="1" applyFill="1" applyBorder="1"/>
    <xf numFmtId="0" fontId="1" fillId="43" borderId="12" xfId="77" applyFont="1" applyFill="1" applyBorder="1"/>
    <xf numFmtId="2" fontId="1" fillId="43" borderId="12" xfId="77" applyNumberFormat="1" applyFill="1" applyBorder="1"/>
    <xf numFmtId="2" fontId="1" fillId="33" borderId="12" xfId="77" applyNumberFormat="1" applyFill="1" applyBorder="1"/>
    <xf numFmtId="0" fontId="0" fillId="0" borderId="0" xfId="0" applyAlignment="1"/>
    <xf numFmtId="0" fontId="17" fillId="0" borderId="0" xfId="0" applyFont="1"/>
    <xf numFmtId="0" fontId="51" fillId="0" borderId="0" xfId="0" applyFont="1"/>
    <xf numFmtId="0" fontId="31" fillId="0" borderId="0" xfId="0" applyFont="1"/>
    <xf numFmtId="0" fontId="51" fillId="0" borderId="0" xfId="0" applyFont="1" applyAlignment="1">
      <alignment horizontal="left"/>
    </xf>
    <xf numFmtId="0" fontId="31" fillId="0" borderId="0" xfId="0" applyFont="1" applyAlignment="1">
      <alignment horizontal="left"/>
    </xf>
    <xf numFmtId="10" fontId="31" fillId="33" borderId="0" xfId="0" applyNumberFormat="1" applyFont="1" applyFill="1"/>
    <xf numFmtId="0" fontId="31" fillId="33" borderId="0" xfId="0" applyFont="1" applyFill="1"/>
    <xf numFmtId="0" fontId="31" fillId="0" borderId="74" xfId="0" applyFont="1" applyBorder="1" applyAlignment="1">
      <alignment wrapText="1"/>
    </xf>
    <xf numFmtId="0" fontId="18" fillId="62" borderId="74" xfId="0" applyFont="1" applyFill="1" applyBorder="1" applyAlignment="1">
      <alignment horizontal="center" vertical="center" wrapText="1"/>
    </xf>
    <xf numFmtId="6" fontId="30" fillId="0" borderId="74" xfId="0" applyNumberFormat="1" applyFont="1" applyBorder="1" applyAlignment="1">
      <alignment horizontal="right" wrapText="1"/>
    </xf>
    <xf numFmtId="6" fontId="33" fillId="62" borderId="74" xfId="0" applyNumberFormat="1" applyFont="1" applyFill="1" applyBorder="1" applyAlignment="1">
      <alignment vertical="center" wrapText="1"/>
    </xf>
    <xf numFmtId="178" fontId="31" fillId="0" borderId="0" xfId="43" applyNumberFormat="1" applyFont="1" applyAlignment="1">
      <alignment horizontal="left"/>
    </xf>
    <xf numFmtId="178" fontId="31" fillId="63" borderId="0" xfId="43" applyNumberFormat="1" applyFont="1" applyFill="1" applyAlignment="1">
      <alignment horizontal="left"/>
    </xf>
    <xf numFmtId="9" fontId="31" fillId="33" borderId="0" xfId="43" applyFont="1" applyFill="1"/>
    <xf numFmtId="9" fontId="31" fillId="0" borderId="0" xfId="43" applyFont="1" applyFill="1"/>
    <xf numFmtId="0" fontId="31" fillId="0" borderId="0" xfId="0" applyFont="1" applyAlignment="1">
      <alignment vertical="center"/>
    </xf>
    <xf numFmtId="0" fontId="52" fillId="0" borderId="0" xfId="0" applyFont="1"/>
    <xf numFmtId="0" fontId="31" fillId="0" borderId="0" xfId="0" applyFont="1" applyFill="1"/>
    <xf numFmtId="0" fontId="30" fillId="0" borderId="0" xfId="0" applyFont="1"/>
    <xf numFmtId="0" fontId="30" fillId="0" borderId="0" xfId="0" applyFont="1" applyFill="1"/>
    <xf numFmtId="166" fontId="31" fillId="33" borderId="0" xfId="0" applyNumberFormat="1" applyFont="1" applyFill="1"/>
    <xf numFmtId="9" fontId="31" fillId="0" borderId="0" xfId="43" applyFont="1"/>
    <xf numFmtId="166" fontId="31" fillId="33" borderId="0" xfId="43" applyNumberFormat="1" applyFont="1" applyFill="1"/>
    <xf numFmtId="166" fontId="31" fillId="0" borderId="0" xfId="43" applyNumberFormat="1" applyFont="1" applyFill="1"/>
    <xf numFmtId="179" fontId="31" fillId="0" borderId="0" xfId="1" applyNumberFormat="1" applyFont="1" applyAlignment="1">
      <alignment horizontal="left"/>
    </xf>
    <xf numFmtId="179" fontId="31" fillId="0" borderId="0" xfId="1" applyNumberFormat="1" applyFont="1"/>
    <xf numFmtId="179" fontId="31" fillId="0" borderId="0" xfId="0" applyNumberFormat="1" applyFont="1"/>
    <xf numFmtId="10" fontId="53" fillId="0" borderId="0" xfId="43" applyNumberFormat="1" applyFont="1"/>
    <xf numFmtId="43" fontId="31" fillId="0" borderId="0" xfId="1" applyFont="1" applyAlignment="1">
      <alignment horizontal="left"/>
    </xf>
    <xf numFmtId="43" fontId="31" fillId="0" borderId="0" xfId="1" applyFont="1"/>
    <xf numFmtId="43" fontId="31" fillId="0" borderId="0" xfId="0" applyNumberFormat="1" applyFont="1"/>
    <xf numFmtId="165" fontId="31" fillId="33" borderId="0" xfId="0" applyNumberFormat="1" applyFont="1" applyFill="1"/>
    <xf numFmtId="179" fontId="31" fillId="0" borderId="0" xfId="0" applyNumberFormat="1" applyFont="1" applyFill="1"/>
    <xf numFmtId="0" fontId="53" fillId="0" borderId="0" xfId="0" applyFont="1"/>
    <xf numFmtId="165" fontId="31" fillId="0" borderId="0" xfId="1" applyNumberFormat="1" applyFont="1"/>
    <xf numFmtId="3" fontId="31" fillId="0" borderId="0" xfId="0" applyNumberFormat="1" applyFont="1"/>
    <xf numFmtId="165" fontId="31" fillId="0" borderId="0" xfId="0" applyNumberFormat="1" applyFont="1"/>
    <xf numFmtId="9" fontId="31" fillId="0" borderId="0" xfId="0" applyNumberFormat="1" applyFont="1"/>
    <xf numFmtId="10" fontId="31" fillId="0" borderId="0" xfId="43" applyNumberFormat="1" applyFont="1"/>
    <xf numFmtId="10" fontId="31" fillId="0" borderId="0" xfId="0" applyNumberFormat="1" applyFont="1"/>
    <xf numFmtId="10" fontId="31" fillId="0" borderId="0" xfId="0" applyNumberFormat="1" applyFont="1" applyFill="1"/>
    <xf numFmtId="181" fontId="31" fillId="0" borderId="0" xfId="1" applyNumberFormat="1" applyFont="1"/>
    <xf numFmtId="181" fontId="31" fillId="0" borderId="0" xfId="0" applyNumberFormat="1" applyFont="1"/>
    <xf numFmtId="9" fontId="31" fillId="33" borderId="0" xfId="0" applyNumberFormat="1" applyFont="1" applyFill="1"/>
    <xf numFmtId="0" fontId="30" fillId="0" borderId="0" xfId="0" applyFont="1" applyAlignment="1">
      <alignment horizontal="center"/>
    </xf>
    <xf numFmtId="43" fontId="31" fillId="0" borderId="0" xfId="0" applyNumberFormat="1" applyFont="1" applyFill="1"/>
    <xf numFmtId="43" fontId="30" fillId="0" borderId="0" xfId="1" applyFont="1" applyAlignment="1">
      <alignment horizontal="left"/>
    </xf>
    <xf numFmtId="2" fontId="31" fillId="0" borderId="0" xfId="43" applyNumberFormat="1" applyFont="1"/>
    <xf numFmtId="181" fontId="0" fillId="0" borderId="0" xfId="0" applyNumberFormat="1"/>
    <xf numFmtId="181" fontId="0" fillId="65" borderId="0" xfId="0" applyNumberFormat="1" applyFill="1"/>
    <xf numFmtId="181" fontId="0" fillId="34" borderId="0" xfId="0" applyNumberFormat="1" applyFill="1"/>
    <xf numFmtId="181" fontId="0" fillId="64" borderId="0" xfId="0" applyNumberFormat="1" applyFill="1"/>
    <xf numFmtId="0" fontId="16" fillId="65" borderId="0" xfId="0" applyFont="1" applyFill="1"/>
    <xf numFmtId="0" fontId="16" fillId="34" borderId="0" xfId="0" applyFont="1" applyFill="1"/>
    <xf numFmtId="0" fontId="16" fillId="64" borderId="0" xfId="0" applyFont="1" applyFill="1"/>
    <xf numFmtId="0" fontId="16" fillId="40" borderId="0" xfId="0" applyFont="1" applyFill="1"/>
    <xf numFmtId="181" fontId="0" fillId="40" borderId="0" xfId="0" applyNumberFormat="1" applyFill="1"/>
    <xf numFmtId="179" fontId="52" fillId="0" borderId="0" xfId="0" applyNumberFormat="1" applyFont="1"/>
    <xf numFmtId="179" fontId="30" fillId="0" borderId="0" xfId="0" applyNumberFormat="1" applyFont="1" applyAlignment="1">
      <alignment horizontal="center"/>
    </xf>
    <xf numFmtId="179" fontId="30" fillId="0" borderId="0" xfId="0" applyNumberFormat="1" applyFont="1"/>
    <xf numFmtId="179" fontId="53" fillId="0" borderId="0" xfId="0" applyNumberFormat="1" applyFont="1"/>
    <xf numFmtId="181" fontId="30" fillId="0" borderId="0" xfId="0" applyNumberFormat="1" applyFont="1"/>
    <xf numFmtId="0" fontId="30" fillId="0" borderId="74" xfId="0" applyFont="1" applyBorder="1" applyAlignment="1">
      <alignment wrapText="1"/>
    </xf>
    <xf numFmtId="0" fontId="55" fillId="61" borderId="74" xfId="0" applyFont="1" applyFill="1" applyBorder="1" applyAlignment="1">
      <alignment vertical="center" wrapText="1"/>
    </xf>
    <xf numFmtId="43" fontId="30" fillId="0" borderId="0" xfId="1" applyFont="1"/>
    <xf numFmtId="43" fontId="30" fillId="0" borderId="0" xfId="0" applyNumberFormat="1" applyFont="1"/>
    <xf numFmtId="165" fontId="30" fillId="0" borderId="0" xfId="0" applyNumberFormat="1" applyFont="1"/>
    <xf numFmtId="179" fontId="52" fillId="0" borderId="0" xfId="0" applyNumberFormat="1" applyFont="1" applyAlignment="1"/>
    <xf numFmtId="9" fontId="31" fillId="63" borderId="0" xfId="0" applyNumberFormat="1" applyFont="1" applyFill="1"/>
    <xf numFmtId="179" fontId="31" fillId="0" borderId="0" xfId="1" applyNumberFormat="1" applyFont="1" applyFill="1"/>
    <xf numFmtId="0" fontId="13" fillId="0" borderId="0" xfId="0" applyFont="1"/>
    <xf numFmtId="0" fontId="13" fillId="0" borderId="0" xfId="0" applyFont="1" applyFill="1"/>
    <xf numFmtId="182" fontId="31" fillId="0" borderId="0" xfId="0" applyNumberFormat="1" applyFont="1"/>
    <xf numFmtId="43" fontId="0" fillId="0" borderId="0" xfId="1" applyFont="1"/>
    <xf numFmtId="0" fontId="13" fillId="67" borderId="75" xfId="0" applyFont="1" applyFill="1" applyBorder="1"/>
    <xf numFmtId="0" fontId="13" fillId="67" borderId="76" xfId="0" applyFont="1" applyFill="1" applyBorder="1"/>
    <xf numFmtId="0" fontId="13" fillId="67" borderId="77" xfId="0" applyFont="1" applyFill="1" applyBorder="1"/>
    <xf numFmtId="0" fontId="0" fillId="68" borderId="78" xfId="0" applyFont="1" applyFill="1" applyBorder="1"/>
    <xf numFmtId="0" fontId="0" fillId="68" borderId="79" xfId="0" applyFont="1" applyFill="1" applyBorder="1"/>
    <xf numFmtId="0" fontId="0" fillId="66" borderId="78" xfId="0" applyFont="1" applyFill="1" applyBorder="1"/>
    <xf numFmtId="0" fontId="0" fillId="66" borderId="79" xfId="0" applyFont="1" applyFill="1" applyBorder="1"/>
    <xf numFmtId="0" fontId="0" fillId="66" borderId="80" xfId="0" applyFont="1" applyFill="1" applyBorder="1"/>
    <xf numFmtId="0" fontId="0" fillId="66" borderId="81" xfId="0" applyFont="1" applyFill="1" applyBorder="1"/>
    <xf numFmtId="0" fontId="0" fillId="68" borderId="82" xfId="0" applyFont="1" applyFill="1" applyBorder="1"/>
    <xf numFmtId="0" fontId="0" fillId="68" borderId="83" xfId="0" applyFont="1" applyFill="1" applyBorder="1"/>
    <xf numFmtId="9" fontId="31" fillId="38" borderId="0" xfId="43" applyFont="1" applyFill="1"/>
    <xf numFmtId="0" fontId="18" fillId="0" borderId="0" xfId="0" applyFont="1" applyFill="1" applyBorder="1" applyAlignment="1">
      <alignment horizontal="center" vertical="center" wrapText="1"/>
    </xf>
    <xf numFmtId="0" fontId="56" fillId="0" borderId="0" xfId="0" applyFont="1" applyAlignment="1">
      <alignment horizontal="center" vertical="center" readingOrder="1"/>
    </xf>
    <xf numFmtId="9" fontId="0" fillId="33" borderId="12" xfId="43" applyFont="1" applyFill="1" applyBorder="1"/>
    <xf numFmtId="178" fontId="31" fillId="0" borderId="0" xfId="43" applyNumberFormat="1" applyFont="1" applyFill="1"/>
    <xf numFmtId="0" fontId="31" fillId="33" borderId="0" xfId="0" applyFont="1" applyFill="1" applyAlignment="1">
      <alignment horizontal="center"/>
    </xf>
    <xf numFmtId="17" fontId="16" fillId="0" borderId="0" xfId="0" applyNumberFormat="1" applyFont="1" applyAlignment="1">
      <alignment horizontal="center"/>
    </xf>
    <xf numFmtId="9" fontId="1" fillId="0" borderId="12" xfId="43" applyFont="1" applyBorder="1"/>
    <xf numFmtId="3" fontId="16" fillId="0" borderId="12" xfId="0" applyNumberFormat="1" applyFont="1" applyBorder="1"/>
    <xf numFmtId="17" fontId="16" fillId="0" borderId="12" xfId="0" applyNumberFormat="1" applyFont="1" applyBorder="1" applyAlignment="1">
      <alignment horizontal="center"/>
    </xf>
    <xf numFmtId="3" fontId="16" fillId="33" borderId="12" xfId="0" applyNumberFormat="1" applyFont="1" applyFill="1" applyBorder="1"/>
    <xf numFmtId="17" fontId="16" fillId="33" borderId="12" xfId="0" applyNumberFormat="1" applyFont="1" applyFill="1" applyBorder="1" applyAlignment="1">
      <alignment horizontal="center"/>
    </xf>
    <xf numFmtId="0" fontId="0" fillId="33" borderId="12" xfId="0" applyFill="1" applyBorder="1"/>
    <xf numFmtId="9" fontId="0" fillId="33" borderId="0" xfId="0" applyNumberFormat="1" applyFill="1"/>
    <xf numFmtId="183" fontId="16" fillId="0" borderId="12" xfId="0" applyNumberFormat="1" applyFont="1" applyBorder="1"/>
    <xf numFmtId="183" fontId="16" fillId="0" borderId="12" xfId="83" applyNumberFormat="1" applyFont="1" applyBorder="1"/>
    <xf numFmtId="0" fontId="16" fillId="0" borderId="12" xfId="0" applyNumberFormat="1" applyFont="1" applyBorder="1"/>
    <xf numFmtId="165" fontId="16" fillId="0" borderId="12" xfId="0" applyNumberFormat="1" applyFont="1" applyBorder="1"/>
    <xf numFmtId="165" fontId="16" fillId="0" borderId="12" xfId="0" applyNumberFormat="1" applyFont="1" applyBorder="1" applyAlignment="1">
      <alignment horizontal="right"/>
    </xf>
    <xf numFmtId="3" fontId="16" fillId="0" borderId="12" xfId="0" applyNumberFormat="1" applyFont="1" applyFill="1" applyBorder="1"/>
    <xf numFmtId="0" fontId="0" fillId="0" borderId="12" xfId="0" applyFont="1" applyBorder="1"/>
    <xf numFmtId="3" fontId="0" fillId="0" borderId="12" xfId="0" applyNumberFormat="1" applyFont="1" applyBorder="1"/>
    <xf numFmtId="0" fontId="16" fillId="0" borderId="0" xfId="0" applyFont="1" applyAlignment="1">
      <alignment horizontal="center" wrapText="1"/>
    </xf>
    <xf numFmtId="0" fontId="16" fillId="0" borderId="12" xfId="0" applyFont="1" applyBorder="1" applyAlignment="1">
      <alignment horizontal="center" wrapText="1"/>
    </xf>
    <xf numFmtId="0" fontId="30" fillId="0" borderId="12" xfId="44" applyFont="1" applyFill="1" applyBorder="1" applyAlignment="1">
      <alignment horizontal="center" wrapText="1"/>
    </xf>
    <xf numFmtId="0" fontId="46" fillId="0" borderId="12" xfId="44" quotePrefix="1" applyFont="1" applyFill="1" applyBorder="1" applyAlignment="1">
      <alignment horizontal="center" wrapText="1"/>
    </xf>
    <xf numFmtId="0" fontId="46" fillId="0" borderId="12" xfId="44" applyFont="1" applyFill="1" applyBorder="1" applyAlignment="1">
      <alignment horizontal="center" wrapText="1"/>
    </xf>
    <xf numFmtId="0" fontId="39" fillId="0" borderId="0" xfId="0" applyFont="1"/>
    <xf numFmtId="0" fontId="31" fillId="0" borderId="0" xfId="84" applyNumberFormat="1" applyFont="1" applyAlignment="1">
      <alignment horizontal="left"/>
    </xf>
    <xf numFmtId="9" fontId="31" fillId="69" borderId="0" xfId="0" applyNumberFormat="1" applyFont="1" applyFill="1"/>
    <xf numFmtId="10" fontId="31" fillId="64" borderId="0" xfId="0" applyNumberFormat="1" applyFont="1" applyFill="1"/>
    <xf numFmtId="0" fontId="31" fillId="64" borderId="0" xfId="0" applyFont="1" applyFill="1"/>
    <xf numFmtId="0" fontId="31" fillId="69" borderId="0" xfId="0" applyFont="1" applyFill="1"/>
    <xf numFmtId="9" fontId="31" fillId="69" borderId="0" xfId="43" applyFont="1" applyFill="1"/>
    <xf numFmtId="10" fontId="31" fillId="69" borderId="0" xfId="0" applyNumberFormat="1" applyFont="1" applyFill="1"/>
    <xf numFmtId="1" fontId="31" fillId="69" borderId="0" xfId="0" applyNumberFormat="1" applyFont="1" applyFill="1"/>
    <xf numFmtId="179" fontId="31" fillId="33" borderId="0" xfId="1" applyNumberFormat="1" applyFont="1" applyFill="1" applyAlignment="1">
      <alignment horizontal="left"/>
    </xf>
    <xf numFmtId="10" fontId="31" fillId="33" borderId="0" xfId="0" applyNumberFormat="1" applyFont="1" applyFill="1" applyAlignment="1">
      <alignment horizontal="center"/>
    </xf>
    <xf numFmtId="10" fontId="31" fillId="33" borderId="0" xfId="1" applyNumberFormat="1" applyFont="1" applyFill="1" applyAlignment="1">
      <alignment horizontal="center"/>
    </xf>
    <xf numFmtId="10" fontId="30" fillId="0" borderId="0" xfId="0" applyNumberFormat="1" applyFont="1" applyFill="1"/>
    <xf numFmtId="180" fontId="31" fillId="0" borderId="0" xfId="0" applyNumberFormat="1" applyFont="1" applyFill="1"/>
    <xf numFmtId="10" fontId="30" fillId="38" borderId="0" xfId="0" applyNumberFormat="1" applyFont="1" applyFill="1"/>
    <xf numFmtId="9" fontId="31" fillId="38" borderId="0" xfId="0" applyNumberFormat="1" applyFont="1" applyFill="1"/>
    <xf numFmtId="0" fontId="0" fillId="0" borderId="0" xfId="0" applyFill="1"/>
    <xf numFmtId="0" fontId="31" fillId="66" borderId="90" xfId="0" applyFont="1" applyFill="1" applyBorder="1"/>
    <xf numFmtId="0" fontId="31" fillId="68" borderId="88" xfId="0" applyFont="1" applyFill="1" applyBorder="1"/>
    <xf numFmtId="0" fontId="31" fillId="68" borderId="90" xfId="0" applyFont="1" applyFill="1" applyBorder="1"/>
    <xf numFmtId="9" fontId="31" fillId="0" borderId="0" xfId="0" applyNumberFormat="1" applyFont="1" applyFill="1"/>
    <xf numFmtId="166" fontId="31" fillId="0" borderId="0" xfId="43" applyNumberFormat="1" applyFont="1"/>
    <xf numFmtId="10" fontId="31" fillId="0" borderId="0" xfId="0" applyNumberFormat="1" applyFont="1" applyFill="1" applyAlignment="1">
      <alignment horizontal="center"/>
    </xf>
    <xf numFmtId="0" fontId="31" fillId="0" borderId="0" xfId="1" applyNumberFormat="1" applyFont="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185" fontId="31" fillId="33" borderId="0" xfId="0" applyNumberFormat="1" applyFont="1" applyFill="1"/>
    <xf numFmtId="185" fontId="31" fillId="63" borderId="0" xfId="0" applyNumberFormat="1" applyFont="1" applyFill="1"/>
    <xf numFmtId="0" fontId="53" fillId="0" borderId="0" xfId="0" applyFont="1" applyFill="1"/>
    <xf numFmtId="9" fontId="31" fillId="68" borderId="88" xfId="0" applyNumberFormat="1" applyFont="1" applyFill="1" applyBorder="1"/>
    <xf numFmtId="9" fontId="31" fillId="68" borderId="90" xfId="0" applyNumberFormat="1" applyFont="1" applyFill="1" applyBorder="1"/>
    <xf numFmtId="0" fontId="13" fillId="67" borderId="90" xfId="0" applyFont="1" applyFill="1" applyBorder="1"/>
    <xf numFmtId="0" fontId="13" fillId="67" borderId="92" xfId="0" applyFont="1" applyFill="1" applyBorder="1"/>
    <xf numFmtId="0" fontId="31" fillId="68" borderId="92" xfId="0" applyFont="1" applyFill="1" applyBorder="1"/>
    <xf numFmtId="9" fontId="31" fillId="66" borderId="90" xfId="0" applyNumberFormat="1" applyFont="1" applyFill="1" applyBorder="1"/>
    <xf numFmtId="0" fontId="31" fillId="66" borderId="92" xfId="0" applyFont="1" applyFill="1" applyBorder="1"/>
    <xf numFmtId="0" fontId="54" fillId="68" borderId="92" xfId="0" applyFont="1" applyFill="1" applyBorder="1"/>
    <xf numFmtId="0" fontId="34" fillId="66" borderId="92" xfId="0" applyFont="1" applyFill="1" applyBorder="1"/>
    <xf numFmtId="0" fontId="31" fillId="68" borderId="86" xfId="0" applyFont="1" applyFill="1" applyBorder="1"/>
    <xf numFmtId="0" fontId="31" fillId="68" borderId="92" xfId="0" applyFont="1" applyFill="1" applyBorder="1" applyAlignment="1">
      <alignment horizontal="center" vertical="center"/>
    </xf>
    <xf numFmtId="0" fontId="31" fillId="0" borderId="93" xfId="0" applyFont="1" applyFill="1" applyBorder="1"/>
    <xf numFmtId="9" fontId="0" fillId="64" borderId="0" xfId="43" applyFont="1" applyFill="1"/>
    <xf numFmtId="0" fontId="0" fillId="64" borderId="0" xfId="0" applyFill="1"/>
    <xf numFmtId="9" fontId="0" fillId="33" borderId="0" xfId="43" applyFont="1" applyFill="1"/>
    <xf numFmtId="186" fontId="0" fillId="33" borderId="0" xfId="0" applyNumberFormat="1" applyFill="1"/>
    <xf numFmtId="10" fontId="0" fillId="33" borderId="0" xfId="43" applyNumberFormat="1" applyFont="1" applyFill="1"/>
    <xf numFmtId="10" fontId="0" fillId="64" borderId="0" xfId="43" applyNumberFormat="1" applyFont="1" applyFill="1"/>
    <xf numFmtId="0" fontId="31" fillId="70" borderId="12" xfId="0" applyFont="1" applyFill="1" applyBorder="1"/>
    <xf numFmtId="0" fontId="1" fillId="58" borderId="12" xfId="0" applyFont="1" applyFill="1" applyBorder="1"/>
    <xf numFmtId="0" fontId="31" fillId="58" borderId="12" xfId="44" applyFont="1" applyFill="1" applyBorder="1"/>
    <xf numFmtId="0" fontId="31" fillId="34" borderId="12" xfId="0" applyFont="1" applyFill="1" applyBorder="1"/>
    <xf numFmtId="0" fontId="31" fillId="0" borderId="10" xfId="0" applyFont="1" applyFill="1" applyBorder="1" applyAlignment="1">
      <alignment horizontal="center"/>
    </xf>
    <xf numFmtId="0" fontId="31" fillId="0" borderId="0" xfId="0" applyFont="1" applyFill="1" applyBorder="1" applyAlignment="1">
      <alignment horizontal="center"/>
    </xf>
    <xf numFmtId="0" fontId="31" fillId="0" borderId="10" xfId="0" applyFont="1" applyFill="1" applyBorder="1"/>
    <xf numFmtId="9" fontId="0" fillId="0" borderId="12" xfId="43" applyFont="1" applyBorder="1"/>
    <xf numFmtId="10" fontId="0" fillId="0" borderId="0" xfId="0" applyNumberFormat="1"/>
    <xf numFmtId="9" fontId="0" fillId="64" borderId="0" xfId="0" applyNumberFormat="1" applyFill="1"/>
    <xf numFmtId="0" fontId="19" fillId="39" borderId="12" xfId="46" applyFont="1" applyFill="1" applyBorder="1"/>
    <xf numFmtId="0" fontId="0" fillId="39" borderId="12" xfId="0" applyFill="1" applyBorder="1"/>
    <xf numFmtId="0" fontId="0" fillId="39" borderId="0" xfId="0" applyFill="1"/>
    <xf numFmtId="0" fontId="20" fillId="39" borderId="12" xfId="71" applyFill="1" applyBorder="1"/>
    <xf numFmtId="3" fontId="25" fillId="39" borderId="12" xfId="0" applyNumberFormat="1" applyFont="1" applyFill="1" applyBorder="1"/>
    <xf numFmtId="9" fontId="0" fillId="0" borderId="0" xfId="43" applyFont="1" applyFill="1"/>
    <xf numFmtId="168" fontId="18" fillId="69" borderId="0" xfId="73" applyNumberFormat="1" applyFont="1" applyFill="1"/>
    <xf numFmtId="166" fontId="18" fillId="69" borderId="0" xfId="73" applyNumberFormat="1" applyFont="1" applyFill="1"/>
    <xf numFmtId="9" fontId="0" fillId="69" borderId="0" xfId="0" applyNumberFormat="1" applyFill="1"/>
    <xf numFmtId="43" fontId="0" fillId="36" borderId="12" xfId="0" applyNumberFormat="1" applyFill="1" applyBorder="1"/>
    <xf numFmtId="179" fontId="0" fillId="41" borderId="0" xfId="0" applyNumberFormat="1" applyFont="1" applyFill="1"/>
    <xf numFmtId="179" fontId="31" fillId="41" borderId="0" xfId="1" applyNumberFormat="1" applyFont="1" applyFill="1"/>
    <xf numFmtId="0" fontId="30" fillId="41" borderId="0" xfId="0" applyFont="1" applyFill="1"/>
    <xf numFmtId="179" fontId="0" fillId="0" borderId="0" xfId="0" applyNumberFormat="1"/>
    <xf numFmtId="179" fontId="0" fillId="0" borderId="0" xfId="1" applyNumberFormat="1" applyFont="1"/>
    <xf numFmtId="0" fontId="0" fillId="0" borderId="0" xfId="0" applyAlignment="1">
      <alignment horizontal="center" vertical="center" wrapText="1"/>
    </xf>
    <xf numFmtId="10" fontId="0" fillId="0" borderId="0" xfId="43" applyNumberFormat="1" applyFont="1"/>
    <xf numFmtId="0" fontId="38" fillId="0" borderId="0" xfId="0" applyFont="1"/>
    <xf numFmtId="9" fontId="38" fillId="0" borderId="0" xfId="43" applyFont="1"/>
    <xf numFmtId="9" fontId="38" fillId="0" borderId="0" xfId="0" applyNumberFormat="1" applyFont="1"/>
    <xf numFmtId="178" fontId="0" fillId="0" borderId="0" xfId="43" applyNumberFormat="1" applyFont="1"/>
    <xf numFmtId="181" fontId="0" fillId="0" borderId="0" xfId="1" applyNumberFormat="1" applyFont="1"/>
    <xf numFmtId="0" fontId="57" fillId="33" borderId="0" xfId="0" applyFont="1" applyFill="1" applyAlignment="1">
      <alignment horizontal="center" vertical="center" wrapText="1"/>
    </xf>
    <xf numFmtId="0" fontId="31" fillId="75" borderId="90" xfId="0" applyFont="1" applyFill="1" applyBorder="1"/>
    <xf numFmtId="9" fontId="31" fillId="75" borderId="90" xfId="0" applyNumberFormat="1" applyFont="1" applyFill="1" applyBorder="1"/>
    <xf numFmtId="0" fontId="31" fillId="75" borderId="92" xfId="0" applyFont="1" applyFill="1" applyBorder="1"/>
    <xf numFmtId="43" fontId="31" fillId="75" borderId="92" xfId="0" applyNumberFormat="1" applyFont="1" applyFill="1" applyBorder="1" applyAlignment="1">
      <alignment horizontal="left"/>
    </xf>
    <xf numFmtId="0" fontId="31" fillId="74" borderId="90" xfId="0" applyFont="1" applyFill="1" applyBorder="1"/>
    <xf numFmtId="9" fontId="31" fillId="74" borderId="90" xfId="0" applyNumberFormat="1" applyFont="1" applyFill="1" applyBorder="1"/>
    <xf numFmtId="0" fontId="34" fillId="74" borderId="92" xfId="0" applyFont="1" applyFill="1" applyBorder="1"/>
    <xf numFmtId="187" fontId="0" fillId="0" borderId="0" xfId="1" applyNumberFormat="1" applyFont="1"/>
    <xf numFmtId="187" fontId="0" fillId="0" borderId="0" xfId="0" applyNumberFormat="1"/>
    <xf numFmtId="0" fontId="34" fillId="0" borderId="0" xfId="85"/>
    <xf numFmtId="0" fontId="0" fillId="0" borderId="0" xfId="0" applyAlignment="1">
      <alignment horizontal="center"/>
    </xf>
    <xf numFmtId="0" fontId="57" fillId="0" borderId="0" xfId="0" applyFont="1" applyAlignment="1">
      <alignment horizontal="center"/>
    </xf>
    <xf numFmtId="181" fontId="0" fillId="0" borderId="0" xfId="0" applyNumberFormat="1" applyAlignment="1">
      <alignment horizontal="center"/>
    </xf>
    <xf numFmtId="10" fontId="0" fillId="0" borderId="0" xfId="0" applyNumberFormat="1" applyAlignment="1">
      <alignment horizontal="center"/>
    </xf>
    <xf numFmtId="188" fontId="0" fillId="0" borderId="0" xfId="0" applyNumberFormat="1"/>
    <xf numFmtId="189" fontId="0" fillId="0" borderId="0" xfId="0" applyNumberFormat="1"/>
    <xf numFmtId="0" fontId="17" fillId="0" borderId="0" xfId="0" applyFont="1" applyFill="1"/>
    <xf numFmtId="0" fontId="52" fillId="0" borderId="35" xfId="0" applyFont="1" applyFill="1" applyBorder="1" applyAlignment="1">
      <alignment horizontal="center" vertical="center" wrapText="1"/>
    </xf>
    <xf numFmtId="0" fontId="52" fillId="0" borderId="0" xfId="0" applyFont="1" applyFill="1" applyBorder="1" applyAlignment="1">
      <alignment horizontal="center" vertical="center" wrapText="1"/>
    </xf>
    <xf numFmtId="0" fontId="57" fillId="0" borderId="0" xfId="0" applyFont="1" applyAlignment="1">
      <alignment horizontal="center" vertical="center" wrapText="1"/>
    </xf>
    <xf numFmtId="0" fontId="57" fillId="0" borderId="91" xfId="0" applyFont="1" applyBorder="1" applyAlignment="1">
      <alignment horizontal="center" vertical="center" wrapText="1"/>
    </xf>
    <xf numFmtId="0" fontId="31" fillId="0" borderId="0" xfId="84" applyNumberFormat="1" applyFont="1" applyAlignment="1">
      <alignment horizontal="center"/>
    </xf>
    <xf numFmtId="43" fontId="31" fillId="0" borderId="0" xfId="1" applyFont="1" applyAlignment="1">
      <alignment horizontal="center"/>
    </xf>
    <xf numFmtId="0" fontId="31" fillId="0" borderId="0" xfId="0" applyFont="1" applyAlignment="1">
      <alignment horizontal="center"/>
    </xf>
    <xf numFmtId="0" fontId="31" fillId="0" borderId="0" xfId="84" applyNumberFormat="1" applyFont="1" applyAlignment="1">
      <alignment horizontal="center" vertical="center" wrapText="1"/>
    </xf>
    <xf numFmtId="0" fontId="31" fillId="0" borderId="0" xfId="1" applyNumberFormat="1" applyFont="1" applyAlignment="1">
      <alignment horizontal="center" vertical="center" wrapText="1"/>
    </xf>
    <xf numFmtId="0" fontId="31" fillId="0" borderId="91" xfId="1" applyNumberFormat="1" applyFont="1" applyBorder="1" applyAlignment="1">
      <alignment horizontal="center" vertical="center" wrapText="1"/>
    </xf>
    <xf numFmtId="0" fontId="0" fillId="0" borderId="0" xfId="0" applyAlignment="1">
      <alignment horizontal="center" vertical="center" wrapText="1"/>
    </xf>
    <xf numFmtId="0" fontId="53" fillId="0" borderId="0" xfId="0" applyFont="1" applyAlignment="1">
      <alignment horizontal="center"/>
    </xf>
    <xf numFmtId="0" fontId="31" fillId="68" borderId="85" xfId="0" applyFont="1" applyFill="1" applyBorder="1" applyAlignment="1">
      <alignment horizontal="center"/>
    </xf>
    <xf numFmtId="0" fontId="31" fillId="68" borderId="89" xfId="0" applyFont="1" applyFill="1" applyBorder="1" applyAlignment="1">
      <alignment horizontal="center"/>
    </xf>
    <xf numFmtId="0" fontId="31" fillId="74" borderId="85" xfId="0" applyFont="1" applyFill="1" applyBorder="1" applyAlignment="1">
      <alignment horizontal="center"/>
    </xf>
    <xf numFmtId="0" fontId="31" fillId="74" borderId="89" xfId="0" applyFont="1" applyFill="1" applyBorder="1" applyAlignment="1">
      <alignment horizontal="center"/>
    </xf>
    <xf numFmtId="0" fontId="59" fillId="0" borderId="0" xfId="0" applyFont="1" applyAlignment="1">
      <alignment horizontal="center" vertical="center" wrapText="1"/>
    </xf>
    <xf numFmtId="0" fontId="13" fillId="67" borderId="84" xfId="0" applyFont="1" applyFill="1" applyBorder="1" applyAlignment="1">
      <alignment horizontal="center"/>
    </xf>
    <xf numFmtId="0" fontId="13" fillId="67" borderId="87" xfId="0" applyFont="1" applyFill="1" applyBorder="1" applyAlignment="1">
      <alignment horizontal="center"/>
    </xf>
    <xf numFmtId="0" fontId="59" fillId="71" borderId="0" xfId="0" applyFont="1" applyFill="1" applyAlignment="1">
      <alignment horizontal="center"/>
    </xf>
    <xf numFmtId="0" fontId="31" fillId="68" borderId="84" xfId="0" applyFont="1" applyFill="1" applyBorder="1" applyAlignment="1">
      <alignment horizontal="center"/>
    </xf>
    <xf numFmtId="0" fontId="31" fillId="68" borderId="87" xfId="0" applyFont="1" applyFill="1" applyBorder="1" applyAlignment="1">
      <alignment horizontal="center"/>
    </xf>
    <xf numFmtId="0" fontId="52" fillId="0" borderId="10" xfId="0" applyFont="1" applyFill="1" applyBorder="1" applyAlignment="1">
      <alignment horizontal="center"/>
    </xf>
    <xf numFmtId="0" fontId="52" fillId="0" borderId="0" xfId="0" applyFont="1" applyFill="1" applyBorder="1" applyAlignment="1">
      <alignment horizontal="center"/>
    </xf>
    <xf numFmtId="0" fontId="0" fillId="0" borderId="0" xfId="0" applyAlignment="1">
      <alignment horizontal="center"/>
    </xf>
    <xf numFmtId="0" fontId="57" fillId="72" borderId="0" xfId="0" applyFont="1" applyFill="1" applyAlignment="1">
      <alignment horizontal="center"/>
    </xf>
    <xf numFmtId="0" fontId="0" fillId="72" borderId="0" xfId="0" applyFill="1" applyAlignment="1">
      <alignment horizontal="center"/>
    </xf>
    <xf numFmtId="0" fontId="57" fillId="73" borderId="0" xfId="0" applyFont="1" applyFill="1" applyAlignment="1">
      <alignment horizontal="center"/>
    </xf>
    <xf numFmtId="0" fontId="0" fillId="73" borderId="0" xfId="0" applyFill="1" applyAlignment="1">
      <alignment horizontal="center"/>
    </xf>
    <xf numFmtId="0" fontId="57" fillId="0" borderId="0" xfId="0" applyFont="1" applyAlignment="1">
      <alignment horizontal="center"/>
    </xf>
    <xf numFmtId="0" fontId="0" fillId="0" borderId="0" xfId="0" applyFill="1" applyAlignment="1">
      <alignment horizontal="left" vertical="top" wrapText="1"/>
    </xf>
    <xf numFmtId="0" fontId="0" fillId="0" borderId="0" xfId="0" applyAlignment="1">
      <alignment horizontal="left" vertical="center" wrapText="1"/>
    </xf>
    <xf numFmtId="0" fontId="51" fillId="0" borderId="0" xfId="0" applyFont="1" applyAlignment="1">
      <alignment horizontal="center"/>
    </xf>
    <xf numFmtId="0" fontId="52" fillId="0" borderId="0" xfId="0" applyFont="1" applyAlignment="1">
      <alignment horizontal="center"/>
    </xf>
    <xf numFmtId="179" fontId="52" fillId="0" borderId="0" xfId="0" applyNumberFormat="1" applyFont="1" applyAlignment="1">
      <alignment horizontal="center"/>
    </xf>
    <xf numFmtId="181" fontId="52" fillId="0" borderId="0" xfId="0" applyNumberFormat="1" applyFont="1" applyAlignment="1">
      <alignment horizontal="center"/>
    </xf>
    <xf numFmtId="0" fontId="31" fillId="33" borderId="0" xfId="0" applyFont="1" applyFill="1" applyAlignment="1">
      <alignment horizontal="center"/>
    </xf>
    <xf numFmtId="0" fontId="31" fillId="63" borderId="0" xfId="0" applyFont="1" applyFill="1" applyAlignment="1">
      <alignment horizontal="center"/>
    </xf>
    <xf numFmtId="0" fontId="31" fillId="0" borderId="0" xfId="0" applyFont="1" applyAlignment="1">
      <alignment horizontal="left"/>
    </xf>
    <xf numFmtId="0" fontId="31" fillId="0" borderId="73" xfId="0" applyFont="1" applyBorder="1" applyAlignment="1">
      <alignment horizontal="left"/>
    </xf>
    <xf numFmtId="43" fontId="52" fillId="0" borderId="0" xfId="1" applyFont="1" applyAlignment="1">
      <alignment horizontal="center"/>
    </xf>
    <xf numFmtId="0" fontId="30" fillId="42" borderId="30" xfId="77" applyFont="1" applyFill="1" applyBorder="1" applyAlignment="1">
      <alignment horizontal="center"/>
    </xf>
    <xf numFmtId="0" fontId="30" fillId="42" borderId="31" xfId="77" applyFont="1" applyFill="1" applyBorder="1" applyAlignment="1">
      <alignment horizontal="center"/>
    </xf>
    <xf numFmtId="0" fontId="30" fillId="42" borderId="32" xfId="77" applyFont="1" applyFill="1" applyBorder="1" applyAlignment="1">
      <alignment horizontal="center"/>
    </xf>
    <xf numFmtId="0" fontId="30" fillId="42" borderId="30" xfId="77" applyFont="1" applyFill="1" applyBorder="1" applyAlignment="1">
      <alignment horizontal="center" wrapText="1"/>
    </xf>
    <xf numFmtId="0" fontId="30" fillId="42" borderId="31" xfId="77" applyFont="1" applyFill="1" applyBorder="1" applyAlignment="1">
      <alignment horizontal="center" wrapText="1"/>
    </xf>
    <xf numFmtId="0" fontId="30" fillId="42" borderId="32" xfId="77" applyFont="1" applyFill="1" applyBorder="1" applyAlignment="1">
      <alignment horizontal="center" wrapText="1"/>
    </xf>
    <xf numFmtId="0" fontId="30" fillId="42" borderId="37" xfId="77" applyFont="1" applyFill="1" applyBorder="1" applyAlignment="1">
      <alignment horizontal="center"/>
    </xf>
    <xf numFmtId="0" fontId="30" fillId="42" borderId="38" xfId="77" applyFont="1" applyFill="1" applyBorder="1" applyAlignment="1">
      <alignment horizontal="center"/>
    </xf>
    <xf numFmtId="0" fontId="30" fillId="42" borderId="37" xfId="77" applyFont="1" applyFill="1" applyBorder="1" applyAlignment="1">
      <alignment horizontal="center" wrapText="1"/>
    </xf>
    <xf numFmtId="0" fontId="30" fillId="42" borderId="28" xfId="77" applyFont="1" applyFill="1" applyBorder="1" applyAlignment="1">
      <alignment horizontal="center" wrapText="1"/>
    </xf>
    <xf numFmtId="0" fontId="30" fillId="42" borderId="38" xfId="77" applyFont="1" applyFill="1" applyBorder="1" applyAlignment="1">
      <alignment horizontal="center" wrapText="1"/>
    </xf>
    <xf numFmtId="0" fontId="30" fillId="46" borderId="28" xfId="77" applyFont="1" applyFill="1" applyBorder="1" applyAlignment="1">
      <alignment horizontal="center" wrapText="1"/>
    </xf>
    <xf numFmtId="0" fontId="30" fillId="34" borderId="18" xfId="77" applyFont="1" applyFill="1" applyBorder="1" applyAlignment="1">
      <alignment horizontal="center" vertical="center" wrapText="1"/>
    </xf>
    <xf numFmtId="0" fontId="30" fillId="34" borderId="0" xfId="77" applyFont="1" applyFill="1" applyBorder="1" applyAlignment="1">
      <alignment horizontal="center" vertical="center" wrapText="1"/>
    </xf>
    <xf numFmtId="0" fontId="16" fillId="34" borderId="18" xfId="77" applyFont="1" applyFill="1" applyBorder="1" applyAlignment="1">
      <alignment horizontal="center"/>
    </xf>
    <xf numFmtId="0" fontId="16" fillId="34" borderId="0" xfId="77" applyFont="1" applyFill="1" applyBorder="1" applyAlignment="1">
      <alignment horizontal="center"/>
    </xf>
    <xf numFmtId="0" fontId="30" fillId="42" borderId="30" xfId="77" applyFont="1" applyFill="1" applyBorder="1" applyAlignment="1">
      <alignment horizontal="left"/>
    </xf>
    <xf numFmtId="0" fontId="30" fillId="42" borderId="31" xfId="77" applyFont="1" applyFill="1" applyBorder="1" applyAlignment="1">
      <alignment horizontal="left"/>
    </xf>
    <xf numFmtId="0" fontId="30" fillId="42" borderId="32" xfId="77" applyFont="1" applyFill="1" applyBorder="1" applyAlignment="1">
      <alignment horizontal="left"/>
    </xf>
    <xf numFmtId="0" fontId="1" fillId="43" borderId="18" xfId="77" applyFill="1" applyBorder="1" applyAlignment="1">
      <alignment horizontal="left"/>
    </xf>
    <xf numFmtId="0" fontId="1" fillId="43" borderId="0" xfId="77" applyFill="1" applyBorder="1" applyAlignment="1">
      <alignment horizontal="left"/>
    </xf>
    <xf numFmtId="0" fontId="30" fillId="53" borderId="46" xfId="77" applyFont="1" applyFill="1" applyBorder="1" applyAlignment="1">
      <alignment horizontal="center"/>
    </xf>
    <xf numFmtId="0" fontId="30" fillId="53" borderId="25" xfId="77" applyFont="1" applyFill="1" applyBorder="1" applyAlignment="1">
      <alignment horizontal="center"/>
    </xf>
    <xf numFmtId="0" fontId="30" fillId="53" borderId="42" xfId="77" applyFont="1" applyFill="1" applyBorder="1" applyAlignment="1">
      <alignment horizontal="center"/>
    </xf>
    <xf numFmtId="0" fontId="30" fillId="53" borderId="26" xfId="77" applyFont="1" applyFill="1" applyBorder="1" applyAlignment="1">
      <alignment horizontal="center"/>
    </xf>
    <xf numFmtId="0" fontId="16" fillId="53" borderId="23" xfId="77" applyFont="1" applyFill="1" applyBorder="1" applyAlignment="1">
      <alignment horizontal="center"/>
    </xf>
    <xf numFmtId="0" fontId="16" fillId="53" borderId="25" xfId="77" applyFont="1" applyFill="1" applyBorder="1" applyAlignment="1">
      <alignment horizontal="center"/>
    </xf>
    <xf numFmtId="0" fontId="16" fillId="53" borderId="26" xfId="77" applyFont="1" applyFill="1" applyBorder="1" applyAlignment="1">
      <alignment horizontal="center"/>
    </xf>
    <xf numFmtId="0" fontId="16" fillId="43" borderId="47" xfId="77" applyFont="1" applyFill="1" applyBorder="1" applyAlignment="1">
      <alignment horizontal="left"/>
    </xf>
    <xf numFmtId="0" fontId="16" fillId="43" borderId="24" xfId="77" applyFont="1" applyFill="1" applyBorder="1" applyAlignment="1">
      <alignment horizontal="left"/>
    </xf>
    <xf numFmtId="0" fontId="16" fillId="53" borderId="48" xfId="77" applyFont="1" applyFill="1" applyBorder="1" applyAlignment="1">
      <alignment horizontal="center"/>
    </xf>
    <xf numFmtId="0" fontId="16" fillId="53" borderId="24" xfId="77" applyFont="1" applyFill="1" applyBorder="1" applyAlignment="1">
      <alignment horizontal="center"/>
    </xf>
    <xf numFmtId="0" fontId="16" fillId="53" borderId="50" xfId="77" applyFont="1" applyFill="1" applyBorder="1" applyAlignment="1">
      <alignment horizontal="center"/>
    </xf>
    <xf numFmtId="0" fontId="16" fillId="53" borderId="49" xfId="77" applyFont="1" applyFill="1" applyBorder="1" applyAlignment="1">
      <alignment horizontal="center"/>
    </xf>
    <xf numFmtId="0" fontId="30" fillId="53" borderId="47" xfId="77" applyFont="1" applyFill="1" applyBorder="1" applyAlignment="1">
      <alignment horizontal="center"/>
    </xf>
    <xf numFmtId="0" fontId="30" fillId="53" borderId="24" xfId="77" applyFont="1" applyFill="1" applyBorder="1" applyAlignment="1">
      <alignment horizontal="center"/>
    </xf>
    <xf numFmtId="0" fontId="30" fillId="53" borderId="50" xfId="77" applyFont="1" applyFill="1" applyBorder="1" applyAlignment="1">
      <alignment horizontal="center"/>
    </xf>
    <xf numFmtId="0" fontId="30" fillId="34" borderId="23" xfId="77" applyFont="1" applyFill="1" applyBorder="1" applyAlignment="1">
      <alignment horizontal="center" vertical="center"/>
    </xf>
    <xf numFmtId="0" fontId="30" fillId="34" borderId="21" xfId="77" applyFont="1" applyFill="1" applyBorder="1" applyAlignment="1">
      <alignment horizontal="center" vertical="center"/>
    </xf>
    <xf numFmtId="0" fontId="16" fillId="34" borderId="51" xfId="77" applyFont="1" applyFill="1" applyBorder="1" applyAlignment="1">
      <alignment horizontal="center" vertical="center"/>
    </xf>
    <xf numFmtId="0" fontId="16" fillId="34" borderId="53" xfId="77" applyFont="1" applyFill="1" applyBorder="1" applyAlignment="1">
      <alignment horizontal="center" vertical="center"/>
    </xf>
    <xf numFmtId="0" fontId="16" fillId="47" borderId="48" xfId="77" applyFont="1" applyFill="1" applyBorder="1" applyAlignment="1">
      <alignment horizontal="center"/>
    </xf>
    <xf numFmtId="0" fontId="16" fillId="54" borderId="24" xfId="77" applyFont="1" applyFill="1" applyBorder="1" applyAlignment="1">
      <alignment horizontal="center"/>
    </xf>
    <xf numFmtId="0" fontId="16" fillId="54" borderId="50" xfId="77" applyFont="1" applyFill="1" applyBorder="1" applyAlignment="1">
      <alignment horizontal="center"/>
    </xf>
    <xf numFmtId="0" fontId="16" fillId="47" borderId="24" xfId="77" applyFont="1" applyFill="1" applyBorder="1" applyAlignment="1">
      <alignment horizontal="center"/>
    </xf>
    <xf numFmtId="0" fontId="16" fillId="54" borderId="49" xfId="77" applyFont="1" applyFill="1" applyBorder="1" applyAlignment="1">
      <alignment horizontal="center"/>
    </xf>
    <xf numFmtId="0" fontId="30" fillId="46" borderId="37" xfId="77" applyFont="1" applyFill="1" applyBorder="1" applyAlignment="1">
      <alignment horizontal="center" wrapText="1"/>
    </xf>
    <xf numFmtId="0" fontId="30" fillId="46" borderId="38" xfId="77" applyFont="1" applyFill="1" applyBorder="1" applyAlignment="1">
      <alignment horizontal="center" wrapText="1"/>
    </xf>
    <xf numFmtId="0" fontId="1" fillId="43" borderId="46" xfId="77" applyFill="1" applyBorder="1" applyAlignment="1">
      <alignment horizontal="center"/>
    </xf>
    <xf numFmtId="0" fontId="1" fillId="56" borderId="42" xfId="77" applyFill="1" applyBorder="1" applyAlignment="1">
      <alignment horizontal="center"/>
    </xf>
    <xf numFmtId="0" fontId="1" fillId="43" borderId="25" xfId="77" applyFill="1" applyBorder="1" applyAlignment="1">
      <alignment horizontal="center"/>
    </xf>
  </cellXfs>
  <cellStyles count="86">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5" xr:uid="{00000000-0005-0000-0000-00001C000000}"/>
    <cellStyle name="Comma 2 2" xfId="59" xr:uid="{00000000-0005-0000-0000-00001D000000}"/>
    <cellStyle name="Comma 2 3" xfId="74" xr:uid="{00000000-0005-0000-0000-00001E000000}"/>
    <cellStyle name="Comma 2 4" xfId="52" xr:uid="{00000000-0005-0000-0000-00001F000000}"/>
    <cellStyle name="Comma 3" xfId="55" xr:uid="{00000000-0005-0000-0000-000020000000}"/>
    <cellStyle name="Comma 3 2" xfId="72" xr:uid="{00000000-0005-0000-0000-000021000000}"/>
    <cellStyle name="Comma 3 3" xfId="78" xr:uid="{A5C39E72-1903-4AEC-A2AD-71D0B7EC0BED}"/>
    <cellStyle name="Comma 4" xfId="58" xr:uid="{00000000-0005-0000-0000-000022000000}"/>
    <cellStyle name="Comma 5" xfId="66" xr:uid="{00000000-0005-0000-0000-000023000000}"/>
    <cellStyle name="Comma 6" xfId="49" xr:uid="{00000000-0005-0000-0000-000024000000}"/>
    <cellStyle name="Comma 7" xfId="83" xr:uid="{34ED19BB-FD3D-407A-9A66-4A493F19AC9E}"/>
    <cellStyle name="Currency" xfId="84" builtinId="4"/>
    <cellStyle name="Currency 2" xfId="67" xr:uid="{00000000-0005-0000-0000-000025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85" builtinId="8"/>
    <cellStyle name="Hyperlink 2" xfId="76" xr:uid="{00000000-0005-0000-0000-00002D000000}"/>
    <cellStyle name="Hyperlink 3" xfId="81" xr:uid="{C02ABEB5-7CAE-4AFD-B9D2-C31EBACEA4A4}"/>
    <cellStyle name="Input" xfId="10" builtinId="20" customBuiltin="1"/>
    <cellStyle name="Linked Cell" xfId="13" builtinId="24" customBuiltin="1"/>
    <cellStyle name="Neutral" xfId="9" builtinId="28" customBuiltin="1"/>
    <cellStyle name="Normal" xfId="0" builtinId="0"/>
    <cellStyle name="Normal 2" xfId="44" xr:uid="{00000000-0005-0000-0000-000032000000}"/>
    <cellStyle name="Normal 2 2" xfId="46" xr:uid="{00000000-0005-0000-0000-000033000000}"/>
    <cellStyle name="Normal 2 3" xfId="69" xr:uid="{00000000-0005-0000-0000-000034000000}"/>
    <cellStyle name="Normal 3" xfId="47" xr:uid="{00000000-0005-0000-0000-000035000000}"/>
    <cellStyle name="Normal 3 2" xfId="60" xr:uid="{00000000-0005-0000-0000-000036000000}"/>
    <cellStyle name="Normal 3 3" xfId="50" xr:uid="{00000000-0005-0000-0000-000037000000}"/>
    <cellStyle name="Normal 3 4" xfId="77" xr:uid="{889AF756-52B3-44F1-BB58-B7DDB3661287}"/>
    <cellStyle name="Normal 4" xfId="51" xr:uid="{00000000-0005-0000-0000-000038000000}"/>
    <cellStyle name="Normal 4 2" xfId="61" xr:uid="{00000000-0005-0000-0000-000039000000}"/>
    <cellStyle name="Normal 4 3" xfId="71" xr:uid="{00000000-0005-0000-0000-00003A000000}"/>
    <cellStyle name="Normal 4 4" xfId="80" xr:uid="{200CAF2A-79AC-4074-9FC3-DF2651AFD405}"/>
    <cellStyle name="Normal 5" xfId="54" xr:uid="{00000000-0005-0000-0000-00003B000000}"/>
    <cellStyle name="Normal 5 2" xfId="62" xr:uid="{00000000-0005-0000-0000-00003C000000}"/>
    <cellStyle name="Normal 6" xfId="57" xr:uid="{00000000-0005-0000-0000-00003D000000}"/>
    <cellStyle name="Normal 7" xfId="56" xr:uid="{00000000-0005-0000-0000-00003E000000}"/>
    <cellStyle name="Normal 8" xfId="65" xr:uid="{00000000-0005-0000-0000-00003F000000}"/>
    <cellStyle name="Normal 9" xfId="70" xr:uid="{00000000-0005-0000-0000-000040000000}"/>
    <cellStyle name="Note" xfId="16" builtinId="10" customBuiltin="1"/>
    <cellStyle name="Output" xfId="11" builtinId="21" customBuiltin="1"/>
    <cellStyle name="Percent" xfId="43" builtinId="5"/>
    <cellStyle name="Percent 2" xfId="48" xr:uid="{00000000-0005-0000-0000-000044000000}"/>
    <cellStyle name="Percent 2 2" xfId="63" xr:uid="{00000000-0005-0000-0000-000045000000}"/>
    <cellStyle name="Percent 2 2 2" xfId="82" xr:uid="{6B2F4DD1-BD3C-45BA-8701-EB876A7CB920}"/>
    <cellStyle name="Percent 2 3" xfId="75" xr:uid="{00000000-0005-0000-0000-000046000000}"/>
    <cellStyle name="Percent 2 4" xfId="53" xr:uid="{00000000-0005-0000-0000-000047000000}"/>
    <cellStyle name="Percent 3" xfId="64" xr:uid="{00000000-0005-0000-0000-000048000000}"/>
    <cellStyle name="Percent 3 2" xfId="73" xr:uid="{00000000-0005-0000-0000-000049000000}"/>
    <cellStyle name="Percent 3 3" xfId="79" xr:uid="{16D0D925-F463-41FF-A55A-EEF81D32A761}"/>
    <cellStyle name="Percent 4" xfId="68" xr:uid="{00000000-0005-0000-0000-00004A000000}"/>
    <cellStyle name="Title" xfId="2" builtinId="15" customBuiltin="1"/>
    <cellStyle name="Total" xfId="18" builtinId="25" customBuiltin="1"/>
    <cellStyle name="Warning Text" xfId="15" builtinId="11" customBuiltin="1"/>
  </cellStyles>
  <dxfs count="23">
    <dxf>
      <font>
        <b val="0"/>
        <i/>
        <u/>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val="0"/>
        <i val="0"/>
        <strike val="0"/>
        <condense val="0"/>
        <extend val="0"/>
        <outline val="0"/>
        <shadow val="0"/>
        <u val="none"/>
        <vertAlign val="baseline"/>
        <sz val="11"/>
        <color theme="1"/>
        <name val="Calibri"/>
        <family val="2"/>
        <scheme val="minor"/>
      </font>
      <numFmt numFmtId="165" formatCode="_(* #,##0_);_(* \(#,##0\);_(* &quot;-&quot;??_);_(@_)"/>
    </dxf>
    <dxf>
      <font>
        <strike val="0"/>
        <outline val="0"/>
        <shadow val="0"/>
        <vertAlign val="baseline"/>
        <color auto="1"/>
      </font>
      <numFmt numFmtId="35" formatCode="_(* #,##0.00_);_(* \(#,##0.00\);_(* &quot;-&quot;??_);_(@_)"/>
    </dxf>
    <dxf>
      <font>
        <strike val="0"/>
        <outline val="0"/>
        <shadow val="0"/>
        <vertAlign val="baseline"/>
        <color auto="1"/>
      </font>
      <fill>
        <patternFill patternType="solid">
          <fgColor indexed="64"/>
          <bgColor theme="8" tint="0.59999389629810485"/>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solid">
          <fgColor indexed="64"/>
          <bgColor theme="8" tint="0.59999389629810485"/>
        </patternFill>
      </fill>
    </dxf>
    <dxf>
      <font>
        <b val="0"/>
        <i val="0"/>
        <strike val="0"/>
        <condense val="0"/>
        <extend val="0"/>
        <outline val="0"/>
        <shadow val="0"/>
        <u val="none"/>
        <vertAlign val="baseline"/>
        <sz val="11"/>
        <color auto="1"/>
        <name val="Calibri"/>
        <family val="2"/>
        <scheme val="minor"/>
      </font>
      <fill>
        <patternFill patternType="solid">
          <fgColor indexed="64"/>
          <bgColor theme="8" tint="0.59999389629810485"/>
        </patternFill>
      </fill>
    </dxf>
    <dxf>
      <font>
        <strike val="0"/>
        <outline val="0"/>
        <shadow val="0"/>
        <vertAlign val="baseline"/>
        <color auto="1"/>
      </font>
      <fill>
        <patternFill patternType="solid">
          <fgColor indexed="64"/>
          <bgColor theme="8" tint="0.59999389629810485"/>
        </patternFill>
      </fill>
    </dxf>
    <dxf>
      <font>
        <strike val="0"/>
        <outline val="0"/>
        <shadow val="0"/>
        <vertAlign val="baseline"/>
        <color auto="1"/>
      </font>
      <fill>
        <patternFill patternType="solid">
          <fgColor indexed="64"/>
          <bgColor theme="8" tint="0.59999389629810485"/>
        </patternFill>
      </fill>
    </dxf>
    <dxf>
      <font>
        <strike val="0"/>
        <outline val="0"/>
        <shadow val="0"/>
        <vertAlign val="baseline"/>
        <color auto="1"/>
      </font>
      <fill>
        <patternFill patternType="solid">
          <fgColor indexed="64"/>
          <bgColor theme="8" tint="0.59999389629810485"/>
        </patternFill>
      </fill>
    </dxf>
    <dxf>
      <font>
        <strike val="0"/>
        <outline val="0"/>
        <shadow val="0"/>
        <vertAlign val="baseline"/>
        <color auto="1"/>
      </font>
    </dxf>
    <dxf>
      <font>
        <strike val="0"/>
        <outline val="0"/>
        <shadow val="0"/>
        <u val="none"/>
        <vertAlign val="baseline"/>
        <sz val="11"/>
        <color theme="0"/>
        <name val="Calibri"/>
        <family val="2"/>
        <scheme val="minor"/>
      </font>
      <fill>
        <patternFill patternType="none">
          <fgColor indexed="64"/>
          <bgColor auto="1"/>
        </patternFill>
      </fill>
    </dxf>
  </dxfs>
  <tableStyles count="0" defaultTableStyle="TableStyleMedium9" defaultPivotStyle="PivotStyleLight16"/>
  <colors>
    <mruColors>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4.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5.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6.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14.xml"/><Relationship Id="rId1" Type="http://schemas.microsoft.com/office/2011/relationships/chartStyle" Target="style14.xml"/></Relationships>
</file>

<file path=xl/charts/_rels/chart18.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9.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0.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1.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2.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4.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ysClr val="windowText" lastClr="000000"/>
                </a:solidFill>
                <a:latin typeface="+mn-lt"/>
                <a:ea typeface="+mn-ea"/>
                <a:cs typeface="+mn-cs"/>
              </a:defRPr>
            </a:pPr>
            <a:r>
              <a:rPr lang="en-US" sz="1800" b="0">
                <a:solidFill>
                  <a:sysClr val="windowText" lastClr="000000"/>
                </a:solidFill>
              </a:rPr>
              <a:t>Tonga Electricity GHG Reductions</a:t>
            </a:r>
          </a:p>
        </c:rich>
      </c:tx>
      <c:overlay val="0"/>
      <c:spPr>
        <a:noFill/>
        <a:ln>
          <a:noFill/>
        </a:ln>
        <a:effectLst/>
      </c:spPr>
      <c:txPr>
        <a:bodyPr rot="0" spcFirstLastPara="1" vertOverflow="ellipsis" vert="horz" wrap="square" anchor="ctr" anchorCtr="1"/>
        <a:lstStyle/>
        <a:p>
          <a:pPr>
            <a:defRPr sz="180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6.628307314496823E-2"/>
          <c:y val="0.11191869941330608"/>
          <c:w val="0.90389250373325403"/>
          <c:h val="0.74210202326020358"/>
        </c:manualLayout>
      </c:layout>
      <c:areaChart>
        <c:grouping val="stacked"/>
        <c:varyColors val="0"/>
        <c:ser>
          <c:idx val="0"/>
          <c:order val="0"/>
          <c:tx>
            <c:strRef>
              <c:f>Electricity!$C$475</c:f>
              <c:strCache>
                <c:ptCount val="1"/>
                <c:pt idx="0">
                  <c:v>Unabated GHG Emissions</c:v>
                </c:pt>
              </c:strCache>
            </c:strRef>
          </c:tx>
          <c:spPr>
            <a:solidFill>
              <a:schemeClr val="bg1">
                <a:lumMod val="50000"/>
              </a:schemeClr>
            </a:solidFill>
            <a:ln>
              <a:noFill/>
            </a:ln>
            <a:effectLst/>
          </c:spPr>
          <c:cat>
            <c:numRef>
              <c:f>Electricity!$B$476:$B$489</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Electricity!$C$476:$C$489</c:f>
              <c:numCache>
                <c:formatCode>#,##0\ "kg CO2e"</c:formatCode>
                <c:ptCount val="14"/>
                <c:pt idx="0">
                  <c:v>48915463.263638012</c:v>
                </c:pt>
                <c:pt idx="1">
                  <c:v>41204107.089680173</c:v>
                </c:pt>
                <c:pt idx="2">
                  <c:v>32589588.37732454</c:v>
                </c:pt>
                <c:pt idx="3">
                  <c:v>24796617.709687971</c:v>
                </c:pt>
                <c:pt idx="4">
                  <c:v>23517211.806647986</c:v>
                </c:pt>
                <c:pt idx="5">
                  <c:v>22210802.511148944</c:v>
                </c:pt>
                <c:pt idx="6">
                  <c:v>20961730.115291461</c:v>
                </c:pt>
                <c:pt idx="7">
                  <c:v>19699121.948771112</c:v>
                </c:pt>
                <c:pt idx="8">
                  <c:v>19741413.557691444</c:v>
                </c:pt>
                <c:pt idx="9">
                  <c:v>19782984.526598178</c:v>
                </c:pt>
                <c:pt idx="10">
                  <c:v>19715353.960314278</c:v>
                </c:pt>
                <c:pt idx="11">
                  <c:v>19494315.887333117</c:v>
                </c:pt>
                <c:pt idx="12">
                  <c:v>19193116.856118057</c:v>
                </c:pt>
                <c:pt idx="13">
                  <c:v>18852295.161347717</c:v>
                </c:pt>
              </c:numCache>
            </c:numRef>
          </c:val>
          <c:extLst>
            <c:ext xmlns:c16="http://schemas.microsoft.com/office/drawing/2014/chart" uri="{C3380CC4-5D6E-409C-BE32-E72D297353CC}">
              <c16:uniqueId val="{00000000-B436-4CEB-8A0B-F72D0718707A}"/>
            </c:ext>
          </c:extLst>
        </c:ser>
        <c:ser>
          <c:idx val="1"/>
          <c:order val="1"/>
          <c:tx>
            <c:strRef>
              <c:f>Electricity!$D$475</c:f>
              <c:strCache>
                <c:ptCount val="1"/>
                <c:pt idx="0">
                  <c:v>RE Reduc.</c:v>
                </c:pt>
              </c:strCache>
            </c:strRef>
          </c:tx>
          <c:spPr>
            <a:solidFill>
              <a:srgbClr val="92D050"/>
            </a:solidFill>
            <a:ln>
              <a:noFill/>
            </a:ln>
            <a:effectLst/>
          </c:spPr>
          <c:cat>
            <c:numRef>
              <c:f>Electricity!$B$476:$B$489</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Electricity!$D$476:$D$489</c:f>
              <c:numCache>
                <c:formatCode>#,##0\ "kg CO2e"</c:formatCode>
                <c:ptCount val="14"/>
                <c:pt idx="0">
                  <c:v>3823891.9176131957</c:v>
                </c:pt>
                <c:pt idx="1">
                  <c:v>11285445.296057476</c:v>
                </c:pt>
                <c:pt idx="2">
                  <c:v>18133650.410641842</c:v>
                </c:pt>
                <c:pt idx="3">
                  <c:v>24796617.709687971</c:v>
                </c:pt>
                <c:pt idx="4">
                  <c:v>25476979.457201991</c:v>
                </c:pt>
                <c:pt idx="5">
                  <c:v>26073550.773957457</c:v>
                </c:pt>
                <c:pt idx="6">
                  <c:v>26678565.601280048</c:v>
                </c:pt>
                <c:pt idx="7">
                  <c:v>27203549.357826788</c:v>
                </c:pt>
                <c:pt idx="8">
                  <c:v>29612120.336537186</c:v>
                </c:pt>
                <c:pt idx="9">
                  <c:v>32277501.069712836</c:v>
                </c:pt>
                <c:pt idx="10">
                  <c:v>35049518.151669845</c:v>
                </c:pt>
                <c:pt idx="11">
                  <c:v>37841907.31070549</c:v>
                </c:pt>
                <c:pt idx="12">
                  <c:v>40785373.319250919</c:v>
                </c:pt>
                <c:pt idx="13">
                  <c:v>43988688.709811345</c:v>
                </c:pt>
              </c:numCache>
            </c:numRef>
          </c:val>
          <c:extLst>
            <c:ext xmlns:c16="http://schemas.microsoft.com/office/drawing/2014/chart" uri="{C3380CC4-5D6E-409C-BE32-E72D297353CC}">
              <c16:uniqueId val="{00000001-B436-4CEB-8A0B-F72D0718707A}"/>
            </c:ext>
          </c:extLst>
        </c:ser>
        <c:ser>
          <c:idx val="2"/>
          <c:order val="2"/>
          <c:tx>
            <c:strRef>
              <c:f>Electricity!$E$475</c:f>
              <c:strCache>
                <c:ptCount val="1"/>
                <c:pt idx="0">
                  <c:v>MEPS Reduc.</c:v>
                </c:pt>
              </c:strCache>
            </c:strRef>
          </c:tx>
          <c:spPr>
            <a:solidFill>
              <a:srgbClr val="0070C0"/>
            </a:solidFill>
            <a:ln>
              <a:noFill/>
            </a:ln>
            <a:effectLst/>
          </c:spPr>
          <c:cat>
            <c:numRef>
              <c:f>Electricity!$B$476:$B$489</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Electricity!$E$476:$E$489</c:f>
              <c:numCache>
                <c:formatCode>#,##0\ "kg CO2e"</c:formatCode>
                <c:ptCount val="14"/>
                <c:pt idx="0">
                  <c:v>0</c:v>
                </c:pt>
                <c:pt idx="1">
                  <c:v>748918.75684807566</c:v>
                </c:pt>
                <c:pt idx="2">
                  <c:v>1522422.9206316317</c:v>
                </c:pt>
                <c:pt idx="3">
                  <c:v>2357216.5946736909</c:v>
                </c:pt>
                <c:pt idx="4">
                  <c:v>3297537.7026993432</c:v>
                </c:pt>
                <c:pt idx="5">
                  <c:v>4340278.8014097502</c:v>
                </c:pt>
                <c:pt idx="6">
                  <c:v>5506979.6387575511</c:v>
                </c:pt>
                <c:pt idx="7">
                  <c:v>6799049.4370130431</c:v>
                </c:pt>
                <c:pt idx="8">
                  <c:v>7268363.9447785728</c:v>
                </c:pt>
                <c:pt idx="9">
                  <c:v>7791794.2830832284</c:v>
                </c:pt>
                <c:pt idx="10">
                  <c:v>8333721.117153178</c:v>
                </c:pt>
                <c:pt idx="11">
                  <c:v>8876164.9251409918</c:v>
                </c:pt>
                <c:pt idx="12">
                  <c:v>9447463.2975644935</c:v>
                </c:pt>
                <c:pt idx="13">
                  <c:v>10074438.988908153</c:v>
                </c:pt>
              </c:numCache>
            </c:numRef>
          </c:val>
          <c:extLst>
            <c:ext xmlns:c16="http://schemas.microsoft.com/office/drawing/2014/chart" uri="{C3380CC4-5D6E-409C-BE32-E72D297353CC}">
              <c16:uniqueId val="{00000002-B436-4CEB-8A0B-F72D0718707A}"/>
            </c:ext>
          </c:extLst>
        </c:ser>
        <c:ser>
          <c:idx val="3"/>
          <c:order val="3"/>
          <c:tx>
            <c:strRef>
              <c:f>Electricity!$F$475</c:f>
              <c:strCache>
                <c:ptCount val="1"/>
                <c:pt idx="0">
                  <c:v>Space Cooling Reduc.</c:v>
                </c:pt>
              </c:strCache>
            </c:strRef>
          </c:tx>
          <c:spPr>
            <a:solidFill>
              <a:schemeClr val="accent4"/>
            </a:solidFill>
            <a:ln>
              <a:noFill/>
            </a:ln>
            <a:effectLst/>
          </c:spPr>
          <c:cat>
            <c:numRef>
              <c:f>Electricity!$B$476:$B$489</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Electricity!$F$476:$F$489</c:f>
              <c:numCache>
                <c:formatCode>#,##0\ "kg CO2e"</c:formatCode>
                <c:ptCount val="14"/>
                <c:pt idx="0">
                  <c:v>0</c:v>
                </c:pt>
                <c:pt idx="1">
                  <c:v>1122598.9836569868</c:v>
                </c:pt>
                <c:pt idx="2">
                  <c:v>2339080.8687822958</c:v>
                </c:pt>
                <c:pt idx="3">
                  <c:v>3691668.5865738643</c:v>
                </c:pt>
                <c:pt idx="4">
                  <c:v>5234790.1455552448</c:v>
                </c:pt>
                <c:pt idx="5">
                  <c:v>6947828.1553257154</c:v>
                </c:pt>
                <c:pt idx="6">
                  <c:v>8870656.284192102</c:v>
                </c:pt>
                <c:pt idx="7">
                  <c:v>11003399.783042569</c:v>
                </c:pt>
                <c:pt idx="8">
                  <c:v>11773287.999342363</c:v>
                </c:pt>
                <c:pt idx="9">
                  <c:v>12610847.832895657</c:v>
                </c:pt>
                <c:pt idx="10">
                  <c:v>13453396.465687705</c:v>
                </c:pt>
                <c:pt idx="11">
                  <c:v>14267339.456578445</c:v>
                </c:pt>
                <c:pt idx="12">
                  <c:v>15103643.996216163</c:v>
                </c:pt>
                <c:pt idx="13">
                  <c:v>16013718.334785631</c:v>
                </c:pt>
              </c:numCache>
            </c:numRef>
          </c:val>
          <c:extLst>
            <c:ext xmlns:c16="http://schemas.microsoft.com/office/drawing/2014/chart" uri="{C3380CC4-5D6E-409C-BE32-E72D297353CC}">
              <c16:uniqueId val="{00000003-B436-4CEB-8A0B-F72D0718707A}"/>
            </c:ext>
          </c:extLst>
        </c:ser>
        <c:ser>
          <c:idx val="4"/>
          <c:order val="4"/>
          <c:tx>
            <c:strRef>
              <c:f>Electricity!$G$475</c:f>
              <c:strCache>
                <c:ptCount val="1"/>
                <c:pt idx="0">
                  <c:v>Appliance Reduc.</c:v>
                </c:pt>
              </c:strCache>
            </c:strRef>
          </c:tx>
          <c:spPr>
            <a:solidFill>
              <a:schemeClr val="accent5"/>
            </a:solidFill>
            <a:ln>
              <a:noFill/>
            </a:ln>
            <a:effectLst/>
          </c:spPr>
          <c:cat>
            <c:numRef>
              <c:f>Electricity!$B$476:$B$489</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Electricity!$G$476:$G$489</c:f>
              <c:numCache>
                <c:formatCode>#,##0\ "kg CO2e"</c:formatCode>
                <c:ptCount val="14"/>
                <c:pt idx="0">
                  <c:v>0</c:v>
                </c:pt>
                <c:pt idx="1">
                  <c:v>405672.68379107286</c:v>
                </c:pt>
                <c:pt idx="2">
                  <c:v>833503.98285923316</c:v>
                </c:pt>
                <c:pt idx="3">
                  <c:v>1300980.7556974508</c:v>
                </c:pt>
                <c:pt idx="4">
                  <c:v>1826366.2584744017</c:v>
                </c:pt>
                <c:pt idx="5">
                  <c:v>2341362.195637458</c:v>
                </c:pt>
                <c:pt idx="6">
                  <c:v>2877494.3442520956</c:v>
                </c:pt>
                <c:pt idx="7">
                  <c:v>3446506.1735027479</c:v>
                </c:pt>
                <c:pt idx="8">
                  <c:v>3555082.2325956225</c:v>
                </c:pt>
                <c:pt idx="9">
                  <c:v>3679904.2073413427</c:v>
                </c:pt>
                <c:pt idx="10">
                  <c:v>3802273.0286986968</c:v>
                </c:pt>
                <c:pt idx="11">
                  <c:v>3913525.6262627691</c:v>
                </c:pt>
                <c:pt idx="12">
                  <c:v>4027924.2771351836</c:v>
                </c:pt>
                <c:pt idx="13">
                  <c:v>4153750.8752212524</c:v>
                </c:pt>
              </c:numCache>
            </c:numRef>
          </c:val>
          <c:extLst>
            <c:ext xmlns:c16="http://schemas.microsoft.com/office/drawing/2014/chart" uri="{C3380CC4-5D6E-409C-BE32-E72D297353CC}">
              <c16:uniqueId val="{00000004-B436-4CEB-8A0B-F72D0718707A}"/>
            </c:ext>
          </c:extLst>
        </c:ser>
        <c:ser>
          <c:idx val="5"/>
          <c:order val="5"/>
          <c:tx>
            <c:strRef>
              <c:f>Electricity!$H$475</c:f>
              <c:strCache>
                <c:ptCount val="1"/>
                <c:pt idx="0">
                  <c:v>Lighting Reduc.</c:v>
                </c:pt>
              </c:strCache>
            </c:strRef>
          </c:tx>
          <c:spPr>
            <a:solidFill>
              <a:schemeClr val="accent6"/>
            </a:solidFill>
            <a:ln>
              <a:noFill/>
            </a:ln>
            <a:effectLst/>
          </c:spPr>
          <c:cat>
            <c:numRef>
              <c:f>Electricity!$B$476:$B$489</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Electricity!$H$476:$H$489</c:f>
              <c:numCache>
                <c:formatCode>#,##0\ "kg CO2e"</c:formatCode>
                <c:ptCount val="14"/>
                <c:pt idx="0">
                  <c:v>0</c:v>
                </c:pt>
                <c:pt idx="1">
                  <c:v>333420.26838387997</c:v>
                </c:pt>
                <c:pt idx="2">
                  <c:v>639260.74740210164</c:v>
                </c:pt>
                <c:pt idx="3">
                  <c:v>928900.01179799438</c:v>
                </c:pt>
                <c:pt idx="4">
                  <c:v>1211998.9056691057</c:v>
                </c:pt>
                <c:pt idx="5">
                  <c:v>1483299.6060924833</c:v>
                </c:pt>
                <c:pt idx="6">
                  <c:v>1743406.1400416568</c:v>
                </c:pt>
                <c:pt idx="7">
                  <c:v>1988986.3339074333</c:v>
                </c:pt>
                <c:pt idx="8">
                  <c:v>2025312.7217112945</c:v>
                </c:pt>
                <c:pt idx="9">
                  <c:v>2066055.5965261776</c:v>
                </c:pt>
                <c:pt idx="10">
                  <c:v>2106518.9048268981</c:v>
                </c:pt>
                <c:pt idx="11">
                  <c:v>2144425.9305019896</c:v>
                </c:pt>
                <c:pt idx="12">
                  <c:v>2183475.3708029725</c:v>
                </c:pt>
                <c:pt idx="13">
                  <c:v>2227430.8111435035</c:v>
                </c:pt>
              </c:numCache>
            </c:numRef>
          </c:val>
          <c:extLst>
            <c:ext xmlns:c16="http://schemas.microsoft.com/office/drawing/2014/chart" uri="{C3380CC4-5D6E-409C-BE32-E72D297353CC}">
              <c16:uniqueId val="{00000005-B436-4CEB-8A0B-F72D0718707A}"/>
            </c:ext>
          </c:extLst>
        </c:ser>
        <c:dLbls>
          <c:showLegendKey val="0"/>
          <c:showVal val="0"/>
          <c:showCatName val="0"/>
          <c:showSerName val="0"/>
          <c:showPercent val="0"/>
          <c:showBubbleSize val="0"/>
        </c:dLbls>
        <c:axId val="439207352"/>
        <c:axId val="439210304"/>
      </c:areaChart>
      <c:catAx>
        <c:axId val="4392073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439210304"/>
        <c:crosses val="autoZero"/>
        <c:auto val="1"/>
        <c:lblAlgn val="ctr"/>
        <c:lblOffset val="100"/>
        <c:noMultiLvlLbl val="0"/>
      </c:catAx>
      <c:valAx>
        <c:axId val="4392103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r>
                  <a:rPr lang="en-US" sz="1050">
                    <a:solidFill>
                      <a:sysClr val="windowText" lastClr="000000"/>
                    </a:solidFill>
                  </a:rPr>
                  <a:t>Thousand Metric Tonnes CO</a:t>
                </a:r>
                <a:r>
                  <a:rPr lang="en-US" sz="1050" baseline="30000">
                    <a:solidFill>
                      <a:sysClr val="windowText" lastClr="000000"/>
                    </a:solidFill>
                  </a:rPr>
                  <a:t>2</a:t>
                </a:r>
                <a:r>
                  <a:rPr lang="en-US" sz="1050">
                    <a:solidFill>
                      <a:sysClr val="windowText" lastClr="000000"/>
                    </a:solidFill>
                  </a:rPr>
                  <a:t>e</a:t>
                </a:r>
              </a:p>
            </c:rich>
          </c:tx>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title>
        <c:numFmt formatCode="#,##0\ &quot;kg CO2e&quot;"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439207352"/>
        <c:crosses val="autoZero"/>
        <c:crossBetween val="midCat"/>
        <c:dispUnits>
          <c:builtInUnit val="millions"/>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Emissions from Electricity After</a:t>
            </a:r>
            <a:r>
              <a:rPr lang="en-US" baseline="0"/>
              <a:t> Policy Options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8969444924199401E-2"/>
          <c:y val="0.11191869941330608"/>
          <c:w val="0.87120608740707417"/>
          <c:h val="0.74210202326020358"/>
        </c:manualLayout>
      </c:layout>
      <c:areaChart>
        <c:grouping val="stacked"/>
        <c:varyColors val="0"/>
        <c:ser>
          <c:idx val="0"/>
          <c:order val="0"/>
          <c:tx>
            <c:strRef>
              <c:f>Electricity!$C$475</c:f>
              <c:strCache>
                <c:ptCount val="1"/>
                <c:pt idx="0">
                  <c:v>Unabated GHG Emissions</c:v>
                </c:pt>
              </c:strCache>
            </c:strRef>
          </c:tx>
          <c:spPr>
            <a:solidFill>
              <a:schemeClr val="bg1">
                <a:lumMod val="50000"/>
              </a:schemeClr>
            </a:solidFill>
            <a:ln>
              <a:noFill/>
            </a:ln>
            <a:effectLst/>
          </c:spPr>
          <c:cat>
            <c:numRef>
              <c:f>Electricity!$B$476:$B$489</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Electricity!$C$476:$C$489</c:f>
              <c:numCache>
                <c:formatCode>#,##0\ "kg CO2e"</c:formatCode>
                <c:ptCount val="14"/>
                <c:pt idx="0">
                  <c:v>48915463.263638012</c:v>
                </c:pt>
                <c:pt idx="1">
                  <c:v>41204107.089680173</c:v>
                </c:pt>
                <c:pt idx="2">
                  <c:v>32589588.37732454</c:v>
                </c:pt>
                <c:pt idx="3">
                  <c:v>24796617.709687971</c:v>
                </c:pt>
                <c:pt idx="4">
                  <c:v>23517211.806647986</c:v>
                </c:pt>
                <c:pt idx="5">
                  <c:v>22210802.511148944</c:v>
                </c:pt>
                <c:pt idx="6">
                  <c:v>20961730.115291461</c:v>
                </c:pt>
                <c:pt idx="7">
                  <c:v>19699121.948771112</c:v>
                </c:pt>
                <c:pt idx="8">
                  <c:v>19741413.557691444</c:v>
                </c:pt>
                <c:pt idx="9">
                  <c:v>19782984.526598178</c:v>
                </c:pt>
                <c:pt idx="10">
                  <c:v>19715353.960314278</c:v>
                </c:pt>
                <c:pt idx="11">
                  <c:v>19494315.887333117</c:v>
                </c:pt>
                <c:pt idx="12">
                  <c:v>19193116.856118057</c:v>
                </c:pt>
                <c:pt idx="13">
                  <c:v>18852295.161347717</c:v>
                </c:pt>
              </c:numCache>
            </c:numRef>
          </c:val>
          <c:extLst>
            <c:ext xmlns:c16="http://schemas.microsoft.com/office/drawing/2014/chart" uri="{C3380CC4-5D6E-409C-BE32-E72D297353CC}">
              <c16:uniqueId val="{00000000-D117-44C4-8F0B-EAF134249EAD}"/>
            </c:ext>
          </c:extLst>
        </c:ser>
        <c:ser>
          <c:idx val="1"/>
          <c:order val="1"/>
          <c:tx>
            <c:strRef>
              <c:f>Electricity!$D$475</c:f>
              <c:strCache>
                <c:ptCount val="1"/>
                <c:pt idx="0">
                  <c:v>RE Reduc.</c:v>
                </c:pt>
              </c:strCache>
            </c:strRef>
          </c:tx>
          <c:spPr>
            <a:solidFill>
              <a:srgbClr val="92D050"/>
            </a:solidFill>
            <a:ln>
              <a:noFill/>
            </a:ln>
            <a:effectLst/>
          </c:spPr>
          <c:cat>
            <c:numRef>
              <c:f>Electricity!$B$476:$B$489</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Electricity!$D$476:$D$489</c:f>
              <c:numCache>
                <c:formatCode>#,##0\ "kg CO2e"</c:formatCode>
                <c:ptCount val="14"/>
                <c:pt idx="0">
                  <c:v>3823891.9176131957</c:v>
                </c:pt>
                <c:pt idx="1">
                  <c:v>11285445.296057476</c:v>
                </c:pt>
                <c:pt idx="2">
                  <c:v>18133650.410641842</c:v>
                </c:pt>
                <c:pt idx="3">
                  <c:v>24796617.709687971</c:v>
                </c:pt>
                <c:pt idx="4">
                  <c:v>25476979.457201991</c:v>
                </c:pt>
                <c:pt idx="5">
                  <c:v>26073550.773957457</c:v>
                </c:pt>
                <c:pt idx="6">
                  <c:v>26678565.601280048</c:v>
                </c:pt>
                <c:pt idx="7">
                  <c:v>27203549.357826788</c:v>
                </c:pt>
                <c:pt idx="8">
                  <c:v>29612120.336537186</c:v>
                </c:pt>
                <c:pt idx="9">
                  <c:v>32277501.069712836</c:v>
                </c:pt>
                <c:pt idx="10">
                  <c:v>35049518.151669845</c:v>
                </c:pt>
                <c:pt idx="11">
                  <c:v>37841907.31070549</c:v>
                </c:pt>
                <c:pt idx="12">
                  <c:v>40785373.319250919</c:v>
                </c:pt>
                <c:pt idx="13">
                  <c:v>43988688.709811345</c:v>
                </c:pt>
              </c:numCache>
            </c:numRef>
          </c:val>
          <c:extLst>
            <c:ext xmlns:c16="http://schemas.microsoft.com/office/drawing/2014/chart" uri="{C3380CC4-5D6E-409C-BE32-E72D297353CC}">
              <c16:uniqueId val="{00000001-D117-44C4-8F0B-EAF134249EAD}"/>
            </c:ext>
          </c:extLst>
        </c:ser>
        <c:ser>
          <c:idx val="2"/>
          <c:order val="2"/>
          <c:tx>
            <c:strRef>
              <c:f>Electricity!$E$475</c:f>
              <c:strCache>
                <c:ptCount val="1"/>
                <c:pt idx="0">
                  <c:v>MEPS Reduc.</c:v>
                </c:pt>
              </c:strCache>
            </c:strRef>
          </c:tx>
          <c:spPr>
            <a:solidFill>
              <a:srgbClr val="0070C0"/>
            </a:solidFill>
            <a:ln>
              <a:noFill/>
            </a:ln>
            <a:effectLst/>
          </c:spPr>
          <c:cat>
            <c:numRef>
              <c:f>Electricity!$B$476:$B$489</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Electricity!$E$476:$E$489</c:f>
              <c:numCache>
                <c:formatCode>#,##0\ "kg CO2e"</c:formatCode>
                <c:ptCount val="14"/>
                <c:pt idx="0">
                  <c:v>0</c:v>
                </c:pt>
                <c:pt idx="1">
                  <c:v>748918.75684807566</c:v>
                </c:pt>
                <c:pt idx="2">
                  <c:v>1522422.9206316317</c:v>
                </c:pt>
                <c:pt idx="3">
                  <c:v>2357216.5946736909</c:v>
                </c:pt>
                <c:pt idx="4">
                  <c:v>3297537.7026993432</c:v>
                </c:pt>
                <c:pt idx="5">
                  <c:v>4340278.8014097502</c:v>
                </c:pt>
                <c:pt idx="6">
                  <c:v>5506979.6387575511</c:v>
                </c:pt>
                <c:pt idx="7">
                  <c:v>6799049.4370130431</c:v>
                </c:pt>
                <c:pt idx="8">
                  <c:v>7268363.9447785728</c:v>
                </c:pt>
                <c:pt idx="9">
                  <c:v>7791794.2830832284</c:v>
                </c:pt>
                <c:pt idx="10">
                  <c:v>8333721.117153178</c:v>
                </c:pt>
                <c:pt idx="11">
                  <c:v>8876164.9251409918</c:v>
                </c:pt>
                <c:pt idx="12">
                  <c:v>9447463.2975644935</c:v>
                </c:pt>
                <c:pt idx="13">
                  <c:v>10074438.988908153</c:v>
                </c:pt>
              </c:numCache>
            </c:numRef>
          </c:val>
          <c:extLst>
            <c:ext xmlns:c16="http://schemas.microsoft.com/office/drawing/2014/chart" uri="{C3380CC4-5D6E-409C-BE32-E72D297353CC}">
              <c16:uniqueId val="{00000002-D117-44C4-8F0B-EAF134249EAD}"/>
            </c:ext>
          </c:extLst>
        </c:ser>
        <c:ser>
          <c:idx val="3"/>
          <c:order val="3"/>
          <c:tx>
            <c:strRef>
              <c:f>Electricity!$F$475</c:f>
              <c:strCache>
                <c:ptCount val="1"/>
                <c:pt idx="0">
                  <c:v>Space Cooling Reduc.</c:v>
                </c:pt>
              </c:strCache>
            </c:strRef>
          </c:tx>
          <c:spPr>
            <a:solidFill>
              <a:schemeClr val="accent4"/>
            </a:solidFill>
            <a:ln>
              <a:noFill/>
            </a:ln>
            <a:effectLst/>
          </c:spPr>
          <c:cat>
            <c:numRef>
              <c:f>Electricity!$B$476:$B$489</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Electricity!$F$476:$F$489</c:f>
              <c:numCache>
                <c:formatCode>#,##0\ "kg CO2e"</c:formatCode>
                <c:ptCount val="14"/>
                <c:pt idx="0">
                  <c:v>0</c:v>
                </c:pt>
                <c:pt idx="1">
                  <c:v>1122598.9836569868</c:v>
                </c:pt>
                <c:pt idx="2">
                  <c:v>2339080.8687822958</c:v>
                </c:pt>
                <c:pt idx="3">
                  <c:v>3691668.5865738643</c:v>
                </c:pt>
                <c:pt idx="4">
                  <c:v>5234790.1455552448</c:v>
                </c:pt>
                <c:pt idx="5">
                  <c:v>6947828.1553257154</c:v>
                </c:pt>
                <c:pt idx="6">
                  <c:v>8870656.284192102</c:v>
                </c:pt>
                <c:pt idx="7">
                  <c:v>11003399.783042569</c:v>
                </c:pt>
                <c:pt idx="8">
                  <c:v>11773287.999342363</c:v>
                </c:pt>
                <c:pt idx="9">
                  <c:v>12610847.832895657</c:v>
                </c:pt>
                <c:pt idx="10">
                  <c:v>13453396.465687705</c:v>
                </c:pt>
                <c:pt idx="11">
                  <c:v>14267339.456578445</c:v>
                </c:pt>
                <c:pt idx="12">
                  <c:v>15103643.996216163</c:v>
                </c:pt>
                <c:pt idx="13">
                  <c:v>16013718.334785631</c:v>
                </c:pt>
              </c:numCache>
            </c:numRef>
          </c:val>
          <c:extLst>
            <c:ext xmlns:c16="http://schemas.microsoft.com/office/drawing/2014/chart" uri="{C3380CC4-5D6E-409C-BE32-E72D297353CC}">
              <c16:uniqueId val="{00000003-D117-44C4-8F0B-EAF134249EAD}"/>
            </c:ext>
          </c:extLst>
        </c:ser>
        <c:ser>
          <c:idx val="4"/>
          <c:order val="4"/>
          <c:tx>
            <c:strRef>
              <c:f>Electricity!$G$475</c:f>
              <c:strCache>
                <c:ptCount val="1"/>
                <c:pt idx="0">
                  <c:v>Appliance Reduc.</c:v>
                </c:pt>
              </c:strCache>
            </c:strRef>
          </c:tx>
          <c:spPr>
            <a:solidFill>
              <a:schemeClr val="accent5"/>
            </a:solidFill>
            <a:ln>
              <a:noFill/>
            </a:ln>
            <a:effectLst/>
          </c:spPr>
          <c:cat>
            <c:numRef>
              <c:f>Electricity!$B$476:$B$489</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Electricity!$G$476:$G$489</c:f>
              <c:numCache>
                <c:formatCode>#,##0\ "kg CO2e"</c:formatCode>
                <c:ptCount val="14"/>
                <c:pt idx="0">
                  <c:v>0</c:v>
                </c:pt>
                <c:pt idx="1">
                  <c:v>405672.68379107286</c:v>
                </c:pt>
                <c:pt idx="2">
                  <c:v>833503.98285923316</c:v>
                </c:pt>
                <c:pt idx="3">
                  <c:v>1300980.7556974508</c:v>
                </c:pt>
                <c:pt idx="4">
                  <c:v>1826366.2584744017</c:v>
                </c:pt>
                <c:pt idx="5">
                  <c:v>2341362.195637458</c:v>
                </c:pt>
                <c:pt idx="6">
                  <c:v>2877494.3442520956</c:v>
                </c:pt>
                <c:pt idx="7">
                  <c:v>3446506.1735027479</c:v>
                </c:pt>
                <c:pt idx="8">
                  <c:v>3555082.2325956225</c:v>
                </c:pt>
                <c:pt idx="9">
                  <c:v>3679904.2073413427</c:v>
                </c:pt>
                <c:pt idx="10">
                  <c:v>3802273.0286986968</c:v>
                </c:pt>
                <c:pt idx="11">
                  <c:v>3913525.6262627691</c:v>
                </c:pt>
                <c:pt idx="12">
                  <c:v>4027924.2771351836</c:v>
                </c:pt>
                <c:pt idx="13">
                  <c:v>4153750.8752212524</c:v>
                </c:pt>
              </c:numCache>
            </c:numRef>
          </c:val>
          <c:extLst>
            <c:ext xmlns:c16="http://schemas.microsoft.com/office/drawing/2014/chart" uri="{C3380CC4-5D6E-409C-BE32-E72D297353CC}">
              <c16:uniqueId val="{00000004-D117-44C4-8F0B-EAF134249EAD}"/>
            </c:ext>
          </c:extLst>
        </c:ser>
        <c:ser>
          <c:idx val="5"/>
          <c:order val="5"/>
          <c:tx>
            <c:strRef>
              <c:f>Electricity!$H$475</c:f>
              <c:strCache>
                <c:ptCount val="1"/>
                <c:pt idx="0">
                  <c:v>Lighting Reduc.</c:v>
                </c:pt>
              </c:strCache>
            </c:strRef>
          </c:tx>
          <c:spPr>
            <a:solidFill>
              <a:schemeClr val="accent6"/>
            </a:solidFill>
            <a:ln>
              <a:noFill/>
            </a:ln>
            <a:effectLst/>
          </c:spPr>
          <c:cat>
            <c:numRef>
              <c:f>Electricity!$B$476:$B$489</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Electricity!$H$476:$H$489</c:f>
              <c:numCache>
                <c:formatCode>#,##0\ "kg CO2e"</c:formatCode>
                <c:ptCount val="14"/>
                <c:pt idx="0">
                  <c:v>0</c:v>
                </c:pt>
                <c:pt idx="1">
                  <c:v>333420.26838387997</c:v>
                </c:pt>
                <c:pt idx="2">
                  <c:v>639260.74740210164</c:v>
                </c:pt>
                <c:pt idx="3">
                  <c:v>928900.01179799438</c:v>
                </c:pt>
                <c:pt idx="4">
                  <c:v>1211998.9056691057</c:v>
                </c:pt>
                <c:pt idx="5">
                  <c:v>1483299.6060924833</c:v>
                </c:pt>
                <c:pt idx="6">
                  <c:v>1743406.1400416568</c:v>
                </c:pt>
                <c:pt idx="7">
                  <c:v>1988986.3339074333</c:v>
                </c:pt>
                <c:pt idx="8">
                  <c:v>2025312.7217112945</c:v>
                </c:pt>
                <c:pt idx="9">
                  <c:v>2066055.5965261776</c:v>
                </c:pt>
                <c:pt idx="10">
                  <c:v>2106518.9048268981</c:v>
                </c:pt>
                <c:pt idx="11">
                  <c:v>2144425.9305019896</c:v>
                </c:pt>
                <c:pt idx="12">
                  <c:v>2183475.3708029725</c:v>
                </c:pt>
                <c:pt idx="13">
                  <c:v>2227430.8111435035</c:v>
                </c:pt>
              </c:numCache>
            </c:numRef>
          </c:val>
          <c:extLst>
            <c:ext xmlns:c16="http://schemas.microsoft.com/office/drawing/2014/chart" uri="{C3380CC4-5D6E-409C-BE32-E72D297353CC}">
              <c16:uniqueId val="{00000005-D117-44C4-8F0B-EAF134249EAD}"/>
            </c:ext>
          </c:extLst>
        </c:ser>
        <c:dLbls>
          <c:showLegendKey val="0"/>
          <c:showVal val="0"/>
          <c:showCatName val="0"/>
          <c:showSerName val="0"/>
          <c:showPercent val="0"/>
          <c:showBubbleSize val="0"/>
        </c:dLbls>
        <c:axId val="439207352"/>
        <c:axId val="439210304"/>
      </c:areaChart>
      <c:catAx>
        <c:axId val="4392073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9210304"/>
        <c:crosses val="autoZero"/>
        <c:auto val="1"/>
        <c:lblAlgn val="ctr"/>
        <c:lblOffset val="100"/>
        <c:noMultiLvlLbl val="0"/>
      </c:catAx>
      <c:valAx>
        <c:axId val="4392103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Thousand Metric Tonnes CO</a:t>
                </a:r>
                <a:r>
                  <a:rPr lang="en-US" baseline="30000"/>
                  <a:t>2</a:t>
                </a:r>
                <a:r>
                  <a:rPr lang="en-US"/>
                  <a: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quot;kg CO2e&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9207352"/>
        <c:crosses val="autoZero"/>
        <c:crossBetween val="midCat"/>
        <c:dispUnits>
          <c:builtInUnit val="millions"/>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Combined </a:t>
            </a:r>
            <a:r>
              <a:rPr lang="en-US" baseline="0"/>
              <a:t>Electricity BAU by End-Use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5820230020443496E-2"/>
          <c:y val="0.11958841982011076"/>
          <c:w val="0.89332992387021382"/>
          <c:h val="0.66348732681572475"/>
        </c:manualLayout>
      </c:layout>
      <c:barChart>
        <c:barDir val="col"/>
        <c:grouping val="stacked"/>
        <c:varyColors val="0"/>
        <c:ser>
          <c:idx val="0"/>
          <c:order val="0"/>
          <c:tx>
            <c:strRef>
              <c:f>Electricity!$C$189</c:f>
              <c:strCache>
                <c:ptCount val="1"/>
                <c:pt idx="0">
                  <c:v>Space Cooling</c:v>
                </c:pt>
              </c:strCache>
            </c:strRef>
          </c:tx>
          <c:spPr>
            <a:solidFill>
              <a:schemeClr val="accent1"/>
            </a:solidFill>
            <a:ln>
              <a:noFill/>
            </a:ln>
            <a:effectLst/>
          </c:spPr>
          <c:invertIfNegative val="0"/>
          <c:cat>
            <c:numRef>
              <c:f>Electricity!$B$190:$B$203</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Electricity!$C$190:$C$203</c:f>
              <c:numCache>
                <c:formatCode>#,##0\ "kWh"</c:formatCode>
                <c:ptCount val="14"/>
                <c:pt idx="0">
                  <c:v>25434752.942304492</c:v>
                </c:pt>
                <c:pt idx="1">
                  <c:v>27841419.800351627</c:v>
                </c:pt>
                <c:pt idx="2">
                  <c:v>29403017.840455368</c:v>
                </c:pt>
                <c:pt idx="3">
                  <c:v>31206570.568156444</c:v>
                </c:pt>
                <c:pt idx="4">
                  <c:v>33321200.943266857</c:v>
                </c:pt>
                <c:pt idx="5">
                  <c:v>35555398.464151315</c:v>
                </c:pt>
                <c:pt idx="6">
                  <c:v>38036827.250568822</c:v>
                </c:pt>
                <c:pt idx="7">
                  <c:v>40680065.95652324</c:v>
                </c:pt>
                <c:pt idx="8">
                  <c:v>43527818.464598984</c:v>
                </c:pt>
                <c:pt idx="9">
                  <c:v>46625453.754051104</c:v>
                </c:pt>
                <c:pt idx="10">
                  <c:v>49741629.279682174</c:v>
                </c:pt>
                <c:pt idx="11">
                  <c:v>52752285.928298332</c:v>
                </c:pt>
                <c:pt idx="12">
                  <c:v>55845779.345465533</c:v>
                </c:pt>
                <c:pt idx="13">
                  <c:v>59217896.89772287</c:v>
                </c:pt>
              </c:numCache>
            </c:numRef>
          </c:val>
          <c:extLst>
            <c:ext xmlns:c16="http://schemas.microsoft.com/office/drawing/2014/chart" uri="{C3380CC4-5D6E-409C-BE32-E72D297353CC}">
              <c16:uniqueId val="{0000000C-C59E-4B21-A921-E31A9A7C7C46}"/>
            </c:ext>
          </c:extLst>
        </c:ser>
        <c:ser>
          <c:idx val="1"/>
          <c:order val="1"/>
          <c:tx>
            <c:strRef>
              <c:f>Electricity!$D$189</c:f>
              <c:strCache>
                <c:ptCount val="1"/>
                <c:pt idx="0">
                  <c:v>Appliances</c:v>
                </c:pt>
              </c:strCache>
            </c:strRef>
          </c:tx>
          <c:spPr>
            <a:solidFill>
              <a:schemeClr val="accent2"/>
            </a:solidFill>
            <a:ln>
              <a:noFill/>
            </a:ln>
            <a:effectLst/>
          </c:spPr>
          <c:invertIfNegative val="0"/>
          <c:cat>
            <c:numRef>
              <c:f>Electricity!$B$190:$B$203</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Electricity!$D$190:$D$203</c:f>
              <c:numCache>
                <c:formatCode>#,##0\ "kWh"</c:formatCode>
                <c:ptCount val="14"/>
                <c:pt idx="0">
                  <c:v>19663336.400770169</c:v>
                </c:pt>
                <c:pt idx="1">
                  <c:v>20436927.847274359</c:v>
                </c:pt>
                <c:pt idx="2">
                  <c:v>20708823.042191915</c:v>
                </c:pt>
                <c:pt idx="3">
                  <c:v>21202444.547048416</c:v>
                </c:pt>
                <c:pt idx="4">
                  <c:v>21843018.469087373</c:v>
                </c:pt>
                <c:pt idx="5">
                  <c:v>22418058.586752743</c:v>
                </c:pt>
                <c:pt idx="6">
                  <c:v>23100524.846274659</c:v>
                </c:pt>
                <c:pt idx="7">
                  <c:v>23845310.774059981</c:v>
                </c:pt>
                <c:pt idx="8">
                  <c:v>24686386.949042968</c:v>
                </c:pt>
                <c:pt idx="9">
                  <c:v>25643044.96123806</c:v>
                </c:pt>
                <c:pt idx="10">
                  <c:v>26585804.6303927</c:v>
                </c:pt>
                <c:pt idx="11">
                  <c:v>27453683.160312243</c:v>
                </c:pt>
                <c:pt idx="12">
                  <c:v>28344453.146379597</c:v>
                </c:pt>
                <c:pt idx="13">
                  <c:v>29274667.005556729</c:v>
                </c:pt>
              </c:numCache>
            </c:numRef>
          </c:val>
          <c:extLst>
            <c:ext xmlns:c16="http://schemas.microsoft.com/office/drawing/2014/chart" uri="{C3380CC4-5D6E-409C-BE32-E72D297353CC}">
              <c16:uniqueId val="{0000000D-C59E-4B21-A921-E31A9A7C7C46}"/>
            </c:ext>
          </c:extLst>
        </c:ser>
        <c:ser>
          <c:idx val="2"/>
          <c:order val="2"/>
          <c:tx>
            <c:strRef>
              <c:f>Electricity!$E$189</c:f>
              <c:strCache>
                <c:ptCount val="1"/>
                <c:pt idx="0">
                  <c:v>Lighting</c:v>
                </c:pt>
              </c:strCache>
            </c:strRef>
          </c:tx>
          <c:spPr>
            <a:solidFill>
              <a:schemeClr val="accent3"/>
            </a:solidFill>
            <a:ln>
              <a:noFill/>
            </a:ln>
            <a:effectLst/>
          </c:spPr>
          <c:invertIfNegative val="0"/>
          <c:cat>
            <c:numRef>
              <c:f>Electricity!$B$190:$B$203</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Electricity!$E$190:$E$203</c:f>
              <c:numCache>
                <c:formatCode>#,##0\ "kWh"</c:formatCode>
                <c:ptCount val="14"/>
                <c:pt idx="0">
                  <c:v>13723235.656925341</c:v>
                </c:pt>
                <c:pt idx="1">
                  <c:v>13880834.619308271</c:v>
                </c:pt>
                <c:pt idx="2">
                  <c:v>13839610.22846137</c:v>
                </c:pt>
                <c:pt idx="3">
                  <c:v>13944261.773994705</c:v>
                </c:pt>
                <c:pt idx="4">
                  <c:v>14215362.89158511</c:v>
                </c:pt>
                <c:pt idx="5">
                  <c:v>14570958.369847987</c:v>
                </c:pt>
                <c:pt idx="6">
                  <c:v>15020427.650718691</c:v>
                </c:pt>
                <c:pt idx="7">
                  <c:v>15522836.16528219</c:v>
                </c:pt>
                <c:pt idx="8">
                  <c:v>16085421.919939922</c:v>
                </c:pt>
                <c:pt idx="9">
                  <c:v>16718526.479145411</c:v>
                </c:pt>
                <c:pt idx="10">
                  <c:v>17346457.558875341</c:v>
                </c:pt>
                <c:pt idx="11">
                  <c:v>17932776.694371954</c:v>
                </c:pt>
                <c:pt idx="12">
                  <c:v>18537051.004417636</c:v>
                </c:pt>
                <c:pt idx="13">
                  <c:v>19221905.93227974</c:v>
                </c:pt>
              </c:numCache>
            </c:numRef>
          </c:val>
          <c:extLst>
            <c:ext xmlns:c16="http://schemas.microsoft.com/office/drawing/2014/chart" uri="{C3380CC4-5D6E-409C-BE32-E72D297353CC}">
              <c16:uniqueId val="{0000000E-C59E-4B21-A921-E31A9A7C7C46}"/>
            </c:ext>
          </c:extLst>
        </c:ser>
        <c:dLbls>
          <c:showLegendKey val="0"/>
          <c:showVal val="0"/>
          <c:showCatName val="0"/>
          <c:showSerName val="0"/>
          <c:showPercent val="0"/>
          <c:showBubbleSize val="0"/>
        </c:dLbls>
        <c:gapWidth val="150"/>
        <c:overlap val="100"/>
        <c:axId val="604783392"/>
        <c:axId val="604781096"/>
      </c:barChart>
      <c:catAx>
        <c:axId val="60478339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4781096"/>
        <c:crosses val="autoZero"/>
        <c:auto val="1"/>
        <c:lblAlgn val="ctr"/>
        <c:lblOffset val="100"/>
        <c:noMultiLvlLbl val="0"/>
      </c:catAx>
      <c:valAx>
        <c:axId val="6047810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04783392"/>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r>
              <a:rPr lang="en-US" baseline="0"/>
              <a:t> Appliance Ownership by Type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Electricity!$B$14</c:f>
              <c:strCache>
                <c:ptCount val="1"/>
                <c:pt idx="0">
                  <c:v>2017</c:v>
                </c:pt>
              </c:strCache>
            </c:strRef>
          </c:tx>
          <c:spPr>
            <a:solidFill>
              <a:schemeClr val="accent1"/>
            </a:solidFill>
            <a:ln>
              <a:noFill/>
            </a:ln>
            <a:effectLst/>
          </c:spPr>
          <c:invertIfNegative val="0"/>
          <c:cat>
            <c:strRef>
              <c:f>Electricity!$E$13:$L$13</c:f>
              <c:strCache>
                <c:ptCount val="8"/>
                <c:pt idx="0">
                  <c:v>Fridge</c:v>
                </c:pt>
                <c:pt idx="1">
                  <c:v>Freezer</c:v>
                </c:pt>
                <c:pt idx="2">
                  <c:v>AC</c:v>
                </c:pt>
                <c:pt idx="3">
                  <c:v>Fans</c:v>
                </c:pt>
                <c:pt idx="4">
                  <c:v>TV</c:v>
                </c:pt>
                <c:pt idx="5">
                  <c:v>Elec Clothes Washer</c:v>
                </c:pt>
                <c:pt idx="6">
                  <c:v>Elec Water Heater</c:v>
                </c:pt>
                <c:pt idx="7">
                  <c:v>Elec Cooking Appliances</c:v>
                </c:pt>
              </c:strCache>
            </c:strRef>
          </c:cat>
          <c:val>
            <c:numRef>
              <c:f>Electricity!$E$14:$L$14</c:f>
              <c:numCache>
                <c:formatCode>0.000%</c:formatCode>
                <c:ptCount val="8"/>
                <c:pt idx="0">
                  <c:v>0.54800000000000004</c:v>
                </c:pt>
                <c:pt idx="1">
                  <c:v>0.40100000000000002</c:v>
                </c:pt>
                <c:pt idx="2">
                  <c:v>1.8097805159799769E-2</c:v>
                </c:pt>
                <c:pt idx="3">
                  <c:v>0.57399999999999995</c:v>
                </c:pt>
                <c:pt idx="4">
                  <c:v>0.76100000000000001</c:v>
                </c:pt>
                <c:pt idx="5">
                  <c:v>0.25900000000000001</c:v>
                </c:pt>
                <c:pt idx="6">
                  <c:v>0.08</c:v>
                </c:pt>
                <c:pt idx="7">
                  <c:v>0.1078167115902965</c:v>
                </c:pt>
              </c:numCache>
            </c:numRef>
          </c:val>
          <c:extLst>
            <c:ext xmlns:c16="http://schemas.microsoft.com/office/drawing/2014/chart" uri="{C3380CC4-5D6E-409C-BE32-E72D297353CC}">
              <c16:uniqueId val="{00000000-94FB-4C4D-914F-D21F99A5B2C2}"/>
            </c:ext>
          </c:extLst>
        </c:ser>
        <c:ser>
          <c:idx val="1"/>
          <c:order val="1"/>
          <c:tx>
            <c:strRef>
              <c:f>Electricity!$B$27</c:f>
              <c:strCache>
                <c:ptCount val="1"/>
                <c:pt idx="0">
                  <c:v>2030</c:v>
                </c:pt>
              </c:strCache>
            </c:strRef>
          </c:tx>
          <c:spPr>
            <a:solidFill>
              <a:schemeClr val="accent2"/>
            </a:solidFill>
            <a:ln>
              <a:noFill/>
            </a:ln>
            <a:effectLst/>
          </c:spPr>
          <c:invertIfNegative val="0"/>
          <c:cat>
            <c:strRef>
              <c:f>Electricity!$E$13:$L$13</c:f>
              <c:strCache>
                <c:ptCount val="8"/>
                <c:pt idx="0">
                  <c:v>Fridge</c:v>
                </c:pt>
                <c:pt idx="1">
                  <c:v>Freezer</c:v>
                </c:pt>
                <c:pt idx="2">
                  <c:v>AC</c:v>
                </c:pt>
                <c:pt idx="3">
                  <c:v>Fans</c:v>
                </c:pt>
                <c:pt idx="4">
                  <c:v>TV</c:v>
                </c:pt>
                <c:pt idx="5">
                  <c:v>Elec Clothes Washer</c:v>
                </c:pt>
                <c:pt idx="6">
                  <c:v>Elec Water Heater</c:v>
                </c:pt>
                <c:pt idx="7">
                  <c:v>Elec Cooking Appliances</c:v>
                </c:pt>
              </c:strCache>
            </c:strRef>
          </c:cat>
          <c:val>
            <c:numRef>
              <c:f>Electricity!$E$27:$L$27</c:f>
              <c:numCache>
                <c:formatCode>0.000%</c:formatCode>
                <c:ptCount val="8"/>
                <c:pt idx="0">
                  <c:v>0.76421599999999978</c:v>
                </c:pt>
                <c:pt idx="1">
                  <c:v>0.45160413268080479</c:v>
                </c:pt>
                <c:pt idx="2">
                  <c:v>0.23431380515979985</c:v>
                </c:pt>
                <c:pt idx="3">
                  <c:v>0.7902159999999997</c:v>
                </c:pt>
                <c:pt idx="4">
                  <c:v>0.86251586006887804</c:v>
                </c:pt>
                <c:pt idx="5">
                  <c:v>0.45800000000000002</c:v>
                </c:pt>
                <c:pt idx="6">
                  <c:v>0.15</c:v>
                </c:pt>
                <c:pt idx="7">
                  <c:v>0.32403271159029645</c:v>
                </c:pt>
              </c:numCache>
            </c:numRef>
          </c:val>
          <c:extLst>
            <c:ext xmlns:c16="http://schemas.microsoft.com/office/drawing/2014/chart" uri="{C3380CC4-5D6E-409C-BE32-E72D297353CC}">
              <c16:uniqueId val="{00000001-94FB-4C4D-914F-D21F99A5B2C2}"/>
            </c:ext>
          </c:extLst>
        </c:ser>
        <c:dLbls>
          <c:showLegendKey val="0"/>
          <c:showVal val="0"/>
          <c:showCatName val="0"/>
          <c:showSerName val="0"/>
          <c:showPercent val="0"/>
          <c:showBubbleSize val="0"/>
        </c:dLbls>
        <c:gapWidth val="219"/>
        <c:overlap val="-27"/>
        <c:axId val="732815183"/>
        <c:axId val="732816879"/>
      </c:barChart>
      <c:catAx>
        <c:axId val="7328151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2816879"/>
        <c:crosses val="autoZero"/>
        <c:auto val="1"/>
        <c:lblAlgn val="ctr"/>
        <c:lblOffset val="100"/>
        <c:noMultiLvlLbl val="0"/>
      </c:catAx>
      <c:valAx>
        <c:axId val="73281687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2815183"/>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v>BAU Electricity Emissions</c:v>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Electricity!$B$441:$B$454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Electricity!$C$441:$C$454</c:f>
              <c:numCache>
                <c:formatCode>#,##0\ "kg CO2e"</c:formatCode>
                <c:ptCount val="14"/>
                <c:pt idx="0">
                  <c:v>48915463.263638012</c:v>
                </c:pt>
                <c:pt idx="1">
                  <c:v>51276271.160804458</c:v>
                </c:pt>
                <c:pt idx="2">
                  <c:v>52233615.390028454</c:v>
                </c:pt>
                <c:pt idx="3">
                  <c:v>54048109.450505756</c:v>
                </c:pt>
                <c:pt idx="4">
                  <c:v>56740992.358634882</c:v>
                </c:pt>
                <c:pt idx="5">
                  <c:v>59573230.125958622</c:v>
                </c:pt>
                <c:pt idx="6">
                  <c:v>62814940.20620171</c:v>
                </c:pt>
                <c:pt idx="7">
                  <c:v>66316721.116450503</c:v>
                </c:pt>
                <c:pt idx="8">
                  <c:v>70151688.875043288</c:v>
                </c:pt>
                <c:pt idx="9">
                  <c:v>74385195.59854424</c:v>
                </c:pt>
                <c:pt idx="10">
                  <c:v>78636889.710737422</c:v>
                </c:pt>
                <c:pt idx="11">
                  <c:v>82713787.218909591</c:v>
                </c:pt>
                <c:pt idx="12">
                  <c:v>86917105.199474573</c:v>
                </c:pt>
                <c:pt idx="13">
                  <c:v>91486430.96360442</c:v>
                </c:pt>
              </c:numCache>
            </c:numRef>
          </c:val>
          <c:smooth val="0"/>
          <c:extLst>
            <c:ext xmlns:c16="http://schemas.microsoft.com/office/drawing/2014/chart" uri="{C3380CC4-5D6E-409C-BE32-E72D297353CC}">
              <c16:uniqueId val="{00000001-B6ED-1346-ADD5-C977323B847A}"/>
            </c:ext>
          </c:extLst>
        </c:ser>
        <c:ser>
          <c:idx val="2"/>
          <c:order val="1"/>
          <c:tx>
            <c:v>TEEMP Electricity Emissions</c:v>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Electricity!$B$441:$B$454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Electricity!$D$441:$D$454</c:f>
              <c:numCache>
                <c:formatCode>#,##0\ "kg CO2e"</c:formatCode>
                <c:ptCount val="14"/>
                <c:pt idx="0">
                  <c:v>48915463.263638012</c:v>
                </c:pt>
                <c:pt idx="1">
                  <c:v>41204107.089680173</c:v>
                </c:pt>
                <c:pt idx="2">
                  <c:v>32589588.37732454</c:v>
                </c:pt>
                <c:pt idx="3">
                  <c:v>24796617.709687971</c:v>
                </c:pt>
                <c:pt idx="4">
                  <c:v>23517211.806647986</c:v>
                </c:pt>
                <c:pt idx="5">
                  <c:v>22210802.511148944</c:v>
                </c:pt>
                <c:pt idx="6">
                  <c:v>20961730.115291461</c:v>
                </c:pt>
                <c:pt idx="7">
                  <c:v>19699121.948771112</c:v>
                </c:pt>
                <c:pt idx="8">
                  <c:v>19741413.557691444</c:v>
                </c:pt>
                <c:pt idx="9">
                  <c:v>19782984.526598178</c:v>
                </c:pt>
                <c:pt idx="10">
                  <c:v>19715353.960314278</c:v>
                </c:pt>
                <c:pt idx="11">
                  <c:v>19494315.887333117</c:v>
                </c:pt>
                <c:pt idx="12">
                  <c:v>19193116.856118057</c:v>
                </c:pt>
                <c:pt idx="13">
                  <c:v>18852295.161347717</c:v>
                </c:pt>
              </c:numCache>
            </c:numRef>
          </c:val>
          <c:smooth val="0"/>
          <c:extLst>
            <c:ext xmlns:c16="http://schemas.microsoft.com/office/drawing/2014/chart" uri="{C3380CC4-5D6E-409C-BE32-E72D297353CC}">
              <c16:uniqueId val="{00000002-B6ED-1346-ADD5-C977323B847A}"/>
            </c:ext>
          </c:extLst>
        </c:ser>
        <c:dLbls>
          <c:showLegendKey val="0"/>
          <c:showVal val="0"/>
          <c:showCatName val="0"/>
          <c:showSerName val="0"/>
          <c:showPercent val="0"/>
          <c:showBubbleSize val="0"/>
        </c:dLbls>
        <c:marker val="1"/>
        <c:smooth val="0"/>
        <c:axId val="730809567"/>
        <c:axId val="734400527"/>
      </c:lineChart>
      <c:catAx>
        <c:axId val="7308095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4400527"/>
        <c:crosses val="autoZero"/>
        <c:auto val="1"/>
        <c:lblAlgn val="ctr"/>
        <c:lblOffset val="100"/>
        <c:noMultiLvlLbl val="0"/>
      </c:catAx>
      <c:valAx>
        <c:axId val="734400527"/>
        <c:scaling>
          <c:orientation val="minMax"/>
        </c:scaling>
        <c:delete val="0"/>
        <c:axPos val="l"/>
        <c:majorGridlines>
          <c:spPr>
            <a:ln w="9525" cap="flat" cmpd="sng" algn="ctr">
              <a:solidFill>
                <a:schemeClr val="tx1">
                  <a:lumMod val="15000"/>
                  <a:lumOff val="85000"/>
                </a:schemeClr>
              </a:solidFill>
              <a:round/>
            </a:ln>
            <a:effectLst/>
          </c:spPr>
        </c:majorGridlines>
        <c:numFmt formatCode="#,##0\ &quot;kg CO2e&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0809567"/>
        <c:crosses val="autoZero"/>
        <c:crossBetween val="between"/>
        <c:dispUnits>
          <c:builtInUnit val="millions"/>
          <c:dispUnitsLbl>
            <c:layout>
              <c:manualLayout>
                <c:xMode val="edge"/>
                <c:yMode val="edge"/>
                <c:x val="2.2222222222222223E-2"/>
                <c:y val="0.10185185185185185"/>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Thousand</a:t>
                  </a:r>
                  <a:r>
                    <a:rPr lang="en-US" baseline="0"/>
                    <a:t> Metric Tonnes </a:t>
                  </a:r>
                  <a:r>
                    <a:rPr lang="en-US" sz="1000" b="0" i="0" u="none" strike="noStrike" baseline="0">
                      <a:effectLst/>
                    </a:rPr>
                    <a:t>CO</a:t>
                  </a:r>
                  <a:r>
                    <a:rPr lang="en-US" sz="1000" b="0" i="0" u="none" strike="noStrike" baseline="-25000">
                      <a:effectLst/>
                    </a:rPr>
                    <a:t>2</a:t>
                  </a:r>
                  <a:r>
                    <a:rPr lang="en-US" sz="1000" b="0" i="0" u="none" strike="noStrike" baseline="0">
                      <a:effectLst/>
                    </a:rPr>
                    <a:t>e </a:t>
                  </a:r>
                  <a:r>
                    <a:rPr lang="en-US" baseline="0"/>
                    <a:t>  </a:t>
                  </a:r>
                  <a:endParaRPr lang="en-US"/>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r>
              <a:rPr lang="en-US" baseline="0"/>
              <a:t> Electricity BAU by End-Use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5820230020443496E-2"/>
          <c:y val="0.11958841982011076"/>
          <c:w val="0.89332992387021382"/>
          <c:h val="0.66348732681572475"/>
        </c:manualLayout>
      </c:layout>
      <c:barChart>
        <c:barDir val="col"/>
        <c:grouping val="stacked"/>
        <c:varyColors val="0"/>
        <c:ser>
          <c:idx val="5"/>
          <c:order val="0"/>
          <c:tx>
            <c:strRef>
              <c:f>Electricity!$G$80</c:f>
              <c:strCache>
                <c:ptCount val="1"/>
                <c:pt idx="0">
                  <c:v>(Res) TV</c:v>
                </c:pt>
              </c:strCache>
            </c:strRef>
          </c:tx>
          <c:spPr>
            <a:solidFill>
              <a:schemeClr val="accent6"/>
            </a:solidFill>
            <a:ln>
              <a:noFill/>
            </a:ln>
            <a:effectLst/>
          </c:spPr>
          <c:invertIfNegative val="0"/>
          <c:cat>
            <c:numRef>
              <c:f>Electricity!$B$81:$B$94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Electricity!$G$81:$G$94</c:f>
              <c:numCache>
                <c:formatCode>#,##0\ "kWh"</c:formatCode>
                <c:ptCount val="14"/>
                <c:pt idx="0">
                  <c:v>1932406.2785888745</c:v>
                </c:pt>
                <c:pt idx="1">
                  <c:v>1929817.7718847168</c:v>
                </c:pt>
                <c:pt idx="2">
                  <c:v>1886046.7378796744</c:v>
                </c:pt>
                <c:pt idx="3">
                  <c:v>1867143.9281748775</c:v>
                </c:pt>
                <c:pt idx="4">
                  <c:v>1879821.0504314741</c:v>
                </c:pt>
                <c:pt idx="5">
                  <c:v>1913906.4116275331</c:v>
                </c:pt>
                <c:pt idx="6">
                  <c:v>1963731.9439819425</c:v>
                </c:pt>
                <c:pt idx="7">
                  <c:v>1987564.2230879844</c:v>
                </c:pt>
                <c:pt idx="8">
                  <c:v>2014741.5610726145</c:v>
                </c:pt>
                <c:pt idx="9">
                  <c:v>2049927.2405250466</c:v>
                </c:pt>
                <c:pt idx="10">
                  <c:v>2082573.8944063832</c:v>
                </c:pt>
                <c:pt idx="11">
                  <c:v>2108176.0491755619</c:v>
                </c:pt>
                <c:pt idx="12">
                  <c:v>2134799.080382782</c:v>
                </c:pt>
                <c:pt idx="13">
                  <c:v>2172993.7225377639</c:v>
                </c:pt>
              </c:numCache>
            </c:numRef>
          </c:val>
          <c:extLst>
            <c:ext xmlns:c16="http://schemas.microsoft.com/office/drawing/2014/chart" uri="{C3380CC4-5D6E-409C-BE32-E72D297353CC}">
              <c16:uniqueId val="{00000000-94BE-4F85-9BA3-F6E692BCC551}"/>
            </c:ext>
          </c:extLst>
        </c:ser>
        <c:ser>
          <c:idx val="1"/>
          <c:order val="1"/>
          <c:tx>
            <c:strRef>
              <c:f>Electricity!$C$80</c:f>
              <c:strCache>
                <c:ptCount val="1"/>
                <c:pt idx="0">
                  <c:v>(Res) Fridge</c:v>
                </c:pt>
              </c:strCache>
            </c:strRef>
          </c:tx>
          <c:spPr>
            <a:solidFill>
              <a:schemeClr val="accent2"/>
            </a:solidFill>
            <a:ln>
              <a:noFill/>
            </a:ln>
            <a:effectLst/>
          </c:spPr>
          <c:invertIfNegative val="0"/>
          <c:cat>
            <c:numRef>
              <c:f>Electricity!$B$81:$B$94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Electricity!$C$81:$C$94</c:f>
              <c:numCache>
                <c:formatCode>#,##0\ "kWh"</c:formatCode>
                <c:ptCount val="14"/>
                <c:pt idx="0">
                  <c:v>5009528.39211581</c:v>
                </c:pt>
                <c:pt idx="1">
                  <c:v>5044407.5416512201</c:v>
                </c:pt>
                <c:pt idx="2">
                  <c:v>4968937.0987087525</c:v>
                </c:pt>
                <c:pt idx="3">
                  <c:v>4956108.2924174825</c:v>
                </c:pt>
                <c:pt idx="4">
                  <c:v>5025485.0757030472</c:v>
                </c:pt>
                <c:pt idx="5">
                  <c:v>5151549.7236853214</c:v>
                </c:pt>
                <c:pt idx="6">
                  <c:v>5320127.785157647</c:v>
                </c:pt>
                <c:pt idx="7">
                  <c:v>5511907.1509247245</c:v>
                </c:pt>
                <c:pt idx="8">
                  <c:v>5727137.1017222321</c:v>
                </c:pt>
                <c:pt idx="9">
                  <c:v>5969460.8877147054</c:v>
                </c:pt>
                <c:pt idx="10">
                  <c:v>6209099.8105018632</c:v>
                </c:pt>
                <c:pt idx="11">
                  <c:v>6431779.4663463943</c:v>
                </c:pt>
                <c:pt idx="12">
                  <c:v>6661199.1205508513</c:v>
                </c:pt>
                <c:pt idx="13">
                  <c:v>6931225.1880320208</c:v>
                </c:pt>
              </c:numCache>
            </c:numRef>
          </c:val>
          <c:extLst>
            <c:ext xmlns:c16="http://schemas.microsoft.com/office/drawing/2014/chart" uri="{C3380CC4-5D6E-409C-BE32-E72D297353CC}">
              <c16:uniqueId val="{00000001-94BE-4F85-9BA3-F6E692BCC551}"/>
            </c:ext>
          </c:extLst>
        </c:ser>
        <c:ser>
          <c:idx val="2"/>
          <c:order val="2"/>
          <c:tx>
            <c:strRef>
              <c:f>Electricity!$D$80</c:f>
              <c:strCache>
                <c:ptCount val="1"/>
                <c:pt idx="0">
                  <c:v>(Res) Freezer</c:v>
                </c:pt>
              </c:strCache>
            </c:strRef>
          </c:tx>
          <c:spPr>
            <a:solidFill>
              <a:schemeClr val="accent3"/>
            </a:solidFill>
            <a:ln>
              <a:noFill/>
            </a:ln>
            <a:effectLst/>
          </c:spPr>
          <c:invertIfNegative val="0"/>
          <c:cat>
            <c:numRef>
              <c:f>Electricity!$B$81:$B$94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Electricity!$D$81:$D$94</c:f>
              <c:numCache>
                <c:formatCode>#,##0\ "kWh"</c:formatCode>
                <c:ptCount val="14"/>
                <c:pt idx="0">
                  <c:v>4570949.6561765373</c:v>
                </c:pt>
                <c:pt idx="1">
                  <c:v>4652476.927971324</c:v>
                </c:pt>
                <c:pt idx="2">
                  <c:v>4629026.6679361733</c:v>
                </c:pt>
                <c:pt idx="3">
                  <c:v>4660551.415239702</c:v>
                </c:pt>
                <c:pt idx="4">
                  <c:v>4605109.9219739931</c:v>
                </c:pt>
                <c:pt idx="5">
                  <c:v>4596233.8584151575</c:v>
                </c:pt>
                <c:pt idx="6">
                  <c:v>4624770.3557603657</c:v>
                </c:pt>
                <c:pt idx="7">
                  <c:v>4671542.140757598</c:v>
                </c:pt>
                <c:pt idx="8">
                  <c:v>4735419.3620287487</c:v>
                </c:pt>
                <c:pt idx="9">
                  <c:v>4818119.2730071461</c:v>
                </c:pt>
                <c:pt idx="10">
                  <c:v>4894851.4950857079</c:v>
                </c:pt>
                <c:pt idx="11">
                  <c:v>4955026.4285591021</c:v>
                </c:pt>
                <c:pt idx="12">
                  <c:v>5017600.815215149</c:v>
                </c:pt>
                <c:pt idx="13">
                  <c:v>5107372.9485155465</c:v>
                </c:pt>
              </c:numCache>
            </c:numRef>
          </c:val>
          <c:extLst>
            <c:ext xmlns:c16="http://schemas.microsoft.com/office/drawing/2014/chart" uri="{C3380CC4-5D6E-409C-BE32-E72D297353CC}">
              <c16:uniqueId val="{00000002-94BE-4F85-9BA3-F6E692BCC551}"/>
            </c:ext>
          </c:extLst>
        </c:ser>
        <c:ser>
          <c:idx val="9"/>
          <c:order val="3"/>
          <c:tx>
            <c:strRef>
              <c:f>Electricity!$K$80</c:f>
              <c:strCache>
                <c:ptCount val="1"/>
                <c:pt idx="0">
                  <c:v>(Res) Lighting</c:v>
                </c:pt>
              </c:strCache>
            </c:strRef>
          </c:tx>
          <c:spPr>
            <a:solidFill>
              <a:schemeClr val="accent4">
                <a:lumMod val="60000"/>
              </a:schemeClr>
            </a:solidFill>
            <a:ln>
              <a:noFill/>
            </a:ln>
            <a:effectLst/>
          </c:spPr>
          <c:invertIfNegative val="0"/>
          <c:cat>
            <c:numRef>
              <c:f>Electricity!$B$81:$B$94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Electricity!$K$81:$K$94</c:f>
              <c:numCache>
                <c:formatCode>#,##0\ "kWh"</c:formatCode>
                <c:ptCount val="14"/>
                <c:pt idx="0">
                  <c:v>6552869.7402360551</c:v>
                </c:pt>
                <c:pt idx="1">
                  <c:v>6474572.3058511391</c:v>
                </c:pt>
                <c:pt idx="2">
                  <c:v>6263363.7610162059</c:v>
                </c:pt>
                <c:pt idx="3">
                  <c:v>6140218.9442780642</c:v>
                </c:pt>
                <c:pt idx="4">
                  <c:v>6124296.1774183055</c:v>
                </c:pt>
                <c:pt idx="5">
                  <c:v>6179729.388383314</c:v>
                </c:pt>
                <c:pt idx="6">
                  <c:v>6286496.3564063655</c:v>
                </c:pt>
                <c:pt idx="7">
                  <c:v>6419924.5198853407</c:v>
                </c:pt>
                <c:pt idx="8">
                  <c:v>6579293.3750267299</c:v>
                </c:pt>
                <c:pt idx="9">
                  <c:v>6767831.0589153664</c:v>
                </c:pt>
                <c:pt idx="10">
                  <c:v>6951245.680571408</c:v>
                </c:pt>
                <c:pt idx="11">
                  <c:v>7114104.638362254</c:v>
                </c:pt>
                <c:pt idx="12">
                  <c:v>7283188.2660672991</c:v>
                </c:pt>
                <c:pt idx="13">
                  <c:v>7495043.4799514962</c:v>
                </c:pt>
              </c:numCache>
            </c:numRef>
          </c:val>
          <c:extLst>
            <c:ext xmlns:c16="http://schemas.microsoft.com/office/drawing/2014/chart" uri="{C3380CC4-5D6E-409C-BE32-E72D297353CC}">
              <c16:uniqueId val="{00000003-94BE-4F85-9BA3-F6E692BCC551}"/>
            </c:ext>
          </c:extLst>
        </c:ser>
        <c:ser>
          <c:idx val="4"/>
          <c:order val="4"/>
          <c:tx>
            <c:strRef>
              <c:f>Electricity!$F$80</c:f>
              <c:strCache>
                <c:ptCount val="1"/>
                <c:pt idx="0">
                  <c:v>(Res) Fans</c:v>
                </c:pt>
              </c:strCache>
            </c:strRef>
          </c:tx>
          <c:spPr>
            <a:solidFill>
              <a:schemeClr val="accent5"/>
            </a:solidFill>
            <a:ln>
              <a:noFill/>
            </a:ln>
            <a:effectLst/>
          </c:spPr>
          <c:invertIfNegative val="0"/>
          <c:cat>
            <c:numRef>
              <c:f>Electricity!$B$81:$B$94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Electricity!$F$81:$F$94</c:f>
              <c:numCache>
                <c:formatCode>#,##0\ "kWh"</c:formatCode>
                <c:ptCount val="14"/>
                <c:pt idx="0">
                  <c:v>2063222.0702203284</c:v>
                </c:pt>
                <c:pt idx="1">
                  <c:v>2074815.3391839231</c:v>
                </c:pt>
                <c:pt idx="2">
                  <c:v>2041199.2839703267</c:v>
                </c:pt>
                <c:pt idx="3">
                  <c:v>2033504.5059277602</c:v>
                </c:pt>
                <c:pt idx="4">
                  <c:v>2059644.3255760362</c:v>
                </c:pt>
                <c:pt idx="5">
                  <c:v>2109052.2930638785</c:v>
                </c:pt>
                <c:pt idx="6">
                  <c:v>2175855.9111234872</c:v>
                </c:pt>
                <c:pt idx="7">
                  <c:v>2252113.4270762638</c:v>
                </c:pt>
                <c:pt idx="8">
                  <c:v>2337902.3470392274</c:v>
                </c:pt>
                <c:pt idx="9">
                  <c:v>2434686.3872302757</c:v>
                </c:pt>
                <c:pt idx="10">
                  <c:v>2530306.3875846472</c:v>
                </c:pt>
                <c:pt idx="11">
                  <c:v>2618957.3468293343</c:v>
                </c:pt>
                <c:pt idx="12">
                  <c:v>2710302.0607941616</c:v>
                </c:pt>
                <c:pt idx="13">
                  <c:v>2818107.1392440847</c:v>
                </c:pt>
              </c:numCache>
            </c:numRef>
          </c:val>
          <c:extLst>
            <c:ext xmlns:c16="http://schemas.microsoft.com/office/drawing/2014/chart" uri="{C3380CC4-5D6E-409C-BE32-E72D297353CC}">
              <c16:uniqueId val="{00000004-94BE-4F85-9BA3-F6E692BCC551}"/>
            </c:ext>
          </c:extLst>
        </c:ser>
        <c:ser>
          <c:idx val="3"/>
          <c:order val="5"/>
          <c:tx>
            <c:strRef>
              <c:f>Electricity!$E$80</c:f>
              <c:strCache>
                <c:ptCount val="1"/>
                <c:pt idx="0">
                  <c:v>(Res) AC</c:v>
                </c:pt>
              </c:strCache>
            </c:strRef>
          </c:tx>
          <c:spPr>
            <a:solidFill>
              <a:schemeClr val="accent4"/>
            </a:solidFill>
            <a:ln>
              <a:noFill/>
            </a:ln>
            <a:effectLst/>
          </c:spPr>
          <c:invertIfNegative val="0"/>
          <c:cat>
            <c:numRef>
              <c:f>Electricity!$B$81:$B$94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Electricity!$E$81:$E$94</c:f>
              <c:numCache>
                <c:formatCode>#,##0\ "kWh"</c:formatCode>
                <c:ptCount val="14"/>
                <c:pt idx="0">
                  <c:v>1124353.8400555924</c:v>
                </c:pt>
                <c:pt idx="1">
                  <c:v>2108666.2192988452</c:v>
                </c:pt>
                <c:pt idx="2">
                  <c:v>2983947.4271374606</c:v>
                </c:pt>
                <c:pt idx="3">
                  <c:v>3830410.3397313189</c:v>
                </c:pt>
                <c:pt idx="4">
                  <c:v>4703270.3257574625</c:v>
                </c:pt>
                <c:pt idx="5">
                  <c:v>5616784.3941278122</c:v>
                </c:pt>
                <c:pt idx="6">
                  <c:v>6579964.4727780102</c:v>
                </c:pt>
                <c:pt idx="7">
                  <c:v>7584205.3523040181</c:v>
                </c:pt>
                <c:pt idx="8">
                  <c:v>8638426.777759349</c:v>
                </c:pt>
                <c:pt idx="9">
                  <c:v>9756406.5550902188</c:v>
                </c:pt>
                <c:pt idx="10">
                  <c:v>10894304.140289279</c:v>
                </c:pt>
                <c:pt idx="11">
                  <c:v>12022831.429965744</c:v>
                </c:pt>
                <c:pt idx="12">
                  <c:v>13181819.596196</c:v>
                </c:pt>
                <c:pt idx="13">
                  <c:v>14442839.163744062</c:v>
                </c:pt>
              </c:numCache>
            </c:numRef>
          </c:val>
          <c:extLst>
            <c:ext xmlns:c16="http://schemas.microsoft.com/office/drawing/2014/chart" uri="{C3380CC4-5D6E-409C-BE32-E72D297353CC}">
              <c16:uniqueId val="{00000005-94BE-4F85-9BA3-F6E692BCC551}"/>
            </c:ext>
          </c:extLst>
        </c:ser>
        <c:ser>
          <c:idx val="6"/>
          <c:order val="6"/>
          <c:tx>
            <c:strRef>
              <c:f>Electricity!$H$80</c:f>
              <c:strCache>
                <c:ptCount val="1"/>
                <c:pt idx="0">
                  <c:v>(Res) Elec Washer</c:v>
                </c:pt>
              </c:strCache>
            </c:strRef>
          </c:tx>
          <c:spPr>
            <a:solidFill>
              <a:schemeClr val="accent1">
                <a:lumMod val="60000"/>
              </a:schemeClr>
            </a:solidFill>
            <a:ln>
              <a:noFill/>
            </a:ln>
            <a:effectLst/>
          </c:spPr>
          <c:invertIfNegative val="0"/>
          <c:cat>
            <c:numRef>
              <c:f>Electricity!$B$81:$B$94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Electricity!$H$81:$H$94</c:f>
              <c:numCache>
                <c:formatCode>#,##0\ "kWh"</c:formatCode>
                <c:ptCount val="14"/>
                <c:pt idx="0">
                  <c:v>1894970.5110602775</c:v>
                </c:pt>
                <c:pt idx="1">
                  <c:v>1970882.4531429217</c:v>
                </c:pt>
                <c:pt idx="2">
                  <c:v>1999639.9501355977</c:v>
                </c:pt>
                <c:pt idx="3">
                  <c:v>2049339.1268768816</c:v>
                </c:pt>
                <c:pt idx="4">
                  <c:v>2130644.8760554139</c:v>
                </c:pt>
                <c:pt idx="5">
                  <c:v>2235188.0857910132</c:v>
                </c:pt>
                <c:pt idx="6">
                  <c:v>2358390.0968647832</c:v>
                </c:pt>
                <c:pt idx="7">
                  <c:v>2492671.352027006</c:v>
                </c:pt>
                <c:pt idx="8">
                  <c:v>2638695.4557298496</c:v>
                </c:pt>
                <c:pt idx="9">
                  <c:v>2798672.9599039722</c:v>
                </c:pt>
                <c:pt idx="10">
                  <c:v>2958952.8469437719</c:v>
                </c:pt>
                <c:pt idx="11">
                  <c:v>3112460.1359343757</c:v>
                </c:pt>
                <c:pt idx="12">
                  <c:v>3266211.5044163046</c:v>
                </c:pt>
                <c:pt idx="13">
                  <c:v>3324648.7506939727</c:v>
                </c:pt>
              </c:numCache>
            </c:numRef>
          </c:val>
          <c:extLst>
            <c:ext xmlns:c16="http://schemas.microsoft.com/office/drawing/2014/chart" uri="{C3380CC4-5D6E-409C-BE32-E72D297353CC}">
              <c16:uniqueId val="{00000006-94BE-4F85-9BA3-F6E692BCC551}"/>
            </c:ext>
          </c:extLst>
        </c:ser>
        <c:ser>
          <c:idx val="7"/>
          <c:order val="7"/>
          <c:tx>
            <c:strRef>
              <c:f>Electricity!$I$80</c:f>
              <c:strCache>
                <c:ptCount val="1"/>
                <c:pt idx="0">
                  <c:v>(Res) Elec Water Heater</c:v>
                </c:pt>
              </c:strCache>
            </c:strRef>
          </c:tx>
          <c:spPr>
            <a:solidFill>
              <a:schemeClr val="accent2">
                <a:lumMod val="60000"/>
              </a:schemeClr>
            </a:solidFill>
            <a:ln>
              <a:noFill/>
            </a:ln>
            <a:effectLst/>
          </c:spPr>
          <c:invertIfNegative val="0"/>
          <c:cat>
            <c:numRef>
              <c:f>Electricity!$B$81:$B$94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Electricity!$I$81:$I$94</c:f>
              <c:numCache>
                <c:formatCode>#,##0\ "kWh"</c:formatCode>
                <c:ptCount val="14"/>
                <c:pt idx="0">
                  <c:v>1802613.0987647425</c:v>
                </c:pt>
                <c:pt idx="1">
                  <c:v>2127952.3484354215</c:v>
                </c:pt>
                <c:pt idx="2">
                  <c:v>2386592.2146144649</c:v>
                </c:pt>
                <c:pt idx="3">
                  <c:v>2654038.195364187</c:v>
                </c:pt>
                <c:pt idx="4">
                  <c:v>2953610.2433145251</c:v>
                </c:pt>
                <c:pt idx="5">
                  <c:v>3017768.6273812302</c:v>
                </c:pt>
                <c:pt idx="6">
                  <c:v>3036504.9556614039</c:v>
                </c:pt>
                <c:pt idx="7">
                  <c:v>3067214.1035766802</c:v>
                </c:pt>
                <c:pt idx="8">
                  <c:v>3109154.2398479078</c:v>
                </c:pt>
                <c:pt idx="9">
                  <c:v>3163452.8687962373</c:v>
                </c:pt>
                <c:pt idx="10">
                  <c:v>3213833.2671029884</c:v>
                </c:pt>
                <c:pt idx="11">
                  <c:v>3253342.5766778877</c:v>
                </c:pt>
                <c:pt idx="12">
                  <c:v>3294427.3053373112</c:v>
                </c:pt>
                <c:pt idx="13">
                  <c:v>3353369.3730893731</c:v>
                </c:pt>
              </c:numCache>
            </c:numRef>
          </c:val>
          <c:extLst>
            <c:ext xmlns:c16="http://schemas.microsoft.com/office/drawing/2014/chart" uri="{C3380CC4-5D6E-409C-BE32-E72D297353CC}">
              <c16:uniqueId val="{00000007-94BE-4F85-9BA3-F6E692BCC551}"/>
            </c:ext>
          </c:extLst>
        </c:ser>
        <c:ser>
          <c:idx val="8"/>
          <c:order val="8"/>
          <c:tx>
            <c:strRef>
              <c:f>Electricity!$J$80</c:f>
              <c:strCache>
                <c:ptCount val="1"/>
                <c:pt idx="0">
                  <c:v>(Res) Cooking</c:v>
                </c:pt>
              </c:strCache>
            </c:strRef>
          </c:tx>
          <c:spPr>
            <a:solidFill>
              <a:schemeClr val="accent3">
                <a:lumMod val="60000"/>
              </a:schemeClr>
            </a:solidFill>
            <a:ln>
              <a:noFill/>
            </a:ln>
            <a:effectLst/>
          </c:spPr>
          <c:invertIfNegative val="0"/>
          <c:cat>
            <c:numRef>
              <c:f>Electricity!$B$81:$B$94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Electricity!$J$81:$J$94</c:f>
              <c:numCache>
                <c:formatCode>#,##0\ "kWh"</c:formatCode>
                <c:ptCount val="14"/>
                <c:pt idx="0">
                  <c:v>314392.64446507324</c:v>
                </c:pt>
                <c:pt idx="1">
                  <c:v>354654.18945029459</c:v>
                </c:pt>
                <c:pt idx="2">
                  <c:v>384704.90670940274</c:v>
                </c:pt>
                <c:pt idx="3">
                  <c:v>417015.16552664147</c:v>
                </c:pt>
                <c:pt idx="4">
                  <c:v>454794.39273834665</c:v>
                </c:pt>
                <c:pt idx="5">
                  <c:v>497220.29935481836</c:v>
                </c:pt>
                <c:pt idx="6">
                  <c:v>543878.72136522038</c:v>
                </c:pt>
                <c:pt idx="7">
                  <c:v>593391.13765051856</c:v>
                </c:pt>
                <c:pt idx="8">
                  <c:v>646118.78725889907</c:v>
                </c:pt>
                <c:pt idx="9">
                  <c:v>702795.6238978497</c:v>
                </c:pt>
                <c:pt idx="10">
                  <c:v>760104.04061758716</c:v>
                </c:pt>
                <c:pt idx="11">
                  <c:v>816131.17829077144</c:v>
                </c:pt>
                <c:pt idx="12">
                  <c:v>873709.98253922502</c:v>
                </c:pt>
                <c:pt idx="13">
                  <c:v>937460.00628909981</c:v>
                </c:pt>
              </c:numCache>
            </c:numRef>
          </c:val>
          <c:extLst>
            <c:ext xmlns:c16="http://schemas.microsoft.com/office/drawing/2014/chart" uri="{C3380CC4-5D6E-409C-BE32-E72D297353CC}">
              <c16:uniqueId val="{00000008-94BE-4F85-9BA3-F6E692BCC551}"/>
            </c:ext>
          </c:extLst>
        </c:ser>
        <c:ser>
          <c:idx val="10"/>
          <c:order val="9"/>
          <c:tx>
            <c:strRef>
              <c:f>Electricity!$L$80</c:f>
              <c:strCache>
                <c:ptCount val="1"/>
                <c:pt idx="0">
                  <c:v>(Res) Other</c:v>
                </c:pt>
              </c:strCache>
            </c:strRef>
          </c:tx>
          <c:spPr>
            <a:solidFill>
              <a:schemeClr val="accent5">
                <a:lumMod val="60000"/>
              </a:schemeClr>
            </a:solidFill>
            <a:ln>
              <a:noFill/>
            </a:ln>
            <a:effectLst/>
          </c:spPr>
          <c:invertIfNegative val="0"/>
          <c:cat>
            <c:numRef>
              <c:f>Electricity!$B$81:$B$94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Electricity!$L$81:$L$94</c:f>
              <c:numCache>
                <c:formatCode>#,##0\ "kWh"</c:formatCode>
                <c:ptCount val="14"/>
                <c:pt idx="0">
                  <c:v>739601.55081671057</c:v>
                </c:pt>
                <c:pt idx="1">
                  <c:v>742329.38334183127</c:v>
                </c:pt>
                <c:pt idx="2">
                  <c:v>729478.48811308062</c:v>
                </c:pt>
                <c:pt idx="3">
                  <c:v>726453.79917821416</c:v>
                </c:pt>
                <c:pt idx="4">
                  <c:v>736036.94760297495</c:v>
                </c:pt>
                <c:pt idx="5">
                  <c:v>754452.97568439366</c:v>
                </c:pt>
                <c:pt idx="6">
                  <c:v>779633.82729801</c:v>
                </c:pt>
                <c:pt idx="7">
                  <c:v>808781.51397196262</c:v>
                </c:pt>
                <c:pt idx="8">
                  <c:v>841976.23669098422</c:v>
                </c:pt>
                <c:pt idx="9">
                  <c:v>879810.98337870219</c:v>
                </c:pt>
                <c:pt idx="10">
                  <c:v>917955.85531924968</c:v>
                </c:pt>
                <c:pt idx="11">
                  <c:v>954330.26051514852</c:v>
                </c:pt>
                <c:pt idx="12">
                  <c:v>992474.30219868117</c:v>
                </c:pt>
                <c:pt idx="13">
                  <c:v>1037507.3422033716</c:v>
                </c:pt>
              </c:numCache>
            </c:numRef>
          </c:val>
          <c:extLst>
            <c:ext xmlns:c16="http://schemas.microsoft.com/office/drawing/2014/chart" uri="{C3380CC4-5D6E-409C-BE32-E72D297353CC}">
              <c16:uniqueId val="{00000009-94BE-4F85-9BA3-F6E692BCC551}"/>
            </c:ext>
          </c:extLst>
        </c:ser>
        <c:dLbls>
          <c:showLegendKey val="0"/>
          <c:showVal val="0"/>
          <c:showCatName val="0"/>
          <c:showSerName val="0"/>
          <c:showPercent val="0"/>
          <c:showBubbleSize val="0"/>
        </c:dLbls>
        <c:gapWidth val="150"/>
        <c:overlap val="100"/>
        <c:axId val="604783392"/>
        <c:axId val="604781096"/>
      </c:barChart>
      <c:catAx>
        <c:axId val="604783392"/>
        <c:scaling>
          <c:orientation val="minMax"/>
        </c:scaling>
        <c:delete val="0"/>
        <c:axPos val="b"/>
        <c:title>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4781096"/>
        <c:crosses val="autoZero"/>
        <c:auto val="1"/>
        <c:lblAlgn val="ctr"/>
        <c:lblOffset val="100"/>
        <c:noMultiLvlLbl val="0"/>
      </c:catAx>
      <c:valAx>
        <c:axId val="6047810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04783392"/>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Commercial BAU by End-Use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0115254566062421E-2"/>
          <c:y val="0.1257225383385375"/>
          <c:w val="0.89951358408325033"/>
          <c:h val="0.71810428786818858"/>
        </c:manualLayout>
      </c:layout>
      <c:barChart>
        <c:barDir val="col"/>
        <c:grouping val="stacked"/>
        <c:varyColors val="0"/>
        <c:ser>
          <c:idx val="3"/>
          <c:order val="1"/>
          <c:tx>
            <c:strRef>
              <c:f>Electricity!$F$145</c:f>
              <c:strCache>
                <c:ptCount val="1"/>
                <c:pt idx="0">
                  <c:v>AC</c:v>
                </c:pt>
              </c:strCache>
            </c:strRef>
          </c:tx>
          <c:spPr>
            <a:solidFill>
              <a:schemeClr val="accent4"/>
            </a:solidFill>
            <a:ln>
              <a:noFill/>
            </a:ln>
            <a:effectLst/>
          </c:spPr>
          <c:invertIfNegative val="0"/>
          <c:cat>
            <c:numRef>
              <c:f>Electricity!$B$146:$B$159</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Electricity!$F$146:$F$159</c:f>
              <c:numCache>
                <c:formatCode>#,##0\ "kWh"</c:formatCode>
                <c:ptCount val="14"/>
                <c:pt idx="0">
                  <c:v>17612348.483689286</c:v>
                </c:pt>
                <c:pt idx="1">
                  <c:v>18729201.108146179</c:v>
                </c:pt>
                <c:pt idx="2">
                  <c:v>19299147.977400169</c:v>
                </c:pt>
                <c:pt idx="3">
                  <c:v>20062935.780310415</c:v>
                </c:pt>
                <c:pt idx="4">
                  <c:v>21025309.981113907</c:v>
                </c:pt>
                <c:pt idx="5">
                  <c:v>22031736.406759702</c:v>
                </c:pt>
                <c:pt idx="6">
                  <c:v>23180797.102778297</c:v>
                </c:pt>
                <c:pt idx="7">
                  <c:v>24417966.515238173</c:v>
                </c:pt>
                <c:pt idx="8">
                  <c:v>25769929.060675319</c:v>
                </c:pt>
                <c:pt idx="9">
                  <c:v>27260535.642620064</c:v>
                </c:pt>
                <c:pt idx="10">
                  <c:v>28750973.178514864</c:v>
                </c:pt>
                <c:pt idx="11">
                  <c:v>30170810.244940076</c:v>
                </c:pt>
                <c:pt idx="12">
                  <c:v>31629979.003376335</c:v>
                </c:pt>
                <c:pt idx="13">
                  <c:v>33215919.220831659</c:v>
                </c:pt>
              </c:numCache>
            </c:numRef>
          </c:val>
          <c:extLst>
            <c:ext xmlns:c16="http://schemas.microsoft.com/office/drawing/2014/chart" uri="{C3380CC4-5D6E-409C-BE32-E72D297353CC}">
              <c16:uniqueId val="{00000000-8F04-46D2-B742-8D3B00ED6717}"/>
            </c:ext>
          </c:extLst>
        </c:ser>
        <c:ser>
          <c:idx val="4"/>
          <c:order val="2"/>
          <c:tx>
            <c:strRef>
              <c:f>Electricity!$G$145</c:f>
              <c:strCache>
                <c:ptCount val="1"/>
                <c:pt idx="0">
                  <c:v>Lighting</c:v>
                </c:pt>
              </c:strCache>
            </c:strRef>
          </c:tx>
          <c:spPr>
            <a:solidFill>
              <a:schemeClr val="accent5"/>
            </a:solidFill>
            <a:ln>
              <a:noFill/>
            </a:ln>
            <a:effectLst/>
          </c:spPr>
          <c:invertIfNegative val="0"/>
          <c:cat>
            <c:numRef>
              <c:f>Electricity!$B$146:$B$159</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Electricity!$G$146:$G$159</c:f>
              <c:numCache>
                <c:formatCode>#,##0\ "kWh"</c:formatCode>
                <c:ptCount val="14"/>
                <c:pt idx="0">
                  <c:v>5252805.688117858</c:v>
                </c:pt>
                <c:pt idx="1">
                  <c:v>5585902.0848857034</c:v>
                </c:pt>
                <c:pt idx="2">
                  <c:v>5755886.238873736</c:v>
                </c:pt>
                <c:pt idx="3">
                  <c:v>5983682.6011452125</c:v>
                </c:pt>
                <c:pt idx="4">
                  <c:v>6270706.4855953772</c:v>
                </c:pt>
                <c:pt idx="5">
                  <c:v>6570868.7528932448</c:v>
                </c:pt>
                <c:pt idx="6">
                  <c:v>6913571.0657408964</c:v>
                </c:pt>
                <c:pt idx="7">
                  <c:v>7282551.4168254212</c:v>
                </c:pt>
                <c:pt idx="8">
                  <c:v>7685768.3163417634</c:v>
                </c:pt>
                <c:pt idx="9">
                  <c:v>8130335.191658617</c:v>
                </c:pt>
                <c:pt idx="10">
                  <c:v>8574851.649732504</c:v>
                </c:pt>
                <c:pt idx="11">
                  <c:v>8998311.8274382707</c:v>
                </c:pt>
                <c:pt idx="12">
                  <c:v>9433502.5097789075</c:v>
                </c:pt>
                <c:pt idx="13">
                  <c:v>9906502.2237568125</c:v>
                </c:pt>
              </c:numCache>
            </c:numRef>
          </c:val>
          <c:extLst>
            <c:ext xmlns:c16="http://schemas.microsoft.com/office/drawing/2014/chart" uri="{C3380CC4-5D6E-409C-BE32-E72D297353CC}">
              <c16:uniqueId val="{00000001-8F04-46D2-B742-8D3B00ED6717}"/>
            </c:ext>
          </c:extLst>
        </c:ser>
        <c:ser>
          <c:idx val="6"/>
          <c:order val="3"/>
          <c:tx>
            <c:strRef>
              <c:f>Electricity!$I$145</c:f>
              <c:strCache>
                <c:ptCount val="1"/>
                <c:pt idx="0">
                  <c:v>Ventilation (Fans)</c:v>
                </c:pt>
              </c:strCache>
            </c:strRef>
          </c:tx>
          <c:spPr>
            <a:solidFill>
              <a:schemeClr val="accent1">
                <a:lumMod val="60000"/>
              </a:schemeClr>
            </a:solidFill>
            <a:ln>
              <a:noFill/>
            </a:ln>
            <a:effectLst/>
          </c:spPr>
          <c:invertIfNegative val="0"/>
          <c:cat>
            <c:numRef>
              <c:f>Electricity!$B$146:$B$159</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Electricity!$I$146:$I$159</c:f>
              <c:numCache>
                <c:formatCode>#,##0\ "kWh"</c:formatCode>
                <c:ptCount val="14"/>
                <c:pt idx="0">
                  <c:v>4634828.5483392859</c:v>
                </c:pt>
                <c:pt idx="1">
                  <c:v>4928737.1337226788</c:v>
                </c:pt>
                <c:pt idx="2">
                  <c:v>5078723.1519474136</c:v>
                </c:pt>
                <c:pt idx="3">
                  <c:v>5279719.9421869516</c:v>
                </c:pt>
                <c:pt idx="4">
                  <c:v>5532976.3108194498</c:v>
                </c:pt>
                <c:pt idx="5">
                  <c:v>5797825.3701999215</c:v>
                </c:pt>
                <c:pt idx="6">
                  <c:v>6100209.7638890259</c:v>
                </c:pt>
                <c:pt idx="7">
                  <c:v>6425780.661904783</c:v>
                </c:pt>
                <c:pt idx="8">
                  <c:v>6781560.2791250842</c:v>
                </c:pt>
                <c:pt idx="9">
                  <c:v>7173825.1691105431</c:v>
                </c:pt>
                <c:pt idx="10">
                  <c:v>7566045.5732933851</c:v>
                </c:pt>
                <c:pt idx="11">
                  <c:v>7939686.9065631786</c:v>
                </c:pt>
                <c:pt idx="12">
                  <c:v>8323678.6850990355</c:v>
                </c:pt>
                <c:pt idx="13">
                  <c:v>8741031.3739030696</c:v>
                </c:pt>
              </c:numCache>
            </c:numRef>
          </c:val>
          <c:extLst>
            <c:ext xmlns:c16="http://schemas.microsoft.com/office/drawing/2014/chart" uri="{C3380CC4-5D6E-409C-BE32-E72D297353CC}">
              <c16:uniqueId val="{00000002-8F04-46D2-B742-8D3B00ED6717}"/>
            </c:ext>
          </c:extLst>
        </c:ser>
        <c:ser>
          <c:idx val="5"/>
          <c:order val="4"/>
          <c:tx>
            <c:strRef>
              <c:f>Electricity!$H$145</c:f>
              <c:strCache>
                <c:ptCount val="1"/>
                <c:pt idx="0">
                  <c:v>Office Equipment</c:v>
                </c:pt>
              </c:strCache>
            </c:strRef>
          </c:tx>
          <c:spPr>
            <a:solidFill>
              <a:schemeClr val="accent6"/>
            </a:solidFill>
            <a:ln>
              <a:noFill/>
            </a:ln>
            <a:effectLst/>
          </c:spPr>
          <c:invertIfNegative val="0"/>
          <c:cat>
            <c:numRef>
              <c:f>Electricity!$B$146:$B$159</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Electricity!$H$146:$H$159</c:f>
              <c:numCache>
                <c:formatCode>#,##0\ "kWh"</c:formatCode>
                <c:ptCount val="14"/>
                <c:pt idx="0">
                  <c:v>3398874.2687821435</c:v>
                </c:pt>
                <c:pt idx="1">
                  <c:v>3614407.2313966313</c:v>
                </c:pt>
                <c:pt idx="2">
                  <c:v>3724396.9780947701</c:v>
                </c:pt>
                <c:pt idx="3">
                  <c:v>3871794.6242704317</c:v>
                </c:pt>
                <c:pt idx="4">
                  <c:v>4057515.9612675966</c:v>
                </c:pt>
                <c:pt idx="5">
                  <c:v>4251738.6048132759</c:v>
                </c:pt>
                <c:pt idx="6">
                  <c:v>4473487.1601852858</c:v>
                </c:pt>
                <c:pt idx="7">
                  <c:v>4712239.1520635076</c:v>
                </c:pt>
                <c:pt idx="8">
                  <c:v>4973144.2046917286</c:v>
                </c:pt>
                <c:pt idx="9">
                  <c:v>5260805.124014399</c:v>
                </c:pt>
                <c:pt idx="10">
                  <c:v>5548433.4204151491</c:v>
                </c:pt>
                <c:pt idx="11">
                  <c:v>5822437.0648129983</c:v>
                </c:pt>
                <c:pt idx="12">
                  <c:v>6104031.0357392933</c:v>
                </c:pt>
                <c:pt idx="13">
                  <c:v>6410089.6741955839</c:v>
                </c:pt>
              </c:numCache>
            </c:numRef>
          </c:val>
          <c:extLst>
            <c:ext xmlns:c16="http://schemas.microsoft.com/office/drawing/2014/chart" uri="{C3380CC4-5D6E-409C-BE32-E72D297353CC}">
              <c16:uniqueId val="{00000003-8F04-46D2-B742-8D3B00ED6717}"/>
            </c:ext>
          </c:extLst>
        </c:ser>
        <c:ser>
          <c:idx val="1"/>
          <c:order val="6"/>
          <c:tx>
            <c:strRef>
              <c:f>Electricity!$D$145</c:f>
              <c:strCache>
                <c:ptCount val="1"/>
                <c:pt idx="0">
                  <c:v>Streetlights Billed</c:v>
                </c:pt>
              </c:strCache>
            </c:strRef>
          </c:tx>
          <c:spPr>
            <a:solidFill>
              <a:schemeClr val="accent2"/>
            </a:solidFill>
            <a:ln>
              <a:noFill/>
            </a:ln>
            <a:effectLst/>
          </c:spPr>
          <c:invertIfNegative val="0"/>
          <c:cat>
            <c:numRef>
              <c:f>Electricity!$B$146:$B$159</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Electricity!$D$146:$D$159</c:f>
              <c:numCache>
                <c:formatCode>#,##0\ "kWh"</c:formatCode>
                <c:ptCount val="14"/>
                <c:pt idx="0">
                  <c:v>1917560.2285714285</c:v>
                </c:pt>
                <c:pt idx="1">
                  <c:v>1820360.2285714285</c:v>
                </c:pt>
                <c:pt idx="2">
                  <c:v>1820360.2285714285</c:v>
                </c:pt>
                <c:pt idx="3">
                  <c:v>1820360.2285714285</c:v>
                </c:pt>
                <c:pt idx="4">
                  <c:v>1820360.2285714285</c:v>
                </c:pt>
                <c:pt idx="5">
                  <c:v>1820360.2285714285</c:v>
                </c:pt>
                <c:pt idx="6">
                  <c:v>1820360.2285714285</c:v>
                </c:pt>
                <c:pt idx="7">
                  <c:v>1820360.2285714285</c:v>
                </c:pt>
                <c:pt idx="8">
                  <c:v>1820360.2285714285</c:v>
                </c:pt>
                <c:pt idx="9">
                  <c:v>1820360.2285714285</c:v>
                </c:pt>
                <c:pt idx="10">
                  <c:v>1820360.2285714285</c:v>
                </c:pt>
                <c:pt idx="11">
                  <c:v>1820360.2285714285</c:v>
                </c:pt>
                <c:pt idx="12">
                  <c:v>1820360.2285714285</c:v>
                </c:pt>
                <c:pt idx="13">
                  <c:v>1820360.2285714285</c:v>
                </c:pt>
              </c:numCache>
            </c:numRef>
          </c:val>
          <c:extLst>
            <c:ext xmlns:c16="http://schemas.microsoft.com/office/drawing/2014/chart" uri="{C3380CC4-5D6E-409C-BE32-E72D297353CC}">
              <c16:uniqueId val="{00000004-8F04-46D2-B742-8D3B00ED6717}"/>
            </c:ext>
          </c:extLst>
        </c:ser>
        <c:dLbls>
          <c:showLegendKey val="0"/>
          <c:showVal val="0"/>
          <c:showCatName val="0"/>
          <c:showSerName val="0"/>
          <c:showPercent val="0"/>
          <c:showBubbleSize val="0"/>
        </c:dLbls>
        <c:gapWidth val="150"/>
        <c:overlap val="100"/>
        <c:axId val="548615304"/>
        <c:axId val="548615632"/>
        <c:extLst>
          <c:ext xmlns:c15="http://schemas.microsoft.com/office/drawing/2012/chart" uri="{02D57815-91ED-43cb-92C2-25804820EDAC}">
            <c15:filteredBarSeries>
              <c15:ser>
                <c:idx val="0"/>
                <c:order val="0"/>
                <c:tx>
                  <c:strRef>
                    <c:extLst>
                      <c:ext uri="{02D57815-91ED-43cb-92C2-25804820EDAC}">
                        <c15:formulaRef>
                          <c15:sqref>Electricity!$B$145</c15:sqref>
                        </c15:formulaRef>
                      </c:ext>
                    </c:extLst>
                    <c:strCache>
                      <c:ptCount val="1"/>
                      <c:pt idx="0">
                        <c:v>Year</c:v>
                      </c:pt>
                    </c:strCache>
                  </c:strRef>
                </c:tx>
                <c:spPr>
                  <a:solidFill>
                    <a:schemeClr val="accent1"/>
                  </a:solidFill>
                  <a:ln>
                    <a:noFill/>
                  </a:ln>
                  <a:effectLst/>
                </c:spPr>
                <c:invertIfNegative val="0"/>
                <c:cat>
                  <c:numRef>
                    <c:extLst>
                      <c:ext uri="{02D57815-91ED-43cb-92C2-25804820EDAC}">
                        <c15:formulaRef>
                          <c15:sqref>Electricity!$B$146:$B$159</c15:sqref>
                        </c15:formulaRef>
                      </c:ext>
                    </c:extLst>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extLst>
                      <c:ext uri="{02D57815-91ED-43cb-92C2-25804820EDAC}">
                        <c15:formulaRef>
                          <c15:sqref>Electricity!$B$146:$B$159</c15:sqref>
                        </c15:formulaRef>
                      </c:ext>
                    </c:extLst>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val>
                <c:extLst>
                  <c:ext xmlns:c16="http://schemas.microsoft.com/office/drawing/2014/chart" uri="{C3380CC4-5D6E-409C-BE32-E72D297353CC}">
                    <c16:uniqueId val="{00000005-8F04-46D2-B742-8D3B00ED6717}"/>
                  </c:ext>
                </c:extLst>
              </c15:ser>
            </c15:filteredBarSeries>
            <c15:filteredBarSeries>
              <c15:ser>
                <c:idx val="2"/>
                <c:order val="5"/>
                <c:tx>
                  <c:strRef>
                    <c:extLst xmlns:c15="http://schemas.microsoft.com/office/drawing/2012/chart">
                      <c:ext xmlns:c15="http://schemas.microsoft.com/office/drawing/2012/chart" uri="{02D57815-91ED-43cb-92C2-25804820EDAC}">
                        <c15:formulaRef>
                          <c15:sqref>'Residential BAU End Use'!#REF!</c15:sqref>
                        </c15:formulaRef>
                      </c:ext>
                    </c:extLst>
                    <c:strCache>
                      <c:ptCount val="1"/>
                      <c:pt idx="0">
                        <c:v>#REF!</c:v>
                      </c:pt>
                    </c:strCache>
                  </c:strRef>
                </c:tx>
                <c:spPr>
                  <a:solidFill>
                    <a:schemeClr val="accent3"/>
                  </a:solidFill>
                  <a:ln w="25400">
                    <a:noFill/>
                  </a:ln>
                  <a:effectLst/>
                </c:spPr>
                <c:invertIfNegative val="0"/>
                <c:cat>
                  <c:numRef>
                    <c:extLst xmlns:c15="http://schemas.microsoft.com/office/drawing/2012/chart">
                      <c:ext xmlns:c15="http://schemas.microsoft.com/office/drawing/2012/chart" uri="{02D57815-91ED-43cb-92C2-25804820EDAC}">
                        <c15:formulaRef>
                          <c15:sqref>Electricity!$B$146:$B$159</c15:sqref>
                        </c15:formulaRef>
                      </c:ext>
                    </c:extLst>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extLst xmlns:c15="http://schemas.microsoft.com/office/drawing/2012/chart">
                      <c:ext xmlns:c15="http://schemas.microsoft.com/office/drawing/2012/chart" uri="{02D57815-91ED-43cb-92C2-25804820EDAC}">
                        <c15:formulaRef>
                          <c15:sqref>'Residential BAU End Use'!#REF!</c15:sqref>
                        </c15:formulaRef>
                      </c:ext>
                    </c:extLst>
                    <c:numCache>
                      <c:formatCode>General</c:formatCode>
                      <c:ptCount val="1"/>
                      <c:pt idx="0">
                        <c:v>1</c:v>
                      </c:pt>
                    </c:numCache>
                  </c:numRef>
                </c:val>
                <c:extLst xmlns:c15="http://schemas.microsoft.com/office/drawing/2012/chart">
                  <c:ext xmlns:c16="http://schemas.microsoft.com/office/drawing/2014/chart" uri="{C3380CC4-5D6E-409C-BE32-E72D297353CC}">
                    <c16:uniqueId val="{00000006-8F04-46D2-B742-8D3B00ED6717}"/>
                  </c:ext>
                </c:extLst>
              </c15:ser>
            </c15:filteredBarSeries>
          </c:ext>
        </c:extLst>
      </c:barChart>
      <c:catAx>
        <c:axId val="54861530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8615632"/>
        <c:crosses val="autoZero"/>
        <c:auto val="1"/>
        <c:lblAlgn val="ctr"/>
        <c:lblOffset val="100"/>
        <c:noMultiLvlLbl val="0"/>
      </c:catAx>
      <c:valAx>
        <c:axId val="5486156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8615304"/>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Combined</a:t>
            </a:r>
            <a:r>
              <a:rPr lang="en-US" baseline="0"/>
              <a:t> Electricity BAU by End-Use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5820226208744471E-2"/>
          <c:y val="0.10994917785927671"/>
          <c:w val="0.89332992387021382"/>
          <c:h val="0.72453554716278468"/>
        </c:manualLayout>
      </c:layout>
      <c:barChart>
        <c:barDir val="col"/>
        <c:grouping val="stacked"/>
        <c:varyColors val="0"/>
        <c:ser>
          <c:idx val="0"/>
          <c:order val="0"/>
          <c:tx>
            <c:strRef>
              <c:f>Electricity!$C$189</c:f>
              <c:strCache>
                <c:ptCount val="1"/>
                <c:pt idx="0">
                  <c:v>Space Cooling</c:v>
                </c:pt>
              </c:strCache>
            </c:strRef>
          </c:tx>
          <c:spPr>
            <a:solidFill>
              <a:schemeClr val="accent1"/>
            </a:solidFill>
            <a:ln>
              <a:noFill/>
            </a:ln>
            <a:effectLst/>
          </c:spPr>
          <c:invertIfNegative val="0"/>
          <c:cat>
            <c:numRef>
              <c:f>Electricity!$B$190:$B$203</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Electricity!$C$190:$C$203</c:f>
              <c:numCache>
                <c:formatCode>#,##0\ "kWh"</c:formatCode>
                <c:ptCount val="14"/>
                <c:pt idx="0">
                  <c:v>25434752.942304492</c:v>
                </c:pt>
                <c:pt idx="1">
                  <c:v>27841419.800351627</c:v>
                </c:pt>
                <c:pt idx="2">
                  <c:v>29403017.840455368</c:v>
                </c:pt>
                <c:pt idx="3">
                  <c:v>31206570.568156444</c:v>
                </c:pt>
                <c:pt idx="4">
                  <c:v>33321200.943266857</c:v>
                </c:pt>
                <c:pt idx="5">
                  <c:v>35555398.464151315</c:v>
                </c:pt>
                <c:pt idx="6">
                  <c:v>38036827.250568822</c:v>
                </c:pt>
                <c:pt idx="7">
                  <c:v>40680065.95652324</c:v>
                </c:pt>
                <c:pt idx="8">
                  <c:v>43527818.464598984</c:v>
                </c:pt>
                <c:pt idx="9">
                  <c:v>46625453.754051104</c:v>
                </c:pt>
                <c:pt idx="10">
                  <c:v>49741629.279682174</c:v>
                </c:pt>
                <c:pt idx="11">
                  <c:v>52752285.928298332</c:v>
                </c:pt>
                <c:pt idx="12">
                  <c:v>55845779.345465533</c:v>
                </c:pt>
                <c:pt idx="13">
                  <c:v>59217896.89772287</c:v>
                </c:pt>
              </c:numCache>
            </c:numRef>
          </c:val>
          <c:extLst>
            <c:ext xmlns:c16="http://schemas.microsoft.com/office/drawing/2014/chart" uri="{C3380CC4-5D6E-409C-BE32-E72D297353CC}">
              <c16:uniqueId val="{00000000-2B76-400E-84DF-6105D764B328}"/>
            </c:ext>
          </c:extLst>
        </c:ser>
        <c:ser>
          <c:idx val="1"/>
          <c:order val="1"/>
          <c:tx>
            <c:strRef>
              <c:f>Electricity!$D$189</c:f>
              <c:strCache>
                <c:ptCount val="1"/>
                <c:pt idx="0">
                  <c:v>Appliances</c:v>
                </c:pt>
              </c:strCache>
            </c:strRef>
          </c:tx>
          <c:spPr>
            <a:solidFill>
              <a:schemeClr val="accent2"/>
            </a:solidFill>
            <a:ln>
              <a:noFill/>
            </a:ln>
            <a:effectLst/>
          </c:spPr>
          <c:invertIfNegative val="0"/>
          <c:cat>
            <c:numRef>
              <c:f>Electricity!$B$190:$B$203</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Electricity!$D$190:$D$203</c:f>
              <c:numCache>
                <c:formatCode>#,##0\ "kWh"</c:formatCode>
                <c:ptCount val="14"/>
                <c:pt idx="0">
                  <c:v>19663336.400770169</c:v>
                </c:pt>
                <c:pt idx="1">
                  <c:v>20436927.847274359</c:v>
                </c:pt>
                <c:pt idx="2">
                  <c:v>20708823.042191915</c:v>
                </c:pt>
                <c:pt idx="3">
                  <c:v>21202444.547048416</c:v>
                </c:pt>
                <c:pt idx="4">
                  <c:v>21843018.469087373</c:v>
                </c:pt>
                <c:pt idx="5">
                  <c:v>22418058.586752743</c:v>
                </c:pt>
                <c:pt idx="6">
                  <c:v>23100524.846274659</c:v>
                </c:pt>
                <c:pt idx="7">
                  <c:v>23845310.774059981</c:v>
                </c:pt>
                <c:pt idx="8">
                  <c:v>24686386.949042968</c:v>
                </c:pt>
                <c:pt idx="9">
                  <c:v>25643044.96123806</c:v>
                </c:pt>
                <c:pt idx="10">
                  <c:v>26585804.6303927</c:v>
                </c:pt>
                <c:pt idx="11">
                  <c:v>27453683.160312243</c:v>
                </c:pt>
                <c:pt idx="12">
                  <c:v>28344453.146379597</c:v>
                </c:pt>
                <c:pt idx="13">
                  <c:v>29274667.005556729</c:v>
                </c:pt>
              </c:numCache>
            </c:numRef>
          </c:val>
          <c:extLst>
            <c:ext xmlns:c16="http://schemas.microsoft.com/office/drawing/2014/chart" uri="{C3380CC4-5D6E-409C-BE32-E72D297353CC}">
              <c16:uniqueId val="{00000001-2B76-400E-84DF-6105D764B328}"/>
            </c:ext>
          </c:extLst>
        </c:ser>
        <c:ser>
          <c:idx val="2"/>
          <c:order val="2"/>
          <c:tx>
            <c:strRef>
              <c:f>Electricity!$E$189</c:f>
              <c:strCache>
                <c:ptCount val="1"/>
                <c:pt idx="0">
                  <c:v>Lighting</c:v>
                </c:pt>
              </c:strCache>
            </c:strRef>
          </c:tx>
          <c:spPr>
            <a:solidFill>
              <a:schemeClr val="accent3"/>
            </a:solidFill>
            <a:ln>
              <a:noFill/>
            </a:ln>
            <a:effectLst/>
          </c:spPr>
          <c:invertIfNegative val="0"/>
          <c:cat>
            <c:numRef>
              <c:f>Electricity!$B$190:$B$203</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Electricity!$E$190:$E$203</c:f>
              <c:numCache>
                <c:formatCode>#,##0\ "kWh"</c:formatCode>
                <c:ptCount val="14"/>
                <c:pt idx="0">
                  <c:v>13723235.656925341</c:v>
                </c:pt>
                <c:pt idx="1">
                  <c:v>13880834.619308271</c:v>
                </c:pt>
                <c:pt idx="2">
                  <c:v>13839610.22846137</c:v>
                </c:pt>
                <c:pt idx="3">
                  <c:v>13944261.773994705</c:v>
                </c:pt>
                <c:pt idx="4">
                  <c:v>14215362.89158511</c:v>
                </c:pt>
                <c:pt idx="5">
                  <c:v>14570958.369847987</c:v>
                </c:pt>
                <c:pt idx="6">
                  <c:v>15020427.650718691</c:v>
                </c:pt>
                <c:pt idx="7">
                  <c:v>15522836.16528219</c:v>
                </c:pt>
                <c:pt idx="8">
                  <c:v>16085421.919939922</c:v>
                </c:pt>
                <c:pt idx="9">
                  <c:v>16718526.479145411</c:v>
                </c:pt>
                <c:pt idx="10">
                  <c:v>17346457.558875341</c:v>
                </c:pt>
                <c:pt idx="11">
                  <c:v>17932776.694371954</c:v>
                </c:pt>
                <c:pt idx="12">
                  <c:v>18537051.004417636</c:v>
                </c:pt>
                <c:pt idx="13">
                  <c:v>19221905.93227974</c:v>
                </c:pt>
              </c:numCache>
            </c:numRef>
          </c:val>
          <c:extLst>
            <c:ext xmlns:c16="http://schemas.microsoft.com/office/drawing/2014/chart" uri="{C3380CC4-5D6E-409C-BE32-E72D297353CC}">
              <c16:uniqueId val="{00000002-2B76-400E-84DF-6105D764B328}"/>
            </c:ext>
          </c:extLst>
        </c:ser>
        <c:dLbls>
          <c:showLegendKey val="0"/>
          <c:showVal val="0"/>
          <c:showCatName val="0"/>
          <c:showSerName val="0"/>
          <c:showPercent val="0"/>
          <c:showBubbleSize val="0"/>
        </c:dLbls>
        <c:gapWidth val="150"/>
        <c:overlap val="100"/>
        <c:axId val="604783392"/>
        <c:axId val="604781096"/>
      </c:barChart>
      <c:catAx>
        <c:axId val="60478339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4781096"/>
        <c:crosses val="autoZero"/>
        <c:auto val="1"/>
        <c:lblAlgn val="ctr"/>
        <c:lblOffset val="100"/>
        <c:noMultiLvlLbl val="0"/>
      </c:catAx>
      <c:valAx>
        <c:axId val="6047810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04783392"/>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Percent of Tonga's</a:t>
            </a:r>
            <a:r>
              <a:rPr lang="en-US" baseline="0"/>
              <a:t> Total Emissions This Analysis Applies To</a:t>
            </a:r>
            <a:endParaRPr lang="en-US"/>
          </a:p>
        </c:rich>
      </c:tx>
      <c:layout>
        <c:manualLayout>
          <c:xMode val="edge"/>
          <c:yMode val="edge"/>
          <c:x val="0.22233631711497204"/>
          <c:y val="2.3512117997508086E-2"/>
        </c:manualLayout>
      </c:layout>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ofPieChart>
        <c:ofPieType val="bar"/>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8B1-48CE-B954-EE8ACD0182B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8B1-48CE-B954-EE8ACD0182B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8B1-48CE-B954-EE8ACD0182B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E8B1-48CE-B954-EE8ACD0182B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E8B1-48CE-B954-EE8ACD0182B0}"/>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E8B1-48CE-B954-EE8ACD0182B0}"/>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E8B1-48CE-B954-EE8ACD0182B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'Other Figures'!$C$83:$C$88</c:f>
              <c:strCache>
                <c:ptCount val="6"/>
                <c:pt idx="0">
                  <c:v>Electricity Generation</c:v>
                </c:pt>
                <c:pt idx="1">
                  <c:v>Ground Transportation</c:v>
                </c:pt>
                <c:pt idx="2">
                  <c:v>Transportation (Marine and Air)</c:v>
                </c:pt>
                <c:pt idx="3">
                  <c:v>Agriculture</c:v>
                </c:pt>
                <c:pt idx="4">
                  <c:v>Waste</c:v>
                </c:pt>
                <c:pt idx="5">
                  <c:v>Other</c:v>
                </c:pt>
              </c:strCache>
            </c:strRef>
          </c:cat>
          <c:val>
            <c:numRef>
              <c:f>'Other Figures'!$D$83:$D$88</c:f>
              <c:numCache>
                <c:formatCode>0%</c:formatCode>
                <c:ptCount val="6"/>
                <c:pt idx="0">
                  <c:v>0.23000000000000004</c:v>
                </c:pt>
                <c:pt idx="1">
                  <c:v>0.31995277545711454</c:v>
                </c:pt>
                <c:pt idx="2">
                  <c:v>8.0047224542885487E-2</c:v>
                </c:pt>
                <c:pt idx="3">
                  <c:v>0.21</c:v>
                </c:pt>
                <c:pt idx="4">
                  <c:v>0.11</c:v>
                </c:pt>
                <c:pt idx="5">
                  <c:v>0.05</c:v>
                </c:pt>
              </c:numCache>
            </c:numRef>
          </c:val>
          <c:extLst>
            <c:ext xmlns:c16="http://schemas.microsoft.com/office/drawing/2014/chart" uri="{C3380CC4-5D6E-409C-BE32-E72D297353CC}">
              <c16:uniqueId val="{00000000-6970-4584-ACB7-9BB6C4EC81C3}"/>
            </c:ext>
          </c:extLst>
        </c:ser>
        <c:dLbls>
          <c:dLblPos val="outEnd"/>
          <c:showLegendKey val="0"/>
          <c:showVal val="1"/>
          <c:showCatName val="0"/>
          <c:showSerName val="0"/>
          <c:showPercent val="0"/>
          <c:showBubbleSize val="0"/>
          <c:showLeaderLines val="1"/>
        </c:dLbls>
        <c:gapWidth val="100"/>
        <c:splitType val="cust"/>
        <c:custSplit>
          <c:secondPiePt val="0"/>
          <c:secondPiePt val="1"/>
        </c:custSplit>
        <c:secondPieSize val="75"/>
        <c:serLines>
          <c:spPr>
            <a:ln w="9525" cap="flat" cmpd="sng" algn="ctr">
              <a:solidFill>
                <a:schemeClr val="tx1">
                  <a:lumMod val="35000"/>
                  <a:lumOff val="65000"/>
                </a:schemeClr>
              </a:solidFill>
              <a:round/>
            </a:ln>
            <a:effectLst/>
          </c:spPr>
        </c:serLines>
      </c:ofPieChart>
      <c:spPr>
        <a:noFill/>
        <a:ln>
          <a:noFill/>
        </a:ln>
        <a:effectLst/>
      </c:spPr>
    </c:plotArea>
    <c:legend>
      <c:legendPos val="b"/>
      <c:legendEntry>
        <c:idx val="0"/>
        <c:delete val="1"/>
      </c:legendEntry>
      <c:legendEntry>
        <c:idx val="1"/>
        <c:delete val="1"/>
      </c:legendEntry>
      <c:layout>
        <c:manualLayout>
          <c:xMode val="edge"/>
          <c:yMode val="edge"/>
          <c:x val="8.5698850091276674E-2"/>
          <c:y val="0.914068299925761"/>
          <c:w val="0.55585870558126538"/>
          <c:h val="5.395721218300950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Emissions</a:t>
            </a:r>
            <a:r>
              <a:rPr lang="en-US" baseline="0"/>
              <a:t> Reductions From BAU</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'Other Figures'!$J$99</c:f>
              <c:strCache>
                <c:ptCount val="1"/>
                <c:pt idx="0">
                  <c:v>Elec. % Emissions Reduc From BAU</c:v>
                </c:pt>
              </c:strCache>
            </c:strRef>
          </c:tx>
          <c:spPr>
            <a:ln w="28575" cap="rnd">
              <a:solidFill>
                <a:schemeClr val="accent1"/>
              </a:solidFill>
              <a:round/>
            </a:ln>
            <a:effectLst/>
          </c:spPr>
          <c:marker>
            <c:symbol val="none"/>
          </c:marker>
          <c:cat>
            <c:numRef>
              <c:f>'Other Figures'!$C$100:$C$113</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'Other Figures'!$J$100:$J$113</c:f>
              <c:numCache>
                <c:formatCode>0%</c:formatCode>
                <c:ptCount val="14"/>
                <c:pt idx="0">
                  <c:v>0</c:v>
                </c:pt>
                <c:pt idx="1">
                  <c:v>0.19642933940218804</c:v>
                </c:pt>
                <c:pt idx="2">
                  <c:v>0.37608017109330738</c:v>
                </c:pt>
                <c:pt idx="3">
                  <c:v>0.54121211709735506</c:v>
                </c:pt>
                <c:pt idx="4">
                  <c:v>0.58553400585583659</c:v>
                </c:pt>
                <c:pt idx="5">
                  <c:v>0.62716806753322674</c:v>
                </c:pt>
                <c:pt idx="6">
                  <c:v>0.66629387775454874</c:v>
                </c:pt>
                <c:pt idx="7">
                  <c:v>0.70295392146755953</c:v>
                </c:pt>
                <c:pt idx="8">
                  <c:v>0.71858961809379163</c:v>
                </c:pt>
                <c:pt idx="9">
                  <c:v>0.73404674992902297</c:v>
                </c:pt>
                <c:pt idx="10">
                  <c:v>0.74928619337773406</c:v>
                </c:pt>
                <c:pt idx="11">
                  <c:v>0.76431600410534184</c:v>
                </c:pt>
                <c:pt idx="12">
                  <c:v>0.77917906018533534</c:v>
                </c:pt>
                <c:pt idx="13">
                  <c:v>0.79393342856660754</c:v>
                </c:pt>
              </c:numCache>
            </c:numRef>
          </c:val>
          <c:smooth val="0"/>
          <c:extLst>
            <c:ext xmlns:c16="http://schemas.microsoft.com/office/drawing/2014/chart" uri="{C3380CC4-5D6E-409C-BE32-E72D297353CC}">
              <c16:uniqueId val="{00000000-1470-5241-8955-C24471163FD5}"/>
            </c:ext>
          </c:extLst>
        </c:ser>
        <c:ser>
          <c:idx val="1"/>
          <c:order val="1"/>
          <c:tx>
            <c:strRef>
              <c:f>'Other Figures'!$K$99</c:f>
              <c:strCache>
                <c:ptCount val="1"/>
                <c:pt idx="0">
                  <c:v>Trans. % Emissions Reduc From BAU</c:v>
                </c:pt>
              </c:strCache>
            </c:strRef>
          </c:tx>
          <c:spPr>
            <a:ln w="28575" cap="rnd">
              <a:solidFill>
                <a:schemeClr val="accent2"/>
              </a:solidFill>
              <a:round/>
            </a:ln>
            <a:effectLst/>
          </c:spPr>
          <c:marker>
            <c:symbol val="none"/>
          </c:marker>
          <c:cat>
            <c:numRef>
              <c:f>'Other Figures'!$C$100:$C$113</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'Other Figures'!$K$100:$K$113</c:f>
              <c:numCache>
                <c:formatCode>0%</c:formatCode>
                <c:ptCount val="14"/>
                <c:pt idx="0">
                  <c:v>0</c:v>
                </c:pt>
                <c:pt idx="1">
                  <c:v>0</c:v>
                </c:pt>
                <c:pt idx="2">
                  <c:v>2.0124927395735834E-2</c:v>
                </c:pt>
                <c:pt idx="3">
                  <c:v>4.1262501080337938E-2</c:v>
                </c:pt>
                <c:pt idx="4">
                  <c:v>6.3212525242236389E-2</c:v>
                </c:pt>
                <c:pt idx="5">
                  <c:v>8.5904625270021753E-2</c:v>
                </c:pt>
                <c:pt idx="6">
                  <c:v>0.10924440722522463</c:v>
                </c:pt>
                <c:pt idx="7">
                  <c:v>0.13314379350183919</c:v>
                </c:pt>
                <c:pt idx="8">
                  <c:v>0.15752068232295277</c:v>
                </c:pt>
                <c:pt idx="9">
                  <c:v>0.18229862341980715</c:v>
                </c:pt>
                <c:pt idx="10">
                  <c:v>0.20740650918599116</c:v>
                </c:pt>
                <c:pt idx="11">
                  <c:v>0.23277828062857717</c:v>
                </c:pt>
                <c:pt idx="12">
                  <c:v>0.25752100377721471</c:v>
                </c:pt>
                <c:pt idx="13" formatCode="0.00%">
                  <c:v>0.28166137856787166</c:v>
                </c:pt>
              </c:numCache>
            </c:numRef>
          </c:val>
          <c:smooth val="0"/>
          <c:extLst>
            <c:ext xmlns:c16="http://schemas.microsoft.com/office/drawing/2014/chart" uri="{C3380CC4-5D6E-409C-BE32-E72D297353CC}">
              <c16:uniqueId val="{00000001-1470-5241-8955-C24471163FD5}"/>
            </c:ext>
          </c:extLst>
        </c:ser>
        <c:dLbls>
          <c:showLegendKey val="0"/>
          <c:showVal val="0"/>
          <c:showCatName val="0"/>
          <c:showSerName val="0"/>
          <c:showPercent val="0"/>
          <c:showBubbleSize val="0"/>
        </c:dLbls>
        <c:smooth val="0"/>
        <c:axId val="1397776720"/>
        <c:axId val="1475960480"/>
      </c:lineChart>
      <c:catAx>
        <c:axId val="1397776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5960480"/>
        <c:crosses val="autoZero"/>
        <c:auto val="1"/>
        <c:lblAlgn val="ctr"/>
        <c:lblOffset val="100"/>
        <c:noMultiLvlLbl val="0"/>
      </c:catAx>
      <c:valAx>
        <c:axId val="147596048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977767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'Energy Intensity'!$A$20</c:f>
              <c:strCache>
                <c:ptCount val="1"/>
                <c:pt idx="0">
                  <c:v>Year</c:v>
                </c:pt>
              </c:strCache>
            </c:strRef>
          </c:tx>
          <c:spPr>
            <a:ln w="25400" cap="rnd">
              <a:noFill/>
              <a:round/>
            </a:ln>
            <a:effectLst/>
          </c:spPr>
          <c:marker>
            <c:symbol val="circle"/>
            <c:size val="5"/>
            <c:spPr>
              <a:solidFill>
                <a:schemeClr val="accent1"/>
              </a:solidFill>
              <a:ln w="9525">
                <a:solidFill>
                  <a:schemeClr val="accent1"/>
                </a:solidFill>
              </a:ln>
              <a:effectLst/>
            </c:spPr>
          </c:marker>
          <c:dLbls>
            <c:dLbl>
              <c:idx val="0"/>
              <c:layout>
                <c:manualLayout>
                  <c:x val="-5.0955118505066115E-2"/>
                  <c:y val="9.2706282969281198E-2"/>
                </c:manualLayout>
              </c:layout>
              <c:tx>
                <c:rich>
                  <a:bodyPr/>
                  <a:lstStyle/>
                  <a:p>
                    <a:r>
                      <a:rPr lang="en-US"/>
                      <a:t>2017</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C79-DF4A-BB56-3E2E3762638A}"/>
                </c:ext>
              </c:extLst>
            </c:dLbl>
            <c:dLbl>
              <c:idx val="1"/>
              <c:layout>
                <c:manualLayout>
                  <c:x val="-3.9170863531646567E-2"/>
                  <c:y val="0.12543574859417925"/>
                </c:manualLayout>
              </c:layout>
              <c:tx>
                <c:rich>
                  <a:bodyPr/>
                  <a:lstStyle/>
                  <a:p>
                    <a:r>
                      <a:rPr lang="en-US"/>
                      <a:t>2018</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C79-DF4A-BB56-3E2E3762638A}"/>
                </c:ext>
              </c:extLst>
            </c:dLbl>
            <c:dLbl>
              <c:idx val="2"/>
              <c:layout>
                <c:manualLayout>
                  <c:x val="-4.6241416515698297E-2"/>
                  <c:y val="5.270360276107261E-2"/>
                </c:manualLayout>
              </c:layout>
              <c:tx>
                <c:rich>
                  <a:bodyPr/>
                  <a:lstStyle/>
                  <a:p>
                    <a:r>
                      <a:rPr lang="en-US"/>
                      <a:t>2019</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C79-DF4A-BB56-3E2E3762638A}"/>
                </c:ext>
              </c:extLst>
            </c:dLbl>
            <c:dLbl>
              <c:idx val="3"/>
              <c:layout>
                <c:manualLayout>
                  <c:x val="-4.3884565521014392E-2"/>
                  <c:y val="0.13270896317748984"/>
                </c:manualLayout>
              </c:layout>
              <c:tx>
                <c:rich>
                  <a:bodyPr/>
                  <a:lstStyle/>
                  <a:p>
                    <a:r>
                      <a:rPr lang="en-US"/>
                      <a:t>2020</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C79-DF4A-BB56-3E2E3762638A}"/>
                </c:ext>
              </c:extLst>
            </c:dLbl>
            <c:dLbl>
              <c:idx val="4"/>
              <c:layout>
                <c:manualLayout>
                  <c:x val="-4.3884565521014392E-2"/>
                  <c:y val="9.2706282969281198E-2"/>
                </c:manualLayout>
              </c:layout>
              <c:tx>
                <c:rich>
                  <a:bodyPr/>
                  <a:lstStyle/>
                  <a:p>
                    <a:r>
                      <a:rPr lang="en-US"/>
                      <a:t>2021</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C79-DF4A-BB56-3E2E3762638A}"/>
                </c:ext>
              </c:extLst>
            </c:dLbl>
            <c:dLbl>
              <c:idx val="5"/>
              <c:layout>
                <c:manualLayout>
                  <c:x val="-4.3884565521014475E-2"/>
                  <c:y val="0.12179914130252392"/>
                </c:manualLayout>
              </c:layout>
              <c:tx>
                <c:rich>
                  <a:bodyPr/>
                  <a:lstStyle/>
                  <a:p>
                    <a:r>
                      <a:rPr lang="en-US"/>
                      <a:t>2022</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C79-DF4A-BB56-3E2E3762638A}"/>
                </c:ext>
              </c:extLst>
            </c:dLbl>
            <c:dLbl>
              <c:idx val="6"/>
              <c:layout>
                <c:manualLayout>
                  <c:x val="-4.3884565521014392E-2"/>
                  <c:y val="7.4523246511004601E-2"/>
                </c:manualLayout>
              </c:layout>
              <c:tx>
                <c:rich>
                  <a:bodyPr/>
                  <a:lstStyle/>
                  <a:p>
                    <a:r>
                      <a:rPr lang="en-US"/>
                      <a:t>2023</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C79-DF4A-BB56-3E2E3762638A}"/>
                </c:ext>
              </c:extLst>
            </c:dLbl>
            <c:dLbl>
              <c:idx val="7"/>
              <c:layout>
                <c:manualLayout>
                  <c:x val="-4.3884565521014392E-2"/>
                  <c:y val="0.11088931942755785"/>
                </c:manualLayout>
              </c:layout>
              <c:tx>
                <c:rich>
                  <a:bodyPr/>
                  <a:lstStyle/>
                  <a:p>
                    <a:r>
                      <a:rPr lang="en-US"/>
                      <a:t>2024</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C79-DF4A-BB56-3E2E3762638A}"/>
                </c:ext>
              </c:extLst>
            </c:dLbl>
            <c:dLbl>
              <c:idx val="8"/>
              <c:layout>
                <c:manualLayout>
                  <c:x val="-4.3884565521014475E-2"/>
                  <c:y val="5.9976817344383274E-2"/>
                </c:manualLayout>
              </c:layout>
              <c:tx>
                <c:rich>
                  <a:bodyPr/>
                  <a:lstStyle/>
                  <a:p>
                    <a:r>
                      <a:rPr lang="en-US"/>
                      <a:t>2025</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C79-DF4A-BB56-3E2E3762638A}"/>
                </c:ext>
              </c:extLst>
            </c:dLbl>
            <c:dLbl>
              <c:idx val="9"/>
              <c:layout>
                <c:manualLayout>
                  <c:x val="-5.0955118505066205E-2"/>
                  <c:y val="-8.5487474321830015E-2"/>
                </c:manualLayout>
              </c:layout>
              <c:tx>
                <c:rich>
                  <a:bodyPr/>
                  <a:lstStyle/>
                  <a:p>
                    <a:r>
                      <a:rPr lang="en-US"/>
                      <a:t>2026</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C79-DF4A-BB56-3E2E3762638A}"/>
                </c:ext>
              </c:extLst>
            </c:dLbl>
            <c:dLbl>
              <c:idx val="10"/>
              <c:layout>
                <c:manualLayout>
                  <c:x val="-4.3884565521014302E-2"/>
                  <c:y val="-6.3667830571898051E-2"/>
                </c:manualLayout>
              </c:layout>
              <c:tx>
                <c:rich>
                  <a:bodyPr/>
                  <a:lstStyle/>
                  <a:p>
                    <a:r>
                      <a:rPr lang="en-US"/>
                      <a:t>2027</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C79-DF4A-BB56-3E2E3762638A}"/>
                </c:ext>
              </c:extLst>
            </c:dLbl>
            <c:dLbl>
              <c:idx val="11"/>
              <c:layout>
                <c:manualLayout>
                  <c:x val="-3.9170863531646567E-2"/>
                  <c:y val="-9.6397296196796003E-2"/>
                </c:manualLayout>
              </c:layout>
              <c:tx>
                <c:rich>
                  <a:bodyPr/>
                  <a:lstStyle/>
                  <a:p>
                    <a:r>
                      <a:rPr lang="en-US"/>
                      <a:t>2028</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C79-DF4A-BB56-3E2E3762638A}"/>
                </c:ext>
              </c:extLst>
            </c:dLbl>
            <c:dLbl>
              <c:idx val="12"/>
              <c:layout>
                <c:manualLayout>
                  <c:x val="-4.1527714526330396E-2"/>
                  <c:y val="-5.2758008696932021E-2"/>
                </c:manualLayout>
              </c:layout>
              <c:tx>
                <c:rich>
                  <a:bodyPr/>
                  <a:lstStyle/>
                  <a:p>
                    <a:r>
                      <a:rPr lang="en-US"/>
                      <a:t>2029</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C79-DF4A-BB56-3E2E3762638A}"/>
                </c:ext>
              </c:extLst>
            </c:dLbl>
            <c:dLbl>
              <c:idx val="13"/>
              <c:layout>
                <c:manualLayout>
                  <c:x val="-4.1527714526330653E-2"/>
                  <c:y val="-9.6397296196796045E-2"/>
                </c:manualLayout>
              </c:layout>
              <c:tx>
                <c:rich>
                  <a:bodyPr/>
                  <a:lstStyle/>
                  <a:p>
                    <a:r>
                      <a:rPr lang="en-US"/>
                      <a:t>2030</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C79-DF4A-BB56-3E2E3762638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poly"/>
            <c:order val="2"/>
            <c:dispRSqr val="1"/>
            <c:dispEq val="1"/>
            <c:trendlineLbl>
              <c:layout>
                <c:manualLayout>
                  <c:x val="-0.38897060358764191"/>
                  <c:y val="-0.35243612505227334"/>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'Energy Intensity'!$B$21:$B$34</c:f>
              <c:numCache>
                <c:formatCode>"$"#,##0_);[Red]\("$"#,##0\)</c:formatCode>
                <c:ptCount val="14"/>
                <c:pt idx="0">
                  <c:v>5322</c:v>
                </c:pt>
                <c:pt idx="1">
                  <c:v>5434</c:v>
                </c:pt>
                <c:pt idx="2">
                  <c:v>5547</c:v>
                </c:pt>
                <c:pt idx="3">
                  <c:v>5659</c:v>
                </c:pt>
                <c:pt idx="4">
                  <c:v>5772</c:v>
                </c:pt>
                <c:pt idx="5">
                  <c:v>5885</c:v>
                </c:pt>
                <c:pt idx="6">
                  <c:v>5997</c:v>
                </c:pt>
                <c:pt idx="7">
                  <c:v>6110</c:v>
                </c:pt>
                <c:pt idx="8">
                  <c:v>6223</c:v>
                </c:pt>
                <c:pt idx="9">
                  <c:v>6335</c:v>
                </c:pt>
                <c:pt idx="10">
                  <c:v>6448</c:v>
                </c:pt>
                <c:pt idx="11">
                  <c:v>6560</c:v>
                </c:pt>
                <c:pt idx="12">
                  <c:v>6673</c:v>
                </c:pt>
                <c:pt idx="13">
                  <c:v>6786</c:v>
                </c:pt>
              </c:numCache>
            </c:numRef>
          </c:xVal>
          <c:yVal>
            <c:numRef>
              <c:f>'Energy Intensity'!$G$21:$G$34</c:f>
              <c:numCache>
                <c:formatCode>General</c:formatCode>
                <c:ptCount val="14"/>
                <c:pt idx="0">
                  <c:v>11.461267430583522</c:v>
                </c:pt>
                <c:pt idx="1">
                  <c:v>11.37992124165635</c:v>
                </c:pt>
                <c:pt idx="2">
                  <c:v>11.067306691241939</c:v>
                </c:pt>
                <c:pt idx="3">
                  <c:v>10.778410462031179</c:v>
                </c:pt>
                <c:pt idx="4">
                  <c:v>10.770912566423181</c:v>
                </c:pt>
                <c:pt idx="5">
                  <c:v>10.74947869633314</c:v>
                </c:pt>
                <c:pt idx="6">
                  <c:v>10.717925716119556</c:v>
                </c:pt>
                <c:pt idx="7">
                  <c:v>10.673062101427952</c:v>
                </c:pt>
                <c:pt idx="8">
                  <c:v>10.674364819464845</c:v>
                </c:pt>
                <c:pt idx="9">
                  <c:v>10.662926582946149</c:v>
                </c:pt>
                <c:pt idx="10">
                  <c:v>10.633838991935949</c:v>
                </c:pt>
                <c:pt idx="11">
                  <c:v>10.585086064642301</c:v>
                </c:pt>
                <c:pt idx="12">
                  <c:v>10.530442929487453</c:v>
                </c:pt>
                <c:pt idx="13">
                  <c:v>10.471524362063763</c:v>
                </c:pt>
              </c:numCache>
            </c:numRef>
          </c:yVal>
          <c:smooth val="0"/>
          <c:extLst>
            <c:ext xmlns:c16="http://schemas.microsoft.com/office/drawing/2014/chart" uri="{C3380CC4-5D6E-409C-BE32-E72D297353CC}">
              <c16:uniqueId val="{00000002-7C79-DF4A-BB56-3E2E3762638A}"/>
            </c:ext>
          </c:extLst>
        </c:ser>
        <c:ser>
          <c:idx val="1"/>
          <c:order val="1"/>
          <c:tx>
            <c:v>Year (BAU)</c:v>
          </c:tx>
          <c:spPr>
            <a:ln w="25400" cap="rnd">
              <a:noFill/>
              <a:round/>
            </a:ln>
            <a:effectLst/>
          </c:spPr>
          <c:marker>
            <c:symbol val="circle"/>
            <c:size val="5"/>
            <c:spPr>
              <a:solidFill>
                <a:schemeClr val="accent2"/>
              </a:solidFill>
              <a:ln w="9525">
                <a:solidFill>
                  <a:schemeClr val="accent2"/>
                </a:solidFill>
              </a:ln>
              <a:effectLst/>
            </c:spPr>
          </c:marker>
          <c:xVal>
            <c:numRef>
              <c:f>'Energy Intensity'!$B$3:$B$16</c:f>
              <c:numCache>
                <c:formatCode>"$"#,##0_);[Red]\("$"#,##0\)</c:formatCode>
                <c:ptCount val="14"/>
                <c:pt idx="0">
                  <c:v>5322</c:v>
                </c:pt>
                <c:pt idx="1">
                  <c:v>5434</c:v>
                </c:pt>
                <c:pt idx="2">
                  <c:v>5547</c:v>
                </c:pt>
                <c:pt idx="3">
                  <c:v>5659</c:v>
                </c:pt>
                <c:pt idx="4">
                  <c:v>5772</c:v>
                </c:pt>
                <c:pt idx="5">
                  <c:v>5885</c:v>
                </c:pt>
                <c:pt idx="6">
                  <c:v>5997</c:v>
                </c:pt>
                <c:pt idx="7">
                  <c:v>6110</c:v>
                </c:pt>
                <c:pt idx="8">
                  <c:v>6223</c:v>
                </c:pt>
                <c:pt idx="9">
                  <c:v>6335</c:v>
                </c:pt>
                <c:pt idx="10">
                  <c:v>6448</c:v>
                </c:pt>
                <c:pt idx="11">
                  <c:v>6560</c:v>
                </c:pt>
                <c:pt idx="12">
                  <c:v>6673</c:v>
                </c:pt>
                <c:pt idx="13">
                  <c:v>6786</c:v>
                </c:pt>
              </c:numCache>
            </c:numRef>
          </c:xVal>
          <c:yVal>
            <c:numRef>
              <c:f>'Energy Intensity'!$G$3:$G$16</c:f>
              <c:numCache>
                <c:formatCode>_(* #,##0.00_);_(* \(#,##0.00\);_(* "-"??_);_(@_)</c:formatCode>
                <c:ptCount val="14"/>
                <c:pt idx="0">
                  <c:v>11.461267430583522</c:v>
                </c:pt>
                <c:pt idx="1">
                  <c:v>11.834300869786849</c:v>
                </c:pt>
                <c:pt idx="2">
                  <c:v>12.151696788881669</c:v>
                </c:pt>
                <c:pt idx="3">
                  <c:v>12.515657990345655</c:v>
                </c:pt>
                <c:pt idx="4">
                  <c:v>12.927370056390501</c:v>
                </c:pt>
                <c:pt idx="5">
                  <c:v>13.353727369473592</c:v>
                </c:pt>
                <c:pt idx="6">
                  <c:v>13.807156307855125</c:v>
                </c:pt>
                <c:pt idx="7">
                  <c:v>14.281164671117812</c:v>
                </c:pt>
                <c:pt idx="8">
                  <c:v>14.779305692958797</c:v>
                </c:pt>
                <c:pt idx="9">
                  <c:v>15.304789696787214</c:v>
                </c:pt>
                <c:pt idx="10">
                  <c:v>15.840727786219674</c:v>
                </c:pt>
                <c:pt idx="11">
                  <c:v>16.378691435549751</c:v>
                </c:pt>
                <c:pt idx="12">
                  <c:v>16.932554712441792</c:v>
                </c:pt>
                <c:pt idx="13">
                  <c:v>17.513419637747361</c:v>
                </c:pt>
              </c:numCache>
            </c:numRef>
          </c:yVal>
          <c:smooth val="0"/>
          <c:extLst>
            <c:ext xmlns:c16="http://schemas.microsoft.com/office/drawing/2014/chart" uri="{C3380CC4-5D6E-409C-BE32-E72D297353CC}">
              <c16:uniqueId val="{00000023-7C79-DF4A-BB56-3E2E3762638A}"/>
            </c:ext>
          </c:extLst>
        </c:ser>
        <c:dLbls>
          <c:showLegendKey val="0"/>
          <c:showVal val="0"/>
          <c:showCatName val="0"/>
          <c:showSerName val="0"/>
          <c:showPercent val="0"/>
          <c:showBubbleSize val="0"/>
        </c:dLbls>
        <c:axId val="1522560816"/>
        <c:axId val="1522562512"/>
      </c:scatterChart>
      <c:valAx>
        <c:axId val="1522560816"/>
        <c:scaling>
          <c:orientation val="minMax"/>
          <c:min val="50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GDP Per Capita (USD)</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_);[Red]\(&quot;$&quot;#,##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2562512"/>
        <c:crosses val="autoZero"/>
        <c:crossBetween val="midCat"/>
      </c:valAx>
      <c:valAx>
        <c:axId val="1522562512"/>
        <c:scaling>
          <c:orientation val="minMax"/>
          <c:min val="9"/>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GJ of Imported Fuel Consumption / Capita / Year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2560816"/>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0"/>
            </a:pPr>
            <a:r>
              <a:rPr lang="en-US" sz="1800" b="0"/>
              <a:t>Tonga Transportation GHG Reductions</a:t>
            </a:r>
          </a:p>
        </c:rich>
      </c:tx>
      <c:layout>
        <c:manualLayout>
          <c:xMode val="edge"/>
          <c:yMode val="edge"/>
          <c:x val="0.33698792115271303"/>
          <c:y val="1.6544598591842687E-2"/>
        </c:manualLayout>
      </c:layout>
      <c:overlay val="0"/>
    </c:title>
    <c:autoTitleDeleted val="0"/>
    <c:plotArea>
      <c:layout>
        <c:manualLayout>
          <c:layoutTarget val="inner"/>
          <c:xMode val="edge"/>
          <c:yMode val="edge"/>
          <c:x val="7.7354979283483588E-2"/>
          <c:y val="0.12222965593353119"/>
          <c:w val="0.8854800672601012"/>
          <c:h val="0.64376466013643707"/>
        </c:manualLayout>
      </c:layout>
      <c:areaChart>
        <c:grouping val="stacked"/>
        <c:varyColors val="0"/>
        <c:ser>
          <c:idx val="0"/>
          <c:order val="0"/>
          <c:tx>
            <c:strRef>
              <c:f>Transportation!$A$62</c:f>
              <c:strCache>
                <c:ptCount val="1"/>
                <c:pt idx="0">
                  <c:v>Gasoline Use</c:v>
                </c:pt>
              </c:strCache>
            </c:strRef>
          </c:tx>
          <c:spPr>
            <a:solidFill>
              <a:schemeClr val="tx1">
                <a:lumMod val="65000"/>
                <a:lumOff val="35000"/>
              </a:schemeClr>
            </a:solidFill>
            <a:ln w="25400">
              <a:noFill/>
            </a:ln>
          </c:spPr>
          <c:cat>
            <c:numRef>
              <c:extLst>
                <c:ext xmlns:c15="http://schemas.microsoft.com/office/drawing/2012/chart" uri="{02D57815-91ED-43cb-92C2-25804820EDAC}">
                  <c15:fullRef>
                    <c15:sqref>Transportation!$B$54:$T$54</c15:sqref>
                  </c15:fullRef>
                </c:ext>
              </c:extLst>
              <c:f>Transportation!$G$54:$T$54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extLst>
                <c:ext xmlns:c15="http://schemas.microsoft.com/office/drawing/2012/chart" uri="{02D57815-91ED-43cb-92C2-25804820EDAC}">
                  <c15:fullRef>
                    <c15:sqref>Transportation!$B$62:$T$62</c15:sqref>
                  </c15:fullRef>
                </c:ext>
              </c:extLst>
              <c:f>Transportation!$G$62:$T$62</c:f>
              <c:numCache>
                <c:formatCode>_(* #,##0_);_(* \(#,##0\);_(* "-"??_);_(@_)</c:formatCode>
                <c:ptCount val="14"/>
                <c:pt idx="0">
                  <c:v>43918202.819031596</c:v>
                </c:pt>
                <c:pt idx="1">
                  <c:v>45183047.060219705</c:v>
                </c:pt>
                <c:pt idx="2">
                  <c:v>45696996.473185338</c:v>
                </c:pt>
                <c:pt idx="3">
                  <c:v>46102010.266958058</c:v>
                </c:pt>
                <c:pt idx="4">
                  <c:v>46406847.389806651</c:v>
                </c:pt>
                <c:pt idx="5">
                  <c:v>46609580.133123361</c:v>
                </c:pt>
                <c:pt idx="6">
                  <c:v>46710897.385044277</c:v>
                </c:pt>
                <c:pt idx="7">
                  <c:v>46711441.802865691</c:v>
                </c:pt>
                <c:pt idx="8">
                  <c:v>46611807.91971226</c:v>
                </c:pt>
                <c:pt idx="9">
                  <c:v>46412540.18049486</c:v>
                </c:pt>
                <c:pt idx="10">
                  <c:v>46114130.904655851</c:v>
                </c:pt>
                <c:pt idx="11">
                  <c:v>45717018.173113585</c:v>
                </c:pt>
                <c:pt idx="12">
                  <c:v>45317358.519382536</c:v>
                </c:pt>
                <c:pt idx="13">
                  <c:v>44913858.191214077</c:v>
                </c:pt>
              </c:numCache>
            </c:numRef>
          </c:val>
          <c:extLst>
            <c:ext xmlns:c16="http://schemas.microsoft.com/office/drawing/2014/chart" uri="{C3380CC4-5D6E-409C-BE32-E72D297353CC}">
              <c16:uniqueId val="{00000000-E9EB-440A-B030-0137AB583930}"/>
            </c:ext>
          </c:extLst>
        </c:ser>
        <c:ser>
          <c:idx val="6"/>
          <c:order val="1"/>
          <c:tx>
            <c:strRef>
              <c:f>Transportation!$A$61</c:f>
              <c:strCache>
                <c:ptCount val="1"/>
                <c:pt idx="0">
                  <c:v>Diesel Use</c:v>
                </c:pt>
              </c:strCache>
            </c:strRef>
          </c:tx>
          <c:spPr>
            <a:solidFill>
              <a:schemeClr val="bg1">
                <a:lumMod val="50000"/>
              </a:schemeClr>
            </a:solidFill>
          </c:spPr>
          <c:cat>
            <c:numRef>
              <c:extLst>
                <c:ext xmlns:c15="http://schemas.microsoft.com/office/drawing/2012/chart" uri="{02D57815-91ED-43cb-92C2-25804820EDAC}">
                  <c15:fullRef>
                    <c15:sqref>Transportation!$B$54:$T$54</c15:sqref>
                  </c15:fullRef>
                </c:ext>
              </c:extLst>
              <c:f>Transportation!$G$54:$T$54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extLst>
                <c:ext xmlns:c15="http://schemas.microsoft.com/office/drawing/2012/chart" uri="{02D57815-91ED-43cb-92C2-25804820EDAC}">
                  <c15:fullRef>
                    <c15:sqref>Transportation!$B$61:$T$61</c15:sqref>
                  </c15:fullRef>
                </c:ext>
              </c:extLst>
              <c:f>Transportation!$G$61:$T$61</c:f>
              <c:numCache>
                <c:formatCode>_(* #,##0_);_(* \(#,##0\);_(* "-"??_);_(@_)</c:formatCode>
                <c:ptCount val="14"/>
                <c:pt idx="0">
                  <c:v>37992917.421876401</c:v>
                </c:pt>
                <c:pt idx="1">
                  <c:v>39087113.443626441</c:v>
                </c:pt>
                <c:pt idx="2">
                  <c:v>39255370.98258578</c:v>
                </c:pt>
                <c:pt idx="3">
                  <c:v>39411640.227123037</c:v>
                </c:pt>
                <c:pt idx="4">
                  <c:v>39555400.417963602</c:v>
                </c:pt>
                <c:pt idx="5">
                  <c:v>39686119.652258843</c:v>
                </c:pt>
                <c:pt idx="6">
                  <c:v>39803254.930222243</c:v>
                </c:pt>
                <c:pt idx="7">
                  <c:v>39906252.221083738</c:v>
                </c:pt>
                <c:pt idx="8">
                  <c:v>39994546.549649291</c:v>
                </c:pt>
                <c:pt idx="9">
                  <c:v>40067562.10481669</c:v>
                </c:pt>
                <c:pt idx="10">
                  <c:v>40124712.371465743</c:v>
                </c:pt>
                <c:pt idx="11">
                  <c:v>40165400.287210897</c:v>
                </c:pt>
                <c:pt idx="12">
                  <c:v>40189018.425577462</c:v>
                </c:pt>
                <c:pt idx="13">
                  <c:v>40194949.207238577</c:v>
                </c:pt>
              </c:numCache>
            </c:numRef>
          </c:val>
          <c:extLst>
            <c:ext xmlns:c16="http://schemas.microsoft.com/office/drawing/2014/chart" uri="{C3380CC4-5D6E-409C-BE32-E72D297353CC}">
              <c16:uniqueId val="{00000001-E9EB-440A-B030-0137AB583930}"/>
            </c:ext>
          </c:extLst>
        </c:ser>
        <c:ser>
          <c:idx val="8"/>
          <c:order val="2"/>
          <c:tx>
            <c:strRef>
              <c:f>Transportation!$A$55</c:f>
              <c:strCache>
                <c:ptCount val="1"/>
                <c:pt idx="0">
                  <c:v>VKT Reduction Projects</c:v>
                </c:pt>
              </c:strCache>
            </c:strRef>
          </c:tx>
          <c:spPr>
            <a:solidFill>
              <a:schemeClr val="accent2">
                <a:lumMod val="75000"/>
              </a:schemeClr>
            </a:solidFill>
          </c:spPr>
          <c:cat>
            <c:numRef>
              <c:extLst>
                <c:ext xmlns:c15="http://schemas.microsoft.com/office/drawing/2012/chart" uri="{02D57815-91ED-43cb-92C2-25804820EDAC}">
                  <c15:fullRef>
                    <c15:sqref>Transportation!$B$54:$T$54</c15:sqref>
                  </c15:fullRef>
                </c:ext>
              </c:extLst>
              <c:f>Transportation!$G$54:$T$54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extLst>
                <c:ext xmlns:c15="http://schemas.microsoft.com/office/drawing/2012/chart" uri="{02D57815-91ED-43cb-92C2-25804820EDAC}">
                  <c15:fullRef>
                    <c15:sqref>Transportation!$B$55:$T$55</c15:sqref>
                  </c15:fullRef>
                </c:ext>
              </c:extLst>
              <c:f>Transportation!$G$55:$T$55</c:f>
              <c:numCache>
                <c:formatCode>_(* #,##0_);_(* \(#,##0\);_(* "-"??_);_(@_)</c:formatCode>
                <c:ptCount val="14"/>
                <c:pt idx="0">
                  <c:v>0</c:v>
                </c:pt>
                <c:pt idx="1">
                  <c:v>0</c:v>
                </c:pt>
                <c:pt idx="2">
                  <c:v>771639.69233819691</c:v>
                </c:pt>
                <c:pt idx="3">
                  <c:v>1587725.8309550744</c:v>
                </c:pt>
                <c:pt idx="4">
                  <c:v>2450178.5023298706</c:v>
                </c:pt>
                <c:pt idx="5">
                  <c:v>3360991.5242626285</c:v>
                </c:pt>
                <c:pt idx="6">
                  <c:v>4322235.1002017409</c:v>
                </c:pt>
                <c:pt idx="7">
                  <c:v>5336058.5653050607</c:v>
                </c:pt>
                <c:pt idx="8">
                  <c:v>6404693.227316821</c:v>
                </c:pt>
                <c:pt idx="9">
                  <c:v>7530455.3054440524</c:v>
                </c:pt>
                <c:pt idx="10">
                  <c:v>8715748.9705209453</c:v>
                </c:pt>
                <c:pt idx="11">
                  <c:v>9963069.4898577221</c:v>
                </c:pt>
                <c:pt idx="12">
                  <c:v>11275006.480282187</c:v>
                </c:pt>
                <c:pt idx="13">
                  <c:v>12654247.272997433</c:v>
                </c:pt>
              </c:numCache>
            </c:numRef>
          </c:val>
          <c:extLst>
            <c:ext xmlns:c16="http://schemas.microsoft.com/office/drawing/2014/chart" uri="{C3380CC4-5D6E-409C-BE32-E72D297353CC}">
              <c16:uniqueId val="{00000002-E9EB-440A-B030-0137AB583930}"/>
            </c:ext>
          </c:extLst>
        </c:ser>
        <c:ser>
          <c:idx val="1"/>
          <c:order val="3"/>
          <c:tx>
            <c:strRef>
              <c:f>Transportation!$A$56</c:f>
              <c:strCache>
                <c:ptCount val="1"/>
                <c:pt idx="0">
                  <c:v>FE improvements and HEVs</c:v>
                </c:pt>
              </c:strCache>
            </c:strRef>
          </c:tx>
          <c:spPr>
            <a:solidFill>
              <a:schemeClr val="accent3">
                <a:lumMod val="75000"/>
              </a:schemeClr>
            </a:solidFill>
          </c:spPr>
          <c:cat>
            <c:numRef>
              <c:extLst>
                <c:ext xmlns:c15="http://schemas.microsoft.com/office/drawing/2012/chart" uri="{02D57815-91ED-43cb-92C2-25804820EDAC}">
                  <c15:fullRef>
                    <c15:sqref>Transportation!$B$54:$T$54</c15:sqref>
                  </c15:fullRef>
                </c:ext>
              </c:extLst>
              <c:f>Transportation!$G$54:$T$54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extLst>
                <c:ext xmlns:c15="http://schemas.microsoft.com/office/drawing/2012/chart" uri="{02D57815-91ED-43cb-92C2-25804820EDAC}">
                  <c15:fullRef>
                    <c15:sqref>Transportation!$B$56:$T$56</c15:sqref>
                  </c15:fullRef>
                </c:ext>
              </c:extLst>
              <c:f>Transportation!$G$56:$T$56</c:f>
              <c:numCache>
                <c:formatCode>_(* #,##0_);_(* \(#,##0\);_(* "-"??_);_(@_)</c:formatCode>
                <c:ptCount val="14"/>
                <c:pt idx="0">
                  <c:v>0</c:v>
                </c:pt>
                <c:pt idx="1">
                  <c:v>0</c:v>
                </c:pt>
                <c:pt idx="2">
                  <c:v>0</c:v>
                </c:pt>
                <c:pt idx="3">
                  <c:v>95774.88265275021</c:v>
                </c:pt>
                <c:pt idx="4">
                  <c:v>285707.94768162409</c:v>
                </c:pt>
                <c:pt idx="5">
                  <c:v>568182.49480999378</c:v>
                </c:pt>
                <c:pt idx="6">
                  <c:v>941581.82376123138</c:v>
                </c:pt>
                <c:pt idx="7">
                  <c:v>1404289.234258709</c:v>
                </c:pt>
                <c:pt idx="8">
                  <c:v>1954688.0260257986</c:v>
                </c:pt>
                <c:pt idx="9">
                  <c:v>2591161.4987858734</c:v>
                </c:pt>
                <c:pt idx="10">
                  <c:v>3312092.9522623052</c:v>
                </c:pt>
                <c:pt idx="11">
                  <c:v>4115865.6861784658</c:v>
                </c:pt>
                <c:pt idx="12">
                  <c:v>4905088.1176049784</c:v>
                </c:pt>
                <c:pt idx="13">
                  <c:v>5679760.24654184</c:v>
                </c:pt>
              </c:numCache>
            </c:numRef>
          </c:val>
          <c:extLst>
            <c:ext xmlns:c16="http://schemas.microsoft.com/office/drawing/2014/chart" uri="{C3380CC4-5D6E-409C-BE32-E72D297353CC}">
              <c16:uniqueId val="{00000003-E9EB-440A-B030-0137AB583930}"/>
            </c:ext>
          </c:extLst>
        </c:ser>
        <c:ser>
          <c:idx val="2"/>
          <c:order val="4"/>
          <c:tx>
            <c:strRef>
              <c:f>Transportation!$A$57</c:f>
              <c:strCache>
                <c:ptCount val="1"/>
                <c:pt idx="0">
                  <c:v>HDV idle time reduced</c:v>
                </c:pt>
              </c:strCache>
            </c:strRef>
          </c:tx>
          <c:spPr>
            <a:solidFill>
              <a:schemeClr val="accent4">
                <a:lumMod val="75000"/>
              </a:schemeClr>
            </a:solidFill>
          </c:spPr>
          <c:cat>
            <c:numRef>
              <c:extLst>
                <c:ext xmlns:c15="http://schemas.microsoft.com/office/drawing/2012/chart" uri="{02D57815-91ED-43cb-92C2-25804820EDAC}">
                  <c15:fullRef>
                    <c15:sqref>Transportation!$B$54:$T$54</c15:sqref>
                  </c15:fullRef>
                </c:ext>
              </c:extLst>
              <c:f>Transportation!$G$54:$T$54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extLst>
                <c:ext xmlns:c15="http://schemas.microsoft.com/office/drawing/2012/chart" uri="{02D57815-91ED-43cb-92C2-25804820EDAC}">
                  <c15:fullRef>
                    <c15:sqref>Transportation!$B$57:$T$57</c15:sqref>
                  </c15:fullRef>
                </c:ext>
              </c:extLst>
              <c:f>Transportation!$G$57:$T$57</c:f>
              <c:numCache>
                <c:formatCode>_(* #,##0_);_(* \(#,##0\);_(* "-"??_);_(@_)</c:formatCode>
                <c:ptCount val="14"/>
                <c:pt idx="0">
                  <c:v>0</c:v>
                </c:pt>
                <c:pt idx="1">
                  <c:v>0</c:v>
                </c:pt>
                <c:pt idx="2">
                  <c:v>628904.81298521976</c:v>
                </c:pt>
                <c:pt idx="3">
                  <c:v>1294034.5431983878</c:v>
                </c:pt>
                <c:pt idx="4">
                  <c:v>1996954.1070637521</c:v>
                </c:pt>
                <c:pt idx="5">
                  <c:v>2739288.5137962508</c:v>
                </c:pt>
                <c:pt idx="6">
                  <c:v>3522725.0287419786</c:v>
                </c:pt>
                <c:pt idx="7">
                  <c:v>4349015.4114836976</c:v>
                </c:pt>
                <c:pt idx="8">
                  <c:v>5219978.2312234985</c:v>
                </c:pt>
                <c:pt idx="9">
                  <c:v>6137501.2620374132</c:v>
                </c:pt>
                <c:pt idx="10">
                  <c:v>7103543.9606821006</c:v>
                </c:pt>
                <c:pt idx="11">
                  <c:v>8120140.029721939</c:v>
                </c:pt>
                <c:pt idx="12">
                  <c:v>9189400.0688357223</c:v>
                </c:pt>
                <c:pt idx="13">
                  <c:v>10313514.31725621</c:v>
                </c:pt>
              </c:numCache>
            </c:numRef>
          </c:val>
          <c:extLst>
            <c:ext xmlns:c16="http://schemas.microsoft.com/office/drawing/2014/chart" uri="{C3380CC4-5D6E-409C-BE32-E72D297353CC}">
              <c16:uniqueId val="{00000004-E9EB-440A-B030-0137AB583930}"/>
            </c:ext>
          </c:extLst>
        </c:ser>
        <c:ser>
          <c:idx val="4"/>
          <c:order val="6"/>
          <c:tx>
            <c:strRef>
              <c:f>Transportation!$A$59</c:f>
              <c:strCache>
                <c:ptCount val="1"/>
                <c:pt idx="0">
                  <c:v>Electric Vehicles</c:v>
                </c:pt>
              </c:strCache>
            </c:strRef>
          </c:tx>
          <c:spPr>
            <a:solidFill>
              <a:schemeClr val="accent6"/>
            </a:solidFill>
          </c:spPr>
          <c:cat>
            <c:numRef>
              <c:extLst>
                <c:ext xmlns:c15="http://schemas.microsoft.com/office/drawing/2012/chart" uri="{02D57815-91ED-43cb-92C2-25804820EDAC}">
                  <c15:fullRef>
                    <c15:sqref>Transportation!$B$54:$T$54</c15:sqref>
                  </c15:fullRef>
                </c:ext>
              </c:extLst>
              <c:f>Transportation!$G$54:$T$54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extLst>
                <c:ext xmlns:c15="http://schemas.microsoft.com/office/drawing/2012/chart" uri="{02D57815-91ED-43cb-92C2-25804820EDAC}">
                  <c15:fullRef>
                    <c15:sqref>Transportation!$B$59:$T$59</c15:sqref>
                  </c15:fullRef>
                </c:ext>
              </c:extLst>
              <c:f>Transportation!$G$59:$T$59</c:f>
              <c:numCache>
                <c:formatCode>_(* #,##0_);_(* \(#,##0\);_(* "-"??_);_(@_)</c:formatCode>
                <c:ptCount val="14"/>
                <c:pt idx="0">
                  <c:v>0</c:v>
                </c:pt>
                <c:pt idx="1">
                  <c:v>0</c:v>
                </c:pt>
                <c:pt idx="2">
                  <c:v>15682.650030496297</c:v>
                </c:pt>
                <c:pt idx="3">
                  <c:v>37556.216876107166</c:v>
                </c:pt>
                <c:pt idx="4">
                  <c:v>57637.69291017521</c:v>
                </c:pt>
                <c:pt idx="5">
                  <c:v>78588.080674919576</c:v>
                </c:pt>
                <c:pt idx="6">
                  <c:v>100407.38017034029</c:v>
                </c:pt>
                <c:pt idx="7">
                  <c:v>123095.59139643729</c:v>
                </c:pt>
                <c:pt idx="8">
                  <c:v>146652.71435321061</c:v>
                </c:pt>
                <c:pt idx="9">
                  <c:v>171078.74904066019</c:v>
                </c:pt>
                <c:pt idx="10">
                  <c:v>196373.69545878618</c:v>
                </c:pt>
                <c:pt idx="11">
                  <c:v>222537.55360758837</c:v>
                </c:pt>
                <c:pt idx="12">
                  <c:v>249570.32348706693</c:v>
                </c:pt>
                <c:pt idx="13">
                  <c:v>277472.00509722176</c:v>
                </c:pt>
              </c:numCache>
            </c:numRef>
          </c:val>
          <c:extLst>
            <c:ext xmlns:c16="http://schemas.microsoft.com/office/drawing/2014/chart" uri="{C3380CC4-5D6E-409C-BE32-E72D297353CC}">
              <c16:uniqueId val="{00000005-E9EB-440A-B030-0137AB583930}"/>
            </c:ext>
          </c:extLst>
        </c:ser>
        <c:ser>
          <c:idx val="5"/>
          <c:order val="7"/>
          <c:tx>
            <c:strRef>
              <c:f>Transportation!$A$60</c:f>
              <c:strCache>
                <c:ptCount val="1"/>
                <c:pt idx="0">
                  <c:v>Biodiesel</c:v>
                </c:pt>
              </c:strCache>
            </c:strRef>
          </c:tx>
          <c:spPr>
            <a:solidFill>
              <a:schemeClr val="accent1">
                <a:lumMod val="40000"/>
                <a:lumOff val="60000"/>
              </a:schemeClr>
            </a:solidFill>
          </c:spPr>
          <c:cat>
            <c:numRef>
              <c:extLst>
                <c:ext xmlns:c15="http://schemas.microsoft.com/office/drawing/2012/chart" uri="{02D57815-91ED-43cb-92C2-25804820EDAC}">
                  <c15:fullRef>
                    <c15:sqref>Transportation!$B$54:$T$54</c15:sqref>
                  </c15:fullRef>
                </c:ext>
              </c:extLst>
              <c:f>Transportation!$G$54:$T$54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extLst>
                <c:ext xmlns:c15="http://schemas.microsoft.com/office/drawing/2012/chart" uri="{02D57815-91ED-43cb-92C2-25804820EDAC}">
                  <c15:fullRef>
                    <c15:sqref>Transportation!$B$60:$T$60</c15:sqref>
                  </c15:fullRef>
                </c:ext>
              </c:extLst>
              <c:f>Transportation!$G$60:$T$60</c:f>
              <c:numCache>
                <c:formatCode>_(* #,##0_);_(* \(#,##0\);_(* "-"??_);_(@_)</c:formatCode>
                <c:ptCount val="14"/>
                <c:pt idx="0">
                  <c:v>0</c:v>
                </c:pt>
                <c:pt idx="1">
                  <c:v>0</c:v>
                </c:pt>
                <c:pt idx="2">
                  <c:v>328546.51523188665</c:v>
                </c:pt>
                <c:pt idx="3">
                  <c:v>665276.82303258346</c:v>
                </c:pt>
                <c:pt idx="4">
                  <c:v>1010080.4742152535</c:v>
                </c:pt>
                <c:pt idx="5">
                  <c:v>1362824.961165695</c:v>
                </c:pt>
                <c:pt idx="6">
                  <c:v>1723354.282320525</c:v>
                </c:pt>
                <c:pt idx="7">
                  <c:v>2091487.4348663127</c:v>
                </c:pt>
                <c:pt idx="8">
                  <c:v>2467016.832503052</c:v>
                </c:pt>
                <c:pt idx="9">
                  <c:v>2849706.6449869629</c:v>
                </c:pt>
                <c:pt idx="10">
                  <c:v>3239291.0560342497</c:v>
                </c:pt>
                <c:pt idx="11">
                  <c:v>3635472.4360289034</c:v>
                </c:pt>
                <c:pt idx="12">
                  <c:v>4037919.425833852</c:v>
                </c:pt>
                <c:pt idx="13">
                  <c:v>4446264.9278553557</c:v>
                </c:pt>
              </c:numCache>
            </c:numRef>
          </c:val>
          <c:extLst>
            <c:ext xmlns:c16="http://schemas.microsoft.com/office/drawing/2014/chart" uri="{C3380CC4-5D6E-409C-BE32-E72D297353CC}">
              <c16:uniqueId val="{00000006-E9EB-440A-B030-0137AB583930}"/>
            </c:ext>
          </c:extLst>
        </c:ser>
        <c:dLbls>
          <c:showLegendKey val="0"/>
          <c:showVal val="0"/>
          <c:showCatName val="0"/>
          <c:showSerName val="0"/>
          <c:showPercent val="0"/>
          <c:showBubbleSize val="0"/>
        </c:dLbls>
        <c:axId val="109383040"/>
        <c:axId val="109388928"/>
        <c:extLst>
          <c:ext xmlns:c15="http://schemas.microsoft.com/office/drawing/2012/chart" uri="{02D57815-91ED-43cb-92C2-25804820EDAC}">
            <c15:filteredAreaSeries>
              <c15:ser>
                <c:idx val="3"/>
                <c:order val="5"/>
                <c:tx>
                  <c:strRef>
                    <c:extLst>
                      <c:ext uri="{02D57815-91ED-43cb-92C2-25804820EDAC}">
                        <c15:formulaRef>
                          <c15:sqref>Transportation!$A$58</c15:sqref>
                        </c15:formulaRef>
                      </c:ext>
                    </c:extLst>
                    <c:strCache>
                      <c:ptCount val="1"/>
                      <c:pt idx="0">
                        <c:v>Traffic signal synchronization</c:v>
                      </c:pt>
                    </c:strCache>
                  </c:strRef>
                </c:tx>
                <c:spPr>
                  <a:solidFill>
                    <a:schemeClr val="accent5">
                      <a:lumMod val="75000"/>
                    </a:schemeClr>
                  </a:solidFill>
                </c:spPr>
                <c:cat>
                  <c:numRef>
                    <c:extLst>
                      <c:ext uri="{02D57815-91ED-43cb-92C2-25804820EDAC}">
                        <c15:fullRef>
                          <c15:sqref>Transportation!$B$54:$T$54</c15:sqref>
                        </c15:fullRef>
                        <c15:formulaRef>
                          <c15:sqref>Transportation!$G$54:$T$54</c15:sqref>
                        </c15:formulaRef>
                      </c:ext>
                    </c:extLst>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extLst>
                      <c:ext uri="{02D57815-91ED-43cb-92C2-25804820EDAC}">
                        <c15:fullRef>
                          <c15:sqref>Transportation!$B$58:$T$58</c15:sqref>
                        </c15:fullRef>
                        <c15:formulaRef>
                          <c15:sqref>Transportation!$G$58:$T$58</c15:sqref>
                        </c15:formulaRef>
                      </c:ext>
                    </c:extLst>
                    <c:numCache>
                      <c:formatCode>_(* #,##0_);_(* \(#,##0\);_(* "-"??_);_(@_)</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7-E9EB-440A-B030-0137AB583930}"/>
                  </c:ext>
                </c:extLst>
              </c15:ser>
            </c15:filteredAreaSeries>
          </c:ext>
        </c:extLst>
      </c:areaChart>
      <c:catAx>
        <c:axId val="109383040"/>
        <c:scaling>
          <c:orientation val="minMax"/>
        </c:scaling>
        <c:delete val="0"/>
        <c:axPos val="b"/>
        <c:numFmt formatCode="General" sourceLinked="1"/>
        <c:majorTickMark val="out"/>
        <c:minorTickMark val="none"/>
        <c:tickLblPos val="nextTo"/>
        <c:txPr>
          <a:bodyPr rot="0"/>
          <a:lstStyle/>
          <a:p>
            <a:pPr>
              <a:defRPr sz="1200"/>
            </a:pPr>
            <a:endParaRPr lang="en-US"/>
          </a:p>
        </c:txPr>
        <c:crossAx val="109388928"/>
        <c:crosses val="autoZero"/>
        <c:auto val="1"/>
        <c:lblAlgn val="ctr"/>
        <c:lblOffset val="100"/>
        <c:noMultiLvlLbl val="0"/>
      </c:catAx>
      <c:valAx>
        <c:axId val="109388928"/>
        <c:scaling>
          <c:orientation val="minMax"/>
        </c:scaling>
        <c:delete val="0"/>
        <c:axPos val="l"/>
        <c:majorGridlines/>
        <c:numFmt formatCode="_(* #,##0_);_(* \(#,##0\);_(* &quot;-&quot;??_);_(@_)" sourceLinked="1"/>
        <c:majorTickMark val="out"/>
        <c:minorTickMark val="none"/>
        <c:tickLblPos val="nextTo"/>
        <c:txPr>
          <a:bodyPr/>
          <a:lstStyle/>
          <a:p>
            <a:pPr>
              <a:defRPr sz="1200"/>
            </a:pPr>
            <a:endParaRPr lang="en-US"/>
          </a:p>
        </c:txPr>
        <c:crossAx val="109383040"/>
        <c:crosses val="autoZero"/>
        <c:crossBetween val="midCat"/>
        <c:dispUnits>
          <c:builtInUnit val="millions"/>
          <c:dispUnitsLbl>
            <c:layout>
              <c:manualLayout>
                <c:xMode val="edge"/>
                <c:yMode val="edge"/>
                <c:x val="5.6432322931353543E-3"/>
                <c:y val="0.23877061399722463"/>
              </c:manualLayout>
            </c:layout>
            <c:tx>
              <c:rich>
                <a:bodyPr/>
                <a:lstStyle/>
                <a:p>
                  <a:pPr>
                    <a:defRPr sz="1200"/>
                  </a:pPr>
                  <a:r>
                    <a:rPr lang="en-US" sz="1200"/>
                    <a:t>Thousand</a:t>
                  </a:r>
                  <a:r>
                    <a:rPr lang="en-US" sz="1200" baseline="0"/>
                    <a:t> Metric Tonnes CO2e</a:t>
                  </a:r>
                  <a:endParaRPr lang="en-US" sz="1200"/>
                </a:p>
              </c:rich>
            </c:tx>
          </c:dispUnitsLbl>
        </c:dispUnits>
      </c:valAx>
    </c:plotArea>
    <c:legend>
      <c:legendPos val="r"/>
      <c:layout>
        <c:manualLayout>
          <c:xMode val="edge"/>
          <c:yMode val="edge"/>
          <c:x val="5.1785904062605664E-2"/>
          <c:y val="0.85787155690506012"/>
          <c:w val="0.90348258218438759"/>
          <c:h val="0.14212844309493994"/>
        </c:manualLayout>
      </c:layout>
      <c:overlay val="0"/>
      <c:txPr>
        <a:bodyPr/>
        <a:lstStyle/>
        <a:p>
          <a:pPr>
            <a:defRPr sz="1200"/>
          </a:pPr>
          <a:endParaRPr lang="en-US"/>
        </a:p>
      </c:txPr>
    </c:legend>
    <c:plotVisOnly val="1"/>
    <c:dispBlanksAs val="zero"/>
    <c:showDLblsOverMax val="0"/>
  </c:chart>
  <c:printSettings>
    <c:headerFooter/>
    <c:pageMargins b="0.75000000000000122" l="0.70000000000000062" r="0.70000000000000062" t="0.75000000000000122"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'Energy Intensity'!$A$2</c:f>
              <c:strCache>
                <c:ptCount val="1"/>
                <c:pt idx="0">
                  <c:v>Year</c:v>
                </c:pt>
              </c:strCache>
            </c:strRef>
          </c:tx>
          <c:spPr>
            <a:ln w="28575" cap="rnd">
              <a:noFill/>
              <a:round/>
            </a:ln>
            <a:effectLst/>
          </c:spPr>
          <c:marker>
            <c:symbol val="circle"/>
            <c:size val="5"/>
            <c:spPr>
              <a:solidFill>
                <a:schemeClr val="accent1"/>
              </a:solidFill>
              <a:ln w="9525">
                <a:solidFill>
                  <a:schemeClr val="accent1"/>
                </a:solidFill>
              </a:ln>
              <a:effectLst/>
            </c:spPr>
          </c:marker>
          <c:dLbls>
            <c:dLbl>
              <c:idx val="0"/>
              <c:layout>
                <c:manualLayout>
                  <c:x val="-3.0669149470062565E-2"/>
                  <c:y val="-7.3982755318784885E-2"/>
                </c:manualLayout>
              </c:layout>
              <c:tx>
                <c:rich>
                  <a:bodyPr rot="0" spcFirstLastPara="1" vertOverflow="overflow" horzOverflow="overflow"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r>
                      <a:rPr lang="en-US"/>
                      <a:t>2017</a:t>
                    </a:r>
                  </a:p>
                </c:rich>
              </c:tx>
              <c:spPr>
                <a:noFill/>
                <a:ln>
                  <a:noFill/>
                </a:ln>
                <a:effectLst/>
              </c:spPr>
              <c:txPr>
                <a:bodyPr rot="0" spcFirstLastPara="1" vertOverflow="overflow" horzOverflow="overflow"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F62-FA4B-BDC9-C0D017C7B238}"/>
                </c:ext>
              </c:extLst>
            </c:dLbl>
            <c:dLbl>
              <c:idx val="1"/>
              <c:layout>
                <c:manualLayout>
                  <c:x val="8.3643134918352444E-3"/>
                  <c:y val="4.6239222074240444E-2"/>
                </c:manualLayout>
              </c:layout>
              <c:tx>
                <c:rich>
                  <a:bodyPr/>
                  <a:lstStyle/>
                  <a:p>
                    <a:r>
                      <a:rPr lang="en-US"/>
                      <a:t>2018</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F62-FA4B-BDC9-C0D017C7B238}"/>
                </c:ext>
              </c:extLst>
            </c:dLbl>
            <c:dLbl>
              <c:idx val="2"/>
              <c:layout>
                <c:manualLayout>
                  <c:x val="-1.6728626983670541E-2"/>
                  <c:y val="-7.8606677526208896E-2"/>
                </c:manualLayout>
              </c:layout>
              <c:tx>
                <c:rich>
                  <a:bodyPr/>
                  <a:lstStyle/>
                  <a:p>
                    <a:r>
                      <a:rPr lang="en-US"/>
                      <a:t>2019</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F62-FA4B-BDC9-C0D017C7B238}"/>
                </c:ext>
              </c:extLst>
            </c:dLbl>
            <c:dLbl>
              <c:idx val="3"/>
              <c:layout>
                <c:manualLayout>
                  <c:x val="-1.3940522486392075E-2"/>
                  <c:y val="7.398275531878476E-2"/>
                </c:manualLayout>
              </c:layout>
              <c:tx>
                <c:rich>
                  <a:bodyPr/>
                  <a:lstStyle/>
                  <a:p>
                    <a:r>
                      <a:rPr lang="en-US"/>
                      <a:t>2020</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F62-FA4B-BDC9-C0D017C7B238}"/>
                </c:ext>
              </c:extLst>
            </c:dLbl>
            <c:dLbl>
              <c:idx val="4"/>
              <c:layout>
                <c:manualLayout>
                  <c:x val="-3.0669149470062614E-2"/>
                  <c:y val="-6.935883311136079E-2"/>
                </c:manualLayout>
              </c:layout>
              <c:tx>
                <c:rich>
                  <a:bodyPr/>
                  <a:lstStyle/>
                  <a:p>
                    <a:r>
                      <a:rPr lang="en-US"/>
                      <a:t>2021</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62-FA4B-BDC9-C0D017C7B238}"/>
                </c:ext>
              </c:extLst>
            </c:dLbl>
            <c:dLbl>
              <c:idx val="5"/>
              <c:layout>
                <c:manualLayout>
                  <c:x val="-2.5092940475505733E-2"/>
                  <c:y val="9.2478444148481054E-2"/>
                </c:manualLayout>
              </c:layout>
              <c:tx>
                <c:rich>
                  <a:bodyPr/>
                  <a:lstStyle/>
                  <a:p>
                    <a:r>
                      <a:rPr lang="en-US"/>
                      <a:t>2022</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F62-FA4B-BDC9-C0D017C7B238}"/>
                </c:ext>
              </c:extLst>
            </c:dLbl>
            <c:dLbl>
              <c:idx val="6"/>
              <c:layout>
                <c:manualLayout>
                  <c:x val="-8.3643134918353467E-3"/>
                  <c:y val="7.8606677526208896E-2"/>
                </c:manualLayout>
              </c:layout>
              <c:tx>
                <c:rich>
                  <a:bodyPr/>
                  <a:lstStyle/>
                  <a:p>
                    <a:r>
                      <a:rPr lang="en-US"/>
                      <a:t>2023</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F62-FA4B-BDC9-C0D017C7B238}"/>
                </c:ext>
              </c:extLst>
            </c:dLbl>
            <c:dLbl>
              <c:idx val="7"/>
              <c:layout>
                <c:manualLayout>
                  <c:x val="-3.9033462961897809E-2"/>
                  <c:y val="-7.3982755318784843E-2"/>
                </c:manualLayout>
              </c:layout>
              <c:tx>
                <c:rich>
                  <a:bodyPr/>
                  <a:lstStyle/>
                  <a:p>
                    <a:r>
                      <a:rPr lang="en-US"/>
                      <a:t>2024</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F62-FA4B-BDC9-C0D017C7B238}"/>
                </c:ext>
              </c:extLst>
            </c:dLbl>
            <c:dLbl>
              <c:idx val="8"/>
              <c:layout>
                <c:manualLayout>
                  <c:x val="-1.0222931727174519E-16"/>
                  <c:y val="9.7102366355905106E-2"/>
                </c:manualLayout>
              </c:layout>
              <c:tx>
                <c:rich>
                  <a:bodyPr/>
                  <a:lstStyle/>
                  <a:p>
                    <a:r>
                      <a:rPr lang="en-US"/>
                      <a:t>2025</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F62-FA4B-BDC9-C0D017C7B238}"/>
                </c:ext>
              </c:extLst>
            </c:dLbl>
            <c:dLbl>
              <c:idx val="9"/>
              <c:layout>
                <c:manualLayout>
                  <c:x val="-2.7881044972784149E-2"/>
                  <c:y val="-6.0110988696512692E-2"/>
                </c:manualLayout>
              </c:layout>
              <c:tx>
                <c:rich>
                  <a:bodyPr/>
                  <a:lstStyle/>
                  <a:p>
                    <a:r>
                      <a:rPr lang="en-US"/>
                      <a:t>2026</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F62-FA4B-BDC9-C0D017C7B238}"/>
                </c:ext>
              </c:extLst>
            </c:dLbl>
            <c:dLbl>
              <c:idx val="10"/>
              <c:layout>
                <c:manualLayout>
                  <c:x val="-2.5092940475505632E-2"/>
                  <c:y val="7.8606677526208854E-2"/>
                </c:manualLayout>
              </c:layout>
              <c:tx>
                <c:rich>
                  <a:bodyPr/>
                  <a:lstStyle/>
                  <a:p>
                    <a:r>
                      <a:rPr lang="en-US"/>
                      <a:t>2027</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F62-FA4B-BDC9-C0D017C7B238}"/>
                </c:ext>
              </c:extLst>
            </c:dLbl>
            <c:dLbl>
              <c:idx val="11"/>
              <c:layout>
                <c:manualLayout>
                  <c:x val="-2.2304835978227317E-2"/>
                  <c:y val="-7.3982755318784843E-2"/>
                </c:manualLayout>
              </c:layout>
              <c:tx>
                <c:rich>
                  <a:bodyPr/>
                  <a:lstStyle/>
                  <a:p>
                    <a:r>
                      <a:rPr lang="en-US"/>
                      <a:t>2028</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F62-FA4B-BDC9-C0D017C7B238}"/>
                </c:ext>
              </c:extLst>
            </c:dLbl>
            <c:dLbl>
              <c:idx val="12"/>
              <c:layout>
                <c:manualLayout>
                  <c:x val="-2.7881044972784146E-3"/>
                  <c:y val="7.8606677526208896E-2"/>
                </c:manualLayout>
              </c:layout>
              <c:tx>
                <c:rich>
                  <a:bodyPr/>
                  <a:lstStyle/>
                  <a:p>
                    <a:r>
                      <a:rPr lang="en-US"/>
                      <a:t>2029</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F62-FA4B-BDC9-C0D017C7B238}"/>
                </c:ext>
              </c:extLst>
            </c:dLbl>
            <c:dLbl>
              <c:idx val="13"/>
              <c:layout>
                <c:manualLayout>
                  <c:x val="-8.3643134918353467E-3"/>
                  <c:y val="-4.1615299866816474E-2"/>
                </c:manualLayout>
              </c:layout>
              <c:tx>
                <c:rich>
                  <a:bodyPr/>
                  <a:lstStyle/>
                  <a:p>
                    <a:r>
                      <a:rPr lang="en-US"/>
                      <a:t>2030</a:t>
                    </a:r>
                  </a:p>
                </c:rich>
              </c:tx>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F62-FA4B-BDC9-C0D017C7B23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1"/>
            <c:dispEq val="1"/>
            <c:trendlineLbl>
              <c:layout>
                <c:manualLayout>
                  <c:x val="-2.8918453411422681E-2"/>
                  <c:y val="0.37877795763962768"/>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'Energy Intensity'!$B$3:$B$16</c:f>
              <c:numCache>
                <c:formatCode>"$"#,##0_);[Red]\("$"#,##0\)</c:formatCode>
                <c:ptCount val="14"/>
                <c:pt idx="0">
                  <c:v>5322</c:v>
                </c:pt>
                <c:pt idx="1">
                  <c:v>5434</c:v>
                </c:pt>
                <c:pt idx="2">
                  <c:v>5547</c:v>
                </c:pt>
                <c:pt idx="3">
                  <c:v>5659</c:v>
                </c:pt>
                <c:pt idx="4">
                  <c:v>5772</c:v>
                </c:pt>
                <c:pt idx="5">
                  <c:v>5885</c:v>
                </c:pt>
                <c:pt idx="6">
                  <c:v>5997</c:v>
                </c:pt>
                <c:pt idx="7">
                  <c:v>6110</c:v>
                </c:pt>
                <c:pt idx="8">
                  <c:v>6223</c:v>
                </c:pt>
                <c:pt idx="9">
                  <c:v>6335</c:v>
                </c:pt>
                <c:pt idx="10">
                  <c:v>6448</c:v>
                </c:pt>
                <c:pt idx="11">
                  <c:v>6560</c:v>
                </c:pt>
                <c:pt idx="12">
                  <c:v>6673</c:v>
                </c:pt>
                <c:pt idx="13">
                  <c:v>6786</c:v>
                </c:pt>
              </c:numCache>
            </c:numRef>
          </c:xVal>
          <c:yVal>
            <c:numRef>
              <c:f>'Energy Intensity'!$G$3:$G$16</c:f>
              <c:numCache>
                <c:formatCode>_(* #,##0.00_);_(* \(#,##0.00\);_(* "-"??_);_(@_)</c:formatCode>
                <c:ptCount val="14"/>
                <c:pt idx="0">
                  <c:v>11.461267430583522</c:v>
                </c:pt>
                <c:pt idx="1">
                  <c:v>11.834300869786849</c:v>
                </c:pt>
                <c:pt idx="2">
                  <c:v>12.151696788881669</c:v>
                </c:pt>
                <c:pt idx="3">
                  <c:v>12.515657990345655</c:v>
                </c:pt>
                <c:pt idx="4">
                  <c:v>12.927370056390501</c:v>
                </c:pt>
                <c:pt idx="5">
                  <c:v>13.353727369473592</c:v>
                </c:pt>
                <c:pt idx="6">
                  <c:v>13.807156307855125</c:v>
                </c:pt>
                <c:pt idx="7">
                  <c:v>14.281164671117812</c:v>
                </c:pt>
                <c:pt idx="8">
                  <c:v>14.779305692958797</c:v>
                </c:pt>
                <c:pt idx="9">
                  <c:v>15.304789696787214</c:v>
                </c:pt>
                <c:pt idx="10">
                  <c:v>15.840727786219674</c:v>
                </c:pt>
                <c:pt idx="11">
                  <c:v>16.378691435549751</c:v>
                </c:pt>
                <c:pt idx="12">
                  <c:v>16.932554712441792</c:v>
                </c:pt>
                <c:pt idx="13">
                  <c:v>17.513419637747361</c:v>
                </c:pt>
              </c:numCache>
            </c:numRef>
          </c:yVal>
          <c:smooth val="0"/>
          <c:extLst>
            <c:ext xmlns:c16="http://schemas.microsoft.com/office/drawing/2014/chart" uri="{C3380CC4-5D6E-409C-BE32-E72D297353CC}">
              <c16:uniqueId val="{00000000-7F62-FA4B-BDC9-C0D017C7B238}"/>
            </c:ext>
          </c:extLst>
        </c:ser>
        <c:dLbls>
          <c:showLegendKey val="0"/>
          <c:showVal val="0"/>
          <c:showCatName val="0"/>
          <c:showSerName val="0"/>
          <c:showPercent val="0"/>
          <c:showBubbleSize val="0"/>
        </c:dLbls>
        <c:axId val="996914464"/>
        <c:axId val="996914864"/>
      </c:scatterChart>
      <c:valAx>
        <c:axId val="996914464"/>
        <c:scaling>
          <c:orientation val="minMax"/>
          <c:min val="50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GDP Per Capita (USD)</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quot;$&quot;#,##0_);[Red]\(&quot;$&quot;#,##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6914864"/>
        <c:crosses val="autoZero"/>
        <c:crossBetween val="midCat"/>
      </c:valAx>
      <c:valAx>
        <c:axId val="9969148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GJ of Imported Fuel Consumption / Capita</a:t>
                </a:r>
                <a:r>
                  <a:rPr lang="en-US" baseline="0"/>
                  <a:t> / Year</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691446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'Energy Intensity'!$I$20</c:f>
              <c:strCache>
                <c:ptCount val="1"/>
                <c:pt idx="0">
                  <c:v>TEEMP</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'Energy Intensity'!$A$3:$A$16</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'Energy Intensity'!$I$21:$I$34</c:f>
              <c:numCache>
                <c:formatCode>_(* #,##0.00_);_(* \(#,##0.00\);_(* "-"??_);_(@_)</c:formatCode>
                <c:ptCount val="14"/>
                <c:pt idx="0">
                  <c:v>216.75836680865504</c:v>
                </c:pt>
                <c:pt idx="1">
                  <c:v>210.78403623370505</c:v>
                </c:pt>
                <c:pt idx="2">
                  <c:v>200.81764661622361</c:v>
                </c:pt>
                <c:pt idx="3">
                  <c:v>191.70485799856868</c:v>
                </c:pt>
                <c:pt idx="4">
                  <c:v>187.82105348632356</c:v>
                </c:pt>
                <c:pt idx="5">
                  <c:v>183.84805102202668</c:v>
                </c:pt>
                <c:pt idx="6">
                  <c:v>179.88493267519584</c:v>
                </c:pt>
                <c:pt idx="7">
                  <c:v>175.81904641093695</c:v>
                </c:pt>
                <c:pt idx="8">
                  <c:v>172.64751622110816</c:v>
                </c:pt>
                <c:pt idx="9">
                  <c:v>169.41345280191203</c:v>
                </c:pt>
                <c:pt idx="10">
                  <c:v>165.99046655976198</c:v>
                </c:pt>
                <c:pt idx="11">
                  <c:v>162.40845998358418</c:v>
                </c:pt>
                <c:pt idx="12">
                  <c:v>158.83404934749612</c:v>
                </c:pt>
                <c:pt idx="13">
                  <c:v>155.3152665143059</c:v>
                </c:pt>
              </c:numCache>
            </c:numRef>
          </c:val>
          <c:smooth val="0"/>
          <c:extLst>
            <c:ext xmlns:c16="http://schemas.microsoft.com/office/drawing/2014/chart" uri="{C3380CC4-5D6E-409C-BE32-E72D297353CC}">
              <c16:uniqueId val="{00000000-EEFC-B545-AFA7-1F5F7212DC6A}"/>
            </c:ext>
          </c:extLst>
        </c:ser>
        <c:ser>
          <c:idx val="1"/>
          <c:order val="1"/>
          <c:tx>
            <c:strRef>
              <c:f>'Energy Intensity'!$I$2</c:f>
              <c:strCache>
                <c:ptCount val="1"/>
                <c:pt idx="0">
                  <c:v>BAU</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'Energy Intensity'!$A$3:$A$16</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'Energy Intensity'!$I$3:$I$16</c:f>
              <c:numCache>
                <c:formatCode>_(* #,##0.00_);_(* \(#,##0.00\);_(* "-"??_);_(@_)</c:formatCode>
                <c:ptCount val="14"/>
                <c:pt idx="0">
                  <c:v>216.75836680865504</c:v>
                </c:pt>
                <c:pt idx="1">
                  <c:v>219.20026073701069</c:v>
                </c:pt>
                <c:pt idx="2">
                  <c:v>220.4940388494193</c:v>
                </c:pt>
                <c:pt idx="3">
                  <c:v>222.60355051886916</c:v>
                </c:pt>
                <c:pt idx="4">
                  <c:v>225.42493477923776</c:v>
                </c:pt>
                <c:pt idx="5">
                  <c:v>228.38844748766124</c:v>
                </c:pt>
                <c:pt idx="6">
                  <c:v>231.73321486441992</c:v>
                </c:pt>
                <c:pt idx="7">
                  <c:v>235.2558928498656</c:v>
                </c:pt>
                <c:pt idx="8">
                  <c:v>239.04096051775605</c:v>
                </c:pt>
                <c:pt idx="9">
                  <c:v>243.16375497574268</c:v>
                </c:pt>
                <c:pt idx="10">
                  <c:v>247.2681594929895</c:v>
                </c:pt>
                <c:pt idx="11">
                  <c:v>251.30055970724359</c:v>
                </c:pt>
                <c:pt idx="12">
                  <c:v>255.39915545661304</c:v>
                </c:pt>
                <c:pt idx="13">
                  <c:v>259.76174476258615</c:v>
                </c:pt>
              </c:numCache>
            </c:numRef>
          </c:val>
          <c:smooth val="0"/>
          <c:extLst>
            <c:ext xmlns:c16="http://schemas.microsoft.com/office/drawing/2014/chart" uri="{C3380CC4-5D6E-409C-BE32-E72D297353CC}">
              <c16:uniqueId val="{0000000F-EEFC-B545-AFA7-1F5F7212DC6A}"/>
            </c:ext>
          </c:extLst>
        </c:ser>
        <c:dLbls>
          <c:showLegendKey val="0"/>
          <c:showVal val="0"/>
          <c:showCatName val="0"/>
          <c:showSerName val="0"/>
          <c:showPercent val="0"/>
          <c:showBubbleSize val="0"/>
        </c:dLbls>
        <c:marker val="1"/>
        <c:smooth val="0"/>
        <c:axId val="837299391"/>
        <c:axId val="906104079"/>
      </c:lineChart>
      <c:catAx>
        <c:axId val="8372993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6104079"/>
        <c:crosses val="autoZero"/>
        <c:auto val="1"/>
        <c:lblAlgn val="ctr"/>
        <c:lblOffset val="100"/>
        <c:noMultiLvlLbl val="0"/>
      </c:catAx>
      <c:valAx>
        <c:axId val="906104079"/>
        <c:scaling>
          <c:orientation val="minMax"/>
          <c:min val="1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GJ</a:t>
                </a:r>
                <a:r>
                  <a:rPr lang="en-US" baseline="0"/>
                  <a:t> / $1 GDP per Capita</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72993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'Energy Intensity'!$I$2</c:f>
              <c:strCache>
                <c:ptCount val="1"/>
                <c:pt idx="0">
                  <c:v>BAU</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'Energy Intensity'!$A$3:$A$16</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'Energy Intensity'!$I$3:$I$16</c:f>
              <c:numCache>
                <c:formatCode>_(* #,##0.00_);_(* \(#,##0.00\);_(* "-"??_);_(@_)</c:formatCode>
                <c:ptCount val="14"/>
                <c:pt idx="0">
                  <c:v>216.75836680865504</c:v>
                </c:pt>
                <c:pt idx="1">
                  <c:v>219.20026073701069</c:v>
                </c:pt>
                <c:pt idx="2">
                  <c:v>220.4940388494193</c:v>
                </c:pt>
                <c:pt idx="3">
                  <c:v>222.60355051886916</c:v>
                </c:pt>
                <c:pt idx="4">
                  <c:v>225.42493477923776</c:v>
                </c:pt>
                <c:pt idx="5">
                  <c:v>228.38844748766124</c:v>
                </c:pt>
                <c:pt idx="6">
                  <c:v>231.73321486441992</c:v>
                </c:pt>
                <c:pt idx="7">
                  <c:v>235.2558928498656</c:v>
                </c:pt>
                <c:pt idx="8">
                  <c:v>239.04096051775605</c:v>
                </c:pt>
                <c:pt idx="9">
                  <c:v>243.16375497574268</c:v>
                </c:pt>
                <c:pt idx="10">
                  <c:v>247.2681594929895</c:v>
                </c:pt>
                <c:pt idx="11">
                  <c:v>251.30055970724359</c:v>
                </c:pt>
                <c:pt idx="12">
                  <c:v>255.39915545661304</c:v>
                </c:pt>
                <c:pt idx="13">
                  <c:v>259.76174476258615</c:v>
                </c:pt>
              </c:numCache>
            </c:numRef>
          </c:val>
          <c:smooth val="0"/>
          <c:extLst>
            <c:ext xmlns:c16="http://schemas.microsoft.com/office/drawing/2014/chart" uri="{C3380CC4-5D6E-409C-BE32-E72D297353CC}">
              <c16:uniqueId val="{00000001-2269-B947-9301-23A2CA929A68}"/>
            </c:ext>
          </c:extLst>
        </c:ser>
        <c:dLbls>
          <c:showLegendKey val="0"/>
          <c:showVal val="0"/>
          <c:showCatName val="0"/>
          <c:showSerName val="0"/>
          <c:showPercent val="0"/>
          <c:showBubbleSize val="0"/>
        </c:dLbls>
        <c:marker val="1"/>
        <c:smooth val="0"/>
        <c:axId val="837299391"/>
        <c:axId val="906104079"/>
      </c:lineChart>
      <c:catAx>
        <c:axId val="8372993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6104079"/>
        <c:crosses val="autoZero"/>
        <c:auto val="1"/>
        <c:lblAlgn val="ctr"/>
        <c:lblOffset val="100"/>
        <c:noMultiLvlLbl val="0"/>
      </c:catAx>
      <c:valAx>
        <c:axId val="906104079"/>
        <c:scaling>
          <c:orientation val="minMax"/>
          <c:min val="1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GJ</a:t>
                </a:r>
                <a:r>
                  <a:rPr lang="en-US" baseline="0"/>
                  <a:t> / $1 GDP per Capita</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72993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TPL</a:t>
            </a:r>
            <a:r>
              <a:rPr lang="en-US" baseline="0"/>
              <a:t> Total Growth Projection </a:t>
            </a:r>
          </a:p>
          <a:p>
            <a:pPr>
              <a:defRPr sz="1400" b="0" i="0" u="none" strike="noStrike" kern="1200" spc="0" baseline="0">
                <a:solidFill>
                  <a:schemeClr val="tx1">
                    <a:lumMod val="65000"/>
                    <a:lumOff val="35000"/>
                  </a:schemeClr>
                </a:solidFill>
                <a:latin typeface="+mn-lt"/>
                <a:ea typeface="+mn-ea"/>
                <a:cs typeface="+mn-cs"/>
              </a:defRPr>
            </a:pPr>
            <a:r>
              <a:rPr lang="en-US" baseline="0"/>
              <a:t>2018 - 2030</a:t>
            </a:r>
            <a:endParaRPr lang="en-US"/>
          </a:p>
        </c:rich>
      </c:tx>
      <c:overlay val="0"/>
      <c:spPr>
        <a:noFill/>
        <a:ln>
          <a:noFill/>
        </a:ln>
        <a:effectLst/>
      </c:spPr>
    </c:title>
    <c:autoTitleDeleted val="0"/>
    <c:plotArea>
      <c:layout/>
      <c:lineChart>
        <c:grouping val="standard"/>
        <c:varyColors val="0"/>
        <c:ser>
          <c:idx val="0"/>
          <c:order val="0"/>
          <c:tx>
            <c:strRef>
              <c:f>'TPL Forecast'!$T$10</c:f>
              <c:strCache>
                <c:ptCount val="1"/>
                <c:pt idx="0">
                  <c:v>Total Actual</c:v>
                </c:pt>
              </c:strCache>
            </c:strRef>
          </c:tx>
          <c:spPr>
            <a:ln w="28575" cap="rnd">
              <a:solidFill>
                <a:schemeClr val="accent1"/>
              </a:solidFill>
              <a:round/>
            </a:ln>
            <a:effectLst/>
          </c:spPr>
          <c:marker>
            <c:symbol val="none"/>
          </c:marker>
          <c:cat>
            <c:numRef>
              <c:f>'TPL Forecast'!$I$37:$I$61</c:f>
              <c:numCache>
                <c:formatCode>General</c:formatCode>
                <c:ptCount val="2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pt idx="19">
                  <c:v>2025</c:v>
                </c:pt>
                <c:pt idx="20">
                  <c:v>2026</c:v>
                </c:pt>
                <c:pt idx="21">
                  <c:v>2027</c:v>
                </c:pt>
                <c:pt idx="22">
                  <c:v>2028</c:v>
                </c:pt>
                <c:pt idx="23">
                  <c:v>2029</c:v>
                </c:pt>
                <c:pt idx="24">
                  <c:v>2030</c:v>
                </c:pt>
              </c:numCache>
            </c:numRef>
          </c:cat>
          <c:val>
            <c:numRef>
              <c:f>'TPL Forecast'!$T$11:$T$34</c:f>
              <c:numCache>
                <c:formatCode>_(* #,##0_);_(* \(#,##0\);_(* "-"??_);_(@_)</c:formatCode>
                <c:ptCount val="24"/>
                <c:pt idx="0">
                  <c:v>44833258.069999993</c:v>
                </c:pt>
                <c:pt idx="1">
                  <c:v>47301160.829999998</c:v>
                </c:pt>
                <c:pt idx="2">
                  <c:v>44538711</c:v>
                </c:pt>
                <c:pt idx="3" formatCode="#,##0">
                  <c:v>42625211</c:v>
                </c:pt>
                <c:pt idx="4" formatCode="#,##0">
                  <c:v>44566225.5</c:v>
                </c:pt>
                <c:pt idx="5" formatCode="#,##0">
                  <c:v>44730599</c:v>
                </c:pt>
                <c:pt idx="6" formatCode="#,##0">
                  <c:v>46388331</c:v>
                </c:pt>
                <c:pt idx="7" formatCode="General">
                  <c:v>47817820</c:v>
                </c:pt>
                <c:pt idx="8" formatCode="_-* #,##0_-;\-* #,##0_-;_-* &quot;-&quot;??_-;_-@_-">
                  <c:v>49165194</c:v>
                </c:pt>
                <c:pt idx="9" formatCode="_-* #,##0_-;\-* #,##0_-;_-* &quot;-&quot;??_-;_-@_-">
                  <c:v>53341935</c:v>
                </c:pt>
                <c:pt idx="10" formatCode="_-* #,##0_-;\-* #,##0_-;_-* &quot;-&quot;??_-;_-@_-">
                  <c:v>58821325</c:v>
                </c:pt>
              </c:numCache>
            </c:numRef>
          </c:val>
          <c:smooth val="0"/>
          <c:extLst>
            <c:ext xmlns:c16="http://schemas.microsoft.com/office/drawing/2014/chart" uri="{C3380CC4-5D6E-409C-BE32-E72D297353CC}">
              <c16:uniqueId val="{00000000-DE24-44F5-A38C-BC3E303191DF}"/>
            </c:ext>
          </c:extLst>
        </c:ser>
        <c:ser>
          <c:idx val="1"/>
          <c:order val="1"/>
          <c:tx>
            <c:strRef>
              <c:f>'TPL Forecast'!$U$10</c:f>
              <c:strCache>
                <c:ptCount val="1"/>
                <c:pt idx="0">
                  <c:v>Total Forecast</c:v>
                </c:pt>
              </c:strCache>
            </c:strRef>
          </c:tx>
          <c:spPr>
            <a:ln w="28575" cap="rnd">
              <a:solidFill>
                <a:schemeClr val="accent2"/>
              </a:solidFill>
              <a:round/>
            </a:ln>
            <a:effectLst/>
          </c:spPr>
          <c:marker>
            <c:symbol val="none"/>
          </c:marker>
          <c:cat>
            <c:numRef>
              <c:f>'TPL Forecast'!$I$37:$I$61</c:f>
              <c:numCache>
                <c:formatCode>General</c:formatCode>
                <c:ptCount val="25"/>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pt idx="19">
                  <c:v>2025</c:v>
                </c:pt>
                <c:pt idx="20">
                  <c:v>2026</c:v>
                </c:pt>
                <c:pt idx="21">
                  <c:v>2027</c:v>
                </c:pt>
                <c:pt idx="22">
                  <c:v>2028</c:v>
                </c:pt>
                <c:pt idx="23">
                  <c:v>2029</c:v>
                </c:pt>
                <c:pt idx="24">
                  <c:v>2030</c:v>
                </c:pt>
              </c:numCache>
            </c:numRef>
          </c:cat>
          <c:val>
            <c:numRef>
              <c:f>'TPL Forecast'!$U$11:$U$34</c:f>
              <c:numCache>
                <c:formatCode>_(* #,##0_);_(* \(#,##0\);_(* "-"??_);_(@_)</c:formatCode>
                <c:ptCount val="24"/>
                <c:pt idx="10" formatCode="#,##0">
                  <c:v>58821325</c:v>
                </c:pt>
                <c:pt idx="11" formatCode="#,##0">
                  <c:v>62159182.266934253</c:v>
                </c:pt>
                <c:pt idx="12" formatCode="#,##0">
                  <c:v>63951451.111108653</c:v>
                </c:pt>
                <c:pt idx="13" formatCode="#,##0">
                  <c:v>66353276.889199562</c:v>
                </c:pt>
                <c:pt idx="14" formatCode="#,##0">
                  <c:v>69379582.303939342</c:v>
                </c:pt>
                <c:pt idx="15" formatCode="#,##0">
                  <c:v>72544415.420752048</c:v>
                </c:pt>
                <c:pt idx="16" formatCode="#,##0">
                  <c:v>76157779.74756217</c:v>
                </c:pt>
                <c:pt idx="17" formatCode="#,##0">
                  <c:v>80048212.895865411</c:v>
                </c:pt>
                <c:pt idx="18" formatCode="#,##0">
                  <c:v>84299627.333581865</c:v>
                </c:pt>
                <c:pt idx="19" formatCode="#,##0">
                  <c:v>88987025.194434568</c:v>
                </c:pt>
                <c:pt idx="20" formatCode="#,##0">
                  <c:v>93673891.468950227</c:v>
                </c:pt>
                <c:pt idx="21" formatCode="#,##0">
                  <c:v>98138745.782982528</c:v>
                </c:pt>
                <c:pt idx="22" formatCode="#,##0">
                  <c:v>102727283.49626277</c:v>
                </c:pt>
                <c:pt idx="23" formatCode="#,##0">
                  <c:v>107714469.83555934</c:v>
                </c:pt>
              </c:numCache>
            </c:numRef>
          </c:val>
          <c:smooth val="0"/>
          <c:extLst>
            <c:ext xmlns:c16="http://schemas.microsoft.com/office/drawing/2014/chart" uri="{C3380CC4-5D6E-409C-BE32-E72D297353CC}">
              <c16:uniqueId val="{00000001-DE24-44F5-A38C-BC3E303191DF}"/>
            </c:ext>
          </c:extLst>
        </c:ser>
        <c:dLbls>
          <c:showLegendKey val="0"/>
          <c:showVal val="0"/>
          <c:showCatName val="0"/>
          <c:showSerName val="0"/>
          <c:showPercent val="0"/>
          <c:showBubbleSize val="0"/>
        </c:dLbls>
        <c:marker val="1"/>
        <c:smooth val="0"/>
        <c:axId val="421884040"/>
        <c:axId val="1"/>
      </c:lineChart>
      <c:lineChart>
        <c:grouping val="standard"/>
        <c:varyColors val="0"/>
        <c:ser>
          <c:idx val="2"/>
          <c:order val="2"/>
          <c:tx>
            <c:strRef>
              <c:f>'TPL Forecast'!$V$10</c:f>
              <c:strCache>
                <c:ptCount val="1"/>
                <c:pt idx="0">
                  <c:v>Growth</c:v>
                </c:pt>
              </c:strCache>
            </c:strRef>
          </c:tx>
          <c:spPr>
            <a:ln w="28575" cap="rnd">
              <a:solidFill>
                <a:schemeClr val="accent3"/>
              </a:solidFill>
              <a:round/>
            </a:ln>
            <a:effectLst/>
          </c:spPr>
          <c:marker>
            <c:symbol val="none"/>
          </c:marker>
          <c:cat>
            <c:strRef>
              <c:f>'TPL Forecast'!$S$10:$S$34</c:f>
              <c:strCache>
                <c:ptCount val="25"/>
                <c:pt idx="0">
                  <c:v>Year end to</c:v>
                </c:pt>
                <c:pt idx="1">
                  <c:v>Jun-07</c:v>
                </c:pt>
                <c:pt idx="2">
                  <c:v>Jun-08</c:v>
                </c:pt>
                <c:pt idx="3">
                  <c:v>Jun-09</c:v>
                </c:pt>
                <c:pt idx="4">
                  <c:v>Jun-10</c:v>
                </c:pt>
                <c:pt idx="5">
                  <c:v>Jun-11</c:v>
                </c:pt>
                <c:pt idx="6">
                  <c:v>Jun-12</c:v>
                </c:pt>
                <c:pt idx="7">
                  <c:v>Jun-13</c:v>
                </c:pt>
                <c:pt idx="8">
                  <c:v>Jun-14</c:v>
                </c:pt>
                <c:pt idx="9">
                  <c:v>Jun-15</c:v>
                </c:pt>
                <c:pt idx="10">
                  <c:v>Jun-16</c:v>
                </c:pt>
                <c:pt idx="11">
                  <c:v>Jun-17</c:v>
                </c:pt>
                <c:pt idx="12">
                  <c:v>Jun-18</c:v>
                </c:pt>
                <c:pt idx="13">
                  <c:v>Jun-19</c:v>
                </c:pt>
                <c:pt idx="14">
                  <c:v>Jun-20</c:v>
                </c:pt>
                <c:pt idx="15">
                  <c:v>Jun-21</c:v>
                </c:pt>
                <c:pt idx="16">
                  <c:v>Jun-22</c:v>
                </c:pt>
                <c:pt idx="17">
                  <c:v>Jun-23</c:v>
                </c:pt>
                <c:pt idx="18">
                  <c:v>Jun-24</c:v>
                </c:pt>
                <c:pt idx="19">
                  <c:v>Jun-25</c:v>
                </c:pt>
                <c:pt idx="20">
                  <c:v>Jun-26</c:v>
                </c:pt>
                <c:pt idx="21">
                  <c:v>Jun-27</c:v>
                </c:pt>
                <c:pt idx="22">
                  <c:v>Jun-28</c:v>
                </c:pt>
                <c:pt idx="23">
                  <c:v>Jun-29</c:v>
                </c:pt>
                <c:pt idx="24">
                  <c:v>Jun-30</c:v>
                </c:pt>
              </c:strCache>
            </c:strRef>
          </c:cat>
          <c:val>
            <c:numRef>
              <c:f>'TPL Forecast'!$V$10:$V$34</c:f>
              <c:numCache>
                <c:formatCode>General</c:formatCode>
                <c:ptCount val="25"/>
                <c:pt idx="0">
                  <c:v>0</c:v>
                </c:pt>
                <c:pt idx="2" formatCode="0%">
                  <c:v>5.5046250623739371E-2</c:v>
                </c:pt>
                <c:pt idx="3" formatCode="0%">
                  <c:v>-5.8401311543457068E-2</c:v>
                </c:pt>
                <c:pt idx="4" formatCode="0%">
                  <c:v>-4.296262637686124E-2</c:v>
                </c:pt>
                <c:pt idx="5" formatCode="0%">
                  <c:v>4.5536771653752049E-2</c:v>
                </c:pt>
                <c:pt idx="6" formatCode="0%">
                  <c:v>3.6882975427210006E-3</c:v>
                </c:pt>
                <c:pt idx="7" formatCode="0%">
                  <c:v>3.7060357720673495E-2</c:v>
                </c:pt>
                <c:pt idx="8" formatCode="0%">
                  <c:v>3.0815702336865709E-2</c:v>
                </c:pt>
                <c:pt idx="9" formatCode="0%">
                  <c:v>2.8177236017869488E-2</c:v>
                </c:pt>
                <c:pt idx="10" formatCode="0%">
                  <c:v>8.4953208971371083E-2</c:v>
                </c:pt>
                <c:pt idx="11" formatCode="0%">
                  <c:v>0.10272199536818452</c:v>
                </c:pt>
                <c:pt idx="12" formatCode="0%">
                  <c:v>5.6745700082992866E-2</c:v>
                </c:pt>
                <c:pt idx="13" formatCode="0%">
                  <c:v>2.8833533177411191E-2</c:v>
                </c:pt>
                <c:pt idx="14" formatCode="0%">
                  <c:v>3.7557017649498016E-2</c:v>
                </c:pt>
                <c:pt idx="15" formatCode="0%">
                  <c:v>4.5608982052133942E-2</c:v>
                </c:pt>
                <c:pt idx="16" formatCode="0%">
                  <c:v>4.5616203091972132E-2</c:v>
                </c:pt>
                <c:pt idx="17" formatCode="0%">
                  <c:v>4.9808993646897247E-2</c:v>
                </c:pt>
                <c:pt idx="18" formatCode="0%">
                  <c:v>5.1083857239519623E-2</c:v>
                </c:pt>
                <c:pt idx="19" formatCode="0%">
                  <c:v>5.3110672729785015E-2</c:v>
                </c:pt>
                <c:pt idx="20" formatCode="0%">
                  <c:v>5.560401640097655E-2</c:v>
                </c:pt>
                <c:pt idx="21" formatCode="0%">
                  <c:v>5.2669097143937103E-2</c:v>
                </c:pt>
                <c:pt idx="22" formatCode="0%">
                  <c:v>4.7663807321512368E-2</c:v>
                </c:pt>
                <c:pt idx="23" formatCode="0%">
                  <c:v>4.6755618045364322E-2</c:v>
                </c:pt>
                <c:pt idx="24" formatCode="0%">
                  <c:v>4.8547826532159631E-2</c:v>
                </c:pt>
              </c:numCache>
            </c:numRef>
          </c:val>
          <c:smooth val="0"/>
          <c:extLst>
            <c:ext xmlns:c16="http://schemas.microsoft.com/office/drawing/2014/chart" uri="{C3380CC4-5D6E-409C-BE32-E72D297353CC}">
              <c16:uniqueId val="{00000002-DE24-44F5-A38C-BC3E303191DF}"/>
            </c:ext>
          </c:extLst>
        </c:ser>
        <c:dLbls>
          <c:showLegendKey val="0"/>
          <c:showVal val="0"/>
          <c:showCatName val="0"/>
          <c:showSerName val="0"/>
          <c:showPercent val="0"/>
          <c:showBubbleSize val="0"/>
        </c:dLbls>
        <c:marker val="1"/>
        <c:smooth val="0"/>
        <c:axId val="3"/>
        <c:axId val="4"/>
      </c:lineChart>
      <c:catAx>
        <c:axId val="421884040"/>
        <c:scaling>
          <c:orientation val="minMax"/>
          <c:max val="26"/>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
        <c:crosses val="autoZero"/>
        <c:auto val="0"/>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21884040"/>
        <c:crosses val="autoZero"/>
        <c:crossBetween val="between"/>
        <c:dispUnits>
          <c:builtInUnit val="millions"/>
          <c:dispUnitsLbl>
            <c:layout>
              <c:manualLayout>
                <c:xMode val="edge"/>
                <c:yMode val="edge"/>
                <c:x val="2.983219390926041E-2"/>
                <c:y val="0.35879432624113478"/>
              </c:manualLayout>
            </c:layout>
            <c:tx>
              <c:rich>
                <a:bodyPr/>
                <a:lstStyle/>
                <a:p>
                  <a:pPr>
                    <a:defRPr/>
                  </a:pPr>
                  <a:r>
                    <a:rPr lang="en-US"/>
                    <a:t>kWh (Millions)</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5"/>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
        <c:crosses val="max"/>
        <c:crossBetween val="between"/>
      </c:valAx>
      <c:spPr>
        <a:noFill/>
        <a:ln w="25400">
          <a:noFill/>
        </a:ln>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325656167979002"/>
          <c:y val="6.2465368912219307E-2"/>
          <c:w val="0.84284908136482939"/>
          <c:h val="0.69873432487605724"/>
        </c:manualLayout>
      </c:layout>
      <c:lineChart>
        <c:grouping val="stacked"/>
        <c:varyColors val="0"/>
        <c:ser>
          <c:idx val="0"/>
          <c:order val="0"/>
          <c:tx>
            <c:strRef>
              <c:f>'Sankey Consumption Data'!$M$55</c:f>
              <c:strCache>
                <c:ptCount val="1"/>
                <c:pt idx="0">
                  <c:v>BAU Electricy Emissions</c:v>
                </c:pt>
              </c:strCache>
            </c:strRef>
          </c:tx>
          <c:spPr>
            <a:ln w="28575" cap="rnd">
              <a:solidFill>
                <a:schemeClr val="accent1"/>
              </a:solidFill>
              <a:round/>
            </a:ln>
            <a:effectLst/>
          </c:spPr>
          <c:marker>
            <c:symbol val="none"/>
          </c:marker>
          <c:cat>
            <c:numRef>
              <c:f>'Sankey Consumption Data'!$A$56:$A$69</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'Sankey Consumption Data'!$M$56:$M$69</c:f>
              <c:numCache>
                <c:formatCode>#,##0\ "kg CO2e"</c:formatCode>
                <c:ptCount val="14"/>
                <c:pt idx="0">
                  <c:v>52739355.181251213</c:v>
                </c:pt>
                <c:pt idx="1">
                  <c:v>55100163.078417644</c:v>
                </c:pt>
                <c:pt idx="2">
                  <c:v>56038751.130135864</c:v>
                </c:pt>
                <c:pt idx="3">
                  <c:v>57816049.629884511</c:v>
                </c:pt>
                <c:pt idx="4">
                  <c:v>60452980.799779192</c:v>
                </c:pt>
                <c:pt idx="5">
                  <c:v>63210616.249457031</c:v>
                </c:pt>
                <c:pt idx="6">
                  <c:v>66359073.432642691</c:v>
                </c:pt>
                <c:pt idx="7">
                  <c:v>69748950.866422594</c:v>
                </c:pt>
                <c:pt idx="8">
                  <c:v>73453364.569135025</c:v>
                </c:pt>
                <c:pt idx="9">
                  <c:v>77537666.657344133</c:v>
                </c:pt>
                <c:pt idx="10">
                  <c:v>81621505.554833993</c:v>
                </c:pt>
                <c:pt idx="11">
                  <c:v>85511897.268891379</c:v>
                </c:pt>
                <c:pt idx="12">
                  <c:v>89510058.875930101</c:v>
                </c:pt>
                <c:pt idx="13">
                  <c:v>93855577.687122136</c:v>
                </c:pt>
              </c:numCache>
            </c:numRef>
          </c:val>
          <c:smooth val="0"/>
          <c:extLst>
            <c:ext xmlns:c16="http://schemas.microsoft.com/office/drawing/2014/chart" uri="{C3380CC4-5D6E-409C-BE32-E72D297353CC}">
              <c16:uniqueId val="{00000000-65AF-B94E-B04F-AC1A803A502E}"/>
            </c:ext>
          </c:extLst>
        </c:ser>
        <c:ser>
          <c:idx val="1"/>
          <c:order val="1"/>
          <c:tx>
            <c:strRef>
              <c:f>'Sankey Consumption Data'!$N$55</c:f>
              <c:strCache>
                <c:ptCount val="1"/>
                <c:pt idx="0">
                  <c:v>BAU Transportation Emissions</c:v>
                </c:pt>
              </c:strCache>
            </c:strRef>
          </c:tx>
          <c:spPr>
            <a:ln w="28575" cap="rnd">
              <a:solidFill>
                <a:schemeClr val="accent2"/>
              </a:solidFill>
              <a:round/>
            </a:ln>
            <a:effectLst/>
          </c:spPr>
          <c:marker>
            <c:symbol val="none"/>
          </c:marker>
          <c:cat>
            <c:numRef>
              <c:f>'Sankey Consumption Data'!$A$56:$A$69</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'Sankey Consumption Data'!$N$56:$N$69</c:f>
              <c:numCache>
                <c:formatCode>#,##0\ "kg CO2e"</c:formatCode>
                <c:ptCount val="14"/>
                <c:pt idx="0">
                  <c:v>81911120.240907997</c:v>
                </c:pt>
                <c:pt idx="1">
                  <c:v>84270160.503846139</c:v>
                </c:pt>
                <c:pt idx="2">
                  <c:v>86697141.126356915</c:v>
                </c:pt>
                <c:pt idx="3">
                  <c:v>89194018.790795997</c:v>
                </c:pt>
                <c:pt idx="4">
                  <c:v>91762806.531970918</c:v>
                </c:pt>
                <c:pt idx="5">
                  <c:v>94405575.360091686</c:v>
                </c:pt>
                <c:pt idx="6">
                  <c:v>97124455.930462331</c:v>
                </c:pt>
                <c:pt idx="7">
                  <c:v>99921640.261259645</c:v>
                </c:pt>
                <c:pt idx="8">
                  <c:v>102799383.50078392</c:v>
                </c:pt>
                <c:pt idx="9">
                  <c:v>105760005.74560651</c:v>
                </c:pt>
                <c:pt idx="10">
                  <c:v>108805893.91107997</c:v>
                </c:pt>
                <c:pt idx="11">
                  <c:v>111939503.6557191</c:v>
                </c:pt>
                <c:pt idx="12">
                  <c:v>115163361.3610038</c:v>
                </c:pt>
                <c:pt idx="13">
                  <c:v>118480066.16820072</c:v>
                </c:pt>
              </c:numCache>
            </c:numRef>
          </c:val>
          <c:smooth val="0"/>
          <c:extLst>
            <c:ext xmlns:c16="http://schemas.microsoft.com/office/drawing/2014/chart" uri="{C3380CC4-5D6E-409C-BE32-E72D297353CC}">
              <c16:uniqueId val="{00000001-65AF-B94E-B04F-AC1A803A502E}"/>
            </c:ext>
          </c:extLst>
        </c:ser>
        <c:dLbls>
          <c:showLegendKey val="0"/>
          <c:showVal val="0"/>
          <c:showCatName val="0"/>
          <c:showSerName val="0"/>
          <c:showPercent val="0"/>
          <c:showBubbleSize val="0"/>
        </c:dLbls>
        <c:smooth val="0"/>
        <c:axId val="830892671"/>
        <c:axId val="830898991"/>
      </c:lineChart>
      <c:catAx>
        <c:axId val="8308926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0898991"/>
        <c:crosses val="autoZero"/>
        <c:auto val="1"/>
        <c:lblAlgn val="ctr"/>
        <c:lblOffset val="100"/>
        <c:noMultiLvlLbl val="0"/>
      </c:catAx>
      <c:valAx>
        <c:axId val="83089899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30892671"/>
        <c:crosses val="autoZero"/>
        <c:crossBetween val="between"/>
        <c:dispUnits>
          <c:builtInUnit val="millions"/>
          <c:dispUnitsLbl>
            <c:layout>
              <c:manualLayout>
                <c:xMode val="edge"/>
                <c:yMode val="edge"/>
                <c:x val="2.8994969378827645E-2"/>
                <c:y val="9.024314668999707E-2"/>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Thousand</a:t>
                  </a:r>
                  <a:r>
                    <a:rPr lang="en-US" baseline="0"/>
                    <a:t> Metric Tonnes </a:t>
                  </a:r>
                  <a:r>
                    <a:rPr lang="en-US"/>
                    <a:t>kg</a:t>
                  </a:r>
                  <a:r>
                    <a:rPr lang="en-US" baseline="0"/>
                    <a:t> </a:t>
                  </a:r>
                  <a:r>
                    <a:rPr lang="en-US" sz="1000" b="0" i="0" u="none" strike="noStrike" baseline="0">
                      <a:effectLst/>
                    </a:rPr>
                    <a:t>CO</a:t>
                  </a:r>
                  <a:r>
                    <a:rPr lang="en-US" sz="1000" b="0" i="0" u="none" strike="noStrike" baseline="-25000">
                      <a:effectLst/>
                    </a:rPr>
                    <a:t>2</a:t>
                  </a:r>
                  <a:r>
                    <a:rPr lang="en-US" sz="1000" b="0" i="0" u="none" strike="noStrike" baseline="0">
                      <a:effectLst/>
                    </a:rPr>
                    <a:t>e </a:t>
                  </a:r>
                  <a:endParaRPr lang="en-US"/>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pPr>
            <a:r>
              <a:rPr lang="en-US" b="0"/>
              <a:t>Parking Station -</a:t>
            </a:r>
            <a:r>
              <a:rPr lang="en-US" b="0" baseline="0"/>
              <a:t> Other Labor</a:t>
            </a:r>
            <a:r>
              <a:rPr lang="en-US" b="0"/>
              <a:t> Savings</a:t>
            </a:r>
          </a:p>
        </c:rich>
      </c:tx>
      <c:overlay val="0"/>
    </c:title>
    <c:autoTitleDeleted val="0"/>
    <c:plotArea>
      <c:layout/>
      <c:scatterChart>
        <c:scatterStyle val="lineMarker"/>
        <c:varyColors val="0"/>
        <c:ser>
          <c:idx val="0"/>
          <c:order val="0"/>
          <c:spPr>
            <a:ln w="28575">
              <a:noFill/>
            </a:ln>
          </c:spPr>
          <c:trendline>
            <c:trendlineType val="exp"/>
            <c:dispRSqr val="0"/>
            <c:dispEq val="1"/>
            <c:trendlineLbl>
              <c:layout>
                <c:manualLayout>
                  <c:x val="-0.12498141029530564"/>
                  <c:y val="-8.6906048596933662E-3"/>
                </c:manualLayout>
              </c:layout>
              <c:numFmt formatCode="General" sourceLinked="0"/>
            </c:trendlineLbl>
          </c:trendline>
          <c:xVal>
            <c:numRef>
              <c:f>'GREET Fuel Attributes'!$K$1337:$L$1337</c:f>
              <c:numCache>
                <c:formatCode>General</c:formatCode>
                <c:ptCount val="2"/>
                <c:pt idx="0">
                  <c:v>1</c:v>
                </c:pt>
                <c:pt idx="1">
                  <c:v>5</c:v>
                </c:pt>
              </c:numCache>
            </c:numRef>
          </c:xVal>
          <c:yVal>
            <c:numRef>
              <c:f>'GREET Fuel Attributes'!$K$1339:$L$1339</c:f>
              <c:numCache>
                <c:formatCode>"$"#,##0</c:formatCode>
                <c:ptCount val="2"/>
                <c:pt idx="0">
                  <c:v>500</c:v>
                </c:pt>
                <c:pt idx="1">
                  <c:v>200</c:v>
                </c:pt>
              </c:numCache>
            </c:numRef>
          </c:yVal>
          <c:smooth val="0"/>
          <c:extLst>
            <c:ext xmlns:c16="http://schemas.microsoft.com/office/drawing/2014/chart" uri="{C3380CC4-5D6E-409C-BE32-E72D297353CC}">
              <c16:uniqueId val="{00000001-E6FE-4B36-9E34-409321D76331}"/>
            </c:ext>
          </c:extLst>
        </c:ser>
        <c:dLbls>
          <c:showLegendKey val="0"/>
          <c:showVal val="0"/>
          <c:showCatName val="0"/>
          <c:showSerName val="0"/>
          <c:showPercent val="0"/>
          <c:showBubbleSize val="0"/>
        </c:dLbls>
        <c:axId val="215760256"/>
        <c:axId val="215778816"/>
      </c:scatterChart>
      <c:valAx>
        <c:axId val="215760256"/>
        <c:scaling>
          <c:orientation val="minMax"/>
        </c:scaling>
        <c:delete val="0"/>
        <c:axPos val="b"/>
        <c:title>
          <c:tx>
            <c:rich>
              <a:bodyPr/>
              <a:lstStyle/>
              <a:p>
                <a:pPr>
                  <a:defRPr/>
                </a:pPr>
                <a:r>
                  <a:rPr lang="en-US"/>
                  <a:t>Stations</a:t>
                </a:r>
              </a:p>
            </c:rich>
          </c:tx>
          <c:overlay val="0"/>
        </c:title>
        <c:numFmt formatCode="General" sourceLinked="1"/>
        <c:majorTickMark val="out"/>
        <c:minorTickMark val="none"/>
        <c:tickLblPos val="nextTo"/>
        <c:crossAx val="215778816"/>
        <c:crosses val="autoZero"/>
        <c:crossBetween val="midCat"/>
      </c:valAx>
      <c:valAx>
        <c:axId val="215778816"/>
        <c:scaling>
          <c:orientation val="minMax"/>
        </c:scaling>
        <c:delete val="0"/>
        <c:axPos val="l"/>
        <c:majorGridlines/>
        <c:numFmt formatCode="&quot;$&quot;#,##0" sourceLinked="1"/>
        <c:majorTickMark val="out"/>
        <c:minorTickMark val="none"/>
        <c:tickLblPos val="nextTo"/>
        <c:crossAx val="215760256"/>
        <c:crosses val="autoZero"/>
        <c:crossBetween val="midCat"/>
      </c:valAx>
    </c:plotArea>
    <c:plotVisOnly val="1"/>
    <c:dispBlanksAs val="gap"/>
    <c:showDLblsOverMax val="0"/>
  </c:chart>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G.H2</a:t>
            </a:r>
            <a:r>
              <a:rPr lang="en-US" baseline="0"/>
              <a:t> Station Cost</a:t>
            </a:r>
            <a:endParaRPr lang="en-US"/>
          </a:p>
        </c:rich>
      </c:tx>
      <c:overlay val="0"/>
    </c:title>
    <c:autoTitleDeleted val="0"/>
    <c:plotArea>
      <c:layout/>
      <c:scatterChart>
        <c:scatterStyle val="lineMarker"/>
        <c:varyColors val="0"/>
        <c:ser>
          <c:idx val="0"/>
          <c:order val="0"/>
          <c:tx>
            <c:v>JOBS H2</c:v>
          </c:tx>
          <c:spPr>
            <a:ln w="28575">
              <a:noFill/>
            </a:ln>
          </c:spPr>
          <c:trendline>
            <c:trendlineType val="linear"/>
            <c:dispRSqr val="0"/>
            <c:dispEq val="1"/>
            <c:trendlineLbl>
              <c:layout>
                <c:manualLayout>
                  <c:x val="0.28086874810687185"/>
                  <c:y val="6.4013795796186629E-2"/>
                </c:manualLayout>
              </c:layout>
              <c:numFmt formatCode="#,##0.00" sourceLinked="0"/>
            </c:trendlineLbl>
          </c:trendline>
          <c:xVal>
            <c:numRef>
              <c:f>'GREET Fuel Attributes'!$D$1446:$G$1446</c:f>
              <c:numCache>
                <c:formatCode>General</c:formatCode>
                <c:ptCount val="4"/>
                <c:pt idx="0">
                  <c:v>36500</c:v>
                </c:pt>
                <c:pt idx="1">
                  <c:v>73000</c:v>
                </c:pt>
                <c:pt idx="2">
                  <c:v>109500</c:v>
                </c:pt>
                <c:pt idx="3">
                  <c:v>146000</c:v>
                </c:pt>
              </c:numCache>
            </c:numRef>
          </c:xVal>
          <c:yVal>
            <c:numRef>
              <c:f>'GREET Fuel Attributes'!$D$1451:$G$1451</c:f>
              <c:numCache>
                <c:formatCode>"$"#,##0</c:formatCode>
                <c:ptCount val="4"/>
                <c:pt idx="0">
                  <c:v>2469100</c:v>
                </c:pt>
                <c:pt idx="1">
                  <c:v>2592900</c:v>
                </c:pt>
                <c:pt idx="2">
                  <c:v>2673700</c:v>
                </c:pt>
                <c:pt idx="3">
                  <c:v>2735300</c:v>
                </c:pt>
              </c:numCache>
            </c:numRef>
          </c:yVal>
          <c:smooth val="0"/>
          <c:extLst>
            <c:ext xmlns:c16="http://schemas.microsoft.com/office/drawing/2014/chart" uri="{C3380CC4-5D6E-409C-BE32-E72D297353CC}">
              <c16:uniqueId val="{00000001-F725-42AF-A794-167B75F1C55C}"/>
            </c:ext>
          </c:extLst>
        </c:ser>
        <c:ser>
          <c:idx val="1"/>
          <c:order val="1"/>
          <c:tx>
            <c:v>HRSAM</c:v>
          </c:tx>
          <c:spPr>
            <a:ln w="28575">
              <a:noFill/>
            </a:ln>
          </c:spPr>
          <c:trendline>
            <c:trendlineType val="linear"/>
            <c:dispRSqr val="0"/>
            <c:dispEq val="1"/>
            <c:trendlineLbl>
              <c:numFmt formatCode="#,##0.00" sourceLinked="0"/>
            </c:trendlineLbl>
          </c:trendline>
          <c:xVal>
            <c:numRef>
              <c:f>'GREET Fuel Attributes'!$D$1446:$G$1446</c:f>
              <c:numCache>
                <c:formatCode>General</c:formatCode>
                <c:ptCount val="4"/>
                <c:pt idx="0">
                  <c:v>36500</c:v>
                </c:pt>
                <c:pt idx="1">
                  <c:v>73000</c:v>
                </c:pt>
                <c:pt idx="2">
                  <c:v>109500</c:v>
                </c:pt>
                <c:pt idx="3">
                  <c:v>146000</c:v>
                </c:pt>
              </c:numCache>
            </c:numRef>
          </c:xVal>
          <c:yVal>
            <c:numRef>
              <c:f>'GREET Fuel Attributes'!$D$1423:$G$1423</c:f>
              <c:numCache>
                <c:formatCode>"$"#,##0</c:formatCode>
                <c:ptCount val="4"/>
                <c:pt idx="0">
                  <c:v>1892967.0558688501</c:v>
                </c:pt>
                <c:pt idx="1">
                  <c:v>2369328.3215744337</c:v>
                </c:pt>
                <c:pt idx="2">
                  <c:v>2945552.5972289052</c:v>
                </c:pt>
                <c:pt idx="3">
                  <c:v>3448461.0798704242</c:v>
                </c:pt>
              </c:numCache>
            </c:numRef>
          </c:yVal>
          <c:smooth val="0"/>
          <c:extLst>
            <c:ext xmlns:c16="http://schemas.microsoft.com/office/drawing/2014/chart" uri="{C3380CC4-5D6E-409C-BE32-E72D297353CC}">
              <c16:uniqueId val="{00000003-F725-42AF-A794-167B75F1C55C}"/>
            </c:ext>
          </c:extLst>
        </c:ser>
        <c:dLbls>
          <c:showLegendKey val="0"/>
          <c:showVal val="0"/>
          <c:showCatName val="0"/>
          <c:showSerName val="0"/>
          <c:showPercent val="0"/>
          <c:showBubbleSize val="0"/>
        </c:dLbls>
        <c:axId val="219622784"/>
        <c:axId val="219629056"/>
      </c:scatterChart>
      <c:valAx>
        <c:axId val="219622784"/>
        <c:scaling>
          <c:orientation val="minMax"/>
        </c:scaling>
        <c:delete val="0"/>
        <c:axPos val="b"/>
        <c:title>
          <c:tx>
            <c:rich>
              <a:bodyPr/>
              <a:lstStyle/>
              <a:p>
                <a:pPr>
                  <a:defRPr/>
                </a:pPr>
                <a:r>
                  <a:rPr lang="en-US"/>
                  <a:t>Dispensing rate kg/yr</a:t>
                </a:r>
              </a:p>
            </c:rich>
          </c:tx>
          <c:overlay val="0"/>
        </c:title>
        <c:numFmt formatCode="#,##0" sourceLinked="0"/>
        <c:majorTickMark val="out"/>
        <c:minorTickMark val="none"/>
        <c:tickLblPos val="nextTo"/>
        <c:crossAx val="219629056"/>
        <c:crosses val="autoZero"/>
        <c:crossBetween val="midCat"/>
      </c:valAx>
      <c:valAx>
        <c:axId val="219629056"/>
        <c:scaling>
          <c:orientation val="minMax"/>
          <c:min val="0"/>
        </c:scaling>
        <c:delete val="0"/>
        <c:axPos val="l"/>
        <c:majorGridlines/>
        <c:title>
          <c:tx>
            <c:rich>
              <a:bodyPr rot="-5400000" vert="horz"/>
              <a:lstStyle/>
              <a:p>
                <a:pPr>
                  <a:defRPr/>
                </a:pPr>
                <a:r>
                  <a:rPr lang="en-US"/>
                  <a:t>Station</a:t>
                </a:r>
                <a:r>
                  <a:rPr lang="en-US" baseline="0"/>
                  <a:t> Cost</a:t>
                </a:r>
                <a:endParaRPr lang="en-US"/>
              </a:p>
            </c:rich>
          </c:tx>
          <c:overlay val="0"/>
        </c:title>
        <c:numFmt formatCode="&quot;$&quot;#,##0" sourceLinked="1"/>
        <c:majorTickMark val="out"/>
        <c:minorTickMark val="none"/>
        <c:tickLblPos val="nextTo"/>
        <c:crossAx val="219622784"/>
        <c:crosses val="autoZero"/>
        <c:crossBetween val="midCat"/>
      </c:valAx>
    </c:plotArea>
    <c:legend>
      <c:legendPos val="r"/>
      <c:layout>
        <c:manualLayout>
          <c:xMode val="edge"/>
          <c:yMode val="edge"/>
          <c:x val="0.65565148982540111"/>
          <c:y val="0.63834531965092811"/>
          <c:w val="0.26492364710862659"/>
          <c:h val="8.4229796185224123E-2"/>
        </c:manualLayout>
      </c:layout>
      <c:overlay val="1"/>
      <c:spPr>
        <a:solidFill>
          <a:schemeClr val="bg1"/>
        </a:solidFill>
      </c:spPr>
    </c:legend>
    <c:plotVisOnly val="1"/>
    <c:dispBlanksAs val="gap"/>
    <c:showDLblsOverMax val="0"/>
  </c:chart>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Propane Station</a:t>
            </a:r>
          </a:p>
        </c:rich>
      </c:tx>
      <c:overlay val="0"/>
    </c:title>
    <c:autoTitleDeleted val="0"/>
    <c:plotArea>
      <c:layout/>
      <c:scatterChart>
        <c:scatterStyle val="lineMarker"/>
        <c:varyColors val="0"/>
        <c:ser>
          <c:idx val="0"/>
          <c:order val="0"/>
          <c:tx>
            <c:strRef>
              <c:f>'GREET Fuel Attributes'!$B$1597</c:f>
              <c:strCache>
                <c:ptCount val="1"/>
                <c:pt idx="0">
                  <c:v>Average Cost</c:v>
                </c:pt>
              </c:strCache>
            </c:strRef>
          </c:tx>
          <c:spPr>
            <a:ln w="28575">
              <a:noFill/>
            </a:ln>
          </c:spPr>
          <c:trendline>
            <c:trendlineType val="linear"/>
            <c:dispRSqr val="0"/>
            <c:dispEq val="1"/>
            <c:trendlineLbl>
              <c:numFmt formatCode="#,##0.00000" sourceLinked="0"/>
            </c:trendlineLbl>
          </c:trendline>
          <c:xVal>
            <c:numRef>
              <c:f>'GREET Fuel Attributes'!$D$1596:$H$1596</c:f>
              <c:numCache>
                <c:formatCode>#,##0</c:formatCode>
                <c:ptCount val="5"/>
                <c:pt idx="0">
                  <c:v>120513.93407886993</c:v>
                </c:pt>
                <c:pt idx="1">
                  <c:v>241027.86815773987</c:v>
                </c:pt>
                <c:pt idx="2">
                  <c:v>542312.70335491479</c:v>
                </c:pt>
                <c:pt idx="3">
                  <c:v>795391.9649205415</c:v>
                </c:pt>
                <c:pt idx="4">
                  <c:v>940008.68581518554</c:v>
                </c:pt>
              </c:numCache>
            </c:numRef>
          </c:xVal>
          <c:yVal>
            <c:numRef>
              <c:f>'GREET Fuel Attributes'!$D$1597:$H$1597</c:f>
              <c:numCache>
                <c:formatCode>"$"#,##0</c:formatCode>
                <c:ptCount val="5"/>
                <c:pt idx="0">
                  <c:v>52500</c:v>
                </c:pt>
                <c:pt idx="1">
                  <c:v>65000</c:v>
                </c:pt>
                <c:pt idx="2">
                  <c:v>132500</c:v>
                </c:pt>
                <c:pt idx="3">
                  <c:v>185000</c:v>
                </c:pt>
                <c:pt idx="4">
                  <c:v>262500</c:v>
                </c:pt>
              </c:numCache>
            </c:numRef>
          </c:yVal>
          <c:smooth val="0"/>
          <c:extLst>
            <c:ext xmlns:c16="http://schemas.microsoft.com/office/drawing/2014/chart" uri="{C3380CC4-5D6E-409C-BE32-E72D297353CC}">
              <c16:uniqueId val="{00000001-8E25-4999-A7CA-58564D3BF24D}"/>
            </c:ext>
          </c:extLst>
        </c:ser>
        <c:dLbls>
          <c:showLegendKey val="0"/>
          <c:showVal val="0"/>
          <c:showCatName val="0"/>
          <c:showSerName val="0"/>
          <c:showPercent val="0"/>
          <c:showBubbleSize val="0"/>
        </c:dLbls>
        <c:axId val="219667072"/>
        <c:axId val="219353856"/>
      </c:scatterChart>
      <c:valAx>
        <c:axId val="219667072"/>
        <c:scaling>
          <c:orientation val="minMax"/>
        </c:scaling>
        <c:delete val="0"/>
        <c:axPos val="b"/>
        <c:title>
          <c:tx>
            <c:rich>
              <a:bodyPr/>
              <a:lstStyle/>
              <a:p>
                <a:pPr>
                  <a:defRPr/>
                </a:pPr>
                <a:r>
                  <a:rPr lang="en-US"/>
                  <a:t>Dispensing Rate</a:t>
                </a:r>
                <a:r>
                  <a:rPr lang="en-US" baseline="0"/>
                  <a:t> (GGE/yr)</a:t>
                </a:r>
                <a:endParaRPr lang="en-US"/>
              </a:p>
            </c:rich>
          </c:tx>
          <c:overlay val="0"/>
        </c:title>
        <c:numFmt formatCode="#,##0" sourceLinked="1"/>
        <c:majorTickMark val="out"/>
        <c:minorTickMark val="none"/>
        <c:tickLblPos val="nextTo"/>
        <c:crossAx val="219353856"/>
        <c:crosses val="autoZero"/>
        <c:crossBetween val="midCat"/>
      </c:valAx>
      <c:valAx>
        <c:axId val="219353856"/>
        <c:scaling>
          <c:orientation val="minMax"/>
        </c:scaling>
        <c:delete val="0"/>
        <c:axPos val="l"/>
        <c:title>
          <c:tx>
            <c:rich>
              <a:bodyPr rot="-5400000" vert="horz"/>
              <a:lstStyle/>
              <a:p>
                <a:pPr>
                  <a:defRPr/>
                </a:pPr>
                <a:r>
                  <a:rPr lang="en-US"/>
                  <a:t>Station Cost</a:t>
                </a:r>
              </a:p>
            </c:rich>
          </c:tx>
          <c:overlay val="0"/>
        </c:title>
        <c:numFmt formatCode="&quot;$&quot;#,##0" sourceLinked="1"/>
        <c:majorTickMark val="out"/>
        <c:minorTickMark val="none"/>
        <c:tickLblPos val="nextTo"/>
        <c:crossAx val="219667072"/>
        <c:crosses val="autoZero"/>
        <c:crossBetween val="midCat"/>
      </c:valAx>
    </c:plotArea>
    <c:plotVisOnly val="1"/>
    <c:dispBlanksAs val="gap"/>
    <c:showDLblsOverMax val="0"/>
  </c:chart>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CNG Fast Fill Station</a:t>
            </a:r>
          </a:p>
        </c:rich>
      </c:tx>
      <c:overlay val="0"/>
    </c:title>
    <c:autoTitleDeleted val="0"/>
    <c:plotArea>
      <c:layout/>
      <c:scatterChart>
        <c:scatterStyle val="lineMarker"/>
        <c:varyColors val="0"/>
        <c:ser>
          <c:idx val="0"/>
          <c:order val="0"/>
          <c:spPr>
            <a:ln w="28575">
              <a:noFill/>
            </a:ln>
          </c:spPr>
          <c:trendline>
            <c:trendlineType val="power"/>
            <c:dispRSqr val="0"/>
            <c:dispEq val="1"/>
            <c:trendlineLbl>
              <c:numFmt formatCode="#,##0.00" sourceLinked="0"/>
            </c:trendlineLbl>
          </c:trendline>
          <c:xVal>
            <c:numRef>
              <c:f>'GREET Fuel Attributes'!$E$1645:$K$1645</c:f>
              <c:numCache>
                <c:formatCode>#,##0</c:formatCode>
                <c:ptCount val="7"/>
                <c:pt idx="0">
                  <c:v>14600</c:v>
                </c:pt>
                <c:pt idx="1">
                  <c:v>36500</c:v>
                </c:pt>
                <c:pt idx="2">
                  <c:v>73000</c:v>
                </c:pt>
                <c:pt idx="3">
                  <c:v>182500</c:v>
                </c:pt>
                <c:pt idx="4">
                  <c:v>292000</c:v>
                </c:pt>
                <c:pt idx="5">
                  <c:v>547500</c:v>
                </c:pt>
                <c:pt idx="6">
                  <c:v>730000</c:v>
                </c:pt>
              </c:numCache>
            </c:numRef>
          </c:xVal>
          <c:yVal>
            <c:numRef>
              <c:f>'GREET Fuel Attributes'!$E$1649:$K$1649</c:f>
              <c:numCache>
                <c:formatCode>"$"#,##0</c:formatCode>
                <c:ptCount val="7"/>
                <c:pt idx="0">
                  <c:v>75000</c:v>
                </c:pt>
                <c:pt idx="1">
                  <c:v>400000</c:v>
                </c:pt>
                <c:pt idx="2">
                  <c:v>600000</c:v>
                </c:pt>
                <c:pt idx="3">
                  <c:v>700000</c:v>
                </c:pt>
                <c:pt idx="4">
                  <c:v>900000</c:v>
                </c:pt>
                <c:pt idx="5">
                  <c:v>1200000</c:v>
                </c:pt>
                <c:pt idx="6">
                  <c:v>1800000</c:v>
                </c:pt>
              </c:numCache>
            </c:numRef>
          </c:yVal>
          <c:smooth val="0"/>
          <c:extLst>
            <c:ext xmlns:c16="http://schemas.microsoft.com/office/drawing/2014/chart" uri="{C3380CC4-5D6E-409C-BE32-E72D297353CC}">
              <c16:uniqueId val="{00000001-686C-4E6A-B9E7-40D0501F428A}"/>
            </c:ext>
          </c:extLst>
        </c:ser>
        <c:dLbls>
          <c:showLegendKey val="0"/>
          <c:showVal val="0"/>
          <c:showCatName val="0"/>
          <c:showSerName val="0"/>
          <c:showPercent val="0"/>
          <c:showBubbleSize val="0"/>
        </c:dLbls>
        <c:axId val="219379200"/>
        <c:axId val="219381120"/>
      </c:scatterChart>
      <c:valAx>
        <c:axId val="219379200"/>
        <c:scaling>
          <c:orientation val="minMax"/>
        </c:scaling>
        <c:delete val="0"/>
        <c:axPos val="b"/>
        <c:title>
          <c:tx>
            <c:rich>
              <a:bodyPr/>
              <a:lstStyle/>
              <a:p>
                <a:pPr>
                  <a:defRPr/>
                </a:pPr>
                <a:r>
                  <a:rPr lang="en-US" sz="1000" b="1" i="0" u="none" strike="noStrike" baseline="0">
                    <a:effectLst/>
                  </a:rPr>
                  <a:t>Dispensing Rate (GGE/yr)</a:t>
                </a:r>
                <a:endParaRPr lang="en-US"/>
              </a:p>
            </c:rich>
          </c:tx>
          <c:overlay val="0"/>
        </c:title>
        <c:numFmt formatCode="#,##0" sourceLinked="1"/>
        <c:majorTickMark val="out"/>
        <c:minorTickMark val="none"/>
        <c:tickLblPos val="nextTo"/>
        <c:crossAx val="219381120"/>
        <c:crosses val="autoZero"/>
        <c:crossBetween val="midCat"/>
      </c:valAx>
      <c:valAx>
        <c:axId val="219381120"/>
        <c:scaling>
          <c:orientation val="minMax"/>
        </c:scaling>
        <c:delete val="0"/>
        <c:axPos val="l"/>
        <c:majorGridlines/>
        <c:title>
          <c:tx>
            <c:rich>
              <a:bodyPr rot="-5400000" vert="horz"/>
              <a:lstStyle/>
              <a:p>
                <a:pPr>
                  <a:defRPr/>
                </a:pPr>
                <a:r>
                  <a:rPr lang="en-US"/>
                  <a:t>Station Cost</a:t>
                </a:r>
              </a:p>
            </c:rich>
          </c:tx>
          <c:overlay val="0"/>
        </c:title>
        <c:numFmt formatCode="&quot;$&quot;#,##0" sourceLinked="1"/>
        <c:majorTickMark val="out"/>
        <c:minorTickMark val="none"/>
        <c:tickLblPos val="nextTo"/>
        <c:crossAx val="219379200"/>
        <c:crosses val="autoZero"/>
        <c:crossBetween val="midCat"/>
      </c:valAx>
    </c:plotArea>
    <c:plotVisOnly val="1"/>
    <c:dispBlanksAs val="gap"/>
    <c:showDLblsOverMax val="0"/>
  </c:chart>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CNG Time Fill Station</a:t>
            </a:r>
          </a:p>
        </c:rich>
      </c:tx>
      <c:overlay val="0"/>
    </c:title>
    <c:autoTitleDeleted val="0"/>
    <c:plotArea>
      <c:layout/>
      <c:scatterChart>
        <c:scatterStyle val="lineMarker"/>
        <c:varyColors val="0"/>
        <c:ser>
          <c:idx val="0"/>
          <c:order val="0"/>
          <c:spPr>
            <a:ln w="28575">
              <a:noFill/>
            </a:ln>
          </c:spPr>
          <c:trendline>
            <c:trendlineType val="linear"/>
            <c:dispRSqr val="0"/>
            <c:dispEq val="1"/>
            <c:trendlineLbl>
              <c:numFmt formatCode="General" sourceLinked="0"/>
            </c:trendlineLbl>
          </c:trendline>
          <c:xVal>
            <c:numRef>
              <c:f>'GREET Fuel Attributes'!$D$1659:$K$1659</c:f>
              <c:numCache>
                <c:formatCode>#,##0</c:formatCode>
                <c:ptCount val="8"/>
                <c:pt idx="0">
                  <c:v>1825</c:v>
                </c:pt>
                <c:pt idx="1">
                  <c:v>3650</c:v>
                </c:pt>
                <c:pt idx="2">
                  <c:v>7300</c:v>
                </c:pt>
                <c:pt idx="3">
                  <c:v>14600</c:v>
                </c:pt>
                <c:pt idx="4">
                  <c:v>36500</c:v>
                </c:pt>
                <c:pt idx="5">
                  <c:v>73000</c:v>
                </c:pt>
                <c:pt idx="6">
                  <c:v>182500</c:v>
                </c:pt>
                <c:pt idx="7">
                  <c:v>292000</c:v>
                </c:pt>
              </c:numCache>
            </c:numRef>
          </c:xVal>
          <c:yVal>
            <c:numRef>
              <c:f>'GREET Fuel Attributes'!$D$1663:$K$1663</c:f>
              <c:numCache>
                <c:formatCode>"$"#,##0</c:formatCode>
                <c:ptCount val="8"/>
                <c:pt idx="0">
                  <c:v>6000</c:v>
                </c:pt>
                <c:pt idx="1">
                  <c:v>9500</c:v>
                </c:pt>
                <c:pt idx="2">
                  <c:v>35000</c:v>
                </c:pt>
                <c:pt idx="3">
                  <c:v>50000</c:v>
                </c:pt>
                <c:pt idx="6">
                  <c:v>550000</c:v>
                </c:pt>
                <c:pt idx="7">
                  <c:v>850000</c:v>
                </c:pt>
              </c:numCache>
            </c:numRef>
          </c:yVal>
          <c:smooth val="0"/>
          <c:extLst>
            <c:ext xmlns:c16="http://schemas.microsoft.com/office/drawing/2014/chart" uri="{C3380CC4-5D6E-409C-BE32-E72D297353CC}">
              <c16:uniqueId val="{00000001-59D0-45D7-8C78-4C6A35CA5616}"/>
            </c:ext>
          </c:extLst>
        </c:ser>
        <c:dLbls>
          <c:showLegendKey val="0"/>
          <c:showVal val="0"/>
          <c:showCatName val="0"/>
          <c:showSerName val="0"/>
          <c:showPercent val="0"/>
          <c:showBubbleSize val="0"/>
        </c:dLbls>
        <c:axId val="219427200"/>
        <c:axId val="219429120"/>
      </c:scatterChart>
      <c:valAx>
        <c:axId val="219427200"/>
        <c:scaling>
          <c:orientation val="minMax"/>
        </c:scaling>
        <c:delete val="0"/>
        <c:axPos val="b"/>
        <c:title>
          <c:tx>
            <c:rich>
              <a:bodyPr/>
              <a:lstStyle/>
              <a:p>
                <a:pPr>
                  <a:defRPr/>
                </a:pPr>
                <a:r>
                  <a:rPr lang="en-US" sz="1000" b="1" i="0" u="none" strike="noStrike" baseline="0">
                    <a:effectLst/>
                  </a:rPr>
                  <a:t>Dispensing Rate (GGE/yr)</a:t>
                </a:r>
                <a:endParaRPr lang="en-US"/>
              </a:p>
            </c:rich>
          </c:tx>
          <c:overlay val="0"/>
        </c:title>
        <c:numFmt formatCode="#,##0" sourceLinked="1"/>
        <c:majorTickMark val="out"/>
        <c:minorTickMark val="none"/>
        <c:tickLblPos val="nextTo"/>
        <c:crossAx val="219429120"/>
        <c:crosses val="autoZero"/>
        <c:crossBetween val="midCat"/>
      </c:valAx>
      <c:valAx>
        <c:axId val="219429120"/>
        <c:scaling>
          <c:orientation val="minMax"/>
        </c:scaling>
        <c:delete val="0"/>
        <c:axPos val="l"/>
        <c:majorGridlines/>
        <c:title>
          <c:tx>
            <c:rich>
              <a:bodyPr rot="-5400000" vert="horz"/>
              <a:lstStyle/>
              <a:p>
                <a:pPr>
                  <a:defRPr/>
                </a:pPr>
                <a:r>
                  <a:rPr lang="en-US"/>
                  <a:t>Station Cost</a:t>
                </a:r>
              </a:p>
            </c:rich>
          </c:tx>
          <c:overlay val="0"/>
        </c:title>
        <c:numFmt formatCode="&quot;$&quot;#,##0" sourceLinked="1"/>
        <c:majorTickMark val="out"/>
        <c:minorTickMark val="none"/>
        <c:tickLblPos val="nextTo"/>
        <c:crossAx val="219427200"/>
        <c:crosses val="autoZero"/>
        <c:crossBetween val="midCat"/>
      </c:valAx>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ysClr val="windowText" lastClr="000000"/>
                </a:solidFill>
                <a:latin typeface="+mn-lt"/>
                <a:ea typeface="+mn-ea"/>
                <a:cs typeface="+mn-cs"/>
              </a:defRPr>
            </a:pPr>
            <a:r>
              <a:rPr lang="en-US">
                <a:solidFill>
                  <a:sysClr val="windowText" lastClr="000000"/>
                </a:solidFill>
              </a:rPr>
              <a:t>Simplified Tonga GHG Emissions With Policy Options and RE</a:t>
            </a:r>
          </a:p>
        </c:rich>
      </c:tx>
      <c:overlay val="0"/>
      <c:spPr>
        <a:noFill/>
        <a:ln>
          <a:noFill/>
        </a:ln>
        <a:effectLst/>
      </c:spPr>
      <c:txPr>
        <a:bodyPr rot="0" spcFirstLastPara="1" vertOverflow="ellipsis" vert="horz" wrap="square" anchor="ctr" anchorCtr="1"/>
        <a:lstStyle/>
        <a:p>
          <a:pPr>
            <a:defRPr sz="1680" b="0"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3627587297400751"/>
          <c:y val="6.9884687598976467E-2"/>
          <c:w val="0.83625462919863192"/>
          <c:h val="0.80270875671327147"/>
        </c:manualLayout>
      </c:layout>
      <c:areaChart>
        <c:grouping val="stacked"/>
        <c:varyColors val="0"/>
        <c:ser>
          <c:idx val="4"/>
          <c:order val="0"/>
          <c:tx>
            <c:strRef>
              <c:f>Combined!$H$70</c:f>
              <c:strCache>
                <c:ptCount val="1"/>
                <c:pt idx="0">
                  <c:v>Unabated Emissions</c:v>
                </c:pt>
              </c:strCache>
            </c:strRef>
          </c:tx>
          <c:spPr>
            <a:solidFill>
              <a:schemeClr val="bg1">
                <a:lumMod val="65000"/>
              </a:schemeClr>
            </a:solidFill>
            <a:ln>
              <a:noFill/>
            </a:ln>
            <a:effectLst/>
          </c:spPr>
          <c:cat>
            <c:numRef>
              <c:f>Combined!$D$71:$D$84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Combined!$H$71:$H$84</c:f>
              <c:numCache>
                <c:formatCode>#,##0\ "kg CO2e"</c:formatCode>
                <c:ptCount val="14"/>
                <c:pt idx="0">
                  <c:v>130826583.50454602</c:v>
                </c:pt>
                <c:pt idx="1">
                  <c:v>125474267.5935263</c:v>
                </c:pt>
                <c:pt idx="2">
                  <c:v>117541955.83309565</c:v>
                </c:pt>
                <c:pt idx="3">
                  <c:v>110310268.20376906</c:v>
                </c:pt>
                <c:pt idx="4">
                  <c:v>109479459.61441824</c:v>
                </c:pt>
                <c:pt idx="5">
                  <c:v>108506502.29653116</c:v>
                </c:pt>
                <c:pt idx="6">
                  <c:v>107475882.43055798</c:v>
                </c:pt>
                <c:pt idx="7">
                  <c:v>106316815.97272053</c:v>
                </c:pt>
                <c:pt idx="8">
                  <c:v>106347768.02705298</c:v>
                </c:pt>
                <c:pt idx="9">
                  <c:v>106263086.81190974</c:v>
                </c:pt>
                <c:pt idx="10">
                  <c:v>105954197.23643586</c:v>
                </c:pt>
                <c:pt idx="11">
                  <c:v>105376734.34765759</c:v>
                </c:pt>
                <c:pt idx="12">
                  <c:v>104699493.80107805</c:v>
                </c:pt>
                <c:pt idx="13">
                  <c:v>103961102.55980037</c:v>
                </c:pt>
              </c:numCache>
            </c:numRef>
          </c:val>
          <c:extLst>
            <c:ext xmlns:c16="http://schemas.microsoft.com/office/drawing/2014/chart" uri="{C3380CC4-5D6E-409C-BE32-E72D297353CC}">
              <c16:uniqueId val="{00000000-4A77-435B-A0C5-179B591A4795}"/>
            </c:ext>
          </c:extLst>
        </c:ser>
        <c:ser>
          <c:idx val="3"/>
          <c:order val="1"/>
          <c:tx>
            <c:strRef>
              <c:f>Combined!$G$70</c:f>
              <c:strCache>
                <c:ptCount val="1"/>
                <c:pt idx="0">
                  <c:v>RE Generation</c:v>
                </c:pt>
              </c:strCache>
            </c:strRef>
          </c:tx>
          <c:spPr>
            <a:solidFill>
              <a:schemeClr val="accent4"/>
            </a:solidFill>
            <a:ln>
              <a:noFill/>
            </a:ln>
            <a:effectLst/>
          </c:spPr>
          <c:cat>
            <c:numRef>
              <c:f>Combined!$D$71:$D$84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Combined!$G$71:$G$84</c:f>
              <c:numCache>
                <c:formatCode>#,##0\ "kg CO2e"</c:formatCode>
                <c:ptCount val="14"/>
                <c:pt idx="0">
                  <c:v>3823891.9176131957</c:v>
                </c:pt>
                <c:pt idx="1">
                  <c:v>11285445.296057476</c:v>
                </c:pt>
                <c:pt idx="2">
                  <c:v>18133650.410641842</c:v>
                </c:pt>
                <c:pt idx="3">
                  <c:v>24796617.709687971</c:v>
                </c:pt>
                <c:pt idx="4">
                  <c:v>25476979.457201991</c:v>
                </c:pt>
                <c:pt idx="5">
                  <c:v>26073550.773957457</c:v>
                </c:pt>
                <c:pt idx="6">
                  <c:v>26678565.601280048</c:v>
                </c:pt>
                <c:pt idx="7">
                  <c:v>27203549.357826788</c:v>
                </c:pt>
                <c:pt idx="8">
                  <c:v>29612120.336537186</c:v>
                </c:pt>
                <c:pt idx="9">
                  <c:v>32277501.069712836</c:v>
                </c:pt>
                <c:pt idx="10">
                  <c:v>35049518.151669845</c:v>
                </c:pt>
                <c:pt idx="11">
                  <c:v>37841907.31070549</c:v>
                </c:pt>
                <c:pt idx="12">
                  <c:v>40785373.319250919</c:v>
                </c:pt>
                <c:pt idx="13">
                  <c:v>43988688.709811345</c:v>
                </c:pt>
              </c:numCache>
            </c:numRef>
          </c:val>
          <c:extLst>
            <c:ext xmlns:c16="http://schemas.microsoft.com/office/drawing/2014/chart" uri="{C3380CC4-5D6E-409C-BE32-E72D297353CC}">
              <c16:uniqueId val="{00000002-4A77-435B-A0C5-179B591A4795}"/>
            </c:ext>
          </c:extLst>
        </c:ser>
        <c:ser>
          <c:idx val="2"/>
          <c:order val="2"/>
          <c:tx>
            <c:strRef>
              <c:f>Combined!$F$70</c:f>
              <c:strCache>
                <c:ptCount val="1"/>
                <c:pt idx="0">
                  <c:v>EE Policy Options</c:v>
                </c:pt>
              </c:strCache>
            </c:strRef>
          </c:tx>
          <c:spPr>
            <a:solidFill>
              <a:schemeClr val="accent3"/>
            </a:solidFill>
            <a:ln>
              <a:noFill/>
            </a:ln>
            <a:effectLst/>
          </c:spPr>
          <c:cat>
            <c:numRef>
              <c:f>Combined!$D$71:$D$84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Combined!$F$71:$F$84</c:f>
              <c:numCache>
                <c:formatCode>#,##0\ "kg CO2e"</c:formatCode>
                <c:ptCount val="14"/>
                <c:pt idx="0">
                  <c:v>0</c:v>
                </c:pt>
                <c:pt idx="1">
                  <c:v>2610610.6926800152</c:v>
                </c:pt>
                <c:pt idx="2">
                  <c:v>5334268.5196752632</c:v>
                </c:pt>
                <c:pt idx="3">
                  <c:v>8278765.9487429997</c:v>
                </c:pt>
                <c:pt idx="4">
                  <c:v>11570693.012398094</c:v>
                </c:pt>
                <c:pt idx="5">
                  <c:v>15112768.758465407</c:v>
                </c:pt>
                <c:pt idx="6">
                  <c:v>18998536.407243405</c:v>
                </c:pt>
                <c:pt idx="7">
                  <c:v>23237941.727465793</c:v>
                </c:pt>
                <c:pt idx="8">
                  <c:v>24622046.898427851</c:v>
                </c:pt>
                <c:pt idx="9">
                  <c:v>26148601.919846404</c:v>
                </c:pt>
                <c:pt idx="10">
                  <c:v>27695909.516366478</c:v>
                </c:pt>
                <c:pt idx="11">
                  <c:v>29201455.938484196</c:v>
                </c:pt>
                <c:pt idx="12">
                  <c:v>30762506.941718809</c:v>
                </c:pt>
                <c:pt idx="13">
                  <c:v>32469339.010058541</c:v>
                </c:pt>
              </c:numCache>
            </c:numRef>
          </c:val>
          <c:extLst>
            <c:ext xmlns:c16="http://schemas.microsoft.com/office/drawing/2014/chart" uri="{C3380CC4-5D6E-409C-BE32-E72D297353CC}">
              <c16:uniqueId val="{00000003-4A77-435B-A0C5-179B591A4795}"/>
            </c:ext>
          </c:extLst>
        </c:ser>
        <c:ser>
          <c:idx val="1"/>
          <c:order val="3"/>
          <c:tx>
            <c:strRef>
              <c:f>Combined!$E$70</c:f>
              <c:strCache>
                <c:ptCount val="1"/>
                <c:pt idx="0">
                  <c:v>Transportation Policy Options</c:v>
                </c:pt>
              </c:strCache>
            </c:strRef>
          </c:tx>
          <c:spPr>
            <a:solidFill>
              <a:schemeClr val="accent2"/>
            </a:solidFill>
            <a:ln>
              <a:noFill/>
            </a:ln>
            <a:effectLst/>
          </c:spPr>
          <c:cat>
            <c:numRef>
              <c:f>Combined!$D$71:$D$84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Combined!$E$71:$E$84</c:f>
              <c:numCache>
                <c:formatCode>#,##0\ "kg CO2e"</c:formatCode>
                <c:ptCount val="14"/>
                <c:pt idx="0">
                  <c:v>0</c:v>
                </c:pt>
                <c:pt idx="1">
                  <c:v>0</c:v>
                </c:pt>
                <c:pt idx="2">
                  <c:v>1744773.6705857995</c:v>
                </c:pt>
                <c:pt idx="3">
                  <c:v>3680368.2967149033</c:v>
                </c:pt>
                <c:pt idx="4">
                  <c:v>5800558.7242006753</c:v>
                </c:pt>
                <c:pt idx="5">
                  <c:v>8109875.5747094881</c:v>
                </c:pt>
                <c:pt idx="6">
                  <c:v>10610303.615195816</c:v>
                </c:pt>
                <c:pt idx="7">
                  <c:v>13303946.237310218</c:v>
                </c:pt>
                <c:pt idx="8">
                  <c:v>16193029.031422382</c:v>
                </c:pt>
                <c:pt idx="9">
                  <c:v>19279903.460294962</c:v>
                </c:pt>
                <c:pt idx="10">
                  <c:v>22567050.634958383</c:v>
                </c:pt>
                <c:pt idx="11">
                  <c:v>26057085.19539462</c:v>
                </c:pt>
                <c:pt idx="12">
                  <c:v>29656984.416043803</c:v>
                </c:pt>
                <c:pt idx="13">
                  <c:v>33371258.769748062</c:v>
                </c:pt>
              </c:numCache>
            </c:numRef>
          </c:val>
          <c:extLst>
            <c:ext xmlns:c16="http://schemas.microsoft.com/office/drawing/2014/chart" uri="{C3380CC4-5D6E-409C-BE32-E72D297353CC}">
              <c16:uniqueId val="{00000001-4A77-435B-A0C5-179B591A4795}"/>
            </c:ext>
          </c:extLst>
        </c:ser>
        <c:dLbls>
          <c:showLegendKey val="0"/>
          <c:showVal val="0"/>
          <c:showCatName val="0"/>
          <c:showSerName val="0"/>
          <c:showPercent val="0"/>
          <c:showBubbleSize val="0"/>
        </c:dLbls>
        <c:axId val="603113136"/>
        <c:axId val="603113464"/>
        <c:extLst/>
      </c:areaChart>
      <c:catAx>
        <c:axId val="6031131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03113464"/>
        <c:crosses val="autoZero"/>
        <c:auto val="1"/>
        <c:lblAlgn val="ctr"/>
        <c:lblOffset val="100"/>
        <c:noMultiLvlLbl val="0"/>
      </c:catAx>
      <c:valAx>
        <c:axId val="603113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a:t>Thousand Metric Tonnes CO2e</a:t>
                </a:r>
              </a:p>
            </c:rich>
          </c:tx>
          <c:layout>
            <c:manualLayout>
              <c:xMode val="edge"/>
              <c:yMode val="edge"/>
              <c:x val="1.1088420950295145E-2"/>
              <c:y val="0.3239274540611277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0\ &quot;kg CO2e&quot;"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03113136"/>
        <c:crosses val="autoZero"/>
        <c:crossBetween val="midCat"/>
        <c:dispUnits>
          <c:builtInUnit val="millions"/>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LNG Station</a:t>
            </a:r>
          </a:p>
        </c:rich>
      </c:tx>
      <c:overlay val="0"/>
    </c:title>
    <c:autoTitleDeleted val="0"/>
    <c:plotArea>
      <c:layout/>
      <c:scatterChart>
        <c:scatterStyle val="lineMarker"/>
        <c:varyColors val="0"/>
        <c:ser>
          <c:idx val="0"/>
          <c:order val="0"/>
          <c:spPr>
            <a:ln w="28575">
              <a:noFill/>
            </a:ln>
          </c:spPr>
          <c:trendline>
            <c:trendlineType val="linear"/>
            <c:dispRSqr val="0"/>
            <c:dispEq val="1"/>
            <c:trendlineLbl>
              <c:numFmt formatCode="General" sourceLinked="0"/>
            </c:trendlineLbl>
          </c:trendline>
          <c:xVal>
            <c:numRef>
              <c:f>'GREET Fuel Attributes'!$D$1706:$H$1706</c:f>
              <c:numCache>
                <c:formatCode>#,##0</c:formatCode>
                <c:ptCount val="5"/>
                <c:pt idx="0">
                  <c:v>331835.7591006424</c:v>
                </c:pt>
                <c:pt idx="1">
                  <c:v>780790.0214132762</c:v>
                </c:pt>
                <c:pt idx="2">
                  <c:v>1561580.0428265524</c:v>
                </c:pt>
                <c:pt idx="3">
                  <c:v>2342370.0642398288</c:v>
                </c:pt>
                <c:pt idx="4">
                  <c:v>3045081.0835117772</c:v>
                </c:pt>
              </c:numCache>
            </c:numRef>
          </c:xVal>
          <c:yVal>
            <c:numRef>
              <c:f>'GREET Fuel Attributes'!$D$1707:$H$1707</c:f>
              <c:numCache>
                <c:formatCode>"$"#,##0</c:formatCode>
                <c:ptCount val="5"/>
                <c:pt idx="0">
                  <c:v>391320</c:v>
                </c:pt>
                <c:pt idx="1">
                  <c:v>565240</c:v>
                </c:pt>
                <c:pt idx="2">
                  <c:v>978300</c:v>
                </c:pt>
                <c:pt idx="3">
                  <c:v>1358750</c:v>
                </c:pt>
                <c:pt idx="4">
                  <c:v>1771810</c:v>
                </c:pt>
              </c:numCache>
            </c:numRef>
          </c:yVal>
          <c:smooth val="0"/>
          <c:extLst>
            <c:ext xmlns:c16="http://schemas.microsoft.com/office/drawing/2014/chart" uri="{C3380CC4-5D6E-409C-BE32-E72D297353CC}">
              <c16:uniqueId val="{00000001-9EA3-4A0F-A9A5-013547F03CBB}"/>
            </c:ext>
          </c:extLst>
        </c:ser>
        <c:dLbls>
          <c:showLegendKey val="0"/>
          <c:showVal val="0"/>
          <c:showCatName val="0"/>
          <c:showSerName val="0"/>
          <c:showPercent val="0"/>
          <c:showBubbleSize val="0"/>
        </c:dLbls>
        <c:axId val="219458560"/>
        <c:axId val="219464832"/>
      </c:scatterChart>
      <c:valAx>
        <c:axId val="219458560"/>
        <c:scaling>
          <c:orientation val="minMax"/>
        </c:scaling>
        <c:delete val="0"/>
        <c:axPos val="b"/>
        <c:title>
          <c:tx>
            <c:rich>
              <a:bodyPr/>
              <a:lstStyle/>
              <a:p>
                <a:pPr>
                  <a:defRPr/>
                </a:pPr>
                <a:r>
                  <a:rPr lang="en-US" sz="1000" b="1" i="0" u="none" strike="noStrike" baseline="0">
                    <a:effectLst/>
                  </a:rPr>
                  <a:t>Dispensing Rate (GGE/yr)</a:t>
                </a:r>
                <a:endParaRPr lang="en-US"/>
              </a:p>
            </c:rich>
          </c:tx>
          <c:overlay val="0"/>
        </c:title>
        <c:numFmt formatCode="#,##0" sourceLinked="1"/>
        <c:majorTickMark val="out"/>
        <c:minorTickMark val="none"/>
        <c:tickLblPos val="nextTo"/>
        <c:crossAx val="219464832"/>
        <c:crosses val="autoZero"/>
        <c:crossBetween val="midCat"/>
      </c:valAx>
      <c:valAx>
        <c:axId val="219464832"/>
        <c:scaling>
          <c:orientation val="minMax"/>
        </c:scaling>
        <c:delete val="0"/>
        <c:axPos val="l"/>
        <c:majorGridlines/>
        <c:title>
          <c:tx>
            <c:rich>
              <a:bodyPr rot="-5400000" vert="horz"/>
              <a:lstStyle/>
              <a:p>
                <a:pPr>
                  <a:defRPr/>
                </a:pPr>
                <a:r>
                  <a:rPr lang="en-US"/>
                  <a:t>Station Cost</a:t>
                </a:r>
              </a:p>
            </c:rich>
          </c:tx>
          <c:overlay val="0"/>
        </c:title>
        <c:numFmt formatCode="&quot;$&quot;#,##0" sourceLinked="1"/>
        <c:majorTickMark val="out"/>
        <c:minorTickMark val="none"/>
        <c:tickLblPos val="nextTo"/>
        <c:crossAx val="219458560"/>
        <c:crosses val="autoZero"/>
        <c:crossBetween val="midCat"/>
      </c:valAx>
    </c:plotArea>
    <c:plotVisOnly val="1"/>
    <c:dispBlanksAs val="gap"/>
    <c:showDLblsOverMax val="0"/>
  </c:chart>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pPr>
            <a:r>
              <a:rPr lang="en-US" b="0"/>
              <a:t>Parking Station - Electrician Labor Savings</a:t>
            </a:r>
          </a:p>
        </c:rich>
      </c:tx>
      <c:overlay val="0"/>
    </c:title>
    <c:autoTitleDeleted val="0"/>
    <c:plotArea>
      <c:layout/>
      <c:scatterChart>
        <c:scatterStyle val="lineMarker"/>
        <c:varyColors val="0"/>
        <c:ser>
          <c:idx val="0"/>
          <c:order val="0"/>
          <c:spPr>
            <a:ln w="28575">
              <a:noFill/>
            </a:ln>
          </c:spPr>
          <c:trendline>
            <c:trendlineType val="exp"/>
            <c:dispRSqr val="0"/>
            <c:dispEq val="1"/>
            <c:trendlineLbl>
              <c:layout>
                <c:manualLayout>
                  <c:x val="-0.12498141029530564"/>
                  <c:y val="-8.6906048596933662E-3"/>
                </c:manualLayout>
              </c:layout>
              <c:numFmt formatCode="General" sourceLinked="0"/>
            </c:trendlineLbl>
          </c:trendline>
          <c:xVal>
            <c:numRef>
              <c:f>'GREET Fuel Attributes'!$K$1337:$L$1337</c:f>
              <c:numCache>
                <c:formatCode>General</c:formatCode>
                <c:ptCount val="2"/>
                <c:pt idx="0">
                  <c:v>1</c:v>
                </c:pt>
                <c:pt idx="1">
                  <c:v>5</c:v>
                </c:pt>
              </c:numCache>
            </c:numRef>
          </c:xVal>
          <c:yVal>
            <c:numRef>
              <c:f>'GREET Fuel Attributes'!$K$1338:$L$1338</c:f>
              <c:numCache>
                <c:formatCode>"$"#,##0</c:formatCode>
                <c:ptCount val="2"/>
                <c:pt idx="0">
                  <c:v>2000</c:v>
                </c:pt>
                <c:pt idx="1">
                  <c:v>1300</c:v>
                </c:pt>
              </c:numCache>
            </c:numRef>
          </c:yVal>
          <c:smooth val="0"/>
          <c:extLst>
            <c:ext xmlns:c16="http://schemas.microsoft.com/office/drawing/2014/chart" uri="{C3380CC4-5D6E-409C-BE32-E72D297353CC}">
              <c16:uniqueId val="{00000001-C3D5-4473-BB19-A4B3541F1454}"/>
            </c:ext>
          </c:extLst>
        </c:ser>
        <c:dLbls>
          <c:showLegendKey val="0"/>
          <c:showVal val="0"/>
          <c:showCatName val="0"/>
          <c:showSerName val="0"/>
          <c:showPercent val="0"/>
          <c:showBubbleSize val="0"/>
        </c:dLbls>
        <c:axId val="219486080"/>
        <c:axId val="219500544"/>
      </c:scatterChart>
      <c:valAx>
        <c:axId val="219486080"/>
        <c:scaling>
          <c:orientation val="minMax"/>
        </c:scaling>
        <c:delete val="0"/>
        <c:axPos val="b"/>
        <c:title>
          <c:tx>
            <c:rich>
              <a:bodyPr/>
              <a:lstStyle/>
              <a:p>
                <a:pPr>
                  <a:defRPr/>
                </a:pPr>
                <a:r>
                  <a:rPr lang="en-US"/>
                  <a:t>Stations</a:t>
                </a:r>
              </a:p>
            </c:rich>
          </c:tx>
          <c:overlay val="0"/>
        </c:title>
        <c:numFmt formatCode="General" sourceLinked="1"/>
        <c:majorTickMark val="out"/>
        <c:minorTickMark val="none"/>
        <c:tickLblPos val="nextTo"/>
        <c:crossAx val="219500544"/>
        <c:crosses val="autoZero"/>
        <c:crossBetween val="midCat"/>
      </c:valAx>
      <c:valAx>
        <c:axId val="219500544"/>
        <c:scaling>
          <c:orientation val="minMax"/>
        </c:scaling>
        <c:delete val="0"/>
        <c:axPos val="l"/>
        <c:majorGridlines/>
        <c:numFmt formatCode="&quot;$&quot;#,##0" sourceLinked="1"/>
        <c:majorTickMark val="out"/>
        <c:minorTickMark val="none"/>
        <c:tickLblPos val="nextTo"/>
        <c:crossAx val="219486080"/>
        <c:crosses val="autoZero"/>
        <c:crossBetween val="midCat"/>
      </c:valAx>
    </c:plotArea>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80" b="0" i="0" u="none" strike="noStrike" kern="1200" spc="0" baseline="0">
                <a:solidFill>
                  <a:schemeClr val="tx1">
                    <a:lumMod val="65000"/>
                    <a:lumOff val="35000"/>
                  </a:schemeClr>
                </a:solidFill>
                <a:latin typeface="+mn-lt"/>
                <a:ea typeface="+mn-ea"/>
                <a:cs typeface="+mn-cs"/>
              </a:defRPr>
            </a:pPr>
            <a:r>
              <a:rPr lang="en-US"/>
              <a:t>Simplified Tonga GHG Emissions With Policy Options and RE</a:t>
            </a:r>
          </a:p>
        </c:rich>
      </c:tx>
      <c:overlay val="0"/>
      <c:spPr>
        <a:noFill/>
        <a:ln>
          <a:noFill/>
        </a:ln>
        <a:effectLst/>
      </c:spPr>
      <c:txPr>
        <a:bodyPr rot="0" spcFirstLastPara="1" vertOverflow="ellipsis" vert="horz" wrap="square" anchor="ctr" anchorCtr="1"/>
        <a:lstStyle/>
        <a:p>
          <a:pPr>
            <a:defRPr sz="168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521333442713207"/>
          <c:y val="6.9884687598976467E-2"/>
          <c:w val="0.84169676639295588"/>
          <c:h val="0.83082120247591285"/>
        </c:manualLayout>
      </c:layout>
      <c:areaChart>
        <c:grouping val="stacked"/>
        <c:varyColors val="0"/>
        <c:ser>
          <c:idx val="4"/>
          <c:order val="1"/>
          <c:tx>
            <c:strRef>
              <c:f>Combined!$H$70</c:f>
              <c:strCache>
                <c:ptCount val="1"/>
                <c:pt idx="0">
                  <c:v>Unabated Emissions</c:v>
                </c:pt>
              </c:strCache>
            </c:strRef>
          </c:tx>
          <c:spPr>
            <a:solidFill>
              <a:schemeClr val="bg1">
                <a:lumMod val="65000"/>
              </a:schemeClr>
            </a:solidFill>
            <a:ln>
              <a:noFill/>
            </a:ln>
            <a:effectLst/>
          </c:spPr>
          <c:cat>
            <c:numRef>
              <c:f>Combined!$D$71:$D$84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Combined!$H$71:$H$84</c:f>
              <c:numCache>
                <c:formatCode>#,##0\ "kg CO2e"</c:formatCode>
                <c:ptCount val="14"/>
                <c:pt idx="0">
                  <c:v>130826583.50454602</c:v>
                </c:pt>
                <c:pt idx="1">
                  <c:v>125474267.5935263</c:v>
                </c:pt>
                <c:pt idx="2">
                  <c:v>117541955.83309565</c:v>
                </c:pt>
                <c:pt idx="3">
                  <c:v>110310268.20376906</c:v>
                </c:pt>
                <c:pt idx="4">
                  <c:v>109479459.61441824</c:v>
                </c:pt>
                <c:pt idx="5">
                  <c:v>108506502.29653116</c:v>
                </c:pt>
                <c:pt idx="6">
                  <c:v>107475882.43055798</c:v>
                </c:pt>
                <c:pt idx="7">
                  <c:v>106316815.97272053</c:v>
                </c:pt>
                <c:pt idx="8">
                  <c:v>106347768.02705298</c:v>
                </c:pt>
                <c:pt idx="9">
                  <c:v>106263086.81190974</c:v>
                </c:pt>
                <c:pt idx="10">
                  <c:v>105954197.23643586</c:v>
                </c:pt>
                <c:pt idx="11">
                  <c:v>105376734.34765759</c:v>
                </c:pt>
                <c:pt idx="12">
                  <c:v>104699493.80107805</c:v>
                </c:pt>
                <c:pt idx="13">
                  <c:v>103961102.55980037</c:v>
                </c:pt>
              </c:numCache>
            </c:numRef>
          </c:val>
          <c:extLst>
            <c:ext xmlns:c16="http://schemas.microsoft.com/office/drawing/2014/chart" uri="{C3380CC4-5D6E-409C-BE32-E72D297353CC}">
              <c16:uniqueId val="{00000004-BF0B-47CA-B230-E0B04F94B4AD}"/>
            </c:ext>
          </c:extLst>
        </c:ser>
        <c:ser>
          <c:idx val="1"/>
          <c:order val="2"/>
          <c:tx>
            <c:strRef>
              <c:f>Combined!$E$70</c:f>
              <c:strCache>
                <c:ptCount val="1"/>
                <c:pt idx="0">
                  <c:v>Transportation Policy Options</c:v>
                </c:pt>
              </c:strCache>
            </c:strRef>
          </c:tx>
          <c:spPr>
            <a:solidFill>
              <a:schemeClr val="accent2"/>
            </a:solidFill>
            <a:ln>
              <a:noFill/>
            </a:ln>
            <a:effectLst/>
          </c:spPr>
          <c:cat>
            <c:numRef>
              <c:f>Combined!$D$71:$D$84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Combined!$E$71:$E$84</c:f>
              <c:numCache>
                <c:formatCode>#,##0\ "kg CO2e"</c:formatCode>
                <c:ptCount val="14"/>
                <c:pt idx="0">
                  <c:v>0</c:v>
                </c:pt>
                <c:pt idx="1">
                  <c:v>0</c:v>
                </c:pt>
                <c:pt idx="2">
                  <c:v>1744773.6705857995</c:v>
                </c:pt>
                <c:pt idx="3">
                  <c:v>3680368.2967149033</c:v>
                </c:pt>
                <c:pt idx="4">
                  <c:v>5800558.7242006753</c:v>
                </c:pt>
                <c:pt idx="5">
                  <c:v>8109875.5747094881</c:v>
                </c:pt>
                <c:pt idx="6">
                  <c:v>10610303.615195816</c:v>
                </c:pt>
                <c:pt idx="7">
                  <c:v>13303946.237310218</c:v>
                </c:pt>
                <c:pt idx="8">
                  <c:v>16193029.031422382</c:v>
                </c:pt>
                <c:pt idx="9">
                  <c:v>19279903.460294962</c:v>
                </c:pt>
                <c:pt idx="10">
                  <c:v>22567050.634958383</c:v>
                </c:pt>
                <c:pt idx="11">
                  <c:v>26057085.19539462</c:v>
                </c:pt>
                <c:pt idx="12">
                  <c:v>29656984.416043803</c:v>
                </c:pt>
                <c:pt idx="13">
                  <c:v>33371258.769748062</c:v>
                </c:pt>
              </c:numCache>
            </c:numRef>
          </c:val>
          <c:extLst>
            <c:ext xmlns:c16="http://schemas.microsoft.com/office/drawing/2014/chart" uri="{C3380CC4-5D6E-409C-BE32-E72D297353CC}">
              <c16:uniqueId val="{00000001-BF0B-47CA-B230-E0B04F94B4AD}"/>
            </c:ext>
          </c:extLst>
        </c:ser>
        <c:ser>
          <c:idx val="3"/>
          <c:order val="3"/>
          <c:tx>
            <c:strRef>
              <c:f>Combined!$G$70</c:f>
              <c:strCache>
                <c:ptCount val="1"/>
                <c:pt idx="0">
                  <c:v>RE Generation</c:v>
                </c:pt>
              </c:strCache>
            </c:strRef>
          </c:tx>
          <c:spPr>
            <a:solidFill>
              <a:schemeClr val="accent4"/>
            </a:solidFill>
            <a:ln>
              <a:noFill/>
            </a:ln>
            <a:effectLst/>
          </c:spPr>
          <c:cat>
            <c:numRef>
              <c:f>Combined!$D$71:$D$84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Combined!$G$71:$G$84</c:f>
              <c:numCache>
                <c:formatCode>#,##0\ "kg CO2e"</c:formatCode>
                <c:ptCount val="14"/>
                <c:pt idx="0">
                  <c:v>3823891.9176131957</c:v>
                </c:pt>
                <c:pt idx="1">
                  <c:v>11285445.296057476</c:v>
                </c:pt>
                <c:pt idx="2">
                  <c:v>18133650.410641842</c:v>
                </c:pt>
                <c:pt idx="3">
                  <c:v>24796617.709687971</c:v>
                </c:pt>
                <c:pt idx="4">
                  <c:v>25476979.457201991</c:v>
                </c:pt>
                <c:pt idx="5">
                  <c:v>26073550.773957457</c:v>
                </c:pt>
                <c:pt idx="6">
                  <c:v>26678565.601280048</c:v>
                </c:pt>
                <c:pt idx="7">
                  <c:v>27203549.357826788</c:v>
                </c:pt>
                <c:pt idx="8">
                  <c:v>29612120.336537186</c:v>
                </c:pt>
                <c:pt idx="9">
                  <c:v>32277501.069712836</c:v>
                </c:pt>
                <c:pt idx="10">
                  <c:v>35049518.151669845</c:v>
                </c:pt>
                <c:pt idx="11">
                  <c:v>37841907.31070549</c:v>
                </c:pt>
                <c:pt idx="12">
                  <c:v>40785373.319250919</c:v>
                </c:pt>
                <c:pt idx="13">
                  <c:v>43988688.709811345</c:v>
                </c:pt>
              </c:numCache>
            </c:numRef>
          </c:val>
          <c:extLst>
            <c:ext xmlns:c16="http://schemas.microsoft.com/office/drawing/2014/chart" uri="{C3380CC4-5D6E-409C-BE32-E72D297353CC}">
              <c16:uniqueId val="{00000003-BF0B-47CA-B230-E0B04F94B4AD}"/>
            </c:ext>
          </c:extLst>
        </c:ser>
        <c:ser>
          <c:idx val="2"/>
          <c:order val="4"/>
          <c:tx>
            <c:strRef>
              <c:f>Combined!$F$70</c:f>
              <c:strCache>
                <c:ptCount val="1"/>
                <c:pt idx="0">
                  <c:v>EE Policy Options</c:v>
                </c:pt>
              </c:strCache>
            </c:strRef>
          </c:tx>
          <c:spPr>
            <a:solidFill>
              <a:schemeClr val="accent3"/>
            </a:solidFill>
            <a:ln>
              <a:noFill/>
            </a:ln>
            <a:effectLst/>
          </c:spPr>
          <c:cat>
            <c:numRef>
              <c:f>Combined!$D$71:$D$84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Combined!$F$71:$F$84</c:f>
              <c:numCache>
                <c:formatCode>#,##0\ "kg CO2e"</c:formatCode>
                <c:ptCount val="14"/>
                <c:pt idx="0">
                  <c:v>0</c:v>
                </c:pt>
                <c:pt idx="1">
                  <c:v>2610610.6926800152</c:v>
                </c:pt>
                <c:pt idx="2">
                  <c:v>5334268.5196752632</c:v>
                </c:pt>
                <c:pt idx="3">
                  <c:v>8278765.9487429997</c:v>
                </c:pt>
                <c:pt idx="4">
                  <c:v>11570693.012398094</c:v>
                </c:pt>
                <c:pt idx="5">
                  <c:v>15112768.758465407</c:v>
                </c:pt>
                <c:pt idx="6">
                  <c:v>18998536.407243405</c:v>
                </c:pt>
                <c:pt idx="7">
                  <c:v>23237941.727465793</c:v>
                </c:pt>
                <c:pt idx="8">
                  <c:v>24622046.898427851</c:v>
                </c:pt>
                <c:pt idx="9">
                  <c:v>26148601.919846404</c:v>
                </c:pt>
                <c:pt idx="10">
                  <c:v>27695909.516366478</c:v>
                </c:pt>
                <c:pt idx="11">
                  <c:v>29201455.938484196</c:v>
                </c:pt>
                <c:pt idx="12">
                  <c:v>30762506.941718809</c:v>
                </c:pt>
                <c:pt idx="13">
                  <c:v>32469339.010058541</c:v>
                </c:pt>
              </c:numCache>
            </c:numRef>
          </c:val>
          <c:extLst>
            <c:ext xmlns:c16="http://schemas.microsoft.com/office/drawing/2014/chart" uri="{C3380CC4-5D6E-409C-BE32-E72D297353CC}">
              <c16:uniqueId val="{00000002-BF0B-47CA-B230-E0B04F94B4AD}"/>
            </c:ext>
          </c:extLst>
        </c:ser>
        <c:dLbls>
          <c:showLegendKey val="0"/>
          <c:showVal val="0"/>
          <c:showCatName val="0"/>
          <c:showSerName val="0"/>
          <c:showPercent val="0"/>
          <c:showBubbleSize val="0"/>
        </c:dLbls>
        <c:axId val="603113136"/>
        <c:axId val="603113464"/>
        <c:extLst>
          <c:ext xmlns:c15="http://schemas.microsoft.com/office/drawing/2012/chart" uri="{02D57815-91ED-43cb-92C2-25804820EDAC}">
            <c15:filteredAreaSeries>
              <c15:ser>
                <c:idx val="0"/>
                <c:order val="0"/>
                <c:tx>
                  <c:strRef>
                    <c:extLst>
                      <c:ext uri="{02D57815-91ED-43cb-92C2-25804820EDAC}">
                        <c15:formulaRef>
                          <c15:sqref>Combined!$D$70</c15:sqref>
                        </c15:formulaRef>
                      </c:ext>
                    </c:extLst>
                    <c:strCache>
                      <c:ptCount val="1"/>
                      <c:pt idx="0">
                        <c:v>Year</c:v>
                      </c:pt>
                    </c:strCache>
                  </c:strRef>
                </c:tx>
                <c:spPr>
                  <a:solidFill>
                    <a:schemeClr val="accent1"/>
                  </a:solidFill>
                  <a:ln>
                    <a:noFill/>
                  </a:ln>
                  <a:effectLst/>
                </c:spPr>
                <c:cat>
                  <c:numRef>
                    <c:extLst>
                      <c:ext uri="{02D57815-91ED-43cb-92C2-25804820EDAC}">
                        <c15:formulaRef>
                          <c15:sqref>Combined!$D$71:$D$84</c15:sqref>
                        </c15:formulaRef>
                      </c:ext>
                    </c:extLst>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extLst>
                      <c:ext uri="{02D57815-91ED-43cb-92C2-25804820EDAC}">
                        <c15:formulaRef>
                          <c15:sqref>Combined!$D$71:$D$84</c15:sqref>
                        </c15:formulaRef>
                      </c:ext>
                    </c:extLst>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val>
                <c:extLst>
                  <c:ext xmlns:c16="http://schemas.microsoft.com/office/drawing/2014/chart" uri="{C3380CC4-5D6E-409C-BE32-E72D297353CC}">
                    <c16:uniqueId val="{00000000-BF0B-47CA-B230-E0B04F94B4AD}"/>
                  </c:ext>
                </c:extLst>
              </c15:ser>
            </c15:filteredAreaSeries>
          </c:ext>
        </c:extLst>
      </c:areaChart>
      <c:catAx>
        <c:axId val="6031131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603113464"/>
        <c:crosses val="autoZero"/>
        <c:auto val="1"/>
        <c:lblAlgn val="ctr"/>
        <c:lblOffset val="100"/>
        <c:noMultiLvlLbl val="0"/>
      </c:catAx>
      <c:valAx>
        <c:axId val="60311346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a:t>Thousand Metric Tonnes CO2e</a:t>
                </a:r>
              </a:p>
            </c:rich>
          </c:tx>
          <c:layout>
            <c:manualLayout>
              <c:xMode val="edge"/>
              <c:yMode val="edge"/>
              <c:x val="1.1088420950295145E-2"/>
              <c:y val="0.3239274540611277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0\ &quot;kg CO2e&quot;"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603113136"/>
        <c:crosses val="autoZero"/>
        <c:crossBetween val="midCat"/>
        <c:dispUnits>
          <c:builtInUnit val="millions"/>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400"/>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Tonga CO2e Emissions Reductions</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areaChart>
        <c:grouping val="stacked"/>
        <c:varyColors val="0"/>
        <c:ser>
          <c:idx val="8"/>
          <c:order val="0"/>
          <c:tx>
            <c:strRef>
              <c:f>Combined!$J$4</c:f>
              <c:strCache>
                <c:ptCount val="1"/>
                <c:pt idx="0">
                  <c:v>Gasoline Use</c:v>
                </c:pt>
              </c:strCache>
            </c:strRef>
          </c:tx>
          <c:spPr>
            <a:solidFill>
              <a:schemeClr val="bg1">
                <a:lumMod val="75000"/>
              </a:schemeClr>
            </a:solidFill>
            <a:ln>
              <a:noFill/>
            </a:ln>
            <a:effectLst/>
          </c:spPr>
          <c:cat>
            <c:numRef>
              <c:f>Combined!$B$5:$B$18</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Combined!$J$5:$J$18</c:f>
              <c:numCache>
                <c:formatCode>#,##0\ "kg CO2e"</c:formatCode>
                <c:ptCount val="14"/>
                <c:pt idx="0">
                  <c:v>43918202.819031596</c:v>
                </c:pt>
                <c:pt idx="1">
                  <c:v>45183047.060219705</c:v>
                </c:pt>
                <c:pt idx="2">
                  <c:v>45696996.473185338</c:v>
                </c:pt>
                <c:pt idx="3">
                  <c:v>46102010.266958058</c:v>
                </c:pt>
                <c:pt idx="4">
                  <c:v>46406847.389806651</c:v>
                </c:pt>
                <c:pt idx="5">
                  <c:v>46609580.133123361</c:v>
                </c:pt>
                <c:pt idx="6">
                  <c:v>46710897.385044277</c:v>
                </c:pt>
                <c:pt idx="7">
                  <c:v>46711441.802865691</c:v>
                </c:pt>
                <c:pt idx="8">
                  <c:v>46611807.91971226</c:v>
                </c:pt>
                <c:pt idx="9">
                  <c:v>46412540.18049486</c:v>
                </c:pt>
                <c:pt idx="10">
                  <c:v>46114130.904655851</c:v>
                </c:pt>
                <c:pt idx="11">
                  <c:v>45717018.173113585</c:v>
                </c:pt>
                <c:pt idx="12">
                  <c:v>45317358.519382536</c:v>
                </c:pt>
                <c:pt idx="13">
                  <c:v>44913858.191214077</c:v>
                </c:pt>
              </c:numCache>
            </c:numRef>
          </c:val>
          <c:extLst>
            <c:ext xmlns:c16="http://schemas.microsoft.com/office/drawing/2014/chart" uri="{C3380CC4-5D6E-409C-BE32-E72D297353CC}">
              <c16:uniqueId val="{00000008-3071-4963-B2C0-3521F4A52C9B}"/>
            </c:ext>
          </c:extLst>
        </c:ser>
        <c:ser>
          <c:idx val="7"/>
          <c:order val="1"/>
          <c:tx>
            <c:strRef>
              <c:f>Combined!$I$4</c:f>
              <c:strCache>
                <c:ptCount val="1"/>
                <c:pt idx="0">
                  <c:v>Diesel Use</c:v>
                </c:pt>
              </c:strCache>
            </c:strRef>
          </c:tx>
          <c:spPr>
            <a:solidFill>
              <a:schemeClr val="bg1">
                <a:lumMod val="65000"/>
              </a:schemeClr>
            </a:solidFill>
            <a:ln>
              <a:noFill/>
            </a:ln>
            <a:effectLst/>
          </c:spPr>
          <c:cat>
            <c:numRef>
              <c:f>Combined!$B$5:$B$18</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Combined!$I$5:$I$18</c:f>
              <c:numCache>
                <c:formatCode>#,##0\ "kg CO2e"</c:formatCode>
                <c:ptCount val="14"/>
                <c:pt idx="0">
                  <c:v>37992917.421876401</c:v>
                </c:pt>
                <c:pt idx="1">
                  <c:v>39087113.443626441</c:v>
                </c:pt>
                <c:pt idx="2">
                  <c:v>39255370.98258578</c:v>
                </c:pt>
                <c:pt idx="3">
                  <c:v>39411640.227123037</c:v>
                </c:pt>
                <c:pt idx="4">
                  <c:v>39555400.417963602</c:v>
                </c:pt>
                <c:pt idx="5">
                  <c:v>39686119.652258843</c:v>
                </c:pt>
                <c:pt idx="6">
                  <c:v>39803254.930222243</c:v>
                </c:pt>
                <c:pt idx="7">
                  <c:v>39906252.221083738</c:v>
                </c:pt>
                <c:pt idx="8">
                  <c:v>39994546.549649291</c:v>
                </c:pt>
                <c:pt idx="9">
                  <c:v>40067562.10481669</c:v>
                </c:pt>
                <c:pt idx="10">
                  <c:v>40124712.371465743</c:v>
                </c:pt>
                <c:pt idx="11">
                  <c:v>40165400.287210897</c:v>
                </c:pt>
                <c:pt idx="12">
                  <c:v>40189018.425577462</c:v>
                </c:pt>
                <c:pt idx="13">
                  <c:v>40194949.207238577</c:v>
                </c:pt>
              </c:numCache>
            </c:numRef>
          </c:val>
          <c:extLst>
            <c:ext xmlns:c16="http://schemas.microsoft.com/office/drawing/2014/chart" uri="{C3380CC4-5D6E-409C-BE32-E72D297353CC}">
              <c16:uniqueId val="{00000007-3071-4963-B2C0-3521F4A52C9B}"/>
            </c:ext>
          </c:extLst>
        </c:ser>
        <c:ser>
          <c:idx val="18"/>
          <c:order val="2"/>
          <c:tx>
            <c:strRef>
              <c:f>Combined!$T$4</c:f>
              <c:strCache>
                <c:ptCount val="1"/>
                <c:pt idx="0">
                  <c:v>Electricity Use</c:v>
                </c:pt>
              </c:strCache>
            </c:strRef>
          </c:tx>
          <c:spPr>
            <a:solidFill>
              <a:schemeClr val="bg1">
                <a:lumMod val="50000"/>
              </a:schemeClr>
            </a:solidFill>
            <a:ln w="25400">
              <a:noFill/>
            </a:ln>
            <a:effectLst/>
          </c:spPr>
          <c:cat>
            <c:numRef>
              <c:f>Combined!$B$5:$B$18</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Combined!$T$5:$T$18</c:f>
              <c:numCache>
                <c:formatCode>#,##0\ "kg CO2e"</c:formatCode>
                <c:ptCount val="14"/>
                <c:pt idx="0">
                  <c:v>48915463.263638012</c:v>
                </c:pt>
                <c:pt idx="1">
                  <c:v>41204107.089680173</c:v>
                </c:pt>
                <c:pt idx="2">
                  <c:v>32589588.37732454</c:v>
                </c:pt>
                <c:pt idx="3">
                  <c:v>24796617.709687971</c:v>
                </c:pt>
                <c:pt idx="4">
                  <c:v>23517211.806647986</c:v>
                </c:pt>
                <c:pt idx="5">
                  <c:v>22210802.511148944</c:v>
                </c:pt>
                <c:pt idx="6">
                  <c:v>20961730.115291461</c:v>
                </c:pt>
                <c:pt idx="7">
                  <c:v>19699121.948771112</c:v>
                </c:pt>
                <c:pt idx="8">
                  <c:v>19741413.557691444</c:v>
                </c:pt>
                <c:pt idx="9">
                  <c:v>19782984.526598178</c:v>
                </c:pt>
                <c:pt idx="10">
                  <c:v>19715353.960314278</c:v>
                </c:pt>
                <c:pt idx="11">
                  <c:v>19494315.887333117</c:v>
                </c:pt>
                <c:pt idx="12">
                  <c:v>19193116.856118057</c:v>
                </c:pt>
                <c:pt idx="13">
                  <c:v>18852295.161347717</c:v>
                </c:pt>
              </c:numCache>
            </c:numRef>
          </c:val>
          <c:extLst>
            <c:ext xmlns:c16="http://schemas.microsoft.com/office/drawing/2014/chart" uri="{C3380CC4-5D6E-409C-BE32-E72D297353CC}">
              <c16:uniqueId val="{00000016-3071-4963-B2C0-3521F4A52C9B}"/>
            </c:ext>
          </c:extLst>
        </c:ser>
        <c:ser>
          <c:idx val="1"/>
          <c:order val="3"/>
          <c:tx>
            <c:strRef>
              <c:f>Combined!$C$4</c:f>
              <c:strCache>
                <c:ptCount val="1"/>
                <c:pt idx="0">
                  <c:v>VKT Reduction Projects</c:v>
                </c:pt>
              </c:strCache>
            </c:strRef>
          </c:tx>
          <c:spPr>
            <a:solidFill>
              <a:schemeClr val="accent2"/>
            </a:solidFill>
            <a:ln>
              <a:noFill/>
            </a:ln>
            <a:effectLst/>
          </c:spPr>
          <c:cat>
            <c:numRef>
              <c:f>Combined!$B$5:$B$18</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Combined!$C$5:$C$18</c:f>
              <c:numCache>
                <c:formatCode>#,##0\ "kg CO2e"</c:formatCode>
                <c:ptCount val="14"/>
                <c:pt idx="0">
                  <c:v>0</c:v>
                </c:pt>
                <c:pt idx="1">
                  <c:v>0</c:v>
                </c:pt>
                <c:pt idx="2">
                  <c:v>771639.69233819691</c:v>
                </c:pt>
                <c:pt idx="3">
                  <c:v>1587725.8309550744</c:v>
                </c:pt>
                <c:pt idx="4">
                  <c:v>2450178.5023298706</c:v>
                </c:pt>
                <c:pt idx="5">
                  <c:v>3360991.5242626285</c:v>
                </c:pt>
                <c:pt idx="6">
                  <c:v>4322235.1002017409</c:v>
                </c:pt>
                <c:pt idx="7">
                  <c:v>5336058.5653050607</c:v>
                </c:pt>
                <c:pt idx="8">
                  <c:v>6404693.227316821</c:v>
                </c:pt>
                <c:pt idx="9">
                  <c:v>7530455.3054440524</c:v>
                </c:pt>
                <c:pt idx="10">
                  <c:v>8715748.9705209453</c:v>
                </c:pt>
                <c:pt idx="11">
                  <c:v>9963069.4898577221</c:v>
                </c:pt>
                <c:pt idx="12">
                  <c:v>11275006.480282187</c:v>
                </c:pt>
                <c:pt idx="13">
                  <c:v>12654247.272997433</c:v>
                </c:pt>
              </c:numCache>
            </c:numRef>
          </c:val>
          <c:extLst>
            <c:ext xmlns:c16="http://schemas.microsoft.com/office/drawing/2014/chart" uri="{C3380CC4-5D6E-409C-BE32-E72D297353CC}">
              <c16:uniqueId val="{00000001-3071-4963-B2C0-3521F4A52C9B}"/>
            </c:ext>
          </c:extLst>
        </c:ser>
        <c:ser>
          <c:idx val="2"/>
          <c:order val="4"/>
          <c:tx>
            <c:strRef>
              <c:f>Combined!$D$4</c:f>
              <c:strCache>
                <c:ptCount val="1"/>
                <c:pt idx="0">
                  <c:v>FE improvements and HEVs</c:v>
                </c:pt>
              </c:strCache>
            </c:strRef>
          </c:tx>
          <c:spPr>
            <a:solidFill>
              <a:schemeClr val="accent3"/>
            </a:solidFill>
            <a:ln>
              <a:noFill/>
            </a:ln>
            <a:effectLst/>
          </c:spPr>
          <c:cat>
            <c:numRef>
              <c:f>Combined!$B$5:$B$18</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Combined!$D$5:$D$18</c:f>
              <c:numCache>
                <c:formatCode>#,##0\ "kg CO2e"</c:formatCode>
                <c:ptCount val="14"/>
                <c:pt idx="0">
                  <c:v>0</c:v>
                </c:pt>
                <c:pt idx="1">
                  <c:v>0</c:v>
                </c:pt>
                <c:pt idx="2">
                  <c:v>0</c:v>
                </c:pt>
                <c:pt idx="3">
                  <c:v>95774.88265275021</c:v>
                </c:pt>
                <c:pt idx="4">
                  <c:v>285707.94768162409</c:v>
                </c:pt>
                <c:pt idx="5">
                  <c:v>568182.49480999378</c:v>
                </c:pt>
                <c:pt idx="6">
                  <c:v>941581.82376123138</c:v>
                </c:pt>
                <c:pt idx="7">
                  <c:v>1404289.234258709</c:v>
                </c:pt>
                <c:pt idx="8">
                  <c:v>1954688.0260257986</c:v>
                </c:pt>
                <c:pt idx="9">
                  <c:v>2591161.4987858734</c:v>
                </c:pt>
                <c:pt idx="10">
                  <c:v>3312092.9522623052</c:v>
                </c:pt>
                <c:pt idx="11">
                  <c:v>4115865.6861784658</c:v>
                </c:pt>
                <c:pt idx="12">
                  <c:v>4905088.1176049784</c:v>
                </c:pt>
                <c:pt idx="13">
                  <c:v>5679760.24654184</c:v>
                </c:pt>
              </c:numCache>
            </c:numRef>
          </c:val>
          <c:extLst>
            <c:ext xmlns:c16="http://schemas.microsoft.com/office/drawing/2014/chart" uri="{C3380CC4-5D6E-409C-BE32-E72D297353CC}">
              <c16:uniqueId val="{00000002-3071-4963-B2C0-3521F4A52C9B}"/>
            </c:ext>
          </c:extLst>
        </c:ser>
        <c:ser>
          <c:idx val="3"/>
          <c:order val="5"/>
          <c:tx>
            <c:strRef>
              <c:f>Combined!$E$4</c:f>
              <c:strCache>
                <c:ptCount val="1"/>
                <c:pt idx="0">
                  <c:v>HDV idle time reduced</c:v>
                </c:pt>
              </c:strCache>
            </c:strRef>
          </c:tx>
          <c:spPr>
            <a:solidFill>
              <a:schemeClr val="accent4"/>
            </a:solidFill>
            <a:ln>
              <a:noFill/>
            </a:ln>
            <a:effectLst/>
          </c:spPr>
          <c:cat>
            <c:numRef>
              <c:f>Combined!$B$5:$B$18</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Combined!$E$5:$E$18</c:f>
              <c:numCache>
                <c:formatCode>#,##0\ "kg CO2e"</c:formatCode>
                <c:ptCount val="14"/>
                <c:pt idx="0">
                  <c:v>0</c:v>
                </c:pt>
                <c:pt idx="1">
                  <c:v>0</c:v>
                </c:pt>
                <c:pt idx="2">
                  <c:v>628904.81298521976</c:v>
                </c:pt>
                <c:pt idx="3">
                  <c:v>1294034.5431983878</c:v>
                </c:pt>
                <c:pt idx="4">
                  <c:v>1996954.1070637521</c:v>
                </c:pt>
                <c:pt idx="5">
                  <c:v>2739288.5137962508</c:v>
                </c:pt>
                <c:pt idx="6">
                  <c:v>3522725.0287419786</c:v>
                </c:pt>
                <c:pt idx="7">
                  <c:v>4349015.4114836976</c:v>
                </c:pt>
                <c:pt idx="8">
                  <c:v>5219978.2312234985</c:v>
                </c:pt>
                <c:pt idx="9">
                  <c:v>6137501.2620374132</c:v>
                </c:pt>
                <c:pt idx="10">
                  <c:v>7103543.9606821006</c:v>
                </c:pt>
                <c:pt idx="11">
                  <c:v>8120140.029721939</c:v>
                </c:pt>
                <c:pt idx="12">
                  <c:v>9189400.0688357223</c:v>
                </c:pt>
                <c:pt idx="13">
                  <c:v>10313514.31725621</c:v>
                </c:pt>
              </c:numCache>
            </c:numRef>
          </c:val>
          <c:extLst>
            <c:ext xmlns:c16="http://schemas.microsoft.com/office/drawing/2014/chart" uri="{C3380CC4-5D6E-409C-BE32-E72D297353CC}">
              <c16:uniqueId val="{00000003-3071-4963-B2C0-3521F4A52C9B}"/>
            </c:ext>
          </c:extLst>
        </c:ser>
        <c:ser>
          <c:idx val="4"/>
          <c:order val="6"/>
          <c:tx>
            <c:strRef>
              <c:f>Combined!$F$4</c:f>
              <c:strCache>
                <c:ptCount val="1"/>
                <c:pt idx="0">
                  <c:v>Traffic signal synchronization</c:v>
                </c:pt>
              </c:strCache>
            </c:strRef>
          </c:tx>
          <c:spPr>
            <a:solidFill>
              <a:schemeClr val="accent5"/>
            </a:solidFill>
            <a:ln>
              <a:noFill/>
            </a:ln>
            <a:effectLst/>
          </c:spPr>
          <c:cat>
            <c:numRef>
              <c:f>Combined!$B$5:$B$18</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Combined!$F$5:$F$18</c:f>
              <c:numCache>
                <c:formatCode>#,##0\ "kg CO2e"</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4-3071-4963-B2C0-3521F4A52C9B}"/>
            </c:ext>
          </c:extLst>
        </c:ser>
        <c:ser>
          <c:idx val="5"/>
          <c:order val="7"/>
          <c:tx>
            <c:strRef>
              <c:f>Combined!$G$4</c:f>
              <c:strCache>
                <c:ptCount val="1"/>
                <c:pt idx="0">
                  <c:v>Electric Vehicles</c:v>
                </c:pt>
              </c:strCache>
            </c:strRef>
          </c:tx>
          <c:spPr>
            <a:solidFill>
              <a:schemeClr val="accent6"/>
            </a:solidFill>
            <a:ln>
              <a:noFill/>
            </a:ln>
            <a:effectLst/>
          </c:spPr>
          <c:cat>
            <c:numRef>
              <c:f>Combined!$B$5:$B$18</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Combined!$G$5:$G$18</c:f>
              <c:numCache>
                <c:formatCode>#,##0\ "kg CO2e"</c:formatCode>
                <c:ptCount val="14"/>
                <c:pt idx="0">
                  <c:v>0</c:v>
                </c:pt>
                <c:pt idx="1">
                  <c:v>0</c:v>
                </c:pt>
                <c:pt idx="2">
                  <c:v>15682.650030496297</c:v>
                </c:pt>
                <c:pt idx="3">
                  <c:v>37556.216876107166</c:v>
                </c:pt>
                <c:pt idx="4">
                  <c:v>57637.69291017521</c:v>
                </c:pt>
                <c:pt idx="5">
                  <c:v>78588.080674919576</c:v>
                </c:pt>
                <c:pt idx="6">
                  <c:v>100407.38017034029</c:v>
                </c:pt>
                <c:pt idx="7">
                  <c:v>123095.59139643729</c:v>
                </c:pt>
                <c:pt idx="8">
                  <c:v>146652.71435321061</c:v>
                </c:pt>
                <c:pt idx="9">
                  <c:v>171078.74904066019</c:v>
                </c:pt>
                <c:pt idx="10">
                  <c:v>196373.69545878618</c:v>
                </c:pt>
                <c:pt idx="11">
                  <c:v>222537.55360758837</c:v>
                </c:pt>
                <c:pt idx="12">
                  <c:v>249570.32348706693</c:v>
                </c:pt>
                <c:pt idx="13">
                  <c:v>277472.00509722176</c:v>
                </c:pt>
              </c:numCache>
            </c:numRef>
          </c:val>
          <c:extLst>
            <c:ext xmlns:c16="http://schemas.microsoft.com/office/drawing/2014/chart" uri="{C3380CC4-5D6E-409C-BE32-E72D297353CC}">
              <c16:uniqueId val="{00000005-3071-4963-B2C0-3521F4A52C9B}"/>
            </c:ext>
          </c:extLst>
        </c:ser>
        <c:ser>
          <c:idx val="6"/>
          <c:order val="8"/>
          <c:tx>
            <c:strRef>
              <c:f>Combined!$H$4</c:f>
              <c:strCache>
                <c:ptCount val="1"/>
                <c:pt idx="0">
                  <c:v>Biodiesel</c:v>
                </c:pt>
              </c:strCache>
            </c:strRef>
          </c:tx>
          <c:spPr>
            <a:solidFill>
              <a:schemeClr val="accent1">
                <a:lumMod val="60000"/>
              </a:schemeClr>
            </a:solidFill>
            <a:ln>
              <a:noFill/>
            </a:ln>
            <a:effectLst/>
          </c:spPr>
          <c:cat>
            <c:numRef>
              <c:f>Combined!$B$5:$B$18</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Combined!$H$5:$H$18</c:f>
              <c:numCache>
                <c:formatCode>#,##0\ "kg CO2e"</c:formatCode>
                <c:ptCount val="14"/>
                <c:pt idx="0">
                  <c:v>0</c:v>
                </c:pt>
                <c:pt idx="1">
                  <c:v>0</c:v>
                </c:pt>
                <c:pt idx="2">
                  <c:v>328546.51523188665</c:v>
                </c:pt>
                <c:pt idx="3">
                  <c:v>665276.82303258346</c:v>
                </c:pt>
                <c:pt idx="4">
                  <c:v>1010080.4742152535</c:v>
                </c:pt>
                <c:pt idx="5">
                  <c:v>1362824.961165695</c:v>
                </c:pt>
                <c:pt idx="6">
                  <c:v>1723354.282320525</c:v>
                </c:pt>
                <c:pt idx="7">
                  <c:v>2091487.4348663127</c:v>
                </c:pt>
                <c:pt idx="8">
                  <c:v>2467016.832503052</c:v>
                </c:pt>
                <c:pt idx="9">
                  <c:v>2849706.6449869629</c:v>
                </c:pt>
                <c:pt idx="10">
                  <c:v>3239291.0560342497</c:v>
                </c:pt>
                <c:pt idx="11">
                  <c:v>3635472.4360289034</c:v>
                </c:pt>
                <c:pt idx="12">
                  <c:v>4037919.425833852</c:v>
                </c:pt>
                <c:pt idx="13">
                  <c:v>4446264.9278553557</c:v>
                </c:pt>
              </c:numCache>
            </c:numRef>
          </c:val>
          <c:extLst>
            <c:ext xmlns:c16="http://schemas.microsoft.com/office/drawing/2014/chart" uri="{C3380CC4-5D6E-409C-BE32-E72D297353CC}">
              <c16:uniqueId val="{00000006-3071-4963-B2C0-3521F4A52C9B}"/>
            </c:ext>
          </c:extLst>
        </c:ser>
        <c:ser>
          <c:idx val="17"/>
          <c:order val="9"/>
          <c:tx>
            <c:strRef>
              <c:f>Combined!$S$4</c:f>
              <c:strCache>
                <c:ptCount val="1"/>
                <c:pt idx="0">
                  <c:v>RE Generation</c:v>
                </c:pt>
              </c:strCache>
            </c:strRef>
          </c:tx>
          <c:spPr>
            <a:solidFill>
              <a:schemeClr val="accent6">
                <a:lumMod val="80000"/>
                <a:lumOff val="20000"/>
              </a:schemeClr>
            </a:solidFill>
            <a:ln w="25400">
              <a:noFill/>
            </a:ln>
            <a:effectLst/>
          </c:spPr>
          <c:cat>
            <c:numRef>
              <c:f>Combined!$B$5:$B$18</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Combined!$S$5:$S$18</c:f>
              <c:numCache>
                <c:formatCode>#,##0\ "kg CO2e"</c:formatCode>
                <c:ptCount val="14"/>
                <c:pt idx="0">
                  <c:v>3823891.9176131957</c:v>
                </c:pt>
                <c:pt idx="1">
                  <c:v>11285445.296057476</c:v>
                </c:pt>
                <c:pt idx="2">
                  <c:v>18133650.410641842</c:v>
                </c:pt>
                <c:pt idx="3">
                  <c:v>24796617.709687971</c:v>
                </c:pt>
                <c:pt idx="4">
                  <c:v>25476979.457201991</c:v>
                </c:pt>
                <c:pt idx="5">
                  <c:v>26073550.773957457</c:v>
                </c:pt>
                <c:pt idx="6">
                  <c:v>26678565.601280048</c:v>
                </c:pt>
                <c:pt idx="7">
                  <c:v>27203549.357826788</c:v>
                </c:pt>
                <c:pt idx="8">
                  <c:v>29612120.336537186</c:v>
                </c:pt>
                <c:pt idx="9">
                  <c:v>32277501.069712836</c:v>
                </c:pt>
                <c:pt idx="10">
                  <c:v>35049518.151669845</c:v>
                </c:pt>
                <c:pt idx="11">
                  <c:v>37841907.31070549</c:v>
                </c:pt>
                <c:pt idx="12">
                  <c:v>40785373.319250919</c:v>
                </c:pt>
                <c:pt idx="13">
                  <c:v>43988688.709811345</c:v>
                </c:pt>
              </c:numCache>
            </c:numRef>
          </c:val>
          <c:extLst>
            <c:ext xmlns:c16="http://schemas.microsoft.com/office/drawing/2014/chart" uri="{C3380CC4-5D6E-409C-BE32-E72D297353CC}">
              <c16:uniqueId val="{00000015-3071-4963-B2C0-3521F4A52C9B}"/>
            </c:ext>
          </c:extLst>
        </c:ser>
        <c:ser>
          <c:idx val="9"/>
          <c:order val="10"/>
          <c:tx>
            <c:strRef>
              <c:f>Combined!$K$4</c:f>
              <c:strCache>
                <c:ptCount val="1"/>
                <c:pt idx="0">
                  <c:v>MEPS Impact</c:v>
                </c:pt>
              </c:strCache>
            </c:strRef>
          </c:tx>
          <c:spPr>
            <a:solidFill>
              <a:schemeClr val="accent4">
                <a:lumMod val="60000"/>
              </a:schemeClr>
            </a:solidFill>
            <a:ln>
              <a:noFill/>
            </a:ln>
            <a:effectLst/>
          </c:spPr>
          <c:cat>
            <c:numRef>
              <c:f>Combined!$B$5:$B$18</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Combined!$K$5:$K$18</c:f>
              <c:numCache>
                <c:formatCode>#,##0\ "kg CO2e"</c:formatCode>
                <c:ptCount val="14"/>
                <c:pt idx="0">
                  <c:v>0</c:v>
                </c:pt>
                <c:pt idx="1">
                  <c:v>748918.75684807566</c:v>
                </c:pt>
                <c:pt idx="2">
                  <c:v>1522422.9206316317</c:v>
                </c:pt>
                <c:pt idx="3">
                  <c:v>2357216.5946736909</c:v>
                </c:pt>
                <c:pt idx="4">
                  <c:v>3297537.7026993432</c:v>
                </c:pt>
                <c:pt idx="5">
                  <c:v>4340278.8014097502</c:v>
                </c:pt>
                <c:pt idx="6">
                  <c:v>5506979.6387575511</c:v>
                </c:pt>
                <c:pt idx="7">
                  <c:v>6799049.4370130431</c:v>
                </c:pt>
                <c:pt idx="8">
                  <c:v>7268363.9447785728</c:v>
                </c:pt>
                <c:pt idx="9">
                  <c:v>7791794.2830832284</c:v>
                </c:pt>
                <c:pt idx="10">
                  <c:v>8333721.117153178</c:v>
                </c:pt>
                <c:pt idx="11">
                  <c:v>8876164.9251409918</c:v>
                </c:pt>
                <c:pt idx="12">
                  <c:v>9447463.2975644935</c:v>
                </c:pt>
                <c:pt idx="13">
                  <c:v>10074438.988908153</c:v>
                </c:pt>
              </c:numCache>
            </c:numRef>
          </c:val>
          <c:extLst>
            <c:ext xmlns:c16="http://schemas.microsoft.com/office/drawing/2014/chart" uri="{C3380CC4-5D6E-409C-BE32-E72D297353CC}">
              <c16:uniqueId val="{00000009-3071-4963-B2C0-3521F4A52C9B}"/>
            </c:ext>
          </c:extLst>
        </c:ser>
        <c:ser>
          <c:idx val="10"/>
          <c:order val="11"/>
          <c:tx>
            <c:strRef>
              <c:f>Combined!$L$4</c:f>
              <c:strCache>
                <c:ptCount val="1"/>
                <c:pt idx="0">
                  <c:v>(Res) Space Cooling Reduc.</c:v>
                </c:pt>
              </c:strCache>
            </c:strRef>
          </c:tx>
          <c:spPr>
            <a:solidFill>
              <a:schemeClr val="accent5">
                <a:lumMod val="60000"/>
              </a:schemeClr>
            </a:solidFill>
            <a:ln>
              <a:noFill/>
            </a:ln>
            <a:effectLst/>
          </c:spPr>
          <c:cat>
            <c:numRef>
              <c:f>Combined!$B$5:$B$18</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Combined!$L$5:$L$18</c:f>
              <c:numCache>
                <c:formatCode>#,##0\ "kg CO2e"</c:formatCode>
                <c:ptCount val="14"/>
                <c:pt idx="0">
                  <c:v>0</c:v>
                </c:pt>
                <c:pt idx="1">
                  <c:v>113946.56621852936</c:v>
                </c:pt>
                <c:pt idx="2">
                  <c:v>292173.43774233002</c:v>
                </c:pt>
                <c:pt idx="3">
                  <c:v>530085.53149935754</c:v>
                </c:pt>
                <c:pt idx="4">
                  <c:v>834356.74189186608</c:v>
                </c:pt>
                <c:pt idx="5">
                  <c:v>1206540.1393191703</c:v>
                </c:pt>
                <c:pt idx="6">
                  <c:v>1650259.4383373146</c:v>
                </c:pt>
                <c:pt idx="7">
                  <c:v>2165011.4021415701</c:v>
                </c:pt>
                <c:pt idx="8">
                  <c:v>2445539.8658367367</c:v>
                </c:pt>
                <c:pt idx="9">
                  <c:v>2743556.0037209704</c:v>
                </c:pt>
                <c:pt idx="10">
                  <c:v>3046622.1291760299</c:v>
                </c:pt>
                <c:pt idx="11">
                  <c:v>3346637.3356694123</c:v>
                </c:pt>
                <c:pt idx="12">
                  <c:v>3654777.4930565259</c:v>
                </c:pt>
                <c:pt idx="13">
                  <c:v>3990800.9342257869</c:v>
                </c:pt>
              </c:numCache>
            </c:numRef>
          </c:val>
          <c:extLst>
            <c:ext xmlns:c16="http://schemas.microsoft.com/office/drawing/2014/chart" uri="{C3380CC4-5D6E-409C-BE32-E72D297353CC}">
              <c16:uniqueId val="{0000000A-3071-4963-B2C0-3521F4A52C9B}"/>
            </c:ext>
          </c:extLst>
        </c:ser>
        <c:ser>
          <c:idx val="11"/>
          <c:order val="12"/>
          <c:tx>
            <c:strRef>
              <c:f>Combined!$M$4</c:f>
              <c:strCache>
                <c:ptCount val="1"/>
                <c:pt idx="0">
                  <c:v>(Res) Applicances Reduc.</c:v>
                </c:pt>
              </c:strCache>
            </c:strRef>
          </c:tx>
          <c:spPr>
            <a:solidFill>
              <a:schemeClr val="accent6">
                <a:lumMod val="60000"/>
              </a:schemeClr>
            </a:solidFill>
            <a:ln>
              <a:noFill/>
            </a:ln>
            <a:effectLst/>
          </c:spPr>
          <c:cat>
            <c:numRef>
              <c:f>Combined!$B$5:$B$18</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Combined!$M$5:$M$18</c:f>
              <c:numCache>
                <c:formatCode>#,##0\ "kg CO2e"</c:formatCode>
                <c:ptCount val="14"/>
                <c:pt idx="0">
                  <c:v>0</c:v>
                </c:pt>
                <c:pt idx="1">
                  <c:v>315405.14956553391</c:v>
                </c:pt>
                <c:pt idx="2">
                  <c:v>649137.2786885656</c:v>
                </c:pt>
                <c:pt idx="3">
                  <c:v>1014373.727809716</c:v>
                </c:pt>
                <c:pt idx="4">
                  <c:v>1424871.9285490501</c:v>
                </c:pt>
                <c:pt idx="5">
                  <c:v>1814133.7185650202</c:v>
                </c:pt>
                <c:pt idx="6">
                  <c:v>2210134.5164588494</c:v>
                </c:pt>
                <c:pt idx="7">
                  <c:v>2624290.9501241394</c:v>
                </c:pt>
                <c:pt idx="8">
                  <c:v>2687342.9814236914</c:v>
                </c:pt>
                <c:pt idx="9">
                  <c:v>2761972.4299826594</c:v>
                </c:pt>
                <c:pt idx="10">
                  <c:v>2834154.4173650038</c:v>
                </c:pt>
                <c:pt idx="11">
                  <c:v>2897597.4788645767</c:v>
                </c:pt>
                <c:pt idx="12">
                  <c:v>2962862.1952664014</c:v>
                </c:pt>
                <c:pt idx="13">
                  <c:v>3035286.1404597168</c:v>
                </c:pt>
              </c:numCache>
            </c:numRef>
          </c:val>
          <c:extLst>
            <c:ext xmlns:c16="http://schemas.microsoft.com/office/drawing/2014/chart" uri="{C3380CC4-5D6E-409C-BE32-E72D297353CC}">
              <c16:uniqueId val="{0000000B-3071-4963-B2C0-3521F4A52C9B}"/>
            </c:ext>
          </c:extLst>
        </c:ser>
        <c:ser>
          <c:idx val="12"/>
          <c:order val="13"/>
          <c:tx>
            <c:strRef>
              <c:f>Combined!$N$4</c:f>
              <c:strCache>
                <c:ptCount val="1"/>
                <c:pt idx="0">
                  <c:v>(Res) Lighting Reduc.</c:v>
                </c:pt>
              </c:strCache>
            </c:strRef>
          </c:tx>
          <c:spPr>
            <a:solidFill>
              <a:schemeClr val="accent1">
                <a:lumMod val="80000"/>
                <a:lumOff val="20000"/>
              </a:schemeClr>
            </a:solidFill>
            <a:ln>
              <a:noFill/>
            </a:ln>
            <a:effectLst/>
          </c:spPr>
          <c:cat>
            <c:numRef>
              <c:f>Combined!$B$5:$B$18</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Combined!$N$5:$N$18</c:f>
              <c:numCache>
                <c:formatCode>#,##0\ "kg CO2e"</c:formatCode>
                <c:ptCount val="14"/>
                <c:pt idx="0">
                  <c:v>0</c:v>
                </c:pt>
                <c:pt idx="1">
                  <c:v>79689.907800227869</c:v>
                </c:pt>
                <c:pt idx="2">
                  <c:v>143175.29177849393</c:v>
                </c:pt>
                <c:pt idx="3">
                  <c:v>195848.32259055594</c:v>
                </c:pt>
                <c:pt idx="4">
                  <c:v>242491.5934514527</c:v>
                </c:pt>
                <c:pt idx="5">
                  <c:v>283201.93544074561</c:v>
                </c:pt>
                <c:pt idx="6">
                  <c:v>318056.66510881338</c:v>
                </c:pt>
                <c:pt idx="7">
                  <c:v>345990.36361225345</c:v>
                </c:pt>
                <c:pt idx="8">
                  <c:v>354579.2633677015</c:v>
                </c:pt>
                <c:pt idx="9">
                  <c:v>364740.16504204157</c:v>
                </c:pt>
                <c:pt idx="10">
                  <c:v>374624.96842906217</c:v>
                </c:pt>
                <c:pt idx="11">
                  <c:v>383401.96103217336</c:v>
                </c:pt>
                <c:pt idx="12">
                  <c:v>392514.42110072181</c:v>
                </c:pt>
                <c:pt idx="13">
                  <c:v>403931.97940034105</c:v>
                </c:pt>
              </c:numCache>
            </c:numRef>
          </c:val>
          <c:extLst>
            <c:ext xmlns:c16="http://schemas.microsoft.com/office/drawing/2014/chart" uri="{C3380CC4-5D6E-409C-BE32-E72D297353CC}">
              <c16:uniqueId val="{0000000C-3071-4963-B2C0-3521F4A52C9B}"/>
            </c:ext>
          </c:extLst>
        </c:ser>
        <c:ser>
          <c:idx val="13"/>
          <c:order val="14"/>
          <c:tx>
            <c:strRef>
              <c:f>Combined!$O$4</c:f>
              <c:strCache>
                <c:ptCount val="1"/>
                <c:pt idx="0">
                  <c:v>(Com) Space Cooling Reduc.</c:v>
                </c:pt>
              </c:strCache>
            </c:strRef>
          </c:tx>
          <c:spPr>
            <a:solidFill>
              <a:schemeClr val="accent2">
                <a:lumMod val="80000"/>
                <a:lumOff val="20000"/>
              </a:schemeClr>
            </a:solidFill>
            <a:ln>
              <a:noFill/>
            </a:ln>
            <a:effectLst/>
          </c:spPr>
          <c:cat>
            <c:numRef>
              <c:f>Combined!$B$5:$B$18</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Combined!$O$5:$O$18</c:f>
              <c:numCache>
                <c:formatCode>#,##0\ "kg CO2e"</c:formatCode>
                <c:ptCount val="14"/>
                <c:pt idx="0">
                  <c:v>0</c:v>
                </c:pt>
                <c:pt idx="1">
                  <c:v>1008652.4174384575</c:v>
                </c:pt>
                <c:pt idx="2">
                  <c:v>2046907.4310399657</c:v>
                </c:pt>
                <c:pt idx="3">
                  <c:v>3161583.0550745069</c:v>
                </c:pt>
                <c:pt idx="4">
                  <c:v>4400433.4036633782</c:v>
                </c:pt>
                <c:pt idx="5">
                  <c:v>5741288.0160065452</c:v>
                </c:pt>
                <c:pt idx="6">
                  <c:v>7220396.8458547872</c:v>
                </c:pt>
                <c:pt idx="7">
                  <c:v>8838388.3809009977</c:v>
                </c:pt>
                <c:pt idx="8">
                  <c:v>9327748.1335056275</c:v>
                </c:pt>
                <c:pt idx="9">
                  <c:v>9867291.8291746862</c:v>
                </c:pt>
                <c:pt idx="10">
                  <c:v>10406774.336511675</c:v>
                </c:pt>
                <c:pt idx="11">
                  <c:v>10920702.120909031</c:v>
                </c:pt>
                <c:pt idx="12">
                  <c:v>11448866.503159637</c:v>
                </c:pt>
                <c:pt idx="13">
                  <c:v>12022917.400559844</c:v>
                </c:pt>
              </c:numCache>
            </c:numRef>
          </c:val>
          <c:extLst>
            <c:ext xmlns:c16="http://schemas.microsoft.com/office/drawing/2014/chart" uri="{C3380CC4-5D6E-409C-BE32-E72D297353CC}">
              <c16:uniqueId val="{0000000D-3071-4963-B2C0-3521F4A52C9B}"/>
            </c:ext>
          </c:extLst>
        </c:ser>
        <c:ser>
          <c:idx val="14"/>
          <c:order val="15"/>
          <c:tx>
            <c:strRef>
              <c:f>Combined!$P$4</c:f>
              <c:strCache>
                <c:ptCount val="1"/>
                <c:pt idx="0">
                  <c:v>(Com) Lighting Reduc.</c:v>
                </c:pt>
              </c:strCache>
            </c:strRef>
          </c:tx>
          <c:spPr>
            <a:solidFill>
              <a:schemeClr val="accent3">
                <a:lumMod val="80000"/>
                <a:lumOff val="20000"/>
              </a:schemeClr>
            </a:solidFill>
            <a:ln w="25400">
              <a:noFill/>
            </a:ln>
            <a:effectLst/>
          </c:spPr>
          <c:cat>
            <c:numRef>
              <c:f>Combined!$B$5:$B$18</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Combined!$P$5:$P$18</c:f>
              <c:numCache>
                <c:formatCode>#,##0\ "kg CO2e"</c:formatCode>
                <c:ptCount val="14"/>
                <c:pt idx="0">
                  <c:v>0</c:v>
                </c:pt>
                <c:pt idx="1">
                  <c:v>87756.618205316743</c:v>
                </c:pt>
                <c:pt idx="2">
                  <c:v>167944.95586502441</c:v>
                </c:pt>
                <c:pt idx="3">
                  <c:v>243612.10747668336</c:v>
                </c:pt>
                <c:pt idx="4">
                  <c:v>316921.2032433126</c:v>
                </c:pt>
                <c:pt idx="5">
                  <c:v>384365.03443381249</c:v>
                </c:pt>
                <c:pt idx="6">
                  <c:v>446470.31147133338</c:v>
                </c:pt>
                <c:pt idx="7">
                  <c:v>500970.27959008451</c:v>
                </c:pt>
                <c:pt idx="8">
                  <c:v>528707.7676384974</c:v>
                </c:pt>
                <c:pt idx="9">
                  <c:v>559289.74077904026</c:v>
                </c:pt>
                <c:pt idx="10">
                  <c:v>589868.24569274008</c:v>
                </c:pt>
                <c:pt idx="11">
                  <c:v>618998.27876472066</c:v>
                </c:pt>
                <c:pt idx="12">
                  <c:v>648935.25899715489</c:v>
                </c:pt>
                <c:pt idx="13">
                  <c:v>681473.14103806717</c:v>
                </c:pt>
              </c:numCache>
            </c:numRef>
          </c:val>
          <c:extLst>
            <c:ext xmlns:c16="http://schemas.microsoft.com/office/drawing/2014/chart" uri="{C3380CC4-5D6E-409C-BE32-E72D297353CC}">
              <c16:uniqueId val="{00000012-3071-4963-B2C0-3521F4A52C9B}"/>
            </c:ext>
          </c:extLst>
        </c:ser>
        <c:ser>
          <c:idx val="15"/>
          <c:order val="16"/>
          <c:tx>
            <c:strRef>
              <c:f>Combined!$Q$4</c:f>
              <c:strCache>
                <c:ptCount val="1"/>
                <c:pt idx="0">
                  <c:v>(Com) Office Equipment Reduc.</c:v>
                </c:pt>
              </c:strCache>
            </c:strRef>
          </c:tx>
          <c:spPr>
            <a:solidFill>
              <a:schemeClr val="accent4">
                <a:lumMod val="80000"/>
                <a:lumOff val="20000"/>
              </a:schemeClr>
            </a:solidFill>
            <a:ln w="25400">
              <a:noFill/>
            </a:ln>
            <a:effectLst/>
          </c:spPr>
          <c:cat>
            <c:numRef>
              <c:f>Combined!$B$5:$B$18</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Combined!$Q$5:$Q$18</c:f>
              <c:numCache>
                <c:formatCode>#,##0\ "kg CO2e"</c:formatCode>
                <c:ptCount val="14"/>
                <c:pt idx="0">
                  <c:v>0</c:v>
                </c:pt>
                <c:pt idx="1">
                  <c:v>90267.534225538941</c:v>
                </c:pt>
                <c:pt idx="2">
                  <c:v>184366.70417066762</c:v>
                </c:pt>
                <c:pt idx="3">
                  <c:v>286607.02788773488</c:v>
                </c:pt>
                <c:pt idx="4">
                  <c:v>401494.3299253516</c:v>
                </c:pt>
                <c:pt idx="5">
                  <c:v>527228.47707243776</c:v>
                </c:pt>
                <c:pt idx="6">
                  <c:v>667359.82779324625</c:v>
                </c:pt>
                <c:pt idx="7">
                  <c:v>822215.22337860835</c:v>
                </c:pt>
                <c:pt idx="8">
                  <c:v>867739.25117193093</c:v>
                </c:pt>
                <c:pt idx="9">
                  <c:v>917931.77735868329</c:v>
                </c:pt>
                <c:pt idx="10">
                  <c:v>968118.61133369303</c:v>
                </c:pt>
                <c:pt idx="11">
                  <c:v>1015928.1473981927</c:v>
                </c:pt>
                <c:pt idx="12">
                  <c:v>1065062.0818687822</c:v>
                </c:pt>
                <c:pt idx="13">
                  <c:v>1118464.7347615359</c:v>
                </c:pt>
              </c:numCache>
            </c:numRef>
          </c:val>
          <c:extLst>
            <c:ext xmlns:c16="http://schemas.microsoft.com/office/drawing/2014/chart" uri="{C3380CC4-5D6E-409C-BE32-E72D297353CC}">
              <c16:uniqueId val="{00000013-3071-4963-B2C0-3521F4A52C9B}"/>
            </c:ext>
          </c:extLst>
        </c:ser>
        <c:ser>
          <c:idx val="16"/>
          <c:order val="17"/>
          <c:tx>
            <c:strRef>
              <c:f>Combined!$R$4</c:f>
              <c:strCache>
                <c:ptCount val="1"/>
                <c:pt idx="0">
                  <c:v>Streetlight Reduc.</c:v>
                </c:pt>
              </c:strCache>
            </c:strRef>
          </c:tx>
          <c:spPr>
            <a:solidFill>
              <a:schemeClr val="accent5">
                <a:lumMod val="80000"/>
                <a:lumOff val="20000"/>
              </a:schemeClr>
            </a:solidFill>
            <a:ln w="25400">
              <a:noFill/>
            </a:ln>
            <a:effectLst/>
          </c:spPr>
          <c:cat>
            <c:numRef>
              <c:f>Combined!$B$5:$B$18</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Combined!$R$5:$R$18</c:f>
              <c:numCache>
                <c:formatCode>#,##0\ "kg CO2e"</c:formatCode>
                <c:ptCount val="14"/>
                <c:pt idx="0">
                  <c:v>0</c:v>
                </c:pt>
                <c:pt idx="1">
                  <c:v>165973.74237833536</c:v>
                </c:pt>
                <c:pt idx="2">
                  <c:v>328140.49975858326</c:v>
                </c:pt>
                <c:pt idx="3">
                  <c:v>489439.5817307551</c:v>
                </c:pt>
                <c:pt idx="4">
                  <c:v>652586.10897434026</c:v>
                </c:pt>
                <c:pt idx="5">
                  <c:v>815732.63621792535</c:v>
                </c:pt>
                <c:pt idx="6">
                  <c:v>978879.16346151021</c:v>
                </c:pt>
                <c:pt idx="7">
                  <c:v>1142025.6907050954</c:v>
                </c:pt>
                <c:pt idx="8">
                  <c:v>1142025.6907050957</c:v>
                </c:pt>
                <c:pt idx="9">
                  <c:v>1142025.6907050957</c:v>
                </c:pt>
                <c:pt idx="10">
                  <c:v>1142025.6907050957</c:v>
                </c:pt>
                <c:pt idx="11">
                  <c:v>1142025.6907050957</c:v>
                </c:pt>
                <c:pt idx="12">
                  <c:v>1142025.6907050957</c:v>
                </c:pt>
                <c:pt idx="13">
                  <c:v>1142025.6907050957</c:v>
                </c:pt>
              </c:numCache>
            </c:numRef>
          </c:val>
          <c:extLst>
            <c:ext xmlns:c16="http://schemas.microsoft.com/office/drawing/2014/chart" uri="{C3380CC4-5D6E-409C-BE32-E72D297353CC}">
              <c16:uniqueId val="{00000014-3071-4963-B2C0-3521F4A52C9B}"/>
            </c:ext>
          </c:extLst>
        </c:ser>
        <c:dLbls>
          <c:showLegendKey val="0"/>
          <c:showVal val="0"/>
          <c:showCatName val="0"/>
          <c:showSerName val="0"/>
          <c:showPercent val="0"/>
          <c:showBubbleSize val="0"/>
        </c:dLbls>
        <c:axId val="726155568"/>
        <c:axId val="726156552"/>
      </c:areaChart>
      <c:catAx>
        <c:axId val="72615556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26156552"/>
        <c:crosses val="autoZero"/>
        <c:auto val="1"/>
        <c:lblAlgn val="ctr"/>
        <c:lblOffset val="100"/>
        <c:noMultiLvlLbl val="0"/>
      </c:catAx>
      <c:valAx>
        <c:axId val="7261565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Thousand Metric Tonnes CO2e</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26155568"/>
        <c:crosses val="autoZero"/>
        <c:crossBetween val="midCat"/>
        <c:dispUnits>
          <c:builtInUnit val="millions"/>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Tonga Transportation GHG Reductions</a:t>
            </a:r>
          </a:p>
        </c:rich>
      </c:tx>
      <c:layout>
        <c:manualLayout>
          <c:xMode val="edge"/>
          <c:yMode val="edge"/>
          <c:x val="0.33698792115271303"/>
          <c:y val="1.6544598591842687E-2"/>
        </c:manualLayout>
      </c:layout>
      <c:overlay val="0"/>
    </c:title>
    <c:autoTitleDeleted val="0"/>
    <c:plotArea>
      <c:layout/>
      <c:areaChart>
        <c:grouping val="stacked"/>
        <c:varyColors val="0"/>
        <c:ser>
          <c:idx val="0"/>
          <c:order val="0"/>
          <c:tx>
            <c:strRef>
              <c:f>Transportation!$A$62</c:f>
              <c:strCache>
                <c:ptCount val="1"/>
                <c:pt idx="0">
                  <c:v>Gasoline Use</c:v>
                </c:pt>
              </c:strCache>
            </c:strRef>
          </c:tx>
          <c:spPr>
            <a:solidFill>
              <a:schemeClr val="tx1">
                <a:lumMod val="65000"/>
                <a:lumOff val="35000"/>
              </a:schemeClr>
            </a:solidFill>
            <a:ln w="25400">
              <a:noFill/>
            </a:ln>
          </c:spPr>
          <c:cat>
            <c:numRef>
              <c:extLst>
                <c:ext xmlns:c15="http://schemas.microsoft.com/office/drawing/2012/chart" uri="{02D57815-91ED-43cb-92C2-25804820EDAC}">
                  <c15:fullRef>
                    <c15:sqref>Transportation!$B$54:$T$54</c15:sqref>
                  </c15:fullRef>
                </c:ext>
              </c:extLst>
              <c:f>Transportation!$E$54:$T$54</c:f>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extLst>
                <c:ext xmlns:c15="http://schemas.microsoft.com/office/drawing/2012/chart" uri="{02D57815-91ED-43cb-92C2-25804820EDAC}">
                  <c15:fullRef>
                    <c15:sqref>Transportation!$B$62:$T$62</c15:sqref>
                  </c15:fullRef>
                </c:ext>
              </c:extLst>
              <c:f>Transportation!$E$62:$T$62</c:f>
              <c:numCache>
                <c:formatCode>_(* #,##0_);_(* \(#,##0\);_(* "-"??_);_(@_)</c:formatCode>
                <c:ptCount val="16"/>
                <c:pt idx="0">
                  <c:v>41493746.45043093</c:v>
                </c:pt>
                <c:pt idx="1">
                  <c:v>42688766.348203339</c:v>
                </c:pt>
                <c:pt idx="2">
                  <c:v>43918202.819031596</c:v>
                </c:pt>
                <c:pt idx="3">
                  <c:v>45183047.060219705</c:v>
                </c:pt>
                <c:pt idx="4">
                  <c:v>45696996.473185338</c:v>
                </c:pt>
                <c:pt idx="5">
                  <c:v>46102010.266958058</c:v>
                </c:pt>
                <c:pt idx="6">
                  <c:v>46406847.389806651</c:v>
                </c:pt>
                <c:pt idx="7">
                  <c:v>46609580.133123361</c:v>
                </c:pt>
                <c:pt idx="8">
                  <c:v>46710897.385044277</c:v>
                </c:pt>
                <c:pt idx="9">
                  <c:v>46711441.802865691</c:v>
                </c:pt>
                <c:pt idx="10">
                  <c:v>46611807.91971226</c:v>
                </c:pt>
                <c:pt idx="11">
                  <c:v>46412540.18049486</c:v>
                </c:pt>
                <c:pt idx="12">
                  <c:v>46114130.904655851</c:v>
                </c:pt>
                <c:pt idx="13">
                  <c:v>45717018.173113585</c:v>
                </c:pt>
                <c:pt idx="14">
                  <c:v>45317358.519382536</c:v>
                </c:pt>
                <c:pt idx="15">
                  <c:v>44913858.191214077</c:v>
                </c:pt>
              </c:numCache>
            </c:numRef>
          </c:val>
          <c:extLst>
            <c:ext xmlns:c16="http://schemas.microsoft.com/office/drawing/2014/chart" uri="{C3380CC4-5D6E-409C-BE32-E72D297353CC}">
              <c16:uniqueId val="{00000000-DBED-449A-BFC8-0FBEB28D7CE9}"/>
            </c:ext>
          </c:extLst>
        </c:ser>
        <c:ser>
          <c:idx val="6"/>
          <c:order val="1"/>
          <c:tx>
            <c:strRef>
              <c:f>Transportation!$A$61</c:f>
              <c:strCache>
                <c:ptCount val="1"/>
                <c:pt idx="0">
                  <c:v>Diesel Use</c:v>
                </c:pt>
              </c:strCache>
            </c:strRef>
          </c:tx>
          <c:spPr>
            <a:solidFill>
              <a:schemeClr val="bg1">
                <a:lumMod val="50000"/>
              </a:schemeClr>
            </a:solidFill>
          </c:spPr>
          <c:cat>
            <c:numRef>
              <c:extLst>
                <c:ext xmlns:c15="http://schemas.microsoft.com/office/drawing/2012/chart" uri="{02D57815-91ED-43cb-92C2-25804820EDAC}">
                  <c15:fullRef>
                    <c15:sqref>Transportation!$B$54:$T$54</c15:sqref>
                  </c15:fullRef>
                </c:ext>
              </c:extLst>
              <c:f>Transportation!$E$54:$T$54</c:f>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extLst>
                <c:ext xmlns:c15="http://schemas.microsoft.com/office/drawing/2012/chart" uri="{02D57815-91ED-43cb-92C2-25804820EDAC}">
                  <c15:fullRef>
                    <c15:sqref>Transportation!$B$61:$T$61</c15:sqref>
                  </c15:fullRef>
                </c:ext>
              </c:extLst>
              <c:f>Transportation!$E$61:$T$61</c:f>
              <c:numCache>
                <c:formatCode>_(* #,##0_);_(* \(#,##0\);_(* "-"??_);_(@_)</c:formatCode>
                <c:ptCount val="16"/>
                <c:pt idx="0">
                  <c:v>35895559.955207214</c:v>
                </c:pt>
                <c:pt idx="1">
                  <c:v>36929352.081917182</c:v>
                </c:pt>
                <c:pt idx="2">
                  <c:v>37992917.421876401</c:v>
                </c:pt>
                <c:pt idx="3">
                  <c:v>39087113.443626441</c:v>
                </c:pt>
                <c:pt idx="4">
                  <c:v>39255370.98258578</c:v>
                </c:pt>
                <c:pt idx="5">
                  <c:v>39411640.227123037</c:v>
                </c:pt>
                <c:pt idx="6">
                  <c:v>39555400.417963602</c:v>
                </c:pt>
                <c:pt idx="7">
                  <c:v>39686119.652258843</c:v>
                </c:pt>
                <c:pt idx="8">
                  <c:v>39803254.930222243</c:v>
                </c:pt>
                <c:pt idx="9">
                  <c:v>39906252.221083738</c:v>
                </c:pt>
                <c:pt idx="10">
                  <c:v>39994546.549649291</c:v>
                </c:pt>
                <c:pt idx="11">
                  <c:v>40067562.10481669</c:v>
                </c:pt>
                <c:pt idx="12">
                  <c:v>40124712.371465743</c:v>
                </c:pt>
                <c:pt idx="13">
                  <c:v>40165400.287210897</c:v>
                </c:pt>
                <c:pt idx="14">
                  <c:v>40189018.425577462</c:v>
                </c:pt>
                <c:pt idx="15">
                  <c:v>40194949.207238577</c:v>
                </c:pt>
              </c:numCache>
            </c:numRef>
          </c:val>
          <c:extLst>
            <c:ext xmlns:c16="http://schemas.microsoft.com/office/drawing/2014/chart" uri="{C3380CC4-5D6E-409C-BE32-E72D297353CC}">
              <c16:uniqueId val="{00000007-DEC1-45CE-AC58-6110E3278A76}"/>
            </c:ext>
          </c:extLst>
        </c:ser>
        <c:ser>
          <c:idx val="8"/>
          <c:order val="2"/>
          <c:tx>
            <c:strRef>
              <c:f>Transportation!$A$55</c:f>
              <c:strCache>
                <c:ptCount val="1"/>
                <c:pt idx="0">
                  <c:v>VKT Reduction Projects</c:v>
                </c:pt>
              </c:strCache>
            </c:strRef>
          </c:tx>
          <c:spPr>
            <a:solidFill>
              <a:schemeClr val="accent2">
                <a:lumMod val="75000"/>
              </a:schemeClr>
            </a:solidFill>
          </c:spPr>
          <c:cat>
            <c:numRef>
              <c:extLst>
                <c:ext xmlns:c15="http://schemas.microsoft.com/office/drawing/2012/chart" uri="{02D57815-91ED-43cb-92C2-25804820EDAC}">
                  <c15:fullRef>
                    <c15:sqref>Transportation!$B$54:$T$54</c15:sqref>
                  </c15:fullRef>
                </c:ext>
              </c:extLst>
              <c:f>Transportation!$E$54:$T$54</c:f>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extLst>
                <c:ext xmlns:c15="http://schemas.microsoft.com/office/drawing/2012/chart" uri="{02D57815-91ED-43cb-92C2-25804820EDAC}">
                  <c15:fullRef>
                    <c15:sqref>Transportation!$B$55:$T$55</c15:sqref>
                  </c15:fullRef>
                </c:ext>
              </c:extLst>
              <c:f>Transportation!$E$55:$T$55</c:f>
              <c:numCache>
                <c:formatCode>_(* #,##0_);_(* \(#,##0\);_(* "-"??_);_(@_)</c:formatCode>
                <c:ptCount val="16"/>
                <c:pt idx="0">
                  <c:v>0</c:v>
                </c:pt>
                <c:pt idx="1">
                  <c:v>0</c:v>
                </c:pt>
                <c:pt idx="2">
                  <c:v>0</c:v>
                </c:pt>
                <c:pt idx="3">
                  <c:v>0</c:v>
                </c:pt>
                <c:pt idx="4">
                  <c:v>771639.69233819691</c:v>
                </c:pt>
                <c:pt idx="5">
                  <c:v>1587725.8309550744</c:v>
                </c:pt>
                <c:pt idx="6">
                  <c:v>2450178.5023298706</c:v>
                </c:pt>
                <c:pt idx="7">
                  <c:v>3360991.5242626285</c:v>
                </c:pt>
                <c:pt idx="8">
                  <c:v>4322235.1002017409</c:v>
                </c:pt>
                <c:pt idx="9">
                  <c:v>5336058.5653050607</c:v>
                </c:pt>
                <c:pt idx="10">
                  <c:v>6404693.227316821</c:v>
                </c:pt>
                <c:pt idx="11">
                  <c:v>7530455.3054440524</c:v>
                </c:pt>
                <c:pt idx="12">
                  <c:v>8715748.9705209453</c:v>
                </c:pt>
                <c:pt idx="13">
                  <c:v>9963069.4898577221</c:v>
                </c:pt>
                <c:pt idx="14">
                  <c:v>11275006.480282187</c:v>
                </c:pt>
                <c:pt idx="15">
                  <c:v>12654247.272997433</c:v>
                </c:pt>
              </c:numCache>
            </c:numRef>
          </c:val>
          <c:extLst>
            <c:ext xmlns:c16="http://schemas.microsoft.com/office/drawing/2014/chart" uri="{C3380CC4-5D6E-409C-BE32-E72D297353CC}">
              <c16:uniqueId val="{00000001-DEC1-45CE-AC58-6110E3278A76}"/>
            </c:ext>
          </c:extLst>
        </c:ser>
        <c:ser>
          <c:idx val="1"/>
          <c:order val="3"/>
          <c:tx>
            <c:strRef>
              <c:f>Transportation!$A$56</c:f>
              <c:strCache>
                <c:ptCount val="1"/>
                <c:pt idx="0">
                  <c:v>FE improvements and HEVs</c:v>
                </c:pt>
              </c:strCache>
            </c:strRef>
          </c:tx>
          <c:spPr>
            <a:solidFill>
              <a:schemeClr val="accent3">
                <a:lumMod val="75000"/>
              </a:schemeClr>
            </a:solidFill>
          </c:spPr>
          <c:cat>
            <c:numRef>
              <c:extLst>
                <c:ext xmlns:c15="http://schemas.microsoft.com/office/drawing/2012/chart" uri="{02D57815-91ED-43cb-92C2-25804820EDAC}">
                  <c15:fullRef>
                    <c15:sqref>Transportation!$B$54:$T$54</c15:sqref>
                  </c15:fullRef>
                </c:ext>
              </c:extLst>
              <c:f>Transportation!$E$54:$T$54</c:f>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extLst>
                <c:ext xmlns:c15="http://schemas.microsoft.com/office/drawing/2012/chart" uri="{02D57815-91ED-43cb-92C2-25804820EDAC}">
                  <c15:fullRef>
                    <c15:sqref>Transportation!$B$56:$T$56</c15:sqref>
                  </c15:fullRef>
                </c:ext>
              </c:extLst>
              <c:f>Transportation!$E$56:$T$56</c:f>
              <c:numCache>
                <c:formatCode>_(* #,##0_);_(* \(#,##0\);_(* "-"??_);_(@_)</c:formatCode>
                <c:ptCount val="16"/>
                <c:pt idx="0">
                  <c:v>0</c:v>
                </c:pt>
                <c:pt idx="1">
                  <c:v>0</c:v>
                </c:pt>
                <c:pt idx="2">
                  <c:v>0</c:v>
                </c:pt>
                <c:pt idx="3">
                  <c:v>0</c:v>
                </c:pt>
                <c:pt idx="4">
                  <c:v>0</c:v>
                </c:pt>
                <c:pt idx="5">
                  <c:v>95774.88265275021</c:v>
                </c:pt>
                <c:pt idx="6">
                  <c:v>285707.94768162409</c:v>
                </c:pt>
                <c:pt idx="7">
                  <c:v>568182.49480999378</c:v>
                </c:pt>
                <c:pt idx="8">
                  <c:v>941581.82376123138</c:v>
                </c:pt>
                <c:pt idx="9">
                  <c:v>1404289.234258709</c:v>
                </c:pt>
                <c:pt idx="10">
                  <c:v>1954688.0260257986</c:v>
                </c:pt>
                <c:pt idx="11">
                  <c:v>2591161.4987858734</c:v>
                </c:pt>
                <c:pt idx="12">
                  <c:v>3312092.9522623052</c:v>
                </c:pt>
                <c:pt idx="13">
                  <c:v>4115865.6861784658</c:v>
                </c:pt>
                <c:pt idx="14">
                  <c:v>4905088.1176049784</c:v>
                </c:pt>
                <c:pt idx="15">
                  <c:v>5679760.24654184</c:v>
                </c:pt>
              </c:numCache>
            </c:numRef>
          </c:val>
          <c:extLst>
            <c:ext xmlns:c16="http://schemas.microsoft.com/office/drawing/2014/chart" uri="{C3380CC4-5D6E-409C-BE32-E72D297353CC}">
              <c16:uniqueId val="{00000002-DEC1-45CE-AC58-6110E3278A76}"/>
            </c:ext>
          </c:extLst>
        </c:ser>
        <c:ser>
          <c:idx val="2"/>
          <c:order val="4"/>
          <c:tx>
            <c:strRef>
              <c:f>Transportation!$A$57</c:f>
              <c:strCache>
                <c:ptCount val="1"/>
                <c:pt idx="0">
                  <c:v>HDV idle time reduced</c:v>
                </c:pt>
              </c:strCache>
            </c:strRef>
          </c:tx>
          <c:spPr>
            <a:solidFill>
              <a:schemeClr val="accent4">
                <a:lumMod val="75000"/>
              </a:schemeClr>
            </a:solidFill>
          </c:spPr>
          <c:cat>
            <c:numRef>
              <c:extLst>
                <c:ext xmlns:c15="http://schemas.microsoft.com/office/drawing/2012/chart" uri="{02D57815-91ED-43cb-92C2-25804820EDAC}">
                  <c15:fullRef>
                    <c15:sqref>Transportation!$B$54:$T$54</c15:sqref>
                  </c15:fullRef>
                </c:ext>
              </c:extLst>
              <c:f>Transportation!$E$54:$T$54</c:f>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extLst>
                <c:ext xmlns:c15="http://schemas.microsoft.com/office/drawing/2012/chart" uri="{02D57815-91ED-43cb-92C2-25804820EDAC}">
                  <c15:fullRef>
                    <c15:sqref>Transportation!$B$57:$T$57</c15:sqref>
                  </c15:fullRef>
                </c:ext>
              </c:extLst>
              <c:f>Transportation!$E$57:$T$57</c:f>
              <c:numCache>
                <c:formatCode>_(* #,##0_);_(* \(#,##0\);_(* "-"??_);_(@_)</c:formatCode>
                <c:ptCount val="16"/>
                <c:pt idx="0">
                  <c:v>0</c:v>
                </c:pt>
                <c:pt idx="1">
                  <c:v>0</c:v>
                </c:pt>
                <c:pt idx="2">
                  <c:v>0</c:v>
                </c:pt>
                <c:pt idx="3">
                  <c:v>0</c:v>
                </c:pt>
                <c:pt idx="4">
                  <c:v>628904.81298521976</c:v>
                </c:pt>
                <c:pt idx="5">
                  <c:v>1294034.5431983878</c:v>
                </c:pt>
                <c:pt idx="6">
                  <c:v>1996954.1070637521</c:v>
                </c:pt>
                <c:pt idx="7">
                  <c:v>2739288.5137962508</c:v>
                </c:pt>
                <c:pt idx="8">
                  <c:v>3522725.0287419786</c:v>
                </c:pt>
                <c:pt idx="9">
                  <c:v>4349015.4114836976</c:v>
                </c:pt>
                <c:pt idx="10">
                  <c:v>5219978.2312234985</c:v>
                </c:pt>
                <c:pt idx="11">
                  <c:v>6137501.2620374132</c:v>
                </c:pt>
                <c:pt idx="12">
                  <c:v>7103543.9606821006</c:v>
                </c:pt>
                <c:pt idx="13">
                  <c:v>8120140.029721939</c:v>
                </c:pt>
                <c:pt idx="14">
                  <c:v>9189400.0688357223</c:v>
                </c:pt>
                <c:pt idx="15">
                  <c:v>10313514.31725621</c:v>
                </c:pt>
              </c:numCache>
            </c:numRef>
          </c:val>
          <c:extLst>
            <c:ext xmlns:c16="http://schemas.microsoft.com/office/drawing/2014/chart" uri="{C3380CC4-5D6E-409C-BE32-E72D297353CC}">
              <c16:uniqueId val="{00000003-DEC1-45CE-AC58-6110E3278A76}"/>
            </c:ext>
          </c:extLst>
        </c:ser>
        <c:ser>
          <c:idx val="4"/>
          <c:order val="6"/>
          <c:tx>
            <c:strRef>
              <c:f>Transportation!$A$59</c:f>
              <c:strCache>
                <c:ptCount val="1"/>
                <c:pt idx="0">
                  <c:v>Electric Vehicles</c:v>
                </c:pt>
              </c:strCache>
            </c:strRef>
          </c:tx>
          <c:spPr>
            <a:solidFill>
              <a:schemeClr val="accent6"/>
            </a:solidFill>
          </c:spPr>
          <c:cat>
            <c:numRef>
              <c:extLst>
                <c:ext xmlns:c15="http://schemas.microsoft.com/office/drawing/2012/chart" uri="{02D57815-91ED-43cb-92C2-25804820EDAC}">
                  <c15:fullRef>
                    <c15:sqref>Transportation!$B$54:$T$54</c15:sqref>
                  </c15:fullRef>
                </c:ext>
              </c:extLst>
              <c:f>Transportation!$E$54:$T$54</c:f>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extLst>
                <c:ext xmlns:c15="http://schemas.microsoft.com/office/drawing/2012/chart" uri="{02D57815-91ED-43cb-92C2-25804820EDAC}">
                  <c15:fullRef>
                    <c15:sqref>Transportation!$B$59:$T$59</c15:sqref>
                  </c15:fullRef>
                </c:ext>
              </c:extLst>
              <c:f>Transportation!$E$59:$T$59</c:f>
              <c:numCache>
                <c:formatCode>_(* #,##0_);_(* \(#,##0\);_(* "-"??_);_(@_)</c:formatCode>
                <c:ptCount val="16"/>
                <c:pt idx="0">
                  <c:v>0</c:v>
                </c:pt>
                <c:pt idx="1">
                  <c:v>0</c:v>
                </c:pt>
                <c:pt idx="2">
                  <c:v>0</c:v>
                </c:pt>
                <c:pt idx="3">
                  <c:v>0</c:v>
                </c:pt>
                <c:pt idx="4">
                  <c:v>15682.650030496297</c:v>
                </c:pt>
                <c:pt idx="5">
                  <c:v>37556.216876107166</c:v>
                </c:pt>
                <c:pt idx="6">
                  <c:v>57637.69291017521</c:v>
                </c:pt>
                <c:pt idx="7">
                  <c:v>78588.080674919576</c:v>
                </c:pt>
                <c:pt idx="8">
                  <c:v>100407.38017034029</c:v>
                </c:pt>
                <c:pt idx="9">
                  <c:v>123095.59139643729</c:v>
                </c:pt>
                <c:pt idx="10">
                  <c:v>146652.71435321061</c:v>
                </c:pt>
                <c:pt idx="11">
                  <c:v>171078.74904066019</c:v>
                </c:pt>
                <c:pt idx="12">
                  <c:v>196373.69545878618</c:v>
                </c:pt>
                <c:pt idx="13">
                  <c:v>222537.55360758837</c:v>
                </c:pt>
                <c:pt idx="14">
                  <c:v>249570.32348706693</c:v>
                </c:pt>
                <c:pt idx="15">
                  <c:v>277472.00509722176</c:v>
                </c:pt>
              </c:numCache>
            </c:numRef>
          </c:val>
          <c:extLst>
            <c:ext xmlns:c16="http://schemas.microsoft.com/office/drawing/2014/chart" uri="{C3380CC4-5D6E-409C-BE32-E72D297353CC}">
              <c16:uniqueId val="{00000005-DEC1-45CE-AC58-6110E3278A76}"/>
            </c:ext>
          </c:extLst>
        </c:ser>
        <c:ser>
          <c:idx val="5"/>
          <c:order val="7"/>
          <c:tx>
            <c:strRef>
              <c:f>Transportation!$A$60</c:f>
              <c:strCache>
                <c:ptCount val="1"/>
                <c:pt idx="0">
                  <c:v>Biodiesel</c:v>
                </c:pt>
              </c:strCache>
            </c:strRef>
          </c:tx>
          <c:spPr>
            <a:solidFill>
              <a:schemeClr val="accent1">
                <a:lumMod val="40000"/>
                <a:lumOff val="60000"/>
              </a:schemeClr>
            </a:solidFill>
          </c:spPr>
          <c:cat>
            <c:numRef>
              <c:extLst>
                <c:ext xmlns:c15="http://schemas.microsoft.com/office/drawing/2012/chart" uri="{02D57815-91ED-43cb-92C2-25804820EDAC}">
                  <c15:fullRef>
                    <c15:sqref>Transportation!$B$54:$T$54</c15:sqref>
                  </c15:fullRef>
                </c:ext>
              </c:extLst>
              <c:f>Transportation!$E$54:$T$54</c:f>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extLst>
                <c:ext xmlns:c15="http://schemas.microsoft.com/office/drawing/2012/chart" uri="{02D57815-91ED-43cb-92C2-25804820EDAC}">
                  <c15:fullRef>
                    <c15:sqref>Transportation!$B$60:$T$60</c15:sqref>
                  </c15:fullRef>
                </c:ext>
              </c:extLst>
              <c:f>Transportation!$E$60:$T$60</c:f>
              <c:numCache>
                <c:formatCode>_(* #,##0_);_(* \(#,##0\);_(* "-"??_);_(@_)</c:formatCode>
                <c:ptCount val="16"/>
                <c:pt idx="0">
                  <c:v>0</c:v>
                </c:pt>
                <c:pt idx="1">
                  <c:v>0</c:v>
                </c:pt>
                <c:pt idx="2">
                  <c:v>0</c:v>
                </c:pt>
                <c:pt idx="3">
                  <c:v>0</c:v>
                </c:pt>
                <c:pt idx="4">
                  <c:v>328546.51523188665</c:v>
                </c:pt>
                <c:pt idx="5">
                  <c:v>665276.82303258346</c:v>
                </c:pt>
                <c:pt idx="6">
                  <c:v>1010080.4742152535</c:v>
                </c:pt>
                <c:pt idx="7">
                  <c:v>1362824.961165695</c:v>
                </c:pt>
                <c:pt idx="8">
                  <c:v>1723354.282320525</c:v>
                </c:pt>
                <c:pt idx="9">
                  <c:v>2091487.4348663127</c:v>
                </c:pt>
                <c:pt idx="10">
                  <c:v>2467016.832503052</c:v>
                </c:pt>
                <c:pt idx="11">
                  <c:v>2849706.6449869629</c:v>
                </c:pt>
                <c:pt idx="12">
                  <c:v>3239291.0560342497</c:v>
                </c:pt>
                <c:pt idx="13">
                  <c:v>3635472.4360289034</c:v>
                </c:pt>
                <c:pt idx="14">
                  <c:v>4037919.425833852</c:v>
                </c:pt>
                <c:pt idx="15">
                  <c:v>4446264.9278553557</c:v>
                </c:pt>
              </c:numCache>
            </c:numRef>
          </c:val>
          <c:extLst>
            <c:ext xmlns:c16="http://schemas.microsoft.com/office/drawing/2014/chart" uri="{C3380CC4-5D6E-409C-BE32-E72D297353CC}">
              <c16:uniqueId val="{00000006-DEC1-45CE-AC58-6110E3278A76}"/>
            </c:ext>
          </c:extLst>
        </c:ser>
        <c:dLbls>
          <c:showLegendKey val="0"/>
          <c:showVal val="0"/>
          <c:showCatName val="0"/>
          <c:showSerName val="0"/>
          <c:showPercent val="0"/>
          <c:showBubbleSize val="0"/>
        </c:dLbls>
        <c:axId val="109383040"/>
        <c:axId val="109388928"/>
        <c:extLst>
          <c:ext xmlns:c15="http://schemas.microsoft.com/office/drawing/2012/chart" uri="{02D57815-91ED-43cb-92C2-25804820EDAC}">
            <c15:filteredAreaSeries>
              <c15:ser>
                <c:idx val="3"/>
                <c:order val="5"/>
                <c:tx>
                  <c:strRef>
                    <c:extLst>
                      <c:ext uri="{02D57815-91ED-43cb-92C2-25804820EDAC}">
                        <c15:formulaRef>
                          <c15:sqref>Transportation!$A$58</c15:sqref>
                        </c15:formulaRef>
                      </c:ext>
                    </c:extLst>
                    <c:strCache>
                      <c:ptCount val="1"/>
                      <c:pt idx="0">
                        <c:v>Traffic signal synchronization</c:v>
                      </c:pt>
                    </c:strCache>
                  </c:strRef>
                </c:tx>
                <c:spPr>
                  <a:solidFill>
                    <a:schemeClr val="accent5">
                      <a:lumMod val="75000"/>
                    </a:schemeClr>
                  </a:solidFill>
                </c:spPr>
                <c:cat>
                  <c:numRef>
                    <c:extLst>
                      <c:ext uri="{02D57815-91ED-43cb-92C2-25804820EDAC}">
                        <c15:fullRef>
                          <c15:sqref>Transportation!$B$54:$T$54</c15:sqref>
                        </c15:fullRef>
                        <c15:formulaRef>
                          <c15:sqref>Transportation!$E$54:$T$54</c15:sqref>
                        </c15:formulaRef>
                      </c:ext>
                    </c:extLst>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extLst>
                      <c:ext uri="{02D57815-91ED-43cb-92C2-25804820EDAC}">
                        <c15:fullRef>
                          <c15:sqref>Transportation!$B$58:$T$58</c15:sqref>
                        </c15:fullRef>
                        <c15:formulaRef>
                          <c15:sqref>Transportation!$E$58:$T$58</c15:sqref>
                        </c15:formulaRef>
                      </c:ext>
                    </c:extLst>
                    <c:numCache>
                      <c:formatCode>_(* #,##0_);_(* \(#,##0\);_(* "-"??_);_(@_)</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4-DEC1-45CE-AC58-6110E3278A76}"/>
                  </c:ext>
                </c:extLst>
              </c15:ser>
            </c15:filteredAreaSeries>
          </c:ext>
        </c:extLst>
      </c:areaChart>
      <c:catAx>
        <c:axId val="109383040"/>
        <c:scaling>
          <c:orientation val="minMax"/>
        </c:scaling>
        <c:delete val="0"/>
        <c:axPos val="b"/>
        <c:numFmt formatCode="General" sourceLinked="1"/>
        <c:majorTickMark val="out"/>
        <c:minorTickMark val="none"/>
        <c:tickLblPos val="nextTo"/>
        <c:txPr>
          <a:bodyPr rot="-1800000"/>
          <a:lstStyle/>
          <a:p>
            <a:pPr>
              <a:defRPr/>
            </a:pPr>
            <a:endParaRPr lang="en-US"/>
          </a:p>
        </c:txPr>
        <c:crossAx val="109388928"/>
        <c:crosses val="autoZero"/>
        <c:auto val="1"/>
        <c:lblAlgn val="ctr"/>
        <c:lblOffset val="100"/>
        <c:noMultiLvlLbl val="0"/>
      </c:catAx>
      <c:valAx>
        <c:axId val="109388928"/>
        <c:scaling>
          <c:orientation val="minMax"/>
        </c:scaling>
        <c:delete val="0"/>
        <c:axPos val="l"/>
        <c:majorGridlines/>
        <c:numFmt formatCode="_(* #,##0_);_(* \(#,##0\);_(* &quot;-&quot;??_);_(@_)" sourceLinked="1"/>
        <c:majorTickMark val="out"/>
        <c:minorTickMark val="none"/>
        <c:tickLblPos val="nextTo"/>
        <c:crossAx val="109383040"/>
        <c:crosses val="autoZero"/>
        <c:crossBetween val="midCat"/>
        <c:dispUnits>
          <c:builtInUnit val="millions"/>
          <c:dispUnitsLbl>
            <c:layout>
              <c:manualLayout>
                <c:xMode val="edge"/>
                <c:yMode val="edge"/>
                <c:x val="1.7006844120703701E-2"/>
                <c:y val="0.23331605243023934"/>
              </c:manualLayout>
            </c:layout>
            <c:tx>
              <c:rich>
                <a:bodyPr/>
                <a:lstStyle/>
                <a:p>
                  <a:pPr>
                    <a:defRPr/>
                  </a:pPr>
                  <a:r>
                    <a:rPr lang="en-US"/>
                    <a:t>Thousand</a:t>
                  </a:r>
                  <a:r>
                    <a:rPr lang="en-US" baseline="0"/>
                    <a:t> Metric Tonnes CO2e</a:t>
                  </a:r>
                  <a:endParaRPr lang="en-US"/>
                </a:p>
              </c:rich>
            </c:tx>
          </c:dispUnitsLbl>
        </c:dispUnits>
      </c:valAx>
    </c:plotArea>
    <c:legend>
      <c:legendPos val="r"/>
      <c:overlay val="0"/>
    </c:legend>
    <c:plotVisOnly val="1"/>
    <c:dispBlanksAs val="zero"/>
    <c:showDLblsOverMax val="0"/>
  </c:chart>
  <c:printSettings>
    <c:headerFooter/>
    <c:pageMargins b="0.75000000000000122" l="0.70000000000000062" r="0.70000000000000062" t="0.7500000000000012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Tonga Transportation Petroleum Use Reductions</a:t>
            </a:r>
          </a:p>
        </c:rich>
      </c:tx>
      <c:layout>
        <c:manualLayout>
          <c:xMode val="edge"/>
          <c:yMode val="edge"/>
          <c:x val="0.26226407371593169"/>
          <c:y val="1.9765179293032394E-2"/>
        </c:manualLayout>
      </c:layout>
      <c:overlay val="0"/>
    </c:title>
    <c:autoTitleDeleted val="0"/>
    <c:plotArea>
      <c:layout/>
      <c:areaChart>
        <c:grouping val="stacked"/>
        <c:varyColors val="0"/>
        <c:ser>
          <c:idx val="9"/>
          <c:order val="0"/>
          <c:tx>
            <c:strRef>
              <c:f>Transportation!$A$47</c:f>
              <c:strCache>
                <c:ptCount val="1"/>
                <c:pt idx="0">
                  <c:v>Gasoline Use</c:v>
                </c:pt>
              </c:strCache>
            </c:strRef>
          </c:tx>
          <c:spPr>
            <a:solidFill>
              <a:schemeClr val="tx1">
                <a:lumMod val="65000"/>
                <a:lumOff val="35000"/>
              </a:schemeClr>
            </a:solidFill>
          </c:spPr>
          <c:cat>
            <c:numRef>
              <c:f>Transportation!$E$39:$T$39</c:f>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f>Transportation!$E$47:$T$47</c:f>
              <c:numCache>
                <c:formatCode>_(* #,##0_);_(* \(#,##0\);_(* "-"??_);_(@_)</c:formatCode>
                <c:ptCount val="16"/>
                <c:pt idx="0">
                  <c:v>14219362</c:v>
                </c:pt>
                <c:pt idx="1">
                  <c:v>14628879.625600001</c:v>
                </c:pt>
                <c:pt idx="2">
                  <c:v>15050191.358817281</c:v>
                </c:pt>
                <c:pt idx="3">
                  <c:v>15483636.869951218</c:v>
                </c:pt>
                <c:pt idx="4">
                  <c:v>15659760.58443374</c:v>
                </c:pt>
                <c:pt idx="5">
                  <c:v>15798553.4927947</c:v>
                </c:pt>
                <c:pt idx="6">
                  <c:v>15903017.171580631</c:v>
                </c:pt>
                <c:pt idx="7">
                  <c:v>15972491.020366909</c:v>
                </c:pt>
                <c:pt idx="8">
                  <c:v>16007211.112071082</c:v>
                </c:pt>
                <c:pt idx="9">
                  <c:v>16007397.67690902</c:v>
                </c:pt>
                <c:pt idx="10">
                  <c:v>15973254.45357495</c:v>
                </c:pt>
                <c:pt idx="11">
                  <c:v>15904968.016190011</c:v>
                </c:pt>
                <c:pt idx="12">
                  <c:v>15802707.076161817</c:v>
                </c:pt>
                <c:pt idx="13">
                  <c:v>15666621.758068064</c:v>
                </c:pt>
                <c:pt idx="14">
                  <c:v>15529663.64318718</c:v>
                </c:pt>
                <c:pt idx="15">
                  <c:v>15391389.379613506</c:v>
                </c:pt>
              </c:numCache>
            </c:numRef>
          </c:val>
          <c:extLst>
            <c:ext xmlns:c16="http://schemas.microsoft.com/office/drawing/2014/chart" uri="{C3380CC4-5D6E-409C-BE32-E72D297353CC}">
              <c16:uniqueId val="{00000000-1962-4C9C-BC81-D7C6749C30E5}"/>
            </c:ext>
          </c:extLst>
        </c:ser>
        <c:ser>
          <c:idx val="8"/>
          <c:order val="1"/>
          <c:tx>
            <c:strRef>
              <c:f>Transportation!$A$46</c:f>
              <c:strCache>
                <c:ptCount val="1"/>
                <c:pt idx="0">
                  <c:v>Diesel Use</c:v>
                </c:pt>
              </c:strCache>
            </c:strRef>
          </c:tx>
          <c:spPr>
            <a:solidFill>
              <a:schemeClr val="tx1">
                <a:lumMod val="50000"/>
                <a:lumOff val="50000"/>
              </a:schemeClr>
            </a:solidFill>
          </c:spPr>
          <c:cat>
            <c:numRef>
              <c:f>Transportation!$E$39:$T$39</c:f>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f>Transportation!$E$46:$T$46</c:f>
              <c:numCache>
                <c:formatCode>_(* #,##0_);_(* \(#,##0\);_(* "-"??_);_(@_)</c:formatCode>
                <c:ptCount val="16"/>
                <c:pt idx="0">
                  <c:v>10909486</c:v>
                </c:pt>
                <c:pt idx="1">
                  <c:v>11223679.196799999</c:v>
                </c:pt>
                <c:pt idx="2">
                  <c:v>11546921.15766784</c:v>
                </c:pt>
                <c:pt idx="3">
                  <c:v>11879472.487008674</c:v>
                </c:pt>
                <c:pt idx="4">
                  <c:v>11930609.821764337</c:v>
                </c:pt>
                <c:pt idx="5">
                  <c:v>11978103.638203951</c:v>
                </c:pt>
                <c:pt idx="6">
                  <c:v>12021795.665610392</c:v>
                </c:pt>
                <c:pt idx="7">
                  <c:v>12061524.24647817</c:v>
                </c:pt>
                <c:pt idx="8">
                  <c:v>12097124.350687228</c:v>
                </c:pt>
                <c:pt idx="9">
                  <c:v>12128427.595547972</c:v>
                </c:pt>
                <c:pt idx="10">
                  <c:v>12155262.272108732</c:v>
                </c:pt>
                <c:pt idx="11">
                  <c:v>12177453.37813619</c:v>
                </c:pt>
                <c:pt idx="12">
                  <c:v>12194822.658199854</c:v>
                </c:pt>
                <c:pt idx="13">
                  <c:v>12207188.651312787</c:v>
                </c:pt>
                <c:pt idx="14">
                  <c:v>12214366.746603057</c:v>
                </c:pt>
                <c:pt idx="15">
                  <c:v>12216169.247513525</c:v>
                </c:pt>
              </c:numCache>
            </c:numRef>
          </c:val>
          <c:extLst>
            <c:ext xmlns:c16="http://schemas.microsoft.com/office/drawing/2014/chart" uri="{C3380CC4-5D6E-409C-BE32-E72D297353CC}">
              <c16:uniqueId val="{00000001-1962-4C9C-BC81-D7C6749C30E5}"/>
            </c:ext>
          </c:extLst>
        </c:ser>
        <c:ser>
          <c:idx val="1"/>
          <c:order val="2"/>
          <c:tx>
            <c:strRef>
              <c:f>Transportation!$A$40</c:f>
              <c:strCache>
                <c:ptCount val="1"/>
                <c:pt idx="0">
                  <c:v>VKT Reduction Projects</c:v>
                </c:pt>
              </c:strCache>
            </c:strRef>
          </c:tx>
          <c:cat>
            <c:numRef>
              <c:f>Transportation!$E$39:$T$39</c:f>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f>Transportation!$E$40:$T$40</c:f>
              <c:numCache>
                <c:formatCode>_(* #,##0_);_(* \(#,##0\);_(* "-"??_);_(@_)</c:formatCode>
                <c:ptCount val="16"/>
                <c:pt idx="0">
                  <c:v>0</c:v>
                </c:pt>
                <c:pt idx="1">
                  <c:v>0</c:v>
                </c:pt>
                <c:pt idx="2">
                  <c:v>0</c:v>
                </c:pt>
                <c:pt idx="3">
                  <c:v>0</c:v>
                </c:pt>
                <c:pt idx="4">
                  <c:v>264430.7891559765</c:v>
                </c:pt>
                <c:pt idx="5">
                  <c:v>544092.79176733736</c:v>
                </c:pt>
                <c:pt idx="6" formatCode="_(* #,##0.00_);_(* \(#,##0.00\);_(* &quot;-&quot;??_);_(@_)">
                  <c:v>839643.99625535496</c:v>
                </c:pt>
                <c:pt idx="7">
                  <c:v>1151767.6577966791</c:v>
                </c:pt>
                <c:pt idx="8">
                  <c:v>1481173.2079265295</c:v>
                </c:pt>
                <c:pt idx="9">
                  <c:v>1828597.1955777761</c:v>
                </c:pt>
                <c:pt idx="10">
                  <c:v>2194804.2606121521</c:v>
                </c:pt>
                <c:pt idx="11">
                  <c:v>2580588.1409346084</c:v>
                </c:pt>
                <c:pt idx="12">
                  <c:v>2986772.7143177153</c:v>
                </c:pt>
                <c:pt idx="13">
                  <c:v>3414213.0761000733</c:v>
                </c:pt>
                <c:pt idx="14">
                  <c:v>3863796.6539609311</c:v>
                </c:pt>
                <c:pt idx="15">
                  <c:v>4336444.3610127335</c:v>
                </c:pt>
              </c:numCache>
            </c:numRef>
          </c:val>
          <c:extLst>
            <c:ext xmlns:c16="http://schemas.microsoft.com/office/drawing/2014/chart" uri="{C3380CC4-5D6E-409C-BE32-E72D297353CC}">
              <c16:uniqueId val="{00000002-1962-4C9C-BC81-D7C6749C30E5}"/>
            </c:ext>
          </c:extLst>
        </c:ser>
        <c:ser>
          <c:idx val="2"/>
          <c:order val="3"/>
          <c:tx>
            <c:strRef>
              <c:f>Transportation!$A$41</c:f>
              <c:strCache>
                <c:ptCount val="1"/>
                <c:pt idx="0">
                  <c:v>FE improvements and HEVs</c:v>
                </c:pt>
              </c:strCache>
            </c:strRef>
          </c:tx>
          <c:cat>
            <c:numRef>
              <c:f>Transportation!$E$39:$T$39</c:f>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f>Transportation!$E$41:$T$41</c:f>
              <c:numCache>
                <c:formatCode>_(* #,##0_);_(* \(#,##0\);_(* "-"??_);_(@_)</c:formatCode>
                <c:ptCount val="16"/>
                <c:pt idx="0">
                  <c:v>0</c:v>
                </c:pt>
                <c:pt idx="1">
                  <c:v>0</c:v>
                </c:pt>
                <c:pt idx="2">
                  <c:v>0</c:v>
                </c:pt>
                <c:pt idx="3">
                  <c:v>0</c:v>
                </c:pt>
                <c:pt idx="4">
                  <c:v>0</c:v>
                </c:pt>
                <c:pt idx="5">
                  <c:v>32820.794540060917</c:v>
                </c:pt>
                <c:pt idx="6">
                  <c:v>97908.361666385084</c:v>
                </c:pt>
                <c:pt idx="7">
                  <c:v>194708.67942517437</c:v>
                </c:pt>
                <c:pt idx="8">
                  <c:v>322667.72586263064</c:v>
                </c:pt>
                <c:pt idx="9">
                  <c:v>481231.47902495577</c:v>
                </c:pt>
                <c:pt idx="10">
                  <c:v>669845.91695835162</c:v>
                </c:pt>
                <c:pt idx="11">
                  <c:v>887957.01770902029</c:v>
                </c:pt>
                <c:pt idx="12">
                  <c:v>1135010.7593231637</c:v>
                </c:pt>
                <c:pt idx="13">
                  <c:v>1410453.1198469836</c:v>
                </c:pt>
                <c:pt idx="14">
                  <c:v>1680909.2827866212</c:v>
                </c:pt>
                <c:pt idx="15">
                  <c:v>1946379.2481420757</c:v>
                </c:pt>
              </c:numCache>
            </c:numRef>
          </c:val>
          <c:extLst>
            <c:ext xmlns:c16="http://schemas.microsoft.com/office/drawing/2014/chart" uri="{C3380CC4-5D6E-409C-BE32-E72D297353CC}">
              <c16:uniqueId val="{00000003-1962-4C9C-BC81-D7C6749C30E5}"/>
            </c:ext>
          </c:extLst>
        </c:ser>
        <c:ser>
          <c:idx val="3"/>
          <c:order val="4"/>
          <c:tx>
            <c:strRef>
              <c:f>Transportation!$A$42</c:f>
              <c:strCache>
                <c:ptCount val="1"/>
                <c:pt idx="0">
                  <c:v>HDV idle time reduced</c:v>
                </c:pt>
              </c:strCache>
            </c:strRef>
          </c:tx>
          <c:cat>
            <c:numRef>
              <c:f>Transportation!$E$39:$T$39</c:f>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f>Transportation!$E$42:$T$42</c:f>
              <c:numCache>
                <c:formatCode>_(* #,##0_);_(* \(#,##0\);_(* "-"??_);_(@_)</c:formatCode>
                <c:ptCount val="16"/>
                <c:pt idx="0">
                  <c:v>0</c:v>
                </c:pt>
                <c:pt idx="1">
                  <c:v>0</c:v>
                </c:pt>
                <c:pt idx="2">
                  <c:v>0</c:v>
                </c:pt>
                <c:pt idx="3">
                  <c:v>0</c:v>
                </c:pt>
                <c:pt idx="4">
                  <c:v>191138.63277676975</c:v>
                </c:pt>
                <c:pt idx="5">
                  <c:v>393286.85080148128</c:v>
                </c:pt>
                <c:pt idx="6">
                  <c:v>606920.26815684594</c:v>
                </c:pt>
                <c:pt idx="7">
                  <c:v>832532.76250635076</c:v>
                </c:pt>
                <c:pt idx="8">
                  <c:v>1070637.1325831672</c:v>
                </c:pt>
                <c:pt idx="9">
                  <c:v>1321765.7784018749</c:v>
                </c:pt>
                <c:pt idx="10">
                  <c:v>1586471.4049564903</c:v>
                </c:pt>
                <c:pt idx="11">
                  <c:v>1865327.7501934143</c:v>
                </c:pt>
                <c:pt idx="12">
                  <c:v>2158930.3380738571</c:v>
                </c:pt>
                <c:pt idx="13">
                  <c:v>2467897.2575670937</c:v>
                </c:pt>
                <c:pt idx="14">
                  <c:v>2792869.9684435283</c:v>
                </c:pt>
                <c:pt idx="15">
                  <c:v>3134514.1347651295</c:v>
                </c:pt>
              </c:numCache>
            </c:numRef>
          </c:val>
          <c:extLst>
            <c:ext xmlns:c16="http://schemas.microsoft.com/office/drawing/2014/chart" uri="{C3380CC4-5D6E-409C-BE32-E72D297353CC}">
              <c16:uniqueId val="{00000004-1962-4C9C-BC81-D7C6749C30E5}"/>
            </c:ext>
          </c:extLst>
        </c:ser>
        <c:ser>
          <c:idx val="5"/>
          <c:order val="6"/>
          <c:tx>
            <c:strRef>
              <c:f>Transportation!$A$44</c:f>
              <c:strCache>
                <c:ptCount val="1"/>
                <c:pt idx="0">
                  <c:v>Electric Vehicles</c:v>
                </c:pt>
              </c:strCache>
            </c:strRef>
          </c:tx>
          <c:cat>
            <c:numRef>
              <c:f>Transportation!$E$39:$T$39</c:f>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f>Transportation!$E$44:$T$44</c:f>
              <c:numCache>
                <c:formatCode>_(* #,##0_);_(* \(#,##0\);_(* "-"??_);_(@_)</c:formatCode>
                <c:ptCount val="16"/>
                <c:pt idx="0">
                  <c:v>0</c:v>
                </c:pt>
                <c:pt idx="1">
                  <c:v>0</c:v>
                </c:pt>
                <c:pt idx="2">
                  <c:v>0</c:v>
                </c:pt>
                <c:pt idx="3">
                  <c:v>0</c:v>
                </c:pt>
                <c:pt idx="4">
                  <c:v>5374.2382160968255</c:v>
                </c:pt>
                <c:pt idx="5">
                  <c:v>12870.022323721287</c:v>
                </c:pt>
                <c:pt idx="6">
                  <c:v>19751.680444514386</c:v>
                </c:pt>
                <c:pt idx="7">
                  <c:v>26931.103204595795</c:v>
                </c:pt>
                <c:pt idx="8">
                  <c:v>34408.290603965521</c:v>
                </c:pt>
                <c:pt idx="9">
                  <c:v>42183.242642623547</c:v>
                </c:pt>
                <c:pt idx="10">
                  <c:v>50255.959320569877</c:v>
                </c:pt>
                <c:pt idx="11">
                  <c:v>58626.440637804502</c:v>
                </c:pt>
                <c:pt idx="12">
                  <c:v>67294.686594327461</c:v>
                </c:pt>
                <c:pt idx="13">
                  <c:v>76260.697190138686</c:v>
                </c:pt>
                <c:pt idx="14">
                  <c:v>85524.472425238244</c:v>
                </c:pt>
                <c:pt idx="15">
                  <c:v>95086.012299626076</c:v>
                </c:pt>
              </c:numCache>
            </c:numRef>
          </c:val>
          <c:extLst>
            <c:ext xmlns:c16="http://schemas.microsoft.com/office/drawing/2014/chart" uri="{C3380CC4-5D6E-409C-BE32-E72D297353CC}">
              <c16:uniqueId val="{00000006-1962-4C9C-BC81-D7C6749C30E5}"/>
            </c:ext>
          </c:extLst>
        </c:ser>
        <c:ser>
          <c:idx val="6"/>
          <c:order val="7"/>
          <c:tx>
            <c:strRef>
              <c:f>Transportation!$A$45</c:f>
              <c:strCache>
                <c:ptCount val="1"/>
                <c:pt idx="0">
                  <c:v>Biodiesel</c:v>
                </c:pt>
              </c:strCache>
            </c:strRef>
          </c:tx>
          <c:cat>
            <c:numRef>
              <c:f>Transportation!$E$39:$T$39</c:f>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f>Transportation!$E$45:$T$45</c:f>
              <c:numCache>
                <c:formatCode>_(* #,##0_);_(* \(#,##0\);_(* "-"??_);_(@_)</c:formatCode>
                <c:ptCount val="16"/>
                <c:pt idx="0">
                  <c:v>0</c:v>
                </c:pt>
                <c:pt idx="1">
                  <c:v>0</c:v>
                </c:pt>
                <c:pt idx="2">
                  <c:v>0</c:v>
                </c:pt>
                <c:pt idx="3">
                  <c:v>0</c:v>
                </c:pt>
                <c:pt idx="4">
                  <c:v>99852.840093419378</c:v>
                </c:pt>
                <c:pt idx="5">
                  <c:v>202192.92291456746</c:v>
                </c:pt>
                <c:pt idx="6">
                  <c:v>306986.68041605863</c:v>
                </c:pt>
                <c:pt idx="7">
                  <c:v>414193.84048725211</c:v>
                </c:pt>
                <c:pt idx="8">
                  <c:v>523766.99066616589</c:v>
                </c:pt>
                <c:pt idx="9">
                  <c:v>635651.12003608618</c:v>
                </c:pt>
                <c:pt idx="10">
                  <c:v>749783.13834750769</c:v>
                </c:pt>
                <c:pt idx="11">
                  <c:v>866091.37136701273</c:v>
                </c:pt>
                <c:pt idx="12">
                  <c:v>984495.03141416761</c:v>
                </c:pt>
                <c:pt idx="13">
                  <c:v>1104903.6620054103</c:v>
                </c:pt>
                <c:pt idx="14">
                  <c:v>1227216.5554802013</c:v>
                </c:pt>
                <c:pt idx="15">
                  <c:v>1351322.1424393016</c:v>
                </c:pt>
              </c:numCache>
            </c:numRef>
          </c:val>
          <c:extLst>
            <c:ext xmlns:c16="http://schemas.microsoft.com/office/drawing/2014/chart" uri="{C3380CC4-5D6E-409C-BE32-E72D297353CC}">
              <c16:uniqueId val="{00000007-1962-4C9C-BC81-D7C6749C30E5}"/>
            </c:ext>
          </c:extLst>
        </c:ser>
        <c:dLbls>
          <c:showLegendKey val="0"/>
          <c:showVal val="0"/>
          <c:showCatName val="0"/>
          <c:showSerName val="0"/>
          <c:showPercent val="0"/>
          <c:showBubbleSize val="0"/>
        </c:dLbls>
        <c:axId val="109383040"/>
        <c:axId val="109388928"/>
        <c:extLst>
          <c:ext xmlns:c15="http://schemas.microsoft.com/office/drawing/2012/chart" uri="{02D57815-91ED-43cb-92C2-25804820EDAC}">
            <c15:filteredAreaSeries>
              <c15:ser>
                <c:idx val="4"/>
                <c:order val="5"/>
                <c:tx>
                  <c:strRef>
                    <c:extLst>
                      <c:ext uri="{02D57815-91ED-43cb-92C2-25804820EDAC}">
                        <c15:formulaRef>
                          <c15:sqref>Transportation!$A$43</c15:sqref>
                        </c15:formulaRef>
                      </c:ext>
                    </c:extLst>
                    <c:strCache>
                      <c:ptCount val="1"/>
                      <c:pt idx="0">
                        <c:v>Traffic signal synchronization</c:v>
                      </c:pt>
                    </c:strCache>
                  </c:strRef>
                </c:tx>
                <c:cat>
                  <c:numRef>
                    <c:extLst>
                      <c:ext uri="{02D57815-91ED-43cb-92C2-25804820EDAC}">
                        <c15:formulaRef>
                          <c15:sqref>Transportation!$E$39:$T$39</c15:sqref>
                        </c15:formulaRef>
                      </c:ext>
                    </c:extLst>
                    <c:numCache>
                      <c:formatCode>General</c:formatCode>
                      <c:ptCount val="16"/>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numCache>
                  </c:numRef>
                </c:cat>
                <c:val>
                  <c:numRef>
                    <c:extLst>
                      <c:ext uri="{02D57815-91ED-43cb-92C2-25804820EDAC}">
                        <c15:formulaRef>
                          <c15:sqref>Transportation!$E$43:$T$43</c15:sqref>
                        </c15:formulaRef>
                      </c:ext>
                    </c:extLst>
                    <c:numCache>
                      <c:formatCode>_(* #,##0_);_(* \(#,##0\);_(* "-"??_);_(@_)</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5-1962-4C9C-BC81-D7C6749C30E5}"/>
                  </c:ext>
                </c:extLst>
              </c15:ser>
            </c15:filteredAreaSeries>
          </c:ext>
        </c:extLst>
      </c:areaChart>
      <c:catAx>
        <c:axId val="109383040"/>
        <c:scaling>
          <c:orientation val="minMax"/>
        </c:scaling>
        <c:delete val="0"/>
        <c:axPos val="b"/>
        <c:numFmt formatCode="General" sourceLinked="1"/>
        <c:majorTickMark val="out"/>
        <c:minorTickMark val="none"/>
        <c:tickLblPos val="nextTo"/>
        <c:txPr>
          <a:bodyPr rot="-1800000"/>
          <a:lstStyle/>
          <a:p>
            <a:pPr>
              <a:defRPr/>
            </a:pPr>
            <a:endParaRPr lang="en-US"/>
          </a:p>
        </c:txPr>
        <c:crossAx val="109388928"/>
        <c:crosses val="autoZero"/>
        <c:auto val="1"/>
        <c:lblAlgn val="ctr"/>
        <c:lblOffset val="100"/>
        <c:noMultiLvlLbl val="0"/>
      </c:catAx>
      <c:valAx>
        <c:axId val="109388928"/>
        <c:scaling>
          <c:orientation val="minMax"/>
        </c:scaling>
        <c:delete val="0"/>
        <c:axPos val="l"/>
        <c:majorGridlines/>
        <c:numFmt formatCode="_(* #,##0_);_(* \(#,##0\);_(* &quot;-&quot;??_);_(@_)" sourceLinked="1"/>
        <c:majorTickMark val="out"/>
        <c:minorTickMark val="none"/>
        <c:tickLblPos val="nextTo"/>
        <c:crossAx val="109383040"/>
        <c:crosses val="autoZero"/>
        <c:crossBetween val="midCat"/>
        <c:dispUnits>
          <c:builtInUnit val="millions"/>
          <c:dispUnitsLbl>
            <c:layout>
              <c:manualLayout>
                <c:xMode val="edge"/>
                <c:yMode val="edge"/>
                <c:x val="2.2062691833487805E-2"/>
                <c:y val="0.24684944957419891"/>
              </c:manualLayout>
            </c:layout>
            <c:tx>
              <c:rich>
                <a:bodyPr/>
                <a:lstStyle/>
                <a:p>
                  <a:pPr>
                    <a:defRPr/>
                  </a:pPr>
                  <a:r>
                    <a:rPr lang="en-US"/>
                    <a:t>Million Liters Petroleum</a:t>
                  </a:r>
                </a:p>
              </c:rich>
            </c:tx>
          </c:dispUnitsLbl>
        </c:dispUnits>
      </c:valAx>
    </c:plotArea>
    <c:legend>
      <c:legendPos val="r"/>
      <c:overlay val="0"/>
    </c:legend>
    <c:plotVisOnly val="1"/>
    <c:dispBlanksAs val="zero"/>
    <c:showDLblsOverMax val="0"/>
  </c:chart>
  <c:printSettings>
    <c:headerFooter/>
    <c:pageMargins b="0.75000000000000122" l="0.70000000000000062" r="0.70000000000000062" t="0.7500000000000012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Residential</a:t>
            </a:r>
            <a:r>
              <a:rPr lang="en-US" baseline="0"/>
              <a:t> Electricity BAU by End-Use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5820230020443496E-2"/>
          <c:y val="0.11958841982011076"/>
          <c:w val="0.89332992387021382"/>
          <c:h val="0.66348732681572475"/>
        </c:manualLayout>
      </c:layout>
      <c:barChart>
        <c:barDir val="col"/>
        <c:grouping val="stacked"/>
        <c:varyColors val="0"/>
        <c:ser>
          <c:idx val="5"/>
          <c:order val="0"/>
          <c:tx>
            <c:strRef>
              <c:f>Electricity!$G$80</c:f>
              <c:strCache>
                <c:ptCount val="1"/>
                <c:pt idx="0">
                  <c:v>(Res) TV</c:v>
                </c:pt>
              </c:strCache>
            </c:strRef>
          </c:tx>
          <c:spPr>
            <a:solidFill>
              <a:schemeClr val="accent6"/>
            </a:solidFill>
            <a:ln>
              <a:noFill/>
            </a:ln>
            <a:effectLst/>
          </c:spPr>
          <c:invertIfNegative val="0"/>
          <c:cat>
            <c:numRef>
              <c:f>Electricity!$B$81:$B$94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Electricity!$G$81:$G$94</c:f>
              <c:numCache>
                <c:formatCode>#,##0\ "kWh"</c:formatCode>
                <c:ptCount val="14"/>
                <c:pt idx="0">
                  <c:v>1932406.2785888745</c:v>
                </c:pt>
                <c:pt idx="1">
                  <c:v>1929817.7718847168</c:v>
                </c:pt>
                <c:pt idx="2">
                  <c:v>1886046.7378796744</c:v>
                </c:pt>
                <c:pt idx="3">
                  <c:v>1867143.9281748775</c:v>
                </c:pt>
                <c:pt idx="4">
                  <c:v>1879821.0504314741</c:v>
                </c:pt>
                <c:pt idx="5">
                  <c:v>1913906.4116275331</c:v>
                </c:pt>
                <c:pt idx="6">
                  <c:v>1963731.9439819425</c:v>
                </c:pt>
                <c:pt idx="7">
                  <c:v>1987564.2230879844</c:v>
                </c:pt>
                <c:pt idx="8">
                  <c:v>2014741.5610726145</c:v>
                </c:pt>
                <c:pt idx="9">
                  <c:v>2049927.2405250466</c:v>
                </c:pt>
                <c:pt idx="10">
                  <c:v>2082573.8944063832</c:v>
                </c:pt>
                <c:pt idx="11">
                  <c:v>2108176.0491755619</c:v>
                </c:pt>
                <c:pt idx="12">
                  <c:v>2134799.080382782</c:v>
                </c:pt>
                <c:pt idx="13">
                  <c:v>2172993.7225377639</c:v>
                </c:pt>
              </c:numCache>
            </c:numRef>
          </c:val>
          <c:extLst>
            <c:ext xmlns:c16="http://schemas.microsoft.com/office/drawing/2014/chart" uri="{C3380CC4-5D6E-409C-BE32-E72D297353CC}">
              <c16:uniqueId val="{00000000-190A-4753-8F4B-EE83745764AD}"/>
            </c:ext>
          </c:extLst>
        </c:ser>
        <c:ser>
          <c:idx val="1"/>
          <c:order val="1"/>
          <c:tx>
            <c:strRef>
              <c:f>Electricity!$C$80</c:f>
              <c:strCache>
                <c:ptCount val="1"/>
                <c:pt idx="0">
                  <c:v>(Res) Fridge</c:v>
                </c:pt>
              </c:strCache>
            </c:strRef>
          </c:tx>
          <c:spPr>
            <a:solidFill>
              <a:schemeClr val="accent2"/>
            </a:solidFill>
            <a:ln>
              <a:noFill/>
            </a:ln>
            <a:effectLst/>
          </c:spPr>
          <c:invertIfNegative val="0"/>
          <c:cat>
            <c:numRef>
              <c:f>Electricity!$B$81:$B$94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Electricity!$C$81:$C$94</c:f>
              <c:numCache>
                <c:formatCode>#,##0\ "kWh"</c:formatCode>
                <c:ptCount val="14"/>
                <c:pt idx="0">
                  <c:v>5009528.39211581</c:v>
                </c:pt>
                <c:pt idx="1">
                  <c:v>5044407.5416512201</c:v>
                </c:pt>
                <c:pt idx="2">
                  <c:v>4968937.0987087525</c:v>
                </c:pt>
                <c:pt idx="3">
                  <c:v>4956108.2924174825</c:v>
                </c:pt>
                <c:pt idx="4">
                  <c:v>5025485.0757030472</c:v>
                </c:pt>
                <c:pt idx="5">
                  <c:v>5151549.7236853214</c:v>
                </c:pt>
                <c:pt idx="6">
                  <c:v>5320127.785157647</c:v>
                </c:pt>
                <c:pt idx="7">
                  <c:v>5511907.1509247245</c:v>
                </c:pt>
                <c:pt idx="8">
                  <c:v>5727137.1017222321</c:v>
                </c:pt>
                <c:pt idx="9">
                  <c:v>5969460.8877147054</c:v>
                </c:pt>
                <c:pt idx="10">
                  <c:v>6209099.8105018632</c:v>
                </c:pt>
                <c:pt idx="11">
                  <c:v>6431779.4663463943</c:v>
                </c:pt>
                <c:pt idx="12">
                  <c:v>6661199.1205508513</c:v>
                </c:pt>
                <c:pt idx="13">
                  <c:v>6931225.1880320208</c:v>
                </c:pt>
              </c:numCache>
            </c:numRef>
          </c:val>
          <c:extLst>
            <c:ext xmlns:c16="http://schemas.microsoft.com/office/drawing/2014/chart" uri="{C3380CC4-5D6E-409C-BE32-E72D297353CC}">
              <c16:uniqueId val="{00000001-190A-4753-8F4B-EE83745764AD}"/>
            </c:ext>
          </c:extLst>
        </c:ser>
        <c:ser>
          <c:idx val="2"/>
          <c:order val="2"/>
          <c:tx>
            <c:strRef>
              <c:f>Electricity!$D$80</c:f>
              <c:strCache>
                <c:ptCount val="1"/>
                <c:pt idx="0">
                  <c:v>(Res) Freezer</c:v>
                </c:pt>
              </c:strCache>
            </c:strRef>
          </c:tx>
          <c:spPr>
            <a:solidFill>
              <a:schemeClr val="accent3"/>
            </a:solidFill>
            <a:ln>
              <a:noFill/>
            </a:ln>
            <a:effectLst/>
          </c:spPr>
          <c:invertIfNegative val="0"/>
          <c:cat>
            <c:numRef>
              <c:f>Electricity!$B$81:$B$94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Electricity!$D$81:$D$94</c:f>
              <c:numCache>
                <c:formatCode>#,##0\ "kWh"</c:formatCode>
                <c:ptCount val="14"/>
                <c:pt idx="0">
                  <c:v>4570949.6561765373</c:v>
                </c:pt>
                <c:pt idx="1">
                  <c:v>4652476.927971324</c:v>
                </c:pt>
                <c:pt idx="2">
                  <c:v>4629026.6679361733</c:v>
                </c:pt>
                <c:pt idx="3">
                  <c:v>4660551.415239702</c:v>
                </c:pt>
                <c:pt idx="4">
                  <c:v>4605109.9219739931</c:v>
                </c:pt>
                <c:pt idx="5">
                  <c:v>4596233.8584151575</c:v>
                </c:pt>
                <c:pt idx="6">
                  <c:v>4624770.3557603657</c:v>
                </c:pt>
                <c:pt idx="7">
                  <c:v>4671542.140757598</c:v>
                </c:pt>
                <c:pt idx="8">
                  <c:v>4735419.3620287487</c:v>
                </c:pt>
                <c:pt idx="9">
                  <c:v>4818119.2730071461</c:v>
                </c:pt>
                <c:pt idx="10">
                  <c:v>4894851.4950857079</c:v>
                </c:pt>
                <c:pt idx="11">
                  <c:v>4955026.4285591021</c:v>
                </c:pt>
                <c:pt idx="12">
                  <c:v>5017600.815215149</c:v>
                </c:pt>
                <c:pt idx="13">
                  <c:v>5107372.9485155465</c:v>
                </c:pt>
              </c:numCache>
            </c:numRef>
          </c:val>
          <c:extLst>
            <c:ext xmlns:c16="http://schemas.microsoft.com/office/drawing/2014/chart" uri="{C3380CC4-5D6E-409C-BE32-E72D297353CC}">
              <c16:uniqueId val="{00000002-190A-4753-8F4B-EE83745764AD}"/>
            </c:ext>
          </c:extLst>
        </c:ser>
        <c:ser>
          <c:idx val="9"/>
          <c:order val="3"/>
          <c:tx>
            <c:strRef>
              <c:f>Electricity!$K$80</c:f>
              <c:strCache>
                <c:ptCount val="1"/>
                <c:pt idx="0">
                  <c:v>(Res) Lighting</c:v>
                </c:pt>
              </c:strCache>
            </c:strRef>
          </c:tx>
          <c:spPr>
            <a:solidFill>
              <a:schemeClr val="accent4">
                <a:lumMod val="60000"/>
              </a:schemeClr>
            </a:solidFill>
            <a:ln>
              <a:noFill/>
            </a:ln>
            <a:effectLst/>
          </c:spPr>
          <c:invertIfNegative val="0"/>
          <c:cat>
            <c:numRef>
              <c:f>Electricity!$B$81:$B$94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Electricity!$K$81:$K$94</c:f>
              <c:numCache>
                <c:formatCode>#,##0\ "kWh"</c:formatCode>
                <c:ptCount val="14"/>
                <c:pt idx="0">
                  <c:v>6552869.7402360551</c:v>
                </c:pt>
                <c:pt idx="1">
                  <c:v>6474572.3058511391</c:v>
                </c:pt>
                <c:pt idx="2">
                  <c:v>6263363.7610162059</c:v>
                </c:pt>
                <c:pt idx="3">
                  <c:v>6140218.9442780642</c:v>
                </c:pt>
                <c:pt idx="4">
                  <c:v>6124296.1774183055</c:v>
                </c:pt>
                <c:pt idx="5">
                  <c:v>6179729.388383314</c:v>
                </c:pt>
                <c:pt idx="6">
                  <c:v>6286496.3564063655</c:v>
                </c:pt>
                <c:pt idx="7">
                  <c:v>6419924.5198853407</c:v>
                </c:pt>
                <c:pt idx="8">
                  <c:v>6579293.3750267299</c:v>
                </c:pt>
                <c:pt idx="9">
                  <c:v>6767831.0589153664</c:v>
                </c:pt>
                <c:pt idx="10">
                  <c:v>6951245.680571408</c:v>
                </c:pt>
                <c:pt idx="11">
                  <c:v>7114104.638362254</c:v>
                </c:pt>
                <c:pt idx="12">
                  <c:v>7283188.2660672991</c:v>
                </c:pt>
                <c:pt idx="13">
                  <c:v>7495043.4799514962</c:v>
                </c:pt>
              </c:numCache>
            </c:numRef>
          </c:val>
          <c:extLst>
            <c:ext xmlns:c16="http://schemas.microsoft.com/office/drawing/2014/chart" uri="{C3380CC4-5D6E-409C-BE32-E72D297353CC}">
              <c16:uniqueId val="{00000003-190A-4753-8F4B-EE83745764AD}"/>
            </c:ext>
          </c:extLst>
        </c:ser>
        <c:ser>
          <c:idx val="4"/>
          <c:order val="4"/>
          <c:tx>
            <c:strRef>
              <c:f>Electricity!$F$80</c:f>
              <c:strCache>
                <c:ptCount val="1"/>
                <c:pt idx="0">
                  <c:v>(Res) Fans</c:v>
                </c:pt>
              </c:strCache>
            </c:strRef>
          </c:tx>
          <c:spPr>
            <a:solidFill>
              <a:schemeClr val="accent5"/>
            </a:solidFill>
            <a:ln>
              <a:noFill/>
            </a:ln>
            <a:effectLst/>
          </c:spPr>
          <c:invertIfNegative val="0"/>
          <c:cat>
            <c:numRef>
              <c:f>Electricity!$B$81:$B$94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Electricity!$F$81:$F$94</c:f>
              <c:numCache>
                <c:formatCode>#,##0\ "kWh"</c:formatCode>
                <c:ptCount val="14"/>
                <c:pt idx="0">
                  <c:v>2063222.0702203284</c:v>
                </c:pt>
                <c:pt idx="1">
                  <c:v>2074815.3391839231</c:v>
                </c:pt>
                <c:pt idx="2">
                  <c:v>2041199.2839703267</c:v>
                </c:pt>
                <c:pt idx="3">
                  <c:v>2033504.5059277602</c:v>
                </c:pt>
                <c:pt idx="4">
                  <c:v>2059644.3255760362</c:v>
                </c:pt>
                <c:pt idx="5">
                  <c:v>2109052.2930638785</c:v>
                </c:pt>
                <c:pt idx="6">
                  <c:v>2175855.9111234872</c:v>
                </c:pt>
                <c:pt idx="7">
                  <c:v>2252113.4270762638</c:v>
                </c:pt>
                <c:pt idx="8">
                  <c:v>2337902.3470392274</c:v>
                </c:pt>
                <c:pt idx="9">
                  <c:v>2434686.3872302757</c:v>
                </c:pt>
                <c:pt idx="10">
                  <c:v>2530306.3875846472</c:v>
                </c:pt>
                <c:pt idx="11">
                  <c:v>2618957.3468293343</c:v>
                </c:pt>
                <c:pt idx="12">
                  <c:v>2710302.0607941616</c:v>
                </c:pt>
                <c:pt idx="13">
                  <c:v>2818107.1392440847</c:v>
                </c:pt>
              </c:numCache>
            </c:numRef>
          </c:val>
          <c:extLst>
            <c:ext xmlns:c16="http://schemas.microsoft.com/office/drawing/2014/chart" uri="{C3380CC4-5D6E-409C-BE32-E72D297353CC}">
              <c16:uniqueId val="{00000004-190A-4753-8F4B-EE83745764AD}"/>
            </c:ext>
          </c:extLst>
        </c:ser>
        <c:ser>
          <c:idx val="3"/>
          <c:order val="5"/>
          <c:tx>
            <c:strRef>
              <c:f>Electricity!$E$80</c:f>
              <c:strCache>
                <c:ptCount val="1"/>
                <c:pt idx="0">
                  <c:v>(Res) AC</c:v>
                </c:pt>
              </c:strCache>
            </c:strRef>
          </c:tx>
          <c:spPr>
            <a:solidFill>
              <a:schemeClr val="accent4"/>
            </a:solidFill>
            <a:ln>
              <a:noFill/>
            </a:ln>
            <a:effectLst/>
          </c:spPr>
          <c:invertIfNegative val="0"/>
          <c:cat>
            <c:numRef>
              <c:f>Electricity!$B$81:$B$94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Electricity!$E$81:$E$94</c:f>
              <c:numCache>
                <c:formatCode>#,##0\ "kWh"</c:formatCode>
                <c:ptCount val="14"/>
                <c:pt idx="0">
                  <c:v>1124353.8400555924</c:v>
                </c:pt>
                <c:pt idx="1">
                  <c:v>2108666.2192988452</c:v>
                </c:pt>
                <c:pt idx="2">
                  <c:v>2983947.4271374606</c:v>
                </c:pt>
                <c:pt idx="3">
                  <c:v>3830410.3397313189</c:v>
                </c:pt>
                <c:pt idx="4">
                  <c:v>4703270.3257574625</c:v>
                </c:pt>
                <c:pt idx="5">
                  <c:v>5616784.3941278122</c:v>
                </c:pt>
                <c:pt idx="6">
                  <c:v>6579964.4727780102</c:v>
                </c:pt>
                <c:pt idx="7">
                  <c:v>7584205.3523040181</c:v>
                </c:pt>
                <c:pt idx="8">
                  <c:v>8638426.777759349</c:v>
                </c:pt>
                <c:pt idx="9">
                  <c:v>9756406.5550902188</c:v>
                </c:pt>
                <c:pt idx="10">
                  <c:v>10894304.140289279</c:v>
                </c:pt>
                <c:pt idx="11">
                  <c:v>12022831.429965744</c:v>
                </c:pt>
                <c:pt idx="12">
                  <c:v>13181819.596196</c:v>
                </c:pt>
                <c:pt idx="13">
                  <c:v>14442839.163744062</c:v>
                </c:pt>
              </c:numCache>
            </c:numRef>
          </c:val>
          <c:extLst>
            <c:ext xmlns:c16="http://schemas.microsoft.com/office/drawing/2014/chart" uri="{C3380CC4-5D6E-409C-BE32-E72D297353CC}">
              <c16:uniqueId val="{00000007-190A-4753-8F4B-EE83745764AD}"/>
            </c:ext>
          </c:extLst>
        </c:ser>
        <c:ser>
          <c:idx val="6"/>
          <c:order val="6"/>
          <c:tx>
            <c:strRef>
              <c:f>Electricity!$H$80</c:f>
              <c:strCache>
                <c:ptCount val="1"/>
                <c:pt idx="0">
                  <c:v>(Res) Elec Washer</c:v>
                </c:pt>
              </c:strCache>
            </c:strRef>
          </c:tx>
          <c:spPr>
            <a:solidFill>
              <a:schemeClr val="accent1">
                <a:lumMod val="60000"/>
              </a:schemeClr>
            </a:solidFill>
            <a:ln>
              <a:noFill/>
            </a:ln>
            <a:effectLst/>
          </c:spPr>
          <c:invertIfNegative val="0"/>
          <c:cat>
            <c:numRef>
              <c:f>Electricity!$B$81:$B$94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Electricity!$H$81:$H$94</c:f>
              <c:numCache>
                <c:formatCode>#,##0\ "kWh"</c:formatCode>
                <c:ptCount val="14"/>
                <c:pt idx="0">
                  <c:v>1894970.5110602775</c:v>
                </c:pt>
                <c:pt idx="1">
                  <c:v>1970882.4531429217</c:v>
                </c:pt>
                <c:pt idx="2">
                  <c:v>1999639.9501355977</c:v>
                </c:pt>
                <c:pt idx="3">
                  <c:v>2049339.1268768816</c:v>
                </c:pt>
                <c:pt idx="4">
                  <c:v>2130644.8760554139</c:v>
                </c:pt>
                <c:pt idx="5">
                  <c:v>2235188.0857910132</c:v>
                </c:pt>
                <c:pt idx="6">
                  <c:v>2358390.0968647832</c:v>
                </c:pt>
                <c:pt idx="7">
                  <c:v>2492671.352027006</c:v>
                </c:pt>
                <c:pt idx="8">
                  <c:v>2638695.4557298496</c:v>
                </c:pt>
                <c:pt idx="9">
                  <c:v>2798672.9599039722</c:v>
                </c:pt>
                <c:pt idx="10">
                  <c:v>2958952.8469437719</c:v>
                </c:pt>
                <c:pt idx="11">
                  <c:v>3112460.1359343757</c:v>
                </c:pt>
                <c:pt idx="12">
                  <c:v>3266211.5044163046</c:v>
                </c:pt>
                <c:pt idx="13">
                  <c:v>3324648.7506939727</c:v>
                </c:pt>
              </c:numCache>
            </c:numRef>
          </c:val>
          <c:extLst>
            <c:ext xmlns:c16="http://schemas.microsoft.com/office/drawing/2014/chart" uri="{C3380CC4-5D6E-409C-BE32-E72D297353CC}">
              <c16:uniqueId val="{00000005-190A-4753-8F4B-EE83745764AD}"/>
            </c:ext>
          </c:extLst>
        </c:ser>
        <c:ser>
          <c:idx val="7"/>
          <c:order val="7"/>
          <c:tx>
            <c:strRef>
              <c:f>Electricity!$I$80</c:f>
              <c:strCache>
                <c:ptCount val="1"/>
                <c:pt idx="0">
                  <c:v>(Res) Elec Water Heater</c:v>
                </c:pt>
              </c:strCache>
            </c:strRef>
          </c:tx>
          <c:spPr>
            <a:solidFill>
              <a:schemeClr val="accent2">
                <a:lumMod val="60000"/>
              </a:schemeClr>
            </a:solidFill>
            <a:ln>
              <a:noFill/>
            </a:ln>
            <a:effectLst/>
          </c:spPr>
          <c:invertIfNegative val="0"/>
          <c:cat>
            <c:numRef>
              <c:f>Electricity!$B$81:$B$94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Electricity!$I$81:$I$94</c:f>
              <c:numCache>
                <c:formatCode>#,##0\ "kWh"</c:formatCode>
                <c:ptCount val="14"/>
                <c:pt idx="0">
                  <c:v>1802613.0987647425</c:v>
                </c:pt>
                <c:pt idx="1">
                  <c:v>2127952.3484354215</c:v>
                </c:pt>
                <c:pt idx="2">
                  <c:v>2386592.2146144649</c:v>
                </c:pt>
                <c:pt idx="3">
                  <c:v>2654038.195364187</c:v>
                </c:pt>
                <c:pt idx="4">
                  <c:v>2953610.2433145251</c:v>
                </c:pt>
                <c:pt idx="5">
                  <c:v>3017768.6273812302</c:v>
                </c:pt>
                <c:pt idx="6">
                  <c:v>3036504.9556614039</c:v>
                </c:pt>
                <c:pt idx="7">
                  <c:v>3067214.1035766802</c:v>
                </c:pt>
                <c:pt idx="8">
                  <c:v>3109154.2398479078</c:v>
                </c:pt>
                <c:pt idx="9">
                  <c:v>3163452.8687962373</c:v>
                </c:pt>
                <c:pt idx="10">
                  <c:v>3213833.2671029884</c:v>
                </c:pt>
                <c:pt idx="11">
                  <c:v>3253342.5766778877</c:v>
                </c:pt>
                <c:pt idx="12">
                  <c:v>3294427.3053373112</c:v>
                </c:pt>
                <c:pt idx="13">
                  <c:v>3353369.3730893731</c:v>
                </c:pt>
              </c:numCache>
            </c:numRef>
          </c:val>
          <c:extLst>
            <c:ext xmlns:c16="http://schemas.microsoft.com/office/drawing/2014/chart" uri="{C3380CC4-5D6E-409C-BE32-E72D297353CC}">
              <c16:uniqueId val="{00000006-190A-4753-8F4B-EE83745764AD}"/>
            </c:ext>
          </c:extLst>
        </c:ser>
        <c:ser>
          <c:idx val="8"/>
          <c:order val="8"/>
          <c:tx>
            <c:strRef>
              <c:f>Electricity!$J$80</c:f>
              <c:strCache>
                <c:ptCount val="1"/>
                <c:pt idx="0">
                  <c:v>(Res) Cooking</c:v>
                </c:pt>
              </c:strCache>
            </c:strRef>
          </c:tx>
          <c:spPr>
            <a:solidFill>
              <a:schemeClr val="accent3">
                <a:lumMod val="60000"/>
              </a:schemeClr>
            </a:solidFill>
            <a:ln>
              <a:noFill/>
            </a:ln>
            <a:effectLst/>
          </c:spPr>
          <c:invertIfNegative val="0"/>
          <c:cat>
            <c:numRef>
              <c:f>Electricity!$B$81:$B$94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Electricity!$J$81:$J$94</c:f>
              <c:numCache>
                <c:formatCode>#,##0\ "kWh"</c:formatCode>
                <c:ptCount val="14"/>
                <c:pt idx="0">
                  <c:v>314392.64446507324</c:v>
                </c:pt>
                <c:pt idx="1">
                  <c:v>354654.18945029459</c:v>
                </c:pt>
                <c:pt idx="2">
                  <c:v>384704.90670940274</c:v>
                </c:pt>
                <c:pt idx="3">
                  <c:v>417015.16552664147</c:v>
                </c:pt>
                <c:pt idx="4">
                  <c:v>454794.39273834665</c:v>
                </c:pt>
                <c:pt idx="5">
                  <c:v>497220.29935481836</c:v>
                </c:pt>
                <c:pt idx="6">
                  <c:v>543878.72136522038</c:v>
                </c:pt>
                <c:pt idx="7">
                  <c:v>593391.13765051856</c:v>
                </c:pt>
                <c:pt idx="8">
                  <c:v>646118.78725889907</c:v>
                </c:pt>
                <c:pt idx="9">
                  <c:v>702795.6238978497</c:v>
                </c:pt>
                <c:pt idx="10">
                  <c:v>760104.04061758716</c:v>
                </c:pt>
                <c:pt idx="11">
                  <c:v>816131.17829077144</c:v>
                </c:pt>
                <c:pt idx="12">
                  <c:v>873709.98253922502</c:v>
                </c:pt>
                <c:pt idx="13">
                  <c:v>937460.00628909981</c:v>
                </c:pt>
              </c:numCache>
            </c:numRef>
          </c:val>
          <c:extLst>
            <c:ext xmlns:c16="http://schemas.microsoft.com/office/drawing/2014/chart" uri="{C3380CC4-5D6E-409C-BE32-E72D297353CC}">
              <c16:uniqueId val="{00000008-190A-4753-8F4B-EE83745764AD}"/>
            </c:ext>
          </c:extLst>
        </c:ser>
        <c:ser>
          <c:idx val="10"/>
          <c:order val="9"/>
          <c:tx>
            <c:strRef>
              <c:f>Electricity!$L$80</c:f>
              <c:strCache>
                <c:ptCount val="1"/>
                <c:pt idx="0">
                  <c:v>(Res) Other</c:v>
                </c:pt>
              </c:strCache>
            </c:strRef>
          </c:tx>
          <c:spPr>
            <a:solidFill>
              <a:schemeClr val="accent5">
                <a:lumMod val="60000"/>
              </a:schemeClr>
            </a:solidFill>
            <a:ln>
              <a:noFill/>
            </a:ln>
            <a:effectLst/>
          </c:spPr>
          <c:invertIfNegative val="0"/>
          <c:cat>
            <c:numRef>
              <c:f>Electricity!$B$81:$B$94</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Electricity!$L$81:$L$94</c:f>
              <c:numCache>
                <c:formatCode>#,##0\ "kWh"</c:formatCode>
                <c:ptCount val="14"/>
                <c:pt idx="0">
                  <c:v>739601.55081671057</c:v>
                </c:pt>
                <c:pt idx="1">
                  <c:v>742329.38334183127</c:v>
                </c:pt>
                <c:pt idx="2">
                  <c:v>729478.48811308062</c:v>
                </c:pt>
                <c:pt idx="3">
                  <c:v>726453.79917821416</c:v>
                </c:pt>
                <c:pt idx="4">
                  <c:v>736036.94760297495</c:v>
                </c:pt>
                <c:pt idx="5">
                  <c:v>754452.97568439366</c:v>
                </c:pt>
                <c:pt idx="6">
                  <c:v>779633.82729801</c:v>
                </c:pt>
                <c:pt idx="7">
                  <c:v>808781.51397196262</c:v>
                </c:pt>
                <c:pt idx="8">
                  <c:v>841976.23669098422</c:v>
                </c:pt>
                <c:pt idx="9">
                  <c:v>879810.98337870219</c:v>
                </c:pt>
                <c:pt idx="10">
                  <c:v>917955.85531924968</c:v>
                </c:pt>
                <c:pt idx="11">
                  <c:v>954330.26051514852</c:v>
                </c:pt>
                <c:pt idx="12">
                  <c:v>992474.30219868117</c:v>
                </c:pt>
                <c:pt idx="13">
                  <c:v>1037507.3422033716</c:v>
                </c:pt>
              </c:numCache>
            </c:numRef>
          </c:val>
          <c:extLst>
            <c:ext xmlns:c16="http://schemas.microsoft.com/office/drawing/2014/chart" uri="{C3380CC4-5D6E-409C-BE32-E72D297353CC}">
              <c16:uniqueId val="{00000009-190A-4753-8F4B-EE83745764AD}"/>
            </c:ext>
          </c:extLst>
        </c:ser>
        <c:dLbls>
          <c:showLegendKey val="0"/>
          <c:showVal val="0"/>
          <c:showCatName val="0"/>
          <c:showSerName val="0"/>
          <c:showPercent val="0"/>
          <c:showBubbleSize val="0"/>
        </c:dLbls>
        <c:gapWidth val="150"/>
        <c:overlap val="100"/>
        <c:axId val="604783392"/>
        <c:axId val="604781096"/>
      </c:barChart>
      <c:catAx>
        <c:axId val="604783392"/>
        <c:scaling>
          <c:orientation val="minMax"/>
        </c:scaling>
        <c:delete val="0"/>
        <c:axPos val="b"/>
        <c:title>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4781096"/>
        <c:crosses val="autoZero"/>
        <c:auto val="1"/>
        <c:lblAlgn val="ctr"/>
        <c:lblOffset val="100"/>
        <c:noMultiLvlLbl val="0"/>
      </c:catAx>
      <c:valAx>
        <c:axId val="6047810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04783392"/>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Commercial BAU by End-Use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0115254566062421E-2"/>
          <c:y val="0.1257225383385375"/>
          <c:w val="0.89951358408325033"/>
          <c:h val="0.71810428786818858"/>
        </c:manualLayout>
      </c:layout>
      <c:barChart>
        <c:barDir val="col"/>
        <c:grouping val="stacked"/>
        <c:varyColors val="0"/>
        <c:ser>
          <c:idx val="3"/>
          <c:order val="1"/>
          <c:tx>
            <c:strRef>
              <c:f>Electricity!$F$145</c:f>
              <c:strCache>
                <c:ptCount val="1"/>
                <c:pt idx="0">
                  <c:v>AC</c:v>
                </c:pt>
              </c:strCache>
            </c:strRef>
          </c:tx>
          <c:spPr>
            <a:solidFill>
              <a:schemeClr val="accent4"/>
            </a:solidFill>
            <a:ln>
              <a:noFill/>
            </a:ln>
            <a:effectLst/>
          </c:spPr>
          <c:invertIfNegative val="0"/>
          <c:cat>
            <c:numRef>
              <c:f>Electricity!$B$146:$B$159</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Electricity!$F$146:$F$159</c:f>
              <c:numCache>
                <c:formatCode>#,##0\ "kWh"</c:formatCode>
                <c:ptCount val="14"/>
                <c:pt idx="0">
                  <c:v>17612348.483689286</c:v>
                </c:pt>
                <c:pt idx="1">
                  <c:v>18729201.108146179</c:v>
                </c:pt>
                <c:pt idx="2">
                  <c:v>19299147.977400169</c:v>
                </c:pt>
                <c:pt idx="3">
                  <c:v>20062935.780310415</c:v>
                </c:pt>
                <c:pt idx="4">
                  <c:v>21025309.981113907</c:v>
                </c:pt>
                <c:pt idx="5">
                  <c:v>22031736.406759702</c:v>
                </c:pt>
                <c:pt idx="6">
                  <c:v>23180797.102778297</c:v>
                </c:pt>
                <c:pt idx="7">
                  <c:v>24417966.515238173</c:v>
                </c:pt>
                <c:pt idx="8">
                  <c:v>25769929.060675319</c:v>
                </c:pt>
                <c:pt idx="9">
                  <c:v>27260535.642620064</c:v>
                </c:pt>
                <c:pt idx="10">
                  <c:v>28750973.178514864</c:v>
                </c:pt>
                <c:pt idx="11">
                  <c:v>30170810.244940076</c:v>
                </c:pt>
                <c:pt idx="12">
                  <c:v>31629979.003376335</c:v>
                </c:pt>
                <c:pt idx="13">
                  <c:v>33215919.220831659</c:v>
                </c:pt>
              </c:numCache>
            </c:numRef>
          </c:val>
          <c:extLst>
            <c:ext xmlns:c16="http://schemas.microsoft.com/office/drawing/2014/chart" uri="{C3380CC4-5D6E-409C-BE32-E72D297353CC}">
              <c16:uniqueId val="{00000000-4BE5-47F3-A526-8204D978C9E0}"/>
            </c:ext>
          </c:extLst>
        </c:ser>
        <c:ser>
          <c:idx val="4"/>
          <c:order val="2"/>
          <c:tx>
            <c:strRef>
              <c:f>Electricity!$G$145</c:f>
              <c:strCache>
                <c:ptCount val="1"/>
                <c:pt idx="0">
                  <c:v>Lighting</c:v>
                </c:pt>
              </c:strCache>
            </c:strRef>
          </c:tx>
          <c:spPr>
            <a:solidFill>
              <a:schemeClr val="accent5"/>
            </a:solidFill>
            <a:ln>
              <a:noFill/>
            </a:ln>
            <a:effectLst/>
          </c:spPr>
          <c:invertIfNegative val="0"/>
          <c:cat>
            <c:numRef>
              <c:f>Electricity!$B$146:$B$159</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Electricity!$G$146:$G$159</c:f>
              <c:numCache>
                <c:formatCode>#,##0\ "kWh"</c:formatCode>
                <c:ptCount val="14"/>
                <c:pt idx="0">
                  <c:v>5252805.688117858</c:v>
                </c:pt>
                <c:pt idx="1">
                  <c:v>5585902.0848857034</c:v>
                </c:pt>
                <c:pt idx="2">
                  <c:v>5755886.238873736</c:v>
                </c:pt>
                <c:pt idx="3">
                  <c:v>5983682.6011452125</c:v>
                </c:pt>
                <c:pt idx="4">
                  <c:v>6270706.4855953772</c:v>
                </c:pt>
                <c:pt idx="5">
                  <c:v>6570868.7528932448</c:v>
                </c:pt>
                <c:pt idx="6">
                  <c:v>6913571.0657408964</c:v>
                </c:pt>
                <c:pt idx="7">
                  <c:v>7282551.4168254212</c:v>
                </c:pt>
                <c:pt idx="8">
                  <c:v>7685768.3163417634</c:v>
                </c:pt>
                <c:pt idx="9">
                  <c:v>8130335.191658617</c:v>
                </c:pt>
                <c:pt idx="10">
                  <c:v>8574851.649732504</c:v>
                </c:pt>
                <c:pt idx="11">
                  <c:v>8998311.8274382707</c:v>
                </c:pt>
                <c:pt idx="12">
                  <c:v>9433502.5097789075</c:v>
                </c:pt>
                <c:pt idx="13">
                  <c:v>9906502.2237568125</c:v>
                </c:pt>
              </c:numCache>
            </c:numRef>
          </c:val>
          <c:extLst>
            <c:ext xmlns:c16="http://schemas.microsoft.com/office/drawing/2014/chart" uri="{C3380CC4-5D6E-409C-BE32-E72D297353CC}">
              <c16:uniqueId val="{00000001-4BE5-47F3-A526-8204D978C9E0}"/>
            </c:ext>
          </c:extLst>
        </c:ser>
        <c:ser>
          <c:idx val="6"/>
          <c:order val="3"/>
          <c:tx>
            <c:strRef>
              <c:f>Electricity!$I$145</c:f>
              <c:strCache>
                <c:ptCount val="1"/>
                <c:pt idx="0">
                  <c:v>Ventilation (Fans)</c:v>
                </c:pt>
              </c:strCache>
            </c:strRef>
          </c:tx>
          <c:spPr>
            <a:solidFill>
              <a:schemeClr val="accent1">
                <a:lumMod val="60000"/>
              </a:schemeClr>
            </a:solidFill>
            <a:ln>
              <a:noFill/>
            </a:ln>
            <a:effectLst/>
          </c:spPr>
          <c:invertIfNegative val="0"/>
          <c:cat>
            <c:numRef>
              <c:f>Electricity!$B$146:$B$159</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Electricity!$I$146:$I$159</c:f>
              <c:numCache>
                <c:formatCode>#,##0\ "kWh"</c:formatCode>
                <c:ptCount val="14"/>
                <c:pt idx="0">
                  <c:v>4634828.5483392859</c:v>
                </c:pt>
                <c:pt idx="1">
                  <c:v>4928737.1337226788</c:v>
                </c:pt>
                <c:pt idx="2">
                  <c:v>5078723.1519474136</c:v>
                </c:pt>
                <c:pt idx="3">
                  <c:v>5279719.9421869516</c:v>
                </c:pt>
                <c:pt idx="4">
                  <c:v>5532976.3108194498</c:v>
                </c:pt>
                <c:pt idx="5">
                  <c:v>5797825.3701999215</c:v>
                </c:pt>
                <c:pt idx="6">
                  <c:v>6100209.7638890259</c:v>
                </c:pt>
                <c:pt idx="7">
                  <c:v>6425780.661904783</c:v>
                </c:pt>
                <c:pt idx="8">
                  <c:v>6781560.2791250842</c:v>
                </c:pt>
                <c:pt idx="9">
                  <c:v>7173825.1691105431</c:v>
                </c:pt>
                <c:pt idx="10">
                  <c:v>7566045.5732933851</c:v>
                </c:pt>
                <c:pt idx="11">
                  <c:v>7939686.9065631786</c:v>
                </c:pt>
                <c:pt idx="12">
                  <c:v>8323678.6850990355</c:v>
                </c:pt>
                <c:pt idx="13">
                  <c:v>8741031.3739030696</c:v>
                </c:pt>
              </c:numCache>
            </c:numRef>
          </c:val>
          <c:extLst>
            <c:ext xmlns:c16="http://schemas.microsoft.com/office/drawing/2014/chart" uri="{C3380CC4-5D6E-409C-BE32-E72D297353CC}">
              <c16:uniqueId val="{00000002-4BE5-47F3-A526-8204D978C9E0}"/>
            </c:ext>
          </c:extLst>
        </c:ser>
        <c:ser>
          <c:idx val="5"/>
          <c:order val="4"/>
          <c:tx>
            <c:strRef>
              <c:f>Electricity!$H$145</c:f>
              <c:strCache>
                <c:ptCount val="1"/>
                <c:pt idx="0">
                  <c:v>Office Equipment</c:v>
                </c:pt>
              </c:strCache>
            </c:strRef>
          </c:tx>
          <c:spPr>
            <a:solidFill>
              <a:schemeClr val="accent6"/>
            </a:solidFill>
            <a:ln>
              <a:noFill/>
            </a:ln>
            <a:effectLst/>
          </c:spPr>
          <c:invertIfNegative val="0"/>
          <c:cat>
            <c:numRef>
              <c:f>Electricity!$B$146:$B$159</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Electricity!$H$146:$H$159</c:f>
              <c:numCache>
                <c:formatCode>#,##0\ "kWh"</c:formatCode>
                <c:ptCount val="14"/>
                <c:pt idx="0">
                  <c:v>3398874.2687821435</c:v>
                </c:pt>
                <c:pt idx="1">
                  <c:v>3614407.2313966313</c:v>
                </c:pt>
                <c:pt idx="2">
                  <c:v>3724396.9780947701</c:v>
                </c:pt>
                <c:pt idx="3">
                  <c:v>3871794.6242704317</c:v>
                </c:pt>
                <c:pt idx="4">
                  <c:v>4057515.9612675966</c:v>
                </c:pt>
                <c:pt idx="5">
                  <c:v>4251738.6048132759</c:v>
                </c:pt>
                <c:pt idx="6">
                  <c:v>4473487.1601852858</c:v>
                </c:pt>
                <c:pt idx="7">
                  <c:v>4712239.1520635076</c:v>
                </c:pt>
                <c:pt idx="8">
                  <c:v>4973144.2046917286</c:v>
                </c:pt>
                <c:pt idx="9">
                  <c:v>5260805.124014399</c:v>
                </c:pt>
                <c:pt idx="10">
                  <c:v>5548433.4204151491</c:v>
                </c:pt>
                <c:pt idx="11">
                  <c:v>5822437.0648129983</c:v>
                </c:pt>
                <c:pt idx="12">
                  <c:v>6104031.0357392933</c:v>
                </c:pt>
                <c:pt idx="13">
                  <c:v>6410089.6741955839</c:v>
                </c:pt>
              </c:numCache>
            </c:numRef>
          </c:val>
          <c:extLst>
            <c:ext xmlns:c16="http://schemas.microsoft.com/office/drawing/2014/chart" uri="{C3380CC4-5D6E-409C-BE32-E72D297353CC}">
              <c16:uniqueId val="{00000003-4BE5-47F3-A526-8204D978C9E0}"/>
            </c:ext>
          </c:extLst>
        </c:ser>
        <c:ser>
          <c:idx val="1"/>
          <c:order val="6"/>
          <c:tx>
            <c:strRef>
              <c:f>Electricity!$D$145</c:f>
              <c:strCache>
                <c:ptCount val="1"/>
                <c:pt idx="0">
                  <c:v>Streetlights Billed</c:v>
                </c:pt>
              </c:strCache>
            </c:strRef>
          </c:tx>
          <c:spPr>
            <a:solidFill>
              <a:schemeClr val="accent2"/>
            </a:solidFill>
            <a:ln>
              <a:noFill/>
            </a:ln>
            <a:effectLst/>
          </c:spPr>
          <c:invertIfNegative val="0"/>
          <c:cat>
            <c:numRef>
              <c:f>Electricity!$B$146:$B$159</c:f>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f>Electricity!$D$146:$D$159</c:f>
              <c:numCache>
                <c:formatCode>#,##0\ "kWh"</c:formatCode>
                <c:ptCount val="14"/>
                <c:pt idx="0">
                  <c:v>1917560.2285714285</c:v>
                </c:pt>
                <c:pt idx="1">
                  <c:v>1820360.2285714285</c:v>
                </c:pt>
                <c:pt idx="2">
                  <c:v>1820360.2285714285</c:v>
                </c:pt>
                <c:pt idx="3">
                  <c:v>1820360.2285714285</c:v>
                </c:pt>
                <c:pt idx="4">
                  <c:v>1820360.2285714285</c:v>
                </c:pt>
                <c:pt idx="5">
                  <c:v>1820360.2285714285</c:v>
                </c:pt>
                <c:pt idx="6">
                  <c:v>1820360.2285714285</c:v>
                </c:pt>
                <c:pt idx="7">
                  <c:v>1820360.2285714285</c:v>
                </c:pt>
                <c:pt idx="8">
                  <c:v>1820360.2285714285</c:v>
                </c:pt>
                <c:pt idx="9">
                  <c:v>1820360.2285714285</c:v>
                </c:pt>
                <c:pt idx="10">
                  <c:v>1820360.2285714285</c:v>
                </c:pt>
                <c:pt idx="11">
                  <c:v>1820360.2285714285</c:v>
                </c:pt>
                <c:pt idx="12">
                  <c:v>1820360.2285714285</c:v>
                </c:pt>
                <c:pt idx="13">
                  <c:v>1820360.2285714285</c:v>
                </c:pt>
              </c:numCache>
            </c:numRef>
          </c:val>
          <c:extLst>
            <c:ext xmlns:c16="http://schemas.microsoft.com/office/drawing/2014/chart" uri="{C3380CC4-5D6E-409C-BE32-E72D297353CC}">
              <c16:uniqueId val="{00000005-4BE5-47F3-A526-8204D978C9E0}"/>
            </c:ext>
          </c:extLst>
        </c:ser>
        <c:dLbls>
          <c:showLegendKey val="0"/>
          <c:showVal val="0"/>
          <c:showCatName val="0"/>
          <c:showSerName val="0"/>
          <c:showPercent val="0"/>
          <c:showBubbleSize val="0"/>
        </c:dLbls>
        <c:gapWidth val="150"/>
        <c:overlap val="100"/>
        <c:axId val="548615304"/>
        <c:axId val="548615632"/>
        <c:extLst>
          <c:ext xmlns:c15="http://schemas.microsoft.com/office/drawing/2012/chart" uri="{02D57815-91ED-43cb-92C2-25804820EDAC}">
            <c15:filteredBarSeries>
              <c15:ser>
                <c:idx val="0"/>
                <c:order val="0"/>
                <c:tx>
                  <c:strRef>
                    <c:extLst>
                      <c:ext uri="{02D57815-91ED-43cb-92C2-25804820EDAC}">
                        <c15:formulaRef>
                          <c15:sqref>Electricity!$B$145</c15:sqref>
                        </c15:formulaRef>
                      </c:ext>
                    </c:extLst>
                    <c:strCache>
                      <c:ptCount val="1"/>
                      <c:pt idx="0">
                        <c:v>Year</c:v>
                      </c:pt>
                    </c:strCache>
                  </c:strRef>
                </c:tx>
                <c:spPr>
                  <a:solidFill>
                    <a:schemeClr val="accent1"/>
                  </a:solidFill>
                  <a:ln>
                    <a:noFill/>
                  </a:ln>
                  <a:effectLst/>
                </c:spPr>
                <c:invertIfNegative val="0"/>
                <c:cat>
                  <c:numRef>
                    <c:extLst>
                      <c:ext uri="{02D57815-91ED-43cb-92C2-25804820EDAC}">
                        <c15:formulaRef>
                          <c15:sqref>Electricity!$B$146:$B$159</c15:sqref>
                        </c15:formulaRef>
                      </c:ext>
                    </c:extLst>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extLst>
                      <c:ext uri="{02D57815-91ED-43cb-92C2-25804820EDAC}">
                        <c15:formulaRef>
                          <c15:sqref>Electricity!$B$146:$B$159</c15:sqref>
                        </c15:formulaRef>
                      </c:ext>
                    </c:extLst>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val>
                <c:extLst>
                  <c:ext xmlns:c16="http://schemas.microsoft.com/office/drawing/2014/chart" uri="{C3380CC4-5D6E-409C-BE32-E72D297353CC}">
                    <c16:uniqueId val="{00000006-4BE5-47F3-A526-8204D978C9E0}"/>
                  </c:ext>
                </c:extLst>
              </c15:ser>
            </c15:filteredBarSeries>
            <c15:filteredBarSeries>
              <c15:ser>
                <c:idx val="2"/>
                <c:order val="5"/>
                <c:tx>
                  <c:strRef>
                    <c:extLst xmlns:c15="http://schemas.microsoft.com/office/drawing/2012/chart">
                      <c:ext xmlns:c15="http://schemas.microsoft.com/office/drawing/2012/chart" uri="{02D57815-91ED-43cb-92C2-25804820EDAC}">
                        <c15:formulaRef>
                          <c15:sqref>'Residential BAU End Use'!#REF!</c15:sqref>
                        </c15:formulaRef>
                      </c:ext>
                    </c:extLst>
                    <c:strCache>
                      <c:ptCount val="1"/>
                      <c:pt idx="0">
                        <c:v>#REF!</c:v>
                      </c:pt>
                    </c:strCache>
                  </c:strRef>
                </c:tx>
                <c:spPr>
                  <a:solidFill>
                    <a:schemeClr val="accent3"/>
                  </a:solidFill>
                  <a:ln w="25400">
                    <a:noFill/>
                  </a:ln>
                  <a:effectLst/>
                </c:spPr>
                <c:invertIfNegative val="0"/>
                <c:cat>
                  <c:numRef>
                    <c:extLst xmlns:c15="http://schemas.microsoft.com/office/drawing/2012/chart">
                      <c:ext xmlns:c15="http://schemas.microsoft.com/office/drawing/2012/chart" uri="{02D57815-91ED-43cb-92C2-25804820EDAC}">
                        <c15:formulaRef>
                          <c15:sqref>Electricity!$B$146:$B$159</c15:sqref>
                        </c15:formulaRef>
                      </c:ext>
                    </c:extLst>
                    <c:numCache>
                      <c:formatCode>General</c:formatCode>
                      <c:ptCount val="14"/>
                      <c:pt idx="0">
                        <c:v>2017</c:v>
                      </c:pt>
                      <c:pt idx="1">
                        <c:v>2018</c:v>
                      </c:pt>
                      <c:pt idx="2">
                        <c:v>2019</c:v>
                      </c:pt>
                      <c:pt idx="3">
                        <c:v>2020</c:v>
                      </c:pt>
                      <c:pt idx="4">
                        <c:v>2021</c:v>
                      </c:pt>
                      <c:pt idx="5">
                        <c:v>2022</c:v>
                      </c:pt>
                      <c:pt idx="6">
                        <c:v>2023</c:v>
                      </c:pt>
                      <c:pt idx="7">
                        <c:v>2024</c:v>
                      </c:pt>
                      <c:pt idx="8">
                        <c:v>2025</c:v>
                      </c:pt>
                      <c:pt idx="9">
                        <c:v>2026</c:v>
                      </c:pt>
                      <c:pt idx="10">
                        <c:v>2027</c:v>
                      </c:pt>
                      <c:pt idx="11">
                        <c:v>2028</c:v>
                      </c:pt>
                      <c:pt idx="12">
                        <c:v>2029</c:v>
                      </c:pt>
                      <c:pt idx="13">
                        <c:v>2030</c:v>
                      </c:pt>
                    </c:numCache>
                  </c:numRef>
                </c:cat>
                <c:val>
                  <c:numRef>
                    <c:extLst xmlns:c15="http://schemas.microsoft.com/office/drawing/2012/chart">
                      <c:ext xmlns:c15="http://schemas.microsoft.com/office/drawing/2012/chart" uri="{02D57815-91ED-43cb-92C2-25804820EDAC}">
                        <c15:formulaRef>
                          <c15:sqref>'Residential BAU End Use'!#REF!</c15:sqref>
                        </c15:formulaRef>
                      </c:ext>
                    </c:extLst>
                    <c:numCache>
                      <c:formatCode>General</c:formatCode>
                      <c:ptCount val="1"/>
                      <c:pt idx="0">
                        <c:v>1</c:v>
                      </c:pt>
                    </c:numCache>
                  </c:numRef>
                </c:val>
                <c:extLst xmlns:c15="http://schemas.microsoft.com/office/drawing/2012/chart">
                  <c:ext xmlns:c16="http://schemas.microsoft.com/office/drawing/2014/chart" uri="{C3380CC4-5D6E-409C-BE32-E72D297353CC}">
                    <c16:uniqueId val="{00000004-4BE5-47F3-A526-8204D978C9E0}"/>
                  </c:ext>
                </c:extLst>
              </c15:ser>
            </c15:filteredBarSeries>
          </c:ext>
        </c:extLst>
      </c:barChart>
      <c:catAx>
        <c:axId val="54861530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8615632"/>
        <c:crosses val="autoZero"/>
        <c:auto val="1"/>
        <c:lblAlgn val="ctr"/>
        <c:lblOffset val="100"/>
        <c:noMultiLvlLbl val="0"/>
      </c:catAx>
      <c:valAx>
        <c:axId val="5486156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8615304"/>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33">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50000"/>
            <a:lumOff val="50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4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27.xml"/><Relationship Id="rId7" Type="http://schemas.openxmlformats.org/officeDocument/2006/relationships/chart" Target="../charts/chart31.xml"/><Relationship Id="rId2" Type="http://schemas.openxmlformats.org/officeDocument/2006/relationships/chart" Target="../charts/chart26.xml"/><Relationship Id="rId1" Type="http://schemas.openxmlformats.org/officeDocument/2006/relationships/chart" Target="../charts/chart25.xml"/><Relationship Id="rId6" Type="http://schemas.openxmlformats.org/officeDocument/2006/relationships/chart" Target="../charts/chart30.xml"/><Relationship Id="rId5" Type="http://schemas.openxmlformats.org/officeDocument/2006/relationships/chart" Target="../charts/chart29.xml"/><Relationship Id="rId4" Type="http://schemas.openxmlformats.org/officeDocument/2006/relationships/chart" Target="../charts/chart28.xml"/></Relationships>
</file>

<file path=xl/drawings/_rels/drawing2.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chart" Target="../charts/chart13.xml"/><Relationship Id="rId5" Type="http://schemas.openxmlformats.org/officeDocument/2006/relationships/chart" Target="../charts/chart12.xml"/><Relationship Id="rId4" Type="http://schemas.openxmlformats.org/officeDocument/2006/relationships/chart" Target="../charts/chart1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chart" Target="../charts/chart18.xml"/><Relationship Id="rId4" Type="http://schemas.openxmlformats.org/officeDocument/2006/relationships/chart" Target="../charts/chart17.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 Id="rId4" Type="http://schemas.openxmlformats.org/officeDocument/2006/relationships/chart" Target="../charts/chart22.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0</xdr:col>
      <xdr:colOff>609599</xdr:colOff>
      <xdr:row>145</xdr:row>
      <xdr:rowOff>190499</xdr:rowOff>
    </xdr:from>
    <xdr:to>
      <xdr:col>5</xdr:col>
      <xdr:colOff>1438274</xdr:colOff>
      <xdr:row>173</xdr:row>
      <xdr:rowOff>9524</xdr:rowOff>
    </xdr:to>
    <xdr:graphicFrame macro="">
      <xdr:nvGraphicFramePr>
        <xdr:cNvPr id="2" name="Chart 1">
          <a:extLst>
            <a:ext uri="{FF2B5EF4-FFF2-40B4-BE49-F238E27FC236}">
              <a16:creationId xmlns:a16="http://schemas.microsoft.com/office/drawing/2014/main" id="{340681B7-ABF8-4945-B7D7-3EEE740DA0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xdr:colOff>
      <xdr:row>174</xdr:row>
      <xdr:rowOff>33867</xdr:rowOff>
    </xdr:from>
    <xdr:to>
      <xdr:col>5</xdr:col>
      <xdr:colOff>279400</xdr:colOff>
      <xdr:row>200</xdr:row>
      <xdr:rowOff>0</xdr:rowOff>
    </xdr:to>
    <xdr:graphicFrame macro="">
      <xdr:nvGraphicFramePr>
        <xdr:cNvPr id="3" name="Chart 2">
          <a:extLst>
            <a:ext uri="{FF2B5EF4-FFF2-40B4-BE49-F238E27FC236}">
              <a16:creationId xmlns:a16="http://schemas.microsoft.com/office/drawing/2014/main" id="{B840EA4D-BE44-4FB2-A28E-BF667ED080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201</xdr:row>
      <xdr:rowOff>1</xdr:rowOff>
    </xdr:from>
    <xdr:to>
      <xdr:col>5</xdr:col>
      <xdr:colOff>1447799</xdr:colOff>
      <xdr:row>234</xdr:row>
      <xdr:rowOff>38100</xdr:rowOff>
    </xdr:to>
    <xdr:graphicFrame macro="">
      <xdr:nvGraphicFramePr>
        <xdr:cNvPr id="4" name="Chart 3">
          <a:extLst>
            <a:ext uri="{FF2B5EF4-FFF2-40B4-BE49-F238E27FC236}">
              <a16:creationId xmlns:a16="http://schemas.microsoft.com/office/drawing/2014/main" id="{C2B97247-86CC-4E26-A7D6-10628926AA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8</xdr:col>
      <xdr:colOff>1031876</xdr:colOff>
      <xdr:row>1342</xdr:row>
      <xdr:rowOff>29636</xdr:rowOff>
    </xdr:from>
    <xdr:to>
      <xdr:col>12</xdr:col>
      <xdr:colOff>928158</xdr:colOff>
      <xdr:row>1350</xdr:row>
      <xdr:rowOff>501650</xdr:rowOff>
    </xdr:to>
    <xdr:graphicFrame macro="">
      <xdr:nvGraphicFramePr>
        <xdr:cNvPr id="2" name="Chart 1">
          <a:extLst>
            <a:ext uri="{FF2B5EF4-FFF2-40B4-BE49-F238E27FC236}">
              <a16:creationId xmlns:a16="http://schemas.microsoft.com/office/drawing/2014/main" id="{6CA271F5-925B-4734-B7A6-8F9DB705AB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347663</xdr:colOff>
      <xdr:row>1412</xdr:row>
      <xdr:rowOff>22225</xdr:rowOff>
    </xdr:from>
    <xdr:to>
      <xdr:col>12</xdr:col>
      <xdr:colOff>733425</xdr:colOff>
      <xdr:row>1432</xdr:row>
      <xdr:rowOff>120650</xdr:rowOff>
    </xdr:to>
    <xdr:graphicFrame macro="">
      <xdr:nvGraphicFramePr>
        <xdr:cNvPr id="3" name="Chart 2">
          <a:extLst>
            <a:ext uri="{FF2B5EF4-FFF2-40B4-BE49-F238E27FC236}">
              <a16:creationId xmlns:a16="http://schemas.microsoft.com/office/drawing/2014/main" id="{43493B79-1B82-47FC-8F3B-D389A1AC87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185207</xdr:colOff>
      <xdr:row>1580</xdr:row>
      <xdr:rowOff>131232</xdr:rowOff>
    </xdr:from>
    <xdr:to>
      <xdr:col>13</xdr:col>
      <xdr:colOff>470958</xdr:colOff>
      <xdr:row>1591</xdr:row>
      <xdr:rowOff>122765</xdr:rowOff>
    </xdr:to>
    <xdr:graphicFrame macro="">
      <xdr:nvGraphicFramePr>
        <xdr:cNvPr id="4" name="Chart 3">
          <a:extLst>
            <a:ext uri="{FF2B5EF4-FFF2-40B4-BE49-F238E27FC236}">
              <a16:creationId xmlns:a16="http://schemas.microsoft.com/office/drawing/2014/main" id="{D00C5FD3-7A49-4343-BDCD-CD57621B81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341086</xdr:colOff>
      <xdr:row>1637</xdr:row>
      <xdr:rowOff>25400</xdr:rowOff>
    </xdr:from>
    <xdr:to>
      <xdr:col>16</xdr:col>
      <xdr:colOff>377370</xdr:colOff>
      <xdr:row>1645</xdr:row>
      <xdr:rowOff>50800</xdr:rowOff>
    </xdr:to>
    <xdr:graphicFrame macro="">
      <xdr:nvGraphicFramePr>
        <xdr:cNvPr id="5" name="Chart 4">
          <a:extLst>
            <a:ext uri="{FF2B5EF4-FFF2-40B4-BE49-F238E27FC236}">
              <a16:creationId xmlns:a16="http://schemas.microsoft.com/office/drawing/2014/main" id="{30AAE023-20E9-478D-AC14-B19034FB19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251884</xdr:colOff>
      <xdr:row>1650</xdr:row>
      <xdr:rowOff>91016</xdr:rowOff>
    </xdr:from>
    <xdr:to>
      <xdr:col>16</xdr:col>
      <xdr:colOff>283933</xdr:colOff>
      <xdr:row>1663</xdr:row>
      <xdr:rowOff>114299</xdr:rowOff>
    </xdr:to>
    <xdr:graphicFrame macro="">
      <xdr:nvGraphicFramePr>
        <xdr:cNvPr id="6" name="Chart 5">
          <a:extLst>
            <a:ext uri="{FF2B5EF4-FFF2-40B4-BE49-F238E27FC236}">
              <a16:creationId xmlns:a16="http://schemas.microsoft.com/office/drawing/2014/main" id="{0D931296-C0A9-4D1D-89FB-2270B34007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431800</xdr:colOff>
      <xdr:row>1691</xdr:row>
      <xdr:rowOff>114300</xdr:rowOff>
    </xdr:from>
    <xdr:to>
      <xdr:col>13</xdr:col>
      <xdr:colOff>311449</xdr:colOff>
      <xdr:row>1708</xdr:row>
      <xdr:rowOff>146049</xdr:rowOff>
    </xdr:to>
    <xdr:graphicFrame macro="">
      <xdr:nvGraphicFramePr>
        <xdr:cNvPr id="7" name="Chart 6">
          <a:extLst>
            <a:ext uri="{FF2B5EF4-FFF2-40B4-BE49-F238E27FC236}">
              <a16:creationId xmlns:a16="http://schemas.microsoft.com/office/drawing/2014/main" id="{ECD831DE-0E20-44FD-82EC-AC467FE1F4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1016000</xdr:colOff>
      <xdr:row>1330</xdr:row>
      <xdr:rowOff>137584</xdr:rowOff>
    </xdr:from>
    <xdr:to>
      <xdr:col>12</xdr:col>
      <xdr:colOff>912282</xdr:colOff>
      <xdr:row>1341</xdr:row>
      <xdr:rowOff>69848</xdr:rowOff>
    </xdr:to>
    <xdr:graphicFrame macro="">
      <xdr:nvGraphicFramePr>
        <xdr:cNvPr id="8" name="Chart 7">
          <a:extLst>
            <a:ext uri="{FF2B5EF4-FFF2-40B4-BE49-F238E27FC236}">
              <a16:creationId xmlns:a16="http://schemas.microsoft.com/office/drawing/2014/main" id="{13B202EA-D332-47CC-96CF-8F0BA2848D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240926</xdr:colOff>
      <xdr:row>86</xdr:row>
      <xdr:rowOff>56030</xdr:rowOff>
    </xdr:from>
    <xdr:to>
      <xdr:col>10</xdr:col>
      <xdr:colOff>574301</xdr:colOff>
      <xdr:row>126</xdr:row>
      <xdr:rowOff>70036</xdr:rowOff>
    </xdr:to>
    <xdr:graphicFrame macro="">
      <xdr:nvGraphicFramePr>
        <xdr:cNvPr id="3" name="Chart 2">
          <a:extLst>
            <a:ext uri="{FF2B5EF4-FFF2-40B4-BE49-F238E27FC236}">
              <a16:creationId xmlns:a16="http://schemas.microsoft.com/office/drawing/2014/main" id="{8813DC44-CDE5-4163-B8AA-BEDE9A18C8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644339</xdr:colOff>
      <xdr:row>18</xdr:row>
      <xdr:rowOff>182096</xdr:rowOff>
    </xdr:from>
    <xdr:to>
      <xdr:col>10</xdr:col>
      <xdr:colOff>630331</xdr:colOff>
      <xdr:row>58</xdr:row>
      <xdr:rowOff>70036</xdr:rowOff>
    </xdr:to>
    <xdr:graphicFrame macro="">
      <xdr:nvGraphicFramePr>
        <xdr:cNvPr id="4" name="Chart 3">
          <a:extLst>
            <a:ext uri="{FF2B5EF4-FFF2-40B4-BE49-F238E27FC236}">
              <a16:creationId xmlns:a16="http://schemas.microsoft.com/office/drawing/2014/main" id="{08800C65-1BA0-4C19-A5AD-E9AD42559C8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62</xdr:row>
      <xdr:rowOff>68581</xdr:rowOff>
    </xdr:from>
    <xdr:to>
      <xdr:col>5</xdr:col>
      <xdr:colOff>510540</xdr:colOff>
      <xdr:row>80</xdr:row>
      <xdr:rowOff>3810</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739140</xdr:colOff>
      <xdr:row>62</xdr:row>
      <xdr:rowOff>91440</xdr:rowOff>
    </xdr:from>
    <xdr:to>
      <xdr:col>13</xdr:col>
      <xdr:colOff>777240</xdr:colOff>
      <xdr:row>79</xdr:row>
      <xdr:rowOff>160020</xdr:rowOff>
    </xdr:to>
    <xdr:graphicFrame macro="">
      <xdr:nvGraphicFramePr>
        <xdr:cNvPr id="3" name="Chart 2">
          <a:extLst>
            <a:ext uri="{FF2B5EF4-FFF2-40B4-BE49-F238E27FC236}">
              <a16:creationId xmlns:a16="http://schemas.microsoft.com/office/drawing/2014/main" id="{CDF17C0E-9D4C-4C3C-A0EF-37D99EA632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12</xdr:col>
      <xdr:colOff>466724</xdr:colOff>
      <xdr:row>77</xdr:row>
      <xdr:rowOff>10915</xdr:rowOff>
    </xdr:from>
    <xdr:to>
      <xdr:col>18</xdr:col>
      <xdr:colOff>838200</xdr:colOff>
      <xdr:row>96</xdr:row>
      <xdr:rowOff>129710</xdr:rowOff>
    </xdr:to>
    <xdr:graphicFrame macro="">
      <xdr:nvGraphicFramePr>
        <xdr:cNvPr id="2" name="Chart 1">
          <a:extLst>
            <a:ext uri="{FF2B5EF4-FFF2-40B4-BE49-F238E27FC236}">
              <a16:creationId xmlns:a16="http://schemas.microsoft.com/office/drawing/2014/main" id="{AFF7144C-E6AF-4744-81C8-E49CB67CEB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744070</xdr:colOff>
      <xdr:row>140</xdr:row>
      <xdr:rowOff>134471</xdr:rowOff>
    </xdr:from>
    <xdr:to>
      <xdr:col>15</xdr:col>
      <xdr:colOff>1010770</xdr:colOff>
      <xdr:row>159</xdr:row>
      <xdr:rowOff>93570</xdr:rowOff>
    </xdr:to>
    <xdr:graphicFrame macro="">
      <xdr:nvGraphicFramePr>
        <xdr:cNvPr id="3" name="Chart 2">
          <a:extLst>
            <a:ext uri="{FF2B5EF4-FFF2-40B4-BE49-F238E27FC236}">
              <a16:creationId xmlns:a16="http://schemas.microsoft.com/office/drawing/2014/main" id="{5138FE68-A647-4D5B-AF11-C15CDD299B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674598</xdr:colOff>
      <xdr:row>491</xdr:row>
      <xdr:rowOff>6242</xdr:rowOff>
    </xdr:from>
    <xdr:to>
      <xdr:col>6</xdr:col>
      <xdr:colOff>254000</xdr:colOff>
      <xdr:row>518</xdr:row>
      <xdr:rowOff>95249</xdr:rowOff>
    </xdr:to>
    <xdr:graphicFrame macro="">
      <xdr:nvGraphicFramePr>
        <xdr:cNvPr id="5" name="Chart 4">
          <a:extLst>
            <a:ext uri="{FF2B5EF4-FFF2-40B4-BE49-F238E27FC236}">
              <a16:creationId xmlns:a16="http://schemas.microsoft.com/office/drawing/2014/main" id="{58210756-AB64-4FBE-A464-28984B70355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1428749</xdr:colOff>
      <xdr:row>191</xdr:row>
      <xdr:rowOff>11906</xdr:rowOff>
    </xdr:from>
    <xdr:to>
      <xdr:col>12</xdr:col>
      <xdr:colOff>1240632</xdr:colOff>
      <xdr:row>210</xdr:row>
      <xdr:rowOff>178327</xdr:rowOff>
    </xdr:to>
    <xdr:graphicFrame macro="">
      <xdr:nvGraphicFramePr>
        <xdr:cNvPr id="8" name="Chart 7">
          <a:extLst>
            <a:ext uri="{FF2B5EF4-FFF2-40B4-BE49-F238E27FC236}">
              <a16:creationId xmlns:a16="http://schemas.microsoft.com/office/drawing/2014/main" id="{69F28F30-5AFE-460C-AC08-76C790F2C2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853656</xdr:colOff>
      <xdr:row>15</xdr:row>
      <xdr:rowOff>148506</xdr:rowOff>
    </xdr:from>
    <xdr:to>
      <xdr:col>15</xdr:col>
      <xdr:colOff>393281</xdr:colOff>
      <xdr:row>29</xdr:row>
      <xdr:rowOff>81831</xdr:rowOff>
    </xdr:to>
    <xdr:graphicFrame macro="">
      <xdr:nvGraphicFramePr>
        <xdr:cNvPr id="10" name="Chart 9">
          <a:extLst>
            <a:ext uri="{FF2B5EF4-FFF2-40B4-BE49-F238E27FC236}">
              <a16:creationId xmlns:a16="http://schemas.microsoft.com/office/drawing/2014/main" id="{2FE0FEA6-54CA-464C-BD81-677E75D2C7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1308339</xdr:colOff>
      <xdr:row>440</xdr:row>
      <xdr:rowOff>48165</xdr:rowOff>
    </xdr:from>
    <xdr:to>
      <xdr:col>16</xdr:col>
      <xdr:colOff>1171754</xdr:colOff>
      <xdr:row>453</xdr:row>
      <xdr:rowOff>143535</xdr:rowOff>
    </xdr:to>
    <xdr:graphicFrame macro="">
      <xdr:nvGraphicFramePr>
        <xdr:cNvPr id="11" name="Chart 10">
          <a:extLst>
            <a:ext uri="{FF2B5EF4-FFF2-40B4-BE49-F238E27FC236}">
              <a16:creationId xmlns:a16="http://schemas.microsoft.com/office/drawing/2014/main" id="{DC499EEF-DBC2-4640-922E-BDDDFD03BBA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565616</xdr:colOff>
      <xdr:row>1</xdr:row>
      <xdr:rowOff>19050</xdr:rowOff>
    </xdr:from>
    <xdr:to>
      <xdr:col>16</xdr:col>
      <xdr:colOff>20311</xdr:colOff>
      <xdr:row>21</xdr:row>
      <xdr:rowOff>161658</xdr:rowOff>
    </xdr:to>
    <xdr:graphicFrame macro="">
      <xdr:nvGraphicFramePr>
        <xdr:cNvPr id="2" name="Chart 1">
          <a:extLst>
            <a:ext uri="{FF2B5EF4-FFF2-40B4-BE49-F238E27FC236}">
              <a16:creationId xmlns:a16="http://schemas.microsoft.com/office/drawing/2014/main" id="{6A0B7F22-855A-4782-A11E-CF0A1A5BA0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514350</xdr:colOff>
      <xdr:row>23</xdr:row>
      <xdr:rowOff>2113</xdr:rowOff>
    </xdr:from>
    <xdr:to>
      <xdr:col>16</xdr:col>
      <xdr:colOff>90487</xdr:colOff>
      <xdr:row>42</xdr:row>
      <xdr:rowOff>139805</xdr:rowOff>
    </xdr:to>
    <xdr:graphicFrame macro="">
      <xdr:nvGraphicFramePr>
        <xdr:cNvPr id="3" name="Chart 2">
          <a:extLst>
            <a:ext uri="{FF2B5EF4-FFF2-40B4-BE49-F238E27FC236}">
              <a16:creationId xmlns:a16="http://schemas.microsoft.com/office/drawing/2014/main" id="{C00861E7-95D6-41CA-AA82-3F467D7E21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200025</xdr:colOff>
      <xdr:row>44</xdr:row>
      <xdr:rowOff>28575</xdr:rowOff>
    </xdr:from>
    <xdr:to>
      <xdr:col>15</xdr:col>
      <xdr:colOff>264320</xdr:colOff>
      <xdr:row>64</xdr:row>
      <xdr:rowOff>171183</xdr:rowOff>
    </xdr:to>
    <xdr:graphicFrame macro="">
      <xdr:nvGraphicFramePr>
        <xdr:cNvPr id="4" name="Chart 3">
          <a:extLst>
            <a:ext uri="{FF2B5EF4-FFF2-40B4-BE49-F238E27FC236}">
              <a16:creationId xmlns:a16="http://schemas.microsoft.com/office/drawing/2014/main" id="{95721B88-2440-46E5-9865-34AE6BB82A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514348</xdr:colOff>
      <xdr:row>67</xdr:row>
      <xdr:rowOff>174624</xdr:rowOff>
    </xdr:from>
    <xdr:to>
      <xdr:col>14</xdr:col>
      <xdr:colOff>546100</xdr:colOff>
      <xdr:row>91</xdr:row>
      <xdr:rowOff>127000</xdr:rowOff>
    </xdr:to>
    <xdr:graphicFrame macro="">
      <xdr:nvGraphicFramePr>
        <xdr:cNvPr id="6" name="Chart 5">
          <a:extLst>
            <a:ext uri="{FF2B5EF4-FFF2-40B4-BE49-F238E27FC236}">
              <a16:creationId xmlns:a16="http://schemas.microsoft.com/office/drawing/2014/main" id="{4CE883EA-32EB-48CD-BA1F-30AC277C87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1625600</xdr:colOff>
      <xdr:row>114</xdr:row>
      <xdr:rowOff>88900</xdr:rowOff>
    </xdr:from>
    <xdr:to>
      <xdr:col>8</xdr:col>
      <xdr:colOff>342900</xdr:colOff>
      <xdr:row>129</xdr:row>
      <xdr:rowOff>76200</xdr:rowOff>
    </xdr:to>
    <xdr:graphicFrame macro="">
      <xdr:nvGraphicFramePr>
        <xdr:cNvPr id="9" name="Chart 8">
          <a:extLst>
            <a:ext uri="{FF2B5EF4-FFF2-40B4-BE49-F238E27FC236}">
              <a16:creationId xmlns:a16="http://schemas.microsoft.com/office/drawing/2014/main" id="{ADC32057-9B25-5548-A4E9-AD2E0DABB8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0.67607</cdr:x>
      <cdr:y>0.53965</cdr:y>
    </cdr:from>
    <cdr:to>
      <cdr:x>0.82111</cdr:x>
      <cdr:y>0.67377</cdr:y>
    </cdr:to>
    <cdr:sp macro="" textlink="">
      <cdr:nvSpPr>
        <cdr:cNvPr id="2" name="TextBox 1">
          <a:extLst xmlns:a="http://schemas.openxmlformats.org/drawingml/2006/main">
            <a:ext uri="{FF2B5EF4-FFF2-40B4-BE49-F238E27FC236}">
              <a16:creationId xmlns:a16="http://schemas.microsoft.com/office/drawing/2014/main" id="{79B3FBF3-EC07-7C4C-B673-C0C7987D6BEB}"/>
            </a:ext>
          </a:extLst>
        </cdr:cNvPr>
        <cdr:cNvSpPr txBox="1"/>
      </cdr:nvSpPr>
      <cdr:spPr>
        <a:xfrm xmlns:a="http://schemas.openxmlformats.org/drawingml/2006/main">
          <a:off x="5327652" y="2441576"/>
          <a:ext cx="1143001" cy="60681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200" b="1">
              <a:solidFill>
                <a:schemeClr val="bg1"/>
              </a:solidFill>
            </a:rPr>
            <a:t>Ground Transportation</a:t>
          </a:r>
        </a:p>
      </cdr:txBody>
    </cdr:sp>
  </cdr:relSizeAnchor>
  <cdr:relSizeAnchor xmlns:cdr="http://schemas.openxmlformats.org/drawingml/2006/chartDrawing">
    <cdr:from>
      <cdr:x>0.67687</cdr:x>
      <cdr:y>0.29474</cdr:y>
    </cdr:from>
    <cdr:to>
      <cdr:x>0.82192</cdr:x>
      <cdr:y>0.42886</cdr:y>
    </cdr:to>
    <cdr:sp macro="" textlink="">
      <cdr:nvSpPr>
        <cdr:cNvPr id="3" name="TextBox 1">
          <a:extLst xmlns:a="http://schemas.openxmlformats.org/drawingml/2006/main">
            <a:ext uri="{FF2B5EF4-FFF2-40B4-BE49-F238E27FC236}">
              <a16:creationId xmlns:a16="http://schemas.microsoft.com/office/drawing/2014/main" id="{DFF7AF7E-0DD5-4943-8D0D-06EFF77F7D56}"/>
            </a:ext>
          </a:extLst>
        </cdr:cNvPr>
        <cdr:cNvSpPr txBox="1"/>
      </cdr:nvSpPr>
      <cdr:spPr>
        <a:xfrm xmlns:a="http://schemas.openxmlformats.org/drawingml/2006/main">
          <a:off x="5334000" y="1333500"/>
          <a:ext cx="1143001" cy="60681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b="1">
              <a:solidFill>
                <a:schemeClr val="bg1"/>
              </a:solidFill>
            </a:rPr>
            <a:t>Electricity Generation</a:t>
          </a:r>
        </a:p>
      </cdr:txBody>
    </cdr:sp>
  </cdr:relSizeAnchor>
</c:userShapes>
</file>

<file path=xl/drawings/drawing7.xml><?xml version="1.0" encoding="utf-8"?>
<xdr:wsDr xmlns:xdr="http://schemas.openxmlformats.org/drawingml/2006/spreadsheetDrawing" xmlns:a="http://schemas.openxmlformats.org/drawingml/2006/main">
  <xdr:twoCellAnchor>
    <xdr:from>
      <xdr:col>16</xdr:col>
      <xdr:colOff>312030</xdr:colOff>
      <xdr:row>18</xdr:row>
      <xdr:rowOff>143076</xdr:rowOff>
    </xdr:from>
    <xdr:to>
      <xdr:col>22</xdr:col>
      <xdr:colOff>796990</xdr:colOff>
      <xdr:row>36</xdr:row>
      <xdr:rowOff>12755</xdr:rowOff>
    </xdr:to>
    <xdr:graphicFrame macro="">
      <xdr:nvGraphicFramePr>
        <xdr:cNvPr id="3" name="Chart 2">
          <a:extLst>
            <a:ext uri="{FF2B5EF4-FFF2-40B4-BE49-F238E27FC236}">
              <a16:creationId xmlns:a16="http://schemas.microsoft.com/office/drawing/2014/main" id="{5405B879-44A3-4145-84D9-D12C02FCDE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162560</xdr:colOff>
      <xdr:row>0</xdr:row>
      <xdr:rowOff>47300</xdr:rowOff>
    </xdr:from>
    <xdr:to>
      <xdr:col>23</xdr:col>
      <xdr:colOff>585893</xdr:colOff>
      <xdr:row>16</xdr:row>
      <xdr:rowOff>5635</xdr:rowOff>
    </xdr:to>
    <xdr:graphicFrame macro="">
      <xdr:nvGraphicFramePr>
        <xdr:cNvPr id="4" name="Chart 3">
          <a:extLst>
            <a:ext uri="{FF2B5EF4-FFF2-40B4-BE49-F238E27FC236}">
              <a16:creationId xmlns:a16="http://schemas.microsoft.com/office/drawing/2014/main" id="{0795F107-4DE0-3844-8B04-5D7C59518EC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571500</xdr:colOff>
      <xdr:row>23</xdr:row>
      <xdr:rowOff>161693</xdr:rowOff>
    </xdr:from>
    <xdr:to>
      <xdr:col>15</xdr:col>
      <xdr:colOff>17037</xdr:colOff>
      <xdr:row>37</xdr:row>
      <xdr:rowOff>132576</xdr:rowOff>
    </xdr:to>
    <xdr:graphicFrame macro="">
      <xdr:nvGraphicFramePr>
        <xdr:cNvPr id="10" name="Chart 9">
          <a:extLst>
            <a:ext uri="{FF2B5EF4-FFF2-40B4-BE49-F238E27FC236}">
              <a16:creationId xmlns:a16="http://schemas.microsoft.com/office/drawing/2014/main" id="{3C347196-4909-C247-B570-F134C7E410A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314960</xdr:colOff>
      <xdr:row>1</xdr:row>
      <xdr:rowOff>132080</xdr:rowOff>
    </xdr:from>
    <xdr:to>
      <xdr:col>17</xdr:col>
      <xdr:colOff>492017</xdr:colOff>
      <xdr:row>15</xdr:row>
      <xdr:rowOff>72483</xdr:rowOff>
    </xdr:to>
    <xdr:graphicFrame macro="">
      <xdr:nvGraphicFramePr>
        <xdr:cNvPr id="11" name="Chart 10">
          <a:extLst>
            <a:ext uri="{FF2B5EF4-FFF2-40B4-BE49-F238E27FC236}">
              <a16:creationId xmlns:a16="http://schemas.microsoft.com/office/drawing/2014/main" id="{27A70B9A-9164-774B-ADAD-6DA9018AE7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13</xdr:col>
      <xdr:colOff>9525</xdr:colOff>
      <xdr:row>38</xdr:row>
      <xdr:rowOff>165100</xdr:rowOff>
    </xdr:from>
    <xdr:to>
      <xdr:col>18</xdr:col>
      <xdr:colOff>1473200</xdr:colOff>
      <xdr:row>57</xdr:row>
      <xdr:rowOff>127000</xdr:rowOff>
    </xdr:to>
    <xdr:graphicFrame macro="">
      <xdr:nvGraphicFramePr>
        <xdr:cNvPr id="2" name="Chart 2">
          <a:extLst>
            <a:ext uri="{FF2B5EF4-FFF2-40B4-BE49-F238E27FC236}">
              <a16:creationId xmlns:a16="http://schemas.microsoft.com/office/drawing/2014/main" id="{CD83B275-444C-47EF-B997-6B2B6E15FB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14</xdr:col>
      <xdr:colOff>539750</xdr:colOff>
      <xdr:row>54</xdr:row>
      <xdr:rowOff>127000</xdr:rowOff>
    </xdr:from>
    <xdr:to>
      <xdr:col>18</xdr:col>
      <xdr:colOff>234950</xdr:colOff>
      <xdr:row>68</xdr:row>
      <xdr:rowOff>25400</xdr:rowOff>
    </xdr:to>
    <xdr:graphicFrame macro="">
      <xdr:nvGraphicFramePr>
        <xdr:cNvPr id="2" name="Chart 1">
          <a:extLst>
            <a:ext uri="{FF2B5EF4-FFF2-40B4-BE49-F238E27FC236}">
              <a16:creationId xmlns:a16="http://schemas.microsoft.com/office/drawing/2014/main" id="{B5B6719A-4D04-224D-A89B-A8A58F5AE9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johnson/Downloads/GREET1_2015.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johnson/Documents/CC%20Survey/National%20Partners/AFLEET_Tool_2017_Schwan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cjohnson/Desktop/GHG%20Mode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burnham/Desktop/GREET1_201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Inputs"/>
      <sheetName val="Results"/>
      <sheetName val="Petroleum"/>
      <sheetName val="NG"/>
      <sheetName val="MeOH&amp;FTD"/>
      <sheetName val="EtOH"/>
      <sheetName val="Electric"/>
      <sheetName val="Hydrogen"/>
      <sheetName val="BioOil"/>
      <sheetName val="Algae"/>
      <sheetName val="RNG"/>
      <sheetName val="Pyrolysis"/>
      <sheetName val="IDL"/>
      <sheetName val="Fuel_Prod_TS"/>
      <sheetName val="EF_TS"/>
      <sheetName val="EF"/>
      <sheetName val="WCF"/>
      <sheetName val="Fuel_Specs"/>
      <sheetName val="Car_TS"/>
      <sheetName val="LDT1_TS"/>
      <sheetName val="LDT2_TS"/>
      <sheetName val="Vehicles"/>
      <sheetName val="Urban_Shares"/>
      <sheetName val="Compression"/>
      <sheetName val="Coal"/>
      <sheetName val="T&amp;D_Flowcharts"/>
      <sheetName val="T&amp;D"/>
      <sheetName val="Uranium"/>
      <sheetName val="Ag_Inputs"/>
      <sheetName val="Enzymes_Yeast"/>
      <sheetName val="Pretreatment"/>
      <sheetName val="Catalyst"/>
      <sheetName val="Bioproducts"/>
      <sheetName val="E-D Additives"/>
      <sheetName val="OilGasCoalInfra"/>
      <sheetName val="ElecInfra"/>
      <sheetName val="HDV_TS"/>
      <sheetName val="HDV_WTW"/>
      <sheetName val="JetFuel_WTP"/>
      <sheetName val="JetFuel_PTWa"/>
      <sheetName val="JetFuel_WTWa"/>
      <sheetName val="Rail_PTW"/>
      <sheetName val="Rail_WTW"/>
      <sheetName val="MarineFuel_PTH"/>
      <sheetName val="MarineFuel_WTH"/>
      <sheetName val="Dist_Spec"/>
      <sheetName val="Forecast_Specs"/>
      <sheetName val="Forecast_Delet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147">
          <cell r="G147">
            <v>2.9307106944444444E-4</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wans Summary"/>
      <sheetName val="Instructions"/>
      <sheetName val="Inputs"/>
      <sheetName val="Payback"/>
      <sheetName val="Payback Outputs"/>
      <sheetName val="TCO"/>
      <sheetName val="TCO Outputs"/>
      <sheetName val="Footprint"/>
      <sheetName val="Footprint Outputs"/>
      <sheetName val="Background Data"/>
    </sheetNames>
    <sheetDataSet>
      <sheetData sheetId="0"/>
      <sheetData sheetId="1"/>
      <sheetData sheetId="2">
        <row r="3">
          <cell r="C3" t="str">
            <v>ILLINOIS</v>
          </cell>
        </row>
        <row r="4">
          <cell r="C4" t="str">
            <v>LOS ANGELES</v>
          </cell>
        </row>
        <row r="6">
          <cell r="C6" t="str">
            <v>Passenger Car</v>
          </cell>
        </row>
        <row r="21">
          <cell r="C21" t="str">
            <v>Single Unit Short-Haul Truck</v>
          </cell>
        </row>
        <row r="37">
          <cell r="C37" t="str">
            <v>Private Station</v>
          </cell>
        </row>
        <row r="42">
          <cell r="H42">
            <v>2.62</v>
          </cell>
          <cell r="L42">
            <v>2.5499999999999998</v>
          </cell>
        </row>
        <row r="43">
          <cell r="H43">
            <v>2.3913758780961794</v>
          </cell>
          <cell r="L43">
            <v>2.2440809870540233</v>
          </cell>
        </row>
        <row r="44">
          <cell r="H44">
            <v>3.9170876232443179</v>
          </cell>
          <cell r="L44">
            <v>3.9170876232443179</v>
          </cell>
        </row>
        <row r="45">
          <cell r="H45">
            <v>3.74</v>
          </cell>
          <cell r="L45"/>
        </row>
        <row r="46">
          <cell r="H46">
            <v>2.4550528482032208</v>
          </cell>
          <cell r="L46">
            <v>1.9710818566219408</v>
          </cell>
        </row>
        <row r="47">
          <cell r="H47">
            <v>2.4963175508155584</v>
          </cell>
          <cell r="L47"/>
        </row>
        <row r="48">
          <cell r="H48">
            <v>3.243721418201635</v>
          </cell>
          <cell r="L48">
            <v>3.080172439132645</v>
          </cell>
        </row>
        <row r="49">
          <cell r="H49">
            <v>3.6583407934078873</v>
          </cell>
          <cell r="L49">
            <v>1.9150159387875223</v>
          </cell>
        </row>
        <row r="50">
          <cell r="H50">
            <v>2.44</v>
          </cell>
          <cell r="L50">
            <v>2.2599999999999998</v>
          </cell>
        </row>
        <row r="51">
          <cell r="H51">
            <v>4.3694210813704499</v>
          </cell>
          <cell r="L51">
            <v>3.2432816274089937</v>
          </cell>
        </row>
        <row r="52">
          <cell r="H52">
            <v>2.8</v>
          </cell>
          <cell r="L52">
            <v>2.8</v>
          </cell>
        </row>
        <row r="56">
          <cell r="D56">
            <v>15</v>
          </cell>
        </row>
        <row r="58">
          <cell r="D58">
            <v>15</v>
          </cell>
        </row>
        <row r="81">
          <cell r="D81">
            <v>0.66</v>
          </cell>
          <cell r="E81">
            <v>0.33999999999999997</v>
          </cell>
        </row>
        <row r="83">
          <cell r="D83">
            <v>0.69</v>
          </cell>
          <cell r="E83">
            <v>0.31000000000000005</v>
          </cell>
        </row>
        <row r="85">
          <cell r="D85">
            <v>1</v>
          </cell>
        </row>
      </sheetData>
      <sheetData sheetId="3">
        <row r="63">
          <cell r="H63">
            <v>0</v>
          </cell>
          <cell r="I63">
            <v>0</v>
          </cell>
          <cell r="O63">
            <v>0</v>
          </cell>
          <cell r="P63">
            <v>0</v>
          </cell>
        </row>
        <row r="90">
          <cell r="I90">
            <v>0</v>
          </cell>
          <cell r="O90">
            <v>0</v>
          </cell>
          <cell r="P90">
            <v>0</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hart1"/>
      <sheetName val="Calcs"/>
      <sheetName val="Veh Manuf GHG"/>
      <sheetName val="Chart2"/>
      <sheetName val="GHG"/>
      <sheetName val="poor scrap rates"/>
      <sheetName val="CombMPGCalc"/>
      <sheetName val="GREET"/>
    </sheetNames>
    <sheetDataSet>
      <sheetData sheetId="0"/>
      <sheetData sheetId="1" refreshError="1"/>
      <sheetData sheetId="2"/>
      <sheetData sheetId="3"/>
      <sheetData sheetId="4" refreshError="1"/>
      <sheetData sheetId="5">
        <row r="28">
          <cell r="B28">
            <v>453.5924</v>
          </cell>
        </row>
      </sheetData>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Inputs"/>
      <sheetName val="Results"/>
      <sheetName val="Vehicles"/>
      <sheetName val="Petroleum"/>
      <sheetName val="NG"/>
      <sheetName val="MeOH&amp;FTD"/>
      <sheetName val="EtOH"/>
      <sheetName val="Electric"/>
      <sheetName val="Hydrogen"/>
      <sheetName val="BioOil"/>
      <sheetName val="Algae"/>
      <sheetName val="RNG"/>
      <sheetName val="Pyrolysis"/>
      <sheetName val="Fuel_Prod_TS"/>
      <sheetName val="EF_TS"/>
      <sheetName val="EF"/>
      <sheetName val="Fuel_Specs"/>
      <sheetName val="Car_TS"/>
      <sheetName val="LDT1_TS"/>
      <sheetName val="LDT2_TS"/>
      <sheetName val="Urban_Shares"/>
      <sheetName val="Compression"/>
      <sheetName val="Coal"/>
      <sheetName val="T&amp;D_Flowcharts"/>
      <sheetName val="T&amp;D"/>
      <sheetName val="Uranium"/>
      <sheetName val="Ag_Inputs"/>
      <sheetName val="Enzymes_Yeast"/>
      <sheetName val="E-D Additives"/>
      <sheetName val="JetFuel_WTP"/>
      <sheetName val="JetFuel_PTWa"/>
      <sheetName val="JetFuel_WTWa"/>
      <sheetName val="MarineFuel_PTH"/>
      <sheetName val="MarineFuel_WTH"/>
      <sheetName val="Dist_Spec"/>
      <sheetName val="Forecast_Specs"/>
      <sheetName val="Forecast_Delet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32">
          <cell r="F132">
            <v>3412.141641601248</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6479058-4085-47BA-913A-641E2D84B7AE}" name="Table3" displayName="Table3" ref="C284:J309" totalsRowShown="0" headerRowDxfId="22" dataDxfId="21">
  <autoFilter ref="C284:J309" xr:uid="{FB357586-0C25-4A87-9FF0-034E3A766811}"/>
  <tableColumns count="8">
    <tableColumn id="1" xr3:uid="{5F22F00A-F65A-4EB9-83BA-6ECA1D465510}" name="Policy" dataDxfId="20">
      <calculatedColumnFormula>'Basic Parameters and Results'!C77</calculatedColumnFormula>
    </tableColumn>
    <tableColumn id="2" xr3:uid="{FDB50642-1FB6-4E1E-8860-40E1152A72BA}" name="Sectoral Impact" dataDxfId="19">
      <calculatedColumnFormula>'Basic Parameters and Results'!E77</calculatedColumnFormula>
    </tableColumn>
    <tableColumn id="3" xr3:uid="{133BFAD4-F2EE-4AD2-9B64-A88BBC795CD0}" name="End-Use Impact" dataDxfId="18">
      <calculatedColumnFormula>'Basic Parameters and Results'!F77</calculatedColumnFormula>
    </tableColumn>
    <tableColumn id="4" xr3:uid="{CDBF2D12-CA8B-4B5D-91C0-C801319EE5AA}" name="Percent Impact" dataDxfId="17" dataCellStyle="Percent">
      <calculatedColumnFormula>'Basic Parameters and Results'!G77</calculatedColumnFormula>
    </tableColumn>
    <tableColumn id="5" xr3:uid="{6B66342F-0D62-4F5C-AB5B-DBDD5EB31482}" name="Percent Adoption" dataDxfId="16" dataCellStyle="Percent">
      <calculatedColumnFormula>'Basic Parameters and Results'!H77</calculatedColumnFormula>
    </tableColumn>
    <tableColumn id="6" xr3:uid="{5B9945B3-DCB1-4B34-9FC0-94E1B29016A2}" name="Impact Multiplier" dataDxfId="15" dataCellStyle="Percent">
      <calculatedColumnFormula>(1- 'Basic Parameters and Results'!G77*'Basic Parameters and Results'!H77)</calculatedColumnFormula>
    </tableColumn>
    <tableColumn id="7" xr3:uid="{F6BFFB2D-9250-4112-A7C3-7BD04D346CD2}" name="Source" dataDxfId="14">
      <calculatedColumnFormula>'Basic Parameters and Results'!I77</calculatedColumnFormula>
    </tableColumn>
    <tableColumn id="8" xr3:uid="{75A3950B-8C20-DC48-AC0D-0A285EC5FE42}" name="Impact" dataDxfId="13">
      <calculatedColumnFormula>SUM(G449:M449)*(1-Table3[[#This Row],[Impact Multiplier]])</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939A3B4-2CEB-4D91-B9F4-3780DB51CFEF}" name="Table2" displayName="Table2" ref="A1:E21" totalsRowShown="0">
  <autoFilter ref="A1:E21" xr:uid="{366D6959-96B4-4242-948C-2A5F4110F146}"/>
  <sortState ref="A2:E19">
    <sortCondition ref="E1:E19"/>
  </sortState>
  <tableColumns count="5">
    <tableColumn id="1" xr3:uid="{94055A4F-82C0-40E3-93CC-624AB147C87A}" name="source">
      <calculatedColumnFormula>'Sankey Consumption Data'!B102</calculatedColumnFormula>
    </tableColumn>
    <tableColumn id="2" xr3:uid="{6DDB7CB1-C995-438E-BC04-9D78BFA73673}" name="target">
      <calculatedColumnFormula>'Sankey Consumption Data'!C102</calculatedColumnFormula>
    </tableColumn>
    <tableColumn id="5" xr3:uid="{DDD0D1E0-E1C9-BC44-971A-554545215C23}" name="material"/>
    <tableColumn id="4" xr3:uid="{976A84EB-659F-42AE-88EB-AC128500DF4F}" name="type">
      <calculatedColumnFormula>'Sankey Consumption Data'!D102</calculatedColumnFormula>
    </tableColumn>
    <tableColumn id="3" xr3:uid="{B8F3AB59-5938-4137-937B-3303C9D8EC8A}" name="value" dataDxfId="12" dataCellStyle="Comma">
      <calculatedColumnFormula>'Sankey Consumption Data'!E102</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ec.europa.eu/energy/intelligent/projects/en/projects/promise" TargetMode="External"/><Relationship Id="rId7" Type="http://schemas.openxmlformats.org/officeDocument/2006/relationships/vmlDrawing" Target="../drawings/vmlDrawing1.vml"/><Relationship Id="rId2" Type="http://schemas.openxmlformats.org/officeDocument/2006/relationships/hyperlink" Target="https://www.adb.org/sites/default/files/project-document/74740/42078-012-reg-tacr.pdf" TargetMode="External"/><Relationship Id="rId1" Type="http://schemas.openxmlformats.org/officeDocument/2006/relationships/hyperlink" Target="https://www.adb.org/sites/default/files/project-document/74740/42078-012-reg-tacr.pdf"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esci-ksp.org/wp/wp-content/uploads/2012/03/Cool-Roofs-in-APEC-Economies.pdf"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anl.gov/sites/anl.gov/files/idling_worksheet.pdf" TargetMode="External"/><Relationship Id="rId1" Type="http://schemas.openxmlformats.org/officeDocument/2006/relationships/hyperlink" Target="http://www.anl.gov/sites/anl.gov/files/idling_worksheet.pdf"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epa.gov/statelocalclimate/documents/pdf/Quickstart-Tutorial-How-To-Use-COBRA.pdf" TargetMode="External"/><Relationship Id="rId13" Type="http://schemas.openxmlformats.org/officeDocument/2006/relationships/hyperlink" Target="http://www.truckinginfo.com/news/news-detail.asp?news_id=78437&amp;news_category_id=42" TargetMode="External"/><Relationship Id="rId18" Type="http://schemas.openxmlformats.org/officeDocument/2006/relationships/hyperlink" Target="http://www.pnas.org/content/108/40/16554" TargetMode="External"/><Relationship Id="rId3" Type="http://schemas.openxmlformats.org/officeDocument/2006/relationships/hyperlink" Target="http://www.aga.org/our-issues/natural-gas-vehicles/Pages/default.aspx" TargetMode="External"/><Relationship Id="rId21" Type="http://schemas.openxmlformats.org/officeDocument/2006/relationships/printerSettings" Target="../printerSettings/printerSettings10.bin"/><Relationship Id="rId7" Type="http://schemas.openxmlformats.org/officeDocument/2006/relationships/hyperlink" Target="http://www.bankrate.com/finance/auto/auto-loan-rates.aspx" TargetMode="External"/><Relationship Id="rId12" Type="http://schemas.openxmlformats.org/officeDocument/2006/relationships/hyperlink" Target="http://www.afdc.energy.gov/fuels/stations_counts.html" TargetMode="External"/><Relationship Id="rId17" Type="http://schemas.openxmlformats.org/officeDocument/2006/relationships/hyperlink" Target="https://sites.google.com/site/nickmullershomepage/home/ap2-apeep-model-2" TargetMode="External"/><Relationship Id="rId2" Type="http://schemas.openxmlformats.org/officeDocument/2006/relationships/hyperlink" Target="http://www.transportation.anl.gov/engines/idling.html" TargetMode="External"/><Relationship Id="rId16" Type="http://schemas.openxmlformats.org/officeDocument/2006/relationships/hyperlink" Target="http://www.usinflationcalculator.com/inflation/consumer-price-index-and-annual-percent-changes-from-1913-to-2008/" TargetMode="External"/><Relationship Id="rId20" Type="http://schemas.openxmlformats.org/officeDocument/2006/relationships/hyperlink" Target="https://www.researchgate.net/publication/242745402_SUMMARY_OF_THE_NONMONETARY_EXTERNALITIES_OF_MOTOR_VEHICLE_USE_Report_9_in_the_series_The_Annualized_Social_Cost_of_MotorVehicle_Use_in_the_United_States_based_on_1990-1991_Data" TargetMode="External"/><Relationship Id="rId1" Type="http://schemas.openxmlformats.org/officeDocument/2006/relationships/hyperlink" Target="http://www.ornl.gov/filedownload?ftp=e;dir=uP17ecuTxjsT" TargetMode="External"/><Relationship Id="rId6" Type="http://schemas.openxmlformats.org/officeDocument/2006/relationships/hyperlink" Target="http://www.afdc.energy.gov/pdfs/47919.pdf" TargetMode="External"/><Relationship Id="rId11" Type="http://schemas.openxmlformats.org/officeDocument/2006/relationships/hyperlink" Target="http://www.truckinginfo.com/news/news-detail.asp?news_id=78437&amp;news_category_id=42" TargetMode="External"/><Relationship Id="rId24" Type="http://schemas.openxmlformats.org/officeDocument/2006/relationships/comments" Target="../comments6.xml"/><Relationship Id="rId5" Type="http://schemas.openxmlformats.org/officeDocument/2006/relationships/hyperlink" Target="http://www.bankrate.com/finance/cd/cd-rates.aspx" TargetMode="External"/><Relationship Id="rId15" Type="http://schemas.openxmlformats.org/officeDocument/2006/relationships/hyperlink" Target="http://www.vtpi.org/tca/" TargetMode="External"/><Relationship Id="rId23" Type="http://schemas.openxmlformats.org/officeDocument/2006/relationships/vmlDrawing" Target="../drawings/vmlDrawing6.vml"/><Relationship Id="rId10" Type="http://schemas.openxmlformats.org/officeDocument/2006/relationships/hyperlink" Target="http://www.bankrate.com/finance/auto/auto-loan-rates.aspx" TargetMode="External"/><Relationship Id="rId19" Type="http://schemas.openxmlformats.org/officeDocument/2006/relationships/hyperlink" Target="http://www3.nd.edu/~kshrader/interest/us-epa-2011-summary-report-costs-benefits%20of%20clean%20air%20act%20amendments.pdf" TargetMode="External"/><Relationship Id="rId4" Type="http://schemas.openxmlformats.org/officeDocument/2006/relationships/hyperlink" Target="http://www.bankrate.com/finance/auto/auto-loan-rates.aspx" TargetMode="External"/><Relationship Id="rId9" Type="http://schemas.openxmlformats.org/officeDocument/2006/relationships/hyperlink" Target="http://www.cyberdriveillinois.com/departments/vehicles/basicfees.html" TargetMode="External"/><Relationship Id="rId14" Type="http://schemas.openxmlformats.org/officeDocument/2006/relationships/hyperlink" Target="http://www.eia.gov/electricity/data/eia826/xls/sales_revenue.xls" TargetMode="External"/><Relationship Id="rId22"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AD50F-0A20-4DDD-980A-6261A538EAF0}">
  <dimension ref="A1:O277"/>
  <sheetViews>
    <sheetView zoomScale="90" zoomScaleNormal="90" workbookViewId="0">
      <selection activeCell="D290" sqref="D290"/>
    </sheetView>
  </sheetViews>
  <sheetFormatPr baseColWidth="10" defaultColWidth="8.83203125" defaultRowHeight="15"/>
  <cols>
    <col min="2" max="2" width="47.83203125" customWidth="1"/>
    <col min="3" max="3" width="20.1640625" customWidth="1"/>
    <col min="4" max="4" width="23.33203125" customWidth="1"/>
    <col min="5" max="5" width="28.83203125" customWidth="1"/>
    <col min="6" max="6" width="21.83203125" customWidth="1"/>
    <col min="7" max="7" width="20.1640625" customWidth="1"/>
    <col min="8" max="8" width="25.5" customWidth="1"/>
    <col min="9" max="9" width="15.1640625" bestFit="1" customWidth="1"/>
    <col min="10" max="10" width="17.1640625" customWidth="1"/>
    <col min="11" max="11" width="16.5" customWidth="1"/>
    <col min="12" max="12" width="15" customWidth="1"/>
    <col min="13" max="13" width="9.33203125" customWidth="1"/>
    <col min="14" max="14" width="10.83203125" customWidth="1"/>
    <col min="15" max="15" width="10" customWidth="1"/>
  </cols>
  <sheetData>
    <row r="1" spans="2:7" s="41" customFormat="1"/>
    <row r="2" spans="2:7" s="41" customFormat="1">
      <c r="B2" s="1550" t="s">
        <v>3951</v>
      </c>
      <c r="C2" s="1544"/>
      <c r="D2" s="1544"/>
      <c r="E2" s="1544"/>
      <c r="F2" s="1544"/>
    </row>
    <row r="3" spans="2:7" s="41" customFormat="1">
      <c r="B3" s="1544"/>
      <c r="C3" s="1544"/>
      <c r="D3" s="1544"/>
      <c r="E3" s="1544"/>
      <c r="F3" s="1544"/>
    </row>
    <row r="4" spans="2:7" s="41" customFormat="1">
      <c r="B4" s="1544"/>
      <c r="C4" s="1544"/>
      <c r="D4" s="1544"/>
      <c r="E4" s="1544"/>
      <c r="F4" s="1544"/>
    </row>
    <row r="5" spans="2:7" s="41" customFormat="1">
      <c r="B5" s="1544"/>
      <c r="C5" s="1544"/>
      <c r="D5" s="1544"/>
      <c r="E5" s="1544"/>
      <c r="F5" s="1544"/>
    </row>
    <row r="6" spans="2:7" s="41" customFormat="1">
      <c r="B6" s="1544"/>
      <c r="C6" s="1544"/>
      <c r="D6" s="1544"/>
      <c r="E6" s="1544"/>
      <c r="F6" s="1544"/>
    </row>
    <row r="7" spans="2:7" s="41" customFormat="1">
      <c r="B7" s="1544"/>
      <c r="C7" s="1544"/>
      <c r="D7" s="1544"/>
      <c r="E7" s="1544"/>
      <c r="F7" s="1544"/>
    </row>
    <row r="8" spans="2:7" s="41" customFormat="1">
      <c r="B8" s="1544"/>
      <c r="C8" s="1544"/>
      <c r="D8" s="1544"/>
      <c r="E8" s="1544"/>
      <c r="F8" s="1544"/>
    </row>
    <row r="9" spans="2:7" s="41" customFormat="1">
      <c r="B9" s="1509"/>
      <c r="C9" s="1509"/>
      <c r="D9" s="1509"/>
      <c r="E9" s="1509"/>
      <c r="F9" s="1509"/>
    </row>
    <row r="10" spans="2:7" s="41" customFormat="1">
      <c r="B10" s="1516" t="s">
        <v>3999</v>
      </c>
      <c r="C10" s="1509"/>
      <c r="D10" s="1509"/>
      <c r="E10" s="1509"/>
      <c r="F10" s="1509"/>
    </row>
    <row r="11" spans="2:7" s="41" customFormat="1"/>
    <row r="12" spans="2:7" s="41" customFormat="1">
      <c r="B12" s="1553" t="s">
        <v>3929</v>
      </c>
      <c r="C12" s="1553"/>
      <c r="D12" s="1553"/>
      <c r="E12" s="1553"/>
      <c r="F12" s="1553"/>
      <c r="G12" s="1553"/>
    </row>
    <row r="13" spans="2:7" s="41" customFormat="1"/>
    <row r="14" spans="2:7" s="41" customFormat="1" ht="14.5" customHeight="1">
      <c r="B14" s="1536" t="s">
        <v>3910</v>
      </c>
      <c r="C14" s="1536"/>
      <c r="D14" s="1538" t="s">
        <v>3671</v>
      </c>
      <c r="E14" s="1538"/>
      <c r="F14" s="1447">
        <v>2.7E-2</v>
      </c>
    </row>
    <row r="15" spans="2:7" s="41" customFormat="1">
      <c r="B15" s="1536"/>
      <c r="C15" s="1536"/>
    </row>
    <row r="16" spans="2:7" s="41" customFormat="1">
      <c r="B16" s="1536"/>
      <c r="C16" s="1536"/>
    </row>
    <row r="17" spans="1:7" s="41" customFormat="1">
      <c r="B17" s="1536"/>
      <c r="C17" s="1536"/>
    </row>
    <row r="18" spans="1:7" s="41" customFormat="1">
      <c r="B18" s="1536"/>
      <c r="C18" s="1536"/>
    </row>
    <row r="19" spans="1:7" s="41" customFormat="1">
      <c r="B19" s="1536"/>
      <c r="C19" s="1536"/>
    </row>
    <row r="20" spans="1:7" s="41" customFormat="1">
      <c r="B20" s="1536"/>
      <c r="C20" s="1536"/>
    </row>
    <row r="21" spans="1:7" s="41" customFormat="1">
      <c r="B21" s="1438"/>
      <c r="C21" s="1459"/>
    </row>
    <row r="22" spans="1:7" s="41" customFormat="1">
      <c r="B22" s="1541" t="s">
        <v>3909</v>
      </c>
      <c r="C22" s="1541"/>
      <c r="D22" s="1539" t="s">
        <v>3906</v>
      </c>
      <c r="E22" s="1539"/>
      <c r="F22" s="1448">
        <v>0.44209999999999999</v>
      </c>
    </row>
    <row r="23" spans="1:7" s="41" customFormat="1">
      <c r="B23" s="1541"/>
      <c r="C23" s="1541"/>
    </row>
    <row r="24" spans="1:7" s="41" customFormat="1">
      <c r="B24" s="1541"/>
      <c r="C24" s="1541"/>
    </row>
    <row r="25" spans="1:7" s="41" customFormat="1">
      <c r="B25" s="1541"/>
      <c r="C25" s="1541"/>
    </row>
    <row r="26" spans="1:7" s="41" customFormat="1">
      <c r="B26" s="1541"/>
      <c r="C26" s="1541"/>
    </row>
    <row r="27" spans="1:7" s="41" customFormat="1">
      <c r="B27" s="1541"/>
      <c r="C27" s="1541"/>
    </row>
    <row r="28" spans="1:7" s="41" customFormat="1">
      <c r="B28" s="1541"/>
      <c r="C28" s="1541"/>
    </row>
    <row r="29" spans="1:7" ht="16" thickBot="1"/>
    <row r="30" spans="1:7" s="41" customFormat="1" ht="14.25" customHeight="1" thickBot="1">
      <c r="B30" s="1542" t="s">
        <v>3911</v>
      </c>
      <c r="C30" s="1543"/>
      <c r="D30" s="1387" t="s">
        <v>3</v>
      </c>
      <c r="E30" s="1371" t="s">
        <v>271</v>
      </c>
      <c r="F30" s="1371" t="s">
        <v>3709</v>
      </c>
      <c r="G30" s="1371" t="s">
        <v>3710</v>
      </c>
    </row>
    <row r="31" spans="1:7" s="41" customFormat="1" ht="15" customHeight="1" thickBot="1">
      <c r="B31" s="1542"/>
      <c r="C31" s="1543"/>
      <c r="D31" s="1333">
        <v>2017</v>
      </c>
      <c r="E31" s="1446">
        <v>58821325</v>
      </c>
      <c r="F31" s="1349">
        <f>E31*'Basic Parameters and Results'!$F$22</f>
        <v>26004907.782499999</v>
      </c>
      <c r="G31" s="1349">
        <f>E31*(1-'Basic Parameters and Results'!$F$22)</f>
        <v>32816417.217500005</v>
      </c>
    </row>
    <row r="32" spans="1:7" s="41" customFormat="1" ht="16" thickBot="1">
      <c r="A32" s="1460"/>
      <c r="B32" s="1542"/>
      <c r="C32" s="1543"/>
      <c r="D32" s="1333">
        <v>2018</v>
      </c>
      <c r="E32" s="1446">
        <v>62159182.266934253</v>
      </c>
      <c r="F32" s="1349">
        <f>E32*'Basic Parameters and Results'!$F$22</f>
        <v>27480574.480211634</v>
      </c>
      <c r="G32" s="1349">
        <f>E32*(1-'Basic Parameters and Results'!$F$22)</f>
        <v>34678607.786722623</v>
      </c>
    </row>
    <row r="33" spans="1:7" s="41" customFormat="1" ht="16" thickBot="1">
      <c r="A33" s="1460"/>
      <c r="B33" s="1542"/>
      <c r="C33" s="1543"/>
      <c r="D33" s="1333">
        <v>2019</v>
      </c>
      <c r="E33" s="1446">
        <v>63951451.111108653</v>
      </c>
      <c r="F33" s="1349">
        <f>E33*'Basic Parameters and Results'!$F$22</f>
        <v>28272936.536221135</v>
      </c>
      <c r="G33" s="1349">
        <f>E33*(1-'Basic Parameters and Results'!$F$22)</f>
        <v>35678514.574887522</v>
      </c>
    </row>
    <row r="34" spans="1:7" s="41" customFormat="1" ht="16" thickBot="1">
      <c r="A34" s="1460"/>
      <c r="B34" s="1542"/>
      <c r="C34" s="1543"/>
      <c r="D34" s="1333">
        <v>2020</v>
      </c>
      <c r="E34" s="1446">
        <v>66353276.889199562</v>
      </c>
      <c r="F34" s="1349">
        <f>E34*'Basic Parameters and Results'!$F$22</f>
        <v>29334783.712715127</v>
      </c>
      <c r="G34" s="1349">
        <f>E34*(1-'Basic Parameters and Results'!$F$22)</f>
        <v>37018493.176484443</v>
      </c>
    </row>
    <row r="35" spans="1:7" s="41" customFormat="1" ht="16" thickBot="1">
      <c r="A35" s="1460"/>
      <c r="B35" s="1542"/>
      <c r="C35" s="1543"/>
      <c r="D35" s="1333">
        <v>2021</v>
      </c>
      <c r="E35" s="1446">
        <v>69379582.303939342</v>
      </c>
      <c r="F35" s="1349">
        <f>E35*'Basic Parameters and Results'!$F$22</f>
        <v>30672713.336571582</v>
      </c>
      <c r="G35" s="1349">
        <f>E35*(1-'Basic Parameters and Results'!$F$22)</f>
        <v>38706868.967367761</v>
      </c>
    </row>
    <row r="36" spans="1:7" s="41" customFormat="1" ht="16" thickBot="1">
      <c r="A36" s="1460"/>
      <c r="B36" s="1542"/>
      <c r="C36" s="1543"/>
      <c r="D36" s="1333">
        <v>2022</v>
      </c>
      <c r="E36" s="1446">
        <v>72544415.420752048</v>
      </c>
      <c r="F36" s="1349">
        <f>E36*'Basic Parameters and Results'!$F$22</f>
        <v>32071886.057514481</v>
      </c>
      <c r="G36" s="1349">
        <f>E36*(1-'Basic Parameters and Results'!$F$22)</f>
        <v>40472529.363237575</v>
      </c>
    </row>
    <row r="37" spans="1:7" s="41" customFormat="1" ht="16" thickBot="1">
      <c r="A37" s="1460"/>
      <c r="B37" s="1542"/>
      <c r="C37" s="1543"/>
      <c r="D37" s="1333">
        <v>2023</v>
      </c>
      <c r="E37" s="1446">
        <v>76157779.74756217</v>
      </c>
      <c r="F37" s="1349">
        <f>E37*'Basic Parameters and Results'!$F$22</f>
        <v>33669354.426397234</v>
      </c>
      <c r="G37" s="1349">
        <f>E37*(1-'Basic Parameters and Results'!$F$22)</f>
        <v>42488425.321164936</v>
      </c>
    </row>
    <row r="38" spans="1:7" s="41" customFormat="1" ht="16" thickBot="1">
      <c r="B38" s="1542"/>
      <c r="C38" s="1543"/>
      <c r="D38" s="1333">
        <v>2024</v>
      </c>
      <c r="E38" s="1446">
        <v>80048212.895865411</v>
      </c>
      <c r="F38" s="1349">
        <f>E38*'Basic Parameters and Results'!$F$22</f>
        <v>35389314.9212621</v>
      </c>
      <c r="G38" s="1349">
        <f>E38*(1-'Basic Parameters and Results'!$F$22)</f>
        <v>44658897.974603318</v>
      </c>
    </row>
    <row r="39" spans="1:7" s="41" customFormat="1" ht="16" thickBot="1">
      <c r="B39" s="1542"/>
      <c r="C39" s="1543"/>
      <c r="D39" s="1333">
        <v>2025</v>
      </c>
      <c r="E39" s="1446">
        <v>84299627.333581865</v>
      </c>
      <c r="F39" s="1349">
        <f>E39*'Basic Parameters and Results'!$F$22</f>
        <v>37268865.244176544</v>
      </c>
      <c r="G39" s="1349">
        <f>E39*(1-'Basic Parameters and Results'!$F$22)</f>
        <v>47030762.089405328</v>
      </c>
    </row>
    <row r="40" spans="1:7" ht="16" thickBot="1">
      <c r="B40" s="1542"/>
      <c r="C40" s="1543"/>
      <c r="D40" s="1333">
        <v>2026</v>
      </c>
      <c r="E40" s="1446">
        <v>88987025.194434568</v>
      </c>
      <c r="F40" s="1349">
        <f>E40*'Basic Parameters and Results'!$F$22</f>
        <v>39341163.838459522</v>
      </c>
      <c r="G40" s="1349">
        <f>E40*(1-'Basic Parameters and Results'!$F$22)</f>
        <v>49645861.355975054</v>
      </c>
    </row>
    <row r="41" spans="1:7" ht="16" thickBot="1">
      <c r="B41" s="1542"/>
      <c r="C41" s="1543"/>
      <c r="D41" s="1333">
        <v>2027</v>
      </c>
      <c r="E41" s="1446">
        <v>93673891.468950227</v>
      </c>
      <c r="F41" s="1349">
        <f>E41*'Basic Parameters and Results'!$F$22</f>
        <v>41413227.418422893</v>
      </c>
      <c r="G41" s="1349">
        <f>E41*(1-'Basic Parameters and Results'!$F$22)</f>
        <v>52260664.050527334</v>
      </c>
    </row>
    <row r="42" spans="1:7" ht="16" thickBot="1">
      <c r="B42" s="1542"/>
      <c r="C42" s="1543"/>
      <c r="D42" s="1333">
        <v>2028</v>
      </c>
      <c r="E42" s="1446">
        <v>98138745.782982528</v>
      </c>
      <c r="F42" s="1349">
        <f>E42*'Basic Parameters and Results'!$F$22</f>
        <v>43387139.510656573</v>
      </c>
      <c r="G42" s="1349">
        <f>E42*(1-'Basic Parameters and Results'!$F$22)</f>
        <v>54751606.272325955</v>
      </c>
    </row>
    <row r="43" spans="1:7" ht="16" thickBot="1">
      <c r="B43" s="1542"/>
      <c r="C43" s="1543"/>
      <c r="D43" s="1333">
        <v>2029</v>
      </c>
      <c r="E43" s="1446">
        <v>102727283.49626277</v>
      </c>
      <c r="F43" s="1349">
        <f>E43*'Basic Parameters and Results'!$F$22</f>
        <v>45415732.033697769</v>
      </c>
      <c r="G43" s="1349">
        <f>E43*(1-'Basic Parameters and Results'!$F$22)</f>
        <v>57311551.462565005</v>
      </c>
    </row>
    <row r="44" spans="1:7" ht="16" thickBot="1">
      <c r="B44" s="1542"/>
      <c r="C44" s="1543"/>
      <c r="D44" s="1333">
        <v>2030</v>
      </c>
      <c r="E44" s="1446">
        <v>107714469.83555934</v>
      </c>
      <c r="F44" s="1349">
        <f>E44*'Basic Parameters and Results'!$F$22</f>
        <v>47620567.11430078</v>
      </c>
      <c r="G44" s="1349">
        <f>E44*(1-'Basic Parameters and Results'!$F$22)</f>
        <v>60093902.721258558</v>
      </c>
    </row>
    <row r="45" spans="1:7" ht="16" thickBot="1"/>
    <row r="46" spans="1:7" ht="18" customHeight="1" thickBot="1">
      <c r="A46" s="41"/>
      <c r="B46" s="1544" t="s">
        <v>3912</v>
      </c>
      <c r="C46" s="1544"/>
      <c r="D46" s="1387" t="s">
        <v>3</v>
      </c>
      <c r="E46" s="1449" t="s">
        <v>3847</v>
      </c>
      <c r="F46" s="1344" t="s">
        <v>3794</v>
      </c>
    </row>
    <row r="47" spans="1:7" ht="16" thickBot="1">
      <c r="A47" s="41"/>
      <c r="B47" s="1544"/>
      <c r="C47" s="1544"/>
      <c r="D47" s="1333">
        <v>2017</v>
      </c>
      <c r="E47" s="1450">
        <v>0.1308673512539881</v>
      </c>
      <c r="F47" s="1338">
        <f>Electricity!E402/Electricity!C410</f>
        <v>7.2505473464199374E-2</v>
      </c>
    </row>
    <row r="48" spans="1:7" ht="16" thickBot="1">
      <c r="A48" s="41"/>
      <c r="B48" s="1544"/>
      <c r="C48" s="1544"/>
      <c r="D48" s="1333">
        <v>2018</v>
      </c>
      <c r="E48" s="1330">
        <v>0.11804490083599206</v>
      </c>
      <c r="F48" s="1423">
        <f>F47+ ($F$50-$F$47)/3</f>
        <v>0.21500364897613289</v>
      </c>
      <c r="G48" s="1531"/>
    </row>
    <row r="49" spans="1:15" ht="16" thickBot="1">
      <c r="A49" s="41"/>
      <c r="B49" s="1544"/>
      <c r="C49" s="1544"/>
      <c r="D49" s="1333">
        <v>2019</v>
      </c>
      <c r="E49" s="1330">
        <v>0.10522245041799602</v>
      </c>
      <c r="F49" s="1423">
        <f>F48+ ($F$50-$F$47)/3</f>
        <v>0.35750182448806644</v>
      </c>
    </row>
    <row r="50" spans="1:15" ht="16" thickBot="1">
      <c r="A50" s="41"/>
      <c r="B50" s="1544"/>
      <c r="C50" s="1544"/>
      <c r="D50" s="1333">
        <v>2020</v>
      </c>
      <c r="E50" s="1330">
        <v>9.9000000000000005E-2</v>
      </c>
      <c r="F50" s="1423">
        <v>0.5</v>
      </c>
    </row>
    <row r="51" spans="1:15" ht="16" thickBot="1">
      <c r="A51" s="41"/>
      <c r="B51" s="1544"/>
      <c r="C51" s="1544"/>
      <c r="D51" s="1333">
        <v>2021</v>
      </c>
      <c r="E51" s="1330">
        <v>9.9000000000000005E-2</v>
      </c>
      <c r="F51" s="1423">
        <f>F50+($F$60-$F$50)/10</f>
        <v>0.52</v>
      </c>
      <c r="G51" s="1532"/>
    </row>
    <row r="52" spans="1:15" ht="16" thickBot="1">
      <c r="A52" s="41"/>
      <c r="B52" s="1544"/>
      <c r="C52" s="1544"/>
      <c r="D52" s="1333">
        <v>2022</v>
      </c>
      <c r="E52" s="1330">
        <v>9.9000000000000005E-2</v>
      </c>
      <c r="F52" s="1423">
        <f t="shared" ref="F52:F59" si="0">F51+($F$60-$F$50)/10</f>
        <v>0.54</v>
      </c>
    </row>
    <row r="53" spans="1:15" ht="16" thickBot="1">
      <c r="A53" s="41"/>
      <c r="B53" s="1544"/>
      <c r="C53" s="1544"/>
      <c r="D53" s="1333">
        <v>2023</v>
      </c>
      <c r="E53" s="1330">
        <v>9.9000000000000005E-2</v>
      </c>
      <c r="F53" s="1423">
        <f t="shared" si="0"/>
        <v>0.56000000000000005</v>
      </c>
    </row>
    <row r="54" spans="1:15" ht="15" customHeight="1" thickBot="1">
      <c r="B54" s="1544"/>
      <c r="C54" s="1544"/>
      <c r="D54" s="1333">
        <v>2024</v>
      </c>
      <c r="E54" s="1330">
        <v>9.9000000000000005E-2</v>
      </c>
      <c r="F54" s="1423">
        <f t="shared" si="0"/>
        <v>0.58000000000000007</v>
      </c>
    </row>
    <row r="55" spans="1:15" s="41" customFormat="1" ht="16" thickBot="1">
      <c r="B55" s="1544"/>
      <c r="C55" s="1544"/>
      <c r="D55" s="1333">
        <v>2025</v>
      </c>
      <c r="E55" s="1330">
        <v>9.9000000000000005E-2</v>
      </c>
      <c r="F55" s="1423">
        <f t="shared" si="0"/>
        <v>0.60000000000000009</v>
      </c>
      <c r="M55" s="1457"/>
      <c r="N55" s="1365"/>
      <c r="O55" s="1339"/>
    </row>
    <row r="56" spans="1:15" s="41" customFormat="1" ht="16" thickBot="1">
      <c r="B56" s="1544"/>
      <c r="C56" s="1544"/>
      <c r="D56" s="1333">
        <v>2026</v>
      </c>
      <c r="E56" s="1330">
        <v>9.9000000000000005E-2</v>
      </c>
      <c r="F56" s="1423">
        <f t="shared" si="0"/>
        <v>0.62000000000000011</v>
      </c>
      <c r="M56" s="1457"/>
      <c r="N56" s="1365"/>
      <c r="O56" s="1339"/>
    </row>
    <row r="57" spans="1:15" s="41" customFormat="1" ht="16" thickBot="1">
      <c r="B57" s="1544"/>
      <c r="C57" s="1544"/>
      <c r="D57" s="1333">
        <v>2027</v>
      </c>
      <c r="E57" s="1330">
        <v>9.9000000000000005E-2</v>
      </c>
      <c r="F57" s="1423">
        <f t="shared" si="0"/>
        <v>0.64000000000000012</v>
      </c>
      <c r="M57" s="1457"/>
      <c r="N57" s="1365"/>
      <c r="O57" s="1339"/>
    </row>
    <row r="58" spans="1:15" s="41" customFormat="1" ht="16" thickBot="1">
      <c r="B58" s="1544"/>
      <c r="C58" s="1544"/>
      <c r="D58" s="1333">
        <v>2028</v>
      </c>
      <c r="E58" s="1330">
        <v>9.9000000000000005E-2</v>
      </c>
      <c r="F58" s="1423">
        <f t="shared" si="0"/>
        <v>0.66000000000000014</v>
      </c>
      <c r="M58" s="1457"/>
      <c r="N58" s="1365"/>
      <c r="O58" s="1339"/>
    </row>
    <row r="59" spans="1:15" s="41" customFormat="1" ht="16" thickBot="1">
      <c r="B59" s="1544"/>
      <c r="C59" s="1544"/>
      <c r="D59" s="1333">
        <v>2029</v>
      </c>
      <c r="E59" s="1330">
        <v>9.9000000000000005E-2</v>
      </c>
      <c r="F59" s="1423">
        <f t="shared" si="0"/>
        <v>0.68000000000000016</v>
      </c>
      <c r="M59" s="1457"/>
      <c r="N59" s="1365"/>
      <c r="O59" s="1339"/>
    </row>
    <row r="60" spans="1:15" s="41" customFormat="1" ht="16" thickBot="1">
      <c r="B60" s="1544"/>
      <c r="C60" s="1544"/>
      <c r="D60" s="1333">
        <v>2030</v>
      </c>
      <c r="E60" s="1330">
        <v>9.9000000000000005E-2</v>
      </c>
      <c r="F60" s="1338">
        <v>0.7</v>
      </c>
      <c r="M60" s="1457"/>
      <c r="N60" s="1365"/>
      <c r="O60" s="1339"/>
    </row>
    <row r="61" spans="1:15" s="41" customFormat="1">
      <c r="B61" s="1544"/>
      <c r="C61" s="1544"/>
      <c r="M61" s="1457"/>
      <c r="N61" s="1365"/>
      <c r="O61" s="1339"/>
    </row>
    <row r="62" spans="1:15" s="41" customFormat="1">
      <c r="B62" s="1544"/>
      <c r="C62" s="1544"/>
      <c r="D62" s="1540" t="s">
        <v>3913</v>
      </c>
      <c r="E62" s="1540"/>
      <c r="F62" s="1331">
        <v>4.1500000000000004</v>
      </c>
      <c r="M62" s="1457"/>
      <c r="N62" s="1365"/>
      <c r="O62" s="1339"/>
    </row>
    <row r="63" spans="1:15" s="41" customFormat="1">
      <c r="D63" s="1461"/>
      <c r="M63" s="1457"/>
      <c r="N63" s="1365"/>
      <c r="O63" s="1339"/>
    </row>
    <row r="64" spans="1:15" s="41" customFormat="1" ht="15" customHeight="1">
      <c r="A64" s="1461"/>
      <c r="B64" s="1536" t="s">
        <v>3927</v>
      </c>
      <c r="C64" s="1536"/>
      <c r="D64" s="1536"/>
      <c r="E64" s="1536"/>
      <c r="F64" s="1536"/>
      <c r="G64" s="1536"/>
      <c r="H64" s="1536"/>
      <c r="I64" s="1536"/>
      <c r="J64" s="1536"/>
      <c r="K64" s="1536"/>
      <c r="L64" s="1536"/>
      <c r="M64" s="1457"/>
      <c r="N64" s="1365"/>
      <c r="O64" s="1339"/>
    </row>
    <row r="65" spans="1:15" s="41" customFormat="1">
      <c r="A65" s="1461"/>
      <c r="B65" s="1536"/>
      <c r="C65" s="1536"/>
      <c r="D65" s="1536"/>
      <c r="E65" s="1536"/>
      <c r="F65" s="1536"/>
      <c r="G65" s="1536"/>
      <c r="H65" s="1536"/>
      <c r="I65" s="1536"/>
      <c r="J65" s="1536"/>
      <c r="K65" s="1536"/>
      <c r="L65" s="1536"/>
      <c r="M65" s="1457"/>
      <c r="N65" s="1365"/>
      <c r="O65" s="1339"/>
    </row>
    <row r="66" spans="1:15" s="41" customFormat="1">
      <c r="A66" s="1461"/>
      <c r="B66" s="1536"/>
      <c r="C66" s="1536"/>
      <c r="D66" s="1536"/>
      <c r="E66" s="1536"/>
      <c r="F66" s="1536"/>
      <c r="G66" s="1536"/>
      <c r="H66" s="1536"/>
      <c r="I66" s="1536"/>
      <c r="J66" s="1536"/>
      <c r="K66" s="1536"/>
      <c r="L66" s="1536"/>
      <c r="M66" s="1457"/>
      <c r="N66" s="1365"/>
      <c r="O66" s="1339"/>
    </row>
    <row r="67" spans="1:15" s="41" customFormat="1">
      <c r="A67" s="1461"/>
      <c r="B67" s="1536"/>
      <c r="C67" s="1536"/>
      <c r="D67" s="1536"/>
      <c r="E67" s="1536"/>
      <c r="F67" s="1536"/>
      <c r="G67" s="1536"/>
      <c r="H67" s="1536"/>
      <c r="I67" s="1536"/>
      <c r="J67" s="1536"/>
      <c r="K67" s="1536"/>
      <c r="L67" s="1536"/>
      <c r="M67" s="1457"/>
      <c r="N67" s="1365"/>
      <c r="O67" s="1339"/>
    </row>
    <row r="68" spans="1:15" s="41" customFormat="1">
      <c r="A68" s="1461"/>
      <c r="B68" s="1545" t="s">
        <v>3914</v>
      </c>
      <c r="C68" s="1545"/>
      <c r="D68" s="1545"/>
      <c r="E68" s="1545"/>
      <c r="F68" s="1545"/>
      <c r="G68" s="1545"/>
      <c r="H68" s="1545"/>
      <c r="I68" s="1545"/>
      <c r="J68" s="1545"/>
      <c r="K68" s="1545"/>
      <c r="L68" s="1545"/>
      <c r="M68"/>
      <c r="N68" s="1365"/>
      <c r="O68" s="1339"/>
    </row>
    <row r="69" spans="1:15" s="41" customFormat="1">
      <c r="A69" s="1461"/>
      <c r="B69" s="1358" t="s">
        <v>3676</v>
      </c>
      <c r="C69" s="1358" t="s">
        <v>3677</v>
      </c>
      <c r="D69" s="1358" t="s">
        <v>3678</v>
      </c>
      <c r="E69" s="1465" t="s">
        <v>3679</v>
      </c>
      <c r="F69" s="1465" t="s">
        <v>3680</v>
      </c>
      <c r="G69" s="1465" t="s">
        <v>3681</v>
      </c>
      <c r="H69" s="1358" t="s">
        <v>3682</v>
      </c>
      <c r="I69" s="1358" t="s">
        <v>3683</v>
      </c>
      <c r="J69" s="1358" t="s">
        <v>3690</v>
      </c>
      <c r="K69" s="1358" t="s">
        <v>3691</v>
      </c>
      <c r="L69" s="1358" t="s">
        <v>343</v>
      </c>
      <c r="M69"/>
      <c r="N69" s="1365"/>
      <c r="O69" s="1339"/>
    </row>
    <row r="70" spans="1:15" s="41" customFormat="1">
      <c r="B70" s="1463">
        <v>37.08</v>
      </c>
      <c r="C70" s="1463">
        <v>46.236559139784944</v>
      </c>
      <c r="D70" s="1463">
        <v>252</v>
      </c>
      <c r="E70" s="1463">
        <v>14.58</v>
      </c>
      <c r="F70" s="1463">
        <v>10.3</v>
      </c>
      <c r="G70" s="1463">
        <v>29.677419354838708</v>
      </c>
      <c r="H70" s="1463">
        <v>91.397849462365585</v>
      </c>
      <c r="I70" s="1463">
        <v>11.827956989247312</v>
      </c>
      <c r="J70" s="1463">
        <v>11.583333333333334</v>
      </c>
      <c r="K70" s="1463">
        <v>26.58</v>
      </c>
      <c r="L70" s="1463">
        <v>3</v>
      </c>
      <c r="M70"/>
      <c r="N70" s="1365"/>
      <c r="O70" s="1339"/>
    </row>
    <row r="71" spans="1:15" s="41" customFormat="1">
      <c r="B71" s="1545" t="s">
        <v>3756</v>
      </c>
      <c r="C71" s="1545"/>
      <c r="D71" s="1545"/>
      <c r="E71" s="1545"/>
      <c r="F71" s="1545"/>
      <c r="G71" s="1545"/>
      <c r="H71" s="1545"/>
      <c r="I71" s="1545"/>
      <c r="J71" s="1545"/>
      <c r="K71" s="1545"/>
      <c r="L71" s="1545"/>
      <c r="M71" s="1545"/>
      <c r="N71" s="1365"/>
      <c r="O71" s="1339"/>
    </row>
    <row r="72" spans="1:15">
      <c r="B72" s="1358" t="s">
        <v>3676</v>
      </c>
      <c r="C72" s="1358" t="s">
        <v>3677</v>
      </c>
      <c r="D72" s="1358" t="s">
        <v>3678</v>
      </c>
      <c r="E72" s="1465" t="s">
        <v>3679</v>
      </c>
      <c r="F72" s="1465" t="s">
        <v>3680</v>
      </c>
      <c r="G72" s="1465" t="s">
        <v>3681</v>
      </c>
      <c r="H72" s="1358" t="s">
        <v>3682</v>
      </c>
      <c r="I72" s="1358" t="s">
        <v>3683</v>
      </c>
      <c r="J72" s="1358" t="s">
        <v>3690</v>
      </c>
      <c r="K72" s="1358" t="s">
        <v>3691</v>
      </c>
      <c r="L72" s="1358" t="s">
        <v>343</v>
      </c>
      <c r="M72" s="1453"/>
    </row>
    <row r="73" spans="1:15">
      <c r="B73" s="1463">
        <f>B70*0.8</f>
        <v>29.664000000000001</v>
      </c>
      <c r="C73" s="1463">
        <f>C70*0.8</f>
        <v>36.98924731182796</v>
      </c>
      <c r="D73" s="1463">
        <f>D70*0.8</f>
        <v>201.60000000000002</v>
      </c>
      <c r="E73" s="1463">
        <f>E70</f>
        <v>14.58</v>
      </c>
      <c r="F73" s="1463">
        <f>F70</f>
        <v>10.3</v>
      </c>
      <c r="G73" s="1463">
        <f>G70*0.85</f>
        <v>25.2258064516129</v>
      </c>
      <c r="H73" s="1463">
        <v>70</v>
      </c>
      <c r="I73" s="1463">
        <v>10</v>
      </c>
      <c r="J73" s="1464">
        <v>12</v>
      </c>
      <c r="K73" s="1463">
        <f>K70/2</f>
        <v>13.29</v>
      </c>
      <c r="L73" s="1464">
        <v>3</v>
      </c>
      <c r="M73" s="1453"/>
    </row>
    <row r="74" spans="1:15">
      <c r="B74" s="1462"/>
      <c r="C74" s="1462"/>
    </row>
    <row r="75" spans="1:15">
      <c r="B75" s="1462"/>
      <c r="C75" s="1462"/>
    </row>
    <row r="76" spans="1:15">
      <c r="B76" s="1544" t="s">
        <v>3926</v>
      </c>
      <c r="C76" s="1551" t="s">
        <v>3760</v>
      </c>
      <c r="D76" s="1552"/>
      <c r="E76" s="1468" t="s">
        <v>3761</v>
      </c>
      <c r="F76" s="1468" t="s">
        <v>3762</v>
      </c>
      <c r="G76" s="1468" t="s">
        <v>3763</v>
      </c>
      <c r="H76" s="1468" t="s">
        <v>3764</v>
      </c>
      <c r="I76" s="1469" t="s">
        <v>10</v>
      </c>
      <c r="J76" s="1453"/>
    </row>
    <row r="77" spans="1:15">
      <c r="B77" s="1544"/>
      <c r="C77" s="1546" t="s">
        <v>3859</v>
      </c>
      <c r="D77" s="1547"/>
      <c r="E77" s="1456" t="s">
        <v>80</v>
      </c>
      <c r="F77" s="1456" t="s">
        <v>3816</v>
      </c>
      <c r="G77" s="1467">
        <v>0.25</v>
      </c>
      <c r="H77" s="1467">
        <v>0.25</v>
      </c>
      <c r="I77" s="1476" t="s">
        <v>3860</v>
      </c>
      <c r="J77" s="1453" t="s">
        <v>1608</v>
      </c>
    </row>
    <row r="78" spans="1:15">
      <c r="B78" s="1544"/>
      <c r="C78" s="1548" t="s">
        <v>3766</v>
      </c>
      <c r="D78" s="1549"/>
      <c r="E78" s="1517" t="s">
        <v>80</v>
      </c>
      <c r="F78" s="1517" t="s">
        <v>3678</v>
      </c>
      <c r="G78" s="1518">
        <v>0.17</v>
      </c>
      <c r="H78" s="1518">
        <v>1</v>
      </c>
      <c r="I78" s="1519" t="s">
        <v>3767</v>
      </c>
      <c r="J78" s="1477" t="s">
        <v>1608</v>
      </c>
    </row>
    <row r="79" spans="1:15">
      <c r="B79" s="1544"/>
      <c r="C79" s="1546" t="s">
        <v>3770</v>
      </c>
      <c r="D79" s="1547"/>
      <c r="E79" s="1456" t="s">
        <v>80</v>
      </c>
      <c r="F79" s="1456" t="s">
        <v>3678</v>
      </c>
      <c r="G79" s="1467">
        <v>0.2</v>
      </c>
      <c r="H79" s="1467">
        <v>1</v>
      </c>
      <c r="I79" s="1473" t="s">
        <v>3771</v>
      </c>
      <c r="J79" s="1453" t="s">
        <v>1608</v>
      </c>
      <c r="K79" s="1325" t="s">
        <v>3709</v>
      </c>
      <c r="L79" s="1325" t="s">
        <v>3678</v>
      </c>
    </row>
    <row r="80" spans="1:15">
      <c r="B80" s="1544"/>
      <c r="C80" s="1548" t="s">
        <v>3773</v>
      </c>
      <c r="D80" s="1549"/>
      <c r="E80" s="1517" t="s">
        <v>80</v>
      </c>
      <c r="F80" s="1517" t="s">
        <v>3682</v>
      </c>
      <c r="G80" s="1518">
        <v>1</v>
      </c>
      <c r="H80" s="1518">
        <v>0.4</v>
      </c>
      <c r="I80" s="1520"/>
      <c r="J80" s="1453" t="s">
        <v>1608</v>
      </c>
      <c r="K80" s="1325" t="s">
        <v>3710</v>
      </c>
      <c r="L80" s="1325" t="s">
        <v>3679</v>
      </c>
    </row>
    <row r="81" spans="2:12">
      <c r="B81" s="1544"/>
      <c r="C81" s="1546" t="s">
        <v>3857</v>
      </c>
      <c r="D81" s="1547"/>
      <c r="E81" s="1456" t="s">
        <v>3709</v>
      </c>
      <c r="F81" s="1456" t="s">
        <v>3816</v>
      </c>
      <c r="G81" s="1467">
        <v>0.113</v>
      </c>
      <c r="H81" s="1467">
        <v>0.5</v>
      </c>
      <c r="I81" s="1470" t="s">
        <v>3817</v>
      </c>
      <c r="J81" s="1477" t="s">
        <v>1608</v>
      </c>
      <c r="K81" s="1325" t="s">
        <v>80</v>
      </c>
      <c r="L81" s="1325" t="s">
        <v>3680</v>
      </c>
    </row>
    <row r="82" spans="2:12">
      <c r="B82" s="1544"/>
      <c r="C82" s="1546" t="s">
        <v>3819</v>
      </c>
      <c r="D82" s="1547"/>
      <c r="E82" s="1454" t="s">
        <v>80</v>
      </c>
      <c r="F82" s="1454" t="s">
        <v>3816</v>
      </c>
      <c r="G82" s="1471">
        <v>0.05</v>
      </c>
      <c r="H82" s="1471">
        <v>0.5</v>
      </c>
      <c r="I82" s="1474" t="s">
        <v>3820</v>
      </c>
      <c r="J82" s="1453" t="s">
        <v>1608</v>
      </c>
      <c r="K82" s="1325"/>
      <c r="L82" s="1325" t="s">
        <v>3682</v>
      </c>
    </row>
    <row r="83" spans="2:12">
      <c r="B83" s="1544"/>
      <c r="C83" s="1548" t="s">
        <v>3858</v>
      </c>
      <c r="D83" s="1549"/>
      <c r="E83" s="1521" t="s">
        <v>3710</v>
      </c>
      <c r="F83" s="1521" t="s">
        <v>3816</v>
      </c>
      <c r="G83" s="1522">
        <v>0.18</v>
      </c>
      <c r="H83" s="1522">
        <v>0.04</v>
      </c>
      <c r="I83" s="1523" t="s">
        <v>3860</v>
      </c>
      <c r="J83" s="1453" t="s">
        <v>1608</v>
      </c>
      <c r="K83" s="1325"/>
      <c r="L83" s="1325" t="s">
        <v>3689</v>
      </c>
    </row>
    <row r="84" spans="2:12">
      <c r="B84" s="1544"/>
      <c r="C84" s="1546" t="s">
        <v>3818</v>
      </c>
      <c r="D84" s="1547"/>
      <c r="E84" s="1454" t="s">
        <v>3710</v>
      </c>
      <c r="F84" s="1454" t="s">
        <v>3816</v>
      </c>
      <c r="G84" s="1471">
        <v>0.4</v>
      </c>
      <c r="H84" s="1471">
        <v>0.11</v>
      </c>
      <c r="I84" s="1472" t="s">
        <v>3860</v>
      </c>
      <c r="J84" s="1477" t="s">
        <v>1608</v>
      </c>
      <c r="K84" s="1325"/>
      <c r="L84" s="1325" t="s">
        <v>3683</v>
      </c>
    </row>
    <row r="85" spans="2:12">
      <c r="B85" s="1544"/>
      <c r="C85" s="1546" t="s">
        <v>3862</v>
      </c>
      <c r="D85" s="1547"/>
      <c r="E85" s="1456" t="s">
        <v>3710</v>
      </c>
      <c r="F85" s="1456" t="s">
        <v>3816</v>
      </c>
      <c r="G85" s="1467">
        <v>0.05</v>
      </c>
      <c r="H85" s="1467">
        <v>0.75</v>
      </c>
      <c r="I85" s="1470"/>
      <c r="J85" s="1453" t="s">
        <v>1608</v>
      </c>
      <c r="K85" s="1325"/>
      <c r="L85" s="1325" t="s">
        <v>3691</v>
      </c>
    </row>
    <row r="86" spans="2:12">
      <c r="B86" s="1544"/>
      <c r="C86" s="1546" t="s">
        <v>3861</v>
      </c>
      <c r="D86" s="1547"/>
      <c r="E86" s="1454" t="s">
        <v>80</v>
      </c>
      <c r="F86" s="1454" t="s">
        <v>3816</v>
      </c>
      <c r="G86" s="1471">
        <v>0.05</v>
      </c>
      <c r="H86" s="1471">
        <v>0.5</v>
      </c>
      <c r="I86" s="1472"/>
      <c r="J86" s="1453" t="s">
        <v>1608</v>
      </c>
      <c r="K86" s="1325"/>
      <c r="L86" s="1325" t="s">
        <v>343</v>
      </c>
    </row>
    <row r="87" spans="2:12">
      <c r="B87" s="1544"/>
      <c r="C87" s="1546" t="s">
        <v>3768</v>
      </c>
      <c r="D87" s="1547"/>
      <c r="E87" s="1456" t="s">
        <v>3710</v>
      </c>
      <c r="F87" s="1456" t="s">
        <v>3757</v>
      </c>
      <c r="G87" s="1467">
        <v>0.72</v>
      </c>
      <c r="H87" s="1467">
        <v>1</v>
      </c>
      <c r="I87" s="1470" t="s">
        <v>3769</v>
      </c>
      <c r="J87" s="1477" t="s">
        <v>1608</v>
      </c>
      <c r="K87" s="1325"/>
      <c r="L87" s="1325" t="s">
        <v>3690</v>
      </c>
    </row>
    <row r="88" spans="2:12">
      <c r="B88" s="1544"/>
      <c r="C88" s="1546" t="s">
        <v>3863</v>
      </c>
      <c r="D88" s="1547"/>
      <c r="E88" s="1454" t="s">
        <v>3710</v>
      </c>
      <c r="F88" s="1454" t="s">
        <v>3678</v>
      </c>
      <c r="G88" s="1471">
        <v>0.1</v>
      </c>
      <c r="H88" s="1471">
        <v>0.5</v>
      </c>
      <c r="I88" s="1472" t="s">
        <v>3860</v>
      </c>
      <c r="J88" s="1477" t="s">
        <v>1608</v>
      </c>
      <c r="K88" s="1325"/>
      <c r="L88" s="1325" t="s">
        <v>3757</v>
      </c>
    </row>
    <row r="89" spans="2:12">
      <c r="B89" s="1544"/>
      <c r="C89" s="1546" t="s">
        <v>3864</v>
      </c>
      <c r="D89" s="1547"/>
      <c r="E89" s="1456" t="s">
        <v>3710</v>
      </c>
      <c r="F89" s="1456" t="s">
        <v>3679</v>
      </c>
      <c r="G89" s="1467">
        <v>7.4999999999999997E-2</v>
      </c>
      <c r="H89" s="1467">
        <v>0.5</v>
      </c>
      <c r="I89" s="1470"/>
      <c r="J89" s="1453" t="s">
        <v>1608</v>
      </c>
    </row>
    <row r="90" spans="2:12">
      <c r="B90" s="1544"/>
      <c r="C90" s="1546" t="s">
        <v>3772</v>
      </c>
      <c r="D90" s="1547"/>
      <c r="E90" s="1454" t="s">
        <v>3710</v>
      </c>
      <c r="F90" s="1454" t="s">
        <v>3690</v>
      </c>
      <c r="G90" s="1471">
        <v>0.15</v>
      </c>
      <c r="H90" s="1471">
        <v>0.5</v>
      </c>
      <c r="I90" s="1474" t="s">
        <v>3860</v>
      </c>
      <c r="J90" s="1453" t="s">
        <v>1608</v>
      </c>
    </row>
    <row r="91" spans="2:12">
      <c r="B91" s="1544"/>
      <c r="C91" s="1546"/>
      <c r="D91" s="1547"/>
      <c r="E91" s="1456" t="s">
        <v>3774</v>
      </c>
      <c r="F91" s="1456" t="s">
        <v>3774</v>
      </c>
      <c r="G91" s="1467"/>
      <c r="H91" s="1467"/>
      <c r="I91" s="1470"/>
      <c r="J91" s="1453" t="s">
        <v>1608</v>
      </c>
    </row>
    <row r="92" spans="2:12">
      <c r="B92" s="1544"/>
      <c r="C92" s="1554"/>
      <c r="D92" s="1555"/>
      <c r="E92" s="1454" t="s">
        <v>3774</v>
      </c>
      <c r="F92" s="1454" t="s">
        <v>3774</v>
      </c>
      <c r="G92" s="1471"/>
      <c r="H92" s="1471"/>
      <c r="I92" s="1472"/>
      <c r="J92" s="1453" t="s">
        <v>1608</v>
      </c>
    </row>
    <row r="93" spans="2:12">
      <c r="B93" s="1544"/>
      <c r="C93" s="1546"/>
      <c r="D93" s="1547"/>
      <c r="E93" s="1456" t="s">
        <v>3774</v>
      </c>
      <c r="F93" s="1456" t="s">
        <v>3774</v>
      </c>
      <c r="G93" s="1467"/>
      <c r="H93" s="1467"/>
      <c r="I93" s="1470"/>
      <c r="J93" s="1453" t="s">
        <v>1608</v>
      </c>
    </row>
    <row r="94" spans="2:12">
      <c r="B94" s="1544"/>
      <c r="C94" s="1546"/>
      <c r="D94" s="1547"/>
      <c r="E94" s="1454" t="s">
        <v>3774</v>
      </c>
      <c r="F94" s="1454" t="s">
        <v>3774</v>
      </c>
      <c r="G94" s="1471"/>
      <c r="H94" s="1471"/>
      <c r="I94" s="1472"/>
      <c r="J94" s="1453" t="s">
        <v>1608</v>
      </c>
    </row>
    <row r="95" spans="2:12">
      <c r="B95" s="1544"/>
      <c r="C95" s="1546"/>
      <c r="D95" s="1547"/>
      <c r="E95" s="1456" t="s">
        <v>3774</v>
      </c>
      <c r="F95" s="1456" t="s">
        <v>3774</v>
      </c>
      <c r="G95" s="1467"/>
      <c r="H95" s="1467"/>
      <c r="I95" s="1470"/>
      <c r="J95" s="1453" t="s">
        <v>1608</v>
      </c>
    </row>
    <row r="96" spans="2:12">
      <c r="B96" s="1544"/>
      <c r="C96" s="1546"/>
      <c r="D96" s="1547"/>
      <c r="E96" s="1454" t="s">
        <v>3774</v>
      </c>
      <c r="F96" s="1454" t="s">
        <v>3774</v>
      </c>
      <c r="G96" s="1471"/>
      <c r="H96" s="1471"/>
      <c r="I96" s="1472"/>
      <c r="J96" s="1453" t="s">
        <v>1608</v>
      </c>
    </row>
    <row r="97" spans="2:10">
      <c r="B97" s="1544"/>
      <c r="C97" s="1546"/>
      <c r="D97" s="1547"/>
      <c r="E97" s="1456" t="s">
        <v>3774</v>
      </c>
      <c r="F97" s="1456" t="s">
        <v>3774</v>
      </c>
      <c r="G97" s="1467"/>
      <c r="H97" s="1467"/>
      <c r="I97" s="1470"/>
      <c r="J97" s="1453" t="s">
        <v>1608</v>
      </c>
    </row>
    <row r="98" spans="2:10">
      <c r="B98" s="1544"/>
      <c r="C98" s="1546"/>
      <c r="D98" s="1547"/>
      <c r="E98" s="1454" t="s">
        <v>3774</v>
      </c>
      <c r="F98" s="1454" t="s">
        <v>3774</v>
      </c>
      <c r="G98" s="1471"/>
      <c r="H98" s="1471"/>
      <c r="I98" s="1472"/>
      <c r="J98" s="1453" t="s">
        <v>1608</v>
      </c>
    </row>
    <row r="99" spans="2:10">
      <c r="B99" s="1544"/>
      <c r="C99" s="1546"/>
      <c r="D99" s="1547"/>
      <c r="E99" s="1456" t="s">
        <v>3774</v>
      </c>
      <c r="F99" s="1456" t="s">
        <v>3774</v>
      </c>
      <c r="G99" s="1467"/>
      <c r="H99" s="1467"/>
      <c r="I99" s="1470"/>
      <c r="J99" s="1453" t="s">
        <v>1608</v>
      </c>
    </row>
    <row r="100" spans="2:10">
      <c r="B100" s="1544"/>
      <c r="C100" s="1546"/>
      <c r="D100" s="1547"/>
      <c r="E100" s="1454" t="s">
        <v>3774</v>
      </c>
      <c r="F100" s="1454" t="s">
        <v>3774</v>
      </c>
      <c r="G100" s="1471"/>
      <c r="H100" s="1471"/>
      <c r="I100" s="1472"/>
      <c r="J100" s="1453" t="s">
        <v>1608</v>
      </c>
    </row>
    <row r="101" spans="2:10">
      <c r="B101" s="1544"/>
      <c r="C101" s="1546"/>
      <c r="D101" s="1547"/>
      <c r="E101" s="1455" t="s">
        <v>3774</v>
      </c>
      <c r="F101" s="1455" t="s">
        <v>3774</v>
      </c>
      <c r="G101" s="1466"/>
      <c r="H101" s="1466"/>
      <c r="I101" s="1475"/>
      <c r="J101" s="1453" t="s">
        <v>1608</v>
      </c>
    </row>
    <row r="102" spans="2:10" ht="16" thickBot="1"/>
    <row r="103" spans="2:10" s="41" customFormat="1" ht="16" thickBot="1">
      <c r="B103" s="1536" t="s">
        <v>3925</v>
      </c>
      <c r="C103" s="1537"/>
      <c r="D103" s="1387" t="s">
        <v>3</v>
      </c>
      <c r="E103" s="1344" t="s">
        <v>3755</v>
      </c>
    </row>
    <row r="104" spans="2:10" s="41" customFormat="1" ht="16" thickBot="1">
      <c r="B104" s="1536"/>
      <c r="C104" s="1537"/>
      <c r="D104" s="1333">
        <v>2017</v>
      </c>
      <c r="E104" s="1457">
        <v>0</v>
      </c>
      <c r="G104" s="2">
        <f>1/7</f>
        <v>0.14285714285714285</v>
      </c>
    </row>
    <row r="105" spans="2:10" s="41" customFormat="1" ht="16" thickBot="1">
      <c r="B105" s="1536"/>
      <c r="C105" s="1537"/>
      <c r="D105" s="1333">
        <v>2018</v>
      </c>
      <c r="E105" s="1368">
        <v>0.14285714285714285</v>
      </c>
    </row>
    <row r="106" spans="2:10" s="41" customFormat="1" ht="16" thickBot="1">
      <c r="B106" s="1536"/>
      <c r="C106" s="1537"/>
      <c r="D106" s="1333">
        <v>2019</v>
      </c>
      <c r="E106" s="1368">
        <v>0.2857142857142857</v>
      </c>
    </row>
    <row r="107" spans="2:10" s="41" customFormat="1" ht="16" thickBot="1">
      <c r="B107" s="1536"/>
      <c r="C107" s="1537"/>
      <c r="D107" s="1333">
        <v>2020</v>
      </c>
      <c r="E107" s="1368">
        <v>0.42857142857142855</v>
      </c>
    </row>
    <row r="108" spans="2:10" s="41" customFormat="1" ht="16" thickBot="1">
      <c r="B108" s="1536"/>
      <c r="C108" s="1537"/>
      <c r="D108" s="1333">
        <v>2021</v>
      </c>
      <c r="E108" s="1368">
        <v>0.5714285714285714</v>
      </c>
    </row>
    <row r="109" spans="2:10" s="41" customFormat="1" ht="16" thickBot="1">
      <c r="B109" s="1536"/>
      <c r="C109" s="1537"/>
      <c r="D109" s="1333">
        <v>2022</v>
      </c>
      <c r="E109" s="1368">
        <v>0.71428571428571419</v>
      </c>
    </row>
    <row r="110" spans="2:10" s="41" customFormat="1" ht="16" thickBot="1">
      <c r="B110" s="1536"/>
      <c r="C110" s="1537"/>
      <c r="D110" s="1333">
        <v>2023</v>
      </c>
      <c r="E110" s="1368">
        <v>0.85714285714285698</v>
      </c>
    </row>
    <row r="111" spans="2:10" s="41" customFormat="1" ht="16" thickBot="1">
      <c r="B111" s="1536"/>
      <c r="C111" s="1537"/>
      <c r="D111" s="1333">
        <v>2024</v>
      </c>
      <c r="E111" s="1368">
        <v>0.99999999999999978</v>
      </c>
    </row>
    <row r="112" spans="2:10" s="41" customFormat="1" ht="16" thickBot="1">
      <c r="B112" s="1536"/>
      <c r="C112" s="1537"/>
      <c r="D112" s="1333">
        <v>2025</v>
      </c>
      <c r="E112" s="1368">
        <v>1</v>
      </c>
    </row>
    <row r="113" spans="2:6" s="41" customFormat="1" ht="16" thickBot="1">
      <c r="B113" s="1536"/>
      <c r="C113" s="1537"/>
      <c r="D113" s="1333">
        <v>2026</v>
      </c>
      <c r="E113" s="1368">
        <v>1</v>
      </c>
    </row>
    <row r="114" spans="2:6" s="41" customFormat="1" ht="16" thickBot="1">
      <c r="B114" s="1536"/>
      <c r="C114" s="1537"/>
      <c r="D114" s="1333">
        <v>2027</v>
      </c>
      <c r="E114" s="1368">
        <v>1</v>
      </c>
    </row>
    <row r="115" spans="2:6" s="41" customFormat="1" ht="16" thickBot="1">
      <c r="B115" s="1536"/>
      <c r="C115" s="1537"/>
      <c r="D115" s="1333">
        <v>2028</v>
      </c>
      <c r="E115" s="1368">
        <v>1</v>
      </c>
    </row>
    <row r="116" spans="2:6" s="41" customFormat="1" ht="16" thickBot="1">
      <c r="B116" s="1536"/>
      <c r="C116" s="1537"/>
      <c r="D116" s="1333">
        <v>2029</v>
      </c>
      <c r="E116" s="1368">
        <v>1</v>
      </c>
    </row>
    <row r="117" spans="2:6" s="41" customFormat="1" ht="16" thickBot="1">
      <c r="B117" s="1536"/>
      <c r="C117" s="1537"/>
      <c r="D117" s="1333">
        <v>2030</v>
      </c>
      <c r="E117" s="1368">
        <v>1</v>
      </c>
    </row>
    <row r="118" spans="2:6" s="41" customFormat="1"/>
    <row r="119" spans="2:6" s="41" customFormat="1">
      <c r="B119" s="1559" t="s">
        <v>3928</v>
      </c>
      <c r="C119" s="1560"/>
      <c r="D119" s="1560"/>
      <c r="E119" s="1560"/>
      <c r="F119" s="1560"/>
    </row>
    <row r="120" spans="2:6" ht="14.5" customHeight="1">
      <c r="B120" s="1544" t="s">
        <v>3948</v>
      </c>
      <c r="C120" s="1544"/>
      <c r="D120" s="8" t="s">
        <v>3922</v>
      </c>
      <c r="F120" s="1482">
        <v>2.8799999999999999E-2</v>
      </c>
    </row>
    <row r="121" spans="2:6">
      <c r="B121" s="1544"/>
      <c r="C121" s="1544"/>
      <c r="D121" s="8" t="s">
        <v>3921</v>
      </c>
      <c r="F121" s="1482">
        <v>2.8799999999999999E-2</v>
      </c>
    </row>
    <row r="122" spans="2:6" ht="15" customHeight="1">
      <c r="B122" s="1544"/>
      <c r="C122" s="1544"/>
      <c r="D122" s="7" t="s">
        <v>3923</v>
      </c>
      <c r="F122" s="1480">
        <f>14219362/(10909486+14219362)</f>
        <v>0.56585809265908249</v>
      </c>
    </row>
    <row r="123" spans="2:6">
      <c r="B123" s="1544"/>
      <c r="C123" s="1544"/>
    </row>
    <row r="124" spans="2:6" ht="13.75" customHeight="1">
      <c r="B124" s="1544"/>
      <c r="C124" s="1544"/>
    </row>
    <row r="125" spans="2:6" s="41" customFormat="1" ht="13.75" customHeight="1">
      <c r="B125" s="1544"/>
      <c r="C125" s="1544"/>
    </row>
    <row r="126" spans="2:6" s="41" customFormat="1" ht="28.25" customHeight="1">
      <c r="B126" s="1565" t="s">
        <v>3949</v>
      </c>
      <c r="C126" s="1565"/>
      <c r="D126" s="1565"/>
      <c r="E126" s="1565"/>
      <c r="F126" s="1565"/>
    </row>
    <row r="128" spans="2:6">
      <c r="B128" s="1536" t="s">
        <v>3950</v>
      </c>
      <c r="C128" s="1536"/>
      <c r="D128" s="1564" t="s">
        <v>3916</v>
      </c>
      <c r="E128" s="1564"/>
      <c r="F128" s="1480">
        <v>0.2</v>
      </c>
    </row>
    <row r="129" spans="2:15">
      <c r="B129" s="1536"/>
      <c r="C129" s="1536"/>
      <c r="D129" s="27" t="s">
        <v>3920</v>
      </c>
      <c r="E129" s="1453"/>
      <c r="F129" s="1423">
        <v>0.3</v>
      </c>
    </row>
    <row r="130" spans="2:15">
      <c r="B130" s="1536"/>
      <c r="C130" s="1536"/>
      <c r="D130" s="27" t="s">
        <v>3919</v>
      </c>
      <c r="E130" s="1453"/>
      <c r="F130" s="1481">
        <v>1</v>
      </c>
    </row>
    <row r="131" spans="2:15">
      <c r="B131" s="1536"/>
      <c r="C131" s="1536"/>
      <c r="D131" s="27" t="s">
        <v>3918</v>
      </c>
      <c r="E131" s="1453"/>
      <c r="F131" s="1423">
        <v>0.1</v>
      </c>
    </row>
    <row r="132" spans="2:15">
      <c r="B132" s="1536"/>
      <c r="C132" s="1536"/>
      <c r="D132" s="27" t="s">
        <v>3917</v>
      </c>
      <c r="E132" s="1453"/>
      <c r="F132" s="1423">
        <v>0.1</v>
      </c>
    </row>
    <row r="134" spans="2:15">
      <c r="B134" s="1558" t="s">
        <v>3924</v>
      </c>
      <c r="C134" s="1558"/>
      <c r="D134" s="1558"/>
      <c r="E134" s="1558"/>
      <c r="F134" s="1558"/>
      <c r="G134" s="1558"/>
      <c r="H134" s="1558"/>
      <c r="I134" s="1558"/>
      <c r="J134" s="1558"/>
    </row>
    <row r="135" spans="2:15">
      <c r="B135" s="1558"/>
      <c r="C135" s="1558"/>
      <c r="D135" s="1558"/>
      <c r="E135" s="1558"/>
      <c r="F135" s="1558"/>
      <c r="G135" s="1558"/>
      <c r="H135" s="1558"/>
      <c r="I135" s="1558"/>
      <c r="J135" s="1558"/>
    </row>
    <row r="136" spans="2:15">
      <c r="B136" s="1558"/>
      <c r="C136" s="1558"/>
      <c r="D136" s="1558"/>
      <c r="E136" s="1558"/>
      <c r="F136" s="1558"/>
      <c r="G136" s="1558"/>
      <c r="H136" s="1558"/>
      <c r="I136" s="1558"/>
      <c r="J136" s="1558"/>
    </row>
    <row r="137" spans="2:15" ht="15" customHeight="1">
      <c r="C137" s="9">
        <v>2018</v>
      </c>
      <c r="D137" s="9">
        <v>2019</v>
      </c>
      <c r="E137" s="9">
        <v>2020</v>
      </c>
      <c r="F137" s="9">
        <v>2021</v>
      </c>
      <c r="G137" s="9">
        <v>2022</v>
      </c>
      <c r="H137" s="9">
        <v>2023</v>
      </c>
      <c r="I137" s="9">
        <v>2024</v>
      </c>
      <c r="J137" s="9">
        <v>2025</v>
      </c>
      <c r="K137" s="9">
        <v>2026</v>
      </c>
      <c r="L137" s="9">
        <v>2027</v>
      </c>
      <c r="M137" s="9">
        <v>2028</v>
      </c>
      <c r="N137" s="9">
        <v>2029</v>
      </c>
      <c r="O137" s="9">
        <v>2030</v>
      </c>
    </row>
    <row r="138" spans="2:15" ht="17.25" customHeight="1">
      <c r="B138" s="13" t="s">
        <v>16</v>
      </c>
      <c r="C138" s="1413">
        <v>0</v>
      </c>
      <c r="D138" s="1413">
        <v>8.3000000000000004E-2</v>
      </c>
      <c r="E138" s="1413">
        <f t="shared" ref="E138:O138" si="1">D138+0.083</f>
        <v>0.16600000000000001</v>
      </c>
      <c r="F138" s="1413">
        <f t="shared" si="1"/>
        <v>0.249</v>
      </c>
      <c r="G138" s="1413">
        <f t="shared" si="1"/>
        <v>0.33200000000000002</v>
      </c>
      <c r="H138" s="1413">
        <f t="shared" si="1"/>
        <v>0.41500000000000004</v>
      </c>
      <c r="I138" s="1413">
        <f t="shared" si="1"/>
        <v>0.49800000000000005</v>
      </c>
      <c r="J138" s="1413">
        <f t="shared" si="1"/>
        <v>0.58100000000000007</v>
      </c>
      <c r="K138" s="1413">
        <f t="shared" si="1"/>
        <v>0.66400000000000003</v>
      </c>
      <c r="L138" s="1413">
        <f t="shared" si="1"/>
        <v>0.747</v>
      </c>
      <c r="M138" s="1413">
        <f t="shared" si="1"/>
        <v>0.83</v>
      </c>
      <c r="N138" s="1413">
        <f t="shared" si="1"/>
        <v>0.91299999999999992</v>
      </c>
      <c r="O138" s="1413">
        <f t="shared" si="1"/>
        <v>0.99599999999999989</v>
      </c>
    </row>
    <row r="139" spans="2:15">
      <c r="B139" s="13" t="s">
        <v>12</v>
      </c>
      <c r="C139" s="1413">
        <v>0</v>
      </c>
      <c r="D139" s="1413">
        <v>1</v>
      </c>
      <c r="E139" s="1413">
        <v>1</v>
      </c>
      <c r="F139" s="1413">
        <v>1</v>
      </c>
      <c r="G139" s="1413">
        <v>1</v>
      </c>
      <c r="H139" s="1413">
        <v>1</v>
      </c>
      <c r="I139" s="1413">
        <v>1</v>
      </c>
      <c r="J139" s="1413">
        <v>1</v>
      </c>
      <c r="K139" s="1413">
        <v>1</v>
      </c>
      <c r="L139" s="1413">
        <v>1</v>
      </c>
      <c r="M139" s="1413">
        <v>1</v>
      </c>
      <c r="N139" s="1413">
        <v>1</v>
      </c>
      <c r="O139" s="1413">
        <v>1</v>
      </c>
    </row>
    <row r="140" spans="2:15">
      <c r="B140" s="17" t="s">
        <v>22</v>
      </c>
      <c r="C140" s="1413">
        <v>0</v>
      </c>
      <c r="D140" s="1413">
        <v>8.3000000000000004E-2</v>
      </c>
      <c r="E140" s="1413">
        <f t="shared" ref="E140:O140" si="2">D140+0.083</f>
        <v>0.16600000000000001</v>
      </c>
      <c r="F140" s="1413">
        <f t="shared" si="2"/>
        <v>0.249</v>
      </c>
      <c r="G140" s="1413">
        <f t="shared" si="2"/>
        <v>0.33200000000000002</v>
      </c>
      <c r="H140" s="1413">
        <f t="shared" si="2"/>
        <v>0.41500000000000004</v>
      </c>
      <c r="I140" s="1413">
        <f t="shared" si="2"/>
        <v>0.49800000000000005</v>
      </c>
      <c r="J140" s="1413">
        <f t="shared" si="2"/>
        <v>0.58100000000000007</v>
      </c>
      <c r="K140" s="1413">
        <f t="shared" si="2"/>
        <v>0.66400000000000003</v>
      </c>
      <c r="L140" s="1413">
        <f t="shared" si="2"/>
        <v>0.747</v>
      </c>
      <c r="M140" s="1413">
        <f t="shared" si="2"/>
        <v>0.83</v>
      </c>
      <c r="N140" s="1413">
        <f t="shared" si="2"/>
        <v>0.91299999999999992</v>
      </c>
      <c r="O140" s="1413">
        <f t="shared" si="2"/>
        <v>0.99599999999999989</v>
      </c>
    </row>
    <row r="141" spans="2:15">
      <c r="B141" s="13" t="s">
        <v>51</v>
      </c>
      <c r="C141" s="1413">
        <v>0</v>
      </c>
      <c r="D141" s="1413">
        <v>8.3000000000000004E-2</v>
      </c>
      <c r="E141" s="1413">
        <f t="shared" ref="E141:O141" si="3">D141+0.083</f>
        <v>0.16600000000000001</v>
      </c>
      <c r="F141" s="1413">
        <f t="shared" si="3"/>
        <v>0.249</v>
      </c>
      <c r="G141" s="1413">
        <f t="shared" si="3"/>
        <v>0.33200000000000002</v>
      </c>
      <c r="H141" s="1413">
        <f t="shared" si="3"/>
        <v>0.41500000000000004</v>
      </c>
      <c r="I141" s="1413">
        <f t="shared" si="3"/>
        <v>0.49800000000000005</v>
      </c>
      <c r="J141" s="1413">
        <f t="shared" si="3"/>
        <v>0.58100000000000007</v>
      </c>
      <c r="K141" s="1413">
        <f t="shared" si="3"/>
        <v>0.66400000000000003</v>
      </c>
      <c r="L141" s="1413">
        <f t="shared" si="3"/>
        <v>0.747</v>
      </c>
      <c r="M141" s="1413">
        <f t="shared" si="3"/>
        <v>0.83</v>
      </c>
      <c r="N141" s="1413">
        <f t="shared" si="3"/>
        <v>0.91299999999999992</v>
      </c>
      <c r="O141" s="1413">
        <f t="shared" si="3"/>
        <v>0.99599999999999989</v>
      </c>
    </row>
    <row r="142" spans="2:15">
      <c r="B142" s="13" t="s">
        <v>7</v>
      </c>
      <c r="C142" s="1413">
        <v>0</v>
      </c>
      <c r="D142" s="1413">
        <v>8.3000000000000004E-2</v>
      </c>
      <c r="E142" s="1413">
        <f t="shared" ref="E142:O142" si="4">D142+0.083</f>
        <v>0.16600000000000001</v>
      </c>
      <c r="F142" s="1413">
        <f t="shared" si="4"/>
        <v>0.249</v>
      </c>
      <c r="G142" s="1413">
        <f t="shared" si="4"/>
        <v>0.33200000000000002</v>
      </c>
      <c r="H142" s="1413">
        <f t="shared" si="4"/>
        <v>0.41500000000000004</v>
      </c>
      <c r="I142" s="1413">
        <f t="shared" si="4"/>
        <v>0.49800000000000005</v>
      </c>
      <c r="J142" s="1413">
        <f t="shared" si="4"/>
        <v>0.58100000000000007</v>
      </c>
      <c r="K142" s="1413">
        <f t="shared" si="4"/>
        <v>0.66400000000000003</v>
      </c>
      <c r="L142" s="1413">
        <f t="shared" si="4"/>
        <v>0.747</v>
      </c>
      <c r="M142" s="1413">
        <f t="shared" si="4"/>
        <v>0.83</v>
      </c>
      <c r="N142" s="1413">
        <f t="shared" si="4"/>
        <v>0.91299999999999992</v>
      </c>
      <c r="O142" s="1413">
        <f t="shared" si="4"/>
        <v>0.99599999999999989</v>
      </c>
    </row>
    <row r="143" spans="2:15">
      <c r="B143" s="13" t="s">
        <v>6</v>
      </c>
      <c r="C143" s="1413">
        <v>0</v>
      </c>
      <c r="D143" s="1413">
        <v>8.3000000000000004E-2</v>
      </c>
      <c r="E143" s="1413">
        <f t="shared" ref="E143:O143" si="5">D143+0.083</f>
        <v>0.16600000000000001</v>
      </c>
      <c r="F143" s="1413">
        <f t="shared" si="5"/>
        <v>0.249</v>
      </c>
      <c r="G143" s="1413">
        <f t="shared" si="5"/>
        <v>0.33200000000000002</v>
      </c>
      <c r="H143" s="1413">
        <f t="shared" si="5"/>
        <v>0.41500000000000004</v>
      </c>
      <c r="I143" s="1413">
        <f t="shared" si="5"/>
        <v>0.49800000000000005</v>
      </c>
      <c r="J143" s="1413">
        <f t="shared" si="5"/>
        <v>0.58100000000000007</v>
      </c>
      <c r="K143" s="1413">
        <f t="shared" si="5"/>
        <v>0.66400000000000003</v>
      </c>
      <c r="L143" s="1413">
        <f t="shared" si="5"/>
        <v>0.747</v>
      </c>
      <c r="M143" s="1413">
        <f t="shared" si="5"/>
        <v>0.83</v>
      </c>
      <c r="N143" s="1413">
        <f t="shared" si="5"/>
        <v>0.91299999999999992</v>
      </c>
      <c r="O143" s="1413">
        <f t="shared" si="5"/>
        <v>0.99599999999999989</v>
      </c>
    </row>
    <row r="145" spans="2:6">
      <c r="B145" s="1561" t="s">
        <v>3930</v>
      </c>
      <c r="C145" s="1562"/>
      <c r="D145" s="1562"/>
      <c r="E145" s="1562"/>
      <c r="F145" s="1562"/>
    </row>
    <row r="237" spans="2:5">
      <c r="B237" s="1563" t="s">
        <v>3939</v>
      </c>
      <c r="C237" s="1558"/>
      <c r="D237" s="1558"/>
      <c r="E237" s="1558"/>
    </row>
    <row r="238" spans="2:5" s="41" customFormat="1">
      <c r="B238" s="1528" t="s">
        <v>3993</v>
      </c>
      <c r="C238" s="1529">
        <f>Transportation!T26</f>
        <v>118480066.16820072</v>
      </c>
      <c r="D238" s="1527"/>
      <c r="E238" s="1527"/>
    </row>
    <row r="239" spans="2:5" s="41" customFormat="1">
      <c r="B239" s="1528" t="s">
        <v>4031</v>
      </c>
      <c r="C239" s="1529">
        <f>Electricity!C454</f>
        <v>91486430.96360442</v>
      </c>
      <c r="D239" s="1527"/>
    </row>
    <row r="240" spans="2:5" s="41" customFormat="1">
      <c r="B240" s="1528" t="s">
        <v>4033</v>
      </c>
      <c r="C240" s="1529">
        <f>SUM(C238:C239)</f>
        <v>209966497.13180512</v>
      </c>
      <c r="D240" s="1527"/>
      <c r="E240" s="1527"/>
    </row>
    <row r="241" spans="2:5" s="41" customFormat="1">
      <c r="B241" s="1528" t="s">
        <v>3994</v>
      </c>
      <c r="C241" s="1529">
        <f>SUM(Transportation!T61:T62)</f>
        <v>85108807.398452654</v>
      </c>
      <c r="D241" s="1527"/>
    </row>
    <row r="242" spans="2:5" s="41" customFormat="1">
      <c r="B242" s="1528" t="s">
        <v>3996</v>
      </c>
      <c r="C242" s="1529">
        <f>Electricity!D454</f>
        <v>18852295.161347717</v>
      </c>
      <c r="D242" s="1527"/>
    </row>
    <row r="243" spans="2:5" s="41" customFormat="1">
      <c r="B243" s="1528" t="s">
        <v>4034</v>
      </c>
      <c r="C243" s="1529">
        <f>SUM(C241:C242)</f>
        <v>103961102.55980037</v>
      </c>
      <c r="D243" s="1527" t="s">
        <v>4038</v>
      </c>
    </row>
    <row r="244" spans="2:5" s="41" customFormat="1">
      <c r="B244" s="1528" t="s">
        <v>4037</v>
      </c>
      <c r="C244" s="1529">
        <f>C239-C242</f>
        <v>72634135.802256703</v>
      </c>
      <c r="D244" s="1530">
        <f>C244/-C239</f>
        <v>-0.79393342856660754</v>
      </c>
    </row>
    <row r="245" spans="2:5" s="41" customFormat="1">
      <c r="B245" s="1528" t="s">
        <v>4036</v>
      </c>
      <c r="C245" s="1529">
        <f>C238-C241</f>
        <v>33371258.769748062</v>
      </c>
      <c r="D245" s="1530">
        <f>-C245/C238</f>
        <v>-0.28166137856787166</v>
      </c>
    </row>
    <row r="246" spans="2:5" s="41" customFormat="1">
      <c r="B246" s="1528" t="s">
        <v>4035</v>
      </c>
      <c r="C246" s="1529">
        <f>SUM(C244:C245)</f>
        <v>106005394.57200477</v>
      </c>
      <c r="D246" s="1530">
        <f>-C246/C240</f>
        <v>-0.50486813858432167</v>
      </c>
    </row>
    <row r="247" spans="2:5" s="41" customFormat="1">
      <c r="B247" s="1528"/>
      <c r="C247" s="1527"/>
      <c r="D247" s="1527"/>
    </row>
    <row r="248" spans="2:5" s="41" customFormat="1">
      <c r="B248" s="1528"/>
      <c r="C248" s="1527"/>
      <c r="D248" s="1527"/>
      <c r="E248" s="1527"/>
    </row>
    <row r="249" spans="2:5" s="41" customFormat="1">
      <c r="B249" s="1563" t="s">
        <v>4032</v>
      </c>
      <c r="C249" s="1563"/>
      <c r="D249" s="1563"/>
      <c r="E249" s="1563"/>
    </row>
    <row r="250" spans="2:5" s="41" customFormat="1">
      <c r="B250" s="1528"/>
      <c r="C250" s="1527"/>
      <c r="D250" s="1527"/>
      <c r="E250" s="1527"/>
    </row>
    <row r="251" spans="2:5">
      <c r="D251" t="s">
        <v>3937</v>
      </c>
    </row>
    <row r="252" spans="2:5">
      <c r="B252" s="1486" t="s">
        <v>3665</v>
      </c>
      <c r="C252" s="1373">
        <f>Transportation!T55</f>
        <v>12654247.272997433</v>
      </c>
      <c r="D252" s="1510">
        <f t="shared" ref="D252:D261" si="6">C252/SUM($C$252:$C$261)</f>
        <v>0.11521742221455319</v>
      </c>
    </row>
    <row r="253" spans="2:5">
      <c r="B253" s="1486" t="s">
        <v>103</v>
      </c>
      <c r="C253" s="1373">
        <f>Transportation!T56</f>
        <v>5679760.24654184</v>
      </c>
      <c r="D253" s="1510">
        <f t="shared" si="6"/>
        <v>5.1714441822206886E-2</v>
      </c>
    </row>
    <row r="254" spans="2:5">
      <c r="B254" s="1485" t="s">
        <v>22</v>
      </c>
      <c r="C254" s="1373">
        <f>Transportation!T57</f>
        <v>10313514.31725621</v>
      </c>
      <c r="D254" s="1510">
        <f t="shared" si="6"/>
        <v>9.390495601763868E-2</v>
      </c>
      <c r="E254" s="37"/>
    </row>
    <row r="255" spans="2:5">
      <c r="B255" s="1486" t="s">
        <v>7</v>
      </c>
      <c r="C255" s="1373">
        <f>Transportation!T59</f>
        <v>277472.00509722176</v>
      </c>
      <c r="D255" s="1510">
        <f t="shared" si="6"/>
        <v>2.5263935874103209E-3</v>
      </c>
    </row>
    <row r="256" spans="2:5">
      <c r="B256" s="1486" t="s">
        <v>6</v>
      </c>
      <c r="C256" s="1373">
        <f>Transportation!T60</f>
        <v>4446264.9278553557</v>
      </c>
      <c r="D256" s="1510">
        <f t="shared" si="6"/>
        <v>4.0483418129786876E-2</v>
      </c>
    </row>
    <row r="257" spans="2:6">
      <c r="B257" s="1484" t="s">
        <v>3932</v>
      </c>
      <c r="C257" s="1373">
        <f>Electricity!D489</f>
        <v>43988688.709811345</v>
      </c>
      <c r="D257" s="1510">
        <f t="shared" si="6"/>
        <v>0.40051875156240363</v>
      </c>
      <c r="E257" s="2">
        <f>D257/(SUM($D$257:$D$261))</f>
        <v>0.57533119832725654</v>
      </c>
      <c r="F257" t="s">
        <v>4027</v>
      </c>
    </row>
    <row r="258" spans="2:6">
      <c r="B258" s="1484" t="s">
        <v>3933</v>
      </c>
      <c r="C258" s="1373">
        <f>Electricity!E489</f>
        <v>10074438.988908153</v>
      </c>
      <c r="D258" s="1510">
        <f t="shared" si="6"/>
        <v>9.1728165691584276E-2</v>
      </c>
      <c r="E258" s="2">
        <f t="shared" ref="E258:E261" si="7">D258/(SUM($D$257:$D$261))</f>
        <v>0.13176430636975495</v>
      </c>
    </row>
    <row r="259" spans="2:6">
      <c r="B259" s="1484" t="s">
        <v>3879</v>
      </c>
      <c r="C259" s="1373">
        <f>Electricity!F489</f>
        <v>16013718.334785631</v>
      </c>
      <c r="D259" s="1510">
        <f t="shared" si="6"/>
        <v>0.14580553918375308</v>
      </c>
      <c r="E259" s="2">
        <f t="shared" si="7"/>
        <v>0.20944456471539341</v>
      </c>
    </row>
    <row r="260" spans="2:6">
      <c r="B260" s="1484" t="s">
        <v>3880</v>
      </c>
      <c r="C260" s="1373">
        <f>Electricity!G489</f>
        <v>4153750.8752212524</v>
      </c>
      <c r="D260" s="1510">
        <f t="shared" si="6"/>
        <v>3.7820066104261751E-2</v>
      </c>
      <c r="E260" s="2">
        <f t="shared" si="7"/>
        <v>5.4327204076463208E-2</v>
      </c>
    </row>
    <row r="261" spans="2:6">
      <c r="B261" s="1484" t="s">
        <v>3881</v>
      </c>
      <c r="C261" s="1373">
        <f>Electricity!H489</f>
        <v>2227430.8111435035</v>
      </c>
      <c r="D261" s="1510">
        <f t="shared" si="6"/>
        <v>2.0280845686401327E-2</v>
      </c>
      <c r="E261" s="2">
        <f t="shared" si="7"/>
        <v>2.9132726511131801E-2</v>
      </c>
    </row>
    <row r="262" spans="2:6" s="41" customFormat="1">
      <c r="B262" s="1490"/>
      <c r="C262" s="1373"/>
      <c r="D262" s="2"/>
    </row>
    <row r="263" spans="2:6" s="41" customFormat="1">
      <c r="B263" s="1556" t="s">
        <v>3942</v>
      </c>
      <c r="C263" s="1557"/>
      <c r="D263" s="1557"/>
      <c r="E263" s="1557"/>
    </row>
    <row r="264" spans="2:6" s="41" customFormat="1">
      <c r="B264" s="1488"/>
      <c r="C264" s="1489"/>
      <c r="D264" s="41" t="s">
        <v>3938</v>
      </c>
      <c r="E264" s="1489"/>
    </row>
    <row r="265" spans="2:6" s="41" customFormat="1">
      <c r="B265" s="1487" t="s">
        <v>3934</v>
      </c>
      <c r="C265" s="1373">
        <f>Electricity!C489</f>
        <v>18852295.161347717</v>
      </c>
      <c r="D265" s="2">
        <f>C265/(SUM($C$265:$C$267))</f>
        <v>0.18133989249011209</v>
      </c>
    </row>
    <row r="266" spans="2:6" s="41" customFormat="1">
      <c r="B266" s="1487" t="s">
        <v>3935</v>
      </c>
      <c r="C266" s="1373">
        <f>Transportation!T61</f>
        <v>40194949.207238577</v>
      </c>
      <c r="D266" s="2">
        <f>C266/(SUM($C$265:$C$267))</f>
        <v>0.38663450288166856</v>
      </c>
    </row>
    <row r="267" spans="2:6" s="41" customFormat="1">
      <c r="B267" s="1487" t="s">
        <v>3936</v>
      </c>
      <c r="C267" s="1373">
        <f>Transportation!T62</f>
        <v>44913858.191214077</v>
      </c>
      <c r="D267" s="2">
        <f>C267/(SUM($C$265:$C$267))</f>
        <v>0.43202560462821932</v>
      </c>
    </row>
    <row r="269" spans="2:6">
      <c r="B269" s="1534" t="s">
        <v>3941</v>
      </c>
      <c r="C269" s="1534"/>
      <c r="D269" s="41"/>
    </row>
    <row r="270" spans="2:6">
      <c r="B270" s="1487" t="s">
        <v>3943</v>
      </c>
      <c r="C270" s="51">
        <f>1-(Combined!T18/Electricity!C454)</f>
        <v>0.79393342856660754</v>
      </c>
    </row>
    <row r="271" spans="2:6">
      <c r="B271" s="1487" t="s">
        <v>3854</v>
      </c>
      <c r="C271" s="51">
        <f>1-(SUM(Combined!I18:J18)/Transportation!T26)</f>
        <v>0.28166137856787166</v>
      </c>
    </row>
    <row r="272" spans="2:6">
      <c r="B272" s="1487" t="s">
        <v>3940</v>
      </c>
      <c r="C272" s="51">
        <f>1- (SUM(Combined!I18,Combined!J18,Combined!T18)/SUM(Electricity!C454,Transportation!T26))</f>
        <v>0.50486813858432167</v>
      </c>
    </row>
    <row r="274" spans="2:3">
      <c r="B274" s="1535" t="s">
        <v>3953</v>
      </c>
      <c r="C274" s="1535"/>
    </row>
    <row r="275" spans="2:3" s="41" customFormat="1">
      <c r="B275" s="1487" t="s">
        <v>3943</v>
      </c>
      <c r="C275" s="1491">
        <f>1-(Combined!T18/Electricity!C442)</f>
        <v>0.63233880439109624</v>
      </c>
    </row>
    <row r="276" spans="2:3">
      <c r="B276" s="1487" t="s">
        <v>3854</v>
      </c>
      <c r="C276" s="1491">
        <f>1-(SUM(Combined!I18:J18)/Transportation!H26)</f>
        <v>-9.9518843869799145E-3</v>
      </c>
    </row>
    <row r="277" spans="2:3">
      <c r="B277" s="1487" t="s">
        <v>3940</v>
      </c>
      <c r="C277" s="1491">
        <f>1- (SUM(Combined!I18,Combined!J18,Combined!T18)/SUM(Electricity!C442,Transportation!H26))</f>
        <v>0.23302221030055648</v>
      </c>
    </row>
  </sheetData>
  <mergeCells count="52">
    <mergeCell ref="C92:D92"/>
    <mergeCell ref="B263:E263"/>
    <mergeCell ref="B128:C132"/>
    <mergeCell ref="B134:J136"/>
    <mergeCell ref="B119:F119"/>
    <mergeCell ref="B145:F145"/>
    <mergeCell ref="B237:E237"/>
    <mergeCell ref="D128:E128"/>
    <mergeCell ref="B126:F126"/>
    <mergeCell ref="B120:C125"/>
    <mergeCell ref="B249:E249"/>
    <mergeCell ref="B2:F8"/>
    <mergeCell ref="C99:D99"/>
    <mergeCell ref="C100:D100"/>
    <mergeCell ref="C101:D101"/>
    <mergeCell ref="C76:D76"/>
    <mergeCell ref="B12:G12"/>
    <mergeCell ref="C93:D93"/>
    <mergeCell ref="C94:D94"/>
    <mergeCell ref="C95:D95"/>
    <mergeCell ref="C96:D96"/>
    <mergeCell ref="C97:D97"/>
    <mergeCell ref="C98:D98"/>
    <mergeCell ref="C86:D86"/>
    <mergeCell ref="C87:D87"/>
    <mergeCell ref="C88:D88"/>
    <mergeCell ref="C89:D89"/>
    <mergeCell ref="C79:D79"/>
    <mergeCell ref="C90:D90"/>
    <mergeCell ref="C91:D91"/>
    <mergeCell ref="C80:D80"/>
    <mergeCell ref="C81:D81"/>
    <mergeCell ref="C82:D82"/>
    <mergeCell ref="C83:D83"/>
    <mergeCell ref="C84:D84"/>
    <mergeCell ref="C85:D85"/>
    <mergeCell ref="B269:C269"/>
    <mergeCell ref="B274:C274"/>
    <mergeCell ref="B103:C117"/>
    <mergeCell ref="D14:E14"/>
    <mergeCell ref="D22:E22"/>
    <mergeCell ref="D62:E62"/>
    <mergeCell ref="B22:C28"/>
    <mergeCell ref="B30:C44"/>
    <mergeCell ref="B46:C62"/>
    <mergeCell ref="B14:C20"/>
    <mergeCell ref="B68:L68"/>
    <mergeCell ref="B71:M71"/>
    <mergeCell ref="B64:L67"/>
    <mergeCell ref="B76:B101"/>
    <mergeCell ref="C77:D77"/>
    <mergeCell ref="C78:D78"/>
  </mergeCells>
  <dataValidations count="2">
    <dataValidation type="list" allowBlank="1" showInputMessage="1" showErrorMessage="1" sqref="E77:E101" xr:uid="{B404C65F-F998-4F7C-8EA4-1053757FFB65}">
      <formula1>$K$79:$K$81</formula1>
    </dataValidation>
    <dataValidation type="list" allowBlank="1" showInputMessage="1" showErrorMessage="1" sqref="F77:F101" xr:uid="{31B32EFD-8DF2-4221-84DC-E244147EE977}">
      <formula1>$L$79:$L$88</formula1>
    </dataValidation>
  </dataValidations>
  <hyperlinks>
    <hyperlink ref="I90" r:id="rId1" xr:uid="{123F2CC4-B3F3-4B38-8DDF-4216AF86CF19}"/>
    <hyperlink ref="I83" r:id="rId2" xr:uid="{6E8E5FFC-FEFD-4291-BB1F-2B25E23D1AA7}"/>
    <hyperlink ref="I82" r:id="rId3" xr:uid="{793A2E8A-E1F4-43F0-9D09-8E5358D0A257}"/>
    <hyperlink ref="I79" r:id="rId4" xr:uid="{92AE816C-23BB-4F7C-BD0D-EAD9DFC2B1F1}"/>
  </hyperlinks>
  <pageMargins left="0.7" right="0.7" top="0.75" bottom="0.75" header="0.3" footer="0.3"/>
  <pageSetup orientation="portrait" r:id="rId5"/>
  <drawing r:id="rId6"/>
  <legacy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46AE6-9373-4321-9B05-00BDE771CA31}">
  <dimension ref="A1:E22"/>
  <sheetViews>
    <sheetView workbookViewId="0">
      <selection activeCell="E14" sqref="E14"/>
    </sheetView>
  </sheetViews>
  <sheetFormatPr baseColWidth="10" defaultColWidth="8.83203125" defaultRowHeight="15"/>
  <cols>
    <col min="2" max="2" width="20.5" customWidth="1"/>
    <col min="3" max="3" width="20.5" style="41" customWidth="1"/>
    <col min="4" max="4" width="24.1640625" customWidth="1"/>
    <col min="5" max="5" width="19.5" customWidth="1"/>
  </cols>
  <sheetData>
    <row r="1" spans="1:5" ht="16" thickBot="1">
      <c r="A1" s="1399" t="s">
        <v>3838</v>
      </c>
      <c r="B1" s="1400" t="s">
        <v>3839</v>
      </c>
      <c r="C1" s="1400" t="s">
        <v>3972</v>
      </c>
      <c r="D1" s="1400" t="s">
        <v>3840</v>
      </c>
      <c r="E1" s="1401" t="s">
        <v>3841</v>
      </c>
    </row>
    <row r="2" spans="1:5" ht="16" thickTop="1">
      <c r="A2" t="str">
        <f>'Sankey Consumption Data'!B79</f>
        <v>Renewables</v>
      </c>
      <c r="B2" s="41" t="str">
        <f>'Sankey Consumption Data'!C79</f>
        <v>Lighting</v>
      </c>
      <c r="C2" s="41" t="s">
        <v>243</v>
      </c>
      <c r="D2" s="41" t="str">
        <f>'Sankey Consumption Data'!D79</f>
        <v>Streetlights</v>
      </c>
      <c r="E2" s="41">
        <f>'Sankey Consumption Data'!E79</f>
        <v>282879.68276488566</v>
      </c>
    </row>
    <row r="3" spans="1:5">
      <c r="A3" s="41" t="str">
        <f>'Sankey Consumption Data'!B80</f>
        <v>Renewables</v>
      </c>
      <c r="B3" s="41" t="str">
        <f>'Sankey Consumption Data'!C80</f>
        <v>Space Cooling</v>
      </c>
      <c r="C3" s="41" t="s">
        <v>243</v>
      </c>
      <c r="D3" s="41" t="str">
        <f>'Sankey Consumption Data'!D80</f>
        <v>Residential</v>
      </c>
      <c r="E3" s="41">
        <f>'Sankey Consumption Data'!E80</f>
        <v>6236202.8677519262</v>
      </c>
    </row>
    <row r="4" spans="1:5">
      <c r="A4" s="41" t="str">
        <f>'Sankey Consumption Data'!B81</f>
        <v>Renewables</v>
      </c>
      <c r="B4" s="41" t="str">
        <f>'Sankey Consumption Data'!C81</f>
        <v>Appliances</v>
      </c>
      <c r="C4" s="41" t="s">
        <v>243</v>
      </c>
      <c r="D4" s="41" t="str">
        <f>'Sankey Consumption Data'!D81</f>
        <v>Commercial</v>
      </c>
      <c r="E4" s="41">
        <f>'Sankey Consumption Data'!E81</f>
        <v>2909132.4476587689</v>
      </c>
    </row>
    <row r="5" spans="1:5">
      <c r="A5" s="41" t="str">
        <f>'Sankey Consumption Data'!B82</f>
        <v>Renewables</v>
      </c>
      <c r="B5" s="41" t="str">
        <f>'Sankey Consumption Data'!C82</f>
        <v>Lighting</v>
      </c>
      <c r="C5" s="41" t="s">
        <v>243</v>
      </c>
      <c r="D5" s="41" t="str">
        <f>'Sankey Consumption Data'!D82</f>
        <v>Commercial</v>
      </c>
      <c r="E5" s="41">
        <f>'Sankey Consumption Data'!E82</f>
        <v>2864755.8081910056</v>
      </c>
    </row>
    <row r="6" spans="1:5">
      <c r="A6" s="41" t="str">
        <f>'Sankey Consumption Data'!B83</f>
        <v>Renewables</v>
      </c>
      <c r="B6" s="41" t="str">
        <f>'Sankey Consumption Data'!C83</f>
        <v>Lighting</v>
      </c>
      <c r="C6" s="41" t="s">
        <v>243</v>
      </c>
      <c r="D6" s="41" t="str">
        <f>'Sankey Consumption Data'!D83</f>
        <v>Residential</v>
      </c>
      <c r="E6" s="41">
        <f>'Sankey Consumption Data'!E83</f>
        <v>2238530.0535567272</v>
      </c>
    </row>
    <row r="7" spans="1:5">
      <c r="A7" s="41" t="str">
        <f>'Sankey Consumption Data'!B84</f>
        <v>Renewables</v>
      </c>
      <c r="B7" s="41" t="str">
        <f>'Sankey Consumption Data'!C84</f>
        <v>Line Losses</v>
      </c>
      <c r="C7" s="41" t="s">
        <v>243</v>
      </c>
      <c r="D7" s="41" t="str">
        <f>'Sankey Consumption Data'!D84</f>
        <v>Line Losses</v>
      </c>
      <c r="E7" s="41">
        <f>'Sankey Consumption Data'!E84</f>
        <v>3962584.3332769084</v>
      </c>
    </row>
    <row r="8" spans="1:5">
      <c r="A8" s="41" t="str">
        <f>'Sankey Consumption Data'!B85</f>
        <v>Renewables</v>
      </c>
      <c r="B8" s="41" t="str">
        <f>'Sankey Consumption Data'!C85</f>
        <v>Appliances</v>
      </c>
      <c r="C8" s="41" t="s">
        <v>243</v>
      </c>
      <c r="D8" s="41" t="str">
        <f>'Sankey Consumption Data'!D85</f>
        <v>Residential</v>
      </c>
      <c r="E8" s="41">
        <f>'Sankey Consumption Data'!E85</f>
        <v>10419795.458816921</v>
      </c>
    </row>
    <row r="9" spans="1:5">
      <c r="A9" s="41" t="str">
        <f>'Sankey Consumption Data'!B86</f>
        <v>Renewables</v>
      </c>
      <c r="B9" s="41" t="str">
        <f>'Sankey Consumption Data'!C86</f>
        <v>Space Cooling</v>
      </c>
      <c r="C9" s="41" t="s">
        <v>243</v>
      </c>
      <c r="D9" s="41" t="str">
        <f>'Sankey Consumption Data'!D86</f>
        <v>Commercial</v>
      </c>
      <c r="E9" s="41">
        <f>'Sankey Consumption Data'!E86</f>
        <v>15074808.057794185</v>
      </c>
    </row>
    <row r="10" spans="1:5">
      <c r="A10" s="41" t="str">
        <f>'Sankey Consumption Data'!B87</f>
        <v>Renewables</v>
      </c>
      <c r="B10" s="41" t="str">
        <f>'Sankey Consumption Data'!C87</f>
        <v>Electric Vehicles</v>
      </c>
      <c r="C10" s="1403" t="s">
        <v>3968</v>
      </c>
      <c r="D10" s="1403" t="s">
        <v>3968</v>
      </c>
      <c r="E10" s="41">
        <f>'Sankey Consumption Data'!E87</f>
        <v>926589.29560220626</v>
      </c>
    </row>
    <row r="11" spans="1:5">
      <c r="A11" s="41" t="str">
        <f>'Sankey Consumption Data'!B88</f>
        <v>Diesel</v>
      </c>
      <c r="B11" s="41" t="str">
        <f>'Sankey Consumption Data'!C88</f>
        <v>Lighting</v>
      </c>
      <c r="C11" s="41" t="s">
        <v>243</v>
      </c>
      <c r="D11" s="41" t="str">
        <f>'Sankey Consumption Data'!D88</f>
        <v>Streetlights</v>
      </c>
      <c r="E11" s="41">
        <f>'Sankey Consumption Data'!E88</f>
        <v>121234.1497563796</v>
      </c>
    </row>
    <row r="12" spans="1:5">
      <c r="A12" s="41" t="str">
        <f>'Sankey Consumption Data'!B89</f>
        <v>Diesel</v>
      </c>
      <c r="B12" s="41" t="str">
        <f>'Sankey Consumption Data'!C89</f>
        <v>Space Cooling</v>
      </c>
      <c r="C12" s="41" t="s">
        <v>243</v>
      </c>
      <c r="D12" s="41" t="str">
        <f>'Sankey Consumption Data'!D89</f>
        <v>Residential</v>
      </c>
      <c r="E12" s="41">
        <f>'Sankey Consumption Data'!E89</f>
        <v>2672658.3718936834</v>
      </c>
    </row>
    <row r="13" spans="1:5">
      <c r="A13" s="41" t="str">
        <f>'Sankey Consumption Data'!B90</f>
        <v>Diesel</v>
      </c>
      <c r="B13" s="41" t="str">
        <f>'Sankey Consumption Data'!C90</f>
        <v>Appliances</v>
      </c>
      <c r="C13" s="41" t="s">
        <v>243</v>
      </c>
      <c r="D13" s="41" t="str">
        <f>'Sankey Consumption Data'!D90</f>
        <v>Commercial</v>
      </c>
      <c r="E13" s="41">
        <f>'Sankey Consumption Data'!E90</f>
        <v>1246771.0489966155</v>
      </c>
    </row>
    <row r="14" spans="1:5">
      <c r="A14" s="41" t="str">
        <f>'Sankey Consumption Data'!B91</f>
        <v>Diesel</v>
      </c>
      <c r="B14" s="41" t="str">
        <f>'Sankey Consumption Data'!C91</f>
        <v>Lighting</v>
      </c>
      <c r="C14" s="41" t="s">
        <v>243</v>
      </c>
      <c r="D14" s="41" t="str">
        <f>'Sankey Consumption Data'!D91</f>
        <v>Commercial</v>
      </c>
      <c r="E14" s="41">
        <f>'Sankey Consumption Data'!E91</f>
        <v>1227752.489224717</v>
      </c>
    </row>
    <row r="15" spans="1:5">
      <c r="A15" s="41" t="str">
        <f>'Sankey Consumption Data'!B92</f>
        <v>Diesel</v>
      </c>
      <c r="B15" s="41" t="str">
        <f>'Sankey Consumption Data'!C92</f>
        <v>Lighting</v>
      </c>
      <c r="C15" s="41" t="s">
        <v>243</v>
      </c>
      <c r="D15" s="41" t="str">
        <f>'Sankey Consumption Data'!D92</f>
        <v>Residential</v>
      </c>
      <c r="E15" s="41">
        <f>'Sankey Consumption Data'!E92</f>
        <v>959370.02295288327</v>
      </c>
    </row>
    <row r="16" spans="1:5">
      <c r="A16" s="41" t="str">
        <f>'Sankey Consumption Data'!B93</f>
        <v>Diesel</v>
      </c>
      <c r="B16" s="41" t="str">
        <f>'Sankey Consumption Data'!C93</f>
        <v>Line Losses</v>
      </c>
      <c r="C16" s="41" t="s">
        <v>243</v>
      </c>
      <c r="D16" s="41" t="str">
        <f>'Sankey Consumption Data'!D93</f>
        <v>Line Losses</v>
      </c>
      <c r="E16" s="41">
        <f>'Sankey Consumption Data'!E93</f>
        <v>1698250.4285472468</v>
      </c>
    </row>
    <row r="17" spans="1:5">
      <c r="A17" s="41" t="str">
        <f>'Sankey Consumption Data'!B94</f>
        <v>Diesel</v>
      </c>
      <c r="B17" s="41" t="str">
        <f>'Sankey Consumption Data'!C94</f>
        <v>Appliances</v>
      </c>
      <c r="C17" s="41" t="s">
        <v>243</v>
      </c>
      <c r="D17" s="41" t="str">
        <f>'Sankey Consumption Data'!D94</f>
        <v>Residential</v>
      </c>
      <c r="E17" s="41">
        <f>'Sankey Consumption Data'!E94</f>
        <v>4465626.6252072528</v>
      </c>
    </row>
    <row r="18" spans="1:5">
      <c r="A18" s="41" t="str">
        <f>'Sankey Consumption Data'!B95</f>
        <v>Diesel</v>
      </c>
      <c r="B18" s="41" t="str">
        <f>'Sankey Consumption Data'!C95</f>
        <v>Space Cooling</v>
      </c>
      <c r="C18" s="41" t="s">
        <v>243</v>
      </c>
      <c r="D18" s="41" t="str">
        <f>'Sankey Consumption Data'!D95</f>
        <v>Commercial</v>
      </c>
      <c r="E18" s="41">
        <f>'Sankey Consumption Data'!E95</f>
        <v>6460632.0247689383</v>
      </c>
    </row>
    <row r="19" spans="1:5">
      <c r="A19" s="41" t="str">
        <f>'Sankey Consumption Data'!B96</f>
        <v>Diesel</v>
      </c>
      <c r="B19" s="1403" t="s">
        <v>3968</v>
      </c>
      <c r="C19" s="1403" t="s">
        <v>3968</v>
      </c>
      <c r="D19" s="1403" t="s">
        <v>3968</v>
      </c>
      <c r="E19" s="41">
        <f>'Sankey Consumption Data'!E96</f>
        <v>40194949.207238577</v>
      </c>
    </row>
    <row r="20" spans="1:5">
      <c r="A20" s="41" t="str">
        <f>'Sankey Consumption Data'!B97</f>
        <v>Gasoline</v>
      </c>
      <c r="B20" s="1403" t="s">
        <v>3968</v>
      </c>
      <c r="C20" s="1403" t="s">
        <v>3968</v>
      </c>
      <c r="D20" s="1403" t="s">
        <v>3968</v>
      </c>
      <c r="E20" s="41">
        <f>'Sankey Consumption Data'!E97</f>
        <v>44913858.191214077</v>
      </c>
    </row>
    <row r="21" spans="1:5">
      <c r="A21" s="41" t="str">
        <f>'Sankey Consumption Data'!B98</f>
        <v>Diesel</v>
      </c>
      <c r="B21" s="41" t="str">
        <f>'Sankey Consumption Data'!C98</f>
        <v>Electric Vehicles</v>
      </c>
      <c r="C21" s="1403" t="s">
        <v>3968</v>
      </c>
      <c r="D21" s="1403" t="s">
        <v>3968</v>
      </c>
      <c r="E21" s="41">
        <f>'Sankey Consumption Data'!E98</f>
        <v>397109.69811523135</v>
      </c>
    </row>
    <row r="22" spans="1:5">
      <c r="A22" t="s">
        <v>6</v>
      </c>
      <c r="B22" s="1403" t="s">
        <v>3968</v>
      </c>
      <c r="C22" s="1403" t="s">
        <v>3968</v>
      </c>
      <c r="D22" s="1403" t="s">
        <v>3968</v>
      </c>
      <c r="E22">
        <f>Biodiesel!U12*2.7</f>
        <v>3663222.6752872639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FF69F-B9DD-754A-9F34-3F788507873E}">
  <dimension ref="A1:E22"/>
  <sheetViews>
    <sheetView topLeftCell="A14" workbookViewId="0">
      <selection activeCell="B22" sqref="B22"/>
    </sheetView>
  </sheetViews>
  <sheetFormatPr baseColWidth="10" defaultColWidth="8.83203125" defaultRowHeight="15"/>
  <cols>
    <col min="1" max="1" width="8.83203125" style="41"/>
    <col min="2" max="3" width="20.5" style="41" customWidth="1"/>
    <col min="4" max="4" width="8.83203125" style="41"/>
    <col min="5" max="5" width="19.5" style="41" customWidth="1"/>
    <col min="6" max="16384" width="8.83203125" style="41"/>
  </cols>
  <sheetData>
    <row r="1" spans="1:5" ht="16" thickBot="1">
      <c r="A1" s="1399" t="s">
        <v>3838</v>
      </c>
      <c r="B1" s="1400" t="s">
        <v>3839</v>
      </c>
      <c r="C1" s="1400" t="s">
        <v>3972</v>
      </c>
      <c r="D1" s="1400" t="s">
        <v>3840</v>
      </c>
      <c r="E1" s="1401" t="s">
        <v>3841</v>
      </c>
    </row>
    <row r="2" spans="1:5" ht="16" thickTop="1">
      <c r="A2" s="41" t="str">
        <f>'Sankey Consumption Data'!B79</f>
        <v>Renewables</v>
      </c>
      <c r="B2" s="41" t="str">
        <f>'Sankey Consumption Data'!C79</f>
        <v>Lighting</v>
      </c>
      <c r="C2" s="41" t="s">
        <v>243</v>
      </c>
      <c r="D2" s="41" t="str">
        <f>'Sankey Consumption Data'!D79</f>
        <v>Streetlights</v>
      </c>
      <c r="E2" s="41">
        <f>'Sankey Consumption Data'!M79</f>
        <v>1010284.5813031632</v>
      </c>
    </row>
    <row r="3" spans="1:5">
      <c r="A3" s="41" t="str">
        <f>'Sankey Consumption Data'!B80</f>
        <v>Renewables</v>
      </c>
      <c r="B3" s="41" t="str">
        <f>'Sankey Consumption Data'!C80</f>
        <v>Space Cooling</v>
      </c>
      <c r="C3" s="41" t="s">
        <v>243</v>
      </c>
      <c r="D3" s="41" t="str">
        <f>'Sankey Consumption Data'!D80</f>
        <v>Residential</v>
      </c>
      <c r="E3" s="41">
        <f>'Sankey Consumption Data'!M80</f>
        <v>9579679.6891657077</v>
      </c>
    </row>
    <row r="4" spans="1:5">
      <c r="A4" s="41" t="str">
        <f>'Sankey Consumption Data'!B81</f>
        <v>Renewables</v>
      </c>
      <c r="B4" s="41" t="str">
        <f>'Sankey Consumption Data'!C81</f>
        <v>Appliances</v>
      </c>
      <c r="C4" s="41" t="s">
        <v>243</v>
      </c>
      <c r="D4" s="41" t="str">
        <f>'Sankey Consumption Data'!D81</f>
        <v>Commercial</v>
      </c>
      <c r="E4" s="41">
        <f>'Sankey Consumption Data'!M81</f>
        <v>3557545.732413976</v>
      </c>
    </row>
    <row r="5" spans="1:5">
      <c r="A5" s="41" t="str">
        <f>'Sankey Consumption Data'!B82</f>
        <v>Renewables</v>
      </c>
      <c r="B5" s="41" t="str">
        <f>'Sankey Consumption Data'!C82</f>
        <v>Lighting</v>
      </c>
      <c r="C5" s="41" t="s">
        <v>243</v>
      </c>
      <c r="D5" s="41" t="str">
        <f>'Sankey Consumption Data'!D82</f>
        <v>Commercial</v>
      </c>
      <c r="E5" s="41">
        <f>'Sankey Consumption Data'!M82</f>
        <v>5498025.2228215998</v>
      </c>
    </row>
    <row r="6" spans="1:5">
      <c r="A6" s="41" t="str">
        <f>'Sankey Consumption Data'!B83</f>
        <v>Renewables</v>
      </c>
      <c r="B6" s="41" t="str">
        <f>'Sankey Consumption Data'!C83</f>
        <v>Lighting</v>
      </c>
      <c r="C6" s="41" t="s">
        <v>243</v>
      </c>
      <c r="D6" s="41" t="str">
        <f>'Sankey Consumption Data'!D83</f>
        <v>Residential</v>
      </c>
      <c r="E6" s="41">
        <f>'Sankey Consumption Data'!M83</f>
        <v>4159685.9484972428</v>
      </c>
    </row>
    <row r="7" spans="1:5">
      <c r="A7" s="41" t="str">
        <f>'Sankey Consumption Data'!B84</f>
        <v>Renewables</v>
      </c>
      <c r="B7" s="41" t="str">
        <f>'Sankey Consumption Data'!C84</f>
        <v>Line Losses</v>
      </c>
      <c r="C7" s="41" t="s">
        <v>243</v>
      </c>
      <c r="D7" s="41" t="str">
        <f>'Sankey Consumption Data'!D84</f>
        <v>Line Losses</v>
      </c>
      <c r="E7" s="41">
        <f>'Sankey Consumption Data'!M84</f>
        <v>5918281.6503344541</v>
      </c>
    </row>
    <row r="8" spans="1:5">
      <c r="A8" s="41" t="str">
        <f>'Sankey Consumption Data'!B85</f>
        <v>Renewables</v>
      </c>
      <c r="B8" s="41" t="str">
        <f>'Sankey Consumption Data'!C85</f>
        <v>Appliances</v>
      </c>
      <c r="C8" s="41" t="s">
        <v>243</v>
      </c>
      <c r="D8" s="41" t="str">
        <f>'Sankey Consumption Data'!D85</f>
        <v>Residential</v>
      </c>
      <c r="E8" s="41">
        <f>'Sankey Consumption Data'!M85</f>
        <v>12689647.671557875</v>
      </c>
    </row>
    <row r="9" spans="1:5">
      <c r="A9" s="41" t="str">
        <f>'Sankey Consumption Data'!B86</f>
        <v>Renewables</v>
      </c>
      <c r="B9" s="41" t="str">
        <f>'Sankey Consumption Data'!C86</f>
        <v>Space Cooling</v>
      </c>
      <c r="C9" s="41" t="s">
        <v>243</v>
      </c>
      <c r="D9" s="41" t="str">
        <f>'Sankey Consumption Data'!D86</f>
        <v>Commercial</v>
      </c>
      <c r="E9" s="41">
        <f>'Sankey Consumption Data'!M86</f>
        <v>23285753.884891476</v>
      </c>
    </row>
    <row r="10" spans="1:5">
      <c r="A10" s="41" t="str">
        <f>'Sankey Consumption Data'!B87</f>
        <v>Renewables</v>
      </c>
      <c r="B10" s="41" t="str">
        <f>'Sankey Consumption Data'!C87</f>
        <v>Electric Vehicles</v>
      </c>
      <c r="C10" s="1403" t="s">
        <v>3968</v>
      </c>
      <c r="D10" s="1403" t="s">
        <v>3968</v>
      </c>
      <c r="E10" s="41">
        <f>'Sankey Consumption Data'!M87</f>
        <v>0</v>
      </c>
    </row>
    <row r="11" spans="1:5">
      <c r="A11" s="41" t="str">
        <f>'Sankey Consumption Data'!B88</f>
        <v>Diesel</v>
      </c>
      <c r="B11" s="41" t="str">
        <f>'Sankey Consumption Data'!C88</f>
        <v>Lighting</v>
      </c>
      <c r="C11" s="41" t="s">
        <v>243</v>
      </c>
      <c r="D11" s="41" t="str">
        <f>'Sankey Consumption Data'!D88</f>
        <v>Streetlights</v>
      </c>
      <c r="E11" s="41">
        <f>'Sankey Consumption Data'!M88</f>
        <v>1010284.5813031632</v>
      </c>
    </row>
    <row r="12" spans="1:5">
      <c r="A12" s="41" t="str">
        <f>'Sankey Consumption Data'!B89</f>
        <v>Diesel</v>
      </c>
      <c r="B12" s="41" t="str">
        <f>'Sankey Consumption Data'!C89</f>
        <v>Space Cooling</v>
      </c>
      <c r="C12" s="41" t="s">
        <v>243</v>
      </c>
      <c r="D12" s="41" t="str">
        <f>'Sankey Consumption Data'!D89</f>
        <v>Residential</v>
      </c>
      <c r="E12" s="41">
        <f>'Sankey Consumption Data'!M89</f>
        <v>9579679.6891657077</v>
      </c>
    </row>
    <row r="13" spans="1:5">
      <c r="A13" s="41" t="str">
        <f>'Sankey Consumption Data'!B90</f>
        <v>Diesel</v>
      </c>
      <c r="B13" s="41" t="str">
        <f>'Sankey Consumption Data'!C90</f>
        <v>Appliances</v>
      </c>
      <c r="C13" s="41" t="s">
        <v>243</v>
      </c>
      <c r="D13" s="41" t="str">
        <f>'Sankey Consumption Data'!D90</f>
        <v>Commercial</v>
      </c>
      <c r="E13" s="41">
        <f>'Sankey Consumption Data'!M90</f>
        <v>3557545.732413976</v>
      </c>
    </row>
    <row r="14" spans="1:5">
      <c r="A14" s="41" t="str">
        <f>'Sankey Consumption Data'!B91</f>
        <v>Diesel</v>
      </c>
      <c r="B14" s="41" t="str">
        <f>'Sankey Consumption Data'!C91</f>
        <v>Lighting</v>
      </c>
      <c r="C14" s="41" t="s">
        <v>243</v>
      </c>
      <c r="D14" s="41" t="str">
        <f>'Sankey Consumption Data'!D91</f>
        <v>Commercial</v>
      </c>
      <c r="E14" s="41">
        <f>'Sankey Consumption Data'!M91</f>
        <v>5498025.2228215998</v>
      </c>
    </row>
    <row r="15" spans="1:5">
      <c r="A15" s="41" t="str">
        <f>'Sankey Consumption Data'!B92</f>
        <v>Diesel</v>
      </c>
      <c r="B15" s="41" t="str">
        <f>'Sankey Consumption Data'!C92</f>
        <v>Lighting</v>
      </c>
      <c r="C15" s="41" t="s">
        <v>243</v>
      </c>
      <c r="D15" s="41" t="str">
        <f>'Sankey Consumption Data'!D92</f>
        <v>Residential</v>
      </c>
      <c r="E15" s="41">
        <f>'Sankey Consumption Data'!M92</f>
        <v>4159685.9484972428</v>
      </c>
    </row>
    <row r="16" spans="1:5">
      <c r="A16" s="41" t="str">
        <f>'Sankey Consumption Data'!B93</f>
        <v>Diesel</v>
      </c>
      <c r="B16" s="41" t="str">
        <f>'Sankey Consumption Data'!C93</f>
        <v>Line Losses</v>
      </c>
      <c r="C16" s="41" t="s">
        <v>243</v>
      </c>
      <c r="D16" s="41" t="str">
        <f>'Sankey Consumption Data'!D93</f>
        <v>Line Losses</v>
      </c>
      <c r="E16" s="41">
        <f>'Sankey Consumption Data'!M93</f>
        <v>5918281.6503344541</v>
      </c>
    </row>
    <row r="17" spans="1:5">
      <c r="A17" s="41" t="str">
        <f>'Sankey Consumption Data'!B94</f>
        <v>Diesel</v>
      </c>
      <c r="B17" s="41" t="str">
        <f>'Sankey Consumption Data'!C94</f>
        <v>Appliances</v>
      </c>
      <c r="C17" s="41" t="s">
        <v>243</v>
      </c>
      <c r="D17" s="41" t="str">
        <f>'Sankey Consumption Data'!D94</f>
        <v>Residential</v>
      </c>
      <c r="E17" s="41">
        <f>'Sankey Consumption Data'!M94</f>
        <v>12689647.671557875</v>
      </c>
    </row>
    <row r="18" spans="1:5">
      <c r="A18" s="41" t="str">
        <f>'Sankey Consumption Data'!B95</f>
        <v>Diesel</v>
      </c>
      <c r="B18" s="41" t="str">
        <f>'Sankey Consumption Data'!C95</f>
        <v>Space Cooling</v>
      </c>
      <c r="C18" s="41" t="s">
        <v>243</v>
      </c>
      <c r="D18" s="41" t="str">
        <f>'Sankey Consumption Data'!D95</f>
        <v>Commercial</v>
      </c>
      <c r="E18" s="41">
        <f>'Sankey Consumption Data'!M95</f>
        <v>23285753.884891476</v>
      </c>
    </row>
    <row r="19" spans="1:5">
      <c r="A19" s="41" t="str">
        <f>'Sankey Consumption Data'!B96</f>
        <v>Diesel</v>
      </c>
      <c r="B19" s="1403" t="s">
        <v>3968</v>
      </c>
      <c r="C19" s="1403" t="s">
        <v>3968</v>
      </c>
      <c r="D19" s="1403" t="s">
        <v>3968</v>
      </c>
      <c r="E19" s="41">
        <f>'Sankey Consumption Data'!M96</f>
        <v>54954728.452350147</v>
      </c>
    </row>
    <row r="20" spans="1:5">
      <c r="A20" s="41" t="str">
        <f>'Sankey Consumption Data'!B97</f>
        <v>Gasoline</v>
      </c>
      <c r="B20" s="1403" t="s">
        <v>3968</v>
      </c>
      <c r="C20" s="1403" t="s">
        <v>3968</v>
      </c>
      <c r="D20" s="1403" t="s">
        <v>3968</v>
      </c>
      <c r="E20" s="41">
        <f>'Sankey Consumption Data'!M97</f>
        <v>63525337.715850569</v>
      </c>
    </row>
    <row r="21" spans="1:5">
      <c r="A21" s="41" t="str">
        <f>'Sankey Consumption Data'!B98</f>
        <v>Diesel</v>
      </c>
      <c r="B21" s="41" t="str">
        <f>'Sankey Consumption Data'!C98</f>
        <v>Electric Vehicles</v>
      </c>
      <c r="C21" s="1403" t="s">
        <v>3968</v>
      </c>
      <c r="D21" s="1403" t="s">
        <v>3968</v>
      </c>
      <c r="E21" s="41">
        <f>'Sankey Consumption Data'!M98</f>
        <v>0</v>
      </c>
    </row>
    <row r="22" spans="1:5">
      <c r="A22" s="41" t="s">
        <v>6</v>
      </c>
      <c r="B22" s="1403" t="s">
        <v>3968</v>
      </c>
      <c r="C22" s="1403" t="s">
        <v>3968</v>
      </c>
      <c r="D22" s="1403" t="s">
        <v>3968</v>
      </c>
      <c r="E22" s="41">
        <f>'Sankey Consumption Data'!M99</f>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99F0D-1F07-4CED-B082-C358012E6840}">
  <dimension ref="A1:O122"/>
  <sheetViews>
    <sheetView topLeftCell="D21" workbookViewId="0">
      <selection activeCell="E88" sqref="E88"/>
    </sheetView>
  </sheetViews>
  <sheetFormatPr baseColWidth="10" defaultColWidth="8.83203125" defaultRowHeight="15"/>
  <cols>
    <col min="1" max="1" width="22" customWidth="1"/>
    <col min="2" max="2" width="17.6640625" bestFit="1" customWidth="1"/>
    <col min="3" max="3" width="19" customWidth="1"/>
    <col min="4" max="4" width="25.6640625" customWidth="1"/>
    <col min="5" max="5" width="25.1640625" customWidth="1"/>
    <col min="6" max="6" width="22.33203125" customWidth="1"/>
    <col min="7" max="7" width="28.83203125" customWidth="1"/>
    <col min="8" max="8" width="22.83203125" customWidth="1"/>
    <col min="9" max="9" width="16.33203125" customWidth="1"/>
    <col min="10" max="10" width="16.6640625" customWidth="1"/>
    <col min="11" max="12" width="16.6640625" bestFit="1" customWidth="1"/>
    <col min="13" max="13" width="17.6640625" bestFit="1" customWidth="1"/>
    <col min="14" max="14" width="19.6640625" customWidth="1"/>
    <col min="15" max="15" width="22.5" customWidth="1"/>
    <col min="16" max="16" width="15.83203125" customWidth="1"/>
    <col min="17" max="17" width="16.83203125" customWidth="1"/>
  </cols>
  <sheetData>
    <row r="1" spans="1:10">
      <c r="E1" s="43" t="s">
        <v>3969</v>
      </c>
    </row>
    <row r="2" spans="1:10" ht="16" thickBot="1">
      <c r="A2" s="1327" t="s">
        <v>3</v>
      </c>
      <c r="B2" t="s">
        <v>3843</v>
      </c>
      <c r="C2" s="41" t="s">
        <v>3844</v>
      </c>
      <c r="D2" s="41" t="s">
        <v>3704</v>
      </c>
      <c r="E2" t="s">
        <v>3845</v>
      </c>
      <c r="F2" t="s">
        <v>3846</v>
      </c>
      <c r="G2" t="s">
        <v>3842</v>
      </c>
      <c r="H2" t="s">
        <v>3757</v>
      </c>
      <c r="I2" t="s">
        <v>3749</v>
      </c>
      <c r="J2" t="s">
        <v>359</v>
      </c>
    </row>
    <row r="3" spans="1:10" ht="16" thickBot="1">
      <c r="A3" s="1333">
        <v>2017</v>
      </c>
      <c r="B3" s="1507">
        <f>SUM(Electricity!C314,Electricity!D314,Electricity!G314,Electricity!H314,Electricity!I314,Electricity!J314,Electricity!L314)*(1-Electricity!$I173)</f>
        <v>16264462.131988026</v>
      </c>
      <c r="C3" s="1507">
        <f>SUM(Electricity!E314,Electricity!F314)*(1-Electricity!$I173)</f>
        <v>3187575.9102759212</v>
      </c>
      <c r="D3" s="1507">
        <f>Electricity!K314*(1-Electricity!$I173)</f>
        <v>6552869.740236056</v>
      </c>
      <c r="E3" s="1507">
        <f>SUM(Electricity!D331,Electricity!G331)*(1-Electricity!$I173)</f>
        <v>22247177.032028574</v>
      </c>
      <c r="F3" s="1507">
        <f>Electricity!E331*(1-Electricity!$I173)</f>
        <v>5252805.688117859</v>
      </c>
      <c r="G3" s="1507">
        <f>Electricity!F331*(1-Electricity!$I173)</f>
        <v>3398874.2687821439</v>
      </c>
      <c r="H3" s="1507">
        <f>Electricity!C331*(1-Electricity!$I173)</f>
        <v>1917560.2285714287</v>
      </c>
      <c r="I3" s="1507">
        <f>Electricity!E347*Electricity!$I173</f>
        <v>7697790.9999999925</v>
      </c>
      <c r="J3" s="1507">
        <f>Electricity!$D173</f>
        <v>0</v>
      </c>
    </row>
    <row r="4" spans="1:10" ht="16" thickBot="1">
      <c r="A4" s="1333">
        <v>2018</v>
      </c>
      <c r="B4" s="1507">
        <f>SUM(Electricity!C315,Electricity!D315,Electricity!G315,Electricity!H315,Electricity!I315,Electricity!J315,Electricity!L315)*(1-Electricity!$I174)</f>
        <v>16412118.534222579</v>
      </c>
      <c r="C4" s="1507">
        <f>SUM(Electricity!E315,Electricity!F315)*(1-Electricity!$I174)</f>
        <v>4024813.2106053196</v>
      </c>
      <c r="D4" s="1507">
        <f>Electricity!K315*(1-Electricity!$I174)</f>
        <v>6014697.5650599198</v>
      </c>
      <c r="E4" s="1507">
        <f>SUM(Electricity!D332,Electricity!G332)*(1-Electricity!$I174)</f>
        <v>22439796.845160518</v>
      </c>
      <c r="F4" s="1507">
        <f>Electricity!E332*(1-Electricity!$I174)</f>
        <v>5167708.3428028086</v>
      </c>
      <c r="G4" s="1507">
        <f>Electricity!F332*(1-Electricity!$I174)</f>
        <v>3521862.0590512669</v>
      </c>
      <c r="H4" s="1507">
        <f>Electricity!C332*(1-Electricity!$I174)</f>
        <v>1633123.1764897958</v>
      </c>
      <c r="I4" s="1507">
        <f>Electricity!E348*Electricity!$I174</f>
        <v>6989924.8920188453</v>
      </c>
      <c r="J4" s="1507">
        <f>Electricity!$D174</f>
        <v>0</v>
      </c>
    </row>
    <row r="5" spans="1:10" ht="16" thickBot="1">
      <c r="A5" s="1333">
        <v>2019</v>
      </c>
      <c r="B5" s="1507">
        <f>SUM(Electricity!C316,Electricity!D316,Electricity!G316,Electricity!H316,Electricity!I316,Electricity!J316,Electricity!L316)*(1-Electricity!$I175)</f>
        <v>16132811.77634988</v>
      </c>
      <c r="C5" s="1507">
        <f>SUM(Electricity!E316,Electricity!F316)*(1-Electricity!$I175)</f>
        <v>4606462.5955194905</v>
      </c>
      <c r="D5" s="1507">
        <f>Electricity!K316*(1-Electricity!$I175)</f>
        <v>5384159.044420301</v>
      </c>
      <c r="E5" s="1507">
        <f>SUM(Electricity!D333,Electricity!G333)*(1-Electricity!$I175)</f>
        <v>21876518.066181492</v>
      </c>
      <c r="F5" s="1507">
        <f>Electricity!E333*(1-Electricity!$I175)</f>
        <v>4906411.8002059497</v>
      </c>
      <c r="G5" s="1507">
        <f>Electricity!F333*(1-Electricity!$I175)</f>
        <v>3533136.3327353401</v>
      </c>
      <c r="H5" s="1507">
        <f>Electricity!C333*(1-Electricity!$I175)</f>
        <v>1445886.1244081631</v>
      </c>
      <c r="I5" s="1507">
        <f>Electricity!E349*Electricity!$I175</f>
        <v>6090842.1309348485</v>
      </c>
      <c r="J5" s="1507">
        <f>Electricity!$D175</f>
        <v>21404.559248791931</v>
      </c>
    </row>
    <row r="6" spans="1:10" ht="16" thickBot="1">
      <c r="A6" s="1333">
        <v>2020</v>
      </c>
      <c r="B6" s="1507">
        <f>SUM(Electricity!C317,Electricity!D317,Electricity!G317,Electricity!H317,Electricity!I317,Electricity!J317,Electricity!L317)*(1-Electricity!$I176)</f>
        <v>15996069.215075543</v>
      </c>
      <c r="C6" s="1507">
        <f>SUM(Electricity!E317,Electricity!F317)*(1-Electricity!$I176)</f>
        <v>5091395.4386812178</v>
      </c>
      <c r="D6" s="1507">
        <f>Electricity!K317*(1-Electricity!$I176)</f>
        <v>4862842.3260101052</v>
      </c>
      <c r="E6" s="1507">
        <f>SUM(Electricity!D334,Electricity!G334)*(1-Electricity!$I176)</f>
        <v>21456275.30126388</v>
      </c>
      <c r="F6" s="1507">
        <f>Electricity!E334*(1-Electricity!$I176)</f>
        <v>4678324.1088397205</v>
      </c>
      <c r="G6" s="1507">
        <f>Electricity!F334*(1-Electricity!$I176)</f>
        <v>3572710.9150235811</v>
      </c>
      <c r="H6" s="1507">
        <f>Electricity!C334*(1-Electricity!$I176)</f>
        <v>1258649.0723265305</v>
      </c>
      <c r="I6" s="1507">
        <f>Electricity!E350*Electricity!$I176</f>
        <v>5634710.3713448364</v>
      </c>
      <c r="J6" s="1507">
        <f>Electricity!$D176</f>
        <v>64213.67774637579</v>
      </c>
    </row>
    <row r="7" spans="1:10" ht="16" thickBot="1">
      <c r="A7" s="1333">
        <v>2021</v>
      </c>
      <c r="B7" s="1507">
        <f>SUM(Electricity!C318,Electricity!D318,Electricity!G318,Electricity!H318,Electricity!I318,Electricity!J318,Electricity!L318)*(1-Electricity!$I177)</f>
        <v>15914834.85903861</v>
      </c>
      <c r="C7" s="1507">
        <f>SUM(Electricity!E318,Electricity!F318)*(1-Electricity!$I177)</f>
        <v>5536596.9102472514</v>
      </c>
      <c r="D7" s="1507">
        <f>Electricity!K318*(1-Electricity!$I177)</f>
        <v>4446158.6902879747</v>
      </c>
      <c r="E7" s="1507">
        <f>SUM(Electricity!D335,Electricity!G335)*(1-Electricity!$I177)</f>
        <v>21147642.682168372</v>
      </c>
      <c r="F7" s="1507">
        <f>Electricity!E335*(1-Electricity!$I177)</f>
        <v>4473683.7583947666</v>
      </c>
      <c r="G7" s="1507">
        <f>Electricity!F335*(1-Electricity!$I177)</f>
        <v>3638437.3080923571</v>
      </c>
      <c r="H7" s="1507">
        <f>Electricity!C335*(1-Electricity!$I177)</f>
        <v>1071412.0202448978</v>
      </c>
      <c r="I7" s="1507">
        <f>Electricity!E351*Electricity!$I177</f>
        <v>5566647.8566189501</v>
      </c>
      <c r="J7" s="1507">
        <f>Electricity!$D177</f>
        <v>128427.35549275158</v>
      </c>
    </row>
    <row r="8" spans="1:10" ht="16" thickBot="1">
      <c r="A8" s="1333">
        <v>2022</v>
      </c>
      <c r="B8" s="1507">
        <f>SUM(Electricity!C319,Electricity!D319,Electricity!G319,Electricity!H319,Electricity!I319,Electricity!J319,Electricity!L319)*(1-Electricity!$I178)</f>
        <v>15778894.908938933</v>
      </c>
      <c r="C8" s="1507">
        <f>SUM(Electricity!E319,Electricity!F319)*(1-Electricity!$I178)</f>
        <v>5939937.6631866228</v>
      </c>
      <c r="D8" s="1507">
        <f>Electricity!K319*(1-Electricity!$I178)</f>
        <v>4089072.3513110774</v>
      </c>
      <c r="E8" s="1507">
        <f>SUM(Electricity!D336,Electricity!G336)*(1-Electricity!$I178)</f>
        <v>20768395.674393017</v>
      </c>
      <c r="F8" s="1507">
        <f>Electricity!E336*(1-Electricity!$I178)</f>
        <v>4252356.5781140914</v>
      </c>
      <c r="G8" s="1507">
        <f>Electricity!F336*(1-Electricity!$I178)</f>
        <v>3701280.0868776385</v>
      </c>
      <c r="H8" s="1507">
        <f>Electricity!C336*(1-Electricity!$I178)</f>
        <v>884174.96816326526</v>
      </c>
      <c r="I8" s="1507">
        <f>Electricity!E352*Electricity!$I178</f>
        <v>5485997.1108674807</v>
      </c>
      <c r="J8" s="1507">
        <f>Electricity!$D178</f>
        <v>214045.59248791929</v>
      </c>
    </row>
    <row r="9" spans="1:10" ht="16" thickBot="1">
      <c r="A9" s="1333">
        <v>2023</v>
      </c>
      <c r="B9" s="1507">
        <f>SUM(Electricity!C320,Electricity!D320,Electricity!G320,Electricity!H320,Electricity!I320,Electricity!J320,Electricity!L320)*(1-Electricity!$I179)</f>
        <v>15708315.896699067</v>
      </c>
      <c r="C9" s="1507">
        <f>SUM(Electricity!E320,Electricity!F320)*(1-Electricity!$I179)</f>
        <v>6297883.5602841182</v>
      </c>
      <c r="D9" s="1507">
        <f>Electricity!K320*(1-Electricity!$I179)</f>
        <v>3766104.6631185669</v>
      </c>
      <c r="E9" s="1507">
        <f>SUM(Electricity!D337,Electricity!G337)*(1-Electricity!$I179)</f>
        <v>20398354.923900064</v>
      </c>
      <c r="F9" s="1507">
        <f>Electricity!E337*(1-Electricity!$I179)</f>
        <v>4030806.8809474166</v>
      </c>
      <c r="G9" s="1507">
        <f>Electricity!F337*(1-Electricity!$I179)</f>
        <v>3776548.0624814648</v>
      </c>
      <c r="H9" s="1507">
        <f>Electricity!C337*(1-Electricity!$I179)</f>
        <v>696937.91608163284</v>
      </c>
      <c r="I9" s="1507">
        <f>Electricity!E353*Electricity!$I179</f>
        <v>5412820.2384477211</v>
      </c>
      <c r="J9" s="1507">
        <f>Electricity!$D179</f>
        <v>321068.38873187901</v>
      </c>
    </row>
    <row r="10" spans="1:10" ht="16" thickBot="1">
      <c r="A10" s="1333">
        <v>2024</v>
      </c>
      <c r="B10" s="1507">
        <f>SUM(Electricity!C321,Electricity!D321,Electricity!G321,Electricity!H321,Electricity!I321,Electricity!J321,Electricity!L321)*(1-Electricity!$I180)</f>
        <v>15654956.113966867</v>
      </c>
      <c r="C10" s="1507">
        <f>SUM(Electricity!E321,Electricity!F321)*(1-Electricity!$I180)</f>
        <v>6593197.1628030874</v>
      </c>
      <c r="D10" s="1507">
        <f>Electricity!K321*(1-Electricity!$I180)</f>
        <v>3454874.7567159291</v>
      </c>
      <c r="E10" s="1507">
        <f>SUM(Electricity!D338,Electricity!G338)*(1-Electricity!$I180)</f>
        <v>19967726.652828891</v>
      </c>
      <c r="F10" s="1507">
        <f>Electricity!E338*(1-Electricity!$I180)</f>
        <v>3794586.3513324275</v>
      </c>
      <c r="G10" s="1507">
        <f>Electricity!F338*(1-Electricity!$I180)</f>
        <v>3853366.5761463204</v>
      </c>
      <c r="H10" s="1507">
        <f>Electricity!C338*(1-Electricity!$I180)</f>
        <v>509700.86400000018</v>
      </c>
      <c r="I10" s="1507">
        <f>Electricity!E354*Electricity!$I180</f>
        <v>5329012.4393015588</v>
      </c>
      <c r="J10" s="1507">
        <f>Electricity!$D180</f>
        <v>449495.74422463053</v>
      </c>
    </row>
    <row r="11" spans="1:10" ht="16" thickBot="1">
      <c r="A11" s="1333">
        <v>2025</v>
      </c>
      <c r="B11" s="1507">
        <f>SUM(Electricity!C322,Electricity!D322,Electricity!G322,Electricity!H322,Electricity!I322,Electricity!J322,Electricity!L322)*(1-Electricity!$I181)</f>
        <v>16140305.145612739</v>
      </c>
      <c r="C11" s="1507">
        <f>SUM(Electricity!E322,Electricity!F322)*(1-Electricity!$I181)</f>
        <v>7305833.5383540867</v>
      </c>
      <c r="D11" s="1507">
        <f>Electricity!K322*(1-Electricity!$I181)</f>
        <v>3540638.9168597516</v>
      </c>
      <c r="E11" s="1507">
        <f>SUM(Electricity!D339,Electricity!G339)*(1-Electricity!$I181)</f>
        <v>21073290.399724234</v>
      </c>
      <c r="F11" s="1507">
        <f>Electricity!E339*(1-Electricity!$I181)</f>
        <v>4004683.2330374187</v>
      </c>
      <c r="G11" s="1507">
        <f>Electricity!F339*(1-Electricity!$I181)</f>
        <v>4066717.9738369561</v>
      </c>
      <c r="H11" s="1507">
        <f>Electricity!C339*(1-Electricity!$I181)</f>
        <v>509700.86399999994</v>
      </c>
      <c r="I11" s="1507">
        <f>Electricity!E355*Electricity!$I181</f>
        <v>5607475.8370710947</v>
      </c>
      <c r="J11" s="1507">
        <f>Electricity!$D181</f>
        <v>599327.65896617412</v>
      </c>
    </row>
    <row r="12" spans="1:10" ht="16" thickBot="1">
      <c r="A12" s="1333">
        <v>2026</v>
      </c>
      <c r="B12" s="1507">
        <f>SUM(Electricity!C323,Electricity!D323,Electricity!G323,Electricity!H323,Electricity!I323,Electricity!J323,Electricity!L323)*(1-Electricity!$I182)</f>
        <v>16698752.527462177</v>
      </c>
      <c r="C12" s="1507">
        <f>SUM(Electricity!E323,Electricity!F323)*(1-Electricity!$I182)</f>
        <v>8066777.6135797892</v>
      </c>
      <c r="D12" s="1507">
        <f>Electricity!K323*(1-Electricity!$I182)</f>
        <v>3642100.2475559218</v>
      </c>
      <c r="E12" s="1507">
        <f>SUM(Electricity!D340,Electricity!G340)*(1-Electricity!$I182)</f>
        <v>22292229.935766511</v>
      </c>
      <c r="F12" s="1507">
        <f>Electricity!E340*(1-Electricity!$I182)</f>
        <v>4236325.5930809546</v>
      </c>
      <c r="G12" s="1507">
        <f>Electricity!F340*(1-Electricity!$I182)</f>
        <v>4301948.6011484116</v>
      </c>
      <c r="H12" s="1507">
        <f>Electricity!C340*(1-Electricity!$I182)</f>
        <v>509700.86399999994</v>
      </c>
      <c r="I12" s="1507">
        <f>Electricity!E356*Electricity!$I182</f>
        <v>5915035.702876783</v>
      </c>
      <c r="J12" s="1507">
        <f>Electricity!$D182</f>
        <v>770564.13295650959</v>
      </c>
    </row>
    <row r="13" spans="1:10" ht="16" thickBot="1">
      <c r="A13" s="1333">
        <v>2027</v>
      </c>
      <c r="B13" s="1507">
        <f>SUM(Electricity!C324,Electricity!D324,Electricity!G324,Electricity!H324,Electricity!I324,Electricity!J324,Electricity!L324)*(1-Electricity!$I183)</f>
        <v>17246237.787404072</v>
      </c>
      <c r="C13" s="1507">
        <f>SUM(Electricity!E324,Electricity!F324)*(1-Electricity!$I183)</f>
        <v>8838687.9977615606</v>
      </c>
      <c r="D13" s="1507">
        <f>Electricity!K324*(1-Electricity!$I183)</f>
        <v>3740804.608395257</v>
      </c>
      <c r="E13" s="1507">
        <f>SUM(Electricity!D341,Electricity!G341)*(1-Electricity!$I183)</f>
        <v>23511031.234854657</v>
      </c>
      <c r="F13" s="1507">
        <f>Electricity!E341*(1-Electricity!$I183)</f>
        <v>4467941.6831304897</v>
      </c>
      <c r="G13" s="1507">
        <f>Electricity!F341*(1-Electricity!$I183)</f>
        <v>4537152.5515292427</v>
      </c>
      <c r="H13" s="1507">
        <f>Electricity!C341*(1-Electricity!$I183)</f>
        <v>509700.86399999994</v>
      </c>
      <c r="I13" s="1507">
        <f>Electricity!E357*Electricity!$I183</f>
        <v>6222304.1159804538</v>
      </c>
      <c r="J13" s="1507">
        <f>Electricity!$D183</f>
        <v>963205.16619563696</v>
      </c>
    </row>
    <row r="14" spans="1:10" ht="16" thickBot="1">
      <c r="A14" s="1333">
        <v>2028</v>
      </c>
      <c r="B14" s="1507">
        <f>SUM(Electricity!C325,Electricity!D325,Electricity!G325,Electricity!H325,Electricity!I325,Electricity!J325,Electricity!L325)*(1-Electricity!$I184)</f>
        <v>17743852.366676368</v>
      </c>
      <c r="C14" s="1507">
        <f>SUM(Electricity!E325,Electricity!F325)*(1-Electricity!$I184)</f>
        <v>9598697.4982903134</v>
      </c>
      <c r="D14" s="1507">
        <f>Electricity!K325*(1-Electricity!$I184)</f>
        <v>3828446.9631353891</v>
      </c>
      <c r="E14" s="1507">
        <f>SUM(Electricity!D342,Electricity!G342)*(1-Electricity!$I184)</f>
        <v>24672099.189315185</v>
      </c>
      <c r="F14" s="1507">
        <f>Electricity!E342*(1-Electricity!$I184)</f>
        <v>4688586.3608931024</v>
      </c>
      <c r="G14" s="1507">
        <f>Electricity!F342*(1-Electricity!$I184)</f>
        <v>4761215.1364264032</v>
      </c>
      <c r="H14" s="1507">
        <f>Electricity!C342*(1-Electricity!$I184)</f>
        <v>509700.86399999994</v>
      </c>
      <c r="I14" s="1507">
        <f>Electricity!E358*Electricity!$I184</f>
        <v>6514457.2394949421</v>
      </c>
      <c r="J14" s="1507">
        <f>Electricity!$D184</f>
        <v>1177250.7586835562</v>
      </c>
    </row>
    <row r="15" spans="1:10" ht="16" thickBot="1">
      <c r="A15" s="1333">
        <v>2029</v>
      </c>
      <c r="B15" s="1507">
        <f>SUM(Electricity!C326,Electricity!D326,Electricity!G326,Electricity!H326,Electricity!I326,Electricity!J326,Electricity!L326)*(1-Electricity!$I185)</f>
        <v>18254238.298472185</v>
      </c>
      <c r="C15" s="1507">
        <f>SUM(Electricity!E326,Electricity!F326)*(1-Electricity!$I185)</f>
        <v>10379490.845924901</v>
      </c>
      <c r="D15" s="1507">
        <f>Electricity!K326*(1-Electricity!$I185)</f>
        <v>3919439.1165980501</v>
      </c>
      <c r="E15" s="1507">
        <f>SUM(Electricity!D343,Electricity!G343)*(1-Electricity!$I185)</f>
        <v>25865330.52946876</v>
      </c>
      <c r="F15" s="1507">
        <f>Electricity!E343*(1-Electricity!$I185)</f>
        <v>4915343.2389319651</v>
      </c>
      <c r="G15" s="1507">
        <f>Electricity!F343*(1-Electricity!$I185)</f>
        <v>4991484.6029360853</v>
      </c>
      <c r="H15" s="1507">
        <f>Electricity!C343*(1-Electricity!$I185)</f>
        <v>509700.86399999994</v>
      </c>
      <c r="I15" s="1507">
        <f>Electricity!E359*Electricity!$I185</f>
        <v>6814667.7221368654</v>
      </c>
      <c r="J15" s="1507">
        <f>Electricity!$D185</f>
        <v>1412700.9104202674</v>
      </c>
    </row>
    <row r="16" spans="1:10" ht="16" thickBot="1">
      <c r="A16" s="1333">
        <v>2030</v>
      </c>
      <c r="B16" s="1507">
        <f>SUM(Electricity!C327,Electricity!D327,Electricity!G327,Electricity!H327,Electricity!I327,Electricity!J327,Electricity!L327)*(1-Electricity!$I186)</f>
        <v>18774691.402904533</v>
      </c>
      <c r="C16" s="1507">
        <f>SUM(Electricity!E327,Electricity!F327)*(1-Electricity!$I186)</f>
        <v>11236572.237018216</v>
      </c>
      <c r="D16" s="1507">
        <f>Electricity!K327*(1-Electricity!$I186)</f>
        <v>4033448.7483717646</v>
      </c>
      <c r="E16" s="1507">
        <f>SUM(Electricity!D344,Electricity!G344)*(1-Electricity!$I186)</f>
        <v>27162228.890358619</v>
      </c>
      <c r="F16" s="1507">
        <f>Electricity!E344*(1-Electricity!$I186)</f>
        <v>5161800.5800635284</v>
      </c>
      <c r="G16" s="1507">
        <f>Electricity!F344*(1-Electricity!$I186)</f>
        <v>5241759.7035221579</v>
      </c>
      <c r="H16" s="1507">
        <f>Electricity!C344*(1-Electricity!$I186)</f>
        <v>509700.86399999994</v>
      </c>
      <c r="I16" s="1507">
        <f>Electricity!E360*Electricity!$I186</f>
        <v>7139900.0401976444</v>
      </c>
      <c r="J16" s="1507">
        <f>Electricity!$D186</f>
        <v>1669555.6214057705</v>
      </c>
    </row>
    <row r="18" spans="1:13" s="41" customFormat="1">
      <c r="E18" s="43" t="s">
        <v>3970</v>
      </c>
    </row>
    <row r="19" spans="1:13" s="41" customFormat="1" ht="16" thickBot="1">
      <c r="A19" s="1327" t="s">
        <v>3</v>
      </c>
      <c r="B19" s="41" t="s">
        <v>3843</v>
      </c>
      <c r="C19" s="41" t="s">
        <v>3844</v>
      </c>
      <c r="D19" s="41" t="s">
        <v>3704</v>
      </c>
      <c r="E19" s="41" t="s">
        <v>3845</v>
      </c>
      <c r="F19" s="41" t="s">
        <v>3846</v>
      </c>
      <c r="G19" s="41" t="s">
        <v>3842</v>
      </c>
      <c r="H19" s="41" t="s">
        <v>3757</v>
      </c>
      <c r="I19" s="41" t="s">
        <v>3749</v>
      </c>
      <c r="J19" s="41" t="s">
        <v>359</v>
      </c>
    </row>
    <row r="20" spans="1:13" s="41" customFormat="1" ht="16" thickBot="1">
      <c r="A20" s="1333">
        <v>2017</v>
      </c>
      <c r="B20" s="1508">
        <f>SUM(Electricity!C81,Electricity!D81,Electricity!G81,Electricity!H81,Electricity!I81,Electricity!J81,Electricity!L81)</f>
        <v>16264462.131988024</v>
      </c>
      <c r="C20" s="1508">
        <f>SUM(Electricity!E81,Electricity!F81)</f>
        <v>3187575.9102759208</v>
      </c>
      <c r="D20" s="1508">
        <f>SUM(Electricity!K81)</f>
        <v>6552869.7402360551</v>
      </c>
      <c r="E20" s="1508">
        <f>SUM(Electricity!I146,Electricity!F146)</f>
        <v>22247177.032028571</v>
      </c>
      <c r="F20" s="1507">
        <f>SUM(Electricity!G146)</f>
        <v>5252805.688117858</v>
      </c>
      <c r="G20" s="1507">
        <f>SUM(Electricity!H146)</f>
        <v>3398874.2687821435</v>
      </c>
      <c r="H20" s="1507">
        <f>SUM(Electricity!D146)</f>
        <v>1917560.2285714285</v>
      </c>
      <c r="I20" s="1507">
        <f>Electricity!F122*Electricity!F173</f>
        <v>7697790.9999999925</v>
      </c>
      <c r="J20" s="1507">
        <v>0</v>
      </c>
    </row>
    <row r="21" spans="1:13" s="41" customFormat="1" ht="16" thickBot="1">
      <c r="A21" s="1333">
        <v>2018</v>
      </c>
      <c r="B21" s="1508">
        <f>SUM(Electricity!C82,Electricity!D82,Electricity!G82,Electricity!H82,Electricity!I82,Electricity!J82,Electricity!L82)</f>
        <v>16822520.615877729</v>
      </c>
      <c r="C21" s="1508">
        <f>SUM(Electricity!E82,Electricity!F82)</f>
        <v>4183481.558482768</v>
      </c>
      <c r="D21" s="1508">
        <f>SUM(Electricity!K82)</f>
        <v>6474572.3058511391</v>
      </c>
      <c r="E21" s="1508">
        <f>SUM(Electricity!I147,Electricity!F147)</f>
        <v>23657938.241868857</v>
      </c>
      <c r="F21" s="1507">
        <f>SUM(Electricity!G147)</f>
        <v>5585902.0848857034</v>
      </c>
      <c r="G21" s="1507">
        <f>SUM(Electricity!H147)</f>
        <v>3614407.2313966313</v>
      </c>
      <c r="H21" s="1507">
        <f>SUM(Electricity!D147)</f>
        <v>1820360.2285714285</v>
      </c>
      <c r="I21" s="1507">
        <f>Electricity!F123*Electricity!F174</f>
        <v>7337574.5067466106</v>
      </c>
      <c r="J21" s="1507">
        <v>0</v>
      </c>
    </row>
    <row r="22" spans="1:13" s="41" customFormat="1" ht="16" thickBot="1">
      <c r="A22" s="1333">
        <v>2019</v>
      </c>
      <c r="B22" s="1508">
        <f>SUM(Electricity!C83,Electricity!D83,Electricity!G83,Electricity!H83,Electricity!I83,Electricity!J83,Electricity!L83)</f>
        <v>16984426.064097144</v>
      </c>
      <c r="C22" s="1508">
        <f>SUM(Electricity!E83,Electricity!F83)</f>
        <v>5025146.7111077867</v>
      </c>
      <c r="D22" s="1508">
        <f>SUM(Electricity!K83)</f>
        <v>6263363.7610162059</v>
      </c>
      <c r="E22" s="1508">
        <f>SUM(Electricity!I148,Electricity!F148)</f>
        <v>24377871.129347581</v>
      </c>
      <c r="F22" s="1507">
        <f>SUM(Electricity!G148)</f>
        <v>5755886.238873736</v>
      </c>
      <c r="G22" s="1507">
        <f>SUM(Electricity!H148)</f>
        <v>3724396.9780947701</v>
      </c>
      <c r="H22" s="1507">
        <f>SUM(Electricity!D148)</f>
        <v>1820360.2285714285</v>
      </c>
      <c r="I22" s="1507">
        <f>Electricity!F124*Electricity!F175</f>
        <v>6729128.3936975272</v>
      </c>
      <c r="J22" s="1507">
        <v>0</v>
      </c>
    </row>
    <row r="23" spans="1:13" s="41" customFormat="1" ht="16" thickBot="1">
      <c r="A23" s="1333">
        <v>2020</v>
      </c>
      <c r="B23" s="1508">
        <f>SUM(Electricity!C84,Electricity!D84,Electricity!G84,Electricity!H84,Electricity!I84,Electricity!J84,Electricity!L84)</f>
        <v>17330649.922777984</v>
      </c>
      <c r="C23" s="1508">
        <f>SUM(Electricity!E84,Electricity!F84)</f>
        <v>5863914.845659079</v>
      </c>
      <c r="D23" s="1508">
        <f>SUM(Electricity!K84)</f>
        <v>6140218.9442780642</v>
      </c>
      <c r="E23" s="1508">
        <f>SUM(Electricity!I149,Electricity!F149)</f>
        <v>25342655.722497366</v>
      </c>
      <c r="F23" s="1507">
        <f>SUM(Electricity!G149)</f>
        <v>5983682.6011452125</v>
      </c>
      <c r="G23" s="1507">
        <f>SUM(Electricity!H149)</f>
        <v>3871794.6242704317</v>
      </c>
      <c r="H23" s="1507">
        <f>SUM(Electricity!D149)</f>
        <v>1820360.2285714285</v>
      </c>
      <c r="I23" s="1507">
        <f>Electricity!F125*Electricity!F176</f>
        <v>6568974.4120307574</v>
      </c>
      <c r="J23" s="1507">
        <v>0</v>
      </c>
    </row>
    <row r="24" spans="1:13" s="41" customFormat="1" ht="16" thickBot="1">
      <c r="A24" s="1333">
        <v>2021</v>
      </c>
      <c r="B24" s="1508">
        <f>SUM(Electricity!C85,Electricity!D85,Electricity!G85,Electricity!H85,Electricity!I85,Electricity!J85,Electricity!L85)</f>
        <v>17785502.507819775</v>
      </c>
      <c r="C24" s="1508">
        <f>SUM(Electricity!E85,Electricity!F85)</f>
        <v>6762914.6513334988</v>
      </c>
      <c r="D24" s="1508">
        <f>SUM(Electricity!K85)</f>
        <v>6124296.1774183055</v>
      </c>
      <c r="E24" s="1508">
        <f>SUM(Electricity!I150,Electricity!F150)</f>
        <v>26558286.291933358</v>
      </c>
      <c r="F24" s="1507">
        <f>SUM(Electricity!G150)</f>
        <v>6270706.4855953772</v>
      </c>
      <c r="G24" s="1507">
        <f>SUM(Electricity!H150)</f>
        <v>4057515.9612675966</v>
      </c>
      <c r="H24" s="1507">
        <f>SUM(Electricity!D150)</f>
        <v>1820360.2285714285</v>
      </c>
      <c r="I24" s="1507">
        <f>Electricity!F126*Electricity!F177</f>
        <v>6868578.6480899956</v>
      </c>
      <c r="J24" s="1507">
        <v>0</v>
      </c>
    </row>
    <row r="25" spans="1:13" s="41" customFormat="1" ht="16" thickBot="1">
      <c r="A25" s="1333">
        <v>2022</v>
      </c>
      <c r="B25" s="1508">
        <f>SUM(Electricity!C86,Electricity!D86,Electricity!G86,Electricity!H86,Electricity!I86,Electricity!J86,Electricity!L86)</f>
        <v>18166319.981939469</v>
      </c>
      <c r="C25" s="1508">
        <f>SUM(Electricity!E86,Electricity!F86)</f>
        <v>7725836.6871916912</v>
      </c>
      <c r="D25" s="1508">
        <f>SUM(Electricity!K86)</f>
        <v>6179729.388383314</v>
      </c>
      <c r="E25" s="1508">
        <f>SUM(Electricity!I151,Electricity!F151)</f>
        <v>27829561.776959624</v>
      </c>
      <c r="F25" s="1507">
        <f>SUM(Electricity!G151)</f>
        <v>6570868.7528932448</v>
      </c>
      <c r="G25" s="1507">
        <f>SUM(Electricity!H151)</f>
        <v>4251738.6048132759</v>
      </c>
      <c r="H25" s="1507">
        <f>SUM(Electricity!D151)</f>
        <v>1820360.2285714285</v>
      </c>
      <c r="I25" s="1507">
        <f>Electricity!F127*Electricity!F178</f>
        <v>7181897.1266544536</v>
      </c>
      <c r="J25" s="1507">
        <v>0</v>
      </c>
    </row>
    <row r="26" spans="1:13" s="41" customFormat="1" ht="16" thickBot="1">
      <c r="A26" s="1333">
        <v>2023</v>
      </c>
      <c r="B26" s="1508">
        <f>SUM(Electricity!C87,Electricity!D87,Electricity!G87,Electricity!H87,Electricity!I87,Electricity!J87,Electricity!L87)</f>
        <v>18627037.686089374</v>
      </c>
      <c r="C26" s="1508">
        <f>SUM(Electricity!E87,Electricity!F87)</f>
        <v>8755820.3839014973</v>
      </c>
      <c r="D26" s="1508">
        <f>SUM(Electricity!K87)</f>
        <v>6286496.3564063655</v>
      </c>
      <c r="E26" s="1508">
        <f>SUM(Electricity!I152,Electricity!F152)</f>
        <v>29281006.866667323</v>
      </c>
      <c r="F26" s="1507">
        <f>SUM(Electricity!G152)</f>
        <v>6913571.0657408964</v>
      </c>
      <c r="G26" s="1507">
        <f>SUM(Electricity!H152)</f>
        <v>4473487.1601852858</v>
      </c>
      <c r="H26" s="1507">
        <f>SUM(Electricity!D152)</f>
        <v>1820360.2285714285</v>
      </c>
      <c r="I26" s="1507">
        <f>Electricity!F128*Electricity!F179</f>
        <v>7539620.1950086551</v>
      </c>
      <c r="J26" s="1507">
        <v>0</v>
      </c>
      <c r="M26" s="38"/>
    </row>
    <row r="27" spans="1:13" s="41" customFormat="1" ht="16" thickBot="1">
      <c r="A27" s="1333">
        <v>2024</v>
      </c>
      <c r="B27" s="1508">
        <f>SUM(Electricity!C88,Electricity!D88,Electricity!G88,Electricity!H88,Electricity!I88,Electricity!J88,Electricity!L88)</f>
        <v>19133071.621996474</v>
      </c>
      <c r="C27" s="1508">
        <f>SUM(Electricity!E88,Electricity!F88)</f>
        <v>9836318.7793802824</v>
      </c>
      <c r="D27" s="1508">
        <f>SUM(Electricity!K88)</f>
        <v>6419924.5198853407</v>
      </c>
      <c r="E27" s="1508">
        <f>SUM(Electricity!I153,Electricity!F153)</f>
        <v>30843747.177142955</v>
      </c>
      <c r="F27" s="1507">
        <f>SUM(Electricity!G153)</f>
        <v>7282551.4168254212</v>
      </c>
      <c r="G27" s="1507">
        <f>SUM(Electricity!H153)</f>
        <v>4712239.1520635076</v>
      </c>
      <c r="H27" s="1507">
        <f>SUM(Electricity!D153)</f>
        <v>1820360.2285714285</v>
      </c>
      <c r="I27" s="1507">
        <f>Electricity!F129*Electricity!F180</f>
        <v>7924773.0766906757</v>
      </c>
      <c r="J27" s="1507">
        <v>0</v>
      </c>
    </row>
    <row r="28" spans="1:13" s="41" customFormat="1" ht="16" thickBot="1">
      <c r="A28" s="1333">
        <v>2025</v>
      </c>
      <c r="B28" s="1508">
        <f>SUM(Electricity!C89,Electricity!D89,Electricity!G89,Electricity!H89,Electricity!I89,Electricity!J89,Electricity!L89)</f>
        <v>19713242.744351238</v>
      </c>
      <c r="C28" s="1508">
        <f>SUM(Electricity!E89,Electricity!F89)</f>
        <v>10976329.124798577</v>
      </c>
      <c r="D28" s="1508">
        <f>SUM(Electricity!K89)</f>
        <v>6579293.3750267299</v>
      </c>
      <c r="E28" s="1508">
        <f>SUM(Electricity!I154,Electricity!F154)</f>
        <v>32551489.339800403</v>
      </c>
      <c r="F28" s="1507">
        <f>SUM(Electricity!G154)</f>
        <v>7685768.3163417634</v>
      </c>
      <c r="G28" s="1507">
        <f>SUM(Electricity!H154)</f>
        <v>4973144.2046917286</v>
      </c>
      <c r="H28" s="1507">
        <f>SUM(Electricity!D154)</f>
        <v>1820360.2285714285</v>
      </c>
      <c r="I28" s="1507">
        <f>Electricity!F130*Electricity!F181</f>
        <v>8345663.1060246052</v>
      </c>
      <c r="J28" s="1507">
        <v>0</v>
      </c>
    </row>
    <row r="29" spans="1:13" s="41" customFormat="1" ht="16" thickBot="1">
      <c r="A29" s="1333">
        <v>2026</v>
      </c>
      <c r="B29" s="1508">
        <f>SUM(Electricity!C90,Electricity!D90,Electricity!G90,Electricity!H90,Electricity!I90,Electricity!J90,Electricity!L90)</f>
        <v>20382239.83722366</v>
      </c>
      <c r="C29" s="1508">
        <f>SUM(Electricity!E90,Electricity!F90)</f>
        <v>12191092.942320494</v>
      </c>
      <c r="D29" s="1508">
        <f>SUM(Electricity!K90)</f>
        <v>6767831.0589153664</v>
      </c>
      <c r="E29" s="1508">
        <f>SUM(Electricity!I155,Electricity!F155)</f>
        <v>34434360.811730608</v>
      </c>
      <c r="F29" s="1507">
        <f>SUM(Electricity!G155)</f>
        <v>8130335.191658617</v>
      </c>
      <c r="G29" s="1507">
        <f>SUM(Electricity!H155)</f>
        <v>5260805.124014399</v>
      </c>
      <c r="H29" s="1507">
        <f>SUM(Electricity!D155)</f>
        <v>1820360.2285714285</v>
      </c>
      <c r="I29" s="1507">
        <f>Electricity!F131*Electricity!F182</f>
        <v>8809715.4942490235</v>
      </c>
      <c r="J29" s="1507">
        <v>0</v>
      </c>
    </row>
    <row r="30" spans="1:13" s="41" customFormat="1" ht="16" thickBot="1">
      <c r="A30" s="1333">
        <v>2027</v>
      </c>
      <c r="B30" s="1508">
        <f>SUM(Electricity!C91,Electricity!D91,Electricity!G91,Electricity!H91,Electricity!I91,Electricity!J91,Electricity!L91)</f>
        <v>21037371.209977552</v>
      </c>
      <c r="C30" s="1508">
        <f>SUM(Electricity!E91,Electricity!F91)</f>
        <v>13424610.527873926</v>
      </c>
      <c r="D30" s="1508">
        <f>SUM(Electricity!K91)</f>
        <v>6951245.680571408</v>
      </c>
      <c r="E30" s="1508">
        <f>SUM(Electricity!I156,Electricity!F156)</f>
        <v>36317018.751808248</v>
      </c>
      <c r="F30" s="1507">
        <f>SUM(Electricity!G156)</f>
        <v>8574851.649732504</v>
      </c>
      <c r="G30" s="1507">
        <f>SUM(Electricity!H156)</f>
        <v>5548433.4204151491</v>
      </c>
      <c r="H30" s="1507">
        <f>SUM(Electricity!D156)</f>
        <v>1820360.2285714285</v>
      </c>
      <c r="I30" s="1507">
        <f>Electricity!F132*Electricity!F183</f>
        <v>9273715.2554260734</v>
      </c>
      <c r="J30" s="1507">
        <v>0</v>
      </c>
    </row>
    <row r="31" spans="1:13" s="41" customFormat="1" ht="16" thickBot="1">
      <c r="A31" s="1333">
        <v>2028</v>
      </c>
      <c r="B31" s="1508">
        <f>SUM(Electricity!C92,Electricity!D92,Electricity!G92,Electricity!H92,Electricity!I92,Electricity!J92,Electricity!L92)</f>
        <v>21631246.095499244</v>
      </c>
      <c r="C31" s="1508">
        <f>SUM(Electricity!E92,Electricity!F92)</f>
        <v>14641788.776795078</v>
      </c>
      <c r="D31" s="1508">
        <f>SUM(Electricity!K92)</f>
        <v>7114104.638362254</v>
      </c>
      <c r="E31" s="1508">
        <f>SUM(Electricity!I157,Electricity!F157)</f>
        <v>38110497.151503257</v>
      </c>
      <c r="F31" s="1507">
        <f>SUM(Electricity!G157)</f>
        <v>8998311.8274382707</v>
      </c>
      <c r="G31" s="1507">
        <f>SUM(Electricity!H157)</f>
        <v>5822437.0648129983</v>
      </c>
      <c r="H31" s="1507">
        <f>SUM(Electricity!D157)</f>
        <v>1820360.2285714285</v>
      </c>
      <c r="I31" s="1507">
        <f>Electricity!F133*Electricity!F184</f>
        <v>9715735.8325152714</v>
      </c>
      <c r="J31" s="1507">
        <v>0</v>
      </c>
    </row>
    <row r="32" spans="1:13" s="41" customFormat="1" ht="16" thickBot="1">
      <c r="A32" s="1333">
        <v>2029</v>
      </c>
      <c r="B32" s="1508">
        <f>SUM(Electricity!C93,Electricity!D93,Electricity!G93,Electricity!H93,Electricity!I93,Electricity!J93,Electricity!L93)</f>
        <v>22240422.110640306</v>
      </c>
      <c r="C32" s="1508">
        <f>SUM(Electricity!E93,Electricity!F93)</f>
        <v>15892121.656990161</v>
      </c>
      <c r="D32" s="1508">
        <f>SUM(Electricity!K93)</f>
        <v>7283188.2660672991</v>
      </c>
      <c r="E32" s="1508">
        <f>SUM(Electricity!I158,Electricity!F158)</f>
        <v>39953657.68847537</v>
      </c>
      <c r="F32" s="1507">
        <f>SUM(Electricity!G158)</f>
        <v>9433502.5097789075</v>
      </c>
      <c r="G32" s="1507">
        <f>SUM(Electricity!H158)</f>
        <v>6104031.0357392933</v>
      </c>
      <c r="H32" s="1507">
        <f>SUM(Electricity!D158)</f>
        <v>1820360.2285714285</v>
      </c>
      <c r="I32" s="1507">
        <f>Electricity!F134*Electricity!F185</f>
        <v>10170001.066130014</v>
      </c>
      <c r="J32" s="1507">
        <v>0</v>
      </c>
    </row>
    <row r="33" spans="1:15" s="41" customFormat="1" ht="16" thickBot="1">
      <c r="A33" s="1333">
        <v>2030</v>
      </c>
      <c r="B33" s="1508">
        <f>SUM(Electricity!C94,Electricity!D94,Electricity!G94,Electricity!H94,Electricity!I94,Electricity!J94,Electricity!L94)</f>
        <v>22864577.331361145</v>
      </c>
      <c r="C33" s="1508">
        <f>SUM(Electricity!E94,Electricity!F94)</f>
        <v>17260946.302988146</v>
      </c>
      <c r="D33" s="1508">
        <f>SUM(Electricity!K94)</f>
        <v>7495043.4799514962</v>
      </c>
      <c r="E33" s="1508">
        <f>SUM(Electricity!I159,Electricity!F159)</f>
        <v>41956950.594734728</v>
      </c>
      <c r="F33" s="1507">
        <f>SUM(Electricity!G159)</f>
        <v>9906502.2237568125</v>
      </c>
      <c r="G33" s="1507">
        <f>SUM(Electricity!H159)</f>
        <v>6410089.6741955839</v>
      </c>
      <c r="H33" s="1507">
        <f>SUM(Electricity!D159)</f>
        <v>1820360.2285714285</v>
      </c>
      <c r="I33" s="1507">
        <f>Electricity!F135*Electricity!F186</f>
        <v>10663732.513720375</v>
      </c>
      <c r="J33" s="1507">
        <v>0</v>
      </c>
    </row>
    <row r="34" spans="1:15" s="41" customFormat="1"/>
    <row r="35" spans="1:15" s="41" customFormat="1"/>
    <row r="36" spans="1:15" s="41" customFormat="1"/>
    <row r="37" spans="1:15">
      <c r="E37" s="43" t="s">
        <v>4028</v>
      </c>
    </row>
    <row r="38" spans="1:15" ht="16" thickBot="1">
      <c r="A38" s="1327" t="s">
        <v>3</v>
      </c>
      <c r="B38" s="41" t="s">
        <v>3843</v>
      </c>
      <c r="C38" s="41" t="s">
        <v>3844</v>
      </c>
      <c r="D38" s="41" t="s">
        <v>3704</v>
      </c>
      <c r="E38" s="41" t="s">
        <v>3845</v>
      </c>
      <c r="F38" s="41" t="s">
        <v>3846</v>
      </c>
      <c r="G38" s="41" t="s">
        <v>3842</v>
      </c>
      <c r="H38" s="41" t="s">
        <v>3757</v>
      </c>
      <c r="I38" s="41" t="s">
        <v>3749</v>
      </c>
      <c r="J38" s="41" t="s">
        <v>359</v>
      </c>
      <c r="K38" t="s">
        <v>14</v>
      </c>
      <c r="L38" t="s">
        <v>13</v>
      </c>
    </row>
    <row r="39" spans="1:15" ht="16" thickBot="1">
      <c r="A39" s="1333">
        <v>2017</v>
      </c>
      <c r="B39" s="1373">
        <f>B3/'Basic Parameters and Results'!$F$62*'Advanced Parameters'!$D$23</f>
        <v>12895199.106538441</v>
      </c>
      <c r="C39" s="1373">
        <f>C3/'Basic Parameters and Results'!$F$62*'Advanced Parameters'!$D$23</f>
        <v>2527253.9415472983</v>
      </c>
      <c r="D39" s="1373">
        <f>D3/'Basic Parameters and Results'!$F$62*'Advanced Parameters'!$D$23</f>
        <v>5195410.6649099598</v>
      </c>
      <c r="E39" s="1373">
        <f>E3/'Basic Parameters and Results'!$F$62*'Advanced Parameters'!$D$23</f>
        <v>17638565.300121084</v>
      </c>
      <c r="F39" s="1373">
        <f>F3/'Basic Parameters and Results'!$F$62*'Advanced Parameters'!$D$23</f>
        <v>4164661.251417479</v>
      </c>
      <c r="G39" s="1373">
        <f>G3/'Basic Parameters and Results'!$F$62*'Advanced Parameters'!$D$23</f>
        <v>2694780.8097407217</v>
      </c>
      <c r="H39" s="1373">
        <f>H3/'Basic Parameters and Results'!$F$62*'Advanced Parameters'!$D$23</f>
        <v>1520328.2313022595</v>
      </c>
      <c r="I39" s="1373">
        <f>I3/'Basic Parameters and Results'!$F$62*'Advanced Parameters'!$D$23</f>
        <v>6103155.8756739721</v>
      </c>
      <c r="J39" s="1373">
        <f>J3/'Basic Parameters and Results'!$F$62*'Advanced Parameters'!$D$23</f>
        <v>0</v>
      </c>
      <c r="K39" s="1373">
        <f>Transportation!$G$61</f>
        <v>37992917.421876401</v>
      </c>
      <c r="L39" s="1373">
        <f>Transportation!$G$62</f>
        <v>43918202.819031596</v>
      </c>
      <c r="M39" s="1373"/>
      <c r="N39" s="41"/>
      <c r="O39" s="41"/>
    </row>
    <row r="40" spans="1:15" ht="16" thickBot="1">
      <c r="A40" s="1333">
        <v>2018</v>
      </c>
      <c r="B40" s="1373">
        <f>B4/'Basic Parameters and Results'!$F$62*'Advanced Parameters'!$D$23</f>
        <v>13012267.761543322</v>
      </c>
      <c r="C40" s="1373">
        <f>C4/'Basic Parameters and Results'!$F$62*'Advanced Parameters'!$D$23</f>
        <v>3191053.4327050587</v>
      </c>
      <c r="D40" s="1373">
        <f>D4/'Basic Parameters and Results'!$F$62*'Advanced Parameters'!$D$23</f>
        <v>4768723.49283027</v>
      </c>
      <c r="E40" s="1373">
        <f>E4/'Basic Parameters and Results'!$F$62*'Advanced Parameters'!$D$23</f>
        <v>17791282.975138169</v>
      </c>
      <c r="F40" s="1373">
        <f>F4/'Basic Parameters and Results'!$F$62*'Advanced Parameters'!$D$23</f>
        <v>4097192.238155907</v>
      </c>
      <c r="G40" s="1373">
        <f>G4/'Basic Parameters and Results'!$F$62*'Advanced Parameters'!$D$23</f>
        <v>2792291.07662341</v>
      </c>
      <c r="H40" s="1373">
        <f>H4/'Basic Parameters and Results'!$F$62*'Advanced Parameters'!$D$23</f>
        <v>1294813.7082824213</v>
      </c>
      <c r="I40" s="1373">
        <f>I4/'Basic Parameters and Results'!$F$62*'Advanced Parameters'!$D$23</f>
        <v>5541927.7004590817</v>
      </c>
      <c r="J40" s="1373">
        <f>J4/'Basic Parameters and Results'!$F$62*'Advanced Parameters'!$D$23</f>
        <v>0</v>
      </c>
      <c r="K40" s="1373">
        <f>Transportation!$H$61</f>
        <v>39087113.443626441</v>
      </c>
      <c r="L40" s="1373">
        <f>Transportation!$H$62</f>
        <v>45183047.060219705</v>
      </c>
      <c r="M40" s="1398"/>
      <c r="N40" s="1398"/>
      <c r="O40" s="41"/>
    </row>
    <row r="41" spans="1:15" ht="16" thickBot="1">
      <c r="A41" s="1333">
        <v>2019</v>
      </c>
      <c r="B41" s="1373">
        <f>B5/'Basic Parameters and Results'!$F$62*'Advanced Parameters'!$D$23</f>
        <v>12790820.767148929</v>
      </c>
      <c r="C41" s="1373">
        <f>C5/'Basic Parameters and Results'!$F$62*'Advanced Parameters'!$D$23</f>
        <v>3652211.2974900445</v>
      </c>
      <c r="D41" s="1373">
        <f>D5/'Basic Parameters and Results'!$F$62*'Advanced Parameters'!$D$23</f>
        <v>4268804.1163389543</v>
      </c>
      <c r="E41" s="1373">
        <f>E5/'Basic Parameters and Results'!$F$62*'Advanced Parameters'!$D$23</f>
        <v>17344690.155254085</v>
      </c>
      <c r="F41" s="1373">
        <f>F5/'Basic Parameters and Results'!$F$62*'Advanced Parameters'!$D$23</f>
        <v>3890024.5546940784</v>
      </c>
      <c r="G41" s="1373">
        <f>G5/'Basic Parameters and Results'!$F$62*'Advanced Parameters'!$D$23</f>
        <v>2801229.8292706185</v>
      </c>
      <c r="H41" s="1373">
        <f>H5/'Basic Parameters and Results'!$F$62*'Advanced Parameters'!$D$23</f>
        <v>1146363.7289888954</v>
      </c>
      <c r="I41" s="1373">
        <f>I5/'Basic Parameters and Results'!$F$62*'Advanced Parameters'!$D$23</f>
        <v>4829094.3387807803</v>
      </c>
      <c r="J41" s="1373">
        <f>J5/'Basic Parameters and Results'!$F$62*'Advanced Parameters'!$D$23</f>
        <v>16970.499919454331</v>
      </c>
      <c r="K41" s="1373">
        <f>Transportation!$I$61</f>
        <v>39255370.98258578</v>
      </c>
      <c r="L41" s="1373">
        <f>Transportation!$I$62</f>
        <v>45696996.473185338</v>
      </c>
      <c r="M41" s="1373"/>
      <c r="N41" s="41"/>
      <c r="O41" s="41"/>
    </row>
    <row r="42" spans="1:15" ht="16" thickBot="1">
      <c r="A42" s="1333">
        <v>2020</v>
      </c>
      <c r="B42" s="1373">
        <f>B6/'Basic Parameters and Results'!$F$62*'Advanced Parameters'!$D$23</f>
        <v>12682405.097472243</v>
      </c>
      <c r="C42" s="1373">
        <f>C6/'Basic Parameters and Results'!$F$62*'Advanced Parameters'!$D$23</f>
        <v>4036687.9260513783</v>
      </c>
      <c r="D42" s="1373">
        <f>D6/'Basic Parameters and Results'!$F$62*'Advanced Parameters'!$D$23</f>
        <v>3855480.7105654972</v>
      </c>
      <c r="E42" s="1373">
        <f>E6/'Basic Parameters and Results'!$F$62*'Advanced Parameters'!$D$23</f>
        <v>17011502.738251418</v>
      </c>
      <c r="F42" s="1373">
        <f>F6/'Basic Parameters and Results'!$F$62*'Advanced Parameters'!$D$23</f>
        <v>3709186.3462092397</v>
      </c>
      <c r="G42" s="1373">
        <f>G6/'Basic Parameters and Results'!$F$62*'Advanced Parameters'!$D$23</f>
        <v>2832606.3429249669</v>
      </c>
      <c r="H42" s="1373">
        <f>H6/'Basic Parameters and Results'!$F$62*'Advanced Parameters'!$D$23</f>
        <v>997913.74969536939</v>
      </c>
      <c r="I42" s="1373">
        <f>I6/'Basic Parameters and Results'!$F$62*'Advanced Parameters'!$D$23</f>
        <v>4467452.5082058404</v>
      </c>
      <c r="J42" s="1373">
        <f>J6/'Basic Parameters and Results'!$F$62*'Advanced Parameters'!$D$23</f>
        <v>50911.499758362996</v>
      </c>
      <c r="K42" s="1373">
        <f>Transportation!$J$61</f>
        <v>39411640.227123037</v>
      </c>
      <c r="L42" s="1373">
        <f>Transportation!$J$62</f>
        <v>46102010.266958058</v>
      </c>
      <c r="N42" s="41"/>
      <c r="O42" s="41"/>
    </row>
    <row r="43" spans="1:15" ht="16" thickBot="1">
      <c r="A43" s="1333">
        <v>2021</v>
      </c>
      <c r="B43" s="1373">
        <f>B7/'Basic Parameters and Results'!$F$62*'Advanced Parameters'!$D$23</f>
        <v>12617998.836331429</v>
      </c>
      <c r="C43" s="1373">
        <f>C7/'Basic Parameters and Results'!$F$62*'Advanced Parameters'!$D$23</f>
        <v>4389663.731324208</v>
      </c>
      <c r="D43" s="1373">
        <f>D7/'Basic Parameters and Results'!$F$62*'Advanced Parameters'!$D$23</f>
        <v>3525115.1317059626</v>
      </c>
      <c r="E43" s="1373">
        <f>E7/'Basic Parameters and Results'!$F$62*'Advanced Parameters'!$D$23</f>
        <v>16766804.878481334</v>
      </c>
      <c r="F43" s="1373">
        <f>F7/'Basic Parameters and Results'!$F$62*'Advanced Parameters'!$D$23</f>
        <v>3546938.2470833864</v>
      </c>
      <c r="G43" s="1373">
        <f>G7/'Basic Parameters and Results'!$F$62*'Advanced Parameters'!$D$23</f>
        <v>2884717.1916144886</v>
      </c>
      <c r="H43" s="1373">
        <f>H7/'Basic Parameters and Results'!$F$62*'Advanced Parameters'!$D$23</f>
        <v>849463.77040184324</v>
      </c>
      <c r="I43" s="1373">
        <f>I7/'Basic Parameters and Results'!$F$62*'Advanced Parameters'!$D$23</f>
        <v>4413489.4769073231</v>
      </c>
      <c r="J43" s="1373">
        <f>J7/'Basic Parameters and Results'!$F$62*'Advanced Parameters'!$D$23</f>
        <v>101822.99951672599</v>
      </c>
      <c r="K43" s="1373">
        <f>Transportation!$K$61</f>
        <v>39555400.417963602</v>
      </c>
      <c r="L43" s="1373">
        <f>Transportation!$K$62</f>
        <v>46406847.389806651</v>
      </c>
      <c r="N43" s="41"/>
      <c r="O43" s="41"/>
    </row>
    <row r="44" spans="1:15" ht="16" thickBot="1">
      <c r="A44" s="1333">
        <v>2022</v>
      </c>
      <c r="B44" s="1373">
        <f>B8/'Basic Parameters and Results'!$F$62*'Advanced Parameters'!$D$23</f>
        <v>12510219.512991829</v>
      </c>
      <c r="C44" s="1373">
        <f>C8/'Basic Parameters and Results'!$F$62*'Advanced Parameters'!$D$23</f>
        <v>4709450.4709486915</v>
      </c>
      <c r="D44" s="1373">
        <f>D8/'Basic Parameters and Results'!$F$62*'Advanced Parameters'!$D$23</f>
        <v>3242000.9775480023</v>
      </c>
      <c r="E44" s="1373">
        <f>E8/'Basic Parameters and Results'!$F$62*'Advanced Parameters'!$D$23</f>
        <v>16466120.746652355</v>
      </c>
      <c r="F44" s="1373">
        <f>F8/'Basic Parameters and Results'!$F$62*'Advanced Parameters'!$D$23</f>
        <v>3371460.0766866636</v>
      </c>
      <c r="G44" s="1373">
        <f>G8/'Basic Parameters and Results'!$F$62*'Advanced Parameters'!$D$23</f>
        <v>2934541.7808488635</v>
      </c>
      <c r="H44" s="1373">
        <f>H8/'Basic Parameters and Results'!$F$62*'Advanced Parameters'!$D$23</f>
        <v>701013.79110831732</v>
      </c>
      <c r="I44" s="1373">
        <f>I8/'Basic Parameters and Results'!$F$62*'Advanced Parameters'!$D$23</f>
        <v>4349545.9283216884</v>
      </c>
      <c r="J44" s="1373">
        <f>J8/'Basic Parameters and Results'!$F$62*'Advanced Parameters'!$D$23</f>
        <v>169704.99919454328</v>
      </c>
      <c r="K44" s="1373">
        <f>Transportation!$L$61</f>
        <v>39686119.652258843</v>
      </c>
      <c r="L44" s="1373">
        <f>Transportation!$L$62</f>
        <v>46609580.133123361</v>
      </c>
      <c r="N44" s="41"/>
      <c r="O44" s="41"/>
    </row>
    <row r="45" spans="1:15" ht="16" thickBot="1">
      <c r="A45" s="1333">
        <v>2023</v>
      </c>
      <c r="B45" s="1373">
        <f>B9/'Basic Parameters and Results'!$F$62*'Advanced Parameters'!$D$23</f>
        <v>12454261.288970027</v>
      </c>
      <c r="C45" s="1373">
        <f>C9/'Basic Parameters and Results'!$F$62*'Advanced Parameters'!$D$23</f>
        <v>4993246.1215507891</v>
      </c>
      <c r="D45" s="1373">
        <f>D9/'Basic Parameters and Results'!$F$62*'Advanced Parameters'!$D$23</f>
        <v>2985937.6284852694</v>
      </c>
      <c r="E45" s="1373">
        <f>E9/'Basic Parameters and Results'!$F$62*'Advanced Parameters'!$D$23</f>
        <v>16172735.750799665</v>
      </c>
      <c r="F45" s="1373">
        <f>F9/'Basic Parameters and Results'!$F$62*'Advanced Parameters'!$D$23</f>
        <v>3195805.4848671947</v>
      </c>
      <c r="G45" s="1373">
        <f>G9/'Basic Parameters and Results'!$F$62*'Advanced Parameters'!$D$23</f>
        <v>2994217.6264981641</v>
      </c>
      <c r="H45" s="1373">
        <f>H9/'Basic Parameters and Results'!$F$62*'Advanced Parameters'!$D$23</f>
        <v>552563.81181479152</v>
      </c>
      <c r="I45" s="1373">
        <f>I9/'Basic Parameters and Results'!$F$62*'Advanced Parameters'!$D$23</f>
        <v>4291528.003585605</v>
      </c>
      <c r="J45" s="1373">
        <f>J9/'Basic Parameters and Results'!$F$62*'Advanced Parameters'!$D$23</f>
        <v>254557.49879181499</v>
      </c>
      <c r="K45" s="1373">
        <f>Transportation!$M$61</f>
        <v>39803254.930222243</v>
      </c>
      <c r="L45" s="1373">
        <f>Transportation!$M$62</f>
        <v>46710897.385044277</v>
      </c>
      <c r="N45" s="41"/>
      <c r="O45" s="41"/>
    </row>
    <row r="46" spans="1:15" ht="16" thickBot="1">
      <c r="A46" s="1333">
        <v>2024</v>
      </c>
      <c r="B46" s="1373">
        <f>B10/'Basic Parameters and Results'!$F$62*'Advanced Parameters'!$D$23</f>
        <v>12411955.246690273</v>
      </c>
      <c r="C46" s="1373">
        <f>C10/'Basic Parameters and Results'!$F$62*'Advanced Parameters'!$D$23</f>
        <v>5227384.0642904779</v>
      </c>
      <c r="D46" s="1373">
        <f>D10/'Basic Parameters and Results'!$F$62*'Advanced Parameters'!$D$23</f>
        <v>2739180.5222002687</v>
      </c>
      <c r="E46" s="1373">
        <f>E10/'Basic Parameters and Results'!$F$62*'Advanced Parameters'!$D$23</f>
        <v>15831314.23613145</v>
      </c>
      <c r="F46" s="1373">
        <f>F10/'Basic Parameters and Results'!$F$62*'Advanced Parameters'!$D$23</f>
        <v>3008519.1954272063</v>
      </c>
      <c r="G46" s="1373">
        <f>G10/'Basic Parameters and Results'!$F$62*'Advanced Parameters'!$D$23</f>
        <v>3055122.8086516168</v>
      </c>
      <c r="H46" s="1373">
        <f>H10/'Basic Parameters and Results'!$F$62*'Advanced Parameters'!$D$23</f>
        <v>404113.83252126549</v>
      </c>
      <c r="I46" s="1373">
        <f>I10/'Basic Parameters and Results'!$F$62*'Advanced Parameters'!$D$23</f>
        <v>4225081.400685343</v>
      </c>
      <c r="J46" s="1373">
        <f>J10/'Basic Parameters and Results'!$F$62*'Advanced Parameters'!$D$23</f>
        <v>356380.49830854096</v>
      </c>
      <c r="K46" s="1373">
        <f>Transportation!$N$61</f>
        <v>39906252.221083738</v>
      </c>
      <c r="L46" s="1373">
        <f>Transportation!$N$62</f>
        <v>46711441.802865691</v>
      </c>
      <c r="N46" s="41" t="s">
        <v>4030</v>
      </c>
      <c r="O46" s="41"/>
    </row>
    <row r="47" spans="1:15" ht="16" thickBot="1">
      <c r="A47" s="1333">
        <v>2025</v>
      </c>
      <c r="B47" s="1373">
        <f>B11/'Basic Parameters and Results'!$F$62*'Advanced Parameters'!$D$23</f>
        <v>12796761.848251965</v>
      </c>
      <c r="C47" s="1373">
        <f>C11/'Basic Parameters and Results'!$F$62*'Advanced Parameters'!$D$23</f>
        <v>5792394.3227741253</v>
      </c>
      <c r="D47" s="1373">
        <f>D11/'Basic Parameters and Results'!$F$62*'Advanced Parameters'!$D$23</f>
        <v>2807178.2163314829</v>
      </c>
      <c r="E47" s="1373">
        <f>E11/'Basic Parameters and Results'!$F$62*'Advanced Parameters'!$D$23</f>
        <v>16707855.035666857</v>
      </c>
      <c r="F47" s="1373">
        <f>F11/'Basic Parameters and Results'!$F$62*'Advanced Parameters'!$D$23</f>
        <v>3175093.4786259313</v>
      </c>
      <c r="G47" s="1373">
        <f>G11/'Basic Parameters and Results'!$F$62*'Advanced Parameters'!$D$23</f>
        <v>3224277.418902643</v>
      </c>
      <c r="H47" s="1373">
        <f>H11/'Basic Parameters and Results'!$F$62*'Advanced Parameters'!$D$23</f>
        <v>404113.83252126526</v>
      </c>
      <c r="I47" s="1373">
        <f>I11/'Basic Parameters and Results'!$F$62*'Advanced Parameters'!$D$23</f>
        <v>4445859.7411543531</v>
      </c>
      <c r="J47" s="1373">
        <f>J11/'Basic Parameters and Results'!$F$62*'Advanced Parameters'!$D$23</f>
        <v>475173.99774472124</v>
      </c>
      <c r="K47" s="1373">
        <f>Transportation!$O$61</f>
        <v>39994546.549649291</v>
      </c>
      <c r="L47" s="1373">
        <f>Transportation!$O$62</f>
        <v>46611807.91971226</v>
      </c>
      <c r="N47" s="1373">
        <f>SUM(K69:L69)-SUM(K52:L52)</f>
        <v>33371258.769748062</v>
      </c>
      <c r="O47" s="41"/>
    </row>
    <row r="48" spans="1:15" ht="16" thickBot="1">
      <c r="A48" s="1333">
        <v>2026</v>
      </c>
      <c r="B48" s="1373">
        <f>B12/'Basic Parameters and Results'!$F$62*'Advanced Parameters'!$D$23</f>
        <v>13239524.118595384</v>
      </c>
      <c r="C48" s="1373">
        <f>C12/'Basic Parameters and Results'!$F$62*'Advanced Parameters'!$D$23</f>
        <v>6395705.1042402694</v>
      </c>
      <c r="D48" s="1373">
        <f>D12/'Basic Parameters and Results'!$F$62*'Advanced Parameters'!$D$23</f>
        <v>2887621.33522001</v>
      </c>
      <c r="E48" s="1373">
        <f>E12/'Basic Parameters and Results'!$F$62*'Advanced Parameters'!$D$23</f>
        <v>17674285.274093404</v>
      </c>
      <c r="F48" s="1373">
        <f>F12/'Basic Parameters and Results'!$F$62*'Advanced Parameters'!$D$23</f>
        <v>3358749.9887539269</v>
      </c>
      <c r="G48" s="1373">
        <f>G12/'Basic Parameters and Results'!$F$62*'Advanced Parameters'!$D$23</f>
        <v>3410778.869151732</v>
      </c>
      <c r="H48" s="1373">
        <f>H12/'Basic Parameters and Results'!$F$62*'Advanced Parameters'!$D$23</f>
        <v>404113.83252126526</v>
      </c>
      <c r="I48" s="1373">
        <f>I12/'Basic Parameters and Results'!$F$62*'Advanced Parameters'!$D$23</f>
        <v>4689707.0737350229</v>
      </c>
      <c r="J48" s="1373">
        <f>J12/'Basic Parameters and Results'!$F$62*'Advanced Parameters'!$D$23</f>
        <v>610937.99710035603</v>
      </c>
      <c r="K48" s="1373">
        <f>Transportation!$P$61</f>
        <v>40067562.10481669</v>
      </c>
      <c r="L48" s="1373">
        <f>Transportation!$P$62</f>
        <v>46412540.18049486</v>
      </c>
      <c r="N48" s="41"/>
      <c r="O48" s="41"/>
    </row>
    <row r="49" spans="1:14" ht="16" thickBot="1">
      <c r="A49" s="1333">
        <v>2027</v>
      </c>
      <c r="B49" s="1373">
        <f>B13/'Basic Parameters and Results'!$F$62*'Advanced Parameters'!$D$23</f>
        <v>13673595.124298094</v>
      </c>
      <c r="C49" s="1373">
        <f>C13/'Basic Parameters and Results'!$F$62*'Advanced Parameters'!$D$23</f>
        <v>7007710.4700280298</v>
      </c>
      <c r="D49" s="1373">
        <f>D13/'Basic Parameters and Results'!$F$62*'Advanced Parameters'!$D$23</f>
        <v>2965878.6040665186</v>
      </c>
      <c r="E49" s="1373">
        <f>E13/'Basic Parameters and Results'!$F$62*'Advanced Parameters'!$D$23</f>
        <v>18640605.91202822</v>
      </c>
      <c r="F49" s="1373">
        <f>F13/'Basic Parameters and Results'!$F$62*'Advanced Parameters'!$D$23</f>
        <v>3542385.6708459002</v>
      </c>
      <c r="G49" s="1373">
        <f>G13/'Basic Parameters and Results'!$F$62*'Advanced Parameters'!$D$23</f>
        <v>3597259.1687270906</v>
      </c>
      <c r="H49" s="1373">
        <f>H13/'Basic Parameters and Results'!$F$62*'Advanced Parameters'!$D$23</f>
        <v>404113.83252126526</v>
      </c>
      <c r="I49" s="1373">
        <f>I13/'Basic Parameters and Results'!$F$62*'Advanced Parameters'!$D$23</f>
        <v>4933323.3294689981</v>
      </c>
      <c r="J49" s="1373">
        <f>J13/'Basic Parameters and Results'!$F$62*'Advanced Parameters'!$D$23</f>
        <v>763672.49637544493</v>
      </c>
      <c r="K49" s="1373">
        <f>Transportation!$Q$61</f>
        <v>40124712.371465743</v>
      </c>
      <c r="L49" s="1373">
        <f>Transportation!$Q$62</f>
        <v>46114130.904655851</v>
      </c>
    </row>
    <row r="50" spans="1:14" ht="16" thickBot="1">
      <c r="A50" s="1333">
        <v>2028</v>
      </c>
      <c r="B50" s="1373">
        <f>B14/'Basic Parameters and Results'!$F$62*'Advanced Parameters'!$D$23</f>
        <v>14068126.405195011</v>
      </c>
      <c r="C50" s="1373">
        <f>C14/'Basic Parameters and Results'!$F$62*'Advanced Parameters'!$D$23</f>
        <v>7610280.2785250535</v>
      </c>
      <c r="D50" s="1373">
        <f>D14/'Basic Parameters and Results'!$F$62*'Advanced Parameters'!$D$23</f>
        <v>3035365.4155803854</v>
      </c>
      <c r="E50" s="1373">
        <f>E14/'Basic Parameters and Results'!$F$62*'Advanced Parameters'!$D$23</f>
        <v>19561152.950564671</v>
      </c>
      <c r="F50" s="1373">
        <f>F14/'Basic Parameters and Results'!$F$62*'Advanced Parameters'!$D$23</f>
        <v>3717322.7224653945</v>
      </c>
      <c r="G50" s="1373">
        <f>G14/'Basic Parameters and Results'!$F$62*'Advanced Parameters'!$D$23</f>
        <v>3774906.0912706885</v>
      </c>
      <c r="H50" s="1373">
        <f>H14/'Basic Parameters and Results'!$F$62*'Advanced Parameters'!$D$23</f>
        <v>404113.83252126526</v>
      </c>
      <c r="I50" s="1373">
        <f>I14/'Basic Parameters and Results'!$F$62*'Advanced Parameters'!$D$23</f>
        <v>5164955.5019161263</v>
      </c>
      <c r="J50" s="1373">
        <f>J14/'Basic Parameters and Results'!$F$62*'Advanced Parameters'!$D$23</f>
        <v>933377.49556998815</v>
      </c>
      <c r="K50" s="1373">
        <f>Transportation!$R$61</f>
        <v>40165400.287210897</v>
      </c>
      <c r="L50" s="1373">
        <f>Transportation!$R$62</f>
        <v>45717018.173113585</v>
      </c>
    </row>
    <row r="51" spans="1:14" ht="16" thickBot="1">
      <c r="A51" s="1333">
        <v>2029</v>
      </c>
      <c r="B51" s="1373">
        <f>B15/'Basic Parameters and Results'!$F$62*'Advanced Parameters'!$D$23</f>
        <v>14472783.390361402</v>
      </c>
      <c r="C51" s="1373">
        <f>C15/'Basic Parameters and Results'!$F$62*'Advanced Parameters'!$D$23</f>
        <v>8229328.4583604345</v>
      </c>
      <c r="D51" s="1373">
        <f>D15/'Basic Parameters and Results'!$F$62*'Advanced Parameters'!$D$23</f>
        <v>3107508.0985976132</v>
      </c>
      <c r="E51" s="1373">
        <f>E15/'Basic Parameters and Results'!$F$62*'Advanced Parameters'!$D$23</f>
        <v>20507200.571849354</v>
      </c>
      <c r="F51" s="1373">
        <f>F15/'Basic Parameters and Results'!$F$62*'Advanced Parameters'!$D$23</f>
        <v>3897105.8021245301</v>
      </c>
      <c r="G51" s="1373">
        <f>G15/'Basic Parameters and Results'!$F$62*'Advanced Parameters'!$D$23</f>
        <v>3957474.1094874577</v>
      </c>
      <c r="H51" s="1373">
        <f>H15/'Basic Parameters and Results'!$F$62*'Advanced Parameters'!$D$23</f>
        <v>404113.83252126526</v>
      </c>
      <c r="I51" s="1373">
        <f>I15/'Basic Parameters and Results'!$F$62*'Advanced Parameters'!$D$23</f>
        <v>5402975.9120669048</v>
      </c>
      <c r="J51" s="1373">
        <f>J15/'Basic Parameters and Results'!$F$62*'Advanced Parameters'!$D$23</f>
        <v>1120052.9946839858</v>
      </c>
      <c r="K51" s="1373">
        <f>Transportation!$S$61</f>
        <v>40189018.425577462</v>
      </c>
      <c r="L51" s="1373">
        <f>Transportation!$S$62</f>
        <v>45317358.519382536</v>
      </c>
    </row>
    <row r="52" spans="1:14" ht="16" thickBot="1">
      <c r="A52" s="1333">
        <v>2030</v>
      </c>
      <c r="B52" s="1373">
        <f>B16/'Basic Parameters and Results'!$F$62*'Advanced Parameters'!$D$23</f>
        <v>14885422.084024174</v>
      </c>
      <c r="C52" s="1373">
        <f>C16/'Basic Parameters and Results'!$F$62*'Advanced Parameters'!$D$23</f>
        <v>8908861.2396456096</v>
      </c>
      <c r="D52" s="1373">
        <f>D16/'Basic Parameters and Results'!$F$62*'Advanced Parameters'!$D$23</f>
        <v>3197900.0765096103</v>
      </c>
      <c r="E52" s="1373">
        <f>E16/'Basic Parameters and Results'!$F$62*'Advanced Parameters'!$D$23</f>
        <v>21535440.082563125</v>
      </c>
      <c r="F52" s="1373">
        <f>F16/'Basic Parameters and Results'!$F$62*'Advanced Parameters'!$D$23</f>
        <v>4092508.2974157226</v>
      </c>
      <c r="G52" s="1373">
        <f>G16/'Basic Parameters and Results'!$F$62*'Advanced Parameters'!$D$23</f>
        <v>4155903.4966553845</v>
      </c>
      <c r="H52" s="1373">
        <f>H16/'Basic Parameters and Results'!$F$62*'Advanced Parameters'!$D$23</f>
        <v>404113.83252126526</v>
      </c>
      <c r="I52" s="1373">
        <f>I16/'Basic Parameters and Results'!$F$62*'Advanced Parameters'!$D$23</f>
        <v>5660834.7618241552</v>
      </c>
      <c r="J52" s="1373">
        <f>J16/'Basic Parameters and Results'!$F$62*'Advanced Parameters'!$D$23</f>
        <v>1323698.9937174376</v>
      </c>
      <c r="K52" s="1373">
        <f>Transportation!$T$61</f>
        <v>40194949.207238577</v>
      </c>
      <c r="L52" s="1373">
        <f>Transportation!$T$62</f>
        <v>44913858.191214077</v>
      </c>
      <c r="N52" s="1373"/>
    </row>
    <row r="54" spans="1:14" s="41" customFormat="1">
      <c r="E54" s="43" t="s">
        <v>3977</v>
      </c>
    </row>
    <row r="55" spans="1:14" s="41" customFormat="1" ht="16" thickBot="1">
      <c r="A55" s="1327" t="s">
        <v>3</v>
      </c>
      <c r="B55" s="41" t="s">
        <v>3843</v>
      </c>
      <c r="C55" s="41" t="s">
        <v>3844</v>
      </c>
      <c r="D55" s="41" t="s">
        <v>3704</v>
      </c>
      <c r="E55" s="41" t="s">
        <v>3845</v>
      </c>
      <c r="F55" s="41" t="s">
        <v>3846</v>
      </c>
      <c r="G55" s="41" t="s">
        <v>3842</v>
      </c>
      <c r="H55" s="41" t="s">
        <v>3757</v>
      </c>
      <c r="I55" s="41" t="s">
        <v>3749</v>
      </c>
      <c r="J55" s="41" t="s">
        <v>359</v>
      </c>
      <c r="K55" s="41" t="s">
        <v>14</v>
      </c>
      <c r="L55" s="41" t="s">
        <v>13</v>
      </c>
      <c r="M55" s="41" t="s">
        <v>4025</v>
      </c>
      <c r="N55" s="41" t="s">
        <v>3993</v>
      </c>
    </row>
    <row r="56" spans="1:14" s="41" customFormat="1" ht="16" thickBot="1">
      <c r="A56" s="1333">
        <v>2017</v>
      </c>
      <c r="B56" s="1373">
        <f>B20/'Basic Parameters and Results'!$F$62*'Advanced Parameters'!$D$23</f>
        <v>12895199.106538439</v>
      </c>
      <c r="C56" s="1373">
        <f>C20/'Basic Parameters and Results'!$F$62*'Advanced Parameters'!$D$23</f>
        <v>2527253.9415472979</v>
      </c>
      <c r="D56" s="1373">
        <f>D20/'Basic Parameters and Results'!$F$62*'Advanced Parameters'!$D$23</f>
        <v>5195410.6649099588</v>
      </c>
      <c r="E56" s="1373">
        <f>E20/'Basic Parameters and Results'!$F$62*'Advanced Parameters'!$D$23</f>
        <v>17638565.30012108</v>
      </c>
      <c r="F56" s="1373">
        <f>F20/'Basic Parameters and Results'!$F$62*'Advanced Parameters'!$D$23</f>
        <v>4164661.2514174781</v>
      </c>
      <c r="G56" s="1373">
        <f>G20/'Basic Parameters and Results'!$F$62*'Advanced Parameters'!$D$23</f>
        <v>2694780.8097407212</v>
      </c>
      <c r="H56" s="1373">
        <f>H20/'Basic Parameters and Results'!$F$62*'Advanced Parameters'!$D$23</f>
        <v>1520328.2313022595</v>
      </c>
      <c r="I56" s="1373">
        <f>I20/'Basic Parameters and Results'!$F$62*'Advanced Parameters'!$D$23</f>
        <v>6103155.8756739721</v>
      </c>
      <c r="J56" s="1373">
        <v>0</v>
      </c>
      <c r="K56" s="1373">
        <f>Transportation!G$24</f>
        <v>37992917.421876401</v>
      </c>
      <c r="L56" s="1373">
        <f>Transportation!G$25</f>
        <v>43918202.819031596</v>
      </c>
      <c r="M56" s="1373">
        <f>SUM(B56:I56)</f>
        <v>52739355.181251213</v>
      </c>
      <c r="N56" s="1373">
        <f>SUM(K56:L56)</f>
        <v>81911120.240907997</v>
      </c>
    </row>
    <row r="57" spans="1:14" s="41" customFormat="1" ht="16" thickBot="1">
      <c r="A57" s="1333">
        <v>2018</v>
      </c>
      <c r="B57" s="1373">
        <f>B21/'Basic Parameters and Results'!$F$62*'Advanced Parameters'!$D$23</f>
        <v>13337653.041040059</v>
      </c>
      <c r="C57" s="1373">
        <f>C21/'Basic Parameters and Results'!$F$62*'Advanced Parameters'!$D$23</f>
        <v>3316852.8548550927</v>
      </c>
      <c r="D57" s="1373">
        <f>D21/'Basic Parameters and Results'!$F$62*'Advanced Parameters'!$D$23</f>
        <v>5133332.9277102221</v>
      </c>
      <c r="E57" s="1373">
        <f>E21/'Basic Parameters and Results'!$F$62*'Advanced Parameters'!$D$23</f>
        <v>18757080.412704635</v>
      </c>
      <c r="F57" s="1373">
        <f>F21/'Basic Parameters and Results'!$F$62*'Advanced Parameters'!$D$23</f>
        <v>4428755.0974441506</v>
      </c>
      <c r="G57" s="1373">
        <f>G21/'Basic Parameters and Results'!$F$62*'Advanced Parameters'!$D$23</f>
        <v>2865665.0630520973</v>
      </c>
      <c r="H57" s="1373">
        <f>H21/'Basic Parameters and Results'!$F$62*'Advanced Parameters'!$D$23</f>
        <v>1443263.6875759475</v>
      </c>
      <c r="I57" s="1373">
        <f>I21/'Basic Parameters and Results'!$F$62*'Advanced Parameters'!$D$23</f>
        <v>5817559.9940354535</v>
      </c>
      <c r="J57" s="1373">
        <v>0</v>
      </c>
      <c r="K57" s="1373">
        <f>Transportation!H$24</f>
        <v>39087113.443626441</v>
      </c>
      <c r="L57" s="1373">
        <f>Transportation!H$25</f>
        <v>45183047.060219705</v>
      </c>
      <c r="M57" s="1373">
        <f t="shared" ref="M57:M69" si="0">SUM(B57:I57)</f>
        <v>55100163.078417644</v>
      </c>
      <c r="N57" s="1373">
        <f t="shared" ref="N57:N69" si="1">SUM(K57:L57)</f>
        <v>84270160.503846139</v>
      </c>
    </row>
    <row r="58" spans="1:14" s="41" customFormat="1" ht="16" thickBot="1">
      <c r="A58" s="1333">
        <v>2019</v>
      </c>
      <c r="B58" s="1373">
        <f>B22/'Basic Parameters and Results'!$F$62*'Advanced Parameters'!$D$23</f>
        <v>13466018.98233464</v>
      </c>
      <c r="C58" s="1373">
        <f>C22/'Basic Parameters and Results'!$F$62*'Advanced Parameters'!$D$23</f>
        <v>3984162.9470092468</v>
      </c>
      <c r="D58" s="1373">
        <f>D22/'Basic Parameters and Results'!$F$62*'Advanced Parameters'!$D$23</f>
        <v>4965877.2678459994</v>
      </c>
      <c r="E58" s="1373">
        <f>E22/'Basic Parameters and Results'!$F$62*'Advanced Parameters'!$D$23</f>
        <v>19327875.674917746</v>
      </c>
      <c r="F58" s="1373">
        <f>F22/'Basic Parameters and Results'!$F$62*'Advanced Parameters'!$D$23</f>
        <v>4563526.2010222469</v>
      </c>
      <c r="G58" s="1373">
        <f>G22/'Basic Parameters and Results'!$F$62*'Advanced Parameters'!$D$23</f>
        <v>2952869.8947791005</v>
      </c>
      <c r="H58" s="1373">
        <f>H22/'Basic Parameters and Results'!$F$62*'Advanced Parameters'!$D$23</f>
        <v>1443263.6875759475</v>
      </c>
      <c r="I58" s="1373">
        <f>I22/'Basic Parameters and Results'!$F$62*'Advanced Parameters'!$D$23</f>
        <v>5335156.4746509306</v>
      </c>
      <c r="J58" s="1373">
        <v>0</v>
      </c>
      <c r="K58" s="1373">
        <f>Transportation!I$24</f>
        <v>40212822.310802884</v>
      </c>
      <c r="L58" s="1373">
        <f>Transportation!I$25</f>
        <v>46484318.81555403</v>
      </c>
      <c r="M58" s="1373">
        <f t="shared" si="0"/>
        <v>56038751.130135864</v>
      </c>
      <c r="N58" s="1373">
        <f t="shared" si="1"/>
        <v>86697141.126356915</v>
      </c>
    </row>
    <row r="59" spans="1:14" s="41" customFormat="1" ht="16" thickBot="1">
      <c r="A59" s="1333">
        <v>2020</v>
      </c>
      <c r="B59" s="1373">
        <f>B23/'Basic Parameters and Results'!$F$62*'Advanced Parameters'!$D$23</f>
        <v>13740520.872215319</v>
      </c>
      <c r="C59" s="1373">
        <f>C23/'Basic Parameters and Results'!$F$62*'Advanced Parameters'!$D$23</f>
        <v>4649176.1525788475</v>
      </c>
      <c r="D59" s="1373">
        <f>D23/'Basic Parameters and Results'!$F$62*'Advanced Parameters'!$D$23</f>
        <v>4868242.5032967692</v>
      </c>
      <c r="E59" s="1373">
        <f>E23/'Basic Parameters and Results'!$F$62*'Advanced Parameters'!$D$23</f>
        <v>20092800.412214696</v>
      </c>
      <c r="F59" s="1373">
        <f>F23/'Basic Parameters and Results'!$F$62*'Advanced Parameters'!$D$23</f>
        <v>4744133.430661804</v>
      </c>
      <c r="G59" s="1373">
        <f>G23/'Basic Parameters and Results'!$F$62*'Advanced Parameters'!$D$23</f>
        <v>3069733.3963105795</v>
      </c>
      <c r="H59" s="1373">
        <f>H23/'Basic Parameters and Results'!$F$62*'Advanced Parameters'!$D$23</f>
        <v>1443263.6875759475</v>
      </c>
      <c r="I59" s="1373">
        <f>I23/'Basic Parameters and Results'!$F$62*'Advanced Parameters'!$D$23</f>
        <v>5208179.1750305425</v>
      </c>
      <c r="J59" s="1373">
        <v>0</v>
      </c>
      <c r="K59" s="1373">
        <f>Transportation!J$24</f>
        <v>41370951.593354009</v>
      </c>
      <c r="L59" s="1373">
        <f>Transportation!J$25</f>
        <v>47823067.197441988</v>
      </c>
      <c r="M59" s="1373">
        <f t="shared" si="0"/>
        <v>57816049.629884511</v>
      </c>
      <c r="N59" s="1373">
        <f t="shared" si="1"/>
        <v>89194018.790795997</v>
      </c>
    </row>
    <row r="60" spans="1:14" s="41" customFormat="1" ht="16" thickBot="1">
      <c r="A60" s="1333">
        <v>2021</v>
      </c>
      <c r="B60" s="1373">
        <f>B24/'Basic Parameters and Results'!$F$62*'Advanced Parameters'!$D$23</f>
        <v>14101148.515517572</v>
      </c>
      <c r="C60" s="1373">
        <f>C24/'Basic Parameters and Results'!$F$62*'Advanced Parameters'!$D$23</f>
        <v>5361943.7434671428</v>
      </c>
      <c r="D60" s="1373">
        <f>D24/'Basic Parameters and Results'!$F$62*'Advanced Parameters'!$D$23</f>
        <v>4855618.2156125335</v>
      </c>
      <c r="E60" s="1373">
        <f>E24/'Basic Parameters and Results'!$F$62*'Advanced Parameters'!$D$23</f>
        <v>21056607.152681172</v>
      </c>
      <c r="F60" s="1373">
        <f>F24/'Basic Parameters and Results'!$F$62*'Advanced Parameters'!$D$23</f>
        <v>4971698.9110497218</v>
      </c>
      <c r="G60" s="1373">
        <f>G24/'Basic Parameters and Results'!$F$62*'Advanced Parameters'!$D$23</f>
        <v>3216981.6483262903</v>
      </c>
      <c r="H60" s="1373">
        <f>H24/'Basic Parameters and Results'!$F$62*'Advanced Parameters'!$D$23</f>
        <v>1443263.6875759475</v>
      </c>
      <c r="I60" s="1373">
        <f>I24/'Basic Parameters and Results'!$F$62*'Advanced Parameters'!$D$23</f>
        <v>5445718.9255488086</v>
      </c>
      <c r="J60" s="1373">
        <v>0</v>
      </c>
      <c r="K60" s="1373">
        <f>Transportation!K$24</f>
        <v>42562434.999242604</v>
      </c>
      <c r="L60" s="1373">
        <f>Transportation!K$25</f>
        <v>49200371.532728322</v>
      </c>
      <c r="M60" s="1373">
        <f t="shared" si="0"/>
        <v>60452980.799779192</v>
      </c>
      <c r="N60" s="1373">
        <f t="shared" si="1"/>
        <v>91762806.531970918</v>
      </c>
    </row>
    <row r="61" spans="1:14" s="41" customFormat="1" ht="16" thickBot="1">
      <c r="A61" s="1333">
        <v>2022</v>
      </c>
      <c r="B61" s="1373">
        <f>B25/'Basic Parameters and Results'!$F$62*'Advanced Parameters'!$D$23</f>
        <v>14403077.783892479</v>
      </c>
      <c r="C61" s="1373">
        <f>C25/'Basic Parameters and Results'!$F$62*'Advanced Parameters'!$D$23</f>
        <v>6125391.7613418652</v>
      </c>
      <c r="D61" s="1373">
        <f>D25/'Basic Parameters and Results'!$F$62*'Advanced Parameters'!$D$23</f>
        <v>4899568.1653070059</v>
      </c>
      <c r="E61" s="1373">
        <f>E25/'Basic Parameters and Results'!$F$62*'Advanced Parameters'!$D$23</f>
        <v>22064531.691816926</v>
      </c>
      <c r="F61" s="1373">
        <f>F25/'Basic Parameters and Results'!$F$62*'Advanced Parameters'!$D$23</f>
        <v>5209681.0939012188</v>
      </c>
      <c r="G61" s="1373">
        <f>G25/'Basic Parameters and Results'!$F$62*'Advanced Parameters'!$D$23</f>
        <v>3370970.1195831415</v>
      </c>
      <c r="H61" s="1373">
        <f>H25/'Basic Parameters and Results'!$F$62*'Advanced Parameters'!$D$23</f>
        <v>1443263.6875759475</v>
      </c>
      <c r="I61" s="1373">
        <f>I25/'Basic Parameters and Results'!$F$62*'Advanced Parameters'!$D$23</f>
        <v>5694131.9460384399</v>
      </c>
      <c r="J61" s="1373">
        <v>0</v>
      </c>
      <c r="K61" s="1373">
        <f>Transportation!L$24</f>
        <v>43788233.127220787</v>
      </c>
      <c r="L61" s="1373">
        <f>Transportation!L$25</f>
        <v>50617342.232870899</v>
      </c>
      <c r="M61" s="1373">
        <f t="shared" si="0"/>
        <v>63210616.249457031</v>
      </c>
      <c r="N61" s="1373">
        <f t="shared" si="1"/>
        <v>94405575.360091686</v>
      </c>
    </row>
    <row r="62" spans="1:14" s="41" customFormat="1" ht="16" thickBot="1">
      <c r="A62" s="1333">
        <v>2023</v>
      </c>
      <c r="B62" s="1373">
        <f>B26/'Basic Parameters and Results'!$F$62*'Advanced Parameters'!$D$23</f>
        <v>14768355.5581409</v>
      </c>
      <c r="C62" s="1373">
        <f>C26/'Basic Parameters and Results'!$F$62*'Advanced Parameters'!$D$23</f>
        <v>6942009.288425006</v>
      </c>
      <c r="D62" s="1373">
        <f>D26/'Basic Parameters and Results'!$F$62*'Advanced Parameters'!$D$23</f>
        <v>4984217.8327528723</v>
      </c>
      <c r="E62" s="1373">
        <f>E26/'Basic Parameters and Results'!$F$62*'Advanced Parameters'!$D$23</f>
        <v>23215302.819204986</v>
      </c>
      <c r="F62" s="1373">
        <f>F26/'Basic Parameters and Results'!$F$62*'Advanced Parameters'!$D$23</f>
        <v>5481390.9434233997</v>
      </c>
      <c r="G62" s="1373">
        <f>G26/'Basic Parameters and Results'!$F$62*'Advanced Parameters'!$D$23</f>
        <v>3546782.3751563178</v>
      </c>
      <c r="H62" s="1373">
        <f>H26/'Basic Parameters and Results'!$F$62*'Advanced Parameters'!$D$23</f>
        <v>1443263.6875759475</v>
      </c>
      <c r="I62" s="1373">
        <f>I26/'Basic Parameters and Results'!$F$62*'Advanced Parameters'!$D$23</f>
        <v>5977750.9279632643</v>
      </c>
      <c r="J62" s="1373">
        <v>0</v>
      </c>
      <c r="K62" s="1373">
        <f>Transportation!M$24</f>
        <v>45049334.24128475</v>
      </c>
      <c r="L62" s="1373">
        <f>Transportation!M$25</f>
        <v>52075121.689177588</v>
      </c>
      <c r="M62" s="1373">
        <f t="shared" si="0"/>
        <v>66359073.432642691</v>
      </c>
      <c r="N62" s="1373">
        <f t="shared" si="1"/>
        <v>97124455.930462331</v>
      </c>
    </row>
    <row r="63" spans="1:14" s="41" customFormat="1" ht="16" thickBot="1">
      <c r="A63" s="1333">
        <v>2024</v>
      </c>
      <c r="B63" s="1373">
        <f>B27/'Basic Parameters and Results'!$F$62*'Advanced Parameters'!$D$23</f>
        <v>15169562.084691416</v>
      </c>
      <c r="C63" s="1373">
        <f>C27/'Basic Parameters and Results'!$F$62*'Advanced Parameters'!$D$23</f>
        <v>7798677.1469083875</v>
      </c>
      <c r="D63" s="1373">
        <f>D27/'Basic Parameters and Results'!$F$62*'Advanced Parameters'!$D$23</f>
        <v>5090005.6983778412</v>
      </c>
      <c r="E63" s="1373">
        <f>E27/'Basic Parameters and Results'!$F$62*'Advanced Parameters'!$D$23</f>
        <v>24454313.817039553</v>
      </c>
      <c r="F63" s="1373">
        <f>F27/'Basic Parameters and Results'!$F$62*'Advanced Parameters'!$D$23</f>
        <v>5773935.2068010066</v>
      </c>
      <c r="G63" s="1373">
        <f>G27/'Basic Parameters and Results'!$F$62*'Advanced Parameters'!$D$23</f>
        <v>3736075.7220477094</v>
      </c>
      <c r="H63" s="1373">
        <f>H27/'Basic Parameters and Results'!$F$62*'Advanced Parameters'!$D$23</f>
        <v>1443263.6875759475</v>
      </c>
      <c r="I63" s="1373">
        <f>I27/'Basic Parameters and Results'!$F$62*'Advanced Parameters'!$D$23</f>
        <v>6283117.5029807445</v>
      </c>
      <c r="J63" s="1373">
        <v>0</v>
      </c>
      <c r="K63" s="1373">
        <f>Transportation!N$24</f>
        <v>46346755.067433752</v>
      </c>
      <c r="L63" s="1373">
        <f>Transportation!N$25</f>
        <v>53574885.193825901</v>
      </c>
      <c r="M63" s="1373">
        <f t="shared" si="0"/>
        <v>69748950.866422594</v>
      </c>
      <c r="N63" s="1373">
        <f t="shared" si="1"/>
        <v>99921640.261259645</v>
      </c>
    </row>
    <row r="64" spans="1:14" s="41" customFormat="1" ht="16" thickBot="1">
      <c r="A64" s="1333">
        <v>2025</v>
      </c>
      <c r="B64" s="1373">
        <f>B28/'Basic Parameters and Results'!$F$62*'Advanced Parameters'!$D$23</f>
        <v>15629547.91624957</v>
      </c>
      <c r="C64" s="1373">
        <f>C28/'Basic Parameters and Results'!$F$62*'Advanced Parameters'!$D$23</f>
        <v>8702528.7632966209</v>
      </c>
      <c r="D64" s="1373">
        <f>D28/'Basic Parameters and Results'!$F$62*'Advanced Parameters'!$D$23</f>
        <v>5216360.5142796515</v>
      </c>
      <c r="E64" s="1373">
        <f>E28/'Basic Parameters and Results'!$F$62*'Advanced Parameters'!$D$23</f>
        <v>25808288.822876811</v>
      </c>
      <c r="F64" s="1373">
        <f>F28/'Basic Parameters and Results'!$F$62*'Advanced Parameters'!$D$23</f>
        <v>6093623.7498459145</v>
      </c>
      <c r="G64" s="1373">
        <f>G28/'Basic Parameters and Results'!$F$62*'Advanced Parameters'!$D$23</f>
        <v>3942933.0146061797</v>
      </c>
      <c r="H64" s="1373">
        <f>H28/'Basic Parameters and Results'!$F$62*'Advanced Parameters'!$D$23</f>
        <v>1443263.6875759475</v>
      </c>
      <c r="I64" s="1373">
        <f>I28/'Basic Parameters and Results'!$F$62*'Advanced Parameters'!$D$23</f>
        <v>6616818.100404338</v>
      </c>
      <c r="J64" s="1373">
        <v>0</v>
      </c>
      <c r="K64" s="1373">
        <f>Transportation!O$24</f>
        <v>47681541.613375843</v>
      </c>
      <c r="L64" s="1373">
        <f>Transportation!O$25</f>
        <v>55117841.887408085</v>
      </c>
      <c r="M64" s="1373">
        <f t="shared" si="0"/>
        <v>73453364.569135025</v>
      </c>
      <c r="N64" s="1373">
        <f t="shared" si="1"/>
        <v>102799383.50078392</v>
      </c>
    </row>
    <row r="65" spans="1:14" s="41" customFormat="1" ht="16" thickBot="1">
      <c r="A65" s="1333">
        <v>2026</v>
      </c>
      <c r="B65" s="1373">
        <f>B29/'Basic Parameters and Results'!$F$62*'Advanced Parameters'!$D$23</f>
        <v>16159958.983291157</v>
      </c>
      <c r="C65" s="1373">
        <f>C29/'Basic Parameters and Results'!$F$62*'Advanced Parameters'!$D$23</f>
        <v>9665648.3037550505</v>
      </c>
      <c r="D65" s="1373">
        <f>D29/'Basic Parameters and Results'!$F$62*'Advanced Parameters'!$D$23</f>
        <v>5365841.6931283483</v>
      </c>
      <c r="E65" s="1373">
        <f>E29/'Basic Parameters and Results'!$F$62*'Advanced Parameters'!$D$23</f>
        <v>27301114.243448731</v>
      </c>
      <c r="F65" s="1373">
        <f>F29/'Basic Parameters and Results'!$F$62*'Advanced Parameters'!$D$23</f>
        <v>6446096.4185920628</v>
      </c>
      <c r="G65" s="1373">
        <f>G29/'Basic Parameters and Results'!$F$62*'Advanced Parameters'!$D$23</f>
        <v>4171003.5649713338</v>
      </c>
      <c r="H65" s="1373">
        <f>H29/'Basic Parameters and Results'!$F$62*'Advanced Parameters'!$D$23</f>
        <v>1443263.6875759475</v>
      </c>
      <c r="I65" s="1373">
        <f>I29/'Basic Parameters and Results'!$F$62*'Advanced Parameters'!$D$23</f>
        <v>6984739.7625815012</v>
      </c>
      <c r="J65" s="1373">
        <v>0</v>
      </c>
      <c r="K65" s="1373">
        <f>Transportation!P$24</f>
        <v>49054770.011841066</v>
      </c>
      <c r="L65" s="1373">
        <f>Transportation!P$25</f>
        <v>56705235.733765446</v>
      </c>
      <c r="M65" s="1373">
        <f t="shared" si="0"/>
        <v>77537666.657344133</v>
      </c>
      <c r="N65" s="1373">
        <f t="shared" si="1"/>
        <v>105760005.74560651</v>
      </c>
    </row>
    <row r="66" spans="1:14" s="41" customFormat="1" ht="16" thickBot="1">
      <c r="A66" s="1333">
        <v>2027</v>
      </c>
      <c r="B66" s="1373">
        <f>B30/'Basic Parameters and Results'!$F$62*'Advanced Parameters'!$D$23</f>
        <v>16679376.682077896</v>
      </c>
      <c r="C66" s="1373">
        <f>C30/'Basic Parameters and Results'!$F$62*'Advanced Parameters'!$D$23</f>
        <v>10643636.677305022</v>
      </c>
      <c r="D66" s="1373">
        <f>D30/'Basic Parameters and Results'!$F$62*'Advanced Parameters'!$D$23</f>
        <v>5511261.0771886054</v>
      </c>
      <c r="E66" s="1373">
        <f>E30/'Basic Parameters and Results'!$F$62*'Advanced Parameters'!$D$23</f>
        <v>28793770.366337635</v>
      </c>
      <c r="F66" s="1373">
        <f>F30/'Basic Parameters and Results'!$F$62*'Advanced Parameters'!$D$23</f>
        <v>6798529.1142741647</v>
      </c>
      <c r="G66" s="1373">
        <f>G30/'Basic Parameters and Results'!$F$62*'Advanced Parameters'!$D$23</f>
        <v>4399048.2504126951</v>
      </c>
      <c r="H66" s="1373">
        <f>H30/'Basic Parameters and Results'!$F$62*'Advanced Parameters'!$D$23</f>
        <v>1443263.6875759475</v>
      </c>
      <c r="I66" s="1373">
        <f>I30/'Basic Parameters and Results'!$F$62*'Advanced Parameters'!$D$23</f>
        <v>7352619.699662026</v>
      </c>
      <c r="J66" s="1373">
        <v>0</v>
      </c>
      <c r="K66" s="1373">
        <f>Transportation!Q$24</f>
        <v>50467547.388182089</v>
      </c>
      <c r="L66" s="1373">
        <f>Transportation!Q$25</f>
        <v>58338346.522897892</v>
      </c>
      <c r="M66" s="1373">
        <f t="shared" si="0"/>
        <v>81621505.554833993</v>
      </c>
      <c r="N66" s="1373">
        <f t="shared" si="1"/>
        <v>108805893.91107997</v>
      </c>
    </row>
    <row r="67" spans="1:14" s="41" customFormat="1" ht="16" thickBot="1">
      <c r="A67" s="1333">
        <v>2028</v>
      </c>
      <c r="B67" s="1373">
        <f>B31/'Basic Parameters and Results'!$F$62*'Advanced Parameters'!$D$23</f>
        <v>17150227.475115396</v>
      </c>
      <c r="C67" s="1373">
        <f>C31/'Basic Parameters and Results'!$F$62*'Advanced Parameters'!$D$23</f>
        <v>11608670.487867778</v>
      </c>
      <c r="D67" s="1373">
        <f>D31/'Basic Parameters and Results'!$F$62*'Advanced Parameters'!$D$23</f>
        <v>5640383.0038747611</v>
      </c>
      <c r="E67" s="1373">
        <f>E31/'Basic Parameters and Results'!$F$62*'Advanced Parameters'!$D$23</f>
        <v>30215720.927608129</v>
      </c>
      <c r="F67" s="1373">
        <f>F31/'Basic Parameters and Results'!$F$62*'Advanced Parameters'!$D$23</f>
        <v>7134267.4412408099</v>
      </c>
      <c r="G67" s="1373">
        <f>G31/'Basic Parameters and Results'!$F$62*'Advanced Parameters'!$D$23</f>
        <v>4616290.6972734649</v>
      </c>
      <c r="H67" s="1373">
        <f>H31/'Basic Parameters and Results'!$F$62*'Advanced Parameters'!$D$23</f>
        <v>1443263.6875759475</v>
      </c>
      <c r="I67" s="1373">
        <f>I31/'Basic Parameters and Results'!$F$62*'Advanced Parameters'!$D$23</f>
        <v>7703073.5483350735</v>
      </c>
      <c r="J67" s="1373">
        <v>0</v>
      </c>
      <c r="K67" s="1373">
        <f>Transportation!R$24</f>
        <v>51921012.752961732</v>
      </c>
      <c r="L67" s="1373">
        <f>Transportation!R$25</f>
        <v>60018490.902757362</v>
      </c>
      <c r="M67" s="1373">
        <f t="shared" si="0"/>
        <v>85511897.268891379</v>
      </c>
      <c r="N67" s="1373">
        <f t="shared" si="1"/>
        <v>111939503.6557191</v>
      </c>
    </row>
    <row r="68" spans="1:14" s="41" customFormat="1" ht="16" thickBot="1">
      <c r="A68" s="1333">
        <v>2029</v>
      </c>
      <c r="B68" s="1373">
        <f>B32/'Basic Parameters and Results'!$F$62*'Advanced Parameters'!$D$23</f>
        <v>17633209.693797071</v>
      </c>
      <c r="C68" s="1373">
        <f>C32/'Basic Parameters and Results'!$F$62*'Advanced Parameters'!$D$23</f>
        <v>12599990.785380531</v>
      </c>
      <c r="D68" s="1373">
        <f>D32/'Basic Parameters and Results'!$F$62*'Advanced Parameters'!$D$23</f>
        <v>5774440.1296019098</v>
      </c>
      <c r="E68" s="1373">
        <f>E32/'Basic Parameters and Results'!$F$62*'Advanced Parameters'!$D$23</f>
        <v>31677061.727979533</v>
      </c>
      <c r="F68" s="1373">
        <f>F32/'Basic Parameters and Results'!$F$62*'Advanced Parameters'!$D$23</f>
        <v>7479306.2413285011</v>
      </c>
      <c r="G68" s="1373">
        <f>G32/'Basic Parameters and Results'!$F$62*'Advanced Parameters'!$D$23</f>
        <v>4839551.0973302061</v>
      </c>
      <c r="H68" s="1373">
        <f>H32/'Basic Parameters and Results'!$F$62*'Advanced Parameters'!$D$23</f>
        <v>1443263.6875759475</v>
      </c>
      <c r="I68" s="1373">
        <f>I32/'Basic Parameters and Results'!$F$62*'Advanced Parameters'!$D$23</f>
        <v>8063235.512936376</v>
      </c>
      <c r="J68" s="1373">
        <v>0</v>
      </c>
      <c r="K68" s="1373">
        <f>Transportation!S$24</f>
        <v>53416337.920247033</v>
      </c>
      <c r="L68" s="1373">
        <f>Transportation!S$25</f>
        <v>61747023.440756768</v>
      </c>
      <c r="M68" s="1373">
        <f t="shared" si="0"/>
        <v>89510058.875930101</v>
      </c>
      <c r="N68" s="1373">
        <f t="shared" si="1"/>
        <v>115163361.3610038</v>
      </c>
    </row>
    <row r="69" spans="1:14" s="41" customFormat="1" ht="16" thickBot="1">
      <c r="A69" s="1333">
        <v>2030</v>
      </c>
      <c r="B69" s="1373">
        <f>B33/'Basic Parameters and Results'!$F$62*'Advanced Parameters'!$D$23</f>
        <v>18128068.102225538</v>
      </c>
      <c r="C69" s="1373">
        <f>C33/'Basic Parameters and Results'!$F$62*'Advanced Parameters'!$D$23</f>
        <v>13685256.698808156</v>
      </c>
      <c r="D69" s="1373">
        <f>D33/'Basic Parameters and Results'!$F$62*'Advanced Parameters'!$D$23</f>
        <v>5942408.4978532046</v>
      </c>
      <c r="E69" s="1373">
        <f>E33/'Basic Parameters and Results'!$F$62*'Advanced Parameters'!$D$23</f>
        <v>33265362.692702111</v>
      </c>
      <c r="F69" s="1373">
        <f>F33/'Basic Parameters and Results'!$F$62*'Advanced Parameters'!$D$23</f>
        <v>7854321.7468879996</v>
      </c>
      <c r="G69" s="1373">
        <f>G33/'Basic Parameters and Results'!$F$62*'Advanced Parameters'!$D$23</f>
        <v>5082208.1891628234</v>
      </c>
      <c r="H69" s="1373">
        <f>H33/'Basic Parameters and Results'!$F$62*'Advanced Parameters'!$D$23</f>
        <v>1443263.6875759475</v>
      </c>
      <c r="I69" s="1373">
        <f>I33/'Basic Parameters and Results'!$F$62*'Advanced Parameters'!$D$23</f>
        <v>8454688.0719063636</v>
      </c>
      <c r="J69" s="1373">
        <v>0</v>
      </c>
      <c r="K69" s="1373">
        <f>Transportation!T$24</f>
        <v>54954728.452350147</v>
      </c>
      <c r="L69" s="1373">
        <f>Transportation!T$25</f>
        <v>63525337.715850569</v>
      </c>
      <c r="M69" s="1373">
        <f t="shared" si="0"/>
        <v>93855577.687122136</v>
      </c>
      <c r="N69" s="1373">
        <f t="shared" si="1"/>
        <v>118480066.16820072</v>
      </c>
    </row>
    <row r="70" spans="1:14" s="41" customFormat="1"/>
    <row r="71" spans="1:14" s="41" customFormat="1">
      <c r="N71" s="1373"/>
    </row>
    <row r="72" spans="1:14" s="41" customFormat="1">
      <c r="N72" s="1373"/>
    </row>
    <row r="73" spans="1:14" s="41" customFormat="1"/>
    <row r="74" spans="1:14" s="41" customFormat="1"/>
    <row r="75" spans="1:14" s="41" customFormat="1"/>
    <row r="76" spans="1:14" s="41" customFormat="1">
      <c r="N76" s="1373"/>
    </row>
    <row r="77" spans="1:14" s="41" customFormat="1"/>
    <row r="78" spans="1:14">
      <c r="B78" t="s">
        <v>4029</v>
      </c>
      <c r="C78" s="1398"/>
      <c r="J78" t="s">
        <v>3971</v>
      </c>
    </row>
    <row r="79" spans="1:14">
      <c r="B79" s="1402" t="s">
        <v>3856</v>
      </c>
      <c r="C79" s="1403" t="s">
        <v>3691</v>
      </c>
      <c r="D79" s="1403" t="s">
        <v>3757</v>
      </c>
      <c r="E79">
        <f>H52*'Basic Parameters and Results'!$F$60</f>
        <v>282879.68276488566</v>
      </c>
      <c r="J79" s="1402" t="s">
        <v>3856</v>
      </c>
      <c r="K79" s="1403" t="s">
        <v>3691</v>
      </c>
      <c r="L79" s="1403" t="s">
        <v>3757</v>
      </c>
      <c r="M79" s="41">
        <f>H69*'Basic Parameters and Results'!$F$60</f>
        <v>1010284.5813031632</v>
      </c>
    </row>
    <row r="80" spans="1:14">
      <c r="B80" s="1404" t="s">
        <v>3856</v>
      </c>
      <c r="C80" s="1405" t="s">
        <v>3733</v>
      </c>
      <c r="D80" s="1405" t="s">
        <v>3709</v>
      </c>
      <c r="E80" s="41">
        <f>C52*'Basic Parameters and Results'!$F$60</f>
        <v>6236202.8677519262</v>
      </c>
      <c r="J80" s="1404" t="s">
        <v>3856</v>
      </c>
      <c r="K80" s="1405" t="s">
        <v>3733</v>
      </c>
      <c r="L80" s="1405" t="s">
        <v>3709</v>
      </c>
      <c r="M80" s="41">
        <f>C69*'Basic Parameters and Results'!$F$60</f>
        <v>9579679.6891657077</v>
      </c>
    </row>
    <row r="81" spans="2:13">
      <c r="B81" s="1402" t="s">
        <v>3856</v>
      </c>
      <c r="C81" s="1403" t="s">
        <v>3855</v>
      </c>
      <c r="D81" s="1403" t="s">
        <v>3710</v>
      </c>
      <c r="E81" s="41">
        <f>G52*'Basic Parameters and Results'!$F$60</f>
        <v>2909132.4476587689</v>
      </c>
      <c r="J81" s="1402" t="s">
        <v>3856</v>
      </c>
      <c r="K81" s="1403" t="s">
        <v>3855</v>
      </c>
      <c r="L81" s="1403" t="s">
        <v>3710</v>
      </c>
      <c r="M81" s="41">
        <f>G69*'Basic Parameters and Results'!$F$60</f>
        <v>3557545.732413976</v>
      </c>
    </row>
    <row r="82" spans="2:13">
      <c r="B82" s="1404" t="s">
        <v>3856</v>
      </c>
      <c r="C82" s="1405" t="s">
        <v>3691</v>
      </c>
      <c r="D82" s="1405" t="s">
        <v>3710</v>
      </c>
      <c r="E82" s="41">
        <f>F52*'Basic Parameters and Results'!$F$60</f>
        <v>2864755.8081910056</v>
      </c>
      <c r="J82" s="1404" t="s">
        <v>3856</v>
      </c>
      <c r="K82" s="1405" t="s">
        <v>3691</v>
      </c>
      <c r="L82" s="1405" t="s">
        <v>3710</v>
      </c>
      <c r="M82" s="41">
        <f>F69*'Basic Parameters and Results'!$F$60</f>
        <v>5498025.2228215998</v>
      </c>
    </row>
    <row r="83" spans="2:13">
      <c r="B83" s="1402" t="s">
        <v>3856</v>
      </c>
      <c r="C83" s="1403" t="s">
        <v>3691</v>
      </c>
      <c r="D83" s="1403" t="s">
        <v>3709</v>
      </c>
      <c r="E83" s="41">
        <f>D52*'Basic Parameters and Results'!$F$60</f>
        <v>2238530.0535567272</v>
      </c>
      <c r="J83" s="1402" t="s">
        <v>3856</v>
      </c>
      <c r="K83" s="1403" t="s">
        <v>3691</v>
      </c>
      <c r="L83" s="1403" t="s">
        <v>3709</v>
      </c>
      <c r="M83" s="41">
        <f>D69*'Basic Parameters and Results'!$F$60</f>
        <v>4159685.9484972428</v>
      </c>
    </row>
    <row r="84" spans="2:13">
      <c r="B84" s="1404" t="s">
        <v>3856</v>
      </c>
      <c r="C84" s="1405" t="s">
        <v>3749</v>
      </c>
      <c r="D84" s="1405" t="s">
        <v>3749</v>
      </c>
      <c r="E84" s="41">
        <f>I52*'Basic Parameters and Results'!$F$60</f>
        <v>3962584.3332769084</v>
      </c>
      <c r="J84" s="1404" t="s">
        <v>3856</v>
      </c>
      <c r="K84" s="1405" t="s">
        <v>3749</v>
      </c>
      <c r="L84" s="1405" t="s">
        <v>3749</v>
      </c>
      <c r="M84" s="41">
        <f>I69*'Basic Parameters and Results'!$F$60</f>
        <v>5918281.6503344541</v>
      </c>
    </row>
    <row r="85" spans="2:13">
      <c r="B85" s="1402" t="s">
        <v>3856</v>
      </c>
      <c r="C85" s="1403" t="s">
        <v>3855</v>
      </c>
      <c r="D85" s="1403" t="s">
        <v>3709</v>
      </c>
      <c r="E85" s="41">
        <f>B52*'Basic Parameters and Results'!$F$60</f>
        <v>10419795.458816921</v>
      </c>
      <c r="J85" s="1402" t="s">
        <v>3856</v>
      </c>
      <c r="K85" s="1403" t="s">
        <v>3855</v>
      </c>
      <c r="L85" s="1403" t="s">
        <v>3709</v>
      </c>
      <c r="M85" s="41">
        <f>B69*'Basic Parameters and Results'!$F$60</f>
        <v>12689647.671557875</v>
      </c>
    </row>
    <row r="86" spans="2:13">
      <c r="B86" s="1404" t="s">
        <v>3856</v>
      </c>
      <c r="C86" s="1405" t="s">
        <v>3733</v>
      </c>
      <c r="D86" s="1405" t="s">
        <v>3710</v>
      </c>
      <c r="E86" s="41">
        <f>E52*'Basic Parameters and Results'!$F$60</f>
        <v>15074808.057794185</v>
      </c>
      <c r="J86" s="1404" t="s">
        <v>3856</v>
      </c>
      <c r="K86" s="1405" t="s">
        <v>3733</v>
      </c>
      <c r="L86" s="1405" t="s">
        <v>3710</v>
      </c>
      <c r="M86" s="41">
        <f>E69*'Basic Parameters and Results'!$F$60</f>
        <v>23285753.884891476</v>
      </c>
    </row>
    <row r="87" spans="2:13" s="41" customFormat="1">
      <c r="B87" s="1404" t="s">
        <v>3856</v>
      </c>
      <c r="C87" s="1405" t="s">
        <v>7</v>
      </c>
      <c r="D87" s="1405" t="s">
        <v>3854</v>
      </c>
      <c r="E87" s="41">
        <f>J52*'Basic Parameters and Results'!$F$60</f>
        <v>926589.29560220626</v>
      </c>
      <c r="J87" s="1404" t="s">
        <v>3856</v>
      </c>
      <c r="K87" s="1405" t="s">
        <v>7</v>
      </c>
      <c r="L87" s="1405" t="s">
        <v>3854</v>
      </c>
      <c r="M87" s="41">
        <f>J69*'Basic Parameters and Results'!$F$60</f>
        <v>0</v>
      </c>
    </row>
    <row r="88" spans="2:13">
      <c r="B88" s="1402" t="s">
        <v>5</v>
      </c>
      <c r="C88" s="1403" t="s">
        <v>3691</v>
      </c>
      <c r="D88" s="1403" t="s">
        <v>3757</v>
      </c>
      <c r="E88" s="41">
        <f>H52*(1-'Basic Parameters and Results'!$F$60)</f>
        <v>121234.1497563796</v>
      </c>
      <c r="G88" s="41" t="s">
        <v>3875</v>
      </c>
      <c r="H88" s="41"/>
      <c r="J88" s="1402" t="s">
        <v>5</v>
      </c>
      <c r="K88" s="1403" t="s">
        <v>3691</v>
      </c>
      <c r="L88" s="1403" t="s">
        <v>3757</v>
      </c>
      <c r="M88" s="41">
        <f>H69*'Basic Parameters and Results'!$F$60</f>
        <v>1010284.5813031632</v>
      </c>
    </row>
    <row r="89" spans="2:13">
      <c r="B89" s="1404" t="s">
        <v>5</v>
      </c>
      <c r="C89" s="1405" t="s">
        <v>3733</v>
      </c>
      <c r="D89" s="1405" t="s">
        <v>3709</v>
      </c>
      <c r="E89" s="41">
        <f>C52*(1-'Basic Parameters and Results'!$F$60)</f>
        <v>2672658.3718936834</v>
      </c>
      <c r="G89" s="41" t="s">
        <v>3876</v>
      </c>
      <c r="H89" s="41" t="s">
        <v>3877</v>
      </c>
      <c r="J89" s="1404" t="s">
        <v>5</v>
      </c>
      <c r="K89" s="1405" t="s">
        <v>3733</v>
      </c>
      <c r="L89" s="1405" t="s">
        <v>3709</v>
      </c>
      <c r="M89" s="41">
        <f>C69*'Basic Parameters and Results'!$F$60</f>
        <v>9579679.6891657077</v>
      </c>
    </row>
    <row r="90" spans="2:13">
      <c r="B90" s="1402" t="s">
        <v>5</v>
      </c>
      <c r="C90" s="1403" t="s">
        <v>3855</v>
      </c>
      <c r="D90" s="1403" t="s">
        <v>3710</v>
      </c>
      <c r="E90" s="41">
        <f>G52*(1-'Basic Parameters and Results'!$F$60)</f>
        <v>1246771.0489966155</v>
      </c>
      <c r="G90" s="2">
        <f>SUM('2030 Sankey'!E11:E18)/SUM('2030 Sankey'!E11:E22)</f>
        <v>0.17452365054218541</v>
      </c>
      <c r="H90" s="2">
        <f>SUM('2030 Sankey'!E19:E22)/SUM('2030 Sankey'!E11:E22)</f>
        <v>0.82547634945781456</v>
      </c>
      <c r="J90" s="1402" t="s">
        <v>5</v>
      </c>
      <c r="K90" s="1403" t="s">
        <v>3855</v>
      </c>
      <c r="L90" s="1403" t="s">
        <v>3710</v>
      </c>
      <c r="M90" s="41">
        <f>G69*'Basic Parameters and Results'!$F$60</f>
        <v>3557545.732413976</v>
      </c>
    </row>
    <row r="91" spans="2:13">
      <c r="B91" s="1404" t="s">
        <v>5</v>
      </c>
      <c r="C91" s="1405" t="s">
        <v>3691</v>
      </c>
      <c r="D91" s="1405" t="s">
        <v>3710</v>
      </c>
      <c r="E91" s="41">
        <f>F52*(1-'Basic Parameters and Results'!$F$60)</f>
        <v>1227752.489224717</v>
      </c>
      <c r="G91" s="41"/>
      <c r="H91" s="41"/>
      <c r="J91" s="1404" t="s">
        <v>5</v>
      </c>
      <c r="K91" s="1405" t="s">
        <v>3691</v>
      </c>
      <c r="L91" s="1405" t="s">
        <v>3710</v>
      </c>
      <c r="M91" s="41">
        <f>F69*'Basic Parameters and Results'!$F$60</f>
        <v>5498025.2228215998</v>
      </c>
    </row>
    <row r="92" spans="2:13">
      <c r="B92" s="1402" t="s">
        <v>5</v>
      </c>
      <c r="C92" s="1403" t="s">
        <v>3691</v>
      </c>
      <c r="D92" s="1403" t="s">
        <v>3709</v>
      </c>
      <c r="E92" s="41">
        <f>D52*(1-'Basic Parameters and Results'!$F$60)</f>
        <v>959370.02295288327</v>
      </c>
      <c r="G92" s="41"/>
      <c r="H92" s="41"/>
      <c r="J92" s="1402" t="s">
        <v>5</v>
      </c>
      <c r="K92" s="1403" t="s">
        <v>3691</v>
      </c>
      <c r="L92" s="1403" t="s">
        <v>3709</v>
      </c>
      <c r="M92" s="41">
        <f>D69*'Basic Parameters and Results'!$F$60</f>
        <v>4159685.9484972428</v>
      </c>
    </row>
    <row r="93" spans="2:13">
      <c r="B93" s="1404" t="s">
        <v>5</v>
      </c>
      <c r="C93" s="1405" t="s">
        <v>3749</v>
      </c>
      <c r="D93" s="1405" t="s">
        <v>3749</v>
      </c>
      <c r="E93" s="41">
        <f>I52*(1-'Basic Parameters and Results'!$F$60)</f>
        <v>1698250.4285472468</v>
      </c>
      <c r="G93" s="41" t="s">
        <v>3878</v>
      </c>
      <c r="H93" s="41"/>
      <c r="J93" s="1404" t="s">
        <v>5</v>
      </c>
      <c r="K93" s="1405" t="s">
        <v>3749</v>
      </c>
      <c r="L93" s="1405" t="s">
        <v>3749</v>
      </c>
      <c r="M93" s="41">
        <f>I69*'Basic Parameters and Results'!$F$60</f>
        <v>5918281.6503344541</v>
      </c>
    </row>
    <row r="94" spans="2:13">
      <c r="B94" s="1402" t="s">
        <v>5</v>
      </c>
      <c r="C94" s="1403" t="s">
        <v>3855</v>
      </c>
      <c r="D94" s="1403" t="s">
        <v>3709</v>
      </c>
      <c r="E94" s="41">
        <f>B52*(1-'Basic Parameters and Results'!$F$60)</f>
        <v>4465626.6252072528</v>
      </c>
      <c r="G94" s="41" t="s">
        <v>3876</v>
      </c>
      <c r="H94" s="41" t="s">
        <v>3877</v>
      </c>
      <c r="J94" s="1402" t="s">
        <v>5</v>
      </c>
      <c r="K94" s="1403" t="s">
        <v>3855</v>
      </c>
      <c r="L94" s="1403" t="s">
        <v>3709</v>
      </c>
      <c r="M94" s="41">
        <f>B69*'Basic Parameters and Results'!$F$60</f>
        <v>12689647.671557875</v>
      </c>
    </row>
    <row r="95" spans="2:13">
      <c r="B95" s="1404" t="s">
        <v>5</v>
      </c>
      <c r="C95" s="1405" t="s">
        <v>3733</v>
      </c>
      <c r="D95" s="1405" t="s">
        <v>3710</v>
      </c>
      <c r="E95" s="41">
        <f>E52*(1-'Basic Parameters and Results'!$F$60)</f>
        <v>6460632.0247689383</v>
      </c>
      <c r="G95" s="2">
        <f>SUM('2030 Sankey'!E2:E9,'2030 Sankey'!E11:E18)/SUM('2030 Sankey'!E2:E22)</f>
        <v>0.41089534791022525</v>
      </c>
      <c r="H95" s="2">
        <f>SUM('2030 Sankey'!E10,'2030 Sankey'!E19,'2030 Sankey'!E20,'2030 Sankey'!E21:E22)/SUM('2030 Sankey'!E2:E22)</f>
        <v>0.58910465208977458</v>
      </c>
      <c r="J95" s="1404" t="s">
        <v>5</v>
      </c>
      <c r="K95" s="1405" t="s">
        <v>3733</v>
      </c>
      <c r="L95" s="1405" t="s">
        <v>3710</v>
      </c>
      <c r="M95" s="41">
        <f>E69*'Basic Parameters and Results'!$F$60</f>
        <v>23285753.884891476</v>
      </c>
    </row>
    <row r="96" spans="2:13">
      <c r="B96" s="1402" t="s">
        <v>5</v>
      </c>
      <c r="C96" s="1403" t="s">
        <v>3854</v>
      </c>
      <c r="D96" s="1403" t="s">
        <v>3854</v>
      </c>
      <c r="E96" s="41">
        <f>K52</f>
        <v>40194949.207238577</v>
      </c>
      <c r="J96" s="1402" t="s">
        <v>5</v>
      </c>
      <c r="K96" s="1403" t="s">
        <v>3854</v>
      </c>
      <c r="L96" s="1403" t="s">
        <v>3854</v>
      </c>
      <c r="M96" s="1373">
        <f>K69</f>
        <v>54954728.452350147</v>
      </c>
    </row>
    <row r="97" spans="2:13">
      <c r="B97" s="1406" t="s">
        <v>4</v>
      </c>
      <c r="C97" s="1407" t="s">
        <v>3854</v>
      </c>
      <c r="D97" s="1407" t="s">
        <v>3854</v>
      </c>
      <c r="E97" s="41">
        <f>L52</f>
        <v>44913858.191214077</v>
      </c>
      <c r="J97" s="1406" t="s">
        <v>4</v>
      </c>
      <c r="K97" s="1407" t="s">
        <v>3854</v>
      </c>
      <c r="L97" s="1407" t="s">
        <v>3854</v>
      </c>
      <c r="M97" s="1373">
        <f>L69</f>
        <v>63525337.715850569</v>
      </c>
    </row>
    <row r="98" spans="2:13">
      <c r="B98" s="1408" t="s">
        <v>5</v>
      </c>
      <c r="C98" s="1409" t="s">
        <v>7</v>
      </c>
      <c r="D98" s="1409" t="s">
        <v>3854</v>
      </c>
      <c r="E98" s="41">
        <f>J52*(1-'Basic Parameters and Results'!$F$60)</f>
        <v>397109.69811523135</v>
      </c>
      <c r="J98" s="1408" t="s">
        <v>5</v>
      </c>
      <c r="K98" s="1409" t="s">
        <v>7</v>
      </c>
      <c r="L98" s="1409" t="s">
        <v>3854</v>
      </c>
      <c r="M98" s="41">
        <f>J69*'Basic Parameters and Results'!$F$60</f>
        <v>0</v>
      </c>
    </row>
    <row r="101" spans="2:13">
      <c r="B101">
        <v>2017</v>
      </c>
    </row>
    <row r="102" spans="2:13">
      <c r="B102" s="1402" t="s">
        <v>3856</v>
      </c>
      <c r="C102" s="1403" t="s">
        <v>3691</v>
      </c>
      <c r="D102" s="1403" t="s">
        <v>3757</v>
      </c>
      <c r="E102" s="41">
        <f>H39*'Basic Parameters and Results'!$F$47</f>
        <v>110232.11823155914</v>
      </c>
    </row>
    <row r="103" spans="2:13">
      <c r="B103" s="1404" t="s">
        <v>3856</v>
      </c>
      <c r="C103" s="1405" t="s">
        <v>3733</v>
      </c>
      <c r="D103" s="1405" t="s">
        <v>3709</v>
      </c>
      <c r="E103" s="41">
        <f>C39*'Basic Parameters and Results'!$F$47</f>
        <v>183239.74359615092</v>
      </c>
    </row>
    <row r="104" spans="2:13">
      <c r="B104" s="1402" t="s">
        <v>3856</v>
      </c>
      <c r="C104" s="1403" t="s">
        <v>3855</v>
      </c>
      <c r="D104" s="1403" t="s">
        <v>3710</v>
      </c>
      <c r="E104" s="41">
        <f>G39*'Basic Parameters and Results'!$F$47</f>
        <v>195386.35849248961</v>
      </c>
    </row>
    <row r="105" spans="2:13">
      <c r="B105" s="1404" t="s">
        <v>3856</v>
      </c>
      <c r="C105" s="1405" t="s">
        <v>3691</v>
      </c>
      <c r="D105" s="1405" t="s">
        <v>3710</v>
      </c>
      <c r="E105" s="41">
        <f>F39*'Basic Parameters and Results'!$F$47</f>
        <v>301960.73585202941</v>
      </c>
    </row>
    <row r="106" spans="2:13">
      <c r="B106" s="1402" t="s">
        <v>3856</v>
      </c>
      <c r="C106" s="1403" t="s">
        <v>3691</v>
      </c>
      <c r="D106" s="1403" t="s">
        <v>3709</v>
      </c>
      <c r="E106" s="41">
        <f>D39*'Basic Parameters and Results'!$F$47</f>
        <v>376695.71010024752</v>
      </c>
    </row>
    <row r="107" spans="2:13">
      <c r="B107" s="1404" t="s">
        <v>3856</v>
      </c>
      <c r="C107" s="1405" t="s">
        <v>3749</v>
      </c>
      <c r="D107" s="1405" t="s">
        <v>3749</v>
      </c>
      <c r="E107" s="41">
        <f>I39*'Basic Parameters and Results'!$F$47</f>
        <v>442512.20639155165</v>
      </c>
    </row>
    <row r="108" spans="2:13">
      <c r="B108" s="1402" t="s">
        <v>3856</v>
      </c>
      <c r="C108" s="1403" t="s">
        <v>3855</v>
      </c>
      <c r="D108" s="1403" t="s">
        <v>3709</v>
      </c>
      <c r="E108" s="41">
        <f>B39*'Basic Parameters and Results'!$F$47</f>
        <v>934972.51663469046</v>
      </c>
      <c r="G108" t="s">
        <v>3875</v>
      </c>
    </row>
    <row r="109" spans="2:13">
      <c r="B109" s="1404" t="s">
        <v>3856</v>
      </c>
      <c r="C109" s="1405" t="s">
        <v>3733</v>
      </c>
      <c r="D109" s="1405" t="s">
        <v>3710</v>
      </c>
      <c r="E109" s="41">
        <f>E39*'Basic Parameters and Results'!$F$47</f>
        <v>1278892.5283144771</v>
      </c>
      <c r="G109" t="s">
        <v>3876</v>
      </c>
      <c r="H109" t="s">
        <v>3877</v>
      </c>
    </row>
    <row r="110" spans="2:13">
      <c r="B110" s="1404" t="s">
        <v>3856</v>
      </c>
      <c r="C110" s="1405" t="s">
        <v>7</v>
      </c>
      <c r="D110" s="1405" t="s">
        <v>3854</v>
      </c>
      <c r="E110" s="41">
        <f>J39*'Basic Parameters and Results'!$F$47</f>
        <v>0</v>
      </c>
      <c r="G110" s="2">
        <f>SUM('2017 Sankey'!E11:E18)/SUM('2017 Sankey'!E11:E20)</f>
        <v>0.36761217646086153</v>
      </c>
      <c r="H110" s="2">
        <f>SUM('2017 Sankey'!E19:E20)/SUM('2017 Sankey'!E11:E20)</f>
        <v>0.63238782353913847</v>
      </c>
    </row>
    <row r="111" spans="2:13">
      <c r="B111" s="1402" t="s">
        <v>5</v>
      </c>
      <c r="C111" s="1403" t="s">
        <v>3691</v>
      </c>
      <c r="D111" s="1403" t="s">
        <v>3757</v>
      </c>
      <c r="E111" s="41">
        <f>H39*(1-(1-'Basic Parameters and Results'!$F$47))</f>
        <v>110232.11823155908</v>
      </c>
    </row>
    <row r="112" spans="2:13">
      <c r="B112" s="1404" t="s">
        <v>5</v>
      </c>
      <c r="C112" s="1405" t="s">
        <v>3733</v>
      </c>
      <c r="D112" s="1405" t="s">
        <v>3709</v>
      </c>
      <c r="E112" s="41">
        <f>C39*(1-'Basic Parameters and Results'!$F$47)</f>
        <v>2344014.1979511473</v>
      </c>
    </row>
    <row r="113" spans="2:8">
      <c r="B113" s="1402" t="s">
        <v>5</v>
      </c>
      <c r="C113" s="1403" t="s">
        <v>3855</v>
      </c>
      <c r="D113" s="1403" t="s">
        <v>3710</v>
      </c>
      <c r="E113" s="41">
        <f>G39*(1-'Basic Parameters and Results'!$F$47)</f>
        <v>2499394.4512482323</v>
      </c>
      <c r="G113" t="s">
        <v>3878</v>
      </c>
    </row>
    <row r="114" spans="2:8">
      <c r="B114" s="1404" t="s">
        <v>5</v>
      </c>
      <c r="C114" s="1405" t="s">
        <v>3691</v>
      </c>
      <c r="D114" s="1405" t="s">
        <v>3710</v>
      </c>
      <c r="E114" s="41">
        <f>F39*(1-'Basic Parameters and Results'!$F$47)</f>
        <v>3862700.5155654498</v>
      </c>
      <c r="G114" t="s">
        <v>3876</v>
      </c>
      <c r="H114" t="s">
        <v>3877</v>
      </c>
    </row>
    <row r="115" spans="2:8">
      <c r="B115" s="1402" t="s">
        <v>5</v>
      </c>
      <c r="C115" s="1403" t="s">
        <v>3691</v>
      </c>
      <c r="D115" s="1403" t="s">
        <v>3709</v>
      </c>
      <c r="E115" s="41">
        <f>D39*(1-'Basic Parameters and Results'!$F$47)</f>
        <v>4818714.9548097122</v>
      </c>
      <c r="G115" s="2">
        <f>SUM('2017 Sankey'!E2:E9,'2017 Sankey'!E11:E18)/SUM(Table2[value])</f>
        <v>0.38574619670527782</v>
      </c>
      <c r="H115" s="2">
        <f>SUM('2017 Sankey'!E10,'2017 Sankey'!E19,'2017 Sankey'!E20,'2017 Sankey'!E21)/SUM(Table2[value])</f>
        <v>0.61425380329472223</v>
      </c>
    </row>
    <row r="116" spans="2:8">
      <c r="B116" s="1404" t="s">
        <v>5</v>
      </c>
      <c r="C116" s="1405" t="s">
        <v>3749</v>
      </c>
      <c r="D116" s="1405" t="s">
        <v>3749</v>
      </c>
      <c r="E116" s="41">
        <f>I39*(1-'Basic Parameters and Results'!$F$47)</f>
        <v>5660643.6692824205</v>
      </c>
    </row>
    <row r="117" spans="2:8">
      <c r="B117" s="1402" t="s">
        <v>5</v>
      </c>
      <c r="C117" s="1403" t="s">
        <v>3855</v>
      </c>
      <c r="D117" s="1403" t="s">
        <v>3709</v>
      </c>
      <c r="E117" s="41">
        <f>B39*(1-'Basic Parameters and Results'!$F$47)</f>
        <v>11960226.589903751</v>
      </c>
    </row>
    <row r="118" spans="2:8">
      <c r="B118" s="1404" t="s">
        <v>5</v>
      </c>
      <c r="C118" s="1405" t="s">
        <v>3733</v>
      </c>
      <c r="D118" s="1405" t="s">
        <v>3710</v>
      </c>
      <c r="E118" s="41">
        <f>E39*(1-'Basic Parameters and Results'!$F$47)</f>
        <v>16359672.771806607</v>
      </c>
    </row>
    <row r="119" spans="2:8">
      <c r="B119" s="1402" t="s">
        <v>5</v>
      </c>
      <c r="C119" s="1403" t="s">
        <v>3854</v>
      </c>
      <c r="D119" s="1403" t="s">
        <v>3854</v>
      </c>
      <c r="E119" s="41">
        <f>K39</f>
        <v>37992917.421876401</v>
      </c>
    </row>
    <row r="120" spans="2:8">
      <c r="B120" s="1406" t="s">
        <v>4</v>
      </c>
      <c r="C120" s="1407" t="s">
        <v>3854</v>
      </c>
      <c r="D120" s="1407" t="s">
        <v>3854</v>
      </c>
      <c r="E120" s="41">
        <f>L39</f>
        <v>43918202.819031596</v>
      </c>
    </row>
    <row r="121" spans="2:8">
      <c r="B121" s="1408" t="s">
        <v>5</v>
      </c>
      <c r="C121" s="1409" t="s">
        <v>7</v>
      </c>
      <c r="D121" s="1409" t="s">
        <v>3854</v>
      </c>
      <c r="E121" s="41">
        <f>J39*(1-'Basic Parameters and Results'!$F$47)</f>
        <v>0</v>
      </c>
    </row>
    <row r="122" spans="2:8">
      <c r="B122" s="1406"/>
      <c r="C122" s="1407"/>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O48"/>
  <sheetViews>
    <sheetView zoomScale="80" zoomScaleNormal="80" workbookViewId="0">
      <selection activeCell="I11" sqref="I11"/>
    </sheetView>
  </sheetViews>
  <sheetFormatPr baseColWidth="10" defaultColWidth="8.83203125" defaultRowHeight="15"/>
  <cols>
    <col min="1" max="1" width="57.33203125" customWidth="1"/>
    <col min="2" max="2" width="13.33203125" bestFit="1" customWidth="1"/>
    <col min="3" max="3" width="12.33203125" bestFit="1" customWidth="1"/>
    <col min="4" max="4" width="12.6640625" customWidth="1"/>
    <col min="5" max="5" width="12.83203125" customWidth="1"/>
    <col min="6" max="11" width="12.33203125" bestFit="1" customWidth="1"/>
    <col min="12" max="12" width="12.5" customWidth="1"/>
    <col min="13" max="13" width="12.33203125" bestFit="1" customWidth="1"/>
    <col min="14" max="14" width="12.5" customWidth="1"/>
    <col min="15" max="15" width="12.33203125" bestFit="1" customWidth="1"/>
    <col min="16" max="16" width="15.5" customWidth="1"/>
    <col min="17" max="17" width="16.33203125" customWidth="1"/>
    <col min="18" max="18" width="16.83203125" customWidth="1"/>
    <col min="19" max="19" width="14.5" customWidth="1"/>
    <col min="20" max="20" width="16.83203125" customWidth="1"/>
    <col min="21" max="37" width="11.83203125" bestFit="1" customWidth="1"/>
    <col min="38" max="40" width="11.33203125" bestFit="1" customWidth="1"/>
  </cols>
  <sheetData>
    <row r="1" spans="1:5" s="33" customFormat="1">
      <c r="C1" s="33" t="s">
        <v>9</v>
      </c>
      <c r="D1" s="33" t="s">
        <v>32</v>
      </c>
      <c r="E1" s="33" t="s">
        <v>10</v>
      </c>
    </row>
    <row r="2" spans="1:5" s="33" customFormat="1">
      <c r="A2" s="26" t="s">
        <v>125</v>
      </c>
      <c r="B2" s="37">
        <f>FE_Improvement</f>
        <v>0.3</v>
      </c>
      <c r="C2" s="33" t="s">
        <v>17</v>
      </c>
      <c r="D2" s="33" t="s">
        <v>37</v>
      </c>
    </row>
    <row r="3" spans="1:5" s="33" customFormat="1">
      <c r="A3" s="24" t="s">
        <v>35</v>
      </c>
      <c r="B3" s="21">
        <v>10.06</v>
      </c>
      <c r="C3" s="33" t="s">
        <v>119</v>
      </c>
      <c r="D3" s="24" t="s">
        <v>111</v>
      </c>
      <c r="E3" s="33" t="s">
        <v>132</v>
      </c>
    </row>
    <row r="4" spans="1:5" s="41" customFormat="1">
      <c r="A4" s="24" t="s">
        <v>142</v>
      </c>
      <c r="B4" s="21">
        <f>LDV_Fuel_Econ_Beginning-(LDV_Fuel_Econ_Beginning*B2)</f>
        <v>7.0419999999999998</v>
      </c>
      <c r="C4" s="41" t="s">
        <v>119</v>
      </c>
      <c r="D4" s="24"/>
    </row>
    <row r="5" spans="1:5" s="41" customFormat="1">
      <c r="A5" s="26" t="s">
        <v>141</v>
      </c>
      <c r="B5" s="61">
        <v>11</v>
      </c>
    </row>
    <row r="6" spans="1:5" s="41" customFormat="1">
      <c r="A6" s="26" t="s">
        <v>126</v>
      </c>
      <c r="B6" s="36">
        <f>(LDV_Fuel_Econ_Beginning-B4)/11</f>
        <v>0.27436363636363642</v>
      </c>
      <c r="C6" s="41" t="s">
        <v>119</v>
      </c>
      <c r="D6" s="41" t="s">
        <v>140</v>
      </c>
    </row>
    <row r="7" spans="1:5" s="6" customFormat="1">
      <c r="A7" s="24" t="s">
        <v>18</v>
      </c>
      <c r="B7" s="25">
        <v>0.13700000000000001</v>
      </c>
      <c r="D7" s="33" t="s">
        <v>38</v>
      </c>
      <c r="E7" s="33" t="s">
        <v>114</v>
      </c>
    </row>
    <row r="8" spans="1:5" s="6" customFormat="1">
      <c r="A8" s="24" t="s">
        <v>110</v>
      </c>
      <c r="B8" s="31">
        <v>13119.572143118372</v>
      </c>
      <c r="C8" s="6" t="s">
        <v>108</v>
      </c>
      <c r="D8" s="24" t="s">
        <v>34</v>
      </c>
      <c r="E8" s="33" t="s">
        <v>109</v>
      </c>
    </row>
    <row r="9" spans="1:5" s="6" customFormat="1">
      <c r="A9" s="29" t="s">
        <v>105</v>
      </c>
      <c r="B9" s="35">
        <v>1320.0568522565443</v>
      </c>
      <c r="C9" s="41" t="s">
        <v>106</v>
      </c>
      <c r="D9" s="6" t="s">
        <v>112</v>
      </c>
    </row>
    <row r="10" spans="1:5">
      <c r="A10" s="29" t="s">
        <v>104</v>
      </c>
      <c r="B10" s="35">
        <v>1835.0012278771853</v>
      </c>
      <c r="C10" s="41" t="s">
        <v>107</v>
      </c>
      <c r="D10" t="s">
        <v>113</v>
      </c>
    </row>
    <row r="11" spans="1:5">
      <c r="A11" s="29" t="s">
        <v>133</v>
      </c>
      <c r="B11" s="37" t="s">
        <v>3848</v>
      </c>
    </row>
    <row r="12" spans="1:5">
      <c r="A12" s="29" t="s">
        <v>134</v>
      </c>
      <c r="B12" s="37" t="s">
        <v>3848</v>
      </c>
    </row>
    <row r="13" spans="1:5" s="41" customFormat="1">
      <c r="A13" s="29" t="s">
        <v>3662</v>
      </c>
      <c r="B13" s="37">
        <v>0.05</v>
      </c>
    </row>
    <row r="14" spans="1:5" s="41" customFormat="1">
      <c r="A14" s="29" t="s">
        <v>3663</v>
      </c>
      <c r="B14" s="37">
        <v>0.6</v>
      </c>
      <c r="C14" s="41" t="s">
        <v>135</v>
      </c>
    </row>
    <row r="15" spans="1:5" s="41" customFormat="1">
      <c r="A15" s="29" t="s">
        <v>138</v>
      </c>
      <c r="B15" s="37" t="str">
        <f>IF(B14=T38,"yes","no")</f>
        <v>no</v>
      </c>
    </row>
    <row r="16" spans="1:5" s="41" customFormat="1">
      <c r="A16" s="29" t="s">
        <v>3850</v>
      </c>
      <c r="B16" s="46">
        <f>B23/100*21.2</f>
        <v>2781.3492943410947</v>
      </c>
    </row>
    <row r="18" spans="1:40">
      <c r="A18" s="43" t="s">
        <v>69</v>
      </c>
    </row>
    <row r="19" spans="1:40">
      <c r="A19" s="18" t="s">
        <v>3</v>
      </c>
      <c r="B19" s="30">
        <v>2012</v>
      </c>
      <c r="C19" s="30">
        <v>2013</v>
      </c>
      <c r="D19" s="30">
        <v>2014</v>
      </c>
      <c r="E19" s="30">
        <v>2015</v>
      </c>
      <c r="F19" s="30">
        <v>2016</v>
      </c>
      <c r="G19" s="30">
        <v>2017</v>
      </c>
      <c r="H19" s="30">
        <v>2018</v>
      </c>
      <c r="I19" s="30">
        <v>2019</v>
      </c>
      <c r="J19" s="30">
        <v>2020</v>
      </c>
      <c r="K19" s="30">
        <v>2021</v>
      </c>
      <c r="L19" s="30">
        <v>2022</v>
      </c>
      <c r="M19" s="30">
        <v>2023</v>
      </c>
      <c r="N19" s="30">
        <v>2024</v>
      </c>
      <c r="O19" s="30">
        <v>2025</v>
      </c>
      <c r="P19" s="30">
        <v>2026</v>
      </c>
      <c r="Q19" s="30">
        <v>2027</v>
      </c>
      <c r="R19" s="30">
        <v>2028</v>
      </c>
      <c r="S19" s="30">
        <v>2029</v>
      </c>
      <c r="T19" s="30">
        <v>2030</v>
      </c>
      <c r="U19" s="30">
        <v>2031</v>
      </c>
      <c r="V19" s="30">
        <v>2032</v>
      </c>
      <c r="W19" s="30">
        <v>2033</v>
      </c>
      <c r="X19" s="30">
        <v>2034</v>
      </c>
      <c r="Y19" s="30">
        <v>2035</v>
      </c>
      <c r="Z19" s="30">
        <v>2036</v>
      </c>
      <c r="AA19" s="30">
        <v>2037</v>
      </c>
      <c r="AB19" s="30">
        <v>2038</v>
      </c>
      <c r="AC19" s="30">
        <v>2039</v>
      </c>
      <c r="AD19" s="30">
        <v>2040</v>
      </c>
      <c r="AE19" s="30">
        <v>2041</v>
      </c>
      <c r="AF19" s="30">
        <v>2042</v>
      </c>
      <c r="AG19" s="30">
        <v>2043</v>
      </c>
      <c r="AH19" s="30">
        <v>2044</v>
      </c>
      <c r="AI19" s="30">
        <v>2045</v>
      </c>
      <c r="AJ19" s="30">
        <v>2046</v>
      </c>
      <c r="AK19" s="30">
        <v>2047</v>
      </c>
      <c r="AL19" s="30">
        <v>2048</v>
      </c>
      <c r="AM19" s="30">
        <v>2049</v>
      </c>
      <c r="AN19" s="30">
        <v>2050</v>
      </c>
    </row>
    <row r="20" spans="1:40">
      <c r="A20" s="24" t="s">
        <v>31</v>
      </c>
      <c r="B20" s="35">
        <f>Transportation!B22-Transportation!B40</f>
        <v>8933975</v>
      </c>
      <c r="C20" s="35">
        <f>Transportation!C22-Transportation!C40</f>
        <v>9653497</v>
      </c>
      <c r="D20" s="35">
        <f>Transportation!D22-Transportation!D40</f>
        <v>10934886</v>
      </c>
      <c r="E20" s="35">
        <f>Transportation!E22-Transportation!E40</f>
        <v>14219362</v>
      </c>
      <c r="F20" s="3">
        <f>Transportation!F22-Transportation!F40</f>
        <v>14628879.625600001</v>
      </c>
      <c r="G20" s="3">
        <f>Transportation!G22-Transportation!G40</f>
        <v>15050191.358817281</v>
      </c>
      <c r="H20" s="3">
        <f>Transportation!H22-Transportation!H40</f>
        <v>15483636.869951218</v>
      </c>
      <c r="I20" s="3">
        <f>Transportation!I22-Transportation!I40</f>
        <v>15665134.822649837</v>
      </c>
      <c r="J20" s="3">
        <f>Transportation!J22-Transportation!J40</f>
        <v>15844244.309658483</v>
      </c>
      <c r="K20" s="3">
        <f>Transportation!K22-Transportation!K40</f>
        <v>16020677.213691531</v>
      </c>
      <c r="L20" s="3">
        <f>Transportation!L22-Transportation!L40</f>
        <v>16194130.802996678</v>
      </c>
      <c r="M20" s="3">
        <f>Transportation!M22-Transportation!M40</f>
        <v>16364287.128537677</v>
      </c>
      <c r="N20" s="3">
        <f>Transportation!N22-Transportation!N40</f>
        <v>16530812.3985766</v>
      </c>
      <c r="O20" s="3">
        <f>Transportation!O22-Transportation!O40</f>
        <v>16693356.32985387</v>
      </c>
      <c r="P20" s="3">
        <f>Transportation!P22-Transportation!P40</f>
        <v>16851551.474536836</v>
      </c>
      <c r="Q20" s="35">
        <f>Transportation!Q22-Transportation!Q40</f>
        <v>17005012.522079308</v>
      </c>
      <c r="R20" s="35">
        <f>Transportation!R22-Transportation!R40</f>
        <v>17153335.575105187</v>
      </c>
      <c r="S20" s="35">
        <f>Transportation!S22-Transportation!S40</f>
        <v>17296097.39839904</v>
      </c>
      <c r="T20" s="35">
        <f>Transportation!T22-Transportation!T40</f>
        <v>17432854.640055206</v>
      </c>
      <c r="U20" s="35">
        <f>Transportation!U22-Transportation!U40</f>
        <v>17917003.849838957</v>
      </c>
      <c r="V20" s="35">
        <f>Transportation!V22-Transportation!V40</f>
        <v>18433013.560714319</v>
      </c>
      <c r="W20" s="35">
        <f>Transportation!W22-Transportation!W40</f>
        <v>18963884.35126289</v>
      </c>
      <c r="X20" s="35">
        <f>Transportation!X22-Transportation!X40</f>
        <v>19510044.220579263</v>
      </c>
      <c r="Y20" s="35">
        <f>Transportation!Y22-Transportation!Y40</f>
        <v>20071933.494131945</v>
      </c>
      <c r="Z20" s="35">
        <f>Transportation!Z22-Transportation!Z40</f>
        <v>20650005.178762946</v>
      </c>
      <c r="AA20" s="35">
        <f>Transportation!AA22-Transportation!AA40</f>
        <v>21244725.327911317</v>
      </c>
      <c r="AB20" s="35">
        <f>Transportation!AB22-Transportation!AB40</f>
        <v>21856573.417355161</v>
      </c>
      <c r="AC20" s="35">
        <f>Transportation!AC22-Transportation!AC40</f>
        <v>22486042.731774993</v>
      </c>
      <c r="AD20" s="35">
        <f>Transportation!AD22-Transportation!AD40</f>
        <v>23133640.76245011</v>
      </c>
      <c r="AE20" s="35">
        <f>Transportation!AE22-Transportation!AE40</f>
        <v>23799889.616408672</v>
      </c>
      <c r="AF20" s="35">
        <f>Transportation!AF22-Transportation!AF40</f>
        <v>24485326.437361244</v>
      </c>
      <c r="AG20" s="35">
        <f>Transportation!AG22-Transportation!AG40</f>
        <v>25190503.838757247</v>
      </c>
      <c r="AH20" s="35">
        <f>Transportation!AH22-Transportation!AH40</f>
        <v>25915990.349313457</v>
      </c>
      <c r="AI20" s="35">
        <f>Transportation!AI22-Transportation!AI40</f>
        <v>26662370.871373683</v>
      </c>
      <c r="AJ20" s="35">
        <f>Transportation!AJ22-Transportation!AJ40</f>
        <v>27430247.152469248</v>
      </c>
      <c r="AK20" s="35">
        <f>Transportation!AK22-Transportation!AK40</f>
        <v>28220238.27046036</v>
      </c>
      <c r="AL20" s="35">
        <f>Transportation!AL22-Transportation!AL40</f>
        <v>29032981.132649619</v>
      </c>
      <c r="AM20" s="35">
        <f>Transportation!AM22-Transportation!AM40</f>
        <v>29869130.989269931</v>
      </c>
      <c r="AN20" s="35">
        <f>Transportation!AN22-Transportation!AN40</f>
        <v>30729361.961760901</v>
      </c>
    </row>
    <row r="21" spans="1:40">
      <c r="A21" s="57" t="s">
        <v>115</v>
      </c>
      <c r="B21" s="45">
        <f t="shared" ref="B21:AN21" si="0">B20/Petrol_per_vehicle</f>
        <v>6767.87138730275</v>
      </c>
      <c r="C21" s="58">
        <f t="shared" si="0"/>
        <v>7312.9403354848137</v>
      </c>
      <c r="D21" s="45">
        <f t="shared" si="0"/>
        <v>8283.6477696453621</v>
      </c>
      <c r="E21" s="45">
        <f t="shared" si="0"/>
        <v>10771.78</v>
      </c>
      <c r="F21" s="45">
        <f t="shared" si="0"/>
        <v>11082.007264000002</v>
      </c>
      <c r="G21" s="45">
        <f t="shared" si="0"/>
        <v>11401.169073203202</v>
      </c>
      <c r="H21" s="45">
        <f t="shared" si="0"/>
        <v>11729.522742511454</v>
      </c>
      <c r="I21" s="45">
        <f t="shared" si="0"/>
        <v>11867.015269737354</v>
      </c>
      <c r="J21" s="45">
        <f t="shared" si="0"/>
        <v>12002.698431187915</v>
      </c>
      <c r="K21" s="45">
        <f t="shared" si="0"/>
        <v>12136.353965592702</v>
      </c>
      <c r="L21" s="45">
        <f t="shared" si="0"/>
        <v>12267.752540592439</v>
      </c>
      <c r="M21" s="45">
        <f t="shared" si="0"/>
        <v>12396.653296078937</v>
      </c>
      <c r="N21" s="45">
        <f t="shared" si="0"/>
        <v>12522.803370414191</v>
      </c>
      <c r="O21" s="45">
        <f t="shared" si="0"/>
        <v>12645.937408921254</v>
      </c>
      <c r="P21" s="45">
        <f t="shared" si="0"/>
        <v>12765.777054018768</v>
      </c>
      <c r="Q21" s="45">
        <f t="shared" si="0"/>
        <v>12882.030416349444</v>
      </c>
      <c r="R21" s="45">
        <f t="shared" si="0"/>
        <v>12994.391526230682</v>
      </c>
      <c r="S21" s="45">
        <f t="shared" si="0"/>
        <v>13102.539764732541</v>
      </c>
      <c r="T21" s="45">
        <f t="shared" si="0"/>
        <v>13206.13927366459</v>
      </c>
      <c r="U21" s="45">
        <f t="shared" si="0"/>
        <v>13572.903181564567</v>
      </c>
      <c r="V21" s="45">
        <f t="shared" si="0"/>
        <v>13963.802793193627</v>
      </c>
      <c r="W21" s="45">
        <f t="shared" si="0"/>
        <v>14365.960313637601</v>
      </c>
      <c r="X21" s="45">
        <f t="shared" si="0"/>
        <v>14779.699970670366</v>
      </c>
      <c r="Y21" s="45">
        <f t="shared" si="0"/>
        <v>15205.355329825672</v>
      </c>
      <c r="Z21" s="45">
        <f t="shared" si="0"/>
        <v>15643.269563324651</v>
      </c>
      <c r="AA21" s="45">
        <f t="shared" si="0"/>
        <v>16093.7957267484</v>
      </c>
      <c r="AB21" s="45">
        <f t="shared" si="0"/>
        <v>16557.297043678755</v>
      </c>
      <c r="AC21" s="45">
        <f t="shared" si="0"/>
        <v>17034.147198536702</v>
      </c>
      <c r="AD21" s="45">
        <f t="shared" si="0"/>
        <v>17524.730637854558</v>
      </c>
      <c r="AE21" s="45">
        <f t="shared" si="0"/>
        <v>18029.442880224768</v>
      </c>
      <c r="AF21" s="45">
        <f t="shared" si="0"/>
        <v>18548.690835175243</v>
      </c>
      <c r="AG21" s="45">
        <f t="shared" si="0"/>
        <v>19082.893131228291</v>
      </c>
      <c r="AH21" s="45">
        <f t="shared" si="0"/>
        <v>19632.480453407665</v>
      </c>
      <c r="AI21" s="45">
        <f t="shared" si="0"/>
        <v>20197.895890465807</v>
      </c>
      <c r="AJ21" s="45">
        <f t="shared" si="0"/>
        <v>20779.595292111222</v>
      </c>
      <c r="AK21" s="45">
        <f t="shared" si="0"/>
        <v>21378.047636524025</v>
      </c>
      <c r="AL21" s="45">
        <f t="shared" si="0"/>
        <v>21993.735408455916</v>
      </c>
      <c r="AM21" s="45">
        <f t="shared" si="0"/>
        <v>22627.154988219449</v>
      </c>
      <c r="AN21" s="45">
        <f t="shared" si="0"/>
        <v>23278.817051880167</v>
      </c>
    </row>
    <row r="22" spans="1:40">
      <c r="A22" s="23" t="s">
        <v>25</v>
      </c>
      <c r="B22" s="38">
        <f>B21-(B21*VMT_Redux*Transportation!B30)</f>
        <v>6767.87138730275</v>
      </c>
      <c r="C22" s="34">
        <f>C21-(C21*VMT_Redux*Transportation!C30)</f>
        <v>7312.9403354848137</v>
      </c>
      <c r="D22" s="34">
        <f>D21-(D21*VMT_Redux*Transportation!D30)</f>
        <v>8283.6477696453621</v>
      </c>
      <c r="E22" s="34">
        <f>E21-(E21*VMT_Redux*Transportation!E30)</f>
        <v>10771.78</v>
      </c>
      <c r="F22" s="34">
        <f>F21-(F21*VMT_Redux*Transportation!F30)</f>
        <v>11082.007264000002</v>
      </c>
      <c r="G22" s="34">
        <f>G21-(G21*VMT_Redux*Transportation!G30)</f>
        <v>11401.169073203202</v>
      </c>
      <c r="H22" s="34">
        <f>H21-(H21*VMT_Redux*'Basic Parameters and Results'!C138)</f>
        <v>11729.522742511454</v>
      </c>
      <c r="I22" s="34">
        <f>I21-(I21*VMT_Redux*'Basic Parameters and Results'!D138)</f>
        <v>11670.022816259714</v>
      </c>
      <c r="J22" s="34">
        <f>J21-(J21*VMT_Redux*'Basic Parameters and Results'!E138)</f>
        <v>11604.208843272476</v>
      </c>
      <c r="K22" s="34">
        <f>K21-(K21*VMT_Redux*'Basic Parameters and Results'!F138)</f>
        <v>11531.963538106185</v>
      </c>
      <c r="L22" s="34">
        <f>L21-(L21*VMT_Redux*'Basic Parameters and Results'!G138)</f>
        <v>11453.173771897102</v>
      </c>
      <c r="M22" s="34">
        <f>M21-(M21*VMT_Redux*'Basic Parameters and Results'!H138)</f>
        <v>11367.731072504386</v>
      </c>
      <c r="N22" s="34">
        <f>N21-(N21*VMT_Redux*'Basic Parameters and Results'!I138)</f>
        <v>11275.532154720937</v>
      </c>
      <c r="O22" s="34">
        <f>O21-(O21*VMT_Redux*'Basic Parameters and Results'!J138)</f>
        <v>11176.479482004605</v>
      </c>
      <c r="P22" s="34">
        <f>P21-(P21*VMT_Redux*'Basic Parameters and Results'!K138)</f>
        <v>11070.481861245076</v>
      </c>
      <c r="Q22" s="42">
        <f>Q21-(Q21*VMT_Redux*'Basic Parameters and Results'!L138)</f>
        <v>10957.455072146837</v>
      </c>
      <c r="R22" s="42">
        <f>R21-(R21*VMT_Redux*'Basic Parameters and Results'!M138)</f>
        <v>10837.322532876387</v>
      </c>
      <c r="S22" s="42">
        <f>S21-(S21*VMT_Redux*'Basic Parameters and Results'!N138)</f>
        <v>10710.016003692379</v>
      </c>
      <c r="T22" s="42">
        <f>T21-(T21*VMT_Redux*'Basic Parameters and Results'!O138)</f>
        <v>10575.476330350604</v>
      </c>
      <c r="U22" s="42">
        <f>U21-(U21*VMT_Redux*Transportation!U30)</f>
        <v>10858.322545251653</v>
      </c>
      <c r="V22" s="42">
        <f>V21-(V21*VMT_Redux*Transportation!V30)</f>
        <v>11171.042234554901</v>
      </c>
      <c r="W22" s="42">
        <f>W21-(W21*VMT_Redux*Transportation!W30)</f>
        <v>11492.768250910081</v>
      </c>
      <c r="X22" s="42">
        <f>X21-(X21*VMT_Redux*Transportation!X30)</f>
        <v>11823.759976536294</v>
      </c>
      <c r="Y22" s="42">
        <f>Y21-(Y21*VMT_Redux*Transportation!Y30)</f>
        <v>12164.284263860538</v>
      </c>
      <c r="Z22" s="42">
        <f>Z21-(Z21*VMT_Redux*Transportation!Z30)</f>
        <v>12514.615650659722</v>
      </c>
      <c r="AA22" s="42">
        <f>AA21-(AA21*VMT_Redux*Transportation!AA30)</f>
        <v>12875.036581398719</v>
      </c>
      <c r="AB22" s="42">
        <f>AB21-(AB21*VMT_Redux*Transportation!AB30)</f>
        <v>13245.837634943004</v>
      </c>
      <c r="AC22" s="42">
        <f>AC21-(AC21*VMT_Redux*Transportation!AC30)</f>
        <v>13627.317758829362</v>
      </c>
      <c r="AD22" s="42">
        <f>AD21-(AD21*VMT_Redux*Transportation!AD30)</f>
        <v>14019.784510283647</v>
      </c>
      <c r="AE22" s="42">
        <f>AE21-(AE21*VMT_Redux*Transportation!AE30)</f>
        <v>14423.554304179814</v>
      </c>
      <c r="AF22" s="42">
        <f>AF21-(AF21*VMT_Redux*Transportation!AF30)</f>
        <v>14838.952668140195</v>
      </c>
      <c r="AG22" s="42">
        <f>AG21-(AG21*VMT_Redux*Transportation!AG30)</f>
        <v>15266.314504982633</v>
      </c>
      <c r="AH22" s="42">
        <f>AH21-(AH21*VMT_Redux*Transportation!AH30)</f>
        <v>15705.984362726133</v>
      </c>
      <c r="AI22" s="42">
        <f>AI21-(AI21*VMT_Redux*Transportation!AI30)</f>
        <v>16158.316712372645</v>
      </c>
      <c r="AJ22" s="42">
        <f>AJ21-(AJ21*VMT_Redux*Transportation!AJ30)</f>
        <v>16623.676233688977</v>
      </c>
      <c r="AK22" s="42">
        <f>AK21-(AK21*VMT_Redux*Transportation!AK30)</f>
        <v>17102.43810921922</v>
      </c>
      <c r="AL22" s="42">
        <f>AL21-(AL21*VMT_Redux*Transportation!AL30)</f>
        <v>17594.988326764731</v>
      </c>
      <c r="AM22" s="42">
        <f>AM21-(AM21*VMT_Redux*Transportation!AM30)</f>
        <v>18101.72399057556</v>
      </c>
      <c r="AN22" s="42">
        <f>AN21-(AN21*VMT_Redux*Transportation!AN30)</f>
        <v>18623.053641504135</v>
      </c>
    </row>
    <row r="23" spans="1:40">
      <c r="A23" s="22" t="s">
        <v>118</v>
      </c>
      <c r="B23" s="35">
        <f t="shared" ref="B23:AN23" si="1">LDV_VMT</f>
        <v>13119.572143118372</v>
      </c>
      <c r="C23" s="35">
        <f t="shared" si="1"/>
        <v>13119.572143118372</v>
      </c>
      <c r="D23" s="35">
        <f t="shared" si="1"/>
        <v>13119.572143118372</v>
      </c>
      <c r="E23" s="35">
        <f t="shared" si="1"/>
        <v>13119.572143118372</v>
      </c>
      <c r="F23" s="35">
        <f t="shared" si="1"/>
        <v>13119.572143118372</v>
      </c>
      <c r="G23" s="35">
        <f t="shared" si="1"/>
        <v>13119.572143118372</v>
      </c>
      <c r="H23" s="35">
        <f t="shared" si="1"/>
        <v>13119.572143118372</v>
      </c>
      <c r="I23" s="35">
        <f t="shared" si="1"/>
        <v>13119.572143118372</v>
      </c>
      <c r="J23" s="35">
        <f t="shared" si="1"/>
        <v>13119.572143118372</v>
      </c>
      <c r="K23" s="35">
        <f t="shared" si="1"/>
        <v>13119.572143118372</v>
      </c>
      <c r="L23" s="35">
        <f t="shared" si="1"/>
        <v>13119.572143118372</v>
      </c>
      <c r="M23" s="35">
        <f t="shared" si="1"/>
        <v>13119.572143118372</v>
      </c>
      <c r="N23" s="35">
        <f t="shared" si="1"/>
        <v>13119.572143118372</v>
      </c>
      <c r="O23" s="35">
        <f t="shared" si="1"/>
        <v>13119.572143118372</v>
      </c>
      <c r="P23" s="35">
        <f t="shared" si="1"/>
        <v>13119.572143118372</v>
      </c>
      <c r="Q23" s="35">
        <f t="shared" si="1"/>
        <v>13119.572143118372</v>
      </c>
      <c r="R23" s="35">
        <f t="shared" si="1"/>
        <v>13119.572143118372</v>
      </c>
      <c r="S23" s="35">
        <f t="shared" si="1"/>
        <v>13119.572143118372</v>
      </c>
      <c r="T23" s="35">
        <f t="shared" si="1"/>
        <v>13119.572143118372</v>
      </c>
      <c r="U23" s="35">
        <f t="shared" si="1"/>
        <v>13119.572143118372</v>
      </c>
      <c r="V23" s="35">
        <f t="shared" si="1"/>
        <v>13119.572143118372</v>
      </c>
      <c r="W23" s="35">
        <f t="shared" si="1"/>
        <v>13119.572143118372</v>
      </c>
      <c r="X23" s="35">
        <f t="shared" si="1"/>
        <v>13119.572143118372</v>
      </c>
      <c r="Y23" s="35">
        <f t="shared" si="1"/>
        <v>13119.572143118372</v>
      </c>
      <c r="Z23" s="35">
        <f t="shared" si="1"/>
        <v>13119.572143118372</v>
      </c>
      <c r="AA23" s="35">
        <f t="shared" si="1"/>
        <v>13119.572143118372</v>
      </c>
      <c r="AB23" s="35">
        <f t="shared" si="1"/>
        <v>13119.572143118372</v>
      </c>
      <c r="AC23" s="35">
        <f t="shared" si="1"/>
        <v>13119.572143118372</v>
      </c>
      <c r="AD23" s="35">
        <f t="shared" si="1"/>
        <v>13119.572143118372</v>
      </c>
      <c r="AE23" s="35">
        <f t="shared" si="1"/>
        <v>13119.572143118372</v>
      </c>
      <c r="AF23" s="35">
        <f t="shared" si="1"/>
        <v>13119.572143118372</v>
      </c>
      <c r="AG23" s="35">
        <f t="shared" si="1"/>
        <v>13119.572143118372</v>
      </c>
      <c r="AH23" s="35">
        <f t="shared" si="1"/>
        <v>13119.572143118372</v>
      </c>
      <c r="AI23" s="35">
        <f t="shared" si="1"/>
        <v>13119.572143118372</v>
      </c>
      <c r="AJ23" s="35">
        <f t="shared" si="1"/>
        <v>13119.572143118372</v>
      </c>
      <c r="AK23" s="35">
        <f t="shared" si="1"/>
        <v>13119.572143118372</v>
      </c>
      <c r="AL23" s="35">
        <f t="shared" si="1"/>
        <v>13119.572143118372</v>
      </c>
      <c r="AM23" s="35">
        <f t="shared" si="1"/>
        <v>13119.572143118372</v>
      </c>
      <c r="AN23" s="35">
        <f t="shared" si="1"/>
        <v>13119.572143118372</v>
      </c>
    </row>
    <row r="24" spans="1:40">
      <c r="A24" s="22" t="s">
        <v>26</v>
      </c>
      <c r="B24">
        <f>LDV_Fuel_Econ_Beginning</f>
        <v>10.06</v>
      </c>
      <c r="C24" s="33">
        <f t="shared" ref="C24:AN24" si="2">LDV_Fuel_Econ_Beginning</f>
        <v>10.06</v>
      </c>
      <c r="D24" s="33">
        <f t="shared" si="2"/>
        <v>10.06</v>
      </c>
      <c r="E24" s="33">
        <f t="shared" si="2"/>
        <v>10.06</v>
      </c>
      <c r="F24" s="33">
        <f t="shared" si="2"/>
        <v>10.06</v>
      </c>
      <c r="G24" s="33">
        <f t="shared" si="2"/>
        <v>10.06</v>
      </c>
      <c r="H24" s="33">
        <f t="shared" si="2"/>
        <v>10.06</v>
      </c>
      <c r="I24" s="33">
        <f t="shared" si="2"/>
        <v>10.06</v>
      </c>
      <c r="J24" s="33">
        <f t="shared" si="2"/>
        <v>10.06</v>
      </c>
      <c r="K24" s="33">
        <f t="shared" si="2"/>
        <v>10.06</v>
      </c>
      <c r="L24" s="33">
        <f t="shared" si="2"/>
        <v>10.06</v>
      </c>
      <c r="M24" s="33">
        <f t="shared" si="2"/>
        <v>10.06</v>
      </c>
      <c r="N24" s="33">
        <f t="shared" si="2"/>
        <v>10.06</v>
      </c>
      <c r="O24" s="33">
        <f t="shared" si="2"/>
        <v>10.06</v>
      </c>
      <c r="P24" s="33">
        <f t="shared" si="2"/>
        <v>10.06</v>
      </c>
      <c r="Q24" s="41">
        <f t="shared" si="2"/>
        <v>10.06</v>
      </c>
      <c r="R24" s="41">
        <f t="shared" si="2"/>
        <v>10.06</v>
      </c>
      <c r="S24" s="41">
        <f t="shared" si="2"/>
        <v>10.06</v>
      </c>
      <c r="T24" s="41">
        <f t="shared" si="2"/>
        <v>10.06</v>
      </c>
      <c r="U24" s="41">
        <f t="shared" si="2"/>
        <v>10.06</v>
      </c>
      <c r="V24" s="41">
        <f t="shared" si="2"/>
        <v>10.06</v>
      </c>
      <c r="W24" s="41">
        <f t="shared" si="2"/>
        <v>10.06</v>
      </c>
      <c r="X24" s="41">
        <f t="shared" si="2"/>
        <v>10.06</v>
      </c>
      <c r="Y24" s="41">
        <f t="shared" si="2"/>
        <v>10.06</v>
      </c>
      <c r="Z24" s="41">
        <f t="shared" si="2"/>
        <v>10.06</v>
      </c>
      <c r="AA24" s="41">
        <f t="shared" si="2"/>
        <v>10.06</v>
      </c>
      <c r="AB24" s="41">
        <f t="shared" si="2"/>
        <v>10.06</v>
      </c>
      <c r="AC24" s="41">
        <f t="shared" si="2"/>
        <v>10.06</v>
      </c>
      <c r="AD24" s="41">
        <f t="shared" si="2"/>
        <v>10.06</v>
      </c>
      <c r="AE24" s="41">
        <f t="shared" si="2"/>
        <v>10.06</v>
      </c>
      <c r="AF24" s="41">
        <f t="shared" si="2"/>
        <v>10.06</v>
      </c>
      <c r="AG24" s="41">
        <f t="shared" si="2"/>
        <v>10.06</v>
      </c>
      <c r="AH24" s="41">
        <f t="shared" si="2"/>
        <v>10.06</v>
      </c>
      <c r="AI24" s="41">
        <f t="shared" si="2"/>
        <v>10.06</v>
      </c>
      <c r="AJ24" s="41">
        <f t="shared" si="2"/>
        <v>10.06</v>
      </c>
      <c r="AK24" s="41">
        <f t="shared" si="2"/>
        <v>10.06</v>
      </c>
      <c r="AL24" s="41">
        <f t="shared" si="2"/>
        <v>10.06</v>
      </c>
      <c r="AM24" s="41">
        <f t="shared" si="2"/>
        <v>10.06</v>
      </c>
      <c r="AN24" s="41">
        <f t="shared" si="2"/>
        <v>10.06</v>
      </c>
    </row>
    <row r="25" spans="1:40">
      <c r="A25" s="23" t="s">
        <v>27</v>
      </c>
      <c r="B25" s="39">
        <f>($B$22*Scrap_Rate)+(IF(C22-B22&gt;0,(C22-B22),0))</f>
        <v>1472.2673282425403</v>
      </c>
      <c r="C25" s="39">
        <f t="shared" ref="C25:O25" si="3">($B$22*Scrap_Rate)+(IF(D22-C22&gt;0,(D22-C22),0))</f>
        <v>1897.9058142210251</v>
      </c>
      <c r="D25" s="39">
        <f t="shared" si="3"/>
        <v>3415.3306104151152</v>
      </c>
      <c r="E25" s="39">
        <f t="shared" si="3"/>
        <v>1237.4256440604777</v>
      </c>
      <c r="F25" s="39">
        <f t="shared" si="3"/>
        <v>1246.3601892636771</v>
      </c>
      <c r="G25" s="39">
        <f t="shared" si="3"/>
        <v>1255.5520493687281</v>
      </c>
      <c r="H25" s="39">
        <f t="shared" si="3"/>
        <v>927.19838006047678</v>
      </c>
      <c r="I25" s="39">
        <f t="shared" si="3"/>
        <v>927.19838006047678</v>
      </c>
      <c r="J25" s="39">
        <f t="shared" si="3"/>
        <v>927.19838006047678</v>
      </c>
      <c r="K25" s="39">
        <f t="shared" si="3"/>
        <v>927.19838006047678</v>
      </c>
      <c r="L25" s="39">
        <f t="shared" si="3"/>
        <v>927.19838006047678</v>
      </c>
      <c r="M25" s="39">
        <f t="shared" si="3"/>
        <v>927.19838006047678</v>
      </c>
      <c r="N25" s="39">
        <f t="shared" si="3"/>
        <v>927.19838006047678</v>
      </c>
      <c r="O25" s="39">
        <f t="shared" si="3"/>
        <v>927.19838006047678</v>
      </c>
      <c r="P25" s="39">
        <f t="shared" ref="P25:AN25" si="4">($B$22*Scrap_Rate)+(IF(P22-O22&gt;0,(P22-O22),0))</f>
        <v>927.19838006047678</v>
      </c>
      <c r="Q25" s="39">
        <f t="shared" si="4"/>
        <v>927.19838006047678</v>
      </c>
      <c r="R25" s="39">
        <f t="shared" si="4"/>
        <v>927.19838006047678</v>
      </c>
      <c r="S25" s="39">
        <f t="shared" si="4"/>
        <v>927.19838006047678</v>
      </c>
      <c r="T25" s="39">
        <f t="shared" si="4"/>
        <v>927.19838006047678</v>
      </c>
      <c r="U25" s="39">
        <f t="shared" si="4"/>
        <v>1210.044594961525</v>
      </c>
      <c r="V25" s="39">
        <f t="shared" si="4"/>
        <v>1239.9180693637254</v>
      </c>
      <c r="W25" s="39">
        <f t="shared" si="4"/>
        <v>1248.9243964156567</v>
      </c>
      <c r="X25" s="39">
        <f t="shared" si="4"/>
        <v>1258.1901056866891</v>
      </c>
      <c r="Y25" s="39">
        <f t="shared" si="4"/>
        <v>1267.7226673847208</v>
      </c>
      <c r="Z25" s="39">
        <f t="shared" si="4"/>
        <v>1277.5297668596604</v>
      </c>
      <c r="AA25" s="39">
        <f t="shared" si="4"/>
        <v>1287.6193107994741</v>
      </c>
      <c r="AB25" s="39">
        <f t="shared" si="4"/>
        <v>1297.9994336047612</v>
      </c>
      <c r="AC25" s="39">
        <f t="shared" si="4"/>
        <v>1308.678503946835</v>
      </c>
      <c r="AD25" s="39">
        <f t="shared" si="4"/>
        <v>1319.6651315147619</v>
      </c>
      <c r="AE25" s="39">
        <f t="shared" si="4"/>
        <v>1330.9681739566431</v>
      </c>
      <c r="AF25" s="39">
        <f t="shared" si="4"/>
        <v>1342.5967440208578</v>
      </c>
      <c r="AG25" s="39">
        <f t="shared" si="4"/>
        <v>1354.5602169029144</v>
      </c>
      <c r="AH25" s="39">
        <f t="shared" si="4"/>
        <v>1366.8682378039766</v>
      </c>
      <c r="AI25" s="39">
        <f t="shared" si="4"/>
        <v>1379.5307297069894</v>
      </c>
      <c r="AJ25" s="39">
        <f t="shared" si="4"/>
        <v>1392.5579013768083</v>
      </c>
      <c r="AK25" s="39">
        <f t="shared" si="4"/>
        <v>1405.9602555907195</v>
      </c>
      <c r="AL25" s="39">
        <f t="shared" si="4"/>
        <v>1419.7485976059879</v>
      </c>
      <c r="AM25" s="39">
        <f t="shared" si="4"/>
        <v>1433.9340438713052</v>
      </c>
      <c r="AN25" s="39">
        <f t="shared" si="4"/>
        <v>1448.5280309890522</v>
      </c>
    </row>
    <row r="26" spans="1:40" s="41" customFormat="1">
      <c r="A26" s="23" t="s">
        <v>71</v>
      </c>
      <c r="B26" s="39">
        <f>B25-B36</f>
        <v>1472.2673282425403</v>
      </c>
      <c r="C26" s="39">
        <f t="shared" ref="C26:P26" si="5">C25-C36</f>
        <v>1897.9058142210251</v>
      </c>
      <c r="D26" s="39">
        <f t="shared" si="5"/>
        <v>3415.3306104151152</v>
      </c>
      <c r="E26" s="39">
        <f t="shared" si="5"/>
        <v>1237.4256440604777</v>
      </c>
      <c r="F26" s="39">
        <f t="shared" si="5"/>
        <v>1246.3601892636771</v>
      </c>
      <c r="G26" s="39">
        <f t="shared" si="5"/>
        <v>1255.5520493687281</v>
      </c>
      <c r="H26" s="39">
        <f t="shared" si="5"/>
        <v>927.19838006047678</v>
      </c>
      <c r="I26" s="39">
        <f t="shared" si="5"/>
        <v>919.50263350597481</v>
      </c>
      <c r="J26" s="39">
        <f t="shared" si="5"/>
        <v>911.80688695147285</v>
      </c>
      <c r="K26" s="39">
        <f t="shared" si="5"/>
        <v>904.11114039697088</v>
      </c>
      <c r="L26" s="39">
        <f t="shared" si="5"/>
        <v>896.41539384246892</v>
      </c>
      <c r="M26" s="39">
        <f t="shared" si="5"/>
        <v>888.71964728796695</v>
      </c>
      <c r="N26" s="39">
        <f t="shared" si="5"/>
        <v>881.02390073346498</v>
      </c>
      <c r="O26" s="39">
        <f t="shared" si="5"/>
        <v>873.32815417896302</v>
      </c>
      <c r="P26" s="39">
        <f t="shared" si="5"/>
        <v>865.63240762446117</v>
      </c>
      <c r="Q26" s="39">
        <f t="shared" ref="Q26:AN26" si="6">Q25-Q36</f>
        <v>857.9366610699592</v>
      </c>
      <c r="R26" s="39">
        <f t="shared" si="6"/>
        <v>850.24091451545723</v>
      </c>
      <c r="S26" s="39">
        <f t="shared" si="6"/>
        <v>842.54516796095527</v>
      </c>
      <c r="T26" s="39">
        <f t="shared" si="6"/>
        <v>834.8494214064533</v>
      </c>
      <c r="U26" s="39">
        <f t="shared" si="6"/>
        <v>1089.0401354653725</v>
      </c>
      <c r="V26" s="39">
        <f t="shared" si="6"/>
        <v>1115.9262624273529</v>
      </c>
      <c r="W26" s="39">
        <f t="shared" si="6"/>
        <v>1124.031956774091</v>
      </c>
      <c r="X26" s="39">
        <f t="shared" si="6"/>
        <v>1132.3710951180201</v>
      </c>
      <c r="Y26" s="39">
        <f t="shared" si="6"/>
        <v>1140.9504006462487</v>
      </c>
      <c r="Z26" s="39">
        <f t="shared" si="6"/>
        <v>1149.7767901736943</v>
      </c>
      <c r="AA26" s="39">
        <f t="shared" si="6"/>
        <v>1158.8573797195268</v>
      </c>
      <c r="AB26" s="39">
        <f t="shared" si="6"/>
        <v>1168.199490244285</v>
      </c>
      <c r="AC26" s="39">
        <f t="shared" si="6"/>
        <v>1177.8106535521515</v>
      </c>
      <c r="AD26" s="39">
        <f t="shared" si="6"/>
        <v>1187.6986183632857</v>
      </c>
      <c r="AE26" s="39">
        <f t="shared" si="6"/>
        <v>1197.8713565609787</v>
      </c>
      <c r="AF26" s="39">
        <f t="shared" si="6"/>
        <v>1208.3370696187721</v>
      </c>
      <c r="AG26" s="39">
        <f t="shared" si="6"/>
        <v>1219.1041952126229</v>
      </c>
      <c r="AH26" s="39">
        <f t="shared" si="6"/>
        <v>1230.181414023579</v>
      </c>
      <c r="AI26" s="39">
        <f t="shared" si="6"/>
        <v>1241.5776567362905</v>
      </c>
      <c r="AJ26" s="39">
        <f t="shared" si="6"/>
        <v>1253.3021112391275</v>
      </c>
      <c r="AK26" s="39">
        <f t="shared" si="6"/>
        <v>1265.3642300316476</v>
      </c>
      <c r="AL26" s="39">
        <f t="shared" si="6"/>
        <v>1277.7737378453892</v>
      </c>
      <c r="AM26" s="39">
        <f t="shared" si="6"/>
        <v>1290.5406394841748</v>
      </c>
      <c r="AN26" s="39">
        <f t="shared" si="6"/>
        <v>1303.675227890147</v>
      </c>
    </row>
    <row r="27" spans="1:40">
      <c r="A27" s="28" t="s">
        <v>117</v>
      </c>
      <c r="B27" s="33">
        <f>LDV_Fuel_Econ_Beginning</f>
        <v>10.06</v>
      </c>
      <c r="C27" s="33">
        <f t="shared" ref="C27:I27" si="7">LDV_Fuel_Econ_Beginning</f>
        <v>10.06</v>
      </c>
      <c r="D27" s="33">
        <f t="shared" si="7"/>
        <v>10.06</v>
      </c>
      <c r="E27" s="33">
        <f t="shared" si="7"/>
        <v>10.06</v>
      </c>
      <c r="F27" s="33">
        <f t="shared" si="7"/>
        <v>10.06</v>
      </c>
      <c r="G27" s="41">
        <f t="shared" si="7"/>
        <v>10.06</v>
      </c>
      <c r="H27" s="41">
        <f t="shared" si="7"/>
        <v>10.06</v>
      </c>
      <c r="I27" s="41">
        <f t="shared" si="7"/>
        <v>10.06</v>
      </c>
      <c r="J27" s="36">
        <f t="shared" ref="J27:T27" si="8">I27-Annual_FE_Improvement</f>
        <v>9.7856363636363639</v>
      </c>
      <c r="K27" s="36">
        <f t="shared" si="8"/>
        <v>9.5112727272727273</v>
      </c>
      <c r="L27" s="36">
        <f t="shared" si="8"/>
        <v>9.2369090909090907</v>
      </c>
      <c r="M27" s="36">
        <f t="shared" si="8"/>
        <v>8.9625454545454541</v>
      </c>
      <c r="N27" s="36">
        <f t="shared" si="8"/>
        <v>8.6881818181818176</v>
      </c>
      <c r="O27" s="36">
        <f t="shared" si="8"/>
        <v>8.413818181818181</v>
      </c>
      <c r="P27" s="36">
        <f t="shared" si="8"/>
        <v>8.1394545454545444</v>
      </c>
      <c r="Q27" s="36">
        <f t="shared" si="8"/>
        <v>7.8650909090909078</v>
      </c>
      <c r="R27" s="36">
        <f t="shared" si="8"/>
        <v>7.5907272727272712</v>
      </c>
      <c r="S27" s="36">
        <f t="shared" si="8"/>
        <v>7.3163636363636346</v>
      </c>
      <c r="T27" s="36">
        <f t="shared" si="8"/>
        <v>7.041999999999998</v>
      </c>
      <c r="U27" s="36">
        <f>T27</f>
        <v>7.041999999999998</v>
      </c>
      <c r="V27" s="36">
        <f t="shared" ref="V27:AN27" si="9">U27</f>
        <v>7.041999999999998</v>
      </c>
      <c r="W27" s="36">
        <f t="shared" si="9"/>
        <v>7.041999999999998</v>
      </c>
      <c r="X27" s="36">
        <f t="shared" si="9"/>
        <v>7.041999999999998</v>
      </c>
      <c r="Y27" s="36">
        <f t="shared" si="9"/>
        <v>7.041999999999998</v>
      </c>
      <c r="Z27" s="36">
        <f t="shared" si="9"/>
        <v>7.041999999999998</v>
      </c>
      <c r="AA27" s="36">
        <f t="shared" si="9"/>
        <v>7.041999999999998</v>
      </c>
      <c r="AB27" s="36">
        <f t="shared" si="9"/>
        <v>7.041999999999998</v>
      </c>
      <c r="AC27" s="36">
        <f t="shared" si="9"/>
        <v>7.041999999999998</v>
      </c>
      <c r="AD27" s="36">
        <f t="shared" si="9"/>
        <v>7.041999999999998</v>
      </c>
      <c r="AE27" s="36">
        <f t="shared" si="9"/>
        <v>7.041999999999998</v>
      </c>
      <c r="AF27" s="36">
        <f t="shared" si="9"/>
        <v>7.041999999999998</v>
      </c>
      <c r="AG27" s="36">
        <f t="shared" si="9"/>
        <v>7.041999999999998</v>
      </c>
      <c r="AH27" s="36">
        <f t="shared" si="9"/>
        <v>7.041999999999998</v>
      </c>
      <c r="AI27" s="36">
        <f t="shared" si="9"/>
        <v>7.041999999999998</v>
      </c>
      <c r="AJ27" s="36">
        <f t="shared" si="9"/>
        <v>7.041999999999998</v>
      </c>
      <c r="AK27" s="36">
        <f t="shared" si="9"/>
        <v>7.041999999999998</v>
      </c>
      <c r="AL27" s="36">
        <f t="shared" si="9"/>
        <v>7.041999999999998</v>
      </c>
      <c r="AM27" s="36">
        <f t="shared" si="9"/>
        <v>7.041999999999998</v>
      </c>
      <c r="AN27" s="36">
        <f t="shared" si="9"/>
        <v>7.041999999999998</v>
      </c>
    </row>
    <row r="28" spans="1:40">
      <c r="A28" s="23" t="s">
        <v>120</v>
      </c>
      <c r="B28" s="35">
        <f>B26*B23*(B27/100)</f>
        <v>1943141.053139515</v>
      </c>
      <c r="C28" s="35">
        <f t="shared" ref="C28:AN28" si="10">C26*C23*(C27/100)</f>
        <v>2504911.0524019655</v>
      </c>
      <c r="D28" s="35">
        <f t="shared" si="10"/>
        <v>4507652.2393957265</v>
      </c>
      <c r="E28" s="35">
        <f t="shared" si="10"/>
        <v>1633190.1979050131</v>
      </c>
      <c r="F28" s="35">
        <f t="shared" si="10"/>
        <v>1644982.2693871614</v>
      </c>
      <c r="G28" s="35">
        <f t="shared" si="10"/>
        <v>1657113.952527995</v>
      </c>
      <c r="H28" s="35">
        <f t="shared" si="10"/>
        <v>1223743.2714415027</v>
      </c>
      <c r="I28" s="35">
        <f t="shared" si="10"/>
        <v>1213586.2022885382</v>
      </c>
      <c r="J28" s="35">
        <f t="shared" si="10"/>
        <v>1170608.3385955128</v>
      </c>
      <c r="K28" s="35">
        <f t="shared" si="10"/>
        <v>1128184.4968562853</v>
      </c>
      <c r="L28" s="35">
        <f t="shared" si="10"/>
        <v>1086314.6770708556</v>
      </c>
      <c r="M28" s="35">
        <f t="shared" si="10"/>
        <v>1044998.8792392241</v>
      </c>
      <c r="N28" s="35">
        <f t="shared" si="10"/>
        <v>1004237.1033613908</v>
      </c>
      <c r="O28" s="35">
        <f t="shared" si="10"/>
        <v>964029.34943735553</v>
      </c>
      <c r="P28" s="35">
        <f t="shared" si="10"/>
        <v>924375.61746711843</v>
      </c>
      <c r="Q28" s="35">
        <f t="shared" si="10"/>
        <v>885275.90745067922</v>
      </c>
      <c r="R28" s="35">
        <f t="shared" si="10"/>
        <v>846730.21938803815</v>
      </c>
      <c r="S28" s="35">
        <f t="shared" si="10"/>
        <v>808738.5532791951</v>
      </c>
      <c r="T28" s="35">
        <f t="shared" si="10"/>
        <v>771300.90912415017</v>
      </c>
      <c r="U28" s="35">
        <f t="shared" si="10"/>
        <v>1006142.6947413303</v>
      </c>
      <c r="V28" s="35">
        <f t="shared" si="10"/>
        <v>1030982.2569867795</v>
      </c>
      <c r="W28" s="35">
        <f t="shared" si="10"/>
        <v>1038470.9480709622</v>
      </c>
      <c r="X28" s="35">
        <f t="shared" si="10"/>
        <v>1046175.313458374</v>
      </c>
      <c r="Y28" s="35">
        <f t="shared" si="10"/>
        <v>1054101.564568938</v>
      </c>
      <c r="Z28" s="35">
        <f t="shared" si="10"/>
        <v>1062256.0917114899</v>
      </c>
      <c r="AA28" s="35">
        <f t="shared" si="10"/>
        <v>1070645.4692357439</v>
      </c>
      <c r="AB28" s="35">
        <f t="shared" si="10"/>
        <v>1079276.460832702</v>
      </c>
      <c r="AC28" s="35">
        <f t="shared" si="10"/>
        <v>1088156.0249876478</v>
      </c>
      <c r="AD28" s="35">
        <f t="shared" si="10"/>
        <v>1097291.3205902574</v>
      </c>
      <c r="AE28" s="35">
        <f t="shared" si="10"/>
        <v>1106689.7127062201</v>
      </c>
      <c r="AF28" s="35">
        <f t="shared" si="10"/>
        <v>1116358.7785151291</v>
      </c>
      <c r="AG28" s="35">
        <f t="shared" si="10"/>
        <v>1126306.3134193281</v>
      </c>
      <c r="AH28" s="35">
        <f t="shared" si="10"/>
        <v>1136540.3373287702</v>
      </c>
      <c r="AI28" s="35">
        <f t="shared" si="10"/>
        <v>1147069.101126804</v>
      </c>
      <c r="AJ28" s="35">
        <f t="shared" si="10"/>
        <v>1157901.093322221</v>
      </c>
      <c r="AK28" s="35">
        <f t="shared" si="10"/>
        <v>1169045.046892867</v>
      </c>
      <c r="AL28" s="35">
        <f t="shared" si="10"/>
        <v>1180509.9463263447</v>
      </c>
      <c r="AM28" s="35">
        <f t="shared" si="10"/>
        <v>1192305.0348635146</v>
      </c>
      <c r="AN28" s="35">
        <f t="shared" si="10"/>
        <v>1204439.8219505448</v>
      </c>
    </row>
    <row r="29" spans="1:40">
      <c r="A29" s="23" t="s">
        <v>28</v>
      </c>
      <c r="B29" s="35">
        <f>(B26*B23*B24/100)</f>
        <v>1943141.053139515</v>
      </c>
      <c r="C29" s="35">
        <f t="shared" ref="C29:AN29" si="11">(C26*C23*C24/100)</f>
        <v>2504911.0524019655</v>
      </c>
      <c r="D29" s="35">
        <f t="shared" si="11"/>
        <v>4507652.2393957265</v>
      </c>
      <c r="E29" s="35">
        <f t="shared" si="11"/>
        <v>1633190.1979050129</v>
      </c>
      <c r="F29" s="35">
        <f t="shared" si="11"/>
        <v>1644982.2693871614</v>
      </c>
      <c r="G29" s="35">
        <f t="shared" si="11"/>
        <v>1657113.9525279948</v>
      </c>
      <c r="H29" s="35">
        <f t="shared" si="11"/>
        <v>1223743.2714415027</v>
      </c>
      <c r="I29" s="35">
        <f t="shared" si="11"/>
        <v>1213586.2022885382</v>
      </c>
      <c r="J29" s="35">
        <f t="shared" si="11"/>
        <v>1203429.1331355737</v>
      </c>
      <c r="K29" s="35">
        <f t="shared" si="11"/>
        <v>1193272.0639826094</v>
      </c>
      <c r="L29" s="35">
        <f t="shared" si="11"/>
        <v>1183114.9948296449</v>
      </c>
      <c r="M29" s="35">
        <f t="shared" si="11"/>
        <v>1172957.9256766804</v>
      </c>
      <c r="N29" s="35">
        <f t="shared" si="11"/>
        <v>1162800.8565237159</v>
      </c>
      <c r="O29" s="35">
        <f t="shared" si="11"/>
        <v>1152643.7873707514</v>
      </c>
      <c r="P29" s="35">
        <f t="shared" si="11"/>
        <v>1142486.7182177871</v>
      </c>
      <c r="Q29" s="35">
        <f t="shared" si="11"/>
        <v>1132329.6490648226</v>
      </c>
      <c r="R29" s="35">
        <f t="shared" si="11"/>
        <v>1122172.5799118581</v>
      </c>
      <c r="S29" s="35">
        <f t="shared" si="11"/>
        <v>1112015.5107588936</v>
      </c>
      <c r="T29" s="35">
        <f t="shared" si="11"/>
        <v>1101858.4416059291</v>
      </c>
      <c r="U29" s="35">
        <f t="shared" si="11"/>
        <v>1437346.7067733298</v>
      </c>
      <c r="V29" s="35">
        <f t="shared" si="11"/>
        <v>1472831.7956953999</v>
      </c>
      <c r="W29" s="35">
        <f t="shared" si="11"/>
        <v>1483529.925815661</v>
      </c>
      <c r="X29" s="35">
        <f t="shared" si="11"/>
        <v>1494536.1620833918</v>
      </c>
      <c r="Y29" s="35">
        <f t="shared" si="11"/>
        <v>1505859.377955626</v>
      </c>
      <c r="Z29" s="35">
        <f t="shared" si="11"/>
        <v>1517508.7024449862</v>
      </c>
      <c r="AA29" s="35">
        <f t="shared" si="11"/>
        <v>1529493.5274796346</v>
      </c>
      <c r="AB29" s="35">
        <f t="shared" si="11"/>
        <v>1541823.515475289</v>
      </c>
      <c r="AC29" s="35">
        <f t="shared" si="11"/>
        <v>1554508.6071252117</v>
      </c>
      <c r="AD29" s="35">
        <f t="shared" si="11"/>
        <v>1567559.0294146538</v>
      </c>
      <c r="AE29" s="35">
        <f t="shared" si="11"/>
        <v>1580985.3038660295</v>
      </c>
      <c r="AF29" s="35">
        <f t="shared" si="11"/>
        <v>1594798.2550216136</v>
      </c>
      <c r="AG29" s="35">
        <f t="shared" si="11"/>
        <v>1609009.0191704691</v>
      </c>
      <c r="AH29" s="35">
        <f t="shared" si="11"/>
        <v>1623629.0533268151</v>
      </c>
      <c r="AI29" s="35">
        <f t="shared" si="11"/>
        <v>1638670.1444668635</v>
      </c>
      <c r="AJ29" s="35">
        <f t="shared" si="11"/>
        <v>1654144.4190317448</v>
      </c>
      <c r="AK29" s="35">
        <f t="shared" si="11"/>
        <v>1670064.3527040961</v>
      </c>
      <c r="AL29" s="35">
        <f t="shared" si="11"/>
        <v>1686442.7804662075</v>
      </c>
      <c r="AM29" s="35">
        <f t="shared" si="11"/>
        <v>1703292.9069478782</v>
      </c>
      <c r="AN29" s="35">
        <f t="shared" si="11"/>
        <v>1720628.3170722076</v>
      </c>
    </row>
    <row r="30" spans="1:40">
      <c r="A30" s="23" t="s">
        <v>29</v>
      </c>
      <c r="B30" s="34">
        <f>B29-B28</f>
        <v>0</v>
      </c>
      <c r="C30" s="34">
        <f t="shared" ref="C30:P30" si="12">C29-C28</f>
        <v>0</v>
      </c>
      <c r="D30" s="34">
        <f t="shared" si="12"/>
        <v>0</v>
      </c>
      <c r="E30" s="34">
        <f t="shared" si="12"/>
        <v>0</v>
      </c>
      <c r="F30" s="34">
        <f t="shared" si="12"/>
        <v>0</v>
      </c>
      <c r="G30" s="34">
        <f t="shared" si="12"/>
        <v>0</v>
      </c>
      <c r="H30" s="34">
        <f>H29-H28</f>
        <v>0</v>
      </c>
      <c r="I30" s="34">
        <f t="shared" si="12"/>
        <v>0</v>
      </c>
      <c r="J30" s="34">
        <f t="shared" si="12"/>
        <v>32820.794540060917</v>
      </c>
      <c r="K30" s="34">
        <f t="shared" si="12"/>
        <v>65087.567126324167</v>
      </c>
      <c r="L30" s="34">
        <f t="shared" si="12"/>
        <v>96800.317758789286</v>
      </c>
      <c r="M30" s="34">
        <f t="shared" si="12"/>
        <v>127959.04643745627</v>
      </c>
      <c r="N30" s="34">
        <f t="shared" si="12"/>
        <v>158563.75316232513</v>
      </c>
      <c r="O30" s="34">
        <f t="shared" si="12"/>
        <v>188614.43793339585</v>
      </c>
      <c r="P30" s="34">
        <f t="shared" si="12"/>
        <v>218111.10075066867</v>
      </c>
      <c r="Q30" s="42">
        <f t="shared" ref="Q30:AN30" si="13">Q29-Q28</f>
        <v>247053.74161414336</v>
      </c>
      <c r="R30" s="42">
        <f t="shared" si="13"/>
        <v>275442.36052381992</v>
      </c>
      <c r="S30" s="42">
        <f t="shared" si="13"/>
        <v>303276.95747969847</v>
      </c>
      <c r="T30" s="42">
        <f t="shared" si="13"/>
        <v>330557.53248177888</v>
      </c>
      <c r="U30" s="42">
        <f t="shared" si="13"/>
        <v>431204.01203199942</v>
      </c>
      <c r="V30" s="42">
        <f t="shared" si="13"/>
        <v>441849.53870862036</v>
      </c>
      <c r="W30" s="42">
        <f t="shared" si="13"/>
        <v>445058.97774469876</v>
      </c>
      <c r="X30" s="42">
        <f t="shared" si="13"/>
        <v>448360.8486250178</v>
      </c>
      <c r="Y30" s="42">
        <f t="shared" si="13"/>
        <v>451757.81338668801</v>
      </c>
      <c r="Z30" s="42">
        <f t="shared" si="13"/>
        <v>455252.61073349626</v>
      </c>
      <c r="AA30" s="42">
        <f t="shared" si="13"/>
        <v>458848.05824389076</v>
      </c>
      <c r="AB30" s="42">
        <f t="shared" si="13"/>
        <v>462547.05464258697</v>
      </c>
      <c r="AC30" s="42">
        <f t="shared" si="13"/>
        <v>466352.58213756396</v>
      </c>
      <c r="AD30" s="42">
        <f t="shared" si="13"/>
        <v>470267.70882439637</v>
      </c>
      <c r="AE30" s="42">
        <f t="shared" si="13"/>
        <v>474295.59115980938</v>
      </c>
      <c r="AF30" s="42">
        <f t="shared" si="13"/>
        <v>478439.47650648444</v>
      </c>
      <c r="AG30" s="42">
        <f t="shared" si="13"/>
        <v>482702.70575114107</v>
      </c>
      <c r="AH30" s="42">
        <f t="shared" si="13"/>
        <v>487088.71599804494</v>
      </c>
      <c r="AI30" s="42">
        <f t="shared" si="13"/>
        <v>491601.04334005946</v>
      </c>
      <c r="AJ30" s="42">
        <f t="shared" si="13"/>
        <v>496243.32570952387</v>
      </c>
      <c r="AK30" s="42">
        <f t="shared" si="13"/>
        <v>501019.30581122916</v>
      </c>
      <c r="AL30" s="42">
        <f t="shared" si="13"/>
        <v>505932.8341398628</v>
      </c>
      <c r="AM30" s="42">
        <f t="shared" si="13"/>
        <v>510987.8720843636</v>
      </c>
      <c r="AN30" s="42">
        <f t="shared" si="13"/>
        <v>516188.49512166274</v>
      </c>
    </row>
    <row r="31" spans="1:40" s="56" customFormat="1">
      <c r="A31" s="54" t="s">
        <v>30</v>
      </c>
      <c r="B31" s="55">
        <f>B30</f>
        <v>0</v>
      </c>
      <c r="C31" s="55">
        <f>SUM(B30:C30)</f>
        <v>0</v>
      </c>
      <c r="D31" s="55">
        <f>SUM(B30:D30)</f>
        <v>0</v>
      </c>
      <c r="E31" s="55">
        <f>SUM(B30:E30)</f>
        <v>0</v>
      </c>
      <c r="F31" s="55">
        <f>SUM(B30:F30)</f>
        <v>0</v>
      </c>
      <c r="G31" s="55">
        <f>SUM(B30:G30)</f>
        <v>0</v>
      </c>
      <c r="H31" s="55">
        <f>SUM(B30:H30)</f>
        <v>0</v>
      </c>
      <c r="I31" s="55">
        <f>SUM(B30:I30)</f>
        <v>0</v>
      </c>
      <c r="J31" s="55">
        <f t="shared" ref="J31:P31" si="14">SUM(B30:J30)</f>
        <v>32820.794540060917</v>
      </c>
      <c r="K31" s="55">
        <f>SUM(C30:K30)</f>
        <v>97908.361666385084</v>
      </c>
      <c r="L31" s="55">
        <f t="shared" si="14"/>
        <v>194708.67942517437</v>
      </c>
      <c r="M31" s="55">
        <f t="shared" si="14"/>
        <v>322667.72586263064</v>
      </c>
      <c r="N31" s="55">
        <f t="shared" si="14"/>
        <v>481231.47902495577</v>
      </c>
      <c r="O31" s="55">
        <f t="shared" si="14"/>
        <v>669845.91695835162</v>
      </c>
      <c r="P31" s="55">
        <f t="shared" si="14"/>
        <v>887957.01770902029</v>
      </c>
      <c r="Q31" s="55">
        <f t="shared" ref="Q31:AN31" si="15">SUM(I30:Q30)</f>
        <v>1135010.7593231637</v>
      </c>
      <c r="R31" s="55">
        <f t="shared" si="15"/>
        <v>1410453.1198469836</v>
      </c>
      <c r="S31" s="55">
        <f t="shared" si="15"/>
        <v>1680909.2827866212</v>
      </c>
      <c r="T31" s="55">
        <f t="shared" si="15"/>
        <v>1946379.2481420757</v>
      </c>
      <c r="U31" s="55">
        <f t="shared" si="15"/>
        <v>2280782.9424152859</v>
      </c>
      <c r="V31" s="55">
        <f t="shared" si="15"/>
        <v>2594673.4346864498</v>
      </c>
      <c r="W31" s="55">
        <f t="shared" si="15"/>
        <v>2881168.6592688235</v>
      </c>
      <c r="X31" s="55">
        <f t="shared" si="15"/>
        <v>3140915.0699604456</v>
      </c>
      <c r="Y31" s="55">
        <f t="shared" si="15"/>
        <v>3374561.7825964647</v>
      </c>
      <c r="Z31" s="55">
        <f t="shared" si="15"/>
        <v>3582760.6517158179</v>
      </c>
      <c r="AA31" s="55">
        <f t="shared" si="15"/>
        <v>3766166.3494358887</v>
      </c>
      <c r="AB31" s="55">
        <f t="shared" si="15"/>
        <v>3925436.4465987771</v>
      </c>
      <c r="AC31" s="55">
        <f t="shared" si="15"/>
        <v>4061231.4962545624</v>
      </c>
      <c r="AD31" s="55">
        <f t="shared" si="15"/>
        <v>4100295.1930469591</v>
      </c>
      <c r="AE31" s="55">
        <f t="shared" si="15"/>
        <v>4132741.2454981478</v>
      </c>
      <c r="AF31" s="55">
        <f t="shared" si="15"/>
        <v>4166121.7442599339</v>
      </c>
      <c r="AG31" s="55">
        <f t="shared" si="15"/>
        <v>4200463.6013860572</v>
      </c>
      <c r="AH31" s="55">
        <f t="shared" si="15"/>
        <v>4235794.5039974144</v>
      </c>
      <c r="AI31" s="55">
        <f t="shared" si="15"/>
        <v>4272142.9366039764</v>
      </c>
      <c r="AJ31" s="55">
        <f t="shared" si="15"/>
        <v>4309538.2040696107</v>
      </c>
      <c r="AK31" s="55">
        <f t="shared" si="15"/>
        <v>4348010.4552382529</v>
      </c>
      <c r="AL31" s="55">
        <f t="shared" si="15"/>
        <v>4387590.7072405517</v>
      </c>
      <c r="AM31" s="55">
        <f t="shared" si="15"/>
        <v>4428310.8705005189</v>
      </c>
      <c r="AN31" s="55">
        <f t="shared" si="15"/>
        <v>4470203.7744623721</v>
      </c>
    </row>
    <row r="34" spans="1:41">
      <c r="A34" s="43" t="s">
        <v>7</v>
      </c>
      <c r="B34" s="41"/>
      <c r="C34" s="41"/>
      <c r="D34" s="41"/>
      <c r="E34" s="41"/>
      <c r="F34" s="41"/>
      <c r="G34" s="41"/>
      <c r="H34" s="41"/>
      <c r="I34" s="41"/>
      <c r="J34" s="41"/>
      <c r="K34" s="41"/>
      <c r="L34" s="41"/>
      <c r="M34" s="41"/>
      <c r="N34" s="41"/>
      <c r="O34" s="41"/>
      <c r="P34" s="41"/>
    </row>
    <row r="35" spans="1:41">
      <c r="A35" s="18" t="s">
        <v>3</v>
      </c>
      <c r="B35" s="30">
        <v>2012</v>
      </c>
      <c r="C35" s="30">
        <v>2013</v>
      </c>
      <c r="D35" s="30">
        <v>2014</v>
      </c>
      <c r="E35" s="30">
        <v>2015</v>
      </c>
      <c r="F35" s="30">
        <v>2016</v>
      </c>
      <c r="G35" s="30">
        <v>2017</v>
      </c>
      <c r="H35" s="30">
        <v>2018</v>
      </c>
      <c r="I35" s="30">
        <v>2019</v>
      </c>
      <c r="J35" s="30">
        <v>2020</v>
      </c>
      <c r="K35" s="30">
        <v>2021</v>
      </c>
      <c r="L35" s="30">
        <v>2022</v>
      </c>
      <c r="M35" s="30">
        <v>2023</v>
      </c>
      <c r="N35" s="30">
        <v>2024</v>
      </c>
      <c r="O35" s="30">
        <v>2025</v>
      </c>
      <c r="P35" s="30">
        <v>2026</v>
      </c>
      <c r="Q35" s="30">
        <v>2027</v>
      </c>
      <c r="R35" s="30">
        <v>2028</v>
      </c>
      <c r="S35" s="30">
        <v>2029</v>
      </c>
      <c r="T35" s="30">
        <v>2030</v>
      </c>
      <c r="U35" s="30">
        <v>2031</v>
      </c>
      <c r="V35" s="30">
        <v>2032</v>
      </c>
      <c r="W35" s="30">
        <v>2033</v>
      </c>
      <c r="X35" s="30">
        <v>2034</v>
      </c>
      <c r="Y35" s="30">
        <v>2035</v>
      </c>
      <c r="Z35" s="30">
        <v>2036</v>
      </c>
      <c r="AA35" s="30">
        <v>2037</v>
      </c>
      <c r="AB35" s="30">
        <v>2038</v>
      </c>
      <c r="AC35" s="30">
        <v>2039</v>
      </c>
      <c r="AD35" s="30">
        <v>2040</v>
      </c>
      <c r="AE35" s="30">
        <v>2041</v>
      </c>
      <c r="AF35" s="30">
        <v>2042</v>
      </c>
      <c r="AG35" s="30">
        <v>2043</v>
      </c>
      <c r="AH35" s="30">
        <v>2044</v>
      </c>
      <c r="AI35" s="30">
        <v>2045</v>
      </c>
      <c r="AJ35" s="30">
        <v>2046</v>
      </c>
      <c r="AK35" s="30">
        <v>2047</v>
      </c>
      <c r="AL35" s="30">
        <v>2048</v>
      </c>
      <c r="AM35" s="30">
        <v>2049</v>
      </c>
      <c r="AN35" s="30">
        <v>2050</v>
      </c>
    </row>
    <row r="36" spans="1:41" s="56" customFormat="1">
      <c r="A36" s="1453" t="s">
        <v>72</v>
      </c>
      <c r="B36" s="45">
        <f>B25*Electric_percent*Transportation!B34</f>
        <v>0</v>
      </c>
      <c r="C36" s="45">
        <f>C25*Electric_percent*Transportation!C34</f>
        <v>0</v>
      </c>
      <c r="D36" s="45">
        <f>D25*Electric_percent*Transportation!D34</f>
        <v>0</v>
      </c>
      <c r="E36" s="45">
        <f>E25*Electric_percent*Transportation!E34</f>
        <v>0</v>
      </c>
      <c r="F36" s="45">
        <f>F25*Electric_percent*Transportation!F34</f>
        <v>0</v>
      </c>
      <c r="G36" s="45">
        <f>G25*Electric_percent*Transportation!G34</f>
        <v>0</v>
      </c>
      <c r="H36" s="45">
        <f>H25*Electric_percent*'Basic Parameters and Results'!C142</f>
        <v>0</v>
      </c>
      <c r="I36" s="45">
        <f>I25*Electric_percent*'Basic Parameters and Results'!D142</f>
        <v>7.6957465545019579</v>
      </c>
      <c r="J36" s="45">
        <f>J25*Electric_percent*'Basic Parameters and Results'!E142</f>
        <v>15.391493109003916</v>
      </c>
      <c r="K36" s="45">
        <f>K25*Electric_percent*'Basic Parameters and Results'!F142</f>
        <v>23.087239663505873</v>
      </c>
      <c r="L36" s="45">
        <f>L25*Electric_percent*'Basic Parameters and Results'!G142</f>
        <v>30.782986218007832</v>
      </c>
      <c r="M36" s="45">
        <f>M25*Electric_percent*'Basic Parameters and Results'!H142</f>
        <v>38.478732772509794</v>
      </c>
      <c r="N36" s="45">
        <f>N25*Electric_percent*'Basic Parameters and Results'!I142</f>
        <v>46.174479327011753</v>
      </c>
      <c r="O36" s="45">
        <f>O25*Electric_percent*'Basic Parameters and Results'!J142</f>
        <v>53.870225881513711</v>
      </c>
      <c r="P36" s="45">
        <f>P25*Electric_percent*'Basic Parameters and Results'!K142</f>
        <v>61.565972436015663</v>
      </c>
      <c r="Q36" s="45">
        <f>Q25*Electric_percent*'Basic Parameters and Results'!L142</f>
        <v>69.261718990517622</v>
      </c>
      <c r="R36" s="45">
        <f>R25*Electric_percent*'Basic Parameters and Results'!M142</f>
        <v>76.957465545019573</v>
      </c>
      <c r="S36" s="45">
        <f>S25*Electric_percent*'Basic Parameters and Results'!N142</f>
        <v>84.653212099521525</v>
      </c>
      <c r="T36" s="45">
        <f>T25*Electric_percent*'Basic Parameters and Results'!O142</f>
        <v>92.348958654023477</v>
      </c>
      <c r="U36" s="45">
        <f>U25*Electric_percent*Transportation!U34</f>
        <v>121.00445949615251</v>
      </c>
      <c r="V36" s="45">
        <f>V25*Electric_percent*Transportation!V34</f>
        <v>123.99180693637254</v>
      </c>
      <c r="W36" s="45">
        <f>W25*Electric_percent*Transportation!W34</f>
        <v>124.89243964156567</v>
      </c>
      <c r="X36" s="45">
        <f>X25*Electric_percent*Transportation!X34</f>
        <v>125.81901056866892</v>
      </c>
      <c r="Y36" s="45">
        <f>Y25*Electric_percent*Transportation!Y34</f>
        <v>126.77226673847208</v>
      </c>
      <c r="Z36" s="45">
        <f>Z25*Electric_percent*Transportation!Z34</f>
        <v>127.75297668596605</v>
      </c>
      <c r="AA36" s="45">
        <f>AA25*Electric_percent*Transportation!AA34</f>
        <v>128.7619310799474</v>
      </c>
      <c r="AB36" s="45">
        <f>AB25*Electric_percent*Transportation!AB34</f>
        <v>129.79994336047614</v>
      </c>
      <c r="AC36" s="45">
        <f>AC25*Electric_percent*Transportation!AC34</f>
        <v>130.8678503946835</v>
      </c>
      <c r="AD36" s="45">
        <f>AD25*Electric_percent*Transportation!AD34</f>
        <v>131.96651315147619</v>
      </c>
      <c r="AE36" s="45">
        <f>AE25*Electric_percent*Transportation!AE34</f>
        <v>133.09681739566432</v>
      </c>
      <c r="AF36" s="45">
        <f>AF25*Electric_percent*Transportation!AF34</f>
        <v>134.25967440208578</v>
      </c>
      <c r="AG36" s="45">
        <f>AG25*Electric_percent*Transportation!AG34</f>
        <v>135.45602169029144</v>
      </c>
      <c r="AH36" s="45">
        <f>AH25*Electric_percent*Transportation!AH34</f>
        <v>136.68682378039767</v>
      </c>
      <c r="AI36" s="45">
        <f>AI25*Electric_percent*Transportation!AI34</f>
        <v>137.95307297069894</v>
      </c>
      <c r="AJ36" s="45">
        <f>AJ25*Electric_percent*Transportation!AJ34</f>
        <v>139.25579013768083</v>
      </c>
      <c r="AK36" s="45">
        <f>AK25*Electric_percent*Transportation!AK34</f>
        <v>140.59602555907196</v>
      </c>
      <c r="AL36" s="45">
        <f>AL25*Electric_percent*Transportation!AL34</f>
        <v>141.9748597605988</v>
      </c>
      <c r="AM36" s="45">
        <f>AM25*Electric_percent*Transportation!AM34</f>
        <v>143.39340438713052</v>
      </c>
      <c r="AN36" s="45">
        <f>AN25*Electric_percent*Transportation!AN34</f>
        <v>144.85280309890524</v>
      </c>
      <c r="AO36" s="1453"/>
    </row>
    <row r="37" spans="1:41" s="56" customFormat="1">
      <c r="A37" s="1453" t="s">
        <v>136</v>
      </c>
      <c r="B37" s="1499">
        <v>0.04</v>
      </c>
      <c r="C37" s="1499">
        <v>0.04</v>
      </c>
      <c r="D37" s="1499">
        <v>0.04</v>
      </c>
      <c r="E37" s="1499">
        <v>0.05</v>
      </c>
      <c r="F37" s="1499">
        <v>7.0000000000000007E-2</v>
      </c>
      <c r="G37" s="1499">
        <f>IF('Basic Parameters and Results'!F47&lt;1,'Basic Parameters and Results'!F47,1)</f>
        <v>7.2505473464199374E-2</v>
      </c>
      <c r="H37" s="1499">
        <f>IF('Basic Parameters and Results'!F48&lt;1,'Basic Parameters and Results'!F48,1)</f>
        <v>0.21500364897613289</v>
      </c>
      <c r="I37" s="1499">
        <f>IF('Basic Parameters and Results'!F49&lt;1,'Basic Parameters and Results'!F49,1)</f>
        <v>0.35750182448806644</v>
      </c>
      <c r="J37" s="1499">
        <f>IF('Basic Parameters and Results'!F50&lt;1,'Basic Parameters and Results'!F50,1)</f>
        <v>0.5</v>
      </c>
      <c r="K37" s="1499">
        <f>IF('Basic Parameters and Results'!F51&lt;1,'Basic Parameters and Results'!F51,1)</f>
        <v>0.52</v>
      </c>
      <c r="L37" s="1499">
        <f>IF('Basic Parameters and Results'!F52&lt;1,'Basic Parameters and Results'!F52,1)</f>
        <v>0.54</v>
      </c>
      <c r="M37" s="1499">
        <f>IF('Basic Parameters and Results'!F53&lt;1,'Basic Parameters and Results'!F53,1)</f>
        <v>0.56000000000000005</v>
      </c>
      <c r="N37" s="1499">
        <f>IF('Basic Parameters and Results'!F54&lt;1,'Basic Parameters and Results'!F54,1)</f>
        <v>0.58000000000000007</v>
      </c>
      <c r="O37" s="1499">
        <f>IF('Basic Parameters and Results'!F55&lt;1,'Basic Parameters and Results'!F55,1)</f>
        <v>0.60000000000000009</v>
      </c>
      <c r="P37" s="1499">
        <f>IF('Basic Parameters and Results'!F56&lt;1,'Basic Parameters and Results'!F56,1)</f>
        <v>0.62000000000000011</v>
      </c>
      <c r="Q37" s="1499">
        <f>IF('Basic Parameters and Results'!F57&lt;1,'Basic Parameters and Results'!F57,1)</f>
        <v>0.64000000000000012</v>
      </c>
      <c r="R37" s="1499">
        <f>IF('Basic Parameters and Results'!F58&lt;1,'Basic Parameters and Results'!F58,1)</f>
        <v>0.66000000000000014</v>
      </c>
      <c r="S37" s="1499">
        <f>IF('Basic Parameters and Results'!F59&lt;1,'Basic Parameters and Results'!F59,1)</f>
        <v>0.68000000000000016</v>
      </c>
      <c r="T37" s="1499">
        <f>IF('Basic Parameters and Results'!F60&lt;1,'Basic Parameters and Results'!F60,1)</f>
        <v>0.7</v>
      </c>
      <c r="U37" s="1499">
        <f>IF(Electricity!H424&lt;1,Electricity!H424,1)</f>
        <v>0</v>
      </c>
      <c r="V37" s="1499">
        <f>IF(Electricity!H425&lt;1,Electricity!H425,1)</f>
        <v>0</v>
      </c>
      <c r="W37" s="1499">
        <f>IF(Electricity!H426&lt;1,Electricity!H426,1)</f>
        <v>0</v>
      </c>
      <c r="X37" s="1499">
        <f>IF(Electricity!H427&lt;1,Electricity!H427,1)</f>
        <v>0</v>
      </c>
      <c r="Y37" s="1499">
        <f>IF(Electricity!H428&lt;1,Electricity!H428,1)</f>
        <v>0</v>
      </c>
      <c r="Z37" s="1499">
        <f>IF(Electricity!H429&lt;1,Electricity!H429,1)</f>
        <v>0</v>
      </c>
      <c r="AA37" s="1499">
        <f>IF(Electricity!H430&lt;1,Electricity!H430,1)</f>
        <v>0</v>
      </c>
      <c r="AB37" s="1499">
        <f>IF(Electricity!H431&lt;1,Electricity!H431,1)</f>
        <v>0</v>
      </c>
      <c r="AC37" s="1499">
        <f>IF(Electricity!H432&lt;1,Electricity!H432,1)</f>
        <v>0</v>
      </c>
      <c r="AD37" s="1499">
        <f>IF(Electricity!H433&lt;1,Electricity!H433,1)</f>
        <v>0</v>
      </c>
      <c r="AE37" s="1499">
        <f>IF(Electricity!H434&lt;1,Electricity!H434,1)</f>
        <v>0</v>
      </c>
      <c r="AF37" s="1499">
        <f>IF(Electricity!H435&lt;1,Electricity!H435,1)</f>
        <v>0</v>
      </c>
      <c r="AG37" s="1499">
        <f>IF(Electricity!H436&lt;1,Electricity!H436,1)</f>
        <v>0</v>
      </c>
      <c r="AH37" s="1499">
        <f>IF(Electricity!H437&lt;1,Electricity!H437,1)</f>
        <v>0</v>
      </c>
      <c r="AI37" s="1499">
        <f>IF(Electricity!H438&lt;1,Electricity!H438,1)</f>
        <v>0</v>
      </c>
      <c r="AJ37" s="1499">
        <f>IF(Electricity!H439&lt;1,Electricity!H439,1)</f>
        <v>0</v>
      </c>
      <c r="AK37" s="1499">
        <f>IF(Electricity!H440&lt;1,Electricity!H440,1)</f>
        <v>1</v>
      </c>
      <c r="AL37" s="1499">
        <f>IF(Electricity!H441&lt;1,Electricity!H441,1)</f>
        <v>0</v>
      </c>
      <c r="AM37" s="1499">
        <f>IF(Electricity!H442&lt;1,Electricity!H442,1)</f>
        <v>1</v>
      </c>
      <c r="AN37" s="1499">
        <f>IF(Electricity!H443&lt;1,Electricity!H443,1)</f>
        <v>1</v>
      </c>
      <c r="AO37" s="1453"/>
    </row>
    <row r="38" spans="1:41" s="56" customFormat="1">
      <c r="A38" s="1453" t="s">
        <v>137</v>
      </c>
      <c r="B38" s="1499">
        <f>(0.7329*B37)+0.2671</f>
        <v>0.29641600000000001</v>
      </c>
      <c r="C38" s="1499">
        <f t="shared" ref="C38:U38" si="16">(0.7329*C37)+0.2671</f>
        <v>0.29641600000000001</v>
      </c>
      <c r="D38" s="1499">
        <f t="shared" si="16"/>
        <v>0.29641600000000001</v>
      </c>
      <c r="E38" s="1499">
        <f t="shared" si="16"/>
        <v>0.30374499999999999</v>
      </c>
      <c r="F38" s="1499">
        <f t="shared" si="16"/>
        <v>0.31840299999999999</v>
      </c>
      <c r="G38" s="1499">
        <f>(0.7329*G37)+0.2671</f>
        <v>0.32023926150191173</v>
      </c>
      <c r="H38" s="1499">
        <f t="shared" si="16"/>
        <v>0.4246761743346078</v>
      </c>
      <c r="I38" s="1499">
        <f t="shared" si="16"/>
        <v>0.52911308716730387</v>
      </c>
      <c r="J38" s="1499">
        <f t="shared" si="16"/>
        <v>0.63355000000000006</v>
      </c>
      <c r="K38" s="1499">
        <f t="shared" si="16"/>
        <v>0.64820800000000001</v>
      </c>
      <c r="L38" s="1499">
        <f t="shared" si="16"/>
        <v>0.66286599999999996</v>
      </c>
      <c r="M38" s="1499">
        <f t="shared" si="16"/>
        <v>0.67752400000000002</v>
      </c>
      <c r="N38" s="1499">
        <f t="shared" si="16"/>
        <v>0.69218200000000007</v>
      </c>
      <c r="O38" s="1499">
        <f t="shared" si="16"/>
        <v>0.70684000000000013</v>
      </c>
      <c r="P38" s="1499">
        <f t="shared" si="16"/>
        <v>0.72149800000000008</v>
      </c>
      <c r="Q38" s="1499">
        <f t="shared" si="16"/>
        <v>0.73615600000000003</v>
      </c>
      <c r="R38" s="1499">
        <f t="shared" si="16"/>
        <v>0.75081400000000009</v>
      </c>
      <c r="S38" s="1499">
        <f t="shared" si="16"/>
        <v>0.76547200000000015</v>
      </c>
      <c r="T38" s="1499">
        <f t="shared" si="16"/>
        <v>0.78012999999999999</v>
      </c>
      <c r="U38" s="1499">
        <f t="shared" si="16"/>
        <v>0.2671</v>
      </c>
      <c r="V38" s="1499">
        <f t="shared" ref="V38:AN38" si="17">(0.7329*V37)+0.2671</f>
        <v>0.2671</v>
      </c>
      <c r="W38" s="1499">
        <f t="shared" si="17"/>
        <v>0.2671</v>
      </c>
      <c r="X38" s="1499">
        <f t="shared" si="17"/>
        <v>0.2671</v>
      </c>
      <c r="Y38" s="1499">
        <f t="shared" si="17"/>
        <v>0.2671</v>
      </c>
      <c r="Z38" s="1499">
        <f t="shared" si="17"/>
        <v>0.2671</v>
      </c>
      <c r="AA38" s="1499">
        <f t="shared" si="17"/>
        <v>0.2671</v>
      </c>
      <c r="AB38" s="1499">
        <f t="shared" si="17"/>
        <v>0.2671</v>
      </c>
      <c r="AC38" s="1499">
        <f t="shared" si="17"/>
        <v>0.2671</v>
      </c>
      <c r="AD38" s="1499">
        <f t="shared" si="17"/>
        <v>0.2671</v>
      </c>
      <c r="AE38" s="1499">
        <f t="shared" si="17"/>
        <v>0.2671</v>
      </c>
      <c r="AF38" s="1499">
        <f t="shared" si="17"/>
        <v>0.2671</v>
      </c>
      <c r="AG38" s="1499">
        <f t="shared" si="17"/>
        <v>0.2671</v>
      </c>
      <c r="AH38" s="1499">
        <f t="shared" si="17"/>
        <v>0.2671</v>
      </c>
      <c r="AI38" s="1499">
        <f t="shared" si="17"/>
        <v>0.2671</v>
      </c>
      <c r="AJ38" s="1499">
        <f t="shared" si="17"/>
        <v>0.2671</v>
      </c>
      <c r="AK38" s="1499">
        <f t="shared" si="17"/>
        <v>1</v>
      </c>
      <c r="AL38" s="1499">
        <f t="shared" si="17"/>
        <v>0.2671</v>
      </c>
      <c r="AM38" s="1499">
        <f t="shared" si="17"/>
        <v>1</v>
      </c>
      <c r="AN38" s="1499">
        <f t="shared" si="17"/>
        <v>1</v>
      </c>
      <c r="AO38" s="1453"/>
    </row>
    <row r="39" spans="1:41" s="1" customFormat="1">
      <c r="A39" s="60" t="s">
        <v>139</v>
      </c>
      <c r="B39" s="4">
        <f>(B36*LDV_VMT*LDV_Fuel_Econ_Beginning*B38)/100</f>
        <v>0</v>
      </c>
      <c r="C39" s="4">
        <f t="shared" ref="C39:AN39" si="18">(C36*LDV_VMT*LDV_Fuel_Econ_Beginning*C38)/100</f>
        <v>0</v>
      </c>
      <c r="D39" s="4">
        <f t="shared" si="18"/>
        <v>0</v>
      </c>
      <c r="E39" s="4">
        <f t="shared" si="18"/>
        <v>0</v>
      </c>
      <c r="F39" s="4">
        <f t="shared" si="18"/>
        <v>0</v>
      </c>
      <c r="G39" s="4">
        <f t="shared" si="18"/>
        <v>0</v>
      </c>
      <c r="H39" s="4">
        <f t="shared" si="18"/>
        <v>0</v>
      </c>
      <c r="I39" s="4">
        <f t="shared" si="18"/>
        <v>5374.2382160968255</v>
      </c>
      <c r="J39" s="4">
        <f t="shared" si="18"/>
        <v>12870.022323721287</v>
      </c>
      <c r="K39" s="4">
        <f t="shared" si="18"/>
        <v>19751.680444514386</v>
      </c>
      <c r="L39" s="4">
        <f t="shared" si="18"/>
        <v>26931.103204595795</v>
      </c>
      <c r="M39" s="4">
        <f t="shared" si="18"/>
        <v>34408.290603965521</v>
      </c>
      <c r="N39" s="4">
        <f t="shared" si="18"/>
        <v>42183.242642623547</v>
      </c>
      <c r="O39" s="4">
        <f t="shared" si="18"/>
        <v>50255.959320569877</v>
      </c>
      <c r="P39" s="4">
        <f t="shared" si="18"/>
        <v>58626.440637804502</v>
      </c>
      <c r="Q39" s="4">
        <f t="shared" si="18"/>
        <v>67294.686594327461</v>
      </c>
      <c r="R39" s="4">
        <f t="shared" si="18"/>
        <v>76260.697190138686</v>
      </c>
      <c r="S39" s="4">
        <f t="shared" si="18"/>
        <v>85524.472425238244</v>
      </c>
      <c r="T39" s="4">
        <f t="shared" si="18"/>
        <v>95086.012299626076</v>
      </c>
      <c r="U39" s="4">
        <f t="shared" si="18"/>
        <v>42657.256153239599</v>
      </c>
      <c r="V39" s="4">
        <f t="shared" si="18"/>
        <v>43710.374736693477</v>
      </c>
      <c r="W39" s="4">
        <f t="shared" si="18"/>
        <v>44027.871465040334</v>
      </c>
      <c r="X39" s="4">
        <f t="shared" si="18"/>
        <v>44354.512099163774</v>
      </c>
      <c r="Y39" s="4">
        <f t="shared" si="18"/>
        <v>44690.559983549749</v>
      </c>
      <c r="Z39" s="4">
        <f t="shared" si="18"/>
        <v>45036.286047006193</v>
      </c>
      <c r="AA39" s="4">
        <f t="shared" si="18"/>
        <v>45391.969021090044</v>
      </c>
      <c r="AB39" s="4">
        <f t="shared" si="18"/>
        <v>45757.89566482776</v>
      </c>
      <c r="AC39" s="4">
        <f t="shared" si="18"/>
        <v>46134.360995904899</v>
      </c>
      <c r="AD39" s="4">
        <f t="shared" si="18"/>
        <v>46521.668528517112</v>
      </c>
      <c r="AE39" s="4">
        <f t="shared" si="18"/>
        <v>46920.130518068494</v>
      </c>
      <c r="AF39" s="4">
        <f t="shared" si="18"/>
        <v>47330.068212919214</v>
      </c>
      <c r="AG39" s="4">
        <f t="shared" si="18"/>
        <v>47751.812113381369</v>
      </c>
      <c r="AH39" s="4">
        <f t="shared" si="18"/>
        <v>48185.70223817692</v>
      </c>
      <c r="AI39" s="4">
        <f t="shared" si="18"/>
        <v>48632.088398566579</v>
      </c>
      <c r="AJ39" s="4">
        <f t="shared" si="18"/>
        <v>49091.330480375451</v>
      </c>
      <c r="AK39" s="4">
        <f t="shared" si="18"/>
        <v>185562.7058560107</v>
      </c>
      <c r="AL39" s="4">
        <f t="shared" si="18"/>
        <v>50049.874073613777</v>
      </c>
      <c r="AM39" s="4">
        <f t="shared" si="18"/>
        <v>189254.7674386531</v>
      </c>
      <c r="AN39" s="4">
        <f t="shared" si="18"/>
        <v>191180.9241191342</v>
      </c>
    </row>
    <row r="40" spans="1:41" s="1" customFormat="1">
      <c r="A40" s="60" t="s">
        <v>3849</v>
      </c>
      <c r="B40" s="4"/>
      <c r="C40" s="4"/>
      <c r="D40" s="4"/>
      <c r="E40" s="4"/>
      <c r="F40" s="4"/>
      <c r="G40" s="4"/>
      <c r="H40" s="4"/>
      <c r="I40" s="4">
        <f>I36</f>
        <v>7.6957465545019579</v>
      </c>
      <c r="J40" s="4">
        <f t="shared" ref="J40:T40" si="19">J36+I40</f>
        <v>23.087239663505873</v>
      </c>
      <c r="K40" s="4">
        <f t="shared" si="19"/>
        <v>46.174479327011746</v>
      </c>
      <c r="L40" s="4">
        <f t="shared" si="19"/>
        <v>76.957465545019573</v>
      </c>
      <c r="M40" s="4">
        <f t="shared" si="19"/>
        <v>115.43619831752937</v>
      </c>
      <c r="N40" s="4">
        <f t="shared" si="19"/>
        <v>161.61067764454111</v>
      </c>
      <c r="O40" s="4">
        <f t="shared" si="19"/>
        <v>215.48090352605482</v>
      </c>
      <c r="P40" s="4">
        <f t="shared" si="19"/>
        <v>277.04687596207049</v>
      </c>
      <c r="Q40" s="4">
        <f t="shared" si="19"/>
        <v>346.30859495258812</v>
      </c>
      <c r="R40" s="4">
        <f t="shared" si="19"/>
        <v>423.26606049760767</v>
      </c>
      <c r="S40" s="4">
        <f t="shared" si="19"/>
        <v>507.91927259712918</v>
      </c>
      <c r="T40" s="4">
        <f t="shared" si="19"/>
        <v>600.26823125115266</v>
      </c>
      <c r="U40" s="4"/>
      <c r="V40" s="4"/>
      <c r="W40" s="4"/>
      <c r="X40" s="4"/>
      <c r="Y40" s="4"/>
      <c r="Z40" s="4"/>
      <c r="AA40" s="4"/>
      <c r="AB40" s="4"/>
      <c r="AC40" s="4"/>
      <c r="AD40" s="4"/>
      <c r="AE40" s="4"/>
      <c r="AF40" s="4"/>
      <c r="AG40" s="4"/>
      <c r="AH40" s="4"/>
      <c r="AI40" s="4"/>
      <c r="AJ40" s="4"/>
      <c r="AK40" s="4"/>
      <c r="AL40" s="4"/>
      <c r="AM40" s="4"/>
      <c r="AN40" s="4"/>
    </row>
    <row r="41" spans="1:41">
      <c r="A41" s="56" t="s">
        <v>3851</v>
      </c>
      <c r="G41">
        <v>0</v>
      </c>
      <c r="H41">
        <v>0</v>
      </c>
      <c r="I41" s="38">
        <f t="shared" ref="I41:T41" si="20">I40*$B$16</f>
        <v>21404.559248791931</v>
      </c>
      <c r="J41" s="38">
        <f t="shared" si="20"/>
        <v>64213.67774637579</v>
      </c>
      <c r="K41" s="38">
        <f t="shared" si="20"/>
        <v>128427.35549275158</v>
      </c>
      <c r="L41" s="38">
        <f t="shared" si="20"/>
        <v>214045.59248791929</v>
      </c>
      <c r="M41" s="38">
        <f t="shared" si="20"/>
        <v>321068.38873187901</v>
      </c>
      <c r="N41" s="38">
        <f t="shared" si="20"/>
        <v>449495.74422463053</v>
      </c>
      <c r="O41" s="38">
        <f t="shared" si="20"/>
        <v>599327.65896617412</v>
      </c>
      <c r="P41" s="38">
        <f t="shared" si="20"/>
        <v>770564.13295650959</v>
      </c>
      <c r="Q41" s="38">
        <f t="shared" si="20"/>
        <v>963205.16619563696</v>
      </c>
      <c r="R41" s="38">
        <f t="shared" si="20"/>
        <v>1177250.7586835562</v>
      </c>
      <c r="S41" s="38">
        <f t="shared" si="20"/>
        <v>1412700.9104202674</v>
      </c>
      <c r="T41" s="38">
        <f t="shared" si="20"/>
        <v>1669555.6214057705</v>
      </c>
    </row>
    <row r="42" spans="1:41" s="41" customFormat="1">
      <c r="A42" s="56"/>
    </row>
    <row r="43" spans="1:41">
      <c r="A43" s="24" t="s">
        <v>39</v>
      </c>
    </row>
    <row r="44" spans="1:41">
      <c r="A44" s="29" t="s">
        <v>33</v>
      </c>
    </row>
    <row r="45" spans="1:41">
      <c r="A45" t="s">
        <v>143</v>
      </c>
    </row>
    <row r="46" spans="1:41">
      <c r="G46">
        <v>10</v>
      </c>
    </row>
    <row r="47" spans="1:41">
      <c r="G47">
        <v>6.5775889999999997</v>
      </c>
    </row>
    <row r="48" spans="1:41">
      <c r="G48">
        <f>(G46-G47)/G46</f>
        <v>0.34224110000000002</v>
      </c>
    </row>
  </sheetData>
  <pageMargins left="0.7" right="0.7" top="0.75" bottom="0.75" header="0.3" footer="0.3"/>
  <pageSetup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N17"/>
  <sheetViews>
    <sheetView workbookViewId="0">
      <selection activeCell="C4" sqref="C4"/>
    </sheetView>
  </sheetViews>
  <sheetFormatPr baseColWidth="10" defaultColWidth="8.83203125" defaultRowHeight="15"/>
  <cols>
    <col min="1" max="1" width="36.83203125" customWidth="1"/>
    <col min="2" max="2" width="10.5" bestFit="1" customWidth="1"/>
    <col min="3" max="4" width="9.83203125" customWidth="1"/>
    <col min="5" max="5" width="9.1640625" bestFit="1" customWidth="1"/>
    <col min="6" max="6" width="12" customWidth="1"/>
    <col min="7" max="7" width="9.1640625" bestFit="1" customWidth="1"/>
  </cols>
  <sheetData>
    <row r="1" spans="1:40" s="41" customFormat="1">
      <c r="A1" s="43" t="s">
        <v>45</v>
      </c>
      <c r="B1" s="41" t="s">
        <v>8</v>
      </c>
      <c r="C1" s="41" t="s">
        <v>9</v>
      </c>
      <c r="D1" s="41" t="s">
        <v>24</v>
      </c>
      <c r="E1" s="41" t="s">
        <v>10</v>
      </c>
    </row>
    <row r="2" spans="1:40">
      <c r="A2" s="27" t="s">
        <v>22</v>
      </c>
      <c r="B2" s="41">
        <f>Idle_hours_reduced</f>
        <v>1</v>
      </c>
      <c r="C2" s="41" t="s">
        <v>40</v>
      </c>
    </row>
    <row r="3" spans="1:40">
      <c r="A3" s="33" t="s">
        <v>43</v>
      </c>
      <c r="B3" s="46">
        <v>3.5</v>
      </c>
      <c r="C3" s="41" t="s">
        <v>4014</v>
      </c>
      <c r="D3" s="41" t="s">
        <v>47</v>
      </c>
      <c r="E3" s="1526" t="s">
        <v>4013</v>
      </c>
    </row>
    <row r="4" spans="1:40">
      <c r="A4" s="33" t="s">
        <v>44</v>
      </c>
      <c r="B4" s="46">
        <v>3.5</v>
      </c>
      <c r="C4" s="41" t="s">
        <v>4014</v>
      </c>
      <c r="D4" s="41" t="s">
        <v>46</v>
      </c>
      <c r="E4" s="1526" t="s">
        <v>4013</v>
      </c>
    </row>
    <row r="5" spans="1:40">
      <c r="A5" t="s">
        <v>123</v>
      </c>
      <c r="B5">
        <v>2099</v>
      </c>
      <c r="C5" t="s">
        <v>121</v>
      </c>
    </row>
    <row r="6" spans="1:40">
      <c r="A6" t="s">
        <v>124</v>
      </c>
      <c r="B6">
        <v>225</v>
      </c>
      <c r="C6" t="s">
        <v>122</v>
      </c>
    </row>
    <row r="12" spans="1:40" s="33" customFormat="1">
      <c r="A12" s="18" t="s">
        <v>3</v>
      </c>
      <c r="B12" s="30">
        <v>2012</v>
      </c>
      <c r="C12" s="30">
        <v>2013</v>
      </c>
      <c r="D12" s="30">
        <v>2014</v>
      </c>
      <c r="E12" s="30">
        <v>2015</v>
      </c>
      <c r="F12" s="30">
        <v>2016</v>
      </c>
      <c r="G12" s="30">
        <v>2017</v>
      </c>
      <c r="H12" s="30">
        <v>2018</v>
      </c>
      <c r="I12" s="30">
        <v>2019</v>
      </c>
      <c r="J12" s="30">
        <v>2020</v>
      </c>
      <c r="K12" s="30">
        <v>2021</v>
      </c>
      <c r="L12" s="30">
        <v>2022</v>
      </c>
      <c r="M12" s="30">
        <v>2023</v>
      </c>
      <c r="N12" s="30">
        <v>2024</v>
      </c>
      <c r="O12" s="30">
        <v>2025</v>
      </c>
      <c r="P12" s="30">
        <v>2026</v>
      </c>
      <c r="Q12" s="30">
        <v>2027</v>
      </c>
      <c r="R12" s="30">
        <v>2028</v>
      </c>
      <c r="S12" s="30">
        <v>2029</v>
      </c>
      <c r="T12" s="30">
        <v>2030</v>
      </c>
      <c r="U12" s="30">
        <v>2031</v>
      </c>
      <c r="V12" s="30">
        <v>2032</v>
      </c>
      <c r="W12" s="30">
        <v>2033</v>
      </c>
      <c r="X12" s="30">
        <v>2034</v>
      </c>
      <c r="Y12" s="30">
        <v>2035</v>
      </c>
      <c r="Z12" s="30">
        <v>2036</v>
      </c>
      <c r="AA12" s="30">
        <v>2037</v>
      </c>
      <c r="AB12" s="30">
        <v>2038</v>
      </c>
      <c r="AC12" s="30">
        <v>2039</v>
      </c>
      <c r="AD12" s="30">
        <v>2040</v>
      </c>
      <c r="AE12" s="30">
        <v>2041</v>
      </c>
      <c r="AF12" s="30">
        <v>2042</v>
      </c>
      <c r="AG12" s="30">
        <v>2043</v>
      </c>
      <c r="AH12" s="30">
        <v>2044</v>
      </c>
      <c r="AI12" s="30">
        <v>2045</v>
      </c>
      <c r="AJ12" s="30">
        <v>2046</v>
      </c>
      <c r="AK12" s="30">
        <v>2047</v>
      </c>
      <c r="AL12" s="30">
        <v>2048</v>
      </c>
      <c r="AM12" s="30">
        <v>2049</v>
      </c>
      <c r="AN12" s="30">
        <v>2050</v>
      </c>
    </row>
    <row r="13" spans="1:40">
      <c r="A13" s="33" t="s">
        <v>41</v>
      </c>
      <c r="B13" s="58">
        <f t="shared" ref="B13:E14" si="0">C13-(C13*BAU_diesel_increase)</f>
        <v>1867.4420488372159</v>
      </c>
      <c r="C13" s="58">
        <f t="shared" si="0"/>
        <v>1922.8192430366721</v>
      </c>
      <c r="D13" s="58">
        <f t="shared" si="0"/>
        <v>1979.83859456</v>
      </c>
      <c r="E13" s="58">
        <f t="shared" si="0"/>
        <v>2038.5488</v>
      </c>
      <c r="F13" s="40">
        <f>Diesel_Trucks</f>
        <v>2099</v>
      </c>
      <c r="G13" s="58">
        <f>F13+(F13*BAU_diesel_increase)</f>
        <v>2159.4512</v>
      </c>
      <c r="H13" s="58">
        <f t="shared" ref="H13:AN13" si="1">G13+(G13*BAU_diesel_increase)</f>
        <v>2221.6433945600002</v>
      </c>
      <c r="I13" s="58">
        <f t="shared" si="1"/>
        <v>2285.6267243233283</v>
      </c>
      <c r="J13" s="58">
        <f t="shared" si="1"/>
        <v>2351.45277398384</v>
      </c>
      <c r="K13" s="58">
        <f t="shared" si="1"/>
        <v>2419.1746138745743</v>
      </c>
      <c r="L13" s="58">
        <f t="shared" si="1"/>
        <v>2488.846842754162</v>
      </c>
      <c r="M13" s="58">
        <f t="shared" si="1"/>
        <v>2560.5256318254819</v>
      </c>
      <c r="N13" s="58">
        <f t="shared" si="1"/>
        <v>2634.2687700220558</v>
      </c>
      <c r="O13" s="58">
        <f t="shared" si="1"/>
        <v>2710.1357105986908</v>
      </c>
      <c r="P13" s="58">
        <f t="shared" si="1"/>
        <v>2788.1876190639332</v>
      </c>
      <c r="Q13" s="58">
        <f t="shared" si="1"/>
        <v>2868.4874224929745</v>
      </c>
      <c r="R13" s="58">
        <f t="shared" si="1"/>
        <v>2951.0998602607719</v>
      </c>
      <c r="S13" s="58">
        <f t="shared" si="1"/>
        <v>3036.0915362362821</v>
      </c>
      <c r="T13" s="58">
        <f t="shared" si="1"/>
        <v>3123.5309724798872</v>
      </c>
      <c r="U13" s="58">
        <f t="shared" si="1"/>
        <v>3213.4886644873077</v>
      </c>
      <c r="V13" s="58">
        <f t="shared" si="1"/>
        <v>3306.0371380245419</v>
      </c>
      <c r="W13" s="58">
        <f t="shared" si="1"/>
        <v>3401.2510075996488</v>
      </c>
      <c r="X13" s="58">
        <f t="shared" si="1"/>
        <v>3499.2070366185185</v>
      </c>
      <c r="Y13" s="58">
        <f t="shared" si="1"/>
        <v>3599.9841992731317</v>
      </c>
      <c r="Z13" s="58">
        <f t="shared" si="1"/>
        <v>3703.6637442121978</v>
      </c>
      <c r="AA13" s="58">
        <f t="shared" si="1"/>
        <v>3810.3292600455093</v>
      </c>
      <c r="AB13" s="58">
        <f t="shared" si="1"/>
        <v>3920.0667427348199</v>
      </c>
      <c r="AC13" s="58">
        <f t="shared" si="1"/>
        <v>4032.9646649255828</v>
      </c>
      <c r="AD13" s="58">
        <f t="shared" si="1"/>
        <v>4149.1140472754396</v>
      </c>
      <c r="AE13" s="58">
        <f t="shared" si="1"/>
        <v>4268.6085318369724</v>
      </c>
      <c r="AF13" s="58">
        <f t="shared" si="1"/>
        <v>4391.5444575538768</v>
      </c>
      <c r="AG13" s="58">
        <f t="shared" si="1"/>
        <v>4518.0209379314283</v>
      </c>
      <c r="AH13" s="58">
        <f t="shared" si="1"/>
        <v>4648.1399409438536</v>
      </c>
      <c r="AI13" s="58">
        <f t="shared" si="1"/>
        <v>4782.0063712430365</v>
      </c>
      <c r="AJ13" s="58">
        <f t="shared" si="1"/>
        <v>4919.7281547348357</v>
      </c>
      <c r="AK13" s="58">
        <f t="shared" si="1"/>
        <v>5061.416325591199</v>
      </c>
      <c r="AL13" s="58">
        <f t="shared" si="1"/>
        <v>5207.1851157682258</v>
      </c>
      <c r="AM13" s="58">
        <f t="shared" si="1"/>
        <v>5357.1520471023505</v>
      </c>
      <c r="AN13" s="58">
        <f t="shared" si="1"/>
        <v>5511.4380260588978</v>
      </c>
    </row>
    <row r="14" spans="1:40">
      <c r="A14" s="33" t="s">
        <v>42</v>
      </c>
      <c r="B14" s="58">
        <f t="shared" si="0"/>
        <v>200.17839970861058</v>
      </c>
      <c r="C14" s="58">
        <f t="shared" si="0"/>
        <v>206.11449722880002</v>
      </c>
      <c r="D14" s="58">
        <f t="shared" si="0"/>
        <v>212.22662400000002</v>
      </c>
      <c r="E14" s="58">
        <f t="shared" si="0"/>
        <v>218.52</v>
      </c>
      <c r="F14" s="45">
        <f>Diesel_Buses</f>
        <v>225</v>
      </c>
      <c r="G14" s="58">
        <f t="shared" ref="G14:AN14" si="2">F14+(F14*BAU_diesel_increase)</f>
        <v>231.48</v>
      </c>
      <c r="H14" s="58">
        <f t="shared" si="2"/>
        <v>238.146624</v>
      </c>
      <c r="I14" s="58">
        <f t="shared" si="2"/>
        <v>245.00524677120001</v>
      </c>
      <c r="J14" s="58">
        <f t="shared" si="2"/>
        <v>252.06139787821056</v>
      </c>
      <c r="K14" s="58">
        <f t="shared" si="2"/>
        <v>259.32076613710302</v>
      </c>
      <c r="L14" s="58">
        <f t="shared" si="2"/>
        <v>266.78920420185159</v>
      </c>
      <c r="M14" s="58">
        <f t="shared" si="2"/>
        <v>274.47273328286491</v>
      </c>
      <c r="N14" s="58">
        <f t="shared" si="2"/>
        <v>282.37754800141141</v>
      </c>
      <c r="O14" s="58">
        <f t="shared" si="2"/>
        <v>290.51002138385206</v>
      </c>
      <c r="P14" s="58">
        <f t="shared" si="2"/>
        <v>298.87670999970697</v>
      </c>
      <c r="Q14" s="58">
        <f t="shared" si="2"/>
        <v>307.48435924769854</v>
      </c>
      <c r="R14" s="58">
        <f t="shared" si="2"/>
        <v>316.33990879403223</v>
      </c>
      <c r="S14" s="58">
        <f t="shared" si="2"/>
        <v>325.45049816730034</v>
      </c>
      <c r="T14" s="58">
        <f t="shared" si="2"/>
        <v>334.82347251451858</v>
      </c>
      <c r="U14" s="58">
        <f t="shared" si="2"/>
        <v>344.46638852293671</v>
      </c>
      <c r="V14" s="58">
        <f t="shared" si="2"/>
        <v>354.38702051239727</v>
      </c>
      <c r="W14" s="58">
        <f t="shared" si="2"/>
        <v>364.59336670315429</v>
      </c>
      <c r="X14" s="58">
        <f t="shared" si="2"/>
        <v>375.09365566420513</v>
      </c>
      <c r="Y14" s="58">
        <f t="shared" si="2"/>
        <v>385.89635294733426</v>
      </c>
      <c r="Z14" s="58">
        <f t="shared" si="2"/>
        <v>397.01016791221747</v>
      </c>
      <c r="AA14" s="58">
        <f t="shared" si="2"/>
        <v>408.44406074808933</v>
      </c>
      <c r="AB14" s="58">
        <f t="shared" si="2"/>
        <v>420.20724969763432</v>
      </c>
      <c r="AC14" s="58">
        <f t="shared" si="2"/>
        <v>432.30921848892621</v>
      </c>
      <c r="AD14" s="58">
        <f t="shared" si="2"/>
        <v>444.75972398140726</v>
      </c>
      <c r="AE14" s="58">
        <f t="shared" si="2"/>
        <v>457.5688040320718</v>
      </c>
      <c r="AF14" s="58">
        <f t="shared" si="2"/>
        <v>470.74678558819545</v>
      </c>
      <c r="AG14" s="58">
        <f t="shared" si="2"/>
        <v>484.30429301313546</v>
      </c>
      <c r="AH14" s="58">
        <f t="shared" si="2"/>
        <v>498.25225665191374</v>
      </c>
      <c r="AI14" s="58">
        <f t="shared" si="2"/>
        <v>512.60192164348882</v>
      </c>
      <c r="AJ14" s="58">
        <f t="shared" si="2"/>
        <v>527.36485698682134</v>
      </c>
      <c r="AK14" s="58">
        <f t="shared" si="2"/>
        <v>542.55296486804184</v>
      </c>
      <c r="AL14" s="58">
        <f t="shared" si="2"/>
        <v>558.1784902562415</v>
      </c>
      <c r="AM14" s="58">
        <f t="shared" si="2"/>
        <v>574.25403077562123</v>
      </c>
      <c r="AN14" s="58">
        <f t="shared" si="2"/>
        <v>590.79254686195907</v>
      </c>
    </row>
    <row r="15" spans="1:40">
      <c r="A15" s="44" t="s">
        <v>4020</v>
      </c>
      <c r="B15" s="42">
        <f>B13*Idle_hours_reduced*5*52*truck_idle_flow_rate</f>
        <v>1699372.2644418664</v>
      </c>
      <c r="C15" s="42">
        <f t="shared" ref="C15:P15" si="3">C13*Idle_hours_reduced*5*52*truck_idle_flow_rate</f>
        <v>1749765.5111633716</v>
      </c>
      <c r="D15" s="42">
        <f t="shared" si="3"/>
        <v>1801653.1210496</v>
      </c>
      <c r="E15" s="42">
        <f t="shared" si="3"/>
        <v>1855079.4080000003</v>
      </c>
      <c r="F15" s="42">
        <f>F13*Idle_hours_reduced*5*52*truck_idle_flow_rate</f>
        <v>1910090</v>
      </c>
      <c r="G15" s="42">
        <f t="shared" si="3"/>
        <v>1965100.5919999997</v>
      </c>
      <c r="H15" s="42">
        <f t="shared" si="3"/>
        <v>2021695.4890496002</v>
      </c>
      <c r="I15" s="42">
        <f t="shared" si="3"/>
        <v>2079920.3191342289</v>
      </c>
      <c r="J15" s="42">
        <f t="shared" si="3"/>
        <v>2139822.024325294</v>
      </c>
      <c r="K15" s="42">
        <f t="shared" si="3"/>
        <v>2201448.8986258628</v>
      </c>
      <c r="L15" s="42">
        <f t="shared" si="3"/>
        <v>2264850.6269062874</v>
      </c>
      <c r="M15" s="42">
        <f t="shared" si="3"/>
        <v>2330078.3249611882</v>
      </c>
      <c r="N15" s="42">
        <f t="shared" si="3"/>
        <v>2397184.5807200707</v>
      </c>
      <c r="O15" s="42">
        <f t="shared" si="3"/>
        <v>2466223.4966448084</v>
      </c>
      <c r="P15" s="42">
        <f t="shared" si="3"/>
        <v>2537250.7333481796</v>
      </c>
      <c r="Q15" s="42">
        <f t="shared" ref="Q15:AN15" si="4">Q13*Idle_hours_reduced*5*52*truck_idle_flow_rate</f>
        <v>2610323.5544686066</v>
      </c>
      <c r="R15" s="42">
        <f t="shared" si="4"/>
        <v>2685500.8728373027</v>
      </c>
      <c r="S15" s="42">
        <f t="shared" si="4"/>
        <v>2762843.2979750168</v>
      </c>
      <c r="T15" s="42">
        <f t="shared" si="4"/>
        <v>2842413.1849566973</v>
      </c>
      <c r="U15" s="42">
        <f t="shared" si="4"/>
        <v>2924274.68468345</v>
      </c>
      <c r="V15" s="42">
        <f t="shared" si="4"/>
        <v>3008493.7956023333</v>
      </c>
      <c r="W15" s="42">
        <f t="shared" si="4"/>
        <v>3095138.4169156803</v>
      </c>
      <c r="X15" s="42">
        <f t="shared" si="4"/>
        <v>3184278.4033228518</v>
      </c>
      <c r="Y15" s="42">
        <f t="shared" si="4"/>
        <v>3275985.6213385495</v>
      </c>
      <c r="Z15" s="42">
        <f t="shared" si="4"/>
        <v>3370334.0072331</v>
      </c>
      <c r="AA15" s="42">
        <f t="shared" si="4"/>
        <v>3467399.6266414132</v>
      </c>
      <c r="AB15" s="42">
        <f t="shared" si="4"/>
        <v>3567260.735888686</v>
      </c>
      <c r="AC15" s="42">
        <f t="shared" si="4"/>
        <v>3669997.8450822802</v>
      </c>
      <c r="AD15" s="42">
        <f t="shared" si="4"/>
        <v>3775693.78302065</v>
      </c>
      <c r="AE15" s="42">
        <f t="shared" si="4"/>
        <v>3884433.7639716454</v>
      </c>
      <c r="AF15" s="42">
        <f t="shared" si="4"/>
        <v>3996305.4563740278</v>
      </c>
      <c r="AG15" s="42">
        <f t="shared" si="4"/>
        <v>4111399.0535175996</v>
      </c>
      <c r="AH15" s="42">
        <f t="shared" si="4"/>
        <v>4229807.3462589066</v>
      </c>
      <c r="AI15" s="42">
        <f t="shared" si="4"/>
        <v>4351625.7978311628</v>
      </c>
      <c r="AJ15" s="42">
        <f t="shared" si="4"/>
        <v>4476952.6208087001</v>
      </c>
      <c r="AK15" s="42">
        <f t="shared" si="4"/>
        <v>4605888.8562879916</v>
      </c>
      <c r="AL15" s="42">
        <f t="shared" si="4"/>
        <v>4738538.4553490859</v>
      </c>
      <c r="AM15" s="42">
        <f t="shared" si="4"/>
        <v>4875008.3628631383</v>
      </c>
      <c r="AN15" s="42">
        <f t="shared" si="4"/>
        <v>5015408.6037135972</v>
      </c>
    </row>
    <row r="16" spans="1:40">
      <c r="A16" s="44" t="s">
        <v>4021</v>
      </c>
      <c r="B16" s="42">
        <f t="shared" ref="B16:P16" si="5">B14*Idle_hours_reduced*5*52*bus_idle_flow_rate</f>
        <v>182162.34373483565</v>
      </c>
      <c r="C16" s="42">
        <f t="shared" si="5"/>
        <v>187564.19247820802</v>
      </c>
      <c r="D16" s="42">
        <f t="shared" si="5"/>
        <v>193126.22784000001</v>
      </c>
      <c r="E16" s="42">
        <f t="shared" si="5"/>
        <v>198853.2</v>
      </c>
      <c r="F16" s="42">
        <f t="shared" si="5"/>
        <v>204750</v>
      </c>
      <c r="G16" s="42">
        <f t="shared" si="5"/>
        <v>210646.8</v>
      </c>
      <c r="H16" s="42">
        <f t="shared" si="5"/>
        <v>216713.42784000002</v>
      </c>
      <c r="I16" s="42">
        <f t="shared" si="5"/>
        <v>222954.77456179203</v>
      </c>
      <c r="J16" s="42">
        <f t="shared" si="5"/>
        <v>229375.87206917163</v>
      </c>
      <c r="K16" s="42">
        <f t="shared" si="5"/>
        <v>235981.89718476374</v>
      </c>
      <c r="L16" s="42">
        <f t="shared" si="5"/>
        <v>242778.17582368493</v>
      </c>
      <c r="M16" s="42">
        <f t="shared" si="5"/>
        <v>249770.18728740708</v>
      </c>
      <c r="N16" s="42">
        <f t="shared" si="5"/>
        <v>256963.56868128438</v>
      </c>
      <c r="O16" s="42">
        <f t="shared" si="5"/>
        <v>264364.11945930537</v>
      </c>
      <c r="P16" s="42">
        <f t="shared" si="5"/>
        <v>271977.80609973334</v>
      </c>
      <c r="Q16" s="42">
        <f t="shared" ref="Q16:AN16" si="6">Q14*Idle_hours_reduced*5*52*bus_idle_flow_rate</f>
        <v>279810.76691540569</v>
      </c>
      <c r="R16" s="42">
        <f t="shared" si="6"/>
        <v>287869.31700256933</v>
      </c>
      <c r="S16" s="42">
        <f t="shared" si="6"/>
        <v>296159.95333224331</v>
      </c>
      <c r="T16" s="42">
        <f t="shared" si="6"/>
        <v>304689.35998821189</v>
      </c>
      <c r="U16" s="42">
        <f t="shared" si="6"/>
        <v>313464.41355587245</v>
      </c>
      <c r="V16" s="42">
        <f t="shared" si="6"/>
        <v>322492.18866628152</v>
      </c>
      <c r="W16" s="42">
        <f t="shared" si="6"/>
        <v>331779.96369987039</v>
      </c>
      <c r="X16" s="42">
        <f t="shared" si="6"/>
        <v>341335.22665442666</v>
      </c>
      <c r="Y16" s="42">
        <f t="shared" si="6"/>
        <v>351165.68118207419</v>
      </c>
      <c r="Z16" s="42">
        <f t="shared" si="6"/>
        <v>361279.25280011789</v>
      </c>
      <c r="AA16" s="42">
        <f t="shared" si="6"/>
        <v>371684.09528076125</v>
      </c>
      <c r="AB16" s="42">
        <f t="shared" si="6"/>
        <v>382388.59722484718</v>
      </c>
      <c r="AC16" s="42">
        <f t="shared" si="6"/>
        <v>393401.38882492285</v>
      </c>
      <c r="AD16" s="42">
        <f t="shared" si="6"/>
        <v>404731.34882308065</v>
      </c>
      <c r="AE16" s="42">
        <f t="shared" si="6"/>
        <v>416387.61166918534</v>
      </c>
      <c r="AF16" s="42">
        <f t="shared" si="6"/>
        <v>428379.57488525787</v>
      </c>
      <c r="AG16" s="42">
        <f t="shared" si="6"/>
        <v>440716.90664195328</v>
      </c>
      <c r="AH16" s="42">
        <f t="shared" si="6"/>
        <v>453409.55355324154</v>
      </c>
      <c r="AI16" s="42">
        <f t="shared" si="6"/>
        <v>466467.74869557482</v>
      </c>
      <c r="AJ16" s="42">
        <f t="shared" si="6"/>
        <v>479902.01985800744</v>
      </c>
      <c r="AK16" s="42">
        <f t="shared" si="6"/>
        <v>493723.19802991801</v>
      </c>
      <c r="AL16" s="42">
        <f t="shared" si="6"/>
        <v>507942.42613317969</v>
      </c>
      <c r="AM16" s="42">
        <f t="shared" si="6"/>
        <v>522571.1680058153</v>
      </c>
      <c r="AN16" s="42">
        <f t="shared" si="6"/>
        <v>537621.21764438273</v>
      </c>
    </row>
    <row r="17" spans="1:40">
      <c r="A17" s="44" t="s">
        <v>4022</v>
      </c>
      <c r="B17" s="42">
        <f>B15+B16</f>
        <v>1881534.6081767022</v>
      </c>
      <c r="C17" s="42">
        <f t="shared" ref="C17:P17" si="7">C15+C16</f>
        <v>1937329.7036415797</v>
      </c>
      <c r="D17" s="42">
        <f t="shared" si="7"/>
        <v>1994779.3488896</v>
      </c>
      <c r="E17" s="42">
        <f t="shared" si="7"/>
        <v>2053932.6080000002</v>
      </c>
      <c r="F17" s="42">
        <f t="shared" si="7"/>
        <v>2114840</v>
      </c>
      <c r="G17" s="42">
        <f>G15+G16</f>
        <v>2175747.3919999995</v>
      </c>
      <c r="H17" s="42">
        <f t="shared" si="7"/>
        <v>2238408.9168896005</v>
      </c>
      <c r="I17" s="42">
        <f t="shared" si="7"/>
        <v>2302875.093696021</v>
      </c>
      <c r="J17" s="42">
        <f t="shared" si="7"/>
        <v>2369197.8963944656</v>
      </c>
      <c r="K17" s="42">
        <f t="shared" si="7"/>
        <v>2437430.7958106264</v>
      </c>
      <c r="L17" s="42">
        <f t="shared" si="7"/>
        <v>2507628.8027299722</v>
      </c>
      <c r="M17" s="42">
        <f t="shared" si="7"/>
        <v>2579848.5122485952</v>
      </c>
      <c r="N17" s="42">
        <f t="shared" si="7"/>
        <v>2654148.1494013551</v>
      </c>
      <c r="O17" s="42">
        <f t="shared" si="7"/>
        <v>2730587.6161041139</v>
      </c>
      <c r="P17" s="42">
        <f t="shared" si="7"/>
        <v>2809228.5394479129</v>
      </c>
      <c r="Q17" s="42">
        <f t="shared" ref="Q17:AN17" si="8">Q15+Q16</f>
        <v>2890134.3213840122</v>
      </c>
      <c r="R17" s="42">
        <f t="shared" si="8"/>
        <v>2973370.1898398721</v>
      </c>
      <c r="S17" s="42">
        <f t="shared" si="8"/>
        <v>3059003.2513072602</v>
      </c>
      <c r="T17" s="42">
        <f t="shared" si="8"/>
        <v>3147102.5449449094</v>
      </c>
      <c r="U17" s="42">
        <f t="shared" si="8"/>
        <v>3237739.0982393227</v>
      </c>
      <c r="V17" s="42">
        <f t="shared" si="8"/>
        <v>3330985.984268615</v>
      </c>
      <c r="W17" s="42">
        <f t="shared" si="8"/>
        <v>3426918.3806155506</v>
      </c>
      <c r="X17" s="42">
        <f t="shared" si="8"/>
        <v>3525613.6299772784</v>
      </c>
      <c r="Y17" s="42">
        <f t="shared" si="8"/>
        <v>3627151.3025206239</v>
      </c>
      <c r="Z17" s="42">
        <f t="shared" si="8"/>
        <v>3731613.2600332177</v>
      </c>
      <c r="AA17" s="42">
        <f t="shared" si="8"/>
        <v>3839083.7219221746</v>
      </c>
      <c r="AB17" s="42">
        <f t="shared" si="8"/>
        <v>3949649.3331135334</v>
      </c>
      <c r="AC17" s="42">
        <f t="shared" si="8"/>
        <v>4063399.2339072032</v>
      </c>
      <c r="AD17" s="42">
        <f t="shared" si="8"/>
        <v>4180425.1318437308</v>
      </c>
      <c r="AE17" s="42">
        <f t="shared" si="8"/>
        <v>4300821.375640831</v>
      </c>
      <c r="AF17" s="42">
        <f t="shared" si="8"/>
        <v>4424685.0312592853</v>
      </c>
      <c r="AG17" s="42">
        <f t="shared" si="8"/>
        <v>4552115.9601595532</v>
      </c>
      <c r="AH17" s="42">
        <f t="shared" si="8"/>
        <v>4683216.899812148</v>
      </c>
      <c r="AI17" s="42">
        <f t="shared" si="8"/>
        <v>4818093.5465267375</v>
      </c>
      <c r="AJ17" s="42">
        <f t="shared" si="8"/>
        <v>4956854.6406667074</v>
      </c>
      <c r="AK17" s="42">
        <f t="shared" si="8"/>
        <v>5099612.0543179093</v>
      </c>
      <c r="AL17" s="42">
        <f t="shared" si="8"/>
        <v>5246480.8814822659</v>
      </c>
      <c r="AM17" s="42">
        <f t="shared" si="8"/>
        <v>5397579.530868954</v>
      </c>
      <c r="AN17" s="42">
        <f t="shared" si="8"/>
        <v>5553029.8213579804</v>
      </c>
    </row>
  </sheetData>
  <hyperlinks>
    <hyperlink ref="E3" r:id="rId1" display="http://www.anl.gov/sites/anl.gov/files/idling_worksheet.pdf" xr:uid="{2C29D90C-276F-44D3-870B-50BC3BF2B74B}"/>
    <hyperlink ref="E4" r:id="rId2" display="http://www.anl.gov/sites/anl.gov/files/idling_worksheet.pdf" xr:uid="{F6F82072-13A7-430A-AD72-69A14E699293}"/>
  </hyperlinks>
  <pageMargins left="0.7" right="0.7" top="0.75" bottom="0.75" header="0.3" footer="0.3"/>
  <pageSetup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AN7"/>
  <sheetViews>
    <sheetView zoomScale="90" zoomScaleNormal="90" workbookViewId="0">
      <selection activeCell="B7" sqref="B7"/>
    </sheetView>
  </sheetViews>
  <sheetFormatPr baseColWidth="10" defaultColWidth="8.83203125" defaultRowHeight="15"/>
  <cols>
    <col min="1" max="1" width="13.5" customWidth="1"/>
    <col min="2" max="16" width="12.1640625" bestFit="1" customWidth="1"/>
  </cols>
  <sheetData>
    <row r="2" spans="1:40" s="41" customFormat="1">
      <c r="A2" s="43" t="s">
        <v>45</v>
      </c>
      <c r="B2" s="41" t="s">
        <v>8</v>
      </c>
      <c r="C2" s="41" t="s">
        <v>9</v>
      </c>
      <c r="D2" s="41" t="s">
        <v>24</v>
      </c>
      <c r="E2" s="41" t="s">
        <v>10</v>
      </c>
    </row>
    <row r="6" spans="1:40">
      <c r="A6" s="18" t="s">
        <v>3</v>
      </c>
      <c r="B6" s="30">
        <v>2012</v>
      </c>
      <c r="C6" s="30">
        <v>2013</v>
      </c>
      <c r="D6" s="30">
        <v>2014</v>
      </c>
      <c r="E6" s="30">
        <v>2015</v>
      </c>
      <c r="F6" s="30">
        <v>2016</v>
      </c>
      <c r="G6" s="30">
        <v>2017</v>
      </c>
      <c r="H6" s="30">
        <v>2018</v>
      </c>
      <c r="I6" s="30">
        <v>2019</v>
      </c>
      <c r="J6" s="30">
        <v>2020</v>
      </c>
      <c r="K6" s="30">
        <v>2021</v>
      </c>
      <c r="L6" s="30">
        <v>2022</v>
      </c>
      <c r="M6" s="30">
        <v>2023</v>
      </c>
      <c r="N6" s="30">
        <v>2024</v>
      </c>
      <c r="O6" s="30">
        <v>2025</v>
      </c>
      <c r="P6" s="30">
        <v>2026</v>
      </c>
      <c r="Q6" s="30">
        <v>2027</v>
      </c>
      <c r="R6" s="30">
        <v>2028</v>
      </c>
      <c r="S6" s="30">
        <v>2029</v>
      </c>
      <c r="T6" s="30">
        <v>2030</v>
      </c>
      <c r="U6" s="30">
        <v>2031</v>
      </c>
      <c r="V6" s="30">
        <v>2032</v>
      </c>
      <c r="W6" s="30">
        <v>2033</v>
      </c>
      <c r="X6" s="30">
        <v>2034</v>
      </c>
      <c r="Y6" s="30">
        <v>2035</v>
      </c>
      <c r="Z6" s="30">
        <v>2036</v>
      </c>
      <c r="AA6" s="30">
        <v>2037</v>
      </c>
      <c r="AB6" s="30">
        <v>2038</v>
      </c>
      <c r="AC6" s="30">
        <v>2039</v>
      </c>
      <c r="AD6" s="30">
        <v>2040</v>
      </c>
      <c r="AE6" s="30">
        <v>2041</v>
      </c>
      <c r="AF6" s="30">
        <v>2042</v>
      </c>
      <c r="AG6" s="30">
        <v>2043</v>
      </c>
      <c r="AH6" s="30">
        <v>2044</v>
      </c>
      <c r="AI6" s="30">
        <v>2045</v>
      </c>
      <c r="AJ6" s="30">
        <v>2046</v>
      </c>
      <c r="AK6" s="30">
        <v>2047</v>
      </c>
      <c r="AL6" s="30">
        <v>2048</v>
      </c>
      <c r="AM6" s="30">
        <v>2049</v>
      </c>
      <c r="AN6" s="30">
        <v>2050</v>
      </c>
    </row>
    <row r="7" spans="1:40">
      <c r="A7" s="41" t="s">
        <v>50</v>
      </c>
      <c r="B7" s="35">
        <f t="shared" ref="B7:AN7" si="0">Synchronized_signals*signal_gallons_saved</f>
        <v>0</v>
      </c>
      <c r="C7" s="35">
        <f t="shared" si="0"/>
        <v>0</v>
      </c>
      <c r="D7" s="35">
        <f t="shared" si="0"/>
        <v>0</v>
      </c>
      <c r="E7" s="35">
        <f t="shared" si="0"/>
        <v>0</v>
      </c>
      <c r="F7" s="35">
        <f t="shared" si="0"/>
        <v>0</v>
      </c>
      <c r="G7" s="35">
        <f t="shared" si="0"/>
        <v>0</v>
      </c>
      <c r="H7" s="35">
        <f t="shared" si="0"/>
        <v>0</v>
      </c>
      <c r="I7" s="35">
        <f t="shared" si="0"/>
        <v>0</v>
      </c>
      <c r="J7" s="35">
        <f t="shared" si="0"/>
        <v>0</v>
      </c>
      <c r="K7" s="35">
        <f t="shared" si="0"/>
        <v>0</v>
      </c>
      <c r="L7" s="35">
        <f t="shared" si="0"/>
        <v>0</v>
      </c>
      <c r="M7" s="35">
        <f t="shared" si="0"/>
        <v>0</v>
      </c>
      <c r="N7" s="35">
        <f t="shared" si="0"/>
        <v>0</v>
      </c>
      <c r="O7" s="35">
        <f t="shared" si="0"/>
        <v>0</v>
      </c>
      <c r="P7" s="35">
        <f t="shared" si="0"/>
        <v>0</v>
      </c>
      <c r="Q7" s="35">
        <f t="shared" si="0"/>
        <v>0</v>
      </c>
      <c r="R7" s="35">
        <f t="shared" si="0"/>
        <v>0</v>
      </c>
      <c r="S7" s="35">
        <f t="shared" si="0"/>
        <v>0</v>
      </c>
      <c r="T7" s="35">
        <f t="shared" si="0"/>
        <v>0</v>
      </c>
      <c r="U7" s="35">
        <f t="shared" si="0"/>
        <v>0</v>
      </c>
      <c r="V7" s="35">
        <f t="shared" si="0"/>
        <v>0</v>
      </c>
      <c r="W7" s="35">
        <f t="shared" si="0"/>
        <v>0</v>
      </c>
      <c r="X7" s="35">
        <f t="shared" si="0"/>
        <v>0</v>
      </c>
      <c r="Y7" s="35">
        <f t="shared" si="0"/>
        <v>0</v>
      </c>
      <c r="Z7" s="35">
        <f t="shared" si="0"/>
        <v>0</v>
      </c>
      <c r="AA7" s="35">
        <f t="shared" si="0"/>
        <v>0</v>
      </c>
      <c r="AB7" s="35">
        <f t="shared" si="0"/>
        <v>0</v>
      </c>
      <c r="AC7" s="35">
        <f t="shared" si="0"/>
        <v>0</v>
      </c>
      <c r="AD7" s="35">
        <f t="shared" si="0"/>
        <v>0</v>
      </c>
      <c r="AE7" s="35">
        <f t="shared" si="0"/>
        <v>0</v>
      </c>
      <c r="AF7" s="35">
        <f t="shared" si="0"/>
        <v>0</v>
      </c>
      <c r="AG7" s="35">
        <f t="shared" si="0"/>
        <v>0</v>
      </c>
      <c r="AH7" s="35">
        <f t="shared" si="0"/>
        <v>0</v>
      </c>
      <c r="AI7" s="35">
        <f t="shared" si="0"/>
        <v>0</v>
      </c>
      <c r="AJ7" s="35">
        <f t="shared" si="0"/>
        <v>0</v>
      </c>
      <c r="AK7" s="35">
        <f t="shared" si="0"/>
        <v>0</v>
      </c>
      <c r="AL7" s="35">
        <f t="shared" si="0"/>
        <v>0</v>
      </c>
      <c r="AM7" s="35">
        <f t="shared" si="0"/>
        <v>0</v>
      </c>
      <c r="AN7" s="35">
        <f t="shared" si="0"/>
        <v>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BC13"/>
  <sheetViews>
    <sheetView topLeftCell="B1" workbookViewId="0">
      <selection activeCell="E20" sqref="E20"/>
    </sheetView>
  </sheetViews>
  <sheetFormatPr baseColWidth="10" defaultColWidth="8.83203125" defaultRowHeight="15"/>
  <cols>
    <col min="2" max="2" width="35" customWidth="1"/>
    <col min="3" max="3" width="19.5" customWidth="1"/>
    <col min="5" max="5" width="10.6640625" customWidth="1"/>
    <col min="6" max="6" width="9.6640625" customWidth="1"/>
    <col min="7" max="9" width="9.83203125" bestFit="1" customWidth="1"/>
    <col min="17" max="17" width="11.5" customWidth="1"/>
    <col min="21" max="21" width="13" customWidth="1"/>
    <col min="28" max="28" width="13.1640625" customWidth="1"/>
    <col min="29" max="29" width="10.5" customWidth="1"/>
    <col min="38" max="41" width="10" bestFit="1" customWidth="1"/>
  </cols>
  <sheetData>
    <row r="1" spans="2:55">
      <c r="B1" t="s">
        <v>130</v>
      </c>
      <c r="C1" s="41" t="s">
        <v>63</v>
      </c>
      <c r="D1" s="41" t="s">
        <v>9</v>
      </c>
      <c r="E1" s="41" t="s">
        <v>10</v>
      </c>
    </row>
    <row r="2" spans="2:55">
      <c r="B2" s="41" t="s">
        <v>127</v>
      </c>
      <c r="C2" s="35">
        <v>100000</v>
      </c>
      <c r="E2" t="s">
        <v>129</v>
      </c>
    </row>
    <row r="3" spans="2:55">
      <c r="B3" s="41" t="s">
        <v>64</v>
      </c>
      <c r="C3" s="35">
        <v>22</v>
      </c>
      <c r="E3" t="s">
        <v>66</v>
      </c>
    </row>
    <row r="4" spans="2:55">
      <c r="B4" s="41" t="s">
        <v>128</v>
      </c>
      <c r="C4" s="35">
        <f>C2*C3</f>
        <v>2200000</v>
      </c>
      <c r="E4" s="41" t="s">
        <v>67</v>
      </c>
    </row>
    <row r="5" spans="2:55">
      <c r="B5" s="41" t="s">
        <v>65</v>
      </c>
      <c r="C5" s="35">
        <v>8</v>
      </c>
      <c r="E5" t="s">
        <v>68</v>
      </c>
    </row>
    <row r="6" spans="2:55">
      <c r="B6" s="41" t="s">
        <v>4015</v>
      </c>
      <c r="C6" s="35">
        <f>(C4/C5)*3.78541</f>
        <v>1040987.75</v>
      </c>
      <c r="D6" t="s">
        <v>4016</v>
      </c>
      <c r="E6" s="41" t="s">
        <v>67</v>
      </c>
    </row>
    <row r="7" spans="2:55" s="41" customFormat="1">
      <c r="B7" s="41" t="s">
        <v>4017</v>
      </c>
      <c r="C7" s="2">
        <f>Grease_Biodiesel/U12</f>
        <v>0.76726619540800711</v>
      </c>
    </row>
    <row r="10" spans="2:55">
      <c r="C10">
        <v>2012</v>
      </c>
      <c r="D10" s="41">
        <v>2013</v>
      </c>
      <c r="E10" s="41">
        <v>2014</v>
      </c>
      <c r="F10" s="41">
        <v>2015</v>
      </c>
      <c r="G10" s="41">
        <v>2016</v>
      </c>
      <c r="H10" s="41">
        <v>2017</v>
      </c>
      <c r="I10" s="41">
        <v>2018</v>
      </c>
      <c r="J10" s="41">
        <v>2019</v>
      </c>
      <c r="K10" s="41">
        <v>2020</v>
      </c>
      <c r="L10" s="41">
        <v>2021</v>
      </c>
      <c r="M10" s="41">
        <v>2022</v>
      </c>
      <c r="N10" s="41">
        <v>2023</v>
      </c>
      <c r="O10" s="41">
        <v>2024</v>
      </c>
      <c r="P10" s="41">
        <v>2025</v>
      </c>
      <c r="Q10" s="41">
        <v>2026</v>
      </c>
      <c r="R10" s="41">
        <v>2027</v>
      </c>
      <c r="S10" s="41">
        <v>2028</v>
      </c>
      <c r="T10" s="41">
        <v>2029</v>
      </c>
      <c r="U10" s="41">
        <v>2030</v>
      </c>
      <c r="V10" s="41">
        <v>2031</v>
      </c>
      <c r="W10" s="41">
        <v>2032</v>
      </c>
      <c r="X10" s="41">
        <v>2033</v>
      </c>
      <c r="Y10" s="41">
        <v>2034</v>
      </c>
      <c r="Z10" s="41">
        <v>2035</v>
      </c>
      <c r="AA10" s="41">
        <v>2036</v>
      </c>
      <c r="AB10" s="41">
        <v>2037</v>
      </c>
      <c r="AC10" s="41">
        <v>2038</v>
      </c>
      <c r="AD10" s="41">
        <v>2039</v>
      </c>
      <c r="AE10" s="41">
        <v>2040</v>
      </c>
      <c r="AF10" s="41">
        <v>2041</v>
      </c>
      <c r="AG10" s="41">
        <v>2042</v>
      </c>
      <c r="AH10" s="41">
        <v>2043</v>
      </c>
      <c r="AI10" s="41">
        <v>2044</v>
      </c>
      <c r="AJ10" s="41">
        <v>2045</v>
      </c>
      <c r="AK10" s="41">
        <v>2046</v>
      </c>
      <c r="AL10" s="41">
        <v>2047</v>
      </c>
      <c r="AM10" s="41">
        <v>2048</v>
      </c>
      <c r="AN10" s="41">
        <v>2049</v>
      </c>
      <c r="AO10" s="41">
        <v>2050</v>
      </c>
      <c r="AP10" s="41"/>
      <c r="AQ10" s="41"/>
      <c r="AR10" s="41"/>
      <c r="AS10" s="41"/>
      <c r="AT10" s="41"/>
      <c r="AU10" s="41"/>
      <c r="AV10" s="41"/>
      <c r="AW10" s="41"/>
      <c r="AX10" s="41"/>
      <c r="AY10" s="41"/>
      <c r="AZ10" s="41"/>
      <c r="BA10" s="41"/>
      <c r="BB10" s="41"/>
      <c r="BC10" s="41"/>
    </row>
    <row r="11" spans="2:55">
      <c r="B11" t="s">
        <v>4019</v>
      </c>
      <c r="C11" s="59">
        <f>Transportation!B21-Transportation!B42-Transportation!B51</f>
        <v>9974659</v>
      </c>
      <c r="D11" s="59">
        <f>Transportation!C21-Transportation!C42-Transportation!C51</f>
        <v>9571518</v>
      </c>
      <c r="E11" s="59">
        <f>Transportation!D21-Transportation!D42-Transportation!D51</f>
        <v>9677567</v>
      </c>
      <c r="F11" s="59">
        <f>Transportation!E21-Transportation!E42-Transportation!E51</f>
        <v>10909486</v>
      </c>
      <c r="G11" s="59">
        <f>Transportation!F21-Transportation!F42-Transportation!F51</f>
        <v>11223679.196799999</v>
      </c>
      <c r="H11" s="59">
        <f>Transportation!G21-Transportation!G42-Transportation!G51</f>
        <v>11546921.15766784</v>
      </c>
      <c r="I11" s="59">
        <f>Transportation!H21-Transportation!H42-Transportation!H51</f>
        <v>11879472.487008674</v>
      </c>
      <c r="J11" s="59">
        <f>Transportation!I21-Transportation!I42-Transportation!I51</f>
        <v>12030462.661857756</v>
      </c>
      <c r="K11" s="59">
        <f>Transportation!J21-Transportation!J42-Transportation!J51</f>
        <v>12180296.561118519</v>
      </c>
      <c r="L11" s="59">
        <f>Transportation!K21-Transportation!K42-Transportation!K51</f>
        <v>12328782.34602645</v>
      </c>
      <c r="M11" s="59">
        <f>Transportation!L21-Transportation!L42-Transportation!L51</f>
        <v>12475718.086965423</v>
      </c>
      <c r="N11" s="59">
        <f>Transportation!M21-Transportation!M42-Transportation!M51</f>
        <v>12620891.341353394</v>
      </c>
      <c r="O11" s="59">
        <f>Transportation!N21-Transportation!N42-Transportation!N51</f>
        <v>12764078.715584058</v>
      </c>
      <c r="P11" s="59">
        <f>Transportation!O21-Transportation!O42-Transportation!O51</f>
        <v>12905045.41045624</v>
      </c>
      <c r="Q11" s="59">
        <f>Transportation!P21-Transportation!P42-Transportation!P51</f>
        <v>13043544.749503203</v>
      </c>
      <c r="R11" s="59">
        <f>Transportation!Q21-Transportation!Q42-Transportation!Q51</f>
        <v>13179317.689614022</v>
      </c>
      <c r="S11" s="59">
        <f>Transportation!R21-Transportation!R42-Transportation!R51</f>
        <v>13312092.313318197</v>
      </c>
      <c r="T11" s="59">
        <f>Transportation!S21-Transportation!S42-Transportation!S51</f>
        <v>13441583.302083258</v>
      </c>
      <c r="U11" s="59">
        <f>Transportation!T21-Transportation!T42-Transportation!T51</f>
        <v>13567491.389952827</v>
      </c>
      <c r="V11" s="59">
        <f>Transportation!U21-Transportation!U42-Transportation!U51</f>
        <v>13945284.185590511</v>
      </c>
      <c r="W11" s="59">
        <f>Transportation!V21-Transportation!V42-Transportation!V51</f>
        <v>14346908.370135518</v>
      </c>
      <c r="X11" s="59">
        <f>Transportation!W21-Transportation!W42-Transportation!W51</f>
        <v>14760099.331195422</v>
      </c>
      <c r="Y11" s="59">
        <f>Transportation!X21-Transportation!X42-Transportation!X51</f>
        <v>15185190.191933852</v>
      </c>
      <c r="Z11" s="59">
        <f>Transportation!Y21-Transportation!Y42-Transportation!Y51</f>
        <v>15622523.669461546</v>
      </c>
      <c r="AA11" s="59">
        <f>Transportation!Z21-Transportation!Z42-Transportation!Z51</f>
        <v>16072452.35114204</v>
      </c>
      <c r="AB11" s="59">
        <f>Transportation!AA21-Transportation!AA42-Transportation!AA51</f>
        <v>16535338.978854932</v>
      </c>
      <c r="AC11" s="59">
        <f>Transportation!AB21-Transportation!AB42-Transportation!AB51</f>
        <v>17011556.741445955</v>
      </c>
      <c r="AD11" s="59">
        <f>Transportation!AC21-Transportation!AC42-Transportation!AC51</f>
        <v>17501489.575599596</v>
      </c>
      <c r="AE11" s="59">
        <f>Transportation!AD21-Transportation!AD42-Transportation!AD51</f>
        <v>18005532.475376867</v>
      </c>
      <c r="AF11" s="59">
        <f>Transportation!AE21-Transportation!AE42-Transportation!AE51</f>
        <v>18524091.81066772</v>
      </c>
      <c r="AG11" s="59">
        <f>Transportation!AF21-Transportation!AF42-Transportation!AF51</f>
        <v>19057585.654814951</v>
      </c>
      <c r="AH11" s="59">
        <f>Transportation!AG21-Transportation!AG42-Transportation!AG51</f>
        <v>19606444.121673621</v>
      </c>
      <c r="AI11" s="59">
        <f>Transportation!AH21-Transportation!AH42-Transportation!AH51</f>
        <v>20171109.712377824</v>
      </c>
      <c r="AJ11" s="59">
        <f>Transportation!AI21-Transportation!AI42-Transportation!AI51</f>
        <v>20752037.672094304</v>
      </c>
      <c r="AK11" s="59">
        <f>Transportation!AJ21-Transportation!AJ42-Transportation!AJ51</f>
        <v>21349696.35705062</v>
      </c>
      <c r="AL11" s="59">
        <f>Transportation!AK21-Transportation!AK42-Transportation!AK51</f>
        <v>21964567.612133678</v>
      </c>
      <c r="AM11" s="59">
        <f>Transportation!AL21-Transportation!AL42-Transportation!AL51</f>
        <v>22597147.159363128</v>
      </c>
      <c r="AN11" s="59">
        <f>Transportation!AM21-Transportation!AM42-Transportation!AM51</f>
        <v>23247944.997552786</v>
      </c>
      <c r="AO11" s="59">
        <f>Transportation!AN21-Transportation!AN42-Transportation!AN51</f>
        <v>23917485.813482307</v>
      </c>
    </row>
    <row r="12" spans="2:55">
      <c r="B12" t="s">
        <v>131</v>
      </c>
      <c r="C12" s="35">
        <f t="shared" ref="C12:AO12" si="0">C11*Perc_Biodiesel</f>
        <v>997465.9</v>
      </c>
      <c r="D12" s="35">
        <f t="shared" si="0"/>
        <v>957151.8</v>
      </c>
      <c r="E12" s="35">
        <f t="shared" si="0"/>
        <v>967756.70000000007</v>
      </c>
      <c r="F12" s="35">
        <f t="shared" si="0"/>
        <v>1090948.6000000001</v>
      </c>
      <c r="G12" s="35">
        <f t="shared" si="0"/>
        <v>1122367.91968</v>
      </c>
      <c r="H12" s="35">
        <f t="shared" si="0"/>
        <v>1154692.1157667839</v>
      </c>
      <c r="I12" s="35">
        <f t="shared" si="0"/>
        <v>1187947.2487008674</v>
      </c>
      <c r="J12" s="35">
        <f t="shared" si="0"/>
        <v>1203046.2661857756</v>
      </c>
      <c r="K12" s="35">
        <f t="shared" si="0"/>
        <v>1218029.656111852</v>
      </c>
      <c r="L12" s="35">
        <f t="shared" si="0"/>
        <v>1232878.234602645</v>
      </c>
      <c r="M12" s="35">
        <f t="shared" si="0"/>
        <v>1247571.8086965424</v>
      </c>
      <c r="N12" s="35">
        <f t="shared" si="0"/>
        <v>1262089.1341353394</v>
      </c>
      <c r="O12" s="35">
        <f t="shared" si="0"/>
        <v>1276407.8715584059</v>
      </c>
      <c r="P12" s="35">
        <f t="shared" si="0"/>
        <v>1290504.5410456241</v>
      </c>
      <c r="Q12" s="35">
        <f t="shared" si="0"/>
        <v>1304354.4749503203</v>
      </c>
      <c r="R12" s="35">
        <f t="shared" si="0"/>
        <v>1317931.7689614024</v>
      </c>
      <c r="S12" s="35">
        <f t="shared" si="0"/>
        <v>1331209.2313318197</v>
      </c>
      <c r="T12" s="35">
        <f t="shared" si="0"/>
        <v>1344158.3302083258</v>
      </c>
      <c r="U12" s="35">
        <f t="shared" si="0"/>
        <v>1356749.1389952828</v>
      </c>
      <c r="V12" s="35">
        <f t="shared" si="0"/>
        <v>1394528.4185590511</v>
      </c>
      <c r="W12" s="35">
        <f t="shared" si="0"/>
        <v>1434690.837013552</v>
      </c>
      <c r="X12" s="35">
        <f t="shared" si="0"/>
        <v>1476009.9331195422</v>
      </c>
      <c r="Y12" s="35">
        <f t="shared" si="0"/>
        <v>1518519.0191933853</v>
      </c>
      <c r="Z12" s="35">
        <f t="shared" si="0"/>
        <v>1562252.3669461547</v>
      </c>
      <c r="AA12" s="35">
        <f t="shared" si="0"/>
        <v>1607245.235114204</v>
      </c>
      <c r="AB12" s="35">
        <f t="shared" si="0"/>
        <v>1653533.8978854932</v>
      </c>
      <c r="AC12" s="35">
        <f t="shared" si="0"/>
        <v>1701155.6741445956</v>
      </c>
      <c r="AD12" s="35">
        <f t="shared" si="0"/>
        <v>1750148.9575599597</v>
      </c>
      <c r="AE12" s="35">
        <f t="shared" si="0"/>
        <v>1800553.2475376867</v>
      </c>
      <c r="AF12" s="35">
        <f t="shared" si="0"/>
        <v>1852409.181066772</v>
      </c>
      <c r="AG12" s="35">
        <f t="shared" si="0"/>
        <v>1905758.5654814951</v>
      </c>
      <c r="AH12" s="35">
        <f t="shared" si="0"/>
        <v>1960644.4121673622</v>
      </c>
      <c r="AI12" s="35">
        <f t="shared" si="0"/>
        <v>2017110.9712377824</v>
      </c>
      <c r="AJ12" s="35">
        <f t="shared" si="0"/>
        <v>2075203.7672094305</v>
      </c>
      <c r="AK12" s="35">
        <f t="shared" si="0"/>
        <v>2134969.6357050622</v>
      </c>
      <c r="AL12" s="35">
        <f t="shared" si="0"/>
        <v>2196456.7612133678</v>
      </c>
      <c r="AM12" s="35">
        <f t="shared" si="0"/>
        <v>2259714.7159363129</v>
      </c>
      <c r="AN12" s="35">
        <f t="shared" si="0"/>
        <v>2324794.4997552787</v>
      </c>
      <c r="AO12" s="35">
        <f t="shared" si="0"/>
        <v>2391748.5813482306</v>
      </c>
    </row>
    <row r="13" spans="2:55">
      <c r="B13" t="s">
        <v>4018</v>
      </c>
      <c r="C13" s="2">
        <f>$C$6/C12</f>
        <v>1.0436324189127668</v>
      </c>
      <c r="D13" s="2">
        <f t="shared" ref="D13:AO13" si="1">$C$6/D12</f>
        <v>1.0875889801387826</v>
      </c>
      <c r="E13" s="2">
        <f t="shared" si="1"/>
        <v>1.0756709305138368</v>
      </c>
      <c r="F13" s="2">
        <f t="shared" si="1"/>
        <v>0.95420421273742861</v>
      </c>
      <c r="G13" s="2">
        <f t="shared" si="1"/>
        <v>0.92749243073233734</v>
      </c>
      <c r="H13" s="2">
        <f t="shared" si="1"/>
        <v>0.90152841245367166</v>
      </c>
      <c r="I13" s="2">
        <f t="shared" si="1"/>
        <v>0.87629122516880986</v>
      </c>
      <c r="J13" s="2">
        <f t="shared" si="1"/>
        <v>0.86529319716059006</v>
      </c>
      <c r="K13" s="2">
        <f t="shared" si="1"/>
        <v>0.85464893631818584</v>
      </c>
      <c r="L13" s="2">
        <f t="shared" si="1"/>
        <v>0.84435568800150729</v>
      </c>
      <c r="M13" s="2">
        <f t="shared" si="1"/>
        <v>0.83441108779751882</v>
      </c>
      <c r="N13" s="2">
        <f t="shared" si="1"/>
        <v>0.82481317828093292</v>
      </c>
      <c r="O13" s="2">
        <f t="shared" si="1"/>
        <v>0.81556042797591477</v>
      </c>
      <c r="P13" s="2">
        <f t="shared" si="1"/>
        <v>0.80665175277612389</v>
      </c>
      <c r="Q13" s="2">
        <f t="shared" si="1"/>
        <v>0.79808654011759239</v>
      </c>
      <c r="R13" s="2">
        <f t="shared" si="1"/>
        <v>0.78986467624219392</v>
      </c>
      <c r="S13" s="2">
        <f t="shared" si="1"/>
        <v>0.78198657693992624</v>
      </c>
      <c r="T13" s="2">
        <f t="shared" si="1"/>
        <v>0.77445322221725277</v>
      </c>
      <c r="U13" s="2">
        <f t="shared" si="1"/>
        <v>0.76726619540800711</v>
      </c>
      <c r="V13" s="2">
        <f t="shared" si="1"/>
        <v>0.74648012628931559</v>
      </c>
      <c r="W13" s="2">
        <f t="shared" si="1"/>
        <v>0.72558332648650414</v>
      </c>
      <c r="X13" s="2">
        <f t="shared" si="1"/>
        <v>0.70527150708252739</v>
      </c>
      <c r="Y13" s="2">
        <f t="shared" si="1"/>
        <v>0.685528292265287</v>
      </c>
      <c r="Z13" s="2">
        <f t="shared" si="1"/>
        <v>0.66633776464355265</v>
      </c>
      <c r="AA13" s="2">
        <f t="shared" si="1"/>
        <v>0.64768445241402872</v>
      </c>
      <c r="AB13" s="2">
        <f t="shared" si="1"/>
        <v>0.62955331688766392</v>
      </c>
      <c r="AC13" s="2">
        <f t="shared" si="1"/>
        <v>0.61192974036514758</v>
      </c>
      <c r="AD13" s="2">
        <f t="shared" si="1"/>
        <v>0.59479951435181533</v>
      </c>
      <c r="AE13" s="2">
        <f t="shared" si="1"/>
        <v>0.57814882810246437</v>
      </c>
      <c r="AF13" s="2">
        <f t="shared" si="1"/>
        <v>0.56196425748684331</v>
      </c>
      <c r="AG13" s="2">
        <f t="shared" si="1"/>
        <v>0.54623275416683836</v>
      </c>
      <c r="AH13" s="2">
        <f t="shared" si="1"/>
        <v>0.53094163507663139</v>
      </c>
      <c r="AI13" s="2">
        <f t="shared" si="1"/>
        <v>0.51607857219734765</v>
      </c>
      <c r="AJ13" s="2">
        <f t="shared" si="1"/>
        <v>0.50163158261795071</v>
      </c>
      <c r="AK13" s="2">
        <f t="shared" si="1"/>
        <v>0.4875890188743689</v>
      </c>
      <c r="AL13" s="2">
        <f t="shared" si="1"/>
        <v>0.47393955955906775</v>
      </c>
      <c r="AM13" s="2">
        <f t="shared" si="1"/>
        <v>0.46067220019349508</v>
      </c>
      <c r="AN13" s="2">
        <f t="shared" si="1"/>
        <v>0.44777624435604108</v>
      </c>
      <c r="AO13" s="2">
        <f t="shared" si="1"/>
        <v>0.43524129505836034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5B338-CF01-4C59-9AFB-0EE91E288CD5}">
  <sheetPr codeName="Sheet2"/>
  <dimension ref="A1:DI13790"/>
  <sheetViews>
    <sheetView zoomScale="80" zoomScaleNormal="80" workbookViewId="0">
      <selection activeCell="C6" sqref="C6"/>
    </sheetView>
  </sheetViews>
  <sheetFormatPr baseColWidth="10" defaultColWidth="9.33203125" defaultRowHeight="15"/>
  <cols>
    <col min="1" max="1" width="1.5" style="63" customWidth="1"/>
    <col min="2" max="2" width="40" style="63" customWidth="1"/>
    <col min="3" max="3" width="68.5" style="63" customWidth="1"/>
    <col min="4" max="4" width="16.6640625" style="63" customWidth="1"/>
    <col min="5" max="5" width="17.6640625" style="63" customWidth="1"/>
    <col min="6" max="6" width="14.83203125" style="63" customWidth="1"/>
    <col min="7" max="10" width="14.6640625" style="63" customWidth="1"/>
    <col min="11" max="11" width="17" style="63" customWidth="1"/>
    <col min="12" max="34" width="14.6640625" style="63" customWidth="1"/>
    <col min="35" max="35" width="22.33203125" style="63" customWidth="1"/>
    <col min="36" max="36" width="23" style="63" customWidth="1"/>
    <col min="37" max="42" width="22.33203125" style="63" customWidth="1"/>
    <col min="43" max="47" width="13.6640625" style="63" customWidth="1"/>
    <col min="48" max="48" width="14.83203125" style="63" bestFit="1" customWidth="1"/>
    <col min="49" max="49" width="13.6640625" style="63" customWidth="1"/>
    <col min="50" max="50" width="14.83203125" style="63" bestFit="1" customWidth="1"/>
    <col min="51" max="51" width="13.6640625" style="63" customWidth="1"/>
    <col min="52" max="52" width="14.83203125" style="63" bestFit="1" customWidth="1"/>
    <col min="53" max="53" width="13.6640625" style="63" customWidth="1"/>
    <col min="54" max="54" width="14.83203125" style="63" bestFit="1" customWidth="1"/>
    <col min="55" max="55" width="13.6640625" style="63" customWidth="1"/>
    <col min="56" max="56" width="14.83203125" style="63" bestFit="1" customWidth="1"/>
    <col min="57" max="57" width="13.6640625" style="63" customWidth="1"/>
    <col min="58" max="58" width="14.83203125" style="63" bestFit="1" customWidth="1"/>
    <col min="59" max="59" width="13.6640625" style="63" customWidth="1"/>
    <col min="60" max="60" width="14.83203125" style="63" bestFit="1" customWidth="1"/>
    <col min="61" max="61" width="13.6640625" style="63" customWidth="1"/>
    <col min="62" max="62" width="14.83203125" style="63" bestFit="1" customWidth="1"/>
    <col min="63" max="63" width="13.6640625" style="63" customWidth="1"/>
    <col min="64" max="64" width="14.83203125" style="63" bestFit="1" customWidth="1"/>
    <col min="65" max="65" width="13.6640625" style="63" customWidth="1"/>
    <col min="66" max="66" width="14.83203125" style="63" bestFit="1" customWidth="1"/>
    <col min="67" max="70" width="15.6640625" style="63" customWidth="1"/>
    <col min="71" max="71" width="16.6640625" style="63" customWidth="1"/>
    <col min="72" max="78" width="17.6640625" style="63" customWidth="1"/>
    <col min="79" max="82" width="18.6640625" style="63" customWidth="1"/>
    <col min="83" max="83" width="13.33203125" style="63" customWidth="1"/>
    <col min="84" max="84" width="14.83203125" style="63" bestFit="1" customWidth="1"/>
    <col min="85" max="85" width="13.6640625" style="63" customWidth="1"/>
    <col min="86" max="86" width="14.83203125" style="63" bestFit="1" customWidth="1"/>
    <col min="87" max="87" width="13.6640625" style="63" customWidth="1"/>
    <col min="88" max="98" width="15.6640625" style="63" customWidth="1"/>
    <col min="99" max="99" width="13.6640625" style="63" customWidth="1"/>
    <col min="100" max="100" width="10.6640625" style="63" customWidth="1"/>
    <col min="101" max="101" width="13.6640625" style="63" customWidth="1"/>
    <col min="102" max="102" width="10.6640625" style="63" customWidth="1"/>
    <col min="103" max="103" width="13.6640625" style="63" customWidth="1"/>
    <col min="104" max="104" width="14.83203125" style="63" bestFit="1" customWidth="1"/>
    <col min="105" max="105" width="13.6640625" style="63" customWidth="1"/>
    <col min="106" max="106" width="12.33203125" style="63" bestFit="1" customWidth="1"/>
    <col min="107" max="107" width="13.6640625" style="63" customWidth="1"/>
    <col min="108" max="108" width="14.83203125" style="63" bestFit="1" customWidth="1"/>
    <col min="109" max="109" width="13.6640625" style="63" customWidth="1"/>
    <col min="110" max="110" width="14.83203125" style="63" bestFit="1" customWidth="1"/>
    <col min="111" max="111" width="13.6640625" style="63" customWidth="1"/>
    <col min="112" max="112" width="14.83203125" style="63" bestFit="1" customWidth="1"/>
    <col min="113" max="113" width="13.6640625" style="63" customWidth="1"/>
    <col min="114" max="16384" width="9.33203125" style="63"/>
  </cols>
  <sheetData>
    <row r="1" spans="1:113" ht="19">
      <c r="A1" s="62" t="s">
        <v>144</v>
      </c>
      <c r="I1" s="64"/>
      <c r="J1" s="64"/>
      <c r="K1" s="64"/>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c r="AQ1" s="65"/>
      <c r="AR1" s="65"/>
      <c r="AS1" s="65"/>
      <c r="AT1" s="65"/>
      <c r="AU1" s="65"/>
      <c r="AV1" s="65"/>
      <c r="AW1" s="65"/>
      <c r="AX1" s="65"/>
      <c r="AY1" s="65"/>
      <c r="AZ1" s="65"/>
      <c r="BA1" s="65"/>
      <c r="BB1" s="65"/>
      <c r="BC1" s="65"/>
      <c r="BD1" s="65"/>
      <c r="BE1" s="65"/>
      <c r="BF1" s="65"/>
      <c r="BG1" s="65"/>
      <c r="BH1" s="65"/>
      <c r="BI1" s="65"/>
      <c r="BJ1" s="65"/>
      <c r="BK1" s="65"/>
      <c r="BL1" s="65"/>
      <c r="BM1" s="65"/>
      <c r="BN1" s="65"/>
      <c r="BO1" s="65"/>
      <c r="BP1" s="65"/>
      <c r="BQ1" s="65"/>
      <c r="BR1" s="65"/>
      <c r="BS1" s="65"/>
      <c r="BT1" s="65"/>
      <c r="BU1" s="65"/>
      <c r="BV1" s="65"/>
      <c r="BW1" s="65"/>
      <c r="BX1" s="65"/>
      <c r="BY1" s="65"/>
      <c r="BZ1" s="65"/>
      <c r="CA1" s="65"/>
      <c r="CB1" s="65"/>
      <c r="CC1" s="65"/>
      <c r="CD1" s="65"/>
      <c r="CE1" s="65"/>
      <c r="CF1" s="65"/>
      <c r="CG1" s="65"/>
      <c r="CH1" s="65"/>
      <c r="CI1" s="65"/>
      <c r="CJ1" s="65"/>
      <c r="CK1" s="65"/>
      <c r="CL1" s="65"/>
      <c r="CM1" s="65"/>
      <c r="CN1" s="65"/>
      <c r="CO1" s="65"/>
      <c r="CP1" s="65"/>
      <c r="CQ1" s="65"/>
      <c r="CR1" s="65"/>
      <c r="CS1" s="65"/>
      <c r="CT1" s="65"/>
      <c r="CU1" s="65"/>
      <c r="CV1" s="65"/>
      <c r="CW1" s="65"/>
      <c r="CX1" s="65"/>
      <c r="CY1" s="65"/>
      <c r="CZ1" s="65"/>
      <c r="DA1" s="65"/>
      <c r="DB1" s="65"/>
      <c r="DC1" s="65"/>
      <c r="DD1" s="65"/>
      <c r="DE1" s="65"/>
      <c r="DF1" s="65"/>
      <c r="DG1" s="65"/>
      <c r="DH1" s="65"/>
      <c r="DI1" s="65"/>
    </row>
    <row r="2" spans="1:113">
      <c r="B2" s="66" t="s">
        <v>145</v>
      </c>
      <c r="C2" s="67"/>
      <c r="D2" s="67"/>
      <c r="E2" s="67"/>
      <c r="F2" s="67"/>
      <c r="G2" s="67"/>
      <c r="I2" s="64"/>
      <c r="J2" s="64"/>
      <c r="K2" s="64"/>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row>
    <row r="3" spans="1:113">
      <c r="C3" s="244" t="s">
        <v>3661</v>
      </c>
    </row>
    <row r="4" spans="1:113">
      <c r="B4" s="1319" t="s">
        <v>4</v>
      </c>
      <c r="C4" s="1322">
        <f>(E26*C58)/($C$70*1000)</f>
        <v>2.9181159077623122</v>
      </c>
    </row>
    <row r="5" spans="1:113">
      <c r="B5" s="1319" t="s">
        <v>186</v>
      </c>
      <c r="C5" s="1322">
        <f>(0.9*C4)+(0.1*C9)</f>
        <v>2.7545119704415346</v>
      </c>
    </row>
    <row r="6" spans="1:113">
      <c r="B6" s="1319" t="s">
        <v>5</v>
      </c>
      <c r="C6" s="1322">
        <f>(E28*C60)/($C$70*1000)</f>
        <v>3.2903071652694926</v>
      </c>
    </row>
    <row r="7" spans="1:113">
      <c r="B7" s="1320" t="s">
        <v>153</v>
      </c>
      <c r="C7" s="1322">
        <f>(E29*C61)/($C$70*1000)</f>
        <v>0.79948031617308968</v>
      </c>
    </row>
    <row r="8" spans="1:113">
      <c r="B8" s="1320" t="s">
        <v>154</v>
      </c>
      <c r="C8" s="1322">
        <f>(E30*C61)/($C$70*1000)</f>
        <v>2.1673019680640895</v>
      </c>
    </row>
    <row r="9" spans="1:113">
      <c r="B9" s="1319" t="s">
        <v>155</v>
      </c>
      <c r="C9" s="1322">
        <f>(E31*C63)/($C$70*1000)</f>
        <v>1.2820765345545342</v>
      </c>
    </row>
    <row r="10" spans="1:113">
      <c r="B10" s="1319" t="s">
        <v>188</v>
      </c>
      <c r="C10" s="1322">
        <f>(E32*C63)/($C$70*1000)</f>
        <v>0.36711537490706864</v>
      </c>
    </row>
    <row r="11" spans="1:113">
      <c r="B11" s="1320" t="s">
        <v>189</v>
      </c>
      <c r="C11" s="1323">
        <f>(E33*C65)/($C$70*1000)</f>
        <v>1.5877116210171875</v>
      </c>
    </row>
    <row r="12" spans="1:113">
      <c r="B12" s="1319" t="s">
        <v>159</v>
      </c>
      <c r="C12" s="1323">
        <f>(E35*C67)/($C$70*1000)</f>
        <v>1.0823842558109788E-3</v>
      </c>
    </row>
    <row r="13" spans="1:113">
      <c r="B13" s="1321" t="s">
        <v>160</v>
      </c>
      <c r="C13" s="1323">
        <f>(E36*C68)/($C$70*1000)</f>
        <v>1.1826116388701407E-3</v>
      </c>
    </row>
    <row r="14" spans="1:113">
      <c r="B14" s="1320" t="s">
        <v>191</v>
      </c>
      <c r="C14" s="1322">
        <f>(E37*C65)/($C$70*1000)</f>
        <v>1.5645732909735328</v>
      </c>
    </row>
    <row r="15" spans="1:113">
      <c r="B15" s="1319" t="s">
        <v>163</v>
      </c>
      <c r="C15" s="1322">
        <f>(E39*C65)/($C$70*1000)</f>
        <v>2.078589598456514E-3</v>
      </c>
    </row>
    <row r="16" spans="1:113">
      <c r="B16" s="1321" t="s">
        <v>164</v>
      </c>
      <c r="C16" s="1322">
        <f>(E40*C65)/($C$70*1000)</f>
        <v>0.302119747305586</v>
      </c>
    </row>
    <row r="17" spans="2:113">
      <c r="B17" s="1320" t="s">
        <v>193</v>
      </c>
      <c r="C17" s="1322">
        <f>(E41*C65)/($C$70*1000)</f>
        <v>1.6524362559745658</v>
      </c>
    </row>
    <row r="18" spans="2:113">
      <c r="B18" s="1321" t="s">
        <v>176</v>
      </c>
      <c r="C18" s="1322">
        <f>(E52*C60)/($C$70*1000)</f>
        <v>0.86547274941411212</v>
      </c>
    </row>
    <row r="19" spans="2:113">
      <c r="B19" s="160"/>
    </row>
    <row r="20" spans="2:113">
      <c r="B20" s="160"/>
    </row>
    <row r="22" spans="2:113" ht="16" thickBot="1">
      <c r="B22" s="65"/>
      <c r="C22" s="104"/>
      <c r="D22" s="104"/>
      <c r="E22" s="104"/>
      <c r="F22" s="104"/>
      <c r="G22" s="104"/>
      <c r="H22" s="104"/>
      <c r="I22" s="104"/>
      <c r="J22" s="104"/>
      <c r="K22" s="104"/>
      <c r="L22" s="104"/>
      <c r="M22" s="104"/>
      <c r="N22" s="104"/>
      <c r="O22" s="105"/>
      <c r="P22" s="10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c r="BH22" s="65"/>
      <c r="BI22" s="65"/>
      <c r="BJ22" s="65"/>
      <c r="BK22" s="65"/>
      <c r="BL22" s="65"/>
      <c r="BM22" s="65"/>
      <c r="BN22" s="65"/>
      <c r="BO22" s="65"/>
      <c r="BP22" s="65"/>
      <c r="BQ22" s="65"/>
      <c r="BR22" s="65"/>
      <c r="BS22" s="65"/>
      <c r="BT22" s="65"/>
      <c r="BU22" s="65"/>
      <c r="BV22" s="65"/>
      <c r="BW22" s="65"/>
      <c r="BX22" s="65"/>
      <c r="BY22" s="65"/>
      <c r="BZ22" s="65"/>
      <c r="CA22" s="65"/>
      <c r="CB22" s="65"/>
      <c r="CC22" s="65"/>
      <c r="CD22" s="65"/>
      <c r="CE22" s="65"/>
      <c r="CF22" s="65"/>
      <c r="CG22" s="65"/>
      <c r="CH22" s="65"/>
      <c r="CI22" s="65"/>
      <c r="CJ22" s="65"/>
      <c r="CK22" s="65"/>
      <c r="CL22" s="65"/>
      <c r="CM22" s="65"/>
      <c r="CN22" s="65"/>
      <c r="CO22" s="65"/>
      <c r="CP22" s="65"/>
      <c r="CQ22" s="65"/>
      <c r="CR22" s="65"/>
      <c r="CS22" s="65"/>
      <c r="CT22" s="65"/>
      <c r="CU22" s="65"/>
      <c r="CV22" s="65"/>
      <c r="CW22" s="65"/>
      <c r="CX22" s="65"/>
      <c r="CY22" s="65"/>
      <c r="CZ22" s="65"/>
      <c r="DA22" s="65"/>
      <c r="DB22" s="65"/>
      <c r="DC22" s="65"/>
      <c r="DD22" s="65"/>
      <c r="DE22" s="65"/>
      <c r="DF22" s="65"/>
      <c r="DG22" s="65"/>
      <c r="DH22" s="65"/>
      <c r="DI22" s="65"/>
    </row>
    <row r="23" spans="2:113" ht="16" thickBot="1">
      <c r="B23" s="106" t="s">
        <v>177</v>
      </c>
      <c r="C23" s="107"/>
      <c r="D23" s="107"/>
      <c r="E23" s="107"/>
      <c r="F23" s="107"/>
      <c r="G23" s="108"/>
      <c r="H23" s="109"/>
      <c r="I23" s="65"/>
      <c r="J23" s="65"/>
      <c r="K23" s="7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c r="BO23" s="65"/>
      <c r="BP23" s="65"/>
      <c r="BQ23" s="65"/>
      <c r="BR23" s="65"/>
      <c r="BS23" s="65"/>
      <c r="BT23" s="65"/>
      <c r="BU23" s="65"/>
      <c r="BV23" s="65"/>
      <c r="BW23" s="65"/>
      <c r="BX23" s="65"/>
      <c r="BY23" s="65"/>
      <c r="BZ23" s="65"/>
      <c r="CA23" s="65"/>
      <c r="CB23" s="65"/>
      <c r="CC23" s="65"/>
      <c r="CD23" s="65"/>
      <c r="CE23" s="65"/>
      <c r="CF23" s="65"/>
      <c r="CG23" s="65"/>
      <c r="CH23" s="65"/>
      <c r="CI23" s="65"/>
      <c r="CJ23" s="65"/>
      <c r="CK23" s="65"/>
      <c r="CL23" s="65"/>
      <c r="CM23" s="65"/>
      <c r="CN23" s="65"/>
      <c r="CO23" s="65"/>
      <c r="CP23" s="65"/>
      <c r="CQ23" s="65"/>
      <c r="CR23" s="65"/>
      <c r="CS23" s="65"/>
      <c r="CT23" s="65"/>
      <c r="CU23" s="65"/>
      <c r="CV23" s="65"/>
      <c r="CW23" s="65"/>
      <c r="CX23" s="65"/>
      <c r="CY23" s="65"/>
      <c r="CZ23" s="65"/>
      <c r="DA23" s="65"/>
      <c r="DB23" s="65"/>
      <c r="DC23" s="65"/>
      <c r="DD23" s="65"/>
      <c r="DE23" s="65"/>
      <c r="DF23" s="65"/>
      <c r="DG23" s="65"/>
      <c r="DH23" s="65"/>
      <c r="DI23" s="65"/>
    </row>
    <row r="24" spans="2:113" ht="30">
      <c r="B24" s="72"/>
      <c r="C24" s="73" t="s">
        <v>178</v>
      </c>
      <c r="D24" s="73" t="s">
        <v>179</v>
      </c>
      <c r="E24" s="73" t="s">
        <v>180</v>
      </c>
      <c r="F24" s="73" t="s">
        <v>181</v>
      </c>
      <c r="G24" s="110" t="s">
        <v>180</v>
      </c>
      <c r="H24" s="111" t="s">
        <v>181</v>
      </c>
      <c r="I24" s="65"/>
      <c r="J24" s="65"/>
      <c r="K24" s="7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5"/>
      <c r="BI24" s="65"/>
      <c r="BJ24" s="65"/>
      <c r="BK24" s="65"/>
      <c r="BL24" s="65"/>
      <c r="BM24" s="65"/>
      <c r="BN24" s="65"/>
      <c r="BO24" s="65"/>
      <c r="BP24" s="65"/>
      <c r="BQ24" s="65"/>
      <c r="BR24" s="65"/>
      <c r="BS24" s="65"/>
      <c r="BT24" s="65"/>
      <c r="BU24" s="65"/>
      <c r="BV24" s="65"/>
      <c r="BW24" s="65"/>
      <c r="BX24" s="65"/>
      <c r="BY24" s="65"/>
      <c r="BZ24" s="65"/>
      <c r="CA24" s="65"/>
      <c r="CB24" s="65"/>
      <c r="CC24" s="65"/>
      <c r="CD24" s="65"/>
      <c r="CE24" s="65"/>
      <c r="CF24" s="65"/>
      <c r="CG24" s="65"/>
      <c r="CH24" s="65"/>
      <c r="CI24" s="65"/>
      <c r="CJ24" s="65"/>
      <c r="CK24" s="65"/>
      <c r="CL24" s="65"/>
      <c r="CM24" s="65"/>
      <c r="CN24" s="65"/>
      <c r="CO24" s="65"/>
      <c r="CP24" s="65"/>
      <c r="CQ24" s="65"/>
      <c r="CR24" s="65"/>
      <c r="CS24" s="65"/>
      <c r="CT24" s="65"/>
      <c r="CU24" s="65"/>
      <c r="CV24" s="65"/>
      <c r="CW24" s="65"/>
      <c r="CX24" s="65"/>
      <c r="CY24" s="65"/>
      <c r="CZ24" s="65"/>
      <c r="DA24" s="65"/>
      <c r="DB24" s="65"/>
      <c r="DC24" s="65"/>
      <c r="DD24" s="65"/>
      <c r="DE24" s="65"/>
      <c r="DF24" s="65"/>
      <c r="DG24" s="65"/>
      <c r="DH24" s="65"/>
      <c r="DI24" s="65"/>
    </row>
    <row r="25" spans="2:113">
      <c r="B25" s="112"/>
      <c r="C25" s="113" t="s">
        <v>182</v>
      </c>
      <c r="D25" s="113" t="s">
        <v>182</v>
      </c>
      <c r="E25" s="113" t="s">
        <v>182</v>
      </c>
      <c r="F25" s="113" t="s">
        <v>183</v>
      </c>
      <c r="G25" s="114" t="s">
        <v>184</v>
      </c>
      <c r="H25" s="115" t="s">
        <v>185</v>
      </c>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c r="BO25" s="65"/>
      <c r="BP25" s="65"/>
      <c r="BQ25" s="65"/>
      <c r="BR25" s="65"/>
      <c r="BS25" s="65"/>
      <c r="BT25" s="65"/>
      <c r="BU25" s="65"/>
      <c r="BV25" s="65"/>
      <c r="BW25" s="65"/>
      <c r="BX25" s="65"/>
      <c r="BY25" s="65"/>
      <c r="BZ25" s="65"/>
      <c r="CA25" s="65"/>
      <c r="CB25" s="65"/>
      <c r="CC25" s="65"/>
      <c r="CD25" s="65"/>
      <c r="CE25" s="65"/>
      <c r="CF25" s="65"/>
      <c r="CG25" s="65"/>
      <c r="CH25" s="65"/>
      <c r="CI25" s="65"/>
      <c r="CJ25" s="65"/>
      <c r="CK25" s="65"/>
      <c r="CL25" s="65"/>
      <c r="CM25" s="65"/>
      <c r="CN25" s="65"/>
      <c r="CO25" s="65"/>
      <c r="CP25" s="65"/>
      <c r="CQ25" s="65"/>
      <c r="CR25" s="65"/>
      <c r="CS25" s="65"/>
      <c r="CT25" s="65"/>
      <c r="CU25" s="65"/>
      <c r="CV25" s="65"/>
      <c r="CW25" s="65"/>
      <c r="CX25" s="65"/>
      <c r="CY25" s="65"/>
      <c r="CZ25" s="65"/>
      <c r="DA25" s="65"/>
      <c r="DB25" s="65"/>
      <c r="DC25" s="65"/>
      <c r="DD25" s="65"/>
      <c r="DE25" s="65"/>
      <c r="DF25" s="65"/>
      <c r="DG25" s="65"/>
      <c r="DH25" s="65"/>
      <c r="DI25" s="65"/>
    </row>
    <row r="26" spans="2:113">
      <c r="B26" s="78" t="s">
        <v>4</v>
      </c>
      <c r="C26" s="116">
        <f>C80/F80</f>
        <v>1.7917151859923239E-2</v>
      </c>
      <c r="D26" s="116">
        <f>D80/F80</f>
        <v>7.7235446455198961E-2</v>
      </c>
      <c r="E26" s="116">
        <f t="shared" ref="E26:E33" si="0">C26+D26</f>
        <v>9.5152598315122197E-2</v>
      </c>
      <c r="F26" s="116">
        <f>G80/F80</f>
        <v>1.0133710909510678</v>
      </c>
      <c r="G26" s="117">
        <f>'GREET Fuel Attributes'!$E26*Calculated_Gasoline_LHV/907184.74</f>
        <v>1.1767729847527671E-2</v>
      </c>
      <c r="H26" s="118">
        <f>'GREET Fuel Attributes'!$F26*Calculated_Gasoline_LHV/(42*'GREET Fuel Attributes'!$C$57)</f>
        <v>2.0876009386471966E-2</v>
      </c>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c r="BO26" s="65"/>
      <c r="BP26" s="65"/>
      <c r="BQ26" s="65"/>
      <c r="BR26" s="65"/>
      <c r="BS26" s="65"/>
      <c r="BT26" s="65"/>
      <c r="BU26" s="65"/>
      <c r="BV26" s="65"/>
      <c r="BW26" s="65"/>
      <c r="BX26" s="65"/>
      <c r="BY26" s="65"/>
      <c r="BZ26" s="65"/>
      <c r="CA26" s="65"/>
      <c r="CB26" s="65"/>
      <c r="CC26" s="65"/>
      <c r="CD26" s="65"/>
      <c r="CE26" s="65"/>
      <c r="CF26" s="65"/>
      <c r="CG26" s="65"/>
      <c r="CH26" s="65"/>
      <c r="CI26" s="65"/>
      <c r="CJ26" s="65"/>
      <c r="CK26" s="65"/>
      <c r="CL26" s="65"/>
      <c r="CM26" s="65"/>
      <c r="CN26" s="65"/>
      <c r="CO26" s="65"/>
      <c r="CP26" s="65"/>
      <c r="CQ26" s="65"/>
      <c r="CR26" s="65"/>
      <c r="CS26" s="65"/>
      <c r="CT26" s="65"/>
      <c r="CU26" s="65"/>
      <c r="CV26" s="65"/>
      <c r="CW26" s="65"/>
      <c r="CX26" s="65"/>
      <c r="CY26" s="65"/>
      <c r="CZ26" s="65"/>
      <c r="DA26" s="65"/>
      <c r="DB26" s="65"/>
      <c r="DC26" s="65"/>
      <c r="DD26" s="65"/>
      <c r="DE26" s="65"/>
      <c r="DF26" s="65"/>
      <c r="DG26" s="65"/>
      <c r="DH26" s="65"/>
      <c r="DI26" s="65"/>
    </row>
    <row r="27" spans="2:113">
      <c r="B27" s="78" t="s">
        <v>186</v>
      </c>
      <c r="C27" s="116"/>
      <c r="D27" s="116"/>
      <c r="E27" s="116"/>
      <c r="F27" s="116"/>
      <c r="G27" s="117"/>
      <c r="H27" s="118"/>
      <c r="I27" s="65" t="s">
        <v>187</v>
      </c>
      <c r="J27" s="65"/>
      <c r="K27" s="65"/>
      <c r="L27" s="65"/>
      <c r="M27" s="65"/>
      <c r="N27" s="65"/>
      <c r="O27" s="65"/>
      <c r="P27" s="65"/>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65"/>
      <c r="BL27" s="65"/>
      <c r="BM27" s="65"/>
      <c r="BN27" s="65"/>
      <c r="BO27" s="65"/>
      <c r="BP27" s="65"/>
      <c r="BQ27" s="65"/>
      <c r="BR27" s="65"/>
      <c r="BS27" s="65"/>
      <c r="BT27" s="65"/>
      <c r="BU27" s="65"/>
      <c r="BV27" s="65"/>
      <c r="BW27" s="65"/>
      <c r="BX27" s="65"/>
      <c r="BY27" s="65"/>
      <c r="BZ27" s="65"/>
      <c r="CA27" s="65"/>
      <c r="CB27" s="65"/>
      <c r="CC27" s="65"/>
      <c r="CD27" s="65"/>
      <c r="CE27" s="65"/>
      <c r="CF27" s="65"/>
      <c r="CG27" s="65"/>
      <c r="CH27" s="65"/>
      <c r="CI27" s="65"/>
      <c r="CJ27" s="65"/>
      <c r="CK27" s="65"/>
      <c r="CL27" s="65"/>
      <c r="CM27" s="65"/>
      <c r="CN27" s="65"/>
      <c r="CO27" s="65"/>
      <c r="CP27" s="65"/>
      <c r="CQ27" s="65"/>
      <c r="CR27" s="65"/>
      <c r="CS27" s="65"/>
      <c r="CT27" s="65"/>
      <c r="CU27" s="65"/>
      <c r="CV27" s="65"/>
      <c r="CW27" s="65"/>
      <c r="CX27" s="65"/>
      <c r="CY27" s="65"/>
      <c r="CZ27" s="65"/>
      <c r="DA27" s="65"/>
      <c r="DB27" s="65"/>
      <c r="DC27" s="65"/>
      <c r="DD27" s="65"/>
      <c r="DE27" s="65"/>
      <c r="DF27" s="65"/>
      <c r="DG27" s="65"/>
      <c r="DH27" s="65"/>
      <c r="DI27" s="65"/>
    </row>
    <row r="28" spans="2:113">
      <c r="B28" s="78" t="s">
        <v>5</v>
      </c>
      <c r="C28" s="116">
        <f>C81/F81</f>
        <v>1.6277962147309758E-2</v>
      </c>
      <c r="D28" s="116">
        <f>D81/F81</f>
        <v>7.9909918643326805E-2</v>
      </c>
      <c r="E28" s="116">
        <f t="shared" si="0"/>
        <v>9.618788079063656E-2</v>
      </c>
      <c r="F28" s="116">
        <f>G81/F81</f>
        <v>1.0534958751918961</v>
      </c>
      <c r="G28" s="117">
        <f>'GREET Fuel Attributes'!$E28*Calculated_Gasoline_LHV/907184.74</f>
        <v>1.1895765494514269E-2</v>
      </c>
      <c r="H28" s="118">
        <f>'GREET Fuel Attributes'!$F28*Calculated_Gasoline_LHV/(42*'GREET Fuel Attributes'!$C$57)</f>
        <v>2.1702602309756912E-2</v>
      </c>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c r="BO28" s="65"/>
      <c r="BP28" s="65"/>
      <c r="BQ28" s="65"/>
      <c r="BR28" s="65"/>
      <c r="BS28" s="65"/>
      <c r="BT28" s="65"/>
      <c r="BU28" s="65"/>
      <c r="BV28" s="65"/>
      <c r="BW28" s="65"/>
      <c r="BX28" s="65"/>
      <c r="BY28" s="65"/>
      <c r="BZ28" s="65"/>
      <c r="CA28" s="65"/>
      <c r="CB28" s="65"/>
      <c r="CC28" s="65"/>
      <c r="CD28" s="65"/>
      <c r="CE28" s="65"/>
      <c r="CF28" s="65"/>
      <c r="CG28" s="65"/>
      <c r="CH28" s="65"/>
      <c r="CI28" s="65"/>
      <c r="CJ28" s="65"/>
      <c r="CK28" s="65"/>
      <c r="CL28" s="65"/>
      <c r="CM28" s="65"/>
      <c r="CN28" s="65"/>
      <c r="CO28" s="65"/>
      <c r="CP28" s="65"/>
      <c r="CQ28" s="65"/>
      <c r="CR28" s="65"/>
      <c r="CS28" s="65"/>
      <c r="CT28" s="65"/>
      <c r="CU28" s="65"/>
      <c r="CV28" s="65"/>
      <c r="CW28" s="65"/>
      <c r="CX28" s="65"/>
      <c r="CY28" s="65"/>
      <c r="CZ28" s="65"/>
      <c r="DA28" s="65"/>
      <c r="DB28" s="65"/>
      <c r="DC28" s="65"/>
      <c r="DD28" s="65"/>
      <c r="DE28" s="65"/>
      <c r="DF28" s="65"/>
      <c r="DG28" s="65"/>
      <c r="DH28" s="65"/>
      <c r="DI28" s="65"/>
    </row>
    <row r="29" spans="2:113">
      <c r="B29" s="83" t="s">
        <v>153</v>
      </c>
      <c r="C29" s="116">
        <f>C82/F82</f>
        <v>-5.5516084891558799E-2</v>
      </c>
      <c r="D29" s="116">
        <f>D82/F82</f>
        <v>8.0830687849691593E-2</v>
      </c>
      <c r="E29" s="116">
        <f t="shared" si="0"/>
        <v>2.5314602958132794E-2</v>
      </c>
      <c r="F29" s="116">
        <f>G82/F82</f>
        <v>4.6184138395722718E-2</v>
      </c>
      <c r="G29" s="117">
        <f>'GREET Fuel Attributes'!$E29*Calculated_Gasoline_LHV/907184.74</f>
        <v>3.1307122882989974E-3</v>
      </c>
      <c r="H29" s="118">
        <f>'GREET Fuel Attributes'!$F29*Calculated_Gasoline_LHV/(42*'GREET Fuel Attributes'!$C$57)</f>
        <v>9.5141899671754399E-4</v>
      </c>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c r="BO29" s="65"/>
      <c r="BP29" s="65"/>
      <c r="BQ29" s="65"/>
      <c r="BR29" s="65"/>
      <c r="BS29" s="65"/>
      <c r="BT29" s="65"/>
      <c r="BU29" s="65"/>
      <c r="BV29" s="65"/>
      <c r="BW29" s="65"/>
      <c r="BX29" s="65"/>
      <c r="BY29" s="65"/>
      <c r="BZ29" s="65"/>
      <c r="CA29" s="65"/>
      <c r="CB29" s="65"/>
      <c r="CC29" s="65"/>
      <c r="CD29" s="65"/>
      <c r="CE29" s="65"/>
      <c r="CF29" s="65"/>
      <c r="CG29" s="65"/>
      <c r="CH29" s="65"/>
      <c r="CI29" s="65"/>
      <c r="CJ29" s="65"/>
      <c r="CK29" s="65"/>
      <c r="CL29" s="65"/>
      <c r="CM29" s="65"/>
      <c r="CN29" s="65"/>
      <c r="CO29" s="65"/>
      <c r="CP29" s="65"/>
      <c r="CQ29" s="65"/>
      <c r="CR29" s="65"/>
      <c r="CS29" s="65"/>
      <c r="CT29" s="65"/>
      <c r="CU29" s="65"/>
      <c r="CV29" s="65"/>
      <c r="CW29" s="65"/>
      <c r="CX29" s="65"/>
      <c r="CY29" s="65"/>
      <c r="CZ29" s="65"/>
      <c r="DA29" s="65"/>
      <c r="DB29" s="65"/>
      <c r="DC29" s="65"/>
      <c r="DD29" s="65"/>
      <c r="DE29" s="65"/>
      <c r="DF29" s="65"/>
      <c r="DG29" s="65"/>
      <c r="DH29" s="65"/>
      <c r="DI29" s="65"/>
    </row>
    <row r="30" spans="2:113">
      <c r="B30" s="83" t="s">
        <v>154</v>
      </c>
      <c r="C30" s="116">
        <f>C83/F83</f>
        <v>-1.2205622664166828E-2</v>
      </c>
      <c r="D30" s="116">
        <f>D83/F83</f>
        <v>8.0830687849691593E-2</v>
      </c>
      <c r="E30" s="116">
        <f t="shared" si="0"/>
        <v>6.8625065185524761E-2</v>
      </c>
      <c r="F30" s="116">
        <f>G83/F83</f>
        <v>0.11194847769436186</v>
      </c>
      <c r="G30" s="117">
        <f>'GREET Fuel Attributes'!$E30*Calculated_Gasoline_LHV/907184.74</f>
        <v>8.4870118333267783E-3</v>
      </c>
      <c r="H30" s="118">
        <f>'GREET Fuel Attributes'!$F30*Calculated_Gasoline_LHV/(42*'GREET Fuel Attributes'!$C$57)</f>
        <v>2.3062010471952507E-3</v>
      </c>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c r="BR30" s="65"/>
      <c r="BS30" s="65"/>
      <c r="BT30" s="65"/>
      <c r="BU30" s="65"/>
      <c r="BV30" s="65"/>
      <c r="BW30" s="65"/>
      <c r="BX30" s="65"/>
      <c r="BY30" s="65"/>
      <c r="BZ30" s="65"/>
      <c r="CA30" s="65"/>
      <c r="CB30" s="65"/>
      <c r="CC30" s="65"/>
      <c r="CD30" s="65"/>
      <c r="CE30" s="65"/>
      <c r="CF30" s="65"/>
      <c r="CG30" s="65"/>
      <c r="CH30" s="65"/>
      <c r="CI30" s="65"/>
      <c r="CJ30" s="65"/>
      <c r="CK30" s="65"/>
      <c r="CL30" s="65"/>
      <c r="CM30" s="65"/>
      <c r="CN30" s="65"/>
      <c r="CO30" s="65"/>
      <c r="CP30" s="65"/>
      <c r="CQ30" s="65"/>
      <c r="CR30" s="65"/>
      <c r="CS30" s="65"/>
      <c r="CT30" s="65"/>
      <c r="CU30" s="65"/>
      <c r="CV30" s="65"/>
      <c r="CW30" s="65"/>
      <c r="CX30" s="65"/>
      <c r="CY30" s="65"/>
      <c r="CZ30" s="65"/>
      <c r="DA30" s="65"/>
      <c r="DB30" s="65"/>
      <c r="DC30" s="65"/>
      <c r="DD30" s="65"/>
      <c r="DE30" s="65"/>
      <c r="DF30" s="65"/>
      <c r="DG30" s="65"/>
      <c r="DH30" s="65"/>
      <c r="DI30" s="65"/>
    </row>
    <row r="31" spans="2:113">
      <c r="B31" s="78" t="s">
        <v>155</v>
      </c>
      <c r="C31" s="116">
        <f>C84/F84</f>
        <v>-1.1867760205192984E-2</v>
      </c>
      <c r="D31" s="116">
        <f>D84/F84</f>
        <v>7.5449383874367351E-2</v>
      </c>
      <c r="E31" s="116">
        <f t="shared" si="0"/>
        <v>6.3581623669174372E-2</v>
      </c>
      <c r="F31" s="116">
        <f>G84/F84</f>
        <v>6.3703729515342714E-2</v>
      </c>
      <c r="G31" s="117">
        <f>'GREET Fuel Attributes'!$E31*Calculated_Gasoline_LHV/907184.74</f>
        <v>7.8632783954897534E-3</v>
      </c>
      <c r="H31" s="118">
        <f>'GREET Fuel Attributes'!$F31*Calculated_Gasoline_LHV/(42*'GREET Fuel Attributes'!$C$57)</f>
        <v>1.3123323402362394E-3</v>
      </c>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c r="BO31" s="65"/>
      <c r="BP31" s="65"/>
      <c r="BQ31" s="65"/>
      <c r="BR31" s="65"/>
      <c r="BS31" s="65"/>
      <c r="BT31" s="65"/>
      <c r="BU31" s="65"/>
      <c r="BV31" s="65"/>
      <c r="BW31" s="65"/>
      <c r="BX31" s="65"/>
      <c r="BY31" s="65"/>
      <c r="BZ31" s="65"/>
      <c r="CA31" s="65"/>
      <c r="CB31" s="65"/>
      <c r="CC31" s="65"/>
      <c r="CD31" s="65"/>
      <c r="CE31" s="65"/>
      <c r="CF31" s="65"/>
      <c r="CG31" s="65"/>
      <c r="CH31" s="65"/>
      <c r="CI31" s="65"/>
      <c r="CJ31" s="65"/>
      <c r="CK31" s="65"/>
      <c r="CL31" s="65"/>
      <c r="CM31" s="65"/>
      <c r="CN31" s="65"/>
      <c r="CO31" s="65"/>
      <c r="CP31" s="65"/>
      <c r="CQ31" s="65"/>
      <c r="CR31" s="65"/>
      <c r="CS31" s="65"/>
      <c r="CT31" s="65"/>
      <c r="CU31" s="65"/>
      <c r="CV31" s="65"/>
      <c r="CW31" s="65"/>
      <c r="CX31" s="65"/>
      <c r="CY31" s="65"/>
      <c r="CZ31" s="65"/>
      <c r="DA31" s="65"/>
      <c r="DB31" s="65"/>
      <c r="DC31" s="65"/>
      <c r="DD31" s="65"/>
      <c r="DE31" s="65"/>
      <c r="DF31" s="65"/>
      <c r="DG31" s="65"/>
      <c r="DH31" s="65"/>
      <c r="DI31" s="65"/>
    </row>
    <row r="32" spans="2:113">
      <c r="B32" s="78" t="s">
        <v>188</v>
      </c>
      <c r="C32" s="116">
        <f>C85/F85</f>
        <v>-5.7243145025592732E-2</v>
      </c>
      <c r="D32" s="116">
        <f>D85/F85</f>
        <v>7.5449383874367351E-2</v>
      </c>
      <c r="E32" s="116">
        <f t="shared" si="0"/>
        <v>1.820623884877462E-2</v>
      </c>
      <c r="F32" s="116">
        <f>G85/F85</f>
        <v>9.3989947515963373E-2</v>
      </c>
      <c r="G32" s="117">
        <f>'GREET Fuel Attributes'!$E32*Calculated_Gasoline_LHV/907184.74</f>
        <v>2.2516053592400291E-3</v>
      </c>
      <c r="H32" s="118">
        <f>'GREET Fuel Attributes'!$F32*Calculated_Gasoline_LHV/(42*'GREET Fuel Attributes'!$C$57)</f>
        <v>1.9362453143751696E-3</v>
      </c>
      <c r="I32" s="65"/>
      <c r="J32" s="65"/>
      <c r="K32" s="65"/>
      <c r="L32" s="65"/>
      <c r="M32" s="65"/>
      <c r="N32" s="65"/>
      <c r="O32" s="65"/>
      <c r="P32" s="65"/>
      <c r="Q32" s="65"/>
      <c r="R32" s="65"/>
      <c r="S32" s="65"/>
      <c r="T32" s="65"/>
      <c r="U32" s="65"/>
      <c r="V32" s="65"/>
      <c r="W32" s="65"/>
      <c r="X32" s="65"/>
      <c r="Y32" s="65"/>
      <c r="Z32" s="65"/>
      <c r="AA32" s="65"/>
      <c r="AB32" s="65"/>
      <c r="AC32" s="65"/>
      <c r="AD32" s="65"/>
      <c r="AE32" s="65"/>
      <c r="AF32" s="65"/>
      <c r="AG32" s="65"/>
      <c r="AH32" s="65"/>
      <c r="AI32" s="65"/>
      <c r="AJ32" s="65"/>
      <c r="AK32" s="65"/>
      <c r="AL32" s="65"/>
      <c r="AM32" s="65"/>
      <c r="AN32" s="65"/>
      <c r="AO32" s="65"/>
      <c r="AP32" s="65"/>
      <c r="AQ32" s="65"/>
      <c r="AR32" s="65"/>
      <c r="AS32" s="65"/>
      <c r="AT32" s="65"/>
      <c r="AU32" s="65"/>
      <c r="AV32" s="65"/>
      <c r="AW32" s="65"/>
      <c r="AX32" s="65"/>
      <c r="AY32" s="65"/>
      <c r="AZ32" s="65"/>
      <c r="BA32" s="65"/>
      <c r="BB32" s="65"/>
      <c r="BC32" s="65"/>
      <c r="BD32" s="65"/>
      <c r="BE32" s="65"/>
      <c r="BF32" s="65"/>
      <c r="BG32" s="65"/>
      <c r="BH32" s="65"/>
      <c r="BI32" s="65"/>
      <c r="BJ32" s="65"/>
      <c r="BK32" s="65"/>
      <c r="BL32" s="65"/>
      <c r="BM32" s="65"/>
      <c r="BN32" s="65"/>
      <c r="BO32" s="65"/>
      <c r="BP32" s="65"/>
      <c r="BQ32" s="65"/>
      <c r="BR32" s="65"/>
      <c r="BS32" s="65"/>
      <c r="BT32" s="65"/>
      <c r="BU32" s="65"/>
      <c r="BV32" s="65"/>
      <c r="BW32" s="65"/>
      <c r="BX32" s="65"/>
      <c r="BY32" s="65"/>
      <c r="BZ32" s="65"/>
      <c r="CA32" s="65"/>
      <c r="CB32" s="65"/>
      <c r="CC32" s="65"/>
      <c r="CD32" s="65"/>
      <c r="CE32" s="65"/>
      <c r="CF32" s="65"/>
      <c r="CG32" s="65"/>
      <c r="CH32" s="65"/>
      <c r="CI32" s="65"/>
      <c r="CJ32" s="65"/>
      <c r="CK32" s="65"/>
      <c r="CL32" s="65"/>
      <c r="CM32" s="65"/>
      <c r="CN32" s="65"/>
      <c r="CO32" s="65"/>
      <c r="CP32" s="65"/>
      <c r="CQ32" s="65"/>
      <c r="CR32" s="65"/>
      <c r="CS32" s="65"/>
      <c r="CT32" s="65"/>
      <c r="CU32" s="65"/>
      <c r="CV32" s="65"/>
      <c r="CW32" s="65"/>
      <c r="CX32" s="65"/>
      <c r="CY32" s="65"/>
      <c r="CZ32" s="65"/>
      <c r="DA32" s="65"/>
      <c r="DB32" s="65"/>
      <c r="DC32" s="65"/>
      <c r="DD32" s="65"/>
      <c r="DE32" s="65"/>
      <c r="DF32" s="65"/>
      <c r="DG32" s="65"/>
      <c r="DH32" s="65"/>
      <c r="DI32" s="65"/>
    </row>
    <row r="33" spans="2:113">
      <c r="B33" s="83" t="s">
        <v>189</v>
      </c>
      <c r="C33" s="116">
        <f>([2]Inputs!$D$81*C86+[2]Inputs!$E$81*C87)/([2]Inputs!$D$81*F86+[2]Inputs!$E$81*F87)</f>
        <v>1.997576205774167E-2</v>
      </c>
      <c r="D33" s="116">
        <f>([2]Inputs!$D$81*D86+[2]Inputs!$E$81*D87)/([2]Inputs!$D$81*F86+[2]Inputs!$E$81*F87)</f>
        <v>6.0459723050859407E-2</v>
      </c>
      <c r="E33" s="116">
        <f t="shared" si="0"/>
        <v>8.0435485108601074E-2</v>
      </c>
      <c r="F33" s="116">
        <f>([2]Inputs!$D$81*G86+[2]Inputs!$E$81*G87)/([2]Inputs!$D$81*F86+[2]Inputs!$E$81*F87)</f>
        <v>5.1581372649112502E-3</v>
      </c>
      <c r="G33" s="117">
        <f>'GREET Fuel Attributes'!$E33*Calculated_Gasoline_LHV/907184.74</f>
        <v>9.9476322840720815E-3</v>
      </c>
      <c r="H33" s="118">
        <f>'GREET Fuel Attributes'!$F33*Calculated_Gasoline_LHV/(42*'GREET Fuel Attributes'!$C$57)</f>
        <v>1.0626050310744227E-4</v>
      </c>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c r="AT33" s="65"/>
      <c r="AU33" s="65"/>
      <c r="AV33" s="65"/>
      <c r="AW33" s="65"/>
      <c r="AX33" s="65"/>
      <c r="AY33" s="65"/>
      <c r="AZ33" s="65"/>
      <c r="BA33" s="65"/>
      <c r="BB33" s="65"/>
      <c r="BC33" s="65"/>
      <c r="BD33" s="65"/>
      <c r="BE33" s="65"/>
      <c r="BF33" s="65"/>
      <c r="BG33" s="65"/>
      <c r="BH33" s="65"/>
      <c r="BI33" s="65"/>
      <c r="BJ33" s="65"/>
      <c r="BK33" s="65"/>
      <c r="BL33" s="65"/>
      <c r="BM33" s="65"/>
      <c r="BN33" s="65"/>
      <c r="BO33" s="65"/>
      <c r="BP33" s="65"/>
      <c r="BQ33" s="65"/>
      <c r="BR33" s="65"/>
      <c r="BS33" s="65"/>
      <c r="BT33" s="65"/>
      <c r="BU33" s="65"/>
      <c r="BV33" s="65"/>
      <c r="BW33" s="65"/>
      <c r="BX33" s="65"/>
      <c r="BY33" s="65"/>
      <c r="BZ33" s="65"/>
      <c r="CA33" s="65"/>
      <c r="CB33" s="65"/>
      <c r="CC33" s="65"/>
      <c r="CD33" s="65"/>
      <c r="CE33" s="65"/>
      <c r="CF33" s="65"/>
      <c r="CG33" s="65"/>
      <c r="CH33" s="65"/>
      <c r="CI33" s="65"/>
      <c r="CJ33" s="65"/>
      <c r="CK33" s="65"/>
      <c r="CL33" s="65"/>
      <c r="CM33" s="65"/>
      <c r="CN33" s="65"/>
      <c r="CO33" s="65"/>
      <c r="CP33" s="65"/>
      <c r="CQ33" s="65"/>
      <c r="CR33" s="65"/>
      <c r="CS33" s="65"/>
      <c r="CT33" s="65"/>
      <c r="CU33" s="65"/>
      <c r="CV33" s="65"/>
      <c r="CW33" s="65"/>
      <c r="CX33" s="65"/>
      <c r="CY33" s="65"/>
      <c r="CZ33" s="65"/>
      <c r="DA33" s="65"/>
      <c r="DB33" s="65"/>
      <c r="DC33" s="65"/>
      <c r="DD33" s="65"/>
      <c r="DE33" s="65"/>
      <c r="DF33" s="65"/>
      <c r="DG33" s="65"/>
      <c r="DH33" s="65"/>
      <c r="DI33" s="65"/>
    </row>
    <row r="34" spans="2:113">
      <c r="B34" s="119" t="s">
        <v>190</v>
      </c>
      <c r="C34" s="120"/>
      <c r="D34" s="120"/>
      <c r="E34" s="120"/>
      <c r="F34" s="121"/>
      <c r="G34" s="122">
        <f>'GREET Fuel Attributes'!$E34*Calculated_Gasoline_LHV/907184.74</f>
        <v>0</v>
      </c>
      <c r="H34" s="123">
        <f>'GREET Fuel Attributes'!$F34*Calculated_Gasoline_LHV/(42*'GREET Fuel Attributes'!$C$57)</f>
        <v>0</v>
      </c>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65"/>
      <c r="AQ34" s="65"/>
      <c r="AR34" s="65"/>
      <c r="AS34" s="65"/>
      <c r="AT34" s="65"/>
      <c r="AU34" s="65"/>
      <c r="AV34" s="65"/>
      <c r="AW34" s="65"/>
      <c r="AX34" s="65"/>
      <c r="AY34" s="65"/>
      <c r="AZ34" s="65"/>
      <c r="BA34" s="65"/>
      <c r="BB34" s="65"/>
      <c r="BC34" s="65"/>
      <c r="BD34" s="65"/>
      <c r="BE34" s="65"/>
      <c r="BF34" s="65"/>
      <c r="BG34" s="65"/>
      <c r="BH34" s="65"/>
      <c r="BI34" s="65"/>
      <c r="BJ34" s="65"/>
      <c r="BK34" s="65"/>
      <c r="BL34" s="65"/>
      <c r="BM34" s="65"/>
      <c r="BN34" s="65"/>
      <c r="BO34" s="65"/>
      <c r="BP34" s="65"/>
      <c r="BQ34" s="65"/>
      <c r="BR34" s="65"/>
      <c r="BS34" s="65"/>
      <c r="BT34" s="65"/>
      <c r="BU34" s="65"/>
      <c r="BV34" s="65"/>
      <c r="BW34" s="65"/>
      <c r="BX34" s="65"/>
      <c r="BY34" s="65"/>
      <c r="BZ34" s="65"/>
      <c r="CA34" s="65"/>
      <c r="CB34" s="65"/>
      <c r="CC34" s="65"/>
      <c r="CD34" s="65"/>
      <c r="CE34" s="65"/>
      <c r="CF34" s="65"/>
      <c r="CG34" s="65"/>
      <c r="CH34" s="65"/>
      <c r="CI34" s="65"/>
      <c r="CJ34" s="65"/>
      <c r="CK34" s="65"/>
      <c r="CL34" s="65"/>
      <c r="CM34" s="65"/>
      <c r="CN34" s="65"/>
      <c r="CO34" s="65"/>
      <c r="CP34" s="65"/>
      <c r="CQ34" s="65"/>
      <c r="CR34" s="65"/>
      <c r="CS34" s="65"/>
      <c r="CT34" s="65"/>
      <c r="CU34" s="65"/>
      <c r="CV34" s="65"/>
      <c r="CW34" s="65"/>
      <c r="CX34" s="65"/>
      <c r="CY34" s="65"/>
      <c r="CZ34" s="65"/>
      <c r="DA34" s="65"/>
      <c r="DB34" s="65"/>
      <c r="DC34" s="65"/>
      <c r="DD34" s="65"/>
      <c r="DE34" s="65"/>
      <c r="DF34" s="65"/>
      <c r="DG34" s="65"/>
      <c r="DH34" s="65"/>
      <c r="DI34" s="65"/>
    </row>
    <row r="35" spans="2:113">
      <c r="B35" s="78" t="s">
        <v>159</v>
      </c>
      <c r="C35" s="116">
        <f>C88/F88</f>
        <v>-5.6291596717401179E-2</v>
      </c>
      <c r="D35" s="116">
        <f>D88/F88</f>
        <v>6.0459723050859407E-2</v>
      </c>
      <c r="E35" s="116">
        <f>C35+D35</f>
        <v>4.1681263334582275E-3</v>
      </c>
      <c r="F35" s="116">
        <f>G88/F88</f>
        <v>-8.896838565882878E-2</v>
      </c>
      <c r="G35" s="117">
        <f>'GREET Fuel Attributes'!$E35*Calculated_Gasoline_LHV/907184.74</f>
        <v>5.1548129563485853E-4</v>
      </c>
      <c r="H35" s="118">
        <f>'GREET Fuel Attributes'!$F35*Calculated_Gasoline_LHV/(42*'GREET Fuel Attributes'!$C$57)</f>
        <v>-1.8327983408031232E-3</v>
      </c>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65"/>
      <c r="BH35" s="65"/>
      <c r="BI35" s="65"/>
      <c r="BJ35" s="65"/>
      <c r="BK35" s="65"/>
      <c r="BL35" s="65"/>
      <c r="BM35" s="65"/>
      <c r="BN35" s="65"/>
      <c r="BO35" s="65"/>
      <c r="BP35" s="65"/>
      <c r="BQ35" s="65"/>
      <c r="BR35" s="65"/>
      <c r="BS35" s="65"/>
      <c r="BT35" s="65"/>
      <c r="BU35" s="65"/>
      <c r="BV35" s="65"/>
      <c r="BW35" s="65"/>
      <c r="BX35" s="65"/>
      <c r="BY35" s="65"/>
      <c r="BZ35" s="65"/>
      <c r="CA35" s="65"/>
      <c r="CB35" s="65"/>
      <c r="CC35" s="65"/>
      <c r="CD35" s="65"/>
      <c r="CE35" s="65"/>
      <c r="CF35" s="65"/>
      <c r="CG35" s="65"/>
      <c r="CH35" s="65"/>
      <c r="CI35" s="65"/>
      <c r="CJ35" s="65"/>
      <c r="CK35" s="65"/>
      <c r="CL35" s="65"/>
      <c r="CM35" s="65"/>
      <c r="CN35" s="65"/>
      <c r="CO35" s="65"/>
      <c r="CP35" s="65"/>
      <c r="CQ35" s="65"/>
      <c r="CR35" s="65"/>
      <c r="CS35" s="65"/>
      <c r="CT35" s="65"/>
      <c r="CU35" s="65"/>
      <c r="CV35" s="65"/>
      <c r="CW35" s="65"/>
      <c r="CX35" s="65"/>
      <c r="CY35" s="65"/>
      <c r="CZ35" s="65"/>
      <c r="DA35" s="65"/>
      <c r="DB35" s="65"/>
      <c r="DC35" s="65"/>
      <c r="DD35" s="65"/>
      <c r="DE35" s="65"/>
      <c r="DF35" s="65"/>
      <c r="DG35" s="65"/>
      <c r="DH35" s="65"/>
      <c r="DI35" s="65"/>
    </row>
    <row r="36" spans="2:113">
      <c r="B36" s="87" t="s">
        <v>160</v>
      </c>
      <c r="C36" s="116">
        <f>C89/F89</f>
        <v>-4.5022930209840717E-2</v>
      </c>
      <c r="D36" s="116">
        <f>D89/F89</f>
        <v>6.0459723050859407E-2</v>
      </c>
      <c r="E36" s="116">
        <f>C36+D36</f>
        <v>1.543679284101869E-2</v>
      </c>
      <c r="F36" s="116">
        <f>G89/F89</f>
        <v>1.0060554911264753E-3</v>
      </c>
      <c r="G36" s="117">
        <f>'GREET Fuel Attributes'!$E36*Calculated_Gasoline_LHV/907184.74</f>
        <v>1.9091019171516128E-3</v>
      </c>
      <c r="H36" s="118">
        <f>'GREET Fuel Attributes'!$F36*Calculated_Gasoline_LHV/(42*'GREET Fuel Attributes'!$C$57)</f>
        <v>2.0725303951938074E-5</v>
      </c>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c r="AV36" s="65"/>
      <c r="AW36" s="65"/>
      <c r="AX36" s="65"/>
      <c r="AY36" s="65"/>
      <c r="AZ36" s="65"/>
      <c r="BA36" s="65"/>
      <c r="BB36" s="65"/>
      <c r="BC36" s="65"/>
      <c r="BD36" s="65"/>
      <c r="BE36" s="65"/>
      <c r="BF36" s="65"/>
      <c r="BG36" s="65"/>
      <c r="BH36" s="65"/>
      <c r="BI36" s="65"/>
      <c r="BJ36" s="65"/>
      <c r="BK36" s="65"/>
      <c r="BL36" s="65"/>
      <c r="BM36" s="65"/>
      <c r="BN36" s="65"/>
      <c r="BO36" s="65"/>
      <c r="BP36" s="65"/>
      <c r="BQ36" s="65"/>
      <c r="BR36" s="65"/>
      <c r="BS36" s="65"/>
      <c r="BT36" s="65"/>
      <c r="BU36" s="65"/>
      <c r="BV36" s="65"/>
      <c r="BW36" s="65"/>
      <c r="BX36" s="65"/>
      <c r="BY36" s="65"/>
      <c r="BZ36" s="65"/>
      <c r="CA36" s="65"/>
      <c r="CB36" s="65"/>
      <c r="CC36" s="65"/>
      <c r="CD36" s="65"/>
      <c r="CE36" s="65"/>
      <c r="CF36" s="65"/>
      <c r="CG36" s="65"/>
      <c r="CH36" s="65"/>
      <c r="CI36" s="65"/>
      <c r="CJ36" s="65"/>
      <c r="CK36" s="65"/>
      <c r="CL36" s="65"/>
      <c r="CM36" s="65"/>
      <c r="CN36" s="65"/>
      <c r="CO36" s="65"/>
      <c r="CP36" s="65"/>
      <c r="CQ36" s="65"/>
      <c r="CR36" s="65"/>
      <c r="CS36" s="65"/>
      <c r="CT36" s="65"/>
      <c r="CU36" s="65"/>
      <c r="CV36" s="65"/>
      <c r="CW36" s="65"/>
      <c r="CX36" s="65"/>
      <c r="CY36" s="65"/>
      <c r="CZ36" s="65"/>
      <c r="DA36" s="65"/>
      <c r="DB36" s="65"/>
      <c r="DC36" s="65"/>
      <c r="DD36" s="65"/>
      <c r="DE36" s="65"/>
      <c r="DF36" s="65"/>
      <c r="DG36" s="65"/>
      <c r="DH36" s="65"/>
      <c r="DI36" s="65"/>
    </row>
    <row r="37" spans="2:113">
      <c r="B37" s="83" t="s">
        <v>191</v>
      </c>
      <c r="C37" s="116">
        <f>([2]Inputs!$D$81*C90+[2]Inputs!$E$81*C91)/([2]Inputs!$D$81*F90+[2]Inputs!$E$81*F91)</f>
        <v>1.8556832091511724E-2</v>
      </c>
      <c r="D37" s="116">
        <f>([2]Inputs!$D$81*D90+[2]Inputs!$E$81*D91)/([2]Inputs!$D$81*F90+[2]Inputs!$E$81*F91)</f>
        <v>6.0706435860631236E-2</v>
      </c>
      <c r="E37" s="116">
        <f>C37+D37</f>
        <v>7.926326795214296E-2</v>
      </c>
      <c r="F37" s="116">
        <f>([2]Inputs!$D$81*G90+[2]Inputs!$E$81*G91)/([2]Inputs!$D$81*F90+[2]Inputs!$E$81*F91)</f>
        <v>1.1656731162568077E-2</v>
      </c>
      <c r="G37" s="117">
        <f>'GREET Fuel Attributes'!$E37*Calculated_Gasoline_LHV/907184.74</f>
        <v>9.8026616257391088E-3</v>
      </c>
      <c r="H37" s="118">
        <f>'GREET Fuel Attributes'!$F37*Calculated_Gasoline_LHV/(42*'GREET Fuel Attributes'!$C$57)</f>
        <v>2.4013516009911695E-4</v>
      </c>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c r="AT37" s="65"/>
      <c r="AU37" s="65"/>
      <c r="AV37" s="65"/>
      <c r="AW37" s="65"/>
      <c r="AX37" s="65"/>
      <c r="AY37" s="65"/>
      <c r="AZ37" s="65"/>
      <c r="BA37" s="65"/>
      <c r="BB37" s="65"/>
      <c r="BC37" s="65"/>
      <c r="BD37" s="65"/>
      <c r="BE37" s="65"/>
      <c r="BF37" s="65"/>
      <c r="BG37" s="65"/>
      <c r="BH37" s="65"/>
      <c r="BI37" s="65"/>
      <c r="BJ37" s="65"/>
      <c r="BK37" s="65"/>
      <c r="BL37" s="65"/>
      <c r="BM37" s="65"/>
      <c r="BN37" s="65"/>
      <c r="BO37" s="65"/>
      <c r="BP37" s="65"/>
      <c r="BQ37" s="65"/>
      <c r="BR37" s="65"/>
      <c r="BS37" s="65"/>
      <c r="BT37" s="65"/>
      <c r="BU37" s="65"/>
      <c r="BV37" s="65"/>
      <c r="BW37" s="65"/>
      <c r="BX37" s="65"/>
      <c r="BY37" s="65"/>
      <c r="BZ37" s="65"/>
      <c r="CA37" s="65"/>
      <c r="CB37" s="65"/>
      <c r="CC37" s="65"/>
      <c r="CD37" s="65"/>
      <c r="CE37" s="65"/>
      <c r="CF37" s="65"/>
      <c r="CG37" s="65"/>
      <c r="CH37" s="65"/>
      <c r="CI37" s="65"/>
      <c r="CJ37" s="65"/>
      <c r="CK37" s="65"/>
      <c r="CL37" s="65"/>
      <c r="CM37" s="65"/>
      <c r="CN37" s="65"/>
      <c r="CO37" s="65"/>
      <c r="CP37" s="65"/>
      <c r="CQ37" s="65"/>
      <c r="CR37" s="65"/>
      <c r="CS37" s="65"/>
      <c r="CT37" s="65"/>
      <c r="CU37" s="65"/>
      <c r="CV37" s="65"/>
      <c r="CW37" s="65"/>
      <c r="CX37" s="65"/>
      <c r="CY37" s="65"/>
      <c r="CZ37" s="65"/>
      <c r="DA37" s="65"/>
      <c r="DB37" s="65"/>
      <c r="DC37" s="65"/>
      <c r="DD37" s="65"/>
      <c r="DE37" s="65"/>
      <c r="DF37" s="65"/>
      <c r="DG37" s="65"/>
      <c r="DH37" s="65"/>
      <c r="DI37" s="65"/>
    </row>
    <row r="38" spans="2:113">
      <c r="B38" s="119" t="s">
        <v>192</v>
      </c>
      <c r="C38" s="120"/>
      <c r="D38" s="120"/>
      <c r="E38" s="120"/>
      <c r="F38" s="121"/>
      <c r="G38" s="122">
        <f>'GREET Fuel Attributes'!$E38*Calculated_Gasoline_LHV/907184.74</f>
        <v>0</v>
      </c>
      <c r="H38" s="123">
        <f>'GREET Fuel Attributes'!$F38*Calculated_Gasoline_LHV/(42*'GREET Fuel Attributes'!$C$57)</f>
        <v>0</v>
      </c>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c r="BV38" s="65"/>
      <c r="BW38" s="65"/>
      <c r="BX38" s="65"/>
      <c r="BY38" s="65"/>
      <c r="BZ38" s="65"/>
      <c r="CA38" s="65"/>
      <c r="CB38" s="65"/>
      <c r="CC38" s="65"/>
      <c r="CD38" s="65"/>
      <c r="CE38" s="65"/>
      <c r="CF38" s="65"/>
      <c r="CG38" s="65"/>
      <c r="CH38" s="65"/>
      <c r="CI38" s="65"/>
      <c r="CJ38" s="65"/>
      <c r="CK38" s="65"/>
      <c r="CL38" s="65"/>
      <c r="CM38" s="65"/>
      <c r="CN38" s="65"/>
      <c r="CO38" s="65"/>
      <c r="CP38" s="65"/>
      <c r="CQ38" s="65"/>
      <c r="CR38" s="65"/>
      <c r="CS38" s="65"/>
      <c r="CT38" s="65"/>
      <c r="CU38" s="65"/>
      <c r="CV38" s="65"/>
      <c r="CW38" s="65"/>
      <c r="CX38" s="65"/>
      <c r="CY38" s="65"/>
      <c r="CZ38" s="65"/>
      <c r="DA38" s="65"/>
      <c r="DB38" s="65"/>
      <c r="DC38" s="65"/>
      <c r="DD38" s="65"/>
      <c r="DE38" s="65"/>
      <c r="DF38" s="65"/>
      <c r="DG38" s="65"/>
      <c r="DH38" s="65"/>
      <c r="DI38" s="65"/>
    </row>
    <row r="39" spans="2:113">
      <c r="B39" s="78" t="s">
        <v>163</v>
      </c>
      <c r="C39" s="116">
        <f>C92/F92</f>
        <v>-6.0601131874390694E-2</v>
      </c>
      <c r="D39" s="116">
        <f>D92/F92</f>
        <v>6.0706435860631236E-2</v>
      </c>
      <c r="E39" s="116">
        <f>C39+D39</f>
        <v>1.0530398624054166E-4</v>
      </c>
      <c r="F39" s="116">
        <f>G92/F92</f>
        <v>-9.0879208939033729E-2</v>
      </c>
      <c r="G39" s="117">
        <f>'GREET Fuel Attributes'!$E39*Calculated_Gasoline_LHV/907184.74</f>
        <v>1.3023174184298928E-5</v>
      </c>
      <c r="H39" s="118">
        <f>'GREET Fuel Attributes'!$F39*Calculated_Gasoline_LHV/(42*'GREET Fuel Attributes'!$C$57)</f>
        <v>-1.8721623655810649E-3</v>
      </c>
      <c r="I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c r="AT39" s="65"/>
      <c r="AU39" s="65"/>
      <c r="AV39" s="65"/>
      <c r="AW39" s="65"/>
      <c r="AX39" s="65"/>
      <c r="AY39" s="65"/>
      <c r="AZ39" s="65"/>
      <c r="BA39" s="65"/>
      <c r="BB39" s="65"/>
      <c r="BC39" s="65"/>
      <c r="BD39" s="65"/>
      <c r="BE39" s="65"/>
      <c r="BF39" s="65"/>
      <c r="BG39" s="65"/>
      <c r="BH39" s="65"/>
      <c r="BI39" s="65"/>
      <c r="BJ39" s="65"/>
      <c r="BK39" s="65"/>
      <c r="BL39" s="65"/>
      <c r="BM39" s="65"/>
      <c r="BN39" s="65"/>
      <c r="BO39" s="65"/>
      <c r="BP39" s="65"/>
      <c r="BQ39" s="65"/>
      <c r="BR39" s="65"/>
      <c r="BS39" s="65"/>
      <c r="BT39" s="65"/>
      <c r="BU39" s="65"/>
      <c r="BV39" s="65"/>
      <c r="BW39" s="65"/>
      <c r="BX39" s="65"/>
      <c r="BY39" s="65"/>
      <c r="BZ39" s="65"/>
      <c r="CA39" s="65"/>
      <c r="CB39" s="65"/>
      <c r="CC39" s="65"/>
      <c r="CD39" s="65"/>
      <c r="CE39" s="65"/>
      <c r="CF39" s="65"/>
      <c r="CG39" s="65"/>
      <c r="CH39" s="65"/>
      <c r="CI39" s="65"/>
      <c r="CJ39" s="65"/>
      <c r="CK39" s="65"/>
      <c r="CL39" s="65"/>
      <c r="CM39" s="65"/>
      <c r="CN39" s="65"/>
      <c r="CO39" s="65"/>
      <c r="CP39" s="65"/>
      <c r="CQ39" s="65"/>
      <c r="CR39" s="65"/>
      <c r="CS39" s="65"/>
      <c r="CT39" s="65"/>
      <c r="CU39" s="65"/>
      <c r="CV39" s="65"/>
      <c r="CW39" s="65"/>
      <c r="CX39" s="65"/>
      <c r="CY39" s="65"/>
      <c r="CZ39" s="65"/>
      <c r="DA39" s="65"/>
      <c r="DB39" s="65"/>
      <c r="DC39" s="65"/>
      <c r="DD39" s="65"/>
      <c r="DE39" s="65"/>
      <c r="DF39" s="65"/>
      <c r="DG39" s="65"/>
      <c r="DH39" s="65"/>
      <c r="DI39" s="65"/>
    </row>
    <row r="40" spans="2:113">
      <c r="B40" s="87" t="s">
        <v>164</v>
      </c>
      <c r="C40" s="116">
        <f>C93/F93</f>
        <v>-4.5400666151744214E-2</v>
      </c>
      <c r="D40" s="116">
        <f>D93/F93</f>
        <v>6.0706435860631236E-2</v>
      </c>
      <c r="E40" s="116">
        <f>C40+D40</f>
        <v>1.5305769708887022E-2</v>
      </c>
      <c r="F40" s="116">
        <f>G93/F93</f>
        <v>9.9607143019121063E-4</v>
      </c>
      <c r="G40" s="117">
        <f>'GREET Fuel Attributes'!$E40*Calculated_Gasoline_LHV/907184.74</f>
        <v>1.8928979999701168E-3</v>
      </c>
      <c r="H40" s="118">
        <f>'GREET Fuel Attributes'!$F40*Calculated_Gasoline_LHV/(42*'GREET Fuel Attributes'!$C$57)</f>
        <v>2.0519626730966557E-5</v>
      </c>
      <c r="I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5"/>
      <c r="AR40" s="65"/>
      <c r="AS40" s="65"/>
      <c r="AT40" s="65"/>
      <c r="AU40" s="65"/>
      <c r="AV40" s="65"/>
      <c r="AW40" s="65"/>
      <c r="AX40" s="65"/>
      <c r="AY40" s="65"/>
      <c r="AZ40" s="65"/>
      <c r="BA40" s="65"/>
      <c r="BB40" s="65"/>
      <c r="BC40" s="65"/>
      <c r="BD40" s="65"/>
      <c r="BE40" s="65"/>
      <c r="BF40" s="65"/>
      <c r="BG40" s="65"/>
      <c r="BH40" s="65"/>
      <c r="BI40" s="65"/>
      <c r="BJ40" s="65"/>
      <c r="BK40" s="65"/>
      <c r="BL40" s="65"/>
      <c r="BM40" s="65"/>
      <c r="BN40" s="65"/>
      <c r="BO40" s="65"/>
      <c r="BP40" s="65"/>
      <c r="BQ40" s="65"/>
      <c r="BR40" s="65"/>
      <c r="BS40" s="65"/>
      <c r="BT40" s="65"/>
      <c r="BU40" s="65"/>
      <c r="BV40" s="65"/>
      <c r="BW40" s="65"/>
      <c r="BX40" s="65"/>
      <c r="BY40" s="65"/>
      <c r="BZ40" s="65"/>
      <c r="CA40" s="65"/>
      <c r="CB40" s="65"/>
      <c r="CC40" s="65"/>
      <c r="CD40" s="65"/>
      <c r="CE40" s="65"/>
      <c r="CF40" s="65"/>
      <c r="CG40" s="65"/>
      <c r="CH40" s="65"/>
      <c r="CI40" s="65"/>
      <c r="CJ40" s="65"/>
      <c r="CK40" s="65"/>
      <c r="CL40" s="65"/>
      <c r="CM40" s="65"/>
      <c r="CN40" s="65"/>
      <c r="CO40" s="65"/>
      <c r="CP40" s="65"/>
      <c r="CQ40" s="65"/>
      <c r="CR40" s="65"/>
      <c r="CS40" s="65"/>
      <c r="CT40" s="65"/>
      <c r="CU40" s="65"/>
      <c r="CV40" s="65"/>
      <c r="CW40" s="65"/>
      <c r="CX40" s="65"/>
      <c r="CY40" s="65"/>
      <c r="CZ40" s="65"/>
      <c r="DA40" s="65"/>
      <c r="DB40" s="65"/>
      <c r="DC40" s="65"/>
      <c r="DD40" s="65"/>
      <c r="DE40" s="65"/>
      <c r="DF40" s="65"/>
      <c r="DG40" s="65"/>
      <c r="DH40" s="65"/>
      <c r="DI40" s="65"/>
    </row>
    <row r="41" spans="2:113">
      <c r="B41" s="83" t="s">
        <v>193</v>
      </c>
      <c r="C41" s="116">
        <f>([2]Inputs!$D$83*C94+[2]Inputs!$E$83*C95)/([2]Inputs!$D$83*F94+[2]Inputs!$E$83*F95)</f>
        <v>1.5102949296897811E-2</v>
      </c>
      <c r="D41" s="116">
        <f>([2]Inputs!$D$83*D94+[2]Inputs!$E$83*D95)/([2]Inputs!$D$83*F94+[2]Inputs!$E$83*F95)</f>
        <v>6.8611567937158419E-2</v>
      </c>
      <c r="E41" s="116">
        <f>C41+D41</f>
        <v>8.3714517234056235E-2</v>
      </c>
      <c r="F41" s="116">
        <f>([2]Inputs!$D$83*G94+[2]Inputs!$E$83*G95)/([2]Inputs!$D$83*F94+[2]Inputs!$E$83*F95)</f>
        <v>0.33941834645866825</v>
      </c>
      <c r="G41" s="117">
        <f>'GREET Fuel Attributes'!$E41*Calculated_Gasoline_LHV/907184.74</f>
        <v>1.0353157355346865E-2</v>
      </c>
      <c r="H41" s="118">
        <f>'GREET Fuel Attributes'!$F41*Calculated_Gasoline_LHV/(42*'GREET Fuel Attributes'!$C$57)</f>
        <v>6.9922071488756309E-3</v>
      </c>
      <c r="I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65"/>
      <c r="AS41" s="65"/>
      <c r="AT41" s="65"/>
      <c r="AU41" s="65"/>
      <c r="AV41" s="65"/>
      <c r="AW41" s="65"/>
      <c r="AX41" s="65"/>
      <c r="AY41" s="65"/>
      <c r="AZ41" s="65"/>
      <c r="BA41" s="65"/>
      <c r="BB41" s="65"/>
      <c r="BC41" s="65"/>
      <c r="BD41" s="65"/>
      <c r="BE41" s="65"/>
      <c r="BF41" s="65"/>
      <c r="BG41" s="65"/>
      <c r="BH41" s="65"/>
      <c r="BI41" s="65"/>
      <c r="BJ41" s="65"/>
      <c r="BK41" s="65"/>
      <c r="BL41" s="65"/>
      <c r="BM41" s="65"/>
      <c r="BN41" s="65"/>
      <c r="BO41" s="65"/>
      <c r="BP41" s="65"/>
      <c r="BQ41" s="65"/>
      <c r="BR41" s="65"/>
      <c r="BS41" s="65"/>
      <c r="BT41" s="65"/>
      <c r="BU41" s="65"/>
      <c r="BV41" s="65"/>
      <c r="BW41" s="65"/>
      <c r="BX41" s="65"/>
      <c r="BY41" s="65"/>
      <c r="BZ41" s="65"/>
      <c r="CA41" s="65"/>
      <c r="CB41" s="65"/>
      <c r="CC41" s="65"/>
      <c r="CD41" s="65"/>
      <c r="CE41" s="65"/>
      <c r="CF41" s="65"/>
      <c r="CG41" s="65"/>
      <c r="CH41" s="65"/>
      <c r="CI41" s="65"/>
      <c r="CJ41" s="65"/>
      <c r="CK41" s="65"/>
      <c r="CL41" s="65"/>
      <c r="CM41" s="65"/>
      <c r="CN41" s="65"/>
      <c r="CO41" s="65"/>
      <c r="CP41" s="65"/>
      <c r="CQ41" s="65"/>
      <c r="CR41" s="65"/>
      <c r="CS41" s="65"/>
      <c r="CT41" s="65"/>
      <c r="CU41" s="65"/>
      <c r="CV41" s="65"/>
      <c r="CW41" s="65"/>
      <c r="CX41" s="65"/>
      <c r="CY41" s="65"/>
      <c r="CZ41" s="65"/>
      <c r="DA41" s="65"/>
      <c r="DB41" s="65"/>
      <c r="DC41" s="65"/>
      <c r="DD41" s="65"/>
      <c r="DE41" s="65"/>
      <c r="DF41" s="65"/>
      <c r="DG41" s="65"/>
      <c r="DH41" s="65"/>
      <c r="DI41" s="65"/>
    </row>
    <row r="42" spans="2:113">
      <c r="B42" s="119" t="s">
        <v>194</v>
      </c>
      <c r="C42" s="120"/>
      <c r="D42" s="120"/>
      <c r="E42" s="120"/>
      <c r="F42" s="121"/>
      <c r="G42" s="122">
        <f>'GREET Fuel Attributes'!$E42*Calculated_Gasoline_LHV/907184.74</f>
        <v>0</v>
      </c>
      <c r="H42" s="123">
        <f>'GREET Fuel Attributes'!$F42*Calculated_Gasoline_LHV/(42*'GREET Fuel Attributes'!$C$57)</f>
        <v>0</v>
      </c>
      <c r="I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65"/>
      <c r="AO42" s="65"/>
      <c r="AP42" s="65"/>
      <c r="AQ42" s="65"/>
      <c r="AR42" s="65"/>
      <c r="AS42" s="65"/>
      <c r="AT42" s="65"/>
      <c r="AU42" s="65"/>
      <c r="AV42" s="65"/>
      <c r="AW42" s="65"/>
      <c r="AX42" s="65"/>
      <c r="AY42" s="65"/>
      <c r="AZ42" s="65"/>
      <c r="BA42" s="65"/>
      <c r="BB42" s="65"/>
      <c r="BC42" s="65"/>
      <c r="BD42" s="65"/>
      <c r="BE42" s="65"/>
      <c r="BF42" s="65"/>
      <c r="BG42" s="65"/>
      <c r="BH42" s="65"/>
      <c r="BI42" s="65"/>
      <c r="BJ42" s="65"/>
      <c r="BK42" s="65"/>
      <c r="BL42" s="65"/>
      <c r="BM42" s="65"/>
      <c r="BN42" s="65"/>
      <c r="BO42" s="65"/>
      <c r="BP42" s="65"/>
      <c r="BQ42" s="65"/>
      <c r="BR42" s="65"/>
      <c r="BS42" s="65"/>
      <c r="BT42" s="65"/>
      <c r="BU42" s="65"/>
      <c r="BV42" s="65"/>
      <c r="BW42" s="65"/>
      <c r="BX42" s="65"/>
      <c r="BY42" s="65"/>
      <c r="BZ42" s="65"/>
      <c r="CA42" s="65"/>
      <c r="CB42" s="65"/>
      <c r="CC42" s="65"/>
      <c r="CD42" s="65"/>
      <c r="CE42" s="65"/>
      <c r="CF42" s="65"/>
      <c r="CG42" s="65"/>
      <c r="CH42" s="65"/>
      <c r="CI42" s="65"/>
      <c r="CJ42" s="65"/>
      <c r="CK42" s="65"/>
      <c r="CL42" s="65"/>
      <c r="CM42" s="65"/>
      <c r="CN42" s="65"/>
      <c r="CO42" s="65"/>
      <c r="CP42" s="65"/>
      <c r="CQ42" s="65"/>
      <c r="CR42" s="65"/>
      <c r="CS42" s="65"/>
      <c r="CT42" s="65"/>
      <c r="CU42" s="65"/>
      <c r="CV42" s="65"/>
      <c r="CW42" s="65"/>
      <c r="CX42" s="65"/>
      <c r="CY42" s="65"/>
      <c r="CZ42" s="65"/>
      <c r="DA42" s="65"/>
      <c r="DB42" s="65"/>
      <c r="DC42" s="65"/>
      <c r="DD42" s="65"/>
      <c r="DE42" s="65"/>
      <c r="DF42" s="65"/>
      <c r="DG42" s="65"/>
      <c r="DH42" s="65"/>
      <c r="DI42" s="65"/>
    </row>
    <row r="43" spans="2:113">
      <c r="B43" s="78" t="s">
        <v>167</v>
      </c>
      <c r="C43" s="116">
        <f>C96/F96</f>
        <v>0.17968665331894981</v>
      </c>
      <c r="D43" s="116">
        <f>D96/F96</f>
        <v>0</v>
      </c>
      <c r="E43" s="116">
        <f>C43+D43</f>
        <v>0.17968665331894981</v>
      </c>
      <c r="F43" s="116">
        <f>G96/F96</f>
        <v>4.5649937340246222E-2</v>
      </c>
      <c r="G43" s="117">
        <f>'GREET Fuel Attributes'!$E43*Calculated_Gasoline_LHV/907184.74</f>
        <v>2.2222241230460585E-2</v>
      </c>
      <c r="H43" s="118">
        <f>'GREET Fuel Attributes'!$F43*Calculated_Gasoline_LHV/(42*'GREET Fuel Attributes'!$C$57)</f>
        <v>9.4041415717951819E-4</v>
      </c>
      <c r="I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5"/>
      <c r="AT43" s="65"/>
      <c r="AU43" s="65"/>
      <c r="AV43" s="65"/>
      <c r="AW43" s="65"/>
      <c r="AX43" s="65"/>
      <c r="AY43" s="65"/>
      <c r="AZ43" s="65"/>
      <c r="BA43" s="65"/>
      <c r="BB43" s="65"/>
      <c r="BC43" s="65"/>
      <c r="BD43" s="65"/>
      <c r="BE43" s="65"/>
      <c r="BF43" s="65"/>
      <c r="BG43" s="65"/>
      <c r="BH43" s="65"/>
      <c r="BI43" s="65"/>
      <c r="BJ43" s="65"/>
      <c r="BK43" s="65"/>
      <c r="BL43" s="65"/>
      <c r="BM43" s="65"/>
      <c r="BN43" s="65"/>
      <c r="BO43" s="65"/>
      <c r="BP43" s="65"/>
      <c r="BQ43" s="65"/>
      <c r="BR43" s="65"/>
      <c r="BS43" s="65"/>
      <c r="BT43" s="65"/>
      <c r="BU43" s="65"/>
      <c r="BV43" s="65"/>
      <c r="BW43" s="65"/>
      <c r="BX43" s="65"/>
      <c r="BY43" s="65"/>
      <c r="BZ43" s="65"/>
      <c r="CA43" s="65"/>
      <c r="CB43" s="65"/>
      <c r="CC43" s="65"/>
      <c r="CD43" s="65"/>
      <c r="CE43" s="65"/>
      <c r="CF43" s="65"/>
      <c r="CG43" s="65"/>
      <c r="CH43" s="65"/>
      <c r="CI43" s="65"/>
      <c r="CJ43" s="65"/>
      <c r="CK43" s="65"/>
      <c r="CL43" s="65"/>
      <c r="CM43" s="65"/>
      <c r="CN43" s="65"/>
      <c r="CO43" s="65"/>
      <c r="CP43" s="65"/>
      <c r="CQ43" s="65"/>
      <c r="CR43" s="65"/>
      <c r="CS43" s="65"/>
      <c r="CT43" s="65"/>
      <c r="CU43" s="65"/>
      <c r="CV43" s="65"/>
      <c r="CW43" s="65"/>
      <c r="CX43" s="65"/>
      <c r="CY43" s="65"/>
      <c r="CZ43" s="65"/>
      <c r="DA43" s="65"/>
      <c r="DB43" s="65"/>
      <c r="DC43" s="65"/>
      <c r="DD43" s="65"/>
      <c r="DE43" s="65"/>
      <c r="DF43" s="65"/>
      <c r="DG43" s="65"/>
      <c r="DH43" s="65"/>
      <c r="DI43" s="65"/>
    </row>
    <row r="44" spans="2:113">
      <c r="B44" s="92" t="s">
        <v>168</v>
      </c>
      <c r="C44" s="120"/>
      <c r="D44" s="120"/>
      <c r="E44" s="120"/>
      <c r="F44" s="121"/>
      <c r="G44" s="122">
        <f>'GREET Fuel Attributes'!$E44*Calculated_Gasoline_LHV/907184.74</f>
        <v>0</v>
      </c>
      <c r="H44" s="123">
        <f>'GREET Fuel Attributes'!$F44*Calculated_Gasoline_LHV/(42*'GREET Fuel Attributes'!$C$57)</f>
        <v>0</v>
      </c>
      <c r="I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5"/>
      <c r="AV44" s="65"/>
      <c r="AW44" s="65"/>
      <c r="AX44" s="65"/>
      <c r="AY44" s="65"/>
      <c r="AZ44" s="65"/>
      <c r="BA44" s="65"/>
      <c r="BB44" s="65"/>
      <c r="BC44" s="65"/>
      <c r="BD44" s="65"/>
      <c r="BE44" s="65"/>
      <c r="BF44" s="65"/>
      <c r="BG44" s="65"/>
      <c r="BH44" s="65"/>
      <c r="BI44" s="65"/>
      <c r="BJ44" s="65"/>
      <c r="BK44" s="65"/>
      <c r="BL44" s="65"/>
      <c r="BM44" s="65"/>
      <c r="BN44" s="65"/>
      <c r="BO44" s="65"/>
      <c r="BP44" s="65"/>
      <c r="BQ44" s="65"/>
      <c r="BR44" s="65"/>
      <c r="BS44" s="65"/>
      <c r="BT44" s="65"/>
      <c r="BU44" s="65"/>
      <c r="BV44" s="65"/>
      <c r="BW44" s="65"/>
      <c r="BX44" s="65"/>
      <c r="BY44" s="65"/>
      <c r="BZ44" s="65"/>
      <c r="CA44" s="65"/>
      <c r="CB44" s="65"/>
      <c r="CC44" s="65"/>
      <c r="CD44" s="65"/>
      <c r="CE44" s="65"/>
      <c r="CF44" s="65"/>
      <c r="CG44" s="65"/>
      <c r="CH44" s="65"/>
      <c r="CI44" s="65"/>
      <c r="CJ44" s="65"/>
      <c r="CK44" s="65"/>
      <c r="CL44" s="65"/>
      <c r="CM44" s="65"/>
      <c r="CN44" s="65"/>
      <c r="CO44" s="65"/>
      <c r="CP44" s="65"/>
      <c r="CQ44" s="65"/>
      <c r="CR44" s="65"/>
      <c r="CS44" s="65"/>
      <c r="CT44" s="65"/>
      <c r="CU44" s="65"/>
      <c r="CV44" s="65"/>
      <c r="CW44" s="65"/>
      <c r="CX44" s="65"/>
      <c r="CY44" s="65"/>
      <c r="CZ44" s="65"/>
      <c r="DA44" s="65"/>
      <c r="DB44" s="65"/>
      <c r="DC44" s="65"/>
      <c r="DD44" s="65"/>
      <c r="DE44" s="65"/>
      <c r="DF44" s="65"/>
      <c r="DG44" s="65"/>
      <c r="DH44" s="65"/>
      <c r="DI44" s="65"/>
    </row>
    <row r="45" spans="2:113">
      <c r="B45" s="78" t="s">
        <v>195</v>
      </c>
      <c r="C45" s="116">
        <f>C98/F98</f>
        <v>0.12718064680954894</v>
      </c>
      <c r="D45" s="116">
        <f>D98/F98</f>
        <v>0</v>
      </c>
      <c r="E45" s="116">
        <f>C45+D45</f>
        <v>0.12718064680954894</v>
      </c>
      <c r="F45" s="116">
        <f>G98/F98</f>
        <v>1.3047114955926038E-2</v>
      </c>
      <c r="G45" s="117">
        <f>'GREET Fuel Attributes'!$E45*Calculated_Gasoline_LHV/907184.74</f>
        <v>1.5728708621619965E-2</v>
      </c>
      <c r="H45" s="118">
        <f>'GREET Fuel Attributes'!$F45*Calculated_Gasoline_LHV/(42*'GREET Fuel Attributes'!$C$57)</f>
        <v>2.6877784132431175E-4</v>
      </c>
      <c r="I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L45" s="65"/>
      <c r="AM45" s="65"/>
      <c r="AN45" s="65"/>
      <c r="AO45" s="65"/>
      <c r="AP45" s="65"/>
      <c r="AQ45" s="65"/>
      <c r="AR45" s="65"/>
      <c r="AS45" s="65"/>
      <c r="AT45" s="65"/>
      <c r="AU45" s="65"/>
      <c r="AV45" s="65"/>
      <c r="AW45" s="65"/>
      <c r="AX45" s="65"/>
      <c r="AY45" s="65"/>
      <c r="AZ45" s="65"/>
      <c r="BA45" s="65"/>
      <c r="BB45" s="65"/>
      <c r="BC45" s="65"/>
      <c r="BD45" s="65"/>
      <c r="BE45" s="65"/>
      <c r="BF45" s="65"/>
      <c r="BG45" s="65"/>
      <c r="BH45" s="65"/>
      <c r="BI45" s="65"/>
      <c r="BJ45" s="65"/>
      <c r="BK45" s="65"/>
      <c r="BL45" s="65"/>
      <c r="BM45" s="65"/>
      <c r="BN45" s="65"/>
      <c r="BO45" s="65"/>
      <c r="BP45" s="65"/>
      <c r="BQ45" s="65"/>
      <c r="BR45" s="65"/>
      <c r="BS45" s="65"/>
      <c r="BT45" s="65"/>
      <c r="BU45" s="65"/>
      <c r="BV45" s="65"/>
      <c r="BW45" s="65"/>
      <c r="BX45" s="65"/>
      <c r="BY45" s="65"/>
      <c r="BZ45" s="65"/>
      <c r="CA45" s="65"/>
      <c r="CB45" s="65"/>
      <c r="CC45" s="65"/>
      <c r="CD45" s="65"/>
      <c r="CE45" s="65"/>
      <c r="CF45" s="65"/>
      <c r="CG45" s="65"/>
      <c r="CH45" s="65"/>
      <c r="CI45" s="65"/>
      <c r="CJ45" s="65"/>
      <c r="CK45" s="65"/>
      <c r="CL45" s="65"/>
      <c r="CM45" s="65"/>
      <c r="CN45" s="65"/>
      <c r="CO45" s="65"/>
      <c r="CP45" s="65"/>
      <c r="CQ45" s="65"/>
      <c r="CR45" s="65"/>
      <c r="CS45" s="65"/>
      <c r="CT45" s="65"/>
      <c r="CU45" s="65"/>
      <c r="CV45" s="65"/>
      <c r="CW45" s="65"/>
      <c r="CX45" s="65"/>
      <c r="CY45" s="65"/>
      <c r="CZ45" s="65"/>
      <c r="DA45" s="65"/>
      <c r="DB45" s="65"/>
      <c r="DC45" s="65"/>
      <c r="DD45" s="65"/>
      <c r="DE45" s="65"/>
      <c r="DF45" s="65"/>
      <c r="DG45" s="65"/>
      <c r="DH45" s="65"/>
      <c r="DI45" s="65"/>
    </row>
    <row r="46" spans="2:113">
      <c r="B46" s="78" t="s">
        <v>196</v>
      </c>
      <c r="C46" s="116">
        <f>C99/F99</f>
        <v>0.12228342394245592</v>
      </c>
      <c r="D46" s="116">
        <f>D99/F99</f>
        <v>0</v>
      </c>
      <c r="E46" s="116">
        <f>C46+D46</f>
        <v>0.12228342394245592</v>
      </c>
      <c r="F46" s="116">
        <f>G99/F99</f>
        <v>1.2622896999792554E-2</v>
      </c>
      <c r="G46" s="117">
        <f>'GREET Fuel Attributes'!$E46*Calculated_Gasoline_LHV/907184.74</f>
        <v>1.5123058363786419E-2</v>
      </c>
      <c r="H46" s="118">
        <f>'GREET Fuel Attributes'!$F46*Calculated_Gasoline_LHV/(42*'GREET Fuel Attributes'!$C$57)</f>
        <v>2.6003871494382553E-4</v>
      </c>
      <c r="I46" s="65"/>
      <c r="M46" s="65"/>
      <c r="N46" s="65"/>
      <c r="O46" s="65"/>
      <c r="P46" s="65"/>
      <c r="Q46" s="65"/>
      <c r="R46" s="65"/>
      <c r="S46" s="65"/>
      <c r="T46" s="65"/>
      <c r="U46" s="65"/>
      <c r="V46" s="65"/>
      <c r="W46" s="65"/>
      <c r="X46" s="65"/>
      <c r="Y46" s="65"/>
      <c r="Z46" s="65"/>
      <c r="AA46" s="65"/>
      <c r="AB46" s="65"/>
      <c r="AC46" s="65"/>
      <c r="AD46" s="65"/>
      <c r="AE46" s="65"/>
      <c r="AF46" s="65"/>
      <c r="AG46" s="65"/>
      <c r="AH46" s="65"/>
      <c r="AI46" s="65"/>
      <c r="AJ46" s="65"/>
      <c r="AK46" s="65"/>
      <c r="AL46" s="65"/>
      <c r="AM46" s="65"/>
      <c r="AN46" s="65"/>
      <c r="AO46" s="65"/>
      <c r="AP46" s="65"/>
      <c r="AQ46" s="65"/>
      <c r="AR46" s="65"/>
      <c r="AS46" s="65"/>
      <c r="AT46" s="65"/>
      <c r="AU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65"/>
      <c r="BU46" s="65"/>
      <c r="BV46" s="65"/>
      <c r="BW46" s="65"/>
      <c r="BX46" s="65"/>
      <c r="BY46" s="65"/>
      <c r="BZ46" s="65"/>
      <c r="CA46" s="65"/>
      <c r="CB46" s="65"/>
      <c r="CC46" s="65"/>
      <c r="CD46" s="65"/>
      <c r="CE46" s="65"/>
      <c r="CF46" s="65"/>
      <c r="CG46" s="65"/>
      <c r="CH46" s="65"/>
      <c r="CI46" s="65"/>
      <c r="CJ46" s="65"/>
      <c r="CK46" s="65"/>
      <c r="CL46" s="65"/>
      <c r="CM46" s="65"/>
      <c r="CN46" s="65"/>
      <c r="CO46" s="65"/>
      <c r="CP46" s="65"/>
      <c r="CQ46" s="65"/>
      <c r="CR46" s="65"/>
      <c r="CS46" s="65"/>
      <c r="CT46" s="65"/>
      <c r="CU46" s="65"/>
      <c r="CV46" s="65"/>
      <c r="CW46" s="65"/>
      <c r="CX46" s="65"/>
      <c r="CY46" s="65"/>
      <c r="CZ46" s="65"/>
      <c r="DA46" s="65"/>
      <c r="DB46" s="65"/>
      <c r="DC46" s="65"/>
      <c r="DD46" s="65"/>
      <c r="DE46" s="65"/>
      <c r="DF46" s="65"/>
      <c r="DG46" s="65"/>
      <c r="DH46" s="65"/>
      <c r="DI46" s="65"/>
    </row>
    <row r="47" spans="2:113">
      <c r="B47" s="78" t="s">
        <v>171</v>
      </c>
      <c r="C47" s="116">
        <f>C100/F100</f>
        <v>0.26586382558473665</v>
      </c>
      <c r="D47" s="116">
        <f>D100/F100</f>
        <v>0</v>
      </c>
      <c r="E47" s="116">
        <f>C47+D47</f>
        <v>0.26586382558473665</v>
      </c>
      <c r="F47" s="116">
        <f>G100/F100</f>
        <v>6.7543508406483516E-2</v>
      </c>
      <c r="G47" s="117">
        <f>'GREET Fuel Attributes'!$E47*Calculated_Gasoline_LHV/907184.74</f>
        <v>3.2879960517212474E-2</v>
      </c>
      <c r="H47" s="118">
        <f>'GREET Fuel Attributes'!$F47*Calculated_Gasoline_LHV/(42*'GREET Fuel Attributes'!$C$57)</f>
        <v>1.3914339259132112E-3</v>
      </c>
      <c r="I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5"/>
      <c r="AT47" s="65"/>
      <c r="AU47" s="65"/>
      <c r="AV47" s="65"/>
      <c r="AW47" s="65"/>
      <c r="AX47" s="65"/>
      <c r="AY47" s="65"/>
      <c r="AZ47" s="65"/>
      <c r="BA47" s="65"/>
      <c r="BB47" s="65"/>
      <c r="BC47" s="65"/>
      <c r="BD47" s="65"/>
      <c r="BE47" s="65"/>
      <c r="BF47" s="65"/>
      <c r="BG47" s="65"/>
      <c r="BH47" s="65"/>
      <c r="BI47" s="65"/>
      <c r="BJ47" s="65"/>
      <c r="BK47" s="65"/>
      <c r="BL47" s="65"/>
      <c r="BM47" s="65"/>
      <c r="BN47" s="65"/>
      <c r="BO47" s="65"/>
      <c r="BP47" s="65"/>
      <c r="BQ47" s="65"/>
      <c r="BR47" s="65"/>
      <c r="BS47" s="65"/>
      <c r="BT47" s="65"/>
      <c r="BU47" s="65"/>
      <c r="BV47" s="65"/>
      <c r="BW47" s="65"/>
      <c r="BX47" s="65"/>
      <c r="BY47" s="65"/>
      <c r="BZ47" s="65"/>
      <c r="CA47" s="65"/>
      <c r="CB47" s="65"/>
      <c r="CC47" s="65"/>
      <c r="CD47" s="65"/>
      <c r="CE47" s="65"/>
      <c r="CF47" s="65"/>
      <c r="CG47" s="65"/>
      <c r="CH47" s="65"/>
      <c r="CI47" s="65"/>
      <c r="CJ47" s="65"/>
      <c r="CK47" s="65"/>
      <c r="CL47" s="65"/>
      <c r="CM47" s="65"/>
      <c r="CN47" s="65"/>
      <c r="CO47" s="65"/>
      <c r="CP47" s="65"/>
      <c r="CQ47" s="65"/>
      <c r="CR47" s="65"/>
      <c r="CS47" s="65"/>
      <c r="CT47" s="65"/>
      <c r="CU47" s="65"/>
      <c r="CV47" s="65"/>
      <c r="CW47" s="65"/>
      <c r="CX47" s="65"/>
      <c r="CY47" s="65"/>
      <c r="CZ47" s="65"/>
      <c r="DA47" s="65"/>
      <c r="DB47" s="65"/>
      <c r="DC47" s="65"/>
      <c r="DD47" s="65"/>
      <c r="DE47" s="65"/>
      <c r="DF47" s="65"/>
      <c r="DG47" s="65"/>
      <c r="DH47" s="65"/>
      <c r="DI47" s="65"/>
    </row>
    <row r="48" spans="2:113">
      <c r="B48" s="92" t="s">
        <v>172</v>
      </c>
      <c r="C48" s="120"/>
      <c r="D48" s="121"/>
      <c r="E48" s="121"/>
      <c r="F48" s="121"/>
      <c r="G48" s="122">
        <f>'GREET Fuel Attributes'!$E48*Calculated_Gasoline_LHV/907184.74</f>
        <v>0</v>
      </c>
      <c r="H48" s="123">
        <f>'GREET Fuel Attributes'!$F48*Calculated_Gasoline_LHV/(42*'GREET Fuel Attributes'!$C$57)</f>
        <v>0</v>
      </c>
      <c r="I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5"/>
      <c r="AO48" s="65"/>
      <c r="AP48" s="65"/>
      <c r="AQ48" s="65"/>
      <c r="AR48" s="65"/>
      <c r="AS48" s="65"/>
      <c r="AT48" s="65"/>
      <c r="AU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65"/>
      <c r="BU48" s="65"/>
      <c r="BV48" s="65"/>
      <c r="BW48" s="65"/>
      <c r="BX48" s="65"/>
      <c r="BY48" s="65"/>
      <c r="BZ48" s="65"/>
      <c r="CA48" s="65"/>
      <c r="CB48" s="65"/>
      <c r="CC48" s="65"/>
      <c r="CD48" s="65"/>
      <c r="CE48" s="65"/>
      <c r="CF48" s="65"/>
      <c r="CG48" s="65"/>
      <c r="CH48" s="65"/>
      <c r="CI48" s="65"/>
      <c r="CJ48" s="65"/>
      <c r="CK48" s="65"/>
      <c r="CL48" s="65"/>
      <c r="CM48" s="65"/>
      <c r="CN48" s="65"/>
      <c r="CO48" s="65"/>
      <c r="CP48" s="65"/>
      <c r="CQ48" s="65"/>
      <c r="CR48" s="65"/>
      <c r="CS48" s="65"/>
      <c r="CT48" s="65"/>
      <c r="CU48" s="65"/>
      <c r="CV48" s="65"/>
      <c r="CW48" s="65"/>
      <c r="CX48" s="65"/>
      <c r="CY48" s="65"/>
      <c r="CZ48" s="65"/>
      <c r="DA48" s="65"/>
      <c r="DB48" s="65"/>
      <c r="DC48" s="65"/>
      <c r="DD48" s="65"/>
      <c r="DE48" s="65"/>
      <c r="DF48" s="65"/>
      <c r="DG48" s="65"/>
      <c r="DH48" s="65"/>
      <c r="DI48" s="65"/>
    </row>
    <row r="49" spans="2:113">
      <c r="B49" s="96" t="s">
        <v>197</v>
      </c>
      <c r="C49" s="121"/>
      <c r="D49" s="121"/>
      <c r="E49" s="121"/>
      <c r="F49" s="121"/>
      <c r="G49" s="122">
        <f>'GREET Fuel Attributes'!$E49*Calculated_Gasoline_LHV/907184.74</f>
        <v>0</v>
      </c>
      <c r="H49" s="123">
        <f>'GREET Fuel Attributes'!$F49*Calculated_Gasoline_LHV/(42*'GREET Fuel Attributes'!$C$57)</f>
        <v>0</v>
      </c>
      <c r="I49" s="65"/>
      <c r="M49" s="65"/>
      <c r="N49" s="65"/>
      <c r="O49" s="65"/>
      <c r="P49" s="65"/>
      <c r="Q49" s="65"/>
      <c r="R49" s="65"/>
      <c r="S49" s="65"/>
      <c r="T49" s="65"/>
      <c r="U49" s="65"/>
      <c r="V49" s="65"/>
      <c r="W49" s="65"/>
      <c r="X49" s="65"/>
      <c r="Y49" s="65"/>
      <c r="Z49" s="65"/>
      <c r="AA49" s="65"/>
      <c r="AB49" s="65"/>
      <c r="AC49" s="65"/>
      <c r="AD49" s="65"/>
      <c r="AE49" s="65"/>
      <c r="AF49" s="65"/>
      <c r="AG49" s="65"/>
      <c r="AH49" s="65"/>
      <c r="AI49" s="65"/>
      <c r="AJ49" s="65"/>
      <c r="AK49" s="65"/>
      <c r="AL49" s="65"/>
      <c r="AM49" s="65"/>
      <c r="AN49" s="65"/>
      <c r="AO49" s="65"/>
      <c r="AP49" s="65"/>
      <c r="AQ49" s="65"/>
      <c r="AR49" s="65"/>
      <c r="AS49" s="65"/>
      <c r="AT49" s="65"/>
      <c r="AU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65"/>
      <c r="BU49" s="65"/>
      <c r="BV49" s="65"/>
      <c r="BW49" s="65"/>
      <c r="BX49" s="65"/>
      <c r="BY49" s="65"/>
      <c r="BZ49" s="65"/>
      <c r="CA49" s="65"/>
      <c r="CB49" s="65"/>
      <c r="CC49" s="65"/>
      <c r="CD49" s="65"/>
      <c r="CE49" s="65"/>
      <c r="CF49" s="65"/>
      <c r="CG49" s="65"/>
      <c r="CH49" s="65"/>
      <c r="CI49" s="65"/>
      <c r="CJ49" s="65"/>
      <c r="CK49" s="65"/>
      <c r="CL49" s="65"/>
      <c r="CM49" s="65"/>
      <c r="CN49" s="65"/>
      <c r="CO49" s="65"/>
      <c r="CP49" s="65"/>
      <c r="CQ49" s="65"/>
      <c r="CR49" s="65"/>
      <c r="CS49" s="65"/>
      <c r="CT49" s="65"/>
      <c r="CU49" s="65"/>
      <c r="CV49" s="65"/>
      <c r="CW49" s="65"/>
      <c r="CX49" s="65"/>
      <c r="CY49" s="65"/>
      <c r="CZ49" s="65"/>
      <c r="DA49" s="65"/>
      <c r="DB49" s="65"/>
      <c r="DC49" s="65"/>
      <c r="DD49" s="65"/>
      <c r="DE49" s="65"/>
      <c r="DF49" s="65"/>
      <c r="DG49" s="65"/>
      <c r="DH49" s="65"/>
      <c r="DI49" s="65"/>
    </row>
    <row r="50" spans="2:113">
      <c r="B50" s="96" t="s">
        <v>198</v>
      </c>
      <c r="C50" s="121">
        <f>C103/F103</f>
        <v>0.1777720393130667</v>
      </c>
      <c r="D50" s="121">
        <f>D103/F103</f>
        <v>0</v>
      </c>
      <c r="E50" s="121">
        <f>C50+D50</f>
        <v>0.1777720393130667</v>
      </c>
      <c r="F50" s="121">
        <f>G103/F103</f>
        <v>3.2796356291114569E-2</v>
      </c>
      <c r="G50" s="122">
        <f>'GREET Fuel Attributes'!$E50*Calculated_Gasoline_LHV/907184.74</f>
        <v>2.1985456730799213E-2</v>
      </c>
      <c r="H50" s="123">
        <f>'GREET Fuel Attributes'!$F50*Calculated_Gasoline_LHV/(42*'GREET Fuel Attributes'!$C$57)</f>
        <v>6.7562322222239758E-4</v>
      </c>
      <c r="I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65"/>
      <c r="BU50" s="65"/>
      <c r="BV50" s="65"/>
      <c r="BW50" s="65"/>
      <c r="BX50" s="65"/>
      <c r="BY50" s="65"/>
      <c r="BZ50" s="65"/>
      <c r="CA50" s="65"/>
      <c r="CB50" s="65"/>
      <c r="CC50" s="65"/>
      <c r="CD50" s="65"/>
      <c r="CE50" s="65"/>
      <c r="CF50" s="65"/>
      <c r="CG50" s="65"/>
      <c r="CH50" s="65"/>
      <c r="CI50" s="65"/>
      <c r="CJ50" s="65"/>
      <c r="CK50" s="65"/>
      <c r="CL50" s="65"/>
      <c r="CM50" s="65"/>
      <c r="CN50" s="65"/>
      <c r="CO50" s="65"/>
      <c r="CP50" s="65"/>
      <c r="CQ50" s="65"/>
      <c r="CR50" s="65"/>
      <c r="CS50" s="65"/>
      <c r="CT50" s="65"/>
      <c r="CU50" s="65"/>
      <c r="CV50" s="65"/>
      <c r="CW50" s="65"/>
      <c r="CX50" s="65"/>
      <c r="CY50" s="65"/>
      <c r="CZ50" s="65"/>
      <c r="DA50" s="65"/>
      <c r="DB50" s="65"/>
      <c r="DC50" s="65"/>
      <c r="DD50" s="65"/>
      <c r="DE50" s="65"/>
      <c r="DF50" s="65"/>
      <c r="DG50" s="65"/>
      <c r="DH50" s="65"/>
      <c r="DI50" s="65"/>
    </row>
    <row r="51" spans="2:113">
      <c r="B51" s="96" t="s">
        <v>175</v>
      </c>
      <c r="C51" s="121">
        <f>C104/F104</f>
        <v>0.33343317199372585</v>
      </c>
      <c r="D51" s="121">
        <f>D104/F104</f>
        <v>0</v>
      </c>
      <c r="E51" s="121">
        <f>C51+D51</f>
        <v>0.33343317199372585</v>
      </c>
      <c r="F51" s="121">
        <f>G104/F104</f>
        <v>8.4745185863513942E-2</v>
      </c>
      <c r="G51" s="122">
        <f>'GREET Fuel Attributes'!$E51*Calculated_Gasoline_LHV/907184.74</f>
        <v>4.1236409301529393E-2</v>
      </c>
      <c r="H51" s="123">
        <f>'GREET Fuel Attributes'!$F51*Calculated_Gasoline_LHV/(42*'GREET Fuel Attributes'!$C$57)</f>
        <v>1.7457980707587151E-3</v>
      </c>
      <c r="I51" s="99"/>
      <c r="M51" s="99"/>
      <c r="N51" s="99"/>
      <c r="O51" s="99"/>
      <c r="P51" s="99"/>
      <c r="Q51" s="99"/>
      <c r="R51" s="99"/>
      <c r="S51" s="99"/>
      <c r="T51" s="99"/>
      <c r="U51" s="99"/>
      <c r="V51" s="99"/>
      <c r="W51" s="99"/>
      <c r="X51" s="99"/>
      <c r="Y51" s="99"/>
      <c r="Z51" s="99"/>
      <c r="AA51" s="99"/>
      <c r="AB51" s="99"/>
      <c r="AC51" s="99"/>
      <c r="AD51" s="99"/>
      <c r="AE51" s="99"/>
      <c r="AF51" s="99"/>
      <c r="AG51" s="99"/>
      <c r="AH51" s="99"/>
      <c r="AI51" s="99"/>
      <c r="AJ51" s="99"/>
      <c r="AK51" s="99"/>
      <c r="AL51" s="99"/>
      <c r="AM51" s="99"/>
      <c r="AN51" s="99"/>
      <c r="AO51" s="99"/>
      <c r="AP51" s="99"/>
      <c r="AQ51" s="99"/>
      <c r="AR51" s="99"/>
      <c r="AS51" s="99"/>
      <c r="AT51" s="99"/>
      <c r="AU51" s="99"/>
      <c r="AV51" s="99"/>
      <c r="AW51" s="99"/>
      <c r="AX51" s="99"/>
      <c r="AY51" s="99"/>
      <c r="AZ51" s="99"/>
      <c r="BA51" s="99"/>
      <c r="BB51" s="99"/>
      <c r="BC51" s="99"/>
      <c r="BD51" s="99"/>
      <c r="BE51" s="99"/>
      <c r="BF51" s="99"/>
      <c r="BG51" s="99"/>
      <c r="BH51" s="99"/>
      <c r="BI51" s="99"/>
      <c r="BJ51" s="99"/>
      <c r="BK51" s="99"/>
      <c r="BL51" s="99"/>
      <c r="BM51" s="99"/>
      <c r="BN51" s="99"/>
      <c r="BO51" s="99"/>
      <c r="BP51" s="99"/>
      <c r="BQ51" s="99"/>
      <c r="BR51" s="99"/>
      <c r="BS51" s="99"/>
      <c r="BT51" s="99"/>
      <c r="BU51" s="99"/>
      <c r="BV51" s="99"/>
      <c r="BW51" s="99"/>
      <c r="BX51" s="99"/>
      <c r="BY51" s="99"/>
      <c r="BZ51" s="99"/>
      <c r="CA51" s="99"/>
      <c r="CB51" s="99"/>
      <c r="CC51" s="99"/>
      <c r="CD51" s="99"/>
      <c r="CE51" s="99"/>
      <c r="CF51" s="99"/>
      <c r="CG51" s="99"/>
      <c r="CH51" s="99"/>
      <c r="CI51" s="99"/>
      <c r="CJ51" s="99"/>
      <c r="CK51" s="99"/>
      <c r="CL51" s="99"/>
      <c r="CM51" s="99"/>
      <c r="CN51" s="99"/>
      <c r="CO51" s="99"/>
      <c r="CP51" s="99"/>
      <c r="CQ51" s="99"/>
      <c r="CR51" s="99"/>
      <c r="CS51" s="99"/>
      <c r="CT51" s="99"/>
      <c r="CU51" s="99"/>
      <c r="CV51" s="99"/>
      <c r="CW51" s="99"/>
      <c r="CX51" s="99"/>
      <c r="CY51" s="99"/>
      <c r="CZ51" s="99"/>
      <c r="DA51" s="99"/>
      <c r="DB51" s="99"/>
      <c r="DC51" s="99"/>
      <c r="DD51" s="99"/>
      <c r="DE51" s="99"/>
      <c r="DF51" s="99"/>
      <c r="DG51" s="99"/>
      <c r="DH51" s="99"/>
      <c r="DI51" s="99"/>
    </row>
    <row r="52" spans="2:113" ht="16" thickBot="1">
      <c r="B52" s="100" t="s">
        <v>176</v>
      </c>
      <c r="C52" s="124">
        <f>C105/F105</f>
        <v>-5.2151218075801808E-2</v>
      </c>
      <c r="D52" s="124">
        <f>D105/F105</f>
        <v>7.7452196211492269E-2</v>
      </c>
      <c r="E52" s="124">
        <f>C52+D52</f>
        <v>2.5300978135690461E-2</v>
      </c>
      <c r="F52" s="124">
        <f>G105/F105</f>
        <v>4.5040375425903757E-2</v>
      </c>
      <c r="G52" s="125">
        <f>'GREET Fuel Attributes'!$E52*Calculated_Gasoline_LHV/907184.74</f>
        <v>3.129027276722215E-3</v>
      </c>
      <c r="H52" s="126">
        <f>'GREET Fuel Attributes'!$F52*Calculated_Gasoline_LHV/(42*'GREET Fuel Attributes'!$C$57)</f>
        <v>9.2785684193826131E-4</v>
      </c>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99"/>
      <c r="AP52" s="99"/>
      <c r="AQ52" s="99"/>
      <c r="AR52" s="99"/>
      <c r="AS52" s="99"/>
      <c r="AT52" s="99"/>
      <c r="AU52" s="99"/>
      <c r="AV52" s="99"/>
      <c r="AW52" s="99"/>
      <c r="AX52" s="99"/>
      <c r="AY52" s="99"/>
      <c r="AZ52" s="99"/>
      <c r="BA52" s="99"/>
      <c r="BB52" s="99"/>
      <c r="BC52" s="99"/>
      <c r="BD52" s="99"/>
      <c r="BE52" s="99"/>
      <c r="BF52" s="99"/>
      <c r="BG52" s="99"/>
      <c r="BH52" s="99"/>
      <c r="BI52" s="99"/>
      <c r="BJ52" s="99"/>
      <c r="BK52" s="99"/>
      <c r="BL52" s="99"/>
      <c r="BM52" s="99"/>
      <c r="BN52" s="99"/>
      <c r="BO52" s="99"/>
      <c r="BP52" s="99"/>
      <c r="BQ52" s="99"/>
      <c r="BR52" s="99"/>
      <c r="BS52" s="99"/>
      <c r="BT52" s="99"/>
      <c r="BU52" s="99"/>
      <c r="BV52" s="99"/>
      <c r="BW52" s="99"/>
      <c r="BX52" s="99"/>
      <c r="BY52" s="99"/>
      <c r="BZ52" s="99"/>
      <c r="CA52" s="99"/>
      <c r="CB52" s="99"/>
      <c r="CC52" s="99"/>
      <c r="CD52" s="99"/>
      <c r="CE52" s="99"/>
      <c r="CF52" s="99"/>
      <c r="CG52" s="99"/>
      <c r="CH52" s="99"/>
      <c r="CI52" s="99"/>
      <c r="CJ52" s="99"/>
      <c r="CK52" s="99"/>
      <c r="CL52" s="99"/>
      <c r="CM52" s="99"/>
      <c r="CN52" s="99"/>
      <c r="CO52" s="99"/>
      <c r="CP52" s="99"/>
      <c r="CQ52" s="99"/>
      <c r="CR52" s="99"/>
      <c r="CS52" s="99"/>
      <c r="CT52" s="99"/>
      <c r="CU52" s="99"/>
      <c r="CV52" s="99"/>
      <c r="CW52" s="99"/>
      <c r="CX52" s="99"/>
      <c r="CY52" s="99"/>
      <c r="CZ52" s="99"/>
      <c r="DA52" s="99"/>
      <c r="DB52" s="99"/>
      <c r="DC52" s="99"/>
      <c r="DD52" s="99"/>
      <c r="DE52" s="99"/>
      <c r="DF52" s="99"/>
      <c r="DG52" s="99"/>
      <c r="DH52" s="99"/>
      <c r="DI52" s="99"/>
    </row>
    <row r="53" spans="2:113">
      <c r="B53" s="65"/>
      <c r="C53" s="99"/>
      <c r="D53" s="116"/>
      <c r="E53" s="116"/>
      <c r="F53" s="116"/>
      <c r="G53" s="127"/>
      <c r="H53" s="128"/>
      <c r="I53" s="128"/>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5"/>
      <c r="BH53" s="65"/>
      <c r="BI53" s="65"/>
      <c r="BJ53" s="65"/>
      <c r="BK53" s="65"/>
      <c r="BL53" s="65"/>
      <c r="BM53" s="65"/>
      <c r="BN53" s="65"/>
      <c r="BO53" s="65"/>
      <c r="BP53" s="65"/>
      <c r="BQ53" s="65"/>
      <c r="BR53" s="65"/>
      <c r="BS53" s="65"/>
      <c r="BT53" s="65"/>
      <c r="BU53" s="65"/>
      <c r="BV53" s="65"/>
      <c r="BW53" s="65"/>
      <c r="BX53" s="65"/>
      <c r="BY53" s="65"/>
      <c r="BZ53" s="65"/>
      <c r="CA53" s="65"/>
      <c r="CB53" s="65"/>
      <c r="CC53" s="65"/>
      <c r="CD53" s="65"/>
      <c r="CE53" s="65"/>
      <c r="CF53" s="65"/>
      <c r="CG53" s="65"/>
      <c r="CH53" s="65"/>
      <c r="CI53" s="65"/>
      <c r="CJ53" s="65"/>
      <c r="CK53" s="65"/>
      <c r="CL53" s="65"/>
      <c r="CM53" s="65"/>
      <c r="CN53" s="65"/>
      <c r="CO53" s="65"/>
      <c r="CP53" s="65"/>
      <c r="CQ53" s="65"/>
      <c r="CR53" s="65"/>
      <c r="CS53" s="65"/>
      <c r="CT53" s="65"/>
      <c r="CU53" s="65"/>
      <c r="CV53" s="65"/>
      <c r="CW53" s="65"/>
      <c r="CX53" s="65"/>
      <c r="CY53" s="65"/>
      <c r="CZ53" s="65"/>
      <c r="DA53" s="65"/>
      <c r="DB53" s="65"/>
      <c r="DC53" s="65"/>
      <c r="DD53" s="65"/>
      <c r="DE53" s="65"/>
      <c r="DF53" s="65"/>
      <c r="DG53" s="65"/>
      <c r="DH53" s="65"/>
      <c r="DI53" s="65"/>
    </row>
    <row r="54" spans="2:113" ht="16" thickBot="1">
      <c r="B54" s="69" t="s">
        <v>199</v>
      </c>
      <c r="C54" s="70"/>
      <c r="D54" s="70"/>
      <c r="E54" s="70"/>
      <c r="F54" s="70"/>
      <c r="G54" s="70"/>
      <c r="H54" s="71"/>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c r="CZ54" s="65"/>
      <c r="DA54" s="65"/>
      <c r="DB54" s="65"/>
      <c r="DC54" s="65"/>
      <c r="DD54" s="65"/>
      <c r="DE54" s="65"/>
      <c r="DF54" s="65"/>
      <c r="DG54" s="65"/>
      <c r="DH54" s="65"/>
      <c r="DI54" s="65"/>
    </row>
    <row r="55" spans="2:113">
      <c r="B55" s="129"/>
      <c r="C55" s="130" t="s">
        <v>200</v>
      </c>
      <c r="D55" s="130" t="s">
        <v>201</v>
      </c>
      <c r="E55" s="130" t="s">
        <v>202</v>
      </c>
      <c r="F55" s="130" t="s">
        <v>203</v>
      </c>
      <c r="G55" s="131" t="s">
        <v>204</v>
      </c>
      <c r="H55" s="132"/>
      <c r="I55" s="65"/>
      <c r="J55" s="65"/>
      <c r="K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c r="AX55" s="65"/>
      <c r="AY55" s="65"/>
      <c r="AZ55" s="65"/>
      <c r="BA55" s="65"/>
      <c r="BB55" s="65"/>
      <c r="BC55" s="65"/>
      <c r="BD55" s="65"/>
      <c r="BE55" s="65"/>
      <c r="BF55" s="65"/>
      <c r="BG55" s="65"/>
      <c r="BH55" s="65"/>
      <c r="BI55" s="65"/>
      <c r="BJ55" s="65"/>
      <c r="BK55" s="65"/>
      <c r="BL55" s="65"/>
      <c r="BM55" s="65"/>
      <c r="BN55" s="65"/>
      <c r="BO55" s="65"/>
      <c r="BP55" s="65"/>
      <c r="BQ55" s="65"/>
      <c r="BR55" s="65"/>
      <c r="BS55" s="65"/>
      <c r="BT55" s="65"/>
      <c r="BU55" s="65"/>
      <c r="BV55" s="65"/>
      <c r="BW55" s="65"/>
      <c r="BX55" s="65"/>
      <c r="BY55" s="65"/>
      <c r="BZ55" s="65"/>
      <c r="CA55" s="65"/>
      <c r="CB55" s="65"/>
      <c r="CC55" s="65"/>
      <c r="CD55" s="65"/>
      <c r="CE55" s="65"/>
      <c r="CF55" s="65"/>
      <c r="CG55" s="65"/>
      <c r="CH55" s="65"/>
      <c r="CI55" s="65"/>
      <c r="CJ55" s="65"/>
      <c r="CK55" s="65"/>
      <c r="CL55" s="65"/>
      <c r="CM55" s="65"/>
      <c r="CN55" s="65"/>
      <c r="CO55" s="65"/>
      <c r="CP55" s="65"/>
      <c r="CQ55" s="65"/>
      <c r="CR55" s="65"/>
      <c r="CS55" s="65"/>
      <c r="CT55" s="65"/>
      <c r="CU55" s="65"/>
      <c r="CV55" s="65"/>
      <c r="CW55" s="65"/>
      <c r="CX55" s="65"/>
      <c r="CY55" s="65"/>
      <c r="CZ55" s="65"/>
      <c r="DA55" s="65"/>
      <c r="DB55" s="65"/>
      <c r="DC55" s="65"/>
      <c r="DD55" s="65"/>
      <c r="DE55" s="65"/>
      <c r="DF55" s="65"/>
      <c r="DG55" s="65"/>
      <c r="DH55" s="65"/>
      <c r="DI55" s="65"/>
    </row>
    <row r="56" spans="2:113">
      <c r="B56" s="133" t="s">
        <v>205</v>
      </c>
      <c r="C56" s="134" t="s">
        <v>206</v>
      </c>
      <c r="D56" s="134" t="s">
        <v>206</v>
      </c>
      <c r="E56" s="134" t="s">
        <v>207</v>
      </c>
      <c r="F56" s="134" t="s">
        <v>208</v>
      </c>
      <c r="G56" s="135" t="s">
        <v>209</v>
      </c>
      <c r="I56" s="65"/>
      <c r="J56" s="65"/>
      <c r="K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5"/>
      <c r="BR56" s="65"/>
      <c r="BS56" s="65"/>
      <c r="BT56" s="65"/>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c r="CZ56" s="65"/>
      <c r="DA56" s="65"/>
      <c r="DB56" s="65"/>
      <c r="DC56" s="65"/>
      <c r="DD56" s="65"/>
      <c r="DE56" s="65"/>
      <c r="DF56" s="65"/>
      <c r="DG56" s="65"/>
      <c r="DH56" s="65"/>
      <c r="DI56" s="65"/>
    </row>
    <row r="57" spans="2:113">
      <c r="B57" s="136" t="s">
        <v>210</v>
      </c>
      <c r="C57" s="137">
        <v>129670</v>
      </c>
      <c r="D57" s="137">
        <v>138350</v>
      </c>
      <c r="E57" s="137">
        <v>3205</v>
      </c>
      <c r="F57" s="138">
        <v>0.85299999999999998</v>
      </c>
      <c r="G57" s="139">
        <v>16000</v>
      </c>
      <c r="I57" s="65"/>
      <c r="J57" s="65"/>
      <c r="K57" s="65"/>
      <c r="L57" s="140"/>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c r="AP57" s="65"/>
      <c r="AQ57" s="65"/>
      <c r="AR57" s="65"/>
      <c r="AS57" s="65"/>
      <c r="AT57" s="65"/>
      <c r="AU57" s="65"/>
      <c r="AV57" s="65"/>
      <c r="AW57" s="65"/>
      <c r="AX57" s="65"/>
      <c r="AY57" s="65"/>
      <c r="AZ57" s="65"/>
      <c r="BA57" s="65"/>
      <c r="BB57" s="65"/>
      <c r="BC57" s="65"/>
      <c r="BD57" s="65"/>
      <c r="BE57" s="65"/>
      <c r="BF57" s="65"/>
      <c r="BG57" s="65"/>
      <c r="BH57" s="65"/>
      <c r="BI57" s="65"/>
      <c r="BJ57" s="65"/>
      <c r="BK57" s="65"/>
      <c r="BL57" s="65"/>
      <c r="BM57" s="65"/>
      <c r="BN57" s="65"/>
      <c r="BO57" s="65"/>
      <c r="BP57" s="65"/>
      <c r="BQ57" s="65"/>
      <c r="BR57" s="65"/>
      <c r="BS57" s="65"/>
      <c r="BT57" s="65"/>
      <c r="BU57" s="65"/>
      <c r="BV57" s="65"/>
      <c r="BW57" s="65"/>
      <c r="BX57" s="65"/>
      <c r="BY57" s="65"/>
      <c r="BZ57" s="65"/>
      <c r="CA57" s="65"/>
      <c r="CB57" s="65"/>
      <c r="CC57" s="65"/>
      <c r="CD57" s="65"/>
      <c r="CE57" s="65"/>
      <c r="CF57" s="65"/>
      <c r="CG57" s="65"/>
      <c r="CH57" s="65"/>
      <c r="CI57" s="65"/>
      <c r="CJ57" s="65"/>
      <c r="CK57" s="65"/>
      <c r="CL57" s="65"/>
      <c r="CM57" s="65"/>
      <c r="CN57" s="65"/>
      <c r="CO57" s="65"/>
      <c r="CP57" s="65"/>
      <c r="CQ57" s="65"/>
      <c r="CR57" s="65"/>
      <c r="CS57" s="65"/>
      <c r="CT57" s="65"/>
      <c r="CU57" s="65"/>
      <c r="CV57" s="65"/>
      <c r="CW57" s="65"/>
      <c r="CX57" s="65"/>
      <c r="CY57" s="65"/>
      <c r="CZ57" s="65"/>
      <c r="DA57" s="65"/>
      <c r="DB57" s="65"/>
      <c r="DC57" s="65"/>
      <c r="DD57" s="65"/>
      <c r="DE57" s="65"/>
      <c r="DF57" s="65"/>
      <c r="DG57" s="65"/>
      <c r="DH57" s="65"/>
      <c r="DI57" s="65"/>
    </row>
    <row r="58" spans="2:113">
      <c r="B58" s="136" t="s">
        <v>211</v>
      </c>
      <c r="C58" s="137">
        <v>116090</v>
      </c>
      <c r="D58" s="137">
        <v>124340</v>
      </c>
      <c r="E58" s="137">
        <v>2819</v>
      </c>
      <c r="F58" s="138">
        <v>0.86299999999999999</v>
      </c>
      <c r="G58" s="141">
        <v>25.5</v>
      </c>
      <c r="I58" s="65"/>
      <c r="J58" s="65"/>
      <c r="K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c r="CZ58" s="65"/>
      <c r="DA58" s="65"/>
      <c r="DB58" s="65"/>
      <c r="DC58" s="65"/>
      <c r="DD58" s="65"/>
      <c r="DE58" s="65"/>
      <c r="DF58" s="65"/>
      <c r="DG58" s="65"/>
      <c r="DH58" s="65"/>
      <c r="DI58" s="65"/>
    </row>
    <row r="59" spans="2:113">
      <c r="B59" s="136" t="s">
        <v>212</v>
      </c>
      <c r="C59" s="137">
        <v>112193.52</v>
      </c>
      <c r="D59" s="137">
        <v>120438.62000000001</v>
      </c>
      <c r="E59" s="137">
        <v>2835.5620000000004</v>
      </c>
      <c r="F59" s="138">
        <v>0.82778546968819577</v>
      </c>
      <c r="G59" s="141">
        <v>22.925518367368763</v>
      </c>
      <c r="I59" s="65"/>
      <c r="J59" s="65"/>
      <c r="K59" s="65"/>
      <c r="L59" s="140"/>
      <c r="N59" s="140"/>
      <c r="O59" s="65"/>
      <c r="P59" s="65"/>
      <c r="Q59" s="65"/>
      <c r="R59" s="65"/>
      <c r="S59" s="65"/>
      <c r="T59" s="65"/>
      <c r="U59" s="65"/>
      <c r="V59" s="65"/>
      <c r="W59" s="65"/>
      <c r="X59" s="65"/>
      <c r="Y59" s="65"/>
      <c r="Z59" s="65"/>
      <c r="AA59" s="65"/>
      <c r="AB59" s="65"/>
      <c r="AC59" s="65"/>
      <c r="AD59" s="65"/>
      <c r="AE59" s="65"/>
      <c r="AF59" s="65"/>
      <c r="AG59" s="65"/>
      <c r="AH59" s="65"/>
      <c r="AI59" s="65"/>
      <c r="AJ59" s="65"/>
      <c r="AK59" s="65"/>
      <c r="AL59" s="65"/>
      <c r="AM59" s="65"/>
      <c r="AN59" s="65"/>
      <c r="AO59" s="65"/>
      <c r="AP59" s="65"/>
      <c r="AQ59" s="65"/>
      <c r="AR59" s="65"/>
      <c r="AS59" s="65"/>
      <c r="AT59" s="65"/>
      <c r="AU59" s="65"/>
      <c r="AV59" s="65"/>
      <c r="AW59" s="65"/>
      <c r="AX59" s="65"/>
      <c r="AY59" s="65"/>
      <c r="AZ59" s="65"/>
      <c r="BA59" s="65"/>
      <c r="BB59" s="65"/>
      <c r="BC59" s="65"/>
      <c r="BD59" s="65"/>
      <c r="BE59" s="65"/>
      <c r="BF59" s="65"/>
      <c r="BG59" s="65"/>
      <c r="BH59" s="65"/>
      <c r="BI59" s="65"/>
      <c r="BJ59" s="65"/>
      <c r="BK59" s="65"/>
      <c r="BL59" s="65"/>
      <c r="BM59" s="65"/>
      <c r="BN59" s="65"/>
      <c r="BO59" s="65"/>
      <c r="BP59" s="65"/>
      <c r="BQ59" s="65"/>
      <c r="BR59" s="65"/>
      <c r="BS59" s="65"/>
      <c r="BT59" s="65"/>
      <c r="BU59" s="65"/>
      <c r="BV59" s="65"/>
      <c r="BW59" s="65"/>
      <c r="BX59" s="65"/>
      <c r="BY59" s="65"/>
      <c r="BZ59" s="65"/>
      <c r="CA59" s="65"/>
      <c r="CB59" s="65"/>
      <c r="CC59" s="65"/>
      <c r="CD59" s="65"/>
      <c r="CE59" s="65"/>
      <c r="CF59" s="65"/>
      <c r="CG59" s="65"/>
      <c r="CH59" s="65"/>
      <c r="CI59" s="65"/>
      <c r="CJ59" s="65"/>
      <c r="CK59" s="65"/>
      <c r="CL59" s="65"/>
      <c r="CM59" s="65"/>
      <c r="CN59" s="65"/>
      <c r="CO59" s="65"/>
      <c r="CP59" s="65"/>
      <c r="CQ59" s="65"/>
      <c r="CR59" s="65"/>
      <c r="CS59" s="65"/>
      <c r="CT59" s="65"/>
      <c r="CU59" s="65"/>
      <c r="CV59" s="65"/>
      <c r="CW59" s="65"/>
      <c r="CX59" s="65"/>
      <c r="CY59" s="65"/>
      <c r="CZ59" s="65"/>
      <c r="DA59" s="65"/>
      <c r="DB59" s="65"/>
      <c r="DC59" s="65"/>
      <c r="DD59" s="65"/>
      <c r="DE59" s="65"/>
      <c r="DF59" s="65"/>
      <c r="DG59" s="65"/>
      <c r="DH59" s="65"/>
      <c r="DI59" s="65"/>
    </row>
    <row r="60" spans="2:113">
      <c r="B60" s="136" t="s">
        <v>213</v>
      </c>
      <c r="C60" s="137">
        <v>129487.84757606639</v>
      </c>
      <c r="D60" s="137">
        <v>138490</v>
      </c>
      <c r="E60" s="137">
        <v>3206</v>
      </c>
      <c r="F60" s="138">
        <v>0.871</v>
      </c>
      <c r="G60" s="142">
        <v>11</v>
      </c>
      <c r="I60" s="65"/>
      <c r="J60" s="65"/>
      <c r="K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65"/>
      <c r="BS60" s="65"/>
      <c r="BT60" s="65"/>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c r="CZ60" s="65"/>
      <c r="DA60" s="65"/>
      <c r="DB60" s="65"/>
      <c r="DC60" s="65"/>
      <c r="DD60" s="65"/>
      <c r="DE60" s="65"/>
      <c r="DF60" s="65"/>
      <c r="DG60" s="65"/>
      <c r="DH60" s="65"/>
      <c r="DI60" s="65"/>
    </row>
    <row r="61" spans="2:113">
      <c r="B61" s="136" t="s">
        <v>214</v>
      </c>
      <c r="C61" s="137">
        <v>119550</v>
      </c>
      <c r="D61" s="137">
        <v>127960</v>
      </c>
      <c r="E61" s="137">
        <v>3361</v>
      </c>
      <c r="F61" s="138">
        <v>0.77600000000000002</v>
      </c>
      <c r="G61" s="142">
        <v>0</v>
      </c>
      <c r="I61" s="65"/>
      <c r="J61" s="65"/>
      <c r="K61" s="65"/>
      <c r="O61" s="65"/>
      <c r="P61" s="65"/>
      <c r="Q61" s="65"/>
      <c r="R61" s="65"/>
      <c r="S61" s="65"/>
      <c r="T61" s="65"/>
      <c r="U61" s="65"/>
      <c r="V61" s="65"/>
      <c r="W61" s="65"/>
      <c r="X61" s="65"/>
      <c r="Y61" s="65"/>
      <c r="Z61" s="65"/>
      <c r="AA61" s="65"/>
      <c r="AB61" s="65"/>
      <c r="AC61" s="65"/>
      <c r="AD61" s="65"/>
      <c r="AE61" s="65"/>
      <c r="AF61" s="65"/>
      <c r="AG61" s="65"/>
      <c r="AH61" s="65"/>
      <c r="AI61" s="65"/>
      <c r="AJ61" s="65"/>
      <c r="AK61" s="65"/>
      <c r="AL61" s="65"/>
      <c r="AM61" s="65"/>
      <c r="AN61" s="65"/>
      <c r="AO61" s="65"/>
      <c r="AP61" s="65"/>
      <c r="AQ61" s="65"/>
      <c r="AR61" s="65"/>
      <c r="AS61" s="65"/>
      <c r="AT61" s="65"/>
      <c r="AU61" s="65"/>
      <c r="AV61" s="65"/>
      <c r="AW61" s="65"/>
      <c r="AX61" s="65"/>
      <c r="AY61" s="65"/>
      <c r="AZ61" s="65"/>
      <c r="BA61" s="65"/>
      <c r="BB61" s="65"/>
      <c r="BC61" s="65"/>
      <c r="BD61" s="65"/>
      <c r="BE61" s="65"/>
      <c r="BF61" s="65"/>
      <c r="BG61" s="65"/>
      <c r="BH61" s="65"/>
      <c r="BI61" s="65"/>
      <c r="BJ61" s="65"/>
      <c r="BK61" s="65"/>
      <c r="BL61" s="65"/>
      <c r="BM61" s="65"/>
      <c r="BN61" s="65"/>
      <c r="BO61" s="65"/>
      <c r="BP61" s="65"/>
      <c r="BQ61" s="65"/>
      <c r="BR61" s="65"/>
      <c r="BS61" s="65"/>
      <c r="BT61" s="65"/>
      <c r="BU61" s="65"/>
      <c r="BV61" s="65"/>
      <c r="BW61" s="65"/>
      <c r="BX61" s="65"/>
      <c r="BY61" s="65"/>
      <c r="BZ61" s="65"/>
      <c r="CA61" s="65"/>
      <c r="CB61" s="65"/>
      <c r="CC61" s="65"/>
      <c r="CD61" s="65"/>
      <c r="CE61" s="65"/>
      <c r="CF61" s="65"/>
      <c r="CG61" s="65"/>
      <c r="CH61" s="65"/>
      <c r="CI61" s="65"/>
      <c r="CJ61" s="65"/>
      <c r="CK61" s="65"/>
      <c r="CL61" s="65"/>
      <c r="CM61" s="65"/>
      <c r="CN61" s="65"/>
      <c r="CO61" s="65"/>
      <c r="CP61" s="65"/>
      <c r="CQ61" s="65"/>
      <c r="CR61" s="65"/>
      <c r="CS61" s="65"/>
      <c r="CT61" s="65"/>
      <c r="CU61" s="65"/>
      <c r="CV61" s="65"/>
      <c r="CW61" s="65"/>
      <c r="CX61" s="65"/>
      <c r="CY61" s="65"/>
      <c r="CZ61" s="65"/>
      <c r="DA61" s="65"/>
      <c r="DB61" s="65"/>
      <c r="DC61" s="65"/>
      <c r="DD61" s="65"/>
      <c r="DE61" s="65"/>
      <c r="DF61" s="65"/>
      <c r="DG61" s="65"/>
      <c r="DH61" s="65"/>
      <c r="DI61" s="65"/>
    </row>
    <row r="62" spans="2:113">
      <c r="B62" s="136" t="s">
        <v>215</v>
      </c>
      <c r="C62" s="137">
        <v>122887</v>
      </c>
      <c r="D62" s="137">
        <v>130817</v>
      </c>
      <c r="E62" s="137">
        <v>2948</v>
      </c>
      <c r="F62" s="138">
        <v>0.871</v>
      </c>
      <c r="G62" s="142">
        <v>0</v>
      </c>
      <c r="I62" s="65"/>
      <c r="J62" s="65"/>
      <c r="K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c r="BB62" s="65"/>
      <c r="BC62" s="65"/>
      <c r="BD62" s="65"/>
      <c r="BE62" s="65"/>
      <c r="BF62" s="65"/>
      <c r="BG62" s="65"/>
      <c r="BH62" s="65"/>
      <c r="BI62" s="65"/>
      <c r="BJ62" s="65"/>
      <c r="BK62" s="65"/>
      <c r="BL62" s="65"/>
      <c r="BM62" s="65"/>
      <c r="BN62" s="65"/>
      <c r="BO62" s="65"/>
      <c r="BP62" s="65"/>
      <c r="BQ62" s="65"/>
      <c r="BR62" s="65"/>
      <c r="BS62" s="65"/>
      <c r="BT62" s="65"/>
      <c r="BU62" s="65"/>
      <c r="BV62" s="65"/>
      <c r="BW62" s="65"/>
      <c r="BX62" s="65"/>
      <c r="BY62" s="65"/>
      <c r="BZ62" s="65"/>
      <c r="CA62" s="65"/>
      <c r="CB62" s="65"/>
      <c r="CC62" s="65"/>
      <c r="CD62" s="65"/>
      <c r="CE62" s="65"/>
      <c r="CF62" s="65"/>
      <c r="CG62" s="65"/>
      <c r="CH62" s="65"/>
      <c r="CI62" s="65"/>
      <c r="CJ62" s="65"/>
      <c r="CK62" s="65"/>
      <c r="CL62" s="65"/>
      <c r="CM62" s="65"/>
      <c r="CN62" s="65"/>
      <c r="CO62" s="65"/>
      <c r="CP62" s="65"/>
      <c r="CQ62" s="65"/>
      <c r="CR62" s="65"/>
      <c r="CS62" s="65"/>
      <c r="CT62" s="65"/>
      <c r="CU62" s="65"/>
      <c r="CV62" s="65"/>
      <c r="CW62" s="65"/>
      <c r="CX62" s="65"/>
      <c r="CY62" s="65"/>
      <c r="CZ62" s="65"/>
      <c r="DA62" s="65"/>
      <c r="DB62" s="65"/>
      <c r="DC62" s="65"/>
      <c r="DD62" s="65"/>
      <c r="DE62" s="65"/>
      <c r="DF62" s="65"/>
      <c r="DG62" s="65"/>
      <c r="DH62" s="65"/>
      <c r="DI62" s="65"/>
    </row>
    <row r="63" spans="2:113">
      <c r="B63" s="136" t="s">
        <v>216</v>
      </c>
      <c r="C63" s="137">
        <v>76330</v>
      </c>
      <c r="D63" s="137">
        <v>84530</v>
      </c>
      <c r="E63" s="137">
        <v>2988</v>
      </c>
      <c r="F63" s="138">
        <v>0.52200000000000002</v>
      </c>
      <c r="G63" s="141">
        <v>0.57000011205673218</v>
      </c>
      <c r="I63" s="65"/>
      <c r="J63" s="65"/>
      <c r="K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c r="AP63" s="65"/>
      <c r="AQ63" s="65"/>
      <c r="AR63" s="65"/>
      <c r="AS63" s="65"/>
      <c r="AT63" s="65"/>
      <c r="AU63" s="65"/>
      <c r="AV63" s="65"/>
      <c r="AW63" s="65"/>
      <c r="AX63" s="65"/>
      <c r="AY63" s="65"/>
      <c r="AZ63" s="65"/>
      <c r="BA63" s="65"/>
      <c r="BB63" s="65"/>
      <c r="BC63" s="65"/>
      <c r="BD63" s="65"/>
      <c r="BE63" s="65"/>
      <c r="BF63" s="65"/>
      <c r="BG63" s="65"/>
      <c r="BH63" s="65"/>
      <c r="BI63" s="65"/>
      <c r="BJ63" s="65"/>
      <c r="BK63" s="65"/>
      <c r="BL63" s="65"/>
      <c r="BM63" s="65"/>
      <c r="BN63" s="65"/>
      <c r="BO63" s="65"/>
      <c r="BP63" s="65"/>
      <c r="BQ63" s="65"/>
      <c r="BR63" s="65"/>
      <c r="BS63" s="65"/>
      <c r="BT63" s="65"/>
      <c r="BU63" s="65"/>
      <c r="BV63" s="65"/>
      <c r="BW63" s="65"/>
      <c r="BX63" s="65"/>
      <c r="BY63" s="65"/>
      <c r="BZ63" s="65"/>
      <c r="CA63" s="65"/>
      <c r="CB63" s="65"/>
      <c r="CC63" s="65"/>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row>
    <row r="64" spans="2:113">
      <c r="B64" s="136" t="s">
        <v>217</v>
      </c>
      <c r="C64" s="137">
        <v>84950</v>
      </c>
      <c r="D64" s="137">
        <v>91410</v>
      </c>
      <c r="E64" s="137">
        <v>1923</v>
      </c>
      <c r="F64" s="138">
        <v>0.82</v>
      </c>
      <c r="G64" s="142">
        <v>0</v>
      </c>
      <c r="I64" s="65"/>
      <c r="J64" s="65"/>
      <c r="K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c r="BB64" s="65"/>
      <c r="BC64" s="65"/>
      <c r="BD64" s="65"/>
      <c r="BE64" s="65"/>
      <c r="BF64" s="65"/>
      <c r="BG64" s="65"/>
      <c r="BH64" s="65"/>
      <c r="BI64" s="65"/>
      <c r="BJ64" s="65"/>
      <c r="BK64" s="65"/>
      <c r="BL64" s="65"/>
      <c r="BM64" s="65"/>
      <c r="BN64" s="65"/>
      <c r="BO64" s="65"/>
      <c r="BP64" s="65"/>
      <c r="BQ64" s="65"/>
      <c r="BR64" s="65"/>
      <c r="BS64" s="65"/>
      <c r="BT64" s="65"/>
      <c r="BU64" s="65"/>
      <c r="BV64" s="65"/>
      <c r="BW64" s="65"/>
      <c r="BX64" s="65"/>
      <c r="BY64" s="65"/>
      <c r="BZ64" s="65"/>
      <c r="CA64" s="65"/>
      <c r="CB64" s="65"/>
      <c r="CC64" s="65"/>
      <c r="CD64" s="65"/>
      <c r="CE64" s="65"/>
      <c r="CF64" s="65"/>
      <c r="CG64" s="65"/>
      <c r="CH64" s="65"/>
      <c r="CI64" s="65"/>
      <c r="CJ64" s="65"/>
      <c r="CK64" s="65"/>
      <c r="CL64" s="65"/>
      <c r="CM64" s="65"/>
      <c r="CN64" s="65"/>
      <c r="CO64" s="65"/>
      <c r="CP64" s="65"/>
      <c r="CQ64" s="65"/>
      <c r="CR64" s="65"/>
      <c r="CS64" s="65"/>
      <c r="CT64" s="65"/>
      <c r="CU64" s="65"/>
      <c r="CV64" s="65"/>
      <c r="CW64" s="65"/>
      <c r="CX64" s="65"/>
      <c r="CY64" s="65"/>
      <c r="CZ64" s="65"/>
      <c r="DA64" s="65"/>
      <c r="DB64" s="65"/>
      <c r="DC64" s="65"/>
      <c r="DD64" s="65"/>
      <c r="DE64" s="65"/>
      <c r="DF64" s="65"/>
      <c r="DG64" s="65"/>
      <c r="DH64" s="65"/>
      <c r="DI64" s="65"/>
    </row>
    <row r="65" spans="1:113">
      <c r="B65" s="136" t="s">
        <v>218</v>
      </c>
      <c r="C65" s="137">
        <v>74720</v>
      </c>
      <c r="D65" s="137">
        <v>84820</v>
      </c>
      <c r="E65" s="137">
        <v>1621</v>
      </c>
      <c r="F65" s="138">
        <v>0.75</v>
      </c>
      <c r="G65" s="142">
        <v>0</v>
      </c>
      <c r="I65" s="65"/>
      <c r="J65" s="65"/>
      <c r="K65" s="65"/>
      <c r="O65" s="65"/>
      <c r="P65" s="65"/>
      <c r="Q65" s="65"/>
      <c r="R65" s="65"/>
      <c r="S65" s="65"/>
      <c r="T65" s="65"/>
      <c r="U65" s="65"/>
      <c r="V65" s="65"/>
      <c r="W65" s="65"/>
      <c r="X65" s="65"/>
      <c r="Y65" s="65"/>
      <c r="Z65" s="65"/>
      <c r="AA65" s="65"/>
      <c r="AB65" s="65"/>
      <c r="AC65" s="65"/>
      <c r="AD65" s="65"/>
      <c r="AE65" s="65"/>
      <c r="AF65" s="65"/>
      <c r="AG65" s="65"/>
      <c r="AH65" s="65"/>
      <c r="AI65" s="65"/>
      <c r="AJ65" s="65"/>
      <c r="AK65" s="65"/>
      <c r="AL65" s="65"/>
      <c r="AM65" s="65"/>
      <c r="AN65" s="65"/>
      <c r="AO65" s="65"/>
      <c r="AP65" s="65"/>
      <c r="AQ65" s="65"/>
      <c r="AR65" s="65"/>
      <c r="AS65" s="65"/>
      <c r="AT65" s="65"/>
      <c r="AU65" s="65"/>
      <c r="AV65" s="65"/>
      <c r="AW65" s="65"/>
      <c r="AX65" s="65"/>
      <c r="AY65" s="65"/>
      <c r="AZ65" s="65"/>
      <c r="BA65" s="65"/>
      <c r="BB65" s="65"/>
      <c r="BC65" s="65"/>
      <c r="BD65" s="65"/>
      <c r="BE65" s="65"/>
      <c r="BF65" s="65"/>
      <c r="BG65" s="65"/>
      <c r="BH65" s="65"/>
      <c r="BI65" s="65"/>
      <c r="BJ65" s="65"/>
      <c r="BK65" s="65"/>
      <c r="BL65" s="65"/>
      <c r="BM65" s="65"/>
      <c r="BN65" s="65"/>
      <c r="BO65" s="65"/>
      <c r="BP65" s="65"/>
      <c r="BQ65" s="65"/>
      <c r="BR65" s="65"/>
      <c r="BS65" s="65"/>
      <c r="BT65" s="65"/>
      <c r="BU65" s="65"/>
      <c r="BV65" s="65"/>
      <c r="BW65" s="65"/>
      <c r="BX65" s="65"/>
      <c r="BY65" s="65"/>
      <c r="BZ65" s="65"/>
      <c r="CA65" s="65"/>
      <c r="CB65" s="65"/>
      <c r="CC65" s="65"/>
      <c r="CD65" s="65"/>
      <c r="CE65" s="65"/>
      <c r="CF65" s="65"/>
      <c r="CG65" s="65"/>
      <c r="CH65" s="65"/>
      <c r="CI65" s="65"/>
      <c r="CJ65" s="65"/>
      <c r="CK65" s="65"/>
      <c r="CL65" s="65"/>
      <c r="CM65" s="65"/>
      <c r="CN65" s="65"/>
      <c r="CO65" s="65"/>
      <c r="CP65" s="65"/>
      <c r="CQ65" s="65"/>
      <c r="CR65" s="65"/>
      <c r="CS65" s="65"/>
      <c r="CT65" s="65"/>
      <c r="CU65" s="65"/>
      <c r="CV65" s="65"/>
      <c r="CW65" s="65"/>
      <c r="CX65" s="65"/>
      <c r="CY65" s="65"/>
      <c r="CZ65" s="65"/>
      <c r="DA65" s="65"/>
      <c r="DB65" s="65"/>
      <c r="DC65" s="65"/>
      <c r="DD65" s="65"/>
      <c r="DE65" s="65"/>
      <c r="DF65" s="65"/>
      <c r="DG65" s="65"/>
      <c r="DH65" s="65"/>
      <c r="DI65" s="65"/>
    </row>
    <row r="66" spans="1:113">
      <c r="B66" s="136" t="s">
        <v>219</v>
      </c>
      <c r="C66" s="137">
        <v>30500</v>
      </c>
      <c r="D66" s="137">
        <v>36020</v>
      </c>
      <c r="E66" s="137">
        <v>268</v>
      </c>
      <c r="F66" s="138">
        <v>0</v>
      </c>
      <c r="G66" s="142">
        <v>0</v>
      </c>
      <c r="I66" s="65"/>
      <c r="J66" s="65"/>
      <c r="K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c r="BB66" s="65"/>
      <c r="BC66" s="65"/>
      <c r="BD66" s="65"/>
      <c r="BE66" s="65"/>
      <c r="BF66" s="65"/>
      <c r="BG66" s="65"/>
      <c r="BH66" s="65"/>
      <c r="BI66" s="65"/>
      <c r="BJ66" s="65"/>
      <c r="BK66" s="65"/>
      <c r="BL66" s="65"/>
      <c r="BM66" s="65"/>
      <c r="BN66" s="65"/>
      <c r="BO66" s="65"/>
      <c r="BP66" s="65"/>
      <c r="BQ66" s="65"/>
      <c r="BR66" s="65"/>
      <c r="BS66" s="65"/>
      <c r="BT66" s="65"/>
      <c r="BU66" s="65"/>
      <c r="BV66" s="65"/>
      <c r="BW66" s="65"/>
      <c r="BX66" s="65"/>
      <c r="BY66" s="65"/>
      <c r="BZ66" s="65"/>
      <c r="CA66" s="65"/>
      <c r="CB66" s="65"/>
      <c r="CC66" s="65"/>
      <c r="CD66" s="65"/>
      <c r="CE66" s="65"/>
      <c r="CF66" s="65"/>
      <c r="CG66" s="65"/>
      <c r="CH66" s="65"/>
      <c r="CI66" s="65"/>
      <c r="CJ66" s="65"/>
      <c r="CK66" s="65"/>
      <c r="CL66" s="65"/>
      <c r="CM66" s="65"/>
      <c r="CN66" s="65"/>
      <c r="CO66" s="65"/>
      <c r="CP66" s="65"/>
      <c r="CQ66" s="65"/>
      <c r="CR66" s="65"/>
      <c r="CS66" s="65"/>
      <c r="CT66" s="65"/>
      <c r="CU66" s="65"/>
      <c r="CV66" s="65"/>
      <c r="CW66" s="65"/>
      <c r="CX66" s="65"/>
      <c r="CY66" s="65"/>
      <c r="CZ66" s="65"/>
      <c r="DA66" s="65"/>
      <c r="DB66" s="65"/>
      <c r="DC66" s="65"/>
      <c r="DD66" s="65"/>
      <c r="DE66" s="65"/>
      <c r="DF66" s="65"/>
      <c r="DG66" s="65"/>
      <c r="DH66" s="65"/>
      <c r="DI66" s="65"/>
    </row>
    <row r="67" spans="1:113">
      <c r="B67" s="136" t="s">
        <v>220</v>
      </c>
      <c r="C67" s="137">
        <v>983</v>
      </c>
      <c r="D67" s="137">
        <v>1089</v>
      </c>
      <c r="E67" s="137">
        <v>22</v>
      </c>
      <c r="F67" s="138">
        <v>0.72399999999999998</v>
      </c>
      <c r="G67" s="142">
        <v>6</v>
      </c>
      <c r="I67" s="65"/>
      <c r="J67" s="65"/>
      <c r="K67" s="65"/>
      <c r="O67" s="65"/>
      <c r="P67" s="65"/>
      <c r="Q67" s="65"/>
      <c r="R67" s="65"/>
      <c r="S67" s="65"/>
      <c r="T67" s="65"/>
      <c r="U67" s="65"/>
      <c r="V67" s="65"/>
      <c r="W67" s="65"/>
      <c r="X67" s="65"/>
      <c r="Y67" s="65"/>
      <c r="Z67" s="65"/>
      <c r="AA67" s="65"/>
      <c r="AB67" s="65"/>
      <c r="AC67" s="65"/>
      <c r="AD67" s="65"/>
      <c r="AE67" s="65"/>
      <c r="AF67" s="65"/>
      <c r="AG67" s="65"/>
      <c r="AH67" s="65"/>
      <c r="AI67" s="65"/>
      <c r="AJ67" s="65"/>
      <c r="AK67" s="65"/>
      <c r="AL67" s="65"/>
      <c r="AM67" s="65"/>
      <c r="AN67" s="65"/>
      <c r="AO67" s="65"/>
      <c r="AP67" s="65"/>
      <c r="AQ67" s="65"/>
      <c r="AR67" s="65"/>
      <c r="AS67" s="65"/>
      <c r="AT67" s="65"/>
      <c r="AU67" s="65"/>
      <c r="AV67" s="65"/>
      <c r="AW67" s="65"/>
      <c r="AX67" s="65"/>
      <c r="AY67" s="65"/>
      <c r="AZ67" s="65"/>
      <c r="BA67" s="65"/>
      <c r="BB67" s="65"/>
      <c r="BC67" s="65"/>
      <c r="BD67" s="65"/>
      <c r="BE67" s="65"/>
      <c r="BF67" s="65"/>
      <c r="BG67" s="65"/>
      <c r="BH67" s="65"/>
      <c r="BI67" s="65"/>
      <c r="BJ67" s="65"/>
      <c r="BK67" s="65"/>
      <c r="BL67" s="65"/>
      <c r="BM67" s="65"/>
      <c r="BN67" s="65"/>
      <c r="BO67" s="65"/>
      <c r="BP67" s="65"/>
      <c r="BQ67" s="65"/>
      <c r="BR67" s="65"/>
      <c r="BS67" s="65"/>
      <c r="BT67" s="65"/>
      <c r="BU67" s="65"/>
      <c r="BV67" s="65"/>
      <c r="BW67" s="65"/>
      <c r="BX67" s="65"/>
      <c r="BY67" s="65"/>
      <c r="BZ67" s="65"/>
      <c r="CA67" s="65"/>
      <c r="CB67" s="65"/>
      <c r="CC67" s="65"/>
      <c r="CD67" s="65"/>
      <c r="CE67" s="65"/>
      <c r="CF67" s="65"/>
      <c r="CG67" s="65"/>
      <c r="CH67" s="65"/>
      <c r="CI67" s="65"/>
      <c r="CJ67" s="65"/>
      <c r="CK67" s="65"/>
      <c r="CL67" s="65"/>
      <c r="CM67" s="65"/>
      <c r="CN67" s="65"/>
      <c r="CO67" s="65"/>
      <c r="CP67" s="65"/>
      <c r="CQ67" s="65"/>
      <c r="CR67" s="65"/>
      <c r="CS67" s="65"/>
      <c r="CT67" s="65"/>
      <c r="CU67" s="65"/>
      <c r="CV67" s="65"/>
      <c r="CW67" s="65"/>
      <c r="CX67" s="65"/>
      <c r="CY67" s="65"/>
      <c r="CZ67" s="65"/>
      <c r="DA67" s="65"/>
      <c r="DB67" s="65"/>
      <c r="DC67" s="65"/>
      <c r="DD67" s="65"/>
      <c r="DE67" s="65"/>
      <c r="DF67" s="65"/>
      <c r="DG67" s="65"/>
      <c r="DH67" s="65"/>
      <c r="DI67" s="65"/>
    </row>
    <row r="68" spans="1:113">
      <c r="B68" s="136" t="s">
        <v>221</v>
      </c>
      <c r="C68" s="137">
        <v>290</v>
      </c>
      <c r="D68" s="137">
        <v>343</v>
      </c>
      <c r="E68" s="137">
        <v>2.5499999999999998</v>
      </c>
      <c r="F68" s="138">
        <v>0</v>
      </c>
      <c r="G68" s="142">
        <v>0</v>
      </c>
      <c r="I68" s="65"/>
      <c r="J68" s="65"/>
      <c r="K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5"/>
      <c r="BQ68" s="65"/>
      <c r="BR68" s="65"/>
      <c r="BS68" s="65"/>
      <c r="BT68" s="65"/>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row>
    <row r="69" spans="1:113" ht="16" thickBot="1">
      <c r="B69" s="143" t="s">
        <v>222</v>
      </c>
      <c r="C69" s="144">
        <v>3412.141641601248</v>
      </c>
      <c r="D69" s="145"/>
      <c r="E69" s="145"/>
      <c r="F69" s="145"/>
      <c r="G69" s="146"/>
      <c r="I69" s="65"/>
      <c r="J69" s="65"/>
      <c r="K69" s="65"/>
      <c r="O69" s="65"/>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65"/>
      <c r="AO69" s="65"/>
      <c r="AP69" s="65"/>
      <c r="AQ69" s="65"/>
      <c r="AR69" s="65"/>
      <c r="AS69" s="65"/>
      <c r="AT69" s="65"/>
      <c r="AU69" s="65"/>
      <c r="AV69" s="65"/>
      <c r="AW69" s="65"/>
      <c r="AX69" s="65"/>
      <c r="AY69" s="65"/>
      <c r="AZ69" s="65"/>
      <c r="BA69" s="65"/>
      <c r="BB69" s="65"/>
      <c r="BC69" s="65"/>
      <c r="BD69" s="65"/>
      <c r="BE69" s="65"/>
      <c r="BF69" s="65"/>
      <c r="BG69" s="65"/>
      <c r="BH69" s="65"/>
      <c r="BI69" s="65"/>
      <c r="BJ69" s="65"/>
      <c r="BK69" s="65"/>
      <c r="BL69" s="65"/>
      <c r="BM69" s="65"/>
      <c r="BN69" s="65"/>
      <c r="BO69" s="65"/>
      <c r="BP69" s="65"/>
      <c r="BQ69" s="65"/>
      <c r="BR69" s="65"/>
      <c r="BS69" s="65"/>
      <c r="BT69" s="65"/>
      <c r="BU69" s="65"/>
      <c r="BV69" s="65"/>
      <c r="BW69" s="65"/>
      <c r="BX69" s="65"/>
      <c r="BY69" s="65"/>
      <c r="BZ69" s="65"/>
      <c r="CA69" s="65"/>
      <c r="CB69" s="65"/>
      <c r="CC69" s="65"/>
      <c r="CD69" s="65"/>
      <c r="CE69" s="65"/>
      <c r="CF69" s="65"/>
      <c r="CG69" s="65"/>
      <c r="CH69" s="65"/>
      <c r="CI69" s="65"/>
      <c r="CJ69" s="65"/>
      <c r="CK69" s="65"/>
      <c r="CL69" s="65"/>
      <c r="CM69" s="65"/>
      <c r="CN69" s="65"/>
      <c r="CO69" s="65"/>
      <c r="CP69" s="65"/>
      <c r="CQ69" s="65"/>
      <c r="CR69" s="65"/>
      <c r="CS69" s="65"/>
      <c r="CT69" s="65"/>
      <c r="CU69" s="65"/>
      <c r="CV69" s="65"/>
      <c r="CW69" s="65"/>
      <c r="CX69" s="65"/>
      <c r="CY69" s="65"/>
      <c r="CZ69" s="65"/>
      <c r="DA69" s="65"/>
      <c r="DB69" s="65"/>
      <c r="DC69" s="65"/>
      <c r="DD69" s="65"/>
      <c r="DE69" s="65"/>
      <c r="DF69" s="65"/>
      <c r="DG69" s="65"/>
      <c r="DH69" s="65"/>
      <c r="DI69" s="65"/>
    </row>
    <row r="70" spans="1:113">
      <c r="B70" s="65" t="s">
        <v>223</v>
      </c>
      <c r="C70" s="65">
        <v>3.7854100000000002</v>
      </c>
      <c r="D70" s="65"/>
      <c r="E70" s="65"/>
      <c r="F70" s="65"/>
      <c r="G70" s="65"/>
      <c r="H70" s="99"/>
      <c r="I70" s="99"/>
      <c r="J70" s="99"/>
      <c r="K70" s="99"/>
      <c r="L70" s="99"/>
      <c r="M70" s="99"/>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65"/>
      <c r="BS70" s="65"/>
      <c r="BT70" s="65"/>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row>
    <row r="71" spans="1:113">
      <c r="B71" s="65" t="s">
        <v>224</v>
      </c>
      <c r="C71" s="65">
        <v>2.2046199999999998</v>
      </c>
      <c r="D71" s="65"/>
      <c r="E71" s="65"/>
      <c r="F71" s="65"/>
      <c r="G71" s="65"/>
      <c r="H71" s="99"/>
      <c r="I71" s="99"/>
      <c r="J71" s="99"/>
      <c r="K71" s="99"/>
      <c r="L71" s="99"/>
      <c r="M71" s="99"/>
      <c r="N71" s="65"/>
      <c r="O71" s="65"/>
      <c r="P71" s="65"/>
      <c r="Q71" s="65"/>
      <c r="R71" s="65"/>
      <c r="S71" s="65"/>
      <c r="T71" s="65"/>
      <c r="U71" s="65"/>
      <c r="V71" s="65"/>
      <c r="W71" s="65"/>
      <c r="X71" s="65"/>
      <c r="Y71" s="65"/>
      <c r="Z71" s="65"/>
      <c r="AA71" s="65"/>
      <c r="AB71" s="65"/>
      <c r="AC71" s="65"/>
      <c r="AD71" s="65"/>
      <c r="AE71" s="65"/>
      <c r="AF71" s="65"/>
      <c r="AG71" s="65"/>
      <c r="AH71" s="65"/>
      <c r="AI71" s="65"/>
      <c r="AJ71" s="65"/>
      <c r="AK71" s="65"/>
      <c r="AL71" s="65"/>
      <c r="AM71" s="65"/>
      <c r="AN71" s="65"/>
      <c r="AO71" s="65"/>
      <c r="AP71" s="65"/>
      <c r="AQ71" s="65"/>
      <c r="AR71" s="65"/>
      <c r="AS71" s="65"/>
      <c r="AT71" s="65"/>
      <c r="AU71" s="65"/>
      <c r="AV71" s="65"/>
      <c r="AW71" s="65"/>
      <c r="AX71" s="65"/>
      <c r="AY71" s="65"/>
      <c r="AZ71" s="65"/>
      <c r="BA71" s="65"/>
      <c r="BB71" s="65"/>
      <c r="BC71" s="65"/>
      <c r="BD71" s="65"/>
      <c r="BE71" s="65"/>
      <c r="BF71" s="65"/>
      <c r="BG71" s="65"/>
      <c r="BH71" s="65"/>
      <c r="BI71" s="65"/>
      <c r="BJ71" s="65"/>
      <c r="BK71" s="65"/>
      <c r="BL71" s="65"/>
      <c r="BM71" s="65"/>
      <c r="BN71" s="65"/>
      <c r="BO71" s="65"/>
      <c r="BP71" s="65"/>
      <c r="BQ71" s="65"/>
      <c r="BR71" s="65"/>
      <c r="BS71" s="65"/>
      <c r="BT71" s="65"/>
      <c r="BU71" s="65"/>
      <c r="BV71" s="65"/>
      <c r="BW71" s="65"/>
      <c r="BX71" s="65"/>
      <c r="BY71" s="65"/>
      <c r="BZ71" s="65"/>
      <c r="CA71" s="65"/>
      <c r="CB71" s="65"/>
      <c r="CC71" s="65"/>
      <c r="CD71" s="65"/>
      <c r="CE71" s="65"/>
      <c r="CF71" s="65"/>
      <c r="CG71" s="65"/>
      <c r="CH71" s="65"/>
      <c r="CI71" s="65"/>
      <c r="CJ71" s="65"/>
      <c r="CK71" s="65"/>
      <c r="CL71" s="65"/>
      <c r="CM71" s="65"/>
      <c r="CN71" s="65"/>
      <c r="CO71" s="65"/>
      <c r="CP71" s="65"/>
      <c r="CQ71" s="65"/>
      <c r="CR71" s="65"/>
      <c r="CS71" s="65"/>
      <c r="CT71" s="65"/>
      <c r="CU71" s="65"/>
      <c r="CV71" s="65"/>
      <c r="CW71" s="65"/>
      <c r="CX71" s="65"/>
      <c r="CY71" s="65"/>
      <c r="CZ71" s="65"/>
      <c r="DA71" s="65"/>
      <c r="DB71" s="65"/>
      <c r="DC71" s="65"/>
      <c r="DD71" s="65"/>
      <c r="DE71" s="65"/>
      <c r="DF71" s="65"/>
      <c r="DG71" s="65"/>
      <c r="DH71" s="65"/>
      <c r="DI71" s="65"/>
    </row>
    <row r="72" spans="1:113" s="151" customFormat="1" ht="13">
      <c r="A72" s="147"/>
      <c r="B72" s="148" t="s">
        <v>225</v>
      </c>
      <c r="C72" s="149">
        <f>(0.1*C63)+0.9*C58</f>
        <v>112114</v>
      </c>
      <c r="D72" s="148"/>
      <c r="E72" s="148"/>
      <c r="F72" s="150"/>
      <c r="G72" s="148"/>
      <c r="H72" s="148"/>
      <c r="I72" s="148"/>
      <c r="J72" s="148"/>
      <c r="K72" s="148"/>
      <c r="M72" s="147"/>
      <c r="N72" s="147"/>
      <c r="O72" s="147"/>
      <c r="P72" s="147"/>
      <c r="Q72" s="147"/>
      <c r="R72" s="147"/>
      <c r="S72" s="147"/>
      <c r="T72" s="147"/>
      <c r="U72" s="147"/>
      <c r="V72" s="147"/>
      <c r="W72" s="147"/>
      <c r="X72" s="147"/>
      <c r="Y72" s="147"/>
      <c r="Z72" s="147"/>
      <c r="AA72" s="147"/>
    </row>
    <row r="73" spans="1:113" s="151" customFormat="1" ht="13">
      <c r="A73" s="147"/>
      <c r="B73" s="152" t="s">
        <v>226</v>
      </c>
      <c r="C73" s="153">
        <f>(0.1*C63)/C72</f>
        <v>6.8082487468112809E-2</v>
      </c>
      <c r="E73" s="148"/>
      <c r="F73" s="150"/>
      <c r="G73" s="148"/>
      <c r="H73" s="148"/>
      <c r="I73" s="148"/>
      <c r="J73" s="148"/>
      <c r="K73" s="148"/>
      <c r="M73" s="147"/>
      <c r="N73" s="147"/>
      <c r="O73" s="147"/>
      <c r="P73" s="147"/>
      <c r="Q73" s="147"/>
      <c r="R73" s="147"/>
      <c r="S73" s="147"/>
      <c r="T73" s="147"/>
      <c r="U73" s="147"/>
      <c r="V73" s="147"/>
      <c r="W73" s="147"/>
      <c r="X73" s="147"/>
      <c r="Y73" s="147"/>
      <c r="Z73" s="147"/>
      <c r="AA73" s="147"/>
    </row>
    <row r="74" spans="1:113" s="151" customFormat="1" ht="13">
      <c r="A74" s="147"/>
      <c r="B74" s="154"/>
      <c r="D74" s="147"/>
      <c r="E74" s="147"/>
      <c r="F74" s="147"/>
      <c r="G74" s="147"/>
      <c r="H74" s="147"/>
      <c r="I74" s="147"/>
      <c r="J74" s="147"/>
      <c r="K74" s="147"/>
      <c r="L74" s="147"/>
      <c r="M74" s="147"/>
      <c r="N74" s="147"/>
      <c r="O74" s="147"/>
      <c r="P74" s="147"/>
      <c r="Q74" s="147"/>
      <c r="R74" s="147"/>
      <c r="S74" s="147"/>
      <c r="T74" s="147"/>
      <c r="U74" s="147"/>
      <c r="V74" s="147"/>
      <c r="W74" s="147"/>
      <c r="X74" s="147"/>
      <c r="Y74" s="147"/>
      <c r="Z74" s="147"/>
      <c r="AA74" s="147"/>
    </row>
    <row r="77" spans="1:113" ht="15" customHeight="1">
      <c r="B77" s="68"/>
      <c r="C77" s="68"/>
      <c r="D77" s="68"/>
      <c r="E77" s="68"/>
      <c r="F77" s="68"/>
      <c r="G77" s="68"/>
      <c r="I77" s="64"/>
      <c r="J77" s="64"/>
      <c r="K77" s="64"/>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65"/>
      <c r="BA77" s="65"/>
      <c r="BB77" s="65"/>
      <c r="BC77" s="65"/>
      <c r="BD77" s="65"/>
      <c r="BE77" s="65"/>
      <c r="BF77" s="65"/>
      <c r="BG77" s="65"/>
      <c r="BH77" s="65"/>
      <c r="BI77" s="65"/>
      <c r="BJ77" s="65"/>
      <c r="BK77" s="65"/>
      <c r="BL77" s="65"/>
      <c r="BM77" s="65"/>
      <c r="BN77" s="65"/>
      <c r="BO77" s="65"/>
      <c r="BP77" s="65"/>
      <c r="BQ77" s="65"/>
      <c r="BR77" s="65"/>
      <c r="BS77" s="65"/>
      <c r="BT77" s="65"/>
      <c r="BU77" s="65"/>
      <c r="BV77" s="65"/>
      <c r="BW77" s="65"/>
      <c r="BX77" s="65"/>
      <c r="BY77" s="65"/>
      <c r="BZ77" s="65"/>
      <c r="CA77" s="65"/>
      <c r="CB77" s="65"/>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row>
    <row r="78" spans="1:113" ht="16" thickBot="1">
      <c r="B78" s="69" t="s">
        <v>146</v>
      </c>
      <c r="C78" s="70"/>
      <c r="D78" s="70"/>
      <c r="E78" s="70"/>
      <c r="F78" s="70"/>
      <c r="G78" s="70"/>
      <c r="H78" s="71"/>
      <c r="I78" s="65"/>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5"/>
      <c r="BQ78" s="65"/>
      <c r="BR78" s="65"/>
      <c r="BS78" s="65"/>
      <c r="BT78" s="65"/>
      <c r="BU78" s="65"/>
      <c r="BV78" s="65"/>
      <c r="BW78" s="65"/>
      <c r="BX78" s="65"/>
      <c r="BY78" s="65"/>
      <c r="BZ78" s="65"/>
      <c r="CA78" s="65"/>
      <c r="CB78" s="65"/>
      <c r="CC78" s="65"/>
      <c r="CD78" s="65"/>
      <c r="CE78" s="65"/>
      <c r="CF78" s="65"/>
      <c r="CG78" s="65"/>
      <c r="CH78" s="65"/>
      <c r="CI78" s="65"/>
      <c r="CJ78" s="65"/>
      <c r="CK78" s="65"/>
      <c r="CL78" s="65"/>
      <c r="CM78" s="65"/>
      <c r="CN78" s="65"/>
      <c r="CO78" s="65"/>
      <c r="CP78" s="65"/>
      <c r="CQ78" s="65"/>
      <c r="CR78" s="65"/>
      <c r="CS78" s="65"/>
      <c r="CT78" s="65"/>
      <c r="CU78" s="65"/>
      <c r="CV78" s="65"/>
      <c r="CW78" s="65"/>
      <c r="CX78" s="65"/>
      <c r="CY78" s="65"/>
      <c r="CZ78" s="65"/>
      <c r="DA78" s="65"/>
      <c r="DB78" s="65"/>
      <c r="DC78" s="65"/>
      <c r="DD78" s="65"/>
      <c r="DE78" s="65"/>
      <c r="DF78" s="65"/>
      <c r="DG78" s="65"/>
      <c r="DH78" s="65"/>
      <c r="DI78" s="65"/>
    </row>
    <row r="79" spans="1:113" ht="45">
      <c r="B79" s="72"/>
      <c r="C79" s="73" t="s">
        <v>147</v>
      </c>
      <c r="D79" s="73" t="s">
        <v>148</v>
      </c>
      <c r="E79" s="73" t="s">
        <v>149</v>
      </c>
      <c r="F79" s="73" t="s">
        <v>150</v>
      </c>
      <c r="G79" s="73" t="s">
        <v>151</v>
      </c>
      <c r="H79" s="74" t="s">
        <v>152</v>
      </c>
      <c r="I79" s="65"/>
      <c r="J79" s="65"/>
      <c r="K79" s="75"/>
      <c r="L79" s="65"/>
      <c r="M79" s="76"/>
      <c r="N79" s="65"/>
      <c r="O79" s="77"/>
      <c r="P79" s="65"/>
      <c r="Q79" s="65"/>
      <c r="R79" s="65"/>
      <c r="S79" s="65"/>
      <c r="T79" s="65"/>
      <c r="U79" s="65"/>
      <c r="V79" s="65"/>
      <c r="W79" s="65"/>
      <c r="X79" s="65"/>
      <c r="Y79" s="65"/>
      <c r="Z79" s="65"/>
      <c r="AA79" s="65"/>
      <c r="AB79" s="65"/>
      <c r="AC79" s="65"/>
      <c r="AD79" s="65"/>
      <c r="AE79" s="65"/>
      <c r="AF79" s="65"/>
      <c r="AG79" s="65"/>
      <c r="AH79" s="65"/>
      <c r="AI79" s="65"/>
      <c r="AJ79" s="65"/>
      <c r="AK79" s="65"/>
      <c r="AL79" s="65"/>
      <c r="AM79" s="65"/>
      <c r="AN79" s="65"/>
      <c r="AO79" s="65"/>
      <c r="AP79" s="65"/>
      <c r="AQ79" s="65"/>
      <c r="AR79" s="65"/>
      <c r="AS79" s="65"/>
      <c r="AT79" s="65"/>
      <c r="AU79" s="65"/>
      <c r="AV79" s="65"/>
      <c r="AW79" s="65"/>
      <c r="AX79" s="65"/>
      <c r="AY79" s="65"/>
      <c r="AZ79" s="65"/>
      <c r="BA79" s="65"/>
      <c r="BB79" s="65"/>
      <c r="BC79" s="65"/>
      <c r="BD79" s="65"/>
      <c r="BE79" s="65"/>
      <c r="BF79" s="65"/>
      <c r="BG79" s="65"/>
      <c r="BH79" s="65"/>
      <c r="BI79" s="65"/>
      <c r="BJ79" s="65"/>
      <c r="BK79" s="65"/>
      <c r="BL79" s="65"/>
      <c r="BM79" s="65"/>
      <c r="BN79" s="65"/>
      <c r="BO79" s="65"/>
      <c r="BP79" s="65"/>
      <c r="BQ79" s="65"/>
      <c r="BR79" s="65"/>
      <c r="BS79" s="65"/>
      <c r="BT79" s="65"/>
      <c r="BU79" s="65"/>
      <c r="BV79" s="65"/>
      <c r="BW79" s="65"/>
      <c r="BX79" s="65"/>
      <c r="BY79" s="65"/>
      <c r="BZ79" s="65"/>
      <c r="CA79" s="65"/>
      <c r="CB79" s="65"/>
      <c r="CC79" s="65"/>
      <c r="CD79" s="65"/>
      <c r="CE79" s="65"/>
      <c r="CF79" s="65"/>
      <c r="CG79" s="65"/>
      <c r="CH79" s="65"/>
      <c r="CI79" s="65"/>
      <c r="CJ79" s="65"/>
      <c r="CK79" s="65"/>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row>
    <row r="80" spans="1:113">
      <c r="B80" s="78" t="s">
        <v>4</v>
      </c>
      <c r="C80" s="77">
        <f t="shared" ref="C80:C104" si="1">E80-D80</f>
        <v>77.077773601968374</v>
      </c>
      <c r="D80" s="77">
        <v>332.25907233820146</v>
      </c>
      <c r="E80" s="77">
        <v>409.33684594016984</v>
      </c>
      <c r="F80" s="77">
        <v>4301.8987730061353</v>
      </c>
      <c r="G80" s="77">
        <v>4359.4198527622875</v>
      </c>
      <c r="H80" s="79">
        <v>0.26574791236336698</v>
      </c>
      <c r="I80" s="80"/>
      <c r="J80" s="80"/>
      <c r="K80" s="80"/>
      <c r="L80" s="80"/>
      <c r="M80" s="81"/>
      <c r="N80" s="77"/>
      <c r="O80" s="77"/>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row>
    <row r="81" spans="2:113">
      <c r="B81" s="78" t="s">
        <v>5</v>
      </c>
      <c r="C81" s="77">
        <f t="shared" si="1"/>
        <v>58.355121157126803</v>
      </c>
      <c r="D81" s="77">
        <v>286.47031746895641</v>
      </c>
      <c r="E81" s="77">
        <v>344.82543862608321</v>
      </c>
      <c r="F81" s="77">
        <v>3584.9156441717796</v>
      </c>
      <c r="G81" s="77">
        <v>3776.6938440458689</v>
      </c>
      <c r="H81" s="82">
        <v>0.11305339082442109</v>
      </c>
      <c r="I81" s="80"/>
      <c r="J81" s="80"/>
      <c r="K81" s="80"/>
      <c r="L81" s="80"/>
      <c r="M81" s="81"/>
      <c r="N81" s="77"/>
      <c r="O81" s="77"/>
      <c r="P81" s="65"/>
      <c r="Q81" s="65"/>
      <c r="R81" s="65"/>
      <c r="S81" s="65"/>
      <c r="T81" s="65"/>
      <c r="U81" s="65"/>
      <c r="V81" s="65"/>
      <c r="W81" s="65"/>
      <c r="X81" s="65"/>
      <c r="Y81" s="65"/>
      <c r="Z81" s="65"/>
      <c r="AA81" s="65"/>
      <c r="AB81" s="65"/>
      <c r="AC81" s="65"/>
      <c r="AD81" s="65"/>
      <c r="AE81" s="65"/>
      <c r="AF81" s="65"/>
      <c r="AG81" s="65"/>
      <c r="AH81" s="65"/>
      <c r="AI81" s="65"/>
      <c r="AJ81" s="65"/>
      <c r="AK81" s="65"/>
      <c r="AL81" s="65"/>
      <c r="AM81" s="65"/>
      <c r="AN81" s="65"/>
      <c r="AO81" s="65"/>
      <c r="AP81" s="65"/>
      <c r="AQ81" s="65"/>
      <c r="AR81" s="65"/>
      <c r="AS81" s="65"/>
      <c r="AT81" s="65"/>
      <c r="AU81" s="65"/>
      <c r="AV81" s="65"/>
      <c r="AW81" s="65"/>
      <c r="AX81" s="65"/>
      <c r="AY81" s="65"/>
      <c r="AZ81" s="65"/>
      <c r="BA81" s="65"/>
      <c r="BB81" s="65"/>
      <c r="BC81" s="65"/>
      <c r="BD81" s="65"/>
      <c r="BE81" s="65"/>
      <c r="BF81" s="65"/>
      <c r="BG81" s="65"/>
      <c r="BH81" s="65"/>
      <c r="BI81" s="65"/>
      <c r="BJ81" s="65"/>
      <c r="BK81" s="65"/>
      <c r="BL81" s="65"/>
      <c r="BM81" s="65"/>
      <c r="BN81" s="65"/>
      <c r="BO81" s="65"/>
      <c r="BP81" s="65"/>
      <c r="BQ81" s="65"/>
      <c r="BR81" s="65"/>
      <c r="BS81" s="65"/>
      <c r="BT81" s="65"/>
      <c r="BU81" s="65"/>
      <c r="BV81" s="65"/>
      <c r="BW81" s="65"/>
      <c r="BX81" s="65"/>
      <c r="BY81" s="65"/>
      <c r="BZ81" s="65"/>
      <c r="CA81" s="65"/>
      <c r="CB81" s="65"/>
      <c r="CC81" s="65"/>
      <c r="CD81" s="65"/>
      <c r="CE81" s="65"/>
      <c r="CF81" s="65"/>
      <c r="CG81" s="65"/>
      <c r="CH81" s="65"/>
      <c r="CI81" s="65"/>
      <c r="CJ81" s="65"/>
      <c r="CK81" s="65"/>
      <c r="CL81" s="65"/>
      <c r="CM81" s="65"/>
      <c r="CN81" s="65"/>
      <c r="CO81" s="65"/>
      <c r="CP81" s="65"/>
      <c r="CQ81" s="65"/>
      <c r="CR81" s="65"/>
      <c r="CS81" s="65"/>
      <c r="CT81" s="65"/>
      <c r="CU81" s="65"/>
      <c r="CV81" s="65"/>
      <c r="CW81" s="65"/>
      <c r="CX81" s="65"/>
      <c r="CY81" s="65"/>
      <c r="CZ81" s="65"/>
      <c r="DA81" s="65"/>
      <c r="DB81" s="65"/>
      <c r="DC81" s="65"/>
      <c r="DD81" s="65"/>
      <c r="DE81" s="65"/>
      <c r="DF81" s="65"/>
      <c r="DG81" s="65"/>
      <c r="DH81" s="65"/>
      <c r="DI81" s="65"/>
    </row>
    <row r="82" spans="2:113">
      <c r="B82" s="83" t="s">
        <v>153</v>
      </c>
      <c r="C82" s="77">
        <f t="shared" si="1"/>
        <v>-199.02048123091771</v>
      </c>
      <c r="D82" s="77">
        <v>289.77119740152517</v>
      </c>
      <c r="E82" s="77">
        <v>90.750716170607447</v>
      </c>
      <c r="F82" s="77">
        <v>3584.9156441717796</v>
      </c>
      <c r="G82" s="77">
        <v>165.56624024742092</v>
      </c>
      <c r="H82" s="82">
        <v>2.397116413197542</v>
      </c>
      <c r="I82" s="80"/>
      <c r="J82" s="80"/>
      <c r="K82" s="80"/>
      <c r="L82" s="80"/>
      <c r="M82" s="81"/>
      <c r="N82" s="77"/>
      <c r="O82" s="77"/>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c r="CZ82" s="65"/>
      <c r="DA82" s="65"/>
      <c r="DB82" s="65"/>
      <c r="DC82" s="65"/>
      <c r="DD82" s="65"/>
      <c r="DE82" s="65"/>
      <c r="DF82" s="65"/>
      <c r="DG82" s="65"/>
      <c r="DH82" s="65"/>
      <c r="DI82" s="65"/>
    </row>
    <row r="83" spans="2:113">
      <c r="B83" s="83" t="s">
        <v>154</v>
      </c>
      <c r="C83" s="77">
        <f t="shared" si="1"/>
        <v>-43.756127635629298</v>
      </c>
      <c r="D83" s="77">
        <v>289.77119740152517</v>
      </c>
      <c r="E83" s="77">
        <v>246.01506976589587</v>
      </c>
      <c r="F83" s="77">
        <v>3584.9156441717796</v>
      </c>
      <c r="G83" s="77">
        <v>401.32584902773334</v>
      </c>
      <c r="H83" s="82">
        <v>0.41611161090950632</v>
      </c>
      <c r="I83" s="80"/>
      <c r="J83" s="80"/>
      <c r="K83" s="80"/>
      <c r="L83" s="80"/>
      <c r="M83" s="81"/>
      <c r="N83" s="77"/>
      <c r="O83" s="77"/>
      <c r="P83" s="65"/>
      <c r="Q83" s="65"/>
      <c r="R83" s="65"/>
      <c r="S83" s="65"/>
      <c r="T83" s="65"/>
      <c r="U83" s="65"/>
      <c r="V83" s="65"/>
      <c r="W83" s="65"/>
      <c r="X83" s="65"/>
      <c r="Y83" s="65"/>
      <c r="Z83" s="65"/>
      <c r="AA83" s="65"/>
      <c r="AB83" s="65"/>
      <c r="AC83" s="65"/>
      <c r="AD83" s="65"/>
      <c r="AE83" s="65"/>
      <c r="AF83" s="65"/>
      <c r="AG83" s="65"/>
      <c r="AH83" s="65"/>
      <c r="AI83" s="65"/>
      <c r="AJ83" s="65"/>
      <c r="AK83" s="65"/>
      <c r="AL83" s="65"/>
      <c r="AM83" s="65"/>
      <c r="AN83" s="65"/>
      <c r="AO83" s="65"/>
      <c r="AP83" s="65"/>
      <c r="AQ83" s="65"/>
      <c r="AR83" s="65"/>
      <c r="AS83" s="65"/>
      <c r="AT83" s="65"/>
      <c r="AU83" s="65"/>
      <c r="AV83" s="65"/>
      <c r="AW83" s="65"/>
      <c r="AX83" s="65"/>
      <c r="AY83" s="65"/>
      <c r="AZ83" s="65"/>
      <c r="BA83" s="65"/>
      <c r="BB83" s="65"/>
      <c r="BC83" s="65"/>
      <c r="BD83" s="65"/>
      <c r="BE83" s="65"/>
      <c r="BF83" s="65"/>
      <c r="BG83" s="65"/>
      <c r="BH83" s="65"/>
      <c r="BI83" s="65"/>
      <c r="BJ83" s="65"/>
      <c r="BK83" s="65"/>
      <c r="BL83" s="65"/>
      <c r="BM83" s="65"/>
      <c r="BN83" s="65"/>
      <c r="BO83" s="65"/>
      <c r="BP83" s="65"/>
      <c r="BQ83" s="65"/>
      <c r="BR83" s="65"/>
      <c r="BS83" s="65"/>
      <c r="BT83" s="65"/>
      <c r="BU83" s="65"/>
      <c r="BV83" s="65"/>
      <c r="BW83" s="65"/>
      <c r="BX83" s="65"/>
      <c r="BY83" s="65"/>
      <c r="BZ83" s="65"/>
      <c r="CA83" s="65"/>
      <c r="CB83" s="65"/>
      <c r="CC83" s="65"/>
      <c r="CD83" s="65"/>
      <c r="CE83" s="65"/>
      <c r="CF83" s="65"/>
      <c r="CG83" s="65"/>
      <c r="CH83" s="65"/>
      <c r="CI83" s="65"/>
      <c r="CJ83" s="65"/>
      <c r="CK83" s="65"/>
      <c r="CL83" s="65"/>
      <c r="CM83" s="65"/>
      <c r="CN83" s="65"/>
      <c r="CO83" s="65"/>
      <c r="CP83" s="65"/>
      <c r="CQ83" s="65"/>
      <c r="CR83" s="65"/>
      <c r="CS83" s="65"/>
      <c r="CT83" s="65"/>
      <c r="CU83" s="65"/>
      <c r="CV83" s="65"/>
      <c r="CW83" s="65"/>
      <c r="CX83" s="65"/>
      <c r="CY83" s="65"/>
      <c r="CZ83" s="65"/>
      <c r="DA83" s="65"/>
      <c r="DB83" s="65"/>
      <c r="DC83" s="65"/>
      <c r="DD83" s="65"/>
      <c r="DE83" s="65"/>
      <c r="DF83" s="65"/>
      <c r="DG83" s="65"/>
      <c r="DH83" s="65"/>
      <c r="DI83" s="65"/>
    </row>
    <row r="84" spans="2:113">
      <c r="B84" s="78" t="s">
        <v>155</v>
      </c>
      <c r="C84" s="77">
        <f t="shared" si="1"/>
        <v>-51.017717317676613</v>
      </c>
      <c r="D84" s="77">
        <v>324.34556072434128</v>
      </c>
      <c r="E84" s="77">
        <v>273.32784340666467</v>
      </c>
      <c r="F84" s="77">
        <v>4298.8496932515336</v>
      </c>
      <c r="G84" s="77">
        <v>273.85275808600971</v>
      </c>
      <c r="H84" s="82">
        <v>2.054383855054418</v>
      </c>
      <c r="I84" s="80"/>
      <c r="J84" s="80"/>
      <c r="K84" s="80"/>
      <c r="L84" s="80"/>
      <c r="M84" s="81"/>
      <c r="N84" s="77"/>
      <c r="O84" s="77"/>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c r="CZ84" s="65"/>
      <c r="DA84" s="65"/>
      <c r="DB84" s="65"/>
      <c r="DC84" s="65"/>
      <c r="DD84" s="65"/>
      <c r="DE84" s="65"/>
      <c r="DF84" s="65"/>
      <c r="DG84" s="65"/>
      <c r="DH84" s="65"/>
      <c r="DI84" s="65"/>
    </row>
    <row r="85" spans="2:113">
      <c r="B85" s="84" t="s">
        <v>156</v>
      </c>
      <c r="C85" s="85">
        <f t="shared" si="1"/>
        <v>-246.07967643402236</v>
      </c>
      <c r="D85" s="85">
        <v>324.34556072434128</v>
      </c>
      <c r="E85" s="85">
        <v>78.265884290318922</v>
      </c>
      <c r="F85" s="85">
        <v>4298.8496932515336</v>
      </c>
      <c r="G85" s="85">
        <v>404.04865704772686</v>
      </c>
      <c r="H85" s="86">
        <v>0.86723845702813696</v>
      </c>
      <c r="I85" s="80"/>
      <c r="J85" s="80"/>
      <c r="K85" s="80"/>
      <c r="L85" s="80"/>
      <c r="M85" s="81"/>
      <c r="N85" s="77"/>
      <c r="O85" s="77"/>
      <c r="P85" s="65"/>
      <c r="Q85" s="65"/>
      <c r="R85" s="65"/>
      <c r="S85" s="65"/>
      <c r="T85" s="65"/>
      <c r="U85" s="65"/>
      <c r="V85" s="65"/>
      <c r="W85" s="65"/>
      <c r="X85" s="65"/>
      <c r="Y85" s="65"/>
      <c r="Z85" s="65"/>
      <c r="AA85" s="65"/>
      <c r="AB85" s="65"/>
      <c r="AC85" s="65"/>
      <c r="AD85" s="65"/>
      <c r="AE85" s="65"/>
      <c r="AF85" s="65"/>
      <c r="AG85" s="65"/>
      <c r="AH85" s="65"/>
      <c r="AI85" s="65"/>
      <c r="AJ85" s="65"/>
      <c r="AK85" s="65"/>
      <c r="AL85" s="65"/>
      <c r="AM85" s="65"/>
      <c r="AN85" s="65"/>
      <c r="AO85" s="65"/>
      <c r="AP85" s="65"/>
      <c r="AQ85" s="65"/>
      <c r="AR85" s="65"/>
      <c r="AS85" s="65"/>
      <c r="AT85" s="65"/>
      <c r="AU85" s="65"/>
      <c r="AV85" s="65"/>
      <c r="AW85" s="65"/>
      <c r="AX85" s="65"/>
      <c r="AY85" s="65"/>
      <c r="AZ85" s="65"/>
      <c r="BA85" s="65"/>
      <c r="BB85" s="65"/>
      <c r="BC85" s="65"/>
      <c r="BD85" s="65"/>
      <c r="BE85" s="65"/>
      <c r="BF85" s="65"/>
      <c r="BG85" s="65"/>
      <c r="BH85" s="65"/>
      <c r="BI85" s="65"/>
      <c r="BJ85" s="65"/>
      <c r="BK85" s="65"/>
      <c r="BL85" s="65"/>
      <c r="BM85" s="65"/>
      <c r="BN85" s="65"/>
      <c r="BO85" s="65"/>
      <c r="BP85" s="65"/>
      <c r="BQ85" s="65"/>
      <c r="BR85" s="65"/>
      <c r="BS85" s="65"/>
      <c r="BT85" s="65"/>
      <c r="BU85" s="65"/>
      <c r="BV85" s="65"/>
      <c r="BW85" s="65"/>
      <c r="BX85" s="65"/>
      <c r="BY85" s="65"/>
      <c r="BZ85" s="65"/>
      <c r="CA85" s="65"/>
      <c r="CB85" s="65"/>
      <c r="CC85" s="65"/>
      <c r="CD85" s="65"/>
      <c r="CE85" s="65"/>
      <c r="CF85" s="65"/>
      <c r="CG85" s="65"/>
      <c r="CH85" s="65"/>
      <c r="CI85" s="65"/>
      <c r="CJ85" s="65"/>
      <c r="CK85" s="65"/>
      <c r="CL85" s="65"/>
      <c r="CM85" s="65"/>
      <c r="CN85" s="65"/>
      <c r="CO85" s="65"/>
      <c r="CP85" s="65"/>
      <c r="CQ85" s="65"/>
      <c r="CR85" s="65"/>
      <c r="CS85" s="65"/>
      <c r="CT85" s="65"/>
      <c r="CU85" s="65"/>
      <c r="CV85" s="65"/>
      <c r="CW85" s="65"/>
      <c r="CX85" s="65"/>
      <c r="CY85" s="65"/>
      <c r="CZ85" s="65"/>
      <c r="DA85" s="65"/>
      <c r="DB85" s="65"/>
      <c r="DC85" s="65"/>
      <c r="DD85" s="65"/>
      <c r="DE85" s="65"/>
      <c r="DF85" s="65"/>
      <c r="DG85" s="65"/>
      <c r="DH85" s="65"/>
      <c r="DI85" s="65"/>
    </row>
    <row r="86" spans="2:113">
      <c r="B86" s="87" t="s">
        <v>157</v>
      </c>
      <c r="C86" s="85">
        <f t="shared" si="1"/>
        <v>83.212536456501908</v>
      </c>
      <c r="D86" s="85">
        <v>252.51612466872123</v>
      </c>
      <c r="E86" s="85">
        <v>335.72866112522314</v>
      </c>
      <c r="F86" s="85">
        <v>4176.6007504913941</v>
      </c>
      <c r="G86" s="85">
        <v>21.816854833893206</v>
      </c>
      <c r="H86" s="86">
        <v>4.2230813440179309E-2</v>
      </c>
      <c r="I86" s="80"/>
      <c r="J86" s="80"/>
      <c r="K86" s="80"/>
      <c r="L86" s="80"/>
      <c r="M86" s="81"/>
      <c r="N86" s="77"/>
      <c r="O86" s="77"/>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c r="CZ86" s="65"/>
      <c r="DA86" s="65"/>
      <c r="DB86" s="65"/>
      <c r="DC86" s="65"/>
      <c r="DD86" s="65"/>
      <c r="DE86" s="65"/>
      <c r="DF86" s="65"/>
      <c r="DG86" s="65"/>
      <c r="DH86" s="65"/>
      <c r="DI86" s="65"/>
    </row>
    <row r="87" spans="2:113">
      <c r="B87" s="87" t="s">
        <v>158</v>
      </c>
      <c r="C87" s="85">
        <f t="shared" si="1"/>
        <v>83.854437472676835</v>
      </c>
      <c r="D87" s="85">
        <v>252.51612466872123</v>
      </c>
      <c r="E87" s="85">
        <v>336.37056214139807</v>
      </c>
      <c r="F87" s="85">
        <v>4176.6007504913941</v>
      </c>
      <c r="G87" s="85">
        <v>21.012811121754233</v>
      </c>
      <c r="H87" s="86">
        <v>5.8575284577199391E-2</v>
      </c>
      <c r="I87" s="80"/>
      <c r="J87" s="80"/>
      <c r="K87" s="80"/>
      <c r="L87" s="80"/>
      <c r="M87" s="81"/>
      <c r="N87" s="77"/>
      <c r="O87" s="77"/>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5"/>
      <c r="BQ87" s="65"/>
      <c r="BR87" s="65"/>
      <c r="BS87" s="65"/>
      <c r="BT87" s="65"/>
      <c r="BU87" s="65"/>
      <c r="BV87" s="65"/>
      <c r="BW87" s="65"/>
      <c r="BX87" s="65"/>
      <c r="BY87" s="65"/>
      <c r="BZ87" s="65"/>
      <c r="CA87" s="65"/>
      <c r="CB87" s="65"/>
      <c r="CC87" s="65"/>
      <c r="CD87" s="65"/>
      <c r="CE87" s="65"/>
      <c r="CF87" s="65"/>
      <c r="CG87" s="65"/>
      <c r="CH87" s="65"/>
      <c r="CI87" s="65"/>
      <c r="CJ87" s="65"/>
      <c r="CK87" s="65"/>
      <c r="CL87" s="65"/>
      <c r="CM87" s="65"/>
      <c r="CN87" s="65"/>
      <c r="CO87" s="65"/>
      <c r="CP87" s="65"/>
      <c r="CQ87" s="65"/>
      <c r="CR87" s="65"/>
      <c r="CS87" s="65"/>
      <c r="CT87" s="65"/>
      <c r="CU87" s="65"/>
      <c r="CV87" s="65"/>
      <c r="CW87" s="65"/>
      <c r="CX87" s="65"/>
      <c r="CY87" s="65"/>
      <c r="CZ87" s="65"/>
      <c r="DA87" s="65"/>
      <c r="DB87" s="65"/>
      <c r="DC87" s="65"/>
      <c r="DD87" s="65"/>
      <c r="DE87" s="65"/>
      <c r="DF87" s="65"/>
      <c r="DG87" s="65"/>
      <c r="DH87" s="65"/>
      <c r="DI87" s="65"/>
    </row>
    <row r="88" spans="2:113">
      <c r="B88" s="84" t="s">
        <v>159</v>
      </c>
      <c r="C88" s="85">
        <f t="shared" si="1"/>
        <v>-235.10752509625667</v>
      </c>
      <c r="D88" s="85">
        <v>252.51612466872123</v>
      </c>
      <c r="E88" s="85">
        <v>17.408599572464581</v>
      </c>
      <c r="F88" s="85">
        <v>4176.6007504913941</v>
      </c>
      <c r="G88" s="85">
        <v>-371.5854263126721</v>
      </c>
      <c r="H88" s="86">
        <v>-0.66811269382290339</v>
      </c>
      <c r="I88" s="80"/>
      <c r="J88" s="80"/>
      <c r="K88" s="80"/>
      <c r="L88" s="80"/>
      <c r="M88" s="81"/>
      <c r="N88" s="77"/>
      <c r="O88" s="8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c r="CZ88" s="65"/>
      <c r="DA88" s="65"/>
      <c r="DB88" s="65"/>
      <c r="DC88" s="65"/>
      <c r="DD88" s="65"/>
      <c r="DE88" s="65"/>
      <c r="DF88" s="65"/>
      <c r="DG88" s="65"/>
      <c r="DH88" s="65"/>
      <c r="DI88" s="65"/>
    </row>
    <row r="89" spans="2:113">
      <c r="B89" s="84" t="s">
        <v>160</v>
      </c>
      <c r="C89" s="85">
        <f t="shared" si="1"/>
        <v>-188.04280410374241</v>
      </c>
      <c r="D89" s="85">
        <v>252.51612466872123</v>
      </c>
      <c r="E89" s="85">
        <v>64.473320564978806</v>
      </c>
      <c r="F89" s="85">
        <v>4176.6007504913941</v>
      </c>
      <c r="G89" s="85">
        <v>4.2018921192748246</v>
      </c>
      <c r="H89" s="86">
        <v>3.1130275979074393E-2</v>
      </c>
      <c r="I89" s="80"/>
      <c r="J89" s="80"/>
      <c r="K89" s="80"/>
      <c r="L89" s="80"/>
      <c r="M89" s="81"/>
      <c r="N89" s="85"/>
      <c r="O89" s="8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5"/>
      <c r="BR89" s="65"/>
      <c r="BS89" s="65"/>
      <c r="BT89" s="65"/>
      <c r="BU89" s="65"/>
      <c r="BV89" s="65"/>
      <c r="BW89" s="65"/>
      <c r="BX89" s="65"/>
      <c r="BY89" s="65"/>
      <c r="BZ89" s="65"/>
      <c r="CA89" s="65"/>
      <c r="CB89" s="65"/>
      <c r="CC89" s="65"/>
      <c r="CD89" s="65"/>
      <c r="CE89" s="65"/>
      <c r="CF89" s="65"/>
      <c r="CG89" s="65"/>
      <c r="CH89" s="65"/>
      <c r="CI89" s="65"/>
      <c r="CJ89" s="65"/>
      <c r="CK89" s="65"/>
      <c r="CL89" s="65"/>
      <c r="CM89" s="65"/>
      <c r="CN89" s="65"/>
      <c r="CO89" s="65"/>
      <c r="CP89" s="65"/>
      <c r="CQ89" s="65"/>
      <c r="CR89" s="65"/>
      <c r="CS89" s="65"/>
      <c r="CT89" s="65"/>
      <c r="CU89" s="65"/>
      <c r="CV89" s="65"/>
      <c r="CW89" s="65"/>
      <c r="CX89" s="65"/>
      <c r="CY89" s="65"/>
      <c r="CZ89" s="65"/>
      <c r="DA89" s="65"/>
      <c r="DB89" s="65"/>
      <c r="DC89" s="65"/>
      <c r="DD89" s="65"/>
      <c r="DE89" s="65"/>
      <c r="DF89" s="65"/>
      <c r="DG89" s="65"/>
      <c r="DH89" s="65"/>
      <c r="DI89" s="65"/>
    </row>
    <row r="90" spans="2:113">
      <c r="B90" s="87" t="s">
        <v>161</v>
      </c>
      <c r="C90" s="85">
        <f t="shared" si="1"/>
        <v>77.272795432907571</v>
      </c>
      <c r="D90" s="85">
        <v>253.54654557517011</v>
      </c>
      <c r="E90" s="85">
        <v>330.81934100807769</v>
      </c>
      <c r="F90" s="85">
        <v>4176.6007504913941</v>
      </c>
      <c r="G90" s="85">
        <v>48.975802154734922</v>
      </c>
      <c r="H90" s="86">
        <v>1.4994713609826918E-2</v>
      </c>
      <c r="I90" s="80"/>
      <c r="J90" s="80"/>
      <c r="K90" s="80"/>
      <c r="L90" s="80"/>
      <c r="M90" s="81"/>
      <c r="N90" s="85"/>
      <c r="O90" s="8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5"/>
      <c r="BR90" s="65"/>
      <c r="BS90" s="65"/>
      <c r="BT90" s="65"/>
      <c r="BU90" s="65"/>
      <c r="BV90" s="65"/>
      <c r="BW90" s="65"/>
      <c r="BX90" s="65"/>
      <c r="BY90" s="65"/>
      <c r="BZ90" s="65"/>
      <c r="CA90" s="65"/>
      <c r="CB90" s="65"/>
      <c r="CC90" s="65"/>
      <c r="CD90" s="65"/>
      <c r="CE90" s="65"/>
      <c r="CF90" s="65"/>
      <c r="CG90" s="65"/>
      <c r="CH90" s="65"/>
      <c r="CI90" s="65"/>
      <c r="CJ90" s="65"/>
      <c r="CK90" s="65"/>
      <c r="CL90" s="65"/>
      <c r="CM90" s="65"/>
      <c r="CN90" s="65"/>
      <c r="CO90" s="65"/>
      <c r="CP90" s="65"/>
      <c r="CQ90" s="65"/>
      <c r="CR90" s="65"/>
      <c r="CS90" s="65"/>
      <c r="CT90" s="65"/>
      <c r="CU90" s="65"/>
      <c r="CV90" s="65"/>
      <c r="CW90" s="65"/>
      <c r="CX90" s="65"/>
      <c r="CY90" s="65"/>
      <c r="CZ90" s="65"/>
      <c r="DA90" s="65"/>
      <c r="DB90" s="65"/>
      <c r="DC90" s="65"/>
      <c r="DD90" s="65"/>
      <c r="DE90" s="65"/>
      <c r="DF90" s="65"/>
      <c r="DG90" s="65"/>
      <c r="DH90" s="65"/>
      <c r="DI90" s="65"/>
    </row>
    <row r="91" spans="2:113">
      <c r="B91" s="87" t="s">
        <v>162</v>
      </c>
      <c r="C91" s="85">
        <f t="shared" si="1"/>
        <v>77.954217218916654</v>
      </c>
      <c r="D91" s="85">
        <v>253.54654557517011</v>
      </c>
      <c r="E91" s="85">
        <v>331.50076279408677</v>
      </c>
      <c r="F91" s="85">
        <v>4176.6007504913941</v>
      </c>
      <c r="G91" s="85">
        <v>48.122007940391768</v>
      </c>
      <c r="H91" s="86">
        <v>3.2347792760375887E-2</v>
      </c>
      <c r="I91" s="80"/>
      <c r="J91" s="80"/>
      <c r="K91" s="80"/>
      <c r="L91" s="80"/>
      <c r="M91" s="81"/>
      <c r="N91" s="85"/>
      <c r="O91" s="85"/>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5"/>
      <c r="BR91" s="65"/>
      <c r="BS91" s="65"/>
      <c r="BT91" s="65"/>
      <c r="BU91" s="65"/>
      <c r="BV91" s="65"/>
      <c r="BW91" s="65"/>
      <c r="BX91" s="65"/>
      <c r="BY91" s="65"/>
      <c r="BZ91" s="65"/>
      <c r="CA91" s="65"/>
      <c r="CB91" s="65"/>
      <c r="CC91" s="65"/>
      <c r="CD91" s="65"/>
      <c r="CE91" s="65"/>
      <c r="CF91" s="65"/>
      <c r="CG91" s="65"/>
      <c r="CH91" s="65"/>
      <c r="CI91" s="65"/>
      <c r="CJ91" s="65"/>
      <c r="CK91" s="65"/>
      <c r="CL91" s="65"/>
      <c r="CM91" s="65"/>
      <c r="CN91" s="65"/>
      <c r="CO91" s="65"/>
      <c r="CP91" s="65"/>
      <c r="CQ91" s="65"/>
      <c r="CR91" s="65"/>
      <c r="CS91" s="65"/>
      <c r="CT91" s="65"/>
      <c r="CU91" s="65"/>
      <c r="CV91" s="65"/>
      <c r="CW91" s="65"/>
      <c r="CX91" s="65"/>
      <c r="CY91" s="65"/>
      <c r="CZ91" s="65"/>
      <c r="DA91" s="65"/>
      <c r="DB91" s="65"/>
      <c r="DC91" s="65"/>
      <c r="DD91" s="65"/>
      <c r="DE91" s="65"/>
      <c r="DF91" s="65"/>
      <c r="DG91" s="65"/>
      <c r="DH91" s="65"/>
      <c r="DI91" s="65"/>
    </row>
    <row r="92" spans="2:113">
      <c r="B92" s="87" t="s">
        <v>163</v>
      </c>
      <c r="C92" s="85">
        <f t="shared" si="1"/>
        <v>-253.10673286720811</v>
      </c>
      <c r="D92" s="85">
        <v>253.54654557517011</v>
      </c>
      <c r="E92" s="85">
        <v>0.43981270796200533</v>
      </c>
      <c r="F92" s="85">
        <v>4176.6007504913941</v>
      </c>
      <c r="G92" s="85">
        <v>-379.56617225883247</v>
      </c>
      <c r="H92" s="86">
        <v>-0.70589367337562181</v>
      </c>
      <c r="I92" s="80"/>
      <c r="J92" s="80"/>
      <c r="K92" s="80"/>
      <c r="L92" s="80"/>
      <c r="M92" s="81"/>
      <c r="N92" s="85"/>
      <c r="O92" s="8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c r="CA92" s="65"/>
      <c r="CB92" s="65"/>
      <c r="CC92" s="65"/>
      <c r="CD92" s="65"/>
      <c r="CE92" s="65"/>
      <c r="CF92" s="65"/>
      <c r="CG92" s="65"/>
      <c r="CH92" s="65"/>
      <c r="CI92" s="65"/>
      <c r="CJ92" s="65"/>
      <c r="CK92" s="65"/>
      <c r="CL92" s="65"/>
      <c r="CM92" s="65"/>
      <c r="CN92" s="65"/>
      <c r="CO92" s="65"/>
      <c r="CP92" s="65"/>
      <c r="CQ92" s="65"/>
      <c r="CR92" s="65"/>
      <c r="CS92" s="65"/>
      <c r="CT92" s="65"/>
      <c r="CU92" s="65"/>
      <c r="CV92" s="65"/>
      <c r="CW92" s="65"/>
      <c r="CX92" s="65"/>
      <c r="CY92" s="65"/>
      <c r="CZ92" s="65"/>
      <c r="DA92" s="65"/>
      <c r="DB92" s="65"/>
      <c r="DC92" s="65"/>
      <c r="DD92" s="65"/>
      <c r="DE92" s="65"/>
      <c r="DF92" s="65"/>
      <c r="DG92" s="65"/>
      <c r="DH92" s="65"/>
      <c r="DI92" s="65"/>
    </row>
    <row r="93" spans="2:113">
      <c r="B93" s="84" t="s">
        <v>164</v>
      </c>
      <c r="C93" s="85">
        <f t="shared" si="1"/>
        <v>-189.62045632218411</v>
      </c>
      <c r="D93" s="85">
        <v>253.54654557517011</v>
      </c>
      <c r="E93" s="85">
        <v>63.926089252985996</v>
      </c>
      <c r="F93" s="85">
        <v>4176.6007504913941</v>
      </c>
      <c r="G93" s="85">
        <v>4.1601926828796465</v>
      </c>
      <c r="H93" s="86">
        <v>3.1034740454437958E-2</v>
      </c>
      <c r="I93" s="80"/>
      <c r="J93" s="80"/>
      <c r="K93" s="80"/>
      <c r="L93" s="80"/>
      <c r="M93" s="81"/>
      <c r="N93" s="85"/>
      <c r="O93" s="77"/>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5"/>
      <c r="BR93" s="65"/>
      <c r="BS93" s="65"/>
      <c r="BT93" s="65"/>
      <c r="BU93" s="65"/>
      <c r="BV93" s="65"/>
      <c r="BW93" s="65"/>
      <c r="BX93" s="65"/>
      <c r="BY93" s="65"/>
      <c r="BZ93" s="65"/>
      <c r="CA93" s="65"/>
      <c r="CB93" s="65"/>
      <c r="CC93" s="65"/>
      <c r="CD93" s="65"/>
      <c r="CE93" s="65"/>
      <c r="CF93" s="65"/>
      <c r="CG93" s="65"/>
      <c r="CH93" s="65"/>
      <c r="CI93" s="65"/>
      <c r="CJ93" s="65"/>
      <c r="CK93" s="65"/>
      <c r="CL93" s="65"/>
      <c r="CM93" s="65"/>
      <c r="CN93" s="65"/>
      <c r="CO93" s="65"/>
      <c r="CP93" s="65"/>
      <c r="CQ93" s="65"/>
      <c r="CR93" s="65"/>
      <c r="CS93" s="65"/>
      <c r="CT93" s="65"/>
      <c r="CU93" s="65"/>
      <c r="CV93" s="65"/>
      <c r="CW93" s="65"/>
      <c r="CX93" s="65"/>
      <c r="CY93" s="65"/>
      <c r="CZ93" s="65"/>
      <c r="DA93" s="65"/>
      <c r="DB93" s="65"/>
      <c r="DC93" s="65"/>
      <c r="DD93" s="65"/>
      <c r="DE93" s="65"/>
      <c r="DF93" s="65"/>
      <c r="DG93" s="65"/>
      <c r="DH93" s="65"/>
      <c r="DI93" s="65"/>
    </row>
    <row r="94" spans="2:113">
      <c r="B94" s="87" t="s">
        <v>165</v>
      </c>
      <c r="C94" s="85">
        <f t="shared" si="1"/>
        <v>55.441628286847617</v>
      </c>
      <c r="D94" s="85">
        <v>281.10478087894182</v>
      </c>
      <c r="E94" s="85">
        <v>336.54640916578944</v>
      </c>
      <c r="F94" s="85">
        <v>4097.0464504820338</v>
      </c>
      <c r="G94" s="85">
        <v>37.329727188432727</v>
      </c>
      <c r="H94" s="86">
        <v>2.3688228794501665E-2</v>
      </c>
      <c r="I94" s="80"/>
      <c r="J94" s="80"/>
      <c r="K94" s="80"/>
      <c r="L94" s="80"/>
      <c r="M94" s="81"/>
      <c r="N94" s="77"/>
      <c r="O94" s="77"/>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5"/>
      <c r="BR94" s="65"/>
      <c r="BS94" s="65"/>
      <c r="BT94" s="65"/>
      <c r="BU94" s="65"/>
      <c r="BV94" s="65"/>
      <c r="BW94" s="65"/>
      <c r="BX94" s="65"/>
      <c r="BY94" s="65"/>
      <c r="BZ94" s="65"/>
      <c r="CA94" s="65"/>
      <c r="CB94" s="65"/>
      <c r="CC94" s="65"/>
      <c r="CD94" s="65"/>
      <c r="CE94" s="65"/>
      <c r="CF94" s="65"/>
      <c r="CG94" s="65"/>
      <c r="CH94" s="65"/>
      <c r="CI94" s="65"/>
      <c r="CJ94" s="65"/>
      <c r="CK94" s="65"/>
      <c r="CL94" s="65"/>
      <c r="CM94" s="65"/>
      <c r="CN94" s="65"/>
      <c r="CO94" s="65"/>
      <c r="CP94" s="65"/>
      <c r="CQ94" s="65"/>
      <c r="CR94" s="65"/>
      <c r="CS94" s="65"/>
      <c r="CT94" s="65"/>
      <c r="CU94" s="65"/>
      <c r="CV94" s="65"/>
      <c r="CW94" s="65"/>
      <c r="CX94" s="65"/>
      <c r="CY94" s="65"/>
      <c r="CZ94" s="65"/>
      <c r="DA94" s="65"/>
      <c r="DB94" s="65"/>
      <c r="DC94" s="65"/>
      <c r="DD94" s="65"/>
      <c r="DE94" s="65"/>
      <c r="DF94" s="65"/>
      <c r="DG94" s="65"/>
      <c r="DH94" s="65"/>
      <c r="DI94" s="65"/>
    </row>
    <row r="95" spans="2:113">
      <c r="B95" s="87" t="s">
        <v>166</v>
      </c>
      <c r="C95" s="85">
        <f t="shared" si="1"/>
        <v>76.202455776582099</v>
      </c>
      <c r="D95" s="85">
        <v>281.10478087894182</v>
      </c>
      <c r="E95" s="85">
        <v>357.30723665552392</v>
      </c>
      <c r="F95" s="85">
        <v>4097.0464504820338</v>
      </c>
      <c r="G95" s="85">
        <v>4402.7587736353198</v>
      </c>
      <c r="H95" s="86">
        <v>0.13172259009915926</v>
      </c>
      <c r="I95" s="80"/>
      <c r="J95" s="80"/>
      <c r="K95" s="80"/>
      <c r="L95" s="80"/>
      <c r="M95" s="81"/>
      <c r="N95" s="77"/>
      <c r="O95" s="65"/>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5"/>
      <c r="BR95" s="65"/>
      <c r="BS95" s="65"/>
      <c r="BT95" s="65"/>
      <c r="BU95" s="65"/>
      <c r="BV95" s="65"/>
      <c r="BW95" s="65"/>
      <c r="BX95" s="65"/>
      <c r="BY95" s="65"/>
      <c r="BZ95" s="65"/>
      <c r="CA95" s="65"/>
      <c r="CB95" s="65"/>
      <c r="CC95" s="65"/>
      <c r="CD95" s="65"/>
      <c r="CE95" s="65"/>
      <c r="CF95" s="65"/>
      <c r="CG95" s="65"/>
      <c r="CH95" s="65"/>
      <c r="CI95" s="65"/>
      <c r="CJ95" s="65"/>
      <c r="CK95" s="65"/>
      <c r="CL95" s="65"/>
      <c r="CM95" s="65"/>
      <c r="CN95" s="65"/>
      <c r="CO95" s="65"/>
      <c r="CP95" s="65"/>
      <c r="CQ95" s="65"/>
      <c r="CR95" s="65"/>
      <c r="CS95" s="65"/>
      <c r="CT95" s="65"/>
      <c r="CU95" s="65"/>
      <c r="CV95" s="65"/>
      <c r="CW95" s="65"/>
      <c r="CX95" s="65"/>
      <c r="CY95" s="65"/>
      <c r="CZ95" s="65"/>
      <c r="DA95" s="65"/>
      <c r="DB95" s="65"/>
      <c r="DC95" s="65"/>
      <c r="DD95" s="65"/>
      <c r="DE95" s="65"/>
      <c r="DF95" s="65"/>
      <c r="DG95" s="65"/>
      <c r="DH95" s="65"/>
      <c r="DI95" s="65"/>
    </row>
    <row r="96" spans="2:113">
      <c r="B96" s="88" t="s">
        <v>167</v>
      </c>
      <c r="C96" s="89">
        <f t="shared" si="1"/>
        <v>241.74452176339497</v>
      </c>
      <c r="D96" s="89">
        <v>0</v>
      </c>
      <c r="E96" s="89">
        <f>G1824+H1824</f>
        <v>241.74452176339497</v>
      </c>
      <c r="F96" s="89">
        <v>1345.3671560919461</v>
      </c>
      <c r="G96" s="89">
        <f>G1823+H1823</f>
        <v>61.415926375222597</v>
      </c>
      <c r="H96" s="90">
        <f>G1825+H1825</f>
        <v>0.4581584268122334</v>
      </c>
      <c r="I96" s="80"/>
      <c r="J96" s="80"/>
      <c r="K96" s="80"/>
      <c r="L96" s="80"/>
      <c r="M96" s="91"/>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5"/>
      <c r="BR96" s="65"/>
      <c r="BS96" s="65"/>
      <c r="BT96" s="65"/>
      <c r="BU96" s="65"/>
      <c r="BV96" s="65"/>
      <c r="BW96" s="65"/>
      <c r="BX96" s="65"/>
      <c r="BY96" s="65"/>
      <c r="BZ96" s="65"/>
      <c r="CA96" s="65"/>
      <c r="CB96" s="65"/>
      <c r="CC96" s="65"/>
      <c r="CD96" s="65"/>
      <c r="CE96" s="65"/>
      <c r="CF96" s="65"/>
      <c r="CG96" s="65"/>
      <c r="CH96" s="65"/>
      <c r="CI96" s="65"/>
      <c r="CJ96" s="65"/>
      <c r="CK96" s="65"/>
      <c r="CL96" s="65"/>
      <c r="CM96" s="65"/>
      <c r="CN96" s="65"/>
      <c r="CO96" s="65"/>
      <c r="CP96" s="65"/>
      <c r="CQ96" s="65"/>
      <c r="CR96" s="65"/>
      <c r="CS96" s="65"/>
      <c r="CT96" s="65"/>
      <c r="CU96" s="65"/>
      <c r="CV96" s="65"/>
      <c r="CW96" s="65"/>
      <c r="CX96" s="65"/>
      <c r="CY96" s="65"/>
      <c r="CZ96" s="65"/>
      <c r="DA96" s="65"/>
      <c r="DB96" s="65"/>
      <c r="DC96" s="65"/>
      <c r="DD96" s="65"/>
      <c r="DE96" s="65"/>
      <c r="DF96" s="65"/>
      <c r="DG96" s="65"/>
      <c r="DH96" s="65"/>
      <c r="DI96" s="65"/>
    </row>
    <row r="97" spans="2:113">
      <c r="B97" s="92" t="s">
        <v>168</v>
      </c>
      <c r="C97" s="93">
        <f t="shared" si="1"/>
        <v>0</v>
      </c>
      <c r="D97" s="93">
        <v>0</v>
      </c>
      <c r="E97" s="93">
        <f>K1824+L1824</f>
        <v>0</v>
      </c>
      <c r="F97" s="93">
        <v>1345.3671560919461</v>
      </c>
      <c r="G97" s="93">
        <f>K1823+L1823</f>
        <v>0</v>
      </c>
      <c r="H97" s="94"/>
      <c r="I97" s="80"/>
      <c r="J97" s="80"/>
      <c r="K97" s="80"/>
      <c r="L97" s="80"/>
      <c r="M97" s="91"/>
      <c r="N97" s="65"/>
      <c r="O97" s="65"/>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5"/>
      <c r="BR97" s="65"/>
      <c r="BS97" s="65"/>
      <c r="BT97" s="65"/>
      <c r="BU97" s="65"/>
      <c r="BV97" s="65"/>
      <c r="BW97" s="65"/>
      <c r="BX97" s="65"/>
      <c r="BY97" s="65"/>
      <c r="BZ97" s="65"/>
      <c r="CA97" s="65"/>
      <c r="CB97" s="65"/>
      <c r="CC97" s="65"/>
      <c r="CD97" s="65"/>
      <c r="CE97" s="65"/>
      <c r="CF97" s="65"/>
      <c r="CG97" s="65"/>
      <c r="CH97" s="65"/>
      <c r="CI97" s="65"/>
      <c r="CJ97" s="65"/>
      <c r="CK97" s="65"/>
      <c r="CL97" s="65"/>
      <c r="CM97" s="65"/>
      <c r="CN97" s="65"/>
      <c r="CO97" s="65"/>
      <c r="CP97" s="65"/>
      <c r="CQ97" s="65"/>
      <c r="CR97" s="65"/>
      <c r="CS97" s="65"/>
      <c r="CT97" s="65"/>
      <c r="CU97" s="65"/>
      <c r="CV97" s="65"/>
      <c r="CW97" s="65"/>
      <c r="CX97" s="65"/>
      <c r="CY97" s="65"/>
      <c r="CZ97" s="65"/>
      <c r="DA97" s="65"/>
      <c r="DB97" s="65"/>
      <c r="DC97" s="65"/>
      <c r="DD97" s="65"/>
      <c r="DE97" s="65"/>
      <c r="DF97" s="65"/>
      <c r="DG97" s="65"/>
      <c r="DH97" s="65"/>
      <c r="DI97" s="65"/>
    </row>
    <row r="98" spans="2:113">
      <c r="B98" s="78" t="s">
        <v>169</v>
      </c>
      <c r="C98" s="77">
        <f t="shared" si="1"/>
        <v>260.45210554443031</v>
      </c>
      <c r="D98" s="77">
        <v>0</v>
      </c>
      <c r="E98" s="77">
        <v>260.45210554443031</v>
      </c>
      <c r="F98" s="77">
        <v>2047.8910280622597</v>
      </c>
      <c r="G98" s="77">
        <v>26.719069660337858</v>
      </c>
      <c r="H98" s="82">
        <v>0.17557584917624808</v>
      </c>
      <c r="I98" s="80"/>
      <c r="J98" s="80"/>
      <c r="K98" s="80"/>
      <c r="L98" s="80"/>
      <c r="M98" s="80"/>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c r="CL98" s="65"/>
      <c r="CM98" s="65"/>
      <c r="CN98" s="65"/>
      <c r="CO98" s="65"/>
      <c r="CP98" s="65"/>
      <c r="CQ98" s="65"/>
      <c r="CR98" s="65"/>
      <c r="CS98" s="65"/>
      <c r="CT98" s="65"/>
      <c r="CU98" s="65"/>
      <c r="CV98" s="65"/>
      <c r="CW98" s="65"/>
      <c r="CX98" s="65"/>
      <c r="CY98" s="65"/>
      <c r="CZ98" s="65"/>
      <c r="DA98" s="65"/>
      <c r="DB98" s="65"/>
      <c r="DC98" s="65"/>
      <c r="DD98" s="65"/>
      <c r="DE98" s="65"/>
      <c r="DF98" s="65"/>
      <c r="DG98" s="65"/>
      <c r="DH98" s="65"/>
      <c r="DI98" s="65"/>
    </row>
    <row r="99" spans="2:113">
      <c r="B99" s="78" t="s">
        <v>170</v>
      </c>
      <c r="C99" s="77">
        <f>E99-D99</f>
        <v>250.42312677248918</v>
      </c>
      <c r="D99" s="77">
        <v>0</v>
      </c>
      <c r="E99" s="77">
        <v>250.42312677248918</v>
      </c>
      <c r="F99" s="77">
        <v>2047.8910280622597</v>
      </c>
      <c r="G99" s="77">
        <v>25.850317514029186</v>
      </c>
      <c r="H99" s="82">
        <v>0.15036535848209842</v>
      </c>
      <c r="I99" s="80"/>
      <c r="J99" s="80"/>
      <c r="K99" s="80"/>
      <c r="L99" s="80"/>
      <c r="M99" s="80"/>
      <c r="N99" s="65"/>
      <c r="O99" s="65"/>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5"/>
      <c r="BR99" s="65"/>
      <c r="BS99" s="65"/>
      <c r="BT99" s="65"/>
      <c r="BU99" s="65"/>
      <c r="BV99" s="65"/>
      <c r="BW99" s="65"/>
      <c r="BX99" s="65"/>
      <c r="BY99" s="65"/>
      <c r="BZ99" s="65"/>
      <c r="CA99" s="65"/>
      <c r="CB99" s="65"/>
      <c r="CC99" s="65"/>
      <c r="CD99" s="65"/>
      <c r="CE99" s="65"/>
      <c r="CF99" s="65"/>
      <c r="CG99" s="65"/>
      <c r="CH99" s="65"/>
      <c r="CI99" s="65"/>
      <c r="CJ99" s="65"/>
      <c r="CK99" s="65"/>
      <c r="CL99" s="65"/>
      <c r="CM99" s="65"/>
      <c r="CN99" s="65"/>
      <c r="CO99" s="65"/>
      <c r="CP99" s="65"/>
      <c r="CQ99" s="65"/>
      <c r="CR99" s="65"/>
      <c r="CS99" s="65"/>
      <c r="CT99" s="65"/>
      <c r="CU99" s="65"/>
      <c r="CV99" s="65"/>
      <c r="CW99" s="65"/>
      <c r="CX99" s="65"/>
      <c r="CY99" s="65"/>
      <c r="CZ99" s="65"/>
      <c r="DA99" s="65"/>
      <c r="DB99" s="65"/>
      <c r="DC99" s="65"/>
      <c r="DD99" s="65"/>
      <c r="DE99" s="65"/>
      <c r="DF99" s="65"/>
      <c r="DG99" s="65"/>
      <c r="DH99" s="65"/>
      <c r="DI99" s="65"/>
    </row>
    <row r="100" spans="2:113">
      <c r="B100" s="95" t="s">
        <v>171</v>
      </c>
      <c r="C100" s="89">
        <f t="shared" si="1"/>
        <v>544.46014310129158</v>
      </c>
      <c r="D100" s="89">
        <v>0</v>
      </c>
      <c r="E100" s="89">
        <f>G1829+H1829</f>
        <v>544.46014310129158</v>
      </c>
      <c r="F100" s="89">
        <v>2047.8910280622597</v>
      </c>
      <c r="G100" s="89">
        <f>G1828+H1828</f>
        <v>138.3217448694854</v>
      </c>
      <c r="H100" s="90">
        <f>G1830+H1830</f>
        <v>1.1756322933142793</v>
      </c>
      <c r="I100" s="80"/>
      <c r="J100" s="80"/>
      <c r="K100" s="80"/>
      <c r="L100" s="80"/>
      <c r="M100" s="80"/>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5"/>
      <c r="BR100" s="65"/>
      <c r="BS100" s="65"/>
      <c r="BT100" s="65"/>
      <c r="BU100" s="65"/>
      <c r="BV100" s="65"/>
      <c r="BW100" s="65"/>
      <c r="BX100" s="65"/>
      <c r="BY100" s="65"/>
      <c r="BZ100" s="65"/>
      <c r="CA100" s="65"/>
      <c r="CB100" s="65"/>
      <c r="CC100" s="65"/>
      <c r="CD100" s="65"/>
      <c r="CE100" s="65"/>
      <c r="CF100" s="65"/>
      <c r="CG100" s="65"/>
      <c r="CH100" s="65"/>
      <c r="CI100" s="65"/>
      <c r="CJ100" s="65"/>
      <c r="CK100" s="65"/>
      <c r="CL100" s="65"/>
      <c r="CM100" s="65"/>
      <c r="CN100" s="65"/>
      <c r="CO100" s="65"/>
      <c r="CP100" s="65"/>
      <c r="CQ100" s="65"/>
      <c r="CR100" s="65"/>
      <c r="CS100" s="65"/>
      <c r="CT100" s="65"/>
      <c r="CU100" s="65"/>
      <c r="CV100" s="65"/>
      <c r="CW100" s="65"/>
      <c r="CX100" s="65"/>
      <c r="CY100" s="65"/>
      <c r="CZ100" s="65"/>
      <c r="DA100" s="65"/>
      <c r="DB100" s="65"/>
      <c r="DC100" s="65"/>
      <c r="DD100" s="65"/>
      <c r="DE100" s="65"/>
      <c r="DF100" s="65"/>
      <c r="DG100" s="65"/>
      <c r="DH100" s="65"/>
      <c r="DI100" s="65"/>
    </row>
    <row r="101" spans="2:113">
      <c r="B101" s="92" t="s">
        <v>172</v>
      </c>
      <c r="C101" s="93">
        <f t="shared" si="1"/>
        <v>0</v>
      </c>
      <c r="D101" s="93">
        <v>0</v>
      </c>
      <c r="E101" s="93">
        <f>K1829+L1829</f>
        <v>0</v>
      </c>
      <c r="F101" s="93">
        <v>2047.8910280622597</v>
      </c>
      <c r="G101" s="93">
        <f>K1828+L1828</f>
        <v>0</v>
      </c>
      <c r="H101" s="94"/>
      <c r="I101" s="80"/>
      <c r="J101" s="65"/>
      <c r="K101" s="75"/>
      <c r="L101" s="65"/>
      <c r="M101" s="65"/>
      <c r="N101" s="65"/>
      <c r="O101" s="65"/>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5"/>
      <c r="BQ101" s="65"/>
      <c r="BR101" s="65"/>
      <c r="BS101" s="65"/>
      <c r="BT101" s="65"/>
      <c r="BU101" s="65"/>
      <c r="BV101" s="65"/>
      <c r="BW101" s="65"/>
      <c r="BX101" s="65"/>
      <c r="BY101" s="65"/>
      <c r="BZ101" s="65"/>
      <c r="CA101" s="65"/>
      <c r="CB101" s="65"/>
      <c r="CC101" s="65"/>
      <c r="CD101" s="65"/>
      <c r="CE101" s="65"/>
      <c r="CF101" s="65"/>
      <c r="CG101" s="65"/>
      <c r="CH101" s="65"/>
      <c r="CI101" s="65"/>
      <c r="CJ101" s="65"/>
      <c r="CK101" s="65"/>
      <c r="CL101" s="65"/>
      <c r="CM101" s="65"/>
      <c r="CN101" s="65"/>
      <c r="CO101" s="65"/>
      <c r="CP101" s="65"/>
      <c r="CQ101" s="65"/>
      <c r="CR101" s="65"/>
      <c r="CS101" s="65"/>
      <c r="CT101" s="65"/>
      <c r="CU101" s="65"/>
      <c r="CV101" s="65"/>
      <c r="CW101" s="65"/>
      <c r="CX101" s="65"/>
      <c r="CY101" s="65"/>
      <c r="CZ101" s="65"/>
      <c r="DA101" s="65"/>
      <c r="DB101" s="65"/>
      <c r="DC101" s="65"/>
      <c r="DD101" s="65"/>
      <c r="DE101" s="65"/>
      <c r="DF101" s="65"/>
      <c r="DG101" s="65"/>
      <c r="DH101" s="65"/>
      <c r="DI101" s="65"/>
    </row>
    <row r="102" spans="2:113">
      <c r="B102" s="96" t="s">
        <v>173</v>
      </c>
      <c r="C102" s="97"/>
      <c r="D102" s="97"/>
      <c r="E102" s="97"/>
      <c r="F102" s="97"/>
      <c r="G102" s="97"/>
      <c r="H102" s="98"/>
      <c r="I102" s="80"/>
      <c r="J102" s="65"/>
      <c r="K102" s="75"/>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65"/>
      <c r="CW102" s="65"/>
      <c r="CX102" s="65"/>
      <c r="CY102" s="65"/>
      <c r="CZ102" s="65"/>
      <c r="DA102" s="65"/>
      <c r="DB102" s="65"/>
      <c r="DC102" s="65"/>
      <c r="DD102" s="65"/>
      <c r="DE102" s="65"/>
      <c r="DF102" s="65"/>
      <c r="DG102" s="65"/>
      <c r="DH102" s="65"/>
      <c r="DI102" s="65"/>
    </row>
    <row r="103" spans="2:113">
      <c r="B103" s="96" t="s">
        <v>174</v>
      </c>
      <c r="C103" s="97">
        <f t="shared" si="1"/>
        <v>364.05776434956061</v>
      </c>
      <c r="D103" s="97">
        <v>0</v>
      </c>
      <c r="E103" s="97">
        <v>364.05776434956061</v>
      </c>
      <c r="F103" s="97">
        <v>2047.8910280622597</v>
      </c>
      <c r="G103" s="97">
        <v>67.163363801706765</v>
      </c>
      <c r="H103" s="98">
        <v>0.35424675289000052</v>
      </c>
      <c r="I103" s="80"/>
      <c r="J103" s="65"/>
      <c r="K103" s="80"/>
      <c r="L103" s="65"/>
      <c r="M103" s="65"/>
      <c r="N103" s="65"/>
      <c r="O103" s="65"/>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5"/>
      <c r="BA103" s="65"/>
      <c r="BB103" s="65"/>
      <c r="BC103" s="65"/>
      <c r="BD103" s="65"/>
      <c r="BE103" s="65"/>
      <c r="BF103" s="65"/>
      <c r="BG103" s="65"/>
      <c r="BH103" s="65"/>
      <c r="BI103" s="65"/>
      <c r="BJ103" s="65"/>
      <c r="BK103" s="65"/>
      <c r="BL103" s="65"/>
      <c r="BM103" s="65"/>
      <c r="BN103" s="65"/>
      <c r="BO103" s="65"/>
      <c r="BP103" s="65"/>
      <c r="BQ103" s="65"/>
      <c r="BR103" s="65"/>
      <c r="BS103" s="65"/>
      <c r="BT103" s="65"/>
      <c r="BU103" s="65"/>
      <c r="BV103" s="65"/>
      <c r="BW103" s="65"/>
      <c r="BX103" s="65"/>
      <c r="BY103" s="65"/>
      <c r="BZ103" s="65"/>
      <c r="CA103" s="65"/>
      <c r="CB103" s="65"/>
      <c r="CC103" s="65"/>
      <c r="CD103" s="65"/>
      <c r="CE103" s="65"/>
      <c r="CF103" s="65"/>
      <c r="CG103" s="65"/>
      <c r="CH103" s="65"/>
      <c r="CI103" s="65"/>
      <c r="CJ103" s="65"/>
      <c r="CK103" s="65"/>
      <c r="CL103" s="65"/>
      <c r="CM103" s="65"/>
      <c r="CN103" s="65"/>
      <c r="CO103" s="65"/>
      <c r="CP103" s="65"/>
      <c r="CQ103" s="65"/>
      <c r="CR103" s="65"/>
      <c r="CS103" s="65"/>
      <c r="CT103" s="65"/>
      <c r="CU103" s="65"/>
      <c r="CV103" s="65"/>
      <c r="CW103" s="65"/>
      <c r="CX103" s="65"/>
      <c r="CY103" s="65"/>
      <c r="CZ103" s="65"/>
      <c r="DA103" s="65"/>
      <c r="DB103" s="65"/>
      <c r="DC103" s="65"/>
      <c r="DD103" s="65"/>
      <c r="DE103" s="65"/>
      <c r="DF103" s="65"/>
      <c r="DG103" s="65"/>
      <c r="DH103" s="65"/>
      <c r="DI103" s="65"/>
    </row>
    <row r="104" spans="2:113">
      <c r="B104" s="96" t="s">
        <v>175</v>
      </c>
      <c r="C104" s="97">
        <f t="shared" si="1"/>
        <v>682.8348013842915</v>
      </c>
      <c r="D104" s="97">
        <v>0</v>
      </c>
      <c r="E104" s="97">
        <f>G1843+H1843</f>
        <v>682.8348013842915</v>
      </c>
      <c r="F104" s="97">
        <v>2047.8910280622597</v>
      </c>
      <c r="G104" s="97">
        <f>G1842+H1842</f>
        <v>173.54890580135884</v>
      </c>
      <c r="H104" s="98">
        <f>G1844+H1844</f>
        <v>1.4387845539749233</v>
      </c>
      <c r="I104" s="80"/>
      <c r="J104" s="65"/>
      <c r="K104" s="75"/>
      <c r="L104" s="65"/>
      <c r="M104" s="65"/>
      <c r="N104" s="99"/>
      <c r="O104" s="99"/>
      <c r="P104" s="99"/>
      <c r="Q104" s="99"/>
      <c r="R104" s="99"/>
      <c r="S104" s="99"/>
      <c r="T104" s="99"/>
      <c r="U104" s="99"/>
      <c r="V104" s="99"/>
      <c r="W104" s="99"/>
      <c r="X104" s="99"/>
      <c r="Y104" s="99"/>
      <c r="Z104" s="99"/>
      <c r="AA104" s="99"/>
      <c r="AB104" s="99"/>
      <c r="AC104" s="99"/>
      <c r="AD104" s="99"/>
      <c r="AE104" s="99"/>
      <c r="AF104" s="99"/>
      <c r="AG104" s="99"/>
      <c r="AH104" s="99"/>
      <c r="AI104" s="99"/>
      <c r="AJ104" s="99"/>
      <c r="AK104" s="99"/>
      <c r="AL104" s="99"/>
      <c r="AM104" s="99"/>
      <c r="AN104" s="99"/>
      <c r="AO104" s="99"/>
      <c r="AP104" s="99"/>
      <c r="AQ104" s="99"/>
      <c r="AR104" s="99"/>
      <c r="AS104" s="99"/>
      <c r="AT104" s="99"/>
      <c r="AU104" s="99"/>
      <c r="AV104" s="99"/>
      <c r="AW104" s="99"/>
      <c r="AX104" s="99"/>
      <c r="AY104" s="99"/>
      <c r="AZ104" s="99"/>
      <c r="BA104" s="99"/>
      <c r="BB104" s="99"/>
      <c r="BC104" s="99"/>
      <c r="BD104" s="99"/>
      <c r="BE104" s="99"/>
      <c r="BF104" s="99"/>
      <c r="BG104" s="99"/>
      <c r="BH104" s="99"/>
      <c r="BI104" s="99"/>
      <c r="BJ104" s="99"/>
      <c r="BK104" s="99"/>
      <c r="BL104" s="99"/>
      <c r="BM104" s="99"/>
      <c r="BN104" s="99"/>
      <c r="BO104" s="99"/>
      <c r="BP104" s="99"/>
      <c r="BQ104" s="99"/>
      <c r="BR104" s="99"/>
      <c r="BS104" s="99"/>
      <c r="BT104" s="99"/>
      <c r="BU104" s="99"/>
      <c r="BV104" s="99"/>
      <c r="BW104" s="99"/>
      <c r="BX104" s="99"/>
      <c r="BY104" s="99"/>
      <c r="BZ104" s="99"/>
      <c r="CA104" s="99"/>
      <c r="CB104" s="99"/>
      <c r="CC104" s="99"/>
      <c r="CD104" s="99"/>
      <c r="CE104" s="99"/>
      <c r="CF104" s="99"/>
      <c r="CG104" s="99"/>
      <c r="CH104" s="99"/>
      <c r="CI104" s="99"/>
      <c r="CJ104" s="99"/>
      <c r="CK104" s="99"/>
      <c r="CL104" s="99"/>
      <c r="CM104" s="99"/>
      <c r="CN104" s="99"/>
      <c r="CO104" s="99"/>
      <c r="CP104" s="99"/>
      <c r="CQ104" s="99"/>
      <c r="CR104" s="99"/>
      <c r="CS104" s="99"/>
      <c r="CT104" s="99"/>
      <c r="CU104" s="99"/>
      <c r="CV104" s="99"/>
      <c r="CW104" s="99"/>
      <c r="CX104" s="99"/>
      <c r="CY104" s="99"/>
      <c r="CZ104" s="99"/>
      <c r="DA104" s="99"/>
      <c r="DB104" s="99"/>
      <c r="DC104" s="99"/>
      <c r="DD104" s="99"/>
      <c r="DE104" s="99"/>
      <c r="DF104" s="99"/>
      <c r="DG104" s="99"/>
      <c r="DH104" s="99"/>
      <c r="DI104" s="99"/>
    </row>
    <row r="105" spans="2:113" ht="16" thickBot="1">
      <c r="B105" s="100" t="s">
        <v>176</v>
      </c>
      <c r="C105" s="101">
        <f>E105-D105</f>
        <v>-186.957717542556</v>
      </c>
      <c r="D105" s="102">
        <v>277.65958987404088</v>
      </c>
      <c r="E105" s="102">
        <v>90.701872331484878</v>
      </c>
      <c r="F105" s="102">
        <v>3584.9156441717796</v>
      </c>
      <c r="G105" s="102">
        <v>161.46594648369256</v>
      </c>
      <c r="H105" s="103">
        <v>2.1736886328265892</v>
      </c>
      <c r="I105" s="65"/>
      <c r="J105" s="65"/>
      <c r="K105" s="75"/>
      <c r="L105" s="65"/>
      <c r="M105" s="65"/>
      <c r="N105" s="99"/>
      <c r="O105" s="99"/>
      <c r="P105" s="99"/>
      <c r="Q105" s="99"/>
      <c r="R105" s="99"/>
      <c r="S105" s="99"/>
      <c r="T105" s="99"/>
      <c r="U105" s="99"/>
      <c r="V105" s="99"/>
      <c r="W105" s="99"/>
      <c r="X105" s="99"/>
      <c r="Y105" s="99"/>
      <c r="Z105" s="99"/>
      <c r="AA105" s="99"/>
      <c r="AB105" s="99"/>
      <c r="AC105" s="99"/>
      <c r="AD105" s="99"/>
      <c r="AE105" s="99"/>
      <c r="AF105" s="99"/>
      <c r="AG105" s="99"/>
      <c r="AH105" s="99"/>
      <c r="AI105" s="99"/>
      <c r="AJ105" s="99"/>
      <c r="AK105" s="99"/>
      <c r="AL105" s="99"/>
      <c r="AM105" s="99"/>
      <c r="AN105" s="99"/>
      <c r="AO105" s="99"/>
      <c r="AP105" s="99"/>
      <c r="AQ105" s="99"/>
      <c r="AR105" s="99"/>
      <c r="AS105" s="99"/>
      <c r="AT105" s="99"/>
      <c r="AU105" s="99"/>
      <c r="AV105" s="99"/>
      <c r="AW105" s="99"/>
      <c r="AX105" s="99"/>
      <c r="AY105" s="99"/>
      <c r="AZ105" s="99"/>
      <c r="BA105" s="99"/>
      <c r="BB105" s="99"/>
      <c r="BC105" s="99"/>
      <c r="BD105" s="99"/>
      <c r="BE105" s="99"/>
      <c r="BF105" s="99"/>
      <c r="BG105" s="99"/>
      <c r="BH105" s="99"/>
      <c r="BI105" s="99"/>
      <c r="BJ105" s="99"/>
      <c r="BK105" s="99"/>
      <c r="BL105" s="99"/>
      <c r="BM105" s="99"/>
      <c r="BN105" s="99"/>
      <c r="BO105" s="99"/>
      <c r="BP105" s="99"/>
      <c r="BQ105" s="99"/>
      <c r="BR105" s="99"/>
      <c r="BS105" s="99"/>
      <c r="BT105" s="99"/>
      <c r="BU105" s="99"/>
      <c r="BV105" s="99"/>
      <c r="BW105" s="99"/>
      <c r="BX105" s="99"/>
      <c r="BY105" s="99"/>
      <c r="BZ105" s="99"/>
      <c r="CA105" s="99"/>
      <c r="CB105" s="99"/>
      <c r="CC105" s="99"/>
      <c r="CD105" s="99"/>
      <c r="CE105" s="99"/>
      <c r="CF105" s="99"/>
      <c r="CG105" s="99"/>
      <c r="CH105" s="99"/>
      <c r="CI105" s="99"/>
      <c r="CJ105" s="99"/>
      <c r="CK105" s="99"/>
      <c r="CL105" s="99"/>
      <c r="CM105" s="99"/>
      <c r="CN105" s="99"/>
      <c r="CO105" s="99"/>
      <c r="CP105" s="99"/>
      <c r="CQ105" s="99"/>
      <c r="CR105" s="99"/>
      <c r="CS105" s="99"/>
      <c r="CT105" s="99"/>
      <c r="CU105" s="99"/>
      <c r="CV105" s="99"/>
      <c r="CW105" s="99"/>
      <c r="CX105" s="99"/>
      <c r="CY105" s="99"/>
      <c r="CZ105" s="99"/>
      <c r="DA105" s="99"/>
      <c r="DB105" s="99"/>
      <c r="DC105" s="99"/>
      <c r="DD105" s="99"/>
      <c r="DE105" s="99"/>
      <c r="DF105" s="99"/>
      <c r="DG105" s="99"/>
      <c r="DH105" s="99"/>
      <c r="DI105" s="99"/>
    </row>
    <row r="106" spans="2:113">
      <c r="B106" s="65"/>
      <c r="C106" s="65"/>
      <c r="D106" s="65"/>
      <c r="E106" s="65"/>
      <c r="F106" s="65"/>
      <c r="G106" s="65"/>
      <c r="H106" s="99"/>
      <c r="I106" s="99"/>
      <c r="J106" s="99"/>
      <c r="K106" s="99"/>
      <c r="L106" s="99"/>
      <c r="M106" s="99"/>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5"/>
      <c r="BR106" s="65"/>
      <c r="BS106" s="65"/>
      <c r="BT106" s="65"/>
      <c r="BU106" s="65"/>
      <c r="BV106" s="65"/>
      <c r="BW106" s="65"/>
      <c r="BX106" s="65"/>
      <c r="BY106" s="65"/>
      <c r="BZ106" s="65"/>
      <c r="CA106" s="65"/>
      <c r="CB106" s="65"/>
      <c r="CC106" s="65"/>
      <c r="CD106" s="65"/>
      <c r="CE106" s="65"/>
      <c r="CF106" s="65"/>
      <c r="CG106" s="65"/>
      <c r="CH106" s="65"/>
      <c r="CI106" s="65"/>
      <c r="CJ106" s="65"/>
      <c r="CK106" s="65"/>
      <c r="CL106" s="65"/>
      <c r="CM106" s="65"/>
      <c r="CN106" s="65"/>
      <c r="CO106" s="65"/>
      <c r="CP106" s="65"/>
      <c r="CQ106" s="65"/>
      <c r="CR106" s="65"/>
      <c r="CS106" s="65"/>
      <c r="CT106" s="65"/>
      <c r="CU106" s="65"/>
      <c r="CV106" s="65"/>
      <c r="CW106" s="65"/>
      <c r="CX106" s="65"/>
      <c r="CY106" s="65"/>
      <c r="CZ106" s="65"/>
      <c r="DA106" s="65"/>
      <c r="DB106" s="65"/>
      <c r="DC106" s="65"/>
      <c r="DD106" s="65"/>
      <c r="DE106" s="65"/>
      <c r="DF106" s="65"/>
      <c r="DG106" s="65"/>
      <c r="DH106" s="65"/>
      <c r="DI106" s="65"/>
    </row>
    <row r="107" spans="2:113">
      <c r="B107" s="65"/>
      <c r="C107" s="65"/>
      <c r="D107" s="65"/>
      <c r="E107" s="65"/>
      <c r="F107" s="65"/>
      <c r="G107" s="65"/>
      <c r="H107" s="99"/>
      <c r="I107" s="99"/>
      <c r="J107" s="99"/>
      <c r="K107" s="99"/>
      <c r="L107" s="99"/>
      <c r="M107" s="99"/>
      <c r="N107" s="65"/>
      <c r="O107" s="65"/>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c r="AM107" s="65"/>
      <c r="AN107" s="65"/>
      <c r="AO107" s="65"/>
      <c r="AP107" s="65"/>
      <c r="AQ107" s="65"/>
      <c r="AR107" s="65"/>
      <c r="AS107" s="65"/>
      <c r="AT107" s="65"/>
      <c r="AU107" s="65"/>
      <c r="AV107" s="65"/>
      <c r="AW107" s="65"/>
      <c r="AX107" s="65"/>
      <c r="AY107" s="65"/>
      <c r="AZ107" s="65"/>
      <c r="BA107" s="65"/>
      <c r="BB107" s="65"/>
      <c r="BC107" s="65"/>
      <c r="BD107" s="65"/>
      <c r="BE107" s="65"/>
      <c r="BF107" s="65"/>
      <c r="BG107" s="65"/>
      <c r="BH107" s="65"/>
      <c r="BI107" s="65"/>
      <c r="BJ107" s="65"/>
      <c r="BK107" s="65"/>
      <c r="BL107" s="65"/>
      <c r="BM107" s="65"/>
      <c r="BN107" s="65"/>
      <c r="BO107" s="65"/>
      <c r="BP107" s="65"/>
      <c r="BQ107" s="65"/>
      <c r="BR107" s="65"/>
      <c r="BS107" s="65"/>
      <c r="BT107" s="65"/>
      <c r="BU107" s="65"/>
      <c r="BV107" s="65"/>
      <c r="BW107" s="65"/>
      <c r="BX107" s="65"/>
      <c r="BY107" s="65"/>
      <c r="BZ107" s="65"/>
      <c r="CA107" s="65"/>
      <c r="CB107" s="65"/>
      <c r="CC107" s="65"/>
      <c r="CD107" s="65"/>
      <c r="CE107" s="65"/>
      <c r="CF107" s="65"/>
      <c r="CG107" s="65"/>
      <c r="CH107" s="65"/>
      <c r="CI107" s="65"/>
      <c r="CJ107" s="65"/>
      <c r="CK107" s="65"/>
      <c r="CL107" s="65"/>
      <c r="CM107" s="65"/>
      <c r="CN107" s="65"/>
      <c r="CO107" s="65"/>
      <c r="CP107" s="65"/>
      <c r="CQ107" s="65"/>
      <c r="CR107" s="65"/>
      <c r="CS107" s="65"/>
      <c r="CT107" s="65"/>
      <c r="CU107" s="65"/>
      <c r="CV107" s="65"/>
      <c r="CW107" s="65"/>
      <c r="CX107" s="65"/>
      <c r="CY107" s="65"/>
      <c r="CZ107" s="65"/>
      <c r="DA107" s="65"/>
      <c r="DB107" s="65"/>
      <c r="DC107" s="65"/>
      <c r="DD107" s="65"/>
      <c r="DE107" s="65"/>
      <c r="DF107" s="65"/>
      <c r="DG107" s="65"/>
      <c r="DH107" s="65"/>
      <c r="DI107" s="65"/>
    </row>
    <row r="108" spans="2:113">
      <c r="B108" s="155" t="s">
        <v>227</v>
      </c>
      <c r="C108" s="156"/>
      <c r="D108" s="156"/>
      <c r="E108" s="157"/>
      <c r="F108" s="157"/>
      <c r="G108" s="157"/>
      <c r="H108" s="157"/>
      <c r="I108" s="157"/>
      <c r="J108" s="158"/>
      <c r="K108" s="99"/>
      <c r="L108" s="99"/>
      <c r="M108" s="65"/>
      <c r="N108" s="65"/>
      <c r="O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5"/>
      <c r="BR108" s="65"/>
      <c r="BS108" s="65"/>
      <c r="BT108" s="65"/>
      <c r="BU108" s="65"/>
      <c r="BV108" s="65"/>
      <c r="BW108" s="65"/>
      <c r="BX108" s="65"/>
      <c r="BY108" s="65"/>
      <c r="BZ108" s="65"/>
      <c r="CA108" s="65"/>
      <c r="CB108" s="65"/>
      <c r="CC108" s="65"/>
      <c r="CD108" s="65"/>
      <c r="CE108" s="65"/>
      <c r="CF108" s="65"/>
      <c r="CG108" s="65"/>
      <c r="CH108" s="65"/>
      <c r="CI108" s="65"/>
      <c r="CJ108" s="65"/>
      <c r="CK108" s="65"/>
      <c r="CL108" s="65"/>
      <c r="CM108" s="65"/>
      <c r="CN108" s="65"/>
      <c r="CO108" s="65"/>
      <c r="CP108" s="65"/>
      <c r="CQ108" s="65"/>
      <c r="CR108" s="65"/>
      <c r="CS108" s="65"/>
      <c r="CT108" s="65"/>
      <c r="CU108" s="65"/>
      <c r="CV108" s="65"/>
      <c r="CW108" s="65"/>
      <c r="CX108" s="65"/>
      <c r="CY108" s="65"/>
      <c r="CZ108" s="65"/>
      <c r="DA108" s="65"/>
      <c r="DB108" s="65"/>
      <c r="DC108" s="65"/>
      <c r="DD108" s="65"/>
      <c r="DE108" s="65"/>
      <c r="DF108" s="65"/>
      <c r="DG108" s="65"/>
      <c r="DH108" s="65"/>
      <c r="DI108" s="65"/>
    </row>
    <row r="109" spans="2:113">
      <c r="B109" s="159" t="s">
        <v>228</v>
      </c>
      <c r="C109" s="160"/>
      <c r="D109" s="160"/>
      <c r="E109" s="99"/>
      <c r="F109" s="99"/>
      <c r="G109" s="99"/>
      <c r="H109" s="99"/>
      <c r="I109" s="99"/>
      <c r="J109" s="161"/>
      <c r="K109" s="99"/>
      <c r="L109" s="99"/>
      <c r="M109" s="65"/>
      <c r="N109" s="65"/>
      <c r="O109" s="65"/>
      <c r="Q109" s="65"/>
      <c r="R109" s="65"/>
      <c r="S109" s="65"/>
      <c r="T109" s="65"/>
      <c r="U109" s="65"/>
      <c r="V109" s="65"/>
      <c r="W109" s="65"/>
      <c r="X109" s="65"/>
      <c r="Y109" s="65"/>
      <c r="Z109" s="65"/>
      <c r="AA109" s="65"/>
      <c r="AB109" s="65"/>
      <c r="AC109" s="65"/>
      <c r="AD109" s="65"/>
      <c r="AE109" s="65"/>
      <c r="AF109" s="65"/>
      <c r="AG109" s="65"/>
      <c r="AH109" s="65"/>
      <c r="AI109" s="65"/>
      <c r="AJ109" s="65"/>
      <c r="AK109" s="65"/>
      <c r="AL109" s="65"/>
      <c r="AM109" s="65"/>
      <c r="AN109" s="65"/>
      <c r="AO109" s="65"/>
      <c r="AP109" s="65"/>
      <c r="AQ109" s="65"/>
      <c r="AR109" s="65"/>
      <c r="AS109" s="65"/>
      <c r="AT109" s="65"/>
      <c r="AU109" s="65"/>
      <c r="AV109" s="65"/>
      <c r="AW109" s="65"/>
      <c r="AX109" s="65"/>
      <c r="AY109" s="65"/>
      <c r="AZ109" s="65"/>
      <c r="BA109" s="65"/>
      <c r="BB109" s="65"/>
      <c r="BC109" s="65"/>
      <c r="BD109" s="65"/>
      <c r="BE109" s="65"/>
      <c r="BF109" s="65"/>
      <c r="BG109" s="65"/>
      <c r="BH109" s="65"/>
      <c r="BI109" s="65"/>
      <c r="BJ109" s="65"/>
      <c r="BK109" s="65"/>
      <c r="BL109" s="65"/>
      <c r="BM109" s="65"/>
      <c r="BN109" s="65"/>
      <c r="BO109" s="65"/>
      <c r="BP109" s="65"/>
      <c r="BQ109" s="65"/>
      <c r="BR109" s="65"/>
      <c r="BS109" s="65"/>
      <c r="BT109" s="65"/>
      <c r="BU109" s="65"/>
      <c r="BV109" s="65"/>
      <c r="BW109" s="65"/>
      <c r="BX109" s="65"/>
      <c r="BY109" s="65"/>
      <c r="BZ109" s="65"/>
      <c r="CA109" s="65"/>
      <c r="CB109" s="65"/>
      <c r="CC109" s="65"/>
      <c r="CD109" s="65"/>
      <c r="CE109" s="65"/>
      <c r="CF109" s="65"/>
      <c r="CG109" s="65"/>
      <c r="CH109" s="65"/>
      <c r="CI109" s="65"/>
      <c r="CJ109" s="65"/>
      <c r="CK109" s="65"/>
      <c r="CL109" s="65"/>
      <c r="CM109" s="65"/>
      <c r="CN109" s="65"/>
      <c r="CO109" s="65"/>
      <c r="CP109" s="65"/>
      <c r="CQ109" s="65"/>
      <c r="CR109" s="65"/>
      <c r="CS109" s="65"/>
      <c r="CT109" s="65"/>
      <c r="CU109" s="65"/>
      <c r="CV109" s="65"/>
      <c r="CW109" s="65"/>
      <c r="CX109" s="65"/>
      <c r="CY109" s="65"/>
      <c r="CZ109" s="65"/>
      <c r="DA109" s="65"/>
      <c r="DB109" s="65"/>
      <c r="DC109" s="65"/>
      <c r="DD109" s="65"/>
      <c r="DE109" s="65"/>
      <c r="DF109" s="65"/>
      <c r="DG109" s="65"/>
      <c r="DH109" s="65"/>
      <c r="DI109" s="65"/>
    </row>
    <row r="110" spans="2:113">
      <c r="B110" s="162" t="s">
        <v>229</v>
      </c>
      <c r="C110" s="160"/>
      <c r="D110" s="160"/>
      <c r="E110" s="99"/>
      <c r="F110" s="99"/>
      <c r="G110" s="99"/>
      <c r="H110" s="99"/>
      <c r="I110" s="99"/>
      <c r="J110" s="161"/>
      <c r="K110" s="99"/>
      <c r="L110" s="99"/>
      <c r="M110" s="65"/>
      <c r="N110" s="65"/>
      <c r="O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5"/>
      <c r="BR110" s="65"/>
      <c r="BS110" s="65"/>
      <c r="BT110" s="65"/>
      <c r="BU110" s="65"/>
      <c r="BV110" s="65"/>
      <c r="BW110" s="65"/>
      <c r="BX110" s="65"/>
      <c r="BY110" s="65"/>
      <c r="BZ110" s="65"/>
      <c r="CA110" s="65"/>
      <c r="CB110" s="65"/>
      <c r="CC110" s="65"/>
      <c r="CD110" s="65"/>
      <c r="CE110" s="65"/>
      <c r="CF110" s="65"/>
      <c r="CG110" s="65"/>
      <c r="CH110" s="65"/>
      <c r="CI110" s="65"/>
      <c r="CJ110" s="65"/>
      <c r="CK110" s="65"/>
      <c r="CL110" s="65"/>
      <c r="CM110" s="65"/>
      <c r="CN110" s="65"/>
      <c r="CO110" s="65"/>
      <c r="CP110" s="65"/>
      <c r="CQ110" s="65"/>
      <c r="CR110" s="65"/>
      <c r="CS110" s="65"/>
      <c r="CT110" s="65"/>
      <c r="CU110" s="65"/>
      <c r="CV110" s="65"/>
      <c r="CW110" s="65"/>
      <c r="CX110" s="65"/>
      <c r="CY110" s="65"/>
      <c r="CZ110" s="65"/>
      <c r="DA110" s="65"/>
      <c r="DB110" s="65"/>
      <c r="DC110" s="65"/>
      <c r="DD110" s="65"/>
      <c r="DE110" s="65"/>
      <c r="DF110" s="65"/>
      <c r="DG110" s="65"/>
      <c r="DH110" s="65"/>
      <c r="DI110" s="65"/>
    </row>
    <row r="111" spans="2:113">
      <c r="B111" s="159" t="s">
        <v>230</v>
      </c>
      <c r="C111" s="163">
        <v>1</v>
      </c>
      <c r="D111" s="160" t="s">
        <v>231</v>
      </c>
      <c r="E111" s="99"/>
      <c r="F111" s="99"/>
      <c r="G111" s="99"/>
      <c r="H111" s="99"/>
      <c r="I111" s="99"/>
      <c r="J111" s="161"/>
      <c r="K111" s="99"/>
      <c r="L111" s="99"/>
      <c r="M111" s="65"/>
      <c r="N111" s="65"/>
      <c r="O111" s="65"/>
      <c r="Q111" s="65"/>
      <c r="R111" s="65"/>
      <c r="S111" s="65"/>
      <c r="T111" s="65"/>
      <c r="U111" s="65"/>
      <c r="V111" s="65"/>
      <c r="W111" s="65"/>
      <c r="X111" s="65"/>
      <c r="Y111" s="65"/>
      <c r="Z111" s="65"/>
      <c r="AA111" s="65"/>
      <c r="AB111" s="65"/>
      <c r="AC111" s="65"/>
      <c r="AD111" s="65"/>
      <c r="AE111" s="65"/>
      <c r="AF111" s="65"/>
      <c r="AG111" s="65"/>
      <c r="AH111" s="65"/>
      <c r="AI111" s="65"/>
      <c r="AJ111" s="65"/>
      <c r="AK111" s="65"/>
      <c r="AL111" s="65"/>
      <c r="AM111" s="65"/>
      <c r="AN111" s="65"/>
      <c r="AO111" s="65"/>
      <c r="AP111" s="65"/>
      <c r="AQ111" s="65"/>
      <c r="AR111" s="65"/>
      <c r="AS111" s="65"/>
      <c r="AT111" s="65"/>
      <c r="AU111" s="65"/>
      <c r="AV111" s="65"/>
      <c r="AW111" s="65"/>
      <c r="AX111" s="65"/>
      <c r="AY111" s="65"/>
      <c r="AZ111" s="65"/>
      <c r="BA111" s="65"/>
      <c r="BB111" s="65"/>
      <c r="BC111" s="65"/>
      <c r="BD111" s="65"/>
      <c r="BE111" s="65"/>
      <c r="BF111" s="65"/>
      <c r="BG111" s="65"/>
      <c r="BH111" s="65"/>
      <c r="BI111" s="65"/>
      <c r="BJ111" s="65"/>
      <c r="BK111" s="65"/>
      <c r="BL111" s="65"/>
      <c r="BM111" s="65"/>
      <c r="BN111" s="65"/>
      <c r="BO111" s="65"/>
      <c r="BP111" s="65"/>
      <c r="BQ111" s="65"/>
      <c r="BR111" s="65"/>
      <c r="BS111" s="65"/>
      <c r="BT111" s="65"/>
      <c r="BU111" s="65"/>
      <c r="BV111" s="65"/>
      <c r="BW111" s="65"/>
      <c r="BX111" s="65"/>
      <c r="BY111" s="65"/>
      <c r="BZ111" s="65"/>
      <c r="CA111" s="65"/>
      <c r="CB111" s="65"/>
      <c r="CC111" s="65"/>
      <c r="CD111" s="65"/>
      <c r="CE111" s="65"/>
      <c r="CF111" s="65"/>
      <c r="CG111" s="65"/>
      <c r="CH111" s="65"/>
      <c r="CI111" s="65"/>
      <c r="CJ111" s="65"/>
      <c r="CK111" s="65"/>
      <c r="CL111" s="65"/>
      <c r="CM111" s="65"/>
      <c r="CN111" s="65"/>
      <c r="CO111" s="65"/>
      <c r="CP111" s="65"/>
      <c r="CQ111" s="65"/>
      <c r="CR111" s="65"/>
      <c r="CS111" s="65"/>
      <c r="CT111" s="65"/>
      <c r="CU111" s="65"/>
      <c r="CV111" s="65"/>
      <c r="CW111" s="65"/>
      <c r="CX111" s="65"/>
      <c r="CY111" s="65"/>
      <c r="CZ111" s="65"/>
      <c r="DA111" s="65"/>
      <c r="DB111" s="65"/>
      <c r="DC111" s="65"/>
      <c r="DD111" s="65"/>
      <c r="DE111" s="65"/>
      <c r="DF111" s="65"/>
      <c r="DG111" s="65"/>
      <c r="DH111" s="65"/>
      <c r="DI111" s="65"/>
    </row>
    <row r="112" spans="2:113">
      <c r="B112" s="159" t="s">
        <v>232</v>
      </c>
      <c r="C112" s="164">
        <f>('GREET Fuel Attributes'!$C$58*(1-'GREET Fuel Attributes'!$C$111)+'GREET Fuel Attributes'!$C$59*'GREET Fuel Attributes'!$C$111)</f>
        <v>112193.52</v>
      </c>
      <c r="D112" s="160" t="s">
        <v>206</v>
      </c>
      <c r="E112" s="99"/>
      <c r="F112" s="99"/>
      <c r="G112" s="99"/>
      <c r="H112" s="99"/>
      <c r="I112" s="99"/>
      <c r="J112" s="161"/>
      <c r="K112" s="99"/>
      <c r="L112" s="165"/>
      <c r="M112" s="65"/>
      <c r="N112" s="65"/>
      <c r="O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65"/>
      <c r="BR112" s="65"/>
      <c r="BS112" s="65"/>
      <c r="BT112" s="65"/>
      <c r="BU112" s="65"/>
      <c r="BV112" s="65"/>
      <c r="BW112" s="65"/>
      <c r="BX112" s="65"/>
      <c r="BY112" s="65"/>
      <c r="BZ112" s="65"/>
      <c r="CA112" s="65"/>
      <c r="CB112" s="65"/>
      <c r="CC112" s="65"/>
      <c r="CD112" s="65"/>
      <c r="CE112" s="65"/>
      <c r="CF112" s="65"/>
      <c r="CG112" s="65"/>
      <c r="CH112" s="65"/>
      <c r="CI112" s="65"/>
      <c r="CJ112" s="65"/>
      <c r="CK112" s="65"/>
      <c r="CL112" s="65"/>
      <c r="CM112" s="65"/>
      <c r="CN112" s="65"/>
      <c r="CO112" s="65"/>
      <c r="CP112" s="65"/>
      <c r="CQ112" s="65"/>
      <c r="CR112" s="65"/>
      <c r="CS112" s="65"/>
      <c r="CT112" s="65"/>
      <c r="CU112" s="65"/>
      <c r="CV112" s="65"/>
      <c r="CW112" s="65"/>
      <c r="CX112" s="65"/>
      <c r="CY112" s="65"/>
      <c r="CZ112" s="65"/>
      <c r="DA112" s="65"/>
      <c r="DB112" s="65"/>
      <c r="DC112" s="65"/>
      <c r="DD112" s="65"/>
      <c r="DE112" s="65"/>
      <c r="DF112" s="65"/>
      <c r="DG112" s="65"/>
      <c r="DH112" s="65"/>
      <c r="DI112" s="65"/>
    </row>
    <row r="113" spans="2:113">
      <c r="B113" s="159" t="s">
        <v>233</v>
      </c>
      <c r="C113" s="163"/>
      <c r="D113" s="160"/>
      <c r="E113" s="99"/>
      <c r="F113" s="99"/>
      <c r="G113" s="99"/>
      <c r="H113" s="99"/>
      <c r="I113" s="99"/>
      <c r="J113" s="161"/>
      <c r="K113" s="99"/>
      <c r="L113" s="99"/>
      <c r="M113" s="65"/>
      <c r="N113" s="65"/>
      <c r="O113" s="65"/>
      <c r="Q113" s="65"/>
      <c r="R113" s="65"/>
      <c r="S113" s="65"/>
      <c r="T113" s="65"/>
      <c r="U113" s="65"/>
      <c r="V113" s="65"/>
      <c r="W113" s="65"/>
      <c r="X113" s="65"/>
      <c r="Y113" s="65"/>
      <c r="Z113" s="65"/>
      <c r="AA113" s="65"/>
      <c r="AB113" s="65"/>
      <c r="AC113" s="65"/>
      <c r="AD113" s="65"/>
      <c r="AE113" s="65"/>
      <c r="AF113" s="65"/>
      <c r="AG113" s="65"/>
      <c r="AH113" s="65"/>
      <c r="AI113" s="65"/>
      <c r="AJ113" s="65"/>
      <c r="AK113" s="65"/>
      <c r="AL113" s="65"/>
      <c r="AM113" s="65"/>
      <c r="AN113" s="65"/>
      <c r="AO113" s="65"/>
      <c r="AP113" s="65"/>
      <c r="AQ113" s="65"/>
      <c r="AR113" s="65"/>
      <c r="AS113" s="65"/>
      <c r="AT113" s="65"/>
      <c r="AU113" s="65"/>
      <c r="AV113" s="65"/>
      <c r="AW113" s="65"/>
      <c r="AX113" s="65"/>
      <c r="AY113" s="65"/>
      <c r="AZ113" s="65"/>
      <c r="BA113" s="65"/>
      <c r="BB113" s="65"/>
      <c r="BC113" s="65"/>
      <c r="BD113" s="65"/>
      <c r="BE113" s="65"/>
      <c r="BF113" s="65"/>
      <c r="BG113" s="65"/>
      <c r="BH113" s="65"/>
      <c r="BI113" s="65"/>
      <c r="BJ113" s="65"/>
      <c r="BK113" s="65"/>
      <c r="BL113" s="65"/>
      <c r="BM113" s="65"/>
      <c r="BN113" s="65"/>
      <c r="BO113" s="65"/>
      <c r="BP113" s="65"/>
      <c r="BQ113" s="65"/>
      <c r="BR113" s="65"/>
      <c r="BS113" s="65"/>
      <c r="BT113" s="65"/>
      <c r="BU113" s="65"/>
      <c r="BV113" s="65"/>
      <c r="BW113" s="65"/>
      <c r="BX113" s="65"/>
      <c r="BY113" s="65"/>
      <c r="BZ113" s="65"/>
      <c r="CA113" s="65"/>
      <c r="CB113" s="65"/>
      <c r="CC113" s="65"/>
      <c r="CD113" s="65"/>
      <c r="CE113" s="65"/>
      <c r="CF113" s="65"/>
      <c r="CG113" s="65"/>
      <c r="CH113" s="65"/>
      <c r="CI113" s="65"/>
      <c r="CJ113" s="65"/>
      <c r="CK113" s="65"/>
      <c r="CL113" s="65"/>
      <c r="CM113" s="65"/>
      <c r="CN113" s="65"/>
      <c r="CO113" s="65"/>
      <c r="CP113" s="65"/>
      <c r="CQ113" s="65"/>
      <c r="CR113" s="65"/>
      <c r="CS113" s="65"/>
      <c r="CT113" s="65"/>
      <c r="CU113" s="65"/>
      <c r="CV113" s="65"/>
      <c r="CW113" s="65"/>
      <c r="CX113" s="65"/>
      <c r="CY113" s="65"/>
      <c r="CZ113" s="65"/>
      <c r="DA113" s="65"/>
      <c r="DB113" s="65"/>
      <c r="DC113" s="65"/>
      <c r="DD113" s="65"/>
      <c r="DE113" s="65"/>
      <c r="DF113" s="65"/>
      <c r="DG113" s="65"/>
      <c r="DH113" s="65"/>
      <c r="DI113" s="65"/>
    </row>
    <row r="114" spans="2:113">
      <c r="B114" s="159" t="s">
        <v>234</v>
      </c>
      <c r="C114" s="166">
        <v>0.83299999999999996</v>
      </c>
      <c r="D114" s="160" t="s">
        <v>235</v>
      </c>
      <c r="E114" s="167">
        <f>1-C114</f>
        <v>0.16700000000000004</v>
      </c>
      <c r="F114" s="99" t="s">
        <v>236</v>
      </c>
      <c r="G114" s="99"/>
      <c r="H114" s="99"/>
      <c r="I114" s="99"/>
      <c r="J114" s="161"/>
      <c r="K114" s="99"/>
      <c r="L114" s="99"/>
      <c r="M114" s="65"/>
      <c r="N114" s="65"/>
      <c r="O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5"/>
      <c r="BR114" s="65"/>
      <c r="BS114" s="65"/>
      <c r="BT114" s="65"/>
      <c r="BU114" s="65"/>
      <c r="BV114" s="65"/>
      <c r="BW114" s="65"/>
      <c r="BX114" s="65"/>
      <c r="BY114" s="65"/>
      <c r="BZ114" s="65"/>
      <c r="CA114" s="65"/>
      <c r="CB114" s="65"/>
      <c r="CC114" s="65"/>
      <c r="CD114" s="65"/>
      <c r="CE114" s="65"/>
      <c r="CF114" s="65"/>
      <c r="CG114" s="65"/>
      <c r="CH114" s="65"/>
      <c r="CI114" s="65"/>
      <c r="CJ114" s="65"/>
      <c r="CK114" s="65"/>
      <c r="CL114" s="65"/>
      <c r="CM114" s="65"/>
      <c r="CN114" s="65"/>
      <c r="CO114" s="65"/>
      <c r="CP114" s="65"/>
      <c r="CQ114" s="65"/>
      <c r="CR114" s="65"/>
      <c r="CS114" s="65"/>
      <c r="CT114" s="65"/>
      <c r="CU114" s="65"/>
      <c r="CV114" s="65"/>
      <c r="CW114" s="65"/>
      <c r="CX114" s="65"/>
      <c r="CY114" s="65"/>
      <c r="CZ114" s="65"/>
      <c r="DA114" s="65"/>
      <c r="DB114" s="65"/>
      <c r="DC114" s="65"/>
      <c r="DD114" s="65"/>
      <c r="DE114" s="65"/>
      <c r="DF114" s="65"/>
      <c r="DG114" s="65"/>
      <c r="DH114" s="65"/>
      <c r="DI114" s="65"/>
    </row>
    <row r="115" spans="2:113">
      <c r="B115" s="168" t="s">
        <v>237</v>
      </c>
      <c r="C115" s="169" t="s">
        <v>238</v>
      </c>
      <c r="D115" s="170"/>
      <c r="E115" s="171"/>
      <c r="F115" s="172"/>
      <c r="G115" s="172"/>
      <c r="H115" s="172"/>
      <c r="I115" s="172"/>
      <c r="J115" s="173"/>
      <c r="K115" s="99"/>
      <c r="L115" s="99"/>
      <c r="M115" s="65"/>
      <c r="N115" s="65"/>
      <c r="O115" s="65"/>
      <c r="Q115" s="65"/>
      <c r="R115" s="65"/>
      <c r="S115" s="65"/>
      <c r="T115" s="65"/>
      <c r="U115" s="65"/>
      <c r="V115" s="65"/>
      <c r="W115" s="65"/>
      <c r="X115" s="65"/>
      <c r="Y115" s="65"/>
      <c r="Z115" s="65"/>
      <c r="AA115" s="65"/>
      <c r="AB115" s="65"/>
      <c r="AC115" s="65"/>
      <c r="AD115" s="65"/>
      <c r="AE115" s="65"/>
      <c r="AF115" s="65"/>
      <c r="AG115" s="65"/>
      <c r="AH115" s="65"/>
      <c r="AI115" s="65"/>
      <c r="AJ115" s="65"/>
      <c r="AK115" s="65"/>
      <c r="AL115" s="65"/>
      <c r="AM115" s="65"/>
      <c r="AN115" s="65"/>
      <c r="AO115" s="65"/>
      <c r="AP115" s="65"/>
      <c r="AQ115" s="65"/>
      <c r="AR115" s="65"/>
      <c r="AS115" s="65"/>
      <c r="AT115" s="65"/>
      <c r="AU115" s="65"/>
      <c r="AV115" s="65"/>
      <c r="AW115" s="65"/>
      <c r="AX115" s="65"/>
      <c r="AY115" s="65"/>
      <c r="AZ115" s="65"/>
      <c r="BA115" s="65"/>
      <c r="BB115" s="65"/>
      <c r="BC115" s="65"/>
      <c r="BD115" s="65"/>
      <c r="BE115" s="65"/>
      <c r="BF115" s="65"/>
      <c r="BG115" s="65"/>
      <c r="BH115" s="65"/>
      <c r="BI115" s="65"/>
      <c r="BJ115" s="65"/>
      <c r="BK115" s="65"/>
      <c r="BL115" s="65"/>
      <c r="BM115" s="65"/>
      <c r="BN115" s="65"/>
      <c r="BO115" s="65"/>
      <c r="BP115" s="65"/>
      <c r="BQ115" s="65"/>
      <c r="BR115" s="65"/>
      <c r="BS115" s="65"/>
      <c r="BT115" s="65"/>
      <c r="BU115" s="65"/>
      <c r="BV115" s="65"/>
      <c r="BW115" s="65"/>
      <c r="BX115" s="65"/>
      <c r="BY115" s="65"/>
      <c r="BZ115" s="65"/>
      <c r="CA115" s="65"/>
      <c r="CB115" s="65"/>
      <c r="CC115" s="65"/>
      <c r="CD115" s="65"/>
      <c r="CE115" s="65"/>
      <c r="CF115" s="65"/>
      <c r="CG115" s="65"/>
      <c r="CH115" s="65"/>
      <c r="CI115" s="65"/>
      <c r="CJ115" s="65"/>
      <c r="CK115" s="65"/>
      <c r="CL115" s="65"/>
      <c r="CM115" s="65"/>
      <c r="CN115" s="65"/>
      <c r="CO115" s="65"/>
      <c r="CP115" s="65"/>
      <c r="CQ115" s="65"/>
      <c r="CR115" s="65"/>
      <c r="CS115" s="65"/>
      <c r="CT115" s="65"/>
      <c r="CU115" s="65"/>
      <c r="CV115" s="65"/>
      <c r="CW115" s="65"/>
      <c r="CX115" s="65"/>
      <c r="CY115" s="65"/>
      <c r="CZ115" s="65"/>
      <c r="DA115" s="65"/>
      <c r="DB115" s="65"/>
      <c r="DC115" s="65"/>
      <c r="DD115" s="65"/>
      <c r="DE115" s="65"/>
      <c r="DF115" s="65"/>
      <c r="DG115" s="65"/>
      <c r="DH115" s="65"/>
      <c r="DI115" s="65"/>
    </row>
    <row r="116" spans="2:113">
      <c r="B116" s="174"/>
      <c r="C116" s="175"/>
      <c r="D116" s="160"/>
      <c r="E116" s="176"/>
      <c r="F116" s="99"/>
      <c r="G116" s="99"/>
      <c r="H116" s="99"/>
      <c r="I116" s="99"/>
      <c r="J116" s="99"/>
      <c r="K116" s="99"/>
      <c r="L116" s="99"/>
      <c r="M116" s="65"/>
      <c r="N116" s="65"/>
      <c r="O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5"/>
      <c r="BR116" s="65"/>
      <c r="BS116" s="65"/>
      <c r="BT116" s="65"/>
      <c r="BU116" s="65"/>
      <c r="BV116" s="65"/>
      <c r="BW116" s="65"/>
      <c r="BX116" s="65"/>
      <c r="BY116" s="65"/>
      <c r="BZ116" s="65"/>
      <c r="CA116" s="65"/>
      <c r="CB116" s="65"/>
      <c r="CC116" s="65"/>
      <c r="CD116" s="65"/>
      <c r="CE116" s="65"/>
      <c r="CF116" s="65"/>
      <c r="CG116" s="65"/>
      <c r="CH116" s="65"/>
      <c r="CI116" s="65"/>
      <c r="CJ116" s="65"/>
      <c r="CK116" s="65"/>
      <c r="CL116" s="65"/>
      <c r="CM116" s="65"/>
      <c r="CN116" s="65"/>
      <c r="CO116" s="65"/>
      <c r="CP116" s="65"/>
      <c r="CQ116" s="65"/>
      <c r="CR116" s="65"/>
      <c r="CS116" s="65"/>
      <c r="CT116" s="65"/>
      <c r="CU116" s="65"/>
      <c r="CV116" s="65"/>
      <c r="CW116" s="65"/>
      <c r="CX116" s="65"/>
      <c r="CY116" s="65"/>
      <c r="CZ116" s="65"/>
      <c r="DA116" s="65"/>
      <c r="DB116" s="65"/>
      <c r="DC116" s="65"/>
      <c r="DD116" s="65"/>
      <c r="DE116" s="65"/>
      <c r="DF116" s="65"/>
      <c r="DG116" s="65"/>
      <c r="DH116" s="65"/>
      <c r="DI116" s="65"/>
    </row>
    <row r="117" spans="2:113">
      <c r="B117" s="177"/>
      <c r="C117" s="178" t="s">
        <v>9</v>
      </c>
      <c r="D117" s="179" t="s">
        <v>239</v>
      </c>
      <c r="E117" s="180" t="s">
        <v>240</v>
      </c>
      <c r="F117" s="99"/>
      <c r="G117" s="99"/>
      <c r="H117" s="99"/>
      <c r="I117" s="99"/>
      <c r="J117" s="99"/>
      <c r="K117" s="99"/>
      <c r="L117" s="99"/>
      <c r="M117" s="65"/>
      <c r="N117" s="65"/>
      <c r="O117" s="65"/>
      <c r="Q117" s="65"/>
      <c r="R117" s="65"/>
      <c r="S117" s="65"/>
      <c r="T117" s="65"/>
      <c r="U117" s="65"/>
      <c r="V117" s="65"/>
      <c r="W117" s="65"/>
      <c r="X117" s="65"/>
      <c r="Y117" s="65"/>
      <c r="Z117" s="65"/>
      <c r="AA117" s="65"/>
      <c r="AB117" s="65"/>
      <c r="AC117" s="65"/>
      <c r="AD117" s="65"/>
      <c r="AE117" s="65"/>
      <c r="AF117" s="65"/>
      <c r="AG117" s="65"/>
      <c r="AH117" s="65"/>
      <c r="AI117" s="65"/>
      <c r="AJ117" s="65"/>
      <c r="AK117" s="65"/>
      <c r="AL117" s="65"/>
      <c r="AM117" s="65"/>
      <c r="AN117" s="65"/>
      <c r="AO117" s="65"/>
      <c r="AP117" s="65"/>
      <c r="AQ117" s="65"/>
      <c r="AR117" s="65"/>
      <c r="AS117" s="65"/>
      <c r="AT117" s="65"/>
      <c r="AU117" s="65"/>
      <c r="AV117" s="65"/>
      <c r="AW117" s="65"/>
      <c r="AX117" s="65"/>
      <c r="AY117" s="65"/>
      <c r="AZ117" s="65"/>
      <c r="BA117" s="65"/>
      <c r="BB117" s="65"/>
      <c r="BC117" s="65"/>
      <c r="BD117" s="65"/>
      <c r="BE117" s="65"/>
      <c r="BF117" s="65"/>
      <c r="BG117" s="65"/>
      <c r="BH117" s="65"/>
      <c r="BI117" s="65"/>
      <c r="BJ117" s="65"/>
      <c r="BK117" s="65"/>
      <c r="BL117" s="65"/>
      <c r="BM117" s="65"/>
      <c r="BN117" s="65"/>
      <c r="BO117" s="65"/>
      <c r="BP117" s="65"/>
      <c r="BQ117" s="65"/>
      <c r="BR117" s="65"/>
      <c r="BS117" s="65"/>
      <c r="BT117" s="65"/>
      <c r="BU117" s="65"/>
      <c r="BV117" s="65"/>
      <c r="BW117" s="65"/>
      <c r="BX117" s="65"/>
      <c r="BY117" s="65"/>
      <c r="BZ117" s="65"/>
      <c r="CA117" s="65"/>
      <c r="CB117" s="65"/>
      <c r="CC117" s="65"/>
      <c r="CD117" s="65"/>
      <c r="CE117" s="65"/>
      <c r="CF117" s="65"/>
      <c r="CG117" s="65"/>
      <c r="CH117" s="65"/>
      <c r="CI117" s="65"/>
      <c r="CJ117" s="65"/>
      <c r="CK117" s="65"/>
      <c r="CL117" s="65"/>
      <c r="CM117" s="65"/>
      <c r="CN117" s="65"/>
      <c r="CO117" s="65"/>
      <c r="CP117" s="65"/>
      <c r="CQ117" s="65"/>
      <c r="CR117" s="65"/>
      <c r="CS117" s="65"/>
      <c r="CT117" s="65"/>
      <c r="CU117" s="65"/>
      <c r="CV117" s="65"/>
      <c r="CW117" s="65"/>
      <c r="CX117" s="65"/>
      <c r="CY117" s="65"/>
      <c r="CZ117" s="65"/>
      <c r="DA117" s="65"/>
      <c r="DB117" s="65"/>
      <c r="DC117" s="65"/>
      <c r="DD117" s="65"/>
      <c r="DE117" s="65"/>
      <c r="DF117" s="65"/>
      <c r="DG117" s="65"/>
      <c r="DH117" s="65"/>
      <c r="DI117" s="65"/>
    </row>
    <row r="118" spans="2:113">
      <c r="B118" s="181" t="s">
        <v>4</v>
      </c>
      <c r="C118" s="182" t="s">
        <v>241</v>
      </c>
      <c r="D118" s="183">
        <v>1</v>
      </c>
      <c r="E118" s="184">
        <f>'GREET Fuel Attributes'!$C$60/('GREET Fuel Attributes'!$C$111*'GREET Fuel Attributes'!$C$59+(1-'GREET Fuel Attributes'!$C$111)*'GREET Fuel Attributes'!$C$58)</f>
        <v>1.1541472945680498</v>
      </c>
      <c r="F118" s="99"/>
      <c r="G118" s="99"/>
      <c r="H118" s="99"/>
      <c r="I118" s="99"/>
      <c r="J118" s="99"/>
      <c r="K118" s="99"/>
      <c r="L118" s="99"/>
      <c r="M118" s="65"/>
      <c r="N118" s="65"/>
      <c r="O118" s="65"/>
      <c r="Q118" s="65"/>
      <c r="R118" s="65"/>
      <c r="S118" s="65"/>
      <c r="T118" s="65"/>
      <c r="U118" s="65"/>
      <c r="V118" s="65"/>
      <c r="W118" s="65"/>
      <c r="X118" s="65"/>
      <c r="Y118" s="65"/>
      <c r="Z118" s="65"/>
      <c r="AA118" s="65"/>
      <c r="AB118" s="65"/>
      <c r="AC118" s="65"/>
      <c r="AD118" s="65"/>
      <c r="AE118" s="65"/>
      <c r="AF118" s="65"/>
      <c r="AG118" s="65"/>
      <c r="AH118" s="65"/>
      <c r="AI118" s="65"/>
      <c r="AJ118" s="65"/>
      <c r="AK118" s="65"/>
      <c r="AL118" s="65"/>
      <c r="AM118" s="65"/>
      <c r="AN118" s="65"/>
      <c r="AO118" s="65"/>
      <c r="AP118" s="65"/>
      <c r="AQ118" s="65"/>
      <c r="AR118" s="65"/>
      <c r="AS118" s="65"/>
      <c r="AT118" s="65"/>
      <c r="AU118" s="65"/>
      <c r="AV118" s="65"/>
      <c r="AW118" s="65"/>
      <c r="AX118" s="65"/>
      <c r="AY118" s="65"/>
      <c r="AZ118" s="65"/>
      <c r="BA118" s="65"/>
      <c r="BB118" s="65"/>
      <c r="BC118" s="65"/>
      <c r="BD118" s="65"/>
      <c r="BE118" s="65"/>
      <c r="BF118" s="65"/>
      <c r="BG118" s="65"/>
      <c r="BH118" s="65"/>
      <c r="BI118" s="65"/>
      <c r="BJ118" s="65"/>
      <c r="BK118" s="65"/>
      <c r="BL118" s="65"/>
      <c r="BM118" s="65"/>
      <c r="BN118" s="65"/>
      <c r="BO118" s="65"/>
      <c r="BP118" s="65"/>
      <c r="BQ118" s="65"/>
      <c r="BR118" s="65"/>
      <c r="BS118" s="65"/>
      <c r="BT118" s="65"/>
      <c r="BU118" s="65"/>
      <c r="BV118" s="65"/>
      <c r="BW118" s="65"/>
      <c r="BX118" s="65"/>
      <c r="BY118" s="65"/>
      <c r="BZ118" s="65"/>
      <c r="CA118" s="65"/>
      <c r="CB118" s="65"/>
      <c r="CC118" s="65"/>
      <c r="CD118" s="65"/>
      <c r="CE118" s="65"/>
      <c r="CF118" s="65"/>
      <c r="CG118" s="65"/>
      <c r="CH118" s="65"/>
      <c r="CI118" s="65"/>
      <c r="CJ118" s="65"/>
      <c r="CK118" s="65"/>
      <c r="CL118" s="65"/>
      <c r="CM118" s="65"/>
      <c r="CN118" s="65"/>
      <c r="CO118" s="65"/>
      <c r="CP118" s="65"/>
      <c r="CQ118" s="65"/>
      <c r="CR118" s="65"/>
      <c r="CS118" s="65"/>
      <c r="CT118" s="65"/>
      <c r="CU118" s="65"/>
      <c r="CV118" s="65"/>
      <c r="CW118" s="65"/>
      <c r="CX118" s="65"/>
      <c r="CY118" s="65"/>
      <c r="CZ118" s="65"/>
      <c r="DA118" s="65"/>
      <c r="DB118" s="65"/>
      <c r="DC118" s="65"/>
      <c r="DD118" s="65"/>
      <c r="DE118" s="65"/>
      <c r="DF118" s="65"/>
      <c r="DG118" s="65"/>
      <c r="DH118" s="65"/>
      <c r="DI118" s="65"/>
    </row>
    <row r="119" spans="2:113">
      <c r="B119" s="181" t="s">
        <v>5</v>
      </c>
      <c r="C119" s="182" t="s">
        <v>242</v>
      </c>
      <c r="D119" s="183">
        <f>1/('GREET Fuel Attributes'!$C$60/('GREET Fuel Attributes'!$C$111*'GREET Fuel Attributes'!$C$59+(1-'GREET Fuel Attributes'!$C$111)*'GREET Fuel Attributes'!$C$58))</f>
        <v>0.86644053554209399</v>
      </c>
      <c r="E119" s="184">
        <f t="shared" ref="E119:E127" si="2">D119*$E$118</f>
        <v>1</v>
      </c>
      <c r="F119" s="99"/>
      <c r="G119" s="99"/>
      <c r="H119" s="99"/>
      <c r="I119" s="99"/>
      <c r="J119" s="99"/>
      <c r="K119" s="99"/>
      <c r="L119" s="99"/>
      <c r="M119" s="65"/>
      <c r="N119" s="65"/>
      <c r="O119" s="65"/>
      <c r="Q119" s="65"/>
      <c r="R119" s="65"/>
      <c r="S119" s="65"/>
      <c r="T119" s="65"/>
      <c r="U119" s="65"/>
      <c r="V119" s="65"/>
      <c r="W119" s="65"/>
      <c r="X119" s="65"/>
      <c r="Y119" s="65"/>
      <c r="Z119" s="65"/>
      <c r="AA119" s="65"/>
      <c r="AB119" s="65"/>
      <c r="AC119" s="65"/>
      <c r="AD119" s="65"/>
      <c r="AE119" s="65"/>
      <c r="AF119" s="65"/>
      <c r="AG119" s="65"/>
      <c r="AH119" s="65"/>
      <c r="AI119" s="65"/>
      <c r="AJ119" s="65"/>
      <c r="AK119" s="65"/>
      <c r="AL119" s="65"/>
      <c r="AM119" s="65"/>
      <c r="AN119" s="65"/>
      <c r="AO119" s="65"/>
      <c r="AP119" s="65"/>
      <c r="AQ119" s="65"/>
      <c r="AR119" s="65"/>
      <c r="AS119" s="65"/>
      <c r="AT119" s="65"/>
      <c r="AU119" s="65"/>
      <c r="AV119" s="65"/>
      <c r="AW119" s="65"/>
      <c r="AX119" s="65"/>
      <c r="AY119" s="65"/>
      <c r="AZ119" s="65"/>
      <c r="BA119" s="65"/>
      <c r="BB119" s="65"/>
      <c r="BC119" s="65"/>
      <c r="BD119" s="65"/>
      <c r="BE119" s="65"/>
      <c r="BF119" s="65"/>
      <c r="BG119" s="65"/>
      <c r="BH119" s="65"/>
      <c r="BI119" s="65"/>
      <c r="BJ119" s="65"/>
      <c r="BK119" s="65"/>
      <c r="BL119" s="65"/>
      <c r="BM119" s="65"/>
      <c r="BN119" s="65"/>
      <c r="BO119" s="65"/>
      <c r="BP119" s="65"/>
      <c r="BQ119" s="65"/>
      <c r="BR119" s="65"/>
      <c r="BS119" s="65"/>
      <c r="BT119" s="65"/>
      <c r="BU119" s="65"/>
      <c r="BV119" s="65"/>
      <c r="BW119" s="65"/>
      <c r="BX119" s="65"/>
      <c r="BY119" s="65"/>
      <c r="BZ119" s="65"/>
      <c r="CA119" s="65"/>
      <c r="CB119" s="65"/>
      <c r="CC119" s="65"/>
      <c r="CD119" s="65"/>
      <c r="CE119" s="65"/>
      <c r="CF119" s="65"/>
      <c r="CG119" s="65"/>
      <c r="CH119" s="65"/>
      <c r="CI119" s="65"/>
      <c r="CJ119" s="65"/>
      <c r="CK119" s="65"/>
      <c r="CL119" s="65"/>
      <c r="CM119" s="65"/>
      <c r="CN119" s="65"/>
      <c r="CO119" s="65"/>
      <c r="CP119" s="65"/>
      <c r="CQ119" s="65"/>
      <c r="CR119" s="65"/>
      <c r="CS119" s="65"/>
      <c r="CT119" s="65"/>
      <c r="CU119" s="65"/>
      <c r="CV119" s="65"/>
      <c r="CW119" s="65"/>
      <c r="CX119" s="65"/>
      <c r="CY119" s="65"/>
      <c r="CZ119" s="65"/>
      <c r="DA119" s="65"/>
      <c r="DB119" s="65"/>
      <c r="DC119" s="65"/>
      <c r="DD119" s="65"/>
      <c r="DE119" s="65"/>
      <c r="DF119" s="65"/>
      <c r="DG119" s="65"/>
      <c r="DH119" s="65"/>
      <c r="DI119" s="65"/>
    </row>
    <row r="120" spans="2:113">
      <c r="B120" s="181" t="s">
        <v>243</v>
      </c>
      <c r="C120" s="182" t="s">
        <v>244</v>
      </c>
      <c r="D120" s="183">
        <f>Calculated_Gasoline_LHV/'GREET Fuel Attributes'!$C$69</f>
        <v>32.880674891136664</v>
      </c>
      <c r="E120" s="184">
        <f t="shared" si="2"/>
        <v>37.949141969176985</v>
      </c>
      <c r="F120" s="99"/>
      <c r="G120" s="99"/>
      <c r="H120" s="99"/>
      <c r="I120" s="99"/>
      <c r="J120" s="99"/>
      <c r="K120" s="99"/>
      <c r="L120" s="99"/>
      <c r="M120" s="65"/>
      <c r="N120" s="65"/>
      <c r="O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5"/>
      <c r="CF120" s="65"/>
      <c r="CG120" s="65"/>
      <c r="CH120" s="65"/>
      <c r="CI120" s="65"/>
      <c r="CJ120" s="65"/>
      <c r="CK120" s="65"/>
      <c r="CL120" s="65"/>
      <c r="CM120" s="65"/>
      <c r="CN120" s="65"/>
      <c r="CO120" s="65"/>
      <c r="CP120" s="65"/>
      <c r="CQ120" s="65"/>
      <c r="CR120" s="65"/>
      <c r="CS120" s="65"/>
      <c r="CT120" s="65"/>
      <c r="CU120" s="65"/>
      <c r="CV120" s="65"/>
      <c r="CW120" s="65"/>
      <c r="CX120" s="65"/>
      <c r="CY120" s="65"/>
      <c r="CZ120" s="65"/>
      <c r="DA120" s="65"/>
      <c r="DB120" s="65"/>
      <c r="DC120" s="65"/>
      <c r="DD120" s="65"/>
      <c r="DE120" s="65"/>
      <c r="DF120" s="65"/>
      <c r="DG120" s="65"/>
      <c r="DH120" s="65"/>
      <c r="DI120" s="65"/>
    </row>
    <row r="121" spans="2:113">
      <c r="B121" s="181" t="s">
        <v>245</v>
      </c>
      <c r="C121" s="182" t="s">
        <v>246</v>
      </c>
      <c r="D121" s="183">
        <v>1</v>
      </c>
      <c r="E121" s="184">
        <f t="shared" si="2"/>
        <v>1.1541472945680498</v>
      </c>
      <c r="F121" s="99"/>
      <c r="G121" s="99"/>
      <c r="H121" s="99"/>
      <c r="I121" s="99"/>
      <c r="J121" s="99"/>
      <c r="K121" s="99"/>
      <c r="L121" s="99"/>
      <c r="M121" s="65"/>
      <c r="N121" s="65"/>
      <c r="O121" s="65"/>
      <c r="Q121" s="65"/>
      <c r="R121" s="65"/>
      <c r="S121" s="65"/>
      <c r="T121" s="65"/>
      <c r="U121" s="65"/>
      <c r="V121" s="65"/>
      <c r="W121" s="65"/>
      <c r="X121" s="65"/>
      <c r="Y121" s="65"/>
      <c r="Z121" s="65"/>
      <c r="AA121" s="65"/>
      <c r="AB121" s="65"/>
      <c r="AC121" s="65"/>
      <c r="AD121" s="65"/>
      <c r="AE121" s="65"/>
      <c r="AF121" s="65"/>
      <c r="AG121" s="65"/>
      <c r="AH121" s="65"/>
      <c r="AI121" s="65"/>
      <c r="AJ121" s="65"/>
      <c r="AK121" s="65"/>
      <c r="AL121" s="65"/>
      <c r="AM121" s="65"/>
      <c r="AN121" s="65"/>
      <c r="AO121" s="65"/>
      <c r="AP121" s="65"/>
      <c r="AQ121" s="65"/>
      <c r="AR121" s="65"/>
      <c r="AS121" s="65"/>
      <c r="AT121" s="65"/>
      <c r="AU121" s="65"/>
      <c r="AV121" s="65"/>
      <c r="AW121" s="65"/>
      <c r="AX121" s="65"/>
      <c r="AY121" s="65"/>
      <c r="AZ121" s="65"/>
      <c r="BA121" s="65"/>
      <c r="BB121" s="65"/>
      <c r="BC121" s="65"/>
      <c r="BD121" s="65"/>
      <c r="BE121" s="65"/>
      <c r="BF121" s="65"/>
      <c r="BG121" s="65"/>
      <c r="BH121" s="65"/>
      <c r="BI121" s="65"/>
      <c r="BJ121" s="65"/>
      <c r="BK121" s="65"/>
      <c r="BL121" s="65"/>
      <c r="BM121" s="65"/>
      <c r="BN121" s="65"/>
      <c r="BO121" s="65"/>
      <c r="BP121" s="65"/>
      <c r="BQ121" s="65"/>
      <c r="BR121" s="65"/>
      <c r="BS121" s="65"/>
      <c r="BT121" s="65"/>
      <c r="BU121" s="65"/>
      <c r="BV121" s="65"/>
      <c r="BW121" s="65"/>
      <c r="BX121" s="65"/>
      <c r="BY121" s="65"/>
      <c r="BZ121" s="65"/>
      <c r="CA121" s="65"/>
      <c r="CB121" s="65"/>
      <c r="CC121" s="65"/>
      <c r="CD121" s="65"/>
      <c r="CE121" s="65"/>
      <c r="CF121" s="65"/>
      <c r="CG121" s="65"/>
      <c r="CH121" s="65"/>
      <c r="CI121" s="65"/>
      <c r="CJ121" s="65"/>
      <c r="CK121" s="65"/>
      <c r="CL121" s="65"/>
      <c r="CM121" s="65"/>
      <c r="CN121" s="65"/>
      <c r="CO121" s="65"/>
      <c r="CP121" s="65"/>
      <c r="CQ121" s="65"/>
      <c r="CR121" s="65"/>
      <c r="CS121" s="65"/>
      <c r="CT121" s="65"/>
      <c r="CU121" s="65"/>
      <c r="CV121" s="65"/>
      <c r="CW121" s="65"/>
      <c r="CX121" s="65"/>
      <c r="CY121" s="65"/>
      <c r="CZ121" s="65"/>
      <c r="DA121" s="65"/>
      <c r="DB121" s="65"/>
      <c r="DC121" s="65"/>
      <c r="DD121" s="65"/>
      <c r="DE121" s="65"/>
      <c r="DF121" s="65"/>
      <c r="DG121" s="65"/>
      <c r="DH121" s="65"/>
      <c r="DI121" s="65"/>
    </row>
    <row r="122" spans="2:113">
      <c r="B122" s="181" t="s">
        <v>247</v>
      </c>
      <c r="C122" s="182" t="s">
        <v>248</v>
      </c>
      <c r="D122" s="183">
        <f>1/((0.8*'GREET Fuel Attributes'!$C$60+0.2*'GREET Fuel Attributes'!$C$61)/Calculated_Gasoline_LHV)</f>
        <v>0.87994725742050917</v>
      </c>
      <c r="E122" s="184">
        <f t="shared" si="2"/>
        <v>1.015588746514456</v>
      </c>
      <c r="F122" s="99"/>
      <c r="G122" s="99"/>
      <c r="H122" s="99"/>
      <c r="I122" s="99"/>
      <c r="J122" s="99"/>
      <c r="K122" s="99"/>
      <c r="L122" s="99"/>
      <c r="M122" s="65"/>
      <c r="N122" s="65"/>
      <c r="O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c r="AZ122" s="65"/>
      <c r="BA122" s="65"/>
      <c r="BB122" s="65"/>
      <c r="BC122" s="65"/>
      <c r="BD122" s="65"/>
      <c r="BE122" s="65"/>
      <c r="BF122" s="65"/>
      <c r="BG122" s="65"/>
      <c r="BH122" s="65"/>
      <c r="BI122" s="65"/>
      <c r="BJ122" s="65"/>
      <c r="BK122" s="65"/>
      <c r="BL122" s="65"/>
      <c r="BM122" s="65"/>
      <c r="BN122" s="65"/>
      <c r="BO122" s="65"/>
      <c r="BP122" s="65"/>
      <c r="BQ122" s="65"/>
      <c r="BR122" s="65"/>
      <c r="BS122" s="65"/>
      <c r="BT122" s="65"/>
      <c r="BU122" s="65"/>
      <c r="BV122" s="65"/>
      <c r="BW122" s="65"/>
      <c r="BX122" s="65"/>
      <c r="BY122" s="65"/>
      <c r="BZ122" s="65"/>
      <c r="CA122" s="65"/>
      <c r="CB122" s="65"/>
      <c r="CC122" s="65"/>
      <c r="CD122" s="65"/>
      <c r="CE122" s="65"/>
      <c r="CF122" s="65"/>
      <c r="CG122" s="65"/>
      <c r="CH122" s="65"/>
      <c r="CI122" s="65"/>
      <c r="CJ122" s="65"/>
      <c r="CK122" s="65"/>
      <c r="CL122" s="65"/>
      <c r="CM122" s="65"/>
      <c r="CN122" s="65"/>
      <c r="CO122" s="65"/>
      <c r="CP122" s="65"/>
      <c r="CQ122" s="65"/>
      <c r="CR122" s="65"/>
      <c r="CS122" s="65"/>
      <c r="CT122" s="65"/>
      <c r="CU122" s="65"/>
      <c r="CV122" s="65"/>
      <c r="CW122" s="65"/>
      <c r="CX122" s="65"/>
      <c r="CY122" s="65"/>
      <c r="CZ122" s="65"/>
      <c r="DA122" s="65"/>
      <c r="DB122" s="65"/>
      <c r="DC122" s="65"/>
      <c r="DD122" s="65"/>
      <c r="DE122" s="65"/>
      <c r="DF122" s="65"/>
      <c r="DG122" s="65"/>
      <c r="DH122" s="65"/>
      <c r="DI122" s="65"/>
    </row>
    <row r="123" spans="2:113">
      <c r="B123" s="181" t="s">
        <v>249</v>
      </c>
      <c r="C123" s="182" t="s">
        <v>250</v>
      </c>
      <c r="D123" s="183">
        <f>1/(('GREET Fuel Attributes'!$C$61)/Calculated_Gasoline_LHV)</f>
        <v>0.93846524466750314</v>
      </c>
      <c r="E123" s="184">
        <f t="shared" si="2"/>
        <v>1.0831271231791417</v>
      </c>
      <c r="F123" s="99"/>
      <c r="G123" s="99"/>
      <c r="H123" s="99"/>
      <c r="I123" s="99"/>
      <c r="J123" s="99"/>
      <c r="K123" s="99"/>
      <c r="L123" s="99"/>
      <c r="M123" s="65"/>
      <c r="N123" s="65"/>
      <c r="O123" s="65"/>
      <c r="Q123" s="65"/>
      <c r="R123" s="65"/>
      <c r="S123" s="65"/>
      <c r="T123" s="65"/>
      <c r="U123" s="65"/>
      <c r="V123" s="65"/>
      <c r="W123" s="65"/>
      <c r="X123" s="65"/>
      <c r="Y123" s="65"/>
      <c r="Z123" s="65"/>
      <c r="AA123" s="65"/>
      <c r="AB123" s="65"/>
      <c r="AC123" s="65"/>
      <c r="AD123" s="65"/>
      <c r="AE123" s="65"/>
      <c r="AF123" s="65"/>
      <c r="AG123" s="65"/>
      <c r="AH123" s="65"/>
      <c r="AI123" s="65"/>
      <c r="AJ123" s="65"/>
      <c r="AK123" s="65"/>
      <c r="AL123" s="65"/>
      <c r="AM123" s="65"/>
      <c r="AN123" s="65"/>
      <c r="AO123" s="65"/>
      <c r="AP123" s="65"/>
      <c r="AQ123" s="65"/>
      <c r="AR123" s="65"/>
      <c r="AS123" s="65"/>
      <c r="AT123" s="65"/>
      <c r="AU123" s="65"/>
      <c r="AV123" s="65"/>
      <c r="AW123" s="65"/>
      <c r="AX123" s="65"/>
      <c r="AY123" s="65"/>
      <c r="AZ123" s="65"/>
      <c r="BA123" s="65"/>
      <c r="BB123" s="65"/>
      <c r="BC123" s="65"/>
      <c r="BD123" s="65"/>
      <c r="BE123" s="65"/>
      <c r="BF123" s="65"/>
      <c r="BG123" s="65"/>
      <c r="BH123" s="65"/>
      <c r="BI123" s="65"/>
      <c r="BJ123" s="65"/>
      <c r="BK123" s="65"/>
      <c r="BL123" s="65"/>
      <c r="BM123" s="65"/>
      <c r="BN123" s="65"/>
      <c r="BO123" s="65"/>
      <c r="BP123" s="65"/>
      <c r="BQ123" s="65"/>
      <c r="BR123" s="65"/>
      <c r="BS123" s="65"/>
      <c r="BT123" s="65"/>
      <c r="BU123" s="65"/>
      <c r="BV123" s="65"/>
      <c r="BW123" s="65"/>
      <c r="BX123" s="65"/>
      <c r="BY123" s="65"/>
      <c r="BZ123" s="65"/>
      <c r="CA123" s="65"/>
      <c r="CB123" s="65"/>
      <c r="CC123" s="65"/>
      <c r="CD123" s="65"/>
      <c r="CE123" s="65"/>
      <c r="CF123" s="65"/>
      <c r="CG123" s="65"/>
      <c r="CH123" s="65"/>
      <c r="CI123" s="65"/>
      <c r="CJ123" s="65"/>
      <c r="CK123" s="65"/>
      <c r="CL123" s="65"/>
      <c r="CM123" s="65"/>
      <c r="CN123" s="65"/>
      <c r="CO123" s="65"/>
      <c r="CP123" s="65"/>
      <c r="CQ123" s="65"/>
      <c r="CR123" s="65"/>
      <c r="CS123" s="65"/>
      <c r="CT123" s="65"/>
      <c r="CU123" s="65"/>
      <c r="CV123" s="65"/>
      <c r="CW123" s="65"/>
      <c r="CX123" s="65"/>
      <c r="CY123" s="65"/>
      <c r="CZ123" s="65"/>
      <c r="DA123" s="65"/>
      <c r="DB123" s="65"/>
      <c r="DC123" s="65"/>
      <c r="DD123" s="65"/>
      <c r="DE123" s="65"/>
      <c r="DF123" s="65"/>
      <c r="DG123" s="65"/>
      <c r="DH123" s="65"/>
      <c r="DI123" s="65"/>
    </row>
    <row r="124" spans="2:113">
      <c r="B124" s="181" t="s">
        <v>251</v>
      </c>
      <c r="C124" s="182" t="s">
        <v>252</v>
      </c>
      <c r="D124" s="183">
        <f>1/(('GREET Fuel Attributes'!$C$114*'GREET Fuel Attributes'!$C$63+(1-'GREET Fuel Attributes'!$C$114)*Calculated_Gasoline_LHV)/Calculated_Gasoline_LHV)</f>
        <v>1.3629081589082501</v>
      </c>
      <c r="E124" s="184">
        <f t="shared" si="2"/>
        <v>1.5729967643486786</v>
      </c>
      <c r="F124" s="99"/>
      <c r="G124" s="99"/>
      <c r="H124" s="99"/>
      <c r="I124" s="99"/>
      <c r="J124" s="99"/>
      <c r="K124" s="99"/>
      <c r="L124" s="99"/>
      <c r="M124" s="65"/>
      <c r="N124" s="65"/>
      <c r="O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AW124" s="65"/>
      <c r="AX124" s="65"/>
      <c r="AY124" s="65"/>
      <c r="AZ124" s="65"/>
      <c r="BA124" s="65"/>
      <c r="BB124" s="65"/>
      <c r="BC124" s="65"/>
      <c r="BD124" s="65"/>
      <c r="BE124" s="65"/>
      <c r="BF124" s="65"/>
      <c r="BG124" s="65"/>
      <c r="BH124" s="65"/>
      <c r="BI124" s="65"/>
      <c r="BJ124" s="65"/>
      <c r="BK124" s="65"/>
      <c r="BL124" s="65"/>
      <c r="BM124" s="65"/>
      <c r="BN124" s="65"/>
      <c r="BO124" s="65"/>
      <c r="BP124" s="65"/>
      <c r="BQ124" s="65"/>
      <c r="BR124" s="65"/>
      <c r="BS124" s="65"/>
      <c r="BT124" s="65"/>
      <c r="BU124" s="65"/>
      <c r="BV124" s="65"/>
      <c r="BW124" s="65"/>
      <c r="BX124" s="65"/>
      <c r="BY124" s="65"/>
      <c r="BZ124" s="65"/>
      <c r="CA124" s="65"/>
      <c r="CB124" s="65"/>
      <c r="CC124" s="65"/>
      <c r="CD124" s="65"/>
      <c r="CE124" s="65"/>
      <c r="CF124" s="65"/>
      <c r="CG124" s="65"/>
      <c r="CH124" s="65"/>
      <c r="CI124" s="65"/>
      <c r="CJ124" s="65"/>
      <c r="CK124" s="65"/>
      <c r="CL124" s="65"/>
      <c r="CM124" s="65"/>
      <c r="CN124" s="65"/>
      <c r="CO124" s="65"/>
      <c r="CP124" s="65"/>
      <c r="CQ124" s="65"/>
      <c r="CR124" s="65"/>
      <c r="CS124" s="65"/>
      <c r="CT124" s="65"/>
      <c r="CU124" s="65"/>
      <c r="CV124" s="65"/>
      <c r="CW124" s="65"/>
      <c r="CX124" s="65"/>
      <c r="CY124" s="65"/>
      <c r="CZ124" s="65"/>
      <c r="DA124" s="65"/>
      <c r="DB124" s="65"/>
      <c r="DC124" s="65"/>
      <c r="DD124" s="65"/>
      <c r="DE124" s="65"/>
      <c r="DF124" s="65"/>
      <c r="DG124" s="65"/>
      <c r="DH124" s="65"/>
      <c r="DI124" s="65"/>
    </row>
    <row r="125" spans="2:113">
      <c r="B125" s="181" t="s">
        <v>253</v>
      </c>
      <c r="C125" s="182" t="s">
        <v>254</v>
      </c>
      <c r="D125" s="183">
        <f>1/(('GREET Fuel Attributes'!$C$64)/Calculated_Gasoline_LHV)</f>
        <v>1.3207006474396705</v>
      </c>
      <c r="E125" s="184">
        <f t="shared" si="2"/>
        <v>1.5242830791767674</v>
      </c>
      <c r="F125" s="99"/>
      <c r="G125" s="99"/>
      <c r="H125" s="99"/>
      <c r="I125" s="99"/>
      <c r="J125" s="99"/>
      <c r="K125" s="99"/>
      <c r="L125" s="99"/>
      <c r="M125" s="65"/>
      <c r="N125" s="65"/>
      <c r="O125" s="65"/>
      <c r="Q125" s="65"/>
      <c r="R125" s="65"/>
      <c r="S125" s="65"/>
      <c r="T125" s="65"/>
      <c r="U125" s="65"/>
      <c r="V125" s="65"/>
      <c r="W125" s="65"/>
      <c r="X125" s="65"/>
      <c r="Y125" s="65"/>
      <c r="Z125" s="65"/>
      <c r="AA125" s="65"/>
      <c r="AB125" s="65"/>
      <c r="AC125" s="65"/>
      <c r="AD125" s="65"/>
      <c r="AE125" s="65"/>
      <c r="AF125" s="65"/>
      <c r="AG125" s="65"/>
      <c r="AH125" s="65"/>
      <c r="AI125" s="65"/>
      <c r="AJ125" s="65"/>
      <c r="AK125" s="65"/>
      <c r="AL125" s="65"/>
      <c r="AM125" s="65"/>
      <c r="AN125" s="65"/>
      <c r="AO125" s="65"/>
      <c r="AP125" s="65"/>
      <c r="AQ125" s="65"/>
      <c r="AR125" s="65"/>
      <c r="AS125" s="65"/>
      <c r="AT125" s="65"/>
      <c r="AU125" s="65"/>
      <c r="AV125" s="65"/>
      <c r="AW125" s="65"/>
      <c r="AX125" s="65"/>
      <c r="AY125" s="65"/>
      <c r="AZ125" s="65"/>
      <c r="BA125" s="65"/>
      <c r="BB125" s="65"/>
      <c r="BC125" s="65"/>
      <c r="BD125" s="65"/>
      <c r="BE125" s="65"/>
      <c r="BF125" s="65"/>
      <c r="BG125" s="65"/>
      <c r="BH125" s="65"/>
      <c r="BI125" s="65"/>
      <c r="BJ125" s="65"/>
      <c r="BK125" s="65"/>
      <c r="BL125" s="65"/>
      <c r="BM125" s="65"/>
      <c r="BN125" s="65"/>
      <c r="BO125" s="65"/>
      <c r="BP125" s="65"/>
      <c r="BQ125" s="65"/>
      <c r="BR125" s="65"/>
      <c r="BS125" s="65"/>
      <c r="BT125" s="65"/>
      <c r="BU125" s="65"/>
      <c r="BV125" s="65"/>
      <c r="BW125" s="65"/>
      <c r="BX125" s="65"/>
      <c r="BY125" s="65"/>
      <c r="BZ125" s="65"/>
      <c r="CA125" s="65"/>
      <c r="CB125" s="65"/>
      <c r="CC125" s="65"/>
      <c r="CD125" s="65"/>
      <c r="CE125" s="65"/>
      <c r="CF125" s="65"/>
      <c r="CG125" s="65"/>
      <c r="CH125" s="65"/>
      <c r="CI125" s="65"/>
      <c r="CJ125" s="65"/>
      <c r="CK125" s="65"/>
      <c r="CL125" s="65"/>
      <c r="CM125" s="65"/>
      <c r="CN125" s="65"/>
      <c r="CO125" s="65"/>
      <c r="CP125" s="65"/>
      <c r="CQ125" s="65"/>
      <c r="CR125" s="65"/>
      <c r="CS125" s="65"/>
      <c r="CT125" s="65"/>
      <c r="CU125" s="65"/>
      <c r="CV125" s="65"/>
      <c r="CW125" s="65"/>
      <c r="CX125" s="65"/>
      <c r="CY125" s="65"/>
      <c r="CZ125" s="65"/>
      <c r="DA125" s="65"/>
      <c r="DB125" s="65"/>
      <c r="DC125" s="65"/>
      <c r="DD125" s="65"/>
      <c r="DE125" s="65"/>
      <c r="DF125" s="65"/>
      <c r="DG125" s="65"/>
      <c r="DH125" s="65"/>
      <c r="DI125" s="65"/>
    </row>
    <row r="126" spans="2:113">
      <c r="B126" s="181" t="s">
        <v>255</v>
      </c>
      <c r="C126" s="182" t="s">
        <v>256</v>
      </c>
      <c r="D126" s="183">
        <v>1</v>
      </c>
      <c r="E126" s="184">
        <f t="shared" si="2"/>
        <v>1.1541472945680498</v>
      </c>
      <c r="F126" s="99"/>
      <c r="G126" s="99"/>
      <c r="H126" s="99"/>
      <c r="I126" s="99"/>
      <c r="J126" s="99"/>
      <c r="K126" s="99"/>
      <c r="L126" s="99"/>
      <c r="M126" s="65"/>
      <c r="N126" s="65"/>
      <c r="O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c r="AZ126" s="65"/>
      <c r="BA126" s="65"/>
      <c r="BB126" s="65"/>
      <c r="BC126" s="65"/>
      <c r="BD126" s="65"/>
      <c r="BE126" s="65"/>
      <c r="BF126" s="65"/>
      <c r="BG126" s="65"/>
      <c r="BH126" s="65"/>
      <c r="BI126" s="65"/>
      <c r="BJ126" s="65"/>
      <c r="BK126" s="65"/>
      <c r="BL126" s="65"/>
      <c r="BM126" s="65"/>
      <c r="BN126" s="65"/>
      <c r="BO126" s="65"/>
      <c r="BP126" s="65"/>
      <c r="BQ126" s="65"/>
      <c r="BR126" s="65"/>
      <c r="BS126" s="65"/>
      <c r="BT126" s="65"/>
      <c r="BU126" s="65"/>
      <c r="BV126" s="65"/>
      <c r="BW126" s="65"/>
      <c r="BX126" s="65"/>
      <c r="BY126" s="65"/>
      <c r="BZ126" s="65"/>
      <c r="CA126" s="65"/>
      <c r="CB126" s="65"/>
      <c r="CC126" s="65"/>
      <c r="CD126" s="65"/>
      <c r="CE126" s="65"/>
      <c r="CF126" s="65"/>
      <c r="CG126" s="65"/>
      <c r="CH126" s="65"/>
      <c r="CI126" s="65"/>
      <c r="CJ126" s="65"/>
      <c r="CK126" s="65"/>
      <c r="CL126" s="65"/>
      <c r="CM126" s="65"/>
      <c r="CN126" s="65"/>
      <c r="CO126" s="65"/>
      <c r="CP126" s="65"/>
      <c r="CQ126" s="65"/>
      <c r="CR126" s="65"/>
      <c r="CS126" s="65"/>
      <c r="CT126" s="65"/>
      <c r="CU126" s="65"/>
      <c r="CV126" s="65"/>
      <c r="CW126" s="65"/>
      <c r="CX126" s="65"/>
      <c r="CY126" s="65"/>
      <c r="CZ126" s="65"/>
      <c r="DA126" s="65"/>
      <c r="DB126" s="65"/>
      <c r="DC126" s="65"/>
      <c r="DD126" s="65"/>
      <c r="DE126" s="65"/>
      <c r="DF126" s="65"/>
      <c r="DG126" s="65"/>
      <c r="DH126" s="65"/>
      <c r="DI126" s="65"/>
    </row>
    <row r="127" spans="2:113">
      <c r="B127" s="185" t="s">
        <v>257</v>
      </c>
      <c r="C127" s="186" t="s">
        <v>258</v>
      </c>
      <c r="D127" s="187">
        <f>1/(('GREET Fuel Attributes'!$C$65)/Calculated_Gasoline_LHV)</f>
        <v>1.5015192719486081</v>
      </c>
      <c r="E127" s="188">
        <f t="shared" si="2"/>
        <v>1.7329744054612739</v>
      </c>
      <c r="F127" s="99"/>
      <c r="G127" s="99"/>
      <c r="H127" s="99"/>
      <c r="I127" s="99"/>
      <c r="J127" s="99"/>
      <c r="K127" s="99"/>
      <c r="L127" s="99"/>
      <c r="M127" s="65"/>
      <c r="N127" s="65"/>
      <c r="O127" s="65"/>
      <c r="Q127" s="65"/>
      <c r="R127" s="65"/>
      <c r="S127" s="65"/>
      <c r="T127" s="65"/>
      <c r="U127" s="65"/>
      <c r="V127" s="65"/>
      <c r="W127" s="65"/>
      <c r="X127" s="65"/>
      <c r="Y127" s="65"/>
      <c r="Z127" s="65"/>
      <c r="AA127" s="65"/>
      <c r="AB127" s="65"/>
      <c r="AC127" s="65"/>
      <c r="AD127" s="65"/>
      <c r="AE127" s="65"/>
      <c r="AF127" s="65"/>
      <c r="AG127" s="65"/>
      <c r="AH127" s="65"/>
      <c r="AI127" s="65"/>
      <c r="AJ127" s="65"/>
      <c r="AK127" s="65"/>
      <c r="AL127" s="65"/>
      <c r="AM127" s="65"/>
      <c r="AN127" s="65"/>
      <c r="AO127" s="65"/>
      <c r="AP127" s="65"/>
      <c r="AQ127" s="65"/>
      <c r="AR127" s="65"/>
      <c r="AS127" s="65"/>
      <c r="AT127" s="65"/>
      <c r="AU127" s="65"/>
      <c r="AV127" s="65"/>
      <c r="AW127" s="65"/>
      <c r="AX127" s="65"/>
      <c r="AY127" s="65"/>
      <c r="AZ127" s="65"/>
      <c r="BA127" s="65"/>
      <c r="BB127" s="65"/>
      <c r="BC127" s="65"/>
      <c r="BD127" s="65"/>
      <c r="BE127" s="65"/>
      <c r="BF127" s="65"/>
      <c r="BG127" s="65"/>
      <c r="BH127" s="65"/>
      <c r="BI127" s="65"/>
      <c r="BJ127" s="65"/>
      <c r="BK127" s="65"/>
      <c r="BL127" s="65"/>
      <c r="BM127" s="65"/>
      <c r="BN127" s="65"/>
      <c r="BO127" s="65"/>
      <c r="BP127" s="65"/>
      <c r="BQ127" s="65"/>
      <c r="BR127" s="65"/>
      <c r="BS127" s="65"/>
      <c r="BT127" s="65"/>
      <c r="BU127" s="65"/>
      <c r="BV127" s="65"/>
      <c r="BW127" s="65"/>
      <c r="BX127" s="65"/>
      <c r="BY127" s="65"/>
      <c r="BZ127" s="65"/>
      <c r="CA127" s="65"/>
      <c r="CB127" s="65"/>
      <c r="CC127" s="65"/>
      <c r="CD127" s="65"/>
      <c r="CE127" s="65"/>
      <c r="CF127" s="65"/>
      <c r="CG127" s="65"/>
      <c r="CH127" s="65"/>
      <c r="CI127" s="65"/>
      <c r="CJ127" s="65"/>
      <c r="CK127" s="65"/>
      <c r="CL127" s="65"/>
      <c r="CM127" s="65"/>
      <c r="CN127" s="65"/>
      <c r="CO127" s="65"/>
      <c r="CP127" s="65"/>
      <c r="CQ127" s="65"/>
      <c r="CR127" s="65"/>
      <c r="CS127" s="65"/>
      <c r="CT127" s="65"/>
      <c r="CU127" s="65"/>
      <c r="CV127" s="65"/>
      <c r="CW127" s="65"/>
      <c r="CX127" s="65"/>
      <c r="CY127" s="65"/>
      <c r="CZ127" s="65"/>
      <c r="DA127" s="65"/>
      <c r="DB127" s="65"/>
      <c r="DC127" s="65"/>
      <c r="DD127" s="65"/>
      <c r="DE127" s="65"/>
      <c r="DF127" s="65"/>
      <c r="DG127" s="65"/>
      <c r="DH127" s="65"/>
      <c r="DI127" s="65"/>
    </row>
    <row r="128" spans="2:113">
      <c r="B128" s="99"/>
      <c r="C128" s="182"/>
      <c r="D128" s="183"/>
      <c r="E128" s="183"/>
      <c r="F128" s="99"/>
      <c r="G128" s="99"/>
      <c r="H128" s="99"/>
      <c r="I128" s="99"/>
      <c r="J128" s="99"/>
      <c r="K128" s="99"/>
      <c r="L128" s="99"/>
      <c r="M128" s="65"/>
      <c r="N128" s="65"/>
      <c r="O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c r="AZ128" s="65"/>
      <c r="BA128" s="65"/>
      <c r="BB128" s="65"/>
      <c r="BC128" s="65"/>
      <c r="BD128" s="65"/>
      <c r="BE128" s="65"/>
      <c r="BF128" s="65"/>
      <c r="BG128" s="65"/>
      <c r="BH128" s="65"/>
      <c r="BI128" s="65"/>
      <c r="BJ128" s="65"/>
      <c r="BK128" s="65"/>
      <c r="BL128" s="65"/>
      <c r="BM128" s="65"/>
      <c r="BN128" s="65"/>
      <c r="BO128" s="65"/>
      <c r="BP128" s="65"/>
      <c r="BQ128" s="65"/>
      <c r="BR128" s="65"/>
      <c r="BS128" s="65"/>
      <c r="BT128" s="65"/>
      <c r="BU128" s="65"/>
      <c r="BV128" s="65"/>
      <c r="BW128" s="65"/>
      <c r="BX128" s="65"/>
      <c r="BY128" s="65"/>
      <c r="BZ128" s="65"/>
      <c r="CA128" s="65"/>
      <c r="CB128" s="65"/>
      <c r="CC128" s="65"/>
      <c r="CD128" s="65"/>
      <c r="CE128" s="65"/>
      <c r="CF128" s="65"/>
      <c r="CG128" s="65"/>
      <c r="CH128" s="65"/>
      <c r="CI128" s="65"/>
      <c r="CJ128" s="65"/>
      <c r="CK128" s="65"/>
      <c r="CL128" s="65"/>
      <c r="CM128" s="65"/>
      <c r="CN128" s="65"/>
      <c r="CO128" s="65"/>
      <c r="CP128" s="65"/>
      <c r="CQ128" s="65"/>
      <c r="CR128" s="65"/>
      <c r="CS128" s="65"/>
      <c r="CT128" s="65"/>
      <c r="CU128" s="65"/>
      <c r="CV128" s="65"/>
      <c r="CW128" s="65"/>
      <c r="CX128" s="65"/>
      <c r="CY128" s="65"/>
      <c r="CZ128" s="65"/>
      <c r="DA128" s="65"/>
      <c r="DB128" s="65"/>
      <c r="DC128" s="65"/>
      <c r="DD128" s="65"/>
      <c r="DE128" s="65"/>
      <c r="DF128" s="65"/>
      <c r="DG128" s="65"/>
      <c r="DH128" s="65"/>
      <c r="DI128" s="65"/>
    </row>
    <row r="129" spans="2:113">
      <c r="B129" s="99"/>
      <c r="C129" s="182"/>
      <c r="D129" s="183"/>
      <c r="E129" s="183"/>
      <c r="F129" s="99"/>
      <c r="G129" s="99"/>
      <c r="H129" s="99"/>
      <c r="I129" s="99"/>
      <c r="J129" s="99"/>
      <c r="K129" s="99"/>
      <c r="L129" s="99"/>
      <c r="M129" s="65"/>
      <c r="N129" s="65"/>
      <c r="O129" s="65"/>
      <c r="Q129" s="65"/>
      <c r="R129" s="65"/>
      <c r="S129" s="65"/>
      <c r="T129" s="65"/>
      <c r="U129" s="65"/>
      <c r="V129" s="65"/>
      <c r="W129" s="65"/>
      <c r="X129" s="65"/>
      <c r="Y129" s="65"/>
      <c r="Z129" s="65"/>
      <c r="AA129" s="65"/>
      <c r="AB129" s="65"/>
      <c r="AC129" s="65"/>
      <c r="AD129" s="65"/>
      <c r="AE129" s="65"/>
      <c r="AF129" s="65"/>
      <c r="AG129" s="65"/>
      <c r="AH129" s="65"/>
      <c r="AI129" s="65"/>
      <c r="AJ129" s="65"/>
      <c r="AK129" s="65"/>
      <c r="AL129" s="65"/>
      <c r="AM129" s="65"/>
      <c r="AN129" s="65"/>
      <c r="AO129" s="65"/>
      <c r="AP129" s="65"/>
      <c r="AQ129" s="65"/>
      <c r="AR129" s="65"/>
      <c r="AS129" s="65"/>
      <c r="AT129" s="65"/>
      <c r="AU129" s="65"/>
      <c r="AV129" s="65"/>
      <c r="AW129" s="65"/>
      <c r="AX129" s="65"/>
      <c r="AY129" s="65"/>
      <c r="AZ129" s="65"/>
      <c r="BA129" s="65"/>
      <c r="BB129" s="65"/>
      <c r="BC129" s="65"/>
      <c r="BD129" s="65"/>
      <c r="BE129" s="65"/>
      <c r="BF129" s="65"/>
      <c r="BG129" s="65"/>
      <c r="BH129" s="65"/>
      <c r="BI129" s="65"/>
      <c r="BJ129" s="65"/>
      <c r="BK129" s="65"/>
      <c r="BL129" s="65"/>
      <c r="BM129" s="65"/>
      <c r="BN129" s="65"/>
      <c r="BO129" s="65"/>
      <c r="BP129" s="65"/>
      <c r="BQ129" s="65"/>
      <c r="BR129" s="65"/>
      <c r="BS129" s="65"/>
      <c r="BT129" s="65"/>
      <c r="BU129" s="65"/>
      <c r="BV129" s="65"/>
      <c r="BW129" s="65"/>
      <c r="BX129" s="65"/>
      <c r="BY129" s="65"/>
      <c r="BZ129" s="65"/>
      <c r="CA129" s="65"/>
      <c r="CB129" s="65"/>
      <c r="CC129" s="65"/>
      <c r="CD129" s="65"/>
      <c r="CE129" s="65"/>
      <c r="CF129" s="65"/>
      <c r="CG129" s="65"/>
      <c r="CH129" s="65"/>
      <c r="CI129" s="65"/>
      <c r="CJ129" s="65"/>
      <c r="CK129" s="65"/>
      <c r="CL129" s="65"/>
      <c r="CM129" s="65"/>
      <c r="CN129" s="65"/>
      <c r="CO129" s="65"/>
      <c r="CP129" s="65"/>
      <c r="CQ129" s="65"/>
      <c r="CR129" s="65"/>
      <c r="CS129" s="65"/>
      <c r="CT129" s="65"/>
      <c r="CU129" s="65"/>
      <c r="CV129" s="65"/>
      <c r="CW129" s="65"/>
      <c r="CX129" s="65"/>
      <c r="CY129" s="65"/>
      <c r="CZ129" s="65"/>
      <c r="DA129" s="65"/>
      <c r="DB129" s="65"/>
      <c r="DC129" s="65"/>
      <c r="DD129" s="65"/>
      <c r="DE129" s="65"/>
      <c r="DF129" s="65"/>
      <c r="DG129" s="65"/>
      <c r="DH129" s="65"/>
      <c r="DI129" s="65"/>
    </row>
    <row r="130" spans="2:113">
      <c r="B130" s="69" t="s">
        <v>259</v>
      </c>
      <c r="C130" s="71"/>
      <c r="D130" s="71"/>
      <c r="E130" s="65"/>
      <c r="F130" s="65"/>
      <c r="G130" s="65"/>
      <c r="H130" s="65"/>
      <c r="I130" s="65"/>
      <c r="J130" s="65"/>
      <c r="K130" s="65"/>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c r="CA130" s="65"/>
      <c r="CB130" s="65"/>
      <c r="CC130" s="65"/>
      <c r="CD130" s="65"/>
      <c r="CE130" s="65"/>
      <c r="CF130" s="65"/>
      <c r="CG130" s="65"/>
      <c r="CH130" s="65"/>
      <c r="CI130" s="65"/>
      <c r="CJ130" s="65"/>
      <c r="CK130" s="65"/>
      <c r="CL130" s="65"/>
      <c r="CM130" s="65"/>
      <c r="CN130" s="65"/>
      <c r="CO130" s="65"/>
      <c r="CP130" s="65"/>
      <c r="CQ130" s="65"/>
      <c r="CR130" s="65"/>
      <c r="CS130" s="65"/>
      <c r="CT130" s="65"/>
      <c r="CU130" s="65"/>
      <c r="CV130" s="65"/>
      <c r="CW130" s="65"/>
      <c r="CX130" s="65"/>
      <c r="CY130" s="65"/>
      <c r="CZ130" s="65"/>
      <c r="DA130" s="65"/>
      <c r="DB130" s="65"/>
      <c r="DC130" s="65"/>
      <c r="DD130" s="65"/>
      <c r="DE130" s="65"/>
      <c r="DF130" s="65"/>
      <c r="DG130" s="65"/>
      <c r="DH130" s="65"/>
      <c r="DI130" s="65"/>
    </row>
    <row r="131" spans="2:113" ht="15" customHeight="1">
      <c r="B131" s="189"/>
      <c r="C131" s="1583" t="s">
        <v>260</v>
      </c>
      <c r="D131" s="1584"/>
      <c r="E131" s="1584"/>
      <c r="F131" s="1584"/>
      <c r="G131" s="1583" t="s">
        <v>261</v>
      </c>
      <c r="H131" s="1584"/>
      <c r="I131" s="1584"/>
      <c r="J131" s="1585"/>
      <c r="K131" s="1586" t="s">
        <v>262</v>
      </c>
      <c r="L131" s="1586"/>
      <c r="M131" s="1586"/>
      <c r="N131" s="1586"/>
      <c r="O131" s="1583" t="s">
        <v>263</v>
      </c>
      <c r="P131" s="1584"/>
      <c r="Q131" s="1584"/>
      <c r="R131" s="1585"/>
      <c r="S131" s="1583" t="s">
        <v>264</v>
      </c>
      <c r="T131" s="1584"/>
      <c r="U131" s="1584"/>
      <c r="V131" s="1585"/>
      <c r="W131" s="1583" t="s">
        <v>265</v>
      </c>
      <c r="X131" s="1584"/>
      <c r="Y131" s="1584"/>
      <c r="Z131" s="1585"/>
      <c r="AA131" s="1579" t="s">
        <v>266</v>
      </c>
      <c r="AB131" s="1579"/>
      <c r="AC131" s="1579"/>
      <c r="AD131" s="1579"/>
      <c r="AE131" s="1591" t="s">
        <v>267</v>
      </c>
      <c r="AF131" s="1592"/>
      <c r="AG131" s="1592"/>
      <c r="AH131" s="1593"/>
      <c r="AI131" s="1575" t="s">
        <v>268</v>
      </c>
      <c r="AJ131" s="1576"/>
      <c r="AK131" s="1576"/>
      <c r="AL131" s="1577"/>
      <c r="AM131" s="1576" t="s">
        <v>269</v>
      </c>
      <c r="AN131" s="1576"/>
      <c r="AO131" s="1576"/>
      <c r="AP131" s="1577"/>
      <c r="AQ131" s="1578" t="s">
        <v>270</v>
      </c>
      <c r="AR131" s="1579"/>
      <c r="AS131" s="1579"/>
      <c r="AT131" s="1580"/>
      <c r="AU131" s="65"/>
      <c r="AV131" s="65"/>
      <c r="AW131" s="65"/>
      <c r="AX131" s="65"/>
      <c r="AY131" s="65"/>
      <c r="AZ131" s="65"/>
      <c r="BA131" s="65"/>
      <c r="BB131" s="65"/>
      <c r="BC131" s="65"/>
      <c r="BD131" s="65"/>
      <c r="BE131" s="65"/>
      <c r="BF131" s="65"/>
      <c r="BG131" s="65"/>
      <c r="BH131" s="65"/>
      <c r="BI131" s="65"/>
      <c r="BJ131" s="65"/>
      <c r="BK131" s="65"/>
      <c r="BL131" s="65"/>
      <c r="BM131" s="65"/>
      <c r="BN131" s="65"/>
      <c r="BO131" s="65"/>
      <c r="BP131" s="65"/>
      <c r="BQ131" s="65"/>
      <c r="BR131" s="65"/>
      <c r="BS131" s="65"/>
      <c r="BT131" s="65"/>
      <c r="BU131" s="65"/>
      <c r="BV131" s="65"/>
      <c r="BW131" s="65"/>
      <c r="BX131" s="65"/>
      <c r="BY131" s="65"/>
      <c r="BZ131" s="65"/>
      <c r="CA131" s="65"/>
      <c r="CB131" s="65"/>
      <c r="CC131" s="65"/>
      <c r="CD131" s="65"/>
      <c r="CE131" s="65"/>
      <c r="CF131" s="65"/>
      <c r="CG131" s="65"/>
      <c r="CH131" s="65"/>
      <c r="CI131" s="65"/>
      <c r="CJ131" s="65"/>
      <c r="CK131" s="65"/>
      <c r="CL131" s="65"/>
      <c r="CM131" s="65"/>
      <c r="CN131" s="65"/>
      <c r="CO131" s="65"/>
      <c r="CP131" s="65"/>
      <c r="CQ131" s="65"/>
      <c r="CR131" s="65"/>
      <c r="CS131" s="65"/>
      <c r="CT131" s="65"/>
      <c r="CU131" s="65"/>
      <c r="CV131" s="65"/>
      <c r="CW131" s="65"/>
      <c r="CX131" s="65"/>
      <c r="CY131" s="65"/>
      <c r="CZ131" s="65"/>
      <c r="DA131" s="65"/>
      <c r="DB131" s="65"/>
      <c r="DC131" s="65"/>
      <c r="DD131" s="65"/>
      <c r="DE131" s="65"/>
      <c r="DF131" s="65"/>
      <c r="DG131" s="65"/>
      <c r="DH131" s="65"/>
      <c r="DI131" s="65"/>
    </row>
    <row r="132" spans="2:113">
      <c r="B132" s="190"/>
      <c r="C132" s="1581" t="s">
        <v>271</v>
      </c>
      <c r="D132" s="1582"/>
      <c r="E132" s="191" t="s">
        <v>272</v>
      </c>
      <c r="F132" s="192"/>
      <c r="G132" s="1581" t="s">
        <v>271</v>
      </c>
      <c r="H132" s="1582"/>
      <c r="I132" s="193"/>
      <c r="J132" s="194" t="s">
        <v>272</v>
      </c>
      <c r="K132" s="195" t="s">
        <v>271</v>
      </c>
      <c r="L132" s="196"/>
      <c r="M132" s="197" t="s">
        <v>272</v>
      </c>
      <c r="N132" s="195"/>
      <c r="O132" s="1581" t="s">
        <v>273</v>
      </c>
      <c r="P132" s="1582"/>
      <c r="Q132" s="193"/>
      <c r="R132" s="194" t="s">
        <v>272</v>
      </c>
      <c r="S132" s="198"/>
      <c r="T132" s="194" t="s">
        <v>271</v>
      </c>
      <c r="U132" s="192"/>
      <c r="V132" s="192" t="s">
        <v>272</v>
      </c>
      <c r="W132" s="191"/>
      <c r="X132" s="194" t="s">
        <v>271</v>
      </c>
      <c r="Y132" s="192"/>
      <c r="Z132" s="194" t="s">
        <v>272</v>
      </c>
      <c r="AA132" s="192"/>
      <c r="AB132" s="194" t="s">
        <v>271</v>
      </c>
      <c r="AC132" s="192"/>
      <c r="AD132" s="192" t="s">
        <v>272</v>
      </c>
      <c r="AE132" s="191"/>
      <c r="AF132" s="194" t="s">
        <v>271</v>
      </c>
      <c r="AG132" s="192"/>
      <c r="AH132" s="194" t="s">
        <v>272</v>
      </c>
      <c r="AI132" s="191"/>
      <c r="AJ132" s="194" t="s">
        <v>271</v>
      </c>
      <c r="AK132" s="192"/>
      <c r="AL132" s="194" t="s">
        <v>272</v>
      </c>
      <c r="AM132" s="192"/>
      <c r="AN132" s="194" t="s">
        <v>271</v>
      </c>
      <c r="AO132" s="192"/>
      <c r="AP132" s="194" t="s">
        <v>272</v>
      </c>
      <c r="AQ132" s="191"/>
      <c r="AR132" s="194" t="s">
        <v>271</v>
      </c>
      <c r="AS132" s="192"/>
      <c r="AT132" s="194" t="s">
        <v>272</v>
      </c>
      <c r="AU132" s="65"/>
      <c r="AV132" s="65"/>
      <c r="AW132" s="65"/>
      <c r="AX132" s="65"/>
      <c r="AY132" s="65"/>
      <c r="AZ132" s="65"/>
      <c r="BA132" s="65"/>
      <c r="BB132" s="65"/>
      <c r="BC132" s="65"/>
      <c r="BD132" s="65"/>
      <c r="BE132" s="65"/>
      <c r="BF132" s="65"/>
      <c r="BG132" s="65"/>
      <c r="BH132" s="65"/>
      <c r="BI132" s="65"/>
      <c r="BJ132" s="65"/>
      <c r="BK132" s="65"/>
      <c r="BL132" s="65"/>
      <c r="BM132" s="65"/>
      <c r="BN132" s="65"/>
      <c r="BO132" s="65"/>
      <c r="BP132" s="65"/>
      <c r="BQ132" s="65"/>
      <c r="BR132" s="65"/>
      <c r="BS132" s="65"/>
      <c r="BT132" s="65"/>
      <c r="BU132" s="65"/>
      <c r="BV132" s="65"/>
      <c r="BW132" s="65"/>
      <c r="BX132" s="65"/>
      <c r="BY132" s="65"/>
      <c r="BZ132" s="65"/>
      <c r="CA132" s="65"/>
      <c r="CB132" s="65"/>
      <c r="CC132" s="65"/>
      <c r="CD132" s="65"/>
      <c r="CE132" s="65"/>
      <c r="CF132" s="65"/>
      <c r="CG132" s="65"/>
      <c r="CH132" s="65"/>
      <c r="CI132" s="65"/>
      <c r="CJ132" s="65"/>
      <c r="CK132" s="65"/>
      <c r="CL132" s="65"/>
      <c r="CM132" s="65"/>
      <c r="CN132" s="65"/>
      <c r="CO132" s="65"/>
      <c r="CP132" s="65"/>
      <c r="CQ132" s="65"/>
      <c r="CR132" s="65"/>
      <c r="CS132" s="65"/>
      <c r="CT132" s="65"/>
      <c r="CU132" s="65"/>
      <c r="CV132" s="65"/>
      <c r="CW132" s="65"/>
      <c r="CX132" s="65"/>
      <c r="CY132" s="65"/>
      <c r="CZ132" s="65"/>
      <c r="DA132" s="65"/>
      <c r="DB132" s="65"/>
      <c r="DC132" s="65"/>
      <c r="DD132" s="65"/>
      <c r="DE132" s="65"/>
      <c r="DF132" s="65"/>
      <c r="DG132" s="65"/>
      <c r="DH132" s="65"/>
      <c r="DI132" s="65"/>
    </row>
    <row r="133" spans="2:113">
      <c r="B133" s="199"/>
      <c r="C133" s="200" t="s">
        <v>274</v>
      </c>
      <c r="D133" s="201" t="s">
        <v>205</v>
      </c>
      <c r="E133" s="202" t="s">
        <v>274</v>
      </c>
      <c r="F133" s="202" t="s">
        <v>205</v>
      </c>
      <c r="G133" s="200" t="s">
        <v>274</v>
      </c>
      <c r="H133" s="201" t="s">
        <v>205</v>
      </c>
      <c r="I133" s="202" t="s">
        <v>274</v>
      </c>
      <c r="J133" s="201" t="s">
        <v>205</v>
      </c>
      <c r="K133" s="203" t="s">
        <v>274</v>
      </c>
      <c r="L133" s="204" t="s">
        <v>205</v>
      </c>
      <c r="M133" s="203" t="s">
        <v>274</v>
      </c>
      <c r="N133" s="203" t="s">
        <v>205</v>
      </c>
      <c r="O133" s="200" t="s">
        <v>274</v>
      </c>
      <c r="P133" s="201" t="s">
        <v>205</v>
      </c>
      <c r="Q133" s="205" t="s">
        <v>274</v>
      </c>
      <c r="R133" s="201" t="s">
        <v>205</v>
      </c>
      <c r="S133" s="202" t="s">
        <v>274</v>
      </c>
      <c r="T133" s="201" t="s">
        <v>205</v>
      </c>
      <c r="U133" s="205" t="s">
        <v>274</v>
      </c>
      <c r="V133" s="202" t="s">
        <v>205</v>
      </c>
      <c r="W133" s="200" t="s">
        <v>274</v>
      </c>
      <c r="X133" s="201" t="s">
        <v>205</v>
      </c>
      <c r="Y133" s="202" t="s">
        <v>274</v>
      </c>
      <c r="Z133" s="201" t="s">
        <v>205</v>
      </c>
      <c r="AA133" s="202" t="s">
        <v>274</v>
      </c>
      <c r="AB133" s="201" t="s">
        <v>205</v>
      </c>
      <c r="AC133" s="202" t="s">
        <v>274</v>
      </c>
      <c r="AD133" s="202" t="s">
        <v>205</v>
      </c>
      <c r="AE133" s="200" t="s">
        <v>274</v>
      </c>
      <c r="AF133" s="201" t="s">
        <v>205</v>
      </c>
      <c r="AG133" s="202" t="s">
        <v>274</v>
      </c>
      <c r="AH133" s="201" t="s">
        <v>205</v>
      </c>
      <c r="AI133" s="200" t="s">
        <v>274</v>
      </c>
      <c r="AJ133" s="201" t="s">
        <v>205</v>
      </c>
      <c r="AK133" s="202" t="s">
        <v>274</v>
      </c>
      <c r="AL133" s="201" t="s">
        <v>205</v>
      </c>
      <c r="AM133" s="202" t="s">
        <v>274</v>
      </c>
      <c r="AN133" s="201" t="s">
        <v>205</v>
      </c>
      <c r="AO133" s="202" t="s">
        <v>274</v>
      </c>
      <c r="AP133" s="201" t="s">
        <v>205</v>
      </c>
      <c r="AQ133" s="200" t="s">
        <v>274</v>
      </c>
      <c r="AR133" s="201" t="s">
        <v>205</v>
      </c>
      <c r="AS133" s="202" t="s">
        <v>274</v>
      </c>
      <c r="AT133" s="201" t="s">
        <v>205</v>
      </c>
      <c r="AU133" s="65"/>
      <c r="AV133" s="65"/>
      <c r="AW133" s="65"/>
      <c r="AX133" s="65"/>
      <c r="AY133" s="65"/>
      <c r="AZ133" s="65"/>
      <c r="BA133" s="65"/>
      <c r="BB133" s="65"/>
      <c r="BC133" s="65"/>
      <c r="BD133" s="65"/>
      <c r="BE133" s="65"/>
      <c r="BF133" s="65"/>
      <c r="BG133" s="65"/>
      <c r="BH133" s="65"/>
      <c r="BI133" s="65"/>
      <c r="BJ133" s="65"/>
      <c r="BK133" s="65"/>
      <c r="BL133" s="65"/>
      <c r="BM133" s="65"/>
      <c r="BN133" s="65"/>
      <c r="BO133" s="65"/>
      <c r="BP133" s="65"/>
      <c r="BQ133" s="65"/>
      <c r="BR133" s="65"/>
      <c r="BS133" s="65"/>
      <c r="BT133" s="65"/>
      <c r="BU133" s="65"/>
      <c r="BV133" s="65"/>
      <c r="BW133" s="65"/>
      <c r="BX133" s="65"/>
      <c r="BY133" s="65"/>
      <c r="BZ133" s="65"/>
      <c r="CA133" s="65"/>
      <c r="CB133" s="65"/>
      <c r="CC133" s="65"/>
      <c r="CD133" s="65"/>
      <c r="CE133" s="65"/>
      <c r="CF133" s="65"/>
      <c r="CG133" s="65"/>
      <c r="CH133" s="65"/>
      <c r="CI133" s="65"/>
      <c r="CJ133" s="65"/>
      <c r="CK133" s="65"/>
      <c r="CL133" s="65"/>
      <c r="CM133" s="65"/>
      <c r="CN133" s="65"/>
      <c r="CO133" s="65"/>
      <c r="CP133" s="65"/>
      <c r="CQ133" s="65"/>
      <c r="CR133" s="65"/>
      <c r="CS133" s="65"/>
      <c r="CT133" s="65"/>
      <c r="CU133" s="65"/>
      <c r="CV133" s="65"/>
      <c r="CW133" s="65"/>
      <c r="CX133" s="65"/>
      <c r="CY133" s="65"/>
      <c r="CZ133" s="65"/>
      <c r="DA133" s="65"/>
      <c r="DB133" s="65"/>
      <c r="DC133" s="65"/>
      <c r="DD133" s="65"/>
      <c r="DE133" s="65"/>
      <c r="DF133" s="65"/>
      <c r="DG133" s="65"/>
      <c r="DH133" s="65"/>
      <c r="DI133" s="65"/>
    </row>
    <row r="134" spans="2:113">
      <c r="B134" s="206" t="s">
        <v>275</v>
      </c>
      <c r="C134" s="207">
        <v>97884.142262217152</v>
      </c>
      <c r="D134" s="208">
        <v>2243290.9502195981</v>
      </c>
      <c r="E134" s="209"/>
      <c r="F134" s="210"/>
      <c r="G134" s="211">
        <f t="shared" ref="G134:J145" si="3">$C$1756*O134+$C$1757*S134+$C$1758*W134+$C$1759*AE134+$C$1760*AA134+$C$1761*AQ134</f>
        <v>97884.142262217123</v>
      </c>
      <c r="H134" s="212">
        <f t="shared" si="3"/>
        <v>2243290.9502195981</v>
      </c>
      <c r="I134" s="209"/>
      <c r="J134" s="208"/>
      <c r="K134" s="213">
        <f t="shared" ref="K134:L138" si="4">$C$1774*O134+$C$1775*S134+$C$1776*W134+$C$1777*AE134+$C$1778*AA134+$C$1779*AQ134</f>
        <v>0</v>
      </c>
      <c r="L134" s="214">
        <f t="shared" si="4"/>
        <v>0</v>
      </c>
      <c r="M134" s="215"/>
      <c r="N134" s="213"/>
      <c r="O134" s="207">
        <v>500768.3860932141</v>
      </c>
      <c r="P134" s="208">
        <v>3353863.3811657587</v>
      </c>
      <c r="Q134" s="209"/>
      <c r="R134" s="208"/>
      <c r="S134" s="210">
        <v>213393.13457291515</v>
      </c>
      <c r="T134" s="208">
        <v>2331611.1799713336</v>
      </c>
      <c r="U134" s="209"/>
      <c r="V134" s="210"/>
      <c r="W134" s="207">
        <v>69485.818741702999</v>
      </c>
      <c r="X134" s="208">
        <v>3082177.646247535</v>
      </c>
      <c r="Y134" s="209"/>
      <c r="Z134" s="208"/>
      <c r="AA134" s="210">
        <v>166343.45477322279</v>
      </c>
      <c r="AB134" s="208">
        <v>4883647.1076600002</v>
      </c>
      <c r="AC134" s="210"/>
      <c r="AD134" s="210"/>
      <c r="AE134" s="207">
        <v>50950.44304714496</v>
      </c>
      <c r="AF134" s="208">
        <v>1069518.7165775402</v>
      </c>
      <c r="AG134" s="209"/>
      <c r="AH134" s="208"/>
      <c r="AI134" s="207">
        <v>50950.44304714496</v>
      </c>
      <c r="AJ134" s="208">
        <v>1069518.7165775402</v>
      </c>
      <c r="AK134" s="209"/>
      <c r="AL134" s="208"/>
      <c r="AM134" s="210">
        <v>48598.994165925513</v>
      </c>
      <c r="AN134" s="208">
        <v>1000000</v>
      </c>
      <c r="AO134" s="210"/>
      <c r="AP134" s="208"/>
      <c r="AQ134" s="207">
        <v>0</v>
      </c>
      <c r="AR134" s="208">
        <v>1069518.7165775402</v>
      </c>
      <c r="AS134" s="209"/>
      <c r="AT134" s="208"/>
      <c r="AU134" s="65"/>
      <c r="AV134" s="65"/>
      <c r="AW134" s="65"/>
      <c r="AX134" s="65"/>
      <c r="AY134" s="65"/>
      <c r="AZ134" s="65"/>
      <c r="BA134" s="65"/>
      <c r="BB134" s="65"/>
      <c r="BC134" s="65"/>
      <c r="BD134" s="65"/>
      <c r="BE134" s="65"/>
      <c r="BF134" s="65"/>
      <c r="BG134" s="65"/>
      <c r="BH134" s="65"/>
      <c r="BI134" s="65"/>
      <c r="BJ134" s="65"/>
      <c r="BK134" s="65"/>
      <c r="BL134" s="65"/>
      <c r="BM134" s="65"/>
      <c r="BN134" s="65"/>
      <c r="BO134" s="65"/>
      <c r="BP134" s="65"/>
      <c r="BQ134" s="65"/>
      <c r="BR134" s="65"/>
      <c r="BS134" s="65"/>
      <c r="BT134" s="65"/>
      <c r="BU134" s="65"/>
      <c r="BV134" s="65"/>
      <c r="BW134" s="65"/>
      <c r="BX134" s="65"/>
      <c r="BY134" s="65"/>
      <c r="BZ134" s="65"/>
      <c r="CA134" s="65"/>
      <c r="CB134" s="65"/>
      <c r="CC134" s="65"/>
      <c r="CD134" s="65"/>
      <c r="CE134" s="65"/>
      <c r="CF134" s="65"/>
      <c r="CG134" s="65"/>
      <c r="CH134" s="65"/>
      <c r="CI134" s="65"/>
      <c r="CJ134" s="65"/>
      <c r="CK134" s="65"/>
      <c r="CL134" s="65"/>
      <c r="CM134" s="65"/>
      <c r="CN134" s="65"/>
      <c r="CO134" s="65"/>
      <c r="CP134" s="65"/>
      <c r="CQ134" s="65"/>
      <c r="CR134" s="65"/>
      <c r="CS134" s="65"/>
      <c r="CT134" s="65"/>
      <c r="CU134" s="65"/>
      <c r="CV134" s="65"/>
      <c r="CW134" s="65"/>
      <c r="CX134" s="65"/>
      <c r="CY134" s="65"/>
      <c r="CZ134" s="65"/>
      <c r="DA134" s="65"/>
      <c r="DB134" s="65"/>
      <c r="DC134" s="65"/>
      <c r="DD134" s="65"/>
      <c r="DE134" s="65"/>
      <c r="DF134" s="65"/>
      <c r="DG134" s="65"/>
      <c r="DH134" s="65"/>
      <c r="DI134" s="65"/>
    </row>
    <row r="135" spans="2:113">
      <c r="B135" s="206" t="s">
        <v>276</v>
      </c>
      <c r="C135" s="207">
        <v>95285.54091643721</v>
      </c>
      <c r="D135" s="208">
        <v>1884226.8877003281</v>
      </c>
      <c r="E135" s="209"/>
      <c r="F135" s="209"/>
      <c r="G135" s="211">
        <f t="shared" si="3"/>
        <v>95285.54091643721</v>
      </c>
      <c r="H135" s="212">
        <f t="shared" si="3"/>
        <v>1884226.8877003281</v>
      </c>
      <c r="I135" s="209"/>
      <c r="J135" s="216"/>
      <c r="K135" s="213">
        <f t="shared" si="4"/>
        <v>0</v>
      </c>
      <c r="L135" s="214">
        <f t="shared" si="4"/>
        <v>0</v>
      </c>
      <c r="M135" s="215"/>
      <c r="N135" s="215"/>
      <c r="O135" s="207">
        <v>485769.0685176421</v>
      </c>
      <c r="P135" s="208">
        <v>3353863.3811657587</v>
      </c>
      <c r="Q135" s="209"/>
      <c r="R135" s="216"/>
      <c r="S135" s="210">
        <v>212123.00735415285</v>
      </c>
      <c r="T135" s="208">
        <v>2331611.1799713336</v>
      </c>
      <c r="U135" s="209"/>
      <c r="V135" s="209"/>
      <c r="W135" s="207">
        <v>67356.751348049642</v>
      </c>
      <c r="X135" s="208">
        <v>3082177.646247535</v>
      </c>
      <c r="Y135" s="209"/>
      <c r="Z135" s="216"/>
      <c r="AA135" s="210">
        <v>165610.16827577088</v>
      </c>
      <c r="AB135" s="208">
        <v>0</v>
      </c>
      <c r="AC135" s="209"/>
      <c r="AD135" s="209"/>
      <c r="AE135" s="207">
        <v>44390.804080728958</v>
      </c>
      <c r="AF135" s="208">
        <v>0</v>
      </c>
      <c r="AG135" s="209"/>
      <c r="AH135" s="216"/>
      <c r="AI135" s="207">
        <v>44390.804080728958</v>
      </c>
      <c r="AJ135" s="208">
        <v>0</v>
      </c>
      <c r="AK135" s="209"/>
      <c r="AL135" s="216"/>
      <c r="AM135" s="210">
        <v>42179.215835522533</v>
      </c>
      <c r="AN135" s="208">
        <v>0</v>
      </c>
      <c r="AO135" s="209"/>
      <c r="AP135" s="216"/>
      <c r="AQ135" s="207">
        <v>0</v>
      </c>
      <c r="AR135" s="208">
        <v>0</v>
      </c>
      <c r="AS135" s="209"/>
      <c r="AT135" s="216"/>
      <c r="AU135" s="65"/>
      <c r="AV135" s="65"/>
      <c r="AW135" s="65"/>
      <c r="AX135" s="65"/>
      <c r="AY135" s="65"/>
      <c r="AZ135" s="65"/>
      <c r="BA135" s="65"/>
      <c r="BB135" s="65"/>
      <c r="BC135" s="65"/>
      <c r="BD135" s="65"/>
      <c r="BE135" s="65"/>
      <c r="BF135" s="65"/>
      <c r="BG135" s="65"/>
      <c r="BH135" s="65"/>
      <c r="BI135" s="65"/>
      <c r="BJ135" s="65"/>
      <c r="BK135" s="65"/>
      <c r="BL135" s="65"/>
      <c r="BM135" s="65"/>
      <c r="BN135" s="65"/>
      <c r="BO135" s="65"/>
      <c r="BP135" s="65"/>
      <c r="BQ135" s="65"/>
      <c r="BR135" s="65"/>
      <c r="BS135" s="65"/>
      <c r="BT135" s="65"/>
      <c r="BU135" s="65"/>
      <c r="BV135" s="65"/>
      <c r="BW135" s="65"/>
      <c r="BX135" s="65"/>
      <c r="BY135" s="65"/>
      <c r="BZ135" s="65"/>
      <c r="CA135" s="65"/>
      <c r="CB135" s="65"/>
      <c r="CC135" s="65"/>
      <c r="CD135" s="65"/>
      <c r="CE135" s="65"/>
      <c r="CF135" s="65"/>
      <c r="CG135" s="65"/>
      <c r="CH135" s="65"/>
      <c r="CI135" s="65"/>
      <c r="CJ135" s="65"/>
      <c r="CK135" s="65"/>
      <c r="CL135" s="65"/>
      <c r="CM135" s="65"/>
      <c r="CN135" s="65"/>
      <c r="CO135" s="65"/>
      <c r="CP135" s="65"/>
      <c r="CQ135" s="65"/>
      <c r="CR135" s="65"/>
      <c r="CS135" s="65"/>
      <c r="CT135" s="65"/>
      <c r="CU135" s="65"/>
      <c r="CV135" s="65"/>
      <c r="CW135" s="65"/>
      <c r="CX135" s="65"/>
      <c r="CY135" s="65"/>
      <c r="CZ135" s="65"/>
      <c r="DA135" s="65"/>
      <c r="DB135" s="65"/>
      <c r="DC135" s="65"/>
      <c r="DD135" s="65"/>
      <c r="DE135" s="65"/>
      <c r="DF135" s="65"/>
      <c r="DG135" s="65"/>
      <c r="DH135" s="65"/>
      <c r="DI135" s="65"/>
    </row>
    <row r="136" spans="2:113">
      <c r="B136" s="206" t="s">
        <v>277</v>
      </c>
      <c r="C136" s="207">
        <v>9852.2008660849788</v>
      </c>
      <c r="D136" s="208">
        <v>1252556.6870085059</v>
      </c>
      <c r="E136" s="209"/>
      <c r="F136" s="209"/>
      <c r="G136" s="211">
        <f t="shared" si="3"/>
        <v>9852.200866084977</v>
      </c>
      <c r="H136" s="212">
        <f t="shared" si="3"/>
        <v>1252556.6870085059</v>
      </c>
      <c r="I136" s="209"/>
      <c r="J136" s="216"/>
      <c r="K136" s="213">
        <f t="shared" si="4"/>
        <v>0</v>
      </c>
      <c r="L136" s="214">
        <f t="shared" si="4"/>
        <v>0</v>
      </c>
      <c r="M136" s="215"/>
      <c r="N136" s="215"/>
      <c r="O136" s="207">
        <v>51307.508622788882</v>
      </c>
      <c r="P136" s="208">
        <v>0</v>
      </c>
      <c r="Q136" s="209"/>
      <c r="R136" s="216"/>
      <c r="S136" s="210">
        <v>4430.692816834111</v>
      </c>
      <c r="T136" s="208">
        <v>0</v>
      </c>
      <c r="U136" s="209"/>
      <c r="V136" s="209"/>
      <c r="W136" s="207">
        <v>9373.8892316704078</v>
      </c>
      <c r="X136" s="208">
        <v>3082177.646247535</v>
      </c>
      <c r="Y136" s="209"/>
      <c r="Z136" s="216"/>
      <c r="AA136" s="210">
        <v>2515.9298655799776</v>
      </c>
      <c r="AB136" s="208">
        <v>0</v>
      </c>
      <c r="AC136" s="209"/>
      <c r="AD136" s="209"/>
      <c r="AE136" s="207">
        <v>22896.024458686243</v>
      </c>
      <c r="AF136" s="208">
        <v>0</v>
      </c>
      <c r="AG136" s="209"/>
      <c r="AH136" s="216"/>
      <c r="AI136" s="207">
        <v>22896.024458686243</v>
      </c>
      <c r="AJ136" s="208">
        <v>0</v>
      </c>
      <c r="AK136" s="209"/>
      <c r="AL136" s="216"/>
      <c r="AM136" s="210">
        <v>22408.019194146145</v>
      </c>
      <c r="AN136" s="208">
        <v>0</v>
      </c>
      <c r="AO136" s="209"/>
      <c r="AP136" s="216"/>
      <c r="AQ136" s="207">
        <v>0</v>
      </c>
      <c r="AR136" s="208">
        <v>0</v>
      </c>
      <c r="AS136" s="209"/>
      <c r="AT136" s="216"/>
      <c r="AU136" s="65"/>
      <c r="AV136" s="65"/>
      <c r="AW136" s="65"/>
      <c r="AX136" s="65"/>
      <c r="AY136" s="65"/>
      <c r="AZ136" s="65"/>
      <c r="BA136" s="65"/>
      <c r="BB136" s="65"/>
      <c r="BC136" s="65"/>
      <c r="BD136" s="65"/>
      <c r="BE136" s="65"/>
      <c r="BF136" s="65"/>
      <c r="BG136" s="65"/>
      <c r="BH136" s="65"/>
      <c r="BI136" s="65"/>
      <c r="BJ136" s="65"/>
      <c r="BK136" s="65"/>
      <c r="BL136" s="65"/>
      <c r="BM136" s="65"/>
      <c r="BN136" s="65"/>
      <c r="BO136" s="65"/>
      <c r="BP136" s="65"/>
      <c r="BQ136" s="65"/>
      <c r="BR136" s="65"/>
      <c r="BS136" s="65"/>
      <c r="BT136" s="65"/>
      <c r="BU136" s="65"/>
      <c r="BV136" s="65"/>
      <c r="BW136" s="65"/>
      <c r="BX136" s="65"/>
      <c r="BY136" s="65"/>
      <c r="BZ136" s="65"/>
      <c r="CA136" s="65"/>
      <c r="CB136" s="65"/>
      <c r="CC136" s="65"/>
      <c r="CD136" s="65"/>
      <c r="CE136" s="65"/>
      <c r="CF136" s="65"/>
      <c r="CG136" s="65"/>
      <c r="CH136" s="65"/>
      <c r="CI136" s="65"/>
      <c r="CJ136" s="65"/>
      <c r="CK136" s="65"/>
      <c r="CL136" s="65"/>
      <c r="CM136" s="65"/>
      <c r="CN136" s="65"/>
      <c r="CO136" s="65"/>
      <c r="CP136" s="65"/>
      <c r="CQ136" s="65"/>
      <c r="CR136" s="65"/>
      <c r="CS136" s="65"/>
      <c r="CT136" s="65"/>
      <c r="CU136" s="65"/>
      <c r="CV136" s="65"/>
      <c r="CW136" s="65"/>
      <c r="CX136" s="65"/>
      <c r="CY136" s="65"/>
      <c r="CZ136" s="65"/>
      <c r="DA136" s="65"/>
      <c r="DB136" s="65"/>
      <c r="DC136" s="65"/>
      <c r="DD136" s="65"/>
      <c r="DE136" s="65"/>
      <c r="DF136" s="65"/>
      <c r="DG136" s="65"/>
      <c r="DH136" s="65"/>
      <c r="DI136" s="65"/>
    </row>
    <row r="137" spans="2:113">
      <c r="B137" s="206" t="s">
        <v>278</v>
      </c>
      <c r="C137" s="207">
        <v>61130.238388475045</v>
      </c>
      <c r="D137" s="208">
        <v>610323.36501345318</v>
      </c>
      <c r="E137" s="209"/>
      <c r="F137" s="209"/>
      <c r="G137" s="211">
        <f t="shared" si="3"/>
        <v>61130.238388475045</v>
      </c>
      <c r="H137" s="212">
        <f t="shared" si="3"/>
        <v>610323.36501345306</v>
      </c>
      <c r="I137" s="209"/>
      <c r="J137" s="216"/>
      <c r="K137" s="213">
        <f t="shared" si="4"/>
        <v>0</v>
      </c>
      <c r="L137" s="214">
        <f t="shared" si="4"/>
        <v>0</v>
      </c>
      <c r="M137" s="215"/>
      <c r="N137" s="215"/>
      <c r="O137" s="207">
        <v>275380.27910084429</v>
      </c>
      <c r="P137" s="208">
        <v>0</v>
      </c>
      <c r="Q137" s="209"/>
      <c r="R137" s="216"/>
      <c r="S137" s="210">
        <v>198287.01557934715</v>
      </c>
      <c r="T137" s="208">
        <v>2331611.1799713336</v>
      </c>
      <c r="U137" s="209"/>
      <c r="V137" s="209"/>
      <c r="W137" s="207">
        <v>9556.4153495996725</v>
      </c>
      <c r="X137" s="208">
        <v>0</v>
      </c>
      <c r="Y137" s="209"/>
      <c r="Z137" s="216"/>
      <c r="AA137" s="210">
        <v>17787.630273520102</v>
      </c>
      <c r="AB137" s="208">
        <v>0</v>
      </c>
      <c r="AC137" s="209"/>
      <c r="AD137" s="209"/>
      <c r="AE137" s="207">
        <v>17812.394013448327</v>
      </c>
      <c r="AF137" s="208">
        <v>0</v>
      </c>
      <c r="AG137" s="209"/>
      <c r="AH137" s="216"/>
      <c r="AI137" s="207">
        <v>17812.394013448327</v>
      </c>
      <c r="AJ137" s="208">
        <v>0</v>
      </c>
      <c r="AK137" s="209"/>
      <c r="AL137" s="216"/>
      <c r="AM137" s="210">
        <v>16734.240275915199</v>
      </c>
      <c r="AN137" s="208">
        <v>0</v>
      </c>
      <c r="AO137" s="209"/>
      <c r="AP137" s="216"/>
      <c r="AQ137" s="207">
        <v>0</v>
      </c>
      <c r="AR137" s="208">
        <v>0</v>
      </c>
      <c r="AS137" s="209"/>
      <c r="AT137" s="216"/>
      <c r="AU137" s="65"/>
      <c r="AV137" s="65"/>
      <c r="AW137" s="65"/>
      <c r="AX137" s="65"/>
      <c r="AY137" s="65"/>
      <c r="AZ137" s="65"/>
      <c r="BA137" s="65"/>
      <c r="BB137" s="65"/>
      <c r="BC137" s="65"/>
      <c r="BD137" s="65"/>
      <c r="BE137" s="65"/>
      <c r="BF137" s="65"/>
      <c r="BG137" s="65"/>
      <c r="BH137" s="65"/>
      <c r="BI137" s="65"/>
      <c r="BJ137" s="65"/>
      <c r="BK137" s="65"/>
      <c r="BL137" s="65"/>
      <c r="BM137" s="65"/>
      <c r="BN137" s="65"/>
      <c r="BO137" s="65"/>
      <c r="BP137" s="65"/>
      <c r="BQ137" s="65"/>
      <c r="BR137" s="65"/>
      <c r="BS137" s="65"/>
      <c r="BT137" s="65"/>
      <c r="BU137" s="65"/>
      <c r="BV137" s="65"/>
      <c r="BW137" s="65"/>
      <c r="BX137" s="65"/>
      <c r="BY137" s="65"/>
      <c r="BZ137" s="65"/>
      <c r="CA137" s="65"/>
      <c r="CB137" s="65"/>
      <c r="CC137" s="65"/>
      <c r="CD137" s="65"/>
      <c r="CE137" s="65"/>
      <c r="CF137" s="65"/>
      <c r="CG137" s="65"/>
      <c r="CH137" s="65"/>
      <c r="CI137" s="65"/>
      <c r="CJ137" s="65"/>
      <c r="CK137" s="65"/>
      <c r="CL137" s="65"/>
      <c r="CM137" s="65"/>
      <c r="CN137" s="65"/>
      <c r="CO137" s="65"/>
      <c r="CP137" s="65"/>
      <c r="CQ137" s="65"/>
      <c r="CR137" s="65"/>
      <c r="CS137" s="65"/>
      <c r="CT137" s="65"/>
      <c r="CU137" s="65"/>
      <c r="CV137" s="65"/>
      <c r="CW137" s="65"/>
      <c r="CX137" s="65"/>
      <c r="CY137" s="65"/>
      <c r="CZ137" s="65"/>
      <c r="DA137" s="65"/>
      <c r="DB137" s="65"/>
      <c r="DC137" s="65"/>
      <c r="DD137" s="65"/>
      <c r="DE137" s="65"/>
      <c r="DF137" s="65"/>
      <c r="DG137" s="65"/>
      <c r="DH137" s="65"/>
      <c r="DI137" s="65"/>
    </row>
    <row r="138" spans="2:113">
      <c r="B138" s="206" t="s">
        <v>279</v>
      </c>
      <c r="C138" s="207">
        <v>24303.101661877186</v>
      </c>
      <c r="D138" s="208">
        <v>21346.835678369036</v>
      </c>
      <c r="E138" s="209"/>
      <c r="F138" s="209"/>
      <c r="G138" s="211">
        <f t="shared" si="3"/>
        <v>24303.101661877183</v>
      </c>
      <c r="H138" s="212">
        <f t="shared" si="3"/>
        <v>21346.835678369036</v>
      </c>
      <c r="I138" s="209"/>
      <c r="J138" s="216"/>
      <c r="K138" s="213">
        <f t="shared" si="4"/>
        <v>0</v>
      </c>
      <c r="L138" s="214">
        <f t="shared" si="4"/>
        <v>0</v>
      </c>
      <c r="M138" s="215"/>
      <c r="N138" s="215"/>
      <c r="O138" s="207">
        <v>159081.2807940089</v>
      </c>
      <c r="P138" s="208">
        <v>3353863.3811657587</v>
      </c>
      <c r="Q138" s="209"/>
      <c r="R138" s="216"/>
      <c r="S138" s="210">
        <v>9405.2989579715886</v>
      </c>
      <c r="T138" s="208">
        <v>0</v>
      </c>
      <c r="U138" s="209"/>
      <c r="V138" s="209"/>
      <c r="W138" s="207">
        <v>48426.446766779562</v>
      </c>
      <c r="X138" s="208">
        <v>0</v>
      </c>
      <c r="Y138" s="209"/>
      <c r="Z138" s="216"/>
      <c r="AA138" s="210">
        <v>145306.60813667081</v>
      </c>
      <c r="AB138" s="208">
        <v>0</v>
      </c>
      <c r="AC138" s="209"/>
      <c r="AD138" s="209"/>
      <c r="AE138" s="207">
        <v>3682.3856085943862</v>
      </c>
      <c r="AF138" s="208">
        <v>0</v>
      </c>
      <c r="AG138" s="209"/>
      <c r="AH138" s="216"/>
      <c r="AI138" s="207">
        <v>3682.3856085943862</v>
      </c>
      <c r="AJ138" s="208">
        <v>0</v>
      </c>
      <c r="AK138" s="209"/>
      <c r="AL138" s="216"/>
      <c r="AM138" s="210">
        <v>3036.9563654611875</v>
      </c>
      <c r="AN138" s="208">
        <v>0</v>
      </c>
      <c r="AO138" s="209"/>
      <c r="AP138" s="216"/>
      <c r="AQ138" s="207">
        <v>0</v>
      </c>
      <c r="AR138" s="208">
        <v>0</v>
      </c>
      <c r="AS138" s="209"/>
      <c r="AT138" s="216"/>
      <c r="AU138" s="65"/>
      <c r="AV138" s="65"/>
      <c r="AW138" s="65"/>
      <c r="AX138" s="65"/>
      <c r="AY138" s="65"/>
      <c r="AZ138" s="65"/>
      <c r="BA138" s="65"/>
      <c r="BB138" s="65"/>
      <c r="BC138" s="65"/>
      <c r="BD138" s="65"/>
      <c r="BE138" s="65"/>
      <c r="BF138" s="65"/>
      <c r="BG138" s="65"/>
      <c r="BH138" s="65"/>
      <c r="BI138" s="65"/>
      <c r="BJ138" s="65"/>
      <c r="BK138" s="65"/>
      <c r="BL138" s="65"/>
      <c r="BM138" s="65"/>
      <c r="BN138" s="65"/>
      <c r="BO138" s="65"/>
      <c r="BP138" s="65"/>
      <c r="BQ138" s="65"/>
      <c r="BR138" s="65"/>
      <c r="BS138" s="65"/>
      <c r="BT138" s="65"/>
      <c r="BU138" s="65"/>
      <c r="BV138" s="65"/>
      <c r="BW138" s="65"/>
      <c r="BX138" s="65"/>
      <c r="BY138" s="65"/>
      <c r="BZ138" s="65"/>
      <c r="CA138" s="65"/>
      <c r="CB138" s="65"/>
      <c r="CC138" s="65"/>
      <c r="CD138" s="65"/>
      <c r="CE138" s="65"/>
      <c r="CF138" s="65"/>
      <c r="CG138" s="65"/>
      <c r="CH138" s="65"/>
      <c r="CI138" s="65"/>
      <c r="CJ138" s="65"/>
      <c r="CK138" s="65"/>
      <c r="CL138" s="65"/>
      <c r="CM138" s="65"/>
      <c r="CN138" s="65"/>
      <c r="CO138" s="65"/>
      <c r="CP138" s="65"/>
      <c r="CQ138" s="65"/>
      <c r="CR138" s="65"/>
      <c r="CS138" s="65"/>
      <c r="CT138" s="65"/>
      <c r="CU138" s="65"/>
      <c r="CV138" s="65"/>
      <c r="CW138" s="65"/>
      <c r="CX138" s="65"/>
      <c r="CY138" s="65"/>
      <c r="CZ138" s="65"/>
      <c r="DA138" s="65"/>
      <c r="DB138" s="65"/>
      <c r="DC138" s="65"/>
      <c r="DD138" s="65"/>
      <c r="DE138" s="65"/>
      <c r="DF138" s="65"/>
      <c r="DG138" s="65"/>
      <c r="DH138" s="65"/>
      <c r="DI138" s="65"/>
    </row>
    <row r="139" spans="2:113">
      <c r="B139" s="206" t="s">
        <v>280</v>
      </c>
      <c r="C139" s="207">
        <v>13.37976363394483</v>
      </c>
      <c r="D139" s="208">
        <v>327.16551037371175</v>
      </c>
      <c r="E139" s="209"/>
      <c r="F139" s="209"/>
      <c r="G139" s="211">
        <f t="shared" si="3"/>
        <v>13.37976363394483</v>
      </c>
      <c r="H139" s="212">
        <f t="shared" si="3"/>
        <v>327.1655103737117</v>
      </c>
      <c r="I139" s="209"/>
      <c r="J139" s="216"/>
      <c r="K139" s="213"/>
      <c r="L139" s="214"/>
      <c r="M139" s="215"/>
      <c r="N139" s="215"/>
      <c r="O139" s="207">
        <v>101.57172500387369</v>
      </c>
      <c r="P139" s="208">
        <v>75.013655978015436</v>
      </c>
      <c r="Q139" s="209"/>
      <c r="R139" s="216"/>
      <c r="S139" s="210">
        <v>10.340713164759416</v>
      </c>
      <c r="T139" s="208">
        <v>68.178360992587628</v>
      </c>
      <c r="U139" s="209"/>
      <c r="V139" s="209"/>
      <c r="W139" s="207">
        <v>13.187187540130228</v>
      </c>
      <c r="X139" s="208">
        <v>169.19133889275105</v>
      </c>
      <c r="Y139" s="209"/>
      <c r="Z139" s="216"/>
      <c r="AA139" s="210">
        <v>4.3495698280152171</v>
      </c>
      <c r="AB139" s="208">
        <v>191.20144637551991</v>
      </c>
      <c r="AC139" s="209"/>
      <c r="AD139" s="209"/>
      <c r="AE139" s="207">
        <v>23.427966215623158</v>
      </c>
      <c r="AF139" s="208">
        <v>181.35927356209152</v>
      </c>
      <c r="AG139" s="209"/>
      <c r="AH139" s="216"/>
      <c r="AI139" s="207">
        <v>23.427966215623158</v>
      </c>
      <c r="AJ139" s="208">
        <v>181.35927356209152</v>
      </c>
      <c r="AK139" s="209"/>
      <c r="AL139" s="216"/>
      <c r="AM139" s="210">
        <v>18.884736072075366</v>
      </c>
      <c r="AN139" s="208">
        <v>169.57092078055555</v>
      </c>
      <c r="AO139" s="209"/>
      <c r="AP139" s="216"/>
      <c r="AQ139" s="207">
        <v>0</v>
      </c>
      <c r="AR139" s="208">
        <v>1642.1014430500161</v>
      </c>
      <c r="AS139" s="209"/>
      <c r="AT139" s="216"/>
      <c r="AU139" s="65"/>
      <c r="AV139" s="65"/>
      <c r="AW139" s="65"/>
      <c r="AX139" s="65"/>
      <c r="AY139" s="65"/>
      <c r="AZ139" s="65"/>
      <c r="BA139" s="65"/>
      <c r="BB139" s="65"/>
      <c r="BC139" s="65"/>
      <c r="BD139" s="65"/>
      <c r="BE139" s="65"/>
      <c r="BF139" s="65"/>
      <c r="BG139" s="65"/>
      <c r="BH139" s="65"/>
      <c r="BI139" s="65"/>
      <c r="BJ139" s="65"/>
      <c r="BK139" s="65"/>
      <c r="BL139" s="65"/>
      <c r="BM139" s="65"/>
      <c r="BN139" s="65"/>
      <c r="BO139" s="65"/>
      <c r="BP139" s="65"/>
      <c r="BQ139" s="65"/>
      <c r="BR139" s="65"/>
      <c r="BS139" s="65"/>
      <c r="BT139" s="65"/>
      <c r="BU139" s="65"/>
      <c r="BV139" s="65"/>
      <c r="BW139" s="65"/>
      <c r="BX139" s="65"/>
      <c r="BY139" s="65"/>
      <c r="BZ139" s="65"/>
      <c r="CA139" s="65"/>
      <c r="CB139" s="65"/>
      <c r="CC139" s="65"/>
      <c r="CD139" s="65"/>
      <c r="CE139" s="65"/>
      <c r="CF139" s="65"/>
      <c r="CG139" s="65"/>
      <c r="CH139" s="65"/>
      <c r="CI139" s="65"/>
      <c r="CJ139" s="65"/>
      <c r="CK139" s="65"/>
      <c r="CL139" s="65"/>
      <c r="CM139" s="65"/>
      <c r="CN139" s="65"/>
      <c r="CO139" s="65"/>
      <c r="CP139" s="65"/>
      <c r="CQ139" s="65"/>
      <c r="CR139" s="65"/>
      <c r="CS139" s="65"/>
      <c r="CT139" s="65"/>
      <c r="CU139" s="65"/>
      <c r="CV139" s="65"/>
      <c r="CW139" s="65"/>
      <c r="CX139" s="65"/>
      <c r="CY139" s="65"/>
      <c r="CZ139" s="65"/>
      <c r="DA139" s="65"/>
      <c r="DB139" s="65"/>
      <c r="DC139" s="65"/>
      <c r="DD139" s="65"/>
      <c r="DE139" s="65"/>
      <c r="DF139" s="65"/>
      <c r="DG139" s="65"/>
      <c r="DH139" s="65"/>
      <c r="DI139" s="65"/>
    </row>
    <row r="140" spans="2:113">
      <c r="B140" s="206" t="s">
        <v>281</v>
      </c>
      <c r="C140" s="217">
        <v>15.225731255861936</v>
      </c>
      <c r="D140" s="218">
        <v>3.3220226444663585</v>
      </c>
      <c r="E140" s="219">
        <v>0.38171474355832924</v>
      </c>
      <c r="F140" s="219">
        <v>1.1441976134067038</v>
      </c>
      <c r="G140" s="220">
        <f t="shared" si="3"/>
        <v>15.225731255861938</v>
      </c>
      <c r="H140" s="221">
        <f t="shared" si="3"/>
        <v>3.3220226444663581</v>
      </c>
      <c r="I140" s="220">
        <f t="shared" si="3"/>
        <v>0.38171474355832918</v>
      </c>
      <c r="J140" s="221">
        <f t="shared" si="3"/>
        <v>1.1441976134067036</v>
      </c>
      <c r="K140" s="222">
        <f t="shared" ref="K140:L145" si="5">$C$1774*O140+$C$1775*S140+$C$1776*W140+$C$1777*AE140+$C$1778*AA140+$C$1779*AQ140</f>
        <v>0</v>
      </c>
      <c r="L140" s="223">
        <f t="shared" si="5"/>
        <v>0</v>
      </c>
      <c r="M140" s="222">
        <v>0.37487551988470152</v>
      </c>
      <c r="N140" s="222">
        <v>0.88055789509183191</v>
      </c>
      <c r="O140" s="217">
        <v>19.876602976831816</v>
      </c>
      <c r="P140" s="218">
        <v>5.5694787214230539</v>
      </c>
      <c r="Q140" s="219">
        <v>5.4132988993003535</v>
      </c>
      <c r="R140" s="218">
        <v>5.5694787214230546E-2</v>
      </c>
      <c r="S140" s="219">
        <v>20.055539955241844</v>
      </c>
      <c r="T140" s="218">
        <v>4.9450962932590636</v>
      </c>
      <c r="U140" s="219">
        <v>0.85603803826114111</v>
      </c>
      <c r="V140" s="219">
        <v>1.547815139790087</v>
      </c>
      <c r="W140" s="217">
        <v>23.648746825018556</v>
      </c>
      <c r="X140" s="218">
        <v>4.6034099052361848</v>
      </c>
      <c r="Y140" s="219">
        <v>0.27670778812017233</v>
      </c>
      <c r="Z140" s="218">
        <v>1.7492957639897502</v>
      </c>
      <c r="AA140" s="219">
        <v>5.8426255635976005</v>
      </c>
      <c r="AB140" s="218">
        <v>42.283729698455133</v>
      </c>
      <c r="AC140" s="219">
        <v>0.50419854504698192</v>
      </c>
      <c r="AD140" s="219">
        <v>9.6829741009462253</v>
      </c>
      <c r="AE140" s="217">
        <v>1.1181314548281129</v>
      </c>
      <c r="AF140" s="218">
        <v>0</v>
      </c>
      <c r="AG140" s="219">
        <v>4.673279140993266E-2</v>
      </c>
      <c r="AH140" s="218">
        <v>0</v>
      </c>
      <c r="AI140" s="217">
        <v>1.1181314548281129</v>
      </c>
      <c r="AJ140" s="218">
        <v>0</v>
      </c>
      <c r="AK140" s="219">
        <v>4.673279140993266E-2</v>
      </c>
      <c r="AL140" s="218">
        <v>0</v>
      </c>
      <c r="AM140" s="219">
        <v>0.96673450656032944</v>
      </c>
      <c r="AN140" s="218">
        <v>0</v>
      </c>
      <c r="AO140" s="219">
        <v>4.5066174662203994E-2</v>
      </c>
      <c r="AP140" s="218">
        <v>0</v>
      </c>
      <c r="AQ140" s="217">
        <v>0</v>
      </c>
      <c r="AR140" s="218">
        <v>0</v>
      </c>
      <c r="AS140" s="219">
        <v>0</v>
      </c>
      <c r="AT140" s="218">
        <v>0</v>
      </c>
      <c r="AU140" s="65"/>
      <c r="AV140" s="65"/>
      <c r="AW140" s="65"/>
      <c r="AX140" s="65"/>
      <c r="AY140" s="65"/>
      <c r="AZ140" s="65"/>
      <c r="BA140" s="65"/>
      <c r="BB140" s="65"/>
      <c r="BC140" s="65"/>
      <c r="BD140" s="65"/>
      <c r="BE140" s="65"/>
      <c r="BF140" s="65"/>
      <c r="BG140" s="65"/>
      <c r="BH140" s="65"/>
      <c r="BI140" s="65"/>
      <c r="BJ140" s="65"/>
      <c r="BK140" s="65"/>
      <c r="BL140" s="65"/>
      <c r="BM140" s="65"/>
      <c r="BN140" s="65"/>
      <c r="BO140" s="65"/>
      <c r="BP140" s="65"/>
      <c r="BQ140" s="65"/>
      <c r="BR140" s="65"/>
      <c r="BS140" s="65"/>
      <c r="BT140" s="65"/>
      <c r="BU140" s="65"/>
      <c r="BV140" s="65"/>
      <c r="BW140" s="65"/>
      <c r="BX140" s="65"/>
      <c r="BY140" s="65"/>
      <c r="BZ140" s="65"/>
      <c r="CA140" s="65"/>
      <c r="CB140" s="65"/>
      <c r="CC140" s="65"/>
      <c r="CD140" s="65"/>
      <c r="CE140" s="65"/>
      <c r="CF140" s="65"/>
      <c r="CG140" s="65"/>
      <c r="CH140" s="65"/>
      <c r="CI140" s="65"/>
      <c r="CJ140" s="65"/>
      <c r="CK140" s="65"/>
      <c r="CL140" s="65"/>
      <c r="CM140" s="65"/>
      <c r="CN140" s="65"/>
      <c r="CO140" s="65"/>
      <c r="CP140" s="65"/>
      <c r="CQ140" s="65"/>
      <c r="CR140" s="65"/>
      <c r="CS140" s="65"/>
      <c r="CT140" s="65"/>
      <c r="CU140" s="65"/>
      <c r="CV140" s="65"/>
      <c r="CW140" s="65"/>
      <c r="CX140" s="65"/>
      <c r="CY140" s="65"/>
      <c r="CZ140" s="65"/>
      <c r="DA140" s="65"/>
      <c r="DB140" s="65"/>
      <c r="DC140" s="65"/>
      <c r="DD140" s="65"/>
      <c r="DE140" s="65"/>
      <c r="DF140" s="65"/>
      <c r="DG140" s="65"/>
      <c r="DH140" s="65"/>
      <c r="DI140" s="65"/>
    </row>
    <row r="141" spans="2:113">
      <c r="B141" s="206" t="s">
        <v>282</v>
      </c>
      <c r="C141" s="217">
        <v>19.943584664458843</v>
      </c>
      <c r="D141" s="218">
        <v>36.067700795084193</v>
      </c>
      <c r="E141" s="219">
        <v>1.3657134518326086</v>
      </c>
      <c r="F141" s="219">
        <v>11.889958293037029</v>
      </c>
      <c r="G141" s="220">
        <f t="shared" si="3"/>
        <v>19.943584664458847</v>
      </c>
      <c r="H141" s="221">
        <f t="shared" si="3"/>
        <v>36.067700795084193</v>
      </c>
      <c r="I141" s="220">
        <f t="shared" si="3"/>
        <v>1.3657134518326086</v>
      </c>
      <c r="J141" s="221">
        <f t="shared" si="3"/>
        <v>11.889958293037028</v>
      </c>
      <c r="K141" s="222">
        <f t="shared" si="5"/>
        <v>0</v>
      </c>
      <c r="L141" s="223">
        <f t="shared" si="5"/>
        <v>0</v>
      </c>
      <c r="M141" s="222">
        <v>0.98287762703821102</v>
      </c>
      <c r="N141" s="222">
        <v>9.0606929217340166</v>
      </c>
      <c r="O141" s="217">
        <v>43.667610668606081</v>
      </c>
      <c r="P141" s="218">
        <v>42.042502431027927</v>
      </c>
      <c r="Q141" s="219">
        <v>6.0505804283991047</v>
      </c>
      <c r="R141" s="218">
        <v>0.42042502431027923</v>
      </c>
      <c r="S141" s="219">
        <v>54.145763383995757</v>
      </c>
      <c r="T141" s="218">
        <v>61.054947368621512</v>
      </c>
      <c r="U141" s="219">
        <v>3.87858706571207</v>
      </c>
      <c r="V141" s="219">
        <v>19.110198526378532</v>
      </c>
      <c r="W141" s="217">
        <v>11.197714404978607</v>
      </c>
      <c r="X141" s="218">
        <v>38.240229720555106</v>
      </c>
      <c r="Y141" s="219">
        <v>0.634514489246229</v>
      </c>
      <c r="Z141" s="218">
        <v>14.531287293810939</v>
      </c>
      <c r="AA141" s="219">
        <v>25.617879123941798</v>
      </c>
      <c r="AB141" s="218">
        <v>1490.3055687492572</v>
      </c>
      <c r="AC141" s="219">
        <v>0.72033809578222363</v>
      </c>
      <c r="AD141" s="219">
        <v>341.27997524357994</v>
      </c>
      <c r="AE141" s="217">
        <v>4.3700785245290179</v>
      </c>
      <c r="AF141" s="218">
        <v>0</v>
      </c>
      <c r="AG141" s="219">
        <v>0.26179457934386768</v>
      </c>
      <c r="AH141" s="218">
        <v>0</v>
      </c>
      <c r="AI141" s="217">
        <v>4.3700785245290179</v>
      </c>
      <c r="AJ141" s="218">
        <v>0</v>
      </c>
      <c r="AK141" s="219">
        <v>0.26179457934386768</v>
      </c>
      <c r="AL141" s="218">
        <v>0</v>
      </c>
      <c r="AM141" s="219">
        <v>3.7548454985607571</v>
      </c>
      <c r="AN141" s="218">
        <v>0</v>
      </c>
      <c r="AO141" s="219">
        <v>0.27071260637633127</v>
      </c>
      <c r="AP141" s="218">
        <v>0</v>
      </c>
      <c r="AQ141" s="217">
        <v>0</v>
      </c>
      <c r="AR141" s="218">
        <v>0</v>
      </c>
      <c r="AS141" s="219">
        <v>0</v>
      </c>
      <c r="AT141" s="218">
        <v>0</v>
      </c>
      <c r="AU141" s="65"/>
      <c r="AV141" s="65"/>
      <c r="AW141" s="65"/>
      <c r="AX141" s="65"/>
      <c r="AY141" s="65"/>
      <c r="AZ141" s="65"/>
      <c r="BA141" s="65"/>
      <c r="BB141" s="65"/>
      <c r="BC141" s="65"/>
      <c r="BD141" s="65"/>
      <c r="BE141" s="65"/>
      <c r="BF141" s="65"/>
      <c r="BG141" s="65"/>
      <c r="BH141" s="65"/>
      <c r="BI141" s="65"/>
      <c r="BJ141" s="65"/>
      <c r="BK141" s="65"/>
      <c r="BL141" s="65"/>
      <c r="BM141" s="65"/>
      <c r="BN141" s="65"/>
      <c r="BO141" s="65"/>
      <c r="BP141" s="65"/>
      <c r="BQ141" s="65"/>
      <c r="BR141" s="65"/>
      <c r="BS141" s="65"/>
      <c r="BT141" s="65"/>
      <c r="BU141" s="65"/>
      <c r="BV141" s="65"/>
      <c r="BW141" s="65"/>
      <c r="BX141" s="65"/>
      <c r="BY141" s="65"/>
      <c r="BZ141" s="65"/>
      <c r="CA141" s="65"/>
      <c r="CB141" s="65"/>
      <c r="CC141" s="65"/>
      <c r="CD141" s="65"/>
      <c r="CE141" s="65"/>
      <c r="CF141" s="65"/>
      <c r="CG141" s="65"/>
      <c r="CH141" s="65"/>
      <c r="CI141" s="65"/>
      <c r="CJ141" s="65"/>
      <c r="CK141" s="65"/>
      <c r="CL141" s="65"/>
      <c r="CM141" s="65"/>
      <c r="CN141" s="65"/>
      <c r="CO141" s="65"/>
      <c r="CP141" s="65"/>
      <c r="CQ141" s="65"/>
      <c r="CR141" s="65"/>
      <c r="CS141" s="65"/>
      <c r="CT141" s="65"/>
      <c r="CU141" s="65"/>
      <c r="CV141" s="65"/>
      <c r="CW141" s="65"/>
      <c r="CX141" s="65"/>
      <c r="CY141" s="65"/>
      <c r="CZ141" s="65"/>
      <c r="DA141" s="65"/>
      <c r="DB141" s="65"/>
      <c r="DC141" s="65"/>
      <c r="DD141" s="65"/>
      <c r="DE141" s="65"/>
      <c r="DF141" s="65"/>
      <c r="DG141" s="65"/>
      <c r="DH141" s="65"/>
      <c r="DI141" s="65"/>
    </row>
    <row r="142" spans="2:113">
      <c r="B142" s="206" t="s">
        <v>283</v>
      </c>
      <c r="C142" s="217">
        <v>40.25249759326428</v>
      </c>
      <c r="D142" s="218">
        <v>174.37722181198239</v>
      </c>
      <c r="E142" s="219">
        <v>2.8577814059962146</v>
      </c>
      <c r="F142" s="219">
        <v>61.687934230273804</v>
      </c>
      <c r="G142" s="220">
        <f t="shared" si="3"/>
        <v>40.252497593264273</v>
      </c>
      <c r="H142" s="221">
        <f t="shared" si="3"/>
        <v>174.37722181198237</v>
      </c>
      <c r="I142" s="220">
        <f t="shared" si="3"/>
        <v>2.8577814059962146</v>
      </c>
      <c r="J142" s="221">
        <f t="shared" si="3"/>
        <v>61.687934230273804</v>
      </c>
      <c r="K142" s="222">
        <f t="shared" si="5"/>
        <v>0</v>
      </c>
      <c r="L142" s="223">
        <f t="shared" si="5"/>
        <v>0</v>
      </c>
      <c r="M142" s="222">
        <v>2.5032818587710444</v>
      </c>
      <c r="N142" s="222">
        <v>31.031306459839197</v>
      </c>
      <c r="O142" s="217">
        <v>125.67976680876157</v>
      </c>
      <c r="P142" s="218">
        <v>1322.8435058887253</v>
      </c>
      <c r="Q142" s="219">
        <v>17.288856995707437</v>
      </c>
      <c r="R142" s="218">
        <v>13.228435058887253</v>
      </c>
      <c r="S142" s="219">
        <v>69.737682691585846</v>
      </c>
      <c r="T142" s="218">
        <v>76.075952407378196</v>
      </c>
      <c r="U142" s="219">
        <v>4.8228292887131925</v>
      </c>
      <c r="V142" s="219">
        <v>23.81177310350937</v>
      </c>
      <c r="W142" s="217">
        <v>47.898732960258343</v>
      </c>
      <c r="X142" s="218">
        <v>357.3196765130258</v>
      </c>
      <c r="Y142" s="219">
        <v>3.0530198506206863</v>
      </c>
      <c r="Z142" s="218">
        <v>135.78147707494981</v>
      </c>
      <c r="AA142" s="219">
        <v>51.643038902223701</v>
      </c>
      <c r="AB142" s="218">
        <v>290.46947599376108</v>
      </c>
      <c r="AC142" s="219">
        <v>1.8697812019410316</v>
      </c>
      <c r="AD142" s="219">
        <v>66.517510002571299</v>
      </c>
      <c r="AE142" s="217">
        <v>7.9739400294009055</v>
      </c>
      <c r="AF142" s="218">
        <v>0</v>
      </c>
      <c r="AG142" s="219">
        <v>1.2040888580005984</v>
      </c>
      <c r="AH142" s="218">
        <v>0</v>
      </c>
      <c r="AI142" s="217">
        <v>7.9739400294009055</v>
      </c>
      <c r="AJ142" s="218">
        <v>0</v>
      </c>
      <c r="AK142" s="219">
        <v>1.2040888580005984</v>
      </c>
      <c r="AL142" s="218">
        <v>0</v>
      </c>
      <c r="AM142" s="219">
        <v>7.1680981547599067</v>
      </c>
      <c r="AN142" s="218">
        <v>0</v>
      </c>
      <c r="AO142" s="219">
        <v>1.25479271785248</v>
      </c>
      <c r="AP142" s="218">
        <v>0</v>
      </c>
      <c r="AQ142" s="217">
        <v>0</v>
      </c>
      <c r="AR142" s="218">
        <v>0</v>
      </c>
      <c r="AS142" s="219">
        <v>0</v>
      </c>
      <c r="AT142" s="218">
        <v>0</v>
      </c>
      <c r="AU142" s="65"/>
      <c r="AV142" s="65"/>
      <c r="AW142" s="65"/>
      <c r="AX142" s="65"/>
      <c r="AY142" s="65"/>
      <c r="AZ142" s="65"/>
      <c r="BA142" s="65"/>
      <c r="BB142" s="65"/>
      <c r="BC142" s="65"/>
      <c r="BD142" s="65"/>
      <c r="BE142" s="65"/>
      <c r="BF142" s="65"/>
      <c r="BG142" s="65"/>
      <c r="BH142" s="65"/>
      <c r="BI142" s="65"/>
      <c r="BJ142" s="65"/>
      <c r="BK142" s="65"/>
      <c r="BL142" s="65"/>
      <c r="BM142" s="65"/>
      <c r="BN142" s="65"/>
      <c r="BO142" s="65"/>
      <c r="BP142" s="65"/>
      <c r="BQ142" s="65"/>
      <c r="BR142" s="65"/>
      <c r="BS142" s="65"/>
      <c r="BT142" s="65"/>
      <c r="BU142" s="65"/>
      <c r="BV142" s="65"/>
      <c r="BW142" s="65"/>
      <c r="BX142" s="65"/>
      <c r="BY142" s="65"/>
      <c r="BZ142" s="65"/>
      <c r="CA142" s="65"/>
      <c r="CB142" s="65"/>
      <c r="CC142" s="65"/>
      <c r="CD142" s="65"/>
      <c r="CE142" s="65"/>
      <c r="CF142" s="65"/>
      <c r="CG142" s="65"/>
      <c r="CH142" s="65"/>
      <c r="CI142" s="65"/>
      <c r="CJ142" s="65"/>
      <c r="CK142" s="65"/>
      <c r="CL142" s="65"/>
      <c r="CM142" s="65"/>
      <c r="CN142" s="65"/>
      <c r="CO142" s="65"/>
      <c r="CP142" s="65"/>
      <c r="CQ142" s="65"/>
      <c r="CR142" s="65"/>
      <c r="CS142" s="65"/>
      <c r="CT142" s="65"/>
      <c r="CU142" s="65"/>
      <c r="CV142" s="65"/>
      <c r="CW142" s="65"/>
      <c r="CX142" s="65"/>
      <c r="CY142" s="65"/>
      <c r="CZ142" s="65"/>
      <c r="DA142" s="65"/>
      <c r="DB142" s="65"/>
      <c r="DC142" s="65"/>
      <c r="DD142" s="65"/>
      <c r="DE142" s="65"/>
      <c r="DF142" s="65"/>
      <c r="DG142" s="65"/>
      <c r="DH142" s="65"/>
      <c r="DI142" s="65"/>
    </row>
    <row r="143" spans="2:113">
      <c r="B143" s="206" t="s">
        <v>284</v>
      </c>
      <c r="C143" s="217">
        <v>11.746824766358166</v>
      </c>
      <c r="D143" s="218">
        <v>40.307814050696251</v>
      </c>
      <c r="E143" s="219">
        <v>0.16047751164853311</v>
      </c>
      <c r="F143" s="219">
        <v>14.725318396177435</v>
      </c>
      <c r="G143" s="220">
        <f t="shared" si="3"/>
        <v>11.746824766358166</v>
      </c>
      <c r="H143" s="221">
        <f t="shared" si="3"/>
        <v>40.307814050696258</v>
      </c>
      <c r="I143" s="220">
        <f t="shared" si="3"/>
        <v>0.16047751164853311</v>
      </c>
      <c r="J143" s="221">
        <f t="shared" si="3"/>
        <v>14.725318396177437</v>
      </c>
      <c r="K143" s="222">
        <f t="shared" si="5"/>
        <v>0</v>
      </c>
      <c r="L143" s="223">
        <f t="shared" si="5"/>
        <v>0</v>
      </c>
      <c r="M143" s="222">
        <v>0.12688846723294922</v>
      </c>
      <c r="N143" s="222">
        <v>6.7675529495899704</v>
      </c>
      <c r="O143" s="217">
        <v>9.3664345424023381</v>
      </c>
      <c r="P143" s="218">
        <v>60.859545759325592</v>
      </c>
      <c r="Q143" s="219">
        <v>2.1652720135461561</v>
      </c>
      <c r="R143" s="218">
        <v>0.60859545759325595</v>
      </c>
      <c r="S143" s="219">
        <v>1.2209334214887597</v>
      </c>
      <c r="T143" s="218">
        <v>3.7635653881565667</v>
      </c>
      <c r="U143" s="219">
        <v>7.3527719025199376E-2</v>
      </c>
      <c r="V143" s="219">
        <v>1.1779959664930055</v>
      </c>
      <c r="W143" s="217">
        <v>27.425733167013192</v>
      </c>
      <c r="X143" s="218">
        <v>89.578097038426918</v>
      </c>
      <c r="Y143" s="219">
        <v>0.17980323834369777</v>
      </c>
      <c r="Z143" s="218">
        <v>34.039676874602229</v>
      </c>
      <c r="AA143" s="219">
        <v>3.2678294123186982</v>
      </c>
      <c r="AB143" s="218">
        <v>882.03421327985723</v>
      </c>
      <c r="AC143" s="219">
        <v>0.12192440445102298</v>
      </c>
      <c r="AD143" s="219">
        <v>201.98583484108732</v>
      </c>
      <c r="AE143" s="217">
        <v>1.0709003448714425</v>
      </c>
      <c r="AF143" s="218">
        <v>0</v>
      </c>
      <c r="AG143" s="219">
        <v>0.27192910977101503</v>
      </c>
      <c r="AH143" s="218">
        <v>0</v>
      </c>
      <c r="AI143" s="217">
        <v>1.0709003448714425</v>
      </c>
      <c r="AJ143" s="218">
        <v>0</v>
      </c>
      <c r="AK143" s="219">
        <v>0.27192910977101503</v>
      </c>
      <c r="AL143" s="218">
        <v>0</v>
      </c>
      <c r="AM143" s="219">
        <v>1.0245301598139851</v>
      </c>
      <c r="AN143" s="218">
        <v>0</v>
      </c>
      <c r="AO143" s="219">
        <v>0.2842237825304042</v>
      </c>
      <c r="AP143" s="218">
        <v>0</v>
      </c>
      <c r="AQ143" s="217">
        <v>0</v>
      </c>
      <c r="AR143" s="218">
        <v>0</v>
      </c>
      <c r="AS143" s="219">
        <v>0</v>
      </c>
      <c r="AT143" s="218">
        <v>0</v>
      </c>
      <c r="AU143" s="65"/>
      <c r="AV143" s="65"/>
      <c r="AW143" s="65"/>
      <c r="AX143" s="65"/>
      <c r="AY143" s="65"/>
      <c r="AZ143" s="65"/>
      <c r="BA143" s="65"/>
      <c r="BB143" s="65"/>
      <c r="BC143" s="65"/>
      <c r="BD143" s="65"/>
      <c r="BE143" s="65"/>
      <c r="BF143" s="65"/>
      <c r="BG143" s="65"/>
      <c r="BH143" s="65"/>
      <c r="BI143" s="65"/>
      <c r="BJ143" s="65"/>
      <c r="BK143" s="65"/>
      <c r="BL143" s="65"/>
      <c r="BM143" s="65"/>
      <c r="BN143" s="65"/>
      <c r="BO143" s="65"/>
      <c r="BP143" s="65"/>
      <c r="BQ143" s="65"/>
      <c r="BR143" s="65"/>
      <c r="BS143" s="65"/>
      <c r="BT143" s="65"/>
      <c r="BU143" s="65"/>
      <c r="BV143" s="65"/>
      <c r="BW143" s="65"/>
      <c r="BX143" s="65"/>
      <c r="BY143" s="65"/>
      <c r="BZ143" s="65"/>
      <c r="CA143" s="65"/>
      <c r="CB143" s="65"/>
      <c r="CC143" s="65"/>
      <c r="CD143" s="65"/>
      <c r="CE143" s="65"/>
      <c r="CF143" s="65"/>
      <c r="CG143" s="65"/>
      <c r="CH143" s="65"/>
      <c r="CI143" s="65"/>
      <c r="CJ143" s="65"/>
      <c r="CK143" s="65"/>
      <c r="CL143" s="65"/>
      <c r="CM143" s="65"/>
      <c r="CN143" s="65"/>
      <c r="CO143" s="65"/>
      <c r="CP143" s="65"/>
      <c r="CQ143" s="65"/>
      <c r="CR143" s="65"/>
      <c r="CS143" s="65"/>
      <c r="CT143" s="65"/>
      <c r="CU143" s="65"/>
      <c r="CV143" s="65"/>
      <c r="CW143" s="65"/>
      <c r="CX143" s="65"/>
      <c r="CY143" s="65"/>
      <c r="CZ143" s="65"/>
      <c r="DA143" s="65"/>
      <c r="DB143" s="65"/>
      <c r="DC143" s="65"/>
      <c r="DD143" s="65"/>
      <c r="DE143" s="65"/>
      <c r="DF143" s="65"/>
      <c r="DG143" s="65"/>
      <c r="DH143" s="65"/>
      <c r="DI143" s="65"/>
    </row>
    <row r="144" spans="2:113">
      <c r="B144" s="206" t="s">
        <v>285</v>
      </c>
      <c r="C144" s="217">
        <v>2.369281971186425</v>
      </c>
      <c r="D144" s="218">
        <v>28.472953492198048</v>
      </c>
      <c r="E144" s="219">
        <v>0.11848464641552556</v>
      </c>
      <c r="F144" s="219">
        <v>10.395021209841186</v>
      </c>
      <c r="G144" s="220">
        <f t="shared" si="3"/>
        <v>2.3692819711864246</v>
      </c>
      <c r="H144" s="221">
        <f t="shared" si="3"/>
        <v>28.472953492198048</v>
      </c>
      <c r="I144" s="220">
        <f t="shared" si="3"/>
        <v>0.11848464641552553</v>
      </c>
      <c r="J144" s="221">
        <f t="shared" si="3"/>
        <v>10.395021209841188</v>
      </c>
      <c r="K144" s="222">
        <f t="shared" si="5"/>
        <v>0</v>
      </c>
      <c r="L144" s="223">
        <f t="shared" si="5"/>
        <v>0</v>
      </c>
      <c r="M144" s="222">
        <v>9.0737540038721698E-2</v>
      </c>
      <c r="N144" s="222">
        <v>4.3541114463348043</v>
      </c>
      <c r="O144" s="217">
        <v>7.1631116144506812</v>
      </c>
      <c r="P144" s="218">
        <v>38.296270551042781</v>
      </c>
      <c r="Q144" s="219">
        <v>1.2863394140163182</v>
      </c>
      <c r="R144" s="218">
        <v>0.38296270551042783</v>
      </c>
      <c r="S144" s="219">
        <v>1.0644641210243266</v>
      </c>
      <c r="T144" s="218">
        <v>3.7635653881565667</v>
      </c>
      <c r="U144" s="219">
        <v>5.5225644749791331E-2</v>
      </c>
      <c r="V144" s="219">
        <v>1.1779959664930055</v>
      </c>
      <c r="W144" s="217">
        <v>4.6827644352235653</v>
      </c>
      <c r="X144" s="218">
        <v>62.664048590118831</v>
      </c>
      <c r="Y144" s="219">
        <v>0.14146724232530569</v>
      </c>
      <c r="Z144" s="218">
        <v>23.812338464245155</v>
      </c>
      <c r="AA144" s="219">
        <v>3.0832884069427715</v>
      </c>
      <c r="AB144" s="218">
        <v>619.46134175727855</v>
      </c>
      <c r="AC144" s="219">
        <v>8.1027181080940397E-2</v>
      </c>
      <c r="AD144" s="219">
        <v>141.8566472624168</v>
      </c>
      <c r="AE144" s="217">
        <v>0.67034286909836072</v>
      </c>
      <c r="AF144" s="218">
        <v>0</v>
      </c>
      <c r="AG144" s="219">
        <v>0.19184859268699395</v>
      </c>
      <c r="AH144" s="218">
        <v>0</v>
      </c>
      <c r="AI144" s="217">
        <v>0.67034286909836072</v>
      </c>
      <c r="AJ144" s="218">
        <v>0</v>
      </c>
      <c r="AK144" s="219">
        <v>0.19184859268699395</v>
      </c>
      <c r="AL144" s="218">
        <v>0</v>
      </c>
      <c r="AM144" s="219">
        <v>0.63573673851530921</v>
      </c>
      <c r="AN144" s="218">
        <v>0</v>
      </c>
      <c r="AO144" s="219">
        <v>0.20056848494137686</v>
      </c>
      <c r="AP144" s="218">
        <v>0</v>
      </c>
      <c r="AQ144" s="217">
        <v>0</v>
      </c>
      <c r="AR144" s="218">
        <v>0</v>
      </c>
      <c r="AS144" s="219">
        <v>0</v>
      </c>
      <c r="AT144" s="218">
        <v>0</v>
      </c>
      <c r="AU144" s="65"/>
      <c r="AV144" s="65"/>
      <c r="AW144" s="65"/>
      <c r="AX144" s="65"/>
      <c r="AY144" s="65"/>
      <c r="AZ144" s="65"/>
      <c r="BA144" s="65"/>
      <c r="BB144" s="65"/>
      <c r="BC144" s="65"/>
      <c r="BD144" s="65"/>
      <c r="BE144" s="65"/>
      <c r="BF144" s="65"/>
      <c r="BG144" s="65"/>
      <c r="BH144" s="65"/>
      <c r="BI144" s="65"/>
      <c r="BJ144" s="65"/>
      <c r="BK144" s="65"/>
      <c r="BL144" s="65"/>
      <c r="BM144" s="65"/>
      <c r="BN144" s="65"/>
      <c r="BO144" s="65"/>
      <c r="BP144" s="65"/>
      <c r="BQ144" s="65"/>
      <c r="BR144" s="65"/>
      <c r="BS144" s="65"/>
      <c r="BT144" s="65"/>
      <c r="BU144" s="65"/>
      <c r="BV144" s="65"/>
      <c r="BW144" s="65"/>
      <c r="BX144" s="65"/>
      <c r="BY144" s="65"/>
      <c r="BZ144" s="65"/>
      <c r="CA144" s="65"/>
      <c r="CB144" s="65"/>
      <c r="CC144" s="65"/>
      <c r="CD144" s="65"/>
      <c r="CE144" s="65"/>
      <c r="CF144" s="65"/>
      <c r="CG144" s="65"/>
      <c r="CH144" s="65"/>
      <c r="CI144" s="65"/>
      <c r="CJ144" s="65"/>
      <c r="CK144" s="65"/>
      <c r="CL144" s="65"/>
      <c r="CM144" s="65"/>
      <c r="CN144" s="65"/>
      <c r="CO144" s="65"/>
      <c r="CP144" s="65"/>
      <c r="CQ144" s="65"/>
      <c r="CR144" s="65"/>
      <c r="CS144" s="65"/>
      <c r="CT144" s="65"/>
      <c r="CU144" s="65"/>
      <c r="CV144" s="65"/>
      <c r="CW144" s="65"/>
      <c r="CX144" s="65"/>
      <c r="CY144" s="65"/>
      <c r="CZ144" s="65"/>
      <c r="DA144" s="65"/>
      <c r="DB144" s="65"/>
      <c r="DC144" s="65"/>
      <c r="DD144" s="65"/>
      <c r="DE144" s="65"/>
      <c r="DF144" s="65"/>
      <c r="DG144" s="65"/>
      <c r="DH144" s="65"/>
      <c r="DI144" s="65"/>
    </row>
    <row r="145" spans="2:113">
      <c r="B145" s="206" t="s">
        <v>286</v>
      </c>
      <c r="C145" s="217">
        <v>18.201789199113065</v>
      </c>
      <c r="D145" s="218">
        <v>421.91803274651699</v>
      </c>
      <c r="E145" s="219">
        <v>1.4999748331532865</v>
      </c>
      <c r="F145" s="219">
        <v>155.61502840016419</v>
      </c>
      <c r="G145" s="224">
        <f t="shared" si="3"/>
        <v>18.201789199113062</v>
      </c>
      <c r="H145" s="221">
        <f t="shared" si="3"/>
        <v>421.91803274651699</v>
      </c>
      <c r="I145" s="224">
        <f t="shared" si="3"/>
        <v>1.4999748331532865</v>
      </c>
      <c r="J145" s="221">
        <f t="shared" si="3"/>
        <v>155.61502840016422</v>
      </c>
      <c r="K145" s="222">
        <f t="shared" si="5"/>
        <v>0</v>
      </c>
      <c r="L145" s="223">
        <f t="shared" si="5"/>
        <v>0</v>
      </c>
      <c r="M145" s="222">
        <v>1.0130803925575276</v>
      </c>
      <c r="N145" s="222">
        <v>124.42651083855017</v>
      </c>
      <c r="O145" s="217">
        <v>81.068863195405626</v>
      </c>
      <c r="P145" s="218">
        <v>1906.8596727609147</v>
      </c>
      <c r="Q145" s="219">
        <v>28.124473171446351</v>
      </c>
      <c r="R145" s="218">
        <v>19.068596727609151</v>
      </c>
      <c r="S145" s="219">
        <v>27.376598600742188</v>
      </c>
      <c r="T145" s="218">
        <v>7.6588717073158037</v>
      </c>
      <c r="U145" s="219">
        <v>0.87515606452372763</v>
      </c>
      <c r="V145" s="219">
        <v>2.3972268443898463</v>
      </c>
      <c r="W145" s="217">
        <v>21.895249912799095</v>
      </c>
      <c r="X145" s="218">
        <v>1001.9709625287953</v>
      </c>
      <c r="Y145" s="219">
        <v>1.2727968492744182</v>
      </c>
      <c r="Z145" s="218">
        <v>380.74896576094227</v>
      </c>
      <c r="AA145" s="219">
        <v>3.687740555251557</v>
      </c>
      <c r="AB145" s="218">
        <v>205.00295594258961</v>
      </c>
      <c r="AC145" s="219">
        <v>1.2828060495785956</v>
      </c>
      <c r="AD145" s="219">
        <v>46.945676910853024</v>
      </c>
      <c r="AE145" s="217">
        <v>8.1089224888156348</v>
      </c>
      <c r="AF145" s="218">
        <v>0</v>
      </c>
      <c r="AG145" s="219">
        <v>2.873600073487466</v>
      </c>
      <c r="AH145" s="218">
        <v>0</v>
      </c>
      <c r="AI145" s="217">
        <v>8.1089224888156348</v>
      </c>
      <c r="AJ145" s="218">
        <v>0</v>
      </c>
      <c r="AK145" s="219">
        <v>2.873600073487466</v>
      </c>
      <c r="AL145" s="218">
        <v>0</v>
      </c>
      <c r="AM145" s="219">
        <v>7.9151862274303015</v>
      </c>
      <c r="AN145" s="218">
        <v>0</v>
      </c>
      <c r="AO145" s="219">
        <v>3.0027723223266514</v>
      </c>
      <c r="AP145" s="218">
        <v>0</v>
      </c>
      <c r="AQ145" s="217">
        <v>0</v>
      </c>
      <c r="AR145" s="218">
        <v>0</v>
      </c>
      <c r="AS145" s="219">
        <v>0</v>
      </c>
      <c r="AT145" s="218">
        <v>0</v>
      </c>
      <c r="AU145" s="65"/>
      <c r="AV145" s="65"/>
      <c r="AW145" s="65"/>
      <c r="AX145" s="65"/>
      <c r="AY145" s="65"/>
      <c r="AZ145" s="65"/>
      <c r="BA145" s="65"/>
      <c r="BB145" s="65"/>
      <c r="BC145" s="65"/>
      <c r="BD145" s="65"/>
      <c r="BE145" s="65"/>
      <c r="BF145" s="65"/>
      <c r="BG145" s="65"/>
      <c r="BH145" s="65"/>
      <c r="BI145" s="65"/>
      <c r="BJ145" s="65"/>
      <c r="BK145" s="65"/>
      <c r="BL145" s="65"/>
      <c r="BM145" s="65"/>
      <c r="BN145" s="65"/>
      <c r="BO145" s="65"/>
      <c r="BP145" s="65"/>
      <c r="BQ145" s="65"/>
      <c r="BR145" s="65"/>
      <c r="BS145" s="65"/>
      <c r="BT145" s="65"/>
      <c r="BU145" s="65"/>
      <c r="BV145" s="65"/>
      <c r="BW145" s="65"/>
      <c r="BX145" s="65"/>
      <c r="BY145" s="65"/>
      <c r="BZ145" s="65"/>
      <c r="CA145" s="65"/>
      <c r="CB145" s="65"/>
      <c r="CC145" s="65"/>
      <c r="CD145" s="65"/>
      <c r="CE145" s="65"/>
      <c r="CF145" s="65"/>
      <c r="CG145" s="65"/>
      <c r="CH145" s="65"/>
      <c r="CI145" s="65"/>
      <c r="CJ145" s="65"/>
      <c r="CK145" s="65"/>
      <c r="CL145" s="65"/>
      <c r="CM145" s="65"/>
      <c r="CN145" s="65"/>
      <c r="CO145" s="65"/>
      <c r="CP145" s="65"/>
      <c r="CQ145" s="65"/>
      <c r="CR145" s="65"/>
      <c r="CS145" s="65"/>
      <c r="CT145" s="65"/>
      <c r="CU145" s="65"/>
      <c r="CV145" s="65"/>
      <c r="CW145" s="65"/>
      <c r="CX145" s="65"/>
      <c r="CY145" s="65"/>
      <c r="CZ145" s="65"/>
      <c r="DA145" s="65"/>
      <c r="DB145" s="65"/>
      <c r="DC145" s="65"/>
      <c r="DD145" s="65"/>
      <c r="DE145" s="65"/>
      <c r="DF145" s="65"/>
      <c r="DG145" s="65"/>
      <c r="DH145" s="65"/>
      <c r="DI145" s="65"/>
    </row>
    <row r="146" spans="2:113">
      <c r="B146" s="206" t="s">
        <v>287</v>
      </c>
      <c r="C146" s="217">
        <v>0.23209326429478555</v>
      </c>
      <c r="D146" s="218">
        <v>1.498695592747344</v>
      </c>
      <c r="E146" s="219">
        <v>8.5796774328130397E-3</v>
      </c>
      <c r="F146" s="219">
        <v>0.51716067241584907</v>
      </c>
      <c r="G146" s="224"/>
      <c r="H146" s="221"/>
      <c r="I146" s="219"/>
      <c r="J146" s="218"/>
      <c r="K146" s="222"/>
      <c r="L146" s="223"/>
      <c r="M146" s="222"/>
      <c r="N146" s="222"/>
      <c r="O146" s="217">
        <v>1.0591469970283567</v>
      </c>
      <c r="P146" s="218">
        <v>2.4294167362891446</v>
      </c>
      <c r="Q146" s="219">
        <v>0.12023213749382444</v>
      </c>
      <c r="R146" s="218">
        <v>2.4294167362891445E-2</v>
      </c>
      <c r="S146" s="219">
        <v>0.34453727287155328</v>
      </c>
      <c r="T146" s="218">
        <v>0.54557298465243187</v>
      </c>
      <c r="U146" s="219">
        <v>6.6585715102967548E-3</v>
      </c>
      <c r="V146" s="219">
        <v>0.1707643441962112</v>
      </c>
      <c r="W146" s="217">
        <v>0.28678093847224967</v>
      </c>
      <c r="X146" s="218">
        <v>2.6945540893751092</v>
      </c>
      <c r="Y146" s="219">
        <v>1.0163273606594496E-2</v>
      </c>
      <c r="Z146" s="218">
        <v>1.0239305539625416</v>
      </c>
      <c r="AA146" s="219">
        <v>1.5440851892500937</v>
      </c>
      <c r="AB146" s="218">
        <v>85.485665162504446</v>
      </c>
      <c r="AC146" s="219">
        <v>7.5209949301623226E-3</v>
      </c>
      <c r="AD146" s="219">
        <v>19.57621732221352</v>
      </c>
      <c r="AE146" s="217">
        <v>7.1414514343755203E-2</v>
      </c>
      <c r="AF146" s="218">
        <v>0</v>
      </c>
      <c r="AG146" s="219">
        <v>9.661573841614533E-3</v>
      </c>
      <c r="AH146" s="218">
        <v>0</v>
      </c>
      <c r="AI146" s="217">
        <v>7.1414514343755203E-2</v>
      </c>
      <c r="AJ146" s="218">
        <v>0</v>
      </c>
      <c r="AK146" s="219">
        <v>9.661573841614533E-3</v>
      </c>
      <c r="AL146" s="218">
        <v>0</v>
      </c>
      <c r="AM146" s="219">
        <v>6.2168853458291276E-2</v>
      </c>
      <c r="AN146" s="218">
        <v>0</v>
      </c>
      <c r="AO146" s="219">
        <v>1.0087247890396712E-2</v>
      </c>
      <c r="AP146" s="218">
        <v>0</v>
      </c>
      <c r="AQ146" s="217">
        <v>0</v>
      </c>
      <c r="AR146" s="218">
        <v>0</v>
      </c>
      <c r="AS146" s="219">
        <v>0</v>
      </c>
      <c r="AT146" s="218">
        <v>0</v>
      </c>
      <c r="AU146" s="65"/>
      <c r="AV146" s="65"/>
      <c r="AW146" s="65"/>
      <c r="AX146" s="65"/>
      <c r="AY146" s="65"/>
      <c r="AZ146" s="65"/>
      <c r="BA146" s="65"/>
      <c r="BB146" s="65"/>
      <c r="BC146" s="65"/>
      <c r="BD146" s="65"/>
      <c r="BE146" s="65"/>
      <c r="BF146" s="65"/>
      <c r="BG146" s="65"/>
      <c r="BH146" s="65"/>
      <c r="BI146" s="65"/>
      <c r="BJ146" s="65"/>
      <c r="BK146" s="65"/>
      <c r="BL146" s="65"/>
      <c r="BM146" s="65"/>
      <c r="BN146" s="65"/>
      <c r="BO146" s="65"/>
      <c r="BP146" s="65"/>
      <c r="BQ146" s="65"/>
      <c r="BR146" s="65"/>
      <c r="BS146" s="65"/>
      <c r="BT146" s="65"/>
      <c r="BU146" s="65"/>
      <c r="BV146" s="65"/>
      <c r="BW146" s="65"/>
      <c r="BX146" s="65"/>
      <c r="BY146" s="65"/>
      <c r="BZ146" s="65"/>
      <c r="CA146" s="65"/>
      <c r="CB146" s="65"/>
      <c r="CC146" s="65"/>
      <c r="CD146" s="65"/>
      <c r="CE146" s="65"/>
      <c r="CF146" s="65"/>
      <c r="CG146" s="65"/>
      <c r="CH146" s="65"/>
      <c r="CI146" s="65"/>
      <c r="CJ146" s="65"/>
      <c r="CK146" s="65"/>
      <c r="CL146" s="65"/>
      <c r="CM146" s="65"/>
      <c r="CN146" s="65"/>
      <c r="CO146" s="65"/>
      <c r="CP146" s="65"/>
      <c r="CQ146" s="65"/>
      <c r="CR146" s="65"/>
      <c r="CS146" s="65"/>
      <c r="CT146" s="65"/>
      <c r="CU146" s="65"/>
      <c r="CV146" s="65"/>
      <c r="CW146" s="65"/>
      <c r="CX146" s="65"/>
      <c r="CY146" s="65"/>
      <c r="CZ146" s="65"/>
      <c r="DA146" s="65"/>
      <c r="DB146" s="65"/>
      <c r="DC146" s="65"/>
      <c r="DD146" s="65"/>
      <c r="DE146" s="65"/>
      <c r="DF146" s="65"/>
      <c r="DG146" s="65"/>
      <c r="DH146" s="65"/>
      <c r="DI146" s="65"/>
    </row>
    <row r="147" spans="2:113">
      <c r="B147" s="206" t="s">
        <v>288</v>
      </c>
      <c r="C147" s="217">
        <v>0.4912058486725126</v>
      </c>
      <c r="D147" s="218">
        <v>3.1342721641230367</v>
      </c>
      <c r="E147" s="219">
        <v>3.5314897256676199E-2</v>
      </c>
      <c r="F147" s="219">
        <v>1.0671949135205363</v>
      </c>
      <c r="G147" s="224"/>
      <c r="H147" s="221"/>
      <c r="I147" s="219"/>
      <c r="J147" s="218"/>
      <c r="K147" s="222"/>
      <c r="L147" s="223"/>
      <c r="M147" s="222"/>
      <c r="N147" s="222"/>
      <c r="O147" s="217">
        <v>2.2648858858196688</v>
      </c>
      <c r="P147" s="218">
        <v>1.7324794400585266</v>
      </c>
      <c r="Q147" s="219">
        <v>0.29206422263418313</v>
      </c>
      <c r="R147" s="218">
        <v>1.7324794400585267E-2</v>
      </c>
      <c r="S147" s="219">
        <v>0.34452031804379862</v>
      </c>
      <c r="T147" s="218">
        <v>1.8368621397118126</v>
      </c>
      <c r="U147" s="219">
        <v>1.038068996712335E-2</v>
      </c>
      <c r="V147" s="219">
        <v>0.57493784972979733</v>
      </c>
      <c r="W147" s="217">
        <v>0.89541269779428645</v>
      </c>
      <c r="X147" s="218">
        <v>5.0757879357996245</v>
      </c>
      <c r="Y147" s="219">
        <v>6.5567047241177456E-2</v>
      </c>
      <c r="Z147" s="218">
        <v>1.9287994156038568</v>
      </c>
      <c r="AA147" s="219">
        <v>1.1028414875043766</v>
      </c>
      <c r="AB147" s="218">
        <v>201.9443974128728</v>
      </c>
      <c r="AC147" s="219">
        <v>2.0548924512451387E-2</v>
      </c>
      <c r="AD147" s="219">
        <v>46.245267007547881</v>
      </c>
      <c r="AE147" s="217">
        <v>9.8438061333568097E-2</v>
      </c>
      <c r="AF147" s="218">
        <v>0</v>
      </c>
      <c r="AG147" s="219">
        <v>2.0303609905397875E-2</v>
      </c>
      <c r="AH147" s="218">
        <v>0</v>
      </c>
      <c r="AI147" s="217">
        <v>9.8438061333568097E-2</v>
      </c>
      <c r="AJ147" s="218">
        <v>0</v>
      </c>
      <c r="AK147" s="219">
        <v>2.0303609905397875E-2</v>
      </c>
      <c r="AL147" s="218">
        <v>0</v>
      </c>
      <c r="AM147" s="219">
        <v>9.0671055240472129E-2</v>
      </c>
      <c r="AN147" s="218">
        <v>0</v>
      </c>
      <c r="AO147" s="219">
        <v>2.1188933409614079E-2</v>
      </c>
      <c r="AP147" s="218">
        <v>0</v>
      </c>
      <c r="AQ147" s="217">
        <v>0</v>
      </c>
      <c r="AR147" s="218">
        <v>0</v>
      </c>
      <c r="AS147" s="219">
        <v>0</v>
      </c>
      <c r="AT147" s="218">
        <v>0</v>
      </c>
      <c r="AU147" s="65"/>
      <c r="AV147" s="65"/>
      <c r="AW147" s="65"/>
      <c r="AX147" s="65"/>
      <c r="AY147" s="65"/>
      <c r="AZ147" s="65"/>
      <c r="BA147" s="65"/>
      <c r="BB147" s="65"/>
      <c r="BC147" s="65"/>
      <c r="BD147" s="65"/>
      <c r="BE147" s="65"/>
      <c r="BF147" s="65"/>
      <c r="BG147" s="65"/>
      <c r="BH147" s="65"/>
      <c r="BI147" s="65"/>
      <c r="BJ147" s="65"/>
      <c r="BK147" s="65"/>
      <c r="BL147" s="65"/>
      <c r="BM147" s="65"/>
      <c r="BN147" s="65"/>
      <c r="BO147" s="65"/>
      <c r="BP147" s="65"/>
      <c r="BQ147" s="65"/>
      <c r="BR147" s="65"/>
      <c r="BS147" s="65"/>
      <c r="BT147" s="65"/>
      <c r="BU147" s="65"/>
      <c r="BV147" s="65"/>
      <c r="BW147" s="65"/>
      <c r="BX147" s="65"/>
      <c r="BY147" s="65"/>
      <c r="BZ147" s="65"/>
      <c r="CA147" s="65"/>
      <c r="CB147" s="65"/>
      <c r="CC147" s="65"/>
      <c r="CD147" s="65"/>
      <c r="CE147" s="65"/>
      <c r="CF147" s="65"/>
      <c r="CG147" s="65"/>
      <c r="CH147" s="65"/>
      <c r="CI147" s="65"/>
      <c r="CJ147" s="65"/>
      <c r="CK147" s="65"/>
      <c r="CL147" s="65"/>
      <c r="CM147" s="65"/>
      <c r="CN147" s="65"/>
      <c r="CO147" s="65"/>
      <c r="CP147" s="65"/>
      <c r="CQ147" s="65"/>
      <c r="CR147" s="65"/>
      <c r="CS147" s="65"/>
      <c r="CT147" s="65"/>
      <c r="CU147" s="65"/>
      <c r="CV147" s="65"/>
      <c r="CW147" s="65"/>
      <c r="CX147" s="65"/>
      <c r="CY147" s="65"/>
      <c r="CZ147" s="65"/>
      <c r="DA147" s="65"/>
      <c r="DB147" s="65"/>
      <c r="DC147" s="65"/>
      <c r="DD147" s="65"/>
      <c r="DE147" s="65"/>
      <c r="DF147" s="65"/>
      <c r="DG147" s="65"/>
      <c r="DH147" s="65"/>
      <c r="DI147" s="65"/>
    </row>
    <row r="148" spans="2:113">
      <c r="B148" s="206" t="s">
        <v>289</v>
      </c>
      <c r="C148" s="217">
        <v>285.79810541825577</v>
      </c>
      <c r="D148" s="218">
        <v>2.5171730986765408</v>
      </c>
      <c r="E148" s="209"/>
      <c r="F148" s="225"/>
      <c r="G148" s="220">
        <f t="shared" ref="G148:H152" si="6">$C$1756*O148+$C$1757*S148+$C$1758*W148+$C$1759*AE148+$C$1760*AA148+$C$1761*AQ148</f>
        <v>285.79810541825572</v>
      </c>
      <c r="H148" s="221">
        <f t="shared" si="6"/>
        <v>2.5171730986765404</v>
      </c>
      <c r="I148" s="209"/>
      <c r="J148" s="226"/>
      <c r="K148" s="222">
        <f t="shared" ref="K148:L152" si="7">$C$1774*O148+$C$1775*S148+$C$1776*W148+$C$1777*AE148+$C$1778*AA148+$C$1779*AQ148</f>
        <v>0</v>
      </c>
      <c r="L148" s="223">
        <f t="shared" si="7"/>
        <v>0</v>
      </c>
      <c r="M148" s="215"/>
      <c r="N148" s="227"/>
      <c r="O148" s="217">
        <v>241.45623545415822</v>
      </c>
      <c r="P148" s="218">
        <v>10.391704577011286</v>
      </c>
      <c r="Q148" s="209"/>
      <c r="R148" s="226"/>
      <c r="S148" s="219">
        <v>374.708402593485</v>
      </c>
      <c r="T148" s="218">
        <v>2.6091788195395127</v>
      </c>
      <c r="U148" s="209"/>
      <c r="V148" s="225"/>
      <c r="W148" s="217">
        <v>454.42847851231812</v>
      </c>
      <c r="X148" s="218">
        <v>3.2597965937061786</v>
      </c>
      <c r="Y148" s="209"/>
      <c r="Z148" s="226"/>
      <c r="AA148" s="225">
        <v>12.139259360826911</v>
      </c>
      <c r="AB148" s="218">
        <v>154.43434857248963</v>
      </c>
      <c r="AC148" s="225"/>
      <c r="AD148" s="225"/>
      <c r="AE148" s="217">
        <v>7.3925856423496246</v>
      </c>
      <c r="AF148" s="218">
        <v>0</v>
      </c>
      <c r="AG148" s="209"/>
      <c r="AH148" s="226"/>
      <c r="AI148" s="217">
        <v>7.3925856423496246</v>
      </c>
      <c r="AJ148" s="218">
        <v>0</v>
      </c>
      <c r="AK148" s="209"/>
      <c r="AL148" s="226"/>
      <c r="AM148" s="219">
        <v>6.9599581785562235</v>
      </c>
      <c r="AN148" s="218">
        <v>0</v>
      </c>
      <c r="AO148" s="225"/>
      <c r="AP148" s="226"/>
      <c r="AQ148" s="217">
        <v>0</v>
      </c>
      <c r="AR148" s="218">
        <v>0</v>
      </c>
      <c r="AS148" s="209"/>
      <c r="AT148" s="226"/>
      <c r="AU148" s="65"/>
      <c r="AV148" s="65"/>
      <c r="AW148" s="65"/>
      <c r="AX148" s="65"/>
      <c r="AY148" s="65"/>
      <c r="AZ148" s="65"/>
      <c r="BA148" s="65"/>
      <c r="BB148" s="65"/>
      <c r="BC148" s="65"/>
      <c r="BD148" s="65"/>
      <c r="BE148" s="65"/>
      <c r="BF148" s="65"/>
      <c r="BG148" s="65"/>
      <c r="BH148" s="65"/>
      <c r="BI148" s="65"/>
      <c r="BJ148" s="65"/>
      <c r="BK148" s="65"/>
      <c r="BL148" s="65"/>
      <c r="BM148" s="65"/>
      <c r="BN148" s="65"/>
      <c r="BO148" s="65"/>
      <c r="BP148" s="65"/>
      <c r="BQ148" s="65"/>
      <c r="BR148" s="65"/>
      <c r="BS148" s="65"/>
      <c r="BT148" s="65"/>
      <c r="BU148" s="65"/>
      <c r="BV148" s="65"/>
      <c r="BW148" s="65"/>
      <c r="BX148" s="65"/>
      <c r="BY148" s="65"/>
      <c r="BZ148" s="65"/>
      <c r="CA148" s="65"/>
      <c r="CB148" s="65"/>
      <c r="CC148" s="65"/>
      <c r="CD148" s="65"/>
      <c r="CE148" s="65"/>
      <c r="CF148" s="65"/>
      <c r="CG148" s="65"/>
      <c r="CH148" s="65"/>
      <c r="CI148" s="65"/>
      <c r="CJ148" s="65"/>
      <c r="CK148" s="65"/>
      <c r="CL148" s="65"/>
      <c r="CM148" s="65"/>
      <c r="CN148" s="65"/>
      <c r="CO148" s="65"/>
      <c r="CP148" s="65"/>
      <c r="CQ148" s="65"/>
      <c r="CR148" s="65"/>
      <c r="CS148" s="65"/>
      <c r="CT148" s="65"/>
      <c r="CU148" s="65"/>
      <c r="CV148" s="65"/>
      <c r="CW148" s="65"/>
      <c r="CX148" s="65"/>
      <c r="CY148" s="65"/>
      <c r="CZ148" s="65"/>
      <c r="DA148" s="65"/>
      <c r="DB148" s="65"/>
      <c r="DC148" s="65"/>
      <c r="DD148" s="65"/>
      <c r="DE148" s="65"/>
      <c r="DF148" s="65"/>
      <c r="DG148" s="65"/>
      <c r="DH148" s="65"/>
      <c r="DI148" s="65"/>
    </row>
    <row r="149" spans="2:113">
      <c r="B149" s="206" t="s">
        <v>290</v>
      </c>
      <c r="C149" s="217">
        <v>0.54712862323581468</v>
      </c>
      <c r="D149" s="218">
        <v>2.1295209740311742</v>
      </c>
      <c r="E149" s="209"/>
      <c r="F149" s="225"/>
      <c r="G149" s="220">
        <f t="shared" si="6"/>
        <v>0.54712862323581457</v>
      </c>
      <c r="H149" s="221">
        <f t="shared" si="6"/>
        <v>2.1295209740311742</v>
      </c>
      <c r="I149" s="209"/>
      <c r="J149" s="226"/>
      <c r="K149" s="222">
        <f t="shared" si="7"/>
        <v>0</v>
      </c>
      <c r="L149" s="223">
        <f t="shared" si="7"/>
        <v>0</v>
      </c>
      <c r="M149" s="215"/>
      <c r="N149" s="227"/>
      <c r="O149" s="217">
        <v>0.67271771722970708</v>
      </c>
      <c r="P149" s="218">
        <v>2.0814628275430778</v>
      </c>
      <c r="Q149" s="209"/>
      <c r="R149" s="226"/>
      <c r="S149" s="219">
        <v>1.8667680893536678</v>
      </c>
      <c r="T149" s="218">
        <v>0.26758799142751039</v>
      </c>
      <c r="U149" s="209"/>
      <c r="V149" s="225"/>
      <c r="W149" s="217">
        <v>0.10398648627461941</v>
      </c>
      <c r="X149" s="218">
        <v>4.889710562808971</v>
      </c>
      <c r="Y149" s="209"/>
      <c r="Z149" s="226"/>
      <c r="AA149" s="225">
        <v>7.9184988679872503E-2</v>
      </c>
      <c r="AB149" s="218">
        <v>20.593336109625664</v>
      </c>
      <c r="AC149" s="225"/>
      <c r="AD149" s="225"/>
      <c r="AE149" s="217">
        <v>5.896097418611846E-2</v>
      </c>
      <c r="AF149" s="218">
        <v>0</v>
      </c>
      <c r="AG149" s="209"/>
      <c r="AH149" s="226"/>
      <c r="AI149" s="217">
        <v>5.896097418611846E-2</v>
      </c>
      <c r="AJ149" s="218">
        <v>0</v>
      </c>
      <c r="AK149" s="209"/>
      <c r="AL149" s="226"/>
      <c r="AM149" s="219">
        <v>5.6255874929732073E-2</v>
      </c>
      <c r="AN149" s="218">
        <v>0</v>
      </c>
      <c r="AO149" s="225"/>
      <c r="AP149" s="226"/>
      <c r="AQ149" s="217">
        <v>0</v>
      </c>
      <c r="AR149" s="218">
        <v>0</v>
      </c>
      <c r="AS149" s="209"/>
      <c r="AT149" s="226"/>
      <c r="AU149" s="65"/>
      <c r="AV149" s="65"/>
      <c r="AW149" s="65"/>
      <c r="AX149" s="65"/>
      <c r="AY149" s="65"/>
      <c r="AZ149" s="65"/>
      <c r="BA149" s="65"/>
      <c r="BB149" s="65"/>
      <c r="BC149" s="65"/>
      <c r="BD149" s="65"/>
      <c r="BE149" s="65"/>
      <c r="BF149" s="65"/>
      <c r="BG149" s="65"/>
      <c r="BH149" s="65"/>
      <c r="BI149" s="65"/>
      <c r="BJ149" s="65"/>
      <c r="BK149" s="65"/>
      <c r="BL149" s="65"/>
      <c r="BM149" s="65"/>
      <c r="BN149" s="65"/>
      <c r="BO149" s="65"/>
      <c r="BP149" s="65"/>
      <c r="BQ149" s="65"/>
      <c r="BR149" s="65"/>
      <c r="BS149" s="65"/>
      <c r="BT149" s="65"/>
      <c r="BU149" s="65"/>
      <c r="BV149" s="65"/>
      <c r="BW149" s="65"/>
      <c r="BX149" s="65"/>
      <c r="BY149" s="65"/>
      <c r="BZ149" s="65"/>
      <c r="CA149" s="65"/>
      <c r="CB149" s="65"/>
      <c r="CC149" s="65"/>
      <c r="CD149" s="65"/>
      <c r="CE149" s="65"/>
      <c r="CF149" s="65"/>
      <c r="CG149" s="65"/>
      <c r="CH149" s="65"/>
      <c r="CI149" s="65"/>
      <c r="CJ149" s="65"/>
      <c r="CK149" s="65"/>
      <c r="CL149" s="65"/>
      <c r="CM149" s="65"/>
      <c r="CN149" s="65"/>
      <c r="CO149" s="65"/>
      <c r="CP149" s="65"/>
      <c r="CQ149" s="65"/>
      <c r="CR149" s="65"/>
      <c r="CS149" s="65"/>
      <c r="CT149" s="65"/>
      <c r="CU149" s="65"/>
      <c r="CV149" s="65"/>
      <c r="CW149" s="65"/>
      <c r="CX149" s="65"/>
      <c r="CY149" s="65"/>
      <c r="CZ149" s="65"/>
      <c r="DA149" s="65"/>
      <c r="DB149" s="65"/>
      <c r="DC149" s="65"/>
      <c r="DD149" s="65"/>
      <c r="DE149" s="65"/>
      <c r="DF149" s="65"/>
      <c r="DG149" s="65"/>
      <c r="DH149" s="65"/>
      <c r="DI149" s="65"/>
    </row>
    <row r="150" spans="2:113">
      <c r="B150" s="206" t="s">
        <v>291</v>
      </c>
      <c r="C150" s="207">
        <v>6748.0381351753467</v>
      </c>
      <c r="D150" s="208">
        <v>163434.01978437451</v>
      </c>
      <c r="E150" s="209"/>
      <c r="F150" s="210"/>
      <c r="G150" s="211">
        <f t="shared" si="6"/>
        <v>6748.0381351753458</v>
      </c>
      <c r="H150" s="212">
        <f t="shared" si="6"/>
        <v>163434.01978437451</v>
      </c>
      <c r="I150" s="209"/>
      <c r="J150" s="208"/>
      <c r="K150" s="213">
        <f t="shared" si="7"/>
        <v>0</v>
      </c>
      <c r="L150" s="214">
        <f t="shared" si="7"/>
        <v>0</v>
      </c>
      <c r="M150" s="215"/>
      <c r="N150" s="213"/>
      <c r="O150" s="207">
        <v>34750.272126025615</v>
      </c>
      <c r="P150" s="208">
        <v>285238.82218469249</v>
      </c>
      <c r="Q150" s="209"/>
      <c r="R150" s="208"/>
      <c r="S150" s="210">
        <v>13827.338903514175</v>
      </c>
      <c r="T150" s="208">
        <v>138408.74325430926</v>
      </c>
      <c r="U150" s="209"/>
      <c r="V150" s="210"/>
      <c r="W150" s="207">
        <v>5287.6325459959362</v>
      </c>
      <c r="X150" s="208">
        <v>308270.4265732278</v>
      </c>
      <c r="Y150" s="209"/>
      <c r="Z150" s="208"/>
      <c r="AA150" s="210">
        <v>12626.754175175678</v>
      </c>
      <c r="AB150" s="208">
        <v>-2898.3875003595517</v>
      </c>
      <c r="AC150" s="210"/>
      <c r="AD150" s="210"/>
      <c r="AE150" s="207">
        <v>3635.5056198323955</v>
      </c>
      <c r="AF150" s="208">
        <v>0</v>
      </c>
      <c r="AG150" s="209"/>
      <c r="AH150" s="208"/>
      <c r="AI150" s="207">
        <v>3635.5056198323955</v>
      </c>
      <c r="AJ150" s="208">
        <v>0</v>
      </c>
      <c r="AK150" s="209"/>
      <c r="AL150" s="208"/>
      <c r="AM150" s="210">
        <v>3473.57784927494</v>
      </c>
      <c r="AN150" s="208">
        <v>0</v>
      </c>
      <c r="AO150" s="210"/>
      <c r="AP150" s="208"/>
      <c r="AQ150" s="207">
        <v>0</v>
      </c>
      <c r="AR150" s="208">
        <v>967.06851646081054</v>
      </c>
      <c r="AS150" s="209"/>
      <c r="AT150" s="208"/>
      <c r="AU150" s="65"/>
      <c r="AV150" s="65"/>
      <c r="AW150" s="65"/>
      <c r="AX150" s="65"/>
      <c r="AY150" s="65"/>
      <c r="AZ150" s="65"/>
      <c r="BA150" s="65"/>
      <c r="BB150" s="65"/>
      <c r="BC150" s="65"/>
      <c r="BD150" s="65"/>
      <c r="BE150" s="65"/>
      <c r="BF150" s="65"/>
      <c r="BG150" s="65"/>
      <c r="BH150" s="65"/>
      <c r="BI150" s="65"/>
      <c r="BJ150" s="65"/>
      <c r="BK150" s="65"/>
      <c r="BL150" s="65"/>
      <c r="BM150" s="65"/>
      <c r="BN150" s="65"/>
      <c r="BO150" s="65"/>
      <c r="BP150" s="65"/>
      <c r="BQ150" s="65"/>
      <c r="BR150" s="65"/>
      <c r="BS150" s="65"/>
      <c r="BT150" s="65"/>
      <c r="BU150" s="65"/>
      <c r="BV150" s="65"/>
      <c r="BW150" s="65"/>
      <c r="BX150" s="65"/>
      <c r="BY150" s="65"/>
      <c r="BZ150" s="65"/>
      <c r="CA150" s="65"/>
      <c r="CB150" s="65"/>
      <c r="CC150" s="65"/>
      <c r="CD150" s="65"/>
      <c r="CE150" s="65"/>
      <c r="CF150" s="65"/>
      <c r="CG150" s="65"/>
      <c r="CH150" s="65"/>
      <c r="CI150" s="65"/>
      <c r="CJ150" s="65"/>
      <c r="CK150" s="65"/>
      <c r="CL150" s="65"/>
      <c r="CM150" s="65"/>
      <c r="CN150" s="65"/>
      <c r="CO150" s="65"/>
      <c r="CP150" s="65"/>
      <c r="CQ150" s="65"/>
      <c r="CR150" s="65"/>
      <c r="CS150" s="65"/>
      <c r="CT150" s="65"/>
      <c r="CU150" s="65"/>
      <c r="CV150" s="65"/>
      <c r="CW150" s="65"/>
      <c r="CX150" s="65"/>
      <c r="CY150" s="65"/>
      <c r="CZ150" s="65"/>
      <c r="DA150" s="65"/>
      <c r="DB150" s="65"/>
      <c r="DC150" s="65"/>
      <c r="DD150" s="65"/>
      <c r="DE150" s="65"/>
      <c r="DF150" s="65"/>
      <c r="DG150" s="65"/>
      <c r="DH150" s="65"/>
      <c r="DI150" s="65"/>
    </row>
    <row r="151" spans="2:113">
      <c r="B151" s="206" t="s">
        <v>292</v>
      </c>
      <c r="C151" s="207">
        <v>6826.8315830145521</v>
      </c>
      <c r="D151" s="208">
        <v>163501.05123715158</v>
      </c>
      <c r="E151" s="209"/>
      <c r="F151" s="210"/>
      <c r="G151" s="211">
        <f t="shared" si="6"/>
        <v>6826.8315830145521</v>
      </c>
      <c r="H151" s="212">
        <f t="shared" si="6"/>
        <v>163501.05123715155</v>
      </c>
      <c r="I151" s="209"/>
      <c r="J151" s="208"/>
      <c r="K151" s="213">
        <f t="shared" si="7"/>
        <v>0</v>
      </c>
      <c r="L151" s="214">
        <f t="shared" si="7"/>
        <v>0</v>
      </c>
      <c r="M151" s="215"/>
      <c r="N151" s="213"/>
      <c r="O151" s="207">
        <v>34880.841403020742</v>
      </c>
      <c r="P151" s="208">
        <v>285322.2471829087</v>
      </c>
      <c r="Q151" s="209"/>
      <c r="R151" s="208"/>
      <c r="S151" s="210">
        <v>13974.931535978101</v>
      </c>
      <c r="T151" s="208">
        <v>138520.09895981202</v>
      </c>
      <c r="U151" s="209"/>
      <c r="V151" s="210"/>
      <c r="W151" s="207">
        <v>5378.9342152845911</v>
      </c>
      <c r="X151" s="208">
        <v>308344.86565699329</v>
      </c>
      <c r="Y151" s="209"/>
      <c r="Z151" s="208"/>
      <c r="AA151" s="210">
        <v>12685.220358710323</v>
      </c>
      <c r="AB151" s="208">
        <v>-424.69445857434312</v>
      </c>
      <c r="AC151" s="210"/>
      <c r="AD151" s="210"/>
      <c r="AE151" s="207">
        <v>3645.8577291194415</v>
      </c>
      <c r="AF151" s="208">
        <v>0</v>
      </c>
      <c r="AG151" s="209"/>
      <c r="AH151" s="208"/>
      <c r="AI151" s="207">
        <v>3645.8577291194415</v>
      </c>
      <c r="AJ151" s="208">
        <v>0</v>
      </c>
      <c r="AK151" s="209"/>
      <c r="AL151" s="208"/>
      <c r="AM151" s="210">
        <v>3482.4913099847913</v>
      </c>
      <c r="AN151" s="208">
        <v>0</v>
      </c>
      <c r="AO151" s="210"/>
      <c r="AP151" s="208"/>
      <c r="AQ151" s="207">
        <v>0</v>
      </c>
      <c r="AR151" s="208">
        <v>967.06851646081054</v>
      </c>
      <c r="AS151" s="209"/>
      <c r="AT151" s="208"/>
      <c r="AU151" s="65"/>
      <c r="AV151" s="65"/>
      <c r="AW151" s="65"/>
      <c r="AX151" s="65"/>
      <c r="AY151" s="65"/>
      <c r="AZ151" s="65"/>
      <c r="BA151" s="65"/>
      <c r="BB151" s="65"/>
      <c r="BC151" s="65"/>
      <c r="BD151" s="65"/>
      <c r="BE151" s="65"/>
      <c r="BF151" s="65"/>
      <c r="BG151" s="65"/>
      <c r="BH151" s="65"/>
      <c r="BI151" s="65"/>
      <c r="BJ151" s="65"/>
      <c r="BK151" s="65"/>
      <c r="BL151" s="65"/>
      <c r="BM151" s="65"/>
      <c r="BN151" s="65"/>
      <c r="BO151" s="65"/>
      <c r="BP151" s="65"/>
      <c r="BQ151" s="65"/>
      <c r="BR151" s="65"/>
      <c r="BS151" s="65"/>
      <c r="BT151" s="65"/>
      <c r="BU151" s="65"/>
      <c r="BV151" s="65"/>
      <c r="BW151" s="65"/>
      <c r="BX151" s="65"/>
      <c r="BY151" s="65"/>
      <c r="BZ151" s="65"/>
      <c r="CA151" s="65"/>
      <c r="CB151" s="65"/>
      <c r="CC151" s="65"/>
      <c r="CD151" s="65"/>
      <c r="CE151" s="65"/>
      <c r="CF151" s="65"/>
      <c r="CG151" s="65"/>
      <c r="CH151" s="65"/>
      <c r="CI151" s="65"/>
      <c r="CJ151" s="65"/>
      <c r="CK151" s="65"/>
      <c r="CL151" s="65"/>
      <c r="CM151" s="65"/>
      <c r="CN151" s="65"/>
      <c r="CO151" s="65"/>
      <c r="CP151" s="65"/>
      <c r="CQ151" s="65"/>
      <c r="CR151" s="65"/>
      <c r="CS151" s="65"/>
      <c r="CT151" s="65"/>
      <c r="CU151" s="65"/>
      <c r="CV151" s="65"/>
      <c r="CW151" s="65"/>
      <c r="CX151" s="65"/>
      <c r="CY151" s="65"/>
      <c r="CZ151" s="65"/>
      <c r="DA151" s="65"/>
      <c r="DB151" s="65"/>
      <c r="DC151" s="65"/>
      <c r="DD151" s="65"/>
      <c r="DE151" s="65"/>
      <c r="DF151" s="65"/>
      <c r="DG151" s="65"/>
      <c r="DH151" s="65"/>
      <c r="DI151" s="65"/>
    </row>
    <row r="152" spans="2:113" s="234" customFormat="1">
      <c r="B152" s="228" t="s">
        <v>293</v>
      </c>
      <c r="C152" s="229">
        <v>15545.763830719716</v>
      </c>
      <c r="D152" s="230">
        <v>164140.88948823014</v>
      </c>
      <c r="E152" s="231"/>
      <c r="F152" s="232"/>
      <c r="G152" s="229">
        <f t="shared" si="6"/>
        <v>15545.763830719716</v>
      </c>
      <c r="H152" s="230">
        <f t="shared" si="6"/>
        <v>164140.88948823011</v>
      </c>
      <c r="I152" s="231"/>
      <c r="J152" s="230"/>
      <c r="K152" s="232">
        <f t="shared" si="7"/>
        <v>0</v>
      </c>
      <c r="L152" s="230">
        <f t="shared" si="7"/>
        <v>0</v>
      </c>
      <c r="M152" s="231"/>
      <c r="N152" s="232"/>
      <c r="O152" s="229">
        <v>42302.798661711364</v>
      </c>
      <c r="P152" s="230">
        <v>286185.58596951794</v>
      </c>
      <c r="Q152" s="231"/>
      <c r="R152" s="230"/>
      <c r="S152" s="232">
        <v>25710.877157461375</v>
      </c>
      <c r="T152" s="230">
        <v>138669.28514212649</v>
      </c>
      <c r="U152" s="231"/>
      <c r="V152" s="232"/>
      <c r="W152" s="229">
        <v>19039.344989516911</v>
      </c>
      <c r="X152" s="230">
        <v>309738.43285394885</v>
      </c>
      <c r="Y152" s="231"/>
      <c r="Z152" s="230"/>
      <c r="AA152" s="232">
        <v>13070.382161535297</v>
      </c>
      <c r="AB152" s="230">
        <v>9665.5700676511478</v>
      </c>
      <c r="AC152" s="232"/>
      <c r="AD152" s="232"/>
      <c r="AE152" s="229">
        <v>3883.2599565492515</v>
      </c>
      <c r="AF152" s="230">
        <v>0</v>
      </c>
      <c r="AG152" s="231"/>
      <c r="AH152" s="230"/>
      <c r="AI152" s="229">
        <v>3883.2599565492515</v>
      </c>
      <c r="AJ152" s="230">
        <v>0</v>
      </c>
      <c r="AK152" s="231"/>
      <c r="AL152" s="230"/>
      <c r="AM152" s="232">
        <v>3706.1978621978569</v>
      </c>
      <c r="AN152" s="230">
        <v>0</v>
      </c>
      <c r="AO152" s="232"/>
      <c r="AP152" s="230"/>
      <c r="AQ152" s="229">
        <v>0</v>
      </c>
      <c r="AR152" s="230">
        <v>967.06851646081054</v>
      </c>
      <c r="AS152" s="231"/>
      <c r="AT152" s="230"/>
      <c r="AU152" s="233"/>
      <c r="AV152" s="233"/>
      <c r="AW152" s="233"/>
      <c r="AX152" s="233"/>
      <c r="AY152" s="233"/>
      <c r="AZ152" s="233"/>
      <c r="BA152" s="233"/>
      <c r="BB152" s="233"/>
      <c r="BC152" s="233"/>
      <c r="BD152" s="233"/>
      <c r="BE152" s="233"/>
      <c r="BF152" s="233"/>
      <c r="BG152" s="233"/>
      <c r="BH152" s="233"/>
      <c r="BI152" s="233"/>
      <c r="BJ152" s="233"/>
      <c r="BK152" s="233"/>
      <c r="BL152" s="233"/>
      <c r="BM152" s="233"/>
      <c r="BN152" s="233"/>
      <c r="BO152" s="233"/>
      <c r="BP152" s="233"/>
      <c r="BQ152" s="233"/>
      <c r="BR152" s="233"/>
      <c r="BS152" s="233"/>
      <c r="BT152" s="233"/>
      <c r="BU152" s="233"/>
      <c r="BV152" s="233"/>
      <c r="BW152" s="233"/>
      <c r="BX152" s="233"/>
      <c r="BY152" s="233"/>
      <c r="BZ152" s="233"/>
      <c r="CA152" s="233"/>
      <c r="CB152" s="233"/>
      <c r="CC152" s="233"/>
      <c r="CD152" s="233"/>
      <c r="CE152" s="233"/>
      <c r="CF152" s="233"/>
      <c r="CG152" s="233"/>
      <c r="CH152" s="233"/>
      <c r="CI152" s="233"/>
      <c r="CJ152" s="233"/>
      <c r="CK152" s="233"/>
      <c r="CL152" s="233"/>
      <c r="CM152" s="233"/>
      <c r="CN152" s="233"/>
      <c r="CO152" s="233"/>
      <c r="CP152" s="233"/>
      <c r="CQ152" s="233"/>
      <c r="CR152" s="233"/>
      <c r="CS152" s="233"/>
      <c r="CT152" s="233"/>
      <c r="CU152" s="233"/>
      <c r="CV152" s="233"/>
      <c r="CW152" s="233"/>
      <c r="CX152" s="233"/>
      <c r="CY152" s="233"/>
      <c r="CZ152" s="233"/>
      <c r="DA152" s="233"/>
      <c r="DB152" s="233"/>
      <c r="DC152" s="233"/>
      <c r="DD152" s="233"/>
      <c r="DE152" s="233"/>
      <c r="DF152" s="233"/>
      <c r="DG152" s="233"/>
      <c r="DH152" s="233"/>
      <c r="DI152" s="233"/>
    </row>
    <row r="153" spans="2:113" s="238" customFormat="1">
      <c r="B153" s="235"/>
      <c r="C153" s="236"/>
      <c r="D153" s="236"/>
      <c r="E153" s="235"/>
      <c r="F153" s="236"/>
      <c r="G153" s="236"/>
      <c r="H153" s="236"/>
      <c r="I153" s="235"/>
      <c r="J153" s="236"/>
      <c r="K153" s="236"/>
      <c r="L153" s="236"/>
      <c r="M153" s="235"/>
      <c r="N153" s="236"/>
      <c r="O153" s="236"/>
      <c r="P153" s="236"/>
      <c r="Q153" s="235"/>
      <c r="R153" s="236"/>
      <c r="S153" s="236"/>
      <c r="T153" s="236"/>
      <c r="U153" s="235"/>
      <c r="V153" s="236"/>
      <c r="W153" s="236"/>
      <c r="X153" s="236"/>
      <c r="Y153" s="235"/>
      <c r="Z153" s="236"/>
      <c r="AA153" s="236"/>
      <c r="AB153" s="236"/>
      <c r="AC153" s="236"/>
      <c r="AD153" s="236"/>
      <c r="AE153" s="236"/>
      <c r="AF153" s="236"/>
      <c r="AG153" s="235"/>
      <c r="AH153" s="236"/>
      <c r="AI153" s="236"/>
      <c r="AJ153" s="236"/>
      <c r="AK153" s="235"/>
      <c r="AL153" s="236"/>
      <c r="AM153" s="236"/>
      <c r="AN153" s="236"/>
      <c r="AO153" s="236"/>
      <c r="AP153" s="236"/>
      <c r="AQ153" s="236"/>
      <c r="AR153" s="236"/>
      <c r="AS153" s="235"/>
      <c r="AT153" s="236"/>
      <c r="AU153" s="237"/>
      <c r="AV153" s="237"/>
      <c r="AW153" s="237"/>
      <c r="AX153" s="237"/>
      <c r="AY153" s="237"/>
      <c r="AZ153" s="237"/>
      <c r="BA153" s="237"/>
      <c r="BB153" s="237"/>
      <c r="BC153" s="237"/>
      <c r="BD153" s="237"/>
      <c r="BE153" s="237"/>
      <c r="BF153" s="237"/>
      <c r="BG153" s="237"/>
      <c r="BH153" s="237"/>
      <c r="BI153" s="237"/>
      <c r="BJ153" s="237"/>
      <c r="BK153" s="237"/>
      <c r="BL153" s="237"/>
      <c r="BM153" s="237"/>
      <c r="BN153" s="237"/>
      <c r="BO153" s="237"/>
      <c r="BP153" s="237"/>
      <c r="BQ153" s="237"/>
      <c r="BR153" s="237"/>
      <c r="BS153" s="237"/>
      <c r="BT153" s="237"/>
      <c r="BU153" s="237"/>
      <c r="BV153" s="237"/>
      <c r="BW153" s="237"/>
      <c r="BX153" s="237"/>
      <c r="BY153" s="237"/>
      <c r="BZ153" s="237"/>
      <c r="CA153" s="237"/>
      <c r="CB153" s="237"/>
      <c r="CC153" s="237"/>
      <c r="CD153" s="237"/>
      <c r="CE153" s="237"/>
      <c r="CF153" s="237"/>
      <c r="CG153" s="237"/>
      <c r="CH153" s="237"/>
      <c r="CI153" s="237"/>
      <c r="CJ153" s="237"/>
      <c r="CK153" s="237"/>
      <c r="CL153" s="237"/>
      <c r="CM153" s="237"/>
      <c r="CN153" s="237"/>
      <c r="CO153" s="237"/>
      <c r="CP153" s="237"/>
      <c r="CQ153" s="237"/>
      <c r="CR153" s="237"/>
      <c r="CS153" s="237"/>
      <c r="CT153" s="237"/>
      <c r="CU153" s="237"/>
      <c r="CV153" s="237"/>
      <c r="CW153" s="237"/>
      <c r="CX153" s="237"/>
      <c r="CY153" s="237"/>
      <c r="CZ153" s="237"/>
      <c r="DA153" s="237"/>
      <c r="DB153" s="237"/>
      <c r="DC153" s="237"/>
      <c r="DD153" s="237"/>
      <c r="DE153" s="237"/>
      <c r="DF153" s="237"/>
      <c r="DG153" s="237"/>
      <c r="DH153" s="237"/>
      <c r="DI153" s="237"/>
    </row>
    <row r="154" spans="2:113" s="238" customFormat="1">
      <c r="B154" s="235" t="s">
        <v>294</v>
      </c>
      <c r="C154" s="239">
        <v>6.5000000000000002E-2</v>
      </c>
      <c r="D154" s="236" t="s">
        <v>295</v>
      </c>
      <c r="E154" s="235"/>
      <c r="F154" s="236"/>
      <c r="G154" s="236"/>
      <c r="H154" s="236"/>
      <c r="I154" s="235"/>
      <c r="J154" s="236"/>
      <c r="K154" s="236"/>
      <c r="L154" s="236"/>
      <c r="M154" s="235"/>
      <c r="N154" s="236"/>
      <c r="O154" s="236"/>
      <c r="P154" s="236"/>
      <c r="Q154" s="235"/>
      <c r="R154" s="236"/>
      <c r="S154" s="236"/>
      <c r="T154" s="236"/>
      <c r="U154" s="235"/>
      <c r="V154" s="236"/>
      <c r="W154" s="236"/>
      <c r="X154" s="236"/>
      <c r="Y154" s="235"/>
      <c r="Z154" s="236"/>
      <c r="AA154" s="236"/>
      <c r="AB154" s="236"/>
      <c r="AC154" s="236"/>
      <c r="AD154" s="236"/>
      <c r="AE154" s="236"/>
      <c r="AF154" s="236"/>
      <c r="AG154" s="235"/>
      <c r="AH154" s="236"/>
      <c r="AI154" s="236"/>
      <c r="AJ154" s="236"/>
      <c r="AK154" s="235"/>
      <c r="AL154" s="236"/>
      <c r="AM154" s="236"/>
      <c r="AN154" s="236"/>
      <c r="AO154" s="236"/>
      <c r="AP154" s="236"/>
      <c r="AQ154" s="236"/>
      <c r="AR154" s="236"/>
      <c r="AS154" s="235"/>
      <c r="AT154" s="236"/>
      <c r="AU154" s="237"/>
      <c r="AV154" s="237"/>
      <c r="AW154" s="237"/>
      <c r="AX154" s="237"/>
      <c r="AY154" s="237"/>
      <c r="AZ154" s="237"/>
      <c r="BA154" s="237"/>
      <c r="BB154" s="237"/>
      <c r="BC154" s="237"/>
      <c r="BD154" s="237"/>
      <c r="BE154" s="237"/>
      <c r="BF154" s="237"/>
      <c r="BG154" s="237"/>
      <c r="BH154" s="237"/>
      <c r="BI154" s="237"/>
      <c r="BJ154" s="237"/>
      <c r="BK154" s="237"/>
      <c r="BL154" s="237"/>
      <c r="BM154" s="237"/>
      <c r="BN154" s="237"/>
      <c r="BO154" s="237"/>
      <c r="BP154" s="237"/>
      <c r="BQ154" s="237"/>
      <c r="BR154" s="237"/>
      <c r="BS154" s="237"/>
      <c r="BT154" s="237"/>
      <c r="BU154" s="237"/>
      <c r="BV154" s="237"/>
      <c r="BW154" s="237"/>
      <c r="BX154" s="237"/>
      <c r="BY154" s="237"/>
      <c r="BZ154" s="237"/>
      <c r="CA154" s="237"/>
      <c r="CB154" s="237"/>
      <c r="CC154" s="237"/>
      <c r="CD154" s="237"/>
      <c r="CE154" s="237"/>
      <c r="CF154" s="237"/>
      <c r="CG154" s="237"/>
      <c r="CH154" s="237"/>
      <c r="CI154" s="237"/>
      <c r="CJ154" s="237"/>
      <c r="CK154" s="237"/>
      <c r="CL154" s="237"/>
      <c r="CM154" s="237"/>
      <c r="CN154" s="237"/>
      <c r="CO154" s="237"/>
      <c r="CP154" s="237"/>
      <c r="CQ154" s="237"/>
      <c r="CR154" s="237"/>
      <c r="CS154" s="237"/>
      <c r="CT154" s="237"/>
      <c r="CU154" s="237"/>
      <c r="CV154" s="237"/>
      <c r="CW154" s="237"/>
      <c r="CX154" s="237"/>
      <c r="CY154" s="237"/>
      <c r="CZ154" s="237"/>
      <c r="DA154" s="237"/>
      <c r="DB154" s="237"/>
      <c r="DC154" s="237"/>
      <c r="DD154" s="237"/>
      <c r="DE154" s="237"/>
      <c r="DF154" s="237"/>
      <c r="DG154" s="237"/>
      <c r="DH154" s="237"/>
      <c r="DI154" s="237"/>
    </row>
    <row r="155" spans="2:113" s="238" customFormat="1">
      <c r="B155" s="235"/>
      <c r="C155" s="236"/>
      <c r="D155" s="236"/>
      <c r="E155" s="235"/>
      <c r="F155" s="236"/>
      <c r="G155" s="236"/>
      <c r="H155" s="236"/>
      <c r="I155" s="235"/>
      <c r="J155" s="236"/>
      <c r="K155" s="236"/>
      <c r="L155" s="236"/>
      <c r="M155" s="235"/>
      <c r="N155" s="236"/>
      <c r="O155" s="236"/>
      <c r="P155" s="236"/>
      <c r="Q155" s="235"/>
      <c r="R155" s="236"/>
      <c r="S155" s="236"/>
      <c r="T155" s="236"/>
      <c r="U155" s="235"/>
      <c r="V155" s="236"/>
      <c r="W155" s="236"/>
      <c r="X155" s="236"/>
      <c r="Y155" s="235"/>
      <c r="Z155" s="236"/>
      <c r="AA155" s="236"/>
      <c r="AB155" s="236"/>
      <c r="AC155" s="236"/>
      <c r="AD155" s="236"/>
      <c r="AE155" s="236"/>
      <c r="AF155" s="236"/>
      <c r="AG155" s="235"/>
      <c r="AH155" s="236"/>
      <c r="AI155" s="236"/>
      <c r="AJ155" s="236"/>
      <c r="AK155" s="235"/>
      <c r="AL155" s="236"/>
      <c r="AM155" s="236"/>
      <c r="AN155" s="236"/>
      <c r="AO155" s="236"/>
      <c r="AP155" s="236"/>
      <c r="AQ155" s="236"/>
      <c r="AR155" s="236"/>
      <c r="AS155" s="235"/>
      <c r="AT155" s="236"/>
      <c r="AU155" s="237"/>
      <c r="AV155" s="237"/>
      <c r="AW155" s="237"/>
      <c r="AX155" s="237"/>
      <c r="AY155" s="237"/>
      <c r="AZ155" s="237"/>
      <c r="BA155" s="237"/>
      <c r="BB155" s="237"/>
      <c r="BC155" s="237"/>
      <c r="BD155" s="237"/>
      <c r="BE155" s="237"/>
      <c r="BF155" s="237"/>
      <c r="BG155" s="237"/>
      <c r="BH155" s="237"/>
      <c r="BI155" s="237"/>
      <c r="BJ155" s="237"/>
      <c r="BK155" s="237"/>
      <c r="BL155" s="237"/>
      <c r="BM155" s="237"/>
      <c r="BN155" s="237"/>
      <c r="BO155" s="237"/>
      <c r="BP155" s="237"/>
      <c r="BQ155" s="237"/>
      <c r="BR155" s="237"/>
      <c r="BS155" s="237"/>
      <c r="BT155" s="237"/>
      <c r="BU155" s="237"/>
      <c r="BV155" s="237"/>
      <c r="BW155" s="237"/>
      <c r="BX155" s="237"/>
      <c r="BY155" s="237"/>
      <c r="BZ155" s="237"/>
      <c r="CA155" s="237"/>
      <c r="CB155" s="237"/>
      <c r="CC155" s="237"/>
      <c r="CD155" s="237"/>
      <c r="CE155" s="237"/>
      <c r="CF155" s="237"/>
      <c r="CG155" s="237"/>
      <c r="CH155" s="237"/>
      <c r="CI155" s="237"/>
      <c r="CJ155" s="237"/>
      <c r="CK155" s="237"/>
      <c r="CL155" s="237"/>
      <c r="CM155" s="237"/>
      <c r="CN155" s="237"/>
      <c r="CO155" s="237"/>
      <c r="CP155" s="237"/>
      <c r="CQ155" s="237"/>
      <c r="CR155" s="237"/>
      <c r="CS155" s="237"/>
      <c r="CT155" s="237"/>
      <c r="CU155" s="237"/>
      <c r="CV155" s="237"/>
      <c r="CW155" s="237"/>
      <c r="CX155" s="237"/>
      <c r="CY155" s="237"/>
      <c r="CZ155" s="237"/>
      <c r="DA155" s="237"/>
      <c r="DB155" s="237"/>
      <c r="DC155" s="237"/>
      <c r="DD155" s="237"/>
      <c r="DE155" s="237"/>
      <c r="DF155" s="237"/>
      <c r="DG155" s="237"/>
      <c r="DH155" s="237"/>
      <c r="DI155" s="237"/>
    </row>
    <row r="156" spans="2:113" ht="19">
      <c r="B156" s="240" t="s">
        <v>296</v>
      </c>
    </row>
    <row r="157" spans="2:113">
      <c r="B157" s="241" t="str">
        <f>AFLEET_look_up_tables</f>
        <v>AFLEET Look Up Tables</v>
      </c>
    </row>
    <row r="158" spans="2:113">
      <c r="B158" s="241" t="str">
        <f>Fuel_Cost_Data</f>
        <v>Fuel Cost Data</v>
      </c>
    </row>
    <row r="159" spans="2:113">
      <c r="B159" s="241" t="str">
        <f>Vehicle_Cost_Data</f>
        <v>Vehicle Cost Data</v>
      </c>
    </row>
    <row r="160" spans="2:113">
      <c r="B160" s="241" t="str">
        <f>Infrastructure_Cost_Data</f>
        <v>Infrastructure Cost Data</v>
      </c>
    </row>
    <row r="161" spans="1:113">
      <c r="B161" s="241" t="str">
        <f>greet_specs</f>
        <v>GREET Fleet Specifications</v>
      </c>
    </row>
    <row r="162" spans="1:113">
      <c r="B162" s="241" t="str">
        <f>state_emissions</f>
        <v>State Emission Factors</v>
      </c>
    </row>
    <row r="163" spans="1:113">
      <c r="B163" s="241" t="str">
        <f>national_emissions</f>
        <v>National Emission Factors</v>
      </c>
    </row>
    <row r="164" spans="1:113">
      <c r="B164" s="241" t="str">
        <f>alternative_emissions</f>
        <v>Alternative Fuel Emission Factor Multipliers</v>
      </c>
    </row>
    <row r="165" spans="1:113">
      <c r="B165" s="241" t="s">
        <v>297</v>
      </c>
    </row>
    <row r="166" spans="1:113">
      <c r="B166" s="241" t="str">
        <f>Externality_Cost_Data</f>
        <v>Externality Cost Data</v>
      </c>
    </row>
    <row r="167" spans="1:113">
      <c r="B167" s="241"/>
    </row>
    <row r="168" spans="1:113">
      <c r="A168" s="242"/>
      <c r="B168" s="242"/>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c r="BV168" s="243"/>
      <c r="BW168" s="243"/>
      <c r="BX168" s="243"/>
      <c r="BY168" s="243"/>
      <c r="BZ168" s="243"/>
      <c r="CA168" s="243"/>
      <c r="CB168" s="243"/>
      <c r="CC168" s="243"/>
      <c r="CD168" s="243"/>
      <c r="CE168" s="243"/>
      <c r="CF168" s="243"/>
      <c r="CG168" s="243"/>
      <c r="CH168" s="243"/>
      <c r="CI168" s="243"/>
      <c r="CJ168" s="243"/>
      <c r="CK168" s="243"/>
      <c r="CL168" s="243"/>
      <c r="CM168" s="243"/>
      <c r="CN168" s="243"/>
      <c r="CO168" s="243"/>
      <c r="CP168" s="243"/>
      <c r="CQ168" s="243"/>
      <c r="CR168" s="243"/>
      <c r="CS168" s="243"/>
      <c r="CT168" s="243"/>
      <c r="CU168" s="243"/>
      <c r="CV168" s="243"/>
      <c r="CW168" s="243"/>
      <c r="CX168" s="243"/>
      <c r="CY168" s="243"/>
      <c r="CZ168" s="243"/>
      <c r="DA168" s="243"/>
      <c r="DB168" s="243"/>
      <c r="DC168" s="243"/>
      <c r="DD168" s="243"/>
      <c r="DE168" s="243"/>
      <c r="DF168" s="243"/>
      <c r="DG168" s="243"/>
      <c r="DH168" s="243"/>
      <c r="DI168" s="243"/>
    </row>
    <row r="169" spans="1:113">
      <c r="A169" s="242"/>
      <c r="B169" s="242"/>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c r="BV169" s="243"/>
      <c r="BW169" s="243"/>
      <c r="BX169" s="243"/>
      <c r="BY169" s="243"/>
      <c r="BZ169" s="243"/>
      <c r="CA169" s="243"/>
      <c r="CB169" s="243"/>
      <c r="CC169" s="243"/>
      <c r="CD169" s="243"/>
      <c r="CE169" s="243"/>
      <c r="CF169" s="243"/>
      <c r="CG169" s="243"/>
      <c r="CH169" s="243"/>
      <c r="CI169" s="243"/>
      <c r="CJ169" s="243"/>
      <c r="CK169" s="243"/>
      <c r="CL169" s="243"/>
      <c r="CM169" s="243"/>
      <c r="CN169" s="243"/>
      <c r="CO169" s="243"/>
      <c r="CP169" s="243"/>
      <c r="CQ169" s="243"/>
      <c r="CR169" s="243"/>
      <c r="CS169" s="243"/>
      <c r="CT169" s="243"/>
      <c r="CU169" s="243"/>
      <c r="CV169" s="243"/>
      <c r="CW169" s="243"/>
      <c r="CX169" s="243"/>
      <c r="CY169" s="243"/>
      <c r="CZ169" s="243"/>
      <c r="DA169" s="243"/>
      <c r="DB169" s="243"/>
      <c r="DC169" s="243"/>
      <c r="DD169" s="243"/>
      <c r="DE169" s="243"/>
      <c r="DF169" s="243"/>
      <c r="DG169" s="243"/>
      <c r="DH169" s="243"/>
      <c r="DI169" s="243"/>
    </row>
    <row r="170" spans="1:113">
      <c r="A170" s="242"/>
      <c r="B170" s="242"/>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c r="BV170" s="243"/>
      <c r="BW170" s="243"/>
      <c r="BX170" s="243"/>
      <c r="BY170" s="243"/>
      <c r="BZ170" s="243"/>
      <c r="CA170" s="243"/>
      <c r="CB170" s="243"/>
      <c r="CC170" s="243"/>
      <c r="CD170" s="243"/>
      <c r="CE170" s="243"/>
      <c r="CF170" s="243"/>
      <c r="CG170" s="243"/>
      <c r="CH170" s="243"/>
      <c r="CI170" s="243"/>
      <c r="CJ170" s="243"/>
      <c r="CK170" s="243"/>
      <c r="CL170" s="243"/>
      <c r="CM170" s="243"/>
      <c r="CN170" s="243"/>
      <c r="CO170" s="243"/>
      <c r="CP170" s="243"/>
      <c r="CQ170" s="243"/>
      <c r="CR170" s="243"/>
      <c r="CS170" s="243"/>
      <c r="CT170" s="243"/>
      <c r="CU170" s="243"/>
      <c r="CV170" s="243"/>
      <c r="CW170" s="243"/>
      <c r="CX170" s="243"/>
      <c r="CY170" s="243"/>
      <c r="CZ170" s="243"/>
      <c r="DA170" s="243"/>
      <c r="DB170" s="243"/>
      <c r="DC170" s="243"/>
      <c r="DD170" s="243"/>
      <c r="DE170" s="243"/>
      <c r="DF170" s="243"/>
      <c r="DG170" s="243"/>
      <c r="DH170" s="243"/>
      <c r="DI170" s="243"/>
    </row>
    <row r="171" spans="1:113">
      <c r="B171" s="241"/>
    </row>
    <row r="172" spans="1:113" ht="19">
      <c r="A172" s="240" t="s">
        <v>298</v>
      </c>
    </row>
    <row r="173" spans="1:113">
      <c r="B173" s="244"/>
    </row>
    <row r="174" spans="1:113" ht="20" thickBot="1">
      <c r="B174" s="240" t="s">
        <v>299</v>
      </c>
    </row>
    <row r="175" spans="1:113">
      <c r="B175" s="245" t="s">
        <v>300</v>
      </c>
      <c r="C175" s="246" t="s">
        <v>301</v>
      </c>
      <c r="D175" s="132"/>
      <c r="E175" s="132"/>
    </row>
    <row r="176" spans="1:113">
      <c r="B176" s="136" t="s">
        <v>302</v>
      </c>
      <c r="C176" s="247" t="s">
        <v>303</v>
      </c>
      <c r="D176" s="132"/>
      <c r="E176" s="132"/>
    </row>
    <row r="177" spans="2:26">
      <c r="B177" s="136" t="s">
        <v>304</v>
      </c>
      <c r="C177" s="247" t="s">
        <v>305</v>
      </c>
      <c r="D177" s="132"/>
      <c r="E177" s="132"/>
    </row>
    <row r="178" spans="2:26">
      <c r="B178" s="136" t="s">
        <v>306</v>
      </c>
      <c r="C178" s="247" t="s">
        <v>306</v>
      </c>
      <c r="D178" s="132"/>
      <c r="E178" s="132"/>
    </row>
    <row r="179" spans="2:26">
      <c r="B179" s="136" t="s">
        <v>307</v>
      </c>
      <c r="C179" s="247" t="s">
        <v>307</v>
      </c>
      <c r="D179" s="132"/>
      <c r="E179" s="132"/>
    </row>
    <row r="180" spans="2:26">
      <c r="B180" s="136" t="s">
        <v>308</v>
      </c>
      <c r="C180" s="247" t="s">
        <v>308</v>
      </c>
      <c r="D180" s="132"/>
      <c r="E180" s="132"/>
    </row>
    <row r="181" spans="2:26">
      <c r="B181" s="136" t="s">
        <v>309</v>
      </c>
      <c r="C181" s="247" t="s">
        <v>310</v>
      </c>
      <c r="D181" s="132"/>
      <c r="E181" s="132"/>
    </row>
    <row r="182" spans="2:26">
      <c r="B182" s="136" t="s">
        <v>311</v>
      </c>
      <c r="C182" s="247" t="s">
        <v>312</v>
      </c>
      <c r="D182" s="132"/>
      <c r="E182" s="132"/>
    </row>
    <row r="183" spans="2:26">
      <c r="B183" s="136" t="s">
        <v>313</v>
      </c>
      <c r="C183" s="247" t="s">
        <v>314</v>
      </c>
      <c r="D183" s="132"/>
      <c r="E183" s="132"/>
    </row>
    <row r="184" spans="2:26" ht="16" thickBot="1">
      <c r="B184" s="143" t="s">
        <v>315</v>
      </c>
      <c r="C184" s="248" t="s">
        <v>316</v>
      </c>
      <c r="D184" s="132"/>
      <c r="E184" s="132"/>
    </row>
    <row r="185" spans="2:26">
      <c r="B185" s="132"/>
      <c r="C185" s="132"/>
    </row>
    <row r="186" spans="2:26" ht="16" thickBot="1">
      <c r="B186" s="249" t="s">
        <v>317</v>
      </c>
    </row>
    <row r="187" spans="2:26" ht="80" customHeight="1">
      <c r="B187" s="250" t="s">
        <v>318</v>
      </c>
      <c r="C187" s="251" t="s">
        <v>319</v>
      </c>
      <c r="D187" s="252" t="s">
        <v>4</v>
      </c>
      <c r="E187" s="252" t="s">
        <v>5</v>
      </c>
      <c r="F187" s="252" t="s">
        <v>320</v>
      </c>
      <c r="G187" s="252" t="s">
        <v>321</v>
      </c>
      <c r="H187" s="252" t="s">
        <v>322</v>
      </c>
      <c r="I187" s="252" t="s">
        <v>323</v>
      </c>
      <c r="J187" s="252" t="s">
        <v>324</v>
      </c>
      <c r="K187" s="252" t="s">
        <v>325</v>
      </c>
      <c r="L187" s="252" t="s">
        <v>326</v>
      </c>
      <c r="M187" s="252" t="s">
        <v>247</v>
      </c>
      <c r="N187" s="252" t="s">
        <v>249</v>
      </c>
      <c r="O187" s="252" t="s">
        <v>251</v>
      </c>
      <c r="P187" s="252" t="s">
        <v>253</v>
      </c>
      <c r="Q187" s="252" t="s">
        <v>255</v>
      </c>
      <c r="R187" s="252" t="s">
        <v>257</v>
      </c>
      <c r="S187" s="252" t="s">
        <v>327</v>
      </c>
      <c r="T187" s="253" t="s">
        <v>328</v>
      </c>
      <c r="U187" s="254" t="s">
        <v>329</v>
      </c>
    </row>
    <row r="188" spans="2:26">
      <c r="B188" s="136" t="s">
        <v>316</v>
      </c>
      <c r="C188" s="255" t="str">
        <f t="shared" ref="C188:C211" si="8">INDEX($B$175:$B$184,MATCH(B188,$C$175:$C$184,0))</f>
        <v>Combination Long-Haul Truck</v>
      </c>
      <c r="D188" s="256"/>
      <c r="E188" s="256">
        <v>100000</v>
      </c>
      <c r="F188" s="256"/>
      <c r="G188" s="256"/>
      <c r="H188" s="256"/>
      <c r="I188" s="256"/>
      <c r="J188" s="256"/>
      <c r="K188" s="256">
        <f>+$E188+(35000+45000)/2</f>
        <v>140000</v>
      </c>
      <c r="L188" s="256"/>
      <c r="M188" s="256">
        <f t="shared" ref="M188:N210" si="9">$E188</f>
        <v>100000</v>
      </c>
      <c r="N188" s="256">
        <f t="shared" si="9"/>
        <v>100000</v>
      </c>
      <c r="O188" s="256"/>
      <c r="P188" s="256"/>
      <c r="Q188" s="256">
        <f>+$E188+65000</f>
        <v>165000</v>
      </c>
      <c r="R188" s="256">
        <f>+$E188+50000</f>
        <v>150000</v>
      </c>
      <c r="S188" s="256">
        <f>+$E188+90000</f>
        <v>190000</v>
      </c>
      <c r="T188" s="257"/>
      <c r="U188" s="258"/>
      <c r="X188" s="63">
        <v>1</v>
      </c>
    </row>
    <row r="189" spans="2:26">
      <c r="B189" s="136" t="s">
        <v>314</v>
      </c>
      <c r="C189" s="255" t="str">
        <f t="shared" si="8"/>
        <v>Combination Short-Haul Truck</v>
      </c>
      <c r="D189" s="256"/>
      <c r="E189" s="256">
        <v>90000</v>
      </c>
      <c r="F189" s="256"/>
      <c r="G189" s="256"/>
      <c r="H189" s="256"/>
      <c r="I189" s="256"/>
      <c r="J189" s="256"/>
      <c r="K189" s="256">
        <f>+$E189+(45000+50000)/2</f>
        <v>137500</v>
      </c>
      <c r="L189" s="256"/>
      <c r="M189" s="256">
        <f t="shared" si="9"/>
        <v>90000</v>
      </c>
      <c r="N189" s="256">
        <f t="shared" si="9"/>
        <v>90000</v>
      </c>
      <c r="O189" s="256"/>
      <c r="P189" s="256"/>
      <c r="Q189" s="256">
        <f>+$E189+40000</f>
        <v>130000</v>
      </c>
      <c r="R189" s="256">
        <f>+$E189+30000</f>
        <v>120000</v>
      </c>
      <c r="S189" s="256">
        <f>+$E189+65000</f>
        <v>155000</v>
      </c>
      <c r="T189" s="257"/>
      <c r="U189" s="258"/>
      <c r="X189" s="63">
        <v>2</v>
      </c>
    </row>
    <row r="190" spans="2:26">
      <c r="B190" s="136" t="s">
        <v>312</v>
      </c>
      <c r="C190" s="255" t="str">
        <f t="shared" si="8"/>
        <v>Single Unit Long-Haul Truck</v>
      </c>
      <c r="D190" s="256"/>
      <c r="E190" s="256">
        <v>75000</v>
      </c>
      <c r="F190" s="256"/>
      <c r="G190" s="256"/>
      <c r="H190" s="256"/>
      <c r="I190" s="256"/>
      <c r="J190" s="256"/>
      <c r="K190" s="256">
        <f>+$E190+40000</f>
        <v>115000</v>
      </c>
      <c r="L190" s="256"/>
      <c r="M190" s="256">
        <f t="shared" si="9"/>
        <v>75000</v>
      </c>
      <c r="N190" s="256">
        <f t="shared" si="9"/>
        <v>75000</v>
      </c>
      <c r="O190" s="256"/>
      <c r="P190" s="256"/>
      <c r="Q190" s="256">
        <f>+$E190+65000</f>
        <v>140000</v>
      </c>
      <c r="R190" s="256">
        <f>+$E190+50000</f>
        <v>125000</v>
      </c>
      <c r="S190" s="256"/>
      <c r="T190" s="257">
        <f>+$E190+50000</f>
        <v>125000</v>
      </c>
      <c r="U190" s="258"/>
      <c r="X190" s="63">
        <v>3</v>
      </c>
    </row>
    <row r="191" spans="2:26">
      <c r="B191" s="136" t="s">
        <v>310</v>
      </c>
      <c r="C191" s="255" t="str">
        <f t="shared" si="8"/>
        <v>Single Unit Short-Haul Truck</v>
      </c>
      <c r="D191" s="256"/>
      <c r="E191" s="256">
        <v>65000</v>
      </c>
      <c r="F191" s="256"/>
      <c r="G191" s="256"/>
      <c r="H191" s="256"/>
      <c r="I191" s="256">
        <f>+$E191+85000</f>
        <v>150000</v>
      </c>
      <c r="J191" s="256"/>
      <c r="K191" s="256">
        <f>+$E191+40000</f>
        <v>105000</v>
      </c>
      <c r="L191" s="256"/>
      <c r="M191" s="256">
        <f t="shared" si="9"/>
        <v>65000</v>
      </c>
      <c r="N191" s="256">
        <f t="shared" si="9"/>
        <v>65000</v>
      </c>
      <c r="O191" s="256"/>
      <c r="P191" s="256"/>
      <c r="Q191" s="256">
        <f>+$E191+40000</f>
        <v>105000</v>
      </c>
      <c r="R191" s="256">
        <f>+$E191+30000</f>
        <v>95000</v>
      </c>
      <c r="S191" s="256"/>
      <c r="T191" s="257">
        <f>+$E191+50000</f>
        <v>115000</v>
      </c>
      <c r="U191" s="258"/>
      <c r="X191" s="63">
        <v>4</v>
      </c>
      <c r="Z191" s="241"/>
    </row>
    <row r="192" spans="2:26">
      <c r="B192" s="136" t="s">
        <v>330</v>
      </c>
      <c r="C192" s="255" t="e">
        <f t="shared" si="8"/>
        <v>#N/A</v>
      </c>
      <c r="D192" s="259"/>
      <c r="E192" s="256">
        <v>80000</v>
      </c>
      <c r="F192" s="256"/>
      <c r="G192" s="256"/>
      <c r="H192" s="256"/>
      <c r="I192" s="256"/>
      <c r="J192" s="256"/>
      <c r="K192" s="256"/>
      <c r="L192" s="256"/>
      <c r="M192" s="256">
        <f t="shared" si="9"/>
        <v>80000</v>
      </c>
      <c r="N192" s="256">
        <f t="shared" si="9"/>
        <v>80000</v>
      </c>
      <c r="O192" s="256"/>
      <c r="P192" s="256"/>
      <c r="Q192" s="256">
        <f>+$E192+60000</f>
        <v>140000</v>
      </c>
      <c r="R192" s="256">
        <f>+$E192+50000</f>
        <v>130000</v>
      </c>
      <c r="S192" s="256"/>
      <c r="T192" s="257"/>
      <c r="U192" s="258"/>
      <c r="X192" s="63">
        <v>5</v>
      </c>
    </row>
    <row r="193" spans="2:24">
      <c r="B193" s="136" t="s">
        <v>331</v>
      </c>
      <c r="C193" s="255" t="e">
        <f t="shared" si="8"/>
        <v>#N/A</v>
      </c>
      <c r="D193" s="259"/>
      <c r="E193" s="256">
        <v>155000</v>
      </c>
      <c r="F193" s="256"/>
      <c r="G193" s="256"/>
      <c r="H193" s="256"/>
      <c r="I193" s="256">
        <f>+$E193+200000</f>
        <v>355000</v>
      </c>
      <c r="J193" s="256"/>
      <c r="K193" s="256"/>
      <c r="L193" s="256"/>
      <c r="M193" s="256">
        <f t="shared" si="9"/>
        <v>155000</v>
      </c>
      <c r="N193" s="256">
        <f t="shared" si="9"/>
        <v>155000</v>
      </c>
      <c r="O193" s="256"/>
      <c r="P193" s="256"/>
      <c r="Q193" s="256">
        <f>+$E193+60000</f>
        <v>215000</v>
      </c>
      <c r="R193" s="256">
        <f>+$E193+50000</f>
        <v>205000</v>
      </c>
      <c r="S193" s="256"/>
      <c r="T193" s="257">
        <f>+$E193+50000</f>
        <v>205000</v>
      </c>
      <c r="U193" s="258"/>
      <c r="X193" s="63">
        <v>6</v>
      </c>
    </row>
    <row r="194" spans="2:24">
      <c r="B194" s="136" t="s">
        <v>332</v>
      </c>
      <c r="C194" s="255" t="e">
        <f t="shared" si="8"/>
        <v>#N/A</v>
      </c>
      <c r="D194" s="259"/>
      <c r="E194" s="256">
        <v>100000</v>
      </c>
      <c r="F194" s="256"/>
      <c r="G194" s="256"/>
      <c r="H194" s="256"/>
      <c r="I194" s="256"/>
      <c r="J194" s="256"/>
      <c r="K194" s="256"/>
      <c r="L194" s="256"/>
      <c r="M194" s="256">
        <f t="shared" si="9"/>
        <v>100000</v>
      </c>
      <c r="N194" s="256">
        <f t="shared" si="9"/>
        <v>100000</v>
      </c>
      <c r="O194" s="256"/>
      <c r="P194" s="256"/>
      <c r="Q194" s="256">
        <f>+$E194+70000</f>
        <v>170000</v>
      </c>
      <c r="R194" s="256">
        <f>+$E194+60000</f>
        <v>160000</v>
      </c>
      <c r="S194" s="256"/>
      <c r="T194" s="257"/>
      <c r="U194" s="258"/>
      <c r="V194" s="260"/>
      <c r="X194" s="63">
        <v>7</v>
      </c>
    </row>
    <row r="195" spans="2:24">
      <c r="B195" s="136" t="s">
        <v>333</v>
      </c>
      <c r="C195" s="255" t="e">
        <f t="shared" si="8"/>
        <v>#N/A</v>
      </c>
      <c r="D195" s="259"/>
      <c r="E195" s="256">
        <v>385000</v>
      </c>
      <c r="F195" s="256"/>
      <c r="G195" s="256"/>
      <c r="H195" s="256"/>
      <c r="I195" s="256"/>
      <c r="J195" s="256"/>
      <c r="K195" s="256"/>
      <c r="L195" s="256"/>
      <c r="M195" s="256">
        <f t="shared" si="9"/>
        <v>385000</v>
      </c>
      <c r="N195" s="256">
        <f t="shared" si="9"/>
        <v>385000</v>
      </c>
      <c r="O195" s="256"/>
      <c r="P195" s="256"/>
      <c r="Q195" s="256">
        <f>+$E195+25000</f>
        <v>410000</v>
      </c>
      <c r="R195" s="256">
        <f>+$E195+25000</f>
        <v>410000</v>
      </c>
      <c r="S195" s="256"/>
      <c r="T195" s="257"/>
      <c r="U195" s="258"/>
      <c r="X195" s="63">
        <v>8</v>
      </c>
    </row>
    <row r="196" spans="2:24">
      <c r="B196" s="136" t="s">
        <v>334</v>
      </c>
      <c r="C196" s="255" t="e">
        <f t="shared" si="8"/>
        <v>#N/A</v>
      </c>
      <c r="D196" s="256"/>
      <c r="E196" s="256">
        <v>190000</v>
      </c>
      <c r="F196" s="256"/>
      <c r="G196" s="256"/>
      <c r="H196" s="256"/>
      <c r="I196" s="256"/>
      <c r="J196" s="256"/>
      <c r="K196" s="256"/>
      <c r="L196" s="256"/>
      <c r="M196" s="256">
        <f t="shared" si="9"/>
        <v>190000</v>
      </c>
      <c r="N196" s="256">
        <f t="shared" si="9"/>
        <v>190000</v>
      </c>
      <c r="O196" s="256"/>
      <c r="P196" s="256"/>
      <c r="Q196" s="256">
        <f>+$E196+75000</f>
        <v>265000</v>
      </c>
      <c r="R196" s="256"/>
      <c r="S196" s="256"/>
      <c r="T196" s="257"/>
      <c r="U196" s="258"/>
      <c r="X196" s="63">
        <v>9</v>
      </c>
    </row>
    <row r="197" spans="2:24">
      <c r="B197" s="136" t="s">
        <v>308</v>
      </c>
      <c r="C197" s="255" t="str">
        <f t="shared" si="8"/>
        <v>Refuse Truck</v>
      </c>
      <c r="D197" s="256"/>
      <c r="E197" s="256">
        <v>210000</v>
      </c>
      <c r="F197" s="256"/>
      <c r="G197" s="256"/>
      <c r="H197" s="256"/>
      <c r="I197" s="256">
        <v>670000</v>
      </c>
      <c r="J197" s="256"/>
      <c r="K197" s="256">
        <f>+$E197+50000</f>
        <v>260000</v>
      </c>
      <c r="L197" s="256">
        <f>+$E197+40000</f>
        <v>250000</v>
      </c>
      <c r="M197" s="256">
        <f t="shared" si="9"/>
        <v>210000</v>
      </c>
      <c r="N197" s="256">
        <f t="shared" si="9"/>
        <v>210000</v>
      </c>
      <c r="O197" s="256"/>
      <c r="P197" s="256"/>
      <c r="Q197" s="256">
        <f>+$E197+50000</f>
        <v>260000</v>
      </c>
      <c r="R197" s="256">
        <f>+$E197+40000</f>
        <v>250000</v>
      </c>
      <c r="S197" s="256"/>
      <c r="T197" s="257">
        <f>+$E197+50000</f>
        <v>260000</v>
      </c>
      <c r="U197" s="258"/>
      <c r="X197" s="63">
        <v>10</v>
      </c>
    </row>
    <row r="198" spans="2:24">
      <c r="B198" s="136" t="s">
        <v>307</v>
      </c>
      <c r="C198" s="255" t="str">
        <f t="shared" si="8"/>
        <v>Transit Bus</v>
      </c>
      <c r="D198" s="256"/>
      <c r="E198" s="256">
        <v>300000</v>
      </c>
      <c r="F198" s="256"/>
      <c r="G198" s="256"/>
      <c r="H198" s="256"/>
      <c r="I198" s="256">
        <f>E198+450000</f>
        <v>750000</v>
      </c>
      <c r="J198" s="256">
        <f>+$E198+1500000</f>
        <v>1800000</v>
      </c>
      <c r="K198" s="256">
        <f>+$E198+210000</f>
        <v>510000</v>
      </c>
      <c r="L198" s="256"/>
      <c r="M198" s="256">
        <f t="shared" si="9"/>
        <v>300000</v>
      </c>
      <c r="N198" s="256">
        <f t="shared" si="9"/>
        <v>300000</v>
      </c>
      <c r="O198" s="256"/>
      <c r="P198" s="256"/>
      <c r="Q198" s="256">
        <f>+$E198+60000</f>
        <v>360000</v>
      </c>
      <c r="R198" s="256">
        <f>+$E198+50000</f>
        <v>350000</v>
      </c>
      <c r="S198" s="256"/>
      <c r="T198" s="257"/>
      <c r="U198" s="258"/>
      <c r="X198" s="63">
        <v>11</v>
      </c>
    </row>
    <row r="199" spans="2:24">
      <c r="B199" s="136" t="s">
        <v>306</v>
      </c>
      <c r="C199" s="255" t="str">
        <f t="shared" si="8"/>
        <v>School Bus</v>
      </c>
      <c r="D199" s="256"/>
      <c r="E199" s="256">
        <v>90000</v>
      </c>
      <c r="F199" s="256"/>
      <c r="G199" s="256"/>
      <c r="H199" s="256"/>
      <c r="I199" s="256"/>
      <c r="J199" s="256"/>
      <c r="K199" s="256">
        <f>+$E199+60000</f>
        <v>150000</v>
      </c>
      <c r="L199" s="256"/>
      <c r="M199" s="256">
        <f t="shared" si="9"/>
        <v>90000</v>
      </c>
      <c r="N199" s="256">
        <f t="shared" si="9"/>
        <v>90000</v>
      </c>
      <c r="O199" s="256"/>
      <c r="P199" s="256">
        <f>+$E199+15000</f>
        <v>105000</v>
      </c>
      <c r="Q199" s="256">
        <f>+$E199+50000</f>
        <v>140000</v>
      </c>
      <c r="R199" s="256">
        <f>+$E199+40000</f>
        <v>130000</v>
      </c>
      <c r="S199" s="256"/>
      <c r="T199" s="257"/>
      <c r="U199" s="258"/>
      <c r="X199" s="63">
        <v>12</v>
      </c>
    </row>
    <row r="200" spans="2:24">
      <c r="B200" s="136" t="s">
        <v>335</v>
      </c>
      <c r="C200" s="255" t="e">
        <f t="shared" si="8"/>
        <v>#N/A</v>
      </c>
      <c r="D200" s="256"/>
      <c r="E200" s="256">
        <v>65000</v>
      </c>
      <c r="F200" s="256"/>
      <c r="G200" s="256"/>
      <c r="H200" s="256"/>
      <c r="I200" s="256"/>
      <c r="J200" s="256"/>
      <c r="K200" s="256">
        <f>+$E200+55000</f>
        <v>120000</v>
      </c>
      <c r="L200" s="256"/>
      <c r="M200" s="256">
        <f t="shared" si="9"/>
        <v>65000</v>
      </c>
      <c r="N200" s="256">
        <f t="shared" si="9"/>
        <v>65000</v>
      </c>
      <c r="O200" s="256"/>
      <c r="P200" s="256">
        <f>+$E200+10000</f>
        <v>75000</v>
      </c>
      <c r="Q200" s="256">
        <f>+$E200+25000</f>
        <v>90000</v>
      </c>
      <c r="R200" s="256"/>
      <c r="S200" s="256"/>
      <c r="T200" s="257"/>
      <c r="U200" s="258"/>
      <c r="X200" s="63">
        <v>13</v>
      </c>
    </row>
    <row r="201" spans="2:24">
      <c r="B201" s="136" t="s">
        <v>305</v>
      </c>
      <c r="C201" s="255" t="str">
        <f t="shared" si="8"/>
        <v>Light Commercial Truck</v>
      </c>
      <c r="D201" s="256">
        <v>36000</v>
      </c>
      <c r="E201" s="256">
        <f>D201+10500</f>
        <v>46500</v>
      </c>
      <c r="F201" s="256"/>
      <c r="G201" s="256"/>
      <c r="H201" s="256"/>
      <c r="I201" s="256"/>
      <c r="J201" s="256"/>
      <c r="K201" s="256"/>
      <c r="L201" s="256"/>
      <c r="M201" s="256">
        <f t="shared" si="9"/>
        <v>46500</v>
      </c>
      <c r="N201" s="256">
        <f t="shared" si="9"/>
        <v>46500</v>
      </c>
      <c r="O201" s="256">
        <f t="shared" ref="O201:O210" si="10">$D201</f>
        <v>36000</v>
      </c>
      <c r="P201" s="256">
        <f>+$D201+8000</f>
        <v>44000</v>
      </c>
      <c r="Q201" s="256">
        <f>+$D201+12500</f>
        <v>48500</v>
      </c>
      <c r="R201" s="256"/>
      <c r="S201" s="256"/>
      <c r="T201" s="257"/>
      <c r="U201" s="258"/>
      <c r="X201" s="63">
        <v>14</v>
      </c>
    </row>
    <row r="202" spans="2:24">
      <c r="B202" s="136" t="s">
        <v>336</v>
      </c>
      <c r="C202" s="255" t="e">
        <f t="shared" si="8"/>
        <v>#N/A</v>
      </c>
      <c r="D202" s="256">
        <v>34500</v>
      </c>
      <c r="E202" s="256">
        <f>D202+12000</f>
        <v>46500</v>
      </c>
      <c r="F202" s="256"/>
      <c r="G202" s="256"/>
      <c r="H202" s="256"/>
      <c r="I202" s="256">
        <f>D202+35000</f>
        <v>69500</v>
      </c>
      <c r="J202" s="256"/>
      <c r="K202" s="256"/>
      <c r="L202" s="256"/>
      <c r="M202" s="256">
        <f t="shared" si="9"/>
        <v>46500</v>
      </c>
      <c r="N202" s="256">
        <f t="shared" si="9"/>
        <v>46500</v>
      </c>
      <c r="O202" s="256">
        <f t="shared" si="10"/>
        <v>34500</v>
      </c>
      <c r="P202" s="256">
        <f>+$D202+8000</f>
        <v>42500</v>
      </c>
      <c r="Q202" s="256">
        <f>+$D202+16000</f>
        <v>50500</v>
      </c>
      <c r="R202" s="256"/>
      <c r="S202" s="256"/>
      <c r="T202" s="257"/>
      <c r="U202" s="258"/>
      <c r="X202" s="63">
        <v>15</v>
      </c>
    </row>
    <row r="203" spans="2:24">
      <c r="B203" s="136" t="s">
        <v>337</v>
      </c>
      <c r="C203" s="255" t="e">
        <f t="shared" si="8"/>
        <v>#N/A</v>
      </c>
      <c r="D203" s="256">
        <v>38000</v>
      </c>
      <c r="E203" s="256">
        <f>D203+12000</f>
        <v>50000</v>
      </c>
      <c r="F203" s="256"/>
      <c r="G203" s="256"/>
      <c r="H203" s="256"/>
      <c r="I203" s="256"/>
      <c r="J203" s="256"/>
      <c r="K203" s="256"/>
      <c r="L203" s="256"/>
      <c r="M203" s="256">
        <f t="shared" si="9"/>
        <v>50000</v>
      </c>
      <c r="N203" s="256">
        <f t="shared" si="9"/>
        <v>50000</v>
      </c>
      <c r="O203" s="256">
        <f t="shared" si="10"/>
        <v>38000</v>
      </c>
      <c r="P203" s="256">
        <f>+D203+6500</f>
        <v>44500</v>
      </c>
      <c r="Q203" s="256">
        <f>+$D203+10000</f>
        <v>48000</v>
      </c>
      <c r="R203" s="256"/>
      <c r="S203" s="256"/>
      <c r="T203" s="257"/>
      <c r="U203" s="258"/>
      <c r="X203" s="63">
        <v>16</v>
      </c>
    </row>
    <row r="204" spans="2:24">
      <c r="B204" s="136" t="s">
        <v>303</v>
      </c>
      <c r="C204" s="255" t="str">
        <f t="shared" si="8"/>
        <v>Passenger Truck</v>
      </c>
      <c r="D204" s="256">
        <v>32000</v>
      </c>
      <c r="E204" s="256">
        <f>D204+7500</f>
        <v>39500</v>
      </c>
      <c r="F204" s="256"/>
      <c r="G204" s="256"/>
      <c r="H204" s="256"/>
      <c r="I204" s="256"/>
      <c r="J204" s="256"/>
      <c r="K204" s="256"/>
      <c r="L204" s="256"/>
      <c r="M204" s="256">
        <f t="shared" si="9"/>
        <v>39500</v>
      </c>
      <c r="N204" s="256">
        <f t="shared" si="9"/>
        <v>39500</v>
      </c>
      <c r="O204" s="256">
        <f t="shared" si="10"/>
        <v>32000</v>
      </c>
      <c r="P204" s="256">
        <f>+D204+6500</f>
        <v>38500</v>
      </c>
      <c r="Q204" s="256">
        <f>+D204+11500</f>
        <v>43500</v>
      </c>
      <c r="R204" s="256"/>
      <c r="S204" s="256"/>
      <c r="T204" s="257"/>
      <c r="U204" s="258"/>
      <c r="X204" s="63">
        <v>17</v>
      </c>
    </row>
    <row r="205" spans="2:24">
      <c r="B205" s="136" t="s">
        <v>338</v>
      </c>
      <c r="C205" s="255" t="e">
        <f t="shared" si="8"/>
        <v>#N/A</v>
      </c>
      <c r="D205" s="256">
        <v>27500</v>
      </c>
      <c r="E205" s="256">
        <f>D205+2500</f>
        <v>30000</v>
      </c>
      <c r="F205" s="256">
        <f>$D205+4000</f>
        <v>31500</v>
      </c>
      <c r="G205" s="256"/>
      <c r="H205" s="256"/>
      <c r="I205" s="256">
        <f>+$D205+(36500+26500)/2</f>
        <v>59000</v>
      </c>
      <c r="J205" s="256">
        <f>+$D205+38500</f>
        <v>66000</v>
      </c>
      <c r="K205" s="256"/>
      <c r="L205" s="256"/>
      <c r="M205" s="256">
        <f t="shared" si="9"/>
        <v>30000</v>
      </c>
      <c r="N205" s="256">
        <f t="shared" si="9"/>
        <v>30000</v>
      </c>
      <c r="O205" s="256">
        <f t="shared" si="10"/>
        <v>27500</v>
      </c>
      <c r="P205" s="256">
        <f>+D205+6000</f>
        <v>33500</v>
      </c>
      <c r="Q205" s="256">
        <f>+D205+12500</f>
        <v>40000</v>
      </c>
      <c r="R205" s="256"/>
      <c r="S205" s="256"/>
      <c r="T205" s="257"/>
      <c r="U205" s="258"/>
      <c r="X205" s="63">
        <v>18</v>
      </c>
    </row>
    <row r="206" spans="2:24">
      <c r="B206" s="136" t="s">
        <v>339</v>
      </c>
      <c r="C206" s="255" t="e">
        <f t="shared" si="8"/>
        <v>#N/A</v>
      </c>
      <c r="D206" s="256">
        <v>27500</v>
      </c>
      <c r="E206" s="256">
        <f>D206+2500</f>
        <v>30000</v>
      </c>
      <c r="F206" s="256">
        <f>$D206+4000</f>
        <v>31500</v>
      </c>
      <c r="G206" s="256"/>
      <c r="H206" s="256"/>
      <c r="I206" s="256">
        <f>+$D206+(36500+26500)/2</f>
        <v>59000</v>
      </c>
      <c r="J206" s="256">
        <f>+$D206+38500</f>
        <v>66000</v>
      </c>
      <c r="K206" s="256"/>
      <c r="L206" s="256"/>
      <c r="M206" s="256">
        <f t="shared" si="9"/>
        <v>30000</v>
      </c>
      <c r="N206" s="256">
        <f t="shared" si="9"/>
        <v>30000</v>
      </c>
      <c r="O206" s="256">
        <f t="shared" si="10"/>
        <v>27500</v>
      </c>
      <c r="P206" s="256">
        <f>+D206+6000</f>
        <v>33500</v>
      </c>
      <c r="Q206" s="256">
        <f>+D206+12500</f>
        <v>40000</v>
      </c>
      <c r="R206" s="256"/>
      <c r="S206" s="256"/>
      <c r="T206" s="257"/>
      <c r="U206" s="258"/>
      <c r="X206" s="63">
        <v>19</v>
      </c>
    </row>
    <row r="207" spans="2:24">
      <c r="B207" s="136" t="s">
        <v>301</v>
      </c>
      <c r="C207" s="255" t="str">
        <f t="shared" si="8"/>
        <v>Passenger Car</v>
      </c>
      <c r="D207" s="256">
        <v>20000</v>
      </c>
      <c r="E207" s="256">
        <f>D207+2500</f>
        <v>22500</v>
      </c>
      <c r="F207" s="256">
        <f>+D207+3000</f>
        <v>23000</v>
      </c>
      <c r="G207" s="256">
        <f>+$D207+12500</f>
        <v>32500</v>
      </c>
      <c r="H207" s="256">
        <f>D207+14000</f>
        <v>34000</v>
      </c>
      <c r="I207" s="256">
        <f>+$D207+10000</f>
        <v>30000</v>
      </c>
      <c r="J207" s="256">
        <f>+$D207+38500</f>
        <v>58500</v>
      </c>
      <c r="K207" s="256"/>
      <c r="L207" s="256"/>
      <c r="M207" s="256">
        <f t="shared" si="9"/>
        <v>22500</v>
      </c>
      <c r="N207" s="256">
        <f t="shared" si="9"/>
        <v>22500</v>
      </c>
      <c r="O207" s="256">
        <f t="shared" si="10"/>
        <v>20000</v>
      </c>
      <c r="P207" s="256">
        <f>+D207+6000</f>
        <v>26000</v>
      </c>
      <c r="Q207" s="256">
        <f>+D207+7000</f>
        <v>27000</v>
      </c>
      <c r="R207" s="256"/>
      <c r="S207" s="256"/>
      <c r="T207" s="257"/>
      <c r="U207" s="258"/>
      <c r="X207" s="63">
        <v>20</v>
      </c>
    </row>
    <row r="208" spans="2:24">
      <c r="B208" s="136" t="s">
        <v>340</v>
      </c>
      <c r="C208" s="255" t="e">
        <f t="shared" si="8"/>
        <v>#N/A</v>
      </c>
      <c r="D208" s="256">
        <v>20000</v>
      </c>
      <c r="E208" s="256">
        <f>D208+2500</f>
        <v>22500</v>
      </c>
      <c r="F208" s="256">
        <f>+D208+3000</f>
        <v>23000</v>
      </c>
      <c r="G208" s="256">
        <f>+$D208+12500</f>
        <v>32500</v>
      </c>
      <c r="H208" s="256">
        <f>D208+14000</f>
        <v>34000</v>
      </c>
      <c r="I208" s="256">
        <f>+$D208+10000</f>
        <v>30000</v>
      </c>
      <c r="J208" s="256">
        <f>+$D208+38500</f>
        <v>58500</v>
      </c>
      <c r="K208" s="256"/>
      <c r="L208" s="256"/>
      <c r="M208" s="256">
        <f t="shared" si="9"/>
        <v>22500</v>
      </c>
      <c r="N208" s="256">
        <f t="shared" si="9"/>
        <v>22500</v>
      </c>
      <c r="O208" s="256">
        <f t="shared" si="10"/>
        <v>20000</v>
      </c>
      <c r="P208" s="256">
        <f>+D208+6000</f>
        <v>26000</v>
      </c>
      <c r="Q208" s="256">
        <f>+D208+7000</f>
        <v>27000</v>
      </c>
      <c r="R208" s="256"/>
      <c r="S208" s="256"/>
      <c r="T208" s="257"/>
      <c r="U208" s="258"/>
      <c r="X208" s="63">
        <v>21</v>
      </c>
    </row>
    <row r="209" spans="2:24">
      <c r="B209" s="136" t="s">
        <v>341</v>
      </c>
      <c r="C209" s="255" t="e">
        <f t="shared" si="8"/>
        <v>#N/A</v>
      </c>
      <c r="D209" s="256">
        <v>20000</v>
      </c>
      <c r="E209" s="256">
        <f>D209+2500</f>
        <v>22500</v>
      </c>
      <c r="F209" s="256">
        <f>+D209+3000</f>
        <v>23000</v>
      </c>
      <c r="G209" s="256">
        <f>+$D209+12500</f>
        <v>32500</v>
      </c>
      <c r="H209" s="256">
        <f>D209+14000</f>
        <v>34000</v>
      </c>
      <c r="I209" s="256">
        <f>+$D209+10000</f>
        <v>30000</v>
      </c>
      <c r="J209" s="256">
        <f>+$D209+38500</f>
        <v>58500</v>
      </c>
      <c r="K209" s="256"/>
      <c r="L209" s="256"/>
      <c r="M209" s="256">
        <f t="shared" si="9"/>
        <v>22500</v>
      </c>
      <c r="N209" s="256">
        <f t="shared" si="9"/>
        <v>22500</v>
      </c>
      <c r="O209" s="256">
        <f t="shared" si="10"/>
        <v>20000</v>
      </c>
      <c r="P209" s="256">
        <f>+D209+6000</f>
        <v>26000</v>
      </c>
      <c r="Q209" s="256">
        <f>+D209+7000</f>
        <v>27000</v>
      </c>
      <c r="R209" s="256"/>
      <c r="S209" s="256"/>
      <c r="T209" s="257"/>
      <c r="U209" s="258"/>
      <c r="X209" s="63">
        <v>22</v>
      </c>
    </row>
    <row r="210" spans="2:24">
      <c r="B210" s="136" t="s">
        <v>342</v>
      </c>
      <c r="C210" s="255" t="e">
        <f t="shared" si="8"/>
        <v>#N/A</v>
      </c>
      <c r="D210" s="256">
        <v>14000</v>
      </c>
      <c r="E210" s="256"/>
      <c r="F210" s="256"/>
      <c r="G210" s="256"/>
      <c r="H210" s="256"/>
      <c r="I210" s="256">
        <f>+D210+5000</f>
        <v>19000</v>
      </c>
      <c r="J210" s="256"/>
      <c r="K210" s="256"/>
      <c r="L210" s="256"/>
      <c r="M210" s="256">
        <f t="shared" si="9"/>
        <v>0</v>
      </c>
      <c r="N210" s="256">
        <f t="shared" si="9"/>
        <v>0</v>
      </c>
      <c r="O210" s="256">
        <f t="shared" si="10"/>
        <v>14000</v>
      </c>
      <c r="P210" s="256"/>
      <c r="Q210" s="256"/>
      <c r="R210" s="256"/>
      <c r="S210" s="256"/>
      <c r="T210" s="257"/>
      <c r="U210" s="258"/>
      <c r="X210" s="63">
        <v>23</v>
      </c>
    </row>
    <row r="211" spans="2:24" ht="16" thickBot="1">
      <c r="B211" s="143" t="s">
        <v>343</v>
      </c>
      <c r="C211" s="261" t="e">
        <f t="shared" si="8"/>
        <v>#N/A</v>
      </c>
      <c r="D211" s="262"/>
      <c r="E211" s="262"/>
      <c r="F211" s="262"/>
      <c r="G211" s="262"/>
      <c r="H211" s="262"/>
      <c r="I211" s="262"/>
      <c r="J211" s="263"/>
      <c r="K211" s="262"/>
      <c r="L211" s="262"/>
      <c r="M211" s="263"/>
      <c r="N211" s="263"/>
      <c r="O211" s="263"/>
      <c r="P211" s="263"/>
      <c r="Q211" s="263"/>
      <c r="R211" s="263"/>
      <c r="S211" s="263"/>
      <c r="T211" s="264"/>
      <c r="U211" s="265"/>
      <c r="X211" s="63">
        <v>24</v>
      </c>
    </row>
    <row r="213" spans="2:24" ht="16" thickBot="1">
      <c r="B213" s="266" t="s">
        <v>344</v>
      </c>
      <c r="C213" s="267"/>
      <c r="D213" s="267">
        <v>1</v>
      </c>
      <c r="E213" s="267">
        <f t="shared" ref="E213:T213" si="11">D213+1</f>
        <v>2</v>
      </c>
      <c r="F213" s="267">
        <f t="shared" si="11"/>
        <v>3</v>
      </c>
      <c r="G213" s="267">
        <f t="shared" si="11"/>
        <v>4</v>
      </c>
      <c r="H213" s="267">
        <f t="shared" si="11"/>
        <v>5</v>
      </c>
      <c r="I213" s="267">
        <f t="shared" si="11"/>
        <v>6</v>
      </c>
      <c r="J213" s="267">
        <f>T213+1</f>
        <v>17</v>
      </c>
      <c r="K213" s="267">
        <f>I213+1</f>
        <v>7</v>
      </c>
      <c r="L213" s="267">
        <f t="shared" si="11"/>
        <v>8</v>
      </c>
      <c r="M213" s="267">
        <f t="shared" si="11"/>
        <v>9</v>
      </c>
      <c r="N213" s="267">
        <f t="shared" si="11"/>
        <v>10</v>
      </c>
      <c r="O213" s="267">
        <f t="shared" si="11"/>
        <v>11</v>
      </c>
      <c r="P213" s="267">
        <f t="shared" si="11"/>
        <v>12</v>
      </c>
      <c r="Q213" s="267">
        <f t="shared" si="11"/>
        <v>13</v>
      </c>
      <c r="R213" s="267">
        <f t="shared" si="11"/>
        <v>14</v>
      </c>
      <c r="S213" s="267">
        <f t="shared" si="11"/>
        <v>15</v>
      </c>
      <c r="T213" s="267">
        <f t="shared" si="11"/>
        <v>16</v>
      </c>
      <c r="U213" s="267">
        <f>J213+1</f>
        <v>18</v>
      </c>
      <c r="V213" s="268"/>
    </row>
    <row r="214" spans="2:24" ht="60">
      <c r="B214" s="269" t="s">
        <v>318</v>
      </c>
      <c r="C214" s="270" t="s">
        <v>319</v>
      </c>
      <c r="D214" s="253" t="s">
        <v>4</v>
      </c>
      <c r="E214" s="253" t="s">
        <v>5</v>
      </c>
      <c r="F214" s="253" t="s">
        <v>320</v>
      </c>
      <c r="G214" s="253" t="s">
        <v>321</v>
      </c>
      <c r="H214" s="253" t="s">
        <v>322</v>
      </c>
      <c r="I214" s="253" t="s">
        <v>323</v>
      </c>
      <c r="J214" s="253" t="s">
        <v>324</v>
      </c>
      <c r="K214" s="253" t="s">
        <v>325</v>
      </c>
      <c r="L214" s="253" t="s">
        <v>326</v>
      </c>
      <c r="M214" s="253" t="s">
        <v>247</v>
      </c>
      <c r="N214" s="253" t="s">
        <v>249</v>
      </c>
      <c r="O214" s="253" t="s">
        <v>251</v>
      </c>
      <c r="P214" s="253" t="s">
        <v>253</v>
      </c>
      <c r="Q214" s="253" t="s">
        <v>255</v>
      </c>
      <c r="R214" s="253" t="s">
        <v>257</v>
      </c>
      <c r="S214" s="253" t="s">
        <v>327</v>
      </c>
      <c r="T214" s="253" t="s">
        <v>328</v>
      </c>
      <c r="U214" s="254" t="s">
        <v>329</v>
      </c>
    </row>
    <row r="215" spans="2:24">
      <c r="B215" s="271" t="s">
        <v>316</v>
      </c>
      <c r="C215" s="272"/>
      <c r="D215" s="257"/>
      <c r="E215" s="257"/>
      <c r="F215" s="257"/>
      <c r="G215" s="257"/>
      <c r="H215" s="257"/>
      <c r="I215" s="257"/>
      <c r="J215" s="257"/>
      <c r="K215" s="257"/>
      <c r="L215" s="257"/>
      <c r="M215" s="257"/>
      <c r="N215" s="257"/>
      <c r="O215" s="257"/>
      <c r="P215" s="257"/>
      <c r="Q215" s="257"/>
      <c r="R215" s="257"/>
      <c r="S215" s="257"/>
      <c r="T215" s="257"/>
      <c r="U215" s="258"/>
      <c r="X215" s="63">
        <v>1</v>
      </c>
    </row>
    <row r="216" spans="2:24">
      <c r="B216" s="271" t="s">
        <v>314</v>
      </c>
      <c r="C216" s="272"/>
      <c r="D216" s="257"/>
      <c r="E216" s="257"/>
      <c r="F216" s="257"/>
      <c r="G216" s="257"/>
      <c r="H216" s="257"/>
      <c r="I216" s="257"/>
      <c r="J216" s="257"/>
      <c r="K216" s="257"/>
      <c r="L216" s="257"/>
      <c r="M216" s="257"/>
      <c r="N216" s="257"/>
      <c r="O216" s="257"/>
      <c r="P216" s="257"/>
      <c r="Q216" s="257"/>
      <c r="R216" s="257"/>
      <c r="S216" s="257"/>
      <c r="T216" s="257"/>
      <c r="U216" s="258"/>
      <c r="X216" s="63">
        <v>2</v>
      </c>
    </row>
    <row r="217" spans="2:24">
      <c r="B217" s="271" t="s">
        <v>312</v>
      </c>
      <c r="C217" s="272"/>
      <c r="D217" s="257"/>
      <c r="E217" s="257"/>
      <c r="F217" s="257"/>
      <c r="G217" s="257"/>
      <c r="H217" s="257"/>
      <c r="I217" s="257"/>
      <c r="J217" s="257"/>
      <c r="K217" s="257"/>
      <c r="L217" s="257"/>
      <c r="M217" s="257"/>
      <c r="N217" s="257"/>
      <c r="O217" s="257"/>
      <c r="P217" s="257"/>
      <c r="Q217" s="257"/>
      <c r="R217" s="257"/>
      <c r="S217" s="257"/>
      <c r="T217" s="257"/>
      <c r="U217" s="258"/>
      <c r="X217" s="63">
        <v>3</v>
      </c>
    </row>
    <row r="218" spans="2:24">
      <c r="B218" s="271" t="s">
        <v>310</v>
      </c>
      <c r="C218" s="272"/>
      <c r="D218" s="257"/>
      <c r="E218" s="257"/>
      <c r="F218" s="257"/>
      <c r="G218" s="257"/>
      <c r="H218" s="257"/>
      <c r="I218" s="257"/>
      <c r="J218" s="257"/>
      <c r="K218" s="257"/>
      <c r="L218" s="257"/>
      <c r="M218" s="257"/>
      <c r="N218" s="257"/>
      <c r="O218" s="257"/>
      <c r="P218" s="257"/>
      <c r="Q218" s="257"/>
      <c r="R218" s="257"/>
      <c r="S218" s="257"/>
      <c r="T218" s="257"/>
      <c r="U218" s="258"/>
      <c r="X218" s="63">
        <v>4</v>
      </c>
    </row>
    <row r="219" spans="2:24">
      <c r="B219" s="271" t="s">
        <v>330</v>
      </c>
      <c r="C219" s="272"/>
      <c r="D219" s="257"/>
      <c r="E219" s="257">
        <v>80000</v>
      </c>
      <c r="F219" s="257"/>
      <c r="G219" s="257"/>
      <c r="H219" s="257"/>
      <c r="I219" s="257"/>
      <c r="J219" s="257"/>
      <c r="K219" s="257"/>
      <c r="L219" s="257"/>
      <c r="M219" s="257"/>
      <c r="N219" s="257"/>
      <c r="O219" s="257"/>
      <c r="P219" s="257"/>
      <c r="Q219" s="257">
        <v>110000</v>
      </c>
      <c r="R219" s="257"/>
      <c r="S219" s="257"/>
      <c r="T219" s="257"/>
      <c r="U219" s="258"/>
      <c r="X219" s="63">
        <v>5</v>
      </c>
    </row>
    <row r="220" spans="2:24">
      <c r="B220" s="271" t="s">
        <v>331</v>
      </c>
      <c r="C220" s="272"/>
      <c r="D220" s="257"/>
      <c r="E220" s="257"/>
      <c r="F220" s="257"/>
      <c r="G220" s="257"/>
      <c r="H220" s="257"/>
      <c r="I220" s="257"/>
      <c r="J220" s="257"/>
      <c r="K220" s="257"/>
      <c r="L220" s="257"/>
      <c r="M220" s="257"/>
      <c r="N220" s="257"/>
      <c r="O220" s="257"/>
      <c r="P220" s="257"/>
      <c r="Q220" s="257"/>
      <c r="R220" s="257"/>
      <c r="S220" s="257"/>
      <c r="T220" s="257"/>
      <c r="U220" s="258"/>
      <c r="X220" s="63">
        <v>6</v>
      </c>
    </row>
    <row r="221" spans="2:24">
      <c r="B221" s="271" t="s">
        <v>332</v>
      </c>
      <c r="C221" s="272"/>
      <c r="D221" s="257"/>
      <c r="E221" s="257">
        <v>100000</v>
      </c>
      <c r="F221" s="257"/>
      <c r="G221" s="257"/>
      <c r="H221" s="257"/>
      <c r="I221" s="257"/>
      <c r="J221" s="257"/>
      <c r="K221" s="257"/>
      <c r="L221" s="257"/>
      <c r="M221" s="257"/>
      <c r="N221" s="257"/>
      <c r="O221" s="257"/>
      <c r="P221" s="257"/>
      <c r="Q221" s="257">
        <v>170000</v>
      </c>
      <c r="R221" s="257"/>
      <c r="S221" s="257"/>
      <c r="T221" s="257"/>
      <c r="U221" s="258"/>
      <c r="X221" s="63">
        <v>7</v>
      </c>
    </row>
    <row r="222" spans="2:24">
      <c r="B222" s="271" t="s">
        <v>333</v>
      </c>
      <c r="C222" s="272"/>
      <c r="D222" s="257"/>
      <c r="E222" s="257">
        <v>385000</v>
      </c>
      <c r="F222" s="257"/>
      <c r="G222" s="257"/>
      <c r="H222" s="257"/>
      <c r="I222" s="257"/>
      <c r="J222" s="257"/>
      <c r="K222" s="257"/>
      <c r="L222" s="257"/>
      <c r="M222" s="257"/>
      <c r="N222" s="257"/>
      <c r="O222" s="257"/>
      <c r="P222" s="257"/>
      <c r="Q222" s="257">
        <v>410000</v>
      </c>
      <c r="R222" s="257"/>
      <c r="S222" s="257"/>
      <c r="T222" s="257"/>
      <c r="U222" s="258"/>
      <c r="X222" s="63">
        <v>8</v>
      </c>
    </row>
    <row r="223" spans="2:24">
      <c r="B223" s="271" t="s">
        <v>334</v>
      </c>
      <c r="C223" s="272"/>
      <c r="D223" s="257"/>
      <c r="E223" s="257"/>
      <c r="F223" s="257"/>
      <c r="G223" s="257"/>
      <c r="H223" s="257"/>
      <c r="I223" s="257"/>
      <c r="J223" s="257"/>
      <c r="K223" s="257"/>
      <c r="L223" s="257"/>
      <c r="M223" s="257"/>
      <c r="N223" s="257"/>
      <c r="O223" s="257"/>
      <c r="P223" s="257"/>
      <c r="Q223" s="257"/>
      <c r="R223" s="257"/>
      <c r="S223" s="257"/>
      <c r="T223" s="257"/>
      <c r="U223" s="258"/>
      <c r="X223" s="63">
        <v>9</v>
      </c>
    </row>
    <row r="224" spans="2:24">
      <c r="B224" s="271" t="s">
        <v>308</v>
      </c>
      <c r="C224" s="272"/>
      <c r="D224" s="257"/>
      <c r="E224" s="257">
        <v>195000</v>
      </c>
      <c r="F224" s="257"/>
      <c r="G224" s="257"/>
      <c r="H224" s="257"/>
      <c r="I224" s="257"/>
      <c r="J224" s="257"/>
      <c r="K224" s="257"/>
      <c r="L224" s="257"/>
      <c r="M224" s="257"/>
      <c r="N224" s="257"/>
      <c r="O224" s="257"/>
      <c r="P224" s="257"/>
      <c r="Q224" s="257">
        <v>245000</v>
      </c>
      <c r="R224" s="257"/>
      <c r="S224" s="257"/>
      <c r="T224" s="257"/>
      <c r="U224" s="258"/>
      <c r="X224" s="63">
        <v>10</v>
      </c>
    </row>
    <row r="225" spans="2:24">
      <c r="B225" s="271" t="s">
        <v>307</v>
      </c>
      <c r="C225" s="272"/>
      <c r="D225" s="257"/>
      <c r="E225" s="257"/>
      <c r="F225" s="257"/>
      <c r="G225" s="257"/>
      <c r="H225" s="257"/>
      <c r="I225" s="257"/>
      <c r="J225" s="257"/>
      <c r="K225" s="257"/>
      <c r="L225" s="257"/>
      <c r="M225" s="257"/>
      <c r="N225" s="257"/>
      <c r="O225" s="257"/>
      <c r="P225" s="257"/>
      <c r="Q225" s="257"/>
      <c r="R225" s="257"/>
      <c r="S225" s="257"/>
      <c r="T225" s="257"/>
      <c r="U225" s="258"/>
      <c r="X225" s="63">
        <v>11</v>
      </c>
    </row>
    <row r="226" spans="2:24">
      <c r="B226" s="271" t="s">
        <v>306</v>
      </c>
      <c r="C226" s="272"/>
      <c r="D226" s="257"/>
      <c r="E226" s="257">
        <v>100000</v>
      </c>
      <c r="F226" s="257"/>
      <c r="G226" s="257"/>
      <c r="H226" s="257"/>
      <c r="I226" s="257"/>
      <c r="J226" s="257"/>
      <c r="K226" s="257"/>
      <c r="L226" s="257"/>
      <c r="M226" s="257"/>
      <c r="N226" s="257"/>
      <c r="O226" s="257"/>
      <c r="P226" s="257"/>
      <c r="Q226" s="257">
        <v>150000</v>
      </c>
      <c r="R226" s="257"/>
      <c r="S226" s="257"/>
      <c r="T226" s="257"/>
      <c r="U226" s="258"/>
      <c r="X226" s="63">
        <v>12</v>
      </c>
    </row>
    <row r="227" spans="2:24">
      <c r="B227" s="271" t="s">
        <v>335</v>
      </c>
      <c r="C227" s="272"/>
      <c r="D227" s="257"/>
      <c r="E227" s="257">
        <v>55000</v>
      </c>
      <c r="F227" s="257"/>
      <c r="G227" s="257"/>
      <c r="H227" s="257"/>
      <c r="I227" s="257"/>
      <c r="J227" s="257"/>
      <c r="K227" s="257"/>
      <c r="L227" s="257"/>
      <c r="M227" s="257"/>
      <c r="N227" s="257"/>
      <c r="O227" s="257"/>
      <c r="P227" s="257"/>
      <c r="Q227" s="257">
        <v>75000</v>
      </c>
      <c r="R227" s="257"/>
      <c r="S227" s="257"/>
      <c r="T227" s="257"/>
      <c r="U227" s="258"/>
      <c r="X227" s="63">
        <v>13</v>
      </c>
    </row>
    <row r="228" spans="2:24">
      <c r="B228" s="271" t="s">
        <v>305</v>
      </c>
      <c r="C228" s="272"/>
      <c r="D228" s="257">
        <v>30000</v>
      </c>
      <c r="E228" s="257">
        <f>+D228+7000</f>
        <v>37000</v>
      </c>
      <c r="F228" s="257"/>
      <c r="G228" s="257"/>
      <c r="H228" s="257"/>
      <c r="I228" s="257"/>
      <c r="J228" s="257"/>
      <c r="K228" s="257"/>
      <c r="L228" s="257"/>
      <c r="M228" s="257"/>
      <c r="N228" s="257"/>
      <c r="O228" s="257"/>
      <c r="P228" s="257"/>
      <c r="Q228" s="257">
        <f>+D228+12000</f>
        <v>42000</v>
      </c>
      <c r="R228" s="257"/>
      <c r="S228" s="257"/>
      <c r="T228" s="257"/>
      <c r="U228" s="258"/>
      <c r="X228" s="63">
        <v>14</v>
      </c>
    </row>
    <row r="229" spans="2:24">
      <c r="B229" s="271" t="s">
        <v>336</v>
      </c>
      <c r="C229" s="272"/>
      <c r="D229" s="257">
        <v>28000</v>
      </c>
      <c r="E229" s="257"/>
      <c r="F229" s="257"/>
      <c r="G229" s="257"/>
      <c r="H229" s="257"/>
      <c r="I229" s="257"/>
      <c r="J229" s="257"/>
      <c r="K229" s="257"/>
      <c r="L229" s="257"/>
      <c r="M229" s="257"/>
      <c r="N229" s="257"/>
      <c r="O229" s="257"/>
      <c r="P229" s="257"/>
      <c r="Q229" s="257">
        <f>+D229+16000</f>
        <v>44000</v>
      </c>
      <c r="R229" s="257"/>
      <c r="S229" s="257"/>
      <c r="T229" s="257"/>
      <c r="U229" s="258"/>
      <c r="X229" s="63">
        <v>15</v>
      </c>
    </row>
    <row r="230" spans="2:24">
      <c r="B230" s="271" t="s">
        <v>337</v>
      </c>
      <c r="C230" s="272"/>
      <c r="D230" s="257">
        <v>38000</v>
      </c>
      <c r="E230" s="257"/>
      <c r="F230" s="257"/>
      <c r="G230" s="257"/>
      <c r="H230" s="257"/>
      <c r="I230" s="257"/>
      <c r="J230" s="257"/>
      <c r="K230" s="257"/>
      <c r="L230" s="257"/>
      <c r="M230" s="257"/>
      <c r="N230" s="257"/>
      <c r="O230" s="257"/>
      <c r="P230" s="257"/>
      <c r="Q230" s="257">
        <f>+D230+18000</f>
        <v>56000</v>
      </c>
      <c r="R230" s="257"/>
      <c r="S230" s="257"/>
      <c r="T230" s="257"/>
      <c r="U230" s="258"/>
      <c r="X230" s="63">
        <v>16</v>
      </c>
    </row>
    <row r="231" spans="2:24">
      <c r="B231" s="271" t="s">
        <v>303</v>
      </c>
      <c r="C231" s="272"/>
      <c r="D231" s="257">
        <v>24000</v>
      </c>
      <c r="E231" s="257"/>
      <c r="F231" s="257"/>
      <c r="G231" s="257"/>
      <c r="H231" s="257"/>
      <c r="I231" s="257"/>
      <c r="J231" s="257"/>
      <c r="K231" s="257"/>
      <c r="L231" s="257"/>
      <c r="M231" s="257"/>
      <c r="N231" s="257"/>
      <c r="O231" s="257"/>
      <c r="P231" s="257">
        <f>+D231+7000</f>
        <v>31000</v>
      </c>
      <c r="Q231" s="257">
        <f>+D231+12000</f>
        <v>36000</v>
      </c>
      <c r="R231" s="257"/>
      <c r="S231" s="257"/>
      <c r="T231" s="257"/>
      <c r="U231" s="258"/>
      <c r="X231" s="63">
        <v>17</v>
      </c>
    </row>
    <row r="232" spans="2:24">
      <c r="B232" s="271" t="s">
        <v>338</v>
      </c>
      <c r="C232" s="272"/>
      <c r="D232" s="257">
        <v>23000</v>
      </c>
      <c r="E232" s="257"/>
      <c r="F232" s="257"/>
      <c r="G232" s="257"/>
      <c r="H232" s="257"/>
      <c r="I232" s="257"/>
      <c r="J232" s="257"/>
      <c r="K232" s="257"/>
      <c r="L232" s="257"/>
      <c r="M232" s="257"/>
      <c r="N232" s="257"/>
      <c r="O232" s="257"/>
      <c r="P232" s="257"/>
      <c r="Q232" s="257">
        <v>31000</v>
      </c>
      <c r="R232" s="257"/>
      <c r="S232" s="257"/>
      <c r="T232" s="257"/>
      <c r="U232" s="258"/>
      <c r="X232" s="63">
        <v>18</v>
      </c>
    </row>
    <row r="233" spans="2:24">
      <c r="B233" s="271" t="s">
        <v>339</v>
      </c>
      <c r="C233" s="272"/>
      <c r="D233" s="257">
        <v>23000</v>
      </c>
      <c r="E233" s="257"/>
      <c r="F233" s="257"/>
      <c r="G233" s="257"/>
      <c r="H233" s="257"/>
      <c r="I233" s="257"/>
      <c r="J233" s="257"/>
      <c r="K233" s="257"/>
      <c r="L233" s="257"/>
      <c r="M233" s="257"/>
      <c r="N233" s="257"/>
      <c r="O233" s="257"/>
      <c r="P233" s="257"/>
      <c r="Q233" s="257">
        <v>31000</v>
      </c>
      <c r="R233" s="257"/>
      <c r="S233" s="257"/>
      <c r="T233" s="257"/>
      <c r="U233" s="258"/>
      <c r="X233" s="63">
        <v>19</v>
      </c>
    </row>
    <row r="234" spans="2:24">
      <c r="B234" s="271" t="s">
        <v>301</v>
      </c>
      <c r="C234" s="272"/>
      <c r="D234" s="257">
        <v>19000</v>
      </c>
      <c r="E234" s="257"/>
      <c r="F234" s="257"/>
      <c r="G234" s="257"/>
      <c r="H234" s="257"/>
      <c r="I234" s="257"/>
      <c r="J234" s="257"/>
      <c r="K234" s="257"/>
      <c r="L234" s="257"/>
      <c r="M234" s="257"/>
      <c r="N234" s="257"/>
      <c r="O234" s="257"/>
      <c r="P234" s="257">
        <f>+D234+6000</f>
        <v>25000</v>
      </c>
      <c r="Q234" s="257">
        <v>25000</v>
      </c>
      <c r="R234" s="257"/>
      <c r="S234" s="257"/>
      <c r="T234" s="257"/>
      <c r="U234" s="258"/>
      <c r="X234" s="63">
        <v>20</v>
      </c>
    </row>
    <row r="235" spans="2:24">
      <c r="B235" s="271" t="s">
        <v>340</v>
      </c>
      <c r="C235" s="272"/>
      <c r="D235" s="257">
        <v>19000</v>
      </c>
      <c r="E235" s="257"/>
      <c r="F235" s="257"/>
      <c r="G235" s="257"/>
      <c r="H235" s="257"/>
      <c r="I235" s="257"/>
      <c r="J235" s="257"/>
      <c r="K235" s="257"/>
      <c r="L235" s="257"/>
      <c r="M235" s="257"/>
      <c r="N235" s="257"/>
      <c r="O235" s="257"/>
      <c r="P235" s="257"/>
      <c r="Q235" s="257">
        <v>25000</v>
      </c>
      <c r="R235" s="257"/>
      <c r="S235" s="257"/>
      <c r="T235" s="257"/>
      <c r="U235" s="258"/>
      <c r="X235" s="63">
        <v>21</v>
      </c>
    </row>
    <row r="236" spans="2:24">
      <c r="B236" s="271" t="s">
        <v>341</v>
      </c>
      <c r="C236" s="272"/>
      <c r="D236" s="257">
        <v>24000</v>
      </c>
      <c r="E236" s="257"/>
      <c r="F236" s="257"/>
      <c r="G236" s="257"/>
      <c r="H236" s="257"/>
      <c r="I236" s="257"/>
      <c r="J236" s="257"/>
      <c r="K236" s="257"/>
      <c r="L236" s="257"/>
      <c r="M236" s="257"/>
      <c r="N236" s="257"/>
      <c r="O236" s="257"/>
      <c r="P236" s="257"/>
      <c r="Q236" s="257">
        <v>39000</v>
      </c>
      <c r="R236" s="257"/>
      <c r="S236" s="257"/>
      <c r="T236" s="257"/>
      <c r="U236" s="258"/>
      <c r="X236" s="63">
        <v>22</v>
      </c>
    </row>
    <row r="237" spans="2:24">
      <c r="B237" s="271" t="s">
        <v>342</v>
      </c>
      <c r="C237" s="272"/>
      <c r="D237" s="257">
        <v>10000</v>
      </c>
      <c r="E237" s="257"/>
      <c r="F237" s="257"/>
      <c r="G237" s="257"/>
      <c r="H237" s="257"/>
      <c r="I237" s="257"/>
      <c r="J237" s="257"/>
      <c r="K237" s="257"/>
      <c r="L237" s="257"/>
      <c r="M237" s="257"/>
      <c r="N237" s="257"/>
      <c r="O237" s="257"/>
      <c r="P237" s="257"/>
      <c r="Q237" s="257"/>
      <c r="R237" s="257"/>
      <c r="S237" s="257"/>
      <c r="T237" s="257"/>
      <c r="U237" s="258"/>
      <c r="X237" s="63">
        <v>23</v>
      </c>
    </row>
    <row r="238" spans="2:24" ht="16" thickBot="1">
      <c r="B238" s="273" t="s">
        <v>343</v>
      </c>
      <c r="C238" s="274"/>
      <c r="D238" s="264"/>
      <c r="E238" s="264"/>
      <c r="F238" s="264"/>
      <c r="G238" s="264"/>
      <c r="H238" s="264"/>
      <c r="I238" s="264"/>
      <c r="J238" s="264"/>
      <c r="K238" s="264"/>
      <c r="L238" s="264"/>
      <c r="M238" s="264"/>
      <c r="N238" s="264"/>
      <c r="O238" s="264"/>
      <c r="P238" s="264"/>
      <c r="Q238" s="264"/>
      <c r="R238" s="264"/>
      <c r="S238" s="264"/>
      <c r="T238" s="264"/>
      <c r="U238" s="265"/>
      <c r="X238" s="63">
        <v>24</v>
      </c>
    </row>
    <row r="239" spans="2:24">
      <c r="V239" s="275"/>
    </row>
    <row r="240" spans="2:24" ht="16" thickBot="1">
      <c r="B240" s="276" t="s">
        <v>345</v>
      </c>
      <c r="D240" s="63">
        <v>1</v>
      </c>
      <c r="E240" s="63">
        <f t="shared" ref="E240:T240" si="12">D240+1</f>
        <v>2</v>
      </c>
      <c r="F240" s="63">
        <f t="shared" si="12"/>
        <v>3</v>
      </c>
      <c r="G240" s="63">
        <f t="shared" si="12"/>
        <v>4</v>
      </c>
      <c r="H240" s="63">
        <f t="shared" si="12"/>
        <v>5</v>
      </c>
      <c r="I240" s="63">
        <f t="shared" si="12"/>
        <v>6</v>
      </c>
      <c r="J240" s="63">
        <f>T240+1</f>
        <v>17</v>
      </c>
      <c r="K240" s="63">
        <f>I240+1</f>
        <v>7</v>
      </c>
      <c r="L240" s="63">
        <f t="shared" si="12"/>
        <v>8</v>
      </c>
      <c r="M240" s="63">
        <f t="shared" si="12"/>
        <v>9</v>
      </c>
      <c r="N240" s="63">
        <f t="shared" si="12"/>
        <v>10</v>
      </c>
      <c r="O240" s="63">
        <f t="shared" si="12"/>
        <v>11</v>
      </c>
      <c r="P240" s="63">
        <f t="shared" si="12"/>
        <v>12</v>
      </c>
      <c r="Q240" s="63">
        <f t="shared" si="12"/>
        <v>13</v>
      </c>
      <c r="R240" s="63">
        <f t="shared" si="12"/>
        <v>14</v>
      </c>
      <c r="S240" s="63">
        <f t="shared" si="12"/>
        <v>15</v>
      </c>
      <c r="T240" s="63">
        <f t="shared" si="12"/>
        <v>16</v>
      </c>
      <c r="U240" s="63">
        <f>J240+1</f>
        <v>18</v>
      </c>
      <c r="V240" s="275"/>
    </row>
    <row r="241" spans="2:24" ht="80" customHeight="1">
      <c r="B241" s="250" t="s">
        <v>318</v>
      </c>
      <c r="C241" s="251" t="s">
        <v>319</v>
      </c>
      <c r="D241" s="252" t="s">
        <v>4</v>
      </c>
      <c r="E241" s="252" t="s">
        <v>5</v>
      </c>
      <c r="F241" s="252" t="s">
        <v>320</v>
      </c>
      <c r="G241" s="252" t="s">
        <v>321</v>
      </c>
      <c r="H241" s="252" t="s">
        <v>322</v>
      </c>
      <c r="I241" s="252" t="s">
        <v>323</v>
      </c>
      <c r="J241" s="252" t="s">
        <v>324</v>
      </c>
      <c r="K241" s="252" t="s">
        <v>325</v>
      </c>
      <c r="L241" s="252" t="s">
        <v>326</v>
      </c>
      <c r="M241" s="252" t="s">
        <v>247</v>
      </c>
      <c r="N241" s="252" t="s">
        <v>249</v>
      </c>
      <c r="O241" s="252" t="s">
        <v>251</v>
      </c>
      <c r="P241" s="252" t="s">
        <v>253</v>
      </c>
      <c r="Q241" s="252" t="s">
        <v>255</v>
      </c>
      <c r="R241" s="252" t="s">
        <v>257</v>
      </c>
      <c r="S241" s="252" t="s">
        <v>327</v>
      </c>
      <c r="T241" s="253" t="s">
        <v>328</v>
      </c>
      <c r="U241" s="254" t="s">
        <v>329</v>
      </c>
      <c r="V241" s="275"/>
    </row>
    <row r="242" spans="2:24">
      <c r="B242" s="136" t="s">
        <v>316</v>
      </c>
      <c r="C242" s="255" t="str">
        <f t="shared" ref="C242:C265" si="13">INDEX($B$175:$B$184,MATCH(B242,$C$175:$C$184,0))</f>
        <v>Combination Long-Haul Truck</v>
      </c>
      <c r="D242" s="277">
        <f>E242/1.2</f>
        <v>5.2708465912144051</v>
      </c>
      <c r="E242" s="277">
        <f>7.3*diesel_gallon2GGE</f>
        <v>6.325015909457286</v>
      </c>
      <c r="F242" s="277"/>
      <c r="G242" s="277"/>
      <c r="H242" s="278"/>
      <c r="I242" s="277">
        <f>E242*2.75</f>
        <v>17.393793751007536</v>
      </c>
      <c r="J242" s="279">
        <f>$E242*1.65</f>
        <v>10.436276250604521</v>
      </c>
      <c r="K242" s="277">
        <f>1/(1/E242*100*((0.93+0.95)/2))*100</f>
        <v>6.72874032920988</v>
      </c>
      <c r="L242" s="277">
        <f>E242</f>
        <v>6.325015909457286</v>
      </c>
      <c r="M242" s="279">
        <f t="shared" ref="M242:N248" si="14">$E242</f>
        <v>6.325015909457286</v>
      </c>
      <c r="N242" s="279">
        <f t="shared" si="14"/>
        <v>6.325015909457286</v>
      </c>
      <c r="O242" s="277">
        <f t="shared" ref="O242:O264" si="15">$D242</f>
        <v>5.2708465912144051</v>
      </c>
      <c r="P242" s="277">
        <f>D242</f>
        <v>5.2708465912144051</v>
      </c>
      <c r="Q242" s="277">
        <f>E242*0.9</f>
        <v>5.6925143185115576</v>
      </c>
      <c r="R242" s="279">
        <f t="shared" ref="R242:R248" si="16">Q242</f>
        <v>5.6925143185115576</v>
      </c>
      <c r="S242" s="277">
        <f>E242*0.95</f>
        <v>6.0087651139844214</v>
      </c>
      <c r="T242" s="280"/>
      <c r="U242" s="281"/>
      <c r="X242" s="63">
        <v>1</v>
      </c>
    </row>
    <row r="243" spans="2:24">
      <c r="B243" s="136" t="s">
        <v>314</v>
      </c>
      <c r="C243" s="255" t="str">
        <f t="shared" si="13"/>
        <v>Combination Short-Haul Truck</v>
      </c>
      <c r="D243" s="277">
        <f t="shared" ref="D243:D254" si="17">E243/1.2</f>
        <v>5.3430499691762465</v>
      </c>
      <c r="E243" s="277">
        <f>7.4*diesel_gallon2GGE</f>
        <v>6.4116599630114957</v>
      </c>
      <c r="F243" s="277"/>
      <c r="G243" s="277"/>
      <c r="H243" s="277"/>
      <c r="I243" s="277">
        <f t="shared" ref="I243:I253" si="18">E243*2.75</f>
        <v>17.632064898281612</v>
      </c>
      <c r="J243" s="279">
        <f t="shared" ref="J243:J254" si="19">$E243*1.65</f>
        <v>10.579238938968967</v>
      </c>
      <c r="K243" s="277">
        <f>1/(1/E243*100*((0.93+0.95)/2))*100</f>
        <v>6.8209148542675484</v>
      </c>
      <c r="L243" s="277">
        <f>E243</f>
        <v>6.4116599630114957</v>
      </c>
      <c r="M243" s="279">
        <f t="shared" si="14"/>
        <v>6.4116599630114957</v>
      </c>
      <c r="N243" s="279">
        <f t="shared" si="14"/>
        <v>6.4116599630114957</v>
      </c>
      <c r="O243" s="277">
        <f t="shared" si="15"/>
        <v>5.3430499691762465</v>
      </c>
      <c r="P243" s="277">
        <f t="shared" ref="P243:P264" si="20">D243</f>
        <v>5.3430499691762465</v>
      </c>
      <c r="Q243" s="277">
        <f>E243*0.9</f>
        <v>5.7704939667103465</v>
      </c>
      <c r="R243" s="279">
        <f t="shared" si="16"/>
        <v>5.7704939667103465</v>
      </c>
      <c r="S243" s="277">
        <f t="shared" ref="S243:S254" si="21">E243*0.95</f>
        <v>6.0910769648609202</v>
      </c>
      <c r="T243" s="282"/>
      <c r="U243" s="281"/>
      <c r="X243" s="63">
        <v>2</v>
      </c>
    </row>
    <row r="244" spans="2:24">
      <c r="B244" s="136" t="s">
        <v>312</v>
      </c>
      <c r="C244" s="255" t="str">
        <f t="shared" si="13"/>
        <v>Single Unit Long-Haul Truck</v>
      </c>
      <c r="D244" s="277">
        <f t="shared" si="17"/>
        <v>4.7398023920111862</v>
      </c>
      <c r="E244" s="277">
        <f>E245*5.5/6.2</f>
        <v>5.6877628704134233</v>
      </c>
      <c r="F244" s="277"/>
      <c r="G244" s="277"/>
      <c r="H244" s="277"/>
      <c r="I244" s="277">
        <f t="shared" si="18"/>
        <v>15.641347893636913</v>
      </c>
      <c r="J244" s="279">
        <f t="shared" si="19"/>
        <v>9.3848087361821477</v>
      </c>
      <c r="K244" s="277">
        <f>E245*1.18</f>
        <v>7.5657587563535644</v>
      </c>
      <c r="L244" s="277">
        <f>1/(1/E244*100*(0.8+0.75)/2)*100</f>
        <v>7.3390488650495787</v>
      </c>
      <c r="M244" s="279">
        <f t="shared" si="14"/>
        <v>5.6877628704134233</v>
      </c>
      <c r="N244" s="279">
        <f t="shared" si="14"/>
        <v>5.6877628704134233</v>
      </c>
      <c r="O244" s="277">
        <f t="shared" si="15"/>
        <v>4.7398023920111862</v>
      </c>
      <c r="P244" s="277">
        <f t="shared" si="20"/>
        <v>4.7398023920111862</v>
      </c>
      <c r="Q244" s="277">
        <f>E244*0.9</f>
        <v>5.1189865833720809</v>
      </c>
      <c r="R244" s="279">
        <f t="shared" si="16"/>
        <v>5.1189865833720809</v>
      </c>
      <c r="S244" s="277">
        <f t="shared" si="21"/>
        <v>5.4033747268927517</v>
      </c>
      <c r="T244" s="280">
        <f>1/(1/E244*100*(0.7+0.6)/2)*100</f>
        <v>8.7504044160206522</v>
      </c>
      <c r="U244" s="281"/>
      <c r="X244" s="63">
        <v>3</v>
      </c>
    </row>
    <row r="245" spans="2:24">
      <c r="B245" s="136" t="s">
        <v>310</v>
      </c>
      <c r="C245" s="255" t="str">
        <f t="shared" si="13"/>
        <v>Single Unit Short-Haul Truck</v>
      </c>
      <c r="D245" s="277">
        <f t="shared" si="17"/>
        <v>5.3430499691762465</v>
      </c>
      <c r="E245" s="277">
        <f>7.4*diesel_gallon2GGE</f>
        <v>6.4116599630114957</v>
      </c>
      <c r="F245" s="277"/>
      <c r="G245" s="277"/>
      <c r="H245" s="277"/>
      <c r="I245" s="277">
        <f t="shared" si="18"/>
        <v>17.632064898281612</v>
      </c>
      <c r="J245" s="279">
        <f t="shared" si="19"/>
        <v>10.579238938968967</v>
      </c>
      <c r="K245" s="277">
        <f>E245*1.27</f>
        <v>8.1428081530245997</v>
      </c>
      <c r="L245" s="277">
        <f>1/(1/E245*100*(0.8+0.75)/2)*100</f>
        <v>8.2731096296922537</v>
      </c>
      <c r="M245" s="279">
        <f t="shared" si="14"/>
        <v>6.4116599630114957</v>
      </c>
      <c r="N245" s="279">
        <f t="shared" si="14"/>
        <v>6.4116599630114957</v>
      </c>
      <c r="O245" s="277">
        <f t="shared" si="15"/>
        <v>5.3430499691762465</v>
      </c>
      <c r="P245" s="277">
        <f t="shared" si="20"/>
        <v>5.3430499691762465</v>
      </c>
      <c r="Q245" s="277">
        <f t="shared" ref="Q245:Q254" si="22">E245*0.85</f>
        <v>5.4499109685597711</v>
      </c>
      <c r="R245" s="279">
        <f t="shared" si="16"/>
        <v>5.4499109685597711</v>
      </c>
      <c r="S245" s="277">
        <f t="shared" si="21"/>
        <v>6.0910769648609202</v>
      </c>
      <c r="T245" s="280">
        <f>1/(1/E245*100*(0.7+0.6)/2)*100</f>
        <v>9.8640922507869178</v>
      </c>
      <c r="U245" s="281"/>
      <c r="X245" s="63">
        <v>4</v>
      </c>
    </row>
    <row r="246" spans="2:24">
      <c r="B246" s="136" t="s">
        <v>330</v>
      </c>
      <c r="C246" s="255" t="e">
        <f t="shared" si="13"/>
        <v>#N/A</v>
      </c>
      <c r="D246" s="277">
        <f t="shared" si="17"/>
        <v>3.833333333333333</v>
      </c>
      <c r="E246" s="277">
        <v>4.5999999999999996</v>
      </c>
      <c r="F246" s="277"/>
      <c r="G246" s="277"/>
      <c r="H246" s="277"/>
      <c r="I246" s="277">
        <f t="shared" si="18"/>
        <v>12.649999999999999</v>
      </c>
      <c r="J246" s="279">
        <f t="shared" si="19"/>
        <v>7.589999999999999</v>
      </c>
      <c r="K246" s="277">
        <f>1/(1/E246*100*(0.8+0.75)/2)*100</f>
        <v>5.9354838709677411</v>
      </c>
      <c r="L246" s="277">
        <f>1/(1/E246*100*(0.8+0.75)/2)*100</f>
        <v>5.9354838709677411</v>
      </c>
      <c r="M246" s="279">
        <f t="shared" si="14"/>
        <v>4.5999999999999996</v>
      </c>
      <c r="N246" s="279">
        <f t="shared" si="14"/>
        <v>4.5999999999999996</v>
      </c>
      <c r="O246" s="277">
        <f t="shared" si="15"/>
        <v>3.833333333333333</v>
      </c>
      <c r="P246" s="277">
        <f t="shared" si="20"/>
        <v>3.833333333333333</v>
      </c>
      <c r="Q246" s="277">
        <f t="shared" si="22"/>
        <v>3.9099999999999997</v>
      </c>
      <c r="R246" s="279">
        <f t="shared" si="16"/>
        <v>3.9099999999999997</v>
      </c>
      <c r="S246" s="277">
        <f t="shared" si="21"/>
        <v>4.3699999999999992</v>
      </c>
      <c r="T246" s="280"/>
      <c r="U246" s="281"/>
      <c r="X246" s="63">
        <v>5</v>
      </c>
    </row>
    <row r="247" spans="2:24">
      <c r="B247" s="136" t="s">
        <v>331</v>
      </c>
      <c r="C247" s="255" t="e">
        <f t="shared" si="13"/>
        <v>#N/A</v>
      </c>
      <c r="D247" s="277">
        <f t="shared" si="17"/>
        <v>3.666666666666667</v>
      </c>
      <c r="E247" s="277">
        <v>4.4000000000000004</v>
      </c>
      <c r="F247" s="277"/>
      <c r="G247" s="277"/>
      <c r="H247" s="277"/>
      <c r="I247" s="277">
        <f t="shared" si="18"/>
        <v>12.100000000000001</v>
      </c>
      <c r="J247" s="279">
        <f t="shared" si="19"/>
        <v>7.26</v>
      </c>
      <c r="K247" s="277">
        <f>1/(1/E247*100*(0.8+0.75)/2)*100</f>
        <v>5.67741935483871</v>
      </c>
      <c r="L247" s="277">
        <f>1/(1/E247*100*(0.8+0.75)/2)*100</f>
        <v>5.67741935483871</v>
      </c>
      <c r="M247" s="279">
        <f t="shared" si="14"/>
        <v>4.4000000000000004</v>
      </c>
      <c r="N247" s="279">
        <f t="shared" si="14"/>
        <v>4.4000000000000004</v>
      </c>
      <c r="O247" s="277">
        <f t="shared" si="15"/>
        <v>3.666666666666667</v>
      </c>
      <c r="P247" s="277">
        <f t="shared" si="20"/>
        <v>3.666666666666667</v>
      </c>
      <c r="Q247" s="277">
        <f t="shared" si="22"/>
        <v>3.74</v>
      </c>
      <c r="R247" s="279">
        <f t="shared" si="16"/>
        <v>3.74</v>
      </c>
      <c r="S247" s="277">
        <f t="shared" si="21"/>
        <v>4.18</v>
      </c>
      <c r="T247" s="280">
        <f>1/(1/E247*100*(0.7+0.6)/2)*100</f>
        <v>6.7692307692307701</v>
      </c>
      <c r="U247" s="281"/>
      <c r="X247" s="63">
        <v>6</v>
      </c>
    </row>
    <row r="248" spans="2:24">
      <c r="B248" s="136" t="s">
        <v>332</v>
      </c>
      <c r="C248" s="255" t="e">
        <f t="shared" si="13"/>
        <v>#N/A</v>
      </c>
      <c r="D248" s="277">
        <f t="shared" si="17"/>
        <v>2.2500000000000004</v>
      </c>
      <c r="E248" s="277">
        <v>2.7</v>
      </c>
      <c r="F248" s="277"/>
      <c r="G248" s="277"/>
      <c r="H248" s="277"/>
      <c r="I248" s="277">
        <f t="shared" si="18"/>
        <v>7.4250000000000007</v>
      </c>
      <c r="J248" s="279">
        <f t="shared" si="19"/>
        <v>4.4550000000000001</v>
      </c>
      <c r="K248" s="277">
        <f>1/(1/E248*100*(0.8+0.75)/2)*100</f>
        <v>3.4838709677419351</v>
      </c>
      <c r="L248" s="277">
        <f>1/(1/E248*100*(0.8+0.75)/2)*100</f>
        <v>3.4838709677419351</v>
      </c>
      <c r="M248" s="279">
        <f t="shared" si="14"/>
        <v>2.7</v>
      </c>
      <c r="N248" s="279">
        <f t="shared" si="14"/>
        <v>2.7</v>
      </c>
      <c r="O248" s="277">
        <f t="shared" si="15"/>
        <v>2.2500000000000004</v>
      </c>
      <c r="P248" s="277">
        <f t="shared" si="20"/>
        <v>2.2500000000000004</v>
      </c>
      <c r="Q248" s="277">
        <f t="shared" si="22"/>
        <v>2.2949999999999999</v>
      </c>
      <c r="R248" s="279">
        <f t="shared" si="16"/>
        <v>2.2949999999999999</v>
      </c>
      <c r="S248" s="277">
        <f t="shared" si="21"/>
        <v>2.5649999999999999</v>
      </c>
      <c r="T248" s="280"/>
      <c r="U248" s="281"/>
      <c r="X248" s="63">
        <v>7</v>
      </c>
    </row>
    <row r="249" spans="2:24">
      <c r="B249" s="136" t="s">
        <v>333</v>
      </c>
      <c r="C249" s="255" t="e">
        <f t="shared" si="13"/>
        <v>#N/A</v>
      </c>
      <c r="D249" s="277"/>
      <c r="E249" s="277"/>
      <c r="F249" s="277"/>
      <c r="G249" s="277"/>
      <c r="H249" s="277"/>
      <c r="I249" s="277"/>
      <c r="J249" s="277">
        <f t="shared" si="19"/>
        <v>0</v>
      </c>
      <c r="K249" s="277"/>
      <c r="L249" s="277"/>
      <c r="M249" s="277"/>
      <c r="N249" s="277"/>
      <c r="O249" s="277"/>
      <c r="P249" s="277"/>
      <c r="Q249" s="277"/>
      <c r="R249" s="277"/>
      <c r="S249" s="277"/>
      <c r="T249" s="280"/>
      <c r="U249" s="281"/>
      <c r="X249" s="63">
        <v>8</v>
      </c>
    </row>
    <row r="250" spans="2:24">
      <c r="B250" s="136" t="s">
        <v>334</v>
      </c>
      <c r="C250" s="255" t="e">
        <f t="shared" si="13"/>
        <v>#N/A</v>
      </c>
      <c r="D250" s="277">
        <f t="shared" si="17"/>
        <v>0.83333333333333337</v>
      </c>
      <c r="E250" s="277">
        <v>1</v>
      </c>
      <c r="F250" s="277"/>
      <c r="G250" s="277"/>
      <c r="H250" s="277"/>
      <c r="I250" s="277">
        <f t="shared" si="18"/>
        <v>2.75</v>
      </c>
      <c r="J250" s="279">
        <f t="shared" si="19"/>
        <v>1.65</v>
      </c>
      <c r="K250" s="277">
        <f>1/(1/E250*100*(0.8+0.75)/2)*100</f>
        <v>1.2903225806451613</v>
      </c>
      <c r="L250" s="277">
        <f>1/(1/E250*100*(0.8+0.75)/2)*100</f>
        <v>1.2903225806451613</v>
      </c>
      <c r="M250" s="279">
        <f t="shared" ref="M250:N264" si="23">$E250</f>
        <v>1</v>
      </c>
      <c r="N250" s="279">
        <f t="shared" si="23"/>
        <v>1</v>
      </c>
      <c r="O250" s="277">
        <f t="shared" si="15"/>
        <v>0.83333333333333337</v>
      </c>
      <c r="P250" s="277">
        <f t="shared" si="20"/>
        <v>0.83333333333333337</v>
      </c>
      <c r="Q250" s="277">
        <f t="shared" si="22"/>
        <v>0.85</v>
      </c>
      <c r="R250" s="279">
        <f>Q250</f>
        <v>0.85</v>
      </c>
      <c r="S250" s="277">
        <f t="shared" si="21"/>
        <v>0.95</v>
      </c>
      <c r="T250" s="280"/>
      <c r="U250" s="281"/>
      <c r="X250" s="63">
        <v>9</v>
      </c>
    </row>
    <row r="251" spans="2:24">
      <c r="B251" s="136" t="s">
        <v>308</v>
      </c>
      <c r="C251" s="255" t="str">
        <f t="shared" si="13"/>
        <v>Refuse Truck</v>
      </c>
      <c r="D251" s="277">
        <f t="shared" si="17"/>
        <v>1.25</v>
      </c>
      <c r="E251" s="277">
        <v>1.5</v>
      </c>
      <c r="F251" s="277"/>
      <c r="G251" s="277"/>
      <c r="H251" s="277"/>
      <c r="I251" s="277">
        <f t="shared" si="18"/>
        <v>4.125</v>
      </c>
      <c r="J251" s="279">
        <f t="shared" si="19"/>
        <v>2.4749999999999996</v>
      </c>
      <c r="K251" s="277">
        <f>1/(1/E251*100*0.8)*100</f>
        <v>1.8750000000000002</v>
      </c>
      <c r="L251" s="277">
        <f>1/(1/E251*100*(0.8+0.75)/2)*100</f>
        <v>1.935483870967742</v>
      </c>
      <c r="M251" s="279">
        <f t="shared" si="23"/>
        <v>1.5</v>
      </c>
      <c r="N251" s="279">
        <f t="shared" si="23"/>
        <v>1.5</v>
      </c>
      <c r="O251" s="277">
        <f t="shared" si="15"/>
        <v>1.25</v>
      </c>
      <c r="P251" s="277">
        <f t="shared" si="20"/>
        <v>1.25</v>
      </c>
      <c r="Q251" s="277">
        <f t="shared" si="22"/>
        <v>1.2749999999999999</v>
      </c>
      <c r="R251" s="279">
        <f>Q251</f>
        <v>1.2749999999999999</v>
      </c>
      <c r="S251" s="277">
        <f t="shared" si="21"/>
        <v>1.4249999999999998</v>
      </c>
      <c r="T251" s="280">
        <f>1/(1/E251*100*0.75)*100</f>
        <v>2.0000000000000004</v>
      </c>
      <c r="U251" s="281"/>
      <c r="X251" s="63">
        <v>10</v>
      </c>
    </row>
    <row r="252" spans="2:24">
      <c r="B252" s="136" t="s">
        <v>307</v>
      </c>
      <c r="C252" s="255" t="str">
        <f t="shared" si="13"/>
        <v>Transit Bus</v>
      </c>
      <c r="D252" s="277">
        <f t="shared" si="17"/>
        <v>2.960338496435488</v>
      </c>
      <c r="E252" s="277">
        <f>4.1*diesel_gallon2GGE</f>
        <v>3.5524061957225852</v>
      </c>
      <c r="F252" s="277"/>
      <c r="G252" s="277"/>
      <c r="H252" s="277"/>
      <c r="I252" s="277">
        <f t="shared" si="18"/>
        <v>9.7691170382371091</v>
      </c>
      <c r="J252" s="279">
        <f t="shared" si="19"/>
        <v>5.8614702229422653</v>
      </c>
      <c r="K252" s="277">
        <f>1/(1/E252*100*(0.78+0.65)/2)*100</f>
        <v>4.9684002737378803</v>
      </c>
      <c r="L252" s="277">
        <f>1/(1/E252*100*(0.8+0.75)/2)*100</f>
        <v>4.5837499299646245</v>
      </c>
      <c r="M252" s="279">
        <f t="shared" si="23"/>
        <v>3.5524061957225852</v>
      </c>
      <c r="N252" s="279">
        <f t="shared" si="23"/>
        <v>3.5524061957225852</v>
      </c>
      <c r="O252" s="277">
        <f t="shared" si="15"/>
        <v>2.960338496435488</v>
      </c>
      <c r="P252" s="277">
        <f t="shared" si="20"/>
        <v>2.960338496435488</v>
      </c>
      <c r="Q252" s="277">
        <f t="shared" si="22"/>
        <v>3.0195452663641973</v>
      </c>
      <c r="R252" s="279">
        <f>Q252</f>
        <v>3.0195452663641973</v>
      </c>
      <c r="S252" s="277">
        <f t="shared" si="21"/>
        <v>3.3747858859364559</v>
      </c>
      <c r="T252" s="280"/>
      <c r="U252" s="281"/>
      <c r="X252" s="63">
        <v>11</v>
      </c>
    </row>
    <row r="253" spans="2:24">
      <c r="B253" s="136" t="s">
        <v>306</v>
      </c>
      <c r="C253" s="255" t="str">
        <f t="shared" si="13"/>
        <v>School Bus</v>
      </c>
      <c r="D253" s="277">
        <f t="shared" si="17"/>
        <v>5.5596601030617698</v>
      </c>
      <c r="E253" s="277">
        <f>7.7*diesel_gallon2GGE</f>
        <v>6.6715921236741238</v>
      </c>
      <c r="F253" s="277"/>
      <c r="G253" s="277"/>
      <c r="H253" s="277"/>
      <c r="I253" s="277">
        <f t="shared" si="18"/>
        <v>18.346878340103842</v>
      </c>
      <c r="J253" s="279">
        <f t="shared" si="19"/>
        <v>11.008127004062304</v>
      </c>
      <c r="K253" s="277">
        <f>E253*1.35</f>
        <v>9.0066493669600671</v>
      </c>
      <c r="L253" s="277">
        <f>1/(1/E253*100*(0.8+0.75)/2)*100</f>
        <v>8.6085059660311263</v>
      </c>
      <c r="M253" s="279">
        <f t="shared" si="23"/>
        <v>6.6715921236741238</v>
      </c>
      <c r="N253" s="279">
        <f t="shared" si="23"/>
        <v>6.6715921236741238</v>
      </c>
      <c r="O253" s="277">
        <f t="shared" si="15"/>
        <v>5.5596601030617698</v>
      </c>
      <c r="P253" s="277">
        <f t="shared" si="20"/>
        <v>5.5596601030617698</v>
      </c>
      <c r="Q253" s="277">
        <f t="shared" si="22"/>
        <v>5.6708533051230052</v>
      </c>
      <c r="R253" s="279">
        <f>Q253</f>
        <v>5.6708533051230052</v>
      </c>
      <c r="S253" s="277">
        <f t="shared" si="21"/>
        <v>6.3380125174904176</v>
      </c>
      <c r="T253" s="280"/>
      <c r="U253" s="281"/>
      <c r="V253" s="283"/>
      <c r="X253" s="63">
        <v>12</v>
      </c>
    </row>
    <row r="254" spans="2:24">
      <c r="B254" s="136" t="s">
        <v>335</v>
      </c>
      <c r="C254" s="255" t="e">
        <f t="shared" si="13"/>
        <v>#N/A</v>
      </c>
      <c r="D254" s="277">
        <f t="shared" si="17"/>
        <v>6.666666666666667</v>
      </c>
      <c r="E254" s="277">
        <v>8</v>
      </c>
      <c r="F254" s="277"/>
      <c r="G254" s="277"/>
      <c r="H254" s="277"/>
      <c r="I254" s="277">
        <f>E254*2.75</f>
        <v>22</v>
      </c>
      <c r="J254" s="279">
        <f t="shared" si="19"/>
        <v>13.2</v>
      </c>
      <c r="K254" s="277">
        <f>E254*1.35</f>
        <v>10.8</v>
      </c>
      <c r="L254" s="277">
        <f>1/(1/E254*100*(0.8+0.75)/2)*100</f>
        <v>10.32258064516129</v>
      </c>
      <c r="M254" s="279">
        <f t="shared" si="23"/>
        <v>8</v>
      </c>
      <c r="N254" s="279">
        <f t="shared" si="23"/>
        <v>8</v>
      </c>
      <c r="O254" s="277">
        <f t="shared" si="15"/>
        <v>6.666666666666667</v>
      </c>
      <c r="P254" s="277">
        <f t="shared" si="20"/>
        <v>6.666666666666667</v>
      </c>
      <c r="Q254" s="277">
        <f t="shared" si="22"/>
        <v>6.8</v>
      </c>
      <c r="R254" s="279">
        <f>Q254</f>
        <v>6.8</v>
      </c>
      <c r="S254" s="277">
        <f t="shared" si="21"/>
        <v>7.6</v>
      </c>
      <c r="T254" s="280"/>
      <c r="U254" s="281"/>
      <c r="X254" s="63">
        <v>13</v>
      </c>
    </row>
    <row r="255" spans="2:24">
      <c r="B255" s="136" t="s">
        <v>305</v>
      </c>
      <c r="C255" s="255" t="str">
        <f t="shared" si="13"/>
        <v>Light Commercial Truck</v>
      </c>
      <c r="D255" s="279">
        <v>13</v>
      </c>
      <c r="E255" s="279">
        <f t="shared" ref="E255:E264" si="24">D255*1.2</f>
        <v>15.6</v>
      </c>
      <c r="F255" s="279">
        <f>$D255*1.4</f>
        <v>18.2</v>
      </c>
      <c r="G255" s="279">
        <f>+$D255*1.49</f>
        <v>19.37</v>
      </c>
      <c r="H255" s="279">
        <f>+$D255*1.43</f>
        <v>18.59</v>
      </c>
      <c r="I255" s="277">
        <f>$D255*3.3</f>
        <v>42.9</v>
      </c>
      <c r="J255" s="279">
        <f>$D255*1.99</f>
        <v>25.87</v>
      </c>
      <c r="K255" s="277"/>
      <c r="L255" s="277"/>
      <c r="M255" s="279">
        <f t="shared" si="23"/>
        <v>15.6</v>
      </c>
      <c r="N255" s="279">
        <f t="shared" si="23"/>
        <v>15.6</v>
      </c>
      <c r="O255" s="277">
        <f t="shared" si="15"/>
        <v>13</v>
      </c>
      <c r="P255" s="277">
        <f t="shared" si="20"/>
        <v>13</v>
      </c>
      <c r="Q255" s="277">
        <f>D255*0.95</f>
        <v>12.35</v>
      </c>
      <c r="R255" s="279"/>
      <c r="S255" s="277"/>
      <c r="T255" s="280"/>
      <c r="U255" s="281"/>
      <c r="X255" s="63">
        <v>14</v>
      </c>
    </row>
    <row r="256" spans="2:24">
      <c r="B256" s="136" t="s">
        <v>336</v>
      </c>
      <c r="C256" s="255" t="e">
        <f t="shared" si="13"/>
        <v>#N/A</v>
      </c>
      <c r="D256" s="279">
        <v>10</v>
      </c>
      <c r="E256" s="279">
        <f t="shared" si="24"/>
        <v>12</v>
      </c>
      <c r="F256" s="279">
        <f t="shared" ref="F256:F264" si="25">$D256*1.4</f>
        <v>14</v>
      </c>
      <c r="G256" s="279">
        <f t="shared" ref="G256:G264" si="26">+$D256*1.49</f>
        <v>14.9</v>
      </c>
      <c r="H256" s="279">
        <f t="shared" ref="H256:H264" si="27">+$D256*1.43</f>
        <v>14.299999999999999</v>
      </c>
      <c r="I256" s="277">
        <f t="shared" ref="I256:I264" si="28">$D256*3.3</f>
        <v>33</v>
      </c>
      <c r="J256" s="279">
        <f t="shared" ref="J256:J264" si="29">$D256*1.99</f>
        <v>19.899999999999999</v>
      </c>
      <c r="K256" s="279"/>
      <c r="L256" s="277"/>
      <c r="M256" s="279">
        <f t="shared" si="23"/>
        <v>12</v>
      </c>
      <c r="N256" s="279">
        <f t="shared" si="23"/>
        <v>12</v>
      </c>
      <c r="O256" s="277">
        <f t="shared" si="15"/>
        <v>10</v>
      </c>
      <c r="P256" s="277">
        <f t="shared" si="20"/>
        <v>10</v>
      </c>
      <c r="Q256" s="277">
        <f t="shared" ref="Q256:Q264" si="30">D256*0.95</f>
        <v>9.5</v>
      </c>
      <c r="R256" s="279"/>
      <c r="S256" s="279"/>
      <c r="T256" s="284"/>
      <c r="U256" s="285"/>
      <c r="X256" s="63">
        <v>15</v>
      </c>
    </row>
    <row r="257" spans="2:24">
      <c r="B257" s="136" t="s">
        <v>337</v>
      </c>
      <c r="C257" s="255" t="e">
        <f t="shared" si="13"/>
        <v>#N/A</v>
      </c>
      <c r="D257" s="279">
        <v>14.5</v>
      </c>
      <c r="E257" s="279">
        <f t="shared" si="24"/>
        <v>17.399999999999999</v>
      </c>
      <c r="F257" s="279">
        <f t="shared" si="25"/>
        <v>20.299999999999997</v>
      </c>
      <c r="G257" s="279">
        <f t="shared" si="26"/>
        <v>21.605</v>
      </c>
      <c r="H257" s="279">
        <f t="shared" si="27"/>
        <v>20.734999999999999</v>
      </c>
      <c r="I257" s="277">
        <f t="shared" si="28"/>
        <v>47.849999999999994</v>
      </c>
      <c r="J257" s="279">
        <f t="shared" si="29"/>
        <v>28.855</v>
      </c>
      <c r="K257" s="279"/>
      <c r="L257" s="277"/>
      <c r="M257" s="279">
        <f t="shared" si="23"/>
        <v>17.399999999999999</v>
      </c>
      <c r="N257" s="279">
        <f t="shared" si="23"/>
        <v>17.399999999999999</v>
      </c>
      <c r="O257" s="277">
        <f t="shared" si="15"/>
        <v>14.5</v>
      </c>
      <c r="P257" s="277">
        <f t="shared" si="20"/>
        <v>14.5</v>
      </c>
      <c r="Q257" s="277">
        <f t="shared" si="30"/>
        <v>13.774999999999999</v>
      </c>
      <c r="R257" s="279"/>
      <c r="S257" s="279"/>
      <c r="T257" s="284"/>
      <c r="U257" s="285"/>
      <c r="X257" s="63">
        <v>16</v>
      </c>
    </row>
    <row r="258" spans="2:24">
      <c r="B258" s="136" t="s">
        <v>303</v>
      </c>
      <c r="C258" s="255" t="str">
        <f t="shared" si="13"/>
        <v>Passenger Truck</v>
      </c>
      <c r="D258" s="279">
        <v>22.7</v>
      </c>
      <c r="E258" s="279">
        <f t="shared" si="24"/>
        <v>27.24</v>
      </c>
      <c r="F258" s="279">
        <f t="shared" si="25"/>
        <v>31.779999999999998</v>
      </c>
      <c r="G258" s="279">
        <f t="shared" si="26"/>
        <v>33.823</v>
      </c>
      <c r="H258" s="279">
        <f t="shared" si="27"/>
        <v>32.460999999999999</v>
      </c>
      <c r="I258" s="277">
        <f t="shared" si="28"/>
        <v>74.91</v>
      </c>
      <c r="J258" s="279">
        <f t="shared" si="29"/>
        <v>45.173000000000002</v>
      </c>
      <c r="K258" s="279"/>
      <c r="L258" s="279"/>
      <c r="M258" s="279">
        <f t="shared" si="23"/>
        <v>27.24</v>
      </c>
      <c r="N258" s="279">
        <f t="shared" si="23"/>
        <v>27.24</v>
      </c>
      <c r="O258" s="277">
        <f t="shared" si="15"/>
        <v>22.7</v>
      </c>
      <c r="P258" s="277">
        <f t="shared" si="20"/>
        <v>22.7</v>
      </c>
      <c r="Q258" s="277">
        <f t="shared" si="30"/>
        <v>21.564999999999998</v>
      </c>
      <c r="R258" s="279"/>
      <c r="S258" s="279"/>
      <c r="T258" s="284"/>
      <c r="U258" s="285"/>
      <c r="X258" s="63">
        <v>17</v>
      </c>
    </row>
    <row r="259" spans="2:24">
      <c r="B259" s="136" t="s">
        <v>338</v>
      </c>
      <c r="C259" s="255" t="e">
        <f t="shared" si="13"/>
        <v>#N/A</v>
      </c>
      <c r="D259" s="279">
        <v>26.8</v>
      </c>
      <c r="E259" s="279">
        <f t="shared" si="24"/>
        <v>32.159999999999997</v>
      </c>
      <c r="F259" s="279">
        <f t="shared" si="25"/>
        <v>37.519999999999996</v>
      </c>
      <c r="G259" s="279">
        <f t="shared" si="26"/>
        <v>39.932000000000002</v>
      </c>
      <c r="H259" s="279">
        <f t="shared" si="27"/>
        <v>38.323999999999998</v>
      </c>
      <c r="I259" s="277">
        <f t="shared" si="28"/>
        <v>88.44</v>
      </c>
      <c r="J259" s="279">
        <f t="shared" si="29"/>
        <v>53.332000000000001</v>
      </c>
      <c r="K259" s="279"/>
      <c r="L259" s="279"/>
      <c r="M259" s="279">
        <f t="shared" si="23"/>
        <v>32.159999999999997</v>
      </c>
      <c r="N259" s="279">
        <f t="shared" si="23"/>
        <v>32.159999999999997</v>
      </c>
      <c r="O259" s="277">
        <f t="shared" si="15"/>
        <v>26.8</v>
      </c>
      <c r="P259" s="277">
        <f t="shared" si="20"/>
        <v>26.8</v>
      </c>
      <c r="Q259" s="277">
        <f t="shared" si="30"/>
        <v>25.46</v>
      </c>
      <c r="R259" s="279"/>
      <c r="S259" s="279"/>
      <c r="T259" s="284"/>
      <c r="U259" s="285"/>
      <c r="X259" s="63">
        <v>18</v>
      </c>
    </row>
    <row r="260" spans="2:24">
      <c r="B260" s="136" t="s">
        <v>339</v>
      </c>
      <c r="C260" s="255" t="e">
        <f t="shared" si="13"/>
        <v>#N/A</v>
      </c>
      <c r="D260" s="279">
        <v>26.8</v>
      </c>
      <c r="E260" s="279">
        <f t="shared" si="24"/>
        <v>32.159999999999997</v>
      </c>
      <c r="F260" s="279">
        <f t="shared" si="25"/>
        <v>37.519999999999996</v>
      </c>
      <c r="G260" s="279">
        <f t="shared" si="26"/>
        <v>39.932000000000002</v>
      </c>
      <c r="H260" s="279">
        <f t="shared" si="27"/>
        <v>38.323999999999998</v>
      </c>
      <c r="I260" s="277">
        <f t="shared" si="28"/>
        <v>88.44</v>
      </c>
      <c r="J260" s="279">
        <f t="shared" si="29"/>
        <v>53.332000000000001</v>
      </c>
      <c r="K260" s="279"/>
      <c r="L260" s="277"/>
      <c r="M260" s="279">
        <f t="shared" si="23"/>
        <v>32.159999999999997</v>
      </c>
      <c r="N260" s="279">
        <f t="shared" si="23"/>
        <v>32.159999999999997</v>
      </c>
      <c r="O260" s="277">
        <f t="shared" si="15"/>
        <v>26.8</v>
      </c>
      <c r="P260" s="277">
        <f t="shared" si="20"/>
        <v>26.8</v>
      </c>
      <c r="Q260" s="277">
        <f t="shared" si="30"/>
        <v>25.46</v>
      </c>
      <c r="R260" s="279"/>
      <c r="S260" s="279"/>
      <c r="T260" s="284"/>
      <c r="U260" s="285"/>
      <c r="X260" s="63">
        <v>19</v>
      </c>
    </row>
    <row r="261" spans="2:24">
      <c r="B261" s="136" t="s">
        <v>301</v>
      </c>
      <c r="C261" s="255" t="str">
        <f t="shared" si="13"/>
        <v>Passenger Car</v>
      </c>
      <c r="D261" s="279">
        <v>28.8</v>
      </c>
      <c r="E261" s="279">
        <f t="shared" si="24"/>
        <v>34.56</v>
      </c>
      <c r="F261" s="279">
        <f t="shared" si="25"/>
        <v>40.32</v>
      </c>
      <c r="G261" s="279">
        <f t="shared" si="26"/>
        <v>42.911999999999999</v>
      </c>
      <c r="H261" s="279">
        <f t="shared" si="27"/>
        <v>41.183999999999997</v>
      </c>
      <c r="I261" s="277">
        <f t="shared" si="28"/>
        <v>95.039999999999992</v>
      </c>
      <c r="J261" s="279">
        <f t="shared" si="29"/>
        <v>57.311999999999998</v>
      </c>
      <c r="K261" s="279"/>
      <c r="L261" s="279"/>
      <c r="M261" s="279">
        <f t="shared" si="23"/>
        <v>34.56</v>
      </c>
      <c r="N261" s="279">
        <f t="shared" si="23"/>
        <v>34.56</v>
      </c>
      <c r="O261" s="277">
        <f t="shared" si="15"/>
        <v>28.8</v>
      </c>
      <c r="P261" s="277">
        <f t="shared" si="20"/>
        <v>28.8</v>
      </c>
      <c r="Q261" s="277">
        <f t="shared" si="30"/>
        <v>27.36</v>
      </c>
      <c r="R261" s="279"/>
      <c r="S261" s="279"/>
      <c r="T261" s="284"/>
      <c r="U261" s="285"/>
      <c r="X261" s="63">
        <v>20</v>
      </c>
    </row>
    <row r="262" spans="2:24">
      <c r="B262" s="136" t="s">
        <v>340</v>
      </c>
      <c r="C262" s="255" t="e">
        <f t="shared" si="13"/>
        <v>#N/A</v>
      </c>
      <c r="D262" s="279">
        <v>28.8</v>
      </c>
      <c r="E262" s="279">
        <f t="shared" si="24"/>
        <v>34.56</v>
      </c>
      <c r="F262" s="279">
        <f t="shared" si="25"/>
        <v>40.32</v>
      </c>
      <c r="G262" s="279">
        <f t="shared" si="26"/>
        <v>42.911999999999999</v>
      </c>
      <c r="H262" s="279">
        <f t="shared" si="27"/>
        <v>41.183999999999997</v>
      </c>
      <c r="I262" s="277">
        <f t="shared" si="28"/>
        <v>95.039999999999992</v>
      </c>
      <c r="J262" s="279">
        <f t="shared" si="29"/>
        <v>57.311999999999998</v>
      </c>
      <c r="K262" s="279"/>
      <c r="L262" s="277"/>
      <c r="M262" s="279">
        <f t="shared" si="23"/>
        <v>34.56</v>
      </c>
      <c r="N262" s="279">
        <f t="shared" si="23"/>
        <v>34.56</v>
      </c>
      <c r="O262" s="277">
        <f t="shared" si="15"/>
        <v>28.8</v>
      </c>
      <c r="P262" s="277">
        <f t="shared" si="20"/>
        <v>28.8</v>
      </c>
      <c r="Q262" s="277">
        <f t="shared" si="30"/>
        <v>27.36</v>
      </c>
      <c r="R262" s="279"/>
      <c r="S262" s="279"/>
      <c r="T262" s="284"/>
      <c r="U262" s="285"/>
      <c r="X262" s="63">
        <v>21</v>
      </c>
    </row>
    <row r="263" spans="2:24">
      <c r="B263" s="136" t="s">
        <v>341</v>
      </c>
      <c r="C263" s="255" t="e">
        <f t="shared" si="13"/>
        <v>#N/A</v>
      </c>
      <c r="D263" s="279">
        <v>28.8</v>
      </c>
      <c r="E263" s="279">
        <f t="shared" si="24"/>
        <v>34.56</v>
      </c>
      <c r="F263" s="279">
        <f t="shared" si="25"/>
        <v>40.32</v>
      </c>
      <c r="G263" s="279">
        <f t="shared" si="26"/>
        <v>42.911999999999999</v>
      </c>
      <c r="H263" s="279">
        <f t="shared" si="27"/>
        <v>41.183999999999997</v>
      </c>
      <c r="I263" s="277">
        <f t="shared" si="28"/>
        <v>95.039999999999992</v>
      </c>
      <c r="J263" s="279">
        <f t="shared" si="29"/>
        <v>57.311999999999998</v>
      </c>
      <c r="K263" s="279"/>
      <c r="L263" s="277"/>
      <c r="M263" s="279">
        <f t="shared" si="23"/>
        <v>34.56</v>
      </c>
      <c r="N263" s="279">
        <f t="shared" si="23"/>
        <v>34.56</v>
      </c>
      <c r="O263" s="277">
        <f t="shared" si="15"/>
        <v>28.8</v>
      </c>
      <c r="P263" s="277">
        <f t="shared" si="20"/>
        <v>28.8</v>
      </c>
      <c r="Q263" s="277">
        <f t="shared" si="30"/>
        <v>27.36</v>
      </c>
      <c r="R263" s="279"/>
      <c r="S263" s="279"/>
      <c r="T263" s="284"/>
      <c r="U263" s="285"/>
      <c r="X263" s="63">
        <v>22</v>
      </c>
    </row>
    <row r="264" spans="2:24">
      <c r="B264" s="136" t="s">
        <v>342</v>
      </c>
      <c r="C264" s="255" t="e">
        <f t="shared" si="13"/>
        <v>#N/A</v>
      </c>
      <c r="D264" s="279">
        <v>43</v>
      </c>
      <c r="E264" s="279">
        <f t="shared" si="24"/>
        <v>51.6</v>
      </c>
      <c r="F264" s="279">
        <f t="shared" si="25"/>
        <v>60.199999999999996</v>
      </c>
      <c r="G264" s="279">
        <f t="shared" si="26"/>
        <v>64.069999999999993</v>
      </c>
      <c r="H264" s="279">
        <f t="shared" si="27"/>
        <v>61.489999999999995</v>
      </c>
      <c r="I264" s="277">
        <f t="shared" si="28"/>
        <v>141.9</v>
      </c>
      <c r="J264" s="279">
        <f t="shared" si="29"/>
        <v>85.57</v>
      </c>
      <c r="K264" s="277"/>
      <c r="L264" s="277"/>
      <c r="M264" s="279">
        <f t="shared" si="23"/>
        <v>51.6</v>
      </c>
      <c r="N264" s="279">
        <f t="shared" si="23"/>
        <v>51.6</v>
      </c>
      <c r="O264" s="277">
        <f t="shared" si="15"/>
        <v>43</v>
      </c>
      <c r="P264" s="277">
        <f t="shared" si="20"/>
        <v>43</v>
      </c>
      <c r="Q264" s="277">
        <f t="shared" si="30"/>
        <v>40.85</v>
      </c>
      <c r="R264" s="279"/>
      <c r="S264" s="277"/>
      <c r="T264" s="280"/>
      <c r="U264" s="281"/>
      <c r="X264" s="63">
        <v>23</v>
      </c>
    </row>
    <row r="265" spans="2:24" ht="16" thickBot="1">
      <c r="B265" s="143" t="s">
        <v>343</v>
      </c>
      <c r="C265" s="261" t="e">
        <f t="shared" si="13"/>
        <v>#N/A</v>
      </c>
      <c r="D265" s="286"/>
      <c r="E265" s="286"/>
      <c r="F265" s="286"/>
      <c r="G265" s="286"/>
      <c r="H265" s="286"/>
      <c r="I265" s="286"/>
      <c r="J265" s="286"/>
      <c r="K265" s="286"/>
      <c r="L265" s="286"/>
      <c r="M265" s="286"/>
      <c r="N265" s="286"/>
      <c r="O265" s="286"/>
      <c r="P265" s="286"/>
      <c r="Q265" s="286"/>
      <c r="R265" s="286"/>
      <c r="S265" s="286"/>
      <c r="T265" s="287"/>
      <c r="U265" s="288"/>
      <c r="V265" s="275"/>
      <c r="X265" s="63">
        <v>24</v>
      </c>
    </row>
    <row r="266" spans="2:24">
      <c r="C266" s="132"/>
      <c r="D266" s="132"/>
      <c r="E266" s="275"/>
      <c r="F266" s="275"/>
      <c r="G266" s="275"/>
      <c r="H266" s="275"/>
      <c r="I266" s="275"/>
      <c r="J266" s="275"/>
      <c r="K266" s="275"/>
      <c r="L266" s="275"/>
      <c r="M266" s="275"/>
      <c r="N266" s="275"/>
      <c r="O266" s="275"/>
      <c r="P266" s="275"/>
      <c r="Q266" s="275"/>
      <c r="R266" s="275"/>
      <c r="S266" s="275"/>
      <c r="T266" s="275"/>
      <c r="U266" s="275"/>
      <c r="V266" s="275"/>
    </row>
    <row r="267" spans="2:24" ht="16" thickBot="1">
      <c r="B267" s="276" t="s">
        <v>346</v>
      </c>
      <c r="D267" s="63">
        <v>1</v>
      </c>
      <c r="E267" s="63">
        <f t="shared" ref="E267:T267" si="31">D267+1</f>
        <v>2</v>
      </c>
      <c r="F267" s="63">
        <f t="shared" si="31"/>
        <v>3</v>
      </c>
      <c r="G267" s="63">
        <f t="shared" si="31"/>
        <v>4</v>
      </c>
      <c r="H267" s="63">
        <f t="shared" si="31"/>
        <v>5</v>
      </c>
      <c r="I267" s="63">
        <f t="shared" si="31"/>
        <v>6</v>
      </c>
      <c r="J267" s="63">
        <f>T267+1</f>
        <v>17</v>
      </c>
      <c r="K267" s="63">
        <f>I267+1</f>
        <v>7</v>
      </c>
      <c r="L267" s="63">
        <f t="shared" si="31"/>
        <v>8</v>
      </c>
      <c r="M267" s="63">
        <f t="shared" si="31"/>
        <v>9</v>
      </c>
      <c r="N267" s="63">
        <f t="shared" si="31"/>
        <v>10</v>
      </c>
      <c r="O267" s="63">
        <f t="shared" si="31"/>
        <v>11</v>
      </c>
      <c r="P267" s="63">
        <f t="shared" si="31"/>
        <v>12</v>
      </c>
      <c r="Q267" s="63">
        <f t="shared" si="31"/>
        <v>13</v>
      </c>
      <c r="R267" s="63">
        <f t="shared" si="31"/>
        <v>14</v>
      </c>
      <c r="S267" s="63">
        <f t="shared" si="31"/>
        <v>15</v>
      </c>
      <c r="T267" s="63">
        <f t="shared" si="31"/>
        <v>16</v>
      </c>
      <c r="U267" s="63">
        <f>J267+1</f>
        <v>18</v>
      </c>
      <c r="V267" s="283"/>
    </row>
    <row r="268" spans="2:24" ht="80" customHeight="1">
      <c r="B268" s="250" t="s">
        <v>318</v>
      </c>
      <c r="C268" s="251" t="s">
        <v>319</v>
      </c>
      <c r="D268" s="252" t="s">
        <v>4</v>
      </c>
      <c r="E268" s="252" t="s">
        <v>5</v>
      </c>
      <c r="F268" s="252" t="s">
        <v>320</v>
      </c>
      <c r="G268" s="252" t="s">
        <v>321</v>
      </c>
      <c r="H268" s="252" t="s">
        <v>322</v>
      </c>
      <c r="I268" s="252" t="s">
        <v>323</v>
      </c>
      <c r="J268" s="252" t="s">
        <v>324</v>
      </c>
      <c r="K268" s="252" t="s">
        <v>325</v>
      </c>
      <c r="L268" s="252" t="s">
        <v>326</v>
      </c>
      <c r="M268" s="252" t="s">
        <v>247</v>
      </c>
      <c r="N268" s="252" t="s">
        <v>249</v>
      </c>
      <c r="O268" s="252" t="s">
        <v>251</v>
      </c>
      <c r="P268" s="252" t="s">
        <v>253</v>
      </c>
      <c r="Q268" s="252" t="s">
        <v>255</v>
      </c>
      <c r="R268" s="252" t="s">
        <v>257</v>
      </c>
      <c r="S268" s="252" t="s">
        <v>327</v>
      </c>
      <c r="T268" s="253" t="s">
        <v>328</v>
      </c>
      <c r="U268" s="254" t="s">
        <v>329</v>
      </c>
    </row>
    <row r="269" spans="2:24">
      <c r="B269" s="136" t="s">
        <v>316</v>
      </c>
      <c r="C269" s="255" t="str">
        <f t="shared" ref="C269:C292" si="32">INDEX($B$175:$B$184,MATCH(B269,$C$175:$C$184,0))</f>
        <v>Combination Long-Haul Truck</v>
      </c>
      <c r="D269" s="277"/>
      <c r="E269" s="277"/>
      <c r="F269" s="277"/>
      <c r="G269" s="277"/>
      <c r="H269" s="277"/>
      <c r="I269" s="277"/>
      <c r="J269" s="279"/>
      <c r="K269" s="277"/>
      <c r="L269" s="277"/>
      <c r="M269" s="279"/>
      <c r="N269" s="279"/>
      <c r="O269" s="277"/>
      <c r="P269" s="277"/>
      <c r="Q269" s="277"/>
      <c r="R269" s="279"/>
      <c r="S269" s="277"/>
      <c r="T269" s="280"/>
      <c r="U269" s="281"/>
      <c r="X269" s="63">
        <v>1</v>
      </c>
    </row>
    <row r="270" spans="2:24">
      <c r="B270" s="136" t="s">
        <v>314</v>
      </c>
      <c r="C270" s="255" t="str">
        <f t="shared" si="32"/>
        <v>Combination Short-Haul Truck</v>
      </c>
      <c r="D270" s="277"/>
      <c r="E270" s="277"/>
      <c r="F270" s="277"/>
      <c r="G270" s="277"/>
      <c r="H270" s="277"/>
      <c r="I270" s="277"/>
      <c r="J270" s="279"/>
      <c r="K270" s="277"/>
      <c r="L270" s="277"/>
      <c r="M270" s="279"/>
      <c r="N270" s="279"/>
      <c r="O270" s="277"/>
      <c r="P270" s="277"/>
      <c r="Q270" s="277"/>
      <c r="R270" s="279"/>
      <c r="S270" s="277"/>
      <c r="T270" s="282"/>
      <c r="U270" s="281"/>
      <c r="X270" s="63">
        <v>2</v>
      </c>
    </row>
    <row r="271" spans="2:24">
      <c r="B271" s="136" t="s">
        <v>312</v>
      </c>
      <c r="C271" s="255" t="str">
        <f t="shared" si="32"/>
        <v>Single Unit Long-Haul Truck</v>
      </c>
      <c r="D271" s="277"/>
      <c r="E271" s="277"/>
      <c r="F271" s="278"/>
      <c r="G271" s="277"/>
      <c r="H271" s="277"/>
      <c r="I271" s="277"/>
      <c r="J271" s="279"/>
      <c r="K271" s="277"/>
      <c r="L271" s="277"/>
      <c r="M271" s="279"/>
      <c r="N271" s="279"/>
      <c r="O271" s="277"/>
      <c r="P271" s="277"/>
      <c r="Q271" s="277"/>
      <c r="R271" s="279"/>
      <c r="S271" s="277"/>
      <c r="T271" s="280"/>
      <c r="U271" s="281"/>
      <c r="X271" s="63">
        <v>3</v>
      </c>
    </row>
    <row r="272" spans="2:24">
      <c r="B272" s="136" t="s">
        <v>310</v>
      </c>
      <c r="C272" s="255" t="str">
        <f t="shared" si="32"/>
        <v>Single Unit Short-Haul Truck</v>
      </c>
      <c r="D272" s="277"/>
      <c r="E272" s="277"/>
      <c r="F272" s="278"/>
      <c r="G272" s="277"/>
      <c r="H272" s="277"/>
      <c r="I272" s="277"/>
      <c r="J272" s="279"/>
      <c r="K272" s="277"/>
      <c r="L272" s="277"/>
      <c r="M272" s="279"/>
      <c r="N272" s="279"/>
      <c r="O272" s="277"/>
      <c r="P272" s="277"/>
      <c r="Q272" s="277"/>
      <c r="R272" s="279"/>
      <c r="S272" s="277"/>
      <c r="T272" s="289"/>
      <c r="U272" s="281"/>
      <c r="X272" s="63">
        <v>4</v>
      </c>
    </row>
    <row r="273" spans="2:24">
      <c r="B273" s="136" t="s">
        <v>330</v>
      </c>
      <c r="C273" s="255" t="e">
        <f t="shared" si="32"/>
        <v>#N/A</v>
      </c>
      <c r="D273" s="277"/>
      <c r="E273" s="277"/>
      <c r="F273" s="277"/>
      <c r="G273" s="277"/>
      <c r="H273" s="277"/>
      <c r="I273" s="277"/>
      <c r="J273" s="279"/>
      <c r="K273" s="277"/>
      <c r="L273" s="277"/>
      <c r="M273" s="279"/>
      <c r="N273" s="279"/>
      <c r="O273" s="277"/>
      <c r="P273" s="277"/>
      <c r="Q273" s="277"/>
      <c r="R273" s="279"/>
      <c r="S273" s="277"/>
      <c r="T273" s="280"/>
      <c r="U273" s="281"/>
      <c r="X273" s="63">
        <v>5</v>
      </c>
    </row>
    <row r="274" spans="2:24">
      <c r="B274" s="136" t="s">
        <v>331</v>
      </c>
      <c r="C274" s="255" t="e">
        <f t="shared" si="32"/>
        <v>#N/A</v>
      </c>
      <c r="D274" s="277"/>
      <c r="E274" s="277"/>
      <c r="F274" s="277"/>
      <c r="G274" s="277"/>
      <c r="H274" s="277"/>
      <c r="I274" s="277"/>
      <c r="J274" s="279"/>
      <c r="K274" s="277"/>
      <c r="L274" s="277"/>
      <c r="M274" s="279"/>
      <c r="N274" s="279"/>
      <c r="O274" s="277"/>
      <c r="P274" s="277"/>
      <c r="Q274" s="277"/>
      <c r="R274" s="279"/>
      <c r="S274" s="277"/>
      <c r="T274" s="280"/>
      <c r="U274" s="281"/>
      <c r="X274" s="63">
        <v>6</v>
      </c>
    </row>
    <row r="275" spans="2:24">
      <c r="B275" s="136" t="s">
        <v>332</v>
      </c>
      <c r="C275" s="255" t="e">
        <f t="shared" si="32"/>
        <v>#N/A</v>
      </c>
      <c r="D275" s="277"/>
      <c r="E275" s="277"/>
      <c r="F275" s="277"/>
      <c r="G275" s="277"/>
      <c r="H275" s="277"/>
      <c r="I275" s="277"/>
      <c r="J275" s="279"/>
      <c r="K275" s="277"/>
      <c r="L275" s="277"/>
      <c r="M275" s="279"/>
      <c r="N275" s="279"/>
      <c r="O275" s="277"/>
      <c r="P275" s="277"/>
      <c r="Q275" s="277"/>
      <c r="R275" s="279"/>
      <c r="S275" s="277"/>
      <c r="T275" s="280"/>
      <c r="U275" s="281"/>
      <c r="X275" s="63">
        <v>7</v>
      </c>
    </row>
    <row r="276" spans="2:24">
      <c r="B276" s="136" t="s">
        <v>333</v>
      </c>
      <c r="C276" s="255" t="e">
        <f t="shared" si="32"/>
        <v>#N/A</v>
      </c>
      <c r="D276" s="277"/>
      <c r="E276" s="277"/>
      <c r="F276" s="277"/>
      <c r="G276" s="277"/>
      <c r="H276" s="277"/>
      <c r="I276" s="277"/>
      <c r="J276" s="279"/>
      <c r="K276" s="277"/>
      <c r="L276" s="277"/>
      <c r="M276" s="279"/>
      <c r="N276" s="279"/>
      <c r="O276" s="277"/>
      <c r="P276" s="277"/>
      <c r="Q276" s="277"/>
      <c r="R276" s="279"/>
      <c r="S276" s="277"/>
      <c r="T276" s="280"/>
      <c r="U276" s="281"/>
      <c r="X276" s="63">
        <v>8</v>
      </c>
    </row>
    <row r="277" spans="2:24">
      <c r="B277" s="136" t="s">
        <v>334</v>
      </c>
      <c r="C277" s="255" t="e">
        <f t="shared" si="32"/>
        <v>#N/A</v>
      </c>
      <c r="D277" s="277"/>
      <c r="E277" s="277"/>
      <c r="F277" s="277"/>
      <c r="G277" s="277"/>
      <c r="H277" s="277"/>
      <c r="I277" s="277"/>
      <c r="J277" s="279"/>
      <c r="K277" s="277"/>
      <c r="L277" s="277"/>
      <c r="M277" s="279"/>
      <c r="N277" s="279"/>
      <c r="O277" s="277"/>
      <c r="P277" s="277"/>
      <c r="Q277" s="277"/>
      <c r="R277" s="279"/>
      <c r="S277" s="277"/>
      <c r="T277" s="280"/>
      <c r="U277" s="281"/>
      <c r="X277" s="63">
        <v>9</v>
      </c>
    </row>
    <row r="278" spans="2:24">
      <c r="B278" s="136" t="s">
        <v>308</v>
      </c>
      <c r="C278" s="255" t="str">
        <f t="shared" si="32"/>
        <v>Refuse Truck</v>
      </c>
      <c r="D278" s="277"/>
      <c r="E278" s="277"/>
      <c r="F278" s="277"/>
      <c r="G278" s="277"/>
      <c r="H278" s="277"/>
      <c r="I278" s="277"/>
      <c r="J278" s="279"/>
      <c r="K278" s="277"/>
      <c r="L278" s="277"/>
      <c r="M278" s="279"/>
      <c r="N278" s="279"/>
      <c r="O278" s="277"/>
      <c r="P278" s="277"/>
      <c r="Q278" s="277"/>
      <c r="R278" s="279"/>
      <c r="S278" s="277"/>
      <c r="T278" s="280"/>
      <c r="U278" s="281"/>
      <c r="X278" s="63">
        <v>10</v>
      </c>
    </row>
    <row r="279" spans="2:24">
      <c r="B279" s="136" t="s">
        <v>307</v>
      </c>
      <c r="C279" s="255" t="str">
        <f t="shared" si="32"/>
        <v>Transit Bus</v>
      </c>
      <c r="D279" s="277"/>
      <c r="E279" s="277"/>
      <c r="F279" s="277"/>
      <c r="G279" s="277"/>
      <c r="H279" s="277"/>
      <c r="I279" s="277"/>
      <c r="J279" s="279"/>
      <c r="K279" s="277"/>
      <c r="L279" s="277"/>
      <c r="M279" s="279"/>
      <c r="N279" s="279"/>
      <c r="O279" s="277"/>
      <c r="P279" s="277"/>
      <c r="Q279" s="277"/>
      <c r="R279" s="279"/>
      <c r="S279" s="277"/>
      <c r="T279" s="280"/>
      <c r="U279" s="281"/>
      <c r="X279" s="63">
        <v>11</v>
      </c>
    </row>
    <row r="280" spans="2:24">
      <c r="B280" s="136" t="s">
        <v>306</v>
      </c>
      <c r="C280" s="255" t="str">
        <f t="shared" si="32"/>
        <v>School Bus</v>
      </c>
      <c r="D280" s="277"/>
      <c r="E280" s="277"/>
      <c r="F280" s="290"/>
      <c r="G280" s="277"/>
      <c r="H280" s="277"/>
      <c r="I280" s="277"/>
      <c r="J280" s="279"/>
      <c r="K280" s="277"/>
      <c r="L280" s="277"/>
      <c r="M280" s="279"/>
      <c r="N280" s="279"/>
      <c r="O280" s="277"/>
      <c r="P280" s="277"/>
      <c r="Q280" s="277"/>
      <c r="R280" s="279"/>
      <c r="S280" s="277"/>
      <c r="T280" s="280"/>
      <c r="U280" s="281"/>
      <c r="X280" s="63">
        <v>12</v>
      </c>
    </row>
    <row r="281" spans="2:24">
      <c r="B281" s="136" t="s">
        <v>335</v>
      </c>
      <c r="C281" s="255" t="e">
        <f t="shared" si="32"/>
        <v>#N/A</v>
      </c>
      <c r="D281" s="277"/>
      <c r="E281" s="277"/>
      <c r="F281" s="277"/>
      <c r="G281" s="277"/>
      <c r="H281" s="277"/>
      <c r="I281" s="277"/>
      <c r="J281" s="279"/>
      <c r="K281" s="277"/>
      <c r="L281" s="277"/>
      <c r="M281" s="279"/>
      <c r="N281" s="279"/>
      <c r="O281" s="277"/>
      <c r="P281" s="277"/>
      <c r="Q281" s="277"/>
      <c r="R281" s="279"/>
      <c r="S281" s="277"/>
      <c r="T281" s="280"/>
      <c r="U281" s="281"/>
      <c r="X281" s="63">
        <v>13</v>
      </c>
    </row>
    <row r="282" spans="2:24">
      <c r="B282" s="136" t="s">
        <v>305</v>
      </c>
      <c r="C282" s="255" t="str">
        <f t="shared" si="32"/>
        <v>Light Commercial Truck</v>
      </c>
      <c r="D282" s="277"/>
      <c r="E282" s="277"/>
      <c r="F282" s="277"/>
      <c r="G282" s="279">
        <f t="shared" ref="G282:G291" si="33">1/((4.97*D255)/$C$59*$C$69)*100</f>
        <v>50.890999676732186</v>
      </c>
      <c r="H282" s="279">
        <f t="shared" ref="H282:H291" si="34">1/((3.64*D255)/$C$59*$C$69)*100</f>
        <v>69.485788020153564</v>
      </c>
      <c r="I282" s="277"/>
      <c r="J282" s="279"/>
      <c r="K282" s="277"/>
      <c r="L282" s="277"/>
      <c r="M282" s="279"/>
      <c r="N282" s="279"/>
      <c r="O282" s="277"/>
      <c r="P282" s="277"/>
      <c r="Q282" s="277"/>
      <c r="R282" s="279"/>
      <c r="S282" s="277"/>
      <c r="T282" s="280"/>
      <c r="U282" s="281"/>
      <c r="X282" s="63">
        <v>14</v>
      </c>
    </row>
    <row r="283" spans="2:24">
      <c r="B283" s="136" t="s">
        <v>336</v>
      </c>
      <c r="C283" s="255" t="e">
        <f t="shared" si="32"/>
        <v>#N/A</v>
      </c>
      <c r="D283" s="279"/>
      <c r="E283" s="279"/>
      <c r="F283" s="279"/>
      <c r="G283" s="279">
        <f t="shared" si="33"/>
        <v>66.158299579751841</v>
      </c>
      <c r="H283" s="279">
        <f t="shared" si="34"/>
        <v>90.331524426199621</v>
      </c>
      <c r="I283" s="279"/>
      <c r="J283" s="279"/>
      <c r="K283" s="279"/>
      <c r="L283" s="277"/>
      <c r="M283" s="279"/>
      <c r="N283" s="279"/>
      <c r="O283" s="277"/>
      <c r="P283" s="279"/>
      <c r="Q283" s="277"/>
      <c r="R283" s="279"/>
      <c r="S283" s="279"/>
      <c r="T283" s="284"/>
      <c r="U283" s="285"/>
      <c r="X283" s="63">
        <v>15</v>
      </c>
    </row>
    <row r="284" spans="2:24">
      <c r="B284" s="136" t="s">
        <v>337</v>
      </c>
      <c r="C284" s="255" t="e">
        <f t="shared" si="32"/>
        <v>#N/A</v>
      </c>
      <c r="D284" s="279"/>
      <c r="E284" s="279"/>
      <c r="F284" s="279"/>
      <c r="G284" s="279">
        <f t="shared" si="33"/>
        <v>45.626413503277135</v>
      </c>
      <c r="H284" s="279">
        <f t="shared" si="34"/>
        <v>62.297603052551473</v>
      </c>
      <c r="I284" s="279"/>
      <c r="J284" s="279"/>
      <c r="K284" s="279"/>
      <c r="L284" s="277"/>
      <c r="M284" s="279"/>
      <c r="N284" s="279"/>
      <c r="O284" s="277"/>
      <c r="P284" s="279"/>
      <c r="Q284" s="277"/>
      <c r="R284" s="279"/>
      <c r="S284" s="279"/>
      <c r="T284" s="284"/>
      <c r="U284" s="285"/>
      <c r="X284" s="63">
        <v>16</v>
      </c>
    </row>
    <row r="285" spans="2:24">
      <c r="B285" s="136" t="s">
        <v>303</v>
      </c>
      <c r="C285" s="255" t="str">
        <f t="shared" si="32"/>
        <v>Passenger Truck</v>
      </c>
      <c r="D285" s="279"/>
      <c r="E285" s="279"/>
      <c r="F285" s="279"/>
      <c r="G285" s="279">
        <f t="shared" si="33"/>
        <v>29.144625365529446</v>
      </c>
      <c r="H285" s="279">
        <f t="shared" si="34"/>
        <v>39.793623095242125</v>
      </c>
      <c r="I285" s="279"/>
      <c r="J285" s="279"/>
      <c r="K285" s="279"/>
      <c r="L285" s="279"/>
      <c r="M285" s="279"/>
      <c r="N285" s="279"/>
      <c r="O285" s="277"/>
      <c r="P285" s="279"/>
      <c r="Q285" s="279"/>
      <c r="R285" s="279"/>
      <c r="S285" s="279"/>
      <c r="T285" s="284"/>
      <c r="U285" s="285"/>
      <c r="X285" s="63">
        <v>17</v>
      </c>
    </row>
    <row r="286" spans="2:24">
      <c r="B286" s="136" t="s">
        <v>338</v>
      </c>
      <c r="C286" s="255" t="e">
        <f t="shared" si="32"/>
        <v>#N/A</v>
      </c>
      <c r="D286" s="279"/>
      <c r="E286" s="279"/>
      <c r="F286" s="279"/>
      <c r="G286" s="279">
        <f t="shared" si="33"/>
        <v>24.685932679011881</v>
      </c>
      <c r="H286" s="279">
        <f t="shared" si="34"/>
        <v>33.705792696343146</v>
      </c>
      <c r="I286" s="279"/>
      <c r="J286" s="279"/>
      <c r="K286" s="279"/>
      <c r="L286" s="279"/>
      <c r="M286" s="279"/>
      <c r="N286" s="279"/>
      <c r="O286" s="277"/>
      <c r="P286" s="279"/>
      <c r="Q286" s="277"/>
      <c r="R286" s="279"/>
      <c r="S286" s="279"/>
      <c r="T286" s="284"/>
      <c r="U286" s="285"/>
      <c r="X286" s="63">
        <v>18</v>
      </c>
    </row>
    <row r="287" spans="2:24">
      <c r="B287" s="136" t="s">
        <v>339</v>
      </c>
      <c r="C287" s="255" t="e">
        <f t="shared" si="32"/>
        <v>#N/A</v>
      </c>
      <c r="D287" s="279"/>
      <c r="E287" s="279"/>
      <c r="F287" s="279"/>
      <c r="G287" s="279">
        <f t="shared" si="33"/>
        <v>24.685932679011881</v>
      </c>
      <c r="H287" s="279">
        <f t="shared" si="34"/>
        <v>33.705792696343146</v>
      </c>
      <c r="I287" s="279"/>
      <c r="J287" s="279"/>
      <c r="K287" s="279"/>
      <c r="L287" s="277"/>
      <c r="M287" s="279"/>
      <c r="N287" s="279"/>
      <c r="O287" s="277"/>
      <c r="P287" s="279"/>
      <c r="Q287" s="277"/>
      <c r="R287" s="279"/>
      <c r="S287" s="279"/>
      <c r="T287" s="284"/>
      <c r="U287" s="285"/>
      <c r="X287" s="63">
        <v>19</v>
      </c>
    </row>
    <row r="288" spans="2:24">
      <c r="B288" s="136" t="s">
        <v>301</v>
      </c>
      <c r="C288" s="255" t="str">
        <f t="shared" si="32"/>
        <v>Passenger Car</v>
      </c>
      <c r="D288" s="279"/>
      <c r="E288" s="279"/>
      <c r="F288" s="279"/>
      <c r="G288" s="279">
        <f t="shared" si="33"/>
        <v>22.971631798524946</v>
      </c>
      <c r="H288" s="279">
        <f t="shared" si="34"/>
        <v>31.365112647985981</v>
      </c>
      <c r="I288" s="279"/>
      <c r="J288" s="279"/>
      <c r="K288" s="279"/>
      <c r="L288" s="279"/>
      <c r="M288" s="279"/>
      <c r="N288" s="279"/>
      <c r="O288" s="277"/>
      <c r="P288" s="279"/>
      <c r="Q288" s="279"/>
      <c r="R288" s="279"/>
      <c r="S288" s="279"/>
      <c r="T288" s="284"/>
      <c r="U288" s="285"/>
      <c r="X288" s="63">
        <v>20</v>
      </c>
    </row>
    <row r="289" spans="2:24">
      <c r="B289" s="136" t="s">
        <v>340</v>
      </c>
      <c r="C289" s="255" t="e">
        <f t="shared" si="32"/>
        <v>#N/A</v>
      </c>
      <c r="D289" s="279"/>
      <c r="E289" s="279"/>
      <c r="F289" s="279"/>
      <c r="G289" s="279">
        <f t="shared" si="33"/>
        <v>22.971631798524946</v>
      </c>
      <c r="H289" s="279">
        <f t="shared" si="34"/>
        <v>31.365112647985981</v>
      </c>
      <c r="I289" s="279"/>
      <c r="J289" s="279"/>
      <c r="K289" s="279"/>
      <c r="L289" s="277"/>
      <c r="M289" s="279"/>
      <c r="N289" s="279"/>
      <c r="O289" s="277"/>
      <c r="P289" s="279"/>
      <c r="Q289" s="277"/>
      <c r="R289" s="279"/>
      <c r="S289" s="279"/>
      <c r="T289" s="284"/>
      <c r="U289" s="285"/>
      <c r="X289" s="63">
        <v>21</v>
      </c>
    </row>
    <row r="290" spans="2:24">
      <c r="B290" s="136" t="s">
        <v>341</v>
      </c>
      <c r="C290" s="255" t="e">
        <f t="shared" si="32"/>
        <v>#N/A</v>
      </c>
      <c r="D290" s="279"/>
      <c r="E290" s="279"/>
      <c r="F290" s="279"/>
      <c r="G290" s="279">
        <f t="shared" si="33"/>
        <v>22.971631798524946</v>
      </c>
      <c r="H290" s="279">
        <f t="shared" si="34"/>
        <v>31.365112647985981</v>
      </c>
      <c r="I290" s="279"/>
      <c r="J290" s="279"/>
      <c r="K290" s="279"/>
      <c r="L290" s="277"/>
      <c r="M290" s="279"/>
      <c r="N290" s="279"/>
      <c r="O290" s="277"/>
      <c r="P290" s="279"/>
      <c r="Q290" s="279"/>
      <c r="R290" s="279"/>
      <c r="S290" s="279"/>
      <c r="T290" s="284"/>
      <c r="U290" s="285"/>
      <c r="X290" s="63">
        <v>22</v>
      </c>
    </row>
    <row r="291" spans="2:24">
      <c r="B291" s="136" t="s">
        <v>342</v>
      </c>
      <c r="C291" s="255" t="e">
        <f t="shared" si="32"/>
        <v>#N/A</v>
      </c>
      <c r="D291" s="277"/>
      <c r="E291" s="277"/>
      <c r="F291" s="277"/>
      <c r="G291" s="279">
        <f t="shared" si="33"/>
        <v>15.385651065058569</v>
      </c>
      <c r="H291" s="279">
        <f t="shared" si="34"/>
        <v>21.007331261906891</v>
      </c>
      <c r="I291" s="277"/>
      <c r="J291" s="279"/>
      <c r="K291" s="277"/>
      <c r="L291" s="277"/>
      <c r="M291" s="279"/>
      <c r="N291" s="279"/>
      <c r="O291" s="277"/>
      <c r="P291" s="277"/>
      <c r="Q291" s="277"/>
      <c r="R291" s="279"/>
      <c r="S291" s="277"/>
      <c r="T291" s="280"/>
      <c r="U291" s="281"/>
      <c r="X291" s="63">
        <v>23</v>
      </c>
    </row>
    <row r="292" spans="2:24" ht="16" thickBot="1">
      <c r="B292" s="143" t="s">
        <v>343</v>
      </c>
      <c r="C292" s="261" t="e">
        <f t="shared" si="32"/>
        <v>#N/A</v>
      </c>
      <c r="D292" s="286"/>
      <c r="E292" s="286"/>
      <c r="F292" s="286"/>
      <c r="G292" s="286"/>
      <c r="H292" s="286"/>
      <c r="I292" s="286"/>
      <c r="J292" s="286"/>
      <c r="K292" s="286"/>
      <c r="L292" s="286"/>
      <c r="M292" s="286"/>
      <c r="N292" s="286"/>
      <c r="O292" s="286"/>
      <c r="P292" s="286"/>
      <c r="Q292" s="286"/>
      <c r="R292" s="286"/>
      <c r="S292" s="286"/>
      <c r="T292" s="287"/>
      <c r="U292" s="288"/>
      <c r="X292" s="63">
        <v>24</v>
      </c>
    </row>
    <row r="293" spans="2:24">
      <c r="C293" s="132"/>
      <c r="D293" s="132"/>
      <c r="E293" s="275"/>
      <c r="F293" s="275"/>
      <c r="G293" s="275"/>
      <c r="H293" s="275"/>
      <c r="I293" s="275"/>
      <c r="J293" s="275"/>
      <c r="K293" s="275"/>
      <c r="L293" s="275"/>
      <c r="M293" s="275"/>
      <c r="N293" s="275"/>
      <c r="O293" s="275"/>
      <c r="P293" s="275"/>
      <c r="Q293" s="275"/>
      <c r="R293" s="275"/>
      <c r="S293" s="275"/>
      <c r="T293" s="275"/>
      <c r="U293" s="275"/>
      <c r="V293" s="275"/>
    </row>
    <row r="294" spans="2:24" ht="16" thickBot="1">
      <c r="B294" s="276" t="s">
        <v>347</v>
      </c>
      <c r="D294" s="63">
        <v>1</v>
      </c>
      <c r="E294" s="63">
        <f t="shared" ref="E294:T294" si="35">D294+1</f>
        <v>2</v>
      </c>
      <c r="F294" s="63">
        <f t="shared" si="35"/>
        <v>3</v>
      </c>
      <c r="G294" s="63">
        <f t="shared" si="35"/>
        <v>4</v>
      </c>
      <c r="H294" s="63">
        <f t="shared" si="35"/>
        <v>5</v>
      </c>
      <c r="I294" s="63">
        <f t="shared" si="35"/>
        <v>6</v>
      </c>
      <c r="J294" s="63">
        <f>T294+1</f>
        <v>17</v>
      </c>
      <c r="K294" s="63">
        <f>I294+1</f>
        <v>7</v>
      </c>
      <c r="L294" s="63">
        <f t="shared" si="35"/>
        <v>8</v>
      </c>
      <c r="M294" s="63">
        <f t="shared" si="35"/>
        <v>9</v>
      </c>
      <c r="N294" s="63">
        <f t="shared" si="35"/>
        <v>10</v>
      </c>
      <c r="O294" s="63">
        <f t="shared" si="35"/>
        <v>11</v>
      </c>
      <c r="P294" s="63">
        <f t="shared" si="35"/>
        <v>12</v>
      </c>
      <c r="Q294" s="63">
        <f t="shared" si="35"/>
        <v>13</v>
      </c>
      <c r="R294" s="63">
        <f t="shared" si="35"/>
        <v>14</v>
      </c>
      <c r="S294" s="63">
        <f t="shared" si="35"/>
        <v>15</v>
      </c>
      <c r="T294" s="63">
        <f t="shared" si="35"/>
        <v>16</v>
      </c>
      <c r="U294" s="63">
        <f>J294+1</f>
        <v>18</v>
      </c>
    </row>
    <row r="295" spans="2:24" ht="80" customHeight="1">
      <c r="B295" s="250" t="s">
        <v>318</v>
      </c>
      <c r="C295" s="251" t="s">
        <v>319</v>
      </c>
      <c r="D295" s="252" t="s">
        <v>4</v>
      </c>
      <c r="E295" s="252" t="s">
        <v>5</v>
      </c>
      <c r="F295" s="252" t="s">
        <v>320</v>
      </c>
      <c r="G295" s="252" t="s">
        <v>321</v>
      </c>
      <c r="H295" s="252" t="s">
        <v>322</v>
      </c>
      <c r="I295" s="252" t="s">
        <v>323</v>
      </c>
      <c r="J295" s="252" t="s">
        <v>324</v>
      </c>
      <c r="K295" s="252" t="s">
        <v>325</v>
      </c>
      <c r="L295" s="252" t="s">
        <v>326</v>
      </c>
      <c r="M295" s="252" t="s">
        <v>247</v>
      </c>
      <c r="N295" s="252" t="s">
        <v>249</v>
      </c>
      <c r="O295" s="252" t="s">
        <v>251</v>
      </c>
      <c r="P295" s="252" t="s">
        <v>253</v>
      </c>
      <c r="Q295" s="252" t="s">
        <v>255</v>
      </c>
      <c r="R295" s="252" t="s">
        <v>257</v>
      </c>
      <c r="S295" s="252" t="s">
        <v>327</v>
      </c>
      <c r="T295" s="253" t="s">
        <v>328</v>
      </c>
      <c r="U295" s="254" t="s">
        <v>329</v>
      </c>
    </row>
    <row r="296" spans="2:24">
      <c r="B296" s="136" t="s">
        <v>316</v>
      </c>
      <c r="C296" s="255" t="str">
        <f t="shared" ref="C296:C319" si="36">INDEX($B$175:$B$184,MATCH(B296,$C$175:$C$184,0))</f>
        <v>Combination Long-Haul Truck</v>
      </c>
      <c r="D296" s="277"/>
      <c r="E296" s="277"/>
      <c r="F296" s="277"/>
      <c r="G296" s="277"/>
      <c r="H296" s="277"/>
      <c r="I296" s="277"/>
      <c r="J296" s="279"/>
      <c r="K296" s="277"/>
      <c r="L296" s="277"/>
      <c r="M296" s="279"/>
      <c r="N296" s="279"/>
      <c r="O296" s="277"/>
      <c r="P296" s="277"/>
      <c r="Q296" s="277"/>
      <c r="R296" s="279"/>
      <c r="S296" s="277"/>
      <c r="T296" s="280"/>
      <c r="U296" s="281"/>
      <c r="X296" s="63">
        <v>1</v>
      </c>
    </row>
    <row r="297" spans="2:24">
      <c r="B297" s="136" t="s">
        <v>314</v>
      </c>
      <c r="C297" s="255" t="str">
        <f t="shared" si="36"/>
        <v>Combination Short-Haul Truck</v>
      </c>
      <c r="D297" s="277"/>
      <c r="E297" s="277"/>
      <c r="F297" s="277"/>
      <c r="G297" s="277"/>
      <c r="H297" s="277"/>
      <c r="I297" s="277"/>
      <c r="J297" s="279"/>
      <c r="K297" s="277"/>
      <c r="L297" s="277"/>
      <c r="M297" s="279"/>
      <c r="N297" s="279"/>
      <c r="O297" s="277"/>
      <c r="P297" s="277"/>
      <c r="Q297" s="277"/>
      <c r="R297" s="279"/>
      <c r="S297" s="277"/>
      <c r="T297" s="282"/>
      <c r="U297" s="281"/>
      <c r="X297" s="63">
        <v>2</v>
      </c>
    </row>
    <row r="298" spans="2:24">
      <c r="B298" s="136" t="s">
        <v>312</v>
      </c>
      <c r="C298" s="255" t="str">
        <f t="shared" si="36"/>
        <v>Single Unit Long-Haul Truck</v>
      </c>
      <c r="D298" s="277"/>
      <c r="E298" s="277"/>
      <c r="F298" s="278"/>
      <c r="G298" s="277"/>
      <c r="H298" s="277"/>
      <c r="I298" s="277"/>
      <c r="J298" s="279"/>
      <c r="K298" s="277"/>
      <c r="L298" s="277"/>
      <c r="M298" s="279"/>
      <c r="N298" s="279"/>
      <c r="O298" s="277"/>
      <c r="P298" s="277"/>
      <c r="Q298" s="277"/>
      <c r="R298" s="279"/>
      <c r="S298" s="277"/>
      <c r="T298" s="280"/>
      <c r="U298" s="281"/>
      <c r="X298" s="63">
        <v>3</v>
      </c>
    </row>
    <row r="299" spans="2:24">
      <c r="B299" s="136" t="s">
        <v>310</v>
      </c>
      <c r="C299" s="255" t="str">
        <f t="shared" si="36"/>
        <v>Single Unit Short-Haul Truck</v>
      </c>
      <c r="D299" s="277"/>
      <c r="E299" s="277"/>
      <c r="F299" s="278"/>
      <c r="G299" s="277"/>
      <c r="H299" s="277"/>
      <c r="I299" s="277"/>
      <c r="J299" s="279"/>
      <c r="K299" s="277"/>
      <c r="L299" s="277"/>
      <c r="M299" s="279"/>
      <c r="N299" s="279"/>
      <c r="O299" s="277"/>
      <c r="P299" s="277"/>
      <c r="Q299" s="277"/>
      <c r="R299" s="279"/>
      <c r="S299" s="277"/>
      <c r="T299" s="289"/>
      <c r="U299" s="281"/>
      <c r="X299" s="63">
        <v>4</v>
      </c>
    </row>
    <row r="300" spans="2:24">
      <c r="B300" s="136" t="s">
        <v>330</v>
      </c>
      <c r="C300" s="255" t="e">
        <f t="shared" si="36"/>
        <v>#N/A</v>
      </c>
      <c r="D300" s="277"/>
      <c r="E300" s="277"/>
      <c r="F300" s="277"/>
      <c r="G300" s="277"/>
      <c r="H300" s="277"/>
      <c r="I300" s="277"/>
      <c r="J300" s="279"/>
      <c r="K300" s="277"/>
      <c r="L300" s="277"/>
      <c r="M300" s="279"/>
      <c r="N300" s="279"/>
      <c r="O300" s="277"/>
      <c r="P300" s="277"/>
      <c r="Q300" s="277"/>
      <c r="R300" s="279"/>
      <c r="S300" s="277"/>
      <c r="T300" s="280"/>
      <c r="U300" s="281"/>
      <c r="X300" s="63">
        <v>5</v>
      </c>
    </row>
    <row r="301" spans="2:24">
      <c r="B301" s="136" t="s">
        <v>331</v>
      </c>
      <c r="C301" s="255" t="e">
        <f t="shared" si="36"/>
        <v>#N/A</v>
      </c>
      <c r="D301" s="277"/>
      <c r="E301" s="277"/>
      <c r="F301" s="277"/>
      <c r="G301" s="277"/>
      <c r="H301" s="277"/>
      <c r="I301" s="277"/>
      <c r="J301" s="279"/>
      <c r="K301" s="277"/>
      <c r="L301" s="277"/>
      <c r="M301" s="279"/>
      <c r="N301" s="279"/>
      <c r="O301" s="277"/>
      <c r="P301" s="277"/>
      <c r="Q301" s="277"/>
      <c r="R301" s="279"/>
      <c r="S301" s="277"/>
      <c r="T301" s="280"/>
      <c r="U301" s="281"/>
      <c r="X301" s="63">
        <v>6</v>
      </c>
    </row>
    <row r="302" spans="2:24">
      <c r="B302" s="136" t="s">
        <v>332</v>
      </c>
      <c r="C302" s="255" t="e">
        <f t="shared" si="36"/>
        <v>#N/A</v>
      </c>
      <c r="D302" s="277"/>
      <c r="E302" s="277"/>
      <c r="F302" s="277"/>
      <c r="G302" s="277"/>
      <c r="H302" s="277"/>
      <c r="I302" s="277"/>
      <c r="J302" s="279"/>
      <c r="K302" s="277"/>
      <c r="L302" s="277"/>
      <c r="M302" s="279"/>
      <c r="N302" s="279"/>
      <c r="O302" s="277"/>
      <c r="P302" s="277"/>
      <c r="Q302" s="277"/>
      <c r="R302" s="279"/>
      <c r="S302" s="277"/>
      <c r="T302" s="280"/>
      <c r="U302" s="281"/>
      <c r="X302" s="63">
        <v>7</v>
      </c>
    </row>
    <row r="303" spans="2:24">
      <c r="B303" s="136" t="s">
        <v>333</v>
      </c>
      <c r="C303" s="255" t="e">
        <f t="shared" si="36"/>
        <v>#N/A</v>
      </c>
      <c r="D303" s="277"/>
      <c r="E303" s="277"/>
      <c r="F303" s="277"/>
      <c r="G303" s="277"/>
      <c r="H303" s="277"/>
      <c r="I303" s="277"/>
      <c r="J303" s="279"/>
      <c r="K303" s="277"/>
      <c r="L303" s="277"/>
      <c r="M303" s="279"/>
      <c r="N303" s="279"/>
      <c r="O303" s="277"/>
      <c r="P303" s="277"/>
      <c r="Q303" s="277"/>
      <c r="R303" s="279"/>
      <c r="S303" s="277"/>
      <c r="T303" s="280"/>
      <c r="U303" s="281"/>
      <c r="X303" s="63">
        <v>8</v>
      </c>
    </row>
    <row r="304" spans="2:24">
      <c r="B304" s="136" t="s">
        <v>334</v>
      </c>
      <c r="C304" s="255" t="e">
        <f t="shared" si="36"/>
        <v>#N/A</v>
      </c>
      <c r="D304" s="277"/>
      <c r="E304" s="277"/>
      <c r="F304" s="277"/>
      <c r="G304" s="277"/>
      <c r="H304" s="277"/>
      <c r="I304" s="277"/>
      <c r="J304" s="279"/>
      <c r="K304" s="277"/>
      <c r="L304" s="277"/>
      <c r="M304" s="279"/>
      <c r="N304" s="279"/>
      <c r="O304" s="277"/>
      <c r="P304" s="277"/>
      <c r="Q304" s="277"/>
      <c r="R304" s="279"/>
      <c r="S304" s="277"/>
      <c r="T304" s="280"/>
      <c r="U304" s="281"/>
      <c r="X304" s="63">
        <v>9</v>
      </c>
    </row>
    <row r="305" spans="2:24">
      <c r="B305" s="136" t="s">
        <v>308</v>
      </c>
      <c r="C305" s="255" t="str">
        <f t="shared" si="36"/>
        <v>Refuse Truck</v>
      </c>
      <c r="D305" s="277"/>
      <c r="E305" s="277"/>
      <c r="F305" s="277"/>
      <c r="G305" s="277"/>
      <c r="H305" s="277"/>
      <c r="I305" s="277"/>
      <c r="J305" s="279"/>
      <c r="K305" s="277"/>
      <c r="L305" s="277"/>
      <c r="M305" s="279"/>
      <c r="N305" s="279"/>
      <c r="O305" s="277"/>
      <c r="P305" s="277"/>
      <c r="Q305" s="277"/>
      <c r="R305" s="279"/>
      <c r="S305" s="277"/>
      <c r="T305" s="280"/>
      <c r="U305" s="281"/>
      <c r="X305" s="63">
        <v>10</v>
      </c>
    </row>
    <row r="306" spans="2:24">
      <c r="B306" s="136" t="s">
        <v>307</v>
      </c>
      <c r="C306" s="255" t="str">
        <f t="shared" si="36"/>
        <v>Transit Bus</v>
      </c>
      <c r="D306" s="277"/>
      <c r="E306" s="277"/>
      <c r="F306" s="277"/>
      <c r="G306" s="277"/>
      <c r="H306" s="277"/>
      <c r="I306" s="277"/>
      <c r="J306" s="279"/>
      <c r="K306" s="277"/>
      <c r="L306" s="277"/>
      <c r="M306" s="279"/>
      <c r="N306" s="279"/>
      <c r="O306" s="277"/>
      <c r="P306" s="277"/>
      <c r="Q306" s="277"/>
      <c r="R306" s="279"/>
      <c r="S306" s="277"/>
      <c r="T306" s="280"/>
      <c r="U306" s="281"/>
      <c r="X306" s="63">
        <v>11</v>
      </c>
    </row>
    <row r="307" spans="2:24">
      <c r="B307" s="136" t="s">
        <v>306</v>
      </c>
      <c r="C307" s="255" t="str">
        <f t="shared" si="36"/>
        <v>School Bus</v>
      </c>
      <c r="D307" s="277"/>
      <c r="E307" s="277"/>
      <c r="F307" s="290"/>
      <c r="G307" s="277"/>
      <c r="H307" s="277"/>
      <c r="I307" s="277"/>
      <c r="J307" s="279"/>
      <c r="K307" s="277"/>
      <c r="L307" s="277"/>
      <c r="M307" s="279"/>
      <c r="N307" s="279"/>
      <c r="O307" s="277"/>
      <c r="P307" s="277"/>
      <c r="Q307" s="277"/>
      <c r="R307" s="279"/>
      <c r="S307" s="277"/>
      <c r="T307" s="280"/>
      <c r="U307" s="281"/>
      <c r="X307" s="63">
        <v>12</v>
      </c>
    </row>
    <row r="308" spans="2:24">
      <c r="B308" s="136" t="s">
        <v>335</v>
      </c>
      <c r="C308" s="255" t="e">
        <f t="shared" si="36"/>
        <v>#N/A</v>
      </c>
      <c r="D308" s="277"/>
      <c r="E308" s="277"/>
      <c r="F308" s="277"/>
      <c r="G308" s="277"/>
      <c r="H308" s="277"/>
      <c r="I308" s="277"/>
      <c r="J308" s="279"/>
      <c r="K308" s="277"/>
      <c r="L308" s="277"/>
      <c r="M308" s="279"/>
      <c r="N308" s="279"/>
      <c r="O308" s="277"/>
      <c r="P308" s="277"/>
      <c r="Q308" s="277"/>
      <c r="R308" s="279"/>
      <c r="S308" s="277"/>
      <c r="T308" s="280"/>
      <c r="U308" s="281"/>
      <c r="X308" s="63">
        <v>13</v>
      </c>
    </row>
    <row r="309" spans="2:24">
      <c r="B309" s="136" t="s">
        <v>305</v>
      </c>
      <c r="C309" s="255" t="str">
        <f t="shared" si="36"/>
        <v>Light Commercial Truck</v>
      </c>
      <c r="D309" s="277"/>
      <c r="E309" s="277"/>
      <c r="F309" s="277"/>
      <c r="G309" s="279">
        <f>1/(D255*4.88)*100</f>
        <v>1.5762925598991173</v>
      </c>
      <c r="H309" s="279">
        <v>0</v>
      </c>
      <c r="I309" s="277"/>
      <c r="J309" s="279"/>
      <c r="K309" s="277"/>
      <c r="L309" s="277"/>
      <c r="M309" s="279"/>
      <c r="N309" s="279"/>
      <c r="O309" s="277"/>
      <c r="P309" s="277"/>
      <c r="Q309" s="277"/>
      <c r="R309" s="279"/>
      <c r="S309" s="277"/>
      <c r="T309" s="280"/>
      <c r="U309" s="281"/>
      <c r="X309" s="63">
        <v>14</v>
      </c>
    </row>
    <row r="310" spans="2:24">
      <c r="B310" s="136" t="s">
        <v>336</v>
      </c>
      <c r="C310" s="255" t="e">
        <f t="shared" si="36"/>
        <v>#N/A</v>
      </c>
      <c r="D310" s="279"/>
      <c r="E310" s="279"/>
      <c r="F310" s="279"/>
      <c r="G310" s="279">
        <f t="shared" ref="G310:G318" si="37">1/(D256*4.88)*100</f>
        <v>2.0491803278688527</v>
      </c>
      <c r="H310" s="279">
        <v>0</v>
      </c>
      <c r="I310" s="279"/>
      <c r="J310" s="279"/>
      <c r="K310" s="279"/>
      <c r="L310" s="277"/>
      <c r="M310" s="279"/>
      <c r="N310" s="279"/>
      <c r="O310" s="277"/>
      <c r="P310" s="279"/>
      <c r="Q310" s="277"/>
      <c r="R310" s="279"/>
      <c r="S310" s="279"/>
      <c r="T310" s="284"/>
      <c r="U310" s="285"/>
      <c r="X310" s="63">
        <v>15</v>
      </c>
    </row>
    <row r="311" spans="2:24">
      <c r="B311" s="136" t="s">
        <v>337</v>
      </c>
      <c r="C311" s="255" t="e">
        <f t="shared" si="36"/>
        <v>#N/A</v>
      </c>
      <c r="D311" s="279"/>
      <c r="E311" s="279"/>
      <c r="F311" s="279"/>
      <c r="G311" s="279">
        <f t="shared" si="37"/>
        <v>1.4132278123233466</v>
      </c>
      <c r="H311" s="279">
        <v>0</v>
      </c>
      <c r="I311" s="279"/>
      <c r="J311" s="279"/>
      <c r="K311" s="279"/>
      <c r="L311" s="277"/>
      <c r="M311" s="279"/>
      <c r="N311" s="279"/>
      <c r="O311" s="277"/>
      <c r="P311" s="279"/>
      <c r="Q311" s="277"/>
      <c r="R311" s="279"/>
      <c r="S311" s="279"/>
      <c r="T311" s="284"/>
      <c r="U311" s="285"/>
      <c r="X311" s="63">
        <v>16</v>
      </c>
    </row>
    <row r="312" spans="2:24">
      <c r="B312" s="136" t="s">
        <v>303</v>
      </c>
      <c r="C312" s="255" t="str">
        <f t="shared" si="36"/>
        <v>Passenger Truck</v>
      </c>
      <c r="D312" s="279"/>
      <c r="E312" s="279"/>
      <c r="F312" s="279"/>
      <c r="G312" s="279">
        <f t="shared" si="37"/>
        <v>0.90272261139597021</v>
      </c>
      <c r="H312" s="279">
        <v>0</v>
      </c>
      <c r="I312" s="279"/>
      <c r="J312" s="279"/>
      <c r="K312" s="279"/>
      <c r="L312" s="279"/>
      <c r="M312" s="279"/>
      <c r="N312" s="279"/>
      <c r="O312" s="277"/>
      <c r="P312" s="279"/>
      <c r="Q312" s="279"/>
      <c r="R312" s="279"/>
      <c r="S312" s="279"/>
      <c r="T312" s="284"/>
      <c r="U312" s="285"/>
      <c r="X312" s="63">
        <v>17</v>
      </c>
    </row>
    <row r="313" spans="2:24">
      <c r="B313" s="136" t="s">
        <v>338</v>
      </c>
      <c r="C313" s="255" t="e">
        <f t="shared" si="36"/>
        <v>#N/A</v>
      </c>
      <c r="D313" s="279"/>
      <c r="E313" s="279"/>
      <c r="F313" s="279"/>
      <c r="G313" s="279">
        <f t="shared" si="37"/>
        <v>0.76461952532419875</v>
      </c>
      <c r="H313" s="279">
        <v>0</v>
      </c>
      <c r="I313" s="279"/>
      <c r="J313" s="279"/>
      <c r="K313" s="279"/>
      <c r="L313" s="279"/>
      <c r="M313" s="279"/>
      <c r="N313" s="279"/>
      <c r="O313" s="277"/>
      <c r="P313" s="279"/>
      <c r="Q313" s="277"/>
      <c r="R313" s="279"/>
      <c r="S313" s="279"/>
      <c r="T313" s="284"/>
      <c r="U313" s="285"/>
      <c r="X313" s="63">
        <v>18</v>
      </c>
    </row>
    <row r="314" spans="2:24">
      <c r="B314" s="136" t="s">
        <v>339</v>
      </c>
      <c r="C314" s="255" t="e">
        <f t="shared" si="36"/>
        <v>#N/A</v>
      </c>
      <c r="D314" s="279"/>
      <c r="E314" s="279"/>
      <c r="F314" s="279"/>
      <c r="G314" s="279">
        <f t="shared" si="37"/>
        <v>0.76461952532419875</v>
      </c>
      <c r="H314" s="279">
        <v>0</v>
      </c>
      <c r="I314" s="279"/>
      <c r="J314" s="279"/>
      <c r="K314" s="279"/>
      <c r="L314" s="277"/>
      <c r="M314" s="279"/>
      <c r="N314" s="279"/>
      <c r="O314" s="277"/>
      <c r="P314" s="279"/>
      <c r="Q314" s="277"/>
      <c r="R314" s="279"/>
      <c r="S314" s="279"/>
      <c r="T314" s="284"/>
      <c r="U314" s="285"/>
      <c r="X314" s="63">
        <v>19</v>
      </c>
    </row>
    <row r="315" spans="2:24">
      <c r="B315" s="136" t="s">
        <v>301</v>
      </c>
      <c r="C315" s="255" t="str">
        <f t="shared" si="36"/>
        <v>Passenger Car</v>
      </c>
      <c r="D315" s="279"/>
      <c r="E315" s="279"/>
      <c r="F315" s="279"/>
      <c r="G315" s="279">
        <f t="shared" si="37"/>
        <v>0.7115209471766849</v>
      </c>
      <c r="H315" s="279">
        <v>0</v>
      </c>
      <c r="I315" s="279"/>
      <c r="J315" s="279"/>
      <c r="K315" s="279"/>
      <c r="L315" s="279"/>
      <c r="M315" s="279"/>
      <c r="N315" s="279"/>
      <c r="O315" s="277"/>
      <c r="P315" s="279"/>
      <c r="Q315" s="279"/>
      <c r="R315" s="279"/>
      <c r="S315" s="279"/>
      <c r="T315" s="284"/>
      <c r="U315" s="285"/>
      <c r="X315" s="63">
        <v>20</v>
      </c>
    </row>
    <row r="316" spans="2:24">
      <c r="B316" s="136" t="s">
        <v>340</v>
      </c>
      <c r="C316" s="255" t="e">
        <f t="shared" si="36"/>
        <v>#N/A</v>
      </c>
      <c r="D316" s="279"/>
      <c r="E316" s="279"/>
      <c r="F316" s="279"/>
      <c r="G316" s="279">
        <f t="shared" si="37"/>
        <v>0.7115209471766849</v>
      </c>
      <c r="H316" s="279">
        <v>0</v>
      </c>
      <c r="I316" s="279"/>
      <c r="J316" s="279"/>
      <c r="K316" s="279"/>
      <c r="L316" s="277"/>
      <c r="M316" s="279"/>
      <c r="N316" s="279"/>
      <c r="O316" s="277"/>
      <c r="P316" s="279"/>
      <c r="Q316" s="277"/>
      <c r="R316" s="279"/>
      <c r="S316" s="279"/>
      <c r="T316" s="284"/>
      <c r="U316" s="285"/>
      <c r="X316" s="63">
        <v>21</v>
      </c>
    </row>
    <row r="317" spans="2:24">
      <c r="B317" s="136" t="s">
        <v>341</v>
      </c>
      <c r="C317" s="255" t="e">
        <f t="shared" si="36"/>
        <v>#N/A</v>
      </c>
      <c r="D317" s="279"/>
      <c r="E317" s="279"/>
      <c r="F317" s="279"/>
      <c r="G317" s="279">
        <f t="shared" si="37"/>
        <v>0.7115209471766849</v>
      </c>
      <c r="H317" s="279">
        <v>0</v>
      </c>
      <c r="I317" s="279"/>
      <c r="J317" s="279"/>
      <c r="K317" s="279"/>
      <c r="L317" s="277"/>
      <c r="M317" s="279"/>
      <c r="N317" s="279"/>
      <c r="O317" s="277"/>
      <c r="P317" s="279"/>
      <c r="Q317" s="279"/>
      <c r="R317" s="279"/>
      <c r="S317" s="279"/>
      <c r="T317" s="284"/>
      <c r="U317" s="285"/>
      <c r="X317" s="63">
        <v>22</v>
      </c>
    </row>
    <row r="318" spans="2:24">
      <c r="B318" s="136" t="s">
        <v>342</v>
      </c>
      <c r="C318" s="255" t="e">
        <f t="shared" si="36"/>
        <v>#N/A</v>
      </c>
      <c r="D318" s="277"/>
      <c r="E318" s="277"/>
      <c r="F318" s="277"/>
      <c r="G318" s="279">
        <f t="shared" si="37"/>
        <v>0.47655356462066339</v>
      </c>
      <c r="H318" s="279">
        <v>0</v>
      </c>
      <c r="I318" s="277"/>
      <c r="J318" s="279"/>
      <c r="K318" s="277"/>
      <c r="L318" s="277"/>
      <c r="M318" s="279"/>
      <c r="N318" s="279"/>
      <c r="O318" s="277"/>
      <c r="P318" s="277"/>
      <c r="Q318" s="277"/>
      <c r="R318" s="279"/>
      <c r="S318" s="277"/>
      <c r="T318" s="280"/>
      <c r="U318" s="281"/>
      <c r="X318" s="63">
        <v>23</v>
      </c>
    </row>
    <row r="319" spans="2:24" ht="16" thickBot="1">
      <c r="B319" s="143" t="s">
        <v>343</v>
      </c>
      <c r="C319" s="261" t="e">
        <f t="shared" si="36"/>
        <v>#N/A</v>
      </c>
      <c r="D319" s="286"/>
      <c r="E319" s="286"/>
      <c r="F319" s="286"/>
      <c r="G319" s="286"/>
      <c r="H319" s="286"/>
      <c r="I319" s="286"/>
      <c r="J319" s="286"/>
      <c r="K319" s="286"/>
      <c r="L319" s="286"/>
      <c r="M319" s="286"/>
      <c r="N319" s="286"/>
      <c r="O319" s="286"/>
      <c r="P319" s="286"/>
      <c r="Q319" s="286"/>
      <c r="R319" s="286"/>
      <c r="S319" s="286"/>
      <c r="T319" s="287"/>
      <c r="U319" s="288"/>
      <c r="X319" s="63">
        <v>24</v>
      </c>
    </row>
    <row r="320" spans="2:24">
      <c r="C320" s="132"/>
      <c r="D320" s="132"/>
      <c r="E320" s="275"/>
      <c r="F320" s="275"/>
      <c r="G320" s="275"/>
      <c r="H320" s="275"/>
      <c r="I320" s="275"/>
      <c r="J320" s="275"/>
      <c r="K320" s="275"/>
      <c r="L320" s="275"/>
      <c r="M320" s="275"/>
      <c r="N320" s="275"/>
      <c r="O320" s="275"/>
      <c r="P320" s="275"/>
      <c r="Q320" s="275"/>
      <c r="R320" s="275"/>
      <c r="S320" s="275"/>
      <c r="T320" s="275"/>
      <c r="U320" s="275"/>
      <c r="V320" s="275"/>
    </row>
    <row r="321" spans="2:24" ht="16" thickBot="1">
      <c r="B321" s="276" t="s">
        <v>348</v>
      </c>
      <c r="D321" s="63">
        <v>1</v>
      </c>
      <c r="E321" s="63">
        <f t="shared" ref="E321:T321" si="38">D321+1</f>
        <v>2</v>
      </c>
      <c r="F321" s="63">
        <f t="shared" si="38"/>
        <v>3</v>
      </c>
      <c r="G321" s="63">
        <f t="shared" si="38"/>
        <v>4</v>
      </c>
      <c r="H321" s="63">
        <f t="shared" si="38"/>
        <v>5</v>
      </c>
      <c r="I321" s="63">
        <f t="shared" si="38"/>
        <v>6</v>
      </c>
      <c r="J321" s="63">
        <f>T321+1</f>
        <v>17</v>
      </c>
      <c r="K321" s="63">
        <f>I321+1</f>
        <v>7</v>
      </c>
      <c r="L321" s="63">
        <f t="shared" si="38"/>
        <v>8</v>
      </c>
      <c r="M321" s="63">
        <f t="shared" si="38"/>
        <v>9</v>
      </c>
      <c r="N321" s="63">
        <f t="shared" si="38"/>
        <v>10</v>
      </c>
      <c r="O321" s="63">
        <f t="shared" si="38"/>
        <v>11</v>
      </c>
      <c r="P321" s="63">
        <f t="shared" si="38"/>
        <v>12</v>
      </c>
      <c r="Q321" s="63">
        <f t="shared" si="38"/>
        <v>13</v>
      </c>
      <c r="R321" s="63">
        <f t="shared" si="38"/>
        <v>14</v>
      </c>
      <c r="S321" s="63">
        <f t="shared" si="38"/>
        <v>15</v>
      </c>
      <c r="T321" s="63">
        <f t="shared" si="38"/>
        <v>16</v>
      </c>
      <c r="U321" s="63">
        <f>J321+1</f>
        <v>18</v>
      </c>
    </row>
    <row r="322" spans="2:24" ht="80" customHeight="1">
      <c r="B322" s="250" t="s">
        <v>318</v>
      </c>
      <c r="C322" s="251" t="s">
        <v>319</v>
      </c>
      <c r="D322" s="252" t="s">
        <v>4</v>
      </c>
      <c r="E322" s="252" t="s">
        <v>5</v>
      </c>
      <c r="F322" s="252" t="s">
        <v>320</v>
      </c>
      <c r="G322" s="252" t="s">
        <v>321</v>
      </c>
      <c r="H322" s="252" t="s">
        <v>322</v>
      </c>
      <c r="I322" s="252" t="s">
        <v>323</v>
      </c>
      <c r="J322" s="252" t="s">
        <v>324</v>
      </c>
      <c r="K322" s="252" t="s">
        <v>325</v>
      </c>
      <c r="L322" s="252" t="s">
        <v>326</v>
      </c>
      <c r="M322" s="252" t="s">
        <v>247</v>
      </c>
      <c r="N322" s="252" t="s">
        <v>249</v>
      </c>
      <c r="O322" s="252" t="s">
        <v>251</v>
      </c>
      <c r="P322" s="252" t="s">
        <v>253</v>
      </c>
      <c r="Q322" s="252" t="s">
        <v>255</v>
      </c>
      <c r="R322" s="252" t="s">
        <v>257</v>
      </c>
      <c r="S322" s="252" t="s">
        <v>327</v>
      </c>
      <c r="T322" s="253" t="s">
        <v>328</v>
      </c>
      <c r="U322" s="254" t="s">
        <v>329</v>
      </c>
    </row>
    <row r="323" spans="2:24">
      <c r="B323" s="136" t="s">
        <v>316</v>
      </c>
      <c r="C323" s="255" t="str">
        <f t="shared" ref="C323:C346" si="39">INDEX($B$175:$B$184,MATCH(B323,$C$175:$C$184,0))</f>
        <v>Combination Long-Haul Truck</v>
      </c>
      <c r="D323" s="291"/>
      <c r="E323" s="291"/>
      <c r="F323" s="277"/>
      <c r="G323" s="277"/>
      <c r="H323" s="277"/>
      <c r="I323" s="291"/>
      <c r="J323" s="291"/>
      <c r="K323" s="291"/>
      <c r="L323" s="291"/>
      <c r="M323" s="291"/>
      <c r="N323" s="291"/>
      <c r="O323" s="291"/>
      <c r="P323" s="291">
        <v>1</v>
      </c>
      <c r="Q323" s="291">
        <v>1</v>
      </c>
      <c r="R323" s="291"/>
      <c r="S323" s="291">
        <v>0.95</v>
      </c>
      <c r="T323" s="280"/>
      <c r="U323" s="281"/>
      <c r="X323" s="63">
        <v>1</v>
      </c>
    </row>
    <row r="324" spans="2:24">
      <c r="B324" s="136" t="s">
        <v>314</v>
      </c>
      <c r="C324" s="255" t="str">
        <f t="shared" si="39"/>
        <v>Combination Short-Haul Truck</v>
      </c>
      <c r="D324" s="291"/>
      <c r="E324" s="291"/>
      <c r="F324" s="277"/>
      <c r="G324" s="277"/>
      <c r="H324" s="277"/>
      <c r="I324" s="291"/>
      <c r="J324" s="291"/>
      <c r="K324" s="291"/>
      <c r="L324" s="291"/>
      <c r="M324" s="291"/>
      <c r="N324" s="291"/>
      <c r="O324" s="291"/>
      <c r="P324" s="291">
        <v>1</v>
      </c>
      <c r="Q324" s="291">
        <v>1</v>
      </c>
      <c r="R324" s="291"/>
      <c r="S324" s="291">
        <v>0.95</v>
      </c>
      <c r="T324" s="282"/>
      <c r="U324" s="281"/>
      <c r="X324" s="63">
        <v>2</v>
      </c>
    </row>
    <row r="325" spans="2:24">
      <c r="B325" s="136" t="s">
        <v>312</v>
      </c>
      <c r="C325" s="255" t="str">
        <f t="shared" si="39"/>
        <v>Single Unit Long-Haul Truck</v>
      </c>
      <c r="D325" s="291"/>
      <c r="E325" s="291"/>
      <c r="F325" s="277"/>
      <c r="G325" s="277"/>
      <c r="H325" s="277"/>
      <c r="I325" s="291"/>
      <c r="J325" s="291"/>
      <c r="K325" s="291"/>
      <c r="L325" s="291"/>
      <c r="M325" s="291"/>
      <c r="N325" s="291"/>
      <c r="O325" s="291"/>
      <c r="P325" s="291">
        <v>1</v>
      </c>
      <c r="Q325" s="291">
        <v>1</v>
      </c>
      <c r="R325" s="291"/>
      <c r="S325" s="291">
        <v>0.95</v>
      </c>
      <c r="T325" s="280"/>
      <c r="U325" s="281"/>
      <c r="X325" s="63">
        <v>3</v>
      </c>
    </row>
    <row r="326" spans="2:24">
      <c r="B326" s="136" t="s">
        <v>310</v>
      </c>
      <c r="C326" s="255" t="str">
        <f t="shared" si="39"/>
        <v>Single Unit Short-Haul Truck</v>
      </c>
      <c r="D326" s="291"/>
      <c r="E326" s="291"/>
      <c r="F326" s="277"/>
      <c r="G326" s="277"/>
      <c r="H326" s="277"/>
      <c r="I326" s="291"/>
      <c r="J326" s="291"/>
      <c r="K326" s="291"/>
      <c r="L326" s="291"/>
      <c r="M326" s="291"/>
      <c r="N326" s="291"/>
      <c r="O326" s="291"/>
      <c r="P326" s="291">
        <v>1</v>
      </c>
      <c r="Q326" s="291">
        <v>1</v>
      </c>
      <c r="R326" s="291"/>
      <c r="S326" s="291">
        <v>0.95</v>
      </c>
      <c r="T326" s="289"/>
      <c r="U326" s="281"/>
      <c r="X326" s="63">
        <v>4</v>
      </c>
    </row>
    <row r="327" spans="2:24">
      <c r="B327" s="136" t="s">
        <v>330</v>
      </c>
      <c r="C327" s="255" t="e">
        <f t="shared" si="39"/>
        <v>#N/A</v>
      </c>
      <c r="D327" s="277"/>
      <c r="E327" s="277"/>
      <c r="F327" s="277"/>
      <c r="G327" s="277"/>
      <c r="H327" s="277"/>
      <c r="I327" s="277"/>
      <c r="J327" s="279"/>
      <c r="K327" s="277"/>
      <c r="L327" s="277"/>
      <c r="M327" s="279"/>
      <c r="N327" s="279"/>
      <c r="O327" s="277"/>
      <c r="P327" s="291">
        <v>1</v>
      </c>
      <c r="Q327" s="291">
        <v>1</v>
      </c>
      <c r="R327" s="279"/>
      <c r="S327" s="291">
        <v>0.95</v>
      </c>
      <c r="T327" s="280"/>
      <c r="U327" s="281"/>
      <c r="X327" s="63">
        <v>5</v>
      </c>
    </row>
    <row r="328" spans="2:24">
      <c r="B328" s="136" t="s">
        <v>331</v>
      </c>
      <c r="C328" s="255" t="e">
        <f t="shared" si="39"/>
        <v>#N/A</v>
      </c>
      <c r="D328" s="277"/>
      <c r="E328" s="277"/>
      <c r="F328" s="277"/>
      <c r="G328" s="277"/>
      <c r="H328" s="277"/>
      <c r="I328" s="277"/>
      <c r="J328" s="279"/>
      <c r="K328" s="277"/>
      <c r="L328" s="277"/>
      <c r="M328" s="279"/>
      <c r="N328" s="279"/>
      <c r="O328" s="277"/>
      <c r="P328" s="291">
        <v>1</v>
      </c>
      <c r="Q328" s="291">
        <v>1</v>
      </c>
      <c r="R328" s="279"/>
      <c r="S328" s="291">
        <v>0.95</v>
      </c>
      <c r="T328" s="280"/>
      <c r="U328" s="281"/>
      <c r="X328" s="63">
        <v>6</v>
      </c>
    </row>
    <row r="329" spans="2:24">
      <c r="B329" s="136" t="s">
        <v>332</v>
      </c>
      <c r="C329" s="255" t="e">
        <f t="shared" si="39"/>
        <v>#N/A</v>
      </c>
      <c r="D329" s="277"/>
      <c r="E329" s="277"/>
      <c r="F329" s="277"/>
      <c r="G329" s="277"/>
      <c r="H329" s="277"/>
      <c r="I329" s="277"/>
      <c r="J329" s="279"/>
      <c r="K329" s="277"/>
      <c r="L329" s="277"/>
      <c r="M329" s="279"/>
      <c r="N329" s="279"/>
      <c r="O329" s="277"/>
      <c r="P329" s="291">
        <v>1</v>
      </c>
      <c r="Q329" s="291">
        <v>1</v>
      </c>
      <c r="R329" s="279"/>
      <c r="S329" s="291">
        <v>0.95</v>
      </c>
      <c r="T329" s="280"/>
      <c r="U329" s="281"/>
      <c r="X329" s="63">
        <v>7</v>
      </c>
    </row>
    <row r="330" spans="2:24">
      <c r="B330" s="136" t="s">
        <v>333</v>
      </c>
      <c r="C330" s="255" t="e">
        <f t="shared" si="39"/>
        <v>#N/A</v>
      </c>
      <c r="D330" s="277"/>
      <c r="E330" s="277"/>
      <c r="F330" s="277"/>
      <c r="G330" s="277"/>
      <c r="H330" s="277"/>
      <c r="I330" s="277"/>
      <c r="J330" s="279"/>
      <c r="K330" s="277"/>
      <c r="L330" s="277"/>
      <c r="M330" s="279"/>
      <c r="N330" s="279"/>
      <c r="O330" s="277"/>
      <c r="P330" s="291">
        <v>1</v>
      </c>
      <c r="Q330" s="291">
        <v>1</v>
      </c>
      <c r="R330" s="279"/>
      <c r="S330" s="291">
        <v>0.95</v>
      </c>
      <c r="T330" s="280"/>
      <c r="U330" s="281"/>
      <c r="X330" s="63">
        <v>8</v>
      </c>
    </row>
    <row r="331" spans="2:24">
      <c r="B331" s="136" t="s">
        <v>334</v>
      </c>
      <c r="C331" s="255" t="e">
        <f t="shared" si="39"/>
        <v>#N/A</v>
      </c>
      <c r="D331" s="291"/>
      <c r="E331" s="291"/>
      <c r="F331" s="277"/>
      <c r="G331" s="277"/>
      <c r="H331" s="277"/>
      <c r="I331" s="291"/>
      <c r="J331" s="291"/>
      <c r="K331" s="291"/>
      <c r="L331" s="291"/>
      <c r="M331" s="291"/>
      <c r="N331" s="291"/>
      <c r="O331" s="291"/>
      <c r="P331" s="291">
        <v>1</v>
      </c>
      <c r="Q331" s="291">
        <v>1</v>
      </c>
      <c r="R331" s="291"/>
      <c r="S331" s="291">
        <v>0.95</v>
      </c>
      <c r="T331" s="280"/>
      <c r="U331" s="281"/>
      <c r="X331" s="63">
        <v>9</v>
      </c>
    </row>
    <row r="332" spans="2:24">
      <c r="B332" s="136" t="s">
        <v>308</v>
      </c>
      <c r="C332" s="255" t="str">
        <f t="shared" si="39"/>
        <v>Refuse Truck</v>
      </c>
      <c r="D332" s="291"/>
      <c r="E332" s="291"/>
      <c r="F332" s="277"/>
      <c r="G332" s="277"/>
      <c r="H332" s="277"/>
      <c r="I332" s="291"/>
      <c r="J332" s="291"/>
      <c r="K332" s="291"/>
      <c r="L332" s="291"/>
      <c r="M332" s="291"/>
      <c r="N332" s="291"/>
      <c r="O332" s="291"/>
      <c r="P332" s="291">
        <v>1</v>
      </c>
      <c r="Q332" s="291">
        <v>1</v>
      </c>
      <c r="R332" s="291"/>
      <c r="S332" s="291">
        <v>0.95</v>
      </c>
      <c r="T332" s="280"/>
      <c r="U332" s="281"/>
      <c r="X332" s="63">
        <v>10</v>
      </c>
    </row>
    <row r="333" spans="2:24">
      <c r="B333" s="136" t="s">
        <v>307</v>
      </c>
      <c r="C333" s="255" t="str">
        <f t="shared" si="39"/>
        <v>Transit Bus</v>
      </c>
      <c r="D333" s="291"/>
      <c r="E333" s="291"/>
      <c r="F333" s="277"/>
      <c r="G333" s="277"/>
      <c r="H333" s="277"/>
      <c r="I333" s="291"/>
      <c r="J333" s="291"/>
      <c r="K333" s="291"/>
      <c r="L333" s="291"/>
      <c r="M333" s="291"/>
      <c r="N333" s="291"/>
      <c r="O333" s="291"/>
      <c r="P333" s="291">
        <v>1</v>
      </c>
      <c r="Q333" s="291">
        <v>1</v>
      </c>
      <c r="R333" s="291"/>
      <c r="S333" s="291">
        <v>0.95</v>
      </c>
      <c r="T333" s="280"/>
      <c r="U333" s="281"/>
      <c r="X333" s="63">
        <v>11</v>
      </c>
    </row>
    <row r="334" spans="2:24">
      <c r="B334" s="136" t="s">
        <v>306</v>
      </c>
      <c r="C334" s="255" t="str">
        <f t="shared" si="39"/>
        <v>School Bus</v>
      </c>
      <c r="D334" s="291"/>
      <c r="E334" s="291"/>
      <c r="F334" s="277"/>
      <c r="G334" s="277"/>
      <c r="H334" s="277"/>
      <c r="I334" s="291"/>
      <c r="J334" s="291"/>
      <c r="K334" s="291"/>
      <c r="L334" s="291"/>
      <c r="M334" s="291"/>
      <c r="N334" s="291"/>
      <c r="O334" s="291"/>
      <c r="P334" s="291">
        <v>1</v>
      </c>
      <c r="Q334" s="291">
        <v>1</v>
      </c>
      <c r="R334" s="291"/>
      <c r="S334" s="291">
        <v>0.95</v>
      </c>
      <c r="T334" s="280"/>
      <c r="U334" s="281"/>
      <c r="X334" s="63">
        <v>12</v>
      </c>
    </row>
    <row r="335" spans="2:24">
      <c r="B335" s="136" t="s">
        <v>335</v>
      </c>
      <c r="C335" s="255" t="e">
        <f t="shared" si="39"/>
        <v>#N/A</v>
      </c>
      <c r="D335" s="291"/>
      <c r="E335" s="291"/>
      <c r="F335" s="277"/>
      <c r="G335" s="277"/>
      <c r="H335" s="277"/>
      <c r="I335" s="291"/>
      <c r="J335" s="291"/>
      <c r="K335" s="291"/>
      <c r="L335" s="291"/>
      <c r="M335" s="291"/>
      <c r="N335" s="291"/>
      <c r="O335" s="291"/>
      <c r="P335" s="291">
        <v>1</v>
      </c>
      <c r="Q335" s="291">
        <v>1</v>
      </c>
      <c r="R335" s="291"/>
      <c r="S335" s="291">
        <v>0.95</v>
      </c>
      <c r="T335" s="280"/>
      <c r="U335" s="281"/>
      <c r="X335" s="63">
        <v>13</v>
      </c>
    </row>
    <row r="336" spans="2:24">
      <c r="B336" s="136" t="s">
        <v>305</v>
      </c>
      <c r="C336" s="255" t="str">
        <f t="shared" si="39"/>
        <v>Light Commercial Truck</v>
      </c>
      <c r="D336" s="277"/>
      <c r="E336" s="277"/>
      <c r="F336" s="277"/>
      <c r="G336" s="277"/>
      <c r="H336" s="277"/>
      <c r="I336" s="277"/>
      <c r="J336" s="279"/>
      <c r="K336" s="277"/>
      <c r="L336" s="277"/>
      <c r="M336" s="279"/>
      <c r="N336" s="279"/>
      <c r="O336" s="277"/>
      <c r="P336" s="291">
        <v>1</v>
      </c>
      <c r="Q336" s="291">
        <v>1</v>
      </c>
      <c r="R336" s="279"/>
      <c r="S336" s="277"/>
      <c r="T336" s="280"/>
      <c r="U336" s="281"/>
      <c r="X336" s="63">
        <v>14</v>
      </c>
    </row>
    <row r="337" spans="2:24">
      <c r="B337" s="136" t="s">
        <v>336</v>
      </c>
      <c r="C337" s="255" t="e">
        <f t="shared" si="39"/>
        <v>#N/A</v>
      </c>
      <c r="D337" s="279"/>
      <c r="E337" s="279"/>
      <c r="F337" s="279"/>
      <c r="G337" s="279"/>
      <c r="H337" s="279"/>
      <c r="I337" s="279"/>
      <c r="J337" s="279"/>
      <c r="K337" s="279"/>
      <c r="L337" s="277"/>
      <c r="M337" s="279"/>
      <c r="N337" s="279"/>
      <c r="O337" s="277"/>
      <c r="P337" s="291">
        <v>1</v>
      </c>
      <c r="Q337" s="291">
        <v>1</v>
      </c>
      <c r="R337" s="279"/>
      <c r="S337" s="279"/>
      <c r="T337" s="284"/>
      <c r="U337" s="285"/>
      <c r="X337" s="63">
        <v>15</v>
      </c>
    </row>
    <row r="338" spans="2:24">
      <c r="B338" s="136" t="s">
        <v>337</v>
      </c>
      <c r="C338" s="255" t="e">
        <f t="shared" si="39"/>
        <v>#N/A</v>
      </c>
      <c r="D338" s="279"/>
      <c r="E338" s="279"/>
      <c r="F338" s="279"/>
      <c r="G338" s="279"/>
      <c r="H338" s="279"/>
      <c r="I338" s="279"/>
      <c r="J338" s="279"/>
      <c r="K338" s="279"/>
      <c r="L338" s="277"/>
      <c r="M338" s="279"/>
      <c r="N338" s="279"/>
      <c r="O338" s="277"/>
      <c r="P338" s="291">
        <v>1</v>
      </c>
      <c r="Q338" s="291">
        <v>1</v>
      </c>
      <c r="R338" s="279"/>
      <c r="S338" s="279"/>
      <c r="T338" s="284"/>
      <c r="U338" s="285"/>
      <c r="X338" s="63">
        <v>16</v>
      </c>
    </row>
    <row r="339" spans="2:24">
      <c r="B339" s="136" t="s">
        <v>303</v>
      </c>
      <c r="C339" s="255" t="str">
        <f t="shared" si="39"/>
        <v>Passenger Truck</v>
      </c>
      <c r="D339" s="279"/>
      <c r="E339" s="279"/>
      <c r="F339" s="279"/>
      <c r="G339" s="279"/>
      <c r="H339" s="279"/>
      <c r="I339" s="279"/>
      <c r="J339" s="279"/>
      <c r="K339" s="279"/>
      <c r="L339" s="279"/>
      <c r="M339" s="279"/>
      <c r="N339" s="279"/>
      <c r="O339" s="277"/>
      <c r="P339" s="291">
        <v>1</v>
      </c>
      <c r="Q339" s="291">
        <v>1</v>
      </c>
      <c r="R339" s="279"/>
      <c r="S339" s="279"/>
      <c r="T339" s="284"/>
      <c r="U339" s="285"/>
      <c r="X339" s="63">
        <v>17</v>
      </c>
    </row>
    <row r="340" spans="2:24">
      <c r="B340" s="136" t="s">
        <v>338</v>
      </c>
      <c r="C340" s="255" t="e">
        <f t="shared" si="39"/>
        <v>#N/A</v>
      </c>
      <c r="D340" s="279"/>
      <c r="E340" s="279"/>
      <c r="F340" s="279"/>
      <c r="G340" s="279"/>
      <c r="H340" s="279"/>
      <c r="I340" s="279"/>
      <c r="J340" s="279"/>
      <c r="K340" s="279"/>
      <c r="L340" s="279"/>
      <c r="M340" s="279"/>
      <c r="N340" s="279"/>
      <c r="O340" s="277"/>
      <c r="P340" s="291">
        <v>1</v>
      </c>
      <c r="Q340" s="291">
        <v>1</v>
      </c>
      <c r="R340" s="279"/>
      <c r="S340" s="279"/>
      <c r="T340" s="284"/>
      <c r="U340" s="285"/>
      <c r="X340" s="63">
        <v>18</v>
      </c>
    </row>
    <row r="341" spans="2:24">
      <c r="B341" s="136" t="s">
        <v>339</v>
      </c>
      <c r="C341" s="255" t="e">
        <f t="shared" si="39"/>
        <v>#N/A</v>
      </c>
      <c r="D341" s="279"/>
      <c r="E341" s="279"/>
      <c r="F341" s="279"/>
      <c r="G341" s="279"/>
      <c r="H341" s="279"/>
      <c r="I341" s="279"/>
      <c r="J341" s="279"/>
      <c r="K341" s="279"/>
      <c r="L341" s="277"/>
      <c r="M341" s="279"/>
      <c r="N341" s="279"/>
      <c r="O341" s="277"/>
      <c r="P341" s="291">
        <v>1</v>
      </c>
      <c r="Q341" s="291">
        <v>1</v>
      </c>
      <c r="R341" s="279"/>
      <c r="S341" s="279"/>
      <c r="T341" s="284"/>
      <c r="U341" s="285"/>
      <c r="X341" s="63">
        <v>19</v>
      </c>
    </row>
    <row r="342" spans="2:24">
      <c r="B342" s="136" t="s">
        <v>301</v>
      </c>
      <c r="C342" s="255" t="str">
        <f t="shared" si="39"/>
        <v>Passenger Car</v>
      </c>
      <c r="D342" s="279"/>
      <c r="E342" s="279"/>
      <c r="F342" s="279"/>
      <c r="G342" s="279"/>
      <c r="H342" s="279"/>
      <c r="I342" s="279"/>
      <c r="J342" s="279"/>
      <c r="K342" s="279"/>
      <c r="L342" s="279"/>
      <c r="M342" s="279"/>
      <c r="N342" s="279"/>
      <c r="O342" s="277"/>
      <c r="P342" s="291">
        <v>1</v>
      </c>
      <c r="Q342" s="291">
        <v>1</v>
      </c>
      <c r="R342" s="279"/>
      <c r="S342" s="279"/>
      <c r="T342" s="284"/>
      <c r="U342" s="285"/>
      <c r="X342" s="63">
        <v>20</v>
      </c>
    </row>
    <row r="343" spans="2:24">
      <c r="B343" s="136" t="s">
        <v>340</v>
      </c>
      <c r="C343" s="255" t="e">
        <f t="shared" si="39"/>
        <v>#N/A</v>
      </c>
      <c r="D343" s="279"/>
      <c r="E343" s="279"/>
      <c r="F343" s="279"/>
      <c r="G343" s="279"/>
      <c r="H343" s="279"/>
      <c r="I343" s="279"/>
      <c r="J343" s="279"/>
      <c r="K343" s="279"/>
      <c r="L343" s="277"/>
      <c r="M343" s="279"/>
      <c r="N343" s="279"/>
      <c r="O343" s="277"/>
      <c r="P343" s="291">
        <v>1</v>
      </c>
      <c r="Q343" s="291">
        <v>1</v>
      </c>
      <c r="R343" s="279"/>
      <c r="S343" s="279"/>
      <c r="T343" s="284"/>
      <c r="U343" s="285"/>
      <c r="X343" s="63">
        <v>21</v>
      </c>
    </row>
    <row r="344" spans="2:24">
      <c r="B344" s="136" t="s">
        <v>341</v>
      </c>
      <c r="C344" s="255" t="e">
        <f t="shared" si="39"/>
        <v>#N/A</v>
      </c>
      <c r="D344" s="279"/>
      <c r="E344" s="279"/>
      <c r="F344" s="279"/>
      <c r="G344" s="279"/>
      <c r="H344" s="279"/>
      <c r="I344" s="279"/>
      <c r="J344" s="279"/>
      <c r="K344" s="279"/>
      <c r="L344" s="277"/>
      <c r="M344" s="279"/>
      <c r="N344" s="279"/>
      <c r="O344" s="277"/>
      <c r="P344" s="291">
        <v>1</v>
      </c>
      <c r="Q344" s="291">
        <v>1</v>
      </c>
      <c r="R344" s="279"/>
      <c r="S344" s="279"/>
      <c r="T344" s="284"/>
      <c r="U344" s="285"/>
      <c r="X344" s="63">
        <v>22</v>
      </c>
    </row>
    <row r="345" spans="2:24">
      <c r="B345" s="136" t="s">
        <v>342</v>
      </c>
      <c r="C345" s="255" t="e">
        <f t="shared" si="39"/>
        <v>#N/A</v>
      </c>
      <c r="D345" s="277"/>
      <c r="E345" s="277"/>
      <c r="F345" s="277"/>
      <c r="G345" s="277"/>
      <c r="H345" s="277"/>
      <c r="I345" s="277"/>
      <c r="J345" s="279"/>
      <c r="K345" s="277"/>
      <c r="L345" s="277"/>
      <c r="M345" s="279"/>
      <c r="N345" s="279"/>
      <c r="O345" s="277"/>
      <c r="P345" s="291">
        <v>1</v>
      </c>
      <c r="Q345" s="291">
        <v>1</v>
      </c>
      <c r="R345" s="279"/>
      <c r="S345" s="277"/>
      <c r="T345" s="280"/>
      <c r="U345" s="281"/>
      <c r="X345" s="63">
        <v>23</v>
      </c>
    </row>
    <row r="346" spans="2:24" ht="16" thickBot="1">
      <c r="B346" s="143" t="s">
        <v>343</v>
      </c>
      <c r="C346" s="261" t="e">
        <f t="shared" si="39"/>
        <v>#N/A</v>
      </c>
      <c r="D346" s="286"/>
      <c r="E346" s="286"/>
      <c r="F346" s="286"/>
      <c r="G346" s="286"/>
      <c r="H346" s="286"/>
      <c r="I346" s="286"/>
      <c r="J346" s="286"/>
      <c r="K346" s="286"/>
      <c r="L346" s="286"/>
      <c r="M346" s="286"/>
      <c r="N346" s="286"/>
      <c r="O346" s="286"/>
      <c r="P346" s="292">
        <v>1</v>
      </c>
      <c r="Q346" s="292">
        <v>1</v>
      </c>
      <c r="R346" s="286"/>
      <c r="S346" s="286"/>
      <c r="T346" s="287"/>
      <c r="U346" s="288"/>
      <c r="X346" s="63">
        <v>24</v>
      </c>
    </row>
    <row r="347" spans="2:24">
      <c r="C347" s="132"/>
      <c r="D347" s="132"/>
      <c r="E347" s="132"/>
      <c r="F347" s="132"/>
      <c r="G347" s="132"/>
      <c r="H347" s="132"/>
      <c r="I347" s="132"/>
      <c r="J347" s="132"/>
      <c r="K347" s="132"/>
      <c r="L347" s="132"/>
      <c r="M347" s="132"/>
      <c r="N347" s="132"/>
      <c r="O347" s="132"/>
      <c r="P347" s="132"/>
      <c r="Q347" s="132"/>
      <c r="R347" s="132"/>
      <c r="S347" s="132"/>
      <c r="T347" s="132"/>
      <c r="U347" s="132"/>
      <c r="V347" s="132"/>
    </row>
    <row r="348" spans="2:24" ht="16" thickBot="1">
      <c r="B348" s="276" t="s">
        <v>349</v>
      </c>
      <c r="D348" s="63">
        <v>1</v>
      </c>
      <c r="E348" s="63">
        <f t="shared" ref="E348:T348" si="40">D348+1</f>
        <v>2</v>
      </c>
      <c r="F348" s="63">
        <f t="shared" si="40"/>
        <v>3</v>
      </c>
      <c r="G348" s="63">
        <f t="shared" si="40"/>
        <v>4</v>
      </c>
      <c r="H348" s="63">
        <f t="shared" si="40"/>
        <v>5</v>
      </c>
      <c r="I348" s="63">
        <f t="shared" si="40"/>
        <v>6</v>
      </c>
      <c r="J348" s="63">
        <f>T348+1</f>
        <v>17</v>
      </c>
      <c r="K348" s="63">
        <f>I348+1</f>
        <v>7</v>
      </c>
      <c r="L348" s="63">
        <f t="shared" si="40"/>
        <v>8</v>
      </c>
      <c r="M348" s="63">
        <f t="shared" si="40"/>
        <v>9</v>
      </c>
      <c r="N348" s="63">
        <f t="shared" si="40"/>
        <v>10</v>
      </c>
      <c r="O348" s="63">
        <f t="shared" si="40"/>
        <v>11</v>
      </c>
      <c r="P348" s="63">
        <f t="shared" si="40"/>
        <v>12</v>
      </c>
      <c r="Q348" s="63">
        <f t="shared" si="40"/>
        <v>13</v>
      </c>
      <c r="R348" s="63">
        <f t="shared" si="40"/>
        <v>14</v>
      </c>
      <c r="S348" s="63">
        <f t="shared" si="40"/>
        <v>15</v>
      </c>
      <c r="T348" s="63">
        <f t="shared" si="40"/>
        <v>16</v>
      </c>
      <c r="U348" s="63">
        <f>J348+1</f>
        <v>18</v>
      </c>
    </row>
    <row r="349" spans="2:24" ht="80" customHeight="1">
      <c r="B349" s="250" t="s">
        <v>318</v>
      </c>
      <c r="C349" s="251" t="s">
        <v>319</v>
      </c>
      <c r="D349" s="252" t="s">
        <v>4</v>
      </c>
      <c r="E349" s="252" t="s">
        <v>5</v>
      </c>
      <c r="F349" s="252" t="s">
        <v>320</v>
      </c>
      <c r="G349" s="252" t="s">
        <v>321</v>
      </c>
      <c r="H349" s="252" t="s">
        <v>322</v>
      </c>
      <c r="I349" s="252" t="s">
        <v>323</v>
      </c>
      <c r="J349" s="252" t="s">
        <v>324</v>
      </c>
      <c r="K349" s="252" t="s">
        <v>325</v>
      </c>
      <c r="L349" s="252" t="s">
        <v>326</v>
      </c>
      <c r="M349" s="252" t="s">
        <v>247</v>
      </c>
      <c r="N349" s="252" t="s">
        <v>249</v>
      </c>
      <c r="O349" s="252" t="s">
        <v>251</v>
      </c>
      <c r="P349" s="252" t="s">
        <v>253</v>
      </c>
      <c r="Q349" s="252" t="s">
        <v>255</v>
      </c>
      <c r="R349" s="252" t="s">
        <v>257</v>
      </c>
      <c r="S349" s="252" t="s">
        <v>327</v>
      </c>
      <c r="T349" s="253" t="s">
        <v>328</v>
      </c>
      <c r="U349" s="254" t="s">
        <v>329</v>
      </c>
    </row>
    <row r="350" spans="2:24">
      <c r="B350" s="136" t="s">
        <v>316</v>
      </c>
      <c r="C350" s="255" t="str">
        <f t="shared" ref="C350:C373" si="41">INDEX($B$175:$B$184,MATCH(B350,$C$175:$C$184,0))</f>
        <v>Combination Long-Haul Truck</v>
      </c>
      <c r="D350" s="291"/>
      <c r="E350" s="291">
        <v>0.02</v>
      </c>
      <c r="F350" s="277"/>
      <c r="G350" s="277"/>
      <c r="H350" s="277"/>
      <c r="I350" s="291"/>
      <c r="J350" s="291"/>
      <c r="K350" s="291">
        <v>0.02</v>
      </c>
      <c r="L350" s="291">
        <v>0.02</v>
      </c>
      <c r="M350" s="291">
        <v>0.02</v>
      </c>
      <c r="N350" s="291">
        <v>0.02</v>
      </c>
      <c r="O350" s="291"/>
      <c r="P350" s="291"/>
      <c r="Q350" s="291">
        <v>0</v>
      </c>
      <c r="R350" s="291">
        <v>0</v>
      </c>
      <c r="S350" s="291">
        <v>0.02</v>
      </c>
      <c r="T350" s="293">
        <v>0.02</v>
      </c>
      <c r="U350" s="281"/>
      <c r="X350" s="63">
        <v>1</v>
      </c>
    </row>
    <row r="351" spans="2:24">
      <c r="B351" s="136" t="s">
        <v>314</v>
      </c>
      <c r="C351" s="255" t="str">
        <f t="shared" si="41"/>
        <v>Combination Short-Haul Truck</v>
      </c>
      <c r="D351" s="291"/>
      <c r="E351" s="291">
        <v>0.02</v>
      </c>
      <c r="F351" s="277"/>
      <c r="G351" s="277"/>
      <c r="H351" s="277"/>
      <c r="I351" s="291"/>
      <c r="J351" s="291"/>
      <c r="K351" s="291">
        <v>0.02</v>
      </c>
      <c r="L351" s="291">
        <v>0.02</v>
      </c>
      <c r="M351" s="291">
        <v>0.02</v>
      </c>
      <c r="N351" s="291">
        <v>0.02</v>
      </c>
      <c r="O351" s="291"/>
      <c r="P351" s="291"/>
      <c r="Q351" s="291">
        <v>0</v>
      </c>
      <c r="R351" s="291">
        <v>0</v>
      </c>
      <c r="S351" s="291">
        <v>0.02</v>
      </c>
      <c r="T351" s="293">
        <v>0.02</v>
      </c>
      <c r="U351" s="281"/>
      <c r="X351" s="63">
        <v>2</v>
      </c>
    </row>
    <row r="352" spans="2:24">
      <c r="B352" s="136" t="s">
        <v>312</v>
      </c>
      <c r="C352" s="255" t="str">
        <f t="shared" si="41"/>
        <v>Single Unit Long-Haul Truck</v>
      </c>
      <c r="D352" s="291"/>
      <c r="E352" s="291">
        <v>0.02</v>
      </c>
      <c r="F352" s="277"/>
      <c r="G352" s="277"/>
      <c r="H352" s="277"/>
      <c r="I352" s="291"/>
      <c r="J352" s="291"/>
      <c r="K352" s="291">
        <v>0.02</v>
      </c>
      <c r="L352" s="291">
        <v>0.02</v>
      </c>
      <c r="M352" s="291">
        <v>0.02</v>
      </c>
      <c r="N352" s="291">
        <v>0.02</v>
      </c>
      <c r="O352" s="291"/>
      <c r="P352" s="291"/>
      <c r="Q352" s="291">
        <v>0</v>
      </c>
      <c r="R352" s="291">
        <v>0</v>
      </c>
      <c r="S352" s="291">
        <v>0.02</v>
      </c>
      <c r="T352" s="293">
        <v>0.02</v>
      </c>
      <c r="U352" s="281"/>
      <c r="X352" s="63">
        <v>3</v>
      </c>
    </row>
    <row r="353" spans="2:24">
      <c r="B353" s="136" t="s">
        <v>310</v>
      </c>
      <c r="C353" s="255" t="str">
        <f t="shared" si="41"/>
        <v>Single Unit Short-Haul Truck</v>
      </c>
      <c r="D353" s="291"/>
      <c r="E353" s="291">
        <v>0.02</v>
      </c>
      <c r="F353" s="277"/>
      <c r="G353" s="277"/>
      <c r="H353" s="277"/>
      <c r="I353" s="291"/>
      <c r="J353" s="291"/>
      <c r="K353" s="291">
        <v>0.02</v>
      </c>
      <c r="L353" s="291">
        <v>0.02</v>
      </c>
      <c r="M353" s="291">
        <v>0.02</v>
      </c>
      <c r="N353" s="291">
        <v>0.02</v>
      </c>
      <c r="O353" s="291"/>
      <c r="P353" s="291"/>
      <c r="Q353" s="291">
        <v>0</v>
      </c>
      <c r="R353" s="291">
        <v>0</v>
      </c>
      <c r="S353" s="291">
        <v>0.02</v>
      </c>
      <c r="T353" s="293">
        <v>0.02</v>
      </c>
      <c r="U353" s="281"/>
      <c r="X353" s="63">
        <v>4</v>
      </c>
    </row>
    <row r="354" spans="2:24">
      <c r="B354" s="136" t="s">
        <v>330</v>
      </c>
      <c r="C354" s="255" t="e">
        <f t="shared" si="41"/>
        <v>#N/A</v>
      </c>
      <c r="D354" s="277"/>
      <c r="E354" s="291">
        <v>0.02</v>
      </c>
      <c r="F354" s="277"/>
      <c r="G354" s="277"/>
      <c r="H354" s="277"/>
      <c r="I354" s="277"/>
      <c r="J354" s="291"/>
      <c r="K354" s="291">
        <v>0.02</v>
      </c>
      <c r="L354" s="291">
        <v>0.02</v>
      </c>
      <c r="M354" s="291">
        <v>0.02</v>
      </c>
      <c r="N354" s="291">
        <v>0.02</v>
      </c>
      <c r="O354" s="277"/>
      <c r="P354" s="277"/>
      <c r="Q354" s="291">
        <v>0</v>
      </c>
      <c r="R354" s="291">
        <v>0</v>
      </c>
      <c r="S354" s="291">
        <v>0.02</v>
      </c>
      <c r="T354" s="293">
        <v>0.02</v>
      </c>
      <c r="U354" s="281"/>
      <c r="X354" s="63">
        <v>5</v>
      </c>
    </row>
    <row r="355" spans="2:24">
      <c r="B355" s="136" t="s">
        <v>331</v>
      </c>
      <c r="C355" s="255" t="e">
        <f t="shared" si="41"/>
        <v>#N/A</v>
      </c>
      <c r="D355" s="277"/>
      <c r="E355" s="291">
        <v>0.02</v>
      </c>
      <c r="F355" s="277"/>
      <c r="G355" s="277"/>
      <c r="H355" s="277"/>
      <c r="I355" s="277"/>
      <c r="J355" s="291"/>
      <c r="K355" s="291">
        <v>0.02</v>
      </c>
      <c r="L355" s="291">
        <v>0.02</v>
      </c>
      <c r="M355" s="291">
        <v>0.02</v>
      </c>
      <c r="N355" s="291">
        <v>0.02</v>
      </c>
      <c r="O355" s="277"/>
      <c r="P355" s="277"/>
      <c r="Q355" s="291">
        <v>0</v>
      </c>
      <c r="R355" s="291">
        <v>0</v>
      </c>
      <c r="S355" s="291">
        <v>0.02</v>
      </c>
      <c r="T355" s="293">
        <v>0.02</v>
      </c>
      <c r="U355" s="281"/>
      <c r="X355" s="63">
        <v>6</v>
      </c>
    </row>
    <row r="356" spans="2:24">
      <c r="B356" s="136" t="s">
        <v>332</v>
      </c>
      <c r="C356" s="255" t="e">
        <f t="shared" si="41"/>
        <v>#N/A</v>
      </c>
      <c r="D356" s="277"/>
      <c r="E356" s="291">
        <v>0.02</v>
      </c>
      <c r="F356" s="277"/>
      <c r="G356" s="277"/>
      <c r="H356" s="277"/>
      <c r="I356" s="277"/>
      <c r="J356" s="291"/>
      <c r="K356" s="291">
        <v>0.02</v>
      </c>
      <c r="L356" s="291">
        <v>0.02</v>
      </c>
      <c r="M356" s="291">
        <v>0.02</v>
      </c>
      <c r="N356" s="291">
        <v>0.02</v>
      </c>
      <c r="O356" s="277"/>
      <c r="P356" s="277"/>
      <c r="Q356" s="291">
        <v>0</v>
      </c>
      <c r="R356" s="291">
        <v>0</v>
      </c>
      <c r="S356" s="291">
        <v>0.02</v>
      </c>
      <c r="T356" s="293">
        <v>0.02</v>
      </c>
      <c r="U356" s="281"/>
      <c r="X356" s="63">
        <v>7</v>
      </c>
    </row>
    <row r="357" spans="2:24">
      <c r="B357" s="136" t="s">
        <v>333</v>
      </c>
      <c r="C357" s="255" t="e">
        <f t="shared" si="41"/>
        <v>#N/A</v>
      </c>
      <c r="D357" s="277"/>
      <c r="E357" s="291">
        <v>0.02</v>
      </c>
      <c r="F357" s="277"/>
      <c r="G357" s="277"/>
      <c r="H357" s="277"/>
      <c r="I357" s="277"/>
      <c r="J357" s="291"/>
      <c r="K357" s="291">
        <v>0.02</v>
      </c>
      <c r="L357" s="291">
        <v>0.02</v>
      </c>
      <c r="M357" s="291">
        <v>0.02</v>
      </c>
      <c r="N357" s="291">
        <v>0.02</v>
      </c>
      <c r="O357" s="277"/>
      <c r="P357" s="277"/>
      <c r="Q357" s="291">
        <v>0</v>
      </c>
      <c r="R357" s="291">
        <v>0</v>
      </c>
      <c r="S357" s="291">
        <v>0.02</v>
      </c>
      <c r="T357" s="293">
        <v>0.02</v>
      </c>
      <c r="U357" s="281"/>
      <c r="X357" s="63">
        <v>8</v>
      </c>
    </row>
    <row r="358" spans="2:24">
      <c r="B358" s="136" t="s">
        <v>334</v>
      </c>
      <c r="C358" s="255" t="e">
        <f t="shared" si="41"/>
        <v>#N/A</v>
      </c>
      <c r="D358" s="291"/>
      <c r="E358" s="291">
        <v>0.02</v>
      </c>
      <c r="F358" s="277"/>
      <c r="G358" s="277"/>
      <c r="H358" s="277"/>
      <c r="I358" s="291"/>
      <c r="J358" s="291"/>
      <c r="K358" s="291">
        <v>0.02</v>
      </c>
      <c r="L358" s="291">
        <v>0.02</v>
      </c>
      <c r="M358" s="291">
        <v>0.02</v>
      </c>
      <c r="N358" s="291">
        <v>0.02</v>
      </c>
      <c r="O358" s="291"/>
      <c r="P358" s="291"/>
      <c r="Q358" s="291">
        <v>0</v>
      </c>
      <c r="R358" s="291">
        <v>0</v>
      </c>
      <c r="S358" s="291">
        <v>0.02</v>
      </c>
      <c r="T358" s="293">
        <v>0.02</v>
      </c>
      <c r="U358" s="281"/>
      <c r="X358" s="63">
        <v>9</v>
      </c>
    </row>
    <row r="359" spans="2:24">
      <c r="B359" s="136" t="s">
        <v>308</v>
      </c>
      <c r="C359" s="255" t="str">
        <f t="shared" si="41"/>
        <v>Refuse Truck</v>
      </c>
      <c r="D359" s="291"/>
      <c r="E359" s="291">
        <v>0.02</v>
      </c>
      <c r="F359" s="277"/>
      <c r="G359" s="277"/>
      <c r="H359" s="277"/>
      <c r="I359" s="291"/>
      <c r="J359" s="291"/>
      <c r="K359" s="291">
        <v>0.02</v>
      </c>
      <c r="L359" s="291">
        <v>0.02</v>
      </c>
      <c r="M359" s="291">
        <v>0.02</v>
      </c>
      <c r="N359" s="291">
        <v>0.02</v>
      </c>
      <c r="O359" s="291"/>
      <c r="P359" s="291"/>
      <c r="Q359" s="291">
        <v>0</v>
      </c>
      <c r="R359" s="291">
        <v>0</v>
      </c>
      <c r="S359" s="291">
        <v>0.02</v>
      </c>
      <c r="T359" s="293">
        <v>0.02</v>
      </c>
      <c r="U359" s="281"/>
      <c r="X359" s="63">
        <v>10</v>
      </c>
    </row>
    <row r="360" spans="2:24">
      <c r="B360" s="136" t="s">
        <v>307</v>
      </c>
      <c r="C360" s="255" t="str">
        <f t="shared" si="41"/>
        <v>Transit Bus</v>
      </c>
      <c r="D360" s="291"/>
      <c r="E360" s="291">
        <v>0.02</v>
      </c>
      <c r="F360" s="277"/>
      <c r="G360" s="277"/>
      <c r="H360" s="277"/>
      <c r="I360" s="291"/>
      <c r="J360" s="291"/>
      <c r="K360" s="291">
        <v>0.02</v>
      </c>
      <c r="L360" s="291">
        <v>0.02</v>
      </c>
      <c r="M360" s="291">
        <v>0.02</v>
      </c>
      <c r="N360" s="291">
        <v>0.02</v>
      </c>
      <c r="O360" s="291"/>
      <c r="P360" s="291"/>
      <c r="Q360" s="291">
        <v>0</v>
      </c>
      <c r="R360" s="291">
        <v>0</v>
      </c>
      <c r="S360" s="291">
        <v>0.02</v>
      </c>
      <c r="T360" s="293">
        <v>0.02</v>
      </c>
      <c r="U360" s="281"/>
      <c r="X360" s="63">
        <v>11</v>
      </c>
    </row>
    <row r="361" spans="2:24">
      <c r="B361" s="136" t="s">
        <v>306</v>
      </c>
      <c r="C361" s="255" t="str">
        <f t="shared" si="41"/>
        <v>School Bus</v>
      </c>
      <c r="D361" s="291"/>
      <c r="E361" s="291">
        <v>0.02</v>
      </c>
      <c r="F361" s="277"/>
      <c r="G361" s="277"/>
      <c r="H361" s="277"/>
      <c r="I361" s="291"/>
      <c r="J361" s="291"/>
      <c r="K361" s="291">
        <v>0.02</v>
      </c>
      <c r="L361" s="291">
        <v>0.02</v>
      </c>
      <c r="M361" s="291">
        <v>0.02</v>
      </c>
      <c r="N361" s="291">
        <v>0.02</v>
      </c>
      <c r="O361" s="291"/>
      <c r="P361" s="291"/>
      <c r="Q361" s="291">
        <v>0</v>
      </c>
      <c r="R361" s="291">
        <v>0</v>
      </c>
      <c r="S361" s="291">
        <v>0.02</v>
      </c>
      <c r="T361" s="293">
        <v>0.02</v>
      </c>
      <c r="U361" s="281"/>
      <c r="X361" s="63">
        <v>12</v>
      </c>
    </row>
    <row r="362" spans="2:24">
      <c r="B362" s="136" t="s">
        <v>335</v>
      </c>
      <c r="C362" s="255" t="e">
        <f t="shared" si="41"/>
        <v>#N/A</v>
      </c>
      <c r="D362" s="291"/>
      <c r="E362" s="291">
        <v>0.02</v>
      </c>
      <c r="F362" s="277"/>
      <c r="G362" s="277"/>
      <c r="H362" s="277"/>
      <c r="I362" s="291"/>
      <c r="J362" s="291"/>
      <c r="K362" s="291">
        <v>0.02</v>
      </c>
      <c r="L362" s="291">
        <v>0.02</v>
      </c>
      <c r="M362" s="291">
        <v>0.02</v>
      </c>
      <c r="N362" s="291">
        <v>0.02</v>
      </c>
      <c r="O362" s="291"/>
      <c r="P362" s="291"/>
      <c r="Q362" s="291">
        <v>0</v>
      </c>
      <c r="R362" s="291">
        <v>0</v>
      </c>
      <c r="S362" s="291">
        <v>0.02</v>
      </c>
      <c r="T362" s="293">
        <v>0.02</v>
      </c>
      <c r="U362" s="281"/>
      <c r="X362" s="63">
        <v>13</v>
      </c>
    </row>
    <row r="363" spans="2:24">
      <c r="B363" s="136" t="s">
        <v>305</v>
      </c>
      <c r="C363" s="255" t="str">
        <f t="shared" si="41"/>
        <v>Light Commercial Truck</v>
      </c>
      <c r="D363" s="277"/>
      <c r="E363" s="291">
        <v>0.02</v>
      </c>
      <c r="F363" s="277"/>
      <c r="G363" s="277"/>
      <c r="H363" s="277"/>
      <c r="I363" s="277"/>
      <c r="J363" s="279"/>
      <c r="K363" s="291"/>
      <c r="L363" s="291"/>
      <c r="M363" s="291">
        <v>0.02</v>
      </c>
      <c r="N363" s="291">
        <v>0.02</v>
      </c>
      <c r="O363" s="277"/>
      <c r="P363" s="277"/>
      <c r="Q363" s="277"/>
      <c r="R363" s="279"/>
      <c r="S363" s="277"/>
      <c r="T363" s="293"/>
      <c r="U363" s="281"/>
      <c r="X363" s="63">
        <v>14</v>
      </c>
    </row>
    <row r="364" spans="2:24">
      <c r="B364" s="136" t="s">
        <v>336</v>
      </c>
      <c r="C364" s="255" t="e">
        <f t="shared" si="41"/>
        <v>#N/A</v>
      </c>
      <c r="D364" s="279"/>
      <c r="E364" s="291">
        <v>0.02</v>
      </c>
      <c r="F364" s="279"/>
      <c r="G364" s="279"/>
      <c r="H364" s="279"/>
      <c r="I364" s="279"/>
      <c r="J364" s="279"/>
      <c r="K364" s="291"/>
      <c r="L364" s="291"/>
      <c r="M364" s="291">
        <v>0.02</v>
      </c>
      <c r="N364" s="291">
        <v>0.02</v>
      </c>
      <c r="O364" s="277"/>
      <c r="P364" s="279"/>
      <c r="Q364" s="277"/>
      <c r="R364" s="279"/>
      <c r="S364" s="279"/>
      <c r="T364" s="293"/>
      <c r="U364" s="285"/>
      <c r="X364" s="63">
        <v>15</v>
      </c>
    </row>
    <row r="365" spans="2:24">
      <c r="B365" s="136" t="s">
        <v>337</v>
      </c>
      <c r="C365" s="255" t="e">
        <f t="shared" si="41"/>
        <v>#N/A</v>
      </c>
      <c r="D365" s="279"/>
      <c r="E365" s="291">
        <v>0.02</v>
      </c>
      <c r="F365" s="279"/>
      <c r="G365" s="279"/>
      <c r="H365" s="279"/>
      <c r="I365" s="279"/>
      <c r="J365" s="279"/>
      <c r="K365" s="291"/>
      <c r="L365" s="291"/>
      <c r="M365" s="291">
        <v>0.02</v>
      </c>
      <c r="N365" s="291">
        <v>0.02</v>
      </c>
      <c r="O365" s="277"/>
      <c r="P365" s="279"/>
      <c r="Q365" s="277"/>
      <c r="R365" s="279"/>
      <c r="S365" s="279"/>
      <c r="T365" s="293"/>
      <c r="U365" s="285"/>
      <c r="X365" s="63">
        <v>16</v>
      </c>
    </row>
    <row r="366" spans="2:24">
      <c r="B366" s="136" t="s">
        <v>303</v>
      </c>
      <c r="C366" s="255" t="str">
        <f t="shared" si="41"/>
        <v>Passenger Truck</v>
      </c>
      <c r="D366" s="279"/>
      <c r="E366" s="291">
        <v>0.02</v>
      </c>
      <c r="F366" s="279"/>
      <c r="G366" s="279"/>
      <c r="H366" s="279"/>
      <c r="I366" s="279"/>
      <c r="J366" s="279"/>
      <c r="K366" s="291"/>
      <c r="L366" s="291"/>
      <c r="M366" s="291">
        <v>0.02</v>
      </c>
      <c r="N366" s="291">
        <v>0.02</v>
      </c>
      <c r="O366" s="277"/>
      <c r="P366" s="279"/>
      <c r="Q366" s="279"/>
      <c r="R366" s="279"/>
      <c r="S366" s="279"/>
      <c r="T366" s="293"/>
      <c r="U366" s="285"/>
      <c r="X366" s="63">
        <v>17</v>
      </c>
    </row>
    <row r="367" spans="2:24">
      <c r="B367" s="136" t="s">
        <v>338</v>
      </c>
      <c r="C367" s="255" t="e">
        <f t="shared" si="41"/>
        <v>#N/A</v>
      </c>
      <c r="D367" s="279"/>
      <c r="E367" s="291">
        <v>0.02</v>
      </c>
      <c r="F367" s="279"/>
      <c r="G367" s="279"/>
      <c r="H367" s="279"/>
      <c r="I367" s="279"/>
      <c r="J367" s="279"/>
      <c r="K367" s="291"/>
      <c r="L367" s="291"/>
      <c r="M367" s="291">
        <v>0.02</v>
      </c>
      <c r="N367" s="291">
        <v>0.02</v>
      </c>
      <c r="O367" s="277"/>
      <c r="P367" s="279"/>
      <c r="Q367" s="277"/>
      <c r="R367" s="279"/>
      <c r="S367" s="279"/>
      <c r="T367" s="293"/>
      <c r="U367" s="285"/>
      <c r="X367" s="63">
        <v>18</v>
      </c>
    </row>
    <row r="368" spans="2:24">
      <c r="B368" s="136" t="s">
        <v>339</v>
      </c>
      <c r="C368" s="255" t="e">
        <f t="shared" si="41"/>
        <v>#N/A</v>
      </c>
      <c r="D368" s="279"/>
      <c r="E368" s="291">
        <v>0.02</v>
      </c>
      <c r="F368" s="279"/>
      <c r="G368" s="279"/>
      <c r="H368" s="279"/>
      <c r="I368" s="279"/>
      <c r="J368" s="279"/>
      <c r="K368" s="291"/>
      <c r="L368" s="291"/>
      <c r="M368" s="291">
        <v>0.02</v>
      </c>
      <c r="N368" s="291">
        <v>0.02</v>
      </c>
      <c r="O368" s="277"/>
      <c r="P368" s="279"/>
      <c r="Q368" s="277"/>
      <c r="R368" s="279"/>
      <c r="S368" s="279"/>
      <c r="T368" s="293"/>
      <c r="U368" s="285"/>
      <c r="X368" s="63">
        <v>19</v>
      </c>
    </row>
    <row r="369" spans="2:24">
      <c r="B369" s="136" t="s">
        <v>301</v>
      </c>
      <c r="C369" s="255" t="str">
        <f t="shared" si="41"/>
        <v>Passenger Car</v>
      </c>
      <c r="D369" s="279"/>
      <c r="E369" s="291">
        <v>0.02</v>
      </c>
      <c r="F369" s="279"/>
      <c r="G369" s="279"/>
      <c r="H369" s="279"/>
      <c r="I369" s="279"/>
      <c r="J369" s="279"/>
      <c r="K369" s="291"/>
      <c r="L369" s="291"/>
      <c r="M369" s="291">
        <v>0.02</v>
      </c>
      <c r="N369" s="291">
        <v>0.02</v>
      </c>
      <c r="O369" s="277"/>
      <c r="P369" s="279"/>
      <c r="Q369" s="279"/>
      <c r="R369" s="279"/>
      <c r="S369" s="279"/>
      <c r="T369" s="293"/>
      <c r="U369" s="285"/>
      <c r="X369" s="63">
        <v>20</v>
      </c>
    </row>
    <row r="370" spans="2:24">
      <c r="B370" s="136" t="s">
        <v>340</v>
      </c>
      <c r="C370" s="255" t="e">
        <f t="shared" si="41"/>
        <v>#N/A</v>
      </c>
      <c r="D370" s="279"/>
      <c r="E370" s="291">
        <v>0.02</v>
      </c>
      <c r="F370" s="279"/>
      <c r="G370" s="279"/>
      <c r="H370" s="279"/>
      <c r="I370" s="279"/>
      <c r="J370" s="279"/>
      <c r="K370" s="291"/>
      <c r="L370" s="291"/>
      <c r="M370" s="291">
        <v>0.02</v>
      </c>
      <c r="N370" s="291">
        <v>0.02</v>
      </c>
      <c r="O370" s="277"/>
      <c r="P370" s="279"/>
      <c r="Q370" s="277"/>
      <c r="R370" s="279"/>
      <c r="S370" s="279"/>
      <c r="T370" s="293"/>
      <c r="U370" s="285"/>
      <c r="X370" s="63">
        <v>21</v>
      </c>
    </row>
    <row r="371" spans="2:24">
      <c r="B371" s="136" t="s">
        <v>341</v>
      </c>
      <c r="C371" s="255" t="e">
        <f t="shared" si="41"/>
        <v>#N/A</v>
      </c>
      <c r="D371" s="279"/>
      <c r="E371" s="291">
        <v>0.02</v>
      </c>
      <c r="F371" s="279"/>
      <c r="G371" s="279"/>
      <c r="H371" s="279"/>
      <c r="I371" s="279"/>
      <c r="J371" s="279"/>
      <c r="K371" s="291"/>
      <c r="L371" s="291"/>
      <c r="M371" s="291">
        <v>0.02</v>
      </c>
      <c r="N371" s="291">
        <v>0.02</v>
      </c>
      <c r="O371" s="277"/>
      <c r="P371" s="279"/>
      <c r="Q371" s="279"/>
      <c r="R371" s="279"/>
      <c r="S371" s="279"/>
      <c r="T371" s="293"/>
      <c r="U371" s="285"/>
      <c r="X371" s="63">
        <v>22</v>
      </c>
    </row>
    <row r="372" spans="2:24">
      <c r="B372" s="136" t="s">
        <v>342</v>
      </c>
      <c r="C372" s="255" t="e">
        <f t="shared" si="41"/>
        <v>#N/A</v>
      </c>
      <c r="D372" s="277"/>
      <c r="E372" s="277"/>
      <c r="F372" s="277"/>
      <c r="G372" s="277"/>
      <c r="H372" s="277"/>
      <c r="I372" s="277"/>
      <c r="J372" s="279"/>
      <c r="K372" s="277"/>
      <c r="L372" s="277"/>
      <c r="M372" s="279"/>
      <c r="N372" s="279"/>
      <c r="O372" s="277"/>
      <c r="P372" s="277"/>
      <c r="Q372" s="277"/>
      <c r="R372" s="279"/>
      <c r="S372" s="277"/>
      <c r="T372" s="293"/>
      <c r="U372" s="281"/>
      <c r="X372" s="63">
        <v>23</v>
      </c>
    </row>
    <row r="373" spans="2:24" ht="16" thickBot="1">
      <c r="B373" s="143" t="s">
        <v>343</v>
      </c>
      <c r="C373" s="261" t="e">
        <f t="shared" si="41"/>
        <v>#N/A</v>
      </c>
      <c r="D373" s="286"/>
      <c r="E373" s="286"/>
      <c r="F373" s="286"/>
      <c r="G373" s="286"/>
      <c r="H373" s="286"/>
      <c r="I373" s="286"/>
      <c r="J373" s="286"/>
      <c r="K373" s="286"/>
      <c r="L373" s="286"/>
      <c r="M373" s="286"/>
      <c r="N373" s="286"/>
      <c r="O373" s="286"/>
      <c r="P373" s="286"/>
      <c r="Q373" s="286"/>
      <c r="R373" s="286"/>
      <c r="S373" s="286"/>
      <c r="T373" s="287"/>
      <c r="U373" s="288"/>
      <c r="X373" s="63">
        <v>24</v>
      </c>
    </row>
    <row r="374" spans="2:24">
      <c r="C374" s="132"/>
      <c r="D374" s="132"/>
      <c r="E374" s="132"/>
      <c r="F374" s="132"/>
      <c r="G374" s="132"/>
      <c r="H374" s="132"/>
      <c r="I374" s="132"/>
      <c r="J374" s="132"/>
      <c r="K374" s="132"/>
      <c r="L374" s="132"/>
      <c r="M374" s="132"/>
      <c r="N374" s="132"/>
      <c r="O374" s="132"/>
      <c r="P374" s="132"/>
      <c r="Q374" s="132"/>
      <c r="R374" s="132"/>
      <c r="S374" s="132"/>
      <c r="T374" s="132"/>
      <c r="U374" s="132"/>
      <c r="V374" s="132"/>
    </row>
    <row r="375" spans="2:24" ht="16" thickBot="1">
      <c r="B375" s="276" t="s">
        <v>350</v>
      </c>
      <c r="D375" s="63">
        <v>1</v>
      </c>
      <c r="E375" s="63">
        <f t="shared" ref="E375:T375" si="42">D375+1</f>
        <v>2</v>
      </c>
      <c r="F375" s="63">
        <f t="shared" si="42"/>
        <v>3</v>
      </c>
      <c r="G375" s="63">
        <f t="shared" si="42"/>
        <v>4</v>
      </c>
      <c r="H375" s="63">
        <f t="shared" si="42"/>
        <v>5</v>
      </c>
      <c r="I375" s="63">
        <f t="shared" si="42"/>
        <v>6</v>
      </c>
      <c r="J375" s="63">
        <f>T375+1</f>
        <v>17</v>
      </c>
      <c r="K375" s="63">
        <f>I375+1</f>
        <v>7</v>
      </c>
      <c r="L375" s="63">
        <f t="shared" si="42"/>
        <v>8</v>
      </c>
      <c r="M375" s="63">
        <f t="shared" si="42"/>
        <v>9</v>
      </c>
      <c r="N375" s="63">
        <f t="shared" si="42"/>
        <v>10</v>
      </c>
      <c r="O375" s="63">
        <f t="shared" si="42"/>
        <v>11</v>
      </c>
      <c r="P375" s="63">
        <f t="shared" si="42"/>
        <v>12</v>
      </c>
      <c r="Q375" s="63">
        <f t="shared" si="42"/>
        <v>13</v>
      </c>
      <c r="R375" s="63">
        <f t="shared" si="42"/>
        <v>14</v>
      </c>
      <c r="S375" s="63">
        <f t="shared" si="42"/>
        <v>15</v>
      </c>
      <c r="T375" s="63">
        <f t="shared" si="42"/>
        <v>16</v>
      </c>
      <c r="U375" s="63">
        <f>J375+1</f>
        <v>18</v>
      </c>
    </row>
    <row r="376" spans="2:24" ht="80" customHeight="1">
      <c r="B376" s="250" t="s">
        <v>318</v>
      </c>
      <c r="C376" s="251" t="s">
        <v>319</v>
      </c>
      <c r="D376" s="252" t="s">
        <v>4</v>
      </c>
      <c r="E376" s="252" t="s">
        <v>5</v>
      </c>
      <c r="F376" s="252" t="s">
        <v>320</v>
      </c>
      <c r="G376" s="252" t="s">
        <v>321</v>
      </c>
      <c r="H376" s="252" t="s">
        <v>322</v>
      </c>
      <c r="I376" s="252" t="s">
        <v>323</v>
      </c>
      <c r="J376" s="252" t="s">
        <v>324</v>
      </c>
      <c r="K376" s="252" t="s">
        <v>325</v>
      </c>
      <c r="L376" s="252" t="s">
        <v>326</v>
      </c>
      <c r="M376" s="252" t="s">
        <v>247</v>
      </c>
      <c r="N376" s="252" t="s">
        <v>249</v>
      </c>
      <c r="O376" s="252" t="s">
        <v>251</v>
      </c>
      <c r="P376" s="252" t="s">
        <v>253</v>
      </c>
      <c r="Q376" s="252" t="s">
        <v>255</v>
      </c>
      <c r="R376" s="252" t="s">
        <v>257</v>
      </c>
      <c r="S376" s="252" t="s">
        <v>327</v>
      </c>
      <c r="T376" s="253" t="s">
        <v>328</v>
      </c>
      <c r="U376" s="254" t="s">
        <v>329</v>
      </c>
      <c r="V376" s="63" t="s">
        <v>351</v>
      </c>
    </row>
    <row r="377" spans="2:24">
      <c r="B377" s="136" t="s">
        <v>316</v>
      </c>
      <c r="C377" s="255" t="str">
        <f t="shared" ref="C377:C400" si="43">INDEX($B$175:$B$184,MATCH(B377,$C$175:$C$184,0))</f>
        <v>Combination Long-Haul Truck</v>
      </c>
      <c r="D377" s="294">
        <f t="shared" ref="D377:U391" si="44">IF(D188&gt;0,$V377,0)</f>
        <v>0</v>
      </c>
      <c r="E377" s="294">
        <f t="shared" si="44"/>
        <v>170000</v>
      </c>
      <c r="F377" s="294">
        <f t="shared" si="44"/>
        <v>0</v>
      </c>
      <c r="G377" s="294">
        <f t="shared" si="44"/>
        <v>0</v>
      </c>
      <c r="H377" s="294">
        <f t="shared" si="44"/>
        <v>0</v>
      </c>
      <c r="I377" s="294">
        <f t="shared" si="44"/>
        <v>0</v>
      </c>
      <c r="J377" s="294">
        <f t="shared" si="44"/>
        <v>0</v>
      </c>
      <c r="K377" s="294">
        <f t="shared" si="44"/>
        <v>170000</v>
      </c>
      <c r="L377" s="294">
        <f t="shared" si="44"/>
        <v>0</v>
      </c>
      <c r="M377" s="294">
        <f t="shared" si="44"/>
        <v>170000</v>
      </c>
      <c r="N377" s="294">
        <f t="shared" si="44"/>
        <v>170000</v>
      </c>
      <c r="O377" s="294">
        <f t="shared" si="44"/>
        <v>0</v>
      </c>
      <c r="P377" s="294">
        <f t="shared" si="44"/>
        <v>0</v>
      </c>
      <c r="Q377" s="294">
        <f t="shared" si="44"/>
        <v>170000</v>
      </c>
      <c r="R377" s="294">
        <f t="shared" si="44"/>
        <v>170000</v>
      </c>
      <c r="S377" s="294">
        <f t="shared" si="44"/>
        <v>170000</v>
      </c>
      <c r="T377" s="295">
        <f t="shared" si="44"/>
        <v>0</v>
      </c>
      <c r="U377" s="296">
        <f t="shared" si="44"/>
        <v>0</v>
      </c>
      <c r="V377" s="63">
        <v>170000</v>
      </c>
      <c r="X377" s="63">
        <v>1</v>
      </c>
    </row>
    <row r="378" spans="2:24">
      <c r="B378" s="136" t="s">
        <v>314</v>
      </c>
      <c r="C378" s="255" t="str">
        <f t="shared" si="43"/>
        <v>Combination Short-Haul Truck</v>
      </c>
      <c r="D378" s="294">
        <f t="shared" si="44"/>
        <v>0</v>
      </c>
      <c r="E378" s="294">
        <f t="shared" si="44"/>
        <v>65000</v>
      </c>
      <c r="F378" s="294">
        <f t="shared" si="44"/>
        <v>0</v>
      </c>
      <c r="G378" s="294">
        <f t="shared" si="44"/>
        <v>0</v>
      </c>
      <c r="H378" s="294">
        <f t="shared" si="44"/>
        <v>0</v>
      </c>
      <c r="I378" s="294">
        <f t="shared" si="44"/>
        <v>0</v>
      </c>
      <c r="J378" s="294">
        <f t="shared" si="44"/>
        <v>0</v>
      </c>
      <c r="K378" s="294">
        <f t="shared" si="44"/>
        <v>65000</v>
      </c>
      <c r="L378" s="294">
        <f t="shared" si="44"/>
        <v>0</v>
      </c>
      <c r="M378" s="294">
        <f t="shared" si="44"/>
        <v>65000</v>
      </c>
      <c r="N378" s="294">
        <f t="shared" si="44"/>
        <v>65000</v>
      </c>
      <c r="O378" s="294">
        <f t="shared" si="44"/>
        <v>0</v>
      </c>
      <c r="P378" s="294">
        <f t="shared" si="44"/>
        <v>0</v>
      </c>
      <c r="Q378" s="294">
        <f t="shared" si="44"/>
        <v>65000</v>
      </c>
      <c r="R378" s="294">
        <f t="shared" si="44"/>
        <v>65000</v>
      </c>
      <c r="S378" s="294">
        <f t="shared" si="44"/>
        <v>65000</v>
      </c>
      <c r="T378" s="295">
        <f t="shared" si="44"/>
        <v>0</v>
      </c>
      <c r="U378" s="296">
        <f t="shared" si="44"/>
        <v>0</v>
      </c>
      <c r="V378" s="63">
        <v>65000</v>
      </c>
      <c r="X378" s="63">
        <v>2</v>
      </c>
    </row>
    <row r="379" spans="2:24">
      <c r="B379" s="136" t="s">
        <v>312</v>
      </c>
      <c r="C379" s="255" t="str">
        <f t="shared" si="43"/>
        <v>Single Unit Long-Haul Truck</v>
      </c>
      <c r="D379" s="294">
        <f t="shared" si="44"/>
        <v>0</v>
      </c>
      <c r="E379" s="294">
        <f t="shared" si="44"/>
        <v>23000</v>
      </c>
      <c r="F379" s="294">
        <f t="shared" si="44"/>
        <v>0</v>
      </c>
      <c r="G379" s="294">
        <f t="shared" si="44"/>
        <v>0</v>
      </c>
      <c r="H379" s="294">
        <f t="shared" si="44"/>
        <v>0</v>
      </c>
      <c r="I379" s="294">
        <f t="shared" si="44"/>
        <v>0</v>
      </c>
      <c r="J379" s="294">
        <f t="shared" si="44"/>
        <v>0</v>
      </c>
      <c r="K379" s="294">
        <f t="shared" si="44"/>
        <v>23000</v>
      </c>
      <c r="L379" s="294">
        <f t="shared" si="44"/>
        <v>0</v>
      </c>
      <c r="M379" s="294">
        <f t="shared" si="44"/>
        <v>23000</v>
      </c>
      <c r="N379" s="294">
        <f t="shared" si="44"/>
        <v>23000</v>
      </c>
      <c r="O379" s="294">
        <f t="shared" si="44"/>
        <v>0</v>
      </c>
      <c r="P379" s="294">
        <f t="shared" si="44"/>
        <v>0</v>
      </c>
      <c r="Q379" s="294">
        <f t="shared" si="44"/>
        <v>23000</v>
      </c>
      <c r="R379" s="294">
        <f t="shared" si="44"/>
        <v>23000</v>
      </c>
      <c r="S379" s="294">
        <f t="shared" si="44"/>
        <v>0</v>
      </c>
      <c r="T379" s="295">
        <f t="shared" si="44"/>
        <v>23000</v>
      </c>
      <c r="U379" s="296">
        <f t="shared" si="44"/>
        <v>0</v>
      </c>
      <c r="V379" s="63">
        <v>23000</v>
      </c>
      <c r="X379" s="63">
        <v>3</v>
      </c>
    </row>
    <row r="380" spans="2:24">
      <c r="B380" s="136" t="s">
        <v>310</v>
      </c>
      <c r="C380" s="255" t="str">
        <f t="shared" si="43"/>
        <v>Single Unit Short-Haul Truck</v>
      </c>
      <c r="D380" s="294">
        <f t="shared" si="44"/>
        <v>0</v>
      </c>
      <c r="E380" s="294">
        <f t="shared" si="44"/>
        <v>16500</v>
      </c>
      <c r="F380" s="294">
        <f t="shared" si="44"/>
        <v>0</v>
      </c>
      <c r="G380" s="294">
        <f t="shared" si="44"/>
        <v>0</v>
      </c>
      <c r="H380" s="294">
        <f t="shared" si="44"/>
        <v>0</v>
      </c>
      <c r="I380" s="294">
        <f t="shared" si="44"/>
        <v>16500</v>
      </c>
      <c r="J380" s="294">
        <f t="shared" si="44"/>
        <v>0</v>
      </c>
      <c r="K380" s="294">
        <f t="shared" si="44"/>
        <v>16500</v>
      </c>
      <c r="L380" s="294">
        <f t="shared" si="44"/>
        <v>0</v>
      </c>
      <c r="M380" s="294">
        <f t="shared" si="44"/>
        <v>16500</v>
      </c>
      <c r="N380" s="294">
        <f t="shared" si="44"/>
        <v>16500</v>
      </c>
      <c r="O380" s="294">
        <f t="shared" si="44"/>
        <v>0</v>
      </c>
      <c r="P380" s="294">
        <f t="shared" si="44"/>
        <v>0</v>
      </c>
      <c r="Q380" s="294">
        <f t="shared" si="44"/>
        <v>16500</v>
      </c>
      <c r="R380" s="294">
        <f t="shared" si="44"/>
        <v>16500</v>
      </c>
      <c r="S380" s="294">
        <f t="shared" si="44"/>
        <v>0</v>
      </c>
      <c r="T380" s="295">
        <f t="shared" si="44"/>
        <v>16500</v>
      </c>
      <c r="U380" s="296">
        <f t="shared" si="44"/>
        <v>0</v>
      </c>
      <c r="V380" s="63">
        <v>16500</v>
      </c>
      <c r="X380" s="63">
        <v>4</v>
      </c>
    </row>
    <row r="381" spans="2:24">
      <c r="B381" s="136" t="s">
        <v>330</v>
      </c>
      <c r="C381" s="255" t="e">
        <f t="shared" si="43"/>
        <v>#N/A</v>
      </c>
      <c r="D381" s="294">
        <f t="shared" si="44"/>
        <v>0</v>
      </c>
      <c r="E381" s="294">
        <f t="shared" si="44"/>
        <v>10000</v>
      </c>
      <c r="F381" s="294">
        <f t="shared" si="44"/>
        <v>0</v>
      </c>
      <c r="G381" s="294">
        <f t="shared" si="44"/>
        <v>0</v>
      </c>
      <c r="H381" s="294">
        <f t="shared" si="44"/>
        <v>0</v>
      </c>
      <c r="I381" s="294">
        <f t="shared" si="44"/>
        <v>0</v>
      </c>
      <c r="J381" s="294">
        <f t="shared" si="44"/>
        <v>0</v>
      </c>
      <c r="K381" s="294">
        <f t="shared" si="44"/>
        <v>0</v>
      </c>
      <c r="L381" s="294">
        <f t="shared" si="44"/>
        <v>0</v>
      </c>
      <c r="M381" s="294">
        <f t="shared" si="44"/>
        <v>10000</v>
      </c>
      <c r="N381" s="294">
        <f t="shared" si="44"/>
        <v>10000</v>
      </c>
      <c r="O381" s="294">
        <f t="shared" si="44"/>
        <v>0</v>
      </c>
      <c r="P381" s="294">
        <f t="shared" si="44"/>
        <v>0</v>
      </c>
      <c r="Q381" s="294">
        <f t="shared" si="44"/>
        <v>10000</v>
      </c>
      <c r="R381" s="294">
        <f t="shared" si="44"/>
        <v>10000</v>
      </c>
      <c r="S381" s="294">
        <f t="shared" si="44"/>
        <v>0</v>
      </c>
      <c r="T381" s="295">
        <f t="shared" si="44"/>
        <v>0</v>
      </c>
      <c r="U381" s="296">
        <f t="shared" si="44"/>
        <v>0</v>
      </c>
      <c r="V381" s="63">
        <v>10000</v>
      </c>
      <c r="X381" s="63">
        <v>5</v>
      </c>
    </row>
    <row r="382" spans="2:24">
      <c r="B382" s="136" t="s">
        <v>331</v>
      </c>
      <c r="C382" s="255" t="e">
        <f t="shared" si="43"/>
        <v>#N/A</v>
      </c>
      <c r="D382" s="294">
        <f t="shared" si="44"/>
        <v>0</v>
      </c>
      <c r="E382" s="294">
        <f t="shared" si="44"/>
        <v>9100</v>
      </c>
      <c r="F382" s="294">
        <f t="shared" si="44"/>
        <v>0</v>
      </c>
      <c r="G382" s="294">
        <f t="shared" si="44"/>
        <v>0</v>
      </c>
      <c r="H382" s="294">
        <f t="shared" si="44"/>
        <v>0</v>
      </c>
      <c r="I382" s="294">
        <f t="shared" si="44"/>
        <v>9100</v>
      </c>
      <c r="J382" s="294">
        <f t="shared" si="44"/>
        <v>0</v>
      </c>
      <c r="K382" s="294">
        <f t="shared" si="44"/>
        <v>0</v>
      </c>
      <c r="L382" s="294">
        <f t="shared" si="44"/>
        <v>0</v>
      </c>
      <c r="M382" s="294">
        <f t="shared" si="44"/>
        <v>9100</v>
      </c>
      <c r="N382" s="294">
        <f t="shared" si="44"/>
        <v>9100</v>
      </c>
      <c r="O382" s="294">
        <f t="shared" si="44"/>
        <v>0</v>
      </c>
      <c r="P382" s="294">
        <f t="shared" si="44"/>
        <v>0</v>
      </c>
      <c r="Q382" s="294">
        <f t="shared" si="44"/>
        <v>9100</v>
      </c>
      <c r="R382" s="294">
        <f t="shared" si="44"/>
        <v>9100</v>
      </c>
      <c r="S382" s="294">
        <f t="shared" si="44"/>
        <v>0</v>
      </c>
      <c r="T382" s="295">
        <f t="shared" si="44"/>
        <v>9100</v>
      </c>
      <c r="U382" s="296">
        <f t="shared" si="44"/>
        <v>0</v>
      </c>
      <c r="V382" s="63">
        <v>9100</v>
      </c>
      <c r="X382" s="63">
        <v>6</v>
      </c>
    </row>
    <row r="383" spans="2:24">
      <c r="B383" s="136" t="s">
        <v>332</v>
      </c>
      <c r="C383" s="255" t="e">
        <f t="shared" si="43"/>
        <v>#N/A</v>
      </c>
      <c r="D383" s="294">
        <f t="shared" si="44"/>
        <v>0</v>
      </c>
      <c r="E383" s="294">
        <f t="shared" si="44"/>
        <v>10700</v>
      </c>
      <c r="F383" s="294">
        <f t="shared" si="44"/>
        <v>0</v>
      </c>
      <c r="G383" s="294">
        <f t="shared" si="44"/>
        <v>0</v>
      </c>
      <c r="H383" s="294">
        <f t="shared" si="44"/>
        <v>0</v>
      </c>
      <c r="I383" s="294">
        <f t="shared" si="44"/>
        <v>0</v>
      </c>
      <c r="J383" s="294">
        <f t="shared" si="44"/>
        <v>0</v>
      </c>
      <c r="K383" s="294">
        <f t="shared" si="44"/>
        <v>0</v>
      </c>
      <c r="L383" s="294">
        <f t="shared" si="44"/>
        <v>0</v>
      </c>
      <c r="M383" s="294">
        <f t="shared" si="44"/>
        <v>10700</v>
      </c>
      <c r="N383" s="294">
        <f t="shared" si="44"/>
        <v>10700</v>
      </c>
      <c r="O383" s="294">
        <f t="shared" si="44"/>
        <v>0</v>
      </c>
      <c r="P383" s="294">
        <f t="shared" si="44"/>
        <v>0</v>
      </c>
      <c r="Q383" s="294">
        <f t="shared" si="44"/>
        <v>10700</v>
      </c>
      <c r="R383" s="294">
        <f t="shared" si="44"/>
        <v>10700</v>
      </c>
      <c r="S383" s="294">
        <f t="shared" si="44"/>
        <v>0</v>
      </c>
      <c r="T383" s="295">
        <f t="shared" si="44"/>
        <v>0</v>
      </c>
      <c r="U383" s="296">
        <f t="shared" si="44"/>
        <v>0</v>
      </c>
      <c r="V383" s="63">
        <v>10700</v>
      </c>
      <c r="X383" s="63">
        <v>7</v>
      </c>
    </row>
    <row r="384" spans="2:24">
      <c r="B384" s="136" t="s">
        <v>333</v>
      </c>
      <c r="C384" s="255" t="e">
        <f t="shared" si="43"/>
        <v>#N/A</v>
      </c>
      <c r="D384" s="294">
        <f t="shared" si="44"/>
        <v>0</v>
      </c>
      <c r="E384" s="294">
        <f t="shared" si="44"/>
        <v>0</v>
      </c>
      <c r="F384" s="294">
        <f t="shared" si="44"/>
        <v>0</v>
      </c>
      <c r="G384" s="294">
        <f t="shared" si="44"/>
        <v>0</v>
      </c>
      <c r="H384" s="294">
        <f t="shared" si="44"/>
        <v>0</v>
      </c>
      <c r="I384" s="294">
        <f t="shared" si="44"/>
        <v>0</v>
      </c>
      <c r="J384" s="294">
        <f t="shared" si="44"/>
        <v>0</v>
      </c>
      <c r="K384" s="294">
        <f t="shared" si="44"/>
        <v>0</v>
      </c>
      <c r="L384" s="294">
        <f t="shared" si="44"/>
        <v>0</v>
      </c>
      <c r="M384" s="294">
        <f t="shared" si="44"/>
        <v>0</v>
      </c>
      <c r="N384" s="294">
        <f t="shared" si="44"/>
        <v>0</v>
      </c>
      <c r="O384" s="294">
        <f t="shared" si="44"/>
        <v>0</v>
      </c>
      <c r="P384" s="294">
        <f t="shared" si="44"/>
        <v>0</v>
      </c>
      <c r="Q384" s="294">
        <f t="shared" si="44"/>
        <v>0</v>
      </c>
      <c r="R384" s="294">
        <f t="shared" si="44"/>
        <v>0</v>
      </c>
      <c r="S384" s="294">
        <f t="shared" si="44"/>
        <v>0</v>
      </c>
      <c r="T384" s="295">
        <f t="shared" si="44"/>
        <v>0</v>
      </c>
      <c r="U384" s="296">
        <f t="shared" si="44"/>
        <v>0</v>
      </c>
      <c r="X384" s="63">
        <v>8</v>
      </c>
    </row>
    <row r="385" spans="2:24">
      <c r="B385" s="136" t="s">
        <v>334</v>
      </c>
      <c r="C385" s="255" t="e">
        <f t="shared" si="43"/>
        <v>#N/A</v>
      </c>
      <c r="D385" s="294">
        <f t="shared" si="44"/>
        <v>0</v>
      </c>
      <c r="E385" s="294">
        <f t="shared" si="44"/>
        <v>12600</v>
      </c>
      <c r="F385" s="294">
        <f t="shared" si="44"/>
        <v>0</v>
      </c>
      <c r="G385" s="294">
        <f t="shared" si="44"/>
        <v>0</v>
      </c>
      <c r="H385" s="294">
        <f t="shared" si="44"/>
        <v>0</v>
      </c>
      <c r="I385" s="294">
        <f t="shared" si="44"/>
        <v>0</v>
      </c>
      <c r="J385" s="294">
        <f t="shared" si="44"/>
        <v>0</v>
      </c>
      <c r="K385" s="294">
        <f t="shared" si="44"/>
        <v>0</v>
      </c>
      <c r="L385" s="294">
        <f t="shared" si="44"/>
        <v>0</v>
      </c>
      <c r="M385" s="294">
        <f t="shared" si="44"/>
        <v>12600</v>
      </c>
      <c r="N385" s="294">
        <f t="shared" si="44"/>
        <v>12600</v>
      </c>
      <c r="O385" s="294">
        <f t="shared" si="44"/>
        <v>0</v>
      </c>
      <c r="P385" s="294">
        <f t="shared" si="44"/>
        <v>0</v>
      </c>
      <c r="Q385" s="294">
        <f t="shared" si="44"/>
        <v>12600</v>
      </c>
      <c r="R385" s="294">
        <f t="shared" si="44"/>
        <v>0</v>
      </c>
      <c r="S385" s="294">
        <f t="shared" si="44"/>
        <v>0</v>
      </c>
      <c r="T385" s="295">
        <f t="shared" si="44"/>
        <v>0</v>
      </c>
      <c r="U385" s="296">
        <f t="shared" si="44"/>
        <v>0</v>
      </c>
      <c r="V385" s="63">
        <v>12600</v>
      </c>
      <c r="X385" s="63">
        <v>9</v>
      </c>
    </row>
    <row r="386" spans="2:24">
      <c r="B386" s="136" t="s">
        <v>308</v>
      </c>
      <c r="C386" s="255" t="str">
        <f t="shared" si="43"/>
        <v>Refuse Truck</v>
      </c>
      <c r="D386" s="294">
        <f t="shared" si="44"/>
        <v>0</v>
      </c>
      <c r="E386" s="294">
        <f t="shared" si="44"/>
        <v>23400</v>
      </c>
      <c r="F386" s="294">
        <f t="shared" si="44"/>
        <v>0</v>
      </c>
      <c r="G386" s="294">
        <f t="shared" si="44"/>
        <v>0</v>
      </c>
      <c r="H386" s="294">
        <f t="shared" si="44"/>
        <v>0</v>
      </c>
      <c r="I386" s="294">
        <f t="shared" si="44"/>
        <v>23400</v>
      </c>
      <c r="J386" s="294">
        <f t="shared" si="44"/>
        <v>0</v>
      </c>
      <c r="K386" s="294">
        <f t="shared" si="44"/>
        <v>23400</v>
      </c>
      <c r="L386" s="294">
        <f t="shared" si="44"/>
        <v>23400</v>
      </c>
      <c r="M386" s="294">
        <f t="shared" si="44"/>
        <v>23400</v>
      </c>
      <c r="N386" s="294">
        <f t="shared" si="44"/>
        <v>23400</v>
      </c>
      <c r="O386" s="294">
        <f t="shared" si="44"/>
        <v>0</v>
      </c>
      <c r="P386" s="294">
        <f t="shared" si="44"/>
        <v>0</v>
      </c>
      <c r="Q386" s="294">
        <f t="shared" si="44"/>
        <v>23400</v>
      </c>
      <c r="R386" s="294">
        <f t="shared" si="44"/>
        <v>23400</v>
      </c>
      <c r="S386" s="294">
        <f t="shared" si="44"/>
        <v>0</v>
      </c>
      <c r="T386" s="295">
        <f t="shared" si="44"/>
        <v>23400</v>
      </c>
      <c r="U386" s="296">
        <f t="shared" si="44"/>
        <v>0</v>
      </c>
      <c r="V386" s="63">
        <v>23400</v>
      </c>
      <c r="X386" s="63">
        <v>10</v>
      </c>
    </row>
    <row r="387" spans="2:24">
      <c r="B387" s="136" t="s">
        <v>307</v>
      </c>
      <c r="C387" s="255" t="str">
        <f t="shared" si="43"/>
        <v>Transit Bus</v>
      </c>
      <c r="D387" s="294">
        <f t="shared" si="44"/>
        <v>0</v>
      </c>
      <c r="E387" s="294">
        <f t="shared" si="44"/>
        <v>35000</v>
      </c>
      <c r="F387" s="294">
        <f t="shared" si="44"/>
        <v>0</v>
      </c>
      <c r="G387" s="294">
        <f t="shared" si="44"/>
        <v>0</v>
      </c>
      <c r="H387" s="294">
        <f t="shared" si="44"/>
        <v>0</v>
      </c>
      <c r="I387" s="294">
        <f t="shared" si="44"/>
        <v>35000</v>
      </c>
      <c r="J387" s="294">
        <f t="shared" si="44"/>
        <v>35000</v>
      </c>
      <c r="K387" s="294">
        <f t="shared" si="44"/>
        <v>35000</v>
      </c>
      <c r="L387" s="294">
        <f t="shared" si="44"/>
        <v>0</v>
      </c>
      <c r="M387" s="294">
        <f t="shared" si="44"/>
        <v>35000</v>
      </c>
      <c r="N387" s="294">
        <f t="shared" si="44"/>
        <v>35000</v>
      </c>
      <c r="O387" s="294">
        <f t="shared" si="44"/>
        <v>0</v>
      </c>
      <c r="P387" s="294">
        <f t="shared" si="44"/>
        <v>0</v>
      </c>
      <c r="Q387" s="294">
        <f t="shared" si="44"/>
        <v>35000</v>
      </c>
      <c r="R387" s="294">
        <f t="shared" si="44"/>
        <v>35000</v>
      </c>
      <c r="S387" s="294">
        <f t="shared" si="44"/>
        <v>0</v>
      </c>
      <c r="T387" s="295">
        <f t="shared" si="44"/>
        <v>0</v>
      </c>
      <c r="U387" s="296">
        <f t="shared" si="44"/>
        <v>0</v>
      </c>
      <c r="V387" s="63">
        <v>35000</v>
      </c>
      <c r="X387" s="63">
        <v>11</v>
      </c>
    </row>
    <row r="388" spans="2:24">
      <c r="B388" s="136" t="s">
        <v>306</v>
      </c>
      <c r="C388" s="255" t="str">
        <f t="shared" si="43"/>
        <v>School Bus</v>
      </c>
      <c r="D388" s="294">
        <f t="shared" si="44"/>
        <v>0</v>
      </c>
      <c r="E388" s="294">
        <f t="shared" si="44"/>
        <v>15000</v>
      </c>
      <c r="F388" s="294">
        <f t="shared" si="44"/>
        <v>0</v>
      </c>
      <c r="G388" s="294">
        <f t="shared" si="44"/>
        <v>0</v>
      </c>
      <c r="H388" s="294">
        <f t="shared" si="44"/>
        <v>0</v>
      </c>
      <c r="I388" s="294">
        <f t="shared" si="44"/>
        <v>0</v>
      </c>
      <c r="J388" s="294">
        <f t="shared" si="44"/>
        <v>0</v>
      </c>
      <c r="K388" s="294">
        <f t="shared" si="44"/>
        <v>15000</v>
      </c>
      <c r="L388" s="294">
        <f t="shared" si="44"/>
        <v>0</v>
      </c>
      <c r="M388" s="294">
        <f t="shared" si="44"/>
        <v>15000</v>
      </c>
      <c r="N388" s="294">
        <f t="shared" si="44"/>
        <v>15000</v>
      </c>
      <c r="O388" s="294">
        <f t="shared" si="44"/>
        <v>0</v>
      </c>
      <c r="P388" s="294">
        <f t="shared" si="44"/>
        <v>15000</v>
      </c>
      <c r="Q388" s="294">
        <f t="shared" si="44"/>
        <v>15000</v>
      </c>
      <c r="R388" s="294">
        <f t="shared" si="44"/>
        <v>15000</v>
      </c>
      <c r="S388" s="294">
        <f t="shared" si="44"/>
        <v>0</v>
      </c>
      <c r="T388" s="295">
        <f t="shared" si="44"/>
        <v>0</v>
      </c>
      <c r="U388" s="296">
        <f t="shared" si="44"/>
        <v>0</v>
      </c>
      <c r="V388" s="63">
        <v>15000</v>
      </c>
      <c r="X388" s="63">
        <v>12</v>
      </c>
    </row>
    <row r="389" spans="2:24">
      <c r="B389" s="136" t="s">
        <v>335</v>
      </c>
      <c r="C389" s="255" t="e">
        <f t="shared" si="43"/>
        <v>#N/A</v>
      </c>
      <c r="D389" s="294">
        <f t="shared" si="44"/>
        <v>0</v>
      </c>
      <c r="E389" s="294">
        <f t="shared" si="44"/>
        <v>30000</v>
      </c>
      <c r="F389" s="294">
        <f t="shared" si="44"/>
        <v>0</v>
      </c>
      <c r="G389" s="294">
        <f t="shared" si="44"/>
        <v>0</v>
      </c>
      <c r="H389" s="294">
        <f t="shared" si="44"/>
        <v>0</v>
      </c>
      <c r="I389" s="294">
        <f t="shared" si="44"/>
        <v>0</v>
      </c>
      <c r="J389" s="294">
        <f t="shared" si="44"/>
        <v>0</v>
      </c>
      <c r="K389" s="294">
        <f t="shared" si="44"/>
        <v>30000</v>
      </c>
      <c r="L389" s="294">
        <f t="shared" si="44"/>
        <v>0</v>
      </c>
      <c r="M389" s="294">
        <f t="shared" si="44"/>
        <v>30000</v>
      </c>
      <c r="N389" s="294">
        <f t="shared" si="44"/>
        <v>30000</v>
      </c>
      <c r="O389" s="294">
        <f t="shared" si="44"/>
        <v>0</v>
      </c>
      <c r="P389" s="294">
        <f t="shared" si="44"/>
        <v>30000</v>
      </c>
      <c r="Q389" s="294">
        <f t="shared" si="44"/>
        <v>30000</v>
      </c>
      <c r="R389" s="294">
        <f t="shared" si="44"/>
        <v>0</v>
      </c>
      <c r="S389" s="294">
        <f t="shared" si="44"/>
        <v>0</v>
      </c>
      <c r="T389" s="295">
        <f t="shared" si="44"/>
        <v>0</v>
      </c>
      <c r="U389" s="296">
        <f t="shared" si="44"/>
        <v>0</v>
      </c>
      <c r="V389" s="63">
        <v>30000</v>
      </c>
      <c r="X389" s="63">
        <v>13</v>
      </c>
    </row>
    <row r="390" spans="2:24">
      <c r="B390" s="136" t="s">
        <v>305</v>
      </c>
      <c r="C390" s="255" t="str">
        <f t="shared" si="43"/>
        <v>Light Commercial Truck</v>
      </c>
      <c r="D390" s="294">
        <f t="shared" si="44"/>
        <v>24000</v>
      </c>
      <c r="E390" s="294">
        <f t="shared" si="44"/>
        <v>24000</v>
      </c>
      <c r="F390" s="294">
        <f t="shared" si="44"/>
        <v>0</v>
      </c>
      <c r="G390" s="294">
        <f t="shared" si="44"/>
        <v>0</v>
      </c>
      <c r="H390" s="294">
        <f t="shared" si="44"/>
        <v>0</v>
      </c>
      <c r="I390" s="294">
        <f t="shared" si="44"/>
        <v>0</v>
      </c>
      <c r="J390" s="294">
        <f t="shared" si="44"/>
        <v>0</v>
      </c>
      <c r="K390" s="294">
        <f t="shared" si="44"/>
        <v>0</v>
      </c>
      <c r="L390" s="294">
        <f t="shared" si="44"/>
        <v>0</v>
      </c>
      <c r="M390" s="294">
        <f t="shared" si="44"/>
        <v>24000</v>
      </c>
      <c r="N390" s="294">
        <f t="shared" si="44"/>
        <v>24000</v>
      </c>
      <c r="O390" s="294">
        <f t="shared" si="44"/>
        <v>24000</v>
      </c>
      <c r="P390" s="294">
        <f t="shared" si="44"/>
        <v>24000</v>
      </c>
      <c r="Q390" s="294">
        <f t="shared" si="44"/>
        <v>24000</v>
      </c>
      <c r="R390" s="294">
        <f t="shared" si="44"/>
        <v>0</v>
      </c>
      <c r="S390" s="294">
        <f t="shared" si="44"/>
        <v>0</v>
      </c>
      <c r="T390" s="295">
        <f t="shared" si="44"/>
        <v>0</v>
      </c>
      <c r="U390" s="296">
        <f t="shared" si="44"/>
        <v>0</v>
      </c>
      <c r="V390" s="63">
        <v>24000</v>
      </c>
      <c r="X390" s="63">
        <v>14</v>
      </c>
    </row>
    <row r="391" spans="2:24">
      <c r="B391" s="136" t="s">
        <v>336</v>
      </c>
      <c r="C391" s="255" t="e">
        <f t="shared" si="43"/>
        <v>#N/A</v>
      </c>
      <c r="D391" s="294">
        <f t="shared" si="44"/>
        <v>27000</v>
      </c>
      <c r="E391" s="294">
        <f t="shared" si="44"/>
        <v>27000</v>
      </c>
      <c r="F391" s="294">
        <f t="shared" si="44"/>
        <v>0</v>
      </c>
      <c r="G391" s="294">
        <f t="shared" ref="G391:U391" si="45">IF(G202&gt;0,$V391,0)</f>
        <v>0</v>
      </c>
      <c r="H391" s="294">
        <f t="shared" si="45"/>
        <v>0</v>
      </c>
      <c r="I391" s="294">
        <f t="shared" si="45"/>
        <v>27000</v>
      </c>
      <c r="J391" s="294">
        <f t="shared" si="45"/>
        <v>0</v>
      </c>
      <c r="K391" s="294">
        <f t="shared" si="45"/>
        <v>0</v>
      </c>
      <c r="L391" s="294">
        <f t="shared" si="45"/>
        <v>0</v>
      </c>
      <c r="M391" s="294">
        <f t="shared" si="45"/>
        <v>27000</v>
      </c>
      <c r="N391" s="294">
        <f t="shared" si="45"/>
        <v>27000</v>
      </c>
      <c r="O391" s="294">
        <f t="shared" si="45"/>
        <v>27000</v>
      </c>
      <c r="P391" s="294">
        <f t="shared" si="45"/>
        <v>27000</v>
      </c>
      <c r="Q391" s="294">
        <f t="shared" si="45"/>
        <v>27000</v>
      </c>
      <c r="R391" s="294">
        <f t="shared" si="45"/>
        <v>0</v>
      </c>
      <c r="S391" s="294">
        <f t="shared" si="45"/>
        <v>0</v>
      </c>
      <c r="T391" s="295">
        <f t="shared" si="45"/>
        <v>0</v>
      </c>
      <c r="U391" s="296">
        <f t="shared" si="45"/>
        <v>0</v>
      </c>
      <c r="V391" s="63">
        <v>27000</v>
      </c>
      <c r="X391" s="63">
        <v>15</v>
      </c>
    </row>
    <row r="392" spans="2:24">
      <c r="B392" s="136" t="s">
        <v>337</v>
      </c>
      <c r="C392" s="255" t="e">
        <f t="shared" si="43"/>
        <v>#N/A</v>
      </c>
      <c r="D392" s="294">
        <f t="shared" ref="D392:U399" si="46">IF(D203&gt;0,$V392,0)</f>
        <v>65000</v>
      </c>
      <c r="E392" s="294">
        <f t="shared" si="46"/>
        <v>65000</v>
      </c>
      <c r="F392" s="294">
        <f t="shared" si="46"/>
        <v>0</v>
      </c>
      <c r="G392" s="294">
        <f t="shared" si="46"/>
        <v>0</v>
      </c>
      <c r="H392" s="294">
        <f t="shared" si="46"/>
        <v>0</v>
      </c>
      <c r="I392" s="294">
        <f t="shared" si="46"/>
        <v>0</v>
      </c>
      <c r="J392" s="294">
        <f t="shared" si="46"/>
        <v>0</v>
      </c>
      <c r="K392" s="294">
        <f t="shared" si="46"/>
        <v>0</v>
      </c>
      <c r="L392" s="294">
        <f t="shared" si="46"/>
        <v>0</v>
      </c>
      <c r="M392" s="294">
        <f t="shared" si="46"/>
        <v>65000</v>
      </c>
      <c r="N392" s="294">
        <f t="shared" si="46"/>
        <v>65000</v>
      </c>
      <c r="O392" s="294">
        <f t="shared" si="46"/>
        <v>65000</v>
      </c>
      <c r="P392" s="294">
        <f t="shared" si="46"/>
        <v>65000</v>
      </c>
      <c r="Q392" s="294">
        <f t="shared" si="46"/>
        <v>65000</v>
      </c>
      <c r="R392" s="294">
        <f t="shared" si="46"/>
        <v>0</v>
      </c>
      <c r="S392" s="294">
        <f t="shared" si="46"/>
        <v>0</v>
      </c>
      <c r="T392" s="295">
        <f t="shared" si="46"/>
        <v>0</v>
      </c>
      <c r="U392" s="296">
        <f t="shared" si="46"/>
        <v>0</v>
      </c>
      <c r="V392" s="63">
        <v>65000</v>
      </c>
      <c r="X392" s="63">
        <v>16</v>
      </c>
    </row>
    <row r="393" spans="2:24">
      <c r="B393" s="136" t="s">
        <v>303</v>
      </c>
      <c r="C393" s="255" t="str">
        <f t="shared" si="43"/>
        <v>Passenger Truck</v>
      </c>
      <c r="D393" s="294">
        <f t="shared" si="46"/>
        <v>11400</v>
      </c>
      <c r="E393" s="294">
        <f t="shared" si="46"/>
        <v>11400</v>
      </c>
      <c r="F393" s="294">
        <f t="shared" si="46"/>
        <v>0</v>
      </c>
      <c r="G393" s="294">
        <f t="shared" si="46"/>
        <v>0</v>
      </c>
      <c r="H393" s="294">
        <f t="shared" si="46"/>
        <v>0</v>
      </c>
      <c r="I393" s="294">
        <f t="shared" si="46"/>
        <v>0</v>
      </c>
      <c r="J393" s="294">
        <f t="shared" si="46"/>
        <v>0</v>
      </c>
      <c r="K393" s="294">
        <f t="shared" si="46"/>
        <v>0</v>
      </c>
      <c r="L393" s="294">
        <f t="shared" si="46"/>
        <v>0</v>
      </c>
      <c r="M393" s="294">
        <f t="shared" si="46"/>
        <v>11400</v>
      </c>
      <c r="N393" s="294">
        <f t="shared" si="46"/>
        <v>11400</v>
      </c>
      <c r="O393" s="294">
        <f t="shared" si="46"/>
        <v>11400</v>
      </c>
      <c r="P393" s="294">
        <f t="shared" si="46"/>
        <v>11400</v>
      </c>
      <c r="Q393" s="294">
        <f t="shared" si="46"/>
        <v>11400</v>
      </c>
      <c r="R393" s="294">
        <f t="shared" si="46"/>
        <v>0</v>
      </c>
      <c r="S393" s="294">
        <f t="shared" si="46"/>
        <v>0</v>
      </c>
      <c r="T393" s="295">
        <f t="shared" si="46"/>
        <v>0</v>
      </c>
      <c r="U393" s="296">
        <f t="shared" si="46"/>
        <v>0</v>
      </c>
      <c r="V393" s="63">
        <v>11400</v>
      </c>
      <c r="X393" s="63">
        <v>17</v>
      </c>
    </row>
    <row r="394" spans="2:24">
      <c r="B394" s="136" t="s">
        <v>338</v>
      </c>
      <c r="C394" s="255" t="e">
        <f t="shared" si="43"/>
        <v>#N/A</v>
      </c>
      <c r="D394" s="294">
        <f t="shared" si="46"/>
        <v>13000</v>
      </c>
      <c r="E394" s="294">
        <f t="shared" si="46"/>
        <v>13000</v>
      </c>
      <c r="F394" s="294">
        <f t="shared" si="46"/>
        <v>13000</v>
      </c>
      <c r="G394" s="294">
        <f t="shared" si="46"/>
        <v>0</v>
      </c>
      <c r="H394" s="294">
        <f t="shared" si="46"/>
        <v>0</v>
      </c>
      <c r="I394" s="294">
        <f t="shared" si="46"/>
        <v>13000</v>
      </c>
      <c r="J394" s="294">
        <f t="shared" si="46"/>
        <v>13000</v>
      </c>
      <c r="K394" s="294">
        <f t="shared" si="46"/>
        <v>0</v>
      </c>
      <c r="L394" s="294">
        <f t="shared" si="46"/>
        <v>0</v>
      </c>
      <c r="M394" s="294">
        <f t="shared" si="46"/>
        <v>13000</v>
      </c>
      <c r="N394" s="294">
        <f t="shared" si="46"/>
        <v>13000</v>
      </c>
      <c r="O394" s="294">
        <f t="shared" si="46"/>
        <v>13000</v>
      </c>
      <c r="P394" s="294">
        <f t="shared" si="46"/>
        <v>13000</v>
      </c>
      <c r="Q394" s="294">
        <f t="shared" si="46"/>
        <v>13000</v>
      </c>
      <c r="R394" s="294">
        <f t="shared" si="46"/>
        <v>0</v>
      </c>
      <c r="S394" s="294">
        <f t="shared" si="46"/>
        <v>0</v>
      </c>
      <c r="T394" s="295">
        <f t="shared" si="46"/>
        <v>0</v>
      </c>
      <c r="U394" s="296">
        <f t="shared" si="46"/>
        <v>0</v>
      </c>
      <c r="V394" s="63">
        <v>13000</v>
      </c>
      <c r="X394" s="63">
        <v>18</v>
      </c>
    </row>
    <row r="395" spans="2:24">
      <c r="B395" s="136" t="s">
        <v>339</v>
      </c>
      <c r="C395" s="255" t="e">
        <f t="shared" si="43"/>
        <v>#N/A</v>
      </c>
      <c r="D395" s="294">
        <f t="shared" si="46"/>
        <v>65000</v>
      </c>
      <c r="E395" s="294">
        <f t="shared" si="46"/>
        <v>65000</v>
      </c>
      <c r="F395" s="294">
        <f t="shared" si="46"/>
        <v>65000</v>
      </c>
      <c r="G395" s="294">
        <f t="shared" si="46"/>
        <v>0</v>
      </c>
      <c r="H395" s="294">
        <f t="shared" si="46"/>
        <v>0</v>
      </c>
      <c r="I395" s="294">
        <f t="shared" si="46"/>
        <v>65000</v>
      </c>
      <c r="J395" s="294">
        <f t="shared" si="46"/>
        <v>65000</v>
      </c>
      <c r="K395" s="294">
        <f t="shared" si="46"/>
        <v>0</v>
      </c>
      <c r="L395" s="294">
        <f t="shared" si="46"/>
        <v>0</v>
      </c>
      <c r="M395" s="294">
        <f t="shared" si="46"/>
        <v>65000</v>
      </c>
      <c r="N395" s="294">
        <f t="shared" si="46"/>
        <v>65000</v>
      </c>
      <c r="O395" s="294">
        <f t="shared" si="46"/>
        <v>65000</v>
      </c>
      <c r="P395" s="294">
        <f t="shared" si="46"/>
        <v>65000</v>
      </c>
      <c r="Q395" s="294">
        <f t="shared" si="46"/>
        <v>65000</v>
      </c>
      <c r="R395" s="294">
        <f t="shared" si="46"/>
        <v>0</v>
      </c>
      <c r="S395" s="294">
        <f t="shared" si="46"/>
        <v>0</v>
      </c>
      <c r="T395" s="295">
        <f t="shared" si="46"/>
        <v>0</v>
      </c>
      <c r="U395" s="296">
        <f t="shared" si="46"/>
        <v>0</v>
      </c>
      <c r="V395" s="63">
        <v>65000</v>
      </c>
      <c r="X395" s="63">
        <v>19</v>
      </c>
    </row>
    <row r="396" spans="2:24">
      <c r="B396" s="136" t="s">
        <v>301</v>
      </c>
      <c r="C396" s="255" t="str">
        <f t="shared" si="43"/>
        <v>Passenger Car</v>
      </c>
      <c r="D396" s="294">
        <f t="shared" si="46"/>
        <v>12400</v>
      </c>
      <c r="E396" s="294">
        <f t="shared" si="46"/>
        <v>12400</v>
      </c>
      <c r="F396" s="294">
        <f t="shared" si="46"/>
        <v>12400</v>
      </c>
      <c r="G396" s="294">
        <f t="shared" si="46"/>
        <v>12400</v>
      </c>
      <c r="H396" s="294">
        <f t="shared" si="46"/>
        <v>12400</v>
      </c>
      <c r="I396" s="294">
        <f t="shared" si="46"/>
        <v>12400</v>
      </c>
      <c r="J396" s="294">
        <f t="shared" si="46"/>
        <v>12400</v>
      </c>
      <c r="K396" s="294">
        <f t="shared" si="46"/>
        <v>0</v>
      </c>
      <c r="L396" s="294">
        <f t="shared" si="46"/>
        <v>0</v>
      </c>
      <c r="M396" s="294">
        <f t="shared" si="46"/>
        <v>12400</v>
      </c>
      <c r="N396" s="294">
        <f t="shared" si="46"/>
        <v>12400</v>
      </c>
      <c r="O396" s="294">
        <f t="shared" si="46"/>
        <v>12400</v>
      </c>
      <c r="P396" s="294">
        <f t="shared" si="46"/>
        <v>12400</v>
      </c>
      <c r="Q396" s="294">
        <f t="shared" si="46"/>
        <v>12400</v>
      </c>
      <c r="R396" s="294">
        <f t="shared" si="46"/>
        <v>0</v>
      </c>
      <c r="S396" s="294">
        <f t="shared" si="46"/>
        <v>0</v>
      </c>
      <c r="T396" s="295">
        <f t="shared" si="46"/>
        <v>0</v>
      </c>
      <c r="U396" s="296">
        <f t="shared" si="46"/>
        <v>0</v>
      </c>
      <c r="V396" s="63">
        <v>12400</v>
      </c>
      <c r="X396" s="63">
        <v>20</v>
      </c>
    </row>
    <row r="397" spans="2:24">
      <c r="B397" s="136" t="s">
        <v>340</v>
      </c>
      <c r="C397" s="255" t="e">
        <f t="shared" si="43"/>
        <v>#N/A</v>
      </c>
      <c r="D397" s="294">
        <f t="shared" si="46"/>
        <v>65000</v>
      </c>
      <c r="E397" s="294">
        <f t="shared" si="46"/>
        <v>65000</v>
      </c>
      <c r="F397" s="294">
        <f t="shared" si="46"/>
        <v>65000</v>
      </c>
      <c r="G397" s="294">
        <f t="shared" si="46"/>
        <v>65000</v>
      </c>
      <c r="H397" s="294">
        <f t="shared" si="46"/>
        <v>65000</v>
      </c>
      <c r="I397" s="294">
        <f t="shared" si="46"/>
        <v>65000</v>
      </c>
      <c r="J397" s="294">
        <f t="shared" si="46"/>
        <v>65000</v>
      </c>
      <c r="K397" s="294">
        <f t="shared" si="46"/>
        <v>0</v>
      </c>
      <c r="L397" s="294">
        <f t="shared" si="46"/>
        <v>0</v>
      </c>
      <c r="M397" s="294">
        <f t="shared" si="46"/>
        <v>65000</v>
      </c>
      <c r="N397" s="294">
        <f t="shared" si="46"/>
        <v>65000</v>
      </c>
      <c r="O397" s="294">
        <f t="shared" si="46"/>
        <v>65000</v>
      </c>
      <c r="P397" s="294">
        <f t="shared" si="46"/>
        <v>65000</v>
      </c>
      <c r="Q397" s="294">
        <f t="shared" si="46"/>
        <v>65000</v>
      </c>
      <c r="R397" s="294">
        <f t="shared" si="46"/>
        <v>0</v>
      </c>
      <c r="S397" s="294">
        <f t="shared" si="46"/>
        <v>0</v>
      </c>
      <c r="T397" s="295">
        <f t="shared" si="46"/>
        <v>0</v>
      </c>
      <c r="U397" s="296">
        <f t="shared" si="46"/>
        <v>0</v>
      </c>
      <c r="V397" s="63">
        <v>65000</v>
      </c>
      <c r="X397" s="63">
        <v>21</v>
      </c>
    </row>
    <row r="398" spans="2:24">
      <c r="B398" s="136" t="s">
        <v>341</v>
      </c>
      <c r="C398" s="255" t="e">
        <f t="shared" si="43"/>
        <v>#N/A</v>
      </c>
      <c r="D398" s="294">
        <f t="shared" si="46"/>
        <v>20000</v>
      </c>
      <c r="E398" s="294">
        <f t="shared" si="46"/>
        <v>20000</v>
      </c>
      <c r="F398" s="294">
        <f t="shared" si="46"/>
        <v>20000</v>
      </c>
      <c r="G398" s="294">
        <f t="shared" si="46"/>
        <v>20000</v>
      </c>
      <c r="H398" s="294">
        <f t="shared" si="46"/>
        <v>20000</v>
      </c>
      <c r="I398" s="294">
        <f t="shared" si="46"/>
        <v>20000</v>
      </c>
      <c r="J398" s="294">
        <f t="shared" si="46"/>
        <v>20000</v>
      </c>
      <c r="K398" s="294">
        <f t="shared" si="46"/>
        <v>0</v>
      </c>
      <c r="L398" s="294">
        <f t="shared" si="46"/>
        <v>0</v>
      </c>
      <c r="M398" s="294">
        <f t="shared" si="46"/>
        <v>20000</v>
      </c>
      <c r="N398" s="294">
        <f t="shared" si="46"/>
        <v>20000</v>
      </c>
      <c r="O398" s="294">
        <f t="shared" si="46"/>
        <v>20000</v>
      </c>
      <c r="P398" s="294">
        <f t="shared" si="46"/>
        <v>20000</v>
      </c>
      <c r="Q398" s="294">
        <f t="shared" si="46"/>
        <v>20000</v>
      </c>
      <c r="R398" s="294">
        <f t="shared" si="46"/>
        <v>0</v>
      </c>
      <c r="S398" s="294">
        <f t="shared" si="46"/>
        <v>0</v>
      </c>
      <c r="T398" s="295">
        <f t="shared" si="46"/>
        <v>0</v>
      </c>
      <c r="U398" s="296">
        <f t="shared" si="46"/>
        <v>0</v>
      </c>
      <c r="V398" s="63">
        <v>20000</v>
      </c>
      <c r="X398" s="63">
        <v>22</v>
      </c>
    </row>
    <row r="399" spans="2:24">
      <c r="B399" s="136" t="s">
        <v>342</v>
      </c>
      <c r="C399" s="255" t="e">
        <f t="shared" si="43"/>
        <v>#N/A</v>
      </c>
      <c r="D399" s="294">
        <f t="shared" si="46"/>
        <v>1000</v>
      </c>
      <c r="E399" s="294">
        <f t="shared" si="46"/>
        <v>0</v>
      </c>
      <c r="F399" s="294">
        <f t="shared" si="46"/>
        <v>0</v>
      </c>
      <c r="G399" s="294">
        <f t="shared" si="46"/>
        <v>0</v>
      </c>
      <c r="H399" s="294">
        <f t="shared" si="46"/>
        <v>0</v>
      </c>
      <c r="I399" s="294">
        <f t="shared" si="46"/>
        <v>1000</v>
      </c>
      <c r="J399" s="294">
        <f t="shared" si="46"/>
        <v>0</v>
      </c>
      <c r="K399" s="294">
        <f t="shared" si="46"/>
        <v>0</v>
      </c>
      <c r="L399" s="294">
        <f t="shared" si="46"/>
        <v>0</v>
      </c>
      <c r="M399" s="294">
        <f t="shared" si="46"/>
        <v>0</v>
      </c>
      <c r="N399" s="294">
        <f t="shared" si="46"/>
        <v>0</v>
      </c>
      <c r="O399" s="294">
        <f t="shared" si="46"/>
        <v>1000</v>
      </c>
      <c r="P399" s="294">
        <f t="shared" si="46"/>
        <v>0</v>
      </c>
      <c r="Q399" s="294">
        <f t="shared" si="46"/>
        <v>0</v>
      </c>
      <c r="R399" s="294">
        <f t="shared" si="46"/>
        <v>0</v>
      </c>
      <c r="S399" s="294">
        <f t="shared" si="46"/>
        <v>0</v>
      </c>
      <c r="T399" s="295">
        <f t="shared" si="46"/>
        <v>0</v>
      </c>
      <c r="U399" s="296">
        <f t="shared" si="46"/>
        <v>0</v>
      </c>
      <c r="V399" s="63">
        <v>1000</v>
      </c>
      <c r="X399" s="63">
        <v>23</v>
      </c>
    </row>
    <row r="400" spans="2:24" ht="16" thickBot="1">
      <c r="B400" s="143" t="s">
        <v>343</v>
      </c>
      <c r="C400" s="261" t="e">
        <f t="shared" si="43"/>
        <v>#N/A</v>
      </c>
      <c r="D400" s="297"/>
      <c r="E400" s="297"/>
      <c r="F400" s="297"/>
      <c r="G400" s="297"/>
      <c r="H400" s="297"/>
      <c r="I400" s="297"/>
      <c r="J400" s="297"/>
      <c r="K400" s="297"/>
      <c r="L400" s="297"/>
      <c r="M400" s="297"/>
      <c r="N400" s="297"/>
      <c r="O400" s="297"/>
      <c r="P400" s="297"/>
      <c r="Q400" s="297"/>
      <c r="R400" s="297"/>
      <c r="S400" s="297"/>
      <c r="T400" s="298"/>
      <c r="U400" s="299"/>
      <c r="X400" s="63">
        <v>24</v>
      </c>
    </row>
    <row r="401" spans="2:24">
      <c r="C401" s="132"/>
      <c r="D401" s="132"/>
      <c r="E401" s="300"/>
      <c r="F401" s="300"/>
      <c r="G401" s="300"/>
      <c r="H401" s="300"/>
      <c r="I401" s="300"/>
      <c r="J401" s="300"/>
      <c r="K401" s="300"/>
      <c r="L401" s="300"/>
      <c r="M401" s="300"/>
      <c r="N401" s="300"/>
      <c r="O401" s="300"/>
      <c r="P401" s="300"/>
      <c r="Q401" s="300"/>
      <c r="R401" s="300"/>
      <c r="S401" s="300"/>
      <c r="T401" s="300"/>
      <c r="U401" s="300"/>
      <c r="V401" s="300"/>
    </row>
    <row r="402" spans="2:24" ht="16" thickBot="1">
      <c r="B402" s="244" t="s">
        <v>352</v>
      </c>
      <c r="D402" s="63">
        <v>1</v>
      </c>
      <c r="E402" s="63">
        <f t="shared" ref="E402:T402" si="47">D402+1</f>
        <v>2</v>
      </c>
      <c r="F402" s="63">
        <f t="shared" si="47"/>
        <v>3</v>
      </c>
      <c r="G402" s="63">
        <f t="shared" si="47"/>
        <v>4</v>
      </c>
      <c r="H402" s="63">
        <f t="shared" si="47"/>
        <v>5</v>
      </c>
      <c r="I402" s="63">
        <f t="shared" si="47"/>
        <v>6</v>
      </c>
      <c r="J402" s="63">
        <f>T402+1</f>
        <v>17</v>
      </c>
      <c r="K402" s="63">
        <f>I402+1</f>
        <v>7</v>
      </c>
      <c r="L402" s="63">
        <f t="shared" si="47"/>
        <v>8</v>
      </c>
      <c r="M402" s="63">
        <f t="shared" si="47"/>
        <v>9</v>
      </c>
      <c r="N402" s="63">
        <f t="shared" si="47"/>
        <v>10</v>
      </c>
      <c r="O402" s="63">
        <f t="shared" si="47"/>
        <v>11</v>
      </c>
      <c r="P402" s="63">
        <f t="shared" si="47"/>
        <v>12</v>
      </c>
      <c r="Q402" s="63">
        <f t="shared" si="47"/>
        <v>13</v>
      </c>
      <c r="R402" s="63">
        <f t="shared" si="47"/>
        <v>14</v>
      </c>
      <c r="S402" s="63">
        <f t="shared" si="47"/>
        <v>15</v>
      </c>
      <c r="T402" s="63">
        <f t="shared" si="47"/>
        <v>16</v>
      </c>
      <c r="U402" s="63">
        <f>J402+1</f>
        <v>18</v>
      </c>
      <c r="V402" s="300"/>
    </row>
    <row r="403" spans="2:24" ht="80" customHeight="1">
      <c r="B403" s="250" t="s">
        <v>318</v>
      </c>
      <c r="C403" s="251" t="s">
        <v>319</v>
      </c>
      <c r="D403" s="252" t="s">
        <v>4</v>
      </c>
      <c r="E403" s="252" t="s">
        <v>5</v>
      </c>
      <c r="F403" s="252" t="s">
        <v>320</v>
      </c>
      <c r="G403" s="252" t="s">
        <v>321</v>
      </c>
      <c r="H403" s="252" t="s">
        <v>322</v>
      </c>
      <c r="I403" s="252" t="s">
        <v>323</v>
      </c>
      <c r="J403" s="252" t="s">
        <v>324</v>
      </c>
      <c r="K403" s="252" t="s">
        <v>325</v>
      </c>
      <c r="L403" s="252" t="s">
        <v>326</v>
      </c>
      <c r="M403" s="252" t="s">
        <v>247</v>
      </c>
      <c r="N403" s="252" t="s">
        <v>249</v>
      </c>
      <c r="O403" s="252" t="s">
        <v>251</v>
      </c>
      <c r="P403" s="252" t="s">
        <v>253</v>
      </c>
      <c r="Q403" s="252" t="s">
        <v>255</v>
      </c>
      <c r="R403" s="252" t="s">
        <v>257</v>
      </c>
      <c r="S403" s="252" t="s">
        <v>327</v>
      </c>
      <c r="T403" s="253" t="s">
        <v>328</v>
      </c>
      <c r="U403" s="254" t="s">
        <v>329</v>
      </c>
    </row>
    <row r="404" spans="2:24">
      <c r="B404" s="136" t="s">
        <v>316</v>
      </c>
      <c r="C404" s="255" t="str">
        <f t="shared" ref="C404:C427" si="48">INDEX($B$175:$B$184,MATCH(B404,$C$175:$C$184,0))</f>
        <v>Combination Long-Haul Truck</v>
      </c>
      <c r="D404" s="301"/>
      <c r="E404" s="301">
        <f>$D$997</f>
        <v>0.19</v>
      </c>
      <c r="F404" s="301"/>
      <c r="G404" s="301"/>
      <c r="H404" s="301"/>
      <c r="I404" s="301">
        <f>$D$1094</f>
        <v>0.17299999999999999</v>
      </c>
      <c r="J404" s="301">
        <f>I404</f>
        <v>0.17299999999999999</v>
      </c>
      <c r="K404" s="301">
        <f>$D$997+$E$1089</f>
        <v>0.18099999999999999</v>
      </c>
      <c r="L404" s="301">
        <f>$D$997+$E$1089</f>
        <v>0.18099999999999999</v>
      </c>
      <c r="M404" s="301">
        <f>$D$997</f>
        <v>0.19</v>
      </c>
      <c r="N404" s="301">
        <f>$D$997</f>
        <v>0.19</v>
      </c>
      <c r="O404" s="301"/>
      <c r="P404" s="301"/>
      <c r="Q404" s="301">
        <f>$D$1003</f>
        <v>0.19311111111111109</v>
      </c>
      <c r="R404" s="301">
        <f>$D$1003</f>
        <v>0.19311111111111109</v>
      </c>
      <c r="S404" s="301">
        <f>$D$1010</f>
        <v>0.19600000000000001</v>
      </c>
      <c r="T404" s="302"/>
      <c r="U404" s="303"/>
      <c r="X404" s="63">
        <v>1</v>
      </c>
    </row>
    <row r="405" spans="2:24">
      <c r="B405" s="136" t="s">
        <v>314</v>
      </c>
      <c r="C405" s="255" t="str">
        <f t="shared" si="48"/>
        <v>Combination Short-Haul Truck</v>
      </c>
      <c r="D405" s="301"/>
      <c r="E405" s="301">
        <f>$D$997</f>
        <v>0.19</v>
      </c>
      <c r="F405" s="301"/>
      <c r="G405" s="301"/>
      <c r="H405" s="301"/>
      <c r="I405" s="301">
        <f>$D$1094</f>
        <v>0.17299999999999999</v>
      </c>
      <c r="J405" s="301">
        <f t="shared" ref="J405:J413" si="49">I405</f>
        <v>0.17299999999999999</v>
      </c>
      <c r="K405" s="301">
        <f>$D$997+$E$1089</f>
        <v>0.18099999999999999</v>
      </c>
      <c r="L405" s="301">
        <f>$D$997+$E$1089</f>
        <v>0.18099999999999999</v>
      </c>
      <c r="M405" s="301">
        <f>$D$997</f>
        <v>0.19</v>
      </c>
      <c r="N405" s="301">
        <f>$D$997</f>
        <v>0.19</v>
      </c>
      <c r="O405" s="301"/>
      <c r="P405" s="301"/>
      <c r="Q405" s="301">
        <f>$D$1003</f>
        <v>0.19311111111111109</v>
      </c>
      <c r="R405" s="301">
        <f>$D$1003</f>
        <v>0.19311111111111109</v>
      </c>
      <c r="S405" s="301">
        <f>$D$1010+$D$1009</f>
        <v>0.20200000000000001</v>
      </c>
      <c r="T405" s="302"/>
      <c r="U405" s="303"/>
      <c r="X405" s="63">
        <v>2</v>
      </c>
    </row>
    <row r="406" spans="2:24">
      <c r="B406" s="136" t="s">
        <v>312</v>
      </c>
      <c r="C406" s="255" t="str">
        <f t="shared" si="48"/>
        <v>Single Unit Long-Haul Truck</v>
      </c>
      <c r="D406" s="301">
        <f>$D$1073</f>
        <v>0.20400000000000001</v>
      </c>
      <c r="E406" s="301">
        <f>$D$1073</f>
        <v>0.20400000000000001</v>
      </c>
      <c r="F406" s="301"/>
      <c r="G406" s="301"/>
      <c r="H406" s="301"/>
      <c r="I406" s="301">
        <f>$D$1093</f>
        <v>0.16200000000000003</v>
      </c>
      <c r="J406" s="301">
        <f t="shared" si="49"/>
        <v>0.16200000000000003</v>
      </c>
      <c r="K406" s="301">
        <f>$D$1088</f>
        <v>0.18400000000000002</v>
      </c>
      <c r="L406" s="301">
        <f>$D$1088</f>
        <v>0.18400000000000002</v>
      </c>
      <c r="M406" s="301">
        <f>$D$1073</f>
        <v>0.20400000000000001</v>
      </c>
      <c r="N406" s="301">
        <f>$D$1073</f>
        <v>0.20400000000000001</v>
      </c>
      <c r="O406" s="301">
        <f>$D$1073</f>
        <v>0.20400000000000001</v>
      </c>
      <c r="P406" s="301">
        <f>$D$1073</f>
        <v>0.20400000000000001</v>
      </c>
      <c r="Q406" s="301">
        <f>$D$1078</f>
        <v>0.224</v>
      </c>
      <c r="R406" s="301">
        <f>$D$1078</f>
        <v>0.224</v>
      </c>
      <c r="S406" s="301">
        <f>$D$1078+$D$1009</f>
        <v>0.23</v>
      </c>
      <c r="T406" s="302"/>
      <c r="U406" s="303"/>
      <c r="X406" s="63">
        <v>3</v>
      </c>
    </row>
    <row r="407" spans="2:24">
      <c r="B407" s="136" t="s">
        <v>310</v>
      </c>
      <c r="C407" s="255" t="str">
        <f t="shared" si="48"/>
        <v>Single Unit Short-Haul Truck</v>
      </c>
      <c r="D407" s="301">
        <f>$D$1071</f>
        <v>0.20100000000000001</v>
      </c>
      <c r="E407" s="301">
        <f>$D$1071</f>
        <v>0.20100000000000001</v>
      </c>
      <c r="F407" s="301"/>
      <c r="G407" s="301"/>
      <c r="H407" s="301"/>
      <c r="I407" s="301">
        <f>$D$1091</f>
        <v>0.13899999999999996</v>
      </c>
      <c r="J407" s="301">
        <f t="shared" si="49"/>
        <v>0.13899999999999996</v>
      </c>
      <c r="K407" s="301">
        <f>$D$1086</f>
        <v>0.15799999999999997</v>
      </c>
      <c r="L407" s="301">
        <f>$D$1086</f>
        <v>0.15799999999999997</v>
      </c>
      <c r="M407" s="301">
        <f>$D$1071</f>
        <v>0.20100000000000001</v>
      </c>
      <c r="N407" s="301">
        <f>$D$1071</f>
        <v>0.20100000000000001</v>
      </c>
      <c r="O407" s="301">
        <f>$D$1071</f>
        <v>0.20100000000000001</v>
      </c>
      <c r="P407" s="301">
        <f>$D$1071</f>
        <v>0.20100000000000001</v>
      </c>
      <c r="Q407" s="301">
        <f>$D$1076</f>
        <v>0.21600000000000003</v>
      </c>
      <c r="R407" s="301">
        <f>$D$1076</f>
        <v>0.21600000000000003</v>
      </c>
      <c r="S407" s="301">
        <f>$D$1076+$D$1009</f>
        <v>0.22200000000000003</v>
      </c>
      <c r="T407" s="302"/>
      <c r="U407" s="303"/>
      <c r="X407" s="63">
        <v>4</v>
      </c>
    </row>
    <row r="408" spans="2:24">
      <c r="B408" s="136" t="s">
        <v>330</v>
      </c>
      <c r="C408" s="255" t="e">
        <f t="shared" si="48"/>
        <v>#N/A</v>
      </c>
      <c r="D408" s="301"/>
      <c r="E408" s="301">
        <f>$D$1072</f>
        <v>0.19900000000000001</v>
      </c>
      <c r="F408" s="301"/>
      <c r="G408" s="301"/>
      <c r="H408" s="301"/>
      <c r="I408" s="301">
        <f>$D$1092</f>
        <v>0.13699999999999996</v>
      </c>
      <c r="J408" s="301">
        <f t="shared" si="49"/>
        <v>0.13699999999999996</v>
      </c>
      <c r="K408" s="301">
        <f t="shared" ref="K408:L412" si="50">$D$1087</f>
        <v>0.15599999999999997</v>
      </c>
      <c r="L408" s="301">
        <f t="shared" si="50"/>
        <v>0.15599999999999997</v>
      </c>
      <c r="M408" s="301">
        <f t="shared" ref="M408:N412" si="51">$D$1072</f>
        <v>0.19900000000000001</v>
      </c>
      <c r="N408" s="301">
        <f t="shared" si="51"/>
        <v>0.19900000000000001</v>
      </c>
      <c r="O408" s="301"/>
      <c r="P408" s="301"/>
      <c r="Q408" s="301">
        <f t="shared" ref="Q408:R412" si="52">$D$1077</f>
        <v>0.21800000000000003</v>
      </c>
      <c r="R408" s="301">
        <f t="shared" si="52"/>
        <v>0.21800000000000003</v>
      </c>
      <c r="S408" s="301">
        <f>$D$1077+$D$1009</f>
        <v>0.22400000000000003</v>
      </c>
      <c r="T408" s="302"/>
      <c r="U408" s="303"/>
      <c r="X408" s="63">
        <v>5</v>
      </c>
    </row>
    <row r="409" spans="2:24">
      <c r="B409" s="136" t="s">
        <v>331</v>
      </c>
      <c r="C409" s="255" t="e">
        <f t="shared" si="48"/>
        <v>#N/A</v>
      </c>
      <c r="D409" s="301"/>
      <c r="E409" s="301">
        <f>$D$1072</f>
        <v>0.19900000000000001</v>
      </c>
      <c r="F409" s="301"/>
      <c r="G409" s="301"/>
      <c r="H409" s="301"/>
      <c r="I409" s="301">
        <f>$D$1092</f>
        <v>0.13699999999999996</v>
      </c>
      <c r="J409" s="301">
        <f t="shared" si="49"/>
        <v>0.13699999999999996</v>
      </c>
      <c r="K409" s="301">
        <f t="shared" si="50"/>
        <v>0.15599999999999997</v>
      </c>
      <c r="L409" s="301">
        <f t="shared" si="50"/>
        <v>0.15599999999999997</v>
      </c>
      <c r="M409" s="301">
        <f t="shared" si="51"/>
        <v>0.19900000000000001</v>
      </c>
      <c r="N409" s="301">
        <f t="shared" si="51"/>
        <v>0.19900000000000001</v>
      </c>
      <c r="O409" s="301"/>
      <c r="P409" s="301"/>
      <c r="Q409" s="301">
        <f t="shared" si="52"/>
        <v>0.21800000000000003</v>
      </c>
      <c r="R409" s="301">
        <f t="shared" si="52"/>
        <v>0.21800000000000003</v>
      </c>
      <c r="S409" s="301">
        <f>$D$1077+$D$1009</f>
        <v>0.22400000000000003</v>
      </c>
      <c r="T409" s="302"/>
      <c r="U409" s="303"/>
      <c r="X409" s="63">
        <v>6</v>
      </c>
    </row>
    <row r="410" spans="2:24">
      <c r="B410" s="136" t="s">
        <v>332</v>
      </c>
      <c r="C410" s="255" t="e">
        <f t="shared" si="48"/>
        <v>#N/A</v>
      </c>
      <c r="D410" s="301"/>
      <c r="E410" s="301">
        <f>$D$1072</f>
        <v>0.19900000000000001</v>
      </c>
      <c r="F410" s="301"/>
      <c r="G410" s="301"/>
      <c r="H410" s="301"/>
      <c r="I410" s="301">
        <f>$D$1092</f>
        <v>0.13699999999999996</v>
      </c>
      <c r="J410" s="301">
        <f t="shared" si="49"/>
        <v>0.13699999999999996</v>
      </c>
      <c r="K410" s="301">
        <f t="shared" si="50"/>
        <v>0.15599999999999997</v>
      </c>
      <c r="L410" s="301">
        <f t="shared" si="50"/>
        <v>0.15599999999999997</v>
      </c>
      <c r="M410" s="301">
        <f t="shared" si="51"/>
        <v>0.19900000000000001</v>
      </c>
      <c r="N410" s="301">
        <f t="shared" si="51"/>
        <v>0.19900000000000001</v>
      </c>
      <c r="O410" s="301"/>
      <c r="P410" s="301"/>
      <c r="Q410" s="301">
        <f t="shared" si="52"/>
        <v>0.21800000000000003</v>
      </c>
      <c r="R410" s="301">
        <f t="shared" si="52"/>
        <v>0.21800000000000003</v>
      </c>
      <c r="S410" s="301">
        <f>$D$1077+$D$1009</f>
        <v>0.22400000000000003</v>
      </c>
      <c r="T410" s="302"/>
      <c r="U410" s="303"/>
      <c r="X410" s="63">
        <v>7</v>
      </c>
    </row>
    <row r="411" spans="2:24">
      <c r="B411" s="136" t="s">
        <v>333</v>
      </c>
      <c r="C411" s="255" t="e">
        <f t="shared" si="48"/>
        <v>#N/A</v>
      </c>
      <c r="D411" s="301"/>
      <c r="E411" s="301">
        <f>$D$1072</f>
        <v>0.19900000000000001</v>
      </c>
      <c r="F411" s="301"/>
      <c r="G411" s="301"/>
      <c r="H411" s="301"/>
      <c r="I411" s="301">
        <f>$D$1092</f>
        <v>0.13699999999999996</v>
      </c>
      <c r="J411" s="301">
        <f t="shared" si="49"/>
        <v>0.13699999999999996</v>
      </c>
      <c r="K411" s="301">
        <f t="shared" si="50"/>
        <v>0.15599999999999997</v>
      </c>
      <c r="L411" s="301">
        <f t="shared" si="50"/>
        <v>0.15599999999999997</v>
      </c>
      <c r="M411" s="301">
        <f t="shared" si="51"/>
        <v>0.19900000000000001</v>
      </c>
      <c r="N411" s="301">
        <f t="shared" si="51"/>
        <v>0.19900000000000001</v>
      </c>
      <c r="O411" s="301"/>
      <c r="P411" s="301"/>
      <c r="Q411" s="301">
        <f t="shared" si="52"/>
        <v>0.21800000000000003</v>
      </c>
      <c r="R411" s="301">
        <f t="shared" si="52"/>
        <v>0.21800000000000003</v>
      </c>
      <c r="S411" s="301">
        <f>$D$1077+$D$1009</f>
        <v>0.22400000000000003</v>
      </c>
      <c r="T411" s="302"/>
      <c r="U411" s="303"/>
      <c r="X411" s="63">
        <v>8</v>
      </c>
    </row>
    <row r="412" spans="2:24">
      <c r="B412" s="136" t="s">
        <v>334</v>
      </c>
      <c r="C412" s="255" t="e">
        <f t="shared" si="48"/>
        <v>#N/A</v>
      </c>
      <c r="D412" s="301"/>
      <c r="E412" s="301">
        <f>$D$1072</f>
        <v>0.19900000000000001</v>
      </c>
      <c r="F412" s="301"/>
      <c r="G412" s="301"/>
      <c r="H412" s="301"/>
      <c r="I412" s="301">
        <f>$D$1092</f>
        <v>0.13699999999999996</v>
      </c>
      <c r="J412" s="301">
        <f t="shared" si="49"/>
        <v>0.13699999999999996</v>
      </c>
      <c r="K412" s="301">
        <f t="shared" si="50"/>
        <v>0.15599999999999997</v>
      </c>
      <c r="L412" s="301">
        <f t="shared" si="50"/>
        <v>0.15599999999999997</v>
      </c>
      <c r="M412" s="301">
        <f t="shared" si="51"/>
        <v>0.19900000000000001</v>
      </c>
      <c r="N412" s="301">
        <f t="shared" si="51"/>
        <v>0.19900000000000001</v>
      </c>
      <c r="O412" s="301"/>
      <c r="P412" s="301"/>
      <c r="Q412" s="301">
        <f t="shared" si="52"/>
        <v>0.21800000000000003</v>
      </c>
      <c r="R412" s="301">
        <f t="shared" si="52"/>
        <v>0.21800000000000003</v>
      </c>
      <c r="S412" s="301">
        <f>$D$1077+$D$1009</f>
        <v>0.22400000000000003</v>
      </c>
      <c r="T412" s="302"/>
      <c r="U412" s="303"/>
      <c r="X412" s="63">
        <v>9</v>
      </c>
    </row>
    <row r="413" spans="2:24">
      <c r="B413" s="136" t="s">
        <v>308</v>
      </c>
      <c r="C413" s="255" t="str">
        <f t="shared" si="48"/>
        <v>Refuse Truck</v>
      </c>
      <c r="D413" s="301"/>
      <c r="E413" s="301">
        <f>$J$935</f>
        <v>2.8903808444893713</v>
      </c>
      <c r="F413" s="301"/>
      <c r="G413" s="301"/>
      <c r="H413" s="301"/>
      <c r="I413" s="301">
        <f>$J$935+$E$1091</f>
        <v>2.828380844489371</v>
      </c>
      <c r="J413" s="301">
        <f t="shared" si="49"/>
        <v>2.828380844489371</v>
      </c>
      <c r="K413" s="301">
        <f>$J$935+$E$1086</f>
        <v>2.8473808444893711</v>
      </c>
      <c r="L413" s="301">
        <f>$J$935+$E$1086</f>
        <v>2.8473808444893711</v>
      </c>
      <c r="M413" s="301">
        <f>$J$935</f>
        <v>2.8903808444893713</v>
      </c>
      <c r="N413" s="301">
        <f>$J$935</f>
        <v>2.8903808444893713</v>
      </c>
      <c r="O413" s="301"/>
      <c r="P413" s="301"/>
      <c r="Q413" s="301">
        <f>$J$935+$E$1076</f>
        <v>2.9053808444893714</v>
      </c>
      <c r="R413" s="301">
        <f>$J$935+$E$1076</f>
        <v>2.9053808444893714</v>
      </c>
      <c r="S413" s="301">
        <f>$J$935+$E$1076+$D$1009</f>
        <v>2.9113808444893712</v>
      </c>
      <c r="T413" s="302"/>
      <c r="U413" s="303"/>
      <c r="X413" s="63">
        <v>10</v>
      </c>
    </row>
    <row r="414" spans="2:24">
      <c r="B414" s="136" t="s">
        <v>307</v>
      </c>
      <c r="C414" s="255" t="str">
        <f t="shared" si="48"/>
        <v>Transit Bus</v>
      </c>
      <c r="D414" s="301"/>
      <c r="E414" s="301">
        <f>$D$1033</f>
        <v>1</v>
      </c>
      <c r="F414" s="301"/>
      <c r="G414" s="301"/>
      <c r="H414" s="301"/>
      <c r="I414" s="301">
        <f>$D$1033+$E$1091</f>
        <v>0.93799999999999994</v>
      </c>
      <c r="J414" s="304">
        <f>+$E414+0.16</f>
        <v>1.1599999999999999</v>
      </c>
      <c r="K414" s="301">
        <f>$D$1033+$E$1086</f>
        <v>0.95699999999999996</v>
      </c>
      <c r="L414" s="301">
        <f>$D$1033+$E$1086</f>
        <v>0.95699999999999996</v>
      </c>
      <c r="M414" s="301">
        <f>$D$1033</f>
        <v>1</v>
      </c>
      <c r="N414" s="301">
        <f>$D$1033</f>
        <v>1</v>
      </c>
      <c r="O414" s="301"/>
      <c r="P414" s="301"/>
      <c r="Q414" s="301">
        <f>$D$1033+$E$1076</f>
        <v>1.0150000000000001</v>
      </c>
      <c r="R414" s="301">
        <f>$D$1033+$E$1076</f>
        <v>1.0150000000000001</v>
      </c>
      <c r="S414" s="301">
        <f>$D$1033+$E$1076+$D$1009</f>
        <v>1.0210000000000001</v>
      </c>
      <c r="T414" s="302"/>
      <c r="U414" s="303"/>
      <c r="X414" s="63">
        <v>11</v>
      </c>
    </row>
    <row r="415" spans="2:24">
      <c r="B415" s="136" t="s">
        <v>306</v>
      </c>
      <c r="C415" s="255" t="str">
        <f t="shared" si="48"/>
        <v>School Bus</v>
      </c>
      <c r="D415" s="301">
        <f>$D$1067</f>
        <v>0.93489346889318281</v>
      </c>
      <c r="E415" s="301">
        <f>$D$1067</f>
        <v>0.93489346889318281</v>
      </c>
      <c r="F415" s="301"/>
      <c r="G415" s="301"/>
      <c r="H415" s="301"/>
      <c r="I415" s="301">
        <f>$D$1067+$E$1091</f>
        <v>0.87289346889318276</v>
      </c>
      <c r="J415" s="301">
        <f>I415</f>
        <v>0.87289346889318276</v>
      </c>
      <c r="K415" s="301">
        <f>$D$1067+$E$1086</f>
        <v>0.89189346889318277</v>
      </c>
      <c r="L415" s="301">
        <f>$D$1067+$E$1086</f>
        <v>0.89189346889318277</v>
      </c>
      <c r="M415" s="301">
        <f>$D$1067</f>
        <v>0.93489346889318281</v>
      </c>
      <c r="N415" s="301">
        <f>$D$1067</f>
        <v>0.93489346889318281</v>
      </c>
      <c r="O415" s="301">
        <f>$D$1067</f>
        <v>0.93489346889318281</v>
      </c>
      <c r="P415" s="301">
        <f>$D$1067</f>
        <v>0.93489346889318281</v>
      </c>
      <c r="Q415" s="301">
        <f>$D$1067+$E$1076</f>
        <v>0.94989346889318282</v>
      </c>
      <c r="R415" s="301">
        <f>$D$1067+$E$1076</f>
        <v>0.94989346889318282</v>
      </c>
      <c r="S415" s="301">
        <f>$D$1067+$E$1076</f>
        <v>0.94989346889318282</v>
      </c>
      <c r="T415" s="302"/>
      <c r="U415" s="303"/>
      <c r="X415" s="63">
        <v>12</v>
      </c>
    </row>
    <row r="416" spans="2:24">
      <c r="B416" s="136" t="s">
        <v>335</v>
      </c>
      <c r="C416" s="255" t="e">
        <f t="shared" si="48"/>
        <v>#N/A</v>
      </c>
      <c r="D416" s="301">
        <f>$D$1036</f>
        <v>1</v>
      </c>
      <c r="E416" s="301">
        <f>$D$1036</f>
        <v>1</v>
      </c>
      <c r="F416" s="301"/>
      <c r="G416" s="301"/>
      <c r="H416" s="301"/>
      <c r="I416" s="301">
        <f>$D$1036+$E$1091</f>
        <v>0.93799999999999994</v>
      </c>
      <c r="J416" s="301">
        <f t="shared" ref="J416:J425" si="53">I416</f>
        <v>0.93799999999999994</v>
      </c>
      <c r="K416" s="301">
        <f>$D$1036+$E$1086</f>
        <v>0.95699999999999996</v>
      </c>
      <c r="L416" s="301">
        <f>$D$1036+$E$1086</f>
        <v>0.95699999999999996</v>
      </c>
      <c r="M416" s="301">
        <f>$D$1036</f>
        <v>1</v>
      </c>
      <c r="N416" s="301">
        <f>$D$1036</f>
        <v>1</v>
      </c>
      <c r="O416" s="301">
        <f>$D$1036</f>
        <v>1</v>
      </c>
      <c r="P416" s="301">
        <f>$D$1036</f>
        <v>1</v>
      </c>
      <c r="Q416" s="301">
        <f>$D$1033+$E$1076</f>
        <v>1.0150000000000001</v>
      </c>
      <c r="R416" s="301">
        <f>$D$1036+$E$1076</f>
        <v>1.0150000000000001</v>
      </c>
      <c r="S416" s="301">
        <f>$D$1036+$E$1076+$D$1009</f>
        <v>1.0210000000000001</v>
      </c>
      <c r="T416" s="302"/>
      <c r="U416" s="303"/>
      <c r="X416" s="63">
        <v>13</v>
      </c>
    </row>
    <row r="417" spans="2:24">
      <c r="B417" s="136" t="s">
        <v>305</v>
      </c>
      <c r="C417" s="255" t="str">
        <f t="shared" si="48"/>
        <v>Light Commercial Truck</v>
      </c>
      <c r="D417" s="301">
        <f>$J$945</f>
        <v>0.18389844655933227</v>
      </c>
      <c r="E417" s="301">
        <f>$J$946</f>
        <v>0.28847904873292518</v>
      </c>
      <c r="F417" s="301">
        <f>$J$945-($J$884-$K$884)</f>
        <v>0.17927117383205954</v>
      </c>
      <c r="G417" s="301">
        <f>$J$945-($J$884-$L$884)</f>
        <v>0.17669593573682146</v>
      </c>
      <c r="H417" s="301">
        <f>$J$945-($J$884-$L$884)</f>
        <v>0.17669593573682146</v>
      </c>
      <c r="I417" s="301">
        <f>$J$945-($J$884-$M$884)</f>
        <v>0.16700876461464972</v>
      </c>
      <c r="J417" s="301">
        <f t="shared" si="53"/>
        <v>0.16700876461464972</v>
      </c>
      <c r="K417" s="301"/>
      <c r="L417" s="301"/>
      <c r="M417" s="301">
        <f>$J$946</f>
        <v>0.28847904873292518</v>
      </c>
      <c r="N417" s="301">
        <f>$J$946</f>
        <v>0.28847904873292518</v>
      </c>
      <c r="O417" s="301">
        <f>$J$945</f>
        <v>0.18389844655933227</v>
      </c>
      <c r="P417" s="301">
        <f>$J$945</f>
        <v>0.18389844655933227</v>
      </c>
      <c r="Q417" s="301">
        <f>$J$945</f>
        <v>0.18389844655933227</v>
      </c>
      <c r="R417" s="301"/>
      <c r="S417" s="301"/>
      <c r="T417" s="302"/>
      <c r="U417" s="303"/>
      <c r="X417" s="63">
        <v>14</v>
      </c>
    </row>
    <row r="418" spans="2:24">
      <c r="B418" s="136" t="s">
        <v>336</v>
      </c>
      <c r="C418" s="255" t="e">
        <f t="shared" si="48"/>
        <v>#N/A</v>
      </c>
      <c r="D418" s="301">
        <f>$J$947</f>
        <v>0.23098494148147533</v>
      </c>
      <c r="E418" s="301">
        <f>$J$948</f>
        <v>0.31139558164696873</v>
      </c>
      <c r="F418" s="301">
        <f>$J$947-($J$884-$K$884)</f>
        <v>0.2263576687542026</v>
      </c>
      <c r="G418" s="301">
        <f>$J$947-($J$884-$L$884)</f>
        <v>0.22378243065896453</v>
      </c>
      <c r="H418" s="301">
        <f>$J$947-($J$884-$L$884)</f>
        <v>0.22378243065896453</v>
      </c>
      <c r="I418" s="301">
        <f>$J$947-($J$884-$M$884)</f>
        <v>0.21409525953679279</v>
      </c>
      <c r="J418" s="301">
        <f t="shared" si="53"/>
        <v>0.21409525953679279</v>
      </c>
      <c r="K418" s="301"/>
      <c r="L418" s="301"/>
      <c r="M418" s="301">
        <f>$J$948</f>
        <v>0.31139558164696873</v>
      </c>
      <c r="N418" s="301">
        <f>$J$948</f>
        <v>0.31139558164696873</v>
      </c>
      <c r="O418" s="301">
        <f>$J$947</f>
        <v>0.23098494148147533</v>
      </c>
      <c r="P418" s="301">
        <f>$J$947</f>
        <v>0.23098494148147533</v>
      </c>
      <c r="Q418" s="301">
        <f>$J$947</f>
        <v>0.23098494148147533</v>
      </c>
      <c r="R418" s="301"/>
      <c r="S418" s="301"/>
      <c r="T418" s="302"/>
      <c r="U418" s="303"/>
      <c r="X418" s="63">
        <v>15</v>
      </c>
    </row>
    <row r="419" spans="2:24">
      <c r="B419" s="136" t="s">
        <v>337</v>
      </c>
      <c r="C419" s="255" t="e">
        <f t="shared" si="48"/>
        <v>#N/A</v>
      </c>
      <c r="D419" s="301">
        <f>$J$944</f>
        <v>0.21033730349007357</v>
      </c>
      <c r="E419" s="301">
        <f>$E$418/$D$418*$D419</f>
        <v>0.28356007340677358</v>
      </c>
      <c r="F419" s="301">
        <f>$J$944-($J$884-$K$884)</f>
        <v>0.20571003076280084</v>
      </c>
      <c r="G419" s="301">
        <f>$J$944-($J$884-$L$884)</f>
        <v>0.20313479266756274</v>
      </c>
      <c r="H419" s="301">
        <f>$J$944-($J$884-$L$884)</f>
        <v>0.20313479266756274</v>
      </c>
      <c r="I419" s="301">
        <f>$J$944-($J$884-$M$884)</f>
        <v>0.19344762154539102</v>
      </c>
      <c r="J419" s="301">
        <f t="shared" si="53"/>
        <v>0.19344762154539102</v>
      </c>
      <c r="K419" s="301"/>
      <c r="L419" s="301"/>
      <c r="M419" s="301">
        <f>$E$418/$D$418*$D419</f>
        <v>0.28356007340677358</v>
      </c>
      <c r="N419" s="301">
        <f>$E$418/$D$418*$D419</f>
        <v>0.28356007340677358</v>
      </c>
      <c r="O419" s="301">
        <f>$J$944</f>
        <v>0.21033730349007357</v>
      </c>
      <c r="P419" s="301">
        <f>$J$944</f>
        <v>0.21033730349007357</v>
      </c>
      <c r="Q419" s="301">
        <f>$J$944</f>
        <v>0.21033730349007357</v>
      </c>
      <c r="R419" s="301"/>
      <c r="S419" s="301"/>
      <c r="T419" s="302"/>
      <c r="U419" s="303"/>
      <c r="X419" s="63">
        <v>16</v>
      </c>
    </row>
    <row r="420" spans="2:24">
      <c r="B420" s="136" t="s">
        <v>303</v>
      </c>
      <c r="C420" s="255" t="str">
        <f t="shared" si="48"/>
        <v>Passenger Truck</v>
      </c>
      <c r="D420" s="301">
        <f>$J$942</f>
        <v>0.15965910198754182</v>
      </c>
      <c r="E420" s="301">
        <f t="shared" ref="E420:E425" si="54">$E$418/$D$418*$D420</f>
        <v>0.21523974078037694</v>
      </c>
      <c r="F420" s="301">
        <f>$J$942-($J$884-$K$884)</f>
        <v>0.15503182926026909</v>
      </c>
      <c r="G420" s="301">
        <f>$J$942-($J$884-$L$884)</f>
        <v>0.15245659116503102</v>
      </c>
      <c r="H420" s="301">
        <f>$J$942-($J$884-$L$884)</f>
        <v>0.15245659116503102</v>
      </c>
      <c r="I420" s="301">
        <f>$J$942-($J$884-$M$884)</f>
        <v>0.14276942004285928</v>
      </c>
      <c r="J420" s="301">
        <f t="shared" si="53"/>
        <v>0.14276942004285928</v>
      </c>
      <c r="K420" s="301"/>
      <c r="L420" s="301"/>
      <c r="M420" s="301">
        <f t="shared" ref="M420:N425" si="55">$E$418/$D$418*$D420</f>
        <v>0.21523974078037694</v>
      </c>
      <c r="N420" s="301">
        <f t="shared" si="55"/>
        <v>0.21523974078037694</v>
      </c>
      <c r="O420" s="301">
        <f>$J$942</f>
        <v>0.15965910198754182</v>
      </c>
      <c r="P420" s="301">
        <f>$J$942</f>
        <v>0.15965910198754182</v>
      </c>
      <c r="Q420" s="301">
        <f>$J$942</f>
        <v>0.15965910198754182</v>
      </c>
      <c r="R420" s="301"/>
      <c r="S420" s="301"/>
      <c r="T420" s="302"/>
      <c r="U420" s="303"/>
      <c r="X420" s="63">
        <v>17</v>
      </c>
    </row>
    <row r="421" spans="2:24">
      <c r="B421" s="136" t="s">
        <v>338</v>
      </c>
      <c r="C421" s="255" t="e">
        <f t="shared" si="48"/>
        <v>#N/A</v>
      </c>
      <c r="D421" s="301">
        <f>$J$943</f>
        <v>0.14620116822944662</v>
      </c>
      <c r="E421" s="301">
        <f t="shared" si="54"/>
        <v>0.19709682166413436</v>
      </c>
      <c r="F421" s="301">
        <f>$J$943-($J$884-$K$884)</f>
        <v>0.14157389550217389</v>
      </c>
      <c r="G421" s="301">
        <f>$J$943-($J$884-$L$884)</f>
        <v>0.13899865740693579</v>
      </c>
      <c r="H421" s="301">
        <f>$J$943-($J$884-$L$884)</f>
        <v>0.13899865740693579</v>
      </c>
      <c r="I421" s="301">
        <f>$J$943-($J$884-$M$884)</f>
        <v>0.12931148628476408</v>
      </c>
      <c r="J421" s="301">
        <f t="shared" si="53"/>
        <v>0.12931148628476408</v>
      </c>
      <c r="K421" s="301"/>
      <c r="L421" s="301"/>
      <c r="M421" s="301">
        <f t="shared" si="55"/>
        <v>0.19709682166413436</v>
      </c>
      <c r="N421" s="301">
        <f t="shared" si="55"/>
        <v>0.19709682166413436</v>
      </c>
      <c r="O421" s="301">
        <f t="shared" ref="O421:Q422" si="56">$J$943</f>
        <v>0.14620116822944662</v>
      </c>
      <c r="P421" s="301">
        <f t="shared" si="56"/>
        <v>0.14620116822944662</v>
      </c>
      <c r="Q421" s="301">
        <f t="shared" si="56"/>
        <v>0.14620116822944662</v>
      </c>
      <c r="R421" s="301"/>
      <c r="S421" s="301"/>
      <c r="T421" s="302"/>
      <c r="U421" s="303"/>
      <c r="X421" s="63">
        <v>18</v>
      </c>
    </row>
    <row r="422" spans="2:24">
      <c r="B422" s="136" t="s">
        <v>339</v>
      </c>
      <c r="C422" s="255" t="e">
        <f t="shared" si="48"/>
        <v>#N/A</v>
      </c>
      <c r="D422" s="301">
        <f>$J$943</f>
        <v>0.14620116822944662</v>
      </c>
      <c r="E422" s="301">
        <f t="shared" si="54"/>
        <v>0.19709682166413436</v>
      </c>
      <c r="F422" s="301">
        <f>$J$943-($J$884-$K$884)</f>
        <v>0.14157389550217389</v>
      </c>
      <c r="G422" s="301">
        <f>$J$943-($J$884-$L$884)</f>
        <v>0.13899865740693579</v>
      </c>
      <c r="H422" s="301">
        <f>$J$943-($J$884-$L$884)</f>
        <v>0.13899865740693579</v>
      </c>
      <c r="I422" s="301">
        <f>$J$943-($J$884-$M$884)</f>
        <v>0.12931148628476408</v>
      </c>
      <c r="J422" s="301">
        <f t="shared" si="53"/>
        <v>0.12931148628476408</v>
      </c>
      <c r="K422" s="301"/>
      <c r="L422" s="301"/>
      <c r="M422" s="301">
        <f t="shared" si="55"/>
        <v>0.19709682166413436</v>
      </c>
      <c r="N422" s="301">
        <f t="shared" si="55"/>
        <v>0.19709682166413436</v>
      </c>
      <c r="O422" s="301">
        <f t="shared" si="56"/>
        <v>0.14620116822944662</v>
      </c>
      <c r="P422" s="301">
        <f t="shared" si="56"/>
        <v>0.14620116822944662</v>
      </c>
      <c r="Q422" s="301">
        <f t="shared" si="56"/>
        <v>0.14620116822944662</v>
      </c>
      <c r="R422" s="301"/>
      <c r="S422" s="301"/>
      <c r="T422" s="302"/>
      <c r="U422" s="303"/>
      <c r="X422" s="63">
        <v>19</v>
      </c>
    </row>
    <row r="423" spans="2:24">
      <c r="B423" s="136" t="s">
        <v>301</v>
      </c>
      <c r="C423" s="255" t="str">
        <f t="shared" si="48"/>
        <v>Passenger Car</v>
      </c>
      <c r="D423" s="301">
        <f>$J$941</f>
        <v>0.14209666998075926</v>
      </c>
      <c r="E423" s="301">
        <f t="shared" si="54"/>
        <v>0.19156346260045934</v>
      </c>
      <c r="F423" s="301">
        <f>$J$941-($J$884-$K$884)</f>
        <v>0.13746939725348653</v>
      </c>
      <c r="G423" s="301">
        <f t="shared" ref="G423:H425" si="57">$J$941-($J$884-$L$884)</f>
        <v>0.13489415915824843</v>
      </c>
      <c r="H423" s="301">
        <f t="shared" si="57"/>
        <v>0.13489415915824843</v>
      </c>
      <c r="I423" s="301">
        <f>$J$941-($J$884-$M$884)</f>
        <v>0.12520698803607672</v>
      </c>
      <c r="J423" s="301">
        <f t="shared" si="53"/>
        <v>0.12520698803607672</v>
      </c>
      <c r="K423" s="301"/>
      <c r="L423" s="301"/>
      <c r="M423" s="301">
        <f t="shared" si="55"/>
        <v>0.19156346260045934</v>
      </c>
      <c r="N423" s="301">
        <f t="shared" si="55"/>
        <v>0.19156346260045934</v>
      </c>
      <c r="O423" s="301">
        <f t="shared" ref="O423:Q425" si="58">$J$941</f>
        <v>0.14209666998075926</v>
      </c>
      <c r="P423" s="301">
        <f t="shared" si="58"/>
        <v>0.14209666998075926</v>
      </c>
      <c r="Q423" s="301">
        <f t="shared" si="58"/>
        <v>0.14209666998075926</v>
      </c>
      <c r="R423" s="301"/>
      <c r="S423" s="301"/>
      <c r="T423" s="302"/>
      <c r="U423" s="303"/>
      <c r="X423" s="63">
        <v>20</v>
      </c>
    </row>
    <row r="424" spans="2:24">
      <c r="B424" s="136" t="s">
        <v>340</v>
      </c>
      <c r="C424" s="255" t="e">
        <f t="shared" si="48"/>
        <v>#N/A</v>
      </c>
      <c r="D424" s="301">
        <f>$J$941</f>
        <v>0.14209666998075926</v>
      </c>
      <c r="E424" s="301">
        <f t="shared" si="54"/>
        <v>0.19156346260045934</v>
      </c>
      <c r="F424" s="301">
        <f>$J$941-($J$884-$K$884)</f>
        <v>0.13746939725348653</v>
      </c>
      <c r="G424" s="301">
        <f t="shared" si="57"/>
        <v>0.13489415915824843</v>
      </c>
      <c r="H424" s="301">
        <f t="shared" si="57"/>
        <v>0.13489415915824843</v>
      </c>
      <c r="I424" s="301">
        <f>$J$941-($J$884-$M$884)</f>
        <v>0.12520698803607672</v>
      </c>
      <c r="J424" s="301">
        <f t="shared" si="53"/>
        <v>0.12520698803607672</v>
      </c>
      <c r="K424" s="301"/>
      <c r="L424" s="301"/>
      <c r="M424" s="301">
        <f t="shared" si="55"/>
        <v>0.19156346260045934</v>
      </c>
      <c r="N424" s="301">
        <f t="shared" si="55"/>
        <v>0.19156346260045934</v>
      </c>
      <c r="O424" s="301">
        <f t="shared" si="58"/>
        <v>0.14209666998075926</v>
      </c>
      <c r="P424" s="301">
        <f t="shared" si="58"/>
        <v>0.14209666998075926</v>
      </c>
      <c r="Q424" s="301">
        <f t="shared" si="58"/>
        <v>0.14209666998075926</v>
      </c>
      <c r="R424" s="301"/>
      <c r="S424" s="301"/>
      <c r="T424" s="302"/>
      <c r="U424" s="303"/>
      <c r="X424" s="63">
        <v>21</v>
      </c>
    </row>
    <row r="425" spans="2:24">
      <c r="B425" s="136" t="s">
        <v>341</v>
      </c>
      <c r="C425" s="255" t="e">
        <f t="shared" si="48"/>
        <v>#N/A</v>
      </c>
      <c r="D425" s="301">
        <f>$J$941</f>
        <v>0.14209666998075926</v>
      </c>
      <c r="E425" s="301">
        <f t="shared" si="54"/>
        <v>0.19156346260045934</v>
      </c>
      <c r="F425" s="301">
        <f>$J$941-($J$884-$K$884)</f>
        <v>0.13746939725348653</v>
      </c>
      <c r="G425" s="301">
        <f t="shared" si="57"/>
        <v>0.13489415915824843</v>
      </c>
      <c r="H425" s="301">
        <f t="shared" si="57"/>
        <v>0.13489415915824843</v>
      </c>
      <c r="I425" s="301">
        <f>$J$941-($J$884-$M$884)</f>
        <v>0.12520698803607672</v>
      </c>
      <c r="J425" s="301">
        <f t="shared" si="53"/>
        <v>0.12520698803607672</v>
      </c>
      <c r="K425" s="301"/>
      <c r="L425" s="301"/>
      <c r="M425" s="301">
        <f t="shared" si="55"/>
        <v>0.19156346260045934</v>
      </c>
      <c r="N425" s="301">
        <f t="shared" si="55"/>
        <v>0.19156346260045934</v>
      </c>
      <c r="O425" s="301">
        <f t="shared" si="58"/>
        <v>0.14209666998075926</v>
      </c>
      <c r="P425" s="301">
        <f t="shared" si="58"/>
        <v>0.14209666998075926</v>
      </c>
      <c r="Q425" s="301">
        <f t="shared" si="58"/>
        <v>0.14209666998075926</v>
      </c>
      <c r="R425" s="301"/>
      <c r="S425" s="301"/>
      <c r="T425" s="302"/>
      <c r="U425" s="303"/>
      <c r="X425" s="63">
        <v>22</v>
      </c>
    </row>
    <row r="426" spans="2:24">
      <c r="B426" s="136" t="s">
        <v>342</v>
      </c>
      <c r="C426" s="255" t="e">
        <f t="shared" si="48"/>
        <v>#N/A</v>
      </c>
      <c r="D426" s="301"/>
      <c r="E426" s="301"/>
      <c r="F426" s="301"/>
      <c r="G426" s="301"/>
      <c r="H426" s="301"/>
      <c r="I426" s="301"/>
      <c r="J426" s="301"/>
      <c r="K426" s="301"/>
      <c r="L426" s="301"/>
      <c r="M426" s="301"/>
      <c r="N426" s="301"/>
      <c r="O426" s="301"/>
      <c r="P426" s="301"/>
      <c r="Q426" s="301"/>
      <c r="R426" s="301"/>
      <c r="S426" s="301"/>
      <c r="T426" s="302"/>
      <c r="U426" s="303"/>
      <c r="X426" s="63">
        <v>23</v>
      </c>
    </row>
    <row r="427" spans="2:24" ht="16" thickBot="1">
      <c r="B427" s="143" t="s">
        <v>343</v>
      </c>
      <c r="C427" s="261" t="e">
        <f t="shared" si="48"/>
        <v>#N/A</v>
      </c>
      <c r="D427" s="305"/>
      <c r="E427" s="305"/>
      <c r="F427" s="305"/>
      <c r="G427" s="305"/>
      <c r="H427" s="305"/>
      <c r="I427" s="305"/>
      <c r="J427" s="305"/>
      <c r="K427" s="305"/>
      <c r="L427" s="305"/>
      <c r="M427" s="305"/>
      <c r="N427" s="305"/>
      <c r="O427" s="305"/>
      <c r="P427" s="305"/>
      <c r="Q427" s="305"/>
      <c r="R427" s="305"/>
      <c r="S427" s="305"/>
      <c r="T427" s="306"/>
      <c r="U427" s="307"/>
      <c r="X427" s="63">
        <v>24</v>
      </c>
    </row>
    <row r="429" spans="2:24" ht="16" thickBot="1">
      <c r="B429" s="308" t="s">
        <v>353</v>
      </c>
      <c r="C429" s="267"/>
      <c r="D429" s="267">
        <v>1</v>
      </c>
      <c r="E429" s="267">
        <f t="shared" ref="E429:T429" si="59">D429+1</f>
        <v>2</v>
      </c>
      <c r="F429" s="267">
        <f t="shared" si="59"/>
        <v>3</v>
      </c>
      <c r="G429" s="267">
        <f t="shared" si="59"/>
        <v>4</v>
      </c>
      <c r="H429" s="267">
        <f t="shared" si="59"/>
        <v>5</v>
      </c>
      <c r="I429" s="267">
        <f t="shared" si="59"/>
        <v>6</v>
      </c>
      <c r="J429" s="267">
        <f>T429+1</f>
        <v>17</v>
      </c>
      <c r="K429" s="267">
        <f>I429+1</f>
        <v>7</v>
      </c>
      <c r="L429" s="267">
        <f t="shared" si="59"/>
        <v>8</v>
      </c>
      <c r="M429" s="267">
        <f t="shared" si="59"/>
        <v>9</v>
      </c>
      <c r="N429" s="267">
        <f t="shared" si="59"/>
        <v>10</v>
      </c>
      <c r="O429" s="267">
        <f t="shared" si="59"/>
        <v>11</v>
      </c>
      <c r="P429" s="267">
        <f t="shared" si="59"/>
        <v>12</v>
      </c>
      <c r="Q429" s="267">
        <f t="shared" si="59"/>
        <v>13</v>
      </c>
      <c r="R429" s="267">
        <f t="shared" si="59"/>
        <v>14</v>
      </c>
      <c r="S429" s="267">
        <f t="shared" si="59"/>
        <v>15</v>
      </c>
      <c r="T429" s="267">
        <f t="shared" si="59"/>
        <v>16</v>
      </c>
      <c r="U429" s="267">
        <f>J429+1</f>
        <v>18</v>
      </c>
      <c r="V429" s="309"/>
    </row>
    <row r="430" spans="2:24" ht="80" customHeight="1">
      <c r="B430" s="269" t="s">
        <v>318</v>
      </c>
      <c r="C430" s="270" t="s">
        <v>319</v>
      </c>
      <c r="D430" s="253" t="s">
        <v>4</v>
      </c>
      <c r="E430" s="253" t="s">
        <v>5</v>
      </c>
      <c r="F430" s="253" t="s">
        <v>320</v>
      </c>
      <c r="G430" s="253" t="s">
        <v>321</v>
      </c>
      <c r="H430" s="253" t="s">
        <v>322</v>
      </c>
      <c r="I430" s="253" t="s">
        <v>323</v>
      </c>
      <c r="J430" s="253" t="s">
        <v>324</v>
      </c>
      <c r="K430" s="253" t="s">
        <v>325</v>
      </c>
      <c r="L430" s="253" t="s">
        <v>326</v>
      </c>
      <c r="M430" s="253" t="s">
        <v>247</v>
      </c>
      <c r="N430" s="253" t="s">
        <v>249</v>
      </c>
      <c r="O430" s="253" t="s">
        <v>251</v>
      </c>
      <c r="P430" s="253" t="s">
        <v>253</v>
      </c>
      <c r="Q430" s="253" t="s">
        <v>255</v>
      </c>
      <c r="R430" s="253" t="s">
        <v>257</v>
      </c>
      <c r="S430" s="253" t="s">
        <v>327</v>
      </c>
      <c r="T430" s="253" t="s">
        <v>328</v>
      </c>
      <c r="U430" s="254" t="s">
        <v>329</v>
      </c>
      <c r="V430" s="309"/>
    </row>
    <row r="431" spans="2:24">
      <c r="B431" s="271" t="s">
        <v>316</v>
      </c>
      <c r="C431" s="272"/>
      <c r="D431" s="295"/>
      <c r="E431" s="295"/>
      <c r="F431" s="295"/>
      <c r="G431" s="295"/>
      <c r="H431" s="295"/>
      <c r="I431" s="295"/>
      <c r="J431" s="295"/>
      <c r="K431" s="295">
        <v>500</v>
      </c>
      <c r="L431" s="295"/>
      <c r="M431" s="295"/>
      <c r="N431" s="295"/>
      <c r="O431" s="295"/>
      <c r="P431" s="295"/>
      <c r="Q431" s="295">
        <f>2050+1650-2*(591*767/900)+1625-1800+100-550</f>
        <v>2067.6733333333332</v>
      </c>
      <c r="R431" s="295">
        <f>2800-2*(591*810/900)+1625-1800+100-550</f>
        <v>1111.1999999999998</v>
      </c>
      <c r="S431" s="295">
        <f>1600+1200-2*(591*730/900)+3243-3286</f>
        <v>1798.2666666666664</v>
      </c>
      <c r="T431" s="295"/>
      <c r="U431" s="296"/>
      <c r="X431" s="63">
        <v>1</v>
      </c>
    </row>
    <row r="432" spans="2:24">
      <c r="B432" s="271" t="s">
        <v>314</v>
      </c>
      <c r="C432" s="272"/>
      <c r="D432" s="295"/>
      <c r="E432" s="295"/>
      <c r="F432" s="295"/>
      <c r="G432" s="295"/>
      <c r="H432" s="295"/>
      <c r="I432" s="295"/>
      <c r="J432" s="295"/>
      <c r="K432" s="295">
        <v>750</v>
      </c>
      <c r="L432" s="295"/>
      <c r="M432" s="295"/>
      <c r="N432" s="295"/>
      <c r="O432" s="295"/>
      <c r="P432" s="295"/>
      <c r="Q432" s="295">
        <f>1650-(591*400/450)+1625-1800+100-550</f>
        <v>499.66666666666652</v>
      </c>
      <c r="R432" s="295">
        <f>1400-(591*810/900)+1625-1800+100-550</f>
        <v>243.09999999999991</v>
      </c>
      <c r="S432" s="295">
        <f>1600-(591*365/450)+3243-3286</f>
        <v>1077.6333333333332</v>
      </c>
      <c r="T432" s="295"/>
      <c r="U432" s="296"/>
      <c r="X432" s="63">
        <v>2</v>
      </c>
    </row>
    <row r="433" spans="2:24">
      <c r="B433" s="271" t="s">
        <v>312</v>
      </c>
      <c r="C433" s="272"/>
      <c r="D433" s="295"/>
      <c r="E433" s="295"/>
      <c r="F433" s="295"/>
      <c r="G433" s="295"/>
      <c r="H433" s="295"/>
      <c r="I433" s="295"/>
      <c r="J433" s="295"/>
      <c r="K433" s="295">
        <v>450</v>
      </c>
      <c r="L433" s="295">
        <v>1000</v>
      </c>
      <c r="M433" s="295"/>
      <c r="N433" s="295"/>
      <c r="O433" s="295"/>
      <c r="P433" s="295"/>
      <c r="Q433" s="295"/>
      <c r="R433" s="295"/>
      <c r="S433" s="295"/>
      <c r="T433" s="295"/>
      <c r="U433" s="296"/>
      <c r="X433" s="63">
        <v>3</v>
      </c>
    </row>
    <row r="434" spans="2:24">
      <c r="B434" s="271" t="s">
        <v>310</v>
      </c>
      <c r="C434" s="272"/>
      <c r="D434" s="295"/>
      <c r="E434" s="295"/>
      <c r="F434" s="295"/>
      <c r="G434" s="295"/>
      <c r="H434" s="295"/>
      <c r="I434" s="295"/>
      <c r="J434" s="295"/>
      <c r="K434" s="295">
        <v>450</v>
      </c>
      <c r="L434" s="295">
        <v>1000</v>
      </c>
      <c r="M434" s="295"/>
      <c r="N434" s="295"/>
      <c r="O434" s="295"/>
      <c r="P434" s="295"/>
      <c r="Q434" s="295"/>
      <c r="R434" s="295"/>
      <c r="S434" s="295"/>
      <c r="T434" s="295"/>
      <c r="U434" s="296"/>
      <c r="X434" s="63">
        <v>4</v>
      </c>
    </row>
    <row r="435" spans="2:24">
      <c r="B435" s="271" t="s">
        <v>330</v>
      </c>
      <c r="C435" s="272"/>
      <c r="D435" s="295"/>
      <c r="E435" s="295"/>
      <c r="F435" s="295"/>
      <c r="G435" s="295"/>
      <c r="H435" s="295"/>
      <c r="I435" s="295"/>
      <c r="J435" s="295"/>
      <c r="K435" s="295"/>
      <c r="L435" s="295"/>
      <c r="M435" s="295"/>
      <c r="N435" s="295"/>
      <c r="O435" s="295"/>
      <c r="P435" s="295"/>
      <c r="Q435" s="295"/>
      <c r="R435" s="295"/>
      <c r="S435" s="295"/>
      <c r="T435" s="295"/>
      <c r="U435" s="296"/>
      <c r="X435" s="63">
        <v>5</v>
      </c>
    </row>
    <row r="436" spans="2:24">
      <c r="B436" s="271" t="s">
        <v>331</v>
      </c>
      <c r="C436" s="272"/>
      <c r="D436" s="295"/>
      <c r="E436" s="295"/>
      <c r="F436" s="295"/>
      <c r="G436" s="295"/>
      <c r="H436" s="295"/>
      <c r="I436" s="295"/>
      <c r="J436" s="295"/>
      <c r="K436" s="295">
        <v>450</v>
      </c>
      <c r="L436" s="295">
        <v>1000</v>
      </c>
      <c r="M436" s="295"/>
      <c r="N436" s="295"/>
      <c r="O436" s="295"/>
      <c r="P436" s="295"/>
      <c r="Q436" s="295"/>
      <c r="R436" s="295"/>
      <c r="S436" s="295"/>
      <c r="T436" s="295">
        <v>650</v>
      </c>
      <c r="U436" s="296"/>
      <c r="X436" s="63">
        <v>6</v>
      </c>
    </row>
    <row r="437" spans="2:24">
      <c r="B437" s="271" t="s">
        <v>332</v>
      </c>
      <c r="C437" s="272"/>
      <c r="D437" s="295"/>
      <c r="E437" s="295"/>
      <c r="F437" s="295"/>
      <c r="G437" s="295"/>
      <c r="H437" s="295"/>
      <c r="I437" s="295"/>
      <c r="J437" s="295"/>
      <c r="K437" s="295"/>
      <c r="L437" s="295"/>
      <c r="M437" s="295"/>
      <c r="N437" s="295"/>
      <c r="O437" s="295"/>
      <c r="P437" s="295"/>
      <c r="Q437" s="295"/>
      <c r="R437" s="295"/>
      <c r="S437" s="295"/>
      <c r="T437" s="295"/>
      <c r="U437" s="296"/>
      <c r="X437" s="63">
        <v>7</v>
      </c>
    </row>
    <row r="438" spans="2:24">
      <c r="B438" s="271" t="s">
        <v>333</v>
      </c>
      <c r="C438" s="272"/>
      <c r="D438" s="295"/>
      <c r="E438" s="295"/>
      <c r="F438" s="295"/>
      <c r="G438" s="295"/>
      <c r="H438" s="295"/>
      <c r="I438" s="295"/>
      <c r="J438" s="295"/>
      <c r="K438" s="295"/>
      <c r="L438" s="295"/>
      <c r="M438" s="295"/>
      <c r="N438" s="295"/>
      <c r="O438" s="295"/>
      <c r="P438" s="295"/>
      <c r="Q438" s="295"/>
      <c r="R438" s="295"/>
      <c r="S438" s="295"/>
      <c r="T438" s="295"/>
      <c r="U438" s="296"/>
      <c r="X438" s="63">
        <v>8</v>
      </c>
    </row>
    <row r="439" spans="2:24">
      <c r="B439" s="271" t="s">
        <v>334</v>
      </c>
      <c r="C439" s="272"/>
      <c r="D439" s="295"/>
      <c r="E439" s="295"/>
      <c r="F439" s="295"/>
      <c r="G439" s="295"/>
      <c r="H439" s="295"/>
      <c r="I439" s="295"/>
      <c r="J439" s="295"/>
      <c r="K439" s="295"/>
      <c r="L439" s="295"/>
      <c r="M439" s="295"/>
      <c r="N439" s="295"/>
      <c r="O439" s="295"/>
      <c r="P439" s="295"/>
      <c r="Q439" s="295"/>
      <c r="R439" s="295"/>
      <c r="S439" s="295"/>
      <c r="T439" s="295"/>
      <c r="U439" s="296"/>
      <c r="X439" s="63">
        <v>9</v>
      </c>
    </row>
    <row r="440" spans="2:24">
      <c r="B440" s="271" t="s">
        <v>308</v>
      </c>
      <c r="C440" s="272"/>
      <c r="D440" s="295"/>
      <c r="E440" s="295"/>
      <c r="F440" s="295"/>
      <c r="G440" s="295"/>
      <c r="H440" s="295"/>
      <c r="I440" s="295"/>
      <c r="J440" s="295"/>
      <c r="K440" s="295">
        <v>450</v>
      </c>
      <c r="L440" s="295">
        <v>1000</v>
      </c>
      <c r="M440" s="295"/>
      <c r="N440" s="295"/>
      <c r="O440" s="295"/>
      <c r="P440" s="295"/>
      <c r="Q440" s="295"/>
      <c r="R440" s="295"/>
      <c r="S440" s="295"/>
      <c r="T440" s="295">
        <v>650</v>
      </c>
      <c r="U440" s="296"/>
      <c r="X440" s="63">
        <v>10</v>
      </c>
    </row>
    <row r="441" spans="2:24">
      <c r="B441" s="271" t="s">
        <v>307</v>
      </c>
      <c r="C441" s="272"/>
      <c r="D441" s="295"/>
      <c r="E441" s="295"/>
      <c r="F441" s="295"/>
      <c r="G441" s="295"/>
      <c r="H441" s="295"/>
      <c r="I441" s="295"/>
      <c r="J441" s="295"/>
      <c r="K441" s="295">
        <f>(940+2840)/2</f>
        <v>1890</v>
      </c>
      <c r="L441" s="295"/>
      <c r="M441" s="295"/>
      <c r="N441" s="295"/>
      <c r="O441" s="295"/>
      <c r="P441" s="295"/>
      <c r="Q441" s="295"/>
      <c r="R441" s="295"/>
      <c r="S441" s="295"/>
      <c r="T441" s="295"/>
      <c r="U441" s="296"/>
      <c r="X441" s="63">
        <v>11</v>
      </c>
    </row>
    <row r="442" spans="2:24">
      <c r="B442" s="271" t="s">
        <v>306</v>
      </c>
      <c r="C442" s="272"/>
      <c r="D442" s="295"/>
      <c r="E442" s="295"/>
      <c r="F442" s="295"/>
      <c r="G442" s="295"/>
      <c r="H442" s="295"/>
      <c r="I442" s="295"/>
      <c r="J442" s="295"/>
      <c r="K442" s="295"/>
      <c r="L442" s="295"/>
      <c r="M442" s="295"/>
      <c r="N442" s="295"/>
      <c r="O442" s="295"/>
      <c r="P442" s="295"/>
      <c r="Q442" s="295"/>
      <c r="R442" s="295"/>
      <c r="S442" s="295"/>
      <c r="T442" s="295"/>
      <c r="U442" s="296"/>
      <c r="X442" s="63">
        <v>12</v>
      </c>
    </row>
    <row r="443" spans="2:24">
      <c r="B443" s="271" t="s">
        <v>335</v>
      </c>
      <c r="C443" s="272"/>
      <c r="D443" s="295"/>
      <c r="E443" s="295"/>
      <c r="F443" s="295"/>
      <c r="G443" s="295"/>
      <c r="H443" s="295"/>
      <c r="I443" s="295"/>
      <c r="J443" s="295"/>
      <c r="K443" s="295"/>
      <c r="L443" s="295"/>
      <c r="M443" s="295"/>
      <c r="N443" s="295"/>
      <c r="O443" s="295"/>
      <c r="P443" s="295"/>
      <c r="Q443" s="295"/>
      <c r="R443" s="295"/>
      <c r="S443" s="295"/>
      <c r="T443" s="295"/>
      <c r="U443" s="296"/>
      <c r="X443" s="63">
        <v>13</v>
      </c>
    </row>
    <row r="444" spans="2:24">
      <c r="B444" s="271" t="s">
        <v>305</v>
      </c>
      <c r="C444" s="272"/>
      <c r="D444" s="295"/>
      <c r="E444" s="295"/>
      <c r="F444" s="295"/>
      <c r="G444" s="295"/>
      <c r="H444" s="295"/>
      <c r="I444" s="295"/>
      <c r="J444" s="295"/>
      <c r="K444" s="295"/>
      <c r="L444" s="295"/>
      <c r="M444" s="295"/>
      <c r="N444" s="295"/>
      <c r="O444" s="295"/>
      <c r="P444" s="295"/>
      <c r="Q444" s="295"/>
      <c r="R444" s="295"/>
      <c r="S444" s="295"/>
      <c r="T444" s="295"/>
      <c r="U444" s="296"/>
      <c r="X444" s="63">
        <v>14</v>
      </c>
    </row>
    <row r="445" spans="2:24">
      <c r="B445" s="271" t="s">
        <v>336</v>
      </c>
      <c r="C445" s="272"/>
      <c r="D445" s="310"/>
      <c r="E445" s="310"/>
      <c r="F445" s="310"/>
      <c r="G445" s="310"/>
      <c r="H445" s="310"/>
      <c r="I445" s="310"/>
      <c r="J445" s="310"/>
      <c r="K445" s="310"/>
      <c r="L445" s="295"/>
      <c r="M445" s="310"/>
      <c r="N445" s="310"/>
      <c r="O445" s="310"/>
      <c r="P445" s="310"/>
      <c r="Q445" s="310"/>
      <c r="R445" s="310"/>
      <c r="S445" s="310"/>
      <c r="T445" s="310"/>
      <c r="U445" s="311"/>
      <c r="X445" s="63">
        <v>15</v>
      </c>
    </row>
    <row r="446" spans="2:24">
      <c r="B446" s="271" t="s">
        <v>337</v>
      </c>
      <c r="C446" s="272"/>
      <c r="D446" s="310"/>
      <c r="E446" s="310"/>
      <c r="F446" s="310"/>
      <c r="G446" s="310"/>
      <c r="H446" s="310"/>
      <c r="I446" s="310"/>
      <c r="J446" s="310"/>
      <c r="K446" s="310"/>
      <c r="L446" s="295"/>
      <c r="M446" s="310"/>
      <c r="N446" s="310"/>
      <c r="O446" s="310"/>
      <c r="P446" s="310"/>
      <c r="Q446" s="310"/>
      <c r="R446" s="310"/>
      <c r="S446" s="310"/>
      <c r="T446" s="310"/>
      <c r="U446" s="311"/>
      <c r="X446" s="63">
        <v>16</v>
      </c>
    </row>
    <row r="447" spans="2:24">
      <c r="B447" s="271" t="s">
        <v>303</v>
      </c>
      <c r="C447" s="272"/>
      <c r="D447" s="310"/>
      <c r="E447" s="310"/>
      <c r="F447" s="310"/>
      <c r="G447" s="310"/>
      <c r="H447" s="310"/>
      <c r="I447" s="310"/>
      <c r="J447" s="310"/>
      <c r="K447" s="310"/>
      <c r="L447" s="310"/>
      <c r="M447" s="310"/>
      <c r="N447" s="310"/>
      <c r="O447" s="310"/>
      <c r="P447" s="310"/>
      <c r="Q447" s="310"/>
      <c r="R447" s="310"/>
      <c r="S447" s="310"/>
      <c r="T447" s="310"/>
      <c r="U447" s="311"/>
      <c r="X447" s="63">
        <v>17</v>
      </c>
    </row>
    <row r="448" spans="2:24">
      <c r="B448" s="271" t="s">
        <v>338</v>
      </c>
      <c r="C448" s="272"/>
      <c r="D448" s="310"/>
      <c r="E448" s="310"/>
      <c r="F448" s="310"/>
      <c r="G448" s="310"/>
      <c r="H448" s="310"/>
      <c r="I448" s="310"/>
      <c r="J448" s="310"/>
      <c r="K448" s="310"/>
      <c r="L448" s="310"/>
      <c r="M448" s="310"/>
      <c r="N448" s="310"/>
      <c r="O448" s="310"/>
      <c r="P448" s="310"/>
      <c r="Q448" s="310"/>
      <c r="R448" s="310"/>
      <c r="S448" s="310"/>
      <c r="T448" s="310"/>
      <c r="U448" s="311"/>
      <c r="X448" s="63">
        <v>18</v>
      </c>
    </row>
    <row r="449" spans="2:24">
      <c r="B449" s="271" t="s">
        <v>339</v>
      </c>
      <c r="C449" s="272"/>
      <c r="D449" s="310"/>
      <c r="E449" s="310"/>
      <c r="F449" s="310"/>
      <c r="G449" s="310"/>
      <c r="H449" s="310"/>
      <c r="I449" s="310"/>
      <c r="J449" s="310"/>
      <c r="K449" s="310"/>
      <c r="L449" s="295"/>
      <c r="M449" s="310"/>
      <c r="N449" s="310"/>
      <c r="O449" s="310"/>
      <c r="P449" s="310"/>
      <c r="Q449" s="310"/>
      <c r="R449" s="310"/>
      <c r="S449" s="310"/>
      <c r="T449" s="310"/>
      <c r="U449" s="311"/>
      <c r="X449" s="63">
        <v>19</v>
      </c>
    </row>
    <row r="450" spans="2:24">
      <c r="B450" s="271" t="s">
        <v>301</v>
      </c>
      <c r="C450" s="272"/>
      <c r="D450" s="310"/>
      <c r="E450" s="310"/>
      <c r="F450" s="310"/>
      <c r="G450" s="310"/>
      <c r="H450" s="310"/>
      <c r="I450" s="310"/>
      <c r="J450" s="310"/>
      <c r="K450" s="310"/>
      <c r="L450" s="310"/>
      <c r="M450" s="310"/>
      <c r="N450" s="310"/>
      <c r="O450" s="310"/>
      <c r="P450" s="310"/>
      <c r="Q450" s="310"/>
      <c r="R450" s="310"/>
      <c r="S450" s="310"/>
      <c r="T450" s="310"/>
      <c r="U450" s="311"/>
      <c r="X450" s="63">
        <v>20</v>
      </c>
    </row>
    <row r="451" spans="2:24">
      <c r="B451" s="271" t="s">
        <v>340</v>
      </c>
      <c r="C451" s="272"/>
      <c r="D451" s="310"/>
      <c r="E451" s="310"/>
      <c r="F451" s="310"/>
      <c r="G451" s="310"/>
      <c r="H451" s="310"/>
      <c r="I451" s="310"/>
      <c r="J451" s="310"/>
      <c r="K451" s="310"/>
      <c r="L451" s="295"/>
      <c r="M451" s="310"/>
      <c r="N451" s="310"/>
      <c r="O451" s="310"/>
      <c r="P451" s="310"/>
      <c r="Q451" s="310"/>
      <c r="R451" s="310"/>
      <c r="S451" s="310"/>
      <c r="T451" s="310"/>
      <c r="U451" s="311"/>
      <c r="X451" s="63">
        <v>21</v>
      </c>
    </row>
    <row r="452" spans="2:24">
      <c r="B452" s="271" t="s">
        <v>341</v>
      </c>
      <c r="C452" s="272"/>
      <c r="D452" s="310"/>
      <c r="E452" s="310"/>
      <c r="F452" s="310"/>
      <c r="G452" s="310"/>
      <c r="H452" s="310"/>
      <c r="I452" s="310"/>
      <c r="J452" s="310"/>
      <c r="K452" s="310"/>
      <c r="L452" s="295"/>
      <c r="M452" s="310"/>
      <c r="N452" s="310"/>
      <c r="O452" s="310"/>
      <c r="P452" s="310"/>
      <c r="Q452" s="310"/>
      <c r="R452" s="310"/>
      <c r="S452" s="310"/>
      <c r="T452" s="310"/>
      <c r="U452" s="311"/>
      <c r="X452" s="63">
        <v>22</v>
      </c>
    </row>
    <row r="453" spans="2:24">
      <c r="B453" s="271" t="s">
        <v>342</v>
      </c>
      <c r="C453" s="272"/>
      <c r="D453" s="295"/>
      <c r="E453" s="295"/>
      <c r="F453" s="295"/>
      <c r="G453" s="295"/>
      <c r="H453" s="295"/>
      <c r="I453" s="295"/>
      <c r="J453" s="295"/>
      <c r="K453" s="295"/>
      <c r="L453" s="295"/>
      <c r="M453" s="295"/>
      <c r="N453" s="295"/>
      <c r="O453" s="295"/>
      <c r="P453" s="295"/>
      <c r="Q453" s="295"/>
      <c r="R453" s="295"/>
      <c r="S453" s="295"/>
      <c r="T453" s="295"/>
      <c r="U453" s="296"/>
      <c r="X453" s="63">
        <v>23</v>
      </c>
    </row>
    <row r="454" spans="2:24" ht="16" thickBot="1">
      <c r="B454" s="273" t="s">
        <v>343</v>
      </c>
      <c r="C454" s="274"/>
      <c r="D454" s="298"/>
      <c r="E454" s="298"/>
      <c r="F454" s="298"/>
      <c r="G454" s="298"/>
      <c r="H454" s="298"/>
      <c r="I454" s="298"/>
      <c r="J454" s="298"/>
      <c r="K454" s="298"/>
      <c r="L454" s="298"/>
      <c r="M454" s="298"/>
      <c r="N454" s="298"/>
      <c r="O454" s="298"/>
      <c r="P454" s="298"/>
      <c r="Q454" s="298"/>
      <c r="R454" s="298"/>
      <c r="S454" s="298"/>
      <c r="T454" s="298"/>
      <c r="U454" s="299"/>
      <c r="X454" s="63">
        <v>24</v>
      </c>
    </row>
    <row r="455" spans="2:24">
      <c r="E455" s="309"/>
    </row>
    <row r="456" spans="2:24" ht="16" thickBot="1">
      <c r="B456" s="244" t="s">
        <v>354</v>
      </c>
      <c r="D456" s="63">
        <v>1</v>
      </c>
      <c r="E456" s="63">
        <f t="shared" ref="E456:T456" si="60">D456+1</f>
        <v>2</v>
      </c>
      <c r="F456" s="63">
        <f t="shared" si="60"/>
        <v>3</v>
      </c>
      <c r="G456" s="63">
        <f t="shared" si="60"/>
        <v>4</v>
      </c>
      <c r="H456" s="63">
        <f t="shared" si="60"/>
        <v>5</v>
      </c>
      <c r="I456" s="63">
        <f t="shared" si="60"/>
        <v>6</v>
      </c>
      <c r="J456" s="63">
        <f>T456+1</f>
        <v>17</v>
      </c>
      <c r="K456" s="63">
        <f>I456+1</f>
        <v>7</v>
      </c>
      <c r="L456" s="63">
        <f t="shared" si="60"/>
        <v>8</v>
      </c>
      <c r="M456" s="63">
        <f t="shared" si="60"/>
        <v>9</v>
      </c>
      <c r="N456" s="63">
        <f t="shared" si="60"/>
        <v>10</v>
      </c>
      <c r="O456" s="63">
        <f t="shared" si="60"/>
        <v>11</v>
      </c>
      <c r="P456" s="63">
        <f t="shared" si="60"/>
        <v>12</v>
      </c>
      <c r="Q456" s="63">
        <f t="shared" si="60"/>
        <v>13</v>
      </c>
      <c r="R456" s="63">
        <f t="shared" si="60"/>
        <v>14</v>
      </c>
      <c r="S456" s="63">
        <f t="shared" si="60"/>
        <v>15</v>
      </c>
      <c r="T456" s="63">
        <f t="shared" si="60"/>
        <v>16</v>
      </c>
      <c r="U456" s="63">
        <f>J456+1</f>
        <v>18</v>
      </c>
      <c r="V456" s="309"/>
    </row>
    <row r="457" spans="2:24" ht="80" customHeight="1">
      <c r="B457" s="250" t="s">
        <v>318</v>
      </c>
      <c r="C457" s="251" t="s">
        <v>319</v>
      </c>
      <c r="D457" s="252" t="s">
        <v>4</v>
      </c>
      <c r="E457" s="252" t="s">
        <v>5</v>
      </c>
      <c r="F457" s="252" t="s">
        <v>320</v>
      </c>
      <c r="G457" s="252" t="s">
        <v>321</v>
      </c>
      <c r="H457" s="252" t="s">
        <v>322</v>
      </c>
      <c r="I457" s="252" t="s">
        <v>323</v>
      </c>
      <c r="J457" s="252" t="s">
        <v>324</v>
      </c>
      <c r="K457" s="252" t="s">
        <v>325</v>
      </c>
      <c r="L457" s="252" t="s">
        <v>326</v>
      </c>
      <c r="M457" s="252" t="s">
        <v>247</v>
      </c>
      <c r="N457" s="252" t="s">
        <v>249</v>
      </c>
      <c r="O457" s="252" t="s">
        <v>251</v>
      </c>
      <c r="P457" s="252" t="s">
        <v>253</v>
      </c>
      <c r="Q457" s="252" t="s">
        <v>255</v>
      </c>
      <c r="R457" s="252" t="s">
        <v>257</v>
      </c>
      <c r="S457" s="252" t="s">
        <v>327</v>
      </c>
      <c r="T457" s="253" t="s">
        <v>328</v>
      </c>
      <c r="U457" s="254" t="s">
        <v>329</v>
      </c>
    </row>
    <row r="458" spans="2:24">
      <c r="B458" s="136" t="s">
        <v>316</v>
      </c>
      <c r="C458" s="255" t="s">
        <v>315</v>
      </c>
      <c r="D458" s="294"/>
      <c r="E458" s="294"/>
      <c r="F458" s="294"/>
      <c r="G458" s="294"/>
      <c r="H458" s="294"/>
      <c r="I458" s="294"/>
      <c r="J458" s="294"/>
      <c r="K458" s="294"/>
      <c r="L458" s="294"/>
      <c r="M458" s="294"/>
      <c r="N458" s="294"/>
      <c r="O458" s="294"/>
      <c r="P458" s="294"/>
      <c r="Q458" s="294"/>
      <c r="R458" s="294"/>
      <c r="S458" s="294"/>
      <c r="T458" s="295"/>
      <c r="U458" s="296"/>
      <c r="X458" s="63">
        <v>1</v>
      </c>
    </row>
    <row r="459" spans="2:24">
      <c r="B459" s="136" t="s">
        <v>314</v>
      </c>
      <c r="C459" s="255" t="s">
        <v>313</v>
      </c>
      <c r="D459" s="294"/>
      <c r="E459" s="294"/>
      <c r="F459" s="294"/>
      <c r="G459" s="294"/>
      <c r="H459" s="294"/>
      <c r="I459" s="294"/>
      <c r="J459" s="294"/>
      <c r="K459" s="294"/>
      <c r="L459" s="294"/>
      <c r="M459" s="294"/>
      <c r="N459" s="294"/>
      <c r="O459" s="294"/>
      <c r="P459" s="294"/>
      <c r="Q459" s="294"/>
      <c r="R459" s="294"/>
      <c r="S459" s="294"/>
      <c r="T459" s="295"/>
      <c r="U459" s="296"/>
      <c r="X459" s="63">
        <v>2</v>
      </c>
    </row>
    <row r="460" spans="2:24">
      <c r="B460" s="136" t="s">
        <v>312</v>
      </c>
      <c r="C460" s="255" t="s">
        <v>311</v>
      </c>
      <c r="D460" s="294"/>
      <c r="E460" s="294"/>
      <c r="F460" s="294"/>
      <c r="G460" s="294"/>
      <c r="H460" s="294"/>
      <c r="I460" s="294"/>
      <c r="J460" s="294"/>
      <c r="K460" s="294"/>
      <c r="L460" s="294"/>
      <c r="M460" s="294"/>
      <c r="N460" s="294"/>
      <c r="O460" s="294"/>
      <c r="P460" s="294"/>
      <c r="Q460" s="294"/>
      <c r="R460" s="294"/>
      <c r="S460" s="294"/>
      <c r="T460" s="295"/>
      <c r="U460" s="296"/>
      <c r="X460" s="63">
        <v>3</v>
      </c>
    </row>
    <row r="461" spans="2:24">
      <c r="B461" s="136" t="s">
        <v>310</v>
      </c>
      <c r="C461" s="255" t="s">
        <v>309</v>
      </c>
      <c r="D461" s="294"/>
      <c r="E461" s="294"/>
      <c r="F461" s="294"/>
      <c r="G461" s="294"/>
      <c r="H461" s="294"/>
      <c r="I461" s="294"/>
      <c r="J461" s="294"/>
      <c r="K461" s="294"/>
      <c r="L461" s="294"/>
      <c r="M461" s="294"/>
      <c r="N461" s="294"/>
      <c r="O461" s="294"/>
      <c r="P461" s="294"/>
      <c r="Q461" s="294"/>
      <c r="R461" s="294"/>
      <c r="S461" s="294"/>
      <c r="T461" s="295"/>
      <c r="U461" s="296"/>
      <c r="X461" s="63">
        <v>4</v>
      </c>
    </row>
    <row r="462" spans="2:24">
      <c r="B462" s="136" t="s">
        <v>330</v>
      </c>
      <c r="C462" s="255"/>
      <c r="D462" s="294"/>
      <c r="E462" s="294"/>
      <c r="F462" s="294"/>
      <c r="G462" s="294"/>
      <c r="H462" s="294"/>
      <c r="I462" s="294"/>
      <c r="J462" s="294"/>
      <c r="K462" s="294"/>
      <c r="L462" s="294"/>
      <c r="M462" s="294"/>
      <c r="N462" s="294"/>
      <c r="O462" s="294"/>
      <c r="P462" s="294"/>
      <c r="Q462" s="294"/>
      <c r="R462" s="294"/>
      <c r="S462" s="294"/>
      <c r="T462" s="295"/>
      <c r="U462" s="296"/>
      <c r="X462" s="63">
        <v>5</v>
      </c>
    </row>
    <row r="463" spans="2:24">
      <c r="B463" s="136" t="s">
        <v>331</v>
      </c>
      <c r="C463" s="255"/>
      <c r="D463" s="294"/>
      <c r="E463" s="294"/>
      <c r="F463" s="294"/>
      <c r="G463" s="294"/>
      <c r="H463" s="294"/>
      <c r="I463" s="294"/>
      <c r="J463" s="294"/>
      <c r="K463" s="294"/>
      <c r="L463" s="294"/>
      <c r="M463" s="294"/>
      <c r="N463" s="294"/>
      <c r="O463" s="294"/>
      <c r="P463" s="294"/>
      <c r="Q463" s="294"/>
      <c r="R463" s="294"/>
      <c r="S463" s="294"/>
      <c r="T463" s="295"/>
      <c r="U463" s="296"/>
      <c r="X463" s="63">
        <v>6</v>
      </c>
    </row>
    <row r="464" spans="2:24">
      <c r="B464" s="136" t="s">
        <v>332</v>
      </c>
      <c r="C464" s="255"/>
      <c r="D464" s="294"/>
      <c r="E464" s="294"/>
      <c r="F464" s="294"/>
      <c r="G464" s="294"/>
      <c r="H464" s="294"/>
      <c r="I464" s="294"/>
      <c r="J464" s="294"/>
      <c r="K464" s="294"/>
      <c r="L464" s="294"/>
      <c r="M464" s="294"/>
      <c r="N464" s="294"/>
      <c r="O464" s="294"/>
      <c r="P464" s="294"/>
      <c r="Q464" s="294"/>
      <c r="R464" s="294"/>
      <c r="S464" s="294"/>
      <c r="T464" s="295"/>
      <c r="U464" s="296"/>
      <c r="X464" s="63">
        <v>7</v>
      </c>
    </row>
    <row r="465" spans="2:24">
      <c r="B465" s="136" t="s">
        <v>333</v>
      </c>
      <c r="C465" s="255"/>
      <c r="D465" s="294"/>
      <c r="E465" s="294"/>
      <c r="F465" s="294"/>
      <c r="G465" s="294"/>
      <c r="H465" s="294"/>
      <c r="I465" s="294"/>
      <c r="J465" s="294"/>
      <c r="K465" s="294"/>
      <c r="L465" s="294"/>
      <c r="M465" s="294"/>
      <c r="N465" s="294"/>
      <c r="O465" s="294"/>
      <c r="P465" s="294"/>
      <c r="Q465" s="294"/>
      <c r="R465" s="294"/>
      <c r="S465" s="294"/>
      <c r="T465" s="295"/>
      <c r="U465" s="296"/>
      <c r="X465" s="63">
        <v>8</v>
      </c>
    </row>
    <row r="466" spans="2:24">
      <c r="B466" s="136" t="s">
        <v>334</v>
      </c>
      <c r="C466" s="255"/>
      <c r="D466" s="294"/>
      <c r="E466" s="294"/>
      <c r="F466" s="294"/>
      <c r="G466" s="294"/>
      <c r="H466" s="294"/>
      <c r="I466" s="294"/>
      <c r="J466" s="294"/>
      <c r="K466" s="294"/>
      <c r="L466" s="294"/>
      <c r="M466" s="294"/>
      <c r="N466" s="294"/>
      <c r="O466" s="294"/>
      <c r="P466" s="294"/>
      <c r="Q466" s="294"/>
      <c r="R466" s="294"/>
      <c r="S466" s="294"/>
      <c r="T466" s="295"/>
      <c r="U466" s="296"/>
      <c r="X466" s="63">
        <v>9</v>
      </c>
    </row>
    <row r="467" spans="2:24">
      <c r="B467" s="136" t="s">
        <v>308</v>
      </c>
      <c r="C467" s="255" t="s">
        <v>308</v>
      </c>
      <c r="D467" s="294"/>
      <c r="E467" s="294"/>
      <c r="F467" s="294"/>
      <c r="G467" s="294"/>
      <c r="H467" s="294"/>
      <c r="I467" s="294"/>
      <c r="J467" s="294"/>
      <c r="K467" s="294"/>
      <c r="L467" s="294"/>
      <c r="M467" s="294"/>
      <c r="N467" s="294"/>
      <c r="O467" s="294"/>
      <c r="P467" s="294"/>
      <c r="Q467" s="294"/>
      <c r="R467" s="294"/>
      <c r="S467" s="294"/>
      <c r="T467" s="295"/>
      <c r="U467" s="296"/>
      <c r="X467" s="63">
        <v>10</v>
      </c>
    </row>
    <row r="468" spans="2:24">
      <c r="B468" s="136" t="s">
        <v>307</v>
      </c>
      <c r="C468" s="255" t="s">
        <v>307</v>
      </c>
      <c r="D468" s="294"/>
      <c r="E468" s="294"/>
      <c r="F468" s="294"/>
      <c r="G468" s="294"/>
      <c r="H468" s="294"/>
      <c r="I468" s="294"/>
      <c r="J468" s="294"/>
      <c r="K468" s="294"/>
      <c r="L468" s="294"/>
      <c r="M468" s="294"/>
      <c r="N468" s="294"/>
      <c r="O468" s="294"/>
      <c r="P468" s="294"/>
      <c r="Q468" s="294"/>
      <c r="R468" s="294"/>
      <c r="S468" s="294"/>
      <c r="T468" s="295"/>
      <c r="U468" s="296"/>
      <c r="X468" s="63">
        <v>11</v>
      </c>
    </row>
    <row r="469" spans="2:24">
      <c r="B469" s="136" t="s">
        <v>306</v>
      </c>
      <c r="C469" s="255" t="s">
        <v>306</v>
      </c>
      <c r="D469" s="294"/>
      <c r="E469" s="294"/>
      <c r="F469" s="294"/>
      <c r="G469" s="294"/>
      <c r="H469" s="294"/>
      <c r="I469" s="294"/>
      <c r="J469" s="294"/>
      <c r="K469" s="294"/>
      <c r="L469" s="294"/>
      <c r="M469" s="294"/>
      <c r="N469" s="294"/>
      <c r="O469" s="294"/>
      <c r="P469" s="294"/>
      <c r="Q469" s="294"/>
      <c r="R469" s="294"/>
      <c r="S469" s="294"/>
      <c r="T469" s="295"/>
      <c r="U469" s="296"/>
      <c r="X469" s="63">
        <v>12</v>
      </c>
    </row>
    <row r="470" spans="2:24">
      <c r="B470" s="136" t="s">
        <v>335</v>
      </c>
      <c r="C470" s="255"/>
      <c r="D470" s="294"/>
      <c r="E470" s="294"/>
      <c r="F470" s="294"/>
      <c r="G470" s="294"/>
      <c r="H470" s="294"/>
      <c r="I470" s="294"/>
      <c r="J470" s="294"/>
      <c r="K470" s="294"/>
      <c r="L470" s="294"/>
      <c r="M470" s="294"/>
      <c r="N470" s="294"/>
      <c r="O470" s="294"/>
      <c r="P470" s="294"/>
      <c r="Q470" s="294"/>
      <c r="R470" s="294"/>
      <c r="S470" s="294"/>
      <c r="T470" s="295"/>
      <c r="U470" s="296"/>
      <c r="X470" s="63">
        <v>13</v>
      </c>
    </row>
    <row r="471" spans="2:24">
      <c r="B471" s="136" t="s">
        <v>305</v>
      </c>
      <c r="C471" s="255" t="s">
        <v>304</v>
      </c>
      <c r="D471" s="294"/>
      <c r="E471" s="294"/>
      <c r="F471" s="294"/>
      <c r="G471" s="312">
        <v>19.600000000000001</v>
      </c>
      <c r="H471" s="312">
        <v>34</v>
      </c>
      <c r="I471" s="294"/>
      <c r="J471" s="294"/>
      <c r="K471" s="294"/>
      <c r="L471" s="294"/>
      <c r="M471" s="294"/>
      <c r="N471" s="294"/>
      <c r="O471" s="294"/>
      <c r="P471" s="294"/>
      <c r="Q471" s="294"/>
      <c r="R471" s="294"/>
      <c r="S471" s="294"/>
      <c r="T471" s="295"/>
      <c r="U471" s="296"/>
      <c r="X471" s="63">
        <v>14</v>
      </c>
    </row>
    <row r="472" spans="2:24">
      <c r="B472" s="136" t="s">
        <v>336</v>
      </c>
      <c r="C472" s="255"/>
      <c r="D472" s="312"/>
      <c r="E472" s="312"/>
      <c r="F472" s="312"/>
      <c r="G472" s="312">
        <v>19.600000000000001</v>
      </c>
      <c r="H472" s="312">
        <v>34</v>
      </c>
      <c r="I472" s="312"/>
      <c r="J472" s="312"/>
      <c r="K472" s="312"/>
      <c r="L472" s="294"/>
      <c r="M472" s="312"/>
      <c r="N472" s="312"/>
      <c r="O472" s="312"/>
      <c r="P472" s="312"/>
      <c r="Q472" s="312"/>
      <c r="R472" s="312"/>
      <c r="S472" s="312"/>
      <c r="T472" s="310"/>
      <c r="U472" s="311"/>
      <c r="X472" s="63">
        <v>15</v>
      </c>
    </row>
    <row r="473" spans="2:24">
      <c r="B473" s="136" t="s">
        <v>337</v>
      </c>
      <c r="C473" s="255"/>
      <c r="D473" s="312"/>
      <c r="E473" s="312"/>
      <c r="F473" s="312"/>
      <c r="G473" s="312">
        <v>19.600000000000001</v>
      </c>
      <c r="H473" s="312">
        <v>34</v>
      </c>
      <c r="I473" s="312"/>
      <c r="J473" s="312"/>
      <c r="K473" s="312"/>
      <c r="L473" s="312"/>
      <c r="M473" s="312"/>
      <c r="N473" s="312"/>
      <c r="O473" s="312"/>
      <c r="P473" s="312"/>
      <c r="Q473" s="312"/>
      <c r="R473" s="312"/>
      <c r="S473" s="312"/>
      <c r="T473" s="310"/>
      <c r="U473" s="311"/>
      <c r="X473" s="63">
        <v>16</v>
      </c>
    </row>
    <row r="474" spans="2:24">
      <c r="B474" s="136" t="s">
        <v>303</v>
      </c>
      <c r="C474" s="255" t="s">
        <v>302</v>
      </c>
      <c r="D474" s="312"/>
      <c r="E474" s="312"/>
      <c r="F474" s="312"/>
      <c r="G474" s="312">
        <v>19.600000000000001</v>
      </c>
      <c r="H474" s="312">
        <v>34</v>
      </c>
      <c r="I474" s="312"/>
      <c r="J474" s="312"/>
      <c r="K474" s="312"/>
      <c r="L474" s="312"/>
      <c r="M474" s="312"/>
      <c r="N474" s="312"/>
      <c r="O474" s="312"/>
      <c r="P474" s="312"/>
      <c r="Q474" s="312"/>
      <c r="R474" s="312"/>
      <c r="S474" s="312"/>
      <c r="T474" s="310"/>
      <c r="U474" s="311"/>
      <c r="X474" s="63">
        <v>17</v>
      </c>
    </row>
    <row r="475" spans="2:24">
      <c r="B475" s="136" t="s">
        <v>338</v>
      </c>
      <c r="C475" s="255"/>
      <c r="D475" s="312"/>
      <c r="E475" s="312"/>
      <c r="F475" s="312"/>
      <c r="G475" s="312">
        <v>19.600000000000001</v>
      </c>
      <c r="H475" s="312">
        <v>34</v>
      </c>
      <c r="I475" s="312"/>
      <c r="J475" s="312"/>
      <c r="K475" s="312"/>
      <c r="L475" s="312"/>
      <c r="M475" s="312"/>
      <c r="N475" s="312"/>
      <c r="O475" s="312"/>
      <c r="P475" s="312"/>
      <c r="Q475" s="312"/>
      <c r="R475" s="312"/>
      <c r="S475" s="312"/>
      <c r="T475" s="310"/>
      <c r="U475" s="311"/>
      <c r="X475" s="63">
        <v>18</v>
      </c>
    </row>
    <row r="476" spans="2:24">
      <c r="B476" s="136" t="s">
        <v>339</v>
      </c>
      <c r="C476" s="255"/>
      <c r="D476" s="312"/>
      <c r="E476" s="312"/>
      <c r="F476" s="312"/>
      <c r="G476" s="312">
        <v>19.600000000000001</v>
      </c>
      <c r="H476" s="312">
        <v>34</v>
      </c>
      <c r="I476" s="312"/>
      <c r="J476" s="312"/>
      <c r="K476" s="312"/>
      <c r="L476" s="312"/>
      <c r="M476" s="312"/>
      <c r="N476" s="312"/>
      <c r="O476" s="312"/>
      <c r="P476" s="312"/>
      <c r="Q476" s="312"/>
      <c r="R476" s="312"/>
      <c r="S476" s="312"/>
      <c r="T476" s="310"/>
      <c r="U476" s="311"/>
      <c r="X476" s="63">
        <v>19</v>
      </c>
    </row>
    <row r="477" spans="2:24">
      <c r="B477" s="136" t="s">
        <v>301</v>
      </c>
      <c r="C477" s="255" t="s">
        <v>300</v>
      </c>
      <c r="D477" s="312"/>
      <c r="E477" s="312"/>
      <c r="F477" s="312"/>
      <c r="G477" s="312">
        <v>19.600000000000001</v>
      </c>
      <c r="H477" s="312">
        <v>34</v>
      </c>
      <c r="I477" s="312"/>
      <c r="J477" s="312"/>
      <c r="K477" s="312"/>
      <c r="L477" s="312"/>
      <c r="M477" s="312"/>
      <c r="N477" s="312"/>
      <c r="O477" s="312"/>
      <c r="P477" s="312"/>
      <c r="Q477" s="312"/>
      <c r="R477" s="312"/>
      <c r="S477" s="312"/>
      <c r="T477" s="310"/>
      <c r="U477" s="311"/>
      <c r="X477" s="63">
        <v>20</v>
      </c>
    </row>
    <row r="478" spans="2:24">
      <c r="B478" s="136" t="s">
        <v>340</v>
      </c>
      <c r="C478" s="255"/>
      <c r="D478" s="312"/>
      <c r="E478" s="312"/>
      <c r="F478" s="312"/>
      <c r="G478" s="312">
        <v>19.600000000000001</v>
      </c>
      <c r="H478" s="312">
        <v>34</v>
      </c>
      <c r="I478" s="312"/>
      <c r="J478" s="312"/>
      <c r="K478" s="312"/>
      <c r="L478" s="312"/>
      <c r="M478" s="312"/>
      <c r="N478" s="312"/>
      <c r="O478" s="312"/>
      <c r="P478" s="312"/>
      <c r="Q478" s="312"/>
      <c r="R478" s="312"/>
      <c r="S478" s="312"/>
      <c r="T478" s="310"/>
      <c r="U478" s="311"/>
      <c r="X478" s="63">
        <v>21</v>
      </c>
    </row>
    <row r="479" spans="2:24">
      <c r="B479" s="136" t="s">
        <v>341</v>
      </c>
      <c r="C479" s="255"/>
      <c r="D479" s="312"/>
      <c r="E479" s="312"/>
      <c r="F479" s="312"/>
      <c r="G479" s="312">
        <v>19.600000000000001</v>
      </c>
      <c r="H479" s="312">
        <v>34</v>
      </c>
      <c r="I479" s="312"/>
      <c r="J479" s="312"/>
      <c r="K479" s="312"/>
      <c r="L479" s="294"/>
      <c r="M479" s="312"/>
      <c r="N479" s="312"/>
      <c r="O479" s="312"/>
      <c r="P479" s="312"/>
      <c r="Q479" s="312"/>
      <c r="R479" s="312"/>
      <c r="S479" s="312"/>
      <c r="T479" s="310"/>
      <c r="U479" s="311"/>
      <c r="X479" s="63">
        <v>22</v>
      </c>
    </row>
    <row r="480" spans="2:24">
      <c r="B480" s="136" t="s">
        <v>342</v>
      </c>
      <c r="C480" s="255"/>
      <c r="D480" s="294"/>
      <c r="E480" s="294"/>
      <c r="F480" s="294"/>
      <c r="G480" s="312">
        <v>19.600000000000001</v>
      </c>
      <c r="H480" s="312">
        <v>34</v>
      </c>
      <c r="I480" s="294"/>
      <c r="J480" s="294"/>
      <c r="K480" s="294"/>
      <c r="L480" s="294"/>
      <c r="M480" s="294"/>
      <c r="N480" s="294"/>
      <c r="O480" s="294"/>
      <c r="P480" s="294"/>
      <c r="Q480" s="294"/>
      <c r="R480" s="294"/>
      <c r="S480" s="294"/>
      <c r="T480" s="295"/>
      <c r="U480" s="296"/>
      <c r="X480" s="63">
        <v>23</v>
      </c>
    </row>
    <row r="481" spans="2:24" ht="16" thickBot="1">
      <c r="B481" s="143" t="s">
        <v>343</v>
      </c>
      <c r="C481" s="261"/>
      <c r="D481" s="313"/>
      <c r="E481" s="313"/>
      <c r="F481" s="313"/>
      <c r="G481" s="313"/>
      <c r="H481" s="313"/>
      <c r="I481" s="313"/>
      <c r="J481" s="313"/>
      <c r="K481" s="313"/>
      <c r="L481" s="313"/>
      <c r="M481" s="313"/>
      <c r="N481" s="313"/>
      <c r="O481" s="313"/>
      <c r="P481" s="313"/>
      <c r="Q481" s="313"/>
      <c r="R481" s="313"/>
      <c r="S481" s="313"/>
      <c r="T481" s="298"/>
      <c r="U481" s="299"/>
      <c r="X481" s="63">
        <v>24</v>
      </c>
    </row>
    <row r="482" spans="2:24">
      <c r="B482" s="63" t="s">
        <v>355</v>
      </c>
      <c r="D482" s="63" t="s">
        <v>4</v>
      </c>
      <c r="E482" s="63" t="s">
        <v>5</v>
      </c>
      <c r="F482" s="314" t="s">
        <v>356</v>
      </c>
      <c r="G482" s="63" t="s">
        <v>357</v>
      </c>
      <c r="H482" s="63" t="s">
        <v>358</v>
      </c>
      <c r="I482" s="63" t="s">
        <v>359</v>
      </c>
      <c r="J482" s="63" t="s">
        <v>360</v>
      </c>
      <c r="K482" s="63" t="s">
        <v>361</v>
      </c>
      <c r="L482" s="63" t="s">
        <v>362</v>
      </c>
      <c r="M482" s="63" t="s">
        <v>363</v>
      </c>
      <c r="N482" s="63" t="s">
        <v>364</v>
      </c>
      <c r="O482" s="63" t="s">
        <v>365</v>
      </c>
      <c r="P482" s="63" t="s">
        <v>217</v>
      </c>
      <c r="Q482" s="63" t="s">
        <v>366</v>
      </c>
      <c r="R482" s="63" t="s">
        <v>218</v>
      </c>
      <c r="S482" s="63" t="s">
        <v>327</v>
      </c>
      <c r="T482" s="63" t="s">
        <v>328</v>
      </c>
      <c r="U482" s="63" t="s">
        <v>367</v>
      </c>
      <c r="V482" s="309" t="s">
        <v>368</v>
      </c>
    </row>
    <row r="483" spans="2:24" ht="31" thickBot="1">
      <c r="B483" s="308" t="s">
        <v>369</v>
      </c>
      <c r="C483" s="267"/>
      <c r="D483" s="267"/>
      <c r="E483" s="267"/>
      <c r="F483" s="267"/>
      <c r="G483" s="267"/>
      <c r="H483" s="267"/>
      <c r="I483" s="267"/>
      <c r="J483" s="267"/>
      <c r="K483" s="267"/>
      <c r="L483" s="315" t="s">
        <v>370</v>
      </c>
      <c r="M483" s="316" t="s">
        <v>371</v>
      </c>
      <c r="N483" s="317" t="s">
        <v>372</v>
      </c>
      <c r="O483" s="318" t="s">
        <v>373</v>
      </c>
      <c r="P483" s="267"/>
      <c r="Q483" s="317"/>
      <c r="R483" s="267"/>
      <c r="S483" s="267"/>
      <c r="T483" s="267"/>
      <c r="U483" s="267"/>
    </row>
    <row r="484" spans="2:24">
      <c r="B484" s="319" t="s">
        <v>316</v>
      </c>
      <c r="C484" s="320"/>
      <c r="D484" s="321"/>
      <c r="E484" s="322">
        <v>2400</v>
      </c>
      <c r="F484" s="322" t="s">
        <v>374</v>
      </c>
      <c r="G484" s="322"/>
      <c r="H484" s="322"/>
      <c r="I484" s="322"/>
      <c r="J484" s="322"/>
      <c r="K484" s="322"/>
      <c r="L484" s="323">
        <v>150</v>
      </c>
      <c r="M484" s="323">
        <v>300</v>
      </c>
      <c r="N484" s="323">
        <v>450</v>
      </c>
      <c r="O484" s="323">
        <v>600</v>
      </c>
      <c r="P484" s="322"/>
      <c r="Q484" s="322">
        <v>1800</v>
      </c>
      <c r="R484" s="322"/>
      <c r="S484" s="322"/>
      <c r="T484" s="322"/>
      <c r="U484" s="324"/>
      <c r="X484" s="63">
        <v>1</v>
      </c>
    </row>
    <row r="485" spans="2:24">
      <c r="B485" s="271" t="s">
        <v>314</v>
      </c>
      <c r="C485" s="272"/>
      <c r="D485" s="295"/>
      <c r="E485" s="325">
        <v>730</v>
      </c>
      <c r="F485" s="325" t="s">
        <v>374</v>
      </c>
      <c r="G485" s="325"/>
      <c r="H485" s="325"/>
      <c r="I485" s="325"/>
      <c r="J485" s="325"/>
      <c r="K485" s="325"/>
      <c r="L485" s="310">
        <v>150</v>
      </c>
      <c r="M485" s="310">
        <v>300</v>
      </c>
      <c r="N485" s="310">
        <v>450</v>
      </c>
      <c r="O485" s="310">
        <v>600</v>
      </c>
      <c r="P485" s="325"/>
      <c r="Q485" s="325">
        <v>1800</v>
      </c>
      <c r="R485" s="325" t="s">
        <v>375</v>
      </c>
      <c r="S485" s="325"/>
      <c r="T485" s="325"/>
      <c r="U485" s="326"/>
      <c r="X485" s="63">
        <v>2</v>
      </c>
    </row>
    <row r="486" spans="2:24">
      <c r="B486" s="271" t="s">
        <v>312</v>
      </c>
      <c r="C486" s="272"/>
      <c r="D486" s="295"/>
      <c r="E486" s="325">
        <v>730</v>
      </c>
      <c r="F486" s="325" t="s">
        <v>374</v>
      </c>
      <c r="G486" s="325"/>
      <c r="H486" s="325"/>
      <c r="I486" s="325"/>
      <c r="J486" s="325"/>
      <c r="K486" s="325"/>
      <c r="L486" s="310">
        <v>150</v>
      </c>
      <c r="M486" s="310">
        <v>300</v>
      </c>
      <c r="N486" s="310">
        <v>450</v>
      </c>
      <c r="O486" s="310">
        <v>600</v>
      </c>
      <c r="P486" s="325"/>
      <c r="Q486" s="325">
        <v>1800</v>
      </c>
      <c r="R486" s="325" t="s">
        <v>375</v>
      </c>
      <c r="S486" s="325"/>
      <c r="T486" s="325"/>
      <c r="U486" s="326"/>
      <c r="X486" s="63">
        <v>3</v>
      </c>
    </row>
    <row r="487" spans="2:24">
      <c r="B487" s="271" t="s">
        <v>310</v>
      </c>
      <c r="C487" s="272"/>
      <c r="D487" s="295"/>
      <c r="E487" s="325">
        <v>730</v>
      </c>
      <c r="F487" s="325" t="s">
        <v>374</v>
      </c>
      <c r="G487" s="325"/>
      <c r="H487" s="325"/>
      <c r="I487" s="325"/>
      <c r="J487" s="325"/>
      <c r="K487" s="325"/>
      <c r="L487" s="310">
        <v>150</v>
      </c>
      <c r="M487" s="310">
        <v>300</v>
      </c>
      <c r="N487" s="310">
        <v>450</v>
      </c>
      <c r="O487" s="310">
        <v>600</v>
      </c>
      <c r="P487" s="325"/>
      <c r="Q487" s="325">
        <v>1800</v>
      </c>
      <c r="R487" s="325" t="s">
        <v>375</v>
      </c>
      <c r="S487" s="325"/>
      <c r="T487" s="325"/>
      <c r="U487" s="326"/>
      <c r="X487" s="63">
        <v>4</v>
      </c>
    </row>
    <row r="488" spans="2:24">
      <c r="B488" s="271" t="s">
        <v>330</v>
      </c>
      <c r="C488" s="272"/>
      <c r="D488" s="295"/>
      <c r="E488" s="295"/>
      <c r="F488" s="295"/>
      <c r="G488" s="295"/>
      <c r="H488" s="295"/>
      <c r="I488" s="295"/>
      <c r="J488" s="295"/>
      <c r="K488" s="295"/>
      <c r="L488" s="310">
        <v>150</v>
      </c>
      <c r="M488" s="310">
        <v>300</v>
      </c>
      <c r="N488" s="310">
        <v>450</v>
      </c>
      <c r="O488" s="310">
        <v>600</v>
      </c>
      <c r="P488" s="295"/>
      <c r="Q488" s="295"/>
      <c r="R488" s="295"/>
      <c r="S488" s="295"/>
      <c r="T488" s="295"/>
      <c r="U488" s="296"/>
      <c r="X488" s="63">
        <v>5</v>
      </c>
    </row>
    <row r="489" spans="2:24">
      <c r="B489" s="271" t="s">
        <v>331</v>
      </c>
      <c r="C489" s="272"/>
      <c r="D489" s="295"/>
      <c r="E489" s="295"/>
      <c r="F489" s="295"/>
      <c r="G489" s="295"/>
      <c r="H489" s="295"/>
      <c r="I489" s="295"/>
      <c r="J489" s="295"/>
      <c r="K489" s="295"/>
      <c r="L489" s="310">
        <v>225</v>
      </c>
      <c r="M489" s="310">
        <v>450</v>
      </c>
      <c r="N489" s="310">
        <v>675</v>
      </c>
      <c r="O489" s="310">
        <v>900</v>
      </c>
      <c r="P489" s="295"/>
      <c r="Q489" s="295"/>
      <c r="R489" s="295"/>
      <c r="S489" s="295"/>
      <c r="T489" s="295"/>
      <c r="U489" s="296"/>
      <c r="X489" s="63">
        <v>6</v>
      </c>
    </row>
    <row r="490" spans="2:24">
      <c r="B490" s="271" t="s">
        <v>332</v>
      </c>
      <c r="C490" s="272"/>
      <c r="D490" s="295"/>
      <c r="E490" s="295"/>
      <c r="F490" s="295"/>
      <c r="G490" s="295"/>
      <c r="H490" s="295"/>
      <c r="I490" s="295"/>
      <c r="J490" s="295"/>
      <c r="K490" s="295"/>
      <c r="L490" s="295"/>
      <c r="M490" s="295"/>
      <c r="N490" s="295"/>
      <c r="O490" s="295"/>
      <c r="P490" s="295"/>
      <c r="Q490" s="295"/>
      <c r="R490" s="295"/>
      <c r="S490" s="295"/>
      <c r="T490" s="295"/>
      <c r="U490" s="296"/>
      <c r="X490" s="63">
        <v>7</v>
      </c>
    </row>
    <row r="491" spans="2:24">
      <c r="B491" s="271" t="s">
        <v>333</v>
      </c>
      <c r="C491" s="272"/>
      <c r="D491" s="295"/>
      <c r="E491" s="295"/>
      <c r="F491" s="295"/>
      <c r="G491" s="295"/>
      <c r="H491" s="295"/>
      <c r="I491" s="295"/>
      <c r="J491" s="295"/>
      <c r="K491" s="295"/>
      <c r="L491" s="295"/>
      <c r="M491" s="295"/>
      <c r="N491" s="295"/>
      <c r="O491" s="295"/>
      <c r="P491" s="295"/>
      <c r="Q491" s="295"/>
      <c r="R491" s="295"/>
      <c r="S491" s="295"/>
      <c r="T491" s="295"/>
      <c r="U491" s="296"/>
      <c r="X491" s="63">
        <v>8</v>
      </c>
    </row>
    <row r="492" spans="2:24">
      <c r="B492" s="271" t="s">
        <v>334</v>
      </c>
      <c r="C492" s="272"/>
      <c r="D492" s="295"/>
      <c r="E492" s="325"/>
      <c r="F492" s="325"/>
      <c r="G492" s="325"/>
      <c r="H492" s="325"/>
      <c r="I492" s="325"/>
      <c r="J492" s="325"/>
      <c r="K492" s="325"/>
      <c r="L492" s="325"/>
      <c r="M492" s="325"/>
      <c r="N492" s="325"/>
      <c r="O492" s="325"/>
      <c r="P492" s="325"/>
      <c r="Q492" s="325">
        <v>1800</v>
      </c>
      <c r="R492" s="325" t="s">
        <v>376</v>
      </c>
      <c r="S492" s="325"/>
      <c r="T492" s="325"/>
      <c r="U492" s="326"/>
      <c r="X492" s="63">
        <v>9</v>
      </c>
    </row>
    <row r="493" spans="2:24">
      <c r="B493" s="271" t="s">
        <v>308</v>
      </c>
      <c r="C493" s="272"/>
      <c r="D493" s="295"/>
      <c r="E493" s="325">
        <v>730</v>
      </c>
      <c r="F493" s="325" t="s">
        <v>374</v>
      </c>
      <c r="G493" s="325"/>
      <c r="H493" s="325"/>
      <c r="I493" s="325"/>
      <c r="J493" s="325"/>
      <c r="K493" s="325"/>
      <c r="L493" s="325">
        <v>75</v>
      </c>
      <c r="M493" s="325">
        <v>150</v>
      </c>
      <c r="N493" s="325">
        <v>225</v>
      </c>
      <c r="O493" s="325">
        <v>300</v>
      </c>
      <c r="P493" s="325"/>
      <c r="Q493" s="325"/>
      <c r="R493" s="325"/>
      <c r="S493" s="325"/>
      <c r="T493" s="325"/>
      <c r="U493" s="326"/>
      <c r="X493" s="63">
        <v>10</v>
      </c>
    </row>
    <row r="494" spans="2:24">
      <c r="B494" s="271" t="s">
        <v>307</v>
      </c>
      <c r="C494" s="272"/>
      <c r="D494" s="295"/>
      <c r="E494" s="325">
        <v>600</v>
      </c>
      <c r="F494" s="325" t="s">
        <v>374</v>
      </c>
      <c r="G494" s="325"/>
      <c r="H494" s="325"/>
      <c r="I494" s="325"/>
      <c r="J494" s="325"/>
      <c r="K494" s="325"/>
      <c r="L494" s="325"/>
      <c r="M494" s="325"/>
      <c r="N494" s="325"/>
      <c r="O494" s="325"/>
      <c r="P494" s="325"/>
      <c r="Q494" s="325"/>
      <c r="R494" s="325"/>
      <c r="S494" s="325"/>
      <c r="T494" s="325"/>
      <c r="U494" s="326"/>
      <c r="X494" s="63">
        <v>11</v>
      </c>
    </row>
    <row r="495" spans="2:24">
      <c r="B495" s="271" t="s">
        <v>306</v>
      </c>
      <c r="C495" s="272"/>
      <c r="D495" s="295"/>
      <c r="E495" s="325">
        <v>270</v>
      </c>
      <c r="F495" s="325" t="s">
        <v>374</v>
      </c>
      <c r="G495" s="325"/>
      <c r="H495" s="325"/>
      <c r="I495" s="325"/>
      <c r="J495" s="325"/>
      <c r="K495" s="325"/>
      <c r="L495" s="325"/>
      <c r="M495" s="325"/>
      <c r="N495" s="325"/>
      <c r="O495" s="325"/>
      <c r="P495" s="325"/>
      <c r="Q495" s="325"/>
      <c r="R495" s="325"/>
      <c r="S495" s="325"/>
      <c r="T495" s="325"/>
      <c r="U495" s="326"/>
      <c r="X495" s="63">
        <v>12</v>
      </c>
    </row>
    <row r="496" spans="2:24">
      <c r="B496" s="271" t="s">
        <v>335</v>
      </c>
      <c r="C496" s="272"/>
      <c r="D496" s="295"/>
      <c r="E496" s="325">
        <v>270</v>
      </c>
      <c r="F496" s="325" t="s">
        <v>374</v>
      </c>
      <c r="G496" s="325"/>
      <c r="H496" s="325"/>
      <c r="I496" s="325"/>
      <c r="J496" s="325"/>
      <c r="K496" s="325"/>
      <c r="L496" s="325"/>
      <c r="M496" s="325"/>
      <c r="N496" s="325"/>
      <c r="O496" s="325"/>
      <c r="P496" s="325"/>
      <c r="Q496" s="325" t="s">
        <v>377</v>
      </c>
      <c r="R496" s="325"/>
      <c r="S496" s="325"/>
      <c r="T496" s="325"/>
      <c r="U496" s="326"/>
      <c r="X496" s="63">
        <v>13</v>
      </c>
    </row>
    <row r="497" spans="2:24">
      <c r="B497" s="271" t="s">
        <v>305</v>
      </c>
      <c r="C497" s="272"/>
      <c r="D497" s="295"/>
      <c r="E497" s="325"/>
      <c r="F497" s="325"/>
      <c r="G497" s="325"/>
      <c r="H497" s="325"/>
      <c r="I497" s="325"/>
      <c r="J497" s="325"/>
      <c r="K497" s="325"/>
      <c r="L497" s="325"/>
      <c r="M497" s="325"/>
      <c r="N497" s="325"/>
      <c r="O497" s="325"/>
      <c r="P497" s="325"/>
      <c r="Q497" s="325"/>
      <c r="R497" s="325"/>
      <c r="S497" s="325"/>
      <c r="T497" s="325"/>
      <c r="U497" s="326"/>
      <c r="X497" s="63">
        <v>14</v>
      </c>
    </row>
    <row r="498" spans="2:24">
      <c r="B498" s="271" t="s">
        <v>336</v>
      </c>
      <c r="C498" s="272"/>
      <c r="D498" s="310"/>
      <c r="E498" s="310"/>
      <c r="F498" s="310"/>
      <c r="G498" s="310"/>
      <c r="H498" s="310"/>
      <c r="I498" s="310"/>
      <c r="J498" s="310"/>
      <c r="K498" s="310"/>
      <c r="L498" s="310">
        <v>225</v>
      </c>
      <c r="M498" s="310">
        <v>450</v>
      </c>
      <c r="N498" s="310">
        <v>675</v>
      </c>
      <c r="O498" s="310">
        <v>900</v>
      </c>
      <c r="P498" s="310"/>
      <c r="Q498" s="310"/>
      <c r="R498" s="310"/>
      <c r="S498" s="310"/>
      <c r="T498" s="310"/>
      <c r="U498" s="311"/>
      <c r="X498" s="63">
        <v>15</v>
      </c>
    </row>
    <row r="499" spans="2:24">
      <c r="B499" s="271" t="s">
        <v>337</v>
      </c>
      <c r="C499" s="272"/>
      <c r="D499" s="310"/>
      <c r="E499" s="310"/>
      <c r="F499" s="310"/>
      <c r="G499" s="310"/>
      <c r="H499" s="310"/>
      <c r="I499" s="310"/>
      <c r="J499" s="310"/>
      <c r="K499" s="310"/>
      <c r="L499" s="310">
        <v>150</v>
      </c>
      <c r="M499" s="310">
        <v>300</v>
      </c>
      <c r="N499" s="310">
        <v>450</v>
      </c>
      <c r="O499" s="310">
        <v>600</v>
      </c>
      <c r="P499" s="310"/>
      <c r="Q499" s="310"/>
      <c r="R499" s="310"/>
      <c r="S499" s="310"/>
      <c r="T499" s="310"/>
      <c r="U499" s="311"/>
      <c r="X499" s="63">
        <v>16</v>
      </c>
    </row>
    <row r="500" spans="2:24">
      <c r="B500" s="271" t="s">
        <v>303</v>
      </c>
      <c r="C500" s="272"/>
      <c r="D500" s="310"/>
      <c r="E500" s="310"/>
      <c r="F500" s="310"/>
      <c r="G500" s="310"/>
      <c r="H500" s="310"/>
      <c r="I500" s="310"/>
      <c r="J500" s="310"/>
      <c r="K500" s="310"/>
      <c r="L500" s="310"/>
      <c r="M500" s="310"/>
      <c r="N500" s="310"/>
      <c r="O500" s="310"/>
      <c r="P500" s="310"/>
      <c r="Q500" s="310"/>
      <c r="R500" s="310"/>
      <c r="S500" s="310"/>
      <c r="T500" s="310"/>
      <c r="U500" s="311"/>
      <c r="X500" s="63">
        <v>17</v>
      </c>
    </row>
    <row r="501" spans="2:24">
      <c r="B501" s="271" t="s">
        <v>338</v>
      </c>
      <c r="C501" s="272"/>
      <c r="D501" s="310"/>
      <c r="E501" s="310"/>
      <c r="F501" s="310"/>
      <c r="G501" s="310"/>
      <c r="H501" s="310"/>
      <c r="I501" s="310"/>
      <c r="J501" s="310"/>
      <c r="K501" s="310"/>
      <c r="L501" s="310"/>
      <c r="M501" s="310"/>
      <c r="N501" s="310"/>
      <c r="O501" s="310"/>
      <c r="P501" s="310"/>
      <c r="Q501" s="310"/>
      <c r="R501" s="310"/>
      <c r="S501" s="310"/>
      <c r="T501" s="310"/>
      <c r="U501" s="311"/>
      <c r="X501" s="63">
        <v>18</v>
      </c>
    </row>
    <row r="502" spans="2:24">
      <c r="B502" s="271" t="s">
        <v>339</v>
      </c>
      <c r="C502" s="272"/>
      <c r="D502" s="310"/>
      <c r="E502" s="310"/>
      <c r="F502" s="310"/>
      <c r="G502" s="310"/>
      <c r="H502" s="310"/>
      <c r="I502" s="310"/>
      <c r="J502" s="310"/>
      <c r="K502" s="310"/>
      <c r="L502" s="310"/>
      <c r="M502" s="310"/>
      <c r="N502" s="310"/>
      <c r="O502" s="310"/>
      <c r="P502" s="310"/>
      <c r="Q502" s="310"/>
      <c r="R502" s="310"/>
      <c r="S502" s="310"/>
      <c r="T502" s="310"/>
      <c r="U502" s="311"/>
      <c r="X502" s="63">
        <v>19</v>
      </c>
    </row>
    <row r="503" spans="2:24">
      <c r="B503" s="271" t="s">
        <v>301</v>
      </c>
      <c r="C503" s="272"/>
      <c r="D503" s="310"/>
      <c r="E503" s="310"/>
      <c r="F503" s="310"/>
      <c r="G503" s="310"/>
      <c r="H503" s="310"/>
      <c r="I503" s="310"/>
      <c r="J503" s="310"/>
      <c r="K503" s="310"/>
      <c r="L503" s="310"/>
      <c r="M503" s="310"/>
      <c r="N503" s="310"/>
      <c r="O503" s="310"/>
      <c r="P503" s="310"/>
      <c r="Q503" s="310"/>
      <c r="R503" s="310"/>
      <c r="S503" s="310"/>
      <c r="T503" s="310"/>
      <c r="U503" s="311"/>
      <c r="X503" s="63">
        <v>20</v>
      </c>
    </row>
    <row r="504" spans="2:24">
      <c r="B504" s="271" t="s">
        <v>340</v>
      </c>
      <c r="C504" s="272"/>
      <c r="D504" s="310"/>
      <c r="E504" s="310"/>
      <c r="F504" s="310"/>
      <c r="G504" s="310"/>
      <c r="H504" s="310"/>
      <c r="I504" s="310"/>
      <c r="J504" s="310"/>
      <c r="K504" s="310"/>
      <c r="L504" s="310"/>
      <c r="M504" s="310"/>
      <c r="N504" s="310"/>
      <c r="O504" s="310"/>
      <c r="P504" s="310"/>
      <c r="Q504" s="310"/>
      <c r="R504" s="310"/>
      <c r="S504" s="310"/>
      <c r="T504" s="310"/>
      <c r="U504" s="311"/>
      <c r="X504" s="63">
        <v>21</v>
      </c>
    </row>
    <row r="505" spans="2:24">
      <c r="B505" s="271" t="s">
        <v>341</v>
      </c>
      <c r="C505" s="272"/>
      <c r="D505" s="310"/>
      <c r="E505" s="310"/>
      <c r="F505" s="310"/>
      <c r="G505" s="310"/>
      <c r="H505" s="310"/>
      <c r="I505" s="310"/>
      <c r="J505" s="310"/>
      <c r="K505" s="310"/>
      <c r="L505" s="310"/>
      <c r="M505" s="310"/>
      <c r="N505" s="310"/>
      <c r="O505" s="310"/>
      <c r="P505" s="310"/>
      <c r="Q505" s="310"/>
      <c r="R505" s="310"/>
      <c r="S505" s="310"/>
      <c r="T505" s="310"/>
      <c r="U505" s="311"/>
      <c r="X505" s="63">
        <v>22</v>
      </c>
    </row>
    <row r="506" spans="2:24">
      <c r="B506" s="271" t="s">
        <v>342</v>
      </c>
      <c r="C506" s="272"/>
      <c r="D506" s="325"/>
      <c r="E506" s="325"/>
      <c r="F506" s="325"/>
      <c r="G506" s="325"/>
      <c r="H506" s="325"/>
      <c r="I506" s="325"/>
      <c r="J506" s="325"/>
      <c r="K506" s="325"/>
      <c r="L506" s="325"/>
      <c r="M506" s="325"/>
      <c r="N506" s="325"/>
      <c r="O506" s="325"/>
      <c r="P506" s="325"/>
      <c r="Q506" s="325"/>
      <c r="R506" s="325"/>
      <c r="S506" s="325"/>
      <c r="T506" s="325"/>
      <c r="U506" s="326"/>
      <c r="X506" s="63">
        <v>23</v>
      </c>
    </row>
    <row r="507" spans="2:24" ht="16" thickBot="1">
      <c r="B507" s="273" t="s">
        <v>343</v>
      </c>
      <c r="C507" s="274"/>
      <c r="D507" s="327"/>
      <c r="E507" s="327"/>
      <c r="F507" s="327"/>
      <c r="G507" s="327"/>
      <c r="H507" s="327"/>
      <c r="I507" s="327"/>
      <c r="J507" s="327"/>
      <c r="K507" s="327"/>
      <c r="L507" s="327"/>
      <c r="M507" s="327"/>
      <c r="N507" s="327"/>
      <c r="O507" s="327"/>
      <c r="P507" s="327"/>
      <c r="Q507" s="327"/>
      <c r="R507" s="327"/>
      <c r="S507" s="327"/>
      <c r="T507" s="327"/>
      <c r="U507" s="328"/>
      <c r="X507" s="63">
        <v>24</v>
      </c>
    </row>
    <row r="508" spans="2:24">
      <c r="B508" s="267"/>
      <c r="C508" s="267"/>
      <c r="D508" s="267"/>
      <c r="E508" s="267"/>
      <c r="F508" s="267"/>
      <c r="G508" s="267"/>
      <c r="H508" s="267"/>
      <c r="I508" s="267"/>
      <c r="J508" s="267"/>
      <c r="K508" s="267"/>
      <c r="L508" s="267"/>
      <c r="M508" s="267"/>
      <c r="N508" s="267"/>
      <c r="O508" s="267"/>
      <c r="P508" s="267"/>
      <c r="Q508" s="267"/>
      <c r="R508" s="267"/>
      <c r="S508" s="267"/>
      <c r="T508" s="267"/>
      <c r="U508" s="267"/>
    </row>
    <row r="509" spans="2:24" ht="16" thickBot="1">
      <c r="B509" s="308" t="s">
        <v>378</v>
      </c>
      <c r="C509" s="267"/>
      <c r="D509" s="267"/>
      <c r="E509" s="267"/>
      <c r="F509" s="267"/>
      <c r="G509" s="267"/>
      <c r="H509" s="267"/>
      <c r="I509" s="267"/>
      <c r="J509" s="267"/>
      <c r="K509" s="267"/>
      <c r="L509" s="267"/>
      <c r="M509" s="267"/>
      <c r="N509" s="267"/>
      <c r="O509" s="267"/>
      <c r="P509" s="267"/>
      <c r="Q509" s="267"/>
      <c r="R509" s="267"/>
      <c r="S509" s="267"/>
      <c r="T509" s="267"/>
      <c r="U509" s="267"/>
      <c r="V509" s="63" t="s">
        <v>379</v>
      </c>
    </row>
    <row r="510" spans="2:24">
      <c r="B510" s="319"/>
      <c r="C510" s="320"/>
      <c r="D510" s="329" t="s">
        <v>4</v>
      </c>
      <c r="E510" s="329" t="s">
        <v>5</v>
      </c>
      <c r="F510" s="329" t="s">
        <v>380</v>
      </c>
      <c r="G510" s="329"/>
      <c r="H510" s="329" t="s">
        <v>381</v>
      </c>
      <c r="I510" s="329" t="s">
        <v>243</v>
      </c>
      <c r="J510" s="329" t="s">
        <v>382</v>
      </c>
      <c r="K510" s="329" t="s">
        <v>328</v>
      </c>
      <c r="L510" s="329" t="s">
        <v>361</v>
      </c>
      <c r="M510" s="329" t="s">
        <v>383</v>
      </c>
      <c r="N510" s="329" t="s">
        <v>363</v>
      </c>
      <c r="O510" s="329" t="s">
        <v>364</v>
      </c>
      <c r="P510" s="329" t="s">
        <v>365</v>
      </c>
      <c r="Q510" s="329" t="s">
        <v>217</v>
      </c>
      <c r="R510" s="329" t="s">
        <v>366</v>
      </c>
      <c r="S510" s="329"/>
      <c r="T510" s="329" t="s">
        <v>384</v>
      </c>
      <c r="U510" s="330" t="s">
        <v>385</v>
      </c>
      <c r="V510" s="309" t="s">
        <v>386</v>
      </c>
    </row>
    <row r="511" spans="2:24">
      <c r="B511" s="271" t="s">
        <v>316</v>
      </c>
      <c r="C511" s="272"/>
      <c r="D511" s="295"/>
      <c r="E511" s="295">
        <v>81.599999999999994</v>
      </c>
      <c r="F511" s="295">
        <v>68.2</v>
      </c>
      <c r="G511" s="295"/>
      <c r="H511" s="295"/>
      <c r="I511" s="295"/>
      <c r="J511" s="295"/>
      <c r="K511" s="295"/>
      <c r="L511" s="295"/>
      <c r="M511" s="295"/>
      <c r="N511" s="295"/>
      <c r="O511" s="295"/>
      <c r="P511" s="295"/>
      <c r="Q511" s="295"/>
      <c r="R511" s="295"/>
      <c r="S511" s="295"/>
      <c r="T511" s="295"/>
      <c r="U511" s="296"/>
      <c r="V511" s="63" t="s">
        <v>387</v>
      </c>
      <c r="X511" s="63">
        <v>1</v>
      </c>
    </row>
    <row r="512" spans="2:24">
      <c r="B512" s="271" t="s">
        <v>314</v>
      </c>
      <c r="C512" s="272"/>
      <c r="D512" s="295"/>
      <c r="E512" s="295"/>
      <c r="F512" s="295"/>
      <c r="G512" s="295"/>
      <c r="H512" s="295"/>
      <c r="I512" s="295"/>
      <c r="J512" s="295"/>
      <c r="K512" s="295"/>
      <c r="L512" s="295"/>
      <c r="M512" s="295"/>
      <c r="N512" s="295"/>
      <c r="O512" s="295"/>
      <c r="P512" s="295"/>
      <c r="Q512" s="295"/>
      <c r="R512" s="295" t="s">
        <v>388</v>
      </c>
      <c r="S512" s="295"/>
      <c r="T512" s="295"/>
      <c r="U512" s="296"/>
      <c r="V512" s="63" t="s">
        <v>389</v>
      </c>
      <c r="X512" s="63">
        <v>2</v>
      </c>
    </row>
    <row r="513" spans="2:24">
      <c r="B513" s="271" t="s">
        <v>312</v>
      </c>
      <c r="C513" s="272"/>
      <c r="D513" s="295"/>
      <c r="E513" s="295"/>
      <c r="F513" s="295"/>
      <c r="G513" s="295"/>
      <c r="H513" s="295"/>
      <c r="I513" s="295"/>
      <c r="J513" s="295"/>
      <c r="K513" s="295"/>
      <c r="L513" s="295"/>
      <c r="M513" s="295"/>
      <c r="N513" s="295"/>
      <c r="O513" s="295"/>
      <c r="P513" s="295"/>
      <c r="Q513" s="295"/>
      <c r="R513" s="295" t="s">
        <v>388</v>
      </c>
      <c r="S513" s="295"/>
      <c r="T513" s="295"/>
      <c r="U513" s="296"/>
      <c r="X513" s="63">
        <v>3</v>
      </c>
    </row>
    <row r="514" spans="2:24">
      <c r="B514" s="271" t="s">
        <v>310</v>
      </c>
      <c r="C514" s="272"/>
      <c r="D514" s="295"/>
      <c r="E514" s="295"/>
      <c r="F514" s="295"/>
      <c r="G514" s="295"/>
      <c r="H514" s="295"/>
      <c r="I514" s="295"/>
      <c r="J514" s="295"/>
      <c r="K514" s="295"/>
      <c r="L514" s="295"/>
      <c r="M514" s="295"/>
      <c r="N514" s="295"/>
      <c r="O514" s="295"/>
      <c r="P514" s="295"/>
      <c r="Q514" s="295"/>
      <c r="R514" s="295" t="s">
        <v>390</v>
      </c>
      <c r="S514" s="295"/>
      <c r="T514" s="295"/>
      <c r="U514" s="296"/>
      <c r="V514" s="63" t="s">
        <v>391</v>
      </c>
      <c r="X514" s="63">
        <v>4</v>
      </c>
    </row>
    <row r="515" spans="2:24">
      <c r="B515" s="271" t="s">
        <v>330</v>
      </c>
      <c r="C515" s="272"/>
      <c r="D515" s="295"/>
      <c r="E515" s="295"/>
      <c r="F515" s="295"/>
      <c r="G515" s="295"/>
      <c r="H515" s="295"/>
      <c r="I515" s="295"/>
      <c r="J515" s="295"/>
      <c r="K515" s="295"/>
      <c r="L515" s="295"/>
      <c r="M515" s="295"/>
      <c r="N515" s="295"/>
      <c r="O515" s="295"/>
      <c r="P515" s="295"/>
      <c r="Q515" s="295"/>
      <c r="R515" s="295"/>
      <c r="S515" s="295"/>
      <c r="T515" s="295"/>
      <c r="U515" s="296"/>
      <c r="X515" s="63">
        <v>5</v>
      </c>
    </row>
    <row r="516" spans="2:24">
      <c r="B516" s="271" t="s">
        <v>331</v>
      </c>
      <c r="C516" s="272"/>
      <c r="D516" s="295"/>
      <c r="E516" s="295"/>
      <c r="F516" s="295"/>
      <c r="G516" s="295"/>
      <c r="H516" s="295"/>
      <c r="I516" s="295"/>
      <c r="J516" s="295"/>
      <c r="K516" s="295"/>
      <c r="L516" s="295"/>
      <c r="M516" s="295"/>
      <c r="N516" s="295"/>
      <c r="O516" s="295"/>
      <c r="P516" s="295"/>
      <c r="Q516" s="295"/>
      <c r="R516" s="295"/>
      <c r="S516" s="295"/>
      <c r="T516" s="295"/>
      <c r="U516" s="296"/>
      <c r="X516" s="63">
        <v>6</v>
      </c>
    </row>
    <row r="517" spans="2:24">
      <c r="B517" s="271" t="s">
        <v>332</v>
      </c>
      <c r="C517" s="272"/>
      <c r="D517" s="295"/>
      <c r="E517" s="295"/>
      <c r="F517" s="295"/>
      <c r="G517" s="295"/>
      <c r="H517" s="295"/>
      <c r="I517" s="295"/>
      <c r="J517" s="295"/>
      <c r="K517" s="295"/>
      <c r="L517" s="295"/>
      <c r="M517" s="295"/>
      <c r="N517" s="295"/>
      <c r="O517" s="295"/>
      <c r="P517" s="295"/>
      <c r="Q517" s="295"/>
      <c r="R517" s="295"/>
      <c r="S517" s="295"/>
      <c r="T517" s="295"/>
      <c r="U517" s="296"/>
      <c r="X517" s="63">
        <v>7</v>
      </c>
    </row>
    <row r="518" spans="2:24">
      <c r="B518" s="271" t="s">
        <v>333</v>
      </c>
      <c r="C518" s="272"/>
      <c r="D518" s="295"/>
      <c r="E518" s="295"/>
      <c r="F518" s="295"/>
      <c r="G518" s="295"/>
      <c r="H518" s="295"/>
      <c r="I518" s="295"/>
      <c r="J518" s="295"/>
      <c r="K518" s="295"/>
      <c r="L518" s="295"/>
      <c r="M518" s="295"/>
      <c r="N518" s="295"/>
      <c r="O518" s="295"/>
      <c r="P518" s="295"/>
      <c r="Q518" s="295"/>
      <c r="R518" s="295"/>
      <c r="S518" s="295"/>
      <c r="T518" s="295"/>
      <c r="U518" s="296"/>
      <c r="X518" s="63">
        <v>8</v>
      </c>
    </row>
    <row r="519" spans="2:24">
      <c r="B519" s="271" t="s">
        <v>334</v>
      </c>
      <c r="C519" s="272"/>
      <c r="D519" s="295"/>
      <c r="E519" s="295"/>
      <c r="F519" s="295"/>
      <c r="G519" s="295"/>
      <c r="H519" s="295"/>
      <c r="I519" s="295"/>
      <c r="J519" s="295"/>
      <c r="K519" s="295"/>
      <c r="L519" s="295"/>
      <c r="M519" s="295"/>
      <c r="N519" s="295"/>
      <c r="O519" s="295"/>
      <c r="P519" s="295"/>
      <c r="Q519" s="295"/>
      <c r="R519" s="295"/>
      <c r="S519" s="295"/>
      <c r="T519" s="295"/>
      <c r="U519" s="296"/>
      <c r="X519" s="63">
        <v>9</v>
      </c>
    </row>
    <row r="520" spans="2:24">
      <c r="B520" s="271" t="s">
        <v>392</v>
      </c>
      <c r="C520" s="272"/>
      <c r="D520" s="295"/>
      <c r="E520" s="295">
        <v>82.8</v>
      </c>
      <c r="F520" s="295"/>
      <c r="G520" s="295"/>
      <c r="H520" s="295"/>
      <c r="I520" s="295"/>
      <c r="J520" s="295"/>
      <c r="K520" s="295"/>
      <c r="L520" s="295"/>
      <c r="M520" s="295"/>
      <c r="N520" s="295"/>
      <c r="O520" s="295"/>
      <c r="P520" s="295"/>
      <c r="Q520" s="295"/>
      <c r="R520" s="295">
        <v>71.3</v>
      </c>
      <c r="S520" s="295"/>
      <c r="T520" s="295"/>
      <c r="U520" s="296"/>
      <c r="V520" s="63" t="s">
        <v>393</v>
      </c>
      <c r="X520" s="63">
        <v>10</v>
      </c>
    </row>
    <row r="521" spans="2:24">
      <c r="B521" s="271" t="s">
        <v>394</v>
      </c>
      <c r="C521" s="272"/>
      <c r="D521" s="295"/>
      <c r="E521" s="295">
        <v>79.5</v>
      </c>
      <c r="F521" s="295"/>
      <c r="G521" s="295"/>
      <c r="H521" s="295"/>
      <c r="I521" s="295"/>
      <c r="J521" s="295"/>
      <c r="K521" s="295"/>
      <c r="L521" s="295"/>
      <c r="M521" s="295"/>
      <c r="N521" s="295"/>
      <c r="O521" s="295"/>
      <c r="P521" s="295"/>
      <c r="Q521" s="295"/>
      <c r="R521" s="295">
        <v>69.3</v>
      </c>
      <c r="S521" s="295"/>
      <c r="T521" s="295"/>
      <c r="U521" s="296"/>
      <c r="V521" s="63" t="s">
        <v>393</v>
      </c>
      <c r="X521" s="63">
        <v>10</v>
      </c>
    </row>
    <row r="522" spans="2:24">
      <c r="B522" s="271" t="s">
        <v>395</v>
      </c>
      <c r="C522" s="272"/>
      <c r="D522" s="295"/>
      <c r="E522" s="295">
        <v>72.2</v>
      </c>
      <c r="F522" s="295"/>
      <c r="G522" s="295"/>
      <c r="H522" s="295"/>
      <c r="I522" s="295"/>
      <c r="J522" s="295"/>
      <c r="K522" s="295"/>
      <c r="L522" s="295"/>
      <c r="M522" s="295"/>
      <c r="N522" s="295"/>
      <c r="O522" s="295"/>
      <c r="P522" s="295"/>
      <c r="Q522" s="295"/>
      <c r="R522" s="295">
        <v>66.900000000000006</v>
      </c>
      <c r="S522" s="295"/>
      <c r="T522" s="295"/>
      <c r="U522" s="296"/>
      <c r="V522" s="63" t="s">
        <v>396</v>
      </c>
      <c r="X522" s="63">
        <v>10</v>
      </c>
    </row>
    <row r="523" spans="2:24">
      <c r="B523" s="271" t="s">
        <v>307</v>
      </c>
      <c r="C523" s="272"/>
      <c r="D523" s="295"/>
      <c r="E523" s="295"/>
      <c r="F523" s="295"/>
      <c r="G523" s="295"/>
      <c r="H523" s="295"/>
      <c r="I523" s="295"/>
      <c r="J523" s="295"/>
      <c r="K523" s="295"/>
      <c r="L523" s="295"/>
      <c r="M523" s="295"/>
      <c r="N523" s="295"/>
      <c r="O523" s="295"/>
      <c r="P523" s="295"/>
      <c r="Q523" s="295"/>
      <c r="R523" s="295"/>
      <c r="S523" s="295"/>
      <c r="T523" s="295"/>
      <c r="U523" s="296"/>
      <c r="V523" s="63" t="s">
        <v>397</v>
      </c>
      <c r="X523" s="63">
        <v>11</v>
      </c>
    </row>
    <row r="524" spans="2:24">
      <c r="B524" s="271" t="s">
        <v>398</v>
      </c>
      <c r="C524" s="272"/>
      <c r="D524" s="295"/>
      <c r="E524" s="295"/>
      <c r="F524" s="295"/>
      <c r="G524" s="295"/>
      <c r="H524" s="295"/>
      <c r="I524" s="295">
        <f>(60+59.8)/2</f>
        <v>59.9</v>
      </c>
      <c r="J524" s="295"/>
      <c r="K524" s="295"/>
      <c r="L524" s="295"/>
      <c r="M524" s="295"/>
      <c r="N524" s="295"/>
      <c r="O524" s="295"/>
      <c r="P524" s="295"/>
      <c r="Q524" s="295"/>
      <c r="R524" s="295"/>
      <c r="S524" s="295"/>
      <c r="T524" s="295"/>
      <c r="U524" s="296"/>
      <c r="V524" s="63" t="s">
        <v>399</v>
      </c>
      <c r="X524" s="63">
        <v>11</v>
      </c>
    </row>
    <row r="525" spans="2:24">
      <c r="B525" s="271" t="s">
        <v>400</v>
      </c>
      <c r="C525" s="272"/>
      <c r="D525" s="295"/>
      <c r="E525" s="295"/>
      <c r="F525" s="295"/>
      <c r="G525" s="295"/>
      <c r="H525" s="295"/>
      <c r="I525" s="295">
        <f>+(56.8+57.4)/2</f>
        <v>57.099999999999994</v>
      </c>
      <c r="J525" s="295"/>
      <c r="K525" s="295"/>
      <c r="L525" s="295"/>
      <c r="M525" s="295"/>
      <c r="N525" s="295"/>
      <c r="O525" s="295"/>
      <c r="P525" s="295"/>
      <c r="Q525" s="295"/>
      <c r="R525" s="295"/>
      <c r="S525" s="295"/>
      <c r="T525" s="295"/>
      <c r="U525" s="296"/>
      <c r="V525" s="63" t="s">
        <v>401</v>
      </c>
      <c r="X525" s="63">
        <v>11</v>
      </c>
    </row>
    <row r="526" spans="2:24">
      <c r="B526" s="271" t="s">
        <v>402</v>
      </c>
      <c r="C526" s="272"/>
      <c r="D526" s="295"/>
      <c r="E526" s="295"/>
      <c r="F526" s="295"/>
      <c r="G526" s="295"/>
      <c r="H526" s="295"/>
      <c r="I526" s="295">
        <v>42.9</v>
      </c>
      <c r="J526" s="295"/>
      <c r="K526" s="295"/>
      <c r="L526" s="295"/>
      <c r="M526" s="295"/>
      <c r="N526" s="295"/>
      <c r="O526" s="295"/>
      <c r="P526" s="295"/>
      <c r="Q526" s="295"/>
      <c r="R526" s="295"/>
      <c r="S526" s="295"/>
      <c r="T526" s="295"/>
      <c r="U526" s="296"/>
      <c r="V526" s="63" t="s">
        <v>403</v>
      </c>
      <c r="X526" s="63">
        <v>11</v>
      </c>
    </row>
    <row r="527" spans="2:24">
      <c r="B527" s="271" t="s">
        <v>306</v>
      </c>
      <c r="C527" s="272"/>
      <c r="D527" s="295"/>
      <c r="E527" s="295"/>
      <c r="F527" s="295"/>
      <c r="G527" s="295"/>
      <c r="H527" s="295"/>
      <c r="I527" s="295"/>
      <c r="J527" s="295"/>
      <c r="K527" s="295"/>
      <c r="L527" s="295"/>
      <c r="M527" s="295"/>
      <c r="N527" s="295"/>
      <c r="O527" s="295"/>
      <c r="P527" s="295"/>
      <c r="Q527" s="295"/>
      <c r="R527" s="295"/>
      <c r="S527" s="295"/>
      <c r="T527" s="295"/>
      <c r="U527" s="296"/>
      <c r="X527" s="63">
        <v>12</v>
      </c>
    </row>
    <row r="528" spans="2:24">
      <c r="B528" s="271" t="s">
        <v>335</v>
      </c>
      <c r="C528" s="272"/>
      <c r="D528" s="295"/>
      <c r="E528" s="295"/>
      <c r="F528" s="295"/>
      <c r="G528" s="295"/>
      <c r="H528" s="295"/>
      <c r="I528" s="295"/>
      <c r="J528" s="295"/>
      <c r="K528" s="295"/>
      <c r="L528" s="295"/>
      <c r="M528" s="295"/>
      <c r="N528" s="295"/>
      <c r="O528" s="295"/>
      <c r="P528" s="295"/>
      <c r="Q528" s="295"/>
      <c r="R528" s="295"/>
      <c r="S528" s="295"/>
      <c r="T528" s="295"/>
      <c r="U528" s="296"/>
      <c r="X528" s="63">
        <v>13</v>
      </c>
    </row>
    <row r="529" spans="1:113">
      <c r="B529" s="271" t="s">
        <v>305</v>
      </c>
      <c r="C529" s="272"/>
      <c r="D529" s="295"/>
      <c r="E529" s="295"/>
      <c r="F529" s="295"/>
      <c r="G529" s="295"/>
      <c r="H529" s="295"/>
      <c r="I529" s="295"/>
      <c r="J529" s="295"/>
      <c r="K529" s="295"/>
      <c r="L529" s="295"/>
      <c r="M529" s="295"/>
      <c r="N529" s="295"/>
      <c r="O529" s="295"/>
      <c r="P529" s="295"/>
      <c r="Q529" s="295"/>
      <c r="R529" s="295"/>
      <c r="S529" s="295"/>
      <c r="T529" s="295"/>
      <c r="U529" s="296"/>
      <c r="X529" s="63">
        <v>14</v>
      </c>
    </row>
    <row r="530" spans="1:113">
      <c r="B530" s="271" t="s">
        <v>336</v>
      </c>
      <c r="C530" s="272"/>
      <c r="D530" s="310"/>
      <c r="E530" s="310"/>
      <c r="F530" s="310"/>
      <c r="G530" s="310"/>
      <c r="H530" s="310"/>
      <c r="I530" s="310"/>
      <c r="J530" s="310"/>
      <c r="K530" s="310"/>
      <c r="L530" s="310"/>
      <c r="M530" s="310"/>
      <c r="N530" s="310"/>
      <c r="O530" s="310"/>
      <c r="P530" s="310"/>
      <c r="Q530" s="310"/>
      <c r="R530" s="310"/>
      <c r="S530" s="310"/>
      <c r="T530" s="310"/>
      <c r="U530" s="311"/>
      <c r="X530" s="63">
        <v>15</v>
      </c>
    </row>
    <row r="531" spans="1:113">
      <c r="B531" s="271" t="s">
        <v>337</v>
      </c>
      <c r="C531" s="272"/>
      <c r="D531" s="310"/>
      <c r="E531" s="310"/>
      <c r="F531" s="310"/>
      <c r="G531" s="310"/>
      <c r="H531" s="310"/>
      <c r="I531" s="310"/>
      <c r="J531" s="310"/>
      <c r="K531" s="310"/>
      <c r="L531" s="310"/>
      <c r="M531" s="310"/>
      <c r="N531" s="310"/>
      <c r="O531" s="310"/>
      <c r="P531" s="310"/>
      <c r="Q531" s="310"/>
      <c r="R531" s="310"/>
      <c r="S531" s="310"/>
      <c r="T531" s="310"/>
      <c r="U531" s="311"/>
      <c r="X531" s="63">
        <v>16</v>
      </c>
    </row>
    <row r="532" spans="1:113">
      <c r="B532" s="271" t="s">
        <v>303</v>
      </c>
      <c r="C532" s="272"/>
      <c r="D532" s="310"/>
      <c r="E532" s="310"/>
      <c r="F532" s="310"/>
      <c r="G532" s="310"/>
      <c r="H532" s="310"/>
      <c r="I532" s="310"/>
      <c r="J532" s="310"/>
      <c r="K532" s="310"/>
      <c r="L532" s="310"/>
      <c r="M532" s="310"/>
      <c r="N532" s="310"/>
      <c r="O532" s="310"/>
      <c r="P532" s="310"/>
      <c r="Q532" s="310"/>
      <c r="R532" s="310"/>
      <c r="S532" s="310"/>
      <c r="T532" s="310"/>
      <c r="U532" s="311"/>
      <c r="X532" s="63">
        <v>17</v>
      </c>
    </row>
    <row r="533" spans="1:113">
      <c r="B533" s="271" t="s">
        <v>338</v>
      </c>
      <c r="C533" s="272"/>
      <c r="D533" s="310"/>
      <c r="E533" s="310"/>
      <c r="F533" s="310"/>
      <c r="G533" s="310"/>
      <c r="H533" s="310"/>
      <c r="I533" s="310"/>
      <c r="J533" s="310"/>
      <c r="K533" s="310"/>
      <c r="L533" s="310"/>
      <c r="M533" s="310"/>
      <c r="N533" s="310"/>
      <c r="O533" s="310"/>
      <c r="P533" s="310"/>
      <c r="Q533" s="310"/>
      <c r="R533" s="310"/>
      <c r="S533" s="310"/>
      <c r="T533" s="310"/>
      <c r="U533" s="311"/>
      <c r="X533" s="63">
        <v>18</v>
      </c>
    </row>
    <row r="534" spans="1:113">
      <c r="B534" s="271" t="s">
        <v>339</v>
      </c>
      <c r="C534" s="272"/>
      <c r="D534" s="310"/>
      <c r="E534" s="310"/>
      <c r="F534" s="310"/>
      <c r="G534" s="310"/>
      <c r="H534" s="310"/>
      <c r="I534" s="310"/>
      <c r="J534" s="310"/>
      <c r="K534" s="310"/>
      <c r="L534" s="310"/>
      <c r="M534" s="310"/>
      <c r="N534" s="310"/>
      <c r="O534" s="310"/>
      <c r="P534" s="310"/>
      <c r="Q534" s="310"/>
      <c r="R534" s="310"/>
      <c r="S534" s="310"/>
      <c r="T534" s="310"/>
      <c r="U534" s="311"/>
      <c r="X534" s="63">
        <v>19</v>
      </c>
    </row>
    <row r="535" spans="1:113">
      <c r="B535" s="271" t="s">
        <v>301</v>
      </c>
      <c r="C535" s="272"/>
      <c r="D535" s="310"/>
      <c r="E535" s="310"/>
      <c r="F535" s="310"/>
      <c r="G535" s="310"/>
      <c r="H535" s="310"/>
      <c r="I535" s="310"/>
      <c r="J535" s="310"/>
      <c r="K535" s="310"/>
      <c r="L535" s="310"/>
      <c r="M535" s="310"/>
      <c r="N535" s="310"/>
      <c r="O535" s="310"/>
      <c r="P535" s="310"/>
      <c r="Q535" s="310"/>
      <c r="R535" s="310"/>
      <c r="S535" s="310"/>
      <c r="T535" s="310"/>
      <c r="U535" s="311"/>
      <c r="X535" s="63">
        <v>20</v>
      </c>
    </row>
    <row r="536" spans="1:113">
      <c r="B536" s="271" t="s">
        <v>340</v>
      </c>
      <c r="C536" s="272"/>
      <c r="D536" s="310"/>
      <c r="E536" s="310"/>
      <c r="F536" s="310"/>
      <c r="G536" s="310"/>
      <c r="H536" s="310"/>
      <c r="I536" s="310"/>
      <c r="J536" s="310"/>
      <c r="K536" s="310"/>
      <c r="L536" s="310"/>
      <c r="M536" s="310"/>
      <c r="N536" s="310"/>
      <c r="O536" s="310"/>
      <c r="P536" s="310"/>
      <c r="Q536" s="310"/>
      <c r="R536" s="310"/>
      <c r="S536" s="310"/>
      <c r="T536" s="310"/>
      <c r="U536" s="311"/>
      <c r="X536" s="63">
        <v>21</v>
      </c>
    </row>
    <row r="537" spans="1:113">
      <c r="B537" s="271" t="s">
        <v>341</v>
      </c>
      <c r="C537" s="272"/>
      <c r="D537" s="310"/>
      <c r="E537" s="310"/>
      <c r="F537" s="310"/>
      <c r="G537" s="310"/>
      <c r="H537" s="310"/>
      <c r="I537" s="310"/>
      <c r="J537" s="310"/>
      <c r="K537" s="310"/>
      <c r="L537" s="310"/>
      <c r="M537" s="310"/>
      <c r="N537" s="310"/>
      <c r="O537" s="310"/>
      <c r="P537" s="310"/>
      <c r="Q537" s="310"/>
      <c r="R537" s="310"/>
      <c r="S537" s="310"/>
      <c r="T537" s="310"/>
      <c r="U537" s="311"/>
      <c r="X537" s="63">
        <v>22</v>
      </c>
    </row>
    <row r="538" spans="1:113">
      <c r="B538" s="271" t="s">
        <v>342</v>
      </c>
      <c r="C538" s="272"/>
      <c r="D538" s="295"/>
      <c r="E538" s="295"/>
      <c r="F538" s="295"/>
      <c r="G538" s="295"/>
      <c r="H538" s="295"/>
      <c r="I538" s="295"/>
      <c r="J538" s="295"/>
      <c r="K538" s="295"/>
      <c r="L538" s="295"/>
      <c r="M538" s="295"/>
      <c r="N538" s="295"/>
      <c r="O538" s="295"/>
      <c r="P538" s="295"/>
      <c r="Q538" s="295"/>
      <c r="R538" s="295"/>
      <c r="S538" s="295"/>
      <c r="T538" s="295"/>
      <c r="U538" s="296"/>
      <c r="X538" s="63">
        <v>23</v>
      </c>
    </row>
    <row r="539" spans="1:113" ht="16" thickBot="1">
      <c r="B539" s="273" t="s">
        <v>343</v>
      </c>
      <c r="C539" s="274"/>
      <c r="D539" s="298"/>
      <c r="E539" s="298"/>
      <c r="F539" s="298"/>
      <c r="G539" s="298"/>
      <c r="H539" s="298"/>
      <c r="I539" s="298"/>
      <c r="J539" s="298"/>
      <c r="K539" s="298"/>
      <c r="L539" s="298"/>
      <c r="M539" s="298"/>
      <c r="N539" s="298"/>
      <c r="O539" s="298"/>
      <c r="P539" s="298"/>
      <c r="Q539" s="298"/>
      <c r="R539" s="298"/>
      <c r="S539" s="298"/>
      <c r="T539" s="298"/>
      <c r="U539" s="299"/>
      <c r="X539" s="63">
        <v>24</v>
      </c>
    </row>
    <row r="540" spans="1:113">
      <c r="B540" s="267"/>
      <c r="C540" s="267"/>
      <c r="D540" s="267"/>
      <c r="E540" s="267"/>
      <c r="F540" s="267"/>
      <c r="G540" s="267"/>
      <c r="H540" s="267"/>
      <c r="I540" s="267"/>
      <c r="J540" s="267"/>
      <c r="K540" s="267"/>
      <c r="L540" s="267"/>
      <c r="M540" s="267"/>
      <c r="N540" s="267"/>
      <c r="O540" s="267"/>
      <c r="P540" s="267"/>
      <c r="Q540" s="267"/>
      <c r="R540" s="267"/>
      <c r="S540" s="267"/>
      <c r="T540" s="267"/>
      <c r="U540" s="267"/>
    </row>
    <row r="541" spans="1:113">
      <c r="B541" s="331">
        <v>0.05</v>
      </c>
      <c r="C541" s="267" t="s">
        <v>404</v>
      </c>
      <c r="D541" s="267"/>
      <c r="E541" s="267"/>
      <c r="F541" s="267"/>
      <c r="G541" s="267"/>
      <c r="H541" s="267"/>
      <c r="I541" s="267"/>
      <c r="J541" s="267"/>
      <c r="K541" s="267"/>
      <c r="L541" s="267"/>
      <c r="M541" s="267"/>
      <c r="N541" s="267"/>
      <c r="O541" s="267"/>
      <c r="P541" s="267"/>
      <c r="Q541" s="267"/>
      <c r="R541" s="267"/>
      <c r="S541" s="267"/>
      <c r="T541" s="267"/>
      <c r="U541" s="267"/>
    </row>
    <row r="543" spans="1:113">
      <c r="A543" s="242"/>
      <c r="B543" s="243"/>
      <c r="C543" s="243"/>
      <c r="D543" s="243"/>
      <c r="E543" s="243"/>
      <c r="F543" s="243"/>
      <c r="G543" s="243"/>
      <c r="H543" s="243"/>
      <c r="I543" s="243"/>
      <c r="J543" s="243"/>
      <c r="K543" s="243"/>
      <c r="L543" s="243"/>
      <c r="M543" s="243"/>
      <c r="N543" s="243"/>
      <c r="O543" s="243"/>
      <c r="P543" s="243"/>
      <c r="Q543" s="243"/>
      <c r="R543" s="243"/>
      <c r="S543" s="243"/>
      <c r="T543" s="243"/>
      <c r="U543" s="243"/>
      <c r="V543" s="243"/>
      <c r="W543" s="243"/>
      <c r="X543" s="243"/>
      <c r="Y543" s="243"/>
      <c r="Z543" s="243"/>
      <c r="AA543" s="243"/>
      <c r="AB543" s="243"/>
      <c r="AC543" s="243"/>
      <c r="AD543" s="243"/>
      <c r="AE543" s="243"/>
      <c r="AF543" s="243"/>
      <c r="AG543" s="243"/>
      <c r="AH543" s="243"/>
      <c r="AI543" s="243"/>
      <c r="AJ543" s="243"/>
      <c r="AK543" s="243"/>
      <c r="AL543" s="243"/>
      <c r="AM543" s="243"/>
      <c r="AN543" s="243"/>
      <c r="AO543" s="243"/>
      <c r="AP543" s="243"/>
      <c r="AQ543" s="243"/>
      <c r="AR543" s="243"/>
      <c r="AS543" s="243"/>
      <c r="AT543" s="243"/>
      <c r="AU543" s="243"/>
      <c r="AV543" s="243"/>
      <c r="AW543" s="243"/>
      <c r="AX543" s="243"/>
      <c r="AY543" s="243"/>
      <c r="AZ543" s="243"/>
      <c r="BA543" s="243"/>
      <c r="BB543" s="243"/>
      <c r="BC543" s="243"/>
      <c r="BD543" s="243"/>
      <c r="BE543" s="243"/>
      <c r="BF543" s="243"/>
      <c r="BG543" s="243"/>
      <c r="BH543" s="243"/>
      <c r="BI543" s="243"/>
      <c r="BJ543" s="243"/>
      <c r="BK543" s="243"/>
      <c r="BL543" s="243"/>
      <c r="BM543" s="243"/>
      <c r="BN543" s="243"/>
      <c r="BO543" s="243"/>
      <c r="BP543" s="243"/>
      <c r="BQ543" s="243"/>
      <c r="BR543" s="243"/>
      <c r="BS543" s="243"/>
      <c r="BT543" s="243"/>
      <c r="BU543" s="243"/>
      <c r="BV543" s="243"/>
      <c r="BW543" s="243"/>
      <c r="BX543" s="243"/>
      <c r="BY543" s="243"/>
      <c r="BZ543" s="243"/>
      <c r="CA543" s="243"/>
      <c r="CB543" s="243"/>
      <c r="CC543" s="243"/>
      <c r="CD543" s="243"/>
      <c r="CE543" s="243"/>
      <c r="CF543" s="243"/>
      <c r="CG543" s="243"/>
      <c r="CH543" s="243"/>
      <c r="CI543" s="243"/>
      <c r="CJ543" s="243"/>
      <c r="CK543" s="243"/>
      <c r="CL543" s="243"/>
      <c r="CM543" s="243"/>
      <c r="CN543" s="243"/>
      <c r="CO543" s="243"/>
      <c r="CP543" s="243"/>
      <c r="CQ543" s="243"/>
      <c r="CR543" s="243"/>
      <c r="CS543" s="243"/>
      <c r="CT543" s="243"/>
      <c r="CU543" s="243"/>
      <c r="CV543" s="243"/>
      <c r="CW543" s="243"/>
      <c r="CX543" s="243"/>
      <c r="CY543" s="243"/>
      <c r="CZ543" s="243"/>
      <c r="DA543" s="243"/>
      <c r="DB543" s="243"/>
      <c r="DC543" s="243"/>
      <c r="DD543" s="243"/>
      <c r="DE543" s="243"/>
      <c r="DF543" s="243"/>
      <c r="DG543" s="243"/>
      <c r="DH543" s="243"/>
      <c r="DI543" s="243"/>
    </row>
    <row r="544" spans="1:113">
      <c r="A544" s="242"/>
      <c r="B544" s="243"/>
      <c r="C544" s="243"/>
      <c r="D544" s="243"/>
      <c r="E544" s="243"/>
      <c r="F544" s="243"/>
      <c r="G544" s="243"/>
      <c r="H544" s="243"/>
      <c r="I544" s="243"/>
      <c r="J544" s="243"/>
      <c r="K544" s="243"/>
      <c r="L544" s="243"/>
      <c r="M544" s="243"/>
      <c r="N544" s="243"/>
      <c r="O544" s="243"/>
      <c r="P544" s="243"/>
      <c r="Q544" s="243"/>
      <c r="R544" s="243"/>
      <c r="S544" s="243"/>
      <c r="T544" s="243"/>
      <c r="U544" s="243"/>
      <c r="V544" s="243"/>
      <c r="W544" s="243"/>
      <c r="X544" s="243"/>
      <c r="Y544" s="243"/>
      <c r="Z544" s="243"/>
      <c r="AA544" s="243"/>
      <c r="AB544" s="243"/>
      <c r="AC544" s="243"/>
      <c r="AD544" s="243"/>
      <c r="AE544" s="243"/>
      <c r="AF544" s="243"/>
      <c r="AG544" s="243"/>
      <c r="AH544" s="243"/>
      <c r="AI544" s="243"/>
      <c r="AJ544" s="243"/>
      <c r="AK544" s="243"/>
      <c r="AL544" s="243"/>
      <c r="AM544" s="243"/>
      <c r="AN544" s="243"/>
      <c r="AO544" s="243"/>
      <c r="AP544" s="243"/>
      <c r="AQ544" s="243"/>
      <c r="AR544" s="243"/>
      <c r="AS544" s="243"/>
      <c r="AT544" s="243"/>
      <c r="AU544" s="243"/>
      <c r="AV544" s="243"/>
      <c r="AW544" s="243"/>
      <c r="AX544" s="243"/>
      <c r="AY544" s="243"/>
      <c r="AZ544" s="243"/>
      <c r="BA544" s="243"/>
      <c r="BB544" s="243"/>
      <c r="BC544" s="243"/>
      <c r="BD544" s="243"/>
      <c r="BE544" s="243"/>
      <c r="BF544" s="243"/>
      <c r="BG544" s="243"/>
      <c r="BH544" s="243"/>
      <c r="BI544" s="243"/>
      <c r="BJ544" s="243"/>
      <c r="BK544" s="243"/>
      <c r="BL544" s="243"/>
      <c r="BM544" s="243"/>
      <c r="BN544" s="243"/>
      <c r="BO544" s="243"/>
      <c r="BP544" s="243"/>
      <c r="BQ544" s="243"/>
      <c r="BR544" s="243"/>
      <c r="BS544" s="243"/>
      <c r="BT544" s="243"/>
      <c r="BU544" s="243"/>
      <c r="BV544" s="243"/>
      <c r="BW544" s="243"/>
      <c r="BX544" s="243"/>
      <c r="BY544" s="243"/>
      <c r="BZ544" s="243"/>
      <c r="CA544" s="243"/>
      <c r="CB544" s="243"/>
      <c r="CC544" s="243"/>
      <c r="CD544" s="243"/>
      <c r="CE544" s="243"/>
      <c r="CF544" s="243"/>
      <c r="CG544" s="243"/>
      <c r="CH544" s="243"/>
      <c r="CI544" s="243"/>
      <c r="CJ544" s="243"/>
      <c r="CK544" s="243"/>
      <c r="CL544" s="243"/>
      <c r="CM544" s="243"/>
      <c r="CN544" s="243"/>
      <c r="CO544" s="243"/>
      <c r="CP544" s="243"/>
      <c r="CQ544" s="243"/>
      <c r="CR544" s="243"/>
      <c r="CS544" s="243"/>
      <c r="CT544" s="243"/>
      <c r="CU544" s="243"/>
      <c r="CV544" s="243"/>
      <c r="CW544" s="243"/>
      <c r="CX544" s="243"/>
      <c r="CY544" s="243"/>
      <c r="CZ544" s="243"/>
      <c r="DA544" s="243"/>
      <c r="DB544" s="243"/>
      <c r="DC544" s="243"/>
      <c r="DD544" s="243"/>
      <c r="DE544" s="243"/>
      <c r="DF544" s="243"/>
      <c r="DG544" s="243"/>
      <c r="DH544" s="243"/>
      <c r="DI544" s="243"/>
    </row>
    <row r="545" spans="1:113">
      <c r="A545" s="242"/>
      <c r="B545" s="243"/>
      <c r="C545" s="243"/>
      <c r="D545" s="243"/>
      <c r="E545" s="243"/>
      <c r="F545" s="243"/>
      <c r="G545" s="243"/>
      <c r="H545" s="243"/>
      <c r="I545" s="243"/>
      <c r="J545" s="243"/>
      <c r="K545" s="243"/>
      <c r="L545" s="243"/>
      <c r="M545" s="243"/>
      <c r="N545" s="243"/>
      <c r="O545" s="243"/>
      <c r="P545" s="243"/>
      <c r="Q545" s="243"/>
      <c r="R545" s="243"/>
      <c r="S545" s="243"/>
      <c r="T545" s="243"/>
      <c r="U545" s="243"/>
      <c r="V545" s="243"/>
      <c r="W545" s="243"/>
      <c r="X545" s="243"/>
      <c r="Y545" s="243"/>
      <c r="Z545" s="243"/>
      <c r="AA545" s="243"/>
      <c r="AB545" s="243"/>
      <c r="AC545" s="243"/>
      <c r="AD545" s="243"/>
      <c r="AE545" s="243"/>
      <c r="AF545" s="243"/>
      <c r="AG545" s="243"/>
      <c r="AH545" s="243"/>
      <c r="AI545" s="243"/>
      <c r="AJ545" s="243"/>
      <c r="AK545" s="243"/>
      <c r="AL545" s="243"/>
      <c r="AM545" s="243"/>
      <c r="AN545" s="243"/>
      <c r="AO545" s="243"/>
      <c r="AP545" s="243"/>
      <c r="AQ545" s="243"/>
      <c r="AR545" s="243"/>
      <c r="AS545" s="243"/>
      <c r="AT545" s="243"/>
      <c r="AU545" s="243"/>
      <c r="AV545" s="243"/>
      <c r="AW545" s="243"/>
      <c r="AX545" s="243"/>
      <c r="AY545" s="243"/>
      <c r="AZ545" s="243"/>
      <c r="BA545" s="243"/>
      <c r="BB545" s="243"/>
      <c r="BC545" s="243"/>
      <c r="BD545" s="243"/>
      <c r="BE545" s="243"/>
      <c r="BF545" s="243"/>
      <c r="BG545" s="243"/>
      <c r="BH545" s="243"/>
      <c r="BI545" s="243"/>
      <c r="BJ545" s="243"/>
      <c r="BK545" s="243"/>
      <c r="BL545" s="243"/>
      <c r="BM545" s="243"/>
      <c r="BN545" s="243"/>
      <c r="BO545" s="243"/>
      <c r="BP545" s="243"/>
      <c r="BQ545" s="243"/>
      <c r="BR545" s="243"/>
      <c r="BS545" s="243"/>
      <c r="BT545" s="243"/>
      <c r="BU545" s="243"/>
      <c r="BV545" s="243"/>
      <c r="BW545" s="243"/>
      <c r="BX545" s="243"/>
      <c r="BY545" s="243"/>
      <c r="BZ545" s="243"/>
      <c r="CA545" s="243"/>
      <c r="CB545" s="243"/>
      <c r="CC545" s="243"/>
      <c r="CD545" s="243"/>
      <c r="CE545" s="243"/>
      <c r="CF545" s="243"/>
      <c r="CG545" s="243"/>
      <c r="CH545" s="243"/>
      <c r="CI545" s="243"/>
      <c r="CJ545" s="243"/>
      <c r="CK545" s="243"/>
      <c r="CL545" s="243"/>
      <c r="CM545" s="243"/>
      <c r="CN545" s="243"/>
      <c r="CO545" s="243"/>
      <c r="CP545" s="243"/>
      <c r="CQ545" s="243"/>
      <c r="CR545" s="243"/>
      <c r="CS545" s="243"/>
      <c r="CT545" s="243"/>
      <c r="CU545" s="243"/>
      <c r="CV545" s="243"/>
      <c r="CW545" s="243"/>
      <c r="CX545" s="243"/>
      <c r="CY545" s="243"/>
      <c r="CZ545" s="243"/>
      <c r="DA545" s="243"/>
      <c r="DB545" s="243"/>
      <c r="DC545" s="243"/>
      <c r="DD545" s="243"/>
      <c r="DE545" s="243"/>
      <c r="DF545" s="243"/>
      <c r="DG545" s="243"/>
      <c r="DH545" s="243"/>
      <c r="DI545" s="243"/>
    </row>
    <row r="547" spans="1:113" ht="19">
      <c r="A547" s="240" t="s">
        <v>405</v>
      </c>
    </row>
    <row r="548" spans="1:113">
      <c r="B548" s="76"/>
    </row>
    <row r="549" spans="1:113" ht="16" thickBot="1">
      <c r="B549" s="249" t="s">
        <v>406</v>
      </c>
      <c r="E549" s="132"/>
    </row>
    <row r="550" spans="1:113">
      <c r="B550" s="332" t="s">
        <v>407</v>
      </c>
      <c r="C550" s="333" t="str">
        <f>state_name</f>
        <v>ILLINOIS</v>
      </c>
      <c r="D550" s="334"/>
      <c r="E550" s="334"/>
      <c r="F550" s="335"/>
    </row>
    <row r="551" spans="1:113">
      <c r="B551" s="336"/>
      <c r="C551" s="132"/>
      <c r="D551" s="132"/>
      <c r="E551" s="132" t="s">
        <v>408</v>
      </c>
      <c r="F551" s="142" t="s">
        <v>408</v>
      </c>
    </row>
    <row r="552" spans="1:113">
      <c r="B552" s="337" t="s">
        <v>205</v>
      </c>
      <c r="C552" s="338" t="s">
        <v>10</v>
      </c>
      <c r="D552" s="339" t="s">
        <v>409</v>
      </c>
      <c r="E552" s="338" t="s">
        <v>410</v>
      </c>
      <c r="F552" s="340" t="s">
        <v>411</v>
      </c>
    </row>
    <row r="553" spans="1:113">
      <c r="B553" s="341" t="s">
        <v>4</v>
      </c>
      <c r="C553" s="342" t="s">
        <v>412</v>
      </c>
      <c r="D553" s="343">
        <f>IFERROR(E553/D118,"")</f>
        <v>2.62</v>
      </c>
      <c r="E553" s="344">
        <f t="shared" ref="E553:E562" si="61">IFERROR(INDEX(public_cost_gge,MATCH($C$550,location_costs,0),MATCH(B553,public_fuel_gge,0)),IF((INDEX(public_stations,MATCH($C$550,location_stations,0),MATCH(B553,public_stations_fuel,0)))="X",IFERROR(INDEX(padd_public_cost,MATCH(INDEX(padd_states,MATCH($C$550,location_costs,0)),padd,0),MATCH(B553,padd_public_fuel,0)),INDEX(public_national_gge,1,MATCH(B553,public_fuel_gge,0))),""))</f>
        <v>2.62</v>
      </c>
      <c r="F553" s="345">
        <f t="shared" ref="F553:F562" si="62">IFERROR(E553*$E$118,"")</f>
        <v>3.0238659117682904</v>
      </c>
    </row>
    <row r="554" spans="1:113">
      <c r="B554" s="136" t="s">
        <v>5</v>
      </c>
      <c r="C554" s="132" t="s">
        <v>412</v>
      </c>
      <c r="D554" s="346">
        <f>IFERROR(E554/D119,"")</f>
        <v>2.76</v>
      </c>
      <c r="E554" s="347">
        <f t="shared" si="61"/>
        <v>2.3913758780961794</v>
      </c>
      <c r="F554" s="348">
        <f t="shared" si="62"/>
        <v>2.76</v>
      </c>
    </row>
    <row r="555" spans="1:113">
      <c r="B555" s="136" t="s">
        <v>243</v>
      </c>
      <c r="C555" s="132" t="s">
        <v>413</v>
      </c>
      <c r="D555" s="346">
        <f>IFERROR(E555/D120,"")</f>
        <v>0.11913038999999999</v>
      </c>
      <c r="E555" s="347">
        <f t="shared" si="61"/>
        <v>3.9170876232443179</v>
      </c>
      <c r="F555" s="348">
        <f t="shared" si="62"/>
        <v>4.5208960829534215</v>
      </c>
    </row>
    <row r="556" spans="1:113">
      <c r="B556" s="136" t="s">
        <v>414</v>
      </c>
      <c r="C556" s="132" t="s">
        <v>412</v>
      </c>
      <c r="D556" s="346">
        <f>IFERROR(E556*D121,"")</f>
        <v>3.74</v>
      </c>
      <c r="E556" s="347">
        <f t="shared" si="61"/>
        <v>3.74</v>
      </c>
      <c r="F556" s="348">
        <f t="shared" si="62"/>
        <v>4.3165108816845068</v>
      </c>
    </row>
    <row r="557" spans="1:113">
      <c r="B557" s="136" t="s">
        <v>363</v>
      </c>
      <c r="C557" s="132" t="s">
        <v>412</v>
      </c>
      <c r="D557" s="346">
        <f t="shared" ref="D557:D562" si="63">IFERROR(E557/D122,"")</f>
        <v>2.79</v>
      </c>
      <c r="E557" s="347">
        <f t="shared" si="61"/>
        <v>2.4550528482032208</v>
      </c>
      <c r="F557" s="348">
        <f t="shared" si="62"/>
        <v>2.8334926027753324</v>
      </c>
    </row>
    <row r="558" spans="1:113">
      <c r="B558" s="136" t="s">
        <v>364</v>
      </c>
      <c r="C558" s="132" t="s">
        <v>412</v>
      </c>
      <c r="D558" s="346">
        <f t="shared" si="63"/>
        <v>2.66</v>
      </c>
      <c r="E558" s="347">
        <f t="shared" si="61"/>
        <v>2.4963175508155584</v>
      </c>
      <c r="F558" s="348">
        <f t="shared" si="62"/>
        <v>2.8811181476565166</v>
      </c>
    </row>
    <row r="559" spans="1:113">
      <c r="B559" s="136" t="s">
        <v>365</v>
      </c>
      <c r="C559" s="132" t="s">
        <v>412</v>
      </c>
      <c r="D559" s="346">
        <f t="shared" si="63"/>
        <v>2.38</v>
      </c>
      <c r="E559" s="347">
        <f t="shared" si="61"/>
        <v>3.243721418201635</v>
      </c>
      <c r="F559" s="348">
        <f t="shared" si="62"/>
        <v>3.7437322991498547</v>
      </c>
    </row>
    <row r="560" spans="1:113">
      <c r="B560" s="136" t="s">
        <v>2</v>
      </c>
      <c r="C560" s="132" t="s">
        <v>412</v>
      </c>
      <c r="D560" s="346">
        <f t="shared" si="63"/>
        <v>2.77</v>
      </c>
      <c r="E560" s="347">
        <f t="shared" si="61"/>
        <v>3.6583407934078873</v>
      </c>
      <c r="F560" s="348">
        <f t="shared" si="62"/>
        <v>4.2222641293196457</v>
      </c>
    </row>
    <row r="561" spans="2:7">
      <c r="B561" s="136" t="s">
        <v>415</v>
      </c>
      <c r="C561" s="132" t="s">
        <v>412</v>
      </c>
      <c r="D561" s="346">
        <f t="shared" si="63"/>
        <v>2.44</v>
      </c>
      <c r="E561" s="347">
        <f t="shared" si="61"/>
        <v>2.44</v>
      </c>
      <c r="F561" s="348">
        <f t="shared" si="62"/>
        <v>2.8161193987460416</v>
      </c>
    </row>
    <row r="562" spans="2:7">
      <c r="B562" s="136" t="s">
        <v>218</v>
      </c>
      <c r="C562" s="132" t="s">
        <v>412</v>
      </c>
      <c r="D562" s="346">
        <f t="shared" si="63"/>
        <v>2.91</v>
      </c>
      <c r="E562" s="347">
        <f t="shared" si="61"/>
        <v>4.3694210813704499</v>
      </c>
      <c r="F562" s="348">
        <f t="shared" si="62"/>
        <v>5.0429555198923071</v>
      </c>
    </row>
    <row r="563" spans="2:7">
      <c r="B563" s="337" t="s">
        <v>416</v>
      </c>
      <c r="C563" s="349" t="s">
        <v>417</v>
      </c>
      <c r="D563" s="350">
        <f>E563</f>
        <v>2.8</v>
      </c>
      <c r="E563" s="351">
        <v>2.8</v>
      </c>
      <c r="F563" s="340"/>
    </row>
    <row r="564" spans="2:7" ht="16" thickBot="1">
      <c r="B564" s="352"/>
      <c r="C564" s="353"/>
      <c r="D564" s="353"/>
      <c r="E564" s="353" t="s">
        <v>418</v>
      </c>
      <c r="F564" s="354"/>
      <c r="G564" s="132"/>
    </row>
    <row r="565" spans="2:7">
      <c r="E565" s="132"/>
    </row>
    <row r="566" spans="2:7" ht="16" thickBot="1">
      <c r="B566" s="249" t="s">
        <v>419</v>
      </c>
      <c r="C566" s="132"/>
      <c r="D566" s="355"/>
      <c r="E566" s="132"/>
      <c r="F566" s="356"/>
      <c r="G566" s="132"/>
    </row>
    <row r="567" spans="2:7">
      <c r="B567" s="332" t="s">
        <v>407</v>
      </c>
      <c r="C567" s="333" t="str">
        <f>state_name</f>
        <v>ILLINOIS</v>
      </c>
      <c r="D567" s="334"/>
      <c r="E567" s="334"/>
      <c r="F567" s="335"/>
    </row>
    <row r="568" spans="2:7">
      <c r="B568" s="336"/>
      <c r="C568" s="132"/>
      <c r="D568" s="132" t="s">
        <v>408</v>
      </c>
      <c r="E568" s="132" t="s">
        <v>408</v>
      </c>
      <c r="F568" s="142" t="s">
        <v>408</v>
      </c>
    </row>
    <row r="569" spans="2:7">
      <c r="B569" s="337" t="s">
        <v>205</v>
      </c>
      <c r="C569" s="338" t="s">
        <v>10</v>
      </c>
      <c r="D569" s="339" t="s">
        <v>409</v>
      </c>
      <c r="E569" s="338" t="s">
        <v>410</v>
      </c>
      <c r="F569" s="340" t="s">
        <v>411</v>
      </c>
    </row>
    <row r="570" spans="2:7">
      <c r="B570" s="341" t="s">
        <v>4</v>
      </c>
      <c r="C570" s="342" t="s">
        <v>412</v>
      </c>
      <c r="D570" s="343">
        <f t="shared" ref="D570:D579" si="64">IFERROR(E570/D118,"")</f>
        <v>2.5499999999999998</v>
      </c>
      <c r="E570" s="344">
        <f t="shared" ref="E570:E579" si="65">IFERROR(INDEX(private_cost_gge,MATCH($C$567,location_costs,0),MATCH(B570,private_fuel_gge,0)),IF((INDEX(private_stations,MATCH($C$567,location_stations,0),MATCH(B570,private_stations_fuel,0)))="X",IFERROR(INDEX(padd_private_cost,MATCH(INDEX(padd_states,MATCH($C$567,location_costs,0)),padd,0),MATCH(B570,padd_private_fuel,0)),INDEX(private_national_gge,1,MATCH(B570,private_fuel_gge,0))),""))</f>
        <v>2.5499999999999998</v>
      </c>
      <c r="F570" s="345">
        <f t="shared" ref="F570:F579" si="66">IFERROR(E570*$C$60/($C$111*$C$59+(1-$C$111)*$C$58),"")</f>
        <v>2.9430756011485264</v>
      </c>
    </row>
    <row r="571" spans="2:7">
      <c r="B571" s="136" t="s">
        <v>5</v>
      </c>
      <c r="C571" s="132" t="s">
        <v>412</v>
      </c>
      <c r="D571" s="346">
        <f t="shared" si="64"/>
        <v>2.59</v>
      </c>
      <c r="E571" s="347">
        <f t="shared" si="65"/>
        <v>2.2440809870540233</v>
      </c>
      <c r="F571" s="348">
        <f t="shared" si="66"/>
        <v>2.59</v>
      </c>
    </row>
    <row r="572" spans="2:7">
      <c r="B572" s="136" t="s">
        <v>243</v>
      </c>
      <c r="C572" s="132" t="s">
        <v>413</v>
      </c>
      <c r="D572" s="346">
        <f t="shared" si="64"/>
        <v>0.11913038999999999</v>
      </c>
      <c r="E572" s="347">
        <f t="shared" si="65"/>
        <v>3.9170876232443179</v>
      </c>
      <c r="F572" s="348">
        <f t="shared" si="66"/>
        <v>4.5208960829534215</v>
      </c>
    </row>
    <row r="573" spans="2:7">
      <c r="B573" s="136" t="s">
        <v>414</v>
      </c>
      <c r="C573" s="132" t="s">
        <v>412</v>
      </c>
      <c r="D573" s="346" t="str">
        <f t="shared" si="64"/>
        <v/>
      </c>
      <c r="E573" s="347" t="str">
        <f t="shared" si="65"/>
        <v/>
      </c>
      <c r="F573" s="348" t="str">
        <f t="shared" si="66"/>
        <v/>
      </c>
    </row>
    <row r="574" spans="2:7">
      <c r="B574" s="136" t="s">
        <v>363</v>
      </c>
      <c r="C574" s="132" t="s">
        <v>412</v>
      </c>
      <c r="D574" s="346">
        <f t="shared" si="64"/>
        <v>2.2400000000000002</v>
      </c>
      <c r="E574" s="347">
        <f t="shared" si="65"/>
        <v>1.9710818566219408</v>
      </c>
      <c r="F574" s="348">
        <f t="shared" si="66"/>
        <v>2.2749187921923815</v>
      </c>
    </row>
    <row r="575" spans="2:7">
      <c r="B575" s="136" t="s">
        <v>364</v>
      </c>
      <c r="C575" s="132" t="s">
        <v>412</v>
      </c>
      <c r="D575" s="346" t="str">
        <f t="shared" si="64"/>
        <v/>
      </c>
      <c r="E575" s="347" t="str">
        <f t="shared" si="65"/>
        <v/>
      </c>
      <c r="F575" s="348" t="str">
        <f t="shared" si="66"/>
        <v/>
      </c>
    </row>
    <row r="576" spans="2:7">
      <c r="B576" s="136" t="s">
        <v>365</v>
      </c>
      <c r="C576" s="132" t="s">
        <v>412</v>
      </c>
      <c r="D576" s="346">
        <f t="shared" si="64"/>
        <v>2.2599999999999998</v>
      </c>
      <c r="E576" s="347">
        <f t="shared" si="65"/>
        <v>3.080172439132645</v>
      </c>
      <c r="F576" s="348">
        <f t="shared" si="66"/>
        <v>3.554972687428013</v>
      </c>
    </row>
    <row r="577" spans="2:36">
      <c r="B577" s="136" t="s">
        <v>2</v>
      </c>
      <c r="C577" s="132" t="s">
        <v>412</v>
      </c>
      <c r="D577" s="346">
        <f t="shared" si="64"/>
        <v>1.45</v>
      </c>
      <c r="E577" s="347">
        <f t="shared" si="65"/>
        <v>1.9150159387875223</v>
      </c>
      <c r="F577" s="348">
        <f t="shared" si="66"/>
        <v>2.2102104648063126</v>
      </c>
    </row>
    <row r="578" spans="2:36">
      <c r="B578" s="136" t="s">
        <v>415</v>
      </c>
      <c r="C578" s="132" t="s">
        <v>412</v>
      </c>
      <c r="D578" s="346">
        <f t="shared" si="64"/>
        <v>2.2599999999999998</v>
      </c>
      <c r="E578" s="347">
        <f t="shared" si="65"/>
        <v>2.2599999999999998</v>
      </c>
      <c r="F578" s="348">
        <f t="shared" si="66"/>
        <v>2.6083728857237922</v>
      </c>
    </row>
    <row r="579" spans="2:36">
      <c r="B579" s="136" t="s">
        <v>218</v>
      </c>
      <c r="C579" s="132" t="s">
        <v>412</v>
      </c>
      <c r="D579" s="346">
        <f t="shared" si="64"/>
        <v>2.16</v>
      </c>
      <c r="E579" s="347">
        <f t="shared" si="65"/>
        <v>3.2432816274089937</v>
      </c>
      <c r="F579" s="348">
        <f t="shared" si="66"/>
        <v>3.7432247157963516</v>
      </c>
    </row>
    <row r="580" spans="2:36">
      <c r="B580" s="337" t="s">
        <v>416</v>
      </c>
      <c r="C580" s="349" t="s">
        <v>417</v>
      </c>
      <c r="D580" s="350">
        <f>E580</f>
        <v>2.8</v>
      </c>
      <c r="E580" s="351">
        <v>2.8</v>
      </c>
      <c r="F580" s="340"/>
    </row>
    <row r="581" spans="2:36" ht="16" thickBot="1">
      <c r="B581" s="352"/>
      <c r="C581" s="353"/>
      <c r="D581" s="353"/>
      <c r="E581" s="353" t="s">
        <v>418</v>
      </c>
      <c r="F581" s="354"/>
      <c r="G581" s="132"/>
    </row>
    <row r="582" spans="2:36">
      <c r="B582" s="132"/>
      <c r="C582" s="132"/>
      <c r="D582" s="357"/>
      <c r="E582" s="358"/>
      <c r="F582" s="358"/>
      <c r="G582" s="132"/>
      <c r="H582" s="356"/>
      <c r="I582" s="356"/>
      <c r="J582" s="356"/>
      <c r="K582" s="356"/>
      <c r="L582" s="356"/>
      <c r="M582" s="356"/>
      <c r="N582" s="356"/>
      <c r="O582" s="356"/>
      <c r="P582" s="356"/>
      <c r="Q582" s="356"/>
      <c r="R582" s="356"/>
      <c r="S582" s="356"/>
      <c r="T582" s="356"/>
      <c r="U582" s="356"/>
      <c r="V582" s="356"/>
      <c r="W582" s="356"/>
      <c r="X582" s="356"/>
      <c r="Y582" s="356"/>
      <c r="Z582" s="356"/>
      <c r="AA582" s="356"/>
      <c r="AB582" s="356"/>
      <c r="AC582" s="356"/>
      <c r="AD582" s="356"/>
      <c r="AE582" s="356"/>
      <c r="AF582" s="356"/>
      <c r="AG582" s="356"/>
      <c r="AH582" s="356"/>
      <c r="AI582" s="356"/>
      <c r="AJ582" s="356"/>
    </row>
    <row r="583" spans="2:36" ht="16" thickBot="1">
      <c r="B583" s="249" t="s">
        <v>420</v>
      </c>
      <c r="C583" s="132"/>
      <c r="D583" s="357"/>
      <c r="E583" s="358"/>
      <c r="F583" s="358"/>
      <c r="G583" s="132"/>
      <c r="H583" s="356"/>
      <c r="I583" s="356"/>
      <c r="J583" s="356"/>
      <c r="K583" s="356"/>
      <c r="L583" s="356"/>
      <c r="M583" s="356"/>
      <c r="N583" s="356"/>
      <c r="O583" s="356"/>
      <c r="P583" s="356"/>
      <c r="Q583" s="356"/>
      <c r="R583" s="356"/>
      <c r="S583" s="356"/>
      <c r="T583" s="356"/>
      <c r="U583" s="356"/>
      <c r="V583" s="356"/>
      <c r="W583" s="356"/>
      <c r="X583" s="356"/>
      <c r="Y583" s="356"/>
      <c r="Z583" s="356"/>
      <c r="AA583" s="356"/>
      <c r="AB583" s="356"/>
      <c r="AC583" s="356"/>
      <c r="AD583" s="356"/>
      <c r="AE583" s="356"/>
      <c r="AF583" s="356"/>
      <c r="AG583" s="356"/>
      <c r="AH583" s="356"/>
      <c r="AI583" s="356"/>
      <c r="AJ583" s="356"/>
    </row>
    <row r="584" spans="2:36">
      <c r="B584" s="332" t="s">
        <v>407</v>
      </c>
      <c r="C584" s="333" t="str">
        <f>state_name</f>
        <v>ILLINOIS</v>
      </c>
      <c r="D584" s="334"/>
      <c r="E584" s="334" t="s">
        <v>421</v>
      </c>
      <c r="F584" s="334">
        <v>1</v>
      </c>
      <c r="G584" s="334">
        <v>2</v>
      </c>
      <c r="H584" s="334">
        <v>3</v>
      </c>
      <c r="I584" s="334">
        <v>4</v>
      </c>
      <c r="J584" s="334">
        <v>5</v>
      </c>
      <c r="K584" s="334">
        <v>6</v>
      </c>
      <c r="L584" s="334">
        <v>7</v>
      </c>
      <c r="M584" s="334">
        <v>8</v>
      </c>
      <c r="N584" s="334">
        <v>9</v>
      </c>
      <c r="O584" s="334">
        <v>10</v>
      </c>
      <c r="P584" s="334">
        <v>11</v>
      </c>
      <c r="Q584" s="334">
        <v>12</v>
      </c>
      <c r="R584" s="334">
        <v>13</v>
      </c>
      <c r="S584" s="334">
        <v>14</v>
      </c>
      <c r="T584" s="334">
        <v>15</v>
      </c>
      <c r="U584" s="334">
        <v>16</v>
      </c>
      <c r="V584" s="334">
        <v>17</v>
      </c>
      <c r="W584" s="334">
        <v>18</v>
      </c>
      <c r="X584" s="334">
        <v>19</v>
      </c>
      <c r="Y584" s="334">
        <v>20</v>
      </c>
      <c r="Z584" s="334">
        <v>21</v>
      </c>
      <c r="AA584" s="334">
        <v>22</v>
      </c>
      <c r="AB584" s="334">
        <v>23</v>
      </c>
      <c r="AC584" s="334">
        <v>24</v>
      </c>
      <c r="AD584" s="334">
        <v>25</v>
      </c>
      <c r="AE584" s="334">
        <v>26</v>
      </c>
      <c r="AF584" s="334">
        <v>27</v>
      </c>
      <c r="AG584" s="334">
        <v>28</v>
      </c>
      <c r="AH584" s="334">
        <v>29</v>
      </c>
      <c r="AI584" s="335">
        <v>30</v>
      </c>
    </row>
    <row r="585" spans="2:36">
      <c r="B585" s="336"/>
      <c r="C585" s="132"/>
      <c r="D585" s="132"/>
      <c r="E585" s="325" t="s">
        <v>408</v>
      </c>
      <c r="F585" s="132" t="s">
        <v>422</v>
      </c>
      <c r="G585" s="132" t="s">
        <v>422</v>
      </c>
      <c r="H585" s="132" t="s">
        <v>422</v>
      </c>
      <c r="I585" s="132" t="s">
        <v>422</v>
      </c>
      <c r="J585" s="132" t="s">
        <v>422</v>
      </c>
      <c r="K585" s="132" t="s">
        <v>422</v>
      </c>
      <c r="L585" s="132" t="s">
        <v>422</v>
      </c>
      <c r="M585" s="132" t="s">
        <v>422</v>
      </c>
      <c r="N585" s="132" t="s">
        <v>422</v>
      </c>
      <c r="O585" s="132" t="s">
        <v>422</v>
      </c>
      <c r="P585" s="132" t="s">
        <v>422</v>
      </c>
      <c r="Q585" s="132" t="s">
        <v>422</v>
      </c>
      <c r="R585" s="132" t="s">
        <v>422</v>
      </c>
      <c r="S585" s="132" t="s">
        <v>422</v>
      </c>
      <c r="T585" s="132" t="s">
        <v>422</v>
      </c>
      <c r="U585" s="132" t="s">
        <v>422</v>
      </c>
      <c r="V585" s="132" t="s">
        <v>422</v>
      </c>
      <c r="W585" s="132" t="s">
        <v>422</v>
      </c>
      <c r="X585" s="132" t="s">
        <v>422</v>
      </c>
      <c r="Y585" s="132" t="s">
        <v>422</v>
      </c>
      <c r="Z585" s="132"/>
      <c r="AA585" s="132"/>
      <c r="AB585" s="132"/>
      <c r="AC585" s="132"/>
      <c r="AD585" s="132"/>
      <c r="AE585" s="132"/>
      <c r="AF585" s="132"/>
      <c r="AG585" s="132"/>
      <c r="AH585" s="132"/>
      <c r="AI585" s="142"/>
    </row>
    <row r="586" spans="2:36">
      <c r="B586" s="337" t="s">
        <v>205</v>
      </c>
      <c r="C586" s="338" t="s">
        <v>10</v>
      </c>
      <c r="D586" s="338" t="s">
        <v>423</v>
      </c>
      <c r="E586" s="339" t="s">
        <v>410</v>
      </c>
      <c r="F586" s="338" t="s">
        <v>410</v>
      </c>
      <c r="G586" s="338" t="s">
        <v>410</v>
      </c>
      <c r="H586" s="338" t="s">
        <v>410</v>
      </c>
      <c r="I586" s="338" t="s">
        <v>410</v>
      </c>
      <c r="J586" s="338" t="s">
        <v>410</v>
      </c>
      <c r="K586" s="338" t="s">
        <v>410</v>
      </c>
      <c r="L586" s="338" t="s">
        <v>410</v>
      </c>
      <c r="M586" s="338" t="s">
        <v>410</v>
      </c>
      <c r="N586" s="338" t="s">
        <v>410</v>
      </c>
      <c r="O586" s="338" t="s">
        <v>410</v>
      </c>
      <c r="P586" s="338" t="s">
        <v>410</v>
      </c>
      <c r="Q586" s="338" t="s">
        <v>410</v>
      </c>
      <c r="R586" s="338" t="s">
        <v>410</v>
      </c>
      <c r="S586" s="338" t="s">
        <v>410</v>
      </c>
      <c r="T586" s="338" t="s">
        <v>410</v>
      </c>
      <c r="U586" s="338" t="s">
        <v>410</v>
      </c>
      <c r="V586" s="338" t="s">
        <v>410</v>
      </c>
      <c r="W586" s="338" t="s">
        <v>410</v>
      </c>
      <c r="X586" s="338" t="s">
        <v>410</v>
      </c>
      <c r="Y586" s="338" t="s">
        <v>410</v>
      </c>
      <c r="Z586" s="338" t="s">
        <v>410</v>
      </c>
      <c r="AA586" s="338" t="s">
        <v>410</v>
      </c>
      <c r="AB586" s="338" t="s">
        <v>410</v>
      </c>
      <c r="AC586" s="338" t="s">
        <v>410</v>
      </c>
      <c r="AD586" s="338" t="s">
        <v>410</v>
      </c>
      <c r="AE586" s="338" t="s">
        <v>410</v>
      </c>
      <c r="AF586" s="338" t="s">
        <v>410</v>
      </c>
      <c r="AG586" s="338" t="s">
        <v>410</v>
      </c>
      <c r="AH586" s="338" t="s">
        <v>410</v>
      </c>
      <c r="AI586" s="359" t="s">
        <v>410</v>
      </c>
    </row>
    <row r="587" spans="2:36">
      <c r="B587" s="341" t="s">
        <v>4</v>
      </c>
      <c r="C587" s="132" t="s">
        <v>424</v>
      </c>
      <c r="D587" s="357">
        <v>2.1822000000000001E-2</v>
      </c>
      <c r="E587" s="343">
        <f>IF([2]Inputs!$C$37="Public Station",E553,E570)</f>
        <v>2.5499999999999998</v>
      </c>
      <c r="F587" s="360">
        <f>IF([2]Inputs!$C$37="Public Station",[2]Inputs!H42,[2]Inputs!L42)</f>
        <v>2.5499999999999998</v>
      </c>
      <c r="G587" s="360">
        <f t="shared" ref="G587:V596" si="67">IFERROR(F587+(F587*$D587),"")</f>
        <v>2.6056461</v>
      </c>
      <c r="H587" s="360">
        <f t="shared" si="67"/>
        <v>2.6625065091942002</v>
      </c>
      <c r="I587" s="360">
        <f t="shared" si="67"/>
        <v>2.7206077262378359</v>
      </c>
      <c r="J587" s="360">
        <f t="shared" si="67"/>
        <v>2.7799768280397981</v>
      </c>
      <c r="K587" s="360">
        <f t="shared" si="67"/>
        <v>2.8406414823812827</v>
      </c>
      <c r="L587" s="360">
        <f t="shared" si="67"/>
        <v>2.902629960809807</v>
      </c>
      <c r="M587" s="360">
        <f t="shared" si="67"/>
        <v>2.9659711518145984</v>
      </c>
      <c r="N587" s="360">
        <f t="shared" si="67"/>
        <v>3.0306945742894964</v>
      </c>
      <c r="O587" s="360">
        <f t="shared" si="67"/>
        <v>3.0968303912896418</v>
      </c>
      <c r="P587" s="360">
        <f t="shared" si="67"/>
        <v>3.1644094240883645</v>
      </c>
      <c r="Q587" s="360">
        <f t="shared" si="67"/>
        <v>3.2334631665408207</v>
      </c>
      <c r="R587" s="360">
        <f t="shared" si="67"/>
        <v>3.3040237997610746</v>
      </c>
      <c r="S587" s="360">
        <f t="shared" si="67"/>
        <v>3.3761242071194606</v>
      </c>
      <c r="T587" s="360">
        <f t="shared" si="67"/>
        <v>3.4497979895672213</v>
      </c>
      <c r="U587" s="360">
        <f t="shared" si="67"/>
        <v>3.525079481295557</v>
      </c>
      <c r="V587" s="360">
        <f t="shared" si="67"/>
        <v>3.6020037657363888</v>
      </c>
      <c r="W587" s="360">
        <f t="shared" ref="W587:AI596" si="68">IFERROR(V587+(V587*$D587),"")</f>
        <v>3.6806066919122884</v>
      </c>
      <c r="X587" s="360">
        <f t="shared" si="68"/>
        <v>3.7609248911431985</v>
      </c>
      <c r="Y587" s="360">
        <f t="shared" si="68"/>
        <v>3.8429957941177255</v>
      </c>
      <c r="Z587" s="360">
        <f t="shared" si="68"/>
        <v>3.9268576483369624</v>
      </c>
      <c r="AA587" s="360">
        <f t="shared" si="68"/>
        <v>4.0125495359389713</v>
      </c>
      <c r="AB587" s="360">
        <f t="shared" si="68"/>
        <v>4.1001113919122316</v>
      </c>
      <c r="AC587" s="360">
        <f t="shared" si="68"/>
        <v>4.1895840227065406</v>
      </c>
      <c r="AD587" s="360">
        <f t="shared" si="68"/>
        <v>4.2810091252500424</v>
      </c>
      <c r="AE587" s="360">
        <f t="shared" si="68"/>
        <v>4.3744293063812485</v>
      </c>
      <c r="AF587" s="360">
        <f t="shared" si="68"/>
        <v>4.4698881027051005</v>
      </c>
      <c r="AG587" s="360">
        <f t="shared" si="68"/>
        <v>4.5674300008823314</v>
      </c>
      <c r="AH587" s="360">
        <f t="shared" si="68"/>
        <v>4.6671004583615856</v>
      </c>
      <c r="AI587" s="361">
        <f t="shared" si="68"/>
        <v>4.7689459245639521</v>
      </c>
    </row>
    <row r="588" spans="2:36">
      <c r="B588" s="136" t="s">
        <v>5</v>
      </c>
      <c r="C588" s="132" t="s">
        <v>424</v>
      </c>
      <c r="D588" s="357">
        <v>2.5839999999999998E-2</v>
      </c>
      <c r="E588" s="346">
        <f>IF([2]Inputs!$C$37="Public Station",E554,E571)</f>
        <v>2.2440809870540233</v>
      </c>
      <c r="F588" s="356">
        <f>IF([2]Inputs!$C$37="Public Station",[2]Inputs!H43,[2]Inputs!L43)</f>
        <v>2.2440809870540233</v>
      </c>
      <c r="G588" s="356">
        <f t="shared" si="67"/>
        <v>2.302068039759499</v>
      </c>
      <c r="H588" s="356">
        <f t="shared" si="67"/>
        <v>2.3615534779068845</v>
      </c>
      <c r="I588" s="356">
        <f t="shared" si="67"/>
        <v>2.4225760197759985</v>
      </c>
      <c r="J588" s="356">
        <f t="shared" si="67"/>
        <v>2.4851753841270101</v>
      </c>
      <c r="K588" s="356">
        <f t="shared" si="67"/>
        <v>2.549392316052852</v>
      </c>
      <c r="L588" s="356">
        <f t="shared" si="67"/>
        <v>2.6152686134996577</v>
      </c>
      <c r="M588" s="356">
        <f t="shared" si="67"/>
        <v>2.6828471544724888</v>
      </c>
      <c r="N588" s="356">
        <f t="shared" si="67"/>
        <v>2.7521719249440579</v>
      </c>
      <c r="O588" s="356">
        <f t="shared" si="67"/>
        <v>2.8232880474846125</v>
      </c>
      <c r="P588" s="356">
        <f t="shared" si="67"/>
        <v>2.896241810631615</v>
      </c>
      <c r="Q588" s="356">
        <f t="shared" si="67"/>
        <v>2.9710806990183358</v>
      </c>
      <c r="R588" s="356">
        <f t="shared" si="67"/>
        <v>3.0478534242809694</v>
      </c>
      <c r="S588" s="356">
        <f t="shared" si="67"/>
        <v>3.1266099567643897</v>
      </c>
      <c r="T588" s="356">
        <f t="shared" si="67"/>
        <v>3.2074015580471813</v>
      </c>
      <c r="U588" s="356">
        <f t="shared" si="67"/>
        <v>3.2902808143071205</v>
      </c>
      <c r="V588" s="356">
        <f t="shared" si="67"/>
        <v>3.3753016705488164</v>
      </c>
      <c r="W588" s="356">
        <f t="shared" si="68"/>
        <v>3.4625194657157978</v>
      </c>
      <c r="X588" s="356">
        <f t="shared" si="68"/>
        <v>3.5519909687098941</v>
      </c>
      <c r="Y588" s="356">
        <f t="shared" si="68"/>
        <v>3.6437744153413578</v>
      </c>
      <c r="Z588" s="356">
        <f t="shared" si="68"/>
        <v>3.7379295462337785</v>
      </c>
      <c r="AA588" s="356">
        <f t="shared" si="68"/>
        <v>3.8345176457084591</v>
      </c>
      <c r="AB588" s="356">
        <f t="shared" si="68"/>
        <v>3.9336015816735657</v>
      </c>
      <c r="AC588" s="356">
        <f t="shared" si="68"/>
        <v>4.0352458465440106</v>
      </c>
      <c r="AD588" s="356">
        <f t="shared" si="68"/>
        <v>4.139516599218708</v>
      </c>
      <c r="AE588" s="356">
        <f t="shared" si="68"/>
        <v>4.246481708142519</v>
      </c>
      <c r="AF588" s="356">
        <f t="shared" si="68"/>
        <v>4.3562107954809219</v>
      </c>
      <c r="AG588" s="356">
        <f t="shared" si="68"/>
        <v>4.4687752824361491</v>
      </c>
      <c r="AH588" s="356">
        <f t="shared" si="68"/>
        <v>4.584248435734299</v>
      </c>
      <c r="AI588" s="362">
        <f t="shared" si="68"/>
        <v>4.7027054153136731</v>
      </c>
    </row>
    <row r="589" spans="2:36">
      <c r="B589" s="136" t="s">
        <v>243</v>
      </c>
      <c r="C589" s="132" t="s">
        <v>424</v>
      </c>
      <c r="D589" s="357">
        <v>2.6865E-2</v>
      </c>
      <c r="E589" s="346">
        <f>IF([2]Inputs!$C$37="Public Station",E555,E572)</f>
        <v>3.9170876232443179</v>
      </c>
      <c r="F589" s="356">
        <f>IF([2]Inputs!$C$37="Public Station",[2]Inputs!H44,[2]Inputs!L44)</f>
        <v>3.9170876232443179</v>
      </c>
      <c r="G589" s="356">
        <f t="shared" si="67"/>
        <v>4.0223201822427761</v>
      </c>
      <c r="H589" s="356">
        <f t="shared" si="67"/>
        <v>4.1303798139387284</v>
      </c>
      <c r="I589" s="356">
        <f t="shared" si="67"/>
        <v>4.2413424676401927</v>
      </c>
      <c r="J589" s="356">
        <f t="shared" si="67"/>
        <v>4.3552861330333466</v>
      </c>
      <c r="K589" s="356">
        <f t="shared" si="67"/>
        <v>4.472290894997287</v>
      </c>
      <c r="L589" s="356">
        <f t="shared" si="67"/>
        <v>4.5924389898913889</v>
      </c>
      <c r="M589" s="356">
        <f t="shared" si="67"/>
        <v>4.7158148633548214</v>
      </c>
      <c r="N589" s="356">
        <f t="shared" si="67"/>
        <v>4.8425052296588484</v>
      </c>
      <c r="O589" s="356">
        <f t="shared" si="67"/>
        <v>4.9725991326536336</v>
      </c>
      <c r="P589" s="356">
        <f t="shared" si="67"/>
        <v>5.1061880083523734</v>
      </c>
      <c r="Q589" s="356">
        <f t="shared" si="67"/>
        <v>5.2433657491967596</v>
      </c>
      <c r="R589" s="356">
        <f t="shared" si="67"/>
        <v>5.3842287700489306</v>
      </c>
      <c r="S589" s="356">
        <f t="shared" si="67"/>
        <v>5.5288760759562949</v>
      </c>
      <c r="T589" s="356">
        <f t="shared" si="67"/>
        <v>5.677409331736861</v>
      </c>
      <c r="U589" s="356">
        <f t="shared" si="67"/>
        <v>5.8299329334339713</v>
      </c>
      <c r="V589" s="356">
        <f t="shared" si="67"/>
        <v>5.9865540816906746</v>
      </c>
      <c r="W589" s="356">
        <f t="shared" si="68"/>
        <v>6.1473828570952946</v>
      </c>
      <c r="X589" s="356">
        <f t="shared" si="68"/>
        <v>6.3125322975511597</v>
      </c>
      <c r="Y589" s="356">
        <f t="shared" si="68"/>
        <v>6.4821184777248719</v>
      </c>
      <c r="Z589" s="356">
        <f t="shared" si="68"/>
        <v>6.6562605906289507</v>
      </c>
      <c r="AA589" s="356">
        <f t="shared" si="68"/>
        <v>6.8350810313961974</v>
      </c>
      <c r="AB589" s="356">
        <f t="shared" si="68"/>
        <v>7.0187054833046565</v>
      </c>
      <c r="AC589" s="356">
        <f t="shared" si="68"/>
        <v>7.207263006113636</v>
      </c>
      <c r="AD589" s="356">
        <f t="shared" si="68"/>
        <v>7.4008861267728792</v>
      </c>
      <c r="AE589" s="356">
        <f t="shared" si="68"/>
        <v>7.5997109325686329</v>
      </c>
      <c r="AF589" s="356">
        <f t="shared" si="68"/>
        <v>7.8038771667720894</v>
      </c>
      <c r="AG589" s="356">
        <f t="shared" si="68"/>
        <v>8.013528326857422</v>
      </c>
      <c r="AH589" s="356">
        <f t="shared" si="68"/>
        <v>8.2288117653584472</v>
      </c>
      <c r="AI589" s="362">
        <f t="shared" si="68"/>
        <v>8.4498787934348023</v>
      </c>
    </row>
    <row r="590" spans="2:36">
      <c r="B590" s="136" t="s">
        <v>414</v>
      </c>
      <c r="C590" s="132" t="s">
        <v>425</v>
      </c>
      <c r="D590" s="357">
        <f>$D$595</f>
        <v>2.2098E-2</v>
      </c>
      <c r="E590" s="346" t="str">
        <f>IF([2]Inputs!$C$37="Public Station",E556,E573)</f>
        <v/>
      </c>
      <c r="F590" s="356">
        <f>IF([2]Inputs!$C$37="Public Station",[2]Inputs!H45,[2]Inputs!L45)</f>
        <v>0</v>
      </c>
      <c r="G590" s="356">
        <f t="shared" si="67"/>
        <v>0</v>
      </c>
      <c r="H590" s="356">
        <f t="shared" si="67"/>
        <v>0</v>
      </c>
      <c r="I590" s="356">
        <f t="shared" si="67"/>
        <v>0</v>
      </c>
      <c r="J590" s="356">
        <f t="shared" si="67"/>
        <v>0</v>
      </c>
      <c r="K590" s="356">
        <f t="shared" si="67"/>
        <v>0</v>
      </c>
      <c r="L590" s="356">
        <f t="shared" si="67"/>
        <v>0</v>
      </c>
      <c r="M590" s="356">
        <f t="shared" si="67"/>
        <v>0</v>
      </c>
      <c r="N590" s="356">
        <f t="shared" si="67"/>
        <v>0</v>
      </c>
      <c r="O590" s="356">
        <f t="shared" si="67"/>
        <v>0</v>
      </c>
      <c r="P590" s="356">
        <f t="shared" si="67"/>
        <v>0</v>
      </c>
      <c r="Q590" s="356">
        <f t="shared" si="67"/>
        <v>0</v>
      </c>
      <c r="R590" s="356">
        <f t="shared" si="67"/>
        <v>0</v>
      </c>
      <c r="S590" s="356">
        <f t="shared" si="67"/>
        <v>0</v>
      </c>
      <c r="T590" s="356">
        <f t="shared" si="67"/>
        <v>0</v>
      </c>
      <c r="U590" s="356">
        <f t="shared" si="67"/>
        <v>0</v>
      </c>
      <c r="V590" s="356">
        <f t="shared" si="67"/>
        <v>0</v>
      </c>
      <c r="W590" s="356">
        <f t="shared" si="68"/>
        <v>0</v>
      </c>
      <c r="X590" s="356">
        <f t="shared" si="68"/>
        <v>0</v>
      </c>
      <c r="Y590" s="356">
        <f t="shared" si="68"/>
        <v>0</v>
      </c>
      <c r="Z590" s="356">
        <f t="shared" si="68"/>
        <v>0</v>
      </c>
      <c r="AA590" s="356">
        <f t="shared" si="68"/>
        <v>0</v>
      </c>
      <c r="AB590" s="356">
        <f t="shared" si="68"/>
        <v>0</v>
      </c>
      <c r="AC590" s="356">
        <f t="shared" si="68"/>
        <v>0</v>
      </c>
      <c r="AD590" s="356">
        <f t="shared" si="68"/>
        <v>0</v>
      </c>
      <c r="AE590" s="356">
        <f t="shared" si="68"/>
        <v>0</v>
      </c>
      <c r="AF590" s="356">
        <f t="shared" si="68"/>
        <v>0</v>
      </c>
      <c r="AG590" s="356">
        <f t="shared" si="68"/>
        <v>0</v>
      </c>
      <c r="AH590" s="356">
        <f t="shared" si="68"/>
        <v>0</v>
      </c>
      <c r="AI590" s="362">
        <f t="shared" si="68"/>
        <v>0</v>
      </c>
    </row>
    <row r="591" spans="2:36">
      <c r="B591" s="136" t="s">
        <v>363</v>
      </c>
      <c r="C591" s="132" t="s">
        <v>426</v>
      </c>
      <c r="D591" s="357">
        <f>$D$588</f>
        <v>2.5839999999999998E-2</v>
      </c>
      <c r="E591" s="346">
        <f>IF([2]Inputs!$C$37="Public Station",E557,E574)</f>
        <v>1.9710818566219408</v>
      </c>
      <c r="F591" s="356">
        <f>IF([2]Inputs!$C$37="Public Station",[2]Inputs!H46,[2]Inputs!L46)</f>
        <v>1.9710818566219408</v>
      </c>
      <c r="G591" s="356">
        <f t="shared" si="67"/>
        <v>2.0220146117970517</v>
      </c>
      <c r="H591" s="356">
        <f t="shared" si="67"/>
        <v>2.0742634693658877</v>
      </c>
      <c r="I591" s="356">
        <f t="shared" si="67"/>
        <v>2.127862437414302</v>
      </c>
      <c r="J591" s="356">
        <f t="shared" si="67"/>
        <v>2.1828464027970877</v>
      </c>
      <c r="K591" s="356">
        <f t="shared" si="67"/>
        <v>2.2392511538453643</v>
      </c>
      <c r="L591" s="356">
        <f t="shared" si="67"/>
        <v>2.2971134036607284</v>
      </c>
      <c r="M591" s="356">
        <f t="shared" si="67"/>
        <v>2.3564708140113217</v>
      </c>
      <c r="N591" s="356">
        <f t="shared" si="67"/>
        <v>2.4173620198453745</v>
      </c>
      <c r="O591" s="356">
        <f t="shared" si="67"/>
        <v>2.4798266544381788</v>
      </c>
      <c r="P591" s="356">
        <f t="shared" si="67"/>
        <v>2.5439053751888614</v>
      </c>
      <c r="Q591" s="356">
        <f t="shared" si="67"/>
        <v>2.6096398900837414</v>
      </c>
      <c r="R591" s="356">
        <f t="shared" si="67"/>
        <v>2.6770729848435053</v>
      </c>
      <c r="S591" s="356">
        <f t="shared" si="67"/>
        <v>2.7462485507718615</v>
      </c>
      <c r="T591" s="356">
        <f t="shared" si="67"/>
        <v>2.8172116133238063</v>
      </c>
      <c r="U591" s="356">
        <f t="shared" si="67"/>
        <v>2.8900083614120935</v>
      </c>
      <c r="V591" s="356">
        <f t="shared" si="67"/>
        <v>2.9646861774709818</v>
      </c>
      <c r="W591" s="356">
        <f t="shared" si="68"/>
        <v>3.0412936682968321</v>
      </c>
      <c r="X591" s="356">
        <f t="shared" si="68"/>
        <v>3.1198806966856223</v>
      </c>
      <c r="Y591" s="356">
        <f t="shared" si="68"/>
        <v>3.2004984138879786</v>
      </c>
      <c r="Z591" s="356">
        <f t="shared" si="68"/>
        <v>3.283199292902844</v>
      </c>
      <c r="AA591" s="356">
        <f t="shared" si="68"/>
        <v>3.3680371626314534</v>
      </c>
      <c r="AB591" s="356">
        <f t="shared" si="68"/>
        <v>3.45506724291385</v>
      </c>
      <c r="AC591" s="356">
        <f t="shared" si="68"/>
        <v>3.5443461804707441</v>
      </c>
      <c r="AD591" s="356">
        <f t="shared" si="68"/>
        <v>3.6359320857741082</v>
      </c>
      <c r="AE591" s="356">
        <f t="shared" si="68"/>
        <v>3.7298845708705111</v>
      </c>
      <c r="AF591" s="356">
        <f t="shared" si="68"/>
        <v>3.8262647881818053</v>
      </c>
      <c r="AG591" s="356">
        <f t="shared" si="68"/>
        <v>3.9251354703084229</v>
      </c>
      <c r="AH591" s="356">
        <f t="shared" si="68"/>
        <v>4.0265609708611922</v>
      </c>
      <c r="AI591" s="362">
        <f t="shared" si="68"/>
        <v>4.1306073063482458</v>
      </c>
    </row>
    <row r="592" spans="2:36">
      <c r="B592" s="136" t="s">
        <v>364</v>
      </c>
      <c r="C592" s="132" t="s">
        <v>426</v>
      </c>
      <c r="D592" s="357">
        <f>$D$588</f>
        <v>2.5839999999999998E-2</v>
      </c>
      <c r="E592" s="346" t="str">
        <f>IF([2]Inputs!$C$37="Public Station",E558,E575)</f>
        <v/>
      </c>
      <c r="F592" s="356">
        <f>IF([2]Inputs!$C$37="Public Station",[2]Inputs!H47,[2]Inputs!L47)</f>
        <v>0</v>
      </c>
      <c r="G592" s="356">
        <f t="shared" si="67"/>
        <v>0</v>
      </c>
      <c r="H592" s="356">
        <f t="shared" si="67"/>
        <v>0</v>
      </c>
      <c r="I592" s="356">
        <f t="shared" si="67"/>
        <v>0</v>
      </c>
      <c r="J592" s="356">
        <f t="shared" si="67"/>
        <v>0</v>
      </c>
      <c r="K592" s="356">
        <f t="shared" si="67"/>
        <v>0</v>
      </c>
      <c r="L592" s="356">
        <f t="shared" si="67"/>
        <v>0</v>
      </c>
      <c r="M592" s="356">
        <f t="shared" si="67"/>
        <v>0</v>
      </c>
      <c r="N592" s="356">
        <f t="shared" si="67"/>
        <v>0</v>
      </c>
      <c r="O592" s="356">
        <f t="shared" si="67"/>
        <v>0</v>
      </c>
      <c r="P592" s="356">
        <f t="shared" si="67"/>
        <v>0</v>
      </c>
      <c r="Q592" s="356">
        <f t="shared" si="67"/>
        <v>0</v>
      </c>
      <c r="R592" s="356">
        <f t="shared" si="67"/>
        <v>0</v>
      </c>
      <c r="S592" s="356">
        <f t="shared" si="67"/>
        <v>0</v>
      </c>
      <c r="T592" s="356">
        <f t="shared" si="67"/>
        <v>0</v>
      </c>
      <c r="U592" s="356">
        <f t="shared" si="67"/>
        <v>0</v>
      </c>
      <c r="V592" s="356">
        <f t="shared" si="67"/>
        <v>0</v>
      </c>
      <c r="W592" s="356">
        <f t="shared" si="68"/>
        <v>0</v>
      </c>
      <c r="X592" s="356">
        <f t="shared" si="68"/>
        <v>0</v>
      </c>
      <c r="Y592" s="356">
        <f t="shared" si="68"/>
        <v>0</v>
      </c>
      <c r="Z592" s="356">
        <f t="shared" si="68"/>
        <v>0</v>
      </c>
      <c r="AA592" s="356">
        <f t="shared" si="68"/>
        <v>0</v>
      </c>
      <c r="AB592" s="356">
        <f t="shared" si="68"/>
        <v>0</v>
      </c>
      <c r="AC592" s="356">
        <f t="shared" si="68"/>
        <v>0</v>
      </c>
      <c r="AD592" s="356">
        <f t="shared" si="68"/>
        <v>0</v>
      </c>
      <c r="AE592" s="356">
        <f t="shared" si="68"/>
        <v>0</v>
      </c>
      <c r="AF592" s="356">
        <f t="shared" si="68"/>
        <v>0</v>
      </c>
      <c r="AG592" s="356">
        <f t="shared" si="68"/>
        <v>0</v>
      </c>
      <c r="AH592" s="356">
        <f t="shared" si="68"/>
        <v>0</v>
      </c>
      <c r="AI592" s="362">
        <f t="shared" si="68"/>
        <v>0</v>
      </c>
    </row>
    <row r="593" spans="2:85">
      <c r="B593" s="136" t="s">
        <v>365</v>
      </c>
      <c r="C593" s="132" t="s">
        <v>424</v>
      </c>
      <c r="D593" s="357">
        <v>2.0657999999999999E-2</v>
      </c>
      <c r="E593" s="346">
        <f>IF([2]Inputs!$C$37="Public Station",E559,E576)</f>
        <v>3.080172439132645</v>
      </c>
      <c r="F593" s="356">
        <f>IF([2]Inputs!$C$37="Public Station",[2]Inputs!H48,[2]Inputs!L48)</f>
        <v>3.080172439132645</v>
      </c>
      <c r="G593" s="356">
        <f t="shared" si="67"/>
        <v>3.1438026413802471</v>
      </c>
      <c r="H593" s="356">
        <f t="shared" si="67"/>
        <v>3.2087473163458804</v>
      </c>
      <c r="I593" s="356">
        <f t="shared" si="67"/>
        <v>3.2750336184069537</v>
      </c>
      <c r="J593" s="356">
        <f t="shared" si="67"/>
        <v>3.3426892628960045</v>
      </c>
      <c r="K593" s="356">
        <f t="shared" si="67"/>
        <v>3.4117425376889101</v>
      </c>
      <c r="L593" s="356">
        <f t="shared" si="67"/>
        <v>3.4822223150324878</v>
      </c>
      <c r="M593" s="356">
        <f t="shared" si="67"/>
        <v>3.5541580636164287</v>
      </c>
      <c r="N593" s="356">
        <f t="shared" si="67"/>
        <v>3.6275798608946168</v>
      </c>
      <c r="O593" s="356">
        <f t="shared" si="67"/>
        <v>3.7025184056609777</v>
      </c>
      <c r="P593" s="356">
        <f t="shared" si="67"/>
        <v>3.7790050308851222</v>
      </c>
      <c r="Q593" s="356">
        <f t="shared" si="67"/>
        <v>3.857071716813147</v>
      </c>
      <c r="R593" s="356">
        <f t="shared" si="67"/>
        <v>3.936751104339073</v>
      </c>
      <c r="S593" s="356">
        <f t="shared" si="67"/>
        <v>4.0180765086525092</v>
      </c>
      <c r="T593" s="356">
        <f t="shared" si="67"/>
        <v>4.1010819331682526</v>
      </c>
      <c r="U593" s="356">
        <f t="shared" si="67"/>
        <v>4.185802083743642</v>
      </c>
      <c r="V593" s="356">
        <f t="shared" si="67"/>
        <v>4.2722723831896179</v>
      </c>
      <c r="W593" s="356">
        <f t="shared" si="68"/>
        <v>4.3605289860815493</v>
      </c>
      <c r="X593" s="356">
        <f t="shared" si="68"/>
        <v>4.4506087938760217</v>
      </c>
      <c r="Y593" s="356">
        <f t="shared" si="68"/>
        <v>4.542549470339913</v>
      </c>
      <c r="Z593" s="356">
        <f t="shared" si="68"/>
        <v>4.6363894572981952</v>
      </c>
      <c r="AA593" s="356">
        <f t="shared" si="68"/>
        <v>4.7321679907070617</v>
      </c>
      <c r="AB593" s="356">
        <f t="shared" si="68"/>
        <v>4.829925117059088</v>
      </c>
      <c r="AC593" s="356">
        <f t="shared" si="68"/>
        <v>4.9297017101272944</v>
      </c>
      <c r="AD593" s="356">
        <f t="shared" si="68"/>
        <v>5.0315394880551043</v>
      </c>
      <c r="AE593" s="356">
        <f t="shared" si="68"/>
        <v>5.1354810307993466</v>
      </c>
      <c r="AF593" s="356">
        <f t="shared" si="68"/>
        <v>5.2415697979335993</v>
      </c>
      <c r="AG593" s="356">
        <f t="shared" si="68"/>
        <v>5.3498501468193114</v>
      </c>
      <c r="AH593" s="356">
        <f t="shared" si="68"/>
        <v>5.4603673511523043</v>
      </c>
      <c r="AI593" s="362">
        <f t="shared" si="68"/>
        <v>5.5731676198924083</v>
      </c>
    </row>
    <row r="594" spans="2:85">
      <c r="B594" s="136" t="s">
        <v>2</v>
      </c>
      <c r="C594" s="132" t="s">
        <v>424</v>
      </c>
      <c r="D594" s="357">
        <v>2.2495999999999999E-2</v>
      </c>
      <c r="E594" s="346">
        <f>IF([2]Inputs!$C$37="Public Station",E560,E577)</f>
        <v>1.9150159387875223</v>
      </c>
      <c r="F594" s="356">
        <f>IF([2]Inputs!$C$37="Public Station",[2]Inputs!H49,[2]Inputs!L49)</f>
        <v>1.9150159387875223</v>
      </c>
      <c r="G594" s="356">
        <f t="shared" si="67"/>
        <v>1.9580961373464865</v>
      </c>
      <c r="H594" s="356">
        <f t="shared" si="67"/>
        <v>2.002145468052233</v>
      </c>
      <c r="I594" s="356">
        <f t="shared" si="67"/>
        <v>2.0471857325015361</v>
      </c>
      <c r="J594" s="356">
        <f t="shared" si="67"/>
        <v>2.0932392227398906</v>
      </c>
      <c r="K594" s="356">
        <f t="shared" si="67"/>
        <v>2.1403287322946474</v>
      </c>
      <c r="L594" s="356">
        <f t="shared" si="67"/>
        <v>2.1884775674563479</v>
      </c>
      <c r="M594" s="356">
        <f t="shared" si="67"/>
        <v>2.237709558813846</v>
      </c>
      <c r="N594" s="356">
        <f t="shared" si="67"/>
        <v>2.2880490730489225</v>
      </c>
      <c r="O594" s="356">
        <f t="shared" si="67"/>
        <v>2.3395210249962308</v>
      </c>
      <c r="P594" s="356">
        <f t="shared" si="67"/>
        <v>2.3921508899745461</v>
      </c>
      <c r="Q594" s="356">
        <f t="shared" si="67"/>
        <v>2.4459647163954132</v>
      </c>
      <c r="R594" s="356">
        <f t="shared" si="67"/>
        <v>2.5009891386554446</v>
      </c>
      <c r="S594" s="356">
        <f t="shared" si="67"/>
        <v>2.5572513903186374</v>
      </c>
      <c r="T594" s="356">
        <f t="shared" si="67"/>
        <v>2.6147793175952456</v>
      </c>
      <c r="U594" s="356">
        <f t="shared" si="67"/>
        <v>2.6736013931238682</v>
      </c>
      <c r="V594" s="356">
        <f t="shared" si="67"/>
        <v>2.7337467300635829</v>
      </c>
      <c r="W594" s="356">
        <f t="shared" si="68"/>
        <v>2.7952450965030935</v>
      </c>
      <c r="X594" s="356">
        <f t="shared" si="68"/>
        <v>2.8581269301940271</v>
      </c>
      <c r="Y594" s="356">
        <f t="shared" si="68"/>
        <v>2.9224233536156721</v>
      </c>
      <c r="Z594" s="356">
        <f t="shared" si="68"/>
        <v>2.9881661893786102</v>
      </c>
      <c r="AA594" s="356">
        <f t="shared" si="68"/>
        <v>3.0553879759748712</v>
      </c>
      <c r="AB594" s="356">
        <f t="shared" si="68"/>
        <v>3.1241219838824019</v>
      </c>
      <c r="AC594" s="356">
        <f t="shared" si="68"/>
        <v>3.1944022320318206</v>
      </c>
      <c r="AD594" s="356">
        <f t="shared" si="68"/>
        <v>3.2662635046436086</v>
      </c>
      <c r="AE594" s="356">
        <f t="shared" si="68"/>
        <v>3.3397413684440713</v>
      </c>
      <c r="AF594" s="356">
        <f t="shared" si="68"/>
        <v>3.4148721902685892</v>
      </c>
      <c r="AG594" s="356">
        <f t="shared" si="68"/>
        <v>3.4916931550608714</v>
      </c>
      <c r="AH594" s="356">
        <f t="shared" si="68"/>
        <v>3.5702422842771209</v>
      </c>
      <c r="AI594" s="362">
        <f t="shared" si="68"/>
        <v>3.6505584547042189</v>
      </c>
    </row>
    <row r="595" spans="2:85">
      <c r="B595" s="136" t="s">
        <v>366</v>
      </c>
      <c r="C595" s="132" t="s">
        <v>424</v>
      </c>
      <c r="D595" s="357">
        <v>2.2098E-2</v>
      </c>
      <c r="E595" s="346">
        <f>IF([2]Inputs!$C$37="Public Station",E561,E578)</f>
        <v>2.2599999999999998</v>
      </c>
      <c r="F595" s="356">
        <f>IF([2]Inputs!$C$37="Public Station",[2]Inputs!H50,[2]Inputs!L50)</f>
        <v>2.2599999999999998</v>
      </c>
      <c r="G595" s="356">
        <f t="shared" si="67"/>
        <v>2.30994148</v>
      </c>
      <c r="H595" s="356">
        <f t="shared" si="67"/>
        <v>2.3609865668250398</v>
      </c>
      <c r="I595" s="356">
        <f t="shared" si="67"/>
        <v>2.4131596479787394</v>
      </c>
      <c r="J595" s="356">
        <f t="shared" si="67"/>
        <v>2.4664856498797736</v>
      </c>
      <c r="K595" s="356">
        <f t="shared" si="67"/>
        <v>2.5209900497708166</v>
      </c>
      <c r="L595" s="356">
        <f t="shared" si="67"/>
        <v>2.576698887890652</v>
      </c>
      <c r="M595" s="356">
        <f t="shared" si="67"/>
        <v>2.6336387799152599</v>
      </c>
      <c r="N595" s="356">
        <f t="shared" si="67"/>
        <v>2.6918369296738272</v>
      </c>
      <c r="O595" s="356">
        <f t="shared" si="67"/>
        <v>2.7513211421457595</v>
      </c>
      <c r="P595" s="356">
        <f t="shared" si="67"/>
        <v>2.8121198367448965</v>
      </c>
      <c r="Q595" s="356">
        <f t="shared" si="67"/>
        <v>2.8742620608972853</v>
      </c>
      <c r="R595" s="356">
        <f t="shared" si="67"/>
        <v>2.9377775039189937</v>
      </c>
      <c r="S595" s="356">
        <f t="shared" si="67"/>
        <v>3.0026965112005954</v>
      </c>
      <c r="T595" s="356">
        <f t="shared" si="67"/>
        <v>3.0690500987051061</v>
      </c>
      <c r="U595" s="356">
        <f t="shared" si="67"/>
        <v>3.1368699677862915</v>
      </c>
      <c r="V595" s="356">
        <f t="shared" si="67"/>
        <v>3.2061885203344329</v>
      </c>
      <c r="W595" s="356">
        <f t="shared" si="68"/>
        <v>3.2770388742567831</v>
      </c>
      <c r="X595" s="356">
        <f t="shared" si="68"/>
        <v>3.3494548793001093</v>
      </c>
      <c r="Y595" s="356">
        <f t="shared" si="68"/>
        <v>3.4234711332228831</v>
      </c>
      <c r="Z595" s="356">
        <f t="shared" si="68"/>
        <v>3.4991229983248422</v>
      </c>
      <c r="AA595" s="356">
        <f t="shared" si="68"/>
        <v>3.5764466183418246</v>
      </c>
      <c r="AB595" s="356">
        <f t="shared" si="68"/>
        <v>3.6554789357139423</v>
      </c>
      <c r="AC595" s="356">
        <f t="shared" si="68"/>
        <v>3.7362577092353488</v>
      </c>
      <c r="AD595" s="356">
        <f t="shared" si="68"/>
        <v>3.8188215320940317</v>
      </c>
      <c r="AE595" s="356">
        <f t="shared" si="68"/>
        <v>3.9032098503102457</v>
      </c>
      <c r="AF595" s="356">
        <f t="shared" si="68"/>
        <v>3.9894629815824016</v>
      </c>
      <c r="AG595" s="356">
        <f t="shared" si="68"/>
        <v>4.0776221345494097</v>
      </c>
      <c r="AH595" s="356">
        <f t="shared" si="68"/>
        <v>4.1677294284786823</v>
      </c>
      <c r="AI595" s="362">
        <f t="shared" si="68"/>
        <v>4.2598279133892039</v>
      </c>
    </row>
    <row r="596" spans="2:85">
      <c r="B596" s="136" t="s">
        <v>218</v>
      </c>
      <c r="C596" s="132" t="s">
        <v>424</v>
      </c>
      <c r="D596" s="357">
        <v>2.2098E-2</v>
      </c>
      <c r="E596" s="346">
        <f>IF([2]Inputs!$C$37="Public Station",E562,E579)</f>
        <v>3.2432816274089937</v>
      </c>
      <c r="F596" s="356">
        <f>IF([2]Inputs!$C$37="Public Station",[2]Inputs!H51,[2]Inputs!L51)</f>
        <v>3.2432816274089937</v>
      </c>
      <c r="G596" s="356">
        <f t="shared" si="67"/>
        <v>3.3149516648114776</v>
      </c>
      <c r="H596" s="356">
        <f t="shared" si="67"/>
        <v>3.3882054667004815</v>
      </c>
      <c r="I596" s="356">
        <f t="shared" si="67"/>
        <v>3.4630780311036289</v>
      </c>
      <c r="J596" s="356">
        <f t="shared" si="67"/>
        <v>3.5396051294349569</v>
      </c>
      <c r="K596" s="356">
        <f t="shared" si="67"/>
        <v>3.6178233235852106</v>
      </c>
      <c r="L596" s="356">
        <f t="shared" si="67"/>
        <v>3.6977699833897968</v>
      </c>
      <c r="M596" s="356">
        <f t="shared" si="67"/>
        <v>3.7794833044827447</v>
      </c>
      <c r="N596" s="356">
        <f t="shared" si="67"/>
        <v>3.8630023265452045</v>
      </c>
      <c r="O596" s="356">
        <f t="shared" si="67"/>
        <v>3.9483669519572002</v>
      </c>
      <c r="P596" s="356">
        <f t="shared" si="67"/>
        <v>4.03561796486155</v>
      </c>
      <c r="Q596" s="356">
        <f t="shared" si="67"/>
        <v>4.1247970506490601</v>
      </c>
      <c r="R596" s="356">
        <f t="shared" si="67"/>
        <v>4.215946815874303</v>
      </c>
      <c r="S596" s="356">
        <f t="shared" si="67"/>
        <v>4.3091108086114938</v>
      </c>
      <c r="T596" s="356">
        <f t="shared" si="67"/>
        <v>4.4043335392601906</v>
      </c>
      <c r="U596" s="356">
        <f t="shared" si="67"/>
        <v>4.501660501810762</v>
      </c>
      <c r="V596" s="356">
        <f t="shared" si="67"/>
        <v>4.6011381955797761</v>
      </c>
      <c r="W596" s="356">
        <f t="shared" si="68"/>
        <v>4.7028141474256984</v>
      </c>
      <c r="X596" s="356">
        <f t="shared" si="68"/>
        <v>4.8067369344555111</v>
      </c>
      <c r="Y596" s="356">
        <f t="shared" si="68"/>
        <v>4.9129562072331092</v>
      </c>
      <c r="Z596" s="356">
        <f t="shared" si="68"/>
        <v>5.0215227135005467</v>
      </c>
      <c r="AA596" s="356">
        <f t="shared" si="68"/>
        <v>5.1324883224234821</v>
      </c>
      <c r="AB596" s="356">
        <f t="shared" si="68"/>
        <v>5.2459060493723966</v>
      </c>
      <c r="AC596" s="356">
        <f t="shared" si="68"/>
        <v>5.3618300812514281</v>
      </c>
      <c r="AD596" s="356">
        <f t="shared" si="68"/>
        <v>5.4803158023869223</v>
      </c>
      <c r="AE596" s="356">
        <f t="shared" si="68"/>
        <v>5.6014198209880686</v>
      </c>
      <c r="AF596" s="356">
        <f t="shared" si="68"/>
        <v>5.7251999961922628</v>
      </c>
      <c r="AG596" s="356">
        <f t="shared" si="68"/>
        <v>5.8517154657081196</v>
      </c>
      <c r="AH596" s="356">
        <f t="shared" si="68"/>
        <v>5.9810266740693381</v>
      </c>
      <c r="AI596" s="362">
        <f t="shared" si="68"/>
        <v>6.1131954015129226</v>
      </c>
    </row>
    <row r="597" spans="2:85">
      <c r="B597" s="337" t="s">
        <v>416</v>
      </c>
      <c r="C597" s="338" t="s">
        <v>425</v>
      </c>
      <c r="D597" s="363">
        <f>$D$595</f>
        <v>2.2098E-2</v>
      </c>
      <c r="E597" s="350">
        <f>IF([2]Inputs!$C$37="Public Station",E563,E580)</f>
        <v>2.8</v>
      </c>
      <c r="F597" s="364">
        <f>IF([2]Inputs!$C$37="Public Station",[2]Inputs!H52,[2]Inputs!L52)</f>
        <v>2.8</v>
      </c>
      <c r="G597" s="364">
        <f t="shared" ref="G597:AI597" si="69">F597+(F597*$D597)</f>
        <v>2.8618743999999996</v>
      </c>
      <c r="H597" s="364">
        <f t="shared" si="69"/>
        <v>2.9251161004911994</v>
      </c>
      <c r="I597" s="364">
        <f t="shared" si="69"/>
        <v>2.989755316079854</v>
      </c>
      <c r="J597" s="364">
        <f t="shared" si="69"/>
        <v>3.0558229290545866</v>
      </c>
      <c r="K597" s="364">
        <f t="shared" si="69"/>
        <v>3.1233505041408347</v>
      </c>
      <c r="L597" s="364">
        <f t="shared" si="69"/>
        <v>3.1923703035813387</v>
      </c>
      <c r="M597" s="364">
        <f t="shared" si="69"/>
        <v>3.2629153025498789</v>
      </c>
      <c r="N597" s="364">
        <f t="shared" si="69"/>
        <v>3.3350192049056262</v>
      </c>
      <c r="O597" s="364">
        <f t="shared" si="69"/>
        <v>3.4087164592956309</v>
      </c>
      <c r="P597" s="364">
        <f t="shared" si="69"/>
        <v>3.4840422756131457</v>
      </c>
      <c r="Q597" s="364">
        <f t="shared" si="69"/>
        <v>3.561032641819645</v>
      </c>
      <c r="R597" s="364">
        <f t="shared" si="69"/>
        <v>3.6397243411385753</v>
      </c>
      <c r="S597" s="364">
        <f t="shared" si="69"/>
        <v>3.7201549696290557</v>
      </c>
      <c r="T597" s="364">
        <f t="shared" si="69"/>
        <v>3.8023629541479185</v>
      </c>
      <c r="U597" s="364">
        <f t="shared" si="69"/>
        <v>3.886387570708679</v>
      </c>
      <c r="V597" s="364">
        <f t="shared" si="69"/>
        <v>3.9722689632461994</v>
      </c>
      <c r="W597" s="364">
        <f t="shared" si="69"/>
        <v>4.0600481627960141</v>
      </c>
      <c r="X597" s="364">
        <f t="shared" si="69"/>
        <v>4.14976710709748</v>
      </c>
      <c r="Y597" s="364">
        <f t="shared" si="69"/>
        <v>4.2414686606301197</v>
      </c>
      <c r="Z597" s="364">
        <f t="shared" si="69"/>
        <v>4.335196635092724</v>
      </c>
      <c r="AA597" s="364">
        <f t="shared" si="69"/>
        <v>4.4309958103350029</v>
      </c>
      <c r="AB597" s="364">
        <f t="shared" si="69"/>
        <v>4.5289119557517861</v>
      </c>
      <c r="AC597" s="364">
        <f t="shared" si="69"/>
        <v>4.6289918521499889</v>
      </c>
      <c r="AD597" s="364">
        <f t="shared" si="69"/>
        <v>4.7312833140987998</v>
      </c>
      <c r="AE597" s="364">
        <f t="shared" si="69"/>
        <v>4.8358352127737554</v>
      </c>
      <c r="AF597" s="364">
        <f t="shared" si="69"/>
        <v>4.9426974993056296</v>
      </c>
      <c r="AG597" s="364">
        <f t="shared" si="69"/>
        <v>5.051921228645285</v>
      </c>
      <c r="AH597" s="364">
        <f t="shared" si="69"/>
        <v>5.1635585839558882</v>
      </c>
      <c r="AI597" s="365">
        <f t="shared" si="69"/>
        <v>5.2776629015441454</v>
      </c>
    </row>
    <row r="598" spans="2:85" ht="16" thickBot="1">
      <c r="B598" s="143"/>
      <c r="C598" s="366"/>
      <c r="D598" s="366"/>
      <c r="E598" s="353" t="s">
        <v>418</v>
      </c>
      <c r="F598" s="353"/>
      <c r="G598" s="353"/>
      <c r="H598" s="353"/>
      <c r="I598" s="353"/>
      <c r="J598" s="353"/>
      <c r="K598" s="353"/>
      <c r="L598" s="353"/>
      <c r="M598" s="353"/>
      <c r="N598" s="353"/>
      <c r="O598" s="353"/>
      <c r="P598" s="353"/>
      <c r="Q598" s="353"/>
      <c r="R598" s="353"/>
      <c r="S598" s="353"/>
      <c r="T598" s="353"/>
      <c r="U598" s="353"/>
      <c r="V598" s="353"/>
      <c r="W598" s="353"/>
      <c r="X598" s="353"/>
      <c r="Y598" s="353"/>
      <c r="Z598" s="353"/>
      <c r="AA598" s="353"/>
      <c r="AB598" s="353"/>
      <c r="AC598" s="353"/>
      <c r="AD598" s="353"/>
      <c r="AE598" s="353"/>
      <c r="AF598" s="353"/>
      <c r="AG598" s="353"/>
      <c r="AH598" s="353"/>
      <c r="AI598" s="354"/>
    </row>
    <row r="599" spans="2:85">
      <c r="B599" s="132"/>
      <c r="C599" s="367"/>
      <c r="D599" s="367"/>
      <c r="E599" s="367"/>
      <c r="F599" s="356"/>
      <c r="G599" s="356"/>
      <c r="H599" s="356"/>
      <c r="I599" s="356"/>
      <c r="J599" s="356"/>
      <c r="K599" s="356"/>
      <c r="L599" s="356"/>
      <c r="M599" s="356"/>
      <c r="N599" s="356"/>
      <c r="O599" s="356"/>
      <c r="P599" s="356"/>
      <c r="Q599" s="356"/>
      <c r="R599" s="356"/>
      <c r="S599" s="356"/>
      <c r="T599" s="356"/>
      <c r="U599" s="356"/>
      <c r="V599" s="356"/>
      <c r="W599" s="356"/>
      <c r="X599" s="356"/>
      <c r="Y599" s="356"/>
      <c r="Z599" s="356"/>
      <c r="AA599" s="356"/>
      <c r="AB599" s="356"/>
      <c r="AC599" s="356"/>
      <c r="AD599" s="356"/>
      <c r="AE599" s="356"/>
      <c r="AF599" s="356"/>
      <c r="AG599" s="356"/>
      <c r="AH599" s="356"/>
      <c r="AI599" s="356"/>
      <c r="AJ599" s="356"/>
    </row>
    <row r="600" spans="2:85" ht="16" thickBot="1">
      <c r="B600" s="249" t="s">
        <v>427</v>
      </c>
      <c r="C600" s="132"/>
      <c r="D600" s="355"/>
      <c r="E600" s="356"/>
      <c r="F600" s="132"/>
      <c r="G600" s="132"/>
      <c r="H600" s="356"/>
      <c r="I600" s="356"/>
      <c r="J600" s="356"/>
      <c r="K600" s="356"/>
      <c r="L600" s="356"/>
      <c r="M600" s="356"/>
      <c r="N600" s="356"/>
      <c r="O600" s="356"/>
      <c r="P600" s="356"/>
      <c r="Q600" s="356"/>
      <c r="R600" s="356"/>
      <c r="S600" s="356"/>
      <c r="T600" s="356"/>
      <c r="AE600" s="356"/>
      <c r="AF600" s="356"/>
      <c r="AG600" s="356"/>
      <c r="AH600" s="356"/>
      <c r="AI600" s="356"/>
    </row>
    <row r="601" spans="2:85">
      <c r="B601" s="368"/>
      <c r="C601" s="1596" t="s">
        <v>428</v>
      </c>
      <c r="D601" s="1597"/>
      <c r="E601" s="1597"/>
      <c r="F601" s="1597"/>
      <c r="G601" s="1597"/>
      <c r="H601" s="1597"/>
      <c r="I601" s="1597"/>
      <c r="J601" s="1597"/>
      <c r="K601" s="1597"/>
      <c r="L601" s="1598"/>
      <c r="M601" s="1596" t="s">
        <v>429</v>
      </c>
      <c r="N601" s="1597"/>
      <c r="O601" s="1597"/>
      <c r="P601" s="1597"/>
      <c r="Q601" s="1597"/>
      <c r="R601" s="1597"/>
      <c r="S601" s="1597"/>
      <c r="T601" s="1597"/>
      <c r="U601" s="1597"/>
      <c r="V601" s="1599"/>
      <c r="X601" s="369"/>
      <c r="Y601" s="370"/>
      <c r="Z601" s="371"/>
      <c r="AA601" s="1597" t="s">
        <v>428</v>
      </c>
      <c r="AB601" s="1597"/>
      <c r="AC601" s="1597"/>
      <c r="AD601" s="1597"/>
      <c r="AE601" s="1597"/>
      <c r="AF601" s="1597"/>
      <c r="AG601" s="1597"/>
      <c r="AH601" s="1597"/>
      <c r="AI601" s="1597"/>
      <c r="AJ601" s="1597"/>
      <c r="AK601" s="1600" t="s">
        <v>429</v>
      </c>
      <c r="AL601" s="1601"/>
      <c r="AM601" s="1601"/>
      <c r="AN601" s="1601"/>
      <c r="AO601" s="1601"/>
      <c r="AP601" s="1601"/>
      <c r="AQ601" s="1601"/>
      <c r="AR601" s="1601"/>
      <c r="AS601" s="1601"/>
      <c r="AT601" s="1602"/>
    </row>
    <row r="602" spans="2:85">
      <c r="B602" s="1587" t="s">
        <v>430</v>
      </c>
      <c r="C602" s="372" t="s">
        <v>4</v>
      </c>
      <c r="D602" s="373" t="s">
        <v>5</v>
      </c>
      <c r="E602" s="373" t="s">
        <v>243</v>
      </c>
      <c r="F602" s="373" t="s">
        <v>414</v>
      </c>
      <c r="G602" s="373" t="s">
        <v>363</v>
      </c>
      <c r="H602" s="373" t="s">
        <v>364</v>
      </c>
      <c r="I602" s="373" t="s">
        <v>365</v>
      </c>
      <c r="J602" s="373" t="s">
        <v>2</v>
      </c>
      <c r="K602" s="373" t="s">
        <v>415</v>
      </c>
      <c r="L602" s="373" t="s">
        <v>218</v>
      </c>
      <c r="M602" s="372" t="s">
        <v>4</v>
      </c>
      <c r="N602" s="373" t="s">
        <v>5</v>
      </c>
      <c r="O602" s="373" t="s">
        <v>243</v>
      </c>
      <c r="P602" s="373" t="s">
        <v>414</v>
      </c>
      <c r="Q602" s="373" t="s">
        <v>363</v>
      </c>
      <c r="R602" s="373" t="s">
        <v>364</v>
      </c>
      <c r="S602" s="373" t="s">
        <v>365</v>
      </c>
      <c r="T602" s="373" t="s">
        <v>2</v>
      </c>
      <c r="U602" s="373" t="s">
        <v>415</v>
      </c>
      <c r="V602" s="374" t="s">
        <v>218</v>
      </c>
      <c r="W602" s="375"/>
      <c r="X602" s="1587" t="s">
        <v>407</v>
      </c>
      <c r="Y602" s="1588"/>
      <c r="Z602" s="376" t="s">
        <v>431</v>
      </c>
      <c r="AA602" s="377" t="s">
        <v>4</v>
      </c>
      <c r="AB602" s="373" t="s">
        <v>5</v>
      </c>
      <c r="AC602" s="373" t="s">
        <v>243</v>
      </c>
      <c r="AD602" s="373" t="s">
        <v>414</v>
      </c>
      <c r="AE602" s="373" t="s">
        <v>363</v>
      </c>
      <c r="AF602" s="373" t="s">
        <v>364</v>
      </c>
      <c r="AG602" s="373" t="s">
        <v>365</v>
      </c>
      <c r="AH602" s="373" t="s">
        <v>2</v>
      </c>
      <c r="AI602" s="373" t="s">
        <v>415</v>
      </c>
      <c r="AJ602" s="373" t="s">
        <v>218</v>
      </c>
      <c r="AK602" s="378" t="s">
        <v>4</v>
      </c>
      <c r="AL602" s="373" t="s">
        <v>5</v>
      </c>
      <c r="AM602" s="373" t="s">
        <v>243</v>
      </c>
      <c r="AN602" s="373" t="s">
        <v>414</v>
      </c>
      <c r="AO602" s="373" t="s">
        <v>363</v>
      </c>
      <c r="AP602" s="373" t="s">
        <v>364</v>
      </c>
      <c r="AQ602" s="373" t="s">
        <v>365</v>
      </c>
      <c r="AR602" s="373" t="s">
        <v>2</v>
      </c>
      <c r="AS602" s="373" t="s">
        <v>415</v>
      </c>
      <c r="AT602" s="374" t="s">
        <v>218</v>
      </c>
    </row>
    <row r="603" spans="2:85">
      <c r="B603" s="1587"/>
      <c r="C603" s="379" t="s">
        <v>432</v>
      </c>
      <c r="D603" s="380" t="s">
        <v>432</v>
      </c>
      <c r="E603" s="377" t="s">
        <v>433</v>
      </c>
      <c r="F603" s="377" t="s">
        <v>434</v>
      </c>
      <c r="G603" s="377" t="s">
        <v>432</v>
      </c>
      <c r="H603" s="377" t="s">
        <v>432</v>
      </c>
      <c r="I603" s="377" t="s">
        <v>432</v>
      </c>
      <c r="J603" s="377" t="s">
        <v>432</v>
      </c>
      <c r="K603" s="377" t="s">
        <v>434</v>
      </c>
      <c r="L603" s="377" t="s">
        <v>432</v>
      </c>
      <c r="M603" s="379" t="s">
        <v>432</v>
      </c>
      <c r="N603" s="380" t="s">
        <v>432</v>
      </c>
      <c r="O603" s="377" t="s">
        <v>433</v>
      </c>
      <c r="P603" s="377" t="s">
        <v>434</v>
      </c>
      <c r="Q603" s="377" t="s">
        <v>432</v>
      </c>
      <c r="R603" s="377" t="s">
        <v>432</v>
      </c>
      <c r="S603" s="377" t="s">
        <v>432</v>
      </c>
      <c r="T603" s="377" t="s">
        <v>432</v>
      </c>
      <c r="U603" s="377" t="s">
        <v>434</v>
      </c>
      <c r="V603" s="381" t="s">
        <v>432</v>
      </c>
      <c r="W603" s="382"/>
      <c r="X603" s="1589"/>
      <c r="Y603" s="1590"/>
      <c r="Z603" s="383"/>
      <c r="AA603" s="380" t="s">
        <v>434</v>
      </c>
      <c r="AB603" s="380" t="s">
        <v>434</v>
      </c>
      <c r="AC603" s="377" t="s">
        <v>434</v>
      </c>
      <c r="AD603" s="377" t="s">
        <v>434</v>
      </c>
      <c r="AE603" s="377" t="s">
        <v>434</v>
      </c>
      <c r="AF603" s="377" t="s">
        <v>434</v>
      </c>
      <c r="AG603" s="377" t="s">
        <v>434</v>
      </c>
      <c r="AH603" s="377" t="s">
        <v>434</v>
      </c>
      <c r="AI603" s="377" t="s">
        <v>434</v>
      </c>
      <c r="AJ603" s="377" t="s">
        <v>434</v>
      </c>
      <c r="AK603" s="384" t="s">
        <v>434</v>
      </c>
      <c r="AL603" s="380" t="s">
        <v>434</v>
      </c>
      <c r="AM603" s="377" t="s">
        <v>434</v>
      </c>
      <c r="AN603" s="377" t="s">
        <v>434</v>
      </c>
      <c r="AO603" s="377" t="s">
        <v>434</v>
      </c>
      <c r="AP603" s="377" t="s">
        <v>434</v>
      </c>
      <c r="AQ603" s="377" t="s">
        <v>434</v>
      </c>
      <c r="AR603" s="377" t="s">
        <v>434</v>
      </c>
      <c r="AS603" s="377" t="s">
        <v>434</v>
      </c>
      <c r="AT603" s="381" t="s">
        <v>434</v>
      </c>
      <c r="BU603" s="356"/>
      <c r="BV603" s="356"/>
      <c r="BW603" s="356"/>
      <c r="BX603" s="356"/>
      <c r="BY603" s="356"/>
      <c r="BZ603" s="356"/>
      <c r="CA603" s="356"/>
      <c r="CB603" s="356"/>
      <c r="CC603" s="356"/>
      <c r="CD603" s="356"/>
      <c r="CE603" s="356"/>
      <c r="CF603" s="356"/>
    </row>
    <row r="604" spans="2:85">
      <c r="B604" s="84" t="s">
        <v>435</v>
      </c>
      <c r="C604" s="385" t="e">
        <v>#DIV/0!</v>
      </c>
      <c r="D604" s="386" t="e">
        <v>#DIV/0!</v>
      </c>
      <c r="E604" s="386">
        <v>0.11484857999999999</v>
      </c>
      <c r="F604" s="386" t="e">
        <v>#DIV/0!</v>
      </c>
      <c r="G604" s="386">
        <v>2.64</v>
      </c>
      <c r="H604" s="386" t="e">
        <v>#DIV/0!</v>
      </c>
      <c r="I604" s="386">
        <v>2.08</v>
      </c>
      <c r="J604" s="386">
        <v>2.25</v>
      </c>
      <c r="K604" s="386">
        <v>2.46</v>
      </c>
      <c r="L604" s="386" t="e">
        <v>#DIV/0!</v>
      </c>
      <c r="M604" s="385" t="e">
        <v>#DIV/0!</v>
      </c>
      <c r="N604" s="386" t="e">
        <v>#DIV/0!</v>
      </c>
      <c r="O604" s="386">
        <v>0.11484857999999999</v>
      </c>
      <c r="P604" s="386" t="e">
        <v>#DIV/0!</v>
      </c>
      <c r="Q604" s="386" t="e">
        <v>#DIV/0!</v>
      </c>
      <c r="R604" s="386" t="e">
        <v>#DIV/0!</v>
      </c>
      <c r="S604" s="386" t="e">
        <v>#DIV/0!</v>
      </c>
      <c r="T604" s="386">
        <v>1.34</v>
      </c>
      <c r="U604" s="386" t="e">
        <v>#DIV/0!</v>
      </c>
      <c r="V604" s="387" t="e">
        <v>#DIV/0!</v>
      </c>
      <c r="W604" s="388"/>
      <c r="X604" s="1594" t="s">
        <v>435</v>
      </c>
      <c r="Y604" s="1595"/>
      <c r="Z604" s="389">
        <v>3</v>
      </c>
      <c r="AA604" s="386" t="e">
        <f t="shared" ref="AA604:AA635" si="70">IF(C604&gt;0,C604*gasoline_gallon2GGE,#DIV/0!)</f>
        <v>#DIV/0!</v>
      </c>
      <c r="AB604" s="390" t="e">
        <f t="shared" ref="AB604:AB635" si="71">IF(D604&gt;0,D604*diesel_gallon2GGE,#DIV/0!)</f>
        <v>#DIV/0!</v>
      </c>
      <c r="AC604" s="386">
        <f t="shared" ref="AC604:AC635" si="72">IF(E604&gt;0,E604*kWh2GGE,#DIV/0!)</f>
        <v>3.7762988206887003</v>
      </c>
      <c r="AD604" s="386" t="e">
        <f t="shared" ref="AD604:AD635" si="73">IF(F604&gt;0,F604*H2_kg2GGE,#DIV/0!)</f>
        <v>#DIV/0!</v>
      </c>
      <c r="AE604" s="386">
        <f t="shared" ref="AE604:AE635" si="74">IF(G604&gt;0,G604*B20_gallon2GGE,#DIV/0!)</f>
        <v>2.3230607595901445</v>
      </c>
      <c r="AF604" s="390" t="e">
        <f t="shared" ref="AF604:AF635" si="75">IF(H604&gt;0,H604*B100_gallon2GGE,#DIV/0!)</f>
        <v>#DIV/0!</v>
      </c>
      <c r="AG604" s="386">
        <f t="shared" ref="AG604:AG635" si="76">IF(I604&gt;0,I604*E85_gallon2GGE,#DIV/0!)</f>
        <v>2.8348489705291602</v>
      </c>
      <c r="AH604" s="386">
        <f t="shared" ref="AH604:AH635" si="77">IF(J604&gt;0,J604*LPG_gallon2GGE,#DIV/0!)</f>
        <v>2.9715764567392586</v>
      </c>
      <c r="AI604" s="386">
        <f t="shared" ref="AI604:AI635" si="78">IF(K604&gt;0,K604*CNG_GGE2GGE,#DIV/0!)</f>
        <v>2.46</v>
      </c>
      <c r="AJ604" s="390" t="e">
        <f t="shared" ref="AJ604:AJ635" si="79">IF(L604&gt;0,L604*LNG_gallon2GGE,#DIV/0!)</f>
        <v>#DIV/0!</v>
      </c>
      <c r="AK604" s="391" t="e">
        <f t="shared" ref="AK604:AK635" si="80">IF(M604&gt;0,M604*gasoline_gallon2GGE,#DIV/0!)</f>
        <v>#DIV/0!</v>
      </c>
      <c r="AL604" s="390" t="e">
        <f t="shared" ref="AL604:AL635" si="81">IF(N604&gt;0,N604*diesel_gallon2GGE,#DIV/0!)</f>
        <v>#DIV/0!</v>
      </c>
      <c r="AM604" s="386">
        <f t="shared" ref="AM604:AM635" si="82">IF(O604&gt;0,O604*kWh2GGE,#DIV/0!)</f>
        <v>3.7762988206887003</v>
      </c>
      <c r="AN604" s="386" t="e">
        <f t="shared" ref="AN604:AN635" si="83">IF(P604&gt;0,P604*H2_kg2GGE,#DIV/0!)</f>
        <v>#DIV/0!</v>
      </c>
      <c r="AO604" s="390" t="e">
        <f t="shared" ref="AO604:AO635" si="84">IF(Q604&gt;0,Q604*B20_gallon2GGE,#DIV/0!)</f>
        <v>#DIV/0!</v>
      </c>
      <c r="AP604" s="390" t="e">
        <f t="shared" ref="AP604:AP635" si="85">IF(R604&gt;0,R604*B100_gallon2GGE,#DIV/0!)</f>
        <v>#DIV/0!</v>
      </c>
      <c r="AQ604" s="386" t="e">
        <f t="shared" ref="AQ604:AQ635" si="86">IF(S604&gt;0,S604*E85_gallon2GGE,#DIV/0!)</f>
        <v>#DIV/0!</v>
      </c>
      <c r="AR604" s="386">
        <f t="shared" ref="AR604:AR635" si="87">IF(T604&gt;0,T604*LPG_gallon2GGE,#DIV/0!)</f>
        <v>1.7697388675691585</v>
      </c>
      <c r="AS604" s="386" t="e">
        <f t="shared" ref="AS604:AS635" si="88">IF(U604&gt;0,U604*CNG_GGE2GGE,#DIV/0!)</f>
        <v>#DIV/0!</v>
      </c>
      <c r="AT604" s="392" t="e">
        <f t="shared" ref="AT604:AT635" si="89">IF(V604&gt;0,V604*LNG_gallon2GGE,#DIV/0!)</f>
        <v>#DIV/0!</v>
      </c>
      <c r="BU604" s="356"/>
      <c r="BV604" s="356"/>
      <c r="BW604" s="356"/>
      <c r="BX604" s="356"/>
      <c r="BY604" s="356"/>
      <c r="BZ604" s="356"/>
      <c r="CA604" s="356"/>
      <c r="CB604" s="356"/>
      <c r="CC604" s="356"/>
      <c r="CD604" s="356"/>
      <c r="CE604" s="356"/>
      <c r="CF604" s="356"/>
      <c r="CG604" s="356"/>
    </row>
    <row r="605" spans="2:85">
      <c r="B605" s="84" t="s">
        <v>436</v>
      </c>
      <c r="C605" s="385" t="e">
        <v>#DIV/0!</v>
      </c>
      <c r="D605" s="386" t="e">
        <v>#DIV/0!</v>
      </c>
      <c r="E605" s="386">
        <v>0.19136085000000003</v>
      </c>
      <c r="F605" s="386" t="e">
        <v>#DIV/0!</v>
      </c>
      <c r="G605" s="386" t="e">
        <v>#DIV/0!</v>
      </c>
      <c r="H605" s="386" t="e">
        <v>#DIV/0!</v>
      </c>
      <c r="I605" s="386" t="e">
        <v>#DIV/0!</v>
      </c>
      <c r="J605" s="386">
        <v>3.11</v>
      </c>
      <c r="K605" s="386">
        <v>2.13</v>
      </c>
      <c r="L605" s="386" t="e">
        <v>#DIV/0!</v>
      </c>
      <c r="M605" s="385" t="e">
        <v>#N/A</v>
      </c>
      <c r="N605" s="386" t="e">
        <v>#N/A</v>
      </c>
      <c r="O605" s="386">
        <v>0.19136085000000003</v>
      </c>
      <c r="P605" s="386" t="e">
        <v>#N/A</v>
      </c>
      <c r="Q605" s="386" t="e">
        <v>#N/A</v>
      </c>
      <c r="R605" s="386" t="e">
        <v>#N/A</v>
      </c>
      <c r="S605" s="386" t="e">
        <v>#N/A</v>
      </c>
      <c r="T605" s="386" t="e">
        <v>#N/A</v>
      </c>
      <c r="U605" s="386" t="e">
        <v>#N/A</v>
      </c>
      <c r="V605" s="387" t="e">
        <v>#N/A</v>
      </c>
      <c r="W605" s="388"/>
      <c r="X605" s="1594" t="s">
        <v>436</v>
      </c>
      <c r="Y605" s="1595"/>
      <c r="Z605" s="389">
        <v>5</v>
      </c>
      <c r="AA605" s="386" t="e">
        <f t="shared" si="70"/>
        <v>#DIV/0!</v>
      </c>
      <c r="AB605" s="386" t="e">
        <f t="shared" si="71"/>
        <v>#DIV/0!</v>
      </c>
      <c r="AC605" s="386">
        <f t="shared" si="72"/>
        <v>6.2920738957415701</v>
      </c>
      <c r="AD605" s="386" t="e">
        <f t="shared" si="73"/>
        <v>#DIV/0!</v>
      </c>
      <c r="AE605" s="386" t="e">
        <f t="shared" si="74"/>
        <v>#DIV/0!</v>
      </c>
      <c r="AF605" s="386" t="e">
        <f t="shared" si="75"/>
        <v>#DIV/0!</v>
      </c>
      <c r="AG605" s="386" t="e">
        <f t="shared" si="76"/>
        <v>#DIV/0!</v>
      </c>
      <c r="AH605" s="386">
        <f t="shared" si="77"/>
        <v>4.1073790135373756</v>
      </c>
      <c r="AI605" s="386">
        <f t="shared" si="78"/>
        <v>2.13</v>
      </c>
      <c r="AJ605" s="386" t="e">
        <f t="shared" si="79"/>
        <v>#DIV/0!</v>
      </c>
      <c r="AK605" s="391" t="e">
        <f t="shared" si="80"/>
        <v>#N/A</v>
      </c>
      <c r="AL605" s="386" t="e">
        <f t="shared" si="81"/>
        <v>#N/A</v>
      </c>
      <c r="AM605" s="386">
        <f t="shared" si="82"/>
        <v>6.2920738957415701</v>
      </c>
      <c r="AN605" s="386" t="e">
        <f t="shared" si="83"/>
        <v>#N/A</v>
      </c>
      <c r="AO605" s="386" t="e">
        <f t="shared" si="84"/>
        <v>#N/A</v>
      </c>
      <c r="AP605" s="386" t="e">
        <f t="shared" si="85"/>
        <v>#N/A</v>
      </c>
      <c r="AQ605" s="386" t="e">
        <f t="shared" si="86"/>
        <v>#N/A</v>
      </c>
      <c r="AR605" s="386" t="e">
        <f t="shared" si="87"/>
        <v>#N/A</v>
      </c>
      <c r="AS605" s="386" t="e">
        <f t="shared" si="88"/>
        <v>#N/A</v>
      </c>
      <c r="AT605" s="387" t="e">
        <f t="shared" si="89"/>
        <v>#N/A</v>
      </c>
      <c r="BU605" s="356"/>
      <c r="BV605" s="356"/>
      <c r="BW605" s="356"/>
      <c r="BX605" s="356"/>
      <c r="BY605" s="356"/>
      <c r="BZ605" s="356"/>
      <c r="CA605" s="356"/>
      <c r="CB605" s="356"/>
      <c r="CC605" s="356"/>
      <c r="CD605" s="356"/>
      <c r="CE605" s="356"/>
      <c r="CF605" s="356"/>
      <c r="CG605" s="356"/>
    </row>
    <row r="606" spans="2:85">
      <c r="B606" s="84" t="s">
        <v>437</v>
      </c>
      <c r="C606" s="385">
        <v>2.38</v>
      </c>
      <c r="D606" s="386">
        <v>2.71</v>
      </c>
      <c r="E606" s="386">
        <v>0.11899428000000001</v>
      </c>
      <c r="F606" s="386" t="e">
        <v>#DIV/0!</v>
      </c>
      <c r="G606" s="386">
        <v>3.06</v>
      </c>
      <c r="H606" s="386">
        <v>3.87</v>
      </c>
      <c r="I606" s="386">
        <v>2.38</v>
      </c>
      <c r="J606" s="386">
        <v>2.95</v>
      </c>
      <c r="K606" s="386">
        <v>2.31</v>
      </c>
      <c r="L606" s="386">
        <v>3.3</v>
      </c>
      <c r="M606" s="385" t="e">
        <v>#N/A</v>
      </c>
      <c r="N606" s="386" t="e">
        <v>#N/A</v>
      </c>
      <c r="O606" s="386">
        <v>0.11899428000000001</v>
      </c>
      <c r="P606" s="386" t="e">
        <v>#N/A</v>
      </c>
      <c r="Q606" s="386" t="e">
        <v>#N/A</v>
      </c>
      <c r="R606" s="386" t="e">
        <v>#N/A</v>
      </c>
      <c r="S606" s="386" t="e">
        <v>#N/A</v>
      </c>
      <c r="T606" s="386" t="e">
        <v>#N/A</v>
      </c>
      <c r="U606" s="386" t="e">
        <v>#N/A</v>
      </c>
      <c r="V606" s="387" t="e">
        <v>#N/A</v>
      </c>
      <c r="W606" s="388"/>
      <c r="X606" s="1594" t="s">
        <v>437</v>
      </c>
      <c r="Y606" s="1595"/>
      <c r="Z606" s="389">
        <v>5</v>
      </c>
      <c r="AA606" s="386">
        <f t="shared" si="70"/>
        <v>2.38</v>
      </c>
      <c r="AB606" s="386">
        <f t="shared" si="71"/>
        <v>2.3480538513190745</v>
      </c>
      <c r="AC606" s="386">
        <f t="shared" si="72"/>
        <v>3.9126122345848859</v>
      </c>
      <c r="AD606" s="386" t="e">
        <f t="shared" si="73"/>
        <v>#DIV/0!</v>
      </c>
      <c r="AE606" s="386">
        <f t="shared" si="74"/>
        <v>2.6926386077067579</v>
      </c>
      <c r="AF606" s="386">
        <f t="shared" si="75"/>
        <v>3.6318604968632373</v>
      </c>
      <c r="AG606" s="386">
        <f t="shared" si="76"/>
        <v>3.243721418201635</v>
      </c>
      <c r="AH606" s="386">
        <f t="shared" si="77"/>
        <v>3.8960669099470282</v>
      </c>
      <c r="AI606" s="386">
        <f t="shared" si="78"/>
        <v>2.31</v>
      </c>
      <c r="AJ606" s="386">
        <f t="shared" si="79"/>
        <v>4.9550135974304066</v>
      </c>
      <c r="AK606" s="391" t="e">
        <f t="shared" si="80"/>
        <v>#N/A</v>
      </c>
      <c r="AL606" s="386" t="e">
        <f t="shared" si="81"/>
        <v>#N/A</v>
      </c>
      <c r="AM606" s="386">
        <f t="shared" si="82"/>
        <v>3.9126122345848859</v>
      </c>
      <c r="AN606" s="386" t="e">
        <f t="shared" si="83"/>
        <v>#N/A</v>
      </c>
      <c r="AO606" s="386" t="e">
        <f t="shared" si="84"/>
        <v>#N/A</v>
      </c>
      <c r="AP606" s="386" t="e">
        <f t="shared" si="85"/>
        <v>#N/A</v>
      </c>
      <c r="AQ606" s="386" t="e">
        <f t="shared" si="86"/>
        <v>#N/A</v>
      </c>
      <c r="AR606" s="386" t="e">
        <f t="shared" si="87"/>
        <v>#N/A</v>
      </c>
      <c r="AS606" s="386" t="e">
        <f t="shared" si="88"/>
        <v>#N/A</v>
      </c>
      <c r="AT606" s="387" t="e">
        <f t="shared" si="89"/>
        <v>#N/A</v>
      </c>
      <c r="BU606" s="356"/>
      <c r="BV606" s="356"/>
      <c r="BW606" s="356"/>
      <c r="BX606" s="356"/>
      <c r="BY606" s="356"/>
      <c r="BZ606" s="356"/>
      <c r="CA606" s="356"/>
      <c r="CB606" s="356"/>
      <c r="CC606" s="356"/>
      <c r="CD606" s="356"/>
      <c r="CE606" s="356"/>
      <c r="CF606" s="356"/>
      <c r="CG606" s="356"/>
    </row>
    <row r="607" spans="2:85">
      <c r="B607" s="84" t="s">
        <v>438</v>
      </c>
      <c r="C607" s="385">
        <v>2.27</v>
      </c>
      <c r="D607" s="386">
        <v>2.42</v>
      </c>
      <c r="E607" s="386">
        <v>9.5074681000000008E-2</v>
      </c>
      <c r="F607" s="386" t="e">
        <v>#DIV/0!</v>
      </c>
      <c r="G607" s="386">
        <v>2.5099999999999998</v>
      </c>
      <c r="H607" s="386" t="e">
        <v>#DIV/0!</v>
      </c>
      <c r="I607" s="386">
        <v>1.94</v>
      </c>
      <c r="J607" s="386">
        <v>2.89</v>
      </c>
      <c r="K607" s="386">
        <v>1.71</v>
      </c>
      <c r="L607" s="386">
        <v>2.57</v>
      </c>
      <c r="M607" s="385" t="e">
        <v>#DIV/0!</v>
      </c>
      <c r="N607" s="386" t="e">
        <v>#DIV/0!</v>
      </c>
      <c r="O607" s="386">
        <v>9.5074681000000008E-2</v>
      </c>
      <c r="P607" s="386" t="e">
        <v>#DIV/0!</v>
      </c>
      <c r="Q607" s="386" t="e">
        <v>#DIV/0!</v>
      </c>
      <c r="R607" s="386" t="e">
        <v>#DIV/0!</v>
      </c>
      <c r="S607" s="386" t="e">
        <v>#DIV/0!</v>
      </c>
      <c r="T607" s="386" t="e">
        <v>#DIV/0!</v>
      </c>
      <c r="U607" s="386">
        <v>1.5</v>
      </c>
      <c r="V607" s="387" t="e">
        <v>#DIV/0!</v>
      </c>
      <c r="W607" s="388"/>
      <c r="X607" s="1594" t="s">
        <v>438</v>
      </c>
      <c r="Y607" s="1595"/>
      <c r="Z607" s="389">
        <v>3</v>
      </c>
      <c r="AA607" s="386">
        <f t="shared" si="70"/>
        <v>2.27</v>
      </c>
      <c r="AB607" s="386">
        <f t="shared" si="71"/>
        <v>2.0967860960118676</v>
      </c>
      <c r="AC607" s="386">
        <f t="shared" si="72"/>
        <v>3.1261196763395285</v>
      </c>
      <c r="AD607" s="386" t="e">
        <f t="shared" si="73"/>
        <v>#DIV/0!</v>
      </c>
      <c r="AE607" s="386">
        <f t="shared" si="74"/>
        <v>2.2086676161254779</v>
      </c>
      <c r="AF607" s="386" t="e">
        <f t="shared" si="75"/>
        <v>#DIV/0!</v>
      </c>
      <c r="AG607" s="386">
        <f t="shared" si="76"/>
        <v>2.6440418282820053</v>
      </c>
      <c r="AH607" s="386">
        <f t="shared" si="77"/>
        <v>3.8168248711006481</v>
      </c>
      <c r="AI607" s="386">
        <f t="shared" si="78"/>
        <v>1.71</v>
      </c>
      <c r="AJ607" s="386">
        <f t="shared" si="79"/>
        <v>3.8589045289079227</v>
      </c>
      <c r="AK607" s="391" t="e">
        <f t="shared" si="80"/>
        <v>#DIV/0!</v>
      </c>
      <c r="AL607" s="386" t="e">
        <f t="shared" si="81"/>
        <v>#DIV/0!</v>
      </c>
      <c r="AM607" s="386">
        <f t="shared" si="82"/>
        <v>3.1261196763395285</v>
      </c>
      <c r="AN607" s="386" t="e">
        <f t="shared" si="83"/>
        <v>#DIV/0!</v>
      </c>
      <c r="AO607" s="386" t="e">
        <f t="shared" si="84"/>
        <v>#DIV/0!</v>
      </c>
      <c r="AP607" s="386" t="e">
        <f t="shared" si="85"/>
        <v>#DIV/0!</v>
      </c>
      <c r="AQ607" s="386" t="e">
        <f t="shared" si="86"/>
        <v>#DIV/0!</v>
      </c>
      <c r="AR607" s="386" t="e">
        <f t="shared" si="87"/>
        <v>#DIV/0!</v>
      </c>
      <c r="AS607" s="386">
        <f t="shared" si="88"/>
        <v>1.5</v>
      </c>
      <c r="AT607" s="387" t="e">
        <f t="shared" si="89"/>
        <v>#DIV/0!</v>
      </c>
      <c r="BU607" s="356"/>
      <c r="BV607" s="356"/>
      <c r="BW607" s="356"/>
      <c r="BX607" s="356"/>
      <c r="BY607" s="356"/>
      <c r="BZ607" s="356"/>
      <c r="CA607" s="356"/>
      <c r="CB607" s="356"/>
      <c r="CC607" s="356"/>
      <c r="CD607" s="356"/>
      <c r="CE607" s="356"/>
      <c r="CF607" s="356"/>
      <c r="CG607" s="356"/>
    </row>
    <row r="608" spans="2:85">
      <c r="B608" s="84" t="s">
        <v>439</v>
      </c>
      <c r="C608" s="385">
        <v>3.01</v>
      </c>
      <c r="D608" s="386">
        <v>3.04</v>
      </c>
      <c r="E608" s="386">
        <v>0.1624584</v>
      </c>
      <c r="F608" s="386">
        <v>20.29</v>
      </c>
      <c r="G608" s="386">
        <v>2.92</v>
      </c>
      <c r="H608" s="386">
        <v>3.94</v>
      </c>
      <c r="I608" s="386">
        <v>2.59</v>
      </c>
      <c r="J608" s="386">
        <v>3.01</v>
      </c>
      <c r="K608" s="386">
        <v>2.4300000000000002</v>
      </c>
      <c r="L608" s="386">
        <v>2.86</v>
      </c>
      <c r="M608" s="385">
        <v>2.84</v>
      </c>
      <c r="N608" s="386">
        <v>3.03</v>
      </c>
      <c r="O608" s="386">
        <v>0.1624584</v>
      </c>
      <c r="P608" s="386">
        <v>6.99</v>
      </c>
      <c r="Q608" s="386">
        <v>2.7</v>
      </c>
      <c r="R608" s="386" t="e">
        <v>#DIV/0!</v>
      </c>
      <c r="S608" s="386">
        <v>2.56</v>
      </c>
      <c r="T608" s="386">
        <v>2.63</v>
      </c>
      <c r="U608" s="386">
        <v>1.96</v>
      </c>
      <c r="V608" s="387">
        <v>2.11</v>
      </c>
      <c r="W608" s="388"/>
      <c r="X608" s="1594" t="s">
        <v>439</v>
      </c>
      <c r="Y608" s="1595"/>
      <c r="Z608" s="389">
        <v>5</v>
      </c>
      <c r="AA608" s="386">
        <f t="shared" si="70"/>
        <v>3.01</v>
      </c>
      <c r="AB608" s="386">
        <f t="shared" si="71"/>
        <v>2.6339792280479659</v>
      </c>
      <c r="AC608" s="386">
        <f t="shared" si="72"/>
        <v>5.3417418337342371</v>
      </c>
      <c r="AD608" s="386">
        <f t="shared" si="73"/>
        <v>20.29</v>
      </c>
      <c r="AE608" s="386">
        <f t="shared" si="74"/>
        <v>2.5694459916678869</v>
      </c>
      <c r="AF608" s="386">
        <f t="shared" si="75"/>
        <v>3.6975530639899623</v>
      </c>
      <c r="AG608" s="386">
        <f t="shared" si="76"/>
        <v>3.5299321315723677</v>
      </c>
      <c r="AH608" s="386">
        <f t="shared" si="77"/>
        <v>3.9753089487934079</v>
      </c>
      <c r="AI608" s="386">
        <f t="shared" si="78"/>
        <v>2.4300000000000002</v>
      </c>
      <c r="AJ608" s="386">
        <f t="shared" si="79"/>
        <v>4.2943451177730187</v>
      </c>
      <c r="AK608" s="391">
        <f t="shared" si="80"/>
        <v>2.84</v>
      </c>
      <c r="AL608" s="386">
        <f t="shared" si="81"/>
        <v>2.6253148226925447</v>
      </c>
      <c r="AM608" s="386">
        <f t="shared" si="82"/>
        <v>5.3417418337342371</v>
      </c>
      <c r="AN608" s="386">
        <f t="shared" si="83"/>
        <v>6.99</v>
      </c>
      <c r="AO608" s="386">
        <f t="shared" si="84"/>
        <v>2.3758575950353751</v>
      </c>
      <c r="AP608" s="386" t="e">
        <f t="shared" si="85"/>
        <v>#DIV/0!</v>
      </c>
      <c r="AQ608" s="386">
        <f t="shared" si="86"/>
        <v>3.4890448868051203</v>
      </c>
      <c r="AR608" s="386">
        <f t="shared" si="87"/>
        <v>3.4734427027663335</v>
      </c>
      <c r="AS608" s="386">
        <f t="shared" si="88"/>
        <v>1.96</v>
      </c>
      <c r="AT608" s="387">
        <f t="shared" si="89"/>
        <v>3.168205663811563</v>
      </c>
      <c r="BU608" s="356"/>
      <c r="BV608" s="356"/>
      <c r="BW608" s="356"/>
      <c r="BX608" s="356"/>
      <c r="BY608" s="356"/>
      <c r="BZ608" s="356"/>
      <c r="CA608" s="356"/>
      <c r="CB608" s="356"/>
      <c r="CC608" s="356"/>
      <c r="CD608" s="356"/>
      <c r="CE608" s="356"/>
      <c r="CF608" s="356"/>
      <c r="CG608" s="356"/>
    </row>
    <row r="609" spans="2:85">
      <c r="B609" s="84" t="s">
        <v>440</v>
      </c>
      <c r="C609" s="385">
        <v>2.4500000000000002</v>
      </c>
      <c r="D609" s="386">
        <v>2.69</v>
      </c>
      <c r="E609" s="386">
        <v>0.12180655</v>
      </c>
      <c r="F609" s="386" t="e">
        <v>#DIV/0!</v>
      </c>
      <c r="G609" s="386">
        <v>2.85</v>
      </c>
      <c r="H609" s="386" t="e">
        <v>#DIV/0!</v>
      </c>
      <c r="I609" s="386">
        <v>2.13</v>
      </c>
      <c r="J609" s="386">
        <v>3.08</v>
      </c>
      <c r="K609" s="386">
        <v>2.31</v>
      </c>
      <c r="L609" s="386" t="e">
        <v>#DIV/0!</v>
      </c>
      <c r="M609" s="385">
        <v>2.29</v>
      </c>
      <c r="N609" s="386">
        <v>2.25</v>
      </c>
      <c r="O609" s="386">
        <v>0.12180655</v>
      </c>
      <c r="P609" s="386" t="e">
        <v>#DIV/0!</v>
      </c>
      <c r="Q609" s="386">
        <v>3.46</v>
      </c>
      <c r="R609" s="386" t="e">
        <v>#DIV/0!</v>
      </c>
      <c r="S609" s="386">
        <v>1.91</v>
      </c>
      <c r="T609" s="386">
        <v>2.02</v>
      </c>
      <c r="U609" s="386">
        <v>1.98</v>
      </c>
      <c r="V609" s="387">
        <v>2.79</v>
      </c>
      <c r="W609" s="388"/>
      <c r="X609" s="1594" t="s">
        <v>440</v>
      </c>
      <c r="Y609" s="1595"/>
      <c r="Z609" s="389">
        <v>4</v>
      </c>
      <c r="AA609" s="386">
        <f t="shared" si="70"/>
        <v>2.4500000000000002</v>
      </c>
      <c r="AB609" s="386">
        <f t="shared" si="71"/>
        <v>2.3307250406082329</v>
      </c>
      <c r="AC609" s="386">
        <f t="shared" si="72"/>
        <v>4.005081570160983</v>
      </c>
      <c r="AD609" s="386" t="e">
        <f t="shared" si="73"/>
        <v>#DIV/0!</v>
      </c>
      <c r="AE609" s="386">
        <f t="shared" si="74"/>
        <v>2.5078496836484514</v>
      </c>
      <c r="AF609" s="386" t="e">
        <f t="shared" si="75"/>
        <v>#DIV/0!</v>
      </c>
      <c r="AG609" s="386">
        <f t="shared" si="76"/>
        <v>2.9029943784745726</v>
      </c>
      <c r="AH609" s="386">
        <f t="shared" si="77"/>
        <v>4.067757994114185</v>
      </c>
      <c r="AI609" s="386">
        <f t="shared" si="78"/>
        <v>2.31</v>
      </c>
      <c r="AJ609" s="386" t="e">
        <f t="shared" si="79"/>
        <v>#DIV/0!</v>
      </c>
      <c r="AK609" s="391">
        <f t="shared" si="80"/>
        <v>2.29</v>
      </c>
      <c r="AL609" s="386">
        <f t="shared" si="81"/>
        <v>1.9494912049697115</v>
      </c>
      <c r="AM609" s="386">
        <f t="shared" si="82"/>
        <v>4.005081570160983</v>
      </c>
      <c r="AN609" s="386" t="e">
        <f t="shared" si="83"/>
        <v>#DIV/0!</v>
      </c>
      <c r="AO609" s="386">
        <f t="shared" si="84"/>
        <v>3.0446175106749616</v>
      </c>
      <c r="AP609" s="386" t="e">
        <f t="shared" si="85"/>
        <v>#DIV/0!</v>
      </c>
      <c r="AQ609" s="386">
        <f t="shared" si="86"/>
        <v>2.6031545835147578</v>
      </c>
      <c r="AR609" s="386">
        <f t="shared" si="87"/>
        <v>2.6678153078281346</v>
      </c>
      <c r="AS609" s="386">
        <f t="shared" si="88"/>
        <v>1.98</v>
      </c>
      <c r="AT609" s="387">
        <f t="shared" si="89"/>
        <v>4.189238768736617</v>
      </c>
      <c r="BU609" s="356"/>
      <c r="BV609" s="356"/>
      <c r="BW609" s="356"/>
      <c r="BX609" s="356"/>
      <c r="BY609" s="356"/>
      <c r="BZ609" s="356"/>
      <c r="CA609" s="356"/>
      <c r="CB609" s="356"/>
      <c r="CC609" s="356"/>
      <c r="CD609" s="356"/>
      <c r="CE609" s="356"/>
      <c r="CF609" s="356"/>
      <c r="CG609" s="356"/>
    </row>
    <row r="610" spans="2:85">
      <c r="B610" s="84" t="s">
        <v>441</v>
      </c>
      <c r="C610" s="385">
        <v>2.62</v>
      </c>
      <c r="D610" s="386">
        <v>3.2</v>
      </c>
      <c r="E610" s="386">
        <v>0.19748253999999998</v>
      </c>
      <c r="F610" s="386">
        <v>10</v>
      </c>
      <c r="G610" s="386">
        <v>4.5</v>
      </c>
      <c r="H610" s="386" t="e">
        <v>#DIV/0!</v>
      </c>
      <c r="I610" s="386">
        <v>2.77</v>
      </c>
      <c r="J610" s="386">
        <v>3.13</v>
      </c>
      <c r="K610" s="386">
        <v>2.6</v>
      </c>
      <c r="L610" s="386">
        <v>2.75</v>
      </c>
      <c r="M610" s="385">
        <v>2.36</v>
      </c>
      <c r="N610" s="386">
        <v>2.83</v>
      </c>
      <c r="O610" s="386">
        <v>0.19748253999999998</v>
      </c>
      <c r="P610" s="386" t="e">
        <v>#DIV/0!</v>
      </c>
      <c r="Q610" s="386">
        <v>2.79</v>
      </c>
      <c r="R610" s="386" t="e">
        <v>#DIV/0!</v>
      </c>
      <c r="S610" s="386" t="e">
        <v>#DIV/0!</v>
      </c>
      <c r="T610" s="386">
        <v>2.75</v>
      </c>
      <c r="U610" s="386" t="e">
        <v>#DIV/0!</v>
      </c>
      <c r="V610" s="387" t="e">
        <v>#DIV/0!</v>
      </c>
      <c r="W610" s="388"/>
      <c r="X610" s="1594" t="s">
        <v>441</v>
      </c>
      <c r="Y610" s="1595"/>
      <c r="Z610" s="389" t="s">
        <v>442</v>
      </c>
      <c r="AA610" s="386">
        <f t="shared" si="70"/>
        <v>2.62</v>
      </c>
      <c r="AB610" s="386">
        <f t="shared" si="71"/>
        <v>2.7726097137347008</v>
      </c>
      <c r="AC610" s="386">
        <f t="shared" si="72"/>
        <v>6.4933591944158913</v>
      </c>
      <c r="AD610" s="386">
        <f t="shared" si="73"/>
        <v>10</v>
      </c>
      <c r="AE610" s="386">
        <f t="shared" si="74"/>
        <v>3.9597626583922914</v>
      </c>
      <c r="AF610" s="386" t="e">
        <f t="shared" si="75"/>
        <v>#DIV/0!</v>
      </c>
      <c r="AG610" s="386">
        <f t="shared" si="76"/>
        <v>3.775255600175853</v>
      </c>
      <c r="AH610" s="386">
        <f t="shared" si="77"/>
        <v>4.1337930264861686</v>
      </c>
      <c r="AI610" s="386">
        <f t="shared" si="78"/>
        <v>2.6</v>
      </c>
      <c r="AJ610" s="386">
        <f t="shared" si="79"/>
        <v>4.1291779978586725</v>
      </c>
      <c r="AK610" s="391">
        <f t="shared" si="80"/>
        <v>2.36</v>
      </c>
      <c r="AL610" s="386">
        <f t="shared" si="81"/>
        <v>2.4520267155841262</v>
      </c>
      <c r="AM610" s="386">
        <f t="shared" si="82"/>
        <v>6.4933591944158913</v>
      </c>
      <c r="AN610" s="386" t="e">
        <f t="shared" si="83"/>
        <v>#DIV/0!</v>
      </c>
      <c r="AO610" s="386">
        <f t="shared" si="84"/>
        <v>2.4550528482032208</v>
      </c>
      <c r="AP610" s="386" t="e">
        <f t="shared" si="85"/>
        <v>#DIV/0!</v>
      </c>
      <c r="AQ610" s="386" t="e">
        <f t="shared" si="86"/>
        <v>#DIV/0!</v>
      </c>
      <c r="AR610" s="386">
        <f t="shared" si="87"/>
        <v>3.6319267804590938</v>
      </c>
      <c r="AS610" s="386" t="e">
        <f t="shared" si="88"/>
        <v>#DIV/0!</v>
      </c>
      <c r="AT610" s="387" t="e">
        <f t="shared" si="89"/>
        <v>#DIV/0!</v>
      </c>
      <c r="BU610" s="356"/>
      <c r="BV610" s="356"/>
      <c r="BW610" s="356"/>
      <c r="BX610" s="356"/>
      <c r="BY610" s="356"/>
      <c r="BZ610" s="356"/>
      <c r="CA610" s="356"/>
      <c r="CB610" s="356"/>
      <c r="CC610" s="356"/>
      <c r="CD610" s="356"/>
      <c r="CE610" s="356"/>
      <c r="CF610" s="356"/>
      <c r="CG610" s="356"/>
    </row>
    <row r="611" spans="2:85">
      <c r="B611" s="84" t="s">
        <v>443</v>
      </c>
      <c r="C611" s="385">
        <v>2.35</v>
      </c>
      <c r="D611" s="386">
        <v>2.57</v>
      </c>
      <c r="E611" s="386">
        <v>0.13292176</v>
      </c>
      <c r="F611" s="386" t="e">
        <v>#DIV/0!</v>
      </c>
      <c r="G611" s="386" t="e">
        <v>#DIV/0!</v>
      </c>
      <c r="H611" s="386" t="e">
        <v>#DIV/0!</v>
      </c>
      <c r="I611" s="386" t="e">
        <v>#DIV/0!</v>
      </c>
      <c r="J611" s="386">
        <v>2</v>
      </c>
      <c r="K611" s="386" t="e">
        <v>#DIV/0!</v>
      </c>
      <c r="L611" s="386" t="e">
        <v>#DIV/0!</v>
      </c>
      <c r="M611" s="385" t="e">
        <v>#DIV/0!</v>
      </c>
      <c r="N611" s="386" t="e">
        <v>#DIV/0!</v>
      </c>
      <c r="O611" s="386">
        <v>0.13292176</v>
      </c>
      <c r="P611" s="386" t="e">
        <v>#DIV/0!</v>
      </c>
      <c r="Q611" s="386" t="e">
        <v>#DIV/0!</v>
      </c>
      <c r="R611" s="386" t="e">
        <v>#DIV/0!</v>
      </c>
      <c r="S611" s="386" t="e">
        <v>#DIV/0!</v>
      </c>
      <c r="T611" s="386">
        <v>1.68</v>
      </c>
      <c r="U611" s="386">
        <v>2.27</v>
      </c>
      <c r="V611" s="387" t="e">
        <v>#DIV/0!</v>
      </c>
      <c r="W611" s="388"/>
      <c r="X611" s="1594" t="s">
        <v>443</v>
      </c>
      <c r="Y611" s="1595"/>
      <c r="Z611" s="389" t="s">
        <v>444</v>
      </c>
      <c r="AA611" s="386">
        <f t="shared" si="70"/>
        <v>2.35</v>
      </c>
      <c r="AB611" s="386">
        <f t="shared" si="71"/>
        <v>2.2267521763431812</v>
      </c>
      <c r="AC611" s="386">
        <f t="shared" si="72"/>
        <v>4.3705571765176936</v>
      </c>
      <c r="AD611" s="386" t="e">
        <f t="shared" si="73"/>
        <v>#DIV/0!</v>
      </c>
      <c r="AE611" s="386" t="e">
        <f t="shared" si="74"/>
        <v>#DIV/0!</v>
      </c>
      <c r="AF611" s="386" t="e">
        <f t="shared" si="75"/>
        <v>#DIV/0!</v>
      </c>
      <c r="AG611" s="386" t="e">
        <f t="shared" si="76"/>
        <v>#DIV/0!</v>
      </c>
      <c r="AH611" s="386">
        <f t="shared" si="77"/>
        <v>2.6414012948793411</v>
      </c>
      <c r="AI611" s="386" t="e">
        <f t="shared" si="78"/>
        <v>#DIV/0!</v>
      </c>
      <c r="AJ611" s="386" t="e">
        <f t="shared" si="79"/>
        <v>#DIV/0!</v>
      </c>
      <c r="AK611" s="391" t="e">
        <f t="shared" si="80"/>
        <v>#DIV/0!</v>
      </c>
      <c r="AL611" s="386" t="e">
        <f t="shared" si="81"/>
        <v>#DIV/0!</v>
      </c>
      <c r="AM611" s="386">
        <f t="shared" si="82"/>
        <v>4.3705571765176936</v>
      </c>
      <c r="AN611" s="386" t="e">
        <f t="shared" si="83"/>
        <v>#DIV/0!</v>
      </c>
      <c r="AO611" s="386" t="e">
        <f t="shared" si="84"/>
        <v>#DIV/0!</v>
      </c>
      <c r="AP611" s="386" t="e">
        <f t="shared" si="85"/>
        <v>#DIV/0!</v>
      </c>
      <c r="AQ611" s="386" t="e">
        <f t="shared" si="86"/>
        <v>#DIV/0!</v>
      </c>
      <c r="AR611" s="386">
        <f t="shared" si="87"/>
        <v>2.2187770876986463</v>
      </c>
      <c r="AS611" s="386">
        <f t="shared" si="88"/>
        <v>2.27</v>
      </c>
      <c r="AT611" s="387" t="e">
        <f t="shared" si="89"/>
        <v>#DIV/0!</v>
      </c>
      <c r="BU611" s="356"/>
      <c r="BV611" s="356"/>
      <c r="BW611" s="356"/>
      <c r="BX611" s="356"/>
      <c r="BY611" s="356"/>
      <c r="BZ611" s="356"/>
      <c r="CA611" s="356"/>
      <c r="CB611" s="356"/>
      <c r="CC611" s="356"/>
      <c r="CD611" s="356"/>
      <c r="CE611" s="356"/>
      <c r="CF611" s="356"/>
      <c r="CG611" s="356"/>
    </row>
    <row r="612" spans="2:85">
      <c r="B612" s="84" t="s">
        <v>445</v>
      </c>
      <c r="C612" s="385">
        <v>2.89</v>
      </c>
      <c r="D612" s="386">
        <v>3.35</v>
      </c>
      <c r="E612" s="386">
        <v>0.12738740999999998</v>
      </c>
      <c r="F612" s="386" t="e">
        <v>#DIV/0!</v>
      </c>
      <c r="G612" s="386" t="e">
        <v>#DIV/0!</v>
      </c>
      <c r="H612" s="386" t="e">
        <v>#DIV/0!</v>
      </c>
      <c r="I612" s="386">
        <v>2.76</v>
      </c>
      <c r="J612" s="386" t="e">
        <v>#DIV/0!</v>
      </c>
      <c r="K612" s="386" t="e">
        <v>#DIV/0!</v>
      </c>
      <c r="L612" s="386" t="e">
        <v>#DIV/0!</v>
      </c>
      <c r="M612" s="385">
        <v>2.6</v>
      </c>
      <c r="N612" s="386">
        <v>2.63</v>
      </c>
      <c r="O612" s="386">
        <v>0.12738740999999998</v>
      </c>
      <c r="P612" s="386" t="e">
        <v>#DIV/0!</v>
      </c>
      <c r="Q612" s="386">
        <v>2.4300000000000002</v>
      </c>
      <c r="R612" s="386" t="e">
        <v>#DIV/0!</v>
      </c>
      <c r="S612" s="386">
        <v>2.74</v>
      </c>
      <c r="T612" s="386" t="e">
        <v>#DIV/0!</v>
      </c>
      <c r="U612" s="386">
        <v>1.59</v>
      </c>
      <c r="V612" s="387" t="e">
        <v>#DIV/0!</v>
      </c>
      <c r="W612" s="388"/>
      <c r="X612" s="1594" t="s">
        <v>445</v>
      </c>
      <c r="Y612" s="1595"/>
      <c r="Z612" s="389" t="s">
        <v>444</v>
      </c>
      <c r="AA612" s="386">
        <f t="shared" si="70"/>
        <v>2.89</v>
      </c>
      <c r="AB612" s="386">
        <f t="shared" si="71"/>
        <v>2.9025757940660148</v>
      </c>
      <c r="AC612" s="386">
        <f t="shared" si="72"/>
        <v>4.1885840134339309</v>
      </c>
      <c r="AD612" s="386" t="e">
        <f t="shared" si="73"/>
        <v>#DIV/0!</v>
      </c>
      <c r="AE612" s="386" t="e">
        <f t="shared" si="74"/>
        <v>#DIV/0!</v>
      </c>
      <c r="AF612" s="386" t="e">
        <f t="shared" si="75"/>
        <v>#DIV/0!</v>
      </c>
      <c r="AG612" s="386">
        <f t="shared" si="76"/>
        <v>3.7616265185867701</v>
      </c>
      <c r="AH612" s="386" t="e">
        <f t="shared" si="77"/>
        <v>#DIV/0!</v>
      </c>
      <c r="AI612" s="386" t="e">
        <f t="shared" si="78"/>
        <v>#DIV/0!</v>
      </c>
      <c r="AJ612" s="386" t="e">
        <f t="shared" si="79"/>
        <v>#DIV/0!</v>
      </c>
      <c r="AK612" s="391">
        <f t="shared" si="80"/>
        <v>2.6</v>
      </c>
      <c r="AL612" s="386">
        <f t="shared" si="81"/>
        <v>2.2787386084757073</v>
      </c>
      <c r="AM612" s="386">
        <f t="shared" si="82"/>
        <v>4.1885840134339309</v>
      </c>
      <c r="AN612" s="386" t="e">
        <f t="shared" si="83"/>
        <v>#DIV/0!</v>
      </c>
      <c r="AO612" s="386">
        <f t="shared" si="84"/>
        <v>2.1382718355318375</v>
      </c>
      <c r="AP612" s="386" t="e">
        <f t="shared" si="85"/>
        <v>#DIV/0!</v>
      </c>
      <c r="AQ612" s="386">
        <f t="shared" si="86"/>
        <v>3.7343683554086056</v>
      </c>
      <c r="AR612" s="386" t="e">
        <f t="shared" si="87"/>
        <v>#DIV/0!</v>
      </c>
      <c r="AS612" s="386">
        <f t="shared" si="88"/>
        <v>1.59</v>
      </c>
      <c r="AT612" s="387" t="e">
        <f t="shared" si="89"/>
        <v>#DIV/0!</v>
      </c>
      <c r="BU612" s="356"/>
      <c r="BV612" s="356"/>
      <c r="BW612" s="356"/>
      <c r="BX612" s="356"/>
      <c r="BY612" s="356"/>
      <c r="BZ612" s="356"/>
      <c r="CA612" s="356"/>
      <c r="CB612" s="356"/>
      <c r="CC612" s="356"/>
      <c r="CD612" s="356"/>
      <c r="CE612" s="356"/>
      <c r="CF612" s="356"/>
      <c r="CG612" s="356"/>
    </row>
    <row r="613" spans="2:85">
      <c r="B613" s="84" t="s">
        <v>446</v>
      </c>
      <c r="C613" s="385">
        <v>2.42</v>
      </c>
      <c r="D613" s="386">
        <v>2.82</v>
      </c>
      <c r="E613" s="386">
        <v>0.11888709</v>
      </c>
      <c r="F613" s="386" t="e">
        <v>#DIV/0!</v>
      </c>
      <c r="G613" s="386">
        <v>2.62</v>
      </c>
      <c r="H613" s="386">
        <v>3.5</v>
      </c>
      <c r="I613" s="386">
        <v>2.27</v>
      </c>
      <c r="J613" s="386">
        <v>3.43</v>
      </c>
      <c r="K613" s="386">
        <v>2.3199999999999998</v>
      </c>
      <c r="L613" s="386" t="e">
        <v>#DIV/0!</v>
      </c>
      <c r="M613" s="385">
        <v>2.19</v>
      </c>
      <c r="N613" s="386" t="e">
        <v>#DIV/0!</v>
      </c>
      <c r="O613" s="386">
        <v>0.11888709</v>
      </c>
      <c r="P613" s="386" t="e">
        <v>#DIV/0!</v>
      </c>
      <c r="Q613" s="386">
        <v>2.83</v>
      </c>
      <c r="R613" s="386" t="e">
        <v>#DIV/0!</v>
      </c>
      <c r="S613" s="386">
        <v>2.82</v>
      </c>
      <c r="T613" s="386">
        <v>2.48</v>
      </c>
      <c r="U613" s="386">
        <v>0.97</v>
      </c>
      <c r="V613" s="387" t="e">
        <v>#DIV/0!</v>
      </c>
      <c r="W613" s="388"/>
      <c r="X613" s="1594" t="s">
        <v>446</v>
      </c>
      <c r="Y613" s="1595"/>
      <c r="Z613" s="389" t="s">
        <v>447</v>
      </c>
      <c r="AA613" s="386">
        <f t="shared" si="70"/>
        <v>2.42</v>
      </c>
      <c r="AB613" s="386">
        <f t="shared" si="71"/>
        <v>2.443362310228705</v>
      </c>
      <c r="AC613" s="386">
        <f t="shared" si="72"/>
        <v>3.9090877550433047</v>
      </c>
      <c r="AD613" s="386" t="e">
        <f t="shared" si="73"/>
        <v>#DIV/0!</v>
      </c>
      <c r="AE613" s="386">
        <f t="shared" si="74"/>
        <v>2.3054618144417343</v>
      </c>
      <c r="AF613" s="386">
        <f t="shared" si="75"/>
        <v>3.284628356336261</v>
      </c>
      <c r="AG613" s="386">
        <f t="shared" si="76"/>
        <v>3.093801520721728</v>
      </c>
      <c r="AH613" s="386">
        <f t="shared" si="77"/>
        <v>4.5300032207180703</v>
      </c>
      <c r="AI613" s="386">
        <f t="shared" si="78"/>
        <v>2.3199999999999998</v>
      </c>
      <c r="AJ613" s="386" t="e">
        <f t="shared" si="79"/>
        <v>#DIV/0!</v>
      </c>
      <c r="AK613" s="391">
        <f t="shared" si="80"/>
        <v>2.19</v>
      </c>
      <c r="AL613" s="386" t="e">
        <f t="shared" si="81"/>
        <v>#DIV/0!</v>
      </c>
      <c r="AM613" s="386">
        <f t="shared" si="82"/>
        <v>3.9090877550433047</v>
      </c>
      <c r="AN613" s="386" t="e">
        <f t="shared" si="83"/>
        <v>#DIV/0!</v>
      </c>
      <c r="AO613" s="386">
        <f t="shared" si="84"/>
        <v>2.4902507385000412</v>
      </c>
      <c r="AP613" s="386" t="e">
        <f t="shared" si="85"/>
        <v>#DIV/0!</v>
      </c>
      <c r="AQ613" s="386">
        <f t="shared" si="86"/>
        <v>3.8434010081212651</v>
      </c>
      <c r="AR613" s="386">
        <f t="shared" si="87"/>
        <v>3.2753376056503827</v>
      </c>
      <c r="AS613" s="386">
        <f t="shared" si="88"/>
        <v>0.97</v>
      </c>
      <c r="AT613" s="387" t="e">
        <f t="shared" si="89"/>
        <v>#DIV/0!</v>
      </c>
      <c r="BU613" s="356"/>
      <c r="BV613" s="356"/>
      <c r="BW613" s="356"/>
      <c r="BX613" s="356"/>
      <c r="BY613" s="356"/>
      <c r="BZ613" s="356"/>
      <c r="CA613" s="356"/>
      <c r="CB613" s="356"/>
      <c r="CC613" s="356"/>
      <c r="CD613" s="356"/>
      <c r="CE613" s="356"/>
      <c r="CF613" s="356"/>
      <c r="CG613" s="356"/>
    </row>
    <row r="614" spans="2:85">
      <c r="B614" s="84" t="s">
        <v>448</v>
      </c>
      <c r="C614" s="385">
        <v>2.79</v>
      </c>
      <c r="D614" s="386">
        <v>2.74</v>
      </c>
      <c r="E614" s="386">
        <v>0.11649060999999999</v>
      </c>
      <c r="F614" s="386" t="e">
        <v>#DIV/0!</v>
      </c>
      <c r="G614" s="386">
        <v>3.14</v>
      </c>
      <c r="H614" s="386">
        <v>3.06</v>
      </c>
      <c r="I614" s="386">
        <v>2.1800000000000002</v>
      </c>
      <c r="J614" s="386">
        <v>2.8</v>
      </c>
      <c r="K614" s="386">
        <v>2.16</v>
      </c>
      <c r="L614" s="386">
        <v>2.5099999999999998</v>
      </c>
      <c r="M614" s="385" t="e">
        <v>#N/A</v>
      </c>
      <c r="N614" s="386" t="e">
        <v>#N/A</v>
      </c>
      <c r="O614" s="386">
        <v>0.11649060999999999</v>
      </c>
      <c r="P614" s="386" t="e">
        <v>#N/A</v>
      </c>
      <c r="Q614" s="386" t="e">
        <v>#N/A</v>
      </c>
      <c r="R614" s="386" t="e">
        <v>#N/A</v>
      </c>
      <c r="S614" s="386" t="e">
        <v>#N/A</v>
      </c>
      <c r="T614" s="386" t="e">
        <v>#N/A</v>
      </c>
      <c r="U614" s="386" t="e">
        <v>#N/A</v>
      </c>
      <c r="V614" s="387" t="e">
        <v>#N/A</v>
      </c>
      <c r="W614" s="388"/>
      <c r="X614" s="1594" t="s">
        <v>448</v>
      </c>
      <c r="Y614" s="1595"/>
      <c r="Z614" s="389" t="s">
        <v>447</v>
      </c>
      <c r="AA614" s="386">
        <f t="shared" si="70"/>
        <v>2.79</v>
      </c>
      <c r="AB614" s="386">
        <f t="shared" si="71"/>
        <v>2.3740470673853378</v>
      </c>
      <c r="AC614" s="386">
        <f t="shared" si="72"/>
        <v>3.8302898752801933</v>
      </c>
      <c r="AD614" s="386" t="e">
        <f t="shared" si="73"/>
        <v>#DIV/0!</v>
      </c>
      <c r="AE614" s="386">
        <f t="shared" si="74"/>
        <v>2.7630343883003987</v>
      </c>
      <c r="AF614" s="386">
        <f t="shared" si="75"/>
        <v>2.8717036486825598</v>
      </c>
      <c r="AG614" s="386">
        <f t="shared" si="76"/>
        <v>2.9711397864199856</v>
      </c>
      <c r="AH614" s="386">
        <f t="shared" si="77"/>
        <v>3.6979618128310774</v>
      </c>
      <c r="AI614" s="386">
        <f t="shared" si="78"/>
        <v>2.16</v>
      </c>
      <c r="AJ614" s="386">
        <f t="shared" si="79"/>
        <v>3.7688133725910062</v>
      </c>
      <c r="AK614" s="391" t="e">
        <f t="shared" si="80"/>
        <v>#N/A</v>
      </c>
      <c r="AL614" s="386" t="e">
        <f t="shared" si="81"/>
        <v>#N/A</v>
      </c>
      <c r="AM614" s="386">
        <f t="shared" si="82"/>
        <v>3.8302898752801933</v>
      </c>
      <c r="AN614" s="386" t="e">
        <f t="shared" si="83"/>
        <v>#N/A</v>
      </c>
      <c r="AO614" s="386" t="e">
        <f t="shared" si="84"/>
        <v>#N/A</v>
      </c>
      <c r="AP614" s="386" t="e">
        <f t="shared" si="85"/>
        <v>#N/A</v>
      </c>
      <c r="AQ614" s="386" t="e">
        <f t="shared" si="86"/>
        <v>#N/A</v>
      </c>
      <c r="AR614" s="386" t="e">
        <f t="shared" si="87"/>
        <v>#N/A</v>
      </c>
      <c r="AS614" s="386" t="e">
        <f t="shared" si="88"/>
        <v>#N/A</v>
      </c>
      <c r="AT614" s="387" t="e">
        <f t="shared" si="89"/>
        <v>#N/A</v>
      </c>
      <c r="BU614" s="356"/>
      <c r="BV614" s="356"/>
      <c r="BW614" s="356"/>
      <c r="BX614" s="356"/>
      <c r="BY614" s="356"/>
      <c r="BZ614" s="356"/>
      <c r="CA614" s="356"/>
      <c r="CB614" s="356"/>
      <c r="CC614" s="356"/>
      <c r="CD614" s="356"/>
      <c r="CE614" s="356"/>
      <c r="CF614" s="356"/>
      <c r="CG614" s="356"/>
    </row>
    <row r="615" spans="2:85">
      <c r="B615" s="84" t="s">
        <v>449</v>
      </c>
      <c r="C615" s="385">
        <v>3.03</v>
      </c>
      <c r="D615" s="386">
        <v>4.5199999999999996</v>
      </c>
      <c r="E615" s="386">
        <v>0.37041722999999999</v>
      </c>
      <c r="F615" s="386" t="e">
        <v>#DIV/0!</v>
      </c>
      <c r="G615" s="386">
        <v>4.3</v>
      </c>
      <c r="H615" s="386">
        <v>4.4000000000000004</v>
      </c>
      <c r="I615" s="386" t="e">
        <v>#DIV/0!</v>
      </c>
      <c r="J615" s="386">
        <v>6.19</v>
      </c>
      <c r="K615" s="386" t="e">
        <v>#DIV/0!</v>
      </c>
      <c r="L615" s="386" t="e">
        <v>#DIV/0!</v>
      </c>
      <c r="M615" s="385" t="e">
        <v>#DIV/0!</v>
      </c>
      <c r="N615" s="386" t="e">
        <v>#DIV/0!</v>
      </c>
      <c r="O615" s="386">
        <v>0.37041722999999999</v>
      </c>
      <c r="P615" s="386" t="e">
        <v>#DIV/0!</v>
      </c>
      <c r="Q615" s="386">
        <v>3.42</v>
      </c>
      <c r="R615" s="386">
        <v>4.03</v>
      </c>
      <c r="S615" s="386" t="e">
        <v>#DIV/0!</v>
      </c>
      <c r="T615" s="386">
        <v>4.37</v>
      </c>
      <c r="U615" s="386" t="e">
        <v>#DIV/0!</v>
      </c>
      <c r="V615" s="387" t="e">
        <v>#DIV/0!</v>
      </c>
      <c r="W615" s="388"/>
      <c r="X615" s="1594" t="s">
        <v>449</v>
      </c>
      <c r="Y615" s="1595"/>
      <c r="Z615" s="389">
        <v>5</v>
      </c>
      <c r="AA615" s="386">
        <f t="shared" si="70"/>
        <v>3.03</v>
      </c>
      <c r="AB615" s="386">
        <f t="shared" si="71"/>
        <v>3.9163112206502646</v>
      </c>
      <c r="AC615" s="386">
        <f t="shared" si="72"/>
        <v>12.179568513705394</v>
      </c>
      <c r="AD615" s="386" t="e">
        <f t="shared" si="73"/>
        <v>#DIV/0!</v>
      </c>
      <c r="AE615" s="386">
        <f t="shared" si="74"/>
        <v>3.7837732069081893</v>
      </c>
      <c r="AF615" s="386">
        <f t="shared" si="75"/>
        <v>4.1292470765370144</v>
      </c>
      <c r="AG615" s="386" t="e">
        <f t="shared" si="76"/>
        <v>#DIV/0!</v>
      </c>
      <c r="AH615" s="386">
        <f t="shared" si="77"/>
        <v>8.1751370076515606</v>
      </c>
      <c r="AI615" s="386" t="e">
        <f t="shared" si="78"/>
        <v>#DIV/0!</v>
      </c>
      <c r="AJ615" s="386" t="e">
        <f t="shared" si="79"/>
        <v>#DIV/0!</v>
      </c>
      <c r="AK615" s="391" t="e">
        <f t="shared" si="80"/>
        <v>#DIV/0!</v>
      </c>
      <c r="AL615" s="386" t="e">
        <f t="shared" si="81"/>
        <v>#DIV/0!</v>
      </c>
      <c r="AM615" s="386">
        <f t="shared" si="82"/>
        <v>12.179568513705394</v>
      </c>
      <c r="AN615" s="386" t="e">
        <f t="shared" si="83"/>
        <v>#DIV/0!</v>
      </c>
      <c r="AO615" s="386">
        <f t="shared" si="84"/>
        <v>3.0094196203781411</v>
      </c>
      <c r="AP615" s="386">
        <f t="shared" si="85"/>
        <v>3.7820149360100377</v>
      </c>
      <c r="AQ615" s="386" t="e">
        <f t="shared" si="86"/>
        <v>#DIV/0!</v>
      </c>
      <c r="AR615" s="386">
        <f t="shared" si="87"/>
        <v>5.7714618293113604</v>
      </c>
      <c r="AS615" s="386" t="e">
        <f t="shared" si="88"/>
        <v>#DIV/0!</v>
      </c>
      <c r="AT615" s="387" t="e">
        <f t="shared" si="89"/>
        <v>#DIV/0!</v>
      </c>
      <c r="BU615" s="356"/>
      <c r="BV615" s="356"/>
      <c r="BW615" s="356"/>
      <c r="BX615" s="356"/>
      <c r="BY615" s="356"/>
      <c r="BZ615" s="356"/>
      <c r="CA615" s="356"/>
      <c r="CB615" s="356"/>
      <c r="CC615" s="356"/>
      <c r="CD615" s="356"/>
      <c r="CE615" s="356"/>
      <c r="CF615" s="356"/>
      <c r="CG615" s="356"/>
    </row>
    <row r="616" spans="2:85">
      <c r="B616" s="84" t="s">
        <v>450</v>
      </c>
      <c r="C616" s="385">
        <v>2.4900000000000002</v>
      </c>
      <c r="D616" s="386">
        <v>2.88</v>
      </c>
      <c r="E616" s="386">
        <v>9.7247357000000006E-2</v>
      </c>
      <c r="F616" s="386" t="e">
        <v>#DIV/0!</v>
      </c>
      <c r="G616" s="386">
        <v>3.16</v>
      </c>
      <c r="H616" s="386" t="e">
        <v>#DIV/0!</v>
      </c>
      <c r="I616" s="386">
        <v>2.5099999999999998</v>
      </c>
      <c r="J616" s="386">
        <v>2.9</v>
      </c>
      <c r="K616" s="386">
        <v>2.27</v>
      </c>
      <c r="L616" s="386">
        <v>2.6</v>
      </c>
      <c r="M616" s="385">
        <v>1.86</v>
      </c>
      <c r="N616" s="386">
        <v>2.9</v>
      </c>
      <c r="O616" s="386">
        <v>9.7247357000000006E-2</v>
      </c>
      <c r="P616" s="386" t="e">
        <v>#DIV/0!</v>
      </c>
      <c r="Q616" s="386">
        <v>2.9</v>
      </c>
      <c r="R616" s="386" t="e">
        <v>#DIV/0!</v>
      </c>
      <c r="S616" s="386">
        <v>1.86</v>
      </c>
      <c r="T616" s="386" t="e">
        <v>#DIV/0!</v>
      </c>
      <c r="U616" s="386" t="e">
        <v>#DIV/0!</v>
      </c>
      <c r="V616" s="387" t="e">
        <v>#DIV/0!</v>
      </c>
      <c r="W616" s="388"/>
      <c r="X616" s="1594" t="s">
        <v>450</v>
      </c>
      <c r="Y616" s="1595"/>
      <c r="Z616" s="389">
        <v>4</v>
      </c>
      <c r="AA616" s="386">
        <f t="shared" si="70"/>
        <v>2.4900000000000002</v>
      </c>
      <c r="AB616" s="386">
        <f t="shared" si="71"/>
        <v>2.4953487423612306</v>
      </c>
      <c r="AC616" s="386">
        <f t="shared" si="72"/>
        <v>3.1975587295393035</v>
      </c>
      <c r="AD616" s="386" t="e">
        <f t="shared" si="73"/>
        <v>#DIV/0!</v>
      </c>
      <c r="AE616" s="386">
        <f t="shared" si="74"/>
        <v>2.7806333334488089</v>
      </c>
      <c r="AF616" s="386" t="e">
        <f t="shared" si="75"/>
        <v>#DIV/0!</v>
      </c>
      <c r="AG616" s="386">
        <f t="shared" si="76"/>
        <v>3.4208994788597074</v>
      </c>
      <c r="AH616" s="386">
        <f t="shared" si="77"/>
        <v>3.8300318775750446</v>
      </c>
      <c r="AI616" s="386">
        <f t="shared" si="78"/>
        <v>2.27</v>
      </c>
      <c r="AJ616" s="386">
        <f t="shared" si="79"/>
        <v>3.9039501070663811</v>
      </c>
      <c r="AK616" s="391">
        <f t="shared" si="80"/>
        <v>1.86</v>
      </c>
      <c r="AL616" s="386">
        <f t="shared" si="81"/>
        <v>2.5126775530720726</v>
      </c>
      <c r="AM616" s="386">
        <f t="shared" si="82"/>
        <v>3.1975587295393035</v>
      </c>
      <c r="AN616" s="386" t="e">
        <f t="shared" si="83"/>
        <v>#DIV/0!</v>
      </c>
      <c r="AO616" s="386">
        <f t="shared" si="84"/>
        <v>2.5518470465194767</v>
      </c>
      <c r="AP616" s="386" t="e">
        <f t="shared" si="85"/>
        <v>#DIV/0!</v>
      </c>
      <c r="AQ616" s="386">
        <f t="shared" si="86"/>
        <v>2.5350091755693454</v>
      </c>
      <c r="AR616" s="386" t="e">
        <f t="shared" si="87"/>
        <v>#DIV/0!</v>
      </c>
      <c r="AS616" s="386" t="e">
        <f t="shared" si="88"/>
        <v>#DIV/0!</v>
      </c>
      <c r="AT616" s="387" t="e">
        <f t="shared" si="89"/>
        <v>#DIV/0!</v>
      </c>
      <c r="BU616" s="356"/>
      <c r="BV616" s="356"/>
      <c r="BW616" s="356"/>
      <c r="BX616" s="356"/>
      <c r="BY616" s="356"/>
      <c r="BZ616" s="356"/>
      <c r="CA616" s="356"/>
      <c r="CB616" s="356"/>
      <c r="CC616" s="356"/>
      <c r="CD616" s="356"/>
      <c r="CE616" s="356"/>
      <c r="CF616" s="356"/>
      <c r="CG616" s="356"/>
    </row>
    <row r="617" spans="2:85">
      <c r="B617" s="84" t="s">
        <v>451</v>
      </c>
      <c r="C617" s="385">
        <v>2.62</v>
      </c>
      <c r="D617" s="386">
        <v>2.76</v>
      </c>
      <c r="E617" s="386">
        <v>0.11913038999999999</v>
      </c>
      <c r="F617" s="386">
        <v>3.74</v>
      </c>
      <c r="G617" s="386" t="e">
        <v>#DIV/0!</v>
      </c>
      <c r="H617" s="386" t="e">
        <v>#DIV/0!</v>
      </c>
      <c r="I617" s="386">
        <v>2.38</v>
      </c>
      <c r="J617" s="386" t="e">
        <v>#DIV/0!</v>
      </c>
      <c r="K617" s="386">
        <v>2.44</v>
      </c>
      <c r="L617" s="386">
        <v>2.91</v>
      </c>
      <c r="M617" s="385">
        <v>2.5499999999999998</v>
      </c>
      <c r="N617" s="386" t="e">
        <v>#DIV/0!</v>
      </c>
      <c r="O617" s="386">
        <v>0.11913038999999999</v>
      </c>
      <c r="P617" s="386" t="e">
        <v>#DIV/0!</v>
      </c>
      <c r="Q617" s="386">
        <v>2.2400000000000002</v>
      </c>
      <c r="R617" s="386" t="e">
        <v>#DIV/0!</v>
      </c>
      <c r="S617" s="386">
        <v>2.2599999999999998</v>
      </c>
      <c r="T617" s="386">
        <v>1.45</v>
      </c>
      <c r="U617" s="386">
        <v>2.2599999999999998</v>
      </c>
      <c r="V617" s="387" t="e">
        <v>#DIV/0!</v>
      </c>
      <c r="W617" s="388"/>
      <c r="X617" s="1594" t="s">
        <v>451</v>
      </c>
      <c r="Y617" s="1595"/>
      <c r="Z617" s="389">
        <v>2</v>
      </c>
      <c r="AA617" s="386">
        <f t="shared" si="70"/>
        <v>2.62</v>
      </c>
      <c r="AB617" s="386">
        <f t="shared" si="71"/>
        <v>2.3913758780961794</v>
      </c>
      <c r="AC617" s="386">
        <f t="shared" si="72"/>
        <v>3.9170876232443179</v>
      </c>
      <c r="AD617" s="386">
        <f t="shared" si="73"/>
        <v>3.74</v>
      </c>
      <c r="AE617" s="386" t="e">
        <f t="shared" si="74"/>
        <v>#DIV/0!</v>
      </c>
      <c r="AF617" s="386" t="e">
        <f t="shared" si="75"/>
        <v>#DIV/0!</v>
      </c>
      <c r="AG617" s="386">
        <f t="shared" si="76"/>
        <v>3.243721418201635</v>
      </c>
      <c r="AH617" s="386" t="e">
        <f t="shared" si="77"/>
        <v>#DIV/0!</v>
      </c>
      <c r="AI617" s="386">
        <f t="shared" si="78"/>
        <v>2.44</v>
      </c>
      <c r="AJ617" s="386">
        <f t="shared" si="79"/>
        <v>4.3694210813704499</v>
      </c>
      <c r="AK617" s="391">
        <f t="shared" si="80"/>
        <v>2.5499999999999998</v>
      </c>
      <c r="AL617" s="386" t="e">
        <f t="shared" si="81"/>
        <v>#DIV/0!</v>
      </c>
      <c r="AM617" s="386">
        <f t="shared" si="82"/>
        <v>3.9170876232443179</v>
      </c>
      <c r="AN617" s="386" t="e">
        <f t="shared" si="83"/>
        <v>#DIV/0!</v>
      </c>
      <c r="AO617" s="386">
        <f t="shared" si="84"/>
        <v>1.9710818566219408</v>
      </c>
      <c r="AP617" s="386" t="e">
        <f t="shared" si="85"/>
        <v>#DIV/0!</v>
      </c>
      <c r="AQ617" s="386">
        <f t="shared" si="86"/>
        <v>3.080172439132645</v>
      </c>
      <c r="AR617" s="386">
        <f t="shared" si="87"/>
        <v>1.9150159387875223</v>
      </c>
      <c r="AS617" s="386">
        <f t="shared" si="88"/>
        <v>2.2599999999999998</v>
      </c>
      <c r="AT617" s="387" t="e">
        <f t="shared" si="89"/>
        <v>#DIV/0!</v>
      </c>
      <c r="BU617" s="356"/>
      <c r="BV617" s="356"/>
      <c r="BW617" s="356"/>
      <c r="BX617" s="356"/>
      <c r="BY617" s="356"/>
      <c r="BZ617" s="356"/>
      <c r="CA617" s="356"/>
      <c r="CB617" s="356"/>
      <c r="CC617" s="356"/>
      <c r="CD617" s="356"/>
      <c r="CE617" s="356"/>
      <c r="CF617" s="356"/>
      <c r="CG617" s="356"/>
    </row>
    <row r="618" spans="2:85">
      <c r="B618" s="84" t="s">
        <v>452</v>
      </c>
      <c r="C618" s="385">
        <v>2.42</v>
      </c>
      <c r="D618" s="386">
        <v>2.69</v>
      </c>
      <c r="E618" s="386">
        <v>0.11457511000000001</v>
      </c>
      <c r="F618" s="386" t="e">
        <v>#DIV/0!</v>
      </c>
      <c r="G618" s="386" t="e">
        <v>#DIV/0!</v>
      </c>
      <c r="H618" s="386" t="e">
        <v>#DIV/0!</v>
      </c>
      <c r="I618" s="386">
        <v>1.92</v>
      </c>
      <c r="J618" s="386">
        <v>2.73</v>
      </c>
      <c r="K618" s="386">
        <v>2.31</v>
      </c>
      <c r="L618" s="386">
        <v>2.52</v>
      </c>
      <c r="M618" s="385" t="e">
        <v>#DIV/0!</v>
      </c>
      <c r="N618" s="386" t="e">
        <v>#DIV/0!</v>
      </c>
      <c r="O618" s="386">
        <v>0.11457511000000001</v>
      </c>
      <c r="P618" s="386" t="e">
        <v>#DIV/0!</v>
      </c>
      <c r="Q618" s="386">
        <v>3.14</v>
      </c>
      <c r="R618" s="386" t="e">
        <v>#DIV/0!</v>
      </c>
      <c r="S618" s="386">
        <v>2.0499999999999998</v>
      </c>
      <c r="T618" s="386" t="e">
        <v>#DIV/0!</v>
      </c>
      <c r="U618" s="386">
        <v>2.4900000000000002</v>
      </c>
      <c r="V618" s="387" t="e">
        <v>#DIV/0!</v>
      </c>
      <c r="W618" s="388"/>
      <c r="X618" s="1594" t="s">
        <v>452</v>
      </c>
      <c r="Y618" s="1595"/>
      <c r="Z618" s="389">
        <v>2</v>
      </c>
      <c r="AA618" s="386">
        <f t="shared" si="70"/>
        <v>2.42</v>
      </c>
      <c r="AB618" s="386">
        <f t="shared" si="71"/>
        <v>2.3307250406082329</v>
      </c>
      <c r="AC618" s="386">
        <f t="shared" si="72"/>
        <v>3.7673069425262216</v>
      </c>
      <c r="AD618" s="386" t="e">
        <f t="shared" si="73"/>
        <v>#DIV/0!</v>
      </c>
      <c r="AE618" s="386" t="e">
        <f t="shared" si="74"/>
        <v>#DIV/0!</v>
      </c>
      <c r="AF618" s="386" t="e">
        <f t="shared" si="75"/>
        <v>#DIV/0!</v>
      </c>
      <c r="AG618" s="386">
        <f t="shared" si="76"/>
        <v>2.6167836651038403</v>
      </c>
      <c r="AH618" s="386">
        <f t="shared" si="77"/>
        <v>3.6055127675103007</v>
      </c>
      <c r="AI618" s="386">
        <f t="shared" si="78"/>
        <v>2.31</v>
      </c>
      <c r="AJ618" s="386">
        <f t="shared" si="79"/>
        <v>3.7838285653104924</v>
      </c>
      <c r="AK618" s="391" t="e">
        <f t="shared" si="80"/>
        <v>#DIV/0!</v>
      </c>
      <c r="AL618" s="386" t="e">
        <f t="shared" si="81"/>
        <v>#DIV/0!</v>
      </c>
      <c r="AM618" s="386">
        <f t="shared" si="82"/>
        <v>3.7673069425262216</v>
      </c>
      <c r="AN618" s="386" t="e">
        <f t="shared" si="83"/>
        <v>#DIV/0!</v>
      </c>
      <c r="AO618" s="386">
        <f t="shared" si="84"/>
        <v>2.7630343883003987</v>
      </c>
      <c r="AP618" s="386" t="e">
        <f t="shared" si="85"/>
        <v>#DIV/0!</v>
      </c>
      <c r="AQ618" s="386">
        <f t="shared" si="86"/>
        <v>2.7939617257619127</v>
      </c>
      <c r="AR618" s="386" t="e">
        <f t="shared" si="87"/>
        <v>#DIV/0!</v>
      </c>
      <c r="AS618" s="386">
        <f t="shared" si="88"/>
        <v>2.4900000000000002</v>
      </c>
      <c r="AT618" s="387" t="e">
        <f t="shared" si="89"/>
        <v>#DIV/0!</v>
      </c>
      <c r="BU618" s="356"/>
      <c r="BV618" s="356"/>
      <c r="BW618" s="356"/>
      <c r="BX618" s="356"/>
      <c r="BY618" s="356"/>
      <c r="BZ618" s="356"/>
      <c r="CA618" s="356"/>
      <c r="CB618" s="356"/>
      <c r="CC618" s="356"/>
      <c r="CD618" s="356"/>
      <c r="CE618" s="356"/>
      <c r="CF618" s="356"/>
      <c r="CG618" s="356"/>
    </row>
    <row r="619" spans="2:85">
      <c r="B619" s="84" t="s">
        <v>453</v>
      </c>
      <c r="C619" s="385">
        <v>2.44</v>
      </c>
      <c r="D619" s="386">
        <v>2.5099999999999998</v>
      </c>
      <c r="E619" s="386">
        <v>0.11160202</v>
      </c>
      <c r="F619" s="386" t="e">
        <v>#DIV/0!</v>
      </c>
      <c r="G619" s="386">
        <v>2.4700000000000002</v>
      </c>
      <c r="H619" s="386" t="e">
        <v>#DIV/0!</v>
      </c>
      <c r="I619" s="386">
        <v>1.89</v>
      </c>
      <c r="J619" s="386" t="e">
        <v>#DIV/0!</v>
      </c>
      <c r="K619" s="386">
        <v>2.0699999999999998</v>
      </c>
      <c r="L619" s="386" t="e">
        <v>#DIV/0!</v>
      </c>
      <c r="M619" s="385" t="e">
        <v>#N/A</v>
      </c>
      <c r="N619" s="386" t="e">
        <v>#N/A</v>
      </c>
      <c r="O619" s="386">
        <v>0.11160202</v>
      </c>
      <c r="P619" s="386" t="e">
        <v>#N/A</v>
      </c>
      <c r="Q619" s="386" t="e">
        <v>#N/A</v>
      </c>
      <c r="R619" s="386" t="e">
        <v>#N/A</v>
      </c>
      <c r="S619" s="386" t="e">
        <v>#N/A</v>
      </c>
      <c r="T619" s="386" t="e">
        <v>#N/A</v>
      </c>
      <c r="U619" s="386" t="e">
        <v>#N/A</v>
      </c>
      <c r="V619" s="387" t="e">
        <v>#N/A</v>
      </c>
      <c r="W619" s="388"/>
      <c r="X619" s="1594" t="s">
        <v>453</v>
      </c>
      <c r="Y619" s="1595"/>
      <c r="Z619" s="389">
        <v>2</v>
      </c>
      <c r="AA619" s="386">
        <f t="shared" si="70"/>
        <v>2.44</v>
      </c>
      <c r="AB619" s="386">
        <f t="shared" si="71"/>
        <v>2.1747657442106556</v>
      </c>
      <c r="AC619" s="386">
        <f t="shared" si="72"/>
        <v>3.6695497368141319</v>
      </c>
      <c r="AD619" s="386" t="e">
        <f t="shared" si="73"/>
        <v>#DIV/0!</v>
      </c>
      <c r="AE619" s="386">
        <f t="shared" si="74"/>
        <v>2.1734697258286579</v>
      </c>
      <c r="AF619" s="386" t="e">
        <f t="shared" si="75"/>
        <v>#DIV/0!</v>
      </c>
      <c r="AG619" s="386">
        <f t="shared" si="76"/>
        <v>2.5758964203365924</v>
      </c>
      <c r="AH619" s="386" t="e">
        <f t="shared" si="77"/>
        <v>#DIV/0!</v>
      </c>
      <c r="AI619" s="386">
        <f t="shared" si="78"/>
        <v>2.0699999999999998</v>
      </c>
      <c r="AJ619" s="386" t="e">
        <f t="shared" si="79"/>
        <v>#DIV/0!</v>
      </c>
      <c r="AK619" s="391" t="e">
        <f t="shared" si="80"/>
        <v>#N/A</v>
      </c>
      <c r="AL619" s="386" t="e">
        <f t="shared" si="81"/>
        <v>#N/A</v>
      </c>
      <c r="AM619" s="386">
        <f t="shared" si="82"/>
        <v>3.6695497368141319</v>
      </c>
      <c r="AN619" s="386" t="e">
        <f t="shared" si="83"/>
        <v>#N/A</v>
      </c>
      <c r="AO619" s="386" t="e">
        <f t="shared" si="84"/>
        <v>#N/A</v>
      </c>
      <c r="AP619" s="386" t="e">
        <f t="shared" si="85"/>
        <v>#N/A</v>
      </c>
      <c r="AQ619" s="386" t="e">
        <f t="shared" si="86"/>
        <v>#N/A</v>
      </c>
      <c r="AR619" s="386" t="e">
        <f t="shared" si="87"/>
        <v>#N/A</v>
      </c>
      <c r="AS619" s="386" t="e">
        <f t="shared" si="88"/>
        <v>#N/A</v>
      </c>
      <c r="AT619" s="387" t="e">
        <f t="shared" si="89"/>
        <v>#N/A</v>
      </c>
      <c r="BU619" s="356"/>
      <c r="BV619" s="356"/>
      <c r="BW619" s="356"/>
      <c r="BX619" s="356"/>
      <c r="BY619" s="356"/>
      <c r="BZ619" s="356"/>
      <c r="CA619" s="356"/>
      <c r="CB619" s="356"/>
      <c r="CC619" s="356"/>
      <c r="CD619" s="356"/>
      <c r="CE619" s="356"/>
      <c r="CF619" s="356"/>
      <c r="CG619" s="356"/>
    </row>
    <row r="620" spans="2:85">
      <c r="B620" s="84" t="s">
        <v>454</v>
      </c>
      <c r="C620" s="385">
        <v>2.39</v>
      </c>
      <c r="D620" s="386">
        <v>2.64</v>
      </c>
      <c r="E620" s="386">
        <v>0.12170906000000001</v>
      </c>
      <c r="F620" s="386" t="e">
        <v>#DIV/0!</v>
      </c>
      <c r="G620" s="386">
        <v>3.46</v>
      </c>
      <c r="H620" s="386" t="e">
        <v>#DIV/0!</v>
      </c>
      <c r="I620" s="386">
        <v>2.4300000000000002</v>
      </c>
      <c r="J620" s="386">
        <v>2.84</v>
      </c>
      <c r="K620" s="386">
        <v>1.87</v>
      </c>
      <c r="L620" s="386" t="e">
        <v>#DIV/0!</v>
      </c>
      <c r="M620" s="385" t="e">
        <v>#DIV/0!</v>
      </c>
      <c r="N620" s="386" t="e">
        <v>#DIV/0!</v>
      </c>
      <c r="O620" s="386">
        <v>0.12170906000000001</v>
      </c>
      <c r="P620" s="386" t="e">
        <v>#DIV/0!</v>
      </c>
      <c r="Q620" s="386" t="e">
        <v>#DIV/0!</v>
      </c>
      <c r="R620" s="386" t="e">
        <v>#DIV/0!</v>
      </c>
      <c r="S620" s="386" t="e">
        <v>#DIV/0!</v>
      </c>
      <c r="T620" s="386" t="e">
        <v>#DIV/0!</v>
      </c>
      <c r="U620" s="386">
        <v>2</v>
      </c>
      <c r="V620" s="387" t="e">
        <v>#DIV/0!</v>
      </c>
      <c r="W620" s="388"/>
      <c r="X620" s="1594" t="s">
        <v>454</v>
      </c>
      <c r="Y620" s="1595"/>
      <c r="Z620" s="389">
        <v>2</v>
      </c>
      <c r="AA620" s="386">
        <f t="shared" si="70"/>
        <v>2.39</v>
      </c>
      <c r="AB620" s="386">
        <f t="shared" si="71"/>
        <v>2.2874030138311281</v>
      </c>
      <c r="AC620" s="386">
        <f t="shared" si="72"/>
        <v>4.0018760331658463</v>
      </c>
      <c r="AD620" s="386" t="e">
        <f t="shared" si="73"/>
        <v>#DIV/0!</v>
      </c>
      <c r="AE620" s="386">
        <f t="shared" si="74"/>
        <v>3.0446175106749616</v>
      </c>
      <c r="AF620" s="386" t="e">
        <f t="shared" si="75"/>
        <v>#DIV/0!</v>
      </c>
      <c r="AG620" s="386">
        <f t="shared" si="76"/>
        <v>3.3118668261470479</v>
      </c>
      <c r="AH620" s="386">
        <f t="shared" si="77"/>
        <v>3.750789838728664</v>
      </c>
      <c r="AI620" s="386">
        <f t="shared" si="78"/>
        <v>1.87</v>
      </c>
      <c r="AJ620" s="386" t="e">
        <f t="shared" si="79"/>
        <v>#DIV/0!</v>
      </c>
      <c r="AK620" s="391" t="e">
        <f t="shared" si="80"/>
        <v>#DIV/0!</v>
      </c>
      <c r="AL620" s="386" t="e">
        <f t="shared" si="81"/>
        <v>#DIV/0!</v>
      </c>
      <c r="AM620" s="386">
        <f t="shared" si="82"/>
        <v>4.0018760331658463</v>
      </c>
      <c r="AN620" s="386" t="e">
        <f t="shared" si="83"/>
        <v>#DIV/0!</v>
      </c>
      <c r="AO620" s="386" t="e">
        <f t="shared" si="84"/>
        <v>#DIV/0!</v>
      </c>
      <c r="AP620" s="386" t="e">
        <f t="shared" si="85"/>
        <v>#DIV/0!</v>
      </c>
      <c r="AQ620" s="386" t="e">
        <f t="shared" si="86"/>
        <v>#DIV/0!</v>
      </c>
      <c r="AR620" s="386" t="e">
        <f t="shared" si="87"/>
        <v>#DIV/0!</v>
      </c>
      <c r="AS620" s="386">
        <f t="shared" si="88"/>
        <v>2</v>
      </c>
      <c r="AT620" s="387" t="e">
        <f t="shared" si="89"/>
        <v>#DIV/0!</v>
      </c>
      <c r="BU620" s="356"/>
      <c r="BV620" s="356"/>
      <c r="BW620" s="356"/>
      <c r="BX620" s="356"/>
      <c r="BY620" s="356"/>
      <c r="BZ620" s="356"/>
      <c r="CA620" s="356"/>
      <c r="CB620" s="356"/>
      <c r="CC620" s="356"/>
      <c r="CD620" s="356"/>
      <c r="CE620" s="356"/>
      <c r="CF620" s="356"/>
      <c r="CG620" s="356"/>
    </row>
    <row r="621" spans="2:85">
      <c r="B621" s="84" t="s">
        <v>455</v>
      </c>
      <c r="C621" s="385">
        <v>2.29</v>
      </c>
      <c r="D621" s="386" t="e">
        <v>#DIV/0!</v>
      </c>
      <c r="E621" s="386">
        <v>0.10164323</v>
      </c>
      <c r="F621" s="386" t="e">
        <v>#DIV/0!</v>
      </c>
      <c r="G621" s="386" t="e">
        <v>#DIV/0!</v>
      </c>
      <c r="H621" s="386" t="e">
        <v>#DIV/0!</v>
      </c>
      <c r="I621" s="386">
        <v>2.08</v>
      </c>
      <c r="J621" s="386" t="e">
        <v>#DIV/0!</v>
      </c>
      <c r="K621" s="386">
        <v>2.0499999999999998</v>
      </c>
      <c r="L621" s="386">
        <v>2.69</v>
      </c>
      <c r="M621" s="385">
        <v>2.21</v>
      </c>
      <c r="N621" s="386" t="e">
        <v>#DIV/0!</v>
      </c>
      <c r="O621" s="386">
        <v>0.10164323</v>
      </c>
      <c r="P621" s="386" t="e">
        <v>#DIV/0!</v>
      </c>
      <c r="Q621" s="386" t="e">
        <v>#DIV/0!</v>
      </c>
      <c r="R621" s="386" t="e">
        <v>#DIV/0!</v>
      </c>
      <c r="S621" s="386">
        <v>2.15</v>
      </c>
      <c r="T621" s="386" t="e">
        <v>#DIV/0!</v>
      </c>
      <c r="U621" s="386">
        <v>2.39</v>
      </c>
      <c r="V621" s="387" t="e">
        <v>#DIV/0!</v>
      </c>
      <c r="W621" s="388"/>
      <c r="X621" s="1594" t="s">
        <v>455</v>
      </c>
      <c r="Y621" s="1595"/>
      <c r="Z621" s="389">
        <v>2</v>
      </c>
      <c r="AA621" s="386">
        <f t="shared" si="70"/>
        <v>2.29</v>
      </c>
      <c r="AB621" s="386" t="e">
        <f t="shared" si="71"/>
        <v>#DIV/0!</v>
      </c>
      <c r="AC621" s="386">
        <f t="shared" si="72"/>
        <v>3.3420980005150289</v>
      </c>
      <c r="AD621" s="386" t="e">
        <f t="shared" si="73"/>
        <v>#DIV/0!</v>
      </c>
      <c r="AE621" s="386" t="e">
        <f t="shared" si="74"/>
        <v>#DIV/0!</v>
      </c>
      <c r="AF621" s="386" t="e">
        <f t="shared" si="75"/>
        <v>#DIV/0!</v>
      </c>
      <c r="AG621" s="386">
        <f t="shared" si="76"/>
        <v>2.8348489705291602</v>
      </c>
      <c r="AH621" s="386" t="e">
        <f t="shared" si="77"/>
        <v>#DIV/0!</v>
      </c>
      <c r="AI621" s="386">
        <f t="shared" si="78"/>
        <v>2.0499999999999998</v>
      </c>
      <c r="AJ621" s="386">
        <f t="shared" si="79"/>
        <v>4.0390868415417556</v>
      </c>
      <c r="AK621" s="391">
        <f t="shared" si="80"/>
        <v>2.21</v>
      </c>
      <c r="AL621" s="386" t="e">
        <f t="shared" si="81"/>
        <v>#DIV/0!</v>
      </c>
      <c r="AM621" s="386">
        <f t="shared" si="82"/>
        <v>3.3420980005150289</v>
      </c>
      <c r="AN621" s="386" t="e">
        <f t="shared" si="83"/>
        <v>#DIV/0!</v>
      </c>
      <c r="AO621" s="386" t="e">
        <f t="shared" si="84"/>
        <v>#DIV/0!</v>
      </c>
      <c r="AP621" s="386" t="e">
        <f t="shared" si="85"/>
        <v>#DIV/0!</v>
      </c>
      <c r="AQ621" s="386">
        <f t="shared" si="86"/>
        <v>2.9302525416527376</v>
      </c>
      <c r="AR621" s="386" t="e">
        <f t="shared" si="87"/>
        <v>#DIV/0!</v>
      </c>
      <c r="AS621" s="386">
        <f t="shared" si="88"/>
        <v>2.39</v>
      </c>
      <c r="AT621" s="387" t="e">
        <f t="shared" si="89"/>
        <v>#DIV/0!</v>
      </c>
      <c r="BU621" s="356"/>
      <c r="BV621" s="356"/>
      <c r="BW621" s="356"/>
      <c r="BX621" s="356"/>
      <c r="BY621" s="356"/>
      <c r="BZ621" s="356"/>
      <c r="CA621" s="356"/>
      <c r="CB621" s="356"/>
      <c r="CC621" s="356"/>
      <c r="CD621" s="356"/>
      <c r="CE621" s="356"/>
      <c r="CF621" s="356"/>
      <c r="CG621" s="356"/>
    </row>
    <row r="622" spans="2:85">
      <c r="B622" s="84" t="s">
        <v>456</v>
      </c>
      <c r="C622" s="385">
        <v>2.16</v>
      </c>
      <c r="D622" s="386">
        <v>2.59</v>
      </c>
      <c r="E622" s="386">
        <v>9.5713570999999997E-2</v>
      </c>
      <c r="F622" s="386" t="e">
        <v>#DIV/0!</v>
      </c>
      <c r="G622" s="386" t="e">
        <v>#DIV/0!</v>
      </c>
      <c r="H622" s="386" t="e">
        <v>#DIV/0!</v>
      </c>
      <c r="I622" s="386">
        <v>2</v>
      </c>
      <c r="J622" s="386">
        <v>3.23</v>
      </c>
      <c r="K622" s="386">
        <v>1.86</v>
      </c>
      <c r="L622" s="386">
        <v>2.31</v>
      </c>
      <c r="M622" s="385" t="e">
        <v>#DIV/0!</v>
      </c>
      <c r="N622" s="386" t="e">
        <v>#DIV/0!</v>
      </c>
      <c r="O622" s="386">
        <v>9.5713570999999997E-2</v>
      </c>
      <c r="P622" s="386" t="e">
        <v>#DIV/0!</v>
      </c>
      <c r="Q622" s="386">
        <v>3.29</v>
      </c>
      <c r="R622" s="386" t="e">
        <v>#DIV/0!</v>
      </c>
      <c r="S622" s="386">
        <v>2.65</v>
      </c>
      <c r="T622" s="386">
        <v>1.73</v>
      </c>
      <c r="U622" s="386">
        <v>1.84</v>
      </c>
      <c r="V622" s="387" t="e">
        <v>#DIV/0!</v>
      </c>
      <c r="W622" s="388"/>
      <c r="X622" s="1594" t="s">
        <v>456</v>
      </c>
      <c r="Y622" s="1595"/>
      <c r="Z622" s="389">
        <v>3</v>
      </c>
      <c r="AA622" s="386">
        <f t="shared" si="70"/>
        <v>2.16</v>
      </c>
      <c r="AB622" s="386">
        <f t="shared" si="71"/>
        <v>2.2440809870540233</v>
      </c>
      <c r="AC622" s="386">
        <f t="shared" si="72"/>
        <v>3.1471268107207262</v>
      </c>
      <c r="AD622" s="386" t="e">
        <f t="shared" si="73"/>
        <v>#DIV/0!</v>
      </c>
      <c r="AE622" s="386" t="e">
        <f t="shared" si="74"/>
        <v>#DIV/0!</v>
      </c>
      <c r="AF622" s="386" t="e">
        <f t="shared" si="75"/>
        <v>#DIV/0!</v>
      </c>
      <c r="AG622" s="386">
        <f t="shared" si="76"/>
        <v>2.7258163178165002</v>
      </c>
      <c r="AH622" s="386">
        <f t="shared" si="77"/>
        <v>4.2658630912301359</v>
      </c>
      <c r="AI622" s="386">
        <f t="shared" si="78"/>
        <v>1.86</v>
      </c>
      <c r="AJ622" s="386">
        <f t="shared" si="79"/>
        <v>3.4685095182012851</v>
      </c>
      <c r="AK622" s="391" t="e">
        <f t="shared" si="80"/>
        <v>#DIV/0!</v>
      </c>
      <c r="AL622" s="386" t="e">
        <f t="shared" si="81"/>
        <v>#DIV/0!</v>
      </c>
      <c r="AM622" s="386">
        <f t="shared" si="82"/>
        <v>3.1471268107207262</v>
      </c>
      <c r="AN622" s="386" t="e">
        <f t="shared" si="83"/>
        <v>#DIV/0!</v>
      </c>
      <c r="AO622" s="386">
        <f t="shared" si="84"/>
        <v>2.895026476913475</v>
      </c>
      <c r="AP622" s="386" t="e">
        <f t="shared" si="85"/>
        <v>#DIV/0!</v>
      </c>
      <c r="AQ622" s="386">
        <f t="shared" si="86"/>
        <v>3.6117066211068627</v>
      </c>
      <c r="AR622" s="386">
        <f t="shared" si="87"/>
        <v>2.2848121200706299</v>
      </c>
      <c r="AS622" s="386">
        <f t="shared" si="88"/>
        <v>1.84</v>
      </c>
      <c r="AT622" s="387" t="e">
        <f t="shared" si="89"/>
        <v>#DIV/0!</v>
      </c>
      <c r="BU622" s="356"/>
      <c r="BV622" s="356"/>
      <c r="BW622" s="356"/>
      <c r="BX622" s="356"/>
      <c r="BY622" s="356"/>
      <c r="BZ622" s="356"/>
      <c r="CA622" s="356"/>
      <c r="CB622" s="356"/>
      <c r="CC622" s="356"/>
      <c r="CD622" s="356"/>
      <c r="CE622" s="356"/>
      <c r="CF622" s="356"/>
      <c r="CG622" s="356"/>
    </row>
    <row r="623" spans="2:85">
      <c r="B623" s="84" t="s">
        <v>457</v>
      </c>
      <c r="C623" s="385">
        <v>2.76</v>
      </c>
      <c r="D623" s="386">
        <v>3.22</v>
      </c>
      <c r="E623" s="386">
        <v>0.15272982000000002</v>
      </c>
      <c r="F623" s="386" t="e">
        <v>#DIV/0!</v>
      </c>
      <c r="G623" s="386">
        <v>2.69</v>
      </c>
      <c r="H623" s="386">
        <v>3.19</v>
      </c>
      <c r="I623" s="386" t="e">
        <v>#DIV/0!</v>
      </c>
      <c r="J623" s="386">
        <v>3.11</v>
      </c>
      <c r="K623" s="386" t="e">
        <v>#DIV/0!</v>
      </c>
      <c r="L623" s="386" t="e">
        <v>#DIV/0!</v>
      </c>
      <c r="M623" s="385" t="e">
        <v>#DIV/0!</v>
      </c>
      <c r="N623" s="386" t="e">
        <v>#DIV/0!</v>
      </c>
      <c r="O623" s="386">
        <v>0.15272982000000002</v>
      </c>
      <c r="P623" s="386" t="e">
        <v>#DIV/0!</v>
      </c>
      <c r="Q623" s="386" t="e">
        <v>#DIV/0!</v>
      </c>
      <c r="R623" s="386" t="e">
        <v>#DIV/0!</v>
      </c>
      <c r="S623" s="386" t="e">
        <v>#DIV/0!</v>
      </c>
      <c r="T623" s="386" t="e">
        <v>#DIV/0!</v>
      </c>
      <c r="U623" s="386">
        <v>2.23</v>
      </c>
      <c r="V623" s="387" t="e">
        <v>#DIV/0!</v>
      </c>
      <c r="W623" s="388"/>
      <c r="X623" s="1594" t="s">
        <v>457</v>
      </c>
      <c r="Y623" s="1595"/>
      <c r="Z623" s="389" t="s">
        <v>442</v>
      </c>
      <c r="AA623" s="386">
        <f t="shared" si="70"/>
        <v>2.76</v>
      </c>
      <c r="AB623" s="386">
        <f t="shared" si="71"/>
        <v>2.7899385244455428</v>
      </c>
      <c r="AC623" s="386">
        <f t="shared" si="72"/>
        <v>5.0218595576018226</v>
      </c>
      <c r="AD623" s="386" t="e">
        <f t="shared" si="73"/>
        <v>#DIV/0!</v>
      </c>
      <c r="AE623" s="386">
        <f t="shared" si="74"/>
        <v>2.3670581224611698</v>
      </c>
      <c r="AF623" s="386">
        <f t="shared" si="75"/>
        <v>2.993704130489335</v>
      </c>
      <c r="AG623" s="386" t="e">
        <f t="shared" si="76"/>
        <v>#DIV/0!</v>
      </c>
      <c r="AH623" s="386">
        <f t="shared" si="77"/>
        <v>4.1073790135373756</v>
      </c>
      <c r="AI623" s="386" t="e">
        <f t="shared" si="78"/>
        <v>#DIV/0!</v>
      </c>
      <c r="AJ623" s="386" t="e">
        <f t="shared" si="79"/>
        <v>#DIV/0!</v>
      </c>
      <c r="AK623" s="391" t="e">
        <f t="shared" si="80"/>
        <v>#DIV/0!</v>
      </c>
      <c r="AL623" s="386" t="e">
        <f t="shared" si="81"/>
        <v>#DIV/0!</v>
      </c>
      <c r="AM623" s="386">
        <f t="shared" si="82"/>
        <v>5.0218595576018226</v>
      </c>
      <c r="AN623" s="386" t="e">
        <f t="shared" si="83"/>
        <v>#DIV/0!</v>
      </c>
      <c r="AO623" s="386" t="e">
        <f t="shared" si="84"/>
        <v>#DIV/0!</v>
      </c>
      <c r="AP623" s="386" t="e">
        <f t="shared" si="85"/>
        <v>#DIV/0!</v>
      </c>
      <c r="AQ623" s="386" t="e">
        <f t="shared" si="86"/>
        <v>#DIV/0!</v>
      </c>
      <c r="AR623" s="386" t="e">
        <f t="shared" si="87"/>
        <v>#DIV/0!</v>
      </c>
      <c r="AS623" s="386">
        <f t="shared" si="88"/>
        <v>2.23</v>
      </c>
      <c r="AT623" s="387" t="e">
        <f t="shared" si="89"/>
        <v>#DIV/0!</v>
      </c>
      <c r="BU623" s="356"/>
      <c r="BV623" s="356"/>
      <c r="BW623" s="356"/>
      <c r="BX623" s="356"/>
      <c r="BY623" s="356"/>
      <c r="BZ623" s="356"/>
      <c r="CA623" s="356"/>
      <c r="CB623" s="356"/>
      <c r="CC623" s="356"/>
      <c r="CD623" s="356"/>
      <c r="CE623" s="356"/>
      <c r="CF623" s="356"/>
      <c r="CG623" s="356"/>
    </row>
    <row r="624" spans="2:85">
      <c r="B624" s="84" t="s">
        <v>458</v>
      </c>
      <c r="C624" s="385">
        <v>2.42</v>
      </c>
      <c r="D624" s="386">
        <v>2.74</v>
      </c>
      <c r="E624" s="386">
        <v>0.13628363999999998</v>
      </c>
      <c r="F624" s="386">
        <v>3.2</v>
      </c>
      <c r="G624" s="386">
        <v>3.29</v>
      </c>
      <c r="H624" s="386">
        <v>4.13</v>
      </c>
      <c r="I624" s="386">
        <v>2.62</v>
      </c>
      <c r="J624" s="386">
        <v>3.37</v>
      </c>
      <c r="K624" s="386">
        <v>2.44</v>
      </c>
      <c r="L624" s="386" t="e">
        <v>#DIV/0!</v>
      </c>
      <c r="M624" s="385">
        <v>2.34</v>
      </c>
      <c r="N624" s="386">
        <v>2.57</v>
      </c>
      <c r="O624" s="386">
        <v>0.13628363999999998</v>
      </c>
      <c r="P624" s="386" t="e">
        <v>#DIV/0!</v>
      </c>
      <c r="Q624" s="386">
        <v>2.57</v>
      </c>
      <c r="R624" s="386" t="e">
        <v>#DIV/0!</v>
      </c>
      <c r="S624" s="386">
        <v>2.77</v>
      </c>
      <c r="T624" s="386">
        <v>1.9</v>
      </c>
      <c r="U624" s="386">
        <v>1.94</v>
      </c>
      <c r="V624" s="387" t="e">
        <v>#DIV/0!</v>
      </c>
      <c r="W624" s="388"/>
      <c r="X624" s="1594" t="s">
        <v>458</v>
      </c>
      <c r="Y624" s="1595"/>
      <c r="Z624" s="389" t="s">
        <v>444</v>
      </c>
      <c r="AA624" s="386">
        <f t="shared" si="70"/>
        <v>2.42</v>
      </c>
      <c r="AB624" s="386">
        <f t="shared" si="71"/>
        <v>2.3740470673853378</v>
      </c>
      <c r="AC624" s="386">
        <f t="shared" si="72"/>
        <v>4.4810980598207077</v>
      </c>
      <c r="AD624" s="386">
        <f t="shared" si="73"/>
        <v>3.2</v>
      </c>
      <c r="AE624" s="386">
        <f t="shared" si="74"/>
        <v>2.895026476913475</v>
      </c>
      <c r="AF624" s="386">
        <f t="shared" si="75"/>
        <v>3.8758614604767878</v>
      </c>
      <c r="AG624" s="386">
        <f t="shared" si="76"/>
        <v>3.5708193763396157</v>
      </c>
      <c r="AH624" s="386">
        <f t="shared" si="77"/>
        <v>4.4507611818716901</v>
      </c>
      <c r="AI624" s="386">
        <f t="shared" si="78"/>
        <v>2.44</v>
      </c>
      <c r="AJ624" s="386" t="e">
        <f t="shared" si="79"/>
        <v>#DIV/0!</v>
      </c>
      <c r="AK624" s="391">
        <f t="shared" si="80"/>
        <v>2.34</v>
      </c>
      <c r="AL624" s="386">
        <f t="shared" si="81"/>
        <v>2.2267521763431812</v>
      </c>
      <c r="AM624" s="386">
        <f t="shared" si="82"/>
        <v>4.4810980598207077</v>
      </c>
      <c r="AN624" s="386" t="e">
        <f t="shared" si="83"/>
        <v>#DIV/0!</v>
      </c>
      <c r="AO624" s="386">
        <f t="shared" si="84"/>
        <v>2.2614644515707085</v>
      </c>
      <c r="AP624" s="386" t="e">
        <f t="shared" si="85"/>
        <v>#DIV/0!</v>
      </c>
      <c r="AQ624" s="386">
        <f t="shared" si="86"/>
        <v>3.775255600175853</v>
      </c>
      <c r="AR624" s="386">
        <f t="shared" si="87"/>
        <v>2.5093312301353738</v>
      </c>
      <c r="AS624" s="386">
        <f t="shared" si="88"/>
        <v>1.94</v>
      </c>
      <c r="AT624" s="387" t="e">
        <f t="shared" si="89"/>
        <v>#DIV/0!</v>
      </c>
      <c r="BU624" s="356"/>
      <c r="BV624" s="356"/>
      <c r="BW624" s="356"/>
      <c r="BX624" s="356"/>
      <c r="BY624" s="356"/>
      <c r="BZ624" s="356"/>
      <c r="CA624" s="356"/>
      <c r="CB624" s="356"/>
      <c r="CC624" s="356"/>
      <c r="CD624" s="356"/>
      <c r="CE624" s="356"/>
      <c r="CF624" s="356"/>
      <c r="CG624" s="356"/>
    </row>
    <row r="625" spans="2:85">
      <c r="B625" s="84" t="s">
        <v>459</v>
      </c>
      <c r="C625" s="385" t="e">
        <v>#DIV/0!</v>
      </c>
      <c r="D625" s="386" t="e">
        <v>#DIV/0!</v>
      </c>
      <c r="E625" s="386">
        <v>0.17390968999999998</v>
      </c>
      <c r="F625" s="386" t="e">
        <v>#DIV/0!</v>
      </c>
      <c r="G625" s="386">
        <v>3.14</v>
      </c>
      <c r="H625" s="386" t="e">
        <v>#DIV/0!</v>
      </c>
      <c r="I625" s="386">
        <v>2.74</v>
      </c>
      <c r="J625" s="386" t="e">
        <v>#DIV/0!</v>
      </c>
      <c r="K625" s="386">
        <v>2.6</v>
      </c>
      <c r="L625" s="386" t="e">
        <v>#DIV/0!</v>
      </c>
      <c r="M625" s="385" t="e">
        <v>#N/A</v>
      </c>
      <c r="N625" s="386" t="e">
        <v>#N/A</v>
      </c>
      <c r="O625" s="386">
        <v>0.17390968999999998</v>
      </c>
      <c r="P625" s="386" t="e">
        <v>#N/A</v>
      </c>
      <c r="Q625" s="386" t="e">
        <v>#N/A</v>
      </c>
      <c r="R625" s="386" t="e">
        <v>#N/A</v>
      </c>
      <c r="S625" s="386" t="e">
        <v>#N/A</v>
      </c>
      <c r="T625" s="386" t="e">
        <v>#N/A</v>
      </c>
      <c r="U625" s="386" t="e">
        <v>#N/A</v>
      </c>
      <c r="V625" s="387" t="e">
        <v>#N/A</v>
      </c>
      <c r="W625" s="388"/>
      <c r="X625" s="1594" t="s">
        <v>459</v>
      </c>
      <c r="Y625" s="1595"/>
      <c r="Z625" s="389" t="s">
        <v>442</v>
      </c>
      <c r="AA625" s="386" t="e">
        <f t="shared" si="70"/>
        <v>#DIV/0!</v>
      </c>
      <c r="AB625" s="386" t="e">
        <f t="shared" si="71"/>
        <v>#DIV/0!</v>
      </c>
      <c r="AC625" s="386">
        <f t="shared" si="72"/>
        <v>5.7182679773083605</v>
      </c>
      <c r="AD625" s="386" t="e">
        <f t="shared" si="73"/>
        <v>#DIV/0!</v>
      </c>
      <c r="AE625" s="386">
        <f t="shared" si="74"/>
        <v>2.7630343883003987</v>
      </c>
      <c r="AF625" s="386" t="e">
        <f t="shared" si="75"/>
        <v>#DIV/0!</v>
      </c>
      <c r="AG625" s="386">
        <f t="shared" si="76"/>
        <v>3.7343683554086056</v>
      </c>
      <c r="AH625" s="386" t="e">
        <f t="shared" si="77"/>
        <v>#DIV/0!</v>
      </c>
      <c r="AI625" s="386">
        <f t="shared" si="78"/>
        <v>2.6</v>
      </c>
      <c r="AJ625" s="386" t="e">
        <f t="shared" si="79"/>
        <v>#DIV/0!</v>
      </c>
      <c r="AK625" s="391" t="e">
        <f t="shared" si="80"/>
        <v>#N/A</v>
      </c>
      <c r="AL625" s="386" t="e">
        <f t="shared" si="81"/>
        <v>#N/A</v>
      </c>
      <c r="AM625" s="386">
        <f t="shared" si="82"/>
        <v>5.7182679773083605</v>
      </c>
      <c r="AN625" s="386" t="e">
        <f t="shared" si="83"/>
        <v>#N/A</v>
      </c>
      <c r="AO625" s="386" t="e">
        <f t="shared" si="84"/>
        <v>#N/A</v>
      </c>
      <c r="AP625" s="386" t="e">
        <f t="shared" si="85"/>
        <v>#N/A</v>
      </c>
      <c r="AQ625" s="386" t="e">
        <f t="shared" si="86"/>
        <v>#N/A</v>
      </c>
      <c r="AR625" s="386" t="e">
        <f t="shared" si="87"/>
        <v>#N/A</v>
      </c>
      <c r="AS625" s="386" t="e">
        <f t="shared" si="88"/>
        <v>#N/A</v>
      </c>
      <c r="AT625" s="387" t="e">
        <f t="shared" si="89"/>
        <v>#N/A</v>
      </c>
      <c r="BU625" s="356"/>
      <c r="BV625" s="356"/>
      <c r="BW625" s="356"/>
      <c r="BX625" s="356"/>
      <c r="BY625" s="356"/>
      <c r="BZ625" s="356"/>
      <c r="CA625" s="356"/>
      <c r="CB625" s="356"/>
      <c r="CC625" s="356"/>
      <c r="CD625" s="356"/>
      <c r="CE625" s="356"/>
      <c r="CF625" s="356"/>
      <c r="CG625" s="356"/>
    </row>
    <row r="626" spans="2:85">
      <c r="B626" s="84" t="s">
        <v>460</v>
      </c>
      <c r="C626" s="385">
        <v>2.44</v>
      </c>
      <c r="D626" s="386">
        <v>2.94</v>
      </c>
      <c r="E626" s="386">
        <v>0.14460681</v>
      </c>
      <c r="F626" s="386" t="e">
        <v>#DIV/0!</v>
      </c>
      <c r="G626" s="386">
        <v>3.77</v>
      </c>
      <c r="H626" s="386" t="e">
        <v>#DIV/0!</v>
      </c>
      <c r="I626" s="386">
        <v>2.0099999999999998</v>
      </c>
      <c r="J626" s="386">
        <v>2.65</v>
      </c>
      <c r="K626" s="386">
        <v>2.57</v>
      </c>
      <c r="L626" s="386" t="e">
        <v>#DIV/0!</v>
      </c>
      <c r="M626" s="385" t="e">
        <v>#N/A</v>
      </c>
      <c r="N626" s="386" t="e">
        <v>#N/A</v>
      </c>
      <c r="O626" s="386">
        <v>0.14460681</v>
      </c>
      <c r="P626" s="386" t="e">
        <v>#N/A</v>
      </c>
      <c r="Q626" s="386" t="e">
        <v>#N/A</v>
      </c>
      <c r="R626" s="386" t="e">
        <v>#N/A</v>
      </c>
      <c r="S626" s="386" t="e">
        <v>#N/A</v>
      </c>
      <c r="T626" s="386" t="e">
        <v>#N/A</v>
      </c>
      <c r="U626" s="386" t="e">
        <v>#N/A</v>
      </c>
      <c r="V626" s="387" t="e">
        <v>#N/A</v>
      </c>
      <c r="W626" s="388"/>
      <c r="X626" s="1594" t="s">
        <v>460</v>
      </c>
      <c r="Y626" s="1595"/>
      <c r="Z626" s="389">
        <v>2</v>
      </c>
      <c r="AA626" s="386">
        <f t="shared" si="70"/>
        <v>2.44</v>
      </c>
      <c r="AB626" s="386">
        <f t="shared" si="71"/>
        <v>2.5473351744937562</v>
      </c>
      <c r="AC626" s="386">
        <f t="shared" si="72"/>
        <v>4.7547695066543705</v>
      </c>
      <c r="AD626" s="386" t="e">
        <f t="shared" si="73"/>
        <v>#DIV/0!</v>
      </c>
      <c r="AE626" s="386">
        <f t="shared" si="74"/>
        <v>3.3174011604753195</v>
      </c>
      <c r="AF626" s="386" t="e">
        <f t="shared" si="75"/>
        <v>#DIV/0!</v>
      </c>
      <c r="AG626" s="386">
        <f t="shared" si="76"/>
        <v>2.7394453994055823</v>
      </c>
      <c r="AH626" s="386">
        <f t="shared" si="77"/>
        <v>3.4998567157151266</v>
      </c>
      <c r="AI626" s="386">
        <f t="shared" si="78"/>
        <v>2.57</v>
      </c>
      <c r="AJ626" s="386" t="e">
        <f t="shared" si="79"/>
        <v>#DIV/0!</v>
      </c>
      <c r="AK626" s="391" t="e">
        <f t="shared" si="80"/>
        <v>#N/A</v>
      </c>
      <c r="AL626" s="386" t="e">
        <f t="shared" si="81"/>
        <v>#N/A</v>
      </c>
      <c r="AM626" s="386">
        <f t="shared" si="82"/>
        <v>4.7547695066543705</v>
      </c>
      <c r="AN626" s="386" t="e">
        <f t="shared" si="83"/>
        <v>#N/A</v>
      </c>
      <c r="AO626" s="386" t="e">
        <f t="shared" si="84"/>
        <v>#N/A</v>
      </c>
      <c r="AP626" s="386" t="e">
        <f t="shared" si="85"/>
        <v>#N/A</v>
      </c>
      <c r="AQ626" s="386" t="e">
        <f t="shared" si="86"/>
        <v>#N/A</v>
      </c>
      <c r="AR626" s="386" t="e">
        <f t="shared" si="87"/>
        <v>#N/A</v>
      </c>
      <c r="AS626" s="386" t="e">
        <f t="shared" si="88"/>
        <v>#N/A</v>
      </c>
      <c r="AT626" s="387" t="e">
        <f t="shared" si="89"/>
        <v>#N/A</v>
      </c>
      <c r="BU626" s="356"/>
      <c r="BV626" s="356"/>
      <c r="BW626" s="356"/>
      <c r="BX626" s="356"/>
      <c r="BY626" s="356"/>
      <c r="BZ626" s="356"/>
      <c r="CA626" s="356"/>
      <c r="CB626" s="356"/>
      <c r="CC626" s="356"/>
      <c r="CD626" s="356"/>
      <c r="CE626" s="356"/>
      <c r="CF626" s="356"/>
      <c r="CG626" s="356"/>
    </row>
    <row r="627" spans="2:85">
      <c r="B627" s="84" t="s">
        <v>461</v>
      </c>
      <c r="C627" s="385">
        <v>2.2999999999999998</v>
      </c>
      <c r="D627" s="386">
        <v>2.73</v>
      </c>
      <c r="E627" s="386">
        <v>0.12012807</v>
      </c>
      <c r="F627" s="386" t="e">
        <v>#DIV/0!</v>
      </c>
      <c r="G627" s="386">
        <v>2.75</v>
      </c>
      <c r="H627" s="386">
        <v>2.69</v>
      </c>
      <c r="I627" s="386">
        <v>1.81</v>
      </c>
      <c r="J627" s="386">
        <v>2.1</v>
      </c>
      <c r="K627" s="386">
        <v>2.0099999999999998</v>
      </c>
      <c r="L627" s="386" t="e">
        <v>#DIV/0!</v>
      </c>
      <c r="M627" s="385" t="e">
        <v>#N/A</v>
      </c>
      <c r="N627" s="386" t="e">
        <v>#N/A</v>
      </c>
      <c r="O627" s="386">
        <v>0.12012807</v>
      </c>
      <c r="P627" s="386" t="e">
        <v>#N/A</v>
      </c>
      <c r="Q627" s="386" t="e">
        <v>#N/A</v>
      </c>
      <c r="R627" s="386" t="e">
        <v>#N/A</v>
      </c>
      <c r="S627" s="386" t="e">
        <v>#N/A</v>
      </c>
      <c r="T627" s="386" t="e">
        <v>#N/A</v>
      </c>
      <c r="U627" s="386" t="e">
        <v>#N/A</v>
      </c>
      <c r="V627" s="387" t="e">
        <v>#N/A</v>
      </c>
      <c r="W627" s="388"/>
      <c r="X627" s="1594" t="s">
        <v>461</v>
      </c>
      <c r="Y627" s="1595"/>
      <c r="Z627" s="389">
        <v>2</v>
      </c>
      <c r="AA627" s="386">
        <f t="shared" si="70"/>
        <v>2.2999999999999998</v>
      </c>
      <c r="AB627" s="386">
        <f t="shared" si="71"/>
        <v>2.3653826620299165</v>
      </c>
      <c r="AC627" s="386">
        <f t="shared" si="72"/>
        <v>3.9498920149697079</v>
      </c>
      <c r="AD627" s="386" t="e">
        <f t="shared" si="73"/>
        <v>#DIV/0!</v>
      </c>
      <c r="AE627" s="386">
        <f t="shared" si="74"/>
        <v>2.4198549579064004</v>
      </c>
      <c r="AF627" s="386">
        <f t="shared" si="75"/>
        <v>2.5244715081555835</v>
      </c>
      <c r="AG627" s="386">
        <f t="shared" si="76"/>
        <v>2.4668637676239329</v>
      </c>
      <c r="AH627" s="386">
        <f t="shared" si="77"/>
        <v>2.7734713596233083</v>
      </c>
      <c r="AI627" s="386">
        <f t="shared" si="78"/>
        <v>2.0099999999999998</v>
      </c>
      <c r="AJ627" s="386" t="e">
        <f t="shared" si="79"/>
        <v>#DIV/0!</v>
      </c>
      <c r="AK627" s="391" t="e">
        <f t="shared" si="80"/>
        <v>#N/A</v>
      </c>
      <c r="AL627" s="386" t="e">
        <f t="shared" si="81"/>
        <v>#N/A</v>
      </c>
      <c r="AM627" s="386">
        <f t="shared" si="82"/>
        <v>3.9498920149697079</v>
      </c>
      <c r="AN627" s="386" t="e">
        <f t="shared" si="83"/>
        <v>#N/A</v>
      </c>
      <c r="AO627" s="386" t="e">
        <f t="shared" si="84"/>
        <v>#N/A</v>
      </c>
      <c r="AP627" s="386" t="e">
        <f t="shared" si="85"/>
        <v>#N/A</v>
      </c>
      <c r="AQ627" s="386" t="e">
        <f t="shared" si="86"/>
        <v>#N/A</v>
      </c>
      <c r="AR627" s="386" t="e">
        <f t="shared" si="87"/>
        <v>#N/A</v>
      </c>
      <c r="AS627" s="386" t="e">
        <f t="shared" si="88"/>
        <v>#N/A</v>
      </c>
      <c r="AT627" s="387" t="e">
        <f t="shared" si="89"/>
        <v>#N/A</v>
      </c>
      <c r="BU627" s="356"/>
      <c r="BV627" s="356"/>
      <c r="BW627" s="356"/>
      <c r="BX627" s="356"/>
      <c r="BY627" s="356"/>
      <c r="BZ627" s="356"/>
      <c r="CA627" s="356"/>
      <c r="CB627" s="356"/>
      <c r="CC627" s="356"/>
      <c r="CD627" s="356"/>
      <c r="CE627" s="356"/>
      <c r="CF627" s="356"/>
      <c r="CG627" s="356"/>
    </row>
    <row r="628" spans="2:85">
      <c r="B628" s="84" t="s">
        <v>462</v>
      </c>
      <c r="C628" s="385" t="e">
        <v>#DIV/0!</v>
      </c>
      <c r="D628" s="386" t="e">
        <v>#DIV/0!</v>
      </c>
      <c r="E628" s="386">
        <v>0.11316211</v>
      </c>
      <c r="F628" s="386" t="e">
        <v>#DIV/0!</v>
      </c>
      <c r="G628" s="386" t="e">
        <v>#DIV/0!</v>
      </c>
      <c r="H628" s="386" t="e">
        <v>#DIV/0!</v>
      </c>
      <c r="I628" s="386" t="e">
        <v>#DIV/0!</v>
      </c>
      <c r="J628" s="386">
        <v>3</v>
      </c>
      <c r="K628" s="386">
        <v>1.93</v>
      </c>
      <c r="L628" s="386" t="e">
        <v>#DIV/0!</v>
      </c>
      <c r="M628" s="385" t="e">
        <v>#N/A</v>
      </c>
      <c r="N628" s="386" t="e">
        <v>#N/A</v>
      </c>
      <c r="O628" s="386">
        <v>0.11316211</v>
      </c>
      <c r="P628" s="386" t="e">
        <v>#N/A</v>
      </c>
      <c r="Q628" s="386" t="e">
        <v>#N/A</v>
      </c>
      <c r="R628" s="386" t="e">
        <v>#N/A</v>
      </c>
      <c r="S628" s="386" t="e">
        <v>#N/A</v>
      </c>
      <c r="T628" s="386" t="e">
        <v>#N/A</v>
      </c>
      <c r="U628" s="386" t="e">
        <v>#N/A</v>
      </c>
      <c r="V628" s="387" t="e">
        <v>#N/A</v>
      </c>
      <c r="W628" s="388"/>
      <c r="X628" s="1594" t="s">
        <v>462</v>
      </c>
      <c r="Y628" s="1595"/>
      <c r="Z628" s="389">
        <v>3</v>
      </c>
      <c r="AA628" s="386" t="e">
        <f t="shared" si="70"/>
        <v>#DIV/0!</v>
      </c>
      <c r="AB628" s="386" t="e">
        <f t="shared" si="71"/>
        <v>#DIV/0!</v>
      </c>
      <c r="AC628" s="386">
        <f t="shared" si="72"/>
        <v>3.7208465489050453</v>
      </c>
      <c r="AD628" s="386" t="e">
        <f t="shared" si="73"/>
        <v>#DIV/0!</v>
      </c>
      <c r="AE628" s="386" t="e">
        <f t="shared" si="74"/>
        <v>#DIV/0!</v>
      </c>
      <c r="AF628" s="386" t="e">
        <f t="shared" si="75"/>
        <v>#DIV/0!</v>
      </c>
      <c r="AG628" s="386" t="e">
        <f t="shared" si="76"/>
        <v>#DIV/0!</v>
      </c>
      <c r="AH628" s="386">
        <f t="shared" si="77"/>
        <v>3.9621019423190118</v>
      </c>
      <c r="AI628" s="386">
        <f t="shared" si="78"/>
        <v>1.93</v>
      </c>
      <c r="AJ628" s="386" t="e">
        <f t="shared" si="79"/>
        <v>#DIV/0!</v>
      </c>
      <c r="AK628" s="391" t="e">
        <f t="shared" si="80"/>
        <v>#N/A</v>
      </c>
      <c r="AL628" s="386" t="e">
        <f t="shared" si="81"/>
        <v>#N/A</v>
      </c>
      <c r="AM628" s="386">
        <f t="shared" si="82"/>
        <v>3.7208465489050453</v>
      </c>
      <c r="AN628" s="386" t="e">
        <f t="shared" si="83"/>
        <v>#N/A</v>
      </c>
      <c r="AO628" s="386" t="e">
        <f t="shared" si="84"/>
        <v>#N/A</v>
      </c>
      <c r="AP628" s="386" t="e">
        <f t="shared" si="85"/>
        <v>#N/A</v>
      </c>
      <c r="AQ628" s="386" t="e">
        <f t="shared" si="86"/>
        <v>#N/A</v>
      </c>
      <c r="AR628" s="386" t="e">
        <f t="shared" si="87"/>
        <v>#N/A</v>
      </c>
      <c r="AS628" s="386" t="e">
        <f t="shared" si="88"/>
        <v>#N/A</v>
      </c>
      <c r="AT628" s="387" t="e">
        <f t="shared" si="89"/>
        <v>#N/A</v>
      </c>
      <c r="BU628" s="356"/>
      <c r="BV628" s="356"/>
      <c r="BW628" s="356"/>
      <c r="BX628" s="356"/>
      <c r="BY628" s="356"/>
      <c r="BZ628" s="356"/>
      <c r="CA628" s="356"/>
      <c r="CB628" s="356"/>
      <c r="CC628" s="356"/>
      <c r="CD628" s="356"/>
      <c r="CE628" s="356"/>
      <c r="CF628" s="356"/>
      <c r="CG628" s="356"/>
    </row>
    <row r="629" spans="2:85">
      <c r="B629" s="84" t="s">
        <v>463</v>
      </c>
      <c r="C629" s="385">
        <v>2.14</v>
      </c>
      <c r="D629" s="386">
        <v>2.5299999999999998</v>
      </c>
      <c r="E629" s="386">
        <v>0.10638465</v>
      </c>
      <c r="F629" s="386" t="e">
        <v>#DIV/0!</v>
      </c>
      <c r="G629" s="386">
        <v>2.5299999999999998</v>
      </c>
      <c r="H629" s="386">
        <v>2.6</v>
      </c>
      <c r="I629" s="386">
        <v>2.19</v>
      </c>
      <c r="J629" s="386">
        <v>2.34</v>
      </c>
      <c r="K629" s="386">
        <v>2.11</v>
      </c>
      <c r="L629" s="386">
        <v>2.89</v>
      </c>
      <c r="M629" s="385" t="e">
        <v>#DIV/0!</v>
      </c>
      <c r="N629" s="386" t="e">
        <v>#DIV/0!</v>
      </c>
      <c r="O629" s="386">
        <v>0.10638465</v>
      </c>
      <c r="P629" s="386" t="e">
        <v>#DIV/0!</v>
      </c>
      <c r="Q629" s="386">
        <v>2.71</v>
      </c>
      <c r="R629" s="386">
        <v>2.37</v>
      </c>
      <c r="S629" s="386" t="e">
        <v>#DIV/0!</v>
      </c>
      <c r="T629" s="386">
        <v>1.63</v>
      </c>
      <c r="U629" s="386">
        <v>1.25</v>
      </c>
      <c r="V629" s="387" t="e">
        <v>#DIV/0!</v>
      </c>
      <c r="W629" s="388"/>
      <c r="X629" s="1594" t="s">
        <v>463</v>
      </c>
      <c r="Y629" s="1595"/>
      <c r="Z629" s="389">
        <v>2</v>
      </c>
      <c r="AA629" s="386">
        <f t="shared" si="70"/>
        <v>2.14</v>
      </c>
      <c r="AB629" s="386">
        <f t="shared" si="71"/>
        <v>2.1920945549214976</v>
      </c>
      <c r="AC629" s="386">
        <f t="shared" si="72"/>
        <v>3.4979990900573621</v>
      </c>
      <c r="AD629" s="386" t="e">
        <f t="shared" si="73"/>
        <v>#DIV/0!</v>
      </c>
      <c r="AE629" s="386">
        <f t="shared" si="74"/>
        <v>2.2262665612738881</v>
      </c>
      <c r="AF629" s="386">
        <f t="shared" si="75"/>
        <v>2.4400096361355081</v>
      </c>
      <c r="AG629" s="386">
        <f t="shared" si="76"/>
        <v>2.9847688680090676</v>
      </c>
      <c r="AH629" s="386">
        <f t="shared" si="77"/>
        <v>3.0904395150088289</v>
      </c>
      <c r="AI629" s="386">
        <f t="shared" si="78"/>
        <v>2.11</v>
      </c>
      <c r="AJ629" s="386">
        <f t="shared" si="79"/>
        <v>4.3393906959314776</v>
      </c>
      <c r="AK629" s="391" t="e">
        <f t="shared" si="80"/>
        <v>#DIV/0!</v>
      </c>
      <c r="AL629" s="386" t="e">
        <f t="shared" si="81"/>
        <v>#DIV/0!</v>
      </c>
      <c r="AM629" s="386">
        <f t="shared" si="82"/>
        <v>3.4979990900573621</v>
      </c>
      <c r="AN629" s="386" t="e">
        <f t="shared" si="83"/>
        <v>#DIV/0!</v>
      </c>
      <c r="AO629" s="386">
        <f t="shared" si="84"/>
        <v>2.38465706760958</v>
      </c>
      <c r="AP629" s="386">
        <f t="shared" si="85"/>
        <v>2.2241626298619823</v>
      </c>
      <c r="AQ629" s="386" t="e">
        <f t="shared" si="86"/>
        <v>#DIV/0!</v>
      </c>
      <c r="AR629" s="386">
        <f t="shared" si="87"/>
        <v>2.1527420553266627</v>
      </c>
      <c r="AS629" s="386">
        <f t="shared" si="88"/>
        <v>1.25</v>
      </c>
      <c r="AT629" s="387" t="e">
        <f t="shared" si="89"/>
        <v>#DIV/0!</v>
      </c>
      <c r="BU629" s="356"/>
      <c r="BV629" s="356"/>
      <c r="BW629" s="356"/>
      <c r="BX629" s="356"/>
      <c r="BY629" s="356"/>
      <c r="BZ629" s="356"/>
      <c r="CA629" s="356"/>
      <c r="CB629" s="356"/>
      <c r="CC629" s="356"/>
      <c r="CD629" s="356"/>
      <c r="CE629" s="356"/>
      <c r="CF629" s="356"/>
      <c r="CG629" s="356"/>
    </row>
    <row r="630" spans="2:85">
      <c r="B630" s="84" t="s">
        <v>464</v>
      </c>
      <c r="C630" s="385">
        <v>2.64</v>
      </c>
      <c r="D630" s="386">
        <v>2.96</v>
      </c>
      <c r="E630" s="386">
        <v>0.10181869</v>
      </c>
      <c r="F630" s="386" t="e">
        <v>#DIV/0!</v>
      </c>
      <c r="G630" s="386">
        <v>2.72</v>
      </c>
      <c r="H630" s="386" t="e">
        <v>#DIV/0!</v>
      </c>
      <c r="I630" s="386" t="e">
        <v>#DIV/0!</v>
      </c>
      <c r="J630" s="386">
        <v>3.24</v>
      </c>
      <c r="K630" s="386" t="e">
        <v>#DIV/0!</v>
      </c>
      <c r="L630" s="386" t="e">
        <v>#DIV/0!</v>
      </c>
      <c r="M630" s="385" t="e">
        <v>#N/A</v>
      </c>
      <c r="N630" s="386" t="e">
        <v>#N/A</v>
      </c>
      <c r="O630" s="386">
        <v>0.10181869</v>
      </c>
      <c r="P630" s="386" t="e">
        <v>#N/A</v>
      </c>
      <c r="Q630" s="386" t="e">
        <v>#N/A</v>
      </c>
      <c r="R630" s="386" t="e">
        <v>#N/A</v>
      </c>
      <c r="S630" s="386" t="e">
        <v>#N/A</v>
      </c>
      <c r="T630" s="386" t="e">
        <v>#N/A</v>
      </c>
      <c r="U630" s="386" t="e">
        <v>#N/A</v>
      </c>
      <c r="V630" s="387" t="e">
        <v>#N/A</v>
      </c>
      <c r="W630" s="388"/>
      <c r="X630" s="1594" t="s">
        <v>464</v>
      </c>
      <c r="Y630" s="1595"/>
      <c r="Z630" s="389">
        <v>4</v>
      </c>
      <c r="AA630" s="386">
        <f t="shared" si="70"/>
        <v>2.64</v>
      </c>
      <c r="AB630" s="386">
        <f t="shared" si="71"/>
        <v>2.5646639852045983</v>
      </c>
      <c r="AC630" s="386">
        <f t="shared" si="72"/>
        <v>3.3478672437314279</v>
      </c>
      <c r="AD630" s="386" t="e">
        <f t="shared" si="73"/>
        <v>#DIV/0!</v>
      </c>
      <c r="AE630" s="386">
        <f t="shared" si="74"/>
        <v>2.3934565401837853</v>
      </c>
      <c r="AF630" s="386" t="e">
        <f t="shared" si="75"/>
        <v>#DIV/0!</v>
      </c>
      <c r="AG630" s="386" t="e">
        <f t="shared" si="76"/>
        <v>#DIV/0!</v>
      </c>
      <c r="AH630" s="386">
        <f t="shared" si="77"/>
        <v>4.2790700977045324</v>
      </c>
      <c r="AI630" s="386" t="e">
        <f t="shared" si="78"/>
        <v>#DIV/0!</v>
      </c>
      <c r="AJ630" s="386" t="e">
        <f t="shared" si="79"/>
        <v>#DIV/0!</v>
      </c>
      <c r="AK630" s="391" t="e">
        <f t="shared" si="80"/>
        <v>#N/A</v>
      </c>
      <c r="AL630" s="386" t="e">
        <f t="shared" si="81"/>
        <v>#N/A</v>
      </c>
      <c r="AM630" s="386">
        <f t="shared" si="82"/>
        <v>3.3478672437314279</v>
      </c>
      <c r="AN630" s="386" t="e">
        <f t="shared" si="83"/>
        <v>#N/A</v>
      </c>
      <c r="AO630" s="386" t="e">
        <f t="shared" si="84"/>
        <v>#N/A</v>
      </c>
      <c r="AP630" s="386" t="e">
        <f t="shared" si="85"/>
        <v>#N/A</v>
      </c>
      <c r="AQ630" s="386" t="e">
        <f t="shared" si="86"/>
        <v>#N/A</v>
      </c>
      <c r="AR630" s="386" t="e">
        <f t="shared" si="87"/>
        <v>#N/A</v>
      </c>
      <c r="AS630" s="386" t="e">
        <f t="shared" si="88"/>
        <v>#N/A</v>
      </c>
      <c r="AT630" s="387" t="e">
        <f t="shared" si="89"/>
        <v>#N/A</v>
      </c>
      <c r="BU630" s="356"/>
      <c r="BV630" s="356"/>
      <c r="BW630" s="356"/>
      <c r="BX630" s="356"/>
      <c r="BY630" s="356"/>
      <c r="BZ630" s="356"/>
      <c r="CA630" s="356"/>
      <c r="CB630" s="356"/>
      <c r="CC630" s="356"/>
      <c r="CD630" s="356"/>
      <c r="CE630" s="356"/>
      <c r="CF630" s="356"/>
      <c r="CG630" s="356"/>
    </row>
    <row r="631" spans="2:85">
      <c r="B631" s="84" t="s">
        <v>465</v>
      </c>
      <c r="C631" s="385" t="e">
        <v>#DIV/0!</v>
      </c>
      <c r="D631" s="386" t="e">
        <v>#DIV/0!</v>
      </c>
      <c r="E631" s="386">
        <v>0.10400855000000001</v>
      </c>
      <c r="F631" s="386" t="e">
        <v>#DIV/0!</v>
      </c>
      <c r="G631" s="386">
        <v>3</v>
      </c>
      <c r="H631" s="386" t="e">
        <v>#DIV/0!</v>
      </c>
      <c r="I631" s="386">
        <v>1.89</v>
      </c>
      <c r="J631" s="386">
        <v>2.97</v>
      </c>
      <c r="K631" s="386">
        <v>1.89</v>
      </c>
      <c r="L631" s="386" t="e">
        <v>#DIV/0!</v>
      </c>
      <c r="M631" s="385" t="e">
        <v>#DIV/0!</v>
      </c>
      <c r="N631" s="386" t="e">
        <v>#DIV/0!</v>
      </c>
      <c r="O631" s="386">
        <v>0.10400855000000001</v>
      </c>
      <c r="P631" s="386" t="e">
        <v>#DIV/0!</v>
      </c>
      <c r="Q631" s="386" t="e">
        <v>#DIV/0!</v>
      </c>
      <c r="R631" s="386" t="e">
        <v>#DIV/0!</v>
      </c>
      <c r="S631" s="386" t="e">
        <v>#DIV/0!</v>
      </c>
      <c r="T631" s="386" t="e">
        <v>#DIV/0!</v>
      </c>
      <c r="U631" s="386">
        <v>1.89</v>
      </c>
      <c r="V631" s="387" t="e">
        <v>#DIV/0!</v>
      </c>
      <c r="W631" s="388"/>
      <c r="X631" s="1594" t="s">
        <v>465</v>
      </c>
      <c r="Y631" s="1595"/>
      <c r="Z631" s="389">
        <v>2</v>
      </c>
      <c r="AA631" s="386" t="e">
        <f t="shared" si="70"/>
        <v>#DIV/0!</v>
      </c>
      <c r="AB631" s="386" t="e">
        <f t="shared" si="71"/>
        <v>#DIV/0!</v>
      </c>
      <c r="AC631" s="386">
        <f t="shared" si="72"/>
        <v>3.4198713184485325</v>
      </c>
      <c r="AD631" s="386" t="e">
        <f t="shared" si="73"/>
        <v>#DIV/0!</v>
      </c>
      <c r="AE631" s="386">
        <f t="shared" si="74"/>
        <v>2.6398417722615273</v>
      </c>
      <c r="AF631" s="386" t="e">
        <f t="shared" si="75"/>
        <v>#DIV/0!</v>
      </c>
      <c r="AG631" s="386">
        <f t="shared" si="76"/>
        <v>2.5758964203365924</v>
      </c>
      <c r="AH631" s="386">
        <f t="shared" si="77"/>
        <v>3.9224809228958217</v>
      </c>
      <c r="AI631" s="386">
        <f t="shared" si="78"/>
        <v>1.89</v>
      </c>
      <c r="AJ631" s="386" t="e">
        <f t="shared" si="79"/>
        <v>#DIV/0!</v>
      </c>
      <c r="AK631" s="391" t="e">
        <f t="shared" si="80"/>
        <v>#DIV/0!</v>
      </c>
      <c r="AL631" s="386" t="e">
        <f t="shared" si="81"/>
        <v>#DIV/0!</v>
      </c>
      <c r="AM631" s="386">
        <f t="shared" si="82"/>
        <v>3.4198713184485325</v>
      </c>
      <c r="AN631" s="386" t="e">
        <f t="shared" si="83"/>
        <v>#DIV/0!</v>
      </c>
      <c r="AO631" s="386" t="e">
        <f t="shared" si="84"/>
        <v>#DIV/0!</v>
      </c>
      <c r="AP631" s="386" t="e">
        <f t="shared" si="85"/>
        <v>#DIV/0!</v>
      </c>
      <c r="AQ631" s="386" t="e">
        <f t="shared" si="86"/>
        <v>#DIV/0!</v>
      </c>
      <c r="AR631" s="386" t="e">
        <f t="shared" si="87"/>
        <v>#DIV/0!</v>
      </c>
      <c r="AS631" s="386">
        <f t="shared" si="88"/>
        <v>1.89</v>
      </c>
      <c r="AT631" s="387" t="e">
        <f t="shared" si="89"/>
        <v>#DIV/0!</v>
      </c>
      <c r="BU631" s="356"/>
      <c r="BV631" s="356"/>
      <c r="BW631" s="356"/>
      <c r="BX631" s="356"/>
      <c r="BY631" s="356"/>
      <c r="BZ631" s="356"/>
      <c r="CA631" s="356"/>
      <c r="CB631" s="356"/>
      <c r="CC631" s="356"/>
      <c r="CD631" s="356"/>
      <c r="CE631" s="356"/>
      <c r="CF631" s="356"/>
      <c r="CG631" s="356"/>
    </row>
    <row r="632" spans="2:85">
      <c r="B632" s="84" t="s">
        <v>466</v>
      </c>
      <c r="C632" s="385" t="e">
        <v>#DIV/0!</v>
      </c>
      <c r="D632" s="386" t="e">
        <v>#DIV/0!</v>
      </c>
      <c r="E632" s="386">
        <v>0.12932645000000001</v>
      </c>
      <c r="F632" s="386" t="e">
        <v>#DIV/0!</v>
      </c>
      <c r="G632" s="386" t="e">
        <v>#DIV/0!</v>
      </c>
      <c r="H632" s="386" t="e">
        <v>#DIV/0!</v>
      </c>
      <c r="I632" s="386" t="e">
        <v>#DIV/0!</v>
      </c>
      <c r="J632" s="386">
        <v>3.2</v>
      </c>
      <c r="K632" s="386">
        <v>2.19</v>
      </c>
      <c r="L632" s="386" t="e">
        <v>#DIV/0!</v>
      </c>
      <c r="M632" s="385" t="e">
        <v>#N/A</v>
      </c>
      <c r="N632" s="386" t="e">
        <v>#N/A</v>
      </c>
      <c r="O632" s="386">
        <v>0.12932645000000001</v>
      </c>
      <c r="P632" s="386" t="e">
        <v>#N/A</v>
      </c>
      <c r="Q632" s="386" t="e">
        <v>#N/A</v>
      </c>
      <c r="R632" s="386" t="e">
        <v>#N/A</v>
      </c>
      <c r="S632" s="386" t="e">
        <v>#N/A</v>
      </c>
      <c r="T632" s="386" t="e">
        <v>#N/A</v>
      </c>
      <c r="U632" s="386" t="e">
        <v>#N/A</v>
      </c>
      <c r="V632" s="387" t="e">
        <v>#N/A</v>
      </c>
      <c r="W632" s="388"/>
      <c r="X632" s="1594" t="s">
        <v>466</v>
      </c>
      <c r="Y632" s="1595"/>
      <c r="Z632" s="389">
        <v>5</v>
      </c>
      <c r="AA632" s="386" t="e">
        <f t="shared" si="70"/>
        <v>#DIV/0!</v>
      </c>
      <c r="AB632" s="386" t="e">
        <f t="shared" si="71"/>
        <v>#DIV/0!</v>
      </c>
      <c r="AC632" s="386">
        <f t="shared" si="72"/>
        <v>4.2523409572748418</v>
      </c>
      <c r="AD632" s="386" t="e">
        <f t="shared" si="73"/>
        <v>#DIV/0!</v>
      </c>
      <c r="AE632" s="386" t="e">
        <f t="shared" si="74"/>
        <v>#DIV/0!</v>
      </c>
      <c r="AF632" s="386" t="e">
        <f t="shared" si="75"/>
        <v>#DIV/0!</v>
      </c>
      <c r="AG632" s="386" t="e">
        <f t="shared" si="76"/>
        <v>#DIV/0!</v>
      </c>
      <c r="AH632" s="386">
        <f t="shared" si="77"/>
        <v>4.2262420718069462</v>
      </c>
      <c r="AI632" s="386">
        <f t="shared" si="78"/>
        <v>2.19</v>
      </c>
      <c r="AJ632" s="386" t="e">
        <f t="shared" si="79"/>
        <v>#DIV/0!</v>
      </c>
      <c r="AK632" s="391" t="e">
        <f t="shared" si="80"/>
        <v>#N/A</v>
      </c>
      <c r="AL632" s="386" t="e">
        <f t="shared" si="81"/>
        <v>#N/A</v>
      </c>
      <c r="AM632" s="386">
        <f t="shared" si="82"/>
        <v>4.2523409572748418</v>
      </c>
      <c r="AN632" s="386" t="e">
        <f t="shared" si="83"/>
        <v>#N/A</v>
      </c>
      <c r="AO632" s="386" t="e">
        <f t="shared" si="84"/>
        <v>#N/A</v>
      </c>
      <c r="AP632" s="386" t="e">
        <f t="shared" si="85"/>
        <v>#N/A</v>
      </c>
      <c r="AQ632" s="386" t="e">
        <f t="shared" si="86"/>
        <v>#N/A</v>
      </c>
      <c r="AR632" s="386" t="e">
        <f t="shared" si="87"/>
        <v>#N/A</v>
      </c>
      <c r="AS632" s="386" t="e">
        <f t="shared" si="88"/>
        <v>#N/A</v>
      </c>
      <c r="AT632" s="387" t="e">
        <f t="shared" si="89"/>
        <v>#N/A</v>
      </c>
      <c r="BU632" s="356"/>
      <c r="BV632" s="356"/>
      <c r="BW632" s="356"/>
      <c r="BX632" s="356"/>
      <c r="BY632" s="356"/>
      <c r="BZ632" s="356"/>
      <c r="CA632" s="356"/>
      <c r="CB632" s="356"/>
      <c r="CC632" s="356"/>
      <c r="CD632" s="356"/>
      <c r="CE632" s="356"/>
      <c r="CF632" s="356"/>
      <c r="CG632" s="356"/>
    </row>
    <row r="633" spans="2:85">
      <c r="B633" s="84" t="s">
        <v>467</v>
      </c>
      <c r="C633" s="385" t="e">
        <v>#DIV/0!</v>
      </c>
      <c r="D633" s="386">
        <v>2.78</v>
      </c>
      <c r="E633" s="386">
        <v>0.1752928</v>
      </c>
      <c r="F633" s="386" t="e">
        <v>#DIV/0!</v>
      </c>
      <c r="G633" s="386">
        <v>2.87</v>
      </c>
      <c r="H633" s="386" t="e">
        <v>#DIV/0!</v>
      </c>
      <c r="I633" s="386" t="e">
        <v>#DIV/0!</v>
      </c>
      <c r="J633" s="386">
        <v>3.21</v>
      </c>
      <c r="K633" s="386">
        <v>2.46</v>
      </c>
      <c r="L633" s="386" t="e">
        <v>#DIV/0!</v>
      </c>
      <c r="M633" s="385" t="e">
        <v>#DIV/0!</v>
      </c>
      <c r="N633" s="386">
        <v>3.47</v>
      </c>
      <c r="O633" s="386">
        <v>0.1752928</v>
      </c>
      <c r="P633" s="386" t="e">
        <v>#DIV/0!</v>
      </c>
      <c r="Q633" s="386">
        <v>3.08</v>
      </c>
      <c r="R633" s="386" t="e">
        <v>#DIV/0!</v>
      </c>
      <c r="S633" s="386" t="e">
        <v>#DIV/0!</v>
      </c>
      <c r="T633" s="386">
        <v>2.4300000000000002</v>
      </c>
      <c r="U633" s="386">
        <v>2.4300000000000002</v>
      </c>
      <c r="V633" s="387" t="e">
        <v>#DIV/0!</v>
      </c>
      <c r="W633" s="388"/>
      <c r="X633" s="1594" t="s">
        <v>467</v>
      </c>
      <c r="Y633" s="1595"/>
      <c r="Z633" s="389" t="s">
        <v>442</v>
      </c>
      <c r="AA633" s="386" t="e">
        <f t="shared" si="70"/>
        <v>#DIV/0!</v>
      </c>
      <c r="AB633" s="386">
        <f t="shared" si="71"/>
        <v>2.4087046888070209</v>
      </c>
      <c r="AC633" s="386">
        <f t="shared" si="72"/>
        <v>5.7637455675570406</v>
      </c>
      <c r="AD633" s="386" t="e">
        <f t="shared" si="73"/>
        <v>#DIV/0!</v>
      </c>
      <c r="AE633" s="386">
        <f t="shared" si="74"/>
        <v>2.5254486287968616</v>
      </c>
      <c r="AF633" s="386" t="e">
        <f t="shared" si="75"/>
        <v>#DIV/0!</v>
      </c>
      <c r="AG633" s="386" t="e">
        <f t="shared" si="76"/>
        <v>#DIV/0!</v>
      </c>
      <c r="AH633" s="386">
        <f t="shared" si="77"/>
        <v>4.2394490782813428</v>
      </c>
      <c r="AI633" s="386">
        <f t="shared" si="78"/>
        <v>2.46</v>
      </c>
      <c r="AJ633" s="386" t="e">
        <f t="shared" si="79"/>
        <v>#DIV/0!</v>
      </c>
      <c r="AK633" s="391" t="e">
        <f t="shared" si="80"/>
        <v>#DIV/0!</v>
      </c>
      <c r="AL633" s="386">
        <f t="shared" si="81"/>
        <v>3.0065486583310661</v>
      </c>
      <c r="AM633" s="386">
        <f t="shared" si="82"/>
        <v>5.7637455675570406</v>
      </c>
      <c r="AN633" s="386" t="e">
        <f t="shared" si="83"/>
        <v>#DIV/0!</v>
      </c>
      <c r="AO633" s="386">
        <f t="shared" si="84"/>
        <v>2.7102375528551681</v>
      </c>
      <c r="AP633" s="386" t="e">
        <f t="shared" si="85"/>
        <v>#DIV/0!</v>
      </c>
      <c r="AQ633" s="386" t="e">
        <f t="shared" si="86"/>
        <v>#DIV/0!</v>
      </c>
      <c r="AR633" s="386">
        <f t="shared" si="87"/>
        <v>3.2093025732783995</v>
      </c>
      <c r="AS633" s="386">
        <f t="shared" si="88"/>
        <v>2.4300000000000002</v>
      </c>
      <c r="AT633" s="387" t="e">
        <f t="shared" si="89"/>
        <v>#DIV/0!</v>
      </c>
      <c r="BU633" s="356"/>
      <c r="BV633" s="356"/>
      <c r="BW633" s="356"/>
      <c r="BX633" s="356"/>
      <c r="BY633" s="356"/>
      <c r="BZ633" s="356"/>
      <c r="CA633" s="356"/>
      <c r="CB633" s="356"/>
      <c r="CC633" s="356"/>
      <c r="CD633" s="356"/>
      <c r="CE633" s="356"/>
      <c r="CF633" s="356"/>
      <c r="CG633" s="356"/>
    </row>
    <row r="634" spans="2:85">
      <c r="B634" s="84" t="s">
        <v>468</v>
      </c>
      <c r="C634" s="385">
        <v>2.15</v>
      </c>
      <c r="D634" s="386">
        <v>2.59</v>
      </c>
      <c r="E634" s="386">
        <v>0.15775620000000001</v>
      </c>
      <c r="F634" s="386" t="e">
        <v>#DIV/0!</v>
      </c>
      <c r="G634" s="386">
        <v>3.01</v>
      </c>
      <c r="H634" s="386" t="e">
        <v>#DIV/0!</v>
      </c>
      <c r="I634" s="386">
        <v>3.19</v>
      </c>
      <c r="J634" s="386">
        <v>3.48</v>
      </c>
      <c r="K634" s="386">
        <v>2.2200000000000002</v>
      </c>
      <c r="L634" s="386" t="e">
        <v>#DIV/0!</v>
      </c>
      <c r="M634" s="385" t="e">
        <v>#DIV/0!</v>
      </c>
      <c r="N634" s="386" t="e">
        <v>#DIV/0!</v>
      </c>
      <c r="O634" s="386">
        <v>0.15775620000000001</v>
      </c>
      <c r="P634" s="386" t="e">
        <v>#DIV/0!</v>
      </c>
      <c r="Q634" s="386">
        <v>3.28</v>
      </c>
      <c r="R634" s="386" t="e">
        <v>#DIV/0!</v>
      </c>
      <c r="S634" s="386" t="e">
        <v>#DIV/0!</v>
      </c>
      <c r="T634" s="386" t="e">
        <v>#DIV/0!</v>
      </c>
      <c r="U634" s="386">
        <v>2.0699999999999998</v>
      </c>
      <c r="V634" s="387" t="e">
        <v>#DIV/0!</v>
      </c>
      <c r="W634" s="388"/>
      <c r="X634" s="1594" t="s">
        <v>468</v>
      </c>
      <c r="Y634" s="1595"/>
      <c r="Z634" s="389" t="s">
        <v>444</v>
      </c>
      <c r="AA634" s="386">
        <f t="shared" si="70"/>
        <v>2.15</v>
      </c>
      <c r="AB634" s="386">
        <f t="shared" si="71"/>
        <v>2.2440809870540233</v>
      </c>
      <c r="AC634" s="386">
        <f t="shared" si="72"/>
        <v>5.1871303242611342</v>
      </c>
      <c r="AD634" s="386" t="e">
        <f t="shared" si="73"/>
        <v>#DIV/0!</v>
      </c>
      <c r="AE634" s="386">
        <f t="shared" si="74"/>
        <v>2.6486412448357326</v>
      </c>
      <c r="AF634" s="386" t="e">
        <f t="shared" si="75"/>
        <v>#DIV/0!</v>
      </c>
      <c r="AG634" s="386">
        <f t="shared" si="76"/>
        <v>4.3476770269173182</v>
      </c>
      <c r="AH634" s="386">
        <f t="shared" si="77"/>
        <v>4.596038253090053</v>
      </c>
      <c r="AI634" s="386">
        <f t="shared" si="78"/>
        <v>2.2200000000000002</v>
      </c>
      <c r="AJ634" s="386" t="e">
        <f t="shared" si="79"/>
        <v>#DIV/0!</v>
      </c>
      <c r="AK634" s="391" t="e">
        <f t="shared" si="80"/>
        <v>#DIV/0!</v>
      </c>
      <c r="AL634" s="386" t="e">
        <f t="shared" si="81"/>
        <v>#DIV/0!</v>
      </c>
      <c r="AM634" s="386">
        <f t="shared" si="82"/>
        <v>5.1871303242611342</v>
      </c>
      <c r="AN634" s="386" t="e">
        <f t="shared" si="83"/>
        <v>#DIV/0!</v>
      </c>
      <c r="AO634" s="386">
        <f t="shared" si="84"/>
        <v>2.8862270043392697</v>
      </c>
      <c r="AP634" s="386" t="e">
        <f t="shared" si="85"/>
        <v>#DIV/0!</v>
      </c>
      <c r="AQ634" s="386" t="e">
        <f t="shared" si="86"/>
        <v>#DIV/0!</v>
      </c>
      <c r="AR634" s="386" t="e">
        <f t="shared" si="87"/>
        <v>#DIV/0!</v>
      </c>
      <c r="AS634" s="386">
        <f t="shared" si="88"/>
        <v>2.0699999999999998</v>
      </c>
      <c r="AT634" s="387" t="e">
        <f t="shared" si="89"/>
        <v>#DIV/0!</v>
      </c>
      <c r="BU634" s="356"/>
      <c r="BV634" s="356"/>
      <c r="BW634" s="356"/>
      <c r="BX634" s="356"/>
      <c r="BY634" s="356"/>
      <c r="BZ634" s="356"/>
      <c r="CA634" s="356"/>
      <c r="CB634" s="356"/>
      <c r="CC634" s="356"/>
      <c r="CD634" s="356"/>
      <c r="CE634" s="356"/>
      <c r="CF634" s="356"/>
      <c r="CG634" s="356"/>
    </row>
    <row r="635" spans="2:85">
      <c r="B635" s="84" t="s">
        <v>469</v>
      </c>
      <c r="C635" s="385">
        <v>2.16</v>
      </c>
      <c r="D635" s="386">
        <v>2.66</v>
      </c>
      <c r="E635" s="386">
        <v>0.12281268000000001</v>
      </c>
      <c r="F635" s="386" t="e">
        <v>#DIV/0!</v>
      </c>
      <c r="G635" s="386">
        <v>2.9</v>
      </c>
      <c r="H635" s="386" t="e">
        <v>#DIV/0!</v>
      </c>
      <c r="I635" s="386">
        <v>2.35</v>
      </c>
      <c r="J635" s="386" t="e">
        <v>#DIV/0!</v>
      </c>
      <c r="K635" s="386">
        <v>2.2200000000000002</v>
      </c>
      <c r="L635" s="386">
        <v>2.62</v>
      </c>
      <c r="M635" s="385" t="e">
        <v>#N/A</v>
      </c>
      <c r="N635" s="386" t="e">
        <v>#N/A</v>
      </c>
      <c r="O635" s="386">
        <v>0.12281268000000001</v>
      </c>
      <c r="P635" s="386" t="e">
        <v>#N/A</v>
      </c>
      <c r="Q635" s="386" t="e">
        <v>#N/A</v>
      </c>
      <c r="R635" s="386" t="e">
        <v>#N/A</v>
      </c>
      <c r="S635" s="386" t="e">
        <v>#N/A</v>
      </c>
      <c r="T635" s="386" t="e">
        <v>#N/A</v>
      </c>
      <c r="U635" s="386" t="e">
        <v>#N/A</v>
      </c>
      <c r="V635" s="387" t="e">
        <v>#N/A</v>
      </c>
      <c r="W635" s="388"/>
      <c r="X635" s="1594" t="s">
        <v>469</v>
      </c>
      <c r="Y635" s="1595"/>
      <c r="Z635" s="389">
        <v>3</v>
      </c>
      <c r="AA635" s="386">
        <f t="shared" si="70"/>
        <v>2.16</v>
      </c>
      <c r="AB635" s="386">
        <f t="shared" si="71"/>
        <v>2.3047318245419701</v>
      </c>
      <c r="AC635" s="386">
        <f t="shared" si="72"/>
        <v>4.0381638035892022</v>
      </c>
      <c r="AD635" s="386" t="e">
        <f t="shared" si="73"/>
        <v>#DIV/0!</v>
      </c>
      <c r="AE635" s="386">
        <f t="shared" si="74"/>
        <v>2.5518470465194767</v>
      </c>
      <c r="AF635" s="386" t="e">
        <f t="shared" si="75"/>
        <v>#DIV/0!</v>
      </c>
      <c r="AG635" s="386">
        <f t="shared" si="76"/>
        <v>3.2028341734343879</v>
      </c>
      <c r="AH635" s="386" t="e">
        <f t="shared" si="77"/>
        <v>#DIV/0!</v>
      </c>
      <c r="AI635" s="386">
        <f t="shared" si="78"/>
        <v>2.2200000000000002</v>
      </c>
      <c r="AJ635" s="386">
        <f t="shared" si="79"/>
        <v>3.9339804925053534</v>
      </c>
      <c r="AK635" s="391" t="e">
        <f t="shared" si="80"/>
        <v>#N/A</v>
      </c>
      <c r="AL635" s="386" t="e">
        <f t="shared" si="81"/>
        <v>#N/A</v>
      </c>
      <c r="AM635" s="386">
        <f t="shared" si="82"/>
        <v>4.0381638035892022</v>
      </c>
      <c r="AN635" s="386" t="e">
        <f t="shared" si="83"/>
        <v>#N/A</v>
      </c>
      <c r="AO635" s="386" t="e">
        <f t="shared" si="84"/>
        <v>#N/A</v>
      </c>
      <c r="AP635" s="386" t="e">
        <f t="shared" si="85"/>
        <v>#N/A</v>
      </c>
      <c r="AQ635" s="386" t="e">
        <f t="shared" si="86"/>
        <v>#N/A</v>
      </c>
      <c r="AR635" s="386" t="e">
        <f t="shared" si="87"/>
        <v>#N/A</v>
      </c>
      <c r="AS635" s="386" t="e">
        <f t="shared" si="88"/>
        <v>#N/A</v>
      </c>
      <c r="AT635" s="387" t="e">
        <f t="shared" si="89"/>
        <v>#N/A</v>
      </c>
      <c r="BU635" s="356"/>
      <c r="BV635" s="356"/>
      <c r="BW635" s="356"/>
      <c r="BX635" s="356"/>
      <c r="BY635" s="356"/>
      <c r="BZ635" s="356"/>
      <c r="CA635" s="356"/>
      <c r="CB635" s="356"/>
      <c r="CC635" s="356"/>
      <c r="CD635" s="356"/>
      <c r="CE635" s="356"/>
      <c r="CF635" s="356"/>
      <c r="CG635" s="356"/>
    </row>
    <row r="636" spans="2:85">
      <c r="B636" s="84" t="s">
        <v>470</v>
      </c>
      <c r="C636" s="385">
        <v>2.5099999999999998</v>
      </c>
      <c r="D636" s="386">
        <v>3.29</v>
      </c>
      <c r="E636" s="386">
        <v>0.20072703</v>
      </c>
      <c r="F636" s="386" t="e">
        <v>#DIV/0!</v>
      </c>
      <c r="G636" s="386">
        <v>3.19</v>
      </c>
      <c r="H636" s="386" t="e">
        <v>#DIV/0!</v>
      </c>
      <c r="I636" s="386">
        <v>2.4</v>
      </c>
      <c r="J636" s="386">
        <v>3.18</v>
      </c>
      <c r="K636" s="386">
        <v>2.2400000000000002</v>
      </c>
      <c r="L636" s="386" t="e">
        <v>#DIV/0!</v>
      </c>
      <c r="M636" s="385">
        <v>2.37</v>
      </c>
      <c r="N636" s="386">
        <v>2.89</v>
      </c>
      <c r="O636" s="386">
        <v>0.20072703</v>
      </c>
      <c r="P636" s="386" t="e">
        <v>#DIV/0!</v>
      </c>
      <c r="Q636" s="386">
        <v>2.79</v>
      </c>
      <c r="R636" s="386" t="e">
        <v>#DIV/0!</v>
      </c>
      <c r="S636" s="386">
        <v>2.42</v>
      </c>
      <c r="T636" s="386">
        <v>1.69</v>
      </c>
      <c r="U636" s="386">
        <v>1.81</v>
      </c>
      <c r="V636" s="387" t="e">
        <v>#DIV/0!</v>
      </c>
      <c r="W636" s="388"/>
      <c r="X636" s="1594" t="s">
        <v>470</v>
      </c>
      <c r="Y636" s="1595"/>
      <c r="Z636" s="389" t="s">
        <v>444</v>
      </c>
      <c r="AA636" s="386">
        <f t="shared" ref="AA636:AA657" si="90">IF(C636&gt;0,C636*gasoline_gallon2GGE,#DIV/0!)</f>
        <v>2.5099999999999998</v>
      </c>
      <c r="AB636" s="386">
        <f t="shared" ref="AB636:AB657" si="91">IF(D636&gt;0,D636*diesel_gallon2GGE,#DIV/0!)</f>
        <v>2.8505893619334892</v>
      </c>
      <c r="AC636" s="386">
        <f t="shared" ref="AC636:AC657" si="92">IF(E636&gt;0,E636*kWh2GGE,#DIV/0!)</f>
        <v>6.6000402152934363</v>
      </c>
      <c r="AD636" s="386" t="e">
        <f t="shared" ref="AD636:AD657" si="93">IF(F636&gt;0,F636*H2_kg2GGE,#DIV/0!)</f>
        <v>#DIV/0!</v>
      </c>
      <c r="AE636" s="386">
        <f t="shared" ref="AE636:AE657" si="94">IF(G636&gt;0,G636*B20_gallon2GGE,#DIV/0!)</f>
        <v>2.807031751171424</v>
      </c>
      <c r="AF636" s="386" t="e">
        <f t="shared" ref="AF636:AF657" si="95">IF(H636&gt;0,H636*B100_gallon2GGE,#DIV/0!)</f>
        <v>#DIV/0!</v>
      </c>
      <c r="AG636" s="386">
        <f t="shared" ref="AG636:AG657" si="96">IF(I636&gt;0,I636*E85_gallon2GGE,#DIV/0!)</f>
        <v>3.2709795813798004</v>
      </c>
      <c r="AH636" s="386">
        <f t="shared" ref="AH636:AH657" si="97">IF(J636&gt;0,J636*LPG_gallon2GGE,#DIV/0!)</f>
        <v>4.1998280588581522</v>
      </c>
      <c r="AI636" s="386">
        <f t="shared" ref="AI636:AI657" si="98">IF(K636&gt;0,K636*CNG_GGE2GGE,#DIV/0!)</f>
        <v>2.2400000000000002</v>
      </c>
      <c r="AJ636" s="386" t="e">
        <f t="shared" ref="AJ636:AJ657" si="99">IF(L636&gt;0,L636*LNG_gallon2GGE,#DIV/0!)</f>
        <v>#DIV/0!</v>
      </c>
      <c r="AK636" s="391">
        <f t="shared" ref="AK636:AK657" si="100">IF(M636&gt;0,M636*gasoline_gallon2GGE,#DIV/0!)</f>
        <v>2.37</v>
      </c>
      <c r="AL636" s="386">
        <f t="shared" ref="AL636:AL657" si="101">IF(N636&gt;0,N636*diesel_gallon2GGE,#DIV/0!)</f>
        <v>2.5040131477166518</v>
      </c>
      <c r="AM636" s="386">
        <f t="shared" ref="AM636:AM657" si="102">IF(O636&gt;0,O636*kWh2GGE,#DIV/0!)</f>
        <v>6.6000402152934363</v>
      </c>
      <c r="AN636" s="386" t="e">
        <f t="shared" ref="AN636:AN657" si="103">IF(P636&gt;0,P636*H2_kg2GGE,#DIV/0!)</f>
        <v>#DIV/0!</v>
      </c>
      <c r="AO636" s="386">
        <f t="shared" ref="AO636:AO657" si="104">IF(Q636&gt;0,Q636*B20_gallon2GGE,#DIV/0!)</f>
        <v>2.4550528482032208</v>
      </c>
      <c r="AP636" s="386" t="e">
        <f t="shared" ref="AP636:AP657" si="105">IF(R636&gt;0,R636*B100_gallon2GGE,#DIV/0!)</f>
        <v>#DIV/0!</v>
      </c>
      <c r="AQ636" s="386">
        <f t="shared" ref="AQ636:AQ657" si="106">IF(S636&gt;0,S636*E85_gallon2GGE,#DIV/0!)</f>
        <v>3.2982377445579654</v>
      </c>
      <c r="AR636" s="386">
        <f t="shared" ref="AR636:AR657" si="107">IF(T636&gt;0,T636*LPG_gallon2GGE,#DIV/0!)</f>
        <v>2.2319840941730433</v>
      </c>
      <c r="AS636" s="386">
        <f t="shared" ref="AS636:AS657" si="108">IF(U636&gt;0,U636*CNG_GGE2GGE,#DIV/0!)</f>
        <v>1.81</v>
      </c>
      <c r="AT636" s="387" t="e">
        <f t="shared" ref="AT636:AT657" si="109">IF(V636&gt;0,V636*LNG_gallon2GGE,#DIV/0!)</f>
        <v>#DIV/0!</v>
      </c>
      <c r="BU636" s="356"/>
      <c r="BV636" s="356"/>
      <c r="BW636" s="356"/>
      <c r="BX636" s="356"/>
      <c r="BY636" s="356"/>
      <c r="BZ636" s="356"/>
      <c r="CA636" s="356"/>
      <c r="CB636" s="356"/>
      <c r="CC636" s="356"/>
      <c r="CD636" s="356"/>
      <c r="CE636" s="356"/>
      <c r="CF636" s="356"/>
      <c r="CG636" s="356"/>
    </row>
    <row r="637" spans="2:85">
      <c r="B637" s="84" t="s">
        <v>471</v>
      </c>
      <c r="C637" s="385">
        <v>2.44</v>
      </c>
      <c r="D637" s="386">
        <v>2.94</v>
      </c>
      <c r="E637" s="386">
        <v>0.11102102999999999</v>
      </c>
      <c r="F637" s="386" t="e">
        <v>#DIV/0!</v>
      </c>
      <c r="G637" s="386">
        <v>2.95</v>
      </c>
      <c r="H637" s="386">
        <v>3.8</v>
      </c>
      <c r="I637" s="386">
        <v>2.36</v>
      </c>
      <c r="J637" s="386">
        <v>2.73</v>
      </c>
      <c r="K637" s="386">
        <v>2.0499999999999998</v>
      </c>
      <c r="L637" s="386" t="e">
        <v>#DIV/0!</v>
      </c>
      <c r="M637" s="385">
        <v>2.58</v>
      </c>
      <c r="N637" s="386">
        <v>3</v>
      </c>
      <c r="O637" s="386">
        <v>0.11102102999999999</v>
      </c>
      <c r="P637" s="386" t="e">
        <v>#DIV/0!</v>
      </c>
      <c r="Q637" s="386">
        <v>2.06</v>
      </c>
      <c r="R637" s="386">
        <v>3.97</v>
      </c>
      <c r="S637" s="386">
        <v>2.16</v>
      </c>
      <c r="T637" s="386">
        <v>1.4</v>
      </c>
      <c r="U637" s="386" t="e">
        <v>#DIV/0!</v>
      </c>
      <c r="V637" s="387" t="e">
        <v>#DIV/0!</v>
      </c>
      <c r="W637" s="388"/>
      <c r="X637" s="1594" t="s">
        <v>471</v>
      </c>
      <c r="Y637" s="1595"/>
      <c r="Z637" s="389" t="s">
        <v>447</v>
      </c>
      <c r="AA637" s="386">
        <f t="shared" si="90"/>
        <v>2.44</v>
      </c>
      <c r="AB637" s="386">
        <f t="shared" si="91"/>
        <v>2.5473351744937562</v>
      </c>
      <c r="AC637" s="386">
        <f t="shared" si="92"/>
        <v>3.6504463935091302</v>
      </c>
      <c r="AD637" s="386" t="e">
        <f t="shared" si="93"/>
        <v>#DIV/0!</v>
      </c>
      <c r="AE637" s="386">
        <f t="shared" si="94"/>
        <v>2.595844409390502</v>
      </c>
      <c r="AF637" s="386">
        <f t="shared" si="95"/>
        <v>3.5661679297365119</v>
      </c>
      <c r="AG637" s="386">
        <f t="shared" si="96"/>
        <v>3.21646325502347</v>
      </c>
      <c r="AH637" s="386">
        <f t="shared" si="97"/>
        <v>3.6055127675103007</v>
      </c>
      <c r="AI637" s="386">
        <f t="shared" si="98"/>
        <v>2.0499999999999998</v>
      </c>
      <c r="AJ637" s="386" t="e">
        <f t="shared" si="99"/>
        <v>#DIV/0!</v>
      </c>
      <c r="AK637" s="391">
        <f t="shared" si="100"/>
        <v>2.58</v>
      </c>
      <c r="AL637" s="386">
        <f t="shared" si="101"/>
        <v>2.5993216066262819</v>
      </c>
      <c r="AM637" s="386">
        <f t="shared" si="102"/>
        <v>3.6504463935091302</v>
      </c>
      <c r="AN637" s="386" t="e">
        <f t="shared" si="103"/>
        <v>#DIV/0!</v>
      </c>
      <c r="AO637" s="386">
        <f t="shared" si="104"/>
        <v>1.8126913502862489</v>
      </c>
      <c r="AP637" s="386">
        <f t="shared" si="105"/>
        <v>3.7257070213299874</v>
      </c>
      <c r="AQ637" s="386">
        <f t="shared" si="106"/>
        <v>2.9438816232418206</v>
      </c>
      <c r="AR637" s="386">
        <f t="shared" si="107"/>
        <v>1.8489809064155387</v>
      </c>
      <c r="AS637" s="386" t="e">
        <f t="shared" si="108"/>
        <v>#DIV/0!</v>
      </c>
      <c r="AT637" s="387" t="e">
        <f t="shared" si="109"/>
        <v>#DIV/0!</v>
      </c>
      <c r="BU637" s="356"/>
      <c r="BV637" s="356"/>
      <c r="BW637" s="356"/>
      <c r="BX637" s="356"/>
      <c r="BY637" s="356"/>
      <c r="BZ637" s="356"/>
      <c r="CA637" s="356"/>
      <c r="CB637" s="356"/>
      <c r="CC637" s="356"/>
      <c r="CD637" s="356"/>
      <c r="CE637" s="356"/>
      <c r="CF637" s="356"/>
      <c r="CG637" s="356"/>
    </row>
    <row r="638" spans="2:85">
      <c r="B638" s="84" t="s">
        <v>472</v>
      </c>
      <c r="C638" s="385">
        <v>2.4</v>
      </c>
      <c r="D638" s="386">
        <v>2.78</v>
      </c>
      <c r="E638" s="386">
        <v>9.1473601000000002E-2</v>
      </c>
      <c r="F638" s="386" t="e">
        <v>#DIV/0!</v>
      </c>
      <c r="G638" s="386" t="e">
        <v>#DIV/0!</v>
      </c>
      <c r="H638" s="386" t="e">
        <v>#DIV/0!</v>
      </c>
      <c r="I638" s="386">
        <v>1.9</v>
      </c>
      <c r="J638" s="386">
        <v>3.03</v>
      </c>
      <c r="K638" s="386" t="e">
        <v>#DIV/0!</v>
      </c>
      <c r="L638" s="386" t="e">
        <v>#DIV/0!</v>
      </c>
      <c r="M638" s="385" t="e">
        <v>#N/A</v>
      </c>
      <c r="N638" s="386" t="e">
        <v>#N/A</v>
      </c>
      <c r="O638" s="386">
        <v>9.1473601000000002E-2</v>
      </c>
      <c r="P638" s="386" t="e">
        <v>#N/A</v>
      </c>
      <c r="Q638" s="386" t="e">
        <v>#N/A</v>
      </c>
      <c r="R638" s="386" t="e">
        <v>#N/A</v>
      </c>
      <c r="S638" s="386" t="e">
        <v>#N/A</v>
      </c>
      <c r="T638" s="386" t="e">
        <v>#N/A</v>
      </c>
      <c r="U638" s="386" t="e">
        <v>#N/A</v>
      </c>
      <c r="V638" s="387" t="e">
        <v>#N/A</v>
      </c>
      <c r="W638" s="388"/>
      <c r="X638" s="1594" t="s">
        <v>472</v>
      </c>
      <c r="Y638" s="1595"/>
      <c r="Z638" s="389">
        <v>2</v>
      </c>
      <c r="AA638" s="386">
        <f t="shared" si="90"/>
        <v>2.4</v>
      </c>
      <c r="AB638" s="386">
        <f t="shared" si="91"/>
        <v>2.4087046888070209</v>
      </c>
      <c r="AC638" s="386">
        <f t="shared" si="92"/>
        <v>3.0077137356025538</v>
      </c>
      <c r="AD638" s="386" t="e">
        <f t="shared" si="93"/>
        <v>#DIV/0!</v>
      </c>
      <c r="AE638" s="386" t="e">
        <f t="shared" si="94"/>
        <v>#DIV/0!</v>
      </c>
      <c r="AF638" s="386" t="e">
        <f t="shared" si="95"/>
        <v>#DIV/0!</v>
      </c>
      <c r="AG638" s="386">
        <f t="shared" si="96"/>
        <v>2.5895255019256753</v>
      </c>
      <c r="AH638" s="386">
        <f t="shared" si="97"/>
        <v>4.0017229617422014</v>
      </c>
      <c r="AI638" s="386" t="e">
        <f t="shared" si="98"/>
        <v>#DIV/0!</v>
      </c>
      <c r="AJ638" s="386" t="e">
        <f t="shared" si="99"/>
        <v>#DIV/0!</v>
      </c>
      <c r="AK638" s="391" t="e">
        <f t="shared" si="100"/>
        <v>#N/A</v>
      </c>
      <c r="AL638" s="386" t="e">
        <f t="shared" si="101"/>
        <v>#N/A</v>
      </c>
      <c r="AM638" s="386">
        <f t="shared" si="102"/>
        <v>3.0077137356025538</v>
      </c>
      <c r="AN638" s="386" t="e">
        <f t="shared" si="103"/>
        <v>#N/A</v>
      </c>
      <c r="AO638" s="386" t="e">
        <f t="shared" si="104"/>
        <v>#N/A</v>
      </c>
      <c r="AP638" s="386" t="e">
        <f t="shared" si="105"/>
        <v>#N/A</v>
      </c>
      <c r="AQ638" s="386" t="e">
        <f t="shared" si="106"/>
        <v>#N/A</v>
      </c>
      <c r="AR638" s="386" t="e">
        <f t="shared" si="107"/>
        <v>#N/A</v>
      </c>
      <c r="AS638" s="386" t="e">
        <f t="shared" si="108"/>
        <v>#N/A</v>
      </c>
      <c r="AT638" s="387" t="e">
        <f t="shared" si="109"/>
        <v>#N/A</v>
      </c>
      <c r="BU638" s="356"/>
      <c r="BV638" s="356"/>
      <c r="BW638" s="356"/>
      <c r="BX638" s="356"/>
      <c r="BY638" s="356"/>
      <c r="BZ638" s="356"/>
      <c r="CA638" s="356"/>
      <c r="CB638" s="356"/>
      <c r="CC638" s="356"/>
      <c r="CD638" s="356"/>
      <c r="CE638" s="356"/>
      <c r="CF638" s="356"/>
      <c r="CG638" s="356"/>
    </row>
    <row r="639" spans="2:85">
      <c r="B639" s="84" t="s">
        <v>473</v>
      </c>
      <c r="C639" s="385">
        <v>2.34</v>
      </c>
      <c r="D639" s="386">
        <v>2.85</v>
      </c>
      <c r="E639" s="386">
        <v>0.12495530000000001</v>
      </c>
      <c r="F639" s="386" t="e">
        <v>#DIV/0!</v>
      </c>
      <c r="G639" s="386">
        <v>2.89</v>
      </c>
      <c r="H639" s="386" t="e">
        <v>#DIV/0!</v>
      </c>
      <c r="I639" s="386">
        <v>2.04</v>
      </c>
      <c r="J639" s="386">
        <v>3.04</v>
      </c>
      <c r="K639" s="386">
        <v>2.1</v>
      </c>
      <c r="L639" s="386" t="e">
        <v>#DIV/0!</v>
      </c>
      <c r="M639" s="385" t="e">
        <v>#DIV/0!</v>
      </c>
      <c r="N639" s="386" t="e">
        <v>#DIV/0!</v>
      </c>
      <c r="O639" s="386">
        <v>0.12495530000000001</v>
      </c>
      <c r="P639" s="386" t="e">
        <v>#DIV/0!</v>
      </c>
      <c r="Q639" s="386" t="e">
        <v>#DIV/0!</v>
      </c>
      <c r="R639" s="386" t="e">
        <v>#DIV/0!</v>
      </c>
      <c r="S639" s="386" t="e">
        <v>#DIV/0!</v>
      </c>
      <c r="T639" s="386" t="e">
        <v>#DIV/0!</v>
      </c>
      <c r="U639" s="386">
        <v>2.11</v>
      </c>
      <c r="V639" s="387" t="e">
        <v>#DIV/0!</v>
      </c>
      <c r="W639" s="388"/>
      <c r="X639" s="1594" t="s">
        <v>473</v>
      </c>
      <c r="Y639" s="1595"/>
      <c r="Z639" s="389">
        <v>2</v>
      </c>
      <c r="AA639" s="386">
        <f t="shared" si="90"/>
        <v>2.34</v>
      </c>
      <c r="AB639" s="386">
        <f t="shared" si="91"/>
        <v>2.4693555262949678</v>
      </c>
      <c r="AC639" s="386">
        <f t="shared" si="92"/>
        <v>4.1086145952244495</v>
      </c>
      <c r="AD639" s="386" t="e">
        <f t="shared" si="93"/>
        <v>#DIV/0!</v>
      </c>
      <c r="AE639" s="386">
        <f t="shared" si="94"/>
        <v>2.5430475739452718</v>
      </c>
      <c r="AF639" s="386" t="e">
        <f t="shared" si="95"/>
        <v>#DIV/0!</v>
      </c>
      <c r="AG639" s="386">
        <f t="shared" si="96"/>
        <v>2.7803326441728302</v>
      </c>
      <c r="AH639" s="386">
        <f t="shared" si="97"/>
        <v>4.0149299682165989</v>
      </c>
      <c r="AI639" s="386">
        <f t="shared" si="98"/>
        <v>2.1</v>
      </c>
      <c r="AJ639" s="386" t="e">
        <f t="shared" si="99"/>
        <v>#DIV/0!</v>
      </c>
      <c r="AK639" s="391" t="e">
        <f t="shared" si="100"/>
        <v>#DIV/0!</v>
      </c>
      <c r="AL639" s="386" t="e">
        <f t="shared" si="101"/>
        <v>#DIV/0!</v>
      </c>
      <c r="AM639" s="386">
        <f t="shared" si="102"/>
        <v>4.1086145952244495</v>
      </c>
      <c r="AN639" s="386" t="e">
        <f t="shared" si="103"/>
        <v>#DIV/0!</v>
      </c>
      <c r="AO639" s="386" t="e">
        <f t="shared" si="104"/>
        <v>#DIV/0!</v>
      </c>
      <c r="AP639" s="386" t="e">
        <f t="shared" si="105"/>
        <v>#DIV/0!</v>
      </c>
      <c r="AQ639" s="386" t="e">
        <f t="shared" si="106"/>
        <v>#DIV/0!</v>
      </c>
      <c r="AR639" s="386" t="e">
        <f t="shared" si="107"/>
        <v>#DIV/0!</v>
      </c>
      <c r="AS639" s="386">
        <f t="shared" si="108"/>
        <v>2.11</v>
      </c>
      <c r="AT639" s="387" t="e">
        <f t="shared" si="109"/>
        <v>#DIV/0!</v>
      </c>
      <c r="BU639" s="356"/>
      <c r="BV639" s="356"/>
      <c r="BW639" s="356"/>
      <c r="BX639" s="356"/>
      <c r="BY639" s="356"/>
      <c r="BZ639" s="356"/>
      <c r="CA639" s="356"/>
      <c r="CB639" s="356"/>
      <c r="CC639" s="356"/>
      <c r="CD639" s="356"/>
      <c r="CE639" s="356"/>
      <c r="CF639" s="356"/>
      <c r="CG639" s="356"/>
    </row>
    <row r="640" spans="2:85">
      <c r="B640" s="84" t="s">
        <v>474</v>
      </c>
      <c r="C640" s="385">
        <v>2.2000000000000002</v>
      </c>
      <c r="D640" s="386">
        <v>2.54</v>
      </c>
      <c r="E640" s="386">
        <v>0.10034622</v>
      </c>
      <c r="F640" s="386" t="e">
        <v>#DIV/0!</v>
      </c>
      <c r="G640" s="386" t="e">
        <v>#DIV/0!</v>
      </c>
      <c r="H640" s="386" t="e">
        <v>#DIV/0!</v>
      </c>
      <c r="I640" s="386">
        <v>2.15</v>
      </c>
      <c r="J640" s="386">
        <v>3.14</v>
      </c>
      <c r="K640" s="386">
        <v>1.79</v>
      </c>
      <c r="L640" s="386" t="e">
        <v>#DIV/0!</v>
      </c>
      <c r="M640" s="385" t="e">
        <v>#DIV/0!</v>
      </c>
      <c r="N640" s="386" t="e">
        <v>#DIV/0!</v>
      </c>
      <c r="O640" s="386">
        <v>0.10034622</v>
      </c>
      <c r="P640" s="386" t="e">
        <v>#DIV/0!</v>
      </c>
      <c r="Q640" s="386" t="e">
        <v>#DIV/0!</v>
      </c>
      <c r="R640" s="386" t="e">
        <v>#DIV/0!</v>
      </c>
      <c r="S640" s="386" t="e">
        <v>#DIV/0!</v>
      </c>
      <c r="T640" s="386">
        <v>1.89</v>
      </c>
      <c r="U640" s="386" t="e">
        <v>#DIV/0!</v>
      </c>
      <c r="V640" s="387" t="e">
        <v>#DIV/0!</v>
      </c>
      <c r="W640" s="388"/>
      <c r="X640" s="1594" t="s">
        <v>474</v>
      </c>
      <c r="Y640" s="1595"/>
      <c r="Z640" s="389">
        <v>2</v>
      </c>
      <c r="AA640" s="386">
        <f t="shared" si="90"/>
        <v>2.2000000000000002</v>
      </c>
      <c r="AB640" s="386">
        <f t="shared" si="91"/>
        <v>2.2007589602769189</v>
      </c>
      <c r="AC640" s="386">
        <f t="shared" si="92"/>
        <v>3.2994514363744756</v>
      </c>
      <c r="AD640" s="386" t="e">
        <f t="shared" si="93"/>
        <v>#DIV/0!</v>
      </c>
      <c r="AE640" s="386" t="e">
        <f t="shared" si="94"/>
        <v>#DIV/0!</v>
      </c>
      <c r="AF640" s="386" t="e">
        <f t="shared" si="95"/>
        <v>#DIV/0!</v>
      </c>
      <c r="AG640" s="386">
        <f t="shared" si="96"/>
        <v>2.9302525416527376</v>
      </c>
      <c r="AH640" s="386">
        <f t="shared" si="97"/>
        <v>4.1470000329605652</v>
      </c>
      <c r="AI640" s="386">
        <f t="shared" si="98"/>
        <v>1.79</v>
      </c>
      <c r="AJ640" s="386" t="e">
        <f t="shared" si="99"/>
        <v>#DIV/0!</v>
      </c>
      <c r="AK640" s="391" t="e">
        <f t="shared" si="100"/>
        <v>#DIV/0!</v>
      </c>
      <c r="AL640" s="386" t="e">
        <f t="shared" si="101"/>
        <v>#DIV/0!</v>
      </c>
      <c r="AM640" s="386">
        <f t="shared" si="102"/>
        <v>3.2994514363744756</v>
      </c>
      <c r="AN640" s="386" t="e">
        <f t="shared" si="103"/>
        <v>#DIV/0!</v>
      </c>
      <c r="AO640" s="386" t="e">
        <f t="shared" si="104"/>
        <v>#DIV/0!</v>
      </c>
      <c r="AP640" s="386" t="e">
        <f t="shared" si="105"/>
        <v>#DIV/0!</v>
      </c>
      <c r="AQ640" s="386" t="e">
        <f t="shared" si="106"/>
        <v>#DIV/0!</v>
      </c>
      <c r="AR640" s="386">
        <f t="shared" si="107"/>
        <v>2.4961242236609773</v>
      </c>
      <c r="AS640" s="386" t="e">
        <f t="shared" si="108"/>
        <v>#DIV/0!</v>
      </c>
      <c r="AT640" s="387" t="e">
        <f t="shared" si="109"/>
        <v>#DIV/0!</v>
      </c>
      <c r="BU640" s="356"/>
      <c r="BV640" s="356"/>
      <c r="BW640" s="356"/>
      <c r="BX640" s="356"/>
      <c r="BY640" s="356"/>
      <c r="BZ640" s="356"/>
      <c r="CA640" s="356"/>
      <c r="CB640" s="356"/>
      <c r="CC640" s="356"/>
      <c r="CD640" s="356"/>
      <c r="CE640" s="356"/>
      <c r="CF640" s="356"/>
      <c r="CG640" s="356"/>
    </row>
    <row r="641" spans="2:85">
      <c r="B641" s="84" t="s">
        <v>475</v>
      </c>
      <c r="C641" s="385">
        <v>2.67</v>
      </c>
      <c r="D641" s="386">
        <v>2.81</v>
      </c>
      <c r="E641" s="386">
        <v>0.10467140999999999</v>
      </c>
      <c r="F641" s="386" t="e">
        <v>#DIV/0!</v>
      </c>
      <c r="G641" s="386">
        <v>2.72</v>
      </c>
      <c r="H641" s="386">
        <v>3.1</v>
      </c>
      <c r="I641" s="386">
        <v>3.48</v>
      </c>
      <c r="J641" s="386">
        <v>2.6</v>
      </c>
      <c r="K641" s="386">
        <v>2.16</v>
      </c>
      <c r="L641" s="386">
        <v>2.86</v>
      </c>
      <c r="M641" s="385" t="e">
        <v>#DIV/0!</v>
      </c>
      <c r="N641" s="386" t="e">
        <v>#DIV/0!</v>
      </c>
      <c r="O641" s="386">
        <v>0.10467140999999999</v>
      </c>
      <c r="P641" s="386" t="e">
        <v>#DIV/0!</v>
      </c>
      <c r="Q641" s="386">
        <v>4.59</v>
      </c>
      <c r="R641" s="386">
        <v>4.74</v>
      </c>
      <c r="S641" s="386" t="e">
        <v>#DIV/0!</v>
      </c>
      <c r="T641" s="386">
        <v>1.74</v>
      </c>
      <c r="U641" s="386">
        <v>1.97</v>
      </c>
      <c r="V641" s="387" t="e">
        <v>#DIV/0!</v>
      </c>
      <c r="W641" s="388"/>
      <c r="X641" s="1594" t="s">
        <v>475</v>
      </c>
      <c r="Y641" s="1595"/>
      <c r="Z641" s="389">
        <v>5</v>
      </c>
      <c r="AA641" s="386">
        <f t="shared" si="90"/>
        <v>2.67</v>
      </c>
      <c r="AB641" s="386">
        <f t="shared" si="91"/>
        <v>2.4346979048732842</v>
      </c>
      <c r="AC641" s="386">
        <f t="shared" si="92"/>
        <v>3.4416666026068707</v>
      </c>
      <c r="AD641" s="386" t="e">
        <f t="shared" si="93"/>
        <v>#DIV/0!</v>
      </c>
      <c r="AE641" s="386">
        <f t="shared" si="94"/>
        <v>2.3934565401837853</v>
      </c>
      <c r="AF641" s="386">
        <f t="shared" si="95"/>
        <v>2.9092422584692597</v>
      </c>
      <c r="AG641" s="386">
        <f t="shared" si="96"/>
        <v>4.74292039300071</v>
      </c>
      <c r="AH641" s="386">
        <f t="shared" si="97"/>
        <v>3.4338216833431434</v>
      </c>
      <c r="AI641" s="386">
        <f t="shared" si="98"/>
        <v>2.16</v>
      </c>
      <c r="AJ641" s="386">
        <f t="shared" si="99"/>
        <v>4.2943451177730187</v>
      </c>
      <c r="AK641" s="391" t="e">
        <f t="shared" si="100"/>
        <v>#DIV/0!</v>
      </c>
      <c r="AL641" s="386" t="e">
        <f t="shared" si="101"/>
        <v>#DIV/0!</v>
      </c>
      <c r="AM641" s="386">
        <f t="shared" si="102"/>
        <v>3.4416666026068707</v>
      </c>
      <c r="AN641" s="386" t="e">
        <f t="shared" si="103"/>
        <v>#DIV/0!</v>
      </c>
      <c r="AO641" s="386">
        <f t="shared" si="104"/>
        <v>4.0389579115601366</v>
      </c>
      <c r="AP641" s="386">
        <f t="shared" si="105"/>
        <v>4.4483252597239646</v>
      </c>
      <c r="AQ641" s="386" t="e">
        <f t="shared" si="106"/>
        <v>#DIV/0!</v>
      </c>
      <c r="AR641" s="386">
        <f t="shared" si="107"/>
        <v>2.2980191265450265</v>
      </c>
      <c r="AS641" s="386">
        <f t="shared" si="108"/>
        <v>1.97</v>
      </c>
      <c r="AT641" s="387" t="e">
        <f t="shared" si="109"/>
        <v>#DIV/0!</v>
      </c>
      <c r="BU641" s="356"/>
      <c r="BV641" s="356"/>
      <c r="BW641" s="356"/>
      <c r="BX641" s="356"/>
      <c r="BY641" s="356"/>
      <c r="BZ641" s="356"/>
      <c r="CA641" s="356"/>
      <c r="CB641" s="356"/>
      <c r="CC641" s="356"/>
      <c r="CD641" s="356"/>
      <c r="CE641" s="356"/>
      <c r="CF641" s="356"/>
      <c r="CG641" s="356"/>
    </row>
    <row r="642" spans="2:85">
      <c r="B642" s="84" t="s">
        <v>476</v>
      </c>
      <c r="C642" s="385">
        <v>2.29</v>
      </c>
      <c r="D642" s="386">
        <v>2.68</v>
      </c>
      <c r="E642" s="386">
        <v>0.13318178</v>
      </c>
      <c r="F642" s="386" t="e">
        <v>#DIV/0!</v>
      </c>
      <c r="G642" s="386">
        <v>3.39</v>
      </c>
      <c r="H642" s="386">
        <v>6.53</v>
      </c>
      <c r="I642" s="386">
        <v>2.48</v>
      </c>
      <c r="J642" s="386">
        <v>2.66</v>
      </c>
      <c r="K642" s="386">
        <v>2.1800000000000002</v>
      </c>
      <c r="L642" s="386" t="e">
        <v>#DIV/0!</v>
      </c>
      <c r="M642" s="385" t="e">
        <v>#DIV/0!</v>
      </c>
      <c r="N642" s="386" t="e">
        <v>#DIV/0!</v>
      </c>
      <c r="O642" s="386">
        <v>0.13318178</v>
      </c>
      <c r="P642" s="386" t="e">
        <v>#DIV/0!</v>
      </c>
      <c r="Q642" s="386" t="e">
        <v>#DIV/0!</v>
      </c>
      <c r="R642" s="386" t="e">
        <v>#DIV/0!</v>
      </c>
      <c r="S642" s="386">
        <v>2.59</v>
      </c>
      <c r="T642" s="386">
        <v>1.82</v>
      </c>
      <c r="U642" s="386">
        <v>1.1200000000000001</v>
      </c>
      <c r="V642" s="387" t="e">
        <v>#DIV/0!</v>
      </c>
      <c r="W642" s="388"/>
      <c r="X642" s="1594" t="s">
        <v>476</v>
      </c>
      <c r="Y642" s="1595"/>
      <c r="Z642" s="389" t="s">
        <v>444</v>
      </c>
      <c r="AA642" s="386">
        <f t="shared" si="90"/>
        <v>2.29</v>
      </c>
      <c r="AB642" s="386">
        <f t="shared" si="91"/>
        <v>2.3220606352528121</v>
      </c>
      <c r="AC642" s="386">
        <f t="shared" si="92"/>
        <v>4.3791068096028871</v>
      </c>
      <c r="AD642" s="386" t="e">
        <f t="shared" si="93"/>
        <v>#DIV/0!</v>
      </c>
      <c r="AE642" s="386">
        <f t="shared" si="94"/>
        <v>2.9830212026555261</v>
      </c>
      <c r="AF642" s="386">
        <f t="shared" si="95"/>
        <v>6.1281780476787961</v>
      </c>
      <c r="AG642" s="386">
        <f t="shared" si="96"/>
        <v>3.3800122340924603</v>
      </c>
      <c r="AH642" s="386">
        <f t="shared" si="97"/>
        <v>3.513063722189524</v>
      </c>
      <c r="AI642" s="386">
        <f t="shared" si="98"/>
        <v>2.1800000000000002</v>
      </c>
      <c r="AJ642" s="386" t="e">
        <f t="shared" si="99"/>
        <v>#DIV/0!</v>
      </c>
      <c r="AK642" s="391" t="e">
        <f t="shared" si="100"/>
        <v>#DIV/0!</v>
      </c>
      <c r="AL642" s="386" t="e">
        <f t="shared" si="101"/>
        <v>#DIV/0!</v>
      </c>
      <c r="AM642" s="386">
        <f t="shared" si="102"/>
        <v>4.3791068096028871</v>
      </c>
      <c r="AN642" s="386" t="e">
        <f t="shared" si="103"/>
        <v>#DIV/0!</v>
      </c>
      <c r="AO642" s="386" t="e">
        <f t="shared" si="104"/>
        <v>#DIV/0!</v>
      </c>
      <c r="AP642" s="386" t="e">
        <f t="shared" si="105"/>
        <v>#DIV/0!</v>
      </c>
      <c r="AQ642" s="386">
        <f t="shared" si="106"/>
        <v>3.5299321315723677</v>
      </c>
      <c r="AR642" s="386">
        <f t="shared" si="107"/>
        <v>2.4036751783402006</v>
      </c>
      <c r="AS642" s="386">
        <f t="shared" si="108"/>
        <v>1.1200000000000001</v>
      </c>
      <c r="AT642" s="387" t="e">
        <f t="shared" si="109"/>
        <v>#DIV/0!</v>
      </c>
      <c r="BU642" s="356"/>
      <c r="BV642" s="356"/>
      <c r="BW642" s="356"/>
      <c r="BX642" s="356"/>
      <c r="BY642" s="356"/>
      <c r="BZ642" s="356"/>
      <c r="CA642" s="356"/>
      <c r="CB642" s="356"/>
      <c r="CC642" s="356"/>
      <c r="CD642" s="356"/>
      <c r="CE642" s="356"/>
      <c r="CF642" s="356"/>
      <c r="CG642" s="356"/>
    </row>
    <row r="643" spans="2:85">
      <c r="B643" s="84" t="s">
        <v>477</v>
      </c>
      <c r="C643" s="385" t="e">
        <v>#N/A</v>
      </c>
      <c r="D643" s="386" t="e">
        <v>#N/A</v>
      </c>
      <c r="E643" s="386">
        <v>0.25885778999999998</v>
      </c>
      <c r="F643" s="386" t="e">
        <v>#N/A</v>
      </c>
      <c r="G643" s="386" t="e">
        <v>#N/A</v>
      </c>
      <c r="H643" s="386" t="e">
        <v>#N/A</v>
      </c>
      <c r="I643" s="386" t="e">
        <v>#N/A</v>
      </c>
      <c r="J643" s="386" t="e">
        <v>#N/A</v>
      </c>
      <c r="K643" s="386" t="e">
        <v>#N/A</v>
      </c>
      <c r="L643" s="386" t="e">
        <v>#N/A</v>
      </c>
      <c r="M643" s="385" t="e">
        <v>#N/A</v>
      </c>
      <c r="N643" s="386" t="e">
        <v>#N/A</v>
      </c>
      <c r="O643" s="386">
        <v>0.25885778999999998</v>
      </c>
      <c r="P643" s="386" t="e">
        <v>#N/A</v>
      </c>
      <c r="Q643" s="386" t="e">
        <v>#N/A</v>
      </c>
      <c r="R643" s="386" t="e">
        <v>#N/A</v>
      </c>
      <c r="S643" s="386" t="e">
        <v>#N/A</v>
      </c>
      <c r="T643" s="386" t="e">
        <v>#N/A</v>
      </c>
      <c r="U643" s="386" t="e">
        <v>#N/A</v>
      </c>
      <c r="V643" s="387" t="e">
        <v>#N/A</v>
      </c>
      <c r="W643" s="388"/>
      <c r="X643" s="1594" t="s">
        <v>477</v>
      </c>
      <c r="Y643" s="1595"/>
      <c r="Z643" s="389"/>
      <c r="AA643" s="386" t="e">
        <f t="shared" si="90"/>
        <v>#N/A</v>
      </c>
      <c r="AB643" s="386" t="e">
        <f t="shared" si="91"/>
        <v>#N/A</v>
      </c>
      <c r="AC643" s="386">
        <f t="shared" si="92"/>
        <v>8.5114188360281258</v>
      </c>
      <c r="AD643" s="386" t="e">
        <f t="shared" si="93"/>
        <v>#N/A</v>
      </c>
      <c r="AE643" s="386" t="e">
        <f t="shared" si="94"/>
        <v>#N/A</v>
      </c>
      <c r="AF643" s="386" t="e">
        <f t="shared" si="95"/>
        <v>#N/A</v>
      </c>
      <c r="AG643" s="386" t="e">
        <f t="shared" si="96"/>
        <v>#N/A</v>
      </c>
      <c r="AH643" s="386" t="e">
        <f t="shared" si="97"/>
        <v>#N/A</v>
      </c>
      <c r="AI643" s="386" t="e">
        <f t="shared" si="98"/>
        <v>#N/A</v>
      </c>
      <c r="AJ643" s="386" t="e">
        <f t="shared" si="99"/>
        <v>#N/A</v>
      </c>
      <c r="AK643" s="391" t="e">
        <f t="shared" si="100"/>
        <v>#N/A</v>
      </c>
      <c r="AL643" s="386" t="e">
        <f t="shared" si="101"/>
        <v>#N/A</v>
      </c>
      <c r="AM643" s="386">
        <f t="shared" si="102"/>
        <v>8.5114188360281258</v>
      </c>
      <c r="AN643" s="386" t="e">
        <f t="shared" si="103"/>
        <v>#N/A</v>
      </c>
      <c r="AO643" s="386" t="e">
        <f t="shared" si="104"/>
        <v>#N/A</v>
      </c>
      <c r="AP643" s="386" t="e">
        <f t="shared" si="105"/>
        <v>#N/A</v>
      </c>
      <c r="AQ643" s="386" t="e">
        <f t="shared" si="106"/>
        <v>#N/A</v>
      </c>
      <c r="AR643" s="386" t="e">
        <f t="shared" si="107"/>
        <v>#N/A</v>
      </c>
      <c r="AS643" s="386" t="e">
        <f t="shared" si="108"/>
        <v>#N/A</v>
      </c>
      <c r="AT643" s="387" t="e">
        <f t="shared" si="109"/>
        <v>#N/A</v>
      </c>
      <c r="BU643" s="356"/>
      <c r="BV643" s="356"/>
      <c r="BW643" s="356"/>
      <c r="BX643" s="356"/>
      <c r="BY643" s="356"/>
      <c r="BZ643" s="356"/>
      <c r="CA643" s="356"/>
      <c r="CB643" s="356"/>
      <c r="CC643" s="356"/>
      <c r="CD643" s="356"/>
      <c r="CE643" s="356"/>
      <c r="CF643" s="356"/>
      <c r="CG643" s="356"/>
    </row>
    <row r="644" spans="2:85">
      <c r="B644" s="84" t="s">
        <v>478</v>
      </c>
      <c r="C644" s="385">
        <v>2.4500000000000002</v>
      </c>
      <c r="D644" s="386">
        <v>2.98</v>
      </c>
      <c r="E644" s="386">
        <v>0.17167944999999998</v>
      </c>
      <c r="F644" s="386" t="e">
        <v>#DIV/0!</v>
      </c>
      <c r="G644" s="386">
        <v>2.96</v>
      </c>
      <c r="H644" s="386">
        <v>2.99</v>
      </c>
      <c r="I644" s="386" t="e">
        <v>#DIV/0!</v>
      </c>
      <c r="J644" s="386">
        <v>2.35</v>
      </c>
      <c r="K644" s="386">
        <v>2.38</v>
      </c>
      <c r="L644" s="386" t="e">
        <v>#DIV/0!</v>
      </c>
      <c r="M644" s="385">
        <v>2.74</v>
      </c>
      <c r="N644" s="386">
        <v>3.06</v>
      </c>
      <c r="O644" s="386">
        <v>0.17167944999999998</v>
      </c>
      <c r="P644" s="386" t="e">
        <v>#DIV/0!</v>
      </c>
      <c r="Q644" s="386" t="e">
        <v>#DIV/0!</v>
      </c>
      <c r="R644" s="386" t="e">
        <v>#DIV/0!</v>
      </c>
      <c r="S644" s="386" t="e">
        <v>#DIV/0!</v>
      </c>
      <c r="T644" s="386" t="e">
        <v>#DIV/0!</v>
      </c>
      <c r="U644" s="386">
        <v>1.67</v>
      </c>
      <c r="V644" s="387" t="e">
        <v>#DIV/0!</v>
      </c>
      <c r="W644" s="388"/>
      <c r="X644" s="1594" t="s">
        <v>478</v>
      </c>
      <c r="Y644" s="1595"/>
      <c r="Z644" s="389" t="s">
        <v>442</v>
      </c>
      <c r="AA644" s="386">
        <f t="shared" si="90"/>
        <v>2.4500000000000002</v>
      </c>
      <c r="AB644" s="386">
        <f t="shared" si="91"/>
        <v>2.5819927959154403</v>
      </c>
      <c r="AC644" s="386">
        <f t="shared" si="92"/>
        <v>5.6449361809391521</v>
      </c>
      <c r="AD644" s="386" t="e">
        <f t="shared" si="93"/>
        <v>#DIV/0!</v>
      </c>
      <c r="AE644" s="386">
        <f t="shared" si="94"/>
        <v>2.6046438819647073</v>
      </c>
      <c r="AF644" s="386">
        <f t="shared" si="95"/>
        <v>2.8060110815558348</v>
      </c>
      <c r="AG644" s="386" t="e">
        <f t="shared" si="96"/>
        <v>#DIV/0!</v>
      </c>
      <c r="AH644" s="386">
        <f t="shared" si="97"/>
        <v>3.1036465214832258</v>
      </c>
      <c r="AI644" s="386">
        <f t="shared" si="98"/>
        <v>2.38</v>
      </c>
      <c r="AJ644" s="386" t="e">
        <f t="shared" si="99"/>
        <v>#DIV/0!</v>
      </c>
      <c r="AK644" s="391">
        <f t="shared" si="100"/>
        <v>2.74</v>
      </c>
      <c r="AL644" s="386">
        <f t="shared" si="101"/>
        <v>2.6513080387588075</v>
      </c>
      <c r="AM644" s="386">
        <f t="shared" si="102"/>
        <v>5.6449361809391521</v>
      </c>
      <c r="AN644" s="386" t="e">
        <f t="shared" si="103"/>
        <v>#DIV/0!</v>
      </c>
      <c r="AO644" s="386" t="e">
        <f t="shared" si="104"/>
        <v>#DIV/0!</v>
      </c>
      <c r="AP644" s="386" t="e">
        <f t="shared" si="105"/>
        <v>#DIV/0!</v>
      </c>
      <c r="AQ644" s="386" t="e">
        <f t="shared" si="106"/>
        <v>#DIV/0!</v>
      </c>
      <c r="AR644" s="386" t="e">
        <f t="shared" si="107"/>
        <v>#DIV/0!</v>
      </c>
      <c r="AS644" s="386">
        <f t="shared" si="108"/>
        <v>1.67</v>
      </c>
      <c r="AT644" s="387" t="e">
        <f t="shared" si="109"/>
        <v>#DIV/0!</v>
      </c>
      <c r="BU644" s="356"/>
      <c r="BV644" s="356"/>
      <c r="BW644" s="356"/>
      <c r="BX644" s="356"/>
      <c r="BY644" s="356"/>
      <c r="BZ644" s="356"/>
      <c r="CA644" s="356"/>
      <c r="CB644" s="356"/>
      <c r="CC644" s="356"/>
      <c r="CD644" s="356"/>
      <c r="CE644" s="356"/>
      <c r="CF644" s="356"/>
      <c r="CG644" s="356"/>
    </row>
    <row r="645" spans="2:85">
      <c r="B645" s="84" t="s">
        <v>479</v>
      </c>
      <c r="C645" s="385">
        <v>2.08</v>
      </c>
      <c r="D645" s="386">
        <v>2.62</v>
      </c>
      <c r="E645" s="386">
        <v>0.12450478999999999</v>
      </c>
      <c r="F645" s="386" t="e">
        <v>#DIV/0!</v>
      </c>
      <c r="G645" s="386">
        <v>2.6</v>
      </c>
      <c r="H645" s="386">
        <v>2.5</v>
      </c>
      <c r="I645" s="386">
        <v>1.99</v>
      </c>
      <c r="J645" s="386">
        <v>3.22</v>
      </c>
      <c r="K645" s="386">
        <v>1.8</v>
      </c>
      <c r="L645" s="386">
        <v>2.54</v>
      </c>
      <c r="M645" s="385" t="e">
        <v>#N/A</v>
      </c>
      <c r="N645" s="386" t="e">
        <v>#N/A</v>
      </c>
      <c r="O645" s="386">
        <v>0.12450478999999999</v>
      </c>
      <c r="P645" s="386" t="e">
        <v>#N/A</v>
      </c>
      <c r="Q645" s="386" t="e">
        <v>#N/A</v>
      </c>
      <c r="R645" s="386" t="e">
        <v>#N/A</v>
      </c>
      <c r="S645" s="386" t="e">
        <v>#N/A</v>
      </c>
      <c r="T645" s="386" t="e">
        <v>#N/A</v>
      </c>
      <c r="U645" s="386" t="e">
        <v>#N/A</v>
      </c>
      <c r="V645" s="387" t="e">
        <v>#N/A</v>
      </c>
      <c r="W645" s="388"/>
      <c r="X645" s="1594" t="s">
        <v>479</v>
      </c>
      <c r="Y645" s="1595"/>
      <c r="Z645" s="389" t="s">
        <v>447</v>
      </c>
      <c r="AA645" s="386">
        <f t="shared" si="90"/>
        <v>2.08</v>
      </c>
      <c r="AB645" s="386">
        <f t="shared" si="91"/>
        <v>2.2700742031202865</v>
      </c>
      <c r="AC645" s="386">
        <f t="shared" si="92"/>
        <v>4.093801522379243</v>
      </c>
      <c r="AD645" s="386" t="e">
        <f t="shared" si="93"/>
        <v>#DIV/0!</v>
      </c>
      <c r="AE645" s="386">
        <f t="shared" si="94"/>
        <v>2.2878628692933241</v>
      </c>
      <c r="AF645" s="386">
        <f t="shared" si="95"/>
        <v>2.346163111668758</v>
      </c>
      <c r="AG645" s="386">
        <f t="shared" si="96"/>
        <v>2.7121872362274178</v>
      </c>
      <c r="AH645" s="386">
        <f t="shared" si="97"/>
        <v>4.2526560847557393</v>
      </c>
      <c r="AI645" s="386">
        <f t="shared" si="98"/>
        <v>1.8</v>
      </c>
      <c r="AJ645" s="386">
        <f t="shared" si="99"/>
        <v>3.8138589507494647</v>
      </c>
      <c r="AK645" s="391" t="e">
        <f t="shared" si="100"/>
        <v>#N/A</v>
      </c>
      <c r="AL645" s="386" t="e">
        <f t="shared" si="101"/>
        <v>#N/A</v>
      </c>
      <c r="AM645" s="386">
        <f t="shared" si="102"/>
        <v>4.093801522379243</v>
      </c>
      <c r="AN645" s="386" t="e">
        <f t="shared" si="103"/>
        <v>#N/A</v>
      </c>
      <c r="AO645" s="386" t="e">
        <f t="shared" si="104"/>
        <v>#N/A</v>
      </c>
      <c r="AP645" s="386" t="e">
        <f t="shared" si="105"/>
        <v>#N/A</v>
      </c>
      <c r="AQ645" s="386" t="e">
        <f t="shared" si="106"/>
        <v>#N/A</v>
      </c>
      <c r="AR645" s="386" t="e">
        <f t="shared" si="107"/>
        <v>#N/A</v>
      </c>
      <c r="AS645" s="386" t="e">
        <f t="shared" si="108"/>
        <v>#N/A</v>
      </c>
      <c r="AT645" s="387" t="e">
        <f t="shared" si="109"/>
        <v>#N/A</v>
      </c>
      <c r="BU645" s="356"/>
      <c r="BV645" s="356"/>
      <c r="BW645" s="356"/>
      <c r="BX645" s="356"/>
      <c r="BY645" s="356"/>
      <c r="BZ645" s="356"/>
      <c r="CA645" s="356"/>
      <c r="CB645" s="356"/>
      <c r="CC645" s="356"/>
      <c r="CD645" s="356"/>
      <c r="CE645" s="356"/>
      <c r="CF645" s="356"/>
      <c r="CG645" s="356"/>
    </row>
    <row r="646" spans="2:85">
      <c r="B646" s="84" t="s">
        <v>480</v>
      </c>
      <c r="C646" s="385">
        <v>2.38</v>
      </c>
      <c r="D646" s="386">
        <v>2.7</v>
      </c>
      <c r="E646" s="386">
        <v>0.1046834</v>
      </c>
      <c r="F646" s="386" t="e">
        <v>#DIV/0!</v>
      </c>
      <c r="G646" s="386" t="e">
        <v>#DIV/0!</v>
      </c>
      <c r="H646" s="386" t="e">
        <v>#DIV/0!</v>
      </c>
      <c r="I646" s="386">
        <v>2.02</v>
      </c>
      <c r="J646" s="386">
        <v>2.23</v>
      </c>
      <c r="K646" s="386" t="e">
        <v>#DIV/0!</v>
      </c>
      <c r="L646" s="386" t="e">
        <v>#DIV/0!</v>
      </c>
      <c r="M646" s="385" t="e">
        <v>#N/A</v>
      </c>
      <c r="N646" s="386" t="e">
        <v>#N/A</v>
      </c>
      <c r="O646" s="386">
        <v>0.1046834</v>
      </c>
      <c r="P646" s="386" t="e">
        <v>#N/A</v>
      </c>
      <c r="Q646" s="386" t="e">
        <v>#N/A</v>
      </c>
      <c r="R646" s="386" t="e">
        <v>#N/A</v>
      </c>
      <c r="S646" s="386" t="e">
        <v>#N/A</v>
      </c>
      <c r="T646" s="386" t="e">
        <v>#N/A</v>
      </c>
      <c r="U646" s="386" t="e">
        <v>#N/A</v>
      </c>
      <c r="V646" s="387" t="e">
        <v>#N/A</v>
      </c>
      <c r="W646" s="388"/>
      <c r="X646" s="1594" t="s">
        <v>480</v>
      </c>
      <c r="Y646" s="1595"/>
      <c r="Z646" s="389">
        <v>2</v>
      </c>
      <c r="AA646" s="386">
        <f t="shared" si="90"/>
        <v>2.38</v>
      </c>
      <c r="AB646" s="386">
        <f t="shared" si="91"/>
        <v>2.3393894459636537</v>
      </c>
      <c r="AC646" s="386">
        <f t="shared" si="92"/>
        <v>3.4420608418988157</v>
      </c>
      <c r="AD646" s="386" t="e">
        <f t="shared" si="93"/>
        <v>#DIV/0!</v>
      </c>
      <c r="AE646" s="386" t="e">
        <f t="shared" si="94"/>
        <v>#DIV/0!</v>
      </c>
      <c r="AF646" s="386" t="e">
        <f t="shared" si="95"/>
        <v>#DIV/0!</v>
      </c>
      <c r="AG646" s="386">
        <f t="shared" si="96"/>
        <v>2.7530744809946652</v>
      </c>
      <c r="AH646" s="386">
        <f t="shared" si="97"/>
        <v>2.9451624437904651</v>
      </c>
      <c r="AI646" s="386" t="e">
        <f t="shared" si="98"/>
        <v>#DIV/0!</v>
      </c>
      <c r="AJ646" s="386" t="e">
        <f t="shared" si="99"/>
        <v>#DIV/0!</v>
      </c>
      <c r="AK646" s="391" t="e">
        <f t="shared" si="100"/>
        <v>#N/A</v>
      </c>
      <c r="AL646" s="386" t="e">
        <f t="shared" si="101"/>
        <v>#N/A</v>
      </c>
      <c r="AM646" s="386">
        <f t="shared" si="102"/>
        <v>3.4420608418988157</v>
      </c>
      <c r="AN646" s="386" t="e">
        <f t="shared" si="103"/>
        <v>#N/A</v>
      </c>
      <c r="AO646" s="386" t="e">
        <f t="shared" si="104"/>
        <v>#N/A</v>
      </c>
      <c r="AP646" s="386" t="e">
        <f t="shared" si="105"/>
        <v>#N/A</v>
      </c>
      <c r="AQ646" s="386" t="e">
        <f t="shared" si="106"/>
        <v>#N/A</v>
      </c>
      <c r="AR646" s="386" t="e">
        <f t="shared" si="107"/>
        <v>#N/A</v>
      </c>
      <c r="AS646" s="386" t="e">
        <f t="shared" si="108"/>
        <v>#N/A</v>
      </c>
      <c r="AT646" s="387" t="e">
        <f t="shared" si="109"/>
        <v>#N/A</v>
      </c>
      <c r="BU646" s="356"/>
      <c r="BV646" s="356"/>
      <c r="BW646" s="356"/>
      <c r="BX646" s="356"/>
      <c r="BY646" s="356"/>
      <c r="BZ646" s="356"/>
      <c r="CA646" s="356"/>
      <c r="CB646" s="356"/>
      <c r="CC646" s="356"/>
      <c r="CD646" s="356"/>
      <c r="CE646" s="356"/>
      <c r="CF646" s="356"/>
      <c r="CG646" s="356"/>
    </row>
    <row r="647" spans="2:85">
      <c r="B647" s="84" t="s">
        <v>481</v>
      </c>
      <c r="C647" s="385">
        <v>2.12</v>
      </c>
      <c r="D647" s="386">
        <v>2.62</v>
      </c>
      <c r="E647" s="386">
        <v>0.10324878999999999</v>
      </c>
      <c r="F647" s="386" t="e">
        <v>#DIV/0!</v>
      </c>
      <c r="G647" s="386">
        <v>2.69</v>
      </c>
      <c r="H647" s="386" t="e">
        <v>#DIV/0!</v>
      </c>
      <c r="I647" s="386">
        <v>1.94</v>
      </c>
      <c r="J647" s="386">
        <v>3.11</v>
      </c>
      <c r="K647" s="386">
        <v>1.99</v>
      </c>
      <c r="L647" s="386">
        <v>2.41</v>
      </c>
      <c r="M647" s="385">
        <v>2.25</v>
      </c>
      <c r="N647" s="386">
        <v>2.59</v>
      </c>
      <c r="O647" s="386">
        <v>0.10324878999999999</v>
      </c>
      <c r="P647" s="386" t="e">
        <v>#DIV/0!</v>
      </c>
      <c r="Q647" s="386" t="e">
        <v>#DIV/0!</v>
      </c>
      <c r="R647" s="386" t="e">
        <v>#DIV/0!</v>
      </c>
      <c r="S647" s="386" t="e">
        <v>#DIV/0!</v>
      </c>
      <c r="T647" s="386">
        <v>1.65</v>
      </c>
      <c r="U647" s="386">
        <v>1.79</v>
      </c>
      <c r="V647" s="387" t="e">
        <v>#DIV/0!</v>
      </c>
      <c r="W647" s="388"/>
      <c r="X647" s="1594" t="s">
        <v>481</v>
      </c>
      <c r="Y647" s="1595"/>
      <c r="Z647" s="389">
        <v>2</v>
      </c>
      <c r="AA647" s="386">
        <f t="shared" si="90"/>
        <v>2.12</v>
      </c>
      <c r="AB647" s="386">
        <f t="shared" si="91"/>
        <v>2.2700742031202865</v>
      </c>
      <c r="AC647" s="386">
        <f t="shared" si="92"/>
        <v>3.3948898968932419</v>
      </c>
      <c r="AD647" s="386" t="e">
        <f t="shared" si="93"/>
        <v>#DIV/0!</v>
      </c>
      <c r="AE647" s="386">
        <f t="shared" si="94"/>
        <v>2.3670581224611698</v>
      </c>
      <c r="AF647" s="386" t="e">
        <f t="shared" si="95"/>
        <v>#DIV/0!</v>
      </c>
      <c r="AG647" s="386">
        <f t="shared" si="96"/>
        <v>2.6440418282820053</v>
      </c>
      <c r="AH647" s="386">
        <f t="shared" si="97"/>
        <v>4.1073790135373756</v>
      </c>
      <c r="AI647" s="386">
        <f t="shared" si="98"/>
        <v>1.99</v>
      </c>
      <c r="AJ647" s="386">
        <f t="shared" si="99"/>
        <v>3.6186614453961456</v>
      </c>
      <c r="AK647" s="391">
        <f t="shared" si="100"/>
        <v>2.25</v>
      </c>
      <c r="AL647" s="386">
        <f t="shared" si="101"/>
        <v>2.2440809870540233</v>
      </c>
      <c r="AM647" s="386">
        <f t="shared" si="102"/>
        <v>3.3948898968932419</v>
      </c>
      <c r="AN647" s="386" t="e">
        <f t="shared" si="103"/>
        <v>#DIV/0!</v>
      </c>
      <c r="AO647" s="386" t="e">
        <f t="shared" si="104"/>
        <v>#DIV/0!</v>
      </c>
      <c r="AP647" s="386" t="e">
        <f t="shared" si="105"/>
        <v>#DIV/0!</v>
      </c>
      <c r="AQ647" s="386" t="e">
        <f t="shared" si="106"/>
        <v>#DIV/0!</v>
      </c>
      <c r="AR647" s="386">
        <f t="shared" si="107"/>
        <v>2.1791560682754563</v>
      </c>
      <c r="AS647" s="386">
        <f t="shared" si="108"/>
        <v>1.79</v>
      </c>
      <c r="AT647" s="387" t="e">
        <f t="shared" si="109"/>
        <v>#DIV/0!</v>
      </c>
      <c r="BU647" s="356"/>
      <c r="BV647" s="356"/>
      <c r="BW647" s="356"/>
      <c r="BX647" s="356"/>
      <c r="BY647" s="356"/>
      <c r="BZ647" s="356"/>
      <c r="CA647" s="356"/>
      <c r="CB647" s="356"/>
      <c r="CC647" s="356"/>
      <c r="CD647" s="356"/>
      <c r="CE647" s="356"/>
      <c r="CF647" s="356"/>
      <c r="CG647" s="356"/>
    </row>
    <row r="648" spans="2:85">
      <c r="B648" s="84" t="s">
        <v>482</v>
      </c>
      <c r="C648" s="385">
        <v>2.16</v>
      </c>
      <c r="D648" s="386">
        <v>2.64</v>
      </c>
      <c r="E648" s="386">
        <v>0.11863625000000001</v>
      </c>
      <c r="F648" s="386" t="e">
        <v>#DIV/0!</v>
      </c>
      <c r="G648" s="386">
        <v>2.61</v>
      </c>
      <c r="H648" s="386">
        <v>2.36</v>
      </c>
      <c r="I648" s="386">
        <v>1.91</v>
      </c>
      <c r="J648" s="386">
        <v>3.01</v>
      </c>
      <c r="K648" s="386">
        <v>2.17</v>
      </c>
      <c r="L648" s="386">
        <v>2.57</v>
      </c>
      <c r="M648" s="385" t="e">
        <v>#DIV/0!</v>
      </c>
      <c r="N648" s="386" t="e">
        <v>#DIV/0!</v>
      </c>
      <c r="O648" s="386">
        <v>0.11863625000000001</v>
      </c>
      <c r="P648" s="386" t="e">
        <v>#DIV/0!</v>
      </c>
      <c r="Q648" s="386" t="e">
        <v>#DIV/0!</v>
      </c>
      <c r="R648" s="386">
        <v>3.55</v>
      </c>
      <c r="S648" s="386" t="e">
        <v>#DIV/0!</v>
      </c>
      <c r="T648" s="386" t="e">
        <v>#DIV/0!</v>
      </c>
      <c r="U648" s="386" t="e">
        <v>#DIV/0!</v>
      </c>
      <c r="V648" s="387" t="e">
        <v>#DIV/0!</v>
      </c>
      <c r="W648" s="388"/>
      <c r="X648" s="1594" t="s">
        <v>482</v>
      </c>
      <c r="Y648" s="1595"/>
      <c r="Z648" s="389">
        <v>3</v>
      </c>
      <c r="AA648" s="386">
        <f t="shared" si="90"/>
        <v>2.16</v>
      </c>
      <c r="AB648" s="386">
        <f t="shared" si="91"/>
        <v>2.2874030138311281</v>
      </c>
      <c r="AC648" s="386">
        <f t="shared" si="92"/>
        <v>3.9008399665536126</v>
      </c>
      <c r="AD648" s="386" t="e">
        <f t="shared" si="93"/>
        <v>#DIV/0!</v>
      </c>
      <c r="AE648" s="386">
        <f t="shared" si="94"/>
        <v>2.2966623418675289</v>
      </c>
      <c r="AF648" s="386">
        <f t="shared" si="95"/>
        <v>2.2147779774153071</v>
      </c>
      <c r="AG648" s="386">
        <f t="shared" si="96"/>
        <v>2.6031545835147578</v>
      </c>
      <c r="AH648" s="386">
        <f t="shared" si="97"/>
        <v>3.9753089487934079</v>
      </c>
      <c r="AI648" s="386">
        <f t="shared" si="98"/>
        <v>2.17</v>
      </c>
      <c r="AJ648" s="386">
        <f t="shared" si="99"/>
        <v>3.8589045289079227</v>
      </c>
      <c r="AK648" s="391" t="e">
        <f t="shared" si="100"/>
        <v>#DIV/0!</v>
      </c>
      <c r="AL648" s="386" t="e">
        <f t="shared" si="101"/>
        <v>#DIV/0!</v>
      </c>
      <c r="AM648" s="386">
        <f t="shared" si="102"/>
        <v>3.9008399665536126</v>
      </c>
      <c r="AN648" s="386" t="e">
        <f t="shared" si="103"/>
        <v>#DIV/0!</v>
      </c>
      <c r="AO648" s="386" t="e">
        <f t="shared" si="104"/>
        <v>#DIV/0!</v>
      </c>
      <c r="AP648" s="386">
        <f t="shared" si="105"/>
        <v>3.3315516185696361</v>
      </c>
      <c r="AQ648" s="386" t="e">
        <f t="shared" si="106"/>
        <v>#DIV/0!</v>
      </c>
      <c r="AR648" s="386" t="e">
        <f t="shared" si="107"/>
        <v>#DIV/0!</v>
      </c>
      <c r="AS648" s="386" t="e">
        <f t="shared" si="108"/>
        <v>#DIV/0!</v>
      </c>
      <c r="AT648" s="387" t="e">
        <f t="shared" si="109"/>
        <v>#DIV/0!</v>
      </c>
      <c r="BU648" s="356"/>
      <c r="BV648" s="356"/>
      <c r="BW648" s="356"/>
      <c r="BX648" s="356"/>
      <c r="BY648" s="356"/>
      <c r="BZ648" s="356"/>
      <c r="CA648" s="356"/>
      <c r="CB648" s="356"/>
      <c r="CC648" s="356"/>
      <c r="CD648" s="356"/>
      <c r="CE648" s="356"/>
      <c r="CF648" s="356"/>
      <c r="CG648" s="356"/>
    </row>
    <row r="649" spans="2:85">
      <c r="B649" s="84" t="s">
        <v>483</v>
      </c>
      <c r="C649" s="385">
        <v>2.54</v>
      </c>
      <c r="D649" s="386">
        <v>2.77</v>
      </c>
      <c r="E649" s="386">
        <v>0.10645180999999999</v>
      </c>
      <c r="F649" s="386" t="e">
        <v>#DIV/0!</v>
      </c>
      <c r="G649" s="386">
        <v>3.02</v>
      </c>
      <c r="H649" s="386">
        <v>3.19</v>
      </c>
      <c r="I649" s="386">
        <v>2.4300000000000002</v>
      </c>
      <c r="J649" s="386">
        <v>2.82</v>
      </c>
      <c r="K649" s="386">
        <v>1.8</v>
      </c>
      <c r="L649" s="386">
        <v>2.52</v>
      </c>
      <c r="M649" s="385" t="e">
        <v>#DIV/0!</v>
      </c>
      <c r="N649" s="386" t="e">
        <v>#DIV/0!</v>
      </c>
      <c r="O649" s="386">
        <v>0.10645180999999999</v>
      </c>
      <c r="P649" s="386" t="e">
        <v>#DIV/0!</v>
      </c>
      <c r="Q649" s="386" t="e">
        <v>#DIV/0!</v>
      </c>
      <c r="R649" s="386" t="e">
        <v>#DIV/0!</v>
      </c>
      <c r="S649" s="386" t="e">
        <v>#DIV/0!</v>
      </c>
      <c r="T649" s="386" t="e">
        <v>#DIV/0!</v>
      </c>
      <c r="U649" s="386">
        <v>1.7</v>
      </c>
      <c r="V649" s="387" t="e">
        <v>#DIV/0!</v>
      </c>
      <c r="W649" s="388"/>
      <c r="X649" s="1594" t="s">
        <v>483</v>
      </c>
      <c r="Y649" s="1595"/>
      <c r="Z649" s="389">
        <v>4</v>
      </c>
      <c r="AA649" s="386">
        <f t="shared" si="90"/>
        <v>2.54</v>
      </c>
      <c r="AB649" s="386">
        <f t="shared" si="91"/>
        <v>2.4000402834516006</v>
      </c>
      <c r="AC649" s="386">
        <f t="shared" si="92"/>
        <v>3.5002073561830507</v>
      </c>
      <c r="AD649" s="386" t="e">
        <f t="shared" si="93"/>
        <v>#DIV/0!</v>
      </c>
      <c r="AE649" s="386">
        <f t="shared" si="94"/>
        <v>2.6574407174099375</v>
      </c>
      <c r="AF649" s="386">
        <f t="shared" si="95"/>
        <v>2.993704130489335</v>
      </c>
      <c r="AG649" s="386">
        <f t="shared" si="96"/>
        <v>3.3118668261470479</v>
      </c>
      <c r="AH649" s="386">
        <f t="shared" si="97"/>
        <v>3.7243758257798705</v>
      </c>
      <c r="AI649" s="386">
        <f t="shared" si="98"/>
        <v>1.8</v>
      </c>
      <c r="AJ649" s="386">
        <f t="shared" si="99"/>
        <v>3.7838285653104924</v>
      </c>
      <c r="AK649" s="391" t="e">
        <f t="shared" si="100"/>
        <v>#DIV/0!</v>
      </c>
      <c r="AL649" s="386" t="e">
        <f t="shared" si="101"/>
        <v>#DIV/0!</v>
      </c>
      <c r="AM649" s="386">
        <f t="shared" si="102"/>
        <v>3.5002073561830507</v>
      </c>
      <c r="AN649" s="386" t="e">
        <f t="shared" si="103"/>
        <v>#DIV/0!</v>
      </c>
      <c r="AO649" s="386" t="e">
        <f t="shared" si="104"/>
        <v>#DIV/0!</v>
      </c>
      <c r="AP649" s="386" t="e">
        <f t="shared" si="105"/>
        <v>#DIV/0!</v>
      </c>
      <c r="AQ649" s="386" t="e">
        <f t="shared" si="106"/>
        <v>#DIV/0!</v>
      </c>
      <c r="AR649" s="386" t="e">
        <f t="shared" si="107"/>
        <v>#DIV/0!</v>
      </c>
      <c r="AS649" s="386">
        <f t="shared" si="108"/>
        <v>1.7</v>
      </c>
      <c r="AT649" s="387" t="e">
        <f t="shared" si="109"/>
        <v>#DIV/0!</v>
      </c>
      <c r="BU649" s="356"/>
      <c r="BV649" s="356"/>
      <c r="BW649" s="356"/>
      <c r="BX649" s="356"/>
      <c r="BY649" s="356"/>
      <c r="BZ649" s="356"/>
      <c r="CA649" s="356"/>
      <c r="CB649" s="356"/>
      <c r="CC649" s="356"/>
      <c r="CD649" s="356"/>
      <c r="CE649" s="356"/>
      <c r="CF649" s="356"/>
      <c r="CG649" s="356"/>
    </row>
    <row r="650" spans="2:85">
      <c r="B650" s="84" t="s">
        <v>484</v>
      </c>
      <c r="C650" s="385">
        <v>2.4900000000000002</v>
      </c>
      <c r="D650" s="386">
        <v>3.01</v>
      </c>
      <c r="E650" s="386">
        <v>0.17473459999999999</v>
      </c>
      <c r="F650" s="386" t="e">
        <v>#DIV/0!</v>
      </c>
      <c r="G650" s="386">
        <v>2.56</v>
      </c>
      <c r="H650" s="386">
        <v>2.79</v>
      </c>
      <c r="I650" s="386" t="e">
        <v>#DIV/0!</v>
      </c>
      <c r="J650" s="386">
        <v>2.71</v>
      </c>
      <c r="K650" s="386">
        <v>2.85</v>
      </c>
      <c r="L650" s="386" t="e">
        <v>#DIV/0!</v>
      </c>
      <c r="M650" s="385" t="e">
        <v>#DIV/0!</v>
      </c>
      <c r="N650" s="386" t="e">
        <v>#DIV/0!</v>
      </c>
      <c r="O650" s="386">
        <v>0.17473459999999999</v>
      </c>
      <c r="P650" s="386" t="e">
        <v>#DIV/0!</v>
      </c>
      <c r="Q650" s="386" t="e">
        <v>#DIV/0!</v>
      </c>
      <c r="R650" s="386" t="e">
        <v>#DIV/0!</v>
      </c>
      <c r="S650" s="386" t="e">
        <v>#DIV/0!</v>
      </c>
      <c r="T650" s="386" t="e">
        <v>#DIV/0!</v>
      </c>
      <c r="U650" s="386">
        <v>2.85</v>
      </c>
      <c r="V650" s="387" t="e">
        <v>#DIV/0!</v>
      </c>
      <c r="W650" s="388"/>
      <c r="X650" s="1594" t="s">
        <v>484</v>
      </c>
      <c r="Y650" s="1595"/>
      <c r="Z650" s="389" t="s">
        <v>442</v>
      </c>
      <c r="AA650" s="386">
        <f t="shared" si="90"/>
        <v>2.4900000000000002</v>
      </c>
      <c r="AB650" s="386">
        <f t="shared" si="91"/>
        <v>2.6079860119817027</v>
      </c>
      <c r="AC650" s="386">
        <f t="shared" si="92"/>
        <v>5.7453915748328086</v>
      </c>
      <c r="AD650" s="386" t="e">
        <f t="shared" si="93"/>
        <v>#DIV/0!</v>
      </c>
      <c r="AE650" s="386">
        <f t="shared" si="94"/>
        <v>2.2526649789965036</v>
      </c>
      <c r="AF650" s="386">
        <f t="shared" si="95"/>
        <v>2.6183180326223336</v>
      </c>
      <c r="AG650" s="386" t="e">
        <f t="shared" si="96"/>
        <v>#DIV/0!</v>
      </c>
      <c r="AH650" s="386">
        <f t="shared" si="97"/>
        <v>3.5790987545615072</v>
      </c>
      <c r="AI650" s="386">
        <f t="shared" si="98"/>
        <v>2.85</v>
      </c>
      <c r="AJ650" s="386" t="e">
        <f t="shared" si="99"/>
        <v>#DIV/0!</v>
      </c>
      <c r="AK650" s="391" t="e">
        <f t="shared" si="100"/>
        <v>#DIV/0!</v>
      </c>
      <c r="AL650" s="386" t="e">
        <f t="shared" si="101"/>
        <v>#DIV/0!</v>
      </c>
      <c r="AM650" s="386">
        <f t="shared" si="102"/>
        <v>5.7453915748328086</v>
      </c>
      <c r="AN650" s="386" t="e">
        <f t="shared" si="103"/>
        <v>#DIV/0!</v>
      </c>
      <c r="AO650" s="386" t="e">
        <f t="shared" si="104"/>
        <v>#DIV/0!</v>
      </c>
      <c r="AP650" s="386" t="e">
        <f t="shared" si="105"/>
        <v>#DIV/0!</v>
      </c>
      <c r="AQ650" s="386" t="e">
        <f t="shared" si="106"/>
        <v>#DIV/0!</v>
      </c>
      <c r="AR650" s="386" t="e">
        <f t="shared" si="107"/>
        <v>#DIV/0!</v>
      </c>
      <c r="AS650" s="386">
        <f t="shared" si="108"/>
        <v>2.85</v>
      </c>
      <c r="AT650" s="387" t="e">
        <f t="shared" si="109"/>
        <v>#DIV/0!</v>
      </c>
      <c r="BU650" s="356"/>
      <c r="BV650" s="356"/>
      <c r="BW650" s="356"/>
      <c r="BX650" s="356"/>
      <c r="BY650" s="356"/>
      <c r="BZ650" s="356"/>
      <c r="CA650" s="356"/>
      <c r="CB650" s="356"/>
      <c r="CC650" s="356"/>
      <c r="CD650" s="356"/>
      <c r="CE650" s="356"/>
      <c r="CF650" s="356"/>
      <c r="CG650" s="356"/>
    </row>
    <row r="651" spans="2:85">
      <c r="B651" s="84" t="s">
        <v>485</v>
      </c>
      <c r="C651" s="385" t="e">
        <v>#N/A</v>
      </c>
      <c r="D651" s="386" t="e">
        <v>#N/A</v>
      </c>
      <c r="E651" s="386" t="e">
        <v>#N/A</v>
      </c>
      <c r="F651" s="386" t="e">
        <v>#N/A</v>
      </c>
      <c r="G651" s="386" t="e">
        <v>#N/A</v>
      </c>
      <c r="H651" s="386" t="e">
        <v>#N/A</v>
      </c>
      <c r="I651" s="386" t="e">
        <v>#N/A</v>
      </c>
      <c r="J651" s="386" t="e">
        <v>#N/A</v>
      </c>
      <c r="K651" s="386" t="e">
        <v>#N/A</v>
      </c>
      <c r="L651" s="386" t="e">
        <v>#N/A</v>
      </c>
      <c r="M651" s="385" t="e">
        <v>#N/A</v>
      </c>
      <c r="N651" s="386" t="e">
        <v>#N/A</v>
      </c>
      <c r="O651" s="386" t="e">
        <v>#N/A</v>
      </c>
      <c r="P651" s="386" t="e">
        <v>#N/A</v>
      </c>
      <c r="Q651" s="386" t="e">
        <v>#N/A</v>
      </c>
      <c r="R651" s="386" t="e">
        <v>#N/A</v>
      </c>
      <c r="S651" s="386" t="e">
        <v>#N/A</v>
      </c>
      <c r="T651" s="386" t="e">
        <v>#N/A</v>
      </c>
      <c r="U651" s="386" t="e">
        <v>#N/A</v>
      </c>
      <c r="V651" s="387" t="e">
        <v>#N/A</v>
      </c>
      <c r="W651" s="388"/>
      <c r="X651" s="1594" t="s">
        <v>485</v>
      </c>
      <c r="Y651" s="1595"/>
      <c r="Z651" s="389"/>
      <c r="AA651" s="386" t="e">
        <f t="shared" si="90"/>
        <v>#N/A</v>
      </c>
      <c r="AB651" s="386" t="e">
        <f t="shared" si="91"/>
        <v>#N/A</v>
      </c>
      <c r="AC651" s="386" t="e">
        <f t="shared" si="92"/>
        <v>#N/A</v>
      </c>
      <c r="AD651" s="386" t="e">
        <f t="shared" si="93"/>
        <v>#N/A</v>
      </c>
      <c r="AE651" s="386" t="e">
        <f t="shared" si="94"/>
        <v>#N/A</v>
      </c>
      <c r="AF651" s="386" t="e">
        <f t="shared" si="95"/>
        <v>#N/A</v>
      </c>
      <c r="AG651" s="386" t="e">
        <f t="shared" si="96"/>
        <v>#N/A</v>
      </c>
      <c r="AH651" s="386" t="e">
        <f t="shared" si="97"/>
        <v>#N/A</v>
      </c>
      <c r="AI651" s="386" t="e">
        <f t="shared" si="98"/>
        <v>#N/A</v>
      </c>
      <c r="AJ651" s="386" t="e">
        <f t="shared" si="99"/>
        <v>#N/A</v>
      </c>
      <c r="AK651" s="391" t="e">
        <f t="shared" si="100"/>
        <v>#N/A</v>
      </c>
      <c r="AL651" s="386" t="e">
        <f t="shared" si="101"/>
        <v>#N/A</v>
      </c>
      <c r="AM651" s="386" t="e">
        <f t="shared" si="102"/>
        <v>#N/A</v>
      </c>
      <c r="AN651" s="386" t="e">
        <f t="shared" si="103"/>
        <v>#N/A</v>
      </c>
      <c r="AO651" s="386" t="e">
        <f t="shared" si="104"/>
        <v>#N/A</v>
      </c>
      <c r="AP651" s="386" t="e">
        <f t="shared" si="105"/>
        <v>#N/A</v>
      </c>
      <c r="AQ651" s="386" t="e">
        <f t="shared" si="106"/>
        <v>#N/A</v>
      </c>
      <c r="AR651" s="386" t="e">
        <f t="shared" si="107"/>
        <v>#N/A</v>
      </c>
      <c r="AS651" s="386" t="e">
        <f t="shared" si="108"/>
        <v>#N/A</v>
      </c>
      <c r="AT651" s="387" t="e">
        <f t="shared" si="109"/>
        <v>#N/A</v>
      </c>
      <c r="BU651" s="356"/>
      <c r="BV651" s="356"/>
      <c r="BW651" s="356"/>
      <c r="BX651" s="356"/>
      <c r="BY651" s="356"/>
      <c r="BZ651" s="356"/>
      <c r="CA651" s="356"/>
      <c r="CB651" s="356"/>
      <c r="CC651" s="356"/>
      <c r="CD651" s="356"/>
      <c r="CE651" s="356"/>
      <c r="CF651" s="356"/>
      <c r="CG651" s="356"/>
    </row>
    <row r="652" spans="2:85">
      <c r="B652" s="84" t="s">
        <v>486</v>
      </c>
      <c r="C652" s="385">
        <v>2.13</v>
      </c>
      <c r="D652" s="386">
        <v>2.62</v>
      </c>
      <c r="E652" s="386">
        <v>0.11100061</v>
      </c>
      <c r="F652" s="386" t="e">
        <v>#DIV/0!</v>
      </c>
      <c r="G652" s="386">
        <v>2.91</v>
      </c>
      <c r="H652" s="386" t="e">
        <v>#DIV/0!</v>
      </c>
      <c r="I652" s="386">
        <v>2.36</v>
      </c>
      <c r="J652" s="386">
        <v>2.4900000000000002</v>
      </c>
      <c r="K652" s="386">
        <v>1.71</v>
      </c>
      <c r="L652" s="386" t="e">
        <v>#DIV/0!</v>
      </c>
      <c r="M652" s="385">
        <v>2.33</v>
      </c>
      <c r="N652" s="386">
        <v>2.4300000000000002</v>
      </c>
      <c r="O652" s="386">
        <v>0.11100061</v>
      </c>
      <c r="P652" s="386" t="e">
        <v>#DIV/0!</v>
      </c>
      <c r="Q652" s="386">
        <v>2.68</v>
      </c>
      <c r="R652" s="386" t="e">
        <v>#DIV/0!</v>
      </c>
      <c r="S652" s="386">
        <v>2.4900000000000002</v>
      </c>
      <c r="T652" s="386" t="e">
        <v>#DIV/0!</v>
      </c>
      <c r="U652" s="386">
        <v>0.98</v>
      </c>
      <c r="V652" s="387" t="e">
        <v>#DIV/0!</v>
      </c>
      <c r="W652" s="388"/>
      <c r="X652" s="1594" t="s">
        <v>486</v>
      </c>
      <c r="Y652" s="1595"/>
      <c r="Z652" s="389" t="s">
        <v>447</v>
      </c>
      <c r="AA652" s="386">
        <f t="shared" si="90"/>
        <v>2.13</v>
      </c>
      <c r="AB652" s="386">
        <f t="shared" si="91"/>
        <v>2.2700742031202865</v>
      </c>
      <c r="AC652" s="386">
        <f t="shared" si="92"/>
        <v>3.6497749701278535</v>
      </c>
      <c r="AD652" s="386" t="e">
        <f t="shared" si="93"/>
        <v>#DIV/0!</v>
      </c>
      <c r="AE652" s="386">
        <f t="shared" si="94"/>
        <v>2.560646519093682</v>
      </c>
      <c r="AF652" s="386" t="e">
        <f t="shared" si="95"/>
        <v>#DIV/0!</v>
      </c>
      <c r="AG652" s="386">
        <f t="shared" si="96"/>
        <v>3.21646325502347</v>
      </c>
      <c r="AH652" s="386">
        <f t="shared" si="97"/>
        <v>3.2885446121247801</v>
      </c>
      <c r="AI652" s="386">
        <f t="shared" si="98"/>
        <v>1.71</v>
      </c>
      <c r="AJ652" s="386" t="e">
        <f t="shared" si="99"/>
        <v>#DIV/0!</v>
      </c>
      <c r="AK652" s="391">
        <f t="shared" si="100"/>
        <v>2.33</v>
      </c>
      <c r="AL652" s="386">
        <f t="shared" si="101"/>
        <v>2.1054505013672884</v>
      </c>
      <c r="AM652" s="386">
        <f t="shared" si="102"/>
        <v>3.6497749701278535</v>
      </c>
      <c r="AN652" s="386" t="e">
        <f t="shared" si="103"/>
        <v>#DIV/0!</v>
      </c>
      <c r="AO652" s="386">
        <f t="shared" si="104"/>
        <v>2.3582586498869649</v>
      </c>
      <c r="AP652" s="386" t="e">
        <f t="shared" si="105"/>
        <v>#DIV/0!</v>
      </c>
      <c r="AQ652" s="386">
        <f t="shared" si="106"/>
        <v>3.3936413156815433</v>
      </c>
      <c r="AR652" s="386" t="e">
        <f t="shared" si="107"/>
        <v>#DIV/0!</v>
      </c>
      <c r="AS652" s="386">
        <f t="shared" si="108"/>
        <v>0.98</v>
      </c>
      <c r="AT652" s="387" t="e">
        <f t="shared" si="109"/>
        <v>#DIV/0!</v>
      </c>
      <c r="BU652" s="356"/>
      <c r="BV652" s="356"/>
      <c r="BW652" s="356"/>
      <c r="BX652" s="356"/>
      <c r="BY652" s="356"/>
      <c r="BZ652" s="356"/>
      <c r="CA652" s="356"/>
      <c r="CB652" s="356"/>
      <c r="CC652" s="356"/>
      <c r="CD652" s="356"/>
      <c r="CE652" s="356"/>
      <c r="CF652" s="356"/>
      <c r="CG652" s="356"/>
    </row>
    <row r="653" spans="2:85">
      <c r="B653" s="84" t="s">
        <v>487</v>
      </c>
      <c r="C653" s="385">
        <v>3.04</v>
      </c>
      <c r="D653" s="386">
        <v>3.22</v>
      </c>
      <c r="E653" s="386">
        <v>8.6668467000000013E-2</v>
      </c>
      <c r="F653" s="386" t="e">
        <v>#DIV/0!</v>
      </c>
      <c r="G653" s="386">
        <v>3.09</v>
      </c>
      <c r="H653" s="386">
        <v>3.13</v>
      </c>
      <c r="I653" s="386">
        <v>3.3</v>
      </c>
      <c r="J653" s="386">
        <v>2.25</v>
      </c>
      <c r="K653" s="386">
        <v>2.2799999999999998</v>
      </c>
      <c r="L653" s="386">
        <v>2.59</v>
      </c>
      <c r="M653" s="385" t="e">
        <v>#DIV/0!</v>
      </c>
      <c r="N653" s="386" t="e">
        <v>#DIV/0!</v>
      </c>
      <c r="O653" s="386">
        <v>8.6668467000000013E-2</v>
      </c>
      <c r="P653" s="386" t="e">
        <v>#DIV/0!</v>
      </c>
      <c r="Q653" s="386" t="e">
        <v>#DIV/0!</v>
      </c>
      <c r="R653" s="386" t="e">
        <v>#DIV/0!</v>
      </c>
      <c r="S653" s="386">
        <v>3.15</v>
      </c>
      <c r="T653" s="386" t="e">
        <v>#DIV/0!</v>
      </c>
      <c r="U653" s="386" t="e">
        <v>#DIV/0!</v>
      </c>
      <c r="V653" s="387" t="e">
        <v>#DIV/0!</v>
      </c>
      <c r="W653" s="388"/>
      <c r="X653" s="1594" t="s">
        <v>487</v>
      </c>
      <c r="Y653" s="1595"/>
      <c r="Z653" s="389">
        <v>5</v>
      </c>
      <c r="AA653" s="386">
        <f t="shared" si="90"/>
        <v>3.04</v>
      </c>
      <c r="AB653" s="386">
        <f t="shared" si="91"/>
        <v>2.7899385244455428</v>
      </c>
      <c r="AC653" s="386">
        <f t="shared" si="92"/>
        <v>2.849717686740207</v>
      </c>
      <c r="AD653" s="386" t="e">
        <f t="shared" si="93"/>
        <v>#DIV/0!</v>
      </c>
      <c r="AE653" s="386">
        <f t="shared" si="94"/>
        <v>2.719037025429373</v>
      </c>
      <c r="AF653" s="386">
        <f t="shared" si="95"/>
        <v>2.9373962158092848</v>
      </c>
      <c r="AG653" s="386">
        <f t="shared" si="96"/>
        <v>4.4975969243972251</v>
      </c>
      <c r="AH653" s="386">
        <f t="shared" si="97"/>
        <v>2.9715764567392586</v>
      </c>
      <c r="AI653" s="386">
        <f t="shared" si="98"/>
        <v>2.2799999999999998</v>
      </c>
      <c r="AJ653" s="386">
        <f t="shared" si="99"/>
        <v>3.888934914346895</v>
      </c>
      <c r="AK653" s="391" t="e">
        <f t="shared" si="100"/>
        <v>#DIV/0!</v>
      </c>
      <c r="AL653" s="386" t="e">
        <f t="shared" si="101"/>
        <v>#DIV/0!</v>
      </c>
      <c r="AM653" s="386">
        <f t="shared" si="102"/>
        <v>2.849717686740207</v>
      </c>
      <c r="AN653" s="386" t="e">
        <f t="shared" si="103"/>
        <v>#DIV/0!</v>
      </c>
      <c r="AO653" s="386" t="e">
        <f t="shared" si="104"/>
        <v>#DIV/0!</v>
      </c>
      <c r="AP653" s="386" t="e">
        <f t="shared" si="105"/>
        <v>#DIV/0!</v>
      </c>
      <c r="AQ653" s="386">
        <f t="shared" si="106"/>
        <v>4.2931607005609882</v>
      </c>
      <c r="AR653" s="386" t="e">
        <f t="shared" si="107"/>
        <v>#DIV/0!</v>
      </c>
      <c r="AS653" s="386" t="e">
        <f t="shared" si="108"/>
        <v>#DIV/0!</v>
      </c>
      <c r="AT653" s="387" t="e">
        <f t="shared" si="109"/>
        <v>#DIV/0!</v>
      </c>
      <c r="BU653" s="356"/>
      <c r="BV653" s="356"/>
      <c r="BW653" s="356"/>
      <c r="BX653" s="356"/>
      <c r="BY653" s="356"/>
      <c r="BZ653" s="356"/>
      <c r="CA653" s="356"/>
      <c r="CB653" s="356"/>
      <c r="CC653" s="356"/>
      <c r="CD653" s="356"/>
      <c r="CE653" s="356"/>
      <c r="CF653" s="356"/>
      <c r="CG653" s="356"/>
    </row>
    <row r="654" spans="2:85">
      <c r="B654" s="84" t="s">
        <v>488</v>
      </c>
      <c r="C654" s="385">
        <v>2.3199999999999998</v>
      </c>
      <c r="D654" s="386">
        <v>2.78</v>
      </c>
      <c r="E654" s="386">
        <v>9.3380285000000007E-2</v>
      </c>
      <c r="F654" s="386" t="e">
        <v>#DIV/0!</v>
      </c>
      <c r="G654" s="386" t="e">
        <v>#DIV/0!</v>
      </c>
      <c r="H654" s="386" t="e">
        <v>#DIV/0!</v>
      </c>
      <c r="I654" s="386">
        <v>1.89</v>
      </c>
      <c r="J654" s="386">
        <v>2.21</v>
      </c>
      <c r="K654" s="386">
        <v>2.2400000000000002</v>
      </c>
      <c r="L654" s="386" t="e">
        <v>#DIV/0!</v>
      </c>
      <c r="M654" s="385" t="e">
        <v>#N/A</v>
      </c>
      <c r="N654" s="386" t="e">
        <v>#N/A</v>
      </c>
      <c r="O654" s="386">
        <v>9.3380285000000007E-2</v>
      </c>
      <c r="P654" s="386" t="e">
        <v>#N/A</v>
      </c>
      <c r="Q654" s="386" t="e">
        <v>#N/A</v>
      </c>
      <c r="R654" s="386" t="e">
        <v>#N/A</v>
      </c>
      <c r="S654" s="386" t="e">
        <v>#N/A</v>
      </c>
      <c r="T654" s="386" t="e">
        <v>#N/A</v>
      </c>
      <c r="U654" s="386" t="e">
        <v>#N/A</v>
      </c>
      <c r="V654" s="387" t="e">
        <v>#N/A</v>
      </c>
      <c r="W654" s="388"/>
      <c r="X654" s="1594" t="s">
        <v>488</v>
      </c>
      <c r="Y654" s="1595"/>
      <c r="Z654" s="389" t="s">
        <v>447</v>
      </c>
      <c r="AA654" s="386">
        <f t="shared" si="90"/>
        <v>2.3199999999999998</v>
      </c>
      <c r="AB654" s="386">
        <f t="shared" si="91"/>
        <v>2.4087046888070209</v>
      </c>
      <c r="AC654" s="386">
        <f t="shared" si="92"/>
        <v>3.0704067923266858</v>
      </c>
      <c r="AD654" s="386" t="e">
        <f t="shared" si="93"/>
        <v>#DIV/0!</v>
      </c>
      <c r="AE654" s="386" t="e">
        <f t="shared" si="94"/>
        <v>#DIV/0!</v>
      </c>
      <c r="AF654" s="386" t="e">
        <f t="shared" si="95"/>
        <v>#DIV/0!</v>
      </c>
      <c r="AG654" s="386">
        <f t="shared" si="96"/>
        <v>2.5758964203365924</v>
      </c>
      <c r="AH654" s="386">
        <f t="shared" si="97"/>
        <v>2.918748430841672</v>
      </c>
      <c r="AI654" s="386">
        <f t="shared" si="98"/>
        <v>2.2400000000000002</v>
      </c>
      <c r="AJ654" s="386" t="e">
        <f t="shared" si="99"/>
        <v>#DIV/0!</v>
      </c>
      <c r="AK654" s="391" t="e">
        <f t="shared" si="100"/>
        <v>#N/A</v>
      </c>
      <c r="AL654" s="386" t="e">
        <f t="shared" si="101"/>
        <v>#N/A</v>
      </c>
      <c r="AM654" s="386">
        <f t="shared" si="102"/>
        <v>3.0704067923266858</v>
      </c>
      <c r="AN654" s="386" t="e">
        <f t="shared" si="103"/>
        <v>#N/A</v>
      </c>
      <c r="AO654" s="386" t="e">
        <f t="shared" si="104"/>
        <v>#N/A</v>
      </c>
      <c r="AP654" s="386" t="e">
        <f t="shared" si="105"/>
        <v>#N/A</v>
      </c>
      <c r="AQ654" s="386" t="e">
        <f t="shared" si="106"/>
        <v>#N/A</v>
      </c>
      <c r="AR654" s="386" t="e">
        <f t="shared" si="107"/>
        <v>#N/A</v>
      </c>
      <c r="AS654" s="386" t="e">
        <f t="shared" si="108"/>
        <v>#N/A</v>
      </c>
      <c r="AT654" s="387" t="e">
        <f t="shared" si="109"/>
        <v>#N/A</v>
      </c>
      <c r="BU654" s="356"/>
      <c r="BV654" s="356"/>
      <c r="BW654" s="356"/>
      <c r="BX654" s="356"/>
      <c r="BY654" s="356"/>
      <c r="BZ654" s="356"/>
      <c r="CA654" s="356"/>
      <c r="CB654" s="356"/>
      <c r="CC654" s="356"/>
      <c r="CD654" s="356"/>
      <c r="CE654" s="356"/>
      <c r="CF654" s="356"/>
      <c r="CG654" s="356"/>
    </row>
    <row r="655" spans="2:85">
      <c r="B655" s="84" t="s">
        <v>489</v>
      </c>
      <c r="C655" s="385">
        <v>2.4300000000000002</v>
      </c>
      <c r="D655" s="386">
        <v>2.79</v>
      </c>
      <c r="E655" s="386">
        <v>0.13665015999999999</v>
      </c>
      <c r="F655" s="386" t="e">
        <v>#DIV/0!</v>
      </c>
      <c r="G655" s="386">
        <v>2.85</v>
      </c>
      <c r="H655" s="386">
        <v>2.72</v>
      </c>
      <c r="I655" s="386">
        <v>2.11</v>
      </c>
      <c r="J655" s="386">
        <v>2.58</v>
      </c>
      <c r="K655" s="386">
        <v>2.0099999999999998</v>
      </c>
      <c r="L655" s="386">
        <v>2.4700000000000002</v>
      </c>
      <c r="M655" s="385" t="e">
        <v>#N/A</v>
      </c>
      <c r="N655" s="386" t="e">
        <v>#N/A</v>
      </c>
      <c r="O655" s="386">
        <v>0.13665015999999999</v>
      </c>
      <c r="P655" s="386" t="e">
        <v>#N/A</v>
      </c>
      <c r="Q655" s="386" t="e">
        <v>#N/A</v>
      </c>
      <c r="R655" s="386" t="e">
        <v>#N/A</v>
      </c>
      <c r="S655" s="386" t="e">
        <v>#N/A</v>
      </c>
      <c r="T655" s="386" t="e">
        <v>#N/A</v>
      </c>
      <c r="U655" s="386" t="e">
        <v>#N/A</v>
      </c>
      <c r="V655" s="387" t="e">
        <v>#N/A</v>
      </c>
      <c r="W655" s="388"/>
      <c r="X655" s="1594" t="s">
        <v>489</v>
      </c>
      <c r="Y655" s="1595"/>
      <c r="Z655" s="389">
        <v>2</v>
      </c>
      <c r="AA655" s="386">
        <f t="shared" si="90"/>
        <v>2.4300000000000002</v>
      </c>
      <c r="AB655" s="386">
        <f t="shared" si="91"/>
        <v>2.4173690941624422</v>
      </c>
      <c r="AC655" s="386">
        <f t="shared" si="92"/>
        <v>4.4931494847818074</v>
      </c>
      <c r="AD655" s="386" t="e">
        <f t="shared" si="93"/>
        <v>#DIV/0!</v>
      </c>
      <c r="AE655" s="386">
        <f t="shared" si="94"/>
        <v>2.5078496836484514</v>
      </c>
      <c r="AF655" s="386">
        <f t="shared" si="95"/>
        <v>2.5526254654956086</v>
      </c>
      <c r="AG655" s="386">
        <f t="shared" si="96"/>
        <v>2.8757362152964077</v>
      </c>
      <c r="AH655" s="386">
        <f t="shared" si="97"/>
        <v>3.4074076703943499</v>
      </c>
      <c r="AI655" s="386">
        <f t="shared" si="98"/>
        <v>2.0099999999999998</v>
      </c>
      <c r="AJ655" s="386">
        <f t="shared" si="99"/>
        <v>3.7087526017130625</v>
      </c>
      <c r="AK655" s="391" t="e">
        <f t="shared" si="100"/>
        <v>#N/A</v>
      </c>
      <c r="AL655" s="386" t="e">
        <f t="shared" si="101"/>
        <v>#N/A</v>
      </c>
      <c r="AM655" s="386">
        <f t="shared" si="102"/>
        <v>4.4931494847818074</v>
      </c>
      <c r="AN655" s="386" t="e">
        <f t="shared" si="103"/>
        <v>#N/A</v>
      </c>
      <c r="AO655" s="386" t="e">
        <f t="shared" si="104"/>
        <v>#N/A</v>
      </c>
      <c r="AP655" s="386" t="e">
        <f t="shared" si="105"/>
        <v>#N/A</v>
      </c>
      <c r="AQ655" s="386" t="e">
        <f t="shared" si="106"/>
        <v>#N/A</v>
      </c>
      <c r="AR655" s="386" t="e">
        <f t="shared" si="107"/>
        <v>#N/A</v>
      </c>
      <c r="AS655" s="386" t="e">
        <f t="shared" si="108"/>
        <v>#N/A</v>
      </c>
      <c r="AT655" s="387" t="e">
        <f t="shared" si="109"/>
        <v>#N/A</v>
      </c>
      <c r="BU655" s="356"/>
      <c r="BV655" s="356"/>
      <c r="BW655" s="356"/>
      <c r="BX655" s="356"/>
      <c r="BY655" s="356"/>
      <c r="BZ655" s="356"/>
      <c r="CA655" s="356"/>
      <c r="CB655" s="356"/>
      <c r="CC655" s="356"/>
      <c r="CD655" s="356"/>
      <c r="CE655" s="356"/>
      <c r="CF655" s="356"/>
      <c r="CG655" s="356"/>
    </row>
    <row r="656" spans="2:85" ht="16" thickBot="1">
      <c r="B656" s="84" t="s">
        <v>490</v>
      </c>
      <c r="C656" s="385">
        <v>2.41</v>
      </c>
      <c r="D656" s="386">
        <v>2.67</v>
      </c>
      <c r="E656" s="386">
        <v>0.10495871</v>
      </c>
      <c r="F656" s="386" t="e">
        <v>#DIV/0!</v>
      </c>
      <c r="G656" s="386">
        <v>2.78</v>
      </c>
      <c r="H656" s="386" t="e">
        <v>#DIV/0!</v>
      </c>
      <c r="I656" s="386" t="e">
        <v>#DIV/0!</v>
      </c>
      <c r="J656" s="386" t="e">
        <v>#DIV/0!</v>
      </c>
      <c r="K656" s="386">
        <v>2.02</v>
      </c>
      <c r="L656" s="386" t="e">
        <v>#DIV/0!</v>
      </c>
      <c r="M656" s="385" t="e">
        <v>#DIV/0!</v>
      </c>
      <c r="N656" s="386" t="e">
        <v>#DIV/0!</v>
      </c>
      <c r="O656" s="386">
        <v>0.10495871</v>
      </c>
      <c r="P656" s="386" t="e">
        <v>#DIV/0!</v>
      </c>
      <c r="Q656" s="386" t="e">
        <v>#DIV/0!</v>
      </c>
      <c r="R656" s="386" t="e">
        <v>#DIV/0!</v>
      </c>
      <c r="S656" s="386" t="e">
        <v>#DIV/0!</v>
      </c>
      <c r="T656" s="386" t="e">
        <v>#DIV/0!</v>
      </c>
      <c r="U656" s="386">
        <v>2.2200000000000002</v>
      </c>
      <c r="V656" s="387" t="e">
        <v>#DIV/0!</v>
      </c>
      <c r="W656" s="388"/>
      <c r="X656" s="1594" t="s">
        <v>490</v>
      </c>
      <c r="Y656" s="1595"/>
      <c r="Z656" s="389">
        <v>4</v>
      </c>
      <c r="AA656" s="386">
        <f t="shared" si="90"/>
        <v>2.41</v>
      </c>
      <c r="AB656" s="386">
        <f t="shared" si="91"/>
        <v>2.3133962298973909</v>
      </c>
      <c r="AC656" s="386">
        <f t="shared" si="92"/>
        <v>3.4511132205030948</v>
      </c>
      <c r="AD656" s="386" t="e">
        <f t="shared" si="93"/>
        <v>#DIV/0!</v>
      </c>
      <c r="AE656" s="386">
        <f t="shared" si="94"/>
        <v>2.4462533756290155</v>
      </c>
      <c r="AF656" s="386" t="e">
        <f t="shared" si="95"/>
        <v>#DIV/0!</v>
      </c>
      <c r="AG656" s="386" t="e">
        <f t="shared" si="96"/>
        <v>#DIV/0!</v>
      </c>
      <c r="AH656" s="386" t="e">
        <f t="shared" si="97"/>
        <v>#DIV/0!</v>
      </c>
      <c r="AI656" s="386">
        <f t="shared" si="98"/>
        <v>2.02</v>
      </c>
      <c r="AJ656" s="386" t="e">
        <f t="shared" si="99"/>
        <v>#DIV/0!</v>
      </c>
      <c r="AK656" s="391" t="e">
        <f t="shared" si="100"/>
        <v>#DIV/0!</v>
      </c>
      <c r="AL656" s="386" t="e">
        <f t="shared" si="101"/>
        <v>#DIV/0!</v>
      </c>
      <c r="AM656" s="386">
        <f t="shared" si="102"/>
        <v>3.4511132205030948</v>
      </c>
      <c r="AN656" s="386" t="e">
        <f t="shared" si="103"/>
        <v>#DIV/0!</v>
      </c>
      <c r="AO656" s="386" t="e">
        <f t="shared" si="104"/>
        <v>#DIV/0!</v>
      </c>
      <c r="AP656" s="386" t="e">
        <f t="shared" si="105"/>
        <v>#DIV/0!</v>
      </c>
      <c r="AQ656" s="386" t="e">
        <f t="shared" si="106"/>
        <v>#DIV/0!</v>
      </c>
      <c r="AR656" s="386" t="e">
        <f t="shared" si="107"/>
        <v>#DIV/0!</v>
      </c>
      <c r="AS656" s="386">
        <f t="shared" si="108"/>
        <v>2.2200000000000002</v>
      </c>
      <c r="AT656" s="387" t="e">
        <f t="shared" si="109"/>
        <v>#DIV/0!</v>
      </c>
      <c r="BU656" s="356"/>
      <c r="BV656" s="356"/>
      <c r="BW656" s="356"/>
      <c r="BX656" s="356"/>
      <c r="BY656" s="356"/>
      <c r="BZ656" s="356"/>
      <c r="CA656" s="356"/>
      <c r="CB656" s="356"/>
      <c r="CC656" s="356"/>
      <c r="CD656" s="356"/>
      <c r="CE656" s="356"/>
      <c r="CF656" s="356"/>
      <c r="CG656" s="356"/>
    </row>
    <row r="657" spans="1:85" ht="16" thickBot="1">
      <c r="B657" s="393" t="s">
        <v>491</v>
      </c>
      <c r="C657" s="394">
        <v>2.46</v>
      </c>
      <c r="D657" s="395">
        <v>2.87</v>
      </c>
      <c r="E657" s="395">
        <v>0.12519681999999999</v>
      </c>
      <c r="F657" s="395">
        <v>14.31</v>
      </c>
      <c r="G657" s="395">
        <v>2.97</v>
      </c>
      <c r="H657" s="395">
        <v>3.65</v>
      </c>
      <c r="I657" s="395">
        <v>2.21</v>
      </c>
      <c r="J657" s="395">
        <v>2.98</v>
      </c>
      <c r="K657" s="395">
        <v>2.19</v>
      </c>
      <c r="L657" s="395">
        <v>2.65</v>
      </c>
      <c r="M657" s="394">
        <v>2.5499999999999998</v>
      </c>
      <c r="N657" s="395">
        <v>2.86</v>
      </c>
      <c r="O657" s="395">
        <v>0.12519681999999999</v>
      </c>
      <c r="P657" s="395">
        <v>6.99</v>
      </c>
      <c r="Q657" s="395">
        <v>2.8</v>
      </c>
      <c r="R657" s="395">
        <v>3.94</v>
      </c>
      <c r="S657" s="395">
        <v>2.4</v>
      </c>
      <c r="T657" s="395">
        <v>2.0499999999999998</v>
      </c>
      <c r="U657" s="395">
        <v>1.83</v>
      </c>
      <c r="V657" s="396">
        <v>2.16</v>
      </c>
      <c r="W657" s="388"/>
      <c r="X657" s="1603" t="s">
        <v>491</v>
      </c>
      <c r="Y657" s="1604"/>
      <c r="Z657" s="397"/>
      <c r="AA657" s="395">
        <f t="shared" si="90"/>
        <v>2.46</v>
      </c>
      <c r="AB657" s="395">
        <f t="shared" si="91"/>
        <v>2.4866843370058098</v>
      </c>
      <c r="AC657" s="395">
        <f t="shared" si="92"/>
        <v>4.1165559358241559</v>
      </c>
      <c r="AD657" s="395">
        <f t="shared" si="93"/>
        <v>14.31</v>
      </c>
      <c r="AE657" s="395">
        <f t="shared" si="94"/>
        <v>2.6134433545389122</v>
      </c>
      <c r="AF657" s="395">
        <f t="shared" si="95"/>
        <v>3.4253981430363862</v>
      </c>
      <c r="AG657" s="395">
        <f t="shared" si="96"/>
        <v>3.0120270311872326</v>
      </c>
      <c r="AH657" s="395">
        <f t="shared" si="97"/>
        <v>3.9356879293702183</v>
      </c>
      <c r="AI657" s="395">
        <f t="shared" si="98"/>
        <v>2.19</v>
      </c>
      <c r="AJ657" s="395">
        <f t="shared" si="99"/>
        <v>3.9790260706638114</v>
      </c>
      <c r="AK657" s="398">
        <f t="shared" si="100"/>
        <v>2.5499999999999998</v>
      </c>
      <c r="AL657" s="395">
        <f t="shared" si="101"/>
        <v>2.4780199316503886</v>
      </c>
      <c r="AM657" s="395">
        <f t="shared" si="102"/>
        <v>4.1165559358241559</v>
      </c>
      <c r="AN657" s="395">
        <f t="shared" si="103"/>
        <v>6.99</v>
      </c>
      <c r="AO657" s="399">
        <f t="shared" si="104"/>
        <v>2.4638523207774257</v>
      </c>
      <c r="AP657" s="395">
        <f t="shared" si="105"/>
        <v>3.6975530639899623</v>
      </c>
      <c r="AQ657" s="395">
        <f t="shared" si="106"/>
        <v>3.2709795813798004</v>
      </c>
      <c r="AR657" s="395">
        <f t="shared" si="107"/>
        <v>2.7074363272513242</v>
      </c>
      <c r="AS657" s="395">
        <f t="shared" si="108"/>
        <v>1.83</v>
      </c>
      <c r="AT657" s="396">
        <f t="shared" si="109"/>
        <v>3.2432816274089937</v>
      </c>
      <c r="BU657" s="356"/>
      <c r="BV657" s="356"/>
      <c r="BW657" s="356"/>
      <c r="BX657" s="356"/>
      <c r="BY657" s="356"/>
      <c r="BZ657" s="356"/>
      <c r="CA657" s="356"/>
      <c r="CB657" s="356"/>
      <c r="CC657" s="356"/>
      <c r="CD657" s="356"/>
      <c r="CE657" s="356"/>
      <c r="CF657" s="356"/>
      <c r="CG657" s="356"/>
    </row>
    <row r="658" spans="1:85">
      <c r="B658" s="400" t="s">
        <v>10</v>
      </c>
      <c r="C658" s="401" t="s">
        <v>492</v>
      </c>
      <c r="D658" s="402"/>
      <c r="E658" s="402"/>
      <c r="F658" s="402"/>
      <c r="G658" s="402"/>
      <c r="H658" s="402"/>
      <c r="I658" s="388"/>
      <c r="J658" s="388"/>
      <c r="K658" s="388"/>
      <c r="L658" s="388"/>
      <c r="M658" s="388"/>
      <c r="N658" s="388"/>
      <c r="O658" s="388"/>
      <c r="P658" s="388"/>
      <c r="Q658" s="388"/>
      <c r="R658" s="388"/>
      <c r="S658" s="388"/>
      <c r="T658" s="388"/>
      <c r="U658" s="388"/>
      <c r="V658" s="388"/>
      <c r="W658" s="388"/>
      <c r="X658" s="403"/>
      <c r="Y658" s="403"/>
      <c r="Z658" s="388"/>
      <c r="AA658" s="388"/>
      <c r="AB658" s="388"/>
      <c r="AC658" s="388"/>
      <c r="AD658" s="388"/>
      <c r="AE658" s="388"/>
      <c r="AF658" s="388"/>
      <c r="AG658" s="388"/>
      <c r="AH658" s="388"/>
      <c r="AI658" s="388"/>
      <c r="AJ658" s="388"/>
      <c r="AK658" s="388"/>
      <c r="AL658" s="388"/>
      <c r="AM658" s="388"/>
      <c r="AN658" s="404"/>
      <c r="AO658" s="388"/>
      <c r="AP658" s="388"/>
      <c r="AQ658" s="388"/>
      <c r="AR658" s="388"/>
      <c r="AS658" s="388"/>
      <c r="AT658" s="388"/>
      <c r="BU658" s="356"/>
      <c r="BV658" s="356"/>
      <c r="BW658" s="356"/>
      <c r="BX658" s="356"/>
      <c r="BY658" s="356"/>
      <c r="BZ658" s="356"/>
      <c r="CA658" s="356"/>
      <c r="CB658" s="356"/>
      <c r="CC658" s="356"/>
      <c r="CD658" s="356"/>
      <c r="CE658" s="356"/>
      <c r="CF658" s="356"/>
      <c r="CG658" s="356"/>
    </row>
    <row r="659" spans="1:85" s="132" customFormat="1">
      <c r="A659" s="63"/>
      <c r="B659" s="400" t="s">
        <v>493</v>
      </c>
      <c r="C659" s="367" t="s">
        <v>494</v>
      </c>
      <c r="D659" s="400"/>
      <c r="E659" s="402"/>
      <c r="F659" s="405"/>
      <c r="H659" s="402"/>
      <c r="I659" s="388"/>
      <c r="J659" s="388"/>
      <c r="K659" s="388"/>
      <c r="L659" s="388"/>
      <c r="M659" s="388"/>
      <c r="N659" s="388"/>
      <c r="O659" s="388"/>
      <c r="P659" s="388"/>
      <c r="Q659" s="388"/>
      <c r="R659" s="388"/>
      <c r="S659" s="388"/>
      <c r="T659" s="388"/>
      <c r="U659" s="388"/>
      <c r="V659" s="388"/>
      <c r="W659" s="388"/>
      <c r="X659" s="403"/>
      <c r="Y659" s="403"/>
      <c r="Z659" s="388"/>
      <c r="AA659" s="388"/>
      <c r="AB659" s="388"/>
      <c r="AC659" s="388"/>
      <c r="AD659" s="388"/>
      <c r="AE659" s="388"/>
      <c r="AF659" s="388"/>
      <c r="AG659" s="388"/>
      <c r="AH659" s="388"/>
      <c r="AI659" s="388"/>
      <c r="AJ659" s="388"/>
      <c r="AK659" s="388"/>
      <c r="AL659" s="388"/>
      <c r="AM659" s="388"/>
      <c r="AN659" s="404"/>
      <c r="AO659" s="388"/>
      <c r="AP659" s="388"/>
      <c r="AQ659" s="388"/>
      <c r="AR659" s="388"/>
      <c r="AS659" s="388"/>
      <c r="AT659" s="388"/>
      <c r="BU659" s="356"/>
      <c r="BV659" s="356"/>
      <c r="BW659" s="356"/>
      <c r="BX659" s="356"/>
      <c r="BY659" s="356"/>
      <c r="BZ659" s="356"/>
      <c r="CA659" s="356"/>
      <c r="CB659" s="356"/>
      <c r="CC659" s="356"/>
      <c r="CD659" s="356"/>
      <c r="CE659" s="356"/>
      <c r="CF659" s="356"/>
      <c r="CG659" s="356"/>
    </row>
    <row r="660" spans="1:85" s="132" customFormat="1">
      <c r="A660" s="63"/>
      <c r="B660" s="400"/>
      <c r="C660" s="401"/>
      <c r="D660" s="402"/>
      <c r="E660" s="402"/>
      <c r="F660" s="406"/>
      <c r="H660" s="402"/>
      <c r="I660" s="388"/>
      <c r="J660" s="388"/>
      <c r="K660" s="388"/>
      <c r="L660" s="388"/>
      <c r="M660" s="388"/>
      <c r="N660" s="388"/>
      <c r="O660" s="388"/>
      <c r="P660" s="388"/>
      <c r="Q660" s="388"/>
      <c r="R660" s="388"/>
      <c r="S660" s="388"/>
      <c r="T660" s="388"/>
      <c r="U660" s="388"/>
      <c r="V660" s="388"/>
      <c r="W660" s="388"/>
      <c r="X660" s="403"/>
      <c r="Y660" s="403"/>
      <c r="Z660" s="388"/>
      <c r="AA660" s="388"/>
      <c r="AB660" s="388"/>
      <c r="AC660" s="388"/>
      <c r="AD660" s="388"/>
      <c r="AE660" s="388"/>
      <c r="AF660" s="388"/>
      <c r="AG660" s="388"/>
      <c r="AH660" s="388"/>
      <c r="AI660" s="388"/>
      <c r="AJ660" s="388"/>
      <c r="AK660" s="388"/>
      <c r="AL660" s="388"/>
      <c r="AM660" s="388"/>
      <c r="AN660" s="404"/>
      <c r="AO660" s="388"/>
      <c r="AP660" s="388"/>
      <c r="AQ660" s="388"/>
      <c r="AR660" s="388"/>
      <c r="AS660" s="388"/>
      <c r="AT660" s="388"/>
      <c r="BU660" s="356"/>
      <c r="BV660" s="356"/>
      <c r="BW660" s="356"/>
      <c r="BX660" s="356"/>
      <c r="BY660" s="356"/>
      <c r="BZ660" s="356"/>
      <c r="CA660" s="356"/>
      <c r="CB660" s="356"/>
      <c r="CC660" s="356"/>
      <c r="CD660" s="356"/>
      <c r="CE660" s="356"/>
      <c r="CF660" s="356"/>
      <c r="CG660" s="356"/>
    </row>
    <row r="661" spans="1:85" ht="16" thickBot="1">
      <c r="B661" s="407" t="s">
        <v>495</v>
      </c>
      <c r="C661" s="388"/>
      <c r="D661" s="388"/>
      <c r="E661" s="388"/>
      <c r="F661" s="388"/>
      <c r="G661" s="388"/>
      <c r="H661" s="388"/>
      <c r="I661" s="388"/>
      <c r="J661" s="388"/>
      <c r="K661" s="388"/>
      <c r="L661" s="388"/>
      <c r="M661" s="388"/>
      <c r="N661" s="388"/>
      <c r="O661" s="388"/>
      <c r="P661" s="388"/>
      <c r="Q661" s="388"/>
      <c r="R661" s="388"/>
      <c r="S661" s="388"/>
      <c r="T661" s="388"/>
      <c r="U661" s="388"/>
      <c r="V661" s="388"/>
      <c r="W661" s="388"/>
      <c r="X661" s="388"/>
      <c r="Z661" s="388"/>
      <c r="AA661" s="388"/>
      <c r="AB661" s="388"/>
      <c r="AC661" s="388"/>
      <c r="AD661" s="388"/>
      <c r="AE661" s="388"/>
      <c r="AF661" s="388"/>
      <c r="AG661" s="388"/>
      <c r="AH661" s="388"/>
      <c r="AI661" s="388"/>
      <c r="AJ661" s="388"/>
      <c r="AK661" s="388"/>
      <c r="AL661" s="388"/>
      <c r="AM661" s="404"/>
      <c r="AN661" s="388"/>
      <c r="AO661" s="388"/>
      <c r="AP661" s="388"/>
      <c r="AQ661" s="388"/>
      <c r="AR661" s="388"/>
      <c r="AS661" s="388"/>
      <c r="BT661" s="356"/>
      <c r="BU661" s="356"/>
      <c r="BV661" s="356"/>
      <c r="BW661" s="356"/>
      <c r="BX661" s="356"/>
      <c r="BY661" s="356"/>
      <c r="BZ661" s="356"/>
      <c r="CA661" s="356"/>
      <c r="CB661" s="356"/>
      <c r="CC661" s="356"/>
      <c r="CD661" s="356"/>
      <c r="CE661" s="356"/>
      <c r="CF661" s="356"/>
    </row>
    <row r="662" spans="1:85" ht="16" thickBot="1">
      <c r="B662" s="408"/>
      <c r="C662" s="1605" t="s">
        <v>496</v>
      </c>
      <c r="D662" s="1606"/>
      <c r="E662" s="1606"/>
      <c r="F662" s="1606"/>
      <c r="G662" s="1606"/>
      <c r="H662" s="1606"/>
      <c r="I662" s="1606"/>
      <c r="J662" s="1606"/>
      <c r="K662" s="1606"/>
      <c r="L662" s="1607"/>
      <c r="M662" s="1606" t="s">
        <v>429</v>
      </c>
      <c r="N662" s="1606"/>
      <c r="O662" s="1606"/>
      <c r="P662" s="1606"/>
      <c r="Q662" s="1606"/>
      <c r="R662" s="1606"/>
      <c r="S662" s="1606"/>
      <c r="T662" s="1606"/>
      <c r="U662" s="1606"/>
      <c r="V662" s="1608"/>
      <c r="W662" s="388"/>
      <c r="X662" s="388"/>
      <c r="Z662" s="245"/>
      <c r="AA662" s="1609" t="s">
        <v>428</v>
      </c>
      <c r="AB662" s="1610"/>
      <c r="AC662" s="1610"/>
      <c r="AD662" s="1610"/>
      <c r="AE662" s="1610"/>
      <c r="AF662" s="1610"/>
      <c r="AG662" s="1610"/>
      <c r="AH662" s="1610"/>
      <c r="AI662" s="1610"/>
      <c r="AJ662" s="1611"/>
      <c r="AK662" s="1606" t="s">
        <v>429</v>
      </c>
      <c r="AL662" s="1606"/>
      <c r="AM662" s="1606"/>
      <c r="AN662" s="1606"/>
      <c r="AO662" s="1606"/>
      <c r="AP662" s="1606"/>
      <c r="AQ662" s="1606"/>
      <c r="AR662" s="1606"/>
      <c r="AS662" s="1606"/>
      <c r="AT662" s="1608"/>
      <c r="BT662" s="356"/>
      <c r="BU662" s="356"/>
      <c r="BV662" s="356"/>
      <c r="BW662" s="356"/>
      <c r="BX662" s="356"/>
      <c r="BY662" s="356"/>
      <c r="BZ662" s="356"/>
      <c r="CA662" s="356"/>
      <c r="CB662" s="356"/>
      <c r="CC662" s="356"/>
      <c r="CD662" s="356"/>
      <c r="CE662" s="356"/>
      <c r="CF662" s="356"/>
    </row>
    <row r="663" spans="1:85">
      <c r="B663" s="1612" t="s">
        <v>431</v>
      </c>
      <c r="C663" s="409" t="s">
        <v>4</v>
      </c>
      <c r="D663" s="410" t="s">
        <v>5</v>
      </c>
      <c r="E663" s="410" t="s">
        <v>243</v>
      </c>
      <c r="F663" s="410" t="s">
        <v>414</v>
      </c>
      <c r="G663" s="410" t="s">
        <v>363</v>
      </c>
      <c r="H663" s="410" t="s">
        <v>364</v>
      </c>
      <c r="I663" s="410" t="s">
        <v>365</v>
      </c>
      <c r="J663" s="410" t="s">
        <v>2</v>
      </c>
      <c r="K663" s="410" t="s">
        <v>415</v>
      </c>
      <c r="L663" s="411" t="s">
        <v>218</v>
      </c>
      <c r="M663" s="412" t="s">
        <v>4</v>
      </c>
      <c r="N663" s="410" t="s">
        <v>5</v>
      </c>
      <c r="O663" s="410" t="s">
        <v>243</v>
      </c>
      <c r="P663" s="410" t="s">
        <v>414</v>
      </c>
      <c r="Q663" s="410" t="s">
        <v>363</v>
      </c>
      <c r="R663" s="410" t="s">
        <v>364</v>
      </c>
      <c r="S663" s="410" t="s">
        <v>365</v>
      </c>
      <c r="T663" s="410" t="s">
        <v>2</v>
      </c>
      <c r="U663" s="410" t="s">
        <v>415</v>
      </c>
      <c r="V663" s="413" t="s">
        <v>218</v>
      </c>
      <c r="W663" s="388"/>
      <c r="X663" s="388"/>
      <c r="Z663" s="1614" t="s">
        <v>431</v>
      </c>
      <c r="AA663" s="414" t="s">
        <v>4</v>
      </c>
      <c r="AB663" s="415" t="s">
        <v>5</v>
      </c>
      <c r="AC663" s="415" t="s">
        <v>243</v>
      </c>
      <c r="AD663" s="415" t="s">
        <v>414</v>
      </c>
      <c r="AE663" s="415" t="s">
        <v>363</v>
      </c>
      <c r="AF663" s="415" t="s">
        <v>364</v>
      </c>
      <c r="AG663" s="415" t="s">
        <v>365</v>
      </c>
      <c r="AH663" s="415" t="s">
        <v>2</v>
      </c>
      <c r="AI663" s="415" t="s">
        <v>415</v>
      </c>
      <c r="AJ663" s="416" t="s">
        <v>218</v>
      </c>
      <c r="AK663" s="414" t="s">
        <v>4</v>
      </c>
      <c r="AL663" s="415" t="s">
        <v>5</v>
      </c>
      <c r="AM663" s="415" t="s">
        <v>243</v>
      </c>
      <c r="AN663" s="415" t="s">
        <v>414</v>
      </c>
      <c r="AO663" s="415" t="s">
        <v>363</v>
      </c>
      <c r="AP663" s="415" t="s">
        <v>364</v>
      </c>
      <c r="AQ663" s="415" t="s">
        <v>365</v>
      </c>
      <c r="AR663" s="415" t="s">
        <v>2</v>
      </c>
      <c r="AS663" s="415" t="s">
        <v>415</v>
      </c>
      <c r="AT663" s="417" t="s">
        <v>218</v>
      </c>
      <c r="BT663" s="356"/>
      <c r="BU663" s="356"/>
      <c r="BV663" s="356"/>
      <c r="BW663" s="356"/>
      <c r="BX663" s="356"/>
      <c r="BY663" s="356"/>
      <c r="BZ663" s="356"/>
      <c r="CA663" s="356"/>
      <c r="CB663" s="356"/>
      <c r="CC663" s="356"/>
      <c r="CD663" s="356"/>
      <c r="CE663" s="356"/>
      <c r="CF663" s="356"/>
    </row>
    <row r="664" spans="1:85" ht="16" thickBot="1">
      <c r="B664" s="1613"/>
      <c r="C664" s="418" t="s">
        <v>432</v>
      </c>
      <c r="D664" s="419" t="s">
        <v>432</v>
      </c>
      <c r="E664" s="420" t="s">
        <v>433</v>
      </c>
      <c r="F664" s="420" t="s">
        <v>434</v>
      </c>
      <c r="G664" s="420" t="s">
        <v>432</v>
      </c>
      <c r="H664" s="420" t="s">
        <v>432</v>
      </c>
      <c r="I664" s="420" t="s">
        <v>432</v>
      </c>
      <c r="J664" s="420" t="s">
        <v>432</v>
      </c>
      <c r="K664" s="420" t="s">
        <v>434</v>
      </c>
      <c r="L664" s="421" t="s">
        <v>432</v>
      </c>
      <c r="M664" s="419" t="s">
        <v>432</v>
      </c>
      <c r="N664" s="419" t="s">
        <v>432</v>
      </c>
      <c r="O664" s="420" t="s">
        <v>433</v>
      </c>
      <c r="P664" s="420" t="s">
        <v>434</v>
      </c>
      <c r="Q664" s="420" t="s">
        <v>432</v>
      </c>
      <c r="R664" s="420" t="s">
        <v>432</v>
      </c>
      <c r="S664" s="420" t="s">
        <v>432</v>
      </c>
      <c r="T664" s="420" t="s">
        <v>432</v>
      </c>
      <c r="U664" s="420" t="s">
        <v>434</v>
      </c>
      <c r="V664" s="422" t="s">
        <v>432</v>
      </c>
      <c r="W664" s="388"/>
      <c r="X664" s="388"/>
      <c r="Z664" s="1615"/>
      <c r="AA664" s="423" t="s">
        <v>434</v>
      </c>
      <c r="AB664" s="423" t="s">
        <v>434</v>
      </c>
      <c r="AC664" s="424" t="s">
        <v>434</v>
      </c>
      <c r="AD664" s="424" t="s">
        <v>434</v>
      </c>
      <c r="AE664" s="424" t="s">
        <v>434</v>
      </c>
      <c r="AF664" s="424" t="s">
        <v>434</v>
      </c>
      <c r="AG664" s="424" t="s">
        <v>434</v>
      </c>
      <c r="AH664" s="424" t="s">
        <v>434</v>
      </c>
      <c r="AI664" s="424" t="s">
        <v>434</v>
      </c>
      <c r="AJ664" s="425" t="s">
        <v>434</v>
      </c>
      <c r="AK664" s="423" t="s">
        <v>434</v>
      </c>
      <c r="AL664" s="423" t="s">
        <v>434</v>
      </c>
      <c r="AM664" s="424" t="s">
        <v>434</v>
      </c>
      <c r="AN664" s="424" t="s">
        <v>434</v>
      </c>
      <c r="AO664" s="424" t="s">
        <v>434</v>
      </c>
      <c r="AP664" s="424" t="s">
        <v>434</v>
      </c>
      <c r="AQ664" s="424" t="s">
        <v>434</v>
      </c>
      <c r="AR664" s="424" t="s">
        <v>434</v>
      </c>
      <c r="AS664" s="424" t="s">
        <v>434</v>
      </c>
      <c r="AT664" s="426" t="s">
        <v>434</v>
      </c>
      <c r="BT664" s="356"/>
      <c r="BU664" s="356"/>
      <c r="BV664" s="356"/>
      <c r="BW664" s="356"/>
      <c r="BX664" s="356"/>
      <c r="BY664" s="356"/>
      <c r="BZ664" s="356"/>
      <c r="CA664" s="356"/>
      <c r="CB664" s="356"/>
      <c r="CC664" s="356"/>
      <c r="CD664" s="356"/>
      <c r="CE664" s="356"/>
      <c r="CF664" s="356"/>
    </row>
    <row r="665" spans="1:85">
      <c r="B665" s="368" t="s">
        <v>497</v>
      </c>
      <c r="C665" s="427">
        <v>2.61</v>
      </c>
      <c r="D665" s="428">
        <v>3.11</v>
      </c>
      <c r="E665" s="428" t="e">
        <v>#N/A</v>
      </c>
      <c r="F665" s="428">
        <v>10</v>
      </c>
      <c r="G665" s="428">
        <v>3.16</v>
      </c>
      <c r="H665" s="428">
        <v>3.03</v>
      </c>
      <c r="I665" s="428">
        <v>2.76</v>
      </c>
      <c r="J665" s="428">
        <v>3.05</v>
      </c>
      <c r="K665" s="428">
        <v>2.57</v>
      </c>
      <c r="L665" s="429">
        <v>2.75</v>
      </c>
      <c r="M665" s="428">
        <v>2.5499999999999998</v>
      </c>
      <c r="N665" s="428">
        <v>3.19</v>
      </c>
      <c r="O665" s="428" t="e">
        <v>#N/A</v>
      </c>
      <c r="P665" s="428" t="e">
        <v>#DIV/0!</v>
      </c>
      <c r="Q665" s="428">
        <v>3.02</v>
      </c>
      <c r="R665" s="428" t="e">
        <v>#DIV/0!</v>
      </c>
      <c r="S665" s="428" t="e">
        <v>#DIV/0!</v>
      </c>
      <c r="T665" s="428">
        <v>2.56</v>
      </c>
      <c r="U665" s="428">
        <v>2.13</v>
      </c>
      <c r="V665" s="430" t="e">
        <v>#DIV/0!</v>
      </c>
      <c r="W665" s="388"/>
      <c r="X665" s="388"/>
      <c r="Z665" s="431" t="s">
        <v>442</v>
      </c>
      <c r="AA665" s="388">
        <f t="shared" ref="AA665:AA671" si="110">IF(C665&gt;0,C665*gasoline_gallon2GGE,#DIV/0!)</f>
        <v>2.61</v>
      </c>
      <c r="AB665" s="388">
        <f t="shared" ref="AB665:AB671" si="111">IF(D665&gt;0,D665*diesel_gallon2GGE,#DIV/0!)</f>
        <v>2.6946300655359123</v>
      </c>
      <c r="AC665" s="388" t="e">
        <f t="shared" ref="AC665:AC671" si="112">IF(E665&gt;0,E665*kWh2GGE,#DIV/0!)</f>
        <v>#N/A</v>
      </c>
      <c r="AD665" s="388">
        <f t="shared" ref="AD665:AD671" si="113">IF(F665&gt;0,F665*H2_kg2GGE,#DIV/0!)</f>
        <v>10</v>
      </c>
      <c r="AE665" s="388">
        <f t="shared" ref="AE665:AE671" si="114">IF(G665&gt;0,G665*B20_gallon2GGE,#DIV/0!)</f>
        <v>2.7806333334488089</v>
      </c>
      <c r="AF665" s="388">
        <f t="shared" ref="AF665:AF671" si="115">IF(H665&gt;0,H665*B100_gallon2GGE,#DIV/0!)</f>
        <v>2.8435496913425342</v>
      </c>
      <c r="AG665" s="388">
        <f t="shared" ref="AG665:AG671" si="116">IF(I665&gt;0,I665*E85_gallon2GGE,#DIV/0!)</f>
        <v>3.7616265185867701</v>
      </c>
      <c r="AH665" s="388">
        <f t="shared" ref="AH665:AH671" si="117">IF(J665&gt;0,J665*LPG_gallon2GGE,#DIV/0!)</f>
        <v>4.0281369746909945</v>
      </c>
      <c r="AI665" s="388">
        <f t="shared" ref="AI665:AI671" si="118">IF(K665&gt;0,K665*CNG_GGE2GGE,#DIV/0!)</f>
        <v>2.57</v>
      </c>
      <c r="AJ665" s="432">
        <f t="shared" ref="AJ665:AJ671" si="119">IF(L665&gt;0,L665*LNG_gallon2GGE,#DIV/0!)</f>
        <v>4.1291779978586725</v>
      </c>
      <c r="AK665" s="388">
        <f t="shared" ref="AK665:AK671" si="120">IF(M665&gt;0,M665*gasoline_gallon2GGE,#DIV/0!)</f>
        <v>2.5499999999999998</v>
      </c>
      <c r="AL665" s="388">
        <f t="shared" ref="AL665:AL671" si="121">IF(N665&gt;0,N665*diesel_gallon2GGE,#DIV/0!)</f>
        <v>2.76394530837928</v>
      </c>
      <c r="AM665" s="388" t="e">
        <f t="shared" ref="AM665:AM671" si="122">IF(O665&gt;0,O665*kWh2GGE,#DIV/0!)</f>
        <v>#N/A</v>
      </c>
      <c r="AN665" s="388" t="e">
        <f t="shared" ref="AN665:AN671" si="123">IF(P665&gt;0,P665*H2_kg2GGE,#DIV/0!)</f>
        <v>#DIV/0!</v>
      </c>
      <c r="AO665" s="404">
        <f t="shared" ref="AO665:AO671" si="124">IF(Q665&gt;0,Q665*B20_gallon2GGE,#DIV/0!)</f>
        <v>2.6574407174099375</v>
      </c>
      <c r="AP665" s="388" t="e">
        <f t="shared" ref="AP665:AP671" si="125">IF(R665&gt;0,R665*B100_gallon2GGE,#DIV/0!)</f>
        <v>#DIV/0!</v>
      </c>
      <c r="AQ665" s="388" t="e">
        <f t="shared" ref="AQ665:AQ671" si="126">IF(S665&gt;0,S665*E85_gallon2GGE,#DIV/0!)</f>
        <v>#DIV/0!</v>
      </c>
      <c r="AR665" s="388">
        <f t="shared" ref="AR665:AR671" si="127">IF(T665&gt;0,T665*LPG_gallon2GGE,#DIV/0!)</f>
        <v>3.3809936574455568</v>
      </c>
      <c r="AS665" s="388">
        <f t="shared" ref="AS665:AS671" si="128">IF(U665&gt;0,U665*CNG_GGE2GGE,#DIV/0!)</f>
        <v>2.13</v>
      </c>
      <c r="AT665" s="433" t="e">
        <f t="shared" ref="AT665:AT671" si="129">IF(V665&gt;0,V665*LNG_gallon2GGE,#DIV/0!)</f>
        <v>#DIV/0!</v>
      </c>
      <c r="BT665" s="356"/>
      <c r="BU665" s="356"/>
      <c r="BV665" s="356"/>
      <c r="BW665" s="356"/>
      <c r="BX665" s="356"/>
      <c r="BY665" s="356"/>
      <c r="BZ665" s="356"/>
      <c r="CA665" s="356"/>
      <c r="CB665" s="356"/>
      <c r="CC665" s="356"/>
      <c r="CD665" s="356"/>
      <c r="CE665" s="356"/>
      <c r="CF665" s="356"/>
    </row>
    <row r="666" spans="1:85">
      <c r="B666" s="84" t="s">
        <v>498</v>
      </c>
      <c r="C666" s="385">
        <v>2.4300000000000002</v>
      </c>
      <c r="D666" s="386">
        <v>2.98</v>
      </c>
      <c r="E666" s="386" t="e">
        <v>#N/A</v>
      </c>
      <c r="F666" s="386">
        <v>3.2</v>
      </c>
      <c r="G666" s="386">
        <v>3.15</v>
      </c>
      <c r="H666" s="386">
        <v>5.53</v>
      </c>
      <c r="I666" s="386">
        <v>2.5099999999999998</v>
      </c>
      <c r="J666" s="386">
        <v>3.17</v>
      </c>
      <c r="K666" s="386">
        <v>2.2400000000000002</v>
      </c>
      <c r="L666" s="434" t="e">
        <v>#DIV/0!</v>
      </c>
      <c r="M666" s="386">
        <v>2.4</v>
      </c>
      <c r="N666" s="386">
        <v>2.81</v>
      </c>
      <c r="O666" s="386" t="e">
        <v>#N/A</v>
      </c>
      <c r="P666" s="386" t="e">
        <v>#DIV/0!</v>
      </c>
      <c r="Q666" s="386">
        <v>2.71</v>
      </c>
      <c r="R666" s="386" t="e">
        <v>#DIV/0!</v>
      </c>
      <c r="S666" s="386">
        <v>2.54</v>
      </c>
      <c r="T666" s="386">
        <v>1.71</v>
      </c>
      <c r="U666" s="386">
        <v>1.81</v>
      </c>
      <c r="V666" s="387" t="e">
        <v>#DIV/0!</v>
      </c>
      <c r="W666" s="388"/>
      <c r="X666" s="388"/>
      <c r="Z666" s="431" t="s">
        <v>444</v>
      </c>
      <c r="AA666" s="388">
        <f t="shared" si="110"/>
        <v>2.4300000000000002</v>
      </c>
      <c r="AB666" s="388">
        <f t="shared" si="111"/>
        <v>2.5819927959154403</v>
      </c>
      <c r="AC666" s="388" t="e">
        <f t="shared" si="112"/>
        <v>#N/A</v>
      </c>
      <c r="AD666" s="388">
        <f t="shared" si="113"/>
        <v>3.2</v>
      </c>
      <c r="AE666" s="388">
        <f t="shared" si="114"/>
        <v>2.7718338608746036</v>
      </c>
      <c r="AF666" s="388">
        <f t="shared" si="115"/>
        <v>5.1897128030112922</v>
      </c>
      <c r="AG666" s="388">
        <f t="shared" si="116"/>
        <v>3.4208994788597074</v>
      </c>
      <c r="AH666" s="388">
        <f t="shared" si="117"/>
        <v>4.1866210523837557</v>
      </c>
      <c r="AI666" s="388">
        <f t="shared" si="118"/>
        <v>2.2400000000000002</v>
      </c>
      <c r="AJ666" s="432" t="e">
        <f t="shared" si="119"/>
        <v>#DIV/0!</v>
      </c>
      <c r="AK666" s="388">
        <f t="shared" si="120"/>
        <v>2.4</v>
      </c>
      <c r="AL666" s="388">
        <f t="shared" si="121"/>
        <v>2.4346979048732842</v>
      </c>
      <c r="AM666" s="388" t="e">
        <f t="shared" si="122"/>
        <v>#N/A</v>
      </c>
      <c r="AN666" s="388" t="e">
        <f t="shared" si="123"/>
        <v>#DIV/0!</v>
      </c>
      <c r="AO666" s="404">
        <f t="shared" si="124"/>
        <v>2.38465706760958</v>
      </c>
      <c r="AP666" s="388" t="e">
        <f t="shared" si="125"/>
        <v>#DIV/0!</v>
      </c>
      <c r="AQ666" s="388">
        <f t="shared" si="126"/>
        <v>3.4617867236269553</v>
      </c>
      <c r="AR666" s="388">
        <f t="shared" si="127"/>
        <v>2.2583981071218364</v>
      </c>
      <c r="AS666" s="388">
        <f t="shared" si="128"/>
        <v>1.81</v>
      </c>
      <c r="AT666" s="433" t="e">
        <f t="shared" si="129"/>
        <v>#DIV/0!</v>
      </c>
      <c r="BT666" s="356"/>
      <c r="BU666" s="356"/>
      <c r="BV666" s="356"/>
      <c r="BW666" s="356"/>
      <c r="BX666" s="356"/>
      <c r="BY666" s="356"/>
      <c r="BZ666" s="356"/>
      <c r="CA666" s="356"/>
      <c r="CB666" s="356"/>
      <c r="CC666" s="356"/>
      <c r="CD666" s="356"/>
      <c r="CE666" s="356"/>
      <c r="CF666" s="356"/>
    </row>
    <row r="667" spans="1:85">
      <c r="B667" s="84" t="s">
        <v>499</v>
      </c>
      <c r="C667" s="385">
        <v>2.37</v>
      </c>
      <c r="D667" s="386">
        <v>2.8</v>
      </c>
      <c r="E667" s="386" t="e">
        <v>#N/A</v>
      </c>
      <c r="F667" s="386" t="e">
        <v>#DIV/0!</v>
      </c>
      <c r="G667" s="386">
        <v>2.89</v>
      </c>
      <c r="H667" s="386">
        <v>3.52</v>
      </c>
      <c r="I667" s="386">
        <v>2.2000000000000002</v>
      </c>
      <c r="J667" s="386">
        <v>2.95</v>
      </c>
      <c r="K667" s="386">
        <v>2.09</v>
      </c>
      <c r="L667" s="434">
        <v>2.52</v>
      </c>
      <c r="M667" s="386">
        <v>2.36</v>
      </c>
      <c r="N667" s="386">
        <v>2.5</v>
      </c>
      <c r="O667" s="386" t="e">
        <v>#N/A</v>
      </c>
      <c r="P667" s="386" t="e">
        <v>#DIV/0!</v>
      </c>
      <c r="Q667" s="386">
        <v>2.67</v>
      </c>
      <c r="R667" s="386">
        <v>3.97</v>
      </c>
      <c r="S667" s="386">
        <v>2.59</v>
      </c>
      <c r="T667" s="386">
        <v>2.13</v>
      </c>
      <c r="U667" s="386">
        <v>0.97</v>
      </c>
      <c r="V667" s="387" t="e">
        <v>#DIV/0!</v>
      </c>
      <c r="W667" s="388"/>
      <c r="X667" s="388"/>
      <c r="Z667" s="431" t="s">
        <v>447</v>
      </c>
      <c r="AA667" s="388">
        <f t="shared" si="110"/>
        <v>2.37</v>
      </c>
      <c r="AB667" s="388">
        <f t="shared" si="111"/>
        <v>2.426033499517863</v>
      </c>
      <c r="AC667" s="388" t="e">
        <f t="shared" si="112"/>
        <v>#N/A</v>
      </c>
      <c r="AD667" s="388" t="e">
        <f t="shared" si="113"/>
        <v>#DIV/0!</v>
      </c>
      <c r="AE667" s="388">
        <f t="shared" si="114"/>
        <v>2.5430475739452718</v>
      </c>
      <c r="AF667" s="388">
        <f t="shared" si="115"/>
        <v>3.303397661229611</v>
      </c>
      <c r="AG667" s="388">
        <f t="shared" si="116"/>
        <v>2.9983979495981505</v>
      </c>
      <c r="AH667" s="388">
        <f t="shared" si="117"/>
        <v>3.8960669099470282</v>
      </c>
      <c r="AI667" s="388">
        <f t="shared" si="118"/>
        <v>2.09</v>
      </c>
      <c r="AJ667" s="432">
        <f t="shared" si="119"/>
        <v>3.7838285653104924</v>
      </c>
      <c r="AK667" s="388">
        <f t="shared" si="120"/>
        <v>2.36</v>
      </c>
      <c r="AL667" s="388">
        <f t="shared" si="121"/>
        <v>2.1661013388552348</v>
      </c>
      <c r="AM667" s="388" t="e">
        <f t="shared" si="122"/>
        <v>#N/A</v>
      </c>
      <c r="AN667" s="388" t="e">
        <f t="shared" si="123"/>
        <v>#DIV/0!</v>
      </c>
      <c r="AO667" s="404">
        <f t="shared" si="124"/>
        <v>2.3494591773127596</v>
      </c>
      <c r="AP667" s="388">
        <f t="shared" si="125"/>
        <v>3.7257070213299874</v>
      </c>
      <c r="AQ667" s="388">
        <f t="shared" si="126"/>
        <v>3.5299321315723677</v>
      </c>
      <c r="AR667" s="388">
        <f t="shared" si="127"/>
        <v>2.8130923790464979</v>
      </c>
      <c r="AS667" s="388">
        <f t="shared" si="128"/>
        <v>0.97</v>
      </c>
      <c r="AT667" s="433" t="e">
        <f t="shared" si="129"/>
        <v>#DIV/0!</v>
      </c>
      <c r="BT667" s="356"/>
      <c r="BU667" s="356"/>
      <c r="BV667" s="356"/>
      <c r="BW667" s="356"/>
      <c r="BX667" s="356"/>
      <c r="BY667" s="356"/>
      <c r="BZ667" s="356"/>
      <c r="CA667" s="356"/>
      <c r="CB667" s="356"/>
      <c r="CC667" s="356"/>
      <c r="CD667" s="356"/>
      <c r="CE667" s="356"/>
      <c r="CF667" s="356"/>
    </row>
    <row r="668" spans="1:85">
      <c r="B668" s="84" t="s">
        <v>500</v>
      </c>
      <c r="C668" s="385">
        <v>2.2999999999999998</v>
      </c>
      <c r="D668" s="386">
        <v>2.71</v>
      </c>
      <c r="E668" s="386" t="e">
        <v>#N/A</v>
      </c>
      <c r="F668" s="386">
        <v>3.74</v>
      </c>
      <c r="G668" s="386">
        <v>2.79</v>
      </c>
      <c r="H668" s="386">
        <v>2.66</v>
      </c>
      <c r="I668" s="386">
        <v>2.0099999999999998</v>
      </c>
      <c r="J668" s="386">
        <v>2.77</v>
      </c>
      <c r="K668" s="386">
        <v>2.08</v>
      </c>
      <c r="L668" s="434">
        <v>2.64</v>
      </c>
      <c r="M668" s="386">
        <v>2.4700000000000002</v>
      </c>
      <c r="N668" s="386">
        <v>2.59</v>
      </c>
      <c r="O668" s="386" t="e">
        <v>#N/A</v>
      </c>
      <c r="P668" s="386" t="e">
        <v>#DIV/0!</v>
      </c>
      <c r="Q668" s="386">
        <v>2.68</v>
      </c>
      <c r="R668" s="386">
        <v>2.37</v>
      </c>
      <c r="S668" s="386">
        <v>2.23</v>
      </c>
      <c r="T668" s="386">
        <v>1.6</v>
      </c>
      <c r="U668" s="386">
        <v>2.0699999999999998</v>
      </c>
      <c r="V668" s="387" t="e">
        <v>#DIV/0!</v>
      </c>
      <c r="W668" s="388"/>
      <c r="X668" s="388"/>
      <c r="Z668" s="431">
        <v>2</v>
      </c>
      <c r="AA668" s="388">
        <f t="shared" si="110"/>
        <v>2.2999999999999998</v>
      </c>
      <c r="AB668" s="388">
        <f t="shared" si="111"/>
        <v>2.3480538513190745</v>
      </c>
      <c r="AC668" s="388" t="e">
        <f t="shared" si="112"/>
        <v>#N/A</v>
      </c>
      <c r="AD668" s="388">
        <f t="shared" si="113"/>
        <v>3.74</v>
      </c>
      <c r="AE668" s="388">
        <f t="shared" si="114"/>
        <v>2.4550528482032208</v>
      </c>
      <c r="AF668" s="388">
        <f t="shared" si="115"/>
        <v>2.4963175508155584</v>
      </c>
      <c r="AG668" s="388">
        <f t="shared" si="116"/>
        <v>2.7394453994055823</v>
      </c>
      <c r="AH668" s="388">
        <f t="shared" si="117"/>
        <v>3.6583407934078873</v>
      </c>
      <c r="AI668" s="388">
        <f t="shared" si="118"/>
        <v>2.08</v>
      </c>
      <c r="AJ668" s="432">
        <f t="shared" si="119"/>
        <v>3.9640108779443257</v>
      </c>
      <c r="AK668" s="388">
        <f t="shared" si="120"/>
        <v>2.4700000000000002</v>
      </c>
      <c r="AL668" s="388">
        <f t="shared" si="121"/>
        <v>2.2440809870540233</v>
      </c>
      <c r="AM668" s="388" t="e">
        <f t="shared" si="122"/>
        <v>#N/A</v>
      </c>
      <c r="AN668" s="388" t="e">
        <f t="shared" si="123"/>
        <v>#DIV/0!</v>
      </c>
      <c r="AO668" s="404">
        <f t="shared" si="124"/>
        <v>2.3582586498869649</v>
      </c>
      <c r="AP668" s="388">
        <f t="shared" si="125"/>
        <v>2.2241626298619823</v>
      </c>
      <c r="AQ668" s="388">
        <f t="shared" si="126"/>
        <v>3.0392851943653976</v>
      </c>
      <c r="AR668" s="388">
        <f t="shared" si="127"/>
        <v>2.1131210359034731</v>
      </c>
      <c r="AS668" s="388">
        <f t="shared" si="128"/>
        <v>2.0699999999999998</v>
      </c>
      <c r="AT668" s="433" t="e">
        <f t="shared" si="129"/>
        <v>#DIV/0!</v>
      </c>
      <c r="BT668" s="356"/>
      <c r="BU668" s="356"/>
      <c r="BV668" s="356"/>
      <c r="BW668" s="356"/>
      <c r="BX668" s="356"/>
      <c r="BY668" s="356"/>
      <c r="BZ668" s="356"/>
      <c r="CA668" s="356"/>
      <c r="CB668" s="356"/>
      <c r="CC668" s="356"/>
      <c r="CD668" s="356"/>
      <c r="CE668" s="356"/>
      <c r="CF668" s="356"/>
    </row>
    <row r="669" spans="1:85">
      <c r="B669" s="84" t="s">
        <v>501</v>
      </c>
      <c r="C669" s="385">
        <v>2.15</v>
      </c>
      <c r="D669" s="386">
        <v>2.63</v>
      </c>
      <c r="E669" s="386" t="e">
        <v>#N/A</v>
      </c>
      <c r="F669" s="386" t="e">
        <v>#DIV/0!</v>
      </c>
      <c r="G669" s="386">
        <v>2.7</v>
      </c>
      <c r="H669" s="386">
        <v>2.36</v>
      </c>
      <c r="I669" s="386">
        <v>1.98</v>
      </c>
      <c r="J669" s="386">
        <v>3.03</v>
      </c>
      <c r="K669" s="386">
        <v>2.04</v>
      </c>
      <c r="L669" s="434">
        <v>2.57</v>
      </c>
      <c r="M669" s="386" t="e">
        <v>#DIV/0!</v>
      </c>
      <c r="N669" s="386" t="e">
        <v>#DIV/0!</v>
      </c>
      <c r="O669" s="386" t="e">
        <v>#N/A</v>
      </c>
      <c r="P669" s="386" t="e">
        <v>#DIV/0!</v>
      </c>
      <c r="Q669" s="386">
        <v>3.29</v>
      </c>
      <c r="R669" s="386">
        <v>3.55</v>
      </c>
      <c r="S669" s="386">
        <v>2.65</v>
      </c>
      <c r="T669" s="386">
        <v>1.39</v>
      </c>
      <c r="U669" s="386">
        <v>1.72</v>
      </c>
      <c r="V669" s="387" t="e">
        <v>#DIV/0!</v>
      </c>
      <c r="W669" s="388"/>
      <c r="X669" s="388"/>
      <c r="Z669" s="431">
        <v>3</v>
      </c>
      <c r="AA669" s="388">
        <f t="shared" si="110"/>
        <v>2.15</v>
      </c>
      <c r="AB669" s="388">
        <f t="shared" si="111"/>
        <v>2.2787386084757073</v>
      </c>
      <c r="AC669" s="388" t="e">
        <f t="shared" si="112"/>
        <v>#N/A</v>
      </c>
      <c r="AD669" s="388" t="e">
        <f t="shared" si="113"/>
        <v>#DIV/0!</v>
      </c>
      <c r="AE669" s="388">
        <f t="shared" si="114"/>
        <v>2.3758575950353751</v>
      </c>
      <c r="AF669" s="388">
        <f t="shared" si="115"/>
        <v>2.2147779774153071</v>
      </c>
      <c r="AG669" s="388">
        <f t="shared" si="116"/>
        <v>2.6985581546383353</v>
      </c>
      <c r="AH669" s="388">
        <f t="shared" si="117"/>
        <v>4.0017229617422014</v>
      </c>
      <c r="AI669" s="388">
        <f t="shared" si="118"/>
        <v>2.04</v>
      </c>
      <c r="AJ669" s="432">
        <f t="shared" si="119"/>
        <v>3.8589045289079227</v>
      </c>
      <c r="AK669" s="388" t="e">
        <f t="shared" si="120"/>
        <v>#DIV/0!</v>
      </c>
      <c r="AL669" s="388" t="e">
        <f t="shared" si="121"/>
        <v>#DIV/0!</v>
      </c>
      <c r="AM669" s="388" t="e">
        <f t="shared" si="122"/>
        <v>#N/A</v>
      </c>
      <c r="AN669" s="388" t="e">
        <f t="shared" si="123"/>
        <v>#DIV/0!</v>
      </c>
      <c r="AO669" s="404">
        <f t="shared" si="124"/>
        <v>2.895026476913475</v>
      </c>
      <c r="AP669" s="388">
        <f t="shared" si="125"/>
        <v>3.3315516185696361</v>
      </c>
      <c r="AQ669" s="388">
        <f t="shared" si="126"/>
        <v>3.6117066211068627</v>
      </c>
      <c r="AR669" s="388">
        <f t="shared" si="127"/>
        <v>1.8357738999411419</v>
      </c>
      <c r="AS669" s="388">
        <f t="shared" si="128"/>
        <v>1.72</v>
      </c>
      <c r="AT669" s="433" t="e">
        <f t="shared" si="129"/>
        <v>#DIV/0!</v>
      </c>
      <c r="BT669" s="356"/>
      <c r="BU669" s="356"/>
      <c r="BV669" s="356"/>
      <c r="BW669" s="356"/>
      <c r="BX669" s="356"/>
      <c r="BY669" s="356"/>
      <c r="BZ669" s="356"/>
      <c r="CA669" s="356"/>
      <c r="CB669" s="356"/>
      <c r="CC669" s="356"/>
      <c r="CD669" s="356"/>
      <c r="CE669" s="356"/>
      <c r="CF669" s="356"/>
    </row>
    <row r="670" spans="1:85">
      <c r="B670" s="84" t="s">
        <v>502</v>
      </c>
      <c r="C670" s="385">
        <v>2.4500000000000002</v>
      </c>
      <c r="D670" s="386">
        <v>2.74</v>
      </c>
      <c r="E670" s="386" t="e">
        <v>#N/A</v>
      </c>
      <c r="F670" s="386" t="e">
        <v>#DIV/0!</v>
      </c>
      <c r="G670" s="386">
        <v>2.96</v>
      </c>
      <c r="H670" s="386">
        <v>3.19</v>
      </c>
      <c r="I670" s="386">
        <v>2.16</v>
      </c>
      <c r="J670" s="386">
        <v>3</v>
      </c>
      <c r="K670" s="386">
        <v>1.97</v>
      </c>
      <c r="L670" s="434">
        <v>2.5499999999999998</v>
      </c>
      <c r="M670" s="386">
        <v>2.25</v>
      </c>
      <c r="N670" s="386">
        <v>2.33</v>
      </c>
      <c r="O670" s="386" t="e">
        <v>#N/A</v>
      </c>
      <c r="P670" s="386" t="e">
        <v>#DIV/0!</v>
      </c>
      <c r="Q670" s="386">
        <v>3.18</v>
      </c>
      <c r="R670" s="386" t="e">
        <v>#DIV/0!</v>
      </c>
      <c r="S670" s="386">
        <v>1.92</v>
      </c>
      <c r="T670" s="386">
        <v>2.02</v>
      </c>
      <c r="U670" s="386">
        <v>1.72</v>
      </c>
      <c r="V670" s="387">
        <v>2.79</v>
      </c>
      <c r="W670" s="388"/>
      <c r="X670" s="388"/>
      <c r="Z670" s="431">
        <v>4</v>
      </c>
      <c r="AA670" s="388">
        <f t="shared" si="110"/>
        <v>2.4500000000000002</v>
      </c>
      <c r="AB670" s="388">
        <f t="shared" si="111"/>
        <v>2.3740470673853378</v>
      </c>
      <c r="AC670" s="388" t="e">
        <f t="shared" si="112"/>
        <v>#N/A</v>
      </c>
      <c r="AD670" s="388" t="e">
        <f t="shared" si="113"/>
        <v>#DIV/0!</v>
      </c>
      <c r="AE670" s="388">
        <f t="shared" si="114"/>
        <v>2.6046438819647073</v>
      </c>
      <c r="AF670" s="388">
        <f t="shared" si="115"/>
        <v>2.993704130489335</v>
      </c>
      <c r="AG670" s="388">
        <f t="shared" si="116"/>
        <v>2.9438816232418206</v>
      </c>
      <c r="AH670" s="388">
        <f t="shared" si="117"/>
        <v>3.9621019423190118</v>
      </c>
      <c r="AI670" s="388">
        <f t="shared" si="118"/>
        <v>1.97</v>
      </c>
      <c r="AJ670" s="432">
        <f t="shared" si="119"/>
        <v>3.8288741434689504</v>
      </c>
      <c r="AK670" s="388">
        <f t="shared" si="120"/>
        <v>2.25</v>
      </c>
      <c r="AL670" s="388">
        <f t="shared" si="121"/>
        <v>2.0188064478130792</v>
      </c>
      <c r="AM670" s="388" t="e">
        <f t="shared" si="122"/>
        <v>#N/A</v>
      </c>
      <c r="AN670" s="388" t="e">
        <f t="shared" si="123"/>
        <v>#DIV/0!</v>
      </c>
      <c r="AO670" s="404">
        <f t="shared" si="124"/>
        <v>2.7982322785972191</v>
      </c>
      <c r="AP670" s="388" t="e">
        <f t="shared" si="125"/>
        <v>#DIV/0!</v>
      </c>
      <c r="AQ670" s="388">
        <f t="shared" si="126"/>
        <v>2.6167836651038403</v>
      </c>
      <c r="AR670" s="388">
        <f t="shared" si="127"/>
        <v>2.6678153078281346</v>
      </c>
      <c r="AS670" s="388">
        <f t="shared" si="128"/>
        <v>1.72</v>
      </c>
      <c r="AT670" s="433">
        <f t="shared" si="129"/>
        <v>4.189238768736617</v>
      </c>
      <c r="BT670" s="356"/>
      <c r="BU670" s="356"/>
      <c r="BV670" s="356"/>
      <c r="BW670" s="356"/>
      <c r="BX670" s="356"/>
      <c r="BY670" s="356"/>
      <c r="BZ670" s="356"/>
      <c r="CA670" s="356"/>
      <c r="CB670" s="356"/>
      <c r="CC670" s="356"/>
      <c r="CD670" s="356"/>
      <c r="CE670" s="356"/>
      <c r="CF670" s="356"/>
    </row>
    <row r="671" spans="1:85" ht="16" thickBot="1">
      <c r="B671" s="435" t="s">
        <v>503</v>
      </c>
      <c r="C671" s="436">
        <v>2.88</v>
      </c>
      <c r="D671" s="437">
        <v>3.04</v>
      </c>
      <c r="E671" s="437" t="e">
        <v>#N/A</v>
      </c>
      <c r="F671" s="437">
        <v>20.29</v>
      </c>
      <c r="G671" s="437">
        <v>3.16</v>
      </c>
      <c r="H671" s="437">
        <v>3.71</v>
      </c>
      <c r="I671" s="437">
        <v>2.63</v>
      </c>
      <c r="J671" s="437">
        <v>3</v>
      </c>
      <c r="K671" s="437">
        <v>2.4</v>
      </c>
      <c r="L671" s="438">
        <v>2.86</v>
      </c>
      <c r="M671" s="437">
        <v>2.84</v>
      </c>
      <c r="N671" s="437">
        <v>3.03</v>
      </c>
      <c r="O671" s="437" t="e">
        <v>#N/A</v>
      </c>
      <c r="P671" s="437">
        <v>6.99</v>
      </c>
      <c r="Q671" s="437">
        <v>2.93</v>
      </c>
      <c r="R671" s="437">
        <v>4.41</v>
      </c>
      <c r="S671" s="437">
        <v>2.62</v>
      </c>
      <c r="T671" s="437">
        <v>2.97</v>
      </c>
      <c r="U671" s="437">
        <v>1.96</v>
      </c>
      <c r="V671" s="439">
        <v>2.11</v>
      </c>
      <c r="W671" s="388"/>
      <c r="X671" s="388"/>
      <c r="Z671" s="440">
        <v>5</v>
      </c>
      <c r="AA671" s="441">
        <f t="shared" si="110"/>
        <v>2.88</v>
      </c>
      <c r="AB671" s="441">
        <f t="shared" si="111"/>
        <v>2.6339792280479659</v>
      </c>
      <c r="AC671" s="441" t="e">
        <f t="shared" si="112"/>
        <v>#N/A</v>
      </c>
      <c r="AD671" s="441">
        <f t="shared" si="113"/>
        <v>20.29</v>
      </c>
      <c r="AE671" s="441">
        <f t="shared" si="114"/>
        <v>2.7806333334488089</v>
      </c>
      <c r="AF671" s="441">
        <f t="shared" si="115"/>
        <v>3.4817060577164365</v>
      </c>
      <c r="AG671" s="441">
        <f t="shared" si="116"/>
        <v>3.5844484579286977</v>
      </c>
      <c r="AH671" s="441">
        <f t="shared" si="117"/>
        <v>3.9621019423190118</v>
      </c>
      <c r="AI671" s="441">
        <f t="shared" si="118"/>
        <v>2.4</v>
      </c>
      <c r="AJ671" s="442">
        <f t="shared" si="119"/>
        <v>4.2943451177730187</v>
      </c>
      <c r="AK671" s="441">
        <f t="shared" si="120"/>
        <v>2.84</v>
      </c>
      <c r="AL671" s="441">
        <f t="shared" si="121"/>
        <v>2.6253148226925447</v>
      </c>
      <c r="AM671" s="441" t="e">
        <f t="shared" si="122"/>
        <v>#N/A</v>
      </c>
      <c r="AN671" s="441">
        <f t="shared" si="123"/>
        <v>6.99</v>
      </c>
      <c r="AO671" s="443">
        <f t="shared" si="124"/>
        <v>2.5782454642420918</v>
      </c>
      <c r="AP671" s="441">
        <f t="shared" si="125"/>
        <v>4.1386317289836887</v>
      </c>
      <c r="AQ671" s="441">
        <f t="shared" si="126"/>
        <v>3.5708193763396157</v>
      </c>
      <c r="AR671" s="441">
        <f t="shared" si="127"/>
        <v>3.9224809228958217</v>
      </c>
      <c r="AS671" s="441">
        <f t="shared" si="128"/>
        <v>1.96</v>
      </c>
      <c r="AT671" s="444">
        <f t="shared" si="129"/>
        <v>3.168205663811563</v>
      </c>
      <c r="BT671" s="356"/>
      <c r="BU671" s="356"/>
      <c r="BV671" s="356"/>
      <c r="BW671" s="356"/>
      <c r="BX671" s="356"/>
      <c r="BY671" s="356"/>
      <c r="BZ671" s="356"/>
      <c r="CA671" s="356"/>
      <c r="CB671" s="356"/>
      <c r="CC671" s="356"/>
      <c r="CD671" s="356"/>
      <c r="CE671" s="356"/>
      <c r="CF671" s="356"/>
    </row>
    <row r="672" spans="1:85" s="132" customFormat="1">
      <c r="A672" s="63"/>
      <c r="B672" s="400" t="s">
        <v>10</v>
      </c>
      <c r="C672" s="401" t="s">
        <v>492</v>
      </c>
      <c r="D672" s="388"/>
      <c r="E672" s="388"/>
      <c r="F672" s="388"/>
      <c r="G672" s="388"/>
      <c r="H672" s="388"/>
      <c r="I672" s="388"/>
      <c r="J672" s="388"/>
      <c r="K672" s="388"/>
      <c r="L672" s="388"/>
      <c r="M672" s="388"/>
      <c r="N672" s="388"/>
      <c r="O672" s="388"/>
      <c r="P672" s="388"/>
      <c r="Q672" s="388"/>
      <c r="R672" s="388"/>
      <c r="S672" s="388"/>
      <c r="T672" s="388"/>
      <c r="U672" s="388"/>
      <c r="V672" s="388"/>
      <c r="X672" s="388"/>
      <c r="Y672" s="388"/>
      <c r="Z672" s="388"/>
      <c r="AA672" s="388"/>
      <c r="AB672" s="388"/>
      <c r="AC672" s="388"/>
      <c r="AD672" s="388"/>
      <c r="AE672" s="388"/>
      <c r="AF672" s="388"/>
      <c r="AG672" s="388"/>
      <c r="AH672" s="388"/>
      <c r="AI672" s="388"/>
      <c r="AJ672" s="388"/>
      <c r="AK672" s="404"/>
      <c r="AL672" s="388"/>
      <c r="AM672" s="388"/>
      <c r="AN672" s="388"/>
      <c r="AO672" s="388"/>
      <c r="AP672" s="388"/>
      <c r="AQ672" s="388"/>
      <c r="BR672" s="356"/>
      <c r="BS672" s="356"/>
      <c r="BT672" s="356"/>
      <c r="BU672" s="356"/>
      <c r="BV672" s="356"/>
      <c r="BW672" s="356"/>
      <c r="BX672" s="356"/>
      <c r="BY672" s="356"/>
      <c r="BZ672" s="356"/>
      <c r="CA672" s="356"/>
      <c r="CB672" s="356"/>
      <c r="CC672" s="356"/>
      <c r="CD672" s="356"/>
    </row>
    <row r="673" spans="1:82" s="132" customFormat="1">
      <c r="A673" s="63"/>
      <c r="B673" s="407"/>
      <c r="C673" s="388"/>
      <c r="D673" s="388"/>
      <c r="E673" s="388"/>
      <c r="F673" s="388"/>
      <c r="G673" s="388"/>
      <c r="H673" s="388"/>
      <c r="I673" s="388"/>
      <c r="J673" s="388"/>
      <c r="K673" s="388"/>
      <c r="L673" s="388"/>
      <c r="M673" s="388"/>
      <c r="N673" s="388"/>
      <c r="O673" s="388"/>
      <c r="P673" s="388"/>
      <c r="Q673" s="388"/>
      <c r="R673" s="388"/>
      <c r="S673" s="388"/>
      <c r="T673" s="388"/>
      <c r="U673" s="388"/>
      <c r="V673" s="388"/>
      <c r="X673" s="388"/>
      <c r="Y673" s="388"/>
      <c r="Z673" s="388"/>
      <c r="AA673" s="388"/>
      <c r="AB673" s="388"/>
      <c r="AC673" s="388"/>
      <c r="AD673" s="388"/>
      <c r="AE673" s="388"/>
      <c r="AF673" s="388"/>
      <c r="AG673" s="388"/>
      <c r="AH673" s="388"/>
      <c r="AI673" s="388"/>
      <c r="AJ673" s="388"/>
      <c r="AK673" s="404"/>
      <c r="AL673" s="388"/>
      <c r="AM673" s="388"/>
      <c r="AN673" s="388"/>
      <c r="AO673" s="388"/>
      <c r="AP673" s="388"/>
      <c r="AQ673" s="388"/>
      <c r="BR673" s="356"/>
      <c r="BS673" s="356"/>
      <c r="BT673" s="356"/>
      <c r="BU673" s="356"/>
      <c r="BV673" s="356"/>
      <c r="BW673" s="356"/>
      <c r="BX673" s="356"/>
      <c r="BY673" s="356"/>
      <c r="BZ673" s="356"/>
      <c r="CA673" s="356"/>
      <c r="CB673" s="356"/>
      <c r="CC673" s="356"/>
      <c r="CD673" s="356"/>
    </row>
    <row r="674" spans="1:82" s="132" customFormat="1" ht="16" thickBot="1">
      <c r="A674" s="63"/>
      <c r="B674" s="407" t="s">
        <v>504</v>
      </c>
      <c r="C674" s="388"/>
      <c r="D674" s="388"/>
      <c r="E674" s="388"/>
      <c r="F674" s="388"/>
      <c r="G674" s="388"/>
      <c r="H674" s="388"/>
      <c r="I674" s="388"/>
      <c r="J674" s="388"/>
      <c r="K674" s="388"/>
      <c r="L674" s="388"/>
      <c r="M674" s="388"/>
      <c r="N674" s="388"/>
      <c r="O674" s="388"/>
      <c r="P674" s="388"/>
      <c r="Q674" s="388"/>
      <c r="R674" s="388"/>
      <c r="S674" s="388"/>
      <c r="T674" s="388"/>
      <c r="U674" s="388"/>
      <c r="V674" s="388"/>
      <c r="X674" s="388"/>
      <c r="Y674" s="388"/>
      <c r="Z674" s="388"/>
      <c r="AA674" s="388"/>
      <c r="AB674" s="388"/>
      <c r="AC674" s="388"/>
      <c r="AD674" s="388"/>
      <c r="AE674" s="388"/>
      <c r="AF674" s="388"/>
      <c r="AG674" s="388"/>
      <c r="AH674" s="388"/>
      <c r="AI674" s="388"/>
      <c r="AJ674" s="388"/>
      <c r="AK674" s="404"/>
      <c r="AL674" s="388"/>
      <c r="AM674" s="388"/>
      <c r="AN674" s="388"/>
      <c r="AO674" s="388"/>
      <c r="AP674" s="388"/>
      <c r="AQ674" s="388"/>
      <c r="BR674" s="356"/>
      <c r="BS674" s="356"/>
      <c r="BT674" s="356"/>
      <c r="BU674" s="356"/>
      <c r="BV674" s="356"/>
      <c r="BW674" s="356"/>
      <c r="BX674" s="356"/>
      <c r="BY674" s="356"/>
      <c r="BZ674" s="356"/>
      <c r="CA674" s="356"/>
      <c r="CB674" s="356"/>
      <c r="CC674" s="356"/>
      <c r="CD674" s="356"/>
    </row>
    <row r="675" spans="1:82" ht="16" thickBot="1">
      <c r="B675" s="245"/>
      <c r="C675" s="1616" t="s">
        <v>496</v>
      </c>
      <c r="D675" s="1617"/>
      <c r="E675" s="1617"/>
      <c r="F675" s="1617"/>
      <c r="G675" s="1617"/>
      <c r="H675" s="1617"/>
      <c r="I675" s="1617"/>
      <c r="J675" s="1617"/>
      <c r="K675" s="1617"/>
      <c r="L675" s="1618"/>
      <c r="M675" s="1619" t="s">
        <v>429</v>
      </c>
      <c r="N675" s="1617"/>
      <c r="O675" s="1617"/>
      <c r="P675" s="1617"/>
      <c r="Q675" s="1617"/>
      <c r="R675" s="1617"/>
      <c r="S675" s="1617"/>
      <c r="T675" s="1617"/>
      <c r="U675" s="1617"/>
      <c r="V675" s="1620"/>
      <c r="W675" s="445"/>
      <c r="X675" s="445"/>
      <c r="Y675" s="445"/>
      <c r="AA675" s="445"/>
      <c r="AB675" s="445"/>
      <c r="AC675" s="445"/>
      <c r="AD675" s="445"/>
      <c r="AE675" s="445"/>
      <c r="AF675" s="445"/>
      <c r="AG675" s="445"/>
      <c r="AH675" s="445"/>
      <c r="AI675" s="445"/>
      <c r="AJ675" s="445"/>
      <c r="AK675" s="356"/>
      <c r="AL675" s="356"/>
      <c r="AM675" s="356"/>
      <c r="AN675" s="356"/>
      <c r="AO675" s="356"/>
      <c r="AP675" s="356"/>
      <c r="AQ675" s="356"/>
      <c r="AR675" s="356"/>
      <c r="AS675" s="356"/>
      <c r="AT675" s="356"/>
      <c r="AU675" s="356"/>
      <c r="AV675" s="356"/>
      <c r="AW675" s="356"/>
    </row>
    <row r="676" spans="1:82" ht="16" thickBot="1">
      <c r="B676" s="446" t="s">
        <v>407</v>
      </c>
      <c r="C676" s="409" t="s">
        <v>4</v>
      </c>
      <c r="D676" s="410" t="s">
        <v>5</v>
      </c>
      <c r="E676" s="410" t="s">
        <v>243</v>
      </c>
      <c r="F676" s="410" t="s">
        <v>414</v>
      </c>
      <c r="G676" s="410" t="s">
        <v>363</v>
      </c>
      <c r="H676" s="410" t="s">
        <v>364</v>
      </c>
      <c r="I676" s="410" t="s">
        <v>365</v>
      </c>
      <c r="J676" s="410" t="s">
        <v>2</v>
      </c>
      <c r="K676" s="410" t="s">
        <v>415</v>
      </c>
      <c r="L676" s="411" t="s">
        <v>218</v>
      </c>
      <c r="M676" s="412" t="s">
        <v>4</v>
      </c>
      <c r="N676" s="410" t="s">
        <v>5</v>
      </c>
      <c r="O676" s="410" t="s">
        <v>243</v>
      </c>
      <c r="P676" s="410" t="s">
        <v>414</v>
      </c>
      <c r="Q676" s="410" t="s">
        <v>363</v>
      </c>
      <c r="R676" s="410" t="s">
        <v>364</v>
      </c>
      <c r="S676" s="410" t="s">
        <v>365</v>
      </c>
      <c r="T676" s="410" t="s">
        <v>2</v>
      </c>
      <c r="U676" s="410" t="s">
        <v>415</v>
      </c>
      <c r="V676" s="413" t="s">
        <v>218</v>
      </c>
      <c r="AA676" s="388"/>
      <c r="AK676" s="356"/>
      <c r="AL676" s="356"/>
      <c r="AM676" s="356"/>
      <c r="AN676" s="356"/>
      <c r="AO676" s="356"/>
      <c r="AP676" s="356"/>
      <c r="AQ676" s="356"/>
      <c r="AR676" s="356"/>
    </row>
    <row r="677" spans="1:82">
      <c r="B677" s="368" t="s">
        <v>435</v>
      </c>
      <c r="C677" s="447" t="s">
        <v>505</v>
      </c>
      <c r="D677" s="448" t="s">
        <v>505</v>
      </c>
      <c r="E677" s="448" t="s">
        <v>505</v>
      </c>
      <c r="F677" s="448"/>
      <c r="G677" s="448" t="s">
        <v>505</v>
      </c>
      <c r="H677" s="448" t="s">
        <v>505</v>
      </c>
      <c r="I677" s="448" t="s">
        <v>505</v>
      </c>
      <c r="J677" s="448" t="s">
        <v>505</v>
      </c>
      <c r="K677" s="448" t="s">
        <v>505</v>
      </c>
      <c r="L677" s="449" t="s">
        <v>505</v>
      </c>
      <c r="M677" s="448" t="s">
        <v>505</v>
      </c>
      <c r="N677" s="448" t="s">
        <v>505</v>
      </c>
      <c r="O677" s="448" t="s">
        <v>505</v>
      </c>
      <c r="P677" s="448" t="s">
        <v>505</v>
      </c>
      <c r="Q677" s="448" t="s">
        <v>505</v>
      </c>
      <c r="R677" s="448" t="s">
        <v>505</v>
      </c>
      <c r="S677" s="448" t="s">
        <v>505</v>
      </c>
      <c r="T677" s="448" t="s">
        <v>505</v>
      </c>
      <c r="U677" s="448" t="s">
        <v>505</v>
      </c>
      <c r="V677" s="450" t="s">
        <v>505</v>
      </c>
      <c r="AA677" s="451"/>
      <c r="AK677" s="356"/>
      <c r="AL677" s="356"/>
      <c r="AM677" s="356"/>
      <c r="AN677" s="356"/>
      <c r="AO677" s="356"/>
      <c r="AP677" s="356"/>
      <c r="AQ677" s="356"/>
      <c r="AR677" s="356"/>
    </row>
    <row r="678" spans="1:82">
      <c r="B678" s="84" t="s">
        <v>436</v>
      </c>
      <c r="C678" s="452" t="s">
        <v>505</v>
      </c>
      <c r="D678" s="453" t="s">
        <v>505</v>
      </c>
      <c r="E678" s="453" t="s">
        <v>505</v>
      </c>
      <c r="F678" s="453"/>
      <c r="G678" s="453"/>
      <c r="H678" s="453"/>
      <c r="I678" s="453"/>
      <c r="J678" s="453" t="s">
        <v>505</v>
      </c>
      <c r="K678" s="453" t="s">
        <v>505</v>
      </c>
      <c r="L678" s="454"/>
      <c r="M678" s="453" t="s">
        <v>505</v>
      </c>
      <c r="N678" s="453" t="s">
        <v>505</v>
      </c>
      <c r="O678" s="453" t="s">
        <v>505</v>
      </c>
      <c r="P678" s="453"/>
      <c r="Q678" s="453" t="s">
        <v>505</v>
      </c>
      <c r="R678" s="453" t="s">
        <v>505</v>
      </c>
      <c r="S678" s="453" t="s">
        <v>505</v>
      </c>
      <c r="T678" s="453" t="s">
        <v>505</v>
      </c>
      <c r="U678" s="453" t="s">
        <v>505</v>
      </c>
      <c r="V678" s="455" t="s">
        <v>505</v>
      </c>
      <c r="AC678" s="63" t="str">
        <f>""</f>
        <v/>
      </c>
      <c r="AK678" s="356"/>
      <c r="AL678" s="356"/>
      <c r="AM678" s="356"/>
      <c r="AN678" s="356"/>
      <c r="AO678" s="356"/>
      <c r="AP678" s="356"/>
      <c r="AQ678" s="356"/>
      <c r="AR678" s="356"/>
    </row>
    <row r="679" spans="1:82">
      <c r="B679" s="84" t="s">
        <v>437</v>
      </c>
      <c r="C679" s="452" t="s">
        <v>505</v>
      </c>
      <c r="D679" s="453" t="s">
        <v>505</v>
      </c>
      <c r="E679" s="453" t="s">
        <v>505</v>
      </c>
      <c r="F679" s="453"/>
      <c r="G679" s="453" t="s">
        <v>505</v>
      </c>
      <c r="H679" s="453" t="s">
        <v>505</v>
      </c>
      <c r="I679" s="453" t="s">
        <v>505</v>
      </c>
      <c r="J679" s="453" t="s">
        <v>505</v>
      </c>
      <c r="K679" s="453" t="s">
        <v>505</v>
      </c>
      <c r="L679" s="454" t="s">
        <v>505</v>
      </c>
      <c r="M679" s="453" t="s">
        <v>505</v>
      </c>
      <c r="N679" s="453" t="s">
        <v>505</v>
      </c>
      <c r="O679" s="453" t="s">
        <v>505</v>
      </c>
      <c r="P679" s="453"/>
      <c r="Q679" s="453"/>
      <c r="R679" s="453"/>
      <c r="S679" s="453"/>
      <c r="T679" s="453" t="s">
        <v>505</v>
      </c>
      <c r="U679" s="453" t="s">
        <v>505</v>
      </c>
      <c r="V679" s="455"/>
      <c r="AK679" s="356"/>
      <c r="AL679" s="356"/>
      <c r="AM679" s="356"/>
      <c r="AN679" s="356"/>
      <c r="AO679" s="356"/>
      <c r="AP679" s="356"/>
      <c r="AQ679" s="356"/>
      <c r="AR679" s="356"/>
    </row>
    <row r="680" spans="1:82">
      <c r="B680" s="84" t="s">
        <v>438</v>
      </c>
      <c r="C680" s="452" t="s">
        <v>505</v>
      </c>
      <c r="D680" s="453" t="s">
        <v>505</v>
      </c>
      <c r="E680" s="453" t="s">
        <v>505</v>
      </c>
      <c r="F680" s="453"/>
      <c r="G680" s="453" t="s">
        <v>505</v>
      </c>
      <c r="H680" s="453" t="s">
        <v>505</v>
      </c>
      <c r="I680" s="453" t="s">
        <v>505</v>
      </c>
      <c r="J680" s="453" t="s">
        <v>505</v>
      </c>
      <c r="K680" s="453" t="s">
        <v>505</v>
      </c>
      <c r="L680" s="454"/>
      <c r="M680" s="453" t="s">
        <v>505</v>
      </c>
      <c r="N680" s="453" t="s">
        <v>505</v>
      </c>
      <c r="O680" s="453" t="s">
        <v>505</v>
      </c>
      <c r="P680" s="453"/>
      <c r="Q680" s="453" t="s">
        <v>505</v>
      </c>
      <c r="R680" s="453" t="s">
        <v>505</v>
      </c>
      <c r="S680" s="453" t="s">
        <v>505</v>
      </c>
      <c r="T680" s="453" t="s">
        <v>505</v>
      </c>
      <c r="U680" s="453" t="s">
        <v>505</v>
      </c>
      <c r="V680" s="455" t="s">
        <v>505</v>
      </c>
      <c r="AK680" s="356"/>
      <c r="AL680" s="356"/>
      <c r="AM680" s="356"/>
      <c r="AN680" s="356"/>
      <c r="AO680" s="356"/>
      <c r="AP680" s="356"/>
      <c r="AQ680" s="356"/>
      <c r="AR680" s="356"/>
    </row>
    <row r="681" spans="1:82">
      <c r="B681" s="84" t="s">
        <v>439</v>
      </c>
      <c r="C681" s="452" t="s">
        <v>505</v>
      </c>
      <c r="D681" s="453" t="s">
        <v>505</v>
      </c>
      <c r="E681" s="453" t="s">
        <v>505</v>
      </c>
      <c r="F681" s="453" t="s">
        <v>505</v>
      </c>
      <c r="G681" s="453" t="s">
        <v>505</v>
      </c>
      <c r="H681" s="453" t="s">
        <v>505</v>
      </c>
      <c r="I681" s="453" t="s">
        <v>505</v>
      </c>
      <c r="J681" s="453" t="s">
        <v>505</v>
      </c>
      <c r="K681" s="453" t="s">
        <v>505</v>
      </c>
      <c r="L681" s="454" t="s">
        <v>505</v>
      </c>
      <c r="M681" s="453" t="s">
        <v>505</v>
      </c>
      <c r="N681" s="453" t="s">
        <v>505</v>
      </c>
      <c r="O681" s="453" t="s">
        <v>505</v>
      </c>
      <c r="P681" s="453"/>
      <c r="Q681" s="453" t="s">
        <v>505</v>
      </c>
      <c r="R681" s="453" t="s">
        <v>505</v>
      </c>
      <c r="S681" s="453" t="s">
        <v>505</v>
      </c>
      <c r="T681" s="453" t="s">
        <v>505</v>
      </c>
      <c r="U681" s="453" t="s">
        <v>505</v>
      </c>
      <c r="V681" s="455"/>
      <c r="AK681" s="356"/>
      <c r="AL681" s="356"/>
      <c r="AM681" s="356"/>
      <c r="AN681" s="356"/>
      <c r="AO681" s="356"/>
      <c r="AP681" s="356"/>
      <c r="AQ681" s="356"/>
      <c r="AR681" s="356"/>
    </row>
    <row r="682" spans="1:82">
      <c r="B682" s="84" t="s">
        <v>440</v>
      </c>
      <c r="C682" s="452" t="s">
        <v>505</v>
      </c>
      <c r="D682" s="453" t="s">
        <v>505</v>
      </c>
      <c r="E682" s="453" t="s">
        <v>505</v>
      </c>
      <c r="F682" s="453"/>
      <c r="G682" s="453" t="s">
        <v>505</v>
      </c>
      <c r="H682" s="453" t="s">
        <v>505</v>
      </c>
      <c r="I682" s="453" t="s">
        <v>505</v>
      </c>
      <c r="J682" s="453" t="s">
        <v>505</v>
      </c>
      <c r="K682" s="453" t="s">
        <v>505</v>
      </c>
      <c r="L682" s="454"/>
      <c r="M682" s="453" t="s">
        <v>505</v>
      </c>
      <c r="N682" s="453" t="s">
        <v>505</v>
      </c>
      <c r="O682" s="453" t="s">
        <v>505</v>
      </c>
      <c r="P682" s="453" t="s">
        <v>505</v>
      </c>
      <c r="Q682" s="453" t="s">
        <v>505</v>
      </c>
      <c r="R682" s="453" t="s">
        <v>505</v>
      </c>
      <c r="S682" s="453" t="s">
        <v>505</v>
      </c>
      <c r="T682" s="453" t="s">
        <v>505</v>
      </c>
      <c r="U682" s="453" t="s">
        <v>505</v>
      </c>
      <c r="V682" s="455" t="s">
        <v>505</v>
      </c>
      <c r="AK682" s="356"/>
      <c r="AL682" s="356"/>
      <c r="AM682" s="356"/>
      <c r="AN682" s="356"/>
      <c r="AO682" s="356"/>
      <c r="AP682" s="356"/>
      <c r="AQ682" s="356"/>
      <c r="AR682" s="356"/>
    </row>
    <row r="683" spans="1:82">
      <c r="B683" s="84" t="s">
        <v>441</v>
      </c>
      <c r="C683" s="452" t="s">
        <v>505</v>
      </c>
      <c r="D683" s="453" t="s">
        <v>505</v>
      </c>
      <c r="E683" s="453" t="s">
        <v>505</v>
      </c>
      <c r="F683" s="453" t="s">
        <v>505</v>
      </c>
      <c r="G683" s="453" t="s">
        <v>505</v>
      </c>
      <c r="H683" s="453" t="s">
        <v>505</v>
      </c>
      <c r="I683" s="453" t="s">
        <v>505</v>
      </c>
      <c r="J683" s="453" t="s">
        <v>505</v>
      </c>
      <c r="K683" s="453" t="s">
        <v>505</v>
      </c>
      <c r="L683" s="454" t="s">
        <v>505</v>
      </c>
      <c r="M683" s="453" t="s">
        <v>505</v>
      </c>
      <c r="N683" s="453" t="s">
        <v>505</v>
      </c>
      <c r="O683" s="453" t="s">
        <v>505</v>
      </c>
      <c r="P683" s="453"/>
      <c r="Q683" s="453" t="s">
        <v>505</v>
      </c>
      <c r="R683" s="453" t="s">
        <v>505</v>
      </c>
      <c r="S683" s="453" t="s">
        <v>505</v>
      </c>
      <c r="T683" s="453" t="s">
        <v>505</v>
      </c>
      <c r="U683" s="453" t="s">
        <v>505</v>
      </c>
      <c r="V683" s="455"/>
      <c r="AK683" s="356"/>
      <c r="AL683" s="356"/>
      <c r="AM683" s="356"/>
      <c r="AN683" s="356"/>
      <c r="AO683" s="356"/>
      <c r="AP683" s="356"/>
      <c r="AQ683" s="356"/>
      <c r="AR683" s="356"/>
    </row>
    <row r="684" spans="1:82">
      <c r="B684" s="84" t="s">
        <v>443</v>
      </c>
      <c r="C684" s="452" t="s">
        <v>505</v>
      </c>
      <c r="D684" s="453" t="s">
        <v>505</v>
      </c>
      <c r="E684" s="453" t="s">
        <v>505</v>
      </c>
      <c r="F684" s="453"/>
      <c r="G684" s="453"/>
      <c r="H684" s="453"/>
      <c r="I684" s="453"/>
      <c r="J684" s="453" t="s">
        <v>505</v>
      </c>
      <c r="K684" s="453" t="s">
        <v>505</v>
      </c>
      <c r="L684" s="454"/>
      <c r="M684" s="453" t="s">
        <v>505</v>
      </c>
      <c r="N684" s="453" t="s">
        <v>505</v>
      </c>
      <c r="O684" s="453" t="s">
        <v>505</v>
      </c>
      <c r="P684" s="453" t="s">
        <v>505</v>
      </c>
      <c r="Q684" s="453" t="s">
        <v>505</v>
      </c>
      <c r="R684" s="453" t="s">
        <v>505</v>
      </c>
      <c r="S684" s="453" t="s">
        <v>505</v>
      </c>
      <c r="T684" s="453" t="s">
        <v>505</v>
      </c>
      <c r="U684" s="453" t="s">
        <v>505</v>
      </c>
      <c r="V684" s="455" t="s">
        <v>505</v>
      </c>
      <c r="AK684" s="356"/>
      <c r="AL684" s="356"/>
      <c r="AM684" s="356"/>
      <c r="AN684" s="356"/>
      <c r="AO684" s="356"/>
      <c r="AP684" s="356"/>
      <c r="AQ684" s="356"/>
      <c r="AR684" s="356"/>
    </row>
    <row r="685" spans="1:82">
      <c r="B685" s="84" t="s">
        <v>445</v>
      </c>
      <c r="C685" s="452" t="s">
        <v>505</v>
      </c>
      <c r="D685" s="453" t="s">
        <v>505</v>
      </c>
      <c r="E685" s="453" t="s">
        <v>505</v>
      </c>
      <c r="F685" s="453"/>
      <c r="G685" s="453"/>
      <c r="H685" s="453"/>
      <c r="I685" s="453" t="s">
        <v>505</v>
      </c>
      <c r="J685" s="453"/>
      <c r="K685" s="453"/>
      <c r="L685" s="454"/>
      <c r="M685" s="453" t="s">
        <v>505</v>
      </c>
      <c r="N685" s="453" t="s">
        <v>505</v>
      </c>
      <c r="O685" s="453" t="s">
        <v>505</v>
      </c>
      <c r="P685" s="453"/>
      <c r="Q685" s="453"/>
      <c r="R685" s="453"/>
      <c r="S685" s="453"/>
      <c r="T685" s="453" t="s">
        <v>505</v>
      </c>
      <c r="U685" s="453" t="s">
        <v>505</v>
      </c>
      <c r="V685" s="455"/>
      <c r="AK685" s="356"/>
      <c r="AL685" s="356"/>
      <c r="AM685" s="356"/>
      <c r="AN685" s="356"/>
      <c r="AO685" s="356"/>
      <c r="AP685" s="356"/>
      <c r="AQ685" s="356"/>
      <c r="AR685" s="356"/>
    </row>
    <row r="686" spans="1:82">
      <c r="B686" s="84" t="s">
        <v>446</v>
      </c>
      <c r="C686" s="452" t="s">
        <v>505</v>
      </c>
      <c r="D686" s="453" t="s">
        <v>505</v>
      </c>
      <c r="E686" s="453" t="s">
        <v>505</v>
      </c>
      <c r="F686" s="453"/>
      <c r="G686" s="453" t="s">
        <v>505</v>
      </c>
      <c r="H686" s="453" t="s">
        <v>505</v>
      </c>
      <c r="I686" s="453" t="s">
        <v>505</v>
      </c>
      <c r="J686" s="453" t="s">
        <v>505</v>
      </c>
      <c r="K686" s="453" t="s">
        <v>505</v>
      </c>
      <c r="L686" s="454" t="s">
        <v>505</v>
      </c>
      <c r="M686" s="453" t="s">
        <v>505</v>
      </c>
      <c r="N686" s="453" t="s">
        <v>505</v>
      </c>
      <c r="O686" s="453" t="s">
        <v>505</v>
      </c>
      <c r="P686" s="453"/>
      <c r="Q686" s="453"/>
      <c r="R686" s="453"/>
      <c r="S686" s="453" t="s">
        <v>505</v>
      </c>
      <c r="T686" s="453"/>
      <c r="U686" s="453"/>
      <c r="V686" s="455"/>
      <c r="AK686" s="356"/>
      <c r="AL686" s="356"/>
      <c r="AM686" s="356"/>
      <c r="AN686" s="356"/>
      <c r="AO686" s="356"/>
      <c r="AP686" s="356"/>
      <c r="AQ686" s="356"/>
      <c r="AR686" s="356"/>
    </row>
    <row r="687" spans="1:82">
      <c r="B687" s="84" t="s">
        <v>448</v>
      </c>
      <c r="C687" s="452" t="s">
        <v>505</v>
      </c>
      <c r="D687" s="453" t="s">
        <v>505</v>
      </c>
      <c r="E687" s="453" t="s">
        <v>505</v>
      </c>
      <c r="F687" s="453"/>
      <c r="G687" s="453" t="s">
        <v>505</v>
      </c>
      <c r="H687" s="453" t="s">
        <v>505</v>
      </c>
      <c r="I687" s="453" t="s">
        <v>505</v>
      </c>
      <c r="J687" s="453" t="s">
        <v>505</v>
      </c>
      <c r="K687" s="453" t="s">
        <v>505</v>
      </c>
      <c r="L687" s="454" t="s">
        <v>505</v>
      </c>
      <c r="M687" s="453" t="s">
        <v>505</v>
      </c>
      <c r="N687" s="453" t="s">
        <v>505</v>
      </c>
      <c r="O687" s="453" t="s">
        <v>505</v>
      </c>
      <c r="P687" s="453"/>
      <c r="Q687" s="453" t="s">
        <v>505</v>
      </c>
      <c r="R687" s="453" t="s">
        <v>505</v>
      </c>
      <c r="S687" s="453" t="s">
        <v>505</v>
      </c>
      <c r="T687" s="453" t="s">
        <v>505</v>
      </c>
      <c r="U687" s="453" t="s">
        <v>505</v>
      </c>
      <c r="V687" s="455" t="s">
        <v>505</v>
      </c>
      <c r="AK687" s="356"/>
      <c r="AL687" s="356"/>
      <c r="AM687" s="356"/>
      <c r="AN687" s="356"/>
      <c r="AO687" s="356"/>
      <c r="AP687" s="356"/>
      <c r="AQ687" s="356"/>
      <c r="AR687" s="356"/>
    </row>
    <row r="688" spans="1:82">
      <c r="B688" s="84" t="s">
        <v>449</v>
      </c>
      <c r="C688" s="452" t="s">
        <v>505</v>
      </c>
      <c r="D688" s="453" t="s">
        <v>505</v>
      </c>
      <c r="E688" s="453" t="s">
        <v>505</v>
      </c>
      <c r="F688" s="453"/>
      <c r="G688" s="453" t="s">
        <v>505</v>
      </c>
      <c r="H688" s="453" t="s">
        <v>505</v>
      </c>
      <c r="I688" s="453"/>
      <c r="J688" s="453" t="s">
        <v>505</v>
      </c>
      <c r="K688" s="453"/>
      <c r="L688" s="454"/>
      <c r="M688" s="453" t="s">
        <v>505</v>
      </c>
      <c r="N688" s="453" t="s">
        <v>505</v>
      </c>
      <c r="O688" s="453" t="s">
        <v>505</v>
      </c>
      <c r="P688" s="453"/>
      <c r="Q688" s="453" t="s">
        <v>505</v>
      </c>
      <c r="R688" s="453" t="s">
        <v>505</v>
      </c>
      <c r="S688" s="453" t="s">
        <v>505</v>
      </c>
      <c r="T688" s="453" t="s">
        <v>505</v>
      </c>
      <c r="U688" s="453" t="s">
        <v>505</v>
      </c>
      <c r="V688" s="455" t="s">
        <v>505</v>
      </c>
      <c r="AK688" s="356"/>
      <c r="AL688" s="356"/>
      <c r="AM688" s="356"/>
      <c r="AN688" s="356"/>
      <c r="AO688" s="356"/>
      <c r="AP688" s="356"/>
      <c r="AQ688" s="356"/>
      <c r="AR688" s="356"/>
    </row>
    <row r="689" spans="2:44">
      <c r="B689" s="84" t="s">
        <v>450</v>
      </c>
      <c r="C689" s="452" t="s">
        <v>505</v>
      </c>
      <c r="D689" s="453" t="s">
        <v>505</v>
      </c>
      <c r="E689" s="453" t="s">
        <v>505</v>
      </c>
      <c r="F689" s="453"/>
      <c r="G689" s="453"/>
      <c r="H689" s="453"/>
      <c r="I689" s="453" t="s">
        <v>505</v>
      </c>
      <c r="J689" s="453" t="s">
        <v>505</v>
      </c>
      <c r="K689" s="453" t="s">
        <v>505</v>
      </c>
      <c r="L689" s="454" t="s">
        <v>505</v>
      </c>
      <c r="M689" s="453" t="s">
        <v>505</v>
      </c>
      <c r="N689" s="453" t="s">
        <v>505</v>
      </c>
      <c r="O689" s="453" t="s">
        <v>505</v>
      </c>
      <c r="P689" s="453"/>
      <c r="Q689" s="453" t="s">
        <v>505</v>
      </c>
      <c r="R689" s="453" t="s">
        <v>505</v>
      </c>
      <c r="S689" s="453"/>
      <c r="T689" s="453" t="s">
        <v>505</v>
      </c>
      <c r="U689" s="453"/>
      <c r="V689" s="455"/>
      <c r="AK689" s="356"/>
      <c r="AL689" s="356"/>
      <c r="AM689" s="356"/>
      <c r="AN689" s="356"/>
      <c r="AO689" s="356"/>
      <c r="AP689" s="356"/>
      <c r="AQ689" s="356"/>
      <c r="AR689" s="356"/>
    </row>
    <row r="690" spans="2:44">
      <c r="B690" s="84" t="s">
        <v>451</v>
      </c>
      <c r="C690" s="452" t="s">
        <v>505</v>
      </c>
      <c r="D690" s="453" t="s">
        <v>505</v>
      </c>
      <c r="E690" s="453" t="s">
        <v>505</v>
      </c>
      <c r="F690" s="453"/>
      <c r="G690" s="453" t="s">
        <v>505</v>
      </c>
      <c r="H690" s="453" t="s">
        <v>505</v>
      </c>
      <c r="I690" s="453" t="s">
        <v>505</v>
      </c>
      <c r="J690" s="453" t="s">
        <v>505</v>
      </c>
      <c r="K690" s="453" t="s">
        <v>505</v>
      </c>
      <c r="L690" s="454" t="s">
        <v>505</v>
      </c>
      <c r="M690" s="453" t="s">
        <v>505</v>
      </c>
      <c r="N690" s="453" t="s">
        <v>505</v>
      </c>
      <c r="O690" s="453" t="s">
        <v>505</v>
      </c>
      <c r="P690" s="453"/>
      <c r="Q690" s="453"/>
      <c r="R690" s="453"/>
      <c r="S690" s="453" t="s">
        <v>505</v>
      </c>
      <c r="T690" s="453" t="s">
        <v>505</v>
      </c>
      <c r="U690" s="453" t="s">
        <v>505</v>
      </c>
      <c r="V690" s="455" t="s">
        <v>505</v>
      </c>
      <c r="AK690" s="356"/>
      <c r="AL690" s="356"/>
      <c r="AM690" s="356"/>
      <c r="AN690" s="356"/>
      <c r="AO690" s="356"/>
      <c r="AP690" s="356"/>
      <c r="AQ690" s="356"/>
      <c r="AR690" s="356"/>
    </row>
    <row r="691" spans="2:44">
      <c r="B691" s="84" t="s">
        <v>452</v>
      </c>
      <c r="C691" s="452" t="s">
        <v>505</v>
      </c>
      <c r="D691" s="453" t="s">
        <v>505</v>
      </c>
      <c r="E691" s="453" t="s">
        <v>505</v>
      </c>
      <c r="F691" s="453"/>
      <c r="G691" s="453" t="s">
        <v>505</v>
      </c>
      <c r="H691" s="453" t="s">
        <v>505</v>
      </c>
      <c r="I691" s="453" t="s">
        <v>505</v>
      </c>
      <c r="J691" s="453" t="s">
        <v>505</v>
      </c>
      <c r="K691" s="453" t="s">
        <v>505</v>
      </c>
      <c r="L691" s="454"/>
      <c r="M691" s="453" t="s">
        <v>505</v>
      </c>
      <c r="N691" s="453" t="s">
        <v>505</v>
      </c>
      <c r="O691" s="453" t="s">
        <v>505</v>
      </c>
      <c r="P691" s="453"/>
      <c r="Q691" s="453" t="s">
        <v>505</v>
      </c>
      <c r="R691" s="453" t="s">
        <v>505</v>
      </c>
      <c r="S691" s="453" t="s">
        <v>505</v>
      </c>
      <c r="T691" s="453" t="s">
        <v>505</v>
      </c>
      <c r="U691" s="453" t="s">
        <v>505</v>
      </c>
      <c r="V691" s="455" t="s">
        <v>505</v>
      </c>
      <c r="AK691" s="356"/>
      <c r="AL691" s="356"/>
      <c r="AM691" s="356"/>
      <c r="AN691" s="356"/>
      <c r="AO691" s="356"/>
      <c r="AP691" s="356"/>
      <c r="AQ691" s="356"/>
      <c r="AR691" s="356"/>
    </row>
    <row r="692" spans="2:44">
      <c r="B692" s="84" t="s">
        <v>453</v>
      </c>
      <c r="C692" s="452" t="s">
        <v>505</v>
      </c>
      <c r="D692" s="453" t="s">
        <v>505</v>
      </c>
      <c r="E692" s="453" t="s">
        <v>505</v>
      </c>
      <c r="F692" s="453"/>
      <c r="G692" s="453" t="s">
        <v>505</v>
      </c>
      <c r="H692" s="453" t="s">
        <v>505</v>
      </c>
      <c r="I692" s="453" t="s">
        <v>505</v>
      </c>
      <c r="J692" s="453" t="s">
        <v>505</v>
      </c>
      <c r="K692" s="453" t="s">
        <v>505</v>
      </c>
      <c r="L692" s="454"/>
      <c r="M692" s="453" t="s">
        <v>505</v>
      </c>
      <c r="N692" s="453" t="s">
        <v>505</v>
      </c>
      <c r="O692" s="453" t="s">
        <v>505</v>
      </c>
      <c r="P692" s="453"/>
      <c r="Q692" s="453" t="s">
        <v>505</v>
      </c>
      <c r="R692" s="453" t="s">
        <v>505</v>
      </c>
      <c r="S692" s="453" t="s">
        <v>505</v>
      </c>
      <c r="T692" s="453" t="s">
        <v>505</v>
      </c>
      <c r="U692" s="453" t="s">
        <v>505</v>
      </c>
      <c r="V692" s="455"/>
      <c r="AK692" s="356"/>
      <c r="AL692" s="356"/>
      <c r="AM692" s="356"/>
      <c r="AN692" s="356"/>
      <c r="AO692" s="356"/>
      <c r="AP692" s="356"/>
      <c r="AQ692" s="356"/>
      <c r="AR692" s="356"/>
    </row>
    <row r="693" spans="2:44">
      <c r="B693" s="84" t="s">
        <v>454</v>
      </c>
      <c r="C693" s="452" t="s">
        <v>505</v>
      </c>
      <c r="D693" s="453" t="s">
        <v>505</v>
      </c>
      <c r="E693" s="453" t="s">
        <v>505</v>
      </c>
      <c r="F693" s="453"/>
      <c r="G693" s="453" t="s">
        <v>505</v>
      </c>
      <c r="H693" s="453" t="s">
        <v>505</v>
      </c>
      <c r="I693" s="453" t="s">
        <v>505</v>
      </c>
      <c r="J693" s="453" t="s">
        <v>505</v>
      </c>
      <c r="K693" s="453" t="s">
        <v>505</v>
      </c>
      <c r="L693" s="454" t="s">
        <v>505</v>
      </c>
      <c r="M693" s="453" t="s">
        <v>505</v>
      </c>
      <c r="N693" s="453" t="s">
        <v>505</v>
      </c>
      <c r="O693" s="453" t="s">
        <v>505</v>
      </c>
      <c r="P693" s="453"/>
      <c r="Q693" s="453" t="s">
        <v>505</v>
      </c>
      <c r="R693" s="453" t="s">
        <v>505</v>
      </c>
      <c r="S693" s="453" t="s">
        <v>505</v>
      </c>
      <c r="T693" s="453" t="s">
        <v>505</v>
      </c>
      <c r="U693" s="453" t="s">
        <v>505</v>
      </c>
      <c r="V693" s="455"/>
      <c r="AK693" s="356"/>
      <c r="AL693" s="356"/>
      <c r="AM693" s="356"/>
      <c r="AN693" s="356"/>
      <c r="AO693" s="356"/>
      <c r="AP693" s="356"/>
      <c r="AQ693" s="356"/>
      <c r="AR693" s="356"/>
    </row>
    <row r="694" spans="2:44">
      <c r="B694" s="84" t="s">
        <v>455</v>
      </c>
      <c r="C694" s="452" t="s">
        <v>505</v>
      </c>
      <c r="D694" s="453" t="s">
        <v>505</v>
      </c>
      <c r="E694" s="453" t="s">
        <v>505</v>
      </c>
      <c r="F694" s="453"/>
      <c r="G694" s="453" t="s">
        <v>505</v>
      </c>
      <c r="H694" s="453" t="s">
        <v>505</v>
      </c>
      <c r="I694" s="453" t="s">
        <v>505</v>
      </c>
      <c r="J694" s="453" t="s">
        <v>505</v>
      </c>
      <c r="K694" s="453" t="s">
        <v>505</v>
      </c>
      <c r="L694" s="454" t="s">
        <v>505</v>
      </c>
      <c r="M694" s="453" t="s">
        <v>505</v>
      </c>
      <c r="N694" s="453" t="s">
        <v>505</v>
      </c>
      <c r="O694" s="453" t="s">
        <v>505</v>
      </c>
      <c r="P694" s="453"/>
      <c r="Q694" s="453" t="s">
        <v>505</v>
      </c>
      <c r="R694" s="453" t="s">
        <v>505</v>
      </c>
      <c r="S694" s="453" t="s">
        <v>505</v>
      </c>
      <c r="T694" s="453" t="s">
        <v>505</v>
      </c>
      <c r="U694" s="453" t="s">
        <v>505</v>
      </c>
      <c r="V694" s="455" t="s">
        <v>505</v>
      </c>
      <c r="AK694" s="356"/>
      <c r="AL694" s="356"/>
      <c r="AM694" s="356"/>
      <c r="AN694" s="356"/>
      <c r="AO694" s="356"/>
      <c r="AP694" s="356"/>
      <c r="AQ694" s="356"/>
      <c r="AR694" s="356"/>
    </row>
    <row r="695" spans="2:44">
      <c r="B695" s="84" t="s">
        <v>456</v>
      </c>
      <c r="C695" s="452" t="s">
        <v>505</v>
      </c>
      <c r="D695" s="453" t="s">
        <v>505</v>
      </c>
      <c r="E695" s="453" t="s">
        <v>505</v>
      </c>
      <c r="F695" s="453"/>
      <c r="G695" s="453"/>
      <c r="H695" s="453"/>
      <c r="I695" s="453" t="s">
        <v>505</v>
      </c>
      <c r="J695" s="453" t="s">
        <v>505</v>
      </c>
      <c r="K695" s="453" t="s">
        <v>505</v>
      </c>
      <c r="L695" s="454" t="s">
        <v>505</v>
      </c>
      <c r="M695" s="453" t="s">
        <v>505</v>
      </c>
      <c r="N695" s="453" t="s">
        <v>505</v>
      </c>
      <c r="O695" s="453" t="s">
        <v>505</v>
      </c>
      <c r="P695" s="453"/>
      <c r="Q695" s="453" t="s">
        <v>505</v>
      </c>
      <c r="R695" s="453" t="s">
        <v>505</v>
      </c>
      <c r="S695" s="453" t="s">
        <v>505</v>
      </c>
      <c r="T695" s="453" t="s">
        <v>505</v>
      </c>
      <c r="U695" s="453" t="s">
        <v>505</v>
      </c>
      <c r="V695" s="455" t="s">
        <v>505</v>
      </c>
      <c r="AK695" s="356"/>
      <c r="AL695" s="356"/>
      <c r="AM695" s="356"/>
      <c r="AN695" s="356"/>
      <c r="AO695" s="356"/>
      <c r="AP695" s="356"/>
      <c r="AQ695" s="356"/>
      <c r="AR695" s="356"/>
    </row>
    <row r="696" spans="2:44">
      <c r="B696" s="84" t="s">
        <v>457</v>
      </c>
      <c r="C696" s="452" t="s">
        <v>505</v>
      </c>
      <c r="D696" s="453" t="s">
        <v>505</v>
      </c>
      <c r="E696" s="453" t="s">
        <v>505</v>
      </c>
      <c r="F696" s="453"/>
      <c r="G696" s="453" t="s">
        <v>505</v>
      </c>
      <c r="H696" s="453" t="s">
        <v>505</v>
      </c>
      <c r="I696" s="453"/>
      <c r="J696" s="453" t="s">
        <v>505</v>
      </c>
      <c r="K696" s="453"/>
      <c r="L696" s="454"/>
      <c r="M696" s="453" t="s">
        <v>505</v>
      </c>
      <c r="N696" s="453" t="s">
        <v>505</v>
      </c>
      <c r="O696" s="453" t="s">
        <v>505</v>
      </c>
      <c r="P696" s="453"/>
      <c r="Q696" s="453"/>
      <c r="R696" s="453"/>
      <c r="S696" s="453" t="s">
        <v>505</v>
      </c>
      <c r="T696" s="453" t="s">
        <v>505</v>
      </c>
      <c r="U696" s="453" t="s">
        <v>505</v>
      </c>
      <c r="V696" s="455" t="s">
        <v>505</v>
      </c>
      <c r="AK696" s="356"/>
      <c r="AL696" s="356"/>
      <c r="AM696" s="356"/>
      <c r="AN696" s="356"/>
      <c r="AO696" s="356"/>
      <c r="AP696" s="356"/>
      <c r="AQ696" s="356"/>
      <c r="AR696" s="356"/>
    </row>
    <row r="697" spans="2:44">
      <c r="B697" s="84" t="s">
        <v>458</v>
      </c>
      <c r="C697" s="452" t="s">
        <v>505</v>
      </c>
      <c r="D697" s="453" t="s">
        <v>505</v>
      </c>
      <c r="E697" s="453" t="s">
        <v>505</v>
      </c>
      <c r="F697" s="453"/>
      <c r="G697" s="453" t="s">
        <v>505</v>
      </c>
      <c r="H697" s="453" t="s">
        <v>505</v>
      </c>
      <c r="I697" s="453" t="s">
        <v>505</v>
      </c>
      <c r="J697" s="453" t="s">
        <v>505</v>
      </c>
      <c r="K697" s="453" t="s">
        <v>505</v>
      </c>
      <c r="L697" s="454"/>
      <c r="M697" s="453" t="s">
        <v>505</v>
      </c>
      <c r="N697" s="453" t="s">
        <v>505</v>
      </c>
      <c r="O697" s="453" t="s">
        <v>505</v>
      </c>
      <c r="P697" s="453"/>
      <c r="Q697" s="453" t="s">
        <v>505</v>
      </c>
      <c r="R697" s="453" t="s">
        <v>505</v>
      </c>
      <c r="S697" s="453"/>
      <c r="T697" s="453" t="s">
        <v>505</v>
      </c>
      <c r="U697" s="453"/>
      <c r="V697" s="455"/>
      <c r="AK697" s="356"/>
      <c r="AL697" s="356"/>
      <c r="AM697" s="356"/>
      <c r="AN697" s="356"/>
      <c r="AO697" s="356"/>
      <c r="AP697" s="356"/>
      <c r="AQ697" s="356"/>
      <c r="AR697" s="356"/>
    </row>
    <row r="698" spans="2:44">
      <c r="B698" s="84" t="s">
        <v>459</v>
      </c>
      <c r="C698" s="452" t="s">
        <v>505</v>
      </c>
      <c r="D698" s="453" t="s">
        <v>505</v>
      </c>
      <c r="E698" s="453" t="s">
        <v>505</v>
      </c>
      <c r="F698" s="453" t="s">
        <v>505</v>
      </c>
      <c r="G698" s="453" t="s">
        <v>505</v>
      </c>
      <c r="H698" s="453" t="s">
        <v>505</v>
      </c>
      <c r="I698" s="453" t="s">
        <v>505</v>
      </c>
      <c r="J698" s="453" t="s">
        <v>505</v>
      </c>
      <c r="K698" s="453" t="s">
        <v>505</v>
      </c>
      <c r="L698" s="454" t="s">
        <v>505</v>
      </c>
      <c r="M698" s="453" t="s">
        <v>505</v>
      </c>
      <c r="N698" s="453" t="s">
        <v>505</v>
      </c>
      <c r="O698" s="453" t="s">
        <v>505</v>
      </c>
      <c r="P698" s="453"/>
      <c r="Q698" s="453" t="s">
        <v>505</v>
      </c>
      <c r="R698" s="453" t="s">
        <v>505</v>
      </c>
      <c r="S698" s="453" t="s">
        <v>505</v>
      </c>
      <c r="T698" s="453" t="s">
        <v>505</v>
      </c>
      <c r="U698" s="453" t="s">
        <v>505</v>
      </c>
      <c r="V698" s="455"/>
      <c r="AK698" s="356"/>
      <c r="AL698" s="356"/>
      <c r="AM698" s="356"/>
      <c r="AN698" s="356"/>
      <c r="AO698" s="356"/>
      <c r="AP698" s="356"/>
      <c r="AQ698" s="356"/>
      <c r="AR698" s="356"/>
    </row>
    <row r="699" spans="2:44">
      <c r="B699" s="84" t="s">
        <v>460</v>
      </c>
      <c r="C699" s="452" t="s">
        <v>505</v>
      </c>
      <c r="D699" s="453" t="s">
        <v>505</v>
      </c>
      <c r="E699" s="453" t="s">
        <v>505</v>
      </c>
      <c r="F699" s="453"/>
      <c r="G699" s="453" t="s">
        <v>505</v>
      </c>
      <c r="H699" s="453" t="s">
        <v>505</v>
      </c>
      <c r="I699" s="453" t="s">
        <v>505</v>
      </c>
      <c r="J699" s="453" t="s">
        <v>505</v>
      </c>
      <c r="K699" s="453" t="s">
        <v>505</v>
      </c>
      <c r="L699" s="454"/>
      <c r="M699" s="453" t="s">
        <v>505</v>
      </c>
      <c r="N699" s="453" t="s">
        <v>505</v>
      </c>
      <c r="O699" s="453" t="s">
        <v>505</v>
      </c>
      <c r="P699" s="453" t="s">
        <v>505</v>
      </c>
      <c r="Q699" s="453" t="s">
        <v>505</v>
      </c>
      <c r="R699" s="453" t="s">
        <v>505</v>
      </c>
      <c r="S699" s="453" t="s">
        <v>505</v>
      </c>
      <c r="T699" s="453" t="s">
        <v>505</v>
      </c>
      <c r="U699" s="453" t="s">
        <v>505</v>
      </c>
      <c r="V699" s="455" t="s">
        <v>505</v>
      </c>
      <c r="AK699" s="356"/>
      <c r="AL699" s="356"/>
      <c r="AM699" s="356"/>
      <c r="AN699" s="356"/>
      <c r="AO699" s="356"/>
      <c r="AP699" s="356"/>
      <c r="AQ699" s="356"/>
      <c r="AR699" s="356"/>
    </row>
    <row r="700" spans="2:44">
      <c r="B700" s="84" t="s">
        <v>461</v>
      </c>
      <c r="C700" s="452" t="s">
        <v>505</v>
      </c>
      <c r="D700" s="453" t="s">
        <v>505</v>
      </c>
      <c r="E700" s="453" t="s">
        <v>505</v>
      </c>
      <c r="F700" s="453"/>
      <c r="G700" s="453" t="s">
        <v>505</v>
      </c>
      <c r="H700" s="453" t="s">
        <v>505</v>
      </c>
      <c r="I700" s="453" t="s">
        <v>505</v>
      </c>
      <c r="J700" s="453" t="s">
        <v>505</v>
      </c>
      <c r="K700" s="453" t="s">
        <v>505</v>
      </c>
      <c r="L700" s="454"/>
      <c r="M700" s="453" t="s">
        <v>505</v>
      </c>
      <c r="N700" s="453" t="s">
        <v>505</v>
      </c>
      <c r="O700" s="453" t="s">
        <v>505</v>
      </c>
      <c r="P700" s="453"/>
      <c r="Q700" s="453" t="s">
        <v>505</v>
      </c>
      <c r="R700" s="453" t="s">
        <v>505</v>
      </c>
      <c r="S700" s="453" t="s">
        <v>505</v>
      </c>
      <c r="T700" s="453" t="s">
        <v>505</v>
      </c>
      <c r="U700" s="453" t="s">
        <v>505</v>
      </c>
      <c r="V700" s="455"/>
      <c r="AK700" s="356"/>
      <c r="AL700" s="356"/>
      <c r="AM700" s="356"/>
      <c r="AN700" s="356"/>
      <c r="AO700" s="356"/>
      <c r="AP700" s="356"/>
      <c r="AQ700" s="356"/>
      <c r="AR700" s="356"/>
    </row>
    <row r="701" spans="2:44">
      <c r="B701" s="84" t="s">
        <v>462</v>
      </c>
      <c r="C701" s="452" t="s">
        <v>505</v>
      </c>
      <c r="D701" s="453" t="s">
        <v>505</v>
      </c>
      <c r="E701" s="453" t="s">
        <v>505</v>
      </c>
      <c r="F701" s="453"/>
      <c r="G701" s="453"/>
      <c r="H701" s="453"/>
      <c r="I701" s="453" t="s">
        <v>505</v>
      </c>
      <c r="J701" s="453" t="s">
        <v>505</v>
      </c>
      <c r="K701" s="453" t="s">
        <v>505</v>
      </c>
      <c r="L701" s="454" t="s">
        <v>505</v>
      </c>
      <c r="M701" s="453" t="s">
        <v>505</v>
      </c>
      <c r="N701" s="453" t="s">
        <v>505</v>
      </c>
      <c r="O701" s="453" t="s">
        <v>505</v>
      </c>
      <c r="P701" s="453"/>
      <c r="Q701" s="453" t="s">
        <v>505</v>
      </c>
      <c r="R701" s="453" t="s">
        <v>505</v>
      </c>
      <c r="S701" s="453" t="s">
        <v>505</v>
      </c>
      <c r="T701" s="453" t="s">
        <v>505</v>
      </c>
      <c r="U701" s="453" t="s">
        <v>505</v>
      </c>
      <c r="V701" s="455"/>
      <c r="AK701" s="356"/>
      <c r="AL701" s="356"/>
      <c r="AM701" s="356"/>
      <c r="AN701" s="356"/>
      <c r="AO701" s="356"/>
      <c r="AP701" s="356"/>
      <c r="AQ701" s="356"/>
      <c r="AR701" s="356"/>
    </row>
    <row r="702" spans="2:44">
      <c r="B702" s="84" t="s">
        <v>463</v>
      </c>
      <c r="C702" s="452" t="s">
        <v>505</v>
      </c>
      <c r="D702" s="453" t="s">
        <v>505</v>
      </c>
      <c r="E702" s="453" t="s">
        <v>505</v>
      </c>
      <c r="F702" s="453"/>
      <c r="G702" s="453" t="s">
        <v>505</v>
      </c>
      <c r="H702" s="453" t="s">
        <v>505</v>
      </c>
      <c r="I702" s="453" t="s">
        <v>505</v>
      </c>
      <c r="J702" s="453" t="s">
        <v>505</v>
      </c>
      <c r="K702" s="453" t="s">
        <v>505</v>
      </c>
      <c r="L702" s="454"/>
      <c r="M702" s="453" t="s">
        <v>505</v>
      </c>
      <c r="N702" s="453" t="s">
        <v>505</v>
      </c>
      <c r="O702" s="453" t="s">
        <v>505</v>
      </c>
      <c r="P702" s="453"/>
      <c r="Q702" s="453"/>
      <c r="R702" s="453"/>
      <c r="S702" s="453" t="s">
        <v>505</v>
      </c>
      <c r="T702" s="453" t="s">
        <v>505</v>
      </c>
      <c r="U702" s="453" t="s">
        <v>505</v>
      </c>
      <c r="V702" s="455" t="s">
        <v>505</v>
      </c>
      <c r="AK702" s="356"/>
      <c r="AL702" s="356"/>
      <c r="AM702" s="356"/>
      <c r="AN702" s="356"/>
      <c r="AO702" s="356"/>
      <c r="AP702" s="356"/>
      <c r="AQ702" s="356"/>
      <c r="AR702" s="356"/>
    </row>
    <row r="703" spans="2:44">
      <c r="B703" s="84" t="s">
        <v>464</v>
      </c>
      <c r="C703" s="452" t="s">
        <v>505</v>
      </c>
      <c r="D703" s="453" t="s">
        <v>505</v>
      </c>
      <c r="E703" s="453" t="s">
        <v>505</v>
      </c>
      <c r="F703" s="453"/>
      <c r="G703" s="453" t="s">
        <v>505</v>
      </c>
      <c r="H703" s="453" t="s">
        <v>505</v>
      </c>
      <c r="I703" s="453"/>
      <c r="J703" s="453" t="s">
        <v>505</v>
      </c>
      <c r="K703" s="453"/>
      <c r="L703" s="454"/>
      <c r="M703" s="453" t="s">
        <v>505</v>
      </c>
      <c r="N703" s="453" t="s">
        <v>505</v>
      </c>
      <c r="O703" s="453" t="s">
        <v>505</v>
      </c>
      <c r="P703" s="453"/>
      <c r="Q703" s="453" t="s">
        <v>505</v>
      </c>
      <c r="R703" s="453" t="s">
        <v>505</v>
      </c>
      <c r="S703" s="453" t="s">
        <v>505</v>
      </c>
      <c r="T703" s="453" t="s">
        <v>505</v>
      </c>
      <c r="U703" s="453" t="s">
        <v>505</v>
      </c>
      <c r="V703" s="455"/>
      <c r="AK703" s="356"/>
      <c r="AL703" s="356"/>
      <c r="AM703" s="356"/>
      <c r="AN703" s="356"/>
      <c r="AO703" s="356"/>
      <c r="AP703" s="356"/>
      <c r="AQ703" s="356"/>
      <c r="AR703" s="356"/>
    </row>
    <row r="704" spans="2:44">
      <c r="B704" s="84" t="s">
        <v>465</v>
      </c>
      <c r="C704" s="452" t="s">
        <v>505</v>
      </c>
      <c r="D704" s="453" t="s">
        <v>505</v>
      </c>
      <c r="E704" s="453" t="s">
        <v>505</v>
      </c>
      <c r="F704" s="453"/>
      <c r="G704" s="453" t="s">
        <v>505</v>
      </c>
      <c r="H704" s="453" t="s">
        <v>505</v>
      </c>
      <c r="I704" s="453" t="s">
        <v>505</v>
      </c>
      <c r="J704" s="453" t="s">
        <v>505</v>
      </c>
      <c r="K704" s="453" t="s">
        <v>505</v>
      </c>
      <c r="L704" s="454"/>
      <c r="M704" s="453" t="s">
        <v>505</v>
      </c>
      <c r="N704" s="453" t="s">
        <v>505</v>
      </c>
      <c r="O704" s="453" t="s">
        <v>505</v>
      </c>
      <c r="P704" s="453"/>
      <c r="Q704" s="453" t="s">
        <v>505</v>
      </c>
      <c r="R704" s="453" t="s">
        <v>505</v>
      </c>
      <c r="S704" s="453"/>
      <c r="T704" s="453" t="s">
        <v>505</v>
      </c>
      <c r="U704" s="453"/>
      <c r="V704" s="455"/>
      <c r="AK704" s="356"/>
      <c r="AL704" s="356"/>
      <c r="AM704" s="356"/>
      <c r="AN704" s="356"/>
      <c r="AO704" s="356"/>
      <c r="AP704" s="356"/>
      <c r="AQ704" s="356"/>
      <c r="AR704" s="356"/>
    </row>
    <row r="705" spans="2:44">
      <c r="B705" s="84" t="s">
        <v>466</v>
      </c>
      <c r="C705" s="452" t="s">
        <v>505</v>
      </c>
      <c r="D705" s="453" t="s">
        <v>505</v>
      </c>
      <c r="E705" s="453" t="s">
        <v>505</v>
      </c>
      <c r="F705" s="453"/>
      <c r="G705" s="453" t="s">
        <v>505</v>
      </c>
      <c r="H705" s="453" t="s">
        <v>505</v>
      </c>
      <c r="I705" s="453" t="s">
        <v>505</v>
      </c>
      <c r="J705" s="453" t="s">
        <v>505</v>
      </c>
      <c r="K705" s="453" t="s">
        <v>505</v>
      </c>
      <c r="L705" s="454" t="s">
        <v>505</v>
      </c>
      <c r="M705" s="453" t="s">
        <v>505</v>
      </c>
      <c r="N705" s="453" t="s">
        <v>505</v>
      </c>
      <c r="O705" s="453" t="s">
        <v>505</v>
      </c>
      <c r="P705" s="453"/>
      <c r="Q705" s="453" t="s">
        <v>505</v>
      </c>
      <c r="R705" s="453" t="s">
        <v>505</v>
      </c>
      <c r="S705" s="453" t="s">
        <v>505</v>
      </c>
      <c r="T705" s="453" t="s">
        <v>505</v>
      </c>
      <c r="U705" s="453" t="s">
        <v>505</v>
      </c>
      <c r="V705" s="455"/>
      <c r="AK705" s="356"/>
      <c r="AL705" s="356"/>
      <c r="AM705" s="356"/>
      <c r="AN705" s="356"/>
      <c r="AO705" s="356"/>
      <c r="AP705" s="356"/>
      <c r="AQ705" s="356"/>
      <c r="AR705" s="356"/>
    </row>
    <row r="706" spans="2:44">
      <c r="B706" s="84" t="s">
        <v>467</v>
      </c>
      <c r="C706" s="452" t="s">
        <v>505</v>
      </c>
      <c r="D706" s="453" t="s">
        <v>505</v>
      </c>
      <c r="E706" s="453" t="s">
        <v>505</v>
      </c>
      <c r="F706" s="453"/>
      <c r="G706" s="453" t="s">
        <v>505</v>
      </c>
      <c r="H706" s="453" t="s">
        <v>505</v>
      </c>
      <c r="I706" s="453"/>
      <c r="J706" s="453" t="s">
        <v>505</v>
      </c>
      <c r="K706" s="453" t="s">
        <v>505</v>
      </c>
      <c r="L706" s="454"/>
      <c r="M706" s="453" t="s">
        <v>505</v>
      </c>
      <c r="N706" s="453" t="s">
        <v>505</v>
      </c>
      <c r="O706" s="453" t="s">
        <v>505</v>
      </c>
      <c r="P706" s="453"/>
      <c r="Q706" s="453" t="s">
        <v>505</v>
      </c>
      <c r="R706" s="453" t="s">
        <v>505</v>
      </c>
      <c r="S706" s="453" t="s">
        <v>505</v>
      </c>
      <c r="T706" s="453" t="s">
        <v>505</v>
      </c>
      <c r="U706" s="453" t="s">
        <v>505</v>
      </c>
      <c r="V706" s="455" t="s">
        <v>505</v>
      </c>
      <c r="AK706" s="356"/>
      <c r="AL706" s="356"/>
      <c r="AM706" s="356"/>
      <c r="AN706" s="356"/>
      <c r="AO706" s="356"/>
      <c r="AP706" s="356"/>
      <c r="AQ706" s="356"/>
      <c r="AR706" s="356"/>
    </row>
    <row r="707" spans="2:44">
      <c r="B707" s="84" t="s">
        <v>468</v>
      </c>
      <c r="C707" s="452" t="s">
        <v>505</v>
      </c>
      <c r="D707" s="453" t="s">
        <v>505</v>
      </c>
      <c r="E707" s="453" t="s">
        <v>505</v>
      </c>
      <c r="F707" s="453"/>
      <c r="G707" s="453" t="s">
        <v>505</v>
      </c>
      <c r="H707" s="453" t="s">
        <v>505</v>
      </c>
      <c r="I707" s="453" t="s">
        <v>505</v>
      </c>
      <c r="J707" s="453" t="s">
        <v>505</v>
      </c>
      <c r="K707" s="453" t="s">
        <v>505</v>
      </c>
      <c r="L707" s="454"/>
      <c r="M707" s="453" t="s">
        <v>505</v>
      </c>
      <c r="N707" s="453" t="s">
        <v>505</v>
      </c>
      <c r="O707" s="453" t="s">
        <v>505</v>
      </c>
      <c r="P707" s="453"/>
      <c r="Q707" s="453" t="s">
        <v>505</v>
      </c>
      <c r="R707" s="453" t="s">
        <v>505</v>
      </c>
      <c r="S707" s="453"/>
      <c r="T707" s="453" t="s">
        <v>505</v>
      </c>
      <c r="U707" s="453" t="s">
        <v>505</v>
      </c>
      <c r="V707" s="455"/>
      <c r="AK707" s="356"/>
      <c r="AL707" s="356"/>
      <c r="AM707" s="356"/>
      <c r="AN707" s="356"/>
      <c r="AO707" s="356"/>
      <c r="AP707" s="356"/>
      <c r="AQ707" s="356"/>
      <c r="AR707" s="356"/>
    </row>
    <row r="708" spans="2:44">
      <c r="B708" s="84" t="s">
        <v>469</v>
      </c>
      <c r="C708" s="452" t="s">
        <v>505</v>
      </c>
      <c r="D708" s="453" t="s">
        <v>505</v>
      </c>
      <c r="E708" s="453" t="s">
        <v>505</v>
      </c>
      <c r="F708" s="453"/>
      <c r="G708" s="453" t="s">
        <v>505</v>
      </c>
      <c r="H708" s="453" t="s">
        <v>505</v>
      </c>
      <c r="I708" s="453" t="s">
        <v>505</v>
      </c>
      <c r="J708" s="453" t="s">
        <v>505</v>
      </c>
      <c r="K708" s="453" t="s">
        <v>505</v>
      </c>
      <c r="L708" s="454" t="s">
        <v>505</v>
      </c>
      <c r="M708" s="453" t="s">
        <v>505</v>
      </c>
      <c r="N708" s="453" t="s">
        <v>505</v>
      </c>
      <c r="O708" s="453" t="s">
        <v>505</v>
      </c>
      <c r="P708" s="453"/>
      <c r="Q708" s="453" t="s">
        <v>505</v>
      </c>
      <c r="R708" s="453" t="s">
        <v>505</v>
      </c>
      <c r="S708" s="453" t="s">
        <v>505</v>
      </c>
      <c r="T708" s="453" t="s">
        <v>505</v>
      </c>
      <c r="U708" s="453" t="s">
        <v>505</v>
      </c>
      <c r="V708" s="455"/>
      <c r="AK708" s="356"/>
      <c r="AL708" s="356"/>
      <c r="AM708" s="356"/>
      <c r="AN708" s="356"/>
      <c r="AO708" s="356"/>
      <c r="AP708" s="356"/>
      <c r="AQ708" s="356"/>
      <c r="AR708" s="356"/>
    </row>
    <row r="709" spans="2:44">
      <c r="B709" s="84" t="s">
        <v>470</v>
      </c>
      <c r="C709" s="452" t="s">
        <v>505</v>
      </c>
      <c r="D709" s="453" t="s">
        <v>505</v>
      </c>
      <c r="E709" s="453" t="s">
        <v>505</v>
      </c>
      <c r="F709" s="453"/>
      <c r="G709" s="453" t="s">
        <v>505</v>
      </c>
      <c r="H709" s="453" t="s">
        <v>505</v>
      </c>
      <c r="I709" s="453" t="s">
        <v>505</v>
      </c>
      <c r="J709" s="453" t="s">
        <v>505</v>
      </c>
      <c r="K709" s="453" t="s">
        <v>505</v>
      </c>
      <c r="L709" s="454"/>
      <c r="M709" s="453" t="s">
        <v>505</v>
      </c>
      <c r="N709" s="453" t="s">
        <v>505</v>
      </c>
      <c r="O709" s="453" t="s">
        <v>505</v>
      </c>
      <c r="P709" s="453"/>
      <c r="Q709" s="453" t="s">
        <v>505</v>
      </c>
      <c r="R709" s="453" t="s">
        <v>505</v>
      </c>
      <c r="S709" s="453" t="s">
        <v>505</v>
      </c>
      <c r="T709" s="453" t="s">
        <v>505</v>
      </c>
      <c r="U709" s="453" t="s">
        <v>505</v>
      </c>
      <c r="V709" s="455" t="s">
        <v>505</v>
      </c>
      <c r="AK709" s="356"/>
      <c r="AL709" s="356"/>
      <c r="AM709" s="356"/>
      <c r="AN709" s="356"/>
      <c r="AO709" s="356"/>
      <c r="AP709" s="356"/>
      <c r="AQ709" s="356"/>
      <c r="AR709" s="356"/>
    </row>
    <row r="710" spans="2:44">
      <c r="B710" s="84" t="s">
        <v>471</v>
      </c>
      <c r="C710" s="452" t="s">
        <v>505</v>
      </c>
      <c r="D710" s="453" t="s">
        <v>505</v>
      </c>
      <c r="E710" s="453" t="s">
        <v>505</v>
      </c>
      <c r="F710" s="453"/>
      <c r="G710" s="453" t="s">
        <v>505</v>
      </c>
      <c r="H710" s="453" t="s">
        <v>505</v>
      </c>
      <c r="I710" s="453" t="s">
        <v>505</v>
      </c>
      <c r="J710" s="453" t="s">
        <v>505</v>
      </c>
      <c r="K710" s="453" t="s">
        <v>505</v>
      </c>
      <c r="L710" s="454" t="s">
        <v>505</v>
      </c>
      <c r="M710" s="453" t="s">
        <v>505</v>
      </c>
      <c r="N710" s="453" t="s">
        <v>505</v>
      </c>
      <c r="O710" s="453" t="s">
        <v>505</v>
      </c>
      <c r="P710" s="453"/>
      <c r="Q710" s="453" t="s">
        <v>505</v>
      </c>
      <c r="R710" s="453" t="s">
        <v>505</v>
      </c>
      <c r="S710" s="453" t="s">
        <v>505</v>
      </c>
      <c r="T710" s="453" t="s">
        <v>505</v>
      </c>
      <c r="U710" s="453" t="s">
        <v>505</v>
      </c>
      <c r="V710" s="455"/>
      <c r="AK710" s="356"/>
      <c r="AL710" s="356"/>
      <c r="AM710" s="356"/>
      <c r="AN710" s="356"/>
      <c r="AO710" s="356"/>
      <c r="AP710" s="356"/>
      <c r="AQ710" s="356"/>
      <c r="AR710" s="356"/>
    </row>
    <row r="711" spans="2:44">
      <c r="B711" s="84" t="s">
        <v>472</v>
      </c>
      <c r="C711" s="452" t="s">
        <v>505</v>
      </c>
      <c r="D711" s="453" t="s">
        <v>505</v>
      </c>
      <c r="E711" s="453" t="s">
        <v>505</v>
      </c>
      <c r="F711" s="453"/>
      <c r="G711" s="453" t="s">
        <v>505</v>
      </c>
      <c r="H711" s="453" t="s">
        <v>505</v>
      </c>
      <c r="I711" s="453" t="s">
        <v>505</v>
      </c>
      <c r="J711" s="453" t="s">
        <v>505</v>
      </c>
      <c r="K711" s="453"/>
      <c r="L711" s="454"/>
      <c r="M711" s="453" t="s">
        <v>505</v>
      </c>
      <c r="N711" s="453" t="s">
        <v>505</v>
      </c>
      <c r="O711" s="453" t="s">
        <v>505</v>
      </c>
      <c r="P711" s="453"/>
      <c r="Q711" s="453" t="s">
        <v>505</v>
      </c>
      <c r="R711" s="453" t="s">
        <v>505</v>
      </c>
      <c r="S711" s="453" t="s">
        <v>505</v>
      </c>
      <c r="T711" s="453" t="s">
        <v>505</v>
      </c>
      <c r="U711" s="453" t="s">
        <v>505</v>
      </c>
      <c r="V711" s="455" t="s">
        <v>505</v>
      </c>
      <c r="AK711" s="356"/>
      <c r="AL711" s="356"/>
      <c r="AM711" s="356"/>
      <c r="AN711" s="356"/>
      <c r="AO711" s="356"/>
      <c r="AP711" s="356"/>
      <c r="AQ711" s="356"/>
      <c r="AR711" s="356"/>
    </row>
    <row r="712" spans="2:44">
      <c r="B712" s="84" t="s">
        <v>473</v>
      </c>
      <c r="C712" s="452" t="s">
        <v>505</v>
      </c>
      <c r="D712" s="453" t="s">
        <v>505</v>
      </c>
      <c r="E712" s="453" t="s">
        <v>505</v>
      </c>
      <c r="F712" s="453"/>
      <c r="G712" s="453" t="s">
        <v>505</v>
      </c>
      <c r="H712" s="453" t="s">
        <v>505</v>
      </c>
      <c r="I712" s="453" t="s">
        <v>505</v>
      </c>
      <c r="J712" s="453" t="s">
        <v>505</v>
      </c>
      <c r="K712" s="453" t="s">
        <v>505</v>
      </c>
      <c r="L712" s="454" t="s">
        <v>505</v>
      </c>
      <c r="M712" s="453" t="s">
        <v>505</v>
      </c>
      <c r="N712" s="453" t="s">
        <v>505</v>
      </c>
      <c r="O712" s="453" t="s">
        <v>505</v>
      </c>
      <c r="P712" s="453"/>
      <c r="Q712" s="453" t="s">
        <v>505</v>
      </c>
      <c r="R712" s="453" t="s">
        <v>505</v>
      </c>
      <c r="S712" s="453" t="s">
        <v>505</v>
      </c>
      <c r="T712" s="453" t="s">
        <v>505</v>
      </c>
      <c r="U712" s="453"/>
      <c r="V712" s="455"/>
      <c r="AK712" s="356"/>
      <c r="AL712" s="356"/>
      <c r="AM712" s="356"/>
      <c r="AN712" s="356"/>
      <c r="AO712" s="356"/>
      <c r="AP712" s="356"/>
      <c r="AQ712" s="356"/>
      <c r="AR712" s="356"/>
    </row>
    <row r="713" spans="2:44">
      <c r="B713" s="84" t="s">
        <v>474</v>
      </c>
      <c r="C713" s="452" t="s">
        <v>505</v>
      </c>
      <c r="D713" s="453" t="s">
        <v>505</v>
      </c>
      <c r="E713" s="453" t="s">
        <v>505</v>
      </c>
      <c r="F713" s="453"/>
      <c r="G713" s="453"/>
      <c r="H713" s="453"/>
      <c r="I713" s="453" t="s">
        <v>505</v>
      </c>
      <c r="J713" s="453" t="s">
        <v>505</v>
      </c>
      <c r="K713" s="453" t="s">
        <v>505</v>
      </c>
      <c r="L713" s="454" t="s">
        <v>505</v>
      </c>
      <c r="M713" s="453" t="s">
        <v>505</v>
      </c>
      <c r="N713" s="453" t="s">
        <v>505</v>
      </c>
      <c r="O713" s="453" t="s">
        <v>505</v>
      </c>
      <c r="P713" s="453"/>
      <c r="Q713" s="453" t="s">
        <v>505</v>
      </c>
      <c r="R713" s="453" t="s">
        <v>505</v>
      </c>
      <c r="S713" s="453" t="s">
        <v>505</v>
      </c>
      <c r="T713" s="453" t="s">
        <v>505</v>
      </c>
      <c r="U713" s="453" t="s">
        <v>505</v>
      </c>
      <c r="V713" s="455" t="s">
        <v>505</v>
      </c>
      <c r="AK713" s="356"/>
      <c r="AL713" s="356"/>
      <c r="AM713" s="356"/>
      <c r="AN713" s="356"/>
      <c r="AO713" s="356"/>
      <c r="AP713" s="356"/>
      <c r="AQ713" s="356"/>
      <c r="AR713" s="356"/>
    </row>
    <row r="714" spans="2:44">
      <c r="B714" s="84" t="s">
        <v>475</v>
      </c>
      <c r="C714" s="452" t="s">
        <v>505</v>
      </c>
      <c r="D714" s="453" t="s">
        <v>505</v>
      </c>
      <c r="E714" s="453" t="s">
        <v>505</v>
      </c>
      <c r="F714" s="453"/>
      <c r="G714" s="453" t="s">
        <v>505</v>
      </c>
      <c r="H714" s="453" t="s">
        <v>505</v>
      </c>
      <c r="I714" s="453" t="s">
        <v>505</v>
      </c>
      <c r="J714" s="453" t="s">
        <v>505</v>
      </c>
      <c r="K714" s="453" t="s">
        <v>505</v>
      </c>
      <c r="L714" s="454" t="s">
        <v>505</v>
      </c>
      <c r="M714" s="453" t="s">
        <v>505</v>
      </c>
      <c r="N714" s="453" t="s">
        <v>505</v>
      </c>
      <c r="O714" s="453" t="s">
        <v>505</v>
      </c>
      <c r="P714" s="453"/>
      <c r="Q714" s="453"/>
      <c r="R714" s="453"/>
      <c r="S714" s="453" t="s">
        <v>505</v>
      </c>
      <c r="T714" s="453" t="s">
        <v>505</v>
      </c>
      <c r="U714" s="453" t="s">
        <v>505</v>
      </c>
      <c r="V714" s="455" t="s">
        <v>505</v>
      </c>
      <c r="AK714" s="356"/>
      <c r="AL714" s="356"/>
      <c r="AM714" s="356"/>
      <c r="AN714" s="356"/>
      <c r="AO714" s="356"/>
      <c r="AP714" s="356"/>
      <c r="AQ714" s="356"/>
      <c r="AR714" s="356"/>
    </row>
    <row r="715" spans="2:44">
      <c r="B715" s="84" t="s">
        <v>476</v>
      </c>
      <c r="C715" s="452" t="s">
        <v>505</v>
      </c>
      <c r="D715" s="453" t="s">
        <v>505</v>
      </c>
      <c r="E715" s="453" t="s">
        <v>505</v>
      </c>
      <c r="F715" s="453"/>
      <c r="G715" s="453" t="s">
        <v>505</v>
      </c>
      <c r="H715" s="453" t="s">
        <v>505</v>
      </c>
      <c r="I715" s="453" t="s">
        <v>505</v>
      </c>
      <c r="J715" s="453" t="s">
        <v>505</v>
      </c>
      <c r="K715" s="453" t="s">
        <v>505</v>
      </c>
      <c r="L715" s="454" t="s">
        <v>505</v>
      </c>
      <c r="M715" s="453" t="s">
        <v>505</v>
      </c>
      <c r="N715" s="453" t="s">
        <v>505</v>
      </c>
      <c r="O715" s="453" t="s">
        <v>505</v>
      </c>
      <c r="P715" s="453"/>
      <c r="Q715" s="453" t="s">
        <v>505</v>
      </c>
      <c r="R715" s="453" t="s">
        <v>505</v>
      </c>
      <c r="S715" s="453" t="s">
        <v>505</v>
      </c>
      <c r="T715" s="453" t="s">
        <v>505</v>
      </c>
      <c r="U715" s="453" t="s">
        <v>505</v>
      </c>
      <c r="V715" s="455" t="s">
        <v>505</v>
      </c>
      <c r="AK715" s="356"/>
      <c r="AL715" s="356"/>
      <c r="AM715" s="356"/>
      <c r="AN715" s="356"/>
      <c r="AO715" s="356"/>
      <c r="AP715" s="356"/>
      <c r="AQ715" s="356"/>
      <c r="AR715" s="356"/>
    </row>
    <row r="716" spans="2:44">
      <c r="B716" s="456" t="s">
        <v>477</v>
      </c>
      <c r="C716" s="453"/>
      <c r="D716" s="453"/>
      <c r="E716" s="453" t="s">
        <v>505</v>
      </c>
      <c r="F716" s="453"/>
      <c r="G716" s="453"/>
      <c r="H716" s="453"/>
      <c r="I716" s="453"/>
      <c r="J716" s="453"/>
      <c r="K716" s="453"/>
      <c r="L716" s="454"/>
      <c r="M716" s="453"/>
      <c r="N716" s="453"/>
      <c r="O716" s="453"/>
      <c r="P716" s="453"/>
      <c r="Q716" s="453"/>
      <c r="R716" s="453"/>
      <c r="S716" s="453"/>
      <c r="T716" s="453"/>
      <c r="U716" s="453"/>
      <c r="V716" s="455"/>
      <c r="AK716" s="356"/>
      <c r="AL716" s="356"/>
      <c r="AM716" s="356"/>
      <c r="AN716" s="356"/>
      <c r="AO716" s="356"/>
      <c r="AP716" s="356"/>
      <c r="AQ716" s="356"/>
      <c r="AR716" s="356"/>
    </row>
    <row r="717" spans="2:44">
      <c r="B717" s="456" t="s">
        <v>478</v>
      </c>
      <c r="C717" s="453" t="s">
        <v>505</v>
      </c>
      <c r="D717" s="453" t="s">
        <v>505</v>
      </c>
      <c r="E717" s="453" t="s">
        <v>505</v>
      </c>
      <c r="F717" s="453"/>
      <c r="G717" s="453" t="s">
        <v>505</v>
      </c>
      <c r="H717" s="453" t="s">
        <v>505</v>
      </c>
      <c r="I717" s="453"/>
      <c r="J717" s="453" t="s">
        <v>505</v>
      </c>
      <c r="K717" s="453" t="s">
        <v>505</v>
      </c>
      <c r="L717" s="454"/>
      <c r="M717" s="453" t="s">
        <v>505</v>
      </c>
      <c r="N717" s="453" t="s">
        <v>505</v>
      </c>
      <c r="O717" s="453" t="s">
        <v>505</v>
      </c>
      <c r="P717" s="453"/>
      <c r="Q717" s="453" t="s">
        <v>505</v>
      </c>
      <c r="R717" s="453" t="s">
        <v>505</v>
      </c>
      <c r="S717" s="453" t="s">
        <v>505</v>
      </c>
      <c r="T717" s="453" t="s">
        <v>505</v>
      </c>
      <c r="U717" s="453" t="s">
        <v>505</v>
      </c>
      <c r="V717" s="455" t="s">
        <v>505</v>
      </c>
      <c r="AK717" s="356"/>
      <c r="AL717" s="356"/>
      <c r="AM717" s="356"/>
      <c r="AN717" s="356"/>
      <c r="AO717" s="356"/>
      <c r="AP717" s="356"/>
      <c r="AQ717" s="356"/>
      <c r="AR717" s="356"/>
    </row>
    <row r="718" spans="2:44">
      <c r="B718" s="456" t="s">
        <v>479</v>
      </c>
      <c r="C718" s="453" t="s">
        <v>505</v>
      </c>
      <c r="D718" s="453" t="s">
        <v>505</v>
      </c>
      <c r="E718" s="453" t="s">
        <v>505</v>
      </c>
      <c r="F718" s="453" t="s">
        <v>505</v>
      </c>
      <c r="G718" s="453" t="s">
        <v>505</v>
      </c>
      <c r="H718" s="453" t="s">
        <v>505</v>
      </c>
      <c r="I718" s="453" t="s">
        <v>505</v>
      </c>
      <c r="J718" s="453" t="s">
        <v>505</v>
      </c>
      <c r="K718" s="453" t="s">
        <v>505</v>
      </c>
      <c r="L718" s="454" t="s">
        <v>505</v>
      </c>
      <c r="M718" s="453" t="s">
        <v>505</v>
      </c>
      <c r="N718" s="453" t="s">
        <v>505</v>
      </c>
      <c r="O718" s="453" t="s">
        <v>505</v>
      </c>
      <c r="P718" s="453"/>
      <c r="Q718" s="453" t="s">
        <v>505</v>
      </c>
      <c r="R718" s="453" t="s">
        <v>505</v>
      </c>
      <c r="S718" s="453"/>
      <c r="T718" s="453" t="s">
        <v>505</v>
      </c>
      <c r="U718" s="453" t="s">
        <v>505</v>
      </c>
      <c r="V718" s="455"/>
      <c r="AK718" s="356"/>
      <c r="AL718" s="356"/>
      <c r="AM718" s="356"/>
      <c r="AN718" s="356"/>
      <c r="AO718" s="356"/>
      <c r="AP718" s="356"/>
      <c r="AQ718" s="356"/>
      <c r="AR718" s="356"/>
    </row>
    <row r="719" spans="2:44">
      <c r="B719" s="456" t="s">
        <v>480</v>
      </c>
      <c r="C719" s="453" t="s">
        <v>505</v>
      </c>
      <c r="D719" s="453" t="s">
        <v>505</v>
      </c>
      <c r="E719" s="453" t="s">
        <v>505</v>
      </c>
      <c r="F719" s="453"/>
      <c r="G719" s="453"/>
      <c r="H719" s="453"/>
      <c r="I719" s="453" t="s">
        <v>505</v>
      </c>
      <c r="J719" s="453" t="s">
        <v>505</v>
      </c>
      <c r="K719" s="453"/>
      <c r="L719" s="454"/>
      <c r="M719" s="453" t="s">
        <v>505</v>
      </c>
      <c r="N719" s="453" t="s">
        <v>505</v>
      </c>
      <c r="O719" s="453" t="s">
        <v>505</v>
      </c>
      <c r="P719" s="453" t="s">
        <v>505</v>
      </c>
      <c r="Q719" s="453" t="s">
        <v>505</v>
      </c>
      <c r="R719" s="453" t="s">
        <v>505</v>
      </c>
      <c r="S719" s="453" t="s">
        <v>505</v>
      </c>
      <c r="T719" s="453" t="s">
        <v>505</v>
      </c>
      <c r="U719" s="453" t="s">
        <v>505</v>
      </c>
      <c r="V719" s="455" t="s">
        <v>505</v>
      </c>
      <c r="AK719" s="356"/>
      <c r="AL719" s="356"/>
      <c r="AM719" s="356"/>
      <c r="AN719" s="356"/>
      <c r="AO719" s="356"/>
      <c r="AP719" s="356"/>
      <c r="AQ719" s="356"/>
      <c r="AR719" s="356"/>
    </row>
    <row r="720" spans="2:44">
      <c r="B720" s="456" t="s">
        <v>481</v>
      </c>
      <c r="C720" s="453" t="s">
        <v>505</v>
      </c>
      <c r="D720" s="453" t="s">
        <v>505</v>
      </c>
      <c r="E720" s="453" t="s">
        <v>505</v>
      </c>
      <c r="F720" s="453"/>
      <c r="G720" s="453" t="s">
        <v>505</v>
      </c>
      <c r="H720" s="453" t="s">
        <v>505</v>
      </c>
      <c r="I720" s="453" t="s">
        <v>505</v>
      </c>
      <c r="J720" s="453" t="s">
        <v>505</v>
      </c>
      <c r="K720" s="453" t="s">
        <v>505</v>
      </c>
      <c r="L720" s="454"/>
      <c r="M720" s="453" t="s">
        <v>505</v>
      </c>
      <c r="N720" s="453" t="s">
        <v>505</v>
      </c>
      <c r="O720" s="453" t="s">
        <v>505</v>
      </c>
      <c r="P720" s="453"/>
      <c r="Q720" s="453"/>
      <c r="R720" s="453"/>
      <c r="S720" s="453" t="s">
        <v>505</v>
      </c>
      <c r="T720" s="453" t="s">
        <v>505</v>
      </c>
      <c r="U720" s="453"/>
      <c r="V720" s="455"/>
      <c r="AK720" s="356"/>
      <c r="AL720" s="356"/>
      <c r="AM720" s="356"/>
      <c r="AN720" s="356"/>
      <c r="AO720" s="356"/>
      <c r="AP720" s="356"/>
      <c r="AQ720" s="356"/>
      <c r="AR720" s="356"/>
    </row>
    <row r="721" spans="2:44">
      <c r="B721" s="456" t="s">
        <v>482</v>
      </c>
      <c r="C721" s="453" t="s">
        <v>505</v>
      </c>
      <c r="D721" s="453" t="s">
        <v>505</v>
      </c>
      <c r="E721" s="453" t="s">
        <v>505</v>
      </c>
      <c r="F721" s="453"/>
      <c r="G721" s="453" t="s">
        <v>505</v>
      </c>
      <c r="H721" s="453" t="s">
        <v>505</v>
      </c>
      <c r="I721" s="453" t="s">
        <v>505</v>
      </c>
      <c r="J721" s="453" t="s">
        <v>505</v>
      </c>
      <c r="K721" s="453" t="s">
        <v>505</v>
      </c>
      <c r="L721" s="454" t="s">
        <v>505</v>
      </c>
      <c r="M721" s="453" t="s">
        <v>505</v>
      </c>
      <c r="N721" s="453" t="s">
        <v>505</v>
      </c>
      <c r="O721" s="453" t="s">
        <v>505</v>
      </c>
      <c r="P721" s="453"/>
      <c r="Q721" s="453" t="s">
        <v>505</v>
      </c>
      <c r="R721" s="453" t="s">
        <v>505</v>
      </c>
      <c r="S721" s="453" t="s">
        <v>505</v>
      </c>
      <c r="T721" s="453" t="s">
        <v>505</v>
      </c>
      <c r="U721" s="453" t="s">
        <v>505</v>
      </c>
      <c r="V721" s="455"/>
      <c r="AK721" s="356"/>
      <c r="AL721" s="356"/>
      <c r="AM721" s="356"/>
      <c r="AN721" s="356"/>
      <c r="AO721" s="356"/>
      <c r="AP721" s="356"/>
      <c r="AQ721" s="356"/>
      <c r="AR721" s="356"/>
    </row>
    <row r="722" spans="2:44">
      <c r="B722" s="456" t="s">
        <v>483</v>
      </c>
      <c r="C722" s="453" t="s">
        <v>505</v>
      </c>
      <c r="D722" s="453" t="s">
        <v>505</v>
      </c>
      <c r="E722" s="453" t="s">
        <v>505</v>
      </c>
      <c r="F722" s="453"/>
      <c r="G722" s="453" t="s">
        <v>505</v>
      </c>
      <c r="H722" s="453" t="s">
        <v>505</v>
      </c>
      <c r="I722" s="453" t="s">
        <v>505</v>
      </c>
      <c r="J722" s="453" t="s">
        <v>505</v>
      </c>
      <c r="K722" s="453" t="s">
        <v>505</v>
      </c>
      <c r="L722" s="454" t="s">
        <v>505</v>
      </c>
      <c r="M722" s="453" t="s">
        <v>505</v>
      </c>
      <c r="N722" s="453" t="s">
        <v>505</v>
      </c>
      <c r="O722" s="453" t="s">
        <v>505</v>
      </c>
      <c r="P722" s="453"/>
      <c r="Q722" s="453" t="s">
        <v>505</v>
      </c>
      <c r="R722" s="453" t="s">
        <v>505</v>
      </c>
      <c r="S722" s="453" t="s">
        <v>505</v>
      </c>
      <c r="T722" s="453" t="s">
        <v>505</v>
      </c>
      <c r="U722" s="453" t="s">
        <v>505</v>
      </c>
      <c r="V722" s="455" t="s">
        <v>505</v>
      </c>
      <c r="AK722" s="356"/>
      <c r="AL722" s="356"/>
      <c r="AM722" s="356"/>
      <c r="AN722" s="356"/>
      <c r="AO722" s="356"/>
      <c r="AP722" s="356"/>
      <c r="AQ722" s="356"/>
      <c r="AR722" s="356"/>
    </row>
    <row r="723" spans="2:44">
      <c r="B723" s="456" t="s">
        <v>484</v>
      </c>
      <c r="C723" s="453" t="s">
        <v>505</v>
      </c>
      <c r="D723" s="453" t="s">
        <v>505</v>
      </c>
      <c r="E723" s="453" t="s">
        <v>505</v>
      </c>
      <c r="F723" s="453"/>
      <c r="G723" s="453" t="s">
        <v>505</v>
      </c>
      <c r="H723" s="453" t="s">
        <v>505</v>
      </c>
      <c r="I723" s="453"/>
      <c r="J723" s="453" t="s">
        <v>505</v>
      </c>
      <c r="K723" s="453" t="s">
        <v>505</v>
      </c>
      <c r="L723" s="454"/>
      <c r="M723" s="453" t="s">
        <v>505</v>
      </c>
      <c r="N723" s="453" t="s">
        <v>505</v>
      </c>
      <c r="O723" s="453" t="s">
        <v>505</v>
      </c>
      <c r="P723" s="453"/>
      <c r="Q723" s="453" t="s">
        <v>505</v>
      </c>
      <c r="R723" s="453" t="s">
        <v>505</v>
      </c>
      <c r="S723" s="453" t="s">
        <v>505</v>
      </c>
      <c r="T723" s="453" t="s">
        <v>505</v>
      </c>
      <c r="U723" s="453" t="s">
        <v>505</v>
      </c>
      <c r="V723" s="455" t="s">
        <v>505</v>
      </c>
      <c r="AK723" s="356"/>
      <c r="AL723" s="356"/>
      <c r="AM723" s="356"/>
      <c r="AN723" s="356"/>
      <c r="AO723" s="356"/>
      <c r="AP723" s="356"/>
      <c r="AQ723" s="356"/>
      <c r="AR723" s="356"/>
    </row>
    <row r="724" spans="2:44">
      <c r="B724" s="456" t="s">
        <v>485</v>
      </c>
      <c r="C724" s="453"/>
      <c r="D724" s="453"/>
      <c r="E724" s="453" t="s">
        <v>505</v>
      </c>
      <c r="F724" s="453"/>
      <c r="G724" s="453"/>
      <c r="H724" s="453"/>
      <c r="I724" s="453"/>
      <c r="J724" s="453"/>
      <c r="K724" s="453"/>
      <c r="L724" s="454"/>
      <c r="M724" s="453"/>
      <c r="N724" s="453"/>
      <c r="O724" s="453"/>
      <c r="P724" s="453"/>
      <c r="Q724" s="453"/>
      <c r="R724" s="453"/>
      <c r="S724" s="453"/>
      <c r="T724" s="453"/>
      <c r="U724" s="453"/>
      <c r="V724" s="455"/>
      <c r="AK724" s="356"/>
      <c r="AL724" s="356"/>
      <c r="AM724" s="356"/>
      <c r="AN724" s="356"/>
      <c r="AO724" s="356"/>
      <c r="AP724" s="356"/>
      <c r="AQ724" s="356"/>
      <c r="AR724" s="356"/>
    </row>
    <row r="725" spans="2:44">
      <c r="B725" s="456" t="s">
        <v>486</v>
      </c>
      <c r="C725" s="453" t="s">
        <v>505</v>
      </c>
      <c r="D725" s="453" t="s">
        <v>505</v>
      </c>
      <c r="E725" s="453" t="s">
        <v>505</v>
      </c>
      <c r="F725" s="453"/>
      <c r="G725" s="453" t="s">
        <v>505</v>
      </c>
      <c r="H725" s="453" t="s">
        <v>505</v>
      </c>
      <c r="I725" s="453" t="s">
        <v>505</v>
      </c>
      <c r="J725" s="453" t="s">
        <v>505</v>
      </c>
      <c r="K725" s="453" t="s">
        <v>505</v>
      </c>
      <c r="L725" s="454" t="s">
        <v>505</v>
      </c>
      <c r="M725" s="453" t="s">
        <v>505</v>
      </c>
      <c r="N725" s="453" t="s">
        <v>505</v>
      </c>
      <c r="O725" s="453" t="s">
        <v>505</v>
      </c>
      <c r="P725" s="453"/>
      <c r="Q725" s="453" t="s">
        <v>505</v>
      </c>
      <c r="R725" s="453" t="s">
        <v>505</v>
      </c>
      <c r="S725" s="453"/>
      <c r="T725" s="453" t="s">
        <v>505</v>
      </c>
      <c r="U725" s="453" t="s">
        <v>505</v>
      </c>
      <c r="V725" s="455"/>
      <c r="AK725" s="356"/>
      <c r="AL725" s="356"/>
      <c r="AM725" s="356"/>
      <c r="AN725" s="356"/>
      <c r="AO725" s="356"/>
      <c r="AP725" s="356"/>
      <c r="AQ725" s="356"/>
      <c r="AR725" s="356"/>
    </row>
    <row r="726" spans="2:44">
      <c r="B726" s="456" t="s">
        <v>487</v>
      </c>
      <c r="C726" s="453" t="s">
        <v>505</v>
      </c>
      <c r="D726" s="453" t="s">
        <v>505</v>
      </c>
      <c r="E726" s="453" t="s">
        <v>505</v>
      </c>
      <c r="F726" s="453"/>
      <c r="G726" s="453" t="s">
        <v>505</v>
      </c>
      <c r="H726" s="453" t="s">
        <v>505</v>
      </c>
      <c r="I726" s="453" t="s">
        <v>505</v>
      </c>
      <c r="J726" s="453" t="s">
        <v>505</v>
      </c>
      <c r="K726" s="453" t="s">
        <v>505</v>
      </c>
      <c r="L726" s="454" t="s">
        <v>505</v>
      </c>
      <c r="M726" s="453" t="s">
        <v>505</v>
      </c>
      <c r="N726" s="453" t="s">
        <v>505</v>
      </c>
      <c r="O726" s="453" t="s">
        <v>505</v>
      </c>
      <c r="P726" s="453"/>
      <c r="Q726" s="453" t="s">
        <v>505</v>
      </c>
      <c r="R726" s="453" t="s">
        <v>505</v>
      </c>
      <c r="S726" s="453" t="s">
        <v>505</v>
      </c>
      <c r="T726" s="453" t="s">
        <v>505</v>
      </c>
      <c r="U726" s="453" t="s">
        <v>505</v>
      </c>
      <c r="V726" s="455" t="s">
        <v>505</v>
      </c>
      <c r="AK726" s="356"/>
      <c r="AL726" s="356"/>
      <c r="AM726" s="356"/>
      <c r="AN726" s="356"/>
      <c r="AO726" s="356"/>
      <c r="AP726" s="356"/>
      <c r="AQ726" s="356"/>
      <c r="AR726" s="356"/>
    </row>
    <row r="727" spans="2:44">
      <c r="B727" s="456" t="s">
        <v>488</v>
      </c>
      <c r="C727" s="453" t="s">
        <v>505</v>
      </c>
      <c r="D727" s="453" t="s">
        <v>505</v>
      </c>
      <c r="E727" s="453" t="s">
        <v>505</v>
      </c>
      <c r="F727" s="453"/>
      <c r="G727" s="453"/>
      <c r="H727" s="453"/>
      <c r="I727" s="453" t="s">
        <v>505</v>
      </c>
      <c r="J727" s="453" t="s">
        <v>505</v>
      </c>
      <c r="K727" s="453" t="s">
        <v>505</v>
      </c>
      <c r="L727" s="454"/>
      <c r="M727" s="453" t="s">
        <v>505</v>
      </c>
      <c r="N727" s="453" t="s">
        <v>505</v>
      </c>
      <c r="O727" s="453" t="s">
        <v>505</v>
      </c>
      <c r="P727" s="453"/>
      <c r="Q727" s="453" t="s">
        <v>505</v>
      </c>
      <c r="R727" s="453" t="s">
        <v>505</v>
      </c>
      <c r="S727" s="453" t="s">
        <v>505</v>
      </c>
      <c r="T727" s="453" t="s">
        <v>505</v>
      </c>
      <c r="U727" s="453" t="s">
        <v>505</v>
      </c>
      <c r="V727" s="455" t="s">
        <v>505</v>
      </c>
      <c r="AK727" s="356"/>
      <c r="AL727" s="356"/>
      <c r="AM727" s="356"/>
      <c r="AN727" s="356"/>
      <c r="AO727" s="356"/>
      <c r="AP727" s="356"/>
      <c r="AQ727" s="356"/>
      <c r="AR727" s="356"/>
    </row>
    <row r="728" spans="2:44">
      <c r="B728" s="456" t="s">
        <v>489</v>
      </c>
      <c r="C728" s="453" t="s">
        <v>505</v>
      </c>
      <c r="D728" s="453" t="s">
        <v>505</v>
      </c>
      <c r="E728" s="453" t="s">
        <v>505</v>
      </c>
      <c r="F728" s="453"/>
      <c r="G728" s="453" t="s">
        <v>505</v>
      </c>
      <c r="H728" s="453" t="s">
        <v>505</v>
      </c>
      <c r="I728" s="453" t="s">
        <v>505</v>
      </c>
      <c r="J728" s="453" t="s">
        <v>505</v>
      </c>
      <c r="K728" s="453" t="s">
        <v>505</v>
      </c>
      <c r="L728" s="454" t="s">
        <v>505</v>
      </c>
      <c r="M728" s="453" t="s">
        <v>505</v>
      </c>
      <c r="N728" s="453" t="s">
        <v>505</v>
      </c>
      <c r="O728" s="453" t="s">
        <v>505</v>
      </c>
      <c r="P728" s="453"/>
      <c r="Q728" s="453"/>
      <c r="R728" s="453"/>
      <c r="S728" s="453" t="s">
        <v>505</v>
      </c>
      <c r="T728" s="453" t="s">
        <v>505</v>
      </c>
      <c r="U728" s="453" t="s">
        <v>505</v>
      </c>
      <c r="V728" s="455"/>
      <c r="AK728" s="356"/>
      <c r="AL728" s="356"/>
      <c r="AM728" s="356"/>
      <c r="AN728" s="356"/>
      <c r="AO728" s="356"/>
      <c r="AP728" s="356"/>
      <c r="AQ728" s="356"/>
      <c r="AR728" s="356"/>
    </row>
    <row r="729" spans="2:44" ht="16" thickBot="1">
      <c r="B729" s="457" t="s">
        <v>490</v>
      </c>
      <c r="C729" s="458" t="s">
        <v>505</v>
      </c>
      <c r="D729" s="458" t="s">
        <v>505</v>
      </c>
      <c r="E729" s="458" t="s">
        <v>505</v>
      </c>
      <c r="F729" s="458"/>
      <c r="G729" s="458" t="s">
        <v>505</v>
      </c>
      <c r="H729" s="458" t="s">
        <v>505</v>
      </c>
      <c r="I729" s="458" t="s">
        <v>505</v>
      </c>
      <c r="J729" s="458" t="s">
        <v>505</v>
      </c>
      <c r="K729" s="458" t="s">
        <v>505</v>
      </c>
      <c r="L729" s="459"/>
      <c r="M729" s="458" t="s">
        <v>505</v>
      </c>
      <c r="N729" s="458" t="s">
        <v>505</v>
      </c>
      <c r="O729" s="458" t="s">
        <v>505</v>
      </c>
      <c r="P729" s="458"/>
      <c r="Q729" s="458" t="s">
        <v>505</v>
      </c>
      <c r="R729" s="458" t="s">
        <v>505</v>
      </c>
      <c r="S729" s="458" t="s">
        <v>505</v>
      </c>
      <c r="T729" s="458" t="s">
        <v>505</v>
      </c>
      <c r="U729" s="458" t="s">
        <v>505</v>
      </c>
      <c r="V729" s="460" t="s">
        <v>505</v>
      </c>
      <c r="AK729" s="356"/>
      <c r="AL729" s="356"/>
      <c r="AM729" s="356"/>
      <c r="AN729" s="356"/>
      <c r="AO729" s="356"/>
      <c r="AP729" s="356"/>
      <c r="AQ729" s="356"/>
      <c r="AR729" s="356"/>
    </row>
    <row r="730" spans="2:44">
      <c r="B730" s="461" t="s">
        <v>10</v>
      </c>
      <c r="C730" s="462" t="s">
        <v>506</v>
      </c>
      <c r="D730" s="132" t="s">
        <v>507</v>
      </c>
      <c r="E730" s="356"/>
      <c r="F730" s="132"/>
      <c r="G730" s="132"/>
      <c r="H730" s="356"/>
      <c r="I730" s="356"/>
      <c r="J730" s="356"/>
      <c r="L730" s="463"/>
      <c r="M730" s="463"/>
      <c r="AB730" s="356"/>
      <c r="AC730" s="356"/>
      <c r="AD730" s="356"/>
      <c r="AE730" s="356"/>
      <c r="AF730" s="356"/>
      <c r="AG730" s="356"/>
      <c r="AH730" s="356"/>
      <c r="AI730" s="356"/>
    </row>
    <row r="731" spans="2:44">
      <c r="B731" s="461" t="s">
        <v>508</v>
      </c>
      <c r="C731" s="462"/>
      <c r="D731" s="132"/>
      <c r="E731" s="356"/>
      <c r="F731" s="132"/>
      <c r="G731" s="132"/>
      <c r="H731" s="356"/>
      <c r="I731" s="356"/>
      <c r="J731" s="356"/>
      <c r="L731" s="463"/>
      <c r="M731" s="463"/>
      <c r="AB731" s="356"/>
      <c r="AC731" s="356"/>
      <c r="AD731" s="356"/>
      <c r="AE731" s="356"/>
      <c r="AF731" s="356"/>
      <c r="AG731" s="356"/>
      <c r="AH731" s="356"/>
      <c r="AI731" s="356"/>
    </row>
    <row r="732" spans="2:44">
      <c r="B732" s="461" t="s">
        <v>509</v>
      </c>
      <c r="C732" s="461"/>
      <c r="D732" s="355"/>
      <c r="E732" s="356"/>
      <c r="F732" s="132"/>
      <c r="G732" s="132"/>
      <c r="H732" s="356"/>
      <c r="I732" s="356"/>
      <c r="J732" s="356"/>
      <c r="K732" s="356"/>
      <c r="L732" s="356"/>
      <c r="M732" s="356"/>
      <c r="N732" s="356"/>
      <c r="O732" s="356"/>
      <c r="P732" s="356"/>
      <c r="Q732" s="356"/>
      <c r="R732" s="356"/>
      <c r="S732" s="356"/>
      <c r="T732" s="356"/>
      <c r="U732" s="356"/>
      <c r="V732" s="356"/>
      <c r="W732" s="356"/>
      <c r="X732" s="356"/>
      <c r="Y732" s="356"/>
      <c r="Z732" s="356"/>
      <c r="AA732" s="356"/>
      <c r="AB732" s="356"/>
      <c r="AC732" s="356"/>
      <c r="AD732" s="356"/>
      <c r="AE732" s="356"/>
      <c r="AF732" s="356"/>
      <c r="AG732" s="356"/>
      <c r="AH732" s="356"/>
      <c r="AI732" s="356"/>
    </row>
    <row r="733" spans="2:44">
      <c r="B733" s="461" t="s">
        <v>510</v>
      </c>
      <c r="C733" s="132"/>
      <c r="D733" s="355"/>
      <c r="E733" s="356"/>
      <c r="F733" s="132"/>
      <c r="G733" s="132"/>
      <c r="H733" s="356"/>
      <c r="I733" s="356"/>
      <c r="J733" s="356"/>
      <c r="K733" s="356"/>
      <c r="L733" s="356"/>
      <c r="M733" s="356"/>
      <c r="N733" s="356"/>
      <c r="O733" s="356"/>
      <c r="P733" s="356"/>
      <c r="Q733" s="356"/>
      <c r="R733" s="356"/>
      <c r="S733" s="356"/>
      <c r="T733" s="356"/>
      <c r="U733" s="356"/>
      <c r="V733" s="356"/>
      <c r="W733" s="356"/>
      <c r="X733" s="356"/>
      <c r="Y733" s="356"/>
      <c r="Z733" s="356"/>
      <c r="AA733" s="356"/>
      <c r="AB733" s="356"/>
      <c r="AC733" s="356"/>
      <c r="AD733" s="356"/>
      <c r="AE733" s="356"/>
      <c r="AF733" s="356"/>
      <c r="AG733" s="356"/>
      <c r="AH733" s="356"/>
      <c r="AI733" s="356"/>
    </row>
    <row r="734" spans="2:44">
      <c r="B734" s="461"/>
      <c r="C734" s="132"/>
      <c r="D734" s="355"/>
      <c r="E734" s="356"/>
      <c r="F734" s="132"/>
      <c r="G734" s="132"/>
      <c r="H734" s="356"/>
      <c r="I734" s="356"/>
      <c r="J734" s="356"/>
      <c r="K734" s="356"/>
      <c r="L734" s="356"/>
      <c r="M734" s="356"/>
      <c r="N734" s="356"/>
      <c r="O734" s="356"/>
      <c r="P734" s="356"/>
      <c r="Q734" s="356"/>
      <c r="R734" s="356"/>
      <c r="S734" s="356"/>
      <c r="T734" s="356"/>
      <c r="U734" s="356"/>
      <c r="V734" s="356"/>
      <c r="W734" s="356"/>
      <c r="X734" s="356"/>
      <c r="Y734" s="356"/>
      <c r="Z734" s="356"/>
      <c r="AA734" s="356"/>
      <c r="AB734" s="356"/>
      <c r="AC734" s="356"/>
      <c r="AD734" s="356"/>
      <c r="AE734" s="356"/>
      <c r="AF734" s="356"/>
      <c r="AG734" s="356"/>
      <c r="AH734" s="356"/>
      <c r="AI734" s="356"/>
    </row>
    <row r="735" spans="2:44" ht="16" thickBot="1">
      <c r="B735" s="244" t="s">
        <v>511</v>
      </c>
      <c r="E735" s="132"/>
      <c r="F735" s="132"/>
      <c r="G735" s="132"/>
    </row>
    <row r="736" spans="2:44">
      <c r="B736" s="245" t="s">
        <v>512</v>
      </c>
      <c r="C736" s="464" t="s">
        <v>494</v>
      </c>
      <c r="D736" s="465" t="s">
        <v>513</v>
      </c>
      <c r="E736" s="465" t="s">
        <v>514</v>
      </c>
      <c r="F736" s="466"/>
      <c r="G736" s="466"/>
      <c r="H736" s="466"/>
      <c r="I736" s="466"/>
      <c r="J736" s="467"/>
    </row>
    <row r="737" spans="2:10">
      <c r="B737" s="136" t="s">
        <v>515</v>
      </c>
      <c r="C737" s="367" t="s">
        <v>494</v>
      </c>
      <c r="D737" s="174" t="s">
        <v>513</v>
      </c>
      <c r="E737" s="174" t="s">
        <v>514</v>
      </c>
      <c r="F737" s="468"/>
      <c r="G737" s="468"/>
      <c r="H737" s="468"/>
      <c r="I737" s="468"/>
      <c r="J737" s="469"/>
    </row>
    <row r="738" spans="2:10">
      <c r="B738" s="136" t="s">
        <v>516</v>
      </c>
      <c r="C738" s="367" t="s">
        <v>517</v>
      </c>
      <c r="D738" s="174" t="s">
        <v>518</v>
      </c>
      <c r="E738" s="174"/>
      <c r="F738" s="468"/>
      <c r="G738" s="468"/>
      <c r="H738" s="468"/>
      <c r="I738" s="468"/>
      <c r="J738" s="469"/>
    </row>
    <row r="739" spans="2:10">
      <c r="B739" s="136"/>
      <c r="C739" s="367"/>
      <c r="D739" s="174"/>
      <c r="E739" s="174" t="s">
        <v>519</v>
      </c>
      <c r="F739" s="468" t="s">
        <v>520</v>
      </c>
      <c r="G739" s="468" t="s">
        <v>521</v>
      </c>
      <c r="H739" s="468" t="s">
        <v>522</v>
      </c>
      <c r="I739" s="468" t="s">
        <v>523</v>
      </c>
      <c r="J739" s="469" t="s">
        <v>0</v>
      </c>
    </row>
    <row r="740" spans="2:10">
      <c r="B740" s="336" t="s">
        <v>524</v>
      </c>
      <c r="C740" s="249"/>
      <c r="D740" s="174"/>
      <c r="E740" s="174" t="s">
        <v>525</v>
      </c>
      <c r="F740" s="468" t="s">
        <v>525</v>
      </c>
      <c r="G740" s="468" t="s">
        <v>525</v>
      </c>
      <c r="H740" s="468" t="s">
        <v>525</v>
      </c>
      <c r="I740" s="468" t="s">
        <v>525</v>
      </c>
      <c r="J740" s="469" t="s">
        <v>525</v>
      </c>
    </row>
    <row r="741" spans="2:10">
      <c r="B741" s="341" t="s">
        <v>435</v>
      </c>
      <c r="C741" s="342"/>
      <c r="D741" s="470"/>
      <c r="E741" s="471">
        <v>0.11484857999999999</v>
      </c>
      <c r="F741" s="472">
        <v>0.10787877</v>
      </c>
      <c r="G741" s="472">
        <v>6.1524408000000003E-2</v>
      </c>
      <c r="H741" s="472"/>
      <c r="I741" s="472"/>
      <c r="J741" s="473">
        <v>9.267371499999999E-2</v>
      </c>
    </row>
    <row r="742" spans="2:10">
      <c r="B742" s="136" t="s">
        <v>436</v>
      </c>
      <c r="C742" s="132"/>
      <c r="D742" s="174"/>
      <c r="E742" s="445">
        <v>0.19136085000000003</v>
      </c>
      <c r="F742" s="474">
        <v>0.17094858999999998</v>
      </c>
      <c r="G742" s="474">
        <v>0.15664552000000001</v>
      </c>
      <c r="H742" s="474"/>
      <c r="I742" s="474"/>
      <c r="J742" s="475">
        <v>0.17456057000000003</v>
      </c>
    </row>
    <row r="743" spans="2:10">
      <c r="B743" s="136" t="s">
        <v>437</v>
      </c>
      <c r="C743" s="132"/>
      <c r="D743" s="174"/>
      <c r="E743" s="445">
        <v>0.11899428000000001</v>
      </c>
      <c r="F743" s="474">
        <v>0.10132308999999999</v>
      </c>
      <c r="G743" s="474">
        <v>6.463649099999999E-2</v>
      </c>
      <c r="H743" s="474"/>
      <c r="I743" s="474"/>
      <c r="J743" s="475">
        <v>0.10176484999999999</v>
      </c>
    </row>
    <row r="744" spans="2:10">
      <c r="B744" s="136" t="s">
        <v>438</v>
      </c>
      <c r="C744" s="132"/>
      <c r="D744" s="174"/>
      <c r="E744" s="445">
        <v>9.5074681000000008E-2</v>
      </c>
      <c r="F744" s="474">
        <v>8.0479842999999995E-2</v>
      </c>
      <c r="G744" s="474">
        <v>6.0203303000000007E-2</v>
      </c>
      <c r="H744" s="474">
        <v>0.11350611000000001</v>
      </c>
      <c r="I744" s="474"/>
      <c r="J744" s="475">
        <v>7.9025738999999998E-2</v>
      </c>
    </row>
    <row r="745" spans="2:10">
      <c r="B745" s="136" t="s">
        <v>439</v>
      </c>
      <c r="C745" s="132"/>
      <c r="D745" s="174"/>
      <c r="E745" s="445">
        <v>0.1624584</v>
      </c>
      <c r="F745" s="474">
        <v>0.15618541999999999</v>
      </c>
      <c r="G745" s="474">
        <v>0.12336240999999999</v>
      </c>
      <c r="H745" s="474">
        <v>8.9013229999999999E-2</v>
      </c>
      <c r="I745" s="474"/>
      <c r="J745" s="475">
        <v>0.15149516999999998</v>
      </c>
    </row>
    <row r="746" spans="2:10">
      <c r="B746" s="136" t="s">
        <v>440</v>
      </c>
      <c r="C746" s="132"/>
      <c r="D746" s="174"/>
      <c r="E746" s="445">
        <v>0.12180655</v>
      </c>
      <c r="F746" s="474">
        <v>0.10080066999999999</v>
      </c>
      <c r="G746" s="474">
        <v>7.4742272999999998E-2</v>
      </c>
      <c r="H746" s="474">
        <v>0.10789994</v>
      </c>
      <c r="I746" s="474"/>
      <c r="J746" s="475">
        <v>0.10055281000000001</v>
      </c>
    </row>
    <row r="747" spans="2:10">
      <c r="B747" s="136" t="s">
        <v>441</v>
      </c>
      <c r="C747" s="132"/>
      <c r="D747" s="174"/>
      <c r="E747" s="445">
        <v>0.19748253999999998</v>
      </c>
      <c r="F747" s="474">
        <v>0.15547557000000001</v>
      </c>
      <c r="G747" s="474">
        <v>0.12915602000000001</v>
      </c>
      <c r="H747" s="474">
        <v>0.13077887999999999</v>
      </c>
      <c r="I747" s="474"/>
      <c r="J747" s="475">
        <v>0.17046739</v>
      </c>
    </row>
    <row r="748" spans="2:10">
      <c r="B748" s="136" t="s">
        <v>443</v>
      </c>
      <c r="C748" s="132"/>
      <c r="D748" s="174"/>
      <c r="E748" s="445">
        <v>0.13292176</v>
      </c>
      <c r="F748" s="474">
        <v>0.10498592999999999</v>
      </c>
      <c r="G748" s="474">
        <v>8.5804490999999997E-2</v>
      </c>
      <c r="H748" s="474"/>
      <c r="I748" s="474"/>
      <c r="J748" s="475">
        <v>0.11220684</v>
      </c>
    </row>
    <row r="749" spans="2:10">
      <c r="B749" s="136" t="s">
        <v>445</v>
      </c>
      <c r="C749" s="132"/>
      <c r="D749" s="174"/>
      <c r="E749" s="445">
        <v>0.12738740999999998</v>
      </c>
      <c r="F749" s="474">
        <v>0.12194545</v>
      </c>
      <c r="G749" s="474">
        <v>8.4109993999999993E-2</v>
      </c>
      <c r="H749" s="474">
        <v>8.7973251000000002E-2</v>
      </c>
      <c r="I749" s="474"/>
      <c r="J749" s="475">
        <v>0.12112982999999999</v>
      </c>
    </row>
    <row r="750" spans="2:10">
      <c r="B750" s="136" t="s">
        <v>446</v>
      </c>
      <c r="C750" s="132"/>
      <c r="D750" s="174"/>
      <c r="E750" s="445">
        <v>0.11888709</v>
      </c>
      <c r="F750" s="474">
        <v>9.8680868000000005E-2</v>
      </c>
      <c r="G750" s="474">
        <v>7.9047242000000004E-2</v>
      </c>
      <c r="H750" s="474">
        <v>9.2450994000000009E-2</v>
      </c>
      <c r="I750" s="474"/>
      <c r="J750" s="475">
        <v>0.10765897000000001</v>
      </c>
    </row>
    <row r="751" spans="2:10">
      <c r="B751" s="136" t="s">
        <v>448</v>
      </c>
      <c r="C751" s="132"/>
      <c r="D751" s="174"/>
      <c r="E751" s="445">
        <v>0.11649060999999999</v>
      </c>
      <c r="F751" s="474">
        <v>0.10356583000000001</v>
      </c>
      <c r="G751" s="474">
        <v>6.6427506999999997E-2</v>
      </c>
      <c r="H751" s="474">
        <v>6.9803973000000005E-2</v>
      </c>
      <c r="I751" s="474"/>
      <c r="J751" s="475">
        <v>0.10025539999999999</v>
      </c>
    </row>
    <row r="752" spans="2:10">
      <c r="B752" s="136" t="s">
        <v>449</v>
      </c>
      <c r="C752" s="132"/>
      <c r="D752" s="174"/>
      <c r="E752" s="445">
        <v>0.37041722999999999</v>
      </c>
      <c r="F752" s="474">
        <v>0.34213338999999998</v>
      </c>
      <c r="G752" s="474">
        <v>0.30217105</v>
      </c>
      <c r="H752" s="474"/>
      <c r="I752" s="474"/>
      <c r="J752" s="475">
        <v>0.33428432000000002</v>
      </c>
    </row>
    <row r="753" spans="2:10">
      <c r="B753" s="136" t="s">
        <v>450</v>
      </c>
      <c r="C753" s="132"/>
      <c r="D753" s="174"/>
      <c r="E753" s="445">
        <v>9.7247357000000006E-2</v>
      </c>
      <c r="F753" s="474">
        <v>7.7755910999999997E-2</v>
      </c>
      <c r="G753" s="474">
        <v>6.3975348000000001E-2</v>
      </c>
      <c r="H753" s="474"/>
      <c r="I753" s="474"/>
      <c r="J753" s="475">
        <v>7.9259927000000008E-2</v>
      </c>
    </row>
    <row r="754" spans="2:10">
      <c r="B754" s="136" t="s">
        <v>451</v>
      </c>
      <c r="C754" s="132"/>
      <c r="D754" s="174"/>
      <c r="E754" s="445">
        <v>0.11913038999999999</v>
      </c>
      <c r="F754" s="474">
        <v>9.2610790999999998E-2</v>
      </c>
      <c r="G754" s="474">
        <v>6.8514937999999997E-2</v>
      </c>
      <c r="H754" s="474">
        <v>6.8514989999999998E-2</v>
      </c>
      <c r="I754" s="474"/>
      <c r="J754" s="475">
        <v>9.3585603000000003E-2</v>
      </c>
    </row>
    <row r="755" spans="2:10">
      <c r="B755" s="136" t="s">
        <v>452</v>
      </c>
      <c r="C755" s="132"/>
      <c r="D755" s="174"/>
      <c r="E755" s="445">
        <v>0.11457511000000001</v>
      </c>
      <c r="F755" s="474">
        <v>9.9587959999999989E-2</v>
      </c>
      <c r="G755" s="474">
        <v>6.9659689999999996E-2</v>
      </c>
      <c r="H755" s="474">
        <v>0.10197054</v>
      </c>
      <c r="I755" s="474"/>
      <c r="J755" s="475">
        <v>9.0574177000000006E-2</v>
      </c>
    </row>
    <row r="756" spans="2:10">
      <c r="B756" s="136" t="s">
        <v>453</v>
      </c>
      <c r="C756" s="132"/>
      <c r="D756" s="174"/>
      <c r="E756" s="445">
        <v>0.11160202</v>
      </c>
      <c r="F756" s="474">
        <v>8.6742095999999991E-2</v>
      </c>
      <c r="G756" s="474">
        <v>5.7099954000000001E-2</v>
      </c>
      <c r="H756" s="474"/>
      <c r="I756" s="474"/>
      <c r="J756" s="475">
        <v>8.1506533000000006E-2</v>
      </c>
    </row>
    <row r="757" spans="2:10">
      <c r="B757" s="136" t="s">
        <v>454</v>
      </c>
      <c r="C757" s="132"/>
      <c r="D757" s="174"/>
      <c r="E757" s="445">
        <v>0.12170906000000001</v>
      </c>
      <c r="F757" s="474">
        <v>0.10129605</v>
      </c>
      <c r="G757" s="474">
        <v>7.7998771999999994E-2</v>
      </c>
      <c r="H757" s="474"/>
      <c r="I757" s="474"/>
      <c r="J757" s="475">
        <v>0.10158139999999999</v>
      </c>
    </row>
    <row r="758" spans="2:10">
      <c r="B758" s="136" t="s">
        <v>455</v>
      </c>
      <c r="C758" s="132"/>
      <c r="D758" s="174"/>
      <c r="E758" s="445">
        <v>0.10164323</v>
      </c>
      <c r="F758" s="474">
        <v>9.4379042999999996E-2</v>
      </c>
      <c r="G758" s="474">
        <v>5.6764833000000001E-2</v>
      </c>
      <c r="H758" s="474"/>
      <c r="I758" s="474"/>
      <c r="J758" s="475">
        <v>8.1501543999999995E-2</v>
      </c>
    </row>
    <row r="759" spans="2:10">
      <c r="B759" s="136" t="s">
        <v>456</v>
      </c>
      <c r="C759" s="132"/>
      <c r="D759" s="174"/>
      <c r="E759" s="445">
        <v>9.5713570999999997E-2</v>
      </c>
      <c r="F759" s="474">
        <v>9.1014997999999986E-2</v>
      </c>
      <c r="G759" s="474">
        <v>6.0474620999999999E-2</v>
      </c>
      <c r="H759" s="474">
        <v>9.2739430999999997E-2</v>
      </c>
      <c r="I759" s="474"/>
      <c r="J759" s="475">
        <v>8.0941922999999999E-2</v>
      </c>
    </row>
    <row r="760" spans="2:10">
      <c r="B760" s="136" t="s">
        <v>457</v>
      </c>
      <c r="C760" s="132"/>
      <c r="D760" s="174"/>
      <c r="E760" s="445">
        <v>0.15272982000000002</v>
      </c>
      <c r="F760" s="474">
        <v>0.12702676999999998</v>
      </c>
      <c r="G760" s="474">
        <v>8.9475110999999996E-2</v>
      </c>
      <c r="H760" s="474"/>
      <c r="I760" s="474"/>
      <c r="J760" s="475">
        <v>0.12650292999999999</v>
      </c>
    </row>
    <row r="761" spans="2:10">
      <c r="B761" s="136" t="s">
        <v>458</v>
      </c>
      <c r="C761" s="132"/>
      <c r="D761" s="174"/>
      <c r="E761" s="445">
        <v>0.13628363999999998</v>
      </c>
      <c r="F761" s="474">
        <v>0.11154695000000001</v>
      </c>
      <c r="G761" s="474">
        <v>9.0357748000000002E-2</v>
      </c>
      <c r="H761" s="474">
        <v>8.5019928999999994E-2</v>
      </c>
      <c r="I761" s="474"/>
      <c r="J761" s="475">
        <v>0.12101440000000001</v>
      </c>
    </row>
    <row r="762" spans="2:10">
      <c r="B762" s="136" t="s">
        <v>459</v>
      </c>
      <c r="C762" s="132"/>
      <c r="D762" s="174"/>
      <c r="E762" s="445">
        <v>0.17390968999999998</v>
      </c>
      <c r="F762" s="474">
        <v>0.14676411</v>
      </c>
      <c r="G762" s="474">
        <v>0.12740483</v>
      </c>
      <c r="H762" s="474">
        <v>8.7639583999999993E-2</v>
      </c>
      <c r="I762" s="474"/>
      <c r="J762" s="475">
        <v>0.15354558000000001</v>
      </c>
    </row>
    <row r="763" spans="2:10">
      <c r="B763" s="136" t="s">
        <v>460</v>
      </c>
      <c r="C763" s="132"/>
      <c r="D763" s="174"/>
      <c r="E763" s="445">
        <v>0.14460681</v>
      </c>
      <c r="F763" s="474">
        <v>0.10870542</v>
      </c>
      <c r="G763" s="474">
        <v>7.6777348999999995E-2</v>
      </c>
      <c r="H763" s="474">
        <v>9.4251839000000004E-2</v>
      </c>
      <c r="I763" s="474"/>
      <c r="J763" s="475">
        <v>0.11032415000000001</v>
      </c>
    </row>
    <row r="764" spans="2:10">
      <c r="B764" s="136" t="s">
        <v>461</v>
      </c>
      <c r="C764" s="132"/>
      <c r="D764" s="174"/>
      <c r="E764" s="445">
        <v>0.12012807</v>
      </c>
      <c r="F764" s="474">
        <v>9.8521187999999996E-2</v>
      </c>
      <c r="G764" s="474">
        <v>6.7241597E-2</v>
      </c>
      <c r="H764" s="474">
        <v>9.7879263999999994E-2</v>
      </c>
      <c r="I764" s="474"/>
      <c r="J764" s="475">
        <v>9.5183242000000001E-2</v>
      </c>
    </row>
    <row r="765" spans="2:10">
      <c r="B765" s="136" t="s">
        <v>462</v>
      </c>
      <c r="C765" s="132"/>
      <c r="D765" s="174"/>
      <c r="E765" s="445">
        <v>0.11316211</v>
      </c>
      <c r="F765" s="474">
        <v>0.10761291999999999</v>
      </c>
      <c r="G765" s="474">
        <v>6.6026388999999991E-2</v>
      </c>
      <c r="H765" s="474"/>
      <c r="I765" s="474"/>
      <c r="J765" s="475">
        <v>9.6008568000000002E-2</v>
      </c>
    </row>
    <row r="766" spans="2:10">
      <c r="B766" s="136" t="s">
        <v>463</v>
      </c>
      <c r="C766" s="132"/>
      <c r="D766" s="174"/>
      <c r="E766" s="445">
        <v>0.10638465</v>
      </c>
      <c r="F766" s="474">
        <v>8.8983483000000002E-2</v>
      </c>
      <c r="G766" s="474">
        <v>6.3580331000000004E-2</v>
      </c>
      <c r="H766" s="474">
        <v>7.8143415000000008E-2</v>
      </c>
      <c r="I766" s="474"/>
      <c r="J766" s="475">
        <v>9.1136779000000001E-2</v>
      </c>
    </row>
    <row r="767" spans="2:10">
      <c r="B767" s="136" t="s">
        <v>464</v>
      </c>
      <c r="C767" s="132"/>
      <c r="D767" s="174"/>
      <c r="E767" s="445">
        <v>0.10181869</v>
      </c>
      <c r="F767" s="474">
        <v>9.6417348999999999E-2</v>
      </c>
      <c r="G767" s="474">
        <v>5.4920641999999999E-2</v>
      </c>
      <c r="H767" s="474"/>
      <c r="I767" s="474"/>
      <c r="J767" s="475">
        <v>8.5873747999999986E-2</v>
      </c>
    </row>
    <row r="768" spans="2:10">
      <c r="B768" s="136" t="s">
        <v>465</v>
      </c>
      <c r="C768" s="132"/>
      <c r="D768" s="174"/>
      <c r="E768" s="445">
        <v>0.10400855000000001</v>
      </c>
      <c r="F768" s="474">
        <v>8.7269096000000004E-2</v>
      </c>
      <c r="G768" s="474">
        <v>7.4711404999999995E-2</v>
      </c>
      <c r="H768" s="474"/>
      <c r="I768" s="474"/>
      <c r="J768" s="475">
        <v>8.8390679E-2</v>
      </c>
    </row>
    <row r="769" spans="2:10">
      <c r="B769" s="136" t="s">
        <v>466</v>
      </c>
      <c r="C769" s="132"/>
      <c r="D769" s="174"/>
      <c r="E769" s="445">
        <v>0.12932645000000001</v>
      </c>
      <c r="F769" s="474">
        <v>9.4714440999999996E-2</v>
      </c>
      <c r="G769" s="474">
        <v>7.1167344999999993E-2</v>
      </c>
      <c r="H769" s="474">
        <v>9.2541270000000009E-2</v>
      </c>
      <c r="I769" s="474"/>
      <c r="J769" s="475">
        <v>9.7253855999999986E-2</v>
      </c>
    </row>
    <row r="770" spans="2:10">
      <c r="B770" s="136" t="s">
        <v>467</v>
      </c>
      <c r="C770" s="132"/>
      <c r="D770" s="174"/>
      <c r="E770" s="445">
        <v>0.1752928</v>
      </c>
      <c r="F770" s="474">
        <v>0.14339091000000001</v>
      </c>
      <c r="G770" s="474">
        <v>0.11929516</v>
      </c>
      <c r="H770" s="474"/>
      <c r="I770" s="474"/>
      <c r="J770" s="475">
        <v>0.15220361999999998</v>
      </c>
    </row>
    <row r="771" spans="2:10">
      <c r="B771" s="136" t="s">
        <v>468</v>
      </c>
      <c r="C771" s="132"/>
      <c r="D771" s="174"/>
      <c r="E771" s="445">
        <v>0.15775620000000001</v>
      </c>
      <c r="F771" s="474">
        <v>0.13145719</v>
      </c>
      <c r="G771" s="474">
        <v>0.11384869</v>
      </c>
      <c r="H771" s="474">
        <v>0.10427871</v>
      </c>
      <c r="I771" s="474"/>
      <c r="J771" s="475">
        <v>0.13948470999999998</v>
      </c>
    </row>
    <row r="772" spans="2:10">
      <c r="B772" s="136" t="s">
        <v>469</v>
      </c>
      <c r="C772" s="132"/>
      <c r="D772" s="174"/>
      <c r="E772" s="445">
        <v>0.12281268000000001</v>
      </c>
      <c r="F772" s="474">
        <v>0.10270296999999999</v>
      </c>
      <c r="G772" s="474">
        <v>6.6108562999999995E-2</v>
      </c>
      <c r="H772" s="474"/>
      <c r="I772" s="474"/>
      <c r="J772" s="475">
        <v>9.6539172000000006E-2</v>
      </c>
    </row>
    <row r="773" spans="2:10">
      <c r="B773" s="136" t="s">
        <v>470</v>
      </c>
      <c r="C773" s="132"/>
      <c r="D773" s="174"/>
      <c r="E773" s="445">
        <v>0.20072703</v>
      </c>
      <c r="F773" s="474">
        <v>0.16123131999999998</v>
      </c>
      <c r="G773" s="474">
        <v>6.5781064E-2</v>
      </c>
      <c r="H773" s="474">
        <v>0.13815330000000001</v>
      </c>
      <c r="I773" s="474"/>
      <c r="J773" s="475">
        <v>0.16251758999999999</v>
      </c>
    </row>
    <row r="774" spans="2:10">
      <c r="B774" s="136" t="s">
        <v>471</v>
      </c>
      <c r="C774" s="132"/>
      <c r="D774" s="174"/>
      <c r="E774" s="445">
        <v>0.11102102999999999</v>
      </c>
      <c r="F774" s="474">
        <v>8.7513907000000002E-2</v>
      </c>
      <c r="G774" s="474">
        <v>6.4967873999999995E-2</v>
      </c>
      <c r="H774" s="474">
        <v>7.8418685000000002E-2</v>
      </c>
      <c r="I774" s="474"/>
      <c r="J774" s="475">
        <v>9.3302642000000005E-2</v>
      </c>
    </row>
    <row r="775" spans="2:10">
      <c r="B775" s="136" t="s">
        <v>472</v>
      </c>
      <c r="C775" s="132"/>
      <c r="D775" s="174"/>
      <c r="E775" s="445">
        <v>9.1473601000000002E-2</v>
      </c>
      <c r="F775" s="474">
        <v>8.7854847E-2</v>
      </c>
      <c r="G775" s="474">
        <v>7.6198794E-2</v>
      </c>
      <c r="H775" s="474"/>
      <c r="I775" s="474"/>
      <c r="J775" s="475">
        <v>8.4138515999999997E-2</v>
      </c>
    </row>
    <row r="776" spans="2:10">
      <c r="B776" s="136" t="s">
        <v>473</v>
      </c>
      <c r="C776" s="132"/>
      <c r="D776" s="174"/>
      <c r="E776" s="445">
        <v>0.12495530000000001</v>
      </c>
      <c r="F776" s="474">
        <v>9.8251942999999994E-2</v>
      </c>
      <c r="G776" s="474">
        <v>6.7695614000000001E-2</v>
      </c>
      <c r="H776" s="474">
        <v>8.777916899999999E-2</v>
      </c>
      <c r="I776" s="474"/>
      <c r="J776" s="475">
        <v>9.7299342999999996E-2</v>
      </c>
    </row>
    <row r="777" spans="2:10">
      <c r="B777" s="136" t="s">
        <v>474</v>
      </c>
      <c r="C777" s="132"/>
      <c r="D777" s="174"/>
      <c r="E777" s="445">
        <v>0.10034622</v>
      </c>
      <c r="F777" s="474">
        <v>8.0900409999999992E-2</v>
      </c>
      <c r="G777" s="474">
        <v>5.8451410000000002E-2</v>
      </c>
      <c r="H777" s="474"/>
      <c r="I777" s="474"/>
      <c r="J777" s="475">
        <v>8.1795042999999998E-2</v>
      </c>
    </row>
    <row r="778" spans="2:10">
      <c r="B778" s="136" t="s">
        <v>475</v>
      </c>
      <c r="C778" s="132"/>
      <c r="D778" s="174"/>
      <c r="E778" s="445">
        <v>0.10467140999999999</v>
      </c>
      <c r="F778" s="474">
        <v>8.7515061999999991E-2</v>
      </c>
      <c r="G778" s="474">
        <v>5.9695515999999997E-2</v>
      </c>
      <c r="H778" s="474">
        <v>9.2118781999999996E-2</v>
      </c>
      <c r="I778" s="474"/>
      <c r="J778" s="475">
        <v>8.6827968000000005E-2</v>
      </c>
    </row>
    <row r="779" spans="2:10">
      <c r="B779" s="136" t="s">
        <v>476</v>
      </c>
      <c r="C779" s="132"/>
      <c r="D779" s="174"/>
      <c r="E779" s="445">
        <v>0.13318178</v>
      </c>
      <c r="F779" s="474">
        <v>9.7250476000000002E-2</v>
      </c>
      <c r="G779" s="474">
        <v>7.4113360000000003E-2</v>
      </c>
      <c r="H779" s="474">
        <v>7.6509810999999997E-2</v>
      </c>
      <c r="I779" s="474"/>
      <c r="J779" s="475">
        <v>0.10278760999999999</v>
      </c>
    </row>
    <row r="780" spans="2:10">
      <c r="B780" s="136" t="s">
        <v>477</v>
      </c>
      <c r="C780" s="132"/>
      <c r="D780" s="174"/>
      <c r="E780" s="445">
        <v>0.25885778999999998</v>
      </c>
      <c r="F780" s="474">
        <v>0.26594421000000001</v>
      </c>
      <c r="G780" s="474">
        <v>0.22685384</v>
      </c>
      <c r="H780" s="474"/>
      <c r="I780" s="474"/>
      <c r="J780" s="475">
        <v>0.25809777</v>
      </c>
    </row>
    <row r="781" spans="2:10">
      <c r="B781" s="136" t="s">
        <v>478</v>
      </c>
      <c r="C781" s="132"/>
      <c r="D781" s="174"/>
      <c r="E781" s="445">
        <v>0.17167944999999998</v>
      </c>
      <c r="F781" s="474">
        <v>0.1456056</v>
      </c>
      <c r="G781" s="474">
        <v>0.12862618000000001</v>
      </c>
      <c r="H781" s="474">
        <v>0.14888177</v>
      </c>
      <c r="I781" s="474"/>
      <c r="J781" s="475">
        <v>0.15412097999999999</v>
      </c>
    </row>
    <row r="782" spans="2:10">
      <c r="B782" s="136" t="s">
        <v>479</v>
      </c>
      <c r="C782" s="132"/>
      <c r="D782" s="174"/>
      <c r="E782" s="445">
        <v>0.12450478999999999</v>
      </c>
      <c r="F782" s="474">
        <v>0.10277134</v>
      </c>
      <c r="G782" s="474">
        <v>6.2908601999999994E-2</v>
      </c>
      <c r="H782" s="474"/>
      <c r="I782" s="474"/>
      <c r="J782" s="475">
        <v>9.6665609E-2</v>
      </c>
    </row>
    <row r="783" spans="2:10">
      <c r="B783" s="136" t="s">
        <v>480</v>
      </c>
      <c r="C783" s="132"/>
      <c r="D783" s="174"/>
      <c r="E783" s="445">
        <v>0.1046834</v>
      </c>
      <c r="F783" s="474">
        <v>8.8887050999999995E-2</v>
      </c>
      <c r="G783" s="474">
        <v>6.9851650000000001E-2</v>
      </c>
      <c r="H783" s="474"/>
      <c r="I783" s="474"/>
      <c r="J783" s="475">
        <v>9.0506232999999991E-2</v>
      </c>
    </row>
    <row r="784" spans="2:10">
      <c r="B784" s="136" t="s">
        <v>481</v>
      </c>
      <c r="C784" s="132"/>
      <c r="D784" s="174"/>
      <c r="E784" s="445">
        <v>0.10324878999999999</v>
      </c>
      <c r="F784" s="474">
        <v>0.10379212</v>
      </c>
      <c r="G784" s="474">
        <v>6.4042821999999999E-2</v>
      </c>
      <c r="H784" s="474">
        <v>8.5712810000000014E-2</v>
      </c>
      <c r="I784" s="474"/>
      <c r="J784" s="475">
        <v>9.3969957999999992E-2</v>
      </c>
    </row>
    <row r="785" spans="1:113">
      <c r="B785" s="136" t="s">
        <v>482</v>
      </c>
      <c r="C785" s="132"/>
      <c r="D785" s="174"/>
      <c r="E785" s="445">
        <v>0.11863625000000001</v>
      </c>
      <c r="F785" s="474">
        <v>8.1615692000000004E-2</v>
      </c>
      <c r="G785" s="474">
        <v>6.1625925999999998E-2</v>
      </c>
      <c r="H785" s="474">
        <v>5.1650626999999998E-2</v>
      </c>
      <c r="I785" s="474"/>
      <c r="J785" s="475">
        <v>8.9388492999999999E-2</v>
      </c>
    </row>
    <row r="786" spans="1:113">
      <c r="B786" s="136" t="s">
        <v>483</v>
      </c>
      <c r="C786" s="132"/>
      <c r="D786" s="174"/>
      <c r="E786" s="445">
        <v>0.10645180999999999</v>
      </c>
      <c r="F786" s="474">
        <v>8.5326354999999993E-2</v>
      </c>
      <c r="G786" s="474">
        <v>6.0813659999999999E-2</v>
      </c>
      <c r="H786" s="474">
        <v>0.10338812000000001</v>
      </c>
      <c r="I786" s="474"/>
      <c r="J786" s="475">
        <v>8.3535327000000006E-2</v>
      </c>
    </row>
    <row r="787" spans="1:113">
      <c r="B787" s="136" t="s">
        <v>484</v>
      </c>
      <c r="C787" s="132"/>
      <c r="D787" s="174"/>
      <c r="E787" s="445">
        <v>0.17473459999999999</v>
      </c>
      <c r="F787" s="474">
        <v>0.14562659</v>
      </c>
      <c r="G787" s="474">
        <v>0.10233527000000001</v>
      </c>
      <c r="H787" s="474"/>
      <c r="I787" s="474"/>
      <c r="J787" s="475">
        <v>0.14569145999999999</v>
      </c>
    </row>
    <row r="788" spans="1:113">
      <c r="B788" s="136" t="s">
        <v>485</v>
      </c>
      <c r="C788" s="132"/>
      <c r="D788" s="174"/>
      <c r="E788" s="445">
        <v>0.47</v>
      </c>
      <c r="F788" s="474">
        <v>0.47</v>
      </c>
      <c r="G788" s="474">
        <v>0.47</v>
      </c>
      <c r="H788" s="474"/>
      <c r="I788" s="474"/>
      <c r="J788" s="475">
        <v>0.47</v>
      </c>
    </row>
    <row r="789" spans="1:113">
      <c r="B789" s="136" t="s">
        <v>486</v>
      </c>
      <c r="C789" s="132"/>
      <c r="D789" s="174"/>
      <c r="E789" s="445">
        <v>0.11100061</v>
      </c>
      <c r="F789" s="474">
        <v>8.1519998999999996E-2</v>
      </c>
      <c r="G789" s="474">
        <v>6.8903435999999998E-2</v>
      </c>
      <c r="H789" s="474">
        <v>8.2379155999999995E-2</v>
      </c>
      <c r="I789" s="474"/>
      <c r="J789" s="475">
        <v>9.1743491999999996E-2</v>
      </c>
    </row>
    <row r="790" spans="1:113">
      <c r="B790" s="136" t="s">
        <v>487</v>
      </c>
      <c r="C790" s="132"/>
      <c r="D790" s="174"/>
      <c r="E790" s="445">
        <v>8.6668467000000013E-2</v>
      </c>
      <c r="F790" s="474">
        <v>7.9667317000000001E-2</v>
      </c>
      <c r="G790" s="474">
        <v>4.3240772999999996E-2</v>
      </c>
      <c r="H790" s="474">
        <v>8.479492000000001E-2</v>
      </c>
      <c r="I790" s="474"/>
      <c r="J790" s="475">
        <v>7.1258844000000002E-2</v>
      </c>
    </row>
    <row r="791" spans="1:113">
      <c r="B791" s="136" t="s">
        <v>488</v>
      </c>
      <c r="C791" s="132"/>
      <c r="D791" s="174"/>
      <c r="E791" s="445">
        <v>9.3380285000000007E-2</v>
      </c>
      <c r="F791" s="474">
        <v>7.991798E-2</v>
      </c>
      <c r="G791" s="474">
        <v>5.8702025999999997E-2</v>
      </c>
      <c r="H791" s="474"/>
      <c r="I791" s="474"/>
      <c r="J791" s="475">
        <v>7.6530556999999999E-2</v>
      </c>
    </row>
    <row r="792" spans="1:113">
      <c r="B792" s="136" t="s">
        <v>489</v>
      </c>
      <c r="C792" s="132"/>
      <c r="D792" s="174"/>
      <c r="E792" s="445">
        <v>0.13665015999999999</v>
      </c>
      <c r="F792" s="474">
        <v>0.10769134</v>
      </c>
      <c r="G792" s="474">
        <v>7.5198212E-2</v>
      </c>
      <c r="H792" s="474"/>
      <c r="I792" s="474"/>
      <c r="J792" s="475">
        <v>0.10569451000000001</v>
      </c>
    </row>
    <row r="793" spans="1:113">
      <c r="B793" s="136" t="s">
        <v>490</v>
      </c>
      <c r="C793" s="132"/>
      <c r="D793" s="174"/>
      <c r="E793" s="445">
        <v>0.10495871</v>
      </c>
      <c r="F793" s="474">
        <v>8.8817641000000003E-2</v>
      </c>
      <c r="G793" s="474">
        <v>6.6102125999999997E-2</v>
      </c>
      <c r="H793" s="474"/>
      <c r="I793" s="474"/>
      <c r="J793" s="475">
        <v>7.7647197000000001E-2</v>
      </c>
    </row>
    <row r="794" spans="1:113" ht="16" thickBot="1">
      <c r="B794" s="143" t="s">
        <v>526</v>
      </c>
      <c r="C794" s="145"/>
      <c r="D794" s="476"/>
      <c r="E794" s="477">
        <v>0.12519681999999999</v>
      </c>
      <c r="F794" s="478">
        <v>0.10742319</v>
      </c>
      <c r="G794" s="478">
        <v>7.1026912999999997E-2</v>
      </c>
      <c r="H794" s="478">
        <v>0.10447806999999999</v>
      </c>
      <c r="I794" s="478"/>
      <c r="J794" s="479">
        <v>0.10441639</v>
      </c>
    </row>
    <row r="795" spans="1:113">
      <c r="F795" s="480"/>
      <c r="G795" s="480"/>
      <c r="H795" s="480"/>
    </row>
    <row r="796" spans="1:113">
      <c r="A796" s="242"/>
      <c r="B796" s="243"/>
      <c r="C796" s="243"/>
      <c r="D796" s="243"/>
      <c r="E796" s="243"/>
      <c r="F796" s="243"/>
      <c r="G796" s="243"/>
      <c r="H796" s="243"/>
      <c r="I796" s="243"/>
      <c r="J796" s="243"/>
      <c r="K796" s="243"/>
      <c r="L796" s="243"/>
      <c r="M796" s="243"/>
      <c r="N796" s="243"/>
      <c r="O796" s="243"/>
      <c r="P796" s="243"/>
      <c r="Q796" s="243"/>
      <c r="R796" s="243"/>
      <c r="S796" s="243"/>
      <c r="T796" s="243"/>
      <c r="U796" s="243"/>
      <c r="V796" s="243"/>
      <c r="W796" s="243"/>
      <c r="X796" s="243"/>
      <c r="Y796" s="243"/>
      <c r="Z796" s="243"/>
      <c r="AA796" s="243"/>
      <c r="AB796" s="243"/>
      <c r="AC796" s="243"/>
      <c r="AD796" s="243"/>
      <c r="AE796" s="243"/>
      <c r="AF796" s="243"/>
      <c r="AG796" s="243"/>
      <c r="AH796" s="243"/>
      <c r="AI796" s="243"/>
      <c r="AJ796" s="243"/>
      <c r="AK796" s="243"/>
      <c r="AL796" s="243"/>
      <c r="AM796" s="243"/>
      <c r="AN796" s="243"/>
      <c r="AO796" s="243"/>
      <c r="AP796" s="243"/>
      <c r="AQ796" s="243"/>
      <c r="AR796" s="243"/>
      <c r="AS796" s="243"/>
      <c r="AT796" s="243"/>
      <c r="AU796" s="243"/>
      <c r="AV796" s="243"/>
      <c r="AW796" s="243"/>
      <c r="AX796" s="243"/>
      <c r="AY796" s="243"/>
      <c r="AZ796" s="243"/>
      <c r="BA796" s="243"/>
      <c r="BB796" s="243"/>
      <c r="BC796" s="243"/>
      <c r="BD796" s="243"/>
      <c r="BE796" s="243"/>
      <c r="BF796" s="243"/>
      <c r="BG796" s="243"/>
      <c r="BH796" s="243"/>
      <c r="BI796" s="243"/>
      <c r="BJ796" s="243"/>
      <c r="BK796" s="243"/>
      <c r="BL796" s="243"/>
      <c r="BM796" s="243"/>
      <c r="BN796" s="243"/>
      <c r="BO796" s="243"/>
      <c r="BP796" s="243"/>
      <c r="BQ796" s="243"/>
      <c r="BR796" s="243"/>
      <c r="BS796" s="243"/>
      <c r="BT796" s="243"/>
      <c r="BU796" s="243"/>
      <c r="BV796" s="243"/>
      <c r="BW796" s="243"/>
      <c r="BX796" s="243"/>
      <c r="BY796" s="243"/>
      <c r="BZ796" s="243"/>
      <c r="CA796" s="243"/>
      <c r="CB796" s="243"/>
      <c r="CC796" s="243"/>
      <c r="CD796" s="243"/>
      <c r="CE796" s="243"/>
      <c r="CF796" s="243"/>
      <c r="CG796" s="243"/>
      <c r="CH796" s="243"/>
      <c r="CI796" s="243"/>
      <c r="CJ796" s="243"/>
      <c r="CK796" s="243"/>
      <c r="CL796" s="243"/>
      <c r="CM796" s="243"/>
      <c r="CN796" s="243"/>
      <c r="CO796" s="243"/>
      <c r="CP796" s="243"/>
      <c r="CQ796" s="243"/>
      <c r="CR796" s="243"/>
      <c r="CS796" s="243"/>
      <c r="CT796" s="243"/>
      <c r="CU796" s="243"/>
      <c r="CV796" s="243"/>
      <c r="CW796" s="243"/>
      <c r="CX796" s="243"/>
      <c r="CY796" s="243"/>
      <c r="CZ796" s="243"/>
      <c r="DA796" s="243"/>
      <c r="DB796" s="243"/>
      <c r="DC796" s="243"/>
      <c r="DD796" s="243"/>
      <c r="DE796" s="243"/>
      <c r="DF796" s="243"/>
      <c r="DG796" s="243"/>
      <c r="DH796" s="243"/>
      <c r="DI796" s="243"/>
    </row>
    <row r="797" spans="1:113">
      <c r="A797" s="242"/>
      <c r="B797" s="243"/>
      <c r="C797" s="243"/>
      <c r="D797" s="243"/>
      <c r="E797" s="243"/>
      <c r="F797" s="243"/>
      <c r="G797" s="243"/>
      <c r="H797" s="243"/>
      <c r="I797" s="243"/>
      <c r="J797" s="243"/>
      <c r="K797" s="243"/>
      <c r="L797" s="243"/>
      <c r="M797" s="243"/>
      <c r="N797" s="243"/>
      <c r="O797" s="243"/>
      <c r="P797" s="243"/>
      <c r="Q797" s="243"/>
      <c r="R797" s="243"/>
      <c r="S797" s="243"/>
      <c r="T797" s="243"/>
      <c r="U797" s="243"/>
      <c r="V797" s="243"/>
      <c r="W797" s="243"/>
      <c r="X797" s="243"/>
      <c r="Y797" s="243"/>
      <c r="Z797" s="243"/>
      <c r="AA797" s="243"/>
      <c r="AB797" s="243"/>
      <c r="AC797" s="243"/>
      <c r="AD797" s="243"/>
      <c r="AE797" s="243"/>
      <c r="AF797" s="243"/>
      <c r="AG797" s="243"/>
      <c r="AH797" s="243"/>
      <c r="AI797" s="243"/>
      <c r="AJ797" s="243"/>
      <c r="AK797" s="243"/>
      <c r="AL797" s="243"/>
      <c r="AM797" s="243"/>
      <c r="AN797" s="243"/>
      <c r="AO797" s="243"/>
      <c r="AP797" s="243"/>
      <c r="AQ797" s="243"/>
      <c r="AR797" s="243"/>
      <c r="AS797" s="243"/>
      <c r="AT797" s="243"/>
      <c r="AU797" s="243"/>
      <c r="AV797" s="243"/>
      <c r="AW797" s="243"/>
      <c r="AX797" s="243"/>
      <c r="AY797" s="243"/>
      <c r="AZ797" s="243"/>
      <c r="BA797" s="243"/>
      <c r="BB797" s="243"/>
      <c r="BC797" s="243"/>
      <c r="BD797" s="243"/>
      <c r="BE797" s="243"/>
      <c r="BF797" s="243"/>
      <c r="BG797" s="243"/>
      <c r="BH797" s="243"/>
      <c r="BI797" s="243"/>
      <c r="BJ797" s="243"/>
      <c r="BK797" s="243"/>
      <c r="BL797" s="243"/>
      <c r="BM797" s="243"/>
      <c r="BN797" s="243"/>
      <c r="BO797" s="243"/>
      <c r="BP797" s="243"/>
      <c r="BQ797" s="243"/>
      <c r="BR797" s="243"/>
      <c r="BS797" s="243"/>
      <c r="BT797" s="243"/>
      <c r="BU797" s="243"/>
      <c r="BV797" s="243"/>
      <c r="BW797" s="243"/>
      <c r="BX797" s="243"/>
      <c r="BY797" s="243"/>
      <c r="BZ797" s="243"/>
      <c r="CA797" s="243"/>
      <c r="CB797" s="243"/>
      <c r="CC797" s="243"/>
      <c r="CD797" s="243"/>
      <c r="CE797" s="243"/>
      <c r="CF797" s="243"/>
      <c r="CG797" s="243"/>
      <c r="CH797" s="243"/>
      <c r="CI797" s="243"/>
      <c r="CJ797" s="243"/>
      <c r="CK797" s="243"/>
      <c r="CL797" s="243"/>
      <c r="CM797" s="243"/>
      <c r="CN797" s="243"/>
      <c r="CO797" s="243"/>
      <c r="CP797" s="243"/>
      <c r="CQ797" s="243"/>
      <c r="CR797" s="243"/>
      <c r="CS797" s="243"/>
      <c r="CT797" s="243"/>
      <c r="CU797" s="243"/>
      <c r="CV797" s="243"/>
      <c r="CW797" s="243"/>
      <c r="CX797" s="243"/>
      <c r="CY797" s="243"/>
      <c r="CZ797" s="243"/>
      <c r="DA797" s="243"/>
      <c r="DB797" s="243"/>
      <c r="DC797" s="243"/>
      <c r="DD797" s="243"/>
      <c r="DE797" s="243"/>
      <c r="DF797" s="243"/>
      <c r="DG797" s="243"/>
      <c r="DH797" s="243"/>
      <c r="DI797" s="243"/>
    </row>
    <row r="798" spans="1:113">
      <c r="A798" s="242"/>
      <c r="B798" s="243"/>
      <c r="C798" s="243"/>
      <c r="D798" s="243"/>
      <c r="E798" s="243"/>
      <c r="F798" s="243"/>
      <c r="G798" s="243"/>
      <c r="H798" s="243"/>
      <c r="I798" s="243"/>
      <c r="J798" s="243"/>
      <c r="K798" s="243"/>
      <c r="L798" s="243"/>
      <c r="M798" s="243"/>
      <c r="N798" s="243"/>
      <c r="O798" s="243"/>
      <c r="P798" s="243"/>
      <c r="Q798" s="243"/>
      <c r="R798" s="243"/>
      <c r="S798" s="243"/>
      <c r="T798" s="243"/>
      <c r="U798" s="243"/>
      <c r="V798" s="243"/>
      <c r="W798" s="243"/>
      <c r="X798" s="243"/>
      <c r="Y798" s="243"/>
      <c r="Z798" s="243"/>
      <c r="AA798" s="243"/>
      <c r="AB798" s="243"/>
      <c r="AC798" s="243"/>
      <c r="AD798" s="243"/>
      <c r="AE798" s="243"/>
      <c r="AF798" s="243"/>
      <c r="AG798" s="243"/>
      <c r="AH798" s="243"/>
      <c r="AI798" s="243"/>
      <c r="AJ798" s="243"/>
      <c r="AK798" s="243"/>
      <c r="AL798" s="243"/>
      <c r="AM798" s="243"/>
      <c r="AN798" s="243"/>
      <c r="AO798" s="243"/>
      <c r="AP798" s="243"/>
      <c r="AQ798" s="243"/>
      <c r="AR798" s="243"/>
      <c r="AS798" s="243"/>
      <c r="AT798" s="243"/>
      <c r="AU798" s="243"/>
      <c r="AV798" s="243"/>
      <c r="AW798" s="243"/>
      <c r="AX798" s="243"/>
      <c r="AY798" s="243"/>
      <c r="AZ798" s="243"/>
      <c r="BA798" s="243"/>
      <c r="BB798" s="243"/>
      <c r="BC798" s="243"/>
      <c r="BD798" s="243"/>
      <c r="BE798" s="243"/>
      <c r="BF798" s="243"/>
      <c r="BG798" s="243"/>
      <c r="BH798" s="243"/>
      <c r="BI798" s="243"/>
      <c r="BJ798" s="243"/>
      <c r="BK798" s="243"/>
      <c r="BL798" s="243"/>
      <c r="BM798" s="243"/>
      <c r="BN798" s="243"/>
      <c r="BO798" s="243"/>
      <c r="BP798" s="243"/>
      <c r="BQ798" s="243"/>
      <c r="BR798" s="243"/>
      <c r="BS798" s="243"/>
      <c r="BT798" s="243"/>
      <c r="BU798" s="243"/>
      <c r="BV798" s="243"/>
      <c r="BW798" s="243"/>
      <c r="BX798" s="243"/>
      <c r="BY798" s="243"/>
      <c r="BZ798" s="243"/>
      <c r="CA798" s="243"/>
      <c r="CB798" s="243"/>
      <c r="CC798" s="243"/>
      <c r="CD798" s="243"/>
      <c r="CE798" s="243"/>
      <c r="CF798" s="243"/>
      <c r="CG798" s="243"/>
      <c r="CH798" s="243"/>
      <c r="CI798" s="243"/>
      <c r="CJ798" s="243"/>
      <c r="CK798" s="243"/>
      <c r="CL798" s="243"/>
      <c r="CM798" s="243"/>
      <c r="CN798" s="243"/>
      <c r="CO798" s="243"/>
      <c r="CP798" s="243"/>
      <c r="CQ798" s="243"/>
      <c r="CR798" s="243"/>
      <c r="CS798" s="243"/>
      <c r="CT798" s="243"/>
      <c r="CU798" s="243"/>
      <c r="CV798" s="243"/>
      <c r="CW798" s="243"/>
      <c r="CX798" s="243"/>
      <c r="CY798" s="243"/>
      <c r="CZ798" s="243"/>
      <c r="DA798" s="243"/>
      <c r="DB798" s="243"/>
      <c r="DC798" s="243"/>
      <c r="DD798" s="243"/>
      <c r="DE798" s="243"/>
      <c r="DF798" s="243"/>
      <c r="DG798" s="243"/>
      <c r="DH798" s="243"/>
      <c r="DI798" s="243"/>
    </row>
    <row r="799" spans="1:113">
      <c r="A799" s="241"/>
    </row>
    <row r="800" spans="1:113" ht="19">
      <c r="A800" s="240" t="s">
        <v>527</v>
      </c>
    </row>
    <row r="801" spans="1:25">
      <c r="A801" s="241"/>
    </row>
    <row r="802" spans="1:25" ht="16" thickBot="1">
      <c r="B802" s="244" t="s">
        <v>528</v>
      </c>
      <c r="F802" s="145"/>
      <c r="G802" s="145"/>
      <c r="H802" s="145"/>
    </row>
    <row r="803" spans="1:25" ht="15" customHeight="1">
      <c r="B803" s="245" t="s">
        <v>528</v>
      </c>
      <c r="C803" s="481" t="s">
        <v>529</v>
      </c>
      <c r="D803" s="482">
        <v>8.3000000000000001E-3</v>
      </c>
      <c r="E803" s="483" t="s">
        <v>530</v>
      </c>
      <c r="F803" s="484"/>
      <c r="G803" s="485"/>
      <c r="H803" s="486"/>
      <c r="I803" s="485"/>
      <c r="J803" s="485"/>
      <c r="K803" s="485"/>
      <c r="L803" s="485"/>
      <c r="M803" s="485"/>
      <c r="N803" s="485"/>
      <c r="O803" s="485"/>
      <c r="P803" s="485"/>
      <c r="Q803" s="485"/>
      <c r="R803" s="485"/>
      <c r="S803" s="485"/>
      <c r="T803" s="485"/>
      <c r="U803" s="485"/>
      <c r="V803" s="485"/>
      <c r="W803" s="485"/>
      <c r="X803" s="485"/>
      <c r="Y803" s="485"/>
    </row>
    <row r="804" spans="1:25">
      <c r="B804" s="271" t="s">
        <v>528</v>
      </c>
      <c r="C804" s="325" t="s">
        <v>531</v>
      </c>
      <c r="D804" s="487">
        <v>2.3E-2</v>
      </c>
      <c r="E804" s="325" t="s">
        <v>532</v>
      </c>
      <c r="F804" s="488"/>
      <c r="G804" s="489"/>
      <c r="H804" s="488"/>
      <c r="I804" s="485"/>
      <c r="J804" s="485"/>
      <c r="K804" s="485"/>
      <c r="L804" s="485"/>
      <c r="M804" s="485"/>
      <c r="N804" s="485"/>
      <c r="O804" s="485"/>
      <c r="P804" s="485"/>
      <c r="Q804" s="485"/>
      <c r="R804" s="485"/>
      <c r="S804" s="485"/>
      <c r="T804" s="485"/>
      <c r="U804" s="485"/>
      <c r="V804" s="485"/>
      <c r="W804" s="485"/>
      <c r="X804" s="485"/>
      <c r="Y804" s="485"/>
    </row>
    <row r="805" spans="1:25" ht="15" customHeight="1">
      <c r="B805" s="136" t="s">
        <v>533</v>
      </c>
      <c r="C805" s="367" t="s">
        <v>534</v>
      </c>
      <c r="D805" s="490">
        <v>2.4E-2</v>
      </c>
      <c r="E805" s="491" t="s">
        <v>535</v>
      </c>
      <c r="F805" s="356"/>
      <c r="G805" s="485"/>
      <c r="H805" s="492"/>
      <c r="I805" s="485"/>
      <c r="J805" s="493"/>
      <c r="K805" s="493"/>
      <c r="L805" s="493"/>
      <c r="M805" s="493"/>
      <c r="N805" s="493"/>
      <c r="O805" s="493"/>
      <c r="P805" s="493"/>
      <c r="Q805" s="493"/>
      <c r="R805" s="493"/>
      <c r="S805" s="493"/>
      <c r="T805" s="493"/>
      <c r="U805" s="493"/>
      <c r="V805" s="493"/>
      <c r="W805" s="493"/>
      <c r="X805" s="493"/>
      <c r="Y805" s="493"/>
    </row>
    <row r="806" spans="1:25">
      <c r="B806" s="271" t="s">
        <v>536</v>
      </c>
      <c r="C806" s="494" t="s">
        <v>537</v>
      </c>
      <c r="D806" s="495">
        <v>0.06</v>
      </c>
      <c r="E806" s="325"/>
      <c r="F806" s="346"/>
      <c r="G806" s="489"/>
      <c r="H806" s="488"/>
      <c r="I806" s="485"/>
      <c r="J806" s="493"/>
      <c r="K806" s="493"/>
      <c r="L806" s="493"/>
      <c r="M806" s="493"/>
      <c r="N806" s="493"/>
      <c r="O806" s="493"/>
      <c r="P806" s="493"/>
      <c r="Q806" s="493"/>
      <c r="R806" s="493"/>
      <c r="S806" s="493"/>
      <c r="T806" s="493"/>
      <c r="U806" s="493"/>
      <c r="V806" s="493"/>
      <c r="W806" s="493"/>
      <c r="X806" s="493"/>
      <c r="Y806" s="493"/>
    </row>
    <row r="807" spans="1:25" ht="16" thickBot="1">
      <c r="B807" s="496" t="s">
        <v>538</v>
      </c>
      <c r="C807" s="497" t="s">
        <v>539</v>
      </c>
      <c r="D807" s="497"/>
      <c r="E807" s="327"/>
      <c r="F807" s="498"/>
      <c r="G807" s="499"/>
      <c r="H807" s="500"/>
      <c r="I807" s="485"/>
      <c r="J807" s="493"/>
      <c r="K807" s="493"/>
      <c r="L807" s="493"/>
      <c r="M807" s="493"/>
      <c r="N807" s="493"/>
      <c r="O807" s="493"/>
      <c r="P807" s="493"/>
      <c r="Q807" s="493"/>
      <c r="R807" s="493"/>
      <c r="S807" s="493"/>
      <c r="T807" s="493"/>
      <c r="U807" s="493"/>
      <c r="V807" s="493"/>
      <c r="W807" s="493"/>
      <c r="X807" s="493"/>
      <c r="Y807" s="493"/>
    </row>
    <row r="808" spans="1:25">
      <c r="B808" s="132"/>
      <c r="C808" s="132"/>
      <c r="D808" s="132"/>
      <c r="E808" s="132"/>
      <c r="F808" s="356"/>
      <c r="G808" s="485"/>
      <c r="H808" s="485"/>
      <c r="I808" s="485"/>
      <c r="J808" s="493"/>
      <c r="K808" s="493"/>
      <c r="L808" s="493"/>
      <c r="M808" s="493"/>
      <c r="N808" s="493"/>
      <c r="O808" s="493"/>
      <c r="P808" s="493"/>
      <c r="Q808" s="493"/>
      <c r="R808" s="493"/>
      <c r="S808" s="493"/>
      <c r="T808" s="493"/>
      <c r="U808" s="493"/>
      <c r="V808" s="493"/>
      <c r="W808" s="493"/>
      <c r="X808" s="493"/>
      <c r="Y808" s="493"/>
    </row>
    <row r="809" spans="1:25" ht="16" thickBot="1">
      <c r="B809" s="249" t="s">
        <v>540</v>
      </c>
      <c r="C809" s="132"/>
      <c r="D809" s="132"/>
      <c r="E809" s="132"/>
      <c r="F809" s="356"/>
      <c r="G809" s="485"/>
      <c r="H809" s="485"/>
      <c r="I809" s="485"/>
      <c r="J809" s="493"/>
      <c r="K809" s="493"/>
      <c r="L809" s="493"/>
      <c r="M809" s="493"/>
      <c r="N809" s="493"/>
      <c r="O809" s="493"/>
      <c r="P809" s="493"/>
      <c r="Q809" s="493"/>
      <c r="R809" s="493"/>
      <c r="S809" s="493"/>
      <c r="T809" s="493"/>
      <c r="U809" s="493"/>
      <c r="V809" s="493"/>
      <c r="W809" s="493"/>
      <c r="X809" s="493"/>
      <c r="Y809" s="493"/>
    </row>
    <row r="810" spans="1:25">
      <c r="B810" s="245" t="s">
        <v>541</v>
      </c>
      <c r="C810" s="464" t="s">
        <v>542</v>
      </c>
      <c r="D810" s="501" t="s">
        <v>543</v>
      </c>
      <c r="E810" s="132"/>
      <c r="F810" s="356"/>
      <c r="G810" s="485"/>
      <c r="H810" s="485"/>
      <c r="I810" s="485"/>
      <c r="J810" s="493"/>
      <c r="K810" s="493"/>
      <c r="L810" s="493"/>
      <c r="M810" s="493"/>
      <c r="N810" s="493"/>
      <c r="O810" s="493"/>
      <c r="P810" s="493"/>
      <c r="Q810" s="493"/>
      <c r="R810" s="493"/>
      <c r="S810" s="493"/>
      <c r="T810" s="493"/>
      <c r="U810" s="493"/>
      <c r="V810" s="493"/>
      <c r="W810" s="493"/>
      <c r="X810" s="493"/>
      <c r="Y810" s="493"/>
    </row>
    <row r="811" spans="1:25">
      <c r="B811" s="502" t="s">
        <v>3</v>
      </c>
      <c r="C811" s="503" t="s">
        <v>544</v>
      </c>
      <c r="D811" s="142"/>
      <c r="E811" s="132"/>
      <c r="F811" s="356"/>
      <c r="G811" s="485"/>
      <c r="H811" s="485"/>
      <c r="I811" s="485"/>
      <c r="J811" s="493"/>
      <c r="K811" s="493"/>
      <c r="L811" s="493"/>
      <c r="M811" s="493"/>
      <c r="N811" s="493"/>
      <c r="O811" s="493"/>
      <c r="P811" s="493"/>
      <c r="Q811" s="493"/>
      <c r="R811" s="493"/>
      <c r="S811" s="493"/>
      <c r="T811" s="493"/>
      <c r="U811" s="493"/>
      <c r="V811" s="493"/>
      <c r="W811" s="493"/>
      <c r="X811" s="493"/>
      <c r="Y811" s="493"/>
    </row>
    <row r="812" spans="1:25">
      <c r="B812" s="502">
        <v>1980</v>
      </c>
      <c r="C812" s="504">
        <v>2.876419902912621</v>
      </c>
      <c r="D812" s="142"/>
      <c r="E812" s="132"/>
      <c r="F812" s="356"/>
      <c r="G812" s="485"/>
      <c r="H812" s="485"/>
      <c r="I812" s="485"/>
      <c r="J812" s="493"/>
      <c r="K812" s="493"/>
      <c r="L812" s="493"/>
      <c r="M812" s="493"/>
      <c r="N812" s="493"/>
      <c r="O812" s="493"/>
      <c r="P812" s="493"/>
      <c r="Q812" s="493"/>
      <c r="R812" s="493"/>
      <c r="S812" s="493"/>
      <c r="T812" s="493"/>
      <c r="U812" s="493"/>
      <c r="V812" s="493"/>
      <c r="W812" s="493"/>
      <c r="X812" s="493"/>
      <c r="Y812" s="493"/>
    </row>
    <row r="813" spans="1:25">
      <c r="B813" s="502">
        <v>1981</v>
      </c>
      <c r="C813" s="504">
        <v>2.6074477447744773</v>
      </c>
      <c r="D813" s="142"/>
      <c r="E813" s="132"/>
      <c r="F813" s="356"/>
      <c r="G813" s="485"/>
      <c r="H813" s="485"/>
      <c r="I813" s="485"/>
      <c r="J813" s="493"/>
      <c r="K813" s="493"/>
      <c r="L813" s="493"/>
      <c r="M813" s="493"/>
      <c r="N813" s="493"/>
      <c r="O813" s="493"/>
      <c r="P813" s="493"/>
      <c r="Q813" s="493"/>
      <c r="R813" s="493"/>
      <c r="S813" s="493"/>
      <c r="T813" s="493"/>
      <c r="U813" s="493"/>
      <c r="V813" s="493"/>
      <c r="W813" s="493"/>
      <c r="X813" s="493"/>
      <c r="Y813" s="493"/>
    </row>
    <row r="814" spans="1:25">
      <c r="B814" s="502">
        <v>1982</v>
      </c>
      <c r="C814" s="504">
        <v>2.4561347150259065</v>
      </c>
      <c r="D814" s="142"/>
      <c r="E814" s="132"/>
      <c r="F814" s="356"/>
      <c r="G814" s="485"/>
      <c r="H814" s="485"/>
      <c r="I814" s="485"/>
      <c r="J814" s="493"/>
      <c r="K814" s="493"/>
      <c r="L814" s="493"/>
      <c r="M814" s="493"/>
      <c r="N814" s="493"/>
      <c r="O814" s="493"/>
      <c r="P814" s="493"/>
      <c r="Q814" s="493"/>
      <c r="R814" s="493"/>
      <c r="S814" s="493"/>
      <c r="T814" s="493"/>
      <c r="U814" s="493"/>
      <c r="V814" s="493"/>
      <c r="W814" s="493"/>
      <c r="X814" s="493"/>
      <c r="Y814" s="493"/>
    </row>
    <row r="815" spans="1:25">
      <c r="B815" s="502">
        <v>1983</v>
      </c>
      <c r="C815" s="504">
        <v>2.3796887550200805</v>
      </c>
      <c r="D815" s="142"/>
      <c r="E815" s="132"/>
      <c r="F815" s="356"/>
      <c r="G815" s="485"/>
      <c r="H815" s="485"/>
      <c r="I815" s="485"/>
      <c r="J815" s="493"/>
      <c r="K815" s="493"/>
      <c r="L815" s="493"/>
      <c r="M815" s="493"/>
      <c r="N815" s="493"/>
      <c r="O815" s="493"/>
      <c r="P815" s="493"/>
      <c r="Q815" s="493"/>
      <c r="R815" s="493"/>
      <c r="S815" s="493"/>
      <c r="T815" s="493"/>
      <c r="U815" s="493"/>
      <c r="V815" s="493"/>
      <c r="W815" s="493"/>
      <c r="X815" s="493"/>
      <c r="Y815" s="493"/>
    </row>
    <row r="816" spans="1:25">
      <c r="B816" s="502">
        <v>1984</v>
      </c>
      <c r="C816" s="504">
        <v>2.281203079884504</v>
      </c>
      <c r="D816" s="142"/>
      <c r="E816" s="132"/>
      <c r="F816" s="356"/>
      <c r="G816" s="485"/>
      <c r="H816" s="485"/>
      <c r="I816" s="485"/>
      <c r="J816" s="493"/>
      <c r="K816" s="493"/>
      <c r="L816" s="493"/>
      <c r="M816" s="493"/>
      <c r="N816" s="493"/>
      <c r="O816" s="493"/>
      <c r="P816" s="493"/>
      <c r="Q816" s="493"/>
      <c r="R816" s="493"/>
      <c r="S816" s="493"/>
      <c r="T816" s="493"/>
      <c r="U816" s="493"/>
      <c r="V816" s="493"/>
      <c r="W816" s="493"/>
      <c r="X816" s="493"/>
      <c r="Y816" s="493"/>
    </row>
    <row r="817" spans="2:25">
      <c r="B817" s="502">
        <v>1985</v>
      </c>
      <c r="C817" s="504">
        <v>2.2027602230483274</v>
      </c>
      <c r="D817" s="142"/>
      <c r="E817" s="132"/>
      <c r="F817" s="356"/>
      <c r="G817" s="485"/>
      <c r="H817" s="485"/>
      <c r="I817" s="485"/>
      <c r="J817" s="493"/>
      <c r="K817" s="493"/>
      <c r="L817" s="493"/>
      <c r="M817" s="493"/>
      <c r="N817" s="493"/>
      <c r="O817" s="493"/>
      <c r="P817" s="493"/>
      <c r="Q817" s="493"/>
      <c r="R817" s="493"/>
      <c r="S817" s="493"/>
      <c r="T817" s="493"/>
      <c r="U817" s="493"/>
      <c r="V817" s="493"/>
      <c r="W817" s="493"/>
      <c r="X817" s="493"/>
      <c r="Y817" s="493"/>
    </row>
    <row r="818" spans="2:25">
      <c r="B818" s="502">
        <v>1986</v>
      </c>
      <c r="C818" s="504">
        <v>2.1625638686131388</v>
      </c>
      <c r="D818" s="142"/>
      <c r="E818" s="132"/>
      <c r="F818" s="356"/>
      <c r="G818" s="485"/>
      <c r="H818" s="485"/>
      <c r="I818" s="485"/>
      <c r="J818" s="493"/>
      <c r="K818" s="493"/>
      <c r="L818" s="493"/>
      <c r="M818" s="493"/>
      <c r="N818" s="493"/>
      <c r="O818" s="493"/>
      <c r="P818" s="493"/>
      <c r="Q818" s="493"/>
      <c r="R818" s="493"/>
      <c r="S818" s="493"/>
      <c r="T818" s="493"/>
      <c r="U818" s="493"/>
      <c r="V818" s="493"/>
      <c r="W818" s="493"/>
      <c r="X818" s="493"/>
      <c r="Y818" s="493"/>
    </row>
    <row r="819" spans="2:25">
      <c r="B819" s="502">
        <v>1987</v>
      </c>
      <c r="C819" s="504">
        <v>2.0864172535211267</v>
      </c>
      <c r="D819" s="142"/>
      <c r="E819" s="132"/>
      <c r="F819" s="356"/>
      <c r="G819" s="485"/>
      <c r="H819" s="485"/>
      <c r="I819" s="485"/>
      <c r="J819" s="493"/>
      <c r="K819" s="493"/>
      <c r="L819" s="493"/>
      <c r="M819" s="493"/>
      <c r="N819" s="493"/>
      <c r="O819" s="493"/>
      <c r="P819" s="493"/>
      <c r="Q819" s="493"/>
      <c r="R819" s="493"/>
      <c r="S819" s="493"/>
      <c r="T819" s="493"/>
      <c r="U819" s="493"/>
      <c r="V819" s="493"/>
      <c r="W819" s="493"/>
      <c r="X819" s="493"/>
      <c r="Y819" s="493"/>
    </row>
    <row r="820" spans="2:25">
      <c r="B820" s="502">
        <v>1988</v>
      </c>
      <c r="C820" s="504">
        <v>2.0035249366018597</v>
      </c>
      <c r="D820" s="142"/>
      <c r="E820" s="132"/>
      <c r="F820" s="356"/>
      <c r="G820" s="485"/>
      <c r="H820" s="485"/>
      <c r="I820" s="485"/>
      <c r="J820" s="493"/>
      <c r="K820" s="493"/>
      <c r="L820" s="493"/>
      <c r="M820" s="493"/>
      <c r="N820" s="493"/>
      <c r="O820" s="493"/>
      <c r="P820" s="493"/>
      <c r="Q820" s="493"/>
      <c r="R820" s="493"/>
      <c r="S820" s="493"/>
      <c r="T820" s="493"/>
      <c r="U820" s="493"/>
      <c r="V820" s="493"/>
      <c r="W820" s="493"/>
      <c r="X820" s="493"/>
      <c r="Y820" s="493"/>
    </row>
    <row r="821" spans="2:25">
      <c r="B821" s="502">
        <v>1989</v>
      </c>
      <c r="C821" s="504">
        <v>1.9114274193548386</v>
      </c>
      <c r="D821" s="142"/>
      <c r="E821" s="132"/>
      <c r="F821" s="356"/>
      <c r="G821" s="485"/>
      <c r="H821" s="485"/>
      <c r="I821" s="485"/>
      <c r="J821" s="493"/>
      <c r="K821" s="493"/>
      <c r="L821" s="493"/>
      <c r="M821" s="493"/>
      <c r="N821" s="493"/>
      <c r="O821" s="493"/>
      <c r="P821" s="493"/>
      <c r="Q821" s="493"/>
      <c r="R821" s="493"/>
      <c r="S821" s="493"/>
      <c r="T821" s="493"/>
      <c r="U821" s="493"/>
      <c r="V821" s="493"/>
      <c r="W821" s="493"/>
      <c r="X821" s="493"/>
      <c r="Y821" s="493"/>
    </row>
    <row r="822" spans="2:25">
      <c r="B822" s="502">
        <v>1990</v>
      </c>
      <c r="C822" s="504">
        <v>1.8134429992348893</v>
      </c>
      <c r="D822" s="142"/>
      <c r="E822" s="132"/>
      <c r="F822" s="356"/>
      <c r="G822" s="485"/>
      <c r="H822" s="485"/>
      <c r="I822" s="485"/>
      <c r="J822" s="493"/>
      <c r="K822" s="493"/>
      <c r="L822" s="493"/>
      <c r="M822" s="493"/>
      <c r="N822" s="493"/>
      <c r="O822" s="493"/>
      <c r="P822" s="493"/>
      <c r="Q822" s="493"/>
      <c r="R822" s="493"/>
      <c r="S822" s="493"/>
      <c r="T822" s="493"/>
      <c r="U822" s="493"/>
      <c r="V822" s="493"/>
      <c r="W822" s="493"/>
      <c r="X822" s="493"/>
      <c r="Y822" s="493"/>
    </row>
    <row r="823" spans="2:25">
      <c r="B823" s="502">
        <v>1991</v>
      </c>
      <c r="C823" s="504">
        <v>1.7402129221732747</v>
      </c>
      <c r="D823" s="142"/>
      <c r="E823" s="132"/>
      <c r="F823" s="356"/>
      <c r="G823" s="485"/>
      <c r="H823" s="485"/>
      <c r="I823" s="485"/>
      <c r="J823" s="493"/>
      <c r="K823" s="493"/>
      <c r="L823" s="493"/>
      <c r="M823" s="493"/>
      <c r="N823" s="493"/>
      <c r="O823" s="493"/>
      <c r="P823" s="493"/>
      <c r="Q823" s="493"/>
      <c r="R823" s="493"/>
      <c r="S823" s="493"/>
      <c r="T823" s="493"/>
      <c r="U823" s="493"/>
      <c r="V823" s="493"/>
      <c r="W823" s="493"/>
      <c r="X823" s="493"/>
      <c r="Y823" s="493"/>
    </row>
    <row r="824" spans="2:25">
      <c r="B824" s="502">
        <v>1992</v>
      </c>
      <c r="C824" s="504">
        <v>1.68935851746258</v>
      </c>
      <c r="D824" s="142"/>
      <c r="E824" s="132"/>
      <c r="F824" s="356"/>
      <c r="G824" s="485"/>
      <c r="H824" s="485"/>
      <c r="I824" s="485"/>
      <c r="J824" s="493"/>
      <c r="K824" s="493"/>
      <c r="L824" s="493"/>
      <c r="M824" s="493"/>
      <c r="N824" s="493"/>
      <c r="O824" s="493"/>
      <c r="P824" s="493"/>
      <c r="Q824" s="493"/>
      <c r="R824" s="493"/>
      <c r="S824" s="493"/>
      <c r="T824" s="493"/>
      <c r="U824" s="493"/>
      <c r="V824" s="493"/>
      <c r="W824" s="493"/>
      <c r="X824" s="493"/>
      <c r="Y824" s="493"/>
    </row>
    <row r="825" spans="2:25">
      <c r="B825" s="502">
        <v>1993</v>
      </c>
      <c r="C825" s="504">
        <v>1.6402560553633219</v>
      </c>
      <c r="D825" s="142"/>
      <c r="E825" s="132"/>
      <c r="F825" s="356"/>
      <c r="G825" s="485"/>
      <c r="H825" s="485"/>
      <c r="I825" s="485"/>
      <c r="J825" s="493"/>
      <c r="K825" s="493"/>
      <c r="L825" s="493"/>
      <c r="M825" s="493"/>
      <c r="N825" s="493"/>
      <c r="O825" s="493"/>
      <c r="P825" s="493"/>
      <c r="Q825" s="493"/>
      <c r="R825" s="493"/>
      <c r="S825" s="493"/>
      <c r="T825" s="493"/>
      <c r="U825" s="493"/>
      <c r="V825" s="493"/>
      <c r="W825" s="493"/>
      <c r="X825" s="493"/>
      <c r="Y825" s="493"/>
    </row>
    <row r="826" spans="2:25">
      <c r="B826" s="502">
        <v>1994</v>
      </c>
      <c r="C826" s="504">
        <v>1.5993049932523618</v>
      </c>
      <c r="D826" s="142"/>
      <c r="E826" s="132"/>
      <c r="F826" s="356"/>
      <c r="G826" s="485"/>
      <c r="H826" s="485"/>
      <c r="I826" s="485"/>
      <c r="J826" s="493"/>
      <c r="K826" s="493"/>
      <c r="L826" s="493"/>
      <c r="M826" s="493"/>
      <c r="N826" s="493"/>
      <c r="O826" s="493"/>
      <c r="P826" s="493"/>
      <c r="Q826" s="493"/>
      <c r="R826" s="493"/>
      <c r="S826" s="493"/>
      <c r="T826" s="493"/>
      <c r="U826" s="493"/>
      <c r="V826" s="493"/>
      <c r="W826" s="493"/>
      <c r="X826" s="493"/>
      <c r="Y826" s="493"/>
    </row>
    <row r="827" spans="2:25">
      <c r="B827" s="502">
        <v>1995</v>
      </c>
      <c r="C827" s="504">
        <v>1.5552296587926508</v>
      </c>
      <c r="D827" s="142"/>
      <c r="E827" s="132"/>
      <c r="F827" s="356"/>
      <c r="G827" s="485"/>
      <c r="H827" s="485"/>
      <c r="I827" s="485"/>
      <c r="J827" s="493"/>
      <c r="K827" s="493"/>
      <c r="L827" s="493"/>
      <c r="M827" s="493"/>
      <c r="N827" s="493"/>
      <c r="O827" s="493"/>
      <c r="P827" s="493"/>
      <c r="Q827" s="493"/>
      <c r="R827" s="493"/>
      <c r="S827" s="493"/>
      <c r="T827" s="493"/>
      <c r="U827" s="493"/>
      <c r="V827" s="493"/>
      <c r="W827" s="493"/>
      <c r="X827" s="493"/>
      <c r="Y827" s="493"/>
    </row>
    <row r="828" spans="2:25">
      <c r="B828" s="502">
        <v>1996</v>
      </c>
      <c r="C828" s="504">
        <v>1.5106246016571063</v>
      </c>
      <c r="D828" s="142"/>
      <c r="E828" s="132"/>
      <c r="F828" s="356"/>
      <c r="G828" s="485"/>
      <c r="H828" s="485"/>
      <c r="I828" s="485"/>
      <c r="J828" s="493"/>
      <c r="K828" s="493"/>
      <c r="L828" s="493"/>
      <c r="M828" s="493"/>
      <c r="N828" s="493"/>
      <c r="O828" s="493"/>
      <c r="P828" s="493"/>
      <c r="Q828" s="493"/>
      <c r="R828" s="493"/>
      <c r="S828" s="493"/>
      <c r="T828" s="493"/>
      <c r="U828" s="493"/>
      <c r="V828" s="493"/>
      <c r="W828" s="493"/>
      <c r="X828" s="493"/>
      <c r="Y828" s="493"/>
    </row>
    <row r="829" spans="2:25">
      <c r="B829" s="502">
        <v>1997</v>
      </c>
      <c r="C829" s="504">
        <v>1.4767414330218069</v>
      </c>
      <c r="D829" s="142"/>
      <c r="E829" s="132"/>
      <c r="F829" s="356"/>
      <c r="G829" s="485"/>
      <c r="H829" s="485"/>
      <c r="I829" s="485"/>
      <c r="J829" s="493"/>
      <c r="K829" s="493"/>
      <c r="L829" s="493"/>
      <c r="M829" s="493"/>
      <c r="N829" s="493"/>
      <c r="O829" s="493"/>
      <c r="P829" s="493"/>
      <c r="Q829" s="493"/>
      <c r="R829" s="493"/>
      <c r="S829" s="493"/>
      <c r="T829" s="493"/>
      <c r="U829" s="493"/>
      <c r="V829" s="493"/>
      <c r="W829" s="493"/>
      <c r="X829" s="493"/>
      <c r="Y829" s="493"/>
    </row>
    <row r="830" spans="2:25">
      <c r="B830" s="502">
        <v>1998</v>
      </c>
      <c r="C830" s="504">
        <v>1.4540920245398772</v>
      </c>
      <c r="D830" s="142"/>
      <c r="E830" s="132"/>
      <c r="F830" s="356"/>
      <c r="G830" s="485"/>
      <c r="H830" s="485"/>
      <c r="I830" s="485"/>
      <c r="J830" s="493"/>
      <c r="K830" s="493"/>
      <c r="L830" s="493"/>
      <c r="M830" s="493"/>
      <c r="N830" s="493"/>
      <c r="O830" s="493"/>
      <c r="P830" s="493"/>
      <c r="Q830" s="493"/>
      <c r="R830" s="493"/>
      <c r="S830" s="493"/>
      <c r="T830" s="493"/>
      <c r="U830" s="493"/>
      <c r="V830" s="493"/>
      <c r="W830" s="493"/>
      <c r="X830" s="493"/>
      <c r="Y830" s="493"/>
    </row>
    <row r="831" spans="2:25">
      <c r="B831" s="502">
        <v>1999</v>
      </c>
      <c r="C831" s="504">
        <v>1.4226710684273709</v>
      </c>
      <c r="D831" s="142"/>
      <c r="E831" s="132"/>
      <c r="F831" s="356"/>
      <c r="G831" s="485"/>
      <c r="H831" s="485"/>
      <c r="I831" s="485"/>
      <c r="J831" s="493"/>
      <c r="K831" s="493"/>
      <c r="L831" s="493"/>
      <c r="M831" s="493"/>
      <c r="N831" s="493"/>
      <c r="O831" s="493"/>
      <c r="P831" s="493"/>
      <c r="Q831" s="493"/>
      <c r="R831" s="493"/>
      <c r="S831" s="493"/>
      <c r="T831" s="493"/>
      <c r="U831" s="493"/>
      <c r="V831" s="493"/>
      <c r="W831" s="493"/>
      <c r="X831" s="493"/>
      <c r="Y831" s="493"/>
    </row>
    <row r="832" spans="2:25">
      <c r="B832" s="502">
        <v>2000</v>
      </c>
      <c r="C832" s="504">
        <v>1.3764053426248548</v>
      </c>
      <c r="D832" s="142"/>
      <c r="E832" s="132"/>
      <c r="F832" s="356"/>
      <c r="G832" s="485"/>
      <c r="H832" s="485"/>
      <c r="I832" s="485"/>
      <c r="J832" s="493"/>
      <c r="K832" s="493"/>
      <c r="L832" s="493"/>
      <c r="M832" s="493"/>
      <c r="N832" s="493"/>
      <c r="O832" s="493"/>
      <c r="P832" s="493"/>
      <c r="Q832" s="493"/>
      <c r="R832" s="493"/>
      <c r="S832" s="493"/>
      <c r="T832" s="493"/>
      <c r="U832" s="493"/>
      <c r="V832" s="493"/>
      <c r="W832" s="493"/>
      <c r="X832" s="493"/>
      <c r="Y832" s="493"/>
    </row>
    <row r="833" spans="2:25">
      <c r="B833" s="502">
        <v>2001</v>
      </c>
      <c r="C833" s="504">
        <v>1.3383229813664597</v>
      </c>
      <c r="D833" s="142"/>
      <c r="E833" s="132"/>
      <c r="F833" s="356"/>
      <c r="G833" s="485"/>
      <c r="H833" s="485"/>
      <c r="I833" s="485"/>
      <c r="J833" s="493"/>
      <c r="K833" s="493"/>
      <c r="L833" s="493"/>
      <c r="M833" s="493"/>
      <c r="N833" s="493"/>
      <c r="O833" s="493"/>
      <c r="P833" s="493"/>
      <c r="Q833" s="493"/>
      <c r="R833" s="493"/>
      <c r="S833" s="493"/>
      <c r="T833" s="493"/>
      <c r="U833" s="493"/>
      <c r="V833" s="493"/>
      <c r="W833" s="493"/>
      <c r="X833" s="493"/>
      <c r="Y833" s="493"/>
    </row>
    <row r="834" spans="2:25">
      <c r="B834" s="502">
        <v>2002</v>
      </c>
      <c r="C834" s="504">
        <v>1.3174930516953862</v>
      </c>
      <c r="D834" s="142"/>
      <c r="E834" s="132"/>
      <c r="F834" s="356"/>
      <c r="G834" s="485"/>
      <c r="H834" s="485"/>
      <c r="I834" s="485"/>
      <c r="J834" s="493"/>
      <c r="K834" s="493"/>
      <c r="L834" s="493"/>
      <c r="M834" s="493"/>
      <c r="N834" s="493"/>
      <c r="O834" s="493"/>
      <c r="P834" s="493"/>
      <c r="Q834" s="493"/>
      <c r="R834" s="493"/>
      <c r="S834" s="493"/>
      <c r="T834" s="493"/>
      <c r="U834" s="493"/>
      <c r="V834" s="493"/>
      <c r="W834" s="493"/>
      <c r="X834" s="493"/>
      <c r="Y834" s="493"/>
    </row>
    <row r="835" spans="2:25">
      <c r="B835" s="502">
        <v>2003</v>
      </c>
      <c r="C835" s="504">
        <v>1.2881358695652174</v>
      </c>
      <c r="D835" s="142"/>
      <c r="E835" s="132"/>
      <c r="F835" s="356"/>
      <c r="G835" s="485"/>
      <c r="H835" s="485"/>
      <c r="I835" s="485"/>
      <c r="J835" s="493"/>
      <c r="K835" s="493"/>
      <c r="L835" s="493"/>
      <c r="M835" s="493"/>
      <c r="N835" s="493"/>
      <c r="O835" s="493"/>
      <c r="P835" s="493"/>
      <c r="Q835" s="493"/>
      <c r="R835" s="493"/>
      <c r="S835" s="493"/>
      <c r="T835" s="493"/>
      <c r="U835" s="493"/>
      <c r="V835" s="493"/>
      <c r="W835" s="493"/>
      <c r="X835" s="493"/>
      <c r="Y835" s="493"/>
    </row>
    <row r="836" spans="2:25">
      <c r="B836" s="502">
        <v>2004</v>
      </c>
      <c r="C836" s="504">
        <v>1.2547220751720487</v>
      </c>
      <c r="D836" s="142"/>
      <c r="E836" s="132"/>
      <c r="F836" s="356"/>
      <c r="G836" s="485"/>
      <c r="H836" s="485"/>
      <c r="I836" s="485"/>
      <c r="J836" s="493"/>
      <c r="K836" s="493"/>
      <c r="L836" s="493"/>
      <c r="M836" s="493"/>
      <c r="N836" s="493"/>
      <c r="O836" s="493"/>
      <c r="P836" s="493"/>
      <c r="Q836" s="493"/>
      <c r="R836" s="493"/>
      <c r="S836" s="493"/>
      <c r="T836" s="493"/>
      <c r="U836" s="493"/>
      <c r="V836" s="493"/>
      <c r="W836" s="493"/>
      <c r="X836" s="493"/>
      <c r="Y836" s="493"/>
    </row>
    <row r="837" spans="2:25">
      <c r="B837" s="502">
        <v>2005</v>
      </c>
      <c r="C837" s="504">
        <v>1.2136047107014849</v>
      </c>
      <c r="D837" s="142"/>
      <c r="E837" s="132"/>
      <c r="F837" s="356"/>
      <c r="G837" s="485"/>
      <c r="H837" s="485"/>
      <c r="I837" s="485"/>
      <c r="J837" s="493"/>
      <c r="K837" s="493"/>
      <c r="L837" s="493"/>
      <c r="M837" s="493"/>
      <c r="N837" s="493"/>
      <c r="O837" s="493"/>
      <c r="P837" s="493"/>
      <c r="Q837" s="493"/>
      <c r="R837" s="493"/>
      <c r="S837" s="493"/>
      <c r="T837" s="493"/>
      <c r="U837" s="493"/>
      <c r="V837" s="493"/>
      <c r="W837" s="493"/>
      <c r="X837" s="493"/>
      <c r="Y837" s="493"/>
    </row>
    <row r="838" spans="2:25">
      <c r="B838" s="502">
        <v>2006</v>
      </c>
      <c r="C838" s="504">
        <v>1.1756795634920636</v>
      </c>
      <c r="D838" s="142"/>
      <c r="E838" s="132"/>
      <c r="F838" s="356"/>
      <c r="G838" s="485"/>
      <c r="H838" s="485"/>
      <c r="I838" s="485"/>
      <c r="J838" s="493"/>
      <c r="K838" s="493"/>
      <c r="L838" s="493"/>
      <c r="M838" s="493"/>
      <c r="N838" s="493"/>
      <c r="O838" s="493"/>
      <c r="P838" s="493"/>
      <c r="Q838" s="493"/>
      <c r="R838" s="493"/>
      <c r="S838" s="493"/>
      <c r="T838" s="493"/>
      <c r="U838" s="493"/>
      <c r="V838" s="493"/>
      <c r="W838" s="493"/>
      <c r="X838" s="493"/>
      <c r="Y838" s="493"/>
    </row>
    <row r="839" spans="2:25">
      <c r="B839" s="502">
        <v>2007</v>
      </c>
      <c r="C839" s="504">
        <v>1.1433526290400384</v>
      </c>
      <c r="D839" s="142"/>
      <c r="E839" s="132"/>
      <c r="F839" s="356"/>
      <c r="G839" s="485"/>
      <c r="H839" s="485"/>
      <c r="I839" s="485"/>
      <c r="J839" s="493"/>
      <c r="K839" s="493"/>
      <c r="L839" s="493"/>
      <c r="M839" s="493"/>
      <c r="N839" s="493"/>
      <c r="O839" s="493"/>
      <c r="P839" s="493"/>
      <c r="Q839" s="493"/>
      <c r="R839" s="493"/>
      <c r="S839" s="493"/>
      <c r="T839" s="493"/>
      <c r="U839" s="493"/>
      <c r="V839" s="493"/>
      <c r="W839" s="493"/>
      <c r="X839" s="493"/>
      <c r="Y839" s="493"/>
    </row>
    <row r="840" spans="2:25">
      <c r="B840" s="502">
        <v>2008</v>
      </c>
      <c r="C840" s="504">
        <v>1.1008532161651254</v>
      </c>
      <c r="D840" s="142"/>
      <c r="E840" s="132"/>
      <c r="F840" s="356"/>
      <c r="G840" s="485"/>
      <c r="H840" s="485"/>
      <c r="I840" s="485"/>
      <c r="J840" s="493"/>
      <c r="K840" s="493"/>
      <c r="L840" s="493"/>
      <c r="M840" s="493"/>
      <c r="N840" s="493"/>
      <c r="O840" s="493"/>
      <c r="P840" s="493"/>
      <c r="Q840" s="493"/>
      <c r="R840" s="493"/>
      <c r="S840" s="493"/>
      <c r="T840" s="493"/>
      <c r="U840" s="493"/>
      <c r="V840" s="493"/>
      <c r="W840" s="493"/>
      <c r="X840" s="493"/>
      <c r="Y840" s="493"/>
    </row>
    <row r="841" spans="2:25">
      <c r="B841" s="502">
        <v>2009</v>
      </c>
      <c r="C841" s="504">
        <v>1.1047837902086819</v>
      </c>
      <c r="D841" s="142"/>
      <c r="E841" s="132"/>
      <c r="F841" s="356"/>
      <c r="G841" s="485"/>
      <c r="H841" s="485"/>
      <c r="I841" s="485"/>
      <c r="J841" s="493"/>
      <c r="K841" s="493"/>
      <c r="L841" s="493"/>
      <c r="M841" s="493"/>
      <c r="N841" s="493"/>
      <c r="O841" s="493"/>
      <c r="P841" s="493"/>
      <c r="Q841" s="493"/>
      <c r="R841" s="493"/>
      <c r="S841" s="493"/>
      <c r="T841" s="493"/>
      <c r="U841" s="493"/>
      <c r="V841" s="493"/>
      <c r="W841" s="493"/>
      <c r="X841" s="493"/>
      <c r="Y841" s="493"/>
    </row>
    <row r="842" spans="2:25">
      <c r="B842" s="502">
        <v>2010</v>
      </c>
      <c r="C842" s="504">
        <v>1.0869547272260336</v>
      </c>
      <c r="D842" s="142"/>
      <c r="E842" s="132"/>
      <c r="F842" s="356"/>
      <c r="G842" s="485"/>
      <c r="H842" s="485"/>
      <c r="I842" s="485"/>
      <c r="J842" s="493"/>
      <c r="K842" s="493"/>
      <c r="L842" s="493"/>
      <c r="M842" s="493"/>
      <c r="N842" s="493"/>
      <c r="O842" s="493"/>
      <c r="P842" s="493"/>
      <c r="Q842" s="493"/>
      <c r="R842" s="493"/>
      <c r="S842" s="493"/>
      <c r="T842" s="493"/>
      <c r="U842" s="493"/>
      <c r="V842" s="493"/>
      <c r="W842" s="493"/>
      <c r="X842" s="493"/>
      <c r="Y842" s="493"/>
    </row>
    <row r="843" spans="2:25">
      <c r="B843" s="502">
        <v>2011</v>
      </c>
      <c r="C843" s="504">
        <v>1.0536945571910608</v>
      </c>
      <c r="D843" s="142"/>
      <c r="E843" s="132"/>
      <c r="F843" s="356"/>
      <c r="G843" s="485"/>
      <c r="H843" s="485"/>
      <c r="I843" s="485"/>
      <c r="J843" s="493"/>
      <c r="K843" s="493"/>
      <c r="L843" s="493"/>
      <c r="M843" s="493"/>
      <c r="N843" s="493"/>
      <c r="O843" s="493"/>
      <c r="P843" s="493"/>
      <c r="Q843" s="493"/>
      <c r="R843" s="493"/>
      <c r="S843" s="493"/>
      <c r="T843" s="493"/>
      <c r="U843" s="493"/>
      <c r="V843" s="493"/>
      <c r="W843" s="493"/>
      <c r="X843" s="493"/>
      <c r="Y843" s="493"/>
    </row>
    <row r="844" spans="2:25">
      <c r="B844" s="502">
        <v>2012</v>
      </c>
      <c r="C844" s="504">
        <v>1.0323309842591706</v>
      </c>
      <c r="D844" s="142"/>
      <c r="E844" s="132"/>
      <c r="F844" s="356"/>
      <c r="G844" s="485"/>
      <c r="H844" s="485"/>
      <c r="I844" s="485"/>
      <c r="J844" s="493"/>
      <c r="K844" s="493"/>
      <c r="L844" s="493"/>
      <c r="M844" s="493"/>
      <c r="N844" s="493"/>
      <c r="O844" s="493"/>
      <c r="P844" s="493"/>
      <c r="Q844" s="493"/>
      <c r="R844" s="493"/>
      <c r="S844" s="493"/>
      <c r="T844" s="493"/>
      <c r="U844" s="493"/>
      <c r="V844" s="493"/>
      <c r="W844" s="493"/>
      <c r="X844" s="493"/>
      <c r="Y844" s="493"/>
    </row>
    <row r="845" spans="2:25">
      <c r="B845" s="502">
        <v>2013</v>
      </c>
      <c r="C845" s="504">
        <v>1.017428109050168</v>
      </c>
      <c r="D845" s="142"/>
      <c r="E845" s="132"/>
      <c r="F845" s="356"/>
      <c r="G845" s="485"/>
      <c r="H845" s="485"/>
      <c r="I845" s="485"/>
      <c r="J845" s="493"/>
      <c r="K845" s="493"/>
      <c r="L845" s="493"/>
      <c r="M845" s="493"/>
      <c r="N845" s="493"/>
      <c r="O845" s="493"/>
      <c r="P845" s="493"/>
      <c r="Q845" s="493"/>
      <c r="R845" s="493"/>
      <c r="S845" s="493"/>
      <c r="T845" s="493"/>
      <c r="U845" s="493"/>
      <c r="V845" s="493"/>
      <c r="W845" s="493"/>
      <c r="X845" s="493"/>
      <c r="Y845" s="493"/>
    </row>
    <row r="846" spans="2:25">
      <c r="B846" s="502">
        <v>2014</v>
      </c>
      <c r="C846" s="504">
        <v>1.0011869762097865</v>
      </c>
      <c r="D846" s="142"/>
      <c r="E846" s="132"/>
      <c r="F846" s="356"/>
      <c r="G846" s="485"/>
      <c r="H846" s="485"/>
      <c r="I846" s="485"/>
      <c r="J846" s="493"/>
      <c r="K846" s="493"/>
      <c r="L846" s="493"/>
      <c r="M846" s="493"/>
      <c r="N846" s="493"/>
      <c r="O846" s="493"/>
      <c r="P846" s="493"/>
      <c r="Q846" s="493"/>
      <c r="R846" s="493"/>
      <c r="S846" s="493"/>
      <c r="T846" s="493"/>
      <c r="U846" s="493"/>
      <c r="V846" s="493"/>
      <c r="W846" s="493"/>
      <c r="X846" s="493"/>
      <c r="Y846" s="493"/>
    </row>
    <row r="847" spans="2:25">
      <c r="B847" s="502">
        <v>2015</v>
      </c>
      <c r="C847" s="504">
        <v>1</v>
      </c>
      <c r="D847" s="142"/>
      <c r="E847" s="132"/>
      <c r="F847" s="356"/>
      <c r="G847" s="485"/>
      <c r="H847" s="485"/>
      <c r="I847" s="485"/>
      <c r="J847" s="493"/>
      <c r="K847" s="493"/>
      <c r="L847" s="493"/>
      <c r="M847" s="493"/>
      <c r="N847" s="493"/>
      <c r="O847" s="493"/>
      <c r="P847" s="493"/>
      <c r="Q847" s="493"/>
      <c r="R847" s="493"/>
      <c r="S847" s="493"/>
      <c r="T847" s="493"/>
      <c r="U847" s="493"/>
      <c r="V847" s="493"/>
      <c r="W847" s="493"/>
      <c r="X847" s="493"/>
      <c r="Y847" s="493"/>
    </row>
    <row r="848" spans="2:25" ht="16" thickBot="1">
      <c r="B848" s="505">
        <v>2016</v>
      </c>
      <c r="C848" s="506">
        <v>1</v>
      </c>
      <c r="D848" s="328"/>
      <c r="E848" s="132"/>
      <c r="F848" s="356"/>
      <c r="G848" s="485"/>
      <c r="H848" s="485"/>
      <c r="I848" s="485"/>
      <c r="J848" s="493"/>
      <c r="K848" s="493"/>
      <c r="L848" s="493"/>
      <c r="M848" s="493"/>
      <c r="N848" s="493"/>
      <c r="O848" s="493"/>
      <c r="P848" s="493"/>
      <c r="Q848" s="493"/>
      <c r="R848" s="493"/>
      <c r="S848" s="493"/>
      <c r="T848" s="493"/>
      <c r="U848" s="493"/>
      <c r="V848" s="493"/>
      <c r="W848" s="493"/>
      <c r="X848" s="493"/>
      <c r="Y848" s="493"/>
    </row>
    <row r="849" spans="2:35">
      <c r="B849" s="132"/>
      <c r="C849" s="132"/>
      <c r="D849" s="132"/>
      <c r="E849" s="132"/>
      <c r="F849" s="356"/>
      <c r="G849" s="485"/>
      <c r="H849" s="485"/>
      <c r="I849" s="485"/>
      <c r="J849" s="493"/>
      <c r="K849" s="493"/>
      <c r="L849" s="493"/>
      <c r="M849" s="493"/>
      <c r="N849" s="493"/>
      <c r="O849" s="493"/>
      <c r="P849" s="493"/>
      <c r="Q849" s="493"/>
      <c r="R849" s="493"/>
      <c r="S849" s="493"/>
      <c r="T849" s="493"/>
      <c r="U849" s="493"/>
      <c r="V849" s="493"/>
      <c r="W849" s="493"/>
      <c r="X849" s="493"/>
      <c r="Y849" s="493"/>
    </row>
    <row r="850" spans="2:35" ht="16" thickBot="1">
      <c r="B850" s="244" t="s">
        <v>545</v>
      </c>
      <c r="D850" s="507"/>
      <c r="F850" s="493"/>
      <c r="G850" s="485"/>
      <c r="H850" s="485"/>
      <c r="I850" s="508"/>
      <c r="J850" s="493"/>
      <c r="K850" s="493"/>
      <c r="L850" s="493"/>
      <c r="M850" s="493"/>
      <c r="N850" s="493"/>
      <c r="O850" s="493"/>
      <c r="P850" s="493"/>
      <c r="Q850" s="493"/>
      <c r="R850" s="493"/>
      <c r="S850" s="493"/>
      <c r="T850" s="493"/>
      <c r="U850" s="493"/>
      <c r="V850" s="493"/>
      <c r="W850" s="493"/>
      <c r="X850" s="493"/>
      <c r="Y850" s="493"/>
    </row>
    <row r="851" spans="2:35">
      <c r="B851" s="245" t="s">
        <v>545</v>
      </c>
      <c r="C851" s="509"/>
      <c r="D851" s="509"/>
      <c r="E851" s="510"/>
      <c r="F851" s="511"/>
      <c r="G851" s="485"/>
      <c r="H851" s="485"/>
      <c r="I851" s="485"/>
      <c r="J851" s="493"/>
      <c r="K851" s="493"/>
      <c r="L851" s="493"/>
      <c r="M851" s="493"/>
      <c r="N851" s="493"/>
      <c r="O851" s="493"/>
      <c r="P851" s="493"/>
      <c r="Q851" s="493"/>
      <c r="R851" s="493"/>
      <c r="S851" s="493"/>
      <c r="T851" s="493"/>
      <c r="U851" s="493"/>
      <c r="V851" s="493"/>
      <c r="W851" s="493"/>
      <c r="X851" s="493"/>
      <c r="Y851" s="493"/>
    </row>
    <row r="852" spans="2:35">
      <c r="B852" s="136" t="s">
        <v>546</v>
      </c>
      <c r="C852" s="512" t="s">
        <v>547</v>
      </c>
      <c r="D852" s="174">
        <v>5</v>
      </c>
      <c r="E852" s="445" t="s">
        <v>548</v>
      </c>
      <c r="F852" s="513" t="s">
        <v>549</v>
      </c>
      <c r="H852" s="485"/>
      <c r="I852" s="485"/>
      <c r="J852" s="493"/>
      <c r="K852" s="493"/>
      <c r="L852" s="493"/>
      <c r="M852" s="493"/>
      <c r="N852" s="493"/>
      <c r="O852" s="493"/>
      <c r="P852" s="493"/>
      <c r="Q852" s="493"/>
      <c r="R852" s="493"/>
      <c r="S852" s="493"/>
      <c r="T852" s="493"/>
      <c r="U852" s="493"/>
      <c r="V852" s="493"/>
      <c r="W852" s="493"/>
      <c r="X852" s="493"/>
      <c r="Y852" s="493"/>
    </row>
    <row r="853" spans="2:35">
      <c r="B853" s="136" t="s">
        <v>550</v>
      </c>
      <c r="C853" s="512" t="s">
        <v>547</v>
      </c>
      <c r="D853" s="514">
        <v>3.3700000000000001E-2</v>
      </c>
      <c r="E853" s="445"/>
      <c r="F853" s="513" t="s">
        <v>549</v>
      </c>
      <c r="H853" s="485"/>
      <c r="I853" s="485"/>
      <c r="J853" s="493"/>
      <c r="K853" s="493"/>
      <c r="L853" s="493"/>
      <c r="M853" s="493"/>
      <c r="N853" s="493"/>
      <c r="O853" s="493"/>
      <c r="P853" s="493"/>
      <c r="Q853" s="493"/>
      <c r="R853" s="493"/>
      <c r="S853" s="493"/>
      <c r="T853" s="493"/>
      <c r="U853" s="493"/>
      <c r="V853" s="493"/>
      <c r="W853" s="493"/>
      <c r="X853" s="493"/>
      <c r="Y853" s="493"/>
    </row>
    <row r="854" spans="2:35" ht="16" thickBot="1">
      <c r="B854" s="143" t="s">
        <v>551</v>
      </c>
      <c r="C854" s="515" t="s">
        <v>547</v>
      </c>
      <c r="D854" s="516">
        <v>0</v>
      </c>
      <c r="E854" s="353" t="s">
        <v>552</v>
      </c>
      <c r="F854" s="517" t="s">
        <v>549</v>
      </c>
      <c r="H854" s="485"/>
      <c r="I854" s="485"/>
      <c r="J854" s="493"/>
      <c r="K854" s="493"/>
      <c r="L854" s="493"/>
      <c r="M854" s="493"/>
      <c r="N854" s="493"/>
      <c r="O854" s="493"/>
      <c r="P854" s="493"/>
      <c r="Q854" s="493"/>
      <c r="R854" s="493"/>
      <c r="S854" s="493"/>
      <c r="T854" s="493"/>
      <c r="U854" s="493"/>
      <c r="V854" s="493"/>
      <c r="W854" s="493"/>
      <c r="X854" s="493"/>
      <c r="Y854" s="493"/>
    </row>
    <row r="855" spans="2:35">
      <c r="E855" s="493"/>
      <c r="F855" s="493"/>
      <c r="G855" s="493"/>
      <c r="H855" s="485"/>
      <c r="I855" s="485"/>
      <c r="J855" s="493"/>
      <c r="K855" s="493"/>
      <c r="L855" s="493"/>
      <c r="M855" s="493"/>
      <c r="N855" s="493"/>
      <c r="O855" s="493"/>
      <c r="P855" s="493"/>
      <c r="Q855" s="493"/>
      <c r="R855" s="493"/>
      <c r="S855" s="493"/>
      <c r="T855" s="493"/>
      <c r="U855" s="493"/>
      <c r="V855" s="493"/>
      <c r="W855" s="493"/>
      <c r="X855" s="493"/>
      <c r="Y855" s="493"/>
    </row>
    <row r="856" spans="2:35" ht="16" thickBot="1">
      <c r="B856" s="244" t="s">
        <v>553</v>
      </c>
      <c r="E856" s="518"/>
      <c r="F856" s="244"/>
      <c r="G856" s="244"/>
      <c r="H856" s="244"/>
      <c r="I856" s="244"/>
      <c r="J856" s="244"/>
      <c r="K856" s="244"/>
      <c r="L856" s="244"/>
      <c r="M856" s="244"/>
      <c r="N856" s="244"/>
      <c r="O856" s="244"/>
      <c r="P856" s="244"/>
      <c r="Q856" s="244"/>
      <c r="R856" s="244"/>
      <c r="S856" s="244"/>
      <c r="T856" s="244"/>
      <c r="U856" s="244"/>
      <c r="V856" s="244"/>
      <c r="W856" s="244"/>
      <c r="X856" s="244"/>
      <c r="Y856" s="244"/>
    </row>
    <row r="857" spans="2:35">
      <c r="B857" s="519"/>
      <c r="C857" s="520" t="s">
        <v>10</v>
      </c>
      <c r="D857" s="521" t="s">
        <v>554</v>
      </c>
      <c r="E857" s="520" t="s">
        <v>408</v>
      </c>
      <c r="F857" s="522" t="s">
        <v>555</v>
      </c>
      <c r="G857" s="523">
        <v>2</v>
      </c>
      <c r="H857" s="523">
        <v>3</v>
      </c>
      <c r="I857" s="523">
        <v>4</v>
      </c>
      <c r="J857" s="523">
        <v>5</v>
      </c>
      <c r="K857" s="523">
        <v>6</v>
      </c>
      <c r="L857" s="523">
        <v>7</v>
      </c>
      <c r="M857" s="523">
        <v>8</v>
      </c>
      <c r="N857" s="523">
        <v>9</v>
      </c>
      <c r="O857" s="523">
        <v>10</v>
      </c>
      <c r="P857" s="523">
        <v>11</v>
      </c>
      <c r="Q857" s="523">
        <v>12</v>
      </c>
      <c r="R857" s="523">
        <v>13</v>
      </c>
      <c r="S857" s="523">
        <v>14</v>
      </c>
      <c r="T857" s="523">
        <v>15</v>
      </c>
      <c r="U857" s="523">
        <v>16</v>
      </c>
      <c r="V857" s="523">
        <v>17</v>
      </c>
      <c r="W857" s="523">
        <v>18</v>
      </c>
      <c r="X857" s="523">
        <v>19</v>
      </c>
      <c r="Y857" s="523">
        <v>20</v>
      </c>
      <c r="Z857" s="523">
        <v>21</v>
      </c>
      <c r="AA857" s="523">
        <v>22</v>
      </c>
      <c r="AB857" s="523">
        <v>23</v>
      </c>
      <c r="AC857" s="523">
        <v>24</v>
      </c>
      <c r="AD857" s="523">
        <v>25</v>
      </c>
      <c r="AE857" s="523">
        <v>26</v>
      </c>
      <c r="AF857" s="523">
        <v>27</v>
      </c>
      <c r="AG857" s="523">
        <v>28</v>
      </c>
      <c r="AH857" s="523">
        <v>29</v>
      </c>
      <c r="AI857" s="524">
        <v>30</v>
      </c>
    </row>
    <row r="858" spans="2:35">
      <c r="B858" s="136" t="s">
        <v>556</v>
      </c>
      <c r="C858" s="132" t="s">
        <v>557</v>
      </c>
      <c r="D858" s="132" t="s">
        <v>558</v>
      </c>
      <c r="E858" s="356">
        <v>993</v>
      </c>
      <c r="F858" s="356">
        <f t="shared" ref="F858:F863" si="130">E858</f>
        <v>993</v>
      </c>
      <c r="G858" s="356">
        <f t="shared" ref="G858:V863" si="131">F858+(F858*$D$805)</f>
        <v>1016.832</v>
      </c>
      <c r="H858" s="356">
        <f t="shared" si="131"/>
        <v>1041.235968</v>
      </c>
      <c r="I858" s="356">
        <f t="shared" si="131"/>
        <v>1066.2256312320001</v>
      </c>
      <c r="J858" s="356">
        <f t="shared" si="131"/>
        <v>1091.815046381568</v>
      </c>
      <c r="K858" s="356">
        <f t="shared" si="131"/>
        <v>1118.0186074947255</v>
      </c>
      <c r="L858" s="356">
        <f t="shared" si="131"/>
        <v>1144.851054074599</v>
      </c>
      <c r="M858" s="356">
        <f t="shared" si="131"/>
        <v>1172.3274793723895</v>
      </c>
      <c r="N858" s="356">
        <f t="shared" si="131"/>
        <v>1200.4633388773268</v>
      </c>
      <c r="O858" s="356">
        <f t="shared" si="131"/>
        <v>1229.2744590103825</v>
      </c>
      <c r="P858" s="356">
        <f t="shared" si="131"/>
        <v>1258.7770460266318</v>
      </c>
      <c r="Q858" s="356">
        <f t="shared" si="131"/>
        <v>1288.9876951312708</v>
      </c>
      <c r="R858" s="356">
        <f t="shared" si="131"/>
        <v>1319.9233998144214</v>
      </c>
      <c r="S858" s="356">
        <f t="shared" si="131"/>
        <v>1351.6015614099674</v>
      </c>
      <c r="T858" s="356">
        <f t="shared" si="131"/>
        <v>1384.0399988838067</v>
      </c>
      <c r="U858" s="356">
        <f t="shared" si="131"/>
        <v>1417.2569588570179</v>
      </c>
      <c r="V858" s="356">
        <f t="shared" si="131"/>
        <v>1451.2711258695863</v>
      </c>
      <c r="W858" s="356">
        <f t="shared" ref="W858:AI863" si="132">V858+(V858*$D$805)</f>
        <v>1486.1016328904564</v>
      </c>
      <c r="X858" s="356">
        <f t="shared" si="132"/>
        <v>1521.7680720798273</v>
      </c>
      <c r="Y858" s="356">
        <f t="shared" si="132"/>
        <v>1558.2905058097431</v>
      </c>
      <c r="Z858" s="356">
        <f t="shared" si="132"/>
        <v>1595.689477949177</v>
      </c>
      <c r="AA858" s="356">
        <f t="shared" si="132"/>
        <v>1633.9860254199573</v>
      </c>
      <c r="AB858" s="356">
        <f t="shared" si="132"/>
        <v>1673.2016900300362</v>
      </c>
      <c r="AC858" s="356">
        <f t="shared" si="132"/>
        <v>1713.358530590757</v>
      </c>
      <c r="AD858" s="356">
        <f t="shared" si="132"/>
        <v>1754.4791353249352</v>
      </c>
      <c r="AE858" s="356">
        <f t="shared" si="132"/>
        <v>1796.5866345727336</v>
      </c>
      <c r="AF858" s="356">
        <f t="shared" si="132"/>
        <v>1839.7047138024793</v>
      </c>
      <c r="AG858" s="356">
        <f t="shared" si="132"/>
        <v>1883.8576269337389</v>
      </c>
      <c r="AH858" s="356">
        <f t="shared" si="132"/>
        <v>1929.0702099801485</v>
      </c>
      <c r="AI858" s="362">
        <f t="shared" si="132"/>
        <v>1975.367895019672</v>
      </c>
    </row>
    <row r="859" spans="2:35">
      <c r="B859" s="136" t="s">
        <v>559</v>
      </c>
      <c r="C859" s="132" t="s">
        <v>560</v>
      </c>
      <c r="D859" s="132" t="s">
        <v>561</v>
      </c>
      <c r="E859" s="356">
        <v>5127</v>
      </c>
      <c r="F859" s="356">
        <f t="shared" si="130"/>
        <v>5127</v>
      </c>
      <c r="G859" s="356">
        <f t="shared" si="131"/>
        <v>5250.0479999999998</v>
      </c>
      <c r="H859" s="356">
        <f t="shared" si="131"/>
        <v>5376.0491519999996</v>
      </c>
      <c r="I859" s="356">
        <f t="shared" si="131"/>
        <v>5505.0743316479993</v>
      </c>
      <c r="J859" s="356">
        <f t="shared" si="131"/>
        <v>5637.1961156075513</v>
      </c>
      <c r="K859" s="356">
        <f t="shared" si="131"/>
        <v>5772.4888223821326</v>
      </c>
      <c r="L859" s="356">
        <f t="shared" si="131"/>
        <v>5911.0285541193034</v>
      </c>
      <c r="M859" s="356">
        <f t="shared" si="131"/>
        <v>6052.8932394181666</v>
      </c>
      <c r="N859" s="356">
        <f t="shared" si="131"/>
        <v>6198.1626771642023</v>
      </c>
      <c r="O859" s="356">
        <f t="shared" si="131"/>
        <v>6346.9185814161428</v>
      </c>
      <c r="P859" s="356">
        <f t="shared" si="131"/>
        <v>6499.2446273701298</v>
      </c>
      <c r="Q859" s="356">
        <f t="shared" si="131"/>
        <v>6655.2264984270132</v>
      </c>
      <c r="R859" s="356">
        <f t="shared" si="131"/>
        <v>6814.9519343892616</v>
      </c>
      <c r="S859" s="356">
        <f t="shared" si="131"/>
        <v>6978.510780814604</v>
      </c>
      <c r="T859" s="356">
        <f t="shared" si="131"/>
        <v>7145.9950395541546</v>
      </c>
      <c r="U859" s="356">
        <f t="shared" si="131"/>
        <v>7317.4989205034544</v>
      </c>
      <c r="V859" s="356">
        <f t="shared" si="131"/>
        <v>7493.1188945955373</v>
      </c>
      <c r="W859" s="356">
        <f t="shared" si="132"/>
        <v>7672.95374806583</v>
      </c>
      <c r="X859" s="356">
        <f t="shared" si="132"/>
        <v>7857.1046380194102</v>
      </c>
      <c r="Y859" s="356">
        <f t="shared" si="132"/>
        <v>8045.6751493318761</v>
      </c>
      <c r="Z859" s="356">
        <f t="shared" si="132"/>
        <v>8238.7713529158409</v>
      </c>
      <c r="AA859" s="356">
        <f t="shared" si="132"/>
        <v>8436.5018653858206</v>
      </c>
      <c r="AB859" s="356">
        <f t="shared" si="132"/>
        <v>8638.9779101550794</v>
      </c>
      <c r="AC859" s="356">
        <f t="shared" si="132"/>
        <v>8846.3133799988009</v>
      </c>
      <c r="AD859" s="356">
        <f t="shared" si="132"/>
        <v>9058.624901118772</v>
      </c>
      <c r="AE859" s="356">
        <f t="shared" si="132"/>
        <v>9276.031898745623</v>
      </c>
      <c r="AF859" s="356">
        <f t="shared" si="132"/>
        <v>9498.6566643155184</v>
      </c>
      <c r="AG859" s="356">
        <f t="shared" si="132"/>
        <v>9726.624424259091</v>
      </c>
      <c r="AH859" s="356">
        <f t="shared" si="132"/>
        <v>9960.0634104413093</v>
      </c>
      <c r="AI859" s="362">
        <f t="shared" si="132"/>
        <v>10199.104932291901</v>
      </c>
    </row>
    <row r="860" spans="2:35">
      <c r="B860" s="136" t="s">
        <v>562</v>
      </c>
      <c r="C860" s="367" t="s">
        <v>563</v>
      </c>
      <c r="D860" s="132" t="s">
        <v>558</v>
      </c>
      <c r="E860" s="356">
        <f>30/4+100</f>
        <v>107.5</v>
      </c>
      <c r="F860" s="356">
        <f t="shared" si="130"/>
        <v>107.5</v>
      </c>
      <c r="G860" s="356">
        <f t="shared" si="131"/>
        <v>110.08</v>
      </c>
      <c r="H860" s="356">
        <f t="shared" si="131"/>
        <v>112.72192</v>
      </c>
      <c r="I860" s="356">
        <f t="shared" si="131"/>
        <v>115.42724608</v>
      </c>
      <c r="J860" s="356">
        <f t="shared" si="131"/>
        <v>118.19749998592</v>
      </c>
      <c r="K860" s="356">
        <f t="shared" si="131"/>
        <v>121.03423998558209</v>
      </c>
      <c r="L860" s="356">
        <f t="shared" si="131"/>
        <v>123.93906174523606</v>
      </c>
      <c r="M860" s="356">
        <f t="shared" si="131"/>
        <v>126.91359922712172</v>
      </c>
      <c r="N860" s="356">
        <f t="shared" si="131"/>
        <v>129.95952560857265</v>
      </c>
      <c r="O860" s="356">
        <f t="shared" si="131"/>
        <v>133.0785542231784</v>
      </c>
      <c r="P860" s="356">
        <f t="shared" si="131"/>
        <v>136.27243952453469</v>
      </c>
      <c r="Q860" s="356">
        <f t="shared" si="131"/>
        <v>139.54297807312352</v>
      </c>
      <c r="R860" s="356">
        <f t="shared" si="131"/>
        <v>142.89200954687848</v>
      </c>
      <c r="S860" s="356">
        <f t="shared" si="131"/>
        <v>146.32141777600356</v>
      </c>
      <c r="T860" s="356">
        <f t="shared" si="131"/>
        <v>149.83313180262763</v>
      </c>
      <c r="U860" s="356">
        <f t="shared" si="131"/>
        <v>153.4291269658907</v>
      </c>
      <c r="V860" s="356">
        <f t="shared" si="131"/>
        <v>157.11142601307208</v>
      </c>
      <c r="W860" s="356">
        <f t="shared" si="132"/>
        <v>160.8821002373858</v>
      </c>
      <c r="X860" s="356">
        <f t="shared" si="132"/>
        <v>164.74327064308306</v>
      </c>
      <c r="Y860" s="356">
        <f t="shared" si="132"/>
        <v>168.69710913851705</v>
      </c>
      <c r="Z860" s="356">
        <f t="shared" si="132"/>
        <v>172.74583975784145</v>
      </c>
      <c r="AA860" s="356">
        <f t="shared" si="132"/>
        <v>176.89173991202964</v>
      </c>
      <c r="AB860" s="356">
        <f t="shared" si="132"/>
        <v>181.13714166991835</v>
      </c>
      <c r="AC860" s="356">
        <f t="shared" si="132"/>
        <v>185.48443306999638</v>
      </c>
      <c r="AD860" s="356">
        <f t="shared" si="132"/>
        <v>189.93605946367629</v>
      </c>
      <c r="AE860" s="356">
        <f t="shared" si="132"/>
        <v>194.49452489080451</v>
      </c>
      <c r="AF860" s="356">
        <f t="shared" si="132"/>
        <v>199.16239348818382</v>
      </c>
      <c r="AG860" s="356">
        <f t="shared" si="132"/>
        <v>203.94229093190023</v>
      </c>
      <c r="AH860" s="356">
        <f t="shared" si="132"/>
        <v>208.83690591426583</v>
      </c>
      <c r="AI860" s="362">
        <f t="shared" si="132"/>
        <v>213.8489916562082</v>
      </c>
    </row>
    <row r="861" spans="2:35">
      <c r="B861" s="136" t="s">
        <v>564</v>
      </c>
      <c r="C861" s="525" t="s">
        <v>565</v>
      </c>
      <c r="D861" s="132" t="s">
        <v>561</v>
      </c>
      <c r="E861" s="356">
        <f>60/4+525</f>
        <v>540</v>
      </c>
      <c r="F861" s="356">
        <f t="shared" si="130"/>
        <v>540</v>
      </c>
      <c r="G861" s="356">
        <f t="shared" si="131"/>
        <v>552.96</v>
      </c>
      <c r="H861" s="356">
        <f t="shared" si="131"/>
        <v>566.23104000000001</v>
      </c>
      <c r="I861" s="356">
        <f t="shared" si="131"/>
        <v>579.82058496000002</v>
      </c>
      <c r="J861" s="356">
        <f t="shared" si="131"/>
        <v>593.73627899904</v>
      </c>
      <c r="K861" s="356">
        <f t="shared" si="131"/>
        <v>607.98594969501698</v>
      </c>
      <c r="L861" s="356">
        <f t="shared" si="131"/>
        <v>622.57761248769737</v>
      </c>
      <c r="M861" s="356">
        <f t="shared" si="131"/>
        <v>637.51947518740212</v>
      </c>
      <c r="N861" s="356">
        <f t="shared" si="131"/>
        <v>652.8199425918998</v>
      </c>
      <c r="O861" s="356">
        <f t="shared" si="131"/>
        <v>668.48762121410539</v>
      </c>
      <c r="P861" s="356">
        <f t="shared" si="131"/>
        <v>684.53132412324396</v>
      </c>
      <c r="Q861" s="356">
        <f t="shared" si="131"/>
        <v>700.96007590220177</v>
      </c>
      <c r="R861" s="356">
        <f t="shared" si="131"/>
        <v>717.78311772385462</v>
      </c>
      <c r="S861" s="356">
        <f t="shared" si="131"/>
        <v>735.00991254922712</v>
      </c>
      <c r="T861" s="356">
        <f t="shared" si="131"/>
        <v>752.65015045040855</v>
      </c>
      <c r="U861" s="356">
        <f t="shared" si="131"/>
        <v>770.71375406121831</v>
      </c>
      <c r="V861" s="356">
        <f t="shared" si="131"/>
        <v>789.21088415868758</v>
      </c>
      <c r="W861" s="356">
        <f t="shared" si="132"/>
        <v>808.15194537849607</v>
      </c>
      <c r="X861" s="356">
        <f t="shared" si="132"/>
        <v>827.54759206758001</v>
      </c>
      <c r="Y861" s="356">
        <f t="shared" si="132"/>
        <v>847.40873427720192</v>
      </c>
      <c r="Z861" s="356">
        <f t="shared" si="132"/>
        <v>867.74654389985471</v>
      </c>
      <c r="AA861" s="356">
        <f t="shared" si="132"/>
        <v>888.57246095345124</v>
      </c>
      <c r="AB861" s="356">
        <f t="shared" si="132"/>
        <v>909.89820001633404</v>
      </c>
      <c r="AC861" s="356">
        <f t="shared" si="132"/>
        <v>931.73575681672605</v>
      </c>
      <c r="AD861" s="356">
        <f t="shared" si="132"/>
        <v>954.09741498032747</v>
      </c>
      <c r="AE861" s="356">
        <f t="shared" si="132"/>
        <v>976.99575293985538</v>
      </c>
      <c r="AF861" s="356">
        <f t="shared" si="132"/>
        <v>1000.4436510104119</v>
      </c>
      <c r="AG861" s="356">
        <f t="shared" si="132"/>
        <v>1024.4542986346619</v>
      </c>
      <c r="AH861" s="356">
        <f t="shared" si="132"/>
        <v>1049.0412018018937</v>
      </c>
      <c r="AI861" s="362">
        <f t="shared" si="132"/>
        <v>1074.2181906451392</v>
      </c>
    </row>
    <row r="862" spans="2:35">
      <c r="B862" s="271" t="s">
        <v>566</v>
      </c>
      <c r="C862" s="325" t="s">
        <v>567</v>
      </c>
      <c r="D862" s="325" t="s">
        <v>558</v>
      </c>
      <c r="E862" s="346">
        <v>610</v>
      </c>
      <c r="F862" s="346">
        <f t="shared" si="130"/>
        <v>610</v>
      </c>
      <c r="G862" s="346">
        <f t="shared" si="131"/>
        <v>624.64</v>
      </c>
      <c r="H862" s="346">
        <f t="shared" si="131"/>
        <v>639.63135999999997</v>
      </c>
      <c r="I862" s="346">
        <f t="shared" si="131"/>
        <v>654.98251263999998</v>
      </c>
      <c r="J862" s="346">
        <f t="shared" si="131"/>
        <v>670.70209294335996</v>
      </c>
      <c r="K862" s="346">
        <f t="shared" si="131"/>
        <v>686.79894317400056</v>
      </c>
      <c r="L862" s="346">
        <f t="shared" si="131"/>
        <v>703.2821178101766</v>
      </c>
      <c r="M862" s="346">
        <f t="shared" si="131"/>
        <v>720.16088863762081</v>
      </c>
      <c r="N862" s="346">
        <f t="shared" si="131"/>
        <v>737.44474996492374</v>
      </c>
      <c r="O862" s="346">
        <f t="shared" si="131"/>
        <v>755.14342396408188</v>
      </c>
      <c r="P862" s="346">
        <f t="shared" si="131"/>
        <v>773.26686613921981</v>
      </c>
      <c r="Q862" s="346">
        <f t="shared" si="131"/>
        <v>791.82527092656107</v>
      </c>
      <c r="R862" s="346">
        <f t="shared" si="131"/>
        <v>810.82907742879854</v>
      </c>
      <c r="S862" s="346">
        <f t="shared" si="131"/>
        <v>830.28897528708967</v>
      </c>
      <c r="T862" s="346">
        <f t="shared" si="131"/>
        <v>850.21591069397982</v>
      </c>
      <c r="U862" s="346">
        <f t="shared" si="131"/>
        <v>870.62109255063535</v>
      </c>
      <c r="V862" s="346">
        <f t="shared" si="131"/>
        <v>891.5159987718506</v>
      </c>
      <c r="W862" s="346">
        <f t="shared" si="132"/>
        <v>912.91238274237503</v>
      </c>
      <c r="X862" s="346">
        <f t="shared" si="132"/>
        <v>934.82227992819207</v>
      </c>
      <c r="Y862" s="346">
        <f t="shared" si="132"/>
        <v>957.25801464646872</v>
      </c>
      <c r="Z862" s="346">
        <f t="shared" si="132"/>
        <v>980.23220699798401</v>
      </c>
      <c r="AA862" s="346">
        <f t="shared" si="132"/>
        <v>1003.7577799659356</v>
      </c>
      <c r="AB862" s="346">
        <f t="shared" si="132"/>
        <v>1027.8479666851181</v>
      </c>
      <c r="AC862" s="346">
        <f t="shared" si="132"/>
        <v>1052.516317885561</v>
      </c>
      <c r="AD862" s="346">
        <f t="shared" si="132"/>
        <v>1077.7767095148145</v>
      </c>
      <c r="AE862" s="346">
        <f t="shared" si="132"/>
        <v>1103.6433505431701</v>
      </c>
      <c r="AF862" s="346">
        <f t="shared" si="132"/>
        <v>1130.1307909562061</v>
      </c>
      <c r="AG862" s="346">
        <f t="shared" si="132"/>
        <v>1157.2539299391551</v>
      </c>
      <c r="AH862" s="346">
        <f t="shared" si="132"/>
        <v>1185.0280242576948</v>
      </c>
      <c r="AI862" s="348">
        <f t="shared" si="132"/>
        <v>1213.4686968398796</v>
      </c>
    </row>
    <row r="863" spans="2:35" ht="16" thickBot="1">
      <c r="B863" s="273" t="s">
        <v>568</v>
      </c>
      <c r="C863" s="327" t="s">
        <v>531</v>
      </c>
      <c r="D863" s="327" t="s">
        <v>558</v>
      </c>
      <c r="E863" s="498">
        <v>1616</v>
      </c>
      <c r="F863" s="498">
        <f t="shared" si="130"/>
        <v>1616</v>
      </c>
      <c r="G863" s="498">
        <f t="shared" si="131"/>
        <v>1654.7840000000001</v>
      </c>
      <c r="H863" s="498">
        <f t="shared" si="131"/>
        <v>1694.498816</v>
      </c>
      <c r="I863" s="498">
        <f t="shared" si="131"/>
        <v>1735.1667875840001</v>
      </c>
      <c r="J863" s="498">
        <f t="shared" si="131"/>
        <v>1776.810790486016</v>
      </c>
      <c r="K863" s="498">
        <f t="shared" si="131"/>
        <v>1819.4542494576804</v>
      </c>
      <c r="L863" s="498">
        <f t="shared" si="131"/>
        <v>1863.1211514446647</v>
      </c>
      <c r="M863" s="498">
        <f t="shared" si="131"/>
        <v>1907.8360590793368</v>
      </c>
      <c r="N863" s="498">
        <f t="shared" si="131"/>
        <v>1953.6241244972409</v>
      </c>
      <c r="O863" s="498">
        <f t="shared" si="131"/>
        <v>2000.5111034851748</v>
      </c>
      <c r="P863" s="498">
        <f t="shared" si="131"/>
        <v>2048.5233699688188</v>
      </c>
      <c r="Q863" s="498">
        <f t="shared" si="131"/>
        <v>2097.6879308480702</v>
      </c>
      <c r="R863" s="498">
        <f t="shared" si="131"/>
        <v>2148.0324411884239</v>
      </c>
      <c r="S863" s="498">
        <f t="shared" si="131"/>
        <v>2199.5852197769459</v>
      </c>
      <c r="T863" s="498">
        <f t="shared" si="131"/>
        <v>2252.3752650515926</v>
      </c>
      <c r="U863" s="498">
        <f t="shared" si="131"/>
        <v>2306.4322714128307</v>
      </c>
      <c r="V863" s="498">
        <f t="shared" si="131"/>
        <v>2361.7866459267384</v>
      </c>
      <c r="W863" s="498">
        <f t="shared" si="132"/>
        <v>2418.46952542898</v>
      </c>
      <c r="X863" s="498">
        <f t="shared" si="132"/>
        <v>2476.5127940392754</v>
      </c>
      <c r="Y863" s="498">
        <f t="shared" si="132"/>
        <v>2535.9491010962179</v>
      </c>
      <c r="Z863" s="498">
        <f t="shared" si="132"/>
        <v>2596.8118795225273</v>
      </c>
      <c r="AA863" s="498">
        <f t="shared" si="132"/>
        <v>2659.1353646310681</v>
      </c>
      <c r="AB863" s="498">
        <f t="shared" si="132"/>
        <v>2722.9546133822137</v>
      </c>
      <c r="AC863" s="498">
        <f t="shared" si="132"/>
        <v>2788.3055241033867</v>
      </c>
      <c r="AD863" s="498">
        <f t="shared" si="132"/>
        <v>2855.224856681868</v>
      </c>
      <c r="AE863" s="498">
        <f t="shared" si="132"/>
        <v>2923.7502532422327</v>
      </c>
      <c r="AF863" s="498">
        <f t="shared" si="132"/>
        <v>2993.9202593200462</v>
      </c>
      <c r="AG863" s="498">
        <f t="shared" si="132"/>
        <v>3065.7743455437271</v>
      </c>
      <c r="AH863" s="498">
        <f t="shared" si="132"/>
        <v>3139.3529298367766</v>
      </c>
      <c r="AI863" s="526">
        <f t="shared" si="132"/>
        <v>3214.6974001528592</v>
      </c>
    </row>
    <row r="864" spans="2:35">
      <c r="D864" s="493"/>
      <c r="F864" s="493"/>
      <c r="G864" s="493"/>
      <c r="H864" s="493"/>
      <c r="I864" s="493"/>
      <c r="J864" s="493"/>
      <c r="K864" s="493"/>
      <c r="L864" s="493"/>
      <c r="M864" s="493"/>
      <c r="N864" s="493"/>
      <c r="O864" s="493"/>
      <c r="P864" s="493"/>
      <c r="Q864" s="493"/>
      <c r="R864" s="493"/>
      <c r="S864" s="493"/>
      <c r="T864" s="493"/>
      <c r="U864" s="493"/>
      <c r="V864" s="493"/>
      <c r="W864" s="493"/>
      <c r="X864" s="493"/>
      <c r="Y864" s="493"/>
    </row>
    <row r="865" spans="2:25" ht="16" thickBot="1">
      <c r="B865" s="244" t="s">
        <v>569</v>
      </c>
      <c r="D865" s="507"/>
      <c r="F865" s="493"/>
      <c r="G865" s="493"/>
      <c r="H865" s="493"/>
      <c r="I865" s="493"/>
      <c r="J865" s="493"/>
      <c r="K865" s="493"/>
      <c r="L865" s="493"/>
      <c r="M865" s="493"/>
      <c r="N865" s="493"/>
      <c r="O865" s="493"/>
      <c r="P865" s="493"/>
      <c r="Q865" s="493"/>
      <c r="R865" s="493"/>
      <c r="S865" s="493"/>
      <c r="T865" s="493"/>
      <c r="U865" s="493"/>
      <c r="V865" s="493"/>
      <c r="W865" s="493"/>
      <c r="X865" s="493"/>
      <c r="Y865" s="493"/>
    </row>
    <row r="866" spans="2:25">
      <c r="B866" s="332" t="s">
        <v>570</v>
      </c>
      <c r="C866" s="509"/>
      <c r="D866" s="527"/>
      <c r="E866" s="509"/>
      <c r="F866" s="510"/>
      <c r="G866" s="510"/>
      <c r="H866" s="510"/>
      <c r="I866" s="510"/>
      <c r="J866" s="510"/>
      <c r="K866" s="510"/>
      <c r="L866" s="510"/>
      <c r="M866" s="511"/>
      <c r="N866" s="493"/>
      <c r="O866" s="493"/>
      <c r="P866" s="493"/>
      <c r="Q866" s="493"/>
      <c r="R866" s="493"/>
      <c r="S866" s="493"/>
      <c r="T866" s="493"/>
      <c r="U866" s="493"/>
      <c r="V866" s="493"/>
      <c r="W866" s="493"/>
      <c r="X866" s="493"/>
      <c r="Y866" s="493"/>
    </row>
    <row r="867" spans="2:25">
      <c r="B867" s="136" t="s">
        <v>571</v>
      </c>
      <c r="C867" s="132"/>
      <c r="D867" s="356" t="s">
        <v>572</v>
      </c>
      <c r="E867" s="356"/>
      <c r="F867" s="356"/>
      <c r="G867" s="356"/>
      <c r="H867" s="356"/>
      <c r="I867" s="356"/>
      <c r="J867" s="356" t="s">
        <v>573</v>
      </c>
      <c r="K867" s="356" t="s">
        <v>573</v>
      </c>
      <c r="L867" s="356" t="s">
        <v>573</v>
      </c>
      <c r="M867" s="362" t="s">
        <v>573</v>
      </c>
      <c r="N867" s="493"/>
      <c r="O867" s="493"/>
      <c r="P867" s="493"/>
      <c r="Q867" s="493"/>
      <c r="R867" s="493"/>
      <c r="S867" s="493"/>
      <c r="T867" s="493"/>
      <c r="U867" s="493"/>
      <c r="V867" s="493"/>
      <c r="W867" s="493"/>
      <c r="X867" s="493"/>
      <c r="Y867" s="493"/>
    </row>
    <row r="868" spans="2:25">
      <c r="B868" s="337" t="s">
        <v>574</v>
      </c>
      <c r="C868" s="338"/>
      <c r="D868" s="528" t="s">
        <v>575</v>
      </c>
      <c r="E868" s="528" t="s">
        <v>576</v>
      </c>
      <c r="F868" s="528" t="s">
        <v>577</v>
      </c>
      <c r="G868" s="528" t="s">
        <v>578</v>
      </c>
      <c r="H868" s="528" t="s">
        <v>579</v>
      </c>
      <c r="I868" s="364"/>
      <c r="J868" s="528" t="s">
        <v>575</v>
      </c>
      <c r="K868" s="528" t="s">
        <v>576</v>
      </c>
      <c r="L868" s="528" t="s">
        <v>577</v>
      </c>
      <c r="M868" s="529" t="s">
        <v>578</v>
      </c>
      <c r="N868" s="493"/>
      <c r="O868" s="493"/>
      <c r="P868" s="493"/>
      <c r="Q868" s="493"/>
      <c r="R868" s="493"/>
      <c r="S868" s="493"/>
      <c r="T868" s="493"/>
      <c r="U868" s="493"/>
      <c r="V868" s="493"/>
      <c r="W868" s="493"/>
      <c r="X868" s="493"/>
      <c r="Y868" s="493"/>
    </row>
    <row r="869" spans="2:25">
      <c r="B869" s="136" t="s">
        <v>580</v>
      </c>
      <c r="C869" s="356" t="s">
        <v>581</v>
      </c>
      <c r="D869" s="530">
        <v>7500</v>
      </c>
      <c r="E869" s="530">
        <v>7500</v>
      </c>
      <c r="F869" s="530">
        <v>9000</v>
      </c>
      <c r="G869" s="531">
        <f>1000000000000</f>
        <v>1000000000000</v>
      </c>
      <c r="H869" s="356">
        <v>25</v>
      </c>
      <c r="I869" s="360"/>
      <c r="J869" s="356">
        <f t="shared" ref="J869:M882" si="133">$H869/D869</f>
        <v>3.3333333333333335E-3</v>
      </c>
      <c r="K869" s="356">
        <f t="shared" si="133"/>
        <v>3.3333333333333335E-3</v>
      </c>
      <c r="L869" s="356">
        <f t="shared" si="133"/>
        <v>2.7777777777777779E-3</v>
      </c>
      <c r="M869" s="362">
        <f t="shared" si="133"/>
        <v>2.5000000000000001E-11</v>
      </c>
      <c r="N869" s="493"/>
      <c r="O869" s="493"/>
      <c r="P869" s="493"/>
      <c r="Q869" s="493"/>
      <c r="R869" s="493"/>
      <c r="S869" s="493"/>
      <c r="T869" s="493"/>
      <c r="U869" s="493"/>
      <c r="V869" s="493"/>
      <c r="W869" s="493"/>
      <c r="X869" s="493"/>
      <c r="Y869" s="493"/>
    </row>
    <row r="870" spans="2:25">
      <c r="B870" s="136" t="s">
        <v>582</v>
      </c>
      <c r="C870" s="356" t="s">
        <v>581</v>
      </c>
      <c r="D870" s="530">
        <v>7500</v>
      </c>
      <c r="E870" s="530">
        <v>7500</v>
      </c>
      <c r="F870" s="530">
        <v>9000</v>
      </c>
      <c r="G870" s="531">
        <f>1000000000000</f>
        <v>1000000000000</v>
      </c>
      <c r="H870" s="356">
        <v>15</v>
      </c>
      <c r="I870" s="356"/>
      <c r="J870" s="356">
        <f t="shared" si="133"/>
        <v>2E-3</v>
      </c>
      <c r="K870" s="356">
        <f t="shared" si="133"/>
        <v>2E-3</v>
      </c>
      <c r="L870" s="356">
        <f t="shared" si="133"/>
        <v>1.6666666666666668E-3</v>
      </c>
      <c r="M870" s="362">
        <f t="shared" si="133"/>
        <v>1.5E-11</v>
      </c>
      <c r="N870" s="493"/>
      <c r="O870" s="493"/>
      <c r="P870" s="493"/>
      <c r="Q870" s="493"/>
      <c r="R870" s="493"/>
      <c r="S870" s="493"/>
      <c r="T870" s="493"/>
      <c r="U870" s="493"/>
      <c r="V870" s="493"/>
      <c r="W870" s="493"/>
      <c r="X870" s="493"/>
      <c r="Y870" s="493"/>
    </row>
    <row r="871" spans="2:25">
      <c r="B871" s="136" t="s">
        <v>583</v>
      </c>
      <c r="C871" s="356" t="s">
        <v>581</v>
      </c>
      <c r="D871" s="530">
        <v>7500</v>
      </c>
      <c r="E871" s="530">
        <v>7500</v>
      </c>
      <c r="F871" s="530">
        <v>7500</v>
      </c>
      <c r="G871" s="530">
        <v>7500</v>
      </c>
      <c r="H871" s="356">
        <v>45</v>
      </c>
      <c r="I871" s="356"/>
      <c r="J871" s="356">
        <f t="shared" si="133"/>
        <v>6.0000000000000001E-3</v>
      </c>
      <c r="K871" s="356">
        <f t="shared" si="133"/>
        <v>6.0000000000000001E-3</v>
      </c>
      <c r="L871" s="356">
        <f t="shared" si="133"/>
        <v>6.0000000000000001E-3</v>
      </c>
      <c r="M871" s="362">
        <f t="shared" si="133"/>
        <v>6.0000000000000001E-3</v>
      </c>
      <c r="N871" s="493"/>
      <c r="O871" s="493"/>
      <c r="P871" s="493"/>
      <c r="Q871" s="493"/>
      <c r="R871" s="493"/>
      <c r="S871" s="493"/>
      <c r="T871" s="493"/>
      <c r="U871" s="493"/>
      <c r="V871" s="493"/>
      <c r="W871" s="493"/>
      <c r="X871" s="493"/>
      <c r="Y871" s="493"/>
    </row>
    <row r="872" spans="2:25">
      <c r="B872" s="136" t="s">
        <v>584</v>
      </c>
      <c r="C872" s="356" t="s">
        <v>581</v>
      </c>
      <c r="D872" s="530">
        <v>75000</v>
      </c>
      <c r="E872" s="530">
        <v>75000</v>
      </c>
      <c r="F872" s="530">
        <v>100000</v>
      </c>
      <c r="G872" s="531">
        <f>1000000000000</f>
        <v>1000000000000</v>
      </c>
      <c r="H872" s="356">
        <v>40</v>
      </c>
      <c r="I872" s="356"/>
      <c r="J872" s="356">
        <f t="shared" si="133"/>
        <v>5.3333333333333336E-4</v>
      </c>
      <c r="K872" s="356">
        <f t="shared" si="133"/>
        <v>5.3333333333333336E-4</v>
      </c>
      <c r="L872" s="356">
        <f t="shared" si="133"/>
        <v>4.0000000000000002E-4</v>
      </c>
      <c r="M872" s="362">
        <f t="shared" si="133"/>
        <v>3.9999999999999998E-11</v>
      </c>
      <c r="N872" s="493"/>
      <c r="O872" s="493"/>
      <c r="P872" s="493"/>
      <c r="Q872" s="493"/>
      <c r="R872" s="493"/>
      <c r="S872" s="493"/>
      <c r="T872" s="493"/>
      <c r="U872" s="493"/>
      <c r="V872" s="493"/>
      <c r="W872" s="493"/>
      <c r="X872" s="493"/>
      <c r="Y872" s="493"/>
    </row>
    <row r="873" spans="2:25">
      <c r="B873" s="136" t="s">
        <v>585</v>
      </c>
      <c r="C873" s="356" t="s">
        <v>581</v>
      </c>
      <c r="D873" s="530">
        <v>45000</v>
      </c>
      <c r="E873" s="530">
        <v>100000</v>
      </c>
      <c r="F873" s="530">
        <v>125000</v>
      </c>
      <c r="G873" s="531">
        <f>1000000000000</f>
        <v>1000000000000</v>
      </c>
      <c r="H873" s="356">
        <v>40</v>
      </c>
      <c r="I873" s="356"/>
      <c r="J873" s="356">
        <f t="shared" si="133"/>
        <v>8.8888888888888893E-4</v>
      </c>
      <c r="K873" s="356">
        <f t="shared" si="133"/>
        <v>4.0000000000000002E-4</v>
      </c>
      <c r="L873" s="356">
        <f t="shared" si="133"/>
        <v>3.2000000000000003E-4</v>
      </c>
      <c r="M873" s="362">
        <f t="shared" si="133"/>
        <v>3.9999999999999998E-11</v>
      </c>
      <c r="N873" s="493"/>
      <c r="O873" s="493"/>
      <c r="P873" s="493"/>
      <c r="Q873" s="493"/>
      <c r="R873" s="493"/>
      <c r="S873" s="493"/>
      <c r="T873" s="493"/>
      <c r="U873" s="493"/>
      <c r="V873" s="493"/>
      <c r="W873" s="493"/>
      <c r="X873" s="493"/>
      <c r="Y873" s="493"/>
    </row>
    <row r="874" spans="2:25">
      <c r="B874" s="136" t="s">
        <v>586</v>
      </c>
      <c r="C874" s="356" t="s">
        <v>581</v>
      </c>
      <c r="D874" s="530">
        <v>100000</v>
      </c>
      <c r="E874" s="530">
        <v>100000</v>
      </c>
      <c r="F874" s="530">
        <v>100000</v>
      </c>
      <c r="G874" s="530">
        <v>100000</v>
      </c>
      <c r="H874" s="356">
        <v>50</v>
      </c>
      <c r="I874" s="356"/>
      <c r="J874" s="356">
        <f t="shared" si="133"/>
        <v>5.0000000000000001E-4</v>
      </c>
      <c r="K874" s="356">
        <f t="shared" si="133"/>
        <v>5.0000000000000001E-4</v>
      </c>
      <c r="L874" s="356">
        <f t="shared" si="133"/>
        <v>5.0000000000000001E-4</v>
      </c>
      <c r="M874" s="362">
        <f t="shared" si="133"/>
        <v>5.0000000000000001E-4</v>
      </c>
      <c r="N874" s="493"/>
      <c r="O874" s="493"/>
      <c r="P874" s="493"/>
      <c r="Q874" s="493"/>
      <c r="R874" s="493"/>
      <c r="S874" s="493"/>
      <c r="T874" s="493"/>
      <c r="U874" s="493"/>
      <c r="V874" s="493"/>
      <c r="W874" s="493"/>
      <c r="X874" s="493"/>
      <c r="Y874" s="493"/>
    </row>
    <row r="875" spans="2:25">
      <c r="B875" s="136" t="s">
        <v>587</v>
      </c>
      <c r="C875" s="356" t="s">
        <v>581</v>
      </c>
      <c r="D875" s="530">
        <v>50000</v>
      </c>
      <c r="E875" s="530">
        <v>50000</v>
      </c>
      <c r="F875" s="530">
        <v>50000</v>
      </c>
      <c r="G875" s="530">
        <v>50000</v>
      </c>
      <c r="H875" s="356">
        <v>200</v>
      </c>
      <c r="I875" s="356"/>
      <c r="J875" s="356">
        <f t="shared" si="133"/>
        <v>4.0000000000000001E-3</v>
      </c>
      <c r="K875" s="356">
        <f t="shared" si="133"/>
        <v>4.0000000000000001E-3</v>
      </c>
      <c r="L875" s="356">
        <f t="shared" si="133"/>
        <v>4.0000000000000001E-3</v>
      </c>
      <c r="M875" s="362">
        <f t="shared" si="133"/>
        <v>4.0000000000000001E-3</v>
      </c>
      <c r="N875" s="493"/>
      <c r="O875" s="493"/>
      <c r="P875" s="493"/>
      <c r="Q875" s="493"/>
      <c r="R875" s="493"/>
      <c r="S875" s="493"/>
      <c r="T875" s="493"/>
      <c r="U875" s="493"/>
      <c r="V875" s="493"/>
      <c r="W875" s="493"/>
      <c r="X875" s="493"/>
      <c r="Y875" s="493"/>
    </row>
    <row r="876" spans="2:25">
      <c r="B876" s="136" t="s">
        <v>588</v>
      </c>
      <c r="C876" s="356" t="s">
        <v>581</v>
      </c>
      <c r="D876" s="530">
        <v>60000</v>
      </c>
      <c r="E876" s="530">
        <v>80000</v>
      </c>
      <c r="F876" s="530">
        <v>90000</v>
      </c>
      <c r="G876" s="530">
        <v>90000</v>
      </c>
      <c r="H876" s="356">
        <v>560</v>
      </c>
      <c r="I876" s="356"/>
      <c r="J876" s="356">
        <f t="shared" si="133"/>
        <v>9.3333333333333341E-3</v>
      </c>
      <c r="K876" s="356">
        <f t="shared" si="133"/>
        <v>7.0000000000000001E-3</v>
      </c>
      <c r="L876" s="356">
        <f t="shared" si="133"/>
        <v>6.2222222222222219E-3</v>
      </c>
      <c r="M876" s="362">
        <f t="shared" si="133"/>
        <v>6.2222222222222219E-3</v>
      </c>
      <c r="N876" s="493"/>
      <c r="O876" s="493"/>
      <c r="P876" s="493"/>
      <c r="Q876" s="493"/>
      <c r="R876" s="493"/>
      <c r="S876" s="493"/>
      <c r="T876" s="493"/>
      <c r="U876" s="493"/>
      <c r="V876" s="493"/>
      <c r="W876" s="493"/>
      <c r="X876" s="493"/>
      <c r="Y876" s="493"/>
    </row>
    <row r="877" spans="2:25">
      <c r="B877" s="136" t="s">
        <v>589</v>
      </c>
      <c r="C877" s="356" t="s">
        <v>581</v>
      </c>
      <c r="D877" s="530">
        <v>80000</v>
      </c>
      <c r="E877" s="530">
        <v>80000</v>
      </c>
      <c r="F877" s="530">
        <v>80000</v>
      </c>
      <c r="G877" s="530">
        <v>80000</v>
      </c>
      <c r="H877" s="356">
        <v>80</v>
      </c>
      <c r="I877" s="356"/>
      <c r="J877" s="356">
        <f t="shared" si="133"/>
        <v>1E-3</v>
      </c>
      <c r="K877" s="356">
        <f t="shared" si="133"/>
        <v>1E-3</v>
      </c>
      <c r="L877" s="356">
        <f t="shared" si="133"/>
        <v>1E-3</v>
      </c>
      <c r="M877" s="362">
        <f t="shared" si="133"/>
        <v>1E-3</v>
      </c>
      <c r="N877" s="493"/>
      <c r="O877" s="493"/>
      <c r="P877" s="493"/>
      <c r="Q877" s="493"/>
      <c r="R877" s="493"/>
      <c r="S877" s="493"/>
      <c r="T877" s="493"/>
      <c r="U877" s="493"/>
      <c r="V877" s="493"/>
      <c r="W877" s="493"/>
      <c r="X877" s="493"/>
      <c r="Y877" s="493"/>
    </row>
    <row r="878" spans="2:25">
      <c r="B878" s="136" t="s">
        <v>590</v>
      </c>
      <c r="C878" s="356" t="s">
        <v>581</v>
      </c>
      <c r="D878" s="530">
        <v>90000</v>
      </c>
      <c r="E878" s="530">
        <v>100000</v>
      </c>
      <c r="F878" s="530">
        <v>100000</v>
      </c>
      <c r="G878" s="531">
        <f>1000000000000</f>
        <v>1000000000000</v>
      </c>
      <c r="H878" s="356">
        <v>75</v>
      </c>
      <c r="I878" s="356"/>
      <c r="J878" s="356">
        <f t="shared" si="133"/>
        <v>8.3333333333333339E-4</v>
      </c>
      <c r="K878" s="356">
        <f t="shared" si="133"/>
        <v>7.5000000000000002E-4</v>
      </c>
      <c r="L878" s="356">
        <f t="shared" si="133"/>
        <v>7.5000000000000002E-4</v>
      </c>
      <c r="M878" s="362">
        <f t="shared" si="133"/>
        <v>7.5E-11</v>
      </c>
      <c r="N878" s="493"/>
      <c r="O878" s="493"/>
      <c r="P878" s="493"/>
      <c r="Q878" s="493"/>
      <c r="R878" s="493"/>
      <c r="S878" s="493"/>
      <c r="T878" s="493"/>
      <c r="U878" s="493"/>
      <c r="V878" s="493"/>
      <c r="W878" s="493"/>
      <c r="X878" s="493"/>
      <c r="Y878" s="493"/>
    </row>
    <row r="879" spans="2:25">
      <c r="B879" s="136" t="s">
        <v>591</v>
      </c>
      <c r="C879" s="356" t="s">
        <v>581</v>
      </c>
      <c r="D879" s="530">
        <v>90000</v>
      </c>
      <c r="E879" s="530">
        <v>110000</v>
      </c>
      <c r="F879" s="530">
        <v>110000</v>
      </c>
      <c r="G879" s="531">
        <f>1000000000000</f>
        <v>1000000000000</v>
      </c>
      <c r="H879" s="356">
        <v>250</v>
      </c>
      <c r="I879" s="356"/>
      <c r="J879" s="356">
        <f t="shared" si="133"/>
        <v>2.7777777777777779E-3</v>
      </c>
      <c r="K879" s="356">
        <f t="shared" si="133"/>
        <v>2.2727272727272726E-3</v>
      </c>
      <c r="L879" s="356">
        <f t="shared" si="133"/>
        <v>2.2727272727272726E-3</v>
      </c>
      <c r="M879" s="362">
        <f t="shared" si="133"/>
        <v>2.5000000000000002E-10</v>
      </c>
      <c r="N879" s="493"/>
      <c r="O879" s="493"/>
      <c r="P879" s="493"/>
      <c r="Q879" s="493"/>
      <c r="R879" s="493"/>
      <c r="S879" s="493"/>
      <c r="T879" s="493"/>
      <c r="U879" s="493"/>
      <c r="V879" s="493"/>
      <c r="W879" s="493"/>
      <c r="X879" s="493"/>
      <c r="Y879" s="493"/>
    </row>
    <row r="880" spans="2:25">
      <c r="B880" s="136" t="s">
        <v>592</v>
      </c>
      <c r="C880" s="356" t="s">
        <v>581</v>
      </c>
      <c r="D880" s="530">
        <v>100000</v>
      </c>
      <c r="E880" s="530">
        <v>100000</v>
      </c>
      <c r="F880" s="530">
        <v>100000</v>
      </c>
      <c r="G880" s="531">
        <f>1000000000000</f>
        <v>1000000000000</v>
      </c>
      <c r="H880" s="356">
        <v>150</v>
      </c>
      <c r="I880" s="356"/>
      <c r="J880" s="356">
        <f t="shared" si="133"/>
        <v>1.5E-3</v>
      </c>
      <c r="K880" s="356">
        <f t="shared" si="133"/>
        <v>1.5E-3</v>
      </c>
      <c r="L880" s="356">
        <f t="shared" si="133"/>
        <v>1.5E-3</v>
      </c>
      <c r="M880" s="362">
        <f t="shared" si="133"/>
        <v>1.5E-10</v>
      </c>
      <c r="N880" s="493"/>
      <c r="O880" s="493"/>
      <c r="P880" s="493"/>
      <c r="Q880" s="493"/>
      <c r="R880" s="493"/>
      <c r="S880" s="493"/>
      <c r="T880" s="493"/>
      <c r="U880" s="493"/>
      <c r="V880" s="493"/>
      <c r="W880" s="493"/>
      <c r="X880" s="493"/>
      <c r="Y880" s="493"/>
    </row>
    <row r="881" spans="2:25">
      <c r="B881" s="136" t="s">
        <v>593</v>
      </c>
      <c r="C881" s="356" t="s">
        <v>581</v>
      </c>
      <c r="D881" s="530">
        <v>120000</v>
      </c>
      <c r="E881" s="530">
        <v>150000</v>
      </c>
      <c r="F881" s="530">
        <v>175000</v>
      </c>
      <c r="G881" s="530">
        <v>175000</v>
      </c>
      <c r="H881" s="356">
        <v>730</v>
      </c>
      <c r="I881" s="356"/>
      <c r="J881" s="356">
        <f t="shared" si="133"/>
        <v>6.083333333333333E-3</v>
      </c>
      <c r="K881" s="356">
        <f t="shared" si="133"/>
        <v>4.8666666666666667E-3</v>
      </c>
      <c r="L881" s="356">
        <f t="shared" si="133"/>
        <v>4.1714285714285716E-3</v>
      </c>
      <c r="M881" s="362">
        <f t="shared" si="133"/>
        <v>4.1714285714285716E-3</v>
      </c>
      <c r="N881" s="493"/>
      <c r="O881" s="493"/>
      <c r="P881" s="493"/>
      <c r="Q881" s="493"/>
      <c r="R881" s="493"/>
      <c r="S881" s="493"/>
      <c r="T881" s="493"/>
      <c r="U881" s="493"/>
      <c r="V881" s="493"/>
      <c r="W881" s="493"/>
      <c r="X881" s="493"/>
      <c r="Y881" s="493"/>
    </row>
    <row r="882" spans="2:25">
      <c r="B882" s="136" t="s">
        <v>594</v>
      </c>
      <c r="C882" s="356" t="s">
        <v>595</v>
      </c>
      <c r="D882" s="530">
        <v>50000</v>
      </c>
      <c r="E882" s="530">
        <v>50000</v>
      </c>
      <c r="F882" s="530">
        <v>50000</v>
      </c>
      <c r="G882" s="530">
        <v>50000</v>
      </c>
      <c r="H882" s="356">
        <v>135</v>
      </c>
      <c r="I882" s="356"/>
      <c r="J882" s="532">
        <f t="shared" si="133"/>
        <v>2.7000000000000001E-3</v>
      </c>
      <c r="K882" s="532">
        <f t="shared" si="133"/>
        <v>2.7000000000000001E-3</v>
      </c>
      <c r="L882" s="532">
        <f t="shared" si="133"/>
        <v>2.7000000000000001E-3</v>
      </c>
      <c r="M882" s="533">
        <f t="shared" si="133"/>
        <v>2.7000000000000001E-3</v>
      </c>
      <c r="N882" s="493"/>
      <c r="O882" s="493"/>
      <c r="P882" s="493"/>
      <c r="Q882" s="493"/>
      <c r="R882" s="493"/>
      <c r="S882" s="493"/>
      <c r="T882" s="493"/>
      <c r="U882" s="493"/>
      <c r="V882" s="493"/>
      <c r="W882" s="493"/>
      <c r="X882" s="493"/>
      <c r="Y882" s="493"/>
    </row>
    <row r="883" spans="2:25">
      <c r="B883" s="271" t="s">
        <v>596</v>
      </c>
      <c r="C883" s="346" t="s">
        <v>581</v>
      </c>
      <c r="D883" s="295">
        <v>1</v>
      </c>
      <c r="E883" s="295">
        <v>1</v>
      </c>
      <c r="F883" s="295">
        <v>1</v>
      </c>
      <c r="G883" s="295">
        <v>1</v>
      </c>
      <c r="H883" s="346">
        <v>25</v>
      </c>
      <c r="I883" s="346"/>
      <c r="J883" s="325" t="s">
        <v>597</v>
      </c>
      <c r="K883" s="325"/>
      <c r="L883" s="325"/>
      <c r="M883" s="326"/>
      <c r="N883" s="493"/>
      <c r="O883" s="493"/>
      <c r="P883" s="493"/>
      <c r="Q883" s="493"/>
      <c r="R883" s="493"/>
      <c r="S883" s="493"/>
      <c r="T883" s="493"/>
      <c r="U883" s="493"/>
      <c r="V883" s="493"/>
      <c r="W883" s="493"/>
      <c r="X883" s="493"/>
      <c r="Y883" s="493"/>
    </row>
    <row r="884" spans="2:25">
      <c r="B884" s="136" t="s">
        <v>271</v>
      </c>
      <c r="C884" s="132"/>
      <c r="D884" s="132"/>
      <c r="E884" s="132"/>
      <c r="F884" s="132"/>
      <c r="G884" s="132"/>
      <c r="H884" s="132"/>
      <c r="I884" s="356"/>
      <c r="J884" s="534">
        <f>SUM(J869:J883)</f>
        <v>4.1483333333333337E-2</v>
      </c>
      <c r="K884" s="534">
        <f>SUM(K869:K883)</f>
        <v>3.6856060606060607E-2</v>
      </c>
      <c r="L884" s="534">
        <f>SUM(L869:L883)</f>
        <v>3.4280822510822519E-2</v>
      </c>
      <c r="M884" s="535">
        <f>SUM(M869:M883)</f>
        <v>2.4593651388650793E-2</v>
      </c>
      <c r="N884" s="493"/>
      <c r="O884" s="493"/>
      <c r="P884" s="493"/>
      <c r="Q884" s="493"/>
      <c r="R884" s="493"/>
      <c r="S884" s="493"/>
      <c r="T884" s="493"/>
      <c r="U884" s="493"/>
      <c r="V884" s="493"/>
      <c r="W884" s="493"/>
      <c r="X884" s="493"/>
      <c r="Y884" s="493"/>
    </row>
    <row r="885" spans="2:25">
      <c r="B885" s="136"/>
      <c r="C885" s="132"/>
      <c r="D885" s="132"/>
      <c r="E885" s="132"/>
      <c r="F885" s="132"/>
      <c r="G885" s="132"/>
      <c r="H885" s="132"/>
      <c r="I885" s="356"/>
      <c r="J885" s="534"/>
      <c r="K885" s="534"/>
      <c r="L885" s="534"/>
      <c r="M885" s="535"/>
      <c r="N885" s="493"/>
      <c r="O885" s="493"/>
      <c r="P885" s="493"/>
      <c r="Q885" s="493"/>
      <c r="R885" s="493"/>
      <c r="S885" s="493"/>
      <c r="T885" s="493"/>
      <c r="U885" s="493"/>
      <c r="V885" s="493"/>
      <c r="W885" s="493"/>
      <c r="X885" s="493"/>
      <c r="Y885" s="493"/>
    </row>
    <row r="886" spans="2:25">
      <c r="B886" s="136" t="s">
        <v>598</v>
      </c>
      <c r="C886" s="132"/>
      <c r="D886" s="295">
        <v>999999</v>
      </c>
      <c r="E886" s="295">
        <v>150000</v>
      </c>
      <c r="F886" s="295">
        <v>150000</v>
      </c>
      <c r="G886" s="295">
        <v>150000</v>
      </c>
      <c r="H886" s="132"/>
      <c r="I886" s="356"/>
      <c r="J886" s="534"/>
      <c r="K886" s="534"/>
      <c r="L886" s="534"/>
      <c r="M886" s="535"/>
      <c r="N886" s="493"/>
      <c r="O886" s="493"/>
      <c r="P886" s="493"/>
      <c r="Q886" s="493"/>
      <c r="R886" s="493"/>
      <c r="S886" s="493"/>
      <c r="T886" s="493"/>
      <c r="U886" s="493"/>
      <c r="V886" s="493"/>
      <c r="W886" s="493"/>
      <c r="X886" s="493"/>
      <c r="Y886" s="493"/>
    </row>
    <row r="887" spans="2:25">
      <c r="B887" s="271" t="s">
        <v>599</v>
      </c>
      <c r="C887" s="346" t="s">
        <v>600</v>
      </c>
      <c r="D887" s="295"/>
      <c r="E887" s="295"/>
      <c r="F887" s="295"/>
      <c r="G887" s="295"/>
      <c r="H887" s="346">
        <f>3649-1350</f>
        <v>2299</v>
      </c>
      <c r="I887" s="132"/>
      <c r="J887" s="132"/>
      <c r="K887" s="132"/>
      <c r="L887" s="132"/>
      <c r="M887" s="142"/>
      <c r="N887" s="493"/>
      <c r="O887" s="493"/>
      <c r="P887" s="493"/>
      <c r="Q887" s="493"/>
      <c r="R887" s="493"/>
      <c r="S887" s="493"/>
      <c r="T887" s="493"/>
      <c r="U887" s="493"/>
      <c r="V887" s="493"/>
      <c r="W887" s="493"/>
      <c r="X887" s="493"/>
      <c r="Y887" s="493"/>
    </row>
    <row r="888" spans="2:25">
      <c r="B888" s="271" t="s">
        <v>601</v>
      </c>
      <c r="C888" s="346" t="s">
        <v>602</v>
      </c>
      <c r="D888" s="346">
        <v>100</v>
      </c>
      <c r="E888" s="295" t="s">
        <v>603</v>
      </c>
      <c r="F888" s="295"/>
      <c r="G888" s="295"/>
      <c r="H888" s="346">
        <v>1200</v>
      </c>
      <c r="I888" s="132" t="s">
        <v>604</v>
      </c>
      <c r="J888" s="132"/>
      <c r="K888" s="132"/>
      <c r="L888" s="132"/>
      <c r="M888" s="142"/>
      <c r="N888" s="493"/>
      <c r="O888" s="493"/>
      <c r="P888" s="493"/>
      <c r="Q888" s="493"/>
      <c r="R888" s="493"/>
      <c r="S888" s="493"/>
      <c r="T888" s="493"/>
      <c r="U888" s="493"/>
      <c r="V888" s="493"/>
      <c r="W888" s="493"/>
      <c r="X888" s="493"/>
      <c r="Y888" s="493"/>
    </row>
    <row r="889" spans="2:25">
      <c r="B889" s="271"/>
      <c r="C889" s="325" t="s">
        <v>605</v>
      </c>
      <c r="D889" s="325"/>
      <c r="E889" s="325"/>
      <c r="F889" s="325"/>
      <c r="G889" s="325"/>
      <c r="H889" s="325"/>
      <c r="I889" s="356"/>
      <c r="J889" s="534"/>
      <c r="K889" s="534"/>
      <c r="L889" s="534"/>
      <c r="M889" s="535"/>
      <c r="N889" s="493"/>
      <c r="O889" s="493"/>
      <c r="P889" s="493"/>
      <c r="Q889" s="493"/>
      <c r="R889" s="493"/>
      <c r="S889" s="493"/>
      <c r="T889" s="493"/>
      <c r="U889" s="493"/>
      <c r="V889" s="493"/>
      <c r="W889" s="493"/>
      <c r="X889" s="493"/>
      <c r="Y889" s="493"/>
    </row>
    <row r="890" spans="2:25">
      <c r="B890" s="271" t="s">
        <v>577</v>
      </c>
      <c r="C890" s="325">
        <v>4.4000000000000004</v>
      </c>
      <c r="D890" s="325" t="s">
        <v>244</v>
      </c>
      <c r="E890" s="325" t="s">
        <v>606</v>
      </c>
      <c r="F890" s="325"/>
      <c r="G890" s="325"/>
      <c r="H890" s="346">
        <f>H887*1.5</f>
        <v>3448.5</v>
      </c>
      <c r="I890" s="356"/>
      <c r="J890" s="534"/>
      <c r="K890" s="534"/>
      <c r="L890" s="534"/>
      <c r="M890" s="535"/>
      <c r="N890" s="493"/>
      <c r="O890" s="493"/>
      <c r="P890" s="493"/>
      <c r="Q890" s="493"/>
      <c r="R890" s="493"/>
      <c r="S890" s="493"/>
      <c r="T890" s="493"/>
      <c r="U890" s="493"/>
      <c r="V890" s="493"/>
      <c r="W890" s="493"/>
      <c r="X890" s="493"/>
      <c r="Y890" s="493"/>
    </row>
    <row r="891" spans="2:25">
      <c r="B891" s="271" t="s">
        <v>607</v>
      </c>
      <c r="C891" s="325">
        <v>16.5</v>
      </c>
      <c r="D891" s="325" t="s">
        <v>244</v>
      </c>
      <c r="E891" s="325" t="s">
        <v>608</v>
      </c>
      <c r="F891" s="325"/>
      <c r="G891" s="325"/>
      <c r="H891" s="346">
        <f>H890*16.5/4.4</f>
        <v>12931.874999999998</v>
      </c>
      <c r="I891" s="356"/>
      <c r="J891" s="534"/>
      <c r="K891" s="534"/>
      <c r="L891" s="534"/>
      <c r="M891" s="535"/>
      <c r="N891" s="493"/>
      <c r="O891" s="493"/>
      <c r="P891" s="493"/>
      <c r="Q891" s="493"/>
      <c r="R891" s="493"/>
      <c r="S891" s="493"/>
      <c r="T891" s="493"/>
      <c r="U891" s="493"/>
      <c r="V891" s="493"/>
      <c r="W891" s="493"/>
      <c r="X891" s="493"/>
      <c r="Y891" s="493"/>
    </row>
    <row r="892" spans="2:25">
      <c r="B892" s="271" t="s">
        <v>359</v>
      </c>
      <c r="C892" s="325">
        <v>24</v>
      </c>
      <c r="D892" s="325" t="s">
        <v>244</v>
      </c>
      <c r="E892" s="325" t="s">
        <v>609</v>
      </c>
      <c r="F892" s="325"/>
      <c r="G892" s="325"/>
      <c r="H892" s="346">
        <f>H890*24/4.4</f>
        <v>18810</v>
      </c>
      <c r="I892" s="356"/>
      <c r="J892" s="534"/>
      <c r="K892" s="534"/>
      <c r="L892" s="534"/>
      <c r="M892" s="535"/>
      <c r="N892" s="493"/>
      <c r="O892" s="493"/>
      <c r="P892" s="493"/>
      <c r="Q892" s="493"/>
      <c r="R892" s="493"/>
      <c r="S892" s="493"/>
      <c r="T892" s="493"/>
      <c r="U892" s="493"/>
      <c r="V892" s="493"/>
      <c r="W892" s="493"/>
      <c r="X892" s="493"/>
      <c r="Y892" s="493"/>
    </row>
    <row r="893" spans="2:25">
      <c r="B893" s="271"/>
      <c r="C893" s="325"/>
      <c r="D893" s="325"/>
      <c r="E893" s="325"/>
      <c r="F893" s="325"/>
      <c r="G893" s="325"/>
      <c r="H893" s="325"/>
      <c r="I893" s="356"/>
      <c r="J893" s="534"/>
      <c r="K893" s="534"/>
      <c r="L893" s="534"/>
      <c r="M893" s="535"/>
      <c r="N893" s="493"/>
      <c r="O893" s="493"/>
      <c r="P893" s="493"/>
      <c r="Q893" s="493"/>
      <c r="R893" s="493"/>
      <c r="S893" s="493"/>
      <c r="T893" s="493"/>
      <c r="U893" s="493"/>
      <c r="V893" s="493"/>
      <c r="W893" s="493"/>
      <c r="X893" s="493"/>
      <c r="Y893" s="493"/>
    </row>
    <row r="894" spans="2:25">
      <c r="B894" s="271" t="s">
        <v>570</v>
      </c>
      <c r="C894" s="325"/>
      <c r="D894" s="325"/>
      <c r="E894" s="325"/>
      <c r="F894" s="346"/>
      <c r="G894" s="346"/>
      <c r="H894" s="346"/>
      <c r="I894" s="356"/>
      <c r="J894" s="356"/>
      <c r="K894" s="356"/>
      <c r="L894" s="356"/>
      <c r="M894" s="362"/>
      <c r="N894" s="493"/>
      <c r="O894" s="493"/>
      <c r="P894" s="493"/>
      <c r="Q894" s="493"/>
      <c r="R894" s="493"/>
      <c r="S894" s="493"/>
      <c r="T894" s="493"/>
      <c r="U894" s="493"/>
      <c r="V894" s="493"/>
      <c r="W894" s="493"/>
      <c r="X894" s="493"/>
      <c r="Y894" s="493"/>
    </row>
    <row r="895" spans="2:25">
      <c r="B895" s="271" t="s">
        <v>610</v>
      </c>
      <c r="C895" s="325" t="s">
        <v>567</v>
      </c>
      <c r="D895" s="346">
        <v>4.4699999999999997E-2</v>
      </c>
      <c r="E895" s="325"/>
      <c r="F895" s="346"/>
      <c r="G895" s="346"/>
      <c r="H895" s="346"/>
      <c r="I895" s="356"/>
      <c r="J895" s="356"/>
      <c r="K895" s="356"/>
      <c r="L895" s="356"/>
      <c r="M895" s="362"/>
      <c r="N895" s="493"/>
      <c r="O895" s="493"/>
      <c r="P895" s="493"/>
      <c r="Q895" s="493"/>
      <c r="R895" s="493"/>
      <c r="S895" s="493"/>
      <c r="T895" s="493"/>
      <c r="U895" s="493"/>
      <c r="V895" s="493"/>
      <c r="W895" s="493"/>
      <c r="X895" s="493"/>
      <c r="Y895" s="493"/>
    </row>
    <row r="896" spans="2:25">
      <c r="B896" s="271" t="s">
        <v>611</v>
      </c>
      <c r="C896" s="325" t="s">
        <v>612</v>
      </c>
      <c r="D896" s="302">
        <f>D895*(1-0.28)</f>
        <v>3.2183999999999997E-2</v>
      </c>
      <c r="E896" s="325"/>
      <c r="F896" s="346"/>
      <c r="G896" s="346"/>
      <c r="H896" s="346"/>
      <c r="I896" s="356"/>
      <c r="J896" s="356"/>
      <c r="K896" s="356"/>
      <c r="L896" s="356"/>
      <c r="M896" s="362"/>
      <c r="N896" s="493"/>
      <c r="O896" s="493"/>
      <c r="P896" s="493"/>
      <c r="Q896" s="493"/>
      <c r="R896" s="493"/>
      <c r="S896" s="493"/>
      <c r="T896" s="493"/>
      <c r="U896" s="493"/>
      <c r="V896" s="493"/>
      <c r="W896" s="493"/>
      <c r="X896" s="493"/>
      <c r="Y896" s="493"/>
    </row>
    <row r="897" spans="2:25">
      <c r="B897" s="271" t="s">
        <v>613</v>
      </c>
      <c r="C897" s="325" t="s">
        <v>567</v>
      </c>
      <c r="D897" s="346">
        <v>0.01</v>
      </c>
      <c r="E897" s="325"/>
      <c r="F897" s="346"/>
      <c r="G897" s="346"/>
      <c r="H897" s="346"/>
      <c r="I897" s="356"/>
      <c r="J897" s="356"/>
      <c r="K897" s="356"/>
      <c r="L897" s="356"/>
      <c r="M897" s="362"/>
      <c r="N897" s="493"/>
      <c r="O897" s="493"/>
      <c r="P897" s="493"/>
      <c r="Q897" s="493"/>
      <c r="R897" s="493"/>
      <c r="S897" s="493"/>
      <c r="T897" s="493"/>
      <c r="U897" s="493"/>
      <c r="V897" s="493"/>
      <c r="W897" s="493"/>
      <c r="X897" s="493"/>
      <c r="Y897" s="493"/>
    </row>
    <row r="898" spans="2:25">
      <c r="B898" s="271"/>
      <c r="C898" s="325"/>
      <c r="D898" s="346"/>
      <c r="E898" s="325"/>
      <c r="F898" s="346"/>
      <c r="G898" s="346"/>
      <c r="H898" s="346"/>
      <c r="I898" s="356"/>
      <c r="J898" s="356"/>
      <c r="K898" s="356"/>
      <c r="L898" s="356"/>
      <c r="M898" s="362"/>
      <c r="N898" s="493"/>
      <c r="O898" s="493"/>
      <c r="P898" s="493"/>
      <c r="Q898" s="493"/>
      <c r="R898" s="493"/>
      <c r="S898" s="493"/>
      <c r="T898" s="493"/>
      <c r="U898" s="493"/>
      <c r="V898" s="493"/>
      <c r="W898" s="493"/>
      <c r="X898" s="493"/>
      <c r="Y898" s="493"/>
    </row>
    <row r="899" spans="2:25">
      <c r="B899" s="271" t="s">
        <v>614</v>
      </c>
      <c r="C899" s="325"/>
      <c r="D899" s="325"/>
      <c r="E899" s="325"/>
      <c r="F899" s="325"/>
      <c r="G899" s="346"/>
      <c r="H899" s="346"/>
      <c r="I899" s="356"/>
      <c r="J899" s="356"/>
      <c r="K899" s="356"/>
      <c r="L899" s="356"/>
      <c r="M899" s="362"/>
      <c r="N899" s="493"/>
      <c r="O899" s="493"/>
      <c r="P899" s="493"/>
      <c r="Q899" s="493"/>
      <c r="R899" s="493"/>
      <c r="S899" s="493"/>
      <c r="T899" s="493"/>
      <c r="U899" s="493"/>
      <c r="V899" s="493"/>
      <c r="W899" s="493"/>
      <c r="X899" s="493"/>
      <c r="Y899" s="493"/>
    </row>
    <row r="900" spans="2:25">
      <c r="B900" s="271" t="str">
        <f>B887</f>
        <v>NiMH HEV Battery Replacement</v>
      </c>
      <c r="C900" s="346" t="str">
        <f>C887</f>
        <v>http://www.tirebusiness.com/article/20121120/NEWS/121129994/replacing-hybrids-battery-not-as-costly-as-you-think</v>
      </c>
      <c r="D900" s="346">
        <f>H887</f>
        <v>2299</v>
      </c>
      <c r="E900" s="346"/>
      <c r="F900" s="346"/>
      <c r="G900" s="346"/>
      <c r="H900" s="346"/>
      <c r="I900" s="356"/>
      <c r="J900" s="356"/>
      <c r="K900" s="356"/>
      <c r="L900" s="356"/>
      <c r="M900" s="362"/>
      <c r="N900" s="493"/>
      <c r="O900" s="493"/>
      <c r="P900" s="493"/>
      <c r="Q900" s="493"/>
      <c r="R900" s="493"/>
      <c r="S900" s="493"/>
      <c r="T900" s="493"/>
      <c r="U900" s="493"/>
      <c r="V900" s="493"/>
      <c r="W900" s="493"/>
      <c r="X900" s="493"/>
      <c r="Y900" s="493"/>
    </row>
    <row r="901" spans="2:25">
      <c r="B901" s="271"/>
      <c r="C901" s="346"/>
      <c r="D901" s="346"/>
      <c r="E901" s="346"/>
      <c r="F901" s="346"/>
      <c r="G901" s="346"/>
      <c r="H901" s="346"/>
      <c r="I901" s="356"/>
      <c r="J901" s="356"/>
      <c r="K901" s="356"/>
      <c r="L901" s="356"/>
      <c r="M901" s="362"/>
      <c r="N901" s="493"/>
      <c r="O901" s="493"/>
      <c r="P901" s="493"/>
      <c r="Q901" s="493"/>
      <c r="R901" s="493"/>
      <c r="S901" s="493"/>
      <c r="T901" s="493"/>
      <c r="U901" s="493"/>
      <c r="V901" s="493"/>
      <c r="W901" s="493"/>
      <c r="X901" s="493"/>
      <c r="Y901" s="493"/>
    </row>
    <row r="902" spans="2:25">
      <c r="B902" s="271" t="s">
        <v>615</v>
      </c>
      <c r="C902" s="346" t="s">
        <v>616</v>
      </c>
      <c r="D902" s="346">
        <v>150</v>
      </c>
      <c r="E902" s="325"/>
      <c r="F902" s="346"/>
      <c r="G902" s="346"/>
      <c r="H902" s="346"/>
      <c r="I902" s="356"/>
      <c r="J902" s="356"/>
      <c r="K902" s="356"/>
      <c r="L902" s="356"/>
      <c r="M902" s="362"/>
      <c r="N902" s="493"/>
      <c r="O902" s="493"/>
      <c r="P902" s="493"/>
      <c r="Q902" s="493"/>
      <c r="R902" s="493"/>
      <c r="S902" s="493"/>
      <c r="T902" s="493"/>
      <c r="U902" s="493"/>
      <c r="V902" s="493"/>
      <c r="W902" s="493"/>
      <c r="X902" s="493"/>
      <c r="Y902" s="493"/>
    </row>
    <row r="903" spans="2:25">
      <c r="B903" s="271" t="s">
        <v>617</v>
      </c>
      <c r="C903" s="325"/>
      <c r="D903" s="346"/>
      <c r="E903" s="346"/>
      <c r="F903" s="346"/>
      <c r="G903" s="346"/>
      <c r="H903" s="325"/>
      <c r="I903" s="356"/>
      <c r="J903" s="356"/>
      <c r="K903" s="530"/>
      <c r="L903" s="356"/>
      <c r="M903" s="362"/>
      <c r="N903" s="493"/>
      <c r="O903" s="493"/>
      <c r="P903" s="493"/>
      <c r="Q903" s="493"/>
      <c r="R903" s="493"/>
      <c r="S903" s="493"/>
      <c r="T903" s="493"/>
      <c r="U903" s="493"/>
      <c r="V903" s="493"/>
      <c r="W903" s="493"/>
      <c r="X903" s="493"/>
      <c r="Y903" s="493"/>
    </row>
    <row r="904" spans="2:25">
      <c r="B904" s="271"/>
      <c r="C904" s="325"/>
      <c r="D904" s="346"/>
      <c r="E904" s="346"/>
      <c r="F904" s="346"/>
      <c r="G904" s="346"/>
      <c r="H904" s="536" t="s">
        <v>618</v>
      </c>
      <c r="I904" s="343"/>
      <c r="J904" s="343"/>
      <c r="K904" s="537"/>
      <c r="L904" s="538"/>
      <c r="M904" s="362"/>
      <c r="N904" s="493"/>
      <c r="O904" s="493"/>
      <c r="P904" s="493"/>
      <c r="Q904" s="493"/>
      <c r="R904" s="493"/>
      <c r="S904" s="493"/>
      <c r="T904" s="493"/>
      <c r="U904" s="493"/>
      <c r="V904" s="493"/>
      <c r="W904" s="493"/>
      <c r="X904" s="493"/>
      <c r="Y904" s="493"/>
    </row>
    <row r="905" spans="2:25">
      <c r="B905" s="271" t="s">
        <v>619</v>
      </c>
      <c r="C905" s="325"/>
      <c r="D905" s="346"/>
      <c r="E905" s="346"/>
      <c r="F905" s="346"/>
      <c r="G905" s="346"/>
      <c r="H905" s="539" t="s">
        <v>620</v>
      </c>
      <c r="I905" s="295"/>
      <c r="J905" s="295"/>
      <c r="K905" s="295"/>
      <c r="L905" s="540"/>
      <c r="M905" s="362"/>
      <c r="N905" s="493"/>
      <c r="O905" s="493"/>
      <c r="P905" s="493"/>
      <c r="Q905" s="493"/>
      <c r="R905" s="493"/>
      <c r="S905" s="493"/>
      <c r="T905" s="493"/>
      <c r="U905" s="493"/>
      <c r="V905" s="493"/>
      <c r="W905" s="493"/>
      <c r="X905" s="493"/>
      <c r="Y905" s="493"/>
    </row>
    <row r="906" spans="2:25">
      <c r="B906" s="271" t="s">
        <v>570</v>
      </c>
      <c r="C906" s="325"/>
      <c r="D906" s="346"/>
      <c r="E906" s="346"/>
      <c r="F906" s="346"/>
      <c r="G906" s="346"/>
      <c r="H906" s="539" t="s">
        <v>621</v>
      </c>
      <c r="I906" s="295"/>
      <c r="J906" s="295"/>
      <c r="K906" s="325"/>
      <c r="L906" s="540"/>
      <c r="M906" s="362"/>
      <c r="N906" s="493"/>
      <c r="O906" s="493"/>
      <c r="P906" s="493"/>
      <c r="Q906" s="493"/>
      <c r="R906" s="493"/>
      <c r="S906" s="493"/>
      <c r="T906" s="493"/>
      <c r="U906" s="493"/>
      <c r="V906" s="493"/>
      <c r="W906" s="493"/>
      <c r="X906" s="493"/>
      <c r="Y906" s="493"/>
    </row>
    <row r="907" spans="2:25">
      <c r="B907" s="541" t="s">
        <v>622</v>
      </c>
      <c r="C907" s="542"/>
      <c r="D907" s="542"/>
      <c r="E907" s="343" t="s">
        <v>15</v>
      </c>
      <c r="F907" s="343" t="s">
        <v>623</v>
      </c>
      <c r="G907" s="343" t="s">
        <v>624</v>
      </c>
      <c r="H907" s="539" t="s">
        <v>15</v>
      </c>
      <c r="I907" s="325" t="s">
        <v>623</v>
      </c>
      <c r="J907" s="325" t="s">
        <v>624</v>
      </c>
      <c r="K907" s="295" t="s">
        <v>625</v>
      </c>
      <c r="L907" s="540"/>
      <c r="M907" s="362"/>
      <c r="N907" s="493"/>
      <c r="O907" s="493"/>
      <c r="P907" s="493"/>
      <c r="Q907" s="493"/>
      <c r="R907" s="493"/>
      <c r="S907" s="493"/>
      <c r="T907" s="493"/>
      <c r="U907" s="493"/>
      <c r="V907" s="493"/>
      <c r="W907" s="493"/>
      <c r="X907" s="493"/>
      <c r="Y907" s="493"/>
    </row>
    <row r="908" spans="2:25">
      <c r="B908" s="271" t="s">
        <v>626</v>
      </c>
      <c r="C908" s="346" t="s">
        <v>627</v>
      </c>
      <c r="D908" s="346" t="s">
        <v>628</v>
      </c>
      <c r="E908" s="295">
        <v>96000</v>
      </c>
      <c r="F908" s="295">
        <v>48000</v>
      </c>
      <c r="G908" s="295">
        <v>144000</v>
      </c>
      <c r="H908" s="539">
        <f>$K908/E908</f>
        <v>7.1666666666666667E-3</v>
      </c>
      <c r="I908" s="346">
        <f>$K908/F908</f>
        <v>1.4333333333333333E-2</v>
      </c>
      <c r="J908" s="346">
        <f>$K908/G908</f>
        <v>4.7777777777777775E-3</v>
      </c>
      <c r="K908" s="346">
        <f>60+628</f>
        <v>688</v>
      </c>
      <c r="L908" s="543" t="s">
        <v>629</v>
      </c>
      <c r="M908" s="362"/>
      <c r="N908" s="493"/>
      <c r="O908" s="493"/>
      <c r="P908" s="493"/>
      <c r="Q908" s="493"/>
      <c r="R908" s="493"/>
      <c r="S908" s="493"/>
      <c r="T908" s="493"/>
      <c r="U908" s="493"/>
      <c r="V908" s="493"/>
      <c r="W908" s="493"/>
      <c r="X908" s="493"/>
      <c r="Y908" s="493"/>
    </row>
    <row r="909" spans="2:25">
      <c r="B909" s="271" t="s">
        <v>626</v>
      </c>
      <c r="C909" s="346" t="s">
        <v>627</v>
      </c>
      <c r="D909" s="346" t="s">
        <v>630</v>
      </c>
      <c r="E909" s="295">
        <v>192000</v>
      </c>
      <c r="F909" s="295">
        <v>96000</v>
      </c>
      <c r="G909" s="295">
        <v>216000</v>
      </c>
      <c r="H909" s="539">
        <f t="shared" ref="H909:J925" si="134">$K909/E909</f>
        <v>2.8729166666666667E-2</v>
      </c>
      <c r="I909" s="346">
        <f t="shared" si="134"/>
        <v>5.7458333333333333E-2</v>
      </c>
      <c r="J909" s="346">
        <f t="shared" si="134"/>
        <v>2.5537037037037039E-2</v>
      </c>
      <c r="K909" s="346">
        <f>4114+1402</f>
        <v>5516</v>
      </c>
      <c r="L909" s="543" t="s">
        <v>631</v>
      </c>
      <c r="M909" s="362"/>
      <c r="N909" s="493"/>
      <c r="O909" s="493"/>
      <c r="P909" s="493"/>
      <c r="Q909" s="493"/>
      <c r="R909" s="493"/>
      <c r="S909" s="493"/>
      <c r="T909" s="493"/>
      <c r="U909" s="493"/>
      <c r="V909" s="493"/>
      <c r="W909" s="493"/>
      <c r="X909" s="493"/>
      <c r="Y909" s="493"/>
    </row>
    <row r="910" spans="2:25">
      <c r="B910" s="271" t="s">
        <v>632</v>
      </c>
      <c r="C910" s="346" t="s">
        <v>627</v>
      </c>
      <c r="D910" s="346" t="s">
        <v>633</v>
      </c>
      <c r="E910" s="295">
        <v>60000</v>
      </c>
      <c r="F910" s="295">
        <v>60000</v>
      </c>
      <c r="G910" s="295">
        <v>96000</v>
      </c>
      <c r="H910" s="539">
        <f t="shared" si="134"/>
        <v>4.0333333333333332E-3</v>
      </c>
      <c r="I910" s="346">
        <f t="shared" si="134"/>
        <v>4.0333333333333332E-3</v>
      </c>
      <c r="J910" s="346">
        <f t="shared" si="134"/>
        <v>2.5208333333333333E-3</v>
      </c>
      <c r="K910" s="346">
        <f>61+181</f>
        <v>242</v>
      </c>
      <c r="L910" s="543" t="s">
        <v>634</v>
      </c>
      <c r="M910" s="362"/>
      <c r="N910" s="493"/>
      <c r="O910" s="493"/>
      <c r="P910" s="493"/>
      <c r="Q910" s="493"/>
      <c r="R910" s="493"/>
      <c r="S910" s="493"/>
      <c r="T910" s="493"/>
      <c r="U910" s="493"/>
      <c r="V910" s="493"/>
      <c r="W910" s="493"/>
      <c r="X910" s="493"/>
      <c r="Y910" s="493"/>
    </row>
    <row r="911" spans="2:25">
      <c r="B911" s="271" t="s">
        <v>632</v>
      </c>
      <c r="C911" s="346" t="s">
        <v>627</v>
      </c>
      <c r="D911" s="346" t="s">
        <v>635</v>
      </c>
      <c r="E911" s="295">
        <v>120000</v>
      </c>
      <c r="F911" s="295">
        <v>120000</v>
      </c>
      <c r="G911" s="295">
        <v>144000</v>
      </c>
      <c r="H911" s="539">
        <f t="shared" si="134"/>
        <v>3.6250000000000002E-3</v>
      </c>
      <c r="I911" s="346">
        <f t="shared" si="134"/>
        <v>3.6250000000000002E-3</v>
      </c>
      <c r="J911" s="346">
        <f t="shared" si="134"/>
        <v>3.0208333333333333E-3</v>
      </c>
      <c r="K911" s="346">
        <f>253+120+10+52</f>
        <v>435</v>
      </c>
      <c r="L911" s="543" t="s">
        <v>636</v>
      </c>
      <c r="M911" s="362"/>
      <c r="N911" s="493"/>
      <c r="O911" s="493"/>
      <c r="P911" s="493"/>
      <c r="Q911" s="493"/>
      <c r="R911" s="493"/>
      <c r="S911" s="493"/>
      <c r="T911" s="493"/>
      <c r="U911" s="493"/>
      <c r="V911" s="493"/>
      <c r="W911" s="493"/>
      <c r="X911" s="493"/>
      <c r="Y911" s="493"/>
    </row>
    <row r="912" spans="2:25">
      <c r="B912" s="271" t="s">
        <v>205</v>
      </c>
      <c r="C912" s="346" t="s">
        <v>627</v>
      </c>
      <c r="D912" s="346" t="s">
        <v>637</v>
      </c>
      <c r="E912" s="295">
        <v>144000</v>
      </c>
      <c r="F912" s="295">
        <v>96000</v>
      </c>
      <c r="G912" s="295">
        <v>168000</v>
      </c>
      <c r="H912" s="539">
        <f t="shared" si="134"/>
        <v>3.7083333333333334E-3</v>
      </c>
      <c r="I912" s="346">
        <f t="shared" si="134"/>
        <v>5.5624999999999997E-3</v>
      </c>
      <c r="J912" s="346">
        <f t="shared" si="134"/>
        <v>3.1785714285714286E-3</v>
      </c>
      <c r="K912" s="346">
        <f>138+396</f>
        <v>534</v>
      </c>
      <c r="L912" s="543" t="s">
        <v>638</v>
      </c>
      <c r="M912" s="362"/>
      <c r="N912" s="493"/>
      <c r="O912" s="493"/>
      <c r="P912" s="493"/>
      <c r="Q912" s="493"/>
      <c r="R912" s="493"/>
      <c r="S912" s="493"/>
      <c r="T912" s="493"/>
      <c r="U912" s="493"/>
      <c r="V912" s="493"/>
      <c r="W912" s="493"/>
      <c r="X912" s="493"/>
      <c r="Y912" s="493"/>
    </row>
    <row r="913" spans="2:25">
      <c r="B913" s="271" t="s">
        <v>205</v>
      </c>
      <c r="C913" s="346" t="s">
        <v>627</v>
      </c>
      <c r="D913" s="346" t="s">
        <v>639</v>
      </c>
      <c r="E913" s="295">
        <v>144000</v>
      </c>
      <c r="F913" s="295">
        <v>96000</v>
      </c>
      <c r="G913" s="295">
        <v>168000</v>
      </c>
      <c r="H913" s="539">
        <f t="shared" si="134"/>
        <v>1.1458333333333333E-3</v>
      </c>
      <c r="I913" s="346">
        <f t="shared" si="134"/>
        <v>1.71875E-3</v>
      </c>
      <c r="J913" s="346">
        <f t="shared" si="134"/>
        <v>9.8214285714285721E-4</v>
      </c>
      <c r="K913" s="346">
        <f>45+120</f>
        <v>165</v>
      </c>
      <c r="L913" s="543" t="s">
        <v>640</v>
      </c>
      <c r="M913" s="362"/>
      <c r="N913" s="493"/>
      <c r="O913" s="493"/>
      <c r="P913" s="493"/>
      <c r="Q913" s="493"/>
      <c r="R913" s="493"/>
      <c r="S913" s="493"/>
      <c r="T913" s="493"/>
      <c r="U913" s="493"/>
      <c r="V913" s="493"/>
      <c r="W913" s="493"/>
      <c r="X913" s="493"/>
      <c r="Y913" s="493"/>
    </row>
    <row r="914" spans="2:25">
      <c r="B914" s="271" t="s">
        <v>205</v>
      </c>
      <c r="C914" s="346" t="s">
        <v>627</v>
      </c>
      <c r="D914" s="346" t="s">
        <v>641</v>
      </c>
      <c r="E914" s="295">
        <v>72000</v>
      </c>
      <c r="F914" s="295">
        <v>48000</v>
      </c>
      <c r="G914" s="295">
        <v>108000</v>
      </c>
      <c r="H914" s="539">
        <f t="shared" si="134"/>
        <v>6.3749999999999996E-3</v>
      </c>
      <c r="I914" s="346">
        <f t="shared" si="134"/>
        <v>9.5624999999999998E-3</v>
      </c>
      <c r="J914" s="346">
        <f t="shared" si="134"/>
        <v>4.2500000000000003E-3</v>
      </c>
      <c r="K914" s="346">
        <f>416+43</f>
        <v>459</v>
      </c>
      <c r="L914" s="543" t="s">
        <v>642</v>
      </c>
      <c r="M914" s="362"/>
      <c r="N914" s="493"/>
      <c r="O914" s="493"/>
      <c r="P914" s="493"/>
      <c r="Q914" s="493"/>
      <c r="R914" s="493"/>
      <c r="S914" s="493"/>
      <c r="T914" s="493"/>
      <c r="U914" s="493"/>
      <c r="V914" s="493"/>
      <c r="W914" s="493"/>
      <c r="X914" s="493"/>
      <c r="Y914" s="493"/>
    </row>
    <row r="915" spans="2:25">
      <c r="B915" s="271" t="s">
        <v>205</v>
      </c>
      <c r="C915" s="346" t="s">
        <v>627</v>
      </c>
      <c r="D915" s="346" t="s">
        <v>643</v>
      </c>
      <c r="E915" s="295">
        <v>72000</v>
      </c>
      <c r="F915" s="295">
        <v>48000</v>
      </c>
      <c r="G915" s="295">
        <v>108000</v>
      </c>
      <c r="H915" s="539">
        <f t="shared" si="134"/>
        <v>1.888888888888889E-3</v>
      </c>
      <c r="I915" s="346">
        <f t="shared" si="134"/>
        <v>2.8333333333333335E-3</v>
      </c>
      <c r="J915" s="346">
        <f t="shared" si="134"/>
        <v>1.2592592592592592E-3</v>
      </c>
      <c r="K915" s="346">
        <f>76+60</f>
        <v>136</v>
      </c>
      <c r="L915" s="543" t="s">
        <v>644</v>
      </c>
      <c r="M915" s="362"/>
      <c r="N915" s="493"/>
      <c r="O915" s="493"/>
      <c r="P915" s="493"/>
      <c r="Q915" s="493"/>
      <c r="R915" s="493"/>
      <c r="S915" s="493"/>
      <c r="T915" s="493"/>
      <c r="U915" s="493"/>
      <c r="V915" s="493"/>
      <c r="W915" s="493"/>
      <c r="X915" s="493"/>
      <c r="Y915" s="493"/>
    </row>
    <row r="916" spans="2:25">
      <c r="B916" s="271" t="s">
        <v>645</v>
      </c>
      <c r="C916" s="346" t="s">
        <v>627</v>
      </c>
      <c r="D916" s="346" t="s">
        <v>646</v>
      </c>
      <c r="E916" s="295">
        <v>120000</v>
      </c>
      <c r="F916" s="295">
        <v>60000</v>
      </c>
      <c r="G916" s="295">
        <v>144000</v>
      </c>
      <c r="H916" s="539">
        <f t="shared" si="134"/>
        <v>2.3749999999999999E-3</v>
      </c>
      <c r="I916" s="346">
        <f t="shared" si="134"/>
        <v>4.7499999999999999E-3</v>
      </c>
      <c r="J916" s="346">
        <f t="shared" si="134"/>
        <v>1.9791666666666668E-3</v>
      </c>
      <c r="K916" s="346">
        <f>216+69</f>
        <v>285</v>
      </c>
      <c r="L916" s="543" t="s">
        <v>647</v>
      </c>
      <c r="M916" s="362"/>
      <c r="N916" s="493"/>
      <c r="O916" s="493"/>
      <c r="P916" s="493"/>
      <c r="Q916" s="493"/>
      <c r="R916" s="493"/>
      <c r="S916" s="493"/>
      <c r="T916" s="493"/>
      <c r="U916" s="493"/>
      <c r="V916" s="493"/>
      <c r="W916" s="493"/>
      <c r="X916" s="493"/>
      <c r="Y916" s="493"/>
    </row>
    <row r="917" spans="2:25">
      <c r="B917" s="271" t="s">
        <v>645</v>
      </c>
      <c r="C917" s="346" t="s">
        <v>627</v>
      </c>
      <c r="D917" s="346" t="s">
        <v>648</v>
      </c>
      <c r="E917" s="295">
        <v>120000</v>
      </c>
      <c r="F917" s="295">
        <v>60000</v>
      </c>
      <c r="G917" s="295">
        <v>144000</v>
      </c>
      <c r="H917" s="539">
        <f t="shared" si="134"/>
        <v>1.9250000000000001E-3</v>
      </c>
      <c r="I917" s="346">
        <f t="shared" si="134"/>
        <v>3.8500000000000001E-3</v>
      </c>
      <c r="J917" s="346">
        <f t="shared" si="134"/>
        <v>1.6041666666666667E-3</v>
      </c>
      <c r="K917" s="346">
        <f>188+43</f>
        <v>231</v>
      </c>
      <c r="L917" s="543" t="s">
        <v>649</v>
      </c>
      <c r="M917" s="362"/>
      <c r="N917" s="493"/>
      <c r="O917" s="493"/>
      <c r="P917" s="493"/>
      <c r="Q917" s="493"/>
      <c r="R917" s="493"/>
      <c r="S917" s="493"/>
      <c r="T917" s="493"/>
      <c r="U917" s="493"/>
      <c r="V917" s="493"/>
      <c r="W917" s="493"/>
      <c r="X917" s="493"/>
      <c r="Y917" s="493"/>
    </row>
    <row r="918" spans="2:25">
      <c r="B918" s="271" t="s">
        <v>650</v>
      </c>
      <c r="C918" s="346" t="s">
        <v>627</v>
      </c>
      <c r="D918" s="346" t="s">
        <v>650</v>
      </c>
      <c r="E918" s="295">
        <v>72000</v>
      </c>
      <c r="F918" s="295">
        <v>48000</v>
      </c>
      <c r="G918" s="295">
        <v>108000</v>
      </c>
      <c r="H918" s="539">
        <f t="shared" si="134"/>
        <v>2.4791666666666667E-2</v>
      </c>
      <c r="I918" s="346">
        <f t="shared" si="134"/>
        <v>3.7187499999999998E-2</v>
      </c>
      <c r="J918" s="346">
        <f t="shared" si="134"/>
        <v>1.6527777777777777E-2</v>
      </c>
      <c r="K918" s="346">
        <f>507+17+17+576+115+103+58+86+172+14+43+8+17+52</f>
        <v>1785</v>
      </c>
      <c r="L918" s="543" t="s">
        <v>651</v>
      </c>
      <c r="M918" s="362"/>
      <c r="N918" s="493"/>
      <c r="O918" s="493"/>
      <c r="P918" s="493"/>
      <c r="Q918" s="493"/>
      <c r="R918" s="493"/>
      <c r="S918" s="493"/>
      <c r="T918" s="493"/>
      <c r="U918" s="493"/>
      <c r="V918" s="493"/>
      <c r="W918" s="493"/>
      <c r="X918" s="493"/>
      <c r="Y918" s="493"/>
    </row>
    <row r="919" spans="2:25">
      <c r="B919" s="271" t="s">
        <v>652</v>
      </c>
      <c r="C919" s="346" t="s">
        <v>627</v>
      </c>
      <c r="D919" s="346" t="s">
        <v>653</v>
      </c>
      <c r="E919" s="295">
        <v>48000</v>
      </c>
      <c r="F919" s="295">
        <v>48000</v>
      </c>
      <c r="G919" s="295">
        <v>72000</v>
      </c>
      <c r="H919" s="539">
        <f t="shared" si="134"/>
        <v>2.7499999999999998E-3</v>
      </c>
      <c r="I919" s="346">
        <f t="shared" si="134"/>
        <v>2.7499999999999998E-3</v>
      </c>
      <c r="J919" s="346">
        <f t="shared" si="134"/>
        <v>1.8333333333333333E-3</v>
      </c>
      <c r="K919" s="346">
        <f>80+52</f>
        <v>132</v>
      </c>
      <c r="L919" s="543" t="s">
        <v>654</v>
      </c>
      <c r="M919" s="362"/>
      <c r="N919" s="493"/>
      <c r="O919" s="493"/>
      <c r="P919" s="493"/>
      <c r="Q919" s="493"/>
      <c r="R919" s="493"/>
      <c r="S919" s="493"/>
      <c r="T919" s="493"/>
      <c r="U919" s="493"/>
      <c r="V919" s="493"/>
      <c r="W919" s="493"/>
      <c r="X919" s="493"/>
      <c r="Y919" s="493"/>
    </row>
    <row r="920" spans="2:25">
      <c r="B920" s="271" t="s">
        <v>652</v>
      </c>
      <c r="C920" s="346" t="s">
        <v>627</v>
      </c>
      <c r="D920" s="346" t="s">
        <v>655</v>
      </c>
      <c r="E920" s="295">
        <v>96000</v>
      </c>
      <c r="F920" s="295">
        <v>96000</v>
      </c>
      <c r="G920" s="295">
        <v>108000</v>
      </c>
      <c r="H920" s="539">
        <f t="shared" si="134"/>
        <v>1.3645833333333333E-3</v>
      </c>
      <c r="I920" s="346">
        <f t="shared" si="134"/>
        <v>1.3645833333333333E-3</v>
      </c>
      <c r="J920" s="346">
        <f t="shared" si="134"/>
        <v>1.212962962962963E-3</v>
      </c>
      <c r="K920" s="346">
        <f>62+69</f>
        <v>131</v>
      </c>
      <c r="L920" s="543" t="s">
        <v>656</v>
      </c>
      <c r="M920" s="362"/>
      <c r="N920" s="493"/>
      <c r="O920" s="493"/>
      <c r="P920" s="493"/>
      <c r="Q920" s="493"/>
      <c r="R920" s="493"/>
      <c r="S920" s="493"/>
      <c r="T920" s="493"/>
      <c r="U920" s="493"/>
      <c r="V920" s="493"/>
      <c r="W920" s="493"/>
      <c r="X920" s="493"/>
      <c r="Y920" s="493"/>
    </row>
    <row r="921" spans="2:25">
      <c r="B921" s="271" t="s">
        <v>657</v>
      </c>
      <c r="C921" s="346" t="s">
        <v>627</v>
      </c>
      <c r="D921" s="346" t="s">
        <v>658</v>
      </c>
      <c r="E921" s="295">
        <v>120000</v>
      </c>
      <c r="F921" s="295">
        <v>120000</v>
      </c>
      <c r="G921" s="295">
        <v>144000</v>
      </c>
      <c r="H921" s="539">
        <f t="shared" si="134"/>
        <v>7.3000000000000001E-3</v>
      </c>
      <c r="I921" s="346">
        <f t="shared" si="134"/>
        <v>7.3000000000000001E-3</v>
      </c>
      <c r="J921" s="346">
        <f t="shared" si="134"/>
        <v>6.083333333333333E-3</v>
      </c>
      <c r="K921" s="346">
        <f>44+120+83+629</f>
        <v>876</v>
      </c>
      <c r="L921" s="543" t="s">
        <v>659</v>
      </c>
      <c r="M921" s="362"/>
      <c r="N921" s="493"/>
      <c r="O921" s="493"/>
      <c r="P921" s="493"/>
      <c r="Q921" s="493"/>
      <c r="R921" s="493"/>
      <c r="S921" s="493"/>
      <c r="T921" s="493"/>
      <c r="U921" s="493"/>
      <c r="V921" s="493"/>
      <c r="W921" s="493"/>
      <c r="X921" s="493"/>
      <c r="Y921" s="493"/>
    </row>
    <row r="922" spans="2:25">
      <c r="B922" s="271" t="s">
        <v>657</v>
      </c>
      <c r="C922" s="346" t="s">
        <v>627</v>
      </c>
      <c r="D922" s="346" t="s">
        <v>660</v>
      </c>
      <c r="E922" s="295">
        <v>60000</v>
      </c>
      <c r="F922" s="295">
        <v>60000</v>
      </c>
      <c r="G922" s="295">
        <v>96000</v>
      </c>
      <c r="H922" s="539">
        <f t="shared" si="134"/>
        <v>9.8833333333333325E-3</v>
      </c>
      <c r="I922" s="346">
        <f t="shared" si="134"/>
        <v>9.8833333333333325E-3</v>
      </c>
      <c r="J922" s="346">
        <f t="shared" si="134"/>
        <v>6.177083333333333E-3</v>
      </c>
      <c r="K922" s="346">
        <f>335+258</f>
        <v>593</v>
      </c>
      <c r="L922" s="543" t="s">
        <v>661</v>
      </c>
      <c r="M922" s="362"/>
      <c r="N922" s="493"/>
      <c r="O922" s="493"/>
      <c r="P922" s="493"/>
      <c r="Q922" s="493"/>
      <c r="R922" s="493"/>
      <c r="S922" s="493"/>
      <c r="T922" s="493"/>
      <c r="U922" s="493"/>
      <c r="V922" s="493"/>
      <c r="W922" s="493"/>
      <c r="X922" s="493"/>
      <c r="Y922" s="493"/>
    </row>
    <row r="923" spans="2:25">
      <c r="B923" s="271" t="s">
        <v>662</v>
      </c>
      <c r="C923" s="346" t="s">
        <v>627</v>
      </c>
      <c r="D923" s="346" t="s">
        <v>663</v>
      </c>
      <c r="E923" s="295">
        <v>60000</v>
      </c>
      <c r="F923" s="295">
        <v>60000</v>
      </c>
      <c r="G923" s="295">
        <v>96000</v>
      </c>
      <c r="H923" s="539">
        <f t="shared" si="134"/>
        <v>1.4499999999999999E-3</v>
      </c>
      <c r="I923" s="346">
        <f t="shared" si="134"/>
        <v>1.4499999999999999E-3</v>
      </c>
      <c r="J923" s="346">
        <f t="shared" si="134"/>
        <v>9.0625000000000005E-4</v>
      </c>
      <c r="K923" s="346">
        <f>53+34</f>
        <v>87</v>
      </c>
      <c r="L923" s="543" t="s">
        <v>664</v>
      </c>
      <c r="M923" s="362"/>
      <c r="N923" s="493"/>
      <c r="O923" s="493"/>
      <c r="P923" s="493"/>
      <c r="Q923" s="493"/>
      <c r="R923" s="493"/>
      <c r="S923" s="493"/>
      <c r="T923" s="493"/>
      <c r="U923" s="493"/>
      <c r="V923" s="493"/>
      <c r="W923" s="493"/>
      <c r="X923" s="493"/>
      <c r="Y923" s="493"/>
    </row>
    <row r="924" spans="2:25">
      <c r="B924" s="271" t="s">
        <v>662</v>
      </c>
      <c r="C924" s="346" t="s">
        <v>627</v>
      </c>
      <c r="D924" s="346" t="s">
        <v>665</v>
      </c>
      <c r="E924" s="295">
        <v>60000</v>
      </c>
      <c r="F924" s="295">
        <v>60000</v>
      </c>
      <c r="G924" s="295">
        <v>96000</v>
      </c>
      <c r="H924" s="539">
        <f t="shared" si="134"/>
        <v>2.4499999999999999E-3</v>
      </c>
      <c r="I924" s="346">
        <f t="shared" si="134"/>
        <v>2.4499999999999999E-3</v>
      </c>
      <c r="J924" s="346">
        <f t="shared" si="134"/>
        <v>1.5312500000000001E-3</v>
      </c>
      <c r="K924" s="346">
        <f>44+103</f>
        <v>147</v>
      </c>
      <c r="L924" s="543" t="s">
        <v>666</v>
      </c>
      <c r="M924" s="362"/>
      <c r="N924" s="493"/>
      <c r="O924" s="493"/>
      <c r="P924" s="493"/>
      <c r="Q924" s="493"/>
      <c r="R924" s="493"/>
      <c r="S924" s="493"/>
      <c r="T924" s="493"/>
      <c r="U924" s="493"/>
      <c r="V924" s="493"/>
      <c r="W924" s="493"/>
      <c r="X924" s="493"/>
      <c r="Y924" s="493"/>
    </row>
    <row r="925" spans="2:25">
      <c r="B925" s="544" t="s">
        <v>662</v>
      </c>
      <c r="C925" s="350" t="s">
        <v>627</v>
      </c>
      <c r="D925" s="350" t="s">
        <v>667</v>
      </c>
      <c r="E925" s="545">
        <v>120000</v>
      </c>
      <c r="F925" s="545">
        <v>120000</v>
      </c>
      <c r="G925" s="545">
        <v>144000</v>
      </c>
      <c r="H925" s="539">
        <f t="shared" si="134"/>
        <v>5.6916666666666669E-3</v>
      </c>
      <c r="I925" s="346">
        <f t="shared" si="134"/>
        <v>5.6916666666666669E-3</v>
      </c>
      <c r="J925" s="346">
        <f t="shared" si="134"/>
        <v>4.7430555555555559E-3</v>
      </c>
      <c r="K925" s="346">
        <f>219+249+215</f>
        <v>683</v>
      </c>
      <c r="L925" s="543" t="s">
        <v>668</v>
      </c>
      <c r="M925" s="362"/>
      <c r="N925" s="493"/>
      <c r="O925" s="493"/>
      <c r="P925" s="493"/>
      <c r="Q925" s="493"/>
      <c r="R925" s="493"/>
      <c r="S925" s="493"/>
      <c r="T925" s="493"/>
      <c r="U925" s="493"/>
      <c r="V925" s="493"/>
      <c r="W925" s="493"/>
      <c r="X925" s="493"/>
      <c r="Y925" s="493"/>
    </row>
    <row r="926" spans="2:25">
      <c r="B926" s="541" t="s">
        <v>271</v>
      </c>
      <c r="C926" s="343"/>
      <c r="D926" s="343"/>
      <c r="E926" s="537"/>
      <c r="F926" s="537"/>
      <c r="G926" s="537"/>
      <c r="H926" s="346">
        <f>SUM(H908:H925)</f>
        <v>0.11665347222222222</v>
      </c>
      <c r="I926" s="346">
        <f>SUM(I908:I925)</f>
        <v>0.17580416666666671</v>
      </c>
      <c r="J926" s="346">
        <f>SUM(J908:J925)</f>
        <v>8.812483465608463E-2</v>
      </c>
      <c r="K926" s="346"/>
      <c r="L926" s="272"/>
      <c r="M926" s="362"/>
      <c r="N926" s="493"/>
      <c r="O926" s="493"/>
      <c r="P926" s="493"/>
      <c r="Q926" s="493"/>
      <c r="R926" s="493"/>
      <c r="S926" s="493"/>
      <c r="T926" s="493"/>
      <c r="U926" s="493"/>
      <c r="V926" s="493"/>
      <c r="W926" s="493"/>
      <c r="X926" s="493"/>
      <c r="Y926" s="493"/>
    </row>
    <row r="927" spans="2:25" ht="16" thickBot="1">
      <c r="B927" s="273" t="s">
        <v>669</v>
      </c>
      <c r="C927" s="498"/>
      <c r="D927" s="498"/>
      <c r="E927" s="298"/>
      <c r="F927" s="298"/>
      <c r="G927" s="298"/>
      <c r="H927" s="546">
        <f>SUM(H908:H925)-H909</f>
        <v>8.7924305555555554E-2</v>
      </c>
      <c r="I927" s="546">
        <f>SUM(I908:I925)-I909</f>
        <v>0.11834583333333337</v>
      </c>
      <c r="J927" s="546">
        <f>SUM(J908:J925)-J909</f>
        <v>6.2587797619047592E-2</v>
      </c>
      <c r="K927" s="498"/>
      <c r="L927" s="274"/>
      <c r="M927" s="354"/>
      <c r="N927" s="493"/>
      <c r="O927" s="493"/>
      <c r="P927" s="493"/>
      <c r="Q927" s="493"/>
      <c r="R927" s="493"/>
      <c r="S927" s="493"/>
      <c r="T927" s="493"/>
      <c r="U927" s="493"/>
      <c r="V927" s="493"/>
      <c r="W927" s="493"/>
      <c r="X927" s="493"/>
      <c r="Y927" s="493"/>
    </row>
    <row r="928" spans="2:25">
      <c r="B928" s="132"/>
      <c r="C928" s="356"/>
      <c r="D928" s="356"/>
      <c r="E928" s="356"/>
      <c r="F928" s="356"/>
      <c r="G928" s="356"/>
      <c r="H928" s="547"/>
      <c r="I928" s="547"/>
      <c r="J928" s="547"/>
      <c r="K928" s="356"/>
      <c r="L928" s="132"/>
      <c r="M928" s="356"/>
      <c r="N928" s="493"/>
      <c r="O928" s="493"/>
      <c r="P928" s="493"/>
      <c r="Q928" s="493"/>
      <c r="R928" s="493"/>
      <c r="S928" s="493"/>
      <c r="T928" s="493"/>
      <c r="U928" s="493"/>
      <c r="V928" s="493"/>
      <c r="W928" s="493"/>
      <c r="X928" s="493"/>
      <c r="Y928" s="493"/>
    </row>
    <row r="929" spans="2:26" ht="16" thickBot="1">
      <c r="B929" s="244" t="s">
        <v>670</v>
      </c>
      <c r="I929" s="493"/>
      <c r="J929" s="493"/>
      <c r="K929" s="493"/>
      <c r="L929" s="493"/>
      <c r="M929" s="493"/>
      <c r="N929" s="493"/>
      <c r="O929" s="493"/>
      <c r="P929" s="493"/>
      <c r="Q929" s="493"/>
      <c r="R929" s="493"/>
      <c r="S929" s="493"/>
      <c r="T929" s="493"/>
      <c r="U929" s="493"/>
      <c r="V929" s="493"/>
      <c r="W929" s="493"/>
      <c r="X929" s="493"/>
      <c r="Y929" s="493"/>
    </row>
    <row r="930" spans="2:26">
      <c r="B930" s="245" t="s">
        <v>671</v>
      </c>
      <c r="C930" s="509" t="s">
        <v>672</v>
      </c>
      <c r="D930" s="509"/>
      <c r="E930" s="509"/>
      <c r="F930" s="509"/>
      <c r="G930" s="509"/>
      <c r="H930" s="509"/>
      <c r="I930" s="509"/>
      <c r="J930" s="501"/>
      <c r="M930" s="493"/>
      <c r="N930" s="493"/>
      <c r="Q930" s="493"/>
      <c r="R930" s="493"/>
      <c r="S930" s="493"/>
      <c r="T930" s="493"/>
      <c r="U930" s="493"/>
      <c r="V930" s="493"/>
      <c r="W930" s="493"/>
      <c r="X930" s="493"/>
      <c r="Y930" s="493"/>
      <c r="Z930" s="493"/>
    </row>
    <row r="931" spans="2:26">
      <c r="B931" s="136" t="s">
        <v>673</v>
      </c>
      <c r="C931" s="132"/>
      <c r="D931" s="132"/>
      <c r="E931" s="132" t="s">
        <v>674</v>
      </c>
      <c r="F931" s="132" t="s">
        <v>675</v>
      </c>
      <c r="G931" s="132" t="s">
        <v>676</v>
      </c>
      <c r="H931" s="132" t="s">
        <v>677</v>
      </c>
      <c r="I931" s="356" t="s">
        <v>678</v>
      </c>
      <c r="J931" s="362" t="s">
        <v>679</v>
      </c>
      <c r="M931" s="493"/>
      <c r="N931" s="493"/>
      <c r="R931" s="493"/>
      <c r="S931" s="493"/>
      <c r="T931" s="493"/>
      <c r="U931" s="493"/>
      <c r="V931" s="493"/>
      <c r="W931" s="493"/>
      <c r="X931" s="493"/>
      <c r="Y931" s="493"/>
      <c r="Z931" s="493"/>
    </row>
    <row r="932" spans="2:26">
      <c r="B932" s="271" t="s">
        <v>680</v>
      </c>
      <c r="C932" s="325" t="s">
        <v>681</v>
      </c>
      <c r="D932" s="325" t="s">
        <v>5</v>
      </c>
      <c r="E932" s="548"/>
      <c r="F932" s="280">
        <v>7.9226539589442817</v>
      </c>
      <c r="G932" s="549">
        <v>2728</v>
      </c>
      <c r="H932" s="548">
        <v>26448.576257714827</v>
      </c>
      <c r="I932" s="550">
        <v>23143.855135630449</v>
      </c>
      <c r="J932" s="348">
        <v>0.87505107685634231</v>
      </c>
      <c r="M932" s="493"/>
      <c r="N932" s="493"/>
      <c r="R932" s="493"/>
      <c r="S932" s="493"/>
      <c r="T932" s="493"/>
      <c r="U932" s="493"/>
      <c r="V932" s="493"/>
      <c r="W932" s="493"/>
      <c r="X932" s="493"/>
      <c r="Y932" s="493"/>
      <c r="Z932" s="493"/>
    </row>
    <row r="933" spans="2:26">
      <c r="B933" s="271" t="s">
        <v>682</v>
      </c>
      <c r="C933" s="325" t="s">
        <v>681</v>
      </c>
      <c r="D933" s="325" t="s">
        <v>4</v>
      </c>
      <c r="E933" s="548"/>
      <c r="F933" s="280">
        <v>7.4148936170212769</v>
      </c>
      <c r="G933" s="549">
        <v>94</v>
      </c>
      <c r="H933" s="548">
        <v>13255.148191489359</v>
      </c>
      <c r="I933" s="550">
        <v>4496.8236170212676</v>
      </c>
      <c r="J933" s="348">
        <v>0.33925110093514549</v>
      </c>
      <c r="M933" s="493"/>
      <c r="N933" s="493"/>
      <c r="R933" s="493"/>
      <c r="S933" s="493"/>
      <c r="T933" s="493"/>
      <c r="U933" s="493"/>
      <c r="V933" s="493"/>
      <c r="W933" s="493"/>
      <c r="X933" s="493"/>
      <c r="Y933" s="493"/>
      <c r="Z933" s="493"/>
    </row>
    <row r="934" spans="2:26">
      <c r="B934" s="271" t="s">
        <v>682</v>
      </c>
      <c r="C934" s="325" t="s">
        <v>681</v>
      </c>
      <c r="D934" s="325" t="s">
        <v>5</v>
      </c>
      <c r="E934" s="548"/>
      <c r="F934" s="280">
        <v>5.6891385767790261</v>
      </c>
      <c r="G934" s="549">
        <v>267</v>
      </c>
      <c r="H934" s="548">
        <v>25747.378295093516</v>
      </c>
      <c r="I934" s="550">
        <v>19360.714119850156</v>
      </c>
      <c r="J934" s="348">
        <v>0.75194895177112386</v>
      </c>
      <c r="M934" s="493"/>
      <c r="N934" s="493"/>
      <c r="R934" s="493"/>
      <c r="S934" s="493"/>
      <c r="T934" s="493"/>
      <c r="U934" s="493"/>
      <c r="V934" s="493"/>
      <c r="W934" s="493"/>
      <c r="X934" s="493"/>
      <c r="Y934" s="493"/>
      <c r="Z934" s="493"/>
    </row>
    <row r="935" spans="2:26">
      <c r="B935" s="136" t="s">
        <v>683</v>
      </c>
      <c r="C935" s="132" t="s">
        <v>681</v>
      </c>
      <c r="D935" s="132" t="s">
        <v>5</v>
      </c>
      <c r="E935" s="551">
        <v>2003.6761104441778</v>
      </c>
      <c r="F935" s="275">
        <v>7.0945978391356546</v>
      </c>
      <c r="G935" s="552">
        <v>4165</v>
      </c>
      <c r="H935" s="551">
        <v>8572.2897282717167</v>
      </c>
      <c r="I935" s="553">
        <v>24777.182024009569</v>
      </c>
      <c r="J935" s="362">
        <v>2.8903808444893713</v>
      </c>
      <c r="M935" s="493"/>
      <c r="N935" s="493"/>
      <c r="R935" s="493"/>
      <c r="S935" s="493"/>
      <c r="T935" s="493"/>
      <c r="U935" s="493"/>
      <c r="V935" s="493"/>
      <c r="W935" s="493"/>
      <c r="X935" s="493"/>
      <c r="Y935" s="493"/>
      <c r="Z935" s="493"/>
    </row>
    <row r="936" spans="2:26">
      <c r="B936" s="271" t="s">
        <v>683</v>
      </c>
      <c r="C936" s="325" t="s">
        <v>681</v>
      </c>
      <c r="D936" s="325" t="s">
        <v>366</v>
      </c>
      <c r="E936" s="548">
        <v>2005.1666666666667</v>
      </c>
      <c r="F936" s="280">
        <v>6.25</v>
      </c>
      <c r="G936" s="549">
        <v>36</v>
      </c>
      <c r="H936" s="548">
        <v>10045.656388888861</v>
      </c>
      <c r="I936" s="550">
        <v>27468.991666666618</v>
      </c>
      <c r="J936" s="348">
        <v>2.7344148160441839</v>
      </c>
      <c r="M936" s="493"/>
      <c r="N936" s="493"/>
      <c r="R936" s="493"/>
      <c r="S936" s="493"/>
      <c r="T936" s="493"/>
      <c r="U936" s="493"/>
      <c r="V936" s="493"/>
      <c r="W936" s="493"/>
      <c r="X936" s="493"/>
      <c r="Y936" s="493"/>
      <c r="Z936" s="493"/>
    </row>
    <row r="937" spans="2:26">
      <c r="B937" s="271" t="s">
        <v>683</v>
      </c>
      <c r="C937" s="325" t="s">
        <v>681</v>
      </c>
      <c r="D937" s="325" t="s">
        <v>4</v>
      </c>
      <c r="E937" s="548">
        <v>2004.0714285714287</v>
      </c>
      <c r="F937" s="280">
        <v>7.3214285714285712</v>
      </c>
      <c r="G937" s="549">
        <v>28</v>
      </c>
      <c r="H937" s="548">
        <v>11664.625357142828</v>
      </c>
      <c r="I937" s="550">
        <v>46811.19107142849</v>
      </c>
      <c r="J937" s="348">
        <v>4.0130899740182118</v>
      </c>
      <c r="M937" s="493"/>
      <c r="N937" s="493"/>
      <c r="R937" s="493"/>
      <c r="S937" s="493"/>
      <c r="T937" s="493"/>
      <c r="U937" s="493"/>
      <c r="V937" s="493"/>
      <c r="W937" s="493"/>
      <c r="X937" s="493"/>
      <c r="Y937" s="493"/>
      <c r="Z937" s="493"/>
    </row>
    <row r="938" spans="2:26">
      <c r="B938" s="271" t="s">
        <v>683</v>
      </c>
      <c r="C938" s="325" t="s">
        <v>681</v>
      </c>
      <c r="D938" s="325" t="s">
        <v>684</v>
      </c>
      <c r="E938" s="548">
        <v>2002.1864406779662</v>
      </c>
      <c r="F938" s="280">
        <v>8.9152542372881349</v>
      </c>
      <c r="G938" s="549">
        <v>59</v>
      </c>
      <c r="H938" s="548">
        <v>12236.509491525385</v>
      </c>
      <c r="I938" s="550">
        <v>52786.315593220308</v>
      </c>
      <c r="J938" s="348">
        <v>4.3138376699481515</v>
      </c>
      <c r="M938" s="493"/>
      <c r="N938" s="493"/>
      <c r="R938" s="493"/>
      <c r="S938" s="493"/>
      <c r="T938" s="493"/>
      <c r="U938" s="493"/>
      <c r="V938" s="493"/>
      <c r="W938" s="493"/>
      <c r="X938" s="493"/>
      <c r="Y938" s="493"/>
      <c r="Z938" s="493"/>
    </row>
    <row r="939" spans="2:26">
      <c r="B939" s="271" t="s">
        <v>683</v>
      </c>
      <c r="C939" s="325" t="s">
        <v>681</v>
      </c>
      <c r="D939" s="325" t="s">
        <v>218</v>
      </c>
      <c r="E939" s="548">
        <v>2005.7863247863247</v>
      </c>
      <c r="F939" s="280">
        <v>5.4017094017094021</v>
      </c>
      <c r="G939" s="549">
        <v>117</v>
      </c>
      <c r="H939" s="548">
        <v>13197.005641025604</v>
      </c>
      <c r="I939" s="550">
        <v>44546.284957264907</v>
      </c>
      <c r="J939" s="348">
        <v>3.3754842703699106</v>
      </c>
      <c r="M939" s="493"/>
      <c r="N939" s="493"/>
      <c r="R939" s="493"/>
      <c r="S939" s="493"/>
      <c r="T939" s="493"/>
      <c r="U939" s="493"/>
      <c r="V939" s="493"/>
      <c r="W939" s="493"/>
      <c r="X939" s="493"/>
      <c r="Y939" s="493"/>
      <c r="Z939" s="493"/>
    </row>
    <row r="940" spans="2:26">
      <c r="B940" s="271" t="s">
        <v>685</v>
      </c>
      <c r="C940" s="325" t="s">
        <v>681</v>
      </c>
      <c r="D940" s="325" t="s">
        <v>5</v>
      </c>
      <c r="E940" s="548"/>
      <c r="F940" s="280"/>
      <c r="G940" s="549">
        <v>3341</v>
      </c>
      <c r="H940" s="548">
        <v>17617.317025167129</v>
      </c>
      <c r="I940" s="550">
        <v>8220.443277461829</v>
      </c>
      <c r="J940" s="348">
        <v>0.46661153146750761</v>
      </c>
      <c r="M940" s="493"/>
      <c r="N940" s="493"/>
      <c r="R940" s="493"/>
      <c r="S940" s="493"/>
      <c r="T940" s="493"/>
      <c r="U940" s="493"/>
      <c r="V940" s="493"/>
      <c r="W940" s="493"/>
      <c r="X940" s="493"/>
      <c r="Y940" s="493"/>
      <c r="Z940" s="493"/>
    </row>
    <row r="941" spans="2:26">
      <c r="B941" s="136" t="s">
        <v>686</v>
      </c>
      <c r="C941" s="132" t="s">
        <v>681</v>
      </c>
      <c r="D941" s="132" t="s">
        <v>4</v>
      </c>
      <c r="E941" s="551"/>
      <c r="F941" s="275">
        <v>7.4580934101087655</v>
      </c>
      <c r="G941" s="552">
        <v>46890</v>
      </c>
      <c r="H941" s="551">
        <v>9251.0386785996907</v>
      </c>
      <c r="I941" s="553">
        <v>1314.5417900922196</v>
      </c>
      <c r="J941" s="362">
        <v>0.14209666998075926</v>
      </c>
      <c r="M941" s="493"/>
      <c r="N941" s="493"/>
      <c r="R941" s="493"/>
      <c r="S941" s="493"/>
      <c r="T941" s="493"/>
      <c r="U941" s="493"/>
      <c r="V941" s="493"/>
      <c r="W941" s="493"/>
      <c r="X941" s="493"/>
      <c r="Y941" s="493"/>
      <c r="Z941" s="493"/>
    </row>
    <row r="942" spans="2:26">
      <c r="B942" s="136" t="s">
        <v>687</v>
      </c>
      <c r="C942" s="132" t="s">
        <v>681</v>
      </c>
      <c r="D942" s="132" t="s">
        <v>4</v>
      </c>
      <c r="E942" s="551"/>
      <c r="F942" s="275">
        <v>5.8748669929772293</v>
      </c>
      <c r="G942" s="552">
        <v>122174</v>
      </c>
      <c r="H942" s="551">
        <v>12378.584472120641</v>
      </c>
      <c r="I942" s="553">
        <v>1976.3536806957111</v>
      </c>
      <c r="J942" s="362">
        <v>0.15965910198754182</v>
      </c>
      <c r="M942" s="493"/>
      <c r="N942" s="493"/>
      <c r="R942" s="493"/>
      <c r="S942" s="493"/>
      <c r="T942" s="493"/>
      <c r="U942" s="493"/>
      <c r="V942" s="493"/>
      <c r="W942" s="493"/>
      <c r="X942" s="493"/>
      <c r="Y942" s="493"/>
      <c r="Z942" s="493"/>
    </row>
    <row r="943" spans="2:26">
      <c r="B943" s="136" t="s">
        <v>688</v>
      </c>
      <c r="C943" s="132" t="s">
        <v>681</v>
      </c>
      <c r="D943" s="132" t="s">
        <v>4</v>
      </c>
      <c r="E943" s="551"/>
      <c r="F943" s="275">
        <v>6.2998487598306108</v>
      </c>
      <c r="G943" s="552">
        <v>33060</v>
      </c>
      <c r="H943" s="551">
        <v>12509.994723345211</v>
      </c>
      <c r="I943" s="553">
        <v>1828.9758430972827</v>
      </c>
      <c r="J943" s="362">
        <v>0.14620116822944662</v>
      </c>
      <c r="M943" s="493"/>
      <c r="N943" s="493"/>
      <c r="R943" s="493"/>
      <c r="S943" s="493"/>
      <c r="T943" s="493"/>
      <c r="U943" s="493"/>
      <c r="V943" s="493"/>
      <c r="W943" s="493"/>
      <c r="X943" s="493"/>
      <c r="Y943" s="493"/>
      <c r="Z943" s="493"/>
    </row>
    <row r="944" spans="2:26">
      <c r="B944" s="136" t="s">
        <v>689</v>
      </c>
      <c r="C944" s="132" t="s">
        <v>681</v>
      </c>
      <c r="D944" s="132" t="s">
        <v>4</v>
      </c>
      <c r="E944" s="551"/>
      <c r="F944" s="275">
        <v>7.6701552922935292</v>
      </c>
      <c r="G944" s="552">
        <v>41277</v>
      </c>
      <c r="H944" s="551">
        <v>10032.627825557591</v>
      </c>
      <c r="I944" s="553">
        <v>2110.2358837472639</v>
      </c>
      <c r="J944" s="362">
        <v>0.21033730349007357</v>
      </c>
      <c r="M944" s="493"/>
      <c r="N944" s="493"/>
      <c r="R944" s="493"/>
      <c r="S944" s="493"/>
      <c r="T944" s="493"/>
      <c r="U944" s="493"/>
      <c r="V944" s="493"/>
      <c r="W944" s="493"/>
      <c r="X944" s="493"/>
      <c r="Y944" s="493"/>
      <c r="Z944" s="493"/>
    </row>
    <row r="945" spans="2:26">
      <c r="B945" s="136" t="s">
        <v>690</v>
      </c>
      <c r="C945" s="132" t="s">
        <v>681</v>
      </c>
      <c r="D945" s="132" t="s">
        <v>4</v>
      </c>
      <c r="E945" s="551"/>
      <c r="F945" s="275">
        <v>6.3268189271104189</v>
      </c>
      <c r="G945" s="552">
        <v>60379</v>
      </c>
      <c r="H945" s="551">
        <v>13073.134341357167</v>
      </c>
      <c r="I945" s="553">
        <v>2404.1290970370424</v>
      </c>
      <c r="J945" s="362">
        <v>0.18389844655933227</v>
      </c>
      <c r="M945" s="493"/>
      <c r="N945" s="493"/>
      <c r="R945" s="493"/>
      <c r="S945" s="493"/>
      <c r="T945" s="493"/>
      <c r="U945" s="493"/>
      <c r="V945" s="493"/>
      <c r="W945" s="493"/>
      <c r="X945" s="493"/>
      <c r="Y945" s="493"/>
      <c r="Z945" s="493"/>
    </row>
    <row r="946" spans="2:26">
      <c r="B946" s="136" t="s">
        <v>690</v>
      </c>
      <c r="C946" s="132" t="s">
        <v>681</v>
      </c>
      <c r="D946" s="132" t="s">
        <v>5</v>
      </c>
      <c r="E946" s="551"/>
      <c r="F946" s="275">
        <v>6.3493407756712541</v>
      </c>
      <c r="G946" s="552">
        <v>10391</v>
      </c>
      <c r="H946" s="551">
        <v>12908.930619964178</v>
      </c>
      <c r="I946" s="553">
        <v>3723.9560254065964</v>
      </c>
      <c r="J946" s="362">
        <v>0.28847904873292518</v>
      </c>
      <c r="M946" s="493"/>
      <c r="N946" s="493"/>
      <c r="R946" s="493"/>
      <c r="S946" s="493"/>
      <c r="T946" s="493"/>
      <c r="U946" s="493"/>
      <c r="V946" s="493"/>
      <c r="W946" s="493"/>
      <c r="X946" s="493"/>
      <c r="Y946" s="493"/>
      <c r="Z946" s="493"/>
    </row>
    <row r="947" spans="2:26">
      <c r="B947" s="136" t="s">
        <v>691</v>
      </c>
      <c r="C947" s="132" t="s">
        <v>681</v>
      </c>
      <c r="D947" s="132" t="s">
        <v>4</v>
      </c>
      <c r="E947" s="551"/>
      <c r="F947" s="275">
        <v>8.3041747104247108</v>
      </c>
      <c r="G947" s="552">
        <v>82880</v>
      </c>
      <c r="H947" s="551">
        <v>11267.081872849069</v>
      </c>
      <c r="I947" s="553">
        <v>2602.5262470670336</v>
      </c>
      <c r="J947" s="362">
        <v>0.23098494148147533</v>
      </c>
      <c r="M947" s="493"/>
      <c r="N947" s="493"/>
      <c r="R947" s="493"/>
      <c r="S947" s="493"/>
      <c r="T947" s="493"/>
      <c r="U947" s="493"/>
      <c r="V947" s="493"/>
      <c r="W947" s="493"/>
      <c r="X947" s="493"/>
      <c r="Y947" s="493"/>
      <c r="Z947" s="493"/>
    </row>
    <row r="948" spans="2:26">
      <c r="B948" s="136" t="s">
        <v>691</v>
      </c>
      <c r="C948" s="132" t="s">
        <v>681</v>
      </c>
      <c r="D948" s="132" t="s">
        <v>5</v>
      </c>
      <c r="E948" s="551"/>
      <c r="F948" s="275">
        <v>7.5307431158053566</v>
      </c>
      <c r="G948" s="552">
        <v>2651</v>
      </c>
      <c r="H948" s="551">
        <v>11532.182214866501</v>
      </c>
      <c r="I948" s="553">
        <v>3591.0705884571821</v>
      </c>
      <c r="J948" s="362">
        <v>0.31139558164696873</v>
      </c>
      <c r="M948" s="493"/>
      <c r="N948" s="493"/>
      <c r="R948" s="493"/>
      <c r="S948" s="493"/>
      <c r="T948" s="493"/>
      <c r="U948" s="493"/>
      <c r="V948" s="493"/>
      <c r="W948" s="493"/>
      <c r="X948" s="493"/>
      <c r="Y948" s="493"/>
      <c r="Z948" s="493"/>
    </row>
    <row r="949" spans="2:26">
      <c r="B949" s="271" t="s">
        <v>692</v>
      </c>
      <c r="C949" s="325" t="s">
        <v>681</v>
      </c>
      <c r="D949" s="325" t="s">
        <v>4</v>
      </c>
      <c r="E949" s="548"/>
      <c r="F949" s="280">
        <v>7.569230769230769</v>
      </c>
      <c r="G949" s="549">
        <v>585</v>
      </c>
      <c r="H949" s="548">
        <v>9198.1143519492198</v>
      </c>
      <c r="I949" s="550">
        <v>2763.1333948717929</v>
      </c>
      <c r="J949" s="348">
        <v>0.30040215734937487</v>
      </c>
      <c r="M949" s="493"/>
      <c r="N949" s="493"/>
      <c r="R949" s="493"/>
      <c r="S949" s="493"/>
      <c r="T949" s="493"/>
      <c r="U949" s="493"/>
      <c r="V949" s="493"/>
      <c r="W949" s="493"/>
      <c r="X949" s="493"/>
      <c r="Y949" s="493"/>
      <c r="Z949" s="493"/>
    </row>
    <row r="950" spans="2:26">
      <c r="B950" s="271" t="s">
        <v>692</v>
      </c>
      <c r="C950" s="325" t="s">
        <v>681</v>
      </c>
      <c r="D950" s="325" t="s">
        <v>5</v>
      </c>
      <c r="E950" s="548"/>
      <c r="F950" s="280">
        <v>7.8536585365853657</v>
      </c>
      <c r="G950" s="549">
        <v>615</v>
      </c>
      <c r="H950" s="548">
        <v>8041.463389313787</v>
      </c>
      <c r="I950" s="550">
        <v>4947.9681788617809</v>
      </c>
      <c r="J950" s="348">
        <v>0.61530693349136945</v>
      </c>
      <c r="M950" s="493"/>
      <c r="N950" s="493"/>
      <c r="R950" s="493"/>
      <c r="S950" s="493"/>
      <c r="T950" s="493"/>
      <c r="U950" s="493"/>
      <c r="V950" s="493"/>
      <c r="W950" s="493"/>
      <c r="X950" s="493"/>
      <c r="Y950" s="493"/>
      <c r="Z950" s="493"/>
    </row>
    <row r="951" spans="2:26">
      <c r="B951" s="271" t="s">
        <v>693</v>
      </c>
      <c r="C951" s="325" t="s">
        <v>681</v>
      </c>
      <c r="D951" s="325" t="s">
        <v>4</v>
      </c>
      <c r="E951" s="548"/>
      <c r="F951" s="280">
        <v>8.2390793799906064</v>
      </c>
      <c r="G951" s="549">
        <v>2129</v>
      </c>
      <c r="H951" s="548">
        <v>7722.2863291127651</v>
      </c>
      <c r="I951" s="550">
        <v>4240.9639830906453</v>
      </c>
      <c r="J951" s="348">
        <v>0.54918502142329928</v>
      </c>
      <c r="M951" s="493"/>
      <c r="N951" s="493"/>
      <c r="R951" s="493"/>
      <c r="S951" s="493"/>
      <c r="T951" s="493"/>
      <c r="U951" s="493"/>
      <c r="V951" s="493"/>
      <c r="W951" s="493"/>
      <c r="X951" s="493"/>
      <c r="Y951" s="493"/>
      <c r="Z951" s="493"/>
    </row>
    <row r="952" spans="2:26">
      <c r="B952" s="271" t="s">
        <v>693</v>
      </c>
      <c r="C952" s="325" t="s">
        <v>681</v>
      </c>
      <c r="D952" s="325" t="s">
        <v>5</v>
      </c>
      <c r="E952" s="548"/>
      <c r="F952" s="280">
        <v>6.9871773241100055</v>
      </c>
      <c r="G952" s="549">
        <v>5927</v>
      </c>
      <c r="H952" s="548">
        <v>6631.9055555258556</v>
      </c>
      <c r="I952" s="550">
        <v>5810.1978910072485</v>
      </c>
      <c r="J952" s="348">
        <v>0.87609780361936229</v>
      </c>
      <c r="M952" s="493"/>
      <c r="N952" s="493"/>
      <c r="R952" s="493"/>
      <c r="S952" s="493"/>
      <c r="T952" s="493"/>
      <c r="U952" s="493"/>
      <c r="V952" s="493"/>
      <c r="W952" s="493"/>
      <c r="X952" s="493"/>
      <c r="Y952" s="493"/>
      <c r="Z952" s="493"/>
    </row>
    <row r="953" spans="2:26" ht="16" thickBot="1">
      <c r="B953" s="273" t="s">
        <v>688</v>
      </c>
      <c r="C953" s="327" t="s">
        <v>681</v>
      </c>
      <c r="D953" s="327" t="s">
        <v>694</v>
      </c>
      <c r="E953" s="554"/>
      <c r="F953" s="287"/>
      <c r="G953" s="555">
        <v>677</v>
      </c>
      <c r="H953" s="554">
        <v>5678.9327917282135</v>
      </c>
      <c r="I953" s="556">
        <v>1836.8036189069408</v>
      </c>
      <c r="J953" s="526">
        <v>0.32344168988623734</v>
      </c>
      <c r="M953" s="557"/>
      <c r="N953" s="557"/>
      <c r="R953" s="493"/>
      <c r="S953" s="493"/>
      <c r="T953" s="493"/>
      <c r="U953" s="493"/>
      <c r="V953" s="493"/>
      <c r="W953" s="493"/>
      <c r="X953" s="493"/>
      <c r="Y953" s="493"/>
      <c r="Z953" s="493"/>
    </row>
    <row r="954" spans="2:26">
      <c r="D954" s="493"/>
      <c r="E954" s="493"/>
      <c r="F954" s="557"/>
      <c r="G954" s="557"/>
      <c r="H954" s="557"/>
      <c r="I954" s="557"/>
      <c r="J954" s="557"/>
      <c r="K954" s="557"/>
      <c r="L954" s="557"/>
      <c r="M954" s="557"/>
      <c r="N954" s="557"/>
      <c r="O954" s="493"/>
      <c r="P954" s="493"/>
      <c r="Q954" s="493"/>
      <c r="R954" s="493"/>
      <c r="S954" s="493"/>
      <c r="T954" s="493"/>
      <c r="U954" s="493"/>
      <c r="V954" s="493"/>
      <c r="W954" s="493"/>
      <c r="X954" s="493"/>
      <c r="Y954" s="493"/>
    </row>
    <row r="955" spans="2:26" ht="16" thickBot="1">
      <c r="B955" s="244" t="s">
        <v>695</v>
      </c>
      <c r="D955" s="493"/>
      <c r="E955" s="493"/>
      <c r="F955" s="493"/>
      <c r="G955" s="493"/>
      <c r="H955" s="493"/>
      <c r="I955" s="493"/>
      <c r="J955" s="493"/>
      <c r="K955" s="493"/>
      <c r="L955" s="493"/>
      <c r="M955" s="493"/>
      <c r="N955" s="493"/>
      <c r="O955" s="493"/>
      <c r="P955" s="493"/>
      <c r="Q955" s="493"/>
      <c r="R955" s="493"/>
      <c r="S955" s="493"/>
      <c r="T955" s="493"/>
      <c r="U955" s="493"/>
      <c r="V955" s="493"/>
      <c r="W955" s="493"/>
      <c r="X955" s="493"/>
      <c r="Y955" s="493"/>
    </row>
    <row r="956" spans="2:26">
      <c r="B956" s="245" t="s">
        <v>554</v>
      </c>
      <c r="C956" s="509" t="s">
        <v>696</v>
      </c>
      <c r="D956" s="509" t="s">
        <v>697</v>
      </c>
      <c r="E956" s="509" t="s">
        <v>574</v>
      </c>
      <c r="F956" s="558" t="s">
        <v>698</v>
      </c>
      <c r="G956" s="448" t="s">
        <v>699</v>
      </c>
      <c r="H956" s="559" t="s">
        <v>579</v>
      </c>
      <c r="I956" s="558" t="s">
        <v>573</v>
      </c>
      <c r="J956" s="510"/>
      <c r="K956" s="510"/>
      <c r="L956" s="510"/>
      <c r="M956" s="510"/>
      <c r="N956" s="510"/>
      <c r="O956" s="510"/>
      <c r="P956" s="510"/>
      <c r="Q956" s="510"/>
      <c r="R956" s="511"/>
      <c r="S956" s="493"/>
      <c r="T956" s="493"/>
      <c r="U956" s="493"/>
      <c r="V956" s="493"/>
      <c r="W956" s="493"/>
      <c r="X956" s="493"/>
      <c r="Y956" s="493"/>
    </row>
    <row r="957" spans="2:26">
      <c r="B957" s="341" t="s">
        <v>700</v>
      </c>
      <c r="C957" s="560" t="s">
        <v>701</v>
      </c>
      <c r="D957" s="342" t="s">
        <v>702</v>
      </c>
      <c r="E957" s="360" t="s">
        <v>580</v>
      </c>
      <c r="F957" s="561">
        <v>500</v>
      </c>
      <c r="G957" s="561">
        <v>15000</v>
      </c>
      <c r="H957" s="562">
        <f>200-H958</f>
        <v>180</v>
      </c>
      <c r="I957" s="563">
        <f>$H957/G957</f>
        <v>1.2E-2</v>
      </c>
      <c r="J957" s="356"/>
      <c r="K957" s="356"/>
      <c r="L957" s="356"/>
      <c r="M957" s="356"/>
      <c r="N957" s="356"/>
      <c r="O957" s="356"/>
      <c r="P957" s="356"/>
      <c r="Q957" s="356"/>
      <c r="R957" s="362"/>
      <c r="S957" s="493"/>
      <c r="T957" s="493"/>
      <c r="U957" s="493"/>
      <c r="V957" s="493"/>
      <c r="W957" s="493"/>
      <c r="X957" s="493"/>
      <c r="Y957" s="493"/>
    </row>
    <row r="958" spans="2:26">
      <c r="B958" s="136" t="s">
        <v>700</v>
      </c>
      <c r="C958" s="132" t="s">
        <v>701</v>
      </c>
      <c r="D958" s="132" t="s">
        <v>702</v>
      </c>
      <c r="E958" s="356" t="s">
        <v>582</v>
      </c>
      <c r="F958" s="564">
        <v>500</v>
      </c>
      <c r="G958" s="564">
        <v>15000</v>
      </c>
      <c r="H958" s="565">
        <v>20</v>
      </c>
      <c r="I958" s="566">
        <f>$H958/G958</f>
        <v>1.3333333333333333E-3</v>
      </c>
      <c r="J958" s="356"/>
      <c r="K958" s="356"/>
      <c r="L958" s="356"/>
      <c r="M958" s="356"/>
      <c r="N958" s="356"/>
      <c r="O958" s="356"/>
      <c r="P958" s="356"/>
      <c r="Q958" s="356"/>
      <c r="R958" s="362"/>
      <c r="S958" s="493"/>
      <c r="T958" s="493"/>
      <c r="U958" s="493"/>
      <c r="V958" s="493"/>
      <c r="W958" s="493"/>
      <c r="X958" s="493"/>
      <c r="Y958" s="493"/>
    </row>
    <row r="959" spans="2:26">
      <c r="B959" s="136" t="s">
        <v>700</v>
      </c>
      <c r="C959" s="525" t="s">
        <v>703</v>
      </c>
      <c r="D959" s="132" t="s">
        <v>702</v>
      </c>
      <c r="E959" s="356" t="s">
        <v>704</v>
      </c>
      <c r="F959" s="564">
        <v>500</v>
      </c>
      <c r="G959" s="564">
        <v>15000</v>
      </c>
      <c r="H959" s="565"/>
      <c r="I959" s="566"/>
      <c r="J959" s="356"/>
      <c r="K959" s="356"/>
      <c r="L959" s="356"/>
      <c r="M959" s="356"/>
      <c r="N959" s="356"/>
      <c r="O959" s="356"/>
      <c r="P959" s="356"/>
      <c r="Q959" s="356"/>
      <c r="R959" s="362"/>
      <c r="S959" s="493"/>
      <c r="T959" s="493"/>
      <c r="U959" s="493"/>
      <c r="V959" s="493"/>
      <c r="W959" s="493"/>
      <c r="X959" s="493"/>
      <c r="Y959" s="493"/>
    </row>
    <row r="960" spans="2:26">
      <c r="B960" s="136" t="s">
        <v>700</v>
      </c>
      <c r="C960" s="132"/>
      <c r="D960" s="132" t="s">
        <v>702</v>
      </c>
      <c r="E960" s="356" t="s">
        <v>592</v>
      </c>
      <c r="F960" s="564"/>
      <c r="G960" s="564"/>
      <c r="H960" s="565"/>
      <c r="I960" s="566"/>
      <c r="J960" s="356"/>
      <c r="K960" s="356"/>
      <c r="L960" s="356"/>
      <c r="M960" s="356"/>
      <c r="N960" s="356"/>
      <c r="O960" s="356"/>
      <c r="P960" s="356"/>
      <c r="Q960" s="356"/>
      <c r="R960" s="362"/>
      <c r="S960" s="493"/>
      <c r="T960" s="493"/>
      <c r="U960" s="493"/>
      <c r="V960" s="493"/>
      <c r="W960" s="493"/>
      <c r="X960" s="493"/>
      <c r="Y960" s="493"/>
    </row>
    <row r="961" spans="2:25">
      <c r="B961" s="337" t="s">
        <v>700</v>
      </c>
      <c r="C961" s="338" t="s">
        <v>703</v>
      </c>
      <c r="D961" s="338" t="s">
        <v>702</v>
      </c>
      <c r="E961" s="364" t="s">
        <v>705</v>
      </c>
      <c r="F961" s="567">
        <v>2000</v>
      </c>
      <c r="G961" s="567">
        <v>60000</v>
      </c>
      <c r="H961" s="528"/>
      <c r="I961" s="568"/>
      <c r="J961" s="356"/>
      <c r="K961" s="356"/>
      <c r="L961" s="356"/>
      <c r="M961" s="356"/>
      <c r="N961" s="356"/>
      <c r="O961" s="356"/>
      <c r="P961" s="356"/>
      <c r="Q961" s="356"/>
      <c r="R961" s="362"/>
      <c r="S961" s="493"/>
      <c r="T961" s="493"/>
      <c r="U961" s="493"/>
      <c r="V961" s="493"/>
      <c r="W961" s="493"/>
      <c r="X961" s="493"/>
      <c r="Y961" s="493"/>
    </row>
    <row r="962" spans="2:25">
      <c r="B962" s="136" t="s">
        <v>706</v>
      </c>
      <c r="C962" s="132" t="s">
        <v>707</v>
      </c>
      <c r="D962" s="132" t="s">
        <v>708</v>
      </c>
      <c r="E962" s="356" t="s">
        <v>580</v>
      </c>
      <c r="F962" s="564"/>
      <c r="G962" s="564">
        <v>35000</v>
      </c>
      <c r="H962" s="565">
        <f>200-H963</f>
        <v>180</v>
      </c>
      <c r="I962" s="566">
        <f>$H962/G962</f>
        <v>5.1428571428571426E-3</v>
      </c>
      <c r="J962" s="356"/>
      <c r="K962" s="356"/>
      <c r="L962" s="356"/>
      <c r="M962" s="356"/>
      <c r="N962" s="356"/>
      <c r="O962" s="356"/>
      <c r="P962" s="356"/>
      <c r="Q962" s="356"/>
      <c r="R962" s="362"/>
      <c r="S962" s="493"/>
      <c r="T962" s="493"/>
      <c r="U962" s="493"/>
      <c r="V962" s="493"/>
      <c r="W962" s="493"/>
      <c r="X962" s="493"/>
      <c r="Y962" s="493"/>
    </row>
    <row r="963" spans="2:25">
      <c r="B963" s="136" t="s">
        <v>706</v>
      </c>
      <c r="C963" s="132" t="s">
        <v>709</v>
      </c>
      <c r="D963" s="132" t="s">
        <v>708</v>
      </c>
      <c r="E963" s="356" t="s">
        <v>582</v>
      </c>
      <c r="F963" s="564"/>
      <c r="G963" s="564">
        <v>35000</v>
      </c>
      <c r="H963" s="565">
        <v>20</v>
      </c>
      <c r="I963" s="566">
        <f>$H963/G963</f>
        <v>5.7142857142857147E-4</v>
      </c>
      <c r="J963" s="356"/>
      <c r="K963" s="356"/>
      <c r="L963" s="356"/>
      <c r="M963" s="356"/>
      <c r="N963" s="356"/>
      <c r="O963" s="356"/>
      <c r="P963" s="356"/>
      <c r="Q963" s="356"/>
      <c r="R963" s="362"/>
      <c r="S963" s="493"/>
      <c r="T963" s="493"/>
      <c r="U963" s="493"/>
      <c r="V963" s="493"/>
      <c r="W963" s="493"/>
      <c r="X963" s="493"/>
      <c r="Y963" s="493"/>
    </row>
    <row r="964" spans="2:25">
      <c r="B964" s="136" t="s">
        <v>706</v>
      </c>
      <c r="C964" s="132" t="s">
        <v>710</v>
      </c>
      <c r="D964" s="132" t="s">
        <v>708</v>
      </c>
      <c r="E964" s="356" t="s">
        <v>704</v>
      </c>
      <c r="F964" s="564"/>
      <c r="G964" s="564">
        <v>50000</v>
      </c>
      <c r="H964" s="565"/>
      <c r="I964" s="566"/>
      <c r="J964" s="356"/>
      <c r="K964" s="356"/>
      <c r="L964" s="356"/>
      <c r="M964" s="356"/>
      <c r="N964" s="356"/>
      <c r="O964" s="356"/>
      <c r="P964" s="356"/>
      <c r="Q964" s="356"/>
      <c r="R964" s="362"/>
      <c r="S964" s="493"/>
      <c r="T964" s="493"/>
      <c r="U964" s="493"/>
      <c r="V964" s="493"/>
      <c r="W964" s="493"/>
      <c r="X964" s="493"/>
      <c r="Y964" s="493"/>
    </row>
    <row r="965" spans="2:25">
      <c r="B965" s="136" t="s">
        <v>706</v>
      </c>
      <c r="C965" s="132"/>
      <c r="D965" s="132" t="s">
        <v>708</v>
      </c>
      <c r="E965" s="356" t="s">
        <v>592</v>
      </c>
      <c r="F965" s="564"/>
      <c r="G965" s="564"/>
      <c r="H965" s="565"/>
      <c r="I965" s="566"/>
      <c r="J965" s="356"/>
      <c r="K965" s="356"/>
      <c r="L965" s="356"/>
      <c r="M965" s="356"/>
      <c r="N965" s="356"/>
      <c r="O965" s="356"/>
      <c r="P965" s="356"/>
      <c r="Q965" s="356"/>
      <c r="R965" s="362"/>
      <c r="S965" s="493"/>
      <c r="T965" s="493"/>
      <c r="U965" s="493"/>
      <c r="V965" s="493"/>
      <c r="W965" s="493"/>
      <c r="X965" s="493"/>
      <c r="Y965" s="493"/>
    </row>
    <row r="966" spans="2:25">
      <c r="B966" s="337" t="s">
        <v>706</v>
      </c>
      <c r="C966" s="338"/>
      <c r="D966" s="338" t="s">
        <v>708</v>
      </c>
      <c r="E966" s="364" t="s">
        <v>705</v>
      </c>
      <c r="F966" s="567"/>
      <c r="G966" s="567"/>
      <c r="H966" s="528"/>
      <c r="I966" s="568"/>
      <c r="J966" s="356"/>
      <c r="K966" s="356"/>
      <c r="L966" s="356"/>
      <c r="M966" s="356"/>
      <c r="N966" s="356"/>
      <c r="O966" s="356"/>
      <c r="P966" s="356"/>
      <c r="Q966" s="356"/>
      <c r="R966" s="362"/>
      <c r="S966" s="493"/>
      <c r="T966" s="493"/>
      <c r="U966" s="493"/>
      <c r="V966" s="493"/>
      <c r="W966" s="493"/>
      <c r="X966" s="493"/>
      <c r="Y966" s="493"/>
    </row>
    <row r="967" spans="2:25">
      <c r="B967" s="136" t="s">
        <v>706</v>
      </c>
      <c r="C967" s="132" t="s">
        <v>707</v>
      </c>
      <c r="D967" s="132" t="s">
        <v>702</v>
      </c>
      <c r="E967" s="356" t="s">
        <v>580</v>
      </c>
      <c r="F967" s="564"/>
      <c r="G967" s="564">
        <v>25000</v>
      </c>
      <c r="H967" s="565">
        <f>200-H968</f>
        <v>180</v>
      </c>
      <c r="I967" s="566">
        <f>$H967/G967</f>
        <v>7.1999999999999998E-3</v>
      </c>
      <c r="J967" s="356"/>
      <c r="K967" s="356"/>
      <c r="L967" s="356"/>
      <c r="M967" s="356"/>
      <c r="N967" s="356"/>
      <c r="O967" s="356"/>
      <c r="P967" s="356"/>
      <c r="Q967" s="356"/>
      <c r="R967" s="362"/>
      <c r="S967" s="493"/>
      <c r="T967" s="493"/>
      <c r="U967" s="493"/>
      <c r="V967" s="493"/>
      <c r="W967" s="493"/>
      <c r="X967" s="493"/>
      <c r="Y967" s="493"/>
    </row>
    <row r="968" spans="2:25">
      <c r="B968" s="136" t="s">
        <v>706</v>
      </c>
      <c r="C968" s="132" t="s">
        <v>709</v>
      </c>
      <c r="D968" s="132" t="s">
        <v>702</v>
      </c>
      <c r="E968" s="356" t="s">
        <v>582</v>
      </c>
      <c r="F968" s="564"/>
      <c r="G968" s="564">
        <v>25000</v>
      </c>
      <c r="H968" s="565">
        <v>20</v>
      </c>
      <c r="I968" s="566">
        <f>$H968/G968</f>
        <v>8.0000000000000004E-4</v>
      </c>
      <c r="J968" s="356"/>
      <c r="K968" s="356"/>
      <c r="L968" s="356"/>
      <c r="M968" s="356"/>
      <c r="N968" s="356"/>
      <c r="O968" s="356"/>
      <c r="P968" s="356"/>
      <c r="Q968" s="356"/>
      <c r="R968" s="362"/>
      <c r="S968" s="493"/>
      <c r="T968" s="493"/>
      <c r="U968" s="493"/>
      <c r="V968" s="493"/>
      <c r="W968" s="493"/>
      <c r="X968" s="493"/>
      <c r="Y968" s="493"/>
    </row>
    <row r="969" spans="2:25">
      <c r="B969" s="136" t="s">
        <v>706</v>
      </c>
      <c r="C969" s="132" t="s">
        <v>710</v>
      </c>
      <c r="D969" s="132" t="s">
        <v>702</v>
      </c>
      <c r="E969" s="356" t="s">
        <v>704</v>
      </c>
      <c r="F969" s="564"/>
      <c r="G969" s="564">
        <v>50000</v>
      </c>
      <c r="H969" s="565"/>
      <c r="I969" s="566"/>
      <c r="J969" s="356"/>
      <c r="K969" s="356"/>
      <c r="L969" s="356"/>
      <c r="M969" s="356"/>
      <c r="N969" s="356"/>
      <c r="O969" s="356"/>
      <c r="P969" s="356"/>
      <c r="Q969" s="356"/>
      <c r="R969" s="362"/>
      <c r="S969" s="493"/>
      <c r="T969" s="493"/>
      <c r="U969" s="493"/>
      <c r="V969" s="493"/>
      <c r="W969" s="493"/>
      <c r="X969" s="493"/>
      <c r="Y969" s="493"/>
    </row>
    <row r="970" spans="2:25">
      <c r="B970" s="136" t="s">
        <v>706</v>
      </c>
      <c r="C970" s="132"/>
      <c r="D970" s="132" t="s">
        <v>702</v>
      </c>
      <c r="E970" s="356" t="s">
        <v>592</v>
      </c>
      <c r="F970" s="564"/>
      <c r="G970" s="564"/>
      <c r="H970" s="565"/>
      <c r="I970" s="566"/>
      <c r="J970" s="356"/>
      <c r="K970" s="356"/>
      <c r="L970" s="356"/>
      <c r="M970" s="356"/>
      <c r="N970" s="356"/>
      <c r="O970" s="356"/>
      <c r="P970" s="356"/>
      <c r="Q970" s="356"/>
      <c r="R970" s="362"/>
      <c r="S970" s="493"/>
      <c r="T970" s="493"/>
      <c r="U970" s="493"/>
      <c r="V970" s="493"/>
      <c r="W970" s="493"/>
      <c r="X970" s="493"/>
      <c r="Y970" s="493"/>
    </row>
    <row r="971" spans="2:25">
      <c r="B971" s="337" t="s">
        <v>706</v>
      </c>
      <c r="C971" s="338"/>
      <c r="D971" s="338" t="s">
        <v>702</v>
      </c>
      <c r="E971" s="364" t="s">
        <v>705</v>
      </c>
      <c r="F971" s="567"/>
      <c r="G971" s="567"/>
      <c r="H971" s="528"/>
      <c r="I971" s="568"/>
      <c r="J971" s="356"/>
      <c r="K971" s="356"/>
      <c r="L971" s="356"/>
      <c r="M971" s="356"/>
      <c r="N971" s="356"/>
      <c r="O971" s="356"/>
      <c r="P971" s="356"/>
      <c r="Q971" s="356"/>
      <c r="R971" s="362"/>
      <c r="S971" s="493"/>
      <c r="T971" s="493"/>
      <c r="U971" s="493"/>
      <c r="V971" s="493"/>
      <c r="W971" s="493"/>
      <c r="X971" s="493"/>
      <c r="Y971" s="493"/>
    </row>
    <row r="972" spans="2:25">
      <c r="B972" s="136" t="s">
        <v>706</v>
      </c>
      <c r="C972" s="132" t="s">
        <v>707</v>
      </c>
      <c r="D972" s="132" t="s">
        <v>711</v>
      </c>
      <c r="E972" s="356" t="s">
        <v>580</v>
      </c>
      <c r="F972" s="564"/>
      <c r="G972" s="564">
        <v>15000</v>
      </c>
      <c r="H972" s="565">
        <f>200-H973</f>
        <v>180</v>
      </c>
      <c r="I972" s="566">
        <f>$H972/G972</f>
        <v>1.2E-2</v>
      </c>
      <c r="J972" s="356"/>
      <c r="K972" s="356"/>
      <c r="L972" s="356"/>
      <c r="M972" s="356"/>
      <c r="N972" s="356"/>
      <c r="O972" s="356"/>
      <c r="P972" s="356"/>
      <c r="Q972" s="356"/>
      <c r="R972" s="362"/>
      <c r="S972" s="493"/>
      <c r="T972" s="493"/>
      <c r="U972" s="493"/>
      <c r="V972" s="493"/>
      <c r="W972" s="493"/>
      <c r="X972" s="493"/>
      <c r="Y972" s="493"/>
    </row>
    <row r="973" spans="2:25">
      <c r="B973" s="136" t="s">
        <v>706</v>
      </c>
      <c r="C973" s="132" t="s">
        <v>707</v>
      </c>
      <c r="D973" s="132" t="s">
        <v>711</v>
      </c>
      <c r="E973" s="356" t="s">
        <v>582</v>
      </c>
      <c r="F973" s="564"/>
      <c r="G973" s="564">
        <v>15000</v>
      </c>
      <c r="H973" s="565">
        <v>20</v>
      </c>
      <c r="I973" s="566">
        <f>$H973/G973</f>
        <v>1.3333333333333333E-3</v>
      </c>
      <c r="J973" s="356"/>
      <c r="K973" s="356"/>
      <c r="L973" s="356"/>
      <c r="M973" s="356"/>
      <c r="N973" s="356"/>
      <c r="O973" s="356"/>
      <c r="P973" s="356"/>
      <c r="Q973" s="356"/>
      <c r="R973" s="362"/>
      <c r="S973" s="493"/>
      <c r="T973" s="493"/>
      <c r="U973" s="493"/>
      <c r="V973" s="493"/>
      <c r="W973" s="493"/>
      <c r="X973" s="493"/>
      <c r="Y973" s="493"/>
    </row>
    <row r="974" spans="2:25">
      <c r="B974" s="136" t="s">
        <v>706</v>
      </c>
      <c r="C974" s="132" t="s">
        <v>710</v>
      </c>
      <c r="D974" s="132" t="s">
        <v>711</v>
      </c>
      <c r="E974" s="356" t="s">
        <v>704</v>
      </c>
      <c r="F974" s="564"/>
      <c r="G974" s="564">
        <v>50000</v>
      </c>
      <c r="H974" s="565"/>
      <c r="I974" s="566"/>
      <c r="J974" s="356"/>
      <c r="K974" s="356"/>
      <c r="L974" s="356"/>
      <c r="M974" s="356"/>
      <c r="N974" s="356"/>
      <c r="O974" s="356"/>
      <c r="P974" s="356"/>
      <c r="Q974" s="356"/>
      <c r="R974" s="362"/>
      <c r="S974" s="493"/>
      <c r="T974" s="493"/>
      <c r="U974" s="493"/>
      <c r="V974" s="493"/>
      <c r="W974" s="493"/>
      <c r="X974" s="493"/>
      <c r="Y974" s="493"/>
    </row>
    <row r="975" spans="2:25">
      <c r="B975" s="136" t="s">
        <v>706</v>
      </c>
      <c r="C975" s="132"/>
      <c r="D975" s="132" t="s">
        <v>711</v>
      </c>
      <c r="E975" s="356" t="s">
        <v>592</v>
      </c>
      <c r="F975" s="564"/>
      <c r="G975" s="564"/>
      <c r="H975" s="565"/>
      <c r="I975" s="566"/>
      <c r="J975" s="356"/>
      <c r="K975" s="356"/>
      <c r="L975" s="356"/>
      <c r="M975" s="356"/>
      <c r="N975" s="356"/>
      <c r="O975" s="356"/>
      <c r="P975" s="356"/>
      <c r="Q975" s="356"/>
      <c r="R975" s="362"/>
      <c r="S975" s="493"/>
      <c r="T975" s="493"/>
      <c r="U975" s="493"/>
      <c r="V975" s="493"/>
      <c r="W975" s="493"/>
      <c r="X975" s="493"/>
      <c r="Y975" s="493"/>
    </row>
    <row r="976" spans="2:25">
      <c r="B976" s="337" t="s">
        <v>706</v>
      </c>
      <c r="C976" s="338"/>
      <c r="D976" s="338" t="s">
        <v>711</v>
      </c>
      <c r="E976" s="364" t="s">
        <v>705</v>
      </c>
      <c r="F976" s="567"/>
      <c r="G976" s="567"/>
      <c r="H976" s="528"/>
      <c r="I976" s="568"/>
      <c r="J976" s="356"/>
      <c r="K976" s="356"/>
      <c r="L976" s="356"/>
      <c r="M976" s="356"/>
      <c r="N976" s="356"/>
      <c r="O976" s="356"/>
      <c r="P976" s="356"/>
      <c r="Q976" s="356"/>
      <c r="R976" s="362"/>
      <c r="S976" s="493"/>
      <c r="T976" s="493"/>
      <c r="U976" s="493"/>
      <c r="V976" s="493"/>
      <c r="W976" s="493"/>
      <c r="X976" s="493"/>
      <c r="Y976" s="493"/>
    </row>
    <row r="977" spans="2:25">
      <c r="B977" s="136" t="s">
        <v>712</v>
      </c>
      <c r="C977" s="525" t="s">
        <v>713</v>
      </c>
      <c r="D977" s="132" t="s">
        <v>702</v>
      </c>
      <c r="E977" s="356" t="s">
        <v>580</v>
      </c>
      <c r="F977" s="564">
        <v>500</v>
      </c>
      <c r="G977" s="564">
        <v>15000</v>
      </c>
      <c r="H977" s="565">
        <f>200-H978</f>
        <v>180</v>
      </c>
      <c r="I977" s="566">
        <f>$H977/G977</f>
        <v>1.2E-2</v>
      </c>
      <c r="J977" s="356"/>
      <c r="K977" s="356"/>
      <c r="L977" s="356"/>
      <c r="M977" s="356"/>
      <c r="N977" s="356"/>
      <c r="O977" s="356"/>
      <c r="P977" s="356"/>
      <c r="Q977" s="356"/>
      <c r="R977" s="362"/>
      <c r="S977" s="493"/>
      <c r="T977" s="493"/>
      <c r="U977" s="493"/>
      <c r="V977" s="493"/>
      <c r="W977" s="493"/>
      <c r="X977" s="493"/>
      <c r="Y977" s="493"/>
    </row>
    <row r="978" spans="2:25">
      <c r="B978" s="136" t="s">
        <v>712</v>
      </c>
      <c r="C978" s="132" t="s">
        <v>713</v>
      </c>
      <c r="D978" s="132" t="s">
        <v>702</v>
      </c>
      <c r="E978" s="356" t="s">
        <v>582</v>
      </c>
      <c r="F978" s="564">
        <v>500</v>
      </c>
      <c r="G978" s="564">
        <v>15000</v>
      </c>
      <c r="H978" s="565">
        <v>20</v>
      </c>
      <c r="I978" s="566">
        <f>$H978/G978</f>
        <v>1.3333333333333333E-3</v>
      </c>
      <c r="J978" s="356"/>
      <c r="K978" s="356"/>
      <c r="L978" s="356"/>
      <c r="M978" s="356"/>
      <c r="N978" s="356"/>
      <c r="O978" s="356"/>
      <c r="P978" s="356"/>
      <c r="Q978" s="356"/>
      <c r="R978" s="362"/>
      <c r="S978" s="493"/>
      <c r="T978" s="493"/>
      <c r="U978" s="493"/>
      <c r="V978" s="493"/>
      <c r="W978" s="493"/>
      <c r="X978" s="493"/>
      <c r="Y978" s="493"/>
    </row>
    <row r="979" spans="2:25">
      <c r="B979" s="136" t="s">
        <v>712</v>
      </c>
      <c r="C979" s="132" t="s">
        <v>713</v>
      </c>
      <c r="D979" s="132" t="s">
        <v>702</v>
      </c>
      <c r="E979" s="356" t="s">
        <v>704</v>
      </c>
      <c r="F979" s="564">
        <v>500</v>
      </c>
      <c r="G979" s="564">
        <v>15000</v>
      </c>
      <c r="H979" s="565"/>
      <c r="I979" s="566"/>
      <c r="J979" s="356"/>
      <c r="K979" s="356"/>
      <c r="L979" s="356"/>
      <c r="M979" s="356"/>
      <c r="N979" s="356"/>
      <c r="O979" s="356"/>
      <c r="P979" s="356"/>
      <c r="Q979" s="356"/>
      <c r="R979" s="362"/>
      <c r="S979" s="493"/>
      <c r="T979" s="493"/>
      <c r="U979" s="493"/>
      <c r="V979" s="493"/>
      <c r="W979" s="493"/>
      <c r="X979" s="493"/>
      <c r="Y979" s="493"/>
    </row>
    <row r="980" spans="2:25">
      <c r="B980" s="136" t="s">
        <v>712</v>
      </c>
      <c r="C980" s="132" t="s">
        <v>713</v>
      </c>
      <c r="D980" s="132" t="s">
        <v>702</v>
      </c>
      <c r="E980" s="356" t="s">
        <v>592</v>
      </c>
      <c r="F980" s="564">
        <v>1500</v>
      </c>
      <c r="G980" s="564">
        <v>45000</v>
      </c>
      <c r="H980" s="565"/>
      <c r="I980" s="566"/>
      <c r="J980" s="356"/>
      <c r="K980" s="356"/>
      <c r="L980" s="356"/>
      <c r="M980" s="356"/>
      <c r="N980" s="356"/>
      <c r="O980" s="356"/>
      <c r="P980" s="356"/>
      <c r="Q980" s="356"/>
      <c r="R980" s="362"/>
      <c r="S980" s="493"/>
      <c r="T980" s="493"/>
      <c r="U980" s="493"/>
      <c r="V980" s="493"/>
      <c r="W980" s="493"/>
      <c r="X980" s="493"/>
      <c r="Y980" s="493"/>
    </row>
    <row r="981" spans="2:25">
      <c r="B981" s="337" t="s">
        <v>712</v>
      </c>
      <c r="C981" s="338" t="s">
        <v>713</v>
      </c>
      <c r="D981" s="338" t="s">
        <v>702</v>
      </c>
      <c r="E981" s="364" t="s">
        <v>705</v>
      </c>
      <c r="F981" s="567">
        <v>2000</v>
      </c>
      <c r="G981" s="567">
        <v>60000</v>
      </c>
      <c r="H981" s="528"/>
      <c r="I981" s="568"/>
      <c r="J981" s="356"/>
      <c r="K981" s="356"/>
      <c r="L981" s="356"/>
      <c r="M981" s="356"/>
      <c r="N981" s="356"/>
      <c r="O981" s="356"/>
      <c r="P981" s="356"/>
      <c r="Q981" s="356"/>
      <c r="R981" s="362"/>
      <c r="S981" s="493"/>
      <c r="T981" s="493"/>
      <c r="U981" s="493"/>
      <c r="V981" s="493"/>
      <c r="W981" s="493"/>
      <c r="X981" s="493"/>
      <c r="Y981" s="493"/>
    </row>
    <row r="982" spans="2:25">
      <c r="B982" s="136" t="s">
        <v>714</v>
      </c>
      <c r="C982" s="560" t="s">
        <v>713</v>
      </c>
      <c r="D982" s="132" t="s">
        <v>702</v>
      </c>
      <c r="E982" s="356" t="s">
        <v>580</v>
      </c>
      <c r="F982" s="564">
        <v>500</v>
      </c>
      <c r="G982" s="564">
        <v>7500</v>
      </c>
      <c r="H982" s="565">
        <f>200-H983</f>
        <v>180</v>
      </c>
      <c r="I982" s="566">
        <f>$H982/G982</f>
        <v>2.4E-2</v>
      </c>
      <c r="J982" s="356"/>
      <c r="K982" s="356"/>
      <c r="L982" s="356"/>
      <c r="M982" s="356"/>
      <c r="N982" s="356"/>
      <c r="O982" s="356"/>
      <c r="P982" s="356"/>
      <c r="Q982" s="356"/>
      <c r="R982" s="362"/>
      <c r="S982" s="493"/>
      <c r="T982" s="493"/>
      <c r="U982" s="493"/>
      <c r="V982" s="493"/>
      <c r="W982" s="493"/>
      <c r="X982" s="493"/>
      <c r="Y982" s="493"/>
    </row>
    <row r="983" spans="2:25">
      <c r="B983" s="136" t="s">
        <v>714</v>
      </c>
      <c r="C983" s="132" t="s">
        <v>713</v>
      </c>
      <c r="D983" s="132" t="s">
        <v>702</v>
      </c>
      <c r="E983" s="356" t="s">
        <v>582</v>
      </c>
      <c r="F983" s="564">
        <v>500</v>
      </c>
      <c r="G983" s="564">
        <v>7500</v>
      </c>
      <c r="H983" s="565">
        <v>20</v>
      </c>
      <c r="I983" s="566">
        <f>$H983/G983</f>
        <v>2.6666666666666666E-3</v>
      </c>
      <c r="J983" s="356"/>
      <c r="K983" s="356"/>
      <c r="L983" s="356"/>
      <c r="M983" s="356"/>
      <c r="N983" s="356"/>
      <c r="O983" s="356"/>
      <c r="P983" s="356"/>
      <c r="Q983" s="356"/>
      <c r="R983" s="362"/>
      <c r="S983" s="493"/>
      <c r="T983" s="493"/>
      <c r="U983" s="493"/>
      <c r="V983" s="493"/>
      <c r="W983" s="493"/>
      <c r="X983" s="493"/>
      <c r="Y983" s="493"/>
    </row>
    <row r="984" spans="2:25">
      <c r="B984" s="136" t="s">
        <v>714</v>
      </c>
      <c r="C984" s="132" t="s">
        <v>713</v>
      </c>
      <c r="D984" s="132" t="s">
        <v>702</v>
      </c>
      <c r="E984" s="356" t="s">
        <v>704</v>
      </c>
      <c r="F984" s="564">
        <v>500</v>
      </c>
      <c r="G984" s="564">
        <v>7500</v>
      </c>
      <c r="H984" s="569"/>
      <c r="I984" s="570"/>
      <c r="J984" s="356"/>
      <c r="K984" s="356"/>
      <c r="L984" s="356"/>
      <c r="M984" s="356"/>
      <c r="N984" s="356"/>
      <c r="O984" s="356"/>
      <c r="P984" s="356"/>
      <c r="Q984" s="356"/>
      <c r="R984" s="362"/>
      <c r="S984" s="493"/>
      <c r="T984" s="493"/>
      <c r="U984" s="493"/>
      <c r="V984" s="493"/>
      <c r="W984" s="493"/>
      <c r="X984" s="493"/>
      <c r="Y984" s="493"/>
    </row>
    <row r="985" spans="2:25">
      <c r="B985" s="136" t="s">
        <v>714</v>
      </c>
      <c r="C985" s="132" t="s">
        <v>713</v>
      </c>
      <c r="D985" s="132" t="s">
        <v>702</v>
      </c>
      <c r="E985" s="356" t="s">
        <v>592</v>
      </c>
      <c r="F985" s="564">
        <v>1500</v>
      </c>
      <c r="G985" s="564">
        <v>22500</v>
      </c>
      <c r="H985" s="569"/>
      <c r="I985" s="570"/>
      <c r="J985" s="356"/>
      <c r="K985" s="356"/>
      <c r="L985" s="356"/>
      <c r="M985" s="356"/>
      <c r="N985" s="356"/>
      <c r="O985" s="356"/>
      <c r="P985" s="356"/>
      <c r="Q985" s="356"/>
      <c r="R985" s="362"/>
      <c r="S985" s="493"/>
      <c r="T985" s="493"/>
      <c r="U985" s="493"/>
      <c r="V985" s="493"/>
      <c r="W985" s="493"/>
      <c r="X985" s="493"/>
      <c r="Y985" s="493"/>
    </row>
    <row r="986" spans="2:25">
      <c r="B986" s="337" t="s">
        <v>714</v>
      </c>
      <c r="C986" s="132" t="s">
        <v>713</v>
      </c>
      <c r="D986" s="338" t="s">
        <v>702</v>
      </c>
      <c r="E986" s="364" t="s">
        <v>705</v>
      </c>
      <c r="F986" s="567">
        <v>2000</v>
      </c>
      <c r="G986" s="567">
        <v>30000</v>
      </c>
      <c r="H986" s="571"/>
      <c r="I986" s="572"/>
      <c r="J986" s="356"/>
      <c r="K986" s="356"/>
      <c r="L986" s="356"/>
      <c r="M986" s="356"/>
      <c r="N986" s="356"/>
      <c r="O986" s="356"/>
      <c r="P986" s="356"/>
      <c r="Q986" s="356"/>
      <c r="R986" s="362"/>
      <c r="S986" s="493"/>
      <c r="T986" s="493"/>
      <c r="U986" s="493"/>
      <c r="V986" s="493"/>
      <c r="W986" s="493"/>
      <c r="X986" s="493"/>
      <c r="Y986" s="493"/>
    </row>
    <row r="987" spans="2:25">
      <c r="B987" s="136" t="s">
        <v>715</v>
      </c>
      <c r="C987" s="560" t="s">
        <v>716</v>
      </c>
      <c r="D987" s="132" t="s">
        <v>702</v>
      </c>
      <c r="E987" s="356" t="s">
        <v>580</v>
      </c>
      <c r="F987" s="564">
        <v>400</v>
      </c>
      <c r="G987" s="564">
        <v>18000</v>
      </c>
      <c r="H987" s="565">
        <f>200-H988</f>
        <v>180</v>
      </c>
      <c r="I987" s="566">
        <f>$H987/G987</f>
        <v>0.01</v>
      </c>
      <c r="J987" s="356"/>
      <c r="K987" s="356"/>
      <c r="L987" s="356"/>
      <c r="M987" s="356"/>
      <c r="N987" s="356"/>
      <c r="O987" s="356"/>
      <c r="P987" s="356"/>
      <c r="Q987" s="356"/>
      <c r="R987" s="362"/>
      <c r="S987" s="493"/>
      <c r="T987" s="493"/>
      <c r="U987" s="493"/>
      <c r="V987" s="493"/>
      <c r="W987" s="493"/>
      <c r="X987" s="493"/>
      <c r="Y987" s="493"/>
    </row>
    <row r="988" spans="2:25">
      <c r="B988" s="136" t="s">
        <v>715</v>
      </c>
      <c r="C988" s="132" t="s">
        <v>716</v>
      </c>
      <c r="D988" s="132" t="s">
        <v>702</v>
      </c>
      <c r="E988" s="356" t="s">
        <v>582</v>
      </c>
      <c r="F988" s="564">
        <v>400</v>
      </c>
      <c r="G988" s="564">
        <v>18000</v>
      </c>
      <c r="H988" s="565">
        <v>20</v>
      </c>
      <c r="I988" s="566">
        <f>$H988/G988</f>
        <v>1.1111111111111111E-3</v>
      </c>
      <c r="J988" s="356"/>
      <c r="K988" s="356"/>
      <c r="L988" s="356"/>
      <c r="M988" s="356"/>
      <c r="N988" s="356"/>
      <c r="O988" s="356"/>
      <c r="P988" s="356"/>
      <c r="Q988" s="356"/>
      <c r="R988" s="362"/>
      <c r="S988" s="493"/>
      <c r="T988" s="493"/>
      <c r="U988" s="493"/>
      <c r="V988" s="493"/>
      <c r="W988" s="493"/>
      <c r="X988" s="493"/>
      <c r="Y988" s="493"/>
    </row>
    <row r="989" spans="2:25">
      <c r="B989" s="136" t="s">
        <v>715</v>
      </c>
      <c r="C989" s="132" t="s">
        <v>716</v>
      </c>
      <c r="D989" s="132" t="s">
        <v>702</v>
      </c>
      <c r="E989" s="356" t="s">
        <v>704</v>
      </c>
      <c r="F989" s="564">
        <v>1500</v>
      </c>
      <c r="G989" s="564">
        <v>67500</v>
      </c>
      <c r="H989" s="569"/>
      <c r="I989" s="570"/>
      <c r="J989" s="356"/>
      <c r="K989" s="356"/>
      <c r="L989" s="356"/>
      <c r="M989" s="356"/>
      <c r="N989" s="356"/>
      <c r="O989" s="356"/>
      <c r="P989" s="356"/>
      <c r="Q989" s="356"/>
      <c r="R989" s="362"/>
      <c r="S989" s="493"/>
      <c r="T989" s="493"/>
      <c r="U989" s="493"/>
      <c r="V989" s="493"/>
      <c r="W989" s="493"/>
      <c r="X989" s="493"/>
      <c r="Y989" s="493"/>
    </row>
    <row r="990" spans="2:25">
      <c r="B990" s="136" t="s">
        <v>715</v>
      </c>
      <c r="C990" s="132" t="s">
        <v>716</v>
      </c>
      <c r="D990" s="132" t="s">
        <v>702</v>
      </c>
      <c r="E990" s="356" t="s">
        <v>592</v>
      </c>
      <c r="F990" s="564">
        <v>1500</v>
      </c>
      <c r="G990" s="564">
        <v>67500</v>
      </c>
      <c r="H990" s="569"/>
      <c r="I990" s="570"/>
      <c r="J990" s="356"/>
      <c r="K990" s="356"/>
      <c r="L990" s="356"/>
      <c r="M990" s="356"/>
      <c r="N990" s="356"/>
      <c r="O990" s="356"/>
      <c r="P990" s="356"/>
      <c r="Q990" s="356"/>
      <c r="R990" s="362"/>
      <c r="S990" s="493"/>
      <c r="T990" s="493"/>
      <c r="U990" s="493"/>
      <c r="V990" s="493"/>
      <c r="W990" s="493"/>
      <c r="X990" s="493"/>
      <c r="Y990" s="493"/>
    </row>
    <row r="991" spans="2:25">
      <c r="B991" s="337" t="s">
        <v>715</v>
      </c>
      <c r="C991" s="338" t="s">
        <v>716</v>
      </c>
      <c r="D991" s="338" t="s">
        <v>702</v>
      </c>
      <c r="E991" s="364" t="s">
        <v>705</v>
      </c>
      <c r="F991" s="567">
        <v>6000</v>
      </c>
      <c r="G991" s="567">
        <v>270000</v>
      </c>
      <c r="H991" s="571"/>
      <c r="I991" s="572"/>
      <c r="J991" s="356"/>
      <c r="K991" s="356"/>
      <c r="L991" s="356"/>
      <c r="M991" s="356"/>
      <c r="N991" s="356"/>
      <c r="O991" s="356"/>
      <c r="P991" s="356"/>
      <c r="Q991" s="356"/>
      <c r="R991" s="362"/>
      <c r="S991" s="493"/>
      <c r="T991" s="493"/>
      <c r="U991" s="493"/>
      <c r="V991" s="493"/>
      <c r="W991" s="493"/>
      <c r="X991" s="493"/>
      <c r="Y991" s="493"/>
    </row>
    <row r="992" spans="2:25">
      <c r="B992" s="136"/>
      <c r="C992" s="132"/>
      <c r="D992" s="132"/>
      <c r="E992" s="356"/>
      <c r="F992" s="453"/>
      <c r="G992" s="453"/>
      <c r="H992" s="453"/>
      <c r="I992" s="453"/>
      <c r="J992" s="356"/>
      <c r="K992" s="356"/>
      <c r="L992" s="356"/>
      <c r="M992" s="356"/>
      <c r="N992" s="356"/>
      <c r="O992" s="356"/>
      <c r="P992" s="356"/>
      <c r="Q992" s="356"/>
      <c r="R992" s="362"/>
      <c r="S992" s="493"/>
      <c r="T992" s="493"/>
      <c r="U992" s="493"/>
      <c r="V992" s="493"/>
      <c r="W992" s="493"/>
      <c r="X992" s="493"/>
      <c r="Y992" s="493"/>
    </row>
    <row r="993" spans="2:25">
      <c r="B993" s="136" t="s">
        <v>717</v>
      </c>
      <c r="C993" s="132"/>
      <c r="D993" s="132"/>
      <c r="E993" s="356"/>
      <c r="F993" s="453"/>
      <c r="G993" s="453"/>
      <c r="H993" s="453"/>
      <c r="I993" s="453"/>
      <c r="J993" s="356"/>
      <c r="K993" s="356"/>
      <c r="L993" s="356"/>
      <c r="M993" s="356"/>
      <c r="N993" s="356"/>
      <c r="O993" s="356"/>
      <c r="P993" s="356"/>
      <c r="Q993" s="356"/>
      <c r="R993" s="362"/>
      <c r="S993" s="493"/>
      <c r="T993" s="493"/>
      <c r="U993" s="493"/>
      <c r="V993" s="493"/>
      <c r="W993" s="493"/>
      <c r="X993" s="493"/>
      <c r="Y993" s="493"/>
    </row>
    <row r="994" spans="2:25">
      <c r="B994" s="341" t="s">
        <v>718</v>
      </c>
      <c r="C994" s="342" t="s">
        <v>719</v>
      </c>
      <c r="D994" s="573">
        <v>0.13800000000000001</v>
      </c>
      <c r="E994" s="132"/>
      <c r="F994" s="356"/>
      <c r="G994" s="356"/>
      <c r="H994" s="356"/>
      <c r="I994" s="356"/>
      <c r="J994" s="356"/>
      <c r="K994" s="356"/>
      <c r="L994" s="356"/>
      <c r="M994" s="356"/>
      <c r="N994" s="356"/>
      <c r="O994" s="356"/>
      <c r="P994" s="356"/>
      <c r="Q994" s="356"/>
      <c r="R994" s="362"/>
      <c r="S994" s="493"/>
      <c r="T994" s="493"/>
      <c r="U994" s="493"/>
      <c r="V994" s="493"/>
      <c r="W994" s="493"/>
      <c r="X994" s="493"/>
      <c r="Y994" s="493"/>
    </row>
    <row r="995" spans="2:25">
      <c r="B995" s="136" t="s">
        <v>720</v>
      </c>
      <c r="C995" s="132" t="s">
        <v>719</v>
      </c>
      <c r="D995" s="574">
        <v>4.3999999999999997E-2</v>
      </c>
      <c r="E995" s="132"/>
      <c r="F995" s="356"/>
      <c r="G995" s="356"/>
      <c r="H995" s="356"/>
      <c r="I995" s="356"/>
      <c r="J995" s="356"/>
      <c r="K995" s="356"/>
      <c r="L995" s="356"/>
      <c r="M995" s="356"/>
      <c r="N995" s="356"/>
      <c r="O995" s="356"/>
      <c r="P995" s="356"/>
      <c r="Q995" s="356"/>
      <c r="R995" s="362"/>
      <c r="S995" s="493"/>
      <c r="T995" s="493"/>
      <c r="U995" s="493"/>
      <c r="V995" s="493"/>
      <c r="W995" s="493"/>
      <c r="X995" s="493"/>
      <c r="Y995" s="493"/>
    </row>
    <row r="996" spans="2:25">
      <c r="B996" s="337" t="s">
        <v>721</v>
      </c>
      <c r="C996" s="338" t="s">
        <v>722</v>
      </c>
      <c r="D996" s="575">
        <f>$I$967+$I$968</f>
        <v>8.0000000000000002E-3</v>
      </c>
      <c r="E996" s="132"/>
      <c r="F996" s="132"/>
      <c r="G996" s="356"/>
      <c r="H996" s="356"/>
      <c r="I996" s="356"/>
      <c r="J996" s="356"/>
      <c r="K996" s="356"/>
      <c r="L996" s="356"/>
      <c r="M996" s="356"/>
      <c r="N996" s="356"/>
      <c r="O996" s="356"/>
      <c r="P996" s="356"/>
      <c r="Q996" s="356"/>
      <c r="R996" s="362"/>
      <c r="S996" s="493"/>
      <c r="T996" s="493"/>
      <c r="U996" s="493"/>
      <c r="V996" s="493"/>
      <c r="W996" s="493"/>
      <c r="X996" s="493"/>
      <c r="Y996" s="493"/>
    </row>
    <row r="997" spans="2:25">
      <c r="B997" s="576" t="s">
        <v>723</v>
      </c>
      <c r="C997" s="577"/>
      <c r="D997" s="578">
        <f>SUM(D994:D996)</f>
        <v>0.19</v>
      </c>
      <c r="E997" s="356"/>
      <c r="F997" s="453"/>
      <c r="G997" s="453"/>
      <c r="H997" s="453"/>
      <c r="I997" s="453"/>
      <c r="J997" s="356"/>
      <c r="K997" s="356"/>
      <c r="L997" s="356"/>
      <c r="M997" s="356"/>
      <c r="N997" s="356"/>
      <c r="O997" s="356"/>
      <c r="P997" s="356"/>
      <c r="Q997" s="356"/>
      <c r="R997" s="362"/>
      <c r="S997" s="493"/>
      <c r="T997" s="493"/>
      <c r="U997" s="493"/>
      <c r="V997" s="493"/>
      <c r="W997" s="493"/>
      <c r="X997" s="493"/>
      <c r="Y997" s="493"/>
    </row>
    <row r="998" spans="2:25">
      <c r="B998" s="336"/>
      <c r="C998" s="249"/>
      <c r="D998" s="579"/>
      <c r="E998" s="356"/>
      <c r="F998" s="453"/>
      <c r="G998" s="453"/>
      <c r="H998" s="453"/>
      <c r="I998" s="453"/>
      <c r="J998" s="356"/>
      <c r="K998" s="356"/>
      <c r="L998" s="356"/>
      <c r="M998" s="356"/>
      <c r="N998" s="356"/>
      <c r="O998" s="356"/>
      <c r="P998" s="356"/>
      <c r="Q998" s="356"/>
      <c r="R998" s="362"/>
      <c r="S998" s="493"/>
      <c r="T998" s="493"/>
      <c r="U998" s="493"/>
      <c r="V998" s="493"/>
      <c r="W998" s="493"/>
      <c r="X998" s="493"/>
      <c r="Y998" s="493"/>
    </row>
    <row r="999" spans="2:25">
      <c r="B999" s="136" t="s">
        <v>724</v>
      </c>
      <c r="C999" s="249"/>
      <c r="D999" s="579"/>
      <c r="E999" s="356"/>
      <c r="F999" s="453"/>
      <c r="G999" s="453"/>
      <c r="H999" s="453"/>
      <c r="I999" s="453"/>
      <c r="J999" s="356"/>
      <c r="K999" s="356"/>
      <c r="L999" s="356"/>
      <c r="M999" s="356"/>
      <c r="N999" s="356"/>
      <c r="O999" s="356"/>
      <c r="P999" s="356"/>
      <c r="Q999" s="356"/>
      <c r="R999" s="362"/>
      <c r="S999" s="493"/>
      <c r="T999" s="493"/>
      <c r="U999" s="493"/>
      <c r="V999" s="493"/>
      <c r="W999" s="493"/>
      <c r="X999" s="493"/>
      <c r="Y999" s="493"/>
    </row>
    <row r="1000" spans="2:25">
      <c r="B1000" s="341" t="s">
        <v>718</v>
      </c>
      <c r="C1000" s="342" t="s">
        <v>719</v>
      </c>
      <c r="D1000" s="573">
        <f>$D$994</f>
        <v>0.13800000000000001</v>
      </c>
      <c r="E1000" s="356"/>
      <c r="F1000" s="453"/>
      <c r="G1000" s="453"/>
      <c r="H1000" s="453"/>
      <c r="I1000" s="453"/>
      <c r="J1000" s="356"/>
      <c r="K1000" s="356"/>
      <c r="L1000" s="356"/>
      <c r="M1000" s="356"/>
      <c r="N1000" s="356"/>
      <c r="O1000" s="356"/>
      <c r="P1000" s="356"/>
      <c r="Q1000" s="356"/>
      <c r="R1000" s="362"/>
      <c r="S1000" s="493"/>
      <c r="T1000" s="493"/>
      <c r="U1000" s="493"/>
      <c r="V1000" s="493"/>
      <c r="W1000" s="493"/>
      <c r="X1000" s="493"/>
      <c r="Y1000" s="493"/>
    </row>
    <row r="1001" spans="2:25">
      <c r="B1001" s="136" t="s">
        <v>720</v>
      </c>
      <c r="C1001" s="132" t="s">
        <v>719</v>
      </c>
      <c r="D1001" s="574">
        <f>$D$995</f>
        <v>4.3999999999999997E-2</v>
      </c>
      <c r="E1001" s="356"/>
      <c r="F1001" s="453"/>
      <c r="G1001" s="453"/>
      <c r="H1001" s="453"/>
      <c r="I1001" s="453"/>
      <c r="J1001" s="356"/>
      <c r="K1001" s="356"/>
      <c r="L1001" s="356"/>
      <c r="M1001" s="356"/>
      <c r="N1001" s="356"/>
      <c r="O1001" s="356"/>
      <c r="P1001" s="356"/>
      <c r="Q1001" s="356"/>
      <c r="R1001" s="362"/>
      <c r="S1001" s="493"/>
      <c r="T1001" s="493"/>
      <c r="U1001" s="493"/>
      <c r="V1001" s="493"/>
      <c r="W1001" s="493"/>
      <c r="X1001" s="493"/>
      <c r="Y1001" s="493"/>
    </row>
    <row r="1002" spans="2:25">
      <c r="B1002" s="337" t="s">
        <v>721</v>
      </c>
      <c r="C1002" s="338" t="s">
        <v>722</v>
      </c>
      <c r="D1002" s="575">
        <f>$I$987+$I$988</f>
        <v>1.1111111111111112E-2</v>
      </c>
      <c r="E1002" s="356"/>
      <c r="F1002" s="453"/>
      <c r="G1002" s="453"/>
      <c r="H1002" s="453"/>
      <c r="I1002" s="453"/>
      <c r="J1002" s="356"/>
      <c r="K1002" s="356"/>
      <c r="L1002" s="356"/>
      <c r="M1002" s="356"/>
      <c r="N1002" s="356"/>
      <c r="O1002" s="356"/>
      <c r="P1002" s="356"/>
      <c r="Q1002" s="356"/>
      <c r="R1002" s="362"/>
      <c r="S1002" s="493"/>
      <c r="T1002" s="493"/>
      <c r="U1002" s="493"/>
      <c r="V1002" s="493"/>
      <c r="W1002" s="493"/>
      <c r="X1002" s="493"/>
      <c r="Y1002" s="493"/>
    </row>
    <row r="1003" spans="2:25">
      <c r="B1003" s="576" t="s">
        <v>725</v>
      </c>
      <c r="C1003" s="577"/>
      <c r="D1003" s="578">
        <f>SUM(D1000:D1002)</f>
        <v>0.19311111111111109</v>
      </c>
      <c r="E1003" s="356"/>
      <c r="F1003" s="453"/>
      <c r="G1003" s="453"/>
      <c r="H1003" s="453"/>
      <c r="I1003" s="453"/>
      <c r="J1003" s="356"/>
      <c r="K1003" s="356"/>
      <c r="L1003" s="356"/>
      <c r="M1003" s="356"/>
      <c r="N1003" s="356"/>
      <c r="O1003" s="356"/>
      <c r="P1003" s="356"/>
      <c r="Q1003" s="356"/>
      <c r="R1003" s="362"/>
      <c r="S1003" s="493"/>
      <c r="T1003" s="493"/>
      <c r="U1003" s="493"/>
      <c r="V1003" s="493"/>
      <c r="W1003" s="493"/>
      <c r="X1003" s="493"/>
      <c r="Y1003" s="493"/>
    </row>
    <row r="1004" spans="2:25">
      <c r="B1004" s="336"/>
      <c r="C1004" s="249"/>
      <c r="D1004" s="579"/>
      <c r="E1004" s="356"/>
      <c r="F1004" s="453"/>
      <c r="G1004" s="453"/>
      <c r="H1004" s="453"/>
      <c r="I1004" s="453"/>
      <c r="J1004" s="356"/>
      <c r="K1004" s="356"/>
      <c r="L1004" s="356"/>
      <c r="M1004" s="356"/>
      <c r="N1004" s="356"/>
      <c r="O1004" s="356"/>
      <c r="P1004" s="356"/>
      <c r="Q1004" s="356"/>
      <c r="R1004" s="362"/>
      <c r="S1004" s="493"/>
      <c r="T1004" s="493"/>
      <c r="U1004" s="493"/>
      <c r="V1004" s="493"/>
      <c r="W1004" s="493"/>
      <c r="X1004" s="493"/>
      <c r="Y1004" s="493"/>
    </row>
    <row r="1005" spans="2:25">
      <c r="B1005" s="136" t="s">
        <v>726</v>
      </c>
      <c r="C1005" s="249"/>
      <c r="D1005" s="579"/>
      <c r="E1005" s="356"/>
      <c r="F1005" s="453"/>
      <c r="G1005" s="453"/>
      <c r="H1005" s="453"/>
      <c r="I1005" s="453"/>
      <c r="J1005" s="356"/>
      <c r="K1005" s="356"/>
      <c r="L1005" s="356"/>
      <c r="M1005" s="356"/>
      <c r="N1005" s="356"/>
      <c r="O1005" s="356"/>
      <c r="P1005" s="356"/>
      <c r="Q1005" s="356"/>
      <c r="R1005" s="362"/>
      <c r="S1005" s="493"/>
      <c r="T1005" s="493"/>
      <c r="U1005" s="493"/>
      <c r="V1005" s="493"/>
      <c r="W1005" s="493"/>
      <c r="X1005" s="493"/>
      <c r="Y1005" s="493"/>
    </row>
    <row r="1006" spans="2:25">
      <c r="B1006" s="341" t="s">
        <v>718</v>
      </c>
      <c r="C1006" s="342" t="s">
        <v>719</v>
      </c>
      <c r="D1006" s="573">
        <f>$D$994</f>
        <v>0.13800000000000001</v>
      </c>
      <c r="E1006" s="356"/>
      <c r="F1006" s="453"/>
      <c r="G1006" s="453"/>
      <c r="H1006" s="453"/>
      <c r="I1006" s="453"/>
      <c r="J1006" s="356"/>
      <c r="K1006" s="356"/>
      <c r="L1006" s="356"/>
      <c r="M1006" s="356"/>
      <c r="N1006" s="356"/>
      <c r="O1006" s="356"/>
      <c r="P1006" s="356"/>
      <c r="Q1006" s="356"/>
      <c r="R1006" s="362"/>
      <c r="S1006" s="493"/>
      <c r="T1006" s="493"/>
      <c r="U1006" s="493"/>
      <c r="V1006" s="493"/>
      <c r="W1006" s="493"/>
      <c r="X1006" s="493"/>
      <c r="Y1006" s="493"/>
    </row>
    <row r="1007" spans="2:25">
      <c r="B1007" s="136" t="s">
        <v>720</v>
      </c>
      <c r="C1007" s="132" t="s">
        <v>719</v>
      </c>
      <c r="D1007" s="574">
        <f>$D$995</f>
        <v>4.3999999999999997E-2</v>
      </c>
      <c r="E1007" s="356"/>
      <c r="F1007" s="453"/>
      <c r="G1007" s="453"/>
      <c r="H1007" s="453"/>
      <c r="I1007" s="453"/>
      <c r="J1007" s="356"/>
      <c r="K1007" s="356"/>
      <c r="L1007" s="356"/>
      <c r="M1007" s="356"/>
      <c r="N1007" s="356"/>
      <c r="O1007" s="356"/>
      <c r="P1007" s="356"/>
      <c r="Q1007" s="356"/>
      <c r="R1007" s="362"/>
      <c r="S1007" s="493"/>
      <c r="T1007" s="493"/>
      <c r="U1007" s="493"/>
      <c r="V1007" s="493"/>
      <c r="W1007" s="493"/>
      <c r="X1007" s="493"/>
      <c r="Y1007" s="493"/>
    </row>
    <row r="1008" spans="2:25">
      <c r="B1008" s="136" t="s">
        <v>721</v>
      </c>
      <c r="C1008" s="160" t="s">
        <v>727</v>
      </c>
      <c r="D1008" s="574">
        <f>$I$967+$I$968</f>
        <v>8.0000000000000002E-3</v>
      </c>
      <c r="E1008" s="356"/>
      <c r="F1008" s="453"/>
      <c r="G1008" s="453"/>
      <c r="H1008" s="453"/>
      <c r="I1008" s="453"/>
      <c r="J1008" s="356"/>
      <c r="K1008" s="356"/>
      <c r="L1008" s="356"/>
      <c r="M1008" s="356"/>
      <c r="N1008" s="356"/>
      <c r="O1008" s="356"/>
      <c r="P1008" s="356"/>
      <c r="Q1008" s="356"/>
      <c r="R1008" s="362"/>
      <c r="S1008" s="493"/>
      <c r="T1008" s="493"/>
      <c r="U1008" s="493"/>
      <c r="V1008" s="493"/>
      <c r="W1008" s="493"/>
      <c r="X1008" s="493"/>
      <c r="Y1008" s="493"/>
    </row>
    <row r="1009" spans="2:25">
      <c r="B1009" s="337" t="s">
        <v>728</v>
      </c>
      <c r="C1009" s="170" t="s">
        <v>729</v>
      </c>
      <c r="D1009" s="575">
        <v>6.0000000000000001E-3</v>
      </c>
      <c r="E1009" s="356"/>
      <c r="F1009" s="453"/>
      <c r="G1009" s="453"/>
      <c r="H1009" s="453"/>
      <c r="I1009" s="453"/>
      <c r="J1009" s="356"/>
      <c r="K1009" s="356"/>
      <c r="L1009" s="356"/>
      <c r="M1009" s="356"/>
      <c r="N1009" s="356"/>
      <c r="O1009" s="356"/>
      <c r="P1009" s="356"/>
      <c r="Q1009" s="356"/>
      <c r="R1009" s="362"/>
      <c r="S1009" s="493"/>
      <c r="T1009" s="493"/>
      <c r="U1009" s="493"/>
      <c r="V1009" s="493"/>
      <c r="W1009" s="493"/>
      <c r="X1009" s="493"/>
      <c r="Y1009" s="493"/>
    </row>
    <row r="1010" spans="2:25">
      <c r="B1010" s="576" t="s">
        <v>730</v>
      </c>
      <c r="C1010" s="580" t="s">
        <v>731</v>
      </c>
      <c r="D1010" s="578">
        <f>SUM(D1006:D1009)</f>
        <v>0.19600000000000001</v>
      </c>
      <c r="E1010" s="356"/>
      <c r="F1010" s="453"/>
      <c r="G1010" s="453"/>
      <c r="H1010" s="453"/>
      <c r="I1010" s="453"/>
      <c r="J1010" s="356"/>
      <c r="K1010" s="356"/>
      <c r="L1010" s="356"/>
      <c r="M1010" s="356"/>
      <c r="N1010" s="356"/>
      <c r="O1010" s="356"/>
      <c r="P1010" s="356"/>
      <c r="Q1010" s="356"/>
      <c r="R1010" s="362"/>
      <c r="S1010" s="493"/>
      <c r="T1010" s="493"/>
      <c r="U1010" s="493"/>
      <c r="V1010" s="493"/>
      <c r="W1010" s="493"/>
      <c r="X1010" s="493"/>
      <c r="Y1010" s="493"/>
    </row>
    <row r="1011" spans="2:25">
      <c r="B1011" s="136"/>
      <c r="C1011" s="356"/>
      <c r="D1011" s="356"/>
      <c r="E1011" s="132"/>
      <c r="F1011" s="132"/>
      <c r="G1011" s="356"/>
      <c r="H1011" s="356"/>
      <c r="I1011" s="356"/>
      <c r="J1011" s="356"/>
      <c r="K1011" s="356"/>
      <c r="L1011" s="356"/>
      <c r="M1011" s="356"/>
      <c r="N1011" s="356"/>
      <c r="O1011" s="356"/>
      <c r="P1011" s="356"/>
      <c r="Q1011" s="356"/>
      <c r="R1011" s="362"/>
      <c r="S1011" s="493"/>
      <c r="T1011" s="493"/>
      <c r="U1011" s="493"/>
      <c r="V1011" s="493"/>
      <c r="W1011" s="493"/>
      <c r="X1011" s="493"/>
      <c r="Y1011" s="493"/>
    </row>
    <row r="1012" spans="2:25">
      <c r="B1012" s="136"/>
      <c r="C1012" s="356"/>
      <c r="D1012" s="356"/>
      <c r="E1012" s="132"/>
      <c r="F1012" s="132"/>
      <c r="G1012" s="356"/>
      <c r="H1012" s="356"/>
      <c r="I1012" s="356"/>
      <c r="J1012" s="356"/>
      <c r="K1012" s="356"/>
      <c r="L1012" s="356"/>
      <c r="M1012" s="356"/>
      <c r="N1012" s="356"/>
      <c r="O1012" s="356"/>
      <c r="P1012" s="356"/>
      <c r="Q1012" s="356"/>
      <c r="R1012" s="362"/>
      <c r="S1012" s="493"/>
      <c r="T1012" s="493"/>
      <c r="U1012" s="493"/>
      <c r="V1012" s="493"/>
      <c r="W1012" s="493"/>
      <c r="X1012" s="493"/>
      <c r="Y1012" s="493"/>
    </row>
    <row r="1013" spans="2:25">
      <c r="B1013" s="271" t="s">
        <v>732</v>
      </c>
      <c r="C1013" s="346" t="s">
        <v>733</v>
      </c>
      <c r="D1013" s="346">
        <f>(7483.54+1558.76)/52100</f>
        <v>0.17355662188099807</v>
      </c>
      <c r="E1013" s="132"/>
      <c r="F1013" s="132"/>
      <c r="G1013" s="356"/>
      <c r="H1013" s="356"/>
      <c r="I1013" s="356"/>
      <c r="J1013" s="356"/>
      <c r="K1013" s="356"/>
      <c r="L1013" s="356"/>
      <c r="M1013" s="356"/>
      <c r="N1013" s="356"/>
      <c r="O1013" s="356"/>
      <c r="P1013" s="356"/>
      <c r="Q1013" s="356"/>
      <c r="R1013" s="362"/>
      <c r="S1013" s="493"/>
      <c r="T1013" s="493"/>
      <c r="U1013" s="493"/>
      <c r="V1013" s="493"/>
      <c r="W1013" s="493"/>
      <c r="X1013" s="493"/>
      <c r="Y1013" s="493"/>
    </row>
    <row r="1014" spans="2:25">
      <c r="B1014" s="271" t="s">
        <v>734</v>
      </c>
      <c r="C1014" s="346" t="s">
        <v>733</v>
      </c>
      <c r="D1014" s="346">
        <f>(18479.12+6926.03)/63305</f>
        <v>0.40131348234736591</v>
      </c>
      <c r="E1014" s="132"/>
      <c r="F1014" s="132"/>
      <c r="G1014" s="356"/>
      <c r="H1014" s="356"/>
      <c r="I1014" s="356"/>
      <c r="J1014" s="356"/>
      <c r="K1014" s="356"/>
      <c r="L1014" s="356"/>
      <c r="M1014" s="356"/>
      <c r="N1014" s="356"/>
      <c r="O1014" s="356"/>
      <c r="P1014" s="356"/>
      <c r="Q1014" s="356"/>
      <c r="R1014" s="362"/>
      <c r="S1014" s="493"/>
      <c r="T1014" s="493"/>
      <c r="U1014" s="493"/>
      <c r="V1014" s="493"/>
      <c r="W1014" s="493"/>
      <c r="X1014" s="493"/>
      <c r="Y1014" s="493"/>
    </row>
    <row r="1015" spans="2:25">
      <c r="B1015" s="136"/>
      <c r="C1015" s="356"/>
      <c r="D1015" s="356"/>
      <c r="E1015" s="132"/>
      <c r="F1015" s="132"/>
      <c r="G1015" s="356"/>
      <c r="H1015" s="356"/>
      <c r="I1015" s="356"/>
      <c r="J1015" s="356"/>
      <c r="K1015" s="356"/>
      <c r="L1015" s="356"/>
      <c r="M1015" s="356"/>
      <c r="N1015" s="356"/>
      <c r="O1015" s="356"/>
      <c r="P1015" s="356"/>
      <c r="Q1015" s="356"/>
      <c r="R1015" s="362"/>
      <c r="S1015" s="493"/>
      <c r="T1015" s="493"/>
      <c r="U1015" s="493"/>
      <c r="V1015" s="493"/>
      <c r="W1015" s="493"/>
      <c r="X1015" s="493"/>
      <c r="Y1015" s="493"/>
    </row>
    <row r="1016" spans="2:25">
      <c r="B1016" s="136"/>
      <c r="C1016" s="356"/>
      <c r="D1016" s="356"/>
      <c r="E1016" s="132"/>
      <c r="F1016" s="132"/>
      <c r="G1016" s="356"/>
      <c r="H1016" s="356"/>
      <c r="I1016" s="356"/>
      <c r="J1016" s="356"/>
      <c r="K1016" s="356"/>
      <c r="L1016" s="356"/>
      <c r="M1016" s="356"/>
      <c r="N1016" s="356"/>
      <c r="O1016" s="356"/>
      <c r="P1016" s="356"/>
      <c r="Q1016" s="356"/>
      <c r="R1016" s="362"/>
      <c r="S1016" s="493"/>
      <c r="T1016" s="493"/>
      <c r="U1016" s="493"/>
      <c r="V1016" s="493"/>
      <c r="W1016" s="493"/>
      <c r="X1016" s="493"/>
      <c r="Y1016" s="493"/>
    </row>
    <row r="1017" spans="2:25">
      <c r="B1017" s="271" t="s">
        <v>735</v>
      </c>
      <c r="C1017" s="346" t="s">
        <v>736</v>
      </c>
      <c r="D1017" s="346">
        <f>(0.1+0.15)/2</f>
        <v>0.125</v>
      </c>
      <c r="E1017" s="132"/>
      <c r="F1017" s="132"/>
      <c r="G1017" s="356"/>
      <c r="H1017" s="356"/>
      <c r="I1017" s="356"/>
      <c r="J1017" s="356"/>
      <c r="K1017" s="356"/>
      <c r="L1017" s="356"/>
      <c r="M1017" s="356"/>
      <c r="N1017" s="356"/>
      <c r="O1017" s="356"/>
      <c r="P1017" s="356"/>
      <c r="Q1017" s="356"/>
      <c r="R1017" s="362"/>
      <c r="S1017" s="493"/>
      <c r="T1017" s="493"/>
      <c r="U1017" s="493"/>
      <c r="V1017" s="493"/>
      <c r="W1017" s="493"/>
      <c r="X1017" s="493"/>
      <c r="Y1017" s="493"/>
    </row>
    <row r="1018" spans="2:25">
      <c r="B1018" s="271" t="s">
        <v>737</v>
      </c>
      <c r="C1018" s="346" t="s">
        <v>736</v>
      </c>
      <c r="D1018" s="346">
        <f>(0.08+0.1)/2</f>
        <v>0.09</v>
      </c>
      <c r="E1018" s="132"/>
      <c r="F1018" s="132"/>
      <c r="G1018" s="356"/>
      <c r="H1018" s="356"/>
      <c r="I1018" s="356"/>
      <c r="J1018" s="356"/>
      <c r="K1018" s="356"/>
      <c r="L1018" s="356"/>
      <c r="M1018" s="356"/>
      <c r="N1018" s="356"/>
      <c r="O1018" s="356"/>
      <c r="P1018" s="356"/>
      <c r="Q1018" s="356"/>
      <c r="R1018" s="362"/>
      <c r="S1018" s="493"/>
      <c r="T1018" s="493"/>
      <c r="U1018" s="493"/>
      <c r="V1018" s="493"/>
      <c r="W1018" s="493"/>
      <c r="X1018" s="493"/>
      <c r="Y1018" s="493"/>
    </row>
    <row r="1019" spans="2:25">
      <c r="B1019" s="271" t="s">
        <v>738</v>
      </c>
      <c r="C1019" s="346" t="s">
        <v>736</v>
      </c>
      <c r="D1019" s="346">
        <f>(0.15+0.25)/2</f>
        <v>0.2</v>
      </c>
      <c r="E1019" s="132"/>
      <c r="F1019" s="132"/>
      <c r="G1019" s="356"/>
      <c r="H1019" s="356"/>
      <c r="I1019" s="356"/>
      <c r="J1019" s="356"/>
      <c r="K1019" s="356"/>
      <c r="L1019" s="356"/>
      <c r="M1019" s="356"/>
      <c r="N1019" s="356"/>
      <c r="O1019" s="356"/>
      <c r="P1019" s="356"/>
      <c r="Q1019" s="356"/>
      <c r="R1019" s="362"/>
      <c r="S1019" s="493"/>
      <c r="T1019" s="493"/>
      <c r="U1019" s="493"/>
      <c r="V1019" s="493"/>
      <c r="W1019" s="493"/>
      <c r="X1019" s="493"/>
      <c r="Y1019" s="493"/>
    </row>
    <row r="1020" spans="2:25">
      <c r="B1020" s="136"/>
      <c r="C1020" s="356"/>
      <c r="D1020" s="356"/>
      <c r="E1020" s="132"/>
      <c r="F1020" s="132"/>
      <c r="G1020" s="356"/>
      <c r="H1020" s="356"/>
      <c r="I1020" s="356"/>
      <c r="J1020" s="356"/>
      <c r="K1020" s="356"/>
      <c r="L1020" s="356"/>
      <c r="M1020" s="356"/>
      <c r="N1020" s="356"/>
      <c r="O1020" s="356"/>
      <c r="P1020" s="356"/>
      <c r="Q1020" s="356"/>
      <c r="R1020" s="362"/>
      <c r="S1020" s="493"/>
      <c r="T1020" s="493"/>
      <c r="U1020" s="493"/>
      <c r="V1020" s="493"/>
      <c r="W1020" s="493"/>
      <c r="X1020" s="493"/>
      <c r="Y1020" s="493"/>
    </row>
    <row r="1021" spans="2:25">
      <c r="B1021" s="271" t="s">
        <v>739</v>
      </c>
      <c r="C1021" s="346" t="s">
        <v>740</v>
      </c>
      <c r="D1021" s="346">
        <f>0.006</f>
        <v>6.0000000000000001E-3</v>
      </c>
      <c r="E1021" s="132"/>
      <c r="F1021" s="132"/>
      <c r="G1021" s="356"/>
      <c r="H1021" s="356"/>
      <c r="I1021" s="356"/>
      <c r="J1021" s="356"/>
      <c r="K1021" s="356"/>
      <c r="L1021" s="356"/>
      <c r="M1021" s="356"/>
      <c r="N1021" s="356"/>
      <c r="O1021" s="356"/>
      <c r="P1021" s="356"/>
      <c r="Q1021" s="356"/>
      <c r="R1021" s="362"/>
      <c r="S1021" s="493"/>
      <c r="T1021" s="493"/>
      <c r="U1021" s="493"/>
      <c r="V1021" s="493"/>
      <c r="W1021" s="493"/>
      <c r="X1021" s="493"/>
      <c r="Y1021" s="493"/>
    </row>
    <row r="1022" spans="2:25">
      <c r="B1022" s="136"/>
      <c r="C1022" s="132"/>
      <c r="D1022" s="356"/>
      <c r="E1022" s="132"/>
      <c r="F1022" s="132"/>
      <c r="G1022" s="356"/>
      <c r="H1022" s="356"/>
      <c r="I1022" s="356"/>
      <c r="J1022" s="356"/>
      <c r="K1022" s="356"/>
      <c r="L1022" s="356"/>
      <c r="M1022" s="356"/>
      <c r="N1022" s="356"/>
      <c r="O1022" s="356"/>
      <c r="P1022" s="356"/>
      <c r="Q1022" s="356"/>
      <c r="R1022" s="362"/>
      <c r="S1022" s="493"/>
      <c r="T1022" s="493"/>
      <c r="U1022" s="493"/>
      <c r="V1022" s="493"/>
      <c r="W1022" s="493"/>
      <c r="X1022" s="493"/>
      <c r="Y1022" s="493"/>
    </row>
    <row r="1023" spans="2:25">
      <c r="B1023" s="271" t="s">
        <v>741</v>
      </c>
      <c r="C1023" s="346" t="s">
        <v>742</v>
      </c>
      <c r="D1023" s="346">
        <v>0.52</v>
      </c>
      <c r="E1023" s="132"/>
      <c r="F1023" s="356"/>
      <c r="G1023" s="356"/>
      <c r="H1023" s="356"/>
      <c r="I1023" s="356"/>
      <c r="J1023" s="356"/>
      <c r="K1023" s="356"/>
      <c r="L1023" s="356"/>
      <c r="M1023" s="356"/>
      <c r="N1023" s="356"/>
      <c r="O1023" s="356"/>
      <c r="P1023" s="356"/>
      <c r="Q1023" s="356"/>
      <c r="R1023" s="362"/>
      <c r="S1023" s="493"/>
      <c r="T1023" s="493"/>
      <c r="U1023" s="493"/>
      <c r="V1023" s="493"/>
      <c r="W1023" s="493"/>
      <c r="X1023" s="493"/>
      <c r="Y1023" s="493"/>
    </row>
    <row r="1024" spans="2:25">
      <c r="B1024" s="271" t="s">
        <v>743</v>
      </c>
      <c r="C1024" s="346" t="s">
        <v>742</v>
      </c>
      <c r="D1024" s="346">
        <v>0.52</v>
      </c>
      <c r="E1024" s="132"/>
      <c r="F1024" s="356"/>
      <c r="G1024" s="356"/>
      <c r="H1024" s="356"/>
      <c r="I1024" s="356"/>
      <c r="J1024" s="356"/>
      <c r="K1024" s="356"/>
      <c r="L1024" s="356"/>
      <c r="M1024" s="356"/>
      <c r="N1024" s="356"/>
      <c r="O1024" s="356"/>
      <c r="P1024" s="356"/>
      <c r="Q1024" s="356"/>
      <c r="R1024" s="362"/>
      <c r="S1024" s="493"/>
      <c r="T1024" s="493"/>
      <c r="U1024" s="493"/>
      <c r="V1024" s="493"/>
      <c r="W1024" s="493"/>
      <c r="X1024" s="493"/>
      <c r="Y1024" s="493"/>
    </row>
    <row r="1025" spans="2:25">
      <c r="B1025" s="271" t="s">
        <v>744</v>
      </c>
      <c r="C1025" s="325"/>
      <c r="D1025" s="346"/>
      <c r="E1025" s="356"/>
      <c r="F1025" s="356"/>
      <c r="G1025" s="356"/>
      <c r="H1025" s="356"/>
      <c r="I1025" s="356"/>
      <c r="J1025" s="356"/>
      <c r="K1025" s="356"/>
      <c r="L1025" s="356"/>
      <c r="M1025" s="356"/>
      <c r="N1025" s="356"/>
      <c r="O1025" s="356"/>
      <c r="P1025" s="356"/>
      <c r="Q1025" s="356"/>
      <c r="R1025" s="362"/>
      <c r="S1025" s="493"/>
      <c r="T1025" s="493"/>
      <c r="U1025" s="493"/>
      <c r="V1025" s="493"/>
      <c r="W1025" s="493"/>
      <c r="X1025" s="493"/>
      <c r="Y1025" s="493"/>
    </row>
    <row r="1026" spans="2:25">
      <c r="B1026" s="271" t="s">
        <v>745</v>
      </c>
      <c r="C1026" s="325"/>
      <c r="D1026" s="346"/>
      <c r="E1026" s="356"/>
      <c r="F1026" s="356"/>
      <c r="G1026" s="356"/>
      <c r="H1026" s="356"/>
      <c r="I1026" s="356"/>
      <c r="J1026" s="356"/>
      <c r="K1026" s="356"/>
      <c r="L1026" s="356"/>
      <c r="M1026" s="356"/>
      <c r="N1026" s="356"/>
      <c r="O1026" s="356"/>
      <c r="P1026" s="356"/>
      <c r="Q1026" s="356"/>
      <c r="R1026" s="362"/>
      <c r="S1026" s="493"/>
      <c r="T1026" s="493"/>
      <c r="U1026" s="493"/>
      <c r="V1026" s="493"/>
      <c r="W1026" s="493"/>
      <c r="X1026" s="493"/>
      <c r="Y1026" s="493"/>
    </row>
    <row r="1027" spans="2:25">
      <c r="B1027" s="271" t="s">
        <v>746</v>
      </c>
      <c r="C1027" s="325"/>
      <c r="D1027" s="346"/>
      <c r="E1027" s="356"/>
      <c r="F1027" s="356"/>
      <c r="G1027" s="356"/>
      <c r="H1027" s="356"/>
      <c r="I1027" s="356"/>
      <c r="J1027" s="356"/>
      <c r="K1027" s="356"/>
      <c r="L1027" s="356"/>
      <c r="M1027" s="356"/>
      <c r="N1027" s="356"/>
      <c r="O1027" s="356"/>
      <c r="P1027" s="356"/>
      <c r="Q1027" s="356"/>
      <c r="R1027" s="362"/>
      <c r="S1027" s="493"/>
      <c r="T1027" s="493"/>
      <c r="U1027" s="493"/>
      <c r="V1027" s="493"/>
      <c r="W1027" s="493"/>
      <c r="X1027" s="493"/>
      <c r="Y1027" s="493"/>
    </row>
    <row r="1028" spans="2:25">
      <c r="B1028" s="271" t="s">
        <v>747</v>
      </c>
      <c r="C1028" s="325"/>
      <c r="D1028" s="325"/>
      <c r="E1028" s="356"/>
      <c r="F1028" s="356"/>
      <c r="G1028" s="356"/>
      <c r="H1028" s="356"/>
      <c r="I1028" s="356"/>
      <c r="J1028" s="356"/>
      <c r="K1028" s="356"/>
      <c r="L1028" s="356"/>
      <c r="M1028" s="356"/>
      <c r="N1028" s="356"/>
      <c r="O1028" s="356"/>
      <c r="P1028" s="356"/>
      <c r="Q1028" s="356"/>
      <c r="R1028" s="362"/>
      <c r="S1028" s="493"/>
      <c r="T1028" s="493"/>
      <c r="U1028" s="493"/>
      <c r="V1028" s="493"/>
      <c r="W1028" s="493"/>
      <c r="X1028" s="493"/>
      <c r="Y1028" s="493"/>
    </row>
    <row r="1029" spans="2:25">
      <c r="B1029" s="136"/>
      <c r="C1029" s="356"/>
      <c r="D1029" s="530"/>
      <c r="E1029" s="530"/>
      <c r="F1029" s="530"/>
      <c r="G1029" s="531"/>
      <c r="H1029" s="356"/>
      <c r="I1029" s="356"/>
      <c r="J1029" s="356"/>
      <c r="K1029" s="356"/>
      <c r="L1029" s="356"/>
      <c r="M1029" s="356"/>
      <c r="N1029" s="356"/>
      <c r="O1029" s="356"/>
      <c r="P1029" s="356"/>
      <c r="Q1029" s="356"/>
      <c r="R1029" s="362"/>
      <c r="S1029" s="493"/>
      <c r="T1029" s="493"/>
      <c r="U1029" s="493"/>
      <c r="V1029" s="493"/>
      <c r="W1029" s="493"/>
      <c r="X1029" s="493"/>
      <c r="Y1029" s="493"/>
    </row>
    <row r="1030" spans="2:25">
      <c r="B1030" s="271" t="s">
        <v>747</v>
      </c>
      <c r="C1030" s="346"/>
      <c r="D1030" s="325"/>
      <c r="E1030" s="530"/>
      <c r="F1030" s="530"/>
      <c r="G1030" s="531"/>
      <c r="H1030" s="356"/>
      <c r="I1030" s="356"/>
      <c r="J1030" s="356"/>
      <c r="K1030" s="356"/>
      <c r="L1030" s="356"/>
      <c r="M1030" s="356"/>
      <c r="N1030" s="356"/>
      <c r="O1030" s="356"/>
      <c r="P1030" s="356"/>
      <c r="Q1030" s="356"/>
      <c r="R1030" s="362"/>
      <c r="S1030" s="493"/>
      <c r="T1030" s="493"/>
      <c r="U1030" s="493"/>
      <c r="V1030" s="493"/>
      <c r="W1030" s="493"/>
      <c r="X1030" s="493"/>
      <c r="Y1030" s="493"/>
    </row>
    <row r="1031" spans="2:25">
      <c r="B1031" s="271" t="s">
        <v>748</v>
      </c>
      <c r="C1031" s="346" t="s">
        <v>749</v>
      </c>
      <c r="D1031" s="325" t="s">
        <v>750</v>
      </c>
      <c r="E1031" s="530"/>
      <c r="F1031" s="530"/>
      <c r="G1031" s="531"/>
      <c r="H1031" s="356"/>
      <c r="I1031" s="356"/>
      <c r="J1031" s="356"/>
      <c r="K1031" s="356"/>
      <c r="L1031" s="356"/>
      <c r="M1031" s="356"/>
      <c r="N1031" s="356"/>
      <c r="O1031" s="356"/>
      <c r="P1031" s="356"/>
      <c r="Q1031" s="356"/>
      <c r="R1031" s="362"/>
      <c r="S1031" s="493"/>
      <c r="T1031" s="493"/>
      <c r="U1031" s="493"/>
      <c r="V1031" s="493"/>
      <c r="W1031" s="493"/>
      <c r="X1031" s="493"/>
      <c r="Y1031" s="493"/>
    </row>
    <row r="1032" spans="2:25">
      <c r="B1032" s="136"/>
      <c r="C1032" s="132"/>
      <c r="D1032" s="132"/>
      <c r="E1032" s="132"/>
      <c r="F1032" s="132"/>
      <c r="G1032" s="132"/>
      <c r="H1032" s="132"/>
      <c r="I1032" s="132"/>
      <c r="J1032" s="132"/>
      <c r="K1032" s="132"/>
      <c r="L1032" s="132"/>
      <c r="M1032" s="132"/>
      <c r="N1032" s="132"/>
      <c r="O1032" s="132"/>
      <c r="P1032" s="132"/>
      <c r="Q1032" s="132"/>
      <c r="R1032" s="142"/>
    </row>
    <row r="1033" spans="2:25">
      <c r="B1033" s="136" t="s">
        <v>751</v>
      </c>
      <c r="C1033" s="132" t="s">
        <v>752</v>
      </c>
      <c r="D1033" s="356">
        <v>1</v>
      </c>
      <c r="E1033" s="132"/>
      <c r="F1033" s="132"/>
      <c r="G1033" s="132"/>
      <c r="H1033" s="132"/>
      <c r="I1033" s="132"/>
      <c r="J1033" s="132"/>
      <c r="K1033" s="132"/>
      <c r="L1033" s="132"/>
      <c r="M1033" s="132"/>
      <c r="N1033" s="132"/>
      <c r="O1033" s="132"/>
      <c r="P1033" s="132"/>
      <c r="Q1033" s="132"/>
      <c r="R1033" s="142"/>
    </row>
    <row r="1034" spans="2:25">
      <c r="B1034" s="136" t="s">
        <v>753</v>
      </c>
      <c r="C1034" s="132" t="s">
        <v>752</v>
      </c>
      <c r="D1034" s="356">
        <v>1</v>
      </c>
      <c r="E1034" s="132"/>
      <c r="F1034" s="132"/>
      <c r="G1034" s="132"/>
      <c r="H1034" s="132"/>
      <c r="I1034" s="132"/>
      <c r="J1034" s="132"/>
      <c r="K1034" s="132"/>
      <c r="L1034" s="132"/>
      <c r="M1034" s="132"/>
      <c r="N1034" s="132"/>
      <c r="O1034" s="132"/>
      <c r="P1034" s="132"/>
      <c r="Q1034" s="132"/>
      <c r="R1034" s="142"/>
    </row>
    <row r="1035" spans="2:25">
      <c r="B1035" s="136" t="s">
        <v>754</v>
      </c>
      <c r="C1035" s="132" t="s">
        <v>752</v>
      </c>
      <c r="D1035" s="356">
        <v>1</v>
      </c>
      <c r="E1035" s="132"/>
      <c r="F1035" s="132"/>
      <c r="G1035" s="132"/>
      <c r="H1035" s="132"/>
      <c r="I1035" s="132"/>
      <c r="J1035" s="132"/>
      <c r="K1035" s="132"/>
      <c r="L1035" s="132"/>
      <c r="M1035" s="132"/>
      <c r="N1035" s="132"/>
      <c r="O1035" s="132"/>
      <c r="P1035" s="132"/>
      <c r="Q1035" s="132"/>
      <c r="R1035" s="142"/>
    </row>
    <row r="1036" spans="2:25">
      <c r="B1036" s="136" t="s">
        <v>753</v>
      </c>
      <c r="C1036" s="132" t="s">
        <v>752</v>
      </c>
      <c r="D1036" s="356">
        <v>1</v>
      </c>
      <c r="E1036" s="132"/>
      <c r="F1036" s="132"/>
      <c r="G1036" s="132"/>
      <c r="H1036" s="132"/>
      <c r="I1036" s="132"/>
      <c r="J1036" s="132"/>
      <c r="K1036" s="132"/>
      <c r="L1036" s="132"/>
      <c r="M1036" s="132"/>
      <c r="N1036" s="132"/>
      <c r="O1036" s="132"/>
      <c r="P1036" s="132"/>
      <c r="Q1036" s="132"/>
      <c r="R1036" s="142"/>
    </row>
    <row r="1037" spans="2:25">
      <c r="B1037" s="271" t="s">
        <v>755</v>
      </c>
      <c r="C1037" s="325" t="s">
        <v>752</v>
      </c>
      <c r="D1037" s="581" t="s">
        <v>756</v>
      </c>
      <c r="E1037" s="132"/>
      <c r="F1037" s="132"/>
      <c r="G1037" s="132"/>
      <c r="H1037" s="132"/>
      <c r="I1037" s="132"/>
      <c r="J1037" s="132"/>
      <c r="K1037" s="132"/>
      <c r="L1037" s="132"/>
      <c r="M1037" s="132"/>
      <c r="N1037" s="132"/>
      <c r="O1037" s="132"/>
      <c r="P1037" s="132"/>
      <c r="Q1037" s="132"/>
      <c r="R1037" s="142"/>
    </row>
    <row r="1038" spans="2:25">
      <c r="B1038" s="271" t="s">
        <v>757</v>
      </c>
      <c r="C1038" s="325" t="s">
        <v>752</v>
      </c>
      <c r="D1038" s="582" t="s">
        <v>758</v>
      </c>
      <c r="E1038" s="132"/>
      <c r="F1038" s="132"/>
      <c r="G1038" s="132"/>
      <c r="H1038" s="132"/>
      <c r="I1038" s="132"/>
      <c r="J1038" s="132"/>
      <c r="K1038" s="132"/>
      <c r="L1038" s="132"/>
      <c r="M1038" s="132"/>
      <c r="N1038" s="132"/>
      <c r="O1038" s="132"/>
      <c r="P1038" s="132"/>
      <c r="Q1038" s="132"/>
      <c r="R1038" s="142"/>
    </row>
    <row r="1039" spans="2:25">
      <c r="B1039" s="136"/>
      <c r="C1039" s="132"/>
      <c r="D1039" s="132"/>
      <c r="E1039" s="132"/>
      <c r="F1039" s="132"/>
      <c r="G1039" s="132"/>
      <c r="H1039" s="132"/>
      <c r="I1039" s="132"/>
      <c r="J1039" s="132"/>
      <c r="K1039" s="132"/>
      <c r="L1039" s="132"/>
      <c r="M1039" s="132"/>
      <c r="N1039" s="132"/>
      <c r="O1039" s="132"/>
      <c r="P1039" s="132"/>
      <c r="Q1039" s="132"/>
      <c r="R1039" s="142"/>
    </row>
    <row r="1040" spans="2:25" ht="30">
      <c r="B1040" s="271"/>
      <c r="C1040" s="325" t="s">
        <v>752</v>
      </c>
      <c r="D1040" s="325"/>
      <c r="E1040" s="583" t="s">
        <v>759</v>
      </c>
      <c r="F1040" s="583" t="s">
        <v>760</v>
      </c>
      <c r="G1040" s="583" t="s">
        <v>747</v>
      </c>
      <c r="H1040" s="583" t="s">
        <v>761</v>
      </c>
      <c r="I1040" s="583" t="s">
        <v>762</v>
      </c>
      <c r="J1040" s="583" t="s">
        <v>763</v>
      </c>
      <c r="K1040" s="583" t="s">
        <v>764</v>
      </c>
      <c r="L1040" s="583" t="s">
        <v>765</v>
      </c>
      <c r="M1040" s="583" t="s">
        <v>766</v>
      </c>
      <c r="N1040" s="583" t="s">
        <v>767</v>
      </c>
      <c r="O1040" s="132"/>
      <c r="P1040" s="132"/>
      <c r="Q1040" s="132"/>
      <c r="R1040" s="142"/>
    </row>
    <row r="1041" spans="2:25">
      <c r="B1041" s="541" t="s">
        <v>768</v>
      </c>
      <c r="C1041" s="542"/>
      <c r="D1041" s="542" t="s">
        <v>769</v>
      </c>
      <c r="E1041" s="542"/>
      <c r="F1041" s="542"/>
      <c r="G1041" s="584"/>
      <c r="H1041" s="542"/>
      <c r="I1041" s="542"/>
      <c r="J1041" s="542"/>
      <c r="K1041" s="542"/>
      <c r="L1041" s="542"/>
      <c r="M1041" s="542"/>
      <c r="N1041" s="585"/>
      <c r="O1041" s="132"/>
      <c r="P1041" s="132"/>
      <c r="Q1041" s="132"/>
      <c r="R1041" s="142"/>
    </row>
    <row r="1042" spans="2:25">
      <c r="B1042" s="271" t="s">
        <v>770</v>
      </c>
      <c r="C1042" s="325" t="s">
        <v>771</v>
      </c>
      <c r="D1042" s="325" t="s">
        <v>772</v>
      </c>
      <c r="E1042" s="295">
        <f>6*30000</f>
        <v>180000</v>
      </c>
      <c r="F1042" s="295">
        <v>250000</v>
      </c>
      <c r="G1042" s="586">
        <v>27500</v>
      </c>
      <c r="H1042" s="586">
        <v>15000</v>
      </c>
      <c r="I1042" s="587">
        <v>31300</v>
      </c>
      <c r="J1042" s="588">
        <f>G1042/$E1042</f>
        <v>0.15277777777777779</v>
      </c>
      <c r="K1042" s="588">
        <f>H1042/$F1042</f>
        <v>0.06</v>
      </c>
      <c r="L1042" s="588">
        <f>I1042/$F1042</f>
        <v>0.12520000000000001</v>
      </c>
      <c r="M1042" s="588">
        <f t="shared" ref="M1042:M1047" si="135">SUM(J1042:L1042)</f>
        <v>0.33797777777777782</v>
      </c>
      <c r="N1042" s="589">
        <f t="shared" ref="N1042:N1047" si="136">SUM(K1042:L1042)</f>
        <v>0.1852</v>
      </c>
      <c r="O1042" s="132"/>
      <c r="P1042" s="132"/>
      <c r="Q1042" s="132"/>
      <c r="R1042" s="142"/>
    </row>
    <row r="1043" spans="2:25">
      <c r="B1043" s="271" t="s">
        <v>773</v>
      </c>
      <c r="C1043" s="325" t="s">
        <v>771</v>
      </c>
      <c r="D1043" s="325" t="s">
        <v>772</v>
      </c>
      <c r="E1043" s="295">
        <f>6*30000</f>
        <v>180000</v>
      </c>
      <c r="F1043" s="295">
        <v>250000</v>
      </c>
      <c r="G1043" s="586">
        <v>27500</v>
      </c>
      <c r="H1043" s="586">
        <v>15000</v>
      </c>
      <c r="I1043" s="587">
        <v>31300</v>
      </c>
      <c r="J1043" s="588">
        <f>G1043/$E1043</f>
        <v>0.15277777777777779</v>
      </c>
      <c r="K1043" s="588">
        <f t="shared" ref="K1043:L1047" si="137">H1043/$F1043</f>
        <v>0.06</v>
      </c>
      <c r="L1043" s="588">
        <f t="shared" si="137"/>
        <v>0.12520000000000001</v>
      </c>
      <c r="M1043" s="588">
        <f t="shared" si="135"/>
        <v>0.33797777777777782</v>
      </c>
      <c r="N1043" s="589">
        <f t="shared" si="136"/>
        <v>0.1852</v>
      </c>
      <c r="O1043" s="132"/>
      <c r="P1043" s="132"/>
      <c r="Q1043" s="132"/>
      <c r="R1043" s="142"/>
    </row>
    <row r="1044" spans="2:25">
      <c r="B1044" s="271" t="s">
        <v>774</v>
      </c>
      <c r="C1044" s="325" t="s">
        <v>775</v>
      </c>
      <c r="D1044" s="325" t="s">
        <v>772</v>
      </c>
      <c r="E1044" s="295">
        <f>6*15000</f>
        <v>90000</v>
      </c>
      <c r="F1044" s="295">
        <v>250000</v>
      </c>
      <c r="G1044" s="586">
        <v>27500</v>
      </c>
      <c r="H1044" s="586">
        <v>15000</v>
      </c>
      <c r="I1044" s="587">
        <v>31300</v>
      </c>
      <c r="J1044" s="588">
        <f>G1044/$E1044</f>
        <v>0.30555555555555558</v>
      </c>
      <c r="K1044" s="588">
        <f t="shared" si="137"/>
        <v>0.06</v>
      </c>
      <c r="L1044" s="588">
        <f t="shared" si="137"/>
        <v>0.12520000000000001</v>
      </c>
      <c r="M1044" s="588">
        <f t="shared" si="135"/>
        <v>0.49075555555555561</v>
      </c>
      <c r="N1044" s="589">
        <f t="shared" si="136"/>
        <v>0.1852</v>
      </c>
      <c r="O1044" s="132"/>
      <c r="P1044" s="132"/>
      <c r="Q1044" s="132"/>
      <c r="R1044" s="142"/>
    </row>
    <row r="1045" spans="2:25">
      <c r="B1045" s="271" t="s">
        <v>307</v>
      </c>
      <c r="C1045" s="325" t="s">
        <v>752</v>
      </c>
      <c r="D1045" s="325" t="s">
        <v>776</v>
      </c>
      <c r="E1045" s="295"/>
      <c r="F1045" s="295">
        <v>250000</v>
      </c>
      <c r="G1045" s="325"/>
      <c r="H1045" s="586">
        <v>20000</v>
      </c>
      <c r="I1045" s="586">
        <v>10500</v>
      </c>
      <c r="J1045" s="325"/>
      <c r="K1045" s="588">
        <f t="shared" si="137"/>
        <v>0.08</v>
      </c>
      <c r="L1045" s="588">
        <f t="shared" si="137"/>
        <v>4.2000000000000003E-2</v>
      </c>
      <c r="M1045" s="588">
        <f t="shared" si="135"/>
        <v>0.122</v>
      </c>
      <c r="N1045" s="589">
        <f t="shared" si="136"/>
        <v>0.122</v>
      </c>
      <c r="O1045" s="132"/>
      <c r="P1045" s="132"/>
      <c r="Q1045" s="132"/>
      <c r="R1045" s="142"/>
    </row>
    <row r="1046" spans="2:25">
      <c r="B1046" s="271" t="s">
        <v>777</v>
      </c>
      <c r="C1046" s="325" t="s">
        <v>752</v>
      </c>
      <c r="D1046" s="325" t="s">
        <v>772</v>
      </c>
      <c r="E1046" s="295"/>
      <c r="F1046" s="295">
        <v>250000</v>
      </c>
      <c r="G1046" s="325"/>
      <c r="H1046" s="586">
        <v>15000</v>
      </c>
      <c r="I1046" s="586">
        <v>10500</v>
      </c>
      <c r="J1046" s="325"/>
      <c r="K1046" s="588">
        <f t="shared" si="137"/>
        <v>0.06</v>
      </c>
      <c r="L1046" s="588">
        <f t="shared" si="137"/>
        <v>4.2000000000000003E-2</v>
      </c>
      <c r="M1046" s="588">
        <f t="shared" si="135"/>
        <v>0.10200000000000001</v>
      </c>
      <c r="N1046" s="589">
        <f t="shared" si="136"/>
        <v>0.10200000000000001</v>
      </c>
      <c r="O1046" s="132"/>
      <c r="P1046" s="132"/>
      <c r="Q1046" s="132"/>
      <c r="R1046" s="142"/>
    </row>
    <row r="1047" spans="2:25">
      <c r="B1047" s="544" t="s">
        <v>306</v>
      </c>
      <c r="C1047" s="339" t="s">
        <v>752</v>
      </c>
      <c r="D1047" s="339" t="s">
        <v>772</v>
      </c>
      <c r="E1047" s="545"/>
      <c r="F1047" s="545">
        <v>250000</v>
      </c>
      <c r="G1047" s="339"/>
      <c r="H1047" s="590">
        <v>15000</v>
      </c>
      <c r="I1047" s="590">
        <v>10500</v>
      </c>
      <c r="J1047" s="339"/>
      <c r="K1047" s="591">
        <f t="shared" si="137"/>
        <v>0.06</v>
      </c>
      <c r="L1047" s="591">
        <f t="shared" si="137"/>
        <v>4.2000000000000003E-2</v>
      </c>
      <c r="M1047" s="591">
        <f t="shared" si="135"/>
        <v>0.10200000000000001</v>
      </c>
      <c r="N1047" s="592">
        <f t="shared" si="136"/>
        <v>0.10200000000000001</v>
      </c>
      <c r="O1047" s="132"/>
      <c r="P1047" s="132"/>
      <c r="Q1047" s="132"/>
      <c r="R1047" s="142"/>
    </row>
    <row r="1048" spans="2:25">
      <c r="B1048" s="136"/>
      <c r="C1048" s="132"/>
      <c r="D1048" s="132"/>
      <c r="E1048" s="132"/>
      <c r="F1048" s="132"/>
      <c r="G1048" s="132"/>
      <c r="H1048" s="132"/>
      <c r="I1048" s="132"/>
      <c r="J1048" s="132"/>
      <c r="K1048" s="132"/>
      <c r="L1048" s="132"/>
      <c r="M1048" s="132"/>
      <c r="N1048" s="132"/>
      <c r="O1048" s="132"/>
      <c r="P1048" s="132"/>
      <c r="Q1048" s="132"/>
      <c r="R1048" s="142"/>
    </row>
    <row r="1049" spans="2:25">
      <c r="B1049" s="271" t="s">
        <v>778</v>
      </c>
      <c r="C1049" s="325" t="s">
        <v>779</v>
      </c>
      <c r="D1049" s="346">
        <v>0.52</v>
      </c>
      <c r="E1049" s="132"/>
      <c r="F1049" s="356"/>
      <c r="G1049" s="356"/>
      <c r="H1049" s="356"/>
      <c r="I1049" s="356"/>
      <c r="J1049" s="356"/>
      <c r="K1049" s="356"/>
      <c r="L1049" s="356"/>
      <c r="M1049" s="356"/>
      <c r="N1049" s="356"/>
      <c r="O1049" s="356"/>
      <c r="P1049" s="356"/>
      <c r="Q1049" s="356"/>
      <c r="R1049" s="362"/>
      <c r="S1049" s="493"/>
      <c r="T1049" s="493"/>
      <c r="U1049" s="493"/>
      <c r="V1049" s="493"/>
      <c r="W1049" s="493"/>
      <c r="X1049" s="493"/>
      <c r="Y1049" s="493"/>
    </row>
    <row r="1050" spans="2:25">
      <c r="B1050" s="271" t="s">
        <v>780</v>
      </c>
      <c r="C1050" s="325" t="s">
        <v>779</v>
      </c>
      <c r="D1050" s="346">
        <v>0.73</v>
      </c>
      <c r="E1050" s="132"/>
      <c r="F1050" s="356"/>
      <c r="G1050" s="356"/>
      <c r="H1050" s="356"/>
      <c r="I1050" s="356"/>
      <c r="J1050" s="356"/>
      <c r="K1050" s="356"/>
      <c r="L1050" s="356"/>
      <c r="M1050" s="356"/>
      <c r="N1050" s="356"/>
      <c r="O1050" s="356"/>
      <c r="P1050" s="356"/>
      <c r="Q1050" s="356"/>
      <c r="R1050" s="362"/>
      <c r="S1050" s="493"/>
      <c r="T1050" s="493"/>
      <c r="U1050" s="493"/>
      <c r="V1050" s="493"/>
      <c r="W1050" s="493"/>
      <c r="X1050" s="493"/>
      <c r="Y1050" s="493"/>
    </row>
    <row r="1051" spans="2:25">
      <c r="B1051" s="271" t="s">
        <v>781</v>
      </c>
      <c r="C1051" s="325" t="s">
        <v>779</v>
      </c>
      <c r="D1051" s="346">
        <f>0.52+0.73</f>
        <v>1.25</v>
      </c>
      <c r="E1051" s="132"/>
      <c r="F1051" s="356"/>
      <c r="G1051" s="356"/>
      <c r="H1051" s="356"/>
      <c r="I1051" s="356"/>
      <c r="J1051" s="356"/>
      <c r="K1051" s="356"/>
      <c r="L1051" s="356"/>
      <c r="M1051" s="356"/>
      <c r="N1051" s="356"/>
      <c r="O1051" s="356"/>
      <c r="P1051" s="356"/>
      <c r="Q1051" s="356"/>
      <c r="R1051" s="362"/>
      <c r="S1051" s="493"/>
      <c r="T1051" s="493"/>
      <c r="U1051" s="493"/>
      <c r="V1051" s="493"/>
      <c r="W1051" s="493"/>
      <c r="X1051" s="493"/>
      <c r="Y1051" s="493"/>
    </row>
    <row r="1052" spans="2:25">
      <c r="B1052" s="271" t="s">
        <v>782</v>
      </c>
      <c r="C1052" s="325" t="s">
        <v>779</v>
      </c>
      <c r="D1052" s="346">
        <v>0.42</v>
      </c>
      <c r="E1052" s="132"/>
      <c r="F1052" s="356"/>
      <c r="G1052" s="356"/>
      <c r="H1052" s="356"/>
      <c r="I1052" s="356"/>
      <c r="J1052" s="356"/>
      <c r="K1052" s="356"/>
      <c r="L1052" s="356"/>
      <c r="M1052" s="356"/>
      <c r="N1052" s="356"/>
      <c r="O1052" s="356"/>
      <c r="P1052" s="356"/>
      <c r="Q1052" s="356"/>
      <c r="R1052" s="362"/>
      <c r="S1052" s="493"/>
      <c r="T1052" s="493"/>
      <c r="U1052" s="493"/>
      <c r="V1052" s="493"/>
      <c r="W1052" s="493"/>
      <c r="X1052" s="493"/>
      <c r="Y1052" s="493"/>
    </row>
    <row r="1053" spans="2:25">
      <c r="B1053" s="271" t="s">
        <v>783</v>
      </c>
      <c r="C1053" s="325" t="s">
        <v>779</v>
      </c>
      <c r="D1053" s="346">
        <v>0.84</v>
      </c>
      <c r="E1053" s="132"/>
      <c r="F1053" s="356"/>
      <c r="G1053" s="356"/>
      <c r="H1053" s="356"/>
      <c r="I1053" s="356"/>
      <c r="J1053" s="356"/>
      <c r="K1053" s="356"/>
      <c r="L1053" s="356"/>
      <c r="M1053" s="356"/>
      <c r="N1053" s="356"/>
      <c r="O1053" s="356"/>
      <c r="P1053" s="356"/>
      <c r="Q1053" s="356"/>
      <c r="R1053" s="362"/>
      <c r="S1053" s="493"/>
      <c r="T1053" s="493"/>
      <c r="U1053" s="493"/>
      <c r="V1053" s="493"/>
      <c r="W1053" s="493"/>
      <c r="X1053" s="493"/>
      <c r="Y1053" s="493"/>
    </row>
    <row r="1054" spans="2:25">
      <c r="B1054" s="271" t="s">
        <v>784</v>
      </c>
      <c r="C1054" s="325" t="s">
        <v>779</v>
      </c>
      <c r="D1054" s="346">
        <f>0.42+0.84</f>
        <v>1.26</v>
      </c>
      <c r="E1054" s="132"/>
      <c r="F1054" s="132"/>
      <c r="G1054" s="132"/>
      <c r="H1054" s="356"/>
      <c r="I1054" s="356"/>
      <c r="J1054" s="356"/>
      <c r="K1054" s="356"/>
      <c r="L1054" s="356"/>
      <c r="M1054" s="356"/>
      <c r="N1054" s="356"/>
      <c r="O1054" s="356"/>
      <c r="P1054" s="356"/>
      <c r="Q1054" s="356"/>
      <c r="R1054" s="362"/>
      <c r="S1054" s="493"/>
      <c r="T1054" s="493"/>
      <c r="U1054" s="493"/>
      <c r="V1054" s="493"/>
      <c r="W1054" s="493"/>
      <c r="X1054" s="493"/>
      <c r="Y1054" s="493"/>
    </row>
    <row r="1055" spans="2:25">
      <c r="B1055" s="136"/>
      <c r="C1055" s="132"/>
      <c r="D1055" s="132"/>
      <c r="E1055" s="132"/>
      <c r="F1055" s="132"/>
      <c r="G1055" s="132"/>
      <c r="H1055" s="356"/>
      <c r="I1055" s="356"/>
      <c r="J1055" s="356"/>
      <c r="K1055" s="356"/>
      <c r="L1055" s="356"/>
      <c r="M1055" s="356"/>
      <c r="N1055" s="356"/>
      <c r="O1055" s="356"/>
      <c r="P1055" s="356"/>
      <c r="Q1055" s="356"/>
      <c r="R1055" s="362"/>
      <c r="S1055" s="493"/>
      <c r="T1055" s="493"/>
      <c r="U1055" s="493"/>
      <c r="V1055" s="493"/>
      <c r="W1055" s="493"/>
      <c r="X1055" s="493"/>
      <c r="Y1055" s="493"/>
    </row>
    <row r="1056" spans="2:25">
      <c r="B1056" s="136" t="s">
        <v>785</v>
      </c>
      <c r="C1056" s="132" t="s">
        <v>786</v>
      </c>
      <c r="D1056" s="565">
        <v>0.12</v>
      </c>
      <c r="E1056" s="132"/>
      <c r="F1056" s="132"/>
      <c r="G1056" s="565"/>
      <c r="H1056" s="132"/>
      <c r="I1056" s="132"/>
      <c r="J1056" s="132"/>
      <c r="K1056" s="132"/>
      <c r="L1056" s="132"/>
      <c r="M1056" s="132"/>
      <c r="N1056" s="132"/>
      <c r="O1056" s="132"/>
      <c r="P1056" s="132"/>
      <c r="Q1056" s="132"/>
      <c r="R1056" s="142"/>
    </row>
    <row r="1057" spans="2:25">
      <c r="B1057" s="136" t="s">
        <v>787</v>
      </c>
      <c r="C1057" s="132" t="s">
        <v>786</v>
      </c>
      <c r="D1057" s="565">
        <v>0.35</v>
      </c>
      <c r="E1057" s="132"/>
      <c r="F1057" s="132"/>
      <c r="G1057" s="132"/>
      <c r="H1057" s="132"/>
      <c r="I1057" s="132"/>
      <c r="J1057" s="132"/>
      <c r="K1057" s="132"/>
      <c r="L1057" s="132"/>
      <c r="M1057" s="132"/>
      <c r="N1057" s="132"/>
      <c r="O1057" s="132"/>
      <c r="P1057" s="132"/>
      <c r="Q1057" s="132"/>
      <c r="R1057" s="142"/>
    </row>
    <row r="1058" spans="2:25">
      <c r="B1058" s="136" t="s">
        <v>788</v>
      </c>
      <c r="C1058" s="132" t="s">
        <v>786</v>
      </c>
      <c r="D1058" s="565">
        <v>0.02</v>
      </c>
      <c r="E1058" s="132"/>
      <c r="F1058" s="132"/>
      <c r="G1058" s="132"/>
      <c r="H1058" s="132"/>
      <c r="I1058" s="132"/>
      <c r="J1058" s="132"/>
      <c r="K1058" s="132"/>
      <c r="L1058" s="132"/>
      <c r="M1058" s="132"/>
      <c r="N1058" s="132"/>
      <c r="O1058" s="132"/>
      <c r="P1058" s="132"/>
      <c r="Q1058" s="132"/>
      <c r="R1058" s="142"/>
    </row>
    <row r="1059" spans="2:25">
      <c r="B1059" s="87" t="s">
        <v>789</v>
      </c>
      <c r="C1059" s="132" t="s">
        <v>786</v>
      </c>
      <c r="D1059" s="593">
        <v>0.5</v>
      </c>
      <c r="E1059" s="132"/>
      <c r="F1059" s="132"/>
      <c r="G1059" s="132"/>
      <c r="H1059" s="132"/>
      <c r="I1059" s="132"/>
      <c r="J1059" s="132"/>
      <c r="K1059" s="132"/>
      <c r="L1059" s="132"/>
      <c r="M1059" s="132"/>
      <c r="N1059" s="132"/>
      <c r="O1059" s="132"/>
      <c r="P1059" s="132"/>
      <c r="Q1059" s="132"/>
      <c r="R1059" s="142"/>
    </row>
    <row r="1060" spans="2:25">
      <c r="B1060" s="136"/>
      <c r="C1060" s="132"/>
      <c r="D1060" s="132"/>
      <c r="E1060" s="132"/>
      <c r="F1060" s="132"/>
      <c r="G1060" s="132"/>
      <c r="H1060" s="132"/>
      <c r="I1060" s="132"/>
      <c r="J1060" s="132"/>
      <c r="K1060" s="132"/>
      <c r="L1060" s="132"/>
      <c r="M1060" s="132"/>
      <c r="N1060" s="132"/>
      <c r="O1060" s="132"/>
      <c r="P1060" s="132"/>
      <c r="Q1060" s="132"/>
      <c r="R1060" s="142"/>
    </row>
    <row r="1061" spans="2:25">
      <c r="B1061" s="136" t="s">
        <v>790</v>
      </c>
      <c r="C1061" s="132" t="s">
        <v>791</v>
      </c>
      <c r="D1061" s="565">
        <f>(907+7242+3886)/(94448+103169+103062)</f>
        <v>4.0026074318459219E-2</v>
      </c>
      <c r="E1061" s="132"/>
      <c r="F1061" s="132"/>
      <c r="G1061" s="132"/>
      <c r="H1061" s="132"/>
      <c r="I1061" s="132"/>
      <c r="J1061" s="132"/>
      <c r="K1061" s="132"/>
      <c r="L1061" s="132"/>
      <c r="M1061" s="132"/>
      <c r="N1061" s="132"/>
      <c r="O1061" s="132"/>
      <c r="P1061" s="132"/>
      <c r="Q1061" s="132"/>
      <c r="R1061" s="142"/>
    </row>
    <row r="1062" spans="2:25">
      <c r="B1062" s="136" t="s">
        <v>785</v>
      </c>
      <c r="C1062" s="132" t="s">
        <v>791</v>
      </c>
      <c r="D1062" s="565">
        <f>(29477+12885+6481)/(94448+103169+103062)</f>
        <v>0.16244233883975934</v>
      </c>
      <c r="E1062" s="132"/>
      <c r="F1062" s="132"/>
      <c r="G1062" s="132"/>
      <c r="H1062" s="132"/>
      <c r="I1062" s="132"/>
      <c r="J1062" s="132"/>
      <c r="K1062" s="132"/>
      <c r="L1062" s="132"/>
      <c r="M1062" s="132"/>
      <c r="N1062" s="132"/>
      <c r="O1062" s="132"/>
      <c r="P1062" s="132"/>
      <c r="Q1062" s="132"/>
      <c r="R1062" s="142"/>
    </row>
    <row r="1063" spans="2:25">
      <c r="B1063" s="136" t="s">
        <v>792</v>
      </c>
      <c r="C1063" s="132" t="s">
        <v>791</v>
      </c>
      <c r="D1063" s="565">
        <f>(77545+74886+75248)/(94448+103169+103062)</f>
        <v>0.75721616740776709</v>
      </c>
      <c r="E1063" s="132"/>
      <c r="F1063" s="132"/>
      <c r="G1063" s="132"/>
      <c r="H1063" s="132"/>
      <c r="I1063" s="132"/>
      <c r="J1063" s="132"/>
      <c r="K1063" s="132"/>
      <c r="L1063" s="132"/>
      <c r="M1063" s="132"/>
      <c r="N1063" s="132"/>
      <c r="O1063" s="132"/>
      <c r="P1063" s="132"/>
      <c r="Q1063" s="132"/>
      <c r="R1063" s="142"/>
    </row>
    <row r="1064" spans="2:25">
      <c r="B1064" s="136" t="s">
        <v>793</v>
      </c>
      <c r="C1064" s="132" t="s">
        <v>791</v>
      </c>
      <c r="D1064" s="565">
        <f>(19770+44356+39607)/(94448+103169+103062)</f>
        <v>0.34499582611356294</v>
      </c>
      <c r="E1064" s="132"/>
      <c r="F1064" s="132"/>
      <c r="G1064" s="132"/>
      <c r="H1064" s="132"/>
      <c r="I1064" s="132"/>
      <c r="J1064" s="132"/>
      <c r="K1064" s="132"/>
      <c r="L1064" s="132"/>
      <c r="M1064" s="132"/>
      <c r="N1064" s="132"/>
      <c r="O1064" s="132"/>
      <c r="P1064" s="132"/>
      <c r="Q1064" s="132"/>
      <c r="R1064" s="142"/>
    </row>
    <row r="1065" spans="2:25">
      <c r="B1065" s="87" t="s">
        <v>789</v>
      </c>
      <c r="C1065" s="132" t="s">
        <v>791</v>
      </c>
      <c r="D1065" s="593">
        <f>(127699+139369+125222)/(94448+103169+103062)</f>
        <v>1.3046804066795485</v>
      </c>
      <c r="E1065" s="132"/>
      <c r="F1065" s="132"/>
      <c r="G1065" s="132"/>
      <c r="H1065" s="132"/>
      <c r="I1065" s="132"/>
      <c r="J1065" s="132"/>
      <c r="K1065" s="132"/>
      <c r="L1065" s="132"/>
      <c r="M1065" s="132"/>
      <c r="N1065" s="132"/>
      <c r="O1065" s="132"/>
      <c r="P1065" s="132"/>
      <c r="Q1065" s="132"/>
      <c r="R1065" s="142"/>
    </row>
    <row r="1066" spans="2:25">
      <c r="B1066" s="87"/>
      <c r="C1066" s="160"/>
      <c r="D1066" s="593"/>
      <c r="E1066" s="132"/>
      <c r="F1066" s="132"/>
      <c r="G1066" s="132"/>
      <c r="H1066" s="132"/>
      <c r="I1066" s="132"/>
      <c r="J1066" s="132"/>
      <c r="K1066" s="132"/>
      <c r="L1066" s="132"/>
      <c r="M1066" s="132"/>
      <c r="N1066" s="132"/>
      <c r="O1066" s="132"/>
      <c r="P1066" s="132"/>
      <c r="Q1066" s="132"/>
      <c r="R1066" s="142"/>
    </row>
    <row r="1067" spans="2:25">
      <c r="B1067" s="87" t="s">
        <v>754</v>
      </c>
      <c r="C1067" s="160" t="s">
        <v>794</v>
      </c>
      <c r="D1067" s="593">
        <f>AVERAGE(D1035,D1059,D1065)</f>
        <v>0.93489346889318281</v>
      </c>
      <c r="E1067" s="132"/>
      <c r="F1067" s="132"/>
      <c r="G1067" s="132"/>
      <c r="H1067" s="132"/>
      <c r="I1067" s="132"/>
      <c r="J1067" s="132"/>
      <c r="K1067" s="132"/>
      <c r="L1067" s="132"/>
      <c r="M1067" s="132"/>
      <c r="N1067" s="132"/>
      <c r="O1067" s="132"/>
      <c r="P1067" s="132"/>
      <c r="Q1067" s="132"/>
      <c r="R1067" s="142"/>
    </row>
    <row r="1068" spans="2:25">
      <c r="B1068" s="87"/>
      <c r="C1068" s="160"/>
      <c r="D1068" s="160"/>
      <c r="E1068" s="132"/>
      <c r="F1068" s="132"/>
      <c r="G1068" s="132"/>
      <c r="H1068" s="132"/>
      <c r="I1068" s="132"/>
      <c r="J1068" s="132"/>
      <c r="K1068" s="132"/>
      <c r="L1068" s="132"/>
      <c r="M1068" s="132"/>
      <c r="N1068" s="132"/>
      <c r="O1068" s="132"/>
      <c r="P1068" s="132"/>
      <c r="Q1068" s="132"/>
      <c r="R1068" s="142"/>
    </row>
    <row r="1069" spans="2:25">
      <c r="B1069" s="337" t="s">
        <v>795</v>
      </c>
      <c r="C1069" s="594" t="s">
        <v>796</v>
      </c>
      <c r="D1069" s="364" t="s">
        <v>573</v>
      </c>
      <c r="E1069" s="338" t="s">
        <v>797</v>
      </c>
      <c r="F1069" s="356"/>
      <c r="G1069" s="356"/>
      <c r="H1069" s="356"/>
      <c r="I1069" s="356"/>
      <c r="J1069" s="356"/>
      <c r="K1069" s="356"/>
      <c r="L1069" s="356"/>
      <c r="M1069" s="356"/>
      <c r="N1069" s="356"/>
      <c r="O1069" s="356"/>
      <c r="P1069" s="356"/>
      <c r="Q1069" s="356"/>
      <c r="R1069" s="362"/>
      <c r="S1069" s="493"/>
      <c r="T1069" s="493"/>
      <c r="U1069" s="493"/>
      <c r="V1069" s="493"/>
      <c r="W1069" s="493"/>
      <c r="X1069" s="493"/>
      <c r="Y1069" s="493"/>
    </row>
    <row r="1070" spans="2:25">
      <c r="B1070" s="341" t="s">
        <v>798</v>
      </c>
      <c r="C1070" s="360" t="s">
        <v>799</v>
      </c>
      <c r="D1070" s="595">
        <f>$D$1105</f>
        <v>0.20400000000000001</v>
      </c>
      <c r="E1070" s="596" t="s">
        <v>800</v>
      </c>
      <c r="F1070" s="534"/>
      <c r="G1070" s="534"/>
      <c r="H1070" s="534"/>
      <c r="I1070" s="534"/>
      <c r="J1070" s="534"/>
      <c r="K1070" s="534"/>
      <c r="L1070" s="534"/>
      <c r="M1070" s="534"/>
      <c r="N1070" s="534"/>
      <c r="O1070" s="534"/>
      <c r="P1070" s="534"/>
      <c r="Q1070" s="534"/>
      <c r="R1070" s="535"/>
      <c r="S1070" s="493"/>
      <c r="T1070" s="493"/>
      <c r="U1070" s="493"/>
      <c r="V1070" s="493"/>
      <c r="W1070" s="493"/>
      <c r="X1070" s="493"/>
      <c r="Y1070" s="493"/>
    </row>
    <row r="1071" spans="2:25">
      <c r="B1071" s="136" t="s">
        <v>801</v>
      </c>
      <c r="C1071" s="356" t="s">
        <v>799</v>
      </c>
      <c r="D1071" s="534">
        <f>G1105</f>
        <v>0.20100000000000001</v>
      </c>
      <c r="E1071" s="597" t="s">
        <v>800</v>
      </c>
      <c r="F1071" s="534"/>
      <c r="G1071" s="534"/>
      <c r="H1071" s="534"/>
      <c r="I1071" s="534"/>
      <c r="J1071" s="534"/>
      <c r="K1071" s="534"/>
      <c r="L1071" s="534"/>
      <c r="M1071" s="534"/>
      <c r="N1071" s="534"/>
      <c r="O1071" s="534"/>
      <c r="P1071" s="534"/>
      <c r="Q1071" s="534"/>
      <c r="R1071" s="535"/>
      <c r="S1071" s="493"/>
      <c r="T1071" s="493"/>
      <c r="U1071" s="493"/>
      <c r="V1071" s="493"/>
      <c r="W1071" s="493"/>
      <c r="X1071" s="493"/>
      <c r="Y1071" s="493"/>
    </row>
    <row r="1072" spans="2:25">
      <c r="B1072" s="136" t="s">
        <v>802</v>
      </c>
      <c r="C1072" s="356" t="s">
        <v>799</v>
      </c>
      <c r="D1072" s="534">
        <f>$J$1105</f>
        <v>0.19900000000000001</v>
      </c>
      <c r="E1072" s="597" t="s">
        <v>800</v>
      </c>
      <c r="F1072" s="534"/>
      <c r="G1072" s="534"/>
      <c r="H1072" s="534"/>
      <c r="I1072" s="534"/>
      <c r="J1072" s="534"/>
      <c r="K1072" s="534"/>
      <c r="L1072" s="534"/>
      <c r="M1072" s="534"/>
      <c r="N1072" s="534"/>
      <c r="O1072" s="534"/>
      <c r="P1072" s="534"/>
      <c r="Q1072" s="534"/>
      <c r="R1072" s="535"/>
      <c r="S1072" s="493"/>
      <c r="T1072" s="493"/>
      <c r="U1072" s="493"/>
      <c r="V1072" s="493"/>
      <c r="W1072" s="493"/>
      <c r="X1072" s="493"/>
      <c r="Y1072" s="493"/>
    </row>
    <row r="1073" spans="2:25">
      <c r="B1073" s="136" t="s">
        <v>803</v>
      </c>
      <c r="C1073" s="356" t="s">
        <v>799</v>
      </c>
      <c r="D1073" s="534">
        <f>$M$1105</f>
        <v>0.20400000000000001</v>
      </c>
      <c r="E1073" s="597" t="s">
        <v>800</v>
      </c>
      <c r="F1073" s="534"/>
      <c r="G1073" s="534"/>
      <c r="H1073" s="534"/>
      <c r="I1073" s="534"/>
      <c r="J1073" s="534"/>
      <c r="K1073" s="534"/>
      <c r="L1073" s="534"/>
      <c r="M1073" s="534"/>
      <c r="N1073" s="534"/>
      <c r="O1073" s="534"/>
      <c r="P1073" s="534"/>
      <c r="Q1073" s="534"/>
      <c r="R1073" s="535"/>
      <c r="S1073" s="493"/>
      <c r="T1073" s="493"/>
      <c r="U1073" s="493"/>
      <c r="V1073" s="493"/>
      <c r="W1073" s="493"/>
      <c r="X1073" s="493"/>
      <c r="Y1073" s="493"/>
    </row>
    <row r="1074" spans="2:25">
      <c r="B1074" s="337" t="s">
        <v>804</v>
      </c>
      <c r="C1074" s="364" t="s">
        <v>799</v>
      </c>
      <c r="D1074" s="598">
        <f>$P$1105</f>
        <v>0.19400000000000001</v>
      </c>
      <c r="E1074" s="599" t="s">
        <v>800</v>
      </c>
      <c r="F1074" s="534"/>
      <c r="G1074" s="534"/>
      <c r="H1074" s="534"/>
      <c r="I1074" s="534"/>
      <c r="J1074" s="534"/>
      <c r="K1074" s="534"/>
      <c r="L1074" s="534"/>
      <c r="M1074" s="534"/>
      <c r="N1074" s="534"/>
      <c r="O1074" s="534"/>
      <c r="P1074" s="534"/>
      <c r="Q1074" s="534"/>
      <c r="R1074" s="535"/>
      <c r="S1074" s="493"/>
      <c r="T1074" s="493"/>
      <c r="U1074" s="493"/>
      <c r="V1074" s="493"/>
      <c r="W1074" s="493"/>
      <c r="X1074" s="493"/>
      <c r="Y1074" s="493"/>
    </row>
    <row r="1075" spans="2:25">
      <c r="B1075" s="341" t="s">
        <v>805</v>
      </c>
      <c r="C1075" s="360" t="s">
        <v>806</v>
      </c>
      <c r="D1075" s="595">
        <f>$E$1105</f>
        <v>0.21700000000000003</v>
      </c>
      <c r="E1075" s="596">
        <f>D1075-D$1070</f>
        <v>1.3000000000000012E-2</v>
      </c>
      <c r="F1075" s="534"/>
      <c r="G1075" s="534"/>
      <c r="H1075" s="534"/>
      <c r="I1075" s="534"/>
      <c r="J1075" s="534"/>
      <c r="K1075" s="534"/>
      <c r="L1075" s="534"/>
      <c r="M1075" s="534"/>
      <c r="N1075" s="534"/>
      <c r="O1075" s="534"/>
      <c r="P1075" s="534"/>
      <c r="Q1075" s="534"/>
      <c r="R1075" s="535"/>
      <c r="S1075" s="493"/>
      <c r="T1075" s="493"/>
      <c r="U1075" s="493"/>
      <c r="V1075" s="493"/>
      <c r="W1075" s="493"/>
      <c r="X1075" s="493"/>
      <c r="Y1075" s="493"/>
    </row>
    <row r="1076" spans="2:25">
      <c r="B1076" s="136" t="s">
        <v>807</v>
      </c>
      <c r="C1076" s="356" t="s">
        <v>806</v>
      </c>
      <c r="D1076" s="534">
        <f>$H$1105</f>
        <v>0.21600000000000003</v>
      </c>
      <c r="E1076" s="597">
        <f>D1076-D$1071</f>
        <v>1.5000000000000013E-2</v>
      </c>
      <c r="F1076" s="534"/>
      <c r="G1076" s="534"/>
      <c r="H1076" s="534"/>
      <c r="I1076" s="534"/>
      <c r="J1076" s="534"/>
      <c r="K1076" s="534"/>
      <c r="L1076" s="534"/>
      <c r="M1076" s="534"/>
      <c r="N1076" s="534"/>
      <c r="O1076" s="534"/>
      <c r="P1076" s="534"/>
      <c r="Q1076" s="534"/>
      <c r="R1076" s="535"/>
      <c r="S1076" s="493"/>
      <c r="T1076" s="493"/>
      <c r="U1076" s="493"/>
      <c r="V1076" s="493"/>
      <c r="W1076" s="493"/>
      <c r="X1076" s="493"/>
      <c r="Y1076" s="493"/>
    </row>
    <row r="1077" spans="2:25">
      <c r="B1077" s="136" t="s">
        <v>808</v>
      </c>
      <c r="C1077" s="356" t="s">
        <v>806</v>
      </c>
      <c r="D1077" s="534">
        <f>$K$1105</f>
        <v>0.21800000000000003</v>
      </c>
      <c r="E1077" s="597">
        <f>D1077-D$1072</f>
        <v>1.9000000000000017E-2</v>
      </c>
      <c r="F1077" s="534"/>
      <c r="G1077" s="534"/>
      <c r="H1077" s="534"/>
      <c r="I1077" s="534"/>
      <c r="J1077" s="534"/>
      <c r="K1077" s="534"/>
      <c r="L1077" s="534"/>
      <c r="M1077" s="534"/>
      <c r="N1077" s="534"/>
      <c r="O1077" s="534"/>
      <c r="P1077" s="534"/>
      <c r="Q1077" s="534"/>
      <c r="R1077" s="535"/>
      <c r="S1077" s="493"/>
      <c r="T1077" s="493"/>
      <c r="U1077" s="493"/>
      <c r="V1077" s="493"/>
      <c r="W1077" s="493"/>
      <c r="X1077" s="493"/>
      <c r="Y1077" s="493"/>
    </row>
    <row r="1078" spans="2:25">
      <c r="B1078" s="136" t="s">
        <v>809</v>
      </c>
      <c r="C1078" s="356" t="s">
        <v>806</v>
      </c>
      <c r="D1078" s="534">
        <f>$N$1105</f>
        <v>0.224</v>
      </c>
      <c r="E1078" s="597">
        <f>D1078-D$1073</f>
        <v>1.999999999999999E-2</v>
      </c>
      <c r="F1078" s="534"/>
      <c r="G1078" s="534"/>
      <c r="H1078" s="534"/>
      <c r="I1078" s="534"/>
      <c r="J1078" s="534"/>
      <c r="K1078" s="534"/>
      <c r="L1078" s="534"/>
      <c r="M1078" s="534"/>
      <c r="N1078" s="534"/>
      <c r="O1078" s="534"/>
      <c r="P1078" s="534"/>
      <c r="Q1078" s="534"/>
      <c r="R1078" s="535"/>
      <c r="S1078" s="493"/>
      <c r="T1078" s="493"/>
      <c r="U1078" s="493"/>
      <c r="V1078" s="493"/>
      <c r="W1078" s="493"/>
      <c r="X1078" s="493"/>
      <c r="Y1078" s="493"/>
    </row>
    <row r="1079" spans="2:25">
      <c r="B1079" s="337" t="s">
        <v>810</v>
      </c>
      <c r="C1079" s="364" t="s">
        <v>806</v>
      </c>
      <c r="D1079" s="598">
        <f>$Q$1105</f>
        <v>0.21100000000000002</v>
      </c>
      <c r="E1079" s="599">
        <f>D1079-D$1074</f>
        <v>1.7000000000000015E-2</v>
      </c>
      <c r="F1079" s="534"/>
      <c r="G1079" s="534"/>
      <c r="H1079" s="534"/>
      <c r="I1079" s="534"/>
      <c r="J1079" s="534"/>
      <c r="K1079" s="534"/>
      <c r="L1079" s="534"/>
      <c r="M1079" s="534"/>
      <c r="N1079" s="534"/>
      <c r="O1079" s="534"/>
      <c r="P1079" s="534"/>
      <c r="Q1079" s="534"/>
      <c r="R1079" s="535"/>
      <c r="S1079" s="493"/>
      <c r="T1079" s="493"/>
      <c r="U1079" s="493"/>
      <c r="V1079" s="493"/>
      <c r="W1079" s="493"/>
      <c r="X1079" s="493"/>
      <c r="Y1079" s="493"/>
    </row>
    <row r="1080" spans="2:25">
      <c r="B1080" s="341" t="s">
        <v>811</v>
      </c>
      <c r="C1080" s="360" t="s">
        <v>806</v>
      </c>
      <c r="D1080" s="595">
        <f>$F$1105</f>
        <v>0.186</v>
      </c>
      <c r="E1080" s="596">
        <f>D1080-D$1070</f>
        <v>-1.8000000000000016E-2</v>
      </c>
      <c r="F1080" s="534"/>
      <c r="G1080" s="534"/>
      <c r="H1080" s="534"/>
      <c r="I1080" s="534"/>
      <c r="J1080" s="534"/>
      <c r="K1080" s="534"/>
      <c r="L1080" s="534"/>
      <c r="M1080" s="534"/>
      <c r="N1080" s="534"/>
      <c r="O1080" s="534"/>
      <c r="P1080" s="534"/>
      <c r="Q1080" s="534"/>
      <c r="R1080" s="535"/>
      <c r="S1080" s="493"/>
      <c r="T1080" s="493"/>
      <c r="U1080" s="493"/>
      <c r="V1080" s="493"/>
      <c r="W1080" s="493"/>
      <c r="X1080" s="493"/>
      <c r="Y1080" s="493"/>
    </row>
    <row r="1081" spans="2:25">
      <c r="B1081" s="136" t="s">
        <v>812</v>
      </c>
      <c r="C1081" s="356" t="s">
        <v>806</v>
      </c>
      <c r="D1081" s="534">
        <f>$I$1105</f>
        <v>0.17299999999999999</v>
      </c>
      <c r="E1081" s="597">
        <f>D1081-D$1071</f>
        <v>-2.8000000000000025E-2</v>
      </c>
      <c r="F1081" s="534"/>
      <c r="G1081" s="534"/>
      <c r="H1081" s="534"/>
      <c r="I1081" s="534"/>
      <c r="J1081" s="534"/>
      <c r="K1081" s="534"/>
      <c r="L1081" s="534"/>
      <c r="M1081" s="534"/>
      <c r="N1081" s="534"/>
      <c r="O1081" s="534"/>
      <c r="P1081" s="534"/>
      <c r="Q1081" s="534"/>
      <c r="R1081" s="535"/>
      <c r="S1081" s="493"/>
      <c r="T1081" s="493"/>
      <c r="U1081" s="493"/>
      <c r="V1081" s="493"/>
      <c r="W1081" s="493"/>
      <c r="X1081" s="493"/>
      <c r="Y1081" s="493"/>
    </row>
    <row r="1082" spans="2:25">
      <c r="B1082" s="136" t="s">
        <v>813</v>
      </c>
      <c r="C1082" s="356" t="s">
        <v>806</v>
      </c>
      <c r="D1082" s="534">
        <f>$D$1077-($D$1076-$D$1081)</f>
        <v>0.17499999999999999</v>
      </c>
      <c r="E1082" s="597">
        <f>D1082-D$1071</f>
        <v>-2.6000000000000023E-2</v>
      </c>
      <c r="F1082" s="534"/>
      <c r="G1082" s="534"/>
      <c r="H1082" s="534"/>
      <c r="I1082" s="534"/>
      <c r="J1082" s="534"/>
      <c r="K1082" s="534"/>
      <c r="L1082" s="534"/>
      <c r="M1082" s="534"/>
      <c r="N1082" s="534"/>
      <c r="O1082" s="534"/>
      <c r="P1082" s="534"/>
      <c r="Q1082" s="534"/>
      <c r="R1082" s="535"/>
      <c r="S1082" s="493"/>
      <c r="T1082" s="493"/>
      <c r="U1082" s="493"/>
      <c r="V1082" s="493"/>
      <c r="W1082" s="493"/>
      <c r="X1082" s="493"/>
      <c r="Y1082" s="493"/>
    </row>
    <row r="1083" spans="2:25">
      <c r="B1083" s="136" t="s">
        <v>814</v>
      </c>
      <c r="C1083" s="356" t="s">
        <v>806</v>
      </c>
      <c r="D1083" s="534">
        <f>$M$1105</f>
        <v>0.20400000000000001</v>
      </c>
      <c r="E1083" s="597">
        <f>D1083-D$1073</f>
        <v>0</v>
      </c>
      <c r="F1083" s="534"/>
      <c r="G1083" s="534"/>
      <c r="H1083" s="534"/>
      <c r="I1083" s="534"/>
      <c r="J1083" s="534"/>
      <c r="K1083" s="534"/>
      <c r="L1083" s="534"/>
      <c r="M1083" s="534"/>
      <c r="N1083" s="534"/>
      <c r="O1083" s="534"/>
      <c r="P1083" s="534"/>
      <c r="Q1083" s="534"/>
      <c r="R1083" s="535"/>
      <c r="S1083" s="493"/>
      <c r="T1083" s="493"/>
      <c r="U1083" s="493"/>
      <c r="V1083" s="493"/>
      <c r="W1083" s="493"/>
      <c r="X1083" s="493"/>
      <c r="Y1083" s="493"/>
    </row>
    <row r="1084" spans="2:25">
      <c r="B1084" s="337" t="s">
        <v>815</v>
      </c>
      <c r="C1084" s="364" t="s">
        <v>806</v>
      </c>
      <c r="D1084" s="598">
        <f>$R$1105</f>
        <v>0.20200000000000001</v>
      </c>
      <c r="E1084" s="599">
        <f>D1084-D$1074</f>
        <v>8.0000000000000071E-3</v>
      </c>
      <c r="F1084" s="534"/>
      <c r="G1084" s="534"/>
      <c r="H1084" s="534"/>
      <c r="I1084" s="534"/>
      <c r="J1084" s="534"/>
      <c r="K1084" s="534"/>
      <c r="L1084" s="534"/>
      <c r="M1084" s="534"/>
      <c r="N1084" s="534"/>
      <c r="O1084" s="534"/>
      <c r="P1084" s="534"/>
      <c r="Q1084" s="534"/>
      <c r="R1084" s="535"/>
      <c r="S1084" s="493"/>
      <c r="T1084" s="493"/>
      <c r="U1084" s="493"/>
      <c r="V1084" s="493"/>
      <c r="W1084" s="493"/>
      <c r="X1084" s="493"/>
      <c r="Y1084" s="493"/>
    </row>
    <row r="1085" spans="2:25">
      <c r="B1085" s="341" t="s">
        <v>816</v>
      </c>
      <c r="C1085" s="360" t="s">
        <v>817</v>
      </c>
      <c r="D1085" s="595">
        <f>$D$1070+$D$1080-$D$1075</f>
        <v>0.17299999999999999</v>
      </c>
      <c r="E1085" s="596">
        <f>D1085-D$1070</f>
        <v>-3.1000000000000028E-2</v>
      </c>
      <c r="F1085" s="534"/>
      <c r="G1085" s="534"/>
      <c r="H1085" s="534"/>
      <c r="I1085" s="534"/>
      <c r="J1085" s="534"/>
      <c r="K1085" s="534"/>
      <c r="L1085" s="534"/>
      <c r="M1085" s="534"/>
      <c r="N1085" s="534"/>
      <c r="O1085" s="534"/>
      <c r="P1085" s="534"/>
      <c r="Q1085" s="534"/>
      <c r="R1085" s="535"/>
      <c r="S1085" s="493"/>
      <c r="T1085" s="493"/>
      <c r="U1085" s="493"/>
      <c r="V1085" s="493"/>
      <c r="W1085" s="493"/>
      <c r="X1085" s="493"/>
      <c r="Y1085" s="493"/>
    </row>
    <row r="1086" spans="2:25">
      <c r="B1086" s="136" t="s">
        <v>818</v>
      </c>
      <c r="C1086" s="356" t="s">
        <v>817</v>
      </c>
      <c r="D1086" s="534">
        <f>$D$1071+$D$1081-$D$1076</f>
        <v>0.15799999999999997</v>
      </c>
      <c r="E1086" s="597">
        <f>D1086-D$1071</f>
        <v>-4.3000000000000038E-2</v>
      </c>
      <c r="F1086" s="534"/>
      <c r="G1086" s="534"/>
      <c r="H1086" s="534"/>
      <c r="I1086" s="534"/>
      <c r="J1086" s="534"/>
      <c r="K1086" s="534"/>
      <c r="L1086" s="534"/>
      <c r="M1086" s="534"/>
      <c r="N1086" s="534"/>
      <c r="O1086" s="534"/>
      <c r="P1086" s="534"/>
      <c r="Q1086" s="534"/>
      <c r="R1086" s="535"/>
      <c r="S1086" s="493"/>
      <c r="T1086" s="493"/>
      <c r="U1086" s="493"/>
      <c r="V1086" s="493"/>
      <c r="W1086" s="493"/>
      <c r="X1086" s="493"/>
      <c r="Y1086" s="493"/>
    </row>
    <row r="1087" spans="2:25">
      <c r="B1087" s="136" t="s">
        <v>819</v>
      </c>
      <c r="C1087" s="356" t="s">
        <v>817</v>
      </c>
      <c r="D1087" s="534">
        <f>$D$1072+$D$1082-$D$1077</f>
        <v>0.15599999999999997</v>
      </c>
      <c r="E1087" s="597">
        <f>D1087-D$1071</f>
        <v>-4.500000000000004E-2</v>
      </c>
      <c r="F1087" s="534"/>
      <c r="G1087" s="534"/>
      <c r="H1087" s="534"/>
      <c r="I1087" s="534"/>
      <c r="J1087" s="534"/>
      <c r="K1087" s="534"/>
      <c r="L1087" s="534"/>
      <c r="M1087" s="534"/>
      <c r="N1087" s="534"/>
      <c r="O1087" s="534"/>
      <c r="P1087" s="534"/>
      <c r="Q1087" s="534"/>
      <c r="R1087" s="535"/>
      <c r="S1087" s="493"/>
      <c r="T1087" s="493"/>
      <c r="U1087" s="493"/>
      <c r="V1087" s="493"/>
      <c r="W1087" s="493"/>
      <c r="X1087" s="493"/>
      <c r="Y1087" s="493"/>
    </row>
    <row r="1088" spans="2:25">
      <c r="B1088" s="136" t="s">
        <v>820</v>
      </c>
      <c r="C1088" s="356" t="s">
        <v>817</v>
      </c>
      <c r="D1088" s="534">
        <f>$D$1073+$D$1083-$D$1078</f>
        <v>0.18400000000000002</v>
      </c>
      <c r="E1088" s="597">
        <f>D1088-D$1073</f>
        <v>-1.999999999999999E-2</v>
      </c>
      <c r="F1088" s="534"/>
      <c r="G1088" s="534"/>
      <c r="H1088" s="534"/>
      <c r="I1088" s="534"/>
      <c r="J1088" s="534"/>
      <c r="K1088" s="534"/>
      <c r="L1088" s="534"/>
      <c r="M1088" s="534"/>
      <c r="N1088" s="534"/>
      <c r="O1088" s="534"/>
      <c r="P1088" s="534"/>
      <c r="Q1088" s="534"/>
      <c r="R1088" s="535"/>
      <c r="S1088" s="493"/>
      <c r="T1088" s="493"/>
      <c r="U1088" s="493"/>
      <c r="V1088" s="493"/>
      <c r="W1088" s="493"/>
      <c r="X1088" s="493"/>
      <c r="Y1088" s="493"/>
    </row>
    <row r="1089" spans="2:25">
      <c r="B1089" s="337" t="s">
        <v>821</v>
      </c>
      <c r="C1089" s="364" t="s">
        <v>817</v>
      </c>
      <c r="D1089" s="598">
        <f>$D$1074+$D$1084-$D$1079</f>
        <v>0.185</v>
      </c>
      <c r="E1089" s="599">
        <f>D1089-D$1074</f>
        <v>-9.000000000000008E-3</v>
      </c>
      <c r="F1089" s="534"/>
      <c r="G1089" s="534"/>
      <c r="H1089" s="534"/>
      <c r="I1089" s="534"/>
      <c r="J1089" s="534"/>
      <c r="K1089" s="534"/>
      <c r="L1089" s="534"/>
      <c r="M1089" s="534"/>
      <c r="N1089" s="534"/>
      <c r="O1089" s="534"/>
      <c r="P1089" s="534"/>
      <c r="Q1089" s="534"/>
      <c r="R1089" s="535"/>
      <c r="S1089" s="493"/>
      <c r="T1089" s="493"/>
      <c r="U1089" s="493"/>
      <c r="V1089" s="493"/>
      <c r="W1089" s="493"/>
      <c r="X1089" s="493"/>
      <c r="Y1089" s="493"/>
    </row>
    <row r="1090" spans="2:25">
      <c r="B1090" s="341" t="s">
        <v>822</v>
      </c>
      <c r="C1090" s="360" t="s">
        <v>823</v>
      </c>
      <c r="D1090" s="595">
        <f>$D$1070+$D$1080-$D$1075-$D$1100-$D$1101</f>
        <v>0.15099999999999997</v>
      </c>
      <c r="E1090" s="596">
        <f>D1090-D$1070</f>
        <v>-5.3000000000000047E-2</v>
      </c>
      <c r="F1090" s="534"/>
      <c r="G1090" s="534"/>
      <c r="H1090" s="534"/>
      <c r="I1090" s="534"/>
      <c r="J1090" s="534"/>
      <c r="K1090" s="534"/>
      <c r="L1090" s="534"/>
      <c r="M1090" s="534"/>
      <c r="N1090" s="534"/>
      <c r="O1090" s="534"/>
      <c r="P1090" s="534"/>
      <c r="Q1090" s="534"/>
      <c r="R1090" s="535"/>
      <c r="S1090" s="493"/>
      <c r="T1090" s="493"/>
      <c r="U1090" s="493"/>
      <c r="V1090" s="493"/>
      <c r="W1090" s="493"/>
      <c r="X1090" s="493"/>
      <c r="Y1090" s="493"/>
    </row>
    <row r="1091" spans="2:25">
      <c r="B1091" s="136" t="s">
        <v>824</v>
      </c>
      <c r="C1091" s="356" t="s">
        <v>823</v>
      </c>
      <c r="D1091" s="534">
        <f>$D$1071+$D$1081-$D$1076-$G$1100-$G$1101</f>
        <v>0.13899999999999996</v>
      </c>
      <c r="E1091" s="597">
        <f>D1091-D$1071</f>
        <v>-6.2000000000000055E-2</v>
      </c>
      <c r="F1091" s="534"/>
      <c r="G1091" s="534"/>
      <c r="H1091" s="534"/>
      <c r="I1091" s="534"/>
      <c r="J1091" s="534"/>
      <c r="K1091" s="534"/>
      <c r="L1091" s="534"/>
      <c r="M1091" s="534"/>
      <c r="N1091" s="534"/>
      <c r="O1091" s="534"/>
      <c r="P1091" s="534"/>
      <c r="Q1091" s="534"/>
      <c r="R1091" s="535"/>
      <c r="S1091" s="493"/>
      <c r="T1091" s="493"/>
      <c r="U1091" s="493"/>
      <c r="V1091" s="493"/>
      <c r="W1091" s="493"/>
      <c r="X1091" s="493"/>
      <c r="Y1091" s="493"/>
    </row>
    <row r="1092" spans="2:25">
      <c r="B1092" s="136" t="s">
        <v>825</v>
      </c>
      <c r="C1092" s="356" t="s">
        <v>823</v>
      </c>
      <c r="D1092" s="534">
        <f>$D$1072+$D$1082-$D$1077-$G$1100-$G$1101</f>
        <v>0.13699999999999996</v>
      </c>
      <c r="E1092" s="597">
        <f>D1092-D$1071</f>
        <v>-6.4000000000000057E-2</v>
      </c>
      <c r="F1092" s="534"/>
      <c r="G1092" s="534"/>
      <c r="H1092" s="534"/>
      <c r="I1092" s="534"/>
      <c r="J1092" s="534"/>
      <c r="K1092" s="534"/>
      <c r="L1092" s="534"/>
      <c r="M1092" s="534"/>
      <c r="N1092" s="534"/>
      <c r="O1092" s="534"/>
      <c r="P1092" s="534"/>
      <c r="Q1092" s="534"/>
      <c r="R1092" s="535"/>
      <c r="S1092" s="493"/>
      <c r="T1092" s="493"/>
      <c r="U1092" s="493"/>
      <c r="V1092" s="493"/>
      <c r="W1092" s="493"/>
      <c r="X1092" s="493"/>
      <c r="Y1092" s="493"/>
    </row>
    <row r="1093" spans="2:25">
      <c r="B1093" s="136" t="s">
        <v>826</v>
      </c>
      <c r="C1093" s="356" t="s">
        <v>823</v>
      </c>
      <c r="D1093" s="534">
        <f>$D$1073+$D$1083-$D$1078-$M$1100-$M$1101</f>
        <v>0.16200000000000003</v>
      </c>
      <c r="E1093" s="597">
        <f>D1093-D$1073</f>
        <v>-4.1999999999999982E-2</v>
      </c>
      <c r="F1093" s="534"/>
      <c r="G1093" s="534"/>
      <c r="H1093" s="534"/>
      <c r="I1093" s="534"/>
      <c r="J1093" s="534"/>
      <c r="K1093" s="534"/>
      <c r="L1093" s="534"/>
      <c r="M1093" s="534"/>
      <c r="N1093" s="534"/>
      <c r="O1093" s="534"/>
      <c r="P1093" s="534"/>
      <c r="Q1093" s="534"/>
      <c r="R1093" s="535"/>
      <c r="S1093" s="493"/>
      <c r="T1093" s="493"/>
      <c r="U1093" s="493"/>
      <c r="V1093" s="493"/>
      <c r="W1093" s="493"/>
      <c r="X1093" s="493"/>
      <c r="Y1093" s="493"/>
    </row>
    <row r="1094" spans="2:25">
      <c r="B1094" s="337" t="s">
        <v>827</v>
      </c>
      <c r="C1094" s="364" t="s">
        <v>823</v>
      </c>
      <c r="D1094" s="598">
        <f>$D$1074+$D$1084-$D$1079-$P$1100-$P$1101</f>
        <v>0.17299999999999999</v>
      </c>
      <c r="E1094" s="599">
        <f>D1094-D$1074</f>
        <v>-2.1000000000000019E-2</v>
      </c>
      <c r="F1094" s="534"/>
      <c r="G1094" s="534"/>
      <c r="H1094" s="534"/>
      <c r="I1094" s="534"/>
      <c r="J1094" s="534"/>
      <c r="K1094" s="534"/>
      <c r="L1094" s="534"/>
      <c r="M1094" s="534"/>
      <c r="N1094" s="534"/>
      <c r="O1094" s="534"/>
      <c r="P1094" s="534"/>
      <c r="Q1094" s="534"/>
      <c r="R1094" s="535"/>
      <c r="S1094" s="493"/>
      <c r="T1094" s="493"/>
      <c r="U1094" s="493"/>
      <c r="V1094" s="493"/>
      <c r="W1094" s="493"/>
      <c r="X1094" s="493"/>
      <c r="Y1094" s="493"/>
    </row>
    <row r="1095" spans="2:25">
      <c r="B1095" s="136"/>
      <c r="C1095" s="132"/>
      <c r="D1095" s="534"/>
      <c r="E1095" s="534"/>
      <c r="F1095" s="534"/>
      <c r="G1095" s="534"/>
      <c r="H1095" s="534"/>
      <c r="I1095" s="534"/>
      <c r="J1095" s="534"/>
      <c r="K1095" s="534"/>
      <c r="L1095" s="534"/>
      <c r="M1095" s="534"/>
      <c r="N1095" s="534"/>
      <c r="O1095" s="534"/>
      <c r="P1095" s="534"/>
      <c r="Q1095" s="534"/>
      <c r="R1095" s="535"/>
      <c r="S1095" s="493"/>
      <c r="T1095" s="493"/>
      <c r="U1095" s="493"/>
      <c r="V1095" s="493"/>
      <c r="W1095" s="493"/>
      <c r="X1095" s="493"/>
      <c r="Y1095" s="493"/>
    </row>
    <row r="1096" spans="2:25">
      <c r="B1096" s="136"/>
      <c r="C1096" s="356"/>
      <c r="D1096" s="534" t="s">
        <v>828</v>
      </c>
      <c r="E1096" s="534" t="s">
        <v>828</v>
      </c>
      <c r="F1096" s="534" t="s">
        <v>828</v>
      </c>
      <c r="G1096" s="534" t="s">
        <v>829</v>
      </c>
      <c r="H1096" s="534" t="s">
        <v>829</v>
      </c>
      <c r="I1096" s="534" t="s">
        <v>829</v>
      </c>
      <c r="J1096" s="534" t="s">
        <v>830</v>
      </c>
      <c r="K1096" s="534" t="s">
        <v>830</v>
      </c>
      <c r="L1096" s="534" t="s">
        <v>830</v>
      </c>
      <c r="M1096" s="534" t="s">
        <v>831</v>
      </c>
      <c r="N1096" s="534" t="s">
        <v>831</v>
      </c>
      <c r="O1096" s="534" t="s">
        <v>831</v>
      </c>
      <c r="P1096" s="534" t="s">
        <v>832</v>
      </c>
      <c r="Q1096" s="534" t="s">
        <v>832</v>
      </c>
      <c r="R1096" s="535" t="s">
        <v>832</v>
      </c>
      <c r="T1096" s="493"/>
      <c r="U1096" s="493"/>
      <c r="V1096" s="493"/>
      <c r="W1096" s="493"/>
      <c r="X1096" s="493"/>
      <c r="Y1096" s="493"/>
    </row>
    <row r="1097" spans="2:25">
      <c r="B1097" s="136"/>
      <c r="C1097" s="356"/>
      <c r="D1097" s="534" t="s">
        <v>833</v>
      </c>
      <c r="E1097" s="534" t="s">
        <v>833</v>
      </c>
      <c r="F1097" s="534" t="s">
        <v>833</v>
      </c>
      <c r="G1097" s="534" t="s">
        <v>833</v>
      </c>
      <c r="H1097" s="534" t="s">
        <v>833</v>
      </c>
      <c r="I1097" s="534" t="s">
        <v>833</v>
      </c>
      <c r="J1097" s="534" t="s">
        <v>834</v>
      </c>
      <c r="K1097" s="534" t="s">
        <v>834</v>
      </c>
      <c r="L1097" s="534" t="s">
        <v>834</v>
      </c>
      <c r="M1097" s="534" t="s">
        <v>833</v>
      </c>
      <c r="N1097" s="534" t="s">
        <v>833</v>
      </c>
      <c r="O1097" s="534" t="s">
        <v>833</v>
      </c>
      <c r="P1097" s="534" t="s">
        <v>835</v>
      </c>
      <c r="Q1097" s="534" t="s">
        <v>835</v>
      </c>
      <c r="R1097" s="535" t="s">
        <v>835</v>
      </c>
      <c r="T1097" s="493"/>
      <c r="U1097" s="493"/>
      <c r="V1097" s="493"/>
      <c r="W1097" s="493"/>
      <c r="X1097" s="493"/>
      <c r="Y1097" s="493"/>
    </row>
    <row r="1098" spans="2:25">
      <c r="B1098" s="337"/>
      <c r="C1098" s="364" t="s">
        <v>573</v>
      </c>
      <c r="D1098" s="598" t="s">
        <v>5</v>
      </c>
      <c r="E1098" s="598" t="s">
        <v>836</v>
      </c>
      <c r="F1098" s="598" t="s">
        <v>837</v>
      </c>
      <c r="G1098" s="598" t="s">
        <v>5</v>
      </c>
      <c r="H1098" s="598" t="s">
        <v>836</v>
      </c>
      <c r="I1098" s="598" t="s">
        <v>837</v>
      </c>
      <c r="J1098" s="598" t="s">
        <v>5</v>
      </c>
      <c r="K1098" s="598" t="s">
        <v>836</v>
      </c>
      <c r="L1098" s="598" t="s">
        <v>837</v>
      </c>
      <c r="M1098" s="598" t="s">
        <v>5</v>
      </c>
      <c r="N1098" s="598" t="s">
        <v>836</v>
      </c>
      <c r="O1098" s="598" t="s">
        <v>837</v>
      </c>
      <c r="P1098" s="598" t="s">
        <v>5</v>
      </c>
      <c r="Q1098" s="598" t="s">
        <v>836</v>
      </c>
      <c r="R1098" s="600" t="s">
        <v>837</v>
      </c>
      <c r="T1098" s="493"/>
      <c r="U1098" s="493"/>
      <c r="V1098" s="493"/>
      <c r="W1098" s="493"/>
      <c r="X1098" s="493"/>
      <c r="Y1098" s="493"/>
    </row>
    <row r="1099" spans="2:25">
      <c r="B1099" s="136" t="s">
        <v>838</v>
      </c>
      <c r="C1099" s="356" t="s">
        <v>839</v>
      </c>
      <c r="D1099" s="534">
        <v>4.1000000000000002E-2</v>
      </c>
      <c r="E1099" s="534">
        <v>4.1000000000000002E-2</v>
      </c>
      <c r="F1099" s="534">
        <v>8.0000000000000002E-3</v>
      </c>
      <c r="G1099" s="534">
        <v>6.3E-2</v>
      </c>
      <c r="H1099" s="534">
        <v>6.3E-2</v>
      </c>
      <c r="I1099" s="534">
        <v>1.2999999999999999E-2</v>
      </c>
      <c r="J1099" s="534">
        <v>6.3E-2</v>
      </c>
      <c r="K1099" s="534">
        <v>6.3E-2</v>
      </c>
      <c r="L1099" s="534"/>
      <c r="M1099" s="534">
        <v>7.4999999999999997E-2</v>
      </c>
      <c r="N1099" s="534">
        <v>7.4999999999999997E-2</v>
      </c>
      <c r="O1099" s="534">
        <v>1.4999999999999999E-2</v>
      </c>
      <c r="P1099" s="534">
        <v>3.5000000000000003E-2</v>
      </c>
      <c r="Q1099" s="534">
        <v>3.5000000000000003E-2</v>
      </c>
      <c r="R1099" s="535">
        <v>7.0000000000000001E-3</v>
      </c>
      <c r="T1099" s="493"/>
      <c r="U1099" s="493"/>
      <c r="V1099" s="493"/>
      <c r="W1099" s="493"/>
      <c r="X1099" s="493"/>
      <c r="Y1099" s="493"/>
    </row>
    <row r="1100" spans="2:25">
      <c r="B1100" s="136" t="s">
        <v>840</v>
      </c>
      <c r="C1100" s="356" t="s">
        <v>839</v>
      </c>
      <c r="D1100" s="534">
        <v>1.2E-2</v>
      </c>
      <c r="E1100" s="534">
        <v>1.2E-2</v>
      </c>
      <c r="F1100" s="534">
        <v>1.2E-2</v>
      </c>
      <c r="G1100" s="534">
        <v>1.2E-2</v>
      </c>
      <c r="H1100" s="534">
        <v>1.4999999999999999E-2</v>
      </c>
      <c r="I1100" s="534">
        <v>1.4999999999999999E-2</v>
      </c>
      <c r="J1100" s="534">
        <v>1.2E-2</v>
      </c>
      <c r="K1100" s="534">
        <v>1.6E-2</v>
      </c>
      <c r="L1100" s="534"/>
      <c r="M1100" s="534">
        <v>1.7000000000000001E-2</v>
      </c>
      <c r="N1100" s="534">
        <v>1.9E-2</v>
      </c>
      <c r="O1100" s="534">
        <v>1.9E-2</v>
      </c>
      <c r="P1100" s="534">
        <v>7.0000000000000001E-3</v>
      </c>
      <c r="Q1100" s="534">
        <v>1.0999999999999999E-2</v>
      </c>
      <c r="R1100" s="535">
        <v>1.0999999999999999E-2</v>
      </c>
      <c r="T1100" s="493"/>
      <c r="U1100" s="493"/>
      <c r="V1100" s="493"/>
      <c r="W1100" s="493"/>
      <c r="X1100" s="493"/>
      <c r="Y1100" s="493"/>
    </row>
    <row r="1101" spans="2:25">
      <c r="B1101" s="136" t="s">
        <v>841</v>
      </c>
      <c r="C1101" s="356" t="s">
        <v>839</v>
      </c>
      <c r="D1101" s="534">
        <v>0.01</v>
      </c>
      <c r="E1101" s="534">
        <v>7.0000000000000001E-3</v>
      </c>
      <c r="F1101" s="534">
        <v>7.0000000000000001E-3</v>
      </c>
      <c r="G1101" s="534">
        <v>7.0000000000000001E-3</v>
      </c>
      <c r="H1101" s="534">
        <v>3.0000000000000001E-3</v>
      </c>
      <c r="I1101" s="534">
        <v>3.0000000000000001E-3</v>
      </c>
      <c r="J1101" s="534">
        <v>5.0000000000000001E-3</v>
      </c>
      <c r="K1101" s="534">
        <v>4.0000000000000001E-3</v>
      </c>
      <c r="L1101" s="534"/>
      <c r="M1101" s="534">
        <v>5.0000000000000001E-3</v>
      </c>
      <c r="N1101" s="534">
        <v>1E-3</v>
      </c>
      <c r="O1101" s="534">
        <v>1E-3</v>
      </c>
      <c r="P1101" s="534">
        <v>5.0000000000000001E-3</v>
      </c>
      <c r="Q1101" s="534">
        <v>2E-3</v>
      </c>
      <c r="R1101" s="535">
        <v>2E-3</v>
      </c>
      <c r="T1101" s="493"/>
      <c r="U1101" s="493"/>
      <c r="V1101" s="493"/>
      <c r="W1101" s="493"/>
      <c r="X1101" s="493"/>
      <c r="Y1101" s="493"/>
    </row>
    <row r="1102" spans="2:25">
      <c r="B1102" s="136" t="s">
        <v>842</v>
      </c>
      <c r="C1102" s="356" t="s">
        <v>839</v>
      </c>
      <c r="D1102" s="534">
        <v>1.2999999999999999E-2</v>
      </c>
      <c r="E1102" s="534">
        <v>2.9000000000000001E-2</v>
      </c>
      <c r="F1102" s="534">
        <v>3.1E-2</v>
      </c>
      <c r="G1102" s="534">
        <v>1.2999999999999999E-2</v>
      </c>
      <c r="H1102" s="534">
        <v>2.9000000000000001E-2</v>
      </c>
      <c r="I1102" s="534">
        <v>3.5999999999999997E-2</v>
      </c>
      <c r="J1102" s="534">
        <v>1.2999999999999999E-2</v>
      </c>
      <c r="K1102" s="534">
        <v>2.9000000000000001E-2</v>
      </c>
      <c r="L1102" s="534"/>
      <c r="M1102" s="534">
        <v>1.2999999999999999E-2</v>
      </c>
      <c r="N1102" s="534">
        <v>3.5000000000000003E-2</v>
      </c>
      <c r="O1102" s="534">
        <v>7.4999999999999997E-2</v>
      </c>
      <c r="P1102" s="534">
        <v>5.0000000000000001E-3</v>
      </c>
      <c r="Q1102" s="534">
        <v>2.1000000000000001E-2</v>
      </c>
      <c r="R1102" s="535">
        <v>0.04</v>
      </c>
      <c r="T1102" s="493"/>
      <c r="U1102" s="493"/>
      <c r="V1102" s="493"/>
      <c r="W1102" s="493"/>
      <c r="X1102" s="493"/>
      <c r="Y1102" s="493"/>
    </row>
    <row r="1103" spans="2:25">
      <c r="B1103" s="136" t="s">
        <v>843</v>
      </c>
      <c r="C1103" s="132" t="s">
        <v>719</v>
      </c>
      <c r="D1103" s="534">
        <f t="shared" ref="D1103:K1103" si="138">$D$995</f>
        <v>4.3999999999999997E-2</v>
      </c>
      <c r="E1103" s="534">
        <f t="shared" si="138"/>
        <v>4.3999999999999997E-2</v>
      </c>
      <c r="F1103" s="534">
        <f t="shared" si="138"/>
        <v>4.3999999999999997E-2</v>
      </c>
      <c r="G1103" s="534">
        <f t="shared" si="138"/>
        <v>4.3999999999999997E-2</v>
      </c>
      <c r="H1103" s="534">
        <f t="shared" si="138"/>
        <v>4.3999999999999997E-2</v>
      </c>
      <c r="I1103" s="534">
        <f t="shared" si="138"/>
        <v>4.3999999999999997E-2</v>
      </c>
      <c r="J1103" s="534">
        <f t="shared" si="138"/>
        <v>4.3999999999999997E-2</v>
      </c>
      <c r="K1103" s="534">
        <f t="shared" si="138"/>
        <v>4.3999999999999997E-2</v>
      </c>
      <c r="L1103" s="534"/>
      <c r="M1103" s="534">
        <f t="shared" ref="M1103:R1103" si="139">$D$995</f>
        <v>4.3999999999999997E-2</v>
      </c>
      <c r="N1103" s="534">
        <f t="shared" si="139"/>
        <v>4.3999999999999997E-2</v>
      </c>
      <c r="O1103" s="534">
        <f t="shared" si="139"/>
        <v>4.3999999999999997E-2</v>
      </c>
      <c r="P1103" s="534">
        <f t="shared" si="139"/>
        <v>4.3999999999999997E-2</v>
      </c>
      <c r="Q1103" s="534">
        <f t="shared" si="139"/>
        <v>4.3999999999999997E-2</v>
      </c>
      <c r="R1103" s="535">
        <f t="shared" si="139"/>
        <v>4.3999999999999997E-2</v>
      </c>
      <c r="T1103" s="493"/>
      <c r="U1103" s="493"/>
      <c r="V1103" s="493"/>
      <c r="W1103" s="493"/>
      <c r="X1103" s="493"/>
      <c r="Y1103" s="493"/>
    </row>
    <row r="1104" spans="2:25">
      <c r="B1104" s="136" t="s">
        <v>844</v>
      </c>
      <c r="C1104" s="132" t="s">
        <v>845</v>
      </c>
      <c r="D1104" s="534">
        <f>$D$1000-D1099-D1102</f>
        <v>8.4000000000000005E-2</v>
      </c>
      <c r="E1104" s="534">
        <f>D1104</f>
        <v>8.4000000000000005E-2</v>
      </c>
      <c r="F1104" s="534">
        <f>D1104</f>
        <v>8.4000000000000005E-2</v>
      </c>
      <c r="G1104" s="534">
        <f>$D$1000-G1099-G1102</f>
        <v>6.2000000000000013E-2</v>
      </c>
      <c r="H1104" s="534">
        <f>G1104</f>
        <v>6.2000000000000013E-2</v>
      </c>
      <c r="I1104" s="534">
        <f>G1104</f>
        <v>6.2000000000000013E-2</v>
      </c>
      <c r="J1104" s="534">
        <f>$D$1000-J1099-J1102</f>
        <v>6.2000000000000013E-2</v>
      </c>
      <c r="K1104" s="534">
        <f>J1104</f>
        <v>6.2000000000000013E-2</v>
      </c>
      <c r="L1104" s="534"/>
      <c r="M1104" s="534">
        <f>$D$1000-M1099-M1102</f>
        <v>5.0000000000000017E-2</v>
      </c>
      <c r="N1104" s="534">
        <f>M1104</f>
        <v>5.0000000000000017E-2</v>
      </c>
      <c r="O1104" s="534">
        <f>M1104</f>
        <v>5.0000000000000017E-2</v>
      </c>
      <c r="P1104" s="534">
        <f>$D$1000-P1099-P1102</f>
        <v>9.8000000000000004E-2</v>
      </c>
      <c r="Q1104" s="534">
        <f>P1104</f>
        <v>9.8000000000000004E-2</v>
      </c>
      <c r="R1104" s="535">
        <f>P1104</f>
        <v>9.8000000000000004E-2</v>
      </c>
      <c r="T1104" s="493"/>
      <c r="U1104" s="493"/>
      <c r="V1104" s="493"/>
      <c r="W1104" s="493"/>
      <c r="X1104" s="493"/>
      <c r="Y1104" s="493"/>
    </row>
    <row r="1105" spans="2:35" ht="16" thickBot="1">
      <c r="B1105" s="143" t="s">
        <v>846</v>
      </c>
      <c r="C1105" s="353" t="s">
        <v>845</v>
      </c>
      <c r="D1105" s="601">
        <f t="shared" ref="D1105:K1105" si="140">SUM(D1099:D1104)</f>
        <v>0.20400000000000001</v>
      </c>
      <c r="E1105" s="601">
        <f t="shared" si="140"/>
        <v>0.21700000000000003</v>
      </c>
      <c r="F1105" s="601">
        <f t="shared" si="140"/>
        <v>0.186</v>
      </c>
      <c r="G1105" s="601">
        <f t="shared" si="140"/>
        <v>0.20100000000000001</v>
      </c>
      <c r="H1105" s="601">
        <f t="shared" si="140"/>
        <v>0.21600000000000003</v>
      </c>
      <c r="I1105" s="601">
        <f t="shared" si="140"/>
        <v>0.17299999999999999</v>
      </c>
      <c r="J1105" s="601">
        <f t="shared" si="140"/>
        <v>0.19900000000000001</v>
      </c>
      <c r="K1105" s="601">
        <f t="shared" si="140"/>
        <v>0.21800000000000003</v>
      </c>
      <c r="L1105" s="601"/>
      <c r="M1105" s="601">
        <f t="shared" ref="M1105:R1105" si="141">SUM(M1099:M1104)</f>
        <v>0.20400000000000001</v>
      </c>
      <c r="N1105" s="601">
        <f t="shared" si="141"/>
        <v>0.224</v>
      </c>
      <c r="O1105" s="601">
        <f t="shared" si="141"/>
        <v>0.20400000000000001</v>
      </c>
      <c r="P1105" s="601">
        <f t="shared" si="141"/>
        <v>0.19400000000000001</v>
      </c>
      <c r="Q1105" s="601">
        <f t="shared" si="141"/>
        <v>0.21100000000000002</v>
      </c>
      <c r="R1105" s="602">
        <f t="shared" si="141"/>
        <v>0.20200000000000001</v>
      </c>
      <c r="T1105" s="493"/>
      <c r="U1105" s="493"/>
      <c r="V1105" s="493"/>
      <c r="W1105" s="493"/>
      <c r="X1105" s="493"/>
      <c r="Y1105" s="493"/>
    </row>
    <row r="1106" spans="2:35">
      <c r="C1106" s="493"/>
      <c r="D1106" s="493"/>
      <c r="E1106" s="493"/>
      <c r="F1106" s="493"/>
      <c r="G1106" s="493"/>
      <c r="H1106" s="493"/>
      <c r="I1106" s="493"/>
      <c r="J1106" s="493"/>
      <c r="K1106" s="493"/>
      <c r="L1106" s="493"/>
      <c r="M1106" s="493"/>
      <c r="N1106" s="493"/>
      <c r="O1106" s="493"/>
      <c r="P1106" s="493"/>
      <c r="Q1106" s="493"/>
      <c r="R1106" s="493"/>
      <c r="T1106" s="493"/>
      <c r="U1106" s="493"/>
      <c r="V1106" s="493"/>
      <c r="W1106" s="493"/>
      <c r="X1106" s="493"/>
      <c r="Y1106" s="493"/>
    </row>
    <row r="1107" spans="2:35" ht="16" thickBot="1">
      <c r="B1107" s="249" t="s">
        <v>847</v>
      </c>
      <c r="C1107" s="493"/>
      <c r="D1107" s="493"/>
      <c r="E1107" s="493"/>
      <c r="F1107" s="493"/>
      <c r="G1107" s="493"/>
      <c r="H1107" s="493"/>
      <c r="I1107" s="493"/>
      <c r="J1107" s="493"/>
      <c r="K1107" s="493"/>
      <c r="L1107" s="493"/>
      <c r="M1107" s="493"/>
      <c r="N1107" s="493"/>
      <c r="O1107" s="493"/>
      <c r="P1107" s="493"/>
      <c r="Q1107" s="493"/>
      <c r="R1107" s="493"/>
      <c r="T1107" s="493"/>
      <c r="U1107" s="493"/>
      <c r="V1107" s="493"/>
      <c r="W1107" s="493"/>
      <c r="X1107" s="493"/>
      <c r="Y1107" s="493"/>
    </row>
    <row r="1108" spans="2:35">
      <c r="B1108" s="603" t="s">
        <v>848</v>
      </c>
      <c r="C1108" s="520" t="s">
        <v>10</v>
      </c>
      <c r="D1108" s="604" t="s">
        <v>555</v>
      </c>
      <c r="E1108" s="604">
        <v>2</v>
      </c>
      <c r="F1108" s="604">
        <v>3</v>
      </c>
      <c r="G1108" s="604">
        <v>4</v>
      </c>
      <c r="H1108" s="604">
        <v>5</v>
      </c>
      <c r="I1108" s="604">
        <v>6</v>
      </c>
      <c r="J1108" s="604">
        <v>7</v>
      </c>
      <c r="K1108" s="604">
        <v>8</v>
      </c>
      <c r="L1108" s="604">
        <v>9</v>
      </c>
      <c r="M1108" s="604">
        <v>10</v>
      </c>
      <c r="N1108" s="604">
        <v>11</v>
      </c>
      <c r="O1108" s="604">
        <v>12</v>
      </c>
      <c r="P1108" s="604">
        <v>13</v>
      </c>
      <c r="Q1108" s="604">
        <v>14</v>
      </c>
      <c r="R1108" s="604">
        <v>15</v>
      </c>
      <c r="S1108" s="604">
        <v>16</v>
      </c>
      <c r="T1108" s="604">
        <v>17</v>
      </c>
      <c r="U1108" s="604">
        <v>18</v>
      </c>
      <c r="V1108" s="604">
        <v>19</v>
      </c>
      <c r="W1108" s="604">
        <v>19</v>
      </c>
      <c r="X1108" s="523">
        <v>19</v>
      </c>
      <c r="Y1108" s="523">
        <v>20</v>
      </c>
      <c r="Z1108" s="523">
        <v>21</v>
      </c>
      <c r="AA1108" s="523">
        <v>22</v>
      </c>
      <c r="AB1108" s="523">
        <v>23</v>
      </c>
      <c r="AC1108" s="523">
        <v>24</v>
      </c>
      <c r="AD1108" s="523">
        <v>25</v>
      </c>
      <c r="AE1108" s="523">
        <v>26</v>
      </c>
      <c r="AF1108" s="523">
        <v>27</v>
      </c>
      <c r="AG1108" s="523">
        <v>28</v>
      </c>
      <c r="AH1108" s="523">
        <v>29</v>
      </c>
      <c r="AI1108" s="524">
        <v>30</v>
      </c>
    </row>
    <row r="1109" spans="2:35">
      <c r="B1109" s="336"/>
      <c r="C1109" s="356"/>
      <c r="D1109" s="356" t="s">
        <v>849</v>
      </c>
      <c r="E1109" s="356"/>
      <c r="F1109" s="356"/>
      <c r="G1109" s="356"/>
      <c r="H1109" s="356"/>
      <c r="I1109" s="356"/>
      <c r="J1109" s="356"/>
      <c r="K1109" s="356"/>
      <c r="L1109" s="356"/>
      <c r="M1109" s="356"/>
      <c r="N1109" s="356"/>
      <c r="O1109" s="356"/>
      <c r="P1109" s="356"/>
      <c r="Q1109" s="356"/>
      <c r="R1109" s="356"/>
      <c r="S1109" s="356"/>
      <c r="T1109" s="356"/>
      <c r="U1109" s="356"/>
      <c r="V1109" s="356"/>
      <c r="W1109" s="356"/>
      <c r="X1109" s="356"/>
      <c r="Y1109" s="356"/>
      <c r="Z1109" s="356"/>
      <c r="AA1109" s="356"/>
      <c r="AB1109" s="356"/>
      <c r="AC1109" s="356"/>
      <c r="AD1109" s="356"/>
      <c r="AE1109" s="356"/>
      <c r="AF1109" s="356"/>
      <c r="AG1109" s="356"/>
      <c r="AH1109" s="132"/>
      <c r="AI1109" s="142"/>
    </row>
    <row r="1110" spans="2:35">
      <c r="B1110" s="136" t="s">
        <v>4</v>
      </c>
      <c r="C1110" s="132" t="s">
        <v>850</v>
      </c>
      <c r="D1110" s="605">
        <v>0.23</v>
      </c>
      <c r="E1110" s="605">
        <v>0.15</v>
      </c>
      <c r="F1110" s="605">
        <v>0.15</v>
      </c>
      <c r="G1110" s="605">
        <v>0.15</v>
      </c>
      <c r="H1110" s="605">
        <v>0.15</v>
      </c>
      <c r="I1110" s="605">
        <v>0.15</v>
      </c>
      <c r="J1110" s="605">
        <v>0.15</v>
      </c>
      <c r="K1110" s="605">
        <v>0.15</v>
      </c>
      <c r="L1110" s="605">
        <v>0.15</v>
      </c>
      <c r="M1110" s="605">
        <v>0.15</v>
      </c>
      <c r="N1110" s="605">
        <v>0.15</v>
      </c>
      <c r="O1110" s="605">
        <v>0.15</v>
      </c>
      <c r="P1110" s="605">
        <v>0.15</v>
      </c>
      <c r="Q1110" s="605">
        <v>0.15</v>
      </c>
      <c r="R1110" s="605">
        <v>0.15</v>
      </c>
      <c r="S1110" s="605">
        <v>0.15</v>
      </c>
      <c r="T1110" s="605">
        <v>0.15</v>
      </c>
      <c r="U1110" s="605">
        <v>0.15</v>
      </c>
      <c r="V1110" s="605">
        <v>0.15</v>
      </c>
      <c r="W1110" s="605">
        <v>0.15</v>
      </c>
      <c r="X1110" s="605">
        <v>0.15</v>
      </c>
      <c r="Y1110" s="605">
        <v>0.15</v>
      </c>
      <c r="Z1110" s="605">
        <v>0.15</v>
      </c>
      <c r="AA1110" s="605">
        <v>0.15</v>
      </c>
      <c r="AB1110" s="605">
        <v>0.15</v>
      </c>
      <c r="AC1110" s="605">
        <v>0.15</v>
      </c>
      <c r="AD1110" s="605">
        <v>0.15</v>
      </c>
      <c r="AE1110" s="605">
        <v>0.15</v>
      </c>
      <c r="AF1110" s="605">
        <v>0.15</v>
      </c>
      <c r="AG1110" s="605">
        <v>0.15</v>
      </c>
      <c r="AH1110" s="605">
        <v>0.15</v>
      </c>
      <c r="AI1110" s="606">
        <v>0.15</v>
      </c>
    </row>
    <row r="1111" spans="2:35">
      <c r="B1111" s="136" t="s">
        <v>5</v>
      </c>
      <c r="C1111" s="132" t="s">
        <v>851</v>
      </c>
      <c r="D1111" s="605">
        <f t="shared" ref="D1111:D1121" si="142">D$1110</f>
        <v>0.23</v>
      </c>
      <c r="E1111" s="605">
        <f t="shared" ref="E1111:AI1119" si="143">E$1110</f>
        <v>0.15</v>
      </c>
      <c r="F1111" s="605">
        <f t="shared" si="143"/>
        <v>0.15</v>
      </c>
      <c r="G1111" s="605">
        <f t="shared" si="143"/>
        <v>0.15</v>
      </c>
      <c r="H1111" s="605">
        <f t="shared" si="143"/>
        <v>0.15</v>
      </c>
      <c r="I1111" s="605">
        <f t="shared" si="143"/>
        <v>0.15</v>
      </c>
      <c r="J1111" s="605">
        <f t="shared" si="143"/>
        <v>0.15</v>
      </c>
      <c r="K1111" s="605">
        <f t="shared" si="143"/>
        <v>0.15</v>
      </c>
      <c r="L1111" s="605">
        <f t="shared" si="143"/>
        <v>0.15</v>
      </c>
      <c r="M1111" s="605">
        <f t="shared" si="143"/>
        <v>0.15</v>
      </c>
      <c r="N1111" s="605">
        <f t="shared" si="143"/>
        <v>0.15</v>
      </c>
      <c r="O1111" s="605">
        <f t="shared" si="143"/>
        <v>0.15</v>
      </c>
      <c r="P1111" s="605">
        <f t="shared" si="143"/>
        <v>0.15</v>
      </c>
      <c r="Q1111" s="605">
        <f t="shared" si="143"/>
        <v>0.15</v>
      </c>
      <c r="R1111" s="605">
        <f t="shared" si="143"/>
        <v>0.15</v>
      </c>
      <c r="S1111" s="605">
        <f t="shared" si="143"/>
        <v>0.15</v>
      </c>
      <c r="T1111" s="605">
        <f t="shared" si="143"/>
        <v>0.15</v>
      </c>
      <c r="U1111" s="605">
        <f t="shared" si="143"/>
        <v>0.15</v>
      </c>
      <c r="V1111" s="605">
        <f t="shared" si="143"/>
        <v>0.15</v>
      </c>
      <c r="W1111" s="605">
        <f t="shared" si="143"/>
        <v>0.15</v>
      </c>
      <c r="X1111" s="605">
        <f t="shared" si="143"/>
        <v>0.15</v>
      </c>
      <c r="Y1111" s="605">
        <f t="shared" si="143"/>
        <v>0.15</v>
      </c>
      <c r="Z1111" s="605">
        <f t="shared" si="143"/>
        <v>0.15</v>
      </c>
      <c r="AA1111" s="605">
        <f t="shared" si="143"/>
        <v>0.15</v>
      </c>
      <c r="AB1111" s="605">
        <f t="shared" si="143"/>
        <v>0.15</v>
      </c>
      <c r="AC1111" s="605">
        <f t="shared" si="143"/>
        <v>0.15</v>
      </c>
      <c r="AD1111" s="605">
        <f t="shared" si="143"/>
        <v>0.15</v>
      </c>
      <c r="AE1111" s="605">
        <f t="shared" si="143"/>
        <v>0.15</v>
      </c>
      <c r="AF1111" s="605">
        <f t="shared" si="143"/>
        <v>0.15</v>
      </c>
      <c r="AG1111" s="605">
        <f t="shared" si="143"/>
        <v>0.15</v>
      </c>
      <c r="AH1111" s="605">
        <f t="shared" si="143"/>
        <v>0.15</v>
      </c>
      <c r="AI1111" s="606">
        <f t="shared" si="143"/>
        <v>0.15</v>
      </c>
    </row>
    <row r="1112" spans="2:35">
      <c r="B1112" s="136" t="s">
        <v>356</v>
      </c>
      <c r="C1112" s="132" t="s">
        <v>851</v>
      </c>
      <c r="D1112" s="605">
        <f t="shared" si="142"/>
        <v>0.23</v>
      </c>
      <c r="E1112" s="605">
        <f t="shared" si="143"/>
        <v>0.15</v>
      </c>
      <c r="F1112" s="605">
        <f t="shared" si="143"/>
        <v>0.15</v>
      </c>
      <c r="G1112" s="605">
        <f t="shared" si="143"/>
        <v>0.15</v>
      </c>
      <c r="H1112" s="605">
        <f t="shared" si="143"/>
        <v>0.15</v>
      </c>
      <c r="I1112" s="605">
        <f t="shared" si="143"/>
        <v>0.15</v>
      </c>
      <c r="J1112" s="605">
        <f t="shared" si="143"/>
        <v>0.15</v>
      </c>
      <c r="K1112" s="605">
        <f t="shared" si="143"/>
        <v>0.15</v>
      </c>
      <c r="L1112" s="605">
        <f t="shared" si="143"/>
        <v>0.15</v>
      </c>
      <c r="M1112" s="605">
        <f t="shared" si="143"/>
        <v>0.15</v>
      </c>
      <c r="N1112" s="605">
        <f t="shared" si="143"/>
        <v>0.15</v>
      </c>
      <c r="O1112" s="605">
        <f t="shared" si="143"/>
        <v>0.15</v>
      </c>
      <c r="P1112" s="605">
        <f t="shared" si="143"/>
        <v>0.15</v>
      </c>
      <c r="Q1112" s="605">
        <f t="shared" si="143"/>
        <v>0.15</v>
      </c>
      <c r="R1112" s="605">
        <f t="shared" si="143"/>
        <v>0.15</v>
      </c>
      <c r="S1112" s="605">
        <f t="shared" si="143"/>
        <v>0.15</v>
      </c>
      <c r="T1112" s="605">
        <f t="shared" si="143"/>
        <v>0.15</v>
      </c>
      <c r="U1112" s="605">
        <f t="shared" si="143"/>
        <v>0.15</v>
      </c>
      <c r="V1112" s="605">
        <f t="shared" si="143"/>
        <v>0.15</v>
      </c>
      <c r="W1112" s="605">
        <f t="shared" si="143"/>
        <v>0.15</v>
      </c>
      <c r="X1112" s="605">
        <f t="shared" si="143"/>
        <v>0.15</v>
      </c>
      <c r="Y1112" s="605">
        <f t="shared" si="143"/>
        <v>0.15</v>
      </c>
      <c r="Z1112" s="605">
        <f t="shared" si="143"/>
        <v>0.15</v>
      </c>
      <c r="AA1112" s="605">
        <f t="shared" si="143"/>
        <v>0.15</v>
      </c>
      <c r="AB1112" s="605">
        <f t="shared" si="143"/>
        <v>0.15</v>
      </c>
      <c r="AC1112" s="605">
        <f t="shared" si="143"/>
        <v>0.15</v>
      </c>
      <c r="AD1112" s="605">
        <f t="shared" si="143"/>
        <v>0.15</v>
      </c>
      <c r="AE1112" s="605">
        <f t="shared" si="143"/>
        <v>0.15</v>
      </c>
      <c r="AF1112" s="605">
        <f t="shared" si="143"/>
        <v>0.15</v>
      </c>
      <c r="AG1112" s="605">
        <f t="shared" si="143"/>
        <v>0.15</v>
      </c>
      <c r="AH1112" s="605">
        <f t="shared" si="143"/>
        <v>0.15</v>
      </c>
      <c r="AI1112" s="606">
        <f t="shared" si="143"/>
        <v>0.15</v>
      </c>
    </row>
    <row r="1113" spans="2:35">
      <c r="B1113" s="136" t="s">
        <v>357</v>
      </c>
      <c r="C1113" s="132" t="s">
        <v>851</v>
      </c>
      <c r="D1113" s="605">
        <f t="shared" si="142"/>
        <v>0.23</v>
      </c>
      <c r="E1113" s="605">
        <f t="shared" si="143"/>
        <v>0.15</v>
      </c>
      <c r="F1113" s="605">
        <f t="shared" si="143"/>
        <v>0.15</v>
      </c>
      <c r="G1113" s="605">
        <f t="shared" si="143"/>
        <v>0.15</v>
      </c>
      <c r="H1113" s="605">
        <f t="shared" si="143"/>
        <v>0.15</v>
      </c>
      <c r="I1113" s="605">
        <f t="shared" si="143"/>
        <v>0.15</v>
      </c>
      <c r="J1113" s="605">
        <f t="shared" si="143"/>
        <v>0.15</v>
      </c>
      <c r="K1113" s="605">
        <f t="shared" si="143"/>
        <v>0.15</v>
      </c>
      <c r="L1113" s="605">
        <f t="shared" si="143"/>
        <v>0.15</v>
      </c>
      <c r="M1113" s="605">
        <f t="shared" si="143"/>
        <v>0.15</v>
      </c>
      <c r="N1113" s="605">
        <f t="shared" si="143"/>
        <v>0.15</v>
      </c>
      <c r="O1113" s="605">
        <f t="shared" si="143"/>
        <v>0.15</v>
      </c>
      <c r="P1113" s="605">
        <f t="shared" si="143"/>
        <v>0.15</v>
      </c>
      <c r="Q1113" s="605">
        <f t="shared" si="143"/>
        <v>0.15</v>
      </c>
      <c r="R1113" s="605">
        <f t="shared" si="143"/>
        <v>0.15</v>
      </c>
      <c r="S1113" s="605">
        <f t="shared" si="143"/>
        <v>0.15</v>
      </c>
      <c r="T1113" s="605">
        <f t="shared" si="143"/>
        <v>0.15</v>
      </c>
      <c r="U1113" s="605">
        <f t="shared" si="143"/>
        <v>0.15</v>
      </c>
      <c r="V1113" s="605">
        <f t="shared" si="143"/>
        <v>0.15</v>
      </c>
      <c r="W1113" s="605">
        <f t="shared" si="143"/>
        <v>0.15</v>
      </c>
      <c r="X1113" s="605">
        <f t="shared" si="143"/>
        <v>0.15</v>
      </c>
      <c r="Y1113" s="605">
        <f t="shared" si="143"/>
        <v>0.15</v>
      </c>
      <c r="Z1113" s="605">
        <f t="shared" si="143"/>
        <v>0.15</v>
      </c>
      <c r="AA1113" s="605">
        <f t="shared" si="143"/>
        <v>0.15</v>
      </c>
      <c r="AB1113" s="605">
        <f t="shared" si="143"/>
        <v>0.15</v>
      </c>
      <c r="AC1113" s="605">
        <f t="shared" si="143"/>
        <v>0.15</v>
      </c>
      <c r="AD1113" s="605">
        <f t="shared" si="143"/>
        <v>0.15</v>
      </c>
      <c r="AE1113" s="605">
        <f t="shared" si="143"/>
        <v>0.15</v>
      </c>
      <c r="AF1113" s="605">
        <f t="shared" si="143"/>
        <v>0.15</v>
      </c>
      <c r="AG1113" s="605">
        <f t="shared" si="143"/>
        <v>0.15</v>
      </c>
      <c r="AH1113" s="605">
        <f t="shared" si="143"/>
        <v>0.15</v>
      </c>
      <c r="AI1113" s="606">
        <f t="shared" si="143"/>
        <v>0.15</v>
      </c>
    </row>
    <row r="1114" spans="2:35">
      <c r="B1114" s="136" t="s">
        <v>358</v>
      </c>
      <c r="C1114" s="132" t="s">
        <v>851</v>
      </c>
      <c r="D1114" s="605">
        <f t="shared" si="142"/>
        <v>0.23</v>
      </c>
      <c r="E1114" s="605">
        <f t="shared" si="143"/>
        <v>0.15</v>
      </c>
      <c r="F1114" s="605">
        <f t="shared" si="143"/>
        <v>0.15</v>
      </c>
      <c r="G1114" s="605">
        <f t="shared" si="143"/>
        <v>0.15</v>
      </c>
      <c r="H1114" s="605">
        <f t="shared" si="143"/>
        <v>0.15</v>
      </c>
      <c r="I1114" s="605">
        <f t="shared" si="143"/>
        <v>0.15</v>
      </c>
      <c r="J1114" s="605">
        <f t="shared" si="143"/>
        <v>0.15</v>
      </c>
      <c r="K1114" s="605">
        <f t="shared" si="143"/>
        <v>0.15</v>
      </c>
      <c r="L1114" s="605">
        <f t="shared" si="143"/>
        <v>0.15</v>
      </c>
      <c r="M1114" s="605">
        <f t="shared" si="143"/>
        <v>0.15</v>
      </c>
      <c r="N1114" s="605">
        <f t="shared" si="143"/>
        <v>0.15</v>
      </c>
      <c r="O1114" s="605">
        <f t="shared" si="143"/>
        <v>0.15</v>
      </c>
      <c r="P1114" s="605">
        <f t="shared" si="143"/>
        <v>0.15</v>
      </c>
      <c r="Q1114" s="605">
        <f t="shared" si="143"/>
        <v>0.15</v>
      </c>
      <c r="R1114" s="605">
        <f t="shared" si="143"/>
        <v>0.15</v>
      </c>
      <c r="S1114" s="605">
        <f t="shared" si="143"/>
        <v>0.15</v>
      </c>
      <c r="T1114" s="605">
        <f t="shared" si="143"/>
        <v>0.15</v>
      </c>
      <c r="U1114" s="605">
        <f t="shared" si="143"/>
        <v>0.15</v>
      </c>
      <c r="V1114" s="605">
        <f t="shared" si="143"/>
        <v>0.15</v>
      </c>
      <c r="W1114" s="605">
        <f t="shared" si="143"/>
        <v>0.15</v>
      </c>
      <c r="X1114" s="605">
        <f t="shared" si="143"/>
        <v>0.15</v>
      </c>
      <c r="Y1114" s="605">
        <f t="shared" si="143"/>
        <v>0.15</v>
      </c>
      <c r="Z1114" s="605">
        <f t="shared" si="143"/>
        <v>0.15</v>
      </c>
      <c r="AA1114" s="605">
        <f t="shared" si="143"/>
        <v>0.15</v>
      </c>
      <c r="AB1114" s="605">
        <f t="shared" si="143"/>
        <v>0.15</v>
      </c>
      <c r="AC1114" s="605">
        <f t="shared" si="143"/>
        <v>0.15</v>
      </c>
      <c r="AD1114" s="605">
        <f t="shared" si="143"/>
        <v>0.15</v>
      </c>
      <c r="AE1114" s="605">
        <f t="shared" si="143"/>
        <v>0.15</v>
      </c>
      <c r="AF1114" s="605">
        <f t="shared" si="143"/>
        <v>0.15</v>
      </c>
      <c r="AG1114" s="605">
        <f t="shared" si="143"/>
        <v>0.15</v>
      </c>
      <c r="AH1114" s="605">
        <f t="shared" si="143"/>
        <v>0.15</v>
      </c>
      <c r="AI1114" s="606">
        <f t="shared" si="143"/>
        <v>0.15</v>
      </c>
    </row>
    <row r="1115" spans="2:35">
      <c r="B1115" s="136" t="s">
        <v>359</v>
      </c>
      <c r="C1115" s="132" t="s">
        <v>851</v>
      </c>
      <c r="D1115" s="605">
        <f t="shared" si="142"/>
        <v>0.23</v>
      </c>
      <c r="E1115" s="605">
        <f t="shared" si="143"/>
        <v>0.15</v>
      </c>
      <c r="F1115" s="605">
        <f t="shared" si="143"/>
        <v>0.15</v>
      </c>
      <c r="G1115" s="605">
        <f t="shared" si="143"/>
        <v>0.15</v>
      </c>
      <c r="H1115" s="605">
        <f t="shared" si="143"/>
        <v>0.15</v>
      </c>
      <c r="I1115" s="605">
        <f t="shared" si="143"/>
        <v>0.15</v>
      </c>
      <c r="J1115" s="605">
        <f t="shared" si="143"/>
        <v>0.15</v>
      </c>
      <c r="K1115" s="605">
        <f t="shared" si="143"/>
        <v>0.15</v>
      </c>
      <c r="L1115" s="605">
        <f t="shared" si="143"/>
        <v>0.15</v>
      </c>
      <c r="M1115" s="605">
        <f t="shared" si="143"/>
        <v>0.15</v>
      </c>
      <c r="N1115" s="605">
        <f t="shared" si="143"/>
        <v>0.15</v>
      </c>
      <c r="O1115" s="605">
        <f t="shared" si="143"/>
        <v>0.15</v>
      </c>
      <c r="P1115" s="605">
        <f t="shared" si="143"/>
        <v>0.15</v>
      </c>
      <c r="Q1115" s="605">
        <f t="shared" si="143"/>
        <v>0.15</v>
      </c>
      <c r="R1115" s="605">
        <f t="shared" si="143"/>
        <v>0.15</v>
      </c>
      <c r="S1115" s="605">
        <f t="shared" si="143"/>
        <v>0.15</v>
      </c>
      <c r="T1115" s="605">
        <f t="shared" si="143"/>
        <v>0.15</v>
      </c>
      <c r="U1115" s="605">
        <f t="shared" si="143"/>
        <v>0.15</v>
      </c>
      <c r="V1115" s="605">
        <f t="shared" si="143"/>
        <v>0.15</v>
      </c>
      <c r="W1115" s="605">
        <f t="shared" si="143"/>
        <v>0.15</v>
      </c>
      <c r="X1115" s="605">
        <f t="shared" si="143"/>
        <v>0.15</v>
      </c>
      <c r="Y1115" s="605">
        <f t="shared" si="143"/>
        <v>0.15</v>
      </c>
      <c r="Z1115" s="605">
        <f t="shared" si="143"/>
        <v>0.15</v>
      </c>
      <c r="AA1115" s="605">
        <f t="shared" si="143"/>
        <v>0.15</v>
      </c>
      <c r="AB1115" s="605">
        <f t="shared" si="143"/>
        <v>0.15</v>
      </c>
      <c r="AC1115" s="605">
        <f t="shared" si="143"/>
        <v>0.15</v>
      </c>
      <c r="AD1115" s="605">
        <f t="shared" si="143"/>
        <v>0.15</v>
      </c>
      <c r="AE1115" s="605">
        <f t="shared" si="143"/>
        <v>0.15</v>
      </c>
      <c r="AF1115" s="605">
        <f t="shared" si="143"/>
        <v>0.15</v>
      </c>
      <c r="AG1115" s="605">
        <f t="shared" si="143"/>
        <v>0.15</v>
      </c>
      <c r="AH1115" s="605">
        <f t="shared" si="143"/>
        <v>0.15</v>
      </c>
      <c r="AI1115" s="606">
        <f t="shared" si="143"/>
        <v>0.15</v>
      </c>
    </row>
    <row r="1116" spans="2:35">
      <c r="B1116" s="607" t="s">
        <v>852</v>
      </c>
      <c r="C1116" s="132" t="s">
        <v>851</v>
      </c>
      <c r="D1116" s="605">
        <f t="shared" si="142"/>
        <v>0.23</v>
      </c>
      <c r="E1116" s="605">
        <f t="shared" ref="E1116:S1116" si="144">E$1110</f>
        <v>0.15</v>
      </c>
      <c r="F1116" s="605">
        <f t="shared" si="144"/>
        <v>0.15</v>
      </c>
      <c r="G1116" s="605">
        <f t="shared" si="144"/>
        <v>0.15</v>
      </c>
      <c r="H1116" s="605">
        <f t="shared" si="144"/>
        <v>0.15</v>
      </c>
      <c r="I1116" s="605">
        <f t="shared" si="144"/>
        <v>0.15</v>
      </c>
      <c r="J1116" s="605">
        <f t="shared" si="144"/>
        <v>0.15</v>
      </c>
      <c r="K1116" s="605">
        <f t="shared" si="144"/>
        <v>0.15</v>
      </c>
      <c r="L1116" s="605">
        <f t="shared" si="144"/>
        <v>0.15</v>
      </c>
      <c r="M1116" s="605">
        <f t="shared" si="144"/>
        <v>0.15</v>
      </c>
      <c r="N1116" s="605">
        <f t="shared" si="144"/>
        <v>0.15</v>
      </c>
      <c r="O1116" s="605">
        <f t="shared" si="144"/>
        <v>0.15</v>
      </c>
      <c r="P1116" s="605">
        <f t="shared" si="144"/>
        <v>0.15</v>
      </c>
      <c r="Q1116" s="605">
        <f t="shared" si="144"/>
        <v>0.15</v>
      </c>
      <c r="R1116" s="605">
        <f t="shared" si="144"/>
        <v>0.15</v>
      </c>
      <c r="S1116" s="605">
        <f t="shared" si="144"/>
        <v>0.15</v>
      </c>
      <c r="T1116" s="605">
        <f t="shared" si="143"/>
        <v>0.15</v>
      </c>
      <c r="U1116" s="605">
        <f t="shared" si="143"/>
        <v>0.15</v>
      </c>
      <c r="V1116" s="605">
        <f t="shared" si="143"/>
        <v>0.15</v>
      </c>
      <c r="W1116" s="605">
        <f t="shared" si="143"/>
        <v>0.15</v>
      </c>
      <c r="X1116" s="605">
        <f t="shared" si="143"/>
        <v>0.15</v>
      </c>
      <c r="Y1116" s="605">
        <f t="shared" si="143"/>
        <v>0.15</v>
      </c>
      <c r="Z1116" s="605">
        <f t="shared" si="143"/>
        <v>0.15</v>
      </c>
      <c r="AA1116" s="605">
        <f t="shared" si="143"/>
        <v>0.15</v>
      </c>
      <c r="AB1116" s="605">
        <f t="shared" si="143"/>
        <v>0.15</v>
      </c>
      <c r="AC1116" s="605">
        <f t="shared" si="143"/>
        <v>0.15</v>
      </c>
      <c r="AD1116" s="605">
        <f t="shared" si="143"/>
        <v>0.15</v>
      </c>
      <c r="AE1116" s="605">
        <f t="shared" si="143"/>
        <v>0.15</v>
      </c>
      <c r="AF1116" s="605">
        <f t="shared" si="143"/>
        <v>0.15</v>
      </c>
      <c r="AG1116" s="605">
        <f t="shared" si="143"/>
        <v>0.15</v>
      </c>
      <c r="AH1116" s="605">
        <f t="shared" si="143"/>
        <v>0.15</v>
      </c>
      <c r="AI1116" s="606">
        <f t="shared" si="143"/>
        <v>0.15</v>
      </c>
    </row>
    <row r="1117" spans="2:35">
      <c r="B1117" s="136" t="s">
        <v>247</v>
      </c>
      <c r="C1117" s="132" t="s">
        <v>851</v>
      </c>
      <c r="D1117" s="605">
        <f t="shared" si="142"/>
        <v>0.23</v>
      </c>
      <c r="E1117" s="605">
        <f t="shared" si="143"/>
        <v>0.15</v>
      </c>
      <c r="F1117" s="605">
        <f t="shared" si="143"/>
        <v>0.15</v>
      </c>
      <c r="G1117" s="605">
        <f t="shared" si="143"/>
        <v>0.15</v>
      </c>
      <c r="H1117" s="605">
        <f t="shared" si="143"/>
        <v>0.15</v>
      </c>
      <c r="I1117" s="605">
        <f t="shared" si="143"/>
        <v>0.15</v>
      </c>
      <c r="J1117" s="605">
        <f t="shared" si="143"/>
        <v>0.15</v>
      </c>
      <c r="K1117" s="605">
        <f t="shared" si="143"/>
        <v>0.15</v>
      </c>
      <c r="L1117" s="605">
        <f t="shared" si="143"/>
        <v>0.15</v>
      </c>
      <c r="M1117" s="605">
        <f t="shared" si="143"/>
        <v>0.15</v>
      </c>
      <c r="N1117" s="605">
        <f t="shared" si="143"/>
        <v>0.15</v>
      </c>
      <c r="O1117" s="605">
        <f t="shared" si="143"/>
        <v>0.15</v>
      </c>
      <c r="P1117" s="605">
        <f t="shared" si="143"/>
        <v>0.15</v>
      </c>
      <c r="Q1117" s="605">
        <f t="shared" si="143"/>
        <v>0.15</v>
      </c>
      <c r="R1117" s="605">
        <f t="shared" si="143"/>
        <v>0.15</v>
      </c>
      <c r="S1117" s="605">
        <f t="shared" si="143"/>
        <v>0.15</v>
      </c>
      <c r="T1117" s="605">
        <f t="shared" si="143"/>
        <v>0.15</v>
      </c>
      <c r="U1117" s="605">
        <f t="shared" si="143"/>
        <v>0.15</v>
      </c>
      <c r="V1117" s="605">
        <f t="shared" si="143"/>
        <v>0.15</v>
      </c>
      <c r="W1117" s="605">
        <f t="shared" si="143"/>
        <v>0.15</v>
      </c>
      <c r="X1117" s="605">
        <f t="shared" si="143"/>
        <v>0.15</v>
      </c>
      <c r="Y1117" s="605">
        <f t="shared" si="143"/>
        <v>0.15</v>
      </c>
      <c r="Z1117" s="605">
        <f t="shared" si="143"/>
        <v>0.15</v>
      </c>
      <c r="AA1117" s="605">
        <f t="shared" si="143"/>
        <v>0.15</v>
      </c>
      <c r="AB1117" s="605">
        <f t="shared" si="143"/>
        <v>0.15</v>
      </c>
      <c r="AC1117" s="605">
        <f t="shared" si="143"/>
        <v>0.15</v>
      </c>
      <c r="AD1117" s="605">
        <f t="shared" si="143"/>
        <v>0.15</v>
      </c>
      <c r="AE1117" s="605">
        <f t="shared" si="143"/>
        <v>0.15</v>
      </c>
      <c r="AF1117" s="605">
        <f t="shared" si="143"/>
        <v>0.15</v>
      </c>
      <c r="AG1117" s="605">
        <f t="shared" si="143"/>
        <v>0.15</v>
      </c>
      <c r="AH1117" s="605">
        <f t="shared" si="143"/>
        <v>0.15</v>
      </c>
      <c r="AI1117" s="606">
        <f t="shared" si="143"/>
        <v>0.15</v>
      </c>
    </row>
    <row r="1118" spans="2:35">
      <c r="B1118" s="136" t="s">
        <v>249</v>
      </c>
      <c r="C1118" s="132" t="s">
        <v>851</v>
      </c>
      <c r="D1118" s="605">
        <f t="shared" si="142"/>
        <v>0.23</v>
      </c>
      <c r="E1118" s="605">
        <f t="shared" si="143"/>
        <v>0.15</v>
      </c>
      <c r="F1118" s="605">
        <f t="shared" si="143"/>
        <v>0.15</v>
      </c>
      <c r="G1118" s="605">
        <f t="shared" si="143"/>
        <v>0.15</v>
      </c>
      <c r="H1118" s="605">
        <f t="shared" si="143"/>
        <v>0.15</v>
      </c>
      <c r="I1118" s="605">
        <f t="shared" si="143"/>
        <v>0.15</v>
      </c>
      <c r="J1118" s="605">
        <f t="shared" si="143"/>
        <v>0.15</v>
      </c>
      <c r="K1118" s="605">
        <f t="shared" si="143"/>
        <v>0.15</v>
      </c>
      <c r="L1118" s="605">
        <f t="shared" si="143"/>
        <v>0.15</v>
      </c>
      <c r="M1118" s="605">
        <f t="shared" si="143"/>
        <v>0.15</v>
      </c>
      <c r="N1118" s="605">
        <f t="shared" si="143"/>
        <v>0.15</v>
      </c>
      <c r="O1118" s="605">
        <f t="shared" si="143"/>
        <v>0.15</v>
      </c>
      <c r="P1118" s="605">
        <f t="shared" si="143"/>
        <v>0.15</v>
      </c>
      <c r="Q1118" s="605">
        <f t="shared" si="143"/>
        <v>0.15</v>
      </c>
      <c r="R1118" s="605">
        <f t="shared" si="143"/>
        <v>0.15</v>
      </c>
      <c r="S1118" s="605">
        <f t="shared" si="143"/>
        <v>0.15</v>
      </c>
      <c r="T1118" s="605">
        <f t="shared" si="143"/>
        <v>0.15</v>
      </c>
      <c r="U1118" s="605">
        <f t="shared" si="143"/>
        <v>0.15</v>
      </c>
      <c r="V1118" s="605">
        <f t="shared" si="143"/>
        <v>0.15</v>
      </c>
      <c r="W1118" s="605">
        <f t="shared" si="143"/>
        <v>0.15</v>
      </c>
      <c r="X1118" s="605">
        <f t="shared" si="143"/>
        <v>0.15</v>
      </c>
      <c r="Y1118" s="605">
        <f t="shared" si="143"/>
        <v>0.15</v>
      </c>
      <c r="Z1118" s="605">
        <f t="shared" si="143"/>
        <v>0.15</v>
      </c>
      <c r="AA1118" s="605">
        <f t="shared" si="143"/>
        <v>0.15</v>
      </c>
      <c r="AB1118" s="605">
        <f t="shared" si="143"/>
        <v>0.15</v>
      </c>
      <c r="AC1118" s="605">
        <f t="shared" si="143"/>
        <v>0.15</v>
      </c>
      <c r="AD1118" s="605">
        <f t="shared" si="143"/>
        <v>0.15</v>
      </c>
      <c r="AE1118" s="605">
        <f t="shared" si="143"/>
        <v>0.15</v>
      </c>
      <c r="AF1118" s="605">
        <f t="shared" si="143"/>
        <v>0.15</v>
      </c>
      <c r="AG1118" s="605">
        <f t="shared" si="143"/>
        <v>0.15</v>
      </c>
      <c r="AH1118" s="605">
        <f t="shared" si="143"/>
        <v>0.15</v>
      </c>
      <c r="AI1118" s="606">
        <f t="shared" si="143"/>
        <v>0.15</v>
      </c>
    </row>
    <row r="1119" spans="2:35">
      <c r="B1119" s="136" t="s">
        <v>251</v>
      </c>
      <c r="C1119" s="132" t="s">
        <v>851</v>
      </c>
      <c r="D1119" s="605">
        <f t="shared" si="142"/>
        <v>0.23</v>
      </c>
      <c r="E1119" s="605">
        <f t="shared" si="143"/>
        <v>0.15</v>
      </c>
      <c r="F1119" s="605">
        <f t="shared" si="143"/>
        <v>0.15</v>
      </c>
      <c r="G1119" s="605">
        <f t="shared" si="143"/>
        <v>0.15</v>
      </c>
      <c r="H1119" s="605">
        <f t="shared" si="143"/>
        <v>0.15</v>
      </c>
      <c r="I1119" s="605">
        <f t="shared" si="143"/>
        <v>0.15</v>
      </c>
      <c r="J1119" s="605">
        <f t="shared" si="143"/>
        <v>0.15</v>
      </c>
      <c r="K1119" s="605">
        <f t="shared" si="143"/>
        <v>0.15</v>
      </c>
      <c r="L1119" s="605">
        <f t="shared" si="143"/>
        <v>0.15</v>
      </c>
      <c r="M1119" s="605">
        <f t="shared" si="143"/>
        <v>0.15</v>
      </c>
      <c r="N1119" s="605">
        <f t="shared" si="143"/>
        <v>0.15</v>
      </c>
      <c r="O1119" s="605">
        <f t="shared" si="143"/>
        <v>0.15</v>
      </c>
      <c r="P1119" s="605">
        <f t="shared" si="143"/>
        <v>0.15</v>
      </c>
      <c r="Q1119" s="605">
        <f t="shared" si="143"/>
        <v>0.15</v>
      </c>
      <c r="R1119" s="605">
        <f t="shared" si="143"/>
        <v>0.15</v>
      </c>
      <c r="S1119" s="605">
        <f t="shared" si="143"/>
        <v>0.15</v>
      </c>
      <c r="T1119" s="605">
        <f t="shared" si="143"/>
        <v>0.15</v>
      </c>
      <c r="U1119" s="605">
        <f t="shared" si="143"/>
        <v>0.15</v>
      </c>
      <c r="V1119" s="605">
        <f t="shared" si="143"/>
        <v>0.15</v>
      </c>
      <c r="W1119" s="605">
        <f t="shared" si="143"/>
        <v>0.15</v>
      </c>
      <c r="X1119" s="605">
        <f t="shared" si="143"/>
        <v>0.15</v>
      </c>
      <c r="Y1119" s="605">
        <f t="shared" si="143"/>
        <v>0.15</v>
      </c>
      <c r="Z1119" s="605">
        <f t="shared" si="143"/>
        <v>0.15</v>
      </c>
      <c r="AA1119" s="605">
        <f t="shared" ref="AA1119:AI1121" si="145">AA$1110</f>
        <v>0.15</v>
      </c>
      <c r="AB1119" s="605">
        <f t="shared" si="145"/>
        <v>0.15</v>
      </c>
      <c r="AC1119" s="605">
        <f t="shared" si="145"/>
        <v>0.15</v>
      </c>
      <c r="AD1119" s="605">
        <f t="shared" si="145"/>
        <v>0.15</v>
      </c>
      <c r="AE1119" s="605">
        <f t="shared" si="145"/>
        <v>0.15</v>
      </c>
      <c r="AF1119" s="605">
        <f t="shared" si="145"/>
        <v>0.15</v>
      </c>
      <c r="AG1119" s="605">
        <f t="shared" si="145"/>
        <v>0.15</v>
      </c>
      <c r="AH1119" s="605">
        <f t="shared" si="145"/>
        <v>0.15</v>
      </c>
      <c r="AI1119" s="606">
        <f t="shared" si="145"/>
        <v>0.15</v>
      </c>
    </row>
    <row r="1120" spans="2:35">
      <c r="B1120" s="136" t="s">
        <v>253</v>
      </c>
      <c r="C1120" s="132" t="s">
        <v>851</v>
      </c>
      <c r="D1120" s="605">
        <f t="shared" si="142"/>
        <v>0.23</v>
      </c>
      <c r="E1120" s="605">
        <f t="shared" ref="E1120:S1121" si="146">E$1110</f>
        <v>0.15</v>
      </c>
      <c r="F1120" s="605">
        <f t="shared" si="146"/>
        <v>0.15</v>
      </c>
      <c r="G1120" s="605">
        <f t="shared" si="146"/>
        <v>0.15</v>
      </c>
      <c r="H1120" s="605">
        <f t="shared" si="146"/>
        <v>0.15</v>
      </c>
      <c r="I1120" s="605">
        <f t="shared" si="146"/>
        <v>0.15</v>
      </c>
      <c r="J1120" s="605">
        <f t="shared" si="146"/>
        <v>0.15</v>
      </c>
      <c r="K1120" s="605">
        <f t="shared" si="146"/>
        <v>0.15</v>
      </c>
      <c r="L1120" s="605">
        <f t="shared" si="146"/>
        <v>0.15</v>
      </c>
      <c r="M1120" s="605">
        <f t="shared" si="146"/>
        <v>0.15</v>
      </c>
      <c r="N1120" s="605">
        <f t="shared" si="146"/>
        <v>0.15</v>
      </c>
      <c r="O1120" s="605">
        <f t="shared" si="146"/>
        <v>0.15</v>
      </c>
      <c r="P1120" s="605">
        <f t="shared" si="146"/>
        <v>0.15</v>
      </c>
      <c r="Q1120" s="605">
        <f t="shared" si="146"/>
        <v>0.15</v>
      </c>
      <c r="R1120" s="605">
        <f t="shared" si="146"/>
        <v>0.15</v>
      </c>
      <c r="S1120" s="605">
        <f t="shared" si="146"/>
        <v>0.15</v>
      </c>
      <c r="T1120" s="605">
        <f t="shared" ref="T1120:AA1121" si="147">T$1110</f>
        <v>0.15</v>
      </c>
      <c r="U1120" s="605">
        <f t="shared" si="147"/>
        <v>0.15</v>
      </c>
      <c r="V1120" s="605">
        <f t="shared" si="147"/>
        <v>0.15</v>
      </c>
      <c r="W1120" s="605">
        <f t="shared" si="147"/>
        <v>0.15</v>
      </c>
      <c r="X1120" s="605">
        <f t="shared" si="147"/>
        <v>0.15</v>
      </c>
      <c r="Y1120" s="605">
        <f t="shared" si="147"/>
        <v>0.15</v>
      </c>
      <c r="Z1120" s="605">
        <f t="shared" si="147"/>
        <v>0.15</v>
      </c>
      <c r="AA1120" s="605">
        <f t="shared" si="147"/>
        <v>0.15</v>
      </c>
      <c r="AB1120" s="605">
        <f t="shared" si="145"/>
        <v>0.15</v>
      </c>
      <c r="AC1120" s="605">
        <f t="shared" si="145"/>
        <v>0.15</v>
      </c>
      <c r="AD1120" s="605">
        <f t="shared" si="145"/>
        <v>0.15</v>
      </c>
      <c r="AE1120" s="605">
        <f t="shared" si="145"/>
        <v>0.15</v>
      </c>
      <c r="AF1120" s="605">
        <f t="shared" si="145"/>
        <v>0.15</v>
      </c>
      <c r="AG1120" s="605">
        <f t="shared" si="145"/>
        <v>0.15</v>
      </c>
      <c r="AH1120" s="605">
        <f t="shared" si="145"/>
        <v>0.15</v>
      </c>
      <c r="AI1120" s="606">
        <f t="shared" si="145"/>
        <v>0.15</v>
      </c>
    </row>
    <row r="1121" spans="2:35" ht="16" thickBot="1">
      <c r="B1121" s="143" t="s">
        <v>255</v>
      </c>
      <c r="C1121" s="145" t="s">
        <v>851</v>
      </c>
      <c r="D1121" s="608">
        <f t="shared" si="142"/>
        <v>0.23</v>
      </c>
      <c r="E1121" s="608">
        <f t="shared" si="146"/>
        <v>0.15</v>
      </c>
      <c r="F1121" s="608">
        <f t="shared" si="146"/>
        <v>0.15</v>
      </c>
      <c r="G1121" s="608">
        <f t="shared" si="146"/>
        <v>0.15</v>
      </c>
      <c r="H1121" s="608">
        <f t="shared" si="146"/>
        <v>0.15</v>
      </c>
      <c r="I1121" s="608">
        <f t="shared" si="146"/>
        <v>0.15</v>
      </c>
      <c r="J1121" s="608">
        <f t="shared" si="146"/>
        <v>0.15</v>
      </c>
      <c r="K1121" s="608">
        <f t="shared" si="146"/>
        <v>0.15</v>
      </c>
      <c r="L1121" s="608">
        <f t="shared" si="146"/>
        <v>0.15</v>
      </c>
      <c r="M1121" s="608">
        <f t="shared" si="146"/>
        <v>0.15</v>
      </c>
      <c r="N1121" s="608">
        <f t="shared" si="146"/>
        <v>0.15</v>
      </c>
      <c r="O1121" s="608">
        <f t="shared" si="146"/>
        <v>0.15</v>
      </c>
      <c r="P1121" s="608">
        <f t="shared" si="146"/>
        <v>0.15</v>
      </c>
      <c r="Q1121" s="608">
        <f t="shared" si="146"/>
        <v>0.15</v>
      </c>
      <c r="R1121" s="608">
        <f t="shared" si="146"/>
        <v>0.15</v>
      </c>
      <c r="S1121" s="608">
        <f t="shared" si="146"/>
        <v>0.15</v>
      </c>
      <c r="T1121" s="608">
        <f t="shared" si="147"/>
        <v>0.15</v>
      </c>
      <c r="U1121" s="608">
        <f t="shared" si="147"/>
        <v>0.15</v>
      </c>
      <c r="V1121" s="608">
        <f t="shared" si="147"/>
        <v>0.15</v>
      </c>
      <c r="W1121" s="608">
        <f t="shared" si="147"/>
        <v>0.15</v>
      </c>
      <c r="X1121" s="608">
        <f t="shared" si="147"/>
        <v>0.15</v>
      </c>
      <c r="Y1121" s="608">
        <f t="shared" si="147"/>
        <v>0.15</v>
      </c>
      <c r="Z1121" s="608">
        <f t="shared" si="147"/>
        <v>0.15</v>
      </c>
      <c r="AA1121" s="608">
        <f t="shared" si="147"/>
        <v>0.15</v>
      </c>
      <c r="AB1121" s="608">
        <f t="shared" si="145"/>
        <v>0.15</v>
      </c>
      <c r="AC1121" s="608">
        <f t="shared" si="145"/>
        <v>0.15</v>
      </c>
      <c r="AD1121" s="608">
        <f t="shared" si="145"/>
        <v>0.15</v>
      </c>
      <c r="AE1121" s="608">
        <f t="shared" si="145"/>
        <v>0.15</v>
      </c>
      <c r="AF1121" s="608">
        <f t="shared" si="145"/>
        <v>0.15</v>
      </c>
      <c r="AG1121" s="608">
        <f t="shared" si="145"/>
        <v>0.15</v>
      </c>
      <c r="AH1121" s="608">
        <f t="shared" si="145"/>
        <v>0.15</v>
      </c>
      <c r="AI1121" s="609">
        <f t="shared" si="145"/>
        <v>0.15</v>
      </c>
    </row>
    <row r="1122" spans="2:35">
      <c r="B1122" s="132"/>
      <c r="C1122" s="367"/>
      <c r="D1122" s="605"/>
      <c r="E1122" s="605"/>
      <c r="F1122" s="605"/>
      <c r="G1122" s="605"/>
      <c r="H1122" s="605"/>
      <c r="I1122" s="605"/>
      <c r="J1122" s="605"/>
      <c r="K1122" s="605"/>
      <c r="L1122" s="605"/>
      <c r="M1122" s="605"/>
      <c r="N1122" s="605"/>
      <c r="O1122" s="605"/>
      <c r="P1122" s="605"/>
      <c r="Q1122" s="605"/>
      <c r="R1122" s="605"/>
      <c r="S1122" s="605"/>
      <c r="T1122" s="605"/>
      <c r="U1122" s="605"/>
      <c r="V1122" s="605"/>
      <c r="W1122" s="605"/>
      <c r="X1122" s="605"/>
      <c r="Y1122" s="605"/>
      <c r="Z1122" s="605"/>
      <c r="AA1122" s="605"/>
      <c r="AB1122" s="605"/>
      <c r="AC1122" s="605"/>
      <c r="AD1122" s="605"/>
      <c r="AE1122" s="605"/>
      <c r="AF1122" s="605"/>
      <c r="AG1122" s="605"/>
    </row>
    <row r="1123" spans="2:35" ht="16" thickBot="1">
      <c r="B1123" s="610" t="s">
        <v>853</v>
      </c>
      <c r="C1123" s="367"/>
      <c r="D1123" s="605"/>
      <c r="E1123" s="605"/>
      <c r="F1123" s="605"/>
      <c r="G1123" s="605"/>
      <c r="H1123" s="605"/>
      <c r="I1123" s="605"/>
      <c r="J1123" s="605"/>
      <c r="K1123" s="605"/>
      <c r="L1123" s="605"/>
      <c r="M1123" s="605"/>
      <c r="N1123" s="605"/>
      <c r="O1123" s="605"/>
      <c r="P1123" s="605"/>
      <c r="Q1123" s="605"/>
      <c r="R1123" s="605"/>
      <c r="S1123" s="605"/>
      <c r="T1123" s="605"/>
      <c r="U1123" s="605"/>
      <c r="V1123" s="605"/>
      <c r="W1123" s="605"/>
      <c r="X1123" s="605"/>
      <c r="Y1123" s="605"/>
      <c r="Z1123" s="605"/>
      <c r="AA1123" s="605"/>
      <c r="AB1123" s="605"/>
      <c r="AC1123" s="605"/>
      <c r="AD1123" s="605"/>
      <c r="AE1123" s="605"/>
      <c r="AF1123" s="605"/>
      <c r="AG1123" s="605"/>
    </row>
    <row r="1124" spans="2:35">
      <c r="B1124" s="603" t="s">
        <v>848</v>
      </c>
      <c r="C1124" s="520" t="s">
        <v>10</v>
      </c>
      <c r="D1124" s="604" t="s">
        <v>555</v>
      </c>
      <c r="E1124" s="604">
        <v>2</v>
      </c>
      <c r="F1124" s="604">
        <v>3</v>
      </c>
      <c r="G1124" s="604">
        <v>4</v>
      </c>
      <c r="H1124" s="604">
        <v>5</v>
      </c>
      <c r="I1124" s="604">
        <v>6</v>
      </c>
      <c r="J1124" s="604">
        <v>7</v>
      </c>
      <c r="K1124" s="604">
        <v>8</v>
      </c>
      <c r="L1124" s="604">
        <v>9</v>
      </c>
      <c r="M1124" s="604">
        <v>10</v>
      </c>
      <c r="N1124" s="604">
        <v>11</v>
      </c>
      <c r="O1124" s="604">
        <v>12</v>
      </c>
      <c r="P1124" s="604">
        <v>13</v>
      </c>
      <c r="Q1124" s="604">
        <v>14</v>
      </c>
      <c r="R1124" s="604">
        <v>15</v>
      </c>
      <c r="S1124" s="604">
        <v>16</v>
      </c>
      <c r="T1124" s="604">
        <v>17</v>
      </c>
      <c r="U1124" s="604">
        <v>18</v>
      </c>
      <c r="V1124" s="604">
        <v>19</v>
      </c>
      <c r="W1124" s="604">
        <v>19</v>
      </c>
      <c r="X1124" s="523">
        <v>19</v>
      </c>
      <c r="Y1124" s="523">
        <v>20</v>
      </c>
      <c r="Z1124" s="523">
        <v>21</v>
      </c>
      <c r="AA1124" s="523">
        <v>22</v>
      </c>
      <c r="AB1124" s="523">
        <v>23</v>
      </c>
      <c r="AC1124" s="523">
        <v>24</v>
      </c>
      <c r="AD1124" s="523">
        <v>25</v>
      </c>
      <c r="AE1124" s="523">
        <v>26</v>
      </c>
      <c r="AF1124" s="523">
        <v>27</v>
      </c>
      <c r="AG1124" s="523">
        <v>28</v>
      </c>
      <c r="AH1124" s="523">
        <v>29</v>
      </c>
      <c r="AI1124" s="524">
        <v>30</v>
      </c>
    </row>
    <row r="1125" spans="2:35">
      <c r="B1125" s="336"/>
      <c r="C1125" s="356"/>
      <c r="D1125" s="356" t="s">
        <v>849</v>
      </c>
      <c r="E1125" s="356"/>
      <c r="F1125" s="356"/>
      <c r="G1125" s="356"/>
      <c r="H1125" s="356"/>
      <c r="I1125" s="356"/>
      <c r="J1125" s="356"/>
      <c r="K1125" s="356"/>
      <c r="L1125" s="356"/>
      <c r="M1125" s="356"/>
      <c r="N1125" s="356"/>
      <c r="O1125" s="356"/>
      <c r="P1125" s="356"/>
      <c r="Q1125" s="356"/>
      <c r="R1125" s="356"/>
      <c r="S1125" s="356"/>
      <c r="T1125" s="356"/>
      <c r="U1125" s="356"/>
      <c r="V1125" s="356"/>
      <c r="W1125" s="356"/>
      <c r="X1125" s="356"/>
      <c r="Y1125" s="356"/>
      <c r="Z1125" s="356"/>
      <c r="AA1125" s="356"/>
      <c r="AB1125" s="356"/>
      <c r="AC1125" s="356"/>
      <c r="AD1125" s="356"/>
      <c r="AE1125" s="356"/>
      <c r="AF1125" s="356"/>
      <c r="AG1125" s="356"/>
      <c r="AH1125" s="132"/>
      <c r="AI1125" s="142"/>
    </row>
    <row r="1126" spans="2:35">
      <c r="B1126" s="87" t="s">
        <v>4</v>
      </c>
      <c r="C1126" s="132" t="s">
        <v>851</v>
      </c>
      <c r="D1126" s="605">
        <f t="shared" ref="D1126:D1138" si="148">D$1110</f>
        <v>0.23</v>
      </c>
      <c r="E1126" s="605">
        <f t="shared" ref="E1126:AI1134" si="149">E$1110</f>
        <v>0.15</v>
      </c>
      <c r="F1126" s="605">
        <f t="shared" si="149"/>
        <v>0.15</v>
      </c>
      <c r="G1126" s="605">
        <f t="shared" si="149"/>
        <v>0.15</v>
      </c>
      <c r="H1126" s="605">
        <f t="shared" si="149"/>
        <v>0.15</v>
      </c>
      <c r="I1126" s="605">
        <f t="shared" si="149"/>
        <v>0.15</v>
      </c>
      <c r="J1126" s="605">
        <f t="shared" si="149"/>
        <v>0.15</v>
      </c>
      <c r="K1126" s="605">
        <f t="shared" si="149"/>
        <v>0.15</v>
      </c>
      <c r="L1126" s="605">
        <f t="shared" si="149"/>
        <v>0.15</v>
      </c>
      <c r="M1126" s="605">
        <f t="shared" si="149"/>
        <v>0.15</v>
      </c>
      <c r="N1126" s="605">
        <f t="shared" si="149"/>
        <v>0.15</v>
      </c>
      <c r="O1126" s="605">
        <f t="shared" si="149"/>
        <v>0.15</v>
      </c>
      <c r="P1126" s="605">
        <f t="shared" si="149"/>
        <v>0.15</v>
      </c>
      <c r="Q1126" s="605">
        <f t="shared" si="149"/>
        <v>0.15</v>
      </c>
      <c r="R1126" s="605">
        <f t="shared" si="149"/>
        <v>0.15</v>
      </c>
      <c r="S1126" s="605">
        <f t="shared" si="149"/>
        <v>0.15</v>
      </c>
      <c r="T1126" s="605">
        <f t="shared" si="149"/>
        <v>0.15</v>
      </c>
      <c r="U1126" s="605">
        <f t="shared" si="149"/>
        <v>0.15</v>
      </c>
      <c r="V1126" s="605">
        <f t="shared" si="149"/>
        <v>0.15</v>
      </c>
      <c r="W1126" s="605">
        <f t="shared" si="149"/>
        <v>0.15</v>
      </c>
      <c r="X1126" s="605">
        <f t="shared" si="149"/>
        <v>0.15</v>
      </c>
      <c r="Y1126" s="605">
        <f t="shared" si="149"/>
        <v>0.15</v>
      </c>
      <c r="Z1126" s="605">
        <f t="shared" si="149"/>
        <v>0.15</v>
      </c>
      <c r="AA1126" s="605">
        <f t="shared" si="149"/>
        <v>0.15</v>
      </c>
      <c r="AB1126" s="605">
        <f t="shared" si="149"/>
        <v>0.15</v>
      </c>
      <c r="AC1126" s="605">
        <f t="shared" si="149"/>
        <v>0.15</v>
      </c>
      <c r="AD1126" s="605">
        <f t="shared" si="149"/>
        <v>0.15</v>
      </c>
      <c r="AE1126" s="605">
        <f t="shared" si="149"/>
        <v>0.15</v>
      </c>
      <c r="AF1126" s="605">
        <f t="shared" si="149"/>
        <v>0.15</v>
      </c>
      <c r="AG1126" s="605">
        <f t="shared" si="149"/>
        <v>0.15</v>
      </c>
      <c r="AH1126" s="605">
        <f t="shared" si="149"/>
        <v>0.15</v>
      </c>
      <c r="AI1126" s="606">
        <f t="shared" si="149"/>
        <v>0.15</v>
      </c>
    </row>
    <row r="1127" spans="2:35">
      <c r="B1127" s="607" t="s">
        <v>5</v>
      </c>
      <c r="C1127" s="132" t="s">
        <v>851</v>
      </c>
      <c r="D1127" s="605">
        <f t="shared" si="148"/>
        <v>0.23</v>
      </c>
      <c r="E1127" s="605">
        <f t="shared" si="149"/>
        <v>0.15</v>
      </c>
      <c r="F1127" s="605">
        <f t="shared" si="149"/>
        <v>0.15</v>
      </c>
      <c r="G1127" s="605">
        <f t="shared" si="149"/>
        <v>0.15</v>
      </c>
      <c r="H1127" s="605">
        <f t="shared" si="149"/>
        <v>0.15</v>
      </c>
      <c r="I1127" s="605">
        <f t="shared" si="149"/>
        <v>0.15</v>
      </c>
      <c r="J1127" s="605">
        <f t="shared" si="149"/>
        <v>0.15</v>
      </c>
      <c r="K1127" s="605">
        <f t="shared" si="149"/>
        <v>0.15</v>
      </c>
      <c r="L1127" s="605">
        <f t="shared" si="149"/>
        <v>0.15</v>
      </c>
      <c r="M1127" s="605">
        <f t="shared" si="149"/>
        <v>0.15</v>
      </c>
      <c r="N1127" s="605">
        <f t="shared" si="149"/>
        <v>0.15</v>
      </c>
      <c r="O1127" s="605">
        <f t="shared" si="149"/>
        <v>0.15</v>
      </c>
      <c r="P1127" s="605">
        <f t="shared" si="149"/>
        <v>0.15</v>
      </c>
      <c r="Q1127" s="605">
        <f t="shared" si="149"/>
        <v>0.15</v>
      </c>
      <c r="R1127" s="605">
        <f t="shared" si="149"/>
        <v>0.15</v>
      </c>
      <c r="S1127" s="605">
        <f t="shared" si="149"/>
        <v>0.15</v>
      </c>
      <c r="T1127" s="605">
        <f t="shared" si="149"/>
        <v>0.15</v>
      </c>
      <c r="U1127" s="605">
        <f t="shared" si="149"/>
        <v>0.15</v>
      </c>
      <c r="V1127" s="605">
        <f t="shared" si="149"/>
        <v>0.15</v>
      </c>
      <c r="W1127" s="605">
        <f t="shared" si="149"/>
        <v>0.15</v>
      </c>
      <c r="X1127" s="605">
        <f t="shared" si="149"/>
        <v>0.15</v>
      </c>
      <c r="Y1127" s="605">
        <f t="shared" si="149"/>
        <v>0.15</v>
      </c>
      <c r="Z1127" s="605">
        <f t="shared" si="149"/>
        <v>0.15</v>
      </c>
      <c r="AA1127" s="605">
        <f t="shared" si="149"/>
        <v>0.15</v>
      </c>
      <c r="AB1127" s="605">
        <f t="shared" si="149"/>
        <v>0.15</v>
      </c>
      <c r="AC1127" s="605">
        <f t="shared" si="149"/>
        <v>0.15</v>
      </c>
      <c r="AD1127" s="605">
        <f t="shared" si="149"/>
        <v>0.15</v>
      </c>
      <c r="AE1127" s="605">
        <f t="shared" si="149"/>
        <v>0.15</v>
      </c>
      <c r="AF1127" s="605">
        <f t="shared" si="149"/>
        <v>0.15</v>
      </c>
      <c r="AG1127" s="605">
        <f t="shared" si="149"/>
        <v>0.15</v>
      </c>
      <c r="AH1127" s="605">
        <f t="shared" si="149"/>
        <v>0.15</v>
      </c>
      <c r="AI1127" s="606">
        <f t="shared" si="149"/>
        <v>0.15</v>
      </c>
    </row>
    <row r="1128" spans="2:35">
      <c r="B1128" s="607" t="s">
        <v>359</v>
      </c>
      <c r="C1128" s="132" t="s">
        <v>851</v>
      </c>
      <c r="D1128" s="605">
        <f t="shared" si="148"/>
        <v>0.23</v>
      </c>
      <c r="E1128" s="605">
        <f t="shared" si="149"/>
        <v>0.15</v>
      </c>
      <c r="F1128" s="605">
        <f t="shared" si="149"/>
        <v>0.15</v>
      </c>
      <c r="G1128" s="605">
        <f t="shared" si="149"/>
        <v>0.15</v>
      </c>
      <c r="H1128" s="605">
        <f t="shared" si="149"/>
        <v>0.15</v>
      </c>
      <c r="I1128" s="605">
        <f t="shared" si="149"/>
        <v>0.15</v>
      </c>
      <c r="J1128" s="605">
        <f t="shared" si="149"/>
        <v>0.15</v>
      </c>
      <c r="K1128" s="605">
        <f t="shared" si="149"/>
        <v>0.15</v>
      </c>
      <c r="L1128" s="605">
        <f t="shared" si="149"/>
        <v>0.15</v>
      </c>
      <c r="M1128" s="605">
        <f t="shared" si="149"/>
        <v>0.15</v>
      </c>
      <c r="N1128" s="605">
        <f t="shared" si="149"/>
        <v>0.15</v>
      </c>
      <c r="O1128" s="605">
        <f t="shared" si="149"/>
        <v>0.15</v>
      </c>
      <c r="P1128" s="605">
        <f t="shared" si="149"/>
        <v>0.15</v>
      </c>
      <c r="Q1128" s="605">
        <f t="shared" si="149"/>
        <v>0.15</v>
      </c>
      <c r="R1128" s="605">
        <f t="shared" si="149"/>
        <v>0.15</v>
      </c>
      <c r="S1128" s="605">
        <f t="shared" si="149"/>
        <v>0.15</v>
      </c>
      <c r="T1128" s="605">
        <f t="shared" si="149"/>
        <v>0.15</v>
      </c>
      <c r="U1128" s="605">
        <f t="shared" si="149"/>
        <v>0.15</v>
      </c>
      <c r="V1128" s="605">
        <f t="shared" si="149"/>
        <v>0.15</v>
      </c>
      <c r="W1128" s="605">
        <f t="shared" si="149"/>
        <v>0.15</v>
      </c>
      <c r="X1128" s="605">
        <f t="shared" si="149"/>
        <v>0.15</v>
      </c>
      <c r="Y1128" s="605">
        <f t="shared" si="149"/>
        <v>0.15</v>
      </c>
      <c r="Z1128" s="605">
        <f t="shared" si="149"/>
        <v>0.15</v>
      </c>
      <c r="AA1128" s="605">
        <f t="shared" si="149"/>
        <v>0.15</v>
      </c>
      <c r="AB1128" s="605">
        <f t="shared" si="149"/>
        <v>0.15</v>
      </c>
      <c r="AC1128" s="605">
        <f t="shared" si="149"/>
        <v>0.15</v>
      </c>
      <c r="AD1128" s="605">
        <f t="shared" si="149"/>
        <v>0.15</v>
      </c>
      <c r="AE1128" s="605">
        <f t="shared" si="149"/>
        <v>0.15</v>
      </c>
      <c r="AF1128" s="605">
        <f t="shared" si="149"/>
        <v>0.15</v>
      </c>
      <c r="AG1128" s="605">
        <f t="shared" si="149"/>
        <v>0.15</v>
      </c>
      <c r="AH1128" s="605">
        <f t="shared" si="149"/>
        <v>0.15</v>
      </c>
      <c r="AI1128" s="606">
        <f t="shared" si="149"/>
        <v>0.15</v>
      </c>
    </row>
    <row r="1129" spans="2:35">
      <c r="B1129" s="607" t="s">
        <v>852</v>
      </c>
      <c r="C1129" s="132" t="s">
        <v>851</v>
      </c>
      <c r="D1129" s="605">
        <f t="shared" si="148"/>
        <v>0.23</v>
      </c>
      <c r="E1129" s="605">
        <f t="shared" ref="E1129:S1129" si="150">E$1110</f>
        <v>0.15</v>
      </c>
      <c r="F1129" s="605">
        <f t="shared" si="150"/>
        <v>0.15</v>
      </c>
      <c r="G1129" s="605">
        <f t="shared" si="150"/>
        <v>0.15</v>
      </c>
      <c r="H1129" s="605">
        <f t="shared" si="150"/>
        <v>0.15</v>
      </c>
      <c r="I1129" s="605">
        <f t="shared" si="150"/>
        <v>0.15</v>
      </c>
      <c r="J1129" s="605">
        <f t="shared" si="150"/>
        <v>0.15</v>
      </c>
      <c r="K1129" s="605">
        <f t="shared" si="150"/>
        <v>0.15</v>
      </c>
      <c r="L1129" s="605">
        <f t="shared" si="150"/>
        <v>0.15</v>
      </c>
      <c r="M1129" s="605">
        <f t="shared" si="150"/>
        <v>0.15</v>
      </c>
      <c r="N1129" s="605">
        <f t="shared" si="150"/>
        <v>0.15</v>
      </c>
      <c r="O1129" s="605">
        <f t="shared" si="150"/>
        <v>0.15</v>
      </c>
      <c r="P1129" s="605">
        <f t="shared" si="150"/>
        <v>0.15</v>
      </c>
      <c r="Q1129" s="605">
        <f t="shared" si="150"/>
        <v>0.15</v>
      </c>
      <c r="R1129" s="605">
        <f t="shared" si="150"/>
        <v>0.15</v>
      </c>
      <c r="S1129" s="605">
        <f t="shared" si="150"/>
        <v>0.15</v>
      </c>
      <c r="T1129" s="605">
        <f t="shared" si="149"/>
        <v>0.15</v>
      </c>
      <c r="U1129" s="605">
        <f t="shared" si="149"/>
        <v>0.15</v>
      </c>
      <c r="V1129" s="605">
        <f t="shared" si="149"/>
        <v>0.15</v>
      </c>
      <c r="W1129" s="605">
        <f t="shared" si="149"/>
        <v>0.15</v>
      </c>
      <c r="X1129" s="605">
        <f t="shared" si="149"/>
        <v>0.15</v>
      </c>
      <c r="Y1129" s="605">
        <f t="shared" si="149"/>
        <v>0.15</v>
      </c>
      <c r="Z1129" s="605">
        <f t="shared" si="149"/>
        <v>0.15</v>
      </c>
      <c r="AA1129" s="605">
        <f t="shared" si="149"/>
        <v>0.15</v>
      </c>
      <c r="AB1129" s="605">
        <f t="shared" si="149"/>
        <v>0.15</v>
      </c>
      <c r="AC1129" s="605">
        <f t="shared" si="149"/>
        <v>0.15</v>
      </c>
      <c r="AD1129" s="605">
        <f t="shared" si="149"/>
        <v>0.15</v>
      </c>
      <c r="AE1129" s="605">
        <f t="shared" si="149"/>
        <v>0.15</v>
      </c>
      <c r="AF1129" s="605">
        <f t="shared" si="149"/>
        <v>0.15</v>
      </c>
      <c r="AG1129" s="605">
        <f t="shared" si="149"/>
        <v>0.15</v>
      </c>
      <c r="AH1129" s="605">
        <f t="shared" si="149"/>
        <v>0.15</v>
      </c>
      <c r="AI1129" s="606">
        <f t="shared" si="149"/>
        <v>0.15</v>
      </c>
    </row>
    <row r="1130" spans="2:35">
      <c r="B1130" s="607" t="s">
        <v>361</v>
      </c>
      <c r="C1130" s="132" t="s">
        <v>851</v>
      </c>
      <c r="D1130" s="605">
        <f t="shared" si="148"/>
        <v>0.23</v>
      </c>
      <c r="E1130" s="605">
        <f t="shared" si="149"/>
        <v>0.15</v>
      </c>
      <c r="F1130" s="605">
        <f t="shared" si="149"/>
        <v>0.15</v>
      </c>
      <c r="G1130" s="605">
        <f t="shared" si="149"/>
        <v>0.15</v>
      </c>
      <c r="H1130" s="605">
        <f t="shared" si="149"/>
        <v>0.15</v>
      </c>
      <c r="I1130" s="605">
        <f t="shared" si="149"/>
        <v>0.15</v>
      </c>
      <c r="J1130" s="605">
        <f t="shared" si="149"/>
        <v>0.15</v>
      </c>
      <c r="K1130" s="605">
        <f t="shared" si="149"/>
        <v>0.15</v>
      </c>
      <c r="L1130" s="605">
        <f t="shared" si="149"/>
        <v>0.15</v>
      </c>
      <c r="M1130" s="605">
        <f t="shared" si="149"/>
        <v>0.15</v>
      </c>
      <c r="N1130" s="605">
        <f t="shared" si="149"/>
        <v>0.15</v>
      </c>
      <c r="O1130" s="605">
        <f t="shared" si="149"/>
        <v>0.15</v>
      </c>
      <c r="P1130" s="605">
        <f t="shared" si="149"/>
        <v>0.15</v>
      </c>
      <c r="Q1130" s="605">
        <f t="shared" si="149"/>
        <v>0.15</v>
      </c>
      <c r="R1130" s="605">
        <f t="shared" si="149"/>
        <v>0.15</v>
      </c>
      <c r="S1130" s="605">
        <f t="shared" si="149"/>
        <v>0.15</v>
      </c>
      <c r="T1130" s="605">
        <f t="shared" si="149"/>
        <v>0.15</v>
      </c>
      <c r="U1130" s="605">
        <f t="shared" si="149"/>
        <v>0.15</v>
      </c>
      <c r="V1130" s="605">
        <f t="shared" si="149"/>
        <v>0.15</v>
      </c>
      <c r="W1130" s="605">
        <f t="shared" si="149"/>
        <v>0.15</v>
      </c>
      <c r="X1130" s="605">
        <f t="shared" si="149"/>
        <v>0.15</v>
      </c>
      <c r="Y1130" s="605">
        <f t="shared" si="149"/>
        <v>0.15</v>
      </c>
      <c r="Z1130" s="605">
        <f t="shared" si="149"/>
        <v>0.15</v>
      </c>
      <c r="AA1130" s="605">
        <f t="shared" si="149"/>
        <v>0.15</v>
      </c>
      <c r="AB1130" s="605">
        <f t="shared" si="149"/>
        <v>0.15</v>
      </c>
      <c r="AC1130" s="605">
        <f t="shared" si="149"/>
        <v>0.15</v>
      </c>
      <c r="AD1130" s="605">
        <f t="shared" si="149"/>
        <v>0.15</v>
      </c>
      <c r="AE1130" s="605">
        <f t="shared" si="149"/>
        <v>0.15</v>
      </c>
      <c r="AF1130" s="605">
        <f t="shared" si="149"/>
        <v>0.15</v>
      </c>
      <c r="AG1130" s="605">
        <f t="shared" si="149"/>
        <v>0.15</v>
      </c>
      <c r="AH1130" s="605">
        <f t="shared" si="149"/>
        <v>0.15</v>
      </c>
      <c r="AI1130" s="606">
        <f t="shared" si="149"/>
        <v>0.15</v>
      </c>
    </row>
    <row r="1131" spans="2:35">
      <c r="B1131" s="607" t="s">
        <v>854</v>
      </c>
      <c r="C1131" s="132" t="s">
        <v>851</v>
      </c>
      <c r="D1131" s="605">
        <f t="shared" si="148"/>
        <v>0.23</v>
      </c>
      <c r="E1131" s="605">
        <f t="shared" si="149"/>
        <v>0.15</v>
      </c>
      <c r="F1131" s="605">
        <f t="shared" si="149"/>
        <v>0.15</v>
      </c>
      <c r="G1131" s="605">
        <f t="shared" si="149"/>
        <v>0.15</v>
      </c>
      <c r="H1131" s="605">
        <f t="shared" si="149"/>
        <v>0.15</v>
      </c>
      <c r="I1131" s="605">
        <f t="shared" si="149"/>
        <v>0.15</v>
      </c>
      <c r="J1131" s="605">
        <f t="shared" si="149"/>
        <v>0.15</v>
      </c>
      <c r="K1131" s="605">
        <f t="shared" si="149"/>
        <v>0.15</v>
      </c>
      <c r="L1131" s="605">
        <f t="shared" si="149"/>
        <v>0.15</v>
      </c>
      <c r="M1131" s="605">
        <f t="shared" si="149"/>
        <v>0.15</v>
      </c>
      <c r="N1131" s="605">
        <f t="shared" si="149"/>
        <v>0.15</v>
      </c>
      <c r="O1131" s="605">
        <f t="shared" si="149"/>
        <v>0.15</v>
      </c>
      <c r="P1131" s="605">
        <f t="shared" si="149"/>
        <v>0.15</v>
      </c>
      <c r="Q1131" s="605">
        <f t="shared" si="149"/>
        <v>0.15</v>
      </c>
      <c r="R1131" s="605">
        <f t="shared" si="149"/>
        <v>0.15</v>
      </c>
      <c r="S1131" s="605">
        <f t="shared" si="149"/>
        <v>0.15</v>
      </c>
      <c r="T1131" s="605">
        <f t="shared" si="149"/>
        <v>0.15</v>
      </c>
      <c r="U1131" s="605">
        <f t="shared" si="149"/>
        <v>0.15</v>
      </c>
      <c r="V1131" s="605">
        <f t="shared" si="149"/>
        <v>0.15</v>
      </c>
      <c r="W1131" s="605">
        <f t="shared" si="149"/>
        <v>0.15</v>
      </c>
      <c r="X1131" s="605">
        <f t="shared" si="149"/>
        <v>0.15</v>
      </c>
      <c r="Y1131" s="605">
        <f t="shared" si="149"/>
        <v>0.15</v>
      </c>
      <c r="Z1131" s="605">
        <f t="shared" si="149"/>
        <v>0.15</v>
      </c>
      <c r="AA1131" s="605">
        <f t="shared" si="149"/>
        <v>0.15</v>
      </c>
      <c r="AB1131" s="605">
        <f t="shared" si="149"/>
        <v>0.15</v>
      </c>
      <c r="AC1131" s="605">
        <f t="shared" si="149"/>
        <v>0.15</v>
      </c>
      <c r="AD1131" s="605">
        <f t="shared" si="149"/>
        <v>0.15</v>
      </c>
      <c r="AE1131" s="605">
        <f t="shared" si="149"/>
        <v>0.15</v>
      </c>
      <c r="AF1131" s="605">
        <f t="shared" si="149"/>
        <v>0.15</v>
      </c>
      <c r="AG1131" s="605">
        <f t="shared" si="149"/>
        <v>0.15</v>
      </c>
      <c r="AH1131" s="605">
        <f t="shared" si="149"/>
        <v>0.15</v>
      </c>
      <c r="AI1131" s="606">
        <f t="shared" si="149"/>
        <v>0.15</v>
      </c>
    </row>
    <row r="1132" spans="2:35">
      <c r="B1132" s="607" t="s">
        <v>247</v>
      </c>
      <c r="C1132" s="132" t="s">
        <v>851</v>
      </c>
      <c r="D1132" s="605">
        <f t="shared" si="148"/>
        <v>0.23</v>
      </c>
      <c r="E1132" s="605">
        <f t="shared" si="149"/>
        <v>0.15</v>
      </c>
      <c r="F1132" s="605">
        <f t="shared" si="149"/>
        <v>0.15</v>
      </c>
      <c r="G1132" s="605">
        <f t="shared" si="149"/>
        <v>0.15</v>
      </c>
      <c r="H1132" s="605">
        <f t="shared" si="149"/>
        <v>0.15</v>
      </c>
      <c r="I1132" s="605">
        <f t="shared" si="149"/>
        <v>0.15</v>
      </c>
      <c r="J1132" s="605">
        <f t="shared" si="149"/>
        <v>0.15</v>
      </c>
      <c r="K1132" s="605">
        <f t="shared" si="149"/>
        <v>0.15</v>
      </c>
      <c r="L1132" s="605">
        <f t="shared" si="149"/>
        <v>0.15</v>
      </c>
      <c r="M1132" s="605">
        <f t="shared" si="149"/>
        <v>0.15</v>
      </c>
      <c r="N1132" s="605">
        <f t="shared" si="149"/>
        <v>0.15</v>
      </c>
      <c r="O1132" s="605">
        <f t="shared" si="149"/>
        <v>0.15</v>
      </c>
      <c r="P1132" s="605">
        <f t="shared" si="149"/>
        <v>0.15</v>
      </c>
      <c r="Q1132" s="605">
        <f t="shared" si="149"/>
        <v>0.15</v>
      </c>
      <c r="R1132" s="605">
        <f t="shared" si="149"/>
        <v>0.15</v>
      </c>
      <c r="S1132" s="605">
        <f t="shared" si="149"/>
        <v>0.15</v>
      </c>
      <c r="T1132" s="605">
        <f t="shared" si="149"/>
        <v>0.15</v>
      </c>
      <c r="U1132" s="605">
        <f t="shared" si="149"/>
        <v>0.15</v>
      </c>
      <c r="V1132" s="605">
        <f t="shared" si="149"/>
        <v>0.15</v>
      </c>
      <c r="W1132" s="605">
        <f t="shared" si="149"/>
        <v>0.15</v>
      </c>
      <c r="X1132" s="605">
        <f t="shared" si="149"/>
        <v>0.15</v>
      </c>
      <c r="Y1132" s="605">
        <f t="shared" si="149"/>
        <v>0.15</v>
      </c>
      <c r="Z1132" s="605">
        <f t="shared" si="149"/>
        <v>0.15</v>
      </c>
      <c r="AA1132" s="605">
        <f t="shared" si="149"/>
        <v>0.15</v>
      </c>
      <c r="AB1132" s="605">
        <f t="shared" si="149"/>
        <v>0.15</v>
      </c>
      <c r="AC1132" s="605">
        <f t="shared" si="149"/>
        <v>0.15</v>
      </c>
      <c r="AD1132" s="605">
        <f t="shared" si="149"/>
        <v>0.15</v>
      </c>
      <c r="AE1132" s="605">
        <f t="shared" si="149"/>
        <v>0.15</v>
      </c>
      <c r="AF1132" s="605">
        <f t="shared" si="149"/>
        <v>0.15</v>
      </c>
      <c r="AG1132" s="605">
        <f t="shared" si="149"/>
        <v>0.15</v>
      </c>
      <c r="AH1132" s="605">
        <f t="shared" si="149"/>
        <v>0.15</v>
      </c>
      <c r="AI1132" s="606">
        <f t="shared" si="149"/>
        <v>0.15</v>
      </c>
    </row>
    <row r="1133" spans="2:35">
      <c r="B1133" s="607" t="s">
        <v>249</v>
      </c>
      <c r="C1133" s="132" t="s">
        <v>851</v>
      </c>
      <c r="D1133" s="605">
        <f t="shared" si="148"/>
        <v>0.23</v>
      </c>
      <c r="E1133" s="605">
        <f t="shared" si="149"/>
        <v>0.15</v>
      </c>
      <c r="F1133" s="605">
        <f t="shared" si="149"/>
        <v>0.15</v>
      </c>
      <c r="G1133" s="605">
        <f t="shared" si="149"/>
        <v>0.15</v>
      </c>
      <c r="H1133" s="605">
        <f t="shared" si="149"/>
        <v>0.15</v>
      </c>
      <c r="I1133" s="605">
        <f t="shared" si="149"/>
        <v>0.15</v>
      </c>
      <c r="J1133" s="605">
        <f t="shared" si="149"/>
        <v>0.15</v>
      </c>
      <c r="K1133" s="605">
        <f t="shared" si="149"/>
        <v>0.15</v>
      </c>
      <c r="L1133" s="605">
        <f t="shared" si="149"/>
        <v>0.15</v>
      </c>
      <c r="M1133" s="605">
        <f t="shared" si="149"/>
        <v>0.15</v>
      </c>
      <c r="N1133" s="605">
        <f t="shared" si="149"/>
        <v>0.15</v>
      </c>
      <c r="O1133" s="605">
        <f t="shared" si="149"/>
        <v>0.15</v>
      </c>
      <c r="P1133" s="605">
        <f t="shared" si="149"/>
        <v>0.15</v>
      </c>
      <c r="Q1133" s="605">
        <f t="shared" si="149"/>
        <v>0.15</v>
      </c>
      <c r="R1133" s="605">
        <f t="shared" si="149"/>
        <v>0.15</v>
      </c>
      <c r="S1133" s="605">
        <f t="shared" si="149"/>
        <v>0.15</v>
      </c>
      <c r="T1133" s="605">
        <f t="shared" si="149"/>
        <v>0.15</v>
      </c>
      <c r="U1133" s="605">
        <f t="shared" si="149"/>
        <v>0.15</v>
      </c>
      <c r="V1133" s="605">
        <f t="shared" si="149"/>
        <v>0.15</v>
      </c>
      <c r="W1133" s="605">
        <f t="shared" si="149"/>
        <v>0.15</v>
      </c>
      <c r="X1133" s="605">
        <f t="shared" si="149"/>
        <v>0.15</v>
      </c>
      <c r="Y1133" s="605">
        <f t="shared" si="149"/>
        <v>0.15</v>
      </c>
      <c r="Z1133" s="605">
        <f t="shared" si="149"/>
        <v>0.15</v>
      </c>
      <c r="AA1133" s="605">
        <f t="shared" si="149"/>
        <v>0.15</v>
      </c>
      <c r="AB1133" s="605">
        <f t="shared" si="149"/>
        <v>0.15</v>
      </c>
      <c r="AC1133" s="605">
        <f t="shared" si="149"/>
        <v>0.15</v>
      </c>
      <c r="AD1133" s="605">
        <f t="shared" si="149"/>
        <v>0.15</v>
      </c>
      <c r="AE1133" s="605">
        <f t="shared" si="149"/>
        <v>0.15</v>
      </c>
      <c r="AF1133" s="605">
        <f t="shared" si="149"/>
        <v>0.15</v>
      </c>
      <c r="AG1133" s="605">
        <f t="shared" si="149"/>
        <v>0.15</v>
      </c>
      <c r="AH1133" s="605">
        <f t="shared" si="149"/>
        <v>0.15</v>
      </c>
      <c r="AI1133" s="606">
        <f t="shared" si="149"/>
        <v>0.15</v>
      </c>
    </row>
    <row r="1134" spans="2:35">
      <c r="B1134" s="607" t="s">
        <v>251</v>
      </c>
      <c r="C1134" s="132" t="s">
        <v>851</v>
      </c>
      <c r="D1134" s="605">
        <f t="shared" si="148"/>
        <v>0.23</v>
      </c>
      <c r="E1134" s="605">
        <f t="shared" si="149"/>
        <v>0.15</v>
      </c>
      <c r="F1134" s="605">
        <f t="shared" si="149"/>
        <v>0.15</v>
      </c>
      <c r="G1134" s="605">
        <f t="shared" si="149"/>
        <v>0.15</v>
      </c>
      <c r="H1134" s="605">
        <f t="shared" si="149"/>
        <v>0.15</v>
      </c>
      <c r="I1134" s="605">
        <f t="shared" si="149"/>
        <v>0.15</v>
      </c>
      <c r="J1134" s="605">
        <f t="shared" si="149"/>
        <v>0.15</v>
      </c>
      <c r="K1134" s="605">
        <f t="shared" si="149"/>
        <v>0.15</v>
      </c>
      <c r="L1134" s="605">
        <f t="shared" si="149"/>
        <v>0.15</v>
      </c>
      <c r="M1134" s="605">
        <f t="shared" si="149"/>
        <v>0.15</v>
      </c>
      <c r="N1134" s="605">
        <f t="shared" si="149"/>
        <v>0.15</v>
      </c>
      <c r="O1134" s="605">
        <f t="shared" si="149"/>
        <v>0.15</v>
      </c>
      <c r="P1134" s="605">
        <f t="shared" si="149"/>
        <v>0.15</v>
      </c>
      <c r="Q1134" s="605">
        <f t="shared" si="149"/>
        <v>0.15</v>
      </c>
      <c r="R1134" s="605">
        <f t="shared" si="149"/>
        <v>0.15</v>
      </c>
      <c r="S1134" s="605">
        <f t="shared" si="149"/>
        <v>0.15</v>
      </c>
      <c r="T1134" s="605">
        <f t="shared" si="149"/>
        <v>0.15</v>
      </c>
      <c r="U1134" s="605">
        <f t="shared" si="149"/>
        <v>0.15</v>
      </c>
      <c r="V1134" s="605">
        <f t="shared" si="149"/>
        <v>0.15</v>
      </c>
      <c r="W1134" s="605">
        <f t="shared" si="149"/>
        <v>0.15</v>
      </c>
      <c r="X1134" s="605">
        <f t="shared" si="149"/>
        <v>0.15</v>
      </c>
      <c r="Y1134" s="605">
        <f t="shared" si="149"/>
        <v>0.15</v>
      </c>
      <c r="Z1134" s="605">
        <f t="shared" si="149"/>
        <v>0.15</v>
      </c>
      <c r="AA1134" s="605">
        <f t="shared" ref="AA1134:AI1138" si="151">AA$1110</f>
        <v>0.15</v>
      </c>
      <c r="AB1134" s="605">
        <f t="shared" si="151"/>
        <v>0.15</v>
      </c>
      <c r="AC1134" s="605">
        <f t="shared" si="151"/>
        <v>0.15</v>
      </c>
      <c r="AD1134" s="605">
        <f t="shared" si="151"/>
        <v>0.15</v>
      </c>
      <c r="AE1134" s="605">
        <f t="shared" si="151"/>
        <v>0.15</v>
      </c>
      <c r="AF1134" s="605">
        <f t="shared" si="151"/>
        <v>0.15</v>
      </c>
      <c r="AG1134" s="605">
        <f t="shared" si="151"/>
        <v>0.15</v>
      </c>
      <c r="AH1134" s="605">
        <f t="shared" si="151"/>
        <v>0.15</v>
      </c>
      <c r="AI1134" s="606">
        <f t="shared" si="151"/>
        <v>0.15</v>
      </c>
    </row>
    <row r="1135" spans="2:35">
      <c r="B1135" s="607" t="s">
        <v>253</v>
      </c>
      <c r="C1135" s="132" t="s">
        <v>851</v>
      </c>
      <c r="D1135" s="605">
        <f t="shared" si="148"/>
        <v>0.23</v>
      </c>
      <c r="E1135" s="605">
        <f t="shared" ref="E1135:S1138" si="152">E$1110</f>
        <v>0.15</v>
      </c>
      <c r="F1135" s="605">
        <f t="shared" si="152"/>
        <v>0.15</v>
      </c>
      <c r="G1135" s="605">
        <f t="shared" si="152"/>
        <v>0.15</v>
      </c>
      <c r="H1135" s="605">
        <f t="shared" si="152"/>
        <v>0.15</v>
      </c>
      <c r="I1135" s="605">
        <f t="shared" si="152"/>
        <v>0.15</v>
      </c>
      <c r="J1135" s="605">
        <f t="shared" si="152"/>
        <v>0.15</v>
      </c>
      <c r="K1135" s="605">
        <f t="shared" si="152"/>
        <v>0.15</v>
      </c>
      <c r="L1135" s="605">
        <f t="shared" si="152"/>
        <v>0.15</v>
      </c>
      <c r="M1135" s="605">
        <f t="shared" si="152"/>
        <v>0.15</v>
      </c>
      <c r="N1135" s="605">
        <f t="shared" si="152"/>
        <v>0.15</v>
      </c>
      <c r="O1135" s="605">
        <f t="shared" si="152"/>
        <v>0.15</v>
      </c>
      <c r="P1135" s="605">
        <f t="shared" si="152"/>
        <v>0.15</v>
      </c>
      <c r="Q1135" s="605">
        <f t="shared" si="152"/>
        <v>0.15</v>
      </c>
      <c r="R1135" s="605">
        <f t="shared" si="152"/>
        <v>0.15</v>
      </c>
      <c r="S1135" s="605">
        <f t="shared" si="152"/>
        <v>0.15</v>
      </c>
      <c r="T1135" s="605">
        <f t="shared" ref="T1135:AA1138" si="153">T$1110</f>
        <v>0.15</v>
      </c>
      <c r="U1135" s="605">
        <f t="shared" si="153"/>
        <v>0.15</v>
      </c>
      <c r="V1135" s="605">
        <f t="shared" si="153"/>
        <v>0.15</v>
      </c>
      <c r="W1135" s="605">
        <f t="shared" si="153"/>
        <v>0.15</v>
      </c>
      <c r="X1135" s="605">
        <f t="shared" si="153"/>
        <v>0.15</v>
      </c>
      <c r="Y1135" s="605">
        <f t="shared" si="153"/>
        <v>0.15</v>
      </c>
      <c r="Z1135" s="605">
        <f t="shared" si="153"/>
        <v>0.15</v>
      </c>
      <c r="AA1135" s="605">
        <f t="shared" si="153"/>
        <v>0.15</v>
      </c>
      <c r="AB1135" s="605">
        <f t="shared" si="151"/>
        <v>0.15</v>
      </c>
      <c r="AC1135" s="605">
        <f t="shared" si="151"/>
        <v>0.15</v>
      </c>
      <c r="AD1135" s="605">
        <f t="shared" si="151"/>
        <v>0.15</v>
      </c>
      <c r="AE1135" s="605">
        <f t="shared" si="151"/>
        <v>0.15</v>
      </c>
      <c r="AF1135" s="605">
        <f t="shared" si="151"/>
        <v>0.15</v>
      </c>
      <c r="AG1135" s="605">
        <f t="shared" si="151"/>
        <v>0.15</v>
      </c>
      <c r="AH1135" s="605">
        <f t="shared" si="151"/>
        <v>0.15</v>
      </c>
      <c r="AI1135" s="606">
        <f t="shared" si="151"/>
        <v>0.15</v>
      </c>
    </row>
    <row r="1136" spans="2:35">
      <c r="B1136" s="607" t="s">
        <v>255</v>
      </c>
      <c r="C1136" s="132" t="s">
        <v>851</v>
      </c>
      <c r="D1136" s="605">
        <f t="shared" si="148"/>
        <v>0.23</v>
      </c>
      <c r="E1136" s="605">
        <f t="shared" si="152"/>
        <v>0.15</v>
      </c>
      <c r="F1136" s="605">
        <f t="shared" si="152"/>
        <v>0.15</v>
      </c>
      <c r="G1136" s="605">
        <f t="shared" si="152"/>
        <v>0.15</v>
      </c>
      <c r="H1136" s="605">
        <f t="shared" si="152"/>
        <v>0.15</v>
      </c>
      <c r="I1136" s="605">
        <f t="shared" si="152"/>
        <v>0.15</v>
      </c>
      <c r="J1136" s="605">
        <f t="shared" si="152"/>
        <v>0.15</v>
      </c>
      <c r="K1136" s="605">
        <f t="shared" si="152"/>
        <v>0.15</v>
      </c>
      <c r="L1136" s="605">
        <f t="shared" si="152"/>
        <v>0.15</v>
      </c>
      <c r="M1136" s="605">
        <f t="shared" si="152"/>
        <v>0.15</v>
      </c>
      <c r="N1136" s="605">
        <f t="shared" si="152"/>
        <v>0.15</v>
      </c>
      <c r="O1136" s="605">
        <f t="shared" si="152"/>
        <v>0.15</v>
      </c>
      <c r="P1136" s="605">
        <f t="shared" si="152"/>
        <v>0.15</v>
      </c>
      <c r="Q1136" s="605">
        <f t="shared" si="152"/>
        <v>0.15</v>
      </c>
      <c r="R1136" s="605">
        <f t="shared" si="152"/>
        <v>0.15</v>
      </c>
      <c r="S1136" s="605">
        <f t="shared" si="152"/>
        <v>0.15</v>
      </c>
      <c r="T1136" s="605">
        <f t="shared" si="153"/>
        <v>0.15</v>
      </c>
      <c r="U1136" s="605">
        <f t="shared" si="153"/>
        <v>0.15</v>
      </c>
      <c r="V1136" s="605">
        <f t="shared" si="153"/>
        <v>0.15</v>
      </c>
      <c r="W1136" s="605">
        <f t="shared" si="153"/>
        <v>0.15</v>
      </c>
      <c r="X1136" s="605">
        <f t="shared" si="153"/>
        <v>0.15</v>
      </c>
      <c r="Y1136" s="605">
        <f t="shared" si="153"/>
        <v>0.15</v>
      </c>
      <c r="Z1136" s="605">
        <f t="shared" si="153"/>
        <v>0.15</v>
      </c>
      <c r="AA1136" s="605">
        <f t="shared" si="153"/>
        <v>0.15</v>
      </c>
      <c r="AB1136" s="605">
        <f t="shared" si="151"/>
        <v>0.15</v>
      </c>
      <c r="AC1136" s="605">
        <f t="shared" si="151"/>
        <v>0.15</v>
      </c>
      <c r="AD1136" s="605">
        <f t="shared" si="151"/>
        <v>0.15</v>
      </c>
      <c r="AE1136" s="605">
        <f t="shared" si="151"/>
        <v>0.15</v>
      </c>
      <c r="AF1136" s="605">
        <f t="shared" si="151"/>
        <v>0.15</v>
      </c>
      <c r="AG1136" s="605">
        <f t="shared" si="151"/>
        <v>0.15</v>
      </c>
      <c r="AH1136" s="605">
        <f t="shared" si="151"/>
        <v>0.15</v>
      </c>
      <c r="AI1136" s="606">
        <f t="shared" si="151"/>
        <v>0.15</v>
      </c>
    </row>
    <row r="1137" spans="2:35">
      <c r="B1137" s="607" t="s">
        <v>257</v>
      </c>
      <c r="C1137" s="132" t="s">
        <v>851</v>
      </c>
      <c r="D1137" s="605">
        <f t="shared" si="148"/>
        <v>0.23</v>
      </c>
      <c r="E1137" s="605">
        <f t="shared" si="152"/>
        <v>0.15</v>
      </c>
      <c r="F1137" s="605">
        <f t="shared" si="152"/>
        <v>0.15</v>
      </c>
      <c r="G1137" s="605">
        <f t="shared" si="152"/>
        <v>0.15</v>
      </c>
      <c r="H1137" s="605">
        <f t="shared" si="152"/>
        <v>0.15</v>
      </c>
      <c r="I1137" s="605">
        <f t="shared" si="152"/>
        <v>0.15</v>
      </c>
      <c r="J1137" s="605">
        <f t="shared" si="152"/>
        <v>0.15</v>
      </c>
      <c r="K1137" s="605">
        <f t="shared" si="152"/>
        <v>0.15</v>
      </c>
      <c r="L1137" s="605">
        <f t="shared" si="152"/>
        <v>0.15</v>
      </c>
      <c r="M1137" s="605">
        <f t="shared" si="152"/>
        <v>0.15</v>
      </c>
      <c r="N1137" s="605">
        <f t="shared" si="152"/>
        <v>0.15</v>
      </c>
      <c r="O1137" s="605">
        <f t="shared" si="152"/>
        <v>0.15</v>
      </c>
      <c r="P1137" s="605">
        <f t="shared" si="152"/>
        <v>0.15</v>
      </c>
      <c r="Q1137" s="605">
        <f t="shared" si="152"/>
        <v>0.15</v>
      </c>
      <c r="R1137" s="605">
        <f t="shared" si="152"/>
        <v>0.15</v>
      </c>
      <c r="S1137" s="605">
        <f t="shared" si="152"/>
        <v>0.15</v>
      </c>
      <c r="T1137" s="605">
        <f t="shared" si="153"/>
        <v>0.15</v>
      </c>
      <c r="U1137" s="605">
        <f t="shared" si="153"/>
        <v>0.15</v>
      </c>
      <c r="V1137" s="605">
        <f t="shared" si="153"/>
        <v>0.15</v>
      </c>
      <c r="W1137" s="605">
        <f t="shared" si="153"/>
        <v>0.15</v>
      </c>
      <c r="X1137" s="605">
        <f t="shared" si="153"/>
        <v>0.15</v>
      </c>
      <c r="Y1137" s="605">
        <f t="shared" si="153"/>
        <v>0.15</v>
      </c>
      <c r="Z1137" s="605">
        <f t="shared" si="153"/>
        <v>0.15</v>
      </c>
      <c r="AA1137" s="605">
        <f t="shared" si="153"/>
        <v>0.15</v>
      </c>
      <c r="AB1137" s="605">
        <f t="shared" si="151"/>
        <v>0.15</v>
      </c>
      <c r="AC1137" s="605">
        <f t="shared" si="151"/>
        <v>0.15</v>
      </c>
      <c r="AD1137" s="605">
        <f t="shared" si="151"/>
        <v>0.15</v>
      </c>
      <c r="AE1137" s="605">
        <f t="shared" si="151"/>
        <v>0.15</v>
      </c>
      <c r="AF1137" s="605">
        <f t="shared" si="151"/>
        <v>0.15</v>
      </c>
      <c r="AG1137" s="605">
        <f t="shared" si="151"/>
        <v>0.15</v>
      </c>
      <c r="AH1137" s="605">
        <f t="shared" si="151"/>
        <v>0.15</v>
      </c>
      <c r="AI1137" s="606">
        <f t="shared" si="151"/>
        <v>0.15</v>
      </c>
    </row>
    <row r="1138" spans="2:35" ht="16" thickBot="1">
      <c r="B1138" s="611" t="s">
        <v>327</v>
      </c>
      <c r="C1138" s="145" t="s">
        <v>851</v>
      </c>
      <c r="D1138" s="608">
        <f t="shared" si="148"/>
        <v>0.23</v>
      </c>
      <c r="E1138" s="608">
        <f t="shared" si="152"/>
        <v>0.15</v>
      </c>
      <c r="F1138" s="608">
        <f t="shared" si="152"/>
        <v>0.15</v>
      </c>
      <c r="G1138" s="608">
        <f t="shared" si="152"/>
        <v>0.15</v>
      </c>
      <c r="H1138" s="608">
        <f t="shared" si="152"/>
        <v>0.15</v>
      </c>
      <c r="I1138" s="608">
        <f t="shared" si="152"/>
        <v>0.15</v>
      </c>
      <c r="J1138" s="608">
        <f t="shared" si="152"/>
        <v>0.15</v>
      </c>
      <c r="K1138" s="608">
        <f t="shared" si="152"/>
        <v>0.15</v>
      </c>
      <c r="L1138" s="608">
        <f t="shared" si="152"/>
        <v>0.15</v>
      </c>
      <c r="M1138" s="608">
        <f t="shared" si="152"/>
        <v>0.15</v>
      </c>
      <c r="N1138" s="608">
        <f t="shared" si="152"/>
        <v>0.15</v>
      </c>
      <c r="O1138" s="608">
        <f t="shared" si="152"/>
        <v>0.15</v>
      </c>
      <c r="P1138" s="608">
        <f t="shared" si="152"/>
        <v>0.15</v>
      </c>
      <c r="Q1138" s="608">
        <f t="shared" si="152"/>
        <v>0.15</v>
      </c>
      <c r="R1138" s="608">
        <f t="shared" si="152"/>
        <v>0.15</v>
      </c>
      <c r="S1138" s="608">
        <f t="shared" si="152"/>
        <v>0.15</v>
      </c>
      <c r="T1138" s="608">
        <f t="shared" si="153"/>
        <v>0.15</v>
      </c>
      <c r="U1138" s="608">
        <f t="shared" si="153"/>
        <v>0.15</v>
      </c>
      <c r="V1138" s="608">
        <f t="shared" si="153"/>
        <v>0.15</v>
      </c>
      <c r="W1138" s="608">
        <f t="shared" si="153"/>
        <v>0.15</v>
      </c>
      <c r="X1138" s="608">
        <f t="shared" si="153"/>
        <v>0.15</v>
      </c>
      <c r="Y1138" s="608">
        <f t="shared" si="153"/>
        <v>0.15</v>
      </c>
      <c r="Z1138" s="608">
        <f t="shared" si="153"/>
        <v>0.15</v>
      </c>
      <c r="AA1138" s="608">
        <f t="shared" si="153"/>
        <v>0.15</v>
      </c>
      <c r="AB1138" s="608">
        <f t="shared" si="151"/>
        <v>0.15</v>
      </c>
      <c r="AC1138" s="608">
        <f t="shared" si="151"/>
        <v>0.15</v>
      </c>
      <c r="AD1138" s="608">
        <f t="shared" si="151"/>
        <v>0.15</v>
      </c>
      <c r="AE1138" s="608">
        <f t="shared" si="151"/>
        <v>0.15</v>
      </c>
      <c r="AF1138" s="608">
        <f t="shared" si="151"/>
        <v>0.15</v>
      </c>
      <c r="AG1138" s="608">
        <f t="shared" si="151"/>
        <v>0.15</v>
      </c>
      <c r="AH1138" s="608">
        <f t="shared" si="151"/>
        <v>0.15</v>
      </c>
      <c r="AI1138" s="609">
        <f t="shared" si="151"/>
        <v>0.15</v>
      </c>
    </row>
    <row r="1139" spans="2:35">
      <c r="B1139" s="132"/>
      <c r="C1139" s="367"/>
      <c r="D1139" s="605"/>
      <c r="E1139" s="605"/>
      <c r="F1139" s="605"/>
      <c r="G1139" s="605"/>
      <c r="H1139" s="605"/>
      <c r="I1139" s="605"/>
      <c r="J1139" s="605"/>
      <c r="K1139" s="605"/>
      <c r="L1139" s="605"/>
      <c r="M1139" s="605"/>
      <c r="N1139" s="605"/>
      <c r="O1139" s="605"/>
      <c r="P1139" s="605"/>
      <c r="Q1139" s="605"/>
      <c r="R1139" s="605"/>
      <c r="S1139" s="605"/>
      <c r="T1139" s="605"/>
      <c r="U1139" s="605"/>
      <c r="V1139" s="605"/>
      <c r="W1139" s="605"/>
      <c r="Y1139" s="493"/>
    </row>
    <row r="1140" spans="2:35" ht="16" thickBot="1">
      <c r="B1140" s="244" t="s">
        <v>855</v>
      </c>
      <c r="D1140" s="612" t="s">
        <v>856</v>
      </c>
    </row>
    <row r="1141" spans="2:35">
      <c r="B1141" s="613" t="s">
        <v>857</v>
      </c>
      <c r="C1141" s="614" t="s">
        <v>858</v>
      </c>
      <c r="D1141" s="604">
        <v>1</v>
      </c>
      <c r="E1141" s="604">
        <v>2</v>
      </c>
      <c r="F1141" s="604">
        <v>3</v>
      </c>
      <c r="G1141" s="604">
        <v>4</v>
      </c>
      <c r="H1141" s="604">
        <v>5</v>
      </c>
      <c r="I1141" s="604">
        <v>6</v>
      </c>
      <c r="J1141" s="604">
        <v>7</v>
      </c>
      <c r="K1141" s="604">
        <v>8</v>
      </c>
      <c r="L1141" s="604">
        <v>9</v>
      </c>
      <c r="M1141" s="604">
        <v>10</v>
      </c>
      <c r="N1141" s="604">
        <v>11</v>
      </c>
      <c r="O1141" s="604">
        <v>12</v>
      </c>
      <c r="P1141" s="604">
        <v>13</v>
      </c>
      <c r="Q1141" s="604">
        <v>14</v>
      </c>
      <c r="R1141" s="604">
        <v>15</v>
      </c>
      <c r="S1141" s="604">
        <v>16</v>
      </c>
      <c r="T1141" s="604">
        <v>17</v>
      </c>
      <c r="U1141" s="604">
        <v>18</v>
      </c>
      <c r="V1141" s="604">
        <v>19</v>
      </c>
      <c r="W1141" s="604">
        <v>20</v>
      </c>
      <c r="X1141" s="604">
        <v>21</v>
      </c>
      <c r="Y1141" s="604">
        <v>22</v>
      </c>
      <c r="Z1141" s="604">
        <v>23</v>
      </c>
      <c r="AA1141" s="604">
        <v>24</v>
      </c>
      <c r="AB1141" s="604">
        <v>25</v>
      </c>
      <c r="AC1141" s="604">
        <v>26</v>
      </c>
      <c r="AD1141" s="604">
        <v>27</v>
      </c>
      <c r="AE1141" s="604">
        <v>28</v>
      </c>
      <c r="AF1141" s="604">
        <v>29</v>
      </c>
      <c r="AG1141" s="604">
        <v>30</v>
      </c>
      <c r="AH1141" s="615">
        <v>31</v>
      </c>
      <c r="AI1141" s="136"/>
    </row>
    <row r="1142" spans="2:35">
      <c r="B1142" s="541" t="s">
        <v>859</v>
      </c>
      <c r="C1142" s="542" t="s">
        <v>860</v>
      </c>
      <c r="D1142" s="537">
        <v>13897</v>
      </c>
      <c r="E1142" s="537">
        <v>13633</v>
      </c>
      <c r="F1142" s="537">
        <v>13348</v>
      </c>
      <c r="G1142" s="537">
        <v>13043</v>
      </c>
      <c r="H1142" s="537">
        <v>12722</v>
      </c>
      <c r="I1142" s="537">
        <v>12385</v>
      </c>
      <c r="J1142" s="537">
        <v>12036</v>
      </c>
      <c r="K1142" s="537">
        <v>11675</v>
      </c>
      <c r="L1142" s="537">
        <v>11306</v>
      </c>
      <c r="M1142" s="537">
        <v>10930</v>
      </c>
      <c r="N1142" s="537">
        <v>10550</v>
      </c>
      <c r="O1142" s="537">
        <v>10169</v>
      </c>
      <c r="P1142" s="537">
        <v>9787</v>
      </c>
      <c r="Q1142" s="537">
        <v>9407</v>
      </c>
      <c r="R1142" s="537">
        <v>9032</v>
      </c>
      <c r="S1142" s="537">
        <v>8663</v>
      </c>
      <c r="T1142" s="537">
        <v>8302</v>
      </c>
      <c r="U1142" s="537">
        <v>7953</v>
      </c>
      <c r="V1142" s="537">
        <v>7616</v>
      </c>
      <c r="W1142" s="537">
        <v>7294</v>
      </c>
      <c r="X1142" s="537">
        <v>6989</v>
      </c>
      <c r="Y1142" s="537">
        <v>6705</v>
      </c>
      <c r="Z1142" s="537">
        <v>6441</v>
      </c>
      <c r="AA1142" s="537">
        <v>6201</v>
      </c>
      <c r="AB1142" s="537">
        <v>5987</v>
      </c>
      <c r="AC1142" s="537">
        <v>5801</v>
      </c>
      <c r="AD1142" s="537">
        <v>5645</v>
      </c>
      <c r="AE1142" s="537">
        <v>5521</v>
      </c>
      <c r="AF1142" s="537">
        <v>5432</v>
      </c>
      <c r="AG1142" s="537">
        <v>5379</v>
      </c>
      <c r="AH1142" s="616">
        <v>5379</v>
      </c>
      <c r="AI1142" s="136"/>
    </row>
    <row r="1143" spans="2:35">
      <c r="B1143" s="271" t="s">
        <v>861</v>
      </c>
      <c r="C1143" s="325"/>
      <c r="D1143" s="295">
        <v>15707</v>
      </c>
      <c r="E1143" s="295">
        <v>15412</v>
      </c>
      <c r="F1143" s="295">
        <v>15079</v>
      </c>
      <c r="G1143" s="295">
        <v>14715</v>
      </c>
      <c r="H1143" s="295">
        <v>14322</v>
      </c>
      <c r="I1143" s="295">
        <v>13904</v>
      </c>
      <c r="J1143" s="295">
        <v>13466</v>
      </c>
      <c r="K1143" s="295">
        <v>13011</v>
      </c>
      <c r="L1143" s="295">
        <v>12542</v>
      </c>
      <c r="M1143" s="295">
        <v>12067</v>
      </c>
      <c r="N1143" s="295">
        <v>11584</v>
      </c>
      <c r="O1143" s="295">
        <v>11102</v>
      </c>
      <c r="P1143" s="295">
        <v>10623</v>
      </c>
      <c r="Q1143" s="295">
        <v>10152</v>
      </c>
      <c r="R1143" s="295">
        <v>9692</v>
      </c>
      <c r="S1143" s="295">
        <v>9245</v>
      </c>
      <c r="T1143" s="295">
        <v>8820</v>
      </c>
      <c r="U1143" s="295">
        <v>8416</v>
      </c>
      <c r="V1143" s="295">
        <v>8041</v>
      </c>
      <c r="W1143" s="295">
        <v>7697</v>
      </c>
      <c r="X1143" s="295">
        <v>7387</v>
      </c>
      <c r="Y1143" s="295">
        <v>7117</v>
      </c>
      <c r="Z1143" s="295">
        <v>6889</v>
      </c>
      <c r="AA1143" s="295">
        <v>6710</v>
      </c>
      <c r="AB1143" s="295">
        <v>6581</v>
      </c>
      <c r="AC1143" s="295">
        <v>6506</v>
      </c>
      <c r="AD1143" s="295">
        <v>6492</v>
      </c>
      <c r="AE1143" s="295">
        <v>6492</v>
      </c>
      <c r="AF1143" s="295">
        <v>6492</v>
      </c>
      <c r="AG1143" s="295">
        <v>6492</v>
      </c>
      <c r="AH1143" s="296">
        <v>6492</v>
      </c>
      <c r="AI1143" s="136"/>
    </row>
    <row r="1144" spans="2:35">
      <c r="B1144" s="271" t="s">
        <v>862</v>
      </c>
      <c r="C1144" s="325"/>
      <c r="D1144" s="295">
        <v>19241</v>
      </c>
      <c r="E1144" s="295">
        <v>19245</v>
      </c>
      <c r="F1144" s="295">
        <v>17897</v>
      </c>
      <c r="G1144" s="295">
        <v>16346</v>
      </c>
      <c r="H1144" s="295">
        <v>15881</v>
      </c>
      <c r="I1144" s="295">
        <v>16765</v>
      </c>
      <c r="J1144" s="295">
        <v>14100</v>
      </c>
      <c r="K1144" s="295">
        <v>14463</v>
      </c>
      <c r="L1144" s="295">
        <v>12357</v>
      </c>
      <c r="M1144" s="295">
        <v>12270</v>
      </c>
      <c r="N1144" s="295">
        <v>11036</v>
      </c>
      <c r="O1144" s="295">
        <v>10250</v>
      </c>
      <c r="P1144" s="295">
        <v>8905</v>
      </c>
      <c r="Q1144" s="295">
        <v>9688</v>
      </c>
      <c r="R1144" s="295">
        <v>8465</v>
      </c>
      <c r="S1144" s="295">
        <v>7096</v>
      </c>
      <c r="T1144" s="295">
        <v>5795</v>
      </c>
      <c r="U1144" s="295">
        <v>5491</v>
      </c>
      <c r="V1144" s="295">
        <v>5464</v>
      </c>
      <c r="W1144" s="295">
        <v>4957</v>
      </c>
      <c r="X1144" s="295">
        <v>4951</v>
      </c>
      <c r="Y1144" s="295">
        <v>4266</v>
      </c>
      <c r="Z1144" s="295">
        <v>4222</v>
      </c>
      <c r="AA1144" s="295">
        <v>3998</v>
      </c>
      <c r="AB1144" s="295">
        <v>3776</v>
      </c>
      <c r="AC1144" s="295">
        <v>3442</v>
      </c>
      <c r="AD1144" s="295">
        <v>3198</v>
      </c>
      <c r="AE1144" s="295">
        <v>3038</v>
      </c>
      <c r="AF1144" s="295">
        <v>2991</v>
      </c>
      <c r="AG1144" s="295">
        <v>2796</v>
      </c>
      <c r="AH1144" s="296">
        <v>2233</v>
      </c>
      <c r="AI1144" s="136"/>
    </row>
    <row r="1145" spans="2:35">
      <c r="B1145" s="271" t="s">
        <v>863</v>
      </c>
      <c r="C1145" s="325"/>
      <c r="D1145" s="295">
        <v>13897</v>
      </c>
      <c r="E1145" s="295">
        <v>13633</v>
      </c>
      <c r="F1145" s="295">
        <v>13348</v>
      </c>
      <c r="G1145" s="295">
        <v>13043</v>
      </c>
      <c r="H1145" s="295">
        <v>12722</v>
      </c>
      <c r="I1145" s="295">
        <v>12385</v>
      </c>
      <c r="J1145" s="295">
        <v>12036</v>
      </c>
      <c r="K1145" s="295">
        <v>11675</v>
      </c>
      <c r="L1145" s="295">
        <v>11306</v>
      </c>
      <c r="M1145" s="295">
        <v>10930</v>
      </c>
      <c r="N1145" s="295">
        <v>10550</v>
      </c>
      <c r="O1145" s="295">
        <v>10169</v>
      </c>
      <c r="P1145" s="295">
        <v>9787</v>
      </c>
      <c r="Q1145" s="295">
        <v>9407</v>
      </c>
      <c r="R1145" s="295">
        <v>9032</v>
      </c>
      <c r="S1145" s="295">
        <v>8663</v>
      </c>
      <c r="T1145" s="295">
        <v>8302</v>
      </c>
      <c r="U1145" s="295">
        <v>7953</v>
      </c>
      <c r="V1145" s="295">
        <v>7616</v>
      </c>
      <c r="W1145" s="295">
        <v>7294</v>
      </c>
      <c r="X1145" s="295">
        <v>6989</v>
      </c>
      <c r="Y1145" s="295">
        <v>6705</v>
      </c>
      <c r="Z1145" s="295">
        <v>6441</v>
      </c>
      <c r="AA1145" s="295">
        <v>6201</v>
      </c>
      <c r="AB1145" s="295">
        <v>5987</v>
      </c>
      <c r="AC1145" s="295">
        <v>5801</v>
      </c>
      <c r="AD1145" s="295">
        <v>5645</v>
      </c>
      <c r="AE1145" s="295">
        <v>5521</v>
      </c>
      <c r="AF1145" s="295">
        <v>5432</v>
      </c>
      <c r="AG1145" s="295">
        <v>5379</v>
      </c>
      <c r="AH1145" s="296">
        <v>5379</v>
      </c>
      <c r="AI1145" s="136"/>
    </row>
    <row r="1146" spans="2:35">
      <c r="B1146" s="271" t="s">
        <v>864</v>
      </c>
      <c r="C1146" s="325"/>
      <c r="D1146" s="295">
        <v>15707</v>
      </c>
      <c r="E1146" s="295">
        <v>15412</v>
      </c>
      <c r="F1146" s="295">
        <v>15079</v>
      </c>
      <c r="G1146" s="295">
        <v>14715</v>
      </c>
      <c r="H1146" s="295">
        <v>14322</v>
      </c>
      <c r="I1146" s="295">
        <v>13904</v>
      </c>
      <c r="J1146" s="295">
        <v>13466</v>
      </c>
      <c r="K1146" s="295">
        <v>13011</v>
      </c>
      <c r="L1146" s="295">
        <v>12542</v>
      </c>
      <c r="M1146" s="295">
        <v>12067</v>
      </c>
      <c r="N1146" s="295">
        <v>11584</v>
      </c>
      <c r="O1146" s="295">
        <v>11102</v>
      </c>
      <c r="P1146" s="295">
        <v>10623</v>
      </c>
      <c r="Q1146" s="295">
        <v>10152</v>
      </c>
      <c r="R1146" s="295">
        <v>9692</v>
      </c>
      <c r="S1146" s="295">
        <v>9245</v>
      </c>
      <c r="T1146" s="295">
        <v>8820</v>
      </c>
      <c r="U1146" s="295">
        <v>8416</v>
      </c>
      <c r="V1146" s="295">
        <v>8041</v>
      </c>
      <c r="W1146" s="295">
        <v>7697</v>
      </c>
      <c r="X1146" s="295">
        <v>7387</v>
      </c>
      <c r="Y1146" s="295">
        <v>7117</v>
      </c>
      <c r="Z1146" s="295">
        <v>6889</v>
      </c>
      <c r="AA1146" s="295">
        <v>6710</v>
      </c>
      <c r="AB1146" s="295">
        <v>6581</v>
      </c>
      <c r="AC1146" s="295">
        <v>6506</v>
      </c>
      <c r="AD1146" s="295">
        <v>6492</v>
      </c>
      <c r="AE1146" s="295">
        <v>6492</v>
      </c>
      <c r="AF1146" s="295">
        <v>6492</v>
      </c>
      <c r="AG1146" s="295">
        <v>6492</v>
      </c>
      <c r="AH1146" s="296">
        <v>6492</v>
      </c>
      <c r="AI1146" s="136"/>
    </row>
    <row r="1147" spans="2:35">
      <c r="B1147" s="271" t="s">
        <v>865</v>
      </c>
      <c r="C1147" s="325"/>
      <c r="D1147" s="295">
        <v>40529</v>
      </c>
      <c r="E1147" s="295">
        <v>41218</v>
      </c>
      <c r="F1147" s="295">
        <v>48103</v>
      </c>
      <c r="G1147" s="295">
        <v>49197</v>
      </c>
      <c r="H1147" s="295">
        <v>50954</v>
      </c>
      <c r="I1147" s="295">
        <v>36623</v>
      </c>
      <c r="J1147" s="295">
        <v>48397</v>
      </c>
      <c r="K1147" s="295">
        <v>41013</v>
      </c>
      <c r="L1147" s="295">
        <v>39083</v>
      </c>
      <c r="M1147" s="295">
        <v>32506</v>
      </c>
      <c r="N1147" s="295">
        <v>31586</v>
      </c>
      <c r="O1147" s="295">
        <v>27270</v>
      </c>
      <c r="P1147" s="295">
        <v>25419</v>
      </c>
      <c r="Q1147" s="295">
        <v>23924</v>
      </c>
      <c r="R1147" s="295">
        <v>20806</v>
      </c>
      <c r="S1147" s="295">
        <v>19018</v>
      </c>
      <c r="T1147" s="295">
        <v>13063</v>
      </c>
      <c r="U1147" s="295">
        <v>13950</v>
      </c>
      <c r="V1147" s="295">
        <v>11762</v>
      </c>
      <c r="W1147" s="295">
        <v>10471</v>
      </c>
      <c r="X1147" s="295">
        <v>9847</v>
      </c>
      <c r="Y1147" s="295">
        <v>9081</v>
      </c>
      <c r="Z1147" s="295">
        <v>8357</v>
      </c>
      <c r="AA1147" s="295">
        <v>7256</v>
      </c>
      <c r="AB1147" s="295">
        <v>6399</v>
      </c>
      <c r="AC1147" s="295">
        <v>5829</v>
      </c>
      <c r="AD1147" s="295">
        <v>5646</v>
      </c>
      <c r="AE1147" s="295">
        <v>4791</v>
      </c>
      <c r="AF1147" s="295">
        <v>3990</v>
      </c>
      <c r="AG1147" s="295">
        <v>3212</v>
      </c>
      <c r="AH1147" s="296">
        <v>2573</v>
      </c>
      <c r="AI1147" s="136"/>
    </row>
    <row r="1148" spans="2:35">
      <c r="B1148" s="544" t="s">
        <v>866</v>
      </c>
      <c r="C1148" s="339"/>
      <c r="D1148" s="545">
        <v>7569</v>
      </c>
      <c r="E1148" s="545">
        <v>4042</v>
      </c>
      <c r="F1148" s="545">
        <v>3058</v>
      </c>
      <c r="G1148" s="545">
        <v>2528</v>
      </c>
      <c r="H1148" s="545">
        <v>2188</v>
      </c>
      <c r="I1148" s="545">
        <v>1945</v>
      </c>
      <c r="J1148" s="545">
        <v>1764</v>
      </c>
      <c r="K1148" s="545">
        <v>1620</v>
      </c>
      <c r="L1148" s="545">
        <v>1499</v>
      </c>
      <c r="M1148" s="545">
        <v>1400</v>
      </c>
      <c r="N1148" s="545">
        <v>1317</v>
      </c>
      <c r="O1148" s="545">
        <v>1241</v>
      </c>
      <c r="P1148" s="545">
        <v>1181</v>
      </c>
      <c r="Q1148" s="545">
        <v>1120</v>
      </c>
      <c r="R1148" s="545">
        <v>1067</v>
      </c>
      <c r="S1148" s="545">
        <v>1022</v>
      </c>
      <c r="T1148" s="545">
        <v>984</v>
      </c>
      <c r="U1148" s="545">
        <v>946</v>
      </c>
      <c r="V1148" s="545">
        <v>908</v>
      </c>
      <c r="W1148" s="545">
        <v>878</v>
      </c>
      <c r="X1148" s="545">
        <v>848</v>
      </c>
      <c r="Y1148" s="545">
        <v>825</v>
      </c>
      <c r="Z1148" s="545">
        <v>635</v>
      </c>
      <c r="AA1148" s="545">
        <v>757</v>
      </c>
      <c r="AB1148" s="545">
        <v>712</v>
      </c>
      <c r="AC1148" s="545">
        <v>666</v>
      </c>
      <c r="AD1148" s="545">
        <v>613</v>
      </c>
      <c r="AE1148" s="545">
        <v>568</v>
      </c>
      <c r="AF1148" s="545">
        <v>537</v>
      </c>
      <c r="AG1148" s="545">
        <v>500</v>
      </c>
      <c r="AH1148" s="617">
        <v>462</v>
      </c>
      <c r="AI1148" s="136"/>
    </row>
    <row r="1149" spans="2:35">
      <c r="B1149" s="271"/>
      <c r="C1149" s="325"/>
      <c r="D1149" s="295"/>
      <c r="E1149" s="295"/>
      <c r="F1149" s="295"/>
      <c r="G1149" s="295"/>
      <c r="H1149" s="295"/>
      <c r="I1149" s="295"/>
      <c r="J1149" s="295"/>
      <c r="K1149" s="295"/>
      <c r="L1149" s="295"/>
      <c r="M1149" s="295"/>
      <c r="N1149" s="295"/>
      <c r="O1149" s="295"/>
      <c r="P1149" s="295"/>
      <c r="Q1149" s="295"/>
      <c r="R1149" s="295"/>
      <c r="S1149" s="295"/>
      <c r="T1149" s="295"/>
      <c r="U1149" s="295"/>
      <c r="V1149" s="295"/>
      <c r="W1149" s="295"/>
      <c r="X1149" s="295"/>
      <c r="Y1149" s="295"/>
      <c r="Z1149" s="295"/>
      <c r="AA1149" s="295"/>
      <c r="AB1149" s="295"/>
      <c r="AC1149" s="295"/>
      <c r="AD1149" s="295"/>
      <c r="AE1149" s="295"/>
      <c r="AF1149" s="295"/>
      <c r="AG1149" s="295"/>
      <c r="AH1149" s="296"/>
      <c r="AI1149" s="136"/>
    </row>
    <row r="1150" spans="2:35">
      <c r="B1150" s="271" t="s">
        <v>867</v>
      </c>
      <c r="C1150" s="325"/>
      <c r="D1150" s="295"/>
      <c r="E1150" s="295"/>
      <c r="F1150" s="295"/>
      <c r="G1150" s="295"/>
      <c r="H1150" s="295"/>
      <c r="I1150" s="295"/>
      <c r="J1150" s="295"/>
      <c r="K1150" s="295"/>
      <c r="L1150" s="295"/>
      <c r="M1150" s="295"/>
      <c r="N1150" s="295"/>
      <c r="O1150" s="295"/>
      <c r="P1150" s="295"/>
      <c r="Q1150" s="295"/>
      <c r="R1150" s="295"/>
      <c r="S1150" s="295"/>
      <c r="T1150" s="295"/>
      <c r="U1150" s="295"/>
      <c r="V1150" s="295"/>
      <c r="W1150" s="295"/>
      <c r="X1150" s="295"/>
      <c r="Y1150" s="295"/>
      <c r="Z1150" s="295"/>
      <c r="AA1150" s="295"/>
      <c r="AB1150" s="295"/>
      <c r="AC1150" s="295"/>
      <c r="AD1150" s="295"/>
      <c r="AE1150" s="295"/>
      <c r="AF1150" s="295"/>
      <c r="AG1150" s="295"/>
      <c r="AH1150" s="296"/>
      <c r="AI1150" s="136"/>
    </row>
    <row r="1151" spans="2:35">
      <c r="B1151" s="541" t="s">
        <v>859</v>
      </c>
      <c r="C1151" s="542"/>
      <c r="D1151" s="618">
        <f t="shared" ref="D1151:AH1157" si="154">D1142/$D1142</f>
        <v>1</v>
      </c>
      <c r="E1151" s="618">
        <f t="shared" si="154"/>
        <v>0.98100309419299125</v>
      </c>
      <c r="F1151" s="618">
        <f t="shared" si="154"/>
        <v>0.96049507087860686</v>
      </c>
      <c r="G1151" s="618">
        <f t="shared" si="154"/>
        <v>0.93854788803338851</v>
      </c>
      <c r="H1151" s="618">
        <f t="shared" si="154"/>
        <v>0.91544937756350286</v>
      </c>
      <c r="I1151" s="618">
        <f t="shared" si="154"/>
        <v>0.89119953946895014</v>
      </c>
      <c r="J1151" s="618">
        <f t="shared" si="154"/>
        <v>0.866086205655897</v>
      </c>
      <c r="K1151" s="618">
        <f t="shared" si="154"/>
        <v>0.84010937612434333</v>
      </c>
      <c r="L1151" s="618">
        <f t="shared" si="154"/>
        <v>0.81355688278045624</v>
      </c>
      <c r="M1151" s="618">
        <f t="shared" si="154"/>
        <v>0.78650068360077718</v>
      </c>
      <c r="N1151" s="618">
        <f t="shared" si="154"/>
        <v>0.75915665251493125</v>
      </c>
      <c r="O1151" s="618">
        <f t="shared" si="154"/>
        <v>0.73174066345254374</v>
      </c>
      <c r="P1151" s="618">
        <f t="shared" si="154"/>
        <v>0.70425271641361442</v>
      </c>
      <c r="Q1151" s="618">
        <f t="shared" si="154"/>
        <v>0.6769086853277686</v>
      </c>
      <c r="R1151" s="618">
        <f t="shared" si="154"/>
        <v>0.64992444412463124</v>
      </c>
      <c r="S1151" s="618">
        <f t="shared" si="154"/>
        <v>0.62337195078074403</v>
      </c>
      <c r="T1151" s="618">
        <f t="shared" si="154"/>
        <v>0.59739512124919047</v>
      </c>
      <c r="U1151" s="618">
        <f t="shared" si="154"/>
        <v>0.57228178743613733</v>
      </c>
      <c r="V1151" s="618">
        <f t="shared" si="154"/>
        <v>0.5480319493415845</v>
      </c>
      <c r="W1151" s="618">
        <f t="shared" si="154"/>
        <v>0.52486148089515727</v>
      </c>
      <c r="X1151" s="618">
        <f t="shared" si="154"/>
        <v>0.50291429804993881</v>
      </c>
      <c r="Y1151" s="618">
        <f t="shared" si="154"/>
        <v>0.48247823271209611</v>
      </c>
      <c r="Z1151" s="618">
        <f t="shared" si="154"/>
        <v>0.46348132690508742</v>
      </c>
      <c r="AA1151" s="618">
        <f t="shared" si="154"/>
        <v>0.44621141253507951</v>
      </c>
      <c r="AB1151" s="618">
        <f t="shared" si="154"/>
        <v>0.43081240555515576</v>
      </c>
      <c r="AC1151" s="618">
        <f t="shared" si="154"/>
        <v>0.41742822191839968</v>
      </c>
      <c r="AD1151" s="618">
        <f t="shared" si="154"/>
        <v>0.40620277757789452</v>
      </c>
      <c r="AE1151" s="618">
        <f t="shared" si="154"/>
        <v>0.39727998848672375</v>
      </c>
      <c r="AF1151" s="618">
        <f t="shared" si="154"/>
        <v>0.39087572857451247</v>
      </c>
      <c r="AG1151" s="618">
        <f t="shared" si="154"/>
        <v>0.38706195581780239</v>
      </c>
      <c r="AH1151" s="619">
        <f t="shared" si="154"/>
        <v>0.38706195581780239</v>
      </c>
      <c r="AI1151" s="136"/>
    </row>
    <row r="1152" spans="2:35">
      <c r="B1152" s="271" t="s">
        <v>861</v>
      </c>
      <c r="C1152" s="325"/>
      <c r="D1152" s="495">
        <f t="shared" si="154"/>
        <v>1</v>
      </c>
      <c r="E1152" s="495">
        <f t="shared" si="154"/>
        <v>0.98121856497103199</v>
      </c>
      <c r="F1152" s="495">
        <f t="shared" si="154"/>
        <v>0.96001782644680711</v>
      </c>
      <c r="G1152" s="495">
        <f t="shared" si="154"/>
        <v>0.93684344559750432</v>
      </c>
      <c r="H1152" s="495">
        <f t="shared" si="154"/>
        <v>0.91182275418603176</v>
      </c>
      <c r="I1152" s="495">
        <f t="shared" si="154"/>
        <v>0.88521041573820591</v>
      </c>
      <c r="J1152" s="495">
        <f t="shared" si="154"/>
        <v>0.85732475966129751</v>
      </c>
      <c r="K1152" s="495">
        <f t="shared" si="154"/>
        <v>0.82835678359966891</v>
      </c>
      <c r="L1152" s="495">
        <f t="shared" si="154"/>
        <v>0.7984974851976826</v>
      </c>
      <c r="M1152" s="495">
        <f t="shared" si="154"/>
        <v>0.76825619150697144</v>
      </c>
      <c r="N1152" s="495">
        <f t="shared" si="154"/>
        <v>0.73750557076462719</v>
      </c>
      <c r="O1152" s="495">
        <f t="shared" si="154"/>
        <v>0.70681861590373718</v>
      </c>
      <c r="P1152" s="495">
        <f t="shared" si="154"/>
        <v>0.67632265868720953</v>
      </c>
      <c r="Q1152" s="495">
        <f t="shared" si="154"/>
        <v>0.64633602852231486</v>
      </c>
      <c r="R1152" s="495">
        <f t="shared" si="154"/>
        <v>0.61704972305341566</v>
      </c>
      <c r="S1152" s="495">
        <f t="shared" si="154"/>
        <v>0.58859107404342015</v>
      </c>
      <c r="T1152" s="495">
        <f t="shared" si="154"/>
        <v>0.56153307442541545</v>
      </c>
      <c r="U1152" s="495">
        <f t="shared" si="154"/>
        <v>0.53581205831794743</v>
      </c>
      <c r="V1152" s="495">
        <f t="shared" si="154"/>
        <v>0.51193735277264918</v>
      </c>
      <c r="W1152" s="495">
        <f t="shared" si="154"/>
        <v>0.49003628955242884</v>
      </c>
      <c r="X1152" s="495">
        <f t="shared" si="154"/>
        <v>0.47029986630164894</v>
      </c>
      <c r="Y1152" s="495">
        <f t="shared" si="154"/>
        <v>0.45311007830903421</v>
      </c>
      <c r="Z1152" s="495">
        <f t="shared" si="154"/>
        <v>0.43859425733749285</v>
      </c>
      <c r="AA1152" s="495">
        <f t="shared" si="154"/>
        <v>0.42719806455720377</v>
      </c>
      <c r="AB1152" s="495">
        <f t="shared" si="154"/>
        <v>0.4189851658496212</v>
      </c>
      <c r="AC1152" s="495">
        <f t="shared" si="154"/>
        <v>0.41421022474056152</v>
      </c>
      <c r="AD1152" s="495">
        <f t="shared" si="154"/>
        <v>0.41331890240020375</v>
      </c>
      <c r="AE1152" s="495">
        <f t="shared" si="154"/>
        <v>0.41331890240020375</v>
      </c>
      <c r="AF1152" s="495">
        <f t="shared" si="154"/>
        <v>0.41331890240020375</v>
      </c>
      <c r="AG1152" s="495">
        <f t="shared" si="154"/>
        <v>0.41331890240020375</v>
      </c>
      <c r="AH1152" s="620">
        <f t="shared" si="154"/>
        <v>0.41331890240020375</v>
      </c>
      <c r="AI1152" s="136"/>
    </row>
    <row r="1153" spans="2:35">
      <c r="B1153" s="271" t="s">
        <v>862</v>
      </c>
      <c r="C1153" s="325"/>
      <c r="D1153" s="495">
        <f t="shared" si="154"/>
        <v>1</v>
      </c>
      <c r="E1153" s="495">
        <f t="shared" si="154"/>
        <v>1.0002078894028377</v>
      </c>
      <c r="F1153" s="495">
        <f t="shared" si="154"/>
        <v>0.93014916064653608</v>
      </c>
      <c r="G1153" s="495">
        <f t="shared" si="154"/>
        <v>0.84954004469622157</v>
      </c>
      <c r="H1153" s="495">
        <f t="shared" si="154"/>
        <v>0.82537290161634014</v>
      </c>
      <c r="I1153" s="495">
        <f t="shared" si="154"/>
        <v>0.87131645964346971</v>
      </c>
      <c r="J1153" s="495">
        <f t="shared" si="154"/>
        <v>0.73281014500285846</v>
      </c>
      <c r="K1153" s="495">
        <f t="shared" si="154"/>
        <v>0.7516761083103789</v>
      </c>
      <c r="L1153" s="495">
        <f t="shared" si="154"/>
        <v>0.64222233771633486</v>
      </c>
      <c r="M1153" s="495">
        <f t="shared" si="154"/>
        <v>0.63770074320461512</v>
      </c>
      <c r="N1153" s="495">
        <f t="shared" si="154"/>
        <v>0.57356686242918764</v>
      </c>
      <c r="O1153" s="495">
        <f t="shared" si="154"/>
        <v>0.53271659477158151</v>
      </c>
      <c r="P1153" s="495">
        <f t="shared" si="154"/>
        <v>0.46281378306740811</v>
      </c>
      <c r="Q1153" s="495">
        <f t="shared" si="154"/>
        <v>0.50350813367288605</v>
      </c>
      <c r="R1153" s="495">
        <f t="shared" si="154"/>
        <v>0.43994594875526222</v>
      </c>
      <c r="S1153" s="495">
        <f t="shared" si="154"/>
        <v>0.3687958006340627</v>
      </c>
      <c r="T1153" s="495">
        <f t="shared" si="154"/>
        <v>0.30117977236110388</v>
      </c>
      <c r="U1153" s="495">
        <f t="shared" si="154"/>
        <v>0.28538017774543945</v>
      </c>
      <c r="V1153" s="495">
        <f t="shared" si="154"/>
        <v>0.28397692427628501</v>
      </c>
      <c r="W1153" s="495">
        <f t="shared" si="154"/>
        <v>0.25762694246660778</v>
      </c>
      <c r="X1153" s="495">
        <f t="shared" si="154"/>
        <v>0.25731510836235122</v>
      </c>
      <c r="Y1153" s="495">
        <f t="shared" si="154"/>
        <v>0.22171404812639675</v>
      </c>
      <c r="Z1153" s="495">
        <f t="shared" si="154"/>
        <v>0.21942726469518217</v>
      </c>
      <c r="AA1153" s="495">
        <f t="shared" si="154"/>
        <v>0.2077854581362715</v>
      </c>
      <c r="AB1153" s="495">
        <f t="shared" si="154"/>
        <v>0.19624759627877969</v>
      </c>
      <c r="AC1153" s="495">
        <f t="shared" si="154"/>
        <v>0.17888883114183254</v>
      </c>
      <c r="AD1153" s="495">
        <f t="shared" si="154"/>
        <v>0.16620757756873344</v>
      </c>
      <c r="AE1153" s="495">
        <f t="shared" si="154"/>
        <v>0.15789200145522583</v>
      </c>
      <c r="AF1153" s="495">
        <f t="shared" si="154"/>
        <v>0.15544930097188295</v>
      </c>
      <c r="AG1153" s="495">
        <f t="shared" si="154"/>
        <v>0.14531469258354554</v>
      </c>
      <c r="AH1153" s="620">
        <f t="shared" si="154"/>
        <v>0.11605425913414064</v>
      </c>
      <c r="AI1153" s="136"/>
    </row>
    <row r="1154" spans="2:35">
      <c r="B1154" s="271" t="s">
        <v>863</v>
      </c>
      <c r="C1154" s="325"/>
      <c r="D1154" s="495">
        <f t="shared" si="154"/>
        <v>1</v>
      </c>
      <c r="E1154" s="495">
        <f t="shared" si="154"/>
        <v>0.98100309419299125</v>
      </c>
      <c r="F1154" s="495">
        <f t="shared" si="154"/>
        <v>0.96049507087860686</v>
      </c>
      <c r="G1154" s="495">
        <f t="shared" si="154"/>
        <v>0.93854788803338851</v>
      </c>
      <c r="H1154" s="495">
        <f t="shared" si="154"/>
        <v>0.91544937756350286</v>
      </c>
      <c r="I1154" s="495">
        <f t="shared" si="154"/>
        <v>0.89119953946895014</v>
      </c>
      <c r="J1154" s="495">
        <f t="shared" si="154"/>
        <v>0.866086205655897</v>
      </c>
      <c r="K1154" s="495">
        <f t="shared" si="154"/>
        <v>0.84010937612434333</v>
      </c>
      <c r="L1154" s="495">
        <f t="shared" si="154"/>
        <v>0.81355688278045624</v>
      </c>
      <c r="M1154" s="495">
        <f t="shared" si="154"/>
        <v>0.78650068360077718</v>
      </c>
      <c r="N1154" s="495">
        <f t="shared" si="154"/>
        <v>0.75915665251493125</v>
      </c>
      <c r="O1154" s="495">
        <f t="shared" si="154"/>
        <v>0.73174066345254374</v>
      </c>
      <c r="P1154" s="495">
        <f t="shared" si="154"/>
        <v>0.70425271641361442</v>
      </c>
      <c r="Q1154" s="495">
        <f t="shared" si="154"/>
        <v>0.6769086853277686</v>
      </c>
      <c r="R1154" s="495">
        <f t="shared" si="154"/>
        <v>0.64992444412463124</v>
      </c>
      <c r="S1154" s="495">
        <f t="shared" si="154"/>
        <v>0.62337195078074403</v>
      </c>
      <c r="T1154" s="495">
        <f t="shared" si="154"/>
        <v>0.59739512124919047</v>
      </c>
      <c r="U1154" s="495">
        <f t="shared" si="154"/>
        <v>0.57228178743613733</v>
      </c>
      <c r="V1154" s="495">
        <f t="shared" si="154"/>
        <v>0.5480319493415845</v>
      </c>
      <c r="W1154" s="495">
        <f t="shared" si="154"/>
        <v>0.52486148089515727</v>
      </c>
      <c r="X1154" s="495">
        <f t="shared" si="154"/>
        <v>0.50291429804993881</v>
      </c>
      <c r="Y1154" s="495">
        <f t="shared" si="154"/>
        <v>0.48247823271209611</v>
      </c>
      <c r="Z1154" s="495">
        <f t="shared" si="154"/>
        <v>0.46348132690508742</v>
      </c>
      <c r="AA1154" s="495">
        <f t="shared" si="154"/>
        <v>0.44621141253507951</v>
      </c>
      <c r="AB1154" s="495">
        <f t="shared" si="154"/>
        <v>0.43081240555515576</v>
      </c>
      <c r="AC1154" s="495">
        <f t="shared" si="154"/>
        <v>0.41742822191839968</v>
      </c>
      <c r="AD1154" s="495">
        <f t="shared" si="154"/>
        <v>0.40620277757789452</v>
      </c>
      <c r="AE1154" s="495">
        <f t="shared" si="154"/>
        <v>0.39727998848672375</v>
      </c>
      <c r="AF1154" s="495">
        <f t="shared" si="154"/>
        <v>0.39087572857451247</v>
      </c>
      <c r="AG1154" s="495">
        <f t="shared" si="154"/>
        <v>0.38706195581780239</v>
      </c>
      <c r="AH1154" s="620">
        <f t="shared" si="154"/>
        <v>0.38706195581780239</v>
      </c>
      <c r="AI1154" s="136"/>
    </row>
    <row r="1155" spans="2:35">
      <c r="B1155" s="271" t="s">
        <v>864</v>
      </c>
      <c r="C1155" s="325"/>
      <c r="D1155" s="495">
        <f t="shared" si="154"/>
        <v>1</v>
      </c>
      <c r="E1155" s="495">
        <f t="shared" si="154"/>
        <v>0.98121856497103199</v>
      </c>
      <c r="F1155" s="495">
        <f t="shared" si="154"/>
        <v>0.96001782644680711</v>
      </c>
      <c r="G1155" s="495">
        <f t="shared" si="154"/>
        <v>0.93684344559750432</v>
      </c>
      <c r="H1155" s="495">
        <f t="shared" si="154"/>
        <v>0.91182275418603176</v>
      </c>
      <c r="I1155" s="495">
        <f t="shared" si="154"/>
        <v>0.88521041573820591</v>
      </c>
      <c r="J1155" s="495">
        <f t="shared" si="154"/>
        <v>0.85732475966129751</v>
      </c>
      <c r="K1155" s="495">
        <f t="shared" si="154"/>
        <v>0.82835678359966891</v>
      </c>
      <c r="L1155" s="495">
        <f t="shared" si="154"/>
        <v>0.7984974851976826</v>
      </c>
      <c r="M1155" s="495">
        <f t="shared" si="154"/>
        <v>0.76825619150697144</v>
      </c>
      <c r="N1155" s="495">
        <f t="shared" si="154"/>
        <v>0.73750557076462719</v>
      </c>
      <c r="O1155" s="495">
        <f t="shared" si="154"/>
        <v>0.70681861590373718</v>
      </c>
      <c r="P1155" s="495">
        <f t="shared" si="154"/>
        <v>0.67632265868720953</v>
      </c>
      <c r="Q1155" s="495">
        <f t="shared" si="154"/>
        <v>0.64633602852231486</v>
      </c>
      <c r="R1155" s="495">
        <f t="shared" si="154"/>
        <v>0.61704972305341566</v>
      </c>
      <c r="S1155" s="495">
        <f t="shared" si="154"/>
        <v>0.58859107404342015</v>
      </c>
      <c r="T1155" s="495">
        <f t="shared" si="154"/>
        <v>0.56153307442541545</v>
      </c>
      <c r="U1155" s="495">
        <f t="shared" si="154"/>
        <v>0.53581205831794743</v>
      </c>
      <c r="V1155" s="495">
        <f t="shared" si="154"/>
        <v>0.51193735277264918</v>
      </c>
      <c r="W1155" s="495">
        <f t="shared" si="154"/>
        <v>0.49003628955242884</v>
      </c>
      <c r="X1155" s="495">
        <f t="shared" si="154"/>
        <v>0.47029986630164894</v>
      </c>
      <c r="Y1155" s="495">
        <f t="shared" si="154"/>
        <v>0.45311007830903421</v>
      </c>
      <c r="Z1155" s="495">
        <f t="shared" si="154"/>
        <v>0.43859425733749285</v>
      </c>
      <c r="AA1155" s="495">
        <f t="shared" si="154"/>
        <v>0.42719806455720377</v>
      </c>
      <c r="AB1155" s="495">
        <f t="shared" si="154"/>
        <v>0.4189851658496212</v>
      </c>
      <c r="AC1155" s="495">
        <f t="shared" si="154"/>
        <v>0.41421022474056152</v>
      </c>
      <c r="AD1155" s="495">
        <f t="shared" si="154"/>
        <v>0.41331890240020375</v>
      </c>
      <c r="AE1155" s="495">
        <f t="shared" si="154"/>
        <v>0.41331890240020375</v>
      </c>
      <c r="AF1155" s="495">
        <f t="shared" si="154"/>
        <v>0.41331890240020375</v>
      </c>
      <c r="AG1155" s="495">
        <f t="shared" si="154"/>
        <v>0.41331890240020375</v>
      </c>
      <c r="AH1155" s="620">
        <f t="shared" si="154"/>
        <v>0.41331890240020375</v>
      </c>
      <c r="AI1155" s="136"/>
    </row>
    <row r="1156" spans="2:35">
      <c r="B1156" s="271" t="s">
        <v>865</v>
      </c>
      <c r="C1156" s="325"/>
      <c r="D1156" s="495">
        <f t="shared" si="154"/>
        <v>1</v>
      </c>
      <c r="E1156" s="495">
        <f t="shared" si="154"/>
        <v>1.0170001727158331</v>
      </c>
      <c r="F1156" s="495">
        <f t="shared" si="154"/>
        <v>1.1868785314219448</v>
      </c>
      <c r="G1156" s="495">
        <f t="shared" si="154"/>
        <v>1.2138715487675491</v>
      </c>
      <c r="H1156" s="495">
        <f t="shared" si="154"/>
        <v>1.2572232228774458</v>
      </c>
      <c r="I1156" s="495">
        <f t="shared" si="154"/>
        <v>0.90362456512620593</v>
      </c>
      <c r="J1156" s="495">
        <f t="shared" si="154"/>
        <v>1.1941325964124454</v>
      </c>
      <c r="K1156" s="495">
        <f t="shared" si="154"/>
        <v>1.0119420661748377</v>
      </c>
      <c r="L1156" s="495">
        <f t="shared" si="154"/>
        <v>0.96432184361814999</v>
      </c>
      <c r="M1156" s="495">
        <f t="shared" si="154"/>
        <v>0.8020429815687532</v>
      </c>
      <c r="N1156" s="495">
        <f t="shared" si="154"/>
        <v>0.77934318636038391</v>
      </c>
      <c r="O1156" s="495">
        <f t="shared" si="154"/>
        <v>0.67285153840459921</v>
      </c>
      <c r="P1156" s="495">
        <f t="shared" si="154"/>
        <v>0.62718053739297785</v>
      </c>
      <c r="Q1156" s="495">
        <f t="shared" si="154"/>
        <v>0.59029337017937777</v>
      </c>
      <c r="R1156" s="495">
        <f t="shared" si="154"/>
        <v>0.51336080337536083</v>
      </c>
      <c r="S1156" s="495">
        <f t="shared" si="154"/>
        <v>0.46924424486170396</v>
      </c>
      <c r="T1156" s="495">
        <f t="shared" si="154"/>
        <v>0.3223124182684004</v>
      </c>
      <c r="U1156" s="495">
        <f t="shared" si="154"/>
        <v>0.34419798169212168</v>
      </c>
      <c r="V1156" s="495">
        <f t="shared" si="154"/>
        <v>0.29021194700091291</v>
      </c>
      <c r="W1156" s="495">
        <f t="shared" si="154"/>
        <v>0.25835821263786424</v>
      </c>
      <c r="X1156" s="495">
        <f t="shared" si="154"/>
        <v>0.24296182980088332</v>
      </c>
      <c r="Y1156" s="495">
        <f t="shared" si="154"/>
        <v>0.22406178292087148</v>
      </c>
      <c r="Z1156" s="495">
        <f t="shared" si="154"/>
        <v>0.20619803103950257</v>
      </c>
      <c r="AA1156" s="495">
        <f t="shared" si="154"/>
        <v>0.17903229786079103</v>
      </c>
      <c r="AB1156" s="495">
        <f t="shared" si="154"/>
        <v>0.15788694515038615</v>
      </c>
      <c r="AC1156" s="495">
        <f t="shared" si="154"/>
        <v>0.14382294159737471</v>
      </c>
      <c r="AD1156" s="495">
        <f t="shared" si="154"/>
        <v>0.13930765624614475</v>
      </c>
      <c r="AE1156" s="495">
        <f t="shared" si="154"/>
        <v>0.11821165091662759</v>
      </c>
      <c r="AF1156" s="495">
        <f t="shared" si="154"/>
        <v>9.8448024871079967E-2</v>
      </c>
      <c r="AG1156" s="495">
        <f t="shared" si="154"/>
        <v>7.9251893705741566E-2</v>
      </c>
      <c r="AH1156" s="620">
        <f t="shared" si="154"/>
        <v>6.3485405512102439E-2</v>
      </c>
      <c r="AI1156" s="136"/>
    </row>
    <row r="1157" spans="2:35">
      <c r="B1157" s="544" t="s">
        <v>866</v>
      </c>
      <c r="C1157" s="339"/>
      <c r="D1157" s="621">
        <f t="shared" si="154"/>
        <v>1</v>
      </c>
      <c r="E1157" s="621">
        <f t="shared" si="154"/>
        <v>0.5340203461487647</v>
      </c>
      <c r="F1157" s="621">
        <f t="shared" si="154"/>
        <v>0.40401638261329104</v>
      </c>
      <c r="G1157" s="621">
        <f t="shared" si="154"/>
        <v>0.33399392257894039</v>
      </c>
      <c r="H1157" s="621">
        <f t="shared" si="154"/>
        <v>0.28907385387765888</v>
      </c>
      <c r="I1157" s="621">
        <f t="shared" si="154"/>
        <v>0.25696921654115473</v>
      </c>
      <c r="J1157" s="621">
        <f t="shared" si="154"/>
        <v>0.23305588585017836</v>
      </c>
      <c r="K1157" s="621">
        <f t="shared" si="154"/>
        <v>0.2140309155766944</v>
      </c>
      <c r="L1157" s="621">
        <f t="shared" si="154"/>
        <v>0.19804465583300304</v>
      </c>
      <c r="M1157" s="621">
        <f t="shared" si="154"/>
        <v>0.18496498876998282</v>
      </c>
      <c r="N1157" s="621">
        <f t="shared" si="154"/>
        <v>0.17399920729290527</v>
      </c>
      <c r="O1157" s="621">
        <f t="shared" si="154"/>
        <v>0.16395825075967763</v>
      </c>
      <c r="P1157" s="621">
        <f t="shared" si="154"/>
        <v>0.15603117981239265</v>
      </c>
      <c r="Q1157" s="621">
        <f t="shared" si="154"/>
        <v>0.14797199101598627</v>
      </c>
      <c r="R1157" s="621">
        <f t="shared" si="154"/>
        <v>0.14096974501255119</v>
      </c>
      <c r="S1157" s="621">
        <f t="shared" si="154"/>
        <v>0.13502444180208747</v>
      </c>
      <c r="T1157" s="621">
        <f t="shared" si="154"/>
        <v>0.13000396353547364</v>
      </c>
      <c r="U1157" s="621">
        <f t="shared" si="154"/>
        <v>0.12498348526885983</v>
      </c>
      <c r="V1157" s="621">
        <f t="shared" si="154"/>
        <v>0.11996300700224601</v>
      </c>
      <c r="W1157" s="621">
        <f t="shared" si="154"/>
        <v>0.11599947152860351</v>
      </c>
      <c r="X1157" s="621">
        <f t="shared" si="154"/>
        <v>0.11203593605496102</v>
      </c>
      <c r="Y1157" s="621">
        <f t="shared" si="154"/>
        <v>0.10899722552516845</v>
      </c>
      <c r="Z1157" s="621">
        <f t="shared" si="154"/>
        <v>8.3894834192099352E-2</v>
      </c>
      <c r="AA1157" s="621">
        <f t="shared" si="154"/>
        <v>0.10001321178491214</v>
      </c>
      <c r="AB1157" s="621">
        <f t="shared" si="154"/>
        <v>9.4067908574448411E-2</v>
      </c>
      <c r="AC1157" s="621">
        <f t="shared" si="154"/>
        <v>8.7990487514863255E-2</v>
      </c>
      <c r="AD1157" s="621">
        <f t="shared" si="154"/>
        <v>8.0988241511428194E-2</v>
      </c>
      <c r="AE1157" s="621">
        <f t="shared" si="154"/>
        <v>7.5042938300964465E-2</v>
      </c>
      <c r="AF1157" s="621">
        <f t="shared" si="154"/>
        <v>7.0947284978200562E-2</v>
      </c>
      <c r="AG1157" s="621">
        <f t="shared" si="154"/>
        <v>6.6058924560708152E-2</v>
      </c>
      <c r="AH1157" s="622">
        <f t="shared" si="154"/>
        <v>6.1038446294094335E-2</v>
      </c>
      <c r="AI1157" s="136"/>
    </row>
    <row r="1158" spans="2:35">
      <c r="B1158" s="136"/>
      <c r="C1158" s="132"/>
      <c r="D1158" s="132"/>
      <c r="E1158" s="132"/>
      <c r="F1158" s="132"/>
      <c r="G1158" s="132"/>
      <c r="H1158" s="132"/>
      <c r="I1158" s="132"/>
      <c r="J1158" s="132"/>
      <c r="K1158" s="132"/>
      <c r="L1158" s="132"/>
      <c r="M1158" s="132"/>
      <c r="N1158" s="132"/>
      <c r="O1158" s="132"/>
      <c r="P1158" s="132"/>
      <c r="Q1158" s="132"/>
      <c r="R1158" s="132"/>
      <c r="S1158" s="132"/>
      <c r="T1158" s="132"/>
      <c r="U1158" s="132"/>
      <c r="V1158" s="132"/>
      <c r="W1158" s="132"/>
      <c r="X1158" s="132"/>
      <c r="Y1158" s="132"/>
      <c r="Z1158" s="132"/>
      <c r="AA1158" s="132"/>
      <c r="AB1158" s="132"/>
      <c r="AC1158" s="132"/>
      <c r="AD1158" s="132"/>
      <c r="AE1158" s="132"/>
      <c r="AF1158" s="132"/>
      <c r="AG1158" s="132"/>
      <c r="AH1158" s="142"/>
      <c r="AI1158" s="136"/>
    </row>
    <row r="1159" spans="2:35">
      <c r="B1159" s="136" t="s">
        <v>868</v>
      </c>
      <c r="C1159" s="132"/>
      <c r="D1159" s="132"/>
      <c r="E1159" s="132"/>
      <c r="F1159" s="132"/>
      <c r="G1159" s="132"/>
      <c r="H1159" s="132"/>
      <c r="I1159" s="132"/>
      <c r="J1159" s="132"/>
      <c r="K1159" s="132"/>
      <c r="L1159" s="132"/>
      <c r="M1159" s="132"/>
      <c r="N1159" s="132"/>
      <c r="O1159" s="132"/>
      <c r="P1159" s="132"/>
      <c r="Q1159" s="132"/>
      <c r="R1159" s="132"/>
      <c r="S1159" s="132"/>
      <c r="T1159" s="132"/>
      <c r="U1159" s="132"/>
      <c r="V1159" s="132"/>
      <c r="W1159" s="132"/>
      <c r="X1159" s="132"/>
      <c r="Y1159" s="132"/>
      <c r="Z1159" s="132"/>
      <c r="AA1159" s="132"/>
      <c r="AB1159" s="132"/>
      <c r="AC1159" s="132"/>
      <c r="AD1159" s="132"/>
      <c r="AE1159" s="132"/>
      <c r="AF1159" s="132"/>
      <c r="AG1159" s="132"/>
      <c r="AH1159" s="142"/>
      <c r="AI1159" s="136"/>
    </row>
    <row r="1160" spans="2:35">
      <c r="B1160" s="341" t="s">
        <v>869</v>
      </c>
      <c r="C1160" s="342" t="s">
        <v>870</v>
      </c>
      <c r="D1160" s="623">
        <f t="shared" ref="D1160:AH1160" si="155">$D$1151</f>
        <v>1</v>
      </c>
      <c r="E1160" s="623">
        <f t="shared" si="155"/>
        <v>1</v>
      </c>
      <c r="F1160" s="623">
        <f t="shared" si="155"/>
        <v>1</v>
      </c>
      <c r="G1160" s="623">
        <f t="shared" si="155"/>
        <v>1</v>
      </c>
      <c r="H1160" s="623">
        <f t="shared" si="155"/>
        <v>1</v>
      </c>
      <c r="I1160" s="623">
        <f t="shared" si="155"/>
        <v>1</v>
      </c>
      <c r="J1160" s="623">
        <f t="shared" si="155"/>
        <v>1</v>
      </c>
      <c r="K1160" s="623">
        <f t="shared" si="155"/>
        <v>1</v>
      </c>
      <c r="L1160" s="623">
        <f t="shared" si="155"/>
        <v>1</v>
      </c>
      <c r="M1160" s="623">
        <f t="shared" si="155"/>
        <v>1</v>
      </c>
      <c r="N1160" s="623">
        <f t="shared" si="155"/>
        <v>1</v>
      </c>
      <c r="O1160" s="623">
        <f t="shared" si="155"/>
        <v>1</v>
      </c>
      <c r="P1160" s="623">
        <f t="shared" si="155"/>
        <v>1</v>
      </c>
      <c r="Q1160" s="623">
        <f t="shared" si="155"/>
        <v>1</v>
      </c>
      <c r="R1160" s="623">
        <f t="shared" si="155"/>
        <v>1</v>
      </c>
      <c r="S1160" s="623">
        <f t="shared" si="155"/>
        <v>1</v>
      </c>
      <c r="T1160" s="623">
        <f t="shared" si="155"/>
        <v>1</v>
      </c>
      <c r="U1160" s="623">
        <f t="shared" si="155"/>
        <v>1</v>
      </c>
      <c r="V1160" s="623">
        <f t="shared" si="155"/>
        <v>1</v>
      </c>
      <c r="W1160" s="623">
        <f t="shared" si="155"/>
        <v>1</v>
      </c>
      <c r="X1160" s="623">
        <f t="shared" si="155"/>
        <v>1</v>
      </c>
      <c r="Y1160" s="623">
        <f t="shared" si="155"/>
        <v>1</v>
      </c>
      <c r="Z1160" s="623">
        <f t="shared" si="155"/>
        <v>1</v>
      </c>
      <c r="AA1160" s="623">
        <f t="shared" si="155"/>
        <v>1</v>
      </c>
      <c r="AB1160" s="623">
        <f t="shared" si="155"/>
        <v>1</v>
      </c>
      <c r="AC1160" s="623">
        <f t="shared" si="155"/>
        <v>1</v>
      </c>
      <c r="AD1160" s="623">
        <f t="shared" si="155"/>
        <v>1</v>
      </c>
      <c r="AE1160" s="623">
        <f t="shared" si="155"/>
        <v>1</v>
      </c>
      <c r="AF1160" s="623">
        <f t="shared" si="155"/>
        <v>1</v>
      </c>
      <c r="AG1160" s="623">
        <f t="shared" si="155"/>
        <v>1</v>
      </c>
      <c r="AH1160" s="623">
        <f t="shared" si="155"/>
        <v>1</v>
      </c>
      <c r="AI1160" s="136"/>
    </row>
    <row r="1161" spans="2:35">
      <c r="B1161" s="337" t="s">
        <v>869</v>
      </c>
      <c r="C1161" s="338" t="s">
        <v>871</v>
      </c>
      <c r="D1161" s="624">
        <f t="shared" ref="D1161:AH1161" si="156">$D$1156</f>
        <v>1</v>
      </c>
      <c r="E1161" s="624">
        <f t="shared" si="156"/>
        <v>1</v>
      </c>
      <c r="F1161" s="624">
        <f t="shared" si="156"/>
        <v>1</v>
      </c>
      <c r="G1161" s="624">
        <f t="shared" si="156"/>
        <v>1</v>
      </c>
      <c r="H1161" s="624">
        <f t="shared" si="156"/>
        <v>1</v>
      </c>
      <c r="I1161" s="624">
        <f t="shared" si="156"/>
        <v>1</v>
      </c>
      <c r="J1161" s="624">
        <f t="shared" si="156"/>
        <v>1</v>
      </c>
      <c r="K1161" s="624">
        <f t="shared" si="156"/>
        <v>1</v>
      </c>
      <c r="L1161" s="624">
        <f t="shared" si="156"/>
        <v>1</v>
      </c>
      <c r="M1161" s="624">
        <f t="shared" si="156"/>
        <v>1</v>
      </c>
      <c r="N1161" s="624">
        <f t="shared" si="156"/>
        <v>1</v>
      </c>
      <c r="O1161" s="624">
        <f t="shared" si="156"/>
        <v>1</v>
      </c>
      <c r="P1161" s="624">
        <f t="shared" si="156"/>
        <v>1</v>
      </c>
      <c r="Q1161" s="624">
        <f t="shared" si="156"/>
        <v>1</v>
      </c>
      <c r="R1161" s="624">
        <f t="shared" si="156"/>
        <v>1</v>
      </c>
      <c r="S1161" s="624">
        <f t="shared" si="156"/>
        <v>1</v>
      </c>
      <c r="T1161" s="624">
        <f t="shared" si="156"/>
        <v>1</v>
      </c>
      <c r="U1161" s="624">
        <f t="shared" si="156"/>
        <v>1</v>
      </c>
      <c r="V1161" s="624">
        <f t="shared" si="156"/>
        <v>1</v>
      </c>
      <c r="W1161" s="624">
        <f t="shared" si="156"/>
        <v>1</v>
      </c>
      <c r="X1161" s="624">
        <f t="shared" si="156"/>
        <v>1</v>
      </c>
      <c r="Y1161" s="624">
        <f t="shared" si="156"/>
        <v>1</v>
      </c>
      <c r="Z1161" s="624">
        <f t="shared" si="156"/>
        <v>1</v>
      </c>
      <c r="AA1161" s="624">
        <f t="shared" si="156"/>
        <v>1</v>
      </c>
      <c r="AB1161" s="624">
        <f t="shared" si="156"/>
        <v>1</v>
      </c>
      <c r="AC1161" s="624">
        <f t="shared" si="156"/>
        <v>1</v>
      </c>
      <c r="AD1161" s="624">
        <f t="shared" si="156"/>
        <v>1</v>
      </c>
      <c r="AE1161" s="624">
        <f t="shared" si="156"/>
        <v>1</v>
      </c>
      <c r="AF1161" s="624">
        <f t="shared" si="156"/>
        <v>1</v>
      </c>
      <c r="AG1161" s="624">
        <f t="shared" si="156"/>
        <v>1</v>
      </c>
      <c r="AH1161" s="624">
        <f t="shared" si="156"/>
        <v>1</v>
      </c>
      <c r="AI1161" s="136"/>
    </row>
    <row r="1162" spans="2:35" ht="16" thickBot="1">
      <c r="B1162" s="143"/>
      <c r="C1162" s="145"/>
      <c r="D1162" s="145"/>
      <c r="E1162" s="145"/>
      <c r="F1162" s="145"/>
      <c r="G1162" s="145"/>
      <c r="H1162" s="145"/>
      <c r="I1162" s="145"/>
      <c r="J1162" s="145"/>
      <c r="K1162" s="145"/>
      <c r="L1162" s="145"/>
      <c r="M1162" s="145"/>
      <c r="N1162" s="145"/>
      <c r="O1162" s="145"/>
      <c r="P1162" s="145"/>
      <c r="Q1162" s="145"/>
      <c r="R1162" s="145"/>
      <c r="S1162" s="145"/>
      <c r="T1162" s="145"/>
      <c r="U1162" s="145"/>
      <c r="V1162" s="145"/>
      <c r="W1162" s="145"/>
      <c r="X1162" s="145"/>
      <c r="Y1162" s="145"/>
      <c r="Z1162" s="145"/>
      <c r="AA1162" s="145"/>
      <c r="AB1162" s="145"/>
      <c r="AC1162" s="145"/>
      <c r="AD1162" s="145"/>
      <c r="AE1162" s="145"/>
      <c r="AF1162" s="145"/>
      <c r="AG1162" s="145"/>
      <c r="AH1162" s="146"/>
      <c r="AI1162" s="136"/>
    </row>
    <row r="1163" spans="2:35">
      <c r="B1163" s="132"/>
      <c r="C1163" s="132"/>
      <c r="D1163" s="132"/>
      <c r="E1163" s="132"/>
      <c r="F1163" s="132"/>
      <c r="G1163" s="132"/>
      <c r="H1163" s="132"/>
      <c r="I1163" s="132"/>
      <c r="J1163" s="132"/>
      <c r="K1163" s="132"/>
      <c r="L1163" s="132"/>
      <c r="M1163" s="132"/>
      <c r="N1163" s="132"/>
      <c r="O1163" s="132"/>
      <c r="P1163" s="132"/>
      <c r="Q1163" s="132"/>
      <c r="R1163" s="132"/>
      <c r="S1163" s="132"/>
      <c r="T1163" s="132"/>
      <c r="U1163" s="132"/>
      <c r="V1163" s="132"/>
      <c r="W1163" s="132"/>
      <c r="X1163" s="132"/>
      <c r="Y1163" s="132"/>
      <c r="Z1163" s="132"/>
      <c r="AA1163" s="132"/>
      <c r="AB1163" s="132"/>
      <c r="AC1163" s="132"/>
      <c r="AD1163" s="132"/>
      <c r="AE1163" s="132"/>
      <c r="AF1163" s="132"/>
      <c r="AG1163" s="132"/>
      <c r="AH1163" s="132"/>
      <c r="AI1163" s="132"/>
    </row>
    <row r="1164" spans="2:35" ht="13.5" customHeight="1" thickBot="1">
      <c r="B1164" s="244" t="s">
        <v>872</v>
      </c>
      <c r="F1164" s="480"/>
      <c r="G1164" s="480"/>
      <c r="H1164" s="480"/>
    </row>
    <row r="1165" spans="2:35">
      <c r="B1165" s="625" t="s">
        <v>300</v>
      </c>
      <c r="F1165" s="480"/>
      <c r="G1165" s="480"/>
      <c r="H1165" s="480"/>
    </row>
    <row r="1166" spans="2:35">
      <c r="B1166" s="626" t="s">
        <v>302</v>
      </c>
      <c r="F1166" s="480"/>
      <c r="G1166" s="480"/>
      <c r="H1166" s="480"/>
    </row>
    <row r="1167" spans="2:35">
      <c r="B1167" s="626" t="s">
        <v>304</v>
      </c>
      <c r="F1167" s="480"/>
      <c r="G1167" s="480"/>
      <c r="H1167" s="480"/>
    </row>
    <row r="1168" spans="2:35">
      <c r="B1168" s="626" t="s">
        <v>306</v>
      </c>
      <c r="F1168" s="480"/>
      <c r="G1168" s="480"/>
      <c r="H1168" s="480"/>
    </row>
    <row r="1169" spans="2:11">
      <c r="B1169" s="626" t="s">
        <v>307</v>
      </c>
      <c r="F1169" s="480"/>
      <c r="G1169" s="480"/>
      <c r="H1169" s="480"/>
    </row>
    <row r="1170" spans="2:11">
      <c r="B1170" s="626" t="s">
        <v>308</v>
      </c>
      <c r="F1170" s="480"/>
      <c r="G1170" s="480"/>
      <c r="H1170" s="480"/>
    </row>
    <row r="1171" spans="2:11">
      <c r="B1171" s="626" t="s">
        <v>309</v>
      </c>
      <c r="F1171" s="480"/>
      <c r="G1171" s="480"/>
      <c r="H1171" s="480"/>
    </row>
    <row r="1172" spans="2:11">
      <c r="B1172" s="626" t="s">
        <v>311</v>
      </c>
    </row>
    <row r="1173" spans="2:11">
      <c r="B1173" s="626" t="s">
        <v>313</v>
      </c>
    </row>
    <row r="1174" spans="2:11" ht="16" thickBot="1">
      <c r="B1174" s="627" t="s">
        <v>315</v>
      </c>
    </row>
    <row r="1176" spans="2:11" ht="16" thickBot="1">
      <c r="B1176" s="244" t="s">
        <v>873</v>
      </c>
    </row>
    <row r="1177" spans="2:11">
      <c r="B1177" s="129" t="s">
        <v>300</v>
      </c>
      <c r="C1177" s="520" t="s">
        <v>302</v>
      </c>
      <c r="D1177" s="520" t="s">
        <v>304</v>
      </c>
      <c r="E1177" s="520" t="s">
        <v>306</v>
      </c>
      <c r="F1177" s="520" t="s">
        <v>307</v>
      </c>
      <c r="G1177" s="520" t="s">
        <v>308</v>
      </c>
      <c r="H1177" s="520" t="s">
        <v>309</v>
      </c>
      <c r="I1177" s="520" t="s">
        <v>311</v>
      </c>
      <c r="J1177" s="520" t="s">
        <v>313</v>
      </c>
      <c r="K1177" s="628" t="s">
        <v>315</v>
      </c>
    </row>
    <row r="1178" spans="2:11">
      <c r="B1178" s="136" t="s">
        <v>301</v>
      </c>
      <c r="C1178" s="132" t="s">
        <v>303</v>
      </c>
      <c r="D1178" s="132" t="s">
        <v>305</v>
      </c>
      <c r="E1178" s="132" t="s">
        <v>306</v>
      </c>
      <c r="F1178" s="132" t="s">
        <v>307</v>
      </c>
      <c r="G1178" s="132" t="s">
        <v>308</v>
      </c>
      <c r="H1178" s="132" t="s">
        <v>310</v>
      </c>
      <c r="I1178" s="132" t="s">
        <v>312</v>
      </c>
      <c r="J1178" s="132" t="s">
        <v>314</v>
      </c>
      <c r="K1178" s="142" t="s">
        <v>316</v>
      </c>
    </row>
    <row r="1179" spans="2:11">
      <c r="B1179" s="136" t="s">
        <v>341</v>
      </c>
      <c r="C1179" s="132" t="s">
        <v>338</v>
      </c>
      <c r="D1179" s="132" t="s">
        <v>336</v>
      </c>
      <c r="E1179" s="132" t="s">
        <v>335</v>
      </c>
      <c r="F1179" s="132"/>
      <c r="G1179" s="132"/>
      <c r="H1179" s="132" t="s">
        <v>330</v>
      </c>
      <c r="I1179" s="132"/>
      <c r="J1179" s="132"/>
      <c r="K1179" s="142"/>
    </row>
    <row r="1180" spans="2:11">
      <c r="B1180" s="136" t="s">
        <v>340</v>
      </c>
      <c r="C1180" s="132" t="s">
        <v>339</v>
      </c>
      <c r="D1180" s="132" t="s">
        <v>337</v>
      </c>
      <c r="E1180" s="132"/>
      <c r="F1180" s="132"/>
      <c r="G1180" s="132"/>
      <c r="H1180" s="132" t="s">
        <v>331</v>
      </c>
      <c r="I1180" s="132"/>
      <c r="J1180" s="132"/>
      <c r="K1180" s="142"/>
    </row>
    <row r="1181" spans="2:11">
      <c r="B1181" s="136" t="s">
        <v>342</v>
      </c>
      <c r="C1181" s="132"/>
      <c r="D1181" s="132"/>
      <c r="E1181" s="132"/>
      <c r="F1181" s="132"/>
      <c r="G1181" s="132"/>
      <c r="H1181" s="132" t="s">
        <v>332</v>
      </c>
      <c r="I1181" s="132"/>
      <c r="J1181" s="132"/>
      <c r="K1181" s="142"/>
    </row>
    <row r="1182" spans="2:11">
      <c r="B1182" s="136"/>
      <c r="C1182" s="132"/>
      <c r="D1182" s="132"/>
      <c r="E1182" s="132"/>
      <c r="F1182" s="132"/>
      <c r="G1182" s="132"/>
      <c r="H1182" s="132" t="s">
        <v>333</v>
      </c>
      <c r="I1182" s="132"/>
      <c r="J1182" s="132"/>
      <c r="K1182" s="142"/>
    </row>
    <row r="1183" spans="2:11" ht="16" thickBot="1">
      <c r="B1183" s="143"/>
      <c r="C1183" s="145"/>
      <c r="D1183" s="145"/>
      <c r="E1183" s="145"/>
      <c r="F1183" s="145"/>
      <c r="G1183" s="145"/>
      <c r="H1183" s="145" t="s">
        <v>334</v>
      </c>
      <c r="I1183" s="145"/>
      <c r="J1183" s="145"/>
      <c r="K1183" s="146"/>
    </row>
    <row r="1185" spans="2:8" ht="16" thickBot="1">
      <c r="B1185" s="244" t="s">
        <v>874</v>
      </c>
    </row>
    <row r="1186" spans="2:8">
      <c r="B1186" s="245" t="s">
        <v>875</v>
      </c>
      <c r="C1186" s="629" t="s">
        <v>876</v>
      </c>
      <c r="D1186" s="509">
        <v>16.899999999999999</v>
      </c>
      <c r="E1186" s="501" t="s">
        <v>548</v>
      </c>
      <c r="G1186" s="630"/>
    </row>
    <row r="1187" spans="2:8">
      <c r="B1187" s="136" t="s">
        <v>877</v>
      </c>
      <c r="C1187" s="132" t="s">
        <v>876</v>
      </c>
      <c r="D1187" s="132">
        <v>15.5</v>
      </c>
      <c r="E1187" s="142" t="s">
        <v>548</v>
      </c>
      <c r="G1187" s="630"/>
    </row>
    <row r="1188" spans="2:8">
      <c r="B1188" s="136" t="s">
        <v>878</v>
      </c>
      <c r="C1188" s="132" t="s">
        <v>879</v>
      </c>
      <c r="D1188" s="132">
        <f>ROUND(AVERAGE(D1186:D1187),0)</f>
        <v>16</v>
      </c>
      <c r="E1188" s="142" t="s">
        <v>548</v>
      </c>
    </row>
    <row r="1189" spans="2:8">
      <c r="B1189" s="136" t="s">
        <v>880</v>
      </c>
      <c r="C1189" s="132" t="s">
        <v>876</v>
      </c>
      <c r="D1189" s="132">
        <v>28</v>
      </c>
      <c r="E1189" s="142" t="s">
        <v>548</v>
      </c>
    </row>
    <row r="1190" spans="2:8" ht="16" thickBot="1">
      <c r="B1190" s="143" t="s">
        <v>881</v>
      </c>
      <c r="C1190" s="631" t="s">
        <v>882</v>
      </c>
      <c r="D1190" s="145">
        <v>15</v>
      </c>
      <c r="E1190" s="146" t="s">
        <v>548</v>
      </c>
    </row>
    <row r="1192" spans="2:8" ht="16" thickBot="1">
      <c r="B1192" s="244" t="s">
        <v>883</v>
      </c>
    </row>
    <row r="1193" spans="2:8" ht="45">
      <c r="B1193" s="245" t="s">
        <v>205</v>
      </c>
      <c r="C1193" s="509"/>
      <c r="D1193" s="509" t="s">
        <v>884</v>
      </c>
      <c r="E1193" s="632" t="s">
        <v>885</v>
      </c>
      <c r="F1193" s="632" t="s">
        <v>886</v>
      </c>
      <c r="G1193" s="632" t="s">
        <v>887</v>
      </c>
      <c r="H1193" s="633" t="s">
        <v>888</v>
      </c>
    </row>
    <row r="1194" spans="2:8">
      <c r="B1194" s="136" t="s">
        <v>5</v>
      </c>
      <c r="C1194" s="132" t="s">
        <v>889</v>
      </c>
      <c r="D1194" s="132" t="s">
        <v>890</v>
      </c>
      <c r="E1194" s="132">
        <v>75</v>
      </c>
      <c r="F1194" s="132">
        <v>450</v>
      </c>
      <c r="G1194" s="132">
        <f>510+81</f>
        <v>591</v>
      </c>
      <c r="H1194" s="634" t="s">
        <v>800</v>
      </c>
    </row>
    <row r="1195" spans="2:8">
      <c r="B1195" s="136" t="s">
        <v>366</v>
      </c>
      <c r="C1195" s="132" t="s">
        <v>889</v>
      </c>
      <c r="D1195" s="132" t="s">
        <v>891</v>
      </c>
      <c r="E1195" s="132">
        <v>68</v>
      </c>
      <c r="F1195" s="132">
        <v>367</v>
      </c>
      <c r="G1195" s="132">
        <v>2050</v>
      </c>
      <c r="H1195" s="634">
        <v>27000</v>
      </c>
    </row>
    <row r="1196" spans="2:8">
      <c r="B1196" s="136" t="s">
        <v>366</v>
      </c>
      <c r="C1196" s="132" t="s">
        <v>889</v>
      </c>
      <c r="D1196" s="132" t="s">
        <v>892</v>
      </c>
      <c r="E1196" s="132">
        <v>74</v>
      </c>
      <c r="F1196" s="132">
        <v>400</v>
      </c>
      <c r="G1196" s="132">
        <v>1650</v>
      </c>
      <c r="H1196" s="634">
        <v>35000</v>
      </c>
    </row>
    <row r="1197" spans="2:8">
      <c r="B1197" s="136" t="s">
        <v>218</v>
      </c>
      <c r="C1197" s="132" t="s">
        <v>889</v>
      </c>
      <c r="D1197" s="132" t="s">
        <v>893</v>
      </c>
      <c r="E1197" s="132">
        <v>60</v>
      </c>
      <c r="F1197" s="132">
        <v>324</v>
      </c>
      <c r="G1197" s="132">
        <v>1200</v>
      </c>
      <c r="H1197" s="634">
        <v>22000</v>
      </c>
    </row>
    <row r="1198" spans="2:8">
      <c r="B1198" s="136" t="s">
        <v>218</v>
      </c>
      <c r="C1198" s="132" t="s">
        <v>889</v>
      </c>
      <c r="D1198" s="132" t="s">
        <v>894</v>
      </c>
      <c r="E1198" s="132">
        <v>75</v>
      </c>
      <c r="F1198" s="132">
        <v>405</v>
      </c>
      <c r="G1198" s="132">
        <v>1400</v>
      </c>
      <c r="H1198" s="634">
        <v>26000</v>
      </c>
    </row>
    <row r="1199" spans="2:8">
      <c r="B1199" s="136" t="s">
        <v>218</v>
      </c>
      <c r="C1199" s="132" t="s">
        <v>889</v>
      </c>
      <c r="D1199" s="132" t="s">
        <v>895</v>
      </c>
      <c r="E1199" s="132">
        <v>150</v>
      </c>
      <c r="F1199" s="132">
        <v>810</v>
      </c>
      <c r="G1199" s="132">
        <v>2800</v>
      </c>
      <c r="H1199" s="634">
        <v>45000</v>
      </c>
    </row>
    <row r="1200" spans="2:8" ht="16" thickBot="1">
      <c r="B1200" s="143" t="s">
        <v>896</v>
      </c>
      <c r="C1200" s="145" t="s">
        <v>897</v>
      </c>
      <c r="D1200" s="145" t="s">
        <v>893</v>
      </c>
      <c r="E1200" s="145">
        <v>58</v>
      </c>
      <c r="F1200" s="145">
        <v>365</v>
      </c>
      <c r="G1200" s="145">
        <v>1600</v>
      </c>
      <c r="H1200" s="635">
        <v>70000</v>
      </c>
    </row>
    <row r="1203" spans="1:113">
      <c r="A1203" s="243"/>
      <c r="B1203" s="243"/>
      <c r="C1203" s="243"/>
      <c r="D1203" s="243"/>
      <c r="E1203" s="243"/>
      <c r="F1203" s="243"/>
      <c r="G1203" s="243"/>
      <c r="H1203" s="243"/>
      <c r="I1203" s="243"/>
      <c r="J1203" s="243"/>
      <c r="K1203" s="243"/>
      <c r="L1203" s="243"/>
      <c r="M1203" s="243"/>
      <c r="N1203" s="243"/>
      <c r="O1203" s="243"/>
      <c r="P1203" s="243"/>
      <c r="Q1203" s="243"/>
      <c r="R1203" s="243"/>
      <c r="S1203" s="243"/>
      <c r="T1203" s="243"/>
      <c r="U1203" s="243"/>
      <c r="V1203" s="243"/>
      <c r="W1203" s="243"/>
      <c r="X1203" s="243"/>
      <c r="Y1203" s="243"/>
      <c r="Z1203" s="243"/>
      <c r="AA1203" s="243"/>
      <c r="AB1203" s="243"/>
      <c r="AC1203" s="243"/>
      <c r="AD1203" s="243"/>
      <c r="AE1203" s="243"/>
      <c r="AF1203" s="243"/>
      <c r="AG1203" s="243"/>
      <c r="AH1203" s="243"/>
      <c r="AI1203" s="243"/>
      <c r="AJ1203" s="243"/>
      <c r="AK1203" s="243"/>
      <c r="AL1203" s="243"/>
      <c r="AM1203" s="243"/>
      <c r="AN1203" s="243"/>
      <c r="AO1203" s="243"/>
      <c r="AP1203" s="243"/>
      <c r="AQ1203" s="243"/>
      <c r="AR1203" s="243"/>
      <c r="AS1203" s="243"/>
      <c r="AT1203" s="243"/>
      <c r="AU1203" s="243"/>
      <c r="AV1203" s="243"/>
      <c r="AW1203" s="243"/>
      <c r="AX1203" s="243"/>
      <c r="AY1203" s="243"/>
      <c r="AZ1203" s="243"/>
      <c r="BA1203" s="243"/>
      <c r="BB1203" s="243"/>
      <c r="BC1203" s="243"/>
      <c r="BD1203" s="243"/>
      <c r="BE1203" s="243"/>
      <c r="BF1203" s="243"/>
      <c r="BG1203" s="243"/>
      <c r="BH1203" s="243"/>
      <c r="BI1203" s="243"/>
      <c r="BJ1203" s="243"/>
      <c r="BK1203" s="243"/>
      <c r="BL1203" s="243"/>
      <c r="BM1203" s="243"/>
      <c r="BN1203" s="243"/>
      <c r="BO1203" s="243"/>
      <c r="BP1203" s="243"/>
      <c r="BQ1203" s="243"/>
      <c r="BR1203" s="243"/>
      <c r="BS1203" s="243"/>
      <c r="BT1203" s="243"/>
      <c r="BU1203" s="243"/>
      <c r="BV1203" s="243"/>
      <c r="BW1203" s="243"/>
      <c r="BX1203" s="243"/>
      <c r="BY1203" s="243"/>
      <c r="BZ1203" s="243"/>
      <c r="CA1203" s="243"/>
      <c r="CB1203" s="243"/>
      <c r="CC1203" s="243"/>
      <c r="CD1203" s="243"/>
      <c r="CE1203" s="243"/>
      <c r="CF1203" s="243"/>
      <c r="CG1203" s="243"/>
      <c r="CH1203" s="243"/>
      <c r="CI1203" s="243"/>
      <c r="CJ1203" s="243"/>
      <c r="CK1203" s="243"/>
      <c r="CL1203" s="243"/>
      <c r="CM1203" s="243"/>
      <c r="CN1203" s="243"/>
      <c r="CO1203" s="243"/>
      <c r="CP1203" s="243"/>
      <c r="CQ1203" s="243"/>
      <c r="CR1203" s="243"/>
      <c r="CS1203" s="243"/>
      <c r="CT1203" s="243"/>
      <c r="CU1203" s="243"/>
      <c r="CV1203" s="243"/>
      <c r="CW1203" s="243"/>
      <c r="CX1203" s="243"/>
      <c r="CY1203" s="243"/>
      <c r="CZ1203" s="243"/>
      <c r="DA1203" s="243"/>
      <c r="DB1203" s="243"/>
      <c r="DC1203" s="243"/>
      <c r="DD1203" s="243"/>
      <c r="DE1203" s="243"/>
      <c r="DF1203" s="243"/>
      <c r="DG1203" s="243"/>
      <c r="DH1203" s="243"/>
      <c r="DI1203" s="243"/>
    </row>
    <row r="1204" spans="1:113">
      <c r="A1204" s="243"/>
      <c r="B1204" s="243"/>
      <c r="C1204" s="243"/>
      <c r="D1204" s="243"/>
      <c r="E1204" s="243"/>
      <c r="F1204" s="243"/>
      <c r="G1204" s="243"/>
      <c r="H1204" s="243"/>
      <c r="I1204" s="243"/>
      <c r="J1204" s="243"/>
      <c r="K1204" s="243"/>
      <c r="L1204" s="243"/>
      <c r="M1204" s="243"/>
      <c r="N1204" s="243"/>
      <c r="O1204" s="243"/>
      <c r="P1204" s="243"/>
      <c r="Q1204" s="243"/>
      <c r="R1204" s="243"/>
      <c r="S1204" s="243"/>
      <c r="T1204" s="243"/>
      <c r="U1204" s="243"/>
      <c r="V1204" s="243"/>
      <c r="W1204" s="243"/>
      <c r="X1204" s="243"/>
      <c r="Y1204" s="243"/>
      <c r="Z1204" s="243"/>
      <c r="AA1204" s="243"/>
      <c r="AB1204" s="243"/>
      <c r="AC1204" s="243"/>
      <c r="AD1204" s="243"/>
      <c r="AE1204" s="243"/>
      <c r="AF1204" s="243"/>
      <c r="AG1204" s="243"/>
      <c r="AH1204" s="243"/>
      <c r="AI1204" s="243"/>
      <c r="AJ1204" s="243"/>
      <c r="AK1204" s="243"/>
      <c r="AL1204" s="243"/>
      <c r="AM1204" s="243"/>
      <c r="AN1204" s="243"/>
      <c r="AO1204" s="243"/>
      <c r="AP1204" s="243"/>
      <c r="AQ1204" s="243"/>
      <c r="AR1204" s="243"/>
      <c r="AS1204" s="243"/>
      <c r="AT1204" s="243"/>
      <c r="AU1204" s="243"/>
      <c r="AV1204" s="243"/>
      <c r="AW1204" s="243"/>
      <c r="AX1204" s="243"/>
      <c r="AY1204" s="243"/>
      <c r="AZ1204" s="243"/>
      <c r="BA1204" s="243"/>
      <c r="BB1204" s="243"/>
      <c r="BC1204" s="243"/>
      <c r="BD1204" s="243"/>
      <c r="BE1204" s="243"/>
      <c r="BF1204" s="243"/>
      <c r="BG1204" s="243"/>
      <c r="BH1204" s="243"/>
      <c r="BI1204" s="243"/>
      <c r="BJ1204" s="243"/>
      <c r="BK1204" s="243"/>
      <c r="BL1204" s="243"/>
      <c r="BM1204" s="243"/>
      <c r="BN1204" s="243"/>
      <c r="BO1204" s="243"/>
      <c r="BP1204" s="243"/>
      <c r="BQ1204" s="243"/>
      <c r="BR1204" s="243"/>
      <c r="BS1204" s="243"/>
      <c r="BT1204" s="243"/>
      <c r="BU1204" s="243"/>
      <c r="BV1204" s="243"/>
      <c r="BW1204" s="243"/>
      <c r="BX1204" s="243"/>
      <c r="BY1204" s="243"/>
      <c r="BZ1204" s="243"/>
      <c r="CA1204" s="243"/>
      <c r="CB1204" s="243"/>
      <c r="CC1204" s="243"/>
      <c r="CD1204" s="243"/>
      <c r="CE1204" s="243"/>
      <c r="CF1204" s="243"/>
      <c r="CG1204" s="243"/>
      <c r="CH1204" s="243"/>
      <c r="CI1204" s="243"/>
      <c r="CJ1204" s="243"/>
      <c r="CK1204" s="243"/>
      <c r="CL1204" s="243"/>
      <c r="CM1204" s="243"/>
      <c r="CN1204" s="243"/>
      <c r="CO1204" s="243"/>
      <c r="CP1204" s="243"/>
      <c r="CQ1204" s="243"/>
      <c r="CR1204" s="243"/>
      <c r="CS1204" s="243"/>
      <c r="CT1204" s="243"/>
      <c r="CU1204" s="243"/>
      <c r="CV1204" s="243"/>
      <c r="CW1204" s="243"/>
      <c r="CX1204" s="243"/>
      <c r="CY1204" s="243"/>
      <c r="CZ1204" s="243"/>
      <c r="DA1204" s="243"/>
      <c r="DB1204" s="243"/>
      <c r="DC1204" s="243"/>
      <c r="DD1204" s="243"/>
      <c r="DE1204" s="243"/>
      <c r="DF1204" s="243"/>
      <c r="DG1204" s="243"/>
      <c r="DH1204" s="243"/>
      <c r="DI1204" s="243"/>
    </row>
    <row r="1205" spans="1:113">
      <c r="A1205" s="243"/>
      <c r="B1205" s="243"/>
      <c r="C1205" s="243"/>
      <c r="D1205" s="243"/>
      <c r="E1205" s="243"/>
      <c r="F1205" s="243"/>
      <c r="G1205" s="243"/>
      <c r="H1205" s="243"/>
      <c r="I1205" s="243"/>
      <c r="J1205" s="243"/>
      <c r="K1205" s="243"/>
      <c r="L1205" s="243"/>
      <c r="M1205" s="243"/>
      <c r="N1205" s="243"/>
      <c r="O1205" s="243"/>
      <c r="P1205" s="243"/>
      <c r="Q1205" s="243"/>
      <c r="R1205" s="243"/>
      <c r="S1205" s="243"/>
      <c r="T1205" s="243"/>
      <c r="U1205" s="243"/>
      <c r="V1205" s="243"/>
      <c r="W1205" s="243"/>
      <c r="X1205" s="243"/>
      <c r="Y1205" s="243"/>
      <c r="Z1205" s="243"/>
      <c r="AA1205" s="243"/>
      <c r="AB1205" s="243"/>
      <c r="AC1205" s="243"/>
      <c r="AD1205" s="243"/>
      <c r="AE1205" s="243"/>
      <c r="AF1205" s="243"/>
      <c r="AG1205" s="243"/>
      <c r="AH1205" s="243"/>
      <c r="AI1205" s="243"/>
      <c r="AJ1205" s="243"/>
      <c r="AK1205" s="243"/>
      <c r="AL1205" s="243"/>
      <c r="AM1205" s="243"/>
      <c r="AN1205" s="243"/>
      <c r="AO1205" s="243"/>
      <c r="AP1205" s="243"/>
      <c r="AQ1205" s="243"/>
      <c r="AR1205" s="243"/>
      <c r="AS1205" s="243"/>
      <c r="AT1205" s="243"/>
      <c r="AU1205" s="243"/>
      <c r="AV1205" s="243"/>
      <c r="AW1205" s="243"/>
      <c r="AX1205" s="243"/>
      <c r="AY1205" s="243"/>
      <c r="AZ1205" s="243"/>
      <c r="BA1205" s="243"/>
      <c r="BB1205" s="243"/>
      <c r="BC1205" s="243"/>
      <c r="BD1205" s="243"/>
      <c r="BE1205" s="243"/>
      <c r="BF1205" s="243"/>
      <c r="BG1205" s="243"/>
      <c r="BH1205" s="243"/>
      <c r="BI1205" s="243"/>
      <c r="BJ1205" s="243"/>
      <c r="BK1205" s="243"/>
      <c r="BL1205" s="243"/>
      <c r="BM1205" s="243"/>
      <c r="BN1205" s="243"/>
      <c r="BO1205" s="243"/>
      <c r="BP1205" s="243"/>
      <c r="BQ1205" s="243"/>
      <c r="BR1205" s="243"/>
      <c r="BS1205" s="243"/>
      <c r="BT1205" s="243"/>
      <c r="BU1205" s="243"/>
      <c r="BV1205" s="243"/>
      <c r="BW1205" s="243"/>
      <c r="BX1205" s="243"/>
      <c r="BY1205" s="243"/>
      <c r="BZ1205" s="243"/>
      <c r="CA1205" s="243"/>
      <c r="CB1205" s="243"/>
      <c r="CC1205" s="243"/>
      <c r="CD1205" s="243"/>
      <c r="CE1205" s="243"/>
      <c r="CF1205" s="243"/>
      <c r="CG1205" s="243"/>
      <c r="CH1205" s="243"/>
      <c r="CI1205" s="243"/>
      <c r="CJ1205" s="243"/>
      <c r="CK1205" s="243"/>
      <c r="CL1205" s="243"/>
      <c r="CM1205" s="243"/>
      <c r="CN1205" s="243"/>
      <c r="CO1205" s="243"/>
      <c r="CP1205" s="243"/>
      <c r="CQ1205" s="243"/>
      <c r="CR1205" s="243"/>
      <c r="CS1205" s="243"/>
      <c r="CT1205" s="243"/>
      <c r="CU1205" s="243"/>
      <c r="CV1205" s="243"/>
      <c r="CW1205" s="243"/>
      <c r="CX1205" s="243"/>
      <c r="CY1205" s="243"/>
      <c r="CZ1205" s="243"/>
      <c r="DA1205" s="243"/>
      <c r="DB1205" s="243"/>
      <c r="DC1205" s="243"/>
      <c r="DD1205" s="243"/>
      <c r="DE1205" s="243"/>
      <c r="DF1205" s="243"/>
      <c r="DG1205" s="243"/>
      <c r="DH1205" s="243"/>
      <c r="DI1205" s="243"/>
    </row>
    <row r="1206" spans="1:113" s="76" customFormat="1">
      <c r="B1206" s="636"/>
    </row>
    <row r="1207" spans="1:113" ht="19">
      <c r="A1207" s="240" t="s">
        <v>898</v>
      </c>
    </row>
    <row r="1208" spans="1:113" ht="15" customHeight="1">
      <c r="B1208" s="240"/>
    </row>
    <row r="1209" spans="1:113" ht="16" thickBot="1">
      <c r="B1209" s="244" t="s">
        <v>4</v>
      </c>
      <c r="E1209" s="132"/>
      <c r="F1209" s="637"/>
      <c r="H1209" s="132"/>
      <c r="I1209" s="132"/>
    </row>
    <row r="1210" spans="1:113">
      <c r="B1210" s="368" t="s">
        <v>899</v>
      </c>
      <c r="C1210" s="509"/>
      <c r="D1210" s="509"/>
      <c r="E1210" s="509"/>
      <c r="F1210" s="509"/>
      <c r="G1210" s="509"/>
      <c r="H1210" s="509"/>
      <c r="I1210" s="509"/>
      <c r="J1210" s="509"/>
      <c r="K1210" s="509"/>
      <c r="L1210" s="501"/>
    </row>
    <row r="1211" spans="1:113" ht="30.5" customHeight="1">
      <c r="B1211" s="638"/>
      <c r="C1211" s="639" t="s">
        <v>10</v>
      </c>
      <c r="D1211" s="640" t="s">
        <v>900</v>
      </c>
      <c r="E1211" s="640" t="s">
        <v>901</v>
      </c>
      <c r="F1211" s="640" t="s">
        <v>902</v>
      </c>
      <c r="G1211" s="641" t="s">
        <v>903</v>
      </c>
      <c r="H1211" s="132"/>
      <c r="I1211" s="642" t="s">
        <v>904</v>
      </c>
      <c r="J1211" s="132"/>
      <c r="K1211" s="132"/>
      <c r="L1211" s="142"/>
    </row>
    <row r="1212" spans="1:113">
      <c r="B1212" s="643" t="s">
        <v>905</v>
      </c>
      <c r="C1212" s="342" t="s">
        <v>906</v>
      </c>
      <c r="D1212" s="644">
        <f>$D$1229*$L$1217</f>
        <v>75000</v>
      </c>
      <c r="E1212" s="644">
        <f>$D$1229*$L$1218</f>
        <v>75000</v>
      </c>
      <c r="F1212" s="644">
        <f>$D$1228*$L$1217</f>
        <v>95000</v>
      </c>
      <c r="G1212" s="645">
        <f>$D$1228*$L$1218</f>
        <v>95000</v>
      </c>
      <c r="H1212" s="132"/>
      <c r="I1212" s="646" t="s">
        <v>900</v>
      </c>
      <c r="J1212" s="132"/>
      <c r="K1212" s="132"/>
      <c r="L1212" s="142"/>
    </row>
    <row r="1213" spans="1:113">
      <c r="B1213" s="84" t="s">
        <v>907</v>
      </c>
      <c r="C1213" s="132" t="s">
        <v>906</v>
      </c>
      <c r="D1213" s="553">
        <f>$D$1230*$L$1219</f>
        <v>96000</v>
      </c>
      <c r="E1213" s="553">
        <f>$D$1230*$L$1220</f>
        <v>16000</v>
      </c>
      <c r="F1213" s="553">
        <f>$D$1230*$L$1219</f>
        <v>96000</v>
      </c>
      <c r="G1213" s="647">
        <f>$D$1230*$L$1220</f>
        <v>16000</v>
      </c>
      <c r="H1213" s="132"/>
      <c r="I1213" s="646" t="s">
        <v>901</v>
      </c>
      <c r="J1213" s="132"/>
      <c r="K1213" s="132"/>
      <c r="L1213" s="142"/>
    </row>
    <row r="1214" spans="1:113">
      <c r="B1214" s="84" t="s">
        <v>908</v>
      </c>
      <c r="C1214" s="132"/>
      <c r="D1214" s="553"/>
      <c r="E1214" s="553"/>
      <c r="F1214" s="553"/>
      <c r="G1214" s="647"/>
      <c r="H1214" s="132"/>
      <c r="I1214" s="646" t="s">
        <v>902</v>
      </c>
      <c r="J1214" s="132"/>
      <c r="K1214" s="132"/>
      <c r="L1214" s="142"/>
    </row>
    <row r="1215" spans="1:113">
      <c r="B1215" s="84" t="s">
        <v>343</v>
      </c>
      <c r="C1215" s="132" t="s">
        <v>906</v>
      </c>
      <c r="D1215" s="553">
        <f>$D$1231*$L$1219</f>
        <v>1992</v>
      </c>
      <c r="E1215" s="553">
        <f>$D$1231*$L$1220</f>
        <v>332</v>
      </c>
      <c r="F1215" s="553">
        <f>$D$1231*$L$1219</f>
        <v>1992</v>
      </c>
      <c r="G1215" s="647">
        <f>$D$1231*$L$1220</f>
        <v>332</v>
      </c>
      <c r="H1215" s="132"/>
      <c r="I1215" s="132" t="s">
        <v>903</v>
      </c>
      <c r="J1215" s="132"/>
      <c r="K1215" s="132"/>
      <c r="L1215" s="142"/>
    </row>
    <row r="1216" spans="1:113">
      <c r="B1216" s="648" t="s">
        <v>909</v>
      </c>
      <c r="C1216" s="338"/>
      <c r="D1216" s="649"/>
      <c r="E1216" s="649"/>
      <c r="F1216" s="649"/>
      <c r="G1216" s="650"/>
      <c r="H1216" s="132"/>
      <c r="I1216" s="132"/>
      <c r="J1216" s="132"/>
      <c r="K1216" s="132"/>
      <c r="L1216" s="142"/>
    </row>
    <row r="1217" spans="2:12" ht="16">
      <c r="B1217" s="651" t="s">
        <v>910</v>
      </c>
      <c r="C1217" s="338"/>
      <c r="D1217" s="652">
        <f>SUM(D1212:D1216)</f>
        <v>172992</v>
      </c>
      <c r="E1217" s="652">
        <f>SUM(E1212:E1216)</f>
        <v>91332</v>
      </c>
      <c r="F1217" s="652">
        <f>SUM(F1212:F1216)</f>
        <v>192992</v>
      </c>
      <c r="G1217" s="653">
        <f>SUM(G1212:G1216)</f>
        <v>111332</v>
      </c>
      <c r="H1217" s="132"/>
      <c r="I1217" s="654" t="s">
        <v>911</v>
      </c>
      <c r="J1217" s="655"/>
      <c r="K1217" s="132"/>
      <c r="L1217" s="656">
        <v>1</v>
      </c>
    </row>
    <row r="1218" spans="2:12" ht="16">
      <c r="B1218" s="657"/>
      <c r="C1218" s="132"/>
      <c r="D1218" s="658"/>
      <c r="E1218" s="658"/>
      <c r="F1218" s="658"/>
      <c r="G1218" s="658"/>
      <c r="H1218" s="132"/>
      <c r="I1218" s="654" t="s">
        <v>912</v>
      </c>
      <c r="J1218" s="132"/>
      <c r="K1218" s="132"/>
      <c r="L1218" s="656">
        <v>1</v>
      </c>
    </row>
    <row r="1219" spans="2:12" ht="16">
      <c r="B1219" s="136" t="s">
        <v>913</v>
      </c>
      <c r="C1219" s="132"/>
      <c r="D1219" s="658"/>
      <c r="E1219" s="658"/>
      <c r="F1219" s="658"/>
      <c r="G1219" s="658"/>
      <c r="H1219" s="132"/>
      <c r="I1219" s="654" t="s">
        <v>914</v>
      </c>
      <c r="J1219" s="659"/>
      <c r="K1219" s="132"/>
      <c r="L1219" s="656">
        <v>6</v>
      </c>
    </row>
    <row r="1220" spans="2:12" ht="16">
      <c r="B1220" s="638"/>
      <c r="C1220" s="639" t="s">
        <v>10</v>
      </c>
      <c r="D1220" s="660"/>
      <c r="E1220" s="660" t="s">
        <v>901</v>
      </c>
      <c r="F1220" s="660"/>
      <c r="G1220" s="661" t="s">
        <v>903</v>
      </c>
      <c r="H1220" s="132"/>
      <c r="I1220" s="654" t="s">
        <v>915</v>
      </c>
      <c r="J1220" s="132"/>
      <c r="K1220" s="132"/>
      <c r="L1220" s="656">
        <v>1</v>
      </c>
    </row>
    <row r="1221" spans="2:12">
      <c r="B1221" s="341" t="s">
        <v>916</v>
      </c>
      <c r="C1221" s="342"/>
      <c r="D1221" s="342"/>
      <c r="E1221" s="342"/>
      <c r="F1221" s="342"/>
      <c r="G1221" s="662"/>
      <c r="H1221" s="132"/>
      <c r="I1221" s="132"/>
      <c r="J1221" s="132"/>
      <c r="K1221" s="132"/>
      <c r="L1221" s="142"/>
    </row>
    <row r="1222" spans="2:12">
      <c r="B1222" s="337" t="s">
        <v>917</v>
      </c>
      <c r="C1222" s="349"/>
      <c r="D1222" s="338"/>
      <c r="E1222" s="338"/>
      <c r="F1222" s="338"/>
      <c r="G1222" s="663"/>
      <c r="H1222" s="132"/>
      <c r="I1222" s="132"/>
      <c r="J1222" s="132"/>
      <c r="K1222" s="132"/>
      <c r="L1222" s="142"/>
    </row>
    <row r="1223" spans="2:12">
      <c r="B1223" s="664" t="s">
        <v>918</v>
      </c>
      <c r="C1223" s="338" t="s">
        <v>919</v>
      </c>
      <c r="D1223" s="338"/>
      <c r="E1223" s="652">
        <f>AVERAGE(0.05,0.08)*E1217</f>
        <v>5936.58</v>
      </c>
      <c r="F1223" s="338"/>
      <c r="G1223" s="665">
        <f>AVERAGE(0.05,0.08)*G1217</f>
        <v>7236.58</v>
      </c>
      <c r="H1223" s="132"/>
      <c r="I1223" s="132"/>
      <c r="J1223" s="132"/>
      <c r="K1223" s="132"/>
      <c r="L1223" s="142"/>
    </row>
    <row r="1224" spans="2:12">
      <c r="B1224" s="136"/>
      <c r="C1224" s="132"/>
      <c r="D1224" s="132"/>
      <c r="E1224" s="132"/>
      <c r="F1224" s="132"/>
      <c r="G1224" s="132"/>
      <c r="H1224" s="132"/>
      <c r="I1224" s="132"/>
      <c r="J1224" s="132"/>
      <c r="K1224" s="132"/>
      <c r="L1224" s="142"/>
    </row>
    <row r="1225" spans="2:12">
      <c r="B1225" s="84" t="s">
        <v>920</v>
      </c>
      <c r="C1225" s="132"/>
      <c r="D1225" s="658"/>
      <c r="E1225" s="658"/>
      <c r="F1225" s="658"/>
      <c r="G1225" s="132"/>
      <c r="H1225" s="132"/>
      <c r="I1225" s="132"/>
      <c r="J1225" s="132"/>
      <c r="K1225" s="132"/>
      <c r="L1225" s="142"/>
    </row>
    <row r="1226" spans="2:12">
      <c r="B1226" s="341"/>
      <c r="C1226" s="342"/>
      <c r="D1226" s="666" t="s">
        <v>921</v>
      </c>
      <c r="E1226" s="667" t="s">
        <v>922</v>
      </c>
      <c r="F1226" s="668" t="s">
        <v>365</v>
      </c>
      <c r="G1226" s="132"/>
      <c r="H1226" s="132"/>
      <c r="I1226" s="132"/>
      <c r="J1226" s="132"/>
      <c r="K1226" s="132"/>
      <c r="L1226" s="142"/>
    </row>
    <row r="1227" spans="2:12">
      <c r="B1227" s="84"/>
      <c r="C1227" s="525" t="s">
        <v>906</v>
      </c>
      <c r="D1227" s="132" t="s">
        <v>923</v>
      </c>
      <c r="E1227" s="325" t="s">
        <v>923</v>
      </c>
      <c r="F1227" s="272" t="s">
        <v>923</v>
      </c>
      <c r="G1227" s="132"/>
      <c r="H1227" s="132"/>
      <c r="I1227" s="132"/>
      <c r="J1227" s="132"/>
      <c r="K1227" s="132"/>
      <c r="L1227" s="142"/>
    </row>
    <row r="1228" spans="2:12">
      <c r="B1228" s="643" t="s">
        <v>924</v>
      </c>
      <c r="C1228" s="156"/>
      <c r="D1228" s="669">
        <v>95000</v>
      </c>
      <c r="E1228" s="670">
        <v>95000</v>
      </c>
      <c r="F1228" s="671">
        <v>95000</v>
      </c>
      <c r="G1228" s="132"/>
      <c r="H1228" s="132"/>
      <c r="I1228" s="132"/>
      <c r="J1228" s="132"/>
      <c r="K1228" s="132"/>
      <c r="L1228" s="142"/>
    </row>
    <row r="1229" spans="2:12">
      <c r="B1229" s="84" t="s">
        <v>925</v>
      </c>
      <c r="C1229" s="160"/>
      <c r="D1229" s="672">
        <v>75000</v>
      </c>
      <c r="E1229" s="673">
        <v>75000</v>
      </c>
      <c r="F1229" s="674">
        <v>75000</v>
      </c>
      <c r="G1229" s="132"/>
      <c r="H1229" s="132"/>
      <c r="I1229" s="132"/>
      <c r="J1229" s="132"/>
      <c r="K1229" s="132"/>
      <c r="L1229" s="142"/>
    </row>
    <row r="1230" spans="2:12">
      <c r="B1230" s="84" t="s">
        <v>926</v>
      </c>
      <c r="C1230" s="160"/>
      <c r="D1230" s="672">
        <v>16000</v>
      </c>
      <c r="E1230" s="673">
        <v>16660</v>
      </c>
      <c r="F1230" s="674">
        <v>23500</v>
      </c>
      <c r="G1230" s="132"/>
      <c r="H1230" s="132"/>
      <c r="I1230" s="132"/>
      <c r="J1230" s="132"/>
      <c r="K1230" s="132"/>
      <c r="L1230" s="142"/>
    </row>
    <row r="1231" spans="2:12">
      <c r="B1231" s="84" t="s">
        <v>927</v>
      </c>
      <c r="C1231" s="160" t="s">
        <v>928</v>
      </c>
      <c r="D1231" s="672">
        <f>SUM(D1232:D1237)</f>
        <v>332</v>
      </c>
      <c r="E1231" s="673" t="s">
        <v>800</v>
      </c>
      <c r="F1231" s="674">
        <f>SUM(F1232:F1237)</f>
        <v>926</v>
      </c>
      <c r="G1231" s="132"/>
      <c r="H1231" s="132"/>
      <c r="I1231" s="132"/>
      <c r="J1231" s="132"/>
      <c r="K1231" s="132"/>
      <c r="L1231" s="142"/>
    </row>
    <row r="1232" spans="2:12">
      <c r="B1232" s="675" t="s">
        <v>929</v>
      </c>
      <c r="C1232" s="342"/>
      <c r="D1232" s="676">
        <v>50</v>
      </c>
      <c r="E1232" s="677" t="s">
        <v>800</v>
      </c>
      <c r="F1232" s="678">
        <v>155</v>
      </c>
      <c r="G1232" s="132"/>
      <c r="H1232" s="132"/>
      <c r="I1232" s="132"/>
      <c r="J1232" s="132"/>
      <c r="K1232" s="132"/>
      <c r="L1232" s="142"/>
    </row>
    <row r="1233" spans="2:12">
      <c r="B1233" s="679" t="s">
        <v>930</v>
      </c>
      <c r="C1233" s="132"/>
      <c r="D1233" s="680">
        <v>35</v>
      </c>
      <c r="E1233" s="681">
        <v>35</v>
      </c>
      <c r="F1233" s="682">
        <v>100</v>
      </c>
      <c r="G1233" s="132"/>
      <c r="H1233" s="132"/>
      <c r="I1233" s="132"/>
      <c r="J1233" s="132"/>
      <c r="K1233" s="132"/>
      <c r="L1233" s="142"/>
    </row>
    <row r="1234" spans="2:12">
      <c r="B1234" s="679" t="s">
        <v>931</v>
      </c>
      <c r="C1234" s="132"/>
      <c r="D1234" s="680">
        <v>30</v>
      </c>
      <c r="E1234" s="681">
        <v>30</v>
      </c>
      <c r="F1234" s="682">
        <v>56</v>
      </c>
      <c r="G1234" s="132"/>
      <c r="H1234" s="132"/>
      <c r="I1234" s="132"/>
      <c r="J1234" s="132"/>
      <c r="K1234" s="132"/>
      <c r="L1234" s="142"/>
    </row>
    <row r="1235" spans="2:12">
      <c r="B1235" s="679" t="s">
        <v>932</v>
      </c>
      <c r="C1235" s="132"/>
      <c r="D1235" s="680">
        <v>90</v>
      </c>
      <c r="E1235" s="681" t="s">
        <v>800</v>
      </c>
      <c r="F1235" s="682">
        <v>357</v>
      </c>
      <c r="G1235" s="132"/>
      <c r="H1235" s="132"/>
      <c r="I1235" s="132"/>
      <c r="J1235" s="132"/>
      <c r="K1235" s="132"/>
      <c r="L1235" s="142"/>
    </row>
    <row r="1236" spans="2:12">
      <c r="B1236" s="679" t="s">
        <v>933</v>
      </c>
      <c r="C1236" s="132"/>
      <c r="D1236" s="680">
        <v>32</v>
      </c>
      <c r="E1236" s="681" t="s">
        <v>800</v>
      </c>
      <c r="F1236" s="682">
        <v>138</v>
      </c>
      <c r="G1236" s="132"/>
      <c r="H1236" s="132"/>
      <c r="I1236" s="132"/>
      <c r="J1236" s="132"/>
      <c r="K1236" s="132"/>
      <c r="L1236" s="142"/>
    </row>
    <row r="1237" spans="2:12">
      <c r="B1237" s="683" t="s">
        <v>934</v>
      </c>
      <c r="C1237" s="338"/>
      <c r="D1237" s="684">
        <v>95</v>
      </c>
      <c r="E1237" s="685" t="s">
        <v>800</v>
      </c>
      <c r="F1237" s="686">
        <v>120</v>
      </c>
      <c r="G1237" s="132"/>
      <c r="H1237" s="132"/>
      <c r="I1237" s="132"/>
      <c r="J1237" s="132"/>
      <c r="K1237" s="132"/>
      <c r="L1237" s="142"/>
    </row>
    <row r="1238" spans="2:12">
      <c r="B1238" s="657" t="s">
        <v>935</v>
      </c>
      <c r="C1238" s="249"/>
      <c r="D1238" s="658">
        <f>SUM(D1228:D1230)</f>
        <v>186000</v>
      </c>
      <c r="E1238" s="687" t="s">
        <v>800</v>
      </c>
      <c r="F1238" s="688">
        <f>SUM(F1228:F1230)</f>
        <v>193500</v>
      </c>
      <c r="G1238" s="132"/>
      <c r="H1238" s="132"/>
      <c r="I1238" s="132"/>
      <c r="J1238" s="132"/>
      <c r="K1238" s="132"/>
      <c r="L1238" s="142"/>
    </row>
    <row r="1239" spans="2:12">
      <c r="B1239" s="651" t="s">
        <v>936</v>
      </c>
      <c r="C1239" s="689"/>
      <c r="D1239" s="652">
        <f>SUM(D1229:D1231)</f>
        <v>91332</v>
      </c>
      <c r="E1239" s="690" t="s">
        <v>800</v>
      </c>
      <c r="F1239" s="691">
        <f>SUM(F1229:F1231)</f>
        <v>99426</v>
      </c>
      <c r="G1239" s="132"/>
      <c r="H1239" s="132"/>
      <c r="I1239" s="132"/>
      <c r="J1239" s="132"/>
      <c r="K1239" s="132"/>
      <c r="L1239" s="142"/>
    </row>
    <row r="1240" spans="2:12">
      <c r="B1240" s="657"/>
      <c r="C1240" s="132"/>
      <c r="D1240" s="658"/>
      <c r="E1240" s="658"/>
      <c r="F1240" s="658"/>
      <c r="G1240" s="132"/>
      <c r="H1240" s="132"/>
      <c r="I1240" s="132"/>
      <c r="J1240" s="132"/>
      <c r="K1240" s="132"/>
      <c r="L1240" s="142"/>
    </row>
    <row r="1241" spans="2:12">
      <c r="B1241" s="692" t="s">
        <v>910</v>
      </c>
      <c r="C1241" s="325"/>
      <c r="D1241" s="325"/>
      <c r="E1241" s="325"/>
      <c r="F1241" s="658"/>
      <c r="G1241" s="132"/>
      <c r="H1241" s="132"/>
      <c r="I1241" s="132"/>
      <c r="J1241" s="132"/>
      <c r="K1241" s="132"/>
      <c r="L1241" s="142"/>
    </row>
    <row r="1242" spans="2:12">
      <c r="B1242" s="693"/>
      <c r="C1242" s="542" t="s">
        <v>10</v>
      </c>
      <c r="D1242" s="542" t="s">
        <v>900</v>
      </c>
      <c r="E1242" s="585" t="s">
        <v>901</v>
      </c>
      <c r="F1242" s="658"/>
      <c r="G1242" s="132"/>
      <c r="H1242" s="132"/>
      <c r="I1242" s="132"/>
      <c r="J1242" s="132"/>
      <c r="K1242" s="132"/>
      <c r="L1242" s="142"/>
    </row>
    <row r="1243" spans="2:12">
      <c r="B1243" s="694" t="s">
        <v>910</v>
      </c>
      <c r="C1243" s="695" t="s">
        <v>937</v>
      </c>
      <c r="D1243" s="696">
        <v>230000</v>
      </c>
      <c r="E1243" s="697">
        <v>90000</v>
      </c>
      <c r="F1243" s="658"/>
      <c r="G1243" s="658"/>
      <c r="H1243" s="132"/>
      <c r="I1243" s="132"/>
      <c r="J1243" s="132"/>
      <c r="K1243" s="132"/>
      <c r="L1243" s="142"/>
    </row>
    <row r="1244" spans="2:12">
      <c r="B1244" s="643"/>
      <c r="C1244" s="342"/>
      <c r="D1244" s="553"/>
      <c r="E1244" s="553"/>
      <c r="F1244" s="658"/>
      <c r="G1244" s="658"/>
      <c r="H1244" s="132"/>
      <c r="I1244" s="132"/>
      <c r="J1244" s="132"/>
      <c r="K1244" s="132"/>
      <c r="L1244" s="142"/>
    </row>
    <row r="1245" spans="2:12" ht="16">
      <c r="B1245" s="698" t="s">
        <v>938</v>
      </c>
      <c r="C1245" s="699" t="s">
        <v>906</v>
      </c>
      <c r="D1245" s="687"/>
      <c r="E1245" s="658"/>
      <c r="F1245" s="658"/>
      <c r="G1245" s="658"/>
      <c r="H1245" s="132"/>
      <c r="I1245" s="132"/>
      <c r="J1245" s="132"/>
      <c r="K1245" s="132"/>
      <c r="L1245" s="142"/>
    </row>
    <row r="1246" spans="2:12">
      <c r="B1246" s="541" t="s">
        <v>909</v>
      </c>
      <c r="C1246" s="700"/>
      <c r="D1246" s="701">
        <v>922980</v>
      </c>
      <c r="E1246" s="658"/>
      <c r="F1246" s="658"/>
      <c r="G1246" s="658"/>
      <c r="H1246" s="132"/>
      <c r="I1246" s="132"/>
      <c r="J1246" s="132"/>
      <c r="K1246" s="132"/>
      <c r="L1246" s="142"/>
    </row>
    <row r="1247" spans="2:12">
      <c r="B1247" s="271" t="s">
        <v>939</v>
      </c>
      <c r="C1247" s="550"/>
      <c r="D1247" s="702">
        <v>435993</v>
      </c>
      <c r="E1247" s="658"/>
      <c r="F1247" s="658"/>
      <c r="G1247" s="658"/>
      <c r="H1247" s="132"/>
      <c r="I1247" s="132"/>
      <c r="J1247" s="132"/>
      <c r="K1247" s="132"/>
      <c r="L1247" s="142"/>
    </row>
    <row r="1248" spans="2:12">
      <c r="B1248" s="271" t="s">
        <v>940</v>
      </c>
      <c r="C1248" s="550"/>
      <c r="D1248" s="702">
        <v>47689</v>
      </c>
      <c r="E1248" s="658"/>
      <c r="F1248" s="658"/>
      <c r="G1248" s="658"/>
      <c r="H1248" s="132"/>
      <c r="I1248" s="132"/>
      <c r="J1248" s="132"/>
      <c r="K1248" s="132"/>
      <c r="L1248" s="142"/>
    </row>
    <row r="1249" spans="2:12">
      <c r="B1249" s="271" t="s">
        <v>941</v>
      </c>
      <c r="C1249" s="550"/>
      <c r="D1249" s="702">
        <v>1042563</v>
      </c>
      <c r="E1249" s="658"/>
      <c r="F1249" s="658"/>
      <c r="G1249" s="658"/>
      <c r="H1249" s="132"/>
      <c r="I1249" s="132"/>
      <c r="J1249" s="132"/>
      <c r="K1249" s="132"/>
      <c r="L1249" s="142"/>
    </row>
    <row r="1250" spans="2:12">
      <c r="B1250" s="271" t="s">
        <v>942</v>
      </c>
      <c r="C1250" s="550"/>
      <c r="D1250" s="702">
        <v>197801</v>
      </c>
      <c r="E1250" s="658"/>
      <c r="F1250" s="658"/>
      <c r="G1250" s="658"/>
      <c r="H1250" s="132"/>
      <c r="I1250" s="132"/>
      <c r="J1250" s="132"/>
      <c r="K1250" s="132"/>
      <c r="L1250" s="142"/>
    </row>
    <row r="1251" spans="2:12">
      <c r="B1251" s="271" t="s">
        <v>943</v>
      </c>
      <c r="C1251" s="550"/>
      <c r="D1251" s="702">
        <v>187517</v>
      </c>
      <c r="E1251" s="658"/>
      <c r="F1251" s="658"/>
      <c r="G1251" s="658"/>
      <c r="H1251" s="132"/>
      <c r="I1251" s="132"/>
      <c r="J1251" s="132"/>
      <c r="K1251" s="132"/>
      <c r="L1251" s="142"/>
    </row>
    <row r="1252" spans="2:12">
      <c r="B1252" s="271" t="s">
        <v>944</v>
      </c>
      <c r="C1252" s="550"/>
      <c r="D1252" s="702">
        <v>323918</v>
      </c>
      <c r="E1252" s="658"/>
      <c r="F1252" s="658"/>
      <c r="G1252" s="658"/>
      <c r="H1252" s="132"/>
      <c r="I1252" s="132"/>
      <c r="J1252" s="132"/>
      <c r="K1252" s="132"/>
      <c r="L1252" s="142"/>
    </row>
    <row r="1253" spans="2:12">
      <c r="B1253" s="271" t="s">
        <v>945</v>
      </c>
      <c r="C1253" s="550"/>
      <c r="D1253" s="702">
        <v>64967</v>
      </c>
      <c r="E1253" s="658"/>
      <c r="F1253" s="658"/>
      <c r="G1253" s="658"/>
      <c r="H1253" s="132"/>
      <c r="I1253" s="132"/>
      <c r="J1253" s="132"/>
      <c r="K1253" s="132"/>
      <c r="L1253" s="142"/>
    </row>
    <row r="1254" spans="2:12">
      <c r="B1254" s="544" t="s">
        <v>946</v>
      </c>
      <c r="C1254" s="703"/>
      <c r="D1254" s="704">
        <v>76639</v>
      </c>
      <c r="E1254" s="658"/>
      <c r="F1254" s="658"/>
      <c r="G1254" s="658"/>
      <c r="H1254" s="132"/>
      <c r="I1254" s="132"/>
      <c r="J1254" s="132"/>
      <c r="K1254" s="132"/>
      <c r="L1254" s="142"/>
    </row>
    <row r="1255" spans="2:12">
      <c r="B1255" s="541" t="s">
        <v>947</v>
      </c>
      <c r="C1255" s="705"/>
      <c r="D1255" s="671">
        <f>SUM(D1246:D1254)</f>
        <v>3300067</v>
      </c>
      <c r="E1255" s="658"/>
      <c r="F1255" s="658"/>
      <c r="G1255" s="658"/>
      <c r="H1255" s="132"/>
      <c r="I1255" s="132"/>
      <c r="J1255" s="132"/>
      <c r="K1255" s="132"/>
      <c r="L1255" s="142"/>
    </row>
    <row r="1256" spans="2:12">
      <c r="B1256" s="271" t="s">
        <v>948</v>
      </c>
      <c r="C1256" s="687"/>
      <c r="D1256" s="674">
        <f>SUM(D1246:D1248)</f>
        <v>1406662</v>
      </c>
      <c r="E1256" s="132"/>
      <c r="F1256" s="132"/>
      <c r="G1256" s="132"/>
      <c r="H1256" s="132"/>
      <c r="I1256" s="132"/>
      <c r="J1256" s="132"/>
      <c r="K1256" s="132"/>
      <c r="L1256" s="142"/>
    </row>
    <row r="1257" spans="2:12">
      <c r="B1257" s="706" t="s">
        <v>949</v>
      </c>
      <c r="C1257" s="690"/>
      <c r="D1257" s="691">
        <f>SUM(D1247:D1248)</f>
        <v>483682</v>
      </c>
      <c r="E1257" s="132"/>
      <c r="F1257" s="132"/>
      <c r="G1257" s="132"/>
      <c r="H1257" s="132"/>
      <c r="I1257" s="132"/>
      <c r="J1257" s="132"/>
      <c r="K1257" s="132"/>
      <c r="L1257" s="142"/>
    </row>
    <row r="1258" spans="2:12" ht="16" thickBot="1">
      <c r="B1258" s="707"/>
      <c r="C1258" s="708"/>
      <c r="D1258" s="708"/>
      <c r="E1258" s="145"/>
      <c r="F1258" s="145"/>
      <c r="G1258" s="145"/>
      <c r="H1258" s="145"/>
      <c r="I1258" s="145"/>
      <c r="J1258" s="145"/>
      <c r="K1258" s="145"/>
      <c r="L1258" s="146"/>
    </row>
    <row r="1259" spans="2:12">
      <c r="B1259" s="249"/>
      <c r="C1259" s="658"/>
      <c r="D1259" s="658"/>
      <c r="E1259" s="132"/>
      <c r="F1259" s="132"/>
      <c r="G1259" s="132"/>
      <c r="H1259" s="132"/>
      <c r="I1259" s="132"/>
      <c r="J1259" s="132"/>
      <c r="K1259" s="132"/>
      <c r="L1259" s="132"/>
    </row>
    <row r="1260" spans="2:12" ht="16" thickBot="1">
      <c r="B1260" s="244" t="s">
        <v>5</v>
      </c>
      <c r="E1260" s="132"/>
      <c r="F1260" s="637"/>
      <c r="H1260" s="132"/>
      <c r="I1260" s="132"/>
    </row>
    <row r="1261" spans="2:12">
      <c r="B1261" s="368" t="s">
        <v>950</v>
      </c>
      <c r="C1261" s="509"/>
      <c r="D1261" s="509"/>
      <c r="E1261" s="509"/>
      <c r="F1261" s="509"/>
      <c r="G1261" s="509"/>
      <c r="H1261" s="509"/>
      <c r="I1261" s="509"/>
      <c r="J1261" s="509"/>
      <c r="K1261" s="509"/>
      <c r="L1261" s="501"/>
    </row>
    <row r="1262" spans="2:12" ht="30.5" customHeight="1">
      <c r="B1262" s="638"/>
      <c r="C1262" s="639" t="s">
        <v>10</v>
      </c>
      <c r="D1262" s="640" t="s">
        <v>900</v>
      </c>
      <c r="E1262" s="640" t="s">
        <v>901</v>
      </c>
      <c r="F1262" s="640" t="s">
        <v>902</v>
      </c>
      <c r="G1262" s="641" t="s">
        <v>903</v>
      </c>
      <c r="H1262" s="132"/>
      <c r="I1262" s="642" t="s">
        <v>951</v>
      </c>
      <c r="J1262" s="132"/>
      <c r="K1262" s="132"/>
      <c r="L1262" s="142"/>
    </row>
    <row r="1263" spans="2:12">
      <c r="B1263" s="643" t="s">
        <v>905</v>
      </c>
      <c r="C1263" s="342" t="s">
        <v>952</v>
      </c>
      <c r="D1263" s="644">
        <f>$D$1280*$L$1268</f>
        <v>75000</v>
      </c>
      <c r="E1263" s="644">
        <f>$D$1280*$L$1269</f>
        <v>75000</v>
      </c>
      <c r="F1263" s="644">
        <f>$D$1279*$L$1268</f>
        <v>95000</v>
      </c>
      <c r="G1263" s="645">
        <f>$D$1279*$L$1269</f>
        <v>95000</v>
      </c>
      <c r="H1263" s="132"/>
      <c r="I1263" s="646" t="s">
        <v>900</v>
      </c>
      <c r="J1263" s="132"/>
      <c r="K1263" s="132"/>
      <c r="L1263" s="142"/>
    </row>
    <row r="1264" spans="2:12">
      <c r="B1264" s="84" t="s">
        <v>907</v>
      </c>
      <c r="C1264" s="132" t="s">
        <v>952</v>
      </c>
      <c r="D1264" s="553">
        <f>$D$1281*$L$1270</f>
        <v>96000</v>
      </c>
      <c r="E1264" s="553">
        <f>$D$1281*$L$1271</f>
        <v>16000</v>
      </c>
      <c r="F1264" s="553">
        <f>$D$1281*$L$1270</f>
        <v>96000</v>
      </c>
      <c r="G1264" s="647">
        <f>$D$1281*$L$1271</f>
        <v>16000</v>
      </c>
      <c r="H1264" s="132"/>
      <c r="I1264" s="646" t="s">
        <v>901</v>
      </c>
      <c r="J1264" s="132"/>
      <c r="K1264" s="132"/>
      <c r="L1264" s="142"/>
    </row>
    <row r="1265" spans="2:12">
      <c r="B1265" s="84" t="s">
        <v>908</v>
      </c>
      <c r="C1265" s="132"/>
      <c r="D1265" s="553"/>
      <c r="E1265" s="553"/>
      <c r="F1265" s="553"/>
      <c r="G1265" s="647"/>
      <c r="H1265" s="132"/>
      <c r="I1265" s="646" t="s">
        <v>902</v>
      </c>
      <c r="J1265" s="132"/>
      <c r="K1265" s="132"/>
      <c r="L1265" s="142"/>
    </row>
    <row r="1266" spans="2:12">
      <c r="B1266" s="84" t="s">
        <v>343</v>
      </c>
      <c r="C1266" s="132" t="s">
        <v>952</v>
      </c>
      <c r="D1266" s="553">
        <f>$D$1282*$L$1270</f>
        <v>1992</v>
      </c>
      <c r="E1266" s="553">
        <f>$D$1282*$L$1271</f>
        <v>332</v>
      </c>
      <c r="F1266" s="553">
        <f>$D$1282*$L$1270</f>
        <v>1992</v>
      </c>
      <c r="G1266" s="647">
        <f>$D$1282*$L$1271</f>
        <v>332</v>
      </c>
      <c r="H1266" s="132"/>
      <c r="I1266" s="132" t="s">
        <v>903</v>
      </c>
      <c r="J1266" s="132"/>
      <c r="K1266" s="132"/>
      <c r="L1266" s="142"/>
    </row>
    <row r="1267" spans="2:12">
      <c r="B1267" s="648" t="s">
        <v>909</v>
      </c>
      <c r="C1267" s="338"/>
      <c r="D1267" s="649"/>
      <c r="E1267" s="649"/>
      <c r="F1267" s="649"/>
      <c r="G1267" s="650"/>
      <c r="H1267" s="132"/>
      <c r="I1267" s="132"/>
      <c r="J1267" s="132"/>
      <c r="K1267" s="132"/>
      <c r="L1267" s="142"/>
    </row>
    <row r="1268" spans="2:12" ht="16">
      <c r="B1268" s="651" t="s">
        <v>910</v>
      </c>
      <c r="C1268" s="338"/>
      <c r="D1268" s="652">
        <f>SUM(D1263:D1267)</f>
        <v>172992</v>
      </c>
      <c r="E1268" s="652">
        <f>SUM(E1263:E1267)</f>
        <v>91332</v>
      </c>
      <c r="F1268" s="652">
        <f>SUM(F1263:F1267)</f>
        <v>192992</v>
      </c>
      <c r="G1268" s="653">
        <f>SUM(G1263:G1267)</f>
        <v>111332</v>
      </c>
      <c r="H1268" s="132"/>
      <c r="I1268" s="654" t="s">
        <v>911</v>
      </c>
      <c r="J1268" s="655"/>
      <c r="K1268" s="132"/>
      <c r="L1268" s="656">
        <v>1</v>
      </c>
    </row>
    <row r="1269" spans="2:12" ht="16">
      <c r="B1269" s="657"/>
      <c r="C1269" s="132"/>
      <c r="D1269" s="658"/>
      <c r="E1269" s="658"/>
      <c r="F1269" s="658"/>
      <c r="G1269" s="658"/>
      <c r="H1269" s="132"/>
      <c r="I1269" s="654" t="s">
        <v>912</v>
      </c>
      <c r="J1269" s="132"/>
      <c r="K1269" s="132"/>
      <c r="L1269" s="656">
        <v>1</v>
      </c>
    </row>
    <row r="1270" spans="2:12" ht="16">
      <c r="B1270" s="136" t="s">
        <v>953</v>
      </c>
      <c r="C1270" s="132"/>
      <c r="D1270" s="658"/>
      <c r="E1270" s="658"/>
      <c r="F1270" s="658"/>
      <c r="G1270" s="658"/>
      <c r="H1270" s="132"/>
      <c r="I1270" s="654" t="s">
        <v>914</v>
      </c>
      <c r="J1270" s="659"/>
      <c r="K1270" s="132"/>
      <c r="L1270" s="656">
        <v>6</v>
      </c>
    </row>
    <row r="1271" spans="2:12" ht="16">
      <c r="B1271" s="638"/>
      <c r="C1271" s="639" t="s">
        <v>10</v>
      </c>
      <c r="D1271" s="640"/>
      <c r="E1271" s="660" t="s">
        <v>901</v>
      </c>
      <c r="F1271" s="640"/>
      <c r="G1271" s="661" t="s">
        <v>903</v>
      </c>
      <c r="H1271" s="132"/>
      <c r="I1271" s="654" t="s">
        <v>915</v>
      </c>
      <c r="J1271" s="132"/>
      <c r="K1271" s="132"/>
      <c r="L1271" s="656">
        <v>1</v>
      </c>
    </row>
    <row r="1272" spans="2:12" ht="16">
      <c r="B1272" s="341" t="s">
        <v>916</v>
      </c>
      <c r="C1272" s="342"/>
      <c r="D1272" s="342"/>
      <c r="E1272" s="342"/>
      <c r="F1272" s="342"/>
      <c r="G1272" s="662"/>
      <c r="H1272" s="132"/>
      <c r="I1272" s="654"/>
      <c r="J1272" s="654"/>
      <c r="K1272" s="654"/>
      <c r="L1272" s="709"/>
    </row>
    <row r="1273" spans="2:12" ht="16">
      <c r="B1273" s="337" t="s">
        <v>917</v>
      </c>
      <c r="C1273" s="349"/>
      <c r="D1273" s="338"/>
      <c r="E1273" s="338"/>
      <c r="F1273" s="338"/>
      <c r="G1273" s="663"/>
      <c r="H1273" s="132"/>
      <c r="I1273" s="654"/>
      <c r="J1273" s="654"/>
      <c r="K1273" s="654"/>
      <c r="L1273" s="709"/>
    </row>
    <row r="1274" spans="2:12" ht="16">
      <c r="B1274" s="664" t="s">
        <v>918</v>
      </c>
      <c r="C1274" s="338" t="s">
        <v>919</v>
      </c>
      <c r="D1274" s="338"/>
      <c r="E1274" s="652">
        <f>AVERAGE(0.05,0.08)*E1268</f>
        <v>5936.58</v>
      </c>
      <c r="F1274" s="338"/>
      <c r="G1274" s="665">
        <f>AVERAGE(0.05,0.08)*G1268</f>
        <v>7236.58</v>
      </c>
      <c r="H1274" s="132"/>
      <c r="I1274" s="654"/>
      <c r="J1274" s="654"/>
      <c r="K1274" s="654"/>
      <c r="L1274" s="709"/>
    </row>
    <row r="1275" spans="2:12" ht="16">
      <c r="B1275" s="136"/>
      <c r="C1275" s="132"/>
      <c r="D1275" s="553"/>
      <c r="E1275" s="132"/>
      <c r="F1275" s="658"/>
      <c r="G1275" s="658"/>
      <c r="H1275" s="132"/>
      <c r="I1275" s="654"/>
      <c r="J1275" s="654"/>
      <c r="K1275" s="654"/>
      <c r="L1275" s="709"/>
    </row>
    <row r="1276" spans="2:12" ht="16">
      <c r="B1276" s="84" t="s">
        <v>920</v>
      </c>
      <c r="C1276" s="132"/>
      <c r="D1276" s="658"/>
      <c r="E1276" s="658"/>
      <c r="F1276" s="658"/>
      <c r="G1276" s="658"/>
      <c r="H1276" s="132"/>
      <c r="I1276" s="654"/>
      <c r="J1276" s="654"/>
      <c r="K1276" s="654"/>
      <c r="L1276" s="709"/>
    </row>
    <row r="1277" spans="2:12">
      <c r="B1277" s="341"/>
      <c r="C1277" s="342"/>
      <c r="D1277" s="666" t="s">
        <v>921</v>
      </c>
      <c r="E1277" s="667" t="s">
        <v>922</v>
      </c>
      <c r="F1277" s="668" t="s">
        <v>365</v>
      </c>
      <c r="G1277" s="658"/>
      <c r="H1277" s="132"/>
      <c r="I1277" s="132"/>
      <c r="J1277" s="132"/>
      <c r="K1277" s="132"/>
      <c r="L1277" s="142"/>
    </row>
    <row r="1278" spans="2:12">
      <c r="B1278" s="84"/>
      <c r="C1278" s="525" t="s">
        <v>906</v>
      </c>
      <c r="D1278" s="132" t="s">
        <v>923</v>
      </c>
      <c r="E1278" s="325" t="s">
        <v>923</v>
      </c>
      <c r="F1278" s="272" t="s">
        <v>923</v>
      </c>
      <c r="G1278" s="658"/>
      <c r="H1278" s="132"/>
      <c r="I1278" s="132"/>
      <c r="J1278" s="132"/>
      <c r="K1278" s="132"/>
      <c r="L1278" s="142"/>
    </row>
    <row r="1279" spans="2:12" ht="16">
      <c r="B1279" s="643" t="s">
        <v>924</v>
      </c>
      <c r="C1279" s="156"/>
      <c r="D1279" s="669">
        <v>95000</v>
      </c>
      <c r="E1279" s="670">
        <v>95000</v>
      </c>
      <c r="F1279" s="671">
        <v>95000</v>
      </c>
      <c r="G1279" s="658"/>
      <c r="H1279" s="132"/>
      <c r="I1279" s="654"/>
      <c r="J1279" s="132"/>
      <c r="K1279" s="132"/>
      <c r="L1279" s="142"/>
    </row>
    <row r="1280" spans="2:12">
      <c r="B1280" s="84" t="s">
        <v>925</v>
      </c>
      <c r="C1280" s="160"/>
      <c r="D1280" s="672">
        <v>75000</v>
      </c>
      <c r="E1280" s="673">
        <v>75000</v>
      </c>
      <c r="F1280" s="674">
        <v>75000</v>
      </c>
      <c r="G1280" s="658"/>
      <c r="H1280" s="132"/>
      <c r="I1280" s="132"/>
      <c r="J1280" s="132"/>
      <c r="K1280" s="710"/>
      <c r="L1280" s="142"/>
    </row>
    <row r="1281" spans="2:12">
      <c r="B1281" s="84" t="s">
        <v>926</v>
      </c>
      <c r="C1281" s="160"/>
      <c r="D1281" s="672">
        <v>16000</v>
      </c>
      <c r="E1281" s="673">
        <v>16660</v>
      </c>
      <c r="F1281" s="674">
        <v>23500</v>
      </c>
      <c r="G1281" s="658"/>
      <c r="H1281" s="132"/>
      <c r="I1281" s="132"/>
      <c r="J1281" s="132"/>
      <c r="K1281" s="710"/>
      <c r="L1281" s="142"/>
    </row>
    <row r="1282" spans="2:12">
      <c r="B1282" s="84" t="s">
        <v>927</v>
      </c>
      <c r="C1282" s="160" t="s">
        <v>928</v>
      </c>
      <c r="D1282" s="672">
        <f>SUM(D1283:D1288)</f>
        <v>332</v>
      </c>
      <c r="E1282" s="673" t="s">
        <v>800</v>
      </c>
      <c r="F1282" s="674">
        <f>SUM(F1283:F1288)</f>
        <v>926</v>
      </c>
      <c r="G1282" s="658"/>
      <c r="H1282" s="132"/>
      <c r="I1282" s="132"/>
      <c r="J1282" s="132"/>
      <c r="K1282" s="132"/>
      <c r="L1282" s="142"/>
    </row>
    <row r="1283" spans="2:12">
      <c r="B1283" s="675" t="s">
        <v>929</v>
      </c>
      <c r="C1283" s="342"/>
      <c r="D1283" s="676">
        <v>50</v>
      </c>
      <c r="E1283" s="677" t="s">
        <v>800</v>
      </c>
      <c r="F1283" s="678">
        <v>155</v>
      </c>
      <c r="G1283" s="658"/>
      <c r="H1283" s="132"/>
      <c r="I1283" s="132"/>
      <c r="J1283" s="132"/>
      <c r="K1283" s="132"/>
      <c r="L1283" s="142"/>
    </row>
    <row r="1284" spans="2:12">
      <c r="B1284" s="679" t="s">
        <v>930</v>
      </c>
      <c r="C1284" s="132"/>
      <c r="D1284" s="680">
        <v>35</v>
      </c>
      <c r="E1284" s="681">
        <v>35</v>
      </c>
      <c r="F1284" s="682">
        <v>100</v>
      </c>
      <c r="G1284" s="658"/>
      <c r="H1284" s="132"/>
      <c r="I1284" s="132"/>
      <c r="J1284" s="132"/>
      <c r="K1284" s="132"/>
      <c r="L1284" s="142"/>
    </row>
    <row r="1285" spans="2:12">
      <c r="B1285" s="679" t="s">
        <v>931</v>
      </c>
      <c r="C1285" s="132"/>
      <c r="D1285" s="680">
        <v>30</v>
      </c>
      <c r="E1285" s="681">
        <v>30</v>
      </c>
      <c r="F1285" s="682">
        <v>56</v>
      </c>
      <c r="G1285" s="658"/>
      <c r="H1285" s="132"/>
      <c r="I1285" s="132"/>
      <c r="J1285" s="132"/>
      <c r="K1285" s="132"/>
      <c r="L1285" s="142"/>
    </row>
    <row r="1286" spans="2:12">
      <c r="B1286" s="679" t="s">
        <v>932</v>
      </c>
      <c r="C1286" s="132"/>
      <c r="D1286" s="680">
        <v>90</v>
      </c>
      <c r="E1286" s="681" t="s">
        <v>800</v>
      </c>
      <c r="F1286" s="682">
        <v>357</v>
      </c>
      <c r="G1286" s="658"/>
      <c r="H1286" s="132"/>
      <c r="I1286" s="132"/>
      <c r="J1286" s="132"/>
      <c r="K1286" s="132"/>
      <c r="L1286" s="142"/>
    </row>
    <row r="1287" spans="2:12">
      <c r="B1287" s="679" t="s">
        <v>933</v>
      </c>
      <c r="C1287" s="132"/>
      <c r="D1287" s="680">
        <v>32</v>
      </c>
      <c r="E1287" s="681" t="s">
        <v>800</v>
      </c>
      <c r="F1287" s="682">
        <v>138</v>
      </c>
      <c r="G1287" s="658"/>
      <c r="H1287" s="132"/>
      <c r="I1287" s="132"/>
      <c r="J1287" s="132"/>
      <c r="K1287" s="132"/>
      <c r="L1287" s="142"/>
    </row>
    <row r="1288" spans="2:12">
      <c r="B1288" s="683" t="s">
        <v>934</v>
      </c>
      <c r="C1288" s="338"/>
      <c r="D1288" s="684">
        <v>95</v>
      </c>
      <c r="E1288" s="685" t="s">
        <v>800</v>
      </c>
      <c r="F1288" s="686">
        <v>120</v>
      </c>
      <c r="G1288" s="658"/>
      <c r="H1288" s="132"/>
      <c r="I1288" s="132"/>
      <c r="J1288" s="132"/>
      <c r="K1288" s="132"/>
      <c r="L1288" s="142"/>
    </row>
    <row r="1289" spans="2:12">
      <c r="B1289" s="657" t="s">
        <v>935</v>
      </c>
      <c r="C1289" s="249"/>
      <c r="D1289" s="658">
        <f>SUM(D1279:D1281)</f>
        <v>186000</v>
      </c>
      <c r="E1289" s="687" t="s">
        <v>800</v>
      </c>
      <c r="F1289" s="688">
        <f>SUM(F1279:F1281)</f>
        <v>193500</v>
      </c>
      <c r="G1289" s="658"/>
      <c r="H1289" s="132"/>
      <c r="I1289" s="132"/>
      <c r="J1289" s="132"/>
      <c r="K1289" s="132"/>
      <c r="L1289" s="142"/>
    </row>
    <row r="1290" spans="2:12">
      <c r="B1290" s="651" t="s">
        <v>936</v>
      </c>
      <c r="C1290" s="689"/>
      <c r="D1290" s="652">
        <f>SUM(D1280:D1282)</f>
        <v>91332</v>
      </c>
      <c r="E1290" s="690" t="s">
        <v>800</v>
      </c>
      <c r="F1290" s="691">
        <f>SUM(F1280:F1282)</f>
        <v>99426</v>
      </c>
      <c r="G1290" s="658"/>
      <c r="H1290" s="132"/>
      <c r="I1290" s="132"/>
      <c r="J1290" s="132"/>
      <c r="K1290" s="132"/>
      <c r="L1290" s="142"/>
    </row>
    <row r="1291" spans="2:12">
      <c r="B1291" s="657"/>
      <c r="C1291" s="132"/>
      <c r="D1291" s="658"/>
      <c r="E1291" s="658"/>
      <c r="F1291" s="658"/>
      <c r="G1291" s="658"/>
      <c r="H1291" s="132"/>
      <c r="I1291" s="132"/>
      <c r="J1291" s="132"/>
      <c r="K1291" s="132"/>
      <c r="L1291" s="142"/>
    </row>
    <row r="1292" spans="2:12">
      <c r="B1292" s="692" t="s">
        <v>910</v>
      </c>
      <c r="C1292" s="325"/>
      <c r="D1292" s="325"/>
      <c r="E1292" s="325"/>
      <c r="F1292" s="658"/>
      <c r="G1292" s="658"/>
      <c r="H1292" s="132"/>
      <c r="I1292" s="132"/>
      <c r="J1292" s="132"/>
      <c r="K1292" s="132"/>
      <c r="L1292" s="142"/>
    </row>
    <row r="1293" spans="2:12">
      <c r="B1293" s="693"/>
      <c r="C1293" s="542" t="s">
        <v>10</v>
      </c>
      <c r="D1293" s="542" t="s">
        <v>900</v>
      </c>
      <c r="E1293" s="585" t="s">
        <v>901</v>
      </c>
      <c r="F1293" s="658"/>
      <c r="G1293" s="658"/>
      <c r="H1293" s="132"/>
      <c r="I1293" s="132"/>
      <c r="J1293" s="132"/>
      <c r="K1293" s="132"/>
      <c r="L1293" s="142"/>
    </row>
    <row r="1294" spans="2:12">
      <c r="B1294" s="694" t="s">
        <v>910</v>
      </c>
      <c r="C1294" s="695" t="s">
        <v>937</v>
      </c>
      <c r="D1294" s="696">
        <v>230000</v>
      </c>
      <c r="E1294" s="697">
        <v>90000</v>
      </c>
      <c r="F1294" s="658"/>
      <c r="G1294" s="658"/>
      <c r="H1294" s="132"/>
      <c r="I1294" s="132"/>
      <c r="J1294" s="132"/>
      <c r="K1294" s="132"/>
      <c r="L1294" s="142"/>
    </row>
    <row r="1295" spans="2:12">
      <c r="B1295" s="657"/>
      <c r="C1295" s="132"/>
      <c r="D1295" s="658"/>
      <c r="E1295" s="658"/>
      <c r="F1295" s="658"/>
      <c r="G1295" s="658"/>
      <c r="H1295" s="132"/>
      <c r="I1295" s="132"/>
      <c r="J1295" s="132"/>
      <c r="K1295" s="132"/>
      <c r="L1295" s="142"/>
    </row>
    <row r="1296" spans="2:12" ht="16">
      <c r="B1296" s="698" t="s">
        <v>938</v>
      </c>
      <c r="C1296" s="699" t="s">
        <v>906</v>
      </c>
      <c r="D1296" s="687"/>
      <c r="E1296" s="658"/>
      <c r="F1296" s="658"/>
      <c r="G1296" s="658"/>
      <c r="H1296" s="132"/>
      <c r="I1296" s="132"/>
      <c r="J1296" s="132"/>
      <c r="K1296" s="132"/>
      <c r="L1296" s="142"/>
    </row>
    <row r="1297" spans="2:15">
      <c r="B1297" s="541" t="s">
        <v>909</v>
      </c>
      <c r="C1297" s="700"/>
      <c r="D1297" s="701">
        <v>922980</v>
      </c>
      <c r="E1297" s="658"/>
      <c r="F1297" s="658"/>
      <c r="G1297" s="658"/>
      <c r="H1297" s="132"/>
      <c r="I1297" s="132"/>
      <c r="J1297" s="132"/>
      <c r="K1297" s="132"/>
      <c r="L1297" s="142"/>
    </row>
    <row r="1298" spans="2:15">
      <c r="B1298" s="271" t="s">
        <v>939</v>
      </c>
      <c r="C1298" s="550"/>
      <c r="D1298" s="702">
        <v>435993</v>
      </c>
      <c r="E1298" s="658"/>
      <c r="F1298" s="658"/>
      <c r="G1298" s="658"/>
      <c r="H1298" s="132"/>
      <c r="I1298" s="132"/>
      <c r="J1298" s="132"/>
      <c r="K1298" s="132"/>
      <c r="L1298" s="142"/>
    </row>
    <row r="1299" spans="2:15">
      <c r="B1299" s="271" t="s">
        <v>940</v>
      </c>
      <c r="C1299" s="550"/>
      <c r="D1299" s="702">
        <v>47689</v>
      </c>
      <c r="E1299" s="658"/>
      <c r="F1299" s="658"/>
      <c r="G1299" s="658"/>
      <c r="H1299" s="132"/>
      <c r="I1299" s="132"/>
      <c r="J1299" s="132"/>
      <c r="K1299" s="132"/>
      <c r="L1299" s="142"/>
    </row>
    <row r="1300" spans="2:15">
      <c r="B1300" s="271" t="s">
        <v>941</v>
      </c>
      <c r="C1300" s="550"/>
      <c r="D1300" s="702">
        <v>1042563</v>
      </c>
      <c r="E1300" s="658"/>
      <c r="F1300" s="658"/>
      <c r="G1300" s="658"/>
      <c r="H1300" s="132"/>
      <c r="I1300" s="132"/>
      <c r="J1300" s="132"/>
      <c r="K1300" s="132"/>
      <c r="L1300" s="142"/>
    </row>
    <row r="1301" spans="2:15">
      <c r="B1301" s="271" t="s">
        <v>942</v>
      </c>
      <c r="C1301" s="550"/>
      <c r="D1301" s="702">
        <v>197801</v>
      </c>
      <c r="E1301" s="658"/>
      <c r="F1301" s="658"/>
      <c r="G1301" s="658"/>
      <c r="H1301" s="132"/>
      <c r="I1301" s="132"/>
      <c r="J1301" s="132"/>
      <c r="K1301" s="132"/>
      <c r="L1301" s="142"/>
    </row>
    <row r="1302" spans="2:15">
      <c r="B1302" s="271" t="s">
        <v>943</v>
      </c>
      <c r="C1302" s="550"/>
      <c r="D1302" s="702">
        <v>187517</v>
      </c>
      <c r="E1302" s="658"/>
      <c r="F1302" s="658"/>
      <c r="G1302" s="658"/>
      <c r="H1302" s="132"/>
      <c r="I1302" s="132"/>
      <c r="J1302" s="132"/>
      <c r="K1302" s="132"/>
      <c r="L1302" s="142"/>
    </row>
    <row r="1303" spans="2:15">
      <c r="B1303" s="271" t="s">
        <v>944</v>
      </c>
      <c r="C1303" s="550"/>
      <c r="D1303" s="702">
        <v>323918</v>
      </c>
      <c r="E1303" s="658"/>
      <c r="F1303" s="658"/>
      <c r="G1303" s="658"/>
      <c r="H1303" s="132"/>
      <c r="I1303" s="132"/>
      <c r="J1303" s="132"/>
      <c r="K1303" s="132"/>
      <c r="L1303" s="142"/>
    </row>
    <row r="1304" spans="2:15">
      <c r="B1304" s="271" t="s">
        <v>945</v>
      </c>
      <c r="C1304" s="550"/>
      <c r="D1304" s="702">
        <v>64967</v>
      </c>
      <c r="E1304" s="658"/>
      <c r="F1304" s="658"/>
      <c r="G1304" s="658"/>
      <c r="H1304" s="132"/>
      <c r="I1304" s="132"/>
      <c r="J1304" s="132"/>
      <c r="K1304" s="132"/>
      <c r="L1304" s="142"/>
    </row>
    <row r="1305" spans="2:15">
      <c r="B1305" s="544" t="s">
        <v>946</v>
      </c>
      <c r="C1305" s="703"/>
      <c r="D1305" s="704">
        <v>76639</v>
      </c>
      <c r="E1305" s="658"/>
      <c r="F1305" s="658"/>
      <c r="G1305" s="658"/>
      <c r="H1305" s="132"/>
      <c r="I1305" s="132"/>
      <c r="J1305" s="132"/>
      <c r="K1305" s="132"/>
      <c r="L1305" s="142"/>
    </row>
    <row r="1306" spans="2:15">
      <c r="B1306" s="541" t="s">
        <v>947</v>
      </c>
      <c r="C1306" s="705"/>
      <c r="D1306" s="671">
        <f>SUM(D1297:D1305)</f>
        <v>3300067</v>
      </c>
      <c r="E1306" s="658"/>
      <c r="F1306" s="658"/>
      <c r="G1306" s="658"/>
      <c r="H1306" s="132"/>
      <c r="I1306" s="132"/>
      <c r="J1306" s="132"/>
      <c r="K1306" s="132"/>
      <c r="L1306" s="142"/>
    </row>
    <row r="1307" spans="2:15">
      <c r="B1307" s="271" t="s">
        <v>948</v>
      </c>
      <c r="C1307" s="687"/>
      <c r="D1307" s="674">
        <f>SUM(D1297:D1299)</f>
        <v>1406662</v>
      </c>
      <c r="E1307" s="132"/>
      <c r="F1307" s="132"/>
      <c r="G1307" s="132"/>
      <c r="H1307" s="132"/>
      <c r="I1307" s="132"/>
      <c r="J1307" s="132"/>
      <c r="K1307" s="132"/>
      <c r="L1307" s="142"/>
    </row>
    <row r="1308" spans="2:15">
      <c r="B1308" s="706" t="s">
        <v>949</v>
      </c>
      <c r="C1308" s="690"/>
      <c r="D1308" s="691">
        <f>SUM(D1298:D1299)</f>
        <v>483682</v>
      </c>
      <c r="E1308" s="132"/>
      <c r="F1308" s="132"/>
      <c r="G1308" s="132"/>
      <c r="H1308" s="132"/>
      <c r="I1308" s="132"/>
      <c r="J1308" s="132"/>
      <c r="K1308" s="132"/>
      <c r="L1308" s="142"/>
    </row>
    <row r="1309" spans="2:15" ht="16" thickBot="1">
      <c r="B1309" s="143"/>
      <c r="C1309" s="708"/>
      <c r="D1309" s="708"/>
      <c r="E1309" s="145"/>
      <c r="F1309" s="145"/>
      <c r="G1309" s="145"/>
      <c r="H1309" s="145"/>
      <c r="I1309" s="145"/>
      <c r="J1309" s="145"/>
      <c r="K1309" s="145"/>
      <c r="L1309" s="146"/>
    </row>
    <row r="1311" spans="2:15" ht="16" thickBot="1">
      <c r="B1311" s="244" t="s">
        <v>694</v>
      </c>
      <c r="E1311" s="132"/>
      <c r="F1311" s="637"/>
      <c r="H1311" s="132"/>
      <c r="I1311" s="132"/>
      <c r="J1311" s="132"/>
      <c r="K1311" s="132"/>
    </row>
    <row r="1312" spans="2:15">
      <c r="B1312" s="332" t="s">
        <v>954</v>
      </c>
      <c r="C1312" s="711"/>
      <c r="D1312" s="711"/>
      <c r="E1312" s="711"/>
      <c r="F1312" s="711"/>
      <c r="G1312" s="711"/>
      <c r="H1312" s="711"/>
      <c r="I1312" s="711"/>
      <c r="J1312" s="711"/>
      <c r="K1312" s="711"/>
      <c r="L1312" s="711"/>
      <c r="M1312" s="711"/>
      <c r="N1312" s="711"/>
      <c r="O1312" s="712"/>
    </row>
    <row r="1313" spans="2:15" ht="30">
      <c r="B1313" s="713"/>
      <c r="C1313" s="714" t="s">
        <v>10</v>
      </c>
      <c r="D1313" s="715" t="s">
        <v>955</v>
      </c>
      <c r="E1313" s="715" t="s">
        <v>956</v>
      </c>
      <c r="F1313" s="716" t="s">
        <v>957</v>
      </c>
      <c r="G1313" s="716" t="s">
        <v>958</v>
      </c>
      <c r="H1313" s="717" t="s">
        <v>959</v>
      </c>
      <c r="I1313" s="718" t="s">
        <v>957</v>
      </c>
      <c r="J1313" s="716" t="s">
        <v>957</v>
      </c>
      <c r="K1313" s="716" t="s">
        <v>958</v>
      </c>
      <c r="L1313" s="717" t="s">
        <v>958</v>
      </c>
      <c r="N1313" s="719" t="s">
        <v>960</v>
      </c>
      <c r="O1313" s="142"/>
    </row>
    <row r="1314" spans="2:15" ht="30">
      <c r="B1314" s="720"/>
      <c r="C1314" s="721" t="s">
        <v>961</v>
      </c>
      <c r="D1314" s="722" t="s">
        <v>962</v>
      </c>
      <c r="E1314" s="722" t="s">
        <v>962</v>
      </c>
      <c r="F1314" s="722" t="s">
        <v>963</v>
      </c>
      <c r="G1314" s="722" t="s">
        <v>962</v>
      </c>
      <c r="H1314" s="723" t="s">
        <v>962</v>
      </c>
      <c r="I1314" s="724" t="s">
        <v>962</v>
      </c>
      <c r="J1314" s="722" t="s">
        <v>964</v>
      </c>
      <c r="K1314" s="722" t="s">
        <v>962</v>
      </c>
      <c r="L1314" s="723" t="s">
        <v>965</v>
      </c>
      <c r="N1314" s="503" t="s">
        <v>955</v>
      </c>
      <c r="O1314" s="142"/>
    </row>
    <row r="1315" spans="2:15">
      <c r="B1315" s="643" t="s">
        <v>966</v>
      </c>
      <c r="C1315" s="525"/>
      <c r="D1315" s="725">
        <v>720</v>
      </c>
      <c r="E1315" s="725">
        <v>720</v>
      </c>
      <c r="F1315" s="725">
        <v>2000</v>
      </c>
      <c r="G1315" s="725">
        <v>2200</v>
      </c>
      <c r="H1315" s="726">
        <v>23000</v>
      </c>
      <c r="I1315" s="727">
        <v>2000</v>
      </c>
      <c r="J1315" s="725">
        <v>2000</v>
      </c>
      <c r="K1315" s="725">
        <v>2200</v>
      </c>
      <c r="L1315" s="726">
        <v>2200</v>
      </c>
      <c r="N1315" s="503" t="s">
        <v>956</v>
      </c>
      <c r="O1315" s="142"/>
    </row>
    <row r="1316" spans="2:15">
      <c r="B1316" s="84" t="s">
        <v>967</v>
      </c>
      <c r="C1316" s="132"/>
      <c r="D1316" s="728">
        <v>0</v>
      </c>
      <c r="E1316" s="728">
        <v>0</v>
      </c>
      <c r="F1316" s="728">
        <v>400</v>
      </c>
      <c r="G1316" s="728">
        <v>200</v>
      </c>
      <c r="H1316" s="729">
        <v>500</v>
      </c>
      <c r="I1316" s="730">
        <v>400</v>
      </c>
      <c r="J1316" s="728">
        <v>400</v>
      </c>
      <c r="K1316" s="728">
        <v>200</v>
      </c>
      <c r="L1316" s="731">
        <f t="shared" ref="L1316:L1321" si="157">K1316/2</f>
        <v>100</v>
      </c>
      <c r="N1316" s="503" t="s">
        <v>957</v>
      </c>
      <c r="O1316" s="142"/>
    </row>
    <row r="1317" spans="2:15">
      <c r="B1317" s="84" t="s">
        <v>968</v>
      </c>
      <c r="C1317" s="132"/>
      <c r="D1317" s="672">
        <v>0</v>
      </c>
      <c r="E1317" s="672">
        <v>100</v>
      </c>
      <c r="F1317" s="728">
        <v>100</v>
      </c>
      <c r="G1317" s="728">
        <v>100</v>
      </c>
      <c r="H1317" s="729">
        <v>500</v>
      </c>
      <c r="I1317" s="730">
        <v>100</v>
      </c>
      <c r="J1317" s="728">
        <v>100</v>
      </c>
      <c r="K1317" s="728">
        <v>100</v>
      </c>
      <c r="L1317" s="731">
        <f t="shared" si="157"/>
        <v>50</v>
      </c>
      <c r="N1317" s="503" t="s">
        <v>958</v>
      </c>
      <c r="O1317" s="142"/>
    </row>
    <row r="1318" spans="2:15">
      <c r="B1318" s="84" t="s">
        <v>969</v>
      </c>
      <c r="C1318" s="132"/>
      <c r="D1318" s="672">
        <v>0</v>
      </c>
      <c r="E1318" s="672">
        <v>220</v>
      </c>
      <c r="F1318" s="732">
        <f>2227.418*EXP(-0.1077*O1320)</f>
        <v>2227.4180000000001</v>
      </c>
      <c r="G1318" s="728">
        <v>1100</v>
      </c>
      <c r="H1318" s="729">
        <v>2500</v>
      </c>
      <c r="I1318" s="730">
        <v>2000</v>
      </c>
      <c r="J1318" s="728">
        <v>1300</v>
      </c>
      <c r="K1318" s="728">
        <v>1100</v>
      </c>
      <c r="L1318" s="731">
        <f t="shared" si="157"/>
        <v>550</v>
      </c>
      <c r="N1318" s="503" t="s">
        <v>959</v>
      </c>
      <c r="O1318" s="142"/>
    </row>
    <row r="1319" spans="2:15">
      <c r="B1319" s="84" t="s">
        <v>970</v>
      </c>
      <c r="C1319" s="132"/>
      <c r="D1319" s="672">
        <v>0</v>
      </c>
      <c r="E1319" s="672">
        <v>0</v>
      </c>
      <c r="F1319" s="732">
        <f>628.71671*EXP(-0.22907*$O$1320)</f>
        <v>628.71671000000003</v>
      </c>
      <c r="G1319" s="728">
        <v>5100</v>
      </c>
      <c r="H1319" s="729">
        <v>14000</v>
      </c>
      <c r="I1319" s="730">
        <v>500</v>
      </c>
      <c r="J1319" s="728">
        <v>200</v>
      </c>
      <c r="K1319" s="728">
        <v>5100</v>
      </c>
      <c r="L1319" s="731">
        <f t="shared" si="157"/>
        <v>2550</v>
      </c>
      <c r="N1319" s="132"/>
      <c r="O1319" s="142"/>
    </row>
    <row r="1320" spans="2:15" ht="16">
      <c r="B1320" s="84" t="s">
        <v>971</v>
      </c>
      <c r="C1320" s="132"/>
      <c r="D1320" s="672">
        <v>0</v>
      </c>
      <c r="E1320" s="728">
        <v>140</v>
      </c>
      <c r="F1320" s="732" t="e">
        <f>I1320/$O$1320</f>
        <v>#DIV/0!</v>
      </c>
      <c r="G1320" s="732" t="e">
        <f>K1320/$O$1320</f>
        <v>#DIV/0!</v>
      </c>
      <c r="H1320" s="729">
        <v>1000</v>
      </c>
      <c r="I1320" s="730">
        <v>400</v>
      </c>
      <c r="J1320" s="728">
        <v>80</v>
      </c>
      <c r="K1320" s="728">
        <v>400</v>
      </c>
      <c r="L1320" s="731">
        <f t="shared" si="157"/>
        <v>200</v>
      </c>
      <c r="N1320" s="654" t="s">
        <v>972</v>
      </c>
      <c r="O1320" s="659">
        <f>[2]Payback!$H$63</f>
        <v>0</v>
      </c>
    </row>
    <row r="1321" spans="2:15">
      <c r="B1321" s="84" t="s">
        <v>973</v>
      </c>
      <c r="C1321" s="132"/>
      <c r="D1321" s="672">
        <v>0</v>
      </c>
      <c r="E1321" s="728">
        <v>20</v>
      </c>
      <c r="F1321" s="732" t="e">
        <f>I1321/$O$1320</f>
        <v>#DIV/0!</v>
      </c>
      <c r="G1321" s="732" t="e">
        <f>K1321/$O$1320</f>
        <v>#DIV/0!</v>
      </c>
      <c r="H1321" s="729">
        <v>200</v>
      </c>
      <c r="I1321" s="730">
        <v>100</v>
      </c>
      <c r="J1321" s="728">
        <v>20</v>
      </c>
      <c r="K1321" s="728">
        <v>100</v>
      </c>
      <c r="L1321" s="731">
        <f t="shared" si="157"/>
        <v>50</v>
      </c>
      <c r="N1321" s="132"/>
      <c r="O1321" s="142"/>
    </row>
    <row r="1322" spans="2:15">
      <c r="B1322" s="648" t="s">
        <v>974</v>
      </c>
      <c r="C1322" s="338"/>
      <c r="D1322" s="733">
        <v>0</v>
      </c>
      <c r="E1322" s="733">
        <v>0</v>
      </c>
      <c r="F1322" s="733">
        <v>0</v>
      </c>
      <c r="G1322" s="733">
        <v>0</v>
      </c>
      <c r="H1322" s="734">
        <v>18000</v>
      </c>
      <c r="I1322" s="735">
        <v>0</v>
      </c>
      <c r="J1322" s="733">
        <v>0</v>
      </c>
      <c r="K1322" s="733">
        <v>0</v>
      </c>
      <c r="L1322" s="736">
        <v>0</v>
      </c>
      <c r="N1322" s="132"/>
      <c r="O1322" s="142"/>
    </row>
    <row r="1323" spans="2:15">
      <c r="B1323" s="643" t="s">
        <v>975</v>
      </c>
      <c r="C1323" s="342"/>
      <c r="D1323" s="737">
        <f t="shared" ref="D1323:I1323" si="158">D1315</f>
        <v>720</v>
      </c>
      <c r="E1323" s="737">
        <f t="shared" si="158"/>
        <v>720</v>
      </c>
      <c r="F1323" s="737">
        <f t="shared" si="158"/>
        <v>2000</v>
      </c>
      <c r="G1323" s="737">
        <f t="shared" si="158"/>
        <v>2200</v>
      </c>
      <c r="H1323" s="738">
        <f t="shared" si="158"/>
        <v>23000</v>
      </c>
      <c r="I1323" s="739">
        <f t="shared" si="158"/>
        <v>2000</v>
      </c>
      <c r="J1323" s="737">
        <v>2000</v>
      </c>
      <c r="K1323" s="737">
        <f>K1315</f>
        <v>2200</v>
      </c>
      <c r="L1323" s="740">
        <f>L1315</f>
        <v>2200</v>
      </c>
      <c r="N1323" s="132"/>
      <c r="O1323" s="142"/>
    </row>
    <row r="1324" spans="2:15">
      <c r="B1324" s="136" t="s">
        <v>976</v>
      </c>
      <c r="C1324" s="132"/>
      <c r="D1324" s="658">
        <f t="shared" ref="D1324:I1324" si="159">SUM(D1316:D1322)</f>
        <v>0</v>
      </c>
      <c r="E1324" s="658">
        <f t="shared" si="159"/>
        <v>480</v>
      </c>
      <c r="F1324" s="658" t="e">
        <f t="shared" si="159"/>
        <v>#DIV/0!</v>
      </c>
      <c r="G1324" s="658" t="e">
        <f t="shared" si="159"/>
        <v>#DIV/0!</v>
      </c>
      <c r="H1324" s="738">
        <f t="shared" si="159"/>
        <v>36700</v>
      </c>
      <c r="I1324" s="739">
        <f t="shared" si="159"/>
        <v>3500</v>
      </c>
      <c r="J1324" s="658">
        <v>2099.9751251803323</v>
      </c>
      <c r="K1324" s="658">
        <f>SUM(K1316:K1322)</f>
        <v>7000</v>
      </c>
      <c r="L1324" s="738">
        <f>SUM(L1316:L1322)</f>
        <v>3500</v>
      </c>
      <c r="N1324" s="132"/>
      <c r="O1324" s="142"/>
    </row>
    <row r="1325" spans="2:15" ht="16">
      <c r="B1325" s="741" t="s">
        <v>977</v>
      </c>
      <c r="C1325" s="338"/>
      <c r="D1325" s="652">
        <f t="shared" ref="D1325:I1325" si="160">D1323+D1324</f>
        <v>720</v>
      </c>
      <c r="E1325" s="652">
        <f t="shared" si="160"/>
        <v>1200</v>
      </c>
      <c r="F1325" s="652" t="e">
        <f t="shared" si="160"/>
        <v>#DIV/0!</v>
      </c>
      <c r="G1325" s="652" t="e">
        <f t="shared" si="160"/>
        <v>#DIV/0!</v>
      </c>
      <c r="H1325" s="653">
        <f t="shared" si="160"/>
        <v>59700</v>
      </c>
      <c r="I1325" s="742">
        <f t="shared" si="160"/>
        <v>5500</v>
      </c>
      <c r="J1325" s="652">
        <v>4099.9751251803318</v>
      </c>
      <c r="K1325" s="652">
        <f>K1323+K1324</f>
        <v>9200</v>
      </c>
      <c r="L1325" s="653">
        <f>L1323+L1324</f>
        <v>5700</v>
      </c>
      <c r="N1325" s="132"/>
      <c r="O1325" s="142"/>
    </row>
    <row r="1326" spans="2:15" ht="16">
      <c r="B1326" s="743"/>
      <c r="C1326" s="132"/>
      <c r="D1326" s="658"/>
      <c r="E1326" s="658"/>
      <c r="F1326" s="658"/>
      <c r="G1326" s="658"/>
      <c r="H1326" s="658"/>
      <c r="I1326" s="658"/>
      <c r="J1326" s="658"/>
      <c r="K1326" s="658"/>
      <c r="L1326" s="132"/>
      <c r="N1326" s="132"/>
      <c r="O1326" s="142"/>
    </row>
    <row r="1327" spans="2:15">
      <c r="B1327" s="136" t="s">
        <v>978</v>
      </c>
      <c r="C1327" s="680"/>
      <c r="D1327" s="453"/>
      <c r="E1327" s="453"/>
      <c r="F1327" s="132"/>
      <c r="G1327" s="132"/>
      <c r="H1327" s="132"/>
      <c r="I1327" s="132"/>
      <c r="J1327" s="132"/>
      <c r="K1327" s="132"/>
      <c r="L1327" s="132"/>
      <c r="N1327" s="132"/>
      <c r="O1327" s="142"/>
    </row>
    <row r="1328" spans="2:15" ht="30">
      <c r="B1328" s="744"/>
      <c r="C1328" s="666"/>
      <c r="D1328" s="745" t="s">
        <v>955</v>
      </c>
      <c r="E1328" s="745" t="s">
        <v>956</v>
      </c>
      <c r="F1328" s="745" t="s">
        <v>957</v>
      </c>
      <c r="G1328" s="745" t="s">
        <v>958</v>
      </c>
      <c r="H1328" s="746" t="s">
        <v>959</v>
      </c>
      <c r="I1328" s="132"/>
      <c r="J1328" s="132"/>
      <c r="K1328" s="132"/>
      <c r="L1328" s="132"/>
      <c r="N1328" s="132"/>
      <c r="O1328" s="142"/>
    </row>
    <row r="1329" spans="2:15">
      <c r="B1329" s="341" t="s">
        <v>916</v>
      </c>
      <c r="C1329" s="342"/>
      <c r="D1329" s="747">
        <v>0</v>
      </c>
      <c r="E1329" s="747">
        <v>0</v>
      </c>
      <c r="F1329" s="747">
        <v>0</v>
      </c>
      <c r="G1329" s="747">
        <v>0</v>
      </c>
      <c r="H1329" s="748">
        <v>0</v>
      </c>
      <c r="I1329" s="132"/>
      <c r="J1329" s="132"/>
      <c r="K1329" s="132"/>
      <c r="L1329" s="132"/>
      <c r="N1329" s="132"/>
      <c r="O1329" s="142"/>
    </row>
    <row r="1330" spans="2:15">
      <c r="B1330" s="136" t="s">
        <v>979</v>
      </c>
      <c r="C1330" s="132"/>
      <c r="D1330" s="132">
        <v>0</v>
      </c>
      <c r="E1330" s="132">
        <v>0</v>
      </c>
      <c r="F1330" s="749">
        <v>0</v>
      </c>
      <c r="G1330" s="749">
        <v>0</v>
      </c>
      <c r="H1330" s="647">
        <f>$D$1381</f>
        <v>12000</v>
      </c>
      <c r="I1330" s="132"/>
      <c r="J1330" s="132"/>
      <c r="K1330" s="132"/>
      <c r="L1330" s="132"/>
      <c r="N1330" s="132"/>
      <c r="O1330" s="142"/>
    </row>
    <row r="1331" spans="2:15">
      <c r="B1331" s="136" t="s">
        <v>980</v>
      </c>
      <c r="C1331" s="132"/>
      <c r="D1331" s="132">
        <v>0</v>
      </c>
      <c r="E1331" s="132">
        <v>0</v>
      </c>
      <c r="F1331" s="553">
        <f>$D$1376</f>
        <v>500</v>
      </c>
      <c r="G1331" s="553">
        <f>$D$1376</f>
        <v>500</v>
      </c>
      <c r="H1331" s="647">
        <f>$D$1376</f>
        <v>500</v>
      </c>
      <c r="I1331" s="132"/>
      <c r="J1331" s="132"/>
      <c r="K1331" s="132"/>
      <c r="L1331" s="132"/>
      <c r="N1331" s="132"/>
      <c r="O1331" s="142"/>
    </row>
    <row r="1332" spans="2:15">
      <c r="B1332" s="337" t="s">
        <v>917</v>
      </c>
      <c r="C1332" s="338"/>
      <c r="D1332" s="338">
        <v>0</v>
      </c>
      <c r="E1332" s="338">
        <v>0</v>
      </c>
      <c r="F1332" s="649">
        <f>F$1323*0.1</f>
        <v>200</v>
      </c>
      <c r="G1332" s="649">
        <f>G$1323*0.1</f>
        <v>220</v>
      </c>
      <c r="H1332" s="650">
        <f>H$1323*0.1</f>
        <v>2300</v>
      </c>
      <c r="I1332" s="132"/>
      <c r="J1332" s="132"/>
      <c r="K1332" s="132"/>
      <c r="L1332" s="132"/>
      <c r="N1332" s="132"/>
      <c r="O1332" s="142"/>
    </row>
    <row r="1333" spans="2:15">
      <c r="B1333" s="664" t="s">
        <v>918</v>
      </c>
      <c r="C1333" s="689"/>
      <c r="D1333" s="652">
        <f>SUM(D1329:D1332)</f>
        <v>0</v>
      </c>
      <c r="E1333" s="652">
        <f>SUM(E1329:E1332)</f>
        <v>0</v>
      </c>
      <c r="F1333" s="652">
        <f>SUM(F1329:F1332)</f>
        <v>700</v>
      </c>
      <c r="G1333" s="652">
        <f>SUM(G1329:G1332)</f>
        <v>720</v>
      </c>
      <c r="H1333" s="653">
        <f>SUM(H1329:H1332)</f>
        <v>14800</v>
      </c>
      <c r="I1333" s="553"/>
      <c r="J1333" s="553"/>
      <c r="K1333" s="553"/>
      <c r="L1333" s="132"/>
      <c r="N1333" s="132"/>
      <c r="O1333" s="142"/>
    </row>
    <row r="1334" spans="2:15">
      <c r="B1334" s="136"/>
      <c r="C1334" s="132"/>
      <c r="D1334" s="132"/>
      <c r="E1334" s="132"/>
      <c r="F1334" s="132"/>
      <c r="G1334" s="132"/>
      <c r="H1334" s="132"/>
      <c r="I1334" s="132"/>
      <c r="J1334" s="132"/>
      <c r="K1334" s="132"/>
      <c r="L1334" s="132"/>
      <c r="N1334" s="132"/>
      <c r="O1334" s="142"/>
    </row>
    <row r="1335" spans="2:15">
      <c r="B1335" s="271" t="s">
        <v>981</v>
      </c>
      <c r="C1335" s="325"/>
      <c r="D1335" s="325"/>
      <c r="E1335" s="325"/>
      <c r="F1335" s="132"/>
      <c r="G1335" s="132"/>
      <c r="H1335" s="132"/>
      <c r="I1335" s="132"/>
      <c r="J1335" s="132"/>
      <c r="K1335" s="132"/>
      <c r="L1335" s="132"/>
      <c r="N1335" s="132"/>
      <c r="O1335" s="142"/>
    </row>
    <row r="1336" spans="2:15">
      <c r="B1336" s="541"/>
      <c r="C1336" s="542" t="s">
        <v>10</v>
      </c>
      <c r="D1336" s="585" t="s">
        <v>982</v>
      </c>
      <c r="E1336" s="325"/>
      <c r="F1336" s="132"/>
      <c r="G1336" s="132"/>
      <c r="H1336" s="132"/>
      <c r="I1336" s="132"/>
      <c r="J1336" s="132"/>
      <c r="K1336" s="132"/>
      <c r="L1336" s="132"/>
      <c r="N1336" s="132"/>
      <c r="O1336" s="142"/>
    </row>
    <row r="1337" spans="2:15">
      <c r="B1337" s="541" t="s">
        <v>983</v>
      </c>
      <c r="C1337" s="677" t="s">
        <v>984</v>
      </c>
      <c r="D1337" s="750" t="s">
        <v>985</v>
      </c>
      <c r="E1337" s="325"/>
      <c r="F1337" s="132"/>
      <c r="G1337" s="132"/>
      <c r="H1337" s="132"/>
      <c r="I1337" s="132"/>
      <c r="J1337" s="132"/>
      <c r="K1337" s="132">
        <v>1</v>
      </c>
      <c r="L1337" s="132">
        <v>5</v>
      </c>
      <c r="N1337" s="132"/>
      <c r="O1337" s="142"/>
    </row>
    <row r="1338" spans="2:15">
      <c r="B1338" s="271" t="s">
        <v>986</v>
      </c>
      <c r="C1338" s="681" t="s">
        <v>984</v>
      </c>
      <c r="D1338" s="751" t="s">
        <v>987</v>
      </c>
      <c r="E1338" s="325"/>
      <c r="F1338" s="132"/>
      <c r="G1338" s="132"/>
      <c r="H1338" s="132"/>
      <c r="I1338" s="132"/>
      <c r="J1338" s="132"/>
      <c r="K1338" s="553">
        <f>I1318</f>
        <v>2000</v>
      </c>
      <c r="L1338" s="553">
        <f>J1318</f>
        <v>1300</v>
      </c>
      <c r="N1338" s="132"/>
      <c r="O1338" s="142"/>
    </row>
    <row r="1339" spans="2:15">
      <c r="B1339" s="271" t="s">
        <v>988</v>
      </c>
      <c r="C1339" s="681" t="s">
        <v>984</v>
      </c>
      <c r="D1339" s="751" t="s">
        <v>989</v>
      </c>
      <c r="E1339" s="325"/>
      <c r="F1339" s="132"/>
      <c r="G1339" s="132"/>
      <c r="H1339" s="132"/>
      <c r="I1339" s="132"/>
      <c r="J1339" s="132"/>
      <c r="K1339" s="553">
        <f>I1319</f>
        <v>500</v>
      </c>
      <c r="L1339" s="553">
        <f>J1319</f>
        <v>200</v>
      </c>
      <c r="N1339" s="132"/>
      <c r="O1339" s="142"/>
    </row>
    <row r="1340" spans="2:15">
      <c r="B1340" s="544" t="s">
        <v>990</v>
      </c>
      <c r="C1340" s="685" t="s">
        <v>991</v>
      </c>
      <c r="D1340" s="752" t="s">
        <v>992</v>
      </c>
      <c r="E1340" s="325"/>
      <c r="F1340" s="132"/>
      <c r="G1340" s="132"/>
      <c r="H1340" s="132"/>
      <c r="I1340" s="132"/>
      <c r="J1340" s="132"/>
      <c r="K1340" s="132"/>
      <c r="L1340" s="132"/>
      <c r="N1340" s="132"/>
      <c r="O1340" s="142"/>
    </row>
    <row r="1341" spans="2:15">
      <c r="B1341" s="271"/>
      <c r="C1341" s="325"/>
      <c r="D1341" s="325"/>
      <c r="E1341" s="325"/>
      <c r="F1341" s="132"/>
      <c r="G1341" s="132"/>
      <c r="H1341" s="132"/>
      <c r="I1341" s="132"/>
      <c r="J1341" s="132"/>
      <c r="K1341" s="132"/>
      <c r="L1341" s="132"/>
      <c r="N1341" s="132"/>
      <c r="O1341" s="142"/>
    </row>
    <row r="1342" spans="2:15">
      <c r="B1342" s="271"/>
      <c r="C1342" s="325"/>
      <c r="D1342" s="325"/>
      <c r="E1342" s="325"/>
      <c r="F1342" s="132"/>
      <c r="G1342" s="132"/>
      <c r="H1342" s="132"/>
      <c r="I1342" s="132"/>
      <c r="J1342" s="132"/>
      <c r="K1342" s="132"/>
      <c r="L1342" s="132"/>
      <c r="N1342" s="132"/>
      <c r="O1342" s="142"/>
    </row>
    <row r="1343" spans="2:15">
      <c r="B1343" s="271" t="s">
        <v>993</v>
      </c>
      <c r="C1343" s="325"/>
      <c r="D1343" s="325"/>
      <c r="E1343" s="325"/>
      <c r="F1343" s="132"/>
      <c r="G1343" s="132"/>
      <c r="H1343" s="132"/>
      <c r="I1343" s="132"/>
      <c r="J1343" s="132"/>
      <c r="K1343" s="132"/>
      <c r="L1343" s="132"/>
      <c r="N1343" s="132"/>
      <c r="O1343" s="142"/>
    </row>
    <row r="1344" spans="2:15">
      <c r="B1344" s="541" t="s">
        <v>994</v>
      </c>
      <c r="C1344" s="542" t="s">
        <v>995</v>
      </c>
      <c r="D1344" s="585" t="s">
        <v>996</v>
      </c>
      <c r="E1344" s="325"/>
      <c r="F1344" s="132"/>
      <c r="G1344" s="132"/>
      <c r="H1344" s="132"/>
      <c r="I1344" s="132"/>
      <c r="J1344" s="132"/>
      <c r="K1344" s="132"/>
      <c r="L1344" s="132"/>
      <c r="N1344" s="132"/>
      <c r="O1344" s="142"/>
    </row>
    <row r="1345" spans="2:15">
      <c r="B1345" s="541">
        <v>60</v>
      </c>
      <c r="C1345" s="677"/>
      <c r="D1345" s="750">
        <v>20278</v>
      </c>
      <c r="E1345" s="325"/>
      <c r="F1345" s="132"/>
      <c r="G1345" s="132"/>
      <c r="H1345" s="132"/>
      <c r="I1345" s="132"/>
      <c r="J1345" s="132"/>
      <c r="K1345" s="132"/>
      <c r="L1345" s="132"/>
      <c r="N1345" s="132"/>
      <c r="O1345" s="142"/>
    </row>
    <row r="1346" spans="2:15">
      <c r="B1346" s="271">
        <v>125</v>
      </c>
      <c r="C1346" s="681"/>
      <c r="D1346" s="751">
        <v>24990</v>
      </c>
      <c r="E1346" s="325"/>
      <c r="F1346" s="132"/>
      <c r="G1346" s="132"/>
      <c r="H1346" s="132"/>
      <c r="I1346" s="132"/>
      <c r="J1346" s="132"/>
      <c r="K1346" s="132"/>
      <c r="L1346" s="132"/>
      <c r="N1346" s="132"/>
      <c r="O1346" s="142"/>
    </row>
    <row r="1347" spans="2:15">
      <c r="B1347" s="271">
        <v>125</v>
      </c>
      <c r="C1347" s="681"/>
      <c r="D1347" s="751">
        <v>19088</v>
      </c>
      <c r="E1347" s="325"/>
      <c r="F1347" s="132"/>
      <c r="G1347" s="132"/>
      <c r="H1347" s="132"/>
      <c r="I1347" s="132"/>
      <c r="J1347" s="132"/>
      <c r="K1347" s="132"/>
      <c r="L1347" s="132"/>
      <c r="N1347" s="132"/>
      <c r="O1347" s="142"/>
    </row>
    <row r="1348" spans="2:15">
      <c r="B1348" s="544">
        <v>550</v>
      </c>
      <c r="C1348" s="685"/>
      <c r="D1348" s="752">
        <v>39900</v>
      </c>
      <c r="E1348" s="325"/>
      <c r="F1348" s="132"/>
      <c r="G1348" s="132"/>
      <c r="H1348" s="132"/>
      <c r="I1348" s="132"/>
      <c r="J1348" s="132"/>
      <c r="K1348" s="132"/>
      <c r="L1348" s="132"/>
      <c r="N1348" s="132"/>
      <c r="O1348" s="142"/>
    </row>
    <row r="1349" spans="2:15">
      <c r="B1349" s="271"/>
      <c r="C1349" s="681"/>
      <c r="D1349" s="753"/>
      <c r="E1349" s="753"/>
      <c r="F1349" s="132"/>
      <c r="G1349" s="132"/>
      <c r="H1349" s="132"/>
      <c r="I1349" s="132"/>
      <c r="J1349" s="132"/>
      <c r="K1349" s="132"/>
      <c r="L1349" s="132"/>
      <c r="N1349" s="132"/>
      <c r="O1349" s="142"/>
    </row>
    <row r="1350" spans="2:15">
      <c r="B1350" s="271" t="s">
        <v>997</v>
      </c>
      <c r="C1350" s="325"/>
      <c r="D1350" s="325"/>
      <c r="E1350" s="325"/>
      <c r="F1350" s="132"/>
      <c r="G1350" s="132"/>
      <c r="H1350" s="132"/>
      <c r="I1350" s="132"/>
      <c r="J1350" s="132"/>
      <c r="K1350" s="132"/>
      <c r="L1350" s="132"/>
      <c r="N1350" s="132"/>
      <c r="O1350" s="142"/>
    </row>
    <row r="1351" spans="2:15" ht="30">
      <c r="B1351" s="541"/>
      <c r="C1351" s="542" t="s">
        <v>984</v>
      </c>
      <c r="D1351" s="754" t="s">
        <v>998</v>
      </c>
      <c r="E1351" s="755" t="s">
        <v>999</v>
      </c>
      <c r="F1351" s="132"/>
      <c r="G1351" s="132"/>
      <c r="H1351" s="132"/>
      <c r="I1351" s="132"/>
      <c r="J1351" s="132"/>
      <c r="K1351" s="132"/>
      <c r="L1351" s="132"/>
      <c r="N1351" s="132"/>
      <c r="O1351" s="142"/>
    </row>
    <row r="1352" spans="2:15">
      <c r="B1352" s="541" t="s">
        <v>955</v>
      </c>
      <c r="C1352" s="677"/>
      <c r="D1352" s="756">
        <v>0</v>
      </c>
      <c r="E1352" s="757" t="s">
        <v>1000</v>
      </c>
      <c r="F1352" s="132"/>
      <c r="G1352" s="132"/>
      <c r="H1352" s="132"/>
      <c r="I1352" s="132"/>
      <c r="J1352" s="132"/>
      <c r="K1352" s="132"/>
      <c r="L1352" s="132"/>
      <c r="N1352" s="132"/>
      <c r="O1352" s="142"/>
    </row>
    <row r="1353" spans="2:15">
      <c r="B1353" s="271" t="s">
        <v>1001</v>
      </c>
      <c r="C1353" s="681"/>
      <c r="D1353" s="581">
        <v>3000</v>
      </c>
      <c r="E1353" s="758" t="s">
        <v>1002</v>
      </c>
      <c r="F1353" s="132"/>
      <c r="G1353" s="132"/>
      <c r="H1353" s="132"/>
      <c r="I1353" s="132"/>
      <c r="J1353" s="132"/>
      <c r="K1353" s="132"/>
      <c r="L1353" s="132"/>
      <c r="N1353" s="132"/>
      <c r="O1353" s="142"/>
    </row>
    <row r="1354" spans="2:15">
      <c r="B1354" s="544" t="s">
        <v>1003</v>
      </c>
      <c r="C1354" s="685"/>
      <c r="D1354" s="759">
        <v>21000</v>
      </c>
      <c r="E1354" s="760" t="s">
        <v>1004</v>
      </c>
      <c r="F1354" s="132"/>
      <c r="G1354" s="132"/>
      <c r="H1354" s="132"/>
      <c r="I1354" s="132"/>
      <c r="J1354" s="132"/>
      <c r="K1354" s="132"/>
      <c r="L1354" s="132"/>
      <c r="N1354" s="132"/>
      <c r="O1354" s="142"/>
    </row>
    <row r="1355" spans="2:15">
      <c r="B1355" s="271"/>
      <c r="C1355" s="681"/>
      <c r="D1355" s="753"/>
      <c r="E1355" s="753"/>
      <c r="F1355" s="132"/>
      <c r="G1355" s="132"/>
      <c r="H1355" s="132"/>
      <c r="I1355" s="132"/>
      <c r="J1355" s="132"/>
      <c r="K1355" s="132"/>
      <c r="L1355" s="132"/>
      <c r="N1355" s="132"/>
      <c r="O1355" s="142"/>
    </row>
    <row r="1356" spans="2:15">
      <c r="B1356" s="271" t="s">
        <v>1005</v>
      </c>
      <c r="C1356" s="681" t="s">
        <v>991</v>
      </c>
      <c r="D1356" s="753"/>
      <c r="E1356" s="753"/>
      <c r="F1356" s="132"/>
      <c r="G1356" s="132"/>
      <c r="H1356" s="132"/>
      <c r="I1356" s="132"/>
      <c r="J1356" s="132"/>
      <c r="K1356" s="132"/>
      <c r="L1356" s="132"/>
      <c r="N1356" s="132"/>
      <c r="O1356" s="142"/>
    </row>
    <row r="1357" spans="2:15" ht="30">
      <c r="B1357" s="541"/>
      <c r="C1357" s="542" t="s">
        <v>10</v>
      </c>
      <c r="D1357" s="754" t="s">
        <v>998</v>
      </c>
      <c r="E1357" s="755" t="s">
        <v>999</v>
      </c>
      <c r="F1357" s="132"/>
      <c r="G1357" s="132"/>
      <c r="H1357" s="132"/>
      <c r="I1357" s="132"/>
      <c r="J1357" s="132"/>
      <c r="K1357" s="132"/>
      <c r="L1357" s="132"/>
      <c r="N1357" s="132"/>
      <c r="O1357" s="142"/>
    </row>
    <row r="1358" spans="2:15">
      <c r="B1358" s="541" t="s">
        <v>1006</v>
      </c>
      <c r="C1358" s="677"/>
      <c r="D1358" s="756">
        <v>3108</v>
      </c>
      <c r="E1358" s="757" t="s">
        <v>1007</v>
      </c>
      <c r="F1358" s="132"/>
      <c r="G1358" s="132"/>
      <c r="H1358" s="132"/>
      <c r="I1358" s="132"/>
      <c r="J1358" s="132"/>
      <c r="K1358" s="132"/>
      <c r="L1358" s="132"/>
      <c r="N1358" s="132"/>
      <c r="O1358" s="142"/>
    </row>
    <row r="1359" spans="2:15">
      <c r="B1359" s="271" t="s">
        <v>1008</v>
      </c>
      <c r="C1359" s="681"/>
      <c r="D1359" s="581">
        <v>2035</v>
      </c>
      <c r="E1359" s="758" t="s">
        <v>1009</v>
      </c>
      <c r="F1359" s="132"/>
      <c r="G1359" s="132"/>
      <c r="H1359" s="132"/>
      <c r="I1359" s="132"/>
      <c r="J1359" s="132"/>
      <c r="K1359" s="132"/>
      <c r="L1359" s="132"/>
      <c r="N1359" s="132"/>
      <c r="O1359" s="142"/>
    </row>
    <row r="1360" spans="2:15">
      <c r="B1360" s="271" t="s">
        <v>1010</v>
      </c>
      <c r="C1360" s="681"/>
      <c r="D1360" s="581">
        <v>3209</v>
      </c>
      <c r="E1360" s="758" t="s">
        <v>1009</v>
      </c>
      <c r="F1360" s="132"/>
      <c r="G1360" s="132"/>
      <c r="H1360" s="132"/>
      <c r="I1360" s="132"/>
      <c r="J1360" s="132"/>
      <c r="K1360" s="132"/>
      <c r="L1360" s="132"/>
      <c r="N1360" s="132"/>
      <c r="O1360" s="142"/>
    </row>
    <row r="1361" spans="2:15">
      <c r="B1361" s="544" t="s">
        <v>1003</v>
      </c>
      <c r="C1361" s="685"/>
      <c r="D1361" s="759">
        <v>22626</v>
      </c>
      <c r="E1361" s="760" t="s">
        <v>1011</v>
      </c>
      <c r="F1361" s="132"/>
      <c r="G1361" s="132"/>
      <c r="H1361" s="132"/>
      <c r="I1361" s="132"/>
      <c r="J1361" s="132"/>
      <c r="K1361" s="132"/>
      <c r="L1361" s="132"/>
      <c r="N1361" s="132"/>
      <c r="O1361" s="142"/>
    </row>
    <row r="1362" spans="2:15">
      <c r="B1362" s="271"/>
      <c r="C1362" s="681"/>
      <c r="D1362" s="753"/>
      <c r="E1362" s="753"/>
      <c r="F1362" s="132"/>
      <c r="G1362" s="132"/>
      <c r="H1362" s="132"/>
      <c r="I1362" s="132"/>
      <c r="J1362" s="132"/>
      <c r="K1362" s="132"/>
      <c r="L1362" s="132"/>
      <c r="N1362" s="132"/>
      <c r="O1362" s="142"/>
    </row>
    <row r="1363" spans="2:15">
      <c r="B1363" s="271" t="s">
        <v>1012</v>
      </c>
      <c r="C1363" s="681" t="s">
        <v>1013</v>
      </c>
      <c r="D1363" s="753"/>
      <c r="E1363" s="753"/>
      <c r="F1363" s="132"/>
      <c r="G1363" s="132"/>
      <c r="H1363" s="132"/>
      <c r="I1363" s="132"/>
      <c r="J1363" s="132"/>
      <c r="K1363" s="132"/>
      <c r="L1363" s="132"/>
      <c r="N1363" s="132"/>
      <c r="O1363" s="142"/>
    </row>
    <row r="1364" spans="2:15" ht="30">
      <c r="B1364" s="541"/>
      <c r="C1364" s="677" t="s">
        <v>59</v>
      </c>
      <c r="D1364" s="754" t="s">
        <v>998</v>
      </c>
      <c r="E1364" s="755" t="s">
        <v>999</v>
      </c>
      <c r="F1364" s="132"/>
      <c r="G1364" s="132"/>
      <c r="H1364" s="132"/>
      <c r="I1364" s="132"/>
      <c r="J1364" s="132"/>
      <c r="K1364" s="132"/>
      <c r="L1364" s="132"/>
      <c r="N1364" s="132"/>
      <c r="O1364" s="142"/>
    </row>
    <row r="1365" spans="2:15">
      <c r="B1365" s="541" t="s">
        <v>1014</v>
      </c>
      <c r="C1365" s="677" t="s">
        <v>1015</v>
      </c>
      <c r="D1365" s="756">
        <v>10000</v>
      </c>
      <c r="E1365" s="757" t="s">
        <v>1016</v>
      </c>
      <c r="F1365" s="132"/>
      <c r="G1365" s="132"/>
      <c r="H1365" s="132"/>
      <c r="I1365" s="132"/>
      <c r="J1365" s="132"/>
      <c r="K1365" s="132"/>
      <c r="L1365" s="132"/>
      <c r="N1365" s="132"/>
      <c r="O1365" s="142"/>
    </row>
    <row r="1366" spans="2:15">
      <c r="B1366" s="271" t="s">
        <v>1017</v>
      </c>
      <c r="C1366" s="681" t="s">
        <v>1018</v>
      </c>
      <c r="D1366" s="581">
        <v>20000</v>
      </c>
      <c r="E1366" s="758" t="s">
        <v>1019</v>
      </c>
      <c r="F1366" s="132"/>
      <c r="G1366" s="132"/>
      <c r="H1366" s="132"/>
      <c r="I1366" s="132"/>
      <c r="J1366" s="132"/>
      <c r="K1366" s="132"/>
      <c r="L1366" s="132"/>
      <c r="N1366" s="132"/>
      <c r="O1366" s="142"/>
    </row>
    <row r="1367" spans="2:15">
      <c r="B1367" s="271" t="s">
        <v>1020</v>
      </c>
      <c r="C1367" s="681" t="s">
        <v>1021</v>
      </c>
      <c r="D1367" s="581">
        <v>30000</v>
      </c>
      <c r="E1367" s="758" t="s">
        <v>1022</v>
      </c>
      <c r="F1367" s="132"/>
      <c r="G1367" s="132"/>
      <c r="H1367" s="132"/>
      <c r="I1367" s="132"/>
      <c r="J1367" s="132"/>
      <c r="K1367" s="132"/>
      <c r="L1367" s="132"/>
      <c r="N1367" s="132"/>
      <c r="O1367" s="142"/>
    </row>
    <row r="1368" spans="2:15">
      <c r="B1368" s="271" t="s">
        <v>1023</v>
      </c>
      <c r="C1368" s="681" t="s">
        <v>1024</v>
      </c>
      <c r="D1368" s="581">
        <v>57500</v>
      </c>
      <c r="E1368" s="758" t="s">
        <v>1025</v>
      </c>
      <c r="F1368" s="132"/>
      <c r="G1368" s="132"/>
      <c r="H1368" s="132"/>
      <c r="I1368" s="132"/>
      <c r="J1368" s="132"/>
      <c r="K1368" s="132"/>
      <c r="L1368" s="132"/>
      <c r="N1368" s="132"/>
      <c r="O1368" s="142"/>
    </row>
    <row r="1369" spans="2:15">
      <c r="B1369" s="271" t="s">
        <v>1026</v>
      </c>
      <c r="C1369" s="681" t="s">
        <v>1027</v>
      </c>
      <c r="D1369" s="581">
        <v>40000</v>
      </c>
      <c r="E1369" s="758" t="s">
        <v>1028</v>
      </c>
      <c r="F1369" s="132"/>
      <c r="G1369" s="132"/>
      <c r="H1369" s="132"/>
      <c r="I1369" s="132"/>
      <c r="J1369" s="132"/>
      <c r="K1369" s="132"/>
      <c r="L1369" s="132"/>
      <c r="N1369" s="132"/>
      <c r="O1369" s="142"/>
    </row>
    <row r="1370" spans="2:15">
      <c r="B1370" s="544" t="s">
        <v>1029</v>
      </c>
      <c r="C1370" s="685" t="s">
        <v>1024</v>
      </c>
      <c r="D1370" s="759">
        <v>67500</v>
      </c>
      <c r="E1370" s="760" t="s">
        <v>1030</v>
      </c>
      <c r="F1370" s="132"/>
      <c r="G1370" s="132"/>
      <c r="H1370" s="132"/>
      <c r="I1370" s="132"/>
      <c r="J1370" s="132"/>
      <c r="K1370" s="132"/>
      <c r="L1370" s="132"/>
      <c r="N1370" s="132"/>
      <c r="O1370" s="142"/>
    </row>
    <row r="1371" spans="2:15">
      <c r="B1371" s="136"/>
      <c r="C1371" s="680"/>
      <c r="D1371" s="761"/>
      <c r="E1371" s="453"/>
      <c r="F1371" s="132"/>
      <c r="G1371" s="132"/>
      <c r="H1371" s="132"/>
      <c r="I1371" s="132"/>
      <c r="J1371" s="132"/>
      <c r="K1371" s="132"/>
      <c r="L1371" s="132"/>
      <c r="N1371" s="132"/>
      <c r="O1371" s="142"/>
    </row>
    <row r="1372" spans="2:15">
      <c r="B1372" s="136" t="s">
        <v>1031</v>
      </c>
      <c r="C1372" s="680"/>
      <c r="D1372" s="453"/>
      <c r="E1372" s="453"/>
      <c r="F1372" s="132"/>
      <c r="G1372" s="132"/>
      <c r="H1372" s="132"/>
      <c r="I1372" s="132"/>
      <c r="J1372" s="132"/>
      <c r="K1372" s="132"/>
      <c r="L1372" s="132"/>
      <c r="N1372" s="132"/>
      <c r="O1372" s="142"/>
    </row>
    <row r="1373" spans="2:15" ht="45">
      <c r="B1373" s="341"/>
      <c r="C1373" s="762" t="s">
        <v>10</v>
      </c>
      <c r="D1373" s="763" t="s">
        <v>1032</v>
      </c>
      <c r="E1373" s="764" t="s">
        <v>1033</v>
      </c>
      <c r="F1373" s="132"/>
      <c r="G1373" s="132"/>
      <c r="H1373" s="132"/>
      <c r="I1373" s="132"/>
      <c r="J1373" s="132"/>
      <c r="K1373" s="132"/>
      <c r="L1373" s="132"/>
      <c r="N1373" s="132"/>
      <c r="O1373" s="142"/>
    </row>
    <row r="1374" spans="2:15">
      <c r="B1374" s="541" t="s">
        <v>1034</v>
      </c>
      <c r="C1374" s="677" t="s">
        <v>1013</v>
      </c>
      <c r="D1374" s="756">
        <f>AVERAGE(240,420,120,265)</f>
        <v>261.25</v>
      </c>
      <c r="E1374" s="757" t="s">
        <v>1035</v>
      </c>
      <c r="F1374" s="132"/>
      <c r="G1374" s="132"/>
      <c r="H1374" s="132"/>
      <c r="I1374" s="132"/>
      <c r="J1374" s="132"/>
      <c r="K1374" s="132"/>
      <c r="L1374" s="132"/>
      <c r="N1374" s="132"/>
      <c r="O1374" s="142"/>
    </row>
    <row r="1375" spans="2:15">
      <c r="B1375" s="271" t="s">
        <v>1036</v>
      </c>
      <c r="C1375" s="681" t="s">
        <v>1013</v>
      </c>
      <c r="D1375" s="581">
        <v>1050</v>
      </c>
      <c r="E1375" s="758"/>
      <c r="F1375" s="132"/>
      <c r="G1375" s="132"/>
      <c r="H1375" s="132"/>
      <c r="I1375" s="132"/>
      <c r="J1375" s="132"/>
      <c r="K1375" s="132"/>
      <c r="L1375" s="132"/>
      <c r="N1375" s="132"/>
      <c r="O1375" s="142"/>
    </row>
    <row r="1376" spans="2:15">
      <c r="B1376" s="337" t="s">
        <v>1037</v>
      </c>
      <c r="C1376" s="684" t="s">
        <v>1038</v>
      </c>
      <c r="D1376" s="765">
        <v>500</v>
      </c>
      <c r="E1376" s="766" t="s">
        <v>1039</v>
      </c>
      <c r="F1376" s="132"/>
      <c r="G1376" s="132"/>
      <c r="H1376" s="132"/>
      <c r="I1376" s="132"/>
      <c r="J1376" s="132"/>
      <c r="K1376" s="132"/>
      <c r="L1376" s="132"/>
      <c r="N1376" s="132"/>
      <c r="O1376" s="142"/>
    </row>
    <row r="1377" spans="1:15">
      <c r="B1377" s="136"/>
      <c r="C1377" s="680"/>
      <c r="D1377" s="761"/>
      <c r="E1377" s="453"/>
      <c r="F1377" s="132"/>
      <c r="G1377" s="132"/>
      <c r="H1377" s="132"/>
      <c r="I1377" s="132"/>
      <c r="J1377" s="132"/>
      <c r="K1377" s="132"/>
      <c r="L1377" s="132"/>
      <c r="N1377" s="132"/>
      <c r="O1377" s="142"/>
    </row>
    <row r="1378" spans="1:15">
      <c r="B1378" s="136" t="s">
        <v>1040</v>
      </c>
      <c r="C1378" s="680"/>
      <c r="D1378" s="761"/>
      <c r="E1378" s="453"/>
      <c r="F1378" s="132"/>
      <c r="G1378" s="132"/>
      <c r="H1378" s="132"/>
      <c r="I1378" s="132"/>
      <c r="J1378" s="132"/>
      <c r="K1378" s="132"/>
      <c r="L1378" s="132"/>
      <c r="N1378" s="132"/>
      <c r="O1378" s="142"/>
    </row>
    <row r="1379" spans="1:15" ht="45">
      <c r="B1379" s="133"/>
      <c r="C1379" s="762" t="s">
        <v>10</v>
      </c>
      <c r="D1379" s="767" t="s">
        <v>1041</v>
      </c>
      <c r="E1379" s="768"/>
      <c r="F1379" s="132"/>
      <c r="G1379" s="132"/>
      <c r="H1379" s="132"/>
      <c r="I1379" s="132"/>
      <c r="J1379" s="132"/>
      <c r="K1379" s="132"/>
      <c r="L1379" s="132"/>
      <c r="N1379" s="132"/>
      <c r="O1379" s="142"/>
    </row>
    <row r="1380" spans="1:15">
      <c r="B1380" s="541" t="s">
        <v>1042</v>
      </c>
      <c r="C1380" s="677" t="s">
        <v>991</v>
      </c>
      <c r="D1380" s="677"/>
      <c r="E1380" s="678" t="s">
        <v>1043</v>
      </c>
      <c r="F1380" s="132"/>
      <c r="G1380" s="132"/>
      <c r="H1380" s="132"/>
      <c r="I1380" s="132"/>
      <c r="J1380" s="132"/>
      <c r="K1380" s="132"/>
      <c r="L1380" s="132"/>
      <c r="N1380" s="132"/>
      <c r="O1380" s="142"/>
    </row>
    <row r="1381" spans="1:15">
      <c r="B1381" s="136" t="s">
        <v>1042</v>
      </c>
      <c r="C1381" s="680" t="s">
        <v>984</v>
      </c>
      <c r="D1381" s="761">
        <f>1000*12</f>
        <v>12000</v>
      </c>
      <c r="E1381" s="769" t="s">
        <v>1044</v>
      </c>
      <c r="F1381" s="132"/>
      <c r="G1381" s="132"/>
      <c r="H1381" s="132"/>
      <c r="I1381" s="132"/>
      <c r="J1381" s="132"/>
      <c r="K1381" s="132"/>
      <c r="L1381" s="132"/>
      <c r="N1381" s="132"/>
      <c r="O1381" s="142"/>
    </row>
    <row r="1382" spans="1:15">
      <c r="B1382" s="544" t="s">
        <v>1045</v>
      </c>
      <c r="C1382" s="685" t="s">
        <v>1013</v>
      </c>
      <c r="D1382" s="759">
        <f>1700*12</f>
        <v>20400</v>
      </c>
      <c r="E1382" s="770" t="s">
        <v>1046</v>
      </c>
      <c r="F1382" s="132"/>
      <c r="G1382" s="132"/>
      <c r="H1382" s="132"/>
      <c r="I1382" s="132"/>
      <c r="J1382" s="132"/>
      <c r="K1382" s="132"/>
      <c r="L1382" s="132"/>
      <c r="N1382" s="132"/>
      <c r="O1382" s="142"/>
    </row>
    <row r="1383" spans="1:15">
      <c r="B1383" s="136"/>
      <c r="C1383" s="132"/>
      <c r="D1383" s="132"/>
      <c r="E1383" s="132"/>
      <c r="F1383" s="132"/>
      <c r="G1383" s="132"/>
      <c r="H1383" s="132"/>
      <c r="I1383" s="132"/>
      <c r="J1383" s="132"/>
      <c r="K1383" s="132"/>
      <c r="L1383" s="132"/>
      <c r="N1383" s="132"/>
      <c r="O1383" s="142"/>
    </row>
    <row r="1384" spans="1:15">
      <c r="B1384" s="136" t="s">
        <v>1047</v>
      </c>
      <c r="C1384" s="680"/>
      <c r="D1384" s="453"/>
      <c r="E1384" s="453"/>
      <c r="F1384" s="132"/>
      <c r="G1384" s="132"/>
      <c r="H1384" s="132"/>
      <c r="I1384" s="132"/>
      <c r="J1384" s="132"/>
      <c r="K1384" s="132"/>
      <c r="L1384" s="132"/>
      <c r="N1384" s="132"/>
      <c r="O1384" s="142"/>
    </row>
    <row r="1385" spans="1:15" ht="45">
      <c r="B1385" s="133"/>
      <c r="C1385" s="762" t="s">
        <v>10</v>
      </c>
      <c r="D1385" s="771" t="s">
        <v>1048</v>
      </c>
      <c r="E1385" s="772" t="s">
        <v>1049</v>
      </c>
      <c r="F1385" s="132"/>
      <c r="G1385" s="132"/>
      <c r="H1385" s="132"/>
      <c r="I1385" s="132"/>
      <c r="J1385" s="132"/>
      <c r="K1385" s="132"/>
      <c r="L1385" s="132"/>
      <c r="N1385" s="132"/>
      <c r="O1385" s="142"/>
    </row>
    <row r="1386" spans="1:15">
      <c r="A1386" s="132"/>
      <c r="B1386" s="136" t="s">
        <v>957</v>
      </c>
      <c r="C1386" s="680" t="s">
        <v>1050</v>
      </c>
      <c r="D1386" s="761">
        <f>$F$1315*0.1</f>
        <v>200</v>
      </c>
      <c r="E1386" s="769" t="s">
        <v>1051</v>
      </c>
      <c r="F1386" s="680"/>
      <c r="G1386" s="132"/>
      <c r="H1386" s="132"/>
      <c r="I1386" s="132"/>
      <c r="J1386" s="132"/>
      <c r="K1386" s="132"/>
      <c r="L1386" s="132"/>
      <c r="N1386" s="132"/>
      <c r="O1386" s="142"/>
    </row>
    <row r="1387" spans="1:15">
      <c r="A1387" s="132"/>
      <c r="B1387" s="136" t="s">
        <v>958</v>
      </c>
      <c r="C1387" s="680" t="s">
        <v>1050</v>
      </c>
      <c r="D1387" s="761">
        <f>$G$1315*0.1</f>
        <v>220</v>
      </c>
      <c r="E1387" s="769" t="s">
        <v>1051</v>
      </c>
      <c r="F1387" s="680"/>
      <c r="G1387" s="132"/>
      <c r="H1387" s="132"/>
      <c r="I1387" s="132"/>
      <c r="J1387" s="132"/>
      <c r="K1387" s="132"/>
      <c r="L1387" s="132"/>
      <c r="N1387" s="132"/>
      <c r="O1387" s="142"/>
    </row>
    <row r="1388" spans="1:15">
      <c r="A1388" s="132"/>
      <c r="B1388" s="136" t="s">
        <v>1003</v>
      </c>
      <c r="C1388" s="680" t="s">
        <v>1050</v>
      </c>
      <c r="D1388" s="761">
        <f>$H$1315*0.1</f>
        <v>2300</v>
      </c>
      <c r="E1388" s="769" t="s">
        <v>1051</v>
      </c>
      <c r="F1388" s="680"/>
      <c r="G1388" s="132"/>
      <c r="H1388" s="132"/>
      <c r="I1388" s="132"/>
      <c r="J1388" s="132"/>
      <c r="K1388" s="132"/>
      <c r="L1388" s="132"/>
      <c r="N1388" s="132"/>
      <c r="O1388" s="142"/>
    </row>
    <row r="1389" spans="1:15">
      <c r="B1389" s="271" t="s">
        <v>1052</v>
      </c>
      <c r="C1389" s="681" t="s">
        <v>1013</v>
      </c>
      <c r="D1389" s="581">
        <v>1100</v>
      </c>
      <c r="E1389" s="758" t="s">
        <v>1053</v>
      </c>
      <c r="F1389" s="132"/>
      <c r="G1389" s="132"/>
      <c r="H1389" s="132"/>
      <c r="I1389" s="132"/>
      <c r="J1389" s="132"/>
      <c r="K1389" s="132"/>
      <c r="L1389" s="132"/>
      <c r="N1389" s="132"/>
      <c r="O1389" s="142"/>
    </row>
    <row r="1390" spans="1:15">
      <c r="B1390" s="271" t="s">
        <v>1054</v>
      </c>
      <c r="C1390" s="681" t="s">
        <v>1013</v>
      </c>
      <c r="D1390" s="581">
        <v>2200</v>
      </c>
      <c r="E1390" s="758" t="s">
        <v>1055</v>
      </c>
      <c r="F1390" s="132"/>
      <c r="G1390" s="132"/>
      <c r="H1390" s="132"/>
      <c r="I1390" s="132"/>
      <c r="J1390" s="132"/>
      <c r="K1390" s="132"/>
      <c r="L1390" s="132"/>
      <c r="N1390" s="132"/>
      <c r="O1390" s="142"/>
    </row>
    <row r="1391" spans="1:15">
      <c r="B1391" s="544" t="s">
        <v>1056</v>
      </c>
      <c r="C1391" s="685" t="s">
        <v>1013</v>
      </c>
      <c r="D1391" s="759">
        <v>1980</v>
      </c>
      <c r="E1391" s="760"/>
      <c r="F1391" s="132"/>
      <c r="G1391" s="132"/>
      <c r="H1391" s="132"/>
      <c r="I1391" s="132"/>
      <c r="J1391" s="132"/>
      <c r="K1391" s="132"/>
      <c r="L1391" s="132"/>
      <c r="N1391" s="132"/>
      <c r="O1391" s="142"/>
    </row>
    <row r="1392" spans="1:15" ht="16" thickBot="1">
      <c r="A1392" s="132"/>
      <c r="B1392" s="143"/>
      <c r="C1392" s="145"/>
      <c r="D1392" s="145"/>
      <c r="E1392" s="145"/>
      <c r="F1392" s="145"/>
      <c r="G1392" s="145"/>
      <c r="H1392" s="145"/>
      <c r="I1392" s="145"/>
      <c r="J1392" s="145"/>
      <c r="K1392" s="145"/>
      <c r="L1392" s="145"/>
      <c r="M1392" s="145"/>
      <c r="N1392" s="145"/>
      <c r="O1392" s="146"/>
    </row>
    <row r="1393" spans="1:14">
      <c r="A1393" s="132"/>
      <c r="B1393" s="132"/>
      <c r="C1393" s="132"/>
      <c r="D1393" s="132"/>
      <c r="E1393" s="132"/>
      <c r="F1393" s="132"/>
      <c r="G1393" s="132"/>
      <c r="H1393" s="132"/>
      <c r="I1393" s="132"/>
      <c r="J1393" s="132"/>
      <c r="K1393" s="132"/>
      <c r="L1393" s="132"/>
      <c r="M1393" s="132"/>
      <c r="N1393" s="132"/>
    </row>
    <row r="1394" spans="1:14" ht="16" thickBot="1">
      <c r="B1394" s="244" t="s">
        <v>414</v>
      </c>
      <c r="D1394" s="132"/>
      <c r="E1394" s="132"/>
      <c r="F1394" s="132"/>
      <c r="G1394" s="132"/>
      <c r="H1394" s="132"/>
      <c r="I1394" s="132"/>
      <c r="J1394" s="132"/>
      <c r="K1394" s="132"/>
      <c r="L1394" s="132"/>
      <c r="M1394" s="132"/>
      <c r="N1394" s="132"/>
    </row>
    <row r="1395" spans="1:14">
      <c r="B1395" s="773" t="s">
        <v>1057</v>
      </c>
      <c r="C1395" s="774"/>
      <c r="D1395" s="775" t="s">
        <v>900</v>
      </c>
      <c r="E1395" s="775" t="s">
        <v>901</v>
      </c>
      <c r="F1395" s="775" t="s">
        <v>902</v>
      </c>
      <c r="G1395" s="776" t="s">
        <v>903</v>
      </c>
      <c r="H1395" s="509"/>
      <c r="I1395" s="509"/>
      <c r="J1395" s="509"/>
      <c r="K1395" s="509"/>
      <c r="L1395" s="509"/>
      <c r="M1395" s="501"/>
      <c r="N1395" s="132"/>
    </row>
    <row r="1396" spans="1:14">
      <c r="B1396" s="341" t="s">
        <v>1058</v>
      </c>
      <c r="C1396" s="342"/>
      <c r="D1396" s="777">
        <f>D1397/365</f>
        <v>0</v>
      </c>
      <c r="E1396" s="777">
        <f>E1397/365</f>
        <v>0</v>
      </c>
      <c r="F1396" s="777">
        <f>F1397/365</f>
        <v>0</v>
      </c>
      <c r="G1396" s="778">
        <f>G1397/365</f>
        <v>0</v>
      </c>
      <c r="H1396" s="132"/>
      <c r="I1396" s="642" t="s">
        <v>1059</v>
      </c>
      <c r="J1396" s="132"/>
      <c r="K1396" s="132"/>
      <c r="L1396" s="132"/>
      <c r="M1396" s="142"/>
      <c r="N1396" s="132"/>
    </row>
    <row r="1397" spans="1:14">
      <c r="B1397" s="337" t="s">
        <v>1060</v>
      </c>
      <c r="C1397" s="338"/>
      <c r="D1397" s="779">
        <f>IFERROR([2]Payback!$I$90/[2]Payback!$I$63,0)</f>
        <v>0</v>
      </c>
      <c r="E1397" s="779">
        <f>IFERROR([2]Payback!$I$90/[2]Payback!$I$63,0)</f>
        <v>0</v>
      </c>
      <c r="F1397" s="779">
        <f>IFERROR([2]Payback!$I$90/[2]Payback!$I$63,0)</f>
        <v>0</v>
      </c>
      <c r="G1397" s="780">
        <f>IFERROR([2]Payback!$I$90/[2]Payback!$I$63,0)</f>
        <v>0</v>
      </c>
      <c r="H1397" s="132"/>
      <c r="I1397" s="646" t="s">
        <v>900</v>
      </c>
      <c r="J1397" s="132"/>
      <c r="K1397" s="132"/>
      <c r="L1397" s="132"/>
      <c r="M1397" s="142"/>
      <c r="N1397" s="132"/>
    </row>
    <row r="1398" spans="1:14">
      <c r="B1398" s="341" t="s">
        <v>1061</v>
      </c>
      <c r="C1398" s="132"/>
      <c r="D1398" s="553"/>
      <c r="E1398" s="553"/>
      <c r="F1398" s="553"/>
      <c r="G1398" s="647"/>
      <c r="H1398" s="132"/>
      <c r="I1398" s="646" t="s">
        <v>901</v>
      </c>
      <c r="J1398" s="132"/>
      <c r="K1398" s="132"/>
      <c r="L1398" s="132"/>
      <c r="M1398" s="142"/>
      <c r="N1398" s="132"/>
    </row>
    <row r="1399" spans="1:14">
      <c r="B1399" s="136" t="s">
        <v>1062</v>
      </c>
      <c r="C1399" s="132"/>
      <c r="D1399" s="553"/>
      <c r="E1399" s="553"/>
      <c r="F1399" s="553"/>
      <c r="G1399" s="647"/>
      <c r="H1399" s="132"/>
      <c r="I1399" s="646" t="s">
        <v>902</v>
      </c>
      <c r="J1399" s="132"/>
      <c r="K1399" s="132"/>
      <c r="L1399" s="132"/>
      <c r="M1399" s="142"/>
      <c r="N1399" s="132"/>
    </row>
    <row r="1400" spans="1:14">
      <c r="B1400" s="136" t="s">
        <v>1063</v>
      </c>
      <c r="C1400" s="132"/>
      <c r="D1400" s="553"/>
      <c r="E1400" s="553"/>
      <c r="F1400" s="553"/>
      <c r="G1400" s="647"/>
      <c r="H1400" s="132"/>
      <c r="I1400" s="132" t="s">
        <v>903</v>
      </c>
      <c r="J1400" s="132"/>
      <c r="K1400" s="132"/>
      <c r="L1400" s="132"/>
      <c r="M1400" s="142"/>
      <c r="N1400" s="132"/>
    </row>
    <row r="1401" spans="1:14">
      <c r="B1401" s="337" t="s">
        <v>909</v>
      </c>
      <c r="C1401" s="338"/>
      <c r="D1401" s="338"/>
      <c r="E1401" s="338"/>
      <c r="F1401" s="338"/>
      <c r="G1401" s="663"/>
      <c r="H1401" s="132"/>
      <c r="J1401" s="132"/>
      <c r="K1401" s="132"/>
      <c r="L1401" s="132"/>
      <c r="M1401" s="142"/>
      <c r="N1401" s="132"/>
    </row>
    <row r="1402" spans="1:14">
      <c r="B1402" s="651" t="s">
        <v>910</v>
      </c>
      <c r="C1402" s="338" t="s">
        <v>1064</v>
      </c>
      <c r="D1402" s="652">
        <f>14.364*D1397+1353400.68</f>
        <v>1353400.68</v>
      </c>
      <c r="E1402" s="652">
        <f>14.364*E1397+1353400.68</f>
        <v>1353400.68</v>
      </c>
      <c r="F1402" s="652">
        <f>14.364*F1397+1353400.68</f>
        <v>1353400.68</v>
      </c>
      <c r="G1402" s="653">
        <f>14.364*G1397+1353400.68</f>
        <v>1353400.68</v>
      </c>
      <c r="H1402" s="132"/>
      <c r="I1402" s="132"/>
      <c r="J1402" s="132"/>
      <c r="K1402" s="132"/>
      <c r="L1402" s="132"/>
      <c r="M1402" s="142"/>
      <c r="N1402" s="132"/>
    </row>
    <row r="1403" spans="1:14">
      <c r="B1403" s="657"/>
      <c r="C1403" s="132"/>
      <c r="D1403" s="658"/>
      <c r="E1403" s="658"/>
      <c r="F1403" s="553"/>
      <c r="G1403" s="647"/>
      <c r="H1403" s="132"/>
      <c r="I1403" s="132"/>
      <c r="J1403" s="132"/>
      <c r="K1403" s="132"/>
      <c r="L1403" s="132"/>
      <c r="M1403" s="142"/>
      <c r="N1403" s="132"/>
    </row>
    <row r="1404" spans="1:14">
      <c r="B1404" s="136" t="s">
        <v>1065</v>
      </c>
      <c r="C1404" s="132"/>
      <c r="D1404" s="658"/>
      <c r="E1404" s="658"/>
      <c r="F1404" s="658"/>
      <c r="G1404" s="738"/>
      <c r="H1404" s="132"/>
      <c r="I1404" s="132"/>
      <c r="J1404" s="132"/>
      <c r="K1404" s="132"/>
      <c r="L1404" s="132"/>
      <c r="M1404" s="142"/>
      <c r="N1404" s="132"/>
    </row>
    <row r="1405" spans="1:14" ht="16">
      <c r="B1405" s="638"/>
      <c r="C1405" s="639" t="s">
        <v>10</v>
      </c>
      <c r="D1405" s="640"/>
      <c r="E1405" s="660" t="s">
        <v>901</v>
      </c>
      <c r="F1405" s="640"/>
      <c r="G1405" s="641" t="s">
        <v>903</v>
      </c>
      <c r="H1405" s="132"/>
      <c r="I1405" s="132"/>
      <c r="J1405" s="132"/>
      <c r="K1405" s="132"/>
      <c r="L1405" s="132"/>
      <c r="M1405" s="142"/>
      <c r="N1405" s="132"/>
    </row>
    <row r="1406" spans="1:14">
      <c r="B1406" s="341" t="s">
        <v>916</v>
      </c>
      <c r="C1406" s="342"/>
      <c r="D1406" s="342"/>
      <c r="E1406" s="342"/>
      <c r="F1406" s="342"/>
      <c r="G1406" s="662"/>
      <c r="H1406" s="132"/>
      <c r="I1406" s="132"/>
      <c r="J1406" s="132"/>
      <c r="K1406" s="132"/>
      <c r="L1406" s="132"/>
      <c r="M1406" s="142"/>
      <c r="N1406" s="132"/>
    </row>
    <row r="1407" spans="1:14">
      <c r="B1407" s="337" t="s">
        <v>917</v>
      </c>
      <c r="C1407" s="349"/>
      <c r="D1407" s="338"/>
      <c r="E1407" s="338"/>
      <c r="F1407" s="338"/>
      <c r="G1407" s="663"/>
      <c r="H1407" s="132"/>
      <c r="I1407" s="132"/>
      <c r="J1407" s="132"/>
      <c r="K1407" s="132"/>
      <c r="L1407" s="132"/>
      <c r="M1407" s="142"/>
      <c r="N1407" s="132"/>
    </row>
    <row r="1408" spans="1:14">
      <c r="B1408" s="664" t="s">
        <v>918</v>
      </c>
      <c r="C1408" s="338" t="s">
        <v>1066</v>
      </c>
      <c r="D1408" s="338"/>
      <c r="E1408" s="652">
        <f>0.061*E1402</f>
        <v>82557.441479999994</v>
      </c>
      <c r="F1408" s="338"/>
      <c r="G1408" s="653">
        <f>0.061*G1402</f>
        <v>82557.441479999994</v>
      </c>
      <c r="H1408" s="132"/>
      <c r="I1408" s="132"/>
      <c r="J1408" s="132"/>
      <c r="K1408" s="132"/>
      <c r="L1408" s="132"/>
      <c r="M1408" s="142"/>
      <c r="N1408" s="132"/>
    </row>
    <row r="1409" spans="2:14">
      <c r="B1409" s="336"/>
      <c r="C1409" s="132"/>
      <c r="D1409" s="132"/>
      <c r="E1409" s="658"/>
      <c r="F1409" s="132"/>
      <c r="G1409" s="658"/>
      <c r="H1409" s="132"/>
      <c r="I1409" s="132"/>
      <c r="J1409" s="132"/>
      <c r="K1409" s="132"/>
      <c r="L1409" s="132"/>
      <c r="M1409" s="142"/>
      <c r="N1409" s="132"/>
    </row>
    <row r="1410" spans="2:14" ht="30">
      <c r="B1410" s="781" t="s">
        <v>1067</v>
      </c>
      <c r="C1410" s="132" t="s">
        <v>1064</v>
      </c>
      <c r="D1410" s="132"/>
      <c r="E1410" s="132"/>
      <c r="F1410" s="132"/>
      <c r="G1410" s="132"/>
      <c r="H1410" s="132"/>
      <c r="I1410" s="132"/>
      <c r="J1410" s="132"/>
      <c r="K1410" s="132"/>
      <c r="L1410" s="132"/>
      <c r="M1410" s="142"/>
      <c r="N1410" s="132"/>
    </row>
    <row r="1411" spans="2:14">
      <c r="B1411" s="341" t="s">
        <v>1068</v>
      </c>
      <c r="C1411" s="342"/>
      <c r="D1411" s="342">
        <v>100</v>
      </c>
      <c r="E1411" s="342">
        <v>200</v>
      </c>
      <c r="F1411" s="342">
        <v>300</v>
      </c>
      <c r="G1411" s="662">
        <v>400</v>
      </c>
      <c r="H1411" s="132"/>
      <c r="I1411" s="132"/>
      <c r="J1411" s="132"/>
      <c r="K1411" s="132"/>
      <c r="L1411" s="132"/>
      <c r="M1411" s="142"/>
      <c r="N1411" s="132"/>
    </row>
    <row r="1412" spans="2:14">
      <c r="B1412" s="136" t="s">
        <v>1069</v>
      </c>
      <c r="C1412" s="132"/>
      <c r="D1412" s="132">
        <f>D1411*365</f>
        <v>36500</v>
      </c>
      <c r="E1412" s="132">
        <f>E1411*365</f>
        <v>73000</v>
      </c>
      <c r="F1412" s="132">
        <f>F1411*365</f>
        <v>109500</v>
      </c>
      <c r="G1412" s="255">
        <f>G1411*365</f>
        <v>146000</v>
      </c>
      <c r="H1412" s="132"/>
      <c r="I1412" s="132"/>
      <c r="J1412" s="132"/>
      <c r="K1412" s="132"/>
      <c r="L1412" s="132"/>
      <c r="M1412" s="142"/>
      <c r="N1412" s="132"/>
    </row>
    <row r="1413" spans="2:14">
      <c r="B1413" s="782" t="s">
        <v>1070</v>
      </c>
      <c r="C1413" s="156">
        <v>1</v>
      </c>
      <c r="D1413" s="669">
        <v>83769</v>
      </c>
      <c r="E1413" s="669">
        <v>83769</v>
      </c>
      <c r="F1413" s="669">
        <v>83769</v>
      </c>
      <c r="G1413" s="783">
        <v>83769</v>
      </c>
      <c r="H1413" s="132"/>
      <c r="I1413" s="132"/>
      <c r="J1413" s="132"/>
      <c r="K1413" s="132"/>
      <c r="L1413" s="132"/>
      <c r="M1413" s="142"/>
      <c r="N1413" s="132"/>
    </row>
    <row r="1414" spans="2:14">
      <c r="B1414" s="784" t="s">
        <v>1071</v>
      </c>
      <c r="C1414" s="160">
        <v>3</v>
      </c>
      <c r="D1414" s="672">
        <v>602790.91160496068</v>
      </c>
      <c r="E1414" s="672">
        <v>899714</v>
      </c>
      <c r="F1414" s="672">
        <v>1137472.8700891002</v>
      </c>
      <c r="G1414" s="785">
        <v>1569455.6399640571</v>
      </c>
      <c r="H1414" s="132"/>
      <c r="I1414" s="132"/>
      <c r="J1414" s="132"/>
      <c r="K1414" s="132"/>
      <c r="L1414" s="132"/>
      <c r="M1414" s="142"/>
      <c r="N1414" s="132"/>
    </row>
    <row r="1415" spans="2:14">
      <c r="B1415" s="784" t="s">
        <v>1072</v>
      </c>
      <c r="C1415" s="160">
        <v>1</v>
      </c>
      <c r="D1415" s="672">
        <v>100000</v>
      </c>
      <c r="E1415" s="672">
        <v>100000</v>
      </c>
      <c r="F1415" s="672">
        <v>100000</v>
      </c>
      <c r="G1415" s="785">
        <v>100000</v>
      </c>
      <c r="H1415" s="132"/>
      <c r="I1415" s="132"/>
      <c r="J1415" s="132"/>
      <c r="K1415" s="132"/>
      <c r="L1415" s="132"/>
      <c r="M1415" s="142"/>
      <c r="N1415" s="132"/>
    </row>
    <row r="1416" spans="2:14">
      <c r="B1416" s="784" t="s">
        <v>652</v>
      </c>
      <c r="C1416" s="160"/>
      <c r="D1416" s="672">
        <v>26088.391116554911</v>
      </c>
      <c r="E1416" s="672">
        <v>26947</v>
      </c>
      <c r="F1416" s="672">
        <v>27787.325475213001</v>
      </c>
      <c r="G1416" s="785">
        <v>29615.264022958301</v>
      </c>
      <c r="H1416" s="132"/>
      <c r="I1416" s="132"/>
      <c r="J1416" s="132"/>
      <c r="K1416" s="132"/>
      <c r="L1416" s="132"/>
      <c r="M1416" s="142"/>
      <c r="N1416" s="132"/>
    </row>
    <row r="1417" spans="2:14">
      <c r="B1417" s="784" t="s">
        <v>1073</v>
      </c>
      <c r="C1417" s="160"/>
      <c r="D1417" s="672">
        <v>241236.15093844329</v>
      </c>
      <c r="E1417" s="672">
        <v>241236.15093844329</v>
      </c>
      <c r="F1417" s="672">
        <v>361854.22640766494</v>
      </c>
      <c r="G1417" s="785">
        <v>241236.15093844329</v>
      </c>
      <c r="H1417" s="132"/>
      <c r="I1417" s="132"/>
      <c r="J1417" s="132"/>
      <c r="K1417" s="132"/>
      <c r="L1417" s="132"/>
      <c r="M1417" s="142"/>
      <c r="N1417" s="132"/>
    </row>
    <row r="1418" spans="2:14">
      <c r="B1418" s="786" t="s">
        <v>1074</v>
      </c>
      <c r="C1418" s="170"/>
      <c r="D1418" s="733">
        <v>100000</v>
      </c>
      <c r="E1418" s="733">
        <v>100000</v>
      </c>
      <c r="F1418" s="733">
        <v>100000</v>
      </c>
      <c r="G1418" s="736">
        <v>100000</v>
      </c>
      <c r="H1418" s="132"/>
      <c r="I1418" s="132"/>
      <c r="J1418" s="132"/>
      <c r="K1418" s="132"/>
      <c r="L1418" s="132"/>
      <c r="M1418" s="142"/>
      <c r="N1418" s="132"/>
    </row>
    <row r="1419" spans="2:14">
      <c r="B1419" s="787" t="s">
        <v>1075</v>
      </c>
      <c r="C1419" s="156"/>
      <c r="D1419" s="669">
        <f>SUM(D1413:D1418)</f>
        <v>1153884.4536599589</v>
      </c>
      <c r="E1419" s="669">
        <f>SUM(E1413:E1418)</f>
        <v>1451666.1509384434</v>
      </c>
      <c r="F1419" s="669">
        <f>SUM(F1413:F1418)</f>
        <v>1810883.4219719782</v>
      </c>
      <c r="G1419" s="783">
        <f>SUM(G1413:G1418)</f>
        <v>2124076.0549254585</v>
      </c>
      <c r="H1419" s="132"/>
      <c r="I1419" s="132"/>
      <c r="J1419" s="132"/>
      <c r="K1419" s="132"/>
      <c r="L1419" s="132"/>
      <c r="M1419" s="142"/>
      <c r="N1419" s="132"/>
    </row>
    <row r="1420" spans="2:14">
      <c r="B1420" s="87" t="s">
        <v>1062</v>
      </c>
      <c r="C1420" s="160"/>
      <c r="D1420" s="672">
        <v>385113.15273748012</v>
      </c>
      <c r="E1420" s="672">
        <v>474617.03733345401</v>
      </c>
      <c r="F1420" s="672">
        <v>583874.78715721285</v>
      </c>
      <c r="G1420" s="785">
        <v>679550.83927813824</v>
      </c>
      <c r="H1420" s="132"/>
      <c r="I1420" s="132"/>
      <c r="J1420" s="132"/>
      <c r="K1420" s="132"/>
      <c r="L1420" s="132"/>
      <c r="M1420" s="142"/>
      <c r="N1420" s="132"/>
    </row>
    <row r="1421" spans="2:14">
      <c r="B1421" s="576" t="s">
        <v>1076</v>
      </c>
      <c r="C1421" s="580"/>
      <c r="D1421" s="788">
        <f>SUM(D1419:D1420)</f>
        <v>1538997.606397439</v>
      </c>
      <c r="E1421" s="788">
        <f>SUM(E1419:E1420)</f>
        <v>1926283.1882718974</v>
      </c>
      <c r="F1421" s="788">
        <f>SUM(F1419:F1420)</f>
        <v>2394758.209129191</v>
      </c>
      <c r="G1421" s="789">
        <f>SUM(G1419:G1420)</f>
        <v>2803626.8942035967</v>
      </c>
      <c r="H1421" s="132"/>
      <c r="I1421" s="132"/>
      <c r="J1421" s="132"/>
      <c r="K1421" s="132"/>
      <c r="L1421" s="132"/>
      <c r="M1421" s="142"/>
      <c r="N1421" s="132"/>
    </row>
    <row r="1422" spans="2:14">
      <c r="B1422" s="576" t="s">
        <v>1077</v>
      </c>
      <c r="C1422" s="580"/>
      <c r="D1422" s="788">
        <v>353969.449471411</v>
      </c>
      <c r="E1422" s="788">
        <v>443045.13330253644</v>
      </c>
      <c r="F1422" s="788">
        <v>550794.38809971395</v>
      </c>
      <c r="G1422" s="789">
        <v>644834.18566682725</v>
      </c>
      <c r="H1422" s="132"/>
      <c r="I1422" s="132"/>
      <c r="J1422" s="132"/>
      <c r="K1422" s="132"/>
      <c r="L1422" s="132"/>
      <c r="M1422" s="142"/>
      <c r="N1422" s="132"/>
    </row>
    <row r="1423" spans="2:14">
      <c r="B1423" s="651" t="s">
        <v>1078</v>
      </c>
      <c r="C1423" s="338"/>
      <c r="D1423" s="649">
        <f>D1421+D1422</f>
        <v>1892967.0558688501</v>
      </c>
      <c r="E1423" s="649">
        <f>E1421+E1422</f>
        <v>2369328.3215744337</v>
      </c>
      <c r="F1423" s="649">
        <f>F1421+F1422</f>
        <v>2945552.5972289052</v>
      </c>
      <c r="G1423" s="650">
        <f>G1421+G1422</f>
        <v>3448461.0798704242</v>
      </c>
      <c r="H1423" s="132"/>
      <c r="I1423" s="132"/>
      <c r="J1423" s="132"/>
      <c r="K1423" s="132"/>
      <c r="L1423" s="132"/>
      <c r="M1423" s="142"/>
      <c r="N1423" s="132"/>
    </row>
    <row r="1424" spans="2:14">
      <c r="B1424" s="787" t="s">
        <v>1079</v>
      </c>
      <c r="C1424" s="156"/>
      <c r="D1424" s="790">
        <f>D1420/D1419</f>
        <v>0.33375365403005081</v>
      </c>
      <c r="E1424" s="790">
        <f>E1420/E1419</f>
        <v>0.32694641052740214</v>
      </c>
      <c r="F1424" s="790">
        <f>F1420/F1419</f>
        <v>0.32242538645662627</v>
      </c>
      <c r="G1424" s="791">
        <f>G1420/G1419</f>
        <v>0.31992773408576752</v>
      </c>
      <c r="H1424" s="132"/>
      <c r="I1424" s="132"/>
      <c r="J1424" s="132"/>
      <c r="K1424" s="132"/>
      <c r="L1424" s="132"/>
      <c r="M1424" s="142"/>
      <c r="N1424" s="132"/>
    </row>
    <row r="1425" spans="2:14">
      <c r="B1425" s="792" t="s">
        <v>1080</v>
      </c>
      <c r="C1425" s="170"/>
      <c r="D1425" s="793">
        <f>D1422/D$1421</f>
        <v>0.23</v>
      </c>
      <c r="E1425" s="793">
        <f>E1422/E$1421</f>
        <v>0.23000000000000004</v>
      </c>
      <c r="F1425" s="793">
        <f>F1422/F$1421</f>
        <v>0.23</v>
      </c>
      <c r="G1425" s="794">
        <f>G1422/G$1421</f>
        <v>0.23</v>
      </c>
      <c r="H1425" s="132"/>
      <c r="I1425" s="132"/>
      <c r="J1425" s="132"/>
      <c r="K1425" s="132"/>
      <c r="L1425" s="132"/>
      <c r="M1425" s="142"/>
      <c r="N1425" s="132"/>
    </row>
    <row r="1426" spans="2:14">
      <c r="B1426" s="87" t="s">
        <v>1081</v>
      </c>
      <c r="C1426" s="160"/>
      <c r="D1426" s="795"/>
      <c r="E1426" s="795"/>
      <c r="F1426" s="795"/>
      <c r="G1426" s="795"/>
      <c r="H1426" s="132"/>
      <c r="I1426" s="132"/>
      <c r="J1426" s="132"/>
      <c r="K1426" s="132"/>
      <c r="L1426" s="132"/>
      <c r="M1426" s="142"/>
      <c r="N1426" s="132"/>
    </row>
    <row r="1427" spans="2:14">
      <c r="B1427" s="87"/>
      <c r="C1427" s="160"/>
      <c r="D1427" s="795"/>
      <c r="E1427" s="795"/>
      <c r="F1427" s="795"/>
      <c r="G1427" s="795"/>
      <c r="H1427" s="132"/>
      <c r="I1427" s="132"/>
      <c r="J1427" s="132"/>
      <c r="K1427" s="132"/>
      <c r="L1427" s="132"/>
      <c r="M1427" s="142"/>
      <c r="N1427" s="132"/>
    </row>
    <row r="1428" spans="2:14" ht="30">
      <c r="B1428" s="781" t="s">
        <v>1067</v>
      </c>
      <c r="C1428" s="132" t="s">
        <v>1064</v>
      </c>
      <c r="D1428" s="132"/>
      <c r="E1428" s="132"/>
      <c r="F1428" s="132"/>
      <c r="G1428" s="132"/>
      <c r="H1428" s="132"/>
      <c r="I1428" s="132"/>
      <c r="J1428" s="132"/>
      <c r="K1428" s="132"/>
      <c r="L1428" s="132"/>
      <c r="M1428" s="142"/>
      <c r="N1428" s="132"/>
    </row>
    <row r="1429" spans="2:14">
      <c r="B1429" s="341" t="s">
        <v>1068</v>
      </c>
      <c r="C1429" s="342"/>
      <c r="D1429" s="342">
        <v>100</v>
      </c>
      <c r="E1429" s="342">
        <v>200</v>
      </c>
      <c r="F1429" s="342">
        <v>300</v>
      </c>
      <c r="G1429" s="662">
        <v>400</v>
      </c>
      <c r="H1429" s="132"/>
      <c r="I1429" s="132"/>
      <c r="J1429" s="132"/>
      <c r="K1429" s="132"/>
      <c r="L1429" s="132"/>
      <c r="M1429" s="142"/>
      <c r="N1429" s="132"/>
    </row>
    <row r="1430" spans="2:14">
      <c r="B1430" s="136" t="s">
        <v>1069</v>
      </c>
      <c r="C1430" s="132"/>
      <c r="D1430" s="132">
        <f>D1429*365</f>
        <v>36500</v>
      </c>
      <c r="E1430" s="132">
        <f>E1429*365</f>
        <v>73000</v>
      </c>
      <c r="F1430" s="132">
        <f>F1429*365</f>
        <v>109500</v>
      </c>
      <c r="G1430" s="255">
        <f>G1429*365</f>
        <v>146000</v>
      </c>
      <c r="H1430" s="132"/>
      <c r="I1430" s="132"/>
      <c r="J1430" s="132"/>
      <c r="K1430" s="132"/>
      <c r="L1430" s="132"/>
      <c r="M1430" s="142"/>
      <c r="N1430" s="132"/>
    </row>
    <row r="1431" spans="2:14">
      <c r="B1431" s="787" t="s">
        <v>1082</v>
      </c>
      <c r="C1431" s="342"/>
      <c r="D1431" s="644">
        <v>116052.5270903444</v>
      </c>
      <c r="E1431" s="644">
        <v>147111.74505554003</v>
      </c>
      <c r="F1431" s="644">
        <v>178030.5696240023</v>
      </c>
      <c r="G1431" s="645">
        <v>212249.99890422547</v>
      </c>
      <c r="H1431" s="132"/>
      <c r="I1431" s="132"/>
      <c r="J1431" s="132"/>
      <c r="K1431" s="132"/>
      <c r="L1431" s="132"/>
      <c r="M1431" s="142"/>
      <c r="N1431" s="132"/>
    </row>
    <row r="1432" spans="2:14">
      <c r="B1432" s="87" t="s">
        <v>1083</v>
      </c>
      <c r="C1432" s="132"/>
      <c r="D1432" s="357">
        <f>D1431/D$1421</f>
        <v>7.5407867177913188E-2</v>
      </c>
      <c r="E1432" s="357">
        <f>E1431/E$1421</f>
        <v>7.6370777646414784E-2</v>
      </c>
      <c r="F1432" s="357">
        <f>F1431/F$1421</f>
        <v>7.4341772353184579E-2</v>
      </c>
      <c r="G1432" s="796">
        <f>G1431/G$1421</f>
        <v>7.5705508226877521E-2</v>
      </c>
      <c r="H1432" s="132"/>
      <c r="I1432" s="132"/>
      <c r="J1432" s="132"/>
      <c r="K1432" s="132"/>
      <c r="L1432" s="132"/>
      <c r="M1432" s="142"/>
      <c r="N1432" s="132"/>
    </row>
    <row r="1433" spans="2:14">
      <c r="B1433" s="792" t="s">
        <v>1084</v>
      </c>
      <c r="C1433" s="338"/>
      <c r="D1433" s="797">
        <f>D1431/D1423</f>
        <v>6.13072090877343E-2</v>
      </c>
      <c r="E1433" s="797">
        <f>E1431/E1423</f>
        <v>6.2090063127166494E-2</v>
      </c>
      <c r="F1433" s="797">
        <f>F1431/F1423</f>
        <v>6.0440465327792334E-2</v>
      </c>
      <c r="G1433" s="798">
        <f>G1431/G1423</f>
        <v>6.1549193680388227E-2</v>
      </c>
      <c r="H1433" s="132"/>
      <c r="I1433" s="132"/>
      <c r="J1433" s="132"/>
      <c r="K1433" s="132"/>
      <c r="L1433" s="132"/>
      <c r="M1433" s="142"/>
      <c r="N1433" s="132"/>
    </row>
    <row r="1434" spans="2:14">
      <c r="B1434" s="87" t="s">
        <v>1085</v>
      </c>
      <c r="C1434" s="132"/>
      <c r="D1434" s="132"/>
      <c r="E1434" s="132"/>
      <c r="F1434" s="132"/>
      <c r="G1434" s="132"/>
      <c r="H1434" s="132"/>
      <c r="I1434" s="132"/>
      <c r="J1434" s="132"/>
      <c r="K1434" s="132"/>
      <c r="L1434" s="132"/>
      <c r="M1434" s="142"/>
      <c r="N1434" s="132"/>
    </row>
    <row r="1435" spans="2:14">
      <c r="B1435" s="336"/>
      <c r="C1435" s="132"/>
      <c r="D1435" s="132"/>
      <c r="E1435" s="132"/>
      <c r="F1435" s="132"/>
      <c r="G1435" s="132"/>
      <c r="H1435" s="132"/>
      <c r="I1435" s="132"/>
      <c r="J1435" s="132"/>
      <c r="K1435" s="132"/>
      <c r="L1435" s="132"/>
      <c r="M1435" s="142"/>
      <c r="N1435" s="132"/>
    </row>
    <row r="1436" spans="2:14">
      <c r="B1436" s="87" t="s">
        <v>1086</v>
      </c>
      <c r="C1436" s="132" t="s">
        <v>1064</v>
      </c>
      <c r="D1436" s="132"/>
      <c r="E1436" s="132"/>
      <c r="F1436" s="132"/>
      <c r="G1436" s="132"/>
      <c r="H1436" s="132"/>
      <c r="I1436" s="132"/>
      <c r="J1436" s="132"/>
      <c r="K1436" s="132"/>
      <c r="L1436" s="132"/>
      <c r="M1436" s="142"/>
      <c r="N1436" s="132"/>
    </row>
    <row r="1437" spans="2:14">
      <c r="B1437" s="341" t="s">
        <v>1087</v>
      </c>
      <c r="C1437" s="662">
        <v>3</v>
      </c>
      <c r="D1437" s="132"/>
      <c r="E1437" s="132"/>
      <c r="F1437" s="132"/>
      <c r="G1437" s="132"/>
      <c r="H1437" s="132"/>
      <c r="I1437" s="132"/>
      <c r="J1437" s="132"/>
      <c r="K1437" s="132"/>
      <c r="L1437" s="132"/>
      <c r="M1437" s="142"/>
      <c r="N1437" s="132"/>
    </row>
    <row r="1438" spans="2:14">
      <c r="B1438" s="136" t="s">
        <v>1088</v>
      </c>
      <c r="C1438" s="255">
        <v>4</v>
      </c>
      <c r="D1438" s="132"/>
      <c r="E1438" s="132"/>
      <c r="F1438" s="132"/>
      <c r="G1438" s="132"/>
      <c r="H1438" s="132"/>
      <c r="I1438" s="132"/>
      <c r="J1438" s="132"/>
      <c r="K1438" s="132"/>
      <c r="L1438" s="132"/>
      <c r="M1438" s="142"/>
      <c r="N1438" s="132"/>
    </row>
    <row r="1439" spans="2:14">
      <c r="B1439" s="136" t="s">
        <v>1089</v>
      </c>
      <c r="C1439" s="255">
        <v>1</v>
      </c>
      <c r="D1439" s="132"/>
      <c r="E1439" s="132"/>
      <c r="F1439" s="132"/>
      <c r="G1439" s="132"/>
      <c r="H1439" s="132"/>
      <c r="I1439" s="132"/>
      <c r="J1439" s="132"/>
      <c r="K1439" s="132"/>
      <c r="L1439" s="132"/>
      <c r="M1439" s="142"/>
      <c r="N1439" s="132"/>
    </row>
    <row r="1440" spans="2:14">
      <c r="B1440" s="136" t="s">
        <v>1090</v>
      </c>
      <c r="C1440" s="255">
        <v>5</v>
      </c>
      <c r="D1440" s="132"/>
      <c r="E1440" s="132"/>
      <c r="F1440" s="132"/>
      <c r="G1440" s="132"/>
      <c r="H1440" s="132"/>
      <c r="I1440" s="132"/>
      <c r="J1440" s="132"/>
      <c r="K1440" s="132"/>
      <c r="L1440" s="132"/>
      <c r="M1440" s="142"/>
      <c r="N1440" s="132"/>
    </row>
    <row r="1441" spans="2:14">
      <c r="B1441" s="136" t="s">
        <v>1091</v>
      </c>
      <c r="C1441" s="255">
        <v>5</v>
      </c>
      <c r="D1441" s="132"/>
      <c r="E1441" s="132"/>
      <c r="F1441" s="132"/>
      <c r="G1441" s="132"/>
      <c r="H1441" s="132"/>
      <c r="I1441" s="132"/>
      <c r="J1441" s="132"/>
      <c r="K1441" s="132"/>
      <c r="L1441" s="132"/>
      <c r="M1441" s="142"/>
      <c r="N1441" s="132"/>
    </row>
    <row r="1442" spans="2:14">
      <c r="B1442" s="337" t="s">
        <v>1092</v>
      </c>
      <c r="C1442" s="663">
        <v>2</v>
      </c>
      <c r="D1442" s="132"/>
      <c r="E1442" s="132"/>
      <c r="F1442" s="132"/>
      <c r="G1442" s="132"/>
      <c r="H1442" s="132"/>
      <c r="I1442" s="132"/>
      <c r="J1442" s="132"/>
      <c r="K1442" s="132"/>
      <c r="L1442" s="132"/>
      <c r="M1442" s="142"/>
      <c r="N1442" s="132"/>
    </row>
    <row r="1443" spans="2:14">
      <c r="B1443" s="336"/>
      <c r="C1443" s="132"/>
      <c r="D1443" s="132"/>
      <c r="E1443" s="132"/>
      <c r="F1443" s="132"/>
      <c r="G1443" s="132"/>
      <c r="H1443" s="132"/>
      <c r="I1443" s="132"/>
      <c r="J1443" s="132"/>
      <c r="K1443" s="132"/>
      <c r="L1443" s="132"/>
      <c r="M1443" s="142"/>
      <c r="N1443" s="132"/>
    </row>
    <row r="1444" spans="2:14">
      <c r="B1444" s="271" t="s">
        <v>1093</v>
      </c>
      <c r="C1444" s="325" t="s">
        <v>1094</v>
      </c>
      <c r="D1444" s="799"/>
      <c r="E1444" s="325" t="s">
        <v>1095</v>
      </c>
      <c r="F1444" s="325"/>
      <c r="G1444" s="325"/>
      <c r="H1444" s="800" t="s">
        <v>900</v>
      </c>
      <c r="I1444" s="800" t="s">
        <v>901</v>
      </c>
      <c r="J1444" s="132"/>
      <c r="K1444" s="132"/>
      <c r="L1444" s="132"/>
      <c r="M1444" s="142"/>
      <c r="N1444" s="132"/>
    </row>
    <row r="1445" spans="2:14">
      <c r="B1445" s="541" t="s">
        <v>1068</v>
      </c>
      <c r="C1445" s="542"/>
      <c r="D1445" s="542">
        <v>100</v>
      </c>
      <c r="E1445" s="542">
        <v>200</v>
      </c>
      <c r="F1445" s="542">
        <v>300</v>
      </c>
      <c r="G1445" s="585">
        <v>400</v>
      </c>
      <c r="H1445" s="801"/>
      <c r="I1445" s="585"/>
      <c r="J1445" s="132"/>
      <c r="K1445" s="132"/>
      <c r="L1445" s="132"/>
      <c r="M1445" s="142"/>
      <c r="N1445" s="132"/>
    </row>
    <row r="1446" spans="2:14">
      <c r="B1446" s="544" t="s">
        <v>1069</v>
      </c>
      <c r="C1446" s="339"/>
      <c r="D1446" s="339">
        <f>D1445*365</f>
        <v>36500</v>
      </c>
      <c r="E1446" s="339">
        <f>E1445*365</f>
        <v>73000</v>
      </c>
      <c r="F1446" s="339">
        <f>F1445*365</f>
        <v>109500</v>
      </c>
      <c r="G1446" s="802">
        <f>G1445*365</f>
        <v>146000</v>
      </c>
      <c r="H1446" s="803"/>
      <c r="I1446" s="272"/>
      <c r="J1446" s="132"/>
      <c r="K1446" s="132"/>
      <c r="L1446" s="132"/>
      <c r="M1446" s="142"/>
      <c r="N1446" s="132"/>
    </row>
    <row r="1447" spans="2:14">
      <c r="B1447" s="541" t="s">
        <v>1061</v>
      </c>
      <c r="C1447" s="542"/>
      <c r="D1447" s="700">
        <v>1463300</v>
      </c>
      <c r="E1447" s="700">
        <v>1536800</v>
      </c>
      <c r="F1447" s="700">
        <v>1584500</v>
      </c>
      <c r="G1447" s="701">
        <v>1621100</v>
      </c>
      <c r="H1447" s="804"/>
      <c r="I1447" s="701"/>
      <c r="J1447" s="132"/>
      <c r="K1447" s="132"/>
      <c r="L1447" s="132"/>
      <c r="M1447" s="142"/>
      <c r="N1447" s="132"/>
    </row>
    <row r="1448" spans="2:14">
      <c r="B1448" s="271" t="s">
        <v>1096</v>
      </c>
      <c r="C1448" s="325"/>
      <c r="D1448" s="550">
        <v>44000</v>
      </c>
      <c r="E1448" s="550">
        <v>46200</v>
      </c>
      <c r="F1448" s="550">
        <v>47700</v>
      </c>
      <c r="G1448" s="702">
        <v>48800</v>
      </c>
      <c r="H1448" s="805"/>
      <c r="I1448" s="702"/>
      <c r="J1448" s="132"/>
      <c r="K1448" s="132"/>
      <c r="L1448" s="132"/>
      <c r="M1448" s="142"/>
      <c r="N1448" s="132"/>
    </row>
    <row r="1449" spans="2:14">
      <c r="B1449" s="271" t="s">
        <v>1097</v>
      </c>
      <c r="C1449" s="325"/>
      <c r="D1449" s="550">
        <v>961800</v>
      </c>
      <c r="E1449" s="550">
        <v>1009900</v>
      </c>
      <c r="F1449" s="550">
        <v>1041500</v>
      </c>
      <c r="G1449" s="702">
        <v>1065400</v>
      </c>
      <c r="H1449" s="805"/>
      <c r="I1449" s="702"/>
      <c r="J1449" s="132"/>
      <c r="K1449" s="132"/>
      <c r="L1449" s="132"/>
      <c r="M1449" s="142"/>
      <c r="N1449" s="132"/>
    </row>
    <row r="1450" spans="2:14">
      <c r="B1450" s="544" t="s">
        <v>909</v>
      </c>
      <c r="C1450" s="339"/>
      <c r="D1450" s="703"/>
      <c r="E1450" s="703"/>
      <c r="F1450" s="703"/>
      <c r="G1450" s="704"/>
      <c r="H1450" s="806"/>
      <c r="I1450" s="704"/>
      <c r="J1450" s="132"/>
      <c r="K1450" s="132"/>
      <c r="L1450" s="132"/>
      <c r="M1450" s="142"/>
      <c r="N1450" s="132"/>
    </row>
    <row r="1451" spans="2:14">
      <c r="B1451" s="807" t="s">
        <v>1078</v>
      </c>
      <c r="C1451" s="695"/>
      <c r="D1451" s="808">
        <f>SUM(D1447:D1450)</f>
        <v>2469100</v>
      </c>
      <c r="E1451" s="808">
        <f>SUM(E1447:E1450)</f>
        <v>2592900</v>
      </c>
      <c r="F1451" s="808">
        <f>SUM(F1447:F1450)</f>
        <v>2673700</v>
      </c>
      <c r="G1451" s="809">
        <f>SUM(G1447:G1450)</f>
        <v>2735300</v>
      </c>
      <c r="H1451" s="810">
        <f>2.4093*$N$1401+2397900</f>
        <v>2397900</v>
      </c>
      <c r="I1451" s="809">
        <f>2.4093*$N$1402+2397900</f>
        <v>2397900</v>
      </c>
      <c r="J1451" s="132"/>
      <c r="K1451" s="132"/>
      <c r="L1451" s="132"/>
      <c r="M1451" s="142"/>
      <c r="N1451" s="132"/>
    </row>
    <row r="1452" spans="2:14">
      <c r="B1452" s="136"/>
      <c r="C1452" s="132"/>
      <c r="D1452" s="132"/>
      <c r="E1452" s="132"/>
      <c r="F1452" s="132"/>
      <c r="G1452" s="132"/>
      <c r="H1452" s="132"/>
      <c r="I1452" s="132"/>
      <c r="J1452" s="132"/>
      <c r="K1452" s="132"/>
      <c r="L1452" s="132"/>
      <c r="M1452" s="142"/>
      <c r="N1452" s="132"/>
    </row>
    <row r="1453" spans="2:14" ht="30">
      <c r="B1453" s="811" t="s">
        <v>1067</v>
      </c>
      <c r="C1453" s="325" t="s">
        <v>1064</v>
      </c>
      <c r="D1453" s="325"/>
      <c r="E1453" s="325"/>
      <c r="F1453" s="325"/>
      <c r="G1453" s="325"/>
      <c r="H1453" s="132"/>
      <c r="I1453" s="132"/>
      <c r="J1453" s="132"/>
      <c r="K1453" s="132"/>
      <c r="L1453" s="132"/>
      <c r="M1453" s="142"/>
      <c r="N1453" s="132"/>
    </row>
    <row r="1454" spans="2:14">
      <c r="B1454" s="541" t="s">
        <v>1068</v>
      </c>
      <c r="C1454" s="542"/>
      <c r="D1454" s="542">
        <v>100</v>
      </c>
      <c r="E1454" s="542">
        <v>200</v>
      </c>
      <c r="F1454" s="542">
        <v>300</v>
      </c>
      <c r="G1454" s="585">
        <v>400</v>
      </c>
      <c r="H1454" s="132"/>
      <c r="I1454" s="132"/>
      <c r="J1454" s="132"/>
      <c r="K1454" s="132"/>
      <c r="L1454" s="132"/>
      <c r="M1454" s="142"/>
      <c r="N1454" s="132"/>
    </row>
    <row r="1455" spans="2:14">
      <c r="B1455" s="544" t="s">
        <v>1069</v>
      </c>
      <c r="C1455" s="339"/>
      <c r="D1455" s="339">
        <f>D1454*365</f>
        <v>36500</v>
      </c>
      <c r="E1455" s="339">
        <f>E1454*365</f>
        <v>73000</v>
      </c>
      <c r="F1455" s="339">
        <f>F1454*365</f>
        <v>109500</v>
      </c>
      <c r="G1455" s="802">
        <f>G1454*365</f>
        <v>146000</v>
      </c>
      <c r="H1455" s="132"/>
      <c r="I1455" s="132"/>
      <c r="J1455" s="132"/>
      <c r="K1455" s="132"/>
      <c r="L1455" s="132"/>
      <c r="M1455" s="142"/>
      <c r="N1455" s="132"/>
    </row>
    <row r="1456" spans="2:14">
      <c r="B1456" s="541" t="s">
        <v>1061</v>
      </c>
      <c r="C1456" s="542"/>
      <c r="D1456" s="700">
        <v>718810.68078037526</v>
      </c>
      <c r="E1456" s="700">
        <v>772116.1269818336</v>
      </c>
      <c r="F1456" s="700">
        <v>840017.04090161808</v>
      </c>
      <c r="G1456" s="701">
        <v>900456.77224692516</v>
      </c>
      <c r="H1456" s="132"/>
      <c r="I1456" s="132"/>
      <c r="J1456" s="132"/>
      <c r="K1456" s="132"/>
      <c r="L1456" s="132"/>
      <c r="M1456" s="142"/>
      <c r="N1456" s="132"/>
    </row>
    <row r="1457" spans="2:14">
      <c r="B1457" s="271" t="s">
        <v>1098</v>
      </c>
      <c r="C1457" s="325"/>
      <c r="D1457" s="550">
        <v>211345.28101188398</v>
      </c>
      <c r="E1457" s="550">
        <v>228150.81855304085</v>
      </c>
      <c r="F1457" s="550">
        <v>249678.14074833132</v>
      </c>
      <c r="G1457" s="702">
        <v>268940.30215744209</v>
      </c>
      <c r="H1457" s="132"/>
      <c r="I1457" s="132"/>
      <c r="J1457" s="132"/>
      <c r="K1457" s="132"/>
      <c r="L1457" s="132"/>
      <c r="M1457" s="142"/>
      <c r="N1457" s="132"/>
    </row>
    <row r="1458" spans="2:14">
      <c r="B1458" s="271" t="s">
        <v>1099</v>
      </c>
      <c r="C1458" s="325"/>
      <c r="D1458" s="550">
        <v>213935.87121221964</v>
      </c>
      <c r="E1458" s="550">
        <v>230061.39747302115</v>
      </c>
      <c r="F1458" s="550">
        <v>250629.89177948836</v>
      </c>
      <c r="G1458" s="702">
        <v>268961.32711300446</v>
      </c>
      <c r="H1458" s="132"/>
      <c r="I1458" s="132"/>
      <c r="J1458" s="132"/>
      <c r="K1458" s="132"/>
      <c r="L1458" s="132"/>
      <c r="M1458" s="142"/>
      <c r="N1458" s="132"/>
    </row>
    <row r="1459" spans="2:14">
      <c r="B1459" s="544" t="s">
        <v>1100</v>
      </c>
      <c r="C1459" s="339"/>
      <c r="D1459" s="703">
        <v>0</v>
      </c>
      <c r="E1459" s="703">
        <v>0</v>
      </c>
      <c r="F1459" s="703">
        <v>0</v>
      </c>
      <c r="G1459" s="704">
        <v>0</v>
      </c>
      <c r="H1459" s="132"/>
      <c r="I1459" s="132"/>
      <c r="J1459" s="132"/>
      <c r="K1459" s="132"/>
      <c r="L1459" s="132"/>
      <c r="M1459" s="142"/>
      <c r="N1459" s="132"/>
    </row>
    <row r="1460" spans="2:14">
      <c r="B1460" s="544" t="s">
        <v>271</v>
      </c>
      <c r="C1460" s="339"/>
      <c r="D1460" s="703">
        <f>SUM(D1456:D1459)</f>
        <v>1144091.8330044788</v>
      </c>
      <c r="E1460" s="703">
        <f>SUM(E1456:E1459)</f>
        <v>1230328.3430078956</v>
      </c>
      <c r="F1460" s="703">
        <f>SUM(F1456:F1459)</f>
        <v>1340325.0734294378</v>
      </c>
      <c r="G1460" s="704">
        <f>SUM(G1456:G1459)</f>
        <v>1438358.4015173716</v>
      </c>
      <c r="H1460" s="132"/>
      <c r="I1460" s="132"/>
      <c r="J1460" s="132"/>
      <c r="K1460" s="132"/>
      <c r="L1460" s="132"/>
      <c r="M1460" s="142"/>
      <c r="N1460" s="132"/>
    </row>
    <row r="1461" spans="2:14">
      <c r="B1461" s="271" t="s">
        <v>1101</v>
      </c>
      <c r="C1461" s="325"/>
      <c r="D1461" s="550"/>
      <c r="E1461" s="550"/>
      <c r="F1461" s="550"/>
      <c r="G1461" s="550"/>
      <c r="H1461" s="132"/>
      <c r="I1461" s="132"/>
      <c r="J1461" s="132"/>
      <c r="K1461" s="132"/>
      <c r="L1461" s="132"/>
      <c r="M1461" s="142"/>
      <c r="N1461" s="132"/>
    </row>
    <row r="1462" spans="2:14">
      <c r="B1462" s="271"/>
      <c r="C1462" s="325"/>
      <c r="D1462" s="550"/>
      <c r="E1462" s="550"/>
      <c r="F1462" s="550"/>
      <c r="G1462" s="550"/>
      <c r="H1462" s="132"/>
      <c r="I1462" s="132"/>
      <c r="J1462" s="132"/>
      <c r="K1462" s="132"/>
      <c r="L1462" s="132"/>
      <c r="M1462" s="142"/>
      <c r="N1462" s="132"/>
    </row>
    <row r="1463" spans="2:14">
      <c r="B1463" s="812" t="s">
        <v>1086</v>
      </c>
      <c r="C1463" s="325" t="s">
        <v>1064</v>
      </c>
      <c r="D1463" s="325"/>
      <c r="E1463" s="325"/>
      <c r="F1463" s="325"/>
      <c r="G1463" s="325"/>
      <c r="H1463" s="132"/>
      <c r="I1463" s="132"/>
      <c r="J1463" s="132"/>
      <c r="K1463" s="132"/>
      <c r="L1463" s="132"/>
      <c r="M1463" s="142"/>
      <c r="N1463" s="132"/>
    </row>
    <row r="1464" spans="2:14">
      <c r="B1464" s="541" t="s">
        <v>1087</v>
      </c>
      <c r="C1464" s="585">
        <v>1</v>
      </c>
      <c r="D1464" s="325"/>
      <c r="E1464" s="325"/>
      <c r="F1464" s="325"/>
      <c r="G1464" s="325"/>
      <c r="H1464" s="132"/>
      <c r="I1464" s="132"/>
      <c r="J1464" s="132"/>
      <c r="K1464" s="132"/>
      <c r="L1464" s="132"/>
      <c r="M1464" s="142"/>
      <c r="N1464" s="132"/>
    </row>
    <row r="1465" spans="2:14">
      <c r="B1465" s="271" t="s">
        <v>1088</v>
      </c>
      <c r="C1465" s="272">
        <v>4</v>
      </c>
      <c r="D1465" s="325"/>
      <c r="E1465" s="325"/>
      <c r="F1465" s="325"/>
      <c r="G1465" s="325"/>
      <c r="H1465" s="132"/>
      <c r="I1465" s="132"/>
      <c r="J1465" s="132"/>
      <c r="K1465" s="132"/>
      <c r="L1465" s="132"/>
      <c r="M1465" s="142"/>
      <c r="N1465" s="132"/>
    </row>
    <row r="1466" spans="2:14">
      <c r="B1466" s="271" t="s">
        <v>1089</v>
      </c>
      <c r="C1466" s="272">
        <v>1</v>
      </c>
      <c r="D1466" s="325"/>
      <c r="E1466" s="325"/>
      <c r="F1466" s="325"/>
      <c r="G1466" s="325"/>
      <c r="H1466" s="132"/>
      <c r="I1466" s="132"/>
      <c r="J1466" s="132"/>
      <c r="K1466" s="132"/>
      <c r="L1466" s="132"/>
      <c r="M1466" s="142"/>
      <c r="N1466" s="132"/>
    </row>
    <row r="1467" spans="2:14">
      <c r="B1467" s="271" t="s">
        <v>1090</v>
      </c>
      <c r="C1467" s="272">
        <v>5</v>
      </c>
      <c r="D1467" s="325"/>
      <c r="E1467" s="325"/>
      <c r="F1467" s="325"/>
      <c r="G1467" s="325"/>
      <c r="H1467" s="132"/>
      <c r="I1467" s="132"/>
      <c r="J1467" s="132"/>
      <c r="K1467" s="132"/>
      <c r="L1467" s="132"/>
      <c r="M1467" s="142"/>
      <c r="N1467" s="132"/>
    </row>
    <row r="1468" spans="2:14">
      <c r="B1468" s="271" t="s">
        <v>1091</v>
      </c>
      <c r="C1468" s="272">
        <v>5</v>
      </c>
      <c r="D1468" s="325"/>
      <c r="E1468" s="325"/>
      <c r="F1468" s="325"/>
      <c r="G1468" s="325"/>
      <c r="H1468" s="132"/>
      <c r="I1468" s="132"/>
      <c r="J1468" s="132"/>
      <c r="K1468" s="132"/>
      <c r="L1468" s="132"/>
      <c r="M1468" s="142"/>
      <c r="N1468" s="132"/>
    </row>
    <row r="1469" spans="2:14">
      <c r="B1469" s="544" t="s">
        <v>1092</v>
      </c>
      <c r="C1469" s="802">
        <v>2</v>
      </c>
      <c r="D1469" s="325"/>
      <c r="E1469" s="325"/>
      <c r="F1469" s="325"/>
      <c r="G1469" s="325"/>
      <c r="H1469" s="132"/>
      <c r="I1469" s="132"/>
      <c r="J1469" s="132"/>
      <c r="K1469" s="132"/>
      <c r="L1469" s="132"/>
      <c r="M1469" s="142"/>
      <c r="N1469" s="132"/>
    </row>
    <row r="1470" spans="2:14" ht="16" thickBot="1">
      <c r="B1470" s="143"/>
      <c r="C1470" s="145"/>
      <c r="D1470" s="145"/>
      <c r="E1470" s="145"/>
      <c r="F1470" s="145"/>
      <c r="G1470" s="145"/>
      <c r="H1470" s="145"/>
      <c r="I1470" s="145"/>
      <c r="J1470" s="145"/>
      <c r="K1470" s="145"/>
      <c r="L1470" s="145"/>
      <c r="M1470" s="146"/>
      <c r="N1470" s="132"/>
    </row>
    <row r="1471" spans="2:14">
      <c r="B1471" s="132"/>
      <c r="C1471" s="132"/>
      <c r="D1471" s="132"/>
      <c r="E1471" s="132"/>
      <c r="F1471" s="132"/>
      <c r="G1471" s="132"/>
      <c r="H1471" s="132"/>
      <c r="I1471" s="132"/>
      <c r="J1471" s="132"/>
      <c r="K1471" s="132"/>
      <c r="L1471" s="132"/>
      <c r="M1471" s="132"/>
      <c r="N1471" s="132"/>
    </row>
    <row r="1472" spans="2:14" ht="16" thickBot="1">
      <c r="B1472" s="244" t="s">
        <v>6</v>
      </c>
      <c r="E1472" s="132"/>
      <c r="F1472" s="132"/>
      <c r="G1472" s="132"/>
      <c r="H1472" s="132"/>
      <c r="I1472" s="132"/>
    </row>
    <row r="1473" spans="2:13">
      <c r="B1473" s="773" t="s">
        <v>1102</v>
      </c>
      <c r="C1473" s="813" t="s">
        <v>10</v>
      </c>
      <c r="D1473" s="775" t="s">
        <v>900</v>
      </c>
      <c r="E1473" s="775" t="s">
        <v>901</v>
      </c>
      <c r="F1473" s="775" t="s">
        <v>902</v>
      </c>
      <c r="G1473" s="776" t="s">
        <v>903</v>
      </c>
      <c r="H1473" s="509"/>
      <c r="I1473" s="814"/>
      <c r="J1473" s="509"/>
      <c r="K1473" s="509"/>
      <c r="L1473" s="501"/>
    </row>
    <row r="1474" spans="2:13">
      <c r="B1474" s="643" t="s">
        <v>905</v>
      </c>
      <c r="C1474" s="342" t="s">
        <v>952</v>
      </c>
      <c r="D1474" s="644">
        <f>$D$1491*$L$1480</f>
        <v>75000</v>
      </c>
      <c r="E1474" s="644">
        <f>$D$1491*$L$1481</f>
        <v>75000</v>
      </c>
      <c r="F1474" s="644">
        <f>$D$1463*$L$1480</f>
        <v>0</v>
      </c>
      <c r="G1474" s="645">
        <f>$D$1490*$L$1481</f>
        <v>95000</v>
      </c>
      <c r="H1474" s="132"/>
      <c r="I1474" s="244" t="s">
        <v>1103</v>
      </c>
      <c r="L1474" s="142"/>
    </row>
    <row r="1475" spans="2:13">
      <c r="B1475" s="84" t="s">
        <v>907</v>
      </c>
      <c r="C1475" s="132" t="s">
        <v>952</v>
      </c>
      <c r="D1475" s="553">
        <f>$D$1492*$L$1482</f>
        <v>96000</v>
      </c>
      <c r="E1475" s="553">
        <f>$D$1492*$L$1483</f>
        <v>16000</v>
      </c>
      <c r="F1475" s="553">
        <f>$D$1492*$L$1482</f>
        <v>96000</v>
      </c>
      <c r="G1475" s="647">
        <f>$D$1492*$L$1483</f>
        <v>16000</v>
      </c>
      <c r="H1475" s="132"/>
      <c r="I1475" s="646" t="s">
        <v>900</v>
      </c>
      <c r="J1475" s="132"/>
      <c r="K1475" s="132"/>
      <c r="L1475" s="142"/>
    </row>
    <row r="1476" spans="2:13">
      <c r="B1476" s="84" t="s">
        <v>908</v>
      </c>
      <c r="C1476" s="132"/>
      <c r="D1476" s="553"/>
      <c r="E1476" s="553"/>
      <c r="F1476" s="553"/>
      <c r="G1476" s="647"/>
      <c r="H1476" s="132"/>
      <c r="I1476" s="646" t="s">
        <v>901</v>
      </c>
      <c r="J1476" s="132"/>
      <c r="K1476" s="132"/>
      <c r="L1476" s="142"/>
    </row>
    <row r="1477" spans="2:13">
      <c r="B1477" s="84" t="s">
        <v>343</v>
      </c>
      <c r="C1477" s="132" t="s">
        <v>952</v>
      </c>
      <c r="D1477" s="553">
        <f>$D$1493*$L$1482</f>
        <v>1992</v>
      </c>
      <c r="E1477" s="553">
        <f>$D$1493*$L$1483</f>
        <v>332</v>
      </c>
      <c r="F1477" s="553">
        <f>$D$1493*$L$1482</f>
        <v>1992</v>
      </c>
      <c r="G1477" s="647">
        <f>$D$1493*$L$1483</f>
        <v>332</v>
      </c>
      <c r="H1477" s="132"/>
      <c r="I1477" s="646" t="s">
        <v>902</v>
      </c>
      <c r="J1477" s="132"/>
      <c r="K1477" s="132"/>
      <c r="L1477" s="142"/>
    </row>
    <row r="1478" spans="2:13">
      <c r="B1478" s="648" t="s">
        <v>909</v>
      </c>
      <c r="C1478" s="338"/>
      <c r="D1478" s="649"/>
      <c r="E1478" s="649"/>
      <c r="F1478" s="649"/>
      <c r="G1478" s="650"/>
      <c r="H1478" s="132"/>
      <c r="I1478" s="132" t="s">
        <v>903</v>
      </c>
      <c r="J1478" s="132"/>
      <c r="K1478" s="132"/>
      <c r="L1478" s="142"/>
    </row>
    <row r="1479" spans="2:13">
      <c r="B1479" s="651" t="s">
        <v>910</v>
      </c>
      <c r="C1479" s="338"/>
      <c r="D1479" s="652">
        <f>SUM(D1474:D1478)</f>
        <v>172992</v>
      </c>
      <c r="E1479" s="652">
        <f>SUM(E1474:E1478)</f>
        <v>91332</v>
      </c>
      <c r="F1479" s="652">
        <f>SUM(F1474:F1478)</f>
        <v>97992</v>
      </c>
      <c r="G1479" s="653">
        <f>SUM(G1474:G1478)</f>
        <v>111332</v>
      </c>
      <c r="H1479" s="132"/>
      <c r="I1479" s="132"/>
      <c r="J1479" s="132"/>
      <c r="K1479" s="132"/>
      <c r="L1479" s="142"/>
    </row>
    <row r="1480" spans="2:13" ht="16">
      <c r="B1480" s="657"/>
      <c r="C1480" s="132"/>
      <c r="D1480" s="658"/>
      <c r="E1480" s="658"/>
      <c r="F1480" s="658"/>
      <c r="G1480" s="658"/>
      <c r="H1480" s="132"/>
      <c r="I1480" s="654" t="s">
        <v>911</v>
      </c>
      <c r="J1480" s="655"/>
      <c r="K1480" s="132"/>
      <c r="L1480" s="656">
        <v>1</v>
      </c>
    </row>
    <row r="1481" spans="2:13" ht="16">
      <c r="B1481" s="136" t="s">
        <v>1104</v>
      </c>
      <c r="C1481" s="132"/>
      <c r="D1481" s="132"/>
      <c r="E1481" s="658"/>
      <c r="F1481" s="658"/>
      <c r="G1481" s="658"/>
      <c r="H1481" s="132"/>
      <c r="I1481" s="654" t="s">
        <v>912</v>
      </c>
      <c r="J1481" s="132"/>
      <c r="K1481" s="132"/>
      <c r="L1481" s="656">
        <v>1</v>
      </c>
    </row>
    <row r="1482" spans="2:13" ht="16">
      <c r="B1482" s="638"/>
      <c r="C1482" s="639" t="s">
        <v>10</v>
      </c>
      <c r="D1482" s="640"/>
      <c r="E1482" s="660" t="s">
        <v>901</v>
      </c>
      <c r="F1482" s="640"/>
      <c r="G1482" s="661" t="s">
        <v>903</v>
      </c>
      <c r="H1482" s="132"/>
      <c r="I1482" s="654" t="s">
        <v>914</v>
      </c>
      <c r="J1482" s="659"/>
      <c r="K1482" s="132"/>
      <c r="L1482" s="656">
        <v>6</v>
      </c>
    </row>
    <row r="1483" spans="2:13" ht="16">
      <c r="B1483" s="341" t="s">
        <v>916</v>
      </c>
      <c r="C1483" s="342"/>
      <c r="D1483" s="342"/>
      <c r="E1483" s="342"/>
      <c r="F1483" s="342"/>
      <c r="G1483" s="662"/>
      <c r="H1483" s="132"/>
      <c r="I1483" s="654" t="s">
        <v>915</v>
      </c>
      <c r="J1483" s="132"/>
      <c r="K1483" s="132"/>
      <c r="L1483" s="656">
        <v>1</v>
      </c>
      <c r="M1483" s="654"/>
    </row>
    <row r="1484" spans="2:13" ht="16">
      <c r="B1484" s="337" t="s">
        <v>917</v>
      </c>
      <c r="C1484" s="349"/>
      <c r="D1484" s="338"/>
      <c r="E1484" s="338"/>
      <c r="F1484" s="338"/>
      <c r="G1484" s="663"/>
      <c r="H1484" s="132"/>
      <c r="I1484" s="654"/>
      <c r="J1484" s="654"/>
      <c r="K1484" s="654"/>
      <c r="L1484" s="709"/>
      <c r="M1484" s="654"/>
    </row>
    <row r="1485" spans="2:13" ht="16">
      <c r="B1485" s="664" t="s">
        <v>918</v>
      </c>
      <c r="C1485" s="338" t="s">
        <v>1105</v>
      </c>
      <c r="D1485" s="338"/>
      <c r="E1485" s="652">
        <f>0.08*E1479</f>
        <v>7306.56</v>
      </c>
      <c r="F1485" s="338"/>
      <c r="G1485" s="653">
        <f>0.08*G1479</f>
        <v>8906.56</v>
      </c>
      <c r="H1485" s="132"/>
      <c r="I1485" s="654"/>
      <c r="J1485" s="654"/>
      <c r="K1485" s="654"/>
      <c r="L1485" s="709"/>
      <c r="M1485" s="654"/>
    </row>
    <row r="1486" spans="2:13">
      <c r="B1486" s="657"/>
      <c r="C1486" s="132"/>
      <c r="D1486" s="658"/>
      <c r="E1486" s="658"/>
      <c r="F1486" s="658"/>
      <c r="G1486" s="658"/>
      <c r="H1486" s="132"/>
      <c r="I1486" s="132"/>
      <c r="J1486" s="132"/>
      <c r="K1486" s="132"/>
      <c r="L1486" s="142"/>
    </row>
    <row r="1487" spans="2:13">
      <c r="B1487" s="84" t="s">
        <v>920</v>
      </c>
      <c r="C1487" s="132"/>
      <c r="D1487" s="658"/>
      <c r="E1487" s="658"/>
      <c r="F1487" s="658"/>
      <c r="G1487" s="132"/>
      <c r="H1487" s="132"/>
      <c r="I1487" s="132"/>
      <c r="J1487" s="132"/>
      <c r="K1487" s="132"/>
      <c r="L1487" s="142"/>
    </row>
    <row r="1488" spans="2:13">
      <c r="B1488" s="341"/>
      <c r="C1488" s="342"/>
      <c r="D1488" s="666" t="s">
        <v>921</v>
      </c>
      <c r="E1488" s="667" t="s">
        <v>922</v>
      </c>
      <c r="F1488" s="668" t="s">
        <v>365</v>
      </c>
      <c r="G1488" s="132"/>
      <c r="H1488" s="132"/>
      <c r="I1488" s="132"/>
      <c r="J1488" s="132"/>
      <c r="K1488" s="132"/>
      <c r="L1488" s="142"/>
    </row>
    <row r="1489" spans="2:12">
      <c r="B1489" s="84"/>
      <c r="C1489" s="525" t="s">
        <v>906</v>
      </c>
      <c r="D1489" s="132" t="s">
        <v>923</v>
      </c>
      <c r="E1489" s="325" t="s">
        <v>923</v>
      </c>
      <c r="F1489" s="272" t="s">
        <v>923</v>
      </c>
      <c r="G1489" s="132"/>
      <c r="H1489" s="132"/>
      <c r="I1489" s="132"/>
      <c r="J1489" s="132"/>
      <c r="K1489" s="132"/>
      <c r="L1489" s="142"/>
    </row>
    <row r="1490" spans="2:12">
      <c r="B1490" s="643" t="s">
        <v>924</v>
      </c>
      <c r="C1490" s="156"/>
      <c r="D1490" s="669">
        <v>95000</v>
      </c>
      <c r="E1490" s="670">
        <v>95000</v>
      </c>
      <c r="F1490" s="671">
        <v>95000</v>
      </c>
      <c r="G1490" s="132"/>
      <c r="H1490" s="132"/>
      <c r="I1490" s="132"/>
      <c r="J1490" s="132"/>
      <c r="K1490" s="132"/>
      <c r="L1490" s="142"/>
    </row>
    <row r="1491" spans="2:12">
      <c r="B1491" s="84" t="s">
        <v>925</v>
      </c>
      <c r="C1491" s="160"/>
      <c r="D1491" s="672">
        <v>75000</v>
      </c>
      <c r="E1491" s="673">
        <v>75000</v>
      </c>
      <c r="F1491" s="674">
        <v>75000</v>
      </c>
      <c r="G1491" s="132"/>
      <c r="H1491" s="132"/>
      <c r="I1491" s="132"/>
      <c r="J1491" s="132"/>
      <c r="K1491" s="132"/>
      <c r="L1491" s="142"/>
    </row>
    <row r="1492" spans="2:12">
      <c r="B1492" s="84" t="s">
        <v>926</v>
      </c>
      <c r="C1492" s="160"/>
      <c r="D1492" s="672">
        <v>16000</v>
      </c>
      <c r="E1492" s="673">
        <v>16660</v>
      </c>
      <c r="F1492" s="674">
        <v>23500</v>
      </c>
      <c r="G1492" s="132"/>
      <c r="H1492" s="132"/>
      <c r="I1492" s="132"/>
      <c r="J1492" s="132"/>
      <c r="K1492" s="132"/>
      <c r="L1492" s="142"/>
    </row>
    <row r="1493" spans="2:12">
      <c r="B1493" s="84" t="s">
        <v>927</v>
      </c>
      <c r="C1493" s="160" t="s">
        <v>928</v>
      </c>
      <c r="D1493" s="672">
        <f>SUM(D1494:D1499)</f>
        <v>332</v>
      </c>
      <c r="E1493" s="673" t="s">
        <v>800</v>
      </c>
      <c r="F1493" s="674">
        <f>SUM(F1494:F1499)</f>
        <v>926</v>
      </c>
      <c r="G1493" s="132"/>
      <c r="H1493" s="132"/>
      <c r="I1493" s="132"/>
      <c r="J1493" s="132"/>
      <c r="K1493" s="132"/>
      <c r="L1493" s="142"/>
    </row>
    <row r="1494" spans="2:12">
      <c r="B1494" s="675" t="s">
        <v>929</v>
      </c>
      <c r="C1494" s="342"/>
      <c r="D1494" s="676">
        <v>50</v>
      </c>
      <c r="E1494" s="677" t="s">
        <v>800</v>
      </c>
      <c r="F1494" s="678">
        <v>155</v>
      </c>
      <c r="G1494" s="132"/>
      <c r="H1494" s="132"/>
      <c r="I1494" s="132"/>
      <c r="J1494" s="132"/>
      <c r="K1494" s="132"/>
      <c r="L1494" s="142"/>
    </row>
    <row r="1495" spans="2:12">
      <c r="B1495" s="679" t="s">
        <v>930</v>
      </c>
      <c r="C1495" s="132"/>
      <c r="D1495" s="680">
        <v>35</v>
      </c>
      <c r="E1495" s="681">
        <v>35</v>
      </c>
      <c r="F1495" s="682">
        <v>100</v>
      </c>
      <c r="G1495" s="132"/>
      <c r="H1495" s="132"/>
      <c r="I1495" s="132"/>
      <c r="J1495" s="132"/>
      <c r="K1495" s="132"/>
      <c r="L1495" s="142"/>
    </row>
    <row r="1496" spans="2:12">
      <c r="B1496" s="679" t="s">
        <v>931</v>
      </c>
      <c r="C1496" s="132"/>
      <c r="D1496" s="680">
        <v>30</v>
      </c>
      <c r="E1496" s="681">
        <v>30</v>
      </c>
      <c r="F1496" s="682">
        <v>56</v>
      </c>
      <c r="G1496" s="132"/>
      <c r="H1496" s="132"/>
      <c r="I1496" s="132"/>
      <c r="J1496" s="132"/>
      <c r="K1496" s="132"/>
      <c r="L1496" s="142"/>
    </row>
    <row r="1497" spans="2:12">
      <c r="B1497" s="679" t="s">
        <v>932</v>
      </c>
      <c r="C1497" s="132"/>
      <c r="D1497" s="680">
        <v>90</v>
      </c>
      <c r="E1497" s="681" t="s">
        <v>800</v>
      </c>
      <c r="F1497" s="682">
        <v>357</v>
      </c>
      <c r="G1497" s="132"/>
      <c r="H1497" s="132"/>
      <c r="I1497" s="132"/>
      <c r="J1497" s="132"/>
      <c r="K1497" s="132"/>
      <c r="L1497" s="142"/>
    </row>
    <row r="1498" spans="2:12">
      <c r="B1498" s="679" t="s">
        <v>933</v>
      </c>
      <c r="C1498" s="132"/>
      <c r="D1498" s="680">
        <v>32</v>
      </c>
      <c r="E1498" s="681" t="s">
        <v>800</v>
      </c>
      <c r="F1498" s="682">
        <v>138</v>
      </c>
      <c r="G1498" s="132"/>
      <c r="H1498" s="132"/>
      <c r="I1498" s="132"/>
      <c r="J1498" s="132"/>
      <c r="K1498" s="132"/>
      <c r="L1498" s="142"/>
    </row>
    <row r="1499" spans="2:12">
      <c r="B1499" s="683" t="s">
        <v>934</v>
      </c>
      <c r="C1499" s="338"/>
      <c r="D1499" s="684">
        <v>95</v>
      </c>
      <c r="E1499" s="685" t="s">
        <v>800</v>
      </c>
      <c r="F1499" s="686">
        <v>120</v>
      </c>
      <c r="G1499" s="132"/>
      <c r="H1499" s="132"/>
      <c r="I1499" s="132"/>
      <c r="J1499" s="132"/>
      <c r="K1499" s="132"/>
      <c r="L1499" s="142"/>
    </row>
    <row r="1500" spans="2:12">
      <c r="B1500" s="657" t="s">
        <v>935</v>
      </c>
      <c r="C1500" s="249"/>
      <c r="D1500" s="658">
        <f>SUM(D1490:D1492)</f>
        <v>186000</v>
      </c>
      <c r="E1500" s="687" t="s">
        <v>800</v>
      </c>
      <c r="F1500" s="688">
        <f>SUM(F1490:F1492)</f>
        <v>193500</v>
      </c>
      <c r="G1500" s="132"/>
      <c r="H1500" s="132"/>
      <c r="I1500" s="132"/>
      <c r="J1500" s="132"/>
      <c r="K1500" s="132"/>
      <c r="L1500" s="142"/>
    </row>
    <row r="1501" spans="2:12">
      <c r="B1501" s="651" t="s">
        <v>936</v>
      </c>
      <c r="C1501" s="689"/>
      <c r="D1501" s="652">
        <f>SUM(D1491:D1493)</f>
        <v>91332</v>
      </c>
      <c r="E1501" s="690" t="s">
        <v>800</v>
      </c>
      <c r="F1501" s="691">
        <f>SUM(F1491:F1493)</f>
        <v>99426</v>
      </c>
      <c r="G1501" s="132"/>
      <c r="H1501" s="132"/>
      <c r="I1501" s="132"/>
      <c r="J1501" s="132"/>
      <c r="K1501" s="132"/>
      <c r="L1501" s="142"/>
    </row>
    <row r="1502" spans="2:12">
      <c r="B1502" s="657"/>
      <c r="C1502" s="249"/>
      <c r="D1502" s="249"/>
      <c r="E1502" s="249"/>
      <c r="F1502" s="249"/>
      <c r="G1502" s="249"/>
      <c r="H1502" s="132"/>
      <c r="I1502" s="132"/>
      <c r="J1502" s="132"/>
      <c r="K1502" s="132"/>
      <c r="L1502" s="142"/>
    </row>
    <row r="1503" spans="2:12">
      <c r="B1503" s="692" t="s">
        <v>910</v>
      </c>
      <c r="C1503" s="325"/>
      <c r="D1503" s="325"/>
      <c r="E1503" s="325"/>
      <c r="F1503" s="658"/>
      <c r="G1503" s="658"/>
      <c r="H1503" s="132"/>
      <c r="I1503" s="132"/>
      <c r="J1503" s="132"/>
      <c r="K1503" s="132"/>
      <c r="L1503" s="142"/>
    </row>
    <row r="1504" spans="2:12">
      <c r="B1504" s="693"/>
      <c r="C1504" s="542" t="s">
        <v>10</v>
      </c>
      <c r="D1504" s="542" t="s">
        <v>900</v>
      </c>
      <c r="E1504" s="585" t="s">
        <v>901</v>
      </c>
      <c r="F1504" s="658"/>
      <c r="G1504" s="658"/>
      <c r="H1504" s="132"/>
      <c r="I1504" s="132"/>
      <c r="J1504" s="132"/>
      <c r="K1504" s="132"/>
      <c r="L1504" s="142"/>
    </row>
    <row r="1505" spans="2:12">
      <c r="B1505" s="694" t="s">
        <v>910</v>
      </c>
      <c r="C1505" s="695" t="s">
        <v>937</v>
      </c>
      <c r="D1505" s="696">
        <v>230000</v>
      </c>
      <c r="E1505" s="697">
        <v>90000</v>
      </c>
      <c r="F1505" s="658"/>
      <c r="G1505" s="658"/>
      <c r="H1505" s="132"/>
      <c r="I1505" s="132"/>
      <c r="J1505" s="132"/>
      <c r="K1505" s="132"/>
      <c r="L1505" s="142"/>
    </row>
    <row r="1506" spans="2:12">
      <c r="B1506" s="657"/>
      <c r="C1506" s="132"/>
      <c r="D1506" s="658"/>
      <c r="E1506" s="658"/>
      <c r="F1506" s="658"/>
      <c r="G1506" s="658"/>
      <c r="H1506" s="132"/>
      <c r="I1506" s="132"/>
      <c r="J1506" s="132"/>
      <c r="K1506" s="132"/>
      <c r="L1506" s="142"/>
    </row>
    <row r="1507" spans="2:12" ht="16">
      <c r="B1507" s="698" t="s">
        <v>938</v>
      </c>
      <c r="C1507" s="699" t="s">
        <v>906</v>
      </c>
      <c r="D1507" s="687"/>
      <c r="E1507" s="658"/>
      <c r="F1507" s="658"/>
      <c r="G1507" s="658"/>
      <c r="H1507" s="132"/>
      <c r="I1507" s="132"/>
      <c r="J1507" s="132"/>
      <c r="K1507" s="132"/>
      <c r="L1507" s="142"/>
    </row>
    <row r="1508" spans="2:12">
      <c r="B1508" s="541" t="s">
        <v>909</v>
      </c>
      <c r="C1508" s="700"/>
      <c r="D1508" s="701">
        <v>922980</v>
      </c>
      <c r="E1508" s="658"/>
      <c r="F1508" s="658"/>
      <c r="G1508" s="658"/>
      <c r="H1508" s="132"/>
      <c r="I1508" s="132"/>
      <c r="J1508" s="132"/>
      <c r="K1508" s="132"/>
      <c r="L1508" s="142"/>
    </row>
    <row r="1509" spans="2:12">
      <c r="B1509" s="271" t="s">
        <v>939</v>
      </c>
      <c r="C1509" s="550"/>
      <c r="D1509" s="702">
        <v>435993</v>
      </c>
      <c r="E1509" s="658"/>
      <c r="F1509" s="658"/>
      <c r="G1509" s="658"/>
      <c r="H1509" s="132"/>
      <c r="I1509" s="132"/>
      <c r="J1509" s="132"/>
      <c r="K1509" s="132"/>
      <c r="L1509" s="142"/>
    </row>
    <row r="1510" spans="2:12">
      <c r="B1510" s="271" t="s">
        <v>940</v>
      </c>
      <c r="C1510" s="550"/>
      <c r="D1510" s="702">
        <v>47689</v>
      </c>
      <c r="E1510" s="658"/>
      <c r="F1510" s="658"/>
      <c r="G1510" s="658"/>
      <c r="H1510" s="132"/>
      <c r="I1510" s="132"/>
      <c r="J1510" s="132"/>
      <c r="K1510" s="132"/>
      <c r="L1510" s="142"/>
    </row>
    <row r="1511" spans="2:12">
      <c r="B1511" s="271" t="s">
        <v>941</v>
      </c>
      <c r="C1511" s="550"/>
      <c r="D1511" s="702">
        <v>1042563</v>
      </c>
      <c r="E1511" s="658"/>
      <c r="F1511" s="658"/>
      <c r="G1511" s="658"/>
      <c r="H1511" s="132"/>
      <c r="I1511" s="132"/>
      <c r="J1511" s="132"/>
      <c r="K1511" s="132"/>
      <c r="L1511" s="142"/>
    </row>
    <row r="1512" spans="2:12">
      <c r="B1512" s="271" t="s">
        <v>942</v>
      </c>
      <c r="C1512" s="550"/>
      <c r="D1512" s="702">
        <v>197801</v>
      </c>
      <c r="E1512" s="658"/>
      <c r="F1512" s="658"/>
      <c r="G1512" s="658"/>
      <c r="H1512" s="132"/>
      <c r="I1512" s="132"/>
      <c r="J1512" s="132"/>
      <c r="K1512" s="132"/>
      <c r="L1512" s="142"/>
    </row>
    <row r="1513" spans="2:12">
      <c r="B1513" s="271" t="s">
        <v>943</v>
      </c>
      <c r="C1513" s="550"/>
      <c r="D1513" s="702">
        <v>187517</v>
      </c>
      <c r="E1513" s="658"/>
      <c r="F1513" s="658"/>
      <c r="G1513" s="658"/>
      <c r="H1513" s="132"/>
      <c r="I1513" s="132"/>
      <c r="J1513" s="132"/>
      <c r="K1513" s="132"/>
      <c r="L1513" s="142"/>
    </row>
    <row r="1514" spans="2:12">
      <c r="B1514" s="271" t="s">
        <v>944</v>
      </c>
      <c r="C1514" s="550"/>
      <c r="D1514" s="702">
        <v>323918</v>
      </c>
      <c r="E1514" s="658"/>
      <c r="F1514" s="658"/>
      <c r="G1514" s="658"/>
      <c r="H1514" s="132"/>
      <c r="I1514" s="132"/>
      <c r="J1514" s="132"/>
      <c r="K1514" s="132"/>
      <c r="L1514" s="142"/>
    </row>
    <row r="1515" spans="2:12">
      <c r="B1515" s="271" t="s">
        <v>945</v>
      </c>
      <c r="C1515" s="550"/>
      <c r="D1515" s="702">
        <v>64967</v>
      </c>
      <c r="E1515" s="658"/>
      <c r="F1515" s="658"/>
      <c r="G1515" s="658"/>
      <c r="H1515" s="132"/>
      <c r="I1515" s="132"/>
      <c r="J1515" s="132"/>
      <c r="K1515" s="132"/>
      <c r="L1515" s="142"/>
    </row>
    <row r="1516" spans="2:12">
      <c r="B1516" s="544" t="s">
        <v>946</v>
      </c>
      <c r="C1516" s="703"/>
      <c r="D1516" s="704">
        <v>76639</v>
      </c>
      <c r="E1516" s="658"/>
      <c r="F1516" s="658"/>
      <c r="G1516" s="658"/>
      <c r="H1516" s="132"/>
      <c r="I1516" s="132"/>
      <c r="J1516" s="132"/>
      <c r="K1516" s="132"/>
      <c r="L1516" s="142"/>
    </row>
    <row r="1517" spans="2:12">
      <c r="B1517" s="541" t="s">
        <v>947</v>
      </c>
      <c r="C1517" s="705"/>
      <c r="D1517" s="671">
        <f>SUM(D1508:D1516)</f>
        <v>3300067</v>
      </c>
      <c r="E1517" s="658"/>
      <c r="F1517" s="658"/>
      <c r="G1517" s="658"/>
      <c r="H1517" s="132"/>
      <c r="I1517" s="132"/>
      <c r="J1517" s="132"/>
      <c r="K1517" s="132"/>
      <c r="L1517" s="142"/>
    </row>
    <row r="1518" spans="2:12">
      <c r="B1518" s="271" t="s">
        <v>948</v>
      </c>
      <c r="C1518" s="687"/>
      <c r="D1518" s="674">
        <f>SUM(D1508:D1510)</f>
        <v>1406662</v>
      </c>
      <c r="E1518" s="132"/>
      <c r="F1518" s="132"/>
      <c r="G1518" s="132"/>
      <c r="H1518" s="132"/>
      <c r="I1518" s="132"/>
      <c r="J1518" s="132"/>
      <c r="K1518" s="132"/>
      <c r="L1518" s="142"/>
    </row>
    <row r="1519" spans="2:12">
      <c r="B1519" s="706" t="s">
        <v>949</v>
      </c>
      <c r="C1519" s="690"/>
      <c r="D1519" s="691">
        <f>SUM(D1509:D1510)</f>
        <v>483682</v>
      </c>
      <c r="E1519" s="132"/>
      <c r="F1519" s="132"/>
      <c r="G1519" s="132"/>
      <c r="H1519" s="132"/>
      <c r="I1519" s="132"/>
      <c r="J1519" s="132"/>
      <c r="K1519" s="132"/>
      <c r="L1519" s="142"/>
    </row>
    <row r="1520" spans="2:12" ht="16" thickBot="1">
      <c r="B1520" s="143"/>
      <c r="C1520" s="708"/>
      <c r="D1520" s="708"/>
      <c r="E1520" s="145"/>
      <c r="F1520" s="145"/>
      <c r="G1520" s="145"/>
      <c r="H1520" s="145"/>
      <c r="I1520" s="145"/>
      <c r="J1520" s="145"/>
      <c r="K1520" s="145"/>
      <c r="L1520" s="146"/>
    </row>
    <row r="1521" spans="1:13">
      <c r="A1521" s="132"/>
      <c r="B1521" s="132"/>
      <c r="C1521" s="132"/>
      <c r="D1521" s="132"/>
      <c r="E1521" s="132"/>
      <c r="F1521" s="132"/>
      <c r="G1521" s="132"/>
      <c r="H1521" s="132"/>
      <c r="I1521" s="132"/>
      <c r="J1521" s="132"/>
      <c r="K1521" s="132"/>
      <c r="L1521" s="132"/>
      <c r="M1521" s="132"/>
    </row>
    <row r="1522" spans="1:13" ht="16" thickBot="1">
      <c r="A1522" s="132"/>
      <c r="B1522" s="244" t="s">
        <v>216</v>
      </c>
      <c r="C1522" s="132"/>
      <c r="D1522" s="132"/>
      <c r="E1522" s="132"/>
      <c r="F1522" s="132"/>
      <c r="G1522" s="132"/>
      <c r="H1522" s="132"/>
      <c r="I1522" s="132"/>
      <c r="J1522" s="132"/>
      <c r="K1522" s="132"/>
      <c r="L1522" s="132"/>
    </row>
    <row r="1523" spans="1:13" s="817" customFormat="1">
      <c r="A1523" s="815"/>
      <c r="B1523" s="773" t="s">
        <v>1106</v>
      </c>
      <c r="C1523" s="813" t="s">
        <v>10</v>
      </c>
      <c r="D1523" s="775" t="s">
        <v>900</v>
      </c>
      <c r="E1523" s="775" t="s">
        <v>901</v>
      </c>
      <c r="F1523" s="775" t="s">
        <v>902</v>
      </c>
      <c r="G1523" s="776" t="s">
        <v>903</v>
      </c>
      <c r="H1523" s="632"/>
      <c r="I1523" s="816"/>
      <c r="J1523" s="632"/>
      <c r="K1523" s="632"/>
      <c r="L1523" s="633"/>
    </row>
    <row r="1524" spans="1:13">
      <c r="A1524" s="132"/>
      <c r="B1524" s="643" t="s">
        <v>905</v>
      </c>
      <c r="C1524" s="63" t="s">
        <v>906</v>
      </c>
      <c r="D1524" s="644">
        <f>$F$1541*$L$1530</f>
        <v>75000</v>
      </c>
      <c r="E1524" s="644">
        <f>$F$1541*$L$1531</f>
        <v>75000</v>
      </c>
      <c r="F1524" s="644">
        <f>$F$1540*$L$1530</f>
        <v>95000</v>
      </c>
      <c r="G1524" s="645">
        <f>$F$1540*$L$1530</f>
        <v>95000</v>
      </c>
      <c r="H1524" s="132"/>
      <c r="I1524" s="244" t="s">
        <v>1107</v>
      </c>
      <c r="L1524" s="142"/>
    </row>
    <row r="1525" spans="1:13">
      <c r="B1525" s="84" t="s">
        <v>907</v>
      </c>
      <c r="C1525" s="63" t="s">
        <v>906</v>
      </c>
      <c r="D1525" s="553">
        <f>$F$1542*$L$1532</f>
        <v>141000</v>
      </c>
      <c r="E1525" s="553">
        <f>$F$1542*$L$1533</f>
        <v>23500</v>
      </c>
      <c r="F1525" s="553">
        <f>$F$1542*$L$1532</f>
        <v>141000</v>
      </c>
      <c r="G1525" s="647">
        <f>$F$1542*$L$1533</f>
        <v>23500</v>
      </c>
      <c r="H1525" s="132"/>
      <c r="I1525" s="646" t="s">
        <v>900</v>
      </c>
      <c r="J1525" s="132"/>
      <c r="K1525" s="132"/>
      <c r="L1525" s="142"/>
    </row>
    <row r="1526" spans="1:13">
      <c r="B1526" s="84" t="s">
        <v>908</v>
      </c>
      <c r="C1526" s="132"/>
      <c r="D1526" s="553"/>
      <c r="E1526" s="553"/>
      <c r="F1526" s="553"/>
      <c r="G1526" s="647"/>
      <c r="H1526" s="132"/>
      <c r="I1526" s="646" t="s">
        <v>901</v>
      </c>
      <c r="J1526" s="132"/>
      <c r="K1526" s="132"/>
      <c r="L1526" s="142"/>
    </row>
    <row r="1527" spans="1:13">
      <c r="B1527" s="84" t="s">
        <v>343</v>
      </c>
      <c r="C1527" s="63" t="s">
        <v>906</v>
      </c>
      <c r="D1527" s="553">
        <f>$F$1543*$L$1532</f>
        <v>5556</v>
      </c>
      <c r="E1527" s="553">
        <f>$F$1543*$L$1533</f>
        <v>926</v>
      </c>
      <c r="F1527" s="553">
        <f>$F$1543*$L$1532</f>
        <v>5556</v>
      </c>
      <c r="G1527" s="647">
        <f>$F$1543*$L$1533</f>
        <v>926</v>
      </c>
      <c r="H1527" s="132"/>
      <c r="I1527" s="646" t="s">
        <v>902</v>
      </c>
      <c r="J1527" s="132"/>
      <c r="K1527" s="132"/>
      <c r="L1527" s="142"/>
    </row>
    <row r="1528" spans="1:13">
      <c r="B1528" s="648" t="s">
        <v>909</v>
      </c>
      <c r="C1528" s="338"/>
      <c r="D1528" s="649"/>
      <c r="E1528" s="649"/>
      <c r="F1528" s="649"/>
      <c r="G1528" s="650"/>
      <c r="H1528" s="132"/>
      <c r="I1528" s="132" t="s">
        <v>903</v>
      </c>
      <c r="J1528" s="132"/>
      <c r="K1528" s="132"/>
      <c r="L1528" s="142"/>
    </row>
    <row r="1529" spans="1:13">
      <c r="B1529" s="651" t="s">
        <v>910</v>
      </c>
      <c r="C1529" s="338"/>
      <c r="D1529" s="652">
        <f>SUM(D1524:D1528)</f>
        <v>221556</v>
      </c>
      <c r="E1529" s="652">
        <f>SUM(E1524:E1528)</f>
        <v>99426</v>
      </c>
      <c r="F1529" s="652">
        <f>SUM(F1524:F1528)</f>
        <v>241556</v>
      </c>
      <c r="G1529" s="653">
        <f>SUM(G1524:G1528)</f>
        <v>119426</v>
      </c>
      <c r="H1529" s="132"/>
      <c r="I1529" s="132"/>
      <c r="J1529" s="132"/>
      <c r="K1529" s="132"/>
      <c r="L1529" s="142"/>
    </row>
    <row r="1530" spans="1:13" ht="16">
      <c r="B1530" s="657"/>
      <c r="C1530" s="132"/>
      <c r="D1530" s="658"/>
      <c r="E1530" s="658"/>
      <c r="F1530" s="658"/>
      <c r="G1530" s="658"/>
      <c r="H1530" s="132"/>
      <c r="I1530" s="654" t="s">
        <v>911</v>
      </c>
      <c r="J1530" s="655"/>
      <c r="K1530" s="132"/>
      <c r="L1530" s="656">
        <v>1</v>
      </c>
    </row>
    <row r="1531" spans="1:13" ht="16">
      <c r="B1531" s="136" t="s">
        <v>1104</v>
      </c>
      <c r="C1531" s="132"/>
      <c r="D1531" s="132"/>
      <c r="E1531" s="658"/>
      <c r="F1531" s="658"/>
      <c r="G1531" s="658"/>
      <c r="H1531" s="132"/>
      <c r="I1531" s="654" t="s">
        <v>912</v>
      </c>
      <c r="J1531" s="132"/>
      <c r="K1531" s="132"/>
      <c r="L1531" s="656">
        <v>1</v>
      </c>
    </row>
    <row r="1532" spans="1:13" ht="16">
      <c r="B1532" s="638"/>
      <c r="C1532" s="639" t="s">
        <v>10</v>
      </c>
      <c r="D1532" s="640"/>
      <c r="E1532" s="660" t="s">
        <v>901</v>
      </c>
      <c r="F1532" s="640"/>
      <c r="G1532" s="661" t="s">
        <v>903</v>
      </c>
      <c r="H1532" s="132"/>
      <c r="I1532" s="654" t="s">
        <v>914</v>
      </c>
      <c r="J1532" s="659"/>
      <c r="K1532" s="132"/>
      <c r="L1532" s="656">
        <v>6</v>
      </c>
    </row>
    <row r="1533" spans="1:13" ht="16">
      <c r="B1533" s="341" t="s">
        <v>916</v>
      </c>
      <c r="C1533" s="342"/>
      <c r="D1533" s="342"/>
      <c r="E1533" s="342"/>
      <c r="F1533" s="342"/>
      <c r="G1533" s="662"/>
      <c r="H1533" s="132"/>
      <c r="I1533" s="654" t="s">
        <v>915</v>
      </c>
      <c r="J1533" s="132"/>
      <c r="K1533" s="132"/>
      <c r="L1533" s="656">
        <v>1</v>
      </c>
    </row>
    <row r="1534" spans="1:13" ht="16">
      <c r="B1534" s="337" t="s">
        <v>917</v>
      </c>
      <c r="C1534" s="349"/>
      <c r="D1534" s="338"/>
      <c r="E1534" s="338"/>
      <c r="F1534" s="338"/>
      <c r="G1534" s="663"/>
      <c r="H1534" s="132"/>
      <c r="I1534" s="654"/>
      <c r="J1534" s="654"/>
      <c r="K1534" s="654"/>
      <c r="L1534" s="709"/>
    </row>
    <row r="1535" spans="1:13" ht="16">
      <c r="B1535" s="664" t="s">
        <v>918</v>
      </c>
      <c r="C1535" s="338" t="s">
        <v>1108</v>
      </c>
      <c r="D1535" s="338"/>
      <c r="E1535" s="652">
        <f>0.08*E1529</f>
        <v>7954.08</v>
      </c>
      <c r="F1535" s="338"/>
      <c r="G1535" s="653">
        <f>0.08*G1529</f>
        <v>9554.08</v>
      </c>
      <c r="H1535" s="132"/>
      <c r="I1535" s="654"/>
      <c r="J1535" s="654"/>
      <c r="K1535" s="654"/>
      <c r="L1535" s="709"/>
    </row>
    <row r="1536" spans="1:13">
      <c r="B1536" s="657"/>
      <c r="C1536" s="132"/>
      <c r="D1536" s="658"/>
      <c r="E1536" s="658"/>
      <c r="F1536" s="658"/>
      <c r="G1536" s="658"/>
      <c r="H1536" s="132"/>
      <c r="I1536" s="132"/>
      <c r="J1536" s="132"/>
      <c r="K1536" s="132"/>
      <c r="L1536" s="142"/>
    </row>
    <row r="1537" spans="2:12">
      <c r="B1537" s="84" t="s">
        <v>920</v>
      </c>
      <c r="C1537" s="132"/>
      <c r="D1537" s="658"/>
      <c r="E1537" s="658"/>
      <c r="F1537" s="658"/>
      <c r="G1537" s="132"/>
      <c r="H1537" s="132"/>
      <c r="I1537" s="132"/>
      <c r="J1537" s="132"/>
      <c r="K1537" s="132"/>
      <c r="L1537" s="142"/>
    </row>
    <row r="1538" spans="2:12">
      <c r="B1538" s="341"/>
      <c r="C1538" s="342"/>
      <c r="D1538" s="667" t="s">
        <v>921</v>
      </c>
      <c r="E1538" s="667" t="s">
        <v>922</v>
      </c>
      <c r="F1538" s="818" t="s">
        <v>365</v>
      </c>
      <c r="G1538" s="132"/>
      <c r="H1538" s="132"/>
      <c r="I1538" s="132"/>
      <c r="J1538" s="132"/>
      <c r="K1538" s="132"/>
      <c r="L1538" s="142"/>
    </row>
    <row r="1539" spans="2:12">
      <c r="B1539" s="84"/>
      <c r="C1539" s="525" t="s">
        <v>906</v>
      </c>
      <c r="D1539" s="325" t="s">
        <v>923</v>
      </c>
      <c r="E1539" s="325" t="s">
        <v>923</v>
      </c>
      <c r="F1539" s="255" t="s">
        <v>923</v>
      </c>
      <c r="G1539" s="132"/>
      <c r="H1539" s="132"/>
      <c r="I1539" s="132"/>
      <c r="J1539" s="132"/>
      <c r="K1539" s="132"/>
      <c r="L1539" s="142"/>
    </row>
    <row r="1540" spans="2:12">
      <c r="B1540" s="643" t="s">
        <v>924</v>
      </c>
      <c r="C1540" s="156"/>
      <c r="D1540" s="670">
        <v>95000</v>
      </c>
      <c r="E1540" s="670">
        <v>95000</v>
      </c>
      <c r="F1540" s="783">
        <v>95000</v>
      </c>
      <c r="G1540" s="132"/>
      <c r="H1540" s="132"/>
      <c r="I1540" s="132"/>
      <c r="J1540" s="132"/>
      <c r="K1540" s="132"/>
      <c r="L1540" s="142"/>
    </row>
    <row r="1541" spans="2:12">
      <c r="B1541" s="84" t="s">
        <v>925</v>
      </c>
      <c r="C1541" s="160"/>
      <c r="D1541" s="673">
        <v>75000</v>
      </c>
      <c r="E1541" s="673">
        <v>75000</v>
      </c>
      <c r="F1541" s="785">
        <v>75000</v>
      </c>
      <c r="G1541" s="132"/>
      <c r="H1541" s="132"/>
      <c r="I1541" s="132"/>
      <c r="J1541" s="132"/>
      <c r="K1541" s="132"/>
      <c r="L1541" s="142"/>
    </row>
    <row r="1542" spans="2:12">
      <c r="B1542" s="84" t="s">
        <v>926</v>
      </c>
      <c r="C1542" s="160"/>
      <c r="D1542" s="673">
        <v>16000</v>
      </c>
      <c r="E1542" s="673">
        <v>16660</v>
      </c>
      <c r="F1542" s="785">
        <v>23500</v>
      </c>
      <c r="G1542" s="132"/>
      <c r="H1542" s="132"/>
      <c r="I1542" s="132"/>
      <c r="J1542" s="132"/>
      <c r="K1542" s="132"/>
      <c r="L1542" s="142"/>
    </row>
    <row r="1543" spans="2:12">
      <c r="B1543" s="84" t="s">
        <v>927</v>
      </c>
      <c r="C1543" s="160" t="s">
        <v>928</v>
      </c>
      <c r="D1543" s="673">
        <f>SUM(D1544:D1549)</f>
        <v>332</v>
      </c>
      <c r="E1543" s="673" t="s">
        <v>800</v>
      </c>
      <c r="F1543" s="785">
        <f>SUM(F1544:F1549)</f>
        <v>926</v>
      </c>
      <c r="G1543" s="132"/>
      <c r="H1543" s="132"/>
      <c r="I1543" s="132"/>
      <c r="J1543" s="132"/>
      <c r="K1543" s="132"/>
      <c r="L1543" s="142"/>
    </row>
    <row r="1544" spans="2:12">
      <c r="B1544" s="675" t="s">
        <v>929</v>
      </c>
      <c r="C1544" s="342"/>
      <c r="D1544" s="677">
        <v>50</v>
      </c>
      <c r="E1544" s="677" t="s">
        <v>800</v>
      </c>
      <c r="F1544" s="819">
        <v>155</v>
      </c>
      <c r="G1544" s="132"/>
      <c r="H1544" s="132"/>
      <c r="I1544" s="132"/>
      <c r="J1544" s="132"/>
      <c r="K1544" s="132"/>
      <c r="L1544" s="142"/>
    </row>
    <row r="1545" spans="2:12">
      <c r="B1545" s="679" t="s">
        <v>930</v>
      </c>
      <c r="C1545" s="132"/>
      <c r="D1545" s="681">
        <v>35</v>
      </c>
      <c r="E1545" s="681">
        <v>35</v>
      </c>
      <c r="F1545" s="769">
        <v>100</v>
      </c>
      <c r="G1545" s="132"/>
      <c r="H1545" s="132"/>
      <c r="I1545" s="132"/>
      <c r="J1545" s="132"/>
      <c r="K1545" s="132"/>
      <c r="L1545" s="142"/>
    </row>
    <row r="1546" spans="2:12">
      <c r="B1546" s="679" t="s">
        <v>931</v>
      </c>
      <c r="C1546" s="132"/>
      <c r="D1546" s="681">
        <v>30</v>
      </c>
      <c r="E1546" s="681">
        <v>30</v>
      </c>
      <c r="F1546" s="769">
        <v>56</v>
      </c>
      <c r="G1546" s="132"/>
      <c r="H1546" s="132"/>
      <c r="I1546" s="132"/>
      <c r="J1546" s="132"/>
      <c r="K1546" s="132"/>
      <c r="L1546" s="142"/>
    </row>
    <row r="1547" spans="2:12">
      <c r="B1547" s="679" t="s">
        <v>932</v>
      </c>
      <c r="C1547" s="132"/>
      <c r="D1547" s="681">
        <v>90</v>
      </c>
      <c r="E1547" s="681" t="s">
        <v>800</v>
      </c>
      <c r="F1547" s="769">
        <v>357</v>
      </c>
      <c r="G1547" s="132"/>
      <c r="H1547" s="132"/>
      <c r="I1547" s="132"/>
      <c r="J1547" s="132"/>
      <c r="K1547" s="132"/>
      <c r="L1547" s="142"/>
    </row>
    <row r="1548" spans="2:12">
      <c r="B1548" s="679" t="s">
        <v>933</v>
      </c>
      <c r="C1548" s="132"/>
      <c r="D1548" s="681">
        <v>32</v>
      </c>
      <c r="E1548" s="681" t="s">
        <v>800</v>
      </c>
      <c r="F1548" s="769">
        <v>138</v>
      </c>
      <c r="G1548" s="132"/>
      <c r="H1548" s="132"/>
      <c r="I1548" s="132"/>
      <c r="J1548" s="132"/>
      <c r="K1548" s="132"/>
      <c r="L1548" s="142"/>
    </row>
    <row r="1549" spans="2:12">
      <c r="B1549" s="683" t="s">
        <v>934</v>
      </c>
      <c r="C1549" s="338"/>
      <c r="D1549" s="685">
        <v>95</v>
      </c>
      <c r="E1549" s="685" t="s">
        <v>800</v>
      </c>
      <c r="F1549" s="820">
        <v>120</v>
      </c>
      <c r="G1549" s="132"/>
      <c r="H1549" s="132"/>
      <c r="I1549" s="132"/>
      <c r="J1549" s="132"/>
      <c r="K1549" s="132"/>
      <c r="L1549" s="142"/>
    </row>
    <row r="1550" spans="2:12">
      <c r="B1550" s="657" t="s">
        <v>935</v>
      </c>
      <c r="C1550" s="249"/>
      <c r="D1550" s="687">
        <f>SUM(D1540:D1542)</f>
        <v>186000</v>
      </c>
      <c r="E1550" s="687" t="s">
        <v>800</v>
      </c>
      <c r="F1550" s="738">
        <f>SUM(F1540:F1542)</f>
        <v>193500</v>
      </c>
      <c r="G1550" s="132"/>
      <c r="H1550" s="132"/>
      <c r="I1550" s="132"/>
      <c r="J1550" s="132"/>
      <c r="K1550" s="132"/>
      <c r="L1550" s="142"/>
    </row>
    <row r="1551" spans="2:12">
      <c r="B1551" s="651" t="s">
        <v>936</v>
      </c>
      <c r="C1551" s="689"/>
      <c r="D1551" s="690">
        <f>SUM(D1541:D1543)</f>
        <v>91332</v>
      </c>
      <c r="E1551" s="690" t="s">
        <v>800</v>
      </c>
      <c r="F1551" s="653">
        <f>SUM(F1541:F1543)</f>
        <v>99426</v>
      </c>
      <c r="G1551" s="132"/>
      <c r="H1551" s="132"/>
      <c r="I1551" s="132"/>
      <c r="J1551" s="132"/>
      <c r="K1551" s="132"/>
      <c r="L1551" s="142"/>
    </row>
    <row r="1552" spans="2:12">
      <c r="B1552" s="657"/>
      <c r="C1552" s="249"/>
      <c r="D1552" s="249"/>
      <c r="E1552" s="249"/>
      <c r="F1552" s="249"/>
      <c r="G1552" s="249"/>
      <c r="H1552" s="132"/>
      <c r="I1552" s="132"/>
      <c r="J1552" s="132"/>
      <c r="K1552" s="132"/>
      <c r="L1552" s="142"/>
    </row>
    <row r="1553" spans="1:12">
      <c r="B1553" s="692" t="s">
        <v>910</v>
      </c>
      <c r="C1553" s="325"/>
      <c r="D1553" s="325"/>
      <c r="E1553" s="325"/>
      <c r="F1553" s="658"/>
      <c r="G1553" s="658"/>
      <c r="H1553" s="132"/>
      <c r="I1553" s="132"/>
      <c r="J1553" s="132"/>
      <c r="K1553" s="132"/>
      <c r="L1553" s="142"/>
    </row>
    <row r="1554" spans="1:12">
      <c r="B1554" s="693"/>
      <c r="C1554" s="542" t="s">
        <v>10</v>
      </c>
      <c r="D1554" s="542" t="s">
        <v>900</v>
      </c>
      <c r="E1554" s="585" t="s">
        <v>901</v>
      </c>
      <c r="F1554" s="658"/>
      <c r="G1554" s="658"/>
      <c r="H1554" s="132"/>
      <c r="I1554" s="132"/>
      <c r="J1554" s="132"/>
      <c r="K1554" s="132"/>
      <c r="L1554" s="142"/>
    </row>
    <row r="1555" spans="1:12">
      <c r="B1555" s="694" t="s">
        <v>910</v>
      </c>
      <c r="C1555" s="695" t="s">
        <v>937</v>
      </c>
      <c r="D1555" s="696">
        <v>230000</v>
      </c>
      <c r="E1555" s="697">
        <v>90000</v>
      </c>
      <c r="F1555" s="658"/>
      <c r="G1555" s="658"/>
      <c r="H1555" s="132"/>
      <c r="I1555" s="132"/>
      <c r="J1555" s="132"/>
      <c r="K1555" s="132"/>
      <c r="L1555" s="142"/>
    </row>
    <row r="1556" spans="1:12">
      <c r="B1556" s="657"/>
      <c r="C1556" s="132"/>
      <c r="D1556" s="658"/>
      <c r="E1556" s="658"/>
      <c r="F1556" s="658"/>
      <c r="G1556" s="658"/>
      <c r="H1556" s="132"/>
      <c r="I1556" s="132"/>
      <c r="J1556" s="132"/>
      <c r="K1556" s="132"/>
      <c r="L1556" s="142"/>
    </row>
    <row r="1557" spans="1:12" ht="16">
      <c r="B1557" s="698" t="s">
        <v>938</v>
      </c>
      <c r="C1557" s="699" t="s">
        <v>906</v>
      </c>
      <c r="D1557" s="687"/>
      <c r="E1557" s="658"/>
      <c r="F1557" s="658"/>
      <c r="G1557" s="658"/>
      <c r="H1557" s="132"/>
      <c r="I1557" s="132"/>
      <c r="J1557" s="132"/>
      <c r="K1557" s="132"/>
      <c r="L1557" s="142"/>
    </row>
    <row r="1558" spans="1:12">
      <c r="B1558" s="541" t="s">
        <v>909</v>
      </c>
      <c r="C1558" s="700"/>
      <c r="D1558" s="701">
        <v>922980</v>
      </c>
      <c r="E1558" s="658"/>
      <c r="F1558" s="658"/>
      <c r="G1558" s="658"/>
      <c r="H1558" s="132"/>
      <c r="I1558" s="132"/>
      <c r="J1558" s="132"/>
      <c r="K1558" s="132"/>
      <c r="L1558" s="142"/>
    </row>
    <row r="1559" spans="1:12">
      <c r="B1559" s="271" t="s">
        <v>939</v>
      </c>
      <c r="C1559" s="550"/>
      <c r="D1559" s="702">
        <v>435993</v>
      </c>
      <c r="E1559" s="658"/>
      <c r="F1559" s="658"/>
      <c r="G1559" s="658"/>
      <c r="H1559" s="132"/>
      <c r="I1559" s="132"/>
      <c r="J1559" s="132"/>
      <c r="K1559" s="132"/>
      <c r="L1559" s="142"/>
    </row>
    <row r="1560" spans="1:12">
      <c r="A1560" s="132"/>
      <c r="B1560" s="271" t="s">
        <v>940</v>
      </c>
      <c r="C1560" s="550"/>
      <c r="D1560" s="702">
        <v>47689</v>
      </c>
      <c r="E1560" s="658"/>
      <c r="F1560" s="658"/>
      <c r="G1560" s="658"/>
      <c r="H1560" s="132"/>
      <c r="I1560" s="132"/>
      <c r="J1560" s="132"/>
      <c r="K1560" s="132"/>
      <c r="L1560" s="142"/>
    </row>
    <row r="1561" spans="1:12">
      <c r="A1561" s="132"/>
      <c r="B1561" s="271" t="s">
        <v>941</v>
      </c>
      <c r="C1561" s="550"/>
      <c r="D1561" s="702">
        <v>1042563</v>
      </c>
      <c r="E1561" s="658"/>
      <c r="F1561" s="658"/>
      <c r="G1561" s="658"/>
      <c r="H1561" s="132"/>
      <c r="I1561" s="132"/>
      <c r="J1561" s="132"/>
      <c r="K1561" s="132"/>
      <c r="L1561" s="142"/>
    </row>
    <row r="1562" spans="1:12">
      <c r="A1562" s="132"/>
      <c r="B1562" s="271" t="s">
        <v>942</v>
      </c>
      <c r="C1562" s="550"/>
      <c r="D1562" s="702">
        <v>197801</v>
      </c>
      <c r="E1562" s="658"/>
      <c r="F1562" s="658"/>
      <c r="G1562" s="658"/>
      <c r="H1562" s="132"/>
      <c r="I1562" s="132"/>
      <c r="J1562" s="132"/>
      <c r="K1562" s="132"/>
      <c r="L1562" s="142"/>
    </row>
    <row r="1563" spans="1:12">
      <c r="A1563" s="132"/>
      <c r="B1563" s="271" t="s">
        <v>943</v>
      </c>
      <c r="C1563" s="550"/>
      <c r="D1563" s="702">
        <v>187517</v>
      </c>
      <c r="E1563" s="658"/>
      <c r="F1563" s="658"/>
      <c r="G1563" s="658"/>
      <c r="H1563" s="132"/>
      <c r="I1563" s="132"/>
      <c r="J1563" s="132"/>
      <c r="K1563" s="132"/>
      <c r="L1563" s="142"/>
    </row>
    <row r="1564" spans="1:12">
      <c r="A1564" s="132"/>
      <c r="B1564" s="271" t="s">
        <v>944</v>
      </c>
      <c r="C1564" s="550"/>
      <c r="D1564" s="702">
        <v>323918</v>
      </c>
      <c r="E1564" s="658"/>
      <c r="F1564" s="658"/>
      <c r="G1564" s="658"/>
      <c r="H1564" s="132"/>
      <c r="I1564" s="132"/>
      <c r="J1564" s="132"/>
      <c r="K1564" s="132"/>
      <c r="L1564" s="142"/>
    </row>
    <row r="1565" spans="1:12">
      <c r="B1565" s="271" t="s">
        <v>945</v>
      </c>
      <c r="C1565" s="550"/>
      <c r="D1565" s="702">
        <v>64967</v>
      </c>
      <c r="E1565" s="658"/>
      <c r="F1565" s="658"/>
      <c r="G1565" s="658"/>
      <c r="H1565" s="132"/>
      <c r="I1565" s="132"/>
      <c r="J1565" s="132"/>
      <c r="K1565" s="132"/>
      <c r="L1565" s="142"/>
    </row>
    <row r="1566" spans="1:12" s="132" customFormat="1">
      <c r="B1566" s="544" t="s">
        <v>946</v>
      </c>
      <c r="C1566" s="703"/>
      <c r="D1566" s="704">
        <v>76639</v>
      </c>
      <c r="E1566" s="658"/>
      <c r="F1566" s="658"/>
      <c r="G1566" s="658"/>
      <c r="L1566" s="142"/>
    </row>
    <row r="1567" spans="1:12" s="132" customFormat="1">
      <c r="B1567" s="541" t="s">
        <v>947</v>
      </c>
      <c r="C1567" s="705"/>
      <c r="D1567" s="671">
        <f>SUM(D1558:D1566)</f>
        <v>3300067</v>
      </c>
      <c r="E1567" s="658"/>
      <c r="F1567" s="658"/>
      <c r="G1567" s="658"/>
      <c r="L1567" s="142"/>
    </row>
    <row r="1568" spans="1:12" s="132" customFormat="1">
      <c r="B1568" s="271" t="s">
        <v>948</v>
      </c>
      <c r="C1568" s="687"/>
      <c r="D1568" s="674">
        <f>SUM(D1558:D1560)</f>
        <v>1406662</v>
      </c>
      <c r="L1568" s="142"/>
    </row>
    <row r="1569" spans="2:16" s="132" customFormat="1">
      <c r="B1569" s="706" t="s">
        <v>949</v>
      </c>
      <c r="C1569" s="690"/>
      <c r="D1569" s="691">
        <f>SUM(D1559:D1560)</f>
        <v>483682</v>
      </c>
      <c r="L1569" s="142"/>
    </row>
    <row r="1570" spans="2:16" s="132" customFormat="1" ht="16" thickBot="1">
      <c r="B1570" s="143"/>
      <c r="C1570" s="708"/>
      <c r="D1570" s="708"/>
      <c r="E1570" s="145"/>
      <c r="F1570" s="145"/>
      <c r="G1570" s="145"/>
      <c r="H1570" s="145"/>
      <c r="I1570" s="145"/>
      <c r="J1570" s="145"/>
      <c r="K1570" s="145"/>
      <c r="L1570" s="146"/>
    </row>
    <row r="1571" spans="2:16" s="132" customFormat="1"/>
    <row r="1572" spans="2:16" ht="17" thickBot="1">
      <c r="B1572" s="654" t="s">
        <v>2</v>
      </c>
      <c r="C1572" s="160"/>
      <c r="D1572" s="132"/>
      <c r="E1572" s="132"/>
      <c r="F1572" s="132"/>
      <c r="G1572" s="132"/>
      <c r="H1572" s="132"/>
      <c r="I1572" s="132"/>
      <c r="J1572" s="132"/>
      <c r="K1572" s="132"/>
      <c r="M1572" s="132"/>
      <c r="N1572" s="132"/>
    </row>
    <row r="1573" spans="2:16" s="815" customFormat="1">
      <c r="B1573" s="773" t="s">
        <v>1109</v>
      </c>
      <c r="C1573" s="821"/>
      <c r="D1573" s="775" t="s">
        <v>900</v>
      </c>
      <c r="E1573" s="775" t="s">
        <v>901</v>
      </c>
      <c r="F1573" s="775" t="s">
        <v>902</v>
      </c>
      <c r="G1573" s="776" t="s">
        <v>903</v>
      </c>
      <c r="H1573" s="632"/>
      <c r="I1573" s="632"/>
      <c r="J1573" s="632"/>
      <c r="K1573" s="632"/>
      <c r="L1573" s="632"/>
      <c r="M1573" s="509"/>
      <c r="N1573" s="509"/>
      <c r="O1573" s="632"/>
      <c r="P1573" s="633"/>
    </row>
    <row r="1574" spans="2:16" s="132" customFormat="1">
      <c r="B1574" s="341" t="s">
        <v>1058</v>
      </c>
      <c r="C1574" s="342"/>
      <c r="D1574" s="777">
        <f>D1575/365</f>
        <v>0</v>
      </c>
      <c r="E1574" s="777">
        <f>E1575/365</f>
        <v>0</v>
      </c>
      <c r="F1574" s="777">
        <f>F1575/365</f>
        <v>0</v>
      </c>
      <c r="G1574" s="778">
        <f>G1575/365</f>
        <v>0</v>
      </c>
      <c r="I1574" s="642" t="s">
        <v>1110</v>
      </c>
      <c r="P1574" s="142"/>
    </row>
    <row r="1575" spans="2:16" s="132" customFormat="1">
      <c r="B1575" s="337" t="s">
        <v>1060</v>
      </c>
      <c r="C1575" s="338"/>
      <c r="D1575" s="779">
        <f>IFERROR([2]Payback!$O$90/[2]Payback!$O$63,0)</f>
        <v>0</v>
      </c>
      <c r="E1575" s="779">
        <f>IFERROR([2]Payback!$O$90/[2]Payback!$O$63,0)</f>
        <v>0</v>
      </c>
      <c r="F1575" s="779">
        <f>IFERROR([2]Payback!$O$90/[2]Payback!$O$63,0)</f>
        <v>0</v>
      </c>
      <c r="G1575" s="780">
        <f>IFERROR([2]Payback!$O$90/[2]Payback!$O$63,0)</f>
        <v>0</v>
      </c>
      <c r="I1575" s="646" t="s">
        <v>900</v>
      </c>
      <c r="P1575" s="142"/>
    </row>
    <row r="1576" spans="2:16" s="132" customFormat="1">
      <c r="B1576" s="341" t="s">
        <v>1061</v>
      </c>
      <c r="D1576" s="553"/>
      <c r="E1576" s="553"/>
      <c r="F1576" s="553"/>
      <c r="G1576" s="647"/>
      <c r="I1576" s="646" t="s">
        <v>901</v>
      </c>
      <c r="P1576" s="142"/>
    </row>
    <row r="1577" spans="2:16" s="132" customFormat="1">
      <c r="B1577" s="136" t="s">
        <v>1062</v>
      </c>
      <c r="D1577" s="553"/>
      <c r="E1577" s="553"/>
      <c r="F1577" s="553"/>
      <c r="G1577" s="647"/>
      <c r="I1577" s="646" t="s">
        <v>902</v>
      </c>
      <c r="P1577" s="142"/>
    </row>
    <row r="1578" spans="2:16" s="132" customFormat="1">
      <c r="B1578" s="136" t="s">
        <v>1063</v>
      </c>
      <c r="D1578" s="553"/>
      <c r="E1578" s="553"/>
      <c r="F1578" s="553"/>
      <c r="G1578" s="647"/>
      <c r="I1578" s="132" t="s">
        <v>903</v>
      </c>
      <c r="P1578" s="142"/>
    </row>
    <row r="1579" spans="2:16" s="132" customFormat="1">
      <c r="B1579" s="337" t="s">
        <v>909</v>
      </c>
      <c r="C1579" s="338"/>
      <c r="D1579" s="338"/>
      <c r="E1579" s="338"/>
      <c r="F1579" s="338"/>
      <c r="G1579" s="663"/>
      <c r="P1579" s="142"/>
    </row>
    <row r="1580" spans="2:16" s="132" customFormat="1">
      <c r="B1580" s="651" t="s">
        <v>910</v>
      </c>
      <c r="C1580" s="338" t="s">
        <v>1111</v>
      </c>
      <c r="D1580" s="652">
        <f>0.2441*D1575+10650.4981</f>
        <v>10650.498100000001</v>
      </c>
      <c r="E1580" s="652">
        <f>0.2441*E1575+10650.4981</f>
        <v>10650.498100000001</v>
      </c>
      <c r="F1580" s="652">
        <f>0.2441*F1575+10650.4981</f>
        <v>10650.498100000001</v>
      </c>
      <c r="G1580" s="665">
        <f>0.2441*G1575+10650.4981</f>
        <v>10650.498100000001</v>
      </c>
      <c r="P1580" s="142"/>
    </row>
    <row r="1581" spans="2:16" s="132" customFormat="1">
      <c r="B1581" s="657"/>
      <c r="D1581" s="658"/>
      <c r="E1581" s="658"/>
      <c r="F1581" s="553"/>
      <c r="G1581" s="647"/>
      <c r="P1581" s="142"/>
    </row>
    <row r="1582" spans="2:16" s="132" customFormat="1">
      <c r="B1582" s="136" t="s">
        <v>1112</v>
      </c>
      <c r="D1582" s="658"/>
      <c r="E1582" s="658"/>
      <c r="F1582" s="658"/>
      <c r="G1582" s="738"/>
      <c r="P1582" s="142"/>
    </row>
    <row r="1583" spans="2:16" s="132" customFormat="1" ht="16">
      <c r="B1583" s="638"/>
      <c r="C1583" s="639" t="s">
        <v>10</v>
      </c>
      <c r="D1583" s="640"/>
      <c r="E1583" s="660" t="s">
        <v>901</v>
      </c>
      <c r="F1583" s="640"/>
      <c r="G1583" s="661" t="s">
        <v>903</v>
      </c>
      <c r="P1583" s="142"/>
    </row>
    <row r="1584" spans="2:16" s="132" customFormat="1">
      <c r="B1584" s="341" t="s">
        <v>916</v>
      </c>
      <c r="C1584" s="342"/>
      <c r="D1584" s="342"/>
      <c r="E1584" s="342"/>
      <c r="F1584" s="342"/>
      <c r="G1584" s="662"/>
      <c r="P1584" s="142"/>
    </row>
    <row r="1585" spans="2:22" s="132" customFormat="1">
      <c r="B1585" s="337" t="s">
        <v>917</v>
      </c>
      <c r="C1585" s="349"/>
      <c r="D1585" s="338"/>
      <c r="E1585" s="338"/>
      <c r="F1585" s="338"/>
      <c r="G1585" s="663"/>
      <c r="P1585" s="142"/>
    </row>
    <row r="1586" spans="2:22" s="132" customFormat="1">
      <c r="B1586" s="664" t="s">
        <v>918</v>
      </c>
      <c r="C1586" s="338" t="s">
        <v>919</v>
      </c>
      <c r="D1586" s="338"/>
      <c r="E1586" s="652">
        <f>AVERAGE(0.05,0.08)*E1580</f>
        <v>692.28237650000005</v>
      </c>
      <c r="F1586" s="338"/>
      <c r="G1586" s="665">
        <f>AVERAGE(0.05,0.08)*G1580</f>
        <v>692.28237650000005</v>
      </c>
      <c r="P1586" s="142"/>
    </row>
    <row r="1587" spans="2:22">
      <c r="B1587" s="136"/>
      <c r="C1587" s="132"/>
      <c r="D1587" s="132"/>
      <c r="E1587" s="132"/>
      <c r="F1587" s="132"/>
      <c r="G1587" s="132"/>
      <c r="H1587" s="132"/>
      <c r="I1587" s="132"/>
      <c r="J1587" s="132"/>
      <c r="K1587" s="132"/>
      <c r="L1587" s="132"/>
      <c r="M1587" s="132"/>
      <c r="N1587" s="132"/>
      <c r="O1587" s="132"/>
      <c r="P1587" s="142"/>
    </row>
    <row r="1588" spans="2:22">
      <c r="B1588" s="136" t="s">
        <v>1109</v>
      </c>
      <c r="C1588" s="132" t="s">
        <v>1111</v>
      </c>
      <c r="D1588" s="132"/>
      <c r="E1588" s="132"/>
      <c r="F1588" s="132"/>
      <c r="G1588" s="132"/>
      <c r="H1588" s="132"/>
      <c r="I1588" s="815"/>
      <c r="J1588" s="815"/>
      <c r="K1588" s="815"/>
      <c r="L1588" s="815"/>
      <c r="M1588" s="132"/>
      <c r="N1588" s="132"/>
      <c r="O1588" s="815"/>
      <c r="P1588" s="142"/>
      <c r="V1588" s="817"/>
    </row>
    <row r="1589" spans="2:22" ht="30">
      <c r="B1589" s="133" t="s">
        <v>1113</v>
      </c>
      <c r="C1589" s="822"/>
      <c r="D1589" s="134" t="s">
        <v>1114</v>
      </c>
      <c r="E1589" s="134" t="s">
        <v>1114</v>
      </c>
      <c r="F1589" s="771" t="s">
        <v>1115</v>
      </c>
      <c r="G1589" s="771" t="s">
        <v>1115</v>
      </c>
      <c r="H1589" s="772" t="s">
        <v>1116</v>
      </c>
      <c r="I1589" s="815"/>
      <c r="J1589" s="815"/>
      <c r="K1589" s="815"/>
      <c r="L1589" s="815"/>
      <c r="M1589" s="132"/>
      <c r="N1589" s="132"/>
      <c r="O1589" s="815"/>
      <c r="P1589" s="142"/>
      <c r="V1589" s="817"/>
    </row>
    <row r="1590" spans="2:22" ht="30">
      <c r="B1590" s="136" t="s">
        <v>1117</v>
      </c>
      <c r="C1590" s="132"/>
      <c r="D1590" s="749" t="s">
        <v>1118</v>
      </c>
      <c r="E1590" s="749" t="s">
        <v>1119</v>
      </c>
      <c r="F1590" s="815" t="s">
        <v>1120</v>
      </c>
      <c r="G1590" s="815" t="s">
        <v>1121</v>
      </c>
      <c r="H1590" s="823" t="s">
        <v>1122</v>
      </c>
      <c r="I1590" s="815"/>
      <c r="J1590" s="815"/>
      <c r="K1590" s="815"/>
      <c r="L1590" s="815"/>
      <c r="M1590" s="815"/>
      <c r="N1590" s="815"/>
      <c r="O1590" s="815"/>
      <c r="P1590" s="142"/>
      <c r="V1590" s="817"/>
    </row>
    <row r="1591" spans="2:22">
      <c r="B1591" s="136" t="s">
        <v>1072</v>
      </c>
      <c r="C1591" s="132"/>
      <c r="D1591" s="749" t="s">
        <v>1123</v>
      </c>
      <c r="E1591" s="749" t="s">
        <v>1124</v>
      </c>
      <c r="F1591" s="749" t="s">
        <v>1125</v>
      </c>
      <c r="G1591" s="749" t="s">
        <v>1126</v>
      </c>
      <c r="H1591" s="824" t="s">
        <v>1127</v>
      </c>
      <c r="I1591" s="749"/>
      <c r="J1591" s="749"/>
      <c r="K1591" s="749"/>
      <c r="L1591" s="749"/>
      <c r="M1591" s="749"/>
      <c r="N1591" s="749"/>
      <c r="O1591" s="749"/>
      <c r="P1591" s="142"/>
      <c r="V1591" s="817"/>
    </row>
    <row r="1592" spans="2:22">
      <c r="B1592" s="136" t="s">
        <v>1128</v>
      </c>
      <c r="C1592" s="132"/>
      <c r="D1592" s="453" t="s">
        <v>1129</v>
      </c>
      <c r="E1592" s="453" t="s">
        <v>1130</v>
      </c>
      <c r="F1592" s="453" t="s">
        <v>1131</v>
      </c>
      <c r="G1592" s="453" t="s">
        <v>1132</v>
      </c>
      <c r="H1592" s="454" t="s">
        <v>1133</v>
      </c>
      <c r="I1592" s="453"/>
      <c r="J1592" s="453"/>
      <c r="K1592" s="453"/>
      <c r="L1592" s="453"/>
      <c r="M1592" s="453"/>
      <c r="N1592" s="453"/>
      <c r="O1592" s="453"/>
      <c r="P1592" s="142"/>
    </row>
    <row r="1593" spans="2:22">
      <c r="B1593" s="825" t="s">
        <v>1134</v>
      </c>
      <c r="C1593" s="338"/>
      <c r="D1593" s="765" t="s">
        <v>1135</v>
      </c>
      <c r="E1593" s="765" t="s">
        <v>1136</v>
      </c>
      <c r="F1593" s="765" t="s">
        <v>1137</v>
      </c>
      <c r="G1593" s="765" t="s">
        <v>1138</v>
      </c>
      <c r="H1593" s="826" t="s">
        <v>1139</v>
      </c>
      <c r="I1593" s="761"/>
      <c r="J1593" s="761"/>
      <c r="K1593" s="761"/>
      <c r="L1593" s="761"/>
      <c r="M1593" s="761"/>
      <c r="N1593" s="761"/>
      <c r="O1593" s="761"/>
      <c r="P1593" s="142"/>
      <c r="V1593" s="260"/>
    </row>
    <row r="1594" spans="2:22">
      <c r="B1594" s="136" t="s">
        <v>1140</v>
      </c>
      <c r="C1594" s="132"/>
      <c r="D1594" s="530">
        <f>AVERAGE(100,400)</f>
        <v>250</v>
      </c>
      <c r="E1594" s="530">
        <f>AVERAGE(200,800)</f>
        <v>500</v>
      </c>
      <c r="F1594" s="530">
        <f>AVERAGE(450,1800)</f>
        <v>1125</v>
      </c>
      <c r="G1594" s="530">
        <f>AVERAGE(900,2400)</f>
        <v>1650</v>
      </c>
      <c r="H1594" s="827">
        <f>AVERAGE(900,3000)</f>
        <v>1950</v>
      </c>
      <c r="I1594" s="132"/>
      <c r="J1594" s="132"/>
      <c r="K1594" s="132"/>
      <c r="L1594" s="132"/>
      <c r="M1594" s="132"/>
      <c r="N1594" s="132"/>
      <c r="O1594" s="132"/>
      <c r="P1594" s="142"/>
    </row>
    <row r="1595" spans="2:22">
      <c r="B1595" s="136" t="s">
        <v>1141</v>
      </c>
      <c r="C1595" s="132"/>
      <c r="D1595" s="530">
        <f>D1594*LPG_gallon2GGE</f>
        <v>330.17516185991764</v>
      </c>
      <c r="E1595" s="530">
        <f>E1594*LPG_gallon2GGE</f>
        <v>660.35032371983527</v>
      </c>
      <c r="F1595" s="530">
        <f>F1594*LPG_gallon2GGE</f>
        <v>1485.7882283696295</v>
      </c>
      <c r="G1595" s="530">
        <f>G1594*LPG_gallon2GGE</f>
        <v>2179.1560682754562</v>
      </c>
      <c r="H1595" s="827">
        <f>H1594*LPG_gallon2GGE</f>
        <v>2575.3662625073575</v>
      </c>
      <c r="I1595" s="132"/>
      <c r="J1595" s="132"/>
      <c r="K1595" s="132"/>
      <c r="L1595" s="132"/>
      <c r="M1595" s="132"/>
      <c r="N1595" s="132"/>
      <c r="O1595" s="132"/>
      <c r="P1595" s="142"/>
    </row>
    <row r="1596" spans="2:22">
      <c r="B1596" s="136" t="s">
        <v>1142</v>
      </c>
      <c r="C1596" s="132"/>
      <c r="D1596" s="530">
        <f>D1595*365</f>
        <v>120513.93407886993</v>
      </c>
      <c r="E1596" s="530">
        <f>E1595*365</f>
        <v>241027.86815773987</v>
      </c>
      <c r="F1596" s="530">
        <f>F1595*365</f>
        <v>542312.70335491479</v>
      </c>
      <c r="G1596" s="530">
        <f>G1595*365</f>
        <v>795391.9649205415</v>
      </c>
      <c r="H1596" s="827">
        <f>H1595*365</f>
        <v>940008.68581518554</v>
      </c>
      <c r="I1596" s="132"/>
      <c r="J1596" s="132"/>
      <c r="K1596" s="132"/>
      <c r="L1596" s="132"/>
      <c r="M1596" s="132"/>
      <c r="N1596" s="132"/>
      <c r="O1596" s="132"/>
      <c r="P1596" s="142"/>
    </row>
    <row r="1597" spans="2:22">
      <c r="B1597" s="337" t="s">
        <v>1143</v>
      </c>
      <c r="C1597" s="338"/>
      <c r="D1597" s="649">
        <f>AVERAGE(45000,60000)</f>
        <v>52500</v>
      </c>
      <c r="E1597" s="649">
        <f>AVERAGE(60000,70000)</f>
        <v>65000</v>
      </c>
      <c r="F1597" s="649">
        <f>AVERAGE(120000,145000)</f>
        <v>132500</v>
      </c>
      <c r="G1597" s="649">
        <f>AVERAGE(150000,220000)</f>
        <v>185000</v>
      </c>
      <c r="H1597" s="650">
        <f>AVERAGE(225000,300000)</f>
        <v>262500</v>
      </c>
      <c r="I1597" s="132"/>
      <c r="J1597" s="132"/>
      <c r="K1597" s="132"/>
      <c r="L1597" s="132"/>
      <c r="M1597" s="132"/>
      <c r="N1597" s="132"/>
      <c r="O1597" s="132"/>
      <c r="P1597" s="142"/>
    </row>
    <row r="1598" spans="2:22">
      <c r="B1598" s="136"/>
      <c r="C1598" s="132"/>
      <c r="D1598" s="132"/>
      <c r="E1598" s="132"/>
      <c r="F1598" s="132"/>
      <c r="G1598" s="132"/>
      <c r="H1598" s="132"/>
      <c r="I1598" s="132"/>
      <c r="J1598" s="132"/>
      <c r="K1598" s="132"/>
      <c r="L1598" s="132"/>
      <c r="M1598" s="132"/>
      <c r="N1598" s="132"/>
      <c r="O1598" s="132"/>
      <c r="P1598" s="142"/>
    </row>
    <row r="1599" spans="2:22">
      <c r="B1599" s="271" t="s">
        <v>1144</v>
      </c>
      <c r="C1599" s="325"/>
      <c r="D1599" s="325"/>
      <c r="E1599" s="325"/>
      <c r="F1599" s="132"/>
      <c r="G1599" s="132"/>
      <c r="H1599" s="132"/>
      <c r="I1599" s="132"/>
      <c r="J1599" s="132"/>
      <c r="K1599" s="132"/>
      <c r="L1599" s="132"/>
      <c r="M1599" s="132"/>
      <c r="N1599" s="132"/>
      <c r="O1599" s="132"/>
      <c r="P1599" s="142"/>
    </row>
    <row r="1600" spans="2:22">
      <c r="B1600" s="828"/>
      <c r="C1600" s="695" t="s">
        <v>10</v>
      </c>
      <c r="D1600" s="829" t="s">
        <v>1145</v>
      </c>
      <c r="E1600" s="830" t="s">
        <v>1146</v>
      </c>
      <c r="F1600" s="132"/>
      <c r="G1600" s="132"/>
      <c r="H1600" s="132"/>
      <c r="I1600" s="132"/>
      <c r="J1600" s="132"/>
      <c r="K1600" s="132"/>
      <c r="L1600" s="132"/>
      <c r="M1600" s="132"/>
      <c r="N1600" s="132"/>
      <c r="O1600" s="132"/>
      <c r="P1600" s="142"/>
    </row>
    <row r="1601" spans="2:16">
      <c r="B1601" s="271" t="s">
        <v>1147</v>
      </c>
      <c r="C1601" s="325" t="s">
        <v>1111</v>
      </c>
      <c r="D1601" s="257">
        <v>5000</v>
      </c>
      <c r="E1601" s="831">
        <v>100000</v>
      </c>
      <c r="F1601" s="132"/>
      <c r="G1601" s="132"/>
      <c r="H1601" s="132"/>
      <c r="I1601" s="132"/>
      <c r="J1601" s="132"/>
      <c r="K1601" s="132"/>
      <c r="L1601" s="132"/>
      <c r="M1601" s="132"/>
      <c r="N1601" s="132"/>
      <c r="O1601" s="132"/>
      <c r="P1601" s="142"/>
    </row>
    <row r="1602" spans="2:16">
      <c r="B1602" s="271" t="s">
        <v>1148</v>
      </c>
      <c r="C1602" s="325" t="s">
        <v>1149</v>
      </c>
      <c r="D1602" s="257">
        <v>100</v>
      </c>
      <c r="E1602" s="831">
        <v>1000</v>
      </c>
      <c r="F1602" s="132"/>
      <c r="G1602" s="132"/>
      <c r="H1602" s="132"/>
      <c r="I1602" s="132"/>
      <c r="J1602" s="132"/>
      <c r="K1602" s="132"/>
      <c r="L1602" s="132"/>
      <c r="M1602" s="132"/>
      <c r="N1602" s="132"/>
      <c r="O1602" s="132"/>
      <c r="P1602" s="142"/>
    </row>
    <row r="1603" spans="2:16">
      <c r="B1603" s="271" t="s">
        <v>926</v>
      </c>
      <c r="C1603" s="325" t="s">
        <v>1111</v>
      </c>
      <c r="D1603" s="257">
        <v>5000</v>
      </c>
      <c r="E1603" s="831">
        <v>35000</v>
      </c>
      <c r="F1603" s="132"/>
      <c r="G1603" s="132"/>
      <c r="H1603" s="132"/>
      <c r="I1603" s="132"/>
      <c r="J1603" s="132"/>
      <c r="K1603" s="132"/>
      <c r="L1603" s="132"/>
      <c r="M1603" s="132"/>
      <c r="N1603" s="132"/>
      <c r="O1603" s="132"/>
      <c r="P1603" s="142"/>
    </row>
    <row r="1604" spans="2:16">
      <c r="B1604" s="271" t="s">
        <v>1150</v>
      </c>
      <c r="C1604" s="325" t="s">
        <v>1111</v>
      </c>
      <c r="D1604" s="257">
        <v>4000</v>
      </c>
      <c r="E1604" s="831">
        <v>15000</v>
      </c>
      <c r="F1604" s="132"/>
      <c r="G1604" s="132"/>
      <c r="H1604" s="132"/>
      <c r="I1604" s="132"/>
      <c r="J1604" s="132"/>
      <c r="K1604" s="132"/>
      <c r="L1604" s="132"/>
      <c r="M1604" s="132"/>
      <c r="N1604" s="132"/>
      <c r="O1604" s="132"/>
      <c r="P1604" s="142"/>
    </row>
    <row r="1605" spans="2:16">
      <c r="B1605" s="271" t="s">
        <v>1151</v>
      </c>
      <c r="C1605" s="325" t="s">
        <v>1111</v>
      </c>
      <c r="D1605" s="257">
        <v>5000</v>
      </c>
      <c r="E1605" s="831">
        <v>30000</v>
      </c>
      <c r="F1605" s="132"/>
      <c r="G1605" s="132"/>
      <c r="H1605" s="132"/>
      <c r="I1605" s="132"/>
      <c r="J1605" s="132"/>
      <c r="K1605" s="132"/>
      <c r="L1605" s="132"/>
      <c r="M1605" s="132"/>
      <c r="N1605" s="132"/>
      <c r="O1605" s="132"/>
      <c r="P1605" s="142"/>
    </row>
    <row r="1606" spans="2:16">
      <c r="B1606" s="544" t="s">
        <v>1152</v>
      </c>
      <c r="C1606" s="339" t="s">
        <v>1111</v>
      </c>
      <c r="D1606" s="832">
        <v>3000</v>
      </c>
      <c r="E1606" s="833">
        <v>10000</v>
      </c>
      <c r="F1606" s="132"/>
      <c r="G1606" s="132"/>
      <c r="H1606" s="132"/>
      <c r="I1606" s="132"/>
      <c r="J1606" s="132"/>
      <c r="K1606" s="132"/>
      <c r="L1606" s="132"/>
      <c r="M1606" s="132"/>
      <c r="N1606" s="132"/>
      <c r="O1606" s="132"/>
      <c r="P1606" s="142"/>
    </row>
    <row r="1607" spans="2:16">
      <c r="B1607" s="136"/>
      <c r="C1607" s="132"/>
      <c r="D1607" s="132"/>
      <c r="E1607" s="132"/>
      <c r="F1607" s="132"/>
      <c r="G1607" s="132"/>
      <c r="H1607" s="132"/>
      <c r="I1607" s="132"/>
      <c r="J1607" s="132"/>
      <c r="K1607" s="132"/>
      <c r="L1607" s="132"/>
      <c r="M1607" s="132"/>
      <c r="N1607" s="132"/>
      <c r="O1607" s="132"/>
      <c r="P1607" s="142"/>
    </row>
    <row r="1608" spans="2:16">
      <c r="B1608" s="271" t="s">
        <v>1153</v>
      </c>
      <c r="C1608" s="325" t="s">
        <v>1154</v>
      </c>
      <c r="D1608" s="325"/>
      <c r="E1608" s="325"/>
      <c r="F1608" s="325"/>
      <c r="G1608" s="325"/>
      <c r="H1608" s="325"/>
      <c r="I1608" s="325"/>
      <c r="J1608" s="325"/>
      <c r="K1608" s="325"/>
      <c r="L1608" s="325"/>
      <c r="M1608" s="325"/>
      <c r="N1608" s="325"/>
      <c r="O1608" s="325"/>
      <c r="P1608" s="142"/>
    </row>
    <row r="1609" spans="2:16">
      <c r="B1609" s="541"/>
      <c r="C1609" s="585"/>
      <c r="D1609" s="834" t="s">
        <v>1155</v>
      </c>
      <c r="E1609" s="835"/>
      <c r="F1609" s="836"/>
      <c r="G1609" s="542" t="s">
        <v>1156</v>
      </c>
      <c r="H1609" s="542"/>
      <c r="I1609" s="542"/>
      <c r="J1609" s="542"/>
      <c r="K1609" s="585"/>
      <c r="L1609" s="542" t="s">
        <v>1157</v>
      </c>
      <c r="M1609" s="542"/>
      <c r="N1609" s="542"/>
      <c r="O1609" s="585"/>
      <c r="P1609" s="142"/>
    </row>
    <row r="1610" spans="2:16">
      <c r="B1610" s="271"/>
      <c r="C1610" s="272"/>
      <c r="D1610" s="837" t="s">
        <v>1158</v>
      </c>
      <c r="E1610" s="838"/>
      <c r="F1610" s="839"/>
      <c r="G1610" s="325" t="s">
        <v>1159</v>
      </c>
      <c r="H1610" s="325"/>
      <c r="I1610" s="325"/>
      <c r="J1610" s="325"/>
      <c r="K1610" s="272"/>
      <c r="L1610" s="325" t="s">
        <v>1160</v>
      </c>
      <c r="M1610" s="325"/>
      <c r="N1610" s="325"/>
      <c r="O1610" s="272"/>
      <c r="P1610" s="142"/>
    </row>
    <row r="1611" spans="2:16">
      <c r="B1611" s="271"/>
      <c r="C1611" s="272"/>
      <c r="D1611" s="837" t="s">
        <v>1161</v>
      </c>
      <c r="E1611" s="838"/>
      <c r="F1611" s="839"/>
      <c r="G1611" s="325" t="s">
        <v>1162</v>
      </c>
      <c r="H1611" s="325"/>
      <c r="I1611" s="325"/>
      <c r="J1611" s="325"/>
      <c r="K1611" s="272"/>
      <c r="L1611" s="325" t="s">
        <v>1163</v>
      </c>
      <c r="M1611" s="325"/>
      <c r="N1611" s="325"/>
      <c r="O1611" s="272"/>
      <c r="P1611" s="142"/>
    </row>
    <row r="1612" spans="2:16">
      <c r="B1612" s="544"/>
      <c r="C1612" s="802"/>
      <c r="D1612" s="840"/>
      <c r="E1612" s="339"/>
      <c r="F1612" s="802"/>
      <c r="G1612" s="339" t="s">
        <v>1164</v>
      </c>
      <c r="H1612" s="339"/>
      <c r="I1612" s="339"/>
      <c r="J1612" s="339"/>
      <c r="K1612" s="802"/>
      <c r="L1612" s="339" t="s">
        <v>1165</v>
      </c>
      <c r="M1612" s="339"/>
      <c r="N1612" s="339"/>
      <c r="O1612" s="802"/>
      <c r="P1612" s="142"/>
    </row>
    <row r="1613" spans="2:16">
      <c r="B1613" s="271" t="s">
        <v>1166</v>
      </c>
      <c r="C1613" s="325"/>
      <c r="D1613" s="841" t="s">
        <v>1167</v>
      </c>
      <c r="E1613" s="753" t="s">
        <v>1168</v>
      </c>
      <c r="F1613" s="758" t="s">
        <v>1169</v>
      </c>
      <c r="G1613" s="753" t="s">
        <v>1167</v>
      </c>
      <c r="H1613" s="753" t="s">
        <v>1168</v>
      </c>
      <c r="I1613" s="753" t="s">
        <v>1169</v>
      </c>
      <c r="J1613" s="753" t="s">
        <v>1170</v>
      </c>
      <c r="K1613" s="758" t="s">
        <v>1171</v>
      </c>
      <c r="L1613" s="753" t="s">
        <v>1167</v>
      </c>
      <c r="M1613" s="753" t="s">
        <v>1168</v>
      </c>
      <c r="N1613" s="753" t="s">
        <v>1169</v>
      </c>
      <c r="O1613" s="758" t="s">
        <v>1170</v>
      </c>
      <c r="P1613" s="142"/>
    </row>
    <row r="1614" spans="2:16">
      <c r="B1614" s="271" t="s">
        <v>1172</v>
      </c>
      <c r="C1614" s="325"/>
      <c r="D1614" s="841" t="s">
        <v>1173</v>
      </c>
      <c r="E1614" s="753" t="s">
        <v>1174</v>
      </c>
      <c r="F1614" s="758" t="s">
        <v>1175</v>
      </c>
      <c r="G1614" s="753" t="s">
        <v>1173</v>
      </c>
      <c r="H1614" s="753" t="s">
        <v>1174</v>
      </c>
      <c r="I1614" s="753" t="s">
        <v>1175</v>
      </c>
      <c r="J1614" s="753" t="s">
        <v>1176</v>
      </c>
      <c r="K1614" s="758" t="s">
        <v>1176</v>
      </c>
      <c r="L1614" s="753" t="s">
        <v>1174</v>
      </c>
      <c r="M1614" s="753" t="s">
        <v>1175</v>
      </c>
      <c r="N1614" s="753" t="s">
        <v>1176</v>
      </c>
      <c r="O1614" s="758" t="s">
        <v>1176</v>
      </c>
      <c r="P1614" s="142"/>
    </row>
    <row r="1615" spans="2:16">
      <c r="B1615" s="271" t="s">
        <v>1177</v>
      </c>
      <c r="C1615" s="325"/>
      <c r="D1615" s="841" t="s">
        <v>1178</v>
      </c>
      <c r="E1615" s="753" t="s">
        <v>1178</v>
      </c>
      <c r="F1615" s="758" t="s">
        <v>1178</v>
      </c>
      <c r="G1615" s="753" t="s">
        <v>1178</v>
      </c>
      <c r="H1615" s="753" t="s">
        <v>1178</v>
      </c>
      <c r="I1615" s="753" t="s">
        <v>1178</v>
      </c>
      <c r="J1615" s="753" t="s">
        <v>1179</v>
      </c>
      <c r="K1615" s="758" t="s">
        <v>1180</v>
      </c>
      <c r="L1615" s="753" t="s">
        <v>1181</v>
      </c>
      <c r="M1615" s="753" t="s">
        <v>1181</v>
      </c>
      <c r="N1615" s="753" t="s">
        <v>1182</v>
      </c>
      <c r="O1615" s="758" t="s">
        <v>1183</v>
      </c>
      <c r="P1615" s="142"/>
    </row>
    <row r="1616" spans="2:16">
      <c r="B1616" s="271" t="s">
        <v>1184</v>
      </c>
      <c r="C1616" s="325"/>
      <c r="D1616" s="841" t="s">
        <v>1185</v>
      </c>
      <c r="E1616" s="753" t="s">
        <v>1185</v>
      </c>
      <c r="F1616" s="758" t="s">
        <v>1185</v>
      </c>
      <c r="G1616" s="753" t="s">
        <v>1185</v>
      </c>
      <c r="H1616" s="753" t="s">
        <v>1185</v>
      </c>
      <c r="I1616" s="753" t="s">
        <v>1185</v>
      </c>
      <c r="J1616" s="753" t="s">
        <v>1186</v>
      </c>
      <c r="K1616" s="758" t="s">
        <v>1186</v>
      </c>
      <c r="L1616" s="753" t="s">
        <v>1185</v>
      </c>
      <c r="M1616" s="753" t="s">
        <v>1185</v>
      </c>
      <c r="N1616" s="753" t="s">
        <v>1186</v>
      </c>
      <c r="O1616" s="758" t="s">
        <v>1186</v>
      </c>
      <c r="P1616" s="142"/>
    </row>
    <row r="1617" spans="2:17">
      <c r="B1617" s="544" t="s">
        <v>1187</v>
      </c>
      <c r="C1617" s="339"/>
      <c r="D1617" s="842">
        <v>25000</v>
      </c>
      <c r="E1617" s="759">
        <v>33000</v>
      </c>
      <c r="F1617" s="752">
        <v>48000</v>
      </c>
      <c r="G1617" s="759">
        <v>37000</v>
      </c>
      <c r="H1617" s="759">
        <v>45000</v>
      </c>
      <c r="I1617" s="759">
        <v>60000</v>
      </c>
      <c r="J1617" s="759">
        <v>130000</v>
      </c>
      <c r="K1617" s="752">
        <v>155000</v>
      </c>
      <c r="L1617" s="759">
        <v>92000</v>
      </c>
      <c r="M1617" s="759">
        <v>102000</v>
      </c>
      <c r="N1617" s="759">
        <v>150000</v>
      </c>
      <c r="O1617" s="752">
        <v>175000</v>
      </c>
      <c r="P1617" s="142"/>
    </row>
    <row r="1618" spans="2:17" ht="16" thickBot="1">
      <c r="B1618" s="143"/>
      <c r="C1618" s="145"/>
      <c r="D1618" s="145"/>
      <c r="E1618" s="145"/>
      <c r="F1618" s="145"/>
      <c r="G1618" s="145"/>
      <c r="H1618" s="145"/>
      <c r="I1618" s="145"/>
      <c r="J1618" s="145"/>
      <c r="K1618" s="145"/>
      <c r="L1618" s="145"/>
      <c r="M1618" s="145"/>
      <c r="N1618" s="145"/>
      <c r="O1618" s="145"/>
      <c r="P1618" s="146"/>
    </row>
    <row r="1619" spans="2:17">
      <c r="B1619" s="132"/>
      <c r="C1619" s="132"/>
      <c r="D1619" s="132"/>
      <c r="E1619" s="132"/>
      <c r="F1619" s="132"/>
      <c r="G1619" s="132"/>
      <c r="H1619" s="132"/>
      <c r="I1619" s="132"/>
      <c r="J1619" s="132"/>
      <c r="K1619" s="132"/>
      <c r="L1619" s="132"/>
      <c r="M1619" s="132"/>
      <c r="N1619" s="132"/>
      <c r="O1619" s="132"/>
      <c r="P1619" s="132"/>
    </row>
    <row r="1620" spans="2:17" ht="17" thickBot="1">
      <c r="B1620" s="654" t="s">
        <v>1188</v>
      </c>
      <c r="C1620" s="160"/>
      <c r="D1620" s="132"/>
      <c r="E1620" s="132"/>
      <c r="F1620" s="132"/>
      <c r="G1620" s="132"/>
      <c r="H1620" s="132"/>
      <c r="I1620" s="132"/>
      <c r="J1620" s="132"/>
      <c r="K1620" s="132"/>
      <c r="M1620" s="132"/>
      <c r="N1620" s="132"/>
    </row>
    <row r="1621" spans="2:17" ht="30">
      <c r="B1621" s="773" t="s">
        <v>1189</v>
      </c>
      <c r="C1621" s="821"/>
      <c r="D1621" s="775" t="s">
        <v>1190</v>
      </c>
      <c r="E1621" s="775" t="s">
        <v>1191</v>
      </c>
      <c r="F1621" s="775" t="s">
        <v>1192</v>
      </c>
      <c r="G1621" s="775" t="s">
        <v>1193</v>
      </c>
      <c r="H1621" s="775" t="s">
        <v>1194</v>
      </c>
      <c r="I1621" s="776" t="s">
        <v>1195</v>
      </c>
      <c r="J1621" s="632"/>
      <c r="K1621" s="632"/>
      <c r="L1621" s="632"/>
      <c r="M1621" s="509"/>
      <c r="N1621" s="509"/>
      <c r="O1621" s="632"/>
      <c r="P1621" s="509"/>
      <c r="Q1621" s="501"/>
    </row>
    <row r="1622" spans="2:17">
      <c r="B1622" s="341" t="s">
        <v>1058</v>
      </c>
      <c r="C1622" s="342"/>
      <c r="D1622" s="777">
        <f t="shared" ref="D1622:I1622" si="161">D1623/365</f>
        <v>0</v>
      </c>
      <c r="E1622" s="777">
        <f t="shared" si="161"/>
        <v>0</v>
      </c>
      <c r="F1622" s="777">
        <f t="shared" si="161"/>
        <v>0</v>
      </c>
      <c r="G1622" s="777">
        <f t="shared" si="161"/>
        <v>0</v>
      </c>
      <c r="H1622" s="777">
        <f t="shared" si="161"/>
        <v>0</v>
      </c>
      <c r="I1622" s="778">
        <f t="shared" si="161"/>
        <v>0</v>
      </c>
      <c r="J1622" s="132"/>
      <c r="K1622" s="132"/>
      <c r="L1622" s="132"/>
      <c r="M1622" s="642" t="s">
        <v>1196</v>
      </c>
      <c r="N1622" s="132"/>
      <c r="O1622" s="132"/>
      <c r="P1622" s="132"/>
      <c r="Q1622" s="142"/>
    </row>
    <row r="1623" spans="2:17">
      <c r="B1623" s="337" t="s">
        <v>1060</v>
      </c>
      <c r="C1623" s="338"/>
      <c r="D1623" s="779">
        <f>IFERROR([2]Payback!$P$90/[2]Payback!$P$63,0)</f>
        <v>0</v>
      </c>
      <c r="E1623" s="779">
        <f>IFERROR([2]Payback!$P$90/[2]Payback!$P$63,0)</f>
        <v>0</v>
      </c>
      <c r="F1623" s="779">
        <f>IFERROR([2]Payback!$P$90/[2]Payback!$P$63,0)</f>
        <v>0</v>
      </c>
      <c r="G1623" s="779">
        <f>IFERROR([2]Payback!$P$90/[2]Payback!$P$63,0)</f>
        <v>0</v>
      </c>
      <c r="H1623" s="779">
        <f>IFERROR([2]Payback!$P$90/[2]Payback!$P$63,0)</f>
        <v>0</v>
      </c>
      <c r="I1623" s="780">
        <f>IFERROR([2]Payback!$P$90/[2]Payback!$P$63,0)</f>
        <v>0</v>
      </c>
      <c r="J1623" s="132"/>
      <c r="K1623" s="132"/>
      <c r="L1623" s="132"/>
      <c r="M1623" s="646" t="s">
        <v>1190</v>
      </c>
      <c r="N1623" s="132"/>
      <c r="O1623" s="132"/>
      <c r="P1623" s="132"/>
      <c r="Q1623" s="142"/>
    </row>
    <row r="1624" spans="2:17">
      <c r="B1624" s="341" t="s">
        <v>1061</v>
      </c>
      <c r="C1624" s="132"/>
      <c r="D1624" s="553"/>
      <c r="E1624" s="553"/>
      <c r="F1624" s="553"/>
      <c r="G1624" s="553"/>
      <c r="H1624" s="553"/>
      <c r="I1624" s="647"/>
      <c r="J1624" s="132"/>
      <c r="K1624" s="132"/>
      <c r="L1624" s="132"/>
      <c r="M1624" s="646" t="s">
        <v>1191</v>
      </c>
      <c r="N1624" s="132"/>
      <c r="O1624" s="132"/>
      <c r="P1624" s="132"/>
      <c r="Q1624" s="142"/>
    </row>
    <row r="1625" spans="2:17">
      <c r="B1625" s="136" t="s">
        <v>1062</v>
      </c>
      <c r="C1625" s="132"/>
      <c r="D1625" s="553"/>
      <c r="E1625" s="553"/>
      <c r="F1625" s="553"/>
      <c r="G1625" s="553"/>
      <c r="H1625" s="553"/>
      <c r="I1625" s="647"/>
      <c r="J1625" s="132"/>
      <c r="K1625" s="132"/>
      <c r="L1625" s="132"/>
      <c r="M1625" s="646" t="s">
        <v>1192</v>
      </c>
      <c r="N1625" s="132"/>
      <c r="O1625" s="132"/>
      <c r="P1625" s="132"/>
      <c r="Q1625" s="142"/>
    </row>
    <row r="1626" spans="2:17">
      <c r="B1626" s="136" t="s">
        <v>1063</v>
      </c>
      <c r="C1626" s="132"/>
      <c r="D1626" s="553"/>
      <c r="E1626" s="553"/>
      <c r="F1626" s="553"/>
      <c r="G1626" s="553"/>
      <c r="H1626" s="553"/>
      <c r="I1626" s="647"/>
      <c r="J1626" s="132"/>
      <c r="K1626" s="132"/>
      <c r="L1626" s="132"/>
      <c r="M1626" s="646" t="s">
        <v>1193</v>
      </c>
      <c r="N1626" s="132"/>
      <c r="O1626" s="132"/>
      <c r="P1626" s="132"/>
      <c r="Q1626" s="142"/>
    </row>
    <row r="1627" spans="2:17">
      <c r="B1627" s="337" t="s">
        <v>909</v>
      </c>
      <c r="C1627" s="338"/>
      <c r="D1627" s="338"/>
      <c r="E1627" s="338"/>
      <c r="F1627" s="338"/>
      <c r="G1627" s="338"/>
      <c r="H1627" s="338"/>
      <c r="I1627" s="663"/>
      <c r="J1627" s="132"/>
      <c r="K1627" s="132"/>
      <c r="L1627" s="132"/>
      <c r="M1627" s="646" t="s">
        <v>1194</v>
      </c>
      <c r="N1627" s="132"/>
      <c r="O1627" s="132"/>
      <c r="P1627" s="132"/>
      <c r="Q1627" s="142"/>
    </row>
    <row r="1628" spans="2:17">
      <c r="B1628" s="651" t="s">
        <v>910</v>
      </c>
      <c r="C1628" s="338" t="s">
        <v>1197</v>
      </c>
      <c r="D1628" s="652">
        <f>226.40505*D1623^0.66553</f>
        <v>0</v>
      </c>
      <c r="E1628" s="652">
        <f>2.915117*E1623+6245.929</f>
        <v>6245.9290000000001</v>
      </c>
      <c r="F1628" s="652">
        <f>226.40505*F1623^0.66553</f>
        <v>0</v>
      </c>
      <c r="G1628" s="652">
        <f>226.40505*G1623^0.66553</f>
        <v>0</v>
      </c>
      <c r="H1628" s="652">
        <f>2.915117*H1623+6245.929</f>
        <v>6245.9290000000001</v>
      </c>
      <c r="I1628" s="653">
        <f>226.40505*I1623^0.66553</f>
        <v>0</v>
      </c>
      <c r="J1628" s="132"/>
      <c r="K1628" s="132"/>
      <c r="L1628" s="843"/>
      <c r="M1628" s="646" t="s">
        <v>1195</v>
      </c>
      <c r="N1628" s="132"/>
      <c r="O1628" s="132"/>
      <c r="P1628" s="132"/>
      <c r="Q1628" s="142"/>
    </row>
    <row r="1629" spans="2:17">
      <c r="B1629" s="657"/>
      <c r="C1629" s="132"/>
      <c r="D1629" s="658"/>
      <c r="E1629" s="658"/>
      <c r="F1629" s="658"/>
      <c r="G1629" s="658"/>
      <c r="H1629" s="658"/>
      <c r="I1629" s="553"/>
      <c r="J1629" s="132"/>
      <c r="K1629" s="132"/>
      <c r="L1629" s="132"/>
      <c r="M1629" s="132"/>
      <c r="N1629" s="132"/>
      <c r="O1629" s="132"/>
      <c r="P1629" s="132"/>
      <c r="Q1629" s="142"/>
    </row>
    <row r="1630" spans="2:17">
      <c r="B1630" s="136" t="s">
        <v>1198</v>
      </c>
      <c r="C1630" s="132"/>
      <c r="D1630" s="658"/>
      <c r="E1630" s="658"/>
      <c r="F1630" s="658"/>
      <c r="G1630" s="658"/>
      <c r="H1630" s="658"/>
      <c r="I1630" s="658"/>
      <c r="J1630" s="132"/>
      <c r="K1630" s="132"/>
      <c r="L1630" s="132"/>
      <c r="M1630" s="132"/>
      <c r="N1630" s="132"/>
      <c r="O1630" s="132"/>
      <c r="P1630" s="132"/>
      <c r="Q1630" s="142"/>
    </row>
    <row r="1631" spans="2:17" ht="30">
      <c r="B1631" s="638"/>
      <c r="C1631" s="639" t="s">
        <v>10</v>
      </c>
      <c r="D1631" s="640"/>
      <c r="E1631" s="640" t="s">
        <v>1191</v>
      </c>
      <c r="F1631" s="640" t="s">
        <v>1192</v>
      </c>
      <c r="G1631" s="660"/>
      <c r="H1631" s="640" t="s">
        <v>1194</v>
      </c>
      <c r="I1631" s="641" t="s">
        <v>1195</v>
      </c>
      <c r="J1631" s="132"/>
      <c r="K1631" s="132"/>
      <c r="L1631" s="132"/>
      <c r="M1631" s="132"/>
      <c r="N1631" s="132"/>
      <c r="O1631" s="132"/>
      <c r="P1631" s="132"/>
      <c r="Q1631" s="142"/>
    </row>
    <row r="1632" spans="2:17">
      <c r="B1632" s="341" t="s">
        <v>916</v>
      </c>
      <c r="C1632" s="342"/>
      <c r="D1632" s="342"/>
      <c r="E1632" s="342"/>
      <c r="F1632" s="342"/>
      <c r="G1632" s="342"/>
      <c r="H1632" s="342"/>
      <c r="I1632" s="662"/>
      <c r="J1632" s="132"/>
      <c r="K1632" s="132"/>
      <c r="L1632" s="132"/>
      <c r="M1632" s="132"/>
      <c r="N1632" s="132"/>
      <c r="O1632" s="132"/>
      <c r="P1632" s="132"/>
      <c r="Q1632" s="142"/>
    </row>
    <row r="1633" spans="2:17">
      <c r="B1633" s="337" t="s">
        <v>917</v>
      </c>
      <c r="C1633" s="349"/>
      <c r="D1633" s="338"/>
      <c r="E1633" s="338"/>
      <c r="F1633" s="338"/>
      <c r="G1633" s="338"/>
      <c r="H1633" s="338"/>
      <c r="I1633" s="663"/>
      <c r="J1633" s="132"/>
      <c r="K1633" s="132"/>
      <c r="L1633" s="132"/>
      <c r="M1633" s="132"/>
      <c r="N1633" s="132"/>
      <c r="O1633" s="132"/>
      <c r="P1633" s="132"/>
      <c r="Q1633" s="142"/>
    </row>
    <row r="1634" spans="2:17">
      <c r="B1634" s="664" t="s">
        <v>918</v>
      </c>
      <c r="C1634" s="338" t="s">
        <v>919</v>
      </c>
      <c r="D1634" s="338"/>
      <c r="E1634" s="652">
        <f>AVERAGE(0.05,0.08)*E1628</f>
        <v>405.98538500000001</v>
      </c>
      <c r="F1634" s="652">
        <f>AVERAGE(0.05,0.08)*F1628</f>
        <v>0</v>
      </c>
      <c r="G1634" s="844"/>
      <c r="H1634" s="652">
        <f>AVERAGE(0.05,0.08)*H1628</f>
        <v>405.98538500000001</v>
      </c>
      <c r="I1634" s="653">
        <f>AVERAGE(0.05,0.08)*I1628</f>
        <v>0</v>
      </c>
      <c r="J1634" s="132"/>
      <c r="K1634" s="132"/>
      <c r="L1634" s="132"/>
      <c r="M1634" s="132"/>
      <c r="N1634" s="132"/>
      <c r="O1634" s="132"/>
      <c r="P1634" s="132"/>
      <c r="Q1634" s="142"/>
    </row>
    <row r="1635" spans="2:17">
      <c r="B1635" s="136"/>
      <c r="C1635" s="132"/>
      <c r="D1635" s="132"/>
      <c r="E1635" s="132"/>
      <c r="F1635" s="132"/>
      <c r="G1635" s="132"/>
      <c r="H1635" s="132"/>
      <c r="I1635" s="132"/>
      <c r="J1635" s="132"/>
      <c r="K1635" s="132"/>
      <c r="L1635" s="132"/>
      <c r="M1635" s="132"/>
      <c r="N1635" s="132"/>
      <c r="O1635" s="132"/>
      <c r="P1635" s="132"/>
      <c r="Q1635" s="142"/>
    </row>
    <row r="1636" spans="2:17">
      <c r="B1636" s="136" t="s">
        <v>1199</v>
      </c>
      <c r="C1636" s="132" t="s">
        <v>1197</v>
      </c>
      <c r="D1636" s="132"/>
      <c r="E1636" s="132"/>
      <c r="F1636" s="132"/>
      <c r="G1636" s="132"/>
      <c r="H1636" s="132"/>
      <c r="I1636" s="815"/>
      <c r="J1636" s="815"/>
      <c r="K1636" s="815"/>
      <c r="L1636" s="815"/>
      <c r="M1636" s="132"/>
      <c r="N1636" s="132"/>
      <c r="O1636" s="132"/>
      <c r="P1636" s="132"/>
      <c r="Q1636" s="142"/>
    </row>
    <row r="1637" spans="2:17">
      <c r="B1637" s="133" t="s">
        <v>1113</v>
      </c>
      <c r="C1637" s="822"/>
      <c r="D1637" s="134" t="s">
        <v>1200</v>
      </c>
      <c r="E1637" s="134" t="s">
        <v>1200</v>
      </c>
      <c r="F1637" s="134" t="s">
        <v>1201</v>
      </c>
      <c r="G1637" s="134" t="s">
        <v>1201</v>
      </c>
      <c r="H1637" s="134" t="s">
        <v>1115</v>
      </c>
      <c r="I1637" s="134" t="s">
        <v>1115</v>
      </c>
      <c r="J1637" s="134" t="s">
        <v>1116</v>
      </c>
      <c r="K1637" s="845" t="s">
        <v>1116</v>
      </c>
      <c r="L1637" s="132"/>
      <c r="M1637" s="132"/>
      <c r="N1637" s="815"/>
      <c r="O1637" s="132"/>
      <c r="P1637" s="132"/>
      <c r="Q1637" s="142"/>
    </row>
    <row r="1638" spans="2:17" ht="30">
      <c r="B1638" s="136" t="s">
        <v>1202</v>
      </c>
      <c r="C1638" s="132"/>
      <c r="D1638" s="749" t="s">
        <v>1203</v>
      </c>
      <c r="E1638" s="749" t="s">
        <v>1203</v>
      </c>
      <c r="F1638" s="749" t="s">
        <v>1204</v>
      </c>
      <c r="G1638" s="749" t="s">
        <v>1204</v>
      </c>
      <c r="H1638" s="749" t="s">
        <v>1205</v>
      </c>
      <c r="I1638" s="749" t="s">
        <v>1205</v>
      </c>
      <c r="J1638" s="749" t="s">
        <v>1206</v>
      </c>
      <c r="K1638" s="824" t="s">
        <v>1206</v>
      </c>
      <c r="L1638" s="132"/>
      <c r="M1638" s="132"/>
      <c r="N1638" s="815"/>
      <c r="O1638" s="132"/>
      <c r="P1638" s="132"/>
      <c r="Q1638" s="142"/>
    </row>
    <row r="1639" spans="2:17" ht="60">
      <c r="B1639" s="781" t="s">
        <v>1071</v>
      </c>
      <c r="C1639" s="815"/>
      <c r="D1639" s="749" t="s">
        <v>1207</v>
      </c>
      <c r="E1639" s="749" t="s">
        <v>1207</v>
      </c>
      <c r="F1639" s="749" t="s">
        <v>1208</v>
      </c>
      <c r="G1639" s="749" t="s">
        <v>1208</v>
      </c>
      <c r="H1639" s="749" t="s">
        <v>1209</v>
      </c>
      <c r="I1639" s="749" t="s">
        <v>1209</v>
      </c>
      <c r="J1639" s="749" t="s">
        <v>1210</v>
      </c>
      <c r="K1639" s="824" t="s">
        <v>1210</v>
      </c>
      <c r="L1639" s="815"/>
      <c r="M1639" s="815"/>
      <c r="N1639" s="815"/>
      <c r="O1639" s="132"/>
      <c r="P1639" s="132"/>
      <c r="Q1639" s="142"/>
    </row>
    <row r="1640" spans="2:17" ht="30">
      <c r="B1640" s="136" t="s">
        <v>1072</v>
      </c>
      <c r="C1640" s="132"/>
      <c r="D1640" s="749" t="s">
        <v>1123</v>
      </c>
      <c r="E1640" s="749" t="s">
        <v>1123</v>
      </c>
      <c r="F1640" s="749" t="s">
        <v>1211</v>
      </c>
      <c r="G1640" s="749" t="s">
        <v>1211</v>
      </c>
      <c r="H1640" s="749" t="s">
        <v>1212</v>
      </c>
      <c r="I1640" s="749" t="s">
        <v>1212</v>
      </c>
      <c r="J1640" s="749" t="s">
        <v>1213</v>
      </c>
      <c r="K1640" s="824" t="s">
        <v>1213</v>
      </c>
      <c r="L1640" s="749"/>
      <c r="M1640" s="749"/>
      <c r="N1640" s="749"/>
      <c r="O1640" s="132"/>
      <c r="P1640" s="132"/>
      <c r="Q1640" s="142"/>
    </row>
    <row r="1641" spans="2:17">
      <c r="B1641" s="136" t="s">
        <v>1214</v>
      </c>
      <c r="C1641" s="132"/>
      <c r="D1641" s="846" t="s">
        <v>1215</v>
      </c>
      <c r="E1641" s="846" t="s">
        <v>1215</v>
      </c>
      <c r="F1641" s="846" t="s">
        <v>1216</v>
      </c>
      <c r="G1641" s="846" t="s">
        <v>1216</v>
      </c>
      <c r="H1641" s="846" t="s">
        <v>1217</v>
      </c>
      <c r="I1641" s="846" t="s">
        <v>1217</v>
      </c>
      <c r="J1641" s="749" t="s">
        <v>1217</v>
      </c>
      <c r="K1641" s="824" t="s">
        <v>1217</v>
      </c>
      <c r="L1641" s="749"/>
      <c r="M1641" s="749"/>
      <c r="N1641" s="749"/>
      <c r="O1641" s="132"/>
      <c r="P1641" s="132"/>
      <c r="Q1641" s="142"/>
    </row>
    <row r="1642" spans="2:17">
      <c r="B1642" s="136" t="s">
        <v>1218</v>
      </c>
      <c r="C1642" s="132"/>
      <c r="D1642" s="749" t="s">
        <v>1219</v>
      </c>
      <c r="E1642" s="749" t="s">
        <v>1219</v>
      </c>
      <c r="F1642" s="749" t="s">
        <v>1220</v>
      </c>
      <c r="G1642" s="749" t="s">
        <v>1220</v>
      </c>
      <c r="H1642" s="749" t="s">
        <v>1221</v>
      </c>
      <c r="I1642" s="749" t="s">
        <v>1221</v>
      </c>
      <c r="J1642" s="749" t="s">
        <v>1222</v>
      </c>
      <c r="K1642" s="824" t="s">
        <v>1222</v>
      </c>
      <c r="L1642" s="453"/>
      <c r="M1642" s="453"/>
      <c r="N1642" s="453"/>
      <c r="O1642" s="132"/>
      <c r="P1642" s="132"/>
      <c r="Q1642" s="142"/>
    </row>
    <row r="1643" spans="2:17" ht="30">
      <c r="B1643" s="825" t="s">
        <v>1134</v>
      </c>
      <c r="C1643" s="338"/>
      <c r="D1643" s="847" t="s">
        <v>1223</v>
      </c>
      <c r="E1643" s="847" t="s">
        <v>1223</v>
      </c>
      <c r="F1643" s="847" t="s">
        <v>1224</v>
      </c>
      <c r="G1643" s="847" t="s">
        <v>1224</v>
      </c>
      <c r="H1643" s="847" t="s">
        <v>1225</v>
      </c>
      <c r="I1643" s="847" t="s">
        <v>1225</v>
      </c>
      <c r="J1643" s="847" t="s">
        <v>1226</v>
      </c>
      <c r="K1643" s="848" t="s">
        <v>1226</v>
      </c>
      <c r="L1643" s="761"/>
      <c r="M1643" s="761"/>
      <c r="N1643" s="761"/>
      <c r="O1643" s="132"/>
      <c r="P1643" s="132"/>
      <c r="Q1643" s="142"/>
    </row>
    <row r="1644" spans="2:17">
      <c r="B1644" s="136" t="s">
        <v>1141</v>
      </c>
      <c r="C1644" s="132"/>
      <c r="D1644" s="849">
        <v>20</v>
      </c>
      <c r="E1644" s="849">
        <v>40</v>
      </c>
      <c r="F1644" s="849">
        <v>100</v>
      </c>
      <c r="G1644" s="849">
        <v>200</v>
      </c>
      <c r="H1644" s="849">
        <v>500</v>
      </c>
      <c r="I1644" s="849">
        <v>800</v>
      </c>
      <c r="J1644" s="850">
        <v>1500</v>
      </c>
      <c r="K1644" s="851">
        <v>2000</v>
      </c>
      <c r="L1644" s="132"/>
      <c r="M1644" s="132"/>
      <c r="N1644" s="132"/>
      <c r="O1644" s="132"/>
      <c r="P1644" s="132"/>
      <c r="Q1644" s="142"/>
    </row>
    <row r="1645" spans="2:17">
      <c r="B1645" s="136" t="s">
        <v>1142</v>
      </c>
      <c r="C1645" s="132"/>
      <c r="D1645" s="849">
        <f t="shared" ref="D1645:I1645" si="162">D1644*365</f>
        <v>7300</v>
      </c>
      <c r="E1645" s="849">
        <f t="shared" si="162"/>
        <v>14600</v>
      </c>
      <c r="F1645" s="849">
        <f t="shared" si="162"/>
        <v>36500</v>
      </c>
      <c r="G1645" s="849">
        <f t="shared" si="162"/>
        <v>73000</v>
      </c>
      <c r="H1645" s="849">
        <f t="shared" si="162"/>
        <v>182500</v>
      </c>
      <c r="I1645" s="849">
        <f t="shared" si="162"/>
        <v>292000</v>
      </c>
      <c r="J1645" s="849">
        <f>J1644*365</f>
        <v>547500</v>
      </c>
      <c r="K1645" s="852">
        <f>K1644*365</f>
        <v>730000</v>
      </c>
      <c r="L1645" s="132"/>
      <c r="M1645" s="132"/>
      <c r="N1645" s="132"/>
      <c r="O1645" s="132"/>
      <c r="P1645" s="132"/>
      <c r="Q1645" s="142"/>
    </row>
    <row r="1646" spans="2:17">
      <c r="B1646" s="136" t="s">
        <v>1227</v>
      </c>
      <c r="C1646" s="132"/>
      <c r="D1646" s="853">
        <f t="shared" ref="D1646:K1646" si="163">D1649/(1+D$1648)</f>
        <v>27272.727272727276</v>
      </c>
      <c r="E1646" s="853">
        <f t="shared" si="163"/>
        <v>45454.545454545456</v>
      </c>
      <c r="F1646" s="853">
        <f t="shared" si="163"/>
        <v>242424.24242424243</v>
      </c>
      <c r="G1646" s="853">
        <f t="shared" si="163"/>
        <v>363636.36363636365</v>
      </c>
      <c r="H1646" s="853">
        <f t="shared" si="163"/>
        <v>424242.42424242425</v>
      </c>
      <c r="I1646" s="853">
        <f t="shared" si="163"/>
        <v>545454.54545454553</v>
      </c>
      <c r="J1646" s="853">
        <f t="shared" si="163"/>
        <v>800000</v>
      </c>
      <c r="K1646" s="854">
        <f t="shared" si="163"/>
        <v>1200000</v>
      </c>
      <c r="L1646" s="132"/>
      <c r="M1646" s="132"/>
      <c r="N1646" s="132"/>
      <c r="O1646" s="132"/>
      <c r="P1646" s="132"/>
      <c r="Q1646" s="142"/>
    </row>
    <row r="1647" spans="2:17">
      <c r="B1647" s="136" t="s">
        <v>1228</v>
      </c>
      <c r="C1647" s="132"/>
      <c r="D1647" s="853">
        <f t="shared" ref="D1647:K1647" si="164">D1646*D$1648</f>
        <v>17727.272727272732</v>
      </c>
      <c r="E1647" s="853">
        <f t="shared" si="164"/>
        <v>29545.454545454548</v>
      </c>
      <c r="F1647" s="853">
        <f t="shared" si="164"/>
        <v>157575.7575757576</v>
      </c>
      <c r="G1647" s="853">
        <f t="shared" si="164"/>
        <v>236363.63636363638</v>
      </c>
      <c r="H1647" s="853">
        <f t="shared" si="164"/>
        <v>275757.5757575758</v>
      </c>
      <c r="I1647" s="853">
        <f t="shared" si="164"/>
        <v>354545.45454545459</v>
      </c>
      <c r="J1647" s="853">
        <f t="shared" si="164"/>
        <v>400000</v>
      </c>
      <c r="K1647" s="854">
        <f t="shared" si="164"/>
        <v>600000</v>
      </c>
      <c r="L1647" s="132"/>
      <c r="M1647" s="132"/>
      <c r="N1647" s="132"/>
      <c r="O1647" s="132"/>
      <c r="P1647" s="132"/>
      <c r="Q1647" s="142"/>
    </row>
    <row r="1648" spans="2:17">
      <c r="B1648" s="136" t="s">
        <v>1229</v>
      </c>
      <c r="C1648" s="132"/>
      <c r="D1648" s="855">
        <v>0.65</v>
      </c>
      <c r="E1648" s="855">
        <v>0.65</v>
      </c>
      <c r="F1648" s="855">
        <v>0.65</v>
      </c>
      <c r="G1648" s="855">
        <v>0.65</v>
      </c>
      <c r="H1648" s="855">
        <v>0.65</v>
      </c>
      <c r="I1648" s="855">
        <v>0.65</v>
      </c>
      <c r="J1648" s="855">
        <v>0.5</v>
      </c>
      <c r="K1648" s="856">
        <v>0.5</v>
      </c>
      <c r="L1648" s="132"/>
      <c r="M1648" s="132"/>
      <c r="N1648" s="132"/>
      <c r="O1648" s="132"/>
      <c r="P1648" s="132"/>
      <c r="Q1648" s="142"/>
    </row>
    <row r="1649" spans="2:17">
      <c r="B1649" s="337" t="s">
        <v>1143</v>
      </c>
      <c r="C1649" s="338"/>
      <c r="D1649" s="847">
        <v>45000</v>
      </c>
      <c r="E1649" s="847">
        <v>75000</v>
      </c>
      <c r="F1649" s="847">
        <v>400000</v>
      </c>
      <c r="G1649" s="847">
        <v>600000</v>
      </c>
      <c r="H1649" s="847">
        <v>700000</v>
      </c>
      <c r="I1649" s="847">
        <v>900000</v>
      </c>
      <c r="J1649" s="847">
        <v>1200000</v>
      </c>
      <c r="K1649" s="848">
        <v>1800000</v>
      </c>
      <c r="L1649" s="132"/>
      <c r="M1649" s="132"/>
      <c r="N1649" s="132"/>
      <c r="O1649" s="132"/>
      <c r="P1649" s="132"/>
      <c r="Q1649" s="142"/>
    </row>
    <row r="1650" spans="2:17">
      <c r="B1650" s="136"/>
      <c r="C1650" s="132"/>
      <c r="D1650" s="761"/>
      <c r="E1650" s="761"/>
      <c r="F1650" s="761"/>
      <c r="G1650" s="761"/>
      <c r="H1650" s="761"/>
      <c r="I1650" s="132"/>
      <c r="J1650" s="132"/>
      <c r="K1650" s="132"/>
      <c r="L1650" s="132"/>
      <c r="M1650" s="132"/>
      <c r="N1650" s="132"/>
      <c r="O1650" s="132"/>
      <c r="P1650" s="132"/>
      <c r="Q1650" s="142"/>
    </row>
    <row r="1651" spans="2:17">
      <c r="B1651" s="136" t="s">
        <v>1230</v>
      </c>
      <c r="C1651" s="132" t="s">
        <v>1197</v>
      </c>
      <c r="D1651" s="453"/>
      <c r="E1651" s="453"/>
      <c r="F1651" s="453"/>
      <c r="G1651" s="453"/>
      <c r="H1651" s="453"/>
      <c r="I1651" s="815"/>
      <c r="J1651" s="815"/>
      <c r="K1651" s="815"/>
      <c r="L1651" s="815"/>
      <c r="M1651" s="132"/>
      <c r="N1651" s="132"/>
      <c r="O1651" s="132"/>
      <c r="P1651" s="132"/>
      <c r="Q1651" s="142"/>
    </row>
    <row r="1652" spans="2:17">
      <c r="B1652" s="133" t="s">
        <v>1113</v>
      </c>
      <c r="C1652" s="822"/>
      <c r="D1652" s="134" t="s">
        <v>1231</v>
      </c>
      <c r="E1652" s="134" t="s">
        <v>1231</v>
      </c>
      <c r="F1652" s="134" t="s">
        <v>1200</v>
      </c>
      <c r="G1652" s="134" t="s">
        <v>1200</v>
      </c>
      <c r="H1652" s="134" t="s">
        <v>1201</v>
      </c>
      <c r="I1652" s="134" t="s">
        <v>1201</v>
      </c>
      <c r="J1652" s="134" t="s">
        <v>1115</v>
      </c>
      <c r="K1652" s="845" t="s">
        <v>1115</v>
      </c>
      <c r="L1652" s="815"/>
      <c r="M1652" s="132"/>
      <c r="N1652" s="132"/>
      <c r="O1652" s="132"/>
      <c r="P1652" s="132"/>
      <c r="Q1652" s="142"/>
    </row>
    <row r="1653" spans="2:17" ht="45">
      <c r="B1653" s="781" t="s">
        <v>660</v>
      </c>
      <c r="C1653" s="815"/>
      <c r="D1653" s="749" t="s">
        <v>1232</v>
      </c>
      <c r="E1653" s="749" t="s">
        <v>1233</v>
      </c>
      <c r="F1653" s="749" t="s">
        <v>1234</v>
      </c>
      <c r="G1653" s="749" t="s">
        <v>1234</v>
      </c>
      <c r="H1653" s="749" t="s">
        <v>1235</v>
      </c>
      <c r="I1653" s="749" t="s">
        <v>1235</v>
      </c>
      <c r="J1653" s="749" t="s">
        <v>1236</v>
      </c>
      <c r="K1653" s="824" t="s">
        <v>1236</v>
      </c>
      <c r="L1653" s="815"/>
      <c r="M1653" s="815"/>
      <c r="N1653" s="815"/>
      <c r="O1653" s="132"/>
      <c r="P1653" s="132"/>
      <c r="Q1653" s="142"/>
    </row>
    <row r="1654" spans="2:17">
      <c r="B1654" s="136" t="s">
        <v>1072</v>
      </c>
      <c r="C1654" s="132"/>
      <c r="D1654" s="749" t="s">
        <v>1123</v>
      </c>
      <c r="E1654" s="749" t="s">
        <v>1124</v>
      </c>
      <c r="F1654" s="749" t="s">
        <v>1237</v>
      </c>
      <c r="G1654" s="749" t="s">
        <v>1237</v>
      </c>
      <c r="H1654" s="749" t="s">
        <v>1238</v>
      </c>
      <c r="I1654" s="749" t="s">
        <v>1238</v>
      </c>
      <c r="J1654" s="749" t="s">
        <v>1238</v>
      </c>
      <c r="K1654" s="824" t="s">
        <v>1238</v>
      </c>
      <c r="L1654" s="749"/>
      <c r="M1654" s="749"/>
      <c r="N1654" s="749"/>
      <c r="O1654" s="749"/>
      <c r="P1654" s="132"/>
      <c r="Q1654" s="142"/>
    </row>
    <row r="1655" spans="2:17">
      <c r="B1655" s="136" t="s">
        <v>1214</v>
      </c>
      <c r="C1655" s="132"/>
      <c r="D1655" s="846" t="s">
        <v>1239</v>
      </c>
      <c r="E1655" s="846" t="s">
        <v>1239</v>
      </c>
      <c r="F1655" s="846" t="s">
        <v>1215</v>
      </c>
      <c r="G1655" s="846" t="s">
        <v>1215</v>
      </c>
      <c r="H1655" s="846" t="s">
        <v>1240</v>
      </c>
      <c r="I1655" s="846" t="s">
        <v>1240</v>
      </c>
      <c r="J1655" s="846" t="s">
        <v>1217</v>
      </c>
      <c r="K1655" s="857" t="s">
        <v>1217</v>
      </c>
      <c r="L1655" s="749"/>
      <c r="M1655" s="749"/>
      <c r="N1655" s="749"/>
      <c r="O1655" s="749"/>
      <c r="P1655" s="132"/>
      <c r="Q1655" s="142"/>
    </row>
    <row r="1656" spans="2:17">
      <c r="B1656" s="136" t="s">
        <v>1218</v>
      </c>
      <c r="C1656" s="132"/>
      <c r="D1656" s="846" t="s">
        <v>1241</v>
      </c>
      <c r="E1656" s="846" t="s">
        <v>1242</v>
      </c>
      <c r="F1656" s="749" t="s">
        <v>1219</v>
      </c>
      <c r="G1656" s="749" t="s">
        <v>1219</v>
      </c>
      <c r="H1656" s="749" t="s">
        <v>1220</v>
      </c>
      <c r="I1656" s="749" t="s">
        <v>1220</v>
      </c>
      <c r="J1656" s="749" t="s">
        <v>1221</v>
      </c>
      <c r="K1656" s="824" t="s">
        <v>1221</v>
      </c>
      <c r="L1656" s="453"/>
      <c r="M1656" s="453"/>
      <c r="N1656" s="453"/>
      <c r="O1656" s="453"/>
      <c r="P1656" s="132"/>
      <c r="Q1656" s="142"/>
    </row>
    <row r="1657" spans="2:17" ht="30">
      <c r="B1657" s="825" t="s">
        <v>1134</v>
      </c>
      <c r="C1657" s="338"/>
      <c r="D1657" s="847" t="s">
        <v>1243</v>
      </c>
      <c r="E1657" s="847" t="s">
        <v>1244</v>
      </c>
      <c r="F1657" s="847" t="s">
        <v>1245</v>
      </c>
      <c r="G1657" s="847" t="s">
        <v>1245</v>
      </c>
      <c r="H1657" s="847" t="s">
        <v>1246</v>
      </c>
      <c r="I1657" s="847" t="s">
        <v>1246</v>
      </c>
      <c r="J1657" s="847" t="s">
        <v>1247</v>
      </c>
      <c r="K1657" s="848" t="s">
        <v>1247</v>
      </c>
      <c r="L1657" s="761"/>
      <c r="M1657" s="761"/>
      <c r="N1657" s="761"/>
      <c r="O1657" s="761"/>
      <c r="P1657" s="132"/>
      <c r="Q1657" s="142"/>
    </row>
    <row r="1658" spans="2:17">
      <c r="B1658" s="136" t="s">
        <v>1141</v>
      </c>
      <c r="C1658" s="132"/>
      <c r="D1658" s="849">
        <v>5</v>
      </c>
      <c r="E1658" s="849">
        <v>10</v>
      </c>
      <c r="F1658" s="849">
        <v>20</v>
      </c>
      <c r="G1658" s="849">
        <v>40</v>
      </c>
      <c r="H1658" s="849">
        <v>100</v>
      </c>
      <c r="I1658" s="849">
        <v>200</v>
      </c>
      <c r="J1658" s="850">
        <v>500</v>
      </c>
      <c r="K1658" s="851">
        <v>800</v>
      </c>
      <c r="L1658" s="132"/>
      <c r="M1658" s="132"/>
      <c r="N1658" s="132"/>
      <c r="O1658" s="132"/>
      <c r="P1658" s="132"/>
      <c r="Q1658" s="142"/>
    </row>
    <row r="1659" spans="2:17">
      <c r="B1659" s="136" t="s">
        <v>1142</v>
      </c>
      <c r="C1659" s="132"/>
      <c r="D1659" s="849">
        <f>D1658*365</f>
        <v>1825</v>
      </c>
      <c r="E1659" s="849">
        <f t="shared" ref="E1659:K1659" si="165">E1658*365</f>
        <v>3650</v>
      </c>
      <c r="F1659" s="849">
        <f t="shared" si="165"/>
        <v>7300</v>
      </c>
      <c r="G1659" s="849">
        <f t="shared" si="165"/>
        <v>14600</v>
      </c>
      <c r="H1659" s="849">
        <f t="shared" si="165"/>
        <v>36500</v>
      </c>
      <c r="I1659" s="849">
        <f t="shared" si="165"/>
        <v>73000</v>
      </c>
      <c r="J1659" s="849">
        <f t="shared" si="165"/>
        <v>182500</v>
      </c>
      <c r="K1659" s="852">
        <f t="shared" si="165"/>
        <v>292000</v>
      </c>
      <c r="L1659" s="132"/>
      <c r="M1659" s="132"/>
      <c r="N1659" s="132"/>
      <c r="O1659" s="132"/>
      <c r="P1659" s="132"/>
      <c r="Q1659" s="142"/>
    </row>
    <row r="1660" spans="2:17">
      <c r="B1660" s="136" t="s">
        <v>1227</v>
      </c>
      <c r="C1660" s="132"/>
      <c r="D1660" s="853">
        <f t="shared" ref="D1660:K1660" si="166">D1663/(1+D$1662)</f>
        <v>4500</v>
      </c>
      <c r="E1660" s="853">
        <f t="shared" si="166"/>
        <v>7125</v>
      </c>
      <c r="F1660" s="853">
        <f t="shared" si="166"/>
        <v>21212.121212121212</v>
      </c>
      <c r="G1660" s="853">
        <f t="shared" si="166"/>
        <v>30303.030303030304</v>
      </c>
      <c r="H1660" s="853">
        <f t="shared" si="166"/>
        <v>0</v>
      </c>
      <c r="I1660" s="853">
        <f t="shared" si="166"/>
        <v>0</v>
      </c>
      <c r="J1660" s="853">
        <f t="shared" si="166"/>
        <v>333333.33333333337</v>
      </c>
      <c r="K1660" s="854">
        <f t="shared" si="166"/>
        <v>515151.5151515152</v>
      </c>
      <c r="L1660" s="132"/>
      <c r="M1660" s="132"/>
      <c r="N1660" s="132"/>
      <c r="O1660" s="132"/>
      <c r="P1660" s="132"/>
      <c r="Q1660" s="142"/>
    </row>
    <row r="1661" spans="2:17">
      <c r="B1661" s="136" t="s">
        <v>1228</v>
      </c>
      <c r="C1661" s="132"/>
      <c r="D1661" s="853">
        <f t="shared" ref="D1661:K1661" si="167">D1660*D$1662</f>
        <v>1500</v>
      </c>
      <c r="E1661" s="853">
        <f t="shared" si="167"/>
        <v>2375</v>
      </c>
      <c r="F1661" s="853">
        <f t="shared" si="167"/>
        <v>13787.878787878788</v>
      </c>
      <c r="G1661" s="853">
        <f t="shared" si="167"/>
        <v>19696.9696969697</v>
      </c>
      <c r="H1661" s="858">
        <f t="shared" si="167"/>
        <v>0</v>
      </c>
      <c r="I1661" s="853">
        <f t="shared" si="167"/>
        <v>0</v>
      </c>
      <c r="J1661" s="853">
        <f t="shared" si="167"/>
        <v>216666.66666666669</v>
      </c>
      <c r="K1661" s="854">
        <f t="shared" si="167"/>
        <v>334848.48484848486</v>
      </c>
      <c r="L1661" s="132"/>
      <c r="M1661" s="132"/>
      <c r="N1661" s="132"/>
      <c r="O1661" s="132"/>
      <c r="P1661" s="132"/>
      <c r="Q1661" s="142"/>
    </row>
    <row r="1662" spans="2:17">
      <c r="B1662" s="136" t="s">
        <v>1229</v>
      </c>
      <c r="C1662" s="132"/>
      <c r="D1662" s="855">
        <f>1/3</f>
        <v>0.33333333333333331</v>
      </c>
      <c r="E1662" s="855">
        <f>1/3</f>
        <v>0.33333333333333331</v>
      </c>
      <c r="F1662" s="855">
        <v>0.65</v>
      </c>
      <c r="G1662" s="855">
        <v>0.65</v>
      </c>
      <c r="H1662" s="855">
        <v>0.65</v>
      </c>
      <c r="I1662" s="855">
        <v>0.65</v>
      </c>
      <c r="J1662" s="855">
        <v>0.65</v>
      </c>
      <c r="K1662" s="856">
        <v>0.65</v>
      </c>
      <c r="L1662" s="132"/>
      <c r="M1662" s="132"/>
      <c r="N1662" s="132"/>
      <c r="O1662" s="132"/>
      <c r="P1662" s="132"/>
      <c r="Q1662" s="142"/>
    </row>
    <row r="1663" spans="2:17">
      <c r="B1663" s="337" t="s">
        <v>1143</v>
      </c>
      <c r="C1663" s="338"/>
      <c r="D1663" s="847">
        <f>AVERAGE(5500,6500)</f>
        <v>6000</v>
      </c>
      <c r="E1663" s="847">
        <f>AVERAGE(9000,10000)</f>
        <v>9500</v>
      </c>
      <c r="F1663" s="847">
        <v>35000</v>
      </c>
      <c r="G1663" s="847">
        <v>50000</v>
      </c>
      <c r="H1663" s="847"/>
      <c r="I1663" s="847"/>
      <c r="J1663" s="847">
        <v>550000</v>
      </c>
      <c r="K1663" s="848">
        <v>850000</v>
      </c>
      <c r="L1663" s="132"/>
      <c r="M1663" s="132"/>
      <c r="N1663" s="132"/>
      <c r="O1663" s="132"/>
      <c r="P1663" s="132"/>
      <c r="Q1663" s="142"/>
    </row>
    <row r="1664" spans="2:17">
      <c r="B1664" s="136"/>
      <c r="C1664" s="132"/>
      <c r="D1664" s="132"/>
      <c r="E1664" s="132"/>
      <c r="F1664" s="132"/>
      <c r="G1664" s="132"/>
      <c r="H1664" s="859">
        <v>250000</v>
      </c>
      <c r="I1664" s="859">
        <v>500000</v>
      </c>
      <c r="J1664" s="132"/>
      <c r="K1664" s="132"/>
      <c r="L1664" s="132"/>
      <c r="M1664" s="132"/>
      <c r="N1664" s="132"/>
      <c r="O1664" s="132"/>
      <c r="P1664" s="132"/>
      <c r="Q1664" s="142"/>
    </row>
    <row r="1665" spans="2:24">
      <c r="B1665" s="136"/>
      <c r="C1665" s="132"/>
      <c r="D1665" s="132"/>
      <c r="E1665" s="132"/>
      <c r="F1665" s="132"/>
      <c r="G1665" s="132"/>
      <c r="H1665" s="132"/>
      <c r="I1665" s="132"/>
      <c r="J1665" s="132"/>
      <c r="K1665" s="132"/>
      <c r="L1665" s="132"/>
      <c r="M1665" s="132"/>
      <c r="N1665" s="132"/>
      <c r="O1665" s="132"/>
      <c r="P1665" s="132"/>
      <c r="Q1665" s="142"/>
    </row>
    <row r="1666" spans="2:24">
      <c r="B1666" s="544" t="s">
        <v>1248</v>
      </c>
      <c r="C1666" s="339" t="s">
        <v>1249</v>
      </c>
      <c r="D1666" s="860"/>
      <c r="E1666" s="860"/>
      <c r="F1666" s="860"/>
      <c r="G1666" s="860"/>
      <c r="H1666" s="860"/>
      <c r="I1666" s="860"/>
      <c r="J1666" s="860"/>
      <c r="K1666" s="860"/>
      <c r="L1666" s="860"/>
      <c r="M1666" s="860"/>
      <c r="N1666" s="860"/>
      <c r="O1666" s="860"/>
      <c r="P1666" s="860"/>
      <c r="Q1666" s="142"/>
    </row>
    <row r="1667" spans="2:24">
      <c r="B1667" s="861" t="s">
        <v>1250</v>
      </c>
      <c r="C1667" s="542" t="s">
        <v>1251</v>
      </c>
      <c r="D1667" s="537">
        <v>1</v>
      </c>
      <c r="E1667" s="862">
        <v>5</v>
      </c>
      <c r="F1667" s="862">
        <v>25</v>
      </c>
      <c r="G1667" s="862">
        <v>50</v>
      </c>
      <c r="H1667" s="862">
        <v>100</v>
      </c>
      <c r="I1667" s="862">
        <v>120</v>
      </c>
      <c r="J1667" s="862">
        <v>140</v>
      </c>
      <c r="K1667" s="862">
        <v>160</v>
      </c>
      <c r="L1667" s="862">
        <v>180</v>
      </c>
      <c r="M1667" s="862">
        <v>200</v>
      </c>
      <c r="N1667" s="862">
        <v>220</v>
      </c>
      <c r="O1667" s="862">
        <v>240</v>
      </c>
      <c r="P1667" s="863">
        <v>260</v>
      </c>
      <c r="Q1667" s="142"/>
    </row>
    <row r="1668" spans="2:24">
      <c r="B1668" s="271" t="s">
        <v>1141</v>
      </c>
      <c r="C1668" s="325" t="s">
        <v>1252</v>
      </c>
      <c r="D1668" s="295">
        <v>6</v>
      </c>
      <c r="E1668" s="295">
        <v>30</v>
      </c>
      <c r="F1668" s="295">
        <v>150</v>
      </c>
      <c r="G1668" s="295">
        <v>300</v>
      </c>
      <c r="H1668" s="295">
        <v>600</v>
      </c>
      <c r="I1668" s="295">
        <v>720</v>
      </c>
      <c r="J1668" s="295">
        <v>840</v>
      </c>
      <c r="K1668" s="295">
        <v>960</v>
      </c>
      <c r="L1668" s="295">
        <v>1080</v>
      </c>
      <c r="M1668" s="295">
        <v>1200</v>
      </c>
      <c r="N1668" s="295">
        <v>1320</v>
      </c>
      <c r="O1668" s="295">
        <v>1440</v>
      </c>
      <c r="P1668" s="543">
        <v>1560</v>
      </c>
      <c r="Q1668" s="142"/>
    </row>
    <row r="1669" spans="2:24">
      <c r="B1669" s="271" t="s">
        <v>1253</v>
      </c>
      <c r="C1669" s="339"/>
      <c r="D1669" s="864">
        <f>D1668*365</f>
        <v>2190</v>
      </c>
      <c r="E1669" s="864">
        <f t="shared" ref="E1669:P1669" si="168">E1668*365</f>
        <v>10950</v>
      </c>
      <c r="F1669" s="864">
        <f t="shared" si="168"/>
        <v>54750</v>
      </c>
      <c r="G1669" s="864">
        <f t="shared" si="168"/>
        <v>109500</v>
      </c>
      <c r="H1669" s="864">
        <f t="shared" si="168"/>
        <v>219000</v>
      </c>
      <c r="I1669" s="864">
        <f t="shared" si="168"/>
        <v>262800</v>
      </c>
      <c r="J1669" s="864">
        <f t="shared" si="168"/>
        <v>306600</v>
      </c>
      <c r="K1669" s="864">
        <f t="shared" si="168"/>
        <v>350400</v>
      </c>
      <c r="L1669" s="864">
        <f t="shared" si="168"/>
        <v>394200</v>
      </c>
      <c r="M1669" s="864">
        <f t="shared" si="168"/>
        <v>438000</v>
      </c>
      <c r="N1669" s="864">
        <f t="shared" si="168"/>
        <v>481800</v>
      </c>
      <c r="O1669" s="864">
        <f t="shared" si="168"/>
        <v>525600</v>
      </c>
      <c r="P1669" s="865">
        <f t="shared" si="168"/>
        <v>569400</v>
      </c>
      <c r="Q1669" s="142"/>
    </row>
    <row r="1670" spans="2:24">
      <c r="B1670" s="541" t="s">
        <v>1254</v>
      </c>
      <c r="C1670" s="542"/>
      <c r="D1670" s="866">
        <v>373900</v>
      </c>
      <c r="E1670" s="866">
        <v>427700</v>
      </c>
      <c r="F1670" s="866">
        <v>583700</v>
      </c>
      <c r="G1670" s="866">
        <v>722200</v>
      </c>
      <c r="H1670" s="866">
        <v>942200</v>
      </c>
      <c r="I1670" s="866">
        <v>1074100</v>
      </c>
      <c r="J1670" s="866">
        <v>1146600</v>
      </c>
      <c r="K1670" s="866">
        <v>1215400</v>
      </c>
      <c r="L1670" s="866">
        <v>1281700</v>
      </c>
      <c r="M1670" s="866">
        <v>1345900</v>
      </c>
      <c r="N1670" s="866">
        <v>1407500</v>
      </c>
      <c r="O1670" s="866">
        <v>1521800</v>
      </c>
      <c r="P1670" s="867">
        <v>1580200</v>
      </c>
      <c r="Q1670" s="142"/>
    </row>
    <row r="1671" spans="2:24">
      <c r="B1671" s="544" t="s">
        <v>1255</v>
      </c>
      <c r="C1671" s="339"/>
      <c r="D1671" s="832">
        <v>213400</v>
      </c>
      <c r="E1671" s="832">
        <v>266800</v>
      </c>
      <c r="F1671" s="832">
        <v>450400</v>
      </c>
      <c r="G1671" s="832">
        <v>625600</v>
      </c>
      <c r="H1671" s="832">
        <v>909800</v>
      </c>
      <c r="I1671" s="832">
        <v>1005100</v>
      </c>
      <c r="J1671" s="832">
        <v>1105200</v>
      </c>
      <c r="K1671" s="832">
        <v>1165400</v>
      </c>
      <c r="L1671" s="832">
        <v>1256600</v>
      </c>
      <c r="M1671" s="832">
        <v>1345100</v>
      </c>
      <c r="N1671" s="832">
        <v>1422500</v>
      </c>
      <c r="O1671" s="832">
        <v>1507300</v>
      </c>
      <c r="P1671" s="833">
        <v>1590200</v>
      </c>
      <c r="Q1671" s="142"/>
    </row>
    <row r="1672" spans="2:24">
      <c r="B1672" s="136"/>
      <c r="C1672" s="132"/>
      <c r="D1672" s="132"/>
      <c r="E1672" s="132"/>
      <c r="F1672" s="132"/>
      <c r="G1672" s="132"/>
      <c r="H1672" s="132"/>
      <c r="I1672" s="132"/>
      <c r="J1672" s="132"/>
      <c r="K1672" s="132"/>
      <c r="L1672" s="132"/>
      <c r="M1672" s="132"/>
      <c r="N1672" s="132"/>
      <c r="O1672" s="132"/>
      <c r="P1672" s="132"/>
      <c r="Q1672" s="142"/>
    </row>
    <row r="1673" spans="2:24" ht="30">
      <c r="B1673" s="811" t="s">
        <v>1256</v>
      </c>
      <c r="C1673" s="325" t="s">
        <v>537</v>
      </c>
      <c r="D1673" s="325"/>
      <c r="E1673" s="325"/>
      <c r="F1673" s="325"/>
      <c r="G1673" s="325"/>
      <c r="H1673" s="325"/>
      <c r="I1673" s="325"/>
      <c r="J1673" s="325"/>
      <c r="K1673" s="325"/>
      <c r="L1673" s="325"/>
      <c r="M1673" s="325"/>
      <c r="N1673" s="325"/>
      <c r="O1673" s="325"/>
      <c r="P1673" s="325"/>
      <c r="Q1673" s="142"/>
    </row>
    <row r="1674" spans="2:24">
      <c r="B1674" s="541" t="s">
        <v>1257</v>
      </c>
      <c r="C1674" s="542" t="s">
        <v>1251</v>
      </c>
      <c r="D1674" s="868">
        <f t="shared" ref="D1674:P1674" si="169">D1668*30/diesel_gallon2GGE</f>
        <v>207.74651302224896</v>
      </c>
      <c r="E1674" s="868">
        <f t="shared" si="169"/>
        <v>1038.7325651112449</v>
      </c>
      <c r="F1674" s="868">
        <f t="shared" si="169"/>
        <v>5193.6628255562246</v>
      </c>
      <c r="G1674" s="868">
        <f t="shared" si="169"/>
        <v>10387.325651112449</v>
      </c>
      <c r="H1674" s="868">
        <f t="shared" si="169"/>
        <v>20774.651302224898</v>
      </c>
      <c r="I1674" s="868">
        <f t="shared" si="169"/>
        <v>24929.581562669875</v>
      </c>
      <c r="J1674" s="868">
        <f t="shared" si="169"/>
        <v>29084.511823114855</v>
      </c>
      <c r="K1674" s="868">
        <f t="shared" si="169"/>
        <v>33239.442083559836</v>
      </c>
      <c r="L1674" s="868">
        <f t="shared" si="169"/>
        <v>37394.372344004812</v>
      </c>
      <c r="M1674" s="868">
        <f t="shared" si="169"/>
        <v>41549.302604449796</v>
      </c>
      <c r="N1674" s="868">
        <f t="shared" si="169"/>
        <v>45704.232864894773</v>
      </c>
      <c r="O1674" s="868">
        <f t="shared" si="169"/>
        <v>49859.16312533975</v>
      </c>
      <c r="P1674" s="869">
        <f t="shared" si="169"/>
        <v>54014.093385784734</v>
      </c>
      <c r="Q1674" s="455"/>
      <c r="R1674" s="870"/>
      <c r="S1674" s="870"/>
      <c r="T1674" s="870"/>
      <c r="U1674" s="870"/>
      <c r="V1674" s="870"/>
      <c r="W1674" s="870"/>
      <c r="X1674" s="870"/>
    </row>
    <row r="1675" spans="2:24">
      <c r="B1675" s="271" t="s">
        <v>1141</v>
      </c>
      <c r="C1675" s="325"/>
      <c r="D1675" s="871">
        <f t="shared" ref="D1675:P1675" si="170">D1674*diesel_gallon2GGE/30</f>
        <v>6</v>
      </c>
      <c r="E1675" s="871">
        <f t="shared" si="170"/>
        <v>30</v>
      </c>
      <c r="F1675" s="871">
        <f t="shared" si="170"/>
        <v>150</v>
      </c>
      <c r="G1675" s="871">
        <f t="shared" si="170"/>
        <v>300</v>
      </c>
      <c r="H1675" s="871">
        <f t="shared" si="170"/>
        <v>600</v>
      </c>
      <c r="I1675" s="871">
        <f t="shared" si="170"/>
        <v>720</v>
      </c>
      <c r="J1675" s="871">
        <f t="shared" si="170"/>
        <v>840</v>
      </c>
      <c r="K1675" s="871">
        <f t="shared" si="170"/>
        <v>960</v>
      </c>
      <c r="L1675" s="871">
        <f t="shared" si="170"/>
        <v>1080</v>
      </c>
      <c r="M1675" s="871">
        <f t="shared" si="170"/>
        <v>1200</v>
      </c>
      <c r="N1675" s="871">
        <f t="shared" si="170"/>
        <v>1320</v>
      </c>
      <c r="O1675" s="871">
        <f t="shared" si="170"/>
        <v>1440</v>
      </c>
      <c r="P1675" s="872">
        <f t="shared" si="170"/>
        <v>1560</v>
      </c>
      <c r="Q1675" s="455"/>
      <c r="R1675" s="870"/>
      <c r="S1675" s="870"/>
      <c r="T1675" s="870"/>
      <c r="U1675" s="870"/>
      <c r="V1675" s="870"/>
      <c r="W1675" s="870"/>
      <c r="X1675" s="870"/>
    </row>
    <row r="1676" spans="2:24">
      <c r="B1676" s="271" t="s">
        <v>1253</v>
      </c>
      <c r="C1676" s="325"/>
      <c r="D1676" s="871">
        <f>D1675*365</f>
        <v>2190</v>
      </c>
      <c r="E1676" s="871">
        <f t="shared" ref="E1676:P1676" si="171">E1675*365</f>
        <v>10950</v>
      </c>
      <c r="F1676" s="871">
        <f t="shared" si="171"/>
        <v>54750</v>
      </c>
      <c r="G1676" s="871">
        <f t="shared" si="171"/>
        <v>109500</v>
      </c>
      <c r="H1676" s="871">
        <f t="shared" si="171"/>
        <v>219000</v>
      </c>
      <c r="I1676" s="871">
        <f t="shared" si="171"/>
        <v>262800</v>
      </c>
      <c r="J1676" s="871">
        <f t="shared" si="171"/>
        <v>306600</v>
      </c>
      <c r="K1676" s="871">
        <f t="shared" si="171"/>
        <v>350400</v>
      </c>
      <c r="L1676" s="871">
        <f t="shared" si="171"/>
        <v>394200</v>
      </c>
      <c r="M1676" s="871">
        <f t="shared" si="171"/>
        <v>438000</v>
      </c>
      <c r="N1676" s="871">
        <f t="shared" si="171"/>
        <v>481800</v>
      </c>
      <c r="O1676" s="871">
        <f t="shared" si="171"/>
        <v>525600</v>
      </c>
      <c r="P1676" s="873">
        <f t="shared" si="171"/>
        <v>569400</v>
      </c>
      <c r="Q1676" s="455"/>
      <c r="R1676" s="870"/>
      <c r="S1676" s="870"/>
      <c r="T1676" s="870"/>
      <c r="U1676" s="870"/>
      <c r="V1676" s="870"/>
      <c r="W1676" s="870"/>
      <c r="X1676" s="870"/>
    </row>
    <row r="1677" spans="2:24">
      <c r="B1677" s="541" t="s">
        <v>1258</v>
      </c>
      <c r="C1677" s="542" t="s">
        <v>1259</v>
      </c>
      <c r="D1677" s="756">
        <f t="shared" ref="D1677:P1677" si="172">15.351829*(D1674/0.904)+1329224.39743748</f>
        <v>1332752.3719322409</v>
      </c>
      <c r="E1677" s="756">
        <f t="shared" si="172"/>
        <v>1346864.2699112846</v>
      </c>
      <c r="F1677" s="756">
        <f t="shared" si="172"/>
        <v>1417423.7598065021</v>
      </c>
      <c r="G1677" s="756">
        <f t="shared" si="172"/>
        <v>1505623.1221755242</v>
      </c>
      <c r="H1677" s="756">
        <f t="shared" si="172"/>
        <v>1682021.8469135684</v>
      </c>
      <c r="I1677" s="756">
        <f t="shared" si="172"/>
        <v>1752581.336808786</v>
      </c>
      <c r="J1677" s="756">
        <f t="shared" si="172"/>
        <v>1823140.8267040038</v>
      </c>
      <c r="K1677" s="756">
        <f t="shared" si="172"/>
        <v>1893700.3165992214</v>
      </c>
      <c r="L1677" s="756">
        <f t="shared" si="172"/>
        <v>1964259.8064944393</v>
      </c>
      <c r="M1677" s="756">
        <f t="shared" si="172"/>
        <v>2034819.2963896571</v>
      </c>
      <c r="N1677" s="756">
        <f t="shared" si="172"/>
        <v>2105378.7862848747</v>
      </c>
      <c r="O1677" s="756">
        <f t="shared" si="172"/>
        <v>2175938.2761800922</v>
      </c>
      <c r="P1677" s="750">
        <f t="shared" si="172"/>
        <v>2246497.7660753098</v>
      </c>
      <c r="Q1677" s="455"/>
      <c r="R1677" s="870"/>
      <c r="S1677" s="870"/>
      <c r="T1677" s="870"/>
      <c r="U1677" s="870"/>
      <c r="V1677" s="870"/>
      <c r="W1677" s="870"/>
      <c r="X1677" s="870"/>
    </row>
    <row r="1678" spans="2:24">
      <c r="B1678" s="271" t="s">
        <v>1258</v>
      </c>
      <c r="C1678" s="325" t="s">
        <v>1260</v>
      </c>
      <c r="D1678" s="581">
        <f t="shared" ref="D1678:P1678" si="173">(23.559935*(D1674/0.904))+902751.893475</f>
        <v>908166.15712907177</v>
      </c>
      <c r="E1678" s="581">
        <f t="shared" si="173"/>
        <v>929823.21174535865</v>
      </c>
      <c r="F1678" s="581">
        <f t="shared" si="173"/>
        <v>1038108.4848267932</v>
      </c>
      <c r="G1678" s="581">
        <f t="shared" si="173"/>
        <v>1173465.0761785863</v>
      </c>
      <c r="H1678" s="581">
        <f t="shared" si="173"/>
        <v>1444178.2588821724</v>
      </c>
      <c r="I1678" s="581">
        <f t="shared" si="173"/>
        <v>1552463.5319636068</v>
      </c>
      <c r="J1678" s="581">
        <f t="shared" si="173"/>
        <v>1660748.8050450415</v>
      </c>
      <c r="K1678" s="581">
        <f t="shared" si="173"/>
        <v>1769034.0781264761</v>
      </c>
      <c r="L1678" s="581">
        <f t="shared" si="173"/>
        <v>1877319.3512079106</v>
      </c>
      <c r="M1678" s="581">
        <f t="shared" si="173"/>
        <v>1985604.624289345</v>
      </c>
      <c r="N1678" s="581">
        <f t="shared" si="173"/>
        <v>2093889.8973707794</v>
      </c>
      <c r="O1678" s="581">
        <f t="shared" si="173"/>
        <v>2202175.1704522138</v>
      </c>
      <c r="P1678" s="751">
        <f t="shared" si="173"/>
        <v>2310460.4435336487</v>
      </c>
      <c r="Q1678" s="455"/>
      <c r="R1678" s="870"/>
      <c r="S1678" s="870"/>
      <c r="T1678" s="870"/>
      <c r="U1678" s="870"/>
      <c r="V1678" s="870"/>
      <c r="W1678" s="870"/>
      <c r="X1678" s="870"/>
    </row>
    <row r="1679" spans="2:24">
      <c r="B1679" s="544" t="s">
        <v>1258</v>
      </c>
      <c r="C1679" s="339" t="s">
        <v>1261</v>
      </c>
      <c r="D1679" s="759">
        <f t="shared" ref="D1679:P1679" si="174">(10.837788*(D1674/0.904))+1286083.33338636</f>
        <v>1288573.9447424158</v>
      </c>
      <c r="E1679" s="759">
        <f t="shared" si="174"/>
        <v>1298536.3901666387</v>
      </c>
      <c r="F1679" s="759">
        <f t="shared" si="174"/>
        <v>1348348.6172877531</v>
      </c>
      <c r="G1679" s="759">
        <f t="shared" si="174"/>
        <v>1410613.9011891461</v>
      </c>
      <c r="H1679" s="759">
        <f t="shared" si="174"/>
        <v>1535144.4689919322</v>
      </c>
      <c r="I1679" s="759">
        <f t="shared" si="174"/>
        <v>1584956.6961130467</v>
      </c>
      <c r="J1679" s="759">
        <f t="shared" si="174"/>
        <v>1634768.9232341612</v>
      </c>
      <c r="K1679" s="759">
        <f t="shared" si="174"/>
        <v>1684581.1503552757</v>
      </c>
      <c r="L1679" s="759">
        <f t="shared" si="174"/>
        <v>1734393.37747639</v>
      </c>
      <c r="M1679" s="759">
        <f t="shared" si="174"/>
        <v>1784205.6045975047</v>
      </c>
      <c r="N1679" s="759">
        <f t="shared" si="174"/>
        <v>1834017.831718619</v>
      </c>
      <c r="O1679" s="759">
        <f t="shared" si="174"/>
        <v>1883830.0588397332</v>
      </c>
      <c r="P1679" s="752">
        <f t="shared" si="174"/>
        <v>1933642.285960848</v>
      </c>
      <c r="Q1679" s="455"/>
      <c r="R1679" s="870"/>
      <c r="S1679" s="870"/>
      <c r="T1679" s="870"/>
      <c r="U1679" s="870"/>
      <c r="V1679" s="870"/>
      <c r="W1679" s="870"/>
      <c r="X1679" s="870"/>
    </row>
    <row r="1680" spans="2:24">
      <c r="B1680" s="828" t="s">
        <v>1258</v>
      </c>
      <c r="C1680" s="695" t="s">
        <v>1262</v>
      </c>
      <c r="D1680" s="874">
        <f>AVERAGE(D1677:D1679)</f>
        <v>1176497.4912679095</v>
      </c>
      <c r="E1680" s="874">
        <f t="shared" ref="E1680:P1680" si="175">AVERAGE(E1677:E1679)</f>
        <v>1191741.2906077607</v>
      </c>
      <c r="F1680" s="874">
        <f t="shared" si="175"/>
        <v>1267960.2873070163</v>
      </c>
      <c r="G1680" s="874">
        <f t="shared" si="175"/>
        <v>1363234.0331810855</v>
      </c>
      <c r="H1680" s="874">
        <f t="shared" si="175"/>
        <v>1553781.5249292245</v>
      </c>
      <c r="I1680" s="874">
        <f t="shared" si="175"/>
        <v>1630000.5216284797</v>
      </c>
      <c r="J1680" s="874">
        <f t="shared" si="175"/>
        <v>1706219.5183277354</v>
      </c>
      <c r="K1680" s="874">
        <f t="shared" si="175"/>
        <v>1782438.515026991</v>
      </c>
      <c r="L1680" s="874">
        <f t="shared" si="175"/>
        <v>1858657.5117262464</v>
      </c>
      <c r="M1680" s="874">
        <f t="shared" si="175"/>
        <v>1934876.5084255021</v>
      </c>
      <c r="N1680" s="874">
        <f t="shared" si="175"/>
        <v>2011095.5051247578</v>
      </c>
      <c r="O1680" s="874">
        <f t="shared" si="175"/>
        <v>2087314.5018240132</v>
      </c>
      <c r="P1680" s="875">
        <f t="shared" si="175"/>
        <v>2163533.4985232688</v>
      </c>
      <c r="Q1680" s="455"/>
      <c r="R1680" s="870"/>
      <c r="S1680" s="870"/>
      <c r="T1680" s="870"/>
      <c r="U1680" s="870"/>
      <c r="V1680" s="870"/>
      <c r="W1680" s="870"/>
      <c r="X1680" s="870"/>
    </row>
    <row r="1681" spans="2:17" ht="16" thickBot="1">
      <c r="B1681" s="143"/>
      <c r="C1681" s="145"/>
      <c r="D1681" s="145"/>
      <c r="E1681" s="145"/>
      <c r="F1681" s="145"/>
      <c r="G1681" s="145"/>
      <c r="H1681" s="145"/>
      <c r="I1681" s="145"/>
      <c r="J1681" s="145"/>
      <c r="K1681" s="145"/>
      <c r="L1681" s="145"/>
      <c r="M1681" s="145"/>
      <c r="N1681" s="145"/>
      <c r="O1681" s="145"/>
      <c r="P1681" s="145"/>
      <c r="Q1681" s="146"/>
    </row>
    <row r="1682" spans="2:17">
      <c r="B1682" s="132"/>
      <c r="C1682" s="132"/>
      <c r="D1682" s="132"/>
      <c r="E1682" s="132"/>
      <c r="F1682" s="132"/>
      <c r="G1682" s="132"/>
      <c r="H1682" s="132"/>
      <c r="I1682" s="132"/>
      <c r="J1682" s="132"/>
      <c r="K1682" s="132"/>
    </row>
    <row r="1683" spans="2:17" ht="17" thickBot="1">
      <c r="B1683" s="654" t="s">
        <v>1263</v>
      </c>
      <c r="C1683" s="160"/>
      <c r="D1683" s="132"/>
      <c r="E1683" s="132"/>
      <c r="F1683" s="132"/>
      <c r="G1683" s="132"/>
      <c r="H1683" s="132"/>
      <c r="I1683" s="132"/>
      <c r="J1683" s="132"/>
      <c r="K1683" s="132"/>
      <c r="M1683" s="132"/>
      <c r="N1683" s="132"/>
    </row>
    <row r="1684" spans="2:17">
      <c r="B1684" s="773" t="s">
        <v>1264</v>
      </c>
      <c r="C1684" s="821"/>
      <c r="D1684" s="775" t="s">
        <v>900</v>
      </c>
      <c r="E1684" s="775" t="s">
        <v>901</v>
      </c>
      <c r="F1684" s="775" t="s">
        <v>902</v>
      </c>
      <c r="G1684" s="776" t="s">
        <v>903</v>
      </c>
      <c r="H1684" s="632"/>
      <c r="I1684" s="632"/>
      <c r="J1684" s="509"/>
      <c r="K1684" s="509"/>
      <c r="L1684" s="632"/>
      <c r="M1684" s="509"/>
      <c r="N1684" s="501"/>
    </row>
    <row r="1685" spans="2:17">
      <c r="B1685" s="341" t="s">
        <v>1058</v>
      </c>
      <c r="C1685" s="342"/>
      <c r="D1685" s="777">
        <f>D1686/365</f>
        <v>0</v>
      </c>
      <c r="E1685" s="777">
        <f>E1686/365</f>
        <v>0</v>
      </c>
      <c r="F1685" s="777">
        <f>F1686/365</f>
        <v>0</v>
      </c>
      <c r="G1685" s="778">
        <f>G1686/365</f>
        <v>0</v>
      </c>
      <c r="H1685" s="132"/>
      <c r="I1685" s="132"/>
      <c r="J1685" s="642" t="s">
        <v>1265</v>
      </c>
      <c r="K1685" s="132"/>
      <c r="L1685" s="132"/>
      <c r="M1685" s="132"/>
      <c r="N1685" s="142"/>
    </row>
    <row r="1686" spans="2:17">
      <c r="B1686" s="337" t="s">
        <v>1060</v>
      </c>
      <c r="C1686" s="338"/>
      <c r="D1686" s="779">
        <f>IFERROR([2]Payback!$O$90/[2]Payback!$O$63,0)</f>
        <v>0</v>
      </c>
      <c r="E1686" s="779">
        <f>IFERROR([2]Payback!$O$90/[2]Payback!$O$63,0)</f>
        <v>0</v>
      </c>
      <c r="F1686" s="779">
        <f>IFERROR([2]Payback!$O$90/[2]Payback!$O$63,0)</f>
        <v>0</v>
      </c>
      <c r="G1686" s="780">
        <f>IFERROR([2]Payback!$O$90/[2]Payback!$O$63,0)</f>
        <v>0</v>
      </c>
      <c r="H1686" s="132"/>
      <c r="I1686" s="132"/>
      <c r="J1686" s="646" t="s">
        <v>900</v>
      </c>
      <c r="K1686" s="132"/>
      <c r="L1686" s="132"/>
      <c r="M1686" s="132"/>
      <c r="N1686" s="142"/>
    </row>
    <row r="1687" spans="2:17">
      <c r="B1687" s="341" t="s">
        <v>1061</v>
      </c>
      <c r="C1687" s="132"/>
      <c r="D1687" s="553"/>
      <c r="E1687" s="553"/>
      <c r="F1687" s="553"/>
      <c r="G1687" s="647"/>
      <c r="H1687" s="132"/>
      <c r="I1687" s="132"/>
      <c r="J1687" s="646" t="s">
        <v>901</v>
      </c>
      <c r="K1687" s="132"/>
      <c r="L1687" s="132"/>
      <c r="M1687" s="132"/>
      <c r="N1687" s="142"/>
    </row>
    <row r="1688" spans="2:17">
      <c r="B1688" s="136" t="s">
        <v>1062</v>
      </c>
      <c r="C1688" s="132"/>
      <c r="D1688" s="553"/>
      <c r="E1688" s="553"/>
      <c r="F1688" s="553"/>
      <c r="G1688" s="647"/>
      <c r="H1688" s="132"/>
      <c r="I1688" s="132"/>
      <c r="J1688" s="646" t="s">
        <v>902</v>
      </c>
      <c r="K1688" s="132"/>
      <c r="L1688" s="132"/>
      <c r="M1688" s="132"/>
      <c r="N1688" s="142"/>
    </row>
    <row r="1689" spans="2:17">
      <c r="B1689" s="136" t="s">
        <v>1063</v>
      </c>
      <c r="C1689" s="132"/>
      <c r="D1689" s="553"/>
      <c r="E1689" s="553"/>
      <c r="F1689" s="553"/>
      <c r="G1689" s="647"/>
      <c r="H1689" s="132"/>
      <c r="I1689" s="132"/>
      <c r="J1689" s="132" t="s">
        <v>903</v>
      </c>
      <c r="K1689" s="132"/>
      <c r="L1689" s="132"/>
      <c r="M1689" s="132"/>
      <c r="N1689" s="142"/>
    </row>
    <row r="1690" spans="2:17">
      <c r="B1690" s="337" t="s">
        <v>909</v>
      </c>
      <c r="C1690" s="338"/>
      <c r="D1690" s="338"/>
      <c r="E1690" s="338"/>
      <c r="F1690" s="338"/>
      <c r="G1690" s="663"/>
      <c r="H1690" s="132"/>
      <c r="I1690" s="132"/>
      <c r="J1690" s="646"/>
      <c r="K1690" s="132"/>
      <c r="L1690" s="132"/>
      <c r="M1690" s="132"/>
      <c r="N1690" s="142"/>
    </row>
    <row r="1691" spans="2:17">
      <c r="B1691" s="651" t="s">
        <v>910</v>
      </c>
      <c r="C1691" s="338" t="s">
        <v>1266</v>
      </c>
      <c r="D1691" s="652">
        <f>0.51017*D1686+190521.35</f>
        <v>190521.35</v>
      </c>
      <c r="E1691" s="652">
        <f>0.51017*E1686+190521.35</f>
        <v>190521.35</v>
      </c>
      <c r="F1691" s="652">
        <f>0.51017*F1686+190521.35</f>
        <v>190521.35</v>
      </c>
      <c r="G1691" s="665">
        <f>0.51017*G1686+190521.35</f>
        <v>190521.35</v>
      </c>
      <c r="H1691" s="132"/>
      <c r="I1691" s="132"/>
      <c r="J1691" s="646"/>
      <c r="K1691" s="132"/>
      <c r="L1691" s="132"/>
      <c r="M1691" s="132"/>
      <c r="N1691" s="142"/>
    </row>
    <row r="1692" spans="2:17">
      <c r="B1692" s="657"/>
      <c r="C1692" s="132"/>
      <c r="D1692" s="658"/>
      <c r="E1692" s="658"/>
      <c r="F1692" s="553"/>
      <c r="G1692" s="647"/>
      <c r="H1692" s="132"/>
      <c r="I1692" s="132"/>
      <c r="J1692" s="132"/>
      <c r="K1692" s="132"/>
      <c r="L1692" s="132"/>
      <c r="M1692" s="132"/>
      <c r="N1692" s="142"/>
    </row>
    <row r="1693" spans="2:17">
      <c r="B1693" s="136" t="s">
        <v>1198</v>
      </c>
      <c r="C1693" s="132"/>
      <c r="D1693" s="658"/>
      <c r="E1693" s="658"/>
      <c r="F1693" s="658"/>
      <c r="G1693" s="738"/>
      <c r="H1693" s="132"/>
      <c r="I1693" s="132"/>
      <c r="J1693" s="132"/>
      <c r="K1693" s="132"/>
      <c r="L1693" s="132"/>
      <c r="M1693" s="132"/>
      <c r="N1693" s="142"/>
    </row>
    <row r="1694" spans="2:17" ht="16">
      <c r="B1694" s="638"/>
      <c r="C1694" s="639" t="s">
        <v>10</v>
      </c>
      <c r="D1694" s="640"/>
      <c r="E1694" s="660" t="s">
        <v>901</v>
      </c>
      <c r="F1694" s="640"/>
      <c r="G1694" s="661" t="s">
        <v>903</v>
      </c>
      <c r="H1694" s="132"/>
      <c r="I1694" s="132"/>
      <c r="J1694" s="132"/>
      <c r="K1694" s="132"/>
      <c r="L1694" s="132"/>
      <c r="M1694" s="132"/>
      <c r="N1694" s="142"/>
    </row>
    <row r="1695" spans="2:17">
      <c r="B1695" s="341" t="s">
        <v>916</v>
      </c>
      <c r="C1695" s="342"/>
      <c r="D1695" s="342"/>
      <c r="E1695" s="342"/>
      <c r="F1695" s="342"/>
      <c r="G1695" s="662"/>
      <c r="H1695" s="132"/>
      <c r="I1695" s="132"/>
      <c r="J1695" s="132"/>
      <c r="K1695" s="132"/>
      <c r="L1695" s="132"/>
      <c r="M1695" s="132"/>
      <c r="N1695" s="142"/>
    </row>
    <row r="1696" spans="2:17">
      <c r="B1696" s="337" t="s">
        <v>917</v>
      </c>
      <c r="C1696" s="349"/>
      <c r="D1696" s="338"/>
      <c r="E1696" s="338"/>
      <c r="F1696" s="338"/>
      <c r="G1696" s="663"/>
      <c r="H1696" s="132"/>
      <c r="I1696" s="132"/>
      <c r="J1696" s="132"/>
      <c r="K1696" s="132"/>
      <c r="L1696" s="132"/>
      <c r="M1696" s="132"/>
      <c r="N1696" s="142"/>
    </row>
    <row r="1697" spans="2:17">
      <c r="B1697" s="664" t="s">
        <v>918</v>
      </c>
      <c r="C1697" s="338" t="s">
        <v>919</v>
      </c>
      <c r="D1697" s="338"/>
      <c r="E1697" s="652">
        <f>AVERAGE(0.05,0.08)*E1691</f>
        <v>12383.887750000002</v>
      </c>
      <c r="F1697" s="338"/>
      <c r="G1697" s="665">
        <f>AVERAGE(0.05,0.08)*G1691</f>
        <v>12383.887750000002</v>
      </c>
      <c r="H1697" s="132"/>
      <c r="I1697" s="132"/>
      <c r="J1697" s="132"/>
      <c r="K1697" s="132"/>
      <c r="L1697" s="132"/>
      <c r="M1697" s="132"/>
      <c r="N1697" s="142"/>
    </row>
    <row r="1698" spans="2:17">
      <c r="B1698" s="136"/>
      <c r="C1698" s="132"/>
      <c r="D1698" s="132"/>
      <c r="E1698" s="132"/>
      <c r="F1698" s="132"/>
      <c r="G1698" s="132"/>
      <c r="H1698" s="132"/>
      <c r="I1698" s="132"/>
      <c r="J1698" s="132"/>
      <c r="K1698" s="132"/>
      <c r="L1698" s="132"/>
      <c r="M1698" s="132"/>
      <c r="N1698" s="142"/>
    </row>
    <row r="1699" spans="2:17">
      <c r="B1699" s="136"/>
      <c r="C1699" s="132"/>
      <c r="D1699" s="132"/>
      <c r="E1699" s="132"/>
      <c r="F1699" s="132"/>
      <c r="G1699" s="132"/>
      <c r="H1699" s="132"/>
      <c r="I1699" s="132"/>
      <c r="J1699" s="132"/>
      <c r="K1699" s="132"/>
      <c r="L1699" s="132"/>
      <c r="M1699" s="132"/>
      <c r="N1699" s="142"/>
      <c r="O1699" s="132"/>
      <c r="P1699" s="132"/>
      <c r="Q1699" s="132"/>
    </row>
    <row r="1700" spans="2:17">
      <c r="B1700" s="136"/>
      <c r="C1700" s="132"/>
      <c r="D1700" s="132"/>
      <c r="E1700" s="132"/>
      <c r="F1700" s="132"/>
      <c r="G1700" s="132"/>
      <c r="H1700" s="132"/>
      <c r="I1700" s="132"/>
      <c r="J1700" s="132"/>
      <c r="K1700" s="132"/>
      <c r="L1700" s="132"/>
      <c r="M1700" s="132"/>
      <c r="N1700" s="142"/>
      <c r="O1700" s="132"/>
      <c r="P1700" s="132"/>
      <c r="Q1700" s="132"/>
    </row>
    <row r="1701" spans="2:17">
      <c r="B1701" s="781" t="s">
        <v>1267</v>
      </c>
      <c r="C1701" s="132" t="s">
        <v>1266</v>
      </c>
      <c r="D1701" s="132"/>
      <c r="E1701" s="132"/>
      <c r="F1701" s="132"/>
      <c r="G1701" s="132"/>
      <c r="H1701" s="132"/>
      <c r="I1701" s="132"/>
      <c r="J1701" s="132"/>
      <c r="K1701" s="132"/>
      <c r="L1701" s="132"/>
      <c r="M1701" s="132"/>
      <c r="N1701" s="142"/>
      <c r="O1701" s="132"/>
      <c r="P1701" s="132"/>
      <c r="Q1701" s="132"/>
    </row>
    <row r="1702" spans="2:17">
      <c r="B1702" s="341" t="s">
        <v>1268</v>
      </c>
      <c r="C1702" s="342"/>
      <c r="D1702" s="561">
        <v>4250</v>
      </c>
      <c r="E1702" s="561">
        <v>10000</v>
      </c>
      <c r="F1702" s="561">
        <v>20000</v>
      </c>
      <c r="G1702" s="561">
        <v>30000</v>
      </c>
      <c r="H1702" s="876">
        <v>39000</v>
      </c>
      <c r="I1702" s="132"/>
      <c r="J1702" s="132"/>
      <c r="K1702" s="132"/>
      <c r="L1702" s="132"/>
      <c r="M1702" s="132"/>
      <c r="N1702" s="142"/>
      <c r="O1702" s="132"/>
      <c r="P1702" s="132"/>
      <c r="Q1702" s="132"/>
    </row>
    <row r="1703" spans="2:17">
      <c r="B1703" s="136" t="s">
        <v>1269</v>
      </c>
      <c r="C1703" s="132"/>
      <c r="D1703" s="564">
        <v>52</v>
      </c>
      <c r="E1703" s="564">
        <v>52</v>
      </c>
      <c r="F1703" s="564">
        <v>52</v>
      </c>
      <c r="G1703" s="564">
        <v>52</v>
      </c>
      <c r="H1703" s="877">
        <v>52</v>
      </c>
      <c r="I1703" s="132"/>
      <c r="J1703" s="132"/>
      <c r="K1703" s="132"/>
      <c r="L1703" s="132"/>
      <c r="M1703" s="132"/>
      <c r="N1703" s="142"/>
      <c r="O1703" s="132"/>
      <c r="P1703" s="132"/>
      <c r="Q1703" s="132"/>
    </row>
    <row r="1704" spans="2:17">
      <c r="B1704" s="136" t="s">
        <v>1270</v>
      </c>
      <c r="C1704" s="132"/>
      <c r="D1704" s="564">
        <f>D1703*D1702</f>
        <v>221000</v>
      </c>
      <c r="E1704" s="564">
        <f>E1703*E1702</f>
        <v>520000</v>
      </c>
      <c r="F1704" s="564">
        <f>F1703*F1702</f>
        <v>1040000</v>
      </c>
      <c r="G1704" s="564">
        <f>G1703*G1702</f>
        <v>1560000</v>
      </c>
      <c r="H1704" s="877">
        <f>H1703*H1702</f>
        <v>2028000</v>
      </c>
      <c r="I1704" s="132"/>
      <c r="J1704" s="132"/>
      <c r="K1704" s="132"/>
      <c r="L1704" s="132"/>
      <c r="M1704" s="132"/>
      <c r="N1704" s="142"/>
      <c r="O1704" s="132"/>
      <c r="P1704" s="132"/>
      <c r="Q1704" s="132"/>
    </row>
    <row r="1705" spans="2:17">
      <c r="B1705" s="136" t="s">
        <v>1141</v>
      </c>
      <c r="C1705" s="132"/>
      <c r="D1705" s="878">
        <f>D1706/365</f>
        <v>909.13906602915722</v>
      </c>
      <c r="E1705" s="878">
        <f>E1706/365</f>
        <v>2139.150743598017</v>
      </c>
      <c r="F1705" s="878">
        <f>F1706/365</f>
        <v>4278.301487196034</v>
      </c>
      <c r="G1705" s="878">
        <f>G1706/365</f>
        <v>6417.4522307940515</v>
      </c>
      <c r="H1705" s="879">
        <f>H1706/365</f>
        <v>8342.687900032266</v>
      </c>
      <c r="I1705" s="132"/>
      <c r="J1705" s="132"/>
      <c r="K1705" s="132"/>
      <c r="L1705" s="132"/>
      <c r="M1705" s="132"/>
      <c r="N1705" s="142"/>
      <c r="O1705" s="132"/>
      <c r="P1705" s="132"/>
      <c r="Q1705" s="132"/>
    </row>
    <row r="1706" spans="2:17">
      <c r="B1706" s="136" t="s">
        <v>1253</v>
      </c>
      <c r="C1706" s="132"/>
      <c r="D1706" s="878">
        <f>D1704*LNG_gallon2GGE</f>
        <v>331835.7591006424</v>
      </c>
      <c r="E1706" s="878">
        <f>E1704*LNG_gallon2GGE</f>
        <v>780790.0214132762</v>
      </c>
      <c r="F1706" s="878">
        <f>F1704*LNG_gallon2GGE</f>
        <v>1561580.0428265524</v>
      </c>
      <c r="G1706" s="878">
        <f>G1704*LNG_gallon2GGE</f>
        <v>2342370.0642398288</v>
      </c>
      <c r="H1706" s="879">
        <f>H1704*LNG_gallon2GGE</f>
        <v>3045081.0835117772</v>
      </c>
      <c r="I1706" s="132"/>
      <c r="J1706" s="132"/>
      <c r="K1706" s="132"/>
      <c r="L1706" s="132"/>
      <c r="M1706" s="132"/>
      <c r="N1706" s="142"/>
      <c r="O1706" s="132"/>
      <c r="P1706" s="132"/>
      <c r="Q1706" s="132"/>
    </row>
    <row r="1707" spans="2:17">
      <c r="B1707" s="341" t="s">
        <v>1271</v>
      </c>
      <c r="C1707" s="342"/>
      <c r="D1707" s="880">
        <f>D1708*$D$1712/$D$1711</f>
        <v>391320</v>
      </c>
      <c r="E1707" s="880">
        <f>E1708*$D$1712/$D$1711</f>
        <v>565240</v>
      </c>
      <c r="F1707" s="880">
        <f>F1708*$D$1712/$D$1711</f>
        <v>978300</v>
      </c>
      <c r="G1707" s="880">
        <f>G1708*$D$1712/$D$1711</f>
        <v>1358750</v>
      </c>
      <c r="H1707" s="881">
        <f>H1708*$D$1712/$D$1711</f>
        <v>1771810</v>
      </c>
      <c r="I1707" s="132"/>
      <c r="J1707" s="132"/>
      <c r="K1707" s="132"/>
      <c r="L1707" s="132"/>
      <c r="M1707" s="132"/>
      <c r="N1707" s="142"/>
      <c r="O1707" s="132"/>
      <c r="P1707" s="132"/>
      <c r="Q1707" s="132"/>
    </row>
    <row r="1708" spans="2:17">
      <c r="B1708" s="337" t="s">
        <v>1272</v>
      </c>
      <c r="C1708" s="338"/>
      <c r="D1708" s="765">
        <v>360000</v>
      </c>
      <c r="E1708" s="765">
        <v>520000</v>
      </c>
      <c r="F1708" s="765">
        <v>900000</v>
      </c>
      <c r="G1708" s="765">
        <v>1250000</v>
      </c>
      <c r="H1708" s="826">
        <v>1630000</v>
      </c>
      <c r="I1708" s="132"/>
      <c r="J1708" s="132"/>
      <c r="K1708" s="132"/>
      <c r="L1708" s="132"/>
      <c r="M1708" s="132"/>
      <c r="N1708" s="142"/>
      <c r="O1708" s="132"/>
      <c r="P1708" s="132"/>
      <c r="Q1708" s="132"/>
    </row>
    <row r="1709" spans="2:17">
      <c r="B1709" s="136"/>
      <c r="C1709" s="132"/>
      <c r="D1709" s="132"/>
      <c r="E1709" s="132"/>
      <c r="F1709" s="132"/>
      <c r="G1709" s="132"/>
      <c r="H1709" s="132"/>
      <c r="I1709" s="132"/>
      <c r="J1709" s="132"/>
      <c r="K1709" s="132"/>
      <c r="L1709" s="132"/>
      <c r="M1709" s="132"/>
      <c r="N1709" s="142"/>
      <c r="O1709" s="132"/>
      <c r="P1709" s="132"/>
      <c r="Q1709" s="132"/>
    </row>
    <row r="1710" spans="2:17">
      <c r="B1710" s="136" t="s">
        <v>1273</v>
      </c>
      <c r="C1710" s="132" t="s">
        <v>1274</v>
      </c>
      <c r="D1710" s="132"/>
      <c r="E1710" s="132"/>
      <c r="F1710" s="132"/>
      <c r="G1710" s="132"/>
      <c r="H1710" s="132"/>
      <c r="I1710" s="132"/>
      <c r="J1710" s="132"/>
      <c r="K1710" s="132"/>
      <c r="L1710" s="132"/>
      <c r="M1710" s="132"/>
      <c r="N1710" s="142"/>
      <c r="O1710" s="132"/>
      <c r="P1710" s="132"/>
      <c r="Q1710" s="132"/>
    </row>
    <row r="1711" spans="2:17">
      <c r="B1711" s="341">
        <v>2010</v>
      </c>
      <c r="C1711" s="342"/>
      <c r="D1711" s="882">
        <v>100</v>
      </c>
      <c r="E1711" s="132"/>
      <c r="F1711" s="132"/>
      <c r="G1711" s="132"/>
      <c r="H1711" s="132"/>
      <c r="I1711" s="132"/>
      <c r="J1711" s="132"/>
      <c r="K1711" s="132"/>
      <c r="L1711" s="132"/>
      <c r="M1711" s="132"/>
      <c r="N1711" s="142"/>
      <c r="O1711" s="132"/>
      <c r="P1711" s="132"/>
      <c r="Q1711" s="132"/>
    </row>
    <row r="1712" spans="2:17">
      <c r="B1712" s="337">
        <v>2015</v>
      </c>
      <c r="C1712" s="338"/>
      <c r="D1712" s="883">
        <v>108.7</v>
      </c>
      <c r="E1712" s="132"/>
      <c r="F1712" s="132"/>
      <c r="G1712" s="132"/>
      <c r="H1712" s="132"/>
      <c r="I1712" s="132"/>
      <c r="J1712" s="132"/>
      <c r="K1712" s="132"/>
      <c r="L1712" s="132"/>
      <c r="M1712" s="132"/>
      <c r="N1712" s="142"/>
      <c r="O1712" s="132"/>
      <c r="P1712" s="132"/>
      <c r="Q1712" s="132"/>
    </row>
    <row r="1713" spans="2:35">
      <c r="B1713" s="136"/>
      <c r="C1713" s="132"/>
      <c r="D1713" s="132"/>
      <c r="E1713" s="132"/>
      <c r="F1713" s="132"/>
      <c r="G1713" s="132"/>
      <c r="H1713" s="132"/>
      <c r="I1713" s="132"/>
      <c r="J1713" s="132"/>
      <c r="K1713" s="132"/>
      <c r="L1713" s="132"/>
      <c r="M1713" s="132"/>
      <c r="N1713" s="142"/>
      <c r="O1713" s="132"/>
      <c r="P1713" s="132"/>
      <c r="Q1713" s="132"/>
    </row>
    <row r="1714" spans="2:35">
      <c r="B1714" s="884" t="s">
        <v>1275</v>
      </c>
      <c r="C1714" s="325"/>
      <c r="D1714" s="325"/>
      <c r="E1714" s="325"/>
      <c r="F1714" s="132"/>
      <c r="G1714" s="132"/>
      <c r="H1714" s="132"/>
      <c r="I1714" s="132"/>
      <c r="J1714" s="132"/>
      <c r="K1714" s="132"/>
      <c r="L1714" s="132"/>
      <c r="M1714" s="132"/>
      <c r="N1714" s="142"/>
    </row>
    <row r="1715" spans="2:35">
      <c r="B1715" s="811" t="s">
        <v>1276</v>
      </c>
      <c r="C1715" s="325" t="s">
        <v>1277</v>
      </c>
      <c r="D1715" s="325"/>
      <c r="E1715" s="325"/>
      <c r="F1715" s="132"/>
      <c r="G1715" s="132"/>
      <c r="H1715" s="132"/>
      <c r="I1715" s="132"/>
      <c r="J1715" s="132"/>
      <c r="K1715" s="132"/>
      <c r="L1715" s="132"/>
      <c r="M1715" s="132"/>
      <c r="N1715" s="142"/>
    </row>
    <row r="1716" spans="2:35">
      <c r="B1716" s="541" t="s">
        <v>1278</v>
      </c>
      <c r="C1716" s="542"/>
      <c r="D1716" s="868">
        <v>4000000</v>
      </c>
      <c r="E1716" s="868">
        <v>20000000</v>
      </c>
      <c r="F1716" s="132"/>
      <c r="G1716" s="132"/>
      <c r="H1716" s="132"/>
      <c r="I1716" s="132"/>
      <c r="J1716" s="132"/>
      <c r="K1716" s="132"/>
      <c r="L1716" s="132"/>
      <c r="M1716" s="132"/>
      <c r="N1716" s="142"/>
    </row>
    <row r="1717" spans="2:35">
      <c r="B1717" s="271" t="s">
        <v>1279</v>
      </c>
      <c r="C1717" s="325"/>
      <c r="D1717" s="885">
        <f>D1719*LNG_gallon2GGE</f>
        <v>5203908.6484557083</v>
      </c>
      <c r="E1717" s="885">
        <f>E1719*LNG_gallon2GGE</f>
        <v>26019543.242278542</v>
      </c>
      <c r="F1717" s="132"/>
      <c r="G1717" s="132"/>
      <c r="H1717" s="132"/>
      <c r="I1717" s="132"/>
      <c r="J1717" s="132"/>
      <c r="K1717" s="132"/>
      <c r="L1717" s="132"/>
      <c r="M1717" s="132"/>
      <c r="N1717" s="142"/>
    </row>
    <row r="1718" spans="2:35">
      <c r="B1718" s="271" t="s">
        <v>1141</v>
      </c>
      <c r="C1718" s="325"/>
      <c r="D1718" s="871">
        <f>D1716*diesel_gallon2GGE/365</f>
        <v>9495.2387456667839</v>
      </c>
      <c r="E1718" s="871">
        <f>E1716*diesel_gallon2GGE/365</f>
        <v>47476.193728333914</v>
      </c>
      <c r="F1718" s="132"/>
      <c r="G1718" s="132"/>
      <c r="H1718" s="132"/>
      <c r="I1718" s="132"/>
      <c r="J1718" s="132"/>
      <c r="K1718" s="132"/>
      <c r="L1718" s="132"/>
      <c r="M1718" s="132"/>
      <c r="N1718" s="142"/>
    </row>
    <row r="1719" spans="2:35">
      <c r="B1719" s="271" t="s">
        <v>1253</v>
      </c>
      <c r="C1719" s="325"/>
      <c r="D1719" s="871">
        <f>D1718*365</f>
        <v>3465762.1421683761</v>
      </c>
      <c r="E1719" s="871">
        <f>E1718*365</f>
        <v>17328810.710841879</v>
      </c>
      <c r="F1719" s="132"/>
      <c r="G1719" s="132"/>
      <c r="H1719" s="132"/>
      <c r="I1719" s="132"/>
      <c r="J1719" s="132"/>
      <c r="K1719" s="132"/>
      <c r="L1719" s="132"/>
      <c r="M1719" s="132"/>
      <c r="N1719" s="142"/>
    </row>
    <row r="1720" spans="2:35">
      <c r="B1720" s="828" t="s">
        <v>1280</v>
      </c>
      <c r="C1720" s="695"/>
      <c r="D1720" s="874">
        <v>2250000</v>
      </c>
      <c r="E1720" s="874">
        <v>7500000</v>
      </c>
      <c r="F1720" s="132"/>
      <c r="G1720" s="132"/>
      <c r="H1720" s="132"/>
      <c r="I1720" s="132"/>
      <c r="J1720" s="132"/>
      <c r="K1720" s="132"/>
      <c r="L1720" s="132"/>
      <c r="M1720" s="132"/>
      <c r="N1720" s="142"/>
    </row>
    <row r="1721" spans="2:35" ht="16" thickBot="1">
      <c r="B1721" s="143"/>
      <c r="C1721" s="886"/>
      <c r="D1721" s="887"/>
      <c r="E1721" s="145"/>
      <c r="F1721" s="145"/>
      <c r="G1721" s="145"/>
      <c r="H1721" s="145"/>
      <c r="I1721" s="145"/>
      <c r="J1721" s="145"/>
      <c r="K1721" s="145"/>
      <c r="L1721" s="145"/>
      <c r="M1721" s="145"/>
      <c r="N1721" s="146"/>
    </row>
    <row r="1722" spans="2:35">
      <c r="B1722" s="132"/>
      <c r="C1722" s="888"/>
      <c r="D1722" s="553"/>
      <c r="E1722" s="132"/>
      <c r="F1722" s="132"/>
      <c r="G1722" s="132"/>
      <c r="H1722" s="132"/>
      <c r="I1722" s="132"/>
      <c r="J1722" s="132"/>
      <c r="K1722" s="132"/>
      <c r="L1722" s="132"/>
      <c r="M1722" s="132"/>
      <c r="N1722" s="132"/>
    </row>
    <row r="1723" spans="2:35" ht="16" thickBot="1">
      <c r="B1723" s="610" t="s">
        <v>1281</v>
      </c>
      <c r="C1723" s="367"/>
      <c r="D1723" s="605"/>
      <c r="E1723" s="605"/>
      <c r="F1723" s="605"/>
      <c r="G1723" s="605"/>
      <c r="H1723" s="605"/>
      <c r="I1723" s="605"/>
      <c r="J1723" s="605"/>
      <c r="K1723" s="605"/>
      <c r="L1723" s="605"/>
      <c r="M1723" s="605"/>
      <c r="N1723" s="605"/>
      <c r="O1723" s="605"/>
      <c r="P1723" s="605"/>
      <c r="Q1723" s="605"/>
      <c r="R1723" s="605"/>
      <c r="S1723" s="605"/>
      <c r="T1723" s="605"/>
      <c r="U1723" s="605"/>
      <c r="V1723" s="605"/>
      <c r="W1723" s="605"/>
      <c r="X1723" s="605"/>
      <c r="Y1723" s="605"/>
      <c r="Z1723" s="605"/>
      <c r="AA1723" s="605"/>
      <c r="AB1723" s="605"/>
      <c r="AC1723" s="605"/>
      <c r="AD1723" s="605"/>
      <c r="AE1723" s="605"/>
      <c r="AF1723" s="605"/>
      <c r="AG1723" s="605"/>
    </row>
    <row r="1724" spans="2:35">
      <c r="B1724" s="603" t="s">
        <v>848</v>
      </c>
      <c r="C1724" s="520" t="s">
        <v>10</v>
      </c>
      <c r="D1724" s="604" t="s">
        <v>555</v>
      </c>
      <c r="E1724" s="604">
        <v>2</v>
      </c>
      <c r="F1724" s="604">
        <v>3</v>
      </c>
      <c r="G1724" s="604">
        <v>4</v>
      </c>
      <c r="H1724" s="604">
        <v>5</v>
      </c>
      <c r="I1724" s="604">
        <v>6</v>
      </c>
      <c r="J1724" s="604">
        <v>7</v>
      </c>
      <c r="K1724" s="604">
        <v>8</v>
      </c>
      <c r="L1724" s="604">
        <v>9</v>
      </c>
      <c r="M1724" s="604">
        <v>10</v>
      </c>
      <c r="N1724" s="604">
        <v>11</v>
      </c>
      <c r="O1724" s="604">
        <v>12</v>
      </c>
      <c r="P1724" s="604">
        <v>13</v>
      </c>
      <c r="Q1724" s="604">
        <v>14</v>
      </c>
      <c r="R1724" s="604">
        <v>15</v>
      </c>
      <c r="S1724" s="604">
        <v>16</v>
      </c>
      <c r="T1724" s="604">
        <v>17</v>
      </c>
      <c r="U1724" s="604">
        <v>18</v>
      </c>
      <c r="V1724" s="604">
        <v>19</v>
      </c>
      <c r="W1724" s="604">
        <v>19</v>
      </c>
      <c r="X1724" s="523">
        <v>19</v>
      </c>
      <c r="Y1724" s="523">
        <v>20</v>
      </c>
      <c r="Z1724" s="523">
        <v>21</v>
      </c>
      <c r="AA1724" s="523">
        <v>22</v>
      </c>
      <c r="AB1724" s="523">
        <v>23</v>
      </c>
      <c r="AC1724" s="523">
        <v>24</v>
      </c>
      <c r="AD1724" s="523">
        <v>25</v>
      </c>
      <c r="AE1724" s="523">
        <v>26</v>
      </c>
      <c r="AF1724" s="523">
        <v>27</v>
      </c>
      <c r="AG1724" s="523">
        <v>28</v>
      </c>
      <c r="AH1724" s="523">
        <v>29</v>
      </c>
      <c r="AI1724" s="524">
        <v>30</v>
      </c>
    </row>
    <row r="1725" spans="2:35">
      <c r="B1725" s="336"/>
      <c r="C1725" s="356"/>
      <c r="D1725" s="356" t="s">
        <v>849</v>
      </c>
      <c r="E1725" s="356"/>
      <c r="F1725" s="356"/>
      <c r="G1725" s="356"/>
      <c r="H1725" s="356"/>
      <c r="I1725" s="356"/>
      <c r="J1725" s="356"/>
      <c r="K1725" s="356"/>
      <c r="L1725" s="356"/>
      <c r="M1725" s="356"/>
      <c r="N1725" s="356"/>
      <c r="O1725" s="356"/>
      <c r="P1725" s="356"/>
      <c r="Q1725" s="356"/>
      <c r="R1725" s="356"/>
      <c r="S1725" s="356"/>
      <c r="T1725" s="356"/>
      <c r="U1725" s="356"/>
      <c r="V1725" s="356"/>
      <c r="W1725" s="356"/>
      <c r="X1725" s="356"/>
      <c r="Y1725" s="356"/>
      <c r="Z1725" s="356"/>
      <c r="AA1725" s="356"/>
      <c r="AB1725" s="356"/>
      <c r="AC1725" s="356"/>
      <c r="AD1725" s="356"/>
      <c r="AE1725" s="356"/>
      <c r="AF1725" s="356"/>
      <c r="AG1725" s="356"/>
      <c r="AH1725" s="132"/>
      <c r="AI1725" s="142"/>
    </row>
    <row r="1726" spans="2:35">
      <c r="B1726" s="87" t="s">
        <v>4</v>
      </c>
      <c r="C1726" s="132" t="s">
        <v>1282</v>
      </c>
      <c r="D1726" s="605">
        <v>0.1</v>
      </c>
      <c r="E1726" s="605">
        <v>0.1</v>
      </c>
      <c r="F1726" s="605">
        <v>0.1</v>
      </c>
      <c r="G1726" s="605">
        <v>0.1</v>
      </c>
      <c r="H1726" s="605">
        <v>0.1</v>
      </c>
      <c r="I1726" s="605">
        <v>0.1</v>
      </c>
      <c r="J1726" s="605">
        <v>0.1</v>
      </c>
      <c r="K1726" s="605">
        <v>0.1</v>
      </c>
      <c r="L1726" s="605">
        <v>0.1</v>
      </c>
      <c r="M1726" s="605">
        <v>0.1</v>
      </c>
      <c r="N1726" s="605">
        <v>0.1</v>
      </c>
      <c r="O1726" s="605">
        <v>0.1</v>
      </c>
      <c r="P1726" s="605">
        <v>0.1</v>
      </c>
      <c r="Q1726" s="605">
        <v>0.1</v>
      </c>
      <c r="R1726" s="605">
        <v>0.1</v>
      </c>
      <c r="S1726" s="605">
        <v>0.1</v>
      </c>
      <c r="T1726" s="605">
        <v>0.1</v>
      </c>
      <c r="U1726" s="605">
        <v>0.1</v>
      </c>
      <c r="V1726" s="605">
        <v>0.1</v>
      </c>
      <c r="W1726" s="605">
        <v>0.1</v>
      </c>
      <c r="X1726" s="605">
        <v>0.1</v>
      </c>
      <c r="Y1726" s="605">
        <v>0.1</v>
      </c>
      <c r="Z1726" s="605">
        <v>0.1</v>
      </c>
      <c r="AA1726" s="605">
        <v>0.1</v>
      </c>
      <c r="AB1726" s="605">
        <v>0.1</v>
      </c>
      <c r="AC1726" s="605">
        <v>0.1</v>
      </c>
      <c r="AD1726" s="605">
        <v>0.1</v>
      </c>
      <c r="AE1726" s="605">
        <v>0.1</v>
      </c>
      <c r="AF1726" s="605">
        <v>0.1</v>
      </c>
      <c r="AG1726" s="605">
        <v>0.1</v>
      </c>
      <c r="AH1726" s="605">
        <v>0.1</v>
      </c>
      <c r="AI1726" s="606">
        <v>0.1</v>
      </c>
    </row>
    <row r="1727" spans="2:35">
      <c r="B1727" s="607" t="s">
        <v>5</v>
      </c>
      <c r="C1727" s="132" t="s">
        <v>1282</v>
      </c>
      <c r="D1727" s="605">
        <v>0.1</v>
      </c>
      <c r="E1727" s="605">
        <v>0.1</v>
      </c>
      <c r="F1727" s="605">
        <v>0.1</v>
      </c>
      <c r="G1727" s="605">
        <v>0.1</v>
      </c>
      <c r="H1727" s="605">
        <v>0.1</v>
      </c>
      <c r="I1727" s="605">
        <v>0.1</v>
      </c>
      <c r="J1727" s="605">
        <v>0.1</v>
      </c>
      <c r="K1727" s="605">
        <v>0.1</v>
      </c>
      <c r="L1727" s="605">
        <v>0.1</v>
      </c>
      <c r="M1727" s="605">
        <v>0.1</v>
      </c>
      <c r="N1727" s="605">
        <v>0.1</v>
      </c>
      <c r="O1727" s="605">
        <v>0.1</v>
      </c>
      <c r="P1727" s="605">
        <v>0.1</v>
      </c>
      <c r="Q1727" s="605">
        <v>0.1</v>
      </c>
      <c r="R1727" s="605">
        <v>0.1</v>
      </c>
      <c r="S1727" s="605">
        <v>0.1</v>
      </c>
      <c r="T1727" s="605">
        <v>0.1</v>
      </c>
      <c r="U1727" s="605">
        <v>0.1</v>
      </c>
      <c r="V1727" s="605">
        <v>0.1</v>
      </c>
      <c r="W1727" s="605">
        <v>0.1</v>
      </c>
      <c r="X1727" s="605">
        <v>0.1</v>
      </c>
      <c r="Y1727" s="605">
        <v>0.1</v>
      </c>
      <c r="Z1727" s="605">
        <v>0.1</v>
      </c>
      <c r="AA1727" s="605">
        <v>0.1</v>
      </c>
      <c r="AB1727" s="605">
        <v>0.1</v>
      </c>
      <c r="AC1727" s="605">
        <v>0.1</v>
      </c>
      <c r="AD1727" s="605">
        <v>0.1</v>
      </c>
      <c r="AE1727" s="605">
        <v>0.1</v>
      </c>
      <c r="AF1727" s="605">
        <v>0.1</v>
      </c>
      <c r="AG1727" s="605">
        <v>0.1</v>
      </c>
      <c r="AH1727" s="605">
        <v>0.1</v>
      </c>
      <c r="AI1727" s="606">
        <v>0.1</v>
      </c>
    </row>
    <row r="1728" spans="2:35">
      <c r="B1728" s="607" t="s">
        <v>694</v>
      </c>
      <c r="C1728" s="132" t="s">
        <v>1283</v>
      </c>
      <c r="D1728" s="605">
        <v>0.1</v>
      </c>
      <c r="E1728" s="605">
        <v>0.1</v>
      </c>
      <c r="F1728" s="605">
        <v>0.1</v>
      </c>
      <c r="G1728" s="605">
        <v>0.1</v>
      </c>
      <c r="H1728" s="605">
        <v>0.1</v>
      </c>
      <c r="I1728" s="605">
        <v>0.1</v>
      </c>
      <c r="J1728" s="605">
        <v>0.1</v>
      </c>
      <c r="K1728" s="605">
        <v>0.1</v>
      </c>
      <c r="L1728" s="605">
        <v>0.1</v>
      </c>
      <c r="M1728" s="605">
        <v>0.1</v>
      </c>
      <c r="N1728" s="605">
        <v>0.1</v>
      </c>
      <c r="O1728" s="605">
        <v>0.1</v>
      </c>
      <c r="P1728" s="605">
        <v>0.1</v>
      </c>
      <c r="Q1728" s="605">
        <v>0.1</v>
      </c>
      <c r="R1728" s="605">
        <v>0.1</v>
      </c>
      <c r="S1728" s="605">
        <v>0.1</v>
      </c>
      <c r="T1728" s="605">
        <v>0.1</v>
      </c>
      <c r="U1728" s="605">
        <v>0.1</v>
      </c>
      <c r="V1728" s="605">
        <v>0.1</v>
      </c>
      <c r="W1728" s="605">
        <v>0.1</v>
      </c>
      <c r="X1728" s="605">
        <v>0.1</v>
      </c>
      <c r="Y1728" s="605">
        <v>0.1</v>
      </c>
      <c r="Z1728" s="605">
        <v>0.1</v>
      </c>
      <c r="AA1728" s="605">
        <v>0.1</v>
      </c>
      <c r="AB1728" s="605">
        <v>0.1</v>
      </c>
      <c r="AC1728" s="605">
        <v>0.1</v>
      </c>
      <c r="AD1728" s="605">
        <v>0.1</v>
      </c>
      <c r="AE1728" s="605">
        <v>0.1</v>
      </c>
      <c r="AF1728" s="605">
        <v>0.1</v>
      </c>
      <c r="AG1728" s="605">
        <v>0.1</v>
      </c>
      <c r="AH1728" s="605">
        <v>0.1</v>
      </c>
      <c r="AI1728" s="606">
        <v>0.1</v>
      </c>
    </row>
    <row r="1729" spans="1:113">
      <c r="B1729" s="607" t="s">
        <v>414</v>
      </c>
      <c r="C1729" s="132" t="s">
        <v>1282</v>
      </c>
      <c r="D1729" s="605">
        <v>0.1</v>
      </c>
      <c r="E1729" s="605">
        <v>0.1</v>
      </c>
      <c r="F1729" s="605">
        <v>0.1</v>
      </c>
      <c r="G1729" s="605">
        <v>0.1</v>
      </c>
      <c r="H1729" s="605">
        <v>0.1</v>
      </c>
      <c r="I1729" s="605">
        <v>0.1</v>
      </c>
      <c r="J1729" s="605">
        <v>0.1</v>
      </c>
      <c r="K1729" s="605">
        <v>0.1</v>
      </c>
      <c r="L1729" s="605">
        <v>0.1</v>
      </c>
      <c r="M1729" s="605">
        <v>0.1</v>
      </c>
      <c r="N1729" s="605">
        <v>0.1</v>
      </c>
      <c r="O1729" s="605">
        <v>0.1</v>
      </c>
      <c r="P1729" s="605">
        <v>0.1</v>
      </c>
      <c r="Q1729" s="605">
        <v>0.1</v>
      </c>
      <c r="R1729" s="605">
        <v>0.1</v>
      </c>
      <c r="S1729" s="605">
        <v>0.1</v>
      </c>
      <c r="T1729" s="605">
        <v>0.1</v>
      </c>
      <c r="U1729" s="605">
        <v>0.1</v>
      </c>
      <c r="V1729" s="605">
        <v>0.1</v>
      </c>
      <c r="W1729" s="605">
        <v>0.1</v>
      </c>
      <c r="X1729" s="605">
        <v>0.1</v>
      </c>
      <c r="Y1729" s="605">
        <v>0.1</v>
      </c>
      <c r="Z1729" s="605">
        <v>0.1</v>
      </c>
      <c r="AA1729" s="605">
        <v>0.1</v>
      </c>
      <c r="AB1729" s="605">
        <v>0.1</v>
      </c>
      <c r="AC1729" s="605">
        <v>0.1</v>
      </c>
      <c r="AD1729" s="605">
        <v>0.1</v>
      </c>
      <c r="AE1729" s="605">
        <v>0.1</v>
      </c>
      <c r="AF1729" s="605">
        <v>0.1</v>
      </c>
      <c r="AG1729" s="605">
        <v>0.1</v>
      </c>
      <c r="AH1729" s="605">
        <v>0.1</v>
      </c>
      <c r="AI1729" s="606">
        <v>0.1</v>
      </c>
    </row>
    <row r="1730" spans="1:113">
      <c r="B1730" s="607" t="s">
        <v>6</v>
      </c>
      <c r="C1730" s="132" t="s">
        <v>1282</v>
      </c>
      <c r="D1730" s="605">
        <v>0.1</v>
      </c>
      <c r="E1730" s="605">
        <v>0.1</v>
      </c>
      <c r="F1730" s="605">
        <v>0.1</v>
      </c>
      <c r="G1730" s="605">
        <v>0.1</v>
      </c>
      <c r="H1730" s="605">
        <v>0.1</v>
      </c>
      <c r="I1730" s="605">
        <v>0.1</v>
      </c>
      <c r="J1730" s="605">
        <v>0.1</v>
      </c>
      <c r="K1730" s="605">
        <v>0.1</v>
      </c>
      <c r="L1730" s="605">
        <v>0.1</v>
      </c>
      <c r="M1730" s="605">
        <v>0.1</v>
      </c>
      <c r="N1730" s="605">
        <v>0.1</v>
      </c>
      <c r="O1730" s="605">
        <v>0.1</v>
      </c>
      <c r="P1730" s="605">
        <v>0.1</v>
      </c>
      <c r="Q1730" s="605">
        <v>0.1</v>
      </c>
      <c r="R1730" s="605">
        <v>0.1</v>
      </c>
      <c r="S1730" s="605">
        <v>0.1</v>
      </c>
      <c r="T1730" s="605">
        <v>0.1</v>
      </c>
      <c r="U1730" s="605">
        <v>0.1</v>
      </c>
      <c r="V1730" s="605">
        <v>0.1</v>
      </c>
      <c r="W1730" s="605">
        <v>0.1</v>
      </c>
      <c r="X1730" s="605">
        <v>0.1</v>
      </c>
      <c r="Y1730" s="605">
        <v>0.1</v>
      </c>
      <c r="Z1730" s="605">
        <v>0.1</v>
      </c>
      <c r="AA1730" s="605">
        <v>0.1</v>
      </c>
      <c r="AB1730" s="605">
        <v>0.1</v>
      </c>
      <c r="AC1730" s="605">
        <v>0.1</v>
      </c>
      <c r="AD1730" s="605">
        <v>0.1</v>
      </c>
      <c r="AE1730" s="605">
        <v>0.1</v>
      </c>
      <c r="AF1730" s="605">
        <v>0.1</v>
      </c>
      <c r="AG1730" s="605">
        <v>0.1</v>
      </c>
      <c r="AH1730" s="605">
        <v>0.1</v>
      </c>
      <c r="AI1730" s="606">
        <v>0.1</v>
      </c>
    </row>
    <row r="1731" spans="1:113">
      <c r="B1731" s="607" t="s">
        <v>216</v>
      </c>
      <c r="C1731" s="132" t="s">
        <v>1282</v>
      </c>
      <c r="D1731" s="605">
        <v>0.1</v>
      </c>
      <c r="E1731" s="605">
        <v>0.1</v>
      </c>
      <c r="F1731" s="605">
        <v>0.1</v>
      </c>
      <c r="G1731" s="605">
        <v>0.1</v>
      </c>
      <c r="H1731" s="605">
        <v>0.1</v>
      </c>
      <c r="I1731" s="605">
        <v>0.1</v>
      </c>
      <c r="J1731" s="605">
        <v>0.1</v>
      </c>
      <c r="K1731" s="605">
        <v>0.1</v>
      </c>
      <c r="L1731" s="605">
        <v>0.1</v>
      </c>
      <c r="M1731" s="605">
        <v>0.1</v>
      </c>
      <c r="N1731" s="605">
        <v>0.1</v>
      </c>
      <c r="O1731" s="605">
        <v>0.1</v>
      </c>
      <c r="P1731" s="605">
        <v>0.1</v>
      </c>
      <c r="Q1731" s="605">
        <v>0.1</v>
      </c>
      <c r="R1731" s="605">
        <v>0.1</v>
      </c>
      <c r="S1731" s="605">
        <v>0.1</v>
      </c>
      <c r="T1731" s="605">
        <v>0.1</v>
      </c>
      <c r="U1731" s="605">
        <v>0.1</v>
      </c>
      <c r="V1731" s="605">
        <v>0.1</v>
      </c>
      <c r="W1731" s="605">
        <v>0.1</v>
      </c>
      <c r="X1731" s="605">
        <v>0.1</v>
      </c>
      <c r="Y1731" s="605">
        <v>0.1</v>
      </c>
      <c r="Z1731" s="605">
        <v>0.1</v>
      </c>
      <c r="AA1731" s="605">
        <v>0.1</v>
      </c>
      <c r="AB1731" s="605">
        <v>0.1</v>
      </c>
      <c r="AC1731" s="605">
        <v>0.1</v>
      </c>
      <c r="AD1731" s="605">
        <v>0.1</v>
      </c>
      <c r="AE1731" s="605">
        <v>0.1</v>
      </c>
      <c r="AF1731" s="605">
        <v>0.1</v>
      </c>
      <c r="AG1731" s="605">
        <v>0.1</v>
      </c>
      <c r="AH1731" s="605">
        <v>0.1</v>
      </c>
      <c r="AI1731" s="606">
        <v>0.1</v>
      </c>
    </row>
    <row r="1732" spans="1:113">
      <c r="B1732" s="607" t="s">
        <v>2</v>
      </c>
      <c r="C1732" s="132" t="s">
        <v>1282</v>
      </c>
      <c r="D1732" s="605">
        <v>0.1</v>
      </c>
      <c r="E1732" s="605">
        <v>0.1</v>
      </c>
      <c r="F1732" s="605">
        <v>0.1</v>
      </c>
      <c r="G1732" s="605">
        <v>0.1</v>
      </c>
      <c r="H1732" s="605">
        <v>0.1</v>
      </c>
      <c r="I1732" s="605">
        <v>0.1</v>
      </c>
      <c r="J1732" s="605">
        <v>0.1</v>
      </c>
      <c r="K1732" s="605">
        <v>0.1</v>
      </c>
      <c r="L1732" s="605">
        <v>0.1</v>
      </c>
      <c r="M1732" s="605">
        <v>0.1</v>
      </c>
      <c r="N1732" s="605">
        <v>0.1</v>
      </c>
      <c r="O1732" s="605">
        <v>0.1</v>
      </c>
      <c r="P1732" s="605">
        <v>0.1</v>
      </c>
      <c r="Q1732" s="605">
        <v>0.1</v>
      </c>
      <c r="R1732" s="605">
        <v>0.1</v>
      </c>
      <c r="S1732" s="605">
        <v>0.1</v>
      </c>
      <c r="T1732" s="605">
        <v>0.1</v>
      </c>
      <c r="U1732" s="605">
        <v>0.1</v>
      </c>
      <c r="V1732" s="605">
        <v>0.1</v>
      </c>
      <c r="W1732" s="605">
        <v>0.1</v>
      </c>
      <c r="X1732" s="605">
        <v>0.1</v>
      </c>
      <c r="Y1732" s="605">
        <v>0.1</v>
      </c>
      <c r="Z1732" s="605">
        <v>0.1</v>
      </c>
      <c r="AA1732" s="605">
        <v>0.1</v>
      </c>
      <c r="AB1732" s="605">
        <v>0.1</v>
      </c>
      <c r="AC1732" s="605">
        <v>0.1</v>
      </c>
      <c r="AD1732" s="605">
        <v>0.1</v>
      </c>
      <c r="AE1732" s="605">
        <v>0.1</v>
      </c>
      <c r="AF1732" s="605">
        <v>0.1</v>
      </c>
      <c r="AG1732" s="605">
        <v>0.1</v>
      </c>
      <c r="AH1732" s="605">
        <v>0.1</v>
      </c>
      <c r="AI1732" s="606">
        <v>0.1</v>
      </c>
    </row>
    <row r="1733" spans="1:113">
      <c r="B1733" s="607" t="s">
        <v>1188</v>
      </c>
      <c r="C1733" s="132" t="s">
        <v>1282</v>
      </c>
      <c r="D1733" s="605">
        <v>0.1</v>
      </c>
      <c r="E1733" s="605">
        <v>0.1</v>
      </c>
      <c r="F1733" s="605">
        <v>0.1</v>
      </c>
      <c r="G1733" s="605">
        <v>0.1</v>
      </c>
      <c r="H1733" s="605">
        <v>0.1</v>
      </c>
      <c r="I1733" s="605">
        <v>0.1</v>
      </c>
      <c r="J1733" s="605">
        <v>0.1</v>
      </c>
      <c r="K1733" s="605">
        <v>0.1</v>
      </c>
      <c r="L1733" s="605">
        <v>0.1</v>
      </c>
      <c r="M1733" s="605">
        <v>0.1</v>
      </c>
      <c r="N1733" s="605">
        <v>0.1</v>
      </c>
      <c r="O1733" s="605">
        <v>0.1</v>
      </c>
      <c r="P1733" s="605">
        <v>0.1</v>
      </c>
      <c r="Q1733" s="605">
        <v>0.1</v>
      </c>
      <c r="R1733" s="605">
        <v>0.1</v>
      </c>
      <c r="S1733" s="605">
        <v>0.1</v>
      </c>
      <c r="T1733" s="605">
        <v>0.1</v>
      </c>
      <c r="U1733" s="605">
        <v>0.1</v>
      </c>
      <c r="V1733" s="605">
        <v>0.1</v>
      </c>
      <c r="W1733" s="605">
        <v>0.1</v>
      </c>
      <c r="X1733" s="605">
        <v>0.1</v>
      </c>
      <c r="Y1733" s="605">
        <v>0.1</v>
      </c>
      <c r="Z1733" s="605">
        <v>0.1</v>
      </c>
      <c r="AA1733" s="605">
        <v>0.1</v>
      </c>
      <c r="AB1733" s="605">
        <v>0.1</v>
      </c>
      <c r="AC1733" s="605">
        <v>0.1</v>
      </c>
      <c r="AD1733" s="605">
        <v>0.1</v>
      </c>
      <c r="AE1733" s="605">
        <v>0.1</v>
      </c>
      <c r="AF1733" s="605">
        <v>0.1</v>
      </c>
      <c r="AG1733" s="605">
        <v>0.1</v>
      </c>
      <c r="AH1733" s="605">
        <v>0.1</v>
      </c>
      <c r="AI1733" s="606">
        <v>0.1</v>
      </c>
    </row>
    <row r="1734" spans="1:113" ht="16" thickBot="1">
      <c r="B1734" s="611" t="s">
        <v>1263</v>
      </c>
      <c r="C1734" s="145" t="s">
        <v>1282</v>
      </c>
      <c r="D1734" s="608">
        <v>0.1</v>
      </c>
      <c r="E1734" s="608">
        <v>0.1</v>
      </c>
      <c r="F1734" s="608">
        <v>0.1</v>
      </c>
      <c r="G1734" s="608">
        <v>0.1</v>
      </c>
      <c r="H1734" s="608">
        <v>0.1</v>
      </c>
      <c r="I1734" s="608">
        <v>0.1</v>
      </c>
      <c r="J1734" s="608">
        <v>0.1</v>
      </c>
      <c r="K1734" s="608">
        <v>0.1</v>
      </c>
      <c r="L1734" s="608">
        <v>0.1</v>
      </c>
      <c r="M1734" s="608">
        <v>0.1</v>
      </c>
      <c r="N1734" s="608">
        <v>0.1</v>
      </c>
      <c r="O1734" s="608">
        <v>0.1</v>
      </c>
      <c r="P1734" s="608">
        <v>0.1</v>
      </c>
      <c r="Q1734" s="608">
        <v>0.1</v>
      </c>
      <c r="R1734" s="608">
        <v>0.1</v>
      </c>
      <c r="S1734" s="608">
        <v>0.1</v>
      </c>
      <c r="T1734" s="608">
        <v>0.1</v>
      </c>
      <c r="U1734" s="608">
        <v>0.1</v>
      </c>
      <c r="V1734" s="608">
        <v>0.1</v>
      </c>
      <c r="W1734" s="608">
        <v>0.1</v>
      </c>
      <c r="X1734" s="608">
        <v>0.1</v>
      </c>
      <c r="Y1734" s="608">
        <v>0.1</v>
      </c>
      <c r="Z1734" s="608">
        <v>0.1</v>
      </c>
      <c r="AA1734" s="608">
        <v>0.1</v>
      </c>
      <c r="AB1734" s="608">
        <v>0.1</v>
      </c>
      <c r="AC1734" s="608">
        <v>0.1</v>
      </c>
      <c r="AD1734" s="608">
        <v>0.1</v>
      </c>
      <c r="AE1734" s="608">
        <v>0.1</v>
      </c>
      <c r="AF1734" s="608">
        <v>0.1</v>
      </c>
      <c r="AG1734" s="608">
        <v>0.1</v>
      </c>
      <c r="AH1734" s="608">
        <v>0.1</v>
      </c>
      <c r="AI1734" s="609">
        <v>0.1</v>
      </c>
    </row>
    <row r="1735" spans="1:113">
      <c r="B1735" s="132"/>
      <c r="C1735" s="132"/>
      <c r="D1735" s="132"/>
      <c r="E1735" s="132"/>
      <c r="F1735" s="132"/>
      <c r="G1735" s="132"/>
      <c r="H1735" s="132"/>
      <c r="I1735" s="132"/>
      <c r="J1735" s="132"/>
      <c r="K1735" s="132"/>
      <c r="L1735" s="132"/>
      <c r="M1735" s="132"/>
      <c r="N1735" s="132"/>
    </row>
    <row r="1736" spans="1:113" ht="16" thickBot="1">
      <c r="B1736" s="244" t="s">
        <v>1284</v>
      </c>
      <c r="F1736" s="132"/>
      <c r="G1736" s="132"/>
      <c r="H1736" s="132"/>
      <c r="I1736" s="132"/>
      <c r="J1736" s="132"/>
      <c r="K1736" s="132"/>
      <c r="L1736" s="132"/>
      <c r="M1736" s="132"/>
      <c r="N1736" s="132"/>
    </row>
    <row r="1737" spans="1:113">
      <c r="B1737" s="245" t="s">
        <v>1285</v>
      </c>
      <c r="C1737" s="629" t="s">
        <v>1286</v>
      </c>
      <c r="D1737" s="509">
        <v>30</v>
      </c>
      <c r="E1737" s="501" t="s">
        <v>548</v>
      </c>
      <c r="F1737" s="132"/>
      <c r="G1737" s="132"/>
      <c r="H1737" s="132"/>
      <c r="I1737" s="132"/>
      <c r="J1737" s="132"/>
      <c r="K1737" s="132"/>
      <c r="L1737" s="132"/>
      <c r="M1737" s="132"/>
      <c r="N1737" s="132"/>
    </row>
    <row r="1738" spans="1:113" ht="16" thickBot="1">
      <c r="B1738" s="143" t="s">
        <v>1287</v>
      </c>
      <c r="C1738" s="631" t="s">
        <v>1288</v>
      </c>
      <c r="D1738" s="145">
        <v>15</v>
      </c>
      <c r="E1738" s="146" t="s">
        <v>548</v>
      </c>
      <c r="F1738" s="132"/>
      <c r="G1738" s="132"/>
      <c r="H1738" s="132"/>
      <c r="I1738" s="132"/>
      <c r="J1738" s="132"/>
      <c r="K1738" s="132"/>
      <c r="L1738" s="132"/>
      <c r="M1738" s="132"/>
      <c r="N1738" s="132"/>
    </row>
    <row r="1739" spans="1:113">
      <c r="B1739" s="132"/>
      <c r="C1739" s="552"/>
      <c r="D1739" s="553"/>
      <c r="E1739" s="132"/>
      <c r="F1739" s="132"/>
      <c r="G1739" s="132"/>
      <c r="H1739" s="132"/>
      <c r="I1739" s="132"/>
      <c r="J1739" s="132"/>
    </row>
    <row r="1740" spans="1:113">
      <c r="A1740" s="243"/>
      <c r="B1740" s="243"/>
      <c r="C1740" s="243"/>
      <c r="D1740" s="243"/>
      <c r="E1740" s="243"/>
      <c r="F1740" s="243"/>
      <c r="G1740" s="243"/>
      <c r="H1740" s="243"/>
      <c r="I1740" s="243"/>
      <c r="J1740" s="243"/>
      <c r="K1740" s="243"/>
      <c r="L1740" s="243"/>
      <c r="M1740" s="243"/>
      <c r="N1740" s="243"/>
      <c r="O1740" s="243"/>
      <c r="P1740" s="243"/>
      <c r="Q1740" s="243"/>
      <c r="R1740" s="243"/>
      <c r="S1740" s="243"/>
      <c r="T1740" s="243"/>
      <c r="U1740" s="243"/>
      <c r="V1740" s="243"/>
      <c r="W1740" s="243"/>
      <c r="X1740" s="243"/>
      <c r="Y1740" s="243"/>
      <c r="Z1740" s="243"/>
      <c r="AA1740" s="243"/>
      <c r="AB1740" s="243"/>
      <c r="AC1740" s="243"/>
      <c r="AD1740" s="243"/>
      <c r="AE1740" s="243"/>
      <c r="AF1740" s="243"/>
      <c r="AG1740" s="243"/>
      <c r="AH1740" s="243"/>
      <c r="AI1740" s="243"/>
      <c r="AJ1740" s="243"/>
      <c r="AK1740" s="243"/>
      <c r="AL1740" s="243"/>
      <c r="AM1740" s="243"/>
      <c r="AN1740" s="243"/>
      <c r="AO1740" s="243"/>
      <c r="AP1740" s="243"/>
      <c r="AQ1740" s="243"/>
      <c r="AR1740" s="243"/>
      <c r="AS1740" s="243"/>
      <c r="AT1740" s="243"/>
      <c r="AU1740" s="243"/>
      <c r="AV1740" s="243"/>
      <c r="AW1740" s="243"/>
      <c r="AX1740" s="243"/>
      <c r="AY1740" s="243"/>
      <c r="AZ1740" s="243"/>
      <c r="BA1740" s="243"/>
      <c r="BB1740" s="243"/>
      <c r="BC1740" s="243"/>
      <c r="BD1740" s="243"/>
      <c r="BE1740" s="243"/>
      <c r="BF1740" s="243"/>
      <c r="BG1740" s="243"/>
      <c r="BH1740" s="243"/>
      <c r="BI1740" s="243"/>
      <c r="BJ1740" s="243"/>
      <c r="BK1740" s="243"/>
      <c r="BL1740" s="243"/>
      <c r="BM1740" s="243"/>
      <c r="BN1740" s="243"/>
      <c r="BO1740" s="243"/>
      <c r="BP1740" s="243"/>
      <c r="BQ1740" s="243"/>
      <c r="BR1740" s="243"/>
      <c r="BS1740" s="243"/>
      <c r="BT1740" s="243"/>
      <c r="BU1740" s="243"/>
      <c r="BV1740" s="243"/>
      <c r="BW1740" s="243"/>
      <c r="BX1740" s="243"/>
      <c r="BY1740" s="243"/>
      <c r="BZ1740" s="243"/>
      <c r="CA1740" s="243"/>
      <c r="CB1740" s="243"/>
      <c r="CC1740" s="243"/>
      <c r="CD1740" s="243"/>
      <c r="CE1740" s="243"/>
      <c r="CF1740" s="243"/>
      <c r="CG1740" s="243"/>
      <c r="CH1740" s="243"/>
      <c r="CI1740" s="243"/>
      <c r="CJ1740" s="243"/>
      <c r="CK1740" s="243"/>
      <c r="CL1740" s="243"/>
      <c r="CM1740" s="243"/>
      <c r="CN1740" s="243"/>
      <c r="CO1740" s="243"/>
      <c r="CP1740" s="243"/>
      <c r="CQ1740" s="243"/>
      <c r="CR1740" s="243"/>
      <c r="CS1740" s="243"/>
      <c r="CT1740" s="243"/>
      <c r="CU1740" s="243"/>
      <c r="CV1740" s="243"/>
      <c r="CW1740" s="243"/>
      <c r="CX1740" s="243"/>
      <c r="CY1740" s="243"/>
      <c r="CZ1740" s="243"/>
      <c r="DA1740" s="243"/>
      <c r="DB1740" s="243"/>
      <c r="DC1740" s="243"/>
      <c r="DD1740" s="243"/>
      <c r="DE1740" s="243"/>
      <c r="DF1740" s="243"/>
      <c r="DG1740" s="243"/>
      <c r="DH1740" s="243"/>
      <c r="DI1740" s="243"/>
    </row>
    <row r="1741" spans="1:113">
      <c r="A1741" s="243"/>
      <c r="B1741" s="243"/>
      <c r="C1741" s="243"/>
      <c r="D1741" s="243"/>
      <c r="E1741" s="243"/>
      <c r="F1741" s="243"/>
      <c r="G1741" s="243"/>
      <c r="H1741" s="243"/>
      <c r="I1741" s="243"/>
      <c r="J1741" s="243"/>
      <c r="K1741" s="243"/>
      <c r="L1741" s="243"/>
      <c r="M1741" s="243"/>
      <c r="N1741" s="243"/>
      <c r="O1741" s="243"/>
      <c r="P1741" s="243"/>
      <c r="Q1741" s="243"/>
      <c r="R1741" s="243"/>
      <c r="S1741" s="243"/>
      <c r="T1741" s="243"/>
      <c r="U1741" s="243"/>
      <c r="V1741" s="243"/>
      <c r="W1741" s="243"/>
      <c r="X1741" s="243"/>
      <c r="Y1741" s="243"/>
      <c r="Z1741" s="243"/>
      <c r="AA1741" s="243"/>
      <c r="AB1741" s="243"/>
      <c r="AC1741" s="243"/>
      <c r="AD1741" s="243"/>
      <c r="AE1741" s="243"/>
      <c r="AF1741" s="243"/>
      <c r="AG1741" s="243"/>
      <c r="AH1741" s="243"/>
      <c r="AI1741" s="243"/>
      <c r="AJ1741" s="243"/>
      <c r="AK1741" s="243"/>
      <c r="AL1741" s="243"/>
      <c r="AM1741" s="243"/>
      <c r="AN1741" s="243"/>
      <c r="AO1741" s="243"/>
      <c r="AP1741" s="243"/>
      <c r="AQ1741" s="243"/>
      <c r="AR1741" s="243"/>
      <c r="AS1741" s="243"/>
      <c r="AT1741" s="243"/>
      <c r="AU1741" s="243"/>
      <c r="AV1741" s="243"/>
      <c r="AW1741" s="243"/>
      <c r="AX1741" s="243"/>
      <c r="AY1741" s="243"/>
      <c r="AZ1741" s="243"/>
      <c r="BA1741" s="243"/>
      <c r="BB1741" s="243"/>
      <c r="BC1741" s="243"/>
      <c r="BD1741" s="243"/>
      <c r="BE1741" s="243"/>
      <c r="BF1741" s="243"/>
      <c r="BG1741" s="243"/>
      <c r="BH1741" s="243"/>
      <c r="BI1741" s="243"/>
      <c r="BJ1741" s="243"/>
      <c r="BK1741" s="243"/>
      <c r="BL1741" s="243"/>
      <c r="BM1741" s="243"/>
      <c r="BN1741" s="243"/>
      <c r="BO1741" s="243"/>
      <c r="BP1741" s="243"/>
      <c r="BQ1741" s="243"/>
      <c r="BR1741" s="243"/>
      <c r="BS1741" s="243"/>
      <c r="BT1741" s="243"/>
      <c r="BU1741" s="243"/>
      <c r="BV1741" s="243"/>
      <c r="BW1741" s="243"/>
      <c r="BX1741" s="243"/>
      <c r="BY1741" s="243"/>
      <c r="BZ1741" s="243"/>
      <c r="CA1741" s="243"/>
      <c r="CB1741" s="243"/>
      <c r="CC1741" s="243"/>
      <c r="CD1741" s="243"/>
      <c r="CE1741" s="243"/>
      <c r="CF1741" s="243"/>
      <c r="CG1741" s="243"/>
      <c r="CH1741" s="243"/>
      <c r="CI1741" s="243"/>
      <c r="CJ1741" s="243"/>
      <c r="CK1741" s="243"/>
      <c r="CL1741" s="243"/>
      <c r="CM1741" s="243"/>
      <c r="CN1741" s="243"/>
      <c r="CO1741" s="243"/>
      <c r="CP1741" s="243"/>
      <c r="CQ1741" s="243"/>
      <c r="CR1741" s="243"/>
      <c r="CS1741" s="243"/>
      <c r="CT1741" s="243"/>
      <c r="CU1741" s="243"/>
      <c r="CV1741" s="243"/>
      <c r="CW1741" s="243"/>
      <c r="CX1741" s="243"/>
      <c r="CY1741" s="243"/>
      <c r="CZ1741" s="243"/>
      <c r="DA1741" s="243"/>
      <c r="DB1741" s="243"/>
      <c r="DC1741" s="243"/>
      <c r="DD1741" s="243"/>
      <c r="DE1741" s="243"/>
      <c r="DF1741" s="243"/>
      <c r="DG1741" s="243"/>
      <c r="DH1741" s="243"/>
      <c r="DI1741" s="243"/>
    </row>
    <row r="1742" spans="1:113">
      <c r="A1742" s="243"/>
      <c r="B1742" s="243"/>
      <c r="C1742" s="243"/>
      <c r="D1742" s="243"/>
      <c r="E1742" s="243"/>
      <c r="F1742" s="243"/>
      <c r="G1742" s="243"/>
      <c r="H1742" s="243"/>
      <c r="I1742" s="243"/>
      <c r="J1742" s="243"/>
      <c r="K1742" s="243"/>
      <c r="L1742" s="243"/>
      <c r="M1742" s="243"/>
      <c r="N1742" s="243"/>
      <c r="O1742" s="243"/>
      <c r="P1742" s="243"/>
      <c r="Q1742" s="243"/>
      <c r="R1742" s="243"/>
      <c r="S1742" s="243"/>
      <c r="T1742" s="243"/>
      <c r="U1742" s="243"/>
      <c r="V1742" s="243"/>
      <c r="W1742" s="243"/>
      <c r="X1742" s="243"/>
      <c r="Y1742" s="243"/>
      <c r="Z1742" s="243"/>
      <c r="AA1742" s="243"/>
      <c r="AB1742" s="243"/>
      <c r="AC1742" s="243"/>
      <c r="AD1742" s="243"/>
      <c r="AE1742" s="243"/>
      <c r="AF1742" s="243"/>
      <c r="AG1742" s="243"/>
      <c r="AH1742" s="243"/>
      <c r="AI1742" s="243"/>
      <c r="AJ1742" s="243"/>
      <c r="AK1742" s="243"/>
      <c r="AL1742" s="243"/>
      <c r="AM1742" s="243"/>
      <c r="AN1742" s="243"/>
      <c r="AO1742" s="243"/>
      <c r="AP1742" s="243"/>
      <c r="AQ1742" s="243"/>
      <c r="AR1742" s="243"/>
      <c r="AS1742" s="243"/>
      <c r="AT1742" s="243"/>
      <c r="AU1742" s="243"/>
      <c r="AV1742" s="243"/>
      <c r="AW1742" s="243"/>
      <c r="AX1742" s="243"/>
      <c r="AY1742" s="243"/>
      <c r="AZ1742" s="243"/>
      <c r="BA1742" s="243"/>
      <c r="BB1742" s="243"/>
      <c r="BC1742" s="243"/>
      <c r="BD1742" s="243"/>
      <c r="BE1742" s="243"/>
      <c r="BF1742" s="243"/>
      <c r="BG1742" s="243"/>
      <c r="BH1742" s="243"/>
      <c r="BI1742" s="243"/>
      <c r="BJ1742" s="243"/>
      <c r="BK1742" s="243"/>
      <c r="BL1742" s="243"/>
      <c r="BM1742" s="243"/>
      <c r="BN1742" s="243"/>
      <c r="BO1742" s="243"/>
      <c r="BP1742" s="243"/>
      <c r="BQ1742" s="243"/>
      <c r="BR1742" s="243"/>
      <c r="BS1742" s="243"/>
      <c r="BT1742" s="243"/>
      <c r="BU1742" s="243"/>
      <c r="BV1742" s="243"/>
      <c r="BW1742" s="243"/>
      <c r="BX1742" s="243"/>
      <c r="BY1742" s="243"/>
      <c r="BZ1742" s="243"/>
      <c r="CA1742" s="243"/>
      <c r="CB1742" s="243"/>
      <c r="CC1742" s="243"/>
      <c r="CD1742" s="243"/>
      <c r="CE1742" s="243"/>
      <c r="CF1742" s="243"/>
      <c r="CG1742" s="243"/>
      <c r="CH1742" s="243"/>
      <c r="CI1742" s="243"/>
      <c r="CJ1742" s="243"/>
      <c r="CK1742" s="243"/>
      <c r="CL1742" s="243"/>
      <c r="CM1742" s="243"/>
      <c r="CN1742" s="243"/>
      <c r="CO1742" s="243"/>
      <c r="CP1742" s="243"/>
      <c r="CQ1742" s="243"/>
      <c r="CR1742" s="243"/>
      <c r="CS1742" s="243"/>
      <c r="CT1742" s="243"/>
      <c r="CU1742" s="243"/>
      <c r="CV1742" s="243"/>
      <c r="CW1742" s="243"/>
      <c r="CX1742" s="243"/>
      <c r="CY1742" s="243"/>
      <c r="CZ1742" s="243"/>
      <c r="DA1742" s="243"/>
      <c r="DB1742" s="243"/>
      <c r="DC1742" s="243"/>
      <c r="DD1742" s="243"/>
      <c r="DE1742" s="243"/>
      <c r="DF1742" s="243"/>
      <c r="DG1742" s="243"/>
      <c r="DH1742" s="243"/>
      <c r="DI1742" s="243"/>
    </row>
    <row r="1744" spans="1:113">
      <c r="B1744" s="76"/>
      <c r="C1744" s="76"/>
      <c r="D1744" s="76"/>
      <c r="E1744" s="65"/>
      <c r="F1744" s="65"/>
      <c r="G1744" s="65"/>
      <c r="H1744" s="65"/>
      <c r="I1744" s="65"/>
      <c r="J1744" s="65"/>
      <c r="K1744" s="65"/>
      <c r="L1744" s="65"/>
      <c r="M1744" s="65"/>
      <c r="N1744" s="65"/>
      <c r="O1744" s="65"/>
      <c r="P1744" s="65"/>
      <c r="Q1744" s="65"/>
      <c r="R1744" s="65"/>
      <c r="S1744" s="65"/>
      <c r="T1744" s="65"/>
      <c r="U1744" s="65"/>
      <c r="V1744" s="65"/>
      <c r="W1744" s="65"/>
      <c r="X1744" s="65"/>
      <c r="Y1744" s="65"/>
      <c r="Z1744" s="65"/>
      <c r="AA1744" s="65"/>
      <c r="AB1744" s="65"/>
      <c r="AC1744" s="65"/>
      <c r="AD1744" s="65"/>
      <c r="AE1744" s="65"/>
      <c r="AF1744" s="65"/>
      <c r="AG1744" s="65"/>
      <c r="AH1744" s="65"/>
      <c r="AI1744" s="65"/>
      <c r="AJ1744" s="65"/>
      <c r="AK1744" s="65"/>
      <c r="AL1744" s="65"/>
      <c r="AM1744" s="65"/>
      <c r="AN1744" s="65"/>
      <c r="AO1744" s="65"/>
      <c r="AP1744" s="65"/>
      <c r="AQ1744" s="65"/>
      <c r="AR1744" s="65"/>
      <c r="AS1744" s="65"/>
      <c r="AT1744" s="65"/>
      <c r="AU1744" s="65"/>
      <c r="AV1744" s="65"/>
      <c r="AW1744" s="65"/>
      <c r="AX1744" s="65"/>
      <c r="AY1744" s="65"/>
      <c r="AZ1744" s="65"/>
      <c r="BA1744" s="65"/>
      <c r="BB1744" s="65"/>
      <c r="BC1744" s="65"/>
      <c r="BD1744" s="65"/>
      <c r="BE1744" s="65"/>
      <c r="BF1744" s="65"/>
      <c r="BG1744" s="65"/>
      <c r="BH1744" s="65"/>
      <c r="BI1744" s="65"/>
      <c r="BJ1744" s="65"/>
      <c r="BK1744" s="65"/>
      <c r="BL1744" s="65"/>
      <c r="BM1744" s="65"/>
      <c r="BN1744" s="65"/>
      <c r="BO1744" s="65"/>
      <c r="BP1744" s="65"/>
      <c r="BQ1744" s="65"/>
      <c r="BR1744" s="65"/>
      <c r="BS1744" s="65"/>
      <c r="BT1744" s="65"/>
      <c r="BU1744" s="65"/>
      <c r="BV1744" s="65"/>
      <c r="BW1744" s="65"/>
      <c r="BX1744" s="65"/>
      <c r="BY1744" s="65"/>
      <c r="BZ1744" s="65"/>
      <c r="CA1744" s="65"/>
      <c r="CB1744" s="65"/>
      <c r="CC1744" s="65"/>
      <c r="CD1744" s="65"/>
      <c r="CE1744" s="65"/>
      <c r="CF1744" s="65"/>
      <c r="CG1744" s="65"/>
      <c r="CH1744" s="65"/>
      <c r="CI1744" s="65"/>
      <c r="CJ1744" s="65"/>
      <c r="CK1744" s="65"/>
      <c r="CL1744" s="65"/>
      <c r="CM1744" s="65"/>
      <c r="CN1744" s="65"/>
      <c r="CO1744" s="65"/>
      <c r="CP1744" s="65"/>
      <c r="CQ1744" s="65"/>
      <c r="CR1744" s="65"/>
      <c r="CS1744" s="65"/>
      <c r="CT1744" s="65"/>
      <c r="CU1744" s="65"/>
      <c r="CV1744" s="65"/>
      <c r="CW1744" s="65"/>
      <c r="CX1744" s="65"/>
      <c r="CY1744" s="65"/>
      <c r="CZ1744" s="65"/>
      <c r="DA1744" s="65"/>
      <c r="DB1744" s="65"/>
      <c r="DC1744" s="65"/>
      <c r="DD1744" s="65"/>
      <c r="DE1744" s="65"/>
      <c r="DF1744" s="65"/>
      <c r="DG1744" s="65"/>
      <c r="DH1744" s="65"/>
      <c r="DI1744" s="65"/>
    </row>
    <row r="1745" spans="2:113" ht="16" thickBot="1">
      <c r="B1745" s="889" t="s">
        <v>1289</v>
      </c>
      <c r="C1745" s="890"/>
      <c r="D1745" s="890"/>
      <c r="E1745" s="891"/>
      <c r="F1745" s="891"/>
      <c r="G1745" s="891"/>
      <c r="H1745" s="892"/>
      <c r="I1745" s="892"/>
      <c r="J1745" s="209"/>
      <c r="K1745" s="209"/>
      <c r="L1745" s="209"/>
      <c r="M1745" s="65"/>
      <c r="N1745" s="65"/>
      <c r="O1745" s="65"/>
      <c r="P1745" s="65"/>
      <c r="Q1745" s="65"/>
      <c r="R1745" s="65"/>
      <c r="S1745" s="65"/>
      <c r="T1745" s="65"/>
      <c r="U1745" s="65"/>
      <c r="V1745" s="65"/>
      <c r="W1745" s="65"/>
      <c r="X1745" s="65"/>
      <c r="Y1745" s="65"/>
      <c r="Z1745" s="65"/>
      <c r="AA1745" s="65"/>
      <c r="AB1745" s="65"/>
      <c r="AC1745" s="65"/>
      <c r="AD1745" s="65"/>
      <c r="AE1745" s="65"/>
      <c r="AF1745" s="65"/>
      <c r="AG1745" s="65"/>
      <c r="AH1745" s="65"/>
      <c r="AI1745" s="65"/>
      <c r="AJ1745" s="65"/>
      <c r="AK1745" s="65"/>
      <c r="AL1745" s="65"/>
      <c r="AM1745" s="65"/>
      <c r="AN1745" s="65"/>
      <c r="AO1745" s="65"/>
      <c r="AP1745" s="65"/>
      <c r="AQ1745" s="65"/>
      <c r="AR1745" s="65"/>
      <c r="AS1745" s="65"/>
      <c r="AT1745" s="65"/>
      <c r="AU1745" s="65"/>
      <c r="AV1745" s="65"/>
      <c r="AW1745" s="65"/>
      <c r="AX1745" s="65"/>
      <c r="AY1745" s="65"/>
      <c r="AZ1745" s="65"/>
      <c r="BA1745" s="65"/>
      <c r="BB1745" s="65"/>
      <c r="BC1745" s="65"/>
      <c r="BD1745" s="65"/>
      <c r="BE1745" s="65"/>
      <c r="BF1745" s="65"/>
      <c r="BG1745" s="65"/>
      <c r="BH1745" s="65"/>
      <c r="BI1745" s="65"/>
      <c r="BJ1745" s="65"/>
      <c r="BK1745" s="65"/>
      <c r="BL1745" s="65"/>
      <c r="BM1745" s="65"/>
      <c r="BN1745" s="65"/>
      <c r="BO1745" s="65"/>
      <c r="BP1745" s="65"/>
      <c r="BQ1745" s="65"/>
      <c r="BR1745" s="65"/>
      <c r="BS1745" s="65"/>
      <c r="BT1745" s="65"/>
      <c r="BU1745" s="65"/>
      <c r="BV1745" s="65"/>
      <c r="BW1745" s="65"/>
      <c r="BX1745" s="65"/>
      <c r="BY1745" s="65"/>
      <c r="BZ1745" s="65"/>
      <c r="CA1745" s="65"/>
      <c r="CB1745" s="65"/>
      <c r="CC1745" s="65"/>
      <c r="CD1745" s="65"/>
      <c r="CE1745" s="65"/>
      <c r="CF1745" s="65"/>
      <c r="CG1745" s="65"/>
      <c r="CH1745" s="65"/>
      <c r="CI1745" s="65"/>
      <c r="CJ1745" s="65"/>
      <c r="CK1745" s="65"/>
      <c r="CL1745" s="65"/>
      <c r="CM1745" s="65"/>
      <c r="CN1745" s="65"/>
      <c r="CO1745" s="65"/>
      <c r="CP1745" s="65"/>
      <c r="CQ1745" s="65"/>
      <c r="CR1745" s="65"/>
      <c r="CS1745" s="65"/>
      <c r="CT1745" s="65"/>
      <c r="CU1745" s="65"/>
      <c r="CV1745" s="65"/>
      <c r="CW1745" s="65"/>
      <c r="CX1745" s="65"/>
      <c r="CY1745" s="65"/>
      <c r="CZ1745" s="65"/>
      <c r="DA1745" s="65"/>
      <c r="DB1745" s="65"/>
      <c r="DC1745" s="65"/>
      <c r="DD1745" s="65"/>
      <c r="DE1745" s="65"/>
      <c r="DF1745" s="65"/>
      <c r="DG1745" s="65"/>
      <c r="DH1745" s="65"/>
      <c r="DI1745" s="65"/>
    </row>
    <row r="1746" spans="2:113" ht="72" customHeight="1">
      <c r="B1746" s="893"/>
      <c r="C1746" s="894" t="s">
        <v>1290</v>
      </c>
      <c r="D1746" s="895" t="s">
        <v>1291</v>
      </c>
      <c r="E1746" s="894" t="s">
        <v>1292</v>
      </c>
      <c r="F1746" s="896" t="s">
        <v>1293</v>
      </c>
      <c r="G1746" s="896" t="s">
        <v>1294</v>
      </c>
      <c r="H1746" s="896" t="s">
        <v>1295</v>
      </c>
      <c r="I1746" s="896" t="s">
        <v>1296</v>
      </c>
      <c r="J1746" s="896" t="s">
        <v>1297</v>
      </c>
      <c r="K1746" s="896" t="s">
        <v>1298</v>
      </c>
      <c r="L1746" s="894" t="s">
        <v>1299</v>
      </c>
      <c r="M1746" s="894" t="s">
        <v>1300</v>
      </c>
      <c r="N1746" s="897" t="s">
        <v>1301</v>
      </c>
      <c r="S1746" s="65"/>
      <c r="T1746" s="65"/>
      <c r="U1746" s="65"/>
      <c r="V1746" s="65"/>
      <c r="W1746" s="65"/>
      <c r="X1746" s="65"/>
      <c r="Y1746" s="65"/>
      <c r="Z1746" s="65"/>
      <c r="AA1746" s="65"/>
      <c r="AB1746" s="65"/>
      <c r="AC1746" s="65"/>
      <c r="AD1746" s="65"/>
      <c r="AE1746" s="65"/>
      <c r="AF1746" s="65"/>
      <c r="AG1746" s="65"/>
      <c r="AH1746" s="65"/>
      <c r="AI1746" s="65"/>
      <c r="AJ1746" s="65"/>
      <c r="AK1746" s="65"/>
      <c r="AL1746" s="65"/>
      <c r="AM1746" s="65"/>
      <c r="AN1746" s="65"/>
      <c r="AO1746" s="65"/>
      <c r="AP1746" s="65"/>
      <c r="AQ1746" s="65"/>
      <c r="AR1746" s="65"/>
      <c r="AS1746" s="65"/>
      <c r="AT1746" s="65"/>
      <c r="AU1746" s="65"/>
      <c r="AV1746" s="65"/>
      <c r="AW1746" s="65"/>
      <c r="AX1746" s="65"/>
      <c r="AY1746" s="65"/>
      <c r="AZ1746" s="65"/>
      <c r="BA1746" s="65"/>
      <c r="BB1746" s="65"/>
      <c r="BC1746" s="65"/>
      <c r="BD1746" s="65"/>
      <c r="BE1746" s="65"/>
      <c r="BF1746" s="65"/>
      <c r="BG1746" s="65"/>
      <c r="BH1746" s="65"/>
      <c r="BI1746" s="65"/>
      <c r="BJ1746" s="65"/>
      <c r="BK1746" s="65"/>
      <c r="BL1746" s="65"/>
      <c r="BM1746" s="65"/>
      <c r="BN1746" s="65"/>
      <c r="BO1746" s="65"/>
      <c r="BP1746" s="65"/>
      <c r="BQ1746" s="65"/>
      <c r="BR1746" s="65"/>
      <c r="BS1746" s="65"/>
      <c r="BT1746" s="65"/>
      <c r="BU1746" s="65"/>
      <c r="BV1746" s="65"/>
      <c r="BW1746" s="65"/>
      <c r="BX1746" s="65"/>
      <c r="BY1746" s="65"/>
      <c r="BZ1746" s="65"/>
      <c r="CA1746" s="65"/>
      <c r="CB1746" s="65"/>
      <c r="CC1746" s="65"/>
      <c r="CD1746" s="65"/>
      <c r="CE1746" s="65"/>
      <c r="CF1746" s="65"/>
      <c r="CG1746" s="65"/>
      <c r="CH1746" s="65"/>
      <c r="CI1746" s="65"/>
      <c r="CJ1746" s="65"/>
      <c r="CK1746" s="65"/>
      <c r="CL1746" s="65"/>
      <c r="CM1746" s="65"/>
      <c r="CN1746" s="65"/>
      <c r="CO1746" s="65"/>
      <c r="CP1746" s="65"/>
      <c r="CQ1746" s="65"/>
      <c r="CR1746" s="65"/>
      <c r="CS1746" s="65"/>
      <c r="CT1746" s="65"/>
      <c r="CU1746" s="65"/>
      <c r="CV1746" s="65"/>
      <c r="CW1746" s="65"/>
      <c r="CX1746" s="65"/>
      <c r="CY1746" s="65"/>
      <c r="CZ1746" s="65"/>
      <c r="DA1746" s="65"/>
      <c r="DB1746" s="65"/>
      <c r="DC1746" s="65"/>
      <c r="DD1746" s="65"/>
      <c r="DE1746" s="65"/>
      <c r="DF1746" s="65"/>
      <c r="DG1746" s="65"/>
      <c r="DH1746" s="65"/>
      <c r="DI1746" s="65"/>
    </row>
    <row r="1747" spans="2:113">
      <c r="B1747" s="898" t="s">
        <v>1302</v>
      </c>
      <c r="C1747" s="899">
        <f>C1785</f>
        <v>6.3648495040812183E-3</v>
      </c>
      <c r="D1747" s="900">
        <f>S1785</f>
        <v>0.12600808918700393</v>
      </c>
      <c r="E1747" s="901">
        <f>AI1785</f>
        <v>1.6983780193416544E-2</v>
      </c>
      <c r="F1747" s="902">
        <f>AY1785</f>
        <v>0.70348969660524785</v>
      </c>
      <c r="G1747" s="902">
        <f>BO1785</f>
        <v>2.4827539919594342E-3</v>
      </c>
      <c r="H1747" s="902">
        <f>CE1785</f>
        <v>1.4408742179993697E-2</v>
      </c>
      <c r="I1747" s="902">
        <f>CU1785</f>
        <v>2.2967397240305797E-3</v>
      </c>
      <c r="J1747" s="902">
        <f>C1804</f>
        <v>4.0692951822813217E-3</v>
      </c>
      <c r="K1747" s="902">
        <f>S1804</f>
        <v>1.3308235779475723E-2</v>
      </c>
      <c r="L1747" s="901">
        <f>AI1804</f>
        <v>1.4770926648494688E-3</v>
      </c>
      <c r="M1747" s="901">
        <f>AY1804</f>
        <v>1.650346919919364E-3</v>
      </c>
      <c r="N1747" s="903">
        <f>CE1804</f>
        <v>6.3648495040812183E-3</v>
      </c>
      <c r="S1747" s="65"/>
      <c r="T1747" s="65"/>
      <c r="U1747" s="65"/>
      <c r="V1747" s="65"/>
      <c r="W1747" s="65"/>
      <c r="X1747" s="65"/>
      <c r="Y1747" s="65"/>
      <c r="Z1747" s="65"/>
      <c r="AA1747" s="65"/>
      <c r="AB1747" s="65"/>
      <c r="AC1747" s="65"/>
      <c r="AD1747" s="65"/>
      <c r="AE1747" s="65"/>
      <c r="AF1747" s="65"/>
      <c r="AG1747" s="65"/>
      <c r="AH1747" s="65"/>
      <c r="AI1747" s="65"/>
      <c r="AJ1747" s="65"/>
      <c r="AK1747" s="65"/>
      <c r="AL1747" s="65"/>
      <c r="AM1747" s="65"/>
      <c r="AN1747" s="65"/>
      <c r="AO1747" s="65"/>
      <c r="AP1747" s="65"/>
      <c r="AQ1747" s="65"/>
      <c r="AR1747" s="65"/>
      <c r="AS1747" s="65"/>
      <c r="AT1747" s="65"/>
      <c r="AU1747" s="65"/>
      <c r="AV1747" s="65"/>
      <c r="AW1747" s="65"/>
      <c r="AX1747" s="65"/>
      <c r="AY1747" s="65"/>
      <c r="AZ1747" s="65"/>
      <c r="BA1747" s="65"/>
      <c r="BB1747" s="65"/>
      <c r="BC1747" s="65"/>
      <c r="BD1747" s="65"/>
      <c r="BE1747" s="65"/>
      <c r="BF1747" s="65"/>
      <c r="BG1747" s="65"/>
      <c r="BH1747" s="65"/>
      <c r="BI1747" s="65"/>
      <c r="BJ1747" s="65"/>
      <c r="BK1747" s="65"/>
      <c r="BL1747" s="65"/>
      <c r="BM1747" s="65"/>
      <c r="BN1747" s="65"/>
      <c r="BO1747" s="65"/>
      <c r="BP1747" s="65"/>
      <c r="BQ1747" s="65"/>
      <c r="BR1747" s="65"/>
      <c r="BS1747" s="65"/>
      <c r="BT1747" s="65"/>
      <c r="BU1747" s="65"/>
      <c r="BV1747" s="65"/>
      <c r="BW1747" s="65"/>
      <c r="BX1747" s="65"/>
      <c r="BY1747" s="65"/>
      <c r="BZ1747" s="65"/>
      <c r="CA1747" s="65"/>
      <c r="CB1747" s="65"/>
      <c r="CC1747" s="65"/>
      <c r="CD1747" s="65"/>
      <c r="CE1747" s="65"/>
      <c r="CF1747" s="65"/>
      <c r="CG1747" s="65"/>
      <c r="CH1747" s="65"/>
      <c r="CI1747" s="65"/>
      <c r="CJ1747" s="65"/>
      <c r="CK1747" s="65"/>
      <c r="CL1747" s="65"/>
      <c r="CM1747" s="65"/>
      <c r="CN1747" s="65"/>
      <c r="CO1747" s="65"/>
      <c r="CP1747" s="65"/>
      <c r="CQ1747" s="65"/>
      <c r="CR1747" s="65"/>
      <c r="CS1747" s="65"/>
      <c r="CT1747" s="65"/>
      <c r="CU1747" s="65"/>
      <c r="CV1747" s="65"/>
      <c r="CW1747" s="65"/>
      <c r="CX1747" s="65"/>
      <c r="CY1747" s="65"/>
      <c r="CZ1747" s="65"/>
      <c r="DA1747" s="65"/>
      <c r="DB1747" s="65"/>
      <c r="DC1747" s="65"/>
      <c r="DD1747" s="65"/>
      <c r="DE1747" s="65"/>
      <c r="DF1747" s="65"/>
      <c r="DG1747" s="65"/>
      <c r="DH1747" s="65"/>
      <c r="DI1747" s="65"/>
    </row>
    <row r="1748" spans="2:113">
      <c r="B1748" s="898" t="s">
        <v>278</v>
      </c>
      <c r="C1748" s="899">
        <f>D1785</f>
        <v>0.26176035277929866</v>
      </c>
      <c r="D1748" s="900">
        <f>T1785</f>
        <v>0.52656599281402394</v>
      </c>
      <c r="E1748" s="901">
        <f>AJ1785</f>
        <v>0.60249200640319689</v>
      </c>
      <c r="F1748" s="902">
        <f>AZ1785</f>
        <v>0</v>
      </c>
      <c r="G1748" s="902">
        <f>BP1785</f>
        <v>2.5967057183860262E-2</v>
      </c>
      <c r="H1748" s="902">
        <f>CF1785</f>
        <v>0.50108628475332262</v>
      </c>
      <c r="I1748" s="902">
        <f>CV1785</f>
        <v>0.15928373874540541</v>
      </c>
      <c r="J1748" s="902">
        <f>D1804</f>
        <v>0.1884279273438953</v>
      </c>
      <c r="K1748" s="902">
        <f>T1804</f>
        <v>0.2265139951635694</v>
      </c>
      <c r="L1748" s="901">
        <f>AJ1804</f>
        <v>0.41297862778149519</v>
      </c>
      <c r="M1748" s="901">
        <f>AZ1804</f>
        <v>0.32526510742602732</v>
      </c>
      <c r="N1748" s="903">
        <f>CF1804</f>
        <v>0.26176035277929866</v>
      </c>
      <c r="S1748" s="65"/>
      <c r="T1748" s="65"/>
      <c r="U1748" s="65"/>
      <c r="V1748" s="65"/>
      <c r="W1748" s="65"/>
      <c r="X1748" s="65"/>
      <c r="Y1748" s="65"/>
      <c r="Z1748" s="65"/>
      <c r="AA1748" s="65"/>
      <c r="AB1748" s="65"/>
      <c r="AC1748" s="65"/>
      <c r="AD1748" s="65"/>
      <c r="AE1748" s="65"/>
      <c r="AF1748" s="65"/>
      <c r="AG1748" s="65"/>
      <c r="AH1748" s="65"/>
      <c r="AI1748" s="65"/>
      <c r="AJ1748" s="65"/>
      <c r="AK1748" s="65"/>
      <c r="AL1748" s="65"/>
      <c r="AM1748" s="65"/>
      <c r="AN1748" s="65"/>
      <c r="AO1748" s="65"/>
      <c r="AP1748" s="65"/>
      <c r="AQ1748" s="65"/>
      <c r="AR1748" s="65"/>
      <c r="AS1748" s="65"/>
      <c r="AT1748" s="65"/>
      <c r="AU1748" s="65"/>
      <c r="AV1748" s="65"/>
      <c r="AW1748" s="65"/>
      <c r="AX1748" s="65"/>
      <c r="AY1748" s="65"/>
      <c r="AZ1748" s="65"/>
      <c r="BA1748" s="65"/>
      <c r="BB1748" s="65"/>
      <c r="BC1748" s="65"/>
      <c r="BD1748" s="65"/>
      <c r="BE1748" s="65"/>
      <c r="BF1748" s="65"/>
      <c r="BG1748" s="65"/>
      <c r="BH1748" s="65"/>
      <c r="BI1748" s="65"/>
      <c r="BJ1748" s="65"/>
      <c r="BK1748" s="65"/>
      <c r="BL1748" s="65"/>
      <c r="BM1748" s="65"/>
      <c r="BN1748" s="65"/>
      <c r="BO1748" s="65"/>
      <c r="BP1748" s="65"/>
      <c r="BQ1748" s="65"/>
      <c r="BR1748" s="65"/>
      <c r="BS1748" s="65"/>
      <c r="BT1748" s="65"/>
      <c r="BU1748" s="65"/>
      <c r="BV1748" s="65"/>
      <c r="BW1748" s="65"/>
      <c r="BX1748" s="65"/>
      <c r="BY1748" s="65"/>
      <c r="BZ1748" s="65"/>
      <c r="CA1748" s="65"/>
      <c r="CB1748" s="65"/>
      <c r="CC1748" s="65"/>
      <c r="CD1748" s="65"/>
      <c r="CE1748" s="65"/>
      <c r="CF1748" s="65"/>
      <c r="CG1748" s="65"/>
      <c r="CH1748" s="65"/>
      <c r="CI1748" s="65"/>
      <c r="CJ1748" s="65"/>
      <c r="CK1748" s="65"/>
      <c r="CL1748" s="65"/>
      <c r="CM1748" s="65"/>
      <c r="CN1748" s="65"/>
      <c r="CO1748" s="65"/>
      <c r="CP1748" s="65"/>
      <c r="CQ1748" s="65"/>
      <c r="CR1748" s="65"/>
      <c r="CS1748" s="65"/>
      <c r="CT1748" s="65"/>
      <c r="CU1748" s="65"/>
      <c r="CV1748" s="65"/>
      <c r="CW1748" s="65"/>
      <c r="CX1748" s="65"/>
      <c r="CY1748" s="65"/>
      <c r="CZ1748" s="65"/>
      <c r="DA1748" s="65"/>
      <c r="DB1748" s="65"/>
      <c r="DC1748" s="65"/>
      <c r="DD1748" s="65"/>
      <c r="DE1748" s="65"/>
      <c r="DF1748" s="65"/>
      <c r="DG1748" s="65"/>
      <c r="DH1748" s="65"/>
      <c r="DI1748" s="65"/>
    </row>
    <row r="1749" spans="2:113">
      <c r="B1749" s="898" t="s">
        <v>277</v>
      </c>
      <c r="C1749" s="899">
        <f>E1785</f>
        <v>0.4063869220949865</v>
      </c>
      <c r="D1749" s="900">
        <f>U1785</f>
        <v>9.6142559568749092E-2</v>
      </c>
      <c r="E1749" s="901">
        <f>AK1785</f>
        <v>0.23312943832809729</v>
      </c>
      <c r="F1749" s="902">
        <f>BA1785</f>
        <v>0.13672414080262368</v>
      </c>
      <c r="G1749" s="902">
        <f>BQ1785</f>
        <v>0.61834724487268422</v>
      </c>
      <c r="H1749" s="902">
        <f>CG1785</f>
        <v>2.6078174337301849E-2</v>
      </c>
      <c r="I1749" s="902">
        <f>CW1785</f>
        <v>0.51329205900283081</v>
      </c>
      <c r="J1749" s="902">
        <f>E1804</f>
        <v>0.49306484309464577</v>
      </c>
      <c r="K1749" s="902">
        <f>U1804</f>
        <v>0.56020847500065474</v>
      </c>
      <c r="L1749" s="901">
        <f>AK1804</f>
        <v>0.35995808125857776</v>
      </c>
      <c r="M1749" s="901">
        <f>BA1804</f>
        <v>0.25448161913794443</v>
      </c>
      <c r="N1749" s="903">
        <f>CG1804</f>
        <v>0.4063869220949865</v>
      </c>
      <c r="S1749" s="65"/>
      <c r="T1749" s="65"/>
      <c r="U1749" s="65"/>
      <c r="V1749" s="65"/>
      <c r="W1749" s="65"/>
      <c r="X1749" s="65"/>
      <c r="Y1749" s="65"/>
      <c r="Z1749" s="65"/>
      <c r="AA1749" s="65"/>
      <c r="AB1749" s="65"/>
      <c r="AC1749" s="65"/>
      <c r="AD1749" s="65"/>
      <c r="AE1749" s="65"/>
      <c r="AF1749" s="65"/>
      <c r="AG1749" s="65"/>
      <c r="AH1749" s="65"/>
      <c r="AI1749" s="65"/>
      <c r="AJ1749" s="65"/>
      <c r="AK1749" s="65"/>
      <c r="AL1749" s="65"/>
      <c r="AM1749" s="65"/>
      <c r="AN1749" s="65"/>
      <c r="AO1749" s="65"/>
      <c r="AP1749" s="65"/>
      <c r="AQ1749" s="65"/>
      <c r="AR1749" s="65"/>
      <c r="AS1749" s="65"/>
      <c r="AT1749" s="65"/>
      <c r="AU1749" s="65"/>
      <c r="AV1749" s="65"/>
      <c r="AW1749" s="65"/>
      <c r="AX1749" s="65"/>
      <c r="AY1749" s="65"/>
      <c r="AZ1749" s="65"/>
      <c r="BA1749" s="65"/>
      <c r="BB1749" s="65"/>
      <c r="BC1749" s="65"/>
      <c r="BD1749" s="65"/>
      <c r="BE1749" s="65"/>
      <c r="BF1749" s="65"/>
      <c r="BG1749" s="65"/>
      <c r="BH1749" s="65"/>
      <c r="BI1749" s="65"/>
      <c r="BJ1749" s="65"/>
      <c r="BK1749" s="65"/>
      <c r="BL1749" s="65"/>
      <c r="BM1749" s="65"/>
      <c r="BN1749" s="65"/>
      <c r="BO1749" s="65"/>
      <c r="BP1749" s="65"/>
      <c r="BQ1749" s="65"/>
      <c r="BR1749" s="65"/>
      <c r="BS1749" s="65"/>
      <c r="BT1749" s="65"/>
      <c r="BU1749" s="65"/>
      <c r="BV1749" s="65"/>
      <c r="BW1749" s="65"/>
      <c r="BX1749" s="65"/>
      <c r="BY1749" s="65"/>
      <c r="BZ1749" s="65"/>
      <c r="CA1749" s="65"/>
      <c r="CB1749" s="65"/>
      <c r="CC1749" s="65"/>
      <c r="CD1749" s="65"/>
      <c r="CE1749" s="65"/>
      <c r="CF1749" s="65"/>
      <c r="CG1749" s="65"/>
      <c r="CH1749" s="65"/>
      <c r="CI1749" s="65"/>
      <c r="CJ1749" s="65"/>
      <c r="CK1749" s="65"/>
      <c r="CL1749" s="65"/>
      <c r="CM1749" s="65"/>
      <c r="CN1749" s="65"/>
      <c r="CO1749" s="65"/>
      <c r="CP1749" s="65"/>
      <c r="CQ1749" s="65"/>
      <c r="CR1749" s="65"/>
      <c r="CS1749" s="65"/>
      <c r="CT1749" s="65"/>
      <c r="CU1749" s="65"/>
      <c r="CV1749" s="65"/>
      <c r="CW1749" s="65"/>
      <c r="CX1749" s="65"/>
      <c r="CY1749" s="65"/>
      <c r="CZ1749" s="65"/>
      <c r="DA1749" s="65"/>
      <c r="DB1749" s="65"/>
      <c r="DC1749" s="65"/>
      <c r="DD1749" s="65"/>
      <c r="DE1749" s="65"/>
      <c r="DF1749" s="65"/>
      <c r="DG1749" s="65"/>
      <c r="DH1749" s="65"/>
      <c r="DI1749" s="65"/>
    </row>
    <row r="1750" spans="2:113">
      <c r="B1750" s="898" t="s">
        <v>1303</v>
      </c>
      <c r="C1750" s="899">
        <f>F1785</f>
        <v>0.19868988461610343</v>
      </c>
      <c r="D1750" s="900">
        <f>V1785</f>
        <v>0</v>
      </c>
      <c r="E1750" s="901">
        <f>AL1785</f>
        <v>0.12254797462597906</v>
      </c>
      <c r="F1750" s="902">
        <f>BB1785</f>
        <v>0</v>
      </c>
      <c r="G1750" s="902">
        <f>BR1785</f>
        <v>0.12187351300523605</v>
      </c>
      <c r="H1750" s="902">
        <f>CH1785</f>
        <v>0.28703791803913159</v>
      </c>
      <c r="I1750" s="902">
        <f>CX1785</f>
        <v>0.28292805717099656</v>
      </c>
      <c r="J1750" s="902">
        <f>F1804</f>
        <v>0.27258917690037243</v>
      </c>
      <c r="K1750" s="902">
        <f>V1804</f>
        <v>4.1020571166130691E-2</v>
      </c>
      <c r="L1750" s="901">
        <f>AL1804</f>
        <v>0.12296598834926391</v>
      </c>
      <c r="M1750" s="901">
        <f>BB1804</f>
        <v>7.8740625224170566E-2</v>
      </c>
      <c r="N1750" s="903">
        <f>CH1804</f>
        <v>0.19868988461610343</v>
      </c>
      <c r="S1750" s="65"/>
      <c r="T1750" s="65"/>
      <c r="U1750" s="65"/>
      <c r="V1750" s="65"/>
      <c r="W1750" s="65"/>
      <c r="X1750" s="65"/>
      <c r="Y1750" s="65"/>
      <c r="Z1750" s="65"/>
      <c r="AA1750" s="65"/>
      <c r="AB1750" s="65"/>
      <c r="AC1750" s="65"/>
      <c r="AD1750" s="65"/>
      <c r="AE1750" s="65"/>
      <c r="AF1750" s="65"/>
      <c r="AG1750" s="65"/>
      <c r="AH1750" s="65"/>
      <c r="AI1750" s="65"/>
      <c r="AJ1750" s="65"/>
      <c r="AK1750" s="65"/>
      <c r="AL1750" s="65"/>
      <c r="AM1750" s="65"/>
      <c r="AN1750" s="65"/>
      <c r="AO1750" s="65"/>
      <c r="AP1750" s="65"/>
      <c r="AQ1750" s="65"/>
      <c r="AR1750" s="65"/>
      <c r="AS1750" s="65"/>
      <c r="AT1750" s="65"/>
      <c r="AU1750" s="65"/>
      <c r="AV1750" s="65"/>
      <c r="AW1750" s="65"/>
      <c r="AX1750" s="65"/>
      <c r="AY1750" s="65"/>
      <c r="AZ1750" s="65"/>
      <c r="BA1750" s="65"/>
      <c r="BB1750" s="65"/>
      <c r="BC1750" s="65"/>
      <c r="BD1750" s="65"/>
      <c r="BE1750" s="65"/>
      <c r="BF1750" s="65"/>
      <c r="BG1750" s="65"/>
      <c r="BH1750" s="65"/>
      <c r="BI1750" s="65"/>
      <c r="BJ1750" s="65"/>
      <c r="BK1750" s="65"/>
      <c r="BL1750" s="65"/>
      <c r="BM1750" s="65"/>
      <c r="BN1750" s="65"/>
      <c r="BO1750" s="65"/>
      <c r="BP1750" s="65"/>
      <c r="BQ1750" s="65"/>
      <c r="BR1750" s="65"/>
      <c r="BS1750" s="65"/>
      <c r="BT1750" s="65"/>
      <c r="BU1750" s="65"/>
      <c r="BV1750" s="65"/>
      <c r="BW1750" s="65"/>
      <c r="BX1750" s="65"/>
      <c r="BY1750" s="65"/>
      <c r="BZ1750" s="65"/>
      <c r="CA1750" s="65"/>
      <c r="CB1750" s="65"/>
      <c r="CC1750" s="65"/>
      <c r="CD1750" s="65"/>
      <c r="CE1750" s="65"/>
      <c r="CF1750" s="65"/>
      <c r="CG1750" s="65"/>
      <c r="CH1750" s="65"/>
      <c r="CI1750" s="65"/>
      <c r="CJ1750" s="65"/>
      <c r="CK1750" s="65"/>
      <c r="CL1750" s="65"/>
      <c r="CM1750" s="65"/>
      <c r="CN1750" s="65"/>
      <c r="CO1750" s="65"/>
      <c r="CP1750" s="65"/>
      <c r="CQ1750" s="65"/>
      <c r="CR1750" s="65"/>
      <c r="CS1750" s="65"/>
      <c r="CT1750" s="65"/>
      <c r="CU1750" s="65"/>
      <c r="CV1750" s="65"/>
      <c r="CW1750" s="65"/>
      <c r="CX1750" s="65"/>
      <c r="CY1750" s="65"/>
      <c r="CZ1750" s="65"/>
      <c r="DA1750" s="65"/>
      <c r="DB1750" s="65"/>
      <c r="DC1750" s="65"/>
      <c r="DD1750" s="65"/>
      <c r="DE1750" s="65"/>
      <c r="DF1750" s="65"/>
      <c r="DG1750" s="65"/>
      <c r="DH1750" s="65"/>
      <c r="DI1750" s="65"/>
    </row>
    <row r="1751" spans="2:113">
      <c r="B1751" s="898" t="s">
        <v>1304</v>
      </c>
      <c r="C1751" s="899">
        <f>G1785</f>
        <v>2.8705608202568597E-3</v>
      </c>
      <c r="D1751" s="900">
        <f>W1785</f>
        <v>8.0088400157553984E-3</v>
      </c>
      <c r="E1751" s="901">
        <f>AM1785</f>
        <v>5.0179405135083845E-3</v>
      </c>
      <c r="F1751" s="902">
        <f>BC1785</f>
        <v>3.2079701935891436E-2</v>
      </c>
      <c r="G1751" s="902">
        <f>BS1785</f>
        <v>5.7100832173389857E-3</v>
      </c>
      <c r="H1751" s="902">
        <f>CI1785</f>
        <v>5.8199915439939428E-3</v>
      </c>
      <c r="I1751" s="902">
        <f>CY1785</f>
        <v>8.584123550100047E-4</v>
      </c>
      <c r="J1751" s="902">
        <f>G1804</f>
        <v>4.4096554692178913E-3</v>
      </c>
      <c r="K1751" s="902">
        <f>W1804</f>
        <v>5.6850095648609482E-5</v>
      </c>
      <c r="L1751" s="901">
        <f>AM1804</f>
        <v>2.2699497110191653E-3</v>
      </c>
      <c r="M1751" s="901">
        <f>BC1804</f>
        <v>1.8988223716782562E-3</v>
      </c>
      <c r="N1751" s="903">
        <f>CI1804</f>
        <v>2.8705608202568597E-3</v>
      </c>
      <c r="S1751" s="65"/>
      <c r="T1751" s="65"/>
      <c r="U1751" s="65"/>
      <c r="V1751" s="65"/>
      <c r="W1751" s="65"/>
      <c r="X1751" s="65"/>
      <c r="Y1751" s="65"/>
      <c r="Z1751" s="65"/>
      <c r="AA1751" s="65"/>
      <c r="AB1751" s="65"/>
      <c r="AC1751" s="65"/>
      <c r="AD1751" s="65"/>
      <c r="AE1751" s="65"/>
      <c r="AF1751" s="65"/>
      <c r="AG1751" s="65"/>
      <c r="AH1751" s="65"/>
      <c r="AI1751" s="65"/>
      <c r="AJ1751" s="65"/>
      <c r="AK1751" s="65"/>
      <c r="AL1751" s="65"/>
      <c r="AM1751" s="65"/>
      <c r="AN1751" s="65"/>
      <c r="AO1751" s="65"/>
      <c r="AP1751" s="65"/>
      <c r="AQ1751" s="65"/>
      <c r="AR1751" s="65"/>
      <c r="AS1751" s="65"/>
      <c r="AT1751" s="65"/>
      <c r="AU1751" s="65"/>
      <c r="AV1751" s="65"/>
      <c r="AW1751" s="65"/>
      <c r="AX1751" s="65"/>
      <c r="AY1751" s="65"/>
      <c r="AZ1751" s="65"/>
      <c r="BA1751" s="65"/>
      <c r="BB1751" s="65"/>
      <c r="BC1751" s="65"/>
      <c r="BD1751" s="65"/>
      <c r="BE1751" s="65"/>
      <c r="BF1751" s="65"/>
      <c r="BG1751" s="65"/>
      <c r="BH1751" s="65"/>
      <c r="BI1751" s="65"/>
      <c r="BJ1751" s="65"/>
      <c r="BK1751" s="65"/>
      <c r="BL1751" s="65"/>
      <c r="BM1751" s="65"/>
      <c r="BN1751" s="65"/>
      <c r="BO1751" s="65"/>
      <c r="BP1751" s="65"/>
      <c r="BQ1751" s="65"/>
      <c r="BR1751" s="65"/>
      <c r="BS1751" s="65"/>
      <c r="BT1751" s="65"/>
      <c r="BU1751" s="65"/>
      <c r="BV1751" s="65"/>
      <c r="BW1751" s="65"/>
      <c r="BX1751" s="65"/>
      <c r="BY1751" s="65"/>
      <c r="BZ1751" s="65"/>
      <c r="CA1751" s="65"/>
      <c r="CB1751" s="65"/>
      <c r="CC1751" s="65"/>
      <c r="CD1751" s="65"/>
      <c r="CE1751" s="65"/>
      <c r="CF1751" s="65"/>
      <c r="CG1751" s="65"/>
      <c r="CH1751" s="65"/>
      <c r="CI1751" s="65"/>
      <c r="CJ1751" s="65"/>
      <c r="CK1751" s="65"/>
      <c r="CL1751" s="65"/>
      <c r="CM1751" s="65"/>
      <c r="CN1751" s="65"/>
      <c r="CO1751" s="65"/>
      <c r="CP1751" s="65"/>
      <c r="CQ1751" s="65"/>
      <c r="CR1751" s="65"/>
      <c r="CS1751" s="65"/>
      <c r="CT1751" s="65"/>
      <c r="CU1751" s="65"/>
      <c r="CV1751" s="65"/>
      <c r="CW1751" s="65"/>
      <c r="CX1751" s="65"/>
      <c r="CY1751" s="65"/>
      <c r="CZ1751" s="65"/>
      <c r="DA1751" s="65"/>
      <c r="DB1751" s="65"/>
      <c r="DC1751" s="65"/>
      <c r="DD1751" s="65"/>
      <c r="DE1751" s="65"/>
      <c r="DF1751" s="65"/>
      <c r="DG1751" s="65"/>
      <c r="DH1751" s="65"/>
      <c r="DI1751" s="65"/>
    </row>
    <row r="1752" spans="2:113" ht="16" thickBot="1">
      <c r="B1752" s="904" t="s">
        <v>1305</v>
      </c>
      <c r="C1752" s="905">
        <f t="shared" ref="C1752:N1752" si="176">1-SUM(C1747:C1751)</f>
        <v>0.1239274301852733</v>
      </c>
      <c r="D1752" s="905">
        <f t="shared" si="176"/>
        <v>0.24327451841446768</v>
      </c>
      <c r="E1752" s="905">
        <f t="shared" si="176"/>
        <v>1.9828859935801857E-2</v>
      </c>
      <c r="F1752" s="905">
        <f t="shared" si="176"/>
        <v>0.12770646065623703</v>
      </c>
      <c r="G1752" s="905">
        <f t="shared" si="176"/>
        <v>0.225619347728921</v>
      </c>
      <c r="H1752" s="905">
        <f t="shared" si="176"/>
        <v>0.16556888914625634</v>
      </c>
      <c r="I1752" s="905">
        <f t="shared" si="176"/>
        <v>4.1340993001726556E-2</v>
      </c>
      <c r="J1752" s="905">
        <f t="shared" si="176"/>
        <v>3.7439102009587333E-2</v>
      </c>
      <c r="K1752" s="905">
        <f t="shared" si="176"/>
        <v>0.15889187279452088</v>
      </c>
      <c r="L1752" s="905">
        <f t="shared" si="176"/>
        <v>0.10035026023479454</v>
      </c>
      <c r="M1752" s="905">
        <f t="shared" si="176"/>
        <v>0.33796347892026002</v>
      </c>
      <c r="N1752" s="905">
        <f t="shared" si="176"/>
        <v>0.1239274301852733</v>
      </c>
      <c r="S1752" s="65"/>
      <c r="T1752" s="65"/>
      <c r="U1752" s="65"/>
      <c r="V1752" s="65"/>
      <c r="W1752" s="65"/>
      <c r="X1752" s="65"/>
      <c r="Y1752" s="65"/>
      <c r="Z1752" s="65"/>
      <c r="AA1752" s="65"/>
      <c r="AB1752" s="65"/>
      <c r="AC1752" s="65"/>
      <c r="AD1752" s="65"/>
      <c r="AE1752" s="65"/>
      <c r="AF1752" s="65"/>
      <c r="AG1752" s="65"/>
      <c r="AH1752" s="65"/>
      <c r="AI1752" s="65"/>
      <c r="AJ1752" s="65"/>
      <c r="AK1752" s="65"/>
      <c r="AL1752" s="65"/>
      <c r="AM1752" s="65"/>
      <c r="AN1752" s="65"/>
      <c r="AO1752" s="65"/>
      <c r="AP1752" s="65"/>
      <c r="AQ1752" s="65"/>
      <c r="AR1752" s="65"/>
      <c r="AS1752" s="65"/>
      <c r="AT1752" s="65"/>
      <c r="AU1752" s="65"/>
      <c r="AV1752" s="65"/>
      <c r="AW1752" s="65"/>
      <c r="AX1752" s="65"/>
      <c r="AY1752" s="65"/>
      <c r="AZ1752" s="65"/>
      <c r="BA1752" s="65"/>
      <c r="BB1752" s="65"/>
      <c r="BC1752" s="65"/>
      <c r="BD1752" s="65"/>
      <c r="BE1752" s="65"/>
      <c r="BF1752" s="65"/>
      <c r="BG1752" s="65"/>
      <c r="BH1752" s="65"/>
      <c r="BI1752" s="65"/>
      <c r="BJ1752" s="65"/>
      <c r="BK1752" s="65"/>
      <c r="BL1752" s="65"/>
      <c r="BM1752" s="65"/>
      <c r="BN1752" s="65"/>
      <c r="BO1752" s="65"/>
      <c r="BP1752" s="65"/>
      <c r="BQ1752" s="65"/>
      <c r="BR1752" s="65"/>
      <c r="BS1752" s="65"/>
      <c r="BT1752" s="65"/>
      <c r="BU1752" s="65"/>
      <c r="BV1752" s="65"/>
      <c r="BW1752" s="65"/>
      <c r="BX1752" s="65"/>
      <c r="BY1752" s="65"/>
      <c r="BZ1752" s="65"/>
      <c r="CA1752" s="65"/>
      <c r="CB1752" s="65"/>
      <c r="CC1752" s="65"/>
      <c r="CD1752" s="65"/>
      <c r="CE1752" s="65"/>
      <c r="CF1752" s="65"/>
      <c r="CG1752" s="65"/>
      <c r="CH1752" s="65"/>
      <c r="CI1752" s="65"/>
      <c r="CJ1752" s="65"/>
      <c r="CK1752" s="65"/>
      <c r="CL1752" s="65"/>
      <c r="CM1752" s="65"/>
      <c r="CN1752" s="65"/>
      <c r="CO1752" s="65"/>
      <c r="CP1752" s="65"/>
      <c r="CQ1752" s="65"/>
      <c r="CR1752" s="65"/>
      <c r="CS1752" s="65"/>
      <c r="CT1752" s="65"/>
      <c r="CU1752" s="65"/>
      <c r="CV1752" s="65"/>
      <c r="CW1752" s="65"/>
      <c r="CX1752" s="65"/>
      <c r="CY1752" s="65"/>
      <c r="CZ1752" s="65"/>
      <c r="DA1752" s="65"/>
      <c r="DB1752" s="65"/>
      <c r="DC1752" s="65"/>
      <c r="DD1752" s="65"/>
      <c r="DE1752" s="65"/>
      <c r="DF1752" s="65"/>
      <c r="DG1752" s="65"/>
      <c r="DH1752" s="65"/>
      <c r="DI1752" s="65"/>
    </row>
    <row r="1753" spans="2:113">
      <c r="B1753" s="906"/>
      <c r="C1753" s="907"/>
      <c r="D1753" s="908"/>
      <c r="E1753" s="909"/>
      <c r="F1753" s="909"/>
      <c r="G1753" s="908"/>
      <c r="H1753" s="910"/>
      <c r="I1753" s="76"/>
      <c r="J1753" s="76"/>
      <c r="K1753" s="76"/>
      <c r="L1753" s="76"/>
      <c r="M1753" s="76"/>
      <c r="N1753" s="76"/>
      <c r="O1753" s="76"/>
      <c r="P1753" s="76"/>
      <c r="Q1753" s="76"/>
      <c r="R1753" s="76"/>
      <c r="S1753" s="65"/>
      <c r="T1753" s="65"/>
      <c r="U1753" s="65"/>
      <c r="V1753" s="65"/>
      <c r="W1753" s="65"/>
      <c r="X1753" s="65"/>
      <c r="Y1753" s="65"/>
      <c r="Z1753" s="65"/>
      <c r="AA1753" s="65"/>
      <c r="AB1753" s="65"/>
      <c r="AC1753" s="65"/>
      <c r="AD1753" s="65"/>
      <c r="AE1753" s="65"/>
      <c r="AF1753" s="65"/>
      <c r="AG1753" s="65"/>
      <c r="AH1753" s="65"/>
      <c r="AI1753" s="65"/>
      <c r="AJ1753" s="65"/>
      <c r="AK1753" s="65"/>
      <c r="AL1753" s="65"/>
      <c r="AM1753" s="65"/>
      <c r="AN1753" s="65"/>
      <c r="AO1753" s="65"/>
      <c r="AP1753" s="65"/>
      <c r="AQ1753" s="65"/>
      <c r="AR1753" s="65"/>
      <c r="AS1753" s="65"/>
      <c r="AT1753" s="65"/>
      <c r="AU1753" s="65"/>
      <c r="AV1753" s="65"/>
      <c r="AW1753" s="65"/>
      <c r="AX1753" s="65"/>
      <c r="AY1753" s="65"/>
      <c r="AZ1753" s="65"/>
      <c r="BA1753" s="65"/>
      <c r="BB1753" s="65"/>
      <c r="BC1753" s="65"/>
      <c r="BD1753" s="65"/>
      <c r="BE1753" s="65"/>
      <c r="BF1753" s="65"/>
      <c r="BG1753" s="65"/>
      <c r="BH1753" s="65"/>
      <c r="BI1753" s="65"/>
      <c r="BJ1753" s="65"/>
      <c r="BK1753" s="65"/>
      <c r="BL1753" s="65"/>
      <c r="BM1753" s="65"/>
      <c r="BN1753" s="65"/>
      <c r="BO1753" s="65"/>
      <c r="BP1753" s="65"/>
      <c r="BQ1753" s="65"/>
      <c r="BR1753" s="65"/>
      <c r="BS1753" s="65"/>
      <c r="BT1753" s="65"/>
      <c r="BU1753" s="65"/>
      <c r="BV1753" s="65"/>
      <c r="BW1753" s="65"/>
      <c r="BX1753" s="65"/>
      <c r="BY1753" s="65"/>
      <c r="BZ1753" s="65"/>
      <c r="CA1753" s="65"/>
      <c r="CB1753" s="65"/>
      <c r="CC1753" s="65"/>
      <c r="CD1753" s="65"/>
      <c r="CE1753" s="65"/>
      <c r="CF1753" s="65"/>
      <c r="CG1753" s="65"/>
      <c r="CH1753" s="65"/>
      <c r="CI1753" s="65"/>
      <c r="CJ1753" s="65"/>
      <c r="CK1753" s="65"/>
      <c r="CL1753" s="65"/>
      <c r="CM1753" s="65"/>
      <c r="CN1753" s="65"/>
      <c r="CO1753" s="65"/>
      <c r="CP1753" s="65"/>
      <c r="CQ1753" s="65"/>
      <c r="CR1753" s="65"/>
      <c r="CS1753" s="65"/>
      <c r="CT1753" s="65"/>
      <c r="CU1753" s="65"/>
      <c r="CV1753" s="65"/>
      <c r="CW1753" s="65"/>
      <c r="CX1753" s="65"/>
      <c r="CY1753" s="65"/>
      <c r="CZ1753" s="65"/>
      <c r="DA1753" s="65"/>
      <c r="DB1753" s="65"/>
      <c r="DC1753" s="65"/>
      <c r="DD1753" s="65"/>
      <c r="DE1753" s="65"/>
      <c r="DF1753" s="65"/>
      <c r="DG1753" s="65"/>
      <c r="DH1753" s="65"/>
      <c r="DI1753" s="65"/>
    </row>
    <row r="1754" spans="2:113" ht="16" thickBot="1">
      <c r="B1754" s="889" t="s">
        <v>1306</v>
      </c>
      <c r="C1754" s="911"/>
      <c r="D1754" s="912"/>
      <c r="E1754" s="913"/>
      <c r="F1754" s="914"/>
      <c r="G1754" s="915"/>
      <c r="H1754" s="910"/>
      <c r="I1754" s="910"/>
      <c r="J1754" s="910"/>
      <c r="K1754" s="910"/>
      <c r="L1754" s="910"/>
      <c r="M1754" s="76"/>
      <c r="N1754" s="76"/>
      <c r="O1754" s="76"/>
      <c r="P1754" s="76"/>
      <c r="Q1754" s="76"/>
      <c r="R1754" s="76"/>
      <c r="S1754" s="65"/>
      <c r="T1754" s="65"/>
      <c r="U1754" s="65"/>
      <c r="V1754" s="65"/>
      <c r="W1754" s="65"/>
      <c r="X1754" s="65"/>
      <c r="Y1754" s="65"/>
      <c r="Z1754" s="65"/>
      <c r="AA1754" s="65"/>
      <c r="AB1754" s="65"/>
      <c r="AC1754" s="65"/>
      <c r="AD1754" s="65"/>
      <c r="AE1754" s="65"/>
      <c r="AF1754" s="65"/>
      <c r="AG1754" s="65"/>
      <c r="AH1754" s="65"/>
      <c r="AI1754" s="65"/>
      <c r="AJ1754" s="65"/>
      <c r="AK1754" s="65"/>
      <c r="AL1754" s="65"/>
      <c r="AM1754" s="65"/>
      <c r="AN1754" s="65"/>
      <c r="AO1754" s="65"/>
      <c r="AP1754" s="65"/>
      <c r="AQ1754" s="65"/>
      <c r="AR1754" s="65"/>
      <c r="AS1754" s="65"/>
      <c r="AT1754" s="65"/>
      <c r="AU1754" s="65"/>
      <c r="AV1754" s="65"/>
      <c r="AW1754" s="65"/>
      <c r="AX1754" s="65"/>
      <c r="AY1754" s="65"/>
      <c r="AZ1754" s="65"/>
      <c r="BA1754" s="65"/>
      <c r="BB1754" s="65"/>
      <c r="BC1754" s="65"/>
      <c r="BD1754" s="65"/>
      <c r="BE1754" s="65"/>
      <c r="BF1754" s="65"/>
      <c r="BG1754" s="65"/>
      <c r="BH1754" s="65"/>
      <c r="BI1754" s="65"/>
      <c r="BJ1754" s="65"/>
      <c r="BK1754" s="65"/>
      <c r="BL1754" s="65"/>
      <c r="BM1754" s="65"/>
      <c r="BN1754" s="65"/>
      <c r="BO1754" s="65"/>
      <c r="BP1754" s="65"/>
      <c r="BQ1754" s="65"/>
      <c r="BR1754" s="65"/>
      <c r="BS1754" s="65"/>
      <c r="BT1754" s="65"/>
      <c r="BU1754" s="65"/>
      <c r="BV1754" s="65"/>
      <c r="BW1754" s="65"/>
      <c r="BX1754" s="65"/>
      <c r="BY1754" s="65"/>
      <c r="BZ1754" s="65"/>
      <c r="CA1754" s="65"/>
      <c r="CB1754" s="65"/>
      <c r="CC1754" s="65"/>
      <c r="CD1754" s="65"/>
      <c r="CE1754" s="65"/>
      <c r="CF1754" s="65"/>
      <c r="CG1754" s="65"/>
      <c r="CH1754" s="65"/>
      <c r="CI1754" s="65"/>
      <c r="CJ1754" s="65"/>
      <c r="CK1754" s="65"/>
      <c r="CL1754" s="65"/>
      <c r="CM1754" s="65"/>
      <c r="CN1754" s="65"/>
      <c r="CO1754" s="65"/>
      <c r="CP1754" s="65"/>
      <c r="CQ1754" s="65"/>
      <c r="CR1754" s="65"/>
      <c r="CS1754" s="65"/>
      <c r="CT1754" s="65"/>
      <c r="CU1754" s="65"/>
      <c r="CV1754" s="65"/>
      <c r="CW1754" s="65"/>
      <c r="CX1754" s="65"/>
      <c r="CY1754" s="65"/>
      <c r="CZ1754" s="65"/>
      <c r="DA1754" s="65"/>
      <c r="DB1754" s="65"/>
      <c r="DC1754" s="65"/>
      <c r="DD1754" s="65"/>
      <c r="DE1754" s="65"/>
      <c r="DF1754" s="65"/>
      <c r="DG1754" s="65"/>
      <c r="DH1754" s="65"/>
      <c r="DI1754" s="65"/>
    </row>
    <row r="1755" spans="2:113">
      <c r="B1755" s="916"/>
      <c r="C1755" s="917" t="s">
        <v>1307</v>
      </c>
      <c r="D1755" s="132"/>
      <c r="E1755" s="918"/>
      <c r="F1755" s="918"/>
      <c r="G1755" s="918"/>
      <c r="H1755" s="918"/>
      <c r="I1755" s="910"/>
      <c r="J1755" s="910"/>
      <c r="K1755" s="910"/>
      <c r="L1755" s="76"/>
      <c r="M1755" s="76"/>
      <c r="N1755" s="76"/>
      <c r="O1755" s="76"/>
      <c r="P1755" s="76"/>
      <c r="Q1755" s="76"/>
      <c r="R1755" s="76"/>
      <c r="S1755" s="65"/>
      <c r="T1755" s="65"/>
      <c r="U1755" s="65"/>
      <c r="V1755" s="65"/>
      <c r="W1755" s="65"/>
      <c r="X1755" s="65"/>
      <c r="Y1755" s="65"/>
      <c r="Z1755" s="65"/>
      <c r="AA1755" s="65"/>
      <c r="AB1755" s="65"/>
      <c r="AC1755" s="65"/>
      <c r="AD1755" s="65"/>
      <c r="AE1755" s="65"/>
      <c r="AF1755" s="65"/>
      <c r="AG1755" s="65"/>
      <c r="AH1755" s="65"/>
      <c r="AI1755" s="65"/>
      <c r="AJ1755" s="65"/>
      <c r="AK1755" s="65"/>
      <c r="AL1755" s="65"/>
      <c r="AM1755" s="65"/>
      <c r="AN1755" s="65"/>
      <c r="AO1755" s="65"/>
      <c r="AP1755" s="65"/>
      <c r="AQ1755" s="65"/>
      <c r="AR1755" s="65"/>
      <c r="AS1755" s="65"/>
      <c r="AT1755" s="65"/>
      <c r="AU1755" s="65"/>
      <c r="AV1755" s="65"/>
      <c r="AW1755" s="65"/>
      <c r="AX1755" s="65"/>
      <c r="AY1755" s="65"/>
      <c r="AZ1755" s="65"/>
      <c r="BA1755" s="65"/>
      <c r="BB1755" s="65"/>
      <c r="BC1755" s="65"/>
      <c r="BD1755" s="65"/>
      <c r="BE1755" s="65"/>
      <c r="BF1755" s="65"/>
      <c r="BG1755" s="65"/>
      <c r="BH1755" s="65"/>
      <c r="BI1755" s="65"/>
      <c r="BJ1755" s="65"/>
      <c r="BK1755" s="65"/>
      <c r="BL1755" s="65"/>
      <c r="BM1755" s="65"/>
      <c r="BN1755" s="65"/>
      <c r="BO1755" s="65"/>
      <c r="BP1755" s="65"/>
      <c r="BQ1755" s="65"/>
      <c r="BR1755" s="65"/>
      <c r="BS1755" s="65"/>
      <c r="BT1755" s="65"/>
      <c r="BU1755" s="65"/>
      <c r="BV1755" s="65"/>
      <c r="BW1755" s="65"/>
      <c r="BX1755" s="65"/>
      <c r="BY1755" s="65"/>
      <c r="BZ1755" s="65"/>
      <c r="CA1755" s="65"/>
      <c r="CB1755" s="65"/>
      <c r="CC1755" s="65"/>
      <c r="CD1755" s="65"/>
      <c r="CE1755" s="65"/>
      <c r="CF1755" s="65"/>
      <c r="CG1755" s="65"/>
      <c r="CH1755" s="65"/>
      <c r="CI1755" s="65"/>
      <c r="CJ1755" s="65"/>
      <c r="CK1755" s="65"/>
      <c r="CL1755" s="65"/>
      <c r="CM1755" s="65"/>
      <c r="CN1755" s="65"/>
      <c r="CO1755" s="65"/>
      <c r="CP1755" s="65"/>
      <c r="CQ1755" s="65"/>
      <c r="CR1755" s="65"/>
      <c r="CS1755" s="65"/>
      <c r="CT1755" s="65"/>
      <c r="CU1755" s="65"/>
      <c r="CV1755" s="65"/>
      <c r="CW1755" s="65"/>
      <c r="CX1755" s="65"/>
      <c r="CY1755" s="65"/>
      <c r="CZ1755" s="65"/>
      <c r="DA1755" s="65"/>
      <c r="DB1755" s="65"/>
      <c r="DC1755" s="65"/>
      <c r="DD1755" s="65"/>
      <c r="DE1755" s="65"/>
      <c r="DF1755" s="65"/>
      <c r="DG1755" s="65"/>
      <c r="DH1755" s="65"/>
      <c r="DI1755" s="65"/>
    </row>
    <row r="1756" spans="2:113">
      <c r="B1756" s="919" t="s">
        <v>1302</v>
      </c>
      <c r="C1756" s="899">
        <f>INDEX($C$1747:$N$1752,1,[2]Inputs!$D$85)</f>
        <v>6.3648495040812183E-3</v>
      </c>
      <c r="E1756" s="918"/>
      <c r="F1756" s="918"/>
      <c r="G1756" s="918"/>
      <c r="H1756" s="918"/>
      <c r="I1756" s="910"/>
      <c r="J1756" s="910"/>
      <c r="K1756" s="910"/>
      <c r="L1756" s="76"/>
      <c r="M1756" s="76"/>
      <c r="N1756" s="76"/>
      <c r="O1756" s="76"/>
      <c r="P1756" s="76"/>
      <c r="Q1756" s="76"/>
      <c r="R1756" s="76"/>
      <c r="S1756" s="65"/>
      <c r="T1756" s="65"/>
      <c r="U1756" s="65"/>
      <c r="V1756" s="65"/>
      <c r="W1756" s="65"/>
      <c r="X1756" s="65"/>
      <c r="Y1756" s="65"/>
      <c r="Z1756" s="65"/>
      <c r="AA1756" s="65"/>
      <c r="AB1756" s="65"/>
      <c r="AC1756" s="65"/>
      <c r="AD1756" s="65"/>
      <c r="AE1756" s="65"/>
      <c r="AF1756" s="65"/>
      <c r="AG1756" s="65"/>
      <c r="AH1756" s="65"/>
      <c r="AI1756" s="65"/>
      <c r="AJ1756" s="65"/>
      <c r="AK1756" s="65"/>
      <c r="AL1756" s="65"/>
      <c r="AM1756" s="65"/>
      <c r="AN1756" s="65"/>
      <c r="AO1756" s="65"/>
      <c r="AP1756" s="65"/>
      <c r="AQ1756" s="65"/>
      <c r="AR1756" s="65"/>
      <c r="AS1756" s="65"/>
      <c r="AT1756" s="65"/>
      <c r="AU1756" s="65"/>
      <c r="AV1756" s="65"/>
      <c r="AW1756" s="65"/>
      <c r="AX1756" s="65"/>
      <c r="AY1756" s="65"/>
      <c r="AZ1756" s="65"/>
      <c r="BA1756" s="65"/>
      <c r="BB1756" s="65"/>
      <c r="BC1756" s="65"/>
      <c r="BD1756" s="65"/>
      <c r="BE1756" s="65"/>
      <c r="BF1756" s="65"/>
      <c r="BG1756" s="65"/>
      <c r="BH1756" s="65"/>
      <c r="BI1756" s="65"/>
      <c r="BJ1756" s="65"/>
      <c r="BK1756" s="65"/>
      <c r="BL1756" s="65"/>
      <c r="BM1756" s="65"/>
      <c r="BN1756" s="65"/>
      <c r="BO1756" s="65"/>
      <c r="BP1756" s="65"/>
      <c r="BQ1756" s="65"/>
      <c r="BR1756" s="65"/>
      <c r="BS1756" s="65"/>
      <c r="BT1756" s="65"/>
      <c r="BU1756" s="65"/>
      <c r="BV1756" s="65"/>
      <c r="BW1756" s="65"/>
      <c r="BX1756" s="65"/>
      <c r="BY1756" s="65"/>
      <c r="BZ1756" s="65"/>
      <c r="CA1756" s="65"/>
      <c r="CB1756" s="65"/>
      <c r="CC1756" s="65"/>
      <c r="CD1756" s="65"/>
      <c r="CE1756" s="65"/>
      <c r="CF1756" s="65"/>
      <c r="CG1756" s="65"/>
      <c r="CH1756" s="65"/>
      <c r="CI1756" s="65"/>
      <c r="CJ1756" s="65"/>
      <c r="CK1756" s="65"/>
      <c r="CL1756" s="65"/>
      <c r="CM1756" s="65"/>
      <c r="CN1756" s="65"/>
      <c r="CO1756" s="65"/>
      <c r="CP1756" s="65"/>
      <c r="CQ1756" s="65"/>
      <c r="CR1756" s="65"/>
      <c r="CS1756" s="65"/>
      <c r="CT1756" s="65"/>
      <c r="CU1756" s="65"/>
      <c r="CV1756" s="65"/>
      <c r="CW1756" s="65"/>
      <c r="CX1756" s="65"/>
      <c r="CY1756" s="65"/>
      <c r="CZ1756" s="65"/>
      <c r="DA1756" s="65"/>
      <c r="DB1756" s="65"/>
      <c r="DC1756" s="65"/>
      <c r="DD1756" s="65"/>
      <c r="DE1756" s="65"/>
      <c r="DF1756" s="65"/>
      <c r="DG1756" s="65"/>
      <c r="DH1756" s="65"/>
      <c r="DI1756" s="65"/>
    </row>
    <row r="1757" spans="2:113">
      <c r="B1757" s="919" t="s">
        <v>278</v>
      </c>
      <c r="C1757" s="899">
        <f>INDEX($C$1747:$N$1752,2,[2]Inputs!$D$85)</f>
        <v>0.26176035277929866</v>
      </c>
      <c r="E1757" s="920"/>
      <c r="F1757" s="920"/>
      <c r="G1757" s="920"/>
      <c r="H1757" s="920"/>
      <c r="I1757" s="921"/>
      <c r="J1757" s="921"/>
      <c r="K1757" s="921"/>
      <c r="L1757" s="65"/>
      <c r="M1757" s="65"/>
      <c r="N1757" s="65"/>
      <c r="O1757" s="65"/>
      <c r="P1757" s="65"/>
      <c r="Q1757" s="65"/>
      <c r="R1757" s="65"/>
      <c r="S1757" s="65"/>
      <c r="T1757" s="65"/>
      <c r="U1757" s="65"/>
      <c r="V1757" s="65"/>
      <c r="W1757" s="65"/>
      <c r="X1757" s="65"/>
      <c r="Y1757" s="65"/>
      <c r="Z1757" s="65"/>
      <c r="AA1757" s="65"/>
      <c r="AB1757" s="65"/>
      <c r="AC1757" s="65"/>
      <c r="AD1757" s="65"/>
      <c r="AE1757" s="65"/>
      <c r="AF1757" s="65"/>
      <c r="AG1757" s="65"/>
      <c r="AH1757" s="65"/>
      <c r="AI1757" s="65"/>
      <c r="AJ1757" s="65"/>
      <c r="AK1757" s="65"/>
      <c r="AL1757" s="65"/>
      <c r="AM1757" s="65"/>
      <c r="AN1757" s="65"/>
      <c r="AO1757" s="65"/>
      <c r="AP1757" s="65"/>
      <c r="AQ1757" s="65"/>
      <c r="AR1757" s="65"/>
      <c r="AS1757" s="65"/>
      <c r="AT1757" s="65"/>
      <c r="AU1757" s="65"/>
      <c r="AV1757" s="65"/>
      <c r="AW1757" s="65"/>
      <c r="AX1757" s="65"/>
      <c r="AY1757" s="65"/>
      <c r="AZ1757" s="65"/>
      <c r="BA1757" s="65"/>
      <c r="BB1757" s="65"/>
      <c r="BC1757" s="65"/>
      <c r="BD1757" s="65"/>
      <c r="BE1757" s="65"/>
      <c r="BF1757" s="65"/>
      <c r="BG1757" s="65"/>
      <c r="BH1757" s="65"/>
      <c r="BI1757" s="65"/>
      <c r="BJ1757" s="65"/>
      <c r="BK1757" s="65"/>
      <c r="BL1757" s="65"/>
      <c r="BM1757" s="65"/>
      <c r="BN1757" s="65"/>
      <c r="BO1757" s="65"/>
      <c r="BP1757" s="65"/>
      <c r="BQ1757" s="65"/>
      <c r="BR1757" s="65"/>
      <c r="BS1757" s="65"/>
      <c r="BT1757" s="65"/>
      <c r="BU1757" s="65"/>
      <c r="BV1757" s="65"/>
      <c r="BW1757" s="65"/>
      <c r="BX1757" s="65"/>
      <c r="BY1757" s="65"/>
      <c r="BZ1757" s="65"/>
      <c r="CA1757" s="65"/>
      <c r="CB1757" s="65"/>
      <c r="CC1757" s="65"/>
      <c r="CD1757" s="65"/>
      <c r="CE1757" s="65"/>
      <c r="CF1757" s="65"/>
      <c r="CG1757" s="65"/>
      <c r="CH1757" s="65"/>
      <c r="CI1757" s="65"/>
      <c r="CJ1757" s="65"/>
      <c r="CK1757" s="65"/>
      <c r="CL1757" s="65"/>
      <c r="CM1757" s="65"/>
      <c r="CN1757" s="65"/>
      <c r="CO1757" s="65"/>
      <c r="CP1757" s="65"/>
      <c r="CQ1757" s="65"/>
      <c r="CR1757" s="65"/>
      <c r="CS1757" s="65"/>
      <c r="CT1757" s="65"/>
      <c r="CU1757" s="65"/>
      <c r="CV1757" s="65"/>
      <c r="CW1757" s="65"/>
      <c r="CX1757" s="65"/>
      <c r="CY1757" s="65"/>
      <c r="CZ1757" s="65"/>
      <c r="DA1757" s="65"/>
      <c r="DB1757" s="65"/>
      <c r="DC1757" s="65"/>
      <c r="DD1757" s="65"/>
      <c r="DE1757" s="65"/>
      <c r="DF1757" s="65"/>
      <c r="DG1757" s="65"/>
      <c r="DH1757" s="65"/>
      <c r="DI1757" s="65"/>
    </row>
    <row r="1758" spans="2:113">
      <c r="B1758" s="919" t="s">
        <v>277</v>
      </c>
      <c r="C1758" s="899">
        <f>INDEX($C$1747:$N$1752,3,[2]Inputs!$D$85)</f>
        <v>0.4063869220949865</v>
      </c>
      <c r="E1758" s="920"/>
      <c r="F1758" s="920"/>
      <c r="G1758" s="920"/>
      <c r="H1758" s="920"/>
      <c r="I1758" s="921"/>
      <c r="J1758" s="921"/>
      <c r="K1758" s="921"/>
      <c r="L1758" s="65"/>
      <c r="M1758" s="65"/>
      <c r="N1758" s="65"/>
      <c r="O1758" s="65"/>
      <c r="P1758" s="65"/>
      <c r="Q1758" s="65"/>
      <c r="R1758" s="65"/>
      <c r="S1758" s="65"/>
      <c r="T1758" s="65"/>
      <c r="U1758" s="65"/>
      <c r="V1758" s="65"/>
      <c r="W1758" s="65"/>
      <c r="X1758" s="65"/>
      <c r="Y1758" s="65"/>
      <c r="Z1758" s="65"/>
      <c r="AA1758" s="65"/>
      <c r="AB1758" s="65"/>
      <c r="AC1758" s="65"/>
      <c r="AD1758" s="65"/>
      <c r="AE1758" s="65"/>
      <c r="AF1758" s="65"/>
      <c r="AG1758" s="65"/>
      <c r="AH1758" s="65"/>
      <c r="AI1758" s="65"/>
      <c r="AJ1758" s="65"/>
      <c r="AK1758" s="65"/>
      <c r="AL1758" s="65"/>
      <c r="AM1758" s="65"/>
      <c r="AN1758" s="65"/>
      <c r="AO1758" s="65"/>
      <c r="AP1758" s="65"/>
      <c r="AQ1758" s="65"/>
      <c r="AR1758" s="65"/>
      <c r="AS1758" s="65"/>
      <c r="AT1758" s="65"/>
      <c r="AU1758" s="65"/>
      <c r="AV1758" s="65"/>
      <c r="AW1758" s="65"/>
      <c r="AX1758" s="65"/>
      <c r="AY1758" s="65"/>
      <c r="AZ1758" s="65"/>
      <c r="BA1758" s="65"/>
      <c r="BB1758" s="65"/>
      <c r="BC1758" s="65"/>
      <c r="BD1758" s="65"/>
      <c r="BE1758" s="65"/>
      <c r="BF1758" s="65"/>
      <c r="BG1758" s="65"/>
      <c r="BH1758" s="65"/>
      <c r="BI1758" s="65"/>
      <c r="BJ1758" s="65"/>
      <c r="BK1758" s="65"/>
      <c r="BL1758" s="65"/>
      <c r="BM1758" s="65"/>
      <c r="BN1758" s="65"/>
      <c r="BO1758" s="65"/>
      <c r="BP1758" s="65"/>
      <c r="BQ1758" s="65"/>
      <c r="BR1758" s="65"/>
      <c r="BS1758" s="65"/>
      <c r="BT1758" s="65"/>
      <c r="BU1758" s="65"/>
      <c r="BV1758" s="65"/>
      <c r="BW1758" s="65"/>
      <c r="BX1758" s="65"/>
      <c r="BY1758" s="65"/>
      <c r="BZ1758" s="65"/>
      <c r="CA1758" s="65"/>
      <c r="CB1758" s="65"/>
      <c r="CC1758" s="65"/>
      <c r="CD1758" s="65"/>
      <c r="CE1758" s="65"/>
      <c r="CF1758" s="65"/>
      <c r="CG1758" s="65"/>
      <c r="CH1758" s="65"/>
      <c r="CI1758" s="65"/>
      <c r="CJ1758" s="65"/>
      <c r="CK1758" s="65"/>
      <c r="CL1758" s="65"/>
      <c r="CM1758" s="65"/>
      <c r="CN1758" s="65"/>
      <c r="CO1758" s="65"/>
      <c r="CP1758" s="65"/>
      <c r="CQ1758" s="65"/>
      <c r="CR1758" s="65"/>
      <c r="CS1758" s="65"/>
      <c r="CT1758" s="65"/>
      <c r="CU1758" s="65"/>
      <c r="CV1758" s="65"/>
      <c r="CW1758" s="65"/>
      <c r="CX1758" s="65"/>
      <c r="CY1758" s="65"/>
      <c r="CZ1758" s="65"/>
      <c r="DA1758" s="65"/>
      <c r="DB1758" s="65"/>
      <c r="DC1758" s="65"/>
      <c r="DD1758" s="65"/>
      <c r="DE1758" s="65"/>
      <c r="DF1758" s="65"/>
      <c r="DG1758" s="65"/>
      <c r="DH1758" s="65"/>
      <c r="DI1758" s="65"/>
    </row>
    <row r="1759" spans="2:113">
      <c r="B1759" s="919" t="s">
        <v>1303</v>
      </c>
      <c r="C1759" s="899">
        <f>INDEX($C$1747:$N$1752,4,[2]Inputs!$D$85)</f>
        <v>0.19868988461610343</v>
      </c>
      <c r="E1759" s="920"/>
      <c r="F1759" s="920"/>
      <c r="G1759" s="920"/>
      <c r="H1759" s="920"/>
      <c r="I1759" s="921"/>
      <c r="J1759" s="921"/>
      <c r="K1759" s="921"/>
      <c r="L1759" s="65"/>
      <c r="M1759" s="65"/>
      <c r="N1759" s="65"/>
      <c r="O1759" s="65"/>
      <c r="P1759" s="65"/>
      <c r="Q1759" s="65"/>
      <c r="R1759" s="65"/>
      <c r="S1759" s="65"/>
      <c r="T1759" s="65"/>
      <c r="U1759" s="65"/>
      <c r="V1759" s="65"/>
      <c r="W1759" s="65"/>
      <c r="X1759" s="65"/>
      <c r="Y1759" s="65"/>
      <c r="Z1759" s="65"/>
      <c r="AA1759" s="65"/>
      <c r="AB1759" s="65"/>
      <c r="AC1759" s="65"/>
      <c r="AD1759" s="65"/>
      <c r="AE1759" s="65"/>
      <c r="AF1759" s="65"/>
      <c r="AG1759" s="65"/>
      <c r="AH1759" s="65"/>
      <c r="AI1759" s="65"/>
      <c r="AJ1759" s="65"/>
      <c r="AK1759" s="65"/>
      <c r="AL1759" s="65"/>
      <c r="AM1759" s="65"/>
      <c r="AN1759" s="65"/>
      <c r="AO1759" s="65"/>
      <c r="AP1759" s="65"/>
      <c r="AQ1759" s="65"/>
      <c r="AR1759" s="65"/>
      <c r="AS1759" s="65"/>
      <c r="AT1759" s="65"/>
      <c r="AU1759" s="65"/>
      <c r="AV1759" s="65"/>
      <c r="AW1759" s="65"/>
      <c r="AX1759" s="65"/>
      <c r="AY1759" s="65"/>
      <c r="AZ1759" s="65"/>
      <c r="BA1759" s="65"/>
      <c r="BB1759" s="65"/>
      <c r="BC1759" s="65"/>
      <c r="BD1759" s="65"/>
      <c r="BE1759" s="65"/>
      <c r="BF1759" s="65"/>
      <c r="BG1759" s="65"/>
      <c r="BH1759" s="65"/>
      <c r="BI1759" s="65"/>
      <c r="BJ1759" s="65"/>
      <c r="BK1759" s="65"/>
      <c r="BL1759" s="65"/>
      <c r="BM1759" s="65"/>
      <c r="BN1759" s="65"/>
      <c r="BO1759" s="65"/>
      <c r="BP1759" s="65"/>
      <c r="BQ1759" s="65"/>
      <c r="BR1759" s="65"/>
      <c r="BS1759" s="65"/>
      <c r="BT1759" s="65"/>
      <c r="BU1759" s="65"/>
      <c r="BV1759" s="65"/>
      <c r="BW1759" s="65"/>
      <c r="BX1759" s="65"/>
      <c r="BY1759" s="65"/>
      <c r="BZ1759" s="65"/>
      <c r="CA1759" s="65"/>
      <c r="CB1759" s="65"/>
      <c r="CC1759" s="65"/>
      <c r="CD1759" s="65"/>
      <c r="CE1759" s="65"/>
      <c r="CF1759" s="65"/>
      <c r="CG1759" s="65"/>
      <c r="CH1759" s="65"/>
      <c r="CI1759" s="65"/>
      <c r="CJ1759" s="65"/>
      <c r="CK1759" s="65"/>
      <c r="CL1759" s="65"/>
      <c r="CM1759" s="65"/>
      <c r="CN1759" s="65"/>
      <c r="CO1759" s="65"/>
      <c r="CP1759" s="65"/>
      <c r="CQ1759" s="65"/>
      <c r="CR1759" s="65"/>
      <c r="CS1759" s="65"/>
      <c r="CT1759" s="65"/>
      <c r="CU1759" s="65"/>
      <c r="CV1759" s="65"/>
      <c r="CW1759" s="65"/>
      <c r="CX1759" s="65"/>
      <c r="CY1759" s="65"/>
      <c r="CZ1759" s="65"/>
      <c r="DA1759" s="65"/>
      <c r="DB1759" s="65"/>
      <c r="DC1759" s="65"/>
      <c r="DD1759" s="65"/>
      <c r="DE1759" s="65"/>
      <c r="DF1759" s="65"/>
      <c r="DG1759" s="65"/>
      <c r="DH1759" s="65"/>
      <c r="DI1759" s="65"/>
    </row>
    <row r="1760" spans="2:113">
      <c r="B1760" s="919" t="s">
        <v>1304</v>
      </c>
      <c r="C1760" s="899">
        <f>INDEX($C$1747:$N$1752,5,[2]Inputs!$D$85)</f>
        <v>2.8705608202568597E-3</v>
      </c>
      <c r="E1760" s="920"/>
      <c r="F1760" s="920"/>
      <c r="G1760" s="920"/>
      <c r="H1760" s="920"/>
      <c r="I1760" s="921"/>
      <c r="J1760" s="921"/>
      <c r="K1760" s="921"/>
      <c r="L1760" s="65"/>
      <c r="M1760" s="65"/>
      <c r="N1760" s="65"/>
      <c r="O1760" s="65"/>
      <c r="P1760" s="65"/>
      <c r="Q1760" s="65"/>
      <c r="R1760" s="65"/>
      <c r="S1760" s="65"/>
      <c r="T1760" s="65"/>
      <c r="U1760" s="65"/>
      <c r="V1760" s="65"/>
      <c r="W1760" s="65"/>
      <c r="X1760" s="65"/>
      <c r="Y1760" s="65"/>
      <c r="Z1760" s="65"/>
      <c r="AA1760" s="65"/>
      <c r="AB1760" s="65"/>
      <c r="AC1760" s="65"/>
      <c r="AD1760" s="65"/>
      <c r="AE1760" s="65"/>
      <c r="AF1760" s="65"/>
      <c r="AG1760" s="65"/>
      <c r="AH1760" s="65"/>
      <c r="AI1760" s="65"/>
      <c r="AJ1760" s="65"/>
      <c r="AK1760" s="65"/>
      <c r="AL1760" s="65"/>
      <c r="AM1760" s="65"/>
      <c r="AN1760" s="65"/>
      <c r="AO1760" s="65"/>
      <c r="AP1760" s="65"/>
      <c r="AQ1760" s="65"/>
      <c r="AR1760" s="65"/>
      <c r="AS1760" s="65"/>
      <c r="AT1760" s="65"/>
      <c r="AU1760" s="65"/>
      <c r="AV1760" s="65"/>
      <c r="AW1760" s="65"/>
      <c r="AX1760" s="65"/>
      <c r="AY1760" s="65"/>
      <c r="AZ1760" s="65"/>
      <c r="BA1760" s="65"/>
      <c r="BB1760" s="65"/>
      <c r="BC1760" s="65"/>
      <c r="BD1760" s="65"/>
      <c r="BE1760" s="65"/>
      <c r="BF1760" s="65"/>
      <c r="BG1760" s="65"/>
      <c r="BH1760" s="65"/>
      <c r="BI1760" s="65"/>
      <c r="BJ1760" s="65"/>
      <c r="BK1760" s="65"/>
      <c r="BL1760" s="65"/>
      <c r="BM1760" s="65"/>
      <c r="BN1760" s="65"/>
      <c r="BO1760" s="65"/>
      <c r="BP1760" s="65"/>
      <c r="BQ1760" s="65"/>
      <c r="BR1760" s="65"/>
      <c r="BS1760" s="65"/>
      <c r="BT1760" s="65"/>
      <c r="BU1760" s="65"/>
      <c r="BV1760" s="65"/>
      <c r="BW1760" s="65"/>
      <c r="BX1760" s="65"/>
      <c r="BY1760" s="65"/>
      <c r="BZ1760" s="65"/>
      <c r="CA1760" s="65"/>
      <c r="CB1760" s="65"/>
      <c r="CC1760" s="65"/>
      <c r="CD1760" s="65"/>
      <c r="CE1760" s="65"/>
      <c r="CF1760" s="65"/>
      <c r="CG1760" s="65"/>
      <c r="CH1760" s="65"/>
      <c r="CI1760" s="65"/>
      <c r="CJ1760" s="65"/>
      <c r="CK1760" s="65"/>
      <c r="CL1760" s="65"/>
      <c r="CM1760" s="65"/>
      <c r="CN1760" s="65"/>
      <c r="CO1760" s="65"/>
      <c r="CP1760" s="65"/>
      <c r="CQ1760" s="65"/>
      <c r="CR1760" s="65"/>
      <c r="CS1760" s="65"/>
      <c r="CT1760" s="65"/>
      <c r="CU1760" s="65"/>
      <c r="CV1760" s="65"/>
      <c r="CW1760" s="65"/>
      <c r="CX1760" s="65"/>
      <c r="CY1760" s="65"/>
      <c r="CZ1760" s="65"/>
      <c r="DA1760" s="65"/>
      <c r="DB1760" s="65"/>
      <c r="DC1760" s="65"/>
      <c r="DD1760" s="65"/>
      <c r="DE1760" s="65"/>
      <c r="DF1760" s="65"/>
      <c r="DG1760" s="65"/>
      <c r="DH1760" s="65"/>
      <c r="DI1760" s="65"/>
    </row>
    <row r="1761" spans="1:113" ht="16" thickBot="1">
      <c r="B1761" s="904" t="s">
        <v>1305</v>
      </c>
      <c r="C1761" s="922">
        <f>INDEX($C$1747:$N$1752,6,[2]Inputs!$D$85)</f>
        <v>0.1239274301852733</v>
      </c>
      <c r="E1761" s="921"/>
      <c r="F1761" s="921"/>
      <c r="G1761" s="921"/>
      <c r="H1761" s="921"/>
      <c r="I1761" s="921"/>
      <c r="J1761" s="921"/>
      <c r="K1761" s="921"/>
      <c r="L1761" s="65"/>
      <c r="M1761" s="65"/>
      <c r="N1761" s="65"/>
      <c r="O1761" s="65"/>
      <c r="P1761" s="65"/>
      <c r="Q1761" s="65"/>
      <c r="R1761" s="65"/>
      <c r="S1761" s="65"/>
      <c r="T1761" s="65"/>
      <c r="U1761" s="65"/>
      <c r="V1761" s="65"/>
      <c r="W1761" s="65"/>
      <c r="X1761" s="65"/>
      <c r="Y1761" s="65"/>
      <c r="Z1761" s="65"/>
      <c r="AA1761" s="65"/>
      <c r="AB1761" s="65"/>
      <c r="AC1761" s="65"/>
      <c r="AD1761" s="65"/>
      <c r="AE1761" s="65"/>
      <c r="AF1761" s="65"/>
      <c r="AG1761" s="65"/>
      <c r="AH1761" s="65"/>
      <c r="AI1761" s="65"/>
      <c r="AJ1761" s="65"/>
      <c r="AK1761" s="65"/>
      <c r="AL1761" s="65"/>
      <c r="AM1761" s="65"/>
      <c r="AN1761" s="65"/>
      <c r="AO1761" s="65"/>
      <c r="AP1761" s="65"/>
      <c r="AQ1761" s="65"/>
      <c r="AR1761" s="65"/>
      <c r="AS1761" s="65"/>
      <c r="AT1761" s="65"/>
      <c r="AU1761" s="65"/>
      <c r="AV1761" s="65"/>
      <c r="AW1761" s="65"/>
      <c r="AX1761" s="65"/>
      <c r="AY1761" s="65"/>
      <c r="AZ1761" s="65"/>
      <c r="BA1761" s="65"/>
      <c r="BB1761" s="65"/>
      <c r="BC1761" s="65"/>
      <c r="BD1761" s="65"/>
      <c r="BE1761" s="65"/>
      <c r="BF1761" s="65"/>
      <c r="BG1761" s="65"/>
      <c r="BH1761" s="65"/>
      <c r="BI1761" s="65"/>
      <c r="BJ1761" s="65"/>
      <c r="BK1761" s="65"/>
      <c r="BL1761" s="65"/>
      <c r="BM1761" s="65"/>
      <c r="BN1761" s="65"/>
      <c r="BO1761" s="65"/>
      <c r="BP1761" s="65"/>
      <c r="BQ1761" s="65"/>
      <c r="BR1761" s="65"/>
      <c r="BS1761" s="65"/>
      <c r="BT1761" s="65"/>
      <c r="BU1761" s="65"/>
      <c r="BV1761" s="65"/>
      <c r="BW1761" s="65"/>
      <c r="BX1761" s="65"/>
      <c r="BY1761" s="65"/>
      <c r="BZ1761" s="65"/>
      <c r="CA1761" s="65"/>
      <c r="CB1761" s="65"/>
      <c r="CC1761" s="65"/>
      <c r="CD1761" s="65"/>
      <c r="CE1761" s="65"/>
      <c r="CF1761" s="65"/>
      <c r="CG1761" s="65"/>
      <c r="CH1761" s="65"/>
      <c r="CI1761" s="65"/>
      <c r="CJ1761" s="65"/>
      <c r="CK1761" s="65"/>
      <c r="CL1761" s="65"/>
      <c r="CM1761" s="65"/>
      <c r="CN1761" s="65"/>
      <c r="CO1761" s="65"/>
      <c r="CP1761" s="65"/>
      <c r="CQ1761" s="65"/>
      <c r="CR1761" s="65"/>
      <c r="CS1761" s="65"/>
      <c r="CT1761" s="65"/>
      <c r="CU1761" s="65"/>
      <c r="CV1761" s="65"/>
      <c r="CW1761" s="65"/>
      <c r="CX1761" s="65"/>
      <c r="CY1761" s="65"/>
      <c r="CZ1761" s="65"/>
      <c r="DA1761" s="65"/>
      <c r="DB1761" s="65"/>
      <c r="DC1761" s="65"/>
      <c r="DD1761" s="65"/>
      <c r="DE1761" s="65"/>
      <c r="DF1761" s="65"/>
      <c r="DG1761" s="65"/>
      <c r="DH1761" s="65"/>
      <c r="DI1761" s="65"/>
    </row>
    <row r="1762" spans="1:113">
      <c r="B1762" s="923"/>
      <c r="C1762" s="924"/>
      <c r="D1762" s="925"/>
      <c r="E1762" s="921"/>
      <c r="F1762" s="921"/>
      <c r="G1762" s="921"/>
      <c r="H1762" s="921"/>
      <c r="I1762" s="921"/>
      <c r="J1762" s="921"/>
      <c r="K1762" s="921"/>
      <c r="L1762" s="65"/>
      <c r="M1762" s="65"/>
      <c r="N1762" s="65"/>
      <c r="O1762" s="65"/>
      <c r="P1762" s="65"/>
      <c r="Q1762" s="65"/>
      <c r="R1762" s="65"/>
      <c r="S1762" s="65"/>
      <c r="T1762" s="65"/>
      <c r="U1762" s="65"/>
      <c r="V1762" s="65"/>
      <c r="W1762" s="65"/>
      <c r="X1762" s="65"/>
      <c r="Y1762" s="65"/>
      <c r="Z1762" s="65"/>
      <c r="AA1762" s="65"/>
      <c r="AB1762" s="65"/>
      <c r="AC1762" s="65"/>
      <c r="AD1762" s="65"/>
      <c r="AE1762" s="65"/>
      <c r="AF1762" s="65"/>
      <c r="AG1762" s="65"/>
      <c r="AH1762" s="65"/>
      <c r="AI1762" s="65"/>
      <c r="AJ1762" s="65"/>
      <c r="AK1762" s="65"/>
      <c r="AL1762" s="65"/>
      <c r="AM1762" s="65"/>
      <c r="AN1762" s="65"/>
      <c r="AO1762" s="65"/>
      <c r="AP1762" s="65"/>
      <c r="AQ1762" s="65"/>
      <c r="AR1762" s="65"/>
      <c r="AS1762" s="65"/>
      <c r="AT1762" s="65"/>
      <c r="AU1762" s="65"/>
      <c r="AV1762" s="65"/>
      <c r="AW1762" s="65"/>
      <c r="AX1762" s="65"/>
      <c r="AY1762" s="65"/>
      <c r="AZ1762" s="65"/>
      <c r="BA1762" s="65"/>
      <c r="BB1762" s="65"/>
      <c r="BC1762" s="65"/>
      <c r="BD1762" s="65"/>
      <c r="BE1762" s="65"/>
      <c r="BF1762" s="65"/>
      <c r="BG1762" s="65"/>
      <c r="BH1762" s="65"/>
      <c r="BI1762" s="65"/>
      <c r="BJ1762" s="65"/>
      <c r="BK1762" s="65"/>
      <c r="BL1762" s="65"/>
      <c r="BM1762" s="65"/>
      <c r="BN1762" s="65"/>
      <c r="BO1762" s="65"/>
      <c r="BP1762" s="65"/>
      <c r="BQ1762" s="65"/>
      <c r="BR1762" s="65"/>
      <c r="BS1762" s="65"/>
      <c r="BT1762" s="65"/>
      <c r="BU1762" s="65"/>
      <c r="BV1762" s="65"/>
      <c r="BW1762" s="65"/>
      <c r="BX1762" s="65"/>
      <c r="BY1762" s="65"/>
      <c r="BZ1762" s="65"/>
      <c r="CA1762" s="65"/>
      <c r="CB1762" s="65"/>
      <c r="CC1762" s="65"/>
      <c r="CD1762" s="65"/>
      <c r="CE1762" s="65"/>
      <c r="CF1762" s="65"/>
      <c r="CG1762" s="65"/>
      <c r="CH1762" s="65"/>
      <c r="CI1762" s="65"/>
      <c r="CJ1762" s="65"/>
      <c r="CK1762" s="65"/>
      <c r="CL1762" s="65"/>
      <c r="CM1762" s="65"/>
      <c r="CN1762" s="65"/>
      <c r="CO1762" s="65"/>
      <c r="CP1762" s="65"/>
      <c r="CQ1762" s="65"/>
      <c r="CR1762" s="65"/>
      <c r="CS1762" s="65"/>
      <c r="CT1762" s="65"/>
      <c r="CU1762" s="65"/>
      <c r="CV1762" s="65"/>
      <c r="CW1762" s="65"/>
      <c r="CX1762" s="65"/>
      <c r="CY1762" s="65"/>
      <c r="CZ1762" s="65"/>
      <c r="DA1762" s="65"/>
      <c r="DB1762" s="65"/>
      <c r="DC1762" s="65"/>
      <c r="DD1762" s="65"/>
      <c r="DE1762" s="65"/>
      <c r="DF1762" s="65"/>
      <c r="DG1762" s="65"/>
      <c r="DH1762" s="65"/>
      <c r="DI1762" s="65"/>
    </row>
    <row r="1763" spans="1:113" ht="16" thickBot="1">
      <c r="B1763" s="926" t="s">
        <v>1308</v>
      </c>
      <c r="C1763" s="927"/>
      <c r="D1763" s="927"/>
      <c r="E1763" s="927"/>
      <c r="F1763" s="927"/>
      <c r="G1763" s="927"/>
      <c r="H1763" s="215"/>
      <c r="I1763" s="215"/>
      <c r="J1763" s="215"/>
      <c r="K1763" s="215"/>
      <c r="L1763" s="928"/>
      <c r="M1763" s="928"/>
      <c r="N1763" s="928"/>
      <c r="O1763" s="76"/>
      <c r="P1763" s="76"/>
      <c r="Q1763" s="76"/>
      <c r="R1763" s="65"/>
      <c r="S1763" s="65"/>
      <c r="T1763" s="65"/>
      <c r="U1763" s="65"/>
      <c r="V1763" s="65"/>
      <c r="W1763" s="65"/>
      <c r="X1763" s="65"/>
      <c r="Y1763" s="65"/>
      <c r="Z1763" s="65"/>
      <c r="AA1763" s="65"/>
      <c r="AB1763" s="65"/>
      <c r="AC1763" s="65"/>
      <c r="AD1763" s="65"/>
      <c r="AE1763" s="65"/>
      <c r="AF1763" s="65"/>
      <c r="AG1763" s="65"/>
      <c r="AH1763" s="65"/>
      <c r="AI1763" s="65"/>
      <c r="AJ1763" s="65"/>
      <c r="AK1763" s="65"/>
      <c r="AL1763" s="65"/>
      <c r="AM1763" s="65"/>
      <c r="AN1763" s="65"/>
      <c r="AO1763" s="65"/>
      <c r="AP1763" s="65"/>
      <c r="AQ1763" s="65"/>
      <c r="AR1763" s="65"/>
      <c r="AS1763" s="65"/>
      <c r="AT1763" s="65"/>
      <c r="AU1763" s="65"/>
      <c r="AV1763" s="65"/>
      <c r="AW1763" s="65"/>
      <c r="AX1763" s="65"/>
      <c r="AY1763" s="65"/>
      <c r="AZ1763" s="65"/>
      <c r="BA1763" s="65"/>
      <c r="BB1763" s="65"/>
      <c r="BC1763" s="65"/>
      <c r="BD1763" s="65"/>
      <c r="BE1763" s="65"/>
      <c r="BF1763" s="65"/>
      <c r="BG1763" s="65"/>
      <c r="BH1763" s="65"/>
      <c r="BI1763" s="65"/>
      <c r="BJ1763" s="65"/>
      <c r="BK1763" s="65"/>
      <c r="BL1763" s="65"/>
      <c r="BM1763" s="65"/>
      <c r="BN1763" s="65"/>
      <c r="BO1763" s="65"/>
      <c r="BP1763" s="65"/>
      <c r="BQ1763" s="65"/>
      <c r="BR1763" s="65"/>
      <c r="BS1763" s="65"/>
      <c r="BT1763" s="65"/>
      <c r="BU1763" s="65"/>
      <c r="BV1763" s="65"/>
      <c r="BW1763" s="65"/>
      <c r="BX1763" s="65"/>
      <c r="BY1763" s="65"/>
      <c r="BZ1763" s="65"/>
      <c r="CA1763" s="65"/>
      <c r="CB1763" s="65"/>
      <c r="CC1763" s="65"/>
      <c r="CD1763" s="65"/>
      <c r="CE1763" s="65"/>
      <c r="CF1763" s="65"/>
      <c r="CG1763" s="65"/>
      <c r="CH1763" s="65"/>
      <c r="CI1763" s="65"/>
      <c r="CJ1763" s="65"/>
      <c r="CK1763" s="65"/>
      <c r="CL1763" s="65"/>
      <c r="CM1763" s="65"/>
      <c r="CN1763" s="65"/>
      <c r="CO1763" s="65"/>
      <c r="CP1763" s="65"/>
      <c r="CQ1763" s="65"/>
      <c r="CR1763" s="65"/>
      <c r="CS1763" s="65"/>
      <c r="CT1763" s="65"/>
      <c r="CU1763" s="65"/>
      <c r="CV1763" s="65"/>
      <c r="CW1763" s="65"/>
      <c r="CX1763" s="65"/>
      <c r="CY1763" s="65"/>
      <c r="CZ1763" s="65"/>
      <c r="DA1763" s="65"/>
      <c r="DB1763" s="65"/>
      <c r="DC1763" s="65"/>
      <c r="DD1763" s="65"/>
      <c r="DE1763" s="65"/>
      <c r="DF1763" s="65"/>
      <c r="DG1763" s="65"/>
      <c r="DH1763" s="65"/>
      <c r="DI1763" s="65"/>
    </row>
    <row r="1764" spans="1:113" ht="60">
      <c r="A1764" s="76"/>
      <c r="B1764" s="929"/>
      <c r="C1764" s="930" t="s">
        <v>1290</v>
      </c>
      <c r="D1764" s="931" t="s">
        <v>1291</v>
      </c>
      <c r="E1764" s="930" t="s">
        <v>1292</v>
      </c>
      <c r="F1764" s="932" t="s">
        <v>1293</v>
      </c>
      <c r="G1764" s="932" t="s">
        <v>1294</v>
      </c>
      <c r="H1764" s="932" t="s">
        <v>1295</v>
      </c>
      <c r="I1764" s="932" t="s">
        <v>1296</v>
      </c>
      <c r="J1764" s="932" t="s">
        <v>1297</v>
      </c>
      <c r="K1764" s="932" t="s">
        <v>1298</v>
      </c>
      <c r="L1764" s="930" t="s">
        <v>1299</v>
      </c>
      <c r="M1764" s="930" t="s">
        <v>1300</v>
      </c>
      <c r="N1764" s="933" t="s">
        <v>1301</v>
      </c>
      <c r="R1764" s="76"/>
      <c r="S1764" s="76"/>
      <c r="T1764" s="76"/>
      <c r="U1764" s="76"/>
      <c r="V1764" s="76"/>
      <c r="W1764" s="65"/>
      <c r="X1764" s="65"/>
      <c r="Y1764" s="65"/>
      <c r="Z1764" s="65"/>
      <c r="AA1764" s="65"/>
      <c r="AB1764" s="65"/>
      <c r="AC1764" s="65"/>
      <c r="AD1764" s="65"/>
      <c r="AE1764" s="65"/>
      <c r="AF1764" s="65"/>
      <c r="AG1764" s="65"/>
      <c r="AH1764" s="65"/>
      <c r="AI1764" s="65"/>
      <c r="AJ1764" s="65"/>
      <c r="AK1764" s="65"/>
      <c r="AL1764" s="65"/>
      <c r="AM1764" s="65"/>
      <c r="AN1764" s="65"/>
      <c r="AO1764" s="65"/>
      <c r="AP1764" s="65"/>
      <c r="AQ1764" s="65"/>
      <c r="AR1764" s="65"/>
      <c r="AS1764" s="65"/>
      <c r="AT1764" s="65"/>
      <c r="AU1764" s="65"/>
      <c r="AV1764" s="65"/>
      <c r="AW1764" s="65"/>
      <c r="AX1764" s="65"/>
      <c r="AY1764" s="65"/>
      <c r="AZ1764" s="65"/>
      <c r="BA1764" s="65"/>
      <c r="BB1764" s="65"/>
      <c r="BC1764" s="65"/>
      <c r="BD1764" s="65"/>
      <c r="BE1764" s="65"/>
      <c r="BF1764" s="65"/>
      <c r="BG1764" s="65"/>
      <c r="BH1764" s="65"/>
      <c r="BI1764" s="65"/>
      <c r="BJ1764" s="65"/>
      <c r="BK1764" s="65"/>
      <c r="BL1764" s="65"/>
      <c r="BM1764" s="65"/>
      <c r="BN1764" s="65"/>
      <c r="BO1764" s="65"/>
      <c r="BP1764" s="65"/>
      <c r="BQ1764" s="65"/>
      <c r="BR1764" s="65"/>
      <c r="BS1764" s="65"/>
      <c r="BT1764" s="65"/>
      <c r="BU1764" s="65"/>
      <c r="BV1764" s="65"/>
      <c r="BW1764" s="65"/>
      <c r="BX1764" s="65"/>
      <c r="BY1764" s="65"/>
      <c r="BZ1764" s="65"/>
      <c r="CA1764" s="65"/>
      <c r="CB1764" s="65"/>
      <c r="CC1764" s="65"/>
      <c r="CD1764" s="65"/>
      <c r="CE1764" s="65"/>
      <c r="CF1764" s="65"/>
      <c r="CG1764" s="65"/>
      <c r="CH1764" s="65"/>
      <c r="CI1764" s="65"/>
      <c r="CJ1764" s="65"/>
      <c r="CK1764" s="65"/>
      <c r="CL1764" s="65"/>
      <c r="CM1764" s="65"/>
      <c r="CN1764" s="65"/>
      <c r="CO1764" s="65"/>
      <c r="CP1764" s="65"/>
      <c r="CQ1764" s="65"/>
      <c r="CR1764" s="65"/>
      <c r="CS1764" s="65"/>
      <c r="CT1764" s="65"/>
      <c r="CU1764" s="65"/>
      <c r="CV1764" s="65"/>
      <c r="CW1764" s="65"/>
      <c r="CX1764" s="65"/>
      <c r="CY1764" s="65"/>
      <c r="CZ1764" s="65"/>
      <c r="DA1764" s="65"/>
      <c r="DB1764" s="65"/>
      <c r="DC1764" s="65"/>
      <c r="DD1764" s="65"/>
      <c r="DE1764" s="65"/>
      <c r="DF1764" s="65"/>
      <c r="DG1764" s="65"/>
      <c r="DH1764" s="65"/>
      <c r="DI1764" s="65"/>
    </row>
    <row r="1765" spans="1:113">
      <c r="A1765" s="76"/>
      <c r="B1765" s="934" t="s">
        <v>1302</v>
      </c>
      <c r="C1765" s="935">
        <f>C1810</f>
        <v>5.3286402006271745E-3</v>
      </c>
      <c r="D1765" s="936">
        <f>S1810</f>
        <v>8.9992205943397602E-3</v>
      </c>
      <c r="E1765" s="937">
        <f>AI1810</f>
        <v>1.7585703474969794E-3</v>
      </c>
      <c r="F1765" s="938">
        <f>AY1810</f>
        <v>2.4658045974818139E-3</v>
      </c>
      <c r="G1765" s="938">
        <f>BO1810</f>
        <v>5.4779825714331033E-3</v>
      </c>
      <c r="H1765" s="938">
        <f>CE1810</f>
        <v>8.7368601174741285E-3</v>
      </c>
      <c r="I1765" s="938">
        <f>CU1810</f>
        <v>0</v>
      </c>
      <c r="J1765" s="938" t="e">
        <f>#REF!</f>
        <v>#REF!</v>
      </c>
      <c r="K1765" s="938" t="e">
        <f>#REF!</f>
        <v>#REF!</v>
      </c>
      <c r="L1765" s="937" t="e">
        <f>#REF!</f>
        <v>#REF!</v>
      </c>
      <c r="M1765" s="937" t="e">
        <f>#REF!</f>
        <v>#REF!</v>
      </c>
      <c r="N1765" s="939" t="e">
        <f>#REF!</f>
        <v>#REF!</v>
      </c>
      <c r="R1765" s="76"/>
      <c r="S1765" s="76"/>
      <c r="T1765" s="76"/>
      <c r="U1765" s="76"/>
      <c r="V1765" s="76"/>
      <c r="W1765" s="65"/>
      <c r="X1765" s="65"/>
      <c r="Y1765" s="65"/>
      <c r="Z1765" s="65"/>
      <c r="AA1765" s="65"/>
      <c r="AB1765" s="65"/>
      <c r="AC1765" s="65"/>
      <c r="AD1765" s="65"/>
      <c r="AE1765" s="65"/>
      <c r="AF1765" s="65"/>
      <c r="AG1765" s="65"/>
      <c r="AH1765" s="65"/>
      <c r="AI1765" s="65"/>
      <c r="AJ1765" s="65"/>
      <c r="AK1765" s="65"/>
      <c r="AL1765" s="65"/>
      <c r="AM1765" s="65"/>
      <c r="AN1765" s="65"/>
      <c r="AO1765" s="65"/>
      <c r="AP1765" s="65"/>
      <c r="AQ1765" s="65"/>
      <c r="AR1765" s="65"/>
      <c r="AS1765" s="65"/>
      <c r="AT1765" s="65"/>
      <c r="AU1765" s="65"/>
      <c r="AV1765" s="65"/>
      <c r="AW1765" s="65"/>
      <c r="AX1765" s="65"/>
      <c r="AY1765" s="65"/>
      <c r="AZ1765" s="65"/>
      <c r="BA1765" s="65"/>
      <c r="BB1765" s="65"/>
      <c r="BC1765" s="65"/>
      <c r="BD1765" s="65"/>
      <c r="BE1765" s="65"/>
      <c r="BF1765" s="65"/>
      <c r="BG1765" s="65"/>
      <c r="BH1765" s="65"/>
      <c r="BI1765" s="65"/>
      <c r="BJ1765" s="65"/>
      <c r="BK1765" s="65"/>
      <c r="BL1765" s="65"/>
      <c r="BM1765" s="65"/>
      <c r="BN1765" s="65"/>
      <c r="BO1765" s="65"/>
      <c r="BP1765" s="65"/>
      <c r="BQ1765" s="65"/>
      <c r="BR1765" s="65"/>
      <c r="BS1765" s="65"/>
      <c r="BT1765" s="65"/>
      <c r="BU1765" s="65"/>
      <c r="BV1765" s="65"/>
      <c r="BW1765" s="65"/>
      <c r="BX1765" s="65"/>
      <c r="BY1765" s="65"/>
      <c r="BZ1765" s="65"/>
      <c r="CA1765" s="65"/>
      <c r="CB1765" s="65"/>
      <c r="CC1765" s="65"/>
      <c r="CD1765" s="65"/>
      <c r="CE1765" s="65"/>
      <c r="CF1765" s="65"/>
      <c r="CG1765" s="65"/>
      <c r="CH1765" s="65"/>
      <c r="CI1765" s="65"/>
      <c r="CJ1765" s="65"/>
      <c r="CK1765" s="65"/>
      <c r="CL1765" s="65"/>
      <c r="CM1765" s="65"/>
      <c r="CN1765" s="65"/>
      <c r="CO1765" s="65"/>
      <c r="CP1765" s="65"/>
      <c r="CQ1765" s="65"/>
      <c r="CR1765" s="65"/>
      <c r="CS1765" s="65"/>
      <c r="CT1765" s="65"/>
      <c r="CU1765" s="65"/>
      <c r="CV1765" s="65"/>
      <c r="CW1765" s="65"/>
      <c r="CX1765" s="65"/>
      <c r="CY1765" s="65"/>
      <c r="CZ1765" s="65"/>
      <c r="DA1765" s="65"/>
      <c r="DB1765" s="65"/>
      <c r="DC1765" s="65"/>
      <c r="DD1765" s="65"/>
      <c r="DE1765" s="65"/>
      <c r="DF1765" s="65"/>
      <c r="DG1765" s="65"/>
      <c r="DH1765" s="65"/>
      <c r="DI1765" s="65"/>
    </row>
    <row r="1766" spans="1:113">
      <c r="A1766" s="76"/>
      <c r="B1766" s="934" t="s">
        <v>278</v>
      </c>
      <c r="C1766" s="935">
        <f>D1810</f>
        <v>0.17064530861772406</v>
      </c>
      <c r="D1766" s="936">
        <f>T1810</f>
        <v>0.26862310503977033</v>
      </c>
      <c r="E1766" s="937">
        <f>AJ1810</f>
        <v>0.40756147759022887</v>
      </c>
      <c r="F1766" s="938">
        <f>AZ1810</f>
        <v>0.28455171590346628</v>
      </c>
      <c r="G1766" s="938">
        <f>BP1810</f>
        <v>0.4763238181311108</v>
      </c>
      <c r="H1766" s="938">
        <f>CF1810</f>
        <v>0.22709226998425441</v>
      </c>
      <c r="I1766" s="938">
        <f>CV1810</f>
        <v>0</v>
      </c>
      <c r="J1766" s="938" t="e">
        <f>#REF!</f>
        <v>#REF!</v>
      </c>
      <c r="K1766" s="938" t="e">
        <f>#REF!</f>
        <v>#REF!</v>
      </c>
      <c r="L1766" s="937" t="e">
        <f>#REF!</f>
        <v>#REF!</v>
      </c>
      <c r="M1766" s="937" t="e">
        <f>#REF!</f>
        <v>#REF!</v>
      </c>
      <c r="N1766" s="939" t="e">
        <f>#REF!</f>
        <v>#REF!</v>
      </c>
      <c r="R1766" s="76"/>
      <c r="S1766" s="76"/>
      <c r="T1766" s="76"/>
      <c r="U1766" s="76"/>
      <c r="V1766" s="76"/>
      <c r="W1766" s="65"/>
      <c r="X1766" s="65"/>
      <c r="Y1766" s="65"/>
      <c r="Z1766" s="65"/>
      <c r="AA1766" s="65"/>
      <c r="AB1766" s="65"/>
      <c r="AC1766" s="65"/>
      <c r="AD1766" s="65"/>
      <c r="AE1766" s="65"/>
      <c r="AF1766" s="65"/>
      <c r="AG1766" s="65"/>
      <c r="AH1766" s="65"/>
      <c r="AI1766" s="65"/>
      <c r="AJ1766" s="65"/>
      <c r="AK1766" s="65"/>
      <c r="AL1766" s="65"/>
      <c r="AM1766" s="65"/>
      <c r="AN1766" s="65"/>
      <c r="AO1766" s="65"/>
      <c r="AP1766" s="65"/>
      <c r="AQ1766" s="65"/>
      <c r="AR1766" s="65"/>
      <c r="AS1766" s="65"/>
      <c r="AT1766" s="65"/>
      <c r="AU1766" s="65"/>
      <c r="AV1766" s="65"/>
      <c r="AW1766" s="65"/>
      <c r="AX1766" s="65"/>
      <c r="AY1766" s="65"/>
      <c r="AZ1766" s="65"/>
      <c r="BA1766" s="65"/>
      <c r="BB1766" s="65"/>
      <c r="BC1766" s="65"/>
      <c r="BD1766" s="65"/>
      <c r="BE1766" s="65"/>
      <c r="BF1766" s="65"/>
      <c r="BG1766" s="65"/>
      <c r="BH1766" s="65"/>
      <c r="BI1766" s="65"/>
      <c r="BJ1766" s="65"/>
      <c r="BK1766" s="65"/>
      <c r="BL1766" s="65"/>
      <c r="BM1766" s="65"/>
      <c r="BN1766" s="65"/>
      <c r="BO1766" s="65"/>
      <c r="BP1766" s="65"/>
      <c r="BQ1766" s="65"/>
      <c r="BR1766" s="65"/>
      <c r="BS1766" s="65"/>
      <c r="BT1766" s="65"/>
      <c r="BU1766" s="65"/>
      <c r="BV1766" s="65"/>
      <c r="BW1766" s="65"/>
      <c r="BX1766" s="65"/>
      <c r="BY1766" s="65"/>
      <c r="BZ1766" s="65"/>
      <c r="CA1766" s="65"/>
      <c r="CB1766" s="65"/>
      <c r="CC1766" s="65"/>
      <c r="CD1766" s="65"/>
      <c r="CE1766" s="65"/>
      <c r="CF1766" s="65"/>
      <c r="CG1766" s="65"/>
      <c r="CH1766" s="65"/>
      <c r="CI1766" s="65"/>
      <c r="CJ1766" s="65"/>
      <c r="CK1766" s="65"/>
      <c r="CL1766" s="65"/>
      <c r="CM1766" s="65"/>
      <c r="CN1766" s="65"/>
      <c r="CO1766" s="65"/>
      <c r="CP1766" s="65"/>
      <c r="CQ1766" s="65"/>
      <c r="CR1766" s="65"/>
      <c r="CS1766" s="65"/>
      <c r="CT1766" s="65"/>
      <c r="CU1766" s="65"/>
      <c r="CV1766" s="65"/>
      <c r="CW1766" s="65"/>
      <c r="CX1766" s="65"/>
      <c r="CY1766" s="65"/>
      <c r="CZ1766" s="65"/>
      <c r="DA1766" s="65"/>
      <c r="DB1766" s="65"/>
      <c r="DC1766" s="65"/>
      <c r="DD1766" s="65"/>
      <c r="DE1766" s="65"/>
      <c r="DF1766" s="65"/>
      <c r="DG1766" s="65"/>
      <c r="DH1766" s="65"/>
      <c r="DI1766" s="65"/>
    </row>
    <row r="1767" spans="1:113">
      <c r="A1767" s="76"/>
      <c r="B1767" s="934" t="s">
        <v>277</v>
      </c>
      <c r="C1767" s="935">
        <f>E1810</f>
        <v>0.5293512464430713</v>
      </c>
      <c r="D1767" s="936">
        <f>U1810</f>
        <v>0.59774386679082614</v>
      </c>
      <c r="E1767" s="937">
        <f>AK1810</f>
        <v>0.37681718774866785</v>
      </c>
      <c r="F1767" s="938">
        <f>BA1810</f>
        <v>0.31169405451656879</v>
      </c>
      <c r="G1767" s="938">
        <f>BQ1810</f>
        <v>7.6464784625229321E-2</v>
      </c>
      <c r="H1767" s="938">
        <f>CG1810</f>
        <v>0.46047220013162315</v>
      </c>
      <c r="I1767" s="938">
        <f>CW1810</f>
        <v>0</v>
      </c>
      <c r="J1767" s="938" t="e">
        <f>#REF!</f>
        <v>#REF!</v>
      </c>
      <c r="K1767" s="938" t="e">
        <f>#REF!</f>
        <v>#REF!</v>
      </c>
      <c r="L1767" s="937" t="e">
        <f>#REF!</f>
        <v>#REF!</v>
      </c>
      <c r="M1767" s="937" t="e">
        <f>#REF!</f>
        <v>#REF!</v>
      </c>
      <c r="N1767" s="939" t="e">
        <f>#REF!</f>
        <v>#REF!</v>
      </c>
      <c r="R1767" s="76"/>
      <c r="S1767" s="76"/>
      <c r="T1767" s="76"/>
      <c r="U1767" s="76"/>
      <c r="V1767" s="76"/>
      <c r="W1767" s="65"/>
      <c r="X1767" s="65"/>
      <c r="Y1767" s="65"/>
      <c r="Z1767" s="65"/>
      <c r="AA1767" s="65"/>
      <c r="AB1767" s="65"/>
      <c r="AC1767" s="65"/>
      <c r="AD1767" s="65"/>
      <c r="AE1767" s="65"/>
      <c r="AF1767" s="65"/>
      <c r="AG1767" s="65"/>
      <c r="AH1767" s="65"/>
      <c r="AI1767" s="65"/>
      <c r="AJ1767" s="65"/>
      <c r="AK1767" s="65"/>
      <c r="AL1767" s="65"/>
      <c r="AM1767" s="65"/>
      <c r="AN1767" s="65"/>
      <c r="AO1767" s="65"/>
      <c r="AP1767" s="65"/>
      <c r="AQ1767" s="65"/>
      <c r="AR1767" s="65"/>
      <c r="AS1767" s="65"/>
      <c r="AT1767" s="65"/>
      <c r="AU1767" s="65"/>
      <c r="AV1767" s="65"/>
      <c r="AW1767" s="65"/>
      <c r="AX1767" s="65"/>
      <c r="AY1767" s="65"/>
      <c r="AZ1767" s="65"/>
      <c r="BA1767" s="65"/>
      <c r="BB1767" s="65"/>
      <c r="BC1767" s="65"/>
      <c r="BD1767" s="65"/>
      <c r="BE1767" s="65"/>
      <c r="BF1767" s="65"/>
      <c r="BG1767" s="65"/>
      <c r="BH1767" s="65"/>
      <c r="BI1767" s="65"/>
      <c r="BJ1767" s="65"/>
      <c r="BK1767" s="65"/>
      <c r="BL1767" s="65"/>
      <c r="BM1767" s="65"/>
      <c r="BN1767" s="65"/>
      <c r="BO1767" s="65"/>
      <c r="BP1767" s="65"/>
      <c r="BQ1767" s="65"/>
      <c r="BR1767" s="65"/>
      <c r="BS1767" s="65"/>
      <c r="BT1767" s="65"/>
      <c r="BU1767" s="65"/>
      <c r="BV1767" s="65"/>
      <c r="BW1767" s="65"/>
      <c r="BX1767" s="65"/>
      <c r="BY1767" s="65"/>
      <c r="BZ1767" s="65"/>
      <c r="CA1767" s="65"/>
      <c r="CB1767" s="65"/>
      <c r="CC1767" s="65"/>
      <c r="CD1767" s="65"/>
      <c r="CE1767" s="65"/>
      <c r="CF1767" s="65"/>
      <c r="CG1767" s="65"/>
      <c r="CH1767" s="65"/>
      <c r="CI1767" s="65"/>
      <c r="CJ1767" s="65"/>
      <c r="CK1767" s="65"/>
      <c r="CL1767" s="65"/>
      <c r="CM1767" s="65"/>
      <c r="CN1767" s="65"/>
      <c r="CO1767" s="65"/>
      <c r="CP1767" s="65"/>
      <c r="CQ1767" s="65"/>
      <c r="CR1767" s="65"/>
      <c r="CS1767" s="65"/>
      <c r="CT1767" s="65"/>
      <c r="CU1767" s="65"/>
      <c r="CV1767" s="65"/>
      <c r="CW1767" s="65"/>
      <c r="CX1767" s="65"/>
      <c r="CY1767" s="65"/>
      <c r="CZ1767" s="65"/>
      <c r="DA1767" s="65"/>
      <c r="DB1767" s="65"/>
      <c r="DC1767" s="65"/>
      <c r="DD1767" s="65"/>
      <c r="DE1767" s="65"/>
      <c r="DF1767" s="65"/>
      <c r="DG1767" s="65"/>
      <c r="DH1767" s="65"/>
      <c r="DI1767" s="65"/>
    </row>
    <row r="1768" spans="1:113">
      <c r="A1768" s="76"/>
      <c r="B1768" s="934" t="s">
        <v>1303</v>
      </c>
      <c r="C1768" s="935">
        <f>F1810</f>
        <v>0.26041157007987104</v>
      </c>
      <c r="D1768" s="936">
        <f>V1810</f>
        <v>4.4813211047165576E-2</v>
      </c>
      <c r="E1768" s="937">
        <f>AL1810</f>
        <v>0.13313279039417086</v>
      </c>
      <c r="F1768" s="938">
        <f>BB1810</f>
        <v>0.10325273148792097</v>
      </c>
      <c r="G1768" s="938">
        <f>BR1810</f>
        <v>0.16620514942997044</v>
      </c>
      <c r="H1768" s="938">
        <f>CH1810</f>
        <v>0.20330431868106691</v>
      </c>
      <c r="I1768" s="938">
        <f>CX1810</f>
        <v>0</v>
      </c>
      <c r="J1768" s="938" t="e">
        <f>#REF!</f>
        <v>#REF!</v>
      </c>
      <c r="K1768" s="938" t="e">
        <f>#REF!</f>
        <v>#REF!</v>
      </c>
      <c r="L1768" s="937" t="e">
        <f>#REF!</f>
        <v>#REF!</v>
      </c>
      <c r="M1768" s="937" t="e">
        <f>#REF!</f>
        <v>#REF!</v>
      </c>
      <c r="N1768" s="939" t="e">
        <f>#REF!</f>
        <v>#REF!</v>
      </c>
      <c r="R1768" s="76"/>
      <c r="S1768" s="76"/>
      <c r="T1768" s="76"/>
      <c r="U1768" s="76"/>
      <c r="V1768" s="76"/>
      <c r="W1768" s="65"/>
      <c r="X1768" s="65"/>
      <c r="Y1768" s="65"/>
      <c r="Z1768" s="65"/>
      <c r="AA1768" s="65"/>
      <c r="AB1768" s="65"/>
      <c r="AC1768" s="65"/>
      <c r="AD1768" s="65"/>
      <c r="AE1768" s="65"/>
      <c r="AF1768" s="65"/>
      <c r="AG1768" s="65"/>
      <c r="AH1768" s="65"/>
      <c r="AI1768" s="65"/>
      <c r="AJ1768" s="65"/>
      <c r="AK1768" s="65"/>
      <c r="AL1768" s="65"/>
      <c r="AM1768" s="65"/>
      <c r="AN1768" s="65"/>
      <c r="AO1768" s="65"/>
      <c r="AP1768" s="65"/>
      <c r="AQ1768" s="65"/>
      <c r="AR1768" s="65"/>
      <c r="AS1768" s="65"/>
      <c r="AT1768" s="65"/>
      <c r="AU1768" s="65"/>
      <c r="AV1768" s="65"/>
      <c r="AW1768" s="65"/>
      <c r="AX1768" s="65"/>
      <c r="AY1768" s="65"/>
      <c r="AZ1768" s="65"/>
      <c r="BA1768" s="65"/>
      <c r="BB1768" s="65"/>
      <c r="BC1768" s="65"/>
      <c r="BD1768" s="65"/>
      <c r="BE1768" s="65"/>
      <c r="BF1768" s="65"/>
      <c r="BG1768" s="65"/>
      <c r="BH1768" s="65"/>
      <c r="BI1768" s="65"/>
      <c r="BJ1768" s="65"/>
      <c r="BK1768" s="65"/>
      <c r="BL1768" s="65"/>
      <c r="BM1768" s="65"/>
      <c r="BN1768" s="65"/>
      <c r="BO1768" s="65"/>
      <c r="BP1768" s="65"/>
      <c r="BQ1768" s="65"/>
      <c r="BR1768" s="65"/>
      <c r="BS1768" s="65"/>
      <c r="BT1768" s="65"/>
      <c r="BU1768" s="65"/>
      <c r="BV1768" s="65"/>
      <c r="BW1768" s="65"/>
      <c r="BX1768" s="65"/>
      <c r="BY1768" s="65"/>
      <c r="BZ1768" s="65"/>
      <c r="CA1768" s="65"/>
      <c r="CB1768" s="65"/>
      <c r="CC1768" s="65"/>
      <c r="CD1768" s="65"/>
      <c r="CE1768" s="65"/>
      <c r="CF1768" s="65"/>
      <c r="CG1768" s="65"/>
      <c r="CH1768" s="65"/>
      <c r="CI1768" s="65"/>
      <c r="CJ1768" s="65"/>
      <c r="CK1768" s="65"/>
      <c r="CL1768" s="65"/>
      <c r="CM1768" s="65"/>
      <c r="CN1768" s="65"/>
      <c r="CO1768" s="65"/>
      <c r="CP1768" s="65"/>
      <c r="CQ1768" s="65"/>
      <c r="CR1768" s="65"/>
      <c r="CS1768" s="65"/>
      <c r="CT1768" s="65"/>
      <c r="CU1768" s="65"/>
      <c r="CV1768" s="65"/>
      <c r="CW1768" s="65"/>
      <c r="CX1768" s="65"/>
      <c r="CY1768" s="65"/>
      <c r="CZ1768" s="65"/>
      <c r="DA1768" s="65"/>
      <c r="DB1768" s="65"/>
      <c r="DC1768" s="65"/>
      <c r="DD1768" s="65"/>
      <c r="DE1768" s="65"/>
      <c r="DF1768" s="65"/>
      <c r="DG1768" s="65"/>
      <c r="DH1768" s="65"/>
      <c r="DI1768" s="65"/>
    </row>
    <row r="1769" spans="1:113">
      <c r="A1769" s="76"/>
      <c r="B1769" s="934" t="s">
        <v>1304</v>
      </c>
      <c r="C1769" s="935">
        <f>G1810</f>
        <v>1.5290620176909191E-3</v>
      </c>
      <c r="D1769" s="936">
        <f>W1810</f>
        <v>0</v>
      </c>
      <c r="E1769" s="937">
        <f>AM1810</f>
        <v>0</v>
      </c>
      <c r="F1769" s="938">
        <f>BC1810</f>
        <v>5.3694816760567277E-3</v>
      </c>
      <c r="G1769" s="938">
        <f>BS1810</f>
        <v>1.2535035357473179E-2</v>
      </c>
      <c r="H1769" s="938">
        <f>CI1810</f>
        <v>2.8835860200578912E-3</v>
      </c>
      <c r="I1769" s="938">
        <f>CY1810</f>
        <v>0</v>
      </c>
      <c r="J1769" s="938" t="e">
        <f>#REF!</f>
        <v>#REF!</v>
      </c>
      <c r="K1769" s="938" t="e">
        <f>#REF!</f>
        <v>#REF!</v>
      </c>
      <c r="L1769" s="937" t="e">
        <f>#REF!</f>
        <v>#REF!</v>
      </c>
      <c r="M1769" s="937" t="e">
        <f>#REF!</f>
        <v>#REF!</v>
      </c>
      <c r="N1769" s="939" t="e">
        <f>#REF!</f>
        <v>#REF!</v>
      </c>
      <c r="R1769" s="76"/>
      <c r="S1769" s="76"/>
      <c r="T1769" s="76"/>
      <c r="U1769" s="76"/>
      <c r="V1769" s="76"/>
      <c r="W1769" s="65"/>
      <c r="X1769" s="65"/>
      <c r="Y1769" s="65"/>
      <c r="Z1769" s="65"/>
      <c r="AA1769" s="65"/>
      <c r="AB1769" s="65"/>
      <c r="AC1769" s="65"/>
      <c r="AD1769" s="65"/>
      <c r="AE1769" s="65"/>
      <c r="AF1769" s="65"/>
      <c r="AG1769" s="65"/>
      <c r="AH1769" s="65"/>
      <c r="AI1769" s="65"/>
      <c r="AJ1769" s="65"/>
      <c r="AK1769" s="65"/>
      <c r="AL1769" s="65"/>
      <c r="AM1769" s="65"/>
      <c r="AN1769" s="65"/>
      <c r="AO1769" s="65"/>
      <c r="AP1769" s="65"/>
      <c r="AQ1769" s="65"/>
      <c r="AR1769" s="65"/>
      <c r="AS1769" s="65"/>
      <c r="AT1769" s="65"/>
      <c r="AU1769" s="65"/>
      <c r="AV1769" s="65"/>
      <c r="AW1769" s="65"/>
      <c r="AX1769" s="65"/>
      <c r="AY1769" s="65"/>
      <c r="AZ1769" s="65"/>
      <c r="BA1769" s="65"/>
      <c r="BB1769" s="65"/>
      <c r="BC1769" s="65"/>
      <c r="BD1769" s="65"/>
      <c r="BE1769" s="65"/>
      <c r="BF1769" s="65"/>
      <c r="BG1769" s="65"/>
      <c r="BH1769" s="65"/>
      <c r="BI1769" s="65"/>
      <c r="BJ1769" s="65"/>
      <c r="BK1769" s="65"/>
      <c r="BL1769" s="65"/>
      <c r="BM1769" s="65"/>
      <c r="BN1769" s="65"/>
      <c r="BO1769" s="65"/>
      <c r="BP1769" s="65"/>
      <c r="BQ1769" s="65"/>
      <c r="BR1769" s="65"/>
      <c r="BS1769" s="65"/>
      <c r="BT1769" s="65"/>
      <c r="BU1769" s="65"/>
      <c r="BV1769" s="65"/>
      <c r="BW1769" s="65"/>
      <c r="BX1769" s="65"/>
      <c r="BY1769" s="65"/>
      <c r="BZ1769" s="65"/>
      <c r="CA1769" s="65"/>
      <c r="CB1769" s="65"/>
      <c r="CC1769" s="65"/>
      <c r="CD1769" s="65"/>
      <c r="CE1769" s="65"/>
      <c r="CF1769" s="65"/>
      <c r="CG1769" s="65"/>
      <c r="CH1769" s="65"/>
      <c r="CI1769" s="65"/>
      <c r="CJ1769" s="65"/>
      <c r="CK1769" s="65"/>
      <c r="CL1769" s="65"/>
      <c r="CM1769" s="65"/>
      <c r="CN1769" s="65"/>
      <c r="CO1769" s="65"/>
      <c r="CP1769" s="65"/>
      <c r="CQ1769" s="65"/>
      <c r="CR1769" s="65"/>
      <c r="CS1769" s="65"/>
      <c r="CT1769" s="65"/>
      <c r="CU1769" s="65"/>
      <c r="CV1769" s="65"/>
      <c r="CW1769" s="65"/>
      <c r="CX1769" s="65"/>
      <c r="CY1769" s="65"/>
      <c r="CZ1769" s="65"/>
      <c r="DA1769" s="65"/>
      <c r="DB1769" s="65"/>
      <c r="DC1769" s="65"/>
      <c r="DD1769" s="65"/>
      <c r="DE1769" s="65"/>
      <c r="DF1769" s="65"/>
      <c r="DG1769" s="65"/>
      <c r="DH1769" s="65"/>
      <c r="DI1769" s="65"/>
    </row>
    <row r="1770" spans="1:113" ht="16" thickBot="1">
      <c r="A1770" s="76"/>
      <c r="B1770" s="940" t="s">
        <v>1305</v>
      </c>
      <c r="C1770" s="941">
        <f t="shared" ref="C1770:N1770" si="177">1-SUM(C1765:C1769)</f>
        <v>3.2734172641015524E-2</v>
      </c>
      <c r="D1770" s="941">
        <f t="shared" si="177"/>
        <v>7.982059652789808E-2</v>
      </c>
      <c r="E1770" s="941">
        <f t="shared" si="177"/>
        <v>8.0729973919435372E-2</v>
      </c>
      <c r="F1770" s="941">
        <f t="shared" si="177"/>
        <v>0.29266621181850527</v>
      </c>
      <c r="G1770" s="941">
        <f t="shared" si="177"/>
        <v>0.26299322988478313</v>
      </c>
      <c r="H1770" s="941">
        <f t="shared" si="177"/>
        <v>9.7510765065523475E-2</v>
      </c>
      <c r="I1770" s="941">
        <f t="shared" si="177"/>
        <v>1</v>
      </c>
      <c r="J1770" s="941" t="e">
        <f t="shared" si="177"/>
        <v>#REF!</v>
      </c>
      <c r="K1770" s="941" t="e">
        <f t="shared" si="177"/>
        <v>#REF!</v>
      </c>
      <c r="L1770" s="941" t="e">
        <f t="shared" si="177"/>
        <v>#REF!</v>
      </c>
      <c r="M1770" s="941" t="e">
        <f t="shared" si="177"/>
        <v>#REF!</v>
      </c>
      <c r="N1770" s="941" t="e">
        <f t="shared" si="177"/>
        <v>#REF!</v>
      </c>
      <c r="R1770" s="76"/>
      <c r="S1770" s="76"/>
      <c r="T1770" s="76"/>
      <c r="U1770" s="76"/>
      <c r="V1770" s="76"/>
      <c r="W1770" s="65"/>
      <c r="X1770" s="65"/>
      <c r="Y1770" s="65"/>
      <c r="Z1770" s="65"/>
      <c r="AA1770" s="65"/>
      <c r="AB1770" s="65"/>
      <c r="AC1770" s="65"/>
      <c r="AD1770" s="65"/>
      <c r="AE1770" s="65"/>
      <c r="AF1770" s="65"/>
      <c r="AG1770" s="65"/>
      <c r="AH1770" s="65"/>
      <c r="AI1770" s="65"/>
      <c r="AJ1770" s="65"/>
      <c r="AK1770" s="65"/>
      <c r="AL1770" s="65"/>
      <c r="AM1770" s="65"/>
      <c r="AN1770" s="65"/>
      <c r="AO1770" s="65"/>
      <c r="AP1770" s="65"/>
      <c r="AQ1770" s="65"/>
      <c r="AR1770" s="65"/>
      <c r="AS1770" s="65"/>
      <c r="AT1770" s="65"/>
      <c r="AU1770" s="65"/>
      <c r="AV1770" s="65"/>
      <c r="AW1770" s="65"/>
      <c r="AX1770" s="65"/>
      <c r="AY1770" s="65"/>
      <c r="AZ1770" s="65"/>
      <c r="BA1770" s="65"/>
      <c r="BB1770" s="65"/>
      <c r="BC1770" s="65"/>
      <c r="BD1770" s="65"/>
      <c r="BE1770" s="65"/>
      <c r="BF1770" s="65"/>
      <c r="BG1770" s="65"/>
      <c r="BH1770" s="65"/>
      <c r="BI1770" s="65"/>
      <c r="BJ1770" s="65"/>
      <c r="BK1770" s="65"/>
      <c r="BL1770" s="65"/>
      <c r="BM1770" s="65"/>
      <c r="BN1770" s="65"/>
      <c r="BO1770" s="65"/>
      <c r="BP1770" s="65"/>
      <c r="BQ1770" s="65"/>
      <c r="BR1770" s="65"/>
      <c r="BS1770" s="65"/>
      <c r="BT1770" s="65"/>
      <c r="BU1770" s="65"/>
      <c r="BV1770" s="65"/>
      <c r="BW1770" s="65"/>
      <c r="BX1770" s="65"/>
      <c r="BY1770" s="65"/>
      <c r="BZ1770" s="65"/>
      <c r="CA1770" s="65"/>
      <c r="CB1770" s="65"/>
      <c r="CC1770" s="65"/>
      <c r="CD1770" s="65"/>
      <c r="CE1770" s="65"/>
      <c r="CF1770" s="65"/>
      <c r="CG1770" s="65"/>
      <c r="CH1770" s="65"/>
      <c r="CI1770" s="65"/>
      <c r="CJ1770" s="65"/>
      <c r="CK1770" s="65"/>
      <c r="CL1770" s="65"/>
      <c r="CM1770" s="65"/>
      <c r="CN1770" s="65"/>
      <c r="CO1770" s="65"/>
      <c r="CP1770" s="65"/>
      <c r="CQ1770" s="65"/>
      <c r="CR1770" s="65"/>
      <c r="CS1770" s="65"/>
      <c r="CT1770" s="65"/>
      <c r="CU1770" s="65"/>
      <c r="CV1770" s="65"/>
      <c r="CW1770" s="65"/>
      <c r="CX1770" s="65"/>
      <c r="CY1770" s="65"/>
      <c r="CZ1770" s="65"/>
      <c r="DA1770" s="65"/>
      <c r="DB1770" s="65"/>
      <c r="DC1770" s="65"/>
      <c r="DD1770" s="65"/>
      <c r="DE1770" s="65"/>
      <c r="DF1770" s="65"/>
      <c r="DG1770" s="65"/>
      <c r="DH1770" s="65"/>
      <c r="DI1770" s="65"/>
    </row>
    <row r="1771" spans="1:113">
      <c r="A1771" s="76"/>
      <c r="B1771" s="923"/>
      <c r="C1771" s="924"/>
      <c r="D1771" s="925"/>
      <c r="E1771" s="921"/>
      <c r="F1771" s="921"/>
      <c r="G1771" s="921"/>
      <c r="H1771" s="921"/>
      <c r="I1771" s="921"/>
      <c r="J1771" s="65"/>
      <c r="K1771" s="921"/>
      <c r="L1771" s="65"/>
      <c r="M1771" s="65"/>
      <c r="N1771" s="65"/>
      <c r="O1771" s="65"/>
      <c r="P1771" s="65"/>
      <c r="Q1771" s="65"/>
      <c r="R1771" s="65"/>
      <c r="S1771" s="65"/>
      <c r="T1771" s="65"/>
      <c r="U1771" s="65"/>
      <c r="V1771" s="65"/>
      <c r="W1771" s="65"/>
      <c r="X1771" s="65"/>
      <c r="Y1771" s="65"/>
      <c r="Z1771" s="65"/>
      <c r="AA1771" s="65"/>
      <c r="AB1771" s="65"/>
      <c r="AC1771" s="65"/>
      <c r="AD1771" s="65"/>
      <c r="AE1771" s="65"/>
      <c r="AF1771" s="65"/>
      <c r="AG1771" s="65"/>
      <c r="AH1771" s="65"/>
      <c r="AI1771" s="65"/>
      <c r="AJ1771" s="65"/>
      <c r="AK1771" s="65"/>
      <c r="AL1771" s="65"/>
      <c r="AM1771" s="65"/>
      <c r="AN1771" s="65"/>
      <c r="AO1771" s="65"/>
      <c r="AP1771" s="65"/>
      <c r="AQ1771" s="65"/>
      <c r="AR1771" s="65"/>
      <c r="AS1771" s="65"/>
      <c r="AT1771" s="65"/>
      <c r="AU1771" s="65"/>
      <c r="AV1771" s="65"/>
      <c r="AW1771" s="65"/>
      <c r="AX1771" s="65"/>
      <c r="AY1771" s="65"/>
      <c r="AZ1771" s="65"/>
      <c r="BA1771" s="65"/>
      <c r="BB1771" s="65"/>
      <c r="BC1771" s="65"/>
      <c r="BD1771" s="65"/>
      <c r="BE1771" s="65"/>
      <c r="BF1771" s="65"/>
      <c r="BG1771" s="65"/>
      <c r="BH1771" s="65"/>
      <c r="BI1771" s="65"/>
      <c r="BJ1771" s="65"/>
      <c r="BK1771" s="65"/>
      <c r="BL1771" s="65"/>
      <c r="BM1771" s="65"/>
      <c r="BN1771" s="65"/>
      <c r="BO1771" s="65"/>
      <c r="BP1771" s="65"/>
      <c r="BQ1771" s="65"/>
      <c r="BR1771" s="65"/>
      <c r="BS1771" s="65"/>
      <c r="BT1771" s="65"/>
      <c r="BU1771" s="65"/>
      <c r="BV1771" s="65"/>
      <c r="BW1771" s="65"/>
      <c r="BX1771" s="65"/>
      <c r="BY1771" s="65"/>
      <c r="BZ1771" s="65"/>
      <c r="CA1771" s="65"/>
      <c r="CB1771" s="65"/>
      <c r="CC1771" s="65"/>
      <c r="CD1771" s="65"/>
      <c r="CE1771" s="65"/>
      <c r="CF1771" s="65"/>
      <c r="CG1771" s="65"/>
      <c r="CH1771" s="65"/>
      <c r="CI1771" s="65"/>
      <c r="CJ1771" s="65"/>
      <c r="CK1771" s="65"/>
      <c r="CL1771" s="65"/>
      <c r="CM1771" s="65"/>
      <c r="CN1771" s="65"/>
      <c r="CO1771" s="65"/>
      <c r="CP1771" s="65"/>
      <c r="CQ1771" s="65"/>
      <c r="CR1771" s="65"/>
      <c r="CS1771" s="65"/>
      <c r="CT1771" s="65"/>
      <c r="CU1771" s="65"/>
      <c r="CV1771" s="65"/>
      <c r="CW1771" s="65"/>
      <c r="CX1771" s="65"/>
      <c r="CY1771" s="65"/>
      <c r="CZ1771" s="65"/>
      <c r="DA1771" s="65"/>
      <c r="DB1771" s="65"/>
      <c r="DC1771" s="65"/>
      <c r="DD1771" s="65"/>
      <c r="DE1771" s="65"/>
      <c r="DF1771" s="65"/>
      <c r="DG1771" s="65"/>
      <c r="DH1771" s="65"/>
      <c r="DI1771" s="65"/>
    </row>
    <row r="1772" spans="1:113" ht="16" thickBot="1">
      <c r="A1772" s="76"/>
      <c r="B1772" s="926" t="s">
        <v>1309</v>
      </c>
      <c r="C1772" s="942"/>
      <c r="D1772" s="943"/>
      <c r="E1772" s="921"/>
      <c r="F1772" s="921"/>
      <c r="G1772" s="921"/>
      <c r="H1772" s="921"/>
      <c r="I1772" s="921"/>
      <c r="J1772" s="65"/>
      <c r="K1772" s="921"/>
      <c r="L1772" s="65"/>
      <c r="M1772" s="65"/>
      <c r="N1772" s="65"/>
      <c r="O1772" s="65"/>
      <c r="P1772" s="65"/>
      <c r="Q1772" s="65"/>
      <c r="R1772" s="65"/>
      <c r="S1772" s="65"/>
      <c r="T1772" s="65"/>
      <c r="U1772" s="65"/>
      <c r="V1772" s="65"/>
      <c r="W1772" s="65"/>
      <c r="X1772" s="65"/>
      <c r="Y1772" s="65"/>
      <c r="Z1772" s="65"/>
      <c r="AA1772" s="65"/>
      <c r="AB1772" s="65"/>
      <c r="AC1772" s="65"/>
      <c r="AD1772" s="65"/>
      <c r="AE1772" s="65"/>
      <c r="AF1772" s="65"/>
      <c r="AG1772" s="65"/>
      <c r="AH1772" s="65"/>
      <c r="AI1772" s="65"/>
      <c r="AJ1772" s="65"/>
      <c r="AK1772" s="65"/>
      <c r="AL1772" s="65"/>
      <c r="AM1772" s="65"/>
      <c r="AN1772" s="65"/>
      <c r="AO1772" s="65"/>
      <c r="AP1772" s="65"/>
      <c r="AQ1772" s="65"/>
      <c r="AR1772" s="65"/>
      <c r="AS1772" s="65"/>
      <c r="AT1772" s="65"/>
      <c r="AU1772" s="65"/>
      <c r="AV1772" s="65"/>
      <c r="AW1772" s="65"/>
      <c r="AX1772" s="65"/>
      <c r="AY1772" s="65"/>
      <c r="AZ1772" s="65"/>
      <c r="BA1772" s="65"/>
      <c r="BB1772" s="65"/>
      <c r="BC1772" s="65"/>
      <c r="BD1772" s="65"/>
      <c r="BE1772" s="65"/>
      <c r="BF1772" s="65"/>
      <c r="BG1772" s="65"/>
      <c r="BH1772" s="65"/>
      <c r="BI1772" s="65"/>
      <c r="BJ1772" s="65"/>
      <c r="BK1772" s="65"/>
      <c r="BL1772" s="65"/>
      <c r="BM1772" s="65"/>
      <c r="BN1772" s="65"/>
      <c r="BO1772" s="65"/>
      <c r="BP1772" s="65"/>
      <c r="BQ1772" s="65"/>
      <c r="BR1772" s="65"/>
      <c r="BS1772" s="65"/>
      <c r="BT1772" s="65"/>
      <c r="BU1772" s="65"/>
      <c r="BV1772" s="65"/>
      <c r="BW1772" s="65"/>
      <c r="BX1772" s="65"/>
      <c r="BY1772" s="65"/>
      <c r="BZ1772" s="65"/>
      <c r="CA1772" s="65"/>
      <c r="CB1772" s="65"/>
      <c r="CC1772" s="65"/>
      <c r="CD1772" s="65"/>
      <c r="CE1772" s="65"/>
      <c r="CF1772" s="65"/>
      <c r="CG1772" s="65"/>
      <c r="CH1772" s="65"/>
      <c r="CI1772" s="65"/>
      <c r="CJ1772" s="65"/>
      <c r="CK1772" s="65"/>
      <c r="CL1772" s="65"/>
      <c r="CM1772" s="65"/>
      <c r="CN1772" s="65"/>
      <c r="CO1772" s="65"/>
      <c r="CP1772" s="65"/>
      <c r="CQ1772" s="65"/>
      <c r="CR1772" s="65"/>
      <c r="CS1772" s="65"/>
      <c r="CT1772" s="65"/>
      <c r="CU1772" s="65"/>
      <c r="CV1772" s="65"/>
      <c r="CW1772" s="65"/>
      <c r="CX1772" s="65"/>
      <c r="CY1772" s="65"/>
      <c r="CZ1772" s="65"/>
      <c r="DA1772" s="65"/>
      <c r="DB1772" s="65"/>
      <c r="DC1772" s="65"/>
      <c r="DD1772" s="65"/>
      <c r="DE1772" s="65"/>
      <c r="DF1772" s="65"/>
      <c r="DG1772" s="65"/>
      <c r="DH1772" s="65"/>
      <c r="DI1772" s="65"/>
    </row>
    <row r="1773" spans="1:113">
      <c r="A1773" s="76"/>
      <c r="B1773" s="944"/>
      <c r="C1773" s="945" t="s">
        <v>1307</v>
      </c>
      <c r="D1773" s="76"/>
      <c r="E1773" s="921"/>
      <c r="F1773" s="921"/>
      <c r="G1773" s="921"/>
      <c r="H1773" s="921"/>
      <c r="I1773" s="921"/>
      <c r="J1773" s="65"/>
      <c r="K1773" s="921"/>
      <c r="L1773" s="65"/>
      <c r="M1773" s="65"/>
      <c r="N1773" s="65"/>
      <c r="O1773" s="65"/>
      <c r="P1773" s="65"/>
      <c r="Q1773" s="65"/>
      <c r="R1773" s="65"/>
      <c r="S1773" s="65"/>
      <c r="T1773" s="65"/>
      <c r="U1773" s="65"/>
      <c r="V1773" s="65"/>
      <c r="W1773" s="65"/>
      <c r="X1773" s="65"/>
      <c r="Y1773" s="65"/>
      <c r="Z1773" s="65"/>
      <c r="AA1773" s="65"/>
      <c r="AB1773" s="65"/>
      <c r="AC1773" s="65"/>
      <c r="AD1773" s="65"/>
      <c r="AE1773" s="65"/>
      <c r="AF1773" s="65"/>
      <c r="AG1773" s="65"/>
      <c r="AH1773" s="65"/>
      <c r="AI1773" s="65"/>
      <c r="AJ1773" s="65"/>
      <c r="AK1773" s="65"/>
      <c r="AL1773" s="65"/>
      <c r="AM1773" s="65"/>
      <c r="AN1773" s="65"/>
      <c r="AO1773" s="65"/>
      <c r="AP1773" s="65"/>
      <c r="AQ1773" s="65"/>
      <c r="AR1773" s="65"/>
      <c r="AS1773" s="65"/>
      <c r="AT1773" s="65"/>
      <c r="AU1773" s="65"/>
      <c r="AV1773" s="65"/>
      <c r="AW1773" s="65"/>
      <c r="AX1773" s="65"/>
      <c r="AY1773" s="65"/>
      <c r="AZ1773" s="65"/>
      <c r="BA1773" s="65"/>
      <c r="BB1773" s="65"/>
      <c r="BC1773" s="65"/>
      <c r="BD1773" s="65"/>
      <c r="BE1773" s="65"/>
      <c r="BF1773" s="65"/>
      <c r="BG1773" s="65"/>
      <c r="BH1773" s="65"/>
      <c r="BI1773" s="65"/>
      <c r="BJ1773" s="65"/>
      <c r="BK1773" s="65"/>
      <c r="BL1773" s="65"/>
      <c r="BM1773" s="65"/>
      <c r="BN1773" s="65"/>
      <c r="BO1773" s="65"/>
      <c r="BP1773" s="65"/>
      <c r="BQ1773" s="65"/>
      <c r="BR1773" s="65"/>
      <c r="BS1773" s="65"/>
      <c r="BT1773" s="65"/>
      <c r="BU1773" s="65"/>
      <c r="BV1773" s="65"/>
      <c r="BW1773" s="65"/>
      <c r="BX1773" s="65"/>
      <c r="BY1773" s="65"/>
      <c r="BZ1773" s="65"/>
      <c r="CA1773" s="65"/>
      <c r="CB1773" s="65"/>
      <c r="CC1773" s="65"/>
      <c r="CD1773" s="65"/>
      <c r="CE1773" s="65"/>
      <c r="CF1773" s="65"/>
      <c r="CG1773" s="65"/>
      <c r="CH1773" s="65"/>
      <c r="CI1773" s="65"/>
      <c r="CJ1773" s="65"/>
      <c r="CK1773" s="65"/>
      <c r="CL1773" s="65"/>
      <c r="CM1773" s="65"/>
      <c r="CN1773" s="65"/>
      <c r="CO1773" s="65"/>
      <c r="CP1773" s="65"/>
      <c r="CQ1773" s="65"/>
      <c r="CR1773" s="65"/>
      <c r="CS1773" s="65"/>
      <c r="CT1773" s="65"/>
      <c r="CU1773" s="65"/>
      <c r="CV1773" s="65"/>
      <c r="CW1773" s="65"/>
      <c r="CX1773" s="65"/>
      <c r="CY1773" s="65"/>
      <c r="CZ1773" s="65"/>
      <c r="DA1773" s="65"/>
      <c r="DB1773" s="65"/>
      <c r="DC1773" s="65"/>
      <c r="DD1773" s="65"/>
      <c r="DE1773" s="65"/>
      <c r="DF1773" s="65"/>
      <c r="DG1773" s="65"/>
      <c r="DH1773" s="65"/>
      <c r="DI1773" s="65"/>
    </row>
    <row r="1774" spans="1:113">
      <c r="A1774" s="76"/>
      <c r="B1774" s="946" t="s">
        <v>1302</v>
      </c>
      <c r="C1774" s="935"/>
      <c r="D1774" s="76"/>
      <c r="E1774" s="921"/>
      <c r="F1774" s="921"/>
      <c r="G1774" s="921"/>
      <c r="H1774" s="921"/>
      <c r="I1774" s="921"/>
      <c r="J1774" s="65"/>
      <c r="K1774" s="921"/>
      <c r="L1774" s="65"/>
      <c r="M1774" s="65"/>
      <c r="N1774" s="65"/>
      <c r="O1774" s="65"/>
      <c r="P1774" s="65"/>
      <c r="Q1774" s="65"/>
      <c r="R1774" s="65"/>
      <c r="S1774" s="65"/>
      <c r="T1774" s="65"/>
      <c r="U1774" s="65"/>
      <c r="V1774" s="65"/>
      <c r="W1774" s="65"/>
      <c r="X1774" s="65"/>
      <c r="Y1774" s="65"/>
      <c r="Z1774" s="65"/>
      <c r="AA1774" s="65"/>
      <c r="AB1774" s="65"/>
      <c r="AC1774" s="65"/>
      <c r="AD1774" s="65"/>
      <c r="AE1774" s="65"/>
      <c r="AF1774" s="65"/>
      <c r="AG1774" s="65"/>
      <c r="AH1774" s="65"/>
      <c r="AI1774" s="65"/>
      <c r="AJ1774" s="65"/>
      <c r="AK1774" s="65"/>
      <c r="AL1774" s="65"/>
      <c r="AM1774" s="65"/>
      <c r="AN1774" s="65"/>
      <c r="AO1774" s="65"/>
      <c r="AP1774" s="65"/>
      <c r="AQ1774" s="65"/>
      <c r="AR1774" s="65"/>
      <c r="AS1774" s="65"/>
      <c r="AT1774" s="65"/>
      <c r="AU1774" s="65"/>
      <c r="AV1774" s="65"/>
      <c r="AW1774" s="65"/>
      <c r="AX1774" s="65"/>
      <c r="AY1774" s="65"/>
      <c r="AZ1774" s="65"/>
      <c r="BA1774" s="65"/>
      <c r="BB1774" s="65"/>
      <c r="BC1774" s="65"/>
      <c r="BD1774" s="65"/>
      <c r="BE1774" s="65"/>
      <c r="BF1774" s="65"/>
      <c r="BG1774" s="65"/>
      <c r="BH1774" s="65"/>
      <c r="BI1774" s="65"/>
      <c r="BJ1774" s="65"/>
      <c r="BK1774" s="65"/>
      <c r="BL1774" s="65"/>
      <c r="BM1774" s="65"/>
      <c r="BN1774" s="65"/>
      <c r="BO1774" s="65"/>
      <c r="BP1774" s="65"/>
      <c r="BQ1774" s="65"/>
      <c r="BR1774" s="65"/>
      <c r="BS1774" s="65"/>
      <c r="BT1774" s="65"/>
      <c r="BU1774" s="65"/>
      <c r="BV1774" s="65"/>
      <c r="BW1774" s="65"/>
      <c r="BX1774" s="65"/>
      <c r="BY1774" s="65"/>
      <c r="BZ1774" s="65"/>
      <c r="CA1774" s="65"/>
      <c r="CB1774" s="65"/>
      <c r="CC1774" s="65"/>
      <c r="CD1774" s="65"/>
      <c r="CE1774" s="65"/>
      <c r="CF1774" s="65"/>
      <c r="CG1774" s="65"/>
      <c r="CH1774" s="65"/>
      <c r="CI1774" s="65"/>
      <c r="CJ1774" s="65"/>
      <c r="CK1774" s="65"/>
      <c r="CL1774" s="65"/>
      <c r="CM1774" s="65"/>
      <c r="CN1774" s="65"/>
      <c r="CO1774" s="65"/>
      <c r="CP1774" s="65"/>
      <c r="CQ1774" s="65"/>
      <c r="CR1774" s="65"/>
      <c r="CS1774" s="65"/>
      <c r="CT1774" s="65"/>
      <c r="CU1774" s="65"/>
      <c r="CV1774" s="65"/>
      <c r="CW1774" s="65"/>
      <c r="CX1774" s="65"/>
      <c r="CY1774" s="65"/>
      <c r="CZ1774" s="65"/>
      <c r="DA1774" s="65"/>
      <c r="DB1774" s="65"/>
      <c r="DC1774" s="65"/>
      <c r="DD1774" s="65"/>
      <c r="DE1774" s="65"/>
      <c r="DF1774" s="65"/>
      <c r="DG1774" s="65"/>
      <c r="DH1774" s="65"/>
      <c r="DI1774" s="65"/>
    </row>
    <row r="1775" spans="1:113">
      <c r="A1775" s="76"/>
      <c r="B1775" s="946" t="s">
        <v>278</v>
      </c>
      <c r="C1775" s="935"/>
      <c r="D1775" s="76"/>
      <c r="E1775" s="921"/>
      <c r="F1775" s="921"/>
      <c r="G1775" s="921"/>
      <c r="H1775" s="921"/>
      <c r="I1775" s="921"/>
      <c r="J1775" s="65"/>
      <c r="K1775" s="921"/>
      <c r="L1775" s="65"/>
      <c r="M1775" s="65"/>
      <c r="N1775" s="65"/>
      <c r="O1775" s="65"/>
      <c r="P1775" s="65"/>
      <c r="Q1775" s="65"/>
      <c r="R1775" s="65"/>
      <c r="S1775" s="65"/>
      <c r="T1775" s="65"/>
      <c r="U1775" s="65"/>
      <c r="V1775" s="65"/>
      <c r="W1775" s="65"/>
      <c r="X1775" s="65"/>
      <c r="Y1775" s="65"/>
      <c r="Z1775" s="65"/>
      <c r="AA1775" s="65"/>
      <c r="AB1775" s="65"/>
      <c r="AC1775" s="65"/>
      <c r="AD1775" s="65"/>
      <c r="AE1775" s="65"/>
      <c r="AF1775" s="65"/>
      <c r="AG1775" s="65"/>
      <c r="AH1775" s="65"/>
      <c r="AI1775" s="65"/>
      <c r="AJ1775" s="65"/>
      <c r="AK1775" s="65"/>
      <c r="AL1775" s="65"/>
      <c r="AM1775" s="65"/>
      <c r="AN1775" s="65"/>
      <c r="AO1775" s="65"/>
      <c r="AP1775" s="65"/>
      <c r="AQ1775" s="65"/>
      <c r="AR1775" s="65"/>
      <c r="AS1775" s="65"/>
      <c r="AT1775" s="65"/>
      <c r="AU1775" s="65"/>
      <c r="AV1775" s="65"/>
      <c r="AW1775" s="65"/>
      <c r="AX1775" s="65"/>
      <c r="AY1775" s="65"/>
      <c r="AZ1775" s="65"/>
      <c r="BA1775" s="65"/>
      <c r="BB1775" s="65"/>
      <c r="BC1775" s="65"/>
      <c r="BD1775" s="65"/>
      <c r="BE1775" s="65"/>
      <c r="BF1775" s="65"/>
      <c r="BG1775" s="65"/>
      <c r="BH1775" s="65"/>
      <c r="BI1775" s="65"/>
      <c r="BJ1775" s="65"/>
      <c r="BK1775" s="65"/>
      <c r="BL1775" s="65"/>
      <c r="BM1775" s="65"/>
      <c r="BN1775" s="65"/>
      <c r="BO1775" s="65"/>
      <c r="BP1775" s="65"/>
      <c r="BQ1775" s="65"/>
      <c r="BR1775" s="65"/>
      <c r="BS1775" s="65"/>
      <c r="BT1775" s="65"/>
      <c r="BU1775" s="65"/>
      <c r="BV1775" s="65"/>
      <c r="BW1775" s="65"/>
      <c r="BX1775" s="65"/>
      <c r="BY1775" s="65"/>
      <c r="BZ1775" s="65"/>
      <c r="CA1775" s="65"/>
      <c r="CB1775" s="65"/>
      <c r="CC1775" s="65"/>
      <c r="CD1775" s="65"/>
      <c r="CE1775" s="65"/>
      <c r="CF1775" s="65"/>
      <c r="CG1775" s="65"/>
      <c r="CH1775" s="65"/>
      <c r="CI1775" s="65"/>
      <c r="CJ1775" s="65"/>
      <c r="CK1775" s="65"/>
      <c r="CL1775" s="65"/>
      <c r="CM1775" s="65"/>
      <c r="CN1775" s="65"/>
      <c r="CO1775" s="65"/>
      <c r="CP1775" s="65"/>
      <c r="CQ1775" s="65"/>
      <c r="CR1775" s="65"/>
      <c r="CS1775" s="65"/>
      <c r="CT1775" s="65"/>
      <c r="CU1775" s="65"/>
      <c r="CV1775" s="65"/>
      <c r="CW1775" s="65"/>
      <c r="CX1775" s="65"/>
      <c r="CY1775" s="65"/>
      <c r="CZ1775" s="65"/>
      <c r="DA1775" s="65"/>
      <c r="DB1775" s="65"/>
      <c r="DC1775" s="65"/>
      <c r="DD1775" s="65"/>
      <c r="DE1775" s="65"/>
      <c r="DF1775" s="65"/>
      <c r="DG1775" s="65"/>
      <c r="DH1775" s="65"/>
      <c r="DI1775" s="65"/>
    </row>
    <row r="1776" spans="1:113">
      <c r="A1776" s="76"/>
      <c r="B1776" s="946" t="s">
        <v>277</v>
      </c>
      <c r="C1776" s="935"/>
      <c r="D1776" s="76"/>
      <c r="E1776" s="921"/>
      <c r="F1776" s="921"/>
      <c r="G1776" s="921"/>
      <c r="H1776" s="921"/>
      <c r="I1776" s="921"/>
      <c r="J1776" s="921"/>
      <c r="K1776" s="921"/>
      <c r="L1776" s="65"/>
      <c r="M1776" s="65"/>
      <c r="N1776" s="65"/>
      <c r="O1776" s="65"/>
      <c r="P1776" s="65"/>
      <c r="Q1776" s="65"/>
      <c r="R1776" s="65"/>
      <c r="S1776" s="65"/>
      <c r="T1776" s="65"/>
      <c r="U1776" s="65"/>
      <c r="V1776" s="65"/>
      <c r="W1776" s="65"/>
      <c r="X1776" s="65"/>
      <c r="Y1776" s="65"/>
      <c r="Z1776" s="65"/>
      <c r="AA1776" s="65"/>
      <c r="AB1776" s="65"/>
      <c r="AC1776" s="65"/>
      <c r="AD1776" s="65"/>
      <c r="AE1776" s="65"/>
      <c r="AF1776" s="65"/>
      <c r="AG1776" s="65"/>
      <c r="AH1776" s="65"/>
      <c r="AI1776" s="65"/>
      <c r="AJ1776" s="65"/>
      <c r="AK1776" s="65"/>
      <c r="AL1776" s="65"/>
      <c r="AM1776" s="65"/>
      <c r="AN1776" s="65"/>
      <c r="AO1776" s="65"/>
      <c r="AP1776" s="65"/>
      <c r="AQ1776" s="65"/>
      <c r="AR1776" s="65"/>
      <c r="AS1776" s="65"/>
      <c r="AT1776" s="65"/>
      <c r="AU1776" s="65"/>
      <c r="AV1776" s="65"/>
      <c r="AW1776" s="65"/>
      <c r="AX1776" s="65"/>
      <c r="AY1776" s="65"/>
      <c r="AZ1776" s="65"/>
      <c r="BA1776" s="65"/>
      <c r="BB1776" s="65"/>
      <c r="BC1776" s="65"/>
      <c r="BD1776" s="65"/>
      <c r="BE1776" s="65"/>
      <c r="BF1776" s="65"/>
      <c r="BG1776" s="65"/>
      <c r="BH1776" s="65"/>
      <c r="BI1776" s="65"/>
      <c r="BJ1776" s="65"/>
      <c r="BK1776" s="65"/>
      <c r="BL1776" s="65"/>
      <c r="BM1776" s="65"/>
      <c r="BN1776" s="65"/>
      <c r="BO1776" s="65"/>
      <c r="BP1776" s="65"/>
      <c r="BQ1776" s="65"/>
      <c r="BR1776" s="65"/>
      <c r="BS1776" s="65"/>
      <c r="BT1776" s="65"/>
      <c r="BU1776" s="65"/>
      <c r="BV1776" s="65"/>
      <c r="BW1776" s="65"/>
      <c r="BX1776" s="65"/>
      <c r="BY1776" s="65"/>
      <c r="BZ1776" s="65"/>
      <c r="CA1776" s="65"/>
      <c r="CB1776" s="65"/>
      <c r="CC1776" s="65"/>
      <c r="CD1776" s="65"/>
      <c r="CE1776" s="65"/>
      <c r="CF1776" s="65"/>
      <c r="CG1776" s="65"/>
      <c r="CH1776" s="65"/>
      <c r="CI1776" s="65"/>
      <c r="CJ1776" s="65"/>
      <c r="CK1776" s="65"/>
      <c r="CL1776" s="65"/>
      <c r="CM1776" s="65"/>
      <c r="CN1776" s="65"/>
      <c r="CO1776" s="65"/>
      <c r="CP1776" s="65"/>
      <c r="CQ1776" s="65"/>
      <c r="CR1776" s="65"/>
      <c r="CS1776" s="65"/>
      <c r="CT1776" s="65"/>
      <c r="CU1776" s="65"/>
      <c r="CV1776" s="65"/>
      <c r="CW1776" s="65"/>
      <c r="CX1776" s="65"/>
      <c r="CY1776" s="65"/>
      <c r="CZ1776" s="65"/>
      <c r="DA1776" s="65"/>
      <c r="DB1776" s="65"/>
      <c r="DC1776" s="65"/>
      <c r="DD1776" s="65"/>
      <c r="DE1776" s="65"/>
      <c r="DF1776" s="65"/>
      <c r="DG1776" s="65"/>
      <c r="DH1776" s="65"/>
      <c r="DI1776" s="65"/>
    </row>
    <row r="1777" spans="1:113">
      <c r="A1777" s="76"/>
      <c r="B1777" s="946" t="s">
        <v>1303</v>
      </c>
      <c r="C1777" s="935"/>
      <c r="D1777" s="76"/>
      <c r="E1777" s="921"/>
      <c r="F1777" s="921"/>
      <c r="G1777" s="921"/>
      <c r="H1777" s="921"/>
      <c r="I1777" s="921"/>
      <c r="J1777" s="921"/>
      <c r="K1777" s="921"/>
      <c r="L1777" s="65"/>
      <c r="M1777" s="65"/>
      <c r="N1777" s="65"/>
      <c r="O1777" s="65"/>
      <c r="P1777" s="65"/>
      <c r="Q1777" s="65"/>
      <c r="R1777" s="65"/>
      <c r="S1777" s="65"/>
      <c r="T1777" s="65"/>
      <c r="U1777" s="65"/>
      <c r="V1777" s="65"/>
      <c r="W1777" s="65"/>
      <c r="X1777" s="65"/>
      <c r="Y1777" s="65"/>
      <c r="Z1777" s="65"/>
      <c r="AA1777" s="65"/>
      <c r="AB1777" s="65"/>
      <c r="AC1777" s="65"/>
      <c r="AD1777" s="65"/>
      <c r="AE1777" s="65"/>
      <c r="AF1777" s="65"/>
      <c r="AG1777" s="65"/>
      <c r="AH1777" s="65"/>
      <c r="AI1777" s="65"/>
      <c r="AJ1777" s="65"/>
      <c r="AK1777" s="65"/>
      <c r="AL1777" s="65"/>
      <c r="AM1777" s="65"/>
      <c r="AN1777" s="65"/>
      <c r="AO1777" s="65"/>
      <c r="AP1777" s="65"/>
      <c r="AQ1777" s="65"/>
      <c r="AR1777" s="65"/>
      <c r="AS1777" s="65"/>
      <c r="AT1777" s="65"/>
      <c r="AU1777" s="65"/>
      <c r="AV1777" s="65"/>
      <c r="AW1777" s="65"/>
      <c r="AX1777" s="65"/>
      <c r="AY1777" s="65"/>
      <c r="AZ1777" s="65"/>
      <c r="BA1777" s="65"/>
      <c r="BB1777" s="65"/>
      <c r="BC1777" s="65"/>
      <c r="BD1777" s="65"/>
      <c r="BE1777" s="65"/>
      <c r="BF1777" s="65"/>
      <c r="BG1777" s="65"/>
      <c r="BH1777" s="65"/>
      <c r="BI1777" s="65"/>
      <c r="BJ1777" s="65"/>
      <c r="BK1777" s="65"/>
      <c r="BL1777" s="65"/>
      <c r="BM1777" s="65"/>
      <c r="BN1777" s="65"/>
      <c r="BO1777" s="65"/>
      <c r="BP1777" s="65"/>
      <c r="BQ1777" s="65"/>
      <c r="BR1777" s="65"/>
      <c r="BS1777" s="65"/>
      <c r="BT1777" s="65"/>
      <c r="BU1777" s="65"/>
      <c r="BV1777" s="65"/>
      <c r="BW1777" s="65"/>
      <c r="BX1777" s="65"/>
      <c r="BY1777" s="65"/>
      <c r="BZ1777" s="65"/>
      <c r="CA1777" s="65"/>
      <c r="CB1777" s="65"/>
      <c r="CC1777" s="65"/>
      <c r="CD1777" s="65"/>
      <c r="CE1777" s="65"/>
      <c r="CF1777" s="65"/>
      <c r="CG1777" s="65"/>
      <c r="CH1777" s="65"/>
      <c r="CI1777" s="65"/>
      <c r="CJ1777" s="65"/>
      <c r="CK1777" s="65"/>
      <c r="CL1777" s="65"/>
      <c r="CM1777" s="65"/>
      <c r="CN1777" s="65"/>
      <c r="CO1777" s="65"/>
      <c r="CP1777" s="65"/>
      <c r="CQ1777" s="65"/>
      <c r="CR1777" s="65"/>
      <c r="CS1777" s="65"/>
      <c r="CT1777" s="65"/>
      <c r="CU1777" s="65"/>
      <c r="CV1777" s="65"/>
      <c r="CW1777" s="65"/>
      <c r="CX1777" s="65"/>
      <c r="CY1777" s="65"/>
      <c r="CZ1777" s="65"/>
      <c r="DA1777" s="65"/>
      <c r="DB1777" s="65"/>
      <c r="DC1777" s="65"/>
      <c r="DD1777" s="65"/>
      <c r="DE1777" s="65"/>
      <c r="DF1777" s="65"/>
      <c r="DG1777" s="65"/>
      <c r="DH1777" s="65"/>
      <c r="DI1777" s="65"/>
    </row>
    <row r="1778" spans="1:113">
      <c r="A1778" s="76"/>
      <c r="B1778" s="946" t="s">
        <v>1304</v>
      </c>
      <c r="C1778" s="935"/>
      <c r="D1778" s="76"/>
      <c r="E1778" s="921"/>
      <c r="F1778" s="921"/>
      <c r="G1778" s="921"/>
      <c r="H1778" s="921"/>
      <c r="I1778" s="921"/>
      <c r="J1778" s="921"/>
      <c r="K1778" s="921"/>
      <c r="L1778" s="65"/>
      <c r="M1778" s="65"/>
      <c r="N1778" s="65"/>
      <c r="O1778" s="65"/>
      <c r="P1778" s="65"/>
      <c r="Q1778" s="65"/>
      <c r="R1778" s="65"/>
      <c r="S1778" s="65"/>
      <c r="T1778" s="65"/>
      <c r="U1778" s="65"/>
      <c r="V1778" s="65"/>
      <c r="W1778" s="65"/>
      <c r="X1778" s="65"/>
      <c r="Y1778" s="65"/>
      <c r="Z1778" s="65"/>
      <c r="AA1778" s="65"/>
      <c r="AB1778" s="65"/>
      <c r="AC1778" s="65"/>
      <c r="AD1778" s="65"/>
      <c r="AE1778" s="65"/>
      <c r="AF1778" s="65"/>
      <c r="AG1778" s="65"/>
      <c r="AH1778" s="65"/>
      <c r="AI1778" s="65"/>
      <c r="AJ1778" s="65"/>
      <c r="AK1778" s="65"/>
      <c r="AL1778" s="65"/>
      <c r="AM1778" s="65"/>
      <c r="AN1778" s="65"/>
      <c r="AO1778" s="65"/>
      <c r="AP1778" s="65"/>
      <c r="AQ1778" s="65"/>
      <c r="AR1778" s="65"/>
      <c r="AS1778" s="65"/>
      <c r="AT1778" s="65"/>
      <c r="AU1778" s="65"/>
      <c r="AV1778" s="65"/>
      <c r="AW1778" s="65"/>
      <c r="AX1778" s="65"/>
      <c r="AY1778" s="65"/>
      <c r="AZ1778" s="65"/>
      <c r="BA1778" s="65"/>
      <c r="BB1778" s="65"/>
      <c r="BC1778" s="65"/>
      <c r="BD1778" s="65"/>
      <c r="BE1778" s="65"/>
      <c r="BF1778" s="65"/>
      <c r="BG1778" s="65"/>
      <c r="BH1778" s="65"/>
      <c r="BI1778" s="65"/>
      <c r="BJ1778" s="65"/>
      <c r="BK1778" s="65"/>
      <c r="BL1778" s="65"/>
      <c r="BM1778" s="65"/>
      <c r="BN1778" s="65"/>
      <c r="BO1778" s="65"/>
      <c r="BP1778" s="65"/>
      <c r="BQ1778" s="65"/>
      <c r="BR1778" s="65"/>
      <c r="BS1778" s="65"/>
      <c r="BT1778" s="65"/>
      <c r="BU1778" s="65"/>
      <c r="BV1778" s="65"/>
      <c r="BW1778" s="65"/>
      <c r="BX1778" s="65"/>
      <c r="BY1778" s="65"/>
      <c r="BZ1778" s="65"/>
      <c r="CA1778" s="65"/>
      <c r="CB1778" s="65"/>
      <c r="CC1778" s="65"/>
      <c r="CD1778" s="65"/>
      <c r="CE1778" s="65"/>
      <c r="CF1778" s="65"/>
      <c r="CG1778" s="65"/>
      <c r="CH1778" s="65"/>
      <c r="CI1778" s="65"/>
      <c r="CJ1778" s="65"/>
      <c r="CK1778" s="65"/>
      <c r="CL1778" s="65"/>
      <c r="CM1778" s="65"/>
      <c r="CN1778" s="65"/>
      <c r="CO1778" s="65"/>
      <c r="CP1778" s="65"/>
      <c r="CQ1778" s="65"/>
      <c r="CR1778" s="65"/>
      <c r="CS1778" s="65"/>
      <c r="CT1778" s="65"/>
      <c r="CU1778" s="65"/>
      <c r="CV1778" s="65"/>
      <c r="CW1778" s="65"/>
      <c r="CX1778" s="65"/>
      <c r="CY1778" s="65"/>
      <c r="CZ1778" s="65"/>
      <c r="DA1778" s="65"/>
      <c r="DB1778" s="65"/>
      <c r="DC1778" s="65"/>
      <c r="DD1778" s="65"/>
      <c r="DE1778" s="65"/>
      <c r="DF1778" s="65"/>
      <c r="DG1778" s="65"/>
      <c r="DH1778" s="65"/>
      <c r="DI1778" s="65"/>
    </row>
    <row r="1779" spans="1:113" ht="16" thickBot="1">
      <c r="A1779" s="76"/>
      <c r="B1779" s="940" t="s">
        <v>1305</v>
      </c>
      <c r="C1779" s="947"/>
      <c r="D1779" s="76"/>
      <c r="E1779" s="921"/>
      <c r="F1779" s="921"/>
      <c r="G1779" s="921"/>
      <c r="H1779" s="921"/>
      <c r="I1779" s="921"/>
      <c r="J1779" s="921"/>
      <c r="K1779" s="921"/>
      <c r="L1779" s="65"/>
      <c r="M1779" s="65"/>
      <c r="N1779" s="65"/>
      <c r="O1779" s="65"/>
      <c r="P1779" s="65"/>
      <c r="Q1779" s="65"/>
      <c r="R1779" s="65"/>
      <c r="S1779" s="65"/>
      <c r="T1779" s="65"/>
      <c r="U1779" s="65"/>
      <c r="V1779" s="65"/>
      <c r="W1779" s="65"/>
      <c r="X1779" s="65"/>
      <c r="Y1779" s="65"/>
      <c r="Z1779" s="65"/>
      <c r="AA1779" s="65"/>
      <c r="AB1779" s="65"/>
      <c r="AC1779" s="65"/>
      <c r="AD1779" s="65"/>
      <c r="AE1779" s="65"/>
      <c r="AF1779" s="65"/>
      <c r="AG1779" s="65"/>
      <c r="AH1779" s="65"/>
      <c r="AI1779" s="65"/>
      <c r="AJ1779" s="65"/>
      <c r="AK1779" s="65"/>
      <c r="AL1779" s="65"/>
      <c r="AM1779" s="65"/>
      <c r="AN1779" s="65"/>
      <c r="AO1779" s="65"/>
      <c r="AP1779" s="65"/>
      <c r="AQ1779" s="65"/>
      <c r="AR1779" s="65"/>
      <c r="AS1779" s="65"/>
      <c r="AT1779" s="65"/>
      <c r="AU1779" s="65"/>
      <c r="AV1779" s="65"/>
      <c r="AW1779" s="65"/>
      <c r="AX1779" s="65"/>
      <c r="AY1779" s="65"/>
      <c r="AZ1779" s="65"/>
      <c r="BA1779" s="65"/>
      <c r="BB1779" s="65"/>
      <c r="BC1779" s="65"/>
      <c r="BD1779" s="65"/>
      <c r="BE1779" s="65"/>
      <c r="BF1779" s="65"/>
      <c r="BG1779" s="65"/>
      <c r="BH1779" s="65"/>
      <c r="BI1779" s="65"/>
      <c r="BJ1779" s="65"/>
      <c r="BK1779" s="65"/>
      <c r="BL1779" s="65"/>
      <c r="BM1779" s="65"/>
      <c r="BN1779" s="65"/>
      <c r="BO1779" s="65"/>
      <c r="BP1779" s="65"/>
      <c r="BQ1779" s="65"/>
      <c r="BR1779" s="65"/>
      <c r="BS1779" s="65"/>
      <c r="BT1779" s="65"/>
      <c r="BU1779" s="65"/>
      <c r="BV1779" s="65"/>
      <c r="BW1779" s="65"/>
      <c r="BX1779" s="65"/>
      <c r="BY1779" s="65"/>
      <c r="BZ1779" s="65"/>
      <c r="CA1779" s="65"/>
      <c r="CB1779" s="65"/>
      <c r="CC1779" s="65"/>
      <c r="CD1779" s="65"/>
      <c r="CE1779" s="65"/>
      <c r="CF1779" s="65"/>
      <c r="CG1779" s="65"/>
      <c r="CH1779" s="65"/>
      <c r="CI1779" s="65"/>
      <c r="CJ1779" s="65"/>
      <c r="CK1779" s="65"/>
      <c r="CL1779" s="65"/>
      <c r="CM1779" s="65"/>
      <c r="CN1779" s="65"/>
      <c r="CO1779" s="65"/>
      <c r="CP1779" s="65"/>
      <c r="CQ1779" s="65"/>
      <c r="CR1779" s="65"/>
      <c r="CS1779" s="65"/>
      <c r="CT1779" s="65"/>
      <c r="CU1779" s="65"/>
      <c r="CV1779" s="65"/>
      <c r="CW1779" s="65"/>
      <c r="CX1779" s="65"/>
      <c r="CY1779" s="65"/>
      <c r="CZ1779" s="65"/>
      <c r="DA1779" s="65"/>
      <c r="DB1779" s="65"/>
      <c r="DC1779" s="65"/>
      <c r="DD1779" s="65"/>
      <c r="DE1779" s="65"/>
      <c r="DF1779" s="65"/>
      <c r="DG1779" s="65"/>
      <c r="DH1779" s="65"/>
      <c r="DI1779" s="65"/>
    </row>
    <row r="1780" spans="1:113">
      <c r="A1780" s="76"/>
      <c r="B1780" s="906"/>
      <c r="C1780" s="907"/>
      <c r="D1780" s="948"/>
      <c r="E1780" s="949"/>
      <c r="F1780" s="921"/>
      <c r="G1780" s="921"/>
      <c r="H1780" s="921"/>
      <c r="I1780" s="921"/>
      <c r="J1780" s="921"/>
      <c r="K1780" s="921"/>
      <c r="L1780" s="921"/>
      <c r="M1780" s="65"/>
      <c r="N1780" s="65"/>
      <c r="O1780" s="65"/>
      <c r="P1780" s="65"/>
      <c r="Q1780" s="65"/>
      <c r="R1780" s="65"/>
      <c r="S1780" s="65"/>
      <c r="T1780" s="65"/>
      <c r="U1780" s="65"/>
      <c r="V1780" s="65"/>
      <c r="W1780" s="65"/>
      <c r="X1780" s="65"/>
      <c r="Y1780" s="65"/>
      <c r="Z1780" s="65"/>
      <c r="AA1780" s="65"/>
      <c r="AB1780" s="65"/>
      <c r="AC1780" s="65"/>
      <c r="AD1780" s="65"/>
      <c r="AE1780" s="65"/>
      <c r="AF1780" s="65"/>
      <c r="AG1780" s="65"/>
      <c r="AH1780" s="65"/>
      <c r="AI1780" s="65"/>
      <c r="AJ1780" s="65"/>
      <c r="AK1780" s="65"/>
      <c r="AL1780" s="65"/>
      <c r="AM1780" s="65"/>
      <c r="AN1780" s="65"/>
      <c r="AO1780" s="65"/>
      <c r="AP1780" s="65"/>
      <c r="AQ1780" s="65"/>
      <c r="AR1780" s="65"/>
      <c r="AS1780" s="65"/>
      <c r="AT1780" s="65"/>
      <c r="AU1780" s="65"/>
      <c r="AV1780" s="65"/>
      <c r="AW1780" s="65"/>
      <c r="AX1780" s="65"/>
      <c r="AY1780" s="65"/>
      <c r="AZ1780" s="65"/>
      <c r="BA1780" s="65"/>
      <c r="BB1780" s="65"/>
      <c r="BC1780" s="65"/>
      <c r="BD1780" s="65"/>
      <c r="BE1780" s="65"/>
      <c r="BF1780" s="65"/>
      <c r="BG1780" s="65"/>
      <c r="BH1780" s="65"/>
      <c r="BI1780" s="65"/>
      <c r="BJ1780" s="65"/>
      <c r="BK1780" s="65"/>
      <c r="BL1780" s="65"/>
      <c r="BM1780" s="65"/>
      <c r="BN1780" s="65"/>
      <c r="BO1780" s="65"/>
      <c r="BP1780" s="65"/>
      <c r="BQ1780" s="65"/>
      <c r="BR1780" s="65"/>
      <c r="BS1780" s="65"/>
      <c r="BT1780" s="65"/>
      <c r="BU1780" s="65"/>
      <c r="BV1780" s="65"/>
      <c r="BW1780" s="65"/>
      <c r="BX1780" s="65"/>
      <c r="BY1780" s="65"/>
      <c r="BZ1780" s="65"/>
      <c r="CA1780" s="65"/>
      <c r="CB1780" s="65"/>
      <c r="CC1780" s="65"/>
      <c r="CD1780" s="65"/>
      <c r="CE1780" s="65"/>
      <c r="CF1780" s="65"/>
      <c r="CG1780" s="65"/>
      <c r="CH1780" s="65"/>
      <c r="CI1780" s="65"/>
      <c r="CJ1780" s="65"/>
      <c r="CK1780" s="65"/>
      <c r="CL1780" s="65"/>
      <c r="CM1780" s="65"/>
      <c r="CN1780" s="65"/>
      <c r="CO1780" s="65"/>
      <c r="CP1780" s="65"/>
      <c r="CQ1780" s="65"/>
      <c r="CR1780" s="65"/>
      <c r="CS1780" s="65"/>
      <c r="CT1780" s="65"/>
      <c r="CU1780" s="65"/>
      <c r="CV1780" s="65"/>
      <c r="CW1780" s="65"/>
      <c r="CX1780" s="65"/>
      <c r="CY1780" s="65"/>
      <c r="CZ1780" s="65"/>
      <c r="DA1780" s="65"/>
      <c r="DB1780" s="65"/>
      <c r="DC1780" s="65"/>
      <c r="DD1780" s="65"/>
      <c r="DE1780" s="65"/>
      <c r="DF1780" s="65"/>
      <c r="DG1780" s="65"/>
      <c r="DH1780" s="65"/>
      <c r="DI1780" s="65"/>
    </row>
    <row r="1781" spans="1:113">
      <c r="A1781" s="76"/>
      <c r="B1781" s="69" t="s">
        <v>1310</v>
      </c>
      <c r="C1781" s="924"/>
      <c r="D1781" s="949"/>
      <c r="E1781" s="949"/>
      <c r="F1781" s="921"/>
      <c r="G1781" s="921"/>
      <c r="H1781" s="921"/>
      <c r="I1781" s="921"/>
      <c r="J1781" s="921"/>
      <c r="K1781" s="921"/>
      <c r="L1781" s="921"/>
      <c r="M1781" s="65"/>
      <c r="N1781" s="65"/>
      <c r="O1781" s="65"/>
      <c r="P1781" s="65"/>
      <c r="Q1781" s="65"/>
      <c r="R1781" s="65"/>
      <c r="S1781" s="65"/>
      <c r="T1781" s="65"/>
      <c r="U1781" s="65"/>
      <c r="V1781" s="65"/>
      <c r="W1781" s="65"/>
      <c r="X1781" s="65"/>
      <c r="Y1781" s="65"/>
      <c r="Z1781" s="65"/>
      <c r="AA1781" s="65"/>
      <c r="AB1781" s="65"/>
      <c r="AC1781" s="65"/>
      <c r="AD1781" s="65"/>
      <c r="AE1781" s="65"/>
      <c r="AF1781" s="65"/>
      <c r="AG1781" s="65"/>
      <c r="AH1781" s="65"/>
      <c r="AI1781" s="65"/>
      <c r="AJ1781" s="65"/>
      <c r="AK1781" s="65"/>
      <c r="AL1781" s="65"/>
      <c r="AM1781" s="65"/>
      <c r="AN1781" s="65"/>
      <c r="AO1781" s="65"/>
      <c r="AP1781" s="65"/>
      <c r="AQ1781" s="65"/>
      <c r="AR1781" s="65"/>
      <c r="AS1781" s="65"/>
      <c r="AT1781" s="65"/>
      <c r="AU1781" s="65"/>
      <c r="AV1781" s="65"/>
      <c r="AW1781" s="65"/>
      <c r="AX1781" s="65"/>
      <c r="AY1781" s="65"/>
      <c r="AZ1781" s="65"/>
      <c r="BA1781" s="65"/>
      <c r="BB1781" s="65"/>
      <c r="BC1781" s="65"/>
      <c r="BD1781" s="65"/>
      <c r="BE1781" s="65"/>
      <c r="BF1781" s="65"/>
      <c r="BG1781" s="65"/>
      <c r="BH1781" s="65"/>
      <c r="BI1781" s="65"/>
      <c r="BJ1781" s="65"/>
      <c r="BK1781" s="65"/>
      <c r="BL1781" s="65"/>
      <c r="BM1781" s="65"/>
      <c r="BN1781" s="65"/>
      <c r="BO1781" s="65"/>
      <c r="BP1781" s="65"/>
      <c r="BQ1781" s="65"/>
      <c r="BR1781" s="65"/>
      <c r="BS1781" s="65"/>
      <c r="BT1781" s="65"/>
      <c r="BU1781" s="65"/>
      <c r="BV1781" s="65"/>
      <c r="BW1781" s="65"/>
      <c r="BX1781" s="65"/>
      <c r="BY1781" s="65"/>
      <c r="BZ1781" s="65"/>
      <c r="CA1781" s="65"/>
      <c r="CB1781" s="65"/>
      <c r="CC1781" s="65"/>
      <c r="CD1781" s="65"/>
      <c r="CE1781" s="65"/>
      <c r="CF1781" s="65"/>
      <c r="CG1781" s="65"/>
      <c r="CH1781" s="65"/>
      <c r="CI1781" s="65"/>
      <c r="CJ1781" s="65"/>
      <c r="CK1781" s="65"/>
      <c r="CL1781" s="65"/>
      <c r="CM1781" s="65"/>
      <c r="CN1781" s="65"/>
      <c r="CO1781" s="65"/>
      <c r="CP1781" s="65"/>
      <c r="CQ1781" s="65"/>
      <c r="CR1781" s="65"/>
      <c r="CS1781" s="65"/>
      <c r="CT1781" s="65"/>
      <c r="CU1781" s="65"/>
      <c r="CV1781" s="65"/>
      <c r="CW1781" s="65"/>
      <c r="CX1781" s="65"/>
      <c r="CY1781" s="65"/>
      <c r="CZ1781" s="65"/>
      <c r="DA1781" s="65"/>
      <c r="DB1781" s="65"/>
      <c r="DC1781" s="65"/>
      <c r="DD1781" s="65"/>
      <c r="DE1781" s="65"/>
      <c r="DF1781" s="65"/>
      <c r="DG1781" s="65"/>
      <c r="DH1781" s="65"/>
      <c r="DI1781" s="65"/>
    </row>
    <row r="1782" spans="1:113">
      <c r="A1782" s="76"/>
      <c r="B1782" s="950" t="s">
        <v>1311</v>
      </c>
      <c r="C1782" s="951"/>
      <c r="D1782" s="951"/>
      <c r="E1782" s="951"/>
      <c r="F1782" s="951"/>
      <c r="G1782" s="951"/>
      <c r="H1782" s="951"/>
      <c r="I1782" s="951"/>
      <c r="J1782" s="952" t="s">
        <v>1312</v>
      </c>
      <c r="K1782" s="953"/>
      <c r="L1782" s="953"/>
      <c r="M1782" s="953"/>
      <c r="N1782" s="953"/>
      <c r="O1782" s="953"/>
      <c r="P1782" s="953"/>
      <c r="Q1782" s="951"/>
      <c r="R1782" s="954" t="s">
        <v>1313</v>
      </c>
      <c r="S1782" s="951"/>
      <c r="T1782" s="951"/>
      <c r="U1782" s="951"/>
      <c r="V1782" s="951"/>
      <c r="W1782" s="951"/>
      <c r="X1782" s="951"/>
      <c r="Y1782" s="951"/>
      <c r="Z1782" s="952" t="s">
        <v>1314</v>
      </c>
      <c r="AA1782" s="953"/>
      <c r="AB1782" s="953"/>
      <c r="AC1782" s="953"/>
      <c r="AD1782" s="953"/>
      <c r="AE1782" s="953"/>
      <c r="AF1782" s="953"/>
      <c r="AG1782" s="951"/>
      <c r="AH1782" s="954" t="s">
        <v>1315</v>
      </c>
      <c r="AI1782" s="951"/>
      <c r="AJ1782" s="951"/>
      <c r="AK1782" s="951"/>
      <c r="AL1782" s="951"/>
      <c r="AM1782" s="951"/>
      <c r="AN1782" s="951"/>
      <c r="AO1782" s="951"/>
      <c r="AP1782" s="952" t="s">
        <v>1316</v>
      </c>
      <c r="AQ1782" s="953"/>
      <c r="AR1782" s="953"/>
      <c r="AS1782" s="953"/>
      <c r="AT1782" s="953"/>
      <c r="AU1782" s="953"/>
      <c r="AV1782" s="953"/>
      <c r="AW1782" s="951"/>
      <c r="AX1782" s="954" t="s">
        <v>1317</v>
      </c>
      <c r="AY1782" s="951"/>
      <c r="AZ1782" s="951"/>
      <c r="BA1782" s="951"/>
      <c r="BB1782" s="951"/>
      <c r="BC1782" s="951"/>
      <c r="BD1782" s="951"/>
      <c r="BE1782" s="951"/>
      <c r="BF1782" s="952" t="s">
        <v>1318</v>
      </c>
      <c r="BG1782" s="953"/>
      <c r="BH1782" s="953"/>
      <c r="BI1782" s="953"/>
      <c r="BJ1782" s="953"/>
      <c r="BK1782" s="953"/>
      <c r="BL1782" s="953"/>
      <c r="BM1782" s="955"/>
      <c r="BN1782" s="954" t="s">
        <v>1319</v>
      </c>
      <c r="BO1782" s="955"/>
      <c r="BP1782" s="955"/>
      <c r="BQ1782" s="955"/>
      <c r="BR1782" s="955"/>
      <c r="BS1782" s="955"/>
      <c r="BT1782" s="955"/>
      <c r="BU1782" s="955"/>
      <c r="BV1782" s="952" t="s">
        <v>1320</v>
      </c>
      <c r="BW1782" s="956"/>
      <c r="BX1782" s="956"/>
      <c r="BY1782" s="956"/>
      <c r="BZ1782" s="956"/>
      <c r="CA1782" s="956"/>
      <c r="CB1782" s="956"/>
      <c r="CC1782" s="955"/>
      <c r="CD1782" s="954" t="s">
        <v>1321</v>
      </c>
      <c r="CE1782" s="955"/>
      <c r="CF1782" s="955"/>
      <c r="CG1782" s="955"/>
      <c r="CH1782" s="955"/>
      <c r="CI1782" s="955"/>
      <c r="CJ1782" s="955"/>
      <c r="CK1782" s="955"/>
      <c r="CL1782" s="952" t="s">
        <v>1322</v>
      </c>
      <c r="CM1782" s="956"/>
      <c r="CN1782" s="956"/>
      <c r="CO1782" s="956"/>
      <c r="CP1782" s="956"/>
      <c r="CQ1782" s="956"/>
      <c r="CR1782" s="956"/>
      <c r="CS1782" s="955"/>
      <c r="CT1782" s="954" t="s">
        <v>1323</v>
      </c>
      <c r="CU1782" s="955"/>
      <c r="CV1782" s="955"/>
      <c r="CW1782" s="955"/>
      <c r="CX1782" s="955"/>
      <c r="CY1782" s="955"/>
      <c r="CZ1782" s="955"/>
      <c r="DA1782" s="955"/>
      <c r="DB1782" s="952" t="s">
        <v>1324</v>
      </c>
      <c r="DC1782" s="956"/>
      <c r="DD1782" s="956"/>
      <c r="DE1782" s="956"/>
      <c r="DF1782" s="956"/>
      <c r="DG1782" s="956"/>
      <c r="DH1782" s="957"/>
      <c r="DI1782" s="65"/>
    </row>
    <row r="1783" spans="1:113">
      <c r="A1783" s="76"/>
      <c r="B1783" s="958"/>
      <c r="C1783" s="959"/>
      <c r="D1783" s="959"/>
      <c r="E1783" s="959"/>
      <c r="F1783" s="959"/>
      <c r="G1783" s="959"/>
      <c r="H1783" s="959"/>
      <c r="I1783" s="959"/>
      <c r="J1783" s="960"/>
      <c r="K1783" s="961"/>
      <c r="L1783" s="961"/>
      <c r="M1783" s="961"/>
      <c r="N1783" s="961"/>
      <c r="O1783" s="961"/>
      <c r="P1783" s="961"/>
      <c r="Q1783" s="959"/>
      <c r="R1783" s="962"/>
      <c r="S1783" s="959"/>
      <c r="T1783" s="959"/>
      <c r="U1783" s="959"/>
      <c r="V1783" s="959"/>
      <c r="W1783" s="959"/>
      <c r="X1783" s="959"/>
      <c r="Y1783" s="959"/>
      <c r="Z1783" s="960"/>
      <c r="AA1783" s="961"/>
      <c r="AB1783" s="961"/>
      <c r="AC1783" s="961"/>
      <c r="AD1783" s="961"/>
      <c r="AE1783" s="961"/>
      <c r="AF1783" s="961"/>
      <c r="AG1783" s="959"/>
      <c r="AH1783" s="962"/>
      <c r="AI1783" s="959"/>
      <c r="AJ1783" s="959"/>
      <c r="AK1783" s="959"/>
      <c r="AL1783" s="959"/>
      <c r="AM1783" s="959"/>
      <c r="AN1783" s="959"/>
      <c r="AO1783" s="959"/>
      <c r="AP1783" s="960"/>
      <c r="AQ1783" s="961"/>
      <c r="AR1783" s="961"/>
      <c r="AS1783" s="961"/>
      <c r="AT1783" s="961"/>
      <c r="AU1783" s="961"/>
      <c r="AV1783" s="961"/>
      <c r="AW1783" s="959"/>
      <c r="AX1783" s="962"/>
      <c r="AY1783" s="959"/>
      <c r="AZ1783" s="959"/>
      <c r="BA1783" s="959"/>
      <c r="BB1783" s="959"/>
      <c r="BC1783" s="959"/>
      <c r="BD1783" s="959"/>
      <c r="BE1783" s="959"/>
      <c r="BF1783" s="960"/>
      <c r="BG1783" s="961"/>
      <c r="BH1783" s="961"/>
      <c r="BI1783" s="961"/>
      <c r="BJ1783" s="961"/>
      <c r="BK1783" s="961"/>
      <c r="BL1783" s="961"/>
      <c r="BM1783" s="963"/>
      <c r="BN1783" s="962"/>
      <c r="BO1783" s="963"/>
      <c r="BP1783" s="963"/>
      <c r="BQ1783" s="963"/>
      <c r="BR1783" s="963"/>
      <c r="BS1783" s="963"/>
      <c r="BT1783" s="963"/>
      <c r="BU1783" s="963"/>
      <c r="BV1783" s="960"/>
      <c r="BW1783" s="964"/>
      <c r="BX1783" s="964"/>
      <c r="BY1783" s="964"/>
      <c r="BZ1783" s="964"/>
      <c r="CA1783" s="964"/>
      <c r="CB1783" s="964"/>
      <c r="CC1783" s="963"/>
      <c r="CD1783" s="962"/>
      <c r="CE1783" s="963"/>
      <c r="CF1783" s="963"/>
      <c r="CG1783" s="963"/>
      <c r="CH1783" s="963"/>
      <c r="CI1783" s="963"/>
      <c r="CJ1783" s="963"/>
      <c r="CK1783" s="963"/>
      <c r="CL1783" s="960"/>
      <c r="CM1783" s="964"/>
      <c r="CN1783" s="964"/>
      <c r="CO1783" s="964"/>
      <c r="CP1783" s="964"/>
      <c r="CQ1783" s="964"/>
      <c r="CR1783" s="964"/>
      <c r="CS1783" s="963"/>
      <c r="CT1783" s="962"/>
      <c r="CU1783" s="963"/>
      <c r="CV1783" s="963"/>
      <c r="CW1783" s="963"/>
      <c r="CX1783" s="963"/>
      <c r="CY1783" s="963"/>
      <c r="CZ1783" s="963"/>
      <c r="DA1783" s="963"/>
      <c r="DB1783" s="960"/>
      <c r="DC1783" s="964"/>
      <c r="DD1783" s="964"/>
      <c r="DE1783" s="964"/>
      <c r="DF1783" s="964"/>
      <c r="DG1783" s="964"/>
      <c r="DH1783" s="965"/>
      <c r="DI1783" s="65"/>
    </row>
    <row r="1784" spans="1:113">
      <c r="A1784" s="76"/>
      <c r="B1784" s="966"/>
      <c r="C1784" s="967">
        <v>6.3648495040812183E-3</v>
      </c>
      <c r="D1784" s="967">
        <v>0.26176035277929866</v>
      </c>
      <c r="E1784" s="967">
        <v>0.4063869220949865</v>
      </c>
      <c r="F1784" s="967">
        <v>0.19868988461610343</v>
      </c>
      <c r="G1784" s="967">
        <v>2.8705608202568597E-3</v>
      </c>
      <c r="H1784" s="967">
        <v>0.1239274301852733</v>
      </c>
      <c r="I1784" s="967"/>
      <c r="J1784" s="968"/>
      <c r="K1784" s="968">
        <v>6.3648495040812183E-3</v>
      </c>
      <c r="L1784" s="968">
        <v>0.26176035277929866</v>
      </c>
      <c r="M1784" s="968">
        <v>0.4063869220949865</v>
      </c>
      <c r="N1784" s="968">
        <v>0.19868988461610343</v>
      </c>
      <c r="O1784" s="968">
        <v>2.8705608202568597E-3</v>
      </c>
      <c r="P1784" s="968">
        <v>0.1239274301852733</v>
      </c>
      <c r="Q1784" s="967"/>
      <c r="R1784" s="967"/>
      <c r="S1784" s="967">
        <v>0.12600808918700393</v>
      </c>
      <c r="T1784" s="967">
        <v>0.52656599281402394</v>
      </c>
      <c r="U1784" s="967">
        <v>9.6142559568749092E-2</v>
      </c>
      <c r="V1784" s="967">
        <v>0</v>
      </c>
      <c r="W1784" s="967">
        <v>8.0088400157553984E-3</v>
      </c>
      <c r="X1784" s="967">
        <v>0.24327451841446768</v>
      </c>
      <c r="Y1784" s="967"/>
      <c r="Z1784" s="968"/>
      <c r="AA1784" s="968">
        <v>0.12600808918700393</v>
      </c>
      <c r="AB1784" s="968">
        <v>0.52656599281402394</v>
      </c>
      <c r="AC1784" s="968">
        <v>9.6142559568749092E-2</v>
      </c>
      <c r="AD1784" s="968">
        <v>0</v>
      </c>
      <c r="AE1784" s="968">
        <v>8.0088400157553984E-3</v>
      </c>
      <c r="AF1784" s="968">
        <v>0.24327451841446768</v>
      </c>
      <c r="AG1784" s="967"/>
      <c r="AH1784" s="967"/>
      <c r="AI1784" s="967">
        <v>1.6983780193416544E-2</v>
      </c>
      <c r="AJ1784" s="967">
        <v>0.60249200640319689</v>
      </c>
      <c r="AK1784" s="967">
        <v>0.23312943832809729</v>
      </c>
      <c r="AL1784" s="967">
        <v>0.12254797462597906</v>
      </c>
      <c r="AM1784" s="967">
        <v>5.0179405135083845E-3</v>
      </c>
      <c r="AN1784" s="967">
        <v>1.9828859935801857E-2</v>
      </c>
      <c r="AO1784" s="967"/>
      <c r="AP1784" s="968"/>
      <c r="AQ1784" s="968">
        <v>1.6983780193416544E-2</v>
      </c>
      <c r="AR1784" s="968">
        <v>0.60249200640319689</v>
      </c>
      <c r="AS1784" s="968">
        <v>0.23312943832809729</v>
      </c>
      <c r="AT1784" s="968">
        <v>0.12254797462597906</v>
      </c>
      <c r="AU1784" s="968">
        <v>5.0179405135083845E-3</v>
      </c>
      <c r="AV1784" s="968">
        <v>1.9828859935801857E-2</v>
      </c>
      <c r="AW1784" s="967"/>
      <c r="AX1784" s="967"/>
      <c r="AY1784" s="967">
        <v>0.70348969660524785</v>
      </c>
      <c r="AZ1784" s="967">
        <v>0</v>
      </c>
      <c r="BA1784" s="967">
        <v>0.13672414080262368</v>
      </c>
      <c r="BB1784" s="967">
        <v>0</v>
      </c>
      <c r="BC1784" s="967">
        <v>3.2079701935891436E-2</v>
      </c>
      <c r="BD1784" s="967">
        <v>0.12770646065623703</v>
      </c>
      <c r="BE1784" s="967"/>
      <c r="BF1784" s="968"/>
      <c r="BG1784" s="968">
        <v>0.70348969660524785</v>
      </c>
      <c r="BH1784" s="968">
        <v>0</v>
      </c>
      <c r="BI1784" s="968">
        <v>0.13672414080262368</v>
      </c>
      <c r="BJ1784" s="968">
        <v>0</v>
      </c>
      <c r="BK1784" s="968">
        <v>3.2079701935891436E-2</v>
      </c>
      <c r="BL1784" s="968">
        <v>0.12770646065623703</v>
      </c>
      <c r="BM1784" s="166"/>
      <c r="BN1784" s="166"/>
      <c r="BO1784" s="166">
        <v>2.4827539919594342E-3</v>
      </c>
      <c r="BP1784" s="166">
        <v>2.5967057183860262E-2</v>
      </c>
      <c r="BQ1784" s="166">
        <v>0.61834724487268422</v>
      </c>
      <c r="BR1784" s="166">
        <v>0.12187351300523605</v>
      </c>
      <c r="BS1784" s="166">
        <v>5.7100832173389857E-3</v>
      </c>
      <c r="BT1784" s="166">
        <v>0.225619347728921</v>
      </c>
      <c r="BU1784" s="166"/>
      <c r="BV1784" s="969"/>
      <c r="BW1784" s="969">
        <v>2.4827539919594342E-3</v>
      </c>
      <c r="BX1784" s="969">
        <v>2.5967057183860262E-2</v>
      </c>
      <c r="BY1784" s="969">
        <v>0.61834724487268422</v>
      </c>
      <c r="BZ1784" s="969">
        <v>0.12187351300523605</v>
      </c>
      <c r="CA1784" s="969">
        <v>5.7100832173389857E-3</v>
      </c>
      <c r="CB1784" s="969">
        <v>0.225619347728921</v>
      </c>
      <c r="CC1784" s="166"/>
      <c r="CD1784" s="166"/>
      <c r="CE1784" s="166">
        <v>1.4408742179993697E-2</v>
      </c>
      <c r="CF1784" s="166">
        <v>0.50108628475332262</v>
      </c>
      <c r="CG1784" s="166">
        <v>2.6078174337301849E-2</v>
      </c>
      <c r="CH1784" s="166">
        <v>0.28703791803913159</v>
      </c>
      <c r="CI1784" s="166">
        <v>5.8199915439939428E-3</v>
      </c>
      <c r="CJ1784" s="166">
        <v>0.16556888914625634</v>
      </c>
      <c r="CK1784" s="166"/>
      <c r="CL1784" s="969"/>
      <c r="CM1784" s="969">
        <v>1.4408742179993697E-2</v>
      </c>
      <c r="CN1784" s="969">
        <v>0.50108628475332262</v>
      </c>
      <c r="CO1784" s="969">
        <v>2.6078174337301849E-2</v>
      </c>
      <c r="CP1784" s="969">
        <v>0.28703791803913159</v>
      </c>
      <c r="CQ1784" s="969">
        <v>5.8199915439939428E-3</v>
      </c>
      <c r="CR1784" s="969">
        <v>0.16556888914625634</v>
      </c>
      <c r="CS1784" s="166"/>
      <c r="CT1784" s="166"/>
      <c r="CU1784" s="166">
        <v>2.2967397240305797E-3</v>
      </c>
      <c r="CV1784" s="166">
        <v>0.15928373874540541</v>
      </c>
      <c r="CW1784" s="166">
        <v>0.51329205900283081</v>
      </c>
      <c r="CX1784" s="166">
        <v>0.28292805717099656</v>
      </c>
      <c r="CY1784" s="166">
        <v>8.584123550100047E-4</v>
      </c>
      <c r="CZ1784" s="166">
        <v>4.1340993001726556E-2</v>
      </c>
      <c r="DA1784" s="166"/>
      <c r="DB1784" s="969"/>
      <c r="DC1784" s="969">
        <v>2.2967397240305797E-3</v>
      </c>
      <c r="DD1784" s="969">
        <v>0.15928373874540541</v>
      </c>
      <c r="DE1784" s="969">
        <v>0.51329205900283081</v>
      </c>
      <c r="DF1784" s="969">
        <v>0.28292805717099656</v>
      </c>
      <c r="DG1784" s="969">
        <v>8.584123550100047E-4</v>
      </c>
      <c r="DH1784" s="970">
        <v>4.1340993001726556E-2</v>
      </c>
      <c r="DI1784" s="65"/>
    </row>
    <row r="1785" spans="1:113">
      <c r="A1785" s="76"/>
      <c r="B1785" s="971"/>
      <c r="C1785" s="972">
        <v>6.3648495040812183E-3</v>
      </c>
      <c r="D1785" s="972">
        <v>0.26176035277929866</v>
      </c>
      <c r="E1785" s="972">
        <v>0.4063869220949865</v>
      </c>
      <c r="F1785" s="972">
        <v>0.19868988461610343</v>
      </c>
      <c r="G1785" s="972">
        <v>2.8705608202568597E-3</v>
      </c>
      <c r="H1785" s="967">
        <v>0.1239274301852733</v>
      </c>
      <c r="I1785" s="967"/>
      <c r="J1785" s="968"/>
      <c r="K1785" s="973">
        <v>6.3648495040812183E-3</v>
      </c>
      <c r="L1785" s="973">
        <v>0.26176035277929866</v>
      </c>
      <c r="M1785" s="973">
        <v>0.4063869220949865</v>
      </c>
      <c r="N1785" s="973">
        <v>0.19868988461610343</v>
      </c>
      <c r="O1785" s="973">
        <v>2.8705608202568597E-3</v>
      </c>
      <c r="P1785" s="968">
        <v>0.1239274301852733</v>
      </c>
      <c r="Q1785" s="967"/>
      <c r="R1785" s="967"/>
      <c r="S1785" s="972">
        <v>0.12600808918700393</v>
      </c>
      <c r="T1785" s="972">
        <v>0.52656599281402394</v>
      </c>
      <c r="U1785" s="972">
        <v>9.6142559568749092E-2</v>
      </c>
      <c r="V1785" s="972">
        <v>0</v>
      </c>
      <c r="W1785" s="972">
        <v>8.0088400157553984E-3</v>
      </c>
      <c r="X1785" s="967">
        <v>0.24327451841446768</v>
      </c>
      <c r="Y1785" s="967"/>
      <c r="Z1785" s="968"/>
      <c r="AA1785" s="973">
        <v>0.12600808918700393</v>
      </c>
      <c r="AB1785" s="973">
        <v>0.52656599281402394</v>
      </c>
      <c r="AC1785" s="973">
        <v>9.6142559568749092E-2</v>
      </c>
      <c r="AD1785" s="973">
        <v>0</v>
      </c>
      <c r="AE1785" s="973">
        <v>8.0088400157553984E-3</v>
      </c>
      <c r="AF1785" s="968">
        <v>0.24327451841446768</v>
      </c>
      <c r="AG1785" s="967"/>
      <c r="AH1785" s="967"/>
      <c r="AI1785" s="972">
        <v>1.6983780193416544E-2</v>
      </c>
      <c r="AJ1785" s="972">
        <v>0.60249200640319689</v>
      </c>
      <c r="AK1785" s="972">
        <v>0.23312943832809729</v>
      </c>
      <c r="AL1785" s="972">
        <v>0.12254797462597906</v>
      </c>
      <c r="AM1785" s="972">
        <v>5.0179405135083845E-3</v>
      </c>
      <c r="AN1785" s="967">
        <v>1.9828859935801857E-2</v>
      </c>
      <c r="AO1785" s="967"/>
      <c r="AP1785" s="968"/>
      <c r="AQ1785" s="973">
        <v>1.6983780193416544E-2</v>
      </c>
      <c r="AR1785" s="973">
        <v>0.60249200640319689</v>
      </c>
      <c r="AS1785" s="973">
        <v>0.23312943832809729</v>
      </c>
      <c r="AT1785" s="973">
        <v>0.12254797462597906</v>
      </c>
      <c r="AU1785" s="973">
        <v>5.0179405135083845E-3</v>
      </c>
      <c r="AV1785" s="968">
        <v>1.9828859935801857E-2</v>
      </c>
      <c r="AW1785" s="967"/>
      <c r="AX1785" s="967"/>
      <c r="AY1785" s="972">
        <v>0.70348969660524785</v>
      </c>
      <c r="AZ1785" s="972">
        <v>0</v>
      </c>
      <c r="BA1785" s="972">
        <v>0.13672414080262368</v>
      </c>
      <c r="BB1785" s="972">
        <v>0</v>
      </c>
      <c r="BC1785" s="972">
        <v>3.2079701935891436E-2</v>
      </c>
      <c r="BD1785" s="967">
        <v>0.12770646065623703</v>
      </c>
      <c r="BE1785" s="967"/>
      <c r="BF1785" s="968"/>
      <c r="BG1785" s="973">
        <v>0.70348969660524785</v>
      </c>
      <c r="BH1785" s="973">
        <v>0</v>
      </c>
      <c r="BI1785" s="973">
        <v>0.13672414080262368</v>
      </c>
      <c r="BJ1785" s="973">
        <v>0</v>
      </c>
      <c r="BK1785" s="973">
        <v>3.2079701935891436E-2</v>
      </c>
      <c r="BL1785" s="968">
        <v>0.12770646065623703</v>
      </c>
      <c r="BM1785" s="166"/>
      <c r="BN1785" s="166"/>
      <c r="BO1785" s="972">
        <v>2.4827539919594342E-3</v>
      </c>
      <c r="BP1785" s="972">
        <v>2.5967057183860262E-2</v>
      </c>
      <c r="BQ1785" s="972">
        <v>0.61834724487268422</v>
      </c>
      <c r="BR1785" s="972">
        <v>0.12187351300523605</v>
      </c>
      <c r="BS1785" s="972">
        <v>5.7100832173389857E-3</v>
      </c>
      <c r="BT1785" s="166">
        <v>0.225619347728921</v>
      </c>
      <c r="BU1785" s="166"/>
      <c r="BV1785" s="969"/>
      <c r="BW1785" s="973">
        <v>2.4827539919594342E-3</v>
      </c>
      <c r="BX1785" s="973">
        <v>2.5967057183860262E-2</v>
      </c>
      <c r="BY1785" s="973">
        <v>0.61834724487268422</v>
      </c>
      <c r="BZ1785" s="973">
        <v>0.12187351300523605</v>
      </c>
      <c r="CA1785" s="973">
        <v>5.7100832173389857E-3</v>
      </c>
      <c r="CB1785" s="969">
        <v>0.225619347728921</v>
      </c>
      <c r="CC1785" s="166"/>
      <c r="CD1785" s="166"/>
      <c r="CE1785" s="972">
        <v>1.4408742179993697E-2</v>
      </c>
      <c r="CF1785" s="972">
        <v>0.50108628475332262</v>
      </c>
      <c r="CG1785" s="972">
        <v>2.6078174337301849E-2</v>
      </c>
      <c r="CH1785" s="972">
        <v>0.28703791803913159</v>
      </c>
      <c r="CI1785" s="972">
        <v>5.8199915439939428E-3</v>
      </c>
      <c r="CJ1785" s="166">
        <v>0.16556888914625634</v>
      </c>
      <c r="CK1785" s="166"/>
      <c r="CL1785" s="969"/>
      <c r="CM1785" s="973">
        <v>1.4408742179993697E-2</v>
      </c>
      <c r="CN1785" s="973">
        <v>0.50108628475332262</v>
      </c>
      <c r="CO1785" s="973">
        <v>2.6078174337301849E-2</v>
      </c>
      <c r="CP1785" s="973">
        <v>0.28703791803913159</v>
      </c>
      <c r="CQ1785" s="973">
        <v>5.8199915439939428E-3</v>
      </c>
      <c r="CR1785" s="969">
        <v>0.16556888914625634</v>
      </c>
      <c r="CS1785" s="166"/>
      <c r="CT1785" s="166"/>
      <c r="CU1785" s="972">
        <v>2.2967397240305797E-3</v>
      </c>
      <c r="CV1785" s="972">
        <v>0.15928373874540541</v>
      </c>
      <c r="CW1785" s="972">
        <v>0.51329205900283081</v>
      </c>
      <c r="CX1785" s="972">
        <v>0.28292805717099656</v>
      </c>
      <c r="CY1785" s="972">
        <v>8.584123550100047E-4</v>
      </c>
      <c r="CZ1785" s="166">
        <v>4.1340993001726556E-2</v>
      </c>
      <c r="DA1785" s="166"/>
      <c r="DB1785" s="969"/>
      <c r="DC1785" s="973">
        <v>2.2967397240305797E-3</v>
      </c>
      <c r="DD1785" s="973">
        <v>0.15928373874540541</v>
      </c>
      <c r="DE1785" s="973">
        <v>0.51329205900283081</v>
      </c>
      <c r="DF1785" s="973">
        <v>0.28292805717099656</v>
      </c>
      <c r="DG1785" s="973">
        <v>8.584123550100047E-4</v>
      </c>
      <c r="DH1785" s="970">
        <v>4.1340993001726556E-2</v>
      </c>
      <c r="DI1785" s="65"/>
    </row>
    <row r="1786" spans="1:113">
      <c r="A1786" s="76"/>
      <c r="B1786" s="974" t="s">
        <v>1325</v>
      </c>
      <c r="C1786" s="975" t="s">
        <v>1326</v>
      </c>
      <c r="D1786" s="975" t="s">
        <v>836</v>
      </c>
      <c r="E1786" s="975" t="s">
        <v>277</v>
      </c>
      <c r="F1786" s="975" t="s">
        <v>1327</v>
      </c>
      <c r="G1786" s="975" t="s">
        <v>1304</v>
      </c>
      <c r="H1786" s="976" t="s">
        <v>1328</v>
      </c>
      <c r="I1786" s="977"/>
      <c r="J1786" s="978" t="s">
        <v>1325</v>
      </c>
      <c r="K1786" s="979" t="s">
        <v>1326</v>
      </c>
      <c r="L1786" s="979" t="s">
        <v>836</v>
      </c>
      <c r="M1786" s="979" t="s">
        <v>277</v>
      </c>
      <c r="N1786" s="979" t="s">
        <v>1327</v>
      </c>
      <c r="O1786" s="979" t="s">
        <v>1304</v>
      </c>
      <c r="P1786" s="980" t="s">
        <v>1328</v>
      </c>
      <c r="Q1786" s="977"/>
      <c r="R1786" s="981" t="s">
        <v>1325</v>
      </c>
      <c r="S1786" s="975" t="s">
        <v>1326</v>
      </c>
      <c r="T1786" s="975" t="s">
        <v>836</v>
      </c>
      <c r="U1786" s="975" t="s">
        <v>277</v>
      </c>
      <c r="V1786" s="975" t="s">
        <v>1327</v>
      </c>
      <c r="W1786" s="975" t="s">
        <v>1304</v>
      </c>
      <c r="X1786" s="976" t="s">
        <v>1328</v>
      </c>
      <c r="Y1786" s="977"/>
      <c r="Z1786" s="978" t="s">
        <v>1325</v>
      </c>
      <c r="AA1786" s="979" t="s">
        <v>1326</v>
      </c>
      <c r="AB1786" s="979" t="s">
        <v>836</v>
      </c>
      <c r="AC1786" s="979" t="s">
        <v>277</v>
      </c>
      <c r="AD1786" s="979" t="s">
        <v>1327</v>
      </c>
      <c r="AE1786" s="979" t="s">
        <v>1304</v>
      </c>
      <c r="AF1786" s="980" t="s">
        <v>1328</v>
      </c>
      <c r="AG1786" s="977"/>
      <c r="AH1786" s="981" t="s">
        <v>1325</v>
      </c>
      <c r="AI1786" s="975" t="s">
        <v>1326</v>
      </c>
      <c r="AJ1786" s="975" t="s">
        <v>836</v>
      </c>
      <c r="AK1786" s="975" t="s">
        <v>277</v>
      </c>
      <c r="AL1786" s="975" t="s">
        <v>1327</v>
      </c>
      <c r="AM1786" s="975" t="s">
        <v>1304</v>
      </c>
      <c r="AN1786" s="976" t="s">
        <v>1328</v>
      </c>
      <c r="AO1786" s="977"/>
      <c r="AP1786" s="978" t="s">
        <v>1325</v>
      </c>
      <c r="AQ1786" s="979" t="s">
        <v>1326</v>
      </c>
      <c r="AR1786" s="979" t="s">
        <v>836</v>
      </c>
      <c r="AS1786" s="979" t="s">
        <v>277</v>
      </c>
      <c r="AT1786" s="979" t="s">
        <v>1327</v>
      </c>
      <c r="AU1786" s="979" t="s">
        <v>1304</v>
      </c>
      <c r="AV1786" s="980" t="s">
        <v>1328</v>
      </c>
      <c r="AW1786" s="977"/>
      <c r="AX1786" s="981" t="s">
        <v>1325</v>
      </c>
      <c r="AY1786" s="975" t="s">
        <v>1326</v>
      </c>
      <c r="AZ1786" s="975" t="s">
        <v>836</v>
      </c>
      <c r="BA1786" s="975" t="s">
        <v>277</v>
      </c>
      <c r="BB1786" s="975" t="s">
        <v>1327</v>
      </c>
      <c r="BC1786" s="975" t="s">
        <v>1304</v>
      </c>
      <c r="BD1786" s="976" t="s">
        <v>1328</v>
      </c>
      <c r="BE1786" s="977"/>
      <c r="BF1786" s="978" t="s">
        <v>1325</v>
      </c>
      <c r="BG1786" s="979" t="s">
        <v>1326</v>
      </c>
      <c r="BH1786" s="979" t="s">
        <v>836</v>
      </c>
      <c r="BI1786" s="979" t="s">
        <v>277</v>
      </c>
      <c r="BJ1786" s="979" t="s">
        <v>1327</v>
      </c>
      <c r="BK1786" s="979" t="s">
        <v>1304</v>
      </c>
      <c r="BL1786" s="980" t="s">
        <v>1328</v>
      </c>
      <c r="BM1786" s="982"/>
      <c r="BN1786" s="981" t="s">
        <v>1325</v>
      </c>
      <c r="BO1786" s="975" t="s">
        <v>1326</v>
      </c>
      <c r="BP1786" s="975" t="s">
        <v>836</v>
      </c>
      <c r="BQ1786" s="975" t="s">
        <v>277</v>
      </c>
      <c r="BR1786" s="975" t="s">
        <v>1327</v>
      </c>
      <c r="BS1786" s="975" t="s">
        <v>1304</v>
      </c>
      <c r="BT1786" s="976" t="s">
        <v>1328</v>
      </c>
      <c r="BU1786" s="982"/>
      <c r="BV1786" s="978" t="s">
        <v>1325</v>
      </c>
      <c r="BW1786" s="979" t="s">
        <v>1326</v>
      </c>
      <c r="BX1786" s="979" t="s">
        <v>836</v>
      </c>
      <c r="BY1786" s="979" t="s">
        <v>277</v>
      </c>
      <c r="BZ1786" s="979" t="s">
        <v>1327</v>
      </c>
      <c r="CA1786" s="979" t="s">
        <v>1304</v>
      </c>
      <c r="CB1786" s="980" t="s">
        <v>1328</v>
      </c>
      <c r="CC1786" s="982"/>
      <c r="CD1786" s="981" t="s">
        <v>1325</v>
      </c>
      <c r="CE1786" s="975" t="s">
        <v>1326</v>
      </c>
      <c r="CF1786" s="975" t="s">
        <v>836</v>
      </c>
      <c r="CG1786" s="975" t="s">
        <v>277</v>
      </c>
      <c r="CH1786" s="975" t="s">
        <v>1327</v>
      </c>
      <c r="CI1786" s="975" t="s">
        <v>1304</v>
      </c>
      <c r="CJ1786" s="976" t="s">
        <v>1328</v>
      </c>
      <c r="CK1786" s="982"/>
      <c r="CL1786" s="978" t="s">
        <v>1325</v>
      </c>
      <c r="CM1786" s="979" t="s">
        <v>1326</v>
      </c>
      <c r="CN1786" s="979" t="s">
        <v>836</v>
      </c>
      <c r="CO1786" s="979" t="s">
        <v>277</v>
      </c>
      <c r="CP1786" s="979" t="s">
        <v>1327</v>
      </c>
      <c r="CQ1786" s="979" t="s">
        <v>1304</v>
      </c>
      <c r="CR1786" s="980" t="s">
        <v>1328</v>
      </c>
      <c r="CS1786" s="982"/>
      <c r="CT1786" s="981" t="s">
        <v>1325</v>
      </c>
      <c r="CU1786" s="975" t="s">
        <v>1326</v>
      </c>
      <c r="CV1786" s="975" t="s">
        <v>836</v>
      </c>
      <c r="CW1786" s="975" t="s">
        <v>277</v>
      </c>
      <c r="CX1786" s="975" t="s">
        <v>1327</v>
      </c>
      <c r="CY1786" s="975" t="s">
        <v>1304</v>
      </c>
      <c r="CZ1786" s="976" t="s">
        <v>1328</v>
      </c>
      <c r="DA1786" s="982"/>
      <c r="DB1786" s="978" t="s">
        <v>1325</v>
      </c>
      <c r="DC1786" s="979" t="s">
        <v>1326</v>
      </c>
      <c r="DD1786" s="979" t="s">
        <v>836</v>
      </c>
      <c r="DE1786" s="979" t="s">
        <v>277</v>
      </c>
      <c r="DF1786" s="979" t="s">
        <v>1327</v>
      </c>
      <c r="DG1786" s="979" t="s">
        <v>1304</v>
      </c>
      <c r="DH1786" s="983" t="s">
        <v>1328</v>
      </c>
      <c r="DI1786" s="65"/>
    </row>
    <row r="1787" spans="1:113">
      <c r="A1787" s="76"/>
      <c r="B1787" s="984">
        <v>1990</v>
      </c>
      <c r="C1787" s="967">
        <v>4.2000000000000003E-2</v>
      </c>
      <c r="D1787" s="967">
        <v>0.123</v>
      </c>
      <c r="E1787" s="967">
        <v>0.52500000000000002</v>
      </c>
      <c r="F1787" s="967">
        <v>0.19</v>
      </c>
      <c r="G1787" s="967">
        <v>1.0999999999999999E-2</v>
      </c>
      <c r="H1787" s="967">
        <v>0.10899999999999987</v>
      </c>
      <c r="I1787" s="977"/>
      <c r="J1787" s="985">
        <v>1990</v>
      </c>
      <c r="K1787" s="968">
        <v>4.2000000000000003E-2</v>
      </c>
      <c r="L1787" s="968">
        <v>0.123</v>
      </c>
      <c r="M1787" s="968">
        <v>0.52500000000000002</v>
      </c>
      <c r="N1787" s="968">
        <v>0.19</v>
      </c>
      <c r="O1787" s="968">
        <v>1.0999999999999999E-2</v>
      </c>
      <c r="P1787" s="968">
        <v>0.10899999999999987</v>
      </c>
      <c r="Q1787" s="977"/>
      <c r="R1787" s="986">
        <v>1990</v>
      </c>
      <c r="S1787" s="967">
        <v>7.4984019671383906E-2</v>
      </c>
      <c r="T1787" s="967">
        <v>0.63868744079711126</v>
      </c>
      <c r="U1787" s="967">
        <v>6.9432079597171084E-2</v>
      </c>
      <c r="V1787" s="967">
        <v>0</v>
      </c>
      <c r="W1787" s="967">
        <v>0</v>
      </c>
      <c r="X1787" s="967">
        <v>0.21689645993433371</v>
      </c>
      <c r="Y1787" s="977"/>
      <c r="Z1787" s="985">
        <v>1990</v>
      </c>
      <c r="AA1787" s="968">
        <v>7.4984019671383906E-2</v>
      </c>
      <c r="AB1787" s="968">
        <v>0.63868744079711126</v>
      </c>
      <c r="AC1787" s="968">
        <v>6.9432079597171084E-2</v>
      </c>
      <c r="AD1787" s="968">
        <v>0</v>
      </c>
      <c r="AE1787" s="968">
        <v>0</v>
      </c>
      <c r="AF1787" s="968">
        <v>0.21689645993433371</v>
      </c>
      <c r="AG1787" s="977"/>
      <c r="AH1787" s="986">
        <v>1990</v>
      </c>
      <c r="AI1787" s="967">
        <v>0.20297284736313742</v>
      </c>
      <c r="AJ1787" s="967">
        <v>0.1415926960081062</v>
      </c>
      <c r="AK1787" s="967">
        <v>0.47784611722142251</v>
      </c>
      <c r="AL1787" s="967">
        <v>0.1761759588487356</v>
      </c>
      <c r="AM1787" s="967">
        <v>0</v>
      </c>
      <c r="AN1787" s="967">
        <v>1.4123805585982696E-3</v>
      </c>
      <c r="AO1787" s="977"/>
      <c r="AP1787" s="985">
        <v>1990</v>
      </c>
      <c r="AQ1787" s="968">
        <v>0.20297284736313742</v>
      </c>
      <c r="AR1787" s="968">
        <v>0.1415926960081062</v>
      </c>
      <c r="AS1787" s="968">
        <v>0.47784611722142251</v>
      </c>
      <c r="AT1787" s="968">
        <v>0.1761759588487356</v>
      </c>
      <c r="AU1787" s="968">
        <v>0</v>
      </c>
      <c r="AV1787" s="968">
        <v>1.4123805585982696E-3</v>
      </c>
      <c r="AW1787" s="977"/>
      <c r="AX1787" s="986">
        <v>1990</v>
      </c>
      <c r="AY1787" s="967">
        <v>0.99640549588199046</v>
      </c>
      <c r="AZ1787" s="967">
        <v>0</v>
      </c>
      <c r="BA1787" s="967">
        <v>0</v>
      </c>
      <c r="BB1787" s="967">
        <v>0</v>
      </c>
      <c r="BC1787" s="967">
        <v>0</v>
      </c>
      <c r="BD1787" s="967">
        <v>3.5945041180095449E-3</v>
      </c>
      <c r="BE1787" s="977"/>
      <c r="BF1787" s="985">
        <v>1990</v>
      </c>
      <c r="BG1787" s="968">
        <v>0.99640549588199046</v>
      </c>
      <c r="BH1787" s="968">
        <v>0</v>
      </c>
      <c r="BI1787" s="968">
        <v>0</v>
      </c>
      <c r="BJ1787" s="968">
        <v>0</v>
      </c>
      <c r="BK1787" s="968">
        <v>0</v>
      </c>
      <c r="BL1787" s="968">
        <v>3.5945041180095449E-3</v>
      </c>
      <c r="BM1787" s="982"/>
      <c r="BN1787" s="986">
        <v>1990</v>
      </c>
      <c r="BO1787" s="166">
        <v>3.3988586541065595E-3</v>
      </c>
      <c r="BP1787" s="166">
        <v>6.1217355283467896E-3</v>
      </c>
      <c r="BQ1787" s="166">
        <v>0.7298982524461306</v>
      </c>
      <c r="BR1787" s="166">
        <v>0.19813974098778225</v>
      </c>
      <c r="BS1787" s="166">
        <v>0</v>
      </c>
      <c r="BT1787" s="166">
        <v>6.2441412383633876E-2</v>
      </c>
      <c r="BU1787" s="982"/>
      <c r="BV1787" s="987">
        <v>1990</v>
      </c>
      <c r="BW1787" s="969">
        <v>3.3988586541065595E-3</v>
      </c>
      <c r="BX1787" s="969">
        <v>6.1217355283467896E-3</v>
      </c>
      <c r="BY1787" s="969">
        <v>0.7298982524461306</v>
      </c>
      <c r="BZ1787" s="969">
        <v>0.19813974098778225</v>
      </c>
      <c r="CA1787" s="969">
        <v>0</v>
      </c>
      <c r="CB1787" s="969">
        <v>6.2441412383633876E-2</v>
      </c>
      <c r="CC1787" s="982"/>
      <c r="CD1787" s="986">
        <v>1990</v>
      </c>
      <c r="CE1787" s="166">
        <v>0.33601735643610753</v>
      </c>
      <c r="CF1787" s="166">
        <v>0.17874163795906503</v>
      </c>
      <c r="CG1787" s="166">
        <v>0.14176109039272214</v>
      </c>
      <c r="CH1787" s="166">
        <v>0.25476206998520379</v>
      </c>
      <c r="CI1787" s="166">
        <v>0</v>
      </c>
      <c r="CJ1787" s="166">
        <v>8.8717845226901515E-2</v>
      </c>
      <c r="CK1787" s="982"/>
      <c r="CL1787" s="987">
        <v>1990</v>
      </c>
      <c r="CM1787" s="969">
        <v>0.33601735643610753</v>
      </c>
      <c r="CN1787" s="969">
        <v>0.17874163795906503</v>
      </c>
      <c r="CO1787" s="969">
        <v>0.14176109039272214</v>
      </c>
      <c r="CP1787" s="969">
        <v>0.25476206998520379</v>
      </c>
      <c r="CQ1787" s="969">
        <v>0</v>
      </c>
      <c r="CR1787" s="969">
        <v>8.8717845226901515E-2</v>
      </c>
      <c r="CS1787" s="982"/>
      <c r="CT1787" s="986">
        <v>1990</v>
      </c>
      <c r="CU1787" s="166">
        <v>1.8266359499641227E-2</v>
      </c>
      <c r="CV1787" s="166">
        <v>1.093055031090643E-2</v>
      </c>
      <c r="CW1787" s="166">
        <v>0.77260740624575652</v>
      </c>
      <c r="CX1787" s="166">
        <v>0.18321036250311101</v>
      </c>
      <c r="CY1787" s="166">
        <v>0</v>
      </c>
      <c r="CZ1787" s="166">
        <v>1.4985321440584842E-2</v>
      </c>
      <c r="DA1787" s="982"/>
      <c r="DB1787" s="987">
        <v>1990</v>
      </c>
      <c r="DC1787" s="969">
        <v>1.8266359499641227E-2</v>
      </c>
      <c r="DD1787" s="969">
        <v>1.093055031090643E-2</v>
      </c>
      <c r="DE1787" s="969">
        <v>0.77260740624575652</v>
      </c>
      <c r="DF1787" s="969">
        <v>0.18321036250311101</v>
      </c>
      <c r="DG1787" s="969">
        <v>0</v>
      </c>
      <c r="DH1787" s="970">
        <v>1.4985321440584842E-2</v>
      </c>
      <c r="DI1787" s="65"/>
    </row>
    <row r="1788" spans="1:113">
      <c r="A1788" s="76"/>
      <c r="B1788" s="984">
        <v>1995</v>
      </c>
      <c r="C1788" s="967">
        <v>2.1999999999999999E-2</v>
      </c>
      <c r="D1788" s="967">
        <v>0.14799999999999999</v>
      </c>
      <c r="E1788" s="967">
        <v>0.51</v>
      </c>
      <c r="F1788" s="967">
        <v>0.20100000000000001</v>
      </c>
      <c r="G1788" s="967">
        <v>1.2E-2</v>
      </c>
      <c r="H1788" s="967">
        <v>0.10699999999999998</v>
      </c>
      <c r="I1788" s="977"/>
      <c r="J1788" s="985">
        <v>1995</v>
      </c>
      <c r="K1788" s="968">
        <v>2.1999999999999999E-2</v>
      </c>
      <c r="L1788" s="968">
        <v>0.14799999999999999</v>
      </c>
      <c r="M1788" s="968">
        <v>0.51</v>
      </c>
      <c r="N1788" s="968">
        <v>0.20100000000000001</v>
      </c>
      <c r="O1788" s="968">
        <v>1.2E-2</v>
      </c>
      <c r="P1788" s="968">
        <v>0.10699999999999998</v>
      </c>
      <c r="Q1788" s="977"/>
      <c r="R1788" s="986">
        <v>1995</v>
      </c>
      <c r="S1788" s="967">
        <v>0.10040186328560682</v>
      </c>
      <c r="T1788" s="967">
        <v>0.55270850242690106</v>
      </c>
      <c r="U1788" s="967">
        <v>6.3799665024524846E-2</v>
      </c>
      <c r="V1788" s="967">
        <v>0</v>
      </c>
      <c r="W1788" s="967">
        <v>0</v>
      </c>
      <c r="X1788" s="967">
        <v>0.28308996926296726</v>
      </c>
      <c r="Y1788" s="977"/>
      <c r="Z1788" s="985">
        <v>1995</v>
      </c>
      <c r="AA1788" s="968">
        <v>0.10040186328560682</v>
      </c>
      <c r="AB1788" s="968">
        <v>0.55270850242690106</v>
      </c>
      <c r="AC1788" s="968">
        <v>6.3799665024524846E-2</v>
      </c>
      <c r="AD1788" s="968">
        <v>0</v>
      </c>
      <c r="AE1788" s="968">
        <v>0</v>
      </c>
      <c r="AF1788" s="968">
        <v>0.28308996926296726</v>
      </c>
      <c r="AG1788" s="977"/>
      <c r="AH1788" s="986">
        <v>1995</v>
      </c>
      <c r="AI1788" s="967">
        <v>0.14666806436056959</v>
      </c>
      <c r="AJ1788" s="967">
        <v>0.23605861491143684</v>
      </c>
      <c r="AK1788" s="967">
        <v>0.42039842376442788</v>
      </c>
      <c r="AL1788" s="967">
        <v>0.19530622883565385</v>
      </c>
      <c r="AM1788" s="967">
        <v>0</v>
      </c>
      <c r="AN1788" s="967">
        <v>1.5686681279117876E-3</v>
      </c>
      <c r="AO1788" s="977"/>
      <c r="AP1788" s="985">
        <v>1995</v>
      </c>
      <c r="AQ1788" s="968">
        <v>0.14666806436056959</v>
      </c>
      <c r="AR1788" s="968">
        <v>0.23605861491143684</v>
      </c>
      <c r="AS1788" s="968">
        <v>0.42039842376442788</v>
      </c>
      <c r="AT1788" s="968">
        <v>0.19530622883565385</v>
      </c>
      <c r="AU1788" s="968">
        <v>0</v>
      </c>
      <c r="AV1788" s="968">
        <v>1.5686681279117876E-3</v>
      </c>
      <c r="AW1788" s="977"/>
      <c r="AX1788" s="986">
        <v>1995</v>
      </c>
      <c r="AY1788" s="967">
        <v>0.99742237565955005</v>
      </c>
      <c r="AZ1788" s="967">
        <v>0</v>
      </c>
      <c r="BA1788" s="967">
        <v>0</v>
      </c>
      <c r="BB1788" s="967">
        <v>0</v>
      </c>
      <c r="BC1788" s="967">
        <v>0</v>
      </c>
      <c r="BD1788" s="967">
        <v>2.5776243404499466E-3</v>
      </c>
      <c r="BE1788" s="977"/>
      <c r="BF1788" s="985">
        <v>1995</v>
      </c>
      <c r="BG1788" s="968">
        <v>0.99742237565955005</v>
      </c>
      <c r="BH1788" s="968">
        <v>0</v>
      </c>
      <c r="BI1788" s="968">
        <v>0</v>
      </c>
      <c r="BJ1788" s="968">
        <v>0</v>
      </c>
      <c r="BK1788" s="968">
        <v>0</v>
      </c>
      <c r="BL1788" s="968">
        <v>2.5776243404499466E-3</v>
      </c>
      <c r="BM1788" s="982"/>
      <c r="BN1788" s="986">
        <v>1995</v>
      </c>
      <c r="BO1788" s="166">
        <v>4.1232749525296278E-3</v>
      </c>
      <c r="BP1788" s="166">
        <v>1.0204279641689157E-2</v>
      </c>
      <c r="BQ1788" s="166">
        <v>0.72253984955917638</v>
      </c>
      <c r="BR1788" s="166">
        <v>0.18651271064224359</v>
      </c>
      <c r="BS1788" s="166">
        <v>0</v>
      </c>
      <c r="BT1788" s="166">
        <v>7.6619885204361249E-2</v>
      </c>
      <c r="BU1788" s="982"/>
      <c r="BV1788" s="987">
        <v>1995</v>
      </c>
      <c r="BW1788" s="969">
        <v>4.1232749525296278E-3</v>
      </c>
      <c r="BX1788" s="969">
        <v>1.0204279641689157E-2</v>
      </c>
      <c r="BY1788" s="969">
        <v>0.72253984955917638</v>
      </c>
      <c r="BZ1788" s="969">
        <v>0.18651271064224359</v>
      </c>
      <c r="CA1788" s="969">
        <v>0</v>
      </c>
      <c r="CB1788" s="969">
        <v>7.6619885204361249E-2</v>
      </c>
      <c r="CC1788" s="982"/>
      <c r="CD1788" s="986">
        <v>1995</v>
      </c>
      <c r="CE1788" s="166">
        <v>0.15618404924883109</v>
      </c>
      <c r="CF1788" s="166">
        <v>0.28615101444619173</v>
      </c>
      <c r="CG1788" s="166">
        <v>0.11146109517137193</v>
      </c>
      <c r="CH1788" s="166">
        <v>0.36675130214578577</v>
      </c>
      <c r="CI1788" s="166">
        <v>0</v>
      </c>
      <c r="CJ1788" s="166">
        <v>7.9452538987819454E-2</v>
      </c>
      <c r="CK1788" s="982"/>
      <c r="CL1788" s="987">
        <v>1995</v>
      </c>
      <c r="CM1788" s="969">
        <v>0.15618404924883109</v>
      </c>
      <c r="CN1788" s="969">
        <v>0.28615101444619173</v>
      </c>
      <c r="CO1788" s="969">
        <v>0.11146109517137193</v>
      </c>
      <c r="CP1788" s="969">
        <v>0.36675130214578577</v>
      </c>
      <c r="CQ1788" s="969">
        <v>0</v>
      </c>
      <c r="CR1788" s="969">
        <v>7.9452538987819454E-2</v>
      </c>
      <c r="CS1788" s="982"/>
      <c r="CT1788" s="986">
        <v>1995</v>
      </c>
      <c r="CU1788" s="166">
        <v>1.0563099297015068E-2</v>
      </c>
      <c r="CV1788" s="166">
        <v>1.5982181997442384E-2</v>
      </c>
      <c r="CW1788" s="166">
        <v>0.75275521177834959</v>
      </c>
      <c r="CX1788" s="166">
        <v>0.20889164895584547</v>
      </c>
      <c r="CY1788" s="166">
        <v>0</v>
      </c>
      <c r="CZ1788" s="166">
        <v>1.1807857971347535E-2</v>
      </c>
      <c r="DA1788" s="982"/>
      <c r="DB1788" s="987">
        <v>1995</v>
      </c>
      <c r="DC1788" s="969">
        <v>1.0563099297015068E-2</v>
      </c>
      <c r="DD1788" s="969">
        <v>1.5982181997442384E-2</v>
      </c>
      <c r="DE1788" s="969">
        <v>0.75275521177834959</v>
      </c>
      <c r="DF1788" s="969">
        <v>0.20889164895584547</v>
      </c>
      <c r="DG1788" s="969">
        <v>0</v>
      </c>
      <c r="DH1788" s="970">
        <v>1.1807857971347535E-2</v>
      </c>
      <c r="DI1788" s="65"/>
    </row>
    <row r="1789" spans="1:113">
      <c r="A1789" s="76"/>
      <c r="B1789" s="984">
        <v>2000</v>
      </c>
      <c r="C1789" s="967">
        <v>2.9000000000000001E-2</v>
      </c>
      <c r="D1789" s="967">
        <v>0.158</v>
      </c>
      <c r="E1789" s="967">
        <v>0.51700000000000002</v>
      </c>
      <c r="F1789" s="967">
        <v>0.19800000000000001</v>
      </c>
      <c r="G1789" s="967">
        <v>1.0999999999999999E-2</v>
      </c>
      <c r="H1789" s="967">
        <v>8.7000000000000077E-2</v>
      </c>
      <c r="I1789" s="977"/>
      <c r="J1789" s="985">
        <v>2000</v>
      </c>
      <c r="K1789" s="968">
        <v>2.9000000000000001E-2</v>
      </c>
      <c r="L1789" s="968">
        <v>0.158</v>
      </c>
      <c r="M1789" s="968">
        <v>0.51700000000000002</v>
      </c>
      <c r="N1789" s="968">
        <v>0.19800000000000001</v>
      </c>
      <c r="O1789" s="968">
        <v>1.0999999999999999E-2</v>
      </c>
      <c r="P1789" s="968">
        <v>8.7000000000000077E-2</v>
      </c>
      <c r="Q1789" s="977"/>
      <c r="R1789" s="986">
        <v>2000</v>
      </c>
      <c r="S1789" s="967">
        <v>0.11280848705071828</v>
      </c>
      <c r="T1789" s="967">
        <v>0.64685226098778636</v>
      </c>
      <c r="U1789" s="967">
        <v>3.7446885555929323E-2</v>
      </c>
      <c r="V1789" s="967">
        <v>0</v>
      </c>
      <c r="W1789" s="967">
        <v>0</v>
      </c>
      <c r="X1789" s="967">
        <v>0.20289236640556596</v>
      </c>
      <c r="Y1789" s="977"/>
      <c r="Z1789" s="985">
        <v>2000</v>
      </c>
      <c r="AA1789" s="968">
        <v>0.11280848705071828</v>
      </c>
      <c r="AB1789" s="968">
        <v>0.64685226098778636</v>
      </c>
      <c r="AC1789" s="968">
        <v>3.7446885555929323E-2</v>
      </c>
      <c r="AD1789" s="968">
        <v>0</v>
      </c>
      <c r="AE1789" s="968">
        <v>0</v>
      </c>
      <c r="AF1789" s="968">
        <v>0.20289236640556596</v>
      </c>
      <c r="AG1789" s="977"/>
      <c r="AH1789" s="986">
        <v>2000</v>
      </c>
      <c r="AI1789" s="967">
        <v>0.20211522326760897</v>
      </c>
      <c r="AJ1789" s="967">
        <v>0.21191889242175219</v>
      </c>
      <c r="AK1789" s="967">
        <v>0.39521923178876739</v>
      </c>
      <c r="AL1789" s="967">
        <v>0.19007359986016251</v>
      </c>
      <c r="AM1789" s="967">
        <v>0</v>
      </c>
      <c r="AN1789" s="967">
        <v>6.7305266170902822E-4</v>
      </c>
      <c r="AO1789" s="977"/>
      <c r="AP1789" s="985">
        <v>2000</v>
      </c>
      <c r="AQ1789" s="968">
        <v>0.20211522326760897</v>
      </c>
      <c r="AR1789" s="968">
        <v>0.21191889242175219</v>
      </c>
      <c r="AS1789" s="968">
        <v>0.39521923178876739</v>
      </c>
      <c r="AT1789" s="968">
        <v>0.19007359986016251</v>
      </c>
      <c r="AU1789" s="968">
        <v>0</v>
      </c>
      <c r="AV1789" s="968">
        <v>6.7305266170902822E-4</v>
      </c>
      <c r="AW1789" s="977"/>
      <c r="AX1789" s="986">
        <v>2000</v>
      </c>
      <c r="AY1789" s="967">
        <v>0.99728173875677695</v>
      </c>
      <c r="AZ1789" s="967">
        <v>0</v>
      </c>
      <c r="BA1789" s="967">
        <v>0</v>
      </c>
      <c r="BB1789" s="967">
        <v>0</v>
      </c>
      <c r="BC1789" s="967">
        <v>0</v>
      </c>
      <c r="BD1789" s="967">
        <v>2.7182612432230524E-3</v>
      </c>
      <c r="BE1789" s="977"/>
      <c r="BF1789" s="985">
        <v>2000</v>
      </c>
      <c r="BG1789" s="968">
        <v>0.99728173875677695</v>
      </c>
      <c r="BH1789" s="968">
        <v>0</v>
      </c>
      <c r="BI1789" s="968">
        <v>0</v>
      </c>
      <c r="BJ1789" s="968">
        <v>0</v>
      </c>
      <c r="BK1789" s="968">
        <v>0</v>
      </c>
      <c r="BL1789" s="968">
        <v>2.7182612432230524E-3</v>
      </c>
      <c r="BM1789" s="982"/>
      <c r="BN1789" s="986">
        <v>2000</v>
      </c>
      <c r="BO1789" s="166">
        <v>4.1569848665922865E-3</v>
      </c>
      <c r="BP1789" s="166">
        <v>1.1074202924976663E-2</v>
      </c>
      <c r="BQ1789" s="166">
        <v>0.74458314281847493</v>
      </c>
      <c r="BR1789" s="166">
        <v>0.17732256086609161</v>
      </c>
      <c r="BS1789" s="166">
        <v>0</v>
      </c>
      <c r="BT1789" s="166">
        <v>6.2863108523864453E-2</v>
      </c>
      <c r="BU1789" s="982"/>
      <c r="BV1789" s="987">
        <v>2000</v>
      </c>
      <c r="BW1789" s="969">
        <v>4.1569848665922865E-3</v>
      </c>
      <c r="BX1789" s="969">
        <v>1.1074202924976663E-2</v>
      </c>
      <c r="BY1789" s="969">
        <v>0.74458314281847493</v>
      </c>
      <c r="BZ1789" s="969">
        <v>0.17732256086609161</v>
      </c>
      <c r="CA1789" s="969">
        <v>0</v>
      </c>
      <c r="CB1789" s="969">
        <v>6.2863108523864453E-2</v>
      </c>
      <c r="CC1789" s="982"/>
      <c r="CD1789" s="986">
        <v>2000</v>
      </c>
      <c r="CE1789" s="166">
        <v>0.14383093960412355</v>
      </c>
      <c r="CF1789" s="166">
        <v>0.11507129115805846</v>
      </c>
      <c r="CG1789" s="166">
        <v>0.13220933140950628</v>
      </c>
      <c r="CH1789" s="166">
        <v>0.58092766252598005</v>
      </c>
      <c r="CI1789" s="166">
        <v>0</v>
      </c>
      <c r="CJ1789" s="166">
        <v>2.7960775302331653E-2</v>
      </c>
      <c r="CK1789" s="982"/>
      <c r="CL1789" s="987">
        <v>2000</v>
      </c>
      <c r="CM1789" s="969">
        <v>0.14383093960412355</v>
      </c>
      <c r="CN1789" s="969">
        <v>0.11507129115805846</v>
      </c>
      <c r="CO1789" s="969">
        <v>0.13220933140950628</v>
      </c>
      <c r="CP1789" s="969">
        <v>0.58092766252598005</v>
      </c>
      <c r="CQ1789" s="969">
        <v>0</v>
      </c>
      <c r="CR1789" s="969">
        <v>2.7960775302331653E-2</v>
      </c>
      <c r="CS1789" s="982"/>
      <c r="CT1789" s="986">
        <v>2000</v>
      </c>
      <c r="CU1789" s="166">
        <v>9.9747348859146635E-3</v>
      </c>
      <c r="CV1789" s="166">
        <v>1.2156112199157836E-2</v>
      </c>
      <c r="CW1789" s="166">
        <v>0.76943311520947288</v>
      </c>
      <c r="CX1789" s="166">
        <v>0.19545685850440872</v>
      </c>
      <c r="CY1789" s="166">
        <v>0</v>
      </c>
      <c r="CZ1789" s="166">
        <v>1.2979179201045854E-2</v>
      </c>
      <c r="DA1789" s="982"/>
      <c r="DB1789" s="987">
        <v>2000</v>
      </c>
      <c r="DC1789" s="969">
        <v>9.9747348859146635E-3</v>
      </c>
      <c r="DD1789" s="969">
        <v>1.2156112199157836E-2</v>
      </c>
      <c r="DE1789" s="969">
        <v>0.76943311520947288</v>
      </c>
      <c r="DF1789" s="969">
        <v>0.19545685850440872</v>
      </c>
      <c r="DG1789" s="969">
        <v>0</v>
      </c>
      <c r="DH1789" s="970">
        <v>1.2979179201045854E-2</v>
      </c>
      <c r="DI1789" s="65"/>
    </row>
    <row r="1790" spans="1:113">
      <c r="A1790" s="76"/>
      <c r="B1790" s="984">
        <v>2005</v>
      </c>
      <c r="C1790" s="967">
        <v>2.9000000000000001E-2</v>
      </c>
      <c r="D1790" s="967">
        <v>0.157</v>
      </c>
      <c r="E1790" s="967">
        <v>0.51700000000000002</v>
      </c>
      <c r="F1790" s="967">
        <v>0.20300000000000001</v>
      </c>
      <c r="G1790" s="967">
        <v>1.2E-2</v>
      </c>
      <c r="H1790" s="967">
        <v>8.1999999999999851E-2</v>
      </c>
      <c r="I1790" s="977"/>
      <c r="J1790" s="985">
        <v>2005</v>
      </c>
      <c r="K1790" s="968">
        <v>2.9000000000000001E-2</v>
      </c>
      <c r="L1790" s="968">
        <v>0.157</v>
      </c>
      <c r="M1790" s="968">
        <v>0.51700000000000002</v>
      </c>
      <c r="N1790" s="968">
        <v>0.20300000000000001</v>
      </c>
      <c r="O1790" s="968">
        <v>1.2E-2</v>
      </c>
      <c r="P1790" s="968">
        <v>8.1999999999999851E-2</v>
      </c>
      <c r="Q1790" s="977"/>
      <c r="R1790" s="986">
        <v>2005</v>
      </c>
      <c r="S1790" s="967">
        <v>0.11529464116937553</v>
      </c>
      <c r="T1790" s="967">
        <v>0.6015218591935485</v>
      </c>
      <c r="U1790" s="967">
        <v>3.6884382965240693E-2</v>
      </c>
      <c r="V1790" s="967">
        <v>0</v>
      </c>
      <c r="W1790" s="967">
        <v>0</v>
      </c>
      <c r="X1790" s="967">
        <v>0.24629911667183535</v>
      </c>
      <c r="Y1790" s="977"/>
      <c r="Z1790" s="985">
        <v>2005</v>
      </c>
      <c r="AA1790" s="968">
        <v>0.11529464116937553</v>
      </c>
      <c r="AB1790" s="968">
        <v>0.6015218591935485</v>
      </c>
      <c r="AC1790" s="968">
        <v>3.6884382965240693E-2</v>
      </c>
      <c r="AD1790" s="968">
        <v>0</v>
      </c>
      <c r="AE1790" s="968">
        <v>0</v>
      </c>
      <c r="AF1790" s="968">
        <v>0.24629911667183535</v>
      </c>
      <c r="AG1790" s="977"/>
      <c r="AH1790" s="986">
        <v>2005</v>
      </c>
      <c r="AI1790" s="967">
        <v>0.18420562633300269</v>
      </c>
      <c r="AJ1790" s="967">
        <v>0.37370594246596767</v>
      </c>
      <c r="AK1790" s="967">
        <v>0.29352626950581956</v>
      </c>
      <c r="AL1790" s="967">
        <v>0.14665665899789992</v>
      </c>
      <c r="AM1790" s="967">
        <v>0</v>
      </c>
      <c r="AN1790" s="967">
        <v>1.9055026973100464E-3</v>
      </c>
      <c r="AO1790" s="977"/>
      <c r="AP1790" s="985">
        <v>2005</v>
      </c>
      <c r="AQ1790" s="968">
        <v>0.18420562633300269</v>
      </c>
      <c r="AR1790" s="968">
        <v>0.37370594246596767</v>
      </c>
      <c r="AS1790" s="968">
        <v>0.29352626950581956</v>
      </c>
      <c r="AT1790" s="968">
        <v>0.14665665899789992</v>
      </c>
      <c r="AU1790" s="968">
        <v>0</v>
      </c>
      <c r="AV1790" s="968">
        <v>1.9055026973100464E-3</v>
      </c>
      <c r="AW1790" s="977"/>
      <c r="AX1790" s="986">
        <v>2005</v>
      </c>
      <c r="AY1790" s="967">
        <v>0.99842866953601506</v>
      </c>
      <c r="AZ1790" s="967">
        <v>0</v>
      </c>
      <c r="BA1790" s="967">
        <v>0</v>
      </c>
      <c r="BB1790" s="967">
        <v>0</v>
      </c>
      <c r="BC1790" s="967">
        <v>0</v>
      </c>
      <c r="BD1790" s="967">
        <v>1.5713304639849435E-3</v>
      </c>
      <c r="BE1790" s="977"/>
      <c r="BF1790" s="985">
        <v>2005</v>
      </c>
      <c r="BG1790" s="968">
        <v>0.99842866953601506</v>
      </c>
      <c r="BH1790" s="968">
        <v>0</v>
      </c>
      <c r="BI1790" s="968">
        <v>0</v>
      </c>
      <c r="BJ1790" s="968">
        <v>0</v>
      </c>
      <c r="BK1790" s="968">
        <v>0</v>
      </c>
      <c r="BL1790" s="968">
        <v>1.5713304639849435E-3</v>
      </c>
      <c r="BM1790" s="982"/>
      <c r="BN1790" s="986">
        <v>2005</v>
      </c>
      <c r="BO1790" s="166">
        <v>6.7993173364957523E-3</v>
      </c>
      <c r="BP1790" s="166">
        <v>3.6164883188116989E-2</v>
      </c>
      <c r="BQ1790" s="166">
        <v>0.74124052329840817</v>
      </c>
      <c r="BR1790" s="166">
        <v>0.16963183533366175</v>
      </c>
      <c r="BS1790" s="166">
        <v>0</v>
      </c>
      <c r="BT1790" s="166">
        <v>4.616344084331736E-2</v>
      </c>
      <c r="BU1790" s="982"/>
      <c r="BV1790" s="987">
        <v>2005</v>
      </c>
      <c r="BW1790" s="969">
        <v>6.7993173364957523E-3</v>
      </c>
      <c r="BX1790" s="969">
        <v>3.6164883188116989E-2</v>
      </c>
      <c r="BY1790" s="969">
        <v>0.74124052329840817</v>
      </c>
      <c r="BZ1790" s="969">
        <v>0.16963183533366175</v>
      </c>
      <c r="CA1790" s="969">
        <v>0</v>
      </c>
      <c r="CB1790" s="969">
        <v>4.616344084331736E-2</v>
      </c>
      <c r="CC1790" s="982"/>
      <c r="CD1790" s="986">
        <v>2005</v>
      </c>
      <c r="CE1790" s="166">
        <v>0.16397617918251658</v>
      </c>
      <c r="CF1790" s="166">
        <v>0.10985636153300887</v>
      </c>
      <c r="CG1790" s="166">
        <v>0.20188667796513071</v>
      </c>
      <c r="CH1790" s="166">
        <v>0.36490675947586637</v>
      </c>
      <c r="CI1790" s="166">
        <v>2.4595588291970285E-3</v>
      </c>
      <c r="CJ1790" s="166">
        <v>0.15691446301428047</v>
      </c>
      <c r="CK1790" s="982"/>
      <c r="CL1790" s="987">
        <v>2005</v>
      </c>
      <c r="CM1790" s="969">
        <v>0.16397617918251658</v>
      </c>
      <c r="CN1790" s="969">
        <v>0.10985636153300887</v>
      </c>
      <c r="CO1790" s="969">
        <v>0.20188667796513071</v>
      </c>
      <c r="CP1790" s="969">
        <v>0.36490675947586637</v>
      </c>
      <c r="CQ1790" s="969">
        <v>2.4595588291970285E-3</v>
      </c>
      <c r="CR1790" s="969">
        <v>0.15691446301428047</v>
      </c>
      <c r="CS1790" s="982"/>
      <c r="CT1790" s="986">
        <v>2005</v>
      </c>
      <c r="CU1790" s="166">
        <v>4.1762331234261284E-3</v>
      </c>
      <c r="CV1790" s="166">
        <v>9.5332231805292725E-3</v>
      </c>
      <c r="CW1790" s="166">
        <v>0.88885562052793843</v>
      </c>
      <c r="CX1790" s="166">
        <v>8.4000465136371757E-2</v>
      </c>
      <c r="CY1790" s="166">
        <v>0</v>
      </c>
      <c r="CZ1790" s="166">
        <v>1.3434458031734486E-2</v>
      </c>
      <c r="DA1790" s="982"/>
      <c r="DB1790" s="987">
        <v>2005</v>
      </c>
      <c r="DC1790" s="969">
        <v>4.1762331234261284E-3</v>
      </c>
      <c r="DD1790" s="969">
        <v>9.5332231805292725E-3</v>
      </c>
      <c r="DE1790" s="969">
        <v>0.88885562052793843</v>
      </c>
      <c r="DF1790" s="969">
        <v>8.4000465136371757E-2</v>
      </c>
      <c r="DG1790" s="969">
        <v>0</v>
      </c>
      <c r="DH1790" s="970">
        <v>1.3434458031734486E-2</v>
      </c>
      <c r="DI1790" s="65"/>
    </row>
    <row r="1791" spans="1:113">
      <c r="A1791" s="76"/>
      <c r="B1791" s="988">
        <v>2010</v>
      </c>
      <c r="C1791" s="166">
        <v>8.7368601174741285E-3</v>
      </c>
      <c r="D1791" s="166">
        <v>0.22709226998425441</v>
      </c>
      <c r="E1791" s="166">
        <v>0.46047220013162315</v>
      </c>
      <c r="F1791" s="166">
        <v>0.20330431868106691</v>
      </c>
      <c r="G1791" s="166">
        <v>2.8835860200578912E-3</v>
      </c>
      <c r="H1791" s="166">
        <v>9.7510765065523475E-2</v>
      </c>
      <c r="I1791" s="982"/>
      <c r="J1791" s="987">
        <v>2010</v>
      </c>
      <c r="K1791" s="969">
        <v>8.7368601174741285E-3</v>
      </c>
      <c r="L1791" s="969">
        <v>0.22709226998425441</v>
      </c>
      <c r="M1791" s="969">
        <v>0.46047220013162315</v>
      </c>
      <c r="N1791" s="969">
        <v>0.20330431868106691</v>
      </c>
      <c r="O1791" s="969">
        <v>2.8835860200578912E-3</v>
      </c>
      <c r="P1791" s="969">
        <v>9.7510765065523475E-2</v>
      </c>
      <c r="Q1791" s="982"/>
      <c r="R1791" s="989">
        <v>2010</v>
      </c>
      <c r="S1791" s="166">
        <v>0.14262834304316646</v>
      </c>
      <c r="T1791" s="166">
        <v>0.59384033972328987</v>
      </c>
      <c r="U1791" s="166">
        <v>3.0535934440496047E-2</v>
      </c>
      <c r="V1791" s="166">
        <v>0</v>
      </c>
      <c r="W1791" s="166">
        <v>8.7200535639682716E-3</v>
      </c>
      <c r="X1791" s="166">
        <v>0.22427532922907922</v>
      </c>
      <c r="Y1791" s="982"/>
      <c r="Z1791" s="987">
        <v>2010</v>
      </c>
      <c r="AA1791" s="969">
        <v>0.14262834304316646</v>
      </c>
      <c r="AB1791" s="969">
        <v>0.59384033972328987</v>
      </c>
      <c r="AC1791" s="969">
        <v>3.0535934440496047E-2</v>
      </c>
      <c r="AD1791" s="969">
        <v>0</v>
      </c>
      <c r="AE1791" s="969">
        <v>8.7200535639682716E-3</v>
      </c>
      <c r="AF1791" s="969">
        <v>0.22427532922907922</v>
      </c>
      <c r="AG1791" s="982"/>
      <c r="AH1791" s="989">
        <v>2010</v>
      </c>
      <c r="AI1791" s="166">
        <v>4.2448333484004022E-2</v>
      </c>
      <c r="AJ1791" s="166">
        <v>0.58106733984192671</v>
      </c>
      <c r="AK1791" s="166">
        <v>0.24731234851055348</v>
      </c>
      <c r="AL1791" s="166">
        <v>0.11201326911676276</v>
      </c>
      <c r="AM1791" s="166">
        <v>1.8271087430630135E-3</v>
      </c>
      <c r="AN1791" s="166">
        <v>1.5331600303689963E-2</v>
      </c>
      <c r="AO1791" s="982"/>
      <c r="AP1791" s="987">
        <v>2010</v>
      </c>
      <c r="AQ1791" s="969">
        <v>4.2448333484004022E-2</v>
      </c>
      <c r="AR1791" s="969">
        <v>0.58106733984192671</v>
      </c>
      <c r="AS1791" s="969">
        <v>0.24731234851055348</v>
      </c>
      <c r="AT1791" s="969">
        <v>0.11201326911676276</v>
      </c>
      <c r="AU1791" s="969">
        <v>1.8271087430630135E-3</v>
      </c>
      <c r="AV1791" s="969">
        <v>1.5331600303689963E-2</v>
      </c>
      <c r="AW1791" s="982"/>
      <c r="AX1791" s="989">
        <v>2010</v>
      </c>
      <c r="AY1791" s="166">
        <v>0.96299883355350968</v>
      </c>
      <c r="AZ1791" s="166">
        <v>3.4143653090958515E-2</v>
      </c>
      <c r="BA1791" s="166">
        <v>0</v>
      </c>
      <c r="BB1791" s="166">
        <v>0</v>
      </c>
      <c r="BC1791" s="166">
        <v>0</v>
      </c>
      <c r="BD1791" s="166">
        <v>2.8575133555317489E-3</v>
      </c>
      <c r="BE1791" s="982"/>
      <c r="BF1791" s="987">
        <v>2010</v>
      </c>
      <c r="BG1791" s="969">
        <v>0.96299883355350968</v>
      </c>
      <c r="BH1791" s="969">
        <v>3.4143653090958515E-2</v>
      </c>
      <c r="BI1791" s="969">
        <v>0</v>
      </c>
      <c r="BJ1791" s="969">
        <v>0</v>
      </c>
      <c r="BK1791" s="969">
        <v>0</v>
      </c>
      <c r="BL1791" s="969">
        <v>2.8575133555317489E-3</v>
      </c>
      <c r="BM1791" s="982"/>
      <c r="BN1791" s="989">
        <v>2010</v>
      </c>
      <c r="BO1791" s="166">
        <v>3.257402479441189E-3</v>
      </c>
      <c r="BP1791" s="166">
        <v>3.2961183343825418E-2</v>
      </c>
      <c r="BQ1791" s="166">
        <v>0.65519685791045945</v>
      </c>
      <c r="BR1791" s="166">
        <v>0.15138677761156705</v>
      </c>
      <c r="BS1791" s="166">
        <v>3.0839179468425512E-3</v>
      </c>
      <c r="BT1791" s="166">
        <v>0.15411386070786426</v>
      </c>
      <c r="BU1791" s="982"/>
      <c r="BV1791" s="987">
        <v>2010</v>
      </c>
      <c r="BW1791" s="969">
        <v>3.257402479441189E-3</v>
      </c>
      <c r="BX1791" s="969">
        <v>3.2961183343825418E-2</v>
      </c>
      <c r="BY1791" s="969">
        <v>0.65519685791045945</v>
      </c>
      <c r="BZ1791" s="969">
        <v>0.15138677761156705</v>
      </c>
      <c r="CA1791" s="969">
        <v>3.0839179468425512E-3</v>
      </c>
      <c r="CB1791" s="969">
        <v>0.15411386070786426</v>
      </c>
      <c r="CC1791" s="982"/>
      <c r="CD1791" s="989">
        <v>2010</v>
      </c>
      <c r="CE1791" s="166">
        <v>1.0966681134059637E-2</v>
      </c>
      <c r="CF1791" s="166">
        <v>0.40950261727341541</v>
      </c>
      <c r="CG1791" s="166">
        <v>0.10342431718134151</v>
      </c>
      <c r="CH1791" s="166">
        <v>0.30471041687880385</v>
      </c>
      <c r="CI1791" s="166">
        <v>1.4143768940029873E-2</v>
      </c>
      <c r="CJ1791" s="166">
        <v>0.15725219859234973</v>
      </c>
      <c r="CK1791" s="982"/>
      <c r="CL1791" s="987">
        <v>2010</v>
      </c>
      <c r="CM1791" s="969">
        <v>1.0966681134059637E-2</v>
      </c>
      <c r="CN1791" s="969">
        <v>0.40950261727341541</v>
      </c>
      <c r="CO1791" s="969">
        <v>0.10342431718134151</v>
      </c>
      <c r="CP1791" s="969">
        <v>0.30471041687880385</v>
      </c>
      <c r="CQ1791" s="969">
        <v>1.4143768940029873E-2</v>
      </c>
      <c r="CR1791" s="969">
        <v>0.15725219859234973</v>
      </c>
      <c r="CS1791" s="982"/>
      <c r="CT1791" s="989">
        <v>2010</v>
      </c>
      <c r="CU1791" s="166">
        <v>3.4462094625638865E-3</v>
      </c>
      <c r="CV1791" s="166">
        <v>9.5885598108437858E-2</v>
      </c>
      <c r="CW1791" s="166">
        <v>0.59606996067139428</v>
      </c>
      <c r="CX1791" s="166">
        <v>0.27950878919802419</v>
      </c>
      <c r="CY1791" s="166">
        <v>1.2802928312557775E-3</v>
      </c>
      <c r="CZ1791" s="166">
        <v>2.3809149728324042E-2</v>
      </c>
      <c r="DA1791" s="982"/>
      <c r="DB1791" s="987">
        <v>2010</v>
      </c>
      <c r="DC1791" s="969">
        <v>3.4462094625638865E-3</v>
      </c>
      <c r="DD1791" s="969">
        <v>9.5885598108437858E-2</v>
      </c>
      <c r="DE1791" s="969">
        <v>0.59606996067139428</v>
      </c>
      <c r="DF1791" s="969">
        <v>0.27950878919802419</v>
      </c>
      <c r="DG1791" s="969">
        <v>1.2802928312557775E-3</v>
      </c>
      <c r="DH1791" s="970">
        <v>2.3809149728324042E-2</v>
      </c>
      <c r="DI1791" s="65"/>
    </row>
    <row r="1792" spans="1:113">
      <c r="A1792" s="76"/>
      <c r="B1792" s="988">
        <v>2013</v>
      </c>
      <c r="C1792" s="166">
        <v>6.236277150706869E-3</v>
      </c>
      <c r="D1792" s="166">
        <v>0.26159482174695764</v>
      </c>
      <c r="E1792" s="166">
        <v>0.40322464410713921</v>
      </c>
      <c r="F1792" s="166">
        <v>0.20236283687740392</v>
      </c>
      <c r="G1792" s="166">
        <v>3.1363082867145098E-3</v>
      </c>
      <c r="H1792" s="166">
        <v>0.12344511183107787</v>
      </c>
      <c r="I1792" s="982"/>
      <c r="J1792" s="987">
        <v>2013</v>
      </c>
      <c r="K1792" s="969">
        <v>6.236277150706869E-3</v>
      </c>
      <c r="L1792" s="969">
        <v>0.26159482174695764</v>
      </c>
      <c r="M1792" s="969">
        <v>0.40322464410713921</v>
      </c>
      <c r="N1792" s="969">
        <v>0.20236283687740392</v>
      </c>
      <c r="O1792" s="969">
        <v>3.1363082867145098E-3</v>
      </c>
      <c r="P1792" s="969">
        <v>0.12344511183107787</v>
      </c>
      <c r="Q1792" s="982"/>
      <c r="R1792" s="989">
        <v>2013</v>
      </c>
      <c r="S1792" s="166">
        <v>0.12600808918700393</v>
      </c>
      <c r="T1792" s="166">
        <v>0.52656599281402394</v>
      </c>
      <c r="U1792" s="166">
        <v>9.6142559568749092E-2</v>
      </c>
      <c r="V1792" s="166">
        <v>0</v>
      </c>
      <c r="W1792" s="166">
        <v>8.0088400157553984E-3</v>
      </c>
      <c r="X1792" s="166">
        <v>0.24327451841446768</v>
      </c>
      <c r="Y1792" s="982"/>
      <c r="Z1792" s="987">
        <v>2013</v>
      </c>
      <c r="AA1792" s="969">
        <v>0.12600808918700393</v>
      </c>
      <c r="AB1792" s="969">
        <v>0.52656599281402394</v>
      </c>
      <c r="AC1792" s="969">
        <v>9.6142559568749092E-2</v>
      </c>
      <c r="AD1792" s="969">
        <v>0</v>
      </c>
      <c r="AE1792" s="969">
        <v>8.0088400157553984E-3</v>
      </c>
      <c r="AF1792" s="969">
        <v>0.24327451841446768</v>
      </c>
      <c r="AG1792" s="982"/>
      <c r="AH1792" s="989">
        <v>2013</v>
      </c>
      <c r="AI1792" s="166">
        <v>1.2333109230480779E-2</v>
      </c>
      <c r="AJ1792" s="166">
        <v>0.63481657171833628</v>
      </c>
      <c r="AK1792" s="166">
        <v>0.20581526080381063</v>
      </c>
      <c r="AL1792" s="166">
        <v>0.12844753765780173</v>
      </c>
      <c r="AM1792" s="166">
        <v>1.8658450982488601E-3</v>
      </c>
      <c r="AN1792" s="166">
        <v>1.6721675491321752E-2</v>
      </c>
      <c r="AO1792" s="982"/>
      <c r="AP1792" s="987">
        <v>2013</v>
      </c>
      <c r="AQ1792" s="969">
        <v>1.2333109230480779E-2</v>
      </c>
      <c r="AR1792" s="969">
        <v>0.63481657171833628</v>
      </c>
      <c r="AS1792" s="969">
        <v>0.20581526080381063</v>
      </c>
      <c r="AT1792" s="969">
        <v>0.12844753765780173</v>
      </c>
      <c r="AU1792" s="969">
        <v>1.8658450982488601E-3</v>
      </c>
      <c r="AV1792" s="969">
        <v>1.6721675491321752E-2</v>
      </c>
      <c r="AW1792" s="982"/>
      <c r="AX1792" s="989">
        <v>2013</v>
      </c>
      <c r="AY1792" s="166">
        <v>0.70348969660524785</v>
      </c>
      <c r="AZ1792" s="166">
        <v>0</v>
      </c>
      <c r="BA1792" s="166">
        <v>0.13672414080262368</v>
      </c>
      <c r="BB1792" s="166">
        <v>0</v>
      </c>
      <c r="BC1792" s="166">
        <v>3.2079701935891436E-2</v>
      </c>
      <c r="BD1792" s="166">
        <v>0.12770646065623703</v>
      </c>
      <c r="BE1792" s="982"/>
      <c r="BF1792" s="987">
        <v>2013</v>
      </c>
      <c r="BG1792" s="969">
        <v>0.70348969660524785</v>
      </c>
      <c r="BH1792" s="969">
        <v>0</v>
      </c>
      <c r="BI1792" s="969">
        <v>0.13672414080262368</v>
      </c>
      <c r="BJ1792" s="969">
        <v>0</v>
      </c>
      <c r="BK1792" s="969">
        <v>3.2079701935891436E-2</v>
      </c>
      <c r="BL1792" s="969">
        <v>0.12770646065623703</v>
      </c>
      <c r="BM1792" s="982"/>
      <c r="BN1792" s="989">
        <v>2013</v>
      </c>
      <c r="BO1792" s="166">
        <v>1.1805054038530576E-3</v>
      </c>
      <c r="BP1792" s="166">
        <v>5.0418779468940321E-2</v>
      </c>
      <c r="BQ1792" s="166">
        <v>0.62124900723859267</v>
      </c>
      <c r="BR1792" s="166">
        <v>0.11312182008246947</v>
      </c>
      <c r="BS1792" s="166">
        <v>4.0086426592044521E-3</v>
      </c>
      <c r="BT1792" s="166">
        <v>0.21002124514693998</v>
      </c>
      <c r="BU1792" s="982"/>
      <c r="BV1792" s="987">
        <v>2013</v>
      </c>
      <c r="BW1792" s="969">
        <v>1.1805054038530576E-3</v>
      </c>
      <c r="BX1792" s="969">
        <v>5.0418779468940321E-2</v>
      </c>
      <c r="BY1792" s="969">
        <v>0.62124900723859267</v>
      </c>
      <c r="BZ1792" s="969">
        <v>0.11312182008246947</v>
      </c>
      <c r="CA1792" s="969">
        <v>4.0086426592044521E-3</v>
      </c>
      <c r="CB1792" s="969">
        <v>0.21002124514693998</v>
      </c>
      <c r="CC1792" s="982"/>
      <c r="CD1792" s="989">
        <v>2013</v>
      </c>
      <c r="CE1792" s="166">
        <v>7.3298667284676282E-3</v>
      </c>
      <c r="CF1792" s="166">
        <v>0.42718880575024804</v>
      </c>
      <c r="CG1792" s="166">
        <v>4.3369889828412188E-2</v>
      </c>
      <c r="CH1792" s="166">
        <v>0.3304520510093461</v>
      </c>
      <c r="CI1792" s="166">
        <v>1.4320614591290221E-2</v>
      </c>
      <c r="CJ1792" s="166">
        <v>0.17733877209223592</v>
      </c>
      <c r="CK1792" s="982"/>
      <c r="CL1792" s="987">
        <v>2013</v>
      </c>
      <c r="CM1792" s="969">
        <v>7.3298667284676282E-3</v>
      </c>
      <c r="CN1792" s="969">
        <v>0.42718880575024804</v>
      </c>
      <c r="CO1792" s="969">
        <v>4.3369889828412188E-2</v>
      </c>
      <c r="CP1792" s="969">
        <v>0.3304520510093461</v>
      </c>
      <c r="CQ1792" s="969">
        <v>1.4320614591290221E-2</v>
      </c>
      <c r="CR1792" s="969">
        <v>0.17733877209223592</v>
      </c>
      <c r="CS1792" s="982"/>
      <c r="CT1792" s="989">
        <v>2013</v>
      </c>
      <c r="CU1792" s="166">
        <v>4.5293811814582866E-3</v>
      </c>
      <c r="CV1792" s="166">
        <v>0.14271029192546419</v>
      </c>
      <c r="CW1792" s="166">
        <v>0.51686812817350802</v>
      </c>
      <c r="CX1792" s="166">
        <v>0.29726315352824756</v>
      </c>
      <c r="CY1792" s="166">
        <v>1.1632217156048387E-3</v>
      </c>
      <c r="CZ1792" s="166">
        <v>3.7465823475717253E-2</v>
      </c>
      <c r="DA1792" s="982"/>
      <c r="DB1792" s="987">
        <v>2013</v>
      </c>
      <c r="DC1792" s="969">
        <v>4.5293811814582866E-3</v>
      </c>
      <c r="DD1792" s="969">
        <v>0.14271029192546419</v>
      </c>
      <c r="DE1792" s="969">
        <v>0.51686812817350802</v>
      </c>
      <c r="DF1792" s="969">
        <v>0.29726315352824756</v>
      </c>
      <c r="DG1792" s="969">
        <v>1.1632217156048387E-3</v>
      </c>
      <c r="DH1792" s="970">
        <v>3.7465823475717253E-2</v>
      </c>
      <c r="DI1792" s="65"/>
    </row>
    <row r="1793" spans="1:113">
      <c r="A1793" s="76"/>
      <c r="B1793" s="984">
        <v>2014</v>
      </c>
      <c r="C1793" s="166">
        <v>6.3648495040812183E-3</v>
      </c>
      <c r="D1793" s="166">
        <v>0.26176035277929866</v>
      </c>
      <c r="E1793" s="166">
        <v>0.4063869220949865</v>
      </c>
      <c r="F1793" s="166">
        <v>0.19868988461610343</v>
      </c>
      <c r="G1793" s="166">
        <v>2.8705608202568597E-3</v>
      </c>
      <c r="H1793" s="166">
        <v>0.1239274301852733</v>
      </c>
      <c r="I1793" s="982"/>
      <c r="J1793" s="987">
        <v>2014</v>
      </c>
      <c r="K1793" s="969">
        <v>6.3648495040812183E-3</v>
      </c>
      <c r="L1793" s="969">
        <v>0.26176035277929866</v>
      </c>
      <c r="M1793" s="969">
        <v>0.4063869220949865</v>
      </c>
      <c r="N1793" s="969">
        <v>0.19868988461610343</v>
      </c>
      <c r="O1793" s="969">
        <v>2.8705608202568597E-3</v>
      </c>
      <c r="P1793" s="969">
        <v>0.1239274301852733</v>
      </c>
      <c r="Q1793" s="982"/>
      <c r="R1793" s="986">
        <v>2014</v>
      </c>
      <c r="S1793" s="166">
        <v>0.12600808918700393</v>
      </c>
      <c r="T1793" s="166">
        <v>0.52656599281402394</v>
      </c>
      <c r="U1793" s="166">
        <v>9.6142559568749092E-2</v>
      </c>
      <c r="V1793" s="166">
        <v>0</v>
      </c>
      <c r="W1793" s="166">
        <v>8.0088400157553984E-3</v>
      </c>
      <c r="X1793" s="166">
        <v>0.24327451841446768</v>
      </c>
      <c r="Y1793" s="982"/>
      <c r="Z1793" s="987">
        <v>2014</v>
      </c>
      <c r="AA1793" s="969">
        <v>0.12600808918700393</v>
      </c>
      <c r="AB1793" s="969">
        <v>0.52656599281402394</v>
      </c>
      <c r="AC1793" s="969">
        <v>9.6142559568749092E-2</v>
      </c>
      <c r="AD1793" s="969">
        <v>0</v>
      </c>
      <c r="AE1793" s="969">
        <v>8.0088400157553984E-3</v>
      </c>
      <c r="AF1793" s="969">
        <v>0.24327451841446768</v>
      </c>
      <c r="AG1793" s="982"/>
      <c r="AH1793" s="986">
        <v>2014</v>
      </c>
      <c r="AI1793" s="166">
        <v>1.6983780193416544E-2</v>
      </c>
      <c r="AJ1793" s="166">
        <v>0.60249200640319689</v>
      </c>
      <c r="AK1793" s="166">
        <v>0.23312943832809729</v>
      </c>
      <c r="AL1793" s="166">
        <v>0.12254797462597906</v>
      </c>
      <c r="AM1793" s="166">
        <v>5.0179405135083845E-3</v>
      </c>
      <c r="AN1793" s="166">
        <v>1.9828859935801857E-2</v>
      </c>
      <c r="AO1793" s="982"/>
      <c r="AP1793" s="987">
        <v>2014</v>
      </c>
      <c r="AQ1793" s="969">
        <v>1.6983780193416544E-2</v>
      </c>
      <c r="AR1793" s="969">
        <v>0.60249200640319689</v>
      </c>
      <c r="AS1793" s="969">
        <v>0.23312943832809729</v>
      </c>
      <c r="AT1793" s="969">
        <v>0.12254797462597906</v>
      </c>
      <c r="AU1793" s="969">
        <v>5.0179405135083845E-3</v>
      </c>
      <c r="AV1793" s="969">
        <v>1.9828859935801857E-2</v>
      </c>
      <c r="AW1793" s="982"/>
      <c r="AX1793" s="986">
        <v>2014</v>
      </c>
      <c r="AY1793" s="166">
        <v>0.70348969660524785</v>
      </c>
      <c r="AZ1793" s="166">
        <v>0</v>
      </c>
      <c r="BA1793" s="166">
        <v>0.13672414080262368</v>
      </c>
      <c r="BB1793" s="166">
        <v>0</v>
      </c>
      <c r="BC1793" s="166">
        <v>3.2079701935891436E-2</v>
      </c>
      <c r="BD1793" s="166">
        <v>0.12770646065623703</v>
      </c>
      <c r="BE1793" s="982"/>
      <c r="BF1793" s="987">
        <v>2014</v>
      </c>
      <c r="BG1793" s="969">
        <v>0.70348969660524785</v>
      </c>
      <c r="BH1793" s="969">
        <v>0</v>
      </c>
      <c r="BI1793" s="969">
        <v>0.13672414080262368</v>
      </c>
      <c r="BJ1793" s="969">
        <v>0</v>
      </c>
      <c r="BK1793" s="969">
        <v>3.2079701935891436E-2</v>
      </c>
      <c r="BL1793" s="969">
        <v>0.12770646065623703</v>
      </c>
      <c r="BM1793" s="982"/>
      <c r="BN1793" s="986">
        <v>2014</v>
      </c>
      <c r="BO1793" s="166">
        <v>2.4827539919594342E-3</v>
      </c>
      <c r="BP1793" s="166">
        <v>2.5967057183860262E-2</v>
      </c>
      <c r="BQ1793" s="166">
        <v>0.61834724487268422</v>
      </c>
      <c r="BR1793" s="166">
        <v>0.12187351300523605</v>
      </c>
      <c r="BS1793" s="166">
        <v>5.7100832173389857E-3</v>
      </c>
      <c r="BT1793" s="166">
        <v>0.225619347728921</v>
      </c>
      <c r="BU1793" s="982"/>
      <c r="BV1793" s="987">
        <v>2014</v>
      </c>
      <c r="BW1793" s="969">
        <v>2.4827539919594342E-3</v>
      </c>
      <c r="BX1793" s="969">
        <v>2.5967057183860262E-2</v>
      </c>
      <c r="BY1793" s="969">
        <v>0.61834724487268422</v>
      </c>
      <c r="BZ1793" s="969">
        <v>0.12187351300523605</v>
      </c>
      <c r="CA1793" s="969">
        <v>5.7100832173389857E-3</v>
      </c>
      <c r="CB1793" s="969">
        <v>0.225619347728921</v>
      </c>
      <c r="CC1793" s="982"/>
      <c r="CD1793" s="986">
        <v>2014</v>
      </c>
      <c r="CE1793" s="166">
        <v>1.4408742179993697E-2</v>
      </c>
      <c r="CF1793" s="166">
        <v>0.50108628475332262</v>
      </c>
      <c r="CG1793" s="166">
        <v>2.6078174337301849E-2</v>
      </c>
      <c r="CH1793" s="166">
        <v>0.28703791803913159</v>
      </c>
      <c r="CI1793" s="166">
        <v>5.8199915439939428E-3</v>
      </c>
      <c r="CJ1793" s="166">
        <v>0.16556888914625634</v>
      </c>
      <c r="CK1793" s="982"/>
      <c r="CL1793" s="987">
        <v>2014</v>
      </c>
      <c r="CM1793" s="969">
        <v>1.4408742179993697E-2</v>
      </c>
      <c r="CN1793" s="969">
        <v>0.50108628475332262</v>
      </c>
      <c r="CO1793" s="969">
        <v>2.6078174337301849E-2</v>
      </c>
      <c r="CP1793" s="969">
        <v>0.28703791803913159</v>
      </c>
      <c r="CQ1793" s="969">
        <v>5.8199915439939428E-3</v>
      </c>
      <c r="CR1793" s="969">
        <v>0.16556888914625634</v>
      </c>
      <c r="CS1793" s="982"/>
      <c r="CT1793" s="986">
        <v>2014</v>
      </c>
      <c r="CU1793" s="166">
        <v>2.2967397240305797E-3</v>
      </c>
      <c r="CV1793" s="166">
        <v>0.15928373874540541</v>
      </c>
      <c r="CW1793" s="166">
        <v>0.51329205900283081</v>
      </c>
      <c r="CX1793" s="166">
        <v>0.28292805717099656</v>
      </c>
      <c r="CY1793" s="166">
        <v>8.584123550100047E-4</v>
      </c>
      <c r="CZ1793" s="166">
        <v>4.1340993001726556E-2</v>
      </c>
      <c r="DA1793" s="982"/>
      <c r="DB1793" s="987">
        <v>2014</v>
      </c>
      <c r="DC1793" s="969">
        <v>2.2967397240305797E-3</v>
      </c>
      <c r="DD1793" s="969">
        <v>0.15928373874540541</v>
      </c>
      <c r="DE1793" s="969">
        <v>0.51329205900283081</v>
      </c>
      <c r="DF1793" s="969">
        <v>0.28292805717099656</v>
      </c>
      <c r="DG1793" s="969">
        <v>8.584123550100047E-4</v>
      </c>
      <c r="DH1793" s="970">
        <v>4.1340993001726556E-2</v>
      </c>
      <c r="DI1793" s="65"/>
    </row>
    <row r="1794" spans="1:113">
      <c r="A1794" s="76"/>
      <c r="B1794" s="984">
        <v>2015</v>
      </c>
      <c r="C1794" s="166">
        <v>5.7030201352114632E-3</v>
      </c>
      <c r="D1794" s="166">
        <v>0.2639610945260884</v>
      </c>
      <c r="E1794" s="166">
        <v>0.39970833233868686</v>
      </c>
      <c r="F1794" s="166">
        <v>0.19582641310089408</v>
      </c>
      <c r="G1794" s="166">
        <v>2.9364410969237968E-3</v>
      </c>
      <c r="H1794" s="166">
        <v>0.13186469880219542</v>
      </c>
      <c r="I1794" s="982"/>
      <c r="J1794" s="987">
        <v>2015</v>
      </c>
      <c r="K1794" s="969">
        <v>5.7030201352114632E-3</v>
      </c>
      <c r="L1794" s="969">
        <v>0.2639610945260884</v>
      </c>
      <c r="M1794" s="969">
        <v>0.39970833233868686</v>
      </c>
      <c r="N1794" s="969">
        <v>0.19582641310089408</v>
      </c>
      <c r="O1794" s="969">
        <v>2.9364410969237968E-3</v>
      </c>
      <c r="P1794" s="969">
        <v>0.13186469880219542</v>
      </c>
      <c r="Q1794" s="982"/>
      <c r="R1794" s="986">
        <v>2015</v>
      </c>
      <c r="S1794" s="166">
        <v>0.12600808918700393</v>
      </c>
      <c r="T1794" s="166">
        <v>0.52656599281402394</v>
      </c>
      <c r="U1794" s="166">
        <v>9.6142559568749092E-2</v>
      </c>
      <c r="V1794" s="166">
        <v>0</v>
      </c>
      <c r="W1794" s="166">
        <v>8.0088400157553984E-3</v>
      </c>
      <c r="X1794" s="166">
        <v>0.24327451841446768</v>
      </c>
      <c r="Y1794" s="982"/>
      <c r="Z1794" s="987">
        <v>2015</v>
      </c>
      <c r="AA1794" s="969">
        <v>0.12600808918700393</v>
      </c>
      <c r="AB1794" s="969">
        <v>0.52656599281402394</v>
      </c>
      <c r="AC1794" s="969">
        <v>9.6142559568749092E-2</v>
      </c>
      <c r="AD1794" s="969">
        <v>0</v>
      </c>
      <c r="AE1794" s="969">
        <v>8.0088400157553984E-3</v>
      </c>
      <c r="AF1794" s="969">
        <v>0.24327451841446768</v>
      </c>
      <c r="AG1794" s="982"/>
      <c r="AH1794" s="986">
        <v>2015</v>
      </c>
      <c r="AI1794" s="166">
        <v>1.564131737719085E-2</v>
      </c>
      <c r="AJ1794" s="166">
        <v>0.56868819965821316</v>
      </c>
      <c r="AK1794" s="166">
        <v>0.25686784966467119</v>
      </c>
      <c r="AL1794" s="166">
        <v>0.12964638759604713</v>
      </c>
      <c r="AM1794" s="166">
        <v>5.374363495798261E-3</v>
      </c>
      <c r="AN1794" s="166">
        <v>2.3781882208079419E-2</v>
      </c>
      <c r="AO1794" s="982"/>
      <c r="AP1794" s="987">
        <v>2015</v>
      </c>
      <c r="AQ1794" s="969">
        <v>1.564131737719085E-2</v>
      </c>
      <c r="AR1794" s="969">
        <v>0.56868819965821316</v>
      </c>
      <c r="AS1794" s="969">
        <v>0.25686784966467119</v>
      </c>
      <c r="AT1794" s="969">
        <v>0.12964638759604713</v>
      </c>
      <c r="AU1794" s="969">
        <v>5.374363495798261E-3</v>
      </c>
      <c r="AV1794" s="969">
        <v>2.3781882208079419E-2</v>
      </c>
      <c r="AW1794" s="982"/>
      <c r="AX1794" s="986">
        <v>2015</v>
      </c>
      <c r="AY1794" s="166">
        <v>0.70348969660524785</v>
      </c>
      <c r="AZ1794" s="166">
        <v>0</v>
      </c>
      <c r="BA1794" s="166">
        <v>0.13672414080262368</v>
      </c>
      <c r="BB1794" s="166">
        <v>0</v>
      </c>
      <c r="BC1794" s="166">
        <v>3.2079701935891436E-2</v>
      </c>
      <c r="BD1794" s="166">
        <v>0.12770646065623703</v>
      </c>
      <c r="BE1794" s="982"/>
      <c r="BF1794" s="987">
        <v>2015</v>
      </c>
      <c r="BG1794" s="969">
        <v>0.70348969660524785</v>
      </c>
      <c r="BH1794" s="969">
        <v>0</v>
      </c>
      <c r="BI1794" s="969">
        <v>0.13672414080262368</v>
      </c>
      <c r="BJ1794" s="969">
        <v>0</v>
      </c>
      <c r="BK1794" s="969">
        <v>3.2079701935891436E-2</v>
      </c>
      <c r="BL1794" s="969">
        <v>0.12770646065623703</v>
      </c>
      <c r="BM1794" s="982"/>
      <c r="BN1794" s="986">
        <v>2015</v>
      </c>
      <c r="BO1794" s="166">
        <v>2.4717364036613023E-3</v>
      </c>
      <c r="BP1794" s="166">
        <v>2.2571670108590496E-2</v>
      </c>
      <c r="BQ1794" s="166">
        <v>0.61492551891175196</v>
      </c>
      <c r="BR1794" s="166">
        <v>0.120296775075941</v>
      </c>
      <c r="BS1794" s="166">
        <v>2.3722793779945893E-3</v>
      </c>
      <c r="BT1794" s="166">
        <v>0.23736202012206076</v>
      </c>
      <c r="BU1794" s="982"/>
      <c r="BV1794" s="987">
        <v>2015</v>
      </c>
      <c r="BW1794" s="969">
        <v>2.4717364036613023E-3</v>
      </c>
      <c r="BX1794" s="969">
        <v>2.2571670108590496E-2</v>
      </c>
      <c r="BY1794" s="969">
        <v>0.61492551891175196</v>
      </c>
      <c r="BZ1794" s="969">
        <v>0.120296775075941</v>
      </c>
      <c r="CA1794" s="969">
        <v>2.3722793779945893E-3</v>
      </c>
      <c r="CB1794" s="969">
        <v>0.23736202012206076</v>
      </c>
      <c r="CC1794" s="982"/>
      <c r="CD1794" s="986">
        <v>2015</v>
      </c>
      <c r="CE1794" s="166">
        <v>7.305929644389841E-3</v>
      </c>
      <c r="CF1794" s="166">
        <v>0.53355396648441533</v>
      </c>
      <c r="CG1794" s="166">
        <v>9.5092228947514582E-3</v>
      </c>
      <c r="CH1794" s="166">
        <v>0.2680506626263911</v>
      </c>
      <c r="CI1794" s="166">
        <v>8.5530135169116801E-3</v>
      </c>
      <c r="CJ1794" s="166">
        <v>0.1730272048331406</v>
      </c>
      <c r="CK1794" s="982"/>
      <c r="CL1794" s="987">
        <v>2015</v>
      </c>
      <c r="CM1794" s="969">
        <v>7.305929644389841E-3</v>
      </c>
      <c r="CN1794" s="969">
        <v>0.53355396648441533</v>
      </c>
      <c r="CO1794" s="969">
        <v>9.5092228947514582E-3</v>
      </c>
      <c r="CP1794" s="969">
        <v>0.2680506626263911</v>
      </c>
      <c r="CQ1794" s="969">
        <v>8.5530135169116801E-3</v>
      </c>
      <c r="CR1794" s="969">
        <v>0.1730272048331406</v>
      </c>
      <c r="CS1794" s="982"/>
      <c r="CT1794" s="986">
        <v>2015</v>
      </c>
      <c r="CU1794" s="166">
        <v>2.2443798528659366E-3</v>
      </c>
      <c r="CV1794" s="166">
        <v>0.17570346506422413</v>
      </c>
      <c r="CW1794" s="166">
        <v>0.49914123751253281</v>
      </c>
      <c r="CX1794" s="166">
        <v>0.27838428997695858</v>
      </c>
      <c r="CY1794" s="166">
        <v>1.2376629503203567E-3</v>
      </c>
      <c r="CZ1794" s="166">
        <v>4.3288964643098282E-2</v>
      </c>
      <c r="DA1794" s="982"/>
      <c r="DB1794" s="987">
        <v>2015</v>
      </c>
      <c r="DC1794" s="969">
        <v>2.2443798528659366E-3</v>
      </c>
      <c r="DD1794" s="969">
        <v>0.17570346506422413</v>
      </c>
      <c r="DE1794" s="969">
        <v>0.49914123751253281</v>
      </c>
      <c r="DF1794" s="969">
        <v>0.27838428997695858</v>
      </c>
      <c r="DG1794" s="969">
        <v>1.2376629503203567E-3</v>
      </c>
      <c r="DH1794" s="970">
        <v>4.3288964643098282E-2</v>
      </c>
      <c r="DI1794" s="65"/>
    </row>
    <row r="1795" spans="1:113">
      <c r="A1795" s="76"/>
      <c r="B1795" s="984">
        <v>2020</v>
      </c>
      <c r="C1795" s="166">
        <v>3.6456546802435827E-3</v>
      </c>
      <c r="D1795" s="166">
        <v>0.24130754069054777</v>
      </c>
      <c r="E1795" s="166">
        <v>0.40916075262969648</v>
      </c>
      <c r="F1795" s="166">
        <v>0.19393885573081965</v>
      </c>
      <c r="G1795" s="166">
        <v>5.9564888367247939E-3</v>
      </c>
      <c r="H1795" s="166">
        <v>0.14599070743196763</v>
      </c>
      <c r="I1795" s="982"/>
      <c r="J1795" s="987">
        <v>2020</v>
      </c>
      <c r="K1795" s="969">
        <v>3.6456546802435827E-3</v>
      </c>
      <c r="L1795" s="969">
        <v>0.24130754069054777</v>
      </c>
      <c r="M1795" s="969">
        <v>0.40916075262969648</v>
      </c>
      <c r="N1795" s="969">
        <v>0.19393885573081965</v>
      </c>
      <c r="O1795" s="969">
        <v>5.9564888367247939E-3</v>
      </c>
      <c r="P1795" s="969">
        <v>0.14599070743196763</v>
      </c>
      <c r="Q1795" s="982"/>
      <c r="R1795" s="986">
        <v>2020</v>
      </c>
      <c r="S1795" s="166">
        <v>0.12600808918700393</v>
      </c>
      <c r="T1795" s="166">
        <v>0.52656599281402394</v>
      </c>
      <c r="U1795" s="166">
        <v>9.6142559568749092E-2</v>
      </c>
      <c r="V1795" s="166">
        <v>0</v>
      </c>
      <c r="W1795" s="166">
        <v>8.0088400157553984E-3</v>
      </c>
      <c r="X1795" s="166">
        <v>0.24327451841446768</v>
      </c>
      <c r="Y1795" s="982"/>
      <c r="Z1795" s="987">
        <v>2020</v>
      </c>
      <c r="AA1795" s="969">
        <v>0.12600808918700393</v>
      </c>
      <c r="AB1795" s="969">
        <v>0.52656599281402394</v>
      </c>
      <c r="AC1795" s="969">
        <v>9.6142559568749092E-2</v>
      </c>
      <c r="AD1795" s="969">
        <v>0</v>
      </c>
      <c r="AE1795" s="969">
        <v>8.0088400157553984E-3</v>
      </c>
      <c r="AF1795" s="969">
        <v>0.24327451841446768</v>
      </c>
      <c r="AG1795" s="982"/>
      <c r="AH1795" s="986">
        <v>2020</v>
      </c>
      <c r="AI1795" s="166">
        <v>1.5898625885731722E-3</v>
      </c>
      <c r="AJ1795" s="166">
        <v>0.58875903779156269</v>
      </c>
      <c r="AK1795" s="166">
        <v>0.24279681119745</v>
      </c>
      <c r="AL1795" s="166">
        <v>0.12777180920961317</v>
      </c>
      <c r="AM1795" s="166">
        <v>1.369721039536587E-2</v>
      </c>
      <c r="AN1795" s="166">
        <v>2.538526881743508E-2</v>
      </c>
      <c r="AO1795" s="982"/>
      <c r="AP1795" s="987">
        <v>2020</v>
      </c>
      <c r="AQ1795" s="969">
        <v>1.5898625885731722E-3</v>
      </c>
      <c r="AR1795" s="969">
        <v>0.58875903779156269</v>
      </c>
      <c r="AS1795" s="969">
        <v>0.24279681119745</v>
      </c>
      <c r="AT1795" s="969">
        <v>0.12777180920961317</v>
      </c>
      <c r="AU1795" s="969">
        <v>1.369721039536587E-2</v>
      </c>
      <c r="AV1795" s="969">
        <v>2.538526881743508E-2</v>
      </c>
      <c r="AW1795" s="982"/>
      <c r="AX1795" s="986">
        <v>2020</v>
      </c>
      <c r="AY1795" s="166">
        <v>0.70348969660524785</v>
      </c>
      <c r="AZ1795" s="166">
        <v>0</v>
      </c>
      <c r="BA1795" s="166">
        <v>0.13672414080262368</v>
      </c>
      <c r="BB1795" s="166">
        <v>0</v>
      </c>
      <c r="BC1795" s="166">
        <v>3.2079701935891436E-2</v>
      </c>
      <c r="BD1795" s="166">
        <v>0.12770646065623703</v>
      </c>
      <c r="BE1795" s="982"/>
      <c r="BF1795" s="987">
        <v>2020</v>
      </c>
      <c r="BG1795" s="969">
        <v>0.70348969660524785</v>
      </c>
      <c r="BH1795" s="969">
        <v>0</v>
      </c>
      <c r="BI1795" s="969">
        <v>0.13672414080262368</v>
      </c>
      <c r="BJ1795" s="969">
        <v>0</v>
      </c>
      <c r="BK1795" s="969">
        <v>3.2079701935891436E-2</v>
      </c>
      <c r="BL1795" s="969">
        <v>0.12770646065623703</v>
      </c>
      <c r="BM1795" s="982"/>
      <c r="BN1795" s="986">
        <v>2020</v>
      </c>
      <c r="BO1795" s="166">
        <v>2.4374247346186672E-3</v>
      </c>
      <c r="BP1795" s="166">
        <v>3.246603218620786E-2</v>
      </c>
      <c r="BQ1795" s="166">
        <v>0.60419899141867417</v>
      </c>
      <c r="BR1795" s="166">
        <v>0.1183215603968942</v>
      </c>
      <c r="BS1795" s="166">
        <v>3.9097410625566278E-3</v>
      </c>
      <c r="BT1795" s="166">
        <v>0.23866625020104848</v>
      </c>
      <c r="BU1795" s="982"/>
      <c r="BV1795" s="987">
        <v>2020</v>
      </c>
      <c r="BW1795" s="969">
        <v>2.4374247346186672E-3</v>
      </c>
      <c r="BX1795" s="969">
        <v>3.246603218620786E-2</v>
      </c>
      <c r="BY1795" s="969">
        <v>0.60419899141867417</v>
      </c>
      <c r="BZ1795" s="969">
        <v>0.1183215603968942</v>
      </c>
      <c r="CA1795" s="969">
        <v>3.9097410625566278E-3</v>
      </c>
      <c r="CB1795" s="969">
        <v>0.23866625020104848</v>
      </c>
      <c r="CC1795" s="982"/>
      <c r="CD1795" s="986">
        <v>2020</v>
      </c>
      <c r="CE1795" s="166">
        <v>2.1429168672857045E-3</v>
      </c>
      <c r="CF1795" s="166">
        <v>0.43439204620373684</v>
      </c>
      <c r="CG1795" s="166">
        <v>4.5050819493290102E-2</v>
      </c>
      <c r="CH1795" s="166">
        <v>0.29091462881927704</v>
      </c>
      <c r="CI1795" s="166">
        <v>1.2136927850186198E-2</v>
      </c>
      <c r="CJ1795" s="166">
        <v>0.21536266076622423</v>
      </c>
      <c r="CK1795" s="982"/>
      <c r="CL1795" s="987">
        <v>2020</v>
      </c>
      <c r="CM1795" s="969">
        <v>2.1429168672857045E-3</v>
      </c>
      <c r="CN1795" s="969">
        <v>0.43439204620373684</v>
      </c>
      <c r="CO1795" s="969">
        <v>4.5050819493290102E-2</v>
      </c>
      <c r="CP1795" s="969">
        <v>0.29091462881927704</v>
      </c>
      <c r="CQ1795" s="969">
        <v>1.2136927850186198E-2</v>
      </c>
      <c r="CR1795" s="969">
        <v>0.21536266076622423</v>
      </c>
      <c r="CS1795" s="982"/>
      <c r="CT1795" s="986">
        <v>2020</v>
      </c>
      <c r="CU1795" s="166">
        <v>2.2665769643261673E-3</v>
      </c>
      <c r="CV1795" s="166">
        <v>0.16917583856454069</v>
      </c>
      <c r="CW1795" s="166">
        <v>0.51596889878734353</v>
      </c>
      <c r="CX1795" s="166">
        <v>0.25582047691800808</v>
      </c>
      <c r="CY1795" s="166">
        <v>6.9506758458536067E-3</v>
      </c>
      <c r="CZ1795" s="166">
        <v>4.9817532919927854E-2</v>
      </c>
      <c r="DA1795" s="982"/>
      <c r="DB1795" s="987">
        <v>2020</v>
      </c>
      <c r="DC1795" s="969">
        <v>2.2665769643261673E-3</v>
      </c>
      <c r="DD1795" s="969">
        <v>0.16917583856454069</v>
      </c>
      <c r="DE1795" s="969">
        <v>0.51596889878734353</v>
      </c>
      <c r="DF1795" s="969">
        <v>0.25582047691800808</v>
      </c>
      <c r="DG1795" s="969">
        <v>6.9506758458536067E-3</v>
      </c>
      <c r="DH1795" s="970">
        <v>4.9817532919927854E-2</v>
      </c>
      <c r="DI1795" s="65"/>
    </row>
    <row r="1796" spans="1:113">
      <c r="A1796" s="76"/>
      <c r="B1796" s="984">
        <v>2025</v>
      </c>
      <c r="C1796" s="166">
        <v>3.5563700752504579E-3</v>
      </c>
      <c r="D1796" s="166">
        <v>0.25412796860981635</v>
      </c>
      <c r="E1796" s="166">
        <v>0.3996569725069915</v>
      </c>
      <c r="F1796" s="166">
        <v>0.18866895831899413</v>
      </c>
      <c r="G1796" s="166">
        <v>8.4554325011741479E-3</v>
      </c>
      <c r="H1796" s="166">
        <v>0.1455342979877734</v>
      </c>
      <c r="I1796" s="982"/>
      <c r="J1796" s="987">
        <v>2025</v>
      </c>
      <c r="K1796" s="969">
        <v>3.5563700752504579E-3</v>
      </c>
      <c r="L1796" s="969">
        <v>0.25412796860981635</v>
      </c>
      <c r="M1796" s="969">
        <v>0.3996569725069915</v>
      </c>
      <c r="N1796" s="969">
        <v>0.18866895831899413</v>
      </c>
      <c r="O1796" s="969">
        <v>8.4554325011741479E-3</v>
      </c>
      <c r="P1796" s="969">
        <v>0.1455342979877734</v>
      </c>
      <c r="Q1796" s="982"/>
      <c r="R1796" s="986">
        <v>2025</v>
      </c>
      <c r="S1796" s="166">
        <v>0.12600808918700393</v>
      </c>
      <c r="T1796" s="166">
        <v>0.52656599281402394</v>
      </c>
      <c r="U1796" s="166">
        <v>9.6142559568749092E-2</v>
      </c>
      <c r="V1796" s="166">
        <v>0</v>
      </c>
      <c r="W1796" s="166">
        <v>8.0088400157553984E-3</v>
      </c>
      <c r="X1796" s="166">
        <v>0.24327451841446768</v>
      </c>
      <c r="Y1796" s="982"/>
      <c r="Z1796" s="987">
        <v>2025</v>
      </c>
      <c r="AA1796" s="969">
        <v>0.12600808918700393</v>
      </c>
      <c r="AB1796" s="969">
        <v>0.52656599281402394</v>
      </c>
      <c r="AC1796" s="969">
        <v>9.6142559568749092E-2</v>
      </c>
      <c r="AD1796" s="969">
        <v>0</v>
      </c>
      <c r="AE1796" s="969">
        <v>8.0088400157553984E-3</v>
      </c>
      <c r="AF1796" s="969">
        <v>0.24327451841446768</v>
      </c>
      <c r="AG1796" s="982"/>
      <c r="AH1796" s="986">
        <v>2025</v>
      </c>
      <c r="AI1796" s="166">
        <v>1.5774913751931865E-3</v>
      </c>
      <c r="AJ1796" s="166">
        <v>0.60554284134195679</v>
      </c>
      <c r="AK1796" s="166">
        <v>0.23390469978901174</v>
      </c>
      <c r="AL1796" s="166">
        <v>0.11972686732084617</v>
      </c>
      <c r="AM1796" s="166">
        <v>1.4803948935924264E-2</v>
      </c>
      <c r="AN1796" s="166">
        <v>2.444415123706789E-2</v>
      </c>
      <c r="AO1796" s="982"/>
      <c r="AP1796" s="987">
        <v>2025</v>
      </c>
      <c r="AQ1796" s="969">
        <v>1.5774913751931865E-3</v>
      </c>
      <c r="AR1796" s="969">
        <v>0.60554284134195679</v>
      </c>
      <c r="AS1796" s="969">
        <v>0.23390469978901174</v>
      </c>
      <c r="AT1796" s="969">
        <v>0.11972686732084617</v>
      </c>
      <c r="AU1796" s="969">
        <v>1.4803948935924264E-2</v>
      </c>
      <c r="AV1796" s="969">
        <v>2.444415123706789E-2</v>
      </c>
      <c r="AW1796" s="982"/>
      <c r="AX1796" s="986">
        <v>2025</v>
      </c>
      <c r="AY1796" s="166">
        <v>0.70348969660524785</v>
      </c>
      <c r="AZ1796" s="166">
        <v>0</v>
      </c>
      <c r="BA1796" s="166">
        <v>0.13672414080262368</v>
      </c>
      <c r="BB1796" s="166">
        <v>0</v>
      </c>
      <c r="BC1796" s="166">
        <v>3.2079701935891436E-2</v>
      </c>
      <c r="BD1796" s="166">
        <v>0.12770646065623703</v>
      </c>
      <c r="BE1796" s="982"/>
      <c r="BF1796" s="987">
        <v>2025</v>
      </c>
      <c r="BG1796" s="969">
        <v>0.70348969660524785</v>
      </c>
      <c r="BH1796" s="969">
        <v>0</v>
      </c>
      <c r="BI1796" s="969">
        <v>0.13672414080262368</v>
      </c>
      <c r="BJ1796" s="969">
        <v>0</v>
      </c>
      <c r="BK1796" s="969">
        <v>3.2079701935891436E-2</v>
      </c>
      <c r="BL1796" s="969">
        <v>0.12770646065623703</v>
      </c>
      <c r="BM1796" s="982"/>
      <c r="BN1796" s="986">
        <v>2025</v>
      </c>
      <c r="BO1796" s="166">
        <v>2.4329963580462305E-3</v>
      </c>
      <c r="BP1796" s="166">
        <v>4.2846936824122425E-2</v>
      </c>
      <c r="BQ1796" s="166">
        <v>0.59923845953010424</v>
      </c>
      <c r="BR1796" s="166">
        <v>0.11573907153721887</v>
      </c>
      <c r="BS1796" s="166">
        <v>5.8588569874126403E-3</v>
      </c>
      <c r="BT1796" s="166">
        <v>0.23388367876309568</v>
      </c>
      <c r="BU1796" s="982"/>
      <c r="BV1796" s="987">
        <v>2025</v>
      </c>
      <c r="BW1796" s="969">
        <v>2.4329963580462305E-3</v>
      </c>
      <c r="BX1796" s="969">
        <v>4.2846936824122425E-2</v>
      </c>
      <c r="BY1796" s="969">
        <v>0.59923845953010424</v>
      </c>
      <c r="BZ1796" s="969">
        <v>0.11573907153721887</v>
      </c>
      <c r="CA1796" s="969">
        <v>5.8588569874126403E-3</v>
      </c>
      <c r="CB1796" s="969">
        <v>0.23388367876309568</v>
      </c>
      <c r="CC1796" s="982"/>
      <c r="CD1796" s="986">
        <v>2025</v>
      </c>
      <c r="CE1796" s="166">
        <v>1.8310684142916317E-3</v>
      </c>
      <c r="CF1796" s="166">
        <v>0.39647148878133814</v>
      </c>
      <c r="CG1796" s="166">
        <v>5.5632473881688425E-2</v>
      </c>
      <c r="CH1796" s="166">
        <v>0.30461938180823833</v>
      </c>
      <c r="CI1796" s="166">
        <v>1.5736785311828271E-2</v>
      </c>
      <c r="CJ1796" s="166">
        <v>0.2257088018026151</v>
      </c>
      <c r="CK1796" s="982"/>
      <c r="CL1796" s="987">
        <v>2025</v>
      </c>
      <c r="CM1796" s="969">
        <v>1.8310684142916317E-3</v>
      </c>
      <c r="CN1796" s="969">
        <v>0.39647148878133814</v>
      </c>
      <c r="CO1796" s="969">
        <v>5.5632473881688425E-2</v>
      </c>
      <c r="CP1796" s="969">
        <v>0.30461938180823833</v>
      </c>
      <c r="CQ1796" s="969">
        <v>1.5736785311828271E-2</v>
      </c>
      <c r="CR1796" s="969">
        <v>0.2257088018026151</v>
      </c>
      <c r="CS1796" s="982"/>
      <c r="CT1796" s="986">
        <v>2025</v>
      </c>
      <c r="CU1796" s="166">
        <v>2.2608799159227941E-3</v>
      </c>
      <c r="CV1796" s="166">
        <v>0.16754553583252677</v>
      </c>
      <c r="CW1796" s="166">
        <v>0.52002859306228377</v>
      </c>
      <c r="CX1796" s="166">
        <v>0.25051017419166582</v>
      </c>
      <c r="CY1796" s="166">
        <v>9.9355339563761483E-3</v>
      </c>
      <c r="CZ1796" s="166">
        <v>4.9719283041224638E-2</v>
      </c>
      <c r="DA1796" s="982"/>
      <c r="DB1796" s="987">
        <v>2025</v>
      </c>
      <c r="DC1796" s="969">
        <v>2.2608799159227941E-3</v>
      </c>
      <c r="DD1796" s="969">
        <v>0.16754553583252677</v>
      </c>
      <c r="DE1796" s="969">
        <v>0.52002859306228377</v>
      </c>
      <c r="DF1796" s="969">
        <v>0.25051017419166582</v>
      </c>
      <c r="DG1796" s="969">
        <v>9.9355339563761483E-3</v>
      </c>
      <c r="DH1796" s="970">
        <v>4.9719283041224638E-2</v>
      </c>
      <c r="DI1796" s="65"/>
    </row>
    <row r="1797" spans="1:113">
      <c r="A1797" s="76"/>
      <c r="B1797" s="984">
        <v>2030</v>
      </c>
      <c r="C1797" s="166">
        <v>3.3911912015232139E-3</v>
      </c>
      <c r="D1797" s="166">
        <v>0.27303766270515234</v>
      </c>
      <c r="E1797" s="166">
        <v>0.38458640570813851</v>
      </c>
      <c r="F1797" s="166">
        <v>0.18287841820030054</v>
      </c>
      <c r="G1797" s="166">
        <v>9.1514679123994042E-3</v>
      </c>
      <c r="H1797" s="166">
        <v>0.14695485427248611</v>
      </c>
      <c r="I1797" s="982"/>
      <c r="J1797" s="987">
        <v>2030</v>
      </c>
      <c r="K1797" s="969">
        <v>3.3911912015232139E-3</v>
      </c>
      <c r="L1797" s="969">
        <v>0.27303766270515234</v>
      </c>
      <c r="M1797" s="969">
        <v>0.38458640570813851</v>
      </c>
      <c r="N1797" s="969">
        <v>0.18287841820030054</v>
      </c>
      <c r="O1797" s="969">
        <v>9.1514679123994042E-3</v>
      </c>
      <c r="P1797" s="969">
        <v>0.14695485427248611</v>
      </c>
      <c r="Q1797" s="982"/>
      <c r="R1797" s="986">
        <v>2030</v>
      </c>
      <c r="S1797" s="166">
        <v>0.12600808918700393</v>
      </c>
      <c r="T1797" s="166">
        <v>0.52656599281402394</v>
      </c>
      <c r="U1797" s="166">
        <v>9.6142559568749092E-2</v>
      </c>
      <c r="V1797" s="166">
        <v>0</v>
      </c>
      <c r="W1797" s="166">
        <v>8.0088400157553984E-3</v>
      </c>
      <c r="X1797" s="166">
        <v>0.24327451841446768</v>
      </c>
      <c r="Y1797" s="982"/>
      <c r="Z1797" s="987">
        <v>2030</v>
      </c>
      <c r="AA1797" s="969">
        <v>0.12600808918700393</v>
      </c>
      <c r="AB1797" s="969">
        <v>0.52656599281402394</v>
      </c>
      <c r="AC1797" s="969">
        <v>9.6142559568749092E-2</v>
      </c>
      <c r="AD1797" s="969">
        <v>0</v>
      </c>
      <c r="AE1797" s="969">
        <v>8.0088400157553984E-3</v>
      </c>
      <c r="AF1797" s="969">
        <v>0.24327451841446768</v>
      </c>
      <c r="AG1797" s="982"/>
      <c r="AH1797" s="986">
        <v>2030</v>
      </c>
      <c r="AI1797" s="166">
        <v>1.2264192923254695E-3</v>
      </c>
      <c r="AJ1797" s="166">
        <v>0.62704904522844374</v>
      </c>
      <c r="AK1797" s="166">
        <v>0.21727221078621584</v>
      </c>
      <c r="AL1797" s="166">
        <v>0.11468676569309828</v>
      </c>
      <c r="AM1797" s="166">
        <v>1.493438655014263E-2</v>
      </c>
      <c r="AN1797" s="166">
        <v>2.4831172449773953E-2</v>
      </c>
      <c r="AO1797" s="982"/>
      <c r="AP1797" s="987">
        <v>2030</v>
      </c>
      <c r="AQ1797" s="969">
        <v>1.2264192923254695E-3</v>
      </c>
      <c r="AR1797" s="969">
        <v>0.62704904522844374</v>
      </c>
      <c r="AS1797" s="969">
        <v>0.21727221078621584</v>
      </c>
      <c r="AT1797" s="969">
        <v>0.11468676569309828</v>
      </c>
      <c r="AU1797" s="969">
        <v>1.493438655014263E-2</v>
      </c>
      <c r="AV1797" s="969">
        <v>2.4831172449773953E-2</v>
      </c>
      <c r="AW1797" s="982"/>
      <c r="AX1797" s="986">
        <v>2030</v>
      </c>
      <c r="AY1797" s="166">
        <v>0.70348969660524785</v>
      </c>
      <c r="AZ1797" s="166">
        <v>0</v>
      </c>
      <c r="BA1797" s="166">
        <v>0.13672414080262368</v>
      </c>
      <c r="BB1797" s="166">
        <v>0</v>
      </c>
      <c r="BC1797" s="166">
        <v>3.2079701935891436E-2</v>
      </c>
      <c r="BD1797" s="166">
        <v>0.12770646065623703</v>
      </c>
      <c r="BE1797" s="982"/>
      <c r="BF1797" s="987">
        <v>2030</v>
      </c>
      <c r="BG1797" s="969">
        <v>0.70348969660524785</v>
      </c>
      <c r="BH1797" s="969">
        <v>0</v>
      </c>
      <c r="BI1797" s="969">
        <v>0.13672414080262368</v>
      </c>
      <c r="BJ1797" s="969">
        <v>0</v>
      </c>
      <c r="BK1797" s="969">
        <v>3.2079701935891436E-2</v>
      </c>
      <c r="BL1797" s="969">
        <v>0.12770646065623703</v>
      </c>
      <c r="BM1797" s="982"/>
      <c r="BN1797" s="986">
        <v>2030</v>
      </c>
      <c r="BO1797" s="166">
        <v>2.4120466769984189E-3</v>
      </c>
      <c r="BP1797" s="166">
        <v>4.8703777716470699E-2</v>
      </c>
      <c r="BQ1797" s="166">
        <v>0.5932786169245855</v>
      </c>
      <c r="BR1797" s="166">
        <v>0.11504597204256724</v>
      </c>
      <c r="BS1797" s="166">
        <v>6.5419249517767756E-3</v>
      </c>
      <c r="BT1797" s="166">
        <v>0.23401766168760141</v>
      </c>
      <c r="BU1797" s="982"/>
      <c r="BV1797" s="987">
        <v>2030</v>
      </c>
      <c r="BW1797" s="969">
        <v>2.4120466769984189E-3</v>
      </c>
      <c r="BX1797" s="969">
        <v>4.8703777716470699E-2</v>
      </c>
      <c r="BY1797" s="969">
        <v>0.5932786169245855</v>
      </c>
      <c r="BZ1797" s="969">
        <v>0.11504597204256724</v>
      </c>
      <c r="CA1797" s="969">
        <v>6.5419249517767756E-3</v>
      </c>
      <c r="CB1797" s="969">
        <v>0.23401766168760141</v>
      </c>
      <c r="CC1797" s="982"/>
      <c r="CD1797" s="986">
        <v>2030</v>
      </c>
      <c r="CE1797" s="166">
        <v>1.6891996456271144E-3</v>
      </c>
      <c r="CF1797" s="166">
        <v>0.41195544779248239</v>
      </c>
      <c r="CG1797" s="166">
        <v>5.2741212521712086E-2</v>
      </c>
      <c r="CH1797" s="166">
        <v>0.29507190280458101</v>
      </c>
      <c r="CI1797" s="166">
        <v>1.6609144380566807E-2</v>
      </c>
      <c r="CJ1797" s="166">
        <v>0.2219330928550306</v>
      </c>
      <c r="CK1797" s="982"/>
      <c r="CL1797" s="987">
        <v>2030</v>
      </c>
      <c r="CM1797" s="969">
        <v>1.6891996456271144E-3</v>
      </c>
      <c r="CN1797" s="969">
        <v>0.41195544779248239</v>
      </c>
      <c r="CO1797" s="969">
        <v>5.2741212521712086E-2</v>
      </c>
      <c r="CP1797" s="969">
        <v>0.29507190280458101</v>
      </c>
      <c r="CQ1797" s="969">
        <v>1.6609144380566807E-2</v>
      </c>
      <c r="CR1797" s="969">
        <v>0.2219330928550306</v>
      </c>
      <c r="CS1797" s="982"/>
      <c r="CT1797" s="986">
        <v>2030</v>
      </c>
      <c r="CU1797" s="166">
        <v>2.1742266710103502E-3</v>
      </c>
      <c r="CV1797" s="166">
        <v>0.18657005471787111</v>
      </c>
      <c r="CW1797" s="166">
        <v>0.5035278830391885</v>
      </c>
      <c r="CX1797" s="166">
        <v>0.24499321976828378</v>
      </c>
      <c r="CY1797" s="166">
        <v>1.1469602097925457E-2</v>
      </c>
      <c r="CZ1797" s="166">
        <v>5.1265013705720786E-2</v>
      </c>
      <c r="DA1797" s="982"/>
      <c r="DB1797" s="987">
        <v>2030</v>
      </c>
      <c r="DC1797" s="969">
        <v>2.1742266710103502E-3</v>
      </c>
      <c r="DD1797" s="969">
        <v>0.18657005471787111</v>
      </c>
      <c r="DE1797" s="969">
        <v>0.5035278830391885</v>
      </c>
      <c r="DF1797" s="969">
        <v>0.24499321976828378</v>
      </c>
      <c r="DG1797" s="969">
        <v>1.1469602097925457E-2</v>
      </c>
      <c r="DH1797" s="970">
        <v>5.1265013705720786E-2</v>
      </c>
      <c r="DI1797" s="65"/>
    </row>
    <row r="1798" spans="1:113">
      <c r="A1798" s="76"/>
      <c r="B1798" s="984">
        <v>2035</v>
      </c>
      <c r="C1798" s="166">
        <v>3.2922526151886611E-3</v>
      </c>
      <c r="D1798" s="166">
        <v>0.28125548040794907</v>
      </c>
      <c r="E1798" s="166">
        <v>0.37238998502229126</v>
      </c>
      <c r="F1798" s="166">
        <v>0.17890847792900749</v>
      </c>
      <c r="G1798" s="166">
        <v>1.0376289743121299E-2</v>
      </c>
      <c r="H1798" s="166">
        <v>0.15377751428244213</v>
      </c>
      <c r="I1798" s="982"/>
      <c r="J1798" s="987">
        <v>2035</v>
      </c>
      <c r="K1798" s="969">
        <v>3.2922526151886611E-3</v>
      </c>
      <c r="L1798" s="969">
        <v>0.28125548040794907</v>
      </c>
      <c r="M1798" s="969">
        <v>0.37238998502229126</v>
      </c>
      <c r="N1798" s="969">
        <v>0.17890847792900749</v>
      </c>
      <c r="O1798" s="969">
        <v>1.0376289743121299E-2</v>
      </c>
      <c r="P1798" s="969">
        <v>0.15377751428244213</v>
      </c>
      <c r="Q1798" s="982"/>
      <c r="R1798" s="986">
        <v>2035</v>
      </c>
      <c r="S1798" s="166">
        <v>0.12600808918700393</v>
      </c>
      <c r="T1798" s="166">
        <v>0.52656599281402394</v>
      </c>
      <c r="U1798" s="166">
        <v>9.6142559568749092E-2</v>
      </c>
      <c r="V1798" s="166">
        <v>0</v>
      </c>
      <c r="W1798" s="166">
        <v>8.0088400157553984E-3</v>
      </c>
      <c r="X1798" s="166">
        <v>0.24327451841446768</v>
      </c>
      <c r="Y1798" s="982"/>
      <c r="Z1798" s="987">
        <v>2035</v>
      </c>
      <c r="AA1798" s="969">
        <v>0.12600808918700393</v>
      </c>
      <c r="AB1798" s="969">
        <v>0.52656599281402394</v>
      </c>
      <c r="AC1798" s="969">
        <v>9.6142559568749092E-2</v>
      </c>
      <c r="AD1798" s="969">
        <v>0</v>
      </c>
      <c r="AE1798" s="969">
        <v>8.0088400157553984E-3</v>
      </c>
      <c r="AF1798" s="969">
        <v>0.24327451841446768</v>
      </c>
      <c r="AG1798" s="982"/>
      <c r="AH1798" s="986">
        <v>2035</v>
      </c>
      <c r="AI1798" s="166">
        <v>1.1259321938000546E-3</v>
      </c>
      <c r="AJ1798" s="166">
        <v>0.62105725881142526</v>
      </c>
      <c r="AK1798" s="166">
        <v>0.20739803291575454</v>
      </c>
      <c r="AL1798" s="166">
        <v>0.12657014850628254</v>
      </c>
      <c r="AM1798" s="166">
        <v>1.669973612325823E-2</v>
      </c>
      <c r="AN1798" s="166">
        <v>2.7148891449479295E-2</v>
      </c>
      <c r="AO1798" s="982"/>
      <c r="AP1798" s="987">
        <v>2035</v>
      </c>
      <c r="AQ1798" s="969">
        <v>1.1259321938000546E-3</v>
      </c>
      <c r="AR1798" s="969">
        <v>0.62105725881142526</v>
      </c>
      <c r="AS1798" s="969">
        <v>0.20739803291575454</v>
      </c>
      <c r="AT1798" s="969">
        <v>0.12657014850628254</v>
      </c>
      <c r="AU1798" s="969">
        <v>1.669973612325823E-2</v>
      </c>
      <c r="AV1798" s="969">
        <v>2.7148891449479295E-2</v>
      </c>
      <c r="AW1798" s="982"/>
      <c r="AX1798" s="986">
        <v>2035</v>
      </c>
      <c r="AY1798" s="166">
        <v>0.70348969660524785</v>
      </c>
      <c r="AZ1798" s="166">
        <v>0</v>
      </c>
      <c r="BA1798" s="166">
        <v>0.13672414080262368</v>
      </c>
      <c r="BB1798" s="166">
        <v>0</v>
      </c>
      <c r="BC1798" s="166">
        <v>3.2079701935891436E-2</v>
      </c>
      <c r="BD1798" s="166">
        <v>0.12770646065623703</v>
      </c>
      <c r="BE1798" s="982"/>
      <c r="BF1798" s="987">
        <v>2035</v>
      </c>
      <c r="BG1798" s="969">
        <v>0.70348969660524785</v>
      </c>
      <c r="BH1798" s="969">
        <v>0</v>
      </c>
      <c r="BI1798" s="969">
        <v>0.13672414080262368</v>
      </c>
      <c r="BJ1798" s="969">
        <v>0</v>
      </c>
      <c r="BK1798" s="969">
        <v>3.2079701935891436E-2</v>
      </c>
      <c r="BL1798" s="969">
        <v>0.12770646065623703</v>
      </c>
      <c r="BM1798" s="982"/>
      <c r="BN1798" s="986">
        <v>2035</v>
      </c>
      <c r="BO1798" s="166">
        <v>2.3746369721554441E-3</v>
      </c>
      <c r="BP1798" s="166">
        <v>4.9467858250737566E-2</v>
      </c>
      <c r="BQ1798" s="166">
        <v>0.58294390506995342</v>
      </c>
      <c r="BR1798" s="166">
        <v>0.11324820533651143</v>
      </c>
      <c r="BS1798" s="166">
        <v>6.7642498433065695E-3</v>
      </c>
      <c r="BT1798" s="166">
        <v>0.24520114452733555</v>
      </c>
      <c r="BU1798" s="982"/>
      <c r="BV1798" s="987">
        <v>2035</v>
      </c>
      <c r="BW1798" s="969">
        <v>2.3746369721554441E-3</v>
      </c>
      <c r="BX1798" s="969">
        <v>4.9467858250737566E-2</v>
      </c>
      <c r="BY1798" s="969">
        <v>0.58294390506995342</v>
      </c>
      <c r="BZ1798" s="969">
        <v>0.11324820533651143</v>
      </c>
      <c r="CA1798" s="969">
        <v>6.7642498433065695E-3</v>
      </c>
      <c r="CB1798" s="969">
        <v>0.24520114452733555</v>
      </c>
      <c r="CC1798" s="982"/>
      <c r="CD1798" s="986">
        <v>2035</v>
      </c>
      <c r="CE1798" s="166">
        <v>8.1337352329204798E-4</v>
      </c>
      <c r="CF1798" s="166">
        <v>0.43489618831143745</v>
      </c>
      <c r="CG1798" s="166">
        <v>4.8878113137421395E-2</v>
      </c>
      <c r="CH1798" s="166">
        <v>0.28526373231600161</v>
      </c>
      <c r="CI1798" s="166">
        <v>1.4983552342239829E-2</v>
      </c>
      <c r="CJ1798" s="166">
        <v>0.21516504036960771</v>
      </c>
      <c r="CK1798" s="982"/>
      <c r="CL1798" s="987">
        <v>2035</v>
      </c>
      <c r="CM1798" s="969">
        <v>8.1337352329204798E-4</v>
      </c>
      <c r="CN1798" s="969">
        <v>0.43489618831143745</v>
      </c>
      <c r="CO1798" s="969">
        <v>4.8878113137421395E-2</v>
      </c>
      <c r="CP1798" s="969">
        <v>0.28526373231600161</v>
      </c>
      <c r="CQ1798" s="969">
        <v>1.4983552342239829E-2</v>
      </c>
      <c r="CR1798" s="969">
        <v>0.21516504036960771</v>
      </c>
      <c r="CS1798" s="982"/>
      <c r="CT1798" s="986">
        <v>2035</v>
      </c>
      <c r="CU1798" s="166">
        <v>2.11620179192988E-3</v>
      </c>
      <c r="CV1798" s="166">
        <v>0.20733214099182271</v>
      </c>
      <c r="CW1798" s="166">
        <v>0.48884503304189292</v>
      </c>
      <c r="CX1798" s="166">
        <v>0.2389817458131914</v>
      </c>
      <c r="CY1798" s="166">
        <v>1.2228325680904043E-2</v>
      </c>
      <c r="CZ1798" s="166">
        <v>5.0496552680258988E-2</v>
      </c>
      <c r="DA1798" s="982"/>
      <c r="DB1798" s="987">
        <v>2035</v>
      </c>
      <c r="DC1798" s="969">
        <v>2.11620179192988E-3</v>
      </c>
      <c r="DD1798" s="969">
        <v>0.20733214099182271</v>
      </c>
      <c r="DE1798" s="969">
        <v>0.48884503304189292</v>
      </c>
      <c r="DF1798" s="969">
        <v>0.2389817458131914</v>
      </c>
      <c r="DG1798" s="969">
        <v>1.2228325680904043E-2</v>
      </c>
      <c r="DH1798" s="970">
        <v>5.0496552680258988E-2</v>
      </c>
      <c r="DI1798" s="65"/>
    </row>
    <row r="1799" spans="1:113">
      <c r="A1799" s="76"/>
      <c r="B1799" s="984">
        <v>2040</v>
      </c>
      <c r="C1799" s="166">
        <v>3.2517310124607992E-3</v>
      </c>
      <c r="D1799" s="166">
        <v>0.28421515598636538</v>
      </c>
      <c r="E1799" s="166">
        <v>0.36031005771158331</v>
      </c>
      <c r="F1799" s="166">
        <v>0.17782667000373381</v>
      </c>
      <c r="G1799" s="166">
        <v>1.2544199359209354E-2</v>
      </c>
      <c r="H1799" s="166">
        <v>0.16185218592664741</v>
      </c>
      <c r="I1799" s="982"/>
      <c r="J1799" s="987">
        <v>2040</v>
      </c>
      <c r="K1799" s="969">
        <v>3.2517310124607992E-3</v>
      </c>
      <c r="L1799" s="969">
        <v>0.28421515598636538</v>
      </c>
      <c r="M1799" s="969">
        <v>0.36031005771158331</v>
      </c>
      <c r="N1799" s="969">
        <v>0.17782667000373381</v>
      </c>
      <c r="O1799" s="969">
        <v>1.2544199359209354E-2</v>
      </c>
      <c r="P1799" s="969">
        <v>0.16185218592664741</v>
      </c>
      <c r="Q1799" s="982"/>
      <c r="R1799" s="986">
        <v>2040</v>
      </c>
      <c r="S1799" s="166">
        <v>0.12600808918700393</v>
      </c>
      <c r="T1799" s="166">
        <v>0.52656599281402394</v>
      </c>
      <c r="U1799" s="166">
        <v>9.6142559568749092E-2</v>
      </c>
      <c r="V1799" s="166">
        <v>0</v>
      </c>
      <c r="W1799" s="166">
        <v>8.0088400157553984E-3</v>
      </c>
      <c r="X1799" s="166">
        <v>0.24327451841446768</v>
      </c>
      <c r="Y1799" s="982"/>
      <c r="Z1799" s="987">
        <v>2040</v>
      </c>
      <c r="AA1799" s="969">
        <v>0.12600808918700393</v>
      </c>
      <c r="AB1799" s="969">
        <v>0.52656599281402394</v>
      </c>
      <c r="AC1799" s="969">
        <v>9.6142559568749092E-2</v>
      </c>
      <c r="AD1799" s="969">
        <v>0</v>
      </c>
      <c r="AE1799" s="969">
        <v>8.0088400157553984E-3</v>
      </c>
      <c r="AF1799" s="969">
        <v>0.24327451841446768</v>
      </c>
      <c r="AG1799" s="982"/>
      <c r="AH1799" s="986">
        <v>2040</v>
      </c>
      <c r="AI1799" s="166">
        <v>1.0313812642814666E-3</v>
      </c>
      <c r="AJ1799" s="166">
        <v>0.55241029350393844</v>
      </c>
      <c r="AK1799" s="166">
        <v>0.19651132498406179</v>
      </c>
      <c r="AL1799" s="166">
        <v>0.20031613277645732</v>
      </c>
      <c r="AM1799" s="166">
        <v>2.085077348410749E-2</v>
      </c>
      <c r="AN1799" s="166">
        <v>2.8880093987153521E-2</v>
      </c>
      <c r="AO1799" s="982"/>
      <c r="AP1799" s="987">
        <v>2040</v>
      </c>
      <c r="AQ1799" s="969">
        <v>1.0313812642814666E-3</v>
      </c>
      <c r="AR1799" s="969">
        <v>0.55241029350393844</v>
      </c>
      <c r="AS1799" s="969">
        <v>0.19651132498406179</v>
      </c>
      <c r="AT1799" s="969">
        <v>0.20031613277645732</v>
      </c>
      <c r="AU1799" s="969">
        <v>2.085077348410749E-2</v>
      </c>
      <c r="AV1799" s="969">
        <v>2.8880093987153521E-2</v>
      </c>
      <c r="AW1799" s="982"/>
      <c r="AX1799" s="986">
        <v>2040</v>
      </c>
      <c r="AY1799" s="166">
        <v>0.70348969660524785</v>
      </c>
      <c r="AZ1799" s="166">
        <v>0</v>
      </c>
      <c r="BA1799" s="166">
        <v>0.13672414080262368</v>
      </c>
      <c r="BB1799" s="166">
        <v>0</v>
      </c>
      <c r="BC1799" s="166">
        <v>3.2079701935891436E-2</v>
      </c>
      <c r="BD1799" s="166">
        <v>0.12770646065623703</v>
      </c>
      <c r="BE1799" s="982"/>
      <c r="BF1799" s="987">
        <v>2040</v>
      </c>
      <c r="BG1799" s="969">
        <v>0.70348969660524785</v>
      </c>
      <c r="BH1799" s="969">
        <v>0</v>
      </c>
      <c r="BI1799" s="969">
        <v>0.13672414080262368</v>
      </c>
      <c r="BJ1799" s="969">
        <v>0</v>
      </c>
      <c r="BK1799" s="969">
        <v>3.2079701935891436E-2</v>
      </c>
      <c r="BL1799" s="969">
        <v>0.12770646065623703</v>
      </c>
      <c r="BM1799" s="982"/>
      <c r="BN1799" s="986">
        <v>2040</v>
      </c>
      <c r="BO1799" s="166">
        <v>2.2871758193166139E-3</v>
      </c>
      <c r="BP1799" s="166">
        <v>5.1000239216529623E-2</v>
      </c>
      <c r="BQ1799" s="166">
        <v>0.56441794035113624</v>
      </c>
      <c r="BR1799" s="166">
        <v>0.109496058305541</v>
      </c>
      <c r="BS1799" s="166">
        <v>7.24544309659211E-3</v>
      </c>
      <c r="BT1799" s="166">
        <v>0.26555314321088441</v>
      </c>
      <c r="BU1799" s="982"/>
      <c r="BV1799" s="987">
        <v>2040</v>
      </c>
      <c r="BW1799" s="969">
        <v>2.2871758193166139E-3</v>
      </c>
      <c r="BX1799" s="969">
        <v>5.1000239216529623E-2</v>
      </c>
      <c r="BY1799" s="969">
        <v>0.56441794035113624</v>
      </c>
      <c r="BZ1799" s="969">
        <v>0.109496058305541</v>
      </c>
      <c r="CA1799" s="969">
        <v>7.24544309659211E-3</v>
      </c>
      <c r="CB1799" s="969">
        <v>0.26555314321088441</v>
      </c>
      <c r="CC1799" s="982"/>
      <c r="CD1799" s="986">
        <v>2040</v>
      </c>
      <c r="CE1799" s="166">
        <v>8.2595802787970702E-4</v>
      </c>
      <c r="CF1799" s="166">
        <v>0.43014795886579682</v>
      </c>
      <c r="CG1799" s="166">
        <v>5.1130280243993464E-2</v>
      </c>
      <c r="CH1799" s="166">
        <v>0.28576547306732758</v>
      </c>
      <c r="CI1799" s="166">
        <v>1.6207602954087751E-2</v>
      </c>
      <c r="CJ1799" s="166">
        <v>0.21592272684091462</v>
      </c>
      <c r="CK1799" s="982"/>
      <c r="CL1799" s="987">
        <v>2040</v>
      </c>
      <c r="CM1799" s="969">
        <v>8.2595802787970702E-4</v>
      </c>
      <c r="CN1799" s="969">
        <v>0.43014795886579682</v>
      </c>
      <c r="CO1799" s="969">
        <v>5.1130280243993464E-2</v>
      </c>
      <c r="CP1799" s="969">
        <v>0.28576547306732758</v>
      </c>
      <c r="CQ1799" s="969">
        <v>1.6207602954087751E-2</v>
      </c>
      <c r="CR1799" s="969">
        <v>0.21592272684091462</v>
      </c>
      <c r="CS1799" s="982"/>
      <c r="CT1799" s="986">
        <v>2040</v>
      </c>
      <c r="CU1799" s="166">
        <v>2.0751783260752549E-3</v>
      </c>
      <c r="CV1799" s="166">
        <v>0.21793911853879308</v>
      </c>
      <c r="CW1799" s="166">
        <v>0.47982996680644774</v>
      </c>
      <c r="CX1799" s="166">
        <v>0.23471453989792951</v>
      </c>
      <c r="CY1799" s="166">
        <v>1.3059528655526636E-2</v>
      </c>
      <c r="CZ1799" s="166">
        <v>5.2381667775227791E-2</v>
      </c>
      <c r="DA1799" s="982"/>
      <c r="DB1799" s="987">
        <v>2040</v>
      </c>
      <c r="DC1799" s="969">
        <v>2.0751783260752549E-3</v>
      </c>
      <c r="DD1799" s="969">
        <v>0.21793911853879308</v>
      </c>
      <c r="DE1799" s="969">
        <v>0.47982996680644774</v>
      </c>
      <c r="DF1799" s="969">
        <v>0.23471453989792951</v>
      </c>
      <c r="DG1799" s="969">
        <v>1.3059528655526636E-2</v>
      </c>
      <c r="DH1799" s="970">
        <v>5.2381667775227791E-2</v>
      </c>
      <c r="DI1799" s="65"/>
    </row>
    <row r="1800" spans="1:113">
      <c r="A1800" s="76"/>
      <c r="B1800" s="984"/>
      <c r="C1800" s="967"/>
      <c r="D1800" s="967"/>
      <c r="E1800" s="967"/>
      <c r="F1800" s="967"/>
      <c r="G1800" s="967"/>
      <c r="H1800" s="967"/>
      <c r="I1800" s="990"/>
      <c r="J1800" s="991"/>
      <c r="K1800" s="992"/>
      <c r="L1800" s="992"/>
      <c r="M1800" s="992"/>
      <c r="N1800" s="992"/>
      <c r="O1800" s="992"/>
      <c r="P1800" s="992"/>
      <c r="Q1800" s="990"/>
      <c r="R1800" s="993"/>
      <c r="S1800" s="994"/>
      <c r="T1800" s="994"/>
      <c r="U1800" s="994"/>
      <c r="V1800" s="994"/>
      <c r="W1800" s="994"/>
      <c r="X1800" s="994"/>
      <c r="Y1800" s="990"/>
      <c r="Z1800" s="991"/>
      <c r="AA1800" s="992"/>
      <c r="AB1800" s="992"/>
      <c r="AC1800" s="992"/>
      <c r="AD1800" s="992"/>
      <c r="AE1800" s="992"/>
      <c r="AF1800" s="992"/>
      <c r="AG1800" s="990"/>
      <c r="AH1800" s="993"/>
      <c r="AI1800" s="994"/>
      <c r="AJ1800" s="994"/>
      <c r="AK1800" s="994"/>
      <c r="AL1800" s="994"/>
      <c r="AM1800" s="994"/>
      <c r="AN1800" s="994"/>
      <c r="AO1800" s="990"/>
      <c r="AP1800" s="991"/>
      <c r="AQ1800" s="992"/>
      <c r="AR1800" s="992"/>
      <c r="AS1800" s="992"/>
      <c r="AT1800" s="992"/>
      <c r="AU1800" s="992"/>
      <c r="AV1800" s="992"/>
      <c r="AW1800" s="990"/>
      <c r="AX1800" s="993"/>
      <c r="AY1800" s="994"/>
      <c r="AZ1800" s="994"/>
      <c r="BA1800" s="994"/>
      <c r="BB1800" s="994"/>
      <c r="BC1800" s="994"/>
      <c r="BD1800" s="994"/>
      <c r="BE1800" s="990"/>
      <c r="BF1800" s="991"/>
      <c r="BG1800" s="992"/>
      <c r="BH1800" s="992"/>
      <c r="BI1800" s="992"/>
      <c r="BJ1800" s="992"/>
      <c r="BK1800" s="992"/>
      <c r="BL1800" s="992"/>
      <c r="BM1800" s="995"/>
      <c r="BN1800" s="996"/>
      <c r="BO1800" s="997"/>
      <c r="BP1800" s="997"/>
      <c r="BQ1800" s="997"/>
      <c r="BR1800" s="997"/>
      <c r="BS1800" s="997"/>
      <c r="BT1800" s="997"/>
      <c r="BU1800" s="995"/>
      <c r="BV1800" s="998"/>
      <c r="BW1800" s="999"/>
      <c r="BX1800" s="999"/>
      <c r="BY1800" s="999"/>
      <c r="BZ1800" s="999"/>
      <c r="CA1800" s="999"/>
      <c r="CB1800" s="999"/>
      <c r="CC1800" s="995"/>
      <c r="CD1800" s="996"/>
      <c r="CE1800" s="997"/>
      <c r="CF1800" s="997"/>
      <c r="CG1800" s="997"/>
      <c r="CH1800" s="997"/>
      <c r="CI1800" s="997"/>
      <c r="CJ1800" s="997"/>
      <c r="CK1800" s="995"/>
      <c r="CL1800" s="998"/>
      <c r="CM1800" s="999"/>
      <c r="CN1800" s="999"/>
      <c r="CO1800" s="999"/>
      <c r="CP1800" s="999"/>
      <c r="CQ1800" s="999"/>
      <c r="CR1800" s="999"/>
      <c r="CS1800" s="995"/>
      <c r="CT1800" s="996"/>
      <c r="CU1800" s="997"/>
      <c r="CV1800" s="997"/>
      <c r="CW1800" s="997"/>
      <c r="CX1800" s="997"/>
      <c r="CY1800" s="997"/>
      <c r="CZ1800" s="997"/>
      <c r="DA1800" s="995"/>
      <c r="DB1800" s="996"/>
      <c r="DC1800" s="997"/>
      <c r="DD1800" s="997"/>
      <c r="DE1800" s="997"/>
      <c r="DF1800" s="997"/>
      <c r="DG1800" s="997"/>
      <c r="DH1800" s="1000"/>
      <c r="DI1800" s="65"/>
    </row>
    <row r="1801" spans="1:113">
      <c r="A1801" s="76"/>
      <c r="B1801" s="958" t="s">
        <v>1329</v>
      </c>
      <c r="C1801" s="977"/>
      <c r="D1801" s="977"/>
      <c r="E1801" s="977"/>
      <c r="F1801" s="977"/>
      <c r="G1801" s="977"/>
      <c r="H1801" s="977"/>
      <c r="I1801" s="990"/>
      <c r="J1801" s="1001" t="s">
        <v>1330</v>
      </c>
      <c r="K1801" s="1002"/>
      <c r="L1801" s="1002"/>
      <c r="M1801" s="1002"/>
      <c r="N1801" s="1002"/>
      <c r="O1801" s="1002"/>
      <c r="P1801" s="1002"/>
      <c r="Q1801" s="990"/>
      <c r="R1801" s="1003" t="s">
        <v>1331</v>
      </c>
      <c r="S1801" s="990"/>
      <c r="T1801" s="990"/>
      <c r="U1801" s="990"/>
      <c r="V1801" s="990"/>
      <c r="W1801" s="990"/>
      <c r="X1801" s="990"/>
      <c r="Y1801" s="990"/>
      <c r="Z1801" s="1001" t="s">
        <v>1332</v>
      </c>
      <c r="AA1801" s="1002"/>
      <c r="AB1801" s="1002"/>
      <c r="AC1801" s="1002"/>
      <c r="AD1801" s="1002"/>
      <c r="AE1801" s="1002"/>
      <c r="AF1801" s="1002"/>
      <c r="AG1801" s="990"/>
      <c r="AH1801" s="1003" t="s">
        <v>1333</v>
      </c>
      <c r="AI1801" s="990"/>
      <c r="AJ1801" s="990"/>
      <c r="AK1801" s="990"/>
      <c r="AL1801" s="990"/>
      <c r="AM1801" s="990"/>
      <c r="AN1801" s="990"/>
      <c r="AO1801" s="990"/>
      <c r="AP1801" s="1001" t="s">
        <v>1334</v>
      </c>
      <c r="AQ1801" s="1002"/>
      <c r="AR1801" s="1002"/>
      <c r="AS1801" s="1002"/>
      <c r="AT1801" s="1002"/>
      <c r="AU1801" s="1002"/>
      <c r="AV1801" s="1002"/>
      <c r="AW1801" s="990"/>
      <c r="AX1801" s="1003" t="s">
        <v>1335</v>
      </c>
      <c r="AY1801" s="990"/>
      <c r="AZ1801" s="990"/>
      <c r="BA1801" s="990"/>
      <c r="BB1801" s="990"/>
      <c r="BC1801" s="990"/>
      <c r="BD1801" s="990"/>
      <c r="BE1801" s="990"/>
      <c r="BF1801" s="1001" t="s">
        <v>1336</v>
      </c>
      <c r="BG1801" s="1002"/>
      <c r="BH1801" s="1002"/>
      <c r="BI1801" s="1002"/>
      <c r="BJ1801" s="1002"/>
      <c r="BK1801" s="1002"/>
      <c r="BL1801" s="1002"/>
      <c r="BM1801" s="995"/>
      <c r="BN1801" s="1001" t="s">
        <v>1337</v>
      </c>
      <c r="BO1801" s="1004"/>
      <c r="BP1801" s="1004"/>
      <c r="BQ1801" s="1004"/>
      <c r="BR1801" s="1004"/>
      <c r="BS1801" s="1004"/>
      <c r="BT1801" s="1004"/>
      <c r="BU1801" s="995"/>
      <c r="BV1801" s="1001" t="s">
        <v>1338</v>
      </c>
      <c r="BW1801" s="1004"/>
      <c r="BX1801" s="1004"/>
      <c r="BY1801" s="1004"/>
      <c r="BZ1801" s="1004"/>
      <c r="CA1801" s="1004"/>
      <c r="CB1801" s="1004"/>
      <c r="CC1801" s="995"/>
      <c r="CD1801" s="1003" t="s">
        <v>1339</v>
      </c>
      <c r="CE1801" s="995"/>
      <c r="CF1801" s="995"/>
      <c r="CG1801" s="995"/>
      <c r="CH1801" s="995"/>
      <c r="CI1801" s="995"/>
      <c r="CJ1801" s="995"/>
      <c r="CK1801" s="995"/>
      <c r="CL1801" s="1001" t="s">
        <v>1340</v>
      </c>
      <c r="CM1801" s="1004"/>
      <c r="CN1801" s="1004"/>
      <c r="CO1801" s="1004"/>
      <c r="CP1801" s="1004"/>
      <c r="CQ1801" s="1004"/>
      <c r="CR1801" s="1004"/>
      <c r="CS1801" s="995"/>
      <c r="CT1801" s="996"/>
      <c r="CU1801" s="997"/>
      <c r="CV1801" s="997"/>
      <c r="CW1801" s="997"/>
      <c r="CX1801" s="997"/>
      <c r="CY1801" s="997"/>
      <c r="CZ1801" s="997"/>
      <c r="DA1801" s="995"/>
      <c r="DB1801" s="996"/>
      <c r="DC1801" s="997"/>
      <c r="DD1801" s="997"/>
      <c r="DE1801" s="997"/>
      <c r="DF1801" s="997"/>
      <c r="DG1801" s="997"/>
      <c r="DH1801" s="1000"/>
      <c r="DI1801" s="65"/>
    </row>
    <row r="1802" spans="1:113">
      <c r="A1802" s="76"/>
      <c r="B1802" s="958"/>
      <c r="C1802" s="977"/>
      <c r="D1802" s="977"/>
      <c r="E1802" s="977"/>
      <c r="F1802" s="977"/>
      <c r="G1802" s="977"/>
      <c r="H1802" s="977"/>
      <c r="I1802" s="990"/>
      <c r="J1802" s="1001"/>
      <c r="K1802" s="1002"/>
      <c r="L1802" s="1002"/>
      <c r="M1802" s="1002"/>
      <c r="N1802" s="1002"/>
      <c r="O1802" s="1002"/>
      <c r="P1802" s="1002"/>
      <c r="Q1802" s="990"/>
      <c r="R1802" s="1003"/>
      <c r="S1802" s="990"/>
      <c r="T1802" s="990"/>
      <c r="U1802" s="990"/>
      <c r="V1802" s="990"/>
      <c r="W1802" s="990"/>
      <c r="X1802" s="990"/>
      <c r="Y1802" s="990"/>
      <c r="Z1802" s="1001"/>
      <c r="AA1802" s="1002"/>
      <c r="AB1802" s="1002"/>
      <c r="AC1802" s="1002"/>
      <c r="AD1802" s="1002"/>
      <c r="AE1802" s="1002"/>
      <c r="AF1802" s="1002"/>
      <c r="AG1802" s="990"/>
      <c r="AH1802" s="1003"/>
      <c r="AI1802" s="990"/>
      <c r="AJ1802" s="990"/>
      <c r="AK1802" s="990"/>
      <c r="AL1802" s="990"/>
      <c r="AM1802" s="990"/>
      <c r="AN1802" s="990"/>
      <c r="AO1802" s="990"/>
      <c r="AP1802" s="1001"/>
      <c r="AQ1802" s="1002"/>
      <c r="AR1802" s="1002"/>
      <c r="AS1802" s="1002"/>
      <c r="AT1802" s="1002"/>
      <c r="AU1802" s="1002"/>
      <c r="AV1802" s="1002"/>
      <c r="AW1802" s="990"/>
      <c r="AX1802" s="1003"/>
      <c r="AY1802" s="990"/>
      <c r="AZ1802" s="990"/>
      <c r="BA1802" s="990"/>
      <c r="BB1802" s="990"/>
      <c r="BC1802" s="990"/>
      <c r="BD1802" s="990"/>
      <c r="BE1802" s="990"/>
      <c r="BF1802" s="1001"/>
      <c r="BG1802" s="1002"/>
      <c r="BH1802" s="1002"/>
      <c r="BI1802" s="1002"/>
      <c r="BJ1802" s="1002"/>
      <c r="BK1802" s="1002"/>
      <c r="BL1802" s="1002"/>
      <c r="BM1802" s="995"/>
      <c r="BN1802" s="1001"/>
      <c r="BO1802" s="1004"/>
      <c r="BP1802" s="1004"/>
      <c r="BQ1802" s="1004"/>
      <c r="BR1802" s="1004"/>
      <c r="BS1802" s="1004"/>
      <c r="BT1802" s="1004"/>
      <c r="BU1802" s="995"/>
      <c r="BV1802" s="1001"/>
      <c r="BW1802" s="1004"/>
      <c r="BX1802" s="1004"/>
      <c r="BY1802" s="1004"/>
      <c r="BZ1802" s="1004"/>
      <c r="CA1802" s="1004"/>
      <c r="CB1802" s="1004"/>
      <c r="CC1802" s="995"/>
      <c r="CD1802" s="1003"/>
      <c r="CE1802" s="995"/>
      <c r="CF1802" s="995"/>
      <c r="CG1802" s="995"/>
      <c r="CH1802" s="995"/>
      <c r="CI1802" s="995"/>
      <c r="CJ1802" s="995"/>
      <c r="CK1802" s="995"/>
      <c r="CL1802" s="1001"/>
      <c r="CM1802" s="1004"/>
      <c r="CN1802" s="1004"/>
      <c r="CO1802" s="1004"/>
      <c r="CP1802" s="1004"/>
      <c r="CQ1802" s="1004"/>
      <c r="CR1802" s="1004"/>
      <c r="CS1802" s="995"/>
      <c r="CT1802" s="996"/>
      <c r="CU1802" s="997"/>
      <c r="CV1802" s="997"/>
      <c r="CW1802" s="997"/>
      <c r="CX1802" s="997"/>
      <c r="CY1802" s="997"/>
      <c r="CZ1802" s="997"/>
      <c r="DA1802" s="995"/>
      <c r="DB1802" s="996"/>
      <c r="DC1802" s="997"/>
      <c r="DD1802" s="997"/>
      <c r="DE1802" s="997"/>
      <c r="DF1802" s="997"/>
      <c r="DG1802" s="997"/>
      <c r="DH1802" s="1000"/>
      <c r="DI1802" s="65"/>
    </row>
    <row r="1803" spans="1:113">
      <c r="A1803" s="76"/>
      <c r="B1803" s="1005"/>
      <c r="C1803" s="967">
        <v>4.0692951822813217E-3</v>
      </c>
      <c r="D1803" s="967">
        <v>0.1884279273438953</v>
      </c>
      <c r="E1803" s="967">
        <v>0.49306484309464577</v>
      </c>
      <c r="F1803" s="967">
        <v>0.27258917690037243</v>
      </c>
      <c r="G1803" s="967">
        <v>4.4096554692178913E-3</v>
      </c>
      <c r="H1803" s="967">
        <v>3.7439102009587333E-2</v>
      </c>
      <c r="I1803" s="994"/>
      <c r="J1803" s="992"/>
      <c r="K1803" s="992">
        <v>4.0692951822813217E-3</v>
      </c>
      <c r="L1803" s="992">
        <v>0.1884279273438953</v>
      </c>
      <c r="M1803" s="992">
        <v>0.49306484309464577</v>
      </c>
      <c r="N1803" s="992">
        <v>0.27258917690037243</v>
      </c>
      <c r="O1803" s="992">
        <v>4.4096554692178913E-3</v>
      </c>
      <c r="P1803" s="992">
        <v>3.7439102009587333E-2</v>
      </c>
      <c r="Q1803" s="994"/>
      <c r="R1803" s="994"/>
      <c r="S1803" s="994">
        <v>1.3308235779475723E-2</v>
      </c>
      <c r="T1803" s="994">
        <v>0.2265139951635694</v>
      </c>
      <c r="U1803" s="994">
        <v>0.56020847500065474</v>
      </c>
      <c r="V1803" s="994">
        <v>4.1020571166130691E-2</v>
      </c>
      <c r="W1803" s="994">
        <v>5.6850095648609482E-5</v>
      </c>
      <c r="X1803" s="994">
        <v>0.15889187279452088</v>
      </c>
      <c r="Y1803" s="994"/>
      <c r="Z1803" s="992"/>
      <c r="AA1803" s="992">
        <v>1.3308235779475723E-2</v>
      </c>
      <c r="AB1803" s="992">
        <v>0.2265139951635694</v>
      </c>
      <c r="AC1803" s="992">
        <v>0.56020847500065474</v>
      </c>
      <c r="AD1803" s="992">
        <v>4.1020571166130691E-2</v>
      </c>
      <c r="AE1803" s="992">
        <v>5.6850095648609482E-5</v>
      </c>
      <c r="AF1803" s="992">
        <v>0.15889187279452088</v>
      </c>
      <c r="AG1803" s="994"/>
      <c r="AH1803" s="994"/>
      <c r="AI1803" s="994">
        <v>1.4770926648494688E-3</v>
      </c>
      <c r="AJ1803" s="994">
        <v>0.41297862778149519</v>
      </c>
      <c r="AK1803" s="994">
        <v>0.35995808125857776</v>
      </c>
      <c r="AL1803" s="994">
        <v>0.12296598834926391</v>
      </c>
      <c r="AM1803" s="994">
        <v>2.2699497110191653E-3</v>
      </c>
      <c r="AN1803" s="994">
        <v>0.10035026023479454</v>
      </c>
      <c r="AO1803" s="994"/>
      <c r="AP1803" s="992"/>
      <c r="AQ1803" s="992">
        <v>1.4770926648494688E-3</v>
      </c>
      <c r="AR1803" s="992">
        <v>0.41297862778149519</v>
      </c>
      <c r="AS1803" s="992">
        <v>0.35995808125857776</v>
      </c>
      <c r="AT1803" s="992">
        <v>0.12296598834926391</v>
      </c>
      <c r="AU1803" s="992">
        <v>2.2699497110191653E-3</v>
      </c>
      <c r="AV1803" s="992">
        <v>0.10035026023479454</v>
      </c>
      <c r="AW1803" s="994"/>
      <c r="AX1803" s="994"/>
      <c r="AY1803" s="994">
        <v>1.650346919919364E-3</v>
      </c>
      <c r="AZ1803" s="994">
        <v>0.32526510742602732</v>
      </c>
      <c r="BA1803" s="994">
        <v>0.25448161913794443</v>
      </c>
      <c r="BB1803" s="994">
        <v>7.8740625224170566E-2</v>
      </c>
      <c r="BC1803" s="994">
        <v>1.8988223716782562E-3</v>
      </c>
      <c r="BD1803" s="994">
        <v>0.33796347892026002</v>
      </c>
      <c r="BE1803" s="994"/>
      <c r="BF1803" s="992"/>
      <c r="BG1803" s="992">
        <v>1.650346919919364E-3</v>
      </c>
      <c r="BH1803" s="992">
        <v>0.32526510742602732</v>
      </c>
      <c r="BI1803" s="992">
        <v>0.25448161913794443</v>
      </c>
      <c r="BJ1803" s="992">
        <v>7.8740625224170566E-2</v>
      </c>
      <c r="BK1803" s="992">
        <v>1.8988223716782562E-3</v>
      </c>
      <c r="BL1803" s="992">
        <v>0.33796347892026002</v>
      </c>
      <c r="BM1803" s="997"/>
      <c r="BN1803" s="999"/>
      <c r="BO1803" s="999">
        <v>2.3605414953732003E-4</v>
      </c>
      <c r="BP1803" s="999">
        <v>0.55040086014371326</v>
      </c>
      <c r="BQ1803" s="999">
        <v>5.8620240299443162E-2</v>
      </c>
      <c r="BR1803" s="999">
        <v>8.3916168605392971E-2</v>
      </c>
      <c r="BS1803" s="999">
        <v>4.9235757257912053E-3</v>
      </c>
      <c r="BT1803" s="999">
        <v>0.30190310107612217</v>
      </c>
      <c r="BU1803" s="997"/>
      <c r="BV1803" s="999"/>
      <c r="BW1803" s="999">
        <v>2.3605414953732003E-4</v>
      </c>
      <c r="BX1803" s="999">
        <v>0.55040086014371326</v>
      </c>
      <c r="BY1803" s="999">
        <v>5.8620240299443162E-2</v>
      </c>
      <c r="BZ1803" s="999">
        <v>8.3916168605392971E-2</v>
      </c>
      <c r="CA1803" s="999">
        <v>4.9235757257912053E-3</v>
      </c>
      <c r="CB1803" s="999">
        <v>0.30190310107612217</v>
      </c>
      <c r="CC1803" s="997"/>
      <c r="CD1803" s="997"/>
      <c r="CE1803" s="997">
        <v>6.3648495040812183E-3</v>
      </c>
      <c r="CF1803" s="997">
        <v>0.26176035277929866</v>
      </c>
      <c r="CG1803" s="997">
        <v>0.4063869220949865</v>
      </c>
      <c r="CH1803" s="997">
        <v>0.19868988461610343</v>
      </c>
      <c r="CI1803" s="997">
        <v>2.8705608202568597E-3</v>
      </c>
      <c r="CJ1803" s="997">
        <v>0.1239274301852733</v>
      </c>
      <c r="CK1803" s="997"/>
      <c r="CL1803" s="999"/>
      <c r="CM1803" s="999">
        <v>6.3648495040812183E-3</v>
      </c>
      <c r="CN1803" s="999">
        <v>0.26176035277929866</v>
      </c>
      <c r="CO1803" s="999">
        <v>0.4063869220949865</v>
      </c>
      <c r="CP1803" s="999">
        <v>0.19868988461610343</v>
      </c>
      <c r="CQ1803" s="999">
        <v>2.8705608202568597E-3</v>
      </c>
      <c r="CR1803" s="999">
        <v>0.1239274301852733</v>
      </c>
      <c r="CS1803" s="997"/>
      <c r="CT1803" s="997"/>
      <c r="CU1803" s="997"/>
      <c r="CV1803" s="997"/>
      <c r="CW1803" s="997"/>
      <c r="CX1803" s="997"/>
      <c r="CY1803" s="997"/>
      <c r="CZ1803" s="997"/>
      <c r="DA1803" s="997"/>
      <c r="DB1803" s="997"/>
      <c r="DC1803" s="997"/>
      <c r="DD1803" s="997"/>
      <c r="DE1803" s="997"/>
      <c r="DF1803" s="997"/>
      <c r="DG1803" s="997"/>
      <c r="DH1803" s="1000"/>
      <c r="DI1803" s="65"/>
    </row>
    <row r="1804" spans="1:113">
      <c r="A1804" s="76"/>
      <c r="B1804" s="1006"/>
      <c r="C1804" s="972">
        <v>4.0692951822813217E-3</v>
      </c>
      <c r="D1804" s="972">
        <v>0.1884279273438953</v>
      </c>
      <c r="E1804" s="972">
        <v>0.49306484309464577</v>
      </c>
      <c r="F1804" s="972">
        <v>0.27258917690037243</v>
      </c>
      <c r="G1804" s="972">
        <v>4.4096554692178913E-3</v>
      </c>
      <c r="H1804" s="967">
        <v>3.7439102009587333E-2</v>
      </c>
      <c r="I1804" s="994"/>
      <c r="J1804" s="992"/>
      <c r="K1804" s="1007">
        <v>4.0692951822813217E-3</v>
      </c>
      <c r="L1804" s="1007">
        <v>0.1884279273438953</v>
      </c>
      <c r="M1804" s="1007">
        <v>0.49306484309464577</v>
      </c>
      <c r="N1804" s="1007">
        <v>0.27258917690037243</v>
      </c>
      <c r="O1804" s="1007">
        <v>4.4096554692178913E-3</v>
      </c>
      <c r="P1804" s="992">
        <v>3.7439102009587333E-2</v>
      </c>
      <c r="Q1804" s="994"/>
      <c r="R1804" s="994"/>
      <c r="S1804" s="1008">
        <v>1.3308235779475723E-2</v>
      </c>
      <c r="T1804" s="1008">
        <v>0.2265139951635694</v>
      </c>
      <c r="U1804" s="1008">
        <v>0.56020847500065474</v>
      </c>
      <c r="V1804" s="1008">
        <v>4.1020571166130691E-2</v>
      </c>
      <c r="W1804" s="1008">
        <v>5.6850095648609482E-5</v>
      </c>
      <c r="X1804" s="994">
        <v>0.15889187279452088</v>
      </c>
      <c r="Y1804" s="994"/>
      <c r="Z1804" s="992"/>
      <c r="AA1804" s="1007">
        <v>1.3308235779475723E-2</v>
      </c>
      <c r="AB1804" s="1007">
        <v>0.2265139951635694</v>
      </c>
      <c r="AC1804" s="1007">
        <v>0.56020847500065474</v>
      </c>
      <c r="AD1804" s="1007">
        <v>4.1020571166130691E-2</v>
      </c>
      <c r="AE1804" s="1007">
        <v>5.6850095648609482E-5</v>
      </c>
      <c r="AF1804" s="992">
        <v>0.15889187279452088</v>
      </c>
      <c r="AG1804" s="994"/>
      <c r="AH1804" s="994"/>
      <c r="AI1804" s="1008">
        <v>1.4770926648494688E-3</v>
      </c>
      <c r="AJ1804" s="1008">
        <v>0.41297862778149519</v>
      </c>
      <c r="AK1804" s="1008">
        <v>0.35995808125857776</v>
      </c>
      <c r="AL1804" s="1008">
        <v>0.12296598834926391</v>
      </c>
      <c r="AM1804" s="1008">
        <v>2.2699497110191653E-3</v>
      </c>
      <c r="AN1804" s="994">
        <v>0.10035026023479454</v>
      </c>
      <c r="AO1804" s="994"/>
      <c r="AP1804" s="992"/>
      <c r="AQ1804" s="1007">
        <v>1.4770926648494688E-3</v>
      </c>
      <c r="AR1804" s="1007">
        <v>0.41297862778149519</v>
      </c>
      <c r="AS1804" s="1007">
        <v>0.35995808125857776</v>
      </c>
      <c r="AT1804" s="1007">
        <v>0.12296598834926391</v>
      </c>
      <c r="AU1804" s="1007">
        <v>2.2699497110191653E-3</v>
      </c>
      <c r="AV1804" s="992">
        <v>0.10035026023479454</v>
      </c>
      <c r="AW1804" s="994"/>
      <c r="AX1804" s="994"/>
      <c r="AY1804" s="1008">
        <v>1.650346919919364E-3</v>
      </c>
      <c r="AZ1804" s="1008">
        <v>0.32526510742602732</v>
      </c>
      <c r="BA1804" s="1008">
        <v>0.25448161913794443</v>
      </c>
      <c r="BB1804" s="1008">
        <v>7.8740625224170566E-2</v>
      </c>
      <c r="BC1804" s="1008">
        <v>1.8988223716782562E-3</v>
      </c>
      <c r="BD1804" s="994">
        <v>0.33796347892026002</v>
      </c>
      <c r="BE1804" s="994"/>
      <c r="BF1804" s="992"/>
      <c r="BG1804" s="1007">
        <v>1.650346919919364E-3</v>
      </c>
      <c r="BH1804" s="1007">
        <v>0.32526510742602732</v>
      </c>
      <c r="BI1804" s="1007">
        <v>0.25448161913794443</v>
      </c>
      <c r="BJ1804" s="1007">
        <v>7.8740625224170566E-2</v>
      </c>
      <c r="BK1804" s="1007">
        <v>1.8988223716782562E-3</v>
      </c>
      <c r="BL1804" s="992">
        <v>0.33796347892026002</v>
      </c>
      <c r="BM1804" s="997"/>
      <c r="BN1804" s="999"/>
      <c r="BO1804" s="1007">
        <v>2.3605414953732003E-4</v>
      </c>
      <c r="BP1804" s="1007">
        <v>0.55040086014371326</v>
      </c>
      <c r="BQ1804" s="1007">
        <v>5.8620240299443162E-2</v>
      </c>
      <c r="BR1804" s="1007">
        <v>8.3916168605392971E-2</v>
      </c>
      <c r="BS1804" s="1007">
        <v>4.9235757257912053E-3</v>
      </c>
      <c r="BT1804" s="999">
        <v>0.30190310107612217</v>
      </c>
      <c r="BU1804" s="997"/>
      <c r="BV1804" s="999"/>
      <c r="BW1804" s="1007">
        <v>2.3605414953732003E-4</v>
      </c>
      <c r="BX1804" s="1007">
        <v>0.55040086014371326</v>
      </c>
      <c r="BY1804" s="1007">
        <v>5.8620240299443162E-2</v>
      </c>
      <c r="BZ1804" s="1007">
        <v>8.3916168605392971E-2</v>
      </c>
      <c r="CA1804" s="1007">
        <v>4.9235757257912053E-3</v>
      </c>
      <c r="CB1804" s="999">
        <v>0.30190310107612217</v>
      </c>
      <c r="CC1804" s="997"/>
      <c r="CD1804" s="997"/>
      <c r="CE1804" s="1008">
        <v>6.3648495040812183E-3</v>
      </c>
      <c r="CF1804" s="1008">
        <v>0.26176035277929866</v>
      </c>
      <c r="CG1804" s="1008">
        <v>0.4063869220949865</v>
      </c>
      <c r="CH1804" s="1008">
        <v>0.19868988461610343</v>
      </c>
      <c r="CI1804" s="1008">
        <v>2.8705608202568597E-3</v>
      </c>
      <c r="CJ1804" s="997">
        <v>0.1239274301852733</v>
      </c>
      <c r="CK1804" s="997"/>
      <c r="CL1804" s="999"/>
      <c r="CM1804" s="1007">
        <v>6.3648495040812183E-3</v>
      </c>
      <c r="CN1804" s="1007">
        <v>0.26176035277929866</v>
      </c>
      <c r="CO1804" s="1007">
        <v>0.4063869220949865</v>
      </c>
      <c r="CP1804" s="1007">
        <v>0.19868988461610343</v>
      </c>
      <c r="CQ1804" s="1007">
        <v>2.8705608202568597E-3</v>
      </c>
      <c r="CR1804" s="999">
        <v>0.1239274301852733</v>
      </c>
      <c r="CS1804" s="997"/>
      <c r="CT1804" s="997"/>
      <c r="CU1804" s="997"/>
      <c r="CV1804" s="997"/>
      <c r="CW1804" s="997"/>
      <c r="CX1804" s="997"/>
      <c r="CY1804" s="997"/>
      <c r="CZ1804" s="997"/>
      <c r="DA1804" s="997"/>
      <c r="DB1804" s="997"/>
      <c r="DC1804" s="997"/>
      <c r="DD1804" s="997"/>
      <c r="DE1804" s="997"/>
      <c r="DF1804" s="997"/>
      <c r="DG1804" s="997"/>
      <c r="DH1804" s="1000"/>
      <c r="DI1804" s="65"/>
    </row>
    <row r="1805" spans="1:113">
      <c r="A1805" s="76"/>
      <c r="B1805" s="1009" t="s">
        <v>1325</v>
      </c>
      <c r="C1805" s="975" t="s">
        <v>1326</v>
      </c>
      <c r="D1805" s="975" t="s">
        <v>836</v>
      </c>
      <c r="E1805" s="975" t="s">
        <v>277</v>
      </c>
      <c r="F1805" s="975" t="s">
        <v>1327</v>
      </c>
      <c r="G1805" s="975" t="s">
        <v>1304</v>
      </c>
      <c r="H1805" s="976" t="s">
        <v>1328</v>
      </c>
      <c r="I1805" s="959"/>
      <c r="J1805" s="1010" t="s">
        <v>1325</v>
      </c>
      <c r="K1805" s="1011" t="s">
        <v>1326</v>
      </c>
      <c r="L1805" s="1011" t="s">
        <v>836</v>
      </c>
      <c r="M1805" s="1011" t="s">
        <v>277</v>
      </c>
      <c r="N1805" s="1011" t="s">
        <v>1327</v>
      </c>
      <c r="O1805" s="1011" t="s">
        <v>1304</v>
      </c>
      <c r="P1805" s="1012" t="s">
        <v>1328</v>
      </c>
      <c r="Q1805" s="959"/>
      <c r="R1805" s="1013" t="s">
        <v>1325</v>
      </c>
      <c r="S1805" s="1014" t="s">
        <v>1326</v>
      </c>
      <c r="T1805" s="1014" t="s">
        <v>836</v>
      </c>
      <c r="U1805" s="1014" t="s">
        <v>277</v>
      </c>
      <c r="V1805" s="1014" t="s">
        <v>1327</v>
      </c>
      <c r="W1805" s="1014" t="s">
        <v>1304</v>
      </c>
      <c r="X1805" s="1015" t="s">
        <v>1328</v>
      </c>
      <c r="Y1805" s="959"/>
      <c r="Z1805" s="1010" t="s">
        <v>1325</v>
      </c>
      <c r="AA1805" s="1011" t="s">
        <v>1326</v>
      </c>
      <c r="AB1805" s="1011" t="s">
        <v>836</v>
      </c>
      <c r="AC1805" s="1011" t="s">
        <v>277</v>
      </c>
      <c r="AD1805" s="1011" t="s">
        <v>1327</v>
      </c>
      <c r="AE1805" s="1011" t="s">
        <v>1304</v>
      </c>
      <c r="AF1805" s="1012" t="s">
        <v>1328</v>
      </c>
      <c r="AG1805" s="959"/>
      <c r="AH1805" s="1013" t="s">
        <v>1325</v>
      </c>
      <c r="AI1805" s="1014" t="s">
        <v>1326</v>
      </c>
      <c r="AJ1805" s="1014" t="s">
        <v>836</v>
      </c>
      <c r="AK1805" s="1014" t="s">
        <v>277</v>
      </c>
      <c r="AL1805" s="1014" t="s">
        <v>1327</v>
      </c>
      <c r="AM1805" s="1014" t="s">
        <v>1304</v>
      </c>
      <c r="AN1805" s="1015" t="s">
        <v>1328</v>
      </c>
      <c r="AO1805" s="959"/>
      <c r="AP1805" s="1010" t="s">
        <v>1325</v>
      </c>
      <c r="AQ1805" s="1011" t="s">
        <v>1326</v>
      </c>
      <c r="AR1805" s="1011" t="s">
        <v>836</v>
      </c>
      <c r="AS1805" s="1011" t="s">
        <v>277</v>
      </c>
      <c r="AT1805" s="1011" t="s">
        <v>1327</v>
      </c>
      <c r="AU1805" s="1011" t="s">
        <v>1304</v>
      </c>
      <c r="AV1805" s="1012" t="s">
        <v>1328</v>
      </c>
      <c r="AW1805" s="959"/>
      <c r="AX1805" s="1013" t="s">
        <v>1325</v>
      </c>
      <c r="AY1805" s="1014" t="s">
        <v>1326</v>
      </c>
      <c r="AZ1805" s="1014" t="s">
        <v>836</v>
      </c>
      <c r="BA1805" s="1014" t="s">
        <v>277</v>
      </c>
      <c r="BB1805" s="1014" t="s">
        <v>1327</v>
      </c>
      <c r="BC1805" s="1014" t="s">
        <v>1304</v>
      </c>
      <c r="BD1805" s="1015" t="s">
        <v>1328</v>
      </c>
      <c r="BE1805" s="959"/>
      <c r="BF1805" s="1010" t="s">
        <v>1325</v>
      </c>
      <c r="BG1805" s="1011" t="s">
        <v>1326</v>
      </c>
      <c r="BH1805" s="1011" t="s">
        <v>836</v>
      </c>
      <c r="BI1805" s="1011" t="s">
        <v>277</v>
      </c>
      <c r="BJ1805" s="1011" t="s">
        <v>1327</v>
      </c>
      <c r="BK1805" s="1011" t="s">
        <v>1304</v>
      </c>
      <c r="BL1805" s="1012" t="s">
        <v>1328</v>
      </c>
      <c r="BM1805" s="963"/>
      <c r="BN1805" s="1010" t="s">
        <v>1325</v>
      </c>
      <c r="BO1805" s="1011" t="s">
        <v>1326</v>
      </c>
      <c r="BP1805" s="1011" t="s">
        <v>836</v>
      </c>
      <c r="BQ1805" s="1011" t="s">
        <v>277</v>
      </c>
      <c r="BR1805" s="1011" t="s">
        <v>1327</v>
      </c>
      <c r="BS1805" s="1011" t="s">
        <v>1304</v>
      </c>
      <c r="BT1805" s="1012" t="s">
        <v>1328</v>
      </c>
      <c r="BU1805" s="963"/>
      <c r="BV1805" s="1010" t="s">
        <v>1325</v>
      </c>
      <c r="BW1805" s="1011" t="s">
        <v>1326</v>
      </c>
      <c r="BX1805" s="1011" t="s">
        <v>836</v>
      </c>
      <c r="BY1805" s="1011" t="s">
        <v>277</v>
      </c>
      <c r="BZ1805" s="1011" t="s">
        <v>1327</v>
      </c>
      <c r="CA1805" s="1011" t="s">
        <v>1304</v>
      </c>
      <c r="CB1805" s="1012" t="s">
        <v>1328</v>
      </c>
      <c r="CC1805" s="963"/>
      <c r="CD1805" s="1013" t="s">
        <v>1325</v>
      </c>
      <c r="CE1805" s="1014" t="s">
        <v>1326</v>
      </c>
      <c r="CF1805" s="1014" t="s">
        <v>836</v>
      </c>
      <c r="CG1805" s="1014" t="s">
        <v>277</v>
      </c>
      <c r="CH1805" s="1014" t="s">
        <v>1327</v>
      </c>
      <c r="CI1805" s="1014" t="s">
        <v>1304</v>
      </c>
      <c r="CJ1805" s="1015" t="s">
        <v>1328</v>
      </c>
      <c r="CK1805" s="963"/>
      <c r="CL1805" s="1010" t="s">
        <v>1325</v>
      </c>
      <c r="CM1805" s="1011" t="s">
        <v>1326</v>
      </c>
      <c r="CN1805" s="1011" t="s">
        <v>836</v>
      </c>
      <c r="CO1805" s="1011" t="s">
        <v>277</v>
      </c>
      <c r="CP1805" s="1011" t="s">
        <v>1327</v>
      </c>
      <c r="CQ1805" s="1011" t="s">
        <v>1304</v>
      </c>
      <c r="CR1805" s="1012" t="s">
        <v>1328</v>
      </c>
      <c r="CS1805" s="963"/>
      <c r="CT1805" s="989"/>
      <c r="CU1805" s="166"/>
      <c r="CV1805" s="166"/>
      <c r="CW1805" s="166"/>
      <c r="CX1805" s="166"/>
      <c r="CY1805" s="166"/>
      <c r="CZ1805" s="166"/>
      <c r="DA1805" s="963"/>
      <c r="DB1805" s="989"/>
      <c r="DC1805" s="166"/>
      <c r="DD1805" s="166"/>
      <c r="DE1805" s="166"/>
      <c r="DF1805" s="166"/>
      <c r="DG1805" s="166"/>
      <c r="DH1805" s="1016"/>
      <c r="DI1805" s="65"/>
    </row>
    <row r="1806" spans="1:113">
      <c r="A1806" s="76"/>
      <c r="B1806" s="984">
        <v>1990</v>
      </c>
      <c r="C1806" s="967">
        <v>4.3549662919072077E-3</v>
      </c>
      <c r="D1806" s="967">
        <v>4.8260542198827992E-2</v>
      </c>
      <c r="E1806" s="967">
        <v>0.55630184491033685</v>
      </c>
      <c r="F1806" s="967">
        <v>0.32972099903175878</v>
      </c>
      <c r="G1806" s="967">
        <v>0</v>
      </c>
      <c r="H1806" s="967">
        <v>6.136164756716922E-2</v>
      </c>
      <c r="I1806" s="959"/>
      <c r="J1806" s="1017">
        <v>1990</v>
      </c>
      <c r="K1806" s="968">
        <v>4.3549662919072077E-3</v>
      </c>
      <c r="L1806" s="968">
        <v>4.8260542198827992E-2</v>
      </c>
      <c r="M1806" s="968">
        <v>0.55630184491033685</v>
      </c>
      <c r="N1806" s="968">
        <v>0.32972099903175878</v>
      </c>
      <c r="O1806" s="968">
        <v>0</v>
      </c>
      <c r="P1806" s="968">
        <v>6.136164756716922E-2</v>
      </c>
      <c r="Q1806" s="959"/>
      <c r="R1806" s="986">
        <v>1990</v>
      </c>
      <c r="S1806" s="967">
        <v>1.3128669601862857E-3</v>
      </c>
      <c r="T1806" s="967">
        <v>0.24569887969777104</v>
      </c>
      <c r="U1806" s="967">
        <v>0.60561892776249249</v>
      </c>
      <c r="V1806" s="967">
        <v>0.11099479546106512</v>
      </c>
      <c r="W1806" s="967">
        <v>0</v>
      </c>
      <c r="X1806" s="967">
        <v>3.6374530118485016E-2</v>
      </c>
      <c r="Y1806" s="959"/>
      <c r="Z1806" s="1017">
        <v>1990</v>
      </c>
      <c r="AA1806" s="968">
        <v>1.3128669601862857E-3</v>
      </c>
      <c r="AB1806" s="968">
        <v>0.24569887969777104</v>
      </c>
      <c r="AC1806" s="968">
        <v>0.60561892776249249</v>
      </c>
      <c r="AD1806" s="968">
        <v>0.11099479546106512</v>
      </c>
      <c r="AE1806" s="968">
        <v>0</v>
      </c>
      <c r="AF1806" s="968">
        <v>3.6374530118485016E-2</v>
      </c>
      <c r="AG1806" s="959"/>
      <c r="AH1806" s="986">
        <v>1990</v>
      </c>
      <c r="AI1806" s="967">
        <v>2.0535033375704676E-3</v>
      </c>
      <c r="AJ1806" s="967">
        <v>0.41564231728962631</v>
      </c>
      <c r="AK1806" s="967">
        <v>0.50568610813069559</v>
      </c>
      <c r="AL1806" s="967">
        <v>6.7760897418092034E-2</v>
      </c>
      <c r="AM1806" s="967">
        <v>0</v>
      </c>
      <c r="AN1806" s="967">
        <v>8.8571738240156295E-3</v>
      </c>
      <c r="AO1806" s="959"/>
      <c r="AP1806" s="1017">
        <v>1990</v>
      </c>
      <c r="AQ1806" s="968">
        <v>2.0535033375704676E-3</v>
      </c>
      <c r="AR1806" s="968">
        <v>0.41564231728962631</v>
      </c>
      <c r="AS1806" s="968">
        <v>0.50568610813069559</v>
      </c>
      <c r="AT1806" s="968">
        <v>6.7760897418092034E-2</v>
      </c>
      <c r="AU1806" s="968">
        <v>0</v>
      </c>
      <c r="AV1806" s="968">
        <v>8.8571738240156295E-3</v>
      </c>
      <c r="AW1806" s="959"/>
      <c r="AX1806" s="986">
        <v>1990</v>
      </c>
      <c r="AY1806" s="967">
        <v>9.7905905919836965E-3</v>
      </c>
      <c r="AZ1806" s="967">
        <v>0.1045209452068299</v>
      </c>
      <c r="BA1806" s="967">
        <v>0.38286129738647273</v>
      </c>
      <c r="BB1806" s="967">
        <v>0.12726020506040475</v>
      </c>
      <c r="BC1806" s="967">
        <v>0</v>
      </c>
      <c r="BD1806" s="967">
        <v>0.37556696175430893</v>
      </c>
      <c r="BE1806" s="959"/>
      <c r="BF1806" s="1017">
        <v>1990</v>
      </c>
      <c r="BG1806" s="968">
        <v>9.7905905919836965E-3</v>
      </c>
      <c r="BH1806" s="968">
        <v>0.1045209452068299</v>
      </c>
      <c r="BI1806" s="968">
        <v>0.38286129738647273</v>
      </c>
      <c r="BJ1806" s="968">
        <v>0.12726020506040475</v>
      </c>
      <c r="BK1806" s="968">
        <v>0</v>
      </c>
      <c r="BL1806" s="968">
        <v>0.37556696175430893</v>
      </c>
      <c r="BM1806" s="963"/>
      <c r="BN1806" s="1018">
        <v>1990</v>
      </c>
      <c r="BO1806" s="969">
        <v>2.3E-2</v>
      </c>
      <c r="BP1806" s="969">
        <v>0.4</v>
      </c>
      <c r="BQ1806" s="969">
        <v>0.112</v>
      </c>
      <c r="BR1806" s="969">
        <v>0.192</v>
      </c>
      <c r="BS1806" s="969">
        <v>1.6E-2</v>
      </c>
      <c r="BT1806" s="969">
        <v>0.2569999999999999</v>
      </c>
      <c r="BU1806" s="963"/>
      <c r="BV1806" s="1018">
        <v>1990</v>
      </c>
      <c r="BW1806" s="969">
        <v>2.3E-2</v>
      </c>
      <c r="BX1806" s="969">
        <v>0.4</v>
      </c>
      <c r="BY1806" s="969">
        <v>0.112</v>
      </c>
      <c r="BZ1806" s="969">
        <v>0.192</v>
      </c>
      <c r="CA1806" s="969">
        <v>1.6E-2</v>
      </c>
      <c r="CB1806" s="969">
        <v>0.2569999999999999</v>
      </c>
      <c r="CC1806" s="963"/>
      <c r="CD1806" s="989">
        <v>1990</v>
      </c>
      <c r="CE1806" s="166">
        <v>4.2000000000000003E-2</v>
      </c>
      <c r="CF1806" s="166">
        <v>0.123</v>
      </c>
      <c r="CG1806" s="166">
        <v>0.52500000000000002</v>
      </c>
      <c r="CH1806" s="166">
        <v>0.19</v>
      </c>
      <c r="CI1806" s="166">
        <v>1.0999999999999999E-2</v>
      </c>
      <c r="CJ1806" s="166">
        <v>0.10899999999999987</v>
      </c>
      <c r="CK1806" s="963"/>
      <c r="CL1806" s="1018">
        <v>1990</v>
      </c>
      <c r="CM1806" s="969">
        <v>4.2000000000000003E-2</v>
      </c>
      <c r="CN1806" s="969">
        <v>0.123</v>
      </c>
      <c r="CO1806" s="969">
        <v>0.52500000000000002</v>
      </c>
      <c r="CP1806" s="969">
        <v>0.19</v>
      </c>
      <c r="CQ1806" s="969">
        <v>1.0999999999999999E-2</v>
      </c>
      <c r="CR1806" s="969">
        <v>0.10899999999999987</v>
      </c>
      <c r="CS1806" s="963"/>
      <c r="CT1806" s="989"/>
      <c r="CU1806" s="166"/>
      <c r="CV1806" s="166"/>
      <c r="CW1806" s="166"/>
      <c r="CX1806" s="166"/>
      <c r="CY1806" s="166"/>
      <c r="CZ1806" s="166"/>
      <c r="DA1806" s="963"/>
      <c r="DB1806" s="989"/>
      <c r="DC1806" s="166"/>
      <c r="DD1806" s="166"/>
      <c r="DE1806" s="166"/>
      <c r="DF1806" s="166"/>
      <c r="DG1806" s="166"/>
      <c r="DH1806" s="1016"/>
      <c r="DI1806" s="65"/>
    </row>
    <row r="1807" spans="1:113">
      <c r="A1807" s="76"/>
      <c r="B1807" s="984">
        <v>1995</v>
      </c>
      <c r="C1807" s="967">
        <v>4.3633585406762949E-3</v>
      </c>
      <c r="D1807" s="967">
        <v>5.7562186933411245E-2</v>
      </c>
      <c r="E1807" s="967">
        <v>0.55432223562059713</v>
      </c>
      <c r="F1807" s="967">
        <v>0.33642805389445912</v>
      </c>
      <c r="G1807" s="967">
        <v>0</v>
      </c>
      <c r="H1807" s="967">
        <v>4.7324165010856234E-2</v>
      </c>
      <c r="I1807" s="959"/>
      <c r="J1807" s="1017">
        <v>1995</v>
      </c>
      <c r="K1807" s="968">
        <v>4.3633585406762949E-3</v>
      </c>
      <c r="L1807" s="968">
        <v>5.7562186933411245E-2</v>
      </c>
      <c r="M1807" s="968">
        <v>0.55432223562059713</v>
      </c>
      <c r="N1807" s="968">
        <v>0.33642805389445912</v>
      </c>
      <c r="O1807" s="968">
        <v>0</v>
      </c>
      <c r="P1807" s="968">
        <v>4.7324165010856234E-2</v>
      </c>
      <c r="Q1807" s="959"/>
      <c r="R1807" s="986">
        <v>1995</v>
      </c>
      <c r="S1807" s="967">
        <v>1.0286869594809298E-3</v>
      </c>
      <c r="T1807" s="967">
        <v>0.24282320588347533</v>
      </c>
      <c r="U1807" s="967">
        <v>0.60645515954924989</v>
      </c>
      <c r="V1807" s="967">
        <v>0.12014270992423898</v>
      </c>
      <c r="W1807" s="967">
        <v>0</v>
      </c>
      <c r="X1807" s="967">
        <v>2.9550237683554803E-2</v>
      </c>
      <c r="Y1807" s="959"/>
      <c r="Z1807" s="1017">
        <v>1995</v>
      </c>
      <c r="AA1807" s="968">
        <v>1.0286869594809298E-3</v>
      </c>
      <c r="AB1807" s="968">
        <v>0.24282320588347533</v>
      </c>
      <c r="AC1807" s="968">
        <v>0.60645515954924989</v>
      </c>
      <c r="AD1807" s="968">
        <v>0.12014270992423898</v>
      </c>
      <c r="AE1807" s="968">
        <v>0</v>
      </c>
      <c r="AF1807" s="968">
        <v>2.9550237683554803E-2</v>
      </c>
      <c r="AG1807" s="959"/>
      <c r="AH1807" s="986">
        <v>1995</v>
      </c>
      <c r="AI1807" s="967">
        <v>7.7669107394621973E-4</v>
      </c>
      <c r="AJ1807" s="967">
        <v>0.38784103377009932</v>
      </c>
      <c r="AK1807" s="967">
        <v>0.46673713782872145</v>
      </c>
      <c r="AL1807" s="967">
        <v>0.13813561197257215</v>
      </c>
      <c r="AM1807" s="967">
        <v>0</v>
      </c>
      <c r="AN1807" s="967">
        <v>6.5095253546608722E-3</v>
      </c>
      <c r="AO1807" s="959"/>
      <c r="AP1807" s="1017">
        <v>1995</v>
      </c>
      <c r="AQ1807" s="968">
        <v>7.7669107394621973E-4</v>
      </c>
      <c r="AR1807" s="968">
        <v>0.38784103377009932</v>
      </c>
      <c r="AS1807" s="968">
        <v>0.46673713782872145</v>
      </c>
      <c r="AT1807" s="968">
        <v>0.13813561197257215</v>
      </c>
      <c r="AU1807" s="968">
        <v>0</v>
      </c>
      <c r="AV1807" s="968">
        <v>6.5095253546608722E-3</v>
      </c>
      <c r="AW1807" s="959"/>
      <c r="AX1807" s="986">
        <v>1995</v>
      </c>
      <c r="AY1807" s="967">
        <v>1.4463773230624149E-3</v>
      </c>
      <c r="AZ1807" s="967">
        <v>9.9306402457818591E-2</v>
      </c>
      <c r="BA1807" s="967">
        <v>0.37161024993690189</v>
      </c>
      <c r="BB1807" s="967">
        <v>0.12342902147991595</v>
      </c>
      <c r="BC1807" s="967">
        <v>0</v>
      </c>
      <c r="BD1807" s="967">
        <v>0.40420794880230115</v>
      </c>
      <c r="BE1807" s="959"/>
      <c r="BF1807" s="1017">
        <v>1995</v>
      </c>
      <c r="BG1807" s="968">
        <v>1.4463773230624149E-3</v>
      </c>
      <c r="BH1807" s="968">
        <v>9.9306402457818591E-2</v>
      </c>
      <c r="BI1807" s="968">
        <v>0.37161024993690189</v>
      </c>
      <c r="BJ1807" s="968">
        <v>0.12342902147991595</v>
      </c>
      <c r="BK1807" s="968">
        <v>0</v>
      </c>
      <c r="BL1807" s="968">
        <v>0.40420794880230115</v>
      </c>
      <c r="BM1807" s="963"/>
      <c r="BN1807" s="1018">
        <v>1995</v>
      </c>
      <c r="BO1807" s="969">
        <v>2E-3</v>
      </c>
      <c r="BP1807" s="969">
        <v>0.375</v>
      </c>
      <c r="BQ1807" s="969">
        <v>8.5999999999999993E-2</v>
      </c>
      <c r="BR1807" s="969">
        <v>0.17299999999999999</v>
      </c>
      <c r="BS1807" s="969">
        <v>1.6E-2</v>
      </c>
      <c r="BT1807" s="969">
        <v>0.34800000000000009</v>
      </c>
      <c r="BU1807" s="963"/>
      <c r="BV1807" s="1018">
        <v>1995</v>
      </c>
      <c r="BW1807" s="969">
        <v>2E-3</v>
      </c>
      <c r="BX1807" s="969">
        <v>0.375</v>
      </c>
      <c r="BY1807" s="969">
        <v>8.5999999999999993E-2</v>
      </c>
      <c r="BZ1807" s="969">
        <v>0.17299999999999999</v>
      </c>
      <c r="CA1807" s="969">
        <v>1.6E-2</v>
      </c>
      <c r="CB1807" s="969">
        <v>0.34800000000000009</v>
      </c>
      <c r="CC1807" s="963"/>
      <c r="CD1807" s="989">
        <v>1995</v>
      </c>
      <c r="CE1807" s="166">
        <v>2.1999999999999999E-2</v>
      </c>
      <c r="CF1807" s="166">
        <v>0.14799999999999999</v>
      </c>
      <c r="CG1807" s="166">
        <v>0.51</v>
      </c>
      <c r="CH1807" s="166">
        <v>0.20100000000000001</v>
      </c>
      <c r="CI1807" s="166">
        <v>1.2E-2</v>
      </c>
      <c r="CJ1807" s="166">
        <v>0.10699999999999998</v>
      </c>
      <c r="CK1807" s="963"/>
      <c r="CL1807" s="1018">
        <v>1995</v>
      </c>
      <c r="CM1807" s="969">
        <v>2.1999999999999999E-2</v>
      </c>
      <c r="CN1807" s="969">
        <v>0.14799999999999999</v>
      </c>
      <c r="CO1807" s="969">
        <v>0.51</v>
      </c>
      <c r="CP1807" s="969">
        <v>0.20100000000000001</v>
      </c>
      <c r="CQ1807" s="969">
        <v>1.2E-2</v>
      </c>
      <c r="CR1807" s="969">
        <v>0.10699999999999998</v>
      </c>
      <c r="CS1807" s="963"/>
      <c r="CT1807" s="989"/>
      <c r="CU1807" s="166"/>
      <c r="CV1807" s="166"/>
      <c r="CW1807" s="166"/>
      <c r="CX1807" s="166"/>
      <c r="CY1807" s="166"/>
      <c r="CZ1807" s="166"/>
      <c r="DA1807" s="963"/>
      <c r="DB1807" s="989"/>
      <c r="DC1807" s="166"/>
      <c r="DD1807" s="166"/>
      <c r="DE1807" s="166"/>
      <c r="DF1807" s="166"/>
      <c r="DG1807" s="166"/>
      <c r="DH1807" s="1016"/>
      <c r="DI1807" s="65"/>
    </row>
    <row r="1808" spans="1:113">
      <c r="A1808" s="76"/>
      <c r="B1808" s="984">
        <v>2000</v>
      </c>
      <c r="C1808" s="967">
        <v>9.3838890028631813E-3</v>
      </c>
      <c r="D1808" s="967">
        <v>5.0882619633549758E-2</v>
      </c>
      <c r="E1808" s="967">
        <v>0.5524714436774687</v>
      </c>
      <c r="F1808" s="967">
        <v>0.35807301320121732</v>
      </c>
      <c r="G1808" s="967">
        <v>0</v>
      </c>
      <c r="H1808" s="967">
        <v>2.9189034484901066E-2</v>
      </c>
      <c r="I1808" s="959"/>
      <c r="J1808" s="1017">
        <v>2000</v>
      </c>
      <c r="K1808" s="968">
        <v>9.3838890028631813E-3</v>
      </c>
      <c r="L1808" s="968">
        <v>5.0882619633549758E-2</v>
      </c>
      <c r="M1808" s="968">
        <v>0.5524714436774687</v>
      </c>
      <c r="N1808" s="968">
        <v>0.35807301320121732</v>
      </c>
      <c r="O1808" s="968">
        <v>0</v>
      </c>
      <c r="P1808" s="968">
        <v>2.9189034484901066E-2</v>
      </c>
      <c r="Q1808" s="959"/>
      <c r="R1808" s="986">
        <v>2000</v>
      </c>
      <c r="S1808" s="967">
        <v>3.6937411283294E-3</v>
      </c>
      <c r="T1808" s="967">
        <v>0.24036607256695319</v>
      </c>
      <c r="U1808" s="967">
        <v>0.61929752371487101</v>
      </c>
      <c r="V1808" s="967">
        <v>0.1199285411996777</v>
      </c>
      <c r="W1808" s="967">
        <v>0</v>
      </c>
      <c r="X1808" s="967">
        <v>1.6714121390168701E-2</v>
      </c>
      <c r="Y1808" s="959"/>
      <c r="Z1808" s="1017">
        <v>2000</v>
      </c>
      <c r="AA1808" s="968">
        <v>3.6937411283294E-3</v>
      </c>
      <c r="AB1808" s="968">
        <v>0.24036607256695319</v>
      </c>
      <c r="AC1808" s="968">
        <v>0.61929752371487101</v>
      </c>
      <c r="AD1808" s="968">
        <v>0.1199285411996777</v>
      </c>
      <c r="AE1808" s="968">
        <v>0</v>
      </c>
      <c r="AF1808" s="968">
        <v>1.6714121390168701E-2</v>
      </c>
      <c r="AG1808" s="959"/>
      <c r="AH1808" s="986">
        <v>2000</v>
      </c>
      <c r="AI1808" s="967">
        <v>4.0378456632935624E-3</v>
      </c>
      <c r="AJ1808" s="967">
        <v>0.40309709596580251</v>
      </c>
      <c r="AK1808" s="967">
        <v>0.46376489910142005</v>
      </c>
      <c r="AL1808" s="967">
        <v>0.1263235101174397</v>
      </c>
      <c r="AM1808" s="967">
        <v>0</v>
      </c>
      <c r="AN1808" s="967">
        <v>2.7766491520441194E-3</v>
      </c>
      <c r="AO1808" s="959"/>
      <c r="AP1808" s="1017">
        <v>2000</v>
      </c>
      <c r="AQ1808" s="968">
        <v>4.0378456632935624E-3</v>
      </c>
      <c r="AR1808" s="968">
        <v>0.40309709596580251</v>
      </c>
      <c r="AS1808" s="968">
        <v>0.46376489910142005</v>
      </c>
      <c r="AT1808" s="968">
        <v>0.1263235101174397</v>
      </c>
      <c r="AU1808" s="968">
        <v>0</v>
      </c>
      <c r="AV1808" s="968">
        <v>2.7766491520441194E-3</v>
      </c>
      <c r="AW1808" s="959"/>
      <c r="AX1808" s="986">
        <v>2000</v>
      </c>
      <c r="AY1808" s="967">
        <v>1.7313369737291524E-3</v>
      </c>
      <c r="AZ1808" s="967">
        <v>8.7081265032376717E-2</v>
      </c>
      <c r="BA1808" s="967">
        <v>0.40437318459766358</v>
      </c>
      <c r="BB1808" s="967">
        <v>0.14379217325239751</v>
      </c>
      <c r="BC1808" s="967">
        <v>0</v>
      </c>
      <c r="BD1808" s="967">
        <v>0.3630220401438331</v>
      </c>
      <c r="BE1808" s="959"/>
      <c r="BF1808" s="1017">
        <v>2000</v>
      </c>
      <c r="BG1808" s="968">
        <v>1.7313369737291524E-3</v>
      </c>
      <c r="BH1808" s="968">
        <v>8.7081265032376717E-2</v>
      </c>
      <c r="BI1808" s="968">
        <v>0.40437318459766358</v>
      </c>
      <c r="BJ1808" s="968">
        <v>0.14379217325239751</v>
      </c>
      <c r="BK1808" s="968">
        <v>0</v>
      </c>
      <c r="BL1808" s="968">
        <v>0.3630220401438331</v>
      </c>
      <c r="BM1808" s="963"/>
      <c r="BN1808" s="1018">
        <v>2000</v>
      </c>
      <c r="BO1808" s="969">
        <v>2E-3</v>
      </c>
      <c r="BP1808" s="969">
        <v>0.42099999999999999</v>
      </c>
      <c r="BQ1808" s="969">
        <v>0.14499999999999999</v>
      </c>
      <c r="BR1808" s="969">
        <v>0.17100000000000001</v>
      </c>
      <c r="BS1808" s="969">
        <v>1.6E-2</v>
      </c>
      <c r="BT1808" s="969">
        <v>0.245</v>
      </c>
      <c r="BU1808" s="963"/>
      <c r="BV1808" s="1018">
        <v>2000</v>
      </c>
      <c r="BW1808" s="969">
        <v>2E-3</v>
      </c>
      <c r="BX1808" s="969">
        <v>0.42099999999999999</v>
      </c>
      <c r="BY1808" s="969">
        <v>0.14499999999999999</v>
      </c>
      <c r="BZ1808" s="969">
        <v>0.17100000000000001</v>
      </c>
      <c r="CA1808" s="969">
        <v>1.6E-2</v>
      </c>
      <c r="CB1808" s="969">
        <v>0.245</v>
      </c>
      <c r="CC1808" s="963"/>
      <c r="CD1808" s="989">
        <v>2000</v>
      </c>
      <c r="CE1808" s="166">
        <v>2.9000000000000001E-2</v>
      </c>
      <c r="CF1808" s="166">
        <v>0.158</v>
      </c>
      <c r="CG1808" s="166">
        <v>0.51700000000000002</v>
      </c>
      <c r="CH1808" s="166">
        <v>0.19800000000000001</v>
      </c>
      <c r="CI1808" s="166">
        <v>1.0999999999999999E-2</v>
      </c>
      <c r="CJ1808" s="166">
        <v>8.7000000000000077E-2</v>
      </c>
      <c r="CK1808" s="963"/>
      <c r="CL1808" s="1018">
        <v>2000</v>
      </c>
      <c r="CM1808" s="969">
        <v>2.9000000000000001E-2</v>
      </c>
      <c r="CN1808" s="969">
        <v>0.158</v>
      </c>
      <c r="CO1808" s="969">
        <v>0.51700000000000002</v>
      </c>
      <c r="CP1808" s="969">
        <v>0.19800000000000001</v>
      </c>
      <c r="CQ1808" s="969">
        <v>1.0999999999999999E-2</v>
      </c>
      <c r="CR1808" s="969">
        <v>8.7000000000000077E-2</v>
      </c>
      <c r="CS1808" s="963"/>
      <c r="CT1808" s="989"/>
      <c r="CU1808" s="166"/>
      <c r="CV1808" s="166"/>
      <c r="CW1808" s="166"/>
      <c r="CX1808" s="166"/>
      <c r="CY1808" s="166"/>
      <c r="CZ1808" s="166"/>
      <c r="DA1808" s="963"/>
      <c r="DB1808" s="989"/>
      <c r="DC1808" s="166"/>
      <c r="DD1808" s="166"/>
      <c r="DE1808" s="166"/>
      <c r="DF1808" s="166"/>
      <c r="DG1808" s="166"/>
      <c r="DH1808" s="1016"/>
      <c r="DI1808" s="65"/>
    </row>
    <row r="1809" spans="1:113">
      <c r="A1809" s="76"/>
      <c r="B1809" s="984">
        <v>2005</v>
      </c>
      <c r="C1809" s="967">
        <v>1.2015055755937698E-2</v>
      </c>
      <c r="D1809" s="967">
        <v>5.5698850154735441E-2</v>
      </c>
      <c r="E1809" s="967">
        <v>0.58267383025786401</v>
      </c>
      <c r="F1809" s="967">
        <v>0.30019475865664424</v>
      </c>
      <c r="G1809" s="967">
        <v>0</v>
      </c>
      <c r="H1809" s="967">
        <v>4.9417505174818577E-2</v>
      </c>
      <c r="I1809" s="959"/>
      <c r="J1809" s="1017">
        <v>2005</v>
      </c>
      <c r="K1809" s="968">
        <v>1.2015055755937698E-2</v>
      </c>
      <c r="L1809" s="968">
        <v>5.5698850154735441E-2</v>
      </c>
      <c r="M1809" s="968">
        <v>0.58267383025786401</v>
      </c>
      <c r="N1809" s="968">
        <v>0.30019475865664424</v>
      </c>
      <c r="O1809" s="968">
        <v>0</v>
      </c>
      <c r="P1809" s="968">
        <v>4.9417505174818577E-2</v>
      </c>
      <c r="Q1809" s="959"/>
      <c r="R1809" s="986">
        <v>2005</v>
      </c>
      <c r="S1809" s="967">
        <v>7.5198457387856245E-3</v>
      </c>
      <c r="T1809" s="967">
        <v>0.29917431762694602</v>
      </c>
      <c r="U1809" s="967">
        <v>0.618221478057153</v>
      </c>
      <c r="V1809" s="967">
        <v>4.5003959932231996E-2</v>
      </c>
      <c r="W1809" s="967">
        <v>0</v>
      </c>
      <c r="X1809" s="967">
        <v>3.0080398644883433E-2</v>
      </c>
      <c r="Y1809" s="959"/>
      <c r="Z1809" s="1017">
        <v>2005</v>
      </c>
      <c r="AA1809" s="968">
        <v>7.5198457387856245E-3</v>
      </c>
      <c r="AB1809" s="968">
        <v>0.29917431762694602</v>
      </c>
      <c r="AC1809" s="968">
        <v>0.618221478057153</v>
      </c>
      <c r="AD1809" s="968">
        <v>4.5003959932231996E-2</v>
      </c>
      <c r="AE1809" s="968">
        <v>0</v>
      </c>
      <c r="AF1809" s="968">
        <v>3.0080398644883433E-2</v>
      </c>
      <c r="AG1809" s="959"/>
      <c r="AH1809" s="986">
        <v>2005</v>
      </c>
      <c r="AI1809" s="967">
        <v>7.1821759750251692E-4</v>
      </c>
      <c r="AJ1809" s="967">
        <v>0.33958426899126909</v>
      </c>
      <c r="AK1809" s="967">
        <v>0.5137383538492587</v>
      </c>
      <c r="AL1809" s="967">
        <v>0.13</v>
      </c>
      <c r="AM1809" s="967">
        <v>0</v>
      </c>
      <c r="AN1809" s="967">
        <v>1.5959159561969694E-2</v>
      </c>
      <c r="AO1809" s="959"/>
      <c r="AP1809" s="1017">
        <v>2005</v>
      </c>
      <c r="AQ1809" s="968">
        <v>7.1821759750251692E-4</v>
      </c>
      <c r="AR1809" s="968">
        <v>0.33958426899126909</v>
      </c>
      <c r="AS1809" s="968">
        <v>0.5137383538492587</v>
      </c>
      <c r="AT1809" s="968">
        <v>0.13</v>
      </c>
      <c r="AU1809" s="968">
        <v>0</v>
      </c>
      <c r="AV1809" s="968">
        <v>1.5959159561969694E-2</v>
      </c>
      <c r="AW1809" s="959"/>
      <c r="AX1809" s="986">
        <v>2005</v>
      </c>
      <c r="AY1809" s="967">
        <v>7.6762176333850397E-4</v>
      </c>
      <c r="AZ1809" s="967">
        <v>0.10223106068111155</v>
      </c>
      <c r="BA1809" s="967">
        <v>0.42318729028762986</v>
      </c>
      <c r="BB1809" s="967">
        <v>0.13571721438725859</v>
      </c>
      <c r="BC1809" s="967">
        <v>1.2000053799559995E-3</v>
      </c>
      <c r="BD1809" s="967">
        <v>0.3368968075007055</v>
      </c>
      <c r="BE1809" s="959"/>
      <c r="BF1809" s="1017">
        <v>2005</v>
      </c>
      <c r="BG1809" s="968">
        <v>7.6762176333850397E-4</v>
      </c>
      <c r="BH1809" s="968">
        <v>0.10223106068111155</v>
      </c>
      <c r="BI1809" s="968">
        <v>0.42318729028762986</v>
      </c>
      <c r="BJ1809" s="968">
        <v>0.13571721438725859</v>
      </c>
      <c r="BK1809" s="968">
        <v>1.2000053799559995E-3</v>
      </c>
      <c r="BL1809" s="968">
        <v>0.3368968075007055</v>
      </c>
      <c r="BM1809" s="963"/>
      <c r="BN1809" s="1018">
        <v>2005</v>
      </c>
      <c r="BO1809" s="969">
        <v>8.0000000000000002E-3</v>
      </c>
      <c r="BP1809" s="969">
        <v>0.35199999999999998</v>
      </c>
      <c r="BQ1809" s="969">
        <v>0.159</v>
      </c>
      <c r="BR1809" s="969">
        <v>0.215</v>
      </c>
      <c r="BS1809" s="969">
        <v>1.6E-2</v>
      </c>
      <c r="BT1809" s="969">
        <v>0.25</v>
      </c>
      <c r="BU1809" s="963"/>
      <c r="BV1809" s="1018">
        <v>2005</v>
      </c>
      <c r="BW1809" s="969">
        <v>8.0000000000000002E-3</v>
      </c>
      <c r="BX1809" s="969">
        <v>0.35199999999999998</v>
      </c>
      <c r="BY1809" s="969">
        <v>0.159</v>
      </c>
      <c r="BZ1809" s="969">
        <v>0.215</v>
      </c>
      <c r="CA1809" s="969">
        <v>1.6E-2</v>
      </c>
      <c r="CB1809" s="969">
        <v>0.25</v>
      </c>
      <c r="CC1809" s="963"/>
      <c r="CD1809" s="989">
        <v>2005</v>
      </c>
      <c r="CE1809" s="166">
        <v>2.9000000000000001E-2</v>
      </c>
      <c r="CF1809" s="166">
        <v>0.157</v>
      </c>
      <c r="CG1809" s="166">
        <v>0.51700000000000002</v>
      </c>
      <c r="CH1809" s="166">
        <v>0.20300000000000001</v>
      </c>
      <c r="CI1809" s="166">
        <v>1.2E-2</v>
      </c>
      <c r="CJ1809" s="166">
        <v>8.1999999999999851E-2</v>
      </c>
      <c r="CK1809" s="963"/>
      <c r="CL1809" s="1018">
        <v>2005</v>
      </c>
      <c r="CM1809" s="969">
        <v>2.9000000000000001E-2</v>
      </c>
      <c r="CN1809" s="969">
        <v>0.157</v>
      </c>
      <c r="CO1809" s="969">
        <v>0.51700000000000002</v>
      </c>
      <c r="CP1809" s="969">
        <v>0.20300000000000001</v>
      </c>
      <c r="CQ1809" s="969">
        <v>1.2E-2</v>
      </c>
      <c r="CR1809" s="969">
        <v>8.1999999999999851E-2</v>
      </c>
      <c r="CS1809" s="963"/>
      <c r="CT1809" s="989"/>
      <c r="CU1809" s="166"/>
      <c r="CV1809" s="166"/>
      <c r="CW1809" s="166"/>
      <c r="CX1809" s="166"/>
      <c r="CY1809" s="166"/>
      <c r="CZ1809" s="166"/>
      <c r="DA1809" s="963"/>
      <c r="DB1809" s="989"/>
      <c r="DC1809" s="166"/>
      <c r="DD1809" s="166"/>
      <c r="DE1809" s="166"/>
      <c r="DF1809" s="166"/>
      <c r="DG1809" s="166"/>
      <c r="DH1809" s="1016"/>
      <c r="DI1809" s="65"/>
    </row>
    <row r="1810" spans="1:113" s="1019" customFormat="1">
      <c r="B1810" s="988">
        <v>2010</v>
      </c>
      <c r="C1810" s="166">
        <v>5.3286402006271745E-3</v>
      </c>
      <c r="D1810" s="166">
        <v>0.17064530861772406</v>
      </c>
      <c r="E1810" s="166">
        <v>0.5293512464430713</v>
      </c>
      <c r="F1810" s="166">
        <v>0.26041157007987104</v>
      </c>
      <c r="G1810" s="166">
        <v>1.5290620176909191E-3</v>
      </c>
      <c r="H1810" s="166">
        <v>3.2734172641015524E-2</v>
      </c>
      <c r="I1810" s="963"/>
      <c r="J1810" s="1018">
        <v>2010</v>
      </c>
      <c r="K1810" s="969">
        <v>5.3286402006271745E-3</v>
      </c>
      <c r="L1810" s="969">
        <v>0.17064530861772406</v>
      </c>
      <c r="M1810" s="969">
        <v>0.5293512464430713</v>
      </c>
      <c r="N1810" s="969">
        <v>0.26041157007987104</v>
      </c>
      <c r="O1810" s="969">
        <v>1.5290620176909191E-3</v>
      </c>
      <c r="P1810" s="969">
        <v>3.2734172641015524E-2</v>
      </c>
      <c r="Q1810" s="963"/>
      <c r="R1810" s="989">
        <v>2010</v>
      </c>
      <c r="S1810" s="166">
        <v>8.9992205943397602E-3</v>
      </c>
      <c r="T1810" s="166">
        <v>0.26862310503977033</v>
      </c>
      <c r="U1810" s="166">
        <v>0.59774386679082614</v>
      </c>
      <c r="V1810" s="166">
        <v>4.4813211047165576E-2</v>
      </c>
      <c r="W1810" s="166">
        <v>0</v>
      </c>
      <c r="X1810" s="166">
        <v>7.982059652789808E-2</v>
      </c>
      <c r="Y1810" s="963"/>
      <c r="Z1810" s="1018">
        <v>2010</v>
      </c>
      <c r="AA1810" s="969">
        <v>8.9992205943397602E-3</v>
      </c>
      <c r="AB1810" s="969">
        <v>0.26862310503977033</v>
      </c>
      <c r="AC1810" s="969">
        <v>0.59774386679082614</v>
      </c>
      <c r="AD1810" s="969">
        <v>4.4813211047165576E-2</v>
      </c>
      <c r="AE1810" s="969">
        <v>0</v>
      </c>
      <c r="AF1810" s="969">
        <v>7.982059652789808E-2</v>
      </c>
      <c r="AG1810" s="963"/>
      <c r="AH1810" s="989">
        <v>2010</v>
      </c>
      <c r="AI1810" s="166">
        <v>1.7585703474969794E-3</v>
      </c>
      <c r="AJ1810" s="166">
        <v>0.40756147759022887</v>
      </c>
      <c r="AK1810" s="166">
        <v>0.37681718774866785</v>
      </c>
      <c r="AL1810" s="166">
        <v>0.13313279039417086</v>
      </c>
      <c r="AM1810" s="166">
        <v>0</v>
      </c>
      <c r="AN1810" s="166">
        <v>8.0729973919435372E-2</v>
      </c>
      <c r="AO1810" s="963"/>
      <c r="AP1810" s="1018">
        <v>2010</v>
      </c>
      <c r="AQ1810" s="969">
        <v>1.7585703474969794E-3</v>
      </c>
      <c r="AR1810" s="969">
        <v>0.40756147759022887</v>
      </c>
      <c r="AS1810" s="969">
        <v>0.37681718774866785</v>
      </c>
      <c r="AT1810" s="969">
        <v>0.13313279039417086</v>
      </c>
      <c r="AU1810" s="969">
        <v>0</v>
      </c>
      <c r="AV1810" s="969">
        <v>8.0729973919435372E-2</v>
      </c>
      <c r="AW1810" s="963"/>
      <c r="AX1810" s="989">
        <v>2010</v>
      </c>
      <c r="AY1810" s="166">
        <v>2.4658045974818139E-3</v>
      </c>
      <c r="AZ1810" s="166">
        <v>0.28455171590346628</v>
      </c>
      <c r="BA1810" s="166">
        <v>0.31169405451656879</v>
      </c>
      <c r="BB1810" s="166">
        <v>0.10325273148792097</v>
      </c>
      <c r="BC1810" s="166">
        <v>5.3694816760567277E-3</v>
      </c>
      <c r="BD1810" s="166">
        <v>0.29266621181850527</v>
      </c>
      <c r="BE1810" s="963"/>
      <c r="BF1810" s="1018">
        <v>2010</v>
      </c>
      <c r="BG1810" s="969">
        <v>2.4658045974818139E-3</v>
      </c>
      <c r="BH1810" s="969">
        <v>0.28455171590346628</v>
      </c>
      <c r="BI1810" s="969">
        <v>0.31169405451656879</v>
      </c>
      <c r="BJ1810" s="969">
        <v>0.10325273148792097</v>
      </c>
      <c r="BK1810" s="969">
        <v>5.3694816760567277E-3</v>
      </c>
      <c r="BL1810" s="969">
        <v>0.29266621181850527</v>
      </c>
      <c r="BM1810" s="963"/>
      <c r="BN1810" s="1018">
        <v>2010</v>
      </c>
      <c r="BO1810" s="969">
        <v>5.4779825714331033E-3</v>
      </c>
      <c r="BP1810" s="969">
        <v>0.4763238181311108</v>
      </c>
      <c r="BQ1810" s="969">
        <v>7.6464784625229321E-2</v>
      </c>
      <c r="BR1810" s="969">
        <v>0.16620514942997044</v>
      </c>
      <c r="BS1810" s="969">
        <v>1.2535035357473179E-2</v>
      </c>
      <c r="BT1810" s="969">
        <v>0.26299322988478313</v>
      </c>
      <c r="BU1810" s="963"/>
      <c r="BV1810" s="1018">
        <v>2010</v>
      </c>
      <c r="BW1810" s="969">
        <v>5.4779825714331033E-3</v>
      </c>
      <c r="BX1810" s="969">
        <v>0.4763238181311108</v>
      </c>
      <c r="BY1810" s="969">
        <v>7.6464784625229321E-2</v>
      </c>
      <c r="BZ1810" s="969">
        <v>0.16620514942997044</v>
      </c>
      <c r="CA1810" s="969">
        <v>1.2535035357473179E-2</v>
      </c>
      <c r="CB1810" s="969">
        <v>0.26299322988478313</v>
      </c>
      <c r="CC1810" s="963"/>
      <c r="CD1810" s="989">
        <v>2010</v>
      </c>
      <c r="CE1810" s="166">
        <v>8.7368601174741285E-3</v>
      </c>
      <c r="CF1810" s="166">
        <v>0.22709226998425441</v>
      </c>
      <c r="CG1810" s="166">
        <v>0.46047220013162315</v>
      </c>
      <c r="CH1810" s="166">
        <v>0.20330431868106691</v>
      </c>
      <c r="CI1810" s="166">
        <v>2.8835860200578912E-3</v>
      </c>
      <c r="CJ1810" s="166">
        <v>9.7510765065523475E-2</v>
      </c>
      <c r="CK1810" s="963"/>
      <c r="CL1810" s="1018">
        <v>2010</v>
      </c>
      <c r="CM1810" s="969">
        <v>8.7368601174741285E-3</v>
      </c>
      <c r="CN1810" s="969">
        <v>0.22709226998425441</v>
      </c>
      <c r="CO1810" s="969">
        <v>0.46047220013162315</v>
      </c>
      <c r="CP1810" s="969">
        <v>0.20330431868106691</v>
      </c>
      <c r="CQ1810" s="969">
        <v>2.8835860200578912E-3</v>
      </c>
      <c r="CR1810" s="969">
        <v>9.7510765065523475E-2</v>
      </c>
      <c r="CS1810" s="963"/>
      <c r="CT1810" s="989"/>
      <c r="CU1810" s="166"/>
      <c r="CV1810" s="166"/>
      <c r="CW1810" s="166"/>
      <c r="CX1810" s="166"/>
      <c r="CY1810" s="166"/>
      <c r="CZ1810" s="166"/>
      <c r="DA1810" s="963"/>
      <c r="DB1810" s="989"/>
      <c r="DC1810" s="166"/>
      <c r="DD1810" s="166"/>
      <c r="DE1810" s="166"/>
      <c r="DF1810" s="166"/>
      <c r="DG1810" s="166"/>
      <c r="DH1810" s="1016"/>
      <c r="DI1810" s="1020"/>
    </row>
    <row r="1811" spans="1:113" s="1019" customFormat="1">
      <c r="B1811" s="988">
        <v>2013</v>
      </c>
      <c r="C1811" s="166">
        <v>3.8683910573799967E-3</v>
      </c>
      <c r="D1811" s="166">
        <v>0.23044030089593559</v>
      </c>
      <c r="E1811" s="166">
        <v>0.44185418156050921</v>
      </c>
      <c r="F1811" s="166">
        <v>0.27454402713325732</v>
      </c>
      <c r="G1811" s="166">
        <v>2.5014756717098171E-3</v>
      </c>
      <c r="H1811" s="166">
        <v>4.679162368120815E-2</v>
      </c>
      <c r="I1811" s="963"/>
      <c r="J1811" s="1018">
        <v>2013</v>
      </c>
      <c r="K1811" s="969">
        <v>3.8683910573799967E-3</v>
      </c>
      <c r="L1811" s="969">
        <v>0.23044030089593559</v>
      </c>
      <c r="M1811" s="969">
        <v>0.44185418156050921</v>
      </c>
      <c r="N1811" s="969">
        <v>0.27454402713325732</v>
      </c>
      <c r="O1811" s="969">
        <v>2.5014756717098171E-3</v>
      </c>
      <c r="P1811" s="969">
        <v>4.679162368120815E-2</v>
      </c>
      <c r="Q1811" s="963"/>
      <c r="R1811" s="989">
        <v>2013</v>
      </c>
      <c r="S1811" s="166">
        <v>1.372026475620711E-2</v>
      </c>
      <c r="T1811" s="166">
        <v>0.2443417605047313</v>
      </c>
      <c r="U1811" s="166">
        <v>0.56819751375313332</v>
      </c>
      <c r="V1811" s="166">
        <v>3.3113420125418368E-2</v>
      </c>
      <c r="W1811" s="166">
        <v>0</v>
      </c>
      <c r="X1811" s="166">
        <v>0.14062704086050992</v>
      </c>
      <c r="Y1811" s="963"/>
      <c r="Z1811" s="1018">
        <v>2013</v>
      </c>
      <c r="AA1811" s="969">
        <v>1.372026475620711E-2</v>
      </c>
      <c r="AB1811" s="969">
        <v>0.2443417605047313</v>
      </c>
      <c r="AC1811" s="969">
        <v>0.56819751375313332</v>
      </c>
      <c r="AD1811" s="969">
        <v>3.3113420125418368E-2</v>
      </c>
      <c r="AE1811" s="969">
        <v>0</v>
      </c>
      <c r="AF1811" s="969">
        <v>0.14062704086050992</v>
      </c>
      <c r="AG1811" s="963"/>
      <c r="AH1811" s="989">
        <v>2013</v>
      </c>
      <c r="AI1811" s="166">
        <v>5.2453648756286371E-4</v>
      </c>
      <c r="AJ1811" s="166">
        <v>0.4144088440664434</v>
      </c>
      <c r="AK1811" s="166">
        <v>0.36555699254241303</v>
      </c>
      <c r="AL1811" s="166">
        <v>0.11484351426534078</v>
      </c>
      <c r="AM1811" s="166">
        <v>2.2480135181265589E-4</v>
      </c>
      <c r="AN1811" s="166">
        <v>0.10444131128642731</v>
      </c>
      <c r="AO1811" s="963"/>
      <c r="AP1811" s="1018">
        <v>2013</v>
      </c>
      <c r="AQ1811" s="969">
        <v>5.2453648756286371E-4</v>
      </c>
      <c r="AR1811" s="969">
        <v>0.4144088440664434</v>
      </c>
      <c r="AS1811" s="969">
        <v>0.36555699254241303</v>
      </c>
      <c r="AT1811" s="969">
        <v>0.11484351426534078</v>
      </c>
      <c r="AU1811" s="969">
        <v>2.2480135181265589E-4</v>
      </c>
      <c r="AV1811" s="969">
        <v>0.10444131128642731</v>
      </c>
      <c r="AW1811" s="963"/>
      <c r="AX1811" s="989">
        <v>2013</v>
      </c>
      <c r="AY1811" s="166">
        <v>1.1172499480518641E-3</v>
      </c>
      <c r="AZ1811" s="166">
        <v>0.29115432475384007</v>
      </c>
      <c r="BA1811" s="166">
        <v>0.29365676577680977</v>
      </c>
      <c r="BB1811" s="166">
        <v>7.9848167311783694E-2</v>
      </c>
      <c r="BC1811" s="166">
        <v>5.1293840733995103E-3</v>
      </c>
      <c r="BD1811" s="166">
        <v>0.32909410813611517</v>
      </c>
      <c r="BE1811" s="963"/>
      <c r="BF1811" s="1018">
        <v>2013</v>
      </c>
      <c r="BG1811" s="969">
        <v>1.1172499480518641E-3</v>
      </c>
      <c r="BH1811" s="969">
        <v>0.29115432475384007</v>
      </c>
      <c r="BI1811" s="969">
        <v>0.29365676577680977</v>
      </c>
      <c r="BJ1811" s="969">
        <v>7.9848167311783694E-2</v>
      </c>
      <c r="BK1811" s="969">
        <v>5.1293840733995103E-3</v>
      </c>
      <c r="BL1811" s="969">
        <v>0.32909410813611517</v>
      </c>
      <c r="BM1811" s="963"/>
      <c r="BN1811" s="1018">
        <v>2013</v>
      </c>
      <c r="BO1811" s="969">
        <v>7.3381354035321935E-4</v>
      </c>
      <c r="BP1811" s="969">
        <v>0.54293332418861728</v>
      </c>
      <c r="BQ1811" s="969">
        <v>6.9687921316729073E-2</v>
      </c>
      <c r="BR1811" s="969">
        <v>9.5144147758003353E-2</v>
      </c>
      <c r="BS1811" s="969">
        <v>1.4711716143293944E-2</v>
      </c>
      <c r="BT1811" s="969">
        <v>0.27678907705300315</v>
      </c>
      <c r="BU1811" s="963"/>
      <c r="BV1811" s="1018">
        <v>2013</v>
      </c>
      <c r="BW1811" s="969">
        <v>7.3381354035321935E-4</v>
      </c>
      <c r="BX1811" s="969">
        <v>0.54293332418861728</v>
      </c>
      <c r="BY1811" s="969">
        <v>6.9687921316729073E-2</v>
      </c>
      <c r="BZ1811" s="969">
        <v>9.5144147758003353E-2</v>
      </c>
      <c r="CA1811" s="969">
        <v>1.4711716143293944E-2</v>
      </c>
      <c r="CB1811" s="969">
        <v>0.27678907705300315</v>
      </c>
      <c r="CC1811" s="963"/>
      <c r="CD1811" s="989">
        <v>2013</v>
      </c>
      <c r="CE1811" s="166">
        <v>6.236277150706869E-3</v>
      </c>
      <c r="CF1811" s="166">
        <v>0.26159482174695764</v>
      </c>
      <c r="CG1811" s="166">
        <v>0.40322464410713921</v>
      </c>
      <c r="CH1811" s="166">
        <v>0.20236283687740392</v>
      </c>
      <c r="CI1811" s="166">
        <v>3.1363082867145098E-3</v>
      </c>
      <c r="CJ1811" s="166">
        <v>0.12344511183107787</v>
      </c>
      <c r="CK1811" s="963"/>
      <c r="CL1811" s="1018">
        <v>2013</v>
      </c>
      <c r="CM1811" s="969">
        <v>6.236277150706869E-3</v>
      </c>
      <c r="CN1811" s="969">
        <v>0.26159482174695764</v>
      </c>
      <c r="CO1811" s="969">
        <v>0.40322464410713921</v>
      </c>
      <c r="CP1811" s="969">
        <v>0.20236283687740392</v>
      </c>
      <c r="CQ1811" s="969">
        <v>3.1363082867145098E-3</v>
      </c>
      <c r="CR1811" s="969">
        <v>0.12344511183107787</v>
      </c>
      <c r="CS1811" s="963"/>
      <c r="CT1811" s="989"/>
      <c r="CU1811" s="166"/>
      <c r="CV1811" s="166"/>
      <c r="CW1811" s="166"/>
      <c r="CX1811" s="166"/>
      <c r="CY1811" s="166"/>
      <c r="CZ1811" s="166"/>
      <c r="DA1811" s="963"/>
      <c r="DB1811" s="989"/>
      <c r="DC1811" s="166"/>
      <c r="DD1811" s="166"/>
      <c r="DE1811" s="166"/>
      <c r="DF1811" s="166"/>
      <c r="DG1811" s="166"/>
      <c r="DH1811" s="1016"/>
      <c r="DI1811" s="1020"/>
    </row>
    <row r="1812" spans="1:113">
      <c r="A1812" s="76"/>
      <c r="B1812" s="984">
        <v>2014</v>
      </c>
      <c r="C1812" s="967">
        <v>4.0692951822813217E-3</v>
      </c>
      <c r="D1812" s="967">
        <v>0.1884279273438953</v>
      </c>
      <c r="E1812" s="967">
        <v>0.49306484309464577</v>
      </c>
      <c r="F1812" s="967">
        <v>0.27258917690037243</v>
      </c>
      <c r="G1812" s="967">
        <v>4.4096554692178913E-3</v>
      </c>
      <c r="H1812" s="967">
        <v>3.7439102009587333E-2</v>
      </c>
      <c r="I1812" s="959"/>
      <c r="J1812" s="1017">
        <v>2014</v>
      </c>
      <c r="K1812" s="968">
        <v>4.0692951822813217E-3</v>
      </c>
      <c r="L1812" s="968">
        <v>0.1884279273438953</v>
      </c>
      <c r="M1812" s="968">
        <v>0.49306484309464577</v>
      </c>
      <c r="N1812" s="968">
        <v>0.27258917690037243</v>
      </c>
      <c r="O1812" s="968">
        <v>4.4096554692178913E-3</v>
      </c>
      <c r="P1812" s="968">
        <v>3.7439102009587333E-2</v>
      </c>
      <c r="Q1812" s="959"/>
      <c r="R1812" s="986">
        <v>2014</v>
      </c>
      <c r="S1812" s="967">
        <v>1.3308235779475723E-2</v>
      </c>
      <c r="T1812" s="967">
        <v>0.2265139951635694</v>
      </c>
      <c r="U1812" s="967">
        <v>0.56020847500065474</v>
      </c>
      <c r="V1812" s="967">
        <v>4.1020571166130691E-2</v>
      </c>
      <c r="W1812" s="967">
        <v>5.6850095648609482E-5</v>
      </c>
      <c r="X1812" s="967">
        <v>0.15889187279452088</v>
      </c>
      <c r="Y1812" s="959"/>
      <c r="Z1812" s="1017">
        <v>2014</v>
      </c>
      <c r="AA1812" s="968">
        <v>1.3308235779475723E-2</v>
      </c>
      <c r="AB1812" s="968">
        <v>0.2265139951635694</v>
      </c>
      <c r="AC1812" s="968">
        <v>0.56020847500065474</v>
      </c>
      <c r="AD1812" s="968">
        <v>4.1020571166130691E-2</v>
      </c>
      <c r="AE1812" s="968">
        <v>5.6850095648609482E-5</v>
      </c>
      <c r="AF1812" s="968">
        <v>0.15889187279452088</v>
      </c>
      <c r="AG1812" s="959"/>
      <c r="AH1812" s="986">
        <v>2014</v>
      </c>
      <c r="AI1812" s="967">
        <v>1.4770926648494688E-3</v>
      </c>
      <c r="AJ1812" s="967">
        <v>0.41297862778149519</v>
      </c>
      <c r="AK1812" s="967">
        <v>0.35995808125857776</v>
      </c>
      <c r="AL1812" s="967">
        <v>0.12296598834926391</v>
      </c>
      <c r="AM1812" s="967">
        <v>2.2699497110191653E-3</v>
      </c>
      <c r="AN1812" s="967">
        <v>0.10035026023479454</v>
      </c>
      <c r="AO1812" s="959"/>
      <c r="AP1812" s="1017">
        <v>2014</v>
      </c>
      <c r="AQ1812" s="968">
        <v>1.4770926648494688E-3</v>
      </c>
      <c r="AR1812" s="968">
        <v>0.41297862778149519</v>
      </c>
      <c r="AS1812" s="968">
        <v>0.35995808125857776</v>
      </c>
      <c r="AT1812" s="968">
        <v>0.12296598834926391</v>
      </c>
      <c r="AU1812" s="968">
        <v>2.2699497110191653E-3</v>
      </c>
      <c r="AV1812" s="968">
        <v>0.10035026023479454</v>
      </c>
      <c r="AW1812" s="959"/>
      <c r="AX1812" s="986">
        <v>2014</v>
      </c>
      <c r="AY1812" s="967">
        <v>1.650346919919364E-3</v>
      </c>
      <c r="AZ1812" s="967">
        <v>0.32526510742602732</v>
      </c>
      <c r="BA1812" s="967">
        <v>0.25448161913794443</v>
      </c>
      <c r="BB1812" s="967">
        <v>7.8740625224170566E-2</v>
      </c>
      <c r="BC1812" s="967">
        <v>1.8988223716782562E-3</v>
      </c>
      <c r="BD1812" s="967">
        <v>0.33796347892026002</v>
      </c>
      <c r="BE1812" s="959"/>
      <c r="BF1812" s="1017">
        <v>2014</v>
      </c>
      <c r="BG1812" s="968">
        <v>1.650346919919364E-3</v>
      </c>
      <c r="BH1812" s="968">
        <v>0.32526510742602732</v>
      </c>
      <c r="BI1812" s="968">
        <v>0.25448161913794443</v>
      </c>
      <c r="BJ1812" s="968">
        <v>7.8740625224170566E-2</v>
      </c>
      <c r="BK1812" s="968">
        <v>1.8988223716782562E-3</v>
      </c>
      <c r="BL1812" s="968">
        <v>0.33796347892026002</v>
      </c>
      <c r="BM1812" s="963"/>
      <c r="BN1812" s="1018">
        <v>2014</v>
      </c>
      <c r="BO1812" s="969">
        <v>2.3605414953732003E-4</v>
      </c>
      <c r="BP1812" s="969">
        <v>0.55040086014371326</v>
      </c>
      <c r="BQ1812" s="969">
        <v>5.8620240299443162E-2</v>
      </c>
      <c r="BR1812" s="969">
        <v>8.3916168605392971E-2</v>
      </c>
      <c r="BS1812" s="969">
        <v>4.9235757257912053E-3</v>
      </c>
      <c r="BT1812" s="969">
        <v>0.30190310107612217</v>
      </c>
      <c r="BU1812" s="963"/>
      <c r="BV1812" s="1018">
        <v>2014</v>
      </c>
      <c r="BW1812" s="969">
        <v>2.3605414953732003E-4</v>
      </c>
      <c r="BX1812" s="969">
        <v>0.55040086014371326</v>
      </c>
      <c r="BY1812" s="969">
        <v>5.8620240299443162E-2</v>
      </c>
      <c r="BZ1812" s="969">
        <v>8.3916168605392971E-2</v>
      </c>
      <c r="CA1812" s="969">
        <v>4.9235757257912053E-3</v>
      </c>
      <c r="CB1812" s="969">
        <v>0.30190310107612217</v>
      </c>
      <c r="CC1812" s="963"/>
      <c r="CD1812" s="989">
        <v>2014</v>
      </c>
      <c r="CE1812" s="166">
        <v>6.3648495040812183E-3</v>
      </c>
      <c r="CF1812" s="166">
        <v>0.26176035277929866</v>
      </c>
      <c r="CG1812" s="166">
        <v>0.4063869220949865</v>
      </c>
      <c r="CH1812" s="166">
        <v>0.19868988461610343</v>
      </c>
      <c r="CI1812" s="166">
        <v>2.8705608202568597E-3</v>
      </c>
      <c r="CJ1812" s="166">
        <v>0.1239274301852733</v>
      </c>
      <c r="CK1812" s="963"/>
      <c r="CL1812" s="1018">
        <v>2014</v>
      </c>
      <c r="CM1812" s="969">
        <v>6.3648495040812183E-3</v>
      </c>
      <c r="CN1812" s="969">
        <v>0.26176035277929866</v>
      </c>
      <c r="CO1812" s="969">
        <v>0.4063869220949865</v>
      </c>
      <c r="CP1812" s="969">
        <v>0.19868988461610343</v>
      </c>
      <c r="CQ1812" s="969">
        <v>2.8705608202568597E-3</v>
      </c>
      <c r="CR1812" s="969">
        <v>0.1239274301852733</v>
      </c>
      <c r="CS1812" s="963"/>
      <c r="CT1812" s="989"/>
      <c r="CU1812" s="166"/>
      <c r="CV1812" s="166"/>
      <c r="CW1812" s="166"/>
      <c r="CX1812" s="166"/>
      <c r="CY1812" s="166"/>
      <c r="CZ1812" s="166"/>
      <c r="DA1812" s="963"/>
      <c r="DB1812" s="989"/>
      <c r="DC1812" s="166"/>
      <c r="DD1812" s="166"/>
      <c r="DE1812" s="166"/>
      <c r="DF1812" s="166"/>
      <c r="DG1812" s="166"/>
      <c r="DH1812" s="1016"/>
      <c r="DI1812" s="65"/>
    </row>
    <row r="1813" spans="1:113">
      <c r="A1813" s="76"/>
      <c r="B1813" s="984">
        <v>2015</v>
      </c>
      <c r="C1813" s="967">
        <v>3.9740331178657971E-3</v>
      </c>
      <c r="D1813" s="967">
        <v>0.2077444016745536</v>
      </c>
      <c r="E1813" s="967">
        <v>0.47449158567144178</v>
      </c>
      <c r="F1813" s="967">
        <v>0.26895389406013848</v>
      </c>
      <c r="G1813" s="967">
        <v>4.5337726047327276E-3</v>
      </c>
      <c r="H1813" s="967">
        <v>4.030231287126762E-2</v>
      </c>
      <c r="I1813" s="959"/>
      <c r="J1813" s="1017">
        <v>2015</v>
      </c>
      <c r="K1813" s="968">
        <v>3.9740331178657971E-3</v>
      </c>
      <c r="L1813" s="968">
        <v>0.2077444016745536</v>
      </c>
      <c r="M1813" s="968">
        <v>0.47449158567144178</v>
      </c>
      <c r="N1813" s="968">
        <v>0.26895389406013848</v>
      </c>
      <c r="O1813" s="968">
        <v>4.5337726047327276E-3</v>
      </c>
      <c r="P1813" s="968">
        <v>4.030231287126762E-2</v>
      </c>
      <c r="Q1813" s="959"/>
      <c r="R1813" s="986">
        <v>2015</v>
      </c>
      <c r="S1813" s="967">
        <v>1.3169130458371507E-2</v>
      </c>
      <c r="T1813" s="967">
        <v>0.20385697645350892</v>
      </c>
      <c r="U1813" s="967">
        <v>0.56099208886862284</v>
      </c>
      <c r="V1813" s="967">
        <v>4.0439649762912054E-2</v>
      </c>
      <c r="W1813" s="967">
        <v>4.9212344182282781E-5</v>
      </c>
      <c r="X1813" s="967">
        <v>0.18149294211240241</v>
      </c>
      <c r="Y1813" s="959"/>
      <c r="Z1813" s="1017">
        <v>2015</v>
      </c>
      <c r="AA1813" s="968">
        <v>1.3169130458371507E-2</v>
      </c>
      <c r="AB1813" s="968">
        <v>0.20385697645350892</v>
      </c>
      <c r="AC1813" s="968">
        <v>0.56099208886862284</v>
      </c>
      <c r="AD1813" s="968">
        <v>4.0439649762912054E-2</v>
      </c>
      <c r="AE1813" s="968">
        <v>4.9212344182282781E-5</v>
      </c>
      <c r="AF1813" s="968">
        <v>0.18149294211240241</v>
      </c>
      <c r="AG1813" s="959"/>
      <c r="AH1813" s="986">
        <v>2015</v>
      </c>
      <c r="AI1813" s="967">
        <v>1.5361543385899773E-3</v>
      </c>
      <c r="AJ1813" s="967">
        <v>0.39182367318757994</v>
      </c>
      <c r="AK1813" s="967">
        <v>0.37413312746947536</v>
      </c>
      <c r="AL1813" s="967">
        <v>0.12140538024725764</v>
      </c>
      <c r="AM1813" s="967">
        <v>2.1981635857973463E-3</v>
      </c>
      <c r="AN1813" s="967">
        <v>0.10890350117129965</v>
      </c>
      <c r="AO1813" s="959"/>
      <c r="AP1813" s="1017">
        <v>2015</v>
      </c>
      <c r="AQ1813" s="968">
        <v>1.5361543385899773E-3</v>
      </c>
      <c r="AR1813" s="968">
        <v>0.39182367318757994</v>
      </c>
      <c r="AS1813" s="968">
        <v>0.37413312746947536</v>
      </c>
      <c r="AT1813" s="968">
        <v>0.12140538024725764</v>
      </c>
      <c r="AU1813" s="968">
        <v>2.1981635857973463E-3</v>
      </c>
      <c r="AV1813" s="968">
        <v>0.10890350117129965</v>
      </c>
      <c r="AW1813" s="959"/>
      <c r="AX1813" s="986">
        <v>2015</v>
      </c>
      <c r="AY1813" s="967">
        <v>1.6322664080410214E-3</v>
      </c>
      <c r="AZ1813" s="967">
        <v>0.31064077493068976</v>
      </c>
      <c r="BA1813" s="967">
        <v>0.25095155170347927</v>
      </c>
      <c r="BB1813" s="967">
        <v>7.8523442626413115E-2</v>
      </c>
      <c r="BC1813" s="967">
        <v>1.5317070678053167E-3</v>
      </c>
      <c r="BD1813" s="967">
        <v>0.35672025726357148</v>
      </c>
      <c r="BE1813" s="959"/>
      <c r="BF1813" s="1017">
        <v>2015</v>
      </c>
      <c r="BG1813" s="968">
        <v>1.6322664080410214E-3</v>
      </c>
      <c r="BH1813" s="968">
        <v>0.31064077493068976</v>
      </c>
      <c r="BI1813" s="968">
        <v>0.25095155170347927</v>
      </c>
      <c r="BJ1813" s="968">
        <v>7.8523442626413115E-2</v>
      </c>
      <c r="BK1813" s="968">
        <v>1.5317070678053167E-3</v>
      </c>
      <c r="BL1813" s="968">
        <v>0.35672025726357148</v>
      </c>
      <c r="BM1813" s="963"/>
      <c r="BN1813" s="1018">
        <v>2015</v>
      </c>
      <c r="BO1813" s="969">
        <v>2.4234535737541581E-4</v>
      </c>
      <c r="BP1813" s="969">
        <v>0.52836993914029351</v>
      </c>
      <c r="BQ1813" s="969">
        <v>6.0182236300580332E-2</v>
      </c>
      <c r="BR1813" s="969">
        <v>8.4205691814204744E-2</v>
      </c>
      <c r="BS1813" s="969">
        <v>3.441221973922434E-3</v>
      </c>
      <c r="BT1813" s="969">
        <v>0.3235585654136236</v>
      </c>
      <c r="BU1813" s="963"/>
      <c r="BV1813" s="1018">
        <v>2015</v>
      </c>
      <c r="BW1813" s="969">
        <v>2.4234535737541581E-4</v>
      </c>
      <c r="BX1813" s="969">
        <v>0.52836993914029351</v>
      </c>
      <c r="BY1813" s="969">
        <v>6.0182236300580332E-2</v>
      </c>
      <c r="BZ1813" s="969">
        <v>8.4205691814204744E-2</v>
      </c>
      <c r="CA1813" s="969">
        <v>3.441221973922434E-3</v>
      </c>
      <c r="CB1813" s="969">
        <v>0.3235585654136236</v>
      </c>
      <c r="CC1813" s="963"/>
      <c r="CD1813" s="989">
        <v>2015</v>
      </c>
      <c r="CE1813" s="166">
        <v>5.7030201352114632E-3</v>
      </c>
      <c r="CF1813" s="166">
        <v>0.2639610945260884</v>
      </c>
      <c r="CG1813" s="166">
        <v>0.39970833233868686</v>
      </c>
      <c r="CH1813" s="166">
        <v>0.19582641310089408</v>
      </c>
      <c r="CI1813" s="166">
        <v>2.9364410969237968E-3</v>
      </c>
      <c r="CJ1813" s="166">
        <v>0.13186469880219542</v>
      </c>
      <c r="CK1813" s="963"/>
      <c r="CL1813" s="1018">
        <v>2015</v>
      </c>
      <c r="CM1813" s="969">
        <v>5.7030201352114632E-3</v>
      </c>
      <c r="CN1813" s="969">
        <v>0.2639610945260884</v>
      </c>
      <c r="CO1813" s="969">
        <v>0.39970833233868686</v>
      </c>
      <c r="CP1813" s="969">
        <v>0.19582641310089408</v>
      </c>
      <c r="CQ1813" s="969">
        <v>2.9364410969237968E-3</v>
      </c>
      <c r="CR1813" s="969">
        <v>0.13186469880219542</v>
      </c>
      <c r="CS1813" s="963"/>
      <c r="CT1813" s="989"/>
      <c r="CU1813" s="166"/>
      <c r="CV1813" s="166"/>
      <c r="CW1813" s="166"/>
      <c r="CX1813" s="166"/>
      <c r="CY1813" s="166"/>
      <c r="CZ1813" s="166"/>
      <c r="DA1813" s="963"/>
      <c r="DB1813" s="989"/>
      <c r="DC1813" s="166"/>
      <c r="DD1813" s="166"/>
      <c r="DE1813" s="166"/>
      <c r="DF1813" s="166"/>
      <c r="DG1813" s="166"/>
      <c r="DH1813" s="1016"/>
      <c r="DI1813" s="65"/>
    </row>
    <row r="1814" spans="1:113">
      <c r="A1814" s="76"/>
      <c r="B1814" s="984">
        <v>2020</v>
      </c>
      <c r="C1814" s="967">
        <v>2.346400770229881E-3</v>
      </c>
      <c r="D1814" s="967">
        <v>0.19547458223767883</v>
      </c>
      <c r="E1814" s="967">
        <v>0.4693207740792732</v>
      </c>
      <c r="F1814" s="967">
        <v>0.28232025637676478</v>
      </c>
      <c r="G1814" s="967">
        <v>6.6792686005995245E-3</v>
      </c>
      <c r="H1814" s="967">
        <v>4.3858717935453817E-2</v>
      </c>
      <c r="I1814" s="959"/>
      <c r="J1814" s="1017">
        <v>2020</v>
      </c>
      <c r="K1814" s="968">
        <v>2.346400770229881E-3</v>
      </c>
      <c r="L1814" s="968">
        <v>0.19547458223767883</v>
      </c>
      <c r="M1814" s="968">
        <v>0.4693207740792732</v>
      </c>
      <c r="N1814" s="968">
        <v>0.28232025637676478</v>
      </c>
      <c r="O1814" s="968">
        <v>6.6792686005995245E-3</v>
      </c>
      <c r="P1814" s="968">
        <v>4.3858717935453817E-2</v>
      </c>
      <c r="Q1814" s="959"/>
      <c r="R1814" s="986">
        <v>2020</v>
      </c>
      <c r="S1814" s="967">
        <v>2.1031904637927438E-3</v>
      </c>
      <c r="T1814" s="967">
        <v>0.21176168573460732</v>
      </c>
      <c r="U1814" s="967">
        <v>0.5218888668301741</v>
      </c>
      <c r="V1814" s="967">
        <v>3.9321589308475617E-2</v>
      </c>
      <c r="W1814" s="967">
        <v>1.2815578102584894E-4</v>
      </c>
      <c r="X1814" s="967">
        <v>0.2247965118819244</v>
      </c>
      <c r="Y1814" s="959"/>
      <c r="Z1814" s="1017">
        <v>2020</v>
      </c>
      <c r="AA1814" s="968">
        <v>2.1031904637927438E-3</v>
      </c>
      <c r="AB1814" s="968">
        <v>0.21176168573460732</v>
      </c>
      <c r="AC1814" s="968">
        <v>0.5218888668301741</v>
      </c>
      <c r="AD1814" s="968">
        <v>3.9321589308475617E-2</v>
      </c>
      <c r="AE1814" s="968">
        <v>1.2815578102584894E-4</v>
      </c>
      <c r="AF1814" s="968">
        <v>0.2247965118819244</v>
      </c>
      <c r="AG1814" s="959"/>
      <c r="AH1814" s="986">
        <v>2020</v>
      </c>
      <c r="AI1814" s="967">
        <v>1.5015544188311106E-3</v>
      </c>
      <c r="AJ1814" s="967">
        <v>0.38368909873942969</v>
      </c>
      <c r="AK1814" s="967">
        <v>0.37834959455948169</v>
      </c>
      <c r="AL1814" s="967">
        <v>0.11587823751960584</v>
      </c>
      <c r="AM1814" s="967">
        <v>2.1894930950044724E-3</v>
      </c>
      <c r="AN1814" s="967">
        <v>0.11839202166764728</v>
      </c>
      <c r="AO1814" s="959"/>
      <c r="AP1814" s="1017">
        <v>2020</v>
      </c>
      <c r="AQ1814" s="968">
        <v>1.5015544188311106E-3</v>
      </c>
      <c r="AR1814" s="968">
        <v>0.38368909873942969</v>
      </c>
      <c r="AS1814" s="968">
        <v>0.37834959455948169</v>
      </c>
      <c r="AT1814" s="968">
        <v>0.11587823751960584</v>
      </c>
      <c r="AU1814" s="968">
        <v>2.1894930950044724E-3</v>
      </c>
      <c r="AV1814" s="968">
        <v>0.11839202166764728</v>
      </c>
      <c r="AW1814" s="959"/>
      <c r="AX1814" s="986">
        <v>2020</v>
      </c>
      <c r="AY1814" s="967">
        <v>1.6925957779989141E-3</v>
      </c>
      <c r="AZ1814" s="967">
        <v>0.25544388925460521</v>
      </c>
      <c r="BA1814" s="967">
        <v>0.27338106648964555</v>
      </c>
      <c r="BB1814" s="967">
        <v>7.5354754952298639E-2</v>
      </c>
      <c r="BC1814" s="967">
        <v>3.7312456821775868E-3</v>
      </c>
      <c r="BD1814" s="967">
        <v>0.3903964478432741</v>
      </c>
      <c r="BE1814" s="959"/>
      <c r="BF1814" s="1017">
        <v>2020</v>
      </c>
      <c r="BG1814" s="968">
        <v>1.6925957779989141E-3</v>
      </c>
      <c r="BH1814" s="968">
        <v>0.25544388925460521</v>
      </c>
      <c r="BI1814" s="968">
        <v>0.27338106648964555</v>
      </c>
      <c r="BJ1814" s="968">
        <v>7.5354754952298639E-2</v>
      </c>
      <c r="BK1814" s="968">
        <v>3.7312456821775868E-3</v>
      </c>
      <c r="BL1814" s="968">
        <v>0.3903964478432741</v>
      </c>
      <c r="BM1814" s="963"/>
      <c r="BN1814" s="1018">
        <v>2020</v>
      </c>
      <c r="BO1814" s="969">
        <v>2.3848362395340668E-4</v>
      </c>
      <c r="BP1814" s="969">
        <v>0.4818211376872289</v>
      </c>
      <c r="BQ1814" s="969">
        <v>5.8925894897744371E-2</v>
      </c>
      <c r="BR1814" s="969">
        <v>7.9874023415165099E-2</v>
      </c>
      <c r="BS1814" s="969">
        <v>8.5127546936310909E-3</v>
      </c>
      <c r="BT1814" s="969">
        <v>0.3706277056822771</v>
      </c>
      <c r="BU1814" s="963"/>
      <c r="BV1814" s="1018">
        <v>2020</v>
      </c>
      <c r="BW1814" s="969">
        <v>2.3848362395340668E-4</v>
      </c>
      <c r="BX1814" s="969">
        <v>0.4818211376872289</v>
      </c>
      <c r="BY1814" s="969">
        <v>5.8925894897744371E-2</v>
      </c>
      <c r="BZ1814" s="969">
        <v>7.9874023415165099E-2</v>
      </c>
      <c r="CA1814" s="969">
        <v>8.5127546936310909E-3</v>
      </c>
      <c r="CB1814" s="969">
        <v>0.3706277056822771</v>
      </c>
      <c r="CC1814" s="963"/>
      <c r="CD1814" s="989">
        <v>2020</v>
      </c>
      <c r="CE1814" s="166">
        <v>3.6456546802435827E-3</v>
      </c>
      <c r="CF1814" s="166">
        <v>0.24130754069054777</v>
      </c>
      <c r="CG1814" s="166">
        <v>0.40916075262969648</v>
      </c>
      <c r="CH1814" s="166">
        <v>0.19393885573081965</v>
      </c>
      <c r="CI1814" s="166">
        <v>5.9564888367247939E-3</v>
      </c>
      <c r="CJ1814" s="166">
        <v>0.14599070743196763</v>
      </c>
      <c r="CK1814" s="963"/>
      <c r="CL1814" s="1018">
        <v>2020</v>
      </c>
      <c r="CM1814" s="969">
        <v>3.6456546802435827E-3</v>
      </c>
      <c r="CN1814" s="969">
        <v>0.24130754069054777</v>
      </c>
      <c r="CO1814" s="969">
        <v>0.40916075262969648</v>
      </c>
      <c r="CP1814" s="969">
        <v>0.19393885573081965</v>
      </c>
      <c r="CQ1814" s="969">
        <v>5.9564888367247939E-3</v>
      </c>
      <c r="CR1814" s="969">
        <v>0.14599070743196763</v>
      </c>
      <c r="CS1814" s="963"/>
      <c r="CT1814" s="989"/>
      <c r="CU1814" s="166"/>
      <c r="CV1814" s="166"/>
      <c r="CW1814" s="166"/>
      <c r="CX1814" s="166"/>
      <c r="CY1814" s="166"/>
      <c r="CZ1814" s="166"/>
      <c r="DA1814" s="963"/>
      <c r="DB1814" s="989"/>
      <c r="DC1814" s="166"/>
      <c r="DD1814" s="166"/>
      <c r="DE1814" s="166"/>
      <c r="DF1814" s="166"/>
      <c r="DG1814" s="166"/>
      <c r="DH1814" s="1016"/>
      <c r="DI1814" s="65"/>
    </row>
    <row r="1815" spans="1:113">
      <c r="A1815" s="76"/>
      <c r="B1815" s="984">
        <v>2025</v>
      </c>
      <c r="C1815" s="967">
        <v>2.2145255748596188E-3</v>
      </c>
      <c r="D1815" s="967">
        <v>0.20957191727460198</v>
      </c>
      <c r="E1815" s="967">
        <v>0.46024425257899926</v>
      </c>
      <c r="F1815" s="967">
        <v>0.27380106861946046</v>
      </c>
      <c r="G1815" s="967">
        <v>1.0385005377780246E-2</v>
      </c>
      <c r="H1815" s="967">
        <v>4.3783230574298559E-2</v>
      </c>
      <c r="I1815" s="959"/>
      <c r="J1815" s="1017">
        <v>2025</v>
      </c>
      <c r="K1815" s="968">
        <v>2.2145255748596188E-3</v>
      </c>
      <c r="L1815" s="968">
        <v>0.20957191727460198</v>
      </c>
      <c r="M1815" s="968">
        <v>0.46024425257899926</v>
      </c>
      <c r="N1815" s="968">
        <v>0.27380106861946046</v>
      </c>
      <c r="O1815" s="968">
        <v>1.0385005377780246E-2</v>
      </c>
      <c r="P1815" s="968">
        <v>4.3783230574298559E-2</v>
      </c>
      <c r="Q1815" s="959"/>
      <c r="R1815" s="986">
        <v>2025</v>
      </c>
      <c r="S1815" s="967">
        <v>2.0551262428673599E-3</v>
      </c>
      <c r="T1815" s="967">
        <v>0.23054341151943583</v>
      </c>
      <c r="U1815" s="967">
        <v>0.50791411567437494</v>
      </c>
      <c r="V1815" s="967">
        <v>3.7973378570639184E-2</v>
      </c>
      <c r="W1815" s="967">
        <v>2.041610882826637E-3</v>
      </c>
      <c r="X1815" s="967">
        <v>0.21947235710985602</v>
      </c>
      <c r="Y1815" s="959"/>
      <c r="Z1815" s="1017">
        <v>2025</v>
      </c>
      <c r="AA1815" s="968">
        <v>2.0551262428673599E-3</v>
      </c>
      <c r="AB1815" s="968">
        <v>0.23054341151943583</v>
      </c>
      <c r="AC1815" s="968">
        <v>0.50791411567437494</v>
      </c>
      <c r="AD1815" s="968">
        <v>3.7973378570639184E-2</v>
      </c>
      <c r="AE1815" s="968">
        <v>2.041610882826637E-3</v>
      </c>
      <c r="AF1815" s="968">
        <v>0.21947235710985602</v>
      </c>
      <c r="AG1815" s="959"/>
      <c r="AH1815" s="986">
        <v>2025</v>
      </c>
      <c r="AI1815" s="967">
        <v>1.432106119878714E-3</v>
      </c>
      <c r="AJ1815" s="967">
        <v>0.41274951212386474</v>
      </c>
      <c r="AK1815" s="967">
        <v>0.36083615544842024</v>
      </c>
      <c r="AL1815" s="967">
        <v>0.11015620321700934</v>
      </c>
      <c r="AM1815" s="967">
        <v>2.0813765507500426E-3</v>
      </c>
      <c r="AN1815" s="967">
        <v>0.11274464654007688</v>
      </c>
      <c r="AO1815" s="959"/>
      <c r="AP1815" s="1017">
        <v>2025</v>
      </c>
      <c r="AQ1815" s="968">
        <v>1.432106119878714E-3</v>
      </c>
      <c r="AR1815" s="968">
        <v>0.41274951212386474</v>
      </c>
      <c r="AS1815" s="968">
        <v>0.36083615544842024</v>
      </c>
      <c r="AT1815" s="968">
        <v>0.11015620321700934</v>
      </c>
      <c r="AU1815" s="968">
        <v>2.0813765507500426E-3</v>
      </c>
      <c r="AV1815" s="968">
        <v>0.11274464654007688</v>
      </c>
      <c r="AW1815" s="959"/>
      <c r="AX1815" s="986">
        <v>2025</v>
      </c>
      <c r="AY1815" s="967">
        <v>1.5320290732387719E-3</v>
      </c>
      <c r="AZ1815" s="967">
        <v>0.29025852148745729</v>
      </c>
      <c r="BA1815" s="967">
        <v>0.23834381510504654</v>
      </c>
      <c r="BB1815" s="967">
        <v>7.2266020206563128E-2</v>
      </c>
      <c r="BC1815" s="967">
        <v>5.5760886932293375E-3</v>
      </c>
      <c r="BD1815" s="967">
        <v>0.39202352543446484</v>
      </c>
      <c r="BE1815" s="959"/>
      <c r="BF1815" s="1017">
        <v>2025</v>
      </c>
      <c r="BG1815" s="968">
        <v>1.5320290732387719E-3</v>
      </c>
      <c r="BH1815" s="968">
        <v>0.29025852148745729</v>
      </c>
      <c r="BI1815" s="968">
        <v>0.23834381510504654</v>
      </c>
      <c r="BJ1815" s="968">
        <v>7.2266020206563128E-2</v>
      </c>
      <c r="BK1815" s="968">
        <v>5.5760886932293375E-3</v>
      </c>
      <c r="BL1815" s="968">
        <v>0.39202352543446484</v>
      </c>
      <c r="BM1815" s="963"/>
      <c r="BN1815" s="1018">
        <v>2025</v>
      </c>
      <c r="BO1815" s="969">
        <v>1.2515764998492592E-5</v>
      </c>
      <c r="BP1815" s="969">
        <v>0.53628772518186496</v>
      </c>
      <c r="BQ1815" s="969">
        <v>2.6471400789003906E-3</v>
      </c>
      <c r="BR1815" s="969">
        <v>7.3306637139102543E-2</v>
      </c>
      <c r="BS1815" s="969">
        <v>1.0896500197502408E-2</v>
      </c>
      <c r="BT1815" s="969">
        <v>0.3768494816376311</v>
      </c>
      <c r="BU1815" s="963"/>
      <c r="BV1815" s="1018">
        <v>2025</v>
      </c>
      <c r="BW1815" s="969">
        <v>1.2515764998492592E-5</v>
      </c>
      <c r="BX1815" s="969">
        <v>0.53628772518186496</v>
      </c>
      <c r="BY1815" s="969">
        <v>2.6471400789003906E-3</v>
      </c>
      <c r="BZ1815" s="969">
        <v>7.3306637139102543E-2</v>
      </c>
      <c r="CA1815" s="969">
        <v>1.0896500197502408E-2</v>
      </c>
      <c r="CB1815" s="969">
        <v>0.3768494816376311</v>
      </c>
      <c r="CC1815" s="963"/>
      <c r="CD1815" s="989">
        <v>2025</v>
      </c>
      <c r="CE1815" s="166">
        <v>3.5563700752504579E-3</v>
      </c>
      <c r="CF1815" s="166">
        <v>0.25412796860981635</v>
      </c>
      <c r="CG1815" s="166">
        <v>0.3996569725069915</v>
      </c>
      <c r="CH1815" s="166">
        <v>0.18866895831899413</v>
      </c>
      <c r="CI1815" s="166">
        <v>8.4554325011741479E-3</v>
      </c>
      <c r="CJ1815" s="166">
        <v>0.1455342979877734</v>
      </c>
      <c r="CK1815" s="963"/>
      <c r="CL1815" s="1018">
        <v>2025</v>
      </c>
      <c r="CM1815" s="969">
        <v>3.5563700752504579E-3</v>
      </c>
      <c r="CN1815" s="969">
        <v>0.25412796860981635</v>
      </c>
      <c r="CO1815" s="969">
        <v>0.3996569725069915</v>
      </c>
      <c r="CP1815" s="969">
        <v>0.18866895831899413</v>
      </c>
      <c r="CQ1815" s="969">
        <v>8.4554325011741479E-3</v>
      </c>
      <c r="CR1815" s="969">
        <v>0.1455342979877734</v>
      </c>
      <c r="CS1815" s="963"/>
      <c r="CT1815" s="989"/>
      <c r="CU1815" s="166"/>
      <c r="CV1815" s="166"/>
      <c r="CW1815" s="166"/>
      <c r="CX1815" s="166"/>
      <c r="CY1815" s="166"/>
      <c r="CZ1815" s="166"/>
      <c r="DA1815" s="963"/>
      <c r="DB1815" s="989"/>
      <c r="DC1815" s="166"/>
      <c r="DD1815" s="166"/>
      <c r="DE1815" s="166"/>
      <c r="DF1815" s="166"/>
      <c r="DG1815" s="166"/>
      <c r="DH1815" s="1016"/>
      <c r="DI1815" s="65"/>
    </row>
    <row r="1816" spans="1:113">
      <c r="A1816" s="76"/>
      <c r="B1816" s="984">
        <v>2030</v>
      </c>
      <c r="C1816" s="967">
        <v>1.8753017181334529E-3</v>
      </c>
      <c r="D1816" s="967">
        <v>0.22770629915770493</v>
      </c>
      <c r="E1816" s="967">
        <v>0.44708839391519323</v>
      </c>
      <c r="F1816" s="967">
        <v>0.26722617584205638</v>
      </c>
      <c r="G1816" s="967">
        <v>1.0985305220968748E-2</v>
      </c>
      <c r="H1816" s="967">
        <v>4.5118524145943306E-2</v>
      </c>
      <c r="I1816" s="959"/>
      <c r="J1816" s="1017">
        <v>2030</v>
      </c>
      <c r="K1816" s="968">
        <v>1.8753017181334529E-3</v>
      </c>
      <c r="L1816" s="968">
        <v>0.22770629915770493</v>
      </c>
      <c r="M1816" s="968">
        <v>0.44708839391519323</v>
      </c>
      <c r="N1816" s="968">
        <v>0.26722617584205638</v>
      </c>
      <c r="O1816" s="968">
        <v>1.0985305220968748E-2</v>
      </c>
      <c r="P1816" s="968">
        <v>4.5118524145943306E-2</v>
      </c>
      <c r="Q1816" s="959"/>
      <c r="R1816" s="986">
        <v>2030</v>
      </c>
      <c r="S1816" s="967">
        <v>1.986725988844187E-3</v>
      </c>
      <c r="T1816" s="967">
        <v>0.25558706630177996</v>
      </c>
      <c r="U1816" s="967">
        <v>0.48883424313145246</v>
      </c>
      <c r="V1816" s="967">
        <v>3.6673373570041037E-2</v>
      </c>
      <c r="W1816" s="967">
        <v>2.5772810637219629E-3</v>
      </c>
      <c r="X1816" s="967">
        <v>0.21434130994416034</v>
      </c>
      <c r="Y1816" s="959"/>
      <c r="Z1816" s="1017">
        <v>2030</v>
      </c>
      <c r="AA1816" s="968">
        <v>1.986725988844187E-3</v>
      </c>
      <c r="AB1816" s="968">
        <v>0.25558706630177996</v>
      </c>
      <c r="AC1816" s="968">
        <v>0.48883424313145246</v>
      </c>
      <c r="AD1816" s="968">
        <v>3.6673373570041037E-2</v>
      </c>
      <c r="AE1816" s="968">
        <v>2.5772810637219629E-3</v>
      </c>
      <c r="AF1816" s="968">
        <v>0.21434130994416034</v>
      </c>
      <c r="AG1816" s="959"/>
      <c r="AH1816" s="986">
        <v>2030</v>
      </c>
      <c r="AI1816" s="967">
        <v>1.3587713872241932E-3</v>
      </c>
      <c r="AJ1816" s="967">
        <v>0.44057071662864483</v>
      </c>
      <c r="AK1816" s="967">
        <v>0.34236663256208877</v>
      </c>
      <c r="AL1816" s="967">
        <v>0.10476647717121036</v>
      </c>
      <c r="AM1816" s="967">
        <v>2.6624836245001922E-3</v>
      </c>
      <c r="AN1816" s="967">
        <v>0.10827491862633176</v>
      </c>
      <c r="AO1816" s="959"/>
      <c r="AP1816" s="1017">
        <v>2030</v>
      </c>
      <c r="AQ1816" s="968">
        <v>1.3587713872241932E-3</v>
      </c>
      <c r="AR1816" s="968">
        <v>0.44057071662864483</v>
      </c>
      <c r="AS1816" s="968">
        <v>0.34236663256208877</v>
      </c>
      <c r="AT1816" s="968">
        <v>0.10476647717121036</v>
      </c>
      <c r="AU1816" s="968">
        <v>2.6624836245001922E-3</v>
      </c>
      <c r="AV1816" s="968">
        <v>0.10827491862633176</v>
      </c>
      <c r="AW1816" s="959"/>
      <c r="AX1816" s="986">
        <v>2030</v>
      </c>
      <c r="AY1816" s="967">
        <v>1.4612772465389529E-3</v>
      </c>
      <c r="AZ1816" s="967">
        <v>0.29987139359777926</v>
      </c>
      <c r="BA1816" s="967">
        <v>0.22636850664783653</v>
      </c>
      <c r="BB1816" s="967">
        <v>6.9179606687522224E-2</v>
      </c>
      <c r="BC1816" s="967">
        <v>5.6454570637011802E-3</v>
      </c>
      <c r="BD1816" s="967">
        <v>0.39747375875662183</v>
      </c>
      <c r="BE1816" s="959"/>
      <c r="BF1816" s="1017">
        <v>2030</v>
      </c>
      <c r="BG1816" s="968">
        <v>1.4612772465389529E-3</v>
      </c>
      <c r="BH1816" s="968">
        <v>0.29987139359777926</v>
      </c>
      <c r="BI1816" s="968">
        <v>0.22636850664783653</v>
      </c>
      <c r="BJ1816" s="968">
        <v>6.9179606687522224E-2</v>
      </c>
      <c r="BK1816" s="968">
        <v>5.6454570637011802E-3</v>
      </c>
      <c r="BL1816" s="968">
        <v>0.39747375875662183</v>
      </c>
      <c r="BM1816" s="963"/>
      <c r="BN1816" s="1018">
        <v>2030</v>
      </c>
      <c r="BO1816" s="969">
        <v>1.2323443371020635E-5</v>
      </c>
      <c r="BP1816" s="969">
        <v>0.52163949363756124</v>
      </c>
      <c r="BQ1816" s="969">
        <v>2.5115099096870174E-3</v>
      </c>
      <c r="BR1816" s="969">
        <v>6.9628589274016342E-2</v>
      </c>
      <c r="BS1816" s="969">
        <v>9.5422462846829637E-3</v>
      </c>
      <c r="BT1816" s="969">
        <v>0.3966658374506814</v>
      </c>
      <c r="BU1816" s="963"/>
      <c r="BV1816" s="1018">
        <v>2030</v>
      </c>
      <c r="BW1816" s="969">
        <v>1.2323443371020635E-5</v>
      </c>
      <c r="BX1816" s="969">
        <v>0.52163949363756124</v>
      </c>
      <c r="BY1816" s="969">
        <v>2.5115099096870174E-3</v>
      </c>
      <c r="BZ1816" s="969">
        <v>6.9628589274016342E-2</v>
      </c>
      <c r="CA1816" s="969">
        <v>9.5422462846829637E-3</v>
      </c>
      <c r="CB1816" s="969">
        <v>0.3966658374506814</v>
      </c>
      <c r="CC1816" s="963"/>
      <c r="CD1816" s="989">
        <v>2030</v>
      </c>
      <c r="CE1816" s="166">
        <v>3.3911912015232139E-3</v>
      </c>
      <c r="CF1816" s="166">
        <v>0.27303766270515234</v>
      </c>
      <c r="CG1816" s="166">
        <v>0.38458640570813851</v>
      </c>
      <c r="CH1816" s="166">
        <v>0.18287841820030054</v>
      </c>
      <c r="CI1816" s="166">
        <v>9.1514679123994042E-3</v>
      </c>
      <c r="CJ1816" s="166">
        <v>0.14695485427248611</v>
      </c>
      <c r="CK1816" s="963"/>
      <c r="CL1816" s="1018">
        <v>2030</v>
      </c>
      <c r="CM1816" s="969">
        <v>3.3911912015232139E-3</v>
      </c>
      <c r="CN1816" s="969">
        <v>0.27303766270515234</v>
      </c>
      <c r="CO1816" s="969">
        <v>0.38458640570813851</v>
      </c>
      <c r="CP1816" s="969">
        <v>0.18287841820030054</v>
      </c>
      <c r="CQ1816" s="969">
        <v>9.1514679123994042E-3</v>
      </c>
      <c r="CR1816" s="969">
        <v>0.14695485427248611</v>
      </c>
      <c r="CS1816" s="963"/>
      <c r="CT1816" s="989"/>
      <c r="CU1816" s="166"/>
      <c r="CV1816" s="166"/>
      <c r="CW1816" s="166"/>
      <c r="CX1816" s="166"/>
      <c r="CY1816" s="166"/>
      <c r="CZ1816" s="166"/>
      <c r="DA1816" s="963"/>
      <c r="DB1816" s="989"/>
      <c r="DC1816" s="166"/>
      <c r="DD1816" s="166"/>
      <c r="DE1816" s="166"/>
      <c r="DF1816" s="166"/>
      <c r="DG1816" s="166"/>
      <c r="DH1816" s="1016"/>
      <c r="DI1816" s="65"/>
    </row>
    <row r="1817" spans="1:113">
      <c r="A1817" s="76"/>
      <c r="B1817" s="984">
        <v>2035</v>
      </c>
      <c r="C1817" s="967">
        <v>1.8246563776217347E-3</v>
      </c>
      <c r="D1817" s="967">
        <v>0.23218497502557334</v>
      </c>
      <c r="E1817" s="967">
        <v>0.43987208806051914</v>
      </c>
      <c r="F1817" s="967">
        <v>0.26478807606933169</v>
      </c>
      <c r="G1817" s="967">
        <v>1.3554472207411915E-2</v>
      </c>
      <c r="H1817" s="967">
        <v>4.7775732259542236E-2</v>
      </c>
      <c r="I1817" s="959"/>
      <c r="J1817" s="1017">
        <v>2035</v>
      </c>
      <c r="K1817" s="968">
        <v>1.8246563776217347E-3</v>
      </c>
      <c r="L1817" s="968">
        <v>0.23218497502557334</v>
      </c>
      <c r="M1817" s="968">
        <v>0.43987208806051914</v>
      </c>
      <c r="N1817" s="968">
        <v>0.26478807606933169</v>
      </c>
      <c r="O1817" s="968">
        <v>1.3554472207411915E-2</v>
      </c>
      <c r="P1817" s="968">
        <v>4.7775732259542236E-2</v>
      </c>
      <c r="Q1817" s="959"/>
      <c r="R1817" s="986">
        <v>2035</v>
      </c>
      <c r="S1817" s="967">
        <v>1.8495169170992753E-3</v>
      </c>
      <c r="T1817" s="967">
        <v>0.26244986753290384</v>
      </c>
      <c r="U1817" s="967">
        <v>0.45700350860151473</v>
      </c>
      <c r="V1817" s="967">
        <v>3.4445718175059668E-2</v>
      </c>
      <c r="W1817" s="967">
        <v>4.5027730227600021E-3</v>
      </c>
      <c r="X1817" s="967">
        <v>0.23974861575066242</v>
      </c>
      <c r="Y1817" s="959"/>
      <c r="Z1817" s="1017">
        <v>2035</v>
      </c>
      <c r="AA1817" s="968">
        <v>1.8495169170992753E-3</v>
      </c>
      <c r="AB1817" s="968">
        <v>0.26244986753290384</v>
      </c>
      <c r="AC1817" s="968">
        <v>0.45700350860151473</v>
      </c>
      <c r="AD1817" s="968">
        <v>3.4445718175059668E-2</v>
      </c>
      <c r="AE1817" s="968">
        <v>4.5027730227600021E-3</v>
      </c>
      <c r="AF1817" s="968">
        <v>0.23974861575066242</v>
      </c>
      <c r="AG1817" s="959"/>
      <c r="AH1817" s="986">
        <v>2035</v>
      </c>
      <c r="AI1817" s="967">
        <v>1.3056168754324651E-3</v>
      </c>
      <c r="AJ1817" s="967">
        <v>0.45496602664788055</v>
      </c>
      <c r="AK1817" s="967">
        <v>0.3289847720892774</v>
      </c>
      <c r="AL1817" s="967">
        <v>0.10102446362132028</v>
      </c>
      <c r="AM1817" s="967">
        <v>5.8813129213246447E-3</v>
      </c>
      <c r="AN1817" s="967">
        <v>0.1078378078447646</v>
      </c>
      <c r="AO1817" s="959"/>
      <c r="AP1817" s="1017">
        <v>2035</v>
      </c>
      <c r="AQ1817" s="968">
        <v>1.3056168754324651E-3</v>
      </c>
      <c r="AR1817" s="968">
        <v>0.45496602664788055</v>
      </c>
      <c r="AS1817" s="968">
        <v>0.3289847720892774</v>
      </c>
      <c r="AT1817" s="968">
        <v>0.10102446362132028</v>
      </c>
      <c r="AU1817" s="968">
        <v>5.8813129213246447E-3</v>
      </c>
      <c r="AV1817" s="968">
        <v>0.1078378078447646</v>
      </c>
      <c r="AW1817" s="959"/>
      <c r="AX1817" s="986">
        <v>2035</v>
      </c>
      <c r="AY1817" s="967">
        <v>1.4044507951143815E-3</v>
      </c>
      <c r="AZ1817" s="967">
        <v>0.29252977037685957</v>
      </c>
      <c r="BA1817" s="967">
        <v>0.21729190987055597</v>
      </c>
      <c r="BB1817" s="967">
        <v>6.6724674348346724E-2</v>
      </c>
      <c r="BC1817" s="967">
        <v>5.5099758259146122E-3</v>
      </c>
      <c r="BD1817" s="967">
        <v>0.41653921878320876</v>
      </c>
      <c r="BE1817" s="959"/>
      <c r="BF1817" s="1017">
        <v>2035</v>
      </c>
      <c r="BG1817" s="968">
        <v>1.4044507951143815E-3</v>
      </c>
      <c r="BH1817" s="968">
        <v>0.29252977037685957</v>
      </c>
      <c r="BI1817" s="968">
        <v>0.21729190987055597</v>
      </c>
      <c r="BJ1817" s="968">
        <v>6.6724674348346724E-2</v>
      </c>
      <c r="BK1817" s="968">
        <v>5.5099758259146122E-3</v>
      </c>
      <c r="BL1817" s="968">
        <v>0.41653921878320876</v>
      </c>
      <c r="BM1817" s="963"/>
      <c r="BN1817" s="1018">
        <v>2035</v>
      </c>
      <c r="BO1817" s="969">
        <v>1.1407833700168925E-5</v>
      </c>
      <c r="BP1817" s="969">
        <v>0.5254350541003534</v>
      </c>
      <c r="BQ1817" s="969">
        <v>2.3338526444928922E-3</v>
      </c>
      <c r="BR1817" s="969">
        <v>6.4868485429050063E-2</v>
      </c>
      <c r="BS1817" s="969">
        <v>8.8888377648934196E-3</v>
      </c>
      <c r="BT1817" s="969">
        <v>0.39846236222750997</v>
      </c>
      <c r="BU1817" s="963"/>
      <c r="BV1817" s="1018">
        <v>2035</v>
      </c>
      <c r="BW1817" s="969">
        <v>1.1407833700168925E-5</v>
      </c>
      <c r="BX1817" s="969">
        <v>0.5254350541003534</v>
      </c>
      <c r="BY1817" s="969">
        <v>2.3338526444928922E-3</v>
      </c>
      <c r="BZ1817" s="969">
        <v>6.4868485429050063E-2</v>
      </c>
      <c r="CA1817" s="969">
        <v>8.8888377648934196E-3</v>
      </c>
      <c r="CB1817" s="969">
        <v>0.39846236222750997</v>
      </c>
      <c r="CC1817" s="963"/>
      <c r="CD1817" s="989">
        <v>2035</v>
      </c>
      <c r="CE1817" s="166">
        <v>3.2922526151886611E-3</v>
      </c>
      <c r="CF1817" s="166">
        <v>0.28125548040794907</v>
      </c>
      <c r="CG1817" s="166">
        <v>0.37238998502229126</v>
      </c>
      <c r="CH1817" s="166">
        <v>0.17890847792900749</v>
      </c>
      <c r="CI1817" s="166">
        <v>1.0376289743121299E-2</v>
      </c>
      <c r="CJ1817" s="166">
        <v>0.15377751428244213</v>
      </c>
      <c r="CK1817" s="963"/>
      <c r="CL1817" s="1018">
        <v>2035</v>
      </c>
      <c r="CM1817" s="969">
        <v>3.2922526151886611E-3</v>
      </c>
      <c r="CN1817" s="969">
        <v>0.28125548040794907</v>
      </c>
      <c r="CO1817" s="969">
        <v>0.37238998502229126</v>
      </c>
      <c r="CP1817" s="969">
        <v>0.17890847792900749</v>
      </c>
      <c r="CQ1817" s="969">
        <v>1.0376289743121299E-2</v>
      </c>
      <c r="CR1817" s="969">
        <v>0.15377751428244213</v>
      </c>
      <c r="CS1817" s="963"/>
      <c r="CT1817" s="989"/>
      <c r="CU1817" s="166"/>
      <c r="CV1817" s="166"/>
      <c r="CW1817" s="166"/>
      <c r="CX1817" s="166"/>
      <c r="CY1817" s="166"/>
      <c r="CZ1817" s="166"/>
      <c r="DA1817" s="963"/>
      <c r="DB1817" s="989"/>
      <c r="DC1817" s="166"/>
      <c r="DD1817" s="166"/>
      <c r="DE1817" s="166"/>
      <c r="DF1817" s="166"/>
      <c r="DG1817" s="166"/>
      <c r="DH1817" s="1016"/>
      <c r="DI1817" s="65"/>
    </row>
    <row r="1818" spans="1:113">
      <c r="A1818" s="76"/>
      <c r="B1818" s="1021">
        <v>2040</v>
      </c>
      <c r="C1818" s="1022">
        <v>1.769693303957017E-3</v>
      </c>
      <c r="D1818" s="1022">
        <v>0.24182046470285115</v>
      </c>
      <c r="E1818" s="1022">
        <v>0.4267746592425225</v>
      </c>
      <c r="F1818" s="1022">
        <v>0.2586447501314067</v>
      </c>
      <c r="G1818" s="1022">
        <v>1.6428749446450119E-2</v>
      </c>
      <c r="H1818" s="1022">
        <v>5.4561683172812625E-2</v>
      </c>
      <c r="I1818" s="1023"/>
      <c r="J1818" s="1024">
        <v>2040</v>
      </c>
      <c r="K1818" s="1025">
        <v>1.769693303957017E-3</v>
      </c>
      <c r="L1818" s="1025">
        <v>0.24182046470285115</v>
      </c>
      <c r="M1818" s="1025">
        <v>0.4267746592425225</v>
      </c>
      <c r="N1818" s="1025">
        <v>0.2586447501314067</v>
      </c>
      <c r="O1818" s="1025">
        <v>1.6428749446450119E-2</v>
      </c>
      <c r="P1818" s="1025">
        <v>5.4561683172812625E-2</v>
      </c>
      <c r="Q1818" s="1023"/>
      <c r="R1818" s="1026">
        <v>2040</v>
      </c>
      <c r="S1818" s="1022">
        <v>1.7447706430857523E-3</v>
      </c>
      <c r="T1818" s="1022">
        <v>0.27667354597185984</v>
      </c>
      <c r="U1818" s="1022">
        <v>0.43050161588919839</v>
      </c>
      <c r="V1818" s="1022">
        <v>3.2541497197707901E-2</v>
      </c>
      <c r="W1818" s="1022">
        <v>7.9230644419512938E-3</v>
      </c>
      <c r="X1818" s="1022">
        <v>0.25061550585619674</v>
      </c>
      <c r="Y1818" s="1023"/>
      <c r="Z1818" s="1024">
        <v>2040</v>
      </c>
      <c r="AA1818" s="1025">
        <v>1.7447706430857523E-3</v>
      </c>
      <c r="AB1818" s="1025">
        <v>0.27667354597185984</v>
      </c>
      <c r="AC1818" s="1025">
        <v>0.43050161588919839</v>
      </c>
      <c r="AD1818" s="1025">
        <v>3.2541497197707901E-2</v>
      </c>
      <c r="AE1818" s="1025">
        <v>7.9230644419512938E-3</v>
      </c>
      <c r="AF1818" s="1025">
        <v>0.25061550585619674</v>
      </c>
      <c r="AG1818" s="1023"/>
      <c r="AH1818" s="1026">
        <v>2040</v>
      </c>
      <c r="AI1818" s="1022">
        <v>1.2490464204876787E-3</v>
      </c>
      <c r="AJ1818" s="1022">
        <v>0.47286987484259313</v>
      </c>
      <c r="AK1818" s="1022">
        <v>0.31472208412099556</v>
      </c>
      <c r="AL1818" s="1022">
        <v>9.6481768818910449E-2</v>
      </c>
      <c r="AM1818" s="1022">
        <v>9.5068759442096477E-3</v>
      </c>
      <c r="AN1818" s="1022">
        <v>0.10517034985280349</v>
      </c>
      <c r="AO1818" s="1023"/>
      <c r="AP1818" s="1024">
        <v>2040</v>
      </c>
      <c r="AQ1818" s="1025">
        <v>1.2490464204876787E-3</v>
      </c>
      <c r="AR1818" s="1025">
        <v>0.47286987484259313</v>
      </c>
      <c r="AS1818" s="1025">
        <v>0.31472208412099556</v>
      </c>
      <c r="AT1818" s="1025">
        <v>9.6481768818910449E-2</v>
      </c>
      <c r="AU1818" s="1025">
        <v>9.5068759442096477E-3</v>
      </c>
      <c r="AV1818" s="1025">
        <v>0.10517034985280349</v>
      </c>
      <c r="AW1818" s="1023"/>
      <c r="AX1818" s="1026">
        <v>2040</v>
      </c>
      <c r="AY1818" s="1022">
        <v>1.341071432498204E-3</v>
      </c>
      <c r="AZ1818" s="1022">
        <v>0.28614550518456977</v>
      </c>
      <c r="BA1818" s="1022">
        <v>0.2072009396122193</v>
      </c>
      <c r="BB1818" s="1022">
        <v>6.3879402378920938E-2</v>
      </c>
      <c r="BC1818" s="1022">
        <v>7.6293878082006718E-3</v>
      </c>
      <c r="BD1818" s="1022">
        <v>0.43380369358359105</v>
      </c>
      <c r="BE1818" s="1023"/>
      <c r="BF1818" s="1024">
        <v>2040</v>
      </c>
      <c r="BG1818" s="1025">
        <v>1.341071432498204E-3</v>
      </c>
      <c r="BH1818" s="1025">
        <v>0.28614550518456977</v>
      </c>
      <c r="BI1818" s="1025">
        <v>0.2072009396122193</v>
      </c>
      <c r="BJ1818" s="1025">
        <v>6.3879402378920938E-2</v>
      </c>
      <c r="BK1818" s="1025">
        <v>7.6293878082006718E-3</v>
      </c>
      <c r="BL1818" s="1025">
        <v>0.43380369358359105</v>
      </c>
      <c r="BM1818" s="1027"/>
      <c r="BN1818" s="1028">
        <v>2040</v>
      </c>
      <c r="BO1818" s="1029">
        <v>1.1407646904086183E-5</v>
      </c>
      <c r="BP1818" s="1029">
        <v>0.50476383474428632</v>
      </c>
      <c r="BQ1818" s="1029">
        <v>2.3355672575022081E-3</v>
      </c>
      <c r="BR1818" s="1029">
        <v>6.1967654787308091E-2</v>
      </c>
      <c r="BS1818" s="1029">
        <v>1.3013865243849246E-2</v>
      </c>
      <c r="BT1818" s="1029">
        <v>0.41790767032014997</v>
      </c>
      <c r="BU1818" s="1027"/>
      <c r="BV1818" s="1028">
        <v>2040</v>
      </c>
      <c r="BW1818" s="1029">
        <v>1.1407646904086183E-5</v>
      </c>
      <c r="BX1818" s="1029">
        <v>0.50476383474428632</v>
      </c>
      <c r="BY1818" s="1029">
        <v>2.3355672575022081E-3</v>
      </c>
      <c r="BZ1818" s="1029">
        <v>6.1967654787308091E-2</v>
      </c>
      <c r="CA1818" s="1029">
        <v>1.3013865243849246E-2</v>
      </c>
      <c r="CB1818" s="1029">
        <v>0.41790767032014997</v>
      </c>
      <c r="CC1818" s="1027"/>
      <c r="CD1818" s="1030">
        <v>2040</v>
      </c>
      <c r="CE1818" s="1031">
        <v>3.2517310124607992E-3</v>
      </c>
      <c r="CF1818" s="1031">
        <v>0.28421515598636538</v>
      </c>
      <c r="CG1818" s="1031">
        <v>0.36031005771158331</v>
      </c>
      <c r="CH1818" s="1031">
        <v>0.17782667000373381</v>
      </c>
      <c r="CI1818" s="1031">
        <v>1.2544199359209354E-2</v>
      </c>
      <c r="CJ1818" s="1031">
        <v>0.16185218592664741</v>
      </c>
      <c r="CK1818" s="1027"/>
      <c r="CL1818" s="1028">
        <v>2040</v>
      </c>
      <c r="CM1818" s="1029">
        <v>3.2517310124607992E-3</v>
      </c>
      <c r="CN1818" s="1029">
        <v>0.28421515598636538</v>
      </c>
      <c r="CO1818" s="1029">
        <v>0.36031005771158331</v>
      </c>
      <c r="CP1818" s="1029">
        <v>0.17782667000373381</v>
      </c>
      <c r="CQ1818" s="1029">
        <v>1.2544199359209354E-2</v>
      </c>
      <c r="CR1818" s="1029">
        <v>0.16185218592664741</v>
      </c>
      <c r="CS1818" s="1027"/>
      <c r="CT1818" s="1030"/>
      <c r="CU1818" s="1031"/>
      <c r="CV1818" s="1031"/>
      <c r="CW1818" s="1031"/>
      <c r="CX1818" s="1031"/>
      <c r="CY1818" s="1031"/>
      <c r="CZ1818" s="1031"/>
      <c r="DA1818" s="1027"/>
      <c r="DB1818" s="1030"/>
      <c r="DC1818" s="1031"/>
      <c r="DD1818" s="1031"/>
      <c r="DE1818" s="1031"/>
      <c r="DF1818" s="1031"/>
      <c r="DG1818" s="1031"/>
      <c r="DH1818" s="1032"/>
      <c r="DI1818" s="65"/>
    </row>
    <row r="1819" spans="1:113">
      <c r="A1819" s="76"/>
      <c r="B1819" s="923"/>
      <c r="C1819" s="924"/>
      <c r="D1819" s="949"/>
      <c r="E1819" s="949"/>
      <c r="F1819" s="921"/>
      <c r="G1819" s="921"/>
      <c r="H1819" s="921"/>
      <c r="I1819" s="921"/>
      <c r="J1819" s="921"/>
      <c r="K1819" s="921"/>
      <c r="L1819" s="921"/>
      <c r="M1819" s="65"/>
      <c r="N1819" s="65"/>
      <c r="O1819" s="65"/>
      <c r="P1819" s="65"/>
      <c r="Q1819" s="65"/>
      <c r="R1819" s="65"/>
      <c r="S1819" s="65"/>
      <c r="T1819" s="65"/>
      <c r="U1819" s="65"/>
      <c r="V1819" s="65"/>
      <c r="W1819" s="65"/>
      <c r="X1819" s="65"/>
      <c r="Y1819" s="65"/>
      <c r="Z1819" s="65"/>
      <c r="AA1819" s="65"/>
      <c r="AB1819" s="65"/>
      <c r="AC1819" s="65"/>
      <c r="AD1819" s="65"/>
      <c r="AE1819" s="65"/>
      <c r="AF1819" s="65"/>
      <c r="AG1819" s="65"/>
      <c r="AH1819" s="65"/>
      <c r="AI1819" s="65"/>
      <c r="AJ1819" s="65"/>
      <c r="AK1819" s="65"/>
      <c r="AL1819" s="65"/>
      <c r="AM1819" s="65"/>
      <c r="AN1819" s="65"/>
      <c r="AO1819" s="65"/>
      <c r="AP1819" s="65"/>
      <c r="AQ1819" s="65"/>
      <c r="AR1819" s="65"/>
      <c r="AS1819" s="65"/>
      <c r="AT1819" s="65"/>
      <c r="AU1819" s="65"/>
      <c r="AV1819" s="65"/>
      <c r="AW1819" s="65"/>
      <c r="AX1819" s="65"/>
      <c r="AY1819" s="65"/>
      <c r="AZ1819" s="65"/>
      <c r="BA1819" s="65"/>
      <c r="BB1819" s="65"/>
      <c r="BC1819" s="65"/>
      <c r="BD1819" s="65"/>
      <c r="BE1819" s="65"/>
      <c r="BF1819" s="65"/>
      <c r="BG1819" s="65"/>
      <c r="BH1819" s="65"/>
      <c r="BI1819" s="65"/>
      <c r="BJ1819" s="65"/>
      <c r="BK1819" s="65"/>
      <c r="BL1819" s="65"/>
      <c r="BM1819" s="65"/>
      <c r="BN1819" s="65"/>
      <c r="BO1819" s="65"/>
      <c r="BP1819" s="65"/>
      <c r="BQ1819" s="65"/>
      <c r="BR1819" s="65"/>
      <c r="BS1819" s="65"/>
      <c r="BT1819" s="65"/>
      <c r="BU1819" s="65"/>
      <c r="BV1819" s="65"/>
      <c r="BW1819" s="65"/>
      <c r="BX1819" s="65"/>
      <c r="BY1819" s="65"/>
      <c r="BZ1819" s="65"/>
      <c r="CA1819" s="65"/>
      <c r="CB1819" s="65"/>
      <c r="CC1819" s="65"/>
      <c r="CD1819" s="65"/>
      <c r="CE1819" s="65"/>
      <c r="CF1819" s="65"/>
      <c r="CG1819" s="65"/>
      <c r="CH1819" s="65"/>
      <c r="CI1819" s="65"/>
      <c r="CJ1819" s="65"/>
      <c r="CK1819" s="65"/>
      <c r="CL1819" s="65"/>
      <c r="CM1819" s="65"/>
      <c r="CN1819" s="65"/>
      <c r="CO1819" s="65"/>
      <c r="CP1819" s="65"/>
      <c r="CQ1819" s="65"/>
      <c r="CR1819" s="65"/>
      <c r="CS1819" s="65"/>
      <c r="CT1819" s="65"/>
      <c r="CU1819" s="65"/>
      <c r="CV1819" s="65"/>
      <c r="CW1819" s="65"/>
      <c r="CX1819" s="65"/>
      <c r="CY1819" s="65"/>
      <c r="CZ1819" s="65"/>
      <c r="DA1819" s="65"/>
      <c r="DB1819" s="65"/>
      <c r="DC1819" s="65"/>
      <c r="DD1819" s="65"/>
      <c r="DE1819" s="65"/>
      <c r="DF1819" s="65"/>
      <c r="DG1819" s="65"/>
      <c r="DH1819" s="65"/>
      <c r="DI1819" s="65"/>
    </row>
    <row r="1820" spans="1:113">
      <c r="B1820" s="65"/>
      <c r="C1820" s="921"/>
      <c r="D1820" s="1033"/>
      <c r="E1820" s="1033"/>
      <c r="F1820" s="921"/>
      <c r="G1820" s="1033"/>
      <c r="H1820" s="1033"/>
      <c r="I1820" s="1033"/>
      <c r="J1820" s="1034"/>
      <c r="K1820" s="1033"/>
      <c r="L1820" s="1033"/>
      <c r="M1820" s="1033"/>
      <c r="N1820" s="1033"/>
      <c r="O1820" s="1033"/>
      <c r="P1820" s="1033"/>
      <c r="Q1820" s="1033"/>
      <c r="R1820" s="921"/>
      <c r="S1820" s="1033"/>
      <c r="T1820" s="1033"/>
      <c r="U1820" s="1033"/>
      <c r="V1820" s="921"/>
      <c r="W1820" s="1033"/>
      <c r="X1820" s="1033"/>
      <c r="Y1820" s="1033"/>
      <c r="Z1820" s="921"/>
      <c r="AA1820" s="1033"/>
      <c r="AB1820" s="1033"/>
      <c r="AC1820" s="1033"/>
      <c r="AD1820" s="1033"/>
      <c r="AE1820" s="1033"/>
      <c r="AF1820" s="1033"/>
      <c r="AG1820" s="1033"/>
      <c r="AH1820" s="921"/>
      <c r="AI1820" s="1033"/>
      <c r="AJ1820" s="1033"/>
      <c r="AK1820" s="1033"/>
      <c r="AL1820" s="921"/>
      <c r="AM1820" s="1033"/>
      <c r="AN1820" s="1033"/>
      <c r="AO1820" s="1033"/>
      <c r="AP1820" s="1033"/>
      <c r="AQ1820" s="1033"/>
      <c r="AR1820" s="1033"/>
      <c r="AS1820" s="1033"/>
      <c r="AT1820" s="921"/>
      <c r="AU1820" s="65"/>
      <c r="AV1820" s="65"/>
      <c r="AW1820" s="65"/>
      <c r="AX1820" s="65"/>
      <c r="AY1820" s="65"/>
      <c r="AZ1820" s="65"/>
      <c r="BA1820" s="65"/>
      <c r="BB1820" s="65"/>
      <c r="BC1820" s="65"/>
      <c r="BD1820" s="65"/>
      <c r="BE1820" s="65"/>
      <c r="BF1820" s="65"/>
      <c r="BG1820" s="65"/>
      <c r="BH1820" s="65"/>
      <c r="BI1820" s="65"/>
      <c r="BJ1820" s="65"/>
      <c r="BK1820" s="65"/>
      <c r="BL1820" s="65"/>
      <c r="BM1820" s="65"/>
      <c r="BN1820" s="65"/>
      <c r="BO1820" s="65"/>
      <c r="BP1820" s="65"/>
      <c r="BQ1820" s="65"/>
      <c r="BR1820" s="65"/>
      <c r="BS1820" s="65"/>
      <c r="BT1820" s="65"/>
      <c r="BU1820" s="65"/>
      <c r="BV1820" s="65"/>
      <c r="BW1820" s="65"/>
      <c r="BX1820" s="65"/>
      <c r="BY1820" s="65"/>
      <c r="BZ1820" s="65"/>
      <c r="CA1820" s="65"/>
      <c r="CB1820" s="65"/>
      <c r="CC1820" s="65"/>
      <c r="CD1820" s="65"/>
      <c r="CE1820" s="65"/>
      <c r="CF1820" s="65"/>
      <c r="CG1820" s="65"/>
      <c r="CH1820" s="65"/>
      <c r="CI1820" s="65"/>
      <c r="CJ1820" s="65"/>
      <c r="CK1820" s="65"/>
      <c r="CL1820" s="65"/>
      <c r="CM1820" s="65"/>
      <c r="CN1820" s="65"/>
      <c r="CO1820" s="65"/>
      <c r="CP1820" s="65"/>
      <c r="CQ1820" s="65"/>
      <c r="CR1820" s="65"/>
      <c r="CS1820" s="65"/>
      <c r="CT1820" s="65"/>
      <c r="CU1820" s="65"/>
      <c r="CV1820" s="65"/>
      <c r="CW1820" s="65"/>
      <c r="CX1820" s="65"/>
      <c r="CY1820" s="65"/>
      <c r="CZ1820" s="65"/>
      <c r="DA1820" s="65"/>
      <c r="DB1820" s="65"/>
      <c r="DC1820" s="65"/>
      <c r="DD1820" s="65"/>
      <c r="DE1820" s="65"/>
      <c r="DF1820" s="65"/>
      <c r="DG1820" s="65"/>
      <c r="DH1820" s="65"/>
      <c r="DI1820" s="65"/>
    </row>
    <row r="1821" spans="1:113">
      <c r="B1821" s="1035"/>
      <c r="C1821" s="1036"/>
      <c r="D1821" s="1036"/>
      <c r="E1821" s="1036"/>
      <c r="F1821" s="1583" t="s">
        <v>1341</v>
      </c>
      <c r="G1821" s="1584"/>
      <c r="H1821" s="1584"/>
      <c r="I1821" s="1585"/>
      <c r="J1821" s="1621" t="s">
        <v>1342</v>
      </c>
      <c r="K1821" s="1586"/>
      <c r="L1821" s="1622"/>
      <c r="M1821" s="1037"/>
      <c r="N1821" s="1037"/>
      <c r="P1821" s="65"/>
      <c r="Q1821" s="65"/>
      <c r="R1821" s="65"/>
      <c r="S1821" s="65"/>
      <c r="T1821" s="65"/>
      <c r="U1821" s="65"/>
      <c r="V1821" s="65"/>
      <c r="W1821" s="65"/>
      <c r="X1821" s="65"/>
      <c r="Y1821" s="65"/>
      <c r="Z1821" s="65"/>
      <c r="AA1821" s="65"/>
      <c r="AB1821" s="65"/>
      <c r="AC1821" s="65"/>
      <c r="AD1821" s="65"/>
      <c r="AE1821" s="65"/>
      <c r="AF1821" s="65"/>
      <c r="AG1821" s="65"/>
      <c r="AH1821" s="65"/>
      <c r="AI1821" s="65"/>
      <c r="AJ1821" s="65"/>
      <c r="AK1821" s="65"/>
      <c r="AL1821" s="65"/>
      <c r="AM1821" s="65"/>
      <c r="AN1821" s="65"/>
      <c r="AO1821" s="65"/>
      <c r="AP1821" s="65"/>
      <c r="AQ1821" s="65"/>
      <c r="AR1821" s="65"/>
      <c r="AS1821" s="65"/>
      <c r="AT1821" s="65"/>
      <c r="AU1821" s="65"/>
      <c r="AV1821" s="65"/>
      <c r="AW1821" s="65"/>
      <c r="AX1821" s="65"/>
      <c r="AY1821" s="65"/>
      <c r="AZ1821" s="65"/>
      <c r="BA1821" s="65"/>
      <c r="BB1821" s="65"/>
      <c r="BC1821" s="65"/>
      <c r="BD1821" s="65"/>
      <c r="BE1821" s="65"/>
      <c r="BF1821" s="65"/>
      <c r="BG1821" s="65"/>
      <c r="BH1821" s="65"/>
      <c r="BI1821" s="65"/>
      <c r="BJ1821" s="65"/>
      <c r="BK1821" s="65"/>
      <c r="BL1821" s="65"/>
      <c r="BM1821" s="65"/>
      <c r="BN1821" s="65"/>
      <c r="BO1821" s="65"/>
      <c r="BP1821" s="65"/>
      <c r="BQ1821" s="65"/>
      <c r="BR1821" s="65"/>
      <c r="BS1821" s="65"/>
      <c r="BT1821" s="65"/>
      <c r="BU1821" s="65"/>
      <c r="BV1821" s="65"/>
      <c r="BW1821" s="65"/>
      <c r="BX1821" s="65"/>
      <c r="BY1821" s="65"/>
      <c r="BZ1821" s="65"/>
      <c r="CA1821" s="65"/>
      <c r="CB1821" s="65"/>
      <c r="CC1821" s="65"/>
      <c r="CD1821" s="65"/>
      <c r="CE1821" s="65"/>
      <c r="CF1821" s="65"/>
      <c r="CG1821" s="65"/>
      <c r="CH1821" s="65"/>
      <c r="CI1821" s="65"/>
      <c r="CJ1821" s="65"/>
      <c r="CK1821" s="65"/>
      <c r="CL1821" s="65"/>
      <c r="CM1821" s="65"/>
      <c r="CN1821" s="65"/>
      <c r="CO1821" s="65"/>
      <c r="CP1821" s="65"/>
      <c r="CQ1821" s="65"/>
      <c r="CR1821" s="65"/>
      <c r="CS1821" s="65"/>
      <c r="CT1821" s="65"/>
      <c r="CU1821" s="65"/>
      <c r="CV1821" s="65"/>
      <c r="CW1821" s="65"/>
      <c r="CX1821" s="65"/>
      <c r="CY1821" s="65"/>
      <c r="CZ1821" s="65"/>
      <c r="DA1821" s="65"/>
      <c r="DB1821" s="65"/>
      <c r="DC1821" s="65"/>
      <c r="DD1821" s="65"/>
      <c r="DE1821" s="65"/>
      <c r="DF1821" s="65"/>
      <c r="DG1821" s="65"/>
      <c r="DH1821" s="65"/>
      <c r="DI1821" s="65"/>
    </row>
    <row r="1822" spans="1:113">
      <c r="B1822" s="1038" t="s">
        <v>243</v>
      </c>
      <c r="C1822" s="1039"/>
      <c r="D1822" s="1039"/>
      <c r="E1822" s="1039"/>
      <c r="F1822" s="1035"/>
      <c r="G1822" s="1040" t="s">
        <v>274</v>
      </c>
      <c r="H1822" s="1040" t="s">
        <v>205</v>
      </c>
      <c r="I1822" s="1041"/>
      <c r="J1822" s="1042"/>
      <c r="K1822" s="1043" t="s">
        <v>274</v>
      </c>
      <c r="L1822" s="1044" t="s">
        <v>205</v>
      </c>
      <c r="M1822" s="1045"/>
      <c r="N1822" s="132"/>
      <c r="O1822" s="65"/>
      <c r="P1822" s="65"/>
      <c r="Q1822" s="65"/>
      <c r="R1822" s="65"/>
      <c r="S1822" s="65"/>
      <c r="T1822" s="65"/>
      <c r="U1822" s="65"/>
      <c r="V1822" s="65"/>
      <c r="W1822" s="65"/>
      <c r="X1822" s="65"/>
      <c r="Y1822" s="65"/>
      <c r="Z1822" s="65"/>
      <c r="AA1822" s="65"/>
      <c r="AB1822" s="65"/>
      <c r="AC1822" s="65"/>
      <c r="AD1822" s="65"/>
      <c r="AE1822" s="65"/>
      <c r="AF1822" s="65"/>
      <c r="AG1822" s="65"/>
      <c r="AH1822" s="65"/>
      <c r="AI1822" s="65"/>
      <c r="AJ1822" s="65"/>
      <c r="AK1822" s="65"/>
      <c r="AL1822" s="65"/>
      <c r="AM1822" s="65"/>
      <c r="AN1822" s="65"/>
      <c r="AO1822" s="65"/>
      <c r="AP1822" s="65"/>
      <c r="AQ1822" s="65"/>
      <c r="AR1822" s="65"/>
      <c r="AS1822" s="65"/>
      <c r="AT1822" s="65"/>
      <c r="AU1822" s="65"/>
      <c r="AV1822" s="65"/>
      <c r="AW1822" s="65"/>
      <c r="AX1822" s="65"/>
      <c r="AY1822" s="65"/>
      <c r="AZ1822" s="65"/>
      <c r="BA1822" s="65"/>
      <c r="BB1822" s="65"/>
      <c r="BC1822" s="65"/>
      <c r="BD1822" s="65"/>
      <c r="BE1822" s="65"/>
      <c r="BF1822" s="65"/>
      <c r="BG1822" s="65"/>
      <c r="BH1822" s="65"/>
      <c r="BI1822" s="65"/>
      <c r="BJ1822" s="65"/>
      <c r="BK1822" s="65"/>
      <c r="BL1822" s="65"/>
      <c r="BM1822" s="65"/>
      <c r="BN1822" s="65"/>
      <c r="BO1822" s="65"/>
      <c r="BP1822" s="65"/>
      <c r="BQ1822" s="65"/>
      <c r="BR1822" s="65"/>
      <c r="BS1822" s="65"/>
      <c r="BT1822" s="65"/>
      <c r="BU1822" s="65"/>
      <c r="BV1822" s="65"/>
      <c r="BW1822" s="65"/>
      <c r="BX1822" s="65"/>
      <c r="BY1822" s="65"/>
      <c r="BZ1822" s="65"/>
      <c r="CA1822" s="65"/>
      <c r="CB1822" s="65"/>
      <c r="CC1822" s="65"/>
      <c r="CD1822" s="65"/>
      <c r="CE1822" s="65"/>
      <c r="CF1822" s="65"/>
      <c r="CG1822" s="65"/>
      <c r="CH1822" s="65"/>
      <c r="CI1822" s="65"/>
      <c r="CJ1822" s="65"/>
      <c r="CK1822" s="65"/>
      <c r="CL1822" s="65"/>
      <c r="CM1822" s="65"/>
      <c r="CN1822" s="65"/>
      <c r="CO1822" s="65"/>
      <c r="CP1822" s="65"/>
      <c r="CQ1822" s="65"/>
      <c r="CR1822" s="65"/>
      <c r="CS1822" s="65"/>
      <c r="CT1822" s="65"/>
      <c r="CU1822" s="65"/>
      <c r="CV1822" s="65"/>
      <c r="CW1822" s="65"/>
      <c r="CX1822" s="65"/>
      <c r="CY1822" s="65"/>
      <c r="CZ1822" s="65"/>
      <c r="DA1822" s="65"/>
      <c r="DB1822" s="65"/>
      <c r="DC1822" s="65"/>
      <c r="DD1822" s="65"/>
      <c r="DE1822" s="65"/>
      <c r="DF1822" s="65"/>
      <c r="DG1822" s="65"/>
      <c r="DH1822" s="65"/>
      <c r="DI1822" s="65"/>
    </row>
    <row r="1823" spans="1:113">
      <c r="B1823" s="181" t="s">
        <v>1343</v>
      </c>
      <c r="C1823" s="99"/>
      <c r="D1823" s="99"/>
      <c r="E1823" s="99"/>
      <c r="F1823" s="181"/>
      <c r="G1823" s="183">
        <f>$F$96/1000000*G138</f>
        <v>32.696594767053156</v>
      </c>
      <c r="H1823" s="183">
        <f>$F$96/1000000*H138</f>
        <v>28.719331608169441</v>
      </c>
      <c r="I1823" s="184"/>
      <c r="J1823" s="1046"/>
      <c r="K1823" s="1046">
        <f>$F$97/1000000*K138</f>
        <v>0</v>
      </c>
      <c r="L1823" s="1047">
        <f>$F$97/1000000*L138</f>
        <v>0</v>
      </c>
      <c r="M1823" s="1048"/>
      <c r="O1823" s="65"/>
      <c r="P1823" s="65"/>
      <c r="Q1823" s="65"/>
      <c r="R1823" s="65"/>
      <c r="S1823" s="65"/>
      <c r="T1823" s="65"/>
      <c r="U1823" s="65"/>
      <c r="V1823" s="65"/>
      <c r="W1823" s="65"/>
      <c r="X1823" s="65"/>
      <c r="Y1823" s="65"/>
      <c r="Z1823" s="65"/>
      <c r="AA1823" s="65"/>
      <c r="AB1823" s="65"/>
      <c r="AC1823" s="65"/>
      <c r="AD1823" s="65"/>
      <c r="AE1823" s="65"/>
      <c r="AF1823" s="65"/>
      <c r="AG1823" s="65"/>
      <c r="AH1823" s="65"/>
      <c r="AI1823" s="65"/>
      <c r="AJ1823" s="65"/>
      <c r="AK1823" s="65"/>
      <c r="AL1823" s="65"/>
      <c r="AM1823" s="65"/>
      <c r="AN1823" s="65"/>
      <c r="AO1823" s="65"/>
      <c r="AP1823" s="65"/>
      <c r="AQ1823" s="65"/>
      <c r="AR1823" s="65"/>
      <c r="AS1823" s="65"/>
      <c r="AT1823" s="65"/>
      <c r="AU1823" s="65"/>
      <c r="AV1823" s="65"/>
      <c r="AW1823" s="65"/>
      <c r="AX1823" s="65"/>
      <c r="AY1823" s="65"/>
      <c r="AZ1823" s="65"/>
      <c r="BA1823" s="65"/>
      <c r="BB1823" s="65"/>
      <c r="BC1823" s="65"/>
      <c r="BD1823" s="65"/>
      <c r="BE1823" s="65"/>
      <c r="BF1823" s="65"/>
      <c r="BG1823" s="65"/>
      <c r="BH1823" s="65"/>
      <c r="BI1823" s="65"/>
      <c r="BJ1823" s="65"/>
      <c r="BK1823" s="65"/>
      <c r="BL1823" s="65"/>
      <c r="BM1823" s="65"/>
      <c r="BN1823" s="65"/>
      <c r="BO1823" s="65"/>
      <c r="BP1823" s="65"/>
      <c r="BQ1823" s="65"/>
      <c r="BR1823" s="65"/>
      <c r="BS1823" s="65"/>
      <c r="BT1823" s="65"/>
      <c r="BU1823" s="65"/>
      <c r="BV1823" s="65"/>
      <c r="BW1823" s="65"/>
      <c r="BX1823" s="65"/>
      <c r="BY1823" s="65"/>
      <c r="BZ1823" s="65"/>
      <c r="CA1823" s="65"/>
      <c r="CB1823" s="65"/>
      <c r="CC1823" s="65"/>
      <c r="CD1823" s="65"/>
      <c r="CE1823" s="65"/>
      <c r="CF1823" s="65"/>
      <c r="CG1823" s="65"/>
      <c r="CH1823" s="65"/>
      <c r="CI1823" s="65"/>
      <c r="CJ1823" s="65"/>
      <c r="CK1823" s="65"/>
      <c r="CL1823" s="65"/>
      <c r="CM1823" s="65"/>
      <c r="CN1823" s="65"/>
      <c r="CO1823" s="65"/>
      <c r="CP1823" s="65"/>
      <c r="CQ1823" s="65"/>
      <c r="CR1823" s="65"/>
      <c r="CS1823" s="65"/>
      <c r="CT1823" s="65"/>
      <c r="CU1823" s="65"/>
      <c r="CV1823" s="65"/>
      <c r="CW1823" s="65"/>
      <c r="CX1823" s="65"/>
      <c r="CY1823" s="65"/>
      <c r="CZ1823" s="65"/>
      <c r="DA1823" s="65"/>
      <c r="DB1823" s="65"/>
      <c r="DC1823" s="65"/>
      <c r="DD1823" s="65"/>
      <c r="DE1823" s="65"/>
      <c r="DF1823" s="65"/>
      <c r="DG1823" s="65"/>
      <c r="DH1823" s="65"/>
      <c r="DI1823" s="65"/>
    </row>
    <row r="1824" spans="1:113">
      <c r="B1824" s="181" t="s">
        <v>1344</v>
      </c>
      <c r="C1824" s="99"/>
      <c r="D1824" s="99"/>
      <c r="E1824" s="99"/>
      <c r="F1824" s="181"/>
      <c r="G1824" s="183">
        <f>$F$96/1000000*G152</f>
        <v>20.91476007421242</v>
      </c>
      <c r="H1824" s="183">
        <f>$F$96/1000000*H152</f>
        <v>220.82976168918256</v>
      </c>
      <c r="I1824" s="184"/>
      <c r="J1824" s="1046"/>
      <c r="K1824" s="1046">
        <f>$F$97/1000000*K152</f>
        <v>0</v>
      </c>
      <c r="L1824" s="1047">
        <f>$F$97/1000000*L152</f>
        <v>0</v>
      </c>
      <c r="M1824" s="1048"/>
      <c r="O1824" s="65"/>
      <c r="P1824" s="65"/>
      <c r="Q1824" s="65"/>
      <c r="R1824" s="65"/>
      <c r="S1824" s="65"/>
      <c r="T1824" s="65"/>
      <c r="U1824" s="65"/>
      <c r="V1824" s="65"/>
      <c r="W1824" s="65"/>
      <c r="X1824" s="65"/>
      <c r="Y1824" s="65"/>
      <c r="Z1824" s="65"/>
      <c r="AA1824" s="65"/>
      <c r="AB1824" s="65"/>
      <c r="AC1824" s="65"/>
      <c r="AD1824" s="65"/>
      <c r="AE1824" s="65"/>
      <c r="AF1824" s="65"/>
      <c r="AG1824" s="65"/>
      <c r="AH1824" s="65"/>
      <c r="AI1824" s="65"/>
      <c r="AJ1824" s="65"/>
      <c r="AK1824" s="65"/>
      <c r="AL1824" s="65"/>
      <c r="AM1824" s="65"/>
      <c r="AN1824" s="65"/>
      <c r="AO1824" s="65"/>
      <c r="AP1824" s="65"/>
      <c r="AQ1824" s="65"/>
      <c r="AR1824" s="65"/>
      <c r="AS1824" s="65"/>
      <c r="AT1824" s="65"/>
      <c r="AU1824" s="65"/>
      <c r="AV1824" s="65"/>
      <c r="AW1824" s="65"/>
      <c r="AX1824" s="65"/>
      <c r="AY1824" s="65"/>
      <c r="AZ1824" s="65"/>
      <c r="BA1824" s="65"/>
      <c r="BB1824" s="65"/>
      <c r="BC1824" s="65"/>
      <c r="BD1824" s="65"/>
      <c r="BE1824" s="65"/>
      <c r="BF1824" s="65"/>
      <c r="BG1824" s="65"/>
      <c r="BH1824" s="65"/>
      <c r="BI1824" s="65"/>
      <c r="BJ1824" s="65"/>
      <c r="BK1824" s="65"/>
      <c r="BL1824" s="65"/>
      <c r="BM1824" s="65"/>
      <c r="BN1824" s="65"/>
      <c r="BO1824" s="65"/>
      <c r="BP1824" s="65"/>
      <c r="BQ1824" s="65"/>
      <c r="BR1824" s="65"/>
      <c r="BS1824" s="65"/>
      <c r="BT1824" s="65"/>
      <c r="BU1824" s="65"/>
      <c r="BV1824" s="65"/>
      <c r="BW1824" s="65"/>
      <c r="BX1824" s="65"/>
      <c r="BY1824" s="65"/>
      <c r="BZ1824" s="65"/>
      <c r="CA1824" s="65"/>
      <c r="CB1824" s="65"/>
      <c r="CC1824" s="65"/>
      <c r="CD1824" s="65"/>
      <c r="CE1824" s="65"/>
      <c r="CF1824" s="65"/>
      <c r="CG1824" s="65"/>
      <c r="CH1824" s="65"/>
      <c r="CI1824" s="65"/>
      <c r="CJ1824" s="65"/>
      <c r="CK1824" s="65"/>
      <c r="CL1824" s="65"/>
      <c r="CM1824" s="65"/>
      <c r="CN1824" s="65"/>
      <c r="CO1824" s="65"/>
      <c r="CP1824" s="65"/>
      <c r="CQ1824" s="65"/>
      <c r="CR1824" s="65"/>
      <c r="CS1824" s="65"/>
      <c r="CT1824" s="65"/>
      <c r="CU1824" s="65"/>
      <c r="CV1824" s="65"/>
      <c r="CW1824" s="65"/>
      <c r="CX1824" s="65"/>
      <c r="CY1824" s="65"/>
      <c r="CZ1824" s="65"/>
      <c r="DA1824" s="65"/>
      <c r="DB1824" s="65"/>
      <c r="DC1824" s="65"/>
      <c r="DD1824" s="65"/>
      <c r="DE1824" s="65"/>
      <c r="DF1824" s="65"/>
      <c r="DG1824" s="65"/>
      <c r="DH1824" s="65"/>
      <c r="DI1824" s="65"/>
    </row>
    <row r="1825" spans="2:113">
      <c r="B1825" s="181" t="s">
        <v>1345</v>
      </c>
      <c r="C1825" s="99"/>
      <c r="D1825" s="99"/>
      <c r="E1825" s="99"/>
      <c r="F1825" s="181"/>
      <c r="G1825" s="183">
        <f>$F$96/1000000*G139</f>
        <v>1.8000694549382797E-2</v>
      </c>
      <c r="H1825" s="183">
        <f>$F$96/1000000*H139</f>
        <v>0.4401577322628506</v>
      </c>
      <c r="I1825" s="184"/>
      <c r="J1825" s="1046"/>
      <c r="K1825" s="1046"/>
      <c r="L1825" s="1047"/>
      <c r="M1825" s="1048"/>
      <c r="O1825" s="65"/>
      <c r="P1825" s="65"/>
      <c r="Q1825" s="65"/>
      <c r="R1825" s="65"/>
      <c r="S1825" s="65"/>
      <c r="T1825" s="65"/>
      <c r="U1825" s="65"/>
      <c r="V1825" s="65"/>
      <c r="W1825" s="65"/>
      <c r="X1825" s="65"/>
      <c r="Y1825" s="65"/>
      <c r="Z1825" s="65"/>
      <c r="AA1825" s="65"/>
      <c r="AB1825" s="65"/>
      <c r="AC1825" s="65"/>
      <c r="AD1825" s="65"/>
      <c r="AE1825" s="65"/>
      <c r="AF1825" s="65"/>
      <c r="AG1825" s="65"/>
      <c r="AH1825" s="65"/>
      <c r="AI1825" s="65"/>
      <c r="AJ1825" s="65"/>
      <c r="AK1825" s="65"/>
      <c r="AL1825" s="65"/>
      <c r="AM1825" s="65"/>
      <c r="AN1825" s="65"/>
      <c r="AO1825" s="65"/>
      <c r="AP1825" s="65"/>
      <c r="AQ1825" s="65"/>
      <c r="AR1825" s="65"/>
      <c r="AS1825" s="65"/>
      <c r="AT1825" s="65"/>
      <c r="AU1825" s="65"/>
      <c r="AV1825" s="65"/>
      <c r="AW1825" s="65"/>
      <c r="AX1825" s="65"/>
      <c r="AY1825" s="65"/>
      <c r="AZ1825" s="65"/>
      <c r="BA1825" s="65"/>
      <c r="BB1825" s="65"/>
      <c r="BC1825" s="65"/>
      <c r="BD1825" s="65"/>
      <c r="BE1825" s="65"/>
      <c r="BF1825" s="65"/>
      <c r="BG1825" s="65"/>
      <c r="BH1825" s="65"/>
      <c r="BI1825" s="65"/>
      <c r="BJ1825" s="65"/>
      <c r="BK1825" s="65"/>
      <c r="BL1825" s="65"/>
      <c r="BM1825" s="65"/>
      <c r="BN1825" s="65"/>
      <c r="BO1825" s="65"/>
      <c r="BP1825" s="65"/>
      <c r="BQ1825" s="65"/>
      <c r="BR1825" s="65"/>
      <c r="BS1825" s="65"/>
      <c r="BT1825" s="65"/>
      <c r="BU1825" s="65"/>
      <c r="BV1825" s="65"/>
      <c r="BW1825" s="65"/>
      <c r="BX1825" s="65"/>
      <c r="BY1825" s="65"/>
      <c r="BZ1825" s="65"/>
      <c r="CA1825" s="65"/>
      <c r="CB1825" s="65"/>
      <c r="CC1825" s="65"/>
      <c r="CD1825" s="65"/>
      <c r="CE1825" s="65"/>
      <c r="CF1825" s="65"/>
      <c r="CG1825" s="65"/>
      <c r="CH1825" s="65"/>
      <c r="CI1825" s="65"/>
      <c r="CJ1825" s="65"/>
      <c r="CK1825" s="65"/>
      <c r="CL1825" s="65"/>
      <c r="CM1825" s="65"/>
      <c r="CN1825" s="65"/>
      <c r="CO1825" s="65"/>
      <c r="CP1825" s="65"/>
      <c r="CQ1825" s="65"/>
      <c r="CR1825" s="65"/>
      <c r="CS1825" s="65"/>
      <c r="CT1825" s="65"/>
      <c r="CU1825" s="65"/>
      <c r="CV1825" s="65"/>
      <c r="CW1825" s="65"/>
      <c r="CX1825" s="65"/>
      <c r="CY1825" s="65"/>
      <c r="CZ1825" s="65"/>
      <c r="DA1825" s="65"/>
      <c r="DB1825" s="65"/>
      <c r="DC1825" s="65"/>
      <c r="DD1825" s="65"/>
      <c r="DE1825" s="65"/>
      <c r="DF1825" s="65"/>
      <c r="DG1825" s="65"/>
      <c r="DH1825" s="65"/>
      <c r="DI1825" s="65"/>
    </row>
    <row r="1826" spans="2:113">
      <c r="B1826" s="181"/>
      <c r="C1826" s="99"/>
      <c r="D1826" s="165"/>
      <c r="E1826" s="99"/>
      <c r="F1826" s="181"/>
      <c r="G1826" s="183"/>
      <c r="H1826" s="183"/>
      <c r="I1826" s="184"/>
      <c r="J1826" s="1046"/>
      <c r="K1826" s="1046"/>
      <c r="L1826" s="1047"/>
      <c r="M1826" s="1048"/>
      <c r="O1826" s="65"/>
      <c r="P1826" s="65"/>
      <c r="Q1826" s="65"/>
      <c r="R1826" s="65"/>
      <c r="S1826" s="65"/>
      <c r="T1826" s="65"/>
      <c r="U1826" s="65"/>
      <c r="V1826" s="65"/>
      <c r="W1826" s="65"/>
      <c r="X1826" s="65"/>
      <c r="Y1826" s="65"/>
      <c r="Z1826" s="65"/>
      <c r="AA1826" s="65"/>
      <c r="AB1826" s="65"/>
      <c r="AC1826" s="65"/>
      <c r="AD1826" s="65"/>
      <c r="AE1826" s="65"/>
      <c r="AF1826" s="65"/>
      <c r="AG1826" s="65"/>
      <c r="AH1826" s="65"/>
      <c r="AI1826" s="65"/>
      <c r="AJ1826" s="65"/>
      <c r="AK1826" s="65"/>
      <c r="AL1826" s="65"/>
      <c r="AM1826" s="65"/>
      <c r="AN1826" s="65"/>
      <c r="AO1826" s="65"/>
      <c r="AP1826" s="65"/>
      <c r="AQ1826" s="65"/>
      <c r="AR1826" s="65"/>
      <c r="AS1826" s="65"/>
      <c r="AT1826" s="65"/>
      <c r="AU1826" s="65"/>
      <c r="AV1826" s="65"/>
      <c r="AW1826" s="65"/>
      <c r="AX1826" s="65"/>
      <c r="AY1826" s="65"/>
      <c r="AZ1826" s="65"/>
      <c r="BA1826" s="65"/>
      <c r="BB1826" s="65"/>
      <c r="BC1826" s="65"/>
      <c r="BD1826" s="65"/>
      <c r="BE1826" s="65"/>
      <c r="BF1826" s="65"/>
      <c r="BG1826" s="65"/>
      <c r="BH1826" s="65"/>
      <c r="BI1826" s="65"/>
      <c r="BJ1826" s="65"/>
      <c r="BK1826" s="65"/>
      <c r="BL1826" s="65"/>
      <c r="BM1826" s="65"/>
      <c r="BN1826" s="65"/>
      <c r="BO1826" s="65"/>
      <c r="BP1826" s="65"/>
      <c r="BQ1826" s="65"/>
      <c r="BR1826" s="65"/>
      <c r="BS1826" s="65"/>
      <c r="BT1826" s="65"/>
      <c r="BU1826" s="65"/>
      <c r="BV1826" s="65"/>
      <c r="BW1826" s="65"/>
      <c r="BX1826" s="65"/>
      <c r="BY1826" s="65"/>
      <c r="BZ1826" s="65"/>
      <c r="CA1826" s="65"/>
      <c r="CB1826" s="65"/>
      <c r="CC1826" s="65"/>
      <c r="CD1826" s="65"/>
      <c r="CE1826" s="65"/>
      <c r="CF1826" s="65"/>
      <c r="CG1826" s="65"/>
      <c r="CH1826" s="65"/>
      <c r="CI1826" s="65"/>
      <c r="CJ1826" s="65"/>
      <c r="CK1826" s="65"/>
      <c r="CL1826" s="65"/>
      <c r="CM1826" s="65"/>
      <c r="CN1826" s="65"/>
      <c r="CO1826" s="65"/>
      <c r="CP1826" s="65"/>
      <c r="CQ1826" s="65"/>
      <c r="CR1826" s="65"/>
      <c r="CS1826" s="65"/>
      <c r="CT1826" s="65"/>
      <c r="CU1826" s="65"/>
      <c r="CV1826" s="65"/>
      <c r="CW1826" s="65"/>
      <c r="CX1826" s="65"/>
      <c r="CY1826" s="65"/>
      <c r="CZ1826" s="65"/>
      <c r="DA1826" s="65"/>
      <c r="DB1826" s="65"/>
      <c r="DC1826" s="65"/>
      <c r="DD1826" s="65"/>
      <c r="DE1826" s="65"/>
      <c r="DF1826" s="65"/>
      <c r="DG1826" s="65"/>
      <c r="DH1826" s="65"/>
      <c r="DI1826" s="65"/>
    </row>
    <row r="1827" spans="2:113">
      <c r="B1827" s="1049" t="s">
        <v>1346</v>
      </c>
      <c r="C1827" s="157"/>
      <c r="D1827" s="1050"/>
      <c r="E1827" s="157"/>
      <c r="F1827" s="1051"/>
      <c r="G1827" s="1052"/>
      <c r="H1827" s="1052"/>
      <c r="I1827" s="1053"/>
      <c r="J1827" s="1054"/>
      <c r="K1827" s="1054"/>
      <c r="L1827" s="1055"/>
      <c r="M1827" s="1048"/>
      <c r="O1827" s="65"/>
      <c r="P1827" s="65"/>
      <c r="Q1827" s="65"/>
      <c r="R1827" s="65"/>
      <c r="S1827" s="65"/>
      <c r="T1827" s="65"/>
      <c r="U1827" s="65"/>
      <c r="V1827" s="65"/>
      <c r="W1827" s="65"/>
      <c r="X1827" s="65"/>
      <c r="Y1827" s="65"/>
      <c r="Z1827" s="65"/>
      <c r="AA1827" s="65"/>
      <c r="AB1827" s="65"/>
      <c r="AC1827" s="65"/>
      <c r="AD1827" s="65"/>
      <c r="AE1827" s="65"/>
      <c r="AF1827" s="65"/>
      <c r="AG1827" s="65"/>
      <c r="AH1827" s="65"/>
      <c r="AI1827" s="65"/>
      <c r="AJ1827" s="65"/>
      <c r="AK1827" s="65"/>
      <c r="AL1827" s="65"/>
      <c r="AM1827" s="65"/>
      <c r="AN1827" s="65"/>
      <c r="AO1827" s="65"/>
      <c r="AP1827" s="65"/>
      <c r="AQ1827" s="65"/>
      <c r="AR1827" s="65"/>
      <c r="AS1827" s="65"/>
      <c r="AT1827" s="65"/>
      <c r="AU1827" s="65"/>
      <c r="AV1827" s="65"/>
      <c r="AW1827" s="65"/>
      <c r="AX1827" s="65"/>
      <c r="AY1827" s="65"/>
      <c r="AZ1827" s="65"/>
      <c r="BA1827" s="65"/>
      <c r="BB1827" s="65"/>
      <c r="BC1827" s="65"/>
      <c r="BD1827" s="65"/>
      <c r="BE1827" s="65"/>
      <c r="BF1827" s="65"/>
      <c r="BG1827" s="65"/>
      <c r="BH1827" s="65"/>
      <c r="BI1827" s="65"/>
      <c r="BJ1827" s="65"/>
      <c r="BK1827" s="65"/>
      <c r="BL1827" s="65"/>
      <c r="BM1827" s="65"/>
      <c r="BN1827" s="65"/>
      <c r="BO1827" s="65"/>
      <c r="BP1827" s="65"/>
      <c r="BQ1827" s="65"/>
      <c r="BR1827" s="65"/>
      <c r="BS1827" s="65"/>
      <c r="BT1827" s="65"/>
      <c r="BU1827" s="65"/>
      <c r="BV1827" s="65"/>
      <c r="BW1827" s="65"/>
      <c r="BX1827" s="65"/>
      <c r="BY1827" s="65"/>
      <c r="BZ1827" s="65"/>
      <c r="CA1827" s="65"/>
      <c r="CB1827" s="65"/>
      <c r="CC1827" s="65"/>
      <c r="CD1827" s="65"/>
      <c r="CE1827" s="65"/>
      <c r="CF1827" s="65"/>
      <c r="CG1827" s="65"/>
      <c r="CH1827" s="65"/>
      <c r="CI1827" s="65"/>
      <c r="CJ1827" s="65"/>
      <c r="CK1827" s="65"/>
      <c r="CL1827" s="65"/>
      <c r="CM1827" s="65"/>
      <c r="CN1827" s="65"/>
      <c r="CO1827" s="65"/>
      <c r="CP1827" s="65"/>
      <c r="CQ1827" s="65"/>
      <c r="CR1827" s="65"/>
      <c r="CS1827" s="65"/>
      <c r="CT1827" s="65"/>
      <c r="CU1827" s="65"/>
      <c r="CV1827" s="65"/>
      <c r="CW1827" s="65"/>
      <c r="CX1827" s="65"/>
      <c r="CY1827" s="65"/>
      <c r="CZ1827" s="65"/>
      <c r="DA1827" s="65"/>
      <c r="DB1827" s="65"/>
      <c r="DC1827" s="65"/>
      <c r="DD1827" s="65"/>
      <c r="DE1827" s="65"/>
      <c r="DF1827" s="65"/>
      <c r="DG1827" s="65"/>
      <c r="DH1827" s="65"/>
      <c r="DI1827" s="65"/>
    </row>
    <row r="1828" spans="2:113">
      <c r="B1828" s="181" t="s">
        <v>1343</v>
      </c>
      <c r="C1828" s="99"/>
      <c r="D1828" s="99"/>
      <c r="E1828" s="183"/>
      <c r="F1828" s="181"/>
      <c r="G1828" s="1048">
        <f>(G1838+H1838-($G$1833+$H$1833+$H$1834)*(G1838+H1838)/(G1837+H1837))*$F$104/1000000*G1836</f>
        <v>79.239557760252865</v>
      </c>
      <c r="H1828" s="1048">
        <f>($G$1833+$H$1833+$H$1834)*(G1838+H1838)/(G1837+H1837)*$F$104/1000000</f>
        <v>59.082187109232528</v>
      </c>
      <c r="I1828" s="184"/>
      <c r="J1828" s="1046"/>
      <c r="K1828" s="1046">
        <f>$K$1833*(K138+L138)/1000000*$F$100/1000000</f>
        <v>0</v>
      </c>
      <c r="L1828" s="1047">
        <f>$L$1833*(K138+L138)/1000000*$F$100/1000000</f>
        <v>0</v>
      </c>
      <c r="M1828" s="1048"/>
      <c r="O1828" s="65"/>
      <c r="P1828" s="65"/>
      <c r="Q1828" s="65"/>
      <c r="R1828" s="65"/>
      <c r="S1828" s="65"/>
      <c r="T1828" s="65"/>
      <c r="U1828" s="65"/>
      <c r="V1828" s="65"/>
      <c r="W1828" s="65"/>
      <c r="X1828" s="65"/>
      <c r="Y1828" s="65"/>
      <c r="Z1828" s="65"/>
      <c r="AA1828" s="65"/>
      <c r="AB1828" s="65"/>
      <c r="AC1828" s="65"/>
      <c r="AD1828" s="65"/>
      <c r="AE1828" s="65"/>
      <c r="AF1828" s="65"/>
      <c r="AG1828" s="65"/>
      <c r="AH1828" s="65"/>
      <c r="AI1828" s="65"/>
      <c r="AJ1828" s="65"/>
      <c r="AK1828" s="65"/>
      <c r="AL1828" s="65"/>
      <c r="AM1828" s="65"/>
      <c r="AN1828" s="65"/>
      <c r="AO1828" s="65"/>
      <c r="AP1828" s="65"/>
      <c r="AQ1828" s="65"/>
      <c r="AR1828" s="65"/>
      <c r="AS1828" s="65"/>
      <c r="AT1828" s="65"/>
      <c r="AU1828" s="65"/>
      <c r="AV1828" s="65"/>
      <c r="AW1828" s="65"/>
      <c r="AX1828" s="65"/>
      <c r="AY1828" s="65"/>
      <c r="AZ1828" s="65"/>
      <c r="BA1828" s="65"/>
      <c r="BB1828" s="65"/>
      <c r="BC1828" s="65"/>
      <c r="BD1828" s="65"/>
      <c r="BE1828" s="65"/>
      <c r="BF1828" s="65"/>
      <c r="BG1828" s="65"/>
      <c r="BH1828" s="65"/>
      <c r="BI1828" s="65"/>
      <c r="BJ1828" s="65"/>
      <c r="BK1828" s="65"/>
      <c r="BL1828" s="65"/>
      <c r="BM1828" s="65"/>
      <c r="BN1828" s="65"/>
      <c r="BO1828" s="65"/>
      <c r="BP1828" s="65"/>
      <c r="BQ1828" s="65"/>
      <c r="BR1828" s="65"/>
      <c r="BS1828" s="65"/>
      <c r="BT1828" s="65"/>
      <c r="BU1828" s="65"/>
      <c r="BV1828" s="65"/>
      <c r="BW1828" s="65"/>
      <c r="BX1828" s="65"/>
      <c r="BY1828" s="65"/>
      <c r="BZ1828" s="65"/>
      <c r="CA1828" s="65"/>
      <c r="CB1828" s="65"/>
      <c r="CC1828" s="65"/>
      <c r="CD1828" s="65"/>
      <c r="CE1828" s="65"/>
      <c r="CF1828" s="65"/>
      <c r="CG1828" s="65"/>
      <c r="CH1828" s="65"/>
      <c r="CI1828" s="65"/>
      <c r="CJ1828" s="65"/>
      <c r="CK1828" s="65"/>
      <c r="CL1828" s="65"/>
      <c r="CM1828" s="65"/>
      <c r="CN1828" s="65"/>
      <c r="CO1828" s="65"/>
      <c r="CP1828" s="65"/>
      <c r="CQ1828" s="65"/>
      <c r="CR1828" s="65"/>
      <c r="CS1828" s="65"/>
      <c r="CT1828" s="65"/>
      <c r="CU1828" s="65"/>
      <c r="CV1828" s="65"/>
      <c r="CW1828" s="65"/>
      <c r="CX1828" s="65"/>
      <c r="CY1828" s="65"/>
      <c r="CZ1828" s="65"/>
      <c r="DA1828" s="65"/>
      <c r="DB1828" s="65"/>
      <c r="DC1828" s="65"/>
      <c r="DD1828" s="65"/>
      <c r="DE1828" s="65"/>
      <c r="DF1828" s="65"/>
      <c r="DG1828" s="65"/>
      <c r="DH1828" s="65"/>
      <c r="DI1828" s="65"/>
    </row>
    <row r="1829" spans="2:113">
      <c r="B1829" s="181" t="s">
        <v>1344</v>
      </c>
      <c r="C1829" s="99"/>
      <c r="D1829" s="99"/>
      <c r="E1829" s="99"/>
      <c r="F1829" s="181"/>
      <c r="G1829" s="1048">
        <f>($G$1833)*(G152+H152)/1000000*$F$104/1000000*G1836</f>
        <v>506.85769310524944</v>
      </c>
      <c r="H1829" s="1048">
        <f>($H$1833)*(G152+H152)/1000000*$F$104/1000000*G1836</f>
        <v>37.602449996042118</v>
      </c>
      <c r="I1829" s="184"/>
      <c r="J1829" s="1046"/>
      <c r="K1829" s="1046">
        <f>$K$1833*(K152+L152)/1000000*$F$100/1000000</f>
        <v>0</v>
      </c>
      <c r="L1829" s="1047">
        <f>$L$1833*(K152+L152)/1000000*$F$100/1000000</f>
        <v>0</v>
      </c>
      <c r="M1829" s="1048"/>
      <c r="O1829" s="65"/>
      <c r="P1829" s="65"/>
      <c r="Q1829" s="65"/>
      <c r="R1829" s="65"/>
      <c r="S1829" s="65"/>
      <c r="T1829" s="65"/>
      <c r="U1829" s="65"/>
      <c r="V1829" s="65"/>
      <c r="W1829" s="65"/>
      <c r="X1829" s="65"/>
      <c r="Y1829" s="65"/>
      <c r="Z1829" s="65"/>
      <c r="AA1829" s="65"/>
      <c r="AB1829" s="65"/>
      <c r="AC1829" s="65"/>
      <c r="AD1829" s="65"/>
      <c r="AE1829" s="65"/>
      <c r="AF1829" s="65"/>
      <c r="AG1829" s="65"/>
      <c r="AH1829" s="65"/>
      <c r="AI1829" s="65"/>
      <c r="AJ1829" s="65"/>
      <c r="AK1829" s="65"/>
      <c r="AL1829" s="65"/>
      <c r="AM1829" s="65"/>
      <c r="AN1829" s="65"/>
      <c r="AO1829" s="65"/>
      <c r="AP1829" s="65"/>
      <c r="AQ1829" s="65"/>
      <c r="AR1829" s="65"/>
      <c r="AS1829" s="65"/>
      <c r="AT1829" s="65"/>
      <c r="AU1829" s="65"/>
      <c r="AV1829" s="65"/>
      <c r="AW1829" s="65"/>
      <c r="AX1829" s="65"/>
      <c r="AY1829" s="65"/>
      <c r="AZ1829" s="65"/>
      <c r="BA1829" s="65"/>
      <c r="BB1829" s="65"/>
      <c r="BC1829" s="65"/>
      <c r="BD1829" s="65"/>
      <c r="BE1829" s="65"/>
      <c r="BF1829" s="65"/>
      <c r="BG1829" s="65"/>
      <c r="BH1829" s="65"/>
      <c r="BI1829" s="65"/>
      <c r="BJ1829" s="65"/>
      <c r="BK1829" s="65"/>
      <c r="BL1829" s="65"/>
      <c r="BM1829" s="65"/>
      <c r="BN1829" s="65"/>
      <c r="BO1829" s="65"/>
      <c r="BP1829" s="65"/>
      <c r="BQ1829" s="65"/>
      <c r="BR1829" s="65"/>
      <c r="BS1829" s="65"/>
      <c r="BT1829" s="65"/>
      <c r="BU1829" s="65"/>
      <c r="BV1829" s="65"/>
      <c r="BW1829" s="65"/>
      <c r="BX1829" s="65"/>
      <c r="BY1829" s="65"/>
      <c r="BZ1829" s="65"/>
      <c r="CA1829" s="65"/>
      <c r="CB1829" s="65"/>
      <c r="CC1829" s="65"/>
      <c r="CD1829" s="65"/>
      <c r="CE1829" s="65"/>
      <c r="CF1829" s="65"/>
      <c r="CG1829" s="65"/>
      <c r="CH1829" s="65"/>
      <c r="CI1829" s="65"/>
      <c r="CJ1829" s="65"/>
      <c r="CK1829" s="65"/>
      <c r="CL1829" s="65"/>
      <c r="CM1829" s="65"/>
      <c r="CN1829" s="65"/>
      <c r="CO1829" s="65"/>
      <c r="CP1829" s="65"/>
      <c r="CQ1829" s="65"/>
      <c r="CR1829" s="65"/>
      <c r="CS1829" s="65"/>
      <c r="CT1829" s="65"/>
      <c r="CU1829" s="65"/>
      <c r="CV1829" s="65"/>
      <c r="CW1829" s="65"/>
      <c r="CX1829" s="65"/>
      <c r="CY1829" s="65"/>
      <c r="CZ1829" s="65"/>
      <c r="DA1829" s="65"/>
      <c r="DB1829" s="65"/>
      <c r="DC1829" s="65"/>
      <c r="DD1829" s="65"/>
      <c r="DE1829" s="65"/>
      <c r="DF1829" s="65"/>
      <c r="DG1829" s="65"/>
      <c r="DH1829" s="65"/>
      <c r="DI1829" s="65"/>
    </row>
    <row r="1830" spans="2:113">
      <c r="B1830" s="181" t="s">
        <v>1345</v>
      </c>
      <c r="C1830" s="99"/>
      <c r="D1830" s="99"/>
      <c r="E1830" s="99"/>
      <c r="F1830" s="181"/>
      <c r="G1830" s="1048">
        <f>(G1839+H1839-($G$1833+$H$1833+$H$1834)*(G1839+H1839)/(G1837+H1837))*$F$104/1000000*G1836</f>
        <v>0.6734775005823852</v>
      </c>
      <c r="H1830" s="1048">
        <f>($G$1833+$H$1833+$H$1834)*(G1839+H1839)/(G1837+H1837)*$F$104/1000000*G1836</f>
        <v>0.50215479273189423</v>
      </c>
      <c r="I1830" s="184"/>
      <c r="J1830" s="1046"/>
      <c r="K1830" s="1046"/>
      <c r="L1830" s="1047"/>
      <c r="M1830" s="1048"/>
      <c r="O1830" s="65"/>
      <c r="P1830" s="65"/>
      <c r="Q1830" s="65"/>
      <c r="R1830" s="65"/>
      <c r="S1830" s="65"/>
      <c r="T1830" s="65"/>
      <c r="U1830" s="65"/>
      <c r="V1830" s="65"/>
      <c r="W1830" s="65"/>
      <c r="X1830" s="65"/>
      <c r="Y1830" s="65"/>
      <c r="Z1830" s="65"/>
      <c r="AA1830" s="65"/>
      <c r="AB1830" s="65"/>
      <c r="AC1830" s="65"/>
      <c r="AD1830" s="65"/>
      <c r="AE1830" s="65"/>
      <c r="AF1830" s="65"/>
      <c r="AG1830" s="65"/>
      <c r="AH1830" s="65"/>
      <c r="AI1830" s="65"/>
      <c r="AJ1830" s="65"/>
      <c r="AK1830" s="65"/>
      <c r="AL1830" s="65"/>
      <c r="AM1830" s="65"/>
      <c r="AN1830" s="65"/>
      <c r="AO1830" s="65"/>
      <c r="AP1830" s="65"/>
      <c r="AQ1830" s="65"/>
      <c r="AR1830" s="65"/>
      <c r="AS1830" s="65"/>
      <c r="AT1830" s="65"/>
      <c r="AU1830" s="65"/>
      <c r="AV1830" s="65"/>
      <c r="AW1830" s="65"/>
      <c r="AX1830" s="65"/>
      <c r="AY1830" s="65"/>
      <c r="AZ1830" s="65"/>
      <c r="BA1830" s="65"/>
      <c r="BB1830" s="65"/>
      <c r="BC1830" s="65"/>
      <c r="BD1830" s="65"/>
      <c r="BE1830" s="65"/>
      <c r="BF1830" s="65"/>
      <c r="BG1830" s="65"/>
      <c r="BH1830" s="65"/>
      <c r="BI1830" s="65"/>
      <c r="BJ1830" s="65"/>
      <c r="BK1830" s="65"/>
      <c r="BL1830" s="65"/>
      <c r="BM1830" s="65"/>
      <c r="BN1830" s="65"/>
      <c r="BO1830" s="65"/>
      <c r="BP1830" s="65"/>
      <c r="BQ1830" s="65"/>
      <c r="BR1830" s="65"/>
      <c r="BS1830" s="65"/>
      <c r="BT1830" s="65"/>
      <c r="BU1830" s="65"/>
      <c r="BV1830" s="65"/>
      <c r="BW1830" s="65"/>
      <c r="BX1830" s="65"/>
      <c r="BY1830" s="65"/>
      <c r="BZ1830" s="65"/>
      <c r="CA1830" s="65"/>
      <c r="CB1830" s="65"/>
      <c r="CC1830" s="65"/>
      <c r="CD1830" s="65"/>
      <c r="CE1830" s="65"/>
      <c r="CF1830" s="65"/>
      <c r="CG1830" s="65"/>
      <c r="CH1830" s="65"/>
      <c r="CI1830" s="65"/>
      <c r="CJ1830" s="65"/>
      <c r="CK1830" s="65"/>
      <c r="CL1830" s="65"/>
      <c r="CM1830" s="65"/>
      <c r="CN1830" s="65"/>
      <c r="CO1830" s="65"/>
      <c r="CP1830" s="65"/>
      <c r="CQ1830" s="65"/>
      <c r="CR1830" s="65"/>
      <c r="CS1830" s="65"/>
      <c r="CT1830" s="65"/>
      <c r="CU1830" s="65"/>
      <c r="CV1830" s="65"/>
      <c r="CW1830" s="65"/>
      <c r="CX1830" s="65"/>
      <c r="CY1830" s="65"/>
      <c r="CZ1830" s="65"/>
      <c r="DA1830" s="65"/>
      <c r="DB1830" s="65"/>
      <c r="DC1830" s="65"/>
      <c r="DD1830" s="65"/>
      <c r="DE1830" s="65"/>
      <c r="DF1830" s="65"/>
      <c r="DG1830" s="65"/>
      <c r="DH1830" s="65"/>
      <c r="DI1830" s="65"/>
    </row>
    <row r="1831" spans="2:113">
      <c r="B1831" s="181"/>
      <c r="C1831" s="99"/>
      <c r="D1831" s="99"/>
      <c r="E1831" s="99"/>
      <c r="F1831" s="181"/>
      <c r="G1831" s="1048"/>
      <c r="H1831" s="1048"/>
      <c r="I1831" s="184"/>
      <c r="J1831" s="1046"/>
      <c r="K1831" s="1046"/>
      <c r="L1831" s="1047"/>
      <c r="M1831" s="1048"/>
      <c r="O1831" s="65"/>
      <c r="P1831" s="65"/>
      <c r="Q1831" s="65"/>
      <c r="R1831" s="65"/>
      <c r="S1831" s="65"/>
      <c r="T1831" s="65"/>
      <c r="U1831" s="65"/>
      <c r="V1831" s="65"/>
      <c r="W1831" s="65"/>
      <c r="X1831" s="65"/>
      <c r="Y1831" s="65"/>
      <c r="Z1831" s="65"/>
      <c r="AA1831" s="65"/>
      <c r="AB1831" s="65"/>
      <c r="AC1831" s="65"/>
      <c r="AD1831" s="65"/>
      <c r="AE1831" s="65"/>
      <c r="AF1831" s="65"/>
      <c r="AG1831" s="65"/>
      <c r="AH1831" s="65"/>
      <c r="AI1831" s="65"/>
      <c r="AJ1831" s="65"/>
      <c r="AK1831" s="65"/>
      <c r="AL1831" s="65"/>
      <c r="AM1831" s="65"/>
      <c r="AN1831" s="65"/>
      <c r="AO1831" s="65"/>
      <c r="AP1831" s="65"/>
      <c r="AQ1831" s="65"/>
      <c r="AR1831" s="65"/>
      <c r="AS1831" s="65"/>
      <c r="AT1831" s="65"/>
      <c r="AU1831" s="65"/>
      <c r="AV1831" s="65"/>
      <c r="AW1831" s="65"/>
      <c r="AX1831" s="65"/>
      <c r="AY1831" s="65"/>
      <c r="AZ1831" s="65"/>
      <c r="BA1831" s="65"/>
      <c r="BB1831" s="65"/>
      <c r="BC1831" s="65"/>
      <c r="BD1831" s="65"/>
      <c r="BE1831" s="65"/>
      <c r="BF1831" s="65"/>
      <c r="BG1831" s="65"/>
      <c r="BH1831" s="65"/>
      <c r="BI1831" s="65"/>
      <c r="BJ1831" s="65"/>
      <c r="BK1831" s="65"/>
      <c r="BL1831" s="65"/>
      <c r="BM1831" s="65"/>
      <c r="BN1831" s="65"/>
      <c r="BO1831" s="65"/>
      <c r="BP1831" s="65"/>
      <c r="BQ1831" s="65"/>
      <c r="BR1831" s="65"/>
      <c r="BS1831" s="65"/>
      <c r="BT1831" s="65"/>
      <c r="BU1831" s="65"/>
      <c r="BV1831" s="65"/>
      <c r="BW1831" s="65"/>
      <c r="BX1831" s="65"/>
      <c r="BY1831" s="65"/>
      <c r="BZ1831" s="65"/>
      <c r="CA1831" s="65"/>
      <c r="CB1831" s="65"/>
      <c r="CC1831" s="65"/>
      <c r="CD1831" s="65"/>
      <c r="CE1831" s="65"/>
      <c r="CF1831" s="65"/>
      <c r="CG1831" s="65"/>
      <c r="CH1831" s="65"/>
      <c r="CI1831" s="65"/>
      <c r="CJ1831" s="65"/>
      <c r="CK1831" s="65"/>
      <c r="CL1831" s="65"/>
      <c r="CM1831" s="65"/>
      <c r="CN1831" s="65"/>
      <c r="CO1831" s="65"/>
      <c r="CP1831" s="65"/>
      <c r="CQ1831" s="65"/>
      <c r="CR1831" s="65"/>
      <c r="CS1831" s="65"/>
      <c r="CT1831" s="65"/>
      <c r="CU1831" s="65"/>
      <c r="CV1831" s="65"/>
      <c r="CW1831" s="65"/>
      <c r="CX1831" s="65"/>
      <c r="CY1831" s="65"/>
      <c r="CZ1831" s="65"/>
      <c r="DA1831" s="65"/>
      <c r="DB1831" s="65"/>
      <c r="DC1831" s="65"/>
      <c r="DD1831" s="65"/>
      <c r="DE1831" s="65"/>
      <c r="DF1831" s="65"/>
      <c r="DG1831" s="65"/>
      <c r="DH1831" s="65"/>
      <c r="DI1831" s="65"/>
    </row>
    <row r="1832" spans="2:113">
      <c r="B1832" s="181"/>
      <c r="C1832" s="99"/>
      <c r="D1832" s="99"/>
      <c r="E1832" s="99"/>
      <c r="F1832" s="1056"/>
      <c r="G1832" s="1057" t="s">
        <v>1347</v>
      </c>
      <c r="H1832" s="890" t="s">
        <v>1348</v>
      </c>
      <c r="I1832" s="184"/>
      <c r="J1832" s="215"/>
      <c r="K1832" s="1058" t="s">
        <v>1347</v>
      </c>
      <c r="L1832" s="1059" t="s">
        <v>1348</v>
      </c>
      <c r="M1832" s="1048"/>
      <c r="O1832" s="65"/>
      <c r="P1832" s="65"/>
      <c r="Q1832" s="65"/>
      <c r="R1832" s="65"/>
      <c r="S1832" s="65"/>
      <c r="T1832" s="65"/>
      <c r="U1832" s="65"/>
      <c r="V1832" s="65"/>
      <c r="W1832" s="65"/>
      <c r="X1832" s="65"/>
      <c r="Y1832" s="65"/>
      <c r="Z1832" s="65"/>
      <c r="AA1832" s="65"/>
      <c r="AB1832" s="65"/>
      <c r="AC1832" s="65"/>
      <c r="AD1832" s="65"/>
      <c r="AE1832" s="65"/>
      <c r="AF1832" s="65"/>
      <c r="AG1832" s="65"/>
      <c r="AH1832" s="65"/>
      <c r="AI1832" s="65"/>
      <c r="AJ1832" s="65"/>
      <c r="AK1832" s="65"/>
      <c r="AL1832" s="65"/>
      <c r="AM1832" s="65"/>
      <c r="AN1832" s="65"/>
      <c r="AO1832" s="65"/>
      <c r="AP1832" s="65"/>
      <c r="AQ1832" s="65"/>
      <c r="AR1832" s="65"/>
      <c r="AS1832" s="65"/>
      <c r="AT1832" s="65"/>
      <c r="AU1832" s="65"/>
      <c r="AV1832" s="65"/>
      <c r="AW1832" s="65"/>
      <c r="AX1832" s="65"/>
      <c r="AY1832" s="65"/>
      <c r="AZ1832" s="65"/>
      <c r="BA1832" s="65"/>
      <c r="BB1832" s="65"/>
      <c r="BC1832" s="65"/>
      <c r="BD1832" s="65"/>
      <c r="BE1832" s="65"/>
      <c r="BF1832" s="65"/>
      <c r="BG1832" s="65"/>
      <c r="BH1832" s="65"/>
      <c r="BI1832" s="65"/>
      <c r="BJ1832" s="65"/>
      <c r="BK1832" s="65"/>
      <c r="BL1832" s="65"/>
      <c r="BM1832" s="65"/>
      <c r="BN1832" s="65"/>
      <c r="BO1832" s="65"/>
      <c r="BP1832" s="65"/>
      <c r="BQ1832" s="65"/>
      <c r="BR1832" s="65"/>
      <c r="BS1832" s="65"/>
      <c r="BT1832" s="65"/>
      <c r="BU1832" s="65"/>
      <c r="BV1832" s="65"/>
      <c r="BW1832" s="65"/>
      <c r="BX1832" s="65"/>
      <c r="BY1832" s="65"/>
      <c r="BZ1832" s="65"/>
      <c r="CA1832" s="65"/>
      <c r="CB1832" s="65"/>
      <c r="CC1832" s="65"/>
      <c r="CD1832" s="65"/>
      <c r="CE1832" s="65"/>
      <c r="CF1832" s="65"/>
      <c r="CG1832" s="65"/>
      <c r="CH1832" s="65"/>
      <c r="CI1832" s="65"/>
      <c r="CJ1832" s="65"/>
      <c r="CK1832" s="65"/>
      <c r="CL1832" s="65"/>
      <c r="CM1832" s="65"/>
      <c r="CN1832" s="65"/>
      <c r="CO1832" s="65"/>
      <c r="CP1832" s="65"/>
      <c r="CQ1832" s="65"/>
      <c r="CR1832" s="65"/>
      <c r="CS1832" s="65"/>
      <c r="CT1832" s="65"/>
      <c r="CU1832" s="65"/>
      <c r="CV1832" s="65"/>
      <c r="CW1832" s="65"/>
      <c r="CX1832" s="65"/>
      <c r="CY1832" s="65"/>
      <c r="CZ1832" s="65"/>
      <c r="DA1832" s="65"/>
      <c r="DB1832" s="65"/>
      <c r="DC1832" s="65"/>
      <c r="DD1832" s="65"/>
      <c r="DE1832" s="65"/>
      <c r="DF1832" s="65"/>
      <c r="DG1832" s="65"/>
      <c r="DH1832" s="65"/>
      <c r="DI1832" s="65"/>
    </row>
    <row r="1833" spans="2:113">
      <c r="B1833" s="181"/>
      <c r="C1833" s="99"/>
      <c r="D1833" s="99"/>
      <c r="E1833" s="99"/>
      <c r="F1833" s="1060" t="s">
        <v>1349</v>
      </c>
      <c r="G1833" s="85">
        <v>1377410.4683195595</v>
      </c>
      <c r="H1833" s="85">
        <v>102186.48935107733</v>
      </c>
      <c r="I1833" s="184"/>
      <c r="J1833" s="215" t="s">
        <v>1349</v>
      </c>
      <c r="K1833" s="97">
        <f>G1833</f>
        <v>1377410.4683195595</v>
      </c>
      <c r="L1833" s="1061">
        <f>H1833</f>
        <v>102186.48935107733</v>
      </c>
      <c r="M1833" s="1048"/>
      <c r="O1833" s="65"/>
      <c r="P1833" s="65"/>
      <c r="Q1833" s="65"/>
      <c r="R1833" s="65"/>
      <c r="S1833" s="65"/>
      <c r="T1833" s="65"/>
      <c r="U1833" s="65"/>
      <c r="V1833" s="65"/>
      <c r="W1833" s="65"/>
      <c r="X1833" s="65"/>
      <c r="Y1833" s="65"/>
      <c r="Z1833" s="65"/>
      <c r="AA1833" s="65"/>
      <c r="AB1833" s="65"/>
      <c r="AC1833" s="65"/>
      <c r="AD1833" s="65"/>
      <c r="AE1833" s="65"/>
      <c r="AF1833" s="65"/>
      <c r="AG1833" s="65"/>
      <c r="AH1833" s="65"/>
      <c r="AI1833" s="65"/>
      <c r="AJ1833" s="65"/>
      <c r="AK1833" s="65"/>
      <c r="AL1833" s="65"/>
      <c r="AM1833" s="65"/>
      <c r="AN1833" s="65"/>
      <c r="AO1833" s="65"/>
      <c r="AP1833" s="65"/>
      <c r="AQ1833" s="65"/>
      <c r="AR1833" s="65"/>
      <c r="AS1833" s="65"/>
      <c r="AT1833" s="65"/>
      <c r="AU1833" s="65"/>
      <c r="AV1833" s="65"/>
      <c r="AW1833" s="65"/>
      <c r="AX1833" s="65"/>
      <c r="AY1833" s="65"/>
      <c r="AZ1833" s="65"/>
      <c r="BA1833" s="65"/>
      <c r="BB1833" s="65"/>
      <c r="BC1833" s="65"/>
      <c r="BD1833" s="65"/>
      <c r="BE1833" s="65"/>
      <c r="BF1833" s="65"/>
      <c r="BG1833" s="65"/>
      <c r="BH1833" s="65"/>
      <c r="BI1833" s="65"/>
      <c r="BJ1833" s="65"/>
      <c r="BK1833" s="65"/>
      <c r="BL1833" s="65"/>
      <c r="BM1833" s="65"/>
      <c r="BN1833" s="65"/>
      <c r="BO1833" s="65"/>
      <c r="BP1833" s="65"/>
      <c r="BQ1833" s="65"/>
      <c r="BR1833" s="65"/>
      <c r="BS1833" s="65"/>
      <c r="BT1833" s="65"/>
      <c r="BU1833" s="65"/>
      <c r="BV1833" s="65"/>
      <c r="BW1833" s="65"/>
      <c r="BX1833" s="65"/>
      <c r="BY1833" s="65"/>
      <c r="BZ1833" s="65"/>
      <c r="CA1833" s="65"/>
      <c r="CB1833" s="65"/>
      <c r="CC1833" s="65"/>
      <c r="CD1833" s="65"/>
      <c r="CE1833" s="65"/>
      <c r="CF1833" s="65"/>
      <c r="CG1833" s="65"/>
      <c r="CH1833" s="65"/>
      <c r="CI1833" s="65"/>
      <c r="CJ1833" s="65"/>
      <c r="CK1833" s="65"/>
      <c r="CL1833" s="65"/>
      <c r="CM1833" s="65"/>
      <c r="CN1833" s="65"/>
      <c r="CO1833" s="65"/>
      <c r="CP1833" s="65"/>
      <c r="CQ1833" s="65"/>
      <c r="CR1833" s="65"/>
      <c r="CS1833" s="65"/>
      <c r="CT1833" s="65"/>
      <c r="CU1833" s="65"/>
      <c r="CV1833" s="65"/>
      <c r="CW1833" s="65"/>
      <c r="CX1833" s="65"/>
      <c r="CY1833" s="65"/>
      <c r="CZ1833" s="65"/>
      <c r="DA1833" s="65"/>
      <c r="DB1833" s="65"/>
      <c r="DC1833" s="65"/>
      <c r="DD1833" s="65"/>
      <c r="DE1833" s="65"/>
      <c r="DF1833" s="65"/>
      <c r="DG1833" s="65"/>
      <c r="DH1833" s="65"/>
      <c r="DI1833" s="65"/>
    </row>
    <row r="1834" spans="2:113">
      <c r="B1834" s="181"/>
      <c r="C1834" s="99"/>
      <c r="D1834" s="99"/>
      <c r="E1834" s="99"/>
      <c r="F1834" s="1062" t="s">
        <v>1350</v>
      </c>
      <c r="G1834" s="132"/>
      <c r="H1834" s="85"/>
      <c r="I1834" s="184"/>
      <c r="J1834" s="215"/>
      <c r="K1834" s="97"/>
      <c r="L1834" s="1061"/>
      <c r="M1834" s="1048"/>
      <c r="O1834" s="65"/>
      <c r="P1834" s="65"/>
      <c r="Q1834" s="65"/>
      <c r="R1834" s="65"/>
      <c r="S1834" s="65"/>
      <c r="T1834" s="65"/>
      <c r="U1834" s="65"/>
      <c r="V1834" s="65"/>
      <c r="W1834" s="65"/>
      <c r="X1834" s="65"/>
      <c r="Y1834" s="65"/>
      <c r="Z1834" s="65"/>
      <c r="AA1834" s="65"/>
      <c r="AB1834" s="65"/>
      <c r="AC1834" s="65"/>
      <c r="AD1834" s="65"/>
      <c r="AE1834" s="65"/>
      <c r="AF1834" s="65"/>
      <c r="AG1834" s="65"/>
      <c r="AH1834" s="65"/>
      <c r="AI1834" s="65"/>
      <c r="AJ1834" s="65"/>
      <c r="AK1834" s="65"/>
      <c r="AL1834" s="65"/>
      <c r="AM1834" s="65"/>
      <c r="AN1834" s="65"/>
      <c r="AO1834" s="65"/>
      <c r="AP1834" s="65"/>
      <c r="AQ1834" s="65"/>
      <c r="AR1834" s="65"/>
      <c r="AS1834" s="65"/>
      <c r="AT1834" s="65"/>
      <c r="AU1834" s="65"/>
      <c r="AV1834" s="65"/>
      <c r="AW1834" s="65"/>
      <c r="AX1834" s="65"/>
      <c r="AY1834" s="65"/>
      <c r="AZ1834" s="65"/>
      <c r="BA1834" s="65"/>
      <c r="BB1834" s="65"/>
      <c r="BC1834" s="65"/>
      <c r="BD1834" s="65"/>
      <c r="BE1834" s="65"/>
      <c r="BF1834" s="65"/>
      <c r="BG1834" s="65"/>
      <c r="BH1834" s="65"/>
      <c r="BI1834" s="65"/>
      <c r="BJ1834" s="65"/>
      <c r="BK1834" s="65"/>
      <c r="BL1834" s="65"/>
      <c r="BM1834" s="65"/>
      <c r="BN1834" s="65"/>
      <c r="BO1834" s="65"/>
      <c r="BP1834" s="65"/>
      <c r="BQ1834" s="65"/>
      <c r="BR1834" s="65"/>
      <c r="BS1834" s="65"/>
      <c r="BT1834" s="65"/>
      <c r="BU1834" s="65"/>
      <c r="BV1834" s="65"/>
      <c r="BW1834" s="65"/>
      <c r="BX1834" s="65"/>
      <c r="BY1834" s="65"/>
      <c r="BZ1834" s="65"/>
      <c r="CA1834" s="65"/>
      <c r="CB1834" s="65"/>
      <c r="CC1834" s="65"/>
      <c r="CD1834" s="65"/>
      <c r="CE1834" s="65"/>
      <c r="CF1834" s="65"/>
      <c r="CG1834" s="65"/>
      <c r="CH1834" s="65"/>
      <c r="CI1834" s="65"/>
      <c r="CJ1834" s="65"/>
      <c r="CK1834" s="65"/>
      <c r="CL1834" s="65"/>
      <c r="CM1834" s="65"/>
      <c r="CN1834" s="65"/>
      <c r="CO1834" s="65"/>
      <c r="CP1834" s="65"/>
      <c r="CQ1834" s="65"/>
      <c r="CR1834" s="65"/>
      <c r="CS1834" s="65"/>
      <c r="CT1834" s="65"/>
      <c r="CU1834" s="65"/>
      <c r="CV1834" s="65"/>
      <c r="CW1834" s="65"/>
      <c r="CX1834" s="65"/>
      <c r="CY1834" s="65"/>
      <c r="CZ1834" s="65"/>
      <c r="DA1834" s="65"/>
      <c r="DB1834" s="65"/>
      <c r="DC1834" s="65"/>
      <c r="DD1834" s="65"/>
      <c r="DE1834" s="65"/>
      <c r="DF1834" s="65"/>
      <c r="DG1834" s="65"/>
      <c r="DH1834" s="65"/>
      <c r="DI1834" s="65"/>
    </row>
    <row r="1835" spans="2:113">
      <c r="B1835" s="181"/>
      <c r="C1835" s="99"/>
      <c r="D1835" s="99"/>
      <c r="E1835" s="99"/>
      <c r="F1835" s="1060" t="s">
        <v>1351</v>
      </c>
      <c r="G1835" s="85">
        <v>70.2</v>
      </c>
      <c r="H1835" s="1048"/>
      <c r="I1835" s="184"/>
      <c r="J1835" s="1046"/>
      <c r="K1835" s="1046"/>
      <c r="L1835" s="1047"/>
      <c r="M1835" s="1048"/>
      <c r="O1835" s="65"/>
      <c r="P1835" s="65"/>
      <c r="Q1835" s="65"/>
      <c r="R1835" s="65"/>
      <c r="S1835" s="65"/>
      <c r="T1835" s="65"/>
      <c r="U1835" s="65"/>
      <c r="V1835" s="65"/>
      <c r="W1835" s="65"/>
      <c r="X1835" s="65"/>
      <c r="Y1835" s="65"/>
      <c r="Z1835" s="65"/>
      <c r="AA1835" s="65"/>
      <c r="AB1835" s="65"/>
      <c r="AC1835" s="65"/>
      <c r="AD1835" s="65"/>
      <c r="AE1835" s="65"/>
      <c r="AF1835" s="65"/>
      <c r="AG1835" s="65"/>
      <c r="AH1835" s="65"/>
      <c r="AI1835" s="65"/>
      <c r="AJ1835" s="65"/>
      <c r="AK1835" s="65"/>
      <c r="AL1835" s="65"/>
      <c r="AM1835" s="65"/>
      <c r="AN1835" s="65"/>
      <c r="AO1835" s="65"/>
      <c r="AP1835" s="65"/>
      <c r="AQ1835" s="65"/>
      <c r="AR1835" s="65"/>
      <c r="AS1835" s="65"/>
      <c r="AT1835" s="65"/>
      <c r="AU1835" s="65"/>
      <c r="AV1835" s="65"/>
      <c r="AW1835" s="65"/>
      <c r="AX1835" s="65"/>
      <c r="AY1835" s="65"/>
      <c r="AZ1835" s="65"/>
      <c r="BA1835" s="65"/>
      <c r="BB1835" s="65"/>
      <c r="BC1835" s="65"/>
      <c r="BD1835" s="65"/>
      <c r="BE1835" s="65"/>
      <c r="BF1835" s="65"/>
      <c r="BG1835" s="65"/>
      <c r="BH1835" s="65"/>
      <c r="BI1835" s="65"/>
      <c r="BJ1835" s="65"/>
      <c r="BK1835" s="65"/>
      <c r="BL1835" s="65"/>
      <c r="BM1835" s="65"/>
      <c r="BN1835" s="65"/>
      <c r="BO1835" s="65"/>
      <c r="BP1835" s="65"/>
      <c r="BQ1835" s="65"/>
      <c r="BR1835" s="65"/>
      <c r="BS1835" s="65"/>
      <c r="BT1835" s="65"/>
      <c r="BU1835" s="65"/>
      <c r="BV1835" s="65"/>
      <c r="BW1835" s="65"/>
      <c r="BX1835" s="65"/>
      <c r="BY1835" s="65"/>
      <c r="BZ1835" s="65"/>
      <c r="CA1835" s="65"/>
      <c r="CB1835" s="65"/>
      <c r="CC1835" s="65"/>
      <c r="CD1835" s="65"/>
      <c r="CE1835" s="65"/>
      <c r="CF1835" s="65"/>
      <c r="CG1835" s="65"/>
      <c r="CH1835" s="65"/>
      <c r="CI1835" s="65"/>
      <c r="CJ1835" s="65"/>
      <c r="CK1835" s="65"/>
      <c r="CL1835" s="65"/>
      <c r="CM1835" s="65"/>
      <c r="CN1835" s="65"/>
      <c r="CO1835" s="65"/>
      <c r="CP1835" s="65"/>
      <c r="CQ1835" s="65"/>
      <c r="CR1835" s="65"/>
      <c r="CS1835" s="65"/>
      <c r="CT1835" s="65"/>
      <c r="CU1835" s="65"/>
      <c r="CV1835" s="65"/>
      <c r="CW1835" s="65"/>
      <c r="CX1835" s="65"/>
      <c r="CY1835" s="65"/>
      <c r="CZ1835" s="65"/>
      <c r="DA1835" s="65"/>
      <c r="DB1835" s="65"/>
      <c r="DC1835" s="65"/>
      <c r="DD1835" s="65"/>
      <c r="DE1835" s="65"/>
      <c r="DF1835" s="65"/>
      <c r="DG1835" s="65"/>
      <c r="DH1835" s="65"/>
      <c r="DI1835" s="65"/>
    </row>
    <row r="1836" spans="2:113">
      <c r="B1836" s="181"/>
      <c r="C1836" s="99"/>
      <c r="D1836" s="99"/>
      <c r="E1836" s="99"/>
      <c r="F1836" s="1062" t="s">
        <v>1352</v>
      </c>
      <c r="G1836" s="1063">
        <v>1</v>
      </c>
      <c r="H1836" s="1048"/>
      <c r="I1836" s="184"/>
      <c r="J1836" s="1046"/>
      <c r="K1836" s="1046"/>
      <c r="L1836" s="1047"/>
      <c r="M1836" s="1048"/>
      <c r="O1836" s="65"/>
      <c r="P1836" s="65"/>
      <c r="Q1836" s="65"/>
      <c r="R1836" s="65"/>
      <c r="S1836" s="65"/>
      <c r="T1836" s="65"/>
      <c r="U1836" s="65"/>
      <c r="V1836" s="65"/>
      <c r="W1836" s="65"/>
      <c r="X1836" s="65"/>
      <c r="Y1836" s="65"/>
      <c r="Z1836" s="65"/>
      <c r="AA1836" s="65"/>
      <c r="AB1836" s="65"/>
      <c r="AC1836" s="65"/>
      <c r="AD1836" s="65"/>
      <c r="AE1836" s="65"/>
      <c r="AF1836" s="65"/>
      <c r="AG1836" s="65"/>
      <c r="AH1836" s="65"/>
      <c r="AI1836" s="65"/>
      <c r="AJ1836" s="65"/>
      <c r="AK1836" s="65"/>
      <c r="AL1836" s="65"/>
      <c r="AM1836" s="65"/>
      <c r="AN1836" s="65"/>
      <c r="AO1836" s="65"/>
      <c r="AP1836" s="65"/>
      <c r="AQ1836" s="65"/>
      <c r="AR1836" s="65"/>
      <c r="AS1836" s="65"/>
      <c r="AT1836" s="65"/>
      <c r="AU1836" s="65"/>
      <c r="AV1836" s="65"/>
      <c r="AW1836" s="65"/>
      <c r="AX1836" s="65"/>
      <c r="AY1836" s="65"/>
      <c r="AZ1836" s="65"/>
      <c r="BA1836" s="65"/>
      <c r="BB1836" s="65"/>
      <c r="BC1836" s="65"/>
      <c r="BD1836" s="65"/>
      <c r="BE1836" s="65"/>
      <c r="BF1836" s="65"/>
      <c r="BG1836" s="65"/>
      <c r="BH1836" s="65"/>
      <c r="BI1836" s="65"/>
      <c r="BJ1836" s="65"/>
      <c r="BK1836" s="65"/>
      <c r="BL1836" s="65"/>
      <c r="BM1836" s="65"/>
      <c r="BN1836" s="65"/>
      <c r="BO1836" s="65"/>
      <c r="BP1836" s="65"/>
      <c r="BQ1836" s="65"/>
      <c r="BR1836" s="65"/>
      <c r="BS1836" s="65"/>
      <c r="BT1836" s="65"/>
      <c r="BU1836" s="65"/>
      <c r="BV1836" s="65"/>
      <c r="BW1836" s="65"/>
      <c r="BX1836" s="65"/>
      <c r="BY1836" s="65"/>
      <c r="BZ1836" s="65"/>
      <c r="CA1836" s="65"/>
      <c r="CB1836" s="65"/>
      <c r="CC1836" s="65"/>
      <c r="CD1836" s="65"/>
      <c r="CE1836" s="65"/>
      <c r="CF1836" s="65"/>
      <c r="CG1836" s="65"/>
      <c r="CH1836" s="65"/>
      <c r="CI1836" s="65"/>
      <c r="CJ1836" s="65"/>
      <c r="CK1836" s="65"/>
      <c r="CL1836" s="65"/>
      <c r="CM1836" s="65"/>
      <c r="CN1836" s="65"/>
      <c r="CO1836" s="65"/>
      <c r="CP1836" s="65"/>
      <c r="CQ1836" s="65"/>
      <c r="CR1836" s="65"/>
      <c r="CS1836" s="65"/>
      <c r="CT1836" s="65"/>
      <c r="CU1836" s="65"/>
      <c r="CV1836" s="65"/>
      <c r="CW1836" s="65"/>
      <c r="CX1836" s="65"/>
      <c r="CY1836" s="65"/>
      <c r="CZ1836" s="65"/>
      <c r="DA1836" s="65"/>
      <c r="DB1836" s="65"/>
      <c r="DC1836" s="65"/>
      <c r="DD1836" s="65"/>
      <c r="DE1836" s="65"/>
      <c r="DF1836" s="65"/>
      <c r="DG1836" s="65"/>
      <c r="DH1836" s="65"/>
      <c r="DI1836" s="65"/>
    </row>
    <row r="1837" spans="2:113">
      <c r="B1837" s="181"/>
      <c r="C1837" s="99"/>
      <c r="D1837" s="99"/>
      <c r="E1837" s="99"/>
      <c r="F1837" s="1062" t="s">
        <v>1353</v>
      </c>
      <c r="G1837" s="85">
        <f>$G$1833*(G134+H134)/1000000</f>
        <v>3224759.0805534655</v>
      </c>
      <c r="H1837" s="85">
        <f>($H$1833*(G134+H134)/1000000)+$H$1834</f>
        <v>239236.46365690048</v>
      </c>
      <c r="I1837" s="184"/>
      <c r="J1837" s="1046"/>
      <c r="K1837" s="1046"/>
      <c r="L1837" s="1047"/>
      <c r="M1837" s="1048"/>
      <c r="O1837" s="65"/>
      <c r="P1837" s="65"/>
      <c r="Q1837" s="65"/>
      <c r="R1837" s="65"/>
      <c r="S1837" s="65"/>
      <c r="T1837" s="65"/>
      <c r="U1837" s="65"/>
      <c r="V1837" s="65"/>
      <c r="W1837" s="65"/>
      <c r="X1837" s="65"/>
      <c r="Y1837" s="65"/>
      <c r="Z1837" s="65"/>
      <c r="AA1837" s="65"/>
      <c r="AB1837" s="65"/>
      <c r="AC1837" s="65"/>
      <c r="AD1837" s="65"/>
      <c r="AE1837" s="65"/>
      <c r="AF1837" s="65"/>
      <c r="AG1837" s="65"/>
      <c r="AH1837" s="65"/>
      <c r="AI1837" s="65"/>
      <c r="AJ1837" s="65"/>
      <c r="AK1837" s="65"/>
      <c r="AL1837" s="65"/>
      <c r="AM1837" s="65"/>
      <c r="AN1837" s="65"/>
      <c r="AO1837" s="65"/>
      <c r="AP1837" s="65"/>
      <c r="AQ1837" s="65"/>
      <c r="AR1837" s="65"/>
      <c r="AS1837" s="65"/>
      <c r="AT1837" s="65"/>
      <c r="AU1837" s="65"/>
      <c r="AV1837" s="65"/>
      <c r="AW1837" s="65"/>
      <c r="AX1837" s="65"/>
      <c r="AY1837" s="65"/>
      <c r="AZ1837" s="65"/>
      <c r="BA1837" s="65"/>
      <c r="BB1837" s="65"/>
      <c r="BC1837" s="65"/>
      <c r="BD1837" s="65"/>
      <c r="BE1837" s="65"/>
      <c r="BF1837" s="65"/>
      <c r="BG1837" s="65"/>
      <c r="BH1837" s="65"/>
      <c r="BI1837" s="65"/>
      <c r="BJ1837" s="65"/>
      <c r="BK1837" s="65"/>
      <c r="BL1837" s="65"/>
      <c r="BM1837" s="65"/>
      <c r="BN1837" s="65"/>
      <c r="BO1837" s="65"/>
      <c r="BP1837" s="65"/>
      <c r="BQ1837" s="65"/>
      <c r="BR1837" s="65"/>
      <c r="BS1837" s="65"/>
      <c r="BT1837" s="65"/>
      <c r="BU1837" s="65"/>
      <c r="BV1837" s="65"/>
      <c r="BW1837" s="65"/>
      <c r="BX1837" s="65"/>
      <c r="BY1837" s="65"/>
      <c r="BZ1837" s="65"/>
      <c r="CA1837" s="65"/>
      <c r="CB1837" s="65"/>
      <c r="CC1837" s="65"/>
      <c r="CD1837" s="65"/>
      <c r="CE1837" s="65"/>
      <c r="CF1837" s="65"/>
      <c r="CG1837" s="65"/>
      <c r="CH1837" s="65"/>
      <c r="CI1837" s="65"/>
      <c r="CJ1837" s="65"/>
      <c r="CK1837" s="65"/>
      <c r="CL1837" s="65"/>
      <c r="CM1837" s="65"/>
      <c r="CN1837" s="65"/>
      <c r="CO1837" s="65"/>
      <c r="CP1837" s="65"/>
      <c r="CQ1837" s="65"/>
      <c r="CR1837" s="65"/>
      <c r="CS1837" s="65"/>
      <c r="CT1837" s="65"/>
      <c r="CU1837" s="65"/>
      <c r="CV1837" s="65"/>
      <c r="CW1837" s="65"/>
      <c r="CX1837" s="65"/>
      <c r="CY1837" s="65"/>
      <c r="CZ1837" s="65"/>
      <c r="DA1837" s="65"/>
      <c r="DB1837" s="65"/>
      <c r="DC1837" s="65"/>
      <c r="DD1837" s="65"/>
      <c r="DE1837" s="65"/>
      <c r="DF1837" s="65"/>
      <c r="DG1837" s="65"/>
      <c r="DH1837" s="65"/>
      <c r="DI1837" s="65"/>
    </row>
    <row r="1838" spans="2:113">
      <c r="B1838" s="181"/>
      <c r="C1838" s="99"/>
      <c r="D1838" s="99"/>
      <c r="E1838" s="99"/>
      <c r="F1838" s="1062" t="s">
        <v>279</v>
      </c>
      <c r="G1838" s="85">
        <f>$G$1833*(G138+H138)/1000000</f>
        <v>62878.701570587094</v>
      </c>
      <c r="H1838" s="85">
        <f>($H$1833*(G138+H138)/1000000)+($H$1834*(G138+H138)/(G134+H134))</f>
        <v>4664.8068358964174</v>
      </c>
      <c r="I1838" s="184"/>
      <c r="J1838" s="1046"/>
      <c r="K1838" s="1046"/>
      <c r="L1838" s="1047"/>
      <c r="M1838" s="1048"/>
      <c r="O1838" s="65"/>
      <c r="P1838" s="65"/>
      <c r="Q1838" s="65"/>
      <c r="R1838" s="65"/>
      <c r="S1838" s="65"/>
      <c r="T1838" s="65"/>
      <c r="U1838" s="65"/>
      <c r="V1838" s="65"/>
      <c r="W1838" s="65"/>
      <c r="X1838" s="65"/>
      <c r="Y1838" s="65"/>
      <c r="Z1838" s="65"/>
      <c r="AA1838" s="65"/>
      <c r="AB1838" s="65"/>
      <c r="AC1838" s="65"/>
      <c r="AD1838" s="65"/>
      <c r="AE1838" s="65"/>
      <c r="AF1838" s="65"/>
      <c r="AG1838" s="65"/>
      <c r="AH1838" s="65"/>
      <c r="AI1838" s="65"/>
      <c r="AJ1838" s="65"/>
      <c r="AK1838" s="65"/>
      <c r="AL1838" s="65"/>
      <c r="AM1838" s="65"/>
      <c r="AN1838" s="65"/>
      <c r="AO1838" s="65"/>
      <c r="AP1838" s="65"/>
      <c r="AQ1838" s="65"/>
      <c r="AR1838" s="65"/>
      <c r="AS1838" s="65"/>
      <c r="AT1838" s="65"/>
      <c r="AU1838" s="65"/>
      <c r="AV1838" s="65"/>
      <c r="AW1838" s="65"/>
      <c r="AX1838" s="65"/>
      <c r="AY1838" s="65"/>
      <c r="AZ1838" s="65"/>
      <c r="BA1838" s="65"/>
      <c r="BB1838" s="65"/>
      <c r="BC1838" s="65"/>
      <c r="BD1838" s="65"/>
      <c r="BE1838" s="65"/>
      <c r="BF1838" s="65"/>
      <c r="BG1838" s="65"/>
      <c r="BH1838" s="65"/>
      <c r="BI1838" s="65"/>
      <c r="BJ1838" s="65"/>
      <c r="BK1838" s="65"/>
      <c r="BL1838" s="65"/>
      <c r="BM1838" s="65"/>
      <c r="BN1838" s="65"/>
      <c r="BO1838" s="65"/>
      <c r="BP1838" s="65"/>
      <c r="BQ1838" s="65"/>
      <c r="BR1838" s="65"/>
      <c r="BS1838" s="65"/>
      <c r="BT1838" s="65"/>
      <c r="BU1838" s="65"/>
      <c r="BV1838" s="65"/>
      <c r="BW1838" s="65"/>
      <c r="BX1838" s="65"/>
      <c r="BY1838" s="65"/>
      <c r="BZ1838" s="65"/>
      <c r="CA1838" s="65"/>
      <c r="CB1838" s="65"/>
      <c r="CC1838" s="65"/>
      <c r="CD1838" s="65"/>
      <c r="CE1838" s="65"/>
      <c r="CF1838" s="65"/>
      <c r="CG1838" s="65"/>
      <c r="CH1838" s="65"/>
      <c r="CI1838" s="65"/>
      <c r="CJ1838" s="65"/>
      <c r="CK1838" s="65"/>
      <c r="CL1838" s="65"/>
      <c r="CM1838" s="65"/>
      <c r="CN1838" s="65"/>
      <c r="CO1838" s="65"/>
      <c r="CP1838" s="65"/>
      <c r="CQ1838" s="65"/>
      <c r="CR1838" s="65"/>
      <c r="CS1838" s="65"/>
      <c r="CT1838" s="65"/>
      <c r="CU1838" s="65"/>
      <c r="CV1838" s="65"/>
      <c r="CW1838" s="65"/>
      <c r="CX1838" s="65"/>
      <c r="CY1838" s="65"/>
      <c r="CZ1838" s="65"/>
      <c r="DA1838" s="65"/>
      <c r="DB1838" s="65"/>
      <c r="DC1838" s="65"/>
      <c r="DD1838" s="65"/>
      <c r="DE1838" s="65"/>
      <c r="DF1838" s="65"/>
      <c r="DG1838" s="65"/>
      <c r="DH1838" s="65"/>
      <c r="DI1838" s="65"/>
    </row>
    <row r="1839" spans="2:113">
      <c r="B1839" s="185"/>
      <c r="C1839" s="172"/>
      <c r="D1839" s="172"/>
      <c r="E1839" s="172"/>
      <c r="F1839" s="185" t="s">
        <v>1354</v>
      </c>
      <c r="G1839" s="1064">
        <f>$G$1833*(G139+H139)/1000000+$G$1835</f>
        <v>539.27062535489893</v>
      </c>
      <c r="H1839" s="1064">
        <f>($H$1833*(G139+H139)/1000000)+($H$1834*(G139+H139)/(G135+H135))</f>
        <v>34.799126015943102</v>
      </c>
      <c r="I1839" s="188"/>
      <c r="J1839" s="1065"/>
      <c r="K1839" s="1065"/>
      <c r="L1839" s="1066"/>
      <c r="M1839" s="1048"/>
      <c r="O1839" s="65"/>
      <c r="P1839" s="65"/>
      <c r="Q1839" s="65"/>
      <c r="R1839" s="65"/>
      <c r="S1839" s="65"/>
      <c r="T1839" s="65"/>
      <c r="U1839" s="65"/>
      <c r="V1839" s="65"/>
      <c r="W1839" s="65"/>
      <c r="X1839" s="65"/>
      <c r="Y1839" s="65"/>
      <c r="Z1839" s="65"/>
      <c r="AA1839" s="65"/>
      <c r="AB1839" s="65"/>
      <c r="AC1839" s="65"/>
      <c r="AD1839" s="65"/>
      <c r="AE1839" s="65"/>
      <c r="AF1839" s="65"/>
      <c r="AG1839" s="65"/>
      <c r="AH1839" s="65"/>
      <c r="AI1839" s="65"/>
      <c r="AJ1839" s="65"/>
      <c r="AK1839" s="65"/>
      <c r="AL1839" s="65"/>
      <c r="AM1839" s="65"/>
      <c r="AN1839" s="65"/>
      <c r="AO1839" s="65"/>
      <c r="AP1839" s="65"/>
      <c r="AQ1839" s="65"/>
      <c r="AR1839" s="65"/>
      <c r="AS1839" s="65"/>
      <c r="AT1839" s="65"/>
      <c r="AU1839" s="65"/>
      <c r="AV1839" s="65"/>
      <c r="AW1839" s="65"/>
      <c r="AX1839" s="65"/>
      <c r="AY1839" s="65"/>
      <c r="AZ1839" s="65"/>
      <c r="BA1839" s="65"/>
      <c r="BB1839" s="65"/>
      <c r="BC1839" s="65"/>
      <c r="BD1839" s="65"/>
      <c r="BE1839" s="65"/>
      <c r="BF1839" s="65"/>
      <c r="BG1839" s="65"/>
      <c r="BH1839" s="65"/>
      <c r="BI1839" s="65"/>
      <c r="BJ1839" s="65"/>
      <c r="BK1839" s="65"/>
      <c r="BL1839" s="65"/>
      <c r="BM1839" s="65"/>
      <c r="BN1839" s="65"/>
      <c r="BO1839" s="65"/>
      <c r="BP1839" s="65"/>
      <c r="BQ1839" s="65"/>
      <c r="BR1839" s="65"/>
      <c r="BS1839" s="65"/>
      <c r="BT1839" s="65"/>
      <c r="BU1839" s="65"/>
      <c r="BV1839" s="65"/>
      <c r="BW1839" s="65"/>
      <c r="BX1839" s="65"/>
      <c r="BY1839" s="65"/>
      <c r="BZ1839" s="65"/>
      <c r="CA1839" s="65"/>
      <c r="CB1839" s="65"/>
      <c r="CC1839" s="65"/>
      <c r="CD1839" s="65"/>
      <c r="CE1839" s="65"/>
      <c r="CF1839" s="65"/>
      <c r="CG1839" s="65"/>
      <c r="CH1839" s="65"/>
      <c r="CI1839" s="65"/>
      <c r="CJ1839" s="65"/>
      <c r="CK1839" s="65"/>
      <c r="CL1839" s="65"/>
      <c r="CM1839" s="65"/>
      <c r="CN1839" s="65"/>
      <c r="CO1839" s="65"/>
      <c r="CP1839" s="65"/>
      <c r="CQ1839" s="65"/>
      <c r="CR1839" s="65"/>
      <c r="CS1839" s="65"/>
      <c r="CT1839" s="65"/>
      <c r="CU1839" s="65"/>
      <c r="CV1839" s="65"/>
      <c r="CW1839" s="65"/>
      <c r="CX1839" s="65"/>
      <c r="CY1839" s="65"/>
      <c r="CZ1839" s="65"/>
      <c r="DA1839" s="65"/>
      <c r="DB1839" s="65"/>
      <c r="DC1839" s="65"/>
      <c r="DD1839" s="65"/>
      <c r="DE1839" s="65"/>
      <c r="DF1839" s="65"/>
      <c r="DG1839" s="65"/>
      <c r="DH1839" s="65"/>
      <c r="DI1839" s="65"/>
    </row>
    <row r="1840" spans="2:113">
      <c r="B1840" s="181"/>
      <c r="C1840" s="99"/>
      <c r="D1840" s="99"/>
      <c r="E1840" s="99"/>
      <c r="F1840" s="181"/>
      <c r="G1840" s="1048"/>
      <c r="H1840" s="1048"/>
      <c r="I1840" s="184"/>
      <c r="J1840" s="1046"/>
      <c r="K1840" s="1046"/>
      <c r="L1840" s="1047"/>
      <c r="M1840" s="1048"/>
      <c r="O1840" s="65"/>
      <c r="P1840" s="65"/>
      <c r="Q1840" s="65"/>
      <c r="R1840" s="65"/>
      <c r="S1840" s="65"/>
      <c r="T1840" s="65"/>
      <c r="U1840" s="65"/>
      <c r="V1840" s="65"/>
      <c r="W1840" s="65"/>
      <c r="X1840" s="65"/>
      <c r="Y1840" s="65"/>
      <c r="Z1840" s="65"/>
      <c r="AA1840" s="65"/>
      <c r="AB1840" s="65"/>
      <c r="AC1840" s="65"/>
      <c r="AD1840" s="65"/>
      <c r="AE1840" s="65"/>
      <c r="AF1840" s="65"/>
      <c r="AG1840" s="65"/>
      <c r="AH1840" s="65"/>
      <c r="AI1840" s="65"/>
      <c r="AJ1840" s="65"/>
      <c r="AK1840" s="65"/>
      <c r="AL1840" s="65"/>
      <c r="AM1840" s="65"/>
      <c r="AN1840" s="65"/>
      <c r="AO1840" s="65"/>
      <c r="AP1840" s="65"/>
      <c r="AQ1840" s="65"/>
      <c r="AR1840" s="65"/>
      <c r="AS1840" s="65"/>
      <c r="AT1840" s="65"/>
      <c r="AU1840" s="65"/>
      <c r="AV1840" s="65"/>
      <c r="AW1840" s="65"/>
      <c r="AX1840" s="65"/>
      <c r="AY1840" s="65"/>
      <c r="AZ1840" s="65"/>
      <c r="BA1840" s="65"/>
      <c r="BB1840" s="65"/>
      <c r="BC1840" s="65"/>
      <c r="BD1840" s="65"/>
      <c r="BE1840" s="65"/>
      <c r="BF1840" s="65"/>
      <c r="BG1840" s="65"/>
      <c r="BH1840" s="65"/>
      <c r="BI1840" s="65"/>
      <c r="BJ1840" s="65"/>
      <c r="BK1840" s="65"/>
      <c r="BL1840" s="65"/>
      <c r="BM1840" s="65"/>
      <c r="BN1840" s="65"/>
      <c r="BO1840" s="65"/>
      <c r="BP1840" s="65"/>
      <c r="BQ1840" s="65"/>
      <c r="BR1840" s="65"/>
      <c r="BS1840" s="65"/>
      <c r="BT1840" s="65"/>
      <c r="BU1840" s="65"/>
      <c r="BV1840" s="65"/>
      <c r="BW1840" s="65"/>
      <c r="BX1840" s="65"/>
      <c r="BY1840" s="65"/>
      <c r="BZ1840" s="65"/>
      <c r="CA1840" s="65"/>
      <c r="CB1840" s="65"/>
      <c r="CC1840" s="65"/>
      <c r="CD1840" s="65"/>
      <c r="CE1840" s="65"/>
      <c r="CF1840" s="65"/>
      <c r="CG1840" s="65"/>
      <c r="CH1840" s="65"/>
      <c r="CI1840" s="65"/>
      <c r="CJ1840" s="65"/>
      <c r="CK1840" s="65"/>
      <c r="CL1840" s="65"/>
      <c r="CM1840" s="65"/>
      <c r="CN1840" s="65"/>
      <c r="CO1840" s="65"/>
      <c r="CP1840" s="65"/>
      <c r="CQ1840" s="65"/>
      <c r="CR1840" s="65"/>
      <c r="CS1840" s="65"/>
      <c r="CT1840" s="65"/>
      <c r="CU1840" s="65"/>
      <c r="CV1840" s="65"/>
      <c r="CW1840" s="65"/>
      <c r="CX1840" s="65"/>
      <c r="CY1840" s="65"/>
      <c r="CZ1840" s="65"/>
      <c r="DA1840" s="65"/>
      <c r="DB1840" s="65"/>
      <c r="DC1840" s="65"/>
      <c r="DD1840" s="65"/>
      <c r="DE1840" s="65"/>
      <c r="DF1840" s="65"/>
      <c r="DG1840" s="65"/>
      <c r="DH1840" s="65"/>
      <c r="DI1840" s="65"/>
    </row>
    <row r="1841" spans="1:113">
      <c r="B1841" s="1067" t="s">
        <v>1355</v>
      </c>
      <c r="C1841" s="99"/>
      <c r="D1841" s="99"/>
      <c r="E1841" s="99"/>
      <c r="F1841" s="181"/>
      <c r="G1841" s="1068"/>
      <c r="H1841" s="1068"/>
      <c r="I1841" s="1069"/>
      <c r="J1841" s="1046"/>
      <c r="K1841" s="1070"/>
      <c r="L1841" s="1071"/>
      <c r="M1841" s="1048"/>
      <c r="O1841" s="65"/>
      <c r="P1841" s="65"/>
      <c r="Q1841" s="65"/>
      <c r="R1841" s="65"/>
      <c r="S1841" s="65"/>
      <c r="T1841" s="65"/>
      <c r="U1841" s="65"/>
      <c r="V1841" s="65"/>
      <c r="W1841" s="65"/>
      <c r="X1841" s="65"/>
      <c r="Y1841" s="65"/>
      <c r="Z1841" s="65"/>
      <c r="AA1841" s="65"/>
      <c r="AB1841" s="65"/>
      <c r="AC1841" s="65"/>
      <c r="AD1841" s="65"/>
      <c r="AE1841" s="65"/>
      <c r="AF1841" s="65"/>
      <c r="AG1841" s="65"/>
      <c r="AH1841" s="65"/>
      <c r="AI1841" s="65"/>
      <c r="AJ1841" s="65"/>
      <c r="AK1841" s="65"/>
      <c r="AL1841" s="65"/>
      <c r="AM1841" s="65"/>
      <c r="AN1841" s="65"/>
      <c r="AO1841" s="65"/>
      <c r="AP1841" s="65"/>
      <c r="AQ1841" s="65"/>
      <c r="AR1841" s="65"/>
      <c r="AS1841" s="65"/>
      <c r="AT1841" s="65"/>
      <c r="AU1841" s="65"/>
      <c r="AV1841" s="65"/>
      <c r="AW1841" s="65"/>
      <c r="AX1841" s="65"/>
      <c r="AY1841" s="65"/>
      <c r="AZ1841" s="65"/>
      <c r="BA1841" s="65"/>
      <c r="BB1841" s="65"/>
      <c r="BC1841" s="65"/>
      <c r="BD1841" s="65"/>
      <c r="BE1841" s="65"/>
      <c r="BF1841" s="65"/>
      <c r="BG1841" s="65"/>
      <c r="BH1841" s="65"/>
      <c r="BI1841" s="65"/>
      <c r="BJ1841" s="65"/>
      <c r="BK1841" s="65"/>
      <c r="BL1841" s="65"/>
      <c r="BM1841" s="65"/>
      <c r="BN1841" s="65"/>
      <c r="BO1841" s="65"/>
      <c r="BP1841" s="65"/>
      <c r="BQ1841" s="65"/>
      <c r="BR1841" s="65"/>
      <c r="BS1841" s="65"/>
      <c r="BT1841" s="65"/>
      <c r="BU1841" s="65"/>
      <c r="BV1841" s="65"/>
      <c r="BW1841" s="65"/>
      <c r="BX1841" s="65"/>
      <c r="BY1841" s="65"/>
      <c r="BZ1841" s="65"/>
      <c r="CA1841" s="65"/>
      <c r="CB1841" s="65"/>
      <c r="CC1841" s="65"/>
      <c r="CD1841" s="65"/>
      <c r="CE1841" s="65"/>
      <c r="CF1841" s="65"/>
      <c r="CG1841" s="65"/>
      <c r="CH1841" s="65"/>
      <c r="CI1841" s="65"/>
      <c r="CJ1841" s="65"/>
      <c r="CK1841" s="65"/>
      <c r="CL1841" s="65"/>
      <c r="CM1841" s="65"/>
      <c r="CN1841" s="65"/>
      <c r="CO1841" s="65"/>
      <c r="CP1841" s="65"/>
      <c r="CQ1841" s="65"/>
      <c r="CR1841" s="65"/>
      <c r="CS1841" s="65"/>
      <c r="CT1841" s="65"/>
      <c r="CU1841" s="65"/>
      <c r="CV1841" s="65"/>
      <c r="CW1841" s="65"/>
      <c r="CX1841" s="65"/>
      <c r="CY1841" s="65"/>
      <c r="CZ1841" s="65"/>
      <c r="DA1841" s="65"/>
      <c r="DB1841" s="65"/>
      <c r="DC1841" s="65"/>
      <c r="DD1841" s="65"/>
      <c r="DE1841" s="65"/>
      <c r="DF1841" s="65"/>
      <c r="DG1841" s="65"/>
      <c r="DH1841" s="65"/>
      <c r="DI1841" s="65"/>
    </row>
    <row r="1842" spans="1:113">
      <c r="B1842" s="181" t="s">
        <v>1343</v>
      </c>
      <c r="C1842" s="99"/>
      <c r="D1842" s="99"/>
      <c r="E1842" s="183"/>
      <c r="F1842" s="181"/>
      <c r="G1842" s="1048">
        <f>(G1852+H1852-($G$1847+$H$1847+$H$1848)*(G1852+H1852)/(G1851+H1851))*$F$104/1000000*G1850</f>
        <v>99.378307798253616</v>
      </c>
      <c r="H1842" s="1048">
        <f>($G$1847+$H$1847+$H$1848)*(G1852+H1852)/(G1851+H1851)*$F$104/1000000*G1850</f>
        <v>74.170598003105241</v>
      </c>
      <c r="I1842" s="184"/>
      <c r="J1842" s="1046"/>
      <c r="K1842" s="1046">
        <f>(K1852+L1852-($K$1847+$L$1847+$L$1848)*(K1852+L1852)/(K1851+L1851))*$F$104/1000000*K1850</f>
        <v>99.378307798253616</v>
      </c>
      <c r="L1842" s="1047">
        <f>($K$1847+$L$1847+$L$1848)*(K1852+L1852)/(K1851+L1851)*$F$104/1000000</f>
        <v>74.036122704550053</v>
      </c>
      <c r="M1842" s="1048"/>
      <c r="O1842" s="65"/>
      <c r="P1842" s="65"/>
      <c r="Q1842" s="65"/>
      <c r="R1842" s="65"/>
      <c r="S1842" s="65"/>
      <c r="T1842" s="65"/>
      <c r="U1842" s="65"/>
      <c r="V1842" s="65"/>
      <c r="W1842" s="65"/>
      <c r="X1842" s="65"/>
      <c r="Y1842" s="65"/>
      <c r="Z1842" s="65"/>
      <c r="AA1842" s="65"/>
      <c r="AB1842" s="65"/>
      <c r="AC1842" s="65"/>
      <c r="AD1842" s="65"/>
      <c r="AE1842" s="65"/>
      <c r="AF1842" s="65"/>
      <c r="AG1842" s="65"/>
      <c r="AH1842" s="65"/>
      <c r="AI1842" s="65"/>
      <c r="AJ1842" s="65"/>
      <c r="AK1842" s="65"/>
      <c r="AL1842" s="65"/>
      <c r="AM1842" s="65"/>
      <c r="AN1842" s="65"/>
      <c r="AO1842" s="65"/>
      <c r="AP1842" s="65"/>
      <c r="AQ1842" s="65"/>
      <c r="AR1842" s="65"/>
      <c r="AS1842" s="65"/>
      <c r="AT1842" s="65"/>
      <c r="AU1842" s="65"/>
      <c r="AV1842" s="65"/>
      <c r="AW1842" s="65"/>
      <c r="AX1842" s="65"/>
      <c r="AY1842" s="65"/>
      <c r="AZ1842" s="65"/>
      <c r="BA1842" s="65"/>
      <c r="BB1842" s="65"/>
      <c r="BC1842" s="65"/>
      <c r="BD1842" s="65"/>
      <c r="BE1842" s="65"/>
      <c r="BF1842" s="65"/>
      <c r="BG1842" s="65"/>
      <c r="BH1842" s="65"/>
      <c r="BI1842" s="65"/>
      <c r="BJ1842" s="65"/>
      <c r="BK1842" s="65"/>
      <c r="BL1842" s="65"/>
      <c r="BM1842" s="65"/>
      <c r="BN1842" s="65"/>
      <c r="BO1842" s="65"/>
      <c r="BP1842" s="65"/>
      <c r="BQ1842" s="65"/>
      <c r="BR1842" s="65"/>
      <c r="BS1842" s="65"/>
      <c r="BT1842" s="65"/>
      <c r="BU1842" s="65"/>
      <c r="BV1842" s="65"/>
      <c r="BW1842" s="65"/>
      <c r="BX1842" s="65"/>
      <c r="BY1842" s="65"/>
      <c r="BZ1842" s="65"/>
      <c r="CA1842" s="65"/>
      <c r="CB1842" s="65"/>
      <c r="CC1842" s="65"/>
      <c r="CD1842" s="65"/>
      <c r="CE1842" s="65"/>
      <c r="CF1842" s="65"/>
      <c r="CG1842" s="65"/>
      <c r="CH1842" s="65"/>
      <c r="CI1842" s="65"/>
      <c r="CJ1842" s="65"/>
      <c r="CK1842" s="65"/>
      <c r="CL1842" s="65"/>
      <c r="CM1842" s="65"/>
      <c r="CN1842" s="65"/>
      <c r="CO1842" s="65"/>
      <c r="CP1842" s="65"/>
      <c r="CQ1842" s="65"/>
      <c r="CR1842" s="65"/>
      <c r="CS1842" s="65"/>
      <c r="CT1842" s="65"/>
      <c r="CU1842" s="65"/>
      <c r="CV1842" s="65"/>
      <c r="CW1842" s="65"/>
      <c r="CX1842" s="65"/>
      <c r="CY1842" s="65"/>
      <c r="CZ1842" s="65"/>
      <c r="DA1842" s="65"/>
      <c r="DB1842" s="65"/>
      <c r="DC1842" s="65"/>
      <c r="DD1842" s="65"/>
      <c r="DE1842" s="65"/>
      <c r="DF1842" s="65"/>
      <c r="DG1842" s="65"/>
      <c r="DH1842" s="65"/>
      <c r="DI1842" s="65"/>
    </row>
    <row r="1843" spans="1:113">
      <c r="B1843" s="181" t="s">
        <v>1344</v>
      </c>
      <c r="C1843" s="99"/>
      <c r="D1843" s="99"/>
      <c r="E1843" s="99"/>
      <c r="F1843" s="181"/>
      <c r="G1843" s="1048">
        <f>($G$1847)*(G152+H152)/1000000*$F$104/1000000*G1850</f>
        <v>507.77832261845776</v>
      </c>
      <c r="H1843" s="1048">
        <f>($H$1847)*(G152+H152)/1000000*$F$104/1000000*G1850</f>
        <v>175.05647876583373</v>
      </c>
      <c r="I1843" s="184"/>
      <c r="J1843" s="1046"/>
      <c r="K1843" s="1046">
        <f>($K$1847)*(K152+L152)/1000000*$F$104/1000000*K1850</f>
        <v>0</v>
      </c>
      <c r="L1843" s="1047">
        <f>($L$1847)*(K152+L152)/1000000*$F$104/1000000*K1850</f>
        <v>0</v>
      </c>
      <c r="M1843" s="1048"/>
      <c r="O1843" s="65"/>
      <c r="P1843" s="65"/>
      <c r="Q1843" s="65"/>
      <c r="R1843" s="65"/>
      <c r="S1843" s="65"/>
      <c r="T1843" s="65"/>
      <c r="U1843" s="65"/>
      <c r="V1843" s="65"/>
      <c r="W1843" s="65"/>
      <c r="X1843" s="65"/>
      <c r="Y1843" s="65"/>
      <c r="Z1843" s="65"/>
      <c r="AA1843" s="65"/>
      <c r="AB1843" s="65"/>
      <c r="AC1843" s="65"/>
      <c r="AD1843" s="65"/>
      <c r="AE1843" s="65"/>
      <c r="AF1843" s="65"/>
      <c r="AG1843" s="65"/>
      <c r="AH1843" s="65"/>
      <c r="AI1843" s="65"/>
      <c r="AJ1843" s="65"/>
      <c r="AK1843" s="65"/>
      <c r="AL1843" s="65"/>
      <c r="AM1843" s="65"/>
      <c r="AN1843" s="65"/>
      <c r="AO1843" s="65"/>
      <c r="AP1843" s="65"/>
      <c r="AQ1843" s="65"/>
      <c r="AR1843" s="65"/>
      <c r="AS1843" s="65"/>
      <c r="AT1843" s="65"/>
      <c r="AU1843" s="65"/>
      <c r="AV1843" s="65"/>
      <c r="AW1843" s="65"/>
      <c r="AX1843" s="65"/>
      <c r="AY1843" s="65"/>
      <c r="AZ1843" s="65"/>
      <c r="BA1843" s="65"/>
      <c r="BB1843" s="65"/>
      <c r="BC1843" s="65"/>
      <c r="BD1843" s="65"/>
      <c r="BE1843" s="65"/>
      <c r="BF1843" s="65"/>
      <c r="BG1843" s="65"/>
      <c r="BH1843" s="65"/>
      <c r="BI1843" s="65"/>
      <c r="BJ1843" s="65"/>
      <c r="BK1843" s="65"/>
      <c r="BL1843" s="65"/>
      <c r="BM1843" s="65"/>
      <c r="BN1843" s="65"/>
      <c r="BO1843" s="65"/>
      <c r="BP1843" s="65"/>
      <c r="BQ1843" s="65"/>
      <c r="BR1843" s="65"/>
      <c r="BS1843" s="65"/>
      <c r="BT1843" s="65"/>
      <c r="BU1843" s="65"/>
      <c r="BV1843" s="65"/>
      <c r="BW1843" s="65"/>
      <c r="BX1843" s="65"/>
      <c r="BY1843" s="65"/>
      <c r="BZ1843" s="65"/>
      <c r="CA1843" s="65"/>
      <c r="CB1843" s="65"/>
      <c r="CC1843" s="65"/>
      <c r="CD1843" s="65"/>
      <c r="CE1843" s="65"/>
      <c r="CF1843" s="65"/>
      <c r="CG1843" s="65"/>
      <c r="CH1843" s="65"/>
      <c r="CI1843" s="65"/>
      <c r="CJ1843" s="65"/>
      <c r="CK1843" s="65"/>
      <c r="CL1843" s="65"/>
      <c r="CM1843" s="65"/>
      <c r="CN1843" s="65"/>
      <c r="CO1843" s="65"/>
      <c r="CP1843" s="65"/>
      <c r="CQ1843" s="65"/>
      <c r="CR1843" s="65"/>
      <c r="CS1843" s="65"/>
      <c r="CT1843" s="65"/>
      <c r="CU1843" s="65"/>
      <c r="CV1843" s="65"/>
      <c r="CW1843" s="65"/>
      <c r="CX1843" s="65"/>
      <c r="CY1843" s="65"/>
      <c r="CZ1843" s="65"/>
      <c r="DA1843" s="65"/>
      <c r="DB1843" s="65"/>
      <c r="DC1843" s="65"/>
      <c r="DD1843" s="65"/>
      <c r="DE1843" s="65"/>
      <c r="DF1843" s="65"/>
      <c r="DG1843" s="65"/>
      <c r="DH1843" s="65"/>
      <c r="DI1843" s="65"/>
    </row>
    <row r="1844" spans="1:113">
      <c r="B1844" s="181" t="s">
        <v>1345</v>
      </c>
      <c r="C1844" s="99"/>
      <c r="D1844" s="99"/>
      <c r="E1844" s="99"/>
      <c r="F1844" s="181"/>
      <c r="G1844" s="1048">
        <f>(G1853+H1853-($G$1847+$H$1847+$H$1848)*(G1853+H1853)/(G1851+H1851))*$F$104/1000000*G1850</f>
        <v>0.82388289110822754</v>
      </c>
      <c r="H1844" s="1048">
        <f>($G$1847+$H$1847+$H$1848)*(G1853+H1853)/(G1851+H1851)*$F$104/1000000*G1850</f>
        <v>0.6149016628666959</v>
      </c>
      <c r="I1844" s="184"/>
      <c r="J1844" s="1046"/>
      <c r="K1844" s="1046"/>
      <c r="L1844" s="1047"/>
      <c r="M1844" s="1048"/>
      <c r="O1844" s="65"/>
      <c r="P1844" s="65"/>
      <c r="Q1844" s="65"/>
      <c r="R1844" s="65"/>
      <c r="S1844" s="65"/>
      <c r="T1844" s="65"/>
      <c r="U1844" s="65"/>
      <c r="V1844" s="65"/>
      <c r="W1844" s="65"/>
      <c r="X1844" s="65"/>
      <c r="Y1844" s="65"/>
      <c r="Z1844" s="65"/>
      <c r="AA1844" s="65"/>
      <c r="AB1844" s="65"/>
      <c r="AC1844" s="65"/>
      <c r="AD1844" s="65"/>
      <c r="AE1844" s="65"/>
      <c r="AF1844" s="65"/>
      <c r="AG1844" s="65"/>
      <c r="AH1844" s="65"/>
      <c r="AI1844" s="65"/>
      <c r="AJ1844" s="65"/>
      <c r="AK1844" s="65"/>
      <c r="AL1844" s="65"/>
      <c r="AM1844" s="65"/>
      <c r="AN1844" s="65"/>
      <c r="AO1844" s="65"/>
      <c r="AP1844" s="65"/>
      <c r="AQ1844" s="65"/>
      <c r="AR1844" s="65"/>
      <c r="AS1844" s="65"/>
      <c r="AT1844" s="65"/>
      <c r="AU1844" s="65"/>
      <c r="AV1844" s="65"/>
      <c r="AW1844" s="65"/>
      <c r="AX1844" s="65"/>
      <c r="AY1844" s="65"/>
      <c r="AZ1844" s="65"/>
      <c r="BA1844" s="65"/>
      <c r="BB1844" s="65"/>
      <c r="BC1844" s="65"/>
      <c r="BD1844" s="65"/>
      <c r="BE1844" s="65"/>
      <c r="BF1844" s="65"/>
      <c r="BG1844" s="65"/>
      <c r="BH1844" s="65"/>
      <c r="BI1844" s="65"/>
      <c r="BJ1844" s="65"/>
      <c r="BK1844" s="65"/>
      <c r="BL1844" s="65"/>
      <c r="BM1844" s="65"/>
      <c r="BN1844" s="65"/>
      <c r="BO1844" s="65"/>
      <c r="BP1844" s="65"/>
      <c r="BQ1844" s="65"/>
      <c r="BR1844" s="65"/>
      <c r="BS1844" s="65"/>
      <c r="BT1844" s="65"/>
      <c r="BU1844" s="65"/>
      <c r="BV1844" s="65"/>
      <c r="BW1844" s="65"/>
      <c r="BX1844" s="65"/>
      <c r="BY1844" s="65"/>
      <c r="BZ1844" s="65"/>
      <c r="CA1844" s="65"/>
      <c r="CB1844" s="65"/>
      <c r="CC1844" s="65"/>
      <c r="CD1844" s="65"/>
      <c r="CE1844" s="65"/>
      <c r="CF1844" s="65"/>
      <c r="CG1844" s="65"/>
      <c r="CH1844" s="65"/>
      <c r="CI1844" s="65"/>
      <c r="CJ1844" s="65"/>
      <c r="CK1844" s="65"/>
      <c r="CL1844" s="65"/>
      <c r="CM1844" s="65"/>
      <c r="CN1844" s="65"/>
      <c r="CO1844" s="65"/>
      <c r="CP1844" s="65"/>
      <c r="CQ1844" s="65"/>
      <c r="CR1844" s="65"/>
      <c r="CS1844" s="65"/>
      <c r="CT1844" s="65"/>
      <c r="CU1844" s="65"/>
      <c r="CV1844" s="65"/>
      <c r="CW1844" s="65"/>
      <c r="CX1844" s="65"/>
      <c r="CY1844" s="65"/>
      <c r="CZ1844" s="65"/>
      <c r="DA1844" s="65"/>
      <c r="DB1844" s="65"/>
      <c r="DC1844" s="65"/>
      <c r="DD1844" s="65"/>
      <c r="DE1844" s="65"/>
      <c r="DF1844" s="65"/>
      <c r="DG1844" s="65"/>
      <c r="DH1844" s="65"/>
      <c r="DI1844" s="65"/>
    </row>
    <row r="1845" spans="1:113">
      <c r="B1845" s="181"/>
      <c r="C1845" s="99"/>
      <c r="D1845" s="99"/>
      <c r="E1845" s="99"/>
      <c r="F1845" s="181"/>
      <c r="G1845" s="1048"/>
      <c r="H1845" s="1048"/>
      <c r="I1845" s="184"/>
      <c r="J1845" s="1072"/>
      <c r="K1845" s="1072"/>
      <c r="L1845" s="1073"/>
      <c r="M1845" s="160"/>
      <c r="O1845" s="65"/>
      <c r="P1845" s="65"/>
      <c r="Q1845" s="65"/>
      <c r="R1845" s="65"/>
      <c r="S1845" s="65"/>
      <c r="T1845" s="65"/>
      <c r="U1845" s="65"/>
      <c r="V1845" s="65"/>
      <c r="W1845" s="65"/>
      <c r="X1845" s="65"/>
      <c r="Y1845" s="65"/>
      <c r="Z1845" s="65"/>
      <c r="AA1845" s="65"/>
      <c r="AB1845" s="65"/>
      <c r="AC1845" s="65"/>
      <c r="AD1845" s="65"/>
      <c r="AE1845" s="65"/>
      <c r="AF1845" s="65"/>
      <c r="AG1845" s="65"/>
      <c r="AH1845" s="65"/>
      <c r="AI1845" s="65"/>
      <c r="AJ1845" s="65"/>
      <c r="AK1845" s="65"/>
      <c r="AL1845" s="65"/>
      <c r="AM1845" s="65"/>
      <c r="AN1845" s="65"/>
      <c r="AO1845" s="65"/>
      <c r="AP1845" s="65"/>
      <c r="AQ1845" s="65"/>
      <c r="AR1845" s="65"/>
      <c r="AS1845" s="65"/>
      <c r="AT1845" s="65"/>
      <c r="AU1845" s="65"/>
      <c r="AV1845" s="65"/>
      <c r="AW1845" s="65"/>
      <c r="AX1845" s="65"/>
      <c r="AY1845" s="65"/>
      <c r="AZ1845" s="65"/>
      <c r="BA1845" s="65"/>
      <c r="BB1845" s="65"/>
      <c r="BC1845" s="65"/>
      <c r="BD1845" s="65"/>
      <c r="BE1845" s="65"/>
      <c r="BF1845" s="65"/>
      <c r="BG1845" s="65"/>
      <c r="BH1845" s="65"/>
      <c r="BI1845" s="65"/>
      <c r="BJ1845" s="65"/>
      <c r="BK1845" s="65"/>
      <c r="BL1845" s="65"/>
      <c r="BM1845" s="65"/>
      <c r="BN1845" s="65"/>
      <c r="BO1845" s="65"/>
      <c r="BP1845" s="65"/>
      <c r="BQ1845" s="65"/>
      <c r="BR1845" s="65"/>
      <c r="BS1845" s="65"/>
      <c r="BT1845" s="65"/>
      <c r="BU1845" s="65"/>
      <c r="BV1845" s="65"/>
      <c r="BW1845" s="65"/>
      <c r="BX1845" s="65"/>
      <c r="BY1845" s="65"/>
      <c r="BZ1845" s="65"/>
      <c r="CA1845" s="65"/>
      <c r="CB1845" s="65"/>
      <c r="CC1845" s="65"/>
      <c r="CD1845" s="65"/>
      <c r="CE1845" s="65"/>
      <c r="CF1845" s="65"/>
      <c r="CG1845" s="65"/>
      <c r="CH1845" s="65"/>
      <c r="CI1845" s="65"/>
      <c r="CJ1845" s="65"/>
      <c r="CK1845" s="65"/>
      <c r="CL1845" s="65"/>
      <c r="CM1845" s="65"/>
      <c r="CN1845" s="65"/>
      <c r="CO1845" s="65"/>
      <c r="CP1845" s="65"/>
      <c r="CQ1845" s="65"/>
      <c r="CR1845" s="65"/>
      <c r="CS1845" s="65"/>
      <c r="CT1845" s="65"/>
      <c r="CU1845" s="65"/>
      <c r="CV1845" s="65"/>
      <c r="CW1845" s="65"/>
      <c r="CX1845" s="65"/>
      <c r="CY1845" s="65"/>
      <c r="CZ1845" s="65"/>
      <c r="DA1845" s="65"/>
      <c r="DB1845" s="65"/>
      <c r="DC1845" s="65"/>
      <c r="DD1845" s="65"/>
      <c r="DE1845" s="65"/>
      <c r="DF1845" s="65"/>
      <c r="DG1845" s="65"/>
      <c r="DH1845" s="65"/>
      <c r="DI1845" s="65"/>
    </row>
    <row r="1846" spans="1:113">
      <c r="B1846" s="181"/>
      <c r="C1846" s="99"/>
      <c r="D1846" s="99"/>
      <c r="E1846" s="99"/>
      <c r="F1846" s="1056"/>
      <c r="G1846" s="1057" t="s">
        <v>1347</v>
      </c>
      <c r="H1846" s="890" t="s">
        <v>1356</v>
      </c>
      <c r="I1846" s="184"/>
      <c r="J1846" s="215"/>
      <c r="K1846" s="1058" t="s">
        <v>1347</v>
      </c>
      <c r="L1846" s="1059" t="s">
        <v>1356</v>
      </c>
      <c r="M1846" s="160"/>
      <c r="O1846" s="65"/>
      <c r="P1846" s="65"/>
      <c r="Q1846" s="65"/>
      <c r="R1846" s="65"/>
      <c r="S1846" s="65"/>
      <c r="T1846" s="65"/>
      <c r="U1846" s="65"/>
      <c r="V1846" s="65"/>
      <c r="W1846" s="65"/>
      <c r="X1846" s="65"/>
      <c r="Y1846" s="65"/>
      <c r="Z1846" s="65"/>
      <c r="AA1846" s="65"/>
      <c r="AB1846" s="65"/>
      <c r="AC1846" s="65"/>
      <c r="AD1846" s="65"/>
      <c r="AE1846" s="65"/>
      <c r="AF1846" s="65"/>
      <c r="AG1846" s="65"/>
      <c r="AH1846" s="65"/>
      <c r="AI1846" s="65"/>
      <c r="AJ1846" s="65"/>
      <c r="AK1846" s="65"/>
      <c r="AL1846" s="65"/>
      <c r="AM1846" s="65"/>
      <c r="AN1846" s="65"/>
      <c r="AO1846" s="65"/>
      <c r="AP1846" s="65"/>
      <c r="AQ1846" s="65"/>
      <c r="AR1846" s="65"/>
      <c r="AS1846" s="65"/>
      <c r="AT1846" s="65"/>
      <c r="AU1846" s="65"/>
      <c r="AV1846" s="65"/>
      <c r="AW1846" s="65"/>
      <c r="AX1846" s="65"/>
      <c r="AY1846" s="65"/>
      <c r="AZ1846" s="65"/>
      <c r="BA1846" s="65"/>
      <c r="BB1846" s="65"/>
      <c r="BC1846" s="65"/>
      <c r="BD1846" s="65"/>
      <c r="BE1846" s="65"/>
      <c r="BF1846" s="65"/>
      <c r="BG1846" s="65"/>
      <c r="BH1846" s="65"/>
      <c r="BI1846" s="65"/>
      <c r="BJ1846" s="65"/>
      <c r="BK1846" s="65"/>
      <c r="BL1846" s="65"/>
      <c r="BM1846" s="65"/>
      <c r="BN1846" s="65"/>
      <c r="BO1846" s="65"/>
      <c r="BP1846" s="65"/>
      <c r="BQ1846" s="65"/>
      <c r="BR1846" s="65"/>
      <c r="BS1846" s="65"/>
      <c r="BT1846" s="65"/>
      <c r="BU1846" s="65"/>
      <c r="BV1846" s="65"/>
      <c r="BW1846" s="65"/>
      <c r="BX1846" s="65"/>
      <c r="BY1846" s="65"/>
      <c r="BZ1846" s="65"/>
      <c r="CA1846" s="65"/>
      <c r="CB1846" s="65"/>
      <c r="CC1846" s="65"/>
      <c r="CD1846" s="65"/>
      <c r="CE1846" s="65"/>
      <c r="CF1846" s="65"/>
      <c r="CG1846" s="65"/>
      <c r="CH1846" s="65"/>
      <c r="CI1846" s="65"/>
      <c r="CJ1846" s="65"/>
      <c r="CK1846" s="65"/>
      <c r="CL1846" s="65"/>
      <c r="CM1846" s="65"/>
      <c r="CN1846" s="65"/>
      <c r="CO1846" s="65"/>
      <c r="CP1846" s="65"/>
      <c r="CQ1846" s="65"/>
      <c r="CR1846" s="65"/>
      <c r="CS1846" s="65"/>
      <c r="CT1846" s="65"/>
      <c r="CU1846" s="65"/>
      <c r="CV1846" s="65"/>
      <c r="CW1846" s="65"/>
      <c r="CX1846" s="65"/>
      <c r="CY1846" s="65"/>
      <c r="CZ1846" s="65"/>
      <c r="DA1846" s="65"/>
      <c r="DB1846" s="65"/>
      <c r="DC1846" s="65"/>
      <c r="DD1846" s="65"/>
      <c r="DE1846" s="65"/>
      <c r="DF1846" s="65"/>
      <c r="DG1846" s="65"/>
      <c r="DH1846" s="65"/>
      <c r="DI1846" s="65"/>
    </row>
    <row r="1847" spans="1:113">
      <c r="B1847" s="181"/>
      <c r="C1847" s="99"/>
      <c r="D1847" s="99"/>
      <c r="E1847" s="99"/>
      <c r="F1847" s="1060" t="s">
        <v>1349</v>
      </c>
      <c r="G1847" s="85">
        <v>1377410.4683195595</v>
      </c>
      <c r="H1847" s="85">
        <v>474861.99323321646</v>
      </c>
      <c r="I1847" s="184"/>
      <c r="J1847" s="215" t="s">
        <v>1349</v>
      </c>
      <c r="K1847" s="97">
        <f>G1847</f>
        <v>1377410.4683195595</v>
      </c>
      <c r="L1847" s="1061">
        <f>H1847</f>
        <v>474861.99323321646</v>
      </c>
      <c r="M1847" s="160"/>
      <c r="O1847" s="65"/>
      <c r="P1847" s="65"/>
      <c r="Q1847" s="65"/>
      <c r="R1847" s="65"/>
      <c r="S1847" s="65"/>
      <c r="T1847" s="65"/>
      <c r="U1847" s="65"/>
      <c r="V1847" s="65"/>
      <c r="W1847" s="65"/>
      <c r="X1847" s="65"/>
      <c r="Y1847" s="65"/>
      <c r="Z1847" s="65"/>
      <c r="AA1847" s="65"/>
      <c r="AB1847" s="65"/>
      <c r="AC1847" s="65"/>
      <c r="AD1847" s="65"/>
      <c r="AE1847" s="65"/>
      <c r="AF1847" s="65"/>
      <c r="AG1847" s="65"/>
      <c r="AH1847" s="65"/>
      <c r="AI1847" s="65"/>
      <c r="AJ1847" s="65"/>
      <c r="AK1847" s="65"/>
      <c r="AL1847" s="65"/>
      <c r="AM1847" s="65"/>
      <c r="AN1847" s="65"/>
      <c r="AO1847" s="65"/>
      <c r="AP1847" s="65"/>
      <c r="AQ1847" s="65"/>
      <c r="AR1847" s="65"/>
      <c r="AS1847" s="65"/>
      <c r="AT1847" s="65"/>
      <c r="AU1847" s="65"/>
      <c r="AV1847" s="65"/>
      <c r="AW1847" s="65"/>
      <c r="AX1847" s="65"/>
      <c r="AY1847" s="65"/>
      <c r="AZ1847" s="65"/>
      <c r="BA1847" s="65"/>
      <c r="BB1847" s="65"/>
      <c r="BC1847" s="65"/>
      <c r="BD1847" s="65"/>
      <c r="BE1847" s="65"/>
      <c r="BF1847" s="65"/>
      <c r="BG1847" s="65"/>
      <c r="BH1847" s="65"/>
      <c r="BI1847" s="65"/>
      <c r="BJ1847" s="65"/>
      <c r="BK1847" s="65"/>
      <c r="BL1847" s="65"/>
      <c r="BM1847" s="65"/>
      <c r="BN1847" s="65"/>
      <c r="BO1847" s="65"/>
      <c r="BP1847" s="65"/>
      <c r="BQ1847" s="65"/>
      <c r="BR1847" s="65"/>
      <c r="BS1847" s="65"/>
      <c r="BT1847" s="65"/>
      <c r="BU1847" s="65"/>
      <c r="BV1847" s="65"/>
      <c r="BW1847" s="65"/>
      <c r="BX1847" s="65"/>
      <c r="BY1847" s="65"/>
      <c r="BZ1847" s="65"/>
      <c r="CA1847" s="65"/>
      <c r="CB1847" s="65"/>
      <c r="CC1847" s="65"/>
      <c r="CD1847" s="65"/>
      <c r="CE1847" s="65"/>
      <c r="CF1847" s="65"/>
      <c r="CG1847" s="65"/>
      <c r="CH1847" s="65"/>
      <c r="CI1847" s="65"/>
      <c r="CJ1847" s="65"/>
      <c r="CK1847" s="65"/>
      <c r="CL1847" s="65"/>
      <c r="CM1847" s="65"/>
      <c r="CN1847" s="65"/>
      <c r="CO1847" s="65"/>
      <c r="CP1847" s="65"/>
      <c r="CQ1847" s="65"/>
      <c r="CR1847" s="65"/>
      <c r="CS1847" s="65"/>
      <c r="CT1847" s="65"/>
      <c r="CU1847" s="65"/>
      <c r="CV1847" s="65"/>
      <c r="CW1847" s="65"/>
      <c r="CX1847" s="65"/>
      <c r="CY1847" s="65"/>
      <c r="CZ1847" s="65"/>
      <c r="DA1847" s="65"/>
      <c r="DB1847" s="65"/>
      <c r="DC1847" s="65"/>
      <c r="DD1847" s="65"/>
      <c r="DE1847" s="65"/>
      <c r="DF1847" s="65"/>
      <c r="DG1847" s="65"/>
      <c r="DH1847" s="65"/>
      <c r="DI1847" s="65"/>
    </row>
    <row r="1848" spans="1:113">
      <c r="B1848" s="181"/>
      <c r="C1848" s="99"/>
      <c r="D1848" s="99"/>
      <c r="E1848" s="99"/>
      <c r="F1848" s="1062" t="s">
        <v>1350</v>
      </c>
      <c r="G1848" s="1048"/>
      <c r="H1848" s="85">
        <v>1816.3471241170532</v>
      </c>
      <c r="I1848" s="184"/>
      <c r="J1848" s="1072"/>
      <c r="K1848" s="1046"/>
      <c r="L1848" s="1061">
        <f>H1848</f>
        <v>1816.3471241170532</v>
      </c>
      <c r="M1848" s="160"/>
      <c r="O1848" s="65"/>
      <c r="P1848" s="65"/>
      <c r="Q1848" s="65"/>
      <c r="R1848" s="65"/>
      <c r="S1848" s="65"/>
      <c r="T1848" s="65"/>
      <c r="U1848" s="65"/>
      <c r="V1848" s="65"/>
      <c r="W1848" s="65"/>
      <c r="X1848" s="65"/>
      <c r="Y1848" s="65"/>
      <c r="Z1848" s="65"/>
      <c r="AA1848" s="65"/>
      <c r="AB1848" s="65"/>
      <c r="AC1848" s="65"/>
      <c r="AD1848" s="65"/>
      <c r="AE1848" s="65"/>
      <c r="AF1848" s="65"/>
      <c r="AG1848" s="65"/>
      <c r="AH1848" s="65"/>
      <c r="AI1848" s="65"/>
      <c r="AJ1848" s="65"/>
      <c r="AK1848" s="65"/>
      <c r="AL1848" s="65"/>
      <c r="AM1848" s="65"/>
      <c r="AN1848" s="65"/>
      <c r="AO1848" s="65"/>
      <c r="AP1848" s="65"/>
      <c r="AQ1848" s="65"/>
      <c r="AR1848" s="65"/>
      <c r="AS1848" s="65"/>
      <c r="AT1848" s="65"/>
      <c r="AU1848" s="65"/>
      <c r="AV1848" s="65"/>
      <c r="AW1848" s="65"/>
      <c r="AX1848" s="65"/>
      <c r="AY1848" s="65"/>
      <c r="AZ1848" s="65"/>
      <c r="BA1848" s="65"/>
      <c r="BB1848" s="65"/>
      <c r="BC1848" s="65"/>
      <c r="BD1848" s="65"/>
      <c r="BE1848" s="65"/>
      <c r="BF1848" s="65"/>
      <c r="BG1848" s="65"/>
      <c r="BH1848" s="65"/>
      <c r="BI1848" s="65"/>
      <c r="BJ1848" s="65"/>
      <c r="BK1848" s="65"/>
      <c r="BL1848" s="65"/>
      <c r="BM1848" s="65"/>
      <c r="BN1848" s="65"/>
      <c r="BO1848" s="65"/>
      <c r="BP1848" s="65"/>
      <c r="BQ1848" s="65"/>
      <c r="BR1848" s="65"/>
      <c r="BS1848" s="65"/>
      <c r="BT1848" s="65"/>
      <c r="BU1848" s="65"/>
      <c r="BV1848" s="65"/>
      <c r="BW1848" s="65"/>
      <c r="BX1848" s="65"/>
      <c r="BY1848" s="65"/>
      <c r="BZ1848" s="65"/>
      <c r="CA1848" s="65"/>
      <c r="CB1848" s="65"/>
      <c r="CC1848" s="65"/>
      <c r="CD1848" s="65"/>
      <c r="CE1848" s="65"/>
      <c r="CF1848" s="65"/>
      <c r="CG1848" s="65"/>
      <c r="CH1848" s="65"/>
      <c r="CI1848" s="65"/>
      <c r="CJ1848" s="65"/>
      <c r="CK1848" s="65"/>
      <c r="CL1848" s="65"/>
      <c r="CM1848" s="65"/>
      <c r="CN1848" s="65"/>
      <c r="CO1848" s="65"/>
      <c r="CP1848" s="65"/>
      <c r="CQ1848" s="65"/>
      <c r="CR1848" s="65"/>
      <c r="CS1848" s="65"/>
      <c r="CT1848" s="65"/>
      <c r="CU1848" s="65"/>
      <c r="CV1848" s="65"/>
      <c r="CW1848" s="65"/>
      <c r="CX1848" s="65"/>
      <c r="CY1848" s="65"/>
      <c r="CZ1848" s="65"/>
      <c r="DA1848" s="65"/>
      <c r="DB1848" s="65"/>
      <c r="DC1848" s="65"/>
      <c r="DD1848" s="65"/>
      <c r="DE1848" s="65"/>
      <c r="DF1848" s="65"/>
      <c r="DG1848" s="65"/>
      <c r="DH1848" s="65"/>
      <c r="DI1848" s="65"/>
    </row>
    <row r="1849" spans="1:113">
      <c r="B1849" s="181"/>
      <c r="C1849" s="99"/>
      <c r="D1849" s="99"/>
      <c r="E1849" s="99"/>
      <c r="F1849" s="1060" t="s">
        <v>1351</v>
      </c>
      <c r="G1849" s="85">
        <v>70.2</v>
      </c>
      <c r="H1849" s="85"/>
      <c r="I1849" s="184"/>
      <c r="J1849" s="1072"/>
      <c r="K1849" s="1046"/>
      <c r="L1849" s="1061"/>
      <c r="M1849" s="160"/>
      <c r="O1849" s="65"/>
      <c r="P1849" s="65"/>
      <c r="Q1849" s="65"/>
      <c r="R1849" s="65"/>
      <c r="S1849" s="65"/>
      <c r="T1849" s="65"/>
      <c r="U1849" s="65"/>
      <c r="V1849" s="65"/>
      <c r="W1849" s="65"/>
      <c r="X1849" s="65"/>
      <c r="Y1849" s="65"/>
      <c r="Z1849" s="65"/>
      <c r="AA1849" s="65"/>
      <c r="AB1849" s="65"/>
      <c r="AC1849" s="65"/>
      <c r="AD1849" s="65"/>
      <c r="AE1849" s="65"/>
      <c r="AF1849" s="65"/>
      <c r="AG1849" s="65"/>
      <c r="AH1849" s="65"/>
      <c r="AI1849" s="65"/>
      <c r="AJ1849" s="65"/>
      <c r="AK1849" s="65"/>
      <c r="AL1849" s="65"/>
      <c r="AM1849" s="65"/>
      <c r="AN1849" s="65"/>
      <c r="AO1849" s="65"/>
      <c r="AP1849" s="65"/>
      <c r="AQ1849" s="65"/>
      <c r="AR1849" s="65"/>
      <c r="AS1849" s="65"/>
      <c r="AT1849" s="65"/>
      <c r="AU1849" s="65"/>
      <c r="AV1849" s="65"/>
      <c r="AW1849" s="65"/>
      <c r="AX1849" s="65"/>
      <c r="AY1849" s="65"/>
      <c r="AZ1849" s="65"/>
      <c r="BA1849" s="65"/>
      <c r="BB1849" s="65"/>
      <c r="BC1849" s="65"/>
      <c r="BD1849" s="65"/>
      <c r="BE1849" s="65"/>
      <c r="BF1849" s="65"/>
      <c r="BG1849" s="65"/>
      <c r="BH1849" s="65"/>
      <c r="BI1849" s="65"/>
      <c r="BJ1849" s="65"/>
      <c r="BK1849" s="65"/>
      <c r="BL1849" s="65"/>
      <c r="BM1849" s="65"/>
      <c r="BN1849" s="65"/>
      <c r="BO1849" s="65"/>
      <c r="BP1849" s="65"/>
      <c r="BQ1849" s="65"/>
      <c r="BR1849" s="65"/>
      <c r="BS1849" s="65"/>
      <c r="BT1849" s="65"/>
      <c r="BU1849" s="65"/>
      <c r="BV1849" s="65"/>
      <c r="BW1849" s="65"/>
      <c r="BX1849" s="65"/>
      <c r="BY1849" s="65"/>
      <c r="BZ1849" s="65"/>
      <c r="CA1849" s="65"/>
      <c r="CB1849" s="65"/>
      <c r="CC1849" s="65"/>
      <c r="CD1849" s="65"/>
      <c r="CE1849" s="65"/>
      <c r="CF1849" s="65"/>
      <c r="CG1849" s="65"/>
      <c r="CH1849" s="65"/>
      <c r="CI1849" s="65"/>
      <c r="CJ1849" s="65"/>
      <c r="CK1849" s="65"/>
      <c r="CL1849" s="65"/>
      <c r="CM1849" s="65"/>
      <c r="CN1849" s="65"/>
      <c r="CO1849" s="65"/>
      <c r="CP1849" s="65"/>
      <c r="CQ1849" s="65"/>
      <c r="CR1849" s="65"/>
      <c r="CS1849" s="65"/>
      <c r="CT1849" s="65"/>
      <c r="CU1849" s="65"/>
      <c r="CV1849" s="65"/>
      <c r="CW1849" s="65"/>
      <c r="CX1849" s="65"/>
      <c r="CY1849" s="65"/>
      <c r="CZ1849" s="65"/>
      <c r="DA1849" s="65"/>
      <c r="DB1849" s="65"/>
      <c r="DC1849" s="65"/>
      <c r="DD1849" s="65"/>
      <c r="DE1849" s="65"/>
      <c r="DF1849" s="65"/>
      <c r="DG1849" s="65"/>
      <c r="DH1849" s="65"/>
      <c r="DI1849" s="65"/>
    </row>
    <row r="1850" spans="1:113">
      <c r="B1850" s="181"/>
      <c r="C1850" s="99"/>
      <c r="D1850" s="99"/>
      <c r="E1850" s="99"/>
      <c r="F1850" s="1062" t="s">
        <v>1352</v>
      </c>
      <c r="G1850" s="1063">
        <v>1.001816347124117</v>
      </c>
      <c r="H1850" s="160"/>
      <c r="I1850" s="161"/>
      <c r="J1850" s="1074" t="s">
        <v>1352</v>
      </c>
      <c r="K1850" s="1075">
        <f>G1850</f>
        <v>1.001816347124117</v>
      </c>
      <c r="L1850" s="1076"/>
      <c r="M1850" s="160"/>
      <c r="O1850" s="65"/>
      <c r="P1850" s="65"/>
      <c r="Q1850" s="65"/>
      <c r="R1850" s="65"/>
      <c r="S1850" s="65"/>
      <c r="T1850" s="65"/>
      <c r="U1850" s="65"/>
      <c r="V1850" s="65"/>
      <c r="W1850" s="65"/>
      <c r="X1850" s="65"/>
      <c r="Y1850" s="65"/>
      <c r="Z1850" s="65"/>
      <c r="AA1850" s="65"/>
      <c r="AB1850" s="65"/>
      <c r="AC1850" s="65"/>
      <c r="AD1850" s="65"/>
      <c r="AE1850" s="65"/>
      <c r="AF1850" s="65"/>
      <c r="AG1850" s="65"/>
      <c r="AH1850" s="65"/>
      <c r="AI1850" s="65"/>
      <c r="AJ1850" s="65"/>
      <c r="AK1850" s="65"/>
      <c r="AL1850" s="65"/>
      <c r="AM1850" s="65"/>
      <c r="AN1850" s="65"/>
      <c r="AO1850" s="65"/>
      <c r="AP1850" s="65"/>
      <c r="AQ1850" s="65"/>
      <c r="AR1850" s="65"/>
      <c r="AS1850" s="65"/>
      <c r="AT1850" s="65"/>
      <c r="AU1850" s="65"/>
      <c r="AV1850" s="65"/>
      <c r="AW1850" s="65"/>
      <c r="AX1850" s="65"/>
      <c r="AY1850" s="65"/>
      <c r="AZ1850" s="65"/>
      <c r="BA1850" s="65"/>
      <c r="BB1850" s="65"/>
      <c r="BC1850" s="65"/>
      <c r="BD1850" s="65"/>
      <c r="BE1850" s="65"/>
      <c r="BF1850" s="65"/>
      <c r="BG1850" s="65"/>
      <c r="BH1850" s="65"/>
      <c r="BI1850" s="65"/>
      <c r="BJ1850" s="65"/>
      <c r="BK1850" s="65"/>
      <c r="BL1850" s="65"/>
      <c r="BM1850" s="65"/>
      <c r="BN1850" s="65"/>
      <c r="BO1850" s="65"/>
      <c r="BP1850" s="65"/>
      <c r="BQ1850" s="65"/>
      <c r="BR1850" s="65"/>
      <c r="BS1850" s="65"/>
      <c r="BT1850" s="65"/>
      <c r="BU1850" s="65"/>
      <c r="BV1850" s="65"/>
      <c r="BW1850" s="65"/>
      <c r="BX1850" s="65"/>
      <c r="BY1850" s="65"/>
      <c r="BZ1850" s="65"/>
      <c r="CA1850" s="65"/>
      <c r="CB1850" s="65"/>
      <c r="CC1850" s="65"/>
      <c r="CD1850" s="65"/>
      <c r="CE1850" s="65"/>
      <c r="CF1850" s="65"/>
      <c r="CG1850" s="65"/>
      <c r="CH1850" s="65"/>
      <c r="CI1850" s="65"/>
      <c r="CJ1850" s="65"/>
      <c r="CK1850" s="65"/>
      <c r="CL1850" s="65"/>
      <c r="CM1850" s="65"/>
      <c r="CN1850" s="65"/>
      <c r="CO1850" s="65"/>
      <c r="CP1850" s="65"/>
      <c r="CQ1850" s="65"/>
      <c r="CR1850" s="65"/>
      <c r="CS1850" s="65"/>
      <c r="CT1850" s="65"/>
      <c r="CU1850" s="65"/>
      <c r="CV1850" s="65"/>
      <c r="CW1850" s="65"/>
      <c r="CX1850" s="65"/>
      <c r="CY1850" s="65"/>
      <c r="CZ1850" s="65"/>
      <c r="DA1850" s="65"/>
      <c r="DB1850" s="65"/>
      <c r="DC1850" s="65"/>
      <c r="DD1850" s="65"/>
      <c r="DE1850" s="65"/>
      <c r="DF1850" s="65"/>
      <c r="DG1850" s="65"/>
      <c r="DH1850" s="65"/>
      <c r="DI1850" s="65"/>
    </row>
    <row r="1851" spans="1:113">
      <c r="B1851" s="181"/>
      <c r="C1851" s="99"/>
      <c r="D1851" s="99"/>
      <c r="E1851" s="99"/>
      <c r="F1851" s="1062" t="s">
        <v>1353</v>
      </c>
      <c r="G1851" s="85">
        <f>$G$1847*(G134+H134)/1000000</f>
        <v>3224759.0805534655</v>
      </c>
      <c r="H1851" s="85">
        <f>($H$1847*(G134+H134)/1000000)+$H$1848</f>
        <v>1113551.4180479918</v>
      </c>
      <c r="I1851" s="161"/>
      <c r="J1851" s="1074" t="s">
        <v>1353</v>
      </c>
      <c r="K1851" s="97">
        <f>G1851</f>
        <v>3224759.0805534655</v>
      </c>
      <c r="L1851" s="1061">
        <f>H1851</f>
        <v>1113551.4180479918</v>
      </c>
      <c r="M1851" s="160"/>
      <c r="O1851" s="65"/>
      <c r="P1851" s="65"/>
      <c r="Q1851" s="65"/>
      <c r="R1851" s="65"/>
      <c r="S1851" s="65"/>
      <c r="T1851" s="65"/>
      <c r="U1851" s="65"/>
      <c r="V1851" s="65"/>
      <c r="W1851" s="65"/>
      <c r="X1851" s="65"/>
      <c r="Y1851" s="65"/>
      <c r="Z1851" s="65"/>
      <c r="AA1851" s="65"/>
      <c r="AB1851" s="65"/>
      <c r="AC1851" s="65"/>
      <c r="AD1851" s="65"/>
      <c r="AE1851" s="65"/>
      <c r="AF1851" s="65"/>
      <c r="AG1851" s="65"/>
      <c r="AH1851" s="65"/>
      <c r="AI1851" s="65"/>
      <c r="AJ1851" s="65"/>
      <c r="AK1851" s="65"/>
      <c r="AL1851" s="65"/>
      <c r="AM1851" s="65"/>
      <c r="AN1851" s="65"/>
      <c r="AO1851" s="65"/>
      <c r="AP1851" s="65"/>
      <c r="AQ1851" s="65"/>
      <c r="AR1851" s="65"/>
      <c r="AS1851" s="65"/>
      <c r="AT1851" s="65"/>
      <c r="AU1851" s="65"/>
      <c r="AV1851" s="65"/>
      <c r="AW1851" s="65"/>
      <c r="AX1851" s="65"/>
      <c r="AY1851" s="65"/>
      <c r="AZ1851" s="65"/>
      <c r="BA1851" s="65"/>
      <c r="BB1851" s="65"/>
      <c r="BC1851" s="65"/>
      <c r="BD1851" s="65"/>
      <c r="BE1851" s="65"/>
      <c r="BF1851" s="65"/>
      <c r="BG1851" s="65"/>
      <c r="BH1851" s="65"/>
      <c r="BI1851" s="65"/>
      <c r="BJ1851" s="65"/>
      <c r="BK1851" s="65"/>
      <c r="BL1851" s="65"/>
      <c r="BM1851" s="65"/>
      <c r="BN1851" s="65"/>
      <c r="BO1851" s="65"/>
      <c r="BP1851" s="65"/>
      <c r="BQ1851" s="65"/>
      <c r="BR1851" s="65"/>
      <c r="BS1851" s="65"/>
      <c r="BT1851" s="65"/>
      <c r="BU1851" s="65"/>
      <c r="BV1851" s="65"/>
      <c r="BW1851" s="65"/>
      <c r="BX1851" s="65"/>
      <c r="BY1851" s="65"/>
      <c r="BZ1851" s="65"/>
      <c r="CA1851" s="65"/>
      <c r="CB1851" s="65"/>
      <c r="CC1851" s="65"/>
      <c r="CD1851" s="65"/>
      <c r="CE1851" s="65"/>
      <c r="CF1851" s="65"/>
      <c r="CG1851" s="65"/>
      <c r="CH1851" s="65"/>
      <c r="CI1851" s="65"/>
      <c r="CJ1851" s="65"/>
      <c r="CK1851" s="65"/>
      <c r="CL1851" s="65"/>
      <c r="CM1851" s="65"/>
      <c r="CN1851" s="65"/>
      <c r="CO1851" s="65"/>
      <c r="CP1851" s="65"/>
      <c r="CQ1851" s="65"/>
      <c r="CR1851" s="65"/>
      <c r="CS1851" s="65"/>
      <c r="CT1851" s="65"/>
      <c r="CU1851" s="65"/>
      <c r="CV1851" s="65"/>
      <c r="CW1851" s="65"/>
      <c r="CX1851" s="65"/>
      <c r="CY1851" s="65"/>
      <c r="CZ1851" s="65"/>
      <c r="DA1851" s="65"/>
      <c r="DB1851" s="65"/>
      <c r="DC1851" s="65"/>
      <c r="DD1851" s="65"/>
      <c r="DE1851" s="65"/>
      <c r="DF1851" s="65"/>
      <c r="DG1851" s="65"/>
      <c r="DH1851" s="65"/>
      <c r="DI1851" s="65"/>
    </row>
    <row r="1852" spans="1:113">
      <c r="B1852" s="181"/>
      <c r="C1852" s="99"/>
      <c r="D1852" s="99"/>
      <c r="E1852" s="99"/>
      <c r="F1852" s="1062" t="s">
        <v>279</v>
      </c>
      <c r="G1852" s="85">
        <f>$G$1847*(G138+H138)/1000000</f>
        <v>62878.701570587094</v>
      </c>
      <c r="H1852" s="85">
        <f>($H$1847*(G138+H138)/1000000)+($H$1848*(G138+H138)/(G134+H134))</f>
        <v>21712.836695672297</v>
      </c>
      <c r="I1852" s="161"/>
      <c r="J1852" s="1074" t="s">
        <v>279</v>
      </c>
      <c r="K1852" s="97">
        <f>G1852</f>
        <v>62878.701570587094</v>
      </c>
      <c r="L1852" s="1061">
        <f>H1852</f>
        <v>21712.836695672297</v>
      </c>
      <c r="M1852" s="160"/>
      <c r="O1852" s="65"/>
      <c r="P1852" s="65"/>
      <c r="Q1852" s="65"/>
      <c r="R1852" s="65"/>
      <c r="S1852" s="65"/>
      <c r="T1852" s="65"/>
      <c r="U1852" s="65"/>
      <c r="V1852" s="65"/>
      <c r="W1852" s="65"/>
      <c r="X1852" s="65"/>
      <c r="Y1852" s="65"/>
      <c r="Z1852" s="65"/>
      <c r="AA1852" s="65"/>
      <c r="AB1852" s="65"/>
      <c r="AC1852" s="65"/>
      <c r="AD1852" s="65"/>
      <c r="AE1852" s="65"/>
      <c r="AF1852" s="65"/>
      <c r="AG1852" s="65"/>
      <c r="AH1852" s="65"/>
      <c r="AI1852" s="65"/>
      <c r="AJ1852" s="65"/>
      <c r="AK1852" s="65"/>
      <c r="AL1852" s="65"/>
      <c r="AM1852" s="65"/>
      <c r="AN1852" s="65"/>
      <c r="AO1852" s="65"/>
      <c r="AP1852" s="65"/>
      <c r="AQ1852" s="65"/>
      <c r="AR1852" s="65"/>
      <c r="AS1852" s="65"/>
      <c r="AT1852" s="65"/>
      <c r="AU1852" s="65"/>
      <c r="AV1852" s="65"/>
      <c r="AW1852" s="65"/>
      <c r="AX1852" s="65"/>
      <c r="AY1852" s="65"/>
      <c r="AZ1852" s="65"/>
      <c r="BA1852" s="65"/>
      <c r="BB1852" s="65"/>
      <c r="BC1852" s="65"/>
      <c r="BD1852" s="65"/>
      <c r="BE1852" s="65"/>
      <c r="BF1852" s="65"/>
      <c r="BG1852" s="65"/>
      <c r="BH1852" s="65"/>
      <c r="BI1852" s="65"/>
      <c r="BJ1852" s="65"/>
      <c r="BK1852" s="65"/>
      <c r="BL1852" s="65"/>
      <c r="BM1852" s="65"/>
      <c r="BN1852" s="65"/>
      <c r="BO1852" s="65"/>
      <c r="BP1852" s="65"/>
      <c r="BQ1852" s="65"/>
      <c r="BR1852" s="65"/>
      <c r="BS1852" s="65"/>
      <c r="BT1852" s="65"/>
      <c r="BU1852" s="65"/>
      <c r="BV1852" s="65"/>
      <c r="BW1852" s="65"/>
      <c r="BX1852" s="65"/>
      <c r="BY1852" s="65"/>
      <c r="BZ1852" s="65"/>
      <c r="CA1852" s="65"/>
      <c r="CB1852" s="65"/>
      <c r="CC1852" s="65"/>
      <c r="CD1852" s="65"/>
      <c r="CE1852" s="65"/>
      <c r="CF1852" s="65"/>
      <c r="CG1852" s="65"/>
      <c r="CH1852" s="65"/>
      <c r="CI1852" s="65"/>
      <c r="CJ1852" s="65"/>
      <c r="CK1852" s="65"/>
      <c r="CL1852" s="65"/>
      <c r="CM1852" s="65"/>
      <c r="CN1852" s="65"/>
      <c r="CO1852" s="65"/>
      <c r="CP1852" s="65"/>
      <c r="CQ1852" s="65"/>
      <c r="CR1852" s="65"/>
      <c r="CS1852" s="65"/>
      <c r="CT1852" s="65"/>
      <c r="CU1852" s="65"/>
      <c r="CV1852" s="65"/>
      <c r="CW1852" s="65"/>
      <c r="CX1852" s="65"/>
      <c r="CY1852" s="65"/>
      <c r="CZ1852" s="65"/>
      <c r="DA1852" s="65"/>
      <c r="DB1852" s="65"/>
      <c r="DC1852" s="65"/>
      <c r="DD1852" s="65"/>
      <c r="DE1852" s="65"/>
      <c r="DF1852" s="65"/>
      <c r="DG1852" s="65"/>
      <c r="DH1852" s="65"/>
      <c r="DI1852" s="65"/>
    </row>
    <row r="1853" spans="1:113">
      <c r="B1853" s="185"/>
      <c r="C1853" s="172"/>
      <c r="D1853" s="172"/>
      <c r="E1853" s="172"/>
      <c r="F1853" s="1077" t="s">
        <v>1354</v>
      </c>
      <c r="G1853" s="1064">
        <f>$G$1847*(G139+H139)/1000000+$G$1849</f>
        <v>539.27062535489893</v>
      </c>
      <c r="H1853" s="1064">
        <f>($H$1847*(G139+H139)/1000000)+($H$1848*(G139+H139)/(G135+H135))</f>
        <v>162.02448274436355</v>
      </c>
      <c r="I1853" s="173"/>
      <c r="J1853" s="1078" t="s">
        <v>279</v>
      </c>
      <c r="K1853" s="1079">
        <f>G1853</f>
        <v>539.27062535489893</v>
      </c>
      <c r="L1853" s="1080">
        <f>H1853</f>
        <v>162.02448274436355</v>
      </c>
      <c r="M1853" s="160"/>
      <c r="O1853" s="65"/>
      <c r="P1853" s="65"/>
      <c r="Q1853" s="65"/>
      <c r="R1853" s="65"/>
      <c r="S1853" s="65"/>
      <c r="T1853" s="65"/>
      <c r="U1853" s="65"/>
      <c r="V1853" s="65"/>
      <c r="W1853" s="65"/>
      <c r="X1853" s="65"/>
      <c r="Y1853" s="65"/>
      <c r="Z1853" s="65"/>
      <c r="AA1853" s="65"/>
      <c r="AB1853" s="65"/>
      <c r="AC1853" s="65"/>
      <c r="AD1853" s="65"/>
      <c r="AE1853" s="65"/>
      <c r="AF1853" s="65"/>
      <c r="AG1853" s="65"/>
      <c r="AH1853" s="65"/>
      <c r="AI1853" s="65"/>
      <c r="AJ1853" s="65"/>
      <c r="AK1853" s="65"/>
      <c r="AL1853" s="65"/>
      <c r="AM1853" s="65"/>
      <c r="AN1853" s="65"/>
      <c r="AO1853" s="65"/>
      <c r="AP1853" s="65"/>
      <c r="AQ1853" s="65"/>
      <c r="AR1853" s="65"/>
      <c r="AS1853" s="65"/>
      <c r="AT1853" s="65"/>
      <c r="AU1853" s="65"/>
      <c r="AV1853" s="65"/>
      <c r="AW1853" s="65"/>
      <c r="AX1853" s="65"/>
      <c r="AY1853" s="65"/>
      <c r="AZ1853" s="65"/>
      <c r="BA1853" s="65"/>
      <c r="BB1853" s="65"/>
      <c r="BC1853" s="65"/>
      <c r="BD1853" s="65"/>
      <c r="BE1853" s="65"/>
      <c r="BF1853" s="65"/>
      <c r="BG1853" s="65"/>
      <c r="BH1853" s="65"/>
      <c r="BI1853" s="65"/>
      <c r="BJ1853" s="65"/>
      <c r="BK1853" s="65"/>
      <c r="BL1853" s="65"/>
      <c r="BM1853" s="65"/>
      <c r="BN1853" s="65"/>
      <c r="BO1853" s="65"/>
      <c r="BP1853" s="65"/>
      <c r="BQ1853" s="65"/>
      <c r="BR1853" s="65"/>
      <c r="BS1853" s="65"/>
      <c r="BT1853" s="65"/>
      <c r="BU1853" s="65"/>
      <c r="BV1853" s="65"/>
      <c r="BW1853" s="65"/>
      <c r="BX1853" s="65"/>
      <c r="BY1853" s="65"/>
      <c r="BZ1853" s="65"/>
      <c r="CA1853" s="65"/>
      <c r="CB1853" s="65"/>
      <c r="CC1853" s="65"/>
      <c r="CD1853" s="65"/>
      <c r="CE1853" s="65"/>
      <c r="CF1853" s="65"/>
      <c r="CG1853" s="65"/>
      <c r="CH1853" s="65"/>
      <c r="CI1853" s="65"/>
      <c r="CJ1853" s="65"/>
      <c r="CK1853" s="65"/>
      <c r="CL1853" s="65"/>
      <c r="CM1853" s="65"/>
      <c r="CN1853" s="65"/>
      <c r="CO1853" s="65"/>
      <c r="CP1853" s="65"/>
      <c r="CQ1853" s="65"/>
      <c r="CR1853" s="65"/>
      <c r="CS1853" s="65"/>
      <c r="CT1853" s="65"/>
      <c r="CU1853" s="65"/>
      <c r="CV1853" s="65"/>
      <c r="CW1853" s="65"/>
      <c r="CX1853" s="65"/>
      <c r="CY1853" s="65"/>
      <c r="CZ1853" s="65"/>
      <c r="DA1853" s="65"/>
      <c r="DB1853" s="65"/>
      <c r="DC1853" s="65"/>
      <c r="DD1853" s="65"/>
      <c r="DE1853" s="65"/>
      <c r="DF1853" s="65"/>
      <c r="DG1853" s="65"/>
      <c r="DH1853" s="65"/>
      <c r="DI1853" s="65"/>
    </row>
    <row r="1855" spans="1:113">
      <c r="A1855" s="243"/>
      <c r="B1855" s="243"/>
      <c r="C1855" s="243"/>
      <c r="D1855" s="243"/>
      <c r="E1855" s="243"/>
      <c r="F1855" s="243"/>
      <c r="G1855" s="243"/>
      <c r="H1855" s="243"/>
      <c r="I1855" s="243"/>
      <c r="J1855" s="243"/>
      <c r="K1855" s="243"/>
      <c r="L1855" s="243"/>
      <c r="M1855" s="243"/>
      <c r="N1855" s="243"/>
      <c r="O1855" s="243"/>
      <c r="P1855" s="243"/>
      <c r="Q1855" s="243"/>
      <c r="R1855" s="243"/>
      <c r="S1855" s="243"/>
      <c r="T1855" s="243"/>
      <c r="U1855" s="243"/>
      <c r="V1855" s="243"/>
      <c r="W1855" s="243"/>
      <c r="X1855" s="243"/>
      <c r="Y1855" s="243"/>
      <c r="Z1855" s="243"/>
      <c r="AA1855" s="243"/>
      <c r="AB1855" s="243"/>
      <c r="AC1855" s="243"/>
      <c r="AD1855" s="243"/>
      <c r="AE1855" s="243"/>
      <c r="AF1855" s="243"/>
      <c r="AG1855" s="243"/>
      <c r="AH1855" s="243"/>
      <c r="AI1855" s="243"/>
      <c r="AJ1855" s="243"/>
      <c r="AK1855" s="243"/>
      <c r="AL1855" s="243"/>
      <c r="AM1855" s="243"/>
      <c r="AN1855" s="243"/>
      <c r="AO1855" s="243"/>
      <c r="AP1855" s="243"/>
      <c r="AQ1855" s="243"/>
      <c r="AR1855" s="243"/>
      <c r="AS1855" s="243"/>
      <c r="AT1855" s="243"/>
      <c r="AU1855" s="243"/>
      <c r="AV1855" s="243"/>
      <c r="AW1855" s="243"/>
      <c r="AX1855" s="243"/>
      <c r="AY1855" s="243"/>
      <c r="AZ1855" s="243"/>
      <c r="BA1855" s="243"/>
      <c r="BB1855" s="243"/>
      <c r="BC1855" s="243"/>
      <c r="BD1855" s="243"/>
      <c r="BE1855" s="243"/>
      <c r="BF1855" s="243"/>
      <c r="BG1855" s="243"/>
      <c r="BH1855" s="243"/>
      <c r="BI1855" s="243"/>
      <c r="BJ1855" s="243"/>
      <c r="BK1855" s="243"/>
      <c r="BL1855" s="243"/>
      <c r="BM1855" s="243"/>
      <c r="BN1855" s="243"/>
      <c r="BO1855" s="243"/>
      <c r="BP1855" s="243"/>
      <c r="BQ1855" s="243"/>
      <c r="BR1855" s="243"/>
      <c r="BS1855" s="243"/>
      <c r="BT1855" s="243"/>
      <c r="BU1855" s="243"/>
      <c r="BV1855" s="243"/>
      <c r="BW1855" s="243"/>
      <c r="BX1855" s="243"/>
      <c r="BY1855" s="243"/>
      <c r="BZ1855" s="243"/>
      <c r="CA1855" s="243"/>
      <c r="CB1855" s="243"/>
      <c r="CC1855" s="243"/>
      <c r="CD1855" s="243"/>
      <c r="CE1855" s="243"/>
      <c r="CF1855" s="243"/>
      <c r="CG1855" s="243"/>
      <c r="CH1855" s="243"/>
      <c r="CI1855" s="243"/>
      <c r="CJ1855" s="243"/>
      <c r="CK1855" s="243"/>
      <c r="CL1855" s="243"/>
      <c r="CM1855" s="243"/>
      <c r="CN1855" s="243"/>
      <c r="CO1855" s="243"/>
      <c r="CP1855" s="243"/>
      <c r="CQ1855" s="243"/>
      <c r="CR1855" s="243"/>
      <c r="CS1855" s="243"/>
      <c r="CT1855" s="243"/>
      <c r="CU1855" s="243"/>
      <c r="CV1855" s="243"/>
      <c r="CW1855" s="243"/>
      <c r="CX1855" s="243"/>
      <c r="CY1855" s="243"/>
      <c r="CZ1855" s="243"/>
      <c r="DA1855" s="243"/>
      <c r="DB1855" s="243"/>
      <c r="DC1855" s="243"/>
      <c r="DD1855" s="243"/>
      <c r="DE1855" s="243"/>
      <c r="DF1855" s="243"/>
      <c r="DG1855" s="243"/>
      <c r="DH1855" s="243"/>
      <c r="DI1855" s="243"/>
    </row>
    <row r="1856" spans="1:113">
      <c r="A1856" s="243"/>
      <c r="B1856" s="243"/>
      <c r="C1856" s="243"/>
      <c r="D1856" s="243"/>
      <c r="E1856" s="243"/>
      <c r="F1856" s="243"/>
      <c r="G1856" s="243"/>
      <c r="H1856" s="243"/>
      <c r="I1856" s="243"/>
      <c r="J1856" s="243"/>
      <c r="K1856" s="243"/>
      <c r="L1856" s="243"/>
      <c r="M1856" s="243"/>
      <c r="N1856" s="243"/>
      <c r="O1856" s="243"/>
      <c r="P1856" s="243"/>
      <c r="Q1856" s="243"/>
      <c r="R1856" s="243"/>
      <c r="S1856" s="243"/>
      <c r="T1856" s="243"/>
      <c r="U1856" s="243"/>
      <c r="V1856" s="243"/>
      <c r="W1856" s="243"/>
      <c r="X1856" s="243"/>
      <c r="Y1856" s="243"/>
      <c r="Z1856" s="243"/>
      <c r="AA1856" s="243"/>
      <c r="AB1856" s="243"/>
      <c r="AC1856" s="243"/>
      <c r="AD1856" s="243"/>
      <c r="AE1856" s="243"/>
      <c r="AF1856" s="243"/>
      <c r="AG1856" s="243"/>
      <c r="AH1856" s="243"/>
      <c r="AI1856" s="243"/>
      <c r="AJ1856" s="243"/>
      <c r="AK1856" s="243"/>
      <c r="AL1856" s="243"/>
      <c r="AM1856" s="243"/>
      <c r="AN1856" s="243"/>
      <c r="AO1856" s="243"/>
      <c r="AP1856" s="243"/>
      <c r="AQ1856" s="243"/>
      <c r="AR1856" s="243"/>
      <c r="AS1856" s="243"/>
      <c r="AT1856" s="243"/>
      <c r="AU1856" s="243"/>
      <c r="AV1856" s="243"/>
      <c r="AW1856" s="243"/>
      <c r="AX1856" s="243"/>
      <c r="AY1856" s="243"/>
      <c r="AZ1856" s="243"/>
      <c r="BA1856" s="243"/>
      <c r="BB1856" s="243"/>
      <c r="BC1856" s="243"/>
      <c r="BD1856" s="243"/>
      <c r="BE1856" s="243"/>
      <c r="BF1856" s="243"/>
      <c r="BG1856" s="243"/>
      <c r="BH1856" s="243"/>
      <c r="BI1856" s="243"/>
      <c r="BJ1856" s="243"/>
      <c r="BK1856" s="243"/>
      <c r="BL1856" s="243"/>
      <c r="BM1856" s="243"/>
      <c r="BN1856" s="243"/>
      <c r="BO1856" s="243"/>
      <c r="BP1856" s="243"/>
      <c r="BQ1856" s="243"/>
      <c r="BR1856" s="243"/>
      <c r="BS1856" s="243"/>
      <c r="BT1856" s="243"/>
      <c r="BU1856" s="243"/>
      <c r="BV1856" s="243"/>
      <c r="BW1856" s="243"/>
      <c r="BX1856" s="243"/>
      <c r="BY1856" s="243"/>
      <c r="BZ1856" s="243"/>
      <c r="CA1856" s="243"/>
      <c r="CB1856" s="243"/>
      <c r="CC1856" s="243"/>
      <c r="CD1856" s="243"/>
      <c r="CE1856" s="243"/>
      <c r="CF1856" s="243"/>
      <c r="CG1856" s="243"/>
      <c r="CH1856" s="243"/>
      <c r="CI1856" s="243"/>
      <c r="CJ1856" s="243"/>
      <c r="CK1856" s="243"/>
      <c r="CL1856" s="243"/>
      <c r="CM1856" s="243"/>
      <c r="CN1856" s="243"/>
      <c r="CO1856" s="243"/>
      <c r="CP1856" s="243"/>
      <c r="CQ1856" s="243"/>
      <c r="CR1856" s="243"/>
      <c r="CS1856" s="243"/>
      <c r="CT1856" s="243"/>
      <c r="CU1856" s="243"/>
      <c r="CV1856" s="243"/>
      <c r="CW1856" s="243"/>
      <c r="CX1856" s="243"/>
      <c r="CY1856" s="243"/>
      <c r="CZ1856" s="243"/>
      <c r="DA1856" s="243"/>
      <c r="DB1856" s="243"/>
      <c r="DC1856" s="243"/>
      <c r="DD1856" s="243"/>
      <c r="DE1856" s="243"/>
      <c r="DF1856" s="243"/>
      <c r="DG1856" s="243"/>
      <c r="DH1856" s="243"/>
      <c r="DI1856" s="243"/>
    </row>
    <row r="1857" spans="1:113">
      <c r="A1857" s="243"/>
      <c r="B1857" s="243"/>
      <c r="C1857" s="243"/>
      <c r="D1857" s="243"/>
      <c r="E1857" s="243"/>
      <c r="F1857" s="243"/>
      <c r="G1857" s="243"/>
      <c r="H1857" s="243"/>
      <c r="I1857" s="243"/>
      <c r="J1857" s="243"/>
      <c r="K1857" s="243"/>
      <c r="L1857" s="243"/>
      <c r="M1857" s="243"/>
      <c r="N1857" s="243"/>
      <c r="O1857" s="243"/>
      <c r="P1857" s="243"/>
      <c r="Q1857" s="243"/>
      <c r="R1857" s="243"/>
      <c r="S1857" s="243"/>
      <c r="T1857" s="243"/>
      <c r="U1857" s="243"/>
      <c r="V1857" s="243"/>
      <c r="W1857" s="243"/>
      <c r="X1857" s="243"/>
      <c r="Y1857" s="243"/>
      <c r="Z1857" s="243"/>
      <c r="AA1857" s="243"/>
      <c r="AB1857" s="243"/>
      <c r="AC1857" s="243"/>
      <c r="AD1857" s="243"/>
      <c r="AE1857" s="243"/>
      <c r="AF1857" s="243"/>
      <c r="AG1857" s="243"/>
      <c r="AH1857" s="243"/>
      <c r="AI1857" s="243"/>
      <c r="AJ1857" s="243"/>
      <c r="AK1857" s="243"/>
      <c r="AL1857" s="243"/>
      <c r="AM1857" s="243"/>
      <c r="AN1857" s="243"/>
      <c r="AO1857" s="243"/>
      <c r="AP1857" s="243"/>
      <c r="AQ1857" s="243"/>
      <c r="AR1857" s="243"/>
      <c r="AS1857" s="243"/>
      <c r="AT1857" s="243"/>
      <c r="AU1857" s="243"/>
      <c r="AV1857" s="243"/>
      <c r="AW1857" s="243"/>
      <c r="AX1857" s="243"/>
      <c r="AY1857" s="243"/>
      <c r="AZ1857" s="243"/>
      <c r="BA1857" s="243"/>
      <c r="BB1857" s="243"/>
      <c r="BC1857" s="243"/>
      <c r="BD1857" s="243"/>
      <c r="BE1857" s="243"/>
      <c r="BF1857" s="243"/>
      <c r="BG1857" s="243"/>
      <c r="BH1857" s="243"/>
      <c r="BI1857" s="243"/>
      <c r="BJ1857" s="243"/>
      <c r="BK1857" s="243"/>
      <c r="BL1857" s="243"/>
      <c r="BM1857" s="243"/>
      <c r="BN1857" s="243"/>
      <c r="BO1857" s="243"/>
      <c r="BP1857" s="243"/>
      <c r="BQ1857" s="243"/>
      <c r="BR1857" s="243"/>
      <c r="BS1857" s="243"/>
      <c r="BT1857" s="243"/>
      <c r="BU1857" s="243"/>
      <c r="BV1857" s="243"/>
      <c r="BW1857" s="243"/>
      <c r="BX1857" s="243"/>
      <c r="BY1857" s="243"/>
      <c r="BZ1857" s="243"/>
      <c r="CA1857" s="243"/>
      <c r="CB1857" s="243"/>
      <c r="CC1857" s="243"/>
      <c r="CD1857" s="243"/>
      <c r="CE1857" s="243"/>
      <c r="CF1857" s="243"/>
      <c r="CG1857" s="243"/>
      <c r="CH1857" s="243"/>
      <c r="CI1857" s="243"/>
      <c r="CJ1857" s="243"/>
      <c r="CK1857" s="243"/>
      <c r="CL1857" s="243"/>
      <c r="CM1857" s="243"/>
      <c r="CN1857" s="243"/>
      <c r="CO1857" s="243"/>
      <c r="CP1857" s="243"/>
      <c r="CQ1857" s="243"/>
      <c r="CR1857" s="243"/>
      <c r="CS1857" s="243"/>
      <c r="CT1857" s="243"/>
      <c r="CU1857" s="243"/>
      <c r="CV1857" s="243"/>
      <c r="CW1857" s="243"/>
      <c r="CX1857" s="243"/>
      <c r="CY1857" s="243"/>
      <c r="CZ1857" s="243"/>
      <c r="DA1857" s="243"/>
      <c r="DB1857" s="243"/>
      <c r="DC1857" s="243"/>
      <c r="DD1857" s="243"/>
      <c r="DE1857" s="243"/>
      <c r="DF1857" s="243"/>
      <c r="DG1857" s="243"/>
      <c r="DH1857" s="243"/>
      <c r="DI1857" s="243"/>
    </row>
    <row r="1859" spans="1:113" ht="20" thickBot="1">
      <c r="A1859" s="240" t="s">
        <v>1357</v>
      </c>
      <c r="C1859" s="76" t="s">
        <v>1358</v>
      </c>
      <c r="E1859" s="1081" t="s">
        <v>1359</v>
      </c>
      <c r="F1859" s="1081"/>
      <c r="G1859" s="1081"/>
      <c r="H1859" s="1081"/>
      <c r="I1859" s="1081"/>
      <c r="J1859" s="1081"/>
      <c r="K1859" s="1081"/>
      <c r="L1859" s="1081"/>
      <c r="M1859" s="1081"/>
      <c r="N1859" s="1081"/>
      <c r="O1859" s="1081"/>
      <c r="P1859" s="1081"/>
      <c r="Q1859" s="1081"/>
      <c r="R1859" s="1081"/>
      <c r="S1859" s="1081"/>
      <c r="T1859" s="1081"/>
      <c r="U1859" s="1081"/>
      <c r="V1859" s="1081"/>
      <c r="W1859" s="1081"/>
      <c r="X1859" s="1081"/>
      <c r="Y1859" s="1081"/>
      <c r="Z1859" s="1081"/>
      <c r="AA1859" s="1081"/>
      <c r="AB1859" s="1081"/>
      <c r="AC1859" s="1081"/>
      <c r="AD1859" s="1081"/>
      <c r="AE1859" s="1081"/>
      <c r="AF1859" s="1081"/>
      <c r="AG1859" s="1081"/>
      <c r="AH1859" s="1081"/>
      <c r="AI1859" s="1081"/>
      <c r="AJ1859" s="1082"/>
      <c r="AK1859" s="518"/>
      <c r="AL1859" s="518"/>
      <c r="AM1859" s="518"/>
      <c r="AN1859" s="518"/>
      <c r="AO1859" s="518"/>
    </row>
    <row r="1860" spans="1:113">
      <c r="B1860" s="1083" t="s">
        <v>407</v>
      </c>
      <c r="C1860" s="1084" t="s">
        <v>1360</v>
      </c>
      <c r="D1860" s="1084" t="s">
        <v>1361</v>
      </c>
      <c r="E1860" s="1084">
        <v>1985</v>
      </c>
      <c r="F1860" s="1084">
        <v>1986</v>
      </c>
      <c r="G1860" s="1084">
        <v>1987</v>
      </c>
      <c r="H1860" s="1084">
        <v>1988</v>
      </c>
      <c r="I1860" s="1084">
        <v>1989</v>
      </c>
      <c r="J1860" s="1084">
        <v>1990</v>
      </c>
      <c r="K1860" s="1084">
        <v>1991</v>
      </c>
      <c r="L1860" s="1084">
        <v>1992</v>
      </c>
      <c r="M1860" s="1084">
        <v>1993</v>
      </c>
      <c r="N1860" s="1084">
        <v>1994</v>
      </c>
      <c r="O1860" s="1084">
        <v>1995</v>
      </c>
      <c r="P1860" s="1084">
        <v>1996</v>
      </c>
      <c r="Q1860" s="1084">
        <v>1997</v>
      </c>
      <c r="R1860" s="1084">
        <v>1998</v>
      </c>
      <c r="S1860" s="1084">
        <v>1999</v>
      </c>
      <c r="T1860" s="1084">
        <v>2000</v>
      </c>
      <c r="U1860" s="1084">
        <v>2001</v>
      </c>
      <c r="V1860" s="1084">
        <v>2002</v>
      </c>
      <c r="W1860" s="1084">
        <v>2003</v>
      </c>
      <c r="X1860" s="1084">
        <v>2004</v>
      </c>
      <c r="Y1860" s="1084">
        <v>2005</v>
      </c>
      <c r="Z1860" s="1084">
        <v>2006</v>
      </c>
      <c r="AA1860" s="1084">
        <v>2007</v>
      </c>
      <c r="AB1860" s="1084">
        <v>2008</v>
      </c>
      <c r="AC1860" s="1084">
        <v>2009</v>
      </c>
      <c r="AD1860" s="1084">
        <v>2010</v>
      </c>
      <c r="AE1860" s="1084">
        <v>2011</v>
      </c>
      <c r="AF1860" s="1084">
        <v>2012</v>
      </c>
      <c r="AG1860" s="1084">
        <v>2013</v>
      </c>
      <c r="AH1860" s="1084">
        <v>2014</v>
      </c>
      <c r="AI1860" s="1085">
        <v>2015</v>
      </c>
      <c r="AJ1860" s="1086"/>
      <c r="AK1860" s="1087"/>
      <c r="AL1860" s="1087"/>
      <c r="AM1860" s="1087"/>
      <c r="AN1860" s="1087"/>
      <c r="AO1860" s="1087"/>
    </row>
    <row r="1861" spans="1:113">
      <c r="B1861" s="136" t="s">
        <v>435</v>
      </c>
      <c r="C1861" s="132" t="s">
        <v>1362</v>
      </c>
      <c r="D1861" s="132" t="s">
        <v>282</v>
      </c>
      <c r="E1861" s="508">
        <v>8.0440000000000005</v>
      </c>
      <c r="F1861" s="508">
        <v>7.7649999999999997</v>
      </c>
      <c r="G1861" s="508">
        <v>7.6520000000000001</v>
      </c>
      <c r="H1861" s="508">
        <v>7.5760000000000005</v>
      </c>
      <c r="I1861" s="508">
        <v>7.4530000000000003</v>
      </c>
      <c r="J1861" s="508">
        <v>7.2510000000000003</v>
      </c>
      <c r="K1861" s="508">
        <v>7.4849999999999994</v>
      </c>
      <c r="L1861" s="508">
        <v>7.4649999999999999</v>
      </c>
      <c r="M1861" s="508">
        <v>7.3170000000000002</v>
      </c>
      <c r="N1861" s="508">
        <v>7.4039999999999999</v>
      </c>
      <c r="O1861" s="508">
        <v>7.38</v>
      </c>
      <c r="P1861" s="508">
        <v>7.3320000000000007</v>
      </c>
      <c r="Q1861" s="508">
        <v>7.3629999999999995</v>
      </c>
      <c r="R1861" s="508">
        <v>7.3159999999999998</v>
      </c>
      <c r="S1861" s="508">
        <v>7.3790000000000004</v>
      </c>
      <c r="T1861" s="508">
        <v>7.3759999999999994</v>
      </c>
      <c r="U1861" s="508">
        <v>7.3160000000000007</v>
      </c>
      <c r="V1861" s="508">
        <v>7.2780000000000005</v>
      </c>
      <c r="W1861" s="508">
        <v>4.0069999999999997</v>
      </c>
      <c r="X1861" s="508">
        <v>4</v>
      </c>
      <c r="Y1861" s="508">
        <v>3.9950000000000001</v>
      </c>
      <c r="Z1861" s="508">
        <v>3.99</v>
      </c>
      <c r="AA1861" s="508">
        <v>1.8380000000000001</v>
      </c>
      <c r="AB1861" s="508">
        <v>1.827</v>
      </c>
      <c r="AC1861" s="508">
        <v>1.837</v>
      </c>
      <c r="AD1861" s="508">
        <v>1.4159999999999999</v>
      </c>
      <c r="AE1861" s="508">
        <v>1.4079999999999999</v>
      </c>
      <c r="AF1861" s="508">
        <v>1.3439999999999999</v>
      </c>
      <c r="AG1861" s="508">
        <v>1.339</v>
      </c>
      <c r="AH1861" s="508">
        <v>1.3359999999999999</v>
      </c>
      <c r="AI1861" s="492">
        <v>1.3359999999999999</v>
      </c>
      <c r="AJ1861" s="485"/>
    </row>
    <row r="1862" spans="1:113">
      <c r="B1862" s="136" t="s">
        <v>436</v>
      </c>
      <c r="C1862" s="132" t="s">
        <v>1362</v>
      </c>
      <c r="D1862" s="132" t="s">
        <v>282</v>
      </c>
      <c r="E1862" s="508">
        <v>8.4160000000000004</v>
      </c>
      <c r="F1862" s="508">
        <v>8.1690000000000005</v>
      </c>
      <c r="G1862" s="508">
        <v>8.08</v>
      </c>
      <c r="H1862" s="508">
        <v>8.0179999999999989</v>
      </c>
      <c r="I1862" s="508">
        <v>7.8920000000000003</v>
      </c>
      <c r="J1862" s="508">
        <v>7.6690000000000005</v>
      </c>
      <c r="K1862" s="508">
        <v>7.992</v>
      </c>
      <c r="L1862" s="508">
        <v>7.976</v>
      </c>
      <c r="M1862" s="508">
        <v>7.8079999999999998</v>
      </c>
      <c r="N1862" s="508">
        <v>7.9159999999999995</v>
      </c>
      <c r="O1862" s="508">
        <v>7.8940000000000001</v>
      </c>
      <c r="P1862" s="508">
        <v>7.8410000000000002</v>
      </c>
      <c r="Q1862" s="508">
        <v>7.8810000000000002</v>
      </c>
      <c r="R1862" s="508">
        <v>7.8280000000000003</v>
      </c>
      <c r="S1862" s="508">
        <v>7.9060000000000006</v>
      </c>
      <c r="T1862" s="508">
        <v>7.907</v>
      </c>
      <c r="U1862" s="508">
        <v>7.8380000000000001</v>
      </c>
      <c r="V1862" s="508">
        <v>7.7970000000000006</v>
      </c>
      <c r="W1862" s="508">
        <v>4.585</v>
      </c>
      <c r="X1862" s="508">
        <v>4.5720000000000001</v>
      </c>
      <c r="Y1862" s="508">
        <v>4.5709999999999997</v>
      </c>
      <c r="Z1862" s="508">
        <v>4.5679999999999996</v>
      </c>
      <c r="AA1862" s="508">
        <v>2.516</v>
      </c>
      <c r="AB1862" s="508">
        <v>2.5009999999999999</v>
      </c>
      <c r="AC1862" s="508">
        <v>2.5209999999999999</v>
      </c>
      <c r="AD1862" s="508">
        <v>1.9750000000000001</v>
      </c>
      <c r="AE1862" s="508">
        <v>1.9660000000000002</v>
      </c>
      <c r="AF1862" s="508">
        <v>1.9040000000000001</v>
      </c>
      <c r="AG1862" s="508">
        <v>1.899</v>
      </c>
      <c r="AH1862" s="508">
        <v>1.8960000000000001</v>
      </c>
      <c r="AI1862" s="492">
        <v>1.8960000000000001</v>
      </c>
      <c r="AJ1862" s="485"/>
    </row>
    <row r="1863" spans="1:113">
      <c r="B1863" s="136" t="s">
        <v>437</v>
      </c>
      <c r="C1863" s="132" t="s">
        <v>1362</v>
      </c>
      <c r="D1863" s="132" t="s">
        <v>282</v>
      </c>
      <c r="E1863" s="508">
        <v>8.3710000000000004</v>
      </c>
      <c r="F1863" s="508">
        <v>8.09</v>
      </c>
      <c r="G1863" s="508">
        <v>7.9790000000000001</v>
      </c>
      <c r="H1863" s="508">
        <v>7.9050000000000002</v>
      </c>
      <c r="I1863" s="508">
        <v>7.7759999999999998</v>
      </c>
      <c r="J1863" s="508">
        <v>7.5629999999999997</v>
      </c>
      <c r="K1863" s="508">
        <v>7.835</v>
      </c>
      <c r="L1863" s="508">
        <v>7.8150000000000004</v>
      </c>
      <c r="M1863" s="508">
        <v>7.6580000000000004</v>
      </c>
      <c r="N1863" s="508">
        <v>7.7530000000000001</v>
      </c>
      <c r="O1863" s="508">
        <v>7.7289999999999992</v>
      </c>
      <c r="P1863" s="508">
        <v>7.6769999999999996</v>
      </c>
      <c r="Q1863" s="508">
        <v>7.7129999999999992</v>
      </c>
      <c r="R1863" s="508">
        <v>7.6610000000000005</v>
      </c>
      <c r="S1863" s="508">
        <v>7.7299999999999995</v>
      </c>
      <c r="T1863" s="508">
        <v>7.7290000000000001</v>
      </c>
      <c r="U1863" s="508">
        <v>7.665</v>
      </c>
      <c r="V1863" s="508">
        <v>7.6239999999999997</v>
      </c>
      <c r="W1863" s="508">
        <v>4.3220000000000001</v>
      </c>
      <c r="X1863" s="508">
        <v>4.3119999999999994</v>
      </c>
      <c r="Y1863" s="508">
        <v>4.3079999999999998</v>
      </c>
      <c r="Z1863" s="508">
        <v>4.3049999999999997</v>
      </c>
      <c r="AA1863" s="508">
        <v>2.161</v>
      </c>
      <c r="AB1863" s="508">
        <v>2.1480000000000001</v>
      </c>
      <c r="AC1863" s="508">
        <v>2.1639999999999997</v>
      </c>
      <c r="AD1863" s="508">
        <v>1.681</v>
      </c>
      <c r="AE1863" s="508">
        <v>1.6729999999999998</v>
      </c>
      <c r="AF1863" s="508">
        <v>1.6079999999999999</v>
      </c>
      <c r="AG1863" s="508">
        <v>1.6029999999999998</v>
      </c>
      <c r="AH1863" s="508">
        <v>1.601</v>
      </c>
      <c r="AI1863" s="492">
        <v>1.601</v>
      </c>
      <c r="AJ1863" s="485"/>
    </row>
    <row r="1864" spans="1:113">
      <c r="B1864" s="136" t="s">
        <v>438</v>
      </c>
      <c r="C1864" s="132" t="s">
        <v>1362</v>
      </c>
      <c r="D1864" s="132" t="s">
        <v>282</v>
      </c>
      <c r="E1864" s="508">
        <v>8.1519999999999992</v>
      </c>
      <c r="F1864" s="508">
        <v>7.9059999999999997</v>
      </c>
      <c r="G1864" s="508">
        <v>7.8179999999999996</v>
      </c>
      <c r="H1864" s="508">
        <v>7.7560000000000002</v>
      </c>
      <c r="I1864" s="508">
        <v>7.633</v>
      </c>
      <c r="J1864" s="508">
        <v>7.4190000000000005</v>
      </c>
      <c r="K1864" s="508">
        <v>7.7139999999999995</v>
      </c>
      <c r="L1864" s="508">
        <v>7.6989999999999998</v>
      </c>
      <c r="M1864" s="508">
        <v>7.5380000000000003</v>
      </c>
      <c r="N1864" s="508">
        <v>7.641</v>
      </c>
      <c r="O1864" s="508">
        <v>7.6189999999999998</v>
      </c>
      <c r="P1864" s="508">
        <v>7.5670000000000002</v>
      </c>
      <c r="Q1864" s="508">
        <v>7.6049999999999995</v>
      </c>
      <c r="R1864" s="508">
        <v>7.5539999999999994</v>
      </c>
      <c r="S1864" s="508">
        <v>7.6280000000000001</v>
      </c>
      <c r="T1864" s="508">
        <v>7.6280000000000001</v>
      </c>
      <c r="U1864" s="508">
        <v>7.5640000000000001</v>
      </c>
      <c r="V1864" s="508">
        <v>7.5229999999999997</v>
      </c>
      <c r="W1864" s="508">
        <v>4.3390000000000004</v>
      </c>
      <c r="X1864" s="508">
        <v>4.3289999999999997</v>
      </c>
      <c r="Y1864" s="508">
        <v>4.3260000000000005</v>
      </c>
      <c r="Z1864" s="508">
        <v>4.3239999999999998</v>
      </c>
      <c r="AA1864" s="508">
        <v>2.2810000000000001</v>
      </c>
      <c r="AB1864" s="508">
        <v>2.2669999999999999</v>
      </c>
      <c r="AC1864" s="508">
        <v>2.2850000000000001</v>
      </c>
      <c r="AD1864" s="508">
        <v>1.784</v>
      </c>
      <c r="AE1864" s="508">
        <v>1.7749999999999999</v>
      </c>
      <c r="AF1864" s="508">
        <v>1.7129999999999999</v>
      </c>
      <c r="AG1864" s="508">
        <v>1.708</v>
      </c>
      <c r="AH1864" s="508">
        <v>1.706</v>
      </c>
      <c r="AI1864" s="492">
        <v>1.706</v>
      </c>
      <c r="AJ1864" s="485"/>
    </row>
    <row r="1865" spans="1:113">
      <c r="B1865" s="136" t="s">
        <v>439</v>
      </c>
      <c r="C1865" s="132" t="s">
        <v>1362</v>
      </c>
      <c r="D1865" s="132" t="s">
        <v>282</v>
      </c>
      <c r="E1865" s="508">
        <v>7.7479999999999993</v>
      </c>
      <c r="F1865" s="508">
        <v>7.4480000000000004</v>
      </c>
      <c r="G1865" s="508">
        <v>7.32</v>
      </c>
      <c r="H1865" s="508">
        <v>7.2350000000000003</v>
      </c>
      <c r="I1865" s="508">
        <v>7.1129999999999995</v>
      </c>
      <c r="J1865" s="508">
        <v>6.9239999999999995</v>
      </c>
      <c r="K1865" s="508">
        <v>7.1</v>
      </c>
      <c r="L1865" s="508">
        <v>7.077</v>
      </c>
      <c r="M1865" s="508">
        <v>6.9410000000000007</v>
      </c>
      <c r="N1865" s="508">
        <v>7.016</v>
      </c>
      <c r="O1865" s="508">
        <v>6.992</v>
      </c>
      <c r="P1865" s="508">
        <v>6.9459999999999997</v>
      </c>
      <c r="Q1865" s="508">
        <v>6.9720000000000004</v>
      </c>
      <c r="R1865" s="508">
        <v>6.9269999999999996</v>
      </c>
      <c r="S1865" s="508">
        <v>6.9820000000000002</v>
      </c>
      <c r="T1865" s="508">
        <v>6.9779999999999998</v>
      </c>
      <c r="U1865" s="508">
        <v>6.9219999999999997</v>
      </c>
      <c r="V1865" s="508">
        <v>6.8860000000000001</v>
      </c>
      <c r="W1865" s="508">
        <v>3.5749999999999997</v>
      </c>
      <c r="X1865" s="508">
        <v>3.5730000000000004</v>
      </c>
      <c r="Y1865" s="508">
        <v>3.5640000000000001</v>
      </c>
      <c r="Z1865" s="508">
        <v>3.5569999999999999</v>
      </c>
      <c r="AA1865" s="508">
        <v>1.377</v>
      </c>
      <c r="AB1865" s="508">
        <v>1.369</v>
      </c>
      <c r="AC1865" s="508">
        <v>1.373</v>
      </c>
      <c r="AD1865" s="508">
        <v>1.0369999999999999</v>
      </c>
      <c r="AE1865" s="508">
        <v>1.0309999999999999</v>
      </c>
      <c r="AF1865" s="508">
        <v>0.96599999999999997</v>
      </c>
      <c r="AG1865" s="508">
        <v>0.96</v>
      </c>
      <c r="AH1865" s="508">
        <v>0.95799999999999996</v>
      </c>
      <c r="AI1865" s="492">
        <v>0.95799999999999996</v>
      </c>
      <c r="AJ1865" s="485"/>
    </row>
    <row r="1866" spans="1:113">
      <c r="B1866" s="136" t="s">
        <v>440</v>
      </c>
      <c r="C1866" s="132" t="s">
        <v>1362</v>
      </c>
      <c r="D1866" s="132" t="s">
        <v>282</v>
      </c>
      <c r="E1866" s="508">
        <v>8.0709999999999997</v>
      </c>
      <c r="F1866" s="508">
        <v>7.7930000000000001</v>
      </c>
      <c r="G1866" s="508">
        <v>7.6820000000000004</v>
      </c>
      <c r="H1866" s="508">
        <v>7.6069999999999993</v>
      </c>
      <c r="I1866" s="508">
        <v>7.4820000000000002</v>
      </c>
      <c r="J1866" s="508">
        <v>7.2780000000000005</v>
      </c>
      <c r="K1866" s="508">
        <v>7.52</v>
      </c>
      <c r="L1866" s="508">
        <v>7.5009999999999994</v>
      </c>
      <c r="M1866" s="508">
        <v>7.35</v>
      </c>
      <c r="N1866" s="508">
        <v>7.44</v>
      </c>
      <c r="O1866" s="508">
        <v>7.4169999999999998</v>
      </c>
      <c r="P1866" s="508">
        <v>7.3660000000000005</v>
      </c>
      <c r="Q1866" s="508">
        <v>7.4</v>
      </c>
      <c r="R1866" s="508">
        <v>7.351</v>
      </c>
      <c r="S1866" s="508">
        <v>7.4159999999999995</v>
      </c>
      <c r="T1866" s="508">
        <v>7.4139999999999997</v>
      </c>
      <c r="U1866" s="508">
        <v>7.3529999999999998</v>
      </c>
      <c r="V1866" s="508">
        <v>7.3140000000000001</v>
      </c>
      <c r="W1866" s="508">
        <v>4.0430000000000001</v>
      </c>
      <c r="X1866" s="508">
        <v>4.0350000000000001</v>
      </c>
      <c r="Y1866" s="508">
        <v>4.0289999999999999</v>
      </c>
      <c r="Z1866" s="508">
        <v>4.0250000000000004</v>
      </c>
      <c r="AA1866" s="508">
        <v>1.895</v>
      </c>
      <c r="AB1866" s="508">
        <v>1.8839999999999999</v>
      </c>
      <c r="AC1866" s="508">
        <v>1.8959999999999999</v>
      </c>
      <c r="AD1866" s="508">
        <v>1.464</v>
      </c>
      <c r="AE1866" s="508">
        <v>1.456</v>
      </c>
      <c r="AF1866" s="508">
        <v>1.3919999999999999</v>
      </c>
      <c r="AG1866" s="508">
        <v>1.387</v>
      </c>
      <c r="AH1866" s="508">
        <v>1.3839999999999999</v>
      </c>
      <c r="AI1866" s="492">
        <v>1.3839999999999999</v>
      </c>
      <c r="AJ1866" s="485"/>
    </row>
    <row r="1867" spans="1:113">
      <c r="B1867" s="136" t="s">
        <v>441</v>
      </c>
      <c r="C1867" s="132" t="s">
        <v>1362</v>
      </c>
      <c r="D1867" s="132" t="s">
        <v>282</v>
      </c>
      <c r="E1867" s="508">
        <v>7.5490000000000004</v>
      </c>
      <c r="F1867" s="508">
        <v>7.2389999999999999</v>
      </c>
      <c r="G1867" s="508">
        <v>7.1029999999999998</v>
      </c>
      <c r="H1867" s="508">
        <v>7.0140000000000002</v>
      </c>
      <c r="I1867" s="508">
        <v>6.8929999999999998</v>
      </c>
      <c r="J1867" s="508">
        <v>6.7119999999999997</v>
      </c>
      <c r="K1867" s="508">
        <v>6.8559999999999999</v>
      </c>
      <c r="L1867" s="508">
        <v>6.8319999999999999</v>
      </c>
      <c r="M1867" s="508">
        <v>6.7030000000000003</v>
      </c>
      <c r="N1867" s="508">
        <v>6.7700000000000005</v>
      </c>
      <c r="O1867" s="508">
        <v>6.7459999999999996</v>
      </c>
      <c r="P1867" s="508">
        <v>6.702</v>
      </c>
      <c r="Q1867" s="508">
        <v>6.7240000000000002</v>
      </c>
      <c r="R1867" s="508">
        <v>6.6829999999999998</v>
      </c>
      <c r="S1867" s="508">
        <v>6.7320000000000002</v>
      </c>
      <c r="T1867" s="508">
        <v>6.726</v>
      </c>
      <c r="U1867" s="508">
        <v>6.673</v>
      </c>
      <c r="V1867" s="508">
        <v>6.6389999999999993</v>
      </c>
      <c r="W1867" s="508">
        <v>3.319</v>
      </c>
      <c r="X1867" s="508">
        <v>3.319</v>
      </c>
      <c r="Y1867" s="508">
        <v>3.3080000000000003</v>
      </c>
      <c r="Z1867" s="508">
        <v>3.3009999999999997</v>
      </c>
      <c r="AA1867" s="508">
        <v>1.1020000000000001</v>
      </c>
      <c r="AB1867" s="508">
        <v>1.097</v>
      </c>
      <c r="AC1867" s="508">
        <v>1.0960000000000001</v>
      </c>
      <c r="AD1867" s="508">
        <v>0.81099999999999994</v>
      </c>
      <c r="AE1867" s="508">
        <v>0.80600000000000005</v>
      </c>
      <c r="AF1867" s="508">
        <v>0.74</v>
      </c>
      <c r="AG1867" s="508">
        <v>0.73499999999999999</v>
      </c>
      <c r="AH1867" s="508">
        <v>0.73199999999999998</v>
      </c>
      <c r="AI1867" s="492">
        <v>0.73199999999999998</v>
      </c>
      <c r="AJ1867" s="485"/>
    </row>
    <row r="1868" spans="1:113">
      <c r="B1868" s="136" t="s">
        <v>443</v>
      </c>
      <c r="C1868" s="132" t="s">
        <v>1362</v>
      </c>
      <c r="D1868" s="132" t="s">
        <v>282</v>
      </c>
      <c r="E1868" s="508">
        <v>7.4390000000000001</v>
      </c>
      <c r="F1868" s="508">
        <v>7.1</v>
      </c>
      <c r="G1868" s="508">
        <v>6.944</v>
      </c>
      <c r="H1868" s="508">
        <v>6.8419999999999996</v>
      </c>
      <c r="I1868" s="508">
        <v>6.7229999999999999</v>
      </c>
      <c r="J1868" s="508">
        <v>6.5570000000000004</v>
      </c>
      <c r="K1868" s="508">
        <v>6.6390000000000002</v>
      </c>
      <c r="L1868" s="508">
        <v>6.61</v>
      </c>
      <c r="M1868" s="508">
        <v>6.4960000000000004</v>
      </c>
      <c r="N1868" s="508">
        <v>6.5460000000000003</v>
      </c>
      <c r="O1868" s="508">
        <v>6.5220000000000002</v>
      </c>
      <c r="P1868" s="508">
        <v>6.4820000000000002</v>
      </c>
      <c r="Q1868" s="508">
        <v>6.4969999999999999</v>
      </c>
      <c r="R1868" s="508">
        <v>6.4589999999999996</v>
      </c>
      <c r="S1868" s="508">
        <v>6.4980000000000002</v>
      </c>
      <c r="T1868" s="508">
        <v>6.4889999999999999</v>
      </c>
      <c r="U1868" s="508">
        <v>6.4420000000000002</v>
      </c>
      <c r="V1868" s="508">
        <v>6.4109999999999996</v>
      </c>
      <c r="W1868" s="508">
        <v>3.0219999999999998</v>
      </c>
      <c r="X1868" s="508">
        <v>3.0259999999999998</v>
      </c>
      <c r="Y1868" s="508">
        <v>3.012</v>
      </c>
      <c r="Z1868" s="508">
        <v>3.0019999999999998</v>
      </c>
      <c r="AA1868" s="508">
        <v>0.68100000000000005</v>
      </c>
      <c r="AB1868" s="508">
        <v>0.67800000000000005</v>
      </c>
      <c r="AC1868" s="508">
        <v>0.67</v>
      </c>
      <c r="AD1868" s="508">
        <v>0.46100000000000002</v>
      </c>
      <c r="AE1868" s="508">
        <v>0.45700000000000002</v>
      </c>
      <c r="AF1868" s="508">
        <v>0.38800000000000001</v>
      </c>
      <c r="AG1868" s="508">
        <v>0.38200000000000001</v>
      </c>
      <c r="AH1868" s="508">
        <v>0.379</v>
      </c>
      <c r="AI1868" s="492">
        <v>0.379</v>
      </c>
      <c r="AJ1868" s="485"/>
    </row>
    <row r="1869" spans="1:113">
      <c r="B1869" s="136" t="s">
        <v>445</v>
      </c>
      <c r="C1869" s="132" t="s">
        <v>1362</v>
      </c>
      <c r="D1869" s="132" t="s">
        <v>282</v>
      </c>
      <c r="E1869" s="508">
        <v>8.1210000000000004</v>
      </c>
      <c r="F1869" s="508">
        <v>7.718</v>
      </c>
      <c r="G1869" s="508">
        <v>7.5259999999999998</v>
      </c>
      <c r="H1869" s="508">
        <v>7.4020000000000001</v>
      </c>
      <c r="I1869" s="508">
        <v>7.2690000000000001</v>
      </c>
      <c r="J1869" s="508">
        <v>7.0960000000000001</v>
      </c>
      <c r="K1869" s="508">
        <v>7.165</v>
      </c>
      <c r="L1869" s="508">
        <v>7.13</v>
      </c>
      <c r="M1869" s="508">
        <v>7.0140000000000002</v>
      </c>
      <c r="N1869" s="508">
        <v>7.0570000000000004</v>
      </c>
      <c r="O1869" s="508">
        <v>7.0289999999999999</v>
      </c>
      <c r="P1869" s="508">
        <v>6.9870000000000001</v>
      </c>
      <c r="Q1869" s="508">
        <v>6.9989999999999997</v>
      </c>
      <c r="R1869" s="508">
        <v>6.9589999999999996</v>
      </c>
      <c r="S1869" s="508">
        <v>6.9939999999999998</v>
      </c>
      <c r="T1869" s="508">
        <v>6.9820000000000002</v>
      </c>
      <c r="U1869" s="508">
        <v>6.9329999999999998</v>
      </c>
      <c r="V1869" s="508">
        <v>6.9</v>
      </c>
      <c r="W1869" s="508">
        <v>3.274</v>
      </c>
      <c r="X1869" s="508">
        <v>3.278</v>
      </c>
      <c r="Y1869" s="508">
        <v>3.262</v>
      </c>
      <c r="Z1869" s="508">
        <v>3.2509999999999999</v>
      </c>
      <c r="AA1869" s="508">
        <v>0.745</v>
      </c>
      <c r="AB1869" s="508">
        <v>0.74099999999999999</v>
      </c>
      <c r="AC1869" s="508">
        <v>0.73199999999999998</v>
      </c>
      <c r="AD1869" s="508">
        <v>0.505</v>
      </c>
      <c r="AE1869" s="508">
        <v>0.501</v>
      </c>
      <c r="AF1869" s="508">
        <v>0.42599999999999999</v>
      </c>
      <c r="AG1869" s="508">
        <v>0.42</v>
      </c>
      <c r="AH1869" s="508">
        <v>0.41699999999999998</v>
      </c>
      <c r="AI1869" s="492">
        <v>0.41699999999999998</v>
      </c>
      <c r="AJ1869" s="485"/>
    </row>
    <row r="1870" spans="1:113">
      <c r="B1870" s="136" t="s">
        <v>446</v>
      </c>
      <c r="C1870" s="132" t="s">
        <v>1362</v>
      </c>
      <c r="D1870" s="132" t="s">
        <v>282</v>
      </c>
      <c r="E1870" s="508">
        <v>8.3140000000000001</v>
      </c>
      <c r="F1870" s="508">
        <v>7.9799999999999995</v>
      </c>
      <c r="G1870" s="508">
        <v>7.835</v>
      </c>
      <c r="H1870" s="508">
        <v>7.7390000000000008</v>
      </c>
      <c r="I1870" s="508">
        <v>7.6079999999999997</v>
      </c>
      <c r="J1870" s="508">
        <v>7.4109999999999996</v>
      </c>
      <c r="K1870" s="508">
        <v>7.601</v>
      </c>
      <c r="L1870" s="508">
        <v>7.5739999999999998</v>
      </c>
      <c r="M1870" s="508">
        <v>7.4340000000000002</v>
      </c>
      <c r="N1870" s="508">
        <v>7.5069999999999997</v>
      </c>
      <c r="O1870" s="508">
        <v>7.4820000000000002</v>
      </c>
      <c r="P1870" s="508">
        <v>7.4329999999999998</v>
      </c>
      <c r="Q1870" s="508">
        <v>7.4589999999999996</v>
      </c>
      <c r="R1870" s="508">
        <v>7.4119999999999999</v>
      </c>
      <c r="S1870" s="508">
        <v>7.468</v>
      </c>
      <c r="T1870" s="508">
        <v>7.4610000000000003</v>
      </c>
      <c r="U1870" s="508">
        <v>7.4030000000000005</v>
      </c>
      <c r="V1870" s="508">
        <v>7.3659999999999997</v>
      </c>
      <c r="W1870" s="508">
        <v>3.9219999999999997</v>
      </c>
      <c r="X1870" s="508">
        <v>3.9180000000000001</v>
      </c>
      <c r="Y1870" s="508">
        <v>3.91</v>
      </c>
      <c r="Z1870" s="508">
        <v>3.9019999999999997</v>
      </c>
      <c r="AA1870" s="508">
        <v>1.5960000000000001</v>
      </c>
      <c r="AB1870" s="508">
        <v>1.5860000000000001</v>
      </c>
      <c r="AC1870" s="508">
        <v>1.593</v>
      </c>
      <c r="AD1870" s="508">
        <v>1.212</v>
      </c>
      <c r="AE1870" s="508">
        <v>1.204</v>
      </c>
      <c r="AF1870" s="508">
        <v>1.135</v>
      </c>
      <c r="AG1870" s="508">
        <v>1.129</v>
      </c>
      <c r="AH1870" s="508">
        <v>1.1259999999999999</v>
      </c>
      <c r="AI1870" s="492">
        <v>1.1259999999999999</v>
      </c>
      <c r="AJ1870" s="485"/>
    </row>
    <row r="1871" spans="1:113">
      <c r="B1871" s="136" t="s">
        <v>448</v>
      </c>
      <c r="C1871" s="132" t="s">
        <v>1362</v>
      </c>
      <c r="D1871" s="132" t="s">
        <v>282</v>
      </c>
      <c r="E1871" s="508">
        <v>8.0739999999999998</v>
      </c>
      <c r="F1871" s="508">
        <v>7.8129999999999997</v>
      </c>
      <c r="G1871" s="508">
        <v>7.7129999999999992</v>
      </c>
      <c r="H1871" s="508">
        <v>7.6450000000000005</v>
      </c>
      <c r="I1871" s="508">
        <v>7.5220000000000002</v>
      </c>
      <c r="J1871" s="508">
        <v>7.3140000000000001</v>
      </c>
      <c r="K1871" s="508">
        <v>7.58</v>
      </c>
      <c r="L1871" s="508">
        <v>7.5620000000000003</v>
      </c>
      <c r="M1871" s="508">
        <v>7.4079999999999995</v>
      </c>
      <c r="N1871" s="508">
        <v>7.5030000000000001</v>
      </c>
      <c r="O1871" s="508">
        <v>7.4809999999999999</v>
      </c>
      <c r="P1871" s="508">
        <v>7.43</v>
      </c>
      <c r="Q1871" s="508">
        <v>7.4659999999999993</v>
      </c>
      <c r="R1871" s="508">
        <v>7.4160000000000004</v>
      </c>
      <c r="S1871" s="508">
        <v>7.4849999999999994</v>
      </c>
      <c r="T1871" s="508">
        <v>7.484</v>
      </c>
      <c r="U1871" s="508">
        <v>7.4220000000000006</v>
      </c>
      <c r="V1871" s="508">
        <v>7.3819999999999997</v>
      </c>
      <c r="W1871" s="508">
        <v>4.1610000000000005</v>
      </c>
      <c r="X1871" s="508">
        <v>4.1530000000000005</v>
      </c>
      <c r="Y1871" s="508">
        <v>4.1479999999999997</v>
      </c>
      <c r="Z1871" s="508">
        <v>4.1440000000000001</v>
      </c>
      <c r="AA1871" s="508">
        <v>2.0579999999999998</v>
      </c>
      <c r="AB1871" s="508">
        <v>2.0459999999999998</v>
      </c>
      <c r="AC1871" s="508">
        <v>2.0609999999999999</v>
      </c>
      <c r="AD1871" s="508">
        <v>1.599</v>
      </c>
      <c r="AE1871" s="508">
        <v>1.5910000000000002</v>
      </c>
      <c r="AF1871" s="508">
        <v>1.528</v>
      </c>
      <c r="AG1871" s="508">
        <v>1.524</v>
      </c>
      <c r="AH1871" s="508">
        <v>1.5210000000000001</v>
      </c>
      <c r="AI1871" s="492">
        <v>1.5210000000000001</v>
      </c>
      <c r="AJ1871" s="485"/>
    </row>
    <row r="1872" spans="1:113">
      <c r="B1872" s="136" t="s">
        <v>449</v>
      </c>
      <c r="C1872" s="132" t="s">
        <v>1362</v>
      </c>
      <c r="D1872" s="132" t="s">
        <v>282</v>
      </c>
      <c r="E1872" s="508">
        <v>7.6189999999999998</v>
      </c>
      <c r="F1872" s="508">
        <v>7.2789999999999999</v>
      </c>
      <c r="G1872" s="508">
        <v>7.1229999999999993</v>
      </c>
      <c r="H1872" s="508">
        <v>7.0220000000000002</v>
      </c>
      <c r="I1872" s="508">
        <v>6.899</v>
      </c>
      <c r="J1872" s="508">
        <v>6.7270000000000003</v>
      </c>
      <c r="K1872" s="508">
        <v>6.8280000000000003</v>
      </c>
      <c r="L1872" s="508">
        <v>6.8</v>
      </c>
      <c r="M1872" s="508">
        <v>6.68</v>
      </c>
      <c r="N1872" s="508">
        <v>6.7349999999999994</v>
      </c>
      <c r="O1872" s="508">
        <v>6.71</v>
      </c>
      <c r="P1872" s="508">
        <v>6.6690000000000005</v>
      </c>
      <c r="Q1872" s="508">
        <v>6.6859999999999999</v>
      </c>
      <c r="R1872" s="508">
        <v>6.6459999999999999</v>
      </c>
      <c r="S1872" s="508">
        <v>6.6890000000000001</v>
      </c>
      <c r="T1872" s="508">
        <v>6.6800000000000006</v>
      </c>
      <c r="U1872" s="508">
        <v>6.63</v>
      </c>
      <c r="V1872" s="508">
        <v>6.5979999999999999</v>
      </c>
      <c r="W1872" s="508">
        <v>3.1890000000000001</v>
      </c>
      <c r="X1872" s="508">
        <v>3.1909999999999998</v>
      </c>
      <c r="Y1872" s="508">
        <v>3.1790000000000003</v>
      </c>
      <c r="Z1872" s="508">
        <v>3.169</v>
      </c>
      <c r="AA1872" s="508">
        <v>0.85000000000000009</v>
      </c>
      <c r="AB1872" s="508">
        <v>0.84500000000000008</v>
      </c>
      <c r="AC1872" s="508">
        <v>0.84000000000000008</v>
      </c>
      <c r="AD1872" s="508">
        <v>0.59899999999999998</v>
      </c>
      <c r="AE1872" s="508">
        <v>0.59499999999999997</v>
      </c>
      <c r="AF1872" s="508">
        <v>0.52500000000000002</v>
      </c>
      <c r="AG1872" s="508">
        <v>0.52</v>
      </c>
      <c r="AH1872" s="508">
        <v>0.51700000000000002</v>
      </c>
      <c r="AI1872" s="492">
        <v>0.51700000000000002</v>
      </c>
      <c r="AJ1872" s="485"/>
    </row>
    <row r="1873" spans="2:36">
      <c r="B1873" s="136" t="s">
        <v>450</v>
      </c>
      <c r="C1873" s="132" t="s">
        <v>1362</v>
      </c>
      <c r="D1873" s="132" t="s">
        <v>282</v>
      </c>
      <c r="E1873" s="508">
        <v>8.2270000000000003</v>
      </c>
      <c r="F1873" s="508">
        <v>7.9740000000000002</v>
      </c>
      <c r="G1873" s="508">
        <v>7.8790000000000004</v>
      </c>
      <c r="H1873" s="508">
        <v>7.8129999999999997</v>
      </c>
      <c r="I1873" s="508">
        <v>7.6890000000000001</v>
      </c>
      <c r="J1873" s="508">
        <v>7.4749999999999996</v>
      </c>
      <c r="K1873" s="508">
        <v>7.7649999999999997</v>
      </c>
      <c r="L1873" s="508">
        <v>7.7480000000000002</v>
      </c>
      <c r="M1873" s="508">
        <v>7.5879999999999992</v>
      </c>
      <c r="N1873" s="508">
        <v>7.6890000000000001</v>
      </c>
      <c r="O1873" s="508">
        <v>7.6660000000000004</v>
      </c>
      <c r="P1873" s="508">
        <v>7.6150000000000002</v>
      </c>
      <c r="Q1873" s="508">
        <v>7.6530000000000005</v>
      </c>
      <c r="R1873" s="508">
        <v>7.601</v>
      </c>
      <c r="S1873" s="508">
        <v>7.6740000000000004</v>
      </c>
      <c r="T1873" s="508">
        <v>7.6739999999999995</v>
      </c>
      <c r="U1873" s="508">
        <v>7.61</v>
      </c>
      <c r="V1873" s="508">
        <v>7.569</v>
      </c>
      <c r="W1873" s="508">
        <v>4.3540000000000001</v>
      </c>
      <c r="X1873" s="508">
        <v>4.3440000000000003</v>
      </c>
      <c r="Y1873" s="508">
        <v>4.34</v>
      </c>
      <c r="Z1873" s="508">
        <v>4.3380000000000001</v>
      </c>
      <c r="AA1873" s="508">
        <v>2.2599999999999998</v>
      </c>
      <c r="AB1873" s="508">
        <v>2.246</v>
      </c>
      <c r="AC1873" s="508">
        <v>2.2640000000000002</v>
      </c>
      <c r="AD1873" s="508">
        <v>1.7650000000000001</v>
      </c>
      <c r="AE1873" s="508">
        <v>1.7560000000000002</v>
      </c>
      <c r="AF1873" s="508">
        <v>1.6940000000000002</v>
      </c>
      <c r="AG1873" s="508">
        <v>1.6890000000000001</v>
      </c>
      <c r="AH1873" s="508">
        <v>1.6860000000000002</v>
      </c>
      <c r="AI1873" s="492">
        <v>1.6860000000000002</v>
      </c>
      <c r="AJ1873" s="485"/>
    </row>
    <row r="1874" spans="2:36">
      <c r="B1874" s="136" t="s">
        <v>451</v>
      </c>
      <c r="C1874" s="132" t="s">
        <v>1362</v>
      </c>
      <c r="D1874" s="132" t="s">
        <v>282</v>
      </c>
      <c r="E1874" s="508">
        <v>7.9260000000000002</v>
      </c>
      <c r="F1874" s="508">
        <v>7.5659999999999998</v>
      </c>
      <c r="G1874" s="508">
        <v>7.3999999999999995</v>
      </c>
      <c r="H1874" s="508">
        <v>7.2930000000000001</v>
      </c>
      <c r="I1874" s="508">
        <v>7.165</v>
      </c>
      <c r="J1874" s="508">
        <v>6.9850000000000003</v>
      </c>
      <c r="K1874" s="508">
        <v>7.0970000000000004</v>
      </c>
      <c r="L1874" s="508">
        <v>7.0660000000000007</v>
      </c>
      <c r="M1874" s="508">
        <v>6.944</v>
      </c>
      <c r="N1874" s="508">
        <v>6.9989999999999997</v>
      </c>
      <c r="O1874" s="508">
        <v>6.9729999999999999</v>
      </c>
      <c r="P1874" s="508">
        <v>6.9290000000000003</v>
      </c>
      <c r="Q1874" s="508">
        <v>6.9470000000000001</v>
      </c>
      <c r="R1874" s="508">
        <v>6.9060000000000006</v>
      </c>
      <c r="S1874" s="508">
        <v>6.9479999999999995</v>
      </c>
      <c r="T1874" s="508">
        <v>6.9390000000000001</v>
      </c>
      <c r="U1874" s="508">
        <v>6.8879999999999999</v>
      </c>
      <c r="V1874" s="508">
        <v>6.8540000000000001</v>
      </c>
      <c r="W1874" s="508">
        <v>3.3650000000000002</v>
      </c>
      <c r="X1874" s="508">
        <v>3.3649999999999998</v>
      </c>
      <c r="Y1874" s="508">
        <v>3.3530000000000002</v>
      </c>
      <c r="Z1874" s="508">
        <v>3.3439999999999999</v>
      </c>
      <c r="AA1874" s="508">
        <v>0.97899999999999998</v>
      </c>
      <c r="AB1874" s="508">
        <v>0.97399999999999998</v>
      </c>
      <c r="AC1874" s="508">
        <v>0.96900000000000008</v>
      </c>
      <c r="AD1874" s="508">
        <v>0.70199999999999996</v>
      </c>
      <c r="AE1874" s="508">
        <v>0.69799999999999995</v>
      </c>
      <c r="AF1874" s="508">
        <v>0.626</v>
      </c>
      <c r="AG1874" s="508">
        <v>0.621</v>
      </c>
      <c r="AH1874" s="508">
        <v>0.61799999999999999</v>
      </c>
      <c r="AI1874" s="492">
        <v>0.61799999999999999</v>
      </c>
      <c r="AJ1874" s="485"/>
    </row>
    <row r="1875" spans="2:36">
      <c r="B1875" s="136" t="s">
        <v>452</v>
      </c>
      <c r="C1875" s="132" t="s">
        <v>1362</v>
      </c>
      <c r="D1875" s="132" t="s">
        <v>282</v>
      </c>
      <c r="E1875" s="508">
        <v>8.2219999999999995</v>
      </c>
      <c r="F1875" s="508">
        <v>7.9329999999999998</v>
      </c>
      <c r="G1875" s="508">
        <v>7.8160000000000007</v>
      </c>
      <c r="H1875" s="508">
        <v>7.7359999999999998</v>
      </c>
      <c r="I1875" s="508">
        <v>7.61</v>
      </c>
      <c r="J1875" s="508">
        <v>7.4050000000000002</v>
      </c>
      <c r="K1875" s="508">
        <v>7.6449999999999996</v>
      </c>
      <c r="L1875" s="508">
        <v>7.6240000000000006</v>
      </c>
      <c r="M1875" s="508">
        <v>7.4740000000000002</v>
      </c>
      <c r="N1875" s="508">
        <v>7.5630000000000006</v>
      </c>
      <c r="O1875" s="508">
        <v>7.5380000000000003</v>
      </c>
      <c r="P1875" s="508">
        <v>7.4890000000000008</v>
      </c>
      <c r="Q1875" s="508">
        <v>7.5200000000000005</v>
      </c>
      <c r="R1875" s="508">
        <v>7.4710000000000001</v>
      </c>
      <c r="S1875" s="508">
        <v>7.5359999999999996</v>
      </c>
      <c r="T1875" s="508">
        <v>7.5330000000000004</v>
      </c>
      <c r="U1875" s="508">
        <v>7.4719999999999995</v>
      </c>
      <c r="V1875" s="508">
        <v>7.4329999999999998</v>
      </c>
      <c r="W1875" s="508">
        <v>4.12</v>
      </c>
      <c r="X1875" s="508">
        <v>4.1140000000000008</v>
      </c>
      <c r="Y1875" s="508">
        <v>4.1080000000000005</v>
      </c>
      <c r="Z1875" s="508">
        <v>4.1029999999999998</v>
      </c>
      <c r="AA1875" s="508">
        <v>1.9239999999999999</v>
      </c>
      <c r="AB1875" s="508">
        <v>1.9129999999999998</v>
      </c>
      <c r="AC1875" s="508">
        <v>1.925</v>
      </c>
      <c r="AD1875" s="508">
        <v>1.486</v>
      </c>
      <c r="AE1875" s="508">
        <v>1.478</v>
      </c>
      <c r="AF1875" s="508">
        <v>1.4119999999999999</v>
      </c>
      <c r="AG1875" s="508">
        <v>1.407</v>
      </c>
      <c r="AH1875" s="508">
        <v>1.4049999999999998</v>
      </c>
      <c r="AI1875" s="492">
        <v>1.4049999999999998</v>
      </c>
      <c r="AJ1875" s="485"/>
    </row>
    <row r="1876" spans="2:36">
      <c r="B1876" s="136" t="s">
        <v>453</v>
      </c>
      <c r="C1876" s="132" t="s">
        <v>1362</v>
      </c>
      <c r="D1876" s="132" t="s">
        <v>282</v>
      </c>
      <c r="E1876" s="508">
        <v>8.2419999999999991</v>
      </c>
      <c r="F1876" s="508">
        <v>7.9960000000000004</v>
      </c>
      <c r="G1876" s="508">
        <v>7.9059999999999997</v>
      </c>
      <c r="H1876" s="508">
        <v>7.8440000000000003</v>
      </c>
      <c r="I1876" s="508">
        <v>7.7210000000000001</v>
      </c>
      <c r="J1876" s="508">
        <v>7.5040000000000004</v>
      </c>
      <c r="K1876" s="508">
        <v>7.8070000000000004</v>
      </c>
      <c r="L1876" s="508">
        <v>7.7909999999999995</v>
      </c>
      <c r="M1876" s="508">
        <v>7.6290000000000004</v>
      </c>
      <c r="N1876" s="508">
        <v>7.7329999999999997</v>
      </c>
      <c r="O1876" s="508">
        <v>7.7100000000000009</v>
      </c>
      <c r="P1876" s="508">
        <v>7.6580000000000004</v>
      </c>
      <c r="Q1876" s="508">
        <v>7.6979999999999995</v>
      </c>
      <c r="R1876" s="508">
        <v>7.6459999999999999</v>
      </c>
      <c r="S1876" s="508">
        <v>7.7200000000000006</v>
      </c>
      <c r="T1876" s="508">
        <v>7.7219999999999995</v>
      </c>
      <c r="U1876" s="508">
        <v>7.6560000000000006</v>
      </c>
      <c r="V1876" s="508">
        <v>7.6150000000000002</v>
      </c>
      <c r="W1876" s="508">
        <v>4.4219999999999997</v>
      </c>
      <c r="X1876" s="508">
        <v>4.4110000000000005</v>
      </c>
      <c r="Y1876" s="508">
        <v>4.4089999999999998</v>
      </c>
      <c r="Z1876" s="508">
        <v>4.4060000000000006</v>
      </c>
      <c r="AA1876" s="508">
        <v>2.3519999999999999</v>
      </c>
      <c r="AB1876" s="508">
        <v>2.3380000000000001</v>
      </c>
      <c r="AC1876" s="508">
        <v>2.3569999999999998</v>
      </c>
      <c r="AD1876" s="508">
        <v>1.841</v>
      </c>
      <c r="AE1876" s="508">
        <v>1.8320000000000001</v>
      </c>
      <c r="AF1876" s="508">
        <v>1.77</v>
      </c>
      <c r="AG1876" s="508">
        <v>1.7650000000000001</v>
      </c>
      <c r="AH1876" s="508">
        <v>1.7630000000000001</v>
      </c>
      <c r="AI1876" s="492">
        <v>1.7630000000000001</v>
      </c>
      <c r="AJ1876" s="485"/>
    </row>
    <row r="1877" spans="2:36">
      <c r="B1877" s="136" t="s">
        <v>454</v>
      </c>
      <c r="C1877" s="132" t="s">
        <v>1362</v>
      </c>
      <c r="D1877" s="132" t="s">
        <v>282</v>
      </c>
      <c r="E1877" s="508">
        <v>7.9540000000000006</v>
      </c>
      <c r="F1877" s="508">
        <v>7.6909999999999998</v>
      </c>
      <c r="G1877" s="508">
        <v>7.5869999999999997</v>
      </c>
      <c r="H1877" s="508">
        <v>7.516</v>
      </c>
      <c r="I1877" s="508">
        <v>7.3949999999999996</v>
      </c>
      <c r="J1877" s="508">
        <v>7.1920000000000002</v>
      </c>
      <c r="K1877" s="508">
        <v>7.4399999999999995</v>
      </c>
      <c r="L1877" s="508">
        <v>7.4209999999999994</v>
      </c>
      <c r="M1877" s="508">
        <v>7.2720000000000002</v>
      </c>
      <c r="N1877" s="508">
        <v>7.3620000000000001</v>
      </c>
      <c r="O1877" s="508">
        <v>7.34</v>
      </c>
      <c r="P1877" s="508">
        <v>7.2909999999999995</v>
      </c>
      <c r="Q1877" s="508">
        <v>7.3239999999999998</v>
      </c>
      <c r="R1877" s="508">
        <v>7.2759999999999998</v>
      </c>
      <c r="S1877" s="508">
        <v>7.3419999999999996</v>
      </c>
      <c r="T1877" s="508">
        <v>7.3410000000000002</v>
      </c>
      <c r="U1877" s="508">
        <v>7.28</v>
      </c>
      <c r="V1877" s="508">
        <v>7.242</v>
      </c>
      <c r="W1877" s="508">
        <v>4.0209999999999999</v>
      </c>
      <c r="X1877" s="508">
        <v>4.0129999999999999</v>
      </c>
      <c r="Y1877" s="508">
        <v>4.0090000000000003</v>
      </c>
      <c r="Z1877" s="508">
        <v>4.0049999999999999</v>
      </c>
      <c r="AA1877" s="508">
        <v>1.9079999999999999</v>
      </c>
      <c r="AB1877" s="508">
        <v>1.897</v>
      </c>
      <c r="AC1877" s="508">
        <v>1.9089999999999998</v>
      </c>
      <c r="AD1877" s="508">
        <v>1.476</v>
      </c>
      <c r="AE1877" s="508">
        <v>1.468</v>
      </c>
      <c r="AF1877" s="508">
        <v>1.405</v>
      </c>
      <c r="AG1877" s="508">
        <v>1.4000000000000001</v>
      </c>
      <c r="AH1877" s="508">
        <v>1.3980000000000001</v>
      </c>
      <c r="AI1877" s="492">
        <v>1.3980000000000001</v>
      </c>
      <c r="AJ1877" s="485"/>
    </row>
    <row r="1878" spans="2:36">
      <c r="B1878" s="136" t="s">
        <v>455</v>
      </c>
      <c r="C1878" s="132" t="s">
        <v>1362</v>
      </c>
      <c r="D1878" s="132" t="s">
        <v>282</v>
      </c>
      <c r="E1878" s="508">
        <v>8.391</v>
      </c>
      <c r="F1878" s="508">
        <v>8.1579999999999995</v>
      </c>
      <c r="G1878" s="508">
        <v>8.0779999999999994</v>
      </c>
      <c r="H1878" s="508">
        <v>8.0220000000000002</v>
      </c>
      <c r="I1878" s="508">
        <v>7.8970000000000002</v>
      </c>
      <c r="J1878" s="508">
        <v>7.6710000000000003</v>
      </c>
      <c r="K1878" s="508">
        <v>8.0109999999999992</v>
      </c>
      <c r="L1878" s="508">
        <v>7.9969999999999999</v>
      </c>
      <c r="M1878" s="508">
        <v>7.8260000000000005</v>
      </c>
      <c r="N1878" s="508">
        <v>7.9390000000000001</v>
      </c>
      <c r="O1878" s="508">
        <v>7.9169999999999998</v>
      </c>
      <c r="P1878" s="508">
        <v>7.8629999999999995</v>
      </c>
      <c r="Q1878" s="508">
        <v>7.9060000000000006</v>
      </c>
      <c r="R1878" s="508">
        <v>7.851</v>
      </c>
      <c r="S1878" s="508">
        <v>7.9320000000000004</v>
      </c>
      <c r="T1878" s="508">
        <v>7.9350000000000005</v>
      </c>
      <c r="U1878" s="508">
        <v>7.8650000000000002</v>
      </c>
      <c r="V1878" s="508">
        <v>7.8229999999999995</v>
      </c>
      <c r="W1878" s="508">
        <v>4.6519999999999992</v>
      </c>
      <c r="X1878" s="508">
        <v>4.6389999999999993</v>
      </c>
      <c r="Y1878" s="508">
        <v>4.6379999999999999</v>
      </c>
      <c r="Z1878" s="508">
        <v>4.6370000000000005</v>
      </c>
      <c r="AA1878" s="508">
        <v>2.6270000000000002</v>
      </c>
      <c r="AB1878" s="508">
        <v>2.6120000000000001</v>
      </c>
      <c r="AC1878" s="508">
        <v>2.6360000000000001</v>
      </c>
      <c r="AD1878" s="508">
        <v>2.069</v>
      </c>
      <c r="AE1878" s="508">
        <v>2.0590000000000002</v>
      </c>
      <c r="AF1878" s="508">
        <v>1.998</v>
      </c>
      <c r="AG1878" s="508">
        <v>1.9930000000000001</v>
      </c>
      <c r="AH1878" s="508">
        <v>1.9910000000000001</v>
      </c>
      <c r="AI1878" s="492">
        <v>1.9910000000000001</v>
      </c>
      <c r="AJ1878" s="485"/>
    </row>
    <row r="1879" spans="2:36">
      <c r="B1879" s="136" t="s">
        <v>456</v>
      </c>
      <c r="C1879" s="132" t="s">
        <v>1362</v>
      </c>
      <c r="D1879" s="132" t="s">
        <v>282</v>
      </c>
      <c r="E1879" s="508">
        <v>8.1429999999999989</v>
      </c>
      <c r="F1879" s="508">
        <v>7.8740000000000006</v>
      </c>
      <c r="G1879" s="508">
        <v>7.7690000000000001</v>
      </c>
      <c r="H1879" s="508">
        <v>7.6980000000000004</v>
      </c>
      <c r="I1879" s="508">
        <v>7.5730000000000004</v>
      </c>
      <c r="J1879" s="508">
        <v>7.3650000000000002</v>
      </c>
      <c r="K1879" s="508">
        <v>7.6260000000000003</v>
      </c>
      <c r="L1879" s="508">
        <v>7.6080000000000005</v>
      </c>
      <c r="M1879" s="508">
        <v>7.4540000000000006</v>
      </c>
      <c r="N1879" s="508">
        <v>7.5469999999999997</v>
      </c>
      <c r="O1879" s="508">
        <v>7.5249999999999995</v>
      </c>
      <c r="P1879" s="508">
        <v>7.4740000000000002</v>
      </c>
      <c r="Q1879" s="508">
        <v>7.5089999999999995</v>
      </c>
      <c r="R1879" s="508">
        <v>7.4590000000000005</v>
      </c>
      <c r="S1879" s="508">
        <v>7.5270000000000001</v>
      </c>
      <c r="T1879" s="508">
        <v>7.5260000000000007</v>
      </c>
      <c r="U1879" s="508">
        <v>7.4630000000000001</v>
      </c>
      <c r="V1879" s="508">
        <v>7.4239999999999995</v>
      </c>
      <c r="W1879" s="508">
        <v>4.173</v>
      </c>
      <c r="X1879" s="508">
        <v>4.165</v>
      </c>
      <c r="Y1879" s="508">
        <v>4.16</v>
      </c>
      <c r="Z1879" s="508">
        <v>4.1560000000000006</v>
      </c>
      <c r="AA1879" s="508">
        <v>2.0419999999999998</v>
      </c>
      <c r="AB1879" s="508">
        <v>2.0309999999999997</v>
      </c>
      <c r="AC1879" s="508">
        <v>2.044</v>
      </c>
      <c r="AD1879" s="508">
        <v>1.585</v>
      </c>
      <c r="AE1879" s="508">
        <v>1.5780000000000001</v>
      </c>
      <c r="AF1879" s="508">
        <v>1.514</v>
      </c>
      <c r="AG1879" s="508">
        <v>1.5089999999999999</v>
      </c>
      <c r="AH1879" s="508">
        <v>1.506</v>
      </c>
      <c r="AI1879" s="492">
        <v>1.506</v>
      </c>
      <c r="AJ1879" s="485"/>
    </row>
    <row r="1880" spans="2:36">
      <c r="B1880" s="136" t="s">
        <v>457</v>
      </c>
      <c r="C1880" s="132" t="s">
        <v>1362</v>
      </c>
      <c r="D1880" s="132" t="s">
        <v>282</v>
      </c>
      <c r="E1880" s="508">
        <v>8.1329999999999991</v>
      </c>
      <c r="F1880" s="508">
        <v>7.9030000000000005</v>
      </c>
      <c r="G1880" s="508">
        <v>7.8219999999999992</v>
      </c>
      <c r="H1880" s="508">
        <v>7.766</v>
      </c>
      <c r="I1880" s="508">
        <v>7.6449999999999996</v>
      </c>
      <c r="J1880" s="508">
        <v>7.4279999999999999</v>
      </c>
      <c r="K1880" s="508">
        <v>7.74</v>
      </c>
      <c r="L1880" s="508">
        <v>7.726</v>
      </c>
      <c r="M1880" s="508">
        <v>7.5619999999999994</v>
      </c>
      <c r="N1880" s="508">
        <v>7.67</v>
      </c>
      <c r="O1880" s="508">
        <v>7.6479999999999997</v>
      </c>
      <c r="P1880" s="508">
        <v>7.5960000000000001</v>
      </c>
      <c r="Q1880" s="508">
        <v>7.6369999999999996</v>
      </c>
      <c r="R1880" s="508">
        <v>7.5839999999999996</v>
      </c>
      <c r="S1880" s="508">
        <v>7.6609999999999996</v>
      </c>
      <c r="T1880" s="508">
        <v>7.6630000000000003</v>
      </c>
      <c r="U1880" s="508">
        <v>7.5969999999999995</v>
      </c>
      <c r="V1880" s="508">
        <v>7.5569999999999995</v>
      </c>
      <c r="W1880" s="508">
        <v>4.4139999999999997</v>
      </c>
      <c r="X1880" s="508">
        <v>4.4030000000000005</v>
      </c>
      <c r="Y1880" s="508">
        <v>4.4020000000000001</v>
      </c>
      <c r="Z1880" s="508">
        <v>4.3999999999999995</v>
      </c>
      <c r="AA1880" s="508">
        <v>2.3899999999999997</v>
      </c>
      <c r="AB1880" s="508">
        <v>2.3759999999999999</v>
      </c>
      <c r="AC1880" s="508">
        <v>2.3959999999999999</v>
      </c>
      <c r="AD1880" s="508">
        <v>1.875</v>
      </c>
      <c r="AE1880" s="508">
        <v>1.8660000000000001</v>
      </c>
      <c r="AF1880" s="508">
        <v>1.8050000000000002</v>
      </c>
      <c r="AG1880" s="508">
        <v>1.8</v>
      </c>
      <c r="AH1880" s="508">
        <v>1.798</v>
      </c>
      <c r="AI1880" s="492">
        <v>1.798</v>
      </c>
      <c r="AJ1880" s="485"/>
    </row>
    <row r="1881" spans="2:36">
      <c r="B1881" s="136" t="s">
        <v>458</v>
      </c>
      <c r="C1881" s="132" t="s">
        <v>1362</v>
      </c>
      <c r="D1881" s="132" t="s">
        <v>282</v>
      </c>
      <c r="E1881" s="508">
        <v>7.75</v>
      </c>
      <c r="F1881" s="508">
        <v>7.4610000000000003</v>
      </c>
      <c r="G1881" s="508">
        <v>7.3390000000000004</v>
      </c>
      <c r="H1881" s="508">
        <v>7.258</v>
      </c>
      <c r="I1881" s="508">
        <v>7.1359999999999992</v>
      </c>
      <c r="J1881" s="508">
        <v>6.9450000000000003</v>
      </c>
      <c r="K1881" s="508">
        <v>7.1360000000000001</v>
      </c>
      <c r="L1881" s="508">
        <v>7.1150000000000002</v>
      </c>
      <c r="M1881" s="508">
        <v>6.976</v>
      </c>
      <c r="N1881" s="508">
        <v>7.0540000000000003</v>
      </c>
      <c r="O1881" s="508">
        <v>7.0299999999999994</v>
      </c>
      <c r="P1881" s="508">
        <v>6.984</v>
      </c>
      <c r="Q1881" s="508">
        <v>7.0120000000000005</v>
      </c>
      <c r="R1881" s="508">
        <v>6.9660000000000002</v>
      </c>
      <c r="S1881" s="508">
        <v>7.024</v>
      </c>
      <c r="T1881" s="508">
        <v>7.0200000000000005</v>
      </c>
      <c r="U1881" s="508">
        <v>6.9630000000000001</v>
      </c>
      <c r="V1881" s="508">
        <v>6.9269999999999996</v>
      </c>
      <c r="W1881" s="508">
        <v>3.6459999999999999</v>
      </c>
      <c r="X1881" s="508">
        <v>3.6429999999999998</v>
      </c>
      <c r="Y1881" s="508">
        <v>3.6349999999999998</v>
      </c>
      <c r="Z1881" s="508">
        <v>3.629</v>
      </c>
      <c r="AA1881" s="508">
        <v>1.474</v>
      </c>
      <c r="AB1881" s="508">
        <v>1.466</v>
      </c>
      <c r="AC1881" s="508">
        <v>1.4710000000000001</v>
      </c>
      <c r="AD1881" s="508">
        <v>1.1179999999999999</v>
      </c>
      <c r="AE1881" s="508">
        <v>1.111</v>
      </c>
      <c r="AF1881" s="508">
        <v>1.0459999999999998</v>
      </c>
      <c r="AG1881" s="508">
        <v>1.0409999999999999</v>
      </c>
      <c r="AH1881" s="508">
        <v>1.0379999999999998</v>
      </c>
      <c r="AI1881" s="492">
        <v>1.0379999999999998</v>
      </c>
      <c r="AJ1881" s="485"/>
    </row>
    <row r="1882" spans="2:36">
      <c r="B1882" s="136" t="s">
        <v>459</v>
      </c>
      <c r="C1882" s="132" t="s">
        <v>1362</v>
      </c>
      <c r="D1882" s="132" t="s">
        <v>282</v>
      </c>
      <c r="E1882" s="508">
        <v>7.7879999999999994</v>
      </c>
      <c r="F1882" s="508">
        <v>7.4989999999999997</v>
      </c>
      <c r="G1882" s="508">
        <v>7.3789999999999996</v>
      </c>
      <c r="H1882" s="508">
        <v>7.2989999999999995</v>
      </c>
      <c r="I1882" s="508">
        <v>7.1769999999999996</v>
      </c>
      <c r="J1882" s="508">
        <v>6.9830000000000005</v>
      </c>
      <c r="K1882" s="508">
        <v>7.181</v>
      </c>
      <c r="L1882" s="508">
        <v>7.1589999999999998</v>
      </c>
      <c r="M1882" s="508">
        <v>7.02</v>
      </c>
      <c r="N1882" s="508">
        <v>7.0990000000000002</v>
      </c>
      <c r="O1882" s="508">
        <v>7.0750000000000002</v>
      </c>
      <c r="P1882" s="508">
        <v>7.0289999999999999</v>
      </c>
      <c r="Q1882" s="508">
        <v>7.0570000000000004</v>
      </c>
      <c r="R1882" s="508">
        <v>7.0109999999999992</v>
      </c>
      <c r="S1882" s="508">
        <v>7.07</v>
      </c>
      <c r="T1882" s="508">
        <v>7.0659999999999998</v>
      </c>
      <c r="U1882" s="508">
        <v>7.0090000000000003</v>
      </c>
      <c r="V1882" s="508">
        <v>6.9719999999999995</v>
      </c>
      <c r="W1882" s="508">
        <v>3.6930000000000001</v>
      </c>
      <c r="X1882" s="508">
        <v>3.6890000000000001</v>
      </c>
      <c r="Y1882" s="508">
        <v>3.681</v>
      </c>
      <c r="Z1882" s="508">
        <v>3.6760000000000002</v>
      </c>
      <c r="AA1882" s="508">
        <v>1.5249999999999999</v>
      </c>
      <c r="AB1882" s="508">
        <v>1.5169999999999999</v>
      </c>
      <c r="AC1882" s="508">
        <v>1.5230000000000001</v>
      </c>
      <c r="AD1882" s="508">
        <v>1.159</v>
      </c>
      <c r="AE1882" s="508">
        <v>1.153</v>
      </c>
      <c r="AF1882" s="508">
        <v>1.0880000000000001</v>
      </c>
      <c r="AG1882" s="508">
        <v>1.083</v>
      </c>
      <c r="AH1882" s="508">
        <v>1.081</v>
      </c>
      <c r="AI1882" s="492">
        <v>1.081</v>
      </c>
      <c r="AJ1882" s="485"/>
    </row>
    <row r="1883" spans="2:36">
      <c r="B1883" s="136" t="s">
        <v>460</v>
      </c>
      <c r="C1883" s="132" t="s">
        <v>1362</v>
      </c>
      <c r="D1883" s="132" t="s">
        <v>282</v>
      </c>
      <c r="E1883" s="508">
        <v>8.1589999999999989</v>
      </c>
      <c r="F1883" s="508">
        <v>7.8790000000000004</v>
      </c>
      <c r="G1883" s="508">
        <v>7.7669999999999995</v>
      </c>
      <c r="H1883" s="508">
        <v>7.6920000000000002</v>
      </c>
      <c r="I1883" s="508">
        <v>7.5670000000000002</v>
      </c>
      <c r="J1883" s="508">
        <v>7.3599999999999994</v>
      </c>
      <c r="K1883" s="508">
        <v>7.609</v>
      </c>
      <c r="L1883" s="508">
        <v>7.5890000000000004</v>
      </c>
      <c r="M1883" s="508">
        <v>7.4370000000000003</v>
      </c>
      <c r="N1883" s="508">
        <v>7.5270000000000001</v>
      </c>
      <c r="O1883" s="508">
        <v>7.5040000000000004</v>
      </c>
      <c r="P1883" s="508">
        <v>7.4539999999999997</v>
      </c>
      <c r="Q1883" s="508">
        <v>7.4870000000000001</v>
      </c>
      <c r="R1883" s="508">
        <v>7.4390000000000001</v>
      </c>
      <c r="S1883" s="508">
        <v>7.5039999999999996</v>
      </c>
      <c r="T1883" s="508">
        <v>7.5030000000000001</v>
      </c>
      <c r="U1883" s="508">
        <v>7.4399999999999995</v>
      </c>
      <c r="V1883" s="508">
        <v>7.4009999999999998</v>
      </c>
      <c r="W1883" s="508">
        <v>4.1189999999999998</v>
      </c>
      <c r="X1883" s="508">
        <v>4.1109999999999998</v>
      </c>
      <c r="Y1883" s="508">
        <v>4.1070000000000002</v>
      </c>
      <c r="Z1883" s="508">
        <v>4.1020000000000003</v>
      </c>
      <c r="AA1883" s="508">
        <v>1.9610000000000001</v>
      </c>
      <c r="AB1883" s="508">
        <v>1.948</v>
      </c>
      <c r="AC1883" s="508">
        <v>1.9610000000000001</v>
      </c>
      <c r="AD1883" s="508">
        <v>1.5169999999999999</v>
      </c>
      <c r="AE1883" s="508">
        <v>1.5090000000000001</v>
      </c>
      <c r="AF1883" s="508">
        <v>1.4450000000000001</v>
      </c>
      <c r="AG1883" s="508">
        <v>1.44</v>
      </c>
      <c r="AH1883" s="508">
        <v>1.4370000000000001</v>
      </c>
      <c r="AI1883" s="492">
        <v>1.4370000000000001</v>
      </c>
      <c r="AJ1883" s="485"/>
    </row>
    <row r="1884" spans="2:36">
      <c r="B1884" s="136" t="s">
        <v>461</v>
      </c>
      <c r="C1884" s="132" t="s">
        <v>1362</v>
      </c>
      <c r="D1884" s="132" t="s">
        <v>282</v>
      </c>
      <c r="E1884" s="508">
        <v>7.7619999999999996</v>
      </c>
      <c r="F1884" s="508">
        <v>7.4830000000000005</v>
      </c>
      <c r="G1884" s="508">
        <v>7.3680000000000003</v>
      </c>
      <c r="H1884" s="508">
        <v>7.2910000000000004</v>
      </c>
      <c r="I1884" s="508">
        <v>7.17</v>
      </c>
      <c r="J1884" s="508">
        <v>6.9779999999999998</v>
      </c>
      <c r="K1884" s="508">
        <v>7.181</v>
      </c>
      <c r="L1884" s="508">
        <v>7.16</v>
      </c>
      <c r="M1884" s="508">
        <v>7.02</v>
      </c>
      <c r="N1884" s="508">
        <v>7.101</v>
      </c>
      <c r="O1884" s="508">
        <v>7.0780000000000003</v>
      </c>
      <c r="P1884" s="508">
        <v>7.032</v>
      </c>
      <c r="Q1884" s="508">
        <v>7.0609999999999999</v>
      </c>
      <c r="R1884" s="508">
        <v>7.0150000000000006</v>
      </c>
      <c r="S1884" s="508">
        <v>7.0739999999999998</v>
      </c>
      <c r="T1884" s="508">
        <v>7.0709999999999997</v>
      </c>
      <c r="U1884" s="508">
        <v>7.0129999999999999</v>
      </c>
      <c r="V1884" s="508">
        <v>6.9770000000000003</v>
      </c>
      <c r="W1884" s="508">
        <v>3.7270000000000003</v>
      </c>
      <c r="X1884" s="508">
        <v>3.7229999999999999</v>
      </c>
      <c r="Y1884" s="508">
        <v>3.7149999999999999</v>
      </c>
      <c r="Z1884" s="508">
        <v>3.71</v>
      </c>
      <c r="AA1884" s="508">
        <v>1.569</v>
      </c>
      <c r="AB1884" s="508">
        <v>1.56</v>
      </c>
      <c r="AC1884" s="508">
        <v>1.5659999999999998</v>
      </c>
      <c r="AD1884" s="508">
        <v>1.196</v>
      </c>
      <c r="AE1884" s="508">
        <v>1.1890000000000001</v>
      </c>
      <c r="AF1884" s="508">
        <v>1.125</v>
      </c>
      <c r="AG1884" s="508">
        <v>1.1200000000000001</v>
      </c>
      <c r="AH1884" s="508">
        <v>1.117</v>
      </c>
      <c r="AI1884" s="492">
        <v>1.117</v>
      </c>
      <c r="AJ1884" s="485"/>
    </row>
    <row r="1885" spans="2:36">
      <c r="B1885" s="136" t="s">
        <v>462</v>
      </c>
      <c r="C1885" s="132" t="s">
        <v>1362</v>
      </c>
      <c r="D1885" s="132" t="s">
        <v>282</v>
      </c>
      <c r="E1885" s="508">
        <v>7.8729999999999993</v>
      </c>
      <c r="F1885" s="508">
        <v>7.6070000000000002</v>
      </c>
      <c r="G1885" s="508">
        <v>7.5030000000000001</v>
      </c>
      <c r="H1885" s="508">
        <v>7.431</v>
      </c>
      <c r="I1885" s="508">
        <v>7.3109999999999999</v>
      </c>
      <c r="J1885" s="508">
        <v>7.1129999999999995</v>
      </c>
      <c r="K1885" s="508">
        <v>7.3460000000000001</v>
      </c>
      <c r="L1885" s="508">
        <v>7.327</v>
      </c>
      <c r="M1885" s="508">
        <v>7.181</v>
      </c>
      <c r="N1885" s="508">
        <v>7.2690000000000001</v>
      </c>
      <c r="O1885" s="508">
        <v>7.2469999999999999</v>
      </c>
      <c r="P1885" s="508">
        <v>7.1980000000000004</v>
      </c>
      <c r="Q1885" s="508">
        <v>7.2309999999999999</v>
      </c>
      <c r="R1885" s="508">
        <v>7.1840000000000002</v>
      </c>
      <c r="S1885" s="508">
        <v>7.2480000000000002</v>
      </c>
      <c r="T1885" s="508">
        <v>7.2460000000000004</v>
      </c>
      <c r="U1885" s="508">
        <v>7.1859999999999999</v>
      </c>
      <c r="V1885" s="508">
        <v>7.1489999999999991</v>
      </c>
      <c r="W1885" s="508">
        <v>3.9319999999999999</v>
      </c>
      <c r="X1885" s="508">
        <v>3.9249999999999998</v>
      </c>
      <c r="Y1885" s="508">
        <v>3.92</v>
      </c>
      <c r="Z1885" s="508">
        <v>3.9159999999999999</v>
      </c>
      <c r="AA1885" s="508">
        <v>1.8039999999999998</v>
      </c>
      <c r="AB1885" s="508">
        <v>1.7930000000000001</v>
      </c>
      <c r="AC1885" s="508">
        <v>1.8050000000000002</v>
      </c>
      <c r="AD1885" s="508">
        <v>1.39</v>
      </c>
      <c r="AE1885" s="508">
        <v>1.383</v>
      </c>
      <c r="AF1885" s="508">
        <v>1.319</v>
      </c>
      <c r="AG1885" s="508">
        <v>1.3140000000000001</v>
      </c>
      <c r="AH1885" s="508">
        <v>1.3120000000000001</v>
      </c>
      <c r="AI1885" s="492">
        <v>1.3120000000000001</v>
      </c>
      <c r="AJ1885" s="485"/>
    </row>
    <row r="1886" spans="2:36">
      <c r="B1886" s="136" t="s">
        <v>463</v>
      </c>
      <c r="C1886" s="132" t="s">
        <v>1362</v>
      </c>
      <c r="D1886" s="132" t="s">
        <v>282</v>
      </c>
      <c r="E1886" s="508">
        <v>7.8730000000000002</v>
      </c>
      <c r="F1886" s="508">
        <v>7.6280000000000001</v>
      </c>
      <c r="G1886" s="508">
        <v>7.5350000000000001</v>
      </c>
      <c r="H1886" s="508">
        <v>7.4719999999999995</v>
      </c>
      <c r="I1886" s="508">
        <v>7.3520000000000003</v>
      </c>
      <c r="J1886" s="508">
        <v>7.1450000000000005</v>
      </c>
      <c r="K1886" s="508">
        <v>7.4109999999999996</v>
      </c>
      <c r="L1886" s="508">
        <v>7.3949999999999996</v>
      </c>
      <c r="M1886" s="508">
        <v>7.2409999999999997</v>
      </c>
      <c r="N1886" s="508">
        <v>7.3369999999999997</v>
      </c>
      <c r="O1886" s="508">
        <v>7.3159999999999998</v>
      </c>
      <c r="P1886" s="508">
        <v>7.266</v>
      </c>
      <c r="Q1886" s="508">
        <v>7.3019999999999996</v>
      </c>
      <c r="R1886" s="508">
        <v>7.2530000000000001</v>
      </c>
      <c r="S1886" s="508">
        <v>7.3230000000000004</v>
      </c>
      <c r="T1886" s="508">
        <v>7.3220000000000001</v>
      </c>
      <c r="U1886" s="508">
        <v>7.26</v>
      </c>
      <c r="V1886" s="508">
        <v>7.2220000000000004</v>
      </c>
      <c r="W1886" s="508">
        <v>4.0549999999999997</v>
      </c>
      <c r="X1886" s="508">
        <v>4.0470000000000006</v>
      </c>
      <c r="Y1886" s="508">
        <v>4.0430000000000001</v>
      </c>
      <c r="Z1886" s="508">
        <v>4.0389999999999997</v>
      </c>
      <c r="AA1886" s="508">
        <v>2.0060000000000002</v>
      </c>
      <c r="AB1886" s="508">
        <v>1.994</v>
      </c>
      <c r="AC1886" s="508">
        <v>2.0089999999999999</v>
      </c>
      <c r="AD1886" s="508">
        <v>1.5589999999999999</v>
      </c>
      <c r="AE1886" s="508">
        <v>1.5499999999999998</v>
      </c>
      <c r="AF1886" s="508">
        <v>1.4889999999999999</v>
      </c>
      <c r="AG1886" s="508">
        <v>1.484</v>
      </c>
      <c r="AH1886" s="508">
        <v>1.482</v>
      </c>
      <c r="AI1886" s="492">
        <v>1.482</v>
      </c>
      <c r="AJ1886" s="485"/>
    </row>
    <row r="1887" spans="2:36">
      <c r="B1887" s="136" t="s">
        <v>464</v>
      </c>
      <c r="C1887" s="132" t="s">
        <v>1362</v>
      </c>
      <c r="D1887" s="132" t="s">
        <v>282</v>
      </c>
      <c r="E1887" s="508">
        <v>8.3780000000000001</v>
      </c>
      <c r="F1887" s="508">
        <v>8.1549999999999994</v>
      </c>
      <c r="G1887" s="508">
        <v>8.081999999999999</v>
      </c>
      <c r="H1887" s="508">
        <v>8.0299999999999994</v>
      </c>
      <c r="I1887" s="508">
        <v>7.907</v>
      </c>
      <c r="J1887" s="508">
        <v>7.6790000000000003</v>
      </c>
      <c r="K1887" s="508">
        <v>8.0310000000000006</v>
      </c>
      <c r="L1887" s="508">
        <v>8.0180000000000007</v>
      </c>
      <c r="M1887" s="508">
        <v>7.8449999999999998</v>
      </c>
      <c r="N1887" s="508">
        <v>7.9620000000000006</v>
      </c>
      <c r="O1887" s="508">
        <v>7.9399999999999995</v>
      </c>
      <c r="P1887" s="508">
        <v>7.8849999999999998</v>
      </c>
      <c r="Q1887" s="508">
        <v>7.9290000000000003</v>
      </c>
      <c r="R1887" s="508">
        <v>7.8739999999999997</v>
      </c>
      <c r="S1887" s="508">
        <v>7.9580000000000002</v>
      </c>
      <c r="T1887" s="508">
        <v>7.96</v>
      </c>
      <c r="U1887" s="508">
        <v>7.89</v>
      </c>
      <c r="V1887" s="508">
        <v>7.8479999999999999</v>
      </c>
      <c r="W1887" s="508">
        <v>4.71</v>
      </c>
      <c r="X1887" s="508">
        <v>4.6950000000000003</v>
      </c>
      <c r="Y1887" s="508">
        <v>4.6959999999999997</v>
      </c>
      <c r="Z1887" s="508">
        <v>4.6950000000000003</v>
      </c>
      <c r="AA1887" s="508">
        <v>2.7079999999999997</v>
      </c>
      <c r="AB1887" s="508">
        <v>2.6909999999999998</v>
      </c>
      <c r="AC1887" s="508">
        <v>2.7159999999999997</v>
      </c>
      <c r="AD1887" s="508">
        <v>2.1350000000000002</v>
      </c>
      <c r="AE1887" s="508">
        <v>2.125</v>
      </c>
      <c r="AF1887" s="508">
        <v>2.0649999999999999</v>
      </c>
      <c r="AG1887" s="508">
        <v>2.06</v>
      </c>
      <c r="AH1887" s="508">
        <v>2.0580000000000003</v>
      </c>
      <c r="AI1887" s="492">
        <v>2.0580000000000003</v>
      </c>
      <c r="AJ1887" s="485"/>
    </row>
    <row r="1888" spans="2:36">
      <c r="B1888" s="136" t="s">
        <v>465</v>
      </c>
      <c r="C1888" s="132" t="s">
        <v>1362</v>
      </c>
      <c r="D1888" s="132" t="s">
        <v>282</v>
      </c>
      <c r="E1888" s="508">
        <v>8.4169999999999998</v>
      </c>
      <c r="F1888" s="508">
        <v>8.1829999999999998</v>
      </c>
      <c r="G1888" s="508">
        <v>8.1020000000000003</v>
      </c>
      <c r="H1888" s="508">
        <v>8.0459999999999994</v>
      </c>
      <c r="I1888" s="508">
        <v>7.92</v>
      </c>
      <c r="J1888" s="508">
        <v>7.6939999999999991</v>
      </c>
      <c r="K1888" s="508">
        <v>8.0350000000000001</v>
      </c>
      <c r="L1888" s="508">
        <v>8.0210000000000008</v>
      </c>
      <c r="M1888" s="508">
        <v>7.8500000000000005</v>
      </c>
      <c r="N1888" s="508">
        <v>7.9639999999999995</v>
      </c>
      <c r="O1888" s="508">
        <v>7.9409999999999989</v>
      </c>
      <c r="P1888" s="508">
        <v>7.8860000000000001</v>
      </c>
      <c r="Q1888" s="508">
        <v>7.9290000000000003</v>
      </c>
      <c r="R1888" s="508">
        <v>7.875</v>
      </c>
      <c r="S1888" s="508">
        <v>7.9559999999999995</v>
      </c>
      <c r="T1888" s="508">
        <v>7.9580000000000002</v>
      </c>
      <c r="U1888" s="508">
        <v>7.8889999999999993</v>
      </c>
      <c r="V1888" s="508">
        <v>7.8460000000000001</v>
      </c>
      <c r="W1888" s="508">
        <v>4.6720000000000006</v>
      </c>
      <c r="X1888" s="508">
        <v>4.6580000000000004</v>
      </c>
      <c r="Y1888" s="508">
        <v>4.6579999999999995</v>
      </c>
      <c r="Z1888" s="508">
        <v>4.6559999999999997</v>
      </c>
      <c r="AA1888" s="508">
        <v>2.6429999999999998</v>
      </c>
      <c r="AB1888" s="508">
        <v>2.6270000000000002</v>
      </c>
      <c r="AC1888" s="508">
        <v>2.65</v>
      </c>
      <c r="AD1888" s="508">
        <v>2.081</v>
      </c>
      <c r="AE1888" s="508">
        <v>2.0720000000000001</v>
      </c>
      <c r="AF1888" s="508">
        <v>2.0110000000000001</v>
      </c>
      <c r="AG1888" s="508">
        <v>2.0060000000000002</v>
      </c>
      <c r="AH1888" s="508">
        <v>2.004</v>
      </c>
      <c r="AI1888" s="492">
        <v>2.004</v>
      </c>
      <c r="AJ1888" s="485"/>
    </row>
    <row r="1889" spans="2:36">
      <c r="B1889" s="136" t="s">
        <v>466</v>
      </c>
      <c r="C1889" s="132" t="s">
        <v>1362</v>
      </c>
      <c r="D1889" s="132" t="s">
        <v>282</v>
      </c>
      <c r="E1889" s="508">
        <v>8.3740000000000006</v>
      </c>
      <c r="F1889" s="508">
        <v>8.07</v>
      </c>
      <c r="G1889" s="508">
        <v>7.9430000000000005</v>
      </c>
      <c r="H1889" s="508">
        <v>7.86</v>
      </c>
      <c r="I1889" s="508">
        <v>7.7290000000000001</v>
      </c>
      <c r="J1889" s="508">
        <v>7.5220000000000002</v>
      </c>
      <c r="K1889" s="508">
        <v>7.76</v>
      </c>
      <c r="L1889" s="508">
        <v>7.7370000000000001</v>
      </c>
      <c r="M1889" s="508">
        <v>7.5860000000000003</v>
      </c>
      <c r="N1889" s="508">
        <v>7.673</v>
      </c>
      <c r="O1889" s="508">
        <v>7.6479999999999997</v>
      </c>
      <c r="P1889" s="508">
        <v>7.5980000000000008</v>
      </c>
      <c r="Q1889" s="508">
        <v>7.6280000000000001</v>
      </c>
      <c r="R1889" s="508">
        <v>7.5789999999999997</v>
      </c>
      <c r="S1889" s="508">
        <v>7.6429999999999998</v>
      </c>
      <c r="T1889" s="508">
        <v>7.6390000000000002</v>
      </c>
      <c r="U1889" s="508">
        <v>7.577</v>
      </c>
      <c r="V1889" s="508">
        <v>7.5389999999999997</v>
      </c>
      <c r="W1889" s="508">
        <v>4.1680000000000001</v>
      </c>
      <c r="X1889" s="508">
        <v>4.1619999999999999</v>
      </c>
      <c r="Y1889" s="508">
        <v>4.1550000000000002</v>
      </c>
      <c r="Z1889" s="508">
        <v>4.1499999999999995</v>
      </c>
      <c r="AA1889" s="508">
        <v>1.9319999999999999</v>
      </c>
      <c r="AB1889" s="508">
        <v>1.9209999999999998</v>
      </c>
      <c r="AC1889" s="508">
        <v>1.9319999999999999</v>
      </c>
      <c r="AD1889" s="508">
        <v>1.4909999999999999</v>
      </c>
      <c r="AE1889" s="508">
        <v>1.4830000000000001</v>
      </c>
      <c r="AF1889" s="508">
        <v>1.4159999999999999</v>
      </c>
      <c r="AG1889" s="508">
        <v>1.411</v>
      </c>
      <c r="AH1889" s="508">
        <v>1.4079999999999999</v>
      </c>
      <c r="AI1889" s="492">
        <v>1.4079999999999999</v>
      </c>
      <c r="AJ1889" s="485"/>
    </row>
    <row r="1890" spans="2:36">
      <c r="B1890" s="136" t="s">
        <v>467</v>
      </c>
      <c r="C1890" s="132" t="s">
        <v>1362</v>
      </c>
      <c r="D1890" s="132" t="s">
        <v>282</v>
      </c>
      <c r="E1890" s="508">
        <v>7.8250000000000002</v>
      </c>
      <c r="F1890" s="508">
        <v>7.5520000000000005</v>
      </c>
      <c r="G1890" s="508">
        <v>7.4420000000000002</v>
      </c>
      <c r="H1890" s="508">
        <v>7.367</v>
      </c>
      <c r="I1890" s="508">
        <v>7.2479999999999993</v>
      </c>
      <c r="J1890" s="508">
        <v>7.0510000000000002</v>
      </c>
      <c r="K1890" s="508">
        <v>7.2709999999999999</v>
      </c>
      <c r="L1890" s="508">
        <v>7.2509999999999994</v>
      </c>
      <c r="M1890" s="508">
        <v>7.1080000000000005</v>
      </c>
      <c r="N1890" s="508">
        <v>7.1919999999999993</v>
      </c>
      <c r="O1890" s="508">
        <v>7.1689999999999996</v>
      </c>
      <c r="P1890" s="508">
        <v>7.1219999999999999</v>
      </c>
      <c r="Q1890" s="508">
        <v>7.1529999999999996</v>
      </c>
      <c r="R1890" s="508">
        <v>7.1059999999999999</v>
      </c>
      <c r="S1890" s="508">
        <v>7.1680000000000001</v>
      </c>
      <c r="T1890" s="508">
        <v>7.1659999999999995</v>
      </c>
      <c r="U1890" s="508">
        <v>7.1070000000000002</v>
      </c>
      <c r="V1890" s="508">
        <v>7.0699999999999994</v>
      </c>
      <c r="W1890" s="508">
        <v>3.835</v>
      </c>
      <c r="X1890" s="508">
        <v>3.8290000000000002</v>
      </c>
      <c r="Y1890" s="508">
        <v>3.8230000000000004</v>
      </c>
      <c r="Z1890" s="508">
        <v>3.8180000000000001</v>
      </c>
      <c r="AA1890" s="508">
        <v>1.6950000000000001</v>
      </c>
      <c r="AB1890" s="508">
        <v>1.6850000000000001</v>
      </c>
      <c r="AC1890" s="508">
        <v>1.694</v>
      </c>
      <c r="AD1890" s="508">
        <v>1.3</v>
      </c>
      <c r="AE1890" s="508">
        <v>1.2929999999999999</v>
      </c>
      <c r="AF1890" s="508">
        <v>1.2290000000000001</v>
      </c>
      <c r="AG1890" s="508">
        <v>1.224</v>
      </c>
      <c r="AH1890" s="508">
        <v>1.2210000000000001</v>
      </c>
      <c r="AI1890" s="492">
        <v>1.2210000000000001</v>
      </c>
      <c r="AJ1890" s="485"/>
    </row>
    <row r="1891" spans="2:36">
      <c r="B1891" s="136" t="s">
        <v>468</v>
      </c>
      <c r="C1891" s="132" t="s">
        <v>1362</v>
      </c>
      <c r="D1891" s="132" t="s">
        <v>282</v>
      </c>
      <c r="E1891" s="508">
        <v>8.6129999999999995</v>
      </c>
      <c r="F1891" s="508">
        <v>8.4039999999999999</v>
      </c>
      <c r="G1891" s="508">
        <v>8.3420000000000005</v>
      </c>
      <c r="H1891" s="508">
        <v>8.2959999999999994</v>
      </c>
      <c r="I1891" s="508">
        <v>8.17</v>
      </c>
      <c r="J1891" s="508">
        <v>7.9320000000000004</v>
      </c>
      <c r="K1891" s="508">
        <v>8.3279999999999994</v>
      </c>
      <c r="L1891" s="508">
        <v>8.3179999999999996</v>
      </c>
      <c r="M1891" s="508">
        <v>8.1340000000000003</v>
      </c>
      <c r="N1891" s="508">
        <v>8.2620000000000005</v>
      </c>
      <c r="O1891" s="508">
        <v>8.24</v>
      </c>
      <c r="P1891" s="508">
        <v>8.1829999999999998</v>
      </c>
      <c r="Q1891" s="508">
        <v>8.2319999999999993</v>
      </c>
      <c r="R1891" s="508">
        <v>8.173</v>
      </c>
      <c r="S1891" s="508">
        <v>8.2639999999999993</v>
      </c>
      <c r="T1891" s="508">
        <v>8.2690000000000001</v>
      </c>
      <c r="U1891" s="508">
        <v>8.1959999999999997</v>
      </c>
      <c r="V1891" s="508">
        <v>8.1509999999999998</v>
      </c>
      <c r="W1891" s="508">
        <v>5.0179999999999998</v>
      </c>
      <c r="X1891" s="508">
        <v>5.0010000000000003</v>
      </c>
      <c r="Y1891" s="508">
        <v>5.0039999999999996</v>
      </c>
      <c r="Z1891" s="508">
        <v>5.0039999999999996</v>
      </c>
      <c r="AA1891" s="508">
        <v>3.056</v>
      </c>
      <c r="AB1891" s="508">
        <v>3.0369999999999999</v>
      </c>
      <c r="AC1891" s="508">
        <v>3.0670000000000002</v>
      </c>
      <c r="AD1891" s="508">
        <v>2.4220000000000002</v>
      </c>
      <c r="AE1891" s="508">
        <v>2.411</v>
      </c>
      <c r="AF1891" s="508">
        <v>2.3520000000000003</v>
      </c>
      <c r="AG1891" s="508">
        <v>2.347</v>
      </c>
      <c r="AH1891" s="508">
        <v>2.3450000000000002</v>
      </c>
      <c r="AI1891" s="492">
        <v>2.3450000000000002</v>
      </c>
      <c r="AJ1891" s="485"/>
    </row>
    <row r="1892" spans="2:36">
      <c r="B1892" s="136" t="s">
        <v>469</v>
      </c>
      <c r="C1892" s="132" t="s">
        <v>1362</v>
      </c>
      <c r="D1892" s="132" t="s">
        <v>282</v>
      </c>
      <c r="E1892" s="508">
        <v>8.3580000000000005</v>
      </c>
      <c r="F1892" s="508">
        <v>8.1150000000000002</v>
      </c>
      <c r="G1892" s="508">
        <v>8.0289999999999999</v>
      </c>
      <c r="H1892" s="508">
        <v>7.9689999999999994</v>
      </c>
      <c r="I1892" s="508">
        <v>7.843</v>
      </c>
      <c r="J1892" s="508">
        <v>7.6219999999999999</v>
      </c>
      <c r="K1892" s="508">
        <v>7.9429999999999996</v>
      </c>
      <c r="L1892" s="508">
        <v>7.9279999999999999</v>
      </c>
      <c r="M1892" s="508">
        <v>7.7610000000000001</v>
      </c>
      <c r="N1892" s="508">
        <v>7.87</v>
      </c>
      <c r="O1892" s="508">
        <v>7.8480000000000008</v>
      </c>
      <c r="P1892" s="508">
        <v>7.7940000000000005</v>
      </c>
      <c r="Q1892" s="508">
        <v>7.835</v>
      </c>
      <c r="R1892" s="508">
        <v>7.7810000000000006</v>
      </c>
      <c r="S1892" s="508">
        <v>7.859</v>
      </c>
      <c r="T1892" s="508">
        <v>7.8609999999999998</v>
      </c>
      <c r="U1892" s="508">
        <v>7.7930000000000001</v>
      </c>
      <c r="V1892" s="508">
        <v>7.7520000000000007</v>
      </c>
      <c r="W1892" s="508">
        <v>4.5570000000000004</v>
      </c>
      <c r="X1892" s="508">
        <v>4.5449999999999999</v>
      </c>
      <c r="Y1892" s="508">
        <v>4.5440000000000005</v>
      </c>
      <c r="Z1892" s="508">
        <v>4.5419999999999998</v>
      </c>
      <c r="AA1892" s="508">
        <v>2.5</v>
      </c>
      <c r="AB1892" s="508">
        <v>2.4849999999999999</v>
      </c>
      <c r="AC1892" s="508">
        <v>2.5059999999999998</v>
      </c>
      <c r="AD1892" s="508">
        <v>1.9630000000000001</v>
      </c>
      <c r="AE1892" s="508">
        <v>1.954</v>
      </c>
      <c r="AF1892" s="508">
        <v>1.8919999999999999</v>
      </c>
      <c r="AG1892" s="508">
        <v>1.887</v>
      </c>
      <c r="AH1892" s="508">
        <v>1.885</v>
      </c>
      <c r="AI1892" s="492">
        <v>1.885</v>
      </c>
      <c r="AJ1892" s="485"/>
    </row>
    <row r="1893" spans="2:36">
      <c r="B1893" s="136" t="s">
        <v>470</v>
      </c>
      <c r="C1893" s="132" t="s">
        <v>1362</v>
      </c>
      <c r="D1893" s="132" t="s">
        <v>282</v>
      </c>
      <c r="E1893" s="508">
        <v>7.8149999999999995</v>
      </c>
      <c r="F1893" s="508">
        <v>7.5100000000000007</v>
      </c>
      <c r="G1893" s="508">
        <v>7.3790000000000004</v>
      </c>
      <c r="H1893" s="508">
        <v>7.2930000000000001</v>
      </c>
      <c r="I1893" s="508">
        <v>7.1690000000000005</v>
      </c>
      <c r="J1893" s="508">
        <v>6.9809999999999999</v>
      </c>
      <c r="K1893" s="508">
        <v>7.1559999999999997</v>
      </c>
      <c r="L1893" s="508">
        <v>7.1319999999999997</v>
      </c>
      <c r="M1893" s="508">
        <v>6.9969999999999999</v>
      </c>
      <c r="N1893" s="508">
        <v>7.07</v>
      </c>
      <c r="O1893" s="508">
        <v>7.0459999999999994</v>
      </c>
      <c r="P1893" s="508">
        <v>7.0009999999999994</v>
      </c>
      <c r="Q1893" s="508">
        <v>7.0270000000000001</v>
      </c>
      <c r="R1893" s="508">
        <v>6.9809999999999999</v>
      </c>
      <c r="S1893" s="508">
        <v>7.0360000000000005</v>
      </c>
      <c r="T1893" s="508">
        <v>7.0309999999999997</v>
      </c>
      <c r="U1893" s="508">
        <v>6.9749999999999996</v>
      </c>
      <c r="V1893" s="508">
        <v>6.94</v>
      </c>
      <c r="W1893" s="508">
        <v>3.613</v>
      </c>
      <c r="X1893" s="508">
        <v>3.61</v>
      </c>
      <c r="Y1893" s="508">
        <v>3.6019999999999999</v>
      </c>
      <c r="Z1893" s="508">
        <v>3.5950000000000002</v>
      </c>
      <c r="AA1893" s="508">
        <v>1.3879999999999999</v>
      </c>
      <c r="AB1893" s="508">
        <v>1.38</v>
      </c>
      <c r="AC1893" s="508">
        <v>1.383</v>
      </c>
      <c r="AD1893" s="508">
        <v>1.0449999999999999</v>
      </c>
      <c r="AE1893" s="508">
        <v>1.038</v>
      </c>
      <c r="AF1893" s="508">
        <v>0.97199999999999998</v>
      </c>
      <c r="AG1893" s="508">
        <v>0.96699999999999997</v>
      </c>
      <c r="AH1893" s="508">
        <v>0.96399999999999997</v>
      </c>
      <c r="AI1893" s="492">
        <v>0.96399999999999997</v>
      </c>
      <c r="AJ1893" s="485"/>
    </row>
    <row r="1894" spans="2:36">
      <c r="B1894" s="136" t="s">
        <v>471</v>
      </c>
      <c r="C1894" s="132" t="s">
        <v>1362</v>
      </c>
      <c r="D1894" s="132" t="s">
        <v>282</v>
      </c>
      <c r="E1894" s="508">
        <v>7.78</v>
      </c>
      <c r="F1894" s="508">
        <v>7.4889999999999999</v>
      </c>
      <c r="G1894" s="508">
        <v>7.3660000000000005</v>
      </c>
      <c r="H1894" s="508">
        <v>7.2850000000000001</v>
      </c>
      <c r="I1894" s="508">
        <v>7.1630000000000003</v>
      </c>
      <c r="J1894" s="508">
        <v>6.9740000000000002</v>
      </c>
      <c r="K1894" s="508">
        <v>7.1630000000000003</v>
      </c>
      <c r="L1894" s="508">
        <v>7.1400000000000006</v>
      </c>
      <c r="M1894" s="508">
        <v>7.0019999999999998</v>
      </c>
      <c r="N1894" s="508">
        <v>7.0789999999999997</v>
      </c>
      <c r="O1894" s="508">
        <v>7.056</v>
      </c>
      <c r="P1894" s="508">
        <v>7.01</v>
      </c>
      <c r="Q1894" s="508">
        <v>7.0369999999999999</v>
      </c>
      <c r="R1894" s="508">
        <v>6.992</v>
      </c>
      <c r="S1894" s="508">
        <v>7.048</v>
      </c>
      <c r="T1894" s="508">
        <v>7.0449999999999999</v>
      </c>
      <c r="U1894" s="508">
        <v>6.9880000000000004</v>
      </c>
      <c r="V1894" s="508">
        <v>6.9529999999999994</v>
      </c>
      <c r="W1894" s="508">
        <v>3.6679999999999997</v>
      </c>
      <c r="X1894" s="508">
        <v>3.665</v>
      </c>
      <c r="Y1894" s="508">
        <v>3.657</v>
      </c>
      <c r="Z1894" s="508">
        <v>3.65</v>
      </c>
      <c r="AA1894" s="508">
        <v>1.4729999999999999</v>
      </c>
      <c r="AB1894" s="508">
        <v>1.4649999999999999</v>
      </c>
      <c r="AC1894" s="508">
        <v>1.47</v>
      </c>
      <c r="AD1894" s="508">
        <v>1.1160000000000001</v>
      </c>
      <c r="AE1894" s="508">
        <v>1.1100000000000001</v>
      </c>
      <c r="AF1894" s="508">
        <v>1.0449999999999999</v>
      </c>
      <c r="AG1894" s="508">
        <v>1.0390000000000001</v>
      </c>
      <c r="AH1894" s="508">
        <v>1.0369999999999999</v>
      </c>
      <c r="AI1894" s="492">
        <v>1.0369999999999999</v>
      </c>
      <c r="AJ1894" s="485"/>
    </row>
    <row r="1895" spans="2:36">
      <c r="B1895" s="136" t="s">
        <v>472</v>
      </c>
      <c r="C1895" s="132" t="s">
        <v>1362</v>
      </c>
      <c r="D1895" s="132" t="s">
        <v>282</v>
      </c>
      <c r="E1895" s="508">
        <v>8.1829999999999998</v>
      </c>
      <c r="F1895" s="508">
        <v>7.952</v>
      </c>
      <c r="G1895" s="508">
        <v>7.8719999999999999</v>
      </c>
      <c r="H1895" s="508">
        <v>7.8170000000000002</v>
      </c>
      <c r="I1895" s="508">
        <v>7.6950000000000003</v>
      </c>
      <c r="J1895" s="508">
        <v>7.476</v>
      </c>
      <c r="K1895" s="508">
        <v>7.7940000000000005</v>
      </c>
      <c r="L1895" s="508">
        <v>7.78</v>
      </c>
      <c r="M1895" s="508">
        <v>7.6159999999999997</v>
      </c>
      <c r="N1895" s="508">
        <v>7.7240000000000002</v>
      </c>
      <c r="O1895" s="508">
        <v>7.7030000000000003</v>
      </c>
      <c r="P1895" s="508">
        <v>7.65</v>
      </c>
      <c r="Q1895" s="508">
        <v>7.6920000000000002</v>
      </c>
      <c r="R1895" s="508">
        <v>7.6390000000000002</v>
      </c>
      <c r="S1895" s="508">
        <v>7.7159999999999993</v>
      </c>
      <c r="T1895" s="508">
        <v>7.7190000000000003</v>
      </c>
      <c r="U1895" s="508">
        <v>7.6509999999999998</v>
      </c>
      <c r="V1895" s="508">
        <v>7.61</v>
      </c>
      <c r="W1895" s="508">
        <v>4.4659999999999993</v>
      </c>
      <c r="X1895" s="508">
        <v>4.4550000000000001</v>
      </c>
      <c r="Y1895" s="508">
        <v>4.4539999999999997</v>
      </c>
      <c r="Z1895" s="508">
        <v>4.452</v>
      </c>
      <c r="AA1895" s="508">
        <v>2.4430000000000001</v>
      </c>
      <c r="AB1895" s="508">
        <v>2.4290000000000003</v>
      </c>
      <c r="AC1895" s="508">
        <v>2.4500000000000002</v>
      </c>
      <c r="AD1895" s="508">
        <v>1.9179999999999999</v>
      </c>
      <c r="AE1895" s="508">
        <v>1.9079999999999999</v>
      </c>
      <c r="AF1895" s="508">
        <v>1.8480000000000001</v>
      </c>
      <c r="AG1895" s="508">
        <v>1.843</v>
      </c>
      <c r="AH1895" s="508">
        <v>1.841</v>
      </c>
      <c r="AI1895" s="492">
        <v>1.841</v>
      </c>
      <c r="AJ1895" s="485"/>
    </row>
    <row r="1896" spans="2:36">
      <c r="B1896" s="136" t="s">
        <v>473</v>
      </c>
      <c r="C1896" s="132" t="s">
        <v>1362</v>
      </c>
      <c r="D1896" s="132" t="s">
        <v>282</v>
      </c>
      <c r="E1896" s="508">
        <v>8.0060000000000002</v>
      </c>
      <c r="F1896" s="508">
        <v>7.7050000000000001</v>
      </c>
      <c r="G1896" s="508">
        <v>7.577</v>
      </c>
      <c r="H1896" s="508">
        <v>7.492</v>
      </c>
      <c r="I1896" s="508">
        <v>7.367</v>
      </c>
      <c r="J1896" s="508">
        <v>7.1720000000000006</v>
      </c>
      <c r="K1896" s="508">
        <v>7.3710000000000004</v>
      </c>
      <c r="L1896" s="508">
        <v>7.3479999999999999</v>
      </c>
      <c r="M1896" s="508">
        <v>7.2080000000000002</v>
      </c>
      <c r="N1896" s="508">
        <v>7.2850000000000001</v>
      </c>
      <c r="O1896" s="508">
        <v>7.2609999999999992</v>
      </c>
      <c r="P1896" s="508">
        <v>7.2139999999999995</v>
      </c>
      <c r="Q1896" s="508">
        <v>7.242</v>
      </c>
      <c r="R1896" s="508">
        <v>7.1960000000000006</v>
      </c>
      <c r="S1896" s="508">
        <v>7.2530000000000001</v>
      </c>
      <c r="T1896" s="508">
        <v>7.25</v>
      </c>
      <c r="U1896" s="508">
        <v>7.1909999999999998</v>
      </c>
      <c r="V1896" s="508">
        <v>7.1549999999999994</v>
      </c>
      <c r="W1896" s="508">
        <v>3.8220000000000001</v>
      </c>
      <c r="X1896" s="508">
        <v>3.8180000000000001</v>
      </c>
      <c r="Y1896" s="508">
        <v>3.81</v>
      </c>
      <c r="Z1896" s="508">
        <v>3.8039999999999998</v>
      </c>
      <c r="AA1896" s="508">
        <v>1.595</v>
      </c>
      <c r="AB1896" s="508">
        <v>1.5859999999999999</v>
      </c>
      <c r="AC1896" s="508">
        <v>1.5920000000000001</v>
      </c>
      <c r="AD1896" s="508">
        <v>1.2150000000000001</v>
      </c>
      <c r="AE1896" s="508">
        <v>1.208</v>
      </c>
      <c r="AF1896" s="508">
        <v>1.141</v>
      </c>
      <c r="AG1896" s="508">
        <v>1.1360000000000001</v>
      </c>
      <c r="AH1896" s="508">
        <v>1.133</v>
      </c>
      <c r="AI1896" s="492">
        <v>1.133</v>
      </c>
      <c r="AJ1896" s="485"/>
    </row>
    <row r="1897" spans="2:36">
      <c r="B1897" s="136" t="s">
        <v>474</v>
      </c>
      <c r="C1897" s="132" t="s">
        <v>1362</v>
      </c>
      <c r="D1897" s="132" t="s">
        <v>282</v>
      </c>
      <c r="E1897" s="508">
        <v>8.08</v>
      </c>
      <c r="F1897" s="508">
        <v>7.8089999999999993</v>
      </c>
      <c r="G1897" s="508">
        <v>7.702</v>
      </c>
      <c r="H1897" s="508">
        <v>7.6289999999999996</v>
      </c>
      <c r="I1897" s="508">
        <v>7.5060000000000002</v>
      </c>
      <c r="J1897" s="508">
        <v>7.3</v>
      </c>
      <c r="K1897" s="508">
        <v>7.5519999999999996</v>
      </c>
      <c r="L1897" s="508">
        <v>7.532</v>
      </c>
      <c r="M1897" s="508">
        <v>7.3810000000000002</v>
      </c>
      <c r="N1897" s="508">
        <v>7.4719999999999995</v>
      </c>
      <c r="O1897" s="508">
        <v>7.4499999999999993</v>
      </c>
      <c r="P1897" s="508">
        <v>7.4</v>
      </c>
      <c r="Q1897" s="508">
        <v>7.4339999999999993</v>
      </c>
      <c r="R1897" s="508">
        <v>7.3840000000000003</v>
      </c>
      <c r="S1897" s="508">
        <v>7.4510000000000005</v>
      </c>
      <c r="T1897" s="508">
        <v>7.45</v>
      </c>
      <c r="U1897" s="508">
        <v>7.3879999999999999</v>
      </c>
      <c r="V1897" s="508">
        <v>7.3489999999999993</v>
      </c>
      <c r="W1897" s="508">
        <v>4.0979999999999999</v>
      </c>
      <c r="X1897" s="508">
        <v>4.0910000000000002</v>
      </c>
      <c r="Y1897" s="508">
        <v>4.085</v>
      </c>
      <c r="Z1897" s="508">
        <v>4.0810000000000004</v>
      </c>
      <c r="AA1897" s="508">
        <v>1.96</v>
      </c>
      <c r="AB1897" s="508">
        <v>1.948</v>
      </c>
      <c r="AC1897" s="508">
        <v>1.9609999999999999</v>
      </c>
      <c r="AD1897" s="508">
        <v>1.5170000000000001</v>
      </c>
      <c r="AE1897" s="508">
        <v>1.5089999999999999</v>
      </c>
      <c r="AF1897" s="508">
        <v>1.4449999999999998</v>
      </c>
      <c r="AG1897" s="508">
        <v>1.44</v>
      </c>
      <c r="AH1897" s="508">
        <v>1.4379999999999999</v>
      </c>
      <c r="AI1897" s="492">
        <v>1.4379999999999999</v>
      </c>
      <c r="AJ1897" s="485"/>
    </row>
    <row r="1898" spans="2:36">
      <c r="B1898" s="136" t="s">
        <v>475</v>
      </c>
      <c r="C1898" s="132" t="s">
        <v>1362</v>
      </c>
      <c r="D1898" s="132" t="s">
        <v>282</v>
      </c>
      <c r="E1898" s="508">
        <v>8.016</v>
      </c>
      <c r="F1898" s="508">
        <v>7.7539999999999996</v>
      </c>
      <c r="G1898" s="508">
        <v>7.6520000000000001</v>
      </c>
      <c r="H1898" s="508">
        <v>7.5830000000000002</v>
      </c>
      <c r="I1898" s="508">
        <v>7.46</v>
      </c>
      <c r="J1898" s="508">
        <v>7.2539999999999996</v>
      </c>
      <c r="K1898" s="508">
        <v>7.51</v>
      </c>
      <c r="L1898" s="508">
        <v>7.4919999999999991</v>
      </c>
      <c r="M1898" s="508">
        <v>7.3410000000000002</v>
      </c>
      <c r="N1898" s="508">
        <v>7.4329999999999998</v>
      </c>
      <c r="O1898" s="508">
        <v>7.41</v>
      </c>
      <c r="P1898" s="508">
        <v>7.3620000000000001</v>
      </c>
      <c r="Q1898" s="508">
        <v>7.3959999999999999</v>
      </c>
      <c r="R1898" s="508">
        <v>7.3460000000000001</v>
      </c>
      <c r="S1898" s="508">
        <v>7.4139999999999997</v>
      </c>
      <c r="T1898" s="508">
        <v>7.4130000000000003</v>
      </c>
      <c r="U1898" s="508">
        <v>7.351</v>
      </c>
      <c r="V1898" s="508">
        <v>7.3119999999999994</v>
      </c>
      <c r="W1898" s="508">
        <v>4.09</v>
      </c>
      <c r="X1898" s="508">
        <v>4.0819999999999999</v>
      </c>
      <c r="Y1898" s="508">
        <v>4.0780000000000003</v>
      </c>
      <c r="Z1898" s="508">
        <v>4.0730000000000004</v>
      </c>
      <c r="AA1898" s="508">
        <v>1.978</v>
      </c>
      <c r="AB1898" s="508">
        <v>1.966</v>
      </c>
      <c r="AC1898" s="508">
        <v>1.9790000000000001</v>
      </c>
      <c r="AD1898" s="508">
        <v>1.5330000000000001</v>
      </c>
      <c r="AE1898" s="508">
        <v>1.5249999999999999</v>
      </c>
      <c r="AF1898" s="508">
        <v>1.462</v>
      </c>
      <c r="AG1898" s="508">
        <v>1.4570000000000001</v>
      </c>
      <c r="AH1898" s="508">
        <v>1.4550000000000001</v>
      </c>
      <c r="AI1898" s="492">
        <v>1.4550000000000001</v>
      </c>
      <c r="AJ1898" s="485"/>
    </row>
    <row r="1899" spans="2:36">
      <c r="B1899" s="136" t="s">
        <v>476</v>
      </c>
      <c r="C1899" s="132" t="s">
        <v>1362</v>
      </c>
      <c r="D1899" s="132" t="s">
        <v>282</v>
      </c>
      <c r="E1899" s="508">
        <v>8.2140000000000004</v>
      </c>
      <c r="F1899" s="508">
        <v>7.9350000000000005</v>
      </c>
      <c r="G1899" s="508">
        <v>7.8250000000000002</v>
      </c>
      <c r="H1899" s="508">
        <v>7.75</v>
      </c>
      <c r="I1899" s="508">
        <v>7.625</v>
      </c>
      <c r="J1899" s="508">
        <v>7.415</v>
      </c>
      <c r="K1899" s="508">
        <v>7.673</v>
      </c>
      <c r="L1899" s="508">
        <v>7.6520000000000001</v>
      </c>
      <c r="M1899" s="508">
        <v>7.4990000000000006</v>
      </c>
      <c r="N1899" s="508">
        <v>7.5919999999999996</v>
      </c>
      <c r="O1899" s="508">
        <v>7.5680000000000005</v>
      </c>
      <c r="P1899" s="508">
        <v>7.5169999999999995</v>
      </c>
      <c r="Q1899" s="508">
        <v>7.5519999999999996</v>
      </c>
      <c r="R1899" s="508">
        <v>7.5020000000000007</v>
      </c>
      <c r="S1899" s="508">
        <v>7.569</v>
      </c>
      <c r="T1899" s="508">
        <v>7.5670000000000002</v>
      </c>
      <c r="U1899" s="508">
        <v>7.5050000000000008</v>
      </c>
      <c r="V1899" s="508">
        <v>7.4660000000000002</v>
      </c>
      <c r="W1899" s="508">
        <v>4.1829999999999998</v>
      </c>
      <c r="X1899" s="508">
        <v>4.1740000000000004</v>
      </c>
      <c r="Y1899" s="508">
        <v>4.1690000000000005</v>
      </c>
      <c r="Z1899" s="508">
        <v>4.165</v>
      </c>
      <c r="AA1899" s="508">
        <v>2.028</v>
      </c>
      <c r="AB1899" s="508">
        <v>2.0149999999999997</v>
      </c>
      <c r="AC1899" s="508">
        <v>2.028</v>
      </c>
      <c r="AD1899" s="508">
        <v>1.5720000000000001</v>
      </c>
      <c r="AE1899" s="508">
        <v>1.5629999999999999</v>
      </c>
      <c r="AF1899" s="508">
        <v>1.4990000000000001</v>
      </c>
      <c r="AG1899" s="508">
        <v>1.494</v>
      </c>
      <c r="AH1899" s="508">
        <v>1.4910000000000001</v>
      </c>
      <c r="AI1899" s="492">
        <v>1.4910000000000001</v>
      </c>
      <c r="AJ1899" s="485"/>
    </row>
    <row r="1900" spans="2:36">
      <c r="B1900" s="136" t="s">
        <v>478</v>
      </c>
      <c r="C1900" s="132" t="s">
        <v>1362</v>
      </c>
      <c r="D1900" s="132" t="s">
        <v>282</v>
      </c>
      <c r="E1900" s="508">
        <v>7.9700000000000006</v>
      </c>
      <c r="F1900" s="508">
        <v>7.6619999999999999</v>
      </c>
      <c r="G1900" s="508">
        <v>7.53</v>
      </c>
      <c r="H1900" s="508">
        <v>7.4420000000000002</v>
      </c>
      <c r="I1900" s="508">
        <v>7.3170000000000002</v>
      </c>
      <c r="J1900" s="508">
        <v>7.1230000000000002</v>
      </c>
      <c r="K1900" s="508">
        <v>7.3129999999999997</v>
      </c>
      <c r="L1900" s="508">
        <v>7.2880000000000003</v>
      </c>
      <c r="M1900" s="508">
        <v>7.149</v>
      </c>
      <c r="N1900" s="508">
        <v>7.2249999999999996</v>
      </c>
      <c r="O1900" s="508">
        <v>7.2010000000000005</v>
      </c>
      <c r="P1900" s="508">
        <v>7.1539999999999999</v>
      </c>
      <c r="Q1900" s="508">
        <v>7.1809999999999992</v>
      </c>
      <c r="R1900" s="508">
        <v>7.1349999999999998</v>
      </c>
      <c r="S1900" s="508">
        <v>7.1920000000000002</v>
      </c>
      <c r="T1900" s="508">
        <v>7.1870000000000003</v>
      </c>
      <c r="U1900" s="508">
        <v>7.1290000000000004</v>
      </c>
      <c r="V1900" s="508">
        <v>7.093</v>
      </c>
      <c r="W1900" s="508">
        <v>3.742</v>
      </c>
      <c r="X1900" s="508">
        <v>3.738</v>
      </c>
      <c r="Y1900" s="508">
        <v>3.73</v>
      </c>
      <c r="Z1900" s="508">
        <v>3.7229999999999999</v>
      </c>
      <c r="AA1900" s="508">
        <v>1.5129999999999999</v>
      </c>
      <c r="AB1900" s="508">
        <v>1.5049999999999999</v>
      </c>
      <c r="AC1900" s="508">
        <v>1.5089999999999999</v>
      </c>
      <c r="AD1900" s="508">
        <v>1.147</v>
      </c>
      <c r="AE1900" s="508">
        <v>1.141</v>
      </c>
      <c r="AF1900" s="508">
        <v>1.075</v>
      </c>
      <c r="AG1900" s="508">
        <v>1.069</v>
      </c>
      <c r="AH1900" s="508">
        <v>1.0669999999999999</v>
      </c>
      <c r="AI1900" s="492">
        <v>1.0669999999999999</v>
      </c>
      <c r="AJ1900" s="485"/>
    </row>
    <row r="1901" spans="2:36">
      <c r="B1901" s="136" t="s">
        <v>479</v>
      </c>
      <c r="C1901" s="132" t="s">
        <v>1362</v>
      </c>
      <c r="D1901" s="132" t="s">
        <v>282</v>
      </c>
      <c r="E1901" s="508">
        <v>8.3460000000000001</v>
      </c>
      <c r="F1901" s="508">
        <v>8.09</v>
      </c>
      <c r="G1901" s="508">
        <v>7.9959999999999996</v>
      </c>
      <c r="H1901" s="508">
        <v>7.931</v>
      </c>
      <c r="I1901" s="508">
        <v>7.8049999999999997</v>
      </c>
      <c r="J1901" s="508">
        <v>7.5869999999999997</v>
      </c>
      <c r="K1901" s="508">
        <v>7.8889999999999993</v>
      </c>
      <c r="L1901" s="508">
        <v>7.8730000000000002</v>
      </c>
      <c r="M1901" s="508">
        <v>7.7099999999999991</v>
      </c>
      <c r="N1901" s="508">
        <v>7.8129999999999997</v>
      </c>
      <c r="O1901" s="508">
        <v>7.79</v>
      </c>
      <c r="P1901" s="508">
        <v>7.7379999999999995</v>
      </c>
      <c r="Q1901" s="508">
        <v>7.7770000000000001</v>
      </c>
      <c r="R1901" s="508">
        <v>7.7240000000000002</v>
      </c>
      <c r="S1901" s="508">
        <v>7.798</v>
      </c>
      <c r="T1901" s="508">
        <v>7.7989999999999995</v>
      </c>
      <c r="U1901" s="508">
        <v>7.7329999999999997</v>
      </c>
      <c r="V1901" s="508">
        <v>7.6920000000000002</v>
      </c>
      <c r="W1901" s="508">
        <v>4.4640000000000004</v>
      </c>
      <c r="X1901" s="508">
        <v>4.452</v>
      </c>
      <c r="Y1901" s="508">
        <v>4.4489999999999998</v>
      </c>
      <c r="Z1901" s="508">
        <v>4.4470000000000001</v>
      </c>
      <c r="AA1901" s="508">
        <v>2.371</v>
      </c>
      <c r="AB1901" s="508">
        <v>2.3569999999999998</v>
      </c>
      <c r="AC1901" s="508">
        <v>2.375</v>
      </c>
      <c r="AD1901" s="508">
        <v>1.8560000000000001</v>
      </c>
      <c r="AE1901" s="508">
        <v>1.847</v>
      </c>
      <c r="AF1901" s="508">
        <v>1.784</v>
      </c>
      <c r="AG1901" s="508">
        <v>1.7789999999999999</v>
      </c>
      <c r="AH1901" s="508">
        <v>1.7769999999999999</v>
      </c>
      <c r="AI1901" s="492">
        <v>1.7769999999999999</v>
      </c>
      <c r="AJ1901" s="485"/>
    </row>
    <row r="1902" spans="2:36">
      <c r="B1902" s="136" t="s">
        <v>480</v>
      </c>
      <c r="C1902" s="132" t="s">
        <v>1362</v>
      </c>
      <c r="D1902" s="132" t="s">
        <v>282</v>
      </c>
      <c r="E1902" s="508">
        <v>8.42</v>
      </c>
      <c r="F1902" s="508">
        <v>8.2040000000000006</v>
      </c>
      <c r="G1902" s="508">
        <v>8.1340000000000003</v>
      </c>
      <c r="H1902" s="508">
        <v>8.0850000000000009</v>
      </c>
      <c r="I1902" s="508">
        <v>7.96</v>
      </c>
      <c r="J1902" s="508">
        <v>7.73</v>
      </c>
      <c r="K1902" s="508">
        <v>8.0950000000000006</v>
      </c>
      <c r="L1902" s="508">
        <v>8.0830000000000002</v>
      </c>
      <c r="M1902" s="508">
        <v>7.9079999999999995</v>
      </c>
      <c r="N1902" s="508">
        <v>8.027000000000001</v>
      </c>
      <c r="O1902" s="508">
        <v>8.0050000000000008</v>
      </c>
      <c r="P1902" s="508">
        <v>7.9509999999999996</v>
      </c>
      <c r="Q1902" s="508">
        <v>7.9959999999999996</v>
      </c>
      <c r="R1902" s="508">
        <v>7.9399999999999995</v>
      </c>
      <c r="S1902" s="508">
        <v>8.0250000000000004</v>
      </c>
      <c r="T1902" s="508">
        <v>8.0289999999999999</v>
      </c>
      <c r="U1902" s="508">
        <v>7.9580000000000002</v>
      </c>
      <c r="V1902" s="508">
        <v>7.915</v>
      </c>
      <c r="W1902" s="508">
        <v>4.7880000000000003</v>
      </c>
      <c r="X1902" s="508">
        <v>4.7729999999999997</v>
      </c>
      <c r="Y1902" s="508">
        <v>4.7729999999999997</v>
      </c>
      <c r="Z1902" s="508">
        <v>4.7729999999999997</v>
      </c>
      <c r="AA1902" s="508">
        <v>2.8069999999999999</v>
      </c>
      <c r="AB1902" s="508">
        <v>2.7909999999999999</v>
      </c>
      <c r="AC1902" s="508">
        <v>2.8170000000000002</v>
      </c>
      <c r="AD1902" s="508">
        <v>2.218</v>
      </c>
      <c r="AE1902" s="508">
        <v>2.2080000000000002</v>
      </c>
      <c r="AF1902" s="508">
        <v>2.1480000000000001</v>
      </c>
      <c r="AG1902" s="508">
        <v>2.1440000000000001</v>
      </c>
      <c r="AH1902" s="508">
        <v>2.141</v>
      </c>
      <c r="AI1902" s="492">
        <v>2.141</v>
      </c>
      <c r="AJ1902" s="485"/>
    </row>
    <row r="1903" spans="2:36">
      <c r="B1903" s="136" t="s">
        <v>481</v>
      </c>
      <c r="C1903" s="132" t="s">
        <v>1362</v>
      </c>
      <c r="D1903" s="132" t="s">
        <v>282</v>
      </c>
      <c r="E1903" s="508">
        <v>8.2170000000000005</v>
      </c>
      <c r="F1903" s="508">
        <v>7.9480000000000004</v>
      </c>
      <c r="G1903" s="508">
        <v>7.8449999999999998</v>
      </c>
      <c r="H1903" s="508">
        <v>7.7750000000000004</v>
      </c>
      <c r="I1903" s="508">
        <v>7.649</v>
      </c>
      <c r="J1903" s="508">
        <v>7.4380000000000006</v>
      </c>
      <c r="K1903" s="508">
        <v>7.71</v>
      </c>
      <c r="L1903" s="508">
        <v>7.6910000000000007</v>
      </c>
      <c r="M1903" s="508">
        <v>7.5350000000000001</v>
      </c>
      <c r="N1903" s="508">
        <v>7.63</v>
      </c>
      <c r="O1903" s="508">
        <v>7.6070000000000002</v>
      </c>
      <c r="P1903" s="508">
        <v>7.556</v>
      </c>
      <c r="Q1903" s="508">
        <v>7.5919999999999996</v>
      </c>
      <c r="R1903" s="508">
        <v>7.5410000000000004</v>
      </c>
      <c r="S1903" s="508">
        <v>7.61</v>
      </c>
      <c r="T1903" s="508">
        <v>7.6099999999999994</v>
      </c>
      <c r="U1903" s="508">
        <v>7.5459999999999994</v>
      </c>
      <c r="V1903" s="508">
        <v>7.5059999999999993</v>
      </c>
      <c r="W1903" s="508">
        <v>4.2519999999999998</v>
      </c>
      <c r="X1903" s="508">
        <v>4.242</v>
      </c>
      <c r="Y1903" s="508">
        <v>4.2389999999999999</v>
      </c>
      <c r="Z1903" s="508">
        <v>4.2350000000000003</v>
      </c>
      <c r="AA1903" s="508">
        <v>2.1259999999999999</v>
      </c>
      <c r="AB1903" s="508">
        <v>2.1139999999999999</v>
      </c>
      <c r="AC1903" s="508">
        <v>2.1280000000000001</v>
      </c>
      <c r="AD1903" s="508">
        <v>1.6540000000000001</v>
      </c>
      <c r="AE1903" s="508">
        <v>1.6459999999999999</v>
      </c>
      <c r="AF1903" s="508">
        <v>1.5819999999999999</v>
      </c>
      <c r="AG1903" s="508">
        <v>1.577</v>
      </c>
      <c r="AH1903" s="508">
        <v>1.575</v>
      </c>
      <c r="AI1903" s="492">
        <v>1.575</v>
      </c>
      <c r="AJ1903" s="485"/>
    </row>
    <row r="1904" spans="2:36">
      <c r="B1904" s="136" t="s">
        <v>482</v>
      </c>
      <c r="C1904" s="132" t="s">
        <v>1362</v>
      </c>
      <c r="D1904" s="132" t="s">
        <v>282</v>
      </c>
      <c r="E1904" s="508">
        <v>7.9110000000000005</v>
      </c>
      <c r="F1904" s="508">
        <v>7.6319999999999997</v>
      </c>
      <c r="G1904" s="508">
        <v>7.5190000000000001</v>
      </c>
      <c r="H1904" s="508">
        <v>7.444</v>
      </c>
      <c r="I1904" s="508">
        <v>7.3209999999999997</v>
      </c>
      <c r="J1904" s="508">
        <v>7.1219999999999999</v>
      </c>
      <c r="K1904" s="508">
        <v>7.3460000000000001</v>
      </c>
      <c r="L1904" s="508">
        <v>7.3259999999999996</v>
      </c>
      <c r="M1904" s="508">
        <v>7.181</v>
      </c>
      <c r="N1904" s="508">
        <v>7.266</v>
      </c>
      <c r="O1904" s="508">
        <v>7.2430000000000003</v>
      </c>
      <c r="P1904" s="508">
        <v>7.194</v>
      </c>
      <c r="Q1904" s="508">
        <v>7.226</v>
      </c>
      <c r="R1904" s="508">
        <v>7.1779999999999999</v>
      </c>
      <c r="S1904" s="508">
        <v>7.24</v>
      </c>
      <c r="T1904" s="508">
        <v>7.2380000000000004</v>
      </c>
      <c r="U1904" s="508">
        <v>7.1790000000000003</v>
      </c>
      <c r="V1904" s="508">
        <v>7.1420000000000003</v>
      </c>
      <c r="W1904" s="508">
        <v>3.8820000000000001</v>
      </c>
      <c r="X1904" s="508">
        <v>3.8760000000000003</v>
      </c>
      <c r="Y1904" s="508">
        <v>3.8689999999999998</v>
      </c>
      <c r="Z1904" s="508">
        <v>3.8650000000000002</v>
      </c>
      <c r="AA1904" s="508">
        <v>1.7360000000000002</v>
      </c>
      <c r="AB1904" s="508">
        <v>1.726</v>
      </c>
      <c r="AC1904" s="508">
        <v>1.736</v>
      </c>
      <c r="AD1904" s="508">
        <v>1.3340000000000001</v>
      </c>
      <c r="AE1904" s="508">
        <v>1.3260000000000001</v>
      </c>
      <c r="AF1904" s="508">
        <v>1.262</v>
      </c>
      <c r="AG1904" s="508">
        <v>1.2570000000000001</v>
      </c>
      <c r="AH1904" s="508">
        <v>1.254</v>
      </c>
      <c r="AI1904" s="492">
        <v>1.254</v>
      </c>
      <c r="AJ1904" s="485"/>
    </row>
    <row r="1905" spans="2:36">
      <c r="B1905" s="136" t="s">
        <v>483</v>
      </c>
      <c r="C1905" s="132" t="s">
        <v>1362</v>
      </c>
      <c r="D1905" s="132" t="s">
        <v>282</v>
      </c>
      <c r="E1905" s="508">
        <v>8.097999999999999</v>
      </c>
      <c r="F1905" s="508">
        <v>7.798</v>
      </c>
      <c r="G1905" s="508">
        <v>7.673</v>
      </c>
      <c r="H1905" s="508">
        <v>7.59</v>
      </c>
      <c r="I1905" s="508">
        <v>7.4629999999999992</v>
      </c>
      <c r="J1905" s="508">
        <v>7.2640000000000002</v>
      </c>
      <c r="K1905" s="508">
        <v>7.4790000000000001</v>
      </c>
      <c r="L1905" s="508">
        <v>7.4559999999999995</v>
      </c>
      <c r="M1905" s="508">
        <v>7.3109999999999999</v>
      </c>
      <c r="N1905" s="508">
        <v>7.3929999999999998</v>
      </c>
      <c r="O1905" s="508">
        <v>7.3689999999999998</v>
      </c>
      <c r="P1905" s="508">
        <v>7.3209999999999997</v>
      </c>
      <c r="Q1905" s="508">
        <v>7.35</v>
      </c>
      <c r="R1905" s="508">
        <v>7.3029999999999999</v>
      </c>
      <c r="S1905" s="508">
        <v>7.3629999999999995</v>
      </c>
      <c r="T1905" s="508">
        <v>7.359</v>
      </c>
      <c r="U1905" s="508">
        <v>7.3000000000000007</v>
      </c>
      <c r="V1905" s="508">
        <v>7.2619999999999996</v>
      </c>
      <c r="W1905" s="508">
        <v>3.9270000000000005</v>
      </c>
      <c r="X1905" s="508">
        <v>3.9220000000000002</v>
      </c>
      <c r="Y1905" s="508">
        <v>3.915</v>
      </c>
      <c r="Z1905" s="508">
        <v>3.9089999999999998</v>
      </c>
      <c r="AA1905" s="508">
        <v>1.7190000000000001</v>
      </c>
      <c r="AB1905" s="508">
        <v>1.7090000000000001</v>
      </c>
      <c r="AC1905" s="508">
        <v>1.7170000000000001</v>
      </c>
      <c r="AD1905" s="508">
        <v>1.3169999999999999</v>
      </c>
      <c r="AE1905" s="508">
        <v>1.31</v>
      </c>
      <c r="AF1905" s="508">
        <v>1.244</v>
      </c>
      <c r="AG1905" s="508">
        <v>1.2389999999999999</v>
      </c>
      <c r="AH1905" s="508">
        <v>1.236</v>
      </c>
      <c r="AI1905" s="492">
        <v>1.236</v>
      </c>
      <c r="AJ1905" s="485"/>
    </row>
    <row r="1906" spans="2:36">
      <c r="B1906" s="136" t="s">
        <v>484</v>
      </c>
      <c r="C1906" s="132" t="s">
        <v>1362</v>
      </c>
      <c r="D1906" s="132" t="s">
        <v>282</v>
      </c>
      <c r="E1906" s="508">
        <v>8.1879999999999988</v>
      </c>
      <c r="F1906" s="508">
        <v>7.96</v>
      </c>
      <c r="G1906" s="508">
        <v>7.8810000000000002</v>
      </c>
      <c r="H1906" s="508">
        <v>7.8260000000000005</v>
      </c>
      <c r="I1906" s="508">
        <v>7.7040000000000006</v>
      </c>
      <c r="J1906" s="508">
        <v>7.4850000000000003</v>
      </c>
      <c r="K1906" s="508">
        <v>7.8079999999999998</v>
      </c>
      <c r="L1906" s="508">
        <v>7.7939999999999996</v>
      </c>
      <c r="M1906" s="508">
        <v>7.6280000000000001</v>
      </c>
      <c r="N1906" s="508">
        <v>7.7370000000000001</v>
      </c>
      <c r="O1906" s="508">
        <v>7.7160000000000002</v>
      </c>
      <c r="P1906" s="508">
        <v>7.6630000000000003</v>
      </c>
      <c r="Q1906" s="508">
        <v>7.7050000000000001</v>
      </c>
      <c r="R1906" s="508">
        <v>7.6520000000000001</v>
      </c>
      <c r="S1906" s="508">
        <v>7.729000000000001</v>
      </c>
      <c r="T1906" s="508">
        <v>7.7319999999999993</v>
      </c>
      <c r="U1906" s="508">
        <v>7.6650000000000009</v>
      </c>
      <c r="V1906" s="508">
        <v>7.6239999999999997</v>
      </c>
      <c r="W1906" s="508">
        <v>4.4849999999999994</v>
      </c>
      <c r="X1906" s="508">
        <v>4.4719999999999995</v>
      </c>
      <c r="Y1906" s="508">
        <v>4.4719999999999995</v>
      </c>
      <c r="Z1906" s="508">
        <v>4.47</v>
      </c>
      <c r="AA1906" s="508">
        <v>2.468</v>
      </c>
      <c r="AB1906" s="508">
        <v>2.4539999999999997</v>
      </c>
      <c r="AC1906" s="508">
        <v>2.476</v>
      </c>
      <c r="AD1906" s="508">
        <v>1.9390000000000001</v>
      </c>
      <c r="AE1906" s="508">
        <v>1.93</v>
      </c>
      <c r="AF1906" s="508">
        <v>1.869</v>
      </c>
      <c r="AG1906" s="508">
        <v>1.865</v>
      </c>
      <c r="AH1906" s="508">
        <v>1.8619999999999999</v>
      </c>
      <c r="AI1906" s="492">
        <v>1.8619999999999999</v>
      </c>
      <c r="AJ1906" s="485"/>
    </row>
    <row r="1907" spans="2:36">
      <c r="B1907" s="136" t="s">
        <v>486</v>
      </c>
      <c r="C1907" s="132" t="s">
        <v>1362</v>
      </c>
      <c r="D1907" s="132" t="s">
        <v>282</v>
      </c>
      <c r="E1907" s="508">
        <v>8.141</v>
      </c>
      <c r="F1907" s="508">
        <v>7.8689999999999998</v>
      </c>
      <c r="G1907" s="508">
        <v>7.7610000000000001</v>
      </c>
      <c r="H1907" s="508">
        <v>7.6890000000000001</v>
      </c>
      <c r="I1907" s="508">
        <v>7.5649999999999995</v>
      </c>
      <c r="J1907" s="508">
        <v>7.3569999999999993</v>
      </c>
      <c r="K1907" s="508">
        <v>7.6129999999999995</v>
      </c>
      <c r="L1907" s="508">
        <v>7.5950000000000006</v>
      </c>
      <c r="M1907" s="508">
        <v>7.4410000000000007</v>
      </c>
      <c r="N1907" s="508">
        <v>7.5339999999999998</v>
      </c>
      <c r="O1907" s="508">
        <v>7.5110000000000001</v>
      </c>
      <c r="P1907" s="508">
        <v>7.4610000000000003</v>
      </c>
      <c r="Q1907" s="508">
        <v>7.4950000000000001</v>
      </c>
      <c r="R1907" s="508">
        <v>7.4450000000000003</v>
      </c>
      <c r="S1907" s="508">
        <v>7.5129999999999999</v>
      </c>
      <c r="T1907" s="508">
        <v>7.5110000000000001</v>
      </c>
      <c r="U1907" s="508">
        <v>7.4489999999999998</v>
      </c>
      <c r="V1907" s="508">
        <v>7.4089999999999998</v>
      </c>
      <c r="W1907" s="508">
        <v>4.1479999999999997</v>
      </c>
      <c r="X1907" s="508">
        <v>4.1390000000000002</v>
      </c>
      <c r="Y1907" s="508">
        <v>4.1340000000000003</v>
      </c>
      <c r="Z1907" s="508">
        <v>4.1310000000000002</v>
      </c>
      <c r="AA1907" s="508">
        <v>2.0129999999999999</v>
      </c>
      <c r="AB1907" s="508">
        <v>2.0009999999999999</v>
      </c>
      <c r="AC1907" s="508">
        <v>2.0150000000000001</v>
      </c>
      <c r="AD1907" s="508">
        <v>1.5609999999999999</v>
      </c>
      <c r="AE1907" s="508">
        <v>1.5529999999999999</v>
      </c>
      <c r="AF1907" s="508">
        <v>1.4889999999999999</v>
      </c>
      <c r="AG1907" s="508">
        <v>1.484</v>
      </c>
      <c r="AH1907" s="508">
        <v>1.482</v>
      </c>
      <c r="AI1907" s="492">
        <v>1.482</v>
      </c>
      <c r="AJ1907" s="485"/>
    </row>
    <row r="1908" spans="2:36">
      <c r="B1908" s="136" t="s">
        <v>487</v>
      </c>
      <c r="C1908" s="132" t="s">
        <v>1362</v>
      </c>
      <c r="D1908" s="132" t="s">
        <v>282</v>
      </c>
      <c r="E1908" s="508">
        <v>8.1419999999999995</v>
      </c>
      <c r="F1908" s="508">
        <v>7.8689999999999998</v>
      </c>
      <c r="G1908" s="508">
        <v>7.7619999999999996</v>
      </c>
      <c r="H1908" s="508">
        <v>7.6899999999999995</v>
      </c>
      <c r="I1908" s="508">
        <v>7.5649999999999995</v>
      </c>
      <c r="J1908" s="508">
        <v>7.3559999999999999</v>
      </c>
      <c r="K1908" s="508">
        <v>7.6139999999999999</v>
      </c>
      <c r="L1908" s="508">
        <v>7.5960000000000001</v>
      </c>
      <c r="M1908" s="508">
        <v>7.4409999999999998</v>
      </c>
      <c r="N1908" s="508">
        <v>7.5340000000000007</v>
      </c>
      <c r="O1908" s="508">
        <v>7.5120000000000005</v>
      </c>
      <c r="P1908" s="508">
        <v>7.4619999999999997</v>
      </c>
      <c r="Q1908" s="508">
        <v>7.4949999999999992</v>
      </c>
      <c r="R1908" s="508">
        <v>7.4459999999999997</v>
      </c>
      <c r="S1908" s="508">
        <v>7.5139999999999993</v>
      </c>
      <c r="T1908" s="508">
        <v>7.5129999999999999</v>
      </c>
      <c r="U1908" s="508">
        <v>7.4489999999999998</v>
      </c>
      <c r="V1908" s="508">
        <v>7.41</v>
      </c>
      <c r="W1908" s="508">
        <v>4.1479999999999997</v>
      </c>
      <c r="X1908" s="508">
        <v>4.1390000000000002</v>
      </c>
      <c r="Y1908" s="508">
        <v>4.1349999999999998</v>
      </c>
      <c r="Z1908" s="508">
        <v>4.1310000000000002</v>
      </c>
      <c r="AA1908" s="508">
        <v>2.02</v>
      </c>
      <c r="AB1908" s="508">
        <v>2.008</v>
      </c>
      <c r="AC1908" s="508">
        <v>2.0219999999999998</v>
      </c>
      <c r="AD1908" s="508">
        <v>1.5669999999999999</v>
      </c>
      <c r="AE1908" s="508">
        <v>1.56</v>
      </c>
      <c r="AF1908" s="508">
        <v>1.496</v>
      </c>
      <c r="AG1908" s="508">
        <v>1.4910000000000001</v>
      </c>
      <c r="AH1908" s="508">
        <v>1.4890000000000001</v>
      </c>
      <c r="AI1908" s="492">
        <v>1.4890000000000001</v>
      </c>
      <c r="AJ1908" s="485"/>
    </row>
    <row r="1909" spans="2:36">
      <c r="B1909" s="136" t="s">
        <v>488</v>
      </c>
      <c r="C1909" s="132" t="s">
        <v>1362</v>
      </c>
      <c r="D1909" s="132" t="s">
        <v>282</v>
      </c>
      <c r="E1909" s="508">
        <v>8.1310000000000002</v>
      </c>
      <c r="F1909" s="508">
        <v>7.8920000000000003</v>
      </c>
      <c r="G1909" s="508">
        <v>7.8049999999999997</v>
      </c>
      <c r="H1909" s="508">
        <v>7.7459999999999996</v>
      </c>
      <c r="I1909" s="508">
        <v>7.6229999999999993</v>
      </c>
      <c r="J1909" s="508">
        <v>7.4080000000000004</v>
      </c>
      <c r="K1909" s="508">
        <v>7.7089999999999996</v>
      </c>
      <c r="L1909" s="508">
        <v>7.694</v>
      </c>
      <c r="M1909" s="508">
        <v>7.5329999999999995</v>
      </c>
      <c r="N1909" s="508">
        <v>7.6369999999999996</v>
      </c>
      <c r="O1909" s="508">
        <v>7.6150000000000002</v>
      </c>
      <c r="P1909" s="508">
        <v>7.5630000000000006</v>
      </c>
      <c r="Q1909" s="508">
        <v>7.6029999999999998</v>
      </c>
      <c r="R1909" s="508">
        <v>7.5510000000000002</v>
      </c>
      <c r="S1909" s="508">
        <v>7.6259999999999994</v>
      </c>
      <c r="T1909" s="508">
        <v>7.6270000000000007</v>
      </c>
      <c r="U1909" s="508">
        <v>7.5620000000000003</v>
      </c>
      <c r="V1909" s="508">
        <v>7.52</v>
      </c>
      <c r="W1909" s="508">
        <v>4.3540000000000001</v>
      </c>
      <c r="X1909" s="508">
        <v>4.343</v>
      </c>
      <c r="Y1909" s="508">
        <v>4.3410000000000002</v>
      </c>
      <c r="Z1909" s="508">
        <v>4.3380000000000001</v>
      </c>
      <c r="AA1909" s="508">
        <v>2.31</v>
      </c>
      <c r="AB1909" s="508">
        <v>2.2960000000000003</v>
      </c>
      <c r="AC1909" s="508">
        <v>2.3149999999999999</v>
      </c>
      <c r="AD1909" s="508">
        <v>1.8090000000000002</v>
      </c>
      <c r="AE1909" s="508">
        <v>1.7989999999999999</v>
      </c>
      <c r="AF1909" s="508">
        <v>1.738</v>
      </c>
      <c r="AG1909" s="508">
        <v>1.7329999999999999</v>
      </c>
      <c r="AH1909" s="508">
        <v>1.7309999999999999</v>
      </c>
      <c r="AI1909" s="492">
        <v>1.7309999999999999</v>
      </c>
      <c r="AJ1909" s="485"/>
    </row>
    <row r="1910" spans="2:36">
      <c r="B1910" s="136" t="s">
        <v>489</v>
      </c>
      <c r="C1910" s="132" t="s">
        <v>1362</v>
      </c>
      <c r="D1910" s="132" t="s">
        <v>282</v>
      </c>
      <c r="E1910" s="508">
        <v>8.0229999999999997</v>
      </c>
      <c r="F1910" s="508">
        <v>7.7629999999999999</v>
      </c>
      <c r="G1910" s="508">
        <v>7.6639999999999997</v>
      </c>
      <c r="H1910" s="508">
        <v>7.5969999999999995</v>
      </c>
      <c r="I1910" s="508">
        <v>7.4749999999999996</v>
      </c>
      <c r="J1910" s="508">
        <v>7.2670000000000003</v>
      </c>
      <c r="K1910" s="508">
        <v>7.5289999999999999</v>
      </c>
      <c r="L1910" s="508">
        <v>7.5110000000000001</v>
      </c>
      <c r="M1910" s="508">
        <v>7.359</v>
      </c>
      <c r="N1910" s="508">
        <v>7.4529999999999994</v>
      </c>
      <c r="O1910" s="508">
        <v>7.43</v>
      </c>
      <c r="P1910" s="508">
        <v>7.3810000000000002</v>
      </c>
      <c r="Q1910" s="508">
        <v>7.4159999999999995</v>
      </c>
      <c r="R1910" s="508">
        <v>7.367</v>
      </c>
      <c r="S1910" s="508">
        <v>7.4339999999999993</v>
      </c>
      <c r="T1910" s="508">
        <v>7.4340000000000002</v>
      </c>
      <c r="U1910" s="508">
        <v>7.3710000000000004</v>
      </c>
      <c r="V1910" s="508">
        <v>7.3320000000000007</v>
      </c>
      <c r="W1910" s="508">
        <v>4.12</v>
      </c>
      <c r="X1910" s="508">
        <v>4.1120000000000001</v>
      </c>
      <c r="Y1910" s="508">
        <v>4.1070000000000002</v>
      </c>
      <c r="Z1910" s="508">
        <v>4.1029999999999998</v>
      </c>
      <c r="AA1910" s="508">
        <v>2.0190000000000001</v>
      </c>
      <c r="AB1910" s="508">
        <v>2.0069999999999997</v>
      </c>
      <c r="AC1910" s="508">
        <v>2.0209999999999999</v>
      </c>
      <c r="AD1910" s="508">
        <v>1.5669999999999999</v>
      </c>
      <c r="AE1910" s="508">
        <v>1.56</v>
      </c>
      <c r="AF1910" s="508">
        <v>1.4969999999999999</v>
      </c>
      <c r="AG1910" s="508">
        <v>1.492</v>
      </c>
      <c r="AH1910" s="508">
        <v>1.4889999999999999</v>
      </c>
      <c r="AI1910" s="492">
        <v>1.4889999999999999</v>
      </c>
      <c r="AJ1910" s="485"/>
    </row>
    <row r="1911" spans="2:36">
      <c r="B1911" s="136" t="s">
        <v>490</v>
      </c>
      <c r="C1911" s="132" t="s">
        <v>1362</v>
      </c>
      <c r="D1911" s="132" t="s">
        <v>282</v>
      </c>
      <c r="E1911" s="508">
        <v>8.6430000000000007</v>
      </c>
      <c r="F1911" s="508">
        <v>8.4310000000000009</v>
      </c>
      <c r="G1911" s="508">
        <v>8.3659999999999997</v>
      </c>
      <c r="H1911" s="508">
        <v>8.3189999999999991</v>
      </c>
      <c r="I1911" s="508">
        <v>8.1930000000000014</v>
      </c>
      <c r="J1911" s="508">
        <v>7.9540000000000006</v>
      </c>
      <c r="K1911" s="508">
        <v>8.3510000000000009</v>
      </c>
      <c r="L1911" s="508">
        <v>8.34</v>
      </c>
      <c r="M1911" s="508">
        <v>8.1559999999999988</v>
      </c>
      <c r="N1911" s="508">
        <v>8.2830000000000013</v>
      </c>
      <c r="O1911" s="508">
        <v>8.26</v>
      </c>
      <c r="P1911" s="508">
        <v>8.2029999999999994</v>
      </c>
      <c r="Q1911" s="508">
        <v>8.2520000000000007</v>
      </c>
      <c r="R1911" s="508">
        <v>8.1939999999999991</v>
      </c>
      <c r="S1911" s="508">
        <v>8.2839999999999989</v>
      </c>
      <c r="T1911" s="508">
        <v>8.2889999999999997</v>
      </c>
      <c r="U1911" s="508">
        <v>8.2149999999999999</v>
      </c>
      <c r="V1911" s="508">
        <v>8.17</v>
      </c>
      <c r="W1911" s="508">
        <v>5.0380000000000003</v>
      </c>
      <c r="X1911" s="508">
        <v>5.0210000000000008</v>
      </c>
      <c r="Y1911" s="508">
        <v>5.0229999999999997</v>
      </c>
      <c r="Z1911" s="508">
        <v>5.024</v>
      </c>
      <c r="AA1911" s="508">
        <v>3.0700000000000003</v>
      </c>
      <c r="AB1911" s="508">
        <v>3.0509999999999997</v>
      </c>
      <c r="AC1911" s="508">
        <v>3.081</v>
      </c>
      <c r="AD1911" s="508">
        <v>2.4339999999999997</v>
      </c>
      <c r="AE1911" s="508">
        <v>2.423</v>
      </c>
      <c r="AF1911" s="508">
        <v>2.363</v>
      </c>
      <c r="AG1911" s="508">
        <v>2.359</v>
      </c>
      <c r="AH1911" s="508">
        <v>2.3569999999999998</v>
      </c>
      <c r="AI1911" s="492">
        <v>2.3569999999999998</v>
      </c>
      <c r="AJ1911" s="485"/>
    </row>
    <row r="1912" spans="2:36">
      <c r="B1912" s="136" t="s">
        <v>435</v>
      </c>
      <c r="C1912" s="132" t="s">
        <v>1363</v>
      </c>
      <c r="D1912" s="132" t="s">
        <v>282</v>
      </c>
      <c r="E1912" s="508">
        <v>9.1560000000000006</v>
      </c>
      <c r="F1912" s="508">
        <v>8.2460000000000004</v>
      </c>
      <c r="G1912" s="508">
        <v>7.64</v>
      </c>
      <c r="H1912" s="508">
        <v>7.407</v>
      </c>
      <c r="I1912" s="508">
        <v>7.1559999999999997</v>
      </c>
      <c r="J1912" s="508">
        <v>6.9089999999999998</v>
      </c>
      <c r="K1912" s="508">
        <v>6.8650000000000002</v>
      </c>
      <c r="L1912" s="508">
        <v>6.6639999999999997</v>
      </c>
      <c r="M1912" s="508">
        <v>6.6870000000000003</v>
      </c>
      <c r="N1912" s="508">
        <v>6.5289999999999999</v>
      </c>
      <c r="O1912" s="508">
        <v>6.5030000000000001</v>
      </c>
      <c r="P1912" s="508">
        <v>6.4459999999999997</v>
      </c>
      <c r="Q1912" s="508">
        <v>6.4880000000000004</v>
      </c>
      <c r="R1912" s="508">
        <v>6.3959999999999999</v>
      </c>
      <c r="S1912" s="508">
        <v>6.3419999999999996</v>
      </c>
      <c r="T1912" s="508">
        <v>6.18</v>
      </c>
      <c r="U1912" s="508">
        <v>6.1289999999999996</v>
      </c>
      <c r="V1912" s="508">
        <v>5.8310000000000004</v>
      </c>
      <c r="W1912" s="508">
        <v>3.0939999999999999</v>
      </c>
      <c r="X1912" s="508">
        <v>3.113</v>
      </c>
      <c r="Y1912" s="508">
        <v>3.0630000000000002</v>
      </c>
      <c r="Z1912" s="508">
        <v>3.028</v>
      </c>
      <c r="AA1912" s="508">
        <v>0.746</v>
      </c>
      <c r="AB1912" s="508">
        <v>0.74</v>
      </c>
      <c r="AC1912" s="508">
        <v>0.71199999999999997</v>
      </c>
      <c r="AD1912" s="508">
        <v>0.49299999999999999</v>
      </c>
      <c r="AE1912" s="508">
        <v>0.48499999999999999</v>
      </c>
      <c r="AF1912" s="508">
        <v>0.41399999999999998</v>
      </c>
      <c r="AG1912" s="508">
        <v>0.41</v>
      </c>
      <c r="AH1912" s="508">
        <v>0.40799999999999997</v>
      </c>
      <c r="AI1912" s="492">
        <v>0.40799999999999997</v>
      </c>
      <c r="AJ1912" s="485"/>
    </row>
    <row r="1913" spans="2:36">
      <c r="B1913" s="136" t="s">
        <v>436</v>
      </c>
      <c r="C1913" s="132" t="s">
        <v>1363</v>
      </c>
      <c r="D1913" s="132" t="s">
        <v>282</v>
      </c>
      <c r="E1913" s="508">
        <v>8.6129999999999995</v>
      </c>
      <c r="F1913" s="508">
        <v>7.8049999999999997</v>
      </c>
      <c r="G1913" s="508">
        <v>7.2549999999999999</v>
      </c>
      <c r="H1913" s="508">
        <v>7.0650000000000004</v>
      </c>
      <c r="I1913" s="508">
        <v>6.8410000000000002</v>
      </c>
      <c r="J1913" s="508">
        <v>6.6120000000000001</v>
      </c>
      <c r="K1913" s="508">
        <v>6.5869999999999997</v>
      </c>
      <c r="L1913" s="508">
        <v>6.3949999999999996</v>
      </c>
      <c r="M1913" s="508">
        <v>6.4340000000000002</v>
      </c>
      <c r="N1913" s="508">
        <v>6.28</v>
      </c>
      <c r="O1913" s="508">
        <v>6.2629999999999999</v>
      </c>
      <c r="P1913" s="508">
        <v>6.2119999999999997</v>
      </c>
      <c r="Q1913" s="508">
        <v>6.2629999999999999</v>
      </c>
      <c r="R1913" s="508">
        <v>6.1740000000000004</v>
      </c>
      <c r="S1913" s="508">
        <v>6.1230000000000002</v>
      </c>
      <c r="T1913" s="508">
        <v>5.976</v>
      </c>
      <c r="U1913" s="508">
        <v>5.9359999999999999</v>
      </c>
      <c r="V1913" s="508">
        <v>5.6360000000000001</v>
      </c>
      <c r="W1913" s="508">
        <v>2.96</v>
      </c>
      <c r="X1913" s="508">
        <v>2.98</v>
      </c>
      <c r="Y1913" s="508">
        <v>2.9340000000000002</v>
      </c>
      <c r="Z1913" s="508">
        <v>2.9009999999999998</v>
      </c>
      <c r="AA1913" s="508">
        <v>0.70499999999999996</v>
      </c>
      <c r="AB1913" s="508">
        <v>0.70099999999999996</v>
      </c>
      <c r="AC1913" s="508">
        <v>0.67500000000000004</v>
      </c>
      <c r="AD1913" s="508">
        <v>0.46400000000000002</v>
      </c>
      <c r="AE1913" s="508">
        <v>0.45700000000000002</v>
      </c>
      <c r="AF1913" s="508">
        <v>0.39</v>
      </c>
      <c r="AG1913" s="508">
        <v>0.38600000000000001</v>
      </c>
      <c r="AH1913" s="508">
        <v>0.38500000000000001</v>
      </c>
      <c r="AI1913" s="492">
        <v>0.38500000000000001</v>
      </c>
      <c r="AJ1913" s="485"/>
    </row>
    <row r="1914" spans="2:36">
      <c r="B1914" s="136" t="s">
        <v>437</v>
      </c>
      <c r="C1914" s="132" t="s">
        <v>1363</v>
      </c>
      <c r="D1914" s="132" t="s">
        <v>282</v>
      </c>
      <c r="E1914" s="508">
        <v>9.2200000000000006</v>
      </c>
      <c r="F1914" s="508">
        <v>8.3030000000000008</v>
      </c>
      <c r="G1914" s="508">
        <v>7.6920000000000002</v>
      </c>
      <c r="H1914" s="508">
        <v>7.4580000000000002</v>
      </c>
      <c r="I1914" s="508">
        <v>7.2050000000000001</v>
      </c>
      <c r="J1914" s="508">
        <v>6.9560000000000004</v>
      </c>
      <c r="K1914" s="508">
        <v>6.9119999999999999</v>
      </c>
      <c r="L1914" s="508">
        <v>6.7080000000000002</v>
      </c>
      <c r="M1914" s="508">
        <v>6.7329999999999997</v>
      </c>
      <c r="N1914" s="508">
        <v>6.5730000000000004</v>
      </c>
      <c r="O1914" s="508">
        <v>6.5469999999999997</v>
      </c>
      <c r="P1914" s="508">
        <v>6.49</v>
      </c>
      <c r="Q1914" s="508">
        <v>6.5330000000000004</v>
      </c>
      <c r="R1914" s="508">
        <v>6.44</v>
      </c>
      <c r="S1914" s="508">
        <v>6.3849999999999998</v>
      </c>
      <c r="T1914" s="508">
        <v>6.2210000000000001</v>
      </c>
      <c r="U1914" s="508">
        <v>6.1710000000000003</v>
      </c>
      <c r="V1914" s="508">
        <v>5.8689999999999998</v>
      </c>
      <c r="W1914" s="508">
        <v>3.0979999999999999</v>
      </c>
      <c r="X1914" s="508">
        <v>3.1160000000000001</v>
      </c>
      <c r="Y1914" s="508">
        <v>3.0659999999999998</v>
      </c>
      <c r="Z1914" s="508">
        <v>3.0310000000000001</v>
      </c>
      <c r="AA1914" s="508">
        <v>0.747</v>
      </c>
      <c r="AB1914" s="508">
        <v>0.74099999999999999</v>
      </c>
      <c r="AC1914" s="508">
        <v>0.71299999999999997</v>
      </c>
      <c r="AD1914" s="508">
        <v>0.49399999999999999</v>
      </c>
      <c r="AE1914" s="508">
        <v>0.48599999999999999</v>
      </c>
      <c r="AF1914" s="508">
        <v>0.41499999999999998</v>
      </c>
      <c r="AG1914" s="508">
        <v>0.41099999999999998</v>
      </c>
      <c r="AH1914" s="508">
        <v>0.40899999999999997</v>
      </c>
      <c r="AI1914" s="492">
        <v>0.40899999999999997</v>
      </c>
      <c r="AJ1914" s="485"/>
    </row>
    <row r="1915" spans="2:36">
      <c r="B1915" s="136" t="s">
        <v>438</v>
      </c>
      <c r="C1915" s="132" t="s">
        <v>1363</v>
      </c>
      <c r="D1915" s="132" t="s">
        <v>282</v>
      </c>
      <c r="E1915" s="508">
        <v>8.5299999999999994</v>
      </c>
      <c r="F1915" s="508">
        <v>7.73</v>
      </c>
      <c r="G1915" s="508">
        <v>7.1849999999999996</v>
      </c>
      <c r="H1915" s="508">
        <v>6.9980000000000002</v>
      </c>
      <c r="I1915" s="508">
        <v>6.7759999999999998</v>
      </c>
      <c r="J1915" s="508">
        <v>6.5490000000000004</v>
      </c>
      <c r="K1915" s="508">
        <v>6.5250000000000004</v>
      </c>
      <c r="L1915" s="508">
        <v>6.3339999999999996</v>
      </c>
      <c r="M1915" s="508">
        <v>6.3730000000000002</v>
      </c>
      <c r="N1915" s="508">
        <v>6.22</v>
      </c>
      <c r="O1915" s="508">
        <v>6.2039999999999997</v>
      </c>
      <c r="P1915" s="508">
        <v>6.1539999999999999</v>
      </c>
      <c r="Q1915" s="508">
        <v>6.2050000000000001</v>
      </c>
      <c r="R1915" s="508">
        <v>6.1159999999999997</v>
      </c>
      <c r="S1915" s="508">
        <v>6.0659999999999998</v>
      </c>
      <c r="T1915" s="508">
        <v>5.9189999999999996</v>
      </c>
      <c r="U1915" s="508">
        <v>5.88</v>
      </c>
      <c r="V1915" s="508">
        <v>5.5810000000000004</v>
      </c>
      <c r="W1915" s="508">
        <v>2.9350000000000001</v>
      </c>
      <c r="X1915" s="508">
        <v>2.9550000000000001</v>
      </c>
      <c r="Y1915" s="508">
        <v>2.91</v>
      </c>
      <c r="Z1915" s="508">
        <v>2.8780000000000001</v>
      </c>
      <c r="AA1915" s="508">
        <v>0.69899999999999995</v>
      </c>
      <c r="AB1915" s="508">
        <v>0.69499999999999995</v>
      </c>
      <c r="AC1915" s="508">
        <v>0.66900000000000004</v>
      </c>
      <c r="AD1915" s="508">
        <v>0.46</v>
      </c>
      <c r="AE1915" s="508">
        <v>0.45300000000000001</v>
      </c>
      <c r="AF1915" s="508">
        <v>0.38700000000000001</v>
      </c>
      <c r="AG1915" s="508">
        <v>0.38300000000000001</v>
      </c>
      <c r="AH1915" s="508">
        <v>0.38100000000000001</v>
      </c>
      <c r="AI1915" s="492">
        <v>0.38100000000000001</v>
      </c>
      <c r="AJ1915" s="485"/>
    </row>
    <row r="1916" spans="2:36">
      <c r="B1916" s="136" t="s">
        <v>439</v>
      </c>
      <c r="C1916" s="132" t="s">
        <v>1363</v>
      </c>
      <c r="D1916" s="132" t="s">
        <v>282</v>
      </c>
      <c r="E1916" s="508">
        <v>9.4939999999999998</v>
      </c>
      <c r="F1916" s="508">
        <v>8.5120000000000005</v>
      </c>
      <c r="G1916" s="508">
        <v>7.8639999999999999</v>
      </c>
      <c r="H1916" s="508">
        <v>7.6029999999999998</v>
      </c>
      <c r="I1916" s="508">
        <v>7.3319999999999999</v>
      </c>
      <c r="J1916" s="508">
        <v>7.07</v>
      </c>
      <c r="K1916" s="508">
        <v>7.0149999999999997</v>
      </c>
      <c r="L1916" s="508">
        <v>6.8049999999999997</v>
      </c>
      <c r="M1916" s="508">
        <v>6.8209999999999997</v>
      </c>
      <c r="N1916" s="508">
        <v>6.6559999999999997</v>
      </c>
      <c r="O1916" s="508">
        <v>6.625</v>
      </c>
      <c r="P1916" s="508">
        <v>6.5640000000000001</v>
      </c>
      <c r="Q1916" s="508">
        <v>6.6029999999999998</v>
      </c>
      <c r="R1916" s="508">
        <v>6.508</v>
      </c>
      <c r="S1916" s="508">
        <v>6.45</v>
      </c>
      <c r="T1916" s="508">
        <v>6.2770000000000001</v>
      </c>
      <c r="U1916" s="508">
        <v>6.2190000000000003</v>
      </c>
      <c r="V1916" s="508">
        <v>5.9169999999999998</v>
      </c>
      <c r="W1916" s="508">
        <v>3.1389999999999998</v>
      </c>
      <c r="X1916" s="508">
        <v>3.1549999999999998</v>
      </c>
      <c r="Y1916" s="508">
        <v>3.1040000000000001</v>
      </c>
      <c r="Z1916" s="508">
        <v>3.0670000000000002</v>
      </c>
      <c r="AA1916" s="508">
        <v>0.76400000000000001</v>
      </c>
      <c r="AB1916" s="508">
        <v>0.75700000000000001</v>
      </c>
      <c r="AC1916" s="508">
        <v>0.72799999999999998</v>
      </c>
      <c r="AD1916" s="508">
        <v>0.50600000000000001</v>
      </c>
      <c r="AE1916" s="508">
        <v>0.497</v>
      </c>
      <c r="AF1916" s="508">
        <v>0.42599999999999999</v>
      </c>
      <c r="AG1916" s="508">
        <v>0.42099999999999999</v>
      </c>
      <c r="AH1916" s="508">
        <v>0.42</v>
      </c>
      <c r="AI1916" s="492">
        <v>0.42</v>
      </c>
      <c r="AJ1916" s="485"/>
    </row>
    <row r="1917" spans="2:36">
      <c r="B1917" s="136" t="s">
        <v>440</v>
      </c>
      <c r="C1917" s="132" t="s">
        <v>1363</v>
      </c>
      <c r="D1917" s="132" t="s">
        <v>282</v>
      </c>
      <c r="E1917" s="508">
        <v>9.1289999999999996</v>
      </c>
      <c r="F1917" s="508">
        <v>8.2200000000000006</v>
      </c>
      <c r="G1917" s="508">
        <v>7.6139999999999999</v>
      </c>
      <c r="H1917" s="508">
        <v>7.383</v>
      </c>
      <c r="I1917" s="508">
        <v>7.1319999999999997</v>
      </c>
      <c r="J1917" s="508">
        <v>6.8849999999999998</v>
      </c>
      <c r="K1917" s="508">
        <v>6.8419999999999996</v>
      </c>
      <c r="L1917" s="508">
        <v>6.64</v>
      </c>
      <c r="M1917" s="508">
        <v>6.665</v>
      </c>
      <c r="N1917" s="508">
        <v>6.5060000000000002</v>
      </c>
      <c r="O1917" s="508">
        <v>6.48</v>
      </c>
      <c r="P1917" s="508">
        <v>6.4240000000000004</v>
      </c>
      <c r="Q1917" s="508">
        <v>6.468</v>
      </c>
      <c r="R1917" s="508">
        <v>6.375</v>
      </c>
      <c r="S1917" s="508">
        <v>6.32</v>
      </c>
      <c r="T1917" s="508">
        <v>6.1580000000000004</v>
      </c>
      <c r="U1917" s="508">
        <v>6.1079999999999997</v>
      </c>
      <c r="V1917" s="508">
        <v>5.8070000000000004</v>
      </c>
      <c r="W1917" s="508">
        <v>3.069</v>
      </c>
      <c r="X1917" s="508">
        <v>3.0870000000000002</v>
      </c>
      <c r="Y1917" s="508">
        <v>3.0379999999999998</v>
      </c>
      <c r="Z1917" s="508">
        <v>3.0030000000000001</v>
      </c>
      <c r="AA1917" s="508">
        <v>0.74</v>
      </c>
      <c r="AB1917" s="508">
        <v>0.73399999999999999</v>
      </c>
      <c r="AC1917" s="508">
        <v>0.70699999999999996</v>
      </c>
      <c r="AD1917" s="508">
        <v>0.48899999999999999</v>
      </c>
      <c r="AE1917" s="508">
        <v>0.48099999999999998</v>
      </c>
      <c r="AF1917" s="508">
        <v>0.41099999999999998</v>
      </c>
      <c r="AG1917" s="508">
        <v>0.40699999999999997</v>
      </c>
      <c r="AH1917" s="508">
        <v>0.40600000000000003</v>
      </c>
      <c r="AI1917" s="492">
        <v>0.40600000000000003</v>
      </c>
      <c r="AJ1917" s="485"/>
    </row>
    <row r="1918" spans="2:36">
      <c r="B1918" s="136" t="s">
        <v>441</v>
      </c>
      <c r="C1918" s="132" t="s">
        <v>1363</v>
      </c>
      <c r="D1918" s="132" t="s">
        <v>282</v>
      </c>
      <c r="E1918" s="508">
        <v>9.6259999999999994</v>
      </c>
      <c r="F1918" s="508">
        <v>8.6140000000000008</v>
      </c>
      <c r="G1918" s="508">
        <v>7.95</v>
      </c>
      <c r="H1918" s="508">
        <v>7.6769999999999996</v>
      </c>
      <c r="I1918" s="508">
        <v>7.3979999999999997</v>
      </c>
      <c r="J1918" s="508">
        <v>7.1319999999999997</v>
      </c>
      <c r="K1918" s="508">
        <v>7.0709999999999997</v>
      </c>
      <c r="L1918" s="508">
        <v>6.8579999999999997</v>
      </c>
      <c r="M1918" s="508">
        <v>6.87</v>
      </c>
      <c r="N1918" s="508">
        <v>6.7039999999999997</v>
      </c>
      <c r="O1918" s="508">
        <v>6.6710000000000003</v>
      </c>
      <c r="P1918" s="508">
        <v>6.6079999999999997</v>
      </c>
      <c r="Q1918" s="508">
        <v>6.6440000000000001</v>
      </c>
      <c r="R1918" s="508">
        <v>6.548</v>
      </c>
      <c r="S1918" s="508">
        <v>6.49</v>
      </c>
      <c r="T1918" s="508">
        <v>6.3109999999999999</v>
      </c>
      <c r="U1918" s="508">
        <v>6.2510000000000003</v>
      </c>
      <c r="V1918" s="508">
        <v>5.9480000000000004</v>
      </c>
      <c r="W1918" s="508">
        <v>3.161</v>
      </c>
      <c r="X1918" s="508">
        <v>3.177</v>
      </c>
      <c r="Y1918" s="508">
        <v>3.1240000000000001</v>
      </c>
      <c r="Z1918" s="508">
        <v>3.0859999999999999</v>
      </c>
      <c r="AA1918" s="508">
        <v>0.77200000000000002</v>
      </c>
      <c r="AB1918" s="508">
        <v>0.76500000000000001</v>
      </c>
      <c r="AC1918" s="508">
        <v>0.73499999999999999</v>
      </c>
      <c r="AD1918" s="508">
        <v>0.51200000000000001</v>
      </c>
      <c r="AE1918" s="508">
        <v>0.503</v>
      </c>
      <c r="AF1918" s="508">
        <v>0.43099999999999999</v>
      </c>
      <c r="AG1918" s="508">
        <v>0.42699999999999999</v>
      </c>
      <c r="AH1918" s="508">
        <v>0.42499999999999999</v>
      </c>
      <c r="AI1918" s="492">
        <v>0.42499999999999999</v>
      </c>
      <c r="AJ1918" s="485"/>
    </row>
    <row r="1919" spans="2:36">
      <c r="B1919" s="136" t="s">
        <v>443</v>
      </c>
      <c r="C1919" s="132" t="s">
        <v>1363</v>
      </c>
      <c r="D1919" s="132" t="s">
        <v>282</v>
      </c>
      <c r="E1919" s="508">
        <v>10.138</v>
      </c>
      <c r="F1919" s="508">
        <v>9.0440000000000005</v>
      </c>
      <c r="G1919" s="508">
        <v>8.3350000000000009</v>
      </c>
      <c r="H1919" s="508">
        <v>8.0250000000000004</v>
      </c>
      <c r="I1919" s="508">
        <v>7.7240000000000002</v>
      </c>
      <c r="J1919" s="508">
        <v>7.444</v>
      </c>
      <c r="K1919" s="508">
        <v>7.3659999999999997</v>
      </c>
      <c r="L1919" s="508">
        <v>7.1470000000000002</v>
      </c>
      <c r="M1919" s="508">
        <v>7.1449999999999996</v>
      </c>
      <c r="N1919" s="508">
        <v>6.976</v>
      </c>
      <c r="O1919" s="508">
        <v>6.9349999999999996</v>
      </c>
      <c r="P1919" s="508">
        <v>6.867</v>
      </c>
      <c r="Q1919" s="508">
        <v>6.8949999999999996</v>
      </c>
      <c r="R1919" s="508">
        <v>6.7969999999999997</v>
      </c>
      <c r="S1919" s="508">
        <v>6.7359999999999998</v>
      </c>
      <c r="T1919" s="508">
        <v>6.5460000000000003</v>
      </c>
      <c r="U1919" s="508">
        <v>6.476</v>
      </c>
      <c r="V1919" s="508">
        <v>6.181</v>
      </c>
      <c r="W1919" s="508">
        <v>3.3250000000000002</v>
      </c>
      <c r="X1919" s="508">
        <v>3.3410000000000002</v>
      </c>
      <c r="Y1919" s="508">
        <v>3.2839999999999998</v>
      </c>
      <c r="Z1919" s="508">
        <v>3.2440000000000002</v>
      </c>
      <c r="AA1919" s="508">
        <v>0.81599999999999995</v>
      </c>
      <c r="AB1919" s="508">
        <v>0.80800000000000005</v>
      </c>
      <c r="AC1919" s="508">
        <v>0.77700000000000002</v>
      </c>
      <c r="AD1919" s="508">
        <v>0.54200000000000004</v>
      </c>
      <c r="AE1919" s="508">
        <v>0.53200000000000003</v>
      </c>
      <c r="AF1919" s="508">
        <v>0.45600000000000002</v>
      </c>
      <c r="AG1919" s="508">
        <v>0.45200000000000001</v>
      </c>
      <c r="AH1919" s="508">
        <v>0.45</v>
      </c>
      <c r="AI1919" s="492">
        <v>0.45</v>
      </c>
      <c r="AJ1919" s="485"/>
    </row>
    <row r="1920" spans="2:36">
      <c r="B1920" s="136" t="s">
        <v>445</v>
      </c>
      <c r="C1920" s="132" t="s">
        <v>1363</v>
      </c>
      <c r="D1920" s="132" t="s">
        <v>282</v>
      </c>
      <c r="E1920" s="508">
        <v>11.387</v>
      </c>
      <c r="F1920" s="508">
        <v>10.09</v>
      </c>
      <c r="G1920" s="508">
        <v>9.2639999999999993</v>
      </c>
      <c r="H1920" s="508">
        <v>8.8719999999999999</v>
      </c>
      <c r="I1920" s="508">
        <v>8.5169999999999995</v>
      </c>
      <c r="J1920" s="508">
        <v>8.1980000000000004</v>
      </c>
      <c r="K1920" s="508">
        <v>8.0839999999999996</v>
      </c>
      <c r="L1920" s="508">
        <v>7.843</v>
      </c>
      <c r="M1920" s="508">
        <v>7.8170000000000002</v>
      </c>
      <c r="N1920" s="508">
        <v>7.6340000000000003</v>
      </c>
      <c r="O1920" s="508">
        <v>7.577</v>
      </c>
      <c r="P1920" s="508">
        <v>7.4969999999999999</v>
      </c>
      <c r="Q1920" s="508">
        <v>7.5110000000000001</v>
      </c>
      <c r="R1920" s="508">
        <v>7.4059999999999997</v>
      </c>
      <c r="S1920" s="508">
        <v>7.3369999999999997</v>
      </c>
      <c r="T1920" s="508">
        <v>7.117</v>
      </c>
      <c r="U1920" s="508">
        <v>7.0259999999999998</v>
      </c>
      <c r="V1920" s="508">
        <v>6.726</v>
      </c>
      <c r="W1920" s="508">
        <v>3.625</v>
      </c>
      <c r="X1920" s="508">
        <v>3.6379999999999999</v>
      </c>
      <c r="Y1920" s="508">
        <v>3.5739999999999998</v>
      </c>
      <c r="Z1920" s="508">
        <v>3.528</v>
      </c>
      <c r="AA1920" s="508">
        <v>0.90300000000000002</v>
      </c>
      <c r="AB1920" s="508">
        <v>0.89200000000000002</v>
      </c>
      <c r="AC1920" s="508">
        <v>0.85699999999999998</v>
      </c>
      <c r="AD1920" s="508">
        <v>0.60199999999999998</v>
      </c>
      <c r="AE1920" s="508">
        <v>0.59099999999999997</v>
      </c>
      <c r="AF1920" s="508">
        <v>0.50800000000000001</v>
      </c>
      <c r="AG1920" s="508">
        <v>0.503</v>
      </c>
      <c r="AH1920" s="508">
        <v>0.501</v>
      </c>
      <c r="AI1920" s="492">
        <v>0.501</v>
      </c>
      <c r="AJ1920" s="485"/>
    </row>
    <row r="1921" spans="2:36">
      <c r="B1921" s="136" t="s">
        <v>446</v>
      </c>
      <c r="C1921" s="132" t="s">
        <v>1363</v>
      </c>
      <c r="D1921" s="132" t="s">
        <v>282</v>
      </c>
      <c r="E1921" s="508">
        <v>10.167</v>
      </c>
      <c r="F1921" s="508">
        <v>9.0869999999999997</v>
      </c>
      <c r="G1921" s="508">
        <v>8.3840000000000003</v>
      </c>
      <c r="H1921" s="508">
        <v>8.0820000000000007</v>
      </c>
      <c r="I1921" s="508">
        <v>7.7839999999999998</v>
      </c>
      <c r="J1921" s="508">
        <v>7.5060000000000002</v>
      </c>
      <c r="K1921" s="508">
        <v>7.431</v>
      </c>
      <c r="L1921" s="508">
        <v>7.2119999999999997</v>
      </c>
      <c r="M1921" s="508">
        <v>7.2149999999999999</v>
      </c>
      <c r="N1921" s="508">
        <v>7.0449999999999999</v>
      </c>
      <c r="O1921" s="508">
        <v>7.0049999999999999</v>
      </c>
      <c r="P1921" s="508">
        <v>6.9379999999999997</v>
      </c>
      <c r="Q1921" s="508">
        <v>6.9690000000000003</v>
      </c>
      <c r="R1921" s="508">
        <v>6.8710000000000004</v>
      </c>
      <c r="S1921" s="508">
        <v>6.81</v>
      </c>
      <c r="T1921" s="508">
        <v>6.6219999999999999</v>
      </c>
      <c r="U1921" s="508">
        <v>6.5540000000000003</v>
      </c>
      <c r="V1921" s="508">
        <v>6.2539999999999996</v>
      </c>
      <c r="W1921" s="508">
        <v>3.3370000000000002</v>
      </c>
      <c r="X1921" s="508">
        <v>3.3530000000000002</v>
      </c>
      <c r="Y1921" s="508">
        <v>3.2970000000000002</v>
      </c>
      <c r="Z1921" s="508">
        <v>3.2570000000000001</v>
      </c>
      <c r="AA1921" s="508">
        <v>0.81699999999999995</v>
      </c>
      <c r="AB1921" s="508">
        <v>0.80900000000000005</v>
      </c>
      <c r="AC1921" s="508">
        <v>0.77800000000000002</v>
      </c>
      <c r="AD1921" s="508">
        <v>0.54200000000000004</v>
      </c>
      <c r="AE1921" s="508">
        <v>0.53200000000000003</v>
      </c>
      <c r="AF1921" s="508">
        <v>0.45600000000000002</v>
      </c>
      <c r="AG1921" s="508">
        <v>0.45200000000000001</v>
      </c>
      <c r="AH1921" s="508">
        <v>0.45</v>
      </c>
      <c r="AI1921" s="492">
        <v>0.45</v>
      </c>
      <c r="AJ1921" s="485"/>
    </row>
    <row r="1922" spans="2:36">
      <c r="B1922" s="136" t="s">
        <v>448</v>
      </c>
      <c r="C1922" s="132" t="s">
        <v>1363</v>
      </c>
      <c r="D1922" s="132" t="s">
        <v>282</v>
      </c>
      <c r="E1922" s="508">
        <v>8.8059999999999992</v>
      </c>
      <c r="F1922" s="508">
        <v>7.9550000000000001</v>
      </c>
      <c r="G1922" s="508">
        <v>7.383</v>
      </c>
      <c r="H1922" s="508">
        <v>7.1749999999999998</v>
      </c>
      <c r="I1922" s="508">
        <v>6.9390000000000001</v>
      </c>
      <c r="J1922" s="508">
        <v>6.7030000000000003</v>
      </c>
      <c r="K1922" s="508">
        <v>6.67</v>
      </c>
      <c r="L1922" s="508">
        <v>6.4740000000000002</v>
      </c>
      <c r="M1922" s="508">
        <v>6.5069999999999997</v>
      </c>
      <c r="N1922" s="508">
        <v>6.351</v>
      </c>
      <c r="O1922" s="508">
        <v>6.33</v>
      </c>
      <c r="P1922" s="508">
        <v>6.2770000000000001</v>
      </c>
      <c r="Q1922" s="508">
        <v>6.3250000000000002</v>
      </c>
      <c r="R1922" s="508">
        <v>6.234</v>
      </c>
      <c r="S1922" s="508">
        <v>6.1820000000000004</v>
      </c>
      <c r="T1922" s="508">
        <v>6.0279999999999996</v>
      </c>
      <c r="U1922" s="508">
        <v>5.984</v>
      </c>
      <c r="V1922" s="508">
        <v>5.6849999999999996</v>
      </c>
      <c r="W1922" s="508">
        <v>3</v>
      </c>
      <c r="X1922" s="508">
        <v>3.0190000000000001</v>
      </c>
      <c r="Y1922" s="508">
        <v>2.9710000000000001</v>
      </c>
      <c r="Z1922" s="508">
        <v>2.9380000000000002</v>
      </c>
      <c r="AA1922" s="508">
        <v>0.71899999999999997</v>
      </c>
      <c r="AB1922" s="508">
        <v>0.71399999999999997</v>
      </c>
      <c r="AC1922" s="508">
        <v>0.68700000000000006</v>
      </c>
      <c r="AD1922" s="508">
        <v>0.47399999999999998</v>
      </c>
      <c r="AE1922" s="508">
        <v>0.46700000000000003</v>
      </c>
      <c r="AF1922" s="508">
        <v>0.39800000000000002</v>
      </c>
      <c r="AG1922" s="508">
        <v>0.39400000000000002</v>
      </c>
      <c r="AH1922" s="508">
        <v>0.39300000000000002</v>
      </c>
      <c r="AI1922" s="492">
        <v>0.39300000000000002</v>
      </c>
      <c r="AJ1922" s="485"/>
    </row>
    <row r="1923" spans="2:36">
      <c r="B1923" s="136" t="s">
        <v>449</v>
      </c>
      <c r="C1923" s="132" t="s">
        <v>1363</v>
      </c>
      <c r="D1923" s="132" t="s">
        <v>282</v>
      </c>
      <c r="E1923" s="508">
        <v>10.194000000000001</v>
      </c>
      <c r="F1923" s="508">
        <v>9.093</v>
      </c>
      <c r="G1923" s="508">
        <v>8.3789999999999996</v>
      </c>
      <c r="H1923" s="508">
        <v>8.0660000000000007</v>
      </c>
      <c r="I1923" s="508">
        <v>7.7640000000000002</v>
      </c>
      <c r="J1923" s="508">
        <v>7.4820000000000002</v>
      </c>
      <c r="K1923" s="508">
        <v>7.4029999999999996</v>
      </c>
      <c r="L1923" s="508">
        <v>7.1820000000000004</v>
      </c>
      <c r="M1923" s="508">
        <v>7.181</v>
      </c>
      <c r="N1923" s="508">
        <v>7.01</v>
      </c>
      <c r="O1923" s="508">
        <v>6.9690000000000003</v>
      </c>
      <c r="P1923" s="508">
        <v>6.9009999999999998</v>
      </c>
      <c r="Q1923" s="508">
        <v>6.9290000000000003</v>
      </c>
      <c r="R1923" s="508">
        <v>6.83</v>
      </c>
      <c r="S1923" s="508">
        <v>6.7690000000000001</v>
      </c>
      <c r="T1923" s="508">
        <v>6.5780000000000003</v>
      </c>
      <c r="U1923" s="508">
        <v>6.5069999999999997</v>
      </c>
      <c r="V1923" s="508">
        <v>6.21</v>
      </c>
      <c r="W1923" s="508">
        <v>3.3330000000000002</v>
      </c>
      <c r="X1923" s="508">
        <v>3.3479999999999999</v>
      </c>
      <c r="Y1923" s="508">
        <v>3.2909999999999999</v>
      </c>
      <c r="Z1923" s="508">
        <v>3.2509999999999999</v>
      </c>
      <c r="AA1923" s="508">
        <v>0.81799999999999995</v>
      </c>
      <c r="AB1923" s="508">
        <v>0.81</v>
      </c>
      <c r="AC1923" s="508">
        <v>0.77900000000000003</v>
      </c>
      <c r="AD1923" s="508">
        <v>0.54400000000000004</v>
      </c>
      <c r="AE1923" s="508">
        <v>0.53400000000000003</v>
      </c>
      <c r="AF1923" s="508">
        <v>0.45800000000000002</v>
      </c>
      <c r="AG1923" s="508">
        <v>0.45300000000000001</v>
      </c>
      <c r="AH1923" s="508">
        <v>0.45100000000000001</v>
      </c>
      <c r="AI1923" s="492">
        <v>0.45100000000000001</v>
      </c>
      <c r="AJ1923" s="485"/>
    </row>
    <row r="1924" spans="2:36">
      <c r="B1924" s="136" t="s">
        <v>450</v>
      </c>
      <c r="C1924" s="132" t="s">
        <v>1363</v>
      </c>
      <c r="D1924" s="132" t="s">
        <v>282</v>
      </c>
      <c r="E1924" s="508">
        <v>8.7159999999999993</v>
      </c>
      <c r="F1924" s="508">
        <v>7.8860000000000001</v>
      </c>
      <c r="G1924" s="508">
        <v>7.3259999999999996</v>
      </c>
      <c r="H1924" s="508">
        <v>7.1260000000000003</v>
      </c>
      <c r="I1924" s="508">
        <v>6.8959999999999999</v>
      </c>
      <c r="J1924" s="508">
        <v>6.6639999999999997</v>
      </c>
      <c r="K1924" s="508">
        <v>6.6349999999999998</v>
      </c>
      <c r="L1924" s="508">
        <v>6.4409999999999998</v>
      </c>
      <c r="M1924" s="508">
        <v>6.476</v>
      </c>
      <c r="N1924" s="508">
        <v>6.3220000000000001</v>
      </c>
      <c r="O1924" s="508">
        <v>6.3029999999999999</v>
      </c>
      <c r="P1924" s="508">
        <v>6.2510000000000003</v>
      </c>
      <c r="Q1924" s="508">
        <v>6.3</v>
      </c>
      <c r="R1924" s="508">
        <v>6.21</v>
      </c>
      <c r="S1924" s="508">
        <v>6.1580000000000004</v>
      </c>
      <c r="T1924" s="508">
        <v>6.008</v>
      </c>
      <c r="U1924" s="508">
        <v>5.9660000000000002</v>
      </c>
      <c r="V1924" s="508">
        <v>5.6669999999999998</v>
      </c>
      <c r="W1924" s="508">
        <v>2.988</v>
      </c>
      <c r="X1924" s="508">
        <v>3.008</v>
      </c>
      <c r="Y1924" s="508">
        <v>2.9609999999999999</v>
      </c>
      <c r="Z1924" s="508">
        <v>2.9279999999999999</v>
      </c>
      <c r="AA1924" s="508">
        <v>0.71399999999999997</v>
      </c>
      <c r="AB1924" s="508">
        <v>0.70899999999999996</v>
      </c>
      <c r="AC1924" s="508">
        <v>0.68300000000000005</v>
      </c>
      <c r="AD1924" s="508">
        <v>0.47</v>
      </c>
      <c r="AE1924" s="508">
        <v>0.46300000000000002</v>
      </c>
      <c r="AF1924" s="508">
        <v>0.39500000000000002</v>
      </c>
      <c r="AG1924" s="508">
        <v>0.39100000000000001</v>
      </c>
      <c r="AH1924" s="508">
        <v>0.39</v>
      </c>
      <c r="AI1924" s="492">
        <v>0.39</v>
      </c>
      <c r="AJ1924" s="485"/>
    </row>
    <row r="1925" spans="2:36">
      <c r="B1925" s="136" t="s">
        <v>451</v>
      </c>
      <c r="C1925" s="132" t="s">
        <v>1363</v>
      </c>
      <c r="D1925" s="132" t="s">
        <v>282</v>
      </c>
      <c r="E1925" s="508">
        <v>10.586</v>
      </c>
      <c r="F1925" s="508">
        <v>9.4209999999999994</v>
      </c>
      <c r="G1925" s="508">
        <v>8.6690000000000005</v>
      </c>
      <c r="H1925" s="508">
        <v>8.3320000000000007</v>
      </c>
      <c r="I1925" s="508">
        <v>8.0120000000000005</v>
      </c>
      <c r="J1925" s="508">
        <v>7.7169999999999996</v>
      </c>
      <c r="K1925" s="508">
        <v>7.6280000000000001</v>
      </c>
      <c r="L1925" s="508">
        <v>7.4</v>
      </c>
      <c r="M1925" s="508">
        <v>7.3920000000000003</v>
      </c>
      <c r="N1925" s="508">
        <v>7.2160000000000002</v>
      </c>
      <c r="O1925" s="508">
        <v>7.17</v>
      </c>
      <c r="P1925" s="508">
        <v>7.0979999999999999</v>
      </c>
      <c r="Q1925" s="508">
        <v>7.1230000000000002</v>
      </c>
      <c r="R1925" s="508">
        <v>7.0209999999999999</v>
      </c>
      <c r="S1925" s="508">
        <v>6.9580000000000002</v>
      </c>
      <c r="T1925" s="508">
        <v>6.7569999999999997</v>
      </c>
      <c r="U1925" s="508">
        <v>6.68</v>
      </c>
      <c r="V1925" s="508">
        <v>6.3780000000000001</v>
      </c>
      <c r="W1925" s="508">
        <v>3.4169999999999998</v>
      </c>
      <c r="X1925" s="508">
        <v>3.431</v>
      </c>
      <c r="Y1925" s="508">
        <v>3.3719999999999999</v>
      </c>
      <c r="Z1925" s="508">
        <v>3.33</v>
      </c>
      <c r="AA1925" s="508">
        <v>0.84399999999999997</v>
      </c>
      <c r="AB1925" s="508">
        <v>0.83399999999999996</v>
      </c>
      <c r="AC1925" s="508">
        <v>0.80200000000000005</v>
      </c>
      <c r="AD1925" s="508">
        <v>0.56100000000000005</v>
      </c>
      <c r="AE1925" s="508">
        <v>0.55100000000000005</v>
      </c>
      <c r="AF1925" s="508">
        <v>0.47299999999999998</v>
      </c>
      <c r="AG1925" s="508">
        <v>0.46800000000000003</v>
      </c>
      <c r="AH1925" s="508">
        <v>0.46600000000000003</v>
      </c>
      <c r="AI1925" s="492">
        <v>0.46600000000000003</v>
      </c>
      <c r="AJ1925" s="485"/>
    </row>
    <row r="1926" spans="2:36">
      <c r="B1926" s="136" t="s">
        <v>452</v>
      </c>
      <c r="C1926" s="132" t="s">
        <v>1363</v>
      </c>
      <c r="D1926" s="132" t="s">
        <v>282</v>
      </c>
      <c r="E1926" s="508">
        <v>9.3529999999999998</v>
      </c>
      <c r="F1926" s="508">
        <v>8.4130000000000003</v>
      </c>
      <c r="G1926" s="508">
        <v>7.7889999999999997</v>
      </c>
      <c r="H1926" s="508">
        <v>7.5439999999999996</v>
      </c>
      <c r="I1926" s="508">
        <v>7.2839999999999998</v>
      </c>
      <c r="J1926" s="508">
        <v>7.032</v>
      </c>
      <c r="K1926" s="508">
        <v>6.9820000000000002</v>
      </c>
      <c r="L1926" s="508">
        <v>6.7779999999999996</v>
      </c>
      <c r="M1926" s="508">
        <v>6.798</v>
      </c>
      <c r="N1926" s="508">
        <v>6.6369999999999996</v>
      </c>
      <c r="O1926" s="508">
        <v>6.609</v>
      </c>
      <c r="P1926" s="508">
        <v>6.55</v>
      </c>
      <c r="Q1926" s="508">
        <v>6.5910000000000002</v>
      </c>
      <c r="R1926" s="508">
        <v>6.4969999999999999</v>
      </c>
      <c r="S1926" s="508">
        <v>6.4420000000000002</v>
      </c>
      <c r="T1926" s="508">
        <v>6.2750000000000004</v>
      </c>
      <c r="U1926" s="508">
        <v>6.2210000000000001</v>
      </c>
      <c r="V1926" s="508">
        <v>5.9219999999999997</v>
      </c>
      <c r="W1926" s="508">
        <v>3.1419999999999999</v>
      </c>
      <c r="X1926" s="508">
        <v>3.16</v>
      </c>
      <c r="Y1926" s="508">
        <v>3.109</v>
      </c>
      <c r="Z1926" s="508">
        <v>3.073</v>
      </c>
      <c r="AA1926" s="508">
        <v>0.75900000000000001</v>
      </c>
      <c r="AB1926" s="508">
        <v>0.753</v>
      </c>
      <c r="AC1926" s="508">
        <v>0.72499999999999998</v>
      </c>
      <c r="AD1926" s="508">
        <v>0.502</v>
      </c>
      <c r="AE1926" s="508">
        <v>0.49399999999999999</v>
      </c>
      <c r="AF1926" s="508">
        <v>0.42199999999999999</v>
      </c>
      <c r="AG1926" s="508">
        <v>0.41799999999999998</v>
      </c>
      <c r="AH1926" s="508">
        <v>0.41599999999999998</v>
      </c>
      <c r="AI1926" s="492">
        <v>0.41599999999999998</v>
      </c>
      <c r="AJ1926" s="485"/>
    </row>
    <row r="1927" spans="2:36">
      <c r="B1927" s="136" t="s">
        <v>453</v>
      </c>
      <c r="C1927" s="132" t="s">
        <v>1363</v>
      </c>
      <c r="D1927" s="132" t="s">
        <v>282</v>
      </c>
      <c r="E1927" s="508">
        <v>8.5649999999999995</v>
      </c>
      <c r="F1927" s="508">
        <v>7.7629999999999999</v>
      </c>
      <c r="G1927" s="508">
        <v>7.2169999999999996</v>
      </c>
      <c r="H1927" s="508">
        <v>7.0279999999999996</v>
      </c>
      <c r="I1927" s="508">
        <v>6.806</v>
      </c>
      <c r="J1927" s="508">
        <v>6.5789999999999997</v>
      </c>
      <c r="K1927" s="508">
        <v>6.5540000000000003</v>
      </c>
      <c r="L1927" s="508">
        <v>6.3630000000000004</v>
      </c>
      <c r="M1927" s="508">
        <v>6.4009999999999998</v>
      </c>
      <c r="N1927" s="508">
        <v>6.2489999999999997</v>
      </c>
      <c r="O1927" s="508">
        <v>6.2320000000000002</v>
      </c>
      <c r="P1927" s="508">
        <v>6.1820000000000004</v>
      </c>
      <c r="Q1927" s="508">
        <v>6.2320000000000002</v>
      </c>
      <c r="R1927" s="508">
        <v>6.1440000000000001</v>
      </c>
      <c r="S1927" s="508">
        <v>6.093</v>
      </c>
      <c r="T1927" s="508">
        <v>5.9470000000000001</v>
      </c>
      <c r="U1927" s="508">
        <v>5.907</v>
      </c>
      <c r="V1927" s="508">
        <v>5.609</v>
      </c>
      <c r="W1927" s="508">
        <v>2.9529999999999998</v>
      </c>
      <c r="X1927" s="508">
        <v>2.9729999999999999</v>
      </c>
      <c r="Y1927" s="508">
        <v>2.9279999999999999</v>
      </c>
      <c r="Z1927" s="508">
        <v>2.895</v>
      </c>
      <c r="AA1927" s="508">
        <v>0.70299999999999996</v>
      </c>
      <c r="AB1927" s="508">
        <v>0.69899999999999995</v>
      </c>
      <c r="AC1927" s="508">
        <v>0.67300000000000004</v>
      </c>
      <c r="AD1927" s="508">
        <v>0.46300000000000002</v>
      </c>
      <c r="AE1927" s="508">
        <v>0.45600000000000002</v>
      </c>
      <c r="AF1927" s="508">
        <v>0.38900000000000001</v>
      </c>
      <c r="AG1927" s="508">
        <v>0.38500000000000001</v>
      </c>
      <c r="AH1927" s="508">
        <v>0.38300000000000001</v>
      </c>
      <c r="AI1927" s="492">
        <v>0.38300000000000001</v>
      </c>
      <c r="AJ1927" s="485"/>
    </row>
    <row r="1928" spans="2:36">
      <c r="B1928" s="136" t="s">
        <v>454</v>
      </c>
      <c r="C1928" s="132" t="s">
        <v>1363</v>
      </c>
      <c r="D1928" s="132" t="s">
        <v>282</v>
      </c>
      <c r="E1928" s="508">
        <v>8.85</v>
      </c>
      <c r="F1928" s="508">
        <v>7.99</v>
      </c>
      <c r="G1928" s="508">
        <v>7.4109999999999996</v>
      </c>
      <c r="H1928" s="508">
        <v>7.1989999999999998</v>
      </c>
      <c r="I1928" s="508">
        <v>6.9610000000000003</v>
      </c>
      <c r="J1928" s="508">
        <v>6.7229999999999999</v>
      </c>
      <c r="K1928" s="508">
        <v>6.6879999999999997</v>
      </c>
      <c r="L1928" s="508">
        <v>6.4909999999999997</v>
      </c>
      <c r="M1928" s="508">
        <v>6.5220000000000002</v>
      </c>
      <c r="N1928" s="508">
        <v>6.3659999999999997</v>
      </c>
      <c r="O1928" s="508">
        <v>6.3440000000000003</v>
      </c>
      <c r="P1928" s="508">
        <v>6.29</v>
      </c>
      <c r="Q1928" s="508">
        <v>6.3369999999999997</v>
      </c>
      <c r="R1928" s="508">
        <v>6.2460000000000004</v>
      </c>
      <c r="S1928" s="508">
        <v>6.194</v>
      </c>
      <c r="T1928" s="508">
        <v>6.0380000000000003</v>
      </c>
      <c r="U1928" s="508">
        <v>5.9930000000000003</v>
      </c>
      <c r="V1928" s="508">
        <v>5.694</v>
      </c>
      <c r="W1928" s="508">
        <v>3.01</v>
      </c>
      <c r="X1928" s="508">
        <v>3.0289999999999999</v>
      </c>
      <c r="Y1928" s="508">
        <v>2.9820000000000002</v>
      </c>
      <c r="Z1928" s="508">
        <v>2.948</v>
      </c>
      <c r="AA1928" s="508">
        <v>0.72199999999999998</v>
      </c>
      <c r="AB1928" s="508">
        <v>0.71699999999999997</v>
      </c>
      <c r="AC1928" s="508">
        <v>0.69</v>
      </c>
      <c r="AD1928" s="508">
        <v>0.47699999999999998</v>
      </c>
      <c r="AE1928" s="508">
        <v>0.46899999999999997</v>
      </c>
      <c r="AF1928" s="508">
        <v>0.40100000000000002</v>
      </c>
      <c r="AG1928" s="508">
        <v>0.39600000000000002</v>
      </c>
      <c r="AH1928" s="508">
        <v>0.39500000000000002</v>
      </c>
      <c r="AI1928" s="492">
        <v>0.39500000000000002</v>
      </c>
      <c r="AJ1928" s="485"/>
    </row>
    <row r="1929" spans="2:36">
      <c r="B1929" s="136" t="s">
        <v>455</v>
      </c>
      <c r="C1929" s="132" t="s">
        <v>1363</v>
      </c>
      <c r="D1929" s="132" t="s">
        <v>282</v>
      </c>
      <c r="E1929" s="508">
        <v>8.3469999999999995</v>
      </c>
      <c r="F1929" s="508">
        <v>7.5839999999999996</v>
      </c>
      <c r="G1929" s="508">
        <v>7.06</v>
      </c>
      <c r="H1929" s="508">
        <v>6.8879999999999999</v>
      </c>
      <c r="I1929" s="508">
        <v>6.6760000000000002</v>
      </c>
      <c r="J1929" s="508">
        <v>6.4560000000000004</v>
      </c>
      <c r="K1929" s="508">
        <v>6.4390000000000001</v>
      </c>
      <c r="L1929" s="508">
        <v>6.2510000000000003</v>
      </c>
      <c r="M1929" s="508">
        <v>6.2960000000000003</v>
      </c>
      <c r="N1929" s="508">
        <v>6.1449999999999996</v>
      </c>
      <c r="O1929" s="508">
        <v>6.1310000000000002</v>
      </c>
      <c r="P1929" s="508">
        <v>6.0839999999999996</v>
      </c>
      <c r="Q1929" s="508">
        <v>6.1379999999999999</v>
      </c>
      <c r="R1929" s="508">
        <v>6.05</v>
      </c>
      <c r="S1929" s="508">
        <v>6.0010000000000003</v>
      </c>
      <c r="T1929" s="508">
        <v>5.86</v>
      </c>
      <c r="U1929" s="508">
        <v>5.8250000000000002</v>
      </c>
      <c r="V1929" s="508">
        <v>5.5250000000000004</v>
      </c>
      <c r="W1929" s="508">
        <v>2.8919999999999999</v>
      </c>
      <c r="X1929" s="508">
        <v>2.9129999999999998</v>
      </c>
      <c r="Y1929" s="508">
        <v>2.8690000000000002</v>
      </c>
      <c r="Z1929" s="508">
        <v>2.8380000000000001</v>
      </c>
      <c r="AA1929" s="508">
        <v>0.68600000000000005</v>
      </c>
      <c r="AB1929" s="508">
        <v>0.68200000000000005</v>
      </c>
      <c r="AC1929" s="508">
        <v>0.65700000000000003</v>
      </c>
      <c r="AD1929" s="508">
        <v>0.45100000000000001</v>
      </c>
      <c r="AE1929" s="508">
        <v>0.44400000000000001</v>
      </c>
      <c r="AF1929" s="508">
        <v>0.379</v>
      </c>
      <c r="AG1929" s="508">
        <v>0.375</v>
      </c>
      <c r="AH1929" s="508">
        <v>0.373</v>
      </c>
      <c r="AI1929" s="492">
        <v>0.373</v>
      </c>
      <c r="AJ1929" s="485"/>
    </row>
    <row r="1930" spans="2:36">
      <c r="B1930" s="136" t="s">
        <v>456</v>
      </c>
      <c r="C1930" s="132" t="s">
        <v>1363</v>
      </c>
      <c r="D1930" s="132" t="s">
        <v>282</v>
      </c>
      <c r="E1930" s="508">
        <v>8.9749999999999996</v>
      </c>
      <c r="F1930" s="508">
        <v>8.0969999999999995</v>
      </c>
      <c r="G1930" s="508">
        <v>7.5090000000000003</v>
      </c>
      <c r="H1930" s="508">
        <v>7.29</v>
      </c>
      <c r="I1930" s="508">
        <v>7.0469999999999997</v>
      </c>
      <c r="J1930" s="508">
        <v>6.8049999999999997</v>
      </c>
      <c r="K1930" s="508">
        <v>6.7679999999999998</v>
      </c>
      <c r="L1930" s="508">
        <v>6.569</v>
      </c>
      <c r="M1930" s="508">
        <v>6.5979999999999999</v>
      </c>
      <c r="N1930" s="508">
        <v>6.44</v>
      </c>
      <c r="O1930" s="508">
        <v>6.4169999999999998</v>
      </c>
      <c r="P1930" s="508">
        <v>6.3620000000000001</v>
      </c>
      <c r="Q1930" s="508">
        <v>6.4080000000000004</v>
      </c>
      <c r="R1930" s="508">
        <v>6.3170000000000002</v>
      </c>
      <c r="S1930" s="508">
        <v>6.2629999999999999</v>
      </c>
      <c r="T1930" s="508">
        <v>6.1059999999999999</v>
      </c>
      <c r="U1930" s="508">
        <v>6.0579999999999998</v>
      </c>
      <c r="V1930" s="508">
        <v>5.7590000000000003</v>
      </c>
      <c r="W1930" s="508">
        <v>3.0430000000000001</v>
      </c>
      <c r="X1930" s="508">
        <v>3.0619999999999998</v>
      </c>
      <c r="Y1930" s="508">
        <v>3.0129999999999999</v>
      </c>
      <c r="Z1930" s="508">
        <v>2.9790000000000001</v>
      </c>
      <c r="AA1930" s="508">
        <v>0.73099999999999998</v>
      </c>
      <c r="AB1930" s="508">
        <v>0.72499999999999998</v>
      </c>
      <c r="AC1930" s="508">
        <v>0.69899999999999995</v>
      </c>
      <c r="AD1930" s="508">
        <v>0.48299999999999998</v>
      </c>
      <c r="AE1930" s="508">
        <v>0.47499999999999998</v>
      </c>
      <c r="AF1930" s="508">
        <v>0.40600000000000003</v>
      </c>
      <c r="AG1930" s="508">
        <v>0.40100000000000002</v>
      </c>
      <c r="AH1930" s="508">
        <v>0.4</v>
      </c>
      <c r="AI1930" s="492">
        <v>0.4</v>
      </c>
      <c r="AJ1930" s="485"/>
    </row>
    <row r="1931" spans="2:36">
      <c r="B1931" s="136" t="s">
        <v>457</v>
      </c>
      <c r="C1931" s="132" t="s">
        <v>1363</v>
      </c>
      <c r="D1931" s="132" t="s">
        <v>282</v>
      </c>
      <c r="E1931" s="508">
        <v>8.2669999999999995</v>
      </c>
      <c r="F1931" s="508">
        <v>7.5140000000000002</v>
      </c>
      <c r="G1931" s="508">
        <v>6.9969999999999999</v>
      </c>
      <c r="H1931" s="508">
        <v>6.8280000000000003</v>
      </c>
      <c r="I1931" s="508">
        <v>6.6189999999999998</v>
      </c>
      <c r="J1931" s="508">
        <v>6.4009999999999998</v>
      </c>
      <c r="K1931" s="508">
        <v>6.3849999999999998</v>
      </c>
      <c r="L1931" s="508">
        <v>6.1989999999999998</v>
      </c>
      <c r="M1931" s="508">
        <v>6.2439999999999998</v>
      </c>
      <c r="N1931" s="508">
        <v>6.0949999999999998</v>
      </c>
      <c r="O1931" s="508">
        <v>6.0810000000000004</v>
      </c>
      <c r="P1931" s="508">
        <v>6.0339999999999998</v>
      </c>
      <c r="Q1931" s="508">
        <v>6.0880000000000001</v>
      </c>
      <c r="R1931" s="508">
        <v>6.0010000000000003</v>
      </c>
      <c r="S1931" s="508">
        <v>5.9530000000000003</v>
      </c>
      <c r="T1931" s="508">
        <v>5.8140000000000001</v>
      </c>
      <c r="U1931" s="508">
        <v>5.7789999999999999</v>
      </c>
      <c r="V1931" s="508">
        <v>5.4820000000000002</v>
      </c>
      <c r="W1931" s="508">
        <v>2.8809999999999998</v>
      </c>
      <c r="X1931" s="508">
        <v>2.9020000000000001</v>
      </c>
      <c r="Y1931" s="508">
        <v>2.8580000000000001</v>
      </c>
      <c r="Z1931" s="508">
        <v>2.827</v>
      </c>
      <c r="AA1931" s="508">
        <v>0.68200000000000005</v>
      </c>
      <c r="AB1931" s="508">
        <v>0.67800000000000005</v>
      </c>
      <c r="AC1931" s="508">
        <v>0.65400000000000003</v>
      </c>
      <c r="AD1931" s="508">
        <v>0.44800000000000001</v>
      </c>
      <c r="AE1931" s="508">
        <v>0.442</v>
      </c>
      <c r="AF1931" s="508">
        <v>0.376</v>
      </c>
      <c r="AG1931" s="508">
        <v>0.372</v>
      </c>
      <c r="AH1931" s="508">
        <v>0.371</v>
      </c>
      <c r="AI1931" s="492">
        <v>0.371</v>
      </c>
      <c r="AJ1931" s="485"/>
    </row>
    <row r="1932" spans="2:36">
      <c r="B1932" s="136" t="s">
        <v>458</v>
      </c>
      <c r="C1932" s="132" t="s">
        <v>1363</v>
      </c>
      <c r="D1932" s="132" t="s">
        <v>282</v>
      </c>
      <c r="E1932" s="508">
        <v>9.3030000000000008</v>
      </c>
      <c r="F1932" s="508">
        <v>8.3550000000000004</v>
      </c>
      <c r="G1932" s="508">
        <v>7.7270000000000003</v>
      </c>
      <c r="H1932" s="508">
        <v>7.48</v>
      </c>
      <c r="I1932" s="508">
        <v>7.218</v>
      </c>
      <c r="J1932" s="508">
        <v>6.9630000000000001</v>
      </c>
      <c r="K1932" s="508">
        <v>6.9130000000000003</v>
      </c>
      <c r="L1932" s="508">
        <v>6.7069999999999999</v>
      </c>
      <c r="M1932" s="508">
        <v>6.7270000000000003</v>
      </c>
      <c r="N1932" s="508">
        <v>6.5650000000000004</v>
      </c>
      <c r="O1932" s="508">
        <v>6.5369999999999999</v>
      </c>
      <c r="P1932" s="508">
        <v>6.4779999999999998</v>
      </c>
      <c r="Q1932" s="508">
        <v>6.5190000000000001</v>
      </c>
      <c r="R1932" s="508">
        <v>6.4249999999999998</v>
      </c>
      <c r="S1932" s="508">
        <v>6.3689999999999998</v>
      </c>
      <c r="T1932" s="508">
        <v>6.2</v>
      </c>
      <c r="U1932" s="508">
        <v>6.1459999999999999</v>
      </c>
      <c r="V1932" s="508">
        <v>5.8449999999999998</v>
      </c>
      <c r="W1932" s="508">
        <v>3.0979999999999999</v>
      </c>
      <c r="X1932" s="508">
        <v>3.1150000000000002</v>
      </c>
      <c r="Y1932" s="508">
        <v>3.0640000000000001</v>
      </c>
      <c r="Z1932" s="508">
        <v>3.028</v>
      </c>
      <c r="AA1932" s="508">
        <v>0.751</v>
      </c>
      <c r="AB1932" s="508">
        <v>0.745</v>
      </c>
      <c r="AC1932" s="508">
        <v>0.71699999999999997</v>
      </c>
      <c r="AD1932" s="508">
        <v>0.497</v>
      </c>
      <c r="AE1932" s="508">
        <v>0.48899999999999999</v>
      </c>
      <c r="AF1932" s="508">
        <v>0.41799999999999998</v>
      </c>
      <c r="AG1932" s="508">
        <v>0.41399999999999998</v>
      </c>
      <c r="AH1932" s="508">
        <v>0.41199999999999998</v>
      </c>
      <c r="AI1932" s="492">
        <v>0.41199999999999998</v>
      </c>
      <c r="AJ1932" s="485"/>
    </row>
    <row r="1933" spans="2:36">
      <c r="B1933" s="136" t="s">
        <v>459</v>
      </c>
      <c r="C1933" s="132" t="s">
        <v>1363</v>
      </c>
      <c r="D1933" s="132" t="s">
        <v>282</v>
      </c>
      <c r="E1933" s="508">
        <v>9.2780000000000005</v>
      </c>
      <c r="F1933" s="508">
        <v>8.3360000000000003</v>
      </c>
      <c r="G1933" s="508">
        <v>7.71</v>
      </c>
      <c r="H1933" s="508">
        <v>7.4649999999999999</v>
      </c>
      <c r="I1933" s="508">
        <v>7.2050000000000001</v>
      </c>
      <c r="J1933" s="508">
        <v>6.9509999999999996</v>
      </c>
      <c r="K1933" s="508">
        <v>6.9020000000000001</v>
      </c>
      <c r="L1933" s="508">
        <v>6.6959999999999997</v>
      </c>
      <c r="M1933" s="508">
        <v>6.718</v>
      </c>
      <c r="N1933" s="508">
        <v>6.556</v>
      </c>
      <c r="O1933" s="508">
        <v>6.5279999999999996</v>
      </c>
      <c r="P1933" s="508">
        <v>6.4690000000000003</v>
      </c>
      <c r="Q1933" s="508">
        <v>6.51</v>
      </c>
      <c r="R1933" s="508">
        <v>6.4160000000000004</v>
      </c>
      <c r="S1933" s="508">
        <v>6.3609999999999998</v>
      </c>
      <c r="T1933" s="508">
        <v>6.1929999999999996</v>
      </c>
      <c r="U1933" s="508">
        <v>6.1390000000000002</v>
      </c>
      <c r="V1933" s="508">
        <v>5.8380000000000001</v>
      </c>
      <c r="W1933" s="508">
        <v>3.093</v>
      </c>
      <c r="X1933" s="508">
        <v>3.11</v>
      </c>
      <c r="Y1933" s="508">
        <v>3.06</v>
      </c>
      <c r="Z1933" s="508">
        <v>3.024</v>
      </c>
      <c r="AA1933" s="508">
        <v>0.75</v>
      </c>
      <c r="AB1933" s="508">
        <v>0.74299999999999999</v>
      </c>
      <c r="AC1933" s="508">
        <v>0.71499999999999997</v>
      </c>
      <c r="AD1933" s="508">
        <v>0.496</v>
      </c>
      <c r="AE1933" s="508">
        <v>0.48799999999999999</v>
      </c>
      <c r="AF1933" s="508">
        <v>0.41699999999999998</v>
      </c>
      <c r="AG1933" s="508">
        <v>0.41299999999999998</v>
      </c>
      <c r="AH1933" s="508">
        <v>0.41099999999999998</v>
      </c>
      <c r="AI1933" s="492">
        <v>0.41099999999999998</v>
      </c>
      <c r="AJ1933" s="485"/>
    </row>
    <row r="1934" spans="2:36">
      <c r="B1934" s="136" t="s">
        <v>460</v>
      </c>
      <c r="C1934" s="132" t="s">
        <v>1363</v>
      </c>
      <c r="D1934" s="132" t="s">
        <v>282</v>
      </c>
      <c r="E1934" s="508">
        <v>9.1709999999999994</v>
      </c>
      <c r="F1934" s="508">
        <v>8.2590000000000003</v>
      </c>
      <c r="G1934" s="508">
        <v>7.6509999999999998</v>
      </c>
      <c r="H1934" s="508">
        <v>7.4180000000000001</v>
      </c>
      <c r="I1934" s="508">
        <v>7.1660000000000004</v>
      </c>
      <c r="J1934" s="508">
        <v>6.9180000000000001</v>
      </c>
      <c r="K1934" s="508">
        <v>6.8739999999999997</v>
      </c>
      <c r="L1934" s="508">
        <v>6.6710000000000003</v>
      </c>
      <c r="M1934" s="508">
        <v>6.6959999999999997</v>
      </c>
      <c r="N1934" s="508">
        <v>6.5359999999999996</v>
      </c>
      <c r="O1934" s="508">
        <v>6.5110000000000001</v>
      </c>
      <c r="P1934" s="508">
        <v>6.4539999999999997</v>
      </c>
      <c r="Q1934" s="508">
        <v>6.4969999999999999</v>
      </c>
      <c r="R1934" s="508">
        <v>6.4039999999999999</v>
      </c>
      <c r="S1934" s="508">
        <v>6.35</v>
      </c>
      <c r="T1934" s="508">
        <v>6.1870000000000003</v>
      </c>
      <c r="U1934" s="508">
        <v>6.1360000000000001</v>
      </c>
      <c r="V1934" s="508">
        <v>5.8360000000000003</v>
      </c>
      <c r="W1934" s="508">
        <v>3.0870000000000002</v>
      </c>
      <c r="X1934" s="508">
        <v>3.105</v>
      </c>
      <c r="Y1934" s="508">
        <v>3.0550000000000002</v>
      </c>
      <c r="Z1934" s="508">
        <v>3.02</v>
      </c>
      <c r="AA1934" s="508">
        <v>0.74399999999999999</v>
      </c>
      <c r="AB1934" s="508">
        <v>0.73799999999999999</v>
      </c>
      <c r="AC1934" s="508">
        <v>0.71099999999999997</v>
      </c>
      <c r="AD1934" s="508">
        <v>0.49199999999999999</v>
      </c>
      <c r="AE1934" s="508">
        <v>0.48399999999999999</v>
      </c>
      <c r="AF1934" s="508">
        <v>0.41399999999999998</v>
      </c>
      <c r="AG1934" s="508">
        <v>0.40899999999999997</v>
      </c>
      <c r="AH1934" s="508">
        <v>0.40799999999999997</v>
      </c>
      <c r="AI1934" s="492">
        <v>0.40799999999999997</v>
      </c>
      <c r="AJ1934" s="485"/>
    </row>
    <row r="1935" spans="2:36">
      <c r="B1935" s="136" t="s">
        <v>461</v>
      </c>
      <c r="C1935" s="132" t="s">
        <v>1363</v>
      </c>
      <c r="D1935" s="132" t="s">
        <v>282</v>
      </c>
      <c r="E1935" s="508">
        <v>9.1170000000000009</v>
      </c>
      <c r="F1935" s="508">
        <v>8.2059999999999995</v>
      </c>
      <c r="G1935" s="508">
        <v>7.5990000000000002</v>
      </c>
      <c r="H1935" s="508">
        <v>7.3650000000000002</v>
      </c>
      <c r="I1935" s="508">
        <v>7.1130000000000004</v>
      </c>
      <c r="J1935" s="508">
        <v>6.8659999999999997</v>
      </c>
      <c r="K1935" s="508">
        <v>6.8220000000000001</v>
      </c>
      <c r="L1935" s="508">
        <v>6.62</v>
      </c>
      <c r="M1935" s="508">
        <v>6.6440000000000001</v>
      </c>
      <c r="N1935" s="508">
        <v>6.4850000000000003</v>
      </c>
      <c r="O1935" s="508">
        <v>6.4589999999999996</v>
      </c>
      <c r="P1935" s="508">
        <v>6.4020000000000001</v>
      </c>
      <c r="Q1935" s="508">
        <v>6.4450000000000003</v>
      </c>
      <c r="R1935" s="508">
        <v>6.3520000000000003</v>
      </c>
      <c r="S1935" s="508">
        <v>6.298</v>
      </c>
      <c r="T1935" s="508">
        <v>6.1349999999999998</v>
      </c>
      <c r="U1935" s="508">
        <v>6.0839999999999996</v>
      </c>
      <c r="V1935" s="508">
        <v>5.7859999999999996</v>
      </c>
      <c r="W1935" s="508">
        <v>3.0720000000000001</v>
      </c>
      <c r="X1935" s="508">
        <v>3.09</v>
      </c>
      <c r="Y1935" s="508">
        <v>3.04</v>
      </c>
      <c r="Z1935" s="508">
        <v>3.0049999999999999</v>
      </c>
      <c r="AA1935" s="508">
        <v>0.74099999999999999</v>
      </c>
      <c r="AB1935" s="508">
        <v>0.73499999999999999</v>
      </c>
      <c r="AC1935" s="508">
        <v>0.70799999999999996</v>
      </c>
      <c r="AD1935" s="508">
        <v>0.49</v>
      </c>
      <c r="AE1935" s="508">
        <v>0.48199999999999998</v>
      </c>
      <c r="AF1935" s="508">
        <v>0.41199999999999998</v>
      </c>
      <c r="AG1935" s="508">
        <v>0.40799999999999997</v>
      </c>
      <c r="AH1935" s="508">
        <v>0.40600000000000003</v>
      </c>
      <c r="AI1935" s="492">
        <v>0.40600000000000003</v>
      </c>
      <c r="AJ1935" s="485"/>
    </row>
    <row r="1936" spans="2:36">
      <c r="B1936" s="136" t="s">
        <v>462</v>
      </c>
      <c r="C1936" s="132" t="s">
        <v>1363</v>
      </c>
      <c r="D1936" s="132" t="s">
        <v>282</v>
      </c>
      <c r="E1936" s="508">
        <v>8.8689999999999998</v>
      </c>
      <c r="F1936" s="508">
        <v>8.0060000000000002</v>
      </c>
      <c r="G1936" s="508">
        <v>7.4269999999999996</v>
      </c>
      <c r="H1936" s="508">
        <v>7.2119999999999997</v>
      </c>
      <c r="I1936" s="508">
        <v>6.9740000000000002</v>
      </c>
      <c r="J1936" s="508">
        <v>6.7359999999999998</v>
      </c>
      <c r="K1936" s="508">
        <v>6.6989999999999998</v>
      </c>
      <c r="L1936" s="508">
        <v>6.5030000000000001</v>
      </c>
      <c r="M1936" s="508">
        <v>6.532</v>
      </c>
      <c r="N1936" s="508">
        <v>6.3769999999999998</v>
      </c>
      <c r="O1936" s="508">
        <v>6.3550000000000004</v>
      </c>
      <c r="P1936" s="508">
        <v>6.3010000000000002</v>
      </c>
      <c r="Q1936" s="508">
        <v>6.3460000000000001</v>
      </c>
      <c r="R1936" s="508">
        <v>6.2560000000000002</v>
      </c>
      <c r="S1936" s="508">
        <v>6.2030000000000003</v>
      </c>
      <c r="T1936" s="508">
        <v>6.048</v>
      </c>
      <c r="U1936" s="508">
        <v>6.0019999999999998</v>
      </c>
      <c r="V1936" s="508">
        <v>5.7060000000000004</v>
      </c>
      <c r="W1936" s="508">
        <v>3.0259999999999998</v>
      </c>
      <c r="X1936" s="508">
        <v>3.0449999999999999</v>
      </c>
      <c r="Y1936" s="508">
        <v>2.9969999999999999</v>
      </c>
      <c r="Z1936" s="508">
        <v>2.9630000000000001</v>
      </c>
      <c r="AA1936" s="508">
        <v>0.72599999999999998</v>
      </c>
      <c r="AB1936" s="508">
        <v>0.72</v>
      </c>
      <c r="AC1936" s="508">
        <v>0.69399999999999995</v>
      </c>
      <c r="AD1936" s="508">
        <v>0.47899999999999998</v>
      </c>
      <c r="AE1936" s="508">
        <v>0.47099999999999997</v>
      </c>
      <c r="AF1936" s="508">
        <v>0.40200000000000002</v>
      </c>
      <c r="AG1936" s="508">
        <v>0.39800000000000002</v>
      </c>
      <c r="AH1936" s="508">
        <v>0.39700000000000002</v>
      </c>
      <c r="AI1936" s="492">
        <v>0.39700000000000002</v>
      </c>
      <c r="AJ1936" s="485"/>
    </row>
    <row r="1937" spans="2:36">
      <c r="B1937" s="136" t="s">
        <v>463</v>
      </c>
      <c r="C1937" s="132" t="s">
        <v>1363</v>
      </c>
      <c r="D1937" s="132" t="s">
        <v>282</v>
      </c>
      <c r="E1937" s="508">
        <v>8.5129999999999999</v>
      </c>
      <c r="F1937" s="508">
        <v>7.7060000000000004</v>
      </c>
      <c r="G1937" s="508">
        <v>7.1580000000000004</v>
      </c>
      <c r="H1937" s="508">
        <v>6.9690000000000003</v>
      </c>
      <c r="I1937" s="508">
        <v>6.7450000000000001</v>
      </c>
      <c r="J1937" s="508">
        <v>6.5170000000000003</v>
      </c>
      <c r="K1937" s="508">
        <v>6.492</v>
      </c>
      <c r="L1937" s="508">
        <v>6.3</v>
      </c>
      <c r="M1937" s="508">
        <v>6.3390000000000004</v>
      </c>
      <c r="N1937" s="508">
        <v>6.1859999999999999</v>
      </c>
      <c r="O1937" s="508">
        <v>6.1689999999999996</v>
      </c>
      <c r="P1937" s="508">
        <v>6.1180000000000003</v>
      </c>
      <c r="Q1937" s="508">
        <v>6.1689999999999996</v>
      </c>
      <c r="R1937" s="508">
        <v>6.08</v>
      </c>
      <c r="S1937" s="508">
        <v>6.0289999999999999</v>
      </c>
      <c r="T1937" s="508">
        <v>5.8819999999999997</v>
      </c>
      <c r="U1937" s="508">
        <v>5.843</v>
      </c>
      <c r="V1937" s="508">
        <v>5.5419999999999998</v>
      </c>
      <c r="W1937" s="508">
        <v>2.915</v>
      </c>
      <c r="X1937" s="508">
        <v>2.9350000000000001</v>
      </c>
      <c r="Y1937" s="508">
        <v>2.8889999999999998</v>
      </c>
      <c r="Z1937" s="508">
        <v>2.8570000000000002</v>
      </c>
      <c r="AA1937" s="508">
        <v>0.69599999999999995</v>
      </c>
      <c r="AB1937" s="508">
        <v>0.69099999999999995</v>
      </c>
      <c r="AC1937" s="508">
        <v>0.66600000000000004</v>
      </c>
      <c r="AD1937" s="508">
        <v>0.45900000000000002</v>
      </c>
      <c r="AE1937" s="508">
        <v>0.45100000000000001</v>
      </c>
      <c r="AF1937" s="508">
        <v>0.38500000000000001</v>
      </c>
      <c r="AG1937" s="508">
        <v>0.38100000000000001</v>
      </c>
      <c r="AH1937" s="508">
        <v>0.38</v>
      </c>
      <c r="AI1937" s="492">
        <v>0.38</v>
      </c>
      <c r="AJ1937" s="485"/>
    </row>
    <row r="1938" spans="2:36">
      <c r="B1938" s="136" t="s">
        <v>464</v>
      </c>
      <c r="C1938" s="132" t="s">
        <v>1363</v>
      </c>
      <c r="D1938" s="132" t="s">
        <v>282</v>
      </c>
      <c r="E1938" s="508">
        <v>8.1479999999999997</v>
      </c>
      <c r="F1938" s="508">
        <v>7.4210000000000003</v>
      </c>
      <c r="G1938" s="508">
        <v>6.9180000000000001</v>
      </c>
      <c r="H1938" s="508">
        <v>6.7610000000000001</v>
      </c>
      <c r="I1938" s="508">
        <v>6.5590000000000002</v>
      </c>
      <c r="J1938" s="508">
        <v>6.3460000000000001</v>
      </c>
      <c r="K1938" s="508">
        <v>6.335</v>
      </c>
      <c r="L1938" s="508">
        <v>6.1509999999999998</v>
      </c>
      <c r="M1938" s="508">
        <v>6.2</v>
      </c>
      <c r="N1938" s="508">
        <v>6.0519999999999996</v>
      </c>
      <c r="O1938" s="508">
        <v>6.0410000000000004</v>
      </c>
      <c r="P1938" s="508">
        <v>5.9950000000000001</v>
      </c>
      <c r="Q1938" s="508">
        <v>6.0519999999999996</v>
      </c>
      <c r="R1938" s="508">
        <v>5.9660000000000002</v>
      </c>
      <c r="S1938" s="508">
        <v>5.9180000000000001</v>
      </c>
      <c r="T1938" s="508">
        <v>5.7830000000000004</v>
      </c>
      <c r="U1938" s="508">
        <v>5.7510000000000003</v>
      </c>
      <c r="V1938" s="508">
        <v>5.452</v>
      </c>
      <c r="W1938" s="508">
        <v>2.855</v>
      </c>
      <c r="X1938" s="508">
        <v>2.8759999999999999</v>
      </c>
      <c r="Y1938" s="508">
        <v>2.8330000000000002</v>
      </c>
      <c r="Z1938" s="508">
        <v>2.8029999999999999</v>
      </c>
      <c r="AA1938" s="508">
        <v>0.67400000000000004</v>
      </c>
      <c r="AB1938" s="508">
        <v>0.67</v>
      </c>
      <c r="AC1938" s="508">
        <v>0.64600000000000002</v>
      </c>
      <c r="AD1938" s="508">
        <v>0.442</v>
      </c>
      <c r="AE1938" s="508">
        <v>0.436</v>
      </c>
      <c r="AF1938" s="508">
        <v>0.371</v>
      </c>
      <c r="AG1938" s="508">
        <v>0.36699999999999999</v>
      </c>
      <c r="AH1938" s="508">
        <v>0.36599999999999999</v>
      </c>
      <c r="AI1938" s="492">
        <v>0.36599999999999999</v>
      </c>
      <c r="AJ1938" s="485"/>
    </row>
    <row r="1939" spans="2:36">
      <c r="B1939" s="136" t="s">
        <v>465</v>
      </c>
      <c r="C1939" s="132" t="s">
        <v>1363</v>
      </c>
      <c r="D1939" s="132" t="s">
        <v>282</v>
      </c>
      <c r="E1939" s="508">
        <v>8.3659999999999997</v>
      </c>
      <c r="F1939" s="508">
        <v>7.6</v>
      </c>
      <c r="G1939" s="508">
        <v>7.0750000000000002</v>
      </c>
      <c r="H1939" s="508">
        <v>6.9029999999999996</v>
      </c>
      <c r="I1939" s="508">
        <v>6.69</v>
      </c>
      <c r="J1939" s="508">
        <v>6.4690000000000003</v>
      </c>
      <c r="K1939" s="508">
        <v>6.452</v>
      </c>
      <c r="L1939" s="508">
        <v>6.2640000000000002</v>
      </c>
      <c r="M1939" s="508">
        <v>6.3079999999999998</v>
      </c>
      <c r="N1939" s="508">
        <v>6.157</v>
      </c>
      <c r="O1939" s="508">
        <v>6.1440000000000001</v>
      </c>
      <c r="P1939" s="508">
        <v>6.0960000000000001</v>
      </c>
      <c r="Q1939" s="508">
        <v>6.15</v>
      </c>
      <c r="R1939" s="508">
        <v>6.0620000000000003</v>
      </c>
      <c r="S1939" s="508">
        <v>6.0129999999999999</v>
      </c>
      <c r="T1939" s="508">
        <v>5.8719999999999999</v>
      </c>
      <c r="U1939" s="508">
        <v>5.8360000000000003</v>
      </c>
      <c r="V1939" s="508">
        <v>5.5359999999999996</v>
      </c>
      <c r="W1939" s="508">
        <v>2.899</v>
      </c>
      <c r="X1939" s="508">
        <v>2.92</v>
      </c>
      <c r="Y1939" s="508">
        <v>2.8759999999999999</v>
      </c>
      <c r="Z1939" s="508">
        <v>2.8450000000000002</v>
      </c>
      <c r="AA1939" s="508">
        <v>0.68799999999999994</v>
      </c>
      <c r="AB1939" s="508">
        <v>0.68300000000000005</v>
      </c>
      <c r="AC1939" s="508">
        <v>0.65900000000000003</v>
      </c>
      <c r="AD1939" s="508">
        <v>0.45200000000000001</v>
      </c>
      <c r="AE1939" s="508">
        <v>0.44500000000000001</v>
      </c>
      <c r="AF1939" s="508">
        <v>0.38</v>
      </c>
      <c r="AG1939" s="508">
        <v>0.376</v>
      </c>
      <c r="AH1939" s="508">
        <v>0.374</v>
      </c>
      <c r="AI1939" s="492">
        <v>0.374</v>
      </c>
      <c r="AJ1939" s="485"/>
    </row>
    <row r="1940" spans="2:36">
      <c r="B1940" s="136" t="s">
        <v>466</v>
      </c>
      <c r="C1940" s="132" t="s">
        <v>1363</v>
      </c>
      <c r="D1940" s="132" t="s">
        <v>282</v>
      </c>
      <c r="E1940" s="508">
        <v>9.6590000000000007</v>
      </c>
      <c r="F1940" s="508">
        <v>8.6669999999999998</v>
      </c>
      <c r="G1940" s="508">
        <v>8.0139999999999993</v>
      </c>
      <c r="H1940" s="508">
        <v>7.7489999999999997</v>
      </c>
      <c r="I1940" s="508">
        <v>7.4749999999999996</v>
      </c>
      <c r="J1940" s="508">
        <v>7.2130000000000001</v>
      </c>
      <c r="K1940" s="508">
        <v>7.1550000000000002</v>
      </c>
      <c r="L1940" s="508">
        <v>6.944</v>
      </c>
      <c r="M1940" s="508">
        <v>6.9589999999999996</v>
      </c>
      <c r="N1940" s="508">
        <v>6.7939999999999996</v>
      </c>
      <c r="O1940" s="508">
        <v>6.7619999999999996</v>
      </c>
      <c r="P1940" s="508">
        <v>6.7</v>
      </c>
      <c r="Q1940" s="508">
        <v>6.7380000000000004</v>
      </c>
      <c r="R1940" s="508">
        <v>6.6420000000000003</v>
      </c>
      <c r="S1940" s="508">
        <v>6.585</v>
      </c>
      <c r="T1940" s="508">
        <v>6.41</v>
      </c>
      <c r="U1940" s="508">
        <v>6.351</v>
      </c>
      <c r="V1940" s="508">
        <v>6.05</v>
      </c>
      <c r="W1940" s="508">
        <v>3.2090000000000001</v>
      </c>
      <c r="X1940" s="508">
        <v>3.2269999999999999</v>
      </c>
      <c r="Y1940" s="508">
        <v>3.1739999999999999</v>
      </c>
      <c r="Z1940" s="508">
        <v>3.1360000000000001</v>
      </c>
      <c r="AA1940" s="508">
        <v>0.78</v>
      </c>
      <c r="AB1940" s="508">
        <v>0.77200000000000002</v>
      </c>
      <c r="AC1940" s="508">
        <v>0.74299999999999999</v>
      </c>
      <c r="AD1940" s="508">
        <v>0.51600000000000001</v>
      </c>
      <c r="AE1940" s="508">
        <v>0.50700000000000001</v>
      </c>
      <c r="AF1940" s="508">
        <v>0.434</v>
      </c>
      <c r="AG1940" s="508">
        <v>0.43</v>
      </c>
      <c r="AH1940" s="508">
        <v>0.42799999999999999</v>
      </c>
      <c r="AI1940" s="492">
        <v>0.42799999999999999</v>
      </c>
      <c r="AJ1940" s="485"/>
    </row>
    <row r="1941" spans="2:36">
      <c r="B1941" s="136" t="s">
        <v>467</v>
      </c>
      <c r="C1941" s="132" t="s">
        <v>1363</v>
      </c>
      <c r="D1941" s="132" t="s">
        <v>282</v>
      </c>
      <c r="E1941" s="508">
        <v>8.9969999999999999</v>
      </c>
      <c r="F1941" s="508">
        <v>8.109</v>
      </c>
      <c r="G1941" s="508">
        <v>7.5149999999999997</v>
      </c>
      <c r="H1941" s="508">
        <v>7.29</v>
      </c>
      <c r="I1941" s="508">
        <v>7.0449999999999999</v>
      </c>
      <c r="J1941" s="508">
        <v>6.8019999999999996</v>
      </c>
      <c r="K1941" s="508">
        <v>6.7610000000000001</v>
      </c>
      <c r="L1941" s="508">
        <v>6.5620000000000003</v>
      </c>
      <c r="M1941" s="508">
        <v>6.5890000000000004</v>
      </c>
      <c r="N1941" s="508">
        <v>6.431</v>
      </c>
      <c r="O1941" s="508">
        <v>6.407</v>
      </c>
      <c r="P1941" s="508">
        <v>6.3520000000000003</v>
      </c>
      <c r="Q1941" s="508">
        <v>6.3959999999999999</v>
      </c>
      <c r="R1941" s="508">
        <v>6.3040000000000003</v>
      </c>
      <c r="S1941" s="508">
        <v>6.2510000000000003</v>
      </c>
      <c r="T1941" s="508">
        <v>6.0910000000000002</v>
      </c>
      <c r="U1941" s="508">
        <v>6.0430000000000001</v>
      </c>
      <c r="V1941" s="508">
        <v>5.7450000000000001</v>
      </c>
      <c r="W1941" s="508">
        <v>3.0459999999999998</v>
      </c>
      <c r="X1941" s="508">
        <v>3.0649999999999999</v>
      </c>
      <c r="Y1941" s="508">
        <v>3.016</v>
      </c>
      <c r="Z1941" s="508">
        <v>2.9809999999999999</v>
      </c>
      <c r="AA1941" s="508">
        <v>0.73299999999999998</v>
      </c>
      <c r="AB1941" s="508">
        <v>0.72699999999999998</v>
      </c>
      <c r="AC1941" s="508">
        <v>0.7</v>
      </c>
      <c r="AD1941" s="508">
        <v>0.48399999999999999</v>
      </c>
      <c r="AE1941" s="508">
        <v>0.47599999999999998</v>
      </c>
      <c r="AF1941" s="508">
        <v>0.40699999999999997</v>
      </c>
      <c r="AG1941" s="508">
        <v>0.40300000000000002</v>
      </c>
      <c r="AH1941" s="508">
        <v>0.40100000000000002</v>
      </c>
      <c r="AI1941" s="492">
        <v>0.40100000000000002</v>
      </c>
      <c r="AJ1941" s="485"/>
    </row>
    <row r="1942" spans="2:36">
      <c r="B1942" s="136" t="s">
        <v>468</v>
      </c>
      <c r="C1942" s="132" t="s">
        <v>1363</v>
      </c>
      <c r="D1942" s="132" t="s">
        <v>282</v>
      </c>
      <c r="E1942" s="508">
        <v>7.9420000000000002</v>
      </c>
      <c r="F1942" s="508">
        <v>7.2590000000000003</v>
      </c>
      <c r="G1942" s="508">
        <v>6.78</v>
      </c>
      <c r="H1942" s="508">
        <v>6.6420000000000003</v>
      </c>
      <c r="I1942" s="508">
        <v>6.4509999999999996</v>
      </c>
      <c r="J1942" s="508">
        <v>6.2450000000000001</v>
      </c>
      <c r="K1942" s="508">
        <v>6.2430000000000003</v>
      </c>
      <c r="L1942" s="508">
        <v>6.0629999999999997</v>
      </c>
      <c r="M1942" s="508">
        <v>6.1180000000000003</v>
      </c>
      <c r="N1942" s="508">
        <v>5.9720000000000004</v>
      </c>
      <c r="O1942" s="508">
        <v>5.9649999999999999</v>
      </c>
      <c r="P1942" s="508">
        <v>5.9219999999999997</v>
      </c>
      <c r="Q1942" s="508">
        <v>5.9829999999999997</v>
      </c>
      <c r="R1942" s="508">
        <v>5.8970000000000002</v>
      </c>
      <c r="S1942" s="508">
        <v>5.851</v>
      </c>
      <c r="T1942" s="508">
        <v>5.7220000000000004</v>
      </c>
      <c r="U1942" s="508">
        <v>5.6950000000000003</v>
      </c>
      <c r="V1942" s="508">
        <v>5.3940000000000001</v>
      </c>
      <c r="W1942" s="508">
        <v>2.8029999999999999</v>
      </c>
      <c r="X1942" s="508">
        <v>2.8260000000000001</v>
      </c>
      <c r="Y1942" s="508">
        <v>2.7839999999999998</v>
      </c>
      <c r="Z1942" s="508">
        <v>2.7549999999999999</v>
      </c>
      <c r="AA1942" s="508">
        <v>0.65800000000000003</v>
      </c>
      <c r="AB1942" s="508">
        <v>0.65500000000000003</v>
      </c>
      <c r="AC1942" s="508">
        <v>0.63100000000000001</v>
      </c>
      <c r="AD1942" s="508">
        <v>0.43099999999999999</v>
      </c>
      <c r="AE1942" s="508">
        <v>0.42499999999999999</v>
      </c>
      <c r="AF1942" s="508">
        <v>0.36199999999999999</v>
      </c>
      <c r="AG1942" s="508">
        <v>0.35799999999999998</v>
      </c>
      <c r="AH1942" s="508">
        <v>0.35599999999999998</v>
      </c>
      <c r="AI1942" s="492">
        <v>0.35599999999999998</v>
      </c>
      <c r="AJ1942" s="485"/>
    </row>
    <row r="1943" spans="2:36">
      <c r="B1943" s="136" t="s">
        <v>469</v>
      </c>
      <c r="C1943" s="132" t="s">
        <v>1363</v>
      </c>
      <c r="D1943" s="132" t="s">
        <v>282</v>
      </c>
      <c r="E1943" s="508">
        <v>8.52</v>
      </c>
      <c r="F1943" s="508">
        <v>7.7270000000000003</v>
      </c>
      <c r="G1943" s="508">
        <v>7.1870000000000003</v>
      </c>
      <c r="H1943" s="508">
        <v>7.0030000000000001</v>
      </c>
      <c r="I1943" s="508">
        <v>6.7830000000000004</v>
      </c>
      <c r="J1943" s="508">
        <v>6.5570000000000004</v>
      </c>
      <c r="K1943" s="508">
        <v>6.5339999999999998</v>
      </c>
      <c r="L1943" s="508">
        <v>6.3440000000000003</v>
      </c>
      <c r="M1943" s="508">
        <v>6.3840000000000003</v>
      </c>
      <c r="N1943" s="508">
        <v>6.2320000000000002</v>
      </c>
      <c r="O1943" s="508">
        <v>6.2160000000000002</v>
      </c>
      <c r="P1943" s="508">
        <v>6.1660000000000004</v>
      </c>
      <c r="Q1943" s="508">
        <v>6.218</v>
      </c>
      <c r="R1943" s="508">
        <v>6.13</v>
      </c>
      <c r="S1943" s="508">
        <v>6.0789999999999997</v>
      </c>
      <c r="T1943" s="508">
        <v>5.9340000000000002</v>
      </c>
      <c r="U1943" s="508">
        <v>5.8959999999999999</v>
      </c>
      <c r="V1943" s="508">
        <v>5.5960000000000001</v>
      </c>
      <c r="W1943" s="508">
        <v>2.94</v>
      </c>
      <c r="X1943" s="508">
        <v>2.96</v>
      </c>
      <c r="Y1943" s="508">
        <v>2.915</v>
      </c>
      <c r="Z1943" s="508">
        <v>2.883</v>
      </c>
      <c r="AA1943" s="508">
        <v>0.69899999999999995</v>
      </c>
      <c r="AB1943" s="508">
        <v>0.69499999999999995</v>
      </c>
      <c r="AC1943" s="508">
        <v>0.66900000000000004</v>
      </c>
      <c r="AD1943" s="508">
        <v>0.46</v>
      </c>
      <c r="AE1943" s="508">
        <v>0.45300000000000001</v>
      </c>
      <c r="AF1943" s="508">
        <v>0.38700000000000001</v>
      </c>
      <c r="AG1943" s="508">
        <v>0.38200000000000001</v>
      </c>
      <c r="AH1943" s="508">
        <v>0.38100000000000001</v>
      </c>
      <c r="AI1943" s="492">
        <v>0.38100000000000001</v>
      </c>
      <c r="AJ1943" s="485"/>
    </row>
    <row r="1944" spans="2:36">
      <c r="B1944" s="136" t="s">
        <v>470</v>
      </c>
      <c r="C1944" s="132" t="s">
        <v>1363</v>
      </c>
      <c r="D1944" s="132" t="s">
        <v>282</v>
      </c>
      <c r="E1944" s="508">
        <v>9.5850000000000009</v>
      </c>
      <c r="F1944" s="508">
        <v>8.5909999999999993</v>
      </c>
      <c r="G1944" s="508">
        <v>7.9370000000000003</v>
      </c>
      <c r="H1944" s="508">
        <v>7.6710000000000003</v>
      </c>
      <c r="I1944" s="508">
        <v>7.3970000000000002</v>
      </c>
      <c r="J1944" s="508">
        <v>7.1340000000000003</v>
      </c>
      <c r="K1944" s="508">
        <v>7.0759999999999996</v>
      </c>
      <c r="L1944" s="508">
        <v>6.8650000000000002</v>
      </c>
      <c r="M1944" s="508">
        <v>6.8789999999999996</v>
      </c>
      <c r="N1944" s="508">
        <v>6.7140000000000004</v>
      </c>
      <c r="O1944" s="508">
        <v>6.6820000000000004</v>
      </c>
      <c r="P1944" s="508">
        <v>6.62</v>
      </c>
      <c r="Q1944" s="508">
        <v>6.657</v>
      </c>
      <c r="R1944" s="508">
        <v>6.5620000000000003</v>
      </c>
      <c r="S1944" s="508">
        <v>6.5049999999999999</v>
      </c>
      <c r="T1944" s="508">
        <v>6.3289999999999997</v>
      </c>
      <c r="U1944" s="508">
        <v>6.27</v>
      </c>
      <c r="V1944" s="508">
        <v>5.97</v>
      </c>
      <c r="W1944" s="508">
        <v>3.1760000000000002</v>
      </c>
      <c r="X1944" s="508">
        <v>3.1930000000000001</v>
      </c>
      <c r="Y1944" s="508">
        <v>3.14</v>
      </c>
      <c r="Z1944" s="508">
        <v>3.1030000000000002</v>
      </c>
      <c r="AA1944" s="508">
        <v>0.77300000000000002</v>
      </c>
      <c r="AB1944" s="508">
        <v>0.76600000000000001</v>
      </c>
      <c r="AC1944" s="508">
        <v>0.73699999999999999</v>
      </c>
      <c r="AD1944" s="508">
        <v>0.51200000000000001</v>
      </c>
      <c r="AE1944" s="508">
        <v>0.503</v>
      </c>
      <c r="AF1944" s="508">
        <v>0.43099999999999999</v>
      </c>
      <c r="AG1944" s="508">
        <v>0.42599999999999999</v>
      </c>
      <c r="AH1944" s="508">
        <v>0.42499999999999999</v>
      </c>
      <c r="AI1944" s="492">
        <v>0.42499999999999999</v>
      </c>
      <c r="AJ1944" s="485"/>
    </row>
    <row r="1945" spans="2:36">
      <c r="B1945" s="136" t="s">
        <v>471</v>
      </c>
      <c r="C1945" s="132" t="s">
        <v>1363</v>
      </c>
      <c r="D1945" s="132" t="s">
        <v>282</v>
      </c>
      <c r="E1945" s="508">
        <v>9.3350000000000009</v>
      </c>
      <c r="F1945" s="508">
        <v>8.3859999999999992</v>
      </c>
      <c r="G1945" s="508">
        <v>7.758</v>
      </c>
      <c r="H1945" s="508">
        <v>7.5090000000000003</v>
      </c>
      <c r="I1945" s="508">
        <v>7.2469999999999999</v>
      </c>
      <c r="J1945" s="508">
        <v>6.9939999999999998</v>
      </c>
      <c r="K1945" s="508">
        <v>6.9420000000000002</v>
      </c>
      <c r="L1945" s="508">
        <v>6.7370000000000001</v>
      </c>
      <c r="M1945" s="508">
        <v>6.7560000000000002</v>
      </c>
      <c r="N1945" s="508">
        <v>6.5949999999999998</v>
      </c>
      <c r="O1945" s="508">
        <v>6.5659999999999998</v>
      </c>
      <c r="P1945" s="508">
        <v>6.5069999999999997</v>
      </c>
      <c r="Q1945" s="508">
        <v>6.5460000000000003</v>
      </c>
      <c r="R1945" s="508">
        <v>6.4530000000000003</v>
      </c>
      <c r="S1945" s="508">
        <v>6.3970000000000002</v>
      </c>
      <c r="T1945" s="508">
        <v>6.2290000000000001</v>
      </c>
      <c r="U1945" s="508">
        <v>6.1740000000000004</v>
      </c>
      <c r="V1945" s="508">
        <v>5.8760000000000003</v>
      </c>
      <c r="W1945" s="508">
        <v>3.1259999999999999</v>
      </c>
      <c r="X1945" s="508">
        <v>3.1429999999999998</v>
      </c>
      <c r="Y1945" s="508">
        <v>3.0920000000000001</v>
      </c>
      <c r="Z1945" s="508">
        <v>3.056</v>
      </c>
      <c r="AA1945" s="508">
        <v>0.75700000000000001</v>
      </c>
      <c r="AB1945" s="508">
        <v>0.75</v>
      </c>
      <c r="AC1945" s="508">
        <v>0.72199999999999998</v>
      </c>
      <c r="AD1945" s="508">
        <v>0.501</v>
      </c>
      <c r="AE1945" s="508">
        <v>0.49199999999999999</v>
      </c>
      <c r="AF1945" s="508">
        <v>0.42099999999999999</v>
      </c>
      <c r="AG1945" s="508">
        <v>0.41699999999999998</v>
      </c>
      <c r="AH1945" s="508">
        <v>0.41499999999999998</v>
      </c>
      <c r="AI1945" s="492">
        <v>0.41499999999999998</v>
      </c>
      <c r="AJ1945" s="485"/>
    </row>
    <row r="1946" spans="2:36">
      <c r="B1946" s="136" t="s">
        <v>472</v>
      </c>
      <c r="C1946" s="132" t="s">
        <v>1363</v>
      </c>
      <c r="D1946" s="132" t="s">
        <v>282</v>
      </c>
      <c r="E1946" s="508">
        <v>8.2629999999999999</v>
      </c>
      <c r="F1946" s="508">
        <v>7.5119999999999996</v>
      </c>
      <c r="G1946" s="508">
        <v>6.9960000000000004</v>
      </c>
      <c r="H1946" s="508">
        <v>6.8280000000000003</v>
      </c>
      <c r="I1946" s="508">
        <v>6.6189999999999998</v>
      </c>
      <c r="J1946" s="508">
        <v>6.4020000000000001</v>
      </c>
      <c r="K1946" s="508">
        <v>6.3860000000000001</v>
      </c>
      <c r="L1946" s="508">
        <v>6.2009999999999996</v>
      </c>
      <c r="M1946" s="508">
        <v>6.2450000000000001</v>
      </c>
      <c r="N1946" s="508">
        <v>6.0960000000000001</v>
      </c>
      <c r="O1946" s="508">
        <v>6.0830000000000002</v>
      </c>
      <c r="P1946" s="508">
        <v>6.0359999999999996</v>
      </c>
      <c r="Q1946" s="508">
        <v>6.09</v>
      </c>
      <c r="R1946" s="508">
        <v>6.0030000000000001</v>
      </c>
      <c r="S1946" s="508">
        <v>5.9550000000000001</v>
      </c>
      <c r="T1946" s="508">
        <v>5.8159999999999998</v>
      </c>
      <c r="U1946" s="508">
        <v>5.782</v>
      </c>
      <c r="V1946" s="508">
        <v>5.484</v>
      </c>
      <c r="W1946" s="508">
        <v>2.8809999999999998</v>
      </c>
      <c r="X1946" s="508">
        <v>2.9020000000000001</v>
      </c>
      <c r="Y1946" s="508">
        <v>2.8580000000000001</v>
      </c>
      <c r="Z1946" s="508">
        <v>2.827</v>
      </c>
      <c r="AA1946" s="508">
        <v>0.68200000000000005</v>
      </c>
      <c r="AB1946" s="508">
        <v>0.67800000000000005</v>
      </c>
      <c r="AC1946" s="508">
        <v>0.65300000000000002</v>
      </c>
      <c r="AD1946" s="508">
        <v>0.44800000000000001</v>
      </c>
      <c r="AE1946" s="508">
        <v>0.442</v>
      </c>
      <c r="AF1946" s="508">
        <v>0.376</v>
      </c>
      <c r="AG1946" s="508">
        <v>0.372</v>
      </c>
      <c r="AH1946" s="508">
        <v>0.371</v>
      </c>
      <c r="AI1946" s="492">
        <v>0.371</v>
      </c>
      <c r="AJ1946" s="485"/>
    </row>
    <row r="1947" spans="2:36">
      <c r="B1947" s="136" t="s">
        <v>473</v>
      </c>
      <c r="C1947" s="132" t="s">
        <v>1363</v>
      </c>
      <c r="D1947" s="132" t="s">
        <v>282</v>
      </c>
      <c r="E1947" s="508">
        <v>9.5589999999999993</v>
      </c>
      <c r="F1947" s="508">
        <v>8.5760000000000005</v>
      </c>
      <c r="G1947" s="508">
        <v>7.9290000000000003</v>
      </c>
      <c r="H1947" s="508">
        <v>7.6660000000000004</v>
      </c>
      <c r="I1947" s="508">
        <v>7.3959999999999999</v>
      </c>
      <c r="J1947" s="508">
        <v>7.1349999999999998</v>
      </c>
      <c r="K1947" s="508">
        <v>7.0780000000000003</v>
      </c>
      <c r="L1947" s="508">
        <v>6.8689999999999998</v>
      </c>
      <c r="M1947" s="508">
        <v>6.8840000000000003</v>
      </c>
      <c r="N1947" s="508">
        <v>6.72</v>
      </c>
      <c r="O1947" s="508">
        <v>6.6890000000000001</v>
      </c>
      <c r="P1947" s="508">
        <v>6.6280000000000001</v>
      </c>
      <c r="Q1947" s="508">
        <v>6.665</v>
      </c>
      <c r="R1947" s="508">
        <v>6.57</v>
      </c>
      <c r="S1947" s="508">
        <v>6.5129999999999999</v>
      </c>
      <c r="T1947" s="508">
        <v>6.34</v>
      </c>
      <c r="U1947" s="508">
        <v>6.282</v>
      </c>
      <c r="V1947" s="508">
        <v>5.9829999999999997</v>
      </c>
      <c r="W1947" s="508">
        <v>3.1819999999999999</v>
      </c>
      <c r="X1947" s="508">
        <v>3.1989999999999998</v>
      </c>
      <c r="Y1947" s="508">
        <v>3.1469999999999998</v>
      </c>
      <c r="Z1947" s="508">
        <v>3.11</v>
      </c>
      <c r="AA1947" s="508">
        <v>0.77300000000000002</v>
      </c>
      <c r="AB1947" s="508">
        <v>0.76600000000000001</v>
      </c>
      <c r="AC1947" s="508">
        <v>0.73699999999999999</v>
      </c>
      <c r="AD1947" s="508">
        <v>0.51200000000000001</v>
      </c>
      <c r="AE1947" s="508">
        <v>0.503</v>
      </c>
      <c r="AF1947" s="508">
        <v>0.43</v>
      </c>
      <c r="AG1947" s="508">
        <v>0.42599999999999999</v>
      </c>
      <c r="AH1947" s="508">
        <v>0.42399999999999999</v>
      </c>
      <c r="AI1947" s="492">
        <v>0.42399999999999999</v>
      </c>
      <c r="AJ1947" s="485"/>
    </row>
    <row r="1948" spans="2:36">
      <c r="B1948" s="136" t="s">
        <v>474</v>
      </c>
      <c r="C1948" s="132" t="s">
        <v>1363</v>
      </c>
      <c r="D1948" s="132" t="s">
        <v>282</v>
      </c>
      <c r="E1948" s="508">
        <v>9.0020000000000007</v>
      </c>
      <c r="F1948" s="508">
        <v>8.1180000000000003</v>
      </c>
      <c r="G1948" s="508">
        <v>7.5270000000000001</v>
      </c>
      <c r="H1948" s="508">
        <v>7.3049999999999997</v>
      </c>
      <c r="I1948" s="508">
        <v>7.0609999999999999</v>
      </c>
      <c r="J1948" s="508">
        <v>6.819</v>
      </c>
      <c r="K1948" s="508">
        <v>6.78</v>
      </c>
      <c r="L1948" s="508">
        <v>6.5810000000000004</v>
      </c>
      <c r="M1948" s="508">
        <v>6.6079999999999997</v>
      </c>
      <c r="N1948" s="508">
        <v>6.4509999999999996</v>
      </c>
      <c r="O1948" s="508">
        <v>6.4269999999999996</v>
      </c>
      <c r="P1948" s="508">
        <v>6.3719999999999999</v>
      </c>
      <c r="Q1948" s="508">
        <v>6.4169999999999998</v>
      </c>
      <c r="R1948" s="508">
        <v>6.3259999999999996</v>
      </c>
      <c r="S1948" s="508">
        <v>6.2720000000000002</v>
      </c>
      <c r="T1948" s="508">
        <v>6.1139999999999999</v>
      </c>
      <c r="U1948" s="508">
        <v>6.0659999999999998</v>
      </c>
      <c r="V1948" s="508">
        <v>5.7670000000000003</v>
      </c>
      <c r="W1948" s="508">
        <v>3.0510000000000002</v>
      </c>
      <c r="X1948" s="508">
        <v>3.07</v>
      </c>
      <c r="Y1948" s="508">
        <v>3.0209999999999999</v>
      </c>
      <c r="Z1948" s="508">
        <v>2.9870000000000001</v>
      </c>
      <c r="AA1948" s="508">
        <v>0.73399999999999999</v>
      </c>
      <c r="AB1948" s="508">
        <v>0.72799999999999998</v>
      </c>
      <c r="AC1948" s="508">
        <v>0.70099999999999996</v>
      </c>
      <c r="AD1948" s="508">
        <v>0.48399999999999999</v>
      </c>
      <c r="AE1948" s="508">
        <v>0.47599999999999998</v>
      </c>
      <c r="AF1948" s="508">
        <v>0.40699999999999997</v>
      </c>
      <c r="AG1948" s="508">
        <v>0.40300000000000002</v>
      </c>
      <c r="AH1948" s="508">
        <v>0.40100000000000002</v>
      </c>
      <c r="AI1948" s="492">
        <v>0.40100000000000002</v>
      </c>
      <c r="AJ1948" s="485"/>
    </row>
    <row r="1949" spans="2:36">
      <c r="B1949" s="136" t="s">
        <v>475</v>
      </c>
      <c r="C1949" s="132" t="s">
        <v>1363</v>
      </c>
      <c r="D1949" s="132" t="s">
        <v>282</v>
      </c>
      <c r="E1949" s="508">
        <v>8.8379999999999992</v>
      </c>
      <c r="F1949" s="508">
        <v>7.9820000000000002</v>
      </c>
      <c r="G1949" s="508">
        <v>7.4059999999999997</v>
      </c>
      <c r="H1949" s="508">
        <v>7.1950000000000003</v>
      </c>
      <c r="I1949" s="508">
        <v>6.9580000000000002</v>
      </c>
      <c r="J1949" s="508">
        <v>6.7210000000000001</v>
      </c>
      <c r="K1949" s="508">
        <v>6.6859999999999999</v>
      </c>
      <c r="L1949" s="508">
        <v>6.49</v>
      </c>
      <c r="M1949" s="508">
        <v>6.5209999999999999</v>
      </c>
      <c r="N1949" s="508">
        <v>6.3659999999999997</v>
      </c>
      <c r="O1949" s="508">
        <v>6.3440000000000003</v>
      </c>
      <c r="P1949" s="508">
        <v>6.2910000000000004</v>
      </c>
      <c r="Q1949" s="508">
        <v>6.3369999999999997</v>
      </c>
      <c r="R1949" s="508">
        <v>6.2469999999999999</v>
      </c>
      <c r="S1949" s="508">
        <v>6.194</v>
      </c>
      <c r="T1949" s="508">
        <v>6.04</v>
      </c>
      <c r="U1949" s="508">
        <v>5.9950000000000001</v>
      </c>
      <c r="V1949" s="508">
        <v>5.6959999999999997</v>
      </c>
      <c r="W1949" s="508">
        <v>3.0110000000000001</v>
      </c>
      <c r="X1949" s="508">
        <v>3.03</v>
      </c>
      <c r="Y1949" s="508">
        <v>2.9820000000000002</v>
      </c>
      <c r="Z1949" s="508">
        <v>2.948</v>
      </c>
      <c r="AA1949" s="508">
        <v>0.72199999999999998</v>
      </c>
      <c r="AB1949" s="508">
        <v>0.71599999999999997</v>
      </c>
      <c r="AC1949" s="508">
        <v>0.69</v>
      </c>
      <c r="AD1949" s="508">
        <v>0.47599999999999998</v>
      </c>
      <c r="AE1949" s="508">
        <v>0.46899999999999997</v>
      </c>
      <c r="AF1949" s="508">
        <v>0.4</v>
      </c>
      <c r="AG1949" s="508">
        <v>0.39600000000000002</v>
      </c>
      <c r="AH1949" s="508">
        <v>0.39400000000000002</v>
      </c>
      <c r="AI1949" s="492">
        <v>0.39400000000000002</v>
      </c>
      <c r="AJ1949" s="485"/>
    </row>
    <row r="1950" spans="2:36">
      <c r="B1950" s="136" t="s">
        <v>476</v>
      </c>
      <c r="C1950" s="132" t="s">
        <v>1363</v>
      </c>
      <c r="D1950" s="132" t="s">
        <v>282</v>
      </c>
      <c r="E1950" s="508">
        <v>9.1519999999999992</v>
      </c>
      <c r="F1950" s="508">
        <v>8.2449999999999992</v>
      </c>
      <c r="G1950" s="508">
        <v>7.6390000000000002</v>
      </c>
      <c r="H1950" s="508">
        <v>7.4080000000000004</v>
      </c>
      <c r="I1950" s="508">
        <v>7.157</v>
      </c>
      <c r="J1950" s="508">
        <v>6.91</v>
      </c>
      <c r="K1950" s="508">
        <v>6.867</v>
      </c>
      <c r="L1950" s="508">
        <v>6.665</v>
      </c>
      <c r="M1950" s="508">
        <v>6.69</v>
      </c>
      <c r="N1950" s="508">
        <v>6.5309999999999997</v>
      </c>
      <c r="O1950" s="508">
        <v>6.5060000000000002</v>
      </c>
      <c r="P1950" s="508">
        <v>6.4489999999999998</v>
      </c>
      <c r="Q1950" s="508">
        <v>6.4930000000000003</v>
      </c>
      <c r="R1950" s="508">
        <v>6.4</v>
      </c>
      <c r="S1950" s="508">
        <v>6.3460000000000001</v>
      </c>
      <c r="T1950" s="508">
        <v>6.1829999999999998</v>
      </c>
      <c r="U1950" s="508">
        <v>6.133</v>
      </c>
      <c r="V1950" s="508">
        <v>5.8330000000000002</v>
      </c>
      <c r="W1950" s="508">
        <v>3.0830000000000002</v>
      </c>
      <c r="X1950" s="508">
        <v>3.1019999999999999</v>
      </c>
      <c r="Y1950" s="508">
        <v>3.052</v>
      </c>
      <c r="Z1950" s="508">
        <v>3.0169999999999999</v>
      </c>
      <c r="AA1950" s="508">
        <v>0.74299999999999999</v>
      </c>
      <c r="AB1950" s="508">
        <v>0.73699999999999999</v>
      </c>
      <c r="AC1950" s="508">
        <v>0.71</v>
      </c>
      <c r="AD1950" s="508">
        <v>0.49099999999999999</v>
      </c>
      <c r="AE1950" s="508">
        <v>0.48299999999999998</v>
      </c>
      <c r="AF1950" s="508">
        <v>0.41299999999999998</v>
      </c>
      <c r="AG1950" s="508">
        <v>0.40799999999999997</v>
      </c>
      <c r="AH1950" s="508">
        <v>0.40699999999999997</v>
      </c>
      <c r="AI1950" s="492">
        <v>0.40699999999999997</v>
      </c>
      <c r="AJ1950" s="485"/>
    </row>
    <row r="1951" spans="2:36">
      <c r="B1951" s="136" t="s">
        <v>478</v>
      </c>
      <c r="C1951" s="132" t="s">
        <v>1363</v>
      </c>
      <c r="D1951" s="132" t="s">
        <v>282</v>
      </c>
      <c r="E1951" s="508">
        <v>9.673</v>
      </c>
      <c r="F1951" s="508">
        <v>8.6660000000000004</v>
      </c>
      <c r="G1951" s="508">
        <v>8.0039999999999996</v>
      </c>
      <c r="H1951" s="508">
        <v>7.7320000000000002</v>
      </c>
      <c r="I1951" s="508">
        <v>7.4550000000000001</v>
      </c>
      <c r="J1951" s="508">
        <v>7.1890000000000001</v>
      </c>
      <c r="K1951" s="508">
        <v>7.1289999999999996</v>
      </c>
      <c r="L1951" s="508">
        <v>6.9160000000000004</v>
      </c>
      <c r="M1951" s="508">
        <v>6.9290000000000003</v>
      </c>
      <c r="N1951" s="508">
        <v>6.7629999999999999</v>
      </c>
      <c r="O1951" s="508">
        <v>6.73</v>
      </c>
      <c r="P1951" s="508">
        <v>6.6669999999999998</v>
      </c>
      <c r="Q1951" s="508">
        <v>6.7039999999999997</v>
      </c>
      <c r="R1951" s="508">
        <v>6.6079999999999997</v>
      </c>
      <c r="S1951" s="508">
        <v>6.55</v>
      </c>
      <c r="T1951" s="508">
        <v>6.3719999999999999</v>
      </c>
      <c r="U1951" s="508">
        <v>6.3120000000000003</v>
      </c>
      <c r="V1951" s="508">
        <v>6.01</v>
      </c>
      <c r="W1951" s="508">
        <v>3.19</v>
      </c>
      <c r="X1951" s="508">
        <v>3.206</v>
      </c>
      <c r="Y1951" s="508">
        <v>3.153</v>
      </c>
      <c r="Z1951" s="508">
        <v>3.1160000000000001</v>
      </c>
      <c r="AA1951" s="508">
        <v>0.77700000000000002</v>
      </c>
      <c r="AB1951" s="508">
        <v>0.77</v>
      </c>
      <c r="AC1951" s="508">
        <v>0.74099999999999999</v>
      </c>
      <c r="AD1951" s="508">
        <v>0.51500000000000001</v>
      </c>
      <c r="AE1951" s="508">
        <v>0.50600000000000001</v>
      </c>
      <c r="AF1951" s="508">
        <v>0.434</v>
      </c>
      <c r="AG1951" s="508">
        <v>0.42899999999999999</v>
      </c>
      <c r="AH1951" s="508">
        <v>0.42799999999999999</v>
      </c>
      <c r="AI1951" s="492">
        <v>0.42799999999999999</v>
      </c>
      <c r="AJ1951" s="485"/>
    </row>
    <row r="1952" spans="2:36">
      <c r="B1952" s="136" t="s">
        <v>479</v>
      </c>
      <c r="C1952" s="132" t="s">
        <v>1363</v>
      </c>
      <c r="D1952" s="132" t="s">
        <v>282</v>
      </c>
      <c r="E1952" s="508">
        <v>8.75</v>
      </c>
      <c r="F1952" s="508">
        <v>7.9160000000000004</v>
      </c>
      <c r="G1952" s="508">
        <v>7.3529999999999998</v>
      </c>
      <c r="H1952" s="508">
        <v>7.1520000000000001</v>
      </c>
      <c r="I1952" s="508">
        <v>6.9210000000000003</v>
      </c>
      <c r="J1952" s="508">
        <v>6.6879999999999997</v>
      </c>
      <c r="K1952" s="508">
        <v>6.6580000000000004</v>
      </c>
      <c r="L1952" s="508">
        <v>6.4640000000000004</v>
      </c>
      <c r="M1952" s="508">
        <v>6.4980000000000002</v>
      </c>
      <c r="N1952" s="508">
        <v>6.3440000000000003</v>
      </c>
      <c r="O1952" s="508">
        <v>6.3239999999999998</v>
      </c>
      <c r="P1952" s="508">
        <v>6.2720000000000002</v>
      </c>
      <c r="Q1952" s="508">
        <v>6.3209999999999997</v>
      </c>
      <c r="R1952" s="508">
        <v>6.2309999999999999</v>
      </c>
      <c r="S1952" s="508">
        <v>6.1790000000000003</v>
      </c>
      <c r="T1952" s="508">
        <v>6.0279999999999996</v>
      </c>
      <c r="U1952" s="508">
        <v>5.9859999999999998</v>
      </c>
      <c r="V1952" s="508">
        <v>5.6859999999999999</v>
      </c>
      <c r="W1952" s="508">
        <v>2.9929999999999999</v>
      </c>
      <c r="X1952" s="508">
        <v>3.012</v>
      </c>
      <c r="Y1952" s="508">
        <v>2.9649999999999999</v>
      </c>
      <c r="Z1952" s="508">
        <v>2.9319999999999999</v>
      </c>
      <c r="AA1952" s="508">
        <v>0.71499999999999997</v>
      </c>
      <c r="AB1952" s="508">
        <v>0.71</v>
      </c>
      <c r="AC1952" s="508">
        <v>0.68400000000000005</v>
      </c>
      <c r="AD1952" s="508">
        <v>0.47099999999999997</v>
      </c>
      <c r="AE1952" s="508">
        <v>0.46400000000000002</v>
      </c>
      <c r="AF1952" s="508">
        <v>0.39600000000000002</v>
      </c>
      <c r="AG1952" s="508">
        <v>0.39200000000000002</v>
      </c>
      <c r="AH1952" s="508">
        <v>0.39</v>
      </c>
      <c r="AI1952" s="492">
        <v>0.39</v>
      </c>
      <c r="AJ1952" s="485"/>
    </row>
    <row r="1953" spans="2:36">
      <c r="B1953" s="136" t="s">
        <v>480</v>
      </c>
      <c r="C1953" s="132" t="s">
        <v>1363</v>
      </c>
      <c r="D1953" s="132" t="s">
        <v>282</v>
      </c>
      <c r="E1953" s="508">
        <v>8.048</v>
      </c>
      <c r="F1953" s="508">
        <v>7.3390000000000004</v>
      </c>
      <c r="G1953" s="508">
        <v>6.8449999999999998</v>
      </c>
      <c r="H1953" s="508">
        <v>6.6950000000000003</v>
      </c>
      <c r="I1953" s="508">
        <v>6.4980000000000002</v>
      </c>
      <c r="J1953" s="508">
        <v>6.2869999999999999</v>
      </c>
      <c r="K1953" s="508">
        <v>6.28</v>
      </c>
      <c r="L1953" s="508">
        <v>6.0979999999999999</v>
      </c>
      <c r="M1953" s="508">
        <v>6.149</v>
      </c>
      <c r="N1953" s="508">
        <v>6.0019999999999998</v>
      </c>
      <c r="O1953" s="508">
        <v>5.9930000000000003</v>
      </c>
      <c r="P1953" s="508">
        <v>5.9480000000000004</v>
      </c>
      <c r="Q1953" s="508">
        <v>6.0060000000000002</v>
      </c>
      <c r="R1953" s="508">
        <v>5.92</v>
      </c>
      <c r="S1953" s="508">
        <v>5.8730000000000002</v>
      </c>
      <c r="T1953" s="508">
        <v>5.74</v>
      </c>
      <c r="U1953" s="508">
        <v>5.7110000000000003</v>
      </c>
      <c r="V1953" s="508">
        <v>5.4109999999999996</v>
      </c>
      <c r="W1953" s="508">
        <v>2.8250000000000002</v>
      </c>
      <c r="X1953" s="508">
        <v>2.847</v>
      </c>
      <c r="Y1953" s="508">
        <v>2.8039999999999998</v>
      </c>
      <c r="Z1953" s="508">
        <v>2.7749999999999999</v>
      </c>
      <c r="AA1953" s="508">
        <v>0.66600000000000004</v>
      </c>
      <c r="AB1953" s="508">
        <v>0.66200000000000003</v>
      </c>
      <c r="AC1953" s="508">
        <v>0.63800000000000001</v>
      </c>
      <c r="AD1953" s="508">
        <v>0.437</v>
      </c>
      <c r="AE1953" s="508">
        <v>0.43</v>
      </c>
      <c r="AF1953" s="508">
        <v>0.36599999999999999</v>
      </c>
      <c r="AG1953" s="508">
        <v>0.36199999999999999</v>
      </c>
      <c r="AH1953" s="508">
        <v>0.36099999999999999</v>
      </c>
      <c r="AI1953" s="492">
        <v>0.36099999999999999</v>
      </c>
      <c r="AJ1953" s="485"/>
    </row>
    <row r="1954" spans="2:36">
      <c r="B1954" s="136" t="s">
        <v>481</v>
      </c>
      <c r="C1954" s="132" t="s">
        <v>1363</v>
      </c>
      <c r="D1954" s="132" t="s">
        <v>282</v>
      </c>
      <c r="E1954" s="508">
        <v>8.968</v>
      </c>
      <c r="F1954" s="508">
        <v>8.0920000000000005</v>
      </c>
      <c r="G1954" s="508">
        <v>7.5049999999999999</v>
      </c>
      <c r="H1954" s="508">
        <v>7.2869999999999999</v>
      </c>
      <c r="I1954" s="508">
        <v>7.0449999999999999</v>
      </c>
      <c r="J1954" s="508">
        <v>6.8040000000000003</v>
      </c>
      <c r="K1954" s="508">
        <v>6.7670000000000003</v>
      </c>
      <c r="L1954" s="508">
        <v>6.5679999999999996</v>
      </c>
      <c r="M1954" s="508">
        <v>6.5970000000000004</v>
      </c>
      <c r="N1954" s="508">
        <v>6.44</v>
      </c>
      <c r="O1954" s="508">
        <v>6.4169999999999998</v>
      </c>
      <c r="P1954" s="508">
        <v>6.3630000000000004</v>
      </c>
      <c r="Q1954" s="508">
        <v>6.4089999999999998</v>
      </c>
      <c r="R1954" s="508">
        <v>6.3170000000000002</v>
      </c>
      <c r="S1954" s="508">
        <v>6.2640000000000002</v>
      </c>
      <c r="T1954" s="508">
        <v>6.1059999999999999</v>
      </c>
      <c r="U1954" s="508">
        <v>6.06</v>
      </c>
      <c r="V1954" s="508">
        <v>5.7590000000000003</v>
      </c>
      <c r="W1954" s="508">
        <v>3.0390000000000001</v>
      </c>
      <c r="X1954" s="508">
        <v>3.0579999999999998</v>
      </c>
      <c r="Y1954" s="508">
        <v>3.0089999999999999</v>
      </c>
      <c r="Z1954" s="508">
        <v>2.9750000000000001</v>
      </c>
      <c r="AA1954" s="508">
        <v>0.73</v>
      </c>
      <c r="AB1954" s="508">
        <v>0.72399999999999998</v>
      </c>
      <c r="AC1954" s="508">
        <v>0.69799999999999995</v>
      </c>
      <c r="AD1954" s="508">
        <v>0.48199999999999998</v>
      </c>
      <c r="AE1954" s="508">
        <v>0.47399999999999998</v>
      </c>
      <c r="AF1954" s="508">
        <v>0.40500000000000003</v>
      </c>
      <c r="AG1954" s="508">
        <v>0.40100000000000002</v>
      </c>
      <c r="AH1954" s="508">
        <v>0.39900000000000002</v>
      </c>
      <c r="AI1954" s="492">
        <v>0.39900000000000002</v>
      </c>
      <c r="AJ1954" s="485"/>
    </row>
    <row r="1955" spans="2:36">
      <c r="B1955" s="136" t="s">
        <v>482</v>
      </c>
      <c r="C1955" s="132" t="s">
        <v>1363</v>
      </c>
      <c r="D1955" s="132" t="s">
        <v>282</v>
      </c>
      <c r="E1955" s="508">
        <v>9.11</v>
      </c>
      <c r="F1955" s="508">
        <v>8.2010000000000005</v>
      </c>
      <c r="G1955" s="508">
        <v>7.5949999999999998</v>
      </c>
      <c r="H1955" s="508">
        <v>7.3630000000000004</v>
      </c>
      <c r="I1955" s="508">
        <v>7.1120000000000001</v>
      </c>
      <c r="J1955" s="508">
        <v>6.8650000000000002</v>
      </c>
      <c r="K1955" s="508">
        <v>6.8220000000000001</v>
      </c>
      <c r="L1955" s="508">
        <v>6.6189999999999998</v>
      </c>
      <c r="M1955" s="508">
        <v>6.6449999999999996</v>
      </c>
      <c r="N1955" s="508">
        <v>6.4850000000000003</v>
      </c>
      <c r="O1955" s="508">
        <v>6.46</v>
      </c>
      <c r="P1955" s="508">
        <v>6.4029999999999996</v>
      </c>
      <c r="Q1955" s="508">
        <v>6.4459999999999997</v>
      </c>
      <c r="R1955" s="508">
        <v>6.3540000000000001</v>
      </c>
      <c r="S1955" s="508">
        <v>6.2990000000000004</v>
      </c>
      <c r="T1955" s="508">
        <v>6.1369999999999996</v>
      </c>
      <c r="U1955" s="508">
        <v>6.0860000000000003</v>
      </c>
      <c r="V1955" s="508">
        <v>5.7859999999999996</v>
      </c>
      <c r="W1955" s="508">
        <v>3.0609999999999999</v>
      </c>
      <c r="X1955" s="508">
        <v>3.0790000000000002</v>
      </c>
      <c r="Y1955" s="508">
        <v>3.03</v>
      </c>
      <c r="Z1955" s="508">
        <v>2.9950000000000001</v>
      </c>
      <c r="AA1955" s="508">
        <v>0.73899999999999999</v>
      </c>
      <c r="AB1955" s="508">
        <v>0.73299999999999998</v>
      </c>
      <c r="AC1955" s="508">
        <v>0.70499999999999996</v>
      </c>
      <c r="AD1955" s="508">
        <v>0.48799999999999999</v>
      </c>
      <c r="AE1955" s="508">
        <v>0.48</v>
      </c>
      <c r="AF1955" s="508">
        <v>0.41099999999999998</v>
      </c>
      <c r="AG1955" s="508">
        <v>0.40600000000000003</v>
      </c>
      <c r="AH1955" s="508">
        <v>0.40500000000000003</v>
      </c>
      <c r="AI1955" s="492">
        <v>0.40500000000000003</v>
      </c>
      <c r="AJ1955" s="485"/>
    </row>
    <row r="1956" spans="2:36">
      <c r="B1956" s="136" t="s">
        <v>483</v>
      </c>
      <c r="C1956" s="132" t="s">
        <v>1363</v>
      </c>
      <c r="D1956" s="132" t="s">
        <v>282</v>
      </c>
      <c r="E1956" s="508">
        <v>9.5259999999999998</v>
      </c>
      <c r="F1956" s="508">
        <v>8.5489999999999995</v>
      </c>
      <c r="G1956" s="508">
        <v>7.9029999999999996</v>
      </c>
      <c r="H1956" s="508">
        <v>7.6440000000000001</v>
      </c>
      <c r="I1956" s="508">
        <v>7.375</v>
      </c>
      <c r="J1956" s="508">
        <v>7.1139999999999999</v>
      </c>
      <c r="K1956" s="508">
        <v>7.0590000000000002</v>
      </c>
      <c r="L1956" s="508">
        <v>6.85</v>
      </c>
      <c r="M1956" s="508">
        <v>6.867</v>
      </c>
      <c r="N1956" s="508">
        <v>6.702</v>
      </c>
      <c r="O1956" s="508">
        <v>6.6719999999999997</v>
      </c>
      <c r="P1956" s="508">
        <v>6.6109999999999998</v>
      </c>
      <c r="Q1956" s="508">
        <v>6.65</v>
      </c>
      <c r="R1956" s="508">
        <v>6.5549999999999997</v>
      </c>
      <c r="S1956" s="508">
        <v>6.4980000000000002</v>
      </c>
      <c r="T1956" s="508">
        <v>6.3250000000000002</v>
      </c>
      <c r="U1956" s="508">
        <v>6.2679999999999998</v>
      </c>
      <c r="V1956" s="508">
        <v>5.9660000000000002</v>
      </c>
      <c r="W1956" s="508">
        <v>3.1619999999999999</v>
      </c>
      <c r="X1956" s="508">
        <v>3.18</v>
      </c>
      <c r="Y1956" s="508">
        <v>3.1269999999999998</v>
      </c>
      <c r="Z1956" s="508">
        <v>3.0910000000000002</v>
      </c>
      <c r="AA1956" s="508">
        <v>0.76800000000000002</v>
      </c>
      <c r="AB1956" s="508">
        <v>0.76100000000000001</v>
      </c>
      <c r="AC1956" s="508">
        <v>0.73199999999999998</v>
      </c>
      <c r="AD1956" s="508">
        <v>0.50900000000000001</v>
      </c>
      <c r="AE1956" s="508">
        <v>0.5</v>
      </c>
      <c r="AF1956" s="508">
        <v>0.42799999999999999</v>
      </c>
      <c r="AG1956" s="508">
        <v>0.42299999999999999</v>
      </c>
      <c r="AH1956" s="508">
        <v>0.42199999999999999</v>
      </c>
      <c r="AI1956" s="492">
        <v>0.42199999999999999</v>
      </c>
      <c r="AJ1956" s="485"/>
    </row>
    <row r="1957" spans="2:36">
      <c r="B1957" s="136" t="s">
        <v>484</v>
      </c>
      <c r="C1957" s="132" t="s">
        <v>1363</v>
      </c>
      <c r="D1957" s="132" t="s">
        <v>282</v>
      </c>
      <c r="E1957" s="508">
        <v>8.2270000000000003</v>
      </c>
      <c r="F1957" s="508">
        <v>7.4820000000000002</v>
      </c>
      <c r="G1957" s="508">
        <v>6.9690000000000003</v>
      </c>
      <c r="H1957" s="508">
        <v>6.8040000000000003</v>
      </c>
      <c r="I1957" s="508">
        <v>6.5960000000000001</v>
      </c>
      <c r="J1957" s="508">
        <v>6.38</v>
      </c>
      <c r="K1957" s="508">
        <v>6.3650000000000002</v>
      </c>
      <c r="L1957" s="508">
        <v>6.181</v>
      </c>
      <c r="M1957" s="508">
        <v>6.226</v>
      </c>
      <c r="N1957" s="508">
        <v>6.077</v>
      </c>
      <c r="O1957" s="508">
        <v>6.0650000000000004</v>
      </c>
      <c r="P1957" s="508">
        <v>6.0179999999999998</v>
      </c>
      <c r="Q1957" s="508">
        <v>6.0730000000000004</v>
      </c>
      <c r="R1957" s="508">
        <v>5.9859999999999998</v>
      </c>
      <c r="S1957" s="508">
        <v>5.9379999999999997</v>
      </c>
      <c r="T1957" s="508">
        <v>5.8</v>
      </c>
      <c r="U1957" s="508">
        <v>5.7670000000000003</v>
      </c>
      <c r="V1957" s="508">
        <v>5.4690000000000003</v>
      </c>
      <c r="W1957" s="508">
        <v>2.87</v>
      </c>
      <c r="X1957" s="508">
        <v>2.891</v>
      </c>
      <c r="Y1957" s="508">
        <v>2.8479999999999999</v>
      </c>
      <c r="Z1957" s="508">
        <v>2.8170000000000002</v>
      </c>
      <c r="AA1957" s="508">
        <v>0.67900000000000005</v>
      </c>
      <c r="AB1957" s="508">
        <v>0.67500000000000004</v>
      </c>
      <c r="AC1957" s="508">
        <v>0.65100000000000002</v>
      </c>
      <c r="AD1957" s="508">
        <v>0.44600000000000001</v>
      </c>
      <c r="AE1957" s="508">
        <v>0.44</v>
      </c>
      <c r="AF1957" s="508">
        <v>0.375</v>
      </c>
      <c r="AG1957" s="508">
        <v>0.371</v>
      </c>
      <c r="AH1957" s="508">
        <v>0.36899999999999999</v>
      </c>
      <c r="AI1957" s="492">
        <v>0.36899999999999999</v>
      </c>
      <c r="AJ1957" s="485"/>
    </row>
    <row r="1958" spans="2:36">
      <c r="B1958" s="136" t="s">
        <v>486</v>
      </c>
      <c r="C1958" s="132" t="s">
        <v>1363</v>
      </c>
      <c r="D1958" s="132" t="s">
        <v>282</v>
      </c>
      <c r="E1958" s="508">
        <v>9.0399999999999991</v>
      </c>
      <c r="F1958" s="508">
        <v>8.1489999999999991</v>
      </c>
      <c r="G1958" s="508">
        <v>7.5529999999999999</v>
      </c>
      <c r="H1958" s="508">
        <v>7.3289999999999997</v>
      </c>
      <c r="I1958" s="508">
        <v>7.0830000000000002</v>
      </c>
      <c r="J1958" s="508">
        <v>6.8390000000000004</v>
      </c>
      <c r="K1958" s="508">
        <v>6.7990000000000004</v>
      </c>
      <c r="L1958" s="508">
        <v>6.5990000000000002</v>
      </c>
      <c r="M1958" s="508">
        <v>6.6269999999999998</v>
      </c>
      <c r="N1958" s="508">
        <v>6.468</v>
      </c>
      <c r="O1958" s="508">
        <v>6.444</v>
      </c>
      <c r="P1958" s="508">
        <v>6.3890000000000002</v>
      </c>
      <c r="Q1958" s="508">
        <v>6.4340000000000002</v>
      </c>
      <c r="R1958" s="508">
        <v>6.3419999999999996</v>
      </c>
      <c r="S1958" s="508">
        <v>6.2880000000000003</v>
      </c>
      <c r="T1958" s="508">
        <v>6.1280000000000001</v>
      </c>
      <c r="U1958" s="508">
        <v>6.08</v>
      </c>
      <c r="V1958" s="508">
        <v>5.7789999999999999</v>
      </c>
      <c r="W1958" s="508">
        <v>3.0510000000000002</v>
      </c>
      <c r="X1958" s="508">
        <v>3.07</v>
      </c>
      <c r="Y1958" s="508">
        <v>3.0209999999999999</v>
      </c>
      <c r="Z1958" s="508">
        <v>2.9860000000000002</v>
      </c>
      <c r="AA1958" s="508">
        <v>0.73399999999999999</v>
      </c>
      <c r="AB1958" s="508">
        <v>0.72899999999999998</v>
      </c>
      <c r="AC1958" s="508">
        <v>0.70199999999999996</v>
      </c>
      <c r="AD1958" s="508">
        <v>0.48499999999999999</v>
      </c>
      <c r="AE1958" s="508">
        <v>0.47699999999999998</v>
      </c>
      <c r="AF1958" s="508">
        <v>0.40799999999999997</v>
      </c>
      <c r="AG1958" s="508">
        <v>0.40300000000000002</v>
      </c>
      <c r="AH1958" s="508">
        <v>0.40200000000000002</v>
      </c>
      <c r="AI1958" s="492">
        <v>0.40200000000000002</v>
      </c>
      <c r="AJ1958" s="485"/>
    </row>
    <row r="1959" spans="2:36">
      <c r="B1959" s="136" t="s">
        <v>487</v>
      </c>
      <c r="C1959" s="132" t="s">
        <v>1363</v>
      </c>
      <c r="D1959" s="132" t="s">
        <v>282</v>
      </c>
      <c r="E1959" s="508">
        <v>9.0350000000000001</v>
      </c>
      <c r="F1959" s="508">
        <v>8.1440000000000001</v>
      </c>
      <c r="G1959" s="508">
        <v>7.5469999999999997</v>
      </c>
      <c r="H1959" s="508">
        <v>7.3239999999999998</v>
      </c>
      <c r="I1959" s="508">
        <v>7.077</v>
      </c>
      <c r="J1959" s="508">
        <v>6.8330000000000002</v>
      </c>
      <c r="K1959" s="508">
        <v>6.7930000000000001</v>
      </c>
      <c r="L1959" s="508">
        <v>6.5919999999999996</v>
      </c>
      <c r="M1959" s="508">
        <v>6.6210000000000004</v>
      </c>
      <c r="N1959" s="508">
        <v>6.4619999999999997</v>
      </c>
      <c r="O1959" s="508">
        <v>6.4379999999999997</v>
      </c>
      <c r="P1959" s="508">
        <v>6.3819999999999997</v>
      </c>
      <c r="Q1959" s="508">
        <v>6.4279999999999999</v>
      </c>
      <c r="R1959" s="508">
        <v>6.335</v>
      </c>
      <c r="S1959" s="508">
        <v>6.2809999999999997</v>
      </c>
      <c r="T1959" s="508">
        <v>6.1210000000000004</v>
      </c>
      <c r="U1959" s="508">
        <v>6.0730000000000004</v>
      </c>
      <c r="V1959" s="508">
        <v>5.7709999999999999</v>
      </c>
      <c r="W1959" s="508">
        <v>3.0430000000000001</v>
      </c>
      <c r="X1959" s="508">
        <v>3.0609999999999999</v>
      </c>
      <c r="Y1959" s="508">
        <v>3.0129999999999999</v>
      </c>
      <c r="Z1959" s="508">
        <v>2.9780000000000002</v>
      </c>
      <c r="AA1959" s="508">
        <v>0.73299999999999998</v>
      </c>
      <c r="AB1959" s="508">
        <v>0.72699999999999998</v>
      </c>
      <c r="AC1959" s="508">
        <v>0.7</v>
      </c>
      <c r="AD1959" s="508">
        <v>0.48399999999999999</v>
      </c>
      <c r="AE1959" s="508">
        <v>0.47599999999999998</v>
      </c>
      <c r="AF1959" s="508">
        <v>0.40699999999999997</v>
      </c>
      <c r="AG1959" s="508">
        <v>0.40300000000000002</v>
      </c>
      <c r="AH1959" s="508">
        <v>0.40100000000000002</v>
      </c>
      <c r="AI1959" s="492">
        <v>0.40100000000000002</v>
      </c>
      <c r="AJ1959" s="485"/>
    </row>
    <row r="1960" spans="2:36">
      <c r="B1960" s="136" t="s">
        <v>488</v>
      </c>
      <c r="C1960" s="132" t="s">
        <v>1363</v>
      </c>
      <c r="D1960" s="132" t="s">
        <v>282</v>
      </c>
      <c r="E1960" s="508">
        <v>8.43</v>
      </c>
      <c r="F1960" s="508">
        <v>7.6470000000000002</v>
      </c>
      <c r="G1960" s="508">
        <v>7.1120000000000001</v>
      </c>
      <c r="H1960" s="508">
        <v>6.9320000000000004</v>
      </c>
      <c r="I1960" s="508">
        <v>6.7140000000000004</v>
      </c>
      <c r="J1960" s="508">
        <v>6.49</v>
      </c>
      <c r="K1960" s="508">
        <v>6.4690000000000003</v>
      </c>
      <c r="L1960" s="508">
        <v>6.28</v>
      </c>
      <c r="M1960" s="508">
        <v>6.3209999999999997</v>
      </c>
      <c r="N1960" s="508">
        <v>6.17</v>
      </c>
      <c r="O1960" s="508">
        <v>6.1550000000000002</v>
      </c>
      <c r="P1960" s="508">
        <v>6.1050000000000004</v>
      </c>
      <c r="Q1960" s="508">
        <v>6.1580000000000004</v>
      </c>
      <c r="R1960" s="508">
        <v>6.07</v>
      </c>
      <c r="S1960" s="508">
        <v>6.02</v>
      </c>
      <c r="T1960" s="508">
        <v>5.8760000000000003</v>
      </c>
      <c r="U1960" s="508">
        <v>5.8390000000000004</v>
      </c>
      <c r="V1960" s="508">
        <v>5.54</v>
      </c>
      <c r="W1960" s="508">
        <v>2.911</v>
      </c>
      <c r="X1960" s="508">
        <v>2.9319999999999999</v>
      </c>
      <c r="Y1960" s="508">
        <v>2.887</v>
      </c>
      <c r="Z1960" s="508">
        <v>2.855</v>
      </c>
      <c r="AA1960" s="508">
        <v>0.69199999999999995</v>
      </c>
      <c r="AB1960" s="508">
        <v>0.68799999999999994</v>
      </c>
      <c r="AC1960" s="508">
        <v>0.66300000000000003</v>
      </c>
      <c r="AD1960" s="508">
        <v>0.45600000000000002</v>
      </c>
      <c r="AE1960" s="508">
        <v>0.44900000000000001</v>
      </c>
      <c r="AF1960" s="508">
        <v>0.38300000000000001</v>
      </c>
      <c r="AG1960" s="508">
        <v>0.378</v>
      </c>
      <c r="AH1960" s="508">
        <v>0.377</v>
      </c>
      <c r="AI1960" s="492">
        <v>0.377</v>
      </c>
      <c r="AJ1960" s="485"/>
    </row>
    <row r="1961" spans="2:36">
      <c r="B1961" s="136" t="s">
        <v>489</v>
      </c>
      <c r="C1961" s="132" t="s">
        <v>1363</v>
      </c>
      <c r="D1961" s="132" t="s">
        <v>282</v>
      </c>
      <c r="E1961" s="508">
        <v>8.7739999999999991</v>
      </c>
      <c r="F1961" s="508">
        <v>7.9290000000000003</v>
      </c>
      <c r="G1961" s="508">
        <v>7.359</v>
      </c>
      <c r="H1961" s="508">
        <v>7.1529999999999996</v>
      </c>
      <c r="I1961" s="508">
        <v>6.9189999999999996</v>
      </c>
      <c r="J1961" s="508">
        <v>6.6840000000000002</v>
      </c>
      <c r="K1961" s="508">
        <v>6.6509999999999998</v>
      </c>
      <c r="L1961" s="508">
        <v>6.4560000000000004</v>
      </c>
      <c r="M1961" s="508">
        <v>6.4889999999999999</v>
      </c>
      <c r="N1961" s="508">
        <v>6.3339999999999996</v>
      </c>
      <c r="O1961" s="508">
        <v>6.3129999999999997</v>
      </c>
      <c r="P1961" s="508">
        <v>6.26</v>
      </c>
      <c r="Q1961" s="508">
        <v>6.3079999999999998</v>
      </c>
      <c r="R1961" s="508">
        <v>6.218</v>
      </c>
      <c r="S1961" s="508">
        <v>6.1660000000000004</v>
      </c>
      <c r="T1961" s="508">
        <v>6.0129999999999999</v>
      </c>
      <c r="U1961" s="508">
        <v>5.9690000000000003</v>
      </c>
      <c r="V1961" s="508">
        <v>5.67</v>
      </c>
      <c r="W1961" s="508">
        <v>2.9940000000000002</v>
      </c>
      <c r="X1961" s="508">
        <v>3.0129999999999999</v>
      </c>
      <c r="Y1961" s="508">
        <v>2.9660000000000002</v>
      </c>
      <c r="Z1961" s="508">
        <v>2.9329999999999998</v>
      </c>
      <c r="AA1961" s="508">
        <v>0.71699999999999997</v>
      </c>
      <c r="AB1961" s="508">
        <v>0.71199999999999997</v>
      </c>
      <c r="AC1961" s="508">
        <v>0.68600000000000005</v>
      </c>
      <c r="AD1961" s="508">
        <v>0.47299999999999998</v>
      </c>
      <c r="AE1961" s="508">
        <v>0.46500000000000002</v>
      </c>
      <c r="AF1961" s="508">
        <v>0.39700000000000002</v>
      </c>
      <c r="AG1961" s="508">
        <v>0.39300000000000002</v>
      </c>
      <c r="AH1961" s="508">
        <v>0.39200000000000002</v>
      </c>
      <c r="AI1961" s="492">
        <v>0.39200000000000002</v>
      </c>
      <c r="AJ1961" s="485"/>
    </row>
    <row r="1962" spans="2:36">
      <c r="B1962" s="136" t="s">
        <v>490</v>
      </c>
      <c r="C1962" s="132" t="s">
        <v>1363</v>
      </c>
      <c r="D1962" s="132" t="s">
        <v>282</v>
      </c>
      <c r="E1962" s="508">
        <v>7.9909999999999997</v>
      </c>
      <c r="F1962" s="508">
        <v>7.2969999999999997</v>
      </c>
      <c r="G1962" s="508">
        <v>6.8109999999999999</v>
      </c>
      <c r="H1962" s="508">
        <v>6.6680000000000001</v>
      </c>
      <c r="I1962" s="508">
        <v>6.4749999999999996</v>
      </c>
      <c r="J1962" s="508">
        <v>6.2670000000000003</v>
      </c>
      <c r="K1962" s="508">
        <v>6.2629999999999999</v>
      </c>
      <c r="L1962" s="508">
        <v>6.0819999999999999</v>
      </c>
      <c r="M1962" s="508">
        <v>6.1349999999999998</v>
      </c>
      <c r="N1962" s="508">
        <v>5.9889999999999999</v>
      </c>
      <c r="O1962" s="508">
        <v>5.9809999999999999</v>
      </c>
      <c r="P1962" s="508">
        <v>5.9370000000000003</v>
      </c>
      <c r="Q1962" s="508">
        <v>5.9969999999999999</v>
      </c>
      <c r="R1962" s="508">
        <v>5.9109999999999996</v>
      </c>
      <c r="S1962" s="508">
        <v>5.8639999999999999</v>
      </c>
      <c r="T1962" s="508">
        <v>5.734</v>
      </c>
      <c r="U1962" s="508">
        <v>5.7060000000000004</v>
      </c>
      <c r="V1962" s="508">
        <v>5.4050000000000002</v>
      </c>
      <c r="W1962" s="508">
        <v>2.8140000000000001</v>
      </c>
      <c r="X1962" s="508">
        <v>2.8359999999999999</v>
      </c>
      <c r="Y1962" s="508">
        <v>2.794</v>
      </c>
      <c r="Z1962" s="508">
        <v>2.7650000000000001</v>
      </c>
      <c r="AA1962" s="508">
        <v>0.66100000000000003</v>
      </c>
      <c r="AB1962" s="508">
        <v>0.65800000000000003</v>
      </c>
      <c r="AC1962" s="508">
        <v>0.63400000000000001</v>
      </c>
      <c r="AD1962" s="508">
        <v>0.434</v>
      </c>
      <c r="AE1962" s="508">
        <v>0.42699999999999999</v>
      </c>
      <c r="AF1962" s="508">
        <v>0.36399999999999999</v>
      </c>
      <c r="AG1962" s="508">
        <v>0.36</v>
      </c>
      <c r="AH1962" s="508">
        <v>0.35899999999999999</v>
      </c>
      <c r="AI1962" s="492">
        <v>0.35899999999999999</v>
      </c>
      <c r="AJ1962" s="485"/>
    </row>
    <row r="1963" spans="2:36">
      <c r="B1963" s="136" t="s">
        <v>435</v>
      </c>
      <c r="C1963" s="132" t="s">
        <v>1364</v>
      </c>
      <c r="D1963" s="132" t="s">
        <v>282</v>
      </c>
      <c r="E1963" s="508">
        <v>51.414000000000001</v>
      </c>
      <c r="F1963" s="508">
        <v>20.184999999999999</v>
      </c>
      <c r="G1963" s="508">
        <v>38.646999999999998</v>
      </c>
      <c r="H1963" s="508">
        <v>45.697000000000003</v>
      </c>
      <c r="I1963" s="508">
        <v>42.835000000000001</v>
      </c>
      <c r="J1963" s="508">
        <v>7.9859999999999998</v>
      </c>
      <c r="K1963" s="508">
        <v>10.281000000000001</v>
      </c>
      <c r="L1963" s="508">
        <v>38.521000000000001</v>
      </c>
      <c r="M1963" s="508">
        <v>12.576000000000001</v>
      </c>
      <c r="N1963" s="508">
        <v>25.998999999999999</v>
      </c>
      <c r="O1963" s="508">
        <v>17.875</v>
      </c>
      <c r="P1963" s="508">
        <v>8.6820000000000004</v>
      </c>
      <c r="Q1963" s="508">
        <v>7.95</v>
      </c>
      <c r="R1963" s="508">
        <v>12.346</v>
      </c>
      <c r="S1963" s="508">
        <v>6.6390000000000002</v>
      </c>
      <c r="T1963" s="508">
        <v>9.2680000000000007</v>
      </c>
      <c r="U1963" s="508">
        <v>5.266</v>
      </c>
      <c r="V1963" s="508">
        <v>6.5609999999999999</v>
      </c>
      <c r="W1963" s="508">
        <v>5.8659999999999997</v>
      </c>
      <c r="X1963" s="508">
        <v>4.4589999999999996</v>
      </c>
      <c r="Y1963" s="508">
        <v>3.9020000000000001</v>
      </c>
      <c r="Z1963" s="508">
        <v>3.2480000000000002</v>
      </c>
      <c r="AA1963" s="508">
        <v>2.1240000000000001</v>
      </c>
      <c r="AB1963" s="508">
        <v>1.8340000000000001</v>
      </c>
      <c r="AC1963" s="508">
        <v>2.2669999999999999</v>
      </c>
      <c r="AD1963" s="508">
        <v>1.851</v>
      </c>
      <c r="AE1963" s="508">
        <v>1.4359999999999999</v>
      </c>
      <c r="AF1963" s="508">
        <v>0.79300000000000004</v>
      </c>
      <c r="AG1963" s="508">
        <v>0.78800000000000003</v>
      </c>
      <c r="AH1963" s="508">
        <v>0.78300000000000003</v>
      </c>
      <c r="AI1963" s="492">
        <v>0.77900000000000003</v>
      </c>
      <c r="AJ1963" s="485"/>
    </row>
    <row r="1964" spans="2:36">
      <c r="B1964" s="136" t="s">
        <v>436</v>
      </c>
      <c r="C1964" s="132" t="s">
        <v>1364</v>
      </c>
      <c r="D1964" s="132" t="s">
        <v>282</v>
      </c>
      <c r="E1964" s="508">
        <v>51.396000000000001</v>
      </c>
      <c r="F1964" s="508">
        <v>20.341999999999999</v>
      </c>
      <c r="G1964" s="508">
        <v>39.156999999999996</v>
      </c>
      <c r="H1964" s="508">
        <v>46.343000000000004</v>
      </c>
      <c r="I1964" s="508">
        <v>43.426000000000002</v>
      </c>
      <c r="J1964" s="508">
        <v>7.9530000000000003</v>
      </c>
      <c r="K1964" s="508">
        <v>10.323</v>
      </c>
      <c r="L1964" s="508">
        <v>39.484000000000002</v>
      </c>
      <c r="M1964" s="508">
        <v>12.694000000000001</v>
      </c>
      <c r="N1964" s="508">
        <v>26.172999999999998</v>
      </c>
      <c r="O1964" s="508">
        <v>17.931000000000001</v>
      </c>
      <c r="P1964" s="508">
        <v>8.6440000000000001</v>
      </c>
      <c r="Q1964" s="508">
        <v>7.899</v>
      </c>
      <c r="R1964" s="508">
        <v>12.417</v>
      </c>
      <c r="S1964" s="508">
        <v>6.5549999999999997</v>
      </c>
      <c r="T1964" s="508">
        <v>9.2590000000000003</v>
      </c>
      <c r="U1964" s="508">
        <v>5.1660000000000004</v>
      </c>
      <c r="V1964" s="508">
        <v>6.5410000000000004</v>
      </c>
      <c r="W1964" s="508">
        <v>5.8760000000000003</v>
      </c>
      <c r="X1964" s="508">
        <v>4.4649999999999999</v>
      </c>
      <c r="Y1964" s="508">
        <v>3.899</v>
      </c>
      <c r="Z1964" s="508">
        <v>3.2229999999999999</v>
      </c>
      <c r="AA1964" s="508">
        <v>2.1629999999999998</v>
      </c>
      <c r="AB1964" s="508">
        <v>1.8720000000000001</v>
      </c>
      <c r="AC1964" s="508">
        <v>2.3250000000000002</v>
      </c>
      <c r="AD1964" s="508">
        <v>1.909</v>
      </c>
      <c r="AE1964" s="508">
        <v>1.476</v>
      </c>
      <c r="AF1964" s="508">
        <v>0.81499999999999995</v>
      </c>
      <c r="AG1964" s="508">
        <v>0.80900000000000005</v>
      </c>
      <c r="AH1964" s="508">
        <v>0.80500000000000005</v>
      </c>
      <c r="AI1964" s="492">
        <v>0.80100000000000005</v>
      </c>
      <c r="AJ1964" s="485"/>
    </row>
    <row r="1965" spans="2:36">
      <c r="B1965" s="136" t="s">
        <v>437</v>
      </c>
      <c r="C1965" s="132" t="s">
        <v>1364</v>
      </c>
      <c r="D1965" s="132" t="s">
        <v>282</v>
      </c>
      <c r="E1965" s="508">
        <v>56.13</v>
      </c>
      <c r="F1965" s="508">
        <v>22.983000000000001</v>
      </c>
      <c r="G1965" s="508">
        <v>44.256</v>
      </c>
      <c r="H1965" s="508">
        <v>52.753</v>
      </c>
      <c r="I1965" s="508">
        <v>50.078000000000003</v>
      </c>
      <c r="J1965" s="508">
        <v>9.4969999999999999</v>
      </c>
      <c r="K1965" s="508">
        <v>12.211</v>
      </c>
      <c r="L1965" s="508">
        <v>45.762999999999998</v>
      </c>
      <c r="M1965" s="508">
        <v>15.093999999999999</v>
      </c>
      <c r="N1965" s="508">
        <v>29.719000000000001</v>
      </c>
      <c r="O1965" s="508">
        <v>20.681999999999999</v>
      </c>
      <c r="P1965" s="508">
        <v>10.266999999999999</v>
      </c>
      <c r="Q1965" s="508">
        <v>9.5719999999999992</v>
      </c>
      <c r="R1965" s="508">
        <v>14.744</v>
      </c>
      <c r="S1965" s="508">
        <v>8.1110000000000007</v>
      </c>
      <c r="T1965" s="508">
        <v>11.195</v>
      </c>
      <c r="U1965" s="508">
        <v>6.492</v>
      </c>
      <c r="V1965" s="508">
        <v>7.9820000000000002</v>
      </c>
      <c r="W1965" s="508">
        <v>7.1390000000000002</v>
      </c>
      <c r="X1965" s="508">
        <v>5.4880000000000004</v>
      </c>
      <c r="Y1965" s="508">
        <v>4.82</v>
      </c>
      <c r="Z1965" s="508">
        <v>4.0309999999999997</v>
      </c>
      <c r="AA1965" s="508">
        <v>2.617</v>
      </c>
      <c r="AB1965" s="508">
        <v>2.2669999999999999</v>
      </c>
      <c r="AC1965" s="508">
        <v>2.8119999999999998</v>
      </c>
      <c r="AD1965" s="508">
        <v>2.2999999999999998</v>
      </c>
      <c r="AE1965" s="508">
        <v>1.7829999999999999</v>
      </c>
      <c r="AF1965" s="508">
        <v>0.98199999999999998</v>
      </c>
      <c r="AG1965" s="508">
        <v>0.97699999999999998</v>
      </c>
      <c r="AH1965" s="508">
        <v>0.97199999999999998</v>
      </c>
      <c r="AI1965" s="492">
        <v>0.96799999999999997</v>
      </c>
      <c r="AJ1965" s="485"/>
    </row>
    <row r="1966" spans="2:36">
      <c r="B1966" s="136" t="s">
        <v>438</v>
      </c>
      <c r="C1966" s="132" t="s">
        <v>1364</v>
      </c>
      <c r="D1966" s="132" t="s">
        <v>282</v>
      </c>
      <c r="E1966" s="508">
        <v>50.67</v>
      </c>
      <c r="F1966" s="508">
        <v>20.036000000000001</v>
      </c>
      <c r="G1966" s="508">
        <v>38.664999999999999</v>
      </c>
      <c r="H1966" s="508">
        <v>45.779000000000003</v>
      </c>
      <c r="I1966" s="508">
        <v>42.890999999999998</v>
      </c>
      <c r="J1966" s="508">
        <v>7.7949999999999999</v>
      </c>
      <c r="K1966" s="508">
        <v>10.157</v>
      </c>
      <c r="L1966" s="508">
        <v>39.231000000000002</v>
      </c>
      <c r="M1966" s="508">
        <v>12.522</v>
      </c>
      <c r="N1966" s="508">
        <v>25.83</v>
      </c>
      <c r="O1966" s="508">
        <v>17.661000000000001</v>
      </c>
      <c r="P1966" s="508">
        <v>8.4879999999999995</v>
      </c>
      <c r="Q1966" s="508">
        <v>7.7430000000000003</v>
      </c>
      <c r="R1966" s="508">
        <v>12.250999999999999</v>
      </c>
      <c r="S1966" s="508">
        <v>6.4029999999999996</v>
      </c>
      <c r="T1966" s="508">
        <v>9.1020000000000003</v>
      </c>
      <c r="U1966" s="508">
        <v>5.024</v>
      </c>
      <c r="V1966" s="508">
        <v>6.407</v>
      </c>
      <c r="W1966" s="508">
        <v>5.7679999999999998</v>
      </c>
      <c r="X1966" s="508">
        <v>4.3810000000000002</v>
      </c>
      <c r="Y1966" s="508">
        <v>3.8210000000000002</v>
      </c>
      <c r="Z1966" s="508">
        <v>3.149</v>
      </c>
      <c r="AA1966" s="508">
        <v>2.1360000000000001</v>
      </c>
      <c r="AB1966" s="508">
        <v>1.85</v>
      </c>
      <c r="AC1966" s="508">
        <v>2.3029999999999999</v>
      </c>
      <c r="AD1966" s="508">
        <v>1.895</v>
      </c>
      <c r="AE1966" s="508">
        <v>1.4630000000000001</v>
      </c>
      <c r="AF1966" s="508">
        <v>0.80800000000000005</v>
      </c>
      <c r="AG1966" s="508">
        <v>0.80200000000000005</v>
      </c>
      <c r="AH1966" s="508">
        <v>0.79800000000000004</v>
      </c>
      <c r="AI1966" s="492">
        <v>0.79400000000000004</v>
      </c>
      <c r="AJ1966" s="485"/>
    </row>
    <row r="1967" spans="2:36">
      <c r="B1967" s="136" t="s">
        <v>439</v>
      </c>
      <c r="C1967" s="132" t="s">
        <v>1364</v>
      </c>
      <c r="D1967" s="132" t="s">
        <v>282</v>
      </c>
      <c r="E1967" s="508">
        <v>52.698999999999998</v>
      </c>
      <c r="F1967" s="508">
        <v>20.91</v>
      </c>
      <c r="G1967" s="508">
        <v>40.203000000000003</v>
      </c>
      <c r="H1967" s="508">
        <v>47.570999999999998</v>
      </c>
      <c r="I1967" s="508">
        <v>44.58</v>
      </c>
      <c r="J1967" s="508">
        <v>8.1959999999999997</v>
      </c>
      <c r="K1967" s="508">
        <v>10.619</v>
      </c>
      <c r="L1967" s="508">
        <v>40.433</v>
      </c>
      <c r="M1967" s="508">
        <v>13.044</v>
      </c>
      <c r="N1967" s="508">
        <v>26.751000000000001</v>
      </c>
      <c r="O1967" s="508">
        <v>18.350999999999999</v>
      </c>
      <c r="P1967" s="508">
        <v>8.875</v>
      </c>
      <c r="Q1967" s="508">
        <v>8.15</v>
      </c>
      <c r="R1967" s="508">
        <v>12.782</v>
      </c>
      <c r="S1967" s="508">
        <v>6.7720000000000002</v>
      </c>
      <c r="T1967" s="508">
        <v>9.5449999999999999</v>
      </c>
      <c r="U1967" s="508">
        <v>5.3529999999999998</v>
      </c>
      <c r="V1967" s="508">
        <v>6.77</v>
      </c>
      <c r="W1967" s="508">
        <v>6.0810000000000004</v>
      </c>
      <c r="X1967" s="508">
        <v>4.6239999999999997</v>
      </c>
      <c r="Y1967" s="508">
        <v>4.0369999999999999</v>
      </c>
      <c r="Z1967" s="508">
        <v>3.339</v>
      </c>
      <c r="AA1967" s="508">
        <v>2.238</v>
      </c>
      <c r="AB1967" s="508">
        <v>1.9359999999999999</v>
      </c>
      <c r="AC1967" s="508">
        <v>2.4049999999999998</v>
      </c>
      <c r="AD1967" s="508">
        <v>1.974</v>
      </c>
      <c r="AE1967" s="508">
        <v>1.526</v>
      </c>
      <c r="AF1967" s="508">
        <v>0.84199999999999997</v>
      </c>
      <c r="AG1967" s="508">
        <v>0.83699999999999997</v>
      </c>
      <c r="AH1967" s="508">
        <v>0.83199999999999996</v>
      </c>
      <c r="AI1967" s="492">
        <v>0.82799999999999996</v>
      </c>
      <c r="AJ1967" s="485"/>
    </row>
    <row r="1968" spans="2:36">
      <c r="B1968" s="136" t="s">
        <v>440</v>
      </c>
      <c r="C1968" s="132" t="s">
        <v>1364</v>
      </c>
      <c r="D1968" s="132" t="s">
        <v>282</v>
      </c>
      <c r="E1968" s="508">
        <v>52.158000000000001</v>
      </c>
      <c r="F1968" s="508">
        <v>20.65</v>
      </c>
      <c r="G1968" s="508">
        <v>39.685000000000002</v>
      </c>
      <c r="H1968" s="508">
        <v>46.954999999999998</v>
      </c>
      <c r="I1968" s="508">
        <v>44.003999999999998</v>
      </c>
      <c r="J1968" s="508">
        <v>8.1020000000000003</v>
      </c>
      <c r="K1968" s="508">
        <v>10.49</v>
      </c>
      <c r="L1968" s="508">
        <v>39.872</v>
      </c>
      <c r="M1968" s="508">
        <v>12.879</v>
      </c>
      <c r="N1968" s="508">
        <v>26.488</v>
      </c>
      <c r="O1968" s="508">
        <v>18.172000000000001</v>
      </c>
      <c r="P1968" s="508">
        <v>8.7870000000000008</v>
      </c>
      <c r="Q1968" s="508">
        <v>8.0549999999999997</v>
      </c>
      <c r="R1968" s="508">
        <v>12.616</v>
      </c>
      <c r="S1968" s="508">
        <v>6.6970000000000001</v>
      </c>
      <c r="T1968" s="508">
        <v>9.4269999999999996</v>
      </c>
      <c r="U1968" s="508">
        <v>5.2939999999999996</v>
      </c>
      <c r="V1968" s="508">
        <v>6.6779999999999999</v>
      </c>
      <c r="W1968" s="508">
        <v>5.9930000000000003</v>
      </c>
      <c r="X1968" s="508">
        <v>4.556</v>
      </c>
      <c r="Y1968" s="508">
        <v>3.98</v>
      </c>
      <c r="Z1968" s="508">
        <v>3.2949999999999999</v>
      </c>
      <c r="AA1968" s="508">
        <v>2.1989999999999998</v>
      </c>
      <c r="AB1968" s="508">
        <v>1.903</v>
      </c>
      <c r="AC1968" s="508">
        <v>2.3620000000000001</v>
      </c>
      <c r="AD1968" s="508">
        <v>1.9359999999999999</v>
      </c>
      <c r="AE1968" s="508">
        <v>1.498</v>
      </c>
      <c r="AF1968" s="508">
        <v>0.82699999999999996</v>
      </c>
      <c r="AG1968" s="508">
        <v>0.82099999999999995</v>
      </c>
      <c r="AH1968" s="508">
        <v>0.81699999999999995</v>
      </c>
      <c r="AI1968" s="492">
        <v>0.81299999999999994</v>
      </c>
      <c r="AJ1968" s="485"/>
    </row>
    <row r="1969" spans="2:36">
      <c r="B1969" s="136" t="s">
        <v>441</v>
      </c>
      <c r="C1969" s="132" t="s">
        <v>1364</v>
      </c>
      <c r="D1969" s="132" t="s">
        <v>282</v>
      </c>
      <c r="E1969" s="508">
        <v>52.805</v>
      </c>
      <c r="F1969" s="508">
        <v>20.975999999999999</v>
      </c>
      <c r="G1969" s="508">
        <v>40.363999999999997</v>
      </c>
      <c r="H1969" s="508">
        <v>47.768000000000001</v>
      </c>
      <c r="I1969" s="508">
        <v>44.762</v>
      </c>
      <c r="J1969" s="508">
        <v>8.2080000000000002</v>
      </c>
      <c r="K1969" s="508">
        <v>10.648</v>
      </c>
      <c r="L1969" s="508">
        <v>40.677</v>
      </c>
      <c r="M1969" s="508">
        <v>13.090999999999999</v>
      </c>
      <c r="N1969" s="508">
        <v>26.812000000000001</v>
      </c>
      <c r="O1969" s="508">
        <v>18.384</v>
      </c>
      <c r="P1969" s="508">
        <v>8.8840000000000003</v>
      </c>
      <c r="Q1969" s="508">
        <v>8.1620000000000008</v>
      </c>
      <c r="R1969" s="508">
        <v>12.827999999999999</v>
      </c>
      <c r="S1969" s="508">
        <v>6.7750000000000004</v>
      </c>
      <c r="T1969" s="508">
        <v>9.5679999999999996</v>
      </c>
      <c r="U1969" s="508">
        <v>5.3490000000000002</v>
      </c>
      <c r="V1969" s="508">
        <v>6.7859999999999996</v>
      </c>
      <c r="W1969" s="508">
        <v>6.1</v>
      </c>
      <c r="X1969" s="508">
        <v>4.6379999999999999</v>
      </c>
      <c r="Y1969" s="508">
        <v>4.048</v>
      </c>
      <c r="Z1969" s="508">
        <v>3.3439999999999999</v>
      </c>
      <c r="AA1969" s="508">
        <v>2.2509999999999999</v>
      </c>
      <c r="AB1969" s="508">
        <v>1.9490000000000001</v>
      </c>
      <c r="AC1969" s="508">
        <v>2.423</v>
      </c>
      <c r="AD1969" s="508">
        <v>1.99</v>
      </c>
      <c r="AE1969" s="508">
        <v>1.538</v>
      </c>
      <c r="AF1969" s="508">
        <v>0.84799999999999998</v>
      </c>
      <c r="AG1969" s="508">
        <v>0.84299999999999997</v>
      </c>
      <c r="AH1969" s="508">
        <v>0.83799999999999997</v>
      </c>
      <c r="AI1969" s="492">
        <v>0.83399999999999996</v>
      </c>
      <c r="AJ1969" s="485"/>
    </row>
    <row r="1970" spans="2:36">
      <c r="B1970" s="136" t="s">
        <v>443</v>
      </c>
      <c r="C1970" s="132" t="s">
        <v>1364</v>
      </c>
      <c r="D1970" s="132" t="s">
        <v>282</v>
      </c>
      <c r="E1970" s="508">
        <v>52.006999999999998</v>
      </c>
      <c r="F1970" s="508">
        <v>20.308</v>
      </c>
      <c r="G1970" s="508">
        <v>38.679000000000002</v>
      </c>
      <c r="H1970" s="508">
        <v>45.695</v>
      </c>
      <c r="I1970" s="508">
        <v>42.847000000000001</v>
      </c>
      <c r="J1970" s="508">
        <v>8.1270000000000007</v>
      </c>
      <c r="K1970" s="508">
        <v>10.38</v>
      </c>
      <c r="L1970" s="508">
        <v>38.103999999999999</v>
      </c>
      <c r="M1970" s="508">
        <v>12.63</v>
      </c>
      <c r="N1970" s="508">
        <v>26.120999999999999</v>
      </c>
      <c r="O1970" s="508">
        <v>18.026</v>
      </c>
      <c r="P1970" s="508">
        <v>8.8209999999999997</v>
      </c>
      <c r="Q1970" s="508">
        <v>8.1069999999999993</v>
      </c>
      <c r="R1970" s="508">
        <v>12.441000000000001</v>
      </c>
      <c r="S1970" s="508">
        <v>6.8109999999999999</v>
      </c>
      <c r="T1970" s="508">
        <v>9.4019999999999992</v>
      </c>
      <c r="U1970" s="508">
        <v>5.4390000000000001</v>
      </c>
      <c r="V1970" s="508">
        <v>6.681</v>
      </c>
      <c r="W1970" s="508">
        <v>5.9489999999999998</v>
      </c>
      <c r="X1970" s="508">
        <v>4.524</v>
      </c>
      <c r="Y1970" s="508">
        <v>3.9649999999999999</v>
      </c>
      <c r="Z1970" s="508">
        <v>3.3210000000000002</v>
      </c>
      <c r="AA1970" s="508">
        <v>2.1230000000000002</v>
      </c>
      <c r="AB1970" s="508">
        <v>1.829</v>
      </c>
      <c r="AC1970" s="508">
        <v>2.2509999999999999</v>
      </c>
      <c r="AD1970" s="508">
        <v>1.8280000000000001</v>
      </c>
      <c r="AE1970" s="508">
        <v>1.423</v>
      </c>
      <c r="AF1970" s="508">
        <v>0.78600000000000003</v>
      </c>
      <c r="AG1970" s="508">
        <v>0.78100000000000003</v>
      </c>
      <c r="AH1970" s="508">
        <v>0.77600000000000002</v>
      </c>
      <c r="AI1970" s="492">
        <v>0.77200000000000002</v>
      </c>
      <c r="AJ1970" s="485"/>
    </row>
    <row r="1971" spans="2:36">
      <c r="B1971" s="136" t="s">
        <v>445</v>
      </c>
      <c r="C1971" s="132" t="s">
        <v>1364</v>
      </c>
      <c r="D1971" s="132" t="s">
        <v>282</v>
      </c>
      <c r="E1971" s="508">
        <v>54.844000000000001</v>
      </c>
      <c r="F1971" s="508">
        <v>21.501999999999999</v>
      </c>
      <c r="G1971" s="508">
        <v>40.654000000000003</v>
      </c>
      <c r="H1971" s="508">
        <v>47.969000000000001</v>
      </c>
      <c r="I1971" s="508">
        <v>44.999000000000002</v>
      </c>
      <c r="J1971" s="508">
        <v>8.7270000000000003</v>
      </c>
      <c r="K1971" s="508">
        <v>11.023</v>
      </c>
      <c r="L1971" s="508">
        <v>39.283000000000001</v>
      </c>
      <c r="M1971" s="508">
        <v>13.316000000000001</v>
      </c>
      <c r="N1971" s="508">
        <v>27.436</v>
      </c>
      <c r="O1971" s="508">
        <v>19.045000000000002</v>
      </c>
      <c r="P1971" s="508">
        <v>9.41</v>
      </c>
      <c r="Q1971" s="508">
        <v>8.7050000000000001</v>
      </c>
      <c r="R1971" s="508">
        <v>13.12</v>
      </c>
      <c r="S1971" s="508">
        <v>7.383</v>
      </c>
      <c r="T1971" s="508">
        <v>10.021000000000001</v>
      </c>
      <c r="U1971" s="508">
        <v>5.9660000000000002</v>
      </c>
      <c r="V1971" s="508">
        <v>7.1989999999999998</v>
      </c>
      <c r="W1971" s="508">
        <v>6.3760000000000003</v>
      </c>
      <c r="X1971" s="508">
        <v>4.8579999999999997</v>
      </c>
      <c r="Y1971" s="508">
        <v>4.2690000000000001</v>
      </c>
      <c r="Z1971" s="508">
        <v>3.6030000000000002</v>
      </c>
      <c r="AA1971" s="508">
        <v>2.2389999999999999</v>
      </c>
      <c r="AB1971" s="508">
        <v>1.9239999999999999</v>
      </c>
      <c r="AC1971" s="508">
        <v>2.355</v>
      </c>
      <c r="AD1971" s="508">
        <v>1.9</v>
      </c>
      <c r="AE1971" s="508">
        <v>1.4850000000000001</v>
      </c>
      <c r="AF1971" s="508">
        <v>0.82</v>
      </c>
      <c r="AG1971" s="508">
        <v>0.81399999999999995</v>
      </c>
      <c r="AH1971" s="508">
        <v>0.81</v>
      </c>
      <c r="AI1971" s="492">
        <v>0.80600000000000005</v>
      </c>
      <c r="AJ1971" s="485"/>
    </row>
    <row r="1972" spans="2:36">
      <c r="B1972" s="136" t="s">
        <v>446</v>
      </c>
      <c r="C1972" s="132" t="s">
        <v>1364</v>
      </c>
      <c r="D1972" s="132" t="s">
        <v>282</v>
      </c>
      <c r="E1972" s="508">
        <v>57.426000000000002</v>
      </c>
      <c r="F1972" s="508">
        <v>23.367000000000001</v>
      </c>
      <c r="G1972" s="508">
        <v>44.615000000000002</v>
      </c>
      <c r="H1972" s="508">
        <v>53.131</v>
      </c>
      <c r="I1972" s="508">
        <v>50.51</v>
      </c>
      <c r="J1972" s="508">
        <v>9.8710000000000004</v>
      </c>
      <c r="K1972" s="508">
        <v>12.523999999999999</v>
      </c>
      <c r="L1972" s="508">
        <v>45.325000000000003</v>
      </c>
      <c r="M1972" s="508">
        <v>15.356999999999999</v>
      </c>
      <c r="N1972" s="508">
        <v>30.228999999999999</v>
      </c>
      <c r="O1972" s="508">
        <v>21.190999999999999</v>
      </c>
      <c r="P1972" s="508">
        <v>10.662000000000001</v>
      </c>
      <c r="Q1972" s="508">
        <v>9.9860000000000007</v>
      </c>
      <c r="R1972" s="508">
        <v>15.058</v>
      </c>
      <c r="S1972" s="508">
        <v>8.5579999999999998</v>
      </c>
      <c r="T1972" s="508">
        <v>11.576000000000001</v>
      </c>
      <c r="U1972" s="508">
        <v>6.931</v>
      </c>
      <c r="V1972" s="508">
        <v>8.3140000000000001</v>
      </c>
      <c r="W1972" s="508">
        <v>7.383</v>
      </c>
      <c r="X1972" s="508">
        <v>5.6820000000000004</v>
      </c>
      <c r="Y1972" s="508">
        <v>5.0060000000000002</v>
      </c>
      <c r="Z1972" s="508">
        <v>4.2320000000000002</v>
      </c>
      <c r="AA1972" s="508">
        <v>2.6389999999999998</v>
      </c>
      <c r="AB1972" s="508">
        <v>2.278</v>
      </c>
      <c r="AC1972" s="508">
        <v>2.8039999999999998</v>
      </c>
      <c r="AD1972" s="508">
        <v>2.2719999999999998</v>
      </c>
      <c r="AE1972" s="508">
        <v>1.7709999999999999</v>
      </c>
      <c r="AF1972" s="508">
        <v>0.97599999999999998</v>
      </c>
      <c r="AG1972" s="508">
        <v>0.97</v>
      </c>
      <c r="AH1972" s="508">
        <v>0.96599999999999997</v>
      </c>
      <c r="AI1972" s="492">
        <v>0.96199999999999997</v>
      </c>
      <c r="AJ1972" s="485"/>
    </row>
    <row r="1973" spans="2:36">
      <c r="B1973" s="136" t="s">
        <v>448</v>
      </c>
      <c r="C1973" s="132" t="s">
        <v>1364</v>
      </c>
      <c r="D1973" s="132" t="s">
        <v>282</v>
      </c>
      <c r="E1973" s="508">
        <v>51.177</v>
      </c>
      <c r="F1973" s="508">
        <v>20.213000000000001</v>
      </c>
      <c r="G1973" s="508">
        <v>38.906999999999996</v>
      </c>
      <c r="H1973" s="508">
        <v>46.046999999999997</v>
      </c>
      <c r="I1973" s="508">
        <v>43.148000000000003</v>
      </c>
      <c r="J1973" s="508">
        <v>7.9059999999999997</v>
      </c>
      <c r="K1973" s="508">
        <v>10.262</v>
      </c>
      <c r="L1973" s="508">
        <v>39.250999999999998</v>
      </c>
      <c r="M1973" s="508">
        <v>12.619</v>
      </c>
      <c r="N1973" s="508">
        <v>26.018999999999998</v>
      </c>
      <c r="O1973" s="508">
        <v>17.824000000000002</v>
      </c>
      <c r="P1973" s="508">
        <v>8.5969999999999995</v>
      </c>
      <c r="Q1973" s="508">
        <v>7.859</v>
      </c>
      <c r="R1973" s="508">
        <v>12.359</v>
      </c>
      <c r="S1973" s="508">
        <v>6.5190000000000001</v>
      </c>
      <c r="T1973" s="508">
        <v>9.2129999999999992</v>
      </c>
      <c r="U1973" s="508">
        <v>5.1360000000000001</v>
      </c>
      <c r="V1973" s="508">
        <v>6.5030000000000001</v>
      </c>
      <c r="W1973" s="508">
        <v>5.8419999999999996</v>
      </c>
      <c r="X1973" s="508">
        <v>4.4390000000000001</v>
      </c>
      <c r="Y1973" s="508">
        <v>3.875</v>
      </c>
      <c r="Z1973" s="508">
        <v>3.2040000000000002</v>
      </c>
      <c r="AA1973" s="508">
        <v>2.149</v>
      </c>
      <c r="AB1973" s="508">
        <v>1.86</v>
      </c>
      <c r="AC1973" s="508">
        <v>2.3109999999999999</v>
      </c>
      <c r="AD1973" s="508">
        <v>1.897</v>
      </c>
      <c r="AE1973" s="508">
        <v>1.4670000000000001</v>
      </c>
      <c r="AF1973" s="508">
        <v>0.81</v>
      </c>
      <c r="AG1973" s="508">
        <v>0.80400000000000005</v>
      </c>
      <c r="AH1973" s="508">
        <v>0.8</v>
      </c>
      <c r="AI1973" s="492">
        <v>0.79600000000000004</v>
      </c>
      <c r="AJ1973" s="485"/>
    </row>
    <row r="1974" spans="2:36">
      <c r="B1974" s="136" t="s">
        <v>449</v>
      </c>
      <c r="C1974" s="132" t="s">
        <v>1364</v>
      </c>
      <c r="D1974" s="132" t="s">
        <v>282</v>
      </c>
      <c r="E1974" s="508">
        <v>56.46</v>
      </c>
      <c r="F1974" s="508">
        <v>22.962</v>
      </c>
      <c r="G1974" s="508">
        <v>43.966999999999999</v>
      </c>
      <c r="H1974" s="508">
        <v>52.402000000000001</v>
      </c>
      <c r="I1974" s="508">
        <v>49.835999999999999</v>
      </c>
      <c r="J1974" s="508">
        <v>9.67</v>
      </c>
      <c r="K1974" s="508">
        <v>12.319000000000001</v>
      </c>
      <c r="L1974" s="508">
        <v>45.063000000000002</v>
      </c>
      <c r="M1974" s="508">
        <v>15.151</v>
      </c>
      <c r="N1974" s="508">
        <v>29.777000000000001</v>
      </c>
      <c r="O1974" s="508">
        <v>20.838999999999999</v>
      </c>
      <c r="P1974" s="508">
        <v>10.465</v>
      </c>
      <c r="Q1974" s="508">
        <v>9.7940000000000005</v>
      </c>
      <c r="R1974" s="508">
        <v>14.867000000000001</v>
      </c>
      <c r="S1974" s="508">
        <v>8.3689999999999998</v>
      </c>
      <c r="T1974" s="508">
        <v>11.388999999999999</v>
      </c>
      <c r="U1974" s="508">
        <v>6.7480000000000002</v>
      </c>
      <c r="V1974" s="508">
        <v>8.1419999999999995</v>
      </c>
      <c r="W1974" s="508">
        <v>7.2430000000000003</v>
      </c>
      <c r="X1974" s="508">
        <v>5.5739999999999998</v>
      </c>
      <c r="Y1974" s="508">
        <v>4.9080000000000004</v>
      </c>
      <c r="Z1974" s="508">
        <v>4.1379999999999999</v>
      </c>
      <c r="AA1974" s="508">
        <v>2.6059999999999999</v>
      </c>
      <c r="AB1974" s="508">
        <v>2.2519999999999998</v>
      </c>
      <c r="AC1974" s="508">
        <v>2.7770000000000001</v>
      </c>
      <c r="AD1974" s="508">
        <v>2.2570000000000001</v>
      </c>
      <c r="AE1974" s="508">
        <v>1.756</v>
      </c>
      <c r="AF1974" s="508">
        <v>0.96799999999999997</v>
      </c>
      <c r="AG1974" s="508">
        <v>0.96199999999999997</v>
      </c>
      <c r="AH1974" s="508">
        <v>0.95799999999999996</v>
      </c>
      <c r="AI1974" s="492">
        <v>0.95399999999999996</v>
      </c>
      <c r="AJ1974" s="485"/>
    </row>
    <row r="1975" spans="2:36">
      <c r="B1975" s="136" t="s">
        <v>450</v>
      </c>
      <c r="C1975" s="132" t="s">
        <v>1364</v>
      </c>
      <c r="D1975" s="132" t="s">
        <v>282</v>
      </c>
      <c r="E1975" s="508">
        <v>50.936</v>
      </c>
      <c r="F1975" s="508">
        <v>20.062000000000001</v>
      </c>
      <c r="G1975" s="508">
        <v>38.564999999999998</v>
      </c>
      <c r="H1975" s="508">
        <v>45.631</v>
      </c>
      <c r="I1975" s="508">
        <v>42.762</v>
      </c>
      <c r="J1975" s="508">
        <v>7.87</v>
      </c>
      <c r="K1975" s="508">
        <v>10.193</v>
      </c>
      <c r="L1975" s="508">
        <v>38.781999999999996</v>
      </c>
      <c r="M1975" s="508">
        <v>12.516999999999999</v>
      </c>
      <c r="N1975" s="508">
        <v>25.872</v>
      </c>
      <c r="O1975" s="508">
        <v>17.736999999999998</v>
      </c>
      <c r="P1975" s="508">
        <v>8.5670000000000002</v>
      </c>
      <c r="Q1975" s="508">
        <v>7.8250000000000002</v>
      </c>
      <c r="R1975" s="508">
        <v>12.263999999999999</v>
      </c>
      <c r="S1975" s="508">
        <v>6.5030000000000001</v>
      </c>
      <c r="T1975" s="508">
        <v>9.1590000000000007</v>
      </c>
      <c r="U1975" s="508">
        <v>5.1310000000000002</v>
      </c>
      <c r="V1975" s="508">
        <v>6.4660000000000002</v>
      </c>
      <c r="W1975" s="508">
        <v>5.8</v>
      </c>
      <c r="X1975" s="508">
        <v>4.407</v>
      </c>
      <c r="Y1975" s="508">
        <v>3.85</v>
      </c>
      <c r="Z1975" s="508">
        <v>3.1890000000000001</v>
      </c>
      <c r="AA1975" s="508">
        <v>2.1230000000000002</v>
      </c>
      <c r="AB1975" s="508">
        <v>1.837</v>
      </c>
      <c r="AC1975" s="508">
        <v>2.278</v>
      </c>
      <c r="AD1975" s="508">
        <v>1.867</v>
      </c>
      <c r="AE1975" s="508">
        <v>1.4450000000000001</v>
      </c>
      <c r="AF1975" s="508">
        <v>0.79800000000000004</v>
      </c>
      <c r="AG1975" s="508">
        <v>0.79200000000000004</v>
      </c>
      <c r="AH1975" s="508">
        <v>0.78800000000000003</v>
      </c>
      <c r="AI1975" s="492">
        <v>0.78400000000000003</v>
      </c>
      <c r="AJ1975" s="485"/>
    </row>
    <row r="1976" spans="2:36">
      <c r="B1976" s="136" t="s">
        <v>451</v>
      </c>
      <c r="C1976" s="132" t="s">
        <v>1364</v>
      </c>
      <c r="D1976" s="132" t="s">
        <v>282</v>
      </c>
      <c r="E1976" s="508">
        <v>54.104999999999997</v>
      </c>
      <c r="F1976" s="508">
        <v>21.315999999999999</v>
      </c>
      <c r="G1976" s="508">
        <v>40.56</v>
      </c>
      <c r="H1976" s="508">
        <v>47.91</v>
      </c>
      <c r="I1976" s="508">
        <v>44.926000000000002</v>
      </c>
      <c r="J1976" s="508">
        <v>8.5389999999999997</v>
      </c>
      <c r="K1976" s="508">
        <v>10.888999999999999</v>
      </c>
      <c r="L1976" s="508">
        <v>39.805</v>
      </c>
      <c r="M1976" s="508">
        <v>13.237</v>
      </c>
      <c r="N1976" s="508">
        <v>27.216000000000001</v>
      </c>
      <c r="O1976" s="508">
        <v>18.808</v>
      </c>
      <c r="P1976" s="508">
        <v>9.2200000000000006</v>
      </c>
      <c r="Q1976" s="508">
        <v>8.5079999999999991</v>
      </c>
      <c r="R1976" s="508">
        <v>13.015000000000001</v>
      </c>
      <c r="S1976" s="508">
        <v>7.1619999999999999</v>
      </c>
      <c r="T1976" s="508">
        <v>9.8569999999999993</v>
      </c>
      <c r="U1976" s="508">
        <v>5.7409999999999997</v>
      </c>
      <c r="V1976" s="508">
        <v>7.0490000000000004</v>
      </c>
      <c r="W1976" s="508">
        <v>6.2759999999999998</v>
      </c>
      <c r="X1976" s="508">
        <v>4.7779999999999996</v>
      </c>
      <c r="Y1976" s="508">
        <v>4.1890000000000001</v>
      </c>
      <c r="Z1976" s="508">
        <v>3.5089999999999999</v>
      </c>
      <c r="AA1976" s="508">
        <v>2.2440000000000002</v>
      </c>
      <c r="AB1976" s="508">
        <v>1.9339999999999999</v>
      </c>
      <c r="AC1976" s="508">
        <v>2.3809999999999998</v>
      </c>
      <c r="AD1976" s="508">
        <v>1.9339999999999999</v>
      </c>
      <c r="AE1976" s="508">
        <v>1.5049999999999999</v>
      </c>
      <c r="AF1976" s="508">
        <v>0.83</v>
      </c>
      <c r="AG1976" s="508">
        <v>0.82499999999999996</v>
      </c>
      <c r="AH1976" s="508">
        <v>0.82</v>
      </c>
      <c r="AI1976" s="492">
        <v>0.81599999999999995</v>
      </c>
      <c r="AJ1976" s="485"/>
    </row>
    <row r="1977" spans="2:36">
      <c r="B1977" s="136" t="s">
        <v>452</v>
      </c>
      <c r="C1977" s="132" t="s">
        <v>1364</v>
      </c>
      <c r="D1977" s="132" t="s">
        <v>282</v>
      </c>
      <c r="E1977" s="508">
        <v>52.207999999999998</v>
      </c>
      <c r="F1977" s="508">
        <v>20.526</v>
      </c>
      <c r="G1977" s="508">
        <v>39.223999999999997</v>
      </c>
      <c r="H1977" s="508">
        <v>46.363999999999997</v>
      </c>
      <c r="I1977" s="508">
        <v>43.465000000000003</v>
      </c>
      <c r="J1977" s="508">
        <v>8.1530000000000005</v>
      </c>
      <c r="K1977" s="508">
        <v>10.462999999999999</v>
      </c>
      <c r="L1977" s="508">
        <v>38.896999999999998</v>
      </c>
      <c r="M1977" s="508">
        <v>12.773</v>
      </c>
      <c r="N1977" s="508">
        <v>26.376000000000001</v>
      </c>
      <c r="O1977" s="508">
        <v>18.163</v>
      </c>
      <c r="P1977" s="508">
        <v>8.8450000000000006</v>
      </c>
      <c r="Q1977" s="508">
        <v>8.1159999999999997</v>
      </c>
      <c r="R1977" s="508">
        <v>12.539</v>
      </c>
      <c r="S1977" s="508">
        <v>6.7949999999999999</v>
      </c>
      <c r="T1977" s="508">
        <v>9.4410000000000007</v>
      </c>
      <c r="U1977" s="508">
        <v>5.4089999999999998</v>
      </c>
      <c r="V1977" s="508">
        <v>6.7050000000000001</v>
      </c>
      <c r="W1977" s="508">
        <v>5.9870000000000001</v>
      </c>
      <c r="X1977" s="508">
        <v>4.5529999999999999</v>
      </c>
      <c r="Y1977" s="508">
        <v>3.9860000000000002</v>
      </c>
      <c r="Z1977" s="508">
        <v>3.3250000000000002</v>
      </c>
      <c r="AA1977" s="508">
        <v>2.1579999999999999</v>
      </c>
      <c r="AB1977" s="508">
        <v>1.863</v>
      </c>
      <c r="AC1977" s="508">
        <v>2.2989999999999999</v>
      </c>
      <c r="AD1977" s="508">
        <v>1.8740000000000001</v>
      </c>
      <c r="AE1977" s="508">
        <v>1.4550000000000001</v>
      </c>
      <c r="AF1977" s="508">
        <v>0.80400000000000005</v>
      </c>
      <c r="AG1977" s="508">
        <v>0.79800000000000004</v>
      </c>
      <c r="AH1977" s="508">
        <v>0.79400000000000004</v>
      </c>
      <c r="AI1977" s="492">
        <v>0.79</v>
      </c>
      <c r="AJ1977" s="485"/>
    </row>
    <row r="1978" spans="2:36">
      <c r="B1978" s="136" t="s">
        <v>453</v>
      </c>
      <c r="C1978" s="132" t="s">
        <v>1364</v>
      </c>
      <c r="D1978" s="132" t="s">
        <v>282</v>
      </c>
      <c r="E1978" s="508">
        <v>50.603999999999999</v>
      </c>
      <c r="F1978" s="508">
        <v>19.940999999999999</v>
      </c>
      <c r="G1978" s="508">
        <v>38.381</v>
      </c>
      <c r="H1978" s="508">
        <v>45.423000000000002</v>
      </c>
      <c r="I1978" s="508">
        <v>42.564</v>
      </c>
      <c r="J1978" s="508">
        <v>7.8010000000000002</v>
      </c>
      <c r="K1978" s="508">
        <v>10.125</v>
      </c>
      <c r="L1978" s="508">
        <v>38.718000000000004</v>
      </c>
      <c r="M1978" s="508">
        <v>12.45</v>
      </c>
      <c r="N1978" s="508">
        <v>25.736999999999998</v>
      </c>
      <c r="O1978" s="508">
        <v>17.628</v>
      </c>
      <c r="P1978" s="508">
        <v>8.4979999999999993</v>
      </c>
      <c r="Q1978" s="508">
        <v>7.7539999999999996</v>
      </c>
      <c r="R1978" s="508">
        <v>12.191000000000001</v>
      </c>
      <c r="S1978" s="508">
        <v>6.4329999999999998</v>
      </c>
      <c r="T1978" s="508">
        <v>9.0890000000000004</v>
      </c>
      <c r="U1978" s="508">
        <v>5.0650000000000004</v>
      </c>
      <c r="V1978" s="508">
        <v>6.4039999999999999</v>
      </c>
      <c r="W1978" s="508">
        <v>5.7510000000000003</v>
      </c>
      <c r="X1978" s="508">
        <v>4.3680000000000003</v>
      </c>
      <c r="Y1978" s="508">
        <v>3.8149999999999999</v>
      </c>
      <c r="Z1978" s="508">
        <v>3.1549999999999998</v>
      </c>
      <c r="AA1978" s="508">
        <v>2.1120000000000001</v>
      </c>
      <c r="AB1978" s="508">
        <v>1.8280000000000001</v>
      </c>
      <c r="AC1978" s="508">
        <v>2.2690000000000001</v>
      </c>
      <c r="AD1978" s="508">
        <v>1.8620000000000001</v>
      </c>
      <c r="AE1978" s="508">
        <v>1.44</v>
      </c>
      <c r="AF1978" s="508">
        <v>0.79500000000000004</v>
      </c>
      <c r="AG1978" s="508">
        <v>0.79</v>
      </c>
      <c r="AH1978" s="508">
        <v>0.78500000000000003</v>
      </c>
      <c r="AI1978" s="492">
        <v>0.78100000000000003</v>
      </c>
      <c r="AJ1978" s="485"/>
    </row>
    <row r="1979" spans="2:36">
      <c r="B1979" s="136" t="s">
        <v>454</v>
      </c>
      <c r="C1979" s="132" t="s">
        <v>1364</v>
      </c>
      <c r="D1979" s="132" t="s">
        <v>282</v>
      </c>
      <c r="E1979" s="508">
        <v>50.973999999999997</v>
      </c>
      <c r="F1979" s="508">
        <v>20.102</v>
      </c>
      <c r="G1979" s="508">
        <v>38.686</v>
      </c>
      <c r="H1979" s="508">
        <v>45.783999999999999</v>
      </c>
      <c r="I1979" s="508">
        <v>42.902000000000001</v>
      </c>
      <c r="J1979" s="508">
        <v>7.867</v>
      </c>
      <c r="K1979" s="508">
        <v>10.209</v>
      </c>
      <c r="L1979" s="508">
        <v>39.021999999999998</v>
      </c>
      <c r="M1979" s="508">
        <v>12.551</v>
      </c>
      <c r="N1979" s="508">
        <v>25.896000000000001</v>
      </c>
      <c r="O1979" s="508">
        <v>17.741</v>
      </c>
      <c r="P1979" s="508">
        <v>8.56</v>
      </c>
      <c r="Q1979" s="508">
        <v>7.8230000000000004</v>
      </c>
      <c r="R1979" s="508">
        <v>12.3</v>
      </c>
      <c r="S1979" s="508">
        <v>6.4909999999999997</v>
      </c>
      <c r="T1979" s="508">
        <v>9.17</v>
      </c>
      <c r="U1979" s="508">
        <v>5.1130000000000004</v>
      </c>
      <c r="V1979" s="508">
        <v>6.4690000000000003</v>
      </c>
      <c r="W1979" s="508">
        <v>5.81</v>
      </c>
      <c r="X1979" s="508">
        <v>4.4139999999999997</v>
      </c>
      <c r="Y1979" s="508">
        <v>3.8540000000000001</v>
      </c>
      <c r="Z1979" s="508">
        <v>3.1869999999999998</v>
      </c>
      <c r="AA1979" s="508">
        <v>2.1349999999999998</v>
      </c>
      <c r="AB1979" s="508">
        <v>1.8480000000000001</v>
      </c>
      <c r="AC1979" s="508">
        <v>2.2949999999999999</v>
      </c>
      <c r="AD1979" s="508">
        <v>1.883</v>
      </c>
      <c r="AE1979" s="508">
        <v>1.456</v>
      </c>
      <c r="AF1979" s="508">
        <v>0.80400000000000005</v>
      </c>
      <c r="AG1979" s="508">
        <v>0.79900000000000004</v>
      </c>
      <c r="AH1979" s="508">
        <v>0.79400000000000004</v>
      </c>
      <c r="AI1979" s="492">
        <v>0.79</v>
      </c>
      <c r="AJ1979" s="485"/>
    </row>
    <row r="1980" spans="2:36">
      <c r="B1980" s="136" t="s">
        <v>455</v>
      </c>
      <c r="C1980" s="132" t="s">
        <v>1364</v>
      </c>
      <c r="D1980" s="132" t="s">
        <v>282</v>
      </c>
      <c r="E1980" s="508">
        <v>50.850999999999999</v>
      </c>
      <c r="F1980" s="508">
        <v>20.181000000000001</v>
      </c>
      <c r="G1980" s="508">
        <v>39.003</v>
      </c>
      <c r="H1980" s="508">
        <v>46.192</v>
      </c>
      <c r="I1980" s="508">
        <v>43.274000000000001</v>
      </c>
      <c r="J1980" s="508">
        <v>7.8230000000000004</v>
      </c>
      <c r="K1980" s="508">
        <v>10.218</v>
      </c>
      <c r="L1980" s="508">
        <v>39.688000000000002</v>
      </c>
      <c r="M1980" s="508">
        <v>12.616</v>
      </c>
      <c r="N1980" s="508">
        <v>25.994</v>
      </c>
      <c r="O1980" s="508">
        <v>17.757000000000001</v>
      </c>
      <c r="P1980" s="508">
        <v>8.5139999999999993</v>
      </c>
      <c r="Q1980" s="508">
        <v>7.7629999999999999</v>
      </c>
      <c r="R1980" s="508">
        <v>12.321999999999999</v>
      </c>
      <c r="S1980" s="508">
        <v>6.4080000000000004</v>
      </c>
      <c r="T1980" s="508">
        <v>9.1389999999999993</v>
      </c>
      <c r="U1980" s="508">
        <v>5.0209999999999999</v>
      </c>
      <c r="V1980" s="508">
        <v>6.4340000000000002</v>
      </c>
      <c r="W1980" s="508">
        <v>5.7990000000000004</v>
      </c>
      <c r="X1980" s="508">
        <v>4.4050000000000002</v>
      </c>
      <c r="Y1980" s="508">
        <v>3.84</v>
      </c>
      <c r="Z1980" s="508">
        <v>3.1589999999999998</v>
      </c>
      <c r="AA1980" s="508">
        <v>2.1579999999999999</v>
      </c>
      <c r="AB1980" s="508">
        <v>1.871</v>
      </c>
      <c r="AC1980" s="508">
        <v>2.3319999999999999</v>
      </c>
      <c r="AD1980" s="508">
        <v>1.9219999999999999</v>
      </c>
      <c r="AE1980" s="508">
        <v>1.482</v>
      </c>
      <c r="AF1980" s="508">
        <v>0.81799999999999995</v>
      </c>
      <c r="AG1980" s="508">
        <v>0.81299999999999994</v>
      </c>
      <c r="AH1980" s="508">
        <v>0.80800000000000005</v>
      </c>
      <c r="AI1980" s="492">
        <v>0.80400000000000005</v>
      </c>
      <c r="AJ1980" s="485"/>
    </row>
    <row r="1981" spans="2:36">
      <c r="B1981" s="136" t="s">
        <v>456</v>
      </c>
      <c r="C1981" s="132" t="s">
        <v>1364</v>
      </c>
      <c r="D1981" s="132" t="s">
        <v>282</v>
      </c>
      <c r="E1981" s="508">
        <v>53.284999999999997</v>
      </c>
      <c r="F1981" s="508">
        <v>21.411999999999999</v>
      </c>
      <c r="G1981" s="508">
        <v>41.222000000000001</v>
      </c>
      <c r="H1981" s="508">
        <v>48.976999999999997</v>
      </c>
      <c r="I1981" s="508">
        <v>46.22</v>
      </c>
      <c r="J1981" s="508">
        <v>8.6319999999999997</v>
      </c>
      <c r="K1981" s="508">
        <v>11.147</v>
      </c>
      <c r="L1981" s="508">
        <v>42.162999999999997</v>
      </c>
      <c r="M1981" s="508">
        <v>13.747</v>
      </c>
      <c r="N1981" s="508">
        <v>27.672000000000001</v>
      </c>
      <c r="O1981" s="508">
        <v>19.117000000000001</v>
      </c>
      <c r="P1981" s="508">
        <v>9.3670000000000009</v>
      </c>
      <c r="Q1981" s="508">
        <v>8.6489999999999991</v>
      </c>
      <c r="R1981" s="508">
        <v>13.449</v>
      </c>
      <c r="S1981" s="508">
        <v>7.26</v>
      </c>
      <c r="T1981" s="508">
        <v>10.127000000000001</v>
      </c>
      <c r="U1981" s="508">
        <v>5.766</v>
      </c>
      <c r="V1981" s="508">
        <v>7.1760000000000002</v>
      </c>
      <c r="W1981" s="508">
        <v>6.4290000000000003</v>
      </c>
      <c r="X1981" s="508">
        <v>4.9160000000000004</v>
      </c>
      <c r="Y1981" s="508">
        <v>4.3070000000000004</v>
      </c>
      <c r="Z1981" s="508">
        <v>3.585</v>
      </c>
      <c r="AA1981" s="508">
        <v>2.3580000000000001</v>
      </c>
      <c r="AB1981" s="508">
        <v>2.0419999999999998</v>
      </c>
      <c r="AC1981" s="508">
        <v>2.5339999999999998</v>
      </c>
      <c r="AD1981" s="508">
        <v>2.0750000000000002</v>
      </c>
      <c r="AE1981" s="508">
        <v>1.607</v>
      </c>
      <c r="AF1981" s="508">
        <v>0.88600000000000001</v>
      </c>
      <c r="AG1981" s="508">
        <v>0.88100000000000001</v>
      </c>
      <c r="AH1981" s="508">
        <v>0.877</v>
      </c>
      <c r="AI1981" s="492">
        <v>0.873</v>
      </c>
      <c r="AJ1981" s="485"/>
    </row>
    <row r="1982" spans="2:36">
      <c r="B1982" s="136" t="s">
        <v>457</v>
      </c>
      <c r="C1982" s="132" t="s">
        <v>1364</v>
      </c>
      <c r="D1982" s="132" t="s">
        <v>282</v>
      </c>
      <c r="E1982" s="508">
        <v>49.579000000000001</v>
      </c>
      <c r="F1982" s="508">
        <v>19.536999999999999</v>
      </c>
      <c r="G1982" s="508">
        <v>37.753999999999998</v>
      </c>
      <c r="H1982" s="508">
        <v>44.712000000000003</v>
      </c>
      <c r="I1982" s="508">
        <v>41.887</v>
      </c>
      <c r="J1982" s="508">
        <v>7.58</v>
      </c>
      <c r="K1982" s="508">
        <v>9.9</v>
      </c>
      <c r="L1982" s="508">
        <v>38.454000000000001</v>
      </c>
      <c r="M1982" s="508">
        <v>12.223000000000001</v>
      </c>
      <c r="N1982" s="508">
        <v>25.292999999999999</v>
      </c>
      <c r="O1982" s="508">
        <v>17.27</v>
      </c>
      <c r="P1982" s="508">
        <v>8.2799999999999994</v>
      </c>
      <c r="Q1982" s="508">
        <v>7.53</v>
      </c>
      <c r="R1982" s="508">
        <v>11.958</v>
      </c>
      <c r="S1982" s="508">
        <v>6.2130000000000001</v>
      </c>
      <c r="T1982" s="508">
        <v>8.8640000000000008</v>
      </c>
      <c r="U1982" s="508">
        <v>4.8579999999999997</v>
      </c>
      <c r="V1982" s="508">
        <v>6.2140000000000004</v>
      </c>
      <c r="W1982" s="508">
        <v>5.5979999999999999</v>
      </c>
      <c r="X1982" s="508">
        <v>4.2489999999999997</v>
      </c>
      <c r="Y1982" s="508">
        <v>3.7050000000000001</v>
      </c>
      <c r="Z1982" s="508">
        <v>3.05</v>
      </c>
      <c r="AA1982" s="508">
        <v>2.077</v>
      </c>
      <c r="AB1982" s="508">
        <v>1.8</v>
      </c>
      <c r="AC1982" s="508">
        <v>2.2410000000000001</v>
      </c>
      <c r="AD1982" s="508">
        <v>1.845</v>
      </c>
      <c r="AE1982" s="508">
        <v>1.4239999999999999</v>
      </c>
      <c r="AF1982" s="508">
        <v>0.78600000000000003</v>
      </c>
      <c r="AG1982" s="508">
        <v>0.78100000000000003</v>
      </c>
      <c r="AH1982" s="508">
        <v>0.77700000000000002</v>
      </c>
      <c r="AI1982" s="492">
        <v>0.77300000000000002</v>
      </c>
      <c r="AJ1982" s="485"/>
    </row>
    <row r="1983" spans="2:36">
      <c r="B1983" s="136" t="s">
        <v>458</v>
      </c>
      <c r="C1983" s="132" t="s">
        <v>1364</v>
      </c>
      <c r="D1983" s="132" t="s">
        <v>282</v>
      </c>
      <c r="E1983" s="508">
        <v>52.194000000000003</v>
      </c>
      <c r="F1983" s="508">
        <v>20.687000000000001</v>
      </c>
      <c r="G1983" s="508">
        <v>39.808999999999997</v>
      </c>
      <c r="H1983" s="508">
        <v>47.112000000000002</v>
      </c>
      <c r="I1983" s="508">
        <v>44.146999999999998</v>
      </c>
      <c r="J1983" s="508">
        <v>8.0950000000000006</v>
      </c>
      <c r="K1983" s="508">
        <v>10.502000000000001</v>
      </c>
      <c r="L1983" s="508">
        <v>40.127000000000002</v>
      </c>
      <c r="M1983" s="508">
        <v>12.912000000000001</v>
      </c>
      <c r="N1983" s="508">
        <v>26.510999999999999</v>
      </c>
      <c r="O1983" s="508">
        <v>18.172000000000001</v>
      </c>
      <c r="P1983" s="508">
        <v>8.7769999999999992</v>
      </c>
      <c r="Q1983" s="508">
        <v>8.0489999999999995</v>
      </c>
      <c r="R1983" s="508">
        <v>12.651</v>
      </c>
      <c r="S1983" s="508">
        <v>6.68</v>
      </c>
      <c r="T1983" s="508">
        <v>9.4350000000000005</v>
      </c>
      <c r="U1983" s="508">
        <v>5.2709999999999999</v>
      </c>
      <c r="V1983" s="508">
        <v>6.68</v>
      </c>
      <c r="W1983" s="508">
        <v>6.0030000000000001</v>
      </c>
      <c r="X1983" s="508">
        <v>4.5629999999999997</v>
      </c>
      <c r="Y1983" s="508">
        <v>3.9830000000000001</v>
      </c>
      <c r="Z1983" s="508">
        <v>3.2909999999999999</v>
      </c>
      <c r="AA1983" s="508">
        <v>2.2130000000000001</v>
      </c>
      <c r="AB1983" s="508">
        <v>1.915</v>
      </c>
      <c r="AC1983" s="508">
        <v>2.38</v>
      </c>
      <c r="AD1983" s="508">
        <v>1.954</v>
      </c>
      <c r="AE1983" s="508">
        <v>1.5109999999999999</v>
      </c>
      <c r="AF1983" s="508">
        <v>0.83399999999999996</v>
      </c>
      <c r="AG1983" s="508">
        <v>0.82799999999999996</v>
      </c>
      <c r="AH1983" s="508">
        <v>0.82299999999999995</v>
      </c>
      <c r="AI1983" s="492">
        <v>0.82</v>
      </c>
      <c r="AJ1983" s="485"/>
    </row>
    <row r="1984" spans="2:36">
      <c r="B1984" s="136" t="s">
        <v>459</v>
      </c>
      <c r="C1984" s="132" t="s">
        <v>1364</v>
      </c>
      <c r="D1984" s="132" t="s">
        <v>282</v>
      </c>
      <c r="E1984" s="508">
        <v>52.194000000000003</v>
      </c>
      <c r="F1984" s="508">
        <v>20.687999999999999</v>
      </c>
      <c r="G1984" s="508">
        <v>39.808999999999997</v>
      </c>
      <c r="H1984" s="508">
        <v>47.112000000000002</v>
      </c>
      <c r="I1984" s="508">
        <v>44.146999999999998</v>
      </c>
      <c r="J1984" s="508">
        <v>8.0960000000000001</v>
      </c>
      <c r="K1984" s="508">
        <v>10.503</v>
      </c>
      <c r="L1984" s="508">
        <v>40.122999999999998</v>
      </c>
      <c r="M1984" s="508">
        <v>12.912000000000001</v>
      </c>
      <c r="N1984" s="508">
        <v>26.513999999999999</v>
      </c>
      <c r="O1984" s="508">
        <v>18.175000000000001</v>
      </c>
      <c r="P1984" s="508">
        <v>8.7780000000000005</v>
      </c>
      <c r="Q1984" s="508">
        <v>8.0500000000000007</v>
      </c>
      <c r="R1984" s="508">
        <v>12.65</v>
      </c>
      <c r="S1984" s="508">
        <v>6.681</v>
      </c>
      <c r="T1984" s="508">
        <v>9.4350000000000005</v>
      </c>
      <c r="U1984" s="508">
        <v>5.2720000000000002</v>
      </c>
      <c r="V1984" s="508">
        <v>6.68</v>
      </c>
      <c r="W1984" s="508">
        <v>6.0030000000000001</v>
      </c>
      <c r="X1984" s="508">
        <v>4.5629999999999997</v>
      </c>
      <c r="Y1984" s="508">
        <v>3.9830000000000001</v>
      </c>
      <c r="Z1984" s="508">
        <v>3.2919999999999998</v>
      </c>
      <c r="AA1984" s="508">
        <v>2.2120000000000002</v>
      </c>
      <c r="AB1984" s="508">
        <v>1.915</v>
      </c>
      <c r="AC1984" s="508">
        <v>2.38</v>
      </c>
      <c r="AD1984" s="508">
        <v>1.954</v>
      </c>
      <c r="AE1984" s="508">
        <v>1.51</v>
      </c>
      <c r="AF1984" s="508">
        <v>0.83299999999999996</v>
      </c>
      <c r="AG1984" s="508">
        <v>0.82799999999999996</v>
      </c>
      <c r="AH1984" s="508">
        <v>0.82299999999999995</v>
      </c>
      <c r="AI1984" s="492">
        <v>0.81899999999999995</v>
      </c>
      <c r="AJ1984" s="485"/>
    </row>
    <row r="1985" spans="2:36">
      <c r="B1985" s="136" t="s">
        <v>460</v>
      </c>
      <c r="C1985" s="132" t="s">
        <v>1364</v>
      </c>
      <c r="D1985" s="132" t="s">
        <v>282</v>
      </c>
      <c r="E1985" s="508">
        <v>52.154000000000003</v>
      </c>
      <c r="F1985" s="508">
        <v>20.597999999999999</v>
      </c>
      <c r="G1985" s="508">
        <v>39.506</v>
      </c>
      <c r="H1985" s="508">
        <v>46.728000000000002</v>
      </c>
      <c r="I1985" s="508">
        <v>43.795999999999999</v>
      </c>
      <c r="J1985" s="508">
        <v>8.1159999999999997</v>
      </c>
      <c r="K1985" s="508">
        <v>10.476000000000001</v>
      </c>
      <c r="L1985" s="508">
        <v>39.512</v>
      </c>
      <c r="M1985" s="508">
        <v>12.836</v>
      </c>
      <c r="N1985" s="508">
        <v>26.440999999999999</v>
      </c>
      <c r="O1985" s="508">
        <v>18.163</v>
      </c>
      <c r="P1985" s="508">
        <v>8.8040000000000003</v>
      </c>
      <c r="Q1985" s="508">
        <v>8.0719999999999992</v>
      </c>
      <c r="R1985" s="508">
        <v>12.582000000000001</v>
      </c>
      <c r="S1985" s="508">
        <v>6.7279999999999998</v>
      </c>
      <c r="T1985" s="508">
        <v>9.4269999999999996</v>
      </c>
      <c r="U1985" s="508">
        <v>5.3319999999999999</v>
      </c>
      <c r="V1985" s="508">
        <v>6.6840000000000002</v>
      </c>
      <c r="W1985" s="508">
        <v>5.9870000000000001</v>
      </c>
      <c r="X1985" s="508">
        <v>4.5529999999999999</v>
      </c>
      <c r="Y1985" s="508">
        <v>3.98</v>
      </c>
      <c r="Z1985" s="508">
        <v>3.3039999999999998</v>
      </c>
      <c r="AA1985" s="508">
        <v>2.1840000000000002</v>
      </c>
      <c r="AB1985" s="508">
        <v>1.887</v>
      </c>
      <c r="AC1985" s="508">
        <v>2.3380000000000001</v>
      </c>
      <c r="AD1985" s="508">
        <v>1.913</v>
      </c>
      <c r="AE1985" s="508">
        <v>1.482</v>
      </c>
      <c r="AF1985" s="508">
        <v>0.81799999999999995</v>
      </c>
      <c r="AG1985" s="508">
        <v>0.81299999999999994</v>
      </c>
      <c r="AH1985" s="508">
        <v>0.80800000000000005</v>
      </c>
      <c r="AI1985" s="492">
        <v>0.80400000000000005</v>
      </c>
      <c r="AJ1985" s="485"/>
    </row>
    <row r="1986" spans="2:36">
      <c r="B1986" s="136" t="s">
        <v>461</v>
      </c>
      <c r="C1986" s="132" t="s">
        <v>1364</v>
      </c>
      <c r="D1986" s="132" t="s">
        <v>282</v>
      </c>
      <c r="E1986" s="508">
        <v>51.176000000000002</v>
      </c>
      <c r="F1986" s="508">
        <v>20.145</v>
      </c>
      <c r="G1986" s="508">
        <v>38.703000000000003</v>
      </c>
      <c r="H1986" s="508">
        <v>45.79</v>
      </c>
      <c r="I1986" s="508">
        <v>42.912999999999997</v>
      </c>
      <c r="J1986" s="508">
        <v>7.9139999999999997</v>
      </c>
      <c r="K1986" s="508">
        <v>10.242000000000001</v>
      </c>
      <c r="L1986" s="508">
        <v>38.893000000000001</v>
      </c>
      <c r="M1986" s="508">
        <v>12.571</v>
      </c>
      <c r="N1986" s="508">
        <v>25.937999999999999</v>
      </c>
      <c r="O1986" s="508">
        <v>17.791</v>
      </c>
      <c r="P1986" s="508">
        <v>8.6059999999999999</v>
      </c>
      <c r="Q1986" s="508">
        <v>7.8760000000000003</v>
      </c>
      <c r="R1986" s="508">
        <v>12.334</v>
      </c>
      <c r="S1986" s="508">
        <v>6.548</v>
      </c>
      <c r="T1986" s="508">
        <v>9.2159999999999993</v>
      </c>
      <c r="U1986" s="508">
        <v>5.17</v>
      </c>
      <c r="V1986" s="508">
        <v>6.5090000000000003</v>
      </c>
      <c r="W1986" s="508">
        <v>5.8380000000000001</v>
      </c>
      <c r="X1986" s="508">
        <v>4.4359999999999999</v>
      </c>
      <c r="Y1986" s="508">
        <v>3.875</v>
      </c>
      <c r="Z1986" s="508">
        <v>3.2109999999999999</v>
      </c>
      <c r="AA1986" s="508">
        <v>2.1360000000000001</v>
      </c>
      <c r="AB1986" s="508">
        <v>1.847</v>
      </c>
      <c r="AC1986" s="508">
        <v>2.29</v>
      </c>
      <c r="AD1986" s="508">
        <v>1.8759999999999999</v>
      </c>
      <c r="AE1986" s="508">
        <v>1.452</v>
      </c>
      <c r="AF1986" s="508">
        <v>0.80200000000000005</v>
      </c>
      <c r="AG1986" s="508">
        <v>0.79700000000000004</v>
      </c>
      <c r="AH1986" s="508">
        <v>0.79200000000000004</v>
      </c>
      <c r="AI1986" s="492">
        <v>0.78800000000000003</v>
      </c>
      <c r="AJ1986" s="485"/>
    </row>
    <row r="1987" spans="2:36">
      <c r="B1987" s="136" t="s">
        <v>462</v>
      </c>
      <c r="C1987" s="132" t="s">
        <v>1364</v>
      </c>
      <c r="D1987" s="132" t="s">
        <v>282</v>
      </c>
      <c r="E1987" s="508">
        <v>50.722999999999999</v>
      </c>
      <c r="F1987" s="508">
        <v>19.960999999999999</v>
      </c>
      <c r="G1987" s="508">
        <v>38.35</v>
      </c>
      <c r="H1987" s="508">
        <v>45.41</v>
      </c>
      <c r="I1987" s="508">
        <v>42.62</v>
      </c>
      <c r="J1987" s="508">
        <v>7.8929999999999998</v>
      </c>
      <c r="K1987" s="508">
        <v>10.205</v>
      </c>
      <c r="L1987" s="508">
        <v>38.668999999999997</v>
      </c>
      <c r="M1987" s="508">
        <v>12.532999999999999</v>
      </c>
      <c r="N1987" s="508">
        <v>25.817</v>
      </c>
      <c r="O1987" s="508">
        <v>17.733000000000001</v>
      </c>
      <c r="P1987" s="508">
        <v>8.6010000000000009</v>
      </c>
      <c r="Q1987" s="508">
        <v>7.8689999999999998</v>
      </c>
      <c r="R1987" s="508">
        <v>12.295999999999999</v>
      </c>
      <c r="S1987" s="508">
        <v>6.5570000000000004</v>
      </c>
      <c r="T1987" s="508">
        <v>9.2050000000000001</v>
      </c>
      <c r="U1987" s="508">
        <v>5.1790000000000003</v>
      </c>
      <c r="V1987" s="508">
        <v>6.4889999999999999</v>
      </c>
      <c r="W1987" s="508">
        <v>5.8140000000000001</v>
      </c>
      <c r="X1987" s="508">
        <v>4.4219999999999997</v>
      </c>
      <c r="Y1987" s="508">
        <v>3.867</v>
      </c>
      <c r="Z1987" s="508">
        <v>3.2109999999999999</v>
      </c>
      <c r="AA1987" s="508">
        <v>2.121</v>
      </c>
      <c r="AB1987" s="508">
        <v>1.8340000000000001</v>
      </c>
      <c r="AC1987" s="508">
        <v>2.2719999999999998</v>
      </c>
      <c r="AD1987" s="508">
        <v>1.859</v>
      </c>
      <c r="AE1987" s="508">
        <v>1.4410000000000001</v>
      </c>
      <c r="AF1987" s="508">
        <v>0.79600000000000004</v>
      </c>
      <c r="AG1987" s="508">
        <v>0.79</v>
      </c>
      <c r="AH1987" s="508">
        <v>0.78600000000000003</v>
      </c>
      <c r="AI1987" s="492">
        <v>0.78200000000000003</v>
      </c>
      <c r="AJ1987" s="485"/>
    </row>
    <row r="1988" spans="2:36">
      <c r="B1988" s="136" t="s">
        <v>463</v>
      </c>
      <c r="C1988" s="132" t="s">
        <v>1364</v>
      </c>
      <c r="D1988" s="132" t="s">
        <v>282</v>
      </c>
      <c r="E1988" s="508">
        <v>50.561</v>
      </c>
      <c r="F1988" s="508">
        <v>20.079000000000001</v>
      </c>
      <c r="G1988" s="508">
        <v>38.909999999999997</v>
      </c>
      <c r="H1988" s="508">
        <v>46.101999999999997</v>
      </c>
      <c r="I1988" s="508">
        <v>43.182000000000002</v>
      </c>
      <c r="J1988" s="508">
        <v>7.7409999999999997</v>
      </c>
      <c r="K1988" s="508">
        <v>10.154999999999999</v>
      </c>
      <c r="L1988" s="508">
        <v>39.860999999999997</v>
      </c>
      <c r="M1988" s="508">
        <v>12.573</v>
      </c>
      <c r="N1988" s="508">
        <v>25.852</v>
      </c>
      <c r="O1988" s="508">
        <v>17.626000000000001</v>
      </c>
      <c r="P1988" s="508">
        <v>8.4280000000000008</v>
      </c>
      <c r="Q1988" s="508">
        <v>7.6849999999999996</v>
      </c>
      <c r="R1988" s="508">
        <v>12.288</v>
      </c>
      <c r="S1988" s="508">
        <v>6.3179999999999996</v>
      </c>
      <c r="T1988" s="508">
        <v>9.0760000000000005</v>
      </c>
      <c r="U1988" s="508">
        <v>4.9290000000000003</v>
      </c>
      <c r="V1988" s="508">
        <v>6.375</v>
      </c>
      <c r="W1988" s="508">
        <v>5.7610000000000001</v>
      </c>
      <c r="X1988" s="508">
        <v>4.3739999999999997</v>
      </c>
      <c r="Y1988" s="508">
        <v>3.8079999999999998</v>
      </c>
      <c r="Z1988" s="508">
        <v>3.12</v>
      </c>
      <c r="AA1988" s="508">
        <v>2.1619999999999999</v>
      </c>
      <c r="AB1988" s="508">
        <v>1.8759999999999999</v>
      </c>
      <c r="AC1988" s="508">
        <v>2.3439999999999999</v>
      </c>
      <c r="AD1988" s="508">
        <v>1.9359999999999999</v>
      </c>
      <c r="AE1988" s="508">
        <v>1.4910000000000001</v>
      </c>
      <c r="AF1988" s="508">
        <v>0.82299999999999995</v>
      </c>
      <c r="AG1988" s="508">
        <v>0.81799999999999995</v>
      </c>
      <c r="AH1988" s="508">
        <v>0.81299999999999994</v>
      </c>
      <c r="AI1988" s="492">
        <v>0.80900000000000005</v>
      </c>
      <c r="AJ1988" s="485"/>
    </row>
    <row r="1989" spans="2:36">
      <c r="B1989" s="136" t="s">
        <v>464</v>
      </c>
      <c r="C1989" s="132" t="s">
        <v>1364</v>
      </c>
      <c r="D1989" s="132" t="s">
        <v>282</v>
      </c>
      <c r="E1989" s="508">
        <v>49.817999999999998</v>
      </c>
      <c r="F1989" s="508">
        <v>19.681000000000001</v>
      </c>
      <c r="G1989" s="508">
        <v>38.048999999999999</v>
      </c>
      <c r="H1989" s="508">
        <v>45.063000000000002</v>
      </c>
      <c r="I1989" s="508">
        <v>42.216000000000001</v>
      </c>
      <c r="J1989" s="508">
        <v>7.6269999999999998</v>
      </c>
      <c r="K1989" s="508">
        <v>9.9670000000000005</v>
      </c>
      <c r="L1989" s="508">
        <v>38.767000000000003</v>
      </c>
      <c r="M1989" s="508">
        <v>12.31</v>
      </c>
      <c r="N1989" s="508">
        <v>25.46</v>
      </c>
      <c r="O1989" s="508">
        <v>17.381</v>
      </c>
      <c r="P1989" s="508">
        <v>8.3260000000000005</v>
      </c>
      <c r="Q1989" s="508">
        <v>7.5709999999999997</v>
      </c>
      <c r="R1989" s="508">
        <v>12.029</v>
      </c>
      <c r="S1989" s="508">
        <v>6.2450000000000001</v>
      </c>
      <c r="T1989" s="508">
        <v>8.9149999999999991</v>
      </c>
      <c r="U1989" s="508">
        <v>4.883</v>
      </c>
      <c r="V1989" s="508">
        <v>6.2539999999999996</v>
      </c>
      <c r="W1989" s="508">
        <v>5.6360000000000001</v>
      </c>
      <c r="X1989" s="508">
        <v>4.2789999999999999</v>
      </c>
      <c r="Y1989" s="508">
        <v>3.73</v>
      </c>
      <c r="Z1989" s="508">
        <v>3.069</v>
      </c>
      <c r="AA1989" s="508">
        <v>2.0939999999999999</v>
      </c>
      <c r="AB1989" s="508">
        <v>1.8160000000000001</v>
      </c>
      <c r="AC1989" s="508">
        <v>2.262</v>
      </c>
      <c r="AD1989" s="508">
        <v>1.863</v>
      </c>
      <c r="AE1989" s="508">
        <v>1.4379999999999999</v>
      </c>
      <c r="AF1989" s="508">
        <v>0.79400000000000004</v>
      </c>
      <c r="AG1989" s="508">
        <v>0.78900000000000003</v>
      </c>
      <c r="AH1989" s="508">
        <v>0.78400000000000003</v>
      </c>
      <c r="AI1989" s="492">
        <v>0.78</v>
      </c>
      <c r="AJ1989" s="485"/>
    </row>
    <row r="1990" spans="2:36">
      <c r="B1990" s="136" t="s">
        <v>465</v>
      </c>
      <c r="C1990" s="132" t="s">
        <v>1364</v>
      </c>
      <c r="D1990" s="132" t="s">
        <v>282</v>
      </c>
      <c r="E1990" s="508">
        <v>50.843000000000004</v>
      </c>
      <c r="F1990" s="508">
        <v>20.154</v>
      </c>
      <c r="G1990" s="508">
        <v>38.914999999999999</v>
      </c>
      <c r="H1990" s="508">
        <v>46.08</v>
      </c>
      <c r="I1990" s="508">
        <v>43.170999999999999</v>
      </c>
      <c r="J1990" s="508">
        <v>7.8280000000000003</v>
      </c>
      <c r="K1990" s="508">
        <v>10.210000000000001</v>
      </c>
      <c r="L1990" s="508">
        <v>39.517000000000003</v>
      </c>
      <c r="M1990" s="508">
        <v>12.593999999999999</v>
      </c>
      <c r="N1990" s="508">
        <v>25.968</v>
      </c>
      <c r="O1990" s="508">
        <v>17.75</v>
      </c>
      <c r="P1990" s="508">
        <v>8.52</v>
      </c>
      <c r="Q1990" s="508">
        <v>7.77</v>
      </c>
      <c r="R1990" s="508">
        <v>12.305</v>
      </c>
      <c r="S1990" s="508">
        <v>6.4210000000000003</v>
      </c>
      <c r="T1990" s="508">
        <v>9.1370000000000005</v>
      </c>
      <c r="U1990" s="508">
        <v>5.0380000000000003</v>
      </c>
      <c r="V1990" s="508">
        <v>6.4349999999999996</v>
      </c>
      <c r="W1990" s="508">
        <v>5.7960000000000003</v>
      </c>
      <c r="X1990" s="508">
        <v>4.4029999999999996</v>
      </c>
      <c r="Y1990" s="508">
        <v>3.84</v>
      </c>
      <c r="Z1990" s="508">
        <v>3.1619999999999999</v>
      </c>
      <c r="AA1990" s="508">
        <v>2.1509999999999998</v>
      </c>
      <c r="AB1990" s="508">
        <v>1.8640000000000001</v>
      </c>
      <c r="AC1990" s="508">
        <v>2.3210000000000002</v>
      </c>
      <c r="AD1990" s="508">
        <v>1.911</v>
      </c>
      <c r="AE1990" s="508">
        <v>1.4750000000000001</v>
      </c>
      <c r="AF1990" s="508">
        <v>0.81399999999999995</v>
      </c>
      <c r="AG1990" s="508">
        <v>0.80900000000000005</v>
      </c>
      <c r="AH1990" s="508">
        <v>0.80400000000000005</v>
      </c>
      <c r="AI1990" s="492">
        <v>0.8</v>
      </c>
      <c r="AJ1990" s="485"/>
    </row>
    <row r="1991" spans="2:36">
      <c r="B1991" s="136" t="s">
        <v>466</v>
      </c>
      <c r="C1991" s="132" t="s">
        <v>1364</v>
      </c>
      <c r="D1991" s="132" t="s">
        <v>282</v>
      </c>
      <c r="E1991" s="508">
        <v>53.296999999999997</v>
      </c>
      <c r="F1991" s="508">
        <v>21.018999999999998</v>
      </c>
      <c r="G1991" s="508">
        <v>40.104999999999997</v>
      </c>
      <c r="H1991" s="508">
        <v>47.393999999999998</v>
      </c>
      <c r="I1991" s="508">
        <v>44.435000000000002</v>
      </c>
      <c r="J1991" s="508">
        <v>8.3719999999999999</v>
      </c>
      <c r="K1991" s="508">
        <v>10.718999999999999</v>
      </c>
      <c r="L1991" s="508">
        <v>39.601999999999997</v>
      </c>
      <c r="M1991" s="508">
        <v>13.066000000000001</v>
      </c>
      <c r="N1991" s="508">
        <v>26.911000000000001</v>
      </c>
      <c r="O1991" s="508">
        <v>18.559000000000001</v>
      </c>
      <c r="P1991" s="508">
        <v>9.0579999999999998</v>
      </c>
      <c r="Q1991" s="508">
        <v>8.3320000000000007</v>
      </c>
      <c r="R1991" s="508">
        <v>12.823</v>
      </c>
      <c r="S1991" s="508">
        <v>6.992</v>
      </c>
      <c r="T1991" s="508">
        <v>9.6780000000000008</v>
      </c>
      <c r="U1991" s="508">
        <v>5.5839999999999996</v>
      </c>
      <c r="V1991" s="508">
        <v>6.899</v>
      </c>
      <c r="W1991" s="508">
        <v>6.1539999999999999</v>
      </c>
      <c r="X1991" s="508">
        <v>4.6840000000000002</v>
      </c>
      <c r="Y1991" s="508">
        <v>4.1029999999999998</v>
      </c>
      <c r="Z1991" s="508">
        <v>3.427</v>
      </c>
      <c r="AA1991" s="508">
        <v>2.214</v>
      </c>
      <c r="AB1991" s="508">
        <v>1.91</v>
      </c>
      <c r="AC1991" s="508">
        <v>2.3559999999999999</v>
      </c>
      <c r="AD1991" s="508">
        <v>1.9179999999999999</v>
      </c>
      <c r="AE1991" s="508">
        <v>1.49</v>
      </c>
      <c r="AF1991" s="508">
        <v>0.82299999999999995</v>
      </c>
      <c r="AG1991" s="508">
        <v>0.81699999999999995</v>
      </c>
      <c r="AH1991" s="508">
        <v>0.81299999999999994</v>
      </c>
      <c r="AI1991" s="492">
        <v>0.80900000000000005</v>
      </c>
      <c r="AJ1991" s="485"/>
    </row>
    <row r="1992" spans="2:36">
      <c r="B1992" s="136" t="s">
        <v>467</v>
      </c>
      <c r="C1992" s="132" t="s">
        <v>1364</v>
      </c>
      <c r="D1992" s="132" t="s">
        <v>282</v>
      </c>
      <c r="E1992" s="508">
        <v>50.951999999999998</v>
      </c>
      <c r="F1992" s="508">
        <v>20.05</v>
      </c>
      <c r="G1992" s="508">
        <v>38.534999999999997</v>
      </c>
      <c r="H1992" s="508">
        <v>45.594999999999999</v>
      </c>
      <c r="I1992" s="508">
        <v>42.728999999999999</v>
      </c>
      <c r="J1992" s="508">
        <v>7.87</v>
      </c>
      <c r="K1992" s="508">
        <v>10.192</v>
      </c>
      <c r="L1992" s="508">
        <v>38.762999999999998</v>
      </c>
      <c r="M1992" s="508">
        <v>12.513999999999999</v>
      </c>
      <c r="N1992" s="508">
        <v>25.837</v>
      </c>
      <c r="O1992" s="508">
        <v>17.716000000000001</v>
      </c>
      <c r="P1992" s="508">
        <v>8.5640000000000001</v>
      </c>
      <c r="Q1992" s="508">
        <v>7.8310000000000004</v>
      </c>
      <c r="R1992" s="508">
        <v>12.275</v>
      </c>
      <c r="S1992" s="508">
        <v>6.5069999999999997</v>
      </c>
      <c r="T1992" s="508">
        <v>9.1669999999999998</v>
      </c>
      <c r="U1992" s="508">
        <v>5.133</v>
      </c>
      <c r="V1992" s="508">
        <v>6.4690000000000003</v>
      </c>
      <c r="W1992" s="508">
        <v>5.8029999999999999</v>
      </c>
      <c r="X1992" s="508">
        <v>4.4089999999999998</v>
      </c>
      <c r="Y1992" s="508">
        <v>3.8519999999999999</v>
      </c>
      <c r="Z1992" s="508">
        <v>3.19</v>
      </c>
      <c r="AA1992" s="508">
        <v>2.1240000000000001</v>
      </c>
      <c r="AB1992" s="508">
        <v>1.837</v>
      </c>
      <c r="AC1992" s="508">
        <v>2.2789999999999999</v>
      </c>
      <c r="AD1992" s="508">
        <v>1.867</v>
      </c>
      <c r="AE1992" s="508">
        <v>1.4450000000000001</v>
      </c>
      <c r="AF1992" s="508">
        <v>0.79800000000000004</v>
      </c>
      <c r="AG1992" s="508">
        <v>0.79300000000000004</v>
      </c>
      <c r="AH1992" s="508">
        <v>0.78800000000000003</v>
      </c>
      <c r="AI1992" s="492">
        <v>0.78400000000000003</v>
      </c>
      <c r="AJ1992" s="485"/>
    </row>
    <row r="1993" spans="2:36">
      <c r="B1993" s="136" t="s">
        <v>468</v>
      </c>
      <c r="C1993" s="132" t="s">
        <v>1364</v>
      </c>
      <c r="D1993" s="132" t="s">
        <v>282</v>
      </c>
      <c r="E1993" s="508">
        <v>50.121000000000002</v>
      </c>
      <c r="F1993" s="508">
        <v>20.117999999999999</v>
      </c>
      <c r="G1993" s="508">
        <v>39.033999999999999</v>
      </c>
      <c r="H1993" s="508">
        <v>46.258000000000003</v>
      </c>
      <c r="I1993" s="508">
        <v>43.325000000000003</v>
      </c>
      <c r="J1993" s="508">
        <v>7.7309999999999999</v>
      </c>
      <c r="K1993" s="508">
        <v>10.162000000000001</v>
      </c>
      <c r="L1993" s="508">
        <v>40.072000000000003</v>
      </c>
      <c r="M1993" s="508">
        <v>12.599</v>
      </c>
      <c r="N1993" s="508">
        <v>25.795999999999999</v>
      </c>
      <c r="O1993" s="508">
        <v>17.584</v>
      </c>
      <c r="P1993" s="508">
        <v>8.3940000000000001</v>
      </c>
      <c r="Q1993" s="508">
        <v>7.6470000000000002</v>
      </c>
      <c r="R1993" s="508">
        <v>12.243</v>
      </c>
      <c r="S1993" s="508">
        <v>6.2839999999999998</v>
      </c>
      <c r="T1993" s="508">
        <v>9.0399999999999991</v>
      </c>
      <c r="U1993" s="508">
        <v>4.899</v>
      </c>
      <c r="V1993" s="508">
        <v>6.3479999999999999</v>
      </c>
      <c r="W1993" s="508">
        <v>5.7409999999999997</v>
      </c>
      <c r="X1993" s="508">
        <v>4.3650000000000002</v>
      </c>
      <c r="Y1993" s="508">
        <v>3.8010000000000002</v>
      </c>
      <c r="Z1993" s="508">
        <v>3.1110000000000002</v>
      </c>
      <c r="AA1993" s="508">
        <v>2.1659999999999999</v>
      </c>
      <c r="AB1993" s="508">
        <v>1.881</v>
      </c>
      <c r="AC1993" s="508">
        <v>2.3530000000000002</v>
      </c>
      <c r="AD1993" s="508">
        <v>1.948</v>
      </c>
      <c r="AE1993" s="508">
        <v>1.4990000000000001</v>
      </c>
      <c r="AF1993" s="508">
        <v>0.82699999999999996</v>
      </c>
      <c r="AG1993" s="508">
        <v>0.82199999999999995</v>
      </c>
      <c r="AH1993" s="508">
        <v>0.81699999999999995</v>
      </c>
      <c r="AI1993" s="492">
        <v>0.81299999999999994</v>
      </c>
      <c r="AJ1993" s="485"/>
    </row>
    <row r="1994" spans="2:36">
      <c r="B1994" s="136" t="s">
        <v>469</v>
      </c>
      <c r="C1994" s="132" t="s">
        <v>1364</v>
      </c>
      <c r="D1994" s="132" t="s">
        <v>282</v>
      </c>
      <c r="E1994" s="508">
        <v>50.917000000000002</v>
      </c>
      <c r="F1994" s="508">
        <v>20.122</v>
      </c>
      <c r="G1994" s="508">
        <v>38.76</v>
      </c>
      <c r="H1994" s="508">
        <v>45.878</v>
      </c>
      <c r="I1994" s="508">
        <v>42.988</v>
      </c>
      <c r="J1994" s="508">
        <v>7.8570000000000002</v>
      </c>
      <c r="K1994" s="508">
        <v>10.209</v>
      </c>
      <c r="L1994" s="508">
        <v>39.155000000000001</v>
      </c>
      <c r="M1994" s="508">
        <v>12.563000000000001</v>
      </c>
      <c r="N1994" s="508">
        <v>25.934999999999999</v>
      </c>
      <c r="O1994" s="508">
        <v>17.756</v>
      </c>
      <c r="P1994" s="508">
        <v>8.5510000000000002</v>
      </c>
      <c r="Q1994" s="508">
        <v>7.8049999999999997</v>
      </c>
      <c r="R1994" s="508">
        <v>12.291</v>
      </c>
      <c r="S1994" s="508">
        <v>6.47</v>
      </c>
      <c r="T1994" s="508">
        <v>9.1549999999999994</v>
      </c>
      <c r="U1994" s="508">
        <v>5.0919999999999996</v>
      </c>
      <c r="V1994" s="508">
        <v>6.4560000000000004</v>
      </c>
      <c r="W1994" s="508">
        <v>5.8019999999999996</v>
      </c>
      <c r="X1994" s="508">
        <v>4.4080000000000004</v>
      </c>
      <c r="Y1994" s="508">
        <v>3.8479999999999999</v>
      </c>
      <c r="Z1994" s="508">
        <v>3.1789999999999998</v>
      </c>
      <c r="AA1994" s="508">
        <v>2.1379999999999999</v>
      </c>
      <c r="AB1994" s="508">
        <v>1.851</v>
      </c>
      <c r="AC1994" s="508">
        <v>2.2989999999999999</v>
      </c>
      <c r="AD1994" s="508">
        <v>1.8879999999999999</v>
      </c>
      <c r="AE1994" s="508">
        <v>1.46</v>
      </c>
      <c r="AF1994" s="508">
        <v>0.80600000000000005</v>
      </c>
      <c r="AG1994" s="508">
        <v>0.80100000000000005</v>
      </c>
      <c r="AH1994" s="508">
        <v>0.79600000000000004</v>
      </c>
      <c r="AI1994" s="492">
        <v>0.79200000000000004</v>
      </c>
      <c r="AJ1994" s="485"/>
    </row>
    <row r="1995" spans="2:36">
      <c r="B1995" s="136" t="s">
        <v>470</v>
      </c>
      <c r="C1995" s="132" t="s">
        <v>1364</v>
      </c>
      <c r="D1995" s="132" t="s">
        <v>282</v>
      </c>
      <c r="E1995" s="508">
        <v>52.448999999999998</v>
      </c>
      <c r="F1995" s="508">
        <v>20.696000000000002</v>
      </c>
      <c r="G1995" s="508">
        <v>39.652999999999999</v>
      </c>
      <c r="H1995" s="508">
        <v>46.893000000000001</v>
      </c>
      <c r="I1995" s="508">
        <v>43.954000000000001</v>
      </c>
      <c r="J1995" s="508">
        <v>8.1739999999999995</v>
      </c>
      <c r="K1995" s="508">
        <v>10.534000000000001</v>
      </c>
      <c r="L1995" s="508">
        <v>39.573</v>
      </c>
      <c r="M1995" s="508">
        <v>12.894</v>
      </c>
      <c r="N1995" s="508">
        <v>26.533999999999999</v>
      </c>
      <c r="O1995" s="508">
        <v>18.242999999999999</v>
      </c>
      <c r="P1995" s="508">
        <v>8.86</v>
      </c>
      <c r="Q1995" s="508">
        <v>8.1359999999999992</v>
      </c>
      <c r="R1995" s="508">
        <v>12.654999999999999</v>
      </c>
      <c r="S1995" s="508">
        <v>6.79</v>
      </c>
      <c r="T1995" s="508">
        <v>9.4930000000000003</v>
      </c>
      <c r="U1995" s="508">
        <v>5.3879999999999999</v>
      </c>
      <c r="V1995" s="508">
        <v>6.7380000000000004</v>
      </c>
      <c r="W1995" s="508">
        <v>6.032</v>
      </c>
      <c r="X1995" s="508">
        <v>4.5869999999999997</v>
      </c>
      <c r="Y1995" s="508">
        <v>4.0110000000000001</v>
      </c>
      <c r="Z1995" s="508">
        <v>3.3330000000000002</v>
      </c>
      <c r="AA1995" s="508">
        <v>2.1949999999999998</v>
      </c>
      <c r="AB1995" s="508">
        <v>1.8959999999999999</v>
      </c>
      <c r="AC1995" s="508">
        <v>2.347</v>
      </c>
      <c r="AD1995" s="508">
        <v>1.919</v>
      </c>
      <c r="AE1995" s="508">
        <v>1.4870000000000001</v>
      </c>
      <c r="AF1995" s="508">
        <v>0.82099999999999995</v>
      </c>
      <c r="AG1995" s="508">
        <v>0.81599999999999995</v>
      </c>
      <c r="AH1995" s="508">
        <v>0.81100000000000005</v>
      </c>
      <c r="AI1995" s="492">
        <v>0.80700000000000005</v>
      </c>
      <c r="AJ1995" s="485"/>
    </row>
    <row r="1996" spans="2:36">
      <c r="B1996" s="136" t="s">
        <v>471</v>
      </c>
      <c r="C1996" s="132" t="s">
        <v>1364</v>
      </c>
      <c r="D1996" s="132" t="s">
        <v>282</v>
      </c>
      <c r="E1996" s="508">
        <v>51.570999999999998</v>
      </c>
      <c r="F1996" s="508">
        <v>20.277000000000001</v>
      </c>
      <c r="G1996" s="508">
        <v>38.865000000000002</v>
      </c>
      <c r="H1996" s="508">
        <v>45.963999999999999</v>
      </c>
      <c r="I1996" s="508">
        <v>43.082000000000001</v>
      </c>
      <c r="J1996" s="508">
        <v>8.0050000000000008</v>
      </c>
      <c r="K1996" s="508">
        <v>10.323</v>
      </c>
      <c r="L1996" s="508">
        <v>38.841999999999999</v>
      </c>
      <c r="M1996" s="508">
        <v>12.64</v>
      </c>
      <c r="N1996" s="508">
        <v>26.084</v>
      </c>
      <c r="O1996" s="508">
        <v>17.922000000000001</v>
      </c>
      <c r="P1996" s="508">
        <v>8.6969999999999992</v>
      </c>
      <c r="Q1996" s="508">
        <v>7.97</v>
      </c>
      <c r="R1996" s="508">
        <v>12.41</v>
      </c>
      <c r="S1996" s="508">
        <v>6.6459999999999999</v>
      </c>
      <c r="T1996" s="508">
        <v>9.3030000000000008</v>
      </c>
      <c r="U1996" s="508">
        <v>5.2649999999999997</v>
      </c>
      <c r="V1996" s="508">
        <v>6.585</v>
      </c>
      <c r="W1996" s="508">
        <v>5.8940000000000001</v>
      </c>
      <c r="X1996" s="508">
        <v>4.4800000000000004</v>
      </c>
      <c r="Y1996" s="508">
        <v>3.9180000000000001</v>
      </c>
      <c r="Z1996" s="508">
        <v>3.2559999999999998</v>
      </c>
      <c r="AA1996" s="508">
        <v>2.1429999999999998</v>
      </c>
      <c r="AB1996" s="508">
        <v>1.851</v>
      </c>
      <c r="AC1996" s="508">
        <v>2.2909999999999999</v>
      </c>
      <c r="AD1996" s="508">
        <v>1.873</v>
      </c>
      <c r="AE1996" s="508">
        <v>1.452</v>
      </c>
      <c r="AF1996" s="508">
        <v>0.80200000000000005</v>
      </c>
      <c r="AG1996" s="508">
        <v>0.79600000000000004</v>
      </c>
      <c r="AH1996" s="508">
        <v>0.79200000000000004</v>
      </c>
      <c r="AI1996" s="492">
        <v>0.78800000000000003</v>
      </c>
      <c r="AJ1996" s="485"/>
    </row>
    <row r="1997" spans="2:36">
      <c r="B1997" s="136" t="s">
        <v>472</v>
      </c>
      <c r="C1997" s="132" t="s">
        <v>1364</v>
      </c>
      <c r="D1997" s="132" t="s">
        <v>282</v>
      </c>
      <c r="E1997" s="508">
        <v>49.648000000000003</v>
      </c>
      <c r="F1997" s="508">
        <v>19.565000000000001</v>
      </c>
      <c r="G1997" s="508">
        <v>37.795999999999999</v>
      </c>
      <c r="H1997" s="508">
        <v>44.759</v>
      </c>
      <c r="I1997" s="508">
        <v>41.932000000000002</v>
      </c>
      <c r="J1997" s="508">
        <v>7.5960000000000001</v>
      </c>
      <c r="K1997" s="508">
        <v>9.9160000000000004</v>
      </c>
      <c r="L1997" s="508">
        <v>38.463999999999999</v>
      </c>
      <c r="M1997" s="508">
        <v>12.238</v>
      </c>
      <c r="N1997" s="508">
        <v>25.327000000000002</v>
      </c>
      <c r="O1997" s="508">
        <v>17.297000000000001</v>
      </c>
      <c r="P1997" s="508">
        <v>8.2959999999999994</v>
      </c>
      <c r="Q1997" s="508">
        <v>7.5460000000000003</v>
      </c>
      <c r="R1997" s="508">
        <v>11.972</v>
      </c>
      <c r="S1997" s="508">
        <v>6.2290000000000001</v>
      </c>
      <c r="T1997" s="508">
        <v>8.8789999999999996</v>
      </c>
      <c r="U1997" s="508">
        <v>4.8739999999999997</v>
      </c>
      <c r="V1997" s="508">
        <v>6.2270000000000003</v>
      </c>
      <c r="W1997" s="508">
        <v>5.6079999999999997</v>
      </c>
      <c r="X1997" s="508">
        <v>4.2569999999999997</v>
      </c>
      <c r="Y1997" s="508">
        <v>3.7120000000000002</v>
      </c>
      <c r="Z1997" s="508">
        <v>3.0569999999999999</v>
      </c>
      <c r="AA1997" s="508">
        <v>2.0790000000000002</v>
      </c>
      <c r="AB1997" s="508">
        <v>1.8009999999999999</v>
      </c>
      <c r="AC1997" s="508">
        <v>2.242</v>
      </c>
      <c r="AD1997" s="508">
        <v>1.845</v>
      </c>
      <c r="AE1997" s="508">
        <v>1.425</v>
      </c>
      <c r="AF1997" s="508">
        <v>0.78700000000000003</v>
      </c>
      <c r="AG1997" s="508">
        <v>0.78200000000000003</v>
      </c>
      <c r="AH1997" s="508">
        <v>0.77700000000000002</v>
      </c>
      <c r="AI1997" s="492">
        <v>0.77300000000000002</v>
      </c>
      <c r="AJ1997" s="485"/>
    </row>
    <row r="1998" spans="2:36">
      <c r="B1998" s="136" t="s">
        <v>473</v>
      </c>
      <c r="C1998" s="132" t="s">
        <v>1364</v>
      </c>
      <c r="D1998" s="132" t="s">
        <v>282</v>
      </c>
      <c r="E1998" s="508">
        <v>52.393999999999998</v>
      </c>
      <c r="F1998" s="508">
        <v>20.617000000000001</v>
      </c>
      <c r="G1998" s="508">
        <v>39.411999999999999</v>
      </c>
      <c r="H1998" s="508">
        <v>46.59</v>
      </c>
      <c r="I1998" s="508">
        <v>43.676000000000002</v>
      </c>
      <c r="J1998" s="508">
        <v>8.1820000000000004</v>
      </c>
      <c r="K1998" s="508">
        <v>10.507999999999999</v>
      </c>
      <c r="L1998" s="508">
        <v>39.122999999999998</v>
      </c>
      <c r="M1998" s="508">
        <v>12.833</v>
      </c>
      <c r="N1998" s="508">
        <v>26.462</v>
      </c>
      <c r="O1998" s="508">
        <v>18.22</v>
      </c>
      <c r="P1998" s="508">
        <v>8.8719999999999999</v>
      </c>
      <c r="Q1998" s="508">
        <v>8.1470000000000002</v>
      </c>
      <c r="R1998" s="508">
        <v>12.601000000000001</v>
      </c>
      <c r="S1998" s="508">
        <v>6.8179999999999996</v>
      </c>
      <c r="T1998" s="508">
        <v>9.4819999999999993</v>
      </c>
      <c r="U1998" s="508">
        <v>5.4249999999999998</v>
      </c>
      <c r="V1998" s="508">
        <v>6.7359999999999998</v>
      </c>
      <c r="W1998" s="508">
        <v>6.0170000000000003</v>
      </c>
      <c r="X1998" s="508">
        <v>4.577</v>
      </c>
      <c r="Y1998" s="508">
        <v>4.0060000000000002</v>
      </c>
      <c r="Z1998" s="508">
        <v>3.339</v>
      </c>
      <c r="AA1998" s="508">
        <v>2.1739999999999999</v>
      </c>
      <c r="AB1998" s="508">
        <v>1.8759999999999999</v>
      </c>
      <c r="AC1998" s="508">
        <v>2.3170000000000002</v>
      </c>
      <c r="AD1998" s="508">
        <v>1.889</v>
      </c>
      <c r="AE1998" s="508">
        <v>1.4670000000000001</v>
      </c>
      <c r="AF1998" s="508">
        <v>0.81</v>
      </c>
      <c r="AG1998" s="508">
        <v>0.80500000000000005</v>
      </c>
      <c r="AH1998" s="508">
        <v>0.8</v>
      </c>
      <c r="AI1998" s="492">
        <v>0.79600000000000004</v>
      </c>
      <c r="AJ1998" s="485"/>
    </row>
    <row r="1999" spans="2:36">
      <c r="B1999" s="136" t="s">
        <v>474</v>
      </c>
      <c r="C1999" s="132" t="s">
        <v>1364</v>
      </c>
      <c r="D1999" s="132" t="s">
        <v>282</v>
      </c>
      <c r="E1999" s="508">
        <v>51.423000000000002</v>
      </c>
      <c r="F1999" s="508">
        <v>20.257000000000001</v>
      </c>
      <c r="G1999" s="508">
        <v>38.881</v>
      </c>
      <c r="H1999" s="508">
        <v>45.994</v>
      </c>
      <c r="I1999" s="508">
        <v>43.106000000000002</v>
      </c>
      <c r="J1999" s="508">
        <v>7.9720000000000004</v>
      </c>
      <c r="K1999" s="508">
        <v>10.302</v>
      </c>
      <c r="L1999" s="508">
        <v>38.969000000000001</v>
      </c>
      <c r="M1999" s="508">
        <v>12.632</v>
      </c>
      <c r="N1999" s="508">
        <v>26.073</v>
      </c>
      <c r="O1999" s="508">
        <v>17.896999999999998</v>
      </c>
      <c r="P1999" s="508">
        <v>8.6649999999999991</v>
      </c>
      <c r="Q1999" s="508">
        <v>7.93</v>
      </c>
      <c r="R1999" s="508">
        <v>12.385999999999999</v>
      </c>
      <c r="S1999" s="508">
        <v>6.6029999999999998</v>
      </c>
      <c r="T1999" s="508">
        <v>9.2690000000000001</v>
      </c>
      <c r="U1999" s="508">
        <v>5.2220000000000004</v>
      </c>
      <c r="V1999" s="508">
        <v>6.5549999999999997</v>
      </c>
      <c r="W1999" s="508">
        <v>5.8739999999999997</v>
      </c>
      <c r="X1999" s="508">
        <v>4.4640000000000004</v>
      </c>
      <c r="Y1999" s="508">
        <v>3.9020000000000001</v>
      </c>
      <c r="Z1999" s="508">
        <v>3.238</v>
      </c>
      <c r="AA1999" s="508">
        <v>2.1429999999999998</v>
      </c>
      <c r="AB1999" s="508">
        <v>1.853</v>
      </c>
      <c r="AC1999" s="508">
        <v>2.2959999999999998</v>
      </c>
      <c r="AD1999" s="508">
        <v>1.879</v>
      </c>
      <c r="AE1999" s="508">
        <v>1.4550000000000001</v>
      </c>
      <c r="AF1999" s="508">
        <v>0.80400000000000005</v>
      </c>
      <c r="AG1999" s="508">
        <v>0.79800000000000004</v>
      </c>
      <c r="AH1999" s="508">
        <v>0.79400000000000004</v>
      </c>
      <c r="AI1999" s="492">
        <v>0.79</v>
      </c>
      <c r="AJ1999" s="485"/>
    </row>
    <row r="2000" spans="2:36">
      <c r="B2000" s="136" t="s">
        <v>475</v>
      </c>
      <c r="C2000" s="132" t="s">
        <v>1364</v>
      </c>
      <c r="D2000" s="132" t="s">
        <v>282</v>
      </c>
      <c r="E2000" s="508">
        <v>50.970999999999997</v>
      </c>
      <c r="F2000" s="508">
        <v>20.085999999999999</v>
      </c>
      <c r="G2000" s="508">
        <v>38.630000000000003</v>
      </c>
      <c r="H2000" s="508">
        <v>45.712000000000003</v>
      </c>
      <c r="I2000" s="508">
        <v>42.837000000000003</v>
      </c>
      <c r="J2000" s="508">
        <v>7.8719999999999999</v>
      </c>
      <c r="K2000" s="508">
        <v>10.204000000000001</v>
      </c>
      <c r="L2000" s="508">
        <v>38.904000000000003</v>
      </c>
      <c r="M2000" s="508">
        <v>12.538</v>
      </c>
      <c r="N2000" s="508">
        <v>25.882999999999999</v>
      </c>
      <c r="O2000" s="508">
        <v>17.739999999999998</v>
      </c>
      <c r="P2000" s="508">
        <v>8.5660000000000007</v>
      </c>
      <c r="Q2000" s="508">
        <v>7.8289999999999997</v>
      </c>
      <c r="R2000" s="508">
        <v>12.288</v>
      </c>
      <c r="S2000" s="508">
        <v>6.5010000000000003</v>
      </c>
      <c r="T2000" s="508">
        <v>9.17</v>
      </c>
      <c r="U2000" s="508">
        <v>5.125</v>
      </c>
      <c r="V2000" s="508">
        <v>6.47</v>
      </c>
      <c r="W2000" s="508">
        <v>5.8070000000000004</v>
      </c>
      <c r="X2000" s="508">
        <v>4.4119999999999999</v>
      </c>
      <c r="Y2000" s="508">
        <v>3.8540000000000001</v>
      </c>
      <c r="Z2000" s="508">
        <v>3.19</v>
      </c>
      <c r="AA2000" s="508">
        <v>2.13</v>
      </c>
      <c r="AB2000" s="508">
        <v>1.843</v>
      </c>
      <c r="AC2000" s="508">
        <v>2.2869999999999999</v>
      </c>
      <c r="AD2000" s="508">
        <v>1.875</v>
      </c>
      <c r="AE2000" s="508">
        <v>1.4510000000000001</v>
      </c>
      <c r="AF2000" s="508">
        <v>0.80100000000000005</v>
      </c>
      <c r="AG2000" s="508">
        <v>0.79600000000000004</v>
      </c>
      <c r="AH2000" s="508">
        <v>0.79100000000000004</v>
      </c>
      <c r="AI2000" s="492">
        <v>0.78700000000000003</v>
      </c>
      <c r="AJ2000" s="485"/>
    </row>
    <row r="2001" spans="2:36">
      <c r="B2001" s="136" t="s">
        <v>476</v>
      </c>
      <c r="C2001" s="132" t="s">
        <v>1364</v>
      </c>
      <c r="D2001" s="132" t="s">
        <v>282</v>
      </c>
      <c r="E2001" s="508">
        <v>52.22</v>
      </c>
      <c r="F2001" s="508">
        <v>20.63</v>
      </c>
      <c r="G2001" s="508">
        <v>39.564</v>
      </c>
      <c r="H2001" s="508">
        <v>46.795999999999999</v>
      </c>
      <c r="I2001" s="508">
        <v>43.86</v>
      </c>
      <c r="J2001" s="508">
        <v>8.1300000000000008</v>
      </c>
      <c r="K2001" s="508">
        <v>10.492000000000001</v>
      </c>
      <c r="L2001" s="508">
        <v>39.557000000000002</v>
      </c>
      <c r="M2001" s="508">
        <v>12.855</v>
      </c>
      <c r="N2001" s="508">
        <v>26.478000000000002</v>
      </c>
      <c r="O2001" s="508">
        <v>18.190999999999999</v>
      </c>
      <c r="P2001" s="508">
        <v>8.8179999999999996</v>
      </c>
      <c r="Q2001" s="508">
        <v>8.0850000000000009</v>
      </c>
      <c r="R2001" s="508">
        <v>12.599</v>
      </c>
      <c r="S2001" s="508">
        <v>6.74</v>
      </c>
      <c r="T2001" s="508">
        <v>9.4410000000000007</v>
      </c>
      <c r="U2001" s="508">
        <v>5.343</v>
      </c>
      <c r="V2001" s="508">
        <v>6.6959999999999997</v>
      </c>
      <c r="W2001" s="508">
        <v>5.9969999999999999</v>
      </c>
      <c r="X2001" s="508">
        <v>4.5609999999999999</v>
      </c>
      <c r="Y2001" s="508">
        <v>3.9870000000000001</v>
      </c>
      <c r="Z2001" s="508">
        <v>3.31</v>
      </c>
      <c r="AA2001" s="508">
        <v>2.1869999999999998</v>
      </c>
      <c r="AB2001" s="508">
        <v>1.89</v>
      </c>
      <c r="AC2001" s="508">
        <v>2.3410000000000002</v>
      </c>
      <c r="AD2001" s="508">
        <v>1.915</v>
      </c>
      <c r="AE2001" s="508">
        <v>1.484</v>
      </c>
      <c r="AF2001" s="508">
        <v>0.81899999999999995</v>
      </c>
      <c r="AG2001" s="508">
        <v>0.81399999999999995</v>
      </c>
      <c r="AH2001" s="508">
        <v>0.80900000000000005</v>
      </c>
      <c r="AI2001" s="492">
        <v>0.80500000000000005</v>
      </c>
      <c r="AJ2001" s="485"/>
    </row>
    <row r="2002" spans="2:36">
      <c r="B2002" s="136" t="s">
        <v>478</v>
      </c>
      <c r="C2002" s="132" t="s">
        <v>1364</v>
      </c>
      <c r="D2002" s="132" t="s">
        <v>282</v>
      </c>
      <c r="E2002" s="508">
        <v>53.204999999999998</v>
      </c>
      <c r="F2002" s="508">
        <v>21.077000000000002</v>
      </c>
      <c r="G2002" s="508">
        <v>40.393000000000001</v>
      </c>
      <c r="H2002" s="508">
        <v>47.771000000000001</v>
      </c>
      <c r="I2002" s="508">
        <v>44.776000000000003</v>
      </c>
      <c r="J2002" s="508">
        <v>8.3179999999999996</v>
      </c>
      <c r="K2002" s="508">
        <v>10.722</v>
      </c>
      <c r="L2002" s="508">
        <v>40.31</v>
      </c>
      <c r="M2002" s="508">
        <v>13.128</v>
      </c>
      <c r="N2002" s="508">
        <v>26.946999999999999</v>
      </c>
      <c r="O2002" s="508">
        <v>18.529</v>
      </c>
      <c r="P2002" s="508">
        <v>8.9979999999999993</v>
      </c>
      <c r="Q2002" s="508">
        <v>8.2739999999999991</v>
      </c>
      <c r="R2002" s="508">
        <v>12.872</v>
      </c>
      <c r="S2002" s="508">
        <v>6.9050000000000002</v>
      </c>
      <c r="T2002" s="508">
        <v>9.6560000000000006</v>
      </c>
      <c r="U2002" s="508">
        <v>5.484</v>
      </c>
      <c r="V2002" s="508">
        <v>6.8680000000000003</v>
      </c>
      <c r="W2002" s="508">
        <v>6.1520000000000001</v>
      </c>
      <c r="X2002" s="508">
        <v>4.68</v>
      </c>
      <c r="Y2002" s="508">
        <v>4.0919999999999996</v>
      </c>
      <c r="Z2002" s="508">
        <v>3.3980000000000001</v>
      </c>
      <c r="AA2002" s="508">
        <v>2.2440000000000002</v>
      </c>
      <c r="AB2002" s="508">
        <v>1.9390000000000001</v>
      </c>
      <c r="AC2002" s="508">
        <v>2.4020000000000001</v>
      </c>
      <c r="AD2002" s="508">
        <v>1.9650000000000001</v>
      </c>
      <c r="AE2002" s="508">
        <v>1.522</v>
      </c>
      <c r="AF2002" s="508">
        <v>0.84</v>
      </c>
      <c r="AG2002" s="508">
        <v>0.83499999999999996</v>
      </c>
      <c r="AH2002" s="508">
        <v>0.83</v>
      </c>
      <c r="AI2002" s="492">
        <v>0.82599999999999996</v>
      </c>
      <c r="AJ2002" s="485"/>
    </row>
    <row r="2003" spans="2:36">
      <c r="B2003" s="136" t="s">
        <v>479</v>
      </c>
      <c r="C2003" s="132" t="s">
        <v>1364</v>
      </c>
      <c r="D2003" s="132" t="s">
        <v>282</v>
      </c>
      <c r="E2003" s="508">
        <v>51.506999999999998</v>
      </c>
      <c r="F2003" s="508">
        <v>20.355</v>
      </c>
      <c r="G2003" s="508">
        <v>39.133000000000003</v>
      </c>
      <c r="H2003" s="508">
        <v>46.304000000000002</v>
      </c>
      <c r="I2003" s="508">
        <v>43.393000000000001</v>
      </c>
      <c r="J2003" s="508">
        <v>7.9809999999999999</v>
      </c>
      <c r="K2003" s="508">
        <v>10.339</v>
      </c>
      <c r="L2003" s="508">
        <v>39.345999999999997</v>
      </c>
      <c r="M2003" s="508">
        <v>12.696999999999999</v>
      </c>
      <c r="N2003" s="508">
        <v>26.187000000000001</v>
      </c>
      <c r="O2003" s="508">
        <v>17.957000000000001</v>
      </c>
      <c r="P2003" s="508">
        <v>8.673</v>
      </c>
      <c r="Q2003" s="508">
        <v>7.9320000000000004</v>
      </c>
      <c r="R2003" s="508">
        <v>12.43</v>
      </c>
      <c r="S2003" s="508">
        <v>6.5919999999999996</v>
      </c>
      <c r="T2003" s="508">
        <v>9.2850000000000001</v>
      </c>
      <c r="U2003" s="508">
        <v>5.2050000000000001</v>
      </c>
      <c r="V2003" s="508">
        <v>6.5640000000000001</v>
      </c>
      <c r="W2003" s="508">
        <v>5.89</v>
      </c>
      <c r="X2003" s="508">
        <v>4.4770000000000003</v>
      </c>
      <c r="Y2003" s="508">
        <v>3.911</v>
      </c>
      <c r="Z2003" s="508">
        <v>3.238</v>
      </c>
      <c r="AA2003" s="508">
        <v>2.16</v>
      </c>
      <c r="AB2003" s="508">
        <v>1.869</v>
      </c>
      <c r="AC2003" s="508">
        <v>2.319</v>
      </c>
      <c r="AD2003" s="508">
        <v>1.901</v>
      </c>
      <c r="AE2003" s="508">
        <v>1.4710000000000001</v>
      </c>
      <c r="AF2003" s="508">
        <v>0.81200000000000006</v>
      </c>
      <c r="AG2003" s="508">
        <v>0.80700000000000005</v>
      </c>
      <c r="AH2003" s="508">
        <v>0.80200000000000005</v>
      </c>
      <c r="AI2003" s="492">
        <v>0.79800000000000004</v>
      </c>
      <c r="AJ2003" s="485"/>
    </row>
    <row r="2004" spans="2:36">
      <c r="B2004" s="136" t="s">
        <v>480</v>
      </c>
      <c r="C2004" s="132" t="s">
        <v>1364</v>
      </c>
      <c r="D2004" s="132" t="s">
        <v>282</v>
      </c>
      <c r="E2004" s="508">
        <v>49.923000000000002</v>
      </c>
      <c r="F2004" s="508">
        <v>19.806999999999999</v>
      </c>
      <c r="G2004" s="508">
        <v>38.392000000000003</v>
      </c>
      <c r="H2004" s="508">
        <v>45.49</v>
      </c>
      <c r="I2004" s="508">
        <v>42.609000000000002</v>
      </c>
      <c r="J2004" s="508">
        <v>7.63</v>
      </c>
      <c r="K2004" s="508">
        <v>10.012</v>
      </c>
      <c r="L2004" s="508">
        <v>39.335999999999999</v>
      </c>
      <c r="M2004" s="508">
        <v>12.398999999999999</v>
      </c>
      <c r="N2004" s="508">
        <v>25.591000000000001</v>
      </c>
      <c r="O2004" s="508">
        <v>17.440999999999999</v>
      </c>
      <c r="P2004" s="508">
        <v>8.3249999999999993</v>
      </c>
      <c r="Q2004" s="508">
        <v>7.5670000000000002</v>
      </c>
      <c r="R2004" s="508">
        <v>12.099</v>
      </c>
      <c r="S2004" s="508">
        <v>6.22</v>
      </c>
      <c r="T2004" s="508">
        <v>8.9350000000000005</v>
      </c>
      <c r="U2004" s="508">
        <v>4.8479999999999999</v>
      </c>
      <c r="V2004" s="508">
        <v>6.2640000000000002</v>
      </c>
      <c r="W2004" s="508">
        <v>5.6589999999999998</v>
      </c>
      <c r="X2004" s="508">
        <v>4.2960000000000003</v>
      </c>
      <c r="Y2004" s="508">
        <v>3.7410000000000001</v>
      </c>
      <c r="Z2004" s="508">
        <v>3.0670000000000002</v>
      </c>
      <c r="AA2004" s="508">
        <v>2.121</v>
      </c>
      <c r="AB2004" s="508">
        <v>1.841</v>
      </c>
      <c r="AC2004" s="508">
        <v>2.298</v>
      </c>
      <c r="AD2004" s="508">
        <v>1.899</v>
      </c>
      <c r="AE2004" s="508">
        <v>1.462</v>
      </c>
      <c r="AF2004" s="508">
        <v>0.80700000000000005</v>
      </c>
      <c r="AG2004" s="508">
        <v>0.80200000000000005</v>
      </c>
      <c r="AH2004" s="508">
        <v>0.79800000000000004</v>
      </c>
      <c r="AI2004" s="492">
        <v>0.79400000000000004</v>
      </c>
      <c r="AJ2004" s="485"/>
    </row>
    <row r="2005" spans="2:36">
      <c r="B2005" s="136" t="s">
        <v>481</v>
      </c>
      <c r="C2005" s="132" t="s">
        <v>1364</v>
      </c>
      <c r="D2005" s="132" t="s">
        <v>282</v>
      </c>
      <c r="E2005" s="508">
        <v>51.868000000000002</v>
      </c>
      <c r="F2005" s="508">
        <v>20.504000000000001</v>
      </c>
      <c r="G2005" s="508">
        <v>39.389000000000003</v>
      </c>
      <c r="H2005" s="508">
        <v>46.601999999999997</v>
      </c>
      <c r="I2005" s="508">
        <v>43.673999999999999</v>
      </c>
      <c r="J2005" s="508">
        <v>8.0519999999999996</v>
      </c>
      <c r="K2005" s="508">
        <v>10.419</v>
      </c>
      <c r="L2005" s="508">
        <v>39.537999999999997</v>
      </c>
      <c r="M2005" s="508">
        <v>12.786</v>
      </c>
      <c r="N2005" s="508">
        <v>26.341000000000001</v>
      </c>
      <c r="O2005" s="508">
        <v>18.074000000000002</v>
      </c>
      <c r="P2005" s="508">
        <v>8.7409999999999997</v>
      </c>
      <c r="Q2005" s="508">
        <v>8.0050000000000008</v>
      </c>
      <c r="R2005" s="508">
        <v>12.523999999999999</v>
      </c>
      <c r="S2005" s="508">
        <v>6.6589999999999998</v>
      </c>
      <c r="T2005" s="508">
        <v>9.3640000000000008</v>
      </c>
      <c r="U2005" s="508">
        <v>5.2649999999999997</v>
      </c>
      <c r="V2005" s="508">
        <v>6.6289999999999996</v>
      </c>
      <c r="W2005" s="508">
        <v>5.9459999999999997</v>
      </c>
      <c r="X2005" s="508">
        <v>4.5199999999999996</v>
      </c>
      <c r="Y2005" s="508">
        <v>3.9489999999999998</v>
      </c>
      <c r="Z2005" s="508">
        <v>3.2719999999999998</v>
      </c>
      <c r="AA2005" s="508">
        <v>2.1779999999999999</v>
      </c>
      <c r="AB2005" s="508">
        <v>1.883</v>
      </c>
      <c r="AC2005" s="508">
        <v>2.3359999999999999</v>
      </c>
      <c r="AD2005" s="508">
        <v>1.9139999999999999</v>
      </c>
      <c r="AE2005" s="508">
        <v>1.482</v>
      </c>
      <c r="AF2005" s="508">
        <v>0.81799999999999995</v>
      </c>
      <c r="AG2005" s="508">
        <v>0.81200000000000006</v>
      </c>
      <c r="AH2005" s="508">
        <v>0.80800000000000005</v>
      </c>
      <c r="AI2005" s="492">
        <v>0.80400000000000005</v>
      </c>
      <c r="AJ2005" s="485"/>
    </row>
    <row r="2006" spans="2:36">
      <c r="B2006" s="136" t="s">
        <v>482</v>
      </c>
      <c r="C2006" s="132" t="s">
        <v>1364</v>
      </c>
      <c r="D2006" s="132" t="s">
        <v>282</v>
      </c>
      <c r="E2006" s="508">
        <v>53.622999999999998</v>
      </c>
      <c r="F2006" s="508">
        <v>21.635999999999999</v>
      </c>
      <c r="G2006" s="508">
        <v>41.735999999999997</v>
      </c>
      <c r="H2006" s="508">
        <v>49.615000000000002</v>
      </c>
      <c r="I2006" s="508">
        <v>46.832999999999998</v>
      </c>
      <c r="J2006" s="508">
        <v>8.6989999999999998</v>
      </c>
      <c r="K2006" s="508">
        <v>11.263999999999999</v>
      </c>
      <c r="L2006" s="508">
        <v>42.914999999999999</v>
      </c>
      <c r="M2006" s="508">
        <v>13.920999999999999</v>
      </c>
      <c r="N2006" s="508">
        <v>27.911999999999999</v>
      </c>
      <c r="O2006" s="508">
        <v>19.266999999999999</v>
      </c>
      <c r="P2006" s="508">
        <v>9.4280000000000008</v>
      </c>
      <c r="Q2006" s="508">
        <v>8.7170000000000005</v>
      </c>
      <c r="R2006" s="508">
        <v>13.615</v>
      </c>
      <c r="S2006" s="508">
        <v>7.3019999999999996</v>
      </c>
      <c r="T2006" s="508">
        <v>10.228999999999999</v>
      </c>
      <c r="U2006" s="508">
        <v>5.7889999999999997</v>
      </c>
      <c r="V2006" s="508">
        <v>7.2480000000000002</v>
      </c>
      <c r="W2006" s="508">
        <v>6.5049999999999999</v>
      </c>
      <c r="X2006" s="508">
        <v>4.976</v>
      </c>
      <c r="Y2006" s="508">
        <v>4.3559999999999999</v>
      </c>
      <c r="Z2006" s="508">
        <v>3.6160000000000001</v>
      </c>
      <c r="AA2006" s="508">
        <v>2.4020000000000001</v>
      </c>
      <c r="AB2006" s="508">
        <v>2.0830000000000002</v>
      </c>
      <c r="AC2006" s="508">
        <v>2.589</v>
      </c>
      <c r="AD2006" s="508">
        <v>2.125</v>
      </c>
      <c r="AE2006" s="508">
        <v>1.6439999999999999</v>
      </c>
      <c r="AF2006" s="508">
        <v>0.90600000000000003</v>
      </c>
      <c r="AG2006" s="508">
        <v>0.90100000000000002</v>
      </c>
      <c r="AH2006" s="508">
        <v>0.89600000000000002</v>
      </c>
      <c r="AI2006" s="492">
        <v>0.89200000000000002</v>
      </c>
      <c r="AJ2006" s="485"/>
    </row>
    <row r="2007" spans="2:36">
      <c r="B2007" s="136" t="s">
        <v>483</v>
      </c>
      <c r="C2007" s="132" t="s">
        <v>1364</v>
      </c>
      <c r="D2007" s="132" t="s">
        <v>282</v>
      </c>
      <c r="E2007" s="508">
        <v>52.985999999999997</v>
      </c>
      <c r="F2007" s="508">
        <v>20.966999999999999</v>
      </c>
      <c r="G2007" s="508">
        <v>40.165999999999997</v>
      </c>
      <c r="H2007" s="508">
        <v>47.499000000000002</v>
      </c>
      <c r="I2007" s="508">
        <v>44.521999999999998</v>
      </c>
      <c r="J2007" s="508">
        <v>8.2810000000000006</v>
      </c>
      <c r="K2007" s="508">
        <v>10.669</v>
      </c>
      <c r="L2007" s="508">
        <v>40.048999999999999</v>
      </c>
      <c r="M2007" s="508">
        <v>13.057</v>
      </c>
      <c r="N2007" s="508">
        <v>26.834</v>
      </c>
      <c r="O2007" s="508">
        <v>18.454000000000001</v>
      </c>
      <c r="P2007" s="508">
        <v>8.9629999999999992</v>
      </c>
      <c r="Q2007" s="508">
        <v>8.2370000000000001</v>
      </c>
      <c r="R2007" s="508">
        <v>12.802</v>
      </c>
      <c r="S2007" s="508">
        <v>6.8769999999999998</v>
      </c>
      <c r="T2007" s="508">
        <v>9.609</v>
      </c>
      <c r="U2007" s="508">
        <v>5.4630000000000001</v>
      </c>
      <c r="V2007" s="508">
        <v>6.8319999999999999</v>
      </c>
      <c r="W2007" s="508">
        <v>6.1159999999999997</v>
      </c>
      <c r="X2007" s="508">
        <v>4.6529999999999996</v>
      </c>
      <c r="Y2007" s="508">
        <v>4.069</v>
      </c>
      <c r="Z2007" s="508">
        <v>3.3809999999999998</v>
      </c>
      <c r="AA2007" s="508">
        <v>2.2269999999999999</v>
      </c>
      <c r="AB2007" s="508">
        <v>1.9239999999999999</v>
      </c>
      <c r="AC2007" s="508">
        <v>2.3820000000000001</v>
      </c>
      <c r="AD2007" s="508">
        <v>1.948</v>
      </c>
      <c r="AE2007" s="508">
        <v>1.5089999999999999</v>
      </c>
      <c r="AF2007" s="508">
        <v>0.83299999999999996</v>
      </c>
      <c r="AG2007" s="508">
        <v>0.82799999999999996</v>
      </c>
      <c r="AH2007" s="508">
        <v>0.82299999999999995</v>
      </c>
      <c r="AI2007" s="492">
        <v>0.81899999999999995</v>
      </c>
      <c r="AJ2007" s="485"/>
    </row>
    <row r="2008" spans="2:36">
      <c r="B2008" s="136" t="s">
        <v>484</v>
      </c>
      <c r="C2008" s="132" t="s">
        <v>1364</v>
      </c>
      <c r="D2008" s="132" t="s">
        <v>282</v>
      </c>
      <c r="E2008" s="508">
        <v>49.649000000000001</v>
      </c>
      <c r="F2008" s="508">
        <v>19.59</v>
      </c>
      <c r="G2008" s="508">
        <v>37.878999999999998</v>
      </c>
      <c r="H2008" s="508">
        <v>44.863</v>
      </c>
      <c r="I2008" s="508">
        <v>42.027999999999999</v>
      </c>
      <c r="J2008" s="508">
        <v>7.59</v>
      </c>
      <c r="K2008" s="508">
        <v>9.9220000000000006</v>
      </c>
      <c r="L2008" s="508">
        <v>38.622999999999998</v>
      </c>
      <c r="M2008" s="508">
        <v>12.257</v>
      </c>
      <c r="N2008" s="508">
        <v>25.352</v>
      </c>
      <c r="O2008" s="508">
        <v>17.303999999999998</v>
      </c>
      <c r="P2008" s="508">
        <v>8.2889999999999997</v>
      </c>
      <c r="Q2008" s="508">
        <v>7.5380000000000003</v>
      </c>
      <c r="R2008" s="508">
        <v>11.986000000000001</v>
      </c>
      <c r="S2008" s="508">
        <v>6.2149999999999999</v>
      </c>
      <c r="T2008" s="508">
        <v>8.8789999999999996</v>
      </c>
      <c r="U2008" s="508">
        <v>4.8570000000000002</v>
      </c>
      <c r="V2008" s="508">
        <v>6.2249999999999996</v>
      </c>
      <c r="W2008" s="508">
        <v>5.61</v>
      </c>
      <c r="X2008" s="508">
        <v>4.2590000000000003</v>
      </c>
      <c r="Y2008" s="508">
        <v>3.7120000000000002</v>
      </c>
      <c r="Z2008" s="508">
        <v>3.0529999999999999</v>
      </c>
      <c r="AA2008" s="508">
        <v>2.085</v>
      </c>
      <c r="AB2008" s="508">
        <v>1.8080000000000001</v>
      </c>
      <c r="AC2008" s="508">
        <v>2.2519999999999998</v>
      </c>
      <c r="AD2008" s="508">
        <v>1.855</v>
      </c>
      <c r="AE2008" s="508">
        <v>1.4319999999999999</v>
      </c>
      <c r="AF2008" s="508">
        <v>0.79100000000000004</v>
      </c>
      <c r="AG2008" s="508">
        <v>0.78500000000000003</v>
      </c>
      <c r="AH2008" s="508">
        <v>0.78100000000000003</v>
      </c>
      <c r="AI2008" s="492">
        <v>0.77700000000000002</v>
      </c>
      <c r="AJ2008" s="485"/>
    </row>
    <row r="2009" spans="2:36">
      <c r="B2009" s="136" t="s">
        <v>486</v>
      </c>
      <c r="C2009" s="132" t="s">
        <v>1364</v>
      </c>
      <c r="D2009" s="132" t="s">
        <v>282</v>
      </c>
      <c r="E2009" s="508">
        <v>52.008000000000003</v>
      </c>
      <c r="F2009" s="508">
        <v>20.579000000000001</v>
      </c>
      <c r="G2009" s="508">
        <v>39.548000000000002</v>
      </c>
      <c r="H2009" s="508">
        <v>46.792000000000002</v>
      </c>
      <c r="I2009" s="508">
        <v>43.850999999999999</v>
      </c>
      <c r="J2009" s="508">
        <v>8.0749999999999993</v>
      </c>
      <c r="K2009" s="508">
        <v>10.454000000000001</v>
      </c>
      <c r="L2009" s="508">
        <v>39.731000000000002</v>
      </c>
      <c r="M2009" s="508">
        <v>12.835000000000001</v>
      </c>
      <c r="N2009" s="508">
        <v>26.416</v>
      </c>
      <c r="O2009" s="508">
        <v>18.122</v>
      </c>
      <c r="P2009" s="508">
        <v>8.7620000000000005</v>
      </c>
      <c r="Q2009" s="508">
        <v>8.0269999999999992</v>
      </c>
      <c r="R2009" s="508">
        <v>12.571</v>
      </c>
      <c r="S2009" s="508">
        <v>6.6740000000000004</v>
      </c>
      <c r="T2009" s="508">
        <v>9.3940000000000001</v>
      </c>
      <c r="U2009" s="508">
        <v>5.2750000000000004</v>
      </c>
      <c r="V2009" s="508">
        <v>6.6520000000000001</v>
      </c>
      <c r="W2009" s="508">
        <v>5.9690000000000003</v>
      </c>
      <c r="X2009" s="508">
        <v>4.5380000000000003</v>
      </c>
      <c r="Y2009" s="508">
        <v>3.964</v>
      </c>
      <c r="Z2009" s="508">
        <v>3.2829999999999999</v>
      </c>
      <c r="AA2009" s="508">
        <v>2.1890000000000001</v>
      </c>
      <c r="AB2009" s="508">
        <v>1.8939999999999999</v>
      </c>
      <c r="AC2009" s="508">
        <v>2.35</v>
      </c>
      <c r="AD2009" s="508">
        <v>1.927</v>
      </c>
      <c r="AE2009" s="508">
        <v>1.4910000000000001</v>
      </c>
      <c r="AF2009" s="508">
        <v>0.82299999999999995</v>
      </c>
      <c r="AG2009" s="508">
        <v>0.81799999999999995</v>
      </c>
      <c r="AH2009" s="508">
        <v>0.81299999999999994</v>
      </c>
      <c r="AI2009" s="492">
        <v>0.80900000000000005</v>
      </c>
      <c r="AJ2009" s="485"/>
    </row>
    <row r="2010" spans="2:36">
      <c r="B2010" s="136" t="s">
        <v>487</v>
      </c>
      <c r="C2010" s="132" t="s">
        <v>1364</v>
      </c>
      <c r="D2010" s="132" t="s">
        <v>282</v>
      </c>
      <c r="E2010" s="508">
        <v>52.293999999999997</v>
      </c>
      <c r="F2010" s="508">
        <v>20.757999999999999</v>
      </c>
      <c r="G2010" s="508">
        <v>39.950000000000003</v>
      </c>
      <c r="H2010" s="508">
        <v>47.28</v>
      </c>
      <c r="I2010" s="508">
        <v>44.304000000000002</v>
      </c>
      <c r="J2010" s="508">
        <v>8.1189999999999998</v>
      </c>
      <c r="K2010" s="508">
        <v>10.534000000000001</v>
      </c>
      <c r="L2010" s="508">
        <v>40.256999999999998</v>
      </c>
      <c r="M2010" s="508">
        <v>12.952</v>
      </c>
      <c r="N2010" s="508">
        <v>26.603999999999999</v>
      </c>
      <c r="O2010" s="508">
        <v>18.236000000000001</v>
      </c>
      <c r="P2010" s="508">
        <v>8.8019999999999996</v>
      </c>
      <c r="Q2010" s="508">
        <v>8.0670000000000002</v>
      </c>
      <c r="R2010" s="508">
        <v>12.676</v>
      </c>
      <c r="S2010" s="508">
        <v>6.6959999999999997</v>
      </c>
      <c r="T2010" s="508">
        <v>9.4550000000000001</v>
      </c>
      <c r="U2010" s="508">
        <v>5.2850000000000001</v>
      </c>
      <c r="V2010" s="508">
        <v>6.6970000000000001</v>
      </c>
      <c r="W2010" s="508">
        <v>6.0179999999999998</v>
      </c>
      <c r="X2010" s="508">
        <v>4.5750000000000002</v>
      </c>
      <c r="Y2010" s="508">
        <v>3.9940000000000002</v>
      </c>
      <c r="Z2010" s="508">
        <v>3.3010000000000002</v>
      </c>
      <c r="AA2010" s="508">
        <v>2.2189999999999999</v>
      </c>
      <c r="AB2010" s="508">
        <v>1.921</v>
      </c>
      <c r="AC2010" s="508">
        <v>2.387</v>
      </c>
      <c r="AD2010" s="508">
        <v>1.96</v>
      </c>
      <c r="AE2010" s="508">
        <v>1.5149999999999999</v>
      </c>
      <c r="AF2010" s="508">
        <v>0.83599999999999997</v>
      </c>
      <c r="AG2010" s="508">
        <v>0.83099999999999996</v>
      </c>
      <c r="AH2010" s="508">
        <v>0.82599999999999996</v>
      </c>
      <c r="AI2010" s="492">
        <v>0.82199999999999995</v>
      </c>
      <c r="AJ2010" s="485"/>
    </row>
    <row r="2011" spans="2:36">
      <c r="B2011" s="136" t="s">
        <v>488</v>
      </c>
      <c r="C2011" s="132" t="s">
        <v>1364</v>
      </c>
      <c r="D2011" s="132" t="s">
        <v>282</v>
      </c>
      <c r="E2011" s="508">
        <v>50.371000000000002</v>
      </c>
      <c r="F2011" s="508">
        <v>19.922000000000001</v>
      </c>
      <c r="G2011" s="508">
        <v>38.491</v>
      </c>
      <c r="H2011" s="508">
        <v>45.584000000000003</v>
      </c>
      <c r="I2011" s="508">
        <v>42.704000000000001</v>
      </c>
      <c r="J2011" s="508">
        <v>7.73</v>
      </c>
      <c r="K2011" s="508">
        <v>10.093</v>
      </c>
      <c r="L2011" s="508">
        <v>39.170999999999999</v>
      </c>
      <c r="M2011" s="508">
        <v>12.458</v>
      </c>
      <c r="N2011" s="508">
        <v>25.704000000000001</v>
      </c>
      <c r="O2011" s="508">
        <v>17.558</v>
      </c>
      <c r="P2011" s="508">
        <v>8.423</v>
      </c>
      <c r="Q2011" s="508">
        <v>7.6769999999999996</v>
      </c>
      <c r="R2011" s="508">
        <v>12.183999999999999</v>
      </c>
      <c r="S2011" s="508">
        <v>6.3369999999999997</v>
      </c>
      <c r="T2011" s="508">
        <v>9.0359999999999996</v>
      </c>
      <c r="U2011" s="508">
        <v>4.9619999999999997</v>
      </c>
      <c r="V2011" s="508">
        <v>6.3520000000000003</v>
      </c>
      <c r="W2011" s="508">
        <v>5.7229999999999999</v>
      </c>
      <c r="X2011" s="508">
        <v>4.3460000000000001</v>
      </c>
      <c r="Y2011" s="508">
        <v>3.7890000000000001</v>
      </c>
      <c r="Z2011" s="508">
        <v>3.1179999999999999</v>
      </c>
      <c r="AA2011" s="508">
        <v>2.1259999999999999</v>
      </c>
      <c r="AB2011" s="508">
        <v>1.843</v>
      </c>
      <c r="AC2011" s="508">
        <v>2.2959999999999998</v>
      </c>
      <c r="AD2011" s="508">
        <v>1.891</v>
      </c>
      <c r="AE2011" s="508">
        <v>1.4590000000000001</v>
      </c>
      <c r="AF2011" s="508">
        <v>0.80500000000000005</v>
      </c>
      <c r="AG2011" s="508">
        <v>0.8</v>
      </c>
      <c r="AH2011" s="508">
        <v>0.79600000000000004</v>
      </c>
      <c r="AI2011" s="492">
        <v>0.79200000000000004</v>
      </c>
      <c r="AJ2011" s="485"/>
    </row>
    <row r="2012" spans="2:36">
      <c r="B2012" s="136" t="s">
        <v>489</v>
      </c>
      <c r="C2012" s="132" t="s">
        <v>1364</v>
      </c>
      <c r="D2012" s="132" t="s">
        <v>282</v>
      </c>
      <c r="E2012" s="508">
        <v>50.906999999999996</v>
      </c>
      <c r="F2012" s="508">
        <v>20.079999999999998</v>
      </c>
      <c r="G2012" s="508">
        <v>38.655000000000001</v>
      </c>
      <c r="H2012" s="508">
        <v>45.749000000000002</v>
      </c>
      <c r="I2012" s="508">
        <v>42.87</v>
      </c>
      <c r="J2012" s="508">
        <v>7.8540000000000001</v>
      </c>
      <c r="K2012" s="508">
        <v>10.195</v>
      </c>
      <c r="L2012" s="508">
        <v>39.012999999999998</v>
      </c>
      <c r="M2012" s="508">
        <v>12.539</v>
      </c>
      <c r="N2012" s="508">
        <v>25.875</v>
      </c>
      <c r="O2012" s="508">
        <v>17.722999999999999</v>
      </c>
      <c r="P2012" s="508">
        <v>8.5470000000000006</v>
      </c>
      <c r="Q2012" s="508">
        <v>7.8090000000000002</v>
      </c>
      <c r="R2012" s="508">
        <v>12.284000000000001</v>
      </c>
      <c r="S2012" s="508">
        <v>6.476</v>
      </c>
      <c r="T2012" s="508">
        <v>9.1549999999999994</v>
      </c>
      <c r="U2012" s="508">
        <v>5.0990000000000002</v>
      </c>
      <c r="V2012" s="508">
        <v>6.4560000000000004</v>
      </c>
      <c r="W2012" s="508">
        <v>5.8</v>
      </c>
      <c r="X2012" s="508">
        <v>4.4059999999999997</v>
      </c>
      <c r="Y2012" s="508">
        <v>3.847</v>
      </c>
      <c r="Z2012" s="508">
        <v>3.18</v>
      </c>
      <c r="AA2012" s="508">
        <v>2.133</v>
      </c>
      <c r="AB2012" s="508">
        <v>1.8460000000000001</v>
      </c>
      <c r="AC2012" s="508">
        <v>2.2930000000000001</v>
      </c>
      <c r="AD2012" s="508">
        <v>1.8819999999999999</v>
      </c>
      <c r="AE2012" s="508">
        <v>1.4550000000000001</v>
      </c>
      <c r="AF2012" s="508">
        <v>0.80300000000000005</v>
      </c>
      <c r="AG2012" s="508">
        <v>0.79800000000000004</v>
      </c>
      <c r="AH2012" s="508">
        <v>0.79400000000000004</v>
      </c>
      <c r="AI2012" s="492">
        <v>0.79</v>
      </c>
      <c r="AJ2012" s="485"/>
    </row>
    <row r="2013" spans="2:36">
      <c r="B2013" s="136" t="s">
        <v>490</v>
      </c>
      <c r="C2013" s="132" t="s">
        <v>1364</v>
      </c>
      <c r="D2013" s="132" t="s">
        <v>282</v>
      </c>
      <c r="E2013" s="508">
        <v>50.323999999999998</v>
      </c>
      <c r="F2013" s="508">
        <v>20.010999999999999</v>
      </c>
      <c r="G2013" s="508">
        <v>38.776000000000003</v>
      </c>
      <c r="H2013" s="508">
        <v>45.942999999999998</v>
      </c>
      <c r="I2013" s="508">
        <v>43.033999999999999</v>
      </c>
      <c r="J2013" s="508">
        <v>7.7110000000000003</v>
      </c>
      <c r="K2013" s="508">
        <v>10.114000000000001</v>
      </c>
      <c r="L2013" s="508">
        <v>39.677</v>
      </c>
      <c r="M2013" s="508">
        <v>12.521000000000001</v>
      </c>
      <c r="N2013" s="508">
        <v>25.824000000000002</v>
      </c>
      <c r="O2013" s="508">
        <v>17.606000000000002</v>
      </c>
      <c r="P2013" s="508">
        <v>8.4060000000000006</v>
      </c>
      <c r="Q2013" s="508">
        <v>7.6429999999999998</v>
      </c>
      <c r="R2013" s="508">
        <v>12.205</v>
      </c>
      <c r="S2013" s="508">
        <v>6.2880000000000003</v>
      </c>
      <c r="T2013" s="508">
        <v>9.0210000000000008</v>
      </c>
      <c r="U2013" s="508">
        <v>4.907</v>
      </c>
      <c r="V2013" s="508">
        <v>6.3339999999999996</v>
      </c>
      <c r="W2013" s="508">
        <v>5.7210000000000001</v>
      </c>
      <c r="X2013" s="508">
        <v>4.3440000000000003</v>
      </c>
      <c r="Y2013" s="508">
        <v>3.7839999999999998</v>
      </c>
      <c r="Z2013" s="508">
        <v>3.1030000000000002</v>
      </c>
      <c r="AA2013" s="508">
        <v>2.1440000000000001</v>
      </c>
      <c r="AB2013" s="508">
        <v>1.86</v>
      </c>
      <c r="AC2013" s="508">
        <v>2.323</v>
      </c>
      <c r="AD2013" s="508">
        <v>1.9179999999999999</v>
      </c>
      <c r="AE2013" s="508">
        <v>1.478</v>
      </c>
      <c r="AF2013" s="508">
        <v>0.81599999999999995</v>
      </c>
      <c r="AG2013" s="508">
        <v>0.81</v>
      </c>
      <c r="AH2013" s="508">
        <v>0.80600000000000005</v>
      </c>
      <c r="AI2013" s="492">
        <v>0.80200000000000005</v>
      </c>
      <c r="AJ2013" s="485"/>
    </row>
    <row r="2014" spans="2:36">
      <c r="B2014" s="136" t="s">
        <v>435</v>
      </c>
      <c r="C2014" s="132" t="s">
        <v>1365</v>
      </c>
      <c r="D2014" s="132" t="s">
        <v>282</v>
      </c>
      <c r="E2014" s="508">
        <v>107.11799999999999</v>
      </c>
      <c r="F2014" s="508">
        <v>44.960999999999999</v>
      </c>
      <c r="G2014" s="508">
        <v>45.116</v>
      </c>
      <c r="H2014" s="508">
        <v>45.113</v>
      </c>
      <c r="I2014" s="508">
        <v>45.067999999999998</v>
      </c>
      <c r="J2014" s="508">
        <v>40.033999999999999</v>
      </c>
      <c r="K2014" s="508">
        <v>39.789000000000001</v>
      </c>
      <c r="L2014" s="508">
        <v>39.396000000000001</v>
      </c>
      <c r="M2014" s="508">
        <v>38.956000000000003</v>
      </c>
      <c r="N2014" s="508">
        <v>40.302999999999997</v>
      </c>
      <c r="O2014" s="508">
        <v>39.652999999999999</v>
      </c>
      <c r="P2014" s="508">
        <v>17.420999999999999</v>
      </c>
      <c r="Q2014" s="508">
        <v>18.702999999999999</v>
      </c>
      <c r="R2014" s="508">
        <v>16.213999999999999</v>
      </c>
      <c r="S2014" s="508">
        <v>16.405000000000001</v>
      </c>
      <c r="T2014" s="508">
        <v>16.456</v>
      </c>
      <c r="U2014" s="508">
        <v>11.085000000000001</v>
      </c>
      <c r="V2014" s="508">
        <v>9.9670000000000005</v>
      </c>
      <c r="W2014" s="508">
        <v>10.236000000000001</v>
      </c>
      <c r="X2014" s="508">
        <v>7.758</v>
      </c>
      <c r="Y2014" s="508">
        <v>6.8419999999999996</v>
      </c>
      <c r="Z2014" s="508">
        <v>5.8650000000000002</v>
      </c>
      <c r="AA2014" s="508">
        <v>5.0510000000000002</v>
      </c>
      <c r="AB2014" s="508">
        <v>4.3540000000000001</v>
      </c>
      <c r="AC2014" s="508">
        <v>3.7</v>
      </c>
      <c r="AD2014" s="508">
        <v>2.8279999999999998</v>
      </c>
      <c r="AE2014" s="508">
        <v>2.8660000000000001</v>
      </c>
      <c r="AF2014" s="508">
        <v>1.518</v>
      </c>
      <c r="AG2014" s="508">
        <v>1.5</v>
      </c>
      <c r="AH2014" s="508">
        <v>1.492</v>
      </c>
      <c r="AI2014" s="492">
        <v>1.486</v>
      </c>
      <c r="AJ2014" s="485"/>
    </row>
    <row r="2015" spans="2:36">
      <c r="B2015" s="136" t="s">
        <v>436</v>
      </c>
      <c r="C2015" s="132" t="s">
        <v>1365</v>
      </c>
      <c r="D2015" s="132" t="s">
        <v>282</v>
      </c>
      <c r="E2015" s="508">
        <v>117.752</v>
      </c>
      <c r="F2015" s="508">
        <v>46.042999999999999</v>
      </c>
      <c r="G2015" s="508">
        <v>46.088999999999999</v>
      </c>
      <c r="H2015" s="508">
        <v>46.088000000000001</v>
      </c>
      <c r="I2015" s="508">
        <v>46.073999999999998</v>
      </c>
      <c r="J2015" s="508">
        <v>41.904000000000003</v>
      </c>
      <c r="K2015" s="508">
        <v>41.572000000000003</v>
      </c>
      <c r="L2015" s="508">
        <v>41.042999999999999</v>
      </c>
      <c r="M2015" s="508">
        <v>40.453000000000003</v>
      </c>
      <c r="N2015" s="508">
        <v>41.625</v>
      </c>
      <c r="O2015" s="508">
        <v>40.92</v>
      </c>
      <c r="P2015" s="508">
        <v>20.103000000000002</v>
      </c>
      <c r="Q2015" s="508">
        <v>21.158999999999999</v>
      </c>
      <c r="R2015" s="508">
        <v>18.443000000000001</v>
      </c>
      <c r="S2015" s="508">
        <v>18.533000000000001</v>
      </c>
      <c r="T2015" s="508">
        <v>18.478999999999999</v>
      </c>
      <c r="U2015" s="508">
        <v>12.147</v>
      </c>
      <c r="V2015" s="508">
        <v>10.875</v>
      </c>
      <c r="W2015" s="508">
        <v>11.074</v>
      </c>
      <c r="X2015" s="508">
        <v>8.6329999999999991</v>
      </c>
      <c r="Y2015" s="508">
        <v>7.702</v>
      </c>
      <c r="Z2015" s="508">
        <v>6.8159999999999998</v>
      </c>
      <c r="AA2015" s="508">
        <v>5.915</v>
      </c>
      <c r="AB2015" s="508">
        <v>5.1609999999999996</v>
      </c>
      <c r="AC2015" s="508">
        <v>4.4420000000000002</v>
      </c>
      <c r="AD2015" s="508">
        <v>3.617</v>
      </c>
      <c r="AE2015" s="508">
        <v>3.5369999999999999</v>
      </c>
      <c r="AF2015" s="508">
        <v>2.0329999999999999</v>
      </c>
      <c r="AG2015" s="508">
        <v>1.913</v>
      </c>
      <c r="AH2015" s="508">
        <v>1.901</v>
      </c>
      <c r="AI2015" s="492">
        <v>1.887</v>
      </c>
      <c r="AJ2015" s="485"/>
    </row>
    <row r="2016" spans="2:36">
      <c r="B2016" s="136" t="s">
        <v>437</v>
      </c>
      <c r="C2016" s="132" t="s">
        <v>1365</v>
      </c>
      <c r="D2016" s="132" t="s">
        <v>282</v>
      </c>
      <c r="E2016" s="508">
        <v>91.477999999999994</v>
      </c>
      <c r="F2016" s="508">
        <v>40.503999999999998</v>
      </c>
      <c r="G2016" s="508">
        <v>40.698</v>
      </c>
      <c r="H2016" s="508">
        <v>41.003</v>
      </c>
      <c r="I2016" s="508">
        <v>41.478999999999999</v>
      </c>
      <c r="J2016" s="508">
        <v>37.411999999999999</v>
      </c>
      <c r="K2016" s="508">
        <v>37.116</v>
      </c>
      <c r="L2016" s="508">
        <v>36.799999999999997</v>
      </c>
      <c r="M2016" s="508">
        <v>36.405999999999999</v>
      </c>
      <c r="N2016" s="508">
        <v>38.002000000000002</v>
      </c>
      <c r="O2016" s="508">
        <v>37.767000000000003</v>
      </c>
      <c r="P2016" s="508">
        <v>18.021999999999998</v>
      </c>
      <c r="Q2016" s="508">
        <v>19.585000000000001</v>
      </c>
      <c r="R2016" s="508">
        <v>16.707000000000001</v>
      </c>
      <c r="S2016" s="508">
        <v>17.004999999999999</v>
      </c>
      <c r="T2016" s="508">
        <v>17.14</v>
      </c>
      <c r="U2016" s="508">
        <v>12.539</v>
      </c>
      <c r="V2016" s="508">
        <v>11.141999999999999</v>
      </c>
      <c r="W2016" s="508">
        <v>11.478999999999999</v>
      </c>
      <c r="X2016" s="508">
        <v>8.7490000000000006</v>
      </c>
      <c r="Y2016" s="508">
        <v>7.7160000000000002</v>
      </c>
      <c r="Z2016" s="508">
        <v>6.7910000000000004</v>
      </c>
      <c r="AA2016" s="508">
        <v>5.79</v>
      </c>
      <c r="AB2016" s="508">
        <v>4.9619999999999997</v>
      </c>
      <c r="AC2016" s="508">
        <v>4.157</v>
      </c>
      <c r="AD2016" s="508">
        <v>3.3149999999999999</v>
      </c>
      <c r="AE2016" s="508">
        <v>3.375</v>
      </c>
      <c r="AF2016" s="508">
        <v>1.855</v>
      </c>
      <c r="AG2016" s="508">
        <v>1.845</v>
      </c>
      <c r="AH2016" s="508">
        <v>1.8360000000000001</v>
      </c>
      <c r="AI2016" s="492">
        <v>1.829</v>
      </c>
      <c r="AJ2016" s="485"/>
    </row>
    <row r="2017" spans="2:36">
      <c r="B2017" s="136" t="s">
        <v>438</v>
      </c>
      <c r="C2017" s="132" t="s">
        <v>1365</v>
      </c>
      <c r="D2017" s="132" t="s">
        <v>282</v>
      </c>
      <c r="E2017" s="508">
        <v>107.51900000000001</v>
      </c>
      <c r="F2017" s="508">
        <v>45.2</v>
      </c>
      <c r="G2017" s="508">
        <v>45.37</v>
      </c>
      <c r="H2017" s="508">
        <v>45.366</v>
      </c>
      <c r="I2017" s="508">
        <v>45.317</v>
      </c>
      <c r="J2017" s="508">
        <v>40.835999999999999</v>
      </c>
      <c r="K2017" s="508">
        <v>40.6</v>
      </c>
      <c r="L2017" s="508">
        <v>40.225999999999999</v>
      </c>
      <c r="M2017" s="508">
        <v>39.795999999999999</v>
      </c>
      <c r="N2017" s="508">
        <v>40.335000000000001</v>
      </c>
      <c r="O2017" s="508">
        <v>39.656999999999996</v>
      </c>
      <c r="P2017" s="508">
        <v>17.457000000000001</v>
      </c>
      <c r="Q2017" s="508">
        <v>18.771000000000001</v>
      </c>
      <c r="R2017" s="508">
        <v>16.331</v>
      </c>
      <c r="S2017" s="508">
        <v>16.504999999999999</v>
      </c>
      <c r="T2017" s="508">
        <v>16.542000000000002</v>
      </c>
      <c r="U2017" s="508">
        <v>11.65</v>
      </c>
      <c r="V2017" s="508">
        <v>10.443</v>
      </c>
      <c r="W2017" s="508">
        <v>10.691000000000001</v>
      </c>
      <c r="X2017" s="508">
        <v>8.1240000000000006</v>
      </c>
      <c r="Y2017" s="508">
        <v>7.1929999999999996</v>
      </c>
      <c r="Z2017" s="508">
        <v>6.1779999999999999</v>
      </c>
      <c r="AA2017" s="508">
        <v>5.3170000000000002</v>
      </c>
      <c r="AB2017" s="508">
        <v>4.5830000000000002</v>
      </c>
      <c r="AC2017" s="508">
        <v>3.899</v>
      </c>
      <c r="AD2017" s="508">
        <v>3.004</v>
      </c>
      <c r="AE2017" s="508">
        <v>3.03</v>
      </c>
      <c r="AF2017" s="508">
        <v>1.623</v>
      </c>
      <c r="AG2017" s="508">
        <v>1.5980000000000001</v>
      </c>
      <c r="AH2017" s="508">
        <v>1.589</v>
      </c>
      <c r="AI2017" s="492">
        <v>1.581</v>
      </c>
      <c r="AJ2017" s="485"/>
    </row>
    <row r="2018" spans="2:36">
      <c r="B2018" s="136" t="s">
        <v>439</v>
      </c>
      <c r="C2018" s="132" t="s">
        <v>1365</v>
      </c>
      <c r="D2018" s="132" t="s">
        <v>282</v>
      </c>
      <c r="E2018" s="508">
        <v>72.400999999999996</v>
      </c>
      <c r="F2018" s="508">
        <v>28.295999999999999</v>
      </c>
      <c r="G2018" s="508">
        <v>27.890999999999998</v>
      </c>
      <c r="H2018" s="508">
        <v>27.899000000000001</v>
      </c>
      <c r="I2018" s="508">
        <v>28.015000000000001</v>
      </c>
      <c r="J2018" s="508">
        <v>25.710999999999999</v>
      </c>
      <c r="K2018" s="508">
        <v>25.283000000000001</v>
      </c>
      <c r="L2018" s="508">
        <v>24.614000000000001</v>
      </c>
      <c r="M2018" s="508">
        <v>23.988</v>
      </c>
      <c r="N2018" s="508">
        <v>27.18</v>
      </c>
      <c r="O2018" s="508">
        <v>27.103000000000002</v>
      </c>
      <c r="P2018" s="508">
        <v>15.788</v>
      </c>
      <c r="Q2018" s="508">
        <v>16.934000000000001</v>
      </c>
      <c r="R2018" s="508">
        <v>14.192</v>
      </c>
      <c r="S2018" s="508">
        <v>14.497999999999999</v>
      </c>
      <c r="T2018" s="508">
        <v>14.637</v>
      </c>
      <c r="U2018" s="508">
        <v>11.13</v>
      </c>
      <c r="V2018" s="508">
        <v>9.7569999999999997</v>
      </c>
      <c r="W2018" s="508">
        <v>9.9719999999999995</v>
      </c>
      <c r="X2018" s="508">
        <v>7.6390000000000002</v>
      </c>
      <c r="Y2018" s="508">
        <v>6.75</v>
      </c>
      <c r="Z2018" s="508">
        <v>6.0640000000000001</v>
      </c>
      <c r="AA2018" s="508">
        <v>5.1130000000000004</v>
      </c>
      <c r="AB2018" s="508">
        <v>4.3220000000000001</v>
      </c>
      <c r="AC2018" s="508">
        <v>3.5670000000000002</v>
      </c>
      <c r="AD2018" s="508">
        <v>2.8460000000000001</v>
      </c>
      <c r="AE2018" s="508">
        <v>2.871</v>
      </c>
      <c r="AF2018" s="508">
        <v>1.621</v>
      </c>
      <c r="AG2018" s="508">
        <v>1.591</v>
      </c>
      <c r="AH2018" s="508">
        <v>1.6220000000000001</v>
      </c>
      <c r="AI2018" s="492">
        <v>1.613</v>
      </c>
      <c r="AJ2018" s="485"/>
    </row>
    <row r="2019" spans="2:36">
      <c r="B2019" s="136" t="s">
        <v>440</v>
      </c>
      <c r="C2019" s="132" t="s">
        <v>1365</v>
      </c>
      <c r="D2019" s="132" t="s">
        <v>282</v>
      </c>
      <c r="E2019" s="508">
        <v>95.596999999999994</v>
      </c>
      <c r="F2019" s="508">
        <v>37.323999999999998</v>
      </c>
      <c r="G2019" s="508">
        <v>37.124000000000002</v>
      </c>
      <c r="H2019" s="508">
        <v>37.128</v>
      </c>
      <c r="I2019" s="508">
        <v>37.185000000000002</v>
      </c>
      <c r="J2019" s="508">
        <v>33.783999999999999</v>
      </c>
      <c r="K2019" s="508">
        <v>33.401000000000003</v>
      </c>
      <c r="L2019" s="508">
        <v>32.795000000000002</v>
      </c>
      <c r="M2019" s="508">
        <v>32.192</v>
      </c>
      <c r="N2019" s="508">
        <v>33.81</v>
      </c>
      <c r="O2019" s="508">
        <v>33.485999999999997</v>
      </c>
      <c r="P2019" s="508">
        <v>18.004000000000001</v>
      </c>
      <c r="Q2019" s="508">
        <v>19.196999999999999</v>
      </c>
      <c r="R2019" s="508">
        <v>16.434000000000001</v>
      </c>
      <c r="S2019" s="508">
        <v>16.655000000000001</v>
      </c>
      <c r="T2019" s="508">
        <v>16.719000000000001</v>
      </c>
      <c r="U2019" s="508">
        <v>11.486000000000001</v>
      </c>
      <c r="V2019" s="508">
        <v>10.210000000000001</v>
      </c>
      <c r="W2019" s="508">
        <v>10.433999999999999</v>
      </c>
      <c r="X2019" s="508">
        <v>8.0210000000000008</v>
      </c>
      <c r="Y2019" s="508">
        <v>7.11</v>
      </c>
      <c r="Z2019" s="508">
        <v>6.2880000000000003</v>
      </c>
      <c r="AA2019" s="508">
        <v>5.3869999999999996</v>
      </c>
      <c r="AB2019" s="508">
        <v>4.6349999999999998</v>
      </c>
      <c r="AC2019" s="508">
        <v>3.915</v>
      </c>
      <c r="AD2019" s="508">
        <v>3.0880000000000001</v>
      </c>
      <c r="AE2019" s="508">
        <v>3.085</v>
      </c>
      <c r="AF2019" s="508">
        <v>1.744</v>
      </c>
      <c r="AG2019" s="508">
        <v>1.6890000000000001</v>
      </c>
      <c r="AH2019" s="508">
        <v>1.7070000000000001</v>
      </c>
      <c r="AI2019" s="492">
        <v>1.6970000000000001</v>
      </c>
      <c r="AJ2019" s="485"/>
    </row>
    <row r="2020" spans="2:36">
      <c r="B2020" s="136" t="s">
        <v>441</v>
      </c>
      <c r="C2020" s="132" t="s">
        <v>1365</v>
      </c>
      <c r="D2020" s="132" t="s">
        <v>282</v>
      </c>
      <c r="E2020" s="508">
        <v>115.47499999999999</v>
      </c>
      <c r="F2020" s="508">
        <v>47.131</v>
      </c>
      <c r="G2020" s="508">
        <v>34.484999999999999</v>
      </c>
      <c r="H2020" s="508">
        <v>34.488999999999997</v>
      </c>
      <c r="I2020" s="508">
        <v>34.555999999999997</v>
      </c>
      <c r="J2020" s="508">
        <v>31.609000000000002</v>
      </c>
      <c r="K2020" s="508">
        <v>31.216999999999999</v>
      </c>
      <c r="L2020" s="508">
        <v>30.599</v>
      </c>
      <c r="M2020" s="508">
        <v>29.986000000000001</v>
      </c>
      <c r="N2020" s="508">
        <v>32.148000000000003</v>
      </c>
      <c r="O2020" s="508">
        <v>31.817</v>
      </c>
      <c r="P2020" s="508">
        <v>16.475000000000001</v>
      </c>
      <c r="Q2020" s="508">
        <v>17.622</v>
      </c>
      <c r="R2020" s="508">
        <v>14.904</v>
      </c>
      <c r="S2020" s="508">
        <v>15.162000000000001</v>
      </c>
      <c r="T2020" s="508">
        <v>15.259</v>
      </c>
      <c r="U2020" s="508">
        <v>10.795999999999999</v>
      </c>
      <c r="V2020" s="508">
        <v>9.548</v>
      </c>
      <c r="W2020" s="508">
        <v>9.7620000000000005</v>
      </c>
      <c r="X2020" s="508">
        <v>7.5439999999999996</v>
      </c>
      <c r="Y2020" s="508">
        <v>6.6929999999999996</v>
      </c>
      <c r="Z2020" s="508">
        <v>5.9989999999999997</v>
      </c>
      <c r="AA2020" s="508">
        <v>5.1230000000000002</v>
      </c>
      <c r="AB2020" s="508">
        <v>4.4020000000000001</v>
      </c>
      <c r="AC2020" s="508">
        <v>3.7010000000000001</v>
      </c>
      <c r="AD2020" s="508">
        <v>2.9569999999999999</v>
      </c>
      <c r="AE2020" s="508">
        <v>2.9580000000000002</v>
      </c>
      <c r="AF2020" s="508">
        <v>1.6990000000000001</v>
      </c>
      <c r="AG2020" s="508">
        <v>1.6890000000000001</v>
      </c>
      <c r="AH2020" s="508">
        <v>1.6779999999999999</v>
      </c>
      <c r="AI2020" s="492">
        <v>1.669</v>
      </c>
      <c r="AJ2020" s="485"/>
    </row>
    <row r="2021" spans="2:36">
      <c r="B2021" s="136" t="s">
        <v>443</v>
      </c>
      <c r="C2021" s="132" t="s">
        <v>1365</v>
      </c>
      <c r="D2021" s="132" t="s">
        <v>282</v>
      </c>
      <c r="E2021" s="508">
        <v>95.808000000000007</v>
      </c>
      <c r="F2021" s="508">
        <v>37.223999999999997</v>
      </c>
      <c r="G2021" s="508">
        <v>37.122999999999998</v>
      </c>
      <c r="H2021" s="508">
        <v>37.125</v>
      </c>
      <c r="I2021" s="508">
        <v>37.154000000000003</v>
      </c>
      <c r="J2021" s="508">
        <v>33.15</v>
      </c>
      <c r="K2021" s="508">
        <v>32.805</v>
      </c>
      <c r="L2021" s="508">
        <v>32.26</v>
      </c>
      <c r="M2021" s="508">
        <v>31.704000000000001</v>
      </c>
      <c r="N2021" s="508">
        <v>34.307000000000002</v>
      </c>
      <c r="O2021" s="508">
        <v>33.869999999999997</v>
      </c>
      <c r="P2021" s="508">
        <v>15.815</v>
      </c>
      <c r="Q2021" s="508">
        <v>16.835000000000001</v>
      </c>
      <c r="R2021" s="508">
        <v>14.19</v>
      </c>
      <c r="S2021" s="508">
        <v>14.46</v>
      </c>
      <c r="T2021" s="508">
        <v>14.573</v>
      </c>
      <c r="U2021" s="508">
        <v>10.414999999999999</v>
      </c>
      <c r="V2021" s="508">
        <v>9.1880000000000006</v>
      </c>
      <c r="W2021" s="508">
        <v>9.4109999999999996</v>
      </c>
      <c r="X2021" s="508">
        <v>7.2069999999999999</v>
      </c>
      <c r="Y2021" s="508">
        <v>6.351</v>
      </c>
      <c r="Z2021" s="508">
        <v>5.6760000000000002</v>
      </c>
      <c r="AA2021" s="508">
        <v>4.8079999999999998</v>
      </c>
      <c r="AB2021" s="508">
        <v>4.09</v>
      </c>
      <c r="AC2021" s="508">
        <v>3.3929999999999998</v>
      </c>
      <c r="AD2021" s="508">
        <v>2.6669999999999998</v>
      </c>
      <c r="AE2021" s="508">
        <v>2.88</v>
      </c>
      <c r="AF2021" s="508">
        <v>1.5429999999999999</v>
      </c>
      <c r="AG2021" s="508">
        <v>1.506</v>
      </c>
      <c r="AH2021" s="508">
        <v>1.496</v>
      </c>
      <c r="AI2021" s="492">
        <v>1.488</v>
      </c>
      <c r="AJ2021" s="485"/>
    </row>
    <row r="2022" spans="2:36">
      <c r="B2022" s="136" t="s">
        <v>445</v>
      </c>
      <c r="C2022" s="132" t="s">
        <v>1365</v>
      </c>
      <c r="D2022" s="132" t="s">
        <v>282</v>
      </c>
      <c r="E2022" s="508">
        <v>79.757999999999996</v>
      </c>
      <c r="F2022" s="508">
        <v>31.155000000000001</v>
      </c>
      <c r="G2022" s="508">
        <v>30.794</v>
      </c>
      <c r="H2022" s="508">
        <v>30.800999999999998</v>
      </c>
      <c r="I2022" s="508">
        <v>30.905000000000001</v>
      </c>
      <c r="J2022" s="508">
        <v>27.443000000000001</v>
      </c>
      <c r="K2022" s="508">
        <v>27.006</v>
      </c>
      <c r="L2022" s="508">
        <v>26.32</v>
      </c>
      <c r="M2022" s="508">
        <v>25.678000000000001</v>
      </c>
      <c r="N2022" s="508">
        <v>28.308</v>
      </c>
      <c r="O2022" s="508">
        <v>28.23</v>
      </c>
      <c r="P2022" s="508">
        <v>16.251000000000001</v>
      </c>
      <c r="Q2022" s="508">
        <v>17.329000000000001</v>
      </c>
      <c r="R2022" s="508">
        <v>14.493</v>
      </c>
      <c r="S2022" s="508">
        <v>14.788</v>
      </c>
      <c r="T2022" s="508">
        <v>14.919</v>
      </c>
      <c r="U2022" s="508">
        <v>10.788</v>
      </c>
      <c r="V2022" s="508">
        <v>9.5180000000000007</v>
      </c>
      <c r="W2022" s="508">
        <v>9.7620000000000005</v>
      </c>
      <c r="X2022" s="508">
        <v>7.4539999999999997</v>
      </c>
      <c r="Y2022" s="508">
        <v>6.5469999999999997</v>
      </c>
      <c r="Z2022" s="508">
        <v>5.8609999999999998</v>
      </c>
      <c r="AA2022" s="508">
        <v>4.9569999999999999</v>
      </c>
      <c r="AB2022" s="508">
        <v>4.1890000000000001</v>
      </c>
      <c r="AC2022" s="508">
        <v>3.4590000000000001</v>
      </c>
      <c r="AD2022" s="508">
        <v>2.944</v>
      </c>
      <c r="AE2022" s="508">
        <v>2.96</v>
      </c>
      <c r="AF2022" s="508">
        <v>1.5669999999999999</v>
      </c>
      <c r="AG2022" s="508">
        <v>1.5309999999999999</v>
      </c>
      <c r="AH2022" s="508">
        <v>1.522</v>
      </c>
      <c r="AI2022" s="492">
        <v>1.5129999999999999</v>
      </c>
      <c r="AJ2022" s="485"/>
    </row>
    <row r="2023" spans="2:36">
      <c r="B2023" s="136" t="s">
        <v>446</v>
      </c>
      <c r="C2023" s="132" t="s">
        <v>1365</v>
      </c>
      <c r="D2023" s="132" t="s">
        <v>282</v>
      </c>
      <c r="E2023" s="508">
        <v>105.88500000000001</v>
      </c>
      <c r="F2023" s="508">
        <v>47.072000000000003</v>
      </c>
      <c r="G2023" s="508">
        <v>47.515000000000001</v>
      </c>
      <c r="H2023" s="508">
        <v>47.905000000000001</v>
      </c>
      <c r="I2023" s="508">
        <v>48.462000000000003</v>
      </c>
      <c r="J2023" s="508">
        <v>42.790999999999997</v>
      </c>
      <c r="K2023" s="508">
        <v>42.55</v>
      </c>
      <c r="L2023" s="508">
        <v>42.353000000000002</v>
      </c>
      <c r="M2023" s="508">
        <v>42.036000000000001</v>
      </c>
      <c r="N2023" s="508">
        <v>42.98</v>
      </c>
      <c r="O2023" s="508">
        <v>42.621000000000002</v>
      </c>
      <c r="P2023" s="508">
        <v>19.475000000000001</v>
      </c>
      <c r="Q2023" s="508">
        <v>21.158999999999999</v>
      </c>
      <c r="R2023" s="508">
        <v>18.280999999999999</v>
      </c>
      <c r="S2023" s="508">
        <v>18.529</v>
      </c>
      <c r="T2023" s="508">
        <v>18.623999999999999</v>
      </c>
      <c r="U2023" s="508">
        <v>12.792</v>
      </c>
      <c r="V2023" s="508">
        <v>11.535</v>
      </c>
      <c r="W2023" s="508">
        <v>11.936999999999999</v>
      </c>
      <c r="X2023" s="508">
        <v>9.0370000000000008</v>
      </c>
      <c r="Y2023" s="508">
        <v>7.9390000000000001</v>
      </c>
      <c r="Z2023" s="508">
        <v>6.8289999999999997</v>
      </c>
      <c r="AA2023" s="508">
        <v>5.8879999999999999</v>
      </c>
      <c r="AB2023" s="508">
        <v>5.0830000000000002</v>
      </c>
      <c r="AC2023" s="508">
        <v>4.3150000000000004</v>
      </c>
      <c r="AD2023" s="508">
        <v>3.298</v>
      </c>
      <c r="AE2023" s="508">
        <v>3.3679999999999999</v>
      </c>
      <c r="AF2023" s="508">
        <v>1.7829999999999999</v>
      </c>
      <c r="AG2023" s="508">
        <v>1.7749999999999999</v>
      </c>
      <c r="AH2023" s="508">
        <v>1.7909999999999999</v>
      </c>
      <c r="AI2023" s="492">
        <v>1.7849999999999999</v>
      </c>
      <c r="AJ2023" s="485"/>
    </row>
    <row r="2024" spans="2:36">
      <c r="B2024" s="136" t="s">
        <v>448</v>
      </c>
      <c r="C2024" s="132" t="s">
        <v>1365</v>
      </c>
      <c r="D2024" s="132" t="s">
        <v>282</v>
      </c>
      <c r="E2024" s="508">
        <v>107.221</v>
      </c>
      <c r="F2024" s="508">
        <v>45.201999999999998</v>
      </c>
      <c r="G2024" s="508">
        <v>41.064</v>
      </c>
      <c r="H2024" s="508">
        <v>41.064</v>
      </c>
      <c r="I2024" s="508">
        <v>41.055</v>
      </c>
      <c r="J2024" s="508">
        <v>36.996000000000002</v>
      </c>
      <c r="K2024" s="508">
        <v>36.716000000000001</v>
      </c>
      <c r="L2024" s="508">
        <v>36.268999999999998</v>
      </c>
      <c r="M2024" s="508">
        <v>35.790999999999997</v>
      </c>
      <c r="N2024" s="508">
        <v>37.054000000000002</v>
      </c>
      <c r="O2024" s="508">
        <v>36.518999999999998</v>
      </c>
      <c r="P2024" s="508">
        <v>16.536000000000001</v>
      </c>
      <c r="Q2024" s="508">
        <v>17.757999999999999</v>
      </c>
      <c r="R2024" s="508">
        <v>15.226000000000001</v>
      </c>
      <c r="S2024" s="508">
        <v>15.46</v>
      </c>
      <c r="T2024" s="508">
        <v>15.547000000000001</v>
      </c>
      <c r="U2024" s="508">
        <v>10.54</v>
      </c>
      <c r="V2024" s="508">
        <v>9.4209999999999994</v>
      </c>
      <c r="W2024" s="508">
        <v>9.67</v>
      </c>
      <c r="X2024" s="508">
        <v>7.3920000000000003</v>
      </c>
      <c r="Y2024" s="508">
        <v>6.5419999999999998</v>
      </c>
      <c r="Z2024" s="508">
        <v>5.6959999999999997</v>
      </c>
      <c r="AA2024" s="508">
        <v>4.8920000000000003</v>
      </c>
      <c r="AB2024" s="508">
        <v>4.218</v>
      </c>
      <c r="AC2024" s="508">
        <v>3.573</v>
      </c>
      <c r="AD2024" s="508">
        <v>2.7770000000000001</v>
      </c>
      <c r="AE2024" s="508">
        <v>2.8140000000000001</v>
      </c>
      <c r="AF2024" s="508">
        <v>1.538</v>
      </c>
      <c r="AG2024" s="508">
        <v>1.5469999999999999</v>
      </c>
      <c r="AH2024" s="508">
        <v>1.54</v>
      </c>
      <c r="AI2024" s="492">
        <v>1.5329999999999999</v>
      </c>
      <c r="AJ2024" s="485"/>
    </row>
    <row r="2025" spans="2:36">
      <c r="B2025" s="136" t="s">
        <v>449</v>
      </c>
      <c r="C2025" s="132" t="s">
        <v>1365</v>
      </c>
      <c r="D2025" s="132" t="s">
        <v>282</v>
      </c>
      <c r="E2025" s="508">
        <v>111.34</v>
      </c>
      <c r="F2025" s="508">
        <v>50.069000000000003</v>
      </c>
      <c r="G2025" s="508">
        <v>50.673000000000002</v>
      </c>
      <c r="H2025" s="508">
        <v>51.11</v>
      </c>
      <c r="I2025" s="508">
        <v>51.707999999999998</v>
      </c>
      <c r="J2025" s="508">
        <v>45.756</v>
      </c>
      <c r="K2025" s="508">
        <v>45.563000000000002</v>
      </c>
      <c r="L2025" s="508">
        <v>45.473999999999997</v>
      </c>
      <c r="M2025" s="508">
        <v>45.232999999999997</v>
      </c>
      <c r="N2025" s="508">
        <v>45.319000000000003</v>
      </c>
      <c r="O2025" s="508">
        <v>44.866</v>
      </c>
      <c r="P2025" s="508">
        <v>19.876000000000001</v>
      </c>
      <c r="Q2025" s="508">
        <v>21.669</v>
      </c>
      <c r="R2025" s="508">
        <v>18.913</v>
      </c>
      <c r="S2025" s="508">
        <v>19.123000000000001</v>
      </c>
      <c r="T2025" s="508">
        <v>19.187999999999999</v>
      </c>
      <c r="U2025" s="508">
        <v>13.579000000000001</v>
      </c>
      <c r="V2025" s="508">
        <v>12.242000000000001</v>
      </c>
      <c r="W2025" s="508">
        <v>12.643000000000001</v>
      </c>
      <c r="X2025" s="508">
        <v>9.5440000000000005</v>
      </c>
      <c r="Y2025" s="508">
        <v>8.3889999999999993</v>
      </c>
      <c r="Z2025" s="508">
        <v>7.1630000000000003</v>
      </c>
      <c r="AA2025" s="508">
        <v>6.1740000000000004</v>
      </c>
      <c r="AB2025" s="508">
        <v>5.3239999999999998</v>
      </c>
      <c r="AC2025" s="508">
        <v>4.524</v>
      </c>
      <c r="AD2025" s="508">
        <v>3.44</v>
      </c>
      <c r="AE2025" s="508">
        <v>3.5049999999999999</v>
      </c>
      <c r="AF2025" s="508">
        <v>1.83</v>
      </c>
      <c r="AG2025" s="508">
        <v>1.821</v>
      </c>
      <c r="AH2025" s="508">
        <v>1.8129999999999999</v>
      </c>
      <c r="AI2025" s="492">
        <v>1.8069999999999999</v>
      </c>
      <c r="AJ2025" s="485"/>
    </row>
    <row r="2026" spans="2:36">
      <c r="B2026" s="136" t="s">
        <v>450</v>
      </c>
      <c r="C2026" s="132" t="s">
        <v>1365</v>
      </c>
      <c r="D2026" s="132" t="s">
        <v>282</v>
      </c>
      <c r="E2026" s="508">
        <v>113.98699999999999</v>
      </c>
      <c r="F2026" s="508">
        <v>45.293999999999997</v>
      </c>
      <c r="G2026" s="508">
        <v>45.375999999999998</v>
      </c>
      <c r="H2026" s="508">
        <v>45.375</v>
      </c>
      <c r="I2026" s="508">
        <v>45.350999999999999</v>
      </c>
      <c r="J2026" s="508">
        <v>40.838999999999999</v>
      </c>
      <c r="K2026" s="508">
        <v>40.548999999999999</v>
      </c>
      <c r="L2026" s="508">
        <v>40.085000000000001</v>
      </c>
      <c r="M2026" s="508">
        <v>39.572000000000003</v>
      </c>
      <c r="N2026" s="508">
        <v>40.895000000000003</v>
      </c>
      <c r="O2026" s="508">
        <v>40.241</v>
      </c>
      <c r="P2026" s="508">
        <v>18.491</v>
      </c>
      <c r="Q2026" s="508">
        <v>19.692</v>
      </c>
      <c r="R2026" s="508">
        <v>17.045999999999999</v>
      </c>
      <c r="S2026" s="508">
        <v>17.227</v>
      </c>
      <c r="T2026" s="508">
        <v>17.260000000000002</v>
      </c>
      <c r="U2026" s="508">
        <v>11.667999999999999</v>
      </c>
      <c r="V2026" s="508">
        <v>10.414999999999999</v>
      </c>
      <c r="W2026" s="508">
        <v>10.643000000000001</v>
      </c>
      <c r="X2026" s="508">
        <v>8.16</v>
      </c>
      <c r="Y2026" s="508">
        <v>7.2320000000000002</v>
      </c>
      <c r="Z2026" s="508">
        <v>6.3220000000000001</v>
      </c>
      <c r="AA2026" s="508">
        <v>5.4329999999999998</v>
      </c>
      <c r="AB2026" s="508">
        <v>4.6840000000000002</v>
      </c>
      <c r="AC2026" s="508">
        <v>3.976</v>
      </c>
      <c r="AD2026" s="508">
        <v>3.1</v>
      </c>
      <c r="AE2026" s="508">
        <v>3.1160000000000001</v>
      </c>
      <c r="AF2026" s="508">
        <v>1.738</v>
      </c>
      <c r="AG2026" s="508">
        <v>1.68</v>
      </c>
      <c r="AH2026" s="508">
        <v>1.6679999999999999</v>
      </c>
      <c r="AI2026" s="492">
        <v>1.659</v>
      </c>
      <c r="AJ2026" s="485"/>
    </row>
    <row r="2027" spans="2:36">
      <c r="B2027" s="136" t="s">
        <v>451</v>
      </c>
      <c r="C2027" s="132" t="s">
        <v>1365</v>
      </c>
      <c r="D2027" s="132" t="s">
        <v>282</v>
      </c>
      <c r="E2027" s="508">
        <v>118.36799999999999</v>
      </c>
      <c r="F2027" s="508">
        <v>47.695999999999998</v>
      </c>
      <c r="G2027" s="508">
        <v>47.85</v>
      </c>
      <c r="H2027" s="508">
        <v>47.847000000000001</v>
      </c>
      <c r="I2027" s="508">
        <v>47.802999999999997</v>
      </c>
      <c r="J2027" s="508">
        <v>42.066000000000003</v>
      </c>
      <c r="K2027" s="508">
        <v>41.784999999999997</v>
      </c>
      <c r="L2027" s="508">
        <v>41.337000000000003</v>
      </c>
      <c r="M2027" s="508">
        <v>40.835999999999999</v>
      </c>
      <c r="N2027" s="508">
        <v>42.563000000000002</v>
      </c>
      <c r="O2027" s="508">
        <v>41.875999999999998</v>
      </c>
      <c r="P2027" s="508">
        <v>17.792999999999999</v>
      </c>
      <c r="Q2027" s="508">
        <v>19.010000000000002</v>
      </c>
      <c r="R2027" s="508">
        <v>16.251000000000001</v>
      </c>
      <c r="S2027" s="508">
        <v>16.469000000000001</v>
      </c>
      <c r="T2027" s="508">
        <v>16.533000000000001</v>
      </c>
      <c r="U2027" s="508">
        <v>11.595000000000001</v>
      </c>
      <c r="V2027" s="508">
        <v>10.313000000000001</v>
      </c>
      <c r="W2027" s="508">
        <v>10.55</v>
      </c>
      <c r="X2027" s="508">
        <v>8.0500000000000007</v>
      </c>
      <c r="Y2027" s="508">
        <v>7.0979999999999999</v>
      </c>
      <c r="Z2027" s="508">
        <v>6.2430000000000003</v>
      </c>
      <c r="AA2027" s="508">
        <v>5.3319999999999999</v>
      </c>
      <c r="AB2027" s="508">
        <v>4.5410000000000004</v>
      </c>
      <c r="AC2027" s="508">
        <v>3.8109999999999999</v>
      </c>
      <c r="AD2027" s="508">
        <v>2.976</v>
      </c>
      <c r="AE2027" s="508">
        <v>2.976</v>
      </c>
      <c r="AF2027" s="508">
        <v>1.671</v>
      </c>
      <c r="AG2027" s="508">
        <v>1.619</v>
      </c>
      <c r="AH2027" s="508">
        <v>1.6080000000000001</v>
      </c>
      <c r="AI2027" s="492">
        <v>1.599</v>
      </c>
      <c r="AJ2027" s="485"/>
    </row>
    <row r="2028" spans="2:36">
      <c r="B2028" s="136" t="s">
        <v>452</v>
      </c>
      <c r="C2028" s="132" t="s">
        <v>1365</v>
      </c>
      <c r="D2028" s="132" t="s">
        <v>282</v>
      </c>
      <c r="E2028" s="508">
        <v>113.604</v>
      </c>
      <c r="F2028" s="508">
        <v>45.648000000000003</v>
      </c>
      <c r="G2028" s="508">
        <v>45.735999999999997</v>
      </c>
      <c r="H2028" s="508">
        <v>45.734000000000002</v>
      </c>
      <c r="I2028" s="508">
        <v>45.709000000000003</v>
      </c>
      <c r="J2028" s="508">
        <v>40.628</v>
      </c>
      <c r="K2028" s="508">
        <v>40.338000000000001</v>
      </c>
      <c r="L2028" s="508">
        <v>39.874000000000002</v>
      </c>
      <c r="M2028" s="508">
        <v>39.366999999999997</v>
      </c>
      <c r="N2028" s="508">
        <v>40.966000000000001</v>
      </c>
      <c r="O2028" s="508">
        <v>40.347000000000001</v>
      </c>
      <c r="P2028" s="508">
        <v>18.727</v>
      </c>
      <c r="Q2028" s="508">
        <v>20.003</v>
      </c>
      <c r="R2028" s="508">
        <v>17.337</v>
      </c>
      <c r="S2028" s="508">
        <v>17.515999999999998</v>
      </c>
      <c r="T2028" s="508">
        <v>17.548999999999999</v>
      </c>
      <c r="U2028" s="508">
        <v>12.25</v>
      </c>
      <c r="V2028" s="508">
        <v>10.933999999999999</v>
      </c>
      <c r="W2028" s="508">
        <v>11.172000000000001</v>
      </c>
      <c r="X2028" s="508">
        <v>8.49</v>
      </c>
      <c r="Y2028" s="508">
        <v>7.4930000000000003</v>
      </c>
      <c r="Z2028" s="508">
        <v>6.5010000000000003</v>
      </c>
      <c r="AA2028" s="508">
        <v>5.5670000000000002</v>
      </c>
      <c r="AB2028" s="508">
        <v>4.7510000000000003</v>
      </c>
      <c r="AC2028" s="508">
        <v>4.008</v>
      </c>
      <c r="AD2028" s="508">
        <v>3.0960000000000001</v>
      </c>
      <c r="AE2028" s="508">
        <v>3.0939999999999999</v>
      </c>
      <c r="AF2028" s="508">
        <v>1.6879999999999999</v>
      </c>
      <c r="AG2028" s="508">
        <v>1.6359999999999999</v>
      </c>
      <c r="AH2028" s="508">
        <v>1.63</v>
      </c>
      <c r="AI2028" s="492">
        <v>1.62</v>
      </c>
      <c r="AJ2028" s="485"/>
    </row>
    <row r="2029" spans="2:36">
      <c r="B2029" s="136" t="s">
        <v>453</v>
      </c>
      <c r="C2029" s="132" t="s">
        <v>1365</v>
      </c>
      <c r="D2029" s="132" t="s">
        <v>282</v>
      </c>
      <c r="E2029" s="508">
        <v>114.446</v>
      </c>
      <c r="F2029" s="508">
        <v>46.125999999999998</v>
      </c>
      <c r="G2029" s="508">
        <v>46.289000000000001</v>
      </c>
      <c r="H2029" s="508">
        <v>46.286000000000001</v>
      </c>
      <c r="I2029" s="508">
        <v>46.238999999999997</v>
      </c>
      <c r="J2029" s="508">
        <v>41.606000000000002</v>
      </c>
      <c r="K2029" s="508">
        <v>41.351999999999997</v>
      </c>
      <c r="L2029" s="508">
        <v>40.947000000000003</v>
      </c>
      <c r="M2029" s="508">
        <v>40.481000000000002</v>
      </c>
      <c r="N2029" s="508">
        <v>41.29</v>
      </c>
      <c r="O2029" s="508">
        <v>40.578000000000003</v>
      </c>
      <c r="P2029" s="508">
        <v>18.443000000000001</v>
      </c>
      <c r="Q2029" s="508">
        <v>19.667000000000002</v>
      </c>
      <c r="R2029" s="508">
        <v>17.181999999999999</v>
      </c>
      <c r="S2029" s="508">
        <v>17.314</v>
      </c>
      <c r="T2029" s="508">
        <v>17.311</v>
      </c>
      <c r="U2029" s="508">
        <v>11.9</v>
      </c>
      <c r="V2029" s="508">
        <v>10.679</v>
      </c>
      <c r="W2029" s="508">
        <v>10.914999999999999</v>
      </c>
      <c r="X2029" s="508">
        <v>8.343</v>
      </c>
      <c r="Y2029" s="508">
        <v>7.3970000000000002</v>
      </c>
      <c r="Z2029" s="508">
        <v>6.3860000000000001</v>
      </c>
      <c r="AA2029" s="508">
        <v>5.5140000000000002</v>
      </c>
      <c r="AB2029" s="508">
        <v>4.7699999999999996</v>
      </c>
      <c r="AC2029" s="508">
        <v>4.0759999999999996</v>
      </c>
      <c r="AD2029" s="508">
        <v>3.15</v>
      </c>
      <c r="AE2029" s="508">
        <v>3.1429999999999998</v>
      </c>
      <c r="AF2029" s="508">
        <v>1.7250000000000001</v>
      </c>
      <c r="AG2029" s="508">
        <v>1.669</v>
      </c>
      <c r="AH2029" s="508">
        <v>1.6579999999999999</v>
      </c>
      <c r="AI2029" s="492">
        <v>1.649</v>
      </c>
      <c r="AJ2029" s="485"/>
    </row>
    <row r="2030" spans="2:36">
      <c r="B2030" s="136" t="s">
        <v>454</v>
      </c>
      <c r="C2030" s="132" t="s">
        <v>1365</v>
      </c>
      <c r="D2030" s="132" t="s">
        <v>282</v>
      </c>
      <c r="E2030" s="508">
        <v>111.033</v>
      </c>
      <c r="F2030" s="508">
        <v>45.572000000000003</v>
      </c>
      <c r="G2030" s="508">
        <v>45.734999999999999</v>
      </c>
      <c r="H2030" s="508">
        <v>45.731999999999999</v>
      </c>
      <c r="I2030" s="508">
        <v>45.685000000000002</v>
      </c>
      <c r="J2030" s="508">
        <v>41.024999999999999</v>
      </c>
      <c r="K2030" s="508">
        <v>40.777000000000001</v>
      </c>
      <c r="L2030" s="508">
        <v>40.384</v>
      </c>
      <c r="M2030" s="508">
        <v>39.935000000000002</v>
      </c>
      <c r="N2030" s="508">
        <v>40.709000000000003</v>
      </c>
      <c r="O2030" s="508">
        <v>40.021999999999998</v>
      </c>
      <c r="P2030" s="508">
        <v>17.84</v>
      </c>
      <c r="Q2030" s="508">
        <v>19.132999999999999</v>
      </c>
      <c r="R2030" s="508">
        <v>16.658999999999999</v>
      </c>
      <c r="S2030" s="508">
        <v>16.818999999999999</v>
      </c>
      <c r="T2030" s="508">
        <v>16.841999999999999</v>
      </c>
      <c r="U2030" s="508">
        <v>11.787000000000001</v>
      </c>
      <c r="V2030" s="508">
        <v>10.571</v>
      </c>
      <c r="W2030" s="508">
        <v>10.817</v>
      </c>
      <c r="X2030" s="508">
        <v>8.2319999999999993</v>
      </c>
      <c r="Y2030" s="508">
        <v>7.2869999999999999</v>
      </c>
      <c r="Z2030" s="508">
        <v>6.2709999999999999</v>
      </c>
      <c r="AA2030" s="508">
        <v>5.4020000000000001</v>
      </c>
      <c r="AB2030" s="508">
        <v>4.657</v>
      </c>
      <c r="AC2030" s="508">
        <v>3.9649999999999999</v>
      </c>
      <c r="AD2030" s="508">
        <v>3.056</v>
      </c>
      <c r="AE2030" s="508">
        <v>3.069</v>
      </c>
      <c r="AF2030" s="508">
        <v>1.6579999999999999</v>
      </c>
      <c r="AG2030" s="508">
        <v>1.62</v>
      </c>
      <c r="AH2030" s="508">
        <v>1.61</v>
      </c>
      <c r="AI2030" s="492">
        <v>1.6020000000000001</v>
      </c>
      <c r="AJ2030" s="485"/>
    </row>
    <row r="2031" spans="2:36">
      <c r="B2031" s="136" t="s">
        <v>455</v>
      </c>
      <c r="C2031" s="132" t="s">
        <v>1365</v>
      </c>
      <c r="D2031" s="132" t="s">
        <v>282</v>
      </c>
      <c r="E2031" s="508">
        <v>108.401</v>
      </c>
      <c r="F2031" s="508">
        <v>44.505000000000003</v>
      </c>
      <c r="G2031" s="508">
        <v>44.615000000000002</v>
      </c>
      <c r="H2031" s="508">
        <v>44.613</v>
      </c>
      <c r="I2031" s="508">
        <v>44.581000000000003</v>
      </c>
      <c r="J2031" s="508">
        <v>40.389000000000003</v>
      </c>
      <c r="K2031" s="508">
        <v>40.131</v>
      </c>
      <c r="L2031" s="508">
        <v>39.716999999999999</v>
      </c>
      <c r="M2031" s="508">
        <v>39.255000000000003</v>
      </c>
      <c r="N2031" s="508">
        <v>39.950000000000003</v>
      </c>
      <c r="O2031" s="508">
        <v>39.311999999999998</v>
      </c>
      <c r="P2031" s="508">
        <v>17.597999999999999</v>
      </c>
      <c r="Q2031" s="508">
        <v>18.876999999999999</v>
      </c>
      <c r="R2031" s="508">
        <v>16.337</v>
      </c>
      <c r="S2031" s="508">
        <v>16.533999999999999</v>
      </c>
      <c r="T2031" s="508">
        <v>16.585999999999999</v>
      </c>
      <c r="U2031" s="508">
        <v>11.622</v>
      </c>
      <c r="V2031" s="508">
        <v>10.355</v>
      </c>
      <c r="W2031" s="508">
        <v>10.577999999999999</v>
      </c>
      <c r="X2031" s="508">
        <v>8.0760000000000005</v>
      </c>
      <c r="Y2031" s="508">
        <v>7.16</v>
      </c>
      <c r="Z2031" s="508">
        <v>6.226</v>
      </c>
      <c r="AA2031" s="508">
        <v>5.335</v>
      </c>
      <c r="AB2031" s="508">
        <v>4.5739999999999998</v>
      </c>
      <c r="AC2031" s="508">
        <v>3.8690000000000002</v>
      </c>
      <c r="AD2031" s="508">
        <v>3.0139999999999998</v>
      </c>
      <c r="AE2031" s="508">
        <v>3.0249999999999999</v>
      </c>
      <c r="AF2031" s="508">
        <v>1.663</v>
      </c>
      <c r="AG2031" s="508">
        <v>1.6240000000000001</v>
      </c>
      <c r="AH2031" s="508">
        <v>1.631</v>
      </c>
      <c r="AI2031" s="492">
        <v>1.6220000000000001</v>
      </c>
      <c r="AJ2031" s="485"/>
    </row>
    <row r="2032" spans="2:36">
      <c r="B2032" s="136" t="s">
        <v>456</v>
      </c>
      <c r="C2032" s="132" t="s">
        <v>1365</v>
      </c>
      <c r="D2032" s="132" t="s">
        <v>282</v>
      </c>
      <c r="E2032" s="508">
        <v>106.306</v>
      </c>
      <c r="F2032" s="508">
        <v>46.41</v>
      </c>
      <c r="G2032" s="508">
        <v>46.747</v>
      </c>
      <c r="H2032" s="508">
        <v>46.94</v>
      </c>
      <c r="I2032" s="508">
        <v>47.186</v>
      </c>
      <c r="J2032" s="508">
        <v>42.274000000000001</v>
      </c>
      <c r="K2032" s="508">
        <v>42.058999999999997</v>
      </c>
      <c r="L2032" s="508">
        <v>41.811999999999998</v>
      </c>
      <c r="M2032" s="508">
        <v>41.470999999999997</v>
      </c>
      <c r="N2032" s="508">
        <v>41.786999999999999</v>
      </c>
      <c r="O2032" s="508">
        <v>41.243000000000002</v>
      </c>
      <c r="P2032" s="508">
        <v>18.193999999999999</v>
      </c>
      <c r="Q2032" s="508">
        <v>19.710999999999999</v>
      </c>
      <c r="R2032" s="508">
        <v>17.126000000000001</v>
      </c>
      <c r="S2032" s="508">
        <v>17.337</v>
      </c>
      <c r="T2032" s="508">
        <v>17.404</v>
      </c>
      <c r="U2032" s="508">
        <v>11.803000000000001</v>
      </c>
      <c r="V2032" s="508">
        <v>10.637</v>
      </c>
      <c r="W2032" s="508">
        <v>10.959</v>
      </c>
      <c r="X2032" s="508">
        <v>8.3330000000000002</v>
      </c>
      <c r="Y2032" s="508">
        <v>7.3630000000000004</v>
      </c>
      <c r="Z2032" s="508">
        <v>6.3140000000000001</v>
      </c>
      <c r="AA2032" s="508">
        <v>5.4589999999999996</v>
      </c>
      <c r="AB2032" s="508">
        <v>4.74</v>
      </c>
      <c r="AC2032" s="508">
        <v>4.05</v>
      </c>
      <c r="AD2032" s="508">
        <v>3.11</v>
      </c>
      <c r="AE2032" s="508">
        <v>3.161</v>
      </c>
      <c r="AF2032" s="508">
        <v>1.681</v>
      </c>
      <c r="AG2032" s="508">
        <v>1.6679999999999999</v>
      </c>
      <c r="AH2032" s="508">
        <v>1.67</v>
      </c>
      <c r="AI2032" s="492">
        <v>1.6639999999999999</v>
      </c>
      <c r="AJ2032" s="485"/>
    </row>
    <row r="2033" spans="2:36">
      <c r="B2033" s="136" t="s">
        <v>457</v>
      </c>
      <c r="C2033" s="132" t="s">
        <v>1365</v>
      </c>
      <c r="D2033" s="132" t="s">
        <v>282</v>
      </c>
      <c r="E2033" s="508">
        <v>114.545</v>
      </c>
      <c r="F2033" s="508">
        <v>45.914999999999999</v>
      </c>
      <c r="G2033" s="508">
        <v>46.08</v>
      </c>
      <c r="H2033" s="508">
        <v>46.076999999999998</v>
      </c>
      <c r="I2033" s="508">
        <v>46.029000000000003</v>
      </c>
      <c r="J2033" s="508">
        <v>41.786000000000001</v>
      </c>
      <c r="K2033" s="508">
        <v>41.540999999999997</v>
      </c>
      <c r="L2033" s="508">
        <v>41.146999999999998</v>
      </c>
      <c r="M2033" s="508">
        <v>40.686999999999998</v>
      </c>
      <c r="N2033" s="508">
        <v>41.149000000000001</v>
      </c>
      <c r="O2033" s="508">
        <v>40.420999999999999</v>
      </c>
      <c r="P2033" s="508">
        <v>18.178000000000001</v>
      </c>
      <c r="Q2033" s="508">
        <v>19.303999999999998</v>
      </c>
      <c r="R2033" s="508">
        <v>16.835000000000001</v>
      </c>
      <c r="S2033" s="508">
        <v>16.972000000000001</v>
      </c>
      <c r="T2033" s="508">
        <v>16.972000000000001</v>
      </c>
      <c r="U2033" s="508">
        <v>10.898999999999999</v>
      </c>
      <c r="V2033" s="508">
        <v>9.7880000000000003</v>
      </c>
      <c r="W2033" s="508">
        <v>10.010999999999999</v>
      </c>
      <c r="X2033" s="508">
        <v>7.7290000000000001</v>
      </c>
      <c r="Y2033" s="508">
        <v>6.88</v>
      </c>
      <c r="Z2033" s="508">
        <v>5.9870000000000001</v>
      </c>
      <c r="AA2033" s="508">
        <v>5.19</v>
      </c>
      <c r="AB2033" s="508">
        <v>4.532</v>
      </c>
      <c r="AC2033" s="508">
        <v>3.895</v>
      </c>
      <c r="AD2033" s="508">
        <v>3.0350000000000001</v>
      </c>
      <c r="AE2033" s="508">
        <v>3.024</v>
      </c>
      <c r="AF2033" s="508">
        <v>1.7</v>
      </c>
      <c r="AG2033" s="508">
        <v>1.639</v>
      </c>
      <c r="AH2033" s="508">
        <v>1.629</v>
      </c>
      <c r="AI2033" s="492">
        <v>1.62</v>
      </c>
      <c r="AJ2033" s="485"/>
    </row>
    <row r="2034" spans="2:36">
      <c r="B2034" s="136" t="s">
        <v>458</v>
      </c>
      <c r="C2034" s="132" t="s">
        <v>1365</v>
      </c>
      <c r="D2034" s="132" t="s">
        <v>282</v>
      </c>
      <c r="E2034" s="508">
        <v>98.305000000000007</v>
      </c>
      <c r="F2034" s="508">
        <v>39.238999999999997</v>
      </c>
      <c r="G2034" s="508">
        <v>39.197000000000003</v>
      </c>
      <c r="H2034" s="508">
        <v>39.198</v>
      </c>
      <c r="I2034" s="508">
        <v>39.21</v>
      </c>
      <c r="J2034" s="508">
        <v>35.481000000000002</v>
      </c>
      <c r="K2034" s="508">
        <v>35.164999999999999</v>
      </c>
      <c r="L2034" s="508">
        <v>34.664999999999999</v>
      </c>
      <c r="M2034" s="508">
        <v>34.142000000000003</v>
      </c>
      <c r="N2034" s="508">
        <v>35.646999999999998</v>
      </c>
      <c r="O2034" s="508">
        <v>35.158000000000001</v>
      </c>
      <c r="P2034" s="508">
        <v>15.923999999999999</v>
      </c>
      <c r="Q2034" s="508">
        <v>17.061</v>
      </c>
      <c r="R2034" s="508">
        <v>14.433</v>
      </c>
      <c r="S2034" s="508">
        <v>14.696999999999999</v>
      </c>
      <c r="T2034" s="508">
        <v>14.805999999999999</v>
      </c>
      <c r="U2034" s="508">
        <v>10.342000000000001</v>
      </c>
      <c r="V2034" s="508">
        <v>9.1669999999999998</v>
      </c>
      <c r="W2034" s="508">
        <v>9.3919999999999995</v>
      </c>
      <c r="X2034" s="508">
        <v>7.2350000000000003</v>
      </c>
      <c r="Y2034" s="508">
        <v>6.4119999999999999</v>
      </c>
      <c r="Z2034" s="508">
        <v>5.7149999999999999</v>
      </c>
      <c r="AA2034" s="508">
        <v>4.883</v>
      </c>
      <c r="AB2034" s="508">
        <v>4.2050000000000001</v>
      </c>
      <c r="AC2034" s="508">
        <v>3.5390000000000001</v>
      </c>
      <c r="AD2034" s="508">
        <v>2.8090000000000002</v>
      </c>
      <c r="AE2034" s="508">
        <v>2.8290000000000002</v>
      </c>
      <c r="AF2034" s="508">
        <v>1.601</v>
      </c>
      <c r="AG2034" s="508">
        <v>1.5660000000000001</v>
      </c>
      <c r="AH2034" s="508">
        <v>1.5940000000000001</v>
      </c>
      <c r="AI2034" s="492">
        <v>1.5860000000000001</v>
      </c>
      <c r="AJ2034" s="485"/>
    </row>
    <row r="2035" spans="2:36">
      <c r="B2035" s="136" t="s">
        <v>459</v>
      </c>
      <c r="C2035" s="132" t="s">
        <v>1365</v>
      </c>
      <c r="D2035" s="132" t="s">
        <v>282</v>
      </c>
      <c r="E2035" s="508">
        <v>115.23399999999999</v>
      </c>
      <c r="F2035" s="508">
        <v>46.74</v>
      </c>
      <c r="G2035" s="508">
        <v>46.908000000000001</v>
      </c>
      <c r="H2035" s="508">
        <v>46.904000000000003</v>
      </c>
      <c r="I2035" s="508">
        <v>46.856000000000002</v>
      </c>
      <c r="J2035" s="508">
        <v>42.122</v>
      </c>
      <c r="K2035" s="508">
        <v>41.863</v>
      </c>
      <c r="L2035" s="508">
        <v>41.453000000000003</v>
      </c>
      <c r="M2035" s="508">
        <v>40.981000000000002</v>
      </c>
      <c r="N2035" s="508">
        <v>41.564</v>
      </c>
      <c r="O2035" s="508">
        <v>40.853000000000002</v>
      </c>
      <c r="P2035" s="508">
        <v>18.559000000000001</v>
      </c>
      <c r="Q2035" s="508">
        <v>17.584</v>
      </c>
      <c r="R2035" s="508">
        <v>14.897</v>
      </c>
      <c r="S2035" s="508">
        <v>15.145</v>
      </c>
      <c r="T2035" s="508">
        <v>15.234999999999999</v>
      </c>
      <c r="U2035" s="508">
        <v>10.667</v>
      </c>
      <c r="V2035" s="508">
        <v>9.4269999999999996</v>
      </c>
      <c r="W2035" s="508">
        <v>9.6349999999999998</v>
      </c>
      <c r="X2035" s="508">
        <v>7.46</v>
      </c>
      <c r="Y2035" s="508">
        <v>6.6210000000000004</v>
      </c>
      <c r="Z2035" s="508">
        <v>5.9249999999999998</v>
      </c>
      <c r="AA2035" s="508">
        <v>5.0549999999999997</v>
      </c>
      <c r="AB2035" s="508">
        <v>4.2640000000000002</v>
      </c>
      <c r="AC2035" s="508">
        <v>3.5680000000000001</v>
      </c>
      <c r="AD2035" s="508">
        <v>2.85</v>
      </c>
      <c r="AE2035" s="508">
        <v>2.8490000000000002</v>
      </c>
      <c r="AF2035" s="508">
        <v>1.6619999999999999</v>
      </c>
      <c r="AG2035" s="508">
        <v>1.6060000000000001</v>
      </c>
      <c r="AH2035" s="508">
        <v>1.595</v>
      </c>
      <c r="AI2035" s="492">
        <v>1.659</v>
      </c>
      <c r="AJ2035" s="485"/>
    </row>
    <row r="2036" spans="2:36">
      <c r="B2036" s="136" t="s">
        <v>460</v>
      </c>
      <c r="C2036" s="132" t="s">
        <v>1365</v>
      </c>
      <c r="D2036" s="132" t="s">
        <v>282</v>
      </c>
      <c r="E2036" s="508">
        <v>121.462</v>
      </c>
      <c r="F2036" s="508">
        <v>48.904000000000003</v>
      </c>
      <c r="G2036" s="508">
        <v>49.073</v>
      </c>
      <c r="H2036" s="508">
        <v>49.07</v>
      </c>
      <c r="I2036" s="508">
        <v>49.021000000000001</v>
      </c>
      <c r="J2036" s="508">
        <v>43.826000000000001</v>
      </c>
      <c r="K2036" s="508">
        <v>43.558</v>
      </c>
      <c r="L2036" s="508">
        <v>43.127000000000002</v>
      </c>
      <c r="M2036" s="508">
        <v>42.634</v>
      </c>
      <c r="N2036" s="508">
        <v>43.689</v>
      </c>
      <c r="O2036" s="508">
        <v>42.957000000000001</v>
      </c>
      <c r="P2036" s="508">
        <v>19.591000000000001</v>
      </c>
      <c r="Q2036" s="508">
        <v>20.931999999999999</v>
      </c>
      <c r="R2036" s="508">
        <v>18.27</v>
      </c>
      <c r="S2036" s="508">
        <v>18.408999999999999</v>
      </c>
      <c r="T2036" s="508">
        <v>18.405000000000001</v>
      </c>
      <c r="U2036" s="508">
        <v>12.688000000000001</v>
      </c>
      <c r="V2036" s="508">
        <v>11.359</v>
      </c>
      <c r="W2036" s="508">
        <v>11.592000000000001</v>
      </c>
      <c r="X2036" s="508">
        <v>8.8339999999999996</v>
      </c>
      <c r="Y2036" s="508">
        <v>7.82</v>
      </c>
      <c r="Z2036" s="508">
        <v>6.76</v>
      </c>
      <c r="AA2036" s="508">
        <v>5.819</v>
      </c>
      <c r="AB2036" s="508">
        <v>4.9930000000000003</v>
      </c>
      <c r="AC2036" s="508">
        <v>4.2460000000000004</v>
      </c>
      <c r="AD2036" s="508">
        <v>3.286</v>
      </c>
      <c r="AE2036" s="508">
        <v>3.266</v>
      </c>
      <c r="AF2036" s="508">
        <v>1.794</v>
      </c>
      <c r="AG2036" s="508">
        <v>1.728</v>
      </c>
      <c r="AH2036" s="508">
        <v>1.7150000000000001</v>
      </c>
      <c r="AI2036" s="492">
        <v>1.7050000000000001</v>
      </c>
      <c r="AJ2036" s="485"/>
    </row>
    <row r="2037" spans="2:36">
      <c r="B2037" s="136" t="s">
        <v>461</v>
      </c>
      <c r="C2037" s="132" t="s">
        <v>1365</v>
      </c>
      <c r="D2037" s="132" t="s">
        <v>282</v>
      </c>
      <c r="E2037" s="508">
        <v>117.48699999999999</v>
      </c>
      <c r="F2037" s="508">
        <v>46.128999999999998</v>
      </c>
      <c r="G2037" s="508">
        <v>46.183</v>
      </c>
      <c r="H2037" s="508">
        <v>46.182000000000002</v>
      </c>
      <c r="I2037" s="508">
        <v>46.167000000000002</v>
      </c>
      <c r="J2037" s="508">
        <v>41.664000000000001</v>
      </c>
      <c r="K2037" s="508">
        <v>41.357999999999997</v>
      </c>
      <c r="L2037" s="508">
        <v>40.862000000000002</v>
      </c>
      <c r="M2037" s="508">
        <v>40.317999999999998</v>
      </c>
      <c r="N2037" s="508">
        <v>41.737000000000002</v>
      </c>
      <c r="O2037" s="508">
        <v>41.087000000000003</v>
      </c>
      <c r="P2037" s="508">
        <v>19.632000000000001</v>
      </c>
      <c r="Q2037" s="508">
        <v>20.864999999999998</v>
      </c>
      <c r="R2037" s="508">
        <v>18.132999999999999</v>
      </c>
      <c r="S2037" s="508">
        <v>18.986000000000001</v>
      </c>
      <c r="T2037" s="508">
        <v>18.969000000000001</v>
      </c>
      <c r="U2037" s="508">
        <v>11.596</v>
      </c>
      <c r="V2037" s="508">
        <v>10.45</v>
      </c>
      <c r="W2037" s="508">
        <v>10.692</v>
      </c>
      <c r="X2037" s="508">
        <v>8.2010000000000005</v>
      </c>
      <c r="Y2037" s="508">
        <v>7.2770000000000001</v>
      </c>
      <c r="Z2037" s="508">
        <v>6.2779999999999996</v>
      </c>
      <c r="AA2037" s="508">
        <v>5.45</v>
      </c>
      <c r="AB2037" s="508">
        <v>4.742</v>
      </c>
      <c r="AC2037" s="508">
        <v>4.0789999999999997</v>
      </c>
      <c r="AD2037" s="508">
        <v>3.1539999999999999</v>
      </c>
      <c r="AE2037" s="508">
        <v>3.14</v>
      </c>
      <c r="AF2037" s="508">
        <v>1.7330000000000001</v>
      </c>
      <c r="AG2037" s="508">
        <v>1.67</v>
      </c>
      <c r="AH2037" s="508">
        <v>1.659</v>
      </c>
      <c r="AI2037" s="492">
        <v>1.65</v>
      </c>
      <c r="AJ2037" s="485"/>
    </row>
    <row r="2038" spans="2:36">
      <c r="B2038" s="136" t="s">
        <v>462</v>
      </c>
      <c r="C2038" s="132" t="s">
        <v>1365</v>
      </c>
      <c r="D2038" s="132" t="s">
        <v>282</v>
      </c>
      <c r="E2038" s="508">
        <v>105.371</v>
      </c>
      <c r="F2038" s="508">
        <v>44.595999999999997</v>
      </c>
      <c r="G2038" s="508">
        <v>44.79</v>
      </c>
      <c r="H2038" s="508">
        <v>44.826000000000001</v>
      </c>
      <c r="I2038" s="508">
        <v>44.838000000000001</v>
      </c>
      <c r="J2038" s="508">
        <v>40.088999999999999</v>
      </c>
      <c r="K2038" s="508">
        <v>39.860999999999997</v>
      </c>
      <c r="L2038" s="508">
        <v>39.512999999999998</v>
      </c>
      <c r="M2038" s="508">
        <v>39.106000000000002</v>
      </c>
      <c r="N2038" s="508">
        <v>40.064999999999998</v>
      </c>
      <c r="O2038" s="508">
        <v>39.433</v>
      </c>
      <c r="P2038" s="508">
        <v>17.32</v>
      </c>
      <c r="Q2038" s="508">
        <v>18.617000000000001</v>
      </c>
      <c r="R2038" s="508">
        <v>16.175999999999998</v>
      </c>
      <c r="S2038" s="508">
        <v>16.367999999999999</v>
      </c>
      <c r="T2038" s="508">
        <v>16.422000000000001</v>
      </c>
      <c r="U2038" s="508">
        <v>11.034000000000001</v>
      </c>
      <c r="V2038" s="508">
        <v>9.92</v>
      </c>
      <c r="W2038" s="508">
        <v>10.192</v>
      </c>
      <c r="X2038" s="508">
        <v>7.7380000000000004</v>
      </c>
      <c r="Y2038" s="508">
        <v>6.8339999999999996</v>
      </c>
      <c r="Z2038" s="508">
        <v>5.859</v>
      </c>
      <c r="AA2038" s="508">
        <v>5.05</v>
      </c>
      <c r="AB2038" s="508">
        <v>4.3689999999999998</v>
      </c>
      <c r="AC2038" s="508">
        <v>3.7189999999999999</v>
      </c>
      <c r="AD2038" s="508">
        <v>2.8439999999999999</v>
      </c>
      <c r="AE2038" s="508">
        <v>2.8860000000000001</v>
      </c>
      <c r="AF2038" s="508">
        <v>1.532</v>
      </c>
      <c r="AG2038" s="508">
        <v>1.516</v>
      </c>
      <c r="AH2038" s="508">
        <v>1.508</v>
      </c>
      <c r="AI2038" s="492">
        <v>1.502</v>
      </c>
      <c r="AJ2038" s="485"/>
    </row>
    <row r="2039" spans="2:36">
      <c r="B2039" s="136" t="s">
        <v>463</v>
      </c>
      <c r="C2039" s="132" t="s">
        <v>1365</v>
      </c>
      <c r="D2039" s="132" t="s">
        <v>282</v>
      </c>
      <c r="E2039" s="508">
        <v>109.44499999999999</v>
      </c>
      <c r="F2039" s="508">
        <v>45.411000000000001</v>
      </c>
      <c r="G2039" s="508">
        <v>45.587000000000003</v>
      </c>
      <c r="H2039" s="508">
        <v>45.584000000000003</v>
      </c>
      <c r="I2039" s="508">
        <v>45.533000000000001</v>
      </c>
      <c r="J2039" s="508">
        <v>41.383000000000003</v>
      </c>
      <c r="K2039" s="508">
        <v>41.151000000000003</v>
      </c>
      <c r="L2039" s="508">
        <v>40.783999999999999</v>
      </c>
      <c r="M2039" s="508">
        <v>40.354999999999997</v>
      </c>
      <c r="N2039" s="508">
        <v>40.377000000000002</v>
      </c>
      <c r="O2039" s="508">
        <v>39.683</v>
      </c>
      <c r="P2039" s="508">
        <v>17.082999999999998</v>
      </c>
      <c r="Q2039" s="508">
        <v>18.36</v>
      </c>
      <c r="R2039" s="508">
        <v>15.9</v>
      </c>
      <c r="S2039" s="508">
        <v>16.085999999999999</v>
      </c>
      <c r="T2039" s="508">
        <v>16.13</v>
      </c>
      <c r="U2039" s="508">
        <v>11.291</v>
      </c>
      <c r="V2039" s="508">
        <v>10.089</v>
      </c>
      <c r="W2039" s="508">
        <v>10.316000000000001</v>
      </c>
      <c r="X2039" s="508">
        <v>7.9020000000000001</v>
      </c>
      <c r="Y2039" s="508">
        <v>7.02</v>
      </c>
      <c r="Z2039" s="508">
        <v>6.1029999999999998</v>
      </c>
      <c r="AA2039" s="508">
        <v>5.2539999999999996</v>
      </c>
      <c r="AB2039" s="508">
        <v>4.5460000000000003</v>
      </c>
      <c r="AC2039" s="508">
        <v>3.8719999999999999</v>
      </c>
      <c r="AD2039" s="508">
        <v>3.0249999999999999</v>
      </c>
      <c r="AE2039" s="508">
        <v>3.0369999999999999</v>
      </c>
      <c r="AF2039" s="508">
        <v>1.6739999999999999</v>
      </c>
      <c r="AG2039" s="508">
        <v>1.6359999999999999</v>
      </c>
      <c r="AH2039" s="508">
        <v>1.6379999999999999</v>
      </c>
      <c r="AI2039" s="492">
        <v>1.63</v>
      </c>
      <c r="AJ2039" s="485"/>
    </row>
    <row r="2040" spans="2:36">
      <c r="B2040" s="136" t="s">
        <v>464</v>
      </c>
      <c r="C2040" s="132" t="s">
        <v>1365</v>
      </c>
      <c r="D2040" s="132" t="s">
        <v>282</v>
      </c>
      <c r="E2040" s="508">
        <v>118.99299999999999</v>
      </c>
      <c r="F2040" s="508">
        <v>47.859000000000002</v>
      </c>
      <c r="G2040" s="508">
        <v>48.033999999999999</v>
      </c>
      <c r="H2040" s="508">
        <v>48.030999999999999</v>
      </c>
      <c r="I2040" s="508">
        <v>47.98</v>
      </c>
      <c r="J2040" s="508">
        <v>43.555999999999997</v>
      </c>
      <c r="K2040" s="508">
        <v>43.304000000000002</v>
      </c>
      <c r="L2040" s="508">
        <v>42.899000000000001</v>
      </c>
      <c r="M2040" s="508">
        <v>42.423999999999999</v>
      </c>
      <c r="N2040" s="508">
        <v>42.853999999999999</v>
      </c>
      <c r="O2040" s="508">
        <v>42.098999999999997</v>
      </c>
      <c r="P2040" s="508">
        <v>19.38</v>
      </c>
      <c r="Q2040" s="508">
        <v>20.614999999999998</v>
      </c>
      <c r="R2040" s="508">
        <v>18.082999999999998</v>
      </c>
      <c r="S2040" s="508">
        <v>18.199000000000002</v>
      </c>
      <c r="T2040" s="508">
        <v>18.177</v>
      </c>
      <c r="U2040" s="508">
        <v>12.026999999999999</v>
      </c>
      <c r="V2040" s="508">
        <v>10.792</v>
      </c>
      <c r="W2040" s="508">
        <v>11.010999999999999</v>
      </c>
      <c r="X2040" s="508">
        <v>8.4559999999999995</v>
      </c>
      <c r="Y2040" s="508">
        <v>7.5209999999999999</v>
      </c>
      <c r="Z2040" s="508">
        <v>6.508</v>
      </c>
      <c r="AA2040" s="508">
        <v>5.6319999999999997</v>
      </c>
      <c r="AB2040" s="508">
        <v>4.891</v>
      </c>
      <c r="AC2040" s="508">
        <v>4.1959999999999997</v>
      </c>
      <c r="AD2040" s="508">
        <v>3.258</v>
      </c>
      <c r="AE2040" s="508">
        <v>3.234</v>
      </c>
      <c r="AF2040" s="508">
        <v>1.8</v>
      </c>
      <c r="AG2040" s="508">
        <v>1.73</v>
      </c>
      <c r="AH2040" s="508">
        <v>1.718</v>
      </c>
      <c r="AI2040" s="492">
        <v>1.708</v>
      </c>
      <c r="AJ2040" s="485"/>
    </row>
    <row r="2041" spans="2:36">
      <c r="B2041" s="136" t="s">
        <v>465</v>
      </c>
      <c r="C2041" s="132" t="s">
        <v>1365</v>
      </c>
      <c r="D2041" s="132" t="s">
        <v>282</v>
      </c>
      <c r="E2041" s="508">
        <v>114.128</v>
      </c>
      <c r="F2041" s="508">
        <v>46.518999999999998</v>
      </c>
      <c r="G2041" s="508">
        <v>46.692</v>
      </c>
      <c r="H2041" s="508">
        <v>46.689</v>
      </c>
      <c r="I2041" s="508">
        <v>46.639000000000003</v>
      </c>
      <c r="J2041" s="508">
        <v>42.15</v>
      </c>
      <c r="K2041" s="508">
        <v>41.902999999999999</v>
      </c>
      <c r="L2041" s="508">
        <v>41.51</v>
      </c>
      <c r="M2041" s="508">
        <v>41.055</v>
      </c>
      <c r="N2041" s="508">
        <v>41.496000000000002</v>
      </c>
      <c r="O2041" s="508">
        <v>40.78</v>
      </c>
      <c r="P2041" s="508">
        <v>18.408999999999999</v>
      </c>
      <c r="Q2041" s="508">
        <v>19.692</v>
      </c>
      <c r="R2041" s="508">
        <v>17.206</v>
      </c>
      <c r="S2041" s="508">
        <v>17.341999999999999</v>
      </c>
      <c r="T2041" s="508">
        <v>17.341999999999999</v>
      </c>
      <c r="U2041" s="508">
        <v>11.981</v>
      </c>
      <c r="V2041" s="508">
        <v>10.759</v>
      </c>
      <c r="W2041" s="508">
        <v>10.997</v>
      </c>
      <c r="X2041" s="508">
        <v>8.407</v>
      </c>
      <c r="Y2041" s="508">
        <v>7.4640000000000004</v>
      </c>
      <c r="Z2041" s="508">
        <v>6.4320000000000004</v>
      </c>
      <c r="AA2041" s="508">
        <v>5.5609999999999999</v>
      </c>
      <c r="AB2041" s="508">
        <v>4.8179999999999996</v>
      </c>
      <c r="AC2041" s="508">
        <v>4.1260000000000003</v>
      </c>
      <c r="AD2041" s="508">
        <v>3.1960000000000002</v>
      </c>
      <c r="AE2041" s="508">
        <v>3.1920000000000002</v>
      </c>
      <c r="AF2041" s="508">
        <v>1.7470000000000001</v>
      </c>
      <c r="AG2041" s="508">
        <v>1.696</v>
      </c>
      <c r="AH2041" s="508">
        <v>1.6859999999999999</v>
      </c>
      <c r="AI2041" s="492">
        <v>1.6759999999999999</v>
      </c>
      <c r="AJ2041" s="485"/>
    </row>
    <row r="2042" spans="2:36">
      <c r="B2042" s="136" t="s">
        <v>466</v>
      </c>
      <c r="C2042" s="132" t="s">
        <v>1365</v>
      </c>
      <c r="D2042" s="132" t="s">
        <v>282</v>
      </c>
      <c r="E2042" s="508">
        <v>98.421000000000006</v>
      </c>
      <c r="F2042" s="508">
        <v>39.979999999999997</v>
      </c>
      <c r="G2042" s="508">
        <v>39.923999999999999</v>
      </c>
      <c r="H2042" s="508">
        <v>39.923999999999999</v>
      </c>
      <c r="I2042" s="508">
        <v>39.941000000000003</v>
      </c>
      <c r="J2042" s="508">
        <v>35.549999999999997</v>
      </c>
      <c r="K2042" s="508">
        <v>35.213000000000001</v>
      </c>
      <c r="L2042" s="508">
        <v>34.682000000000002</v>
      </c>
      <c r="M2042" s="508">
        <v>34.134999999999998</v>
      </c>
      <c r="N2042" s="508">
        <v>36.511000000000003</v>
      </c>
      <c r="O2042" s="508">
        <v>36.037999999999997</v>
      </c>
      <c r="P2042" s="508">
        <v>16.248999999999999</v>
      </c>
      <c r="Q2042" s="508">
        <v>17.402000000000001</v>
      </c>
      <c r="R2042" s="508">
        <v>14.657</v>
      </c>
      <c r="S2042" s="508">
        <v>14.946</v>
      </c>
      <c r="T2042" s="508">
        <v>15.074</v>
      </c>
      <c r="U2042" s="508">
        <v>10.925000000000001</v>
      </c>
      <c r="V2042" s="508">
        <v>9.6639999999999997</v>
      </c>
      <c r="W2042" s="508">
        <v>9.9139999999999997</v>
      </c>
      <c r="X2042" s="508">
        <v>7.5679999999999996</v>
      </c>
      <c r="Y2042" s="508">
        <v>6.6660000000000004</v>
      </c>
      <c r="Z2042" s="508">
        <v>5.9029999999999996</v>
      </c>
      <c r="AA2042" s="508">
        <v>5.0060000000000002</v>
      </c>
      <c r="AB2042" s="508">
        <v>4.234</v>
      </c>
      <c r="AC2042" s="508">
        <v>3.5139999999999998</v>
      </c>
      <c r="AD2042" s="508">
        <v>2.7519999999999998</v>
      </c>
      <c r="AE2042" s="508">
        <v>2.79</v>
      </c>
      <c r="AF2042" s="508">
        <v>1.5469999999999999</v>
      </c>
      <c r="AG2042" s="508">
        <v>1.5229999999999999</v>
      </c>
      <c r="AH2042" s="508">
        <v>1.569</v>
      </c>
      <c r="AI2042" s="492">
        <v>1.5620000000000001</v>
      </c>
      <c r="AJ2042" s="485"/>
    </row>
    <row r="2043" spans="2:36">
      <c r="B2043" s="136" t="s">
        <v>467</v>
      </c>
      <c r="C2043" s="132" t="s">
        <v>1365</v>
      </c>
      <c r="D2043" s="132" t="s">
        <v>282</v>
      </c>
      <c r="E2043" s="508">
        <v>114.5</v>
      </c>
      <c r="F2043" s="508">
        <v>45.887</v>
      </c>
      <c r="G2043" s="508">
        <v>46.043999999999997</v>
      </c>
      <c r="H2043" s="508">
        <v>46.040999999999997</v>
      </c>
      <c r="I2043" s="508">
        <v>45.996000000000002</v>
      </c>
      <c r="J2043" s="508">
        <v>41.328000000000003</v>
      </c>
      <c r="K2043" s="508">
        <v>41.069000000000003</v>
      </c>
      <c r="L2043" s="508">
        <v>40.658000000000001</v>
      </c>
      <c r="M2043" s="508">
        <v>40.185000000000002</v>
      </c>
      <c r="N2043" s="508">
        <v>41.054000000000002</v>
      </c>
      <c r="O2043" s="508">
        <v>40.344999999999999</v>
      </c>
      <c r="P2043" s="508">
        <v>16.431000000000001</v>
      </c>
      <c r="Q2043" s="508">
        <v>17.425999999999998</v>
      </c>
      <c r="R2043" s="508">
        <v>14.785</v>
      </c>
      <c r="S2043" s="508">
        <v>15.026999999999999</v>
      </c>
      <c r="T2043" s="508">
        <v>15.112</v>
      </c>
      <c r="U2043" s="508">
        <v>10.335000000000001</v>
      </c>
      <c r="V2043" s="508">
        <v>9.1319999999999997</v>
      </c>
      <c r="W2043" s="508">
        <v>9.3360000000000003</v>
      </c>
      <c r="X2043" s="508">
        <v>7.2460000000000004</v>
      </c>
      <c r="Y2043" s="508">
        <v>6.4320000000000004</v>
      </c>
      <c r="Z2043" s="508">
        <v>5.7679999999999998</v>
      </c>
      <c r="AA2043" s="508">
        <v>4.9210000000000003</v>
      </c>
      <c r="AB2043" s="508">
        <v>4.2169999999999996</v>
      </c>
      <c r="AC2043" s="508">
        <v>3.5379999999999998</v>
      </c>
      <c r="AD2043" s="508">
        <v>2.8090000000000002</v>
      </c>
      <c r="AE2043" s="508">
        <v>2.8039999999999998</v>
      </c>
      <c r="AF2043" s="508">
        <v>1.6339999999999999</v>
      </c>
      <c r="AG2043" s="508">
        <v>1.5740000000000001</v>
      </c>
      <c r="AH2043" s="508">
        <v>1.5629999999999999</v>
      </c>
      <c r="AI2043" s="492">
        <v>1.554</v>
      </c>
      <c r="AJ2043" s="485"/>
    </row>
    <row r="2044" spans="2:36">
      <c r="B2044" s="136" t="s">
        <v>468</v>
      </c>
      <c r="C2044" s="132" t="s">
        <v>1365</v>
      </c>
      <c r="D2044" s="132" t="s">
        <v>282</v>
      </c>
      <c r="E2044" s="508">
        <v>92.212000000000003</v>
      </c>
      <c r="F2044" s="508">
        <v>36.500999999999998</v>
      </c>
      <c r="G2044" s="508">
        <v>36.409999999999997</v>
      </c>
      <c r="H2044" s="508">
        <v>36.411000000000001</v>
      </c>
      <c r="I2044" s="508">
        <v>36.438000000000002</v>
      </c>
      <c r="J2044" s="508">
        <v>33.536999999999999</v>
      </c>
      <c r="K2044" s="508">
        <v>33.216999999999999</v>
      </c>
      <c r="L2044" s="508">
        <v>32.713000000000001</v>
      </c>
      <c r="M2044" s="508">
        <v>32.19</v>
      </c>
      <c r="N2044" s="508">
        <v>33.408999999999999</v>
      </c>
      <c r="O2044" s="508">
        <v>32.969000000000001</v>
      </c>
      <c r="P2044" s="508">
        <v>15.276</v>
      </c>
      <c r="Q2044" s="508">
        <v>16.318000000000001</v>
      </c>
      <c r="R2044" s="508">
        <v>13.768000000000001</v>
      </c>
      <c r="S2044" s="508">
        <v>14.04</v>
      </c>
      <c r="T2044" s="508">
        <v>14.154999999999999</v>
      </c>
      <c r="U2044" s="508">
        <v>10.023</v>
      </c>
      <c r="V2044" s="508">
        <v>8.8309999999999995</v>
      </c>
      <c r="W2044" s="508">
        <v>9.0289999999999999</v>
      </c>
      <c r="X2044" s="508">
        <v>7.0129999999999999</v>
      </c>
      <c r="Y2044" s="508">
        <v>6.242</v>
      </c>
      <c r="Z2044" s="508">
        <v>5.61</v>
      </c>
      <c r="AA2044" s="508">
        <v>4.7789999999999999</v>
      </c>
      <c r="AB2044" s="508">
        <v>4.0949999999999998</v>
      </c>
      <c r="AC2044" s="508">
        <v>3.4329999999999998</v>
      </c>
      <c r="AD2044" s="508">
        <v>2.7509999999999999</v>
      </c>
      <c r="AE2044" s="508">
        <v>2.7650000000000001</v>
      </c>
      <c r="AF2044" s="508">
        <v>1.6120000000000001</v>
      </c>
      <c r="AG2044" s="508">
        <v>1.57</v>
      </c>
      <c r="AH2044" s="508">
        <v>1.5609999999999999</v>
      </c>
      <c r="AI2044" s="492">
        <v>1.552</v>
      </c>
      <c r="AJ2044" s="485"/>
    </row>
    <row r="2045" spans="2:36">
      <c r="B2045" s="136" t="s">
        <v>469</v>
      </c>
      <c r="C2045" s="132" t="s">
        <v>1365</v>
      </c>
      <c r="D2045" s="132" t="s">
        <v>282</v>
      </c>
      <c r="E2045" s="508">
        <v>106.601</v>
      </c>
      <c r="F2045" s="508">
        <v>43.701000000000001</v>
      </c>
      <c r="G2045" s="508">
        <v>43.807000000000002</v>
      </c>
      <c r="H2045" s="508">
        <v>43.805999999999997</v>
      </c>
      <c r="I2045" s="508">
        <v>43.774999999999999</v>
      </c>
      <c r="J2045" s="508">
        <v>39.423000000000002</v>
      </c>
      <c r="K2045" s="508">
        <v>39.158999999999999</v>
      </c>
      <c r="L2045" s="508">
        <v>38.741</v>
      </c>
      <c r="M2045" s="508">
        <v>38.276000000000003</v>
      </c>
      <c r="N2045" s="508">
        <v>39.273000000000003</v>
      </c>
      <c r="O2045" s="508">
        <v>38.643000000000001</v>
      </c>
      <c r="P2045" s="508">
        <v>17.260999999999999</v>
      </c>
      <c r="Q2045" s="508">
        <v>18.491</v>
      </c>
      <c r="R2045" s="508">
        <v>15.984999999999999</v>
      </c>
      <c r="S2045" s="508">
        <v>16.178999999999998</v>
      </c>
      <c r="T2045" s="508">
        <v>16.231000000000002</v>
      </c>
      <c r="U2045" s="508">
        <v>11.449</v>
      </c>
      <c r="V2045" s="508">
        <v>10.23</v>
      </c>
      <c r="W2045" s="508">
        <v>10.471</v>
      </c>
      <c r="X2045" s="508">
        <v>7.9880000000000004</v>
      </c>
      <c r="Y2045" s="508">
        <v>7.0730000000000004</v>
      </c>
      <c r="Z2045" s="508">
        <v>6.1390000000000002</v>
      </c>
      <c r="AA2045" s="508">
        <v>5.2720000000000002</v>
      </c>
      <c r="AB2045" s="508">
        <v>4.5410000000000004</v>
      </c>
      <c r="AC2045" s="508">
        <v>3.85</v>
      </c>
      <c r="AD2045" s="508">
        <v>2.988</v>
      </c>
      <c r="AE2045" s="508">
        <v>3.0070000000000001</v>
      </c>
      <c r="AF2045" s="508">
        <v>1.641</v>
      </c>
      <c r="AG2045" s="508">
        <v>1.607</v>
      </c>
      <c r="AH2045" s="508">
        <v>1.607</v>
      </c>
      <c r="AI2045" s="492">
        <v>1.599</v>
      </c>
      <c r="AJ2045" s="485"/>
    </row>
    <row r="2046" spans="2:36">
      <c r="B2046" s="136" t="s">
        <v>470</v>
      </c>
      <c r="C2046" s="132" t="s">
        <v>1365</v>
      </c>
      <c r="D2046" s="132" t="s">
        <v>282</v>
      </c>
      <c r="E2046" s="508">
        <v>73.683999999999997</v>
      </c>
      <c r="F2046" s="508">
        <v>27.803999999999998</v>
      </c>
      <c r="G2046" s="508">
        <v>27.347000000000001</v>
      </c>
      <c r="H2046" s="508">
        <v>27.356000000000002</v>
      </c>
      <c r="I2046" s="508">
        <v>27.488</v>
      </c>
      <c r="J2046" s="508">
        <v>25.231000000000002</v>
      </c>
      <c r="K2046" s="508">
        <v>24.777999999999999</v>
      </c>
      <c r="L2046" s="508">
        <v>24.065000000000001</v>
      </c>
      <c r="M2046" s="508">
        <v>23.405000000000001</v>
      </c>
      <c r="N2046" s="508">
        <v>25.419</v>
      </c>
      <c r="O2046" s="508">
        <v>25.422999999999998</v>
      </c>
      <c r="P2046" s="508">
        <v>16.257000000000001</v>
      </c>
      <c r="Q2046" s="508">
        <v>17.300999999999998</v>
      </c>
      <c r="R2046" s="508">
        <v>14.548</v>
      </c>
      <c r="S2046" s="508">
        <v>14.827</v>
      </c>
      <c r="T2046" s="508">
        <v>14.943</v>
      </c>
      <c r="U2046" s="508">
        <v>10.305999999999999</v>
      </c>
      <c r="V2046" s="508">
        <v>9.0960000000000001</v>
      </c>
      <c r="W2046" s="508">
        <v>9.3149999999999995</v>
      </c>
      <c r="X2046" s="508">
        <v>7.2160000000000002</v>
      </c>
      <c r="Y2046" s="508">
        <v>6.3920000000000003</v>
      </c>
      <c r="Z2046" s="508">
        <v>5.7480000000000002</v>
      </c>
      <c r="AA2046" s="508">
        <v>4.8929999999999998</v>
      </c>
      <c r="AB2046" s="508">
        <v>4.1740000000000004</v>
      </c>
      <c r="AC2046" s="508">
        <v>3.4860000000000002</v>
      </c>
      <c r="AD2046" s="508">
        <v>2.7730000000000001</v>
      </c>
      <c r="AE2046" s="508">
        <v>2.7829999999999999</v>
      </c>
      <c r="AF2046" s="508">
        <v>1.6140000000000001</v>
      </c>
      <c r="AG2046" s="508">
        <v>1.64</v>
      </c>
      <c r="AH2046" s="508">
        <v>1.629</v>
      </c>
      <c r="AI2046" s="492">
        <v>1.621</v>
      </c>
      <c r="AJ2046" s="485"/>
    </row>
    <row r="2047" spans="2:36">
      <c r="B2047" s="136" t="s">
        <v>471</v>
      </c>
      <c r="C2047" s="132" t="s">
        <v>1365</v>
      </c>
      <c r="D2047" s="132" t="s">
        <v>282</v>
      </c>
      <c r="E2047" s="508">
        <v>109.613</v>
      </c>
      <c r="F2047" s="508">
        <v>45.433999999999997</v>
      </c>
      <c r="G2047" s="508">
        <v>45.591000000000001</v>
      </c>
      <c r="H2047" s="508">
        <v>45.588000000000001</v>
      </c>
      <c r="I2047" s="508">
        <v>45.542999999999999</v>
      </c>
      <c r="J2047" s="508">
        <v>40.564999999999998</v>
      </c>
      <c r="K2047" s="508">
        <v>40.317999999999998</v>
      </c>
      <c r="L2047" s="508">
        <v>39.923000000000002</v>
      </c>
      <c r="M2047" s="508">
        <v>39.476999999999997</v>
      </c>
      <c r="N2047" s="508">
        <v>40.652999999999999</v>
      </c>
      <c r="O2047" s="508">
        <v>39.991999999999997</v>
      </c>
      <c r="P2047" s="508">
        <v>17.440000000000001</v>
      </c>
      <c r="Q2047" s="508">
        <v>18.725999999999999</v>
      </c>
      <c r="R2047" s="508">
        <v>16.202000000000002</v>
      </c>
      <c r="S2047" s="508">
        <v>16.398</v>
      </c>
      <c r="T2047" s="508">
        <v>16.451000000000001</v>
      </c>
      <c r="U2047" s="508">
        <v>11.074999999999999</v>
      </c>
      <c r="V2047" s="508">
        <v>9.9489999999999998</v>
      </c>
      <c r="W2047" s="508">
        <v>10.212999999999999</v>
      </c>
      <c r="X2047" s="508">
        <v>7.7670000000000003</v>
      </c>
      <c r="Y2047" s="508">
        <v>6.859</v>
      </c>
      <c r="Z2047" s="508">
        <v>5.9059999999999997</v>
      </c>
      <c r="AA2047" s="508">
        <v>5.0890000000000004</v>
      </c>
      <c r="AB2047" s="508">
        <v>4.391</v>
      </c>
      <c r="AC2047" s="508">
        <v>3.7349999999999999</v>
      </c>
      <c r="AD2047" s="508">
        <v>2.871</v>
      </c>
      <c r="AE2047" s="508">
        <v>2.9020000000000001</v>
      </c>
      <c r="AF2047" s="508">
        <v>1.5569999999999999</v>
      </c>
      <c r="AG2047" s="508">
        <v>1.532</v>
      </c>
      <c r="AH2047" s="508">
        <v>1.524</v>
      </c>
      <c r="AI2047" s="492">
        <v>1.5249999999999999</v>
      </c>
      <c r="AJ2047" s="485"/>
    </row>
    <row r="2048" spans="2:36">
      <c r="B2048" s="136" t="s">
        <v>472</v>
      </c>
      <c r="C2048" s="132" t="s">
        <v>1365</v>
      </c>
      <c r="D2048" s="132" t="s">
        <v>282</v>
      </c>
      <c r="E2048" s="508">
        <v>123.152</v>
      </c>
      <c r="F2048" s="508">
        <v>49.170999999999999</v>
      </c>
      <c r="G2048" s="508">
        <v>49.344000000000001</v>
      </c>
      <c r="H2048" s="508">
        <v>49.341000000000001</v>
      </c>
      <c r="I2048" s="508">
        <v>49.290999999999997</v>
      </c>
      <c r="J2048" s="508">
        <v>44.773000000000003</v>
      </c>
      <c r="K2048" s="508">
        <v>44.517000000000003</v>
      </c>
      <c r="L2048" s="508">
        <v>44.098999999999997</v>
      </c>
      <c r="M2048" s="508">
        <v>43.606999999999999</v>
      </c>
      <c r="N2048" s="508">
        <v>44.124000000000002</v>
      </c>
      <c r="O2048" s="508">
        <v>43.347000000000001</v>
      </c>
      <c r="P2048" s="508">
        <v>20.274000000000001</v>
      </c>
      <c r="Q2048" s="508">
        <v>21.506</v>
      </c>
      <c r="R2048" s="508">
        <v>18.91</v>
      </c>
      <c r="S2048" s="508">
        <v>19.012</v>
      </c>
      <c r="T2048" s="508">
        <v>18.972999999999999</v>
      </c>
      <c r="U2048" s="508">
        <v>11.398999999999999</v>
      </c>
      <c r="V2048" s="508">
        <v>10.272</v>
      </c>
      <c r="W2048" s="508">
        <v>10.494999999999999</v>
      </c>
      <c r="X2048" s="508">
        <v>8.0939999999999994</v>
      </c>
      <c r="Y2048" s="508">
        <v>7.2089999999999996</v>
      </c>
      <c r="Z2048" s="508">
        <v>6.2350000000000003</v>
      </c>
      <c r="AA2048" s="508">
        <v>5.4249999999999998</v>
      </c>
      <c r="AB2048" s="508">
        <v>4.7489999999999997</v>
      </c>
      <c r="AC2048" s="508">
        <v>4.1029999999999998</v>
      </c>
      <c r="AD2048" s="508">
        <v>3.1850000000000001</v>
      </c>
      <c r="AE2048" s="508">
        <v>3.1579999999999999</v>
      </c>
      <c r="AF2048" s="508">
        <v>1.768</v>
      </c>
      <c r="AG2048" s="508">
        <v>1.6950000000000001</v>
      </c>
      <c r="AH2048" s="508">
        <v>1.6839999999999999</v>
      </c>
      <c r="AI2048" s="492">
        <v>1.6739999999999999</v>
      </c>
      <c r="AJ2048" s="485"/>
    </row>
    <row r="2049" spans="2:36">
      <c r="B2049" s="136" t="s">
        <v>473</v>
      </c>
      <c r="C2049" s="132" t="s">
        <v>1365</v>
      </c>
      <c r="D2049" s="132" t="s">
        <v>282</v>
      </c>
      <c r="E2049" s="508">
        <v>111.18</v>
      </c>
      <c r="F2049" s="508">
        <v>44.445999999999998</v>
      </c>
      <c r="G2049" s="508">
        <v>41.712000000000003</v>
      </c>
      <c r="H2049" s="508">
        <v>41.713000000000001</v>
      </c>
      <c r="I2049" s="508">
        <v>41.728000000000002</v>
      </c>
      <c r="J2049" s="508">
        <v>37.335000000000001</v>
      </c>
      <c r="K2049" s="508">
        <v>36.997999999999998</v>
      </c>
      <c r="L2049" s="508">
        <v>36.457999999999998</v>
      </c>
      <c r="M2049" s="508">
        <v>35.899000000000001</v>
      </c>
      <c r="N2049" s="508">
        <v>37.801000000000002</v>
      </c>
      <c r="O2049" s="508">
        <v>37.319000000000003</v>
      </c>
      <c r="P2049" s="508">
        <v>18.280999999999999</v>
      </c>
      <c r="Q2049" s="508">
        <v>19.513999999999999</v>
      </c>
      <c r="R2049" s="508">
        <v>16.768999999999998</v>
      </c>
      <c r="S2049" s="508">
        <v>16.984000000000002</v>
      </c>
      <c r="T2049" s="508">
        <v>17.045999999999999</v>
      </c>
      <c r="U2049" s="508">
        <v>11.994999999999999</v>
      </c>
      <c r="V2049" s="508">
        <v>10.657</v>
      </c>
      <c r="W2049" s="508">
        <v>10.888</v>
      </c>
      <c r="X2049" s="508">
        <v>8.3130000000000006</v>
      </c>
      <c r="Y2049" s="508">
        <v>7.343</v>
      </c>
      <c r="Z2049" s="508">
        <v>6.4480000000000004</v>
      </c>
      <c r="AA2049" s="508">
        <v>5.5049999999999999</v>
      </c>
      <c r="AB2049" s="508">
        <v>4.6950000000000003</v>
      </c>
      <c r="AC2049" s="508">
        <v>3.9430000000000001</v>
      </c>
      <c r="AD2049" s="508">
        <v>3.077</v>
      </c>
      <c r="AE2049" s="508">
        <v>3.0739999999999998</v>
      </c>
      <c r="AF2049" s="508">
        <v>1.716</v>
      </c>
      <c r="AG2049" s="508">
        <v>1.661</v>
      </c>
      <c r="AH2049" s="508">
        <v>1.6579999999999999</v>
      </c>
      <c r="AI2049" s="492">
        <v>1.6479999999999999</v>
      </c>
      <c r="AJ2049" s="485"/>
    </row>
    <row r="2050" spans="2:36">
      <c r="B2050" s="136" t="s">
        <v>474</v>
      </c>
      <c r="C2050" s="132" t="s">
        <v>1365</v>
      </c>
      <c r="D2050" s="132" t="s">
        <v>282</v>
      </c>
      <c r="E2050" s="508">
        <v>108.932</v>
      </c>
      <c r="F2050" s="508">
        <v>45.432000000000002</v>
      </c>
      <c r="G2050" s="508">
        <v>45.593000000000004</v>
      </c>
      <c r="H2050" s="508">
        <v>45.588999999999999</v>
      </c>
      <c r="I2050" s="508">
        <v>45.542999999999999</v>
      </c>
      <c r="J2050" s="508">
        <v>40.646999999999998</v>
      </c>
      <c r="K2050" s="508">
        <v>40.398000000000003</v>
      </c>
      <c r="L2050" s="508">
        <v>40.003999999999998</v>
      </c>
      <c r="M2050" s="508">
        <v>39.557000000000002</v>
      </c>
      <c r="N2050" s="508">
        <v>40.612000000000002</v>
      </c>
      <c r="O2050" s="508">
        <v>39.942</v>
      </c>
      <c r="P2050" s="508">
        <v>17.609000000000002</v>
      </c>
      <c r="Q2050" s="508">
        <v>18.913</v>
      </c>
      <c r="R2050" s="508">
        <v>16.420000000000002</v>
      </c>
      <c r="S2050" s="508">
        <v>16.597999999999999</v>
      </c>
      <c r="T2050" s="508">
        <v>16.638000000000002</v>
      </c>
      <c r="U2050" s="508">
        <v>11.747999999999999</v>
      </c>
      <c r="V2050" s="508">
        <v>10.528</v>
      </c>
      <c r="W2050" s="508">
        <v>10.785</v>
      </c>
      <c r="X2050" s="508">
        <v>8.1739999999999995</v>
      </c>
      <c r="Y2050" s="508">
        <v>7.2169999999999996</v>
      </c>
      <c r="Z2050" s="508">
        <v>6.2009999999999996</v>
      </c>
      <c r="AA2050" s="508">
        <v>5.327</v>
      </c>
      <c r="AB2050" s="508">
        <v>4.5730000000000004</v>
      </c>
      <c r="AC2050" s="508">
        <v>3.8759999999999999</v>
      </c>
      <c r="AD2050" s="508">
        <v>2.976</v>
      </c>
      <c r="AE2050" s="508">
        <v>3.0030000000000001</v>
      </c>
      <c r="AF2050" s="508">
        <v>1.6020000000000001</v>
      </c>
      <c r="AG2050" s="508">
        <v>1.575</v>
      </c>
      <c r="AH2050" s="508">
        <v>1.5660000000000001</v>
      </c>
      <c r="AI2050" s="492">
        <v>1.5589999999999999</v>
      </c>
      <c r="AJ2050" s="485"/>
    </row>
    <row r="2051" spans="2:36">
      <c r="B2051" s="136" t="s">
        <v>475</v>
      </c>
      <c r="C2051" s="132" t="s">
        <v>1365</v>
      </c>
      <c r="D2051" s="132" t="s">
        <v>282</v>
      </c>
      <c r="E2051" s="508">
        <v>110.69</v>
      </c>
      <c r="F2051" s="508">
        <v>44.19</v>
      </c>
      <c r="G2051" s="508">
        <v>44.253</v>
      </c>
      <c r="H2051" s="508">
        <v>44.252000000000002</v>
      </c>
      <c r="I2051" s="508">
        <v>44.232999999999997</v>
      </c>
      <c r="J2051" s="508">
        <v>39.868000000000002</v>
      </c>
      <c r="K2051" s="508">
        <v>39.228000000000002</v>
      </c>
      <c r="L2051" s="508">
        <v>38.756999999999998</v>
      </c>
      <c r="M2051" s="508">
        <v>38.243000000000002</v>
      </c>
      <c r="N2051" s="508">
        <v>39.603000000000002</v>
      </c>
      <c r="O2051" s="508">
        <v>38.993000000000002</v>
      </c>
      <c r="P2051" s="508">
        <v>17.728000000000002</v>
      </c>
      <c r="Q2051" s="508">
        <v>18.917000000000002</v>
      </c>
      <c r="R2051" s="508">
        <v>16.265000000000001</v>
      </c>
      <c r="S2051" s="508">
        <v>16.48</v>
      </c>
      <c r="T2051" s="508">
        <v>16.542999999999999</v>
      </c>
      <c r="U2051" s="508">
        <v>11.342000000000001</v>
      </c>
      <c r="V2051" s="508">
        <v>10.092000000000001</v>
      </c>
      <c r="W2051" s="508">
        <v>10.319000000000001</v>
      </c>
      <c r="X2051" s="508">
        <v>7.9169999999999998</v>
      </c>
      <c r="Y2051" s="508">
        <v>7.0149999999999997</v>
      </c>
      <c r="Z2051" s="508">
        <v>6.1680000000000001</v>
      </c>
      <c r="AA2051" s="508">
        <v>5.2839999999999998</v>
      </c>
      <c r="AB2051" s="508">
        <v>4.5469999999999997</v>
      </c>
      <c r="AC2051" s="508">
        <v>3.8420000000000001</v>
      </c>
      <c r="AD2051" s="508">
        <v>3.0089999999999999</v>
      </c>
      <c r="AE2051" s="508">
        <v>3.012</v>
      </c>
      <c r="AF2051" s="508">
        <v>1.7050000000000001</v>
      </c>
      <c r="AG2051" s="508">
        <v>1.655</v>
      </c>
      <c r="AH2051" s="508">
        <v>1.645</v>
      </c>
      <c r="AI2051" s="492">
        <v>1.6359999999999999</v>
      </c>
      <c r="AJ2051" s="485"/>
    </row>
    <row r="2052" spans="2:36">
      <c r="B2052" s="136" t="s">
        <v>476</v>
      </c>
      <c r="C2052" s="132" t="s">
        <v>1365</v>
      </c>
      <c r="D2052" s="132" t="s">
        <v>282</v>
      </c>
      <c r="E2052" s="508">
        <v>114.408</v>
      </c>
      <c r="F2052" s="508">
        <v>42.244</v>
      </c>
      <c r="G2052" s="508">
        <v>42.247</v>
      </c>
      <c r="H2052" s="508">
        <v>42.247</v>
      </c>
      <c r="I2052" s="508">
        <v>42.247</v>
      </c>
      <c r="J2052" s="508">
        <v>37.954999999999998</v>
      </c>
      <c r="K2052" s="508">
        <v>37.642000000000003</v>
      </c>
      <c r="L2052" s="508">
        <v>37.143000000000001</v>
      </c>
      <c r="M2052" s="508">
        <v>36.610999999999997</v>
      </c>
      <c r="N2052" s="508">
        <v>38.283000000000001</v>
      </c>
      <c r="O2052" s="508">
        <v>37.731000000000002</v>
      </c>
      <c r="P2052" s="508">
        <v>17.132000000000001</v>
      </c>
      <c r="Q2052" s="508">
        <v>18.274000000000001</v>
      </c>
      <c r="R2052" s="508">
        <v>15.571</v>
      </c>
      <c r="S2052" s="508">
        <v>15.811999999999999</v>
      </c>
      <c r="T2052" s="508">
        <v>15.896000000000001</v>
      </c>
      <c r="U2052" s="508">
        <v>10.923</v>
      </c>
      <c r="V2052" s="508">
        <v>9.7010000000000005</v>
      </c>
      <c r="W2052" s="508">
        <v>9.9309999999999992</v>
      </c>
      <c r="X2052" s="508">
        <v>7.64</v>
      </c>
      <c r="Y2052" s="508">
        <v>6.7640000000000002</v>
      </c>
      <c r="Z2052" s="508">
        <v>5.984</v>
      </c>
      <c r="AA2052" s="508">
        <v>5.117</v>
      </c>
      <c r="AB2052" s="508">
        <v>4.3789999999999996</v>
      </c>
      <c r="AC2052" s="508">
        <v>3.6840000000000002</v>
      </c>
      <c r="AD2052" s="508">
        <v>2.8969999999999998</v>
      </c>
      <c r="AE2052" s="508">
        <v>2.9049999999999998</v>
      </c>
      <c r="AF2052" s="508">
        <v>1.6439999999999999</v>
      </c>
      <c r="AG2052" s="508">
        <v>1.5960000000000001</v>
      </c>
      <c r="AH2052" s="508">
        <v>1.5960000000000001</v>
      </c>
      <c r="AI2052" s="492">
        <v>1.6259999999999999</v>
      </c>
      <c r="AJ2052" s="485"/>
    </row>
    <row r="2053" spans="2:36">
      <c r="B2053" s="136" t="s">
        <v>478</v>
      </c>
      <c r="C2053" s="132" t="s">
        <v>1365</v>
      </c>
      <c r="D2053" s="132" t="s">
        <v>282</v>
      </c>
      <c r="E2053" s="508">
        <v>43.853000000000002</v>
      </c>
      <c r="F2053" s="508">
        <v>14.462</v>
      </c>
      <c r="G2053" s="508">
        <v>13.566000000000001</v>
      </c>
      <c r="H2053" s="508">
        <v>13.583</v>
      </c>
      <c r="I2053" s="508">
        <v>13.840999999999999</v>
      </c>
      <c r="J2053" s="508">
        <v>13.561</v>
      </c>
      <c r="K2053" s="508">
        <v>12.972</v>
      </c>
      <c r="L2053" s="508">
        <v>12.048</v>
      </c>
      <c r="M2053" s="508">
        <v>11.257</v>
      </c>
      <c r="N2053" s="508">
        <v>13.887</v>
      </c>
      <c r="O2053" s="508">
        <v>14.391</v>
      </c>
      <c r="P2053" s="508">
        <v>14.813000000000001</v>
      </c>
      <c r="Q2053" s="508">
        <v>15.689</v>
      </c>
      <c r="R2053" s="508">
        <v>12.795999999999999</v>
      </c>
      <c r="S2053" s="508">
        <v>13.156000000000001</v>
      </c>
      <c r="T2053" s="508">
        <v>13.337</v>
      </c>
      <c r="U2053" s="508">
        <v>9.6790000000000003</v>
      </c>
      <c r="V2053" s="508">
        <v>8.41</v>
      </c>
      <c r="W2053" s="508">
        <v>8.6020000000000003</v>
      </c>
      <c r="X2053" s="508">
        <v>6.734</v>
      </c>
      <c r="Y2053" s="508">
        <v>5.9710000000000001</v>
      </c>
      <c r="Z2053" s="508">
        <v>5.5869999999999997</v>
      </c>
      <c r="AA2053" s="508">
        <v>4.7050000000000001</v>
      </c>
      <c r="AB2053" s="508">
        <v>4.0170000000000003</v>
      </c>
      <c r="AC2053" s="508">
        <v>3.3069999999999999</v>
      </c>
      <c r="AD2053" s="508">
        <v>2.72</v>
      </c>
      <c r="AE2053" s="508">
        <v>3.1640000000000001</v>
      </c>
      <c r="AF2053" s="508">
        <v>1.7210000000000001</v>
      </c>
      <c r="AG2053" s="508">
        <v>1.6679999999999999</v>
      </c>
      <c r="AH2053" s="508">
        <v>1.657</v>
      </c>
      <c r="AI2053" s="492">
        <v>1.647</v>
      </c>
      <c r="AJ2053" s="485"/>
    </row>
    <row r="2054" spans="2:36">
      <c r="B2054" s="136" t="s">
        <v>479</v>
      </c>
      <c r="C2054" s="132" t="s">
        <v>1365</v>
      </c>
      <c r="D2054" s="132" t="s">
        <v>282</v>
      </c>
      <c r="E2054" s="508">
        <v>107.96899999999999</v>
      </c>
      <c r="F2054" s="508">
        <v>45.622</v>
      </c>
      <c r="G2054" s="508">
        <v>45.789000000000001</v>
      </c>
      <c r="H2054" s="508">
        <v>45.786000000000001</v>
      </c>
      <c r="I2054" s="508">
        <v>45.738</v>
      </c>
      <c r="J2054" s="508">
        <v>40.905000000000001</v>
      </c>
      <c r="K2054" s="508">
        <v>40.667999999999999</v>
      </c>
      <c r="L2054" s="508">
        <v>40.286999999999999</v>
      </c>
      <c r="M2054" s="508">
        <v>39.853000000000002</v>
      </c>
      <c r="N2054" s="508">
        <v>40.753</v>
      </c>
      <c r="O2054" s="508">
        <v>40.088000000000001</v>
      </c>
      <c r="P2054" s="508">
        <v>17.603000000000002</v>
      </c>
      <c r="Q2054" s="508">
        <v>18.93</v>
      </c>
      <c r="R2054" s="508">
        <v>16.437999999999999</v>
      </c>
      <c r="S2054" s="508">
        <v>16.623999999999999</v>
      </c>
      <c r="T2054" s="508">
        <v>16.669</v>
      </c>
      <c r="U2054" s="508">
        <v>11.217000000000001</v>
      </c>
      <c r="V2054" s="508">
        <v>10.097</v>
      </c>
      <c r="W2054" s="508">
        <v>10.365</v>
      </c>
      <c r="X2054" s="508">
        <v>7.8730000000000002</v>
      </c>
      <c r="Y2054" s="508">
        <v>6.96</v>
      </c>
      <c r="Z2054" s="508">
        <v>5.96</v>
      </c>
      <c r="AA2054" s="508">
        <v>5.1479999999999997</v>
      </c>
      <c r="AB2054" s="508">
        <v>4.4539999999999997</v>
      </c>
      <c r="AC2054" s="508">
        <v>3.8029999999999999</v>
      </c>
      <c r="AD2054" s="508">
        <v>2.92</v>
      </c>
      <c r="AE2054" s="508">
        <v>2.9550000000000001</v>
      </c>
      <c r="AF2054" s="508">
        <v>1.571</v>
      </c>
      <c r="AG2054" s="508">
        <v>1.552</v>
      </c>
      <c r="AH2054" s="508">
        <v>1.544</v>
      </c>
      <c r="AI2054" s="492">
        <v>1.538</v>
      </c>
      <c r="AJ2054" s="485"/>
    </row>
    <row r="2055" spans="2:36">
      <c r="B2055" s="136" t="s">
        <v>480</v>
      </c>
      <c r="C2055" s="132" t="s">
        <v>1365</v>
      </c>
      <c r="D2055" s="132" t="s">
        <v>282</v>
      </c>
      <c r="E2055" s="508">
        <v>120.9</v>
      </c>
      <c r="F2055" s="508">
        <v>48.996000000000002</v>
      </c>
      <c r="G2055" s="508">
        <v>49.182000000000002</v>
      </c>
      <c r="H2055" s="508">
        <v>49.179000000000002</v>
      </c>
      <c r="I2055" s="508">
        <v>49.125</v>
      </c>
      <c r="J2055" s="508">
        <v>44.76</v>
      </c>
      <c r="K2055" s="508">
        <v>44.52</v>
      </c>
      <c r="L2055" s="508">
        <v>44.128</v>
      </c>
      <c r="M2055" s="508">
        <v>43.664999999999999</v>
      </c>
      <c r="N2055" s="508">
        <v>43.795999999999999</v>
      </c>
      <c r="O2055" s="508">
        <v>43.036000000000001</v>
      </c>
      <c r="P2055" s="508">
        <v>19.702999999999999</v>
      </c>
      <c r="Q2055" s="508">
        <v>21.02</v>
      </c>
      <c r="R2055" s="508">
        <v>18.445</v>
      </c>
      <c r="S2055" s="508">
        <v>18.574000000000002</v>
      </c>
      <c r="T2055" s="508">
        <v>18.561</v>
      </c>
      <c r="U2055" s="508">
        <v>11.364000000000001</v>
      </c>
      <c r="V2055" s="508">
        <v>10.243</v>
      </c>
      <c r="W2055" s="508">
        <v>10.473000000000001</v>
      </c>
      <c r="X2055" s="508">
        <v>8.0579999999999998</v>
      </c>
      <c r="Y2055" s="508">
        <v>7.1790000000000003</v>
      </c>
      <c r="Z2055" s="508">
        <v>6.1870000000000003</v>
      </c>
      <c r="AA2055" s="508">
        <v>5.3819999999999997</v>
      </c>
      <c r="AB2055" s="508">
        <v>4.7110000000000003</v>
      </c>
      <c r="AC2055" s="508">
        <v>4.0709999999999997</v>
      </c>
      <c r="AD2055" s="508">
        <v>3.161</v>
      </c>
      <c r="AE2055" s="508">
        <v>3.1520000000000001</v>
      </c>
      <c r="AF2055" s="508">
        <v>1.744</v>
      </c>
      <c r="AG2055" s="508">
        <v>1.6870000000000001</v>
      </c>
      <c r="AH2055" s="508">
        <v>1.677</v>
      </c>
      <c r="AI2055" s="492">
        <v>1.6679999999999999</v>
      </c>
      <c r="AJ2055" s="485"/>
    </row>
    <row r="2056" spans="2:36">
      <c r="B2056" s="136" t="s">
        <v>481</v>
      </c>
      <c r="C2056" s="132" t="s">
        <v>1365</v>
      </c>
      <c r="D2056" s="132" t="s">
        <v>282</v>
      </c>
      <c r="E2056" s="508">
        <v>107.669</v>
      </c>
      <c r="F2056" s="508">
        <v>44.228000000000002</v>
      </c>
      <c r="G2056" s="508">
        <v>44.311</v>
      </c>
      <c r="H2056" s="508">
        <v>44.31</v>
      </c>
      <c r="I2056" s="508">
        <v>44.286000000000001</v>
      </c>
      <c r="J2056" s="508">
        <v>39.704999999999998</v>
      </c>
      <c r="K2056" s="508">
        <v>39.429000000000002</v>
      </c>
      <c r="L2056" s="508">
        <v>38.988</v>
      </c>
      <c r="M2056" s="508">
        <v>38.506</v>
      </c>
      <c r="N2056" s="508">
        <v>39.793999999999997</v>
      </c>
      <c r="O2056" s="508">
        <v>39.189</v>
      </c>
      <c r="P2056" s="508">
        <v>17.422000000000001</v>
      </c>
      <c r="Q2056" s="508">
        <v>18.695</v>
      </c>
      <c r="R2056" s="508">
        <v>16.07</v>
      </c>
      <c r="S2056" s="508">
        <v>16.295999999999999</v>
      </c>
      <c r="T2056" s="508">
        <v>16.370999999999999</v>
      </c>
      <c r="U2056" s="508">
        <v>11.382999999999999</v>
      </c>
      <c r="V2056" s="508">
        <v>10.148999999999999</v>
      </c>
      <c r="W2056" s="508">
        <v>10.393000000000001</v>
      </c>
      <c r="X2056" s="508">
        <v>7.923</v>
      </c>
      <c r="Y2056" s="508">
        <v>7.0039999999999996</v>
      </c>
      <c r="Z2056" s="508">
        <v>6.0990000000000002</v>
      </c>
      <c r="AA2056" s="508">
        <v>5.2210000000000001</v>
      </c>
      <c r="AB2056" s="508">
        <v>4.468</v>
      </c>
      <c r="AC2056" s="508">
        <v>3.7679999999999998</v>
      </c>
      <c r="AD2056" s="508">
        <v>2.9279999999999999</v>
      </c>
      <c r="AE2056" s="508">
        <v>2.952</v>
      </c>
      <c r="AF2056" s="508">
        <v>1.6140000000000001</v>
      </c>
      <c r="AG2056" s="508">
        <v>1.583</v>
      </c>
      <c r="AH2056" s="508">
        <v>1.5980000000000001</v>
      </c>
      <c r="AI2056" s="492">
        <v>1.59</v>
      </c>
      <c r="AJ2056" s="485"/>
    </row>
    <row r="2057" spans="2:36">
      <c r="B2057" s="136" t="s">
        <v>482</v>
      </c>
      <c r="C2057" s="132" t="s">
        <v>1365</v>
      </c>
      <c r="D2057" s="132" t="s">
        <v>282</v>
      </c>
      <c r="E2057" s="508">
        <v>105.934</v>
      </c>
      <c r="F2057" s="508">
        <v>46.692</v>
      </c>
      <c r="G2057" s="508">
        <v>41.643999999999998</v>
      </c>
      <c r="H2057" s="508">
        <v>41.823</v>
      </c>
      <c r="I2057" s="508">
        <v>42.084000000000003</v>
      </c>
      <c r="J2057" s="508">
        <v>38.015000000000001</v>
      </c>
      <c r="K2057" s="508">
        <v>37.753</v>
      </c>
      <c r="L2057" s="508">
        <v>37.43</v>
      </c>
      <c r="M2057" s="508">
        <v>37.036999999999999</v>
      </c>
      <c r="N2057" s="508">
        <v>37.609000000000002</v>
      </c>
      <c r="O2057" s="508">
        <v>37.195999999999998</v>
      </c>
      <c r="P2057" s="508">
        <v>16.945</v>
      </c>
      <c r="Q2057" s="508">
        <v>18.373000000000001</v>
      </c>
      <c r="R2057" s="508">
        <v>15.76</v>
      </c>
      <c r="S2057" s="508">
        <v>16.013000000000002</v>
      </c>
      <c r="T2057" s="508">
        <v>16.116</v>
      </c>
      <c r="U2057" s="508">
        <v>11.265000000000001</v>
      </c>
      <c r="V2057" s="508">
        <v>10.064</v>
      </c>
      <c r="W2057" s="508">
        <v>10.359</v>
      </c>
      <c r="X2057" s="508">
        <v>7.9130000000000003</v>
      </c>
      <c r="Y2057" s="508">
        <v>6.9989999999999997</v>
      </c>
      <c r="Z2057" s="508">
        <v>6.1020000000000003</v>
      </c>
      <c r="AA2057" s="508">
        <v>5.2370000000000001</v>
      </c>
      <c r="AB2057" s="508">
        <v>4.5140000000000002</v>
      </c>
      <c r="AC2057" s="508">
        <v>3.8180000000000001</v>
      </c>
      <c r="AD2057" s="508">
        <v>2.9729999999999999</v>
      </c>
      <c r="AE2057" s="508">
        <v>3.0249999999999999</v>
      </c>
      <c r="AF2057" s="508">
        <v>1.65</v>
      </c>
      <c r="AG2057" s="508">
        <v>1.637</v>
      </c>
      <c r="AH2057" s="508">
        <v>1.671</v>
      </c>
      <c r="AI2057" s="492">
        <v>1.6639999999999999</v>
      </c>
      <c r="AJ2057" s="485"/>
    </row>
    <row r="2058" spans="2:36">
      <c r="B2058" s="136" t="s">
        <v>483</v>
      </c>
      <c r="C2058" s="132" t="s">
        <v>1365</v>
      </c>
      <c r="D2058" s="132" t="s">
        <v>282</v>
      </c>
      <c r="E2058" s="508">
        <v>108.098</v>
      </c>
      <c r="F2058" s="508">
        <v>42.518999999999998</v>
      </c>
      <c r="G2058" s="508">
        <v>42.473999999999997</v>
      </c>
      <c r="H2058" s="508">
        <v>42.475000000000001</v>
      </c>
      <c r="I2058" s="508">
        <v>42.488</v>
      </c>
      <c r="J2058" s="508">
        <v>38.177</v>
      </c>
      <c r="K2058" s="508">
        <v>37.832999999999998</v>
      </c>
      <c r="L2058" s="508">
        <v>37.284999999999997</v>
      </c>
      <c r="M2058" s="508">
        <v>36.712000000000003</v>
      </c>
      <c r="N2058" s="508">
        <v>38.654000000000003</v>
      </c>
      <c r="O2058" s="508">
        <v>38.128999999999998</v>
      </c>
      <c r="P2058" s="508">
        <v>18.096</v>
      </c>
      <c r="Q2058" s="508">
        <v>19.344000000000001</v>
      </c>
      <c r="R2058" s="508">
        <v>16.536999999999999</v>
      </c>
      <c r="S2058" s="508">
        <v>16.77</v>
      </c>
      <c r="T2058" s="508">
        <v>16.844000000000001</v>
      </c>
      <c r="U2058" s="508">
        <v>11.611000000000001</v>
      </c>
      <c r="V2058" s="508">
        <v>10.324999999999999</v>
      </c>
      <c r="W2058" s="508">
        <v>10.563000000000001</v>
      </c>
      <c r="X2058" s="508">
        <v>8.1010000000000009</v>
      </c>
      <c r="Y2058" s="508">
        <v>7.1680000000000001</v>
      </c>
      <c r="Z2058" s="508">
        <v>6.3449999999999998</v>
      </c>
      <c r="AA2058" s="508">
        <v>5.4329999999999998</v>
      </c>
      <c r="AB2058" s="508">
        <v>4.6609999999999996</v>
      </c>
      <c r="AC2058" s="508">
        <v>3.931</v>
      </c>
      <c r="AD2058" s="508">
        <v>3.089</v>
      </c>
      <c r="AE2058" s="508">
        <v>3.0910000000000002</v>
      </c>
      <c r="AF2058" s="508">
        <v>1.73</v>
      </c>
      <c r="AG2058" s="508">
        <v>1.679</v>
      </c>
      <c r="AH2058" s="508">
        <v>1.6679999999999999</v>
      </c>
      <c r="AI2058" s="492">
        <v>1.6579999999999999</v>
      </c>
      <c r="AJ2058" s="485"/>
    </row>
    <row r="2059" spans="2:36">
      <c r="B2059" s="136" t="s">
        <v>484</v>
      </c>
      <c r="C2059" s="132" t="s">
        <v>1365</v>
      </c>
      <c r="D2059" s="132" t="s">
        <v>282</v>
      </c>
      <c r="E2059" s="508">
        <v>115.205</v>
      </c>
      <c r="F2059" s="508">
        <v>46.252000000000002</v>
      </c>
      <c r="G2059" s="508">
        <v>46.42</v>
      </c>
      <c r="H2059" s="508">
        <v>46.417000000000002</v>
      </c>
      <c r="I2059" s="508">
        <v>46.368000000000002</v>
      </c>
      <c r="J2059" s="508">
        <v>42.128</v>
      </c>
      <c r="K2059" s="508">
        <v>41.884</v>
      </c>
      <c r="L2059" s="508">
        <v>41.491999999999997</v>
      </c>
      <c r="M2059" s="508">
        <v>41.031999999999996</v>
      </c>
      <c r="N2059" s="508">
        <v>41.43</v>
      </c>
      <c r="O2059" s="508">
        <v>40.698999999999998</v>
      </c>
      <c r="P2059" s="508">
        <v>16.898</v>
      </c>
      <c r="Q2059" s="508">
        <v>17.885999999999999</v>
      </c>
      <c r="R2059" s="508">
        <v>15.294</v>
      </c>
      <c r="S2059" s="508">
        <v>15.513999999999999</v>
      </c>
      <c r="T2059" s="508">
        <v>15.58</v>
      </c>
      <c r="U2059" s="508">
        <v>10.112</v>
      </c>
      <c r="V2059" s="508">
        <v>8.9830000000000005</v>
      </c>
      <c r="W2059" s="508">
        <v>9.1890000000000001</v>
      </c>
      <c r="X2059" s="508">
        <v>7.165</v>
      </c>
      <c r="Y2059" s="508">
        <v>6.3840000000000003</v>
      </c>
      <c r="Z2059" s="508">
        <v>5.7009999999999996</v>
      </c>
      <c r="AA2059" s="508">
        <v>4.9000000000000004</v>
      </c>
      <c r="AB2059" s="508">
        <v>4.2530000000000001</v>
      </c>
      <c r="AC2059" s="508">
        <v>3.6110000000000002</v>
      </c>
      <c r="AD2059" s="508">
        <v>2.8660000000000001</v>
      </c>
      <c r="AE2059" s="508">
        <v>2.8610000000000002</v>
      </c>
      <c r="AF2059" s="508">
        <v>1.671</v>
      </c>
      <c r="AG2059" s="508">
        <v>1.6719999999999999</v>
      </c>
      <c r="AH2059" s="508">
        <v>1.6619999999999999</v>
      </c>
      <c r="AI2059" s="492">
        <v>1.653</v>
      </c>
      <c r="AJ2059" s="485"/>
    </row>
    <row r="2060" spans="2:36">
      <c r="B2060" s="136" t="s">
        <v>486</v>
      </c>
      <c r="C2060" s="132" t="s">
        <v>1365</v>
      </c>
      <c r="D2060" s="132" t="s">
        <v>282</v>
      </c>
      <c r="E2060" s="508">
        <v>104.38800000000001</v>
      </c>
      <c r="F2060" s="508">
        <v>42.515000000000001</v>
      </c>
      <c r="G2060" s="508">
        <v>42.576000000000001</v>
      </c>
      <c r="H2060" s="508">
        <v>42.575000000000003</v>
      </c>
      <c r="I2060" s="508">
        <v>42.557000000000002</v>
      </c>
      <c r="J2060" s="508">
        <v>38.223999999999997</v>
      </c>
      <c r="K2060" s="508">
        <v>37.944000000000003</v>
      </c>
      <c r="L2060" s="508">
        <v>37.497999999999998</v>
      </c>
      <c r="M2060" s="508">
        <v>37.014000000000003</v>
      </c>
      <c r="N2060" s="508">
        <v>38.243000000000002</v>
      </c>
      <c r="O2060" s="508">
        <v>37.665999999999997</v>
      </c>
      <c r="P2060" s="508">
        <v>17.28</v>
      </c>
      <c r="Q2060" s="508">
        <v>18.547000000000001</v>
      </c>
      <c r="R2060" s="508">
        <v>16.010000000000002</v>
      </c>
      <c r="S2060" s="508">
        <v>16.204999999999998</v>
      </c>
      <c r="T2060" s="508">
        <v>16.257000000000001</v>
      </c>
      <c r="U2060" s="508">
        <v>11.095000000000001</v>
      </c>
      <c r="V2060" s="508">
        <v>9.9440000000000008</v>
      </c>
      <c r="W2060" s="508">
        <v>10.193</v>
      </c>
      <c r="X2060" s="508">
        <v>7.7779999999999996</v>
      </c>
      <c r="Y2060" s="508">
        <v>6.883</v>
      </c>
      <c r="Z2060" s="508">
        <v>5.9669999999999996</v>
      </c>
      <c r="AA2060" s="508">
        <v>5.14</v>
      </c>
      <c r="AB2060" s="508">
        <v>4.4379999999999997</v>
      </c>
      <c r="AC2060" s="508">
        <v>3.7759999999999998</v>
      </c>
      <c r="AD2060" s="508">
        <v>2.93</v>
      </c>
      <c r="AE2060" s="508">
        <v>2.95</v>
      </c>
      <c r="AF2060" s="508">
        <v>1.6060000000000001</v>
      </c>
      <c r="AG2060" s="508">
        <v>1.5740000000000001</v>
      </c>
      <c r="AH2060" s="508">
        <v>1.5760000000000001</v>
      </c>
      <c r="AI2060" s="492">
        <v>1.569</v>
      </c>
      <c r="AJ2060" s="485"/>
    </row>
    <row r="2061" spans="2:36">
      <c r="B2061" s="136" t="s">
        <v>487</v>
      </c>
      <c r="C2061" s="132" t="s">
        <v>1365</v>
      </c>
      <c r="D2061" s="132" t="s">
        <v>282</v>
      </c>
      <c r="E2061" s="508">
        <v>121.26</v>
      </c>
      <c r="F2061" s="508">
        <v>49.35</v>
      </c>
      <c r="G2061" s="508">
        <v>43.924999999999997</v>
      </c>
      <c r="H2061" s="508">
        <v>43.924999999999997</v>
      </c>
      <c r="I2061" s="508">
        <v>43.923999999999999</v>
      </c>
      <c r="J2061" s="508">
        <v>39.709000000000003</v>
      </c>
      <c r="K2061" s="508">
        <v>39.387999999999998</v>
      </c>
      <c r="L2061" s="508">
        <v>38.875999999999998</v>
      </c>
      <c r="M2061" s="508">
        <v>38.328000000000003</v>
      </c>
      <c r="N2061" s="508">
        <v>39.631999999999998</v>
      </c>
      <c r="O2061" s="508">
        <v>39.061</v>
      </c>
      <c r="P2061" s="508">
        <v>18.463999999999999</v>
      </c>
      <c r="Q2061" s="508">
        <v>19.748999999999999</v>
      </c>
      <c r="R2061" s="508">
        <v>16.998000000000001</v>
      </c>
      <c r="S2061" s="508">
        <v>17.204999999999998</v>
      </c>
      <c r="T2061" s="508">
        <v>17.256</v>
      </c>
      <c r="U2061" s="508">
        <v>11.792</v>
      </c>
      <c r="V2061" s="508">
        <v>10.515000000000001</v>
      </c>
      <c r="W2061" s="508">
        <v>10.747999999999999</v>
      </c>
      <c r="X2061" s="508">
        <v>8.2530000000000001</v>
      </c>
      <c r="Y2061" s="508">
        <v>7.32</v>
      </c>
      <c r="Z2061" s="508">
        <v>6.4269999999999996</v>
      </c>
      <c r="AA2061" s="508">
        <v>5.5229999999999997</v>
      </c>
      <c r="AB2061" s="508">
        <v>4.76</v>
      </c>
      <c r="AC2061" s="508">
        <v>4.0389999999999997</v>
      </c>
      <c r="AD2061" s="508">
        <v>3.1739999999999999</v>
      </c>
      <c r="AE2061" s="508">
        <v>3.29</v>
      </c>
      <c r="AF2061" s="508">
        <v>1.7969999999999999</v>
      </c>
      <c r="AG2061" s="508">
        <v>1.7410000000000001</v>
      </c>
      <c r="AH2061" s="508">
        <v>1.73</v>
      </c>
      <c r="AI2061" s="492">
        <v>1.72</v>
      </c>
      <c r="AJ2061" s="485"/>
    </row>
    <row r="2062" spans="2:36">
      <c r="B2062" s="136" t="s">
        <v>488</v>
      </c>
      <c r="C2062" s="132" t="s">
        <v>1365</v>
      </c>
      <c r="D2062" s="132" t="s">
        <v>282</v>
      </c>
      <c r="E2062" s="508">
        <v>114.02200000000001</v>
      </c>
      <c r="F2062" s="508">
        <v>46.71</v>
      </c>
      <c r="G2062" s="508">
        <v>46.884</v>
      </c>
      <c r="H2062" s="508">
        <v>46.881</v>
      </c>
      <c r="I2062" s="508">
        <v>46.831000000000003</v>
      </c>
      <c r="J2062" s="508">
        <v>42.366999999999997</v>
      </c>
      <c r="K2062" s="508">
        <v>42.131</v>
      </c>
      <c r="L2062" s="508">
        <v>41.747999999999998</v>
      </c>
      <c r="M2062" s="508">
        <v>41.305</v>
      </c>
      <c r="N2062" s="508">
        <v>41.732999999999997</v>
      </c>
      <c r="O2062" s="508">
        <v>41.026000000000003</v>
      </c>
      <c r="P2062" s="508">
        <v>18.387</v>
      </c>
      <c r="Q2062" s="508">
        <v>19.706</v>
      </c>
      <c r="R2062" s="508">
        <v>17.207999999999998</v>
      </c>
      <c r="S2062" s="508">
        <v>17.364999999999998</v>
      </c>
      <c r="T2062" s="508">
        <v>17.382999999999999</v>
      </c>
      <c r="U2062" s="508">
        <v>11.872</v>
      </c>
      <c r="V2062" s="508">
        <v>10.638999999999999</v>
      </c>
      <c r="W2062" s="508">
        <v>10.872</v>
      </c>
      <c r="X2062" s="508">
        <v>8.2959999999999994</v>
      </c>
      <c r="Y2062" s="508">
        <v>7.36</v>
      </c>
      <c r="Z2062" s="508">
        <v>6.3440000000000003</v>
      </c>
      <c r="AA2062" s="508">
        <v>5.4690000000000003</v>
      </c>
      <c r="AB2062" s="508">
        <v>4.7240000000000002</v>
      </c>
      <c r="AC2062" s="508">
        <v>4.03</v>
      </c>
      <c r="AD2062" s="508">
        <v>3.1179999999999999</v>
      </c>
      <c r="AE2062" s="508">
        <v>3.1219999999999999</v>
      </c>
      <c r="AF2062" s="508">
        <v>1.7010000000000001</v>
      </c>
      <c r="AG2062" s="508">
        <v>1.657</v>
      </c>
      <c r="AH2062" s="508">
        <v>1.6459999999999999</v>
      </c>
      <c r="AI2062" s="492">
        <v>1.637</v>
      </c>
      <c r="AJ2062" s="485"/>
    </row>
    <row r="2063" spans="2:36">
      <c r="B2063" s="136" t="s">
        <v>489</v>
      </c>
      <c r="C2063" s="132" t="s">
        <v>1365</v>
      </c>
      <c r="D2063" s="132" t="s">
        <v>282</v>
      </c>
      <c r="E2063" s="508">
        <v>120.29900000000001</v>
      </c>
      <c r="F2063" s="508">
        <v>48.28</v>
      </c>
      <c r="G2063" s="508">
        <v>48.448999999999998</v>
      </c>
      <c r="H2063" s="508">
        <v>48.445</v>
      </c>
      <c r="I2063" s="508">
        <v>48.396999999999998</v>
      </c>
      <c r="J2063" s="508">
        <v>43.607999999999997</v>
      </c>
      <c r="K2063" s="508">
        <v>43.350999999999999</v>
      </c>
      <c r="L2063" s="508">
        <v>42.933999999999997</v>
      </c>
      <c r="M2063" s="508">
        <v>42.451000000000001</v>
      </c>
      <c r="N2063" s="508">
        <v>43.204000000000001</v>
      </c>
      <c r="O2063" s="508">
        <v>42.465000000000003</v>
      </c>
      <c r="P2063" s="508">
        <v>18.949000000000002</v>
      </c>
      <c r="Q2063" s="508">
        <v>20.177</v>
      </c>
      <c r="R2063" s="508">
        <v>17.539000000000001</v>
      </c>
      <c r="S2063" s="508">
        <v>17.699000000000002</v>
      </c>
      <c r="T2063" s="508">
        <v>17.712</v>
      </c>
      <c r="U2063" s="508">
        <v>11.169</v>
      </c>
      <c r="V2063" s="508">
        <v>10.015000000000001</v>
      </c>
      <c r="W2063" s="508">
        <v>10.242000000000001</v>
      </c>
      <c r="X2063" s="508">
        <v>7.8780000000000001</v>
      </c>
      <c r="Y2063" s="508">
        <v>6.9960000000000004</v>
      </c>
      <c r="Z2063" s="508">
        <v>6.0960000000000001</v>
      </c>
      <c r="AA2063" s="508">
        <v>5.2569999999999997</v>
      </c>
      <c r="AB2063" s="508">
        <v>4.5659999999999998</v>
      </c>
      <c r="AC2063" s="508">
        <v>3.9060000000000001</v>
      </c>
      <c r="AD2063" s="508">
        <v>3.048</v>
      </c>
      <c r="AE2063" s="508">
        <v>3.0369999999999999</v>
      </c>
      <c r="AF2063" s="508">
        <v>1.7</v>
      </c>
      <c r="AG2063" s="508">
        <v>1.6519999999999999</v>
      </c>
      <c r="AH2063" s="508">
        <v>1.641</v>
      </c>
      <c r="AI2063" s="492">
        <v>1.6319999999999999</v>
      </c>
      <c r="AJ2063" s="485"/>
    </row>
    <row r="2064" spans="2:36">
      <c r="B2064" s="136" t="s">
        <v>490</v>
      </c>
      <c r="C2064" s="132" t="s">
        <v>1365</v>
      </c>
      <c r="D2064" s="132" t="s">
        <v>282</v>
      </c>
      <c r="E2064" s="508">
        <v>120.377</v>
      </c>
      <c r="F2064" s="508">
        <v>48.762999999999998</v>
      </c>
      <c r="G2064" s="508">
        <v>48.95</v>
      </c>
      <c r="H2064" s="508">
        <v>48.947000000000003</v>
      </c>
      <c r="I2064" s="508">
        <v>48.893000000000001</v>
      </c>
      <c r="J2064" s="508">
        <v>44.52</v>
      </c>
      <c r="K2064" s="508">
        <v>44.271000000000001</v>
      </c>
      <c r="L2064" s="508">
        <v>43.869</v>
      </c>
      <c r="M2064" s="508">
        <v>43.395000000000003</v>
      </c>
      <c r="N2064" s="508">
        <v>43.512</v>
      </c>
      <c r="O2064" s="508">
        <v>42.744</v>
      </c>
      <c r="P2064" s="508">
        <v>19.661999999999999</v>
      </c>
      <c r="Q2064" s="508">
        <v>20.948</v>
      </c>
      <c r="R2064" s="508">
        <v>18.388999999999999</v>
      </c>
      <c r="S2064" s="508">
        <v>18.498999999999999</v>
      </c>
      <c r="T2064" s="508">
        <v>18.471</v>
      </c>
      <c r="U2064" s="508">
        <v>12.228</v>
      </c>
      <c r="V2064" s="508">
        <v>10.984999999999999</v>
      </c>
      <c r="W2064" s="508">
        <v>11.206</v>
      </c>
      <c r="X2064" s="508">
        <v>8.6129999999999995</v>
      </c>
      <c r="Y2064" s="508">
        <v>7.6710000000000003</v>
      </c>
      <c r="Z2064" s="508">
        <v>6.63</v>
      </c>
      <c r="AA2064" s="508">
        <v>5.7489999999999997</v>
      </c>
      <c r="AB2064" s="508">
        <v>5.0019999999999998</v>
      </c>
      <c r="AC2064" s="508">
        <v>4.3049999999999997</v>
      </c>
      <c r="AD2064" s="508">
        <v>3.351</v>
      </c>
      <c r="AE2064" s="508">
        <v>3.3239999999999998</v>
      </c>
      <c r="AF2064" s="508">
        <v>1.8520000000000001</v>
      </c>
      <c r="AG2064" s="508">
        <v>1.78</v>
      </c>
      <c r="AH2064" s="508">
        <v>1.768</v>
      </c>
      <c r="AI2064" s="492">
        <v>1.758</v>
      </c>
      <c r="AJ2064" s="485"/>
    </row>
    <row r="2065" spans="2:36">
      <c r="B2065" s="136" t="s">
        <v>435</v>
      </c>
      <c r="C2065" s="132" t="s">
        <v>1366</v>
      </c>
      <c r="D2065" s="132" t="s">
        <v>282</v>
      </c>
      <c r="E2065" s="508">
        <v>38.042999999999999</v>
      </c>
      <c r="F2065" s="508">
        <v>26.419</v>
      </c>
      <c r="G2065" s="508">
        <v>26.332999999999998</v>
      </c>
      <c r="H2065" s="508">
        <v>26.19</v>
      </c>
      <c r="I2065" s="508">
        <v>26.001000000000001</v>
      </c>
      <c r="J2065" s="508">
        <v>18.117999999999999</v>
      </c>
      <c r="K2065" s="508">
        <v>17.943000000000001</v>
      </c>
      <c r="L2065" s="508">
        <v>17.754000000000001</v>
      </c>
      <c r="M2065" s="508">
        <v>17.556999999999999</v>
      </c>
      <c r="N2065" s="508">
        <v>14.52</v>
      </c>
      <c r="O2065" s="508">
        <v>14.337</v>
      </c>
      <c r="P2065" s="508">
        <v>9.4789999999999992</v>
      </c>
      <c r="Q2065" s="508">
        <v>9.3539999999999992</v>
      </c>
      <c r="R2065" s="508">
        <v>9.234</v>
      </c>
      <c r="S2065" s="508">
        <v>9.1189999999999998</v>
      </c>
      <c r="T2065" s="508">
        <v>9.0109999999999992</v>
      </c>
      <c r="U2065" s="508">
        <v>5.3310000000000004</v>
      </c>
      <c r="V2065" s="508">
        <v>5.093</v>
      </c>
      <c r="W2065" s="508">
        <v>5.0339999999999998</v>
      </c>
      <c r="X2065" s="508">
        <v>4.7089999999999996</v>
      </c>
      <c r="Y2065" s="508">
        <v>4.4349999999999996</v>
      </c>
      <c r="Z2065" s="508">
        <v>3.4089999999999998</v>
      </c>
      <c r="AA2065" s="508">
        <v>3.331</v>
      </c>
      <c r="AB2065" s="508">
        <v>3.0179999999999998</v>
      </c>
      <c r="AC2065" s="508">
        <v>2.9630000000000001</v>
      </c>
      <c r="AD2065" s="508">
        <v>2.3730000000000002</v>
      </c>
      <c r="AE2065" s="508">
        <v>2.3519999999999999</v>
      </c>
      <c r="AF2065" s="508">
        <v>1.1679999999999999</v>
      </c>
      <c r="AG2065" s="508">
        <v>1.159</v>
      </c>
      <c r="AH2065" s="508">
        <v>1.151</v>
      </c>
      <c r="AI2065" s="492">
        <v>1.1439999999999999</v>
      </c>
      <c r="AJ2065" s="485"/>
    </row>
    <row r="2066" spans="2:36">
      <c r="B2066" s="136" t="s">
        <v>436</v>
      </c>
      <c r="C2066" s="132" t="s">
        <v>1366</v>
      </c>
      <c r="D2066" s="132" t="s">
        <v>282</v>
      </c>
      <c r="E2066" s="508">
        <v>37.953000000000003</v>
      </c>
      <c r="F2066" s="508">
        <v>26.497</v>
      </c>
      <c r="G2066" s="508">
        <v>26.41</v>
      </c>
      <c r="H2066" s="508">
        <v>26.266999999999999</v>
      </c>
      <c r="I2066" s="508">
        <v>26.077000000000002</v>
      </c>
      <c r="J2066" s="508">
        <v>18.263000000000002</v>
      </c>
      <c r="K2066" s="508">
        <v>18.087</v>
      </c>
      <c r="L2066" s="508">
        <v>17.896999999999998</v>
      </c>
      <c r="M2066" s="508">
        <v>17.698</v>
      </c>
      <c r="N2066" s="508">
        <v>14.701000000000001</v>
      </c>
      <c r="O2066" s="508">
        <v>14.516</v>
      </c>
      <c r="P2066" s="508">
        <v>9.609</v>
      </c>
      <c r="Q2066" s="508">
        <v>9.4830000000000005</v>
      </c>
      <c r="R2066" s="508">
        <v>9.3620000000000001</v>
      </c>
      <c r="S2066" s="508">
        <v>9.2460000000000004</v>
      </c>
      <c r="T2066" s="508">
        <v>9.1370000000000005</v>
      </c>
      <c r="U2066" s="508">
        <v>5.4059999999999997</v>
      </c>
      <c r="V2066" s="508">
        <v>5.1660000000000004</v>
      </c>
      <c r="W2066" s="508">
        <v>5.1020000000000003</v>
      </c>
      <c r="X2066" s="508">
        <v>4.7750000000000004</v>
      </c>
      <c r="Y2066" s="508">
        <v>4.5060000000000002</v>
      </c>
      <c r="Z2066" s="508">
        <v>3.468</v>
      </c>
      <c r="AA2066" s="508">
        <v>3.3969999999999998</v>
      </c>
      <c r="AB2066" s="508">
        <v>3.089</v>
      </c>
      <c r="AC2066" s="508">
        <v>3.0339999999999998</v>
      </c>
      <c r="AD2066" s="508">
        <v>2.4390000000000001</v>
      </c>
      <c r="AE2066" s="508">
        <v>2.4180000000000001</v>
      </c>
      <c r="AF2066" s="508">
        <v>1.2070000000000001</v>
      </c>
      <c r="AG2066" s="508">
        <v>1.198</v>
      </c>
      <c r="AH2066" s="508">
        <v>1.19</v>
      </c>
      <c r="AI2066" s="492">
        <v>1.1830000000000001</v>
      </c>
      <c r="AJ2066" s="485"/>
    </row>
    <row r="2067" spans="2:36">
      <c r="B2067" s="136" t="s">
        <v>437</v>
      </c>
      <c r="C2067" s="132" t="s">
        <v>1366</v>
      </c>
      <c r="D2067" s="132" t="s">
        <v>282</v>
      </c>
      <c r="E2067" s="508">
        <v>43.463000000000001</v>
      </c>
      <c r="F2067" s="508">
        <v>30.149000000000001</v>
      </c>
      <c r="G2067" s="508">
        <v>29.869</v>
      </c>
      <c r="H2067" s="508">
        <v>29.895</v>
      </c>
      <c r="I2067" s="508">
        <v>29.574000000000002</v>
      </c>
      <c r="J2067" s="508">
        <v>21.225000000000001</v>
      </c>
      <c r="K2067" s="508">
        <v>21.074999999999999</v>
      </c>
      <c r="L2067" s="508">
        <v>20.931000000000001</v>
      </c>
      <c r="M2067" s="508">
        <v>20.783999999999999</v>
      </c>
      <c r="N2067" s="508">
        <v>17.074000000000002</v>
      </c>
      <c r="O2067" s="508">
        <v>16.923999999999999</v>
      </c>
      <c r="P2067" s="508">
        <v>11.279</v>
      </c>
      <c r="Q2067" s="508">
        <v>11.18</v>
      </c>
      <c r="R2067" s="508">
        <v>11.103999999999999</v>
      </c>
      <c r="S2067" s="508">
        <v>10.996</v>
      </c>
      <c r="T2067" s="508">
        <v>10.89</v>
      </c>
      <c r="U2067" s="508">
        <v>6.2430000000000003</v>
      </c>
      <c r="V2067" s="508">
        <v>6.0010000000000003</v>
      </c>
      <c r="W2067" s="508">
        <v>5.9859999999999998</v>
      </c>
      <c r="X2067" s="508">
        <v>5.6639999999999997</v>
      </c>
      <c r="Y2067" s="508">
        <v>5.3490000000000002</v>
      </c>
      <c r="Z2067" s="508">
        <v>4.0970000000000004</v>
      </c>
      <c r="AA2067" s="508">
        <v>4.0149999999999997</v>
      </c>
      <c r="AB2067" s="508">
        <v>3.6549999999999998</v>
      </c>
      <c r="AC2067" s="508">
        <v>3.5990000000000002</v>
      </c>
      <c r="AD2067" s="508">
        <v>2.8940000000000001</v>
      </c>
      <c r="AE2067" s="508">
        <v>2.8730000000000002</v>
      </c>
      <c r="AF2067" s="508">
        <v>1.43</v>
      </c>
      <c r="AG2067" s="508">
        <v>1.421</v>
      </c>
      <c r="AH2067" s="508">
        <v>1.413</v>
      </c>
      <c r="AI2067" s="492">
        <v>1.4059999999999999</v>
      </c>
      <c r="AJ2067" s="485"/>
    </row>
    <row r="2068" spans="2:36">
      <c r="B2068" s="136" t="s">
        <v>438</v>
      </c>
      <c r="C2068" s="132" t="s">
        <v>1366</v>
      </c>
      <c r="D2068" s="132" t="s">
        <v>282</v>
      </c>
      <c r="E2068" s="508">
        <v>37.575000000000003</v>
      </c>
      <c r="F2068" s="508">
        <v>26.292000000000002</v>
      </c>
      <c r="G2068" s="508">
        <v>26.204000000000001</v>
      </c>
      <c r="H2068" s="508">
        <v>26.06</v>
      </c>
      <c r="I2068" s="508">
        <v>25.867999999999999</v>
      </c>
      <c r="J2068" s="508">
        <v>18.082000000000001</v>
      </c>
      <c r="K2068" s="508">
        <v>17.904</v>
      </c>
      <c r="L2068" s="508">
        <v>17.712</v>
      </c>
      <c r="M2068" s="508">
        <v>17.512</v>
      </c>
      <c r="N2068" s="508">
        <v>14.61</v>
      </c>
      <c r="O2068" s="508">
        <v>14.423999999999999</v>
      </c>
      <c r="P2068" s="508">
        <v>9.5510000000000002</v>
      </c>
      <c r="Q2068" s="508">
        <v>9.4239999999999995</v>
      </c>
      <c r="R2068" s="508">
        <v>9.3019999999999996</v>
      </c>
      <c r="S2068" s="508">
        <v>9.1859999999999999</v>
      </c>
      <c r="T2068" s="508">
        <v>9.077</v>
      </c>
      <c r="U2068" s="508">
        <v>5.3769999999999998</v>
      </c>
      <c r="V2068" s="508">
        <v>5.1369999999999996</v>
      </c>
      <c r="W2068" s="508">
        <v>5.0670000000000002</v>
      </c>
      <c r="X2068" s="508">
        <v>4.7380000000000004</v>
      </c>
      <c r="Y2068" s="508">
        <v>4.4749999999999996</v>
      </c>
      <c r="Z2068" s="508">
        <v>3.4470000000000001</v>
      </c>
      <c r="AA2068" s="508">
        <v>3.38</v>
      </c>
      <c r="AB2068" s="508">
        <v>3.077</v>
      </c>
      <c r="AC2068" s="508">
        <v>3.0230000000000001</v>
      </c>
      <c r="AD2068" s="508">
        <v>2.4329999999999998</v>
      </c>
      <c r="AE2068" s="508">
        <v>2.4119999999999999</v>
      </c>
      <c r="AF2068" s="508">
        <v>1.2070000000000001</v>
      </c>
      <c r="AG2068" s="508">
        <v>1.1970000000000001</v>
      </c>
      <c r="AH2068" s="508">
        <v>1.1890000000000001</v>
      </c>
      <c r="AI2068" s="492">
        <v>1.1819999999999999</v>
      </c>
      <c r="AJ2068" s="485"/>
    </row>
    <row r="2069" spans="2:36">
      <c r="B2069" s="136" t="s">
        <v>439</v>
      </c>
      <c r="C2069" s="132" t="s">
        <v>1366</v>
      </c>
      <c r="D2069" s="132" t="s">
        <v>282</v>
      </c>
      <c r="E2069" s="508">
        <v>37.963999999999999</v>
      </c>
      <c r="F2069" s="508">
        <v>26.422999999999998</v>
      </c>
      <c r="G2069" s="508">
        <v>26.34</v>
      </c>
      <c r="H2069" s="508">
        <v>26.202000000000002</v>
      </c>
      <c r="I2069" s="508">
        <v>26.018999999999998</v>
      </c>
      <c r="J2069" s="508">
        <v>18.536000000000001</v>
      </c>
      <c r="K2069" s="508">
        <v>18.366</v>
      </c>
      <c r="L2069" s="508">
        <v>18.184000000000001</v>
      </c>
      <c r="M2069" s="508">
        <v>17.992999999999999</v>
      </c>
      <c r="N2069" s="508">
        <v>14.702</v>
      </c>
      <c r="O2069" s="508">
        <v>14.523999999999999</v>
      </c>
      <c r="P2069" s="508">
        <v>9.7219999999999995</v>
      </c>
      <c r="Q2069" s="508">
        <v>9.6010000000000009</v>
      </c>
      <c r="R2069" s="508">
        <v>9.484</v>
      </c>
      <c r="S2069" s="508">
        <v>9.3740000000000006</v>
      </c>
      <c r="T2069" s="508">
        <v>9.2690000000000001</v>
      </c>
      <c r="U2069" s="508">
        <v>5.4630000000000001</v>
      </c>
      <c r="V2069" s="508">
        <v>5.2309999999999999</v>
      </c>
      <c r="W2069" s="508">
        <v>5.1749999999999998</v>
      </c>
      <c r="X2069" s="508">
        <v>4.8600000000000003</v>
      </c>
      <c r="Y2069" s="508">
        <v>4.5910000000000002</v>
      </c>
      <c r="Z2069" s="508">
        <v>3.5289999999999999</v>
      </c>
      <c r="AA2069" s="508">
        <v>3.4609999999999999</v>
      </c>
      <c r="AB2069" s="508">
        <v>3.1509999999999998</v>
      </c>
      <c r="AC2069" s="508">
        <v>3.0979999999999999</v>
      </c>
      <c r="AD2069" s="508">
        <v>2.4929999999999999</v>
      </c>
      <c r="AE2069" s="508">
        <v>2.4729999999999999</v>
      </c>
      <c r="AF2069" s="508">
        <v>1.2350000000000001</v>
      </c>
      <c r="AG2069" s="508">
        <v>1.226</v>
      </c>
      <c r="AH2069" s="508">
        <v>1.218</v>
      </c>
      <c r="AI2069" s="492">
        <v>1.2110000000000001</v>
      </c>
      <c r="AJ2069" s="485"/>
    </row>
    <row r="2070" spans="2:36">
      <c r="B2070" s="136" t="s">
        <v>440</v>
      </c>
      <c r="C2070" s="132" t="s">
        <v>1366</v>
      </c>
      <c r="D2070" s="132" t="s">
        <v>282</v>
      </c>
      <c r="E2070" s="508">
        <v>38.009</v>
      </c>
      <c r="F2070" s="508">
        <v>26.466999999999999</v>
      </c>
      <c r="G2070" s="508">
        <v>26.382999999999999</v>
      </c>
      <c r="H2070" s="508">
        <v>26.242999999999999</v>
      </c>
      <c r="I2070" s="508">
        <v>26.056000000000001</v>
      </c>
      <c r="J2070" s="508">
        <v>18.408999999999999</v>
      </c>
      <c r="K2070" s="508">
        <v>18.236000000000001</v>
      </c>
      <c r="L2070" s="508">
        <v>18.05</v>
      </c>
      <c r="M2070" s="508">
        <v>17.856999999999999</v>
      </c>
      <c r="N2070" s="508">
        <v>14.686</v>
      </c>
      <c r="O2070" s="508">
        <v>14.506</v>
      </c>
      <c r="P2070" s="508">
        <v>9.6579999999999995</v>
      </c>
      <c r="Q2070" s="508">
        <v>9.5350000000000001</v>
      </c>
      <c r="R2070" s="508">
        <v>9.4160000000000004</v>
      </c>
      <c r="S2070" s="508">
        <v>9.3040000000000003</v>
      </c>
      <c r="T2070" s="508">
        <v>9.1969999999999992</v>
      </c>
      <c r="U2070" s="508">
        <v>5.43</v>
      </c>
      <c r="V2070" s="508">
        <v>5.194</v>
      </c>
      <c r="W2070" s="508">
        <v>5.1349999999999998</v>
      </c>
      <c r="X2070" s="508">
        <v>4.8150000000000004</v>
      </c>
      <c r="Y2070" s="508">
        <v>4.5449999999999999</v>
      </c>
      <c r="Z2070" s="508">
        <v>3.4950000000000001</v>
      </c>
      <c r="AA2070" s="508">
        <v>3.4239999999999999</v>
      </c>
      <c r="AB2070" s="508">
        <v>3.1139999999999999</v>
      </c>
      <c r="AC2070" s="508">
        <v>3.06</v>
      </c>
      <c r="AD2070" s="508">
        <v>2.46</v>
      </c>
      <c r="AE2070" s="508">
        <v>2.4390000000000001</v>
      </c>
      <c r="AF2070" s="508">
        <v>1.2170000000000001</v>
      </c>
      <c r="AG2070" s="508">
        <v>1.208</v>
      </c>
      <c r="AH2070" s="508">
        <v>1.2</v>
      </c>
      <c r="AI2070" s="492">
        <v>1.1930000000000001</v>
      </c>
      <c r="AJ2070" s="485"/>
    </row>
    <row r="2071" spans="2:36">
      <c r="B2071" s="136" t="s">
        <v>441</v>
      </c>
      <c r="C2071" s="132" t="s">
        <v>1366</v>
      </c>
      <c r="D2071" s="132" t="s">
        <v>282</v>
      </c>
      <c r="E2071" s="508">
        <v>37.877000000000002</v>
      </c>
      <c r="F2071" s="508">
        <v>26.370999999999999</v>
      </c>
      <c r="G2071" s="508">
        <v>26.288</v>
      </c>
      <c r="H2071" s="508">
        <v>26.152000000000001</v>
      </c>
      <c r="I2071" s="508">
        <v>25.969000000000001</v>
      </c>
      <c r="J2071" s="508">
        <v>18.565999999999999</v>
      </c>
      <c r="K2071" s="508">
        <v>18.396999999999998</v>
      </c>
      <c r="L2071" s="508">
        <v>18.216000000000001</v>
      </c>
      <c r="M2071" s="508">
        <v>18.026</v>
      </c>
      <c r="N2071" s="508">
        <v>14.7</v>
      </c>
      <c r="O2071" s="508">
        <v>14.523</v>
      </c>
      <c r="P2071" s="508">
        <v>9.7449999999999992</v>
      </c>
      <c r="Q2071" s="508">
        <v>9.6240000000000006</v>
      </c>
      <c r="R2071" s="508">
        <v>9.5090000000000003</v>
      </c>
      <c r="S2071" s="508">
        <v>9.3989999999999991</v>
      </c>
      <c r="T2071" s="508">
        <v>9.2949999999999999</v>
      </c>
      <c r="U2071" s="508">
        <v>5.476</v>
      </c>
      <c r="V2071" s="508">
        <v>5.2439999999999998</v>
      </c>
      <c r="W2071" s="508">
        <v>5.1890000000000001</v>
      </c>
      <c r="X2071" s="508">
        <v>4.875</v>
      </c>
      <c r="Y2071" s="508">
        <v>4.6079999999999997</v>
      </c>
      <c r="Z2071" s="508">
        <v>3.5430000000000001</v>
      </c>
      <c r="AA2071" s="508">
        <v>3.476</v>
      </c>
      <c r="AB2071" s="508">
        <v>3.1669999999999998</v>
      </c>
      <c r="AC2071" s="508">
        <v>3.1150000000000002</v>
      </c>
      <c r="AD2071" s="508">
        <v>2.5089999999999999</v>
      </c>
      <c r="AE2071" s="508">
        <v>2.4889999999999999</v>
      </c>
      <c r="AF2071" s="508">
        <v>1.244</v>
      </c>
      <c r="AG2071" s="508">
        <v>1.2350000000000001</v>
      </c>
      <c r="AH2071" s="508">
        <v>1.228</v>
      </c>
      <c r="AI2071" s="492">
        <v>1.2210000000000001</v>
      </c>
      <c r="AJ2071" s="485"/>
    </row>
    <row r="2072" spans="2:36">
      <c r="B2072" s="136" t="s">
        <v>443</v>
      </c>
      <c r="C2072" s="132" t="s">
        <v>1366</v>
      </c>
      <c r="D2072" s="132" t="s">
        <v>282</v>
      </c>
      <c r="E2072" s="508">
        <v>38.201999999999998</v>
      </c>
      <c r="F2072" s="508">
        <v>26.381</v>
      </c>
      <c r="G2072" s="508">
        <v>26.297000000000001</v>
      </c>
      <c r="H2072" s="508">
        <v>26.157</v>
      </c>
      <c r="I2072" s="508">
        <v>25.972000000000001</v>
      </c>
      <c r="J2072" s="508">
        <v>18.138000000000002</v>
      </c>
      <c r="K2072" s="508">
        <v>17.966000000000001</v>
      </c>
      <c r="L2072" s="508">
        <v>17.78</v>
      </c>
      <c r="M2072" s="508">
        <v>17.587</v>
      </c>
      <c r="N2072" s="508">
        <v>14.403</v>
      </c>
      <c r="O2072" s="508">
        <v>14.223000000000001</v>
      </c>
      <c r="P2072" s="508">
        <v>9.43</v>
      </c>
      <c r="Q2072" s="508">
        <v>9.3070000000000004</v>
      </c>
      <c r="R2072" s="508">
        <v>9.1890000000000001</v>
      </c>
      <c r="S2072" s="508">
        <v>9.077</v>
      </c>
      <c r="T2072" s="508">
        <v>8.9710000000000001</v>
      </c>
      <c r="U2072" s="508">
        <v>5.2990000000000004</v>
      </c>
      <c r="V2072" s="508">
        <v>5.0640000000000001</v>
      </c>
      <c r="W2072" s="508">
        <v>5.0140000000000002</v>
      </c>
      <c r="X2072" s="508">
        <v>4.694</v>
      </c>
      <c r="Y2072" s="508">
        <v>4.415</v>
      </c>
      <c r="Z2072" s="508">
        <v>3.3879999999999999</v>
      </c>
      <c r="AA2072" s="508">
        <v>3.3050000000000002</v>
      </c>
      <c r="AB2072" s="508">
        <v>2.9860000000000002</v>
      </c>
      <c r="AC2072" s="508">
        <v>2.9319999999999999</v>
      </c>
      <c r="AD2072" s="508">
        <v>2.3410000000000002</v>
      </c>
      <c r="AE2072" s="508">
        <v>2.3210000000000002</v>
      </c>
      <c r="AF2072" s="508">
        <v>1.1479999999999999</v>
      </c>
      <c r="AG2072" s="508">
        <v>1.139</v>
      </c>
      <c r="AH2072" s="508">
        <v>1.131</v>
      </c>
      <c r="AI2072" s="492">
        <v>1.1240000000000001</v>
      </c>
      <c r="AJ2072" s="485"/>
    </row>
    <row r="2073" spans="2:36">
      <c r="B2073" s="136" t="s">
        <v>445</v>
      </c>
      <c r="C2073" s="132" t="s">
        <v>1366</v>
      </c>
      <c r="D2073" s="132" t="s">
        <v>282</v>
      </c>
      <c r="E2073" s="508">
        <v>39.225999999999999</v>
      </c>
      <c r="F2073" s="508">
        <v>26.911999999999999</v>
      </c>
      <c r="G2073" s="508">
        <v>26.83</v>
      </c>
      <c r="H2073" s="508">
        <v>26.696000000000002</v>
      </c>
      <c r="I2073" s="508">
        <v>26.516999999999999</v>
      </c>
      <c r="J2073" s="508">
        <v>18.765999999999998</v>
      </c>
      <c r="K2073" s="508">
        <v>18.600000000000001</v>
      </c>
      <c r="L2073" s="508">
        <v>18.422000000000001</v>
      </c>
      <c r="M2073" s="508">
        <v>18.236000000000001</v>
      </c>
      <c r="N2073" s="508">
        <v>14.663</v>
      </c>
      <c r="O2073" s="508">
        <v>14.49</v>
      </c>
      <c r="P2073" s="508">
        <v>9.6470000000000002</v>
      </c>
      <c r="Q2073" s="508">
        <v>9.5280000000000005</v>
      </c>
      <c r="R2073" s="508">
        <v>9.4149999999999991</v>
      </c>
      <c r="S2073" s="508">
        <v>9.3070000000000004</v>
      </c>
      <c r="T2073" s="508">
        <v>9.2050000000000001</v>
      </c>
      <c r="U2073" s="508">
        <v>5.4080000000000004</v>
      </c>
      <c r="V2073" s="508">
        <v>5.1790000000000003</v>
      </c>
      <c r="W2073" s="508">
        <v>5.1449999999999996</v>
      </c>
      <c r="X2073" s="508">
        <v>4.8369999999999997</v>
      </c>
      <c r="Y2073" s="508">
        <v>4.5439999999999996</v>
      </c>
      <c r="Z2073" s="508">
        <v>3.4769999999999999</v>
      </c>
      <c r="AA2073" s="508">
        <v>3.387</v>
      </c>
      <c r="AB2073" s="508">
        <v>3.0510000000000002</v>
      </c>
      <c r="AC2073" s="508">
        <v>2.9969999999999999</v>
      </c>
      <c r="AD2073" s="508">
        <v>2.387</v>
      </c>
      <c r="AE2073" s="508">
        <v>2.367</v>
      </c>
      <c r="AF2073" s="508">
        <v>1.165</v>
      </c>
      <c r="AG2073" s="508">
        <v>1.1559999999999999</v>
      </c>
      <c r="AH2073" s="508">
        <v>1.1479999999999999</v>
      </c>
      <c r="AI2073" s="492">
        <v>1.1419999999999999</v>
      </c>
      <c r="AJ2073" s="485"/>
    </row>
    <row r="2074" spans="2:36">
      <c r="B2074" s="136" t="s">
        <v>446</v>
      </c>
      <c r="C2074" s="132" t="s">
        <v>1366</v>
      </c>
      <c r="D2074" s="132" t="s">
        <v>282</v>
      </c>
      <c r="E2074" s="508">
        <v>44.540999999999997</v>
      </c>
      <c r="F2074" s="508">
        <v>30.651</v>
      </c>
      <c r="G2074" s="508">
        <v>30.350999999999999</v>
      </c>
      <c r="H2074" s="508">
        <v>30.396999999999998</v>
      </c>
      <c r="I2074" s="508">
        <v>30.065000000000001</v>
      </c>
      <c r="J2074" s="508">
        <v>21.515000000000001</v>
      </c>
      <c r="K2074" s="508">
        <v>21.37</v>
      </c>
      <c r="L2074" s="508">
        <v>21.231999999999999</v>
      </c>
      <c r="M2074" s="508">
        <v>21.093</v>
      </c>
      <c r="N2074" s="508">
        <v>17.173999999999999</v>
      </c>
      <c r="O2074" s="508">
        <v>17.029</v>
      </c>
      <c r="P2074" s="508">
        <v>11.333</v>
      </c>
      <c r="Q2074" s="508">
        <v>11.238</v>
      </c>
      <c r="R2074" s="508">
        <v>11.167</v>
      </c>
      <c r="S2074" s="508">
        <v>11.061999999999999</v>
      </c>
      <c r="T2074" s="508">
        <v>10.958</v>
      </c>
      <c r="U2074" s="508">
        <v>6.266</v>
      </c>
      <c r="V2074" s="508">
        <v>6.0250000000000004</v>
      </c>
      <c r="W2074" s="508">
        <v>6.0279999999999996</v>
      </c>
      <c r="X2074" s="508">
        <v>5.71</v>
      </c>
      <c r="Y2074" s="508">
        <v>5.3760000000000003</v>
      </c>
      <c r="Z2074" s="508">
        <v>4.1059999999999999</v>
      </c>
      <c r="AA2074" s="508">
        <v>4.0090000000000003</v>
      </c>
      <c r="AB2074" s="508">
        <v>3.629</v>
      </c>
      <c r="AC2074" s="508">
        <v>3.573</v>
      </c>
      <c r="AD2074" s="508">
        <v>2.8559999999999999</v>
      </c>
      <c r="AE2074" s="508">
        <v>2.8359999999999999</v>
      </c>
      <c r="AF2074" s="508">
        <v>1.4</v>
      </c>
      <c r="AG2074" s="508">
        <v>1.391</v>
      </c>
      <c r="AH2074" s="508">
        <v>1.383</v>
      </c>
      <c r="AI2074" s="492">
        <v>1.3759999999999999</v>
      </c>
      <c r="AJ2074" s="485"/>
    </row>
    <row r="2075" spans="2:36">
      <c r="B2075" s="136" t="s">
        <v>448</v>
      </c>
      <c r="C2075" s="132" t="s">
        <v>1366</v>
      </c>
      <c r="D2075" s="132" t="s">
        <v>282</v>
      </c>
      <c r="E2075" s="508">
        <v>37.756999999999998</v>
      </c>
      <c r="F2075" s="508">
        <v>26.346</v>
      </c>
      <c r="G2075" s="508">
        <v>26.259</v>
      </c>
      <c r="H2075" s="508">
        <v>26.117000000000001</v>
      </c>
      <c r="I2075" s="508">
        <v>25.927</v>
      </c>
      <c r="J2075" s="508">
        <v>18.167999999999999</v>
      </c>
      <c r="K2075" s="508">
        <v>17.992000000000001</v>
      </c>
      <c r="L2075" s="508">
        <v>17.803000000000001</v>
      </c>
      <c r="M2075" s="508">
        <v>17.605</v>
      </c>
      <c r="N2075" s="508">
        <v>14.605</v>
      </c>
      <c r="O2075" s="508">
        <v>14.420999999999999</v>
      </c>
      <c r="P2075" s="508">
        <v>9.5630000000000006</v>
      </c>
      <c r="Q2075" s="508">
        <v>9.4369999999999994</v>
      </c>
      <c r="R2075" s="508">
        <v>9.3170000000000002</v>
      </c>
      <c r="S2075" s="508">
        <v>9.202</v>
      </c>
      <c r="T2075" s="508">
        <v>9.0939999999999994</v>
      </c>
      <c r="U2075" s="508">
        <v>5.3810000000000002</v>
      </c>
      <c r="V2075" s="508">
        <v>5.1420000000000003</v>
      </c>
      <c r="W2075" s="508">
        <v>5.0780000000000003</v>
      </c>
      <c r="X2075" s="508">
        <v>4.7519999999999998</v>
      </c>
      <c r="Y2075" s="508">
        <v>4.4850000000000003</v>
      </c>
      <c r="Z2075" s="508">
        <v>3.452</v>
      </c>
      <c r="AA2075" s="508">
        <v>3.3820000000000001</v>
      </c>
      <c r="AB2075" s="508">
        <v>3.0760000000000001</v>
      </c>
      <c r="AC2075" s="508">
        <v>3.0209999999999999</v>
      </c>
      <c r="AD2075" s="508">
        <v>2.4289999999999998</v>
      </c>
      <c r="AE2075" s="508">
        <v>2.4079999999999999</v>
      </c>
      <c r="AF2075" s="508">
        <v>1.202</v>
      </c>
      <c r="AG2075" s="508">
        <v>1.1930000000000001</v>
      </c>
      <c r="AH2075" s="508">
        <v>1.1850000000000001</v>
      </c>
      <c r="AI2075" s="492">
        <v>1.1779999999999999</v>
      </c>
      <c r="AJ2075" s="485"/>
    </row>
    <row r="2076" spans="2:36">
      <c r="B2076" s="136" t="s">
        <v>449</v>
      </c>
      <c r="C2076" s="132" t="s">
        <v>1366</v>
      </c>
      <c r="D2076" s="132" t="s">
        <v>282</v>
      </c>
      <c r="E2076" s="508">
        <v>44.156999999999996</v>
      </c>
      <c r="F2076" s="508">
        <v>30.437000000000001</v>
      </c>
      <c r="G2076" s="508">
        <v>30.131</v>
      </c>
      <c r="H2076" s="508">
        <v>30.18</v>
      </c>
      <c r="I2076" s="508">
        <v>29.844000000000001</v>
      </c>
      <c r="J2076" s="508">
        <v>21.324999999999999</v>
      </c>
      <c r="K2076" s="508">
        <v>21.178999999999998</v>
      </c>
      <c r="L2076" s="508">
        <v>21.041</v>
      </c>
      <c r="M2076" s="508">
        <v>20.902000000000001</v>
      </c>
      <c r="N2076" s="508">
        <v>17.085000000000001</v>
      </c>
      <c r="O2076" s="508">
        <v>16.940000000000001</v>
      </c>
      <c r="P2076" s="508">
        <v>11.288</v>
      </c>
      <c r="Q2076" s="508">
        <v>11.193</v>
      </c>
      <c r="R2076" s="508">
        <v>11.122</v>
      </c>
      <c r="S2076" s="508">
        <v>11.016999999999999</v>
      </c>
      <c r="T2076" s="508">
        <v>10.912000000000001</v>
      </c>
      <c r="U2076" s="508">
        <v>6.2359999999999998</v>
      </c>
      <c r="V2076" s="508">
        <v>5.9950000000000001</v>
      </c>
      <c r="W2076" s="508">
        <v>5.992</v>
      </c>
      <c r="X2076" s="508">
        <v>5.6719999999999997</v>
      </c>
      <c r="Y2076" s="508">
        <v>5.3449999999999998</v>
      </c>
      <c r="Z2076" s="508">
        <v>4.0869999999999997</v>
      </c>
      <c r="AA2076" s="508">
        <v>3.9940000000000002</v>
      </c>
      <c r="AB2076" s="508">
        <v>3.6219999999999999</v>
      </c>
      <c r="AC2076" s="508">
        <v>3.5659999999999998</v>
      </c>
      <c r="AD2076" s="508">
        <v>2.855</v>
      </c>
      <c r="AE2076" s="508">
        <v>2.8340000000000001</v>
      </c>
      <c r="AF2076" s="508">
        <v>1.403</v>
      </c>
      <c r="AG2076" s="508">
        <v>1.3939999999999999</v>
      </c>
      <c r="AH2076" s="508">
        <v>1.3859999999999999</v>
      </c>
      <c r="AI2076" s="492">
        <v>1.379</v>
      </c>
      <c r="AJ2076" s="485"/>
    </row>
    <row r="2077" spans="2:36">
      <c r="B2077" s="136" t="s">
        <v>450</v>
      </c>
      <c r="C2077" s="132" t="s">
        <v>1366</v>
      </c>
      <c r="D2077" s="132" t="s">
        <v>282</v>
      </c>
      <c r="E2077" s="508">
        <v>37.816000000000003</v>
      </c>
      <c r="F2077" s="508">
        <v>26.369</v>
      </c>
      <c r="G2077" s="508">
        <v>26.282</v>
      </c>
      <c r="H2077" s="508">
        <v>26.138000000000002</v>
      </c>
      <c r="I2077" s="508">
        <v>25.946000000000002</v>
      </c>
      <c r="J2077" s="508">
        <v>18.071000000000002</v>
      </c>
      <c r="K2077" s="508">
        <v>17.893000000000001</v>
      </c>
      <c r="L2077" s="508">
        <v>17.702000000000002</v>
      </c>
      <c r="M2077" s="508">
        <v>17.503</v>
      </c>
      <c r="N2077" s="508">
        <v>14.567</v>
      </c>
      <c r="O2077" s="508">
        <v>14.382</v>
      </c>
      <c r="P2077" s="508">
        <v>9.5</v>
      </c>
      <c r="Q2077" s="508">
        <v>9.3729999999999993</v>
      </c>
      <c r="R2077" s="508">
        <v>9.2520000000000007</v>
      </c>
      <c r="S2077" s="508">
        <v>9.1359999999999992</v>
      </c>
      <c r="T2077" s="508">
        <v>9.0269999999999992</v>
      </c>
      <c r="U2077" s="508">
        <v>5.3479999999999999</v>
      </c>
      <c r="V2077" s="508">
        <v>5.1070000000000002</v>
      </c>
      <c r="W2077" s="508">
        <v>5.0419999999999998</v>
      </c>
      <c r="X2077" s="508">
        <v>4.7140000000000004</v>
      </c>
      <c r="Y2077" s="508">
        <v>4.4450000000000003</v>
      </c>
      <c r="Z2077" s="508">
        <v>3.42</v>
      </c>
      <c r="AA2077" s="508">
        <v>3.347</v>
      </c>
      <c r="AB2077" s="508">
        <v>3.0390000000000001</v>
      </c>
      <c r="AC2077" s="508">
        <v>2.984</v>
      </c>
      <c r="AD2077" s="508">
        <v>2.395</v>
      </c>
      <c r="AE2077" s="508">
        <v>2.3740000000000001</v>
      </c>
      <c r="AF2077" s="508">
        <v>1.1830000000000001</v>
      </c>
      <c r="AG2077" s="508">
        <v>1.1739999999999999</v>
      </c>
      <c r="AH2077" s="508">
        <v>1.1659999999999999</v>
      </c>
      <c r="AI2077" s="492">
        <v>1.159</v>
      </c>
      <c r="AJ2077" s="485"/>
    </row>
    <row r="2078" spans="2:36">
      <c r="B2078" s="136" t="s">
        <v>451</v>
      </c>
      <c r="C2078" s="132" t="s">
        <v>1366</v>
      </c>
      <c r="D2078" s="132" t="s">
        <v>282</v>
      </c>
      <c r="E2078" s="508">
        <v>38.753</v>
      </c>
      <c r="F2078" s="508">
        <v>26.728000000000002</v>
      </c>
      <c r="G2078" s="508">
        <v>26.646000000000001</v>
      </c>
      <c r="H2078" s="508">
        <v>26.510999999999999</v>
      </c>
      <c r="I2078" s="508">
        <v>26.331</v>
      </c>
      <c r="J2078" s="508">
        <v>18.699000000000002</v>
      </c>
      <c r="K2078" s="508">
        <v>18.532</v>
      </c>
      <c r="L2078" s="508">
        <v>18.352</v>
      </c>
      <c r="M2078" s="508">
        <v>18.164999999999999</v>
      </c>
      <c r="N2078" s="508">
        <v>14.683999999999999</v>
      </c>
      <c r="O2078" s="508">
        <v>14.509</v>
      </c>
      <c r="P2078" s="508">
        <v>9.6850000000000005</v>
      </c>
      <c r="Q2078" s="508">
        <v>9.5660000000000007</v>
      </c>
      <c r="R2078" s="508">
        <v>9.4510000000000005</v>
      </c>
      <c r="S2078" s="508">
        <v>9.343</v>
      </c>
      <c r="T2078" s="508">
        <v>9.24</v>
      </c>
      <c r="U2078" s="508">
        <v>5.4340000000000002</v>
      </c>
      <c r="V2078" s="508">
        <v>5.2039999999999997</v>
      </c>
      <c r="W2078" s="508">
        <v>5.1619999999999999</v>
      </c>
      <c r="X2078" s="508">
        <v>4.8520000000000003</v>
      </c>
      <c r="Y2078" s="508">
        <v>4.5679999999999996</v>
      </c>
      <c r="Z2078" s="508">
        <v>3.5019999999999998</v>
      </c>
      <c r="AA2078" s="508">
        <v>3.42</v>
      </c>
      <c r="AB2078" s="508">
        <v>3.0939999999999999</v>
      </c>
      <c r="AC2078" s="508">
        <v>3.04</v>
      </c>
      <c r="AD2078" s="508">
        <v>2.4319999999999999</v>
      </c>
      <c r="AE2078" s="508">
        <v>2.411</v>
      </c>
      <c r="AF2078" s="508">
        <v>1.1930000000000001</v>
      </c>
      <c r="AG2078" s="508">
        <v>1.1850000000000001</v>
      </c>
      <c r="AH2078" s="508">
        <v>1.177</v>
      </c>
      <c r="AI2078" s="492">
        <v>1.17</v>
      </c>
      <c r="AJ2078" s="485"/>
    </row>
    <row r="2079" spans="2:36">
      <c r="B2079" s="136" t="s">
        <v>452</v>
      </c>
      <c r="C2079" s="132" t="s">
        <v>1366</v>
      </c>
      <c r="D2079" s="132" t="s">
        <v>282</v>
      </c>
      <c r="E2079" s="508">
        <v>38.35</v>
      </c>
      <c r="F2079" s="508">
        <v>26.581</v>
      </c>
      <c r="G2079" s="508">
        <v>26.495999999999999</v>
      </c>
      <c r="H2079" s="508">
        <v>26.355</v>
      </c>
      <c r="I2079" s="508">
        <v>26.167999999999999</v>
      </c>
      <c r="J2079" s="508">
        <v>18.314</v>
      </c>
      <c r="K2079" s="508">
        <v>18.140999999999998</v>
      </c>
      <c r="L2079" s="508">
        <v>17.954000000000001</v>
      </c>
      <c r="M2079" s="508">
        <v>17.759</v>
      </c>
      <c r="N2079" s="508">
        <v>14.605</v>
      </c>
      <c r="O2079" s="508">
        <v>14.423</v>
      </c>
      <c r="P2079" s="508">
        <v>9.5489999999999995</v>
      </c>
      <c r="Q2079" s="508">
        <v>9.4250000000000007</v>
      </c>
      <c r="R2079" s="508">
        <v>9.3059999999999992</v>
      </c>
      <c r="S2079" s="508">
        <v>9.1929999999999996</v>
      </c>
      <c r="T2079" s="508">
        <v>9.0860000000000003</v>
      </c>
      <c r="U2079" s="508">
        <v>5.367</v>
      </c>
      <c r="V2079" s="508">
        <v>5.13</v>
      </c>
      <c r="W2079" s="508">
        <v>5.0759999999999996</v>
      </c>
      <c r="X2079" s="508">
        <v>4.7549999999999999</v>
      </c>
      <c r="Y2079" s="508">
        <v>4.476</v>
      </c>
      <c r="Z2079" s="508">
        <v>3.4380000000000002</v>
      </c>
      <c r="AA2079" s="508">
        <v>3.3580000000000001</v>
      </c>
      <c r="AB2079" s="508">
        <v>3.04</v>
      </c>
      <c r="AC2079" s="508">
        <v>2.9860000000000002</v>
      </c>
      <c r="AD2079" s="508">
        <v>2.3889999999999998</v>
      </c>
      <c r="AE2079" s="508">
        <v>2.3679999999999999</v>
      </c>
      <c r="AF2079" s="508">
        <v>1.175</v>
      </c>
      <c r="AG2079" s="508">
        <v>1.1659999999999999</v>
      </c>
      <c r="AH2079" s="508">
        <v>1.1579999999999999</v>
      </c>
      <c r="AI2079" s="492">
        <v>1.151</v>
      </c>
      <c r="AJ2079" s="485"/>
    </row>
    <row r="2080" spans="2:36">
      <c r="B2080" s="136" t="s">
        <v>453</v>
      </c>
      <c r="C2080" s="132" t="s">
        <v>1366</v>
      </c>
      <c r="D2080" s="132" t="s">
        <v>282</v>
      </c>
      <c r="E2080" s="508">
        <v>37.726999999999997</v>
      </c>
      <c r="F2080" s="508">
        <v>26.344999999999999</v>
      </c>
      <c r="G2080" s="508">
        <v>26.257000000000001</v>
      </c>
      <c r="H2080" s="508">
        <v>26.111999999999998</v>
      </c>
      <c r="I2080" s="508">
        <v>25.919</v>
      </c>
      <c r="J2080" s="508">
        <v>18.010999999999999</v>
      </c>
      <c r="K2080" s="508">
        <v>17.832999999999998</v>
      </c>
      <c r="L2080" s="508">
        <v>17.64</v>
      </c>
      <c r="M2080" s="508">
        <v>17.439</v>
      </c>
      <c r="N2080" s="508">
        <v>14.568</v>
      </c>
      <c r="O2080" s="508">
        <v>14.38</v>
      </c>
      <c r="P2080" s="508">
        <v>9.4890000000000008</v>
      </c>
      <c r="Q2080" s="508">
        <v>9.3610000000000007</v>
      </c>
      <c r="R2080" s="508">
        <v>9.2390000000000008</v>
      </c>
      <c r="S2080" s="508">
        <v>9.1219999999999999</v>
      </c>
      <c r="T2080" s="508">
        <v>9.0120000000000005</v>
      </c>
      <c r="U2080" s="508">
        <v>5.3419999999999996</v>
      </c>
      <c r="V2080" s="508">
        <v>5.101</v>
      </c>
      <c r="W2080" s="508">
        <v>5.0330000000000004</v>
      </c>
      <c r="X2080" s="508">
        <v>4.702</v>
      </c>
      <c r="Y2080" s="508">
        <v>4.4349999999999996</v>
      </c>
      <c r="Z2080" s="508">
        <v>3.4140000000000001</v>
      </c>
      <c r="AA2080" s="508">
        <v>3.343</v>
      </c>
      <c r="AB2080" s="508">
        <v>3.0369999999999999</v>
      </c>
      <c r="AC2080" s="508">
        <v>2.9820000000000002</v>
      </c>
      <c r="AD2080" s="508">
        <v>2.395</v>
      </c>
      <c r="AE2080" s="508">
        <v>2.3740000000000001</v>
      </c>
      <c r="AF2080" s="508">
        <v>1.1839999999999999</v>
      </c>
      <c r="AG2080" s="508">
        <v>1.175</v>
      </c>
      <c r="AH2080" s="508">
        <v>1.167</v>
      </c>
      <c r="AI2080" s="492">
        <v>1.1599999999999999</v>
      </c>
      <c r="AJ2080" s="485"/>
    </row>
    <row r="2081" spans="2:36">
      <c r="B2081" s="136" t="s">
        <v>454</v>
      </c>
      <c r="C2081" s="132" t="s">
        <v>1366</v>
      </c>
      <c r="D2081" s="132" t="s">
        <v>282</v>
      </c>
      <c r="E2081" s="508">
        <v>37.676000000000002</v>
      </c>
      <c r="F2081" s="508">
        <v>26.283999999999999</v>
      </c>
      <c r="G2081" s="508">
        <v>26.196999999999999</v>
      </c>
      <c r="H2081" s="508">
        <v>26.053999999999998</v>
      </c>
      <c r="I2081" s="508">
        <v>25.864000000000001</v>
      </c>
      <c r="J2081" s="508">
        <v>18.094999999999999</v>
      </c>
      <c r="K2081" s="508">
        <v>17.919</v>
      </c>
      <c r="L2081" s="508">
        <v>17.728999999999999</v>
      </c>
      <c r="M2081" s="508">
        <v>17.530999999999999</v>
      </c>
      <c r="N2081" s="508">
        <v>14.554</v>
      </c>
      <c r="O2081" s="508">
        <v>14.369</v>
      </c>
      <c r="P2081" s="508">
        <v>9.5259999999999998</v>
      </c>
      <c r="Q2081" s="508">
        <v>9.4</v>
      </c>
      <c r="R2081" s="508">
        <v>9.2799999999999994</v>
      </c>
      <c r="S2081" s="508">
        <v>9.1649999999999991</v>
      </c>
      <c r="T2081" s="508">
        <v>9.0559999999999992</v>
      </c>
      <c r="U2081" s="508">
        <v>5.3609999999999998</v>
      </c>
      <c r="V2081" s="508">
        <v>5.1219999999999999</v>
      </c>
      <c r="W2081" s="508">
        <v>5.0570000000000004</v>
      </c>
      <c r="X2081" s="508">
        <v>4.7309999999999999</v>
      </c>
      <c r="Y2081" s="508">
        <v>4.4640000000000004</v>
      </c>
      <c r="Z2081" s="508">
        <v>3.4359999999999999</v>
      </c>
      <c r="AA2081" s="508">
        <v>3.3660000000000001</v>
      </c>
      <c r="AB2081" s="508">
        <v>3.06</v>
      </c>
      <c r="AC2081" s="508">
        <v>3.0059999999999998</v>
      </c>
      <c r="AD2081" s="508">
        <v>2.4159999999999999</v>
      </c>
      <c r="AE2081" s="508">
        <v>2.395</v>
      </c>
      <c r="AF2081" s="508">
        <v>1.1950000000000001</v>
      </c>
      <c r="AG2081" s="508">
        <v>1.1859999999999999</v>
      </c>
      <c r="AH2081" s="508">
        <v>1.1779999999999999</v>
      </c>
      <c r="AI2081" s="492">
        <v>1.171</v>
      </c>
      <c r="AJ2081" s="485"/>
    </row>
    <row r="2082" spans="2:36">
      <c r="B2082" s="136" t="s">
        <v>455</v>
      </c>
      <c r="C2082" s="132" t="s">
        <v>1366</v>
      </c>
      <c r="D2082" s="132" t="s">
        <v>282</v>
      </c>
      <c r="E2082" s="508">
        <v>37.656999999999996</v>
      </c>
      <c r="F2082" s="508">
        <v>26.393000000000001</v>
      </c>
      <c r="G2082" s="508">
        <v>26.306000000000001</v>
      </c>
      <c r="H2082" s="508">
        <v>26.161000000000001</v>
      </c>
      <c r="I2082" s="508">
        <v>25.969000000000001</v>
      </c>
      <c r="J2082" s="508">
        <v>18.192</v>
      </c>
      <c r="K2082" s="508">
        <v>18.013999999999999</v>
      </c>
      <c r="L2082" s="508">
        <v>17.821999999999999</v>
      </c>
      <c r="M2082" s="508">
        <v>17.622</v>
      </c>
      <c r="N2082" s="508">
        <v>14.715999999999999</v>
      </c>
      <c r="O2082" s="508">
        <v>14.53</v>
      </c>
      <c r="P2082" s="508">
        <v>9.6210000000000004</v>
      </c>
      <c r="Q2082" s="508">
        <v>9.4939999999999998</v>
      </c>
      <c r="R2082" s="508">
        <v>9.3719999999999999</v>
      </c>
      <c r="S2082" s="508">
        <v>9.2550000000000008</v>
      </c>
      <c r="T2082" s="508">
        <v>9.1449999999999996</v>
      </c>
      <c r="U2082" s="508">
        <v>5.4169999999999998</v>
      </c>
      <c r="V2082" s="508">
        <v>5.1749999999999998</v>
      </c>
      <c r="W2082" s="508">
        <v>5.1050000000000004</v>
      </c>
      <c r="X2082" s="508">
        <v>4.7750000000000004</v>
      </c>
      <c r="Y2082" s="508">
        <v>4.5119999999999996</v>
      </c>
      <c r="Z2082" s="508">
        <v>3.4769999999999999</v>
      </c>
      <c r="AA2082" s="508">
        <v>3.411</v>
      </c>
      <c r="AB2082" s="508">
        <v>3.109</v>
      </c>
      <c r="AC2082" s="508">
        <v>3.0550000000000002</v>
      </c>
      <c r="AD2082" s="508">
        <v>2.4609999999999999</v>
      </c>
      <c r="AE2082" s="508">
        <v>2.44</v>
      </c>
      <c r="AF2082" s="508">
        <v>1.222</v>
      </c>
      <c r="AG2082" s="508">
        <v>1.2130000000000001</v>
      </c>
      <c r="AH2082" s="508">
        <v>1.2050000000000001</v>
      </c>
      <c r="AI2082" s="492">
        <v>1.198</v>
      </c>
      <c r="AJ2082" s="485"/>
    </row>
    <row r="2083" spans="2:36">
      <c r="B2083" s="136" t="s">
        <v>456</v>
      </c>
      <c r="C2083" s="132" t="s">
        <v>1366</v>
      </c>
      <c r="D2083" s="132" t="s">
        <v>282</v>
      </c>
      <c r="E2083" s="508">
        <v>40.561</v>
      </c>
      <c r="F2083" s="508">
        <v>28.213000000000001</v>
      </c>
      <c r="G2083" s="508">
        <v>28.027999999999999</v>
      </c>
      <c r="H2083" s="508">
        <v>27.97</v>
      </c>
      <c r="I2083" s="508">
        <v>27.713000000000001</v>
      </c>
      <c r="J2083" s="508">
        <v>19.591000000000001</v>
      </c>
      <c r="K2083" s="508">
        <v>19.427</v>
      </c>
      <c r="L2083" s="508">
        <v>19.259</v>
      </c>
      <c r="M2083" s="508">
        <v>19.085999999999999</v>
      </c>
      <c r="N2083" s="508">
        <v>15.797000000000001</v>
      </c>
      <c r="O2083" s="508">
        <v>15.629</v>
      </c>
      <c r="P2083" s="508">
        <v>10.372999999999999</v>
      </c>
      <c r="Q2083" s="508">
        <v>10.26</v>
      </c>
      <c r="R2083" s="508">
        <v>10.161</v>
      </c>
      <c r="S2083" s="508">
        <v>10.048999999999999</v>
      </c>
      <c r="T2083" s="508">
        <v>9.9410000000000007</v>
      </c>
      <c r="U2083" s="508">
        <v>5.782</v>
      </c>
      <c r="V2083" s="508">
        <v>5.54</v>
      </c>
      <c r="W2083" s="508">
        <v>5.4989999999999997</v>
      </c>
      <c r="X2083" s="508">
        <v>5.1740000000000004</v>
      </c>
      <c r="Y2083" s="508">
        <v>4.883</v>
      </c>
      <c r="Z2083" s="508">
        <v>3.7490000000000001</v>
      </c>
      <c r="AA2083" s="508">
        <v>3.6720000000000002</v>
      </c>
      <c r="AB2083" s="508">
        <v>3.3410000000000002</v>
      </c>
      <c r="AC2083" s="508">
        <v>3.2850000000000001</v>
      </c>
      <c r="AD2083" s="508">
        <v>2.64</v>
      </c>
      <c r="AE2083" s="508">
        <v>2.6190000000000002</v>
      </c>
      <c r="AF2083" s="508">
        <v>1.3049999999999999</v>
      </c>
      <c r="AG2083" s="508">
        <v>1.296</v>
      </c>
      <c r="AH2083" s="508">
        <v>1.288</v>
      </c>
      <c r="AI2083" s="492">
        <v>1.2809999999999999</v>
      </c>
      <c r="AJ2083" s="485"/>
    </row>
    <row r="2084" spans="2:36">
      <c r="B2084" s="136" t="s">
        <v>457</v>
      </c>
      <c r="C2084" s="132" t="s">
        <v>1366</v>
      </c>
      <c r="D2084" s="132" t="s">
        <v>282</v>
      </c>
      <c r="E2084" s="508">
        <v>37.276000000000003</v>
      </c>
      <c r="F2084" s="508">
        <v>26.14</v>
      </c>
      <c r="G2084" s="508">
        <v>26.050999999999998</v>
      </c>
      <c r="H2084" s="508">
        <v>25.902999999999999</v>
      </c>
      <c r="I2084" s="508">
        <v>25.707000000000001</v>
      </c>
      <c r="J2084" s="508">
        <v>17.773</v>
      </c>
      <c r="K2084" s="508">
        <v>17.591000000000001</v>
      </c>
      <c r="L2084" s="508">
        <v>17.395</v>
      </c>
      <c r="M2084" s="508">
        <v>17.190999999999999</v>
      </c>
      <c r="N2084" s="508">
        <v>14.497</v>
      </c>
      <c r="O2084" s="508">
        <v>14.307</v>
      </c>
      <c r="P2084" s="508">
        <v>9.4239999999999995</v>
      </c>
      <c r="Q2084" s="508">
        <v>9.2940000000000005</v>
      </c>
      <c r="R2084" s="508">
        <v>9.1690000000000005</v>
      </c>
      <c r="S2084" s="508">
        <v>9.0500000000000007</v>
      </c>
      <c r="T2084" s="508">
        <v>8.9380000000000006</v>
      </c>
      <c r="U2084" s="508">
        <v>5.3120000000000003</v>
      </c>
      <c r="V2084" s="508">
        <v>5.0670000000000002</v>
      </c>
      <c r="W2084" s="508">
        <v>4.9909999999999997</v>
      </c>
      <c r="X2084" s="508">
        <v>4.6550000000000002</v>
      </c>
      <c r="Y2084" s="508">
        <v>4.3949999999999996</v>
      </c>
      <c r="Z2084" s="508">
        <v>3.3879999999999999</v>
      </c>
      <c r="AA2084" s="508">
        <v>3.3220000000000001</v>
      </c>
      <c r="AB2084" s="508">
        <v>3.024</v>
      </c>
      <c r="AC2084" s="508">
        <v>2.9689999999999999</v>
      </c>
      <c r="AD2084" s="508">
        <v>2.3889999999999998</v>
      </c>
      <c r="AE2084" s="508">
        <v>2.367</v>
      </c>
      <c r="AF2084" s="508">
        <v>1.1850000000000001</v>
      </c>
      <c r="AG2084" s="508">
        <v>1.1759999999999999</v>
      </c>
      <c r="AH2084" s="508">
        <v>1.167</v>
      </c>
      <c r="AI2084" s="492">
        <v>1.1599999999999999</v>
      </c>
      <c r="AJ2084" s="485"/>
    </row>
    <row r="2085" spans="2:36">
      <c r="B2085" s="136" t="s">
        <v>458</v>
      </c>
      <c r="C2085" s="132" t="s">
        <v>1366</v>
      </c>
      <c r="D2085" s="132" t="s">
        <v>282</v>
      </c>
      <c r="E2085" s="508">
        <v>37.832999999999998</v>
      </c>
      <c r="F2085" s="508">
        <v>26.359000000000002</v>
      </c>
      <c r="G2085" s="508">
        <v>26.274999999999999</v>
      </c>
      <c r="H2085" s="508">
        <v>26.135999999999999</v>
      </c>
      <c r="I2085" s="508">
        <v>25.951000000000001</v>
      </c>
      <c r="J2085" s="508">
        <v>18.420999999999999</v>
      </c>
      <c r="K2085" s="508">
        <v>18.248999999999999</v>
      </c>
      <c r="L2085" s="508">
        <v>18.065000000000001</v>
      </c>
      <c r="M2085" s="508">
        <v>17.873000000000001</v>
      </c>
      <c r="N2085" s="508">
        <v>14.662000000000001</v>
      </c>
      <c r="O2085" s="508">
        <v>14.483000000000001</v>
      </c>
      <c r="P2085" s="508">
        <v>9.6769999999999996</v>
      </c>
      <c r="Q2085" s="508">
        <v>9.5549999999999997</v>
      </c>
      <c r="R2085" s="508">
        <v>9.4380000000000006</v>
      </c>
      <c r="S2085" s="508">
        <v>9.3260000000000005</v>
      </c>
      <c r="T2085" s="508">
        <v>9.2200000000000006</v>
      </c>
      <c r="U2085" s="508">
        <v>5.4409999999999998</v>
      </c>
      <c r="V2085" s="508">
        <v>5.2069999999999999</v>
      </c>
      <c r="W2085" s="508">
        <v>5.1479999999999997</v>
      </c>
      <c r="X2085" s="508">
        <v>4.83</v>
      </c>
      <c r="Y2085" s="508">
        <v>4.5629999999999997</v>
      </c>
      <c r="Z2085" s="508">
        <v>3.5089999999999999</v>
      </c>
      <c r="AA2085" s="508">
        <v>3.4409999999999998</v>
      </c>
      <c r="AB2085" s="508">
        <v>3.133</v>
      </c>
      <c r="AC2085" s="508">
        <v>3.08</v>
      </c>
      <c r="AD2085" s="508">
        <v>2.4790000000000001</v>
      </c>
      <c r="AE2085" s="508">
        <v>2.4590000000000001</v>
      </c>
      <c r="AF2085" s="508">
        <v>1.228</v>
      </c>
      <c r="AG2085" s="508">
        <v>1.22</v>
      </c>
      <c r="AH2085" s="508">
        <v>1.212</v>
      </c>
      <c r="AI2085" s="492">
        <v>1.2050000000000001</v>
      </c>
      <c r="AJ2085" s="485"/>
    </row>
    <row r="2086" spans="2:36">
      <c r="B2086" s="136" t="s">
        <v>459</v>
      </c>
      <c r="C2086" s="132" t="s">
        <v>1366</v>
      </c>
      <c r="D2086" s="132" t="s">
        <v>282</v>
      </c>
      <c r="E2086" s="508">
        <v>37.847000000000001</v>
      </c>
      <c r="F2086" s="508">
        <v>26.37</v>
      </c>
      <c r="G2086" s="508">
        <v>26.286000000000001</v>
      </c>
      <c r="H2086" s="508">
        <v>26.146999999999998</v>
      </c>
      <c r="I2086" s="508">
        <v>25.962</v>
      </c>
      <c r="J2086" s="508">
        <v>18.422999999999998</v>
      </c>
      <c r="K2086" s="508">
        <v>18.251000000000001</v>
      </c>
      <c r="L2086" s="508">
        <v>18.067</v>
      </c>
      <c r="M2086" s="508">
        <v>17.875</v>
      </c>
      <c r="N2086" s="508">
        <v>14.667</v>
      </c>
      <c r="O2086" s="508">
        <v>14.488</v>
      </c>
      <c r="P2086" s="508">
        <v>9.6780000000000008</v>
      </c>
      <c r="Q2086" s="508">
        <v>9.5559999999999992</v>
      </c>
      <c r="R2086" s="508">
        <v>9.4380000000000006</v>
      </c>
      <c r="S2086" s="508">
        <v>9.327</v>
      </c>
      <c r="T2086" s="508">
        <v>9.2210000000000001</v>
      </c>
      <c r="U2086" s="508">
        <v>5.4409999999999998</v>
      </c>
      <c r="V2086" s="508">
        <v>5.2069999999999999</v>
      </c>
      <c r="W2086" s="508">
        <v>5.1479999999999997</v>
      </c>
      <c r="X2086" s="508">
        <v>4.83</v>
      </c>
      <c r="Y2086" s="508">
        <v>4.5620000000000003</v>
      </c>
      <c r="Z2086" s="508">
        <v>3.5089999999999999</v>
      </c>
      <c r="AA2086" s="508">
        <v>3.4409999999999998</v>
      </c>
      <c r="AB2086" s="508">
        <v>3.133</v>
      </c>
      <c r="AC2086" s="508">
        <v>3.08</v>
      </c>
      <c r="AD2086" s="508">
        <v>2.4790000000000001</v>
      </c>
      <c r="AE2086" s="508">
        <v>2.4580000000000002</v>
      </c>
      <c r="AF2086" s="508">
        <v>1.228</v>
      </c>
      <c r="AG2086" s="508">
        <v>1.2190000000000001</v>
      </c>
      <c r="AH2086" s="508">
        <v>1.2110000000000001</v>
      </c>
      <c r="AI2086" s="492">
        <v>1.204</v>
      </c>
      <c r="AJ2086" s="485"/>
    </row>
    <row r="2087" spans="2:36">
      <c r="B2087" s="136" t="s">
        <v>460</v>
      </c>
      <c r="C2087" s="132" t="s">
        <v>1366</v>
      </c>
      <c r="D2087" s="132" t="s">
        <v>282</v>
      </c>
      <c r="E2087" s="508">
        <v>38.137999999999998</v>
      </c>
      <c r="F2087" s="508">
        <v>26.515999999999998</v>
      </c>
      <c r="G2087" s="508">
        <v>26.431000000000001</v>
      </c>
      <c r="H2087" s="508">
        <v>26.291</v>
      </c>
      <c r="I2087" s="508">
        <v>26.103999999999999</v>
      </c>
      <c r="J2087" s="508">
        <v>18.373000000000001</v>
      </c>
      <c r="K2087" s="508">
        <v>18.2</v>
      </c>
      <c r="L2087" s="508">
        <v>18.013999999999999</v>
      </c>
      <c r="M2087" s="508">
        <v>17.818999999999999</v>
      </c>
      <c r="N2087" s="508">
        <v>14.662000000000001</v>
      </c>
      <c r="O2087" s="508">
        <v>14.481</v>
      </c>
      <c r="P2087" s="508">
        <v>9.6189999999999998</v>
      </c>
      <c r="Q2087" s="508">
        <v>9.4949999999999992</v>
      </c>
      <c r="R2087" s="508">
        <v>9.3770000000000007</v>
      </c>
      <c r="S2087" s="508">
        <v>9.2639999999999993</v>
      </c>
      <c r="T2087" s="508">
        <v>9.157</v>
      </c>
      <c r="U2087" s="508">
        <v>5.407</v>
      </c>
      <c r="V2087" s="508">
        <v>5.1710000000000003</v>
      </c>
      <c r="W2087" s="508">
        <v>5.1139999999999999</v>
      </c>
      <c r="X2087" s="508">
        <v>4.7930000000000001</v>
      </c>
      <c r="Y2087" s="508">
        <v>4.5199999999999996</v>
      </c>
      <c r="Z2087" s="508">
        <v>3.4740000000000002</v>
      </c>
      <c r="AA2087" s="508">
        <v>3.4</v>
      </c>
      <c r="AB2087" s="508">
        <v>3.0870000000000002</v>
      </c>
      <c r="AC2087" s="508">
        <v>3.0329999999999999</v>
      </c>
      <c r="AD2087" s="508">
        <v>2.4340000000000002</v>
      </c>
      <c r="AE2087" s="508">
        <v>2.4129999999999998</v>
      </c>
      <c r="AF2087" s="508">
        <v>1.2010000000000001</v>
      </c>
      <c r="AG2087" s="508">
        <v>1.1930000000000001</v>
      </c>
      <c r="AH2087" s="508">
        <v>1.1850000000000001</v>
      </c>
      <c r="AI2087" s="492">
        <v>1.1779999999999999</v>
      </c>
      <c r="AJ2087" s="485"/>
    </row>
    <row r="2088" spans="2:36">
      <c r="B2088" s="136" t="s">
        <v>461</v>
      </c>
      <c r="C2088" s="132" t="s">
        <v>1366</v>
      </c>
      <c r="D2088" s="132" t="s">
        <v>282</v>
      </c>
      <c r="E2088" s="508">
        <v>37.722999999999999</v>
      </c>
      <c r="F2088" s="508">
        <v>26.265000000000001</v>
      </c>
      <c r="G2088" s="508">
        <v>26.18</v>
      </c>
      <c r="H2088" s="508">
        <v>26.038</v>
      </c>
      <c r="I2088" s="508">
        <v>25.849</v>
      </c>
      <c r="J2088" s="508">
        <v>18.102</v>
      </c>
      <c r="K2088" s="508">
        <v>17.927</v>
      </c>
      <c r="L2088" s="508">
        <v>17.739000000000001</v>
      </c>
      <c r="M2088" s="508">
        <v>17.542999999999999</v>
      </c>
      <c r="N2088" s="508">
        <v>14.512</v>
      </c>
      <c r="O2088" s="508">
        <v>14.329000000000001</v>
      </c>
      <c r="P2088" s="508">
        <v>9.51</v>
      </c>
      <c r="Q2088" s="508">
        <v>9.3849999999999998</v>
      </c>
      <c r="R2088" s="508">
        <v>9.2650000000000006</v>
      </c>
      <c r="S2088" s="508">
        <v>9.1509999999999998</v>
      </c>
      <c r="T2088" s="508">
        <v>9.0429999999999993</v>
      </c>
      <c r="U2088" s="508">
        <v>5.35</v>
      </c>
      <c r="V2088" s="508">
        <v>5.1130000000000004</v>
      </c>
      <c r="W2088" s="508">
        <v>5.0510000000000002</v>
      </c>
      <c r="X2088" s="508">
        <v>4.7270000000000003</v>
      </c>
      <c r="Y2088" s="508">
        <v>4.4580000000000002</v>
      </c>
      <c r="Z2088" s="508">
        <v>3.43</v>
      </c>
      <c r="AA2088" s="508">
        <v>3.3580000000000001</v>
      </c>
      <c r="AB2088" s="508">
        <v>3.05</v>
      </c>
      <c r="AC2088" s="508">
        <v>2.996</v>
      </c>
      <c r="AD2088" s="508">
        <v>2.4060000000000001</v>
      </c>
      <c r="AE2088" s="508">
        <v>2.3849999999999998</v>
      </c>
      <c r="AF2088" s="508">
        <v>1.1890000000000001</v>
      </c>
      <c r="AG2088" s="508">
        <v>1.18</v>
      </c>
      <c r="AH2088" s="508">
        <v>1.1719999999999999</v>
      </c>
      <c r="AI2088" s="492">
        <v>1.165</v>
      </c>
      <c r="AJ2088" s="485"/>
    </row>
    <row r="2089" spans="2:36">
      <c r="B2089" s="136" t="s">
        <v>462</v>
      </c>
      <c r="C2089" s="132" t="s">
        <v>1366</v>
      </c>
      <c r="D2089" s="132" t="s">
        <v>282</v>
      </c>
      <c r="E2089" s="508">
        <v>38.134999999999998</v>
      </c>
      <c r="F2089" s="508">
        <v>26.556000000000001</v>
      </c>
      <c r="G2089" s="508">
        <v>26.449000000000002</v>
      </c>
      <c r="H2089" s="508">
        <v>26.321000000000002</v>
      </c>
      <c r="I2089" s="508">
        <v>26.114999999999998</v>
      </c>
      <c r="J2089" s="508">
        <v>18.123000000000001</v>
      </c>
      <c r="K2089" s="508">
        <v>17.946999999999999</v>
      </c>
      <c r="L2089" s="508">
        <v>17.759</v>
      </c>
      <c r="M2089" s="508">
        <v>17.564</v>
      </c>
      <c r="N2089" s="508">
        <v>14.65</v>
      </c>
      <c r="O2089" s="508">
        <v>14.465999999999999</v>
      </c>
      <c r="P2089" s="508">
        <v>9.5470000000000006</v>
      </c>
      <c r="Q2089" s="508">
        <v>9.4220000000000006</v>
      </c>
      <c r="R2089" s="508">
        <v>9.3040000000000003</v>
      </c>
      <c r="S2089" s="508">
        <v>9.1880000000000006</v>
      </c>
      <c r="T2089" s="508">
        <v>9.0779999999999994</v>
      </c>
      <c r="U2089" s="508">
        <v>5.3639999999999999</v>
      </c>
      <c r="V2089" s="508">
        <v>5.1230000000000002</v>
      </c>
      <c r="W2089" s="508">
        <v>5.0599999999999996</v>
      </c>
      <c r="X2089" s="508">
        <v>4.7300000000000004</v>
      </c>
      <c r="Y2089" s="508">
        <v>4.4580000000000002</v>
      </c>
      <c r="Z2089" s="508">
        <v>3.4289999999999998</v>
      </c>
      <c r="AA2089" s="508">
        <v>3.355</v>
      </c>
      <c r="AB2089" s="508">
        <v>3.044</v>
      </c>
      <c r="AC2089" s="508">
        <v>2.9889999999999999</v>
      </c>
      <c r="AD2089" s="508">
        <v>2.3969999999999998</v>
      </c>
      <c r="AE2089" s="508">
        <v>2.3759999999999999</v>
      </c>
      <c r="AF2089" s="508">
        <v>1.1830000000000001</v>
      </c>
      <c r="AG2089" s="508">
        <v>1.1739999999999999</v>
      </c>
      <c r="AH2089" s="508">
        <v>1.1659999999999999</v>
      </c>
      <c r="AI2089" s="492">
        <v>1.1579999999999999</v>
      </c>
      <c r="AJ2089" s="485"/>
    </row>
    <row r="2090" spans="2:36">
      <c r="B2090" s="136" t="s">
        <v>463</v>
      </c>
      <c r="C2090" s="132" t="s">
        <v>1366</v>
      </c>
      <c r="D2090" s="132" t="s">
        <v>282</v>
      </c>
      <c r="E2090" s="508">
        <v>37.229999999999997</v>
      </c>
      <c r="F2090" s="508">
        <v>26.132000000000001</v>
      </c>
      <c r="G2090" s="508">
        <v>26.045999999999999</v>
      </c>
      <c r="H2090" s="508">
        <v>25.902000000000001</v>
      </c>
      <c r="I2090" s="508">
        <v>25.712</v>
      </c>
      <c r="J2090" s="508">
        <v>18.117999999999999</v>
      </c>
      <c r="K2090" s="508">
        <v>17.940999999999999</v>
      </c>
      <c r="L2090" s="508">
        <v>17.751000000000001</v>
      </c>
      <c r="M2090" s="508">
        <v>17.553000000000001</v>
      </c>
      <c r="N2090" s="508">
        <v>14.625</v>
      </c>
      <c r="O2090" s="508">
        <v>14.44</v>
      </c>
      <c r="P2090" s="508">
        <v>9.6150000000000002</v>
      </c>
      <c r="Q2090" s="508">
        <v>9.4890000000000008</v>
      </c>
      <c r="R2090" s="508">
        <v>9.3680000000000003</v>
      </c>
      <c r="S2090" s="508">
        <v>9.2520000000000007</v>
      </c>
      <c r="T2090" s="508">
        <v>9.1430000000000007</v>
      </c>
      <c r="U2090" s="508">
        <v>5.415</v>
      </c>
      <c r="V2090" s="508">
        <v>5.1760000000000002</v>
      </c>
      <c r="W2090" s="508">
        <v>5.1029999999999998</v>
      </c>
      <c r="X2090" s="508">
        <v>4.7759999999999998</v>
      </c>
      <c r="Y2090" s="508">
        <v>4.5190000000000001</v>
      </c>
      <c r="Z2090" s="508">
        <v>3.484</v>
      </c>
      <c r="AA2090" s="508">
        <v>3.4239999999999999</v>
      </c>
      <c r="AB2090" s="508">
        <v>3.1280000000000001</v>
      </c>
      <c r="AC2090" s="508">
        <v>3.0739999999999998</v>
      </c>
      <c r="AD2090" s="508">
        <v>2.4830000000000001</v>
      </c>
      <c r="AE2090" s="508">
        <v>2.4620000000000002</v>
      </c>
      <c r="AF2090" s="508">
        <v>1.2370000000000001</v>
      </c>
      <c r="AG2090" s="508">
        <v>1.2270000000000001</v>
      </c>
      <c r="AH2090" s="508">
        <v>1.2190000000000001</v>
      </c>
      <c r="AI2090" s="492">
        <v>1.212</v>
      </c>
      <c r="AJ2090" s="485"/>
    </row>
    <row r="2091" spans="2:36">
      <c r="B2091" s="136" t="s">
        <v>464</v>
      </c>
      <c r="C2091" s="132" t="s">
        <v>1366</v>
      </c>
      <c r="D2091" s="132" t="s">
        <v>282</v>
      </c>
      <c r="E2091" s="508">
        <v>37.435000000000002</v>
      </c>
      <c r="F2091" s="508">
        <v>26.27</v>
      </c>
      <c r="G2091" s="508">
        <v>26.181000000000001</v>
      </c>
      <c r="H2091" s="508">
        <v>26.033000000000001</v>
      </c>
      <c r="I2091" s="508">
        <v>25.835999999999999</v>
      </c>
      <c r="J2091" s="508">
        <v>17.882000000000001</v>
      </c>
      <c r="K2091" s="508">
        <v>17.7</v>
      </c>
      <c r="L2091" s="508">
        <v>17.504000000000001</v>
      </c>
      <c r="M2091" s="508">
        <v>17.298999999999999</v>
      </c>
      <c r="N2091" s="508">
        <v>14.593999999999999</v>
      </c>
      <c r="O2091" s="508">
        <v>14.404</v>
      </c>
      <c r="P2091" s="508">
        <v>9.48</v>
      </c>
      <c r="Q2091" s="508">
        <v>9.35</v>
      </c>
      <c r="R2091" s="508">
        <v>9.2249999999999996</v>
      </c>
      <c r="S2091" s="508">
        <v>9.1069999999999993</v>
      </c>
      <c r="T2091" s="508">
        <v>8.9939999999999998</v>
      </c>
      <c r="U2091" s="508">
        <v>5.343</v>
      </c>
      <c r="V2091" s="508">
        <v>5.0979999999999999</v>
      </c>
      <c r="W2091" s="508">
        <v>5.0209999999999999</v>
      </c>
      <c r="X2091" s="508">
        <v>4.6849999999999996</v>
      </c>
      <c r="Y2091" s="508">
        <v>4.4240000000000004</v>
      </c>
      <c r="Z2091" s="508">
        <v>3.411</v>
      </c>
      <c r="AA2091" s="508">
        <v>3.3439999999999999</v>
      </c>
      <c r="AB2091" s="508">
        <v>3.0459999999999998</v>
      </c>
      <c r="AC2091" s="508">
        <v>2.99</v>
      </c>
      <c r="AD2091" s="508">
        <v>2.407</v>
      </c>
      <c r="AE2091" s="508">
        <v>2.3849999999999998</v>
      </c>
      <c r="AF2091" s="508">
        <v>1.194</v>
      </c>
      <c r="AG2091" s="508">
        <v>1.1850000000000001</v>
      </c>
      <c r="AH2091" s="508">
        <v>1.177</v>
      </c>
      <c r="AI2091" s="492">
        <v>1.169</v>
      </c>
      <c r="AJ2091" s="485"/>
    </row>
    <row r="2092" spans="2:36">
      <c r="B2092" s="136" t="s">
        <v>465</v>
      </c>
      <c r="C2092" s="132" t="s">
        <v>1366</v>
      </c>
      <c r="D2092" s="132" t="s">
        <v>282</v>
      </c>
      <c r="E2092" s="508">
        <v>37.710999999999999</v>
      </c>
      <c r="F2092" s="508">
        <v>26.411999999999999</v>
      </c>
      <c r="G2092" s="508">
        <v>26.324000000000002</v>
      </c>
      <c r="H2092" s="508">
        <v>26.178999999999998</v>
      </c>
      <c r="I2092" s="508">
        <v>25.986999999999998</v>
      </c>
      <c r="J2092" s="508">
        <v>18.172000000000001</v>
      </c>
      <c r="K2092" s="508">
        <v>17.992999999999999</v>
      </c>
      <c r="L2092" s="508">
        <v>17.800999999999998</v>
      </c>
      <c r="M2092" s="508">
        <v>17.600999999999999</v>
      </c>
      <c r="N2092" s="508">
        <v>14.702</v>
      </c>
      <c r="O2092" s="508">
        <v>14.515000000000001</v>
      </c>
      <c r="P2092" s="508">
        <v>9.6010000000000009</v>
      </c>
      <c r="Q2092" s="508">
        <v>9.4730000000000008</v>
      </c>
      <c r="R2092" s="508">
        <v>9.3510000000000009</v>
      </c>
      <c r="S2092" s="508">
        <v>9.2349999999999994</v>
      </c>
      <c r="T2092" s="508">
        <v>9.125</v>
      </c>
      <c r="U2092" s="508">
        <v>5.4050000000000002</v>
      </c>
      <c r="V2092" s="508">
        <v>5.1639999999999997</v>
      </c>
      <c r="W2092" s="508">
        <v>5.0940000000000003</v>
      </c>
      <c r="X2092" s="508">
        <v>4.7640000000000002</v>
      </c>
      <c r="Y2092" s="508">
        <v>4.5</v>
      </c>
      <c r="Z2092" s="508">
        <v>3.4660000000000002</v>
      </c>
      <c r="AA2092" s="508">
        <v>3.399</v>
      </c>
      <c r="AB2092" s="508">
        <v>3.0960000000000001</v>
      </c>
      <c r="AC2092" s="508">
        <v>3.0409999999999999</v>
      </c>
      <c r="AD2092" s="508">
        <v>2.4489999999999998</v>
      </c>
      <c r="AE2092" s="508">
        <v>2.427</v>
      </c>
      <c r="AF2092" s="508">
        <v>1.2150000000000001</v>
      </c>
      <c r="AG2092" s="508">
        <v>1.206</v>
      </c>
      <c r="AH2092" s="508">
        <v>1.1970000000000001</v>
      </c>
      <c r="AI2092" s="492">
        <v>1.19</v>
      </c>
      <c r="AJ2092" s="485"/>
    </row>
    <row r="2093" spans="2:36">
      <c r="B2093" s="136" t="s">
        <v>466</v>
      </c>
      <c r="C2093" s="132" t="s">
        <v>1366</v>
      </c>
      <c r="D2093" s="132" t="s">
        <v>282</v>
      </c>
      <c r="E2093" s="508">
        <v>38.656999999999996</v>
      </c>
      <c r="F2093" s="508">
        <v>26.748000000000001</v>
      </c>
      <c r="G2093" s="508">
        <v>26.664999999999999</v>
      </c>
      <c r="H2093" s="508">
        <v>26.526</v>
      </c>
      <c r="I2093" s="508">
        <v>26.341999999999999</v>
      </c>
      <c r="J2093" s="508">
        <v>18.582999999999998</v>
      </c>
      <c r="K2093" s="508">
        <v>18.413</v>
      </c>
      <c r="L2093" s="508">
        <v>18.228999999999999</v>
      </c>
      <c r="M2093" s="508">
        <v>18.038</v>
      </c>
      <c r="N2093" s="508">
        <v>14.718</v>
      </c>
      <c r="O2093" s="508">
        <v>14.539</v>
      </c>
      <c r="P2093" s="508">
        <v>9.6590000000000007</v>
      </c>
      <c r="Q2093" s="508">
        <v>9.5370000000000008</v>
      </c>
      <c r="R2093" s="508">
        <v>9.4209999999999994</v>
      </c>
      <c r="S2093" s="508">
        <v>9.31</v>
      </c>
      <c r="T2093" s="508">
        <v>9.2040000000000006</v>
      </c>
      <c r="U2093" s="508">
        <v>5.4240000000000004</v>
      </c>
      <c r="V2093" s="508">
        <v>5.19</v>
      </c>
      <c r="W2093" s="508">
        <v>5.1420000000000003</v>
      </c>
      <c r="X2093" s="508">
        <v>4.8250000000000002</v>
      </c>
      <c r="Y2093" s="508">
        <v>4.5439999999999996</v>
      </c>
      <c r="Z2093" s="508">
        <v>3.4860000000000002</v>
      </c>
      <c r="AA2093" s="508">
        <v>3.4060000000000001</v>
      </c>
      <c r="AB2093" s="508">
        <v>3.0830000000000002</v>
      </c>
      <c r="AC2093" s="508">
        <v>3.0289999999999999</v>
      </c>
      <c r="AD2093" s="508">
        <v>2.4239999999999999</v>
      </c>
      <c r="AE2093" s="508">
        <v>2.4039999999999999</v>
      </c>
      <c r="AF2093" s="508">
        <v>1.1910000000000001</v>
      </c>
      <c r="AG2093" s="508">
        <v>1.1830000000000001</v>
      </c>
      <c r="AH2093" s="508">
        <v>1.175</v>
      </c>
      <c r="AI2093" s="492">
        <v>1.1679999999999999</v>
      </c>
      <c r="AJ2093" s="485"/>
    </row>
    <row r="2094" spans="2:36">
      <c r="B2094" s="136" t="s">
        <v>467</v>
      </c>
      <c r="C2094" s="132" t="s">
        <v>1366</v>
      </c>
      <c r="D2094" s="132" t="s">
        <v>282</v>
      </c>
      <c r="E2094" s="508">
        <v>37.683</v>
      </c>
      <c r="F2094" s="508">
        <v>26.254000000000001</v>
      </c>
      <c r="G2094" s="508">
        <v>26.167000000000002</v>
      </c>
      <c r="H2094" s="508">
        <v>26.024999999999999</v>
      </c>
      <c r="I2094" s="508">
        <v>25.834</v>
      </c>
      <c r="J2094" s="508">
        <v>18.05</v>
      </c>
      <c r="K2094" s="508">
        <v>17.873999999999999</v>
      </c>
      <c r="L2094" s="508">
        <v>17.684999999999999</v>
      </c>
      <c r="M2094" s="508">
        <v>17.486999999999998</v>
      </c>
      <c r="N2094" s="508">
        <v>14.502000000000001</v>
      </c>
      <c r="O2094" s="508">
        <v>14.318</v>
      </c>
      <c r="P2094" s="508">
        <v>9.49</v>
      </c>
      <c r="Q2094" s="508">
        <v>9.3640000000000008</v>
      </c>
      <c r="R2094" s="508">
        <v>9.2439999999999998</v>
      </c>
      <c r="S2094" s="508">
        <v>9.1289999999999996</v>
      </c>
      <c r="T2094" s="508">
        <v>9.0210000000000008</v>
      </c>
      <c r="U2094" s="508">
        <v>5.34</v>
      </c>
      <c r="V2094" s="508">
        <v>5.1020000000000003</v>
      </c>
      <c r="W2094" s="508">
        <v>5.0380000000000003</v>
      </c>
      <c r="X2094" s="508">
        <v>4.7119999999999997</v>
      </c>
      <c r="Y2094" s="508">
        <v>4.4450000000000003</v>
      </c>
      <c r="Z2094" s="508">
        <v>3.42</v>
      </c>
      <c r="AA2094" s="508">
        <v>3.3479999999999999</v>
      </c>
      <c r="AB2094" s="508">
        <v>3.0409999999999999</v>
      </c>
      <c r="AC2094" s="508">
        <v>2.9870000000000001</v>
      </c>
      <c r="AD2094" s="508">
        <v>2.3980000000000001</v>
      </c>
      <c r="AE2094" s="508">
        <v>2.3769999999999998</v>
      </c>
      <c r="AF2094" s="508">
        <v>1.1850000000000001</v>
      </c>
      <c r="AG2094" s="508">
        <v>1.1759999999999999</v>
      </c>
      <c r="AH2094" s="508">
        <v>1.1679999999999999</v>
      </c>
      <c r="AI2094" s="492">
        <v>1.161</v>
      </c>
      <c r="AJ2094" s="485"/>
    </row>
    <row r="2095" spans="2:36">
      <c r="B2095" s="136" t="s">
        <v>468</v>
      </c>
      <c r="C2095" s="132" t="s">
        <v>1366</v>
      </c>
      <c r="D2095" s="132" t="s">
        <v>282</v>
      </c>
      <c r="E2095" s="508">
        <v>37.308999999999997</v>
      </c>
      <c r="F2095" s="508">
        <v>26.263000000000002</v>
      </c>
      <c r="G2095" s="508">
        <v>26.175999999999998</v>
      </c>
      <c r="H2095" s="508">
        <v>26.033000000000001</v>
      </c>
      <c r="I2095" s="508">
        <v>25.841999999999999</v>
      </c>
      <c r="J2095" s="508">
        <v>18.140999999999998</v>
      </c>
      <c r="K2095" s="508">
        <v>17.965</v>
      </c>
      <c r="L2095" s="508">
        <v>17.774999999999999</v>
      </c>
      <c r="M2095" s="508">
        <v>17.577000000000002</v>
      </c>
      <c r="N2095" s="508">
        <v>14.755000000000001</v>
      </c>
      <c r="O2095" s="508">
        <v>14.57</v>
      </c>
      <c r="P2095" s="508">
        <v>9.6430000000000007</v>
      </c>
      <c r="Q2095" s="508">
        <v>9.5169999999999995</v>
      </c>
      <c r="R2095" s="508">
        <v>9.3960000000000008</v>
      </c>
      <c r="S2095" s="508">
        <v>9.2810000000000006</v>
      </c>
      <c r="T2095" s="508">
        <v>9.1720000000000006</v>
      </c>
      <c r="U2095" s="508">
        <v>5.4180000000000001</v>
      </c>
      <c r="V2095" s="508">
        <v>5.1790000000000003</v>
      </c>
      <c r="W2095" s="508">
        <v>5.1059999999999999</v>
      </c>
      <c r="X2095" s="508">
        <v>4.7789999999999999</v>
      </c>
      <c r="Y2095" s="508">
        <v>4.5229999999999997</v>
      </c>
      <c r="Z2095" s="508">
        <v>3.488</v>
      </c>
      <c r="AA2095" s="508">
        <v>3.4289999999999998</v>
      </c>
      <c r="AB2095" s="508">
        <v>3.1349999999999998</v>
      </c>
      <c r="AC2095" s="508">
        <v>3.081</v>
      </c>
      <c r="AD2095" s="508">
        <v>2.4900000000000002</v>
      </c>
      <c r="AE2095" s="508">
        <v>2.468</v>
      </c>
      <c r="AF2095" s="508">
        <v>1.2410000000000001</v>
      </c>
      <c r="AG2095" s="508">
        <v>1.232</v>
      </c>
      <c r="AH2095" s="508">
        <v>1.224</v>
      </c>
      <c r="AI2095" s="492">
        <v>1.216</v>
      </c>
      <c r="AJ2095" s="485"/>
    </row>
    <row r="2096" spans="2:36">
      <c r="B2096" s="136" t="s">
        <v>469</v>
      </c>
      <c r="C2096" s="132" t="s">
        <v>1366</v>
      </c>
      <c r="D2096" s="132" t="s">
        <v>282</v>
      </c>
      <c r="E2096" s="508">
        <v>37.805999999999997</v>
      </c>
      <c r="F2096" s="508">
        <v>26.417999999999999</v>
      </c>
      <c r="G2096" s="508">
        <v>26.33</v>
      </c>
      <c r="H2096" s="508">
        <v>26.186</v>
      </c>
      <c r="I2096" s="508">
        <v>25.992999999999999</v>
      </c>
      <c r="J2096" s="508">
        <v>18.132999999999999</v>
      </c>
      <c r="K2096" s="508">
        <v>17.954999999999998</v>
      </c>
      <c r="L2096" s="508">
        <v>17.763999999999999</v>
      </c>
      <c r="M2096" s="508">
        <v>17.564</v>
      </c>
      <c r="N2096" s="508">
        <v>14.647</v>
      </c>
      <c r="O2096" s="508">
        <v>14.46</v>
      </c>
      <c r="P2096" s="508">
        <v>9.5559999999999992</v>
      </c>
      <c r="Q2096" s="508">
        <v>9.4280000000000008</v>
      </c>
      <c r="R2096" s="508">
        <v>9.3059999999999992</v>
      </c>
      <c r="S2096" s="508">
        <v>9.19</v>
      </c>
      <c r="T2096" s="508">
        <v>9.08</v>
      </c>
      <c r="U2096" s="508">
        <v>5.3789999999999996</v>
      </c>
      <c r="V2096" s="508">
        <v>5.1369999999999996</v>
      </c>
      <c r="W2096" s="508">
        <v>5.07</v>
      </c>
      <c r="X2096" s="508">
        <v>4.7409999999999997</v>
      </c>
      <c r="Y2096" s="508">
        <v>4.4740000000000002</v>
      </c>
      <c r="Z2096" s="508">
        <v>3.444</v>
      </c>
      <c r="AA2096" s="508">
        <v>3.3740000000000001</v>
      </c>
      <c r="AB2096" s="508">
        <v>3.0680000000000001</v>
      </c>
      <c r="AC2096" s="508">
        <v>3.0129999999999999</v>
      </c>
      <c r="AD2096" s="508">
        <v>2.4220000000000002</v>
      </c>
      <c r="AE2096" s="508">
        <v>2.4009999999999998</v>
      </c>
      <c r="AF2096" s="508">
        <v>1.1990000000000001</v>
      </c>
      <c r="AG2096" s="508">
        <v>1.19</v>
      </c>
      <c r="AH2096" s="508">
        <v>1.181</v>
      </c>
      <c r="AI2096" s="492">
        <v>1.1739999999999999</v>
      </c>
      <c r="AJ2096" s="485"/>
    </row>
    <row r="2097" spans="2:36">
      <c r="B2097" s="136" t="s">
        <v>470</v>
      </c>
      <c r="C2097" s="132" t="s">
        <v>1366</v>
      </c>
      <c r="D2097" s="132" t="s">
        <v>282</v>
      </c>
      <c r="E2097" s="508">
        <v>38.112000000000002</v>
      </c>
      <c r="F2097" s="508">
        <v>26.454999999999998</v>
      </c>
      <c r="G2097" s="508">
        <v>26.370999999999999</v>
      </c>
      <c r="H2097" s="508">
        <v>26.231999999999999</v>
      </c>
      <c r="I2097" s="508">
        <v>26.047000000000001</v>
      </c>
      <c r="J2097" s="508">
        <v>18.405000000000001</v>
      </c>
      <c r="K2097" s="508">
        <v>18.234000000000002</v>
      </c>
      <c r="L2097" s="508">
        <v>18.048999999999999</v>
      </c>
      <c r="M2097" s="508">
        <v>17.856999999999999</v>
      </c>
      <c r="N2097" s="508">
        <v>14.618</v>
      </c>
      <c r="O2097" s="508">
        <v>14.439</v>
      </c>
      <c r="P2097" s="508">
        <v>9.6219999999999999</v>
      </c>
      <c r="Q2097" s="508">
        <v>9.4990000000000006</v>
      </c>
      <c r="R2097" s="508">
        <v>9.3819999999999997</v>
      </c>
      <c r="S2097" s="508">
        <v>9.2710000000000008</v>
      </c>
      <c r="T2097" s="508">
        <v>9.1649999999999991</v>
      </c>
      <c r="U2097" s="508">
        <v>5.407</v>
      </c>
      <c r="V2097" s="508">
        <v>5.173</v>
      </c>
      <c r="W2097" s="508">
        <v>5.1189999999999998</v>
      </c>
      <c r="X2097" s="508">
        <v>4.8010000000000002</v>
      </c>
      <c r="Y2097" s="508">
        <v>4.5279999999999996</v>
      </c>
      <c r="Z2097" s="508">
        <v>3.4790000000000001</v>
      </c>
      <c r="AA2097" s="508">
        <v>3.4049999999999998</v>
      </c>
      <c r="AB2097" s="508">
        <v>3.0910000000000002</v>
      </c>
      <c r="AC2097" s="508">
        <v>3.0369999999999999</v>
      </c>
      <c r="AD2097" s="508">
        <v>2.4369999999999998</v>
      </c>
      <c r="AE2097" s="508">
        <v>2.4169999999999998</v>
      </c>
      <c r="AF2097" s="508">
        <v>1.2030000000000001</v>
      </c>
      <c r="AG2097" s="508">
        <v>1.194</v>
      </c>
      <c r="AH2097" s="508">
        <v>1.1859999999999999</v>
      </c>
      <c r="AI2097" s="492">
        <v>1.179</v>
      </c>
      <c r="AJ2097" s="485"/>
    </row>
    <row r="2098" spans="2:36">
      <c r="B2098" s="136" t="s">
        <v>471</v>
      </c>
      <c r="C2098" s="132" t="s">
        <v>1366</v>
      </c>
      <c r="D2098" s="132" t="s">
        <v>282</v>
      </c>
      <c r="E2098" s="508">
        <v>37.918999999999997</v>
      </c>
      <c r="F2098" s="508">
        <v>26.343</v>
      </c>
      <c r="G2098" s="508">
        <v>26.257999999999999</v>
      </c>
      <c r="H2098" s="508">
        <v>26.117000000000001</v>
      </c>
      <c r="I2098" s="508">
        <v>25.928999999999998</v>
      </c>
      <c r="J2098" s="508">
        <v>18.167000000000002</v>
      </c>
      <c r="K2098" s="508">
        <v>17.992999999999999</v>
      </c>
      <c r="L2098" s="508">
        <v>17.806000000000001</v>
      </c>
      <c r="M2098" s="508">
        <v>17.611000000000001</v>
      </c>
      <c r="N2098" s="508">
        <v>14.518000000000001</v>
      </c>
      <c r="O2098" s="508">
        <v>14.336</v>
      </c>
      <c r="P2098" s="508">
        <v>9.5139999999999993</v>
      </c>
      <c r="Q2098" s="508">
        <v>9.39</v>
      </c>
      <c r="R2098" s="508">
        <v>9.2710000000000008</v>
      </c>
      <c r="S2098" s="508">
        <v>9.1579999999999995</v>
      </c>
      <c r="T2098" s="508">
        <v>9.0510000000000002</v>
      </c>
      <c r="U2098" s="508">
        <v>5.351</v>
      </c>
      <c r="V2098" s="508">
        <v>5.1139999999999999</v>
      </c>
      <c r="W2098" s="508">
        <v>5.0549999999999997</v>
      </c>
      <c r="X2098" s="508">
        <v>4.7329999999999997</v>
      </c>
      <c r="Y2098" s="508">
        <v>4.4610000000000003</v>
      </c>
      <c r="Z2098" s="508">
        <v>3.4289999999999998</v>
      </c>
      <c r="AA2098" s="508">
        <v>3.355</v>
      </c>
      <c r="AB2098" s="508">
        <v>3.0430000000000001</v>
      </c>
      <c r="AC2098" s="508">
        <v>2.9889999999999999</v>
      </c>
      <c r="AD2098" s="508">
        <v>2.3969999999999998</v>
      </c>
      <c r="AE2098" s="508">
        <v>2.3759999999999999</v>
      </c>
      <c r="AF2098" s="508">
        <v>1.1819999999999999</v>
      </c>
      <c r="AG2098" s="508">
        <v>1.173</v>
      </c>
      <c r="AH2098" s="508">
        <v>1.165</v>
      </c>
      <c r="AI2098" s="492">
        <v>1.1579999999999999</v>
      </c>
      <c r="AJ2098" s="485"/>
    </row>
    <row r="2099" spans="2:36">
      <c r="B2099" s="136" t="s">
        <v>472</v>
      </c>
      <c r="C2099" s="132" t="s">
        <v>1366</v>
      </c>
      <c r="D2099" s="132" t="s">
        <v>282</v>
      </c>
      <c r="E2099" s="508">
        <v>37.331000000000003</v>
      </c>
      <c r="F2099" s="508">
        <v>26.172000000000001</v>
      </c>
      <c r="G2099" s="508">
        <v>26.082999999999998</v>
      </c>
      <c r="H2099" s="508">
        <v>25.934999999999999</v>
      </c>
      <c r="I2099" s="508">
        <v>25.739000000000001</v>
      </c>
      <c r="J2099" s="508">
        <v>17.792000000000002</v>
      </c>
      <c r="K2099" s="508">
        <v>17.61</v>
      </c>
      <c r="L2099" s="508">
        <v>17.414000000000001</v>
      </c>
      <c r="M2099" s="508">
        <v>17.21</v>
      </c>
      <c r="N2099" s="508">
        <v>14.51</v>
      </c>
      <c r="O2099" s="508">
        <v>14.32</v>
      </c>
      <c r="P2099" s="508">
        <v>9.4290000000000003</v>
      </c>
      <c r="Q2099" s="508">
        <v>9.2989999999999995</v>
      </c>
      <c r="R2099" s="508">
        <v>9.1739999999999995</v>
      </c>
      <c r="S2099" s="508">
        <v>9.0549999999999997</v>
      </c>
      <c r="T2099" s="508">
        <v>8.9429999999999996</v>
      </c>
      <c r="U2099" s="508">
        <v>5.3140000000000001</v>
      </c>
      <c r="V2099" s="508">
        <v>5.069</v>
      </c>
      <c r="W2099" s="508">
        <v>4.9939999999999998</v>
      </c>
      <c r="X2099" s="508">
        <v>4.6580000000000004</v>
      </c>
      <c r="Y2099" s="508">
        <v>4.3970000000000002</v>
      </c>
      <c r="Z2099" s="508">
        <v>3.39</v>
      </c>
      <c r="AA2099" s="508">
        <v>3.3220000000000001</v>
      </c>
      <c r="AB2099" s="508">
        <v>3.024</v>
      </c>
      <c r="AC2099" s="508">
        <v>2.9689999999999999</v>
      </c>
      <c r="AD2099" s="508">
        <v>2.3879999999999999</v>
      </c>
      <c r="AE2099" s="508">
        <v>2.367</v>
      </c>
      <c r="AF2099" s="508">
        <v>1.1839999999999999</v>
      </c>
      <c r="AG2099" s="508">
        <v>1.175</v>
      </c>
      <c r="AH2099" s="508">
        <v>1.167</v>
      </c>
      <c r="AI2099" s="492">
        <v>1.159</v>
      </c>
      <c r="AJ2099" s="485"/>
    </row>
    <row r="2100" spans="2:36">
      <c r="B2100" s="136" t="s">
        <v>473</v>
      </c>
      <c r="C2100" s="132" t="s">
        <v>1366</v>
      </c>
      <c r="D2100" s="132" t="s">
        <v>282</v>
      </c>
      <c r="E2100" s="508">
        <v>38.279000000000003</v>
      </c>
      <c r="F2100" s="508">
        <v>26.529</v>
      </c>
      <c r="G2100" s="508">
        <v>26.445</v>
      </c>
      <c r="H2100" s="508">
        <v>26.305</v>
      </c>
      <c r="I2100" s="508">
        <v>26.119</v>
      </c>
      <c r="J2100" s="508">
        <v>18.356999999999999</v>
      </c>
      <c r="K2100" s="508">
        <v>18.184999999999999</v>
      </c>
      <c r="L2100" s="508">
        <v>17.998999999999999</v>
      </c>
      <c r="M2100" s="508">
        <v>17.806000000000001</v>
      </c>
      <c r="N2100" s="508">
        <v>14.598000000000001</v>
      </c>
      <c r="O2100" s="508">
        <v>14.417999999999999</v>
      </c>
      <c r="P2100" s="508">
        <v>9.5739999999999998</v>
      </c>
      <c r="Q2100" s="508">
        <v>9.4510000000000005</v>
      </c>
      <c r="R2100" s="508">
        <v>9.3330000000000002</v>
      </c>
      <c r="S2100" s="508">
        <v>9.2210000000000001</v>
      </c>
      <c r="T2100" s="508">
        <v>9.1150000000000002</v>
      </c>
      <c r="U2100" s="508">
        <v>5.38</v>
      </c>
      <c r="V2100" s="508">
        <v>5.1449999999999996</v>
      </c>
      <c r="W2100" s="508">
        <v>5.0919999999999996</v>
      </c>
      <c r="X2100" s="508">
        <v>4.7729999999999997</v>
      </c>
      <c r="Y2100" s="508">
        <v>4.4960000000000004</v>
      </c>
      <c r="Z2100" s="508">
        <v>3.452</v>
      </c>
      <c r="AA2100" s="508">
        <v>3.3740000000000001</v>
      </c>
      <c r="AB2100" s="508">
        <v>3.0569999999999999</v>
      </c>
      <c r="AC2100" s="508">
        <v>3.0030000000000001</v>
      </c>
      <c r="AD2100" s="508">
        <v>2.4049999999999998</v>
      </c>
      <c r="AE2100" s="508">
        <v>2.3839999999999999</v>
      </c>
      <c r="AF2100" s="508">
        <v>1.1839999999999999</v>
      </c>
      <c r="AG2100" s="508">
        <v>1.175</v>
      </c>
      <c r="AH2100" s="508">
        <v>1.167</v>
      </c>
      <c r="AI2100" s="492">
        <v>1.1599999999999999</v>
      </c>
      <c r="AJ2100" s="485"/>
    </row>
    <row r="2101" spans="2:36">
      <c r="B2101" s="136" t="s">
        <v>474</v>
      </c>
      <c r="C2101" s="132" t="s">
        <v>1366</v>
      </c>
      <c r="D2101" s="132" t="s">
        <v>282</v>
      </c>
      <c r="E2101" s="508">
        <v>37.941000000000003</v>
      </c>
      <c r="F2101" s="508">
        <v>26.405000000000001</v>
      </c>
      <c r="G2101" s="508">
        <v>26.318999999999999</v>
      </c>
      <c r="H2101" s="508">
        <v>26.177</v>
      </c>
      <c r="I2101" s="508">
        <v>25.988</v>
      </c>
      <c r="J2101" s="508">
        <v>18.178000000000001</v>
      </c>
      <c r="K2101" s="508">
        <v>18.001999999999999</v>
      </c>
      <c r="L2101" s="508">
        <v>17.812999999999999</v>
      </c>
      <c r="M2101" s="508">
        <v>17.617000000000001</v>
      </c>
      <c r="N2101" s="508">
        <v>14.577999999999999</v>
      </c>
      <c r="O2101" s="508">
        <v>14.394</v>
      </c>
      <c r="P2101" s="508">
        <v>9.5350000000000001</v>
      </c>
      <c r="Q2101" s="508">
        <v>9.41</v>
      </c>
      <c r="R2101" s="508">
        <v>9.2899999999999991</v>
      </c>
      <c r="S2101" s="508">
        <v>9.1750000000000007</v>
      </c>
      <c r="T2101" s="508">
        <v>9.0670000000000002</v>
      </c>
      <c r="U2101" s="508">
        <v>5.3630000000000004</v>
      </c>
      <c r="V2101" s="508">
        <v>5.125</v>
      </c>
      <c r="W2101" s="508">
        <v>5.0640000000000001</v>
      </c>
      <c r="X2101" s="508">
        <v>4.7389999999999999</v>
      </c>
      <c r="Y2101" s="508">
        <v>4.468</v>
      </c>
      <c r="Z2101" s="508">
        <v>3.4359999999999999</v>
      </c>
      <c r="AA2101" s="508">
        <v>3.3620000000000001</v>
      </c>
      <c r="AB2101" s="508">
        <v>3.052</v>
      </c>
      <c r="AC2101" s="508">
        <v>2.9980000000000002</v>
      </c>
      <c r="AD2101" s="508">
        <v>2.4049999999999998</v>
      </c>
      <c r="AE2101" s="508">
        <v>2.3839999999999999</v>
      </c>
      <c r="AF2101" s="508">
        <v>1.1870000000000001</v>
      </c>
      <c r="AG2101" s="508">
        <v>1.1779999999999999</v>
      </c>
      <c r="AH2101" s="508">
        <v>1.17</v>
      </c>
      <c r="AI2101" s="492">
        <v>1.163</v>
      </c>
      <c r="AJ2101" s="485"/>
    </row>
    <row r="2102" spans="2:36">
      <c r="B2102" s="136" t="s">
        <v>475</v>
      </c>
      <c r="C2102" s="132" t="s">
        <v>1366</v>
      </c>
      <c r="D2102" s="132" t="s">
        <v>282</v>
      </c>
      <c r="E2102" s="508">
        <v>37.734000000000002</v>
      </c>
      <c r="F2102" s="508">
        <v>26.312000000000001</v>
      </c>
      <c r="G2102" s="508">
        <v>26.225000000000001</v>
      </c>
      <c r="H2102" s="508">
        <v>26.082000000000001</v>
      </c>
      <c r="I2102" s="508">
        <v>25.890999999999998</v>
      </c>
      <c r="J2102" s="508">
        <v>18.084</v>
      </c>
      <c r="K2102" s="508">
        <v>17.908000000000001</v>
      </c>
      <c r="L2102" s="508">
        <v>17.718</v>
      </c>
      <c r="M2102" s="508">
        <v>17.52</v>
      </c>
      <c r="N2102" s="508">
        <v>14.552</v>
      </c>
      <c r="O2102" s="508">
        <v>14.367000000000001</v>
      </c>
      <c r="P2102" s="508">
        <v>9.5139999999999993</v>
      </c>
      <c r="Q2102" s="508">
        <v>9.3879999999999999</v>
      </c>
      <c r="R2102" s="508">
        <v>9.2669999999999995</v>
      </c>
      <c r="S2102" s="508">
        <v>9.1519999999999992</v>
      </c>
      <c r="T2102" s="508">
        <v>9.0429999999999993</v>
      </c>
      <c r="U2102" s="508">
        <v>5.3540000000000001</v>
      </c>
      <c r="V2102" s="508">
        <v>5.1150000000000002</v>
      </c>
      <c r="W2102" s="508">
        <v>5.05</v>
      </c>
      <c r="X2102" s="508">
        <v>4.7229999999999999</v>
      </c>
      <c r="Y2102" s="508">
        <v>4.4560000000000004</v>
      </c>
      <c r="Z2102" s="508">
        <v>3.4289999999999998</v>
      </c>
      <c r="AA2102" s="508">
        <v>3.3570000000000002</v>
      </c>
      <c r="AB2102" s="508">
        <v>3.0510000000000002</v>
      </c>
      <c r="AC2102" s="508">
        <v>2.996</v>
      </c>
      <c r="AD2102" s="508">
        <v>2.407</v>
      </c>
      <c r="AE2102" s="508">
        <v>2.3860000000000001</v>
      </c>
      <c r="AF2102" s="508">
        <v>1.19</v>
      </c>
      <c r="AG2102" s="508">
        <v>1.181</v>
      </c>
      <c r="AH2102" s="508">
        <v>1.173</v>
      </c>
      <c r="AI2102" s="492">
        <v>1.1659999999999999</v>
      </c>
      <c r="AJ2102" s="485"/>
    </row>
    <row r="2103" spans="2:36">
      <c r="B2103" s="136" t="s">
        <v>476</v>
      </c>
      <c r="C2103" s="132" t="s">
        <v>1366</v>
      </c>
      <c r="D2103" s="132" t="s">
        <v>282</v>
      </c>
      <c r="E2103" s="508">
        <v>38.177999999999997</v>
      </c>
      <c r="F2103" s="508">
        <v>26.542000000000002</v>
      </c>
      <c r="G2103" s="508">
        <v>26.457000000000001</v>
      </c>
      <c r="H2103" s="508">
        <v>26.317</v>
      </c>
      <c r="I2103" s="508">
        <v>26.13</v>
      </c>
      <c r="J2103" s="508">
        <v>18.393999999999998</v>
      </c>
      <c r="K2103" s="508">
        <v>18.22</v>
      </c>
      <c r="L2103" s="508">
        <v>18.033999999999999</v>
      </c>
      <c r="M2103" s="508">
        <v>17.84</v>
      </c>
      <c r="N2103" s="508">
        <v>14.677</v>
      </c>
      <c r="O2103" s="508">
        <v>14.496</v>
      </c>
      <c r="P2103" s="508">
        <v>9.6270000000000007</v>
      </c>
      <c r="Q2103" s="508">
        <v>9.5039999999999996</v>
      </c>
      <c r="R2103" s="508">
        <v>9.3849999999999998</v>
      </c>
      <c r="S2103" s="508">
        <v>9.2720000000000002</v>
      </c>
      <c r="T2103" s="508">
        <v>9.1649999999999991</v>
      </c>
      <c r="U2103" s="508">
        <v>5.4119999999999999</v>
      </c>
      <c r="V2103" s="508">
        <v>5.1749999999999998</v>
      </c>
      <c r="W2103" s="508">
        <v>5.1189999999999998</v>
      </c>
      <c r="X2103" s="508">
        <v>4.798</v>
      </c>
      <c r="Y2103" s="508">
        <v>4.524</v>
      </c>
      <c r="Z2103" s="508">
        <v>3.4769999999999999</v>
      </c>
      <c r="AA2103" s="508">
        <v>3.403</v>
      </c>
      <c r="AB2103" s="508">
        <v>3.089</v>
      </c>
      <c r="AC2103" s="508">
        <v>3.0350000000000001</v>
      </c>
      <c r="AD2103" s="508">
        <v>2.4359999999999999</v>
      </c>
      <c r="AE2103" s="508">
        <v>2.415</v>
      </c>
      <c r="AF2103" s="508">
        <v>1.202</v>
      </c>
      <c r="AG2103" s="508">
        <v>1.1930000000000001</v>
      </c>
      <c r="AH2103" s="508">
        <v>1.1850000000000001</v>
      </c>
      <c r="AI2103" s="492">
        <v>1.1779999999999999</v>
      </c>
      <c r="AJ2103" s="485"/>
    </row>
    <row r="2104" spans="2:36">
      <c r="B2104" s="136" t="s">
        <v>478</v>
      </c>
      <c r="C2104" s="132" t="s">
        <v>1366</v>
      </c>
      <c r="D2104" s="132" t="s">
        <v>282</v>
      </c>
      <c r="E2104" s="508">
        <v>38.283000000000001</v>
      </c>
      <c r="F2104" s="508">
        <v>26.573</v>
      </c>
      <c r="G2104" s="508">
        <v>26.49</v>
      </c>
      <c r="H2104" s="508">
        <v>26.353000000000002</v>
      </c>
      <c r="I2104" s="508">
        <v>26.17</v>
      </c>
      <c r="J2104" s="508">
        <v>18.617000000000001</v>
      </c>
      <c r="K2104" s="508">
        <v>18.448</v>
      </c>
      <c r="L2104" s="508">
        <v>18.265999999999998</v>
      </c>
      <c r="M2104" s="508">
        <v>18.076000000000001</v>
      </c>
      <c r="N2104" s="508">
        <v>14.73</v>
      </c>
      <c r="O2104" s="508">
        <v>14.552</v>
      </c>
      <c r="P2104" s="508">
        <v>9.7240000000000002</v>
      </c>
      <c r="Q2104" s="508">
        <v>9.6039999999999992</v>
      </c>
      <c r="R2104" s="508">
        <v>9.4879999999999995</v>
      </c>
      <c r="S2104" s="508">
        <v>9.3780000000000001</v>
      </c>
      <c r="T2104" s="508">
        <v>9.2729999999999997</v>
      </c>
      <c r="U2104" s="508">
        <v>5.4619999999999997</v>
      </c>
      <c r="V2104" s="508">
        <v>5.23</v>
      </c>
      <c r="W2104" s="508">
        <v>5.1779999999999999</v>
      </c>
      <c r="X2104" s="508">
        <v>4.8639999999999999</v>
      </c>
      <c r="Y2104" s="508">
        <v>4.59</v>
      </c>
      <c r="Z2104" s="508">
        <v>3.5249999999999999</v>
      </c>
      <c r="AA2104" s="508">
        <v>3.452</v>
      </c>
      <c r="AB2104" s="508">
        <v>3.1360000000000001</v>
      </c>
      <c r="AC2104" s="508">
        <v>3.0830000000000002</v>
      </c>
      <c r="AD2104" s="508">
        <v>2.4769999999999999</v>
      </c>
      <c r="AE2104" s="508">
        <v>2.456</v>
      </c>
      <c r="AF2104" s="508">
        <v>1.2230000000000001</v>
      </c>
      <c r="AG2104" s="508">
        <v>1.214</v>
      </c>
      <c r="AH2104" s="508">
        <v>1.206</v>
      </c>
      <c r="AI2104" s="492">
        <v>1.2</v>
      </c>
      <c r="AJ2104" s="485"/>
    </row>
    <row r="2105" spans="2:36">
      <c r="B2105" s="136" t="s">
        <v>479</v>
      </c>
      <c r="C2105" s="132" t="s">
        <v>1366</v>
      </c>
      <c r="D2105" s="132" t="s">
        <v>282</v>
      </c>
      <c r="E2105" s="508">
        <v>37.999000000000002</v>
      </c>
      <c r="F2105" s="508">
        <v>26.492999999999999</v>
      </c>
      <c r="G2105" s="508">
        <v>26.407</v>
      </c>
      <c r="H2105" s="508">
        <v>26.263999999999999</v>
      </c>
      <c r="I2105" s="508">
        <v>26.074000000000002</v>
      </c>
      <c r="J2105" s="508">
        <v>18.259</v>
      </c>
      <c r="K2105" s="508">
        <v>18.082999999999998</v>
      </c>
      <c r="L2105" s="508">
        <v>17.893999999999998</v>
      </c>
      <c r="M2105" s="508">
        <v>17.696000000000002</v>
      </c>
      <c r="N2105" s="508">
        <v>14.672000000000001</v>
      </c>
      <c r="O2105" s="508">
        <v>14.487</v>
      </c>
      <c r="P2105" s="508">
        <v>9.5920000000000005</v>
      </c>
      <c r="Q2105" s="508">
        <v>9.4659999999999993</v>
      </c>
      <c r="R2105" s="508">
        <v>9.3450000000000006</v>
      </c>
      <c r="S2105" s="508">
        <v>9.2309999999999999</v>
      </c>
      <c r="T2105" s="508">
        <v>9.1219999999999999</v>
      </c>
      <c r="U2105" s="508">
        <v>5.3959999999999999</v>
      </c>
      <c r="V2105" s="508">
        <v>5.1559999999999997</v>
      </c>
      <c r="W2105" s="508">
        <v>5.0940000000000003</v>
      </c>
      <c r="X2105" s="508">
        <v>4.7679999999999998</v>
      </c>
      <c r="Y2105" s="508">
        <v>4.4980000000000002</v>
      </c>
      <c r="Z2105" s="508">
        <v>3.46</v>
      </c>
      <c r="AA2105" s="508">
        <v>3.3879999999999999</v>
      </c>
      <c r="AB2105" s="508">
        <v>3.0779999999999998</v>
      </c>
      <c r="AC2105" s="508">
        <v>3.024</v>
      </c>
      <c r="AD2105" s="508">
        <v>2.4289999999999998</v>
      </c>
      <c r="AE2105" s="508">
        <v>2.407</v>
      </c>
      <c r="AF2105" s="508">
        <v>1.2</v>
      </c>
      <c r="AG2105" s="508">
        <v>1.1910000000000001</v>
      </c>
      <c r="AH2105" s="508">
        <v>1.1830000000000001</v>
      </c>
      <c r="AI2105" s="492">
        <v>1.1759999999999999</v>
      </c>
      <c r="AJ2105" s="485"/>
    </row>
    <row r="2106" spans="2:36">
      <c r="B2106" s="136" t="s">
        <v>480</v>
      </c>
      <c r="C2106" s="132" t="s">
        <v>1366</v>
      </c>
      <c r="D2106" s="132" t="s">
        <v>282</v>
      </c>
      <c r="E2106" s="508">
        <v>37.357999999999997</v>
      </c>
      <c r="F2106" s="508">
        <v>26.277999999999999</v>
      </c>
      <c r="G2106" s="508">
        <v>26.189</v>
      </c>
      <c r="H2106" s="508">
        <v>26.041</v>
      </c>
      <c r="I2106" s="508">
        <v>25.844999999999999</v>
      </c>
      <c r="J2106" s="508">
        <v>17.981999999999999</v>
      </c>
      <c r="K2106" s="508">
        <v>17.8</v>
      </c>
      <c r="L2106" s="508">
        <v>17.605</v>
      </c>
      <c r="M2106" s="508">
        <v>17.401</v>
      </c>
      <c r="N2106" s="508">
        <v>14.675000000000001</v>
      </c>
      <c r="O2106" s="508">
        <v>14.484999999999999</v>
      </c>
      <c r="P2106" s="508">
        <v>9.5579999999999998</v>
      </c>
      <c r="Q2106" s="508">
        <v>9.4280000000000008</v>
      </c>
      <c r="R2106" s="508">
        <v>9.3030000000000008</v>
      </c>
      <c r="S2106" s="508">
        <v>9.1850000000000005</v>
      </c>
      <c r="T2106" s="508">
        <v>9.0730000000000004</v>
      </c>
      <c r="U2106" s="508">
        <v>5.3860000000000001</v>
      </c>
      <c r="V2106" s="508">
        <v>5.1420000000000003</v>
      </c>
      <c r="W2106" s="508">
        <v>5.0640000000000001</v>
      </c>
      <c r="X2106" s="508">
        <v>4.7279999999999998</v>
      </c>
      <c r="Y2106" s="508">
        <v>4.47</v>
      </c>
      <c r="Z2106" s="508">
        <v>3.448</v>
      </c>
      <c r="AA2106" s="508">
        <v>3.3860000000000001</v>
      </c>
      <c r="AB2106" s="508">
        <v>3.09</v>
      </c>
      <c r="AC2106" s="508">
        <v>3.0339999999999998</v>
      </c>
      <c r="AD2106" s="508">
        <v>2.448</v>
      </c>
      <c r="AE2106" s="508">
        <v>2.4260000000000002</v>
      </c>
      <c r="AF2106" s="508">
        <v>1.218</v>
      </c>
      <c r="AG2106" s="508">
        <v>1.2090000000000001</v>
      </c>
      <c r="AH2106" s="508">
        <v>1.2</v>
      </c>
      <c r="AI2106" s="492">
        <v>1.1930000000000001</v>
      </c>
      <c r="AJ2106" s="485"/>
    </row>
    <row r="2107" spans="2:36">
      <c r="B2107" s="136" t="s">
        <v>481</v>
      </c>
      <c r="C2107" s="132" t="s">
        <v>1366</v>
      </c>
      <c r="D2107" s="132" t="s">
        <v>282</v>
      </c>
      <c r="E2107" s="508">
        <v>38.037999999999997</v>
      </c>
      <c r="F2107" s="508">
        <v>26.49</v>
      </c>
      <c r="G2107" s="508">
        <v>26.405000000000001</v>
      </c>
      <c r="H2107" s="508">
        <v>26.263999999999999</v>
      </c>
      <c r="I2107" s="508">
        <v>26.074999999999999</v>
      </c>
      <c r="J2107" s="508">
        <v>18.332999999999998</v>
      </c>
      <c r="K2107" s="508">
        <v>18.158999999999999</v>
      </c>
      <c r="L2107" s="508">
        <v>17.971</v>
      </c>
      <c r="M2107" s="508">
        <v>17.774999999999999</v>
      </c>
      <c r="N2107" s="508">
        <v>14.672000000000001</v>
      </c>
      <c r="O2107" s="508">
        <v>14.49</v>
      </c>
      <c r="P2107" s="508">
        <v>9.6180000000000003</v>
      </c>
      <c r="Q2107" s="508">
        <v>9.4930000000000003</v>
      </c>
      <c r="R2107" s="508">
        <v>9.3740000000000006</v>
      </c>
      <c r="S2107" s="508">
        <v>9.26</v>
      </c>
      <c r="T2107" s="508">
        <v>9.1530000000000005</v>
      </c>
      <c r="U2107" s="508">
        <v>5.4080000000000004</v>
      </c>
      <c r="V2107" s="508">
        <v>5.1710000000000003</v>
      </c>
      <c r="W2107" s="508">
        <v>5.1109999999999998</v>
      </c>
      <c r="X2107" s="508">
        <v>4.7880000000000003</v>
      </c>
      <c r="Y2107" s="508">
        <v>4.5170000000000003</v>
      </c>
      <c r="Z2107" s="508">
        <v>3.4740000000000002</v>
      </c>
      <c r="AA2107" s="508">
        <v>3.4009999999999998</v>
      </c>
      <c r="AB2107" s="508">
        <v>3.0910000000000002</v>
      </c>
      <c r="AC2107" s="508">
        <v>3.036</v>
      </c>
      <c r="AD2107" s="508">
        <v>2.4390000000000001</v>
      </c>
      <c r="AE2107" s="508">
        <v>2.4180000000000001</v>
      </c>
      <c r="AF2107" s="508">
        <v>1.2050000000000001</v>
      </c>
      <c r="AG2107" s="508">
        <v>1.196</v>
      </c>
      <c r="AH2107" s="508">
        <v>1.1879999999999999</v>
      </c>
      <c r="AI2107" s="492">
        <v>1.181</v>
      </c>
      <c r="AJ2107" s="485"/>
    </row>
    <row r="2108" spans="2:36">
      <c r="B2108" s="136" t="s">
        <v>482</v>
      </c>
      <c r="C2108" s="132" t="s">
        <v>1366</v>
      </c>
      <c r="D2108" s="132" t="s">
        <v>282</v>
      </c>
      <c r="E2108" s="508">
        <v>40.564</v>
      </c>
      <c r="F2108" s="508">
        <v>28.242999999999999</v>
      </c>
      <c r="G2108" s="508">
        <v>28.053000000000001</v>
      </c>
      <c r="H2108" s="508">
        <v>28.001999999999999</v>
      </c>
      <c r="I2108" s="508">
        <v>27.742000000000001</v>
      </c>
      <c r="J2108" s="508">
        <v>19.771999999999998</v>
      </c>
      <c r="K2108" s="508">
        <v>19.611000000000001</v>
      </c>
      <c r="L2108" s="508">
        <v>19.446999999999999</v>
      </c>
      <c r="M2108" s="508">
        <v>19.277999999999999</v>
      </c>
      <c r="N2108" s="508">
        <v>15.894</v>
      </c>
      <c r="O2108" s="508">
        <v>15.728999999999999</v>
      </c>
      <c r="P2108" s="508">
        <v>10.49</v>
      </c>
      <c r="Q2108" s="508">
        <v>10.38</v>
      </c>
      <c r="R2108" s="508">
        <v>10.284000000000001</v>
      </c>
      <c r="S2108" s="508">
        <v>10.173</v>
      </c>
      <c r="T2108" s="508">
        <v>10.067</v>
      </c>
      <c r="U2108" s="508">
        <v>5.8449999999999998</v>
      </c>
      <c r="V2108" s="508">
        <v>5.6059999999999999</v>
      </c>
      <c r="W2108" s="508">
        <v>5.5650000000000004</v>
      </c>
      <c r="X2108" s="508">
        <v>5.2430000000000003</v>
      </c>
      <c r="Y2108" s="508">
        <v>4.9550000000000001</v>
      </c>
      <c r="Z2108" s="508">
        <v>3.8050000000000002</v>
      </c>
      <c r="AA2108" s="508">
        <v>3.7320000000000002</v>
      </c>
      <c r="AB2108" s="508">
        <v>3.4020000000000001</v>
      </c>
      <c r="AC2108" s="508">
        <v>3.347</v>
      </c>
      <c r="AD2108" s="508">
        <v>2.6960000000000002</v>
      </c>
      <c r="AE2108" s="508">
        <v>2.6749999999999998</v>
      </c>
      <c r="AF2108" s="508">
        <v>1.3360000000000001</v>
      </c>
      <c r="AG2108" s="508">
        <v>1.327</v>
      </c>
      <c r="AH2108" s="508">
        <v>1.319</v>
      </c>
      <c r="AI2108" s="492">
        <v>1.3120000000000001</v>
      </c>
      <c r="AJ2108" s="485"/>
    </row>
    <row r="2109" spans="2:36">
      <c r="B2109" s="136" t="s">
        <v>483</v>
      </c>
      <c r="C2109" s="132" t="s">
        <v>1366</v>
      </c>
      <c r="D2109" s="132" t="s">
        <v>282</v>
      </c>
      <c r="E2109" s="508">
        <v>38.311</v>
      </c>
      <c r="F2109" s="508">
        <v>26.591999999999999</v>
      </c>
      <c r="G2109" s="508">
        <v>26.509</v>
      </c>
      <c r="H2109" s="508">
        <v>26.370999999999999</v>
      </c>
      <c r="I2109" s="508">
        <v>26.187000000000001</v>
      </c>
      <c r="J2109" s="508">
        <v>18.564</v>
      </c>
      <c r="K2109" s="508">
        <v>18.393999999999998</v>
      </c>
      <c r="L2109" s="508">
        <v>18.21</v>
      </c>
      <c r="M2109" s="508">
        <v>18.018999999999998</v>
      </c>
      <c r="N2109" s="508">
        <v>14.718999999999999</v>
      </c>
      <c r="O2109" s="508">
        <v>14.541</v>
      </c>
      <c r="P2109" s="508">
        <v>9.6950000000000003</v>
      </c>
      <c r="Q2109" s="508">
        <v>9.5739999999999998</v>
      </c>
      <c r="R2109" s="508">
        <v>9.4570000000000007</v>
      </c>
      <c r="S2109" s="508">
        <v>9.3460000000000001</v>
      </c>
      <c r="T2109" s="508">
        <v>9.2409999999999997</v>
      </c>
      <c r="U2109" s="508">
        <v>5.4459999999999997</v>
      </c>
      <c r="V2109" s="508">
        <v>5.2130000000000001</v>
      </c>
      <c r="W2109" s="508">
        <v>5.1609999999999996</v>
      </c>
      <c r="X2109" s="508">
        <v>4.8440000000000003</v>
      </c>
      <c r="Y2109" s="508">
        <v>4.569</v>
      </c>
      <c r="Z2109" s="508">
        <v>3.51</v>
      </c>
      <c r="AA2109" s="508">
        <v>3.4350000000000001</v>
      </c>
      <c r="AB2109" s="508">
        <v>3.1190000000000002</v>
      </c>
      <c r="AC2109" s="508">
        <v>3.0659999999999998</v>
      </c>
      <c r="AD2109" s="508">
        <v>2.4609999999999999</v>
      </c>
      <c r="AE2109" s="508">
        <v>2.44</v>
      </c>
      <c r="AF2109" s="508">
        <v>1.214</v>
      </c>
      <c r="AG2109" s="508">
        <v>1.206</v>
      </c>
      <c r="AH2109" s="508">
        <v>1.198</v>
      </c>
      <c r="AI2109" s="492">
        <v>1.1910000000000001</v>
      </c>
      <c r="AJ2109" s="485"/>
    </row>
    <row r="2110" spans="2:36">
      <c r="B2110" s="136" t="s">
        <v>484</v>
      </c>
      <c r="C2110" s="132" t="s">
        <v>1366</v>
      </c>
      <c r="D2110" s="132" t="s">
        <v>282</v>
      </c>
      <c r="E2110" s="508">
        <v>37.292000000000002</v>
      </c>
      <c r="F2110" s="508">
        <v>26.166</v>
      </c>
      <c r="G2110" s="508">
        <v>26.076000000000001</v>
      </c>
      <c r="H2110" s="508">
        <v>25.928999999999998</v>
      </c>
      <c r="I2110" s="508">
        <v>25.731999999999999</v>
      </c>
      <c r="J2110" s="508">
        <v>17.814</v>
      </c>
      <c r="K2110" s="508">
        <v>17.632000000000001</v>
      </c>
      <c r="L2110" s="508">
        <v>17.436</v>
      </c>
      <c r="M2110" s="508">
        <v>17.231999999999999</v>
      </c>
      <c r="N2110" s="508">
        <v>14.531000000000001</v>
      </c>
      <c r="O2110" s="508">
        <v>14.340999999999999</v>
      </c>
      <c r="P2110" s="508">
        <v>9.4499999999999993</v>
      </c>
      <c r="Q2110" s="508">
        <v>9.32</v>
      </c>
      <c r="R2110" s="508">
        <v>9.1950000000000003</v>
      </c>
      <c r="S2110" s="508">
        <v>9.077</v>
      </c>
      <c r="T2110" s="508">
        <v>8.9640000000000004</v>
      </c>
      <c r="U2110" s="508">
        <v>5.3259999999999996</v>
      </c>
      <c r="V2110" s="508">
        <v>5.0819999999999999</v>
      </c>
      <c r="W2110" s="508">
        <v>5.0049999999999999</v>
      </c>
      <c r="X2110" s="508">
        <v>4.6689999999999996</v>
      </c>
      <c r="Y2110" s="508">
        <v>4.4089999999999998</v>
      </c>
      <c r="Z2110" s="508">
        <v>3.4</v>
      </c>
      <c r="AA2110" s="508">
        <v>3.3340000000000001</v>
      </c>
      <c r="AB2110" s="508">
        <v>3.0369999999999999</v>
      </c>
      <c r="AC2110" s="508">
        <v>2.9820000000000002</v>
      </c>
      <c r="AD2110" s="508">
        <v>2.4009999999999998</v>
      </c>
      <c r="AE2110" s="508">
        <v>2.379</v>
      </c>
      <c r="AF2110" s="508">
        <v>1.1919999999999999</v>
      </c>
      <c r="AG2110" s="508">
        <v>1.1819999999999999</v>
      </c>
      <c r="AH2110" s="508">
        <v>1.1739999999999999</v>
      </c>
      <c r="AI2110" s="492">
        <v>1.1659999999999999</v>
      </c>
      <c r="AJ2110" s="485"/>
    </row>
    <row r="2111" spans="2:36">
      <c r="B2111" s="136" t="s">
        <v>486</v>
      </c>
      <c r="C2111" s="132" t="s">
        <v>1366</v>
      </c>
      <c r="D2111" s="132" t="s">
        <v>282</v>
      </c>
      <c r="E2111" s="508">
        <v>38.014000000000003</v>
      </c>
      <c r="F2111" s="508">
        <v>26.475000000000001</v>
      </c>
      <c r="G2111" s="508">
        <v>26.39</v>
      </c>
      <c r="H2111" s="508">
        <v>26.25</v>
      </c>
      <c r="I2111" s="508">
        <v>26.062000000000001</v>
      </c>
      <c r="J2111" s="508">
        <v>18.373000000000001</v>
      </c>
      <c r="K2111" s="508">
        <v>18.2</v>
      </c>
      <c r="L2111" s="508">
        <v>18.013000000000002</v>
      </c>
      <c r="M2111" s="508">
        <v>17.818000000000001</v>
      </c>
      <c r="N2111" s="508">
        <v>14.680999999999999</v>
      </c>
      <c r="O2111" s="508">
        <v>14.5</v>
      </c>
      <c r="P2111" s="508">
        <v>9.641</v>
      </c>
      <c r="Q2111" s="508">
        <v>9.5169999999999995</v>
      </c>
      <c r="R2111" s="508">
        <v>9.3979999999999997</v>
      </c>
      <c r="S2111" s="508">
        <v>9.2850000000000001</v>
      </c>
      <c r="T2111" s="508">
        <v>9.1780000000000008</v>
      </c>
      <c r="U2111" s="508">
        <v>5.4210000000000003</v>
      </c>
      <c r="V2111" s="508">
        <v>5.1840000000000002</v>
      </c>
      <c r="W2111" s="508">
        <v>5.125</v>
      </c>
      <c r="X2111" s="508">
        <v>4.8029999999999999</v>
      </c>
      <c r="Y2111" s="508">
        <v>4.5330000000000004</v>
      </c>
      <c r="Z2111" s="508">
        <v>3.4860000000000002</v>
      </c>
      <c r="AA2111" s="508">
        <v>3.415</v>
      </c>
      <c r="AB2111" s="508">
        <v>3.1040000000000001</v>
      </c>
      <c r="AC2111" s="508">
        <v>3.05</v>
      </c>
      <c r="AD2111" s="508">
        <v>2.4510000000000001</v>
      </c>
      <c r="AE2111" s="508">
        <v>2.431</v>
      </c>
      <c r="AF2111" s="508">
        <v>1.212</v>
      </c>
      <c r="AG2111" s="508">
        <v>1.2030000000000001</v>
      </c>
      <c r="AH2111" s="508">
        <v>1.1950000000000001</v>
      </c>
      <c r="AI2111" s="492">
        <v>1.1879999999999999</v>
      </c>
      <c r="AJ2111" s="485"/>
    </row>
    <row r="2112" spans="2:36">
      <c r="B2112" s="136" t="s">
        <v>487</v>
      </c>
      <c r="C2112" s="132" t="s">
        <v>1366</v>
      </c>
      <c r="D2112" s="132" t="s">
        <v>282</v>
      </c>
      <c r="E2112" s="508">
        <v>37.994999999999997</v>
      </c>
      <c r="F2112" s="508">
        <v>26.49</v>
      </c>
      <c r="G2112" s="508">
        <v>26.405000000000001</v>
      </c>
      <c r="H2112" s="508">
        <v>26.265000000000001</v>
      </c>
      <c r="I2112" s="508">
        <v>26.079000000000001</v>
      </c>
      <c r="J2112" s="508">
        <v>18.481000000000002</v>
      </c>
      <c r="K2112" s="508">
        <v>18.308</v>
      </c>
      <c r="L2112" s="508">
        <v>18.123000000000001</v>
      </c>
      <c r="M2112" s="508">
        <v>17.928999999999998</v>
      </c>
      <c r="N2112" s="508">
        <v>14.741</v>
      </c>
      <c r="O2112" s="508">
        <v>14.561</v>
      </c>
      <c r="P2112" s="508">
        <v>9.7070000000000007</v>
      </c>
      <c r="Q2112" s="508">
        <v>9.5839999999999996</v>
      </c>
      <c r="R2112" s="508">
        <v>9.4659999999999993</v>
      </c>
      <c r="S2112" s="508">
        <v>9.3539999999999992</v>
      </c>
      <c r="T2112" s="508">
        <v>9.2469999999999999</v>
      </c>
      <c r="U2112" s="508">
        <v>5.4569999999999999</v>
      </c>
      <c r="V2112" s="508">
        <v>5.2220000000000004</v>
      </c>
      <c r="W2112" s="508">
        <v>5.1630000000000003</v>
      </c>
      <c r="X2112" s="508">
        <v>4.843</v>
      </c>
      <c r="Y2112" s="508">
        <v>4.5739999999999998</v>
      </c>
      <c r="Z2112" s="508">
        <v>3.5179999999999998</v>
      </c>
      <c r="AA2112" s="508">
        <v>3.4489999999999998</v>
      </c>
      <c r="AB2112" s="508">
        <v>3.14</v>
      </c>
      <c r="AC2112" s="508">
        <v>3.0859999999999999</v>
      </c>
      <c r="AD2112" s="508">
        <v>2.484</v>
      </c>
      <c r="AE2112" s="508">
        <v>2.4630000000000001</v>
      </c>
      <c r="AF2112" s="508">
        <v>1.23</v>
      </c>
      <c r="AG2112" s="508">
        <v>1.222</v>
      </c>
      <c r="AH2112" s="508">
        <v>1.214</v>
      </c>
      <c r="AI2112" s="492">
        <v>1.2070000000000001</v>
      </c>
      <c r="AJ2112" s="485"/>
    </row>
    <row r="2113" spans="2:36">
      <c r="B2113" s="136" t="s">
        <v>488</v>
      </c>
      <c r="C2113" s="132" t="s">
        <v>1366</v>
      </c>
      <c r="D2113" s="132" t="s">
        <v>282</v>
      </c>
      <c r="E2113" s="508">
        <v>37.447000000000003</v>
      </c>
      <c r="F2113" s="508">
        <v>26.236000000000001</v>
      </c>
      <c r="G2113" s="508">
        <v>26.149000000000001</v>
      </c>
      <c r="H2113" s="508">
        <v>26.004000000000001</v>
      </c>
      <c r="I2113" s="508">
        <v>25.81</v>
      </c>
      <c r="J2113" s="508">
        <v>18.018000000000001</v>
      </c>
      <c r="K2113" s="508">
        <v>17.838999999999999</v>
      </c>
      <c r="L2113" s="508">
        <v>17.646000000000001</v>
      </c>
      <c r="M2113" s="508">
        <v>17.446000000000002</v>
      </c>
      <c r="N2113" s="508">
        <v>14.595000000000001</v>
      </c>
      <c r="O2113" s="508">
        <v>14.407999999999999</v>
      </c>
      <c r="P2113" s="508">
        <v>9.5359999999999996</v>
      </c>
      <c r="Q2113" s="508">
        <v>9.4079999999999995</v>
      </c>
      <c r="R2113" s="508">
        <v>9.2850000000000001</v>
      </c>
      <c r="S2113" s="508">
        <v>9.1690000000000005</v>
      </c>
      <c r="T2113" s="508">
        <v>9.0589999999999993</v>
      </c>
      <c r="U2113" s="508">
        <v>5.3710000000000004</v>
      </c>
      <c r="V2113" s="508">
        <v>5.1289999999999996</v>
      </c>
      <c r="W2113" s="508">
        <v>5.0570000000000004</v>
      </c>
      <c r="X2113" s="508">
        <v>4.7270000000000003</v>
      </c>
      <c r="Y2113" s="508">
        <v>4.4649999999999999</v>
      </c>
      <c r="Z2113" s="508">
        <v>3.4409999999999998</v>
      </c>
      <c r="AA2113" s="508">
        <v>3.375</v>
      </c>
      <c r="AB2113" s="508">
        <v>3.0750000000000002</v>
      </c>
      <c r="AC2113" s="508">
        <v>3.0209999999999999</v>
      </c>
      <c r="AD2113" s="508">
        <v>2.4329999999999998</v>
      </c>
      <c r="AE2113" s="508">
        <v>2.411</v>
      </c>
      <c r="AF2113" s="508">
        <v>1.208</v>
      </c>
      <c r="AG2113" s="508">
        <v>1.198</v>
      </c>
      <c r="AH2113" s="508">
        <v>1.19</v>
      </c>
      <c r="AI2113" s="492">
        <v>1.1830000000000001</v>
      </c>
      <c r="AJ2113" s="485"/>
    </row>
    <row r="2114" spans="2:36">
      <c r="B2114" s="136" t="s">
        <v>489</v>
      </c>
      <c r="C2114" s="132" t="s">
        <v>1366</v>
      </c>
      <c r="D2114" s="132" t="s">
        <v>282</v>
      </c>
      <c r="E2114" s="508">
        <v>37.679000000000002</v>
      </c>
      <c r="F2114" s="508">
        <v>26.297000000000001</v>
      </c>
      <c r="G2114" s="508">
        <v>26.21</v>
      </c>
      <c r="H2114" s="508">
        <v>26.067</v>
      </c>
      <c r="I2114" s="508">
        <v>25.876000000000001</v>
      </c>
      <c r="J2114" s="508">
        <v>18.087</v>
      </c>
      <c r="K2114" s="508">
        <v>17.91</v>
      </c>
      <c r="L2114" s="508">
        <v>17.72</v>
      </c>
      <c r="M2114" s="508">
        <v>17.521999999999998</v>
      </c>
      <c r="N2114" s="508">
        <v>14.564</v>
      </c>
      <c r="O2114" s="508">
        <v>14.379</v>
      </c>
      <c r="P2114" s="508">
        <v>9.5259999999999998</v>
      </c>
      <c r="Q2114" s="508">
        <v>9.3989999999999991</v>
      </c>
      <c r="R2114" s="508">
        <v>9.2789999999999999</v>
      </c>
      <c r="S2114" s="508">
        <v>9.1630000000000003</v>
      </c>
      <c r="T2114" s="508">
        <v>9.0540000000000003</v>
      </c>
      <c r="U2114" s="508">
        <v>5.3609999999999998</v>
      </c>
      <c r="V2114" s="508">
        <v>5.1219999999999999</v>
      </c>
      <c r="W2114" s="508">
        <v>5.056</v>
      </c>
      <c r="X2114" s="508">
        <v>4.7290000000000001</v>
      </c>
      <c r="Y2114" s="508">
        <v>4.4630000000000001</v>
      </c>
      <c r="Z2114" s="508">
        <v>3.4350000000000001</v>
      </c>
      <c r="AA2114" s="508">
        <v>3.3650000000000002</v>
      </c>
      <c r="AB2114" s="508">
        <v>3.06</v>
      </c>
      <c r="AC2114" s="508">
        <v>3.0049999999999999</v>
      </c>
      <c r="AD2114" s="508">
        <v>2.415</v>
      </c>
      <c r="AE2114" s="508">
        <v>2.3940000000000001</v>
      </c>
      <c r="AF2114" s="508">
        <v>1.1950000000000001</v>
      </c>
      <c r="AG2114" s="508">
        <v>1.1859999999999999</v>
      </c>
      <c r="AH2114" s="508">
        <v>1.1779999999999999</v>
      </c>
      <c r="AI2114" s="492">
        <v>1.171</v>
      </c>
      <c r="AJ2114" s="485"/>
    </row>
    <row r="2115" spans="2:36">
      <c r="B2115" s="136" t="s">
        <v>490</v>
      </c>
      <c r="C2115" s="132" t="s">
        <v>1366</v>
      </c>
      <c r="D2115" s="132" t="s">
        <v>282</v>
      </c>
      <c r="E2115" s="508">
        <v>37.581000000000003</v>
      </c>
      <c r="F2115" s="508">
        <v>26.431999999999999</v>
      </c>
      <c r="G2115" s="508">
        <v>26.343</v>
      </c>
      <c r="H2115" s="508">
        <v>26.196000000000002</v>
      </c>
      <c r="I2115" s="508">
        <v>26</v>
      </c>
      <c r="J2115" s="508">
        <v>18.123000000000001</v>
      </c>
      <c r="K2115" s="508">
        <v>17.940999999999999</v>
      </c>
      <c r="L2115" s="508">
        <v>17.745999999999999</v>
      </c>
      <c r="M2115" s="508">
        <v>17.542000000000002</v>
      </c>
      <c r="N2115" s="508">
        <v>14.776</v>
      </c>
      <c r="O2115" s="508">
        <v>14.586</v>
      </c>
      <c r="P2115" s="508">
        <v>9.6210000000000004</v>
      </c>
      <c r="Q2115" s="508">
        <v>9.4909999999999997</v>
      </c>
      <c r="R2115" s="508">
        <v>9.3670000000000009</v>
      </c>
      <c r="S2115" s="508">
        <v>9.2479999999999993</v>
      </c>
      <c r="T2115" s="508">
        <v>9.1359999999999992</v>
      </c>
      <c r="U2115" s="508">
        <v>5.42</v>
      </c>
      <c r="V2115" s="508">
        <v>5.1749999999999998</v>
      </c>
      <c r="W2115" s="508">
        <v>5.0990000000000002</v>
      </c>
      <c r="X2115" s="508">
        <v>4.7640000000000002</v>
      </c>
      <c r="Y2115" s="508">
        <v>4.5030000000000001</v>
      </c>
      <c r="Z2115" s="508">
        <v>3.4729999999999999</v>
      </c>
      <c r="AA2115" s="508">
        <v>3.41</v>
      </c>
      <c r="AB2115" s="508">
        <v>3.1110000000000002</v>
      </c>
      <c r="AC2115" s="508">
        <v>3.056</v>
      </c>
      <c r="AD2115" s="508">
        <v>2.4649999999999999</v>
      </c>
      <c r="AE2115" s="508">
        <v>2.4430000000000001</v>
      </c>
      <c r="AF2115" s="508">
        <v>1.226</v>
      </c>
      <c r="AG2115" s="508">
        <v>1.2170000000000001</v>
      </c>
      <c r="AH2115" s="508">
        <v>1.208</v>
      </c>
      <c r="AI2115" s="492">
        <v>1.2010000000000001</v>
      </c>
      <c r="AJ2115" s="485"/>
    </row>
    <row r="2116" spans="2:36">
      <c r="B2116" s="136" t="s">
        <v>435</v>
      </c>
      <c r="C2116" s="132" t="s">
        <v>1367</v>
      </c>
      <c r="D2116" s="132" t="s">
        <v>282</v>
      </c>
      <c r="E2116" s="508">
        <v>58.207999999999998</v>
      </c>
      <c r="F2116" s="508">
        <v>45.012</v>
      </c>
      <c r="G2116" s="508">
        <v>36.548000000000002</v>
      </c>
      <c r="H2116" s="508">
        <v>39.021999999999998</v>
      </c>
      <c r="I2116" s="508">
        <v>35.307000000000002</v>
      </c>
      <c r="J2116" s="508">
        <v>24.542999999999999</v>
      </c>
      <c r="K2116" s="508">
        <v>23.138999999999999</v>
      </c>
      <c r="L2116" s="508">
        <v>22.550999999999998</v>
      </c>
      <c r="M2116" s="508">
        <v>22.934999999999999</v>
      </c>
      <c r="N2116" s="508">
        <v>28.19</v>
      </c>
      <c r="O2116" s="508">
        <v>23.803999999999998</v>
      </c>
      <c r="P2116" s="508">
        <v>9.8729999999999993</v>
      </c>
      <c r="Q2116" s="508">
        <v>11.821</v>
      </c>
      <c r="R2116" s="508">
        <v>12.204000000000001</v>
      </c>
      <c r="S2116" s="508">
        <v>11.955</v>
      </c>
      <c r="T2116" s="508">
        <v>10.391999999999999</v>
      </c>
      <c r="U2116" s="508">
        <v>6.5720000000000001</v>
      </c>
      <c r="V2116" s="508">
        <v>6.4859999999999998</v>
      </c>
      <c r="W2116" s="508">
        <v>6.7240000000000002</v>
      </c>
      <c r="X2116" s="508">
        <v>5.5659999999999998</v>
      </c>
      <c r="Y2116" s="508">
        <v>4.6260000000000003</v>
      </c>
      <c r="Z2116" s="508">
        <v>3.5590000000000002</v>
      </c>
      <c r="AA2116" s="508">
        <v>3.0659999999999998</v>
      </c>
      <c r="AB2116" s="508">
        <v>2.8759999999999999</v>
      </c>
      <c r="AC2116" s="508">
        <v>2.012</v>
      </c>
      <c r="AD2116" s="508">
        <v>1.9510000000000001</v>
      </c>
      <c r="AE2116" s="508">
        <v>2.4830000000000001</v>
      </c>
      <c r="AF2116" s="508">
        <v>1.2170000000000001</v>
      </c>
      <c r="AG2116" s="508">
        <v>1.216</v>
      </c>
      <c r="AH2116" s="508">
        <v>1.224</v>
      </c>
      <c r="AI2116" s="492">
        <v>1.2589999999999999</v>
      </c>
      <c r="AJ2116" s="485"/>
    </row>
    <row r="2117" spans="2:36">
      <c r="B2117" s="136" t="s">
        <v>436</v>
      </c>
      <c r="C2117" s="132" t="s">
        <v>1367</v>
      </c>
      <c r="D2117" s="132" t="s">
        <v>282</v>
      </c>
      <c r="E2117" s="508">
        <v>62.747</v>
      </c>
      <c r="F2117" s="508">
        <v>45.456000000000003</v>
      </c>
      <c r="G2117" s="508">
        <v>36.866</v>
      </c>
      <c r="H2117" s="508">
        <v>39.356999999999999</v>
      </c>
      <c r="I2117" s="508">
        <v>35.616999999999997</v>
      </c>
      <c r="J2117" s="508">
        <v>25.346</v>
      </c>
      <c r="K2117" s="508">
        <v>23.878</v>
      </c>
      <c r="L2117" s="508">
        <v>23.234999999999999</v>
      </c>
      <c r="M2117" s="508">
        <v>23.588999999999999</v>
      </c>
      <c r="N2117" s="508">
        <v>28.815000000000001</v>
      </c>
      <c r="O2117" s="508">
        <v>24.262</v>
      </c>
      <c r="P2117" s="508">
        <v>11.378</v>
      </c>
      <c r="Q2117" s="508">
        <v>13.313000000000001</v>
      </c>
      <c r="R2117" s="508">
        <v>13.707000000000001</v>
      </c>
      <c r="S2117" s="508">
        <v>13.351000000000001</v>
      </c>
      <c r="T2117" s="508">
        <v>11.548999999999999</v>
      </c>
      <c r="U2117" s="508">
        <v>7.0780000000000003</v>
      </c>
      <c r="V2117" s="508">
        <v>6.9720000000000004</v>
      </c>
      <c r="W2117" s="508">
        <v>7.1609999999999996</v>
      </c>
      <c r="X2117" s="508">
        <v>6.1159999999999997</v>
      </c>
      <c r="Y2117" s="508">
        <v>5.1529999999999996</v>
      </c>
      <c r="Z2117" s="508">
        <v>4.1440000000000001</v>
      </c>
      <c r="AA2117" s="508">
        <v>3.58</v>
      </c>
      <c r="AB2117" s="508">
        <v>3.4020000000000001</v>
      </c>
      <c r="AC2117" s="508">
        <v>2.3860000000000001</v>
      </c>
      <c r="AD2117" s="508">
        <v>2.4590000000000001</v>
      </c>
      <c r="AE2117" s="508">
        <v>3.0350000000000001</v>
      </c>
      <c r="AF2117" s="508">
        <v>1.6180000000000001</v>
      </c>
      <c r="AG2117" s="508">
        <v>1.5429999999999999</v>
      </c>
      <c r="AH2117" s="508">
        <v>1.5509999999999999</v>
      </c>
      <c r="AI2117" s="492">
        <v>1.591</v>
      </c>
      <c r="AJ2117" s="485"/>
    </row>
    <row r="2118" spans="2:36">
      <c r="B2118" s="136" t="s">
        <v>437</v>
      </c>
      <c r="C2118" s="132" t="s">
        <v>1367</v>
      </c>
      <c r="D2118" s="132" t="s">
        <v>282</v>
      </c>
      <c r="E2118" s="508">
        <v>47.387999999999998</v>
      </c>
      <c r="F2118" s="508">
        <v>38.436</v>
      </c>
      <c r="G2118" s="508">
        <v>31.347999999999999</v>
      </c>
      <c r="H2118" s="508">
        <v>33.728999999999999</v>
      </c>
      <c r="I2118" s="508">
        <v>30.896000000000001</v>
      </c>
      <c r="J2118" s="508">
        <v>21.765000000000001</v>
      </c>
      <c r="K2118" s="508">
        <v>20.556999999999999</v>
      </c>
      <c r="L2118" s="508">
        <v>20.157</v>
      </c>
      <c r="M2118" s="508">
        <v>20.606999999999999</v>
      </c>
      <c r="N2118" s="508">
        <v>25.295999999999999</v>
      </c>
      <c r="O2118" s="508">
        <v>21.428000000000001</v>
      </c>
      <c r="P2118" s="508">
        <v>9.6300000000000008</v>
      </c>
      <c r="Q2118" s="508">
        <v>11.714</v>
      </c>
      <c r="R2118" s="508">
        <v>12.1</v>
      </c>
      <c r="S2118" s="508">
        <v>11.896000000000001</v>
      </c>
      <c r="T2118" s="508">
        <v>10.345000000000001</v>
      </c>
      <c r="U2118" s="508">
        <v>6.9119999999999999</v>
      </c>
      <c r="V2118" s="508">
        <v>6.8319999999999999</v>
      </c>
      <c r="W2118" s="508">
        <v>7.1020000000000003</v>
      </c>
      <c r="X2118" s="508">
        <v>5.8810000000000002</v>
      </c>
      <c r="Y2118" s="508">
        <v>4.8890000000000002</v>
      </c>
      <c r="Z2118" s="508">
        <v>3.86</v>
      </c>
      <c r="AA2118" s="508">
        <v>3.3090000000000002</v>
      </c>
      <c r="AB2118" s="508">
        <v>3.0990000000000002</v>
      </c>
      <c r="AC2118" s="508">
        <v>2.157</v>
      </c>
      <c r="AD2118" s="508">
        <v>2.1949999999999998</v>
      </c>
      <c r="AE2118" s="508">
        <v>2.8050000000000002</v>
      </c>
      <c r="AF2118" s="508">
        <v>1.4350000000000001</v>
      </c>
      <c r="AG2118" s="508">
        <v>1.4430000000000001</v>
      </c>
      <c r="AH2118" s="508">
        <v>1.4530000000000001</v>
      </c>
      <c r="AI2118" s="492">
        <v>1.496</v>
      </c>
      <c r="AJ2118" s="485"/>
    </row>
    <row r="2119" spans="2:36">
      <c r="B2119" s="136" t="s">
        <v>438</v>
      </c>
      <c r="C2119" s="132" t="s">
        <v>1367</v>
      </c>
      <c r="D2119" s="132" t="s">
        <v>282</v>
      </c>
      <c r="E2119" s="508">
        <v>59.043999999999997</v>
      </c>
      <c r="F2119" s="508">
        <v>45.976999999999997</v>
      </c>
      <c r="G2119" s="508">
        <v>37.338999999999999</v>
      </c>
      <c r="H2119" s="508">
        <v>39.866999999999997</v>
      </c>
      <c r="I2119" s="508">
        <v>36.07</v>
      </c>
      <c r="J2119" s="508">
        <v>25.472000000000001</v>
      </c>
      <c r="K2119" s="508">
        <v>24.007999999999999</v>
      </c>
      <c r="L2119" s="508">
        <v>23.396000000000001</v>
      </c>
      <c r="M2119" s="508">
        <v>23.786999999999999</v>
      </c>
      <c r="N2119" s="508">
        <v>28.614000000000001</v>
      </c>
      <c r="O2119" s="508">
        <v>24.158000000000001</v>
      </c>
      <c r="P2119" s="508">
        <v>10.047000000000001</v>
      </c>
      <c r="Q2119" s="508">
        <v>12.061</v>
      </c>
      <c r="R2119" s="508">
        <v>12.46</v>
      </c>
      <c r="S2119" s="508">
        <v>12.198</v>
      </c>
      <c r="T2119" s="508">
        <v>10.602</v>
      </c>
      <c r="U2119" s="508">
        <v>6.944</v>
      </c>
      <c r="V2119" s="508">
        <v>6.8479999999999999</v>
      </c>
      <c r="W2119" s="508">
        <v>7.0750000000000002</v>
      </c>
      <c r="X2119" s="508">
        <v>5.8739999999999997</v>
      </c>
      <c r="Y2119" s="508">
        <v>4.9080000000000004</v>
      </c>
      <c r="Z2119" s="508">
        <v>3.786</v>
      </c>
      <c r="AA2119" s="508">
        <v>3.262</v>
      </c>
      <c r="AB2119" s="508">
        <v>3.073</v>
      </c>
      <c r="AC2119" s="508">
        <v>2.1520000000000001</v>
      </c>
      <c r="AD2119" s="508">
        <v>2.101</v>
      </c>
      <c r="AE2119" s="508">
        <v>2.6659999999999999</v>
      </c>
      <c r="AF2119" s="508">
        <v>1.3220000000000001</v>
      </c>
      <c r="AG2119" s="508">
        <v>1.3160000000000001</v>
      </c>
      <c r="AH2119" s="508">
        <v>1.3240000000000001</v>
      </c>
      <c r="AI2119" s="492">
        <v>1.3620000000000001</v>
      </c>
      <c r="AJ2119" s="485"/>
    </row>
    <row r="2120" spans="2:36">
      <c r="B2120" s="136" t="s">
        <v>439</v>
      </c>
      <c r="C2120" s="132" t="s">
        <v>1367</v>
      </c>
      <c r="D2120" s="132" t="s">
        <v>282</v>
      </c>
      <c r="E2120" s="508">
        <v>35.941000000000003</v>
      </c>
      <c r="F2120" s="508">
        <v>25.472999999999999</v>
      </c>
      <c r="G2120" s="508">
        <v>20.509</v>
      </c>
      <c r="H2120" s="508">
        <v>21.88</v>
      </c>
      <c r="I2120" s="508">
        <v>19.826000000000001</v>
      </c>
      <c r="J2120" s="508">
        <v>14.106999999999999</v>
      </c>
      <c r="K2120" s="508">
        <v>13.327</v>
      </c>
      <c r="L2120" s="508">
        <v>12.97</v>
      </c>
      <c r="M2120" s="508">
        <v>13.221</v>
      </c>
      <c r="N2120" s="508">
        <v>17.347999999999999</v>
      </c>
      <c r="O2120" s="508">
        <v>14.555999999999999</v>
      </c>
      <c r="P2120" s="508">
        <v>8.16</v>
      </c>
      <c r="Q2120" s="508">
        <v>9.7989999999999995</v>
      </c>
      <c r="R2120" s="508">
        <v>10.035</v>
      </c>
      <c r="S2120" s="508">
        <v>9.8659999999999997</v>
      </c>
      <c r="T2120" s="508">
        <v>8.532</v>
      </c>
      <c r="U2120" s="508">
        <v>5.82</v>
      </c>
      <c r="V2120" s="508">
        <v>5.7450000000000001</v>
      </c>
      <c r="W2120" s="508">
        <v>5.92</v>
      </c>
      <c r="X2120" s="508">
        <v>4.9020000000000001</v>
      </c>
      <c r="Y2120" s="508">
        <v>4.0860000000000003</v>
      </c>
      <c r="Z2120" s="508">
        <v>3.294</v>
      </c>
      <c r="AA2120" s="508">
        <v>2.8029999999999999</v>
      </c>
      <c r="AB2120" s="508">
        <v>2.617</v>
      </c>
      <c r="AC2120" s="508">
        <v>1.8089999999999999</v>
      </c>
      <c r="AD2120" s="508">
        <v>1.837</v>
      </c>
      <c r="AE2120" s="508">
        <v>2.327</v>
      </c>
      <c r="AF2120" s="508">
        <v>1.2250000000000001</v>
      </c>
      <c r="AG2120" s="508">
        <v>1.2170000000000001</v>
      </c>
      <c r="AH2120" s="508">
        <v>1.2609999999999999</v>
      </c>
      <c r="AI2120" s="492">
        <v>1.296</v>
      </c>
      <c r="AJ2120" s="485"/>
    </row>
    <row r="2121" spans="2:36">
      <c r="B2121" s="136" t="s">
        <v>440</v>
      </c>
      <c r="C2121" s="132" t="s">
        <v>1367</v>
      </c>
      <c r="D2121" s="132" t="s">
        <v>282</v>
      </c>
      <c r="E2121" s="508">
        <v>49.128</v>
      </c>
      <c r="F2121" s="508">
        <v>35.279000000000003</v>
      </c>
      <c r="G2121" s="508">
        <v>28.529</v>
      </c>
      <c r="H2121" s="508">
        <v>30.448</v>
      </c>
      <c r="I2121" s="508">
        <v>27.568999999999999</v>
      </c>
      <c r="J2121" s="508">
        <v>19.512</v>
      </c>
      <c r="K2121" s="508">
        <v>18.413</v>
      </c>
      <c r="L2121" s="508">
        <v>17.93</v>
      </c>
      <c r="M2121" s="508">
        <v>18.25</v>
      </c>
      <c r="N2121" s="508">
        <v>22.443000000000001</v>
      </c>
      <c r="O2121" s="508">
        <v>18.878</v>
      </c>
      <c r="P2121" s="508">
        <v>9.7270000000000003</v>
      </c>
      <c r="Q2121" s="508">
        <v>11.574</v>
      </c>
      <c r="R2121" s="508">
        <v>11.897</v>
      </c>
      <c r="S2121" s="508">
        <v>11.65</v>
      </c>
      <c r="T2121" s="508">
        <v>10.09</v>
      </c>
      <c r="U2121" s="508">
        <v>6.3819999999999997</v>
      </c>
      <c r="V2121" s="508">
        <v>6.2939999999999996</v>
      </c>
      <c r="W2121" s="508">
        <v>6.4889999999999999</v>
      </c>
      <c r="X2121" s="508">
        <v>5.4329999999999998</v>
      </c>
      <c r="Y2121" s="508">
        <v>4.5439999999999996</v>
      </c>
      <c r="Z2121" s="508">
        <v>3.6240000000000001</v>
      </c>
      <c r="AA2121" s="508">
        <v>3.1120000000000001</v>
      </c>
      <c r="AB2121" s="508">
        <v>2.93</v>
      </c>
      <c r="AC2121" s="508">
        <v>2.0430000000000001</v>
      </c>
      <c r="AD2121" s="508">
        <v>2.044</v>
      </c>
      <c r="AE2121" s="508">
        <v>2.569</v>
      </c>
      <c r="AF2121" s="508">
        <v>1.351</v>
      </c>
      <c r="AG2121" s="508">
        <v>1.3240000000000001</v>
      </c>
      <c r="AH2121" s="508">
        <v>1.357</v>
      </c>
      <c r="AI2121" s="492">
        <v>1.3939999999999999</v>
      </c>
      <c r="AJ2121" s="485"/>
    </row>
    <row r="2122" spans="2:36">
      <c r="B2122" s="136" t="s">
        <v>441</v>
      </c>
      <c r="C2122" s="132" t="s">
        <v>1367</v>
      </c>
      <c r="D2122" s="132" t="s">
        <v>282</v>
      </c>
      <c r="E2122" s="508">
        <v>58.023000000000003</v>
      </c>
      <c r="F2122" s="508">
        <v>44.093000000000004</v>
      </c>
      <c r="G2122" s="508">
        <v>24.759</v>
      </c>
      <c r="H2122" s="508">
        <v>26.422000000000001</v>
      </c>
      <c r="I2122" s="508">
        <v>23.928000000000001</v>
      </c>
      <c r="J2122" s="508">
        <v>17.073</v>
      </c>
      <c r="K2122" s="508">
        <v>16.11</v>
      </c>
      <c r="L2122" s="508">
        <v>15.676</v>
      </c>
      <c r="M2122" s="508">
        <v>15.95</v>
      </c>
      <c r="N2122" s="508">
        <v>20.030999999999999</v>
      </c>
      <c r="O2122" s="508">
        <v>16.817</v>
      </c>
      <c r="P2122" s="508">
        <v>8.4039999999999999</v>
      </c>
      <c r="Q2122" s="508">
        <v>10.051</v>
      </c>
      <c r="R2122" s="508">
        <v>10.3</v>
      </c>
      <c r="S2122" s="508">
        <v>10.106</v>
      </c>
      <c r="T2122" s="508">
        <v>8.7379999999999995</v>
      </c>
      <c r="U2122" s="508">
        <v>5.6539999999999999</v>
      </c>
      <c r="V2122" s="508">
        <v>5.5830000000000002</v>
      </c>
      <c r="W2122" s="508">
        <v>5.7569999999999997</v>
      </c>
      <c r="X2122" s="508">
        <v>4.84</v>
      </c>
      <c r="Y2122" s="508">
        <v>4.0540000000000003</v>
      </c>
      <c r="Z2122" s="508">
        <v>3.29</v>
      </c>
      <c r="AA2122" s="508">
        <v>2.8210000000000002</v>
      </c>
      <c r="AB2122" s="508">
        <v>2.657</v>
      </c>
      <c r="AC2122" s="508">
        <v>1.85</v>
      </c>
      <c r="AD2122" s="508">
        <v>1.8839999999999999</v>
      </c>
      <c r="AE2122" s="508">
        <v>2.37</v>
      </c>
      <c r="AF2122" s="508">
        <v>1.2729999999999999</v>
      </c>
      <c r="AG2122" s="508">
        <v>1.2889999999999999</v>
      </c>
      <c r="AH2122" s="508">
        <v>1.296</v>
      </c>
      <c r="AI2122" s="492">
        <v>1.3320000000000001</v>
      </c>
      <c r="AJ2122" s="485"/>
    </row>
    <row r="2123" spans="2:36">
      <c r="B2123" s="136" t="s">
        <v>443</v>
      </c>
      <c r="C2123" s="132" t="s">
        <v>1367</v>
      </c>
      <c r="D2123" s="132" t="s">
        <v>282</v>
      </c>
      <c r="E2123" s="508">
        <v>49.921999999999997</v>
      </c>
      <c r="F2123" s="508">
        <v>35.375999999999998</v>
      </c>
      <c r="G2123" s="508">
        <v>28.635000000000002</v>
      </c>
      <c r="H2123" s="508">
        <v>30.564</v>
      </c>
      <c r="I2123" s="508">
        <v>27.669</v>
      </c>
      <c r="J2123" s="508">
        <v>19.23</v>
      </c>
      <c r="K2123" s="508">
        <v>18.137</v>
      </c>
      <c r="L2123" s="508">
        <v>17.655999999999999</v>
      </c>
      <c r="M2123" s="508">
        <v>17.959</v>
      </c>
      <c r="N2123" s="508">
        <v>22.959</v>
      </c>
      <c r="O2123" s="508">
        <v>19.318999999999999</v>
      </c>
      <c r="P2123" s="508">
        <v>8.4920000000000009</v>
      </c>
      <c r="Q2123" s="508">
        <v>10.074999999999999</v>
      </c>
      <c r="R2123" s="508">
        <v>10.32</v>
      </c>
      <c r="S2123" s="508">
        <v>10.135999999999999</v>
      </c>
      <c r="T2123" s="508">
        <v>8.7629999999999999</v>
      </c>
      <c r="U2123" s="508">
        <v>5.7039999999999997</v>
      </c>
      <c r="V2123" s="508">
        <v>5.6310000000000002</v>
      </c>
      <c r="W2123" s="508">
        <v>5.8170000000000002</v>
      </c>
      <c r="X2123" s="508">
        <v>4.8239999999999998</v>
      </c>
      <c r="Y2123" s="508">
        <v>4.0019999999999998</v>
      </c>
      <c r="Z2123" s="508">
        <v>3.22</v>
      </c>
      <c r="AA2123" s="508">
        <v>2.742</v>
      </c>
      <c r="AB2123" s="508">
        <v>2.5539999999999998</v>
      </c>
      <c r="AC2123" s="508">
        <v>1.7649999999999999</v>
      </c>
      <c r="AD2123" s="508">
        <v>1.77</v>
      </c>
      <c r="AE2123" s="508">
        <v>2.4260000000000002</v>
      </c>
      <c r="AF2123" s="508">
        <v>1.2050000000000001</v>
      </c>
      <c r="AG2123" s="508">
        <v>1.1890000000000001</v>
      </c>
      <c r="AH2123" s="508">
        <v>1.196</v>
      </c>
      <c r="AI2123" s="492">
        <v>1.2290000000000001</v>
      </c>
      <c r="AJ2123" s="485"/>
    </row>
    <row r="2124" spans="2:36">
      <c r="B2124" s="136" t="s">
        <v>445</v>
      </c>
      <c r="C2124" s="132" t="s">
        <v>1367</v>
      </c>
      <c r="D2124" s="132" t="s">
        <v>282</v>
      </c>
      <c r="E2124" s="508">
        <v>37.423000000000002</v>
      </c>
      <c r="F2124" s="508">
        <v>26.321000000000002</v>
      </c>
      <c r="G2124" s="508">
        <v>21.201000000000001</v>
      </c>
      <c r="H2124" s="508">
        <v>22.619</v>
      </c>
      <c r="I2124" s="508">
        <v>20.494</v>
      </c>
      <c r="J2124" s="508">
        <v>14.082000000000001</v>
      </c>
      <c r="K2124" s="508">
        <v>13.31</v>
      </c>
      <c r="L2124" s="508">
        <v>12.958</v>
      </c>
      <c r="M2124" s="508">
        <v>13.218</v>
      </c>
      <c r="N2124" s="508">
        <v>16.945</v>
      </c>
      <c r="O2124" s="508">
        <v>14.222</v>
      </c>
      <c r="P2124" s="508">
        <v>8.0630000000000006</v>
      </c>
      <c r="Q2124" s="508">
        <v>9.5909999999999993</v>
      </c>
      <c r="R2124" s="508">
        <v>9.8049999999999997</v>
      </c>
      <c r="S2124" s="508">
        <v>9.6379999999999999</v>
      </c>
      <c r="T2124" s="508">
        <v>8.3330000000000002</v>
      </c>
      <c r="U2124" s="508">
        <v>5.4930000000000003</v>
      </c>
      <c r="V2124" s="508">
        <v>5.4240000000000004</v>
      </c>
      <c r="W2124" s="508">
        <v>5.6109999999999998</v>
      </c>
      <c r="X2124" s="508">
        <v>4.6360000000000001</v>
      </c>
      <c r="Y2124" s="508">
        <v>3.83</v>
      </c>
      <c r="Z2124" s="508">
        <v>3.089</v>
      </c>
      <c r="AA2124" s="508">
        <v>2.6269999999999998</v>
      </c>
      <c r="AB2124" s="508">
        <v>2.4319999999999999</v>
      </c>
      <c r="AC2124" s="508">
        <v>1.677</v>
      </c>
      <c r="AD2124" s="508">
        <v>1.841</v>
      </c>
      <c r="AE2124" s="508">
        <v>2.327</v>
      </c>
      <c r="AF2124" s="508">
        <v>1.145</v>
      </c>
      <c r="AG2124" s="508">
        <v>1.1319999999999999</v>
      </c>
      <c r="AH2124" s="508">
        <v>1.1379999999999999</v>
      </c>
      <c r="AI2124" s="492">
        <v>1.169</v>
      </c>
      <c r="AJ2124" s="485"/>
    </row>
    <row r="2125" spans="2:36">
      <c r="B2125" s="136" t="s">
        <v>446</v>
      </c>
      <c r="C2125" s="132" t="s">
        <v>1367</v>
      </c>
      <c r="D2125" s="132" t="s">
        <v>282</v>
      </c>
      <c r="E2125" s="508">
        <v>54.497999999999998</v>
      </c>
      <c r="F2125" s="508">
        <v>44.381999999999998</v>
      </c>
      <c r="G2125" s="508">
        <v>36.286000000000001</v>
      </c>
      <c r="H2125" s="508">
        <v>39.076999999999998</v>
      </c>
      <c r="I2125" s="508">
        <v>35.823999999999998</v>
      </c>
      <c r="J2125" s="508">
        <v>24.74</v>
      </c>
      <c r="K2125" s="508">
        <v>23.366</v>
      </c>
      <c r="L2125" s="508">
        <v>22.934000000000001</v>
      </c>
      <c r="M2125" s="508">
        <v>23.452000000000002</v>
      </c>
      <c r="N2125" s="508">
        <v>28.341999999999999</v>
      </c>
      <c r="O2125" s="508">
        <v>24.053000000000001</v>
      </c>
      <c r="P2125" s="508">
        <v>10.375999999999999</v>
      </c>
      <c r="Q2125" s="508">
        <v>12.596</v>
      </c>
      <c r="R2125" s="508">
        <v>13.05</v>
      </c>
      <c r="S2125" s="508">
        <v>12.811999999999999</v>
      </c>
      <c r="T2125" s="508">
        <v>11.166</v>
      </c>
      <c r="U2125" s="508">
        <v>7.2080000000000002</v>
      </c>
      <c r="V2125" s="508">
        <v>7.125</v>
      </c>
      <c r="W2125" s="508">
        <v>7.444</v>
      </c>
      <c r="X2125" s="508">
        <v>6.1559999999999997</v>
      </c>
      <c r="Y2125" s="508">
        <v>5.0890000000000004</v>
      </c>
      <c r="Z2125" s="508">
        <v>3.9319999999999999</v>
      </c>
      <c r="AA2125" s="508">
        <v>3.39</v>
      </c>
      <c r="AB2125" s="508">
        <v>3.1669999999999998</v>
      </c>
      <c r="AC2125" s="508">
        <v>2.2130000000000001</v>
      </c>
      <c r="AD2125" s="508">
        <v>2.1539999999999999</v>
      </c>
      <c r="AE2125" s="508">
        <v>2.7570000000000001</v>
      </c>
      <c r="AF2125" s="508">
        <v>1.3540000000000001</v>
      </c>
      <c r="AG2125" s="508">
        <v>1.363</v>
      </c>
      <c r="AH2125" s="508">
        <v>1.393</v>
      </c>
      <c r="AI2125" s="492">
        <v>1.4350000000000001</v>
      </c>
      <c r="AJ2125" s="485"/>
    </row>
    <row r="2126" spans="2:36">
      <c r="B2126" s="136" t="s">
        <v>448</v>
      </c>
      <c r="C2126" s="132" t="s">
        <v>1367</v>
      </c>
      <c r="D2126" s="132" t="s">
        <v>282</v>
      </c>
      <c r="E2126" s="508">
        <v>58.033000000000001</v>
      </c>
      <c r="F2126" s="508">
        <v>45.256999999999998</v>
      </c>
      <c r="G2126" s="508">
        <v>32.798000000000002</v>
      </c>
      <c r="H2126" s="508">
        <v>35.014000000000003</v>
      </c>
      <c r="I2126" s="508">
        <v>31.687999999999999</v>
      </c>
      <c r="J2126" s="508">
        <v>22.33</v>
      </c>
      <c r="K2126" s="508">
        <v>21.059000000000001</v>
      </c>
      <c r="L2126" s="508">
        <v>20.518999999999998</v>
      </c>
      <c r="M2126" s="508">
        <v>20.873999999999999</v>
      </c>
      <c r="N2126" s="508">
        <v>25.556999999999999</v>
      </c>
      <c r="O2126" s="508">
        <v>21.55</v>
      </c>
      <c r="P2126" s="508">
        <v>9.2100000000000009</v>
      </c>
      <c r="Q2126" s="508">
        <v>11.045999999999999</v>
      </c>
      <c r="R2126" s="508">
        <v>11.374000000000001</v>
      </c>
      <c r="S2126" s="508">
        <v>11.159000000000001</v>
      </c>
      <c r="T2126" s="508">
        <v>9.6820000000000004</v>
      </c>
      <c r="U2126" s="508">
        <v>6.1150000000000002</v>
      </c>
      <c r="V2126" s="508">
        <v>6.0419999999999998</v>
      </c>
      <c r="W2126" s="508">
        <v>6.2569999999999997</v>
      </c>
      <c r="X2126" s="508">
        <v>5.2169999999999996</v>
      </c>
      <c r="Y2126" s="508">
        <v>4.3559999999999999</v>
      </c>
      <c r="Z2126" s="508">
        <v>3.411</v>
      </c>
      <c r="AA2126" s="508">
        <v>2.9359999999999999</v>
      </c>
      <c r="AB2126" s="508">
        <v>2.7559999999999998</v>
      </c>
      <c r="AC2126" s="508">
        <v>1.9259999999999999</v>
      </c>
      <c r="AD2126" s="508">
        <v>1.907</v>
      </c>
      <c r="AE2126" s="508">
        <v>2.4260000000000002</v>
      </c>
      <c r="AF2126" s="508">
        <v>1.2310000000000001</v>
      </c>
      <c r="AG2126" s="508">
        <v>1.258</v>
      </c>
      <c r="AH2126" s="508">
        <v>1.2669999999999999</v>
      </c>
      <c r="AI2126" s="492">
        <v>1.3029999999999999</v>
      </c>
      <c r="AJ2126" s="485"/>
    </row>
    <row r="2127" spans="2:36">
      <c r="B2127" s="136" t="s">
        <v>449</v>
      </c>
      <c r="C2127" s="132" t="s">
        <v>1367</v>
      </c>
      <c r="D2127" s="132" t="s">
        <v>282</v>
      </c>
      <c r="E2127" s="508">
        <v>58.533999999999999</v>
      </c>
      <c r="F2127" s="508">
        <v>48.386000000000003</v>
      </c>
      <c r="G2127" s="508">
        <v>39.616</v>
      </c>
      <c r="H2127" s="508">
        <v>42.689</v>
      </c>
      <c r="I2127" s="508">
        <v>39.155000000000001</v>
      </c>
      <c r="J2127" s="508">
        <v>27.157</v>
      </c>
      <c r="K2127" s="508">
        <v>25.638999999999999</v>
      </c>
      <c r="L2127" s="508">
        <v>25.175999999999998</v>
      </c>
      <c r="M2127" s="508">
        <v>25.738</v>
      </c>
      <c r="N2127" s="508">
        <v>30.571999999999999</v>
      </c>
      <c r="O2127" s="508">
        <v>25.974</v>
      </c>
      <c r="P2127" s="508">
        <v>10.875</v>
      </c>
      <c r="Q2127" s="508">
        <v>13.252000000000001</v>
      </c>
      <c r="R2127" s="508">
        <v>13.766999999999999</v>
      </c>
      <c r="S2127" s="508">
        <v>13.502000000000001</v>
      </c>
      <c r="T2127" s="508">
        <v>11.781000000000001</v>
      </c>
      <c r="U2127" s="508">
        <v>7.7919999999999998</v>
      </c>
      <c r="V2127" s="508">
        <v>7.6950000000000003</v>
      </c>
      <c r="W2127" s="508">
        <v>8.0239999999999991</v>
      </c>
      <c r="X2127" s="508">
        <v>6.62</v>
      </c>
      <c r="Y2127" s="508">
        <v>5.48</v>
      </c>
      <c r="Z2127" s="508">
        <v>4.1980000000000004</v>
      </c>
      <c r="AA2127" s="508">
        <v>3.6179999999999999</v>
      </c>
      <c r="AB2127" s="508">
        <v>3.3889999999999998</v>
      </c>
      <c r="AC2127" s="508">
        <v>2.37</v>
      </c>
      <c r="AD2127" s="508">
        <v>2.29</v>
      </c>
      <c r="AE2127" s="508">
        <v>2.927</v>
      </c>
      <c r="AF2127" s="508">
        <v>1.415</v>
      </c>
      <c r="AG2127" s="508">
        <v>1.4239999999999999</v>
      </c>
      <c r="AH2127" s="508">
        <v>1.4339999999999999</v>
      </c>
      <c r="AI2127" s="492">
        <v>1.4770000000000001</v>
      </c>
      <c r="AJ2127" s="485"/>
    </row>
    <row r="2128" spans="2:36">
      <c r="B2128" s="136" t="s">
        <v>450</v>
      </c>
      <c r="C2128" s="132" t="s">
        <v>1367</v>
      </c>
      <c r="D2128" s="132" t="s">
        <v>282</v>
      </c>
      <c r="E2128" s="508">
        <v>62.069000000000003</v>
      </c>
      <c r="F2128" s="508">
        <v>45.601999999999997</v>
      </c>
      <c r="G2128" s="508">
        <v>36.999000000000002</v>
      </c>
      <c r="H2128" s="508">
        <v>39.500999999999998</v>
      </c>
      <c r="I2128" s="508">
        <v>35.744999999999997</v>
      </c>
      <c r="J2128" s="508">
        <v>25.164000000000001</v>
      </c>
      <c r="K2128" s="508">
        <v>23.721</v>
      </c>
      <c r="L2128" s="508">
        <v>23.105</v>
      </c>
      <c r="M2128" s="508">
        <v>23.486000000000001</v>
      </c>
      <c r="N2128" s="508">
        <v>28.827000000000002</v>
      </c>
      <c r="O2128" s="508">
        <v>24.309000000000001</v>
      </c>
      <c r="P2128" s="508">
        <v>10.573</v>
      </c>
      <c r="Q2128" s="508">
        <v>12.542</v>
      </c>
      <c r="R2128" s="508">
        <v>12.926</v>
      </c>
      <c r="S2128" s="508">
        <v>12.644</v>
      </c>
      <c r="T2128" s="508">
        <v>10.964</v>
      </c>
      <c r="U2128" s="508">
        <v>6.8570000000000002</v>
      </c>
      <c r="V2128" s="508">
        <v>6.7590000000000003</v>
      </c>
      <c r="W2128" s="508">
        <v>6.968</v>
      </c>
      <c r="X2128" s="508">
        <v>5.8280000000000003</v>
      </c>
      <c r="Y2128" s="508">
        <v>4.8730000000000002</v>
      </c>
      <c r="Z2128" s="508">
        <v>3.8380000000000001</v>
      </c>
      <c r="AA2128" s="508">
        <v>3.3</v>
      </c>
      <c r="AB2128" s="508">
        <v>3.1080000000000001</v>
      </c>
      <c r="AC2128" s="508">
        <v>2.17</v>
      </c>
      <c r="AD2128" s="508">
        <v>2.1429999999999998</v>
      </c>
      <c r="AE2128" s="508">
        <v>2.7130000000000001</v>
      </c>
      <c r="AF2128" s="508">
        <v>1.4039999999999999</v>
      </c>
      <c r="AG2128" s="508">
        <v>1.373</v>
      </c>
      <c r="AH2128" s="508">
        <v>1.38</v>
      </c>
      <c r="AI2128" s="492">
        <v>1.4179999999999999</v>
      </c>
      <c r="AJ2128" s="485"/>
    </row>
    <row r="2129" spans="2:36">
      <c r="B2129" s="136" t="s">
        <v>451</v>
      </c>
      <c r="C2129" s="132" t="s">
        <v>1367</v>
      </c>
      <c r="D2129" s="132" t="s">
        <v>282</v>
      </c>
      <c r="E2129" s="508">
        <v>58.860999999999997</v>
      </c>
      <c r="F2129" s="508">
        <v>43.863999999999997</v>
      </c>
      <c r="G2129" s="508">
        <v>35.612000000000002</v>
      </c>
      <c r="H2129" s="508">
        <v>38.021999999999998</v>
      </c>
      <c r="I2129" s="508">
        <v>34.402000000000001</v>
      </c>
      <c r="J2129" s="508">
        <v>23.722999999999999</v>
      </c>
      <c r="K2129" s="508">
        <v>22.361999999999998</v>
      </c>
      <c r="L2129" s="508">
        <v>21.786000000000001</v>
      </c>
      <c r="M2129" s="508">
        <v>22.148</v>
      </c>
      <c r="N2129" s="508">
        <v>27.315999999999999</v>
      </c>
      <c r="O2129" s="508">
        <v>23.053999999999998</v>
      </c>
      <c r="P2129" s="508">
        <v>9.109</v>
      </c>
      <c r="Q2129" s="508">
        <v>10.861000000000001</v>
      </c>
      <c r="R2129" s="508">
        <v>11.159000000000001</v>
      </c>
      <c r="S2129" s="508">
        <v>10.933</v>
      </c>
      <c r="T2129" s="508">
        <v>9.4749999999999996</v>
      </c>
      <c r="U2129" s="508">
        <v>6.1130000000000004</v>
      </c>
      <c r="V2129" s="508">
        <v>6.0259999999999998</v>
      </c>
      <c r="W2129" s="508">
        <v>6.22</v>
      </c>
      <c r="X2129" s="508">
        <v>5.1639999999999997</v>
      </c>
      <c r="Y2129" s="508">
        <v>4.29</v>
      </c>
      <c r="Z2129" s="508">
        <v>3.4</v>
      </c>
      <c r="AA2129" s="508">
        <v>2.91</v>
      </c>
      <c r="AB2129" s="508">
        <v>2.7149999999999999</v>
      </c>
      <c r="AC2129" s="508">
        <v>1.8859999999999999</v>
      </c>
      <c r="AD2129" s="508">
        <v>1.8680000000000001</v>
      </c>
      <c r="AE2129" s="508">
        <v>2.3479999999999999</v>
      </c>
      <c r="AF2129" s="508">
        <v>1.2330000000000001</v>
      </c>
      <c r="AG2129" s="508">
        <v>1.21</v>
      </c>
      <c r="AH2129" s="508">
        <v>1.216</v>
      </c>
      <c r="AI2129" s="492">
        <v>1.2490000000000001</v>
      </c>
      <c r="AJ2129" s="485"/>
    </row>
    <row r="2130" spans="2:36">
      <c r="B2130" s="136" t="s">
        <v>452</v>
      </c>
      <c r="C2130" s="132" t="s">
        <v>1367</v>
      </c>
      <c r="D2130" s="132" t="s">
        <v>282</v>
      </c>
      <c r="E2130" s="508">
        <v>60.036000000000001</v>
      </c>
      <c r="F2130" s="508">
        <v>44.523000000000003</v>
      </c>
      <c r="G2130" s="508">
        <v>36.125999999999998</v>
      </c>
      <c r="H2130" s="508">
        <v>38.567999999999998</v>
      </c>
      <c r="I2130" s="508">
        <v>34.901000000000003</v>
      </c>
      <c r="J2130" s="508">
        <v>24.254999999999999</v>
      </c>
      <c r="K2130" s="508">
        <v>22.87</v>
      </c>
      <c r="L2130" s="508">
        <v>22.282</v>
      </c>
      <c r="M2130" s="508">
        <v>22.66</v>
      </c>
      <c r="N2130" s="508">
        <v>27.959</v>
      </c>
      <c r="O2130" s="508">
        <v>23.59</v>
      </c>
      <c r="P2130" s="508">
        <v>10.384</v>
      </c>
      <c r="Q2130" s="508">
        <v>12.361000000000001</v>
      </c>
      <c r="R2130" s="508">
        <v>12.747999999999999</v>
      </c>
      <c r="S2130" s="508">
        <v>12.473000000000001</v>
      </c>
      <c r="T2130" s="508">
        <v>10.83</v>
      </c>
      <c r="U2130" s="508">
        <v>6.97</v>
      </c>
      <c r="V2130" s="508">
        <v>6.8639999999999999</v>
      </c>
      <c r="W2130" s="508">
        <v>7.0780000000000003</v>
      </c>
      <c r="X2130" s="508">
        <v>5.86</v>
      </c>
      <c r="Y2130" s="508">
        <v>4.875</v>
      </c>
      <c r="Z2130" s="508">
        <v>3.7989999999999999</v>
      </c>
      <c r="AA2130" s="508">
        <v>3.2570000000000001</v>
      </c>
      <c r="AB2130" s="508">
        <v>3.0449999999999999</v>
      </c>
      <c r="AC2130" s="508">
        <v>2.12</v>
      </c>
      <c r="AD2130" s="508">
        <v>2.0699999999999998</v>
      </c>
      <c r="AE2130" s="508">
        <v>2.6030000000000002</v>
      </c>
      <c r="AF2130" s="508">
        <v>1.3180000000000001</v>
      </c>
      <c r="AG2130" s="508">
        <v>1.2929999999999999</v>
      </c>
      <c r="AH2130" s="508">
        <v>1.304</v>
      </c>
      <c r="AI2130" s="492">
        <v>1.339</v>
      </c>
      <c r="AJ2130" s="485"/>
    </row>
    <row r="2131" spans="2:36">
      <c r="B2131" s="136" t="s">
        <v>453</v>
      </c>
      <c r="C2131" s="132" t="s">
        <v>1367</v>
      </c>
      <c r="D2131" s="132" t="s">
        <v>282</v>
      </c>
      <c r="E2131" s="508">
        <v>63.220999999999997</v>
      </c>
      <c r="F2131" s="508">
        <v>47.238</v>
      </c>
      <c r="G2131" s="508">
        <v>38.357999999999997</v>
      </c>
      <c r="H2131" s="508">
        <v>40.954000000000001</v>
      </c>
      <c r="I2131" s="508">
        <v>37.055</v>
      </c>
      <c r="J2131" s="508">
        <v>26.106999999999999</v>
      </c>
      <c r="K2131" s="508">
        <v>24.600999999999999</v>
      </c>
      <c r="L2131" s="508">
        <v>23.963999999999999</v>
      </c>
      <c r="M2131" s="508">
        <v>24.353000000000002</v>
      </c>
      <c r="N2131" s="508">
        <v>29.56</v>
      </c>
      <c r="O2131" s="508">
        <v>24.943999999999999</v>
      </c>
      <c r="P2131" s="508">
        <v>10.757999999999999</v>
      </c>
      <c r="Q2131" s="508">
        <v>12.776</v>
      </c>
      <c r="R2131" s="508">
        <v>13.194000000000001</v>
      </c>
      <c r="S2131" s="508">
        <v>12.89</v>
      </c>
      <c r="T2131" s="508">
        <v>11.19</v>
      </c>
      <c r="U2131" s="508">
        <v>7.1749999999999998</v>
      </c>
      <c r="V2131" s="508">
        <v>7.07</v>
      </c>
      <c r="W2131" s="508">
        <v>7.2919999999999998</v>
      </c>
      <c r="X2131" s="508">
        <v>6.0960000000000001</v>
      </c>
      <c r="Y2131" s="508">
        <v>5.0999999999999996</v>
      </c>
      <c r="Z2131" s="508">
        <v>3.9670000000000001</v>
      </c>
      <c r="AA2131" s="508">
        <v>3.4209999999999998</v>
      </c>
      <c r="AB2131" s="508">
        <v>3.2269999999999999</v>
      </c>
      <c r="AC2131" s="508">
        <v>2.2610000000000001</v>
      </c>
      <c r="AD2131" s="508">
        <v>2.2090000000000001</v>
      </c>
      <c r="AE2131" s="508">
        <v>2.7749999999999999</v>
      </c>
      <c r="AF2131" s="508">
        <v>1.41</v>
      </c>
      <c r="AG2131" s="508">
        <v>1.381</v>
      </c>
      <c r="AH2131" s="508">
        <v>1.3879999999999999</v>
      </c>
      <c r="AI2131" s="492">
        <v>1.4259999999999999</v>
      </c>
      <c r="AJ2131" s="485"/>
    </row>
    <row r="2132" spans="2:36">
      <c r="B2132" s="136" t="s">
        <v>454</v>
      </c>
      <c r="C2132" s="132" t="s">
        <v>1367</v>
      </c>
      <c r="D2132" s="132" t="s">
        <v>282</v>
      </c>
      <c r="E2132" s="508">
        <v>60.218000000000004</v>
      </c>
      <c r="F2132" s="508">
        <v>45.798999999999999</v>
      </c>
      <c r="G2132" s="508">
        <v>37.191000000000003</v>
      </c>
      <c r="H2132" s="508">
        <v>39.709000000000003</v>
      </c>
      <c r="I2132" s="508">
        <v>35.927</v>
      </c>
      <c r="J2132" s="508">
        <v>25.277999999999999</v>
      </c>
      <c r="K2132" s="508">
        <v>23.824000000000002</v>
      </c>
      <c r="L2132" s="508">
        <v>23.212</v>
      </c>
      <c r="M2132" s="508">
        <v>23.596</v>
      </c>
      <c r="N2132" s="508">
        <v>28.55</v>
      </c>
      <c r="O2132" s="508">
        <v>24.097999999999999</v>
      </c>
      <c r="P2132" s="508">
        <v>10.166</v>
      </c>
      <c r="Q2132" s="508">
        <v>12.164999999999999</v>
      </c>
      <c r="R2132" s="508">
        <v>12.564</v>
      </c>
      <c r="S2132" s="508">
        <v>12.29</v>
      </c>
      <c r="T2132" s="508">
        <v>10.677</v>
      </c>
      <c r="U2132" s="508">
        <v>6.9589999999999996</v>
      </c>
      <c r="V2132" s="508">
        <v>6.8609999999999998</v>
      </c>
      <c r="W2132" s="508">
        <v>7.085</v>
      </c>
      <c r="X2132" s="508">
        <v>5.8920000000000003</v>
      </c>
      <c r="Y2132" s="508">
        <v>4.9210000000000003</v>
      </c>
      <c r="Z2132" s="508">
        <v>3.8079999999999998</v>
      </c>
      <c r="AA2132" s="508">
        <v>3.28</v>
      </c>
      <c r="AB2132" s="508">
        <v>3.089</v>
      </c>
      <c r="AC2132" s="508">
        <v>2.1619999999999999</v>
      </c>
      <c r="AD2132" s="508">
        <v>2.11</v>
      </c>
      <c r="AE2132" s="508">
        <v>2.6659999999999999</v>
      </c>
      <c r="AF2132" s="508">
        <v>1.3340000000000001</v>
      </c>
      <c r="AG2132" s="508">
        <v>1.319</v>
      </c>
      <c r="AH2132" s="508">
        <v>1.3260000000000001</v>
      </c>
      <c r="AI2132" s="492">
        <v>1.363</v>
      </c>
      <c r="AJ2132" s="485"/>
    </row>
    <row r="2133" spans="2:36">
      <c r="B2133" s="136" t="s">
        <v>455</v>
      </c>
      <c r="C2133" s="132" t="s">
        <v>1367</v>
      </c>
      <c r="D2133" s="132" t="s">
        <v>282</v>
      </c>
      <c r="E2133" s="508">
        <v>59.036000000000001</v>
      </c>
      <c r="F2133" s="508">
        <v>44.942</v>
      </c>
      <c r="G2133" s="508">
        <v>36.476999999999997</v>
      </c>
      <c r="H2133" s="508">
        <v>38.945</v>
      </c>
      <c r="I2133" s="508">
        <v>35.238999999999997</v>
      </c>
      <c r="J2133" s="508">
        <v>25.003</v>
      </c>
      <c r="K2133" s="508">
        <v>23.571999999999999</v>
      </c>
      <c r="L2133" s="508">
        <v>22.969000000000001</v>
      </c>
      <c r="M2133" s="508">
        <v>23.356000000000002</v>
      </c>
      <c r="N2133" s="508">
        <v>28.161999999999999</v>
      </c>
      <c r="O2133" s="508">
        <v>23.763000000000002</v>
      </c>
      <c r="P2133" s="508">
        <v>10.039999999999999</v>
      </c>
      <c r="Q2133" s="508">
        <v>12.022</v>
      </c>
      <c r="R2133" s="508">
        <v>12.403</v>
      </c>
      <c r="S2133" s="508">
        <v>12.147</v>
      </c>
      <c r="T2133" s="508">
        <v>10.547000000000001</v>
      </c>
      <c r="U2133" s="508">
        <v>6.7919999999999998</v>
      </c>
      <c r="V2133" s="508">
        <v>6.6950000000000003</v>
      </c>
      <c r="W2133" s="508">
        <v>6.9</v>
      </c>
      <c r="X2133" s="508">
        <v>5.7430000000000003</v>
      </c>
      <c r="Y2133" s="508">
        <v>4.8070000000000004</v>
      </c>
      <c r="Z2133" s="508">
        <v>3.7549999999999999</v>
      </c>
      <c r="AA2133" s="508">
        <v>3.226</v>
      </c>
      <c r="AB2133" s="508">
        <v>3.0329999999999999</v>
      </c>
      <c r="AC2133" s="508">
        <v>2.1179999999999999</v>
      </c>
      <c r="AD2133" s="508">
        <v>2.09</v>
      </c>
      <c r="AE2133" s="508">
        <v>2.6389999999999998</v>
      </c>
      <c r="AF2133" s="508">
        <v>1.345</v>
      </c>
      <c r="AG2133" s="508">
        <v>1.329</v>
      </c>
      <c r="AH2133" s="508">
        <v>1.353</v>
      </c>
      <c r="AI2133" s="492">
        <v>1.391</v>
      </c>
      <c r="AJ2133" s="485"/>
    </row>
    <row r="2134" spans="2:36">
      <c r="B2134" s="136" t="s">
        <v>456</v>
      </c>
      <c r="C2134" s="132" t="s">
        <v>1367</v>
      </c>
      <c r="D2134" s="132" t="s">
        <v>282</v>
      </c>
      <c r="E2134" s="508">
        <v>57.249000000000002</v>
      </c>
      <c r="F2134" s="508">
        <v>46.113999999999997</v>
      </c>
      <c r="G2134" s="508">
        <v>37.590000000000003</v>
      </c>
      <c r="H2134" s="508">
        <v>40.313000000000002</v>
      </c>
      <c r="I2134" s="508">
        <v>36.719000000000001</v>
      </c>
      <c r="J2134" s="508">
        <v>25.774999999999999</v>
      </c>
      <c r="K2134" s="508">
        <v>24.318999999999999</v>
      </c>
      <c r="L2134" s="508">
        <v>23.791</v>
      </c>
      <c r="M2134" s="508">
        <v>24.260999999999999</v>
      </c>
      <c r="N2134" s="508">
        <v>28.975999999999999</v>
      </c>
      <c r="O2134" s="508">
        <v>24.538</v>
      </c>
      <c r="P2134" s="508">
        <v>10.212999999999999</v>
      </c>
      <c r="Q2134" s="508">
        <v>12.363</v>
      </c>
      <c r="R2134" s="508">
        <v>12.803000000000001</v>
      </c>
      <c r="S2134" s="508">
        <v>12.555</v>
      </c>
      <c r="T2134" s="508">
        <v>10.933</v>
      </c>
      <c r="U2134" s="508">
        <v>6.9710000000000001</v>
      </c>
      <c r="V2134" s="508">
        <v>6.8869999999999996</v>
      </c>
      <c r="W2134" s="508">
        <v>7.1619999999999999</v>
      </c>
      <c r="X2134" s="508">
        <v>5.9589999999999996</v>
      </c>
      <c r="Y2134" s="508">
        <v>4.9649999999999999</v>
      </c>
      <c r="Z2134" s="508">
        <v>3.8279999999999998</v>
      </c>
      <c r="AA2134" s="508">
        <v>3.3079999999999998</v>
      </c>
      <c r="AB2134" s="508">
        <v>3.1179999999999999</v>
      </c>
      <c r="AC2134" s="508">
        <v>2.1880000000000002</v>
      </c>
      <c r="AD2134" s="508">
        <v>2.1360000000000001</v>
      </c>
      <c r="AE2134" s="508">
        <v>2.726</v>
      </c>
      <c r="AF2134" s="508">
        <v>1.341</v>
      </c>
      <c r="AG2134" s="508">
        <v>1.3460000000000001</v>
      </c>
      <c r="AH2134" s="508">
        <v>1.3640000000000001</v>
      </c>
      <c r="AI2134" s="492">
        <v>1.4039999999999999</v>
      </c>
      <c r="AJ2134" s="485"/>
    </row>
    <row r="2135" spans="2:36">
      <c r="B2135" s="136" t="s">
        <v>457</v>
      </c>
      <c r="C2135" s="132" t="s">
        <v>1367</v>
      </c>
      <c r="D2135" s="132" t="s">
        <v>282</v>
      </c>
      <c r="E2135" s="508">
        <v>64.917000000000002</v>
      </c>
      <c r="F2135" s="508">
        <v>48.323999999999998</v>
      </c>
      <c r="G2135" s="508">
        <v>39.241</v>
      </c>
      <c r="H2135" s="508">
        <v>41.896999999999998</v>
      </c>
      <c r="I2135" s="508">
        <v>37.908000000000001</v>
      </c>
      <c r="J2135" s="508">
        <v>26.949000000000002</v>
      </c>
      <c r="K2135" s="508">
        <v>25.393999999999998</v>
      </c>
      <c r="L2135" s="508">
        <v>24.734999999999999</v>
      </c>
      <c r="M2135" s="508">
        <v>25.131</v>
      </c>
      <c r="N2135" s="508">
        <v>30.286000000000001</v>
      </c>
      <c r="O2135" s="508">
        <v>25.553000000000001</v>
      </c>
      <c r="P2135" s="508">
        <v>10.872</v>
      </c>
      <c r="Q2135" s="508">
        <v>12.85</v>
      </c>
      <c r="R2135" s="508">
        <v>13.259</v>
      </c>
      <c r="S2135" s="508">
        <v>12.95</v>
      </c>
      <c r="T2135" s="508">
        <v>11.227</v>
      </c>
      <c r="U2135" s="508">
        <v>6.7670000000000003</v>
      </c>
      <c r="V2135" s="508">
        <v>6.6760000000000002</v>
      </c>
      <c r="W2135" s="508">
        <v>6.8890000000000002</v>
      </c>
      <c r="X2135" s="508">
        <v>5.8250000000000002</v>
      </c>
      <c r="Y2135" s="508">
        <v>4.8949999999999996</v>
      </c>
      <c r="Z2135" s="508">
        <v>3.8490000000000002</v>
      </c>
      <c r="AA2135" s="508">
        <v>3.3290000000000002</v>
      </c>
      <c r="AB2135" s="508">
        <v>3.157</v>
      </c>
      <c r="AC2135" s="508">
        <v>2.2170000000000001</v>
      </c>
      <c r="AD2135" s="508">
        <v>2.19</v>
      </c>
      <c r="AE2135" s="508">
        <v>2.746</v>
      </c>
      <c r="AF2135" s="508">
        <v>1.4279999999999999</v>
      </c>
      <c r="AG2135" s="508">
        <v>1.393</v>
      </c>
      <c r="AH2135" s="508">
        <v>1.401</v>
      </c>
      <c r="AI2135" s="492">
        <v>1.4390000000000001</v>
      </c>
      <c r="AJ2135" s="485"/>
    </row>
    <row r="2136" spans="2:36">
      <c r="B2136" s="136" t="s">
        <v>458</v>
      </c>
      <c r="C2136" s="132" t="s">
        <v>1367</v>
      </c>
      <c r="D2136" s="132" t="s">
        <v>282</v>
      </c>
      <c r="E2136" s="508">
        <v>50.368000000000002</v>
      </c>
      <c r="F2136" s="508">
        <v>37.128</v>
      </c>
      <c r="G2136" s="508">
        <v>30.085000000000001</v>
      </c>
      <c r="H2136" s="508">
        <v>32.115000000000002</v>
      </c>
      <c r="I2136" s="508">
        <v>29.068000000000001</v>
      </c>
      <c r="J2136" s="508">
        <v>20.565999999999999</v>
      </c>
      <c r="K2136" s="508">
        <v>19.393999999999998</v>
      </c>
      <c r="L2136" s="508">
        <v>18.888000000000002</v>
      </c>
      <c r="M2136" s="508">
        <v>19.21</v>
      </c>
      <c r="N2136" s="508">
        <v>23.576000000000001</v>
      </c>
      <c r="O2136" s="508">
        <v>19.856000000000002</v>
      </c>
      <c r="P2136" s="508">
        <v>8.4260000000000002</v>
      </c>
      <c r="Q2136" s="508">
        <v>10.097</v>
      </c>
      <c r="R2136" s="508">
        <v>10.36</v>
      </c>
      <c r="S2136" s="508">
        <v>10.17</v>
      </c>
      <c r="T2136" s="508">
        <v>8.8030000000000008</v>
      </c>
      <c r="U2136" s="508">
        <v>5.6539999999999999</v>
      </c>
      <c r="V2136" s="508">
        <v>5.5860000000000003</v>
      </c>
      <c r="W2136" s="508">
        <v>5.7720000000000002</v>
      </c>
      <c r="X2136" s="508">
        <v>4.8360000000000003</v>
      </c>
      <c r="Y2136" s="508">
        <v>4.0449999999999999</v>
      </c>
      <c r="Z2136" s="508">
        <v>3.2480000000000002</v>
      </c>
      <c r="AA2136" s="508">
        <v>2.7879999999999998</v>
      </c>
      <c r="AB2136" s="508">
        <v>2.6259999999999999</v>
      </c>
      <c r="AC2136" s="508">
        <v>1.83</v>
      </c>
      <c r="AD2136" s="508">
        <v>1.851</v>
      </c>
      <c r="AE2136" s="508">
        <v>2.3410000000000002</v>
      </c>
      <c r="AF2136" s="508">
        <v>1.232</v>
      </c>
      <c r="AG2136" s="508">
        <v>1.22</v>
      </c>
      <c r="AH2136" s="508">
        <v>1.2609999999999999</v>
      </c>
      <c r="AI2136" s="492">
        <v>1.296</v>
      </c>
      <c r="AJ2136" s="485"/>
    </row>
    <row r="2137" spans="2:36">
      <c r="B2137" s="136" t="s">
        <v>459</v>
      </c>
      <c r="C2137" s="132" t="s">
        <v>1367</v>
      </c>
      <c r="D2137" s="132" t="s">
        <v>282</v>
      </c>
      <c r="E2137" s="508">
        <v>59.387999999999998</v>
      </c>
      <c r="F2137" s="508">
        <v>44.805999999999997</v>
      </c>
      <c r="G2137" s="508">
        <v>36.384999999999998</v>
      </c>
      <c r="H2137" s="508">
        <v>38.847999999999999</v>
      </c>
      <c r="I2137" s="508">
        <v>35.148000000000003</v>
      </c>
      <c r="J2137" s="508">
        <v>24.795999999999999</v>
      </c>
      <c r="K2137" s="508">
        <v>23.364999999999998</v>
      </c>
      <c r="L2137" s="508">
        <v>22.760999999999999</v>
      </c>
      <c r="M2137" s="508">
        <v>23.131</v>
      </c>
      <c r="N2137" s="508">
        <v>27.757999999999999</v>
      </c>
      <c r="O2137" s="508">
        <v>23.422000000000001</v>
      </c>
      <c r="P2137" s="508">
        <v>10.099</v>
      </c>
      <c r="Q2137" s="508">
        <v>10.292999999999999</v>
      </c>
      <c r="R2137" s="508">
        <v>10.548999999999999</v>
      </c>
      <c r="S2137" s="508">
        <v>10.345000000000001</v>
      </c>
      <c r="T2137" s="508">
        <v>8.9420000000000002</v>
      </c>
      <c r="U2137" s="508">
        <v>5.7140000000000004</v>
      </c>
      <c r="V2137" s="508">
        <v>5.6420000000000003</v>
      </c>
      <c r="W2137" s="508">
        <v>5.8140000000000001</v>
      </c>
      <c r="X2137" s="508">
        <v>4.8959999999999999</v>
      </c>
      <c r="Y2137" s="508">
        <v>4.1020000000000003</v>
      </c>
      <c r="Z2137" s="508">
        <v>3.319</v>
      </c>
      <c r="AA2137" s="508">
        <v>2.843</v>
      </c>
      <c r="AB2137" s="508">
        <v>2.629</v>
      </c>
      <c r="AC2137" s="508">
        <v>1.8260000000000001</v>
      </c>
      <c r="AD2137" s="508">
        <v>1.8580000000000001</v>
      </c>
      <c r="AE2137" s="508">
        <v>2.3330000000000002</v>
      </c>
      <c r="AF2137" s="508">
        <v>1.27</v>
      </c>
      <c r="AG2137" s="508">
        <v>1.242</v>
      </c>
      <c r="AH2137" s="508">
        <v>1.248</v>
      </c>
      <c r="AI2137" s="492">
        <v>1.353</v>
      </c>
      <c r="AJ2137" s="485"/>
    </row>
    <row r="2138" spans="2:36">
      <c r="B2138" s="136" t="s">
        <v>460</v>
      </c>
      <c r="C2138" s="132" t="s">
        <v>1367</v>
      </c>
      <c r="D2138" s="132" t="s">
        <v>282</v>
      </c>
      <c r="E2138" s="508">
        <v>63.682000000000002</v>
      </c>
      <c r="F2138" s="508">
        <v>47.558999999999997</v>
      </c>
      <c r="G2138" s="508">
        <v>38.616999999999997</v>
      </c>
      <c r="H2138" s="508">
        <v>41.231000000000002</v>
      </c>
      <c r="I2138" s="508">
        <v>37.305</v>
      </c>
      <c r="J2138" s="508">
        <v>26.137</v>
      </c>
      <c r="K2138" s="508">
        <v>24.635999999999999</v>
      </c>
      <c r="L2138" s="508">
        <v>24.001999999999999</v>
      </c>
      <c r="M2138" s="508">
        <v>24.398</v>
      </c>
      <c r="N2138" s="508">
        <v>29.663</v>
      </c>
      <c r="O2138" s="508">
        <v>25.036000000000001</v>
      </c>
      <c r="P2138" s="508">
        <v>10.837999999999999</v>
      </c>
      <c r="Q2138" s="508">
        <v>12.911</v>
      </c>
      <c r="R2138" s="508">
        <v>13.331</v>
      </c>
      <c r="S2138" s="508">
        <v>13.025</v>
      </c>
      <c r="T2138" s="508">
        <v>11.313000000000001</v>
      </c>
      <c r="U2138" s="508">
        <v>7.2210000000000001</v>
      </c>
      <c r="V2138" s="508">
        <v>7.109</v>
      </c>
      <c r="W2138" s="508">
        <v>7.32</v>
      </c>
      <c r="X2138" s="508">
        <v>6.0960000000000001</v>
      </c>
      <c r="Y2138" s="508">
        <v>5.0910000000000002</v>
      </c>
      <c r="Z2138" s="508">
        <v>3.9630000000000001</v>
      </c>
      <c r="AA2138" s="508">
        <v>3.4089999999999998</v>
      </c>
      <c r="AB2138" s="508">
        <v>3.2029999999999998</v>
      </c>
      <c r="AC2138" s="508">
        <v>2.238</v>
      </c>
      <c r="AD2138" s="508">
        <v>2.1859999999999999</v>
      </c>
      <c r="AE2138" s="508">
        <v>2.7370000000000001</v>
      </c>
      <c r="AF2138" s="508">
        <v>1.395</v>
      </c>
      <c r="AG2138" s="508">
        <v>1.36</v>
      </c>
      <c r="AH2138" s="508">
        <v>1.367</v>
      </c>
      <c r="AI2138" s="492">
        <v>1.403</v>
      </c>
      <c r="AJ2138" s="485"/>
    </row>
    <row r="2139" spans="2:36">
      <c r="B2139" s="136" t="s">
        <v>461</v>
      </c>
      <c r="C2139" s="132" t="s">
        <v>1367</v>
      </c>
      <c r="D2139" s="132" t="s">
        <v>282</v>
      </c>
      <c r="E2139" s="508">
        <v>62.429000000000002</v>
      </c>
      <c r="F2139" s="508">
        <v>45.290999999999997</v>
      </c>
      <c r="G2139" s="508">
        <v>36.732999999999997</v>
      </c>
      <c r="H2139" s="508">
        <v>39.215000000000003</v>
      </c>
      <c r="I2139" s="508">
        <v>35.488999999999997</v>
      </c>
      <c r="J2139" s="508">
        <v>25.056999999999999</v>
      </c>
      <c r="K2139" s="508">
        <v>23.625</v>
      </c>
      <c r="L2139" s="508">
        <v>23.01</v>
      </c>
      <c r="M2139" s="508">
        <v>23.39</v>
      </c>
      <c r="N2139" s="508">
        <v>28.71</v>
      </c>
      <c r="O2139" s="508">
        <v>24.201000000000001</v>
      </c>
      <c r="P2139" s="508">
        <v>11.031000000000001</v>
      </c>
      <c r="Q2139" s="508">
        <v>13.057</v>
      </c>
      <c r="R2139" s="508">
        <v>13.46</v>
      </c>
      <c r="S2139" s="508">
        <v>13.728</v>
      </c>
      <c r="T2139" s="508">
        <v>11.919</v>
      </c>
      <c r="U2139" s="508">
        <v>6.8710000000000004</v>
      </c>
      <c r="V2139" s="508">
        <v>6.774</v>
      </c>
      <c r="W2139" s="508">
        <v>6.9950000000000001</v>
      </c>
      <c r="X2139" s="508">
        <v>5.8810000000000002</v>
      </c>
      <c r="Y2139" s="508">
        <v>4.9240000000000004</v>
      </c>
      <c r="Z2139" s="508">
        <v>3.8380000000000001</v>
      </c>
      <c r="AA2139" s="508">
        <v>3.32</v>
      </c>
      <c r="AB2139" s="508">
        <v>3.14</v>
      </c>
      <c r="AC2139" s="508">
        <v>2.2050000000000001</v>
      </c>
      <c r="AD2139" s="508">
        <v>2.157</v>
      </c>
      <c r="AE2139" s="508">
        <v>2.7040000000000002</v>
      </c>
      <c r="AF2139" s="508">
        <v>1.3819999999999999</v>
      </c>
      <c r="AG2139" s="508">
        <v>1.3480000000000001</v>
      </c>
      <c r="AH2139" s="508">
        <v>1.355</v>
      </c>
      <c r="AI2139" s="492">
        <v>1.3919999999999999</v>
      </c>
      <c r="AJ2139" s="485"/>
    </row>
    <row r="2140" spans="2:36">
      <c r="B2140" s="136" t="s">
        <v>462</v>
      </c>
      <c r="C2140" s="132" t="s">
        <v>1367</v>
      </c>
      <c r="D2140" s="132" t="s">
        <v>282</v>
      </c>
      <c r="E2140" s="508">
        <v>58.887</v>
      </c>
      <c r="F2140" s="508">
        <v>45.933</v>
      </c>
      <c r="G2140" s="508">
        <v>37.328000000000003</v>
      </c>
      <c r="H2140" s="508">
        <v>39.892000000000003</v>
      </c>
      <c r="I2140" s="508">
        <v>36.143999999999998</v>
      </c>
      <c r="J2140" s="508">
        <v>25.288</v>
      </c>
      <c r="K2140" s="508">
        <v>23.844000000000001</v>
      </c>
      <c r="L2140" s="508">
        <v>23.257000000000001</v>
      </c>
      <c r="M2140" s="508">
        <v>23.664999999999999</v>
      </c>
      <c r="N2140" s="508">
        <v>28.835999999999999</v>
      </c>
      <c r="O2140" s="508">
        <v>24.364999999999998</v>
      </c>
      <c r="P2140" s="508">
        <v>10.105</v>
      </c>
      <c r="Q2140" s="508">
        <v>12.113</v>
      </c>
      <c r="R2140" s="508">
        <v>12.52</v>
      </c>
      <c r="S2140" s="508">
        <v>12.266999999999999</v>
      </c>
      <c r="T2140" s="508">
        <v>10.666</v>
      </c>
      <c r="U2140" s="508">
        <v>6.7229999999999999</v>
      </c>
      <c r="V2140" s="508">
        <v>6.6369999999999996</v>
      </c>
      <c r="W2140" s="508">
        <v>6.8819999999999997</v>
      </c>
      <c r="X2140" s="508">
        <v>5.7089999999999996</v>
      </c>
      <c r="Y2140" s="508">
        <v>4.7530000000000001</v>
      </c>
      <c r="Z2140" s="508">
        <v>3.6579999999999999</v>
      </c>
      <c r="AA2140" s="508">
        <v>3.1539999999999999</v>
      </c>
      <c r="AB2140" s="508">
        <v>2.9670000000000001</v>
      </c>
      <c r="AC2140" s="508">
        <v>2.077</v>
      </c>
      <c r="AD2140" s="508">
        <v>2.0179999999999998</v>
      </c>
      <c r="AE2140" s="508">
        <v>2.57</v>
      </c>
      <c r="AF2140" s="508">
        <v>1.2609999999999999</v>
      </c>
      <c r="AG2140" s="508">
        <v>1.2609999999999999</v>
      </c>
      <c r="AH2140" s="508">
        <v>1.27</v>
      </c>
      <c r="AI2140" s="492">
        <v>1.3069999999999999</v>
      </c>
      <c r="AJ2140" s="485"/>
    </row>
    <row r="2141" spans="2:36">
      <c r="B2141" s="136" t="s">
        <v>463</v>
      </c>
      <c r="C2141" s="132" t="s">
        <v>1367</v>
      </c>
      <c r="D2141" s="132" t="s">
        <v>282</v>
      </c>
      <c r="E2141" s="508">
        <v>59.134999999999998</v>
      </c>
      <c r="F2141" s="508">
        <v>45.677999999999997</v>
      </c>
      <c r="G2141" s="508">
        <v>37.098999999999997</v>
      </c>
      <c r="H2141" s="508">
        <v>39.610999999999997</v>
      </c>
      <c r="I2141" s="508">
        <v>35.838000000000001</v>
      </c>
      <c r="J2141" s="508">
        <v>25.561</v>
      </c>
      <c r="K2141" s="508">
        <v>24.088000000000001</v>
      </c>
      <c r="L2141" s="508">
        <v>23.472000000000001</v>
      </c>
      <c r="M2141" s="508">
        <v>23.859000000000002</v>
      </c>
      <c r="N2141" s="508">
        <v>28.274999999999999</v>
      </c>
      <c r="O2141" s="508">
        <v>23.867000000000001</v>
      </c>
      <c r="P2141" s="508">
        <v>9.6310000000000002</v>
      </c>
      <c r="Q2141" s="508">
        <v>11.568</v>
      </c>
      <c r="R2141" s="508">
        <v>11.933</v>
      </c>
      <c r="S2141" s="508">
        <v>11.683</v>
      </c>
      <c r="T2141" s="508">
        <v>10.141</v>
      </c>
      <c r="U2141" s="508">
        <v>6.577</v>
      </c>
      <c r="V2141" s="508">
        <v>6.4880000000000004</v>
      </c>
      <c r="W2141" s="508">
        <v>6.6929999999999996</v>
      </c>
      <c r="X2141" s="508">
        <v>5.6020000000000003</v>
      </c>
      <c r="Y2141" s="508">
        <v>4.702</v>
      </c>
      <c r="Z2141" s="508">
        <v>3.6829999999999998</v>
      </c>
      <c r="AA2141" s="508">
        <v>3.1749999999999998</v>
      </c>
      <c r="AB2141" s="508">
        <v>3.0049999999999999</v>
      </c>
      <c r="AC2141" s="508">
        <v>2.1059999999999999</v>
      </c>
      <c r="AD2141" s="508">
        <v>2.0880000000000001</v>
      </c>
      <c r="AE2141" s="508">
        <v>2.6389999999999998</v>
      </c>
      <c r="AF2141" s="508">
        <v>1.349</v>
      </c>
      <c r="AG2141" s="508">
        <v>1.335</v>
      </c>
      <c r="AH2141" s="508">
        <v>1.3540000000000001</v>
      </c>
      <c r="AI2141" s="492">
        <v>1.3919999999999999</v>
      </c>
      <c r="AJ2141" s="485"/>
    </row>
    <row r="2142" spans="2:36">
      <c r="B2142" s="136" t="s">
        <v>464</v>
      </c>
      <c r="C2142" s="132" t="s">
        <v>1367</v>
      </c>
      <c r="D2142" s="132" t="s">
        <v>282</v>
      </c>
      <c r="E2142" s="508">
        <v>67.251000000000005</v>
      </c>
      <c r="F2142" s="508">
        <v>50.25</v>
      </c>
      <c r="G2142" s="508">
        <v>40.805999999999997</v>
      </c>
      <c r="H2142" s="508">
        <v>43.567999999999998</v>
      </c>
      <c r="I2142" s="508">
        <v>39.418999999999997</v>
      </c>
      <c r="J2142" s="508">
        <v>28.026</v>
      </c>
      <c r="K2142" s="508">
        <v>26.41</v>
      </c>
      <c r="L2142" s="508">
        <v>25.725999999999999</v>
      </c>
      <c r="M2142" s="508">
        <v>26.138999999999999</v>
      </c>
      <c r="N2142" s="508">
        <v>31.462</v>
      </c>
      <c r="O2142" s="508">
        <v>26.547999999999998</v>
      </c>
      <c r="P2142" s="508">
        <v>11.619</v>
      </c>
      <c r="Q2142" s="508">
        <v>13.756</v>
      </c>
      <c r="R2142" s="508">
        <v>14.215</v>
      </c>
      <c r="S2142" s="508">
        <v>13.875</v>
      </c>
      <c r="T2142" s="508">
        <v>12.042999999999999</v>
      </c>
      <c r="U2142" s="508">
        <v>7.4260000000000002</v>
      </c>
      <c r="V2142" s="508">
        <v>7.3150000000000004</v>
      </c>
      <c r="W2142" s="508">
        <v>7.53</v>
      </c>
      <c r="X2142" s="508">
        <v>6.3310000000000004</v>
      </c>
      <c r="Y2142" s="508">
        <v>5.3179999999999996</v>
      </c>
      <c r="Z2142" s="508">
        <v>4.1539999999999999</v>
      </c>
      <c r="AA2142" s="508">
        <v>3.5859999999999999</v>
      </c>
      <c r="AB2142" s="508">
        <v>3.3969999999999998</v>
      </c>
      <c r="AC2142" s="508">
        <v>2.383</v>
      </c>
      <c r="AD2142" s="508">
        <v>2.339</v>
      </c>
      <c r="AE2142" s="508">
        <v>2.9249999999999998</v>
      </c>
      <c r="AF2142" s="508">
        <v>1.5069999999999999</v>
      </c>
      <c r="AG2142" s="508">
        <v>1.466</v>
      </c>
      <c r="AH2142" s="508">
        <v>1.4730000000000001</v>
      </c>
      <c r="AI2142" s="492">
        <v>1.5129999999999999</v>
      </c>
      <c r="AJ2142" s="485"/>
    </row>
    <row r="2143" spans="2:36">
      <c r="B2143" s="136" t="s">
        <v>465</v>
      </c>
      <c r="C2143" s="132" t="s">
        <v>1367</v>
      </c>
      <c r="D2143" s="132" t="s">
        <v>282</v>
      </c>
      <c r="E2143" s="508">
        <v>62.35</v>
      </c>
      <c r="F2143" s="508">
        <v>47.225999999999999</v>
      </c>
      <c r="G2143" s="508">
        <v>38.353000000000002</v>
      </c>
      <c r="H2143" s="508">
        <v>40.948999999999998</v>
      </c>
      <c r="I2143" s="508">
        <v>37.048999999999999</v>
      </c>
      <c r="J2143" s="508">
        <v>26.242999999999999</v>
      </c>
      <c r="K2143" s="508">
        <v>24.73</v>
      </c>
      <c r="L2143" s="508">
        <v>24.093</v>
      </c>
      <c r="M2143" s="508">
        <v>24.486000000000001</v>
      </c>
      <c r="N2143" s="508">
        <v>29.402999999999999</v>
      </c>
      <c r="O2143" s="508">
        <v>24.815999999999999</v>
      </c>
      <c r="P2143" s="508">
        <v>10.621</v>
      </c>
      <c r="Q2143" s="508">
        <v>12.667</v>
      </c>
      <c r="R2143" s="508">
        <v>13.086</v>
      </c>
      <c r="S2143" s="508">
        <v>12.787000000000001</v>
      </c>
      <c r="T2143" s="508">
        <v>11.106</v>
      </c>
      <c r="U2143" s="508">
        <v>7.1619999999999999</v>
      </c>
      <c r="V2143" s="508">
        <v>7.0590000000000002</v>
      </c>
      <c r="W2143" s="508">
        <v>7.2809999999999997</v>
      </c>
      <c r="X2143" s="508">
        <v>6.093</v>
      </c>
      <c r="Y2143" s="508">
        <v>5.1070000000000002</v>
      </c>
      <c r="Z2143" s="508">
        <v>3.9660000000000002</v>
      </c>
      <c r="AA2143" s="508">
        <v>3.4249999999999998</v>
      </c>
      <c r="AB2143" s="508">
        <v>3.238</v>
      </c>
      <c r="AC2143" s="508">
        <v>2.2719999999999998</v>
      </c>
      <c r="AD2143" s="508">
        <v>2.226</v>
      </c>
      <c r="AE2143" s="508">
        <v>2.8010000000000002</v>
      </c>
      <c r="AF2143" s="508">
        <v>1.42</v>
      </c>
      <c r="AG2143" s="508">
        <v>1.395</v>
      </c>
      <c r="AH2143" s="508">
        <v>1.4019999999999999</v>
      </c>
      <c r="AI2143" s="492">
        <v>1.4410000000000001</v>
      </c>
      <c r="AJ2143" s="485"/>
    </row>
    <row r="2144" spans="2:36">
      <c r="B2144" s="136" t="s">
        <v>466</v>
      </c>
      <c r="C2144" s="132" t="s">
        <v>1367</v>
      </c>
      <c r="D2144" s="132" t="s">
        <v>282</v>
      </c>
      <c r="E2144" s="508">
        <v>50.308</v>
      </c>
      <c r="F2144" s="508">
        <v>37.456000000000003</v>
      </c>
      <c r="G2144" s="508">
        <v>30.344000000000001</v>
      </c>
      <c r="H2144" s="508">
        <v>32.390999999999998</v>
      </c>
      <c r="I2144" s="508">
        <v>29.318999999999999</v>
      </c>
      <c r="J2144" s="508">
        <v>20.356999999999999</v>
      </c>
      <c r="K2144" s="508">
        <v>19.202000000000002</v>
      </c>
      <c r="L2144" s="508">
        <v>18.701000000000001</v>
      </c>
      <c r="M2144" s="508">
        <v>19.027000000000001</v>
      </c>
      <c r="N2144" s="508">
        <v>23.966999999999999</v>
      </c>
      <c r="O2144" s="508">
        <v>20.189</v>
      </c>
      <c r="P2144" s="508">
        <v>8.52</v>
      </c>
      <c r="Q2144" s="508">
        <v>10.191000000000001</v>
      </c>
      <c r="R2144" s="508">
        <v>10.449</v>
      </c>
      <c r="S2144" s="508">
        <v>10.269</v>
      </c>
      <c r="T2144" s="508">
        <v>8.8940000000000001</v>
      </c>
      <c r="U2144" s="508">
        <v>5.8920000000000003</v>
      </c>
      <c r="V2144" s="508">
        <v>5.819</v>
      </c>
      <c r="W2144" s="508">
        <v>6.0220000000000002</v>
      </c>
      <c r="X2144" s="508">
        <v>4.9820000000000002</v>
      </c>
      <c r="Y2144" s="508">
        <v>4.133</v>
      </c>
      <c r="Z2144" s="508">
        <v>3.2789999999999999</v>
      </c>
      <c r="AA2144" s="508">
        <v>2.7989999999999999</v>
      </c>
      <c r="AB2144" s="508">
        <v>2.59</v>
      </c>
      <c r="AC2144" s="508">
        <v>1.7929999999999999</v>
      </c>
      <c r="AD2144" s="508">
        <v>1.7889999999999999</v>
      </c>
      <c r="AE2144" s="508">
        <v>2.2730000000000001</v>
      </c>
      <c r="AF2144" s="508">
        <v>1.1719999999999999</v>
      </c>
      <c r="AG2144" s="508">
        <v>1.1679999999999999</v>
      </c>
      <c r="AH2144" s="508">
        <v>1.224</v>
      </c>
      <c r="AI2144" s="492">
        <v>1.2589999999999999</v>
      </c>
      <c r="AJ2144" s="485"/>
    </row>
    <row r="2145" spans="2:36">
      <c r="B2145" s="136" t="s">
        <v>467</v>
      </c>
      <c r="C2145" s="132" t="s">
        <v>1367</v>
      </c>
      <c r="D2145" s="132" t="s">
        <v>282</v>
      </c>
      <c r="E2145" s="508">
        <v>61.936</v>
      </c>
      <c r="F2145" s="508">
        <v>46.031999999999996</v>
      </c>
      <c r="G2145" s="508">
        <v>37.377000000000002</v>
      </c>
      <c r="H2145" s="508">
        <v>39.906999999999996</v>
      </c>
      <c r="I2145" s="508">
        <v>36.106999999999999</v>
      </c>
      <c r="J2145" s="508">
        <v>25.414000000000001</v>
      </c>
      <c r="K2145" s="508">
        <v>23.946999999999999</v>
      </c>
      <c r="L2145" s="508">
        <v>23.324999999999999</v>
      </c>
      <c r="M2145" s="508">
        <v>23.701000000000001</v>
      </c>
      <c r="N2145" s="508">
        <v>28.773</v>
      </c>
      <c r="O2145" s="508">
        <v>24.276</v>
      </c>
      <c r="P2145" s="508">
        <v>9.0540000000000003</v>
      </c>
      <c r="Q2145" s="508">
        <v>10.695</v>
      </c>
      <c r="R2145" s="508">
        <v>10.961</v>
      </c>
      <c r="S2145" s="508">
        <v>10.746</v>
      </c>
      <c r="T2145" s="508">
        <v>9.282</v>
      </c>
      <c r="U2145" s="508">
        <v>5.8</v>
      </c>
      <c r="V2145" s="508">
        <v>5.7279999999999998</v>
      </c>
      <c r="W2145" s="508">
        <v>5.9029999999999996</v>
      </c>
      <c r="X2145" s="508">
        <v>4.9809999999999999</v>
      </c>
      <c r="Y2145" s="508">
        <v>4.1719999999999997</v>
      </c>
      <c r="Z2145" s="508">
        <v>3.3839999999999999</v>
      </c>
      <c r="AA2145" s="508">
        <v>2.8969999999999998</v>
      </c>
      <c r="AB2145" s="508">
        <v>2.706</v>
      </c>
      <c r="AC2145" s="508">
        <v>1.879</v>
      </c>
      <c r="AD2145" s="508">
        <v>1.9039999999999999</v>
      </c>
      <c r="AE2145" s="508">
        <v>2.387</v>
      </c>
      <c r="AF2145" s="508">
        <v>1.2989999999999999</v>
      </c>
      <c r="AG2145" s="508">
        <v>1.2669999999999999</v>
      </c>
      <c r="AH2145" s="508">
        <v>1.272</v>
      </c>
      <c r="AI2145" s="492">
        <v>1.3069999999999999</v>
      </c>
      <c r="AJ2145" s="485"/>
    </row>
    <row r="2146" spans="2:36">
      <c r="B2146" s="136" t="s">
        <v>468</v>
      </c>
      <c r="C2146" s="132" t="s">
        <v>1367</v>
      </c>
      <c r="D2146" s="132" t="s">
        <v>282</v>
      </c>
      <c r="E2146" s="508">
        <v>50.161999999999999</v>
      </c>
      <c r="F2146" s="508">
        <v>36.731000000000002</v>
      </c>
      <c r="G2146" s="508">
        <v>29.745000000000001</v>
      </c>
      <c r="H2146" s="508">
        <v>31.75</v>
      </c>
      <c r="I2146" s="508">
        <v>28.741</v>
      </c>
      <c r="J2146" s="508">
        <v>20.65</v>
      </c>
      <c r="K2146" s="508">
        <v>19.472999999999999</v>
      </c>
      <c r="L2146" s="508">
        <v>18.960999999999999</v>
      </c>
      <c r="M2146" s="508">
        <v>19.283000000000001</v>
      </c>
      <c r="N2146" s="508">
        <v>23.538</v>
      </c>
      <c r="O2146" s="508">
        <v>19.809000000000001</v>
      </c>
      <c r="P2146" s="508">
        <v>8.6210000000000004</v>
      </c>
      <c r="Q2146" s="508">
        <v>10.287000000000001</v>
      </c>
      <c r="R2146" s="508">
        <v>10.551</v>
      </c>
      <c r="S2146" s="508">
        <v>10.361000000000001</v>
      </c>
      <c r="T2146" s="508">
        <v>8.9600000000000009</v>
      </c>
      <c r="U2146" s="508">
        <v>5.79</v>
      </c>
      <c r="V2146" s="508">
        <v>5.7210000000000001</v>
      </c>
      <c r="W2146" s="508">
        <v>5.8959999999999999</v>
      </c>
      <c r="X2146" s="508">
        <v>4.9720000000000004</v>
      </c>
      <c r="Y2146" s="508">
        <v>4.18</v>
      </c>
      <c r="Z2146" s="508">
        <v>3.3969999999999998</v>
      </c>
      <c r="AA2146" s="508">
        <v>2.915</v>
      </c>
      <c r="AB2146" s="508">
        <v>2.76</v>
      </c>
      <c r="AC2146" s="508">
        <v>1.9239999999999999</v>
      </c>
      <c r="AD2146" s="508">
        <v>1.9710000000000001</v>
      </c>
      <c r="AE2146" s="508">
        <v>2.738</v>
      </c>
      <c r="AF2146" s="508">
        <v>1.383</v>
      </c>
      <c r="AG2146" s="508">
        <v>1.365</v>
      </c>
      <c r="AH2146" s="508">
        <v>1.373</v>
      </c>
      <c r="AI2146" s="492">
        <v>1.411</v>
      </c>
      <c r="AJ2146" s="485"/>
    </row>
    <row r="2147" spans="2:36">
      <c r="B2147" s="136" t="s">
        <v>469</v>
      </c>
      <c r="C2147" s="132" t="s">
        <v>1367</v>
      </c>
      <c r="D2147" s="132" t="s">
        <v>282</v>
      </c>
      <c r="E2147" s="508">
        <v>58.351999999999997</v>
      </c>
      <c r="F2147" s="508">
        <v>44.246000000000002</v>
      </c>
      <c r="G2147" s="508">
        <v>35.911000000000001</v>
      </c>
      <c r="H2147" s="508">
        <v>38.340000000000003</v>
      </c>
      <c r="I2147" s="508">
        <v>34.692</v>
      </c>
      <c r="J2147" s="508">
        <v>24.45</v>
      </c>
      <c r="K2147" s="508">
        <v>23.047000000000001</v>
      </c>
      <c r="L2147" s="508">
        <v>22.454000000000001</v>
      </c>
      <c r="M2147" s="508">
        <v>22.83</v>
      </c>
      <c r="N2147" s="508">
        <v>27.786999999999999</v>
      </c>
      <c r="O2147" s="508">
        <v>23.443000000000001</v>
      </c>
      <c r="P2147" s="508">
        <v>9.8810000000000002</v>
      </c>
      <c r="Q2147" s="508">
        <v>11.808</v>
      </c>
      <c r="R2147" s="508">
        <v>12.177</v>
      </c>
      <c r="S2147" s="508">
        <v>11.925000000000001</v>
      </c>
      <c r="T2147" s="508">
        <v>10.352</v>
      </c>
      <c r="U2147" s="508">
        <v>6.766</v>
      </c>
      <c r="V2147" s="508">
        <v>6.673</v>
      </c>
      <c r="W2147" s="508">
        <v>6.8920000000000003</v>
      </c>
      <c r="X2147" s="508">
        <v>5.7350000000000003</v>
      </c>
      <c r="Y2147" s="508">
        <v>4.7910000000000004</v>
      </c>
      <c r="Z2147" s="508">
        <v>3.738</v>
      </c>
      <c r="AA2147" s="508">
        <v>3.2149999999999999</v>
      </c>
      <c r="AB2147" s="508">
        <v>3.0259999999999998</v>
      </c>
      <c r="AC2147" s="508">
        <v>2.1150000000000002</v>
      </c>
      <c r="AD2147" s="508">
        <v>2.081</v>
      </c>
      <c r="AE2147" s="508">
        <v>2.6339999999999999</v>
      </c>
      <c r="AF2147" s="508">
        <v>1.331</v>
      </c>
      <c r="AG2147" s="508">
        <v>1.319</v>
      </c>
      <c r="AH2147" s="508">
        <v>1.3360000000000001</v>
      </c>
      <c r="AI2147" s="492">
        <v>1.3740000000000001</v>
      </c>
      <c r="AJ2147" s="485"/>
    </row>
    <row r="2148" spans="2:36">
      <c r="B2148" s="136" t="s">
        <v>470</v>
      </c>
      <c r="C2148" s="132" t="s">
        <v>1367</v>
      </c>
      <c r="D2148" s="132" t="s">
        <v>282</v>
      </c>
      <c r="E2148" s="508">
        <v>36.982999999999997</v>
      </c>
      <c r="F2148" s="508">
        <v>25.300999999999998</v>
      </c>
      <c r="G2148" s="508">
        <v>20.347000000000001</v>
      </c>
      <c r="H2148" s="508">
        <v>21.704999999999998</v>
      </c>
      <c r="I2148" s="508">
        <v>19.670999999999999</v>
      </c>
      <c r="J2148" s="508">
        <v>13.948</v>
      </c>
      <c r="K2148" s="508">
        <v>13.185</v>
      </c>
      <c r="L2148" s="508">
        <v>12.832000000000001</v>
      </c>
      <c r="M2148" s="508">
        <v>13.087999999999999</v>
      </c>
      <c r="N2148" s="508">
        <v>16.396000000000001</v>
      </c>
      <c r="O2148" s="508">
        <v>13.738</v>
      </c>
      <c r="P2148" s="508">
        <v>8.5739999999999998</v>
      </c>
      <c r="Q2148" s="508">
        <v>10.185</v>
      </c>
      <c r="R2148" s="508">
        <v>10.428000000000001</v>
      </c>
      <c r="S2148" s="508">
        <v>10.236000000000001</v>
      </c>
      <c r="T2148" s="508">
        <v>8.8439999999999994</v>
      </c>
      <c r="U2148" s="508">
        <v>5.5750000000000002</v>
      </c>
      <c r="V2148" s="508">
        <v>5.5090000000000003</v>
      </c>
      <c r="W2148" s="508">
        <v>5.6879999999999997</v>
      </c>
      <c r="X2148" s="508">
        <v>4.782</v>
      </c>
      <c r="Y2148" s="508">
        <v>3.9950000000000001</v>
      </c>
      <c r="Z2148" s="508">
        <v>3.2360000000000002</v>
      </c>
      <c r="AA2148" s="508">
        <v>2.77</v>
      </c>
      <c r="AB2148" s="508">
        <v>2.5779999999999998</v>
      </c>
      <c r="AC2148" s="508">
        <v>1.7889999999999999</v>
      </c>
      <c r="AD2148" s="508">
        <v>1.8140000000000001</v>
      </c>
      <c r="AE2148" s="508">
        <v>2.2829999999999999</v>
      </c>
      <c r="AF2148" s="508">
        <v>1.234</v>
      </c>
      <c r="AG2148" s="508">
        <v>1.278</v>
      </c>
      <c r="AH2148" s="508">
        <v>1.2849999999999999</v>
      </c>
      <c r="AI2148" s="492">
        <v>1.32</v>
      </c>
      <c r="AJ2148" s="485"/>
    </row>
    <row r="2149" spans="2:36">
      <c r="B2149" s="136" t="s">
        <v>471</v>
      </c>
      <c r="C2149" s="132" t="s">
        <v>1367</v>
      </c>
      <c r="D2149" s="132" t="s">
        <v>282</v>
      </c>
      <c r="E2149" s="508">
        <v>58.622999999999998</v>
      </c>
      <c r="F2149" s="508">
        <v>44.887999999999998</v>
      </c>
      <c r="G2149" s="508">
        <v>36.448999999999998</v>
      </c>
      <c r="H2149" s="508">
        <v>38.914999999999999</v>
      </c>
      <c r="I2149" s="508">
        <v>35.21</v>
      </c>
      <c r="J2149" s="508">
        <v>24.562999999999999</v>
      </c>
      <c r="K2149" s="508">
        <v>23.155999999999999</v>
      </c>
      <c r="L2149" s="508">
        <v>22.567</v>
      </c>
      <c r="M2149" s="508">
        <v>22.949000000000002</v>
      </c>
      <c r="N2149" s="508">
        <v>28.033000000000001</v>
      </c>
      <c r="O2149" s="508">
        <v>23.669</v>
      </c>
      <c r="P2149" s="508">
        <v>9.7149999999999999</v>
      </c>
      <c r="Q2149" s="508">
        <v>11.643000000000001</v>
      </c>
      <c r="R2149" s="508">
        <v>12.012</v>
      </c>
      <c r="S2149" s="508">
        <v>11.766999999999999</v>
      </c>
      <c r="T2149" s="508">
        <v>10.223000000000001</v>
      </c>
      <c r="U2149" s="508">
        <v>6.4569999999999999</v>
      </c>
      <c r="V2149" s="508">
        <v>6.3739999999999997</v>
      </c>
      <c r="W2149" s="508">
        <v>6.6029999999999998</v>
      </c>
      <c r="X2149" s="508">
        <v>5.4870000000000001</v>
      </c>
      <c r="Y2149" s="508">
        <v>4.5679999999999996</v>
      </c>
      <c r="Z2149" s="508">
        <v>3.536</v>
      </c>
      <c r="AA2149" s="508">
        <v>3.0470000000000002</v>
      </c>
      <c r="AB2149" s="508">
        <v>2.8620000000000001</v>
      </c>
      <c r="AC2149" s="508">
        <v>2.0019999999999998</v>
      </c>
      <c r="AD2149" s="508">
        <v>1.954</v>
      </c>
      <c r="AE2149" s="508">
        <v>2.4809999999999999</v>
      </c>
      <c r="AF2149" s="508">
        <v>1.2330000000000001</v>
      </c>
      <c r="AG2149" s="508">
        <v>1.2270000000000001</v>
      </c>
      <c r="AH2149" s="508">
        <v>1.2350000000000001</v>
      </c>
      <c r="AI2149" s="492">
        <v>1.2789999999999999</v>
      </c>
      <c r="AJ2149" s="485"/>
    </row>
    <row r="2150" spans="2:36">
      <c r="B2150" s="136" t="s">
        <v>472</v>
      </c>
      <c r="C2150" s="132" t="s">
        <v>1367</v>
      </c>
      <c r="D2150" s="132" t="s">
        <v>282</v>
      </c>
      <c r="E2150" s="508">
        <v>69.674999999999997</v>
      </c>
      <c r="F2150" s="508">
        <v>51.665999999999997</v>
      </c>
      <c r="G2150" s="508">
        <v>41.953000000000003</v>
      </c>
      <c r="H2150" s="508">
        <v>44.792999999999999</v>
      </c>
      <c r="I2150" s="508">
        <v>40.527999999999999</v>
      </c>
      <c r="J2150" s="508">
        <v>28.827999999999999</v>
      </c>
      <c r="K2150" s="508">
        <v>27.169</v>
      </c>
      <c r="L2150" s="508">
        <v>26.465</v>
      </c>
      <c r="M2150" s="508">
        <v>26.89</v>
      </c>
      <c r="N2150" s="508">
        <v>32.439</v>
      </c>
      <c r="O2150" s="508">
        <v>27.372</v>
      </c>
      <c r="P2150" s="508">
        <v>12.2</v>
      </c>
      <c r="Q2150" s="508">
        <v>14.393000000000001</v>
      </c>
      <c r="R2150" s="508">
        <v>14.875999999999999</v>
      </c>
      <c r="S2150" s="508">
        <v>14.510999999999999</v>
      </c>
      <c r="T2150" s="508">
        <v>12.592000000000001</v>
      </c>
      <c r="U2150" s="508">
        <v>7.1310000000000002</v>
      </c>
      <c r="V2150" s="508">
        <v>7.0289999999999999</v>
      </c>
      <c r="W2150" s="508">
        <v>7.2469999999999999</v>
      </c>
      <c r="X2150" s="508">
        <v>6.1319999999999997</v>
      </c>
      <c r="Y2150" s="508">
        <v>5.1559999999999997</v>
      </c>
      <c r="Z2150" s="508">
        <v>4.0350000000000001</v>
      </c>
      <c r="AA2150" s="508">
        <v>3.496</v>
      </c>
      <c r="AB2150" s="508">
        <v>3.323</v>
      </c>
      <c r="AC2150" s="508">
        <v>2.3380000000000001</v>
      </c>
      <c r="AD2150" s="508">
        <v>2.2949999999999999</v>
      </c>
      <c r="AE2150" s="508">
        <v>2.867</v>
      </c>
      <c r="AF2150" s="508">
        <v>1.484</v>
      </c>
      <c r="AG2150" s="508">
        <v>1.44</v>
      </c>
      <c r="AH2150" s="508">
        <v>1.448</v>
      </c>
      <c r="AI2150" s="492">
        <v>1.4870000000000001</v>
      </c>
      <c r="AJ2150" s="485"/>
    </row>
    <row r="2151" spans="2:36">
      <c r="B2151" s="136" t="s">
        <v>473</v>
      </c>
      <c r="C2151" s="132" t="s">
        <v>1367</v>
      </c>
      <c r="D2151" s="132" t="s">
        <v>282</v>
      </c>
      <c r="E2151" s="508">
        <v>57.91</v>
      </c>
      <c r="F2151" s="508">
        <v>42.719000000000001</v>
      </c>
      <c r="G2151" s="508">
        <v>32.237000000000002</v>
      </c>
      <c r="H2151" s="508">
        <v>34.411999999999999</v>
      </c>
      <c r="I2151" s="508">
        <v>31.146999999999998</v>
      </c>
      <c r="J2151" s="508">
        <v>21.75</v>
      </c>
      <c r="K2151" s="508">
        <v>20.516999999999999</v>
      </c>
      <c r="L2151" s="508">
        <v>19.984000000000002</v>
      </c>
      <c r="M2151" s="508">
        <v>20.331</v>
      </c>
      <c r="N2151" s="508">
        <v>25.257000000000001</v>
      </c>
      <c r="O2151" s="508">
        <v>21.280999999999999</v>
      </c>
      <c r="P2151" s="508">
        <v>9.923</v>
      </c>
      <c r="Q2151" s="508">
        <v>11.811999999999999</v>
      </c>
      <c r="R2151" s="508">
        <v>12.157</v>
      </c>
      <c r="S2151" s="508">
        <v>11.907</v>
      </c>
      <c r="T2151" s="508">
        <v>10.324999999999999</v>
      </c>
      <c r="U2151" s="508">
        <v>6.6580000000000004</v>
      </c>
      <c r="V2151" s="508">
        <v>6.5609999999999999</v>
      </c>
      <c r="W2151" s="508">
        <v>6.7619999999999996</v>
      </c>
      <c r="X2151" s="508">
        <v>5.6159999999999997</v>
      </c>
      <c r="Y2151" s="508">
        <v>4.6760000000000002</v>
      </c>
      <c r="Z2151" s="508">
        <v>3.6930000000000001</v>
      </c>
      <c r="AA2151" s="508">
        <v>3.161</v>
      </c>
      <c r="AB2151" s="508">
        <v>2.956</v>
      </c>
      <c r="AC2151" s="508">
        <v>2.0550000000000002</v>
      </c>
      <c r="AD2151" s="508">
        <v>2.0299999999999998</v>
      </c>
      <c r="AE2151" s="508">
        <v>2.5510000000000002</v>
      </c>
      <c r="AF2151" s="508">
        <v>1.3260000000000001</v>
      </c>
      <c r="AG2151" s="508">
        <v>1.2989999999999999</v>
      </c>
      <c r="AH2151" s="508">
        <v>1.3129999999999999</v>
      </c>
      <c r="AI2151" s="492">
        <v>1.349</v>
      </c>
      <c r="AJ2151" s="485"/>
    </row>
    <row r="2152" spans="2:36">
      <c r="B2152" s="136" t="s">
        <v>474</v>
      </c>
      <c r="C2152" s="132" t="s">
        <v>1367</v>
      </c>
      <c r="D2152" s="132" t="s">
        <v>282</v>
      </c>
      <c r="E2152" s="508">
        <v>58.792000000000002</v>
      </c>
      <c r="F2152" s="508">
        <v>45.305</v>
      </c>
      <c r="G2152" s="508">
        <v>36.787999999999997</v>
      </c>
      <c r="H2152" s="508">
        <v>39.279000000000003</v>
      </c>
      <c r="I2152" s="508">
        <v>35.539000000000001</v>
      </c>
      <c r="J2152" s="508">
        <v>24.841000000000001</v>
      </c>
      <c r="K2152" s="508">
        <v>23.414999999999999</v>
      </c>
      <c r="L2152" s="508">
        <v>22.815999999999999</v>
      </c>
      <c r="M2152" s="508">
        <v>23.199000000000002</v>
      </c>
      <c r="N2152" s="508">
        <v>28.268999999999998</v>
      </c>
      <c r="O2152" s="508">
        <v>23.864999999999998</v>
      </c>
      <c r="P2152" s="508">
        <v>9.94</v>
      </c>
      <c r="Q2152" s="508">
        <v>11.913</v>
      </c>
      <c r="R2152" s="508">
        <v>12.298999999999999</v>
      </c>
      <c r="S2152" s="508">
        <v>12.042</v>
      </c>
      <c r="T2152" s="508">
        <v>10.465</v>
      </c>
      <c r="U2152" s="508">
        <v>6.8719999999999999</v>
      </c>
      <c r="V2152" s="508">
        <v>6.7759999999999998</v>
      </c>
      <c r="W2152" s="508">
        <v>7.0049999999999999</v>
      </c>
      <c r="X2152" s="508">
        <v>5.7949999999999999</v>
      </c>
      <c r="Y2152" s="508">
        <v>4.8250000000000002</v>
      </c>
      <c r="Z2152" s="508">
        <v>3.72</v>
      </c>
      <c r="AA2152" s="508">
        <v>3.1989999999999998</v>
      </c>
      <c r="AB2152" s="508">
        <v>3.0009999999999999</v>
      </c>
      <c r="AC2152" s="508">
        <v>2.097</v>
      </c>
      <c r="AD2152" s="508">
        <v>2.04</v>
      </c>
      <c r="AE2152" s="508">
        <v>2.5870000000000002</v>
      </c>
      <c r="AF2152" s="508">
        <v>1.278</v>
      </c>
      <c r="AG2152" s="508">
        <v>1.272</v>
      </c>
      <c r="AH2152" s="508">
        <v>1.2789999999999999</v>
      </c>
      <c r="AI2152" s="492">
        <v>1.3160000000000001</v>
      </c>
      <c r="AJ2152" s="485"/>
    </row>
    <row r="2153" spans="2:36">
      <c r="B2153" s="136" t="s">
        <v>475</v>
      </c>
      <c r="C2153" s="132" t="s">
        <v>1367</v>
      </c>
      <c r="D2153" s="132" t="s">
        <v>282</v>
      </c>
      <c r="E2153" s="508">
        <v>59.91</v>
      </c>
      <c r="F2153" s="508">
        <v>44.223999999999997</v>
      </c>
      <c r="G2153" s="508">
        <v>35.875</v>
      </c>
      <c r="H2153" s="508">
        <v>38.299999999999997</v>
      </c>
      <c r="I2153" s="508">
        <v>34.658999999999999</v>
      </c>
      <c r="J2153" s="508">
        <v>24.431000000000001</v>
      </c>
      <c r="K2153" s="508">
        <v>22.812000000000001</v>
      </c>
      <c r="L2153" s="508">
        <v>22.22</v>
      </c>
      <c r="M2153" s="508">
        <v>22.591999999999999</v>
      </c>
      <c r="N2153" s="508">
        <v>27.71</v>
      </c>
      <c r="O2153" s="508">
        <v>23.361999999999998</v>
      </c>
      <c r="P2153" s="508">
        <v>10.016999999999999</v>
      </c>
      <c r="Q2153" s="508">
        <v>11.917999999999999</v>
      </c>
      <c r="R2153" s="508">
        <v>12.269</v>
      </c>
      <c r="S2153" s="508">
        <v>12.016999999999999</v>
      </c>
      <c r="T2153" s="508">
        <v>10.416</v>
      </c>
      <c r="U2153" s="508">
        <v>6.5780000000000003</v>
      </c>
      <c r="V2153" s="508">
        <v>6.4880000000000004</v>
      </c>
      <c r="W2153" s="508">
        <v>6.6909999999999998</v>
      </c>
      <c r="X2153" s="508">
        <v>5.5919999999999996</v>
      </c>
      <c r="Y2153" s="508">
        <v>4.6740000000000004</v>
      </c>
      <c r="Z2153" s="508">
        <v>3.7</v>
      </c>
      <c r="AA2153" s="508">
        <v>3.177</v>
      </c>
      <c r="AB2153" s="508">
        <v>2.99</v>
      </c>
      <c r="AC2153" s="508">
        <v>2.085</v>
      </c>
      <c r="AD2153" s="508">
        <v>2.0710000000000002</v>
      </c>
      <c r="AE2153" s="508">
        <v>2.6070000000000002</v>
      </c>
      <c r="AF2153" s="508">
        <v>1.3720000000000001</v>
      </c>
      <c r="AG2153" s="508">
        <v>1.3480000000000001</v>
      </c>
      <c r="AH2153" s="508">
        <v>1.3560000000000001</v>
      </c>
      <c r="AI2153" s="492">
        <v>1.393</v>
      </c>
      <c r="AJ2153" s="485"/>
    </row>
    <row r="2154" spans="2:36">
      <c r="B2154" s="136" t="s">
        <v>476</v>
      </c>
      <c r="C2154" s="132" t="s">
        <v>1367</v>
      </c>
      <c r="D2154" s="132" t="s">
        <v>282</v>
      </c>
      <c r="E2154" s="508">
        <v>59.951000000000001</v>
      </c>
      <c r="F2154" s="508">
        <v>40.392000000000003</v>
      </c>
      <c r="G2154" s="508">
        <v>32.743000000000002</v>
      </c>
      <c r="H2154" s="508">
        <v>34.954000000000001</v>
      </c>
      <c r="I2154" s="508">
        <v>31.635000000000002</v>
      </c>
      <c r="J2154" s="508">
        <v>22.218</v>
      </c>
      <c r="K2154" s="508">
        <v>20.951000000000001</v>
      </c>
      <c r="L2154" s="508">
        <v>20.405000000000001</v>
      </c>
      <c r="M2154" s="508">
        <v>20.75</v>
      </c>
      <c r="N2154" s="508">
        <v>25.649000000000001</v>
      </c>
      <c r="O2154" s="508">
        <v>21.613</v>
      </c>
      <c r="P2154" s="508">
        <v>9.2189999999999994</v>
      </c>
      <c r="Q2154" s="508">
        <v>10.968999999999999</v>
      </c>
      <c r="R2154" s="508">
        <v>11.263999999999999</v>
      </c>
      <c r="S2154" s="508">
        <v>11.045</v>
      </c>
      <c r="T2154" s="508">
        <v>9.5630000000000006</v>
      </c>
      <c r="U2154" s="508">
        <v>6.048</v>
      </c>
      <c r="V2154" s="508">
        <v>5.9710000000000001</v>
      </c>
      <c r="W2154" s="508">
        <v>6.165</v>
      </c>
      <c r="X2154" s="508">
        <v>5.1619999999999999</v>
      </c>
      <c r="Y2154" s="508">
        <v>4.3099999999999996</v>
      </c>
      <c r="Z2154" s="508">
        <v>3.4380000000000002</v>
      </c>
      <c r="AA2154" s="508">
        <v>2.948</v>
      </c>
      <c r="AB2154" s="508">
        <v>2.7530000000000001</v>
      </c>
      <c r="AC2154" s="508">
        <v>1.9159999999999999</v>
      </c>
      <c r="AD2154" s="508">
        <v>1.9179999999999999</v>
      </c>
      <c r="AE2154" s="508">
        <v>2.415</v>
      </c>
      <c r="AF2154" s="508">
        <v>1.2729999999999999</v>
      </c>
      <c r="AG2154" s="508">
        <v>1.2509999999999999</v>
      </c>
      <c r="AH2154" s="508">
        <v>1.2669999999999999</v>
      </c>
      <c r="AI2154" s="492">
        <v>1.3420000000000001</v>
      </c>
      <c r="AJ2154" s="485"/>
    </row>
    <row r="2155" spans="2:36">
      <c r="B2155" s="136" t="s">
        <v>478</v>
      </c>
      <c r="C2155" s="132" t="s">
        <v>1367</v>
      </c>
      <c r="D2155" s="132" t="s">
        <v>282</v>
      </c>
      <c r="E2155" s="508">
        <v>17.673999999999999</v>
      </c>
      <c r="F2155" s="508">
        <v>9.0519999999999996</v>
      </c>
      <c r="G2155" s="508">
        <v>7</v>
      </c>
      <c r="H2155" s="508">
        <v>7.4390000000000001</v>
      </c>
      <c r="I2155" s="508">
        <v>6.7889999999999997</v>
      </c>
      <c r="J2155" s="508">
        <v>5.0910000000000002</v>
      </c>
      <c r="K2155" s="508">
        <v>4.8689999999999998</v>
      </c>
      <c r="L2155" s="508">
        <v>4.72</v>
      </c>
      <c r="M2155" s="508">
        <v>4.8789999999999996</v>
      </c>
      <c r="N2155" s="508">
        <v>6.75</v>
      </c>
      <c r="O2155" s="508">
        <v>5.52</v>
      </c>
      <c r="P2155" s="508">
        <v>7.258</v>
      </c>
      <c r="Q2155" s="508">
        <v>8.5749999999999993</v>
      </c>
      <c r="R2155" s="508">
        <v>8.6989999999999998</v>
      </c>
      <c r="S2155" s="508">
        <v>8.5739999999999998</v>
      </c>
      <c r="T2155" s="508">
        <v>7.3659999999999997</v>
      </c>
      <c r="U2155" s="508">
        <v>4.7789999999999999</v>
      </c>
      <c r="V2155" s="508">
        <v>4.7290000000000001</v>
      </c>
      <c r="W2155" s="508">
        <v>4.8730000000000002</v>
      </c>
      <c r="X2155" s="508">
        <v>4.1180000000000003</v>
      </c>
      <c r="Y2155" s="508">
        <v>3.444</v>
      </c>
      <c r="Z2155" s="508">
        <v>2.944</v>
      </c>
      <c r="AA2155" s="508">
        <v>2.5</v>
      </c>
      <c r="AB2155" s="508">
        <v>2.343</v>
      </c>
      <c r="AC2155" s="508">
        <v>1.6140000000000001</v>
      </c>
      <c r="AD2155" s="508">
        <v>1.71</v>
      </c>
      <c r="AE2155" s="508">
        <v>2.569</v>
      </c>
      <c r="AF2155" s="508">
        <v>1.296</v>
      </c>
      <c r="AG2155" s="508">
        <v>1.272</v>
      </c>
      <c r="AH2155" s="508">
        <v>1.2789999999999999</v>
      </c>
      <c r="AI2155" s="492">
        <v>1.3140000000000001</v>
      </c>
      <c r="AJ2155" s="485"/>
    </row>
    <row r="2156" spans="2:36">
      <c r="B2156" s="136" t="s">
        <v>479</v>
      </c>
      <c r="C2156" s="132" t="s">
        <v>1367</v>
      </c>
      <c r="D2156" s="132" t="s">
        <v>282</v>
      </c>
      <c r="E2156" s="508">
        <v>58.32</v>
      </c>
      <c r="F2156" s="508">
        <v>45.545999999999999</v>
      </c>
      <c r="G2156" s="508">
        <v>36.987000000000002</v>
      </c>
      <c r="H2156" s="508">
        <v>39.49</v>
      </c>
      <c r="I2156" s="508">
        <v>35.729999999999997</v>
      </c>
      <c r="J2156" s="508">
        <v>25.033000000000001</v>
      </c>
      <c r="K2156" s="508">
        <v>23.600999999999999</v>
      </c>
      <c r="L2156" s="508">
        <v>23.003</v>
      </c>
      <c r="M2156" s="508">
        <v>23.393999999999998</v>
      </c>
      <c r="N2156" s="508">
        <v>28.387</v>
      </c>
      <c r="O2156" s="508">
        <v>23.972000000000001</v>
      </c>
      <c r="P2156" s="508">
        <v>9.9380000000000006</v>
      </c>
      <c r="Q2156" s="508">
        <v>11.929</v>
      </c>
      <c r="R2156" s="508">
        <v>12.321</v>
      </c>
      <c r="S2156" s="508">
        <v>12.067</v>
      </c>
      <c r="T2156" s="508">
        <v>10.492000000000001</v>
      </c>
      <c r="U2156" s="508">
        <v>6.64</v>
      </c>
      <c r="V2156" s="508">
        <v>6.5540000000000003</v>
      </c>
      <c r="W2156" s="508">
        <v>6.79</v>
      </c>
      <c r="X2156" s="508">
        <v>5.6420000000000003</v>
      </c>
      <c r="Y2156" s="508">
        <v>4.7050000000000001</v>
      </c>
      <c r="Z2156" s="508">
        <v>3.621</v>
      </c>
      <c r="AA2156" s="508">
        <v>3.1269999999999998</v>
      </c>
      <c r="AB2156" s="508">
        <v>2.9449999999999998</v>
      </c>
      <c r="AC2156" s="508">
        <v>2.0649999999999999</v>
      </c>
      <c r="AD2156" s="508">
        <v>2.0110000000000001</v>
      </c>
      <c r="AE2156" s="508">
        <v>2.5579999999999998</v>
      </c>
      <c r="AF2156" s="508">
        <v>1.2589999999999999</v>
      </c>
      <c r="AG2156" s="508">
        <v>1.2569999999999999</v>
      </c>
      <c r="AH2156" s="508">
        <v>1.266</v>
      </c>
      <c r="AI2156" s="492">
        <v>1.3029999999999999</v>
      </c>
      <c r="AJ2156" s="485"/>
    </row>
    <row r="2157" spans="2:36">
      <c r="B2157" s="136" t="s">
        <v>480</v>
      </c>
      <c r="C2157" s="132" t="s">
        <v>1367</v>
      </c>
      <c r="D2157" s="132" t="s">
        <v>282</v>
      </c>
      <c r="E2157" s="508">
        <v>67.736999999999995</v>
      </c>
      <c r="F2157" s="508">
        <v>51.098999999999997</v>
      </c>
      <c r="G2157" s="508">
        <v>41.5</v>
      </c>
      <c r="H2157" s="508">
        <v>44.308999999999997</v>
      </c>
      <c r="I2157" s="508">
        <v>40.088999999999999</v>
      </c>
      <c r="J2157" s="508">
        <v>28.63</v>
      </c>
      <c r="K2157" s="508">
        <v>26.986000000000001</v>
      </c>
      <c r="L2157" s="508">
        <v>26.295999999999999</v>
      </c>
      <c r="M2157" s="508">
        <v>26.727</v>
      </c>
      <c r="N2157" s="508">
        <v>31.896000000000001</v>
      </c>
      <c r="O2157" s="508">
        <v>26.925000000000001</v>
      </c>
      <c r="P2157" s="508">
        <v>11.712</v>
      </c>
      <c r="Q2157" s="508">
        <v>13.92</v>
      </c>
      <c r="R2157" s="508">
        <v>14.391999999999999</v>
      </c>
      <c r="S2157" s="508">
        <v>14.055999999999999</v>
      </c>
      <c r="T2157" s="508">
        <v>12.208</v>
      </c>
      <c r="U2157" s="508">
        <v>7.0439999999999996</v>
      </c>
      <c r="V2157" s="508">
        <v>6.9470000000000001</v>
      </c>
      <c r="W2157" s="508">
        <v>7.1680000000000001</v>
      </c>
      <c r="X2157" s="508">
        <v>6.0519999999999996</v>
      </c>
      <c r="Y2157" s="508">
        <v>5.093</v>
      </c>
      <c r="Z2157" s="508">
        <v>3.9670000000000001</v>
      </c>
      <c r="AA2157" s="508">
        <v>3.4390000000000001</v>
      </c>
      <c r="AB2157" s="508">
        <v>3.2730000000000001</v>
      </c>
      <c r="AC2157" s="508">
        <v>2.3050000000000002</v>
      </c>
      <c r="AD2157" s="508">
        <v>2.266</v>
      </c>
      <c r="AE2157" s="508">
        <v>2.8460000000000001</v>
      </c>
      <c r="AF2157" s="508">
        <v>1.456</v>
      </c>
      <c r="AG2157" s="508">
        <v>1.4259999999999999</v>
      </c>
      <c r="AH2157" s="508">
        <v>1.4339999999999999</v>
      </c>
      <c r="AI2157" s="492">
        <v>1.474</v>
      </c>
      <c r="AJ2157" s="485"/>
    </row>
    <row r="2158" spans="2:36">
      <c r="B2158" s="136" t="s">
        <v>481</v>
      </c>
      <c r="C2158" s="132" t="s">
        <v>1367</v>
      </c>
      <c r="D2158" s="132" t="s">
        <v>282</v>
      </c>
      <c r="E2158" s="508">
        <v>57.015999999999998</v>
      </c>
      <c r="F2158" s="508">
        <v>43.27</v>
      </c>
      <c r="G2158" s="508">
        <v>35.11</v>
      </c>
      <c r="H2158" s="508">
        <v>37.484000000000002</v>
      </c>
      <c r="I2158" s="508">
        <v>33.918999999999997</v>
      </c>
      <c r="J2158" s="508">
        <v>23.8</v>
      </c>
      <c r="K2158" s="508">
        <v>22.442</v>
      </c>
      <c r="L2158" s="508">
        <v>21.869</v>
      </c>
      <c r="M2158" s="508">
        <v>22.242999999999999</v>
      </c>
      <c r="N2158" s="508">
        <v>27.192</v>
      </c>
      <c r="O2158" s="508">
        <v>22.943000000000001</v>
      </c>
      <c r="P2158" s="508">
        <v>9.6</v>
      </c>
      <c r="Q2158" s="508">
        <v>11.503</v>
      </c>
      <c r="R2158" s="508">
        <v>11.851000000000001</v>
      </c>
      <c r="S2158" s="508">
        <v>11.618</v>
      </c>
      <c r="T2158" s="508">
        <v>10.085000000000001</v>
      </c>
      <c r="U2158" s="508">
        <v>6.4749999999999996</v>
      </c>
      <c r="V2158" s="508">
        <v>6.3879999999999999</v>
      </c>
      <c r="W2158" s="508">
        <v>6.601</v>
      </c>
      <c r="X2158" s="508">
        <v>5.4809999999999999</v>
      </c>
      <c r="Y2158" s="508">
        <v>4.57</v>
      </c>
      <c r="Z2158" s="508">
        <v>3.573</v>
      </c>
      <c r="AA2158" s="508">
        <v>3.0680000000000001</v>
      </c>
      <c r="AB2158" s="508">
        <v>2.871</v>
      </c>
      <c r="AC2158" s="508">
        <v>2.0019999999999998</v>
      </c>
      <c r="AD2158" s="508">
        <v>1.974</v>
      </c>
      <c r="AE2158" s="508">
        <v>2.5009999999999999</v>
      </c>
      <c r="AF2158" s="508">
        <v>1.2689999999999999</v>
      </c>
      <c r="AG2158" s="508">
        <v>1.2589999999999999</v>
      </c>
      <c r="AH2158" s="508">
        <v>1.29</v>
      </c>
      <c r="AI2158" s="492">
        <v>1.3260000000000001</v>
      </c>
      <c r="AJ2158" s="485"/>
    </row>
    <row r="2159" spans="2:36">
      <c r="B2159" s="136" t="s">
        <v>482</v>
      </c>
      <c r="C2159" s="132" t="s">
        <v>1367</v>
      </c>
      <c r="D2159" s="132" t="s">
        <v>282</v>
      </c>
      <c r="E2159" s="508">
        <v>56.042999999999999</v>
      </c>
      <c r="F2159" s="508">
        <v>45.704000000000001</v>
      </c>
      <c r="G2159" s="508">
        <v>32.572000000000003</v>
      </c>
      <c r="H2159" s="508">
        <v>34.932000000000002</v>
      </c>
      <c r="I2159" s="508">
        <v>31.832999999999998</v>
      </c>
      <c r="J2159" s="508">
        <v>22.504999999999999</v>
      </c>
      <c r="K2159" s="508">
        <v>21.238</v>
      </c>
      <c r="L2159" s="508">
        <v>20.773</v>
      </c>
      <c r="M2159" s="508">
        <v>21.189</v>
      </c>
      <c r="N2159" s="508">
        <v>25.358000000000001</v>
      </c>
      <c r="O2159" s="508">
        <v>21.443000000000001</v>
      </c>
      <c r="P2159" s="508">
        <v>9.2070000000000007</v>
      </c>
      <c r="Q2159" s="508">
        <v>11.173</v>
      </c>
      <c r="R2159" s="508">
        <v>11.536</v>
      </c>
      <c r="S2159" s="508">
        <v>11.33</v>
      </c>
      <c r="T2159" s="508">
        <v>9.8480000000000008</v>
      </c>
      <c r="U2159" s="508">
        <v>6.3760000000000003</v>
      </c>
      <c r="V2159" s="508">
        <v>6.3029999999999999</v>
      </c>
      <c r="W2159" s="508">
        <v>6.5460000000000003</v>
      </c>
      <c r="X2159" s="508">
        <v>5.4530000000000003</v>
      </c>
      <c r="Y2159" s="508">
        <v>4.55</v>
      </c>
      <c r="Z2159" s="508">
        <v>3.5649999999999999</v>
      </c>
      <c r="AA2159" s="508">
        <v>3.069</v>
      </c>
      <c r="AB2159" s="508">
        <v>2.88</v>
      </c>
      <c r="AC2159" s="508">
        <v>2.0129999999999999</v>
      </c>
      <c r="AD2159" s="508">
        <v>2</v>
      </c>
      <c r="AE2159" s="508">
        <v>2.552</v>
      </c>
      <c r="AF2159" s="508">
        <v>1.2929999999999999</v>
      </c>
      <c r="AG2159" s="508">
        <v>1.2969999999999999</v>
      </c>
      <c r="AH2159" s="508">
        <v>1.345</v>
      </c>
      <c r="AI2159" s="492">
        <v>1.385</v>
      </c>
      <c r="AJ2159" s="485"/>
    </row>
    <row r="2160" spans="2:36">
      <c r="B2160" s="136" t="s">
        <v>483</v>
      </c>
      <c r="C2160" s="132" t="s">
        <v>1367</v>
      </c>
      <c r="D2160" s="132" t="s">
        <v>282</v>
      </c>
      <c r="E2160" s="508">
        <v>54.261000000000003</v>
      </c>
      <c r="F2160" s="508">
        <v>39.253999999999998</v>
      </c>
      <c r="G2160" s="508">
        <v>31.800999999999998</v>
      </c>
      <c r="H2160" s="508">
        <v>33.945999999999998</v>
      </c>
      <c r="I2160" s="508">
        <v>30.725999999999999</v>
      </c>
      <c r="J2160" s="508">
        <v>21.581</v>
      </c>
      <c r="K2160" s="508">
        <v>20.353000000000002</v>
      </c>
      <c r="L2160" s="508">
        <v>19.82</v>
      </c>
      <c r="M2160" s="508">
        <v>20.158999999999999</v>
      </c>
      <c r="N2160" s="508">
        <v>25.026</v>
      </c>
      <c r="O2160" s="508">
        <v>21.076000000000001</v>
      </c>
      <c r="P2160" s="508">
        <v>9.5009999999999994</v>
      </c>
      <c r="Q2160" s="508">
        <v>11.337999999999999</v>
      </c>
      <c r="R2160" s="508">
        <v>11.651</v>
      </c>
      <c r="S2160" s="508">
        <v>11.417999999999999</v>
      </c>
      <c r="T2160" s="508">
        <v>9.8930000000000007</v>
      </c>
      <c r="U2160" s="508">
        <v>6.2779999999999996</v>
      </c>
      <c r="V2160" s="508">
        <v>6.194</v>
      </c>
      <c r="W2160" s="508">
        <v>6.3920000000000003</v>
      </c>
      <c r="X2160" s="508">
        <v>5.34</v>
      </c>
      <c r="Y2160" s="508">
        <v>4.4560000000000004</v>
      </c>
      <c r="Z2160" s="508">
        <v>3.5649999999999999</v>
      </c>
      <c r="AA2160" s="508">
        <v>3.0590000000000002</v>
      </c>
      <c r="AB2160" s="508">
        <v>2.8719999999999999</v>
      </c>
      <c r="AC2160" s="508">
        <v>2.0009999999999999</v>
      </c>
      <c r="AD2160" s="508">
        <v>1.996</v>
      </c>
      <c r="AE2160" s="508">
        <v>2.5129999999999999</v>
      </c>
      <c r="AF2160" s="508">
        <v>1.3109999999999999</v>
      </c>
      <c r="AG2160" s="508">
        <v>1.288</v>
      </c>
      <c r="AH2160" s="508">
        <v>1.2949999999999999</v>
      </c>
      <c r="AI2160" s="492">
        <v>1.33</v>
      </c>
      <c r="AJ2160" s="485"/>
    </row>
    <row r="2161" spans="2:36">
      <c r="B2161" s="136" t="s">
        <v>484</v>
      </c>
      <c r="C2161" s="132" t="s">
        <v>1367</v>
      </c>
      <c r="D2161" s="132" t="s">
        <v>282</v>
      </c>
      <c r="E2161" s="508">
        <v>65.122</v>
      </c>
      <c r="F2161" s="508">
        <v>48.576999999999998</v>
      </c>
      <c r="G2161" s="508">
        <v>39.445999999999998</v>
      </c>
      <c r="H2161" s="508">
        <v>42.116999999999997</v>
      </c>
      <c r="I2161" s="508">
        <v>38.106000000000002</v>
      </c>
      <c r="J2161" s="508">
        <v>27.117000000000001</v>
      </c>
      <c r="K2161" s="508">
        <v>25.553000000000001</v>
      </c>
      <c r="L2161" s="508">
        <v>24.891999999999999</v>
      </c>
      <c r="M2161" s="508">
        <v>25.291</v>
      </c>
      <c r="N2161" s="508">
        <v>30.420999999999999</v>
      </c>
      <c r="O2161" s="508">
        <v>25.669</v>
      </c>
      <c r="P2161" s="508">
        <v>9.8149999999999995</v>
      </c>
      <c r="Q2161" s="508">
        <v>11.558999999999999</v>
      </c>
      <c r="R2161" s="508">
        <v>11.868</v>
      </c>
      <c r="S2161" s="508">
        <v>11.622999999999999</v>
      </c>
      <c r="T2161" s="508">
        <v>10.042999999999999</v>
      </c>
      <c r="U2161" s="508">
        <v>6.024</v>
      </c>
      <c r="V2161" s="508">
        <v>5.952</v>
      </c>
      <c r="W2161" s="508">
        <v>6.1390000000000002</v>
      </c>
      <c r="X2161" s="508">
        <v>5.2210000000000001</v>
      </c>
      <c r="Y2161" s="508">
        <v>4.3920000000000003</v>
      </c>
      <c r="Z2161" s="508">
        <v>3.5539999999999998</v>
      </c>
      <c r="AA2161" s="508">
        <v>3.0590000000000002</v>
      </c>
      <c r="AB2161" s="508">
        <v>2.8809999999999998</v>
      </c>
      <c r="AC2161" s="508">
        <v>2.012</v>
      </c>
      <c r="AD2161" s="508">
        <v>2.0390000000000001</v>
      </c>
      <c r="AE2161" s="508">
        <v>2.5569999999999999</v>
      </c>
      <c r="AF2161" s="508">
        <v>1.391</v>
      </c>
      <c r="AG2161" s="508">
        <v>1.421</v>
      </c>
      <c r="AH2161" s="508">
        <v>1.429</v>
      </c>
      <c r="AI2161" s="492">
        <v>1.4690000000000001</v>
      </c>
      <c r="AJ2161" s="485"/>
    </row>
    <row r="2162" spans="2:36">
      <c r="B2162" s="136" t="s">
        <v>486</v>
      </c>
      <c r="C2162" s="132" t="s">
        <v>1367</v>
      </c>
      <c r="D2162" s="132" t="s">
        <v>282</v>
      </c>
      <c r="E2162" s="508">
        <v>54.600999999999999</v>
      </c>
      <c r="F2162" s="508">
        <v>41.084000000000003</v>
      </c>
      <c r="G2162" s="508">
        <v>33.326999999999998</v>
      </c>
      <c r="H2162" s="508">
        <v>35.58</v>
      </c>
      <c r="I2162" s="508">
        <v>32.198</v>
      </c>
      <c r="J2162" s="508">
        <v>22.635999999999999</v>
      </c>
      <c r="K2162" s="508">
        <v>21.341999999999999</v>
      </c>
      <c r="L2162" s="508">
        <v>20.792000000000002</v>
      </c>
      <c r="M2162" s="508">
        <v>21.145</v>
      </c>
      <c r="N2162" s="508">
        <v>25.824000000000002</v>
      </c>
      <c r="O2162" s="508">
        <v>21.777999999999999</v>
      </c>
      <c r="P2162" s="508">
        <v>9.4670000000000005</v>
      </c>
      <c r="Q2162" s="508">
        <v>11.347</v>
      </c>
      <c r="R2162" s="508">
        <v>11.696999999999999</v>
      </c>
      <c r="S2162" s="508">
        <v>11.457000000000001</v>
      </c>
      <c r="T2162" s="508">
        <v>9.9469999999999992</v>
      </c>
      <c r="U2162" s="508">
        <v>6.3390000000000004</v>
      </c>
      <c r="V2162" s="508">
        <v>6.2560000000000002</v>
      </c>
      <c r="W2162" s="508">
        <v>6.4710000000000001</v>
      </c>
      <c r="X2162" s="508">
        <v>5.3949999999999996</v>
      </c>
      <c r="Y2162" s="508">
        <v>4.5039999999999996</v>
      </c>
      <c r="Z2162" s="508">
        <v>3.5150000000000001</v>
      </c>
      <c r="AA2162" s="508">
        <v>3.0289999999999999</v>
      </c>
      <c r="AB2162" s="508">
        <v>2.8530000000000002</v>
      </c>
      <c r="AC2162" s="508">
        <v>1.9970000000000001</v>
      </c>
      <c r="AD2162" s="508">
        <v>1.9670000000000001</v>
      </c>
      <c r="AE2162" s="508">
        <v>2.4900000000000002</v>
      </c>
      <c r="AF2162" s="508">
        <v>1.258</v>
      </c>
      <c r="AG2162" s="508">
        <v>1.2470000000000001</v>
      </c>
      <c r="AH2162" s="508">
        <v>1.2649999999999999</v>
      </c>
      <c r="AI2162" s="492">
        <v>1.3009999999999999</v>
      </c>
      <c r="AJ2162" s="485"/>
    </row>
    <row r="2163" spans="2:36">
      <c r="B2163" s="136" t="s">
        <v>487</v>
      </c>
      <c r="C2163" s="132" t="s">
        <v>1367</v>
      </c>
      <c r="D2163" s="132" t="s">
        <v>282</v>
      </c>
      <c r="E2163" s="508">
        <v>62.764000000000003</v>
      </c>
      <c r="F2163" s="508">
        <v>47.499000000000002</v>
      </c>
      <c r="G2163" s="508">
        <v>33.926000000000002</v>
      </c>
      <c r="H2163" s="508">
        <v>36.216999999999999</v>
      </c>
      <c r="I2163" s="508">
        <v>32.777999999999999</v>
      </c>
      <c r="J2163" s="508">
        <v>23.186</v>
      </c>
      <c r="K2163" s="508">
        <v>21.863</v>
      </c>
      <c r="L2163" s="508">
        <v>21.294</v>
      </c>
      <c r="M2163" s="508">
        <v>21.654</v>
      </c>
      <c r="N2163" s="508">
        <v>26.390999999999998</v>
      </c>
      <c r="O2163" s="508">
        <v>22.24</v>
      </c>
      <c r="P2163" s="508">
        <v>9.9600000000000009</v>
      </c>
      <c r="Q2163" s="508">
        <v>11.897</v>
      </c>
      <c r="R2163" s="508">
        <v>12.247999999999999</v>
      </c>
      <c r="S2163" s="508">
        <v>11.99</v>
      </c>
      <c r="T2163" s="508">
        <v>10.396000000000001</v>
      </c>
      <c r="U2163" s="508">
        <v>6.5670000000000002</v>
      </c>
      <c r="V2163" s="508">
        <v>6.4770000000000003</v>
      </c>
      <c r="W2163" s="508">
        <v>6.6790000000000003</v>
      </c>
      <c r="X2163" s="508">
        <v>5.5960000000000001</v>
      </c>
      <c r="Y2163" s="508">
        <v>4.6849999999999996</v>
      </c>
      <c r="Z2163" s="508">
        <v>3.7090000000000001</v>
      </c>
      <c r="AA2163" s="508">
        <v>3.1920000000000002</v>
      </c>
      <c r="AB2163" s="508">
        <v>3.0089999999999999</v>
      </c>
      <c r="AC2163" s="508">
        <v>2.1030000000000002</v>
      </c>
      <c r="AD2163" s="508">
        <v>2.0939999999999999</v>
      </c>
      <c r="AE2163" s="508">
        <v>2.7429999999999999</v>
      </c>
      <c r="AF2163" s="508">
        <v>1.389</v>
      </c>
      <c r="AG2163" s="508">
        <v>1.363</v>
      </c>
      <c r="AH2163" s="508">
        <v>1.37</v>
      </c>
      <c r="AI2163" s="492">
        <v>1.4079999999999999</v>
      </c>
      <c r="AJ2163" s="485"/>
    </row>
    <row r="2164" spans="2:36">
      <c r="B2164" s="136" t="s">
        <v>488</v>
      </c>
      <c r="C2164" s="132" t="s">
        <v>1367</v>
      </c>
      <c r="D2164" s="132" t="s">
        <v>282</v>
      </c>
      <c r="E2164" s="508">
        <v>62.886000000000003</v>
      </c>
      <c r="F2164" s="508">
        <v>47.844999999999999</v>
      </c>
      <c r="G2164" s="508">
        <v>38.854999999999997</v>
      </c>
      <c r="H2164" s="508">
        <v>41.484999999999999</v>
      </c>
      <c r="I2164" s="508">
        <v>37.533999999999999</v>
      </c>
      <c r="J2164" s="508">
        <v>26.613</v>
      </c>
      <c r="K2164" s="508">
        <v>25.085999999999999</v>
      </c>
      <c r="L2164" s="508">
        <v>24.446000000000002</v>
      </c>
      <c r="M2164" s="508">
        <v>24.853000000000002</v>
      </c>
      <c r="N2164" s="508">
        <v>29.827000000000002</v>
      </c>
      <c r="O2164" s="508">
        <v>25.181000000000001</v>
      </c>
      <c r="P2164" s="508">
        <v>10.691000000000001</v>
      </c>
      <c r="Q2164" s="508">
        <v>12.781000000000001</v>
      </c>
      <c r="R2164" s="508">
        <v>13.209</v>
      </c>
      <c r="S2164" s="508">
        <v>12.917999999999999</v>
      </c>
      <c r="T2164" s="508">
        <v>11.225</v>
      </c>
      <c r="U2164" s="508">
        <v>7.1219999999999999</v>
      </c>
      <c r="V2164" s="508">
        <v>7.0190000000000001</v>
      </c>
      <c r="W2164" s="508">
        <v>7.2370000000000001</v>
      </c>
      <c r="X2164" s="508">
        <v>6.0380000000000003</v>
      </c>
      <c r="Y2164" s="508">
        <v>5.0579999999999998</v>
      </c>
      <c r="Z2164" s="508">
        <v>3.923</v>
      </c>
      <c r="AA2164" s="508">
        <v>3.3820000000000001</v>
      </c>
      <c r="AB2164" s="508">
        <v>3.1930000000000001</v>
      </c>
      <c r="AC2164" s="508">
        <v>2.2370000000000001</v>
      </c>
      <c r="AD2164" s="508">
        <v>2.1909999999999998</v>
      </c>
      <c r="AE2164" s="508">
        <v>2.7610000000000001</v>
      </c>
      <c r="AF2164" s="508">
        <v>1.393</v>
      </c>
      <c r="AG2164" s="508">
        <v>1.373</v>
      </c>
      <c r="AH2164" s="508">
        <v>1.38</v>
      </c>
      <c r="AI2164" s="492">
        <v>1.4179999999999999</v>
      </c>
      <c r="AJ2164" s="485"/>
    </row>
    <row r="2165" spans="2:36">
      <c r="B2165" s="136" t="s">
        <v>489</v>
      </c>
      <c r="C2165" s="132" t="s">
        <v>1367</v>
      </c>
      <c r="D2165" s="132" t="s">
        <v>282</v>
      </c>
      <c r="E2165" s="508">
        <v>65.206000000000003</v>
      </c>
      <c r="F2165" s="508">
        <v>48.582000000000001</v>
      </c>
      <c r="G2165" s="508">
        <v>39.448999999999998</v>
      </c>
      <c r="H2165" s="508">
        <v>42.119</v>
      </c>
      <c r="I2165" s="508">
        <v>38.109000000000002</v>
      </c>
      <c r="J2165" s="508">
        <v>26.905000000000001</v>
      </c>
      <c r="K2165" s="508">
        <v>25.358000000000001</v>
      </c>
      <c r="L2165" s="508">
        <v>24.704999999999998</v>
      </c>
      <c r="M2165" s="508">
        <v>25.109000000000002</v>
      </c>
      <c r="N2165" s="508">
        <v>30.37</v>
      </c>
      <c r="O2165" s="508">
        <v>25.631</v>
      </c>
      <c r="P2165" s="508">
        <v>10.776999999999999</v>
      </c>
      <c r="Q2165" s="508">
        <v>12.784000000000001</v>
      </c>
      <c r="R2165" s="508">
        <v>13.183999999999999</v>
      </c>
      <c r="S2165" s="508">
        <v>12.887</v>
      </c>
      <c r="T2165" s="508">
        <v>11.177</v>
      </c>
      <c r="U2165" s="508">
        <v>6.5890000000000004</v>
      </c>
      <c r="V2165" s="508">
        <v>6.4980000000000002</v>
      </c>
      <c r="W2165" s="508">
        <v>6.7050000000000001</v>
      </c>
      <c r="X2165" s="508">
        <v>5.6429999999999998</v>
      </c>
      <c r="Y2165" s="508">
        <v>4.7290000000000001</v>
      </c>
      <c r="Z2165" s="508">
        <v>3.7240000000000002</v>
      </c>
      <c r="AA2165" s="508">
        <v>3.2080000000000002</v>
      </c>
      <c r="AB2165" s="508">
        <v>3.0350000000000001</v>
      </c>
      <c r="AC2165" s="508">
        <v>2.1269999999999998</v>
      </c>
      <c r="AD2165" s="508">
        <v>2.1019999999999999</v>
      </c>
      <c r="AE2165" s="508">
        <v>2.637</v>
      </c>
      <c r="AF2165" s="508">
        <v>1.369</v>
      </c>
      <c r="AG2165" s="508">
        <v>1.3480000000000001</v>
      </c>
      <c r="AH2165" s="508">
        <v>1.355</v>
      </c>
      <c r="AI2165" s="492">
        <v>1.3919999999999999</v>
      </c>
      <c r="AJ2165" s="485"/>
    </row>
    <row r="2166" spans="2:36">
      <c r="B2166" s="136" t="s">
        <v>490</v>
      </c>
      <c r="C2166" s="132" t="s">
        <v>1367</v>
      </c>
      <c r="D2166" s="132" t="s">
        <v>282</v>
      </c>
      <c r="E2166" s="508">
        <v>66.903000000000006</v>
      </c>
      <c r="F2166" s="508">
        <v>50.469000000000001</v>
      </c>
      <c r="G2166" s="508">
        <v>40.988</v>
      </c>
      <c r="H2166" s="508">
        <v>43.762999999999998</v>
      </c>
      <c r="I2166" s="508">
        <v>39.594999999999999</v>
      </c>
      <c r="J2166" s="508">
        <v>28.262</v>
      </c>
      <c r="K2166" s="508">
        <v>26.632000000000001</v>
      </c>
      <c r="L2166" s="508">
        <v>25.943999999999999</v>
      </c>
      <c r="M2166" s="508">
        <v>26.361999999999998</v>
      </c>
      <c r="N2166" s="508">
        <v>31.451000000000001</v>
      </c>
      <c r="O2166" s="508">
        <v>26.542000000000002</v>
      </c>
      <c r="P2166" s="508">
        <v>11.606</v>
      </c>
      <c r="Q2166" s="508">
        <v>13.773</v>
      </c>
      <c r="R2166" s="508">
        <v>14.234</v>
      </c>
      <c r="S2166" s="508">
        <v>13.891999999999999</v>
      </c>
      <c r="T2166" s="508">
        <v>12.061</v>
      </c>
      <c r="U2166" s="508">
        <v>7.4539999999999997</v>
      </c>
      <c r="V2166" s="508">
        <v>7.3419999999999996</v>
      </c>
      <c r="W2166" s="508">
        <v>7.5579999999999998</v>
      </c>
      <c r="X2166" s="508">
        <v>6.367</v>
      </c>
      <c r="Y2166" s="508">
        <v>5.3570000000000002</v>
      </c>
      <c r="Z2166" s="508">
        <v>4.1829999999999998</v>
      </c>
      <c r="AA2166" s="508">
        <v>3.6179999999999999</v>
      </c>
      <c r="AB2166" s="508">
        <v>3.4340000000000002</v>
      </c>
      <c r="AC2166" s="508">
        <v>2.4129999999999998</v>
      </c>
      <c r="AD2166" s="508">
        <v>2.3730000000000002</v>
      </c>
      <c r="AE2166" s="508">
        <v>2.9689999999999999</v>
      </c>
      <c r="AF2166" s="508">
        <v>1.5309999999999999</v>
      </c>
      <c r="AG2166" s="508">
        <v>1.49</v>
      </c>
      <c r="AH2166" s="508">
        <v>1.498</v>
      </c>
      <c r="AI2166" s="492">
        <v>1.538</v>
      </c>
      <c r="AJ2166" s="485"/>
    </row>
    <row r="2167" spans="2:36">
      <c r="B2167" s="136" t="s">
        <v>435</v>
      </c>
      <c r="C2167" s="132" t="s">
        <v>1368</v>
      </c>
      <c r="D2167" s="132" t="s">
        <v>282</v>
      </c>
      <c r="E2167" s="508">
        <v>91.450999999999993</v>
      </c>
      <c r="F2167" s="508">
        <v>38.063000000000002</v>
      </c>
      <c r="G2167" s="508">
        <v>46.698</v>
      </c>
      <c r="H2167" s="508">
        <v>52.52</v>
      </c>
      <c r="I2167" s="508">
        <v>52.52</v>
      </c>
      <c r="J2167" s="508">
        <v>45.271999999999998</v>
      </c>
      <c r="K2167" s="508">
        <v>45.420999999999999</v>
      </c>
      <c r="L2167" s="508">
        <v>15.618</v>
      </c>
      <c r="M2167" s="508">
        <v>23.603000000000002</v>
      </c>
      <c r="N2167" s="508">
        <v>38.177</v>
      </c>
      <c r="O2167" s="508">
        <v>34.42</v>
      </c>
      <c r="P2167" s="508">
        <v>9.1340000000000003</v>
      </c>
      <c r="Q2167" s="508">
        <v>12.965</v>
      </c>
      <c r="R2167" s="508">
        <v>10.976000000000001</v>
      </c>
      <c r="S2167" s="508">
        <v>10.537000000000001</v>
      </c>
      <c r="T2167" s="508">
        <v>11.188000000000001</v>
      </c>
      <c r="U2167" s="508">
        <v>7.2809999999999997</v>
      </c>
      <c r="V2167" s="508">
        <v>6.0419999999999998</v>
      </c>
      <c r="W2167" s="508">
        <v>5.12</v>
      </c>
      <c r="X2167" s="508">
        <v>4.0789999999999997</v>
      </c>
      <c r="Y2167" s="508">
        <v>3.637</v>
      </c>
      <c r="Z2167" s="508">
        <v>3.1469999999999998</v>
      </c>
      <c r="AA2167" s="508">
        <v>1.744</v>
      </c>
      <c r="AB2167" s="508">
        <v>1.5109999999999999</v>
      </c>
      <c r="AC2167" s="508">
        <v>1.9430000000000001</v>
      </c>
      <c r="AD2167" s="508">
        <v>1.591</v>
      </c>
      <c r="AE2167" s="508">
        <v>1.1779999999999999</v>
      </c>
      <c r="AF2167" s="508">
        <v>0.67900000000000005</v>
      </c>
      <c r="AG2167" s="508">
        <v>0.67500000000000004</v>
      </c>
      <c r="AH2167" s="508">
        <v>0.67100000000000004</v>
      </c>
      <c r="AI2167" s="492">
        <v>0.66800000000000004</v>
      </c>
      <c r="AJ2167" s="485"/>
    </row>
    <row r="2168" spans="2:36">
      <c r="B2168" s="136" t="s">
        <v>436</v>
      </c>
      <c r="C2168" s="132" t="s">
        <v>1368</v>
      </c>
      <c r="D2168" s="132" t="s">
        <v>282</v>
      </c>
      <c r="E2168" s="508">
        <v>91.643000000000001</v>
      </c>
      <c r="F2168" s="508">
        <v>38.719000000000001</v>
      </c>
      <c r="G2168" s="508">
        <v>47.56</v>
      </c>
      <c r="H2168" s="508">
        <v>53.52</v>
      </c>
      <c r="I2168" s="508">
        <v>53.52</v>
      </c>
      <c r="J2168" s="508">
        <v>46.648000000000003</v>
      </c>
      <c r="K2168" s="508">
        <v>46.805999999999997</v>
      </c>
      <c r="L2168" s="508">
        <v>15.891</v>
      </c>
      <c r="M2168" s="508">
        <v>24.178999999999998</v>
      </c>
      <c r="N2168" s="508">
        <v>38.643999999999998</v>
      </c>
      <c r="O2168" s="508">
        <v>34.825000000000003</v>
      </c>
      <c r="P2168" s="508">
        <v>9.125</v>
      </c>
      <c r="Q2168" s="508">
        <v>13.086</v>
      </c>
      <c r="R2168" s="508">
        <v>11.038</v>
      </c>
      <c r="S2168" s="508">
        <v>10.587999999999999</v>
      </c>
      <c r="T2168" s="508">
        <v>11.263</v>
      </c>
      <c r="U2168" s="508">
        <v>7.31</v>
      </c>
      <c r="V2168" s="508">
        <v>6.0010000000000003</v>
      </c>
      <c r="W2168" s="508">
        <v>5.1159999999999997</v>
      </c>
      <c r="X2168" s="508">
        <v>4.0709999999999997</v>
      </c>
      <c r="Y2168" s="508">
        <v>3.6190000000000002</v>
      </c>
      <c r="Z2168" s="508">
        <v>3.11</v>
      </c>
      <c r="AA2168" s="508">
        <v>1.7749999999999999</v>
      </c>
      <c r="AB2168" s="508">
        <v>1.5409999999999999</v>
      </c>
      <c r="AC2168" s="508">
        <v>1.9950000000000001</v>
      </c>
      <c r="AD2168" s="508">
        <v>1.6439999999999999</v>
      </c>
      <c r="AE2168" s="508">
        <v>1.2110000000000001</v>
      </c>
      <c r="AF2168" s="508">
        <v>0.69599999999999995</v>
      </c>
      <c r="AG2168" s="508">
        <v>0.69199999999999995</v>
      </c>
      <c r="AH2168" s="508">
        <v>0.68799999999999994</v>
      </c>
      <c r="AI2168" s="492">
        <v>0.68500000000000005</v>
      </c>
      <c r="AJ2168" s="485"/>
    </row>
    <row r="2169" spans="2:36">
      <c r="B2169" s="136" t="s">
        <v>437</v>
      </c>
      <c r="C2169" s="132" t="s">
        <v>1368</v>
      </c>
      <c r="D2169" s="132" t="s">
        <v>282</v>
      </c>
      <c r="E2169" s="508">
        <v>100.038</v>
      </c>
      <c r="F2169" s="508">
        <v>43.564999999999998</v>
      </c>
      <c r="G2169" s="508">
        <v>53.832000000000001</v>
      </c>
      <c r="H2169" s="508">
        <v>61.058</v>
      </c>
      <c r="I2169" s="508">
        <v>61.847000000000001</v>
      </c>
      <c r="J2169" s="508">
        <v>53.853000000000002</v>
      </c>
      <c r="K2169" s="508">
        <v>54.113999999999997</v>
      </c>
      <c r="L2169" s="508">
        <v>18.78</v>
      </c>
      <c r="M2169" s="508">
        <v>28.498000000000001</v>
      </c>
      <c r="N2169" s="508">
        <v>43.755000000000003</v>
      </c>
      <c r="O2169" s="508">
        <v>39.715000000000003</v>
      </c>
      <c r="P2169" s="508">
        <v>10.836</v>
      </c>
      <c r="Q2169" s="508">
        <v>15.49</v>
      </c>
      <c r="R2169" s="508">
        <v>13.244</v>
      </c>
      <c r="S2169" s="508">
        <v>12.747999999999999</v>
      </c>
      <c r="T2169" s="508">
        <v>13.539</v>
      </c>
      <c r="U2169" s="508">
        <v>8.8659999999999997</v>
      </c>
      <c r="V2169" s="508">
        <v>7.423</v>
      </c>
      <c r="W2169" s="508">
        <v>6.2930000000000001</v>
      </c>
      <c r="X2169" s="508">
        <v>5.0620000000000003</v>
      </c>
      <c r="Y2169" s="508">
        <v>4.5259999999999998</v>
      </c>
      <c r="Z2169" s="508">
        <v>3.9279999999999999</v>
      </c>
      <c r="AA2169" s="508">
        <v>2.1640000000000001</v>
      </c>
      <c r="AB2169" s="508">
        <v>1.881</v>
      </c>
      <c r="AC2169" s="508">
        <v>2.431</v>
      </c>
      <c r="AD2169" s="508">
        <v>1.9950000000000001</v>
      </c>
      <c r="AE2169" s="508">
        <v>1.4730000000000001</v>
      </c>
      <c r="AF2169" s="508">
        <v>0.84499999999999997</v>
      </c>
      <c r="AG2169" s="508">
        <v>0.84099999999999997</v>
      </c>
      <c r="AH2169" s="508">
        <v>0.83699999999999997</v>
      </c>
      <c r="AI2169" s="492">
        <v>0.83399999999999996</v>
      </c>
      <c r="AJ2169" s="485"/>
    </row>
    <row r="2170" spans="2:36">
      <c r="B2170" s="136" t="s">
        <v>438</v>
      </c>
      <c r="C2170" s="132" t="s">
        <v>1368</v>
      </c>
      <c r="D2170" s="132" t="s">
        <v>282</v>
      </c>
      <c r="E2170" s="508">
        <v>90.427000000000007</v>
      </c>
      <c r="F2170" s="508">
        <v>38.261000000000003</v>
      </c>
      <c r="G2170" s="508">
        <v>47.021999999999998</v>
      </c>
      <c r="H2170" s="508">
        <v>52.927999999999997</v>
      </c>
      <c r="I2170" s="508">
        <v>52.927999999999997</v>
      </c>
      <c r="J2170" s="508">
        <v>46.387999999999998</v>
      </c>
      <c r="K2170" s="508">
        <v>46.546999999999997</v>
      </c>
      <c r="L2170" s="508">
        <v>15.712999999999999</v>
      </c>
      <c r="M2170" s="508">
        <v>23.981000000000002</v>
      </c>
      <c r="N2170" s="508">
        <v>38.204999999999998</v>
      </c>
      <c r="O2170" s="508">
        <v>34.417000000000002</v>
      </c>
      <c r="P2170" s="508">
        <v>8.9700000000000006</v>
      </c>
      <c r="Q2170" s="508">
        <v>12.922000000000001</v>
      </c>
      <c r="R2170" s="508">
        <v>10.879</v>
      </c>
      <c r="S2170" s="508">
        <v>10.43</v>
      </c>
      <c r="T2170" s="508">
        <v>11.103999999999999</v>
      </c>
      <c r="U2170" s="508">
        <v>7.181</v>
      </c>
      <c r="V2170" s="508">
        <v>5.8659999999999997</v>
      </c>
      <c r="W2170" s="508">
        <v>5.0140000000000002</v>
      </c>
      <c r="X2170" s="508">
        <v>3.9860000000000002</v>
      </c>
      <c r="Y2170" s="508">
        <v>3.5390000000000001</v>
      </c>
      <c r="Z2170" s="508">
        <v>3.0310000000000001</v>
      </c>
      <c r="AA2170" s="508">
        <v>1.7529999999999999</v>
      </c>
      <c r="AB2170" s="508">
        <v>1.522</v>
      </c>
      <c r="AC2170" s="508">
        <v>1.9750000000000001</v>
      </c>
      <c r="AD2170" s="508">
        <v>1.6319999999999999</v>
      </c>
      <c r="AE2170" s="508">
        <v>1.2</v>
      </c>
      <c r="AF2170" s="508">
        <v>0.68899999999999995</v>
      </c>
      <c r="AG2170" s="508">
        <v>0.68500000000000005</v>
      </c>
      <c r="AH2170" s="508">
        <v>0.68100000000000005</v>
      </c>
      <c r="AI2170" s="492">
        <v>0.67800000000000005</v>
      </c>
      <c r="AJ2170" s="485"/>
    </row>
    <row r="2171" spans="2:36">
      <c r="B2171" s="136" t="s">
        <v>439</v>
      </c>
      <c r="C2171" s="132" t="s">
        <v>1368</v>
      </c>
      <c r="D2171" s="132" t="s">
        <v>282</v>
      </c>
      <c r="E2171" s="508">
        <v>94.016999999999996</v>
      </c>
      <c r="F2171" s="508">
        <v>39.881999999999998</v>
      </c>
      <c r="G2171" s="508">
        <v>48.978999999999999</v>
      </c>
      <c r="H2171" s="508">
        <v>55.113</v>
      </c>
      <c r="I2171" s="508">
        <v>55.113</v>
      </c>
      <c r="J2171" s="508">
        <v>48.027000000000001</v>
      </c>
      <c r="K2171" s="508">
        <v>48.191000000000003</v>
      </c>
      <c r="L2171" s="508">
        <v>16.387</v>
      </c>
      <c r="M2171" s="508">
        <v>24.914999999999999</v>
      </c>
      <c r="N2171" s="508">
        <v>39.478999999999999</v>
      </c>
      <c r="O2171" s="508">
        <v>35.584000000000003</v>
      </c>
      <c r="P2171" s="508">
        <v>9.3770000000000007</v>
      </c>
      <c r="Q2171" s="508">
        <v>13.509</v>
      </c>
      <c r="R2171" s="508">
        <v>11.401</v>
      </c>
      <c r="S2171" s="508">
        <v>10.939</v>
      </c>
      <c r="T2171" s="508">
        <v>11.635</v>
      </c>
      <c r="U2171" s="508">
        <v>7.5860000000000003</v>
      </c>
      <c r="V2171" s="508">
        <v>6.2279999999999998</v>
      </c>
      <c r="W2171" s="508">
        <v>5.31</v>
      </c>
      <c r="X2171" s="508">
        <v>4.2279999999999998</v>
      </c>
      <c r="Y2171" s="508">
        <v>3.758</v>
      </c>
      <c r="Z2171" s="508">
        <v>3.2280000000000002</v>
      </c>
      <c r="AA2171" s="508">
        <v>1.845</v>
      </c>
      <c r="AB2171" s="508">
        <v>1.601</v>
      </c>
      <c r="AC2171" s="508">
        <v>2.0750000000000002</v>
      </c>
      <c r="AD2171" s="508">
        <v>1.7110000000000001</v>
      </c>
      <c r="AE2171" s="508">
        <v>1.2589999999999999</v>
      </c>
      <c r="AF2171" s="508">
        <v>0.72299999999999998</v>
      </c>
      <c r="AG2171" s="508">
        <v>0.71899999999999997</v>
      </c>
      <c r="AH2171" s="508">
        <v>0.71499999999999997</v>
      </c>
      <c r="AI2171" s="492">
        <v>0.71199999999999997</v>
      </c>
      <c r="AJ2171" s="485"/>
    </row>
    <row r="2172" spans="2:36">
      <c r="B2172" s="136" t="s">
        <v>440</v>
      </c>
      <c r="C2172" s="132" t="s">
        <v>1368</v>
      </c>
      <c r="D2172" s="132" t="s">
        <v>282</v>
      </c>
      <c r="E2172" s="508">
        <v>92.989000000000004</v>
      </c>
      <c r="F2172" s="508">
        <v>39.284999999999997</v>
      </c>
      <c r="G2172" s="508">
        <v>48.24</v>
      </c>
      <c r="H2172" s="508">
        <v>54.276000000000003</v>
      </c>
      <c r="I2172" s="508">
        <v>54.277000000000001</v>
      </c>
      <c r="J2172" s="508">
        <v>47.204000000000001</v>
      </c>
      <c r="K2172" s="508">
        <v>47.363</v>
      </c>
      <c r="L2172" s="508">
        <v>16.131</v>
      </c>
      <c r="M2172" s="508">
        <v>24.504000000000001</v>
      </c>
      <c r="N2172" s="508">
        <v>39.061999999999998</v>
      </c>
      <c r="O2172" s="508">
        <v>35.209000000000003</v>
      </c>
      <c r="P2172" s="508">
        <v>9.2750000000000004</v>
      </c>
      <c r="Q2172" s="508">
        <v>13.308</v>
      </c>
      <c r="R2172" s="508">
        <v>11.236000000000001</v>
      </c>
      <c r="S2172" s="508">
        <v>10.782</v>
      </c>
      <c r="T2172" s="508">
        <v>11.464</v>
      </c>
      <c r="U2172" s="508">
        <v>7.4640000000000004</v>
      </c>
      <c r="V2172" s="508">
        <v>6.14</v>
      </c>
      <c r="W2172" s="508">
        <v>5.2290000000000001</v>
      </c>
      <c r="X2172" s="508">
        <v>4.1639999999999997</v>
      </c>
      <c r="Y2172" s="508">
        <v>3.7029999999999998</v>
      </c>
      <c r="Z2172" s="508">
        <v>3.1859999999999999</v>
      </c>
      <c r="AA2172" s="508">
        <v>1.81</v>
      </c>
      <c r="AB2172" s="508">
        <v>1.57</v>
      </c>
      <c r="AC2172" s="508">
        <v>2.032</v>
      </c>
      <c r="AD2172" s="508">
        <v>1.673</v>
      </c>
      <c r="AE2172" s="508">
        <v>1.2330000000000001</v>
      </c>
      <c r="AF2172" s="508">
        <v>0.70799999999999996</v>
      </c>
      <c r="AG2172" s="508">
        <v>0.70399999999999996</v>
      </c>
      <c r="AH2172" s="508">
        <v>0.70099999999999996</v>
      </c>
      <c r="AI2172" s="492">
        <v>0.69699999999999995</v>
      </c>
      <c r="AJ2172" s="485"/>
    </row>
    <row r="2173" spans="2:36">
      <c r="B2173" s="136" t="s">
        <v>441</v>
      </c>
      <c r="C2173" s="132" t="s">
        <v>1368</v>
      </c>
      <c r="D2173" s="132" t="s">
        <v>282</v>
      </c>
      <c r="E2173" s="508">
        <v>94.26</v>
      </c>
      <c r="F2173" s="508">
        <v>40.090000000000003</v>
      </c>
      <c r="G2173" s="508">
        <v>49.244999999999997</v>
      </c>
      <c r="H2173" s="508">
        <v>55.417999999999999</v>
      </c>
      <c r="I2173" s="508">
        <v>55.417000000000002</v>
      </c>
      <c r="J2173" s="508">
        <v>48.402999999999999</v>
      </c>
      <c r="K2173" s="508">
        <v>48.569000000000003</v>
      </c>
      <c r="L2173" s="508">
        <v>16.478999999999999</v>
      </c>
      <c r="M2173" s="508">
        <v>25.085000000000001</v>
      </c>
      <c r="N2173" s="508">
        <v>39.603000000000002</v>
      </c>
      <c r="O2173" s="508">
        <v>35.692</v>
      </c>
      <c r="P2173" s="508">
        <v>9.3930000000000007</v>
      </c>
      <c r="Q2173" s="508">
        <v>13.573</v>
      </c>
      <c r="R2173" s="508">
        <v>11.448</v>
      </c>
      <c r="S2173" s="508">
        <v>10.981999999999999</v>
      </c>
      <c r="T2173" s="508">
        <v>11.686</v>
      </c>
      <c r="U2173" s="508">
        <v>7.617</v>
      </c>
      <c r="V2173" s="508">
        <v>6.24</v>
      </c>
      <c r="W2173" s="508">
        <v>5.3280000000000003</v>
      </c>
      <c r="X2173" s="508">
        <v>4.2409999999999997</v>
      </c>
      <c r="Y2173" s="508">
        <v>3.7669999999999999</v>
      </c>
      <c r="Z2173" s="508">
        <v>3.2320000000000002</v>
      </c>
      <c r="AA2173" s="508">
        <v>1.8580000000000001</v>
      </c>
      <c r="AB2173" s="508">
        <v>1.613</v>
      </c>
      <c r="AC2173" s="508">
        <v>2.093</v>
      </c>
      <c r="AD2173" s="508">
        <v>1.7270000000000001</v>
      </c>
      <c r="AE2173" s="508">
        <v>1.27</v>
      </c>
      <c r="AF2173" s="508">
        <v>0.72899999999999998</v>
      </c>
      <c r="AG2173" s="508">
        <v>0.72499999999999998</v>
      </c>
      <c r="AH2173" s="508">
        <v>0.72099999999999997</v>
      </c>
      <c r="AI2173" s="492">
        <v>0.71799999999999997</v>
      </c>
      <c r="AJ2173" s="485"/>
    </row>
    <row r="2174" spans="2:36">
      <c r="B2174" s="136" t="s">
        <v>443</v>
      </c>
      <c r="C2174" s="132" t="s">
        <v>1368</v>
      </c>
      <c r="D2174" s="132" t="s">
        <v>282</v>
      </c>
      <c r="E2174" s="508">
        <v>92.323999999999998</v>
      </c>
      <c r="F2174" s="508">
        <v>38.006999999999998</v>
      </c>
      <c r="G2174" s="508">
        <v>46.576999999999998</v>
      </c>
      <c r="H2174" s="508">
        <v>52.353999999999999</v>
      </c>
      <c r="I2174" s="508">
        <v>52.353999999999999</v>
      </c>
      <c r="J2174" s="508">
        <v>44.66</v>
      </c>
      <c r="K2174" s="508">
        <v>44.802</v>
      </c>
      <c r="L2174" s="508">
        <v>15.596</v>
      </c>
      <c r="M2174" s="508">
        <v>23.417000000000002</v>
      </c>
      <c r="N2174" s="508">
        <v>38.164999999999999</v>
      </c>
      <c r="O2174" s="508">
        <v>34.429000000000002</v>
      </c>
      <c r="P2174" s="508">
        <v>9.2560000000000002</v>
      </c>
      <c r="Q2174" s="508">
        <v>13.039</v>
      </c>
      <c r="R2174" s="508">
        <v>11.077</v>
      </c>
      <c r="S2174" s="508">
        <v>10.643000000000001</v>
      </c>
      <c r="T2174" s="508">
        <v>11.281000000000001</v>
      </c>
      <c r="U2174" s="508">
        <v>7.3739999999999997</v>
      </c>
      <c r="V2174" s="508">
        <v>6.1760000000000002</v>
      </c>
      <c r="W2174" s="508">
        <v>5.2080000000000002</v>
      </c>
      <c r="X2174" s="508">
        <v>4.1550000000000002</v>
      </c>
      <c r="Y2174" s="508">
        <v>3.714</v>
      </c>
      <c r="Z2174" s="508">
        <v>3.2330000000000001</v>
      </c>
      <c r="AA2174" s="508">
        <v>1.746</v>
      </c>
      <c r="AB2174" s="508">
        <v>1.51</v>
      </c>
      <c r="AC2174" s="508">
        <v>1.931</v>
      </c>
      <c r="AD2174" s="508">
        <v>1.5720000000000001</v>
      </c>
      <c r="AE2174" s="508">
        <v>1.17</v>
      </c>
      <c r="AF2174" s="508">
        <v>0.67500000000000004</v>
      </c>
      <c r="AG2174" s="508">
        <v>0.67100000000000004</v>
      </c>
      <c r="AH2174" s="508">
        <v>0.66700000000000004</v>
      </c>
      <c r="AI2174" s="492">
        <v>0.66400000000000003</v>
      </c>
      <c r="AJ2174" s="485"/>
    </row>
    <row r="2175" spans="2:36">
      <c r="B2175" s="136" t="s">
        <v>445</v>
      </c>
      <c r="C2175" s="132" t="s">
        <v>1368</v>
      </c>
      <c r="D2175" s="132" t="s">
        <v>282</v>
      </c>
      <c r="E2175" s="508">
        <v>97.147999999999996</v>
      </c>
      <c r="F2175" s="508">
        <v>39.924999999999997</v>
      </c>
      <c r="G2175" s="508">
        <v>48.850999999999999</v>
      </c>
      <c r="H2175" s="508">
        <v>54.868000000000002</v>
      </c>
      <c r="I2175" s="508">
        <v>54.868000000000002</v>
      </c>
      <c r="J2175" s="508">
        <v>46.042999999999999</v>
      </c>
      <c r="K2175" s="508">
        <v>46.186999999999998</v>
      </c>
      <c r="L2175" s="508">
        <v>16.361000000000001</v>
      </c>
      <c r="M2175" s="508">
        <v>24.344999999999999</v>
      </c>
      <c r="N2175" s="508">
        <v>39.875999999999998</v>
      </c>
      <c r="O2175" s="508">
        <v>36.01</v>
      </c>
      <c r="P2175" s="508">
        <v>9.8480000000000008</v>
      </c>
      <c r="Q2175" s="508">
        <v>13.734</v>
      </c>
      <c r="R2175" s="508">
        <v>11.733000000000001</v>
      </c>
      <c r="S2175" s="508">
        <v>11.289</v>
      </c>
      <c r="T2175" s="508">
        <v>11.936999999999999</v>
      </c>
      <c r="U2175" s="508">
        <v>7.8979999999999997</v>
      </c>
      <c r="V2175" s="508">
        <v>6.6970000000000001</v>
      </c>
      <c r="W2175" s="508">
        <v>5.6109999999999998</v>
      </c>
      <c r="X2175" s="508">
        <v>4.4889999999999999</v>
      </c>
      <c r="Y2175" s="508">
        <v>4.0259999999999998</v>
      </c>
      <c r="Z2175" s="508">
        <v>3.53</v>
      </c>
      <c r="AA2175" s="508">
        <v>1.847</v>
      </c>
      <c r="AB2175" s="508">
        <v>1.5960000000000001</v>
      </c>
      <c r="AC2175" s="508">
        <v>2.0270000000000001</v>
      </c>
      <c r="AD2175" s="508">
        <v>1.6379999999999999</v>
      </c>
      <c r="AE2175" s="508">
        <v>1.2250000000000001</v>
      </c>
      <c r="AF2175" s="508">
        <v>0.70799999999999996</v>
      </c>
      <c r="AG2175" s="508">
        <v>0.70399999999999996</v>
      </c>
      <c r="AH2175" s="508">
        <v>0.7</v>
      </c>
      <c r="AI2175" s="492">
        <v>0.69699999999999995</v>
      </c>
      <c r="AJ2175" s="485"/>
    </row>
    <row r="2176" spans="2:36">
      <c r="B2176" s="136" t="s">
        <v>446</v>
      </c>
      <c r="C2176" s="132" t="s">
        <v>1368</v>
      </c>
      <c r="D2176" s="132" t="s">
        <v>282</v>
      </c>
      <c r="E2176" s="508">
        <v>101.96299999999999</v>
      </c>
      <c r="F2176" s="508">
        <v>43.668999999999997</v>
      </c>
      <c r="G2176" s="508">
        <v>53.881999999999998</v>
      </c>
      <c r="H2176" s="508">
        <v>61.09</v>
      </c>
      <c r="I2176" s="508">
        <v>61.936</v>
      </c>
      <c r="J2176" s="508">
        <v>52.948999999999998</v>
      </c>
      <c r="K2176" s="508">
        <v>53.203000000000003</v>
      </c>
      <c r="L2176" s="508">
        <v>18.881</v>
      </c>
      <c r="M2176" s="508">
        <v>28.334</v>
      </c>
      <c r="N2176" s="508">
        <v>44.125999999999998</v>
      </c>
      <c r="O2176" s="508">
        <v>40.110999999999997</v>
      </c>
      <c r="P2176" s="508">
        <v>11.196</v>
      </c>
      <c r="Q2176" s="508">
        <v>15.736000000000001</v>
      </c>
      <c r="R2176" s="508">
        <v>13.55</v>
      </c>
      <c r="S2176" s="508">
        <v>13.063000000000001</v>
      </c>
      <c r="T2176" s="508">
        <v>13.831</v>
      </c>
      <c r="U2176" s="508">
        <v>9.1340000000000003</v>
      </c>
      <c r="V2176" s="508">
        <v>7.7789999999999999</v>
      </c>
      <c r="W2176" s="508">
        <v>6.5359999999999996</v>
      </c>
      <c r="X2176" s="508">
        <v>5.27</v>
      </c>
      <c r="Y2176" s="508">
        <v>4.7350000000000003</v>
      </c>
      <c r="Z2176" s="508">
        <v>4.1529999999999996</v>
      </c>
      <c r="AA2176" s="508">
        <v>2.1840000000000002</v>
      </c>
      <c r="AB2176" s="508">
        <v>1.8939999999999999</v>
      </c>
      <c r="AC2176" s="508">
        <v>2.4209999999999998</v>
      </c>
      <c r="AD2176" s="508">
        <v>1.966</v>
      </c>
      <c r="AE2176" s="508">
        <v>1.464</v>
      </c>
      <c r="AF2176" s="508">
        <v>0.84199999999999997</v>
      </c>
      <c r="AG2176" s="508">
        <v>0.83799999999999997</v>
      </c>
      <c r="AH2176" s="508">
        <v>0.83399999999999996</v>
      </c>
      <c r="AI2176" s="492">
        <v>0.83099999999999996</v>
      </c>
      <c r="AJ2176" s="485"/>
    </row>
    <row r="2177" spans="2:36">
      <c r="B2177" s="136" t="s">
        <v>448</v>
      </c>
      <c r="C2177" s="132" t="s">
        <v>1368</v>
      </c>
      <c r="D2177" s="132" t="s">
        <v>282</v>
      </c>
      <c r="E2177" s="508">
        <v>91.253</v>
      </c>
      <c r="F2177" s="508">
        <v>38.472999999999999</v>
      </c>
      <c r="G2177" s="508">
        <v>47.256999999999998</v>
      </c>
      <c r="H2177" s="508">
        <v>53.179000000000002</v>
      </c>
      <c r="I2177" s="508">
        <v>53.18</v>
      </c>
      <c r="J2177" s="508">
        <v>46.38</v>
      </c>
      <c r="K2177" s="508">
        <v>46.536000000000001</v>
      </c>
      <c r="L2177" s="508">
        <v>15.798</v>
      </c>
      <c r="M2177" s="508">
        <v>24.039000000000001</v>
      </c>
      <c r="N2177" s="508">
        <v>38.402999999999999</v>
      </c>
      <c r="O2177" s="508">
        <v>34.606000000000002</v>
      </c>
      <c r="P2177" s="508">
        <v>9.0749999999999993</v>
      </c>
      <c r="Q2177" s="508">
        <v>13.026999999999999</v>
      </c>
      <c r="R2177" s="508">
        <v>10.986000000000001</v>
      </c>
      <c r="S2177" s="508">
        <v>10.538</v>
      </c>
      <c r="T2177" s="508">
        <v>11.21</v>
      </c>
      <c r="U2177" s="508">
        <v>7.27</v>
      </c>
      <c r="V2177" s="508">
        <v>5.9669999999999996</v>
      </c>
      <c r="W2177" s="508">
        <v>5.0869999999999997</v>
      </c>
      <c r="X2177" s="508">
        <v>4.048</v>
      </c>
      <c r="Y2177" s="508">
        <v>3.5979999999999999</v>
      </c>
      <c r="Z2177" s="508">
        <v>3.0910000000000002</v>
      </c>
      <c r="AA2177" s="508">
        <v>1.7649999999999999</v>
      </c>
      <c r="AB2177" s="508">
        <v>1.532</v>
      </c>
      <c r="AC2177" s="508">
        <v>1.984</v>
      </c>
      <c r="AD2177" s="508">
        <v>1.635</v>
      </c>
      <c r="AE2177" s="508">
        <v>1.204</v>
      </c>
      <c r="AF2177" s="508">
        <v>0.69199999999999995</v>
      </c>
      <c r="AG2177" s="508">
        <v>0.68799999999999994</v>
      </c>
      <c r="AH2177" s="508">
        <v>0.68400000000000005</v>
      </c>
      <c r="AI2177" s="492">
        <v>0.68100000000000005</v>
      </c>
      <c r="AJ2177" s="485"/>
    </row>
    <row r="2178" spans="2:36">
      <c r="B2178" s="136" t="s">
        <v>449</v>
      </c>
      <c r="C2178" s="132" t="s">
        <v>1368</v>
      </c>
      <c r="D2178" s="132" t="s">
        <v>282</v>
      </c>
      <c r="E2178" s="508">
        <v>100.35</v>
      </c>
      <c r="F2178" s="508">
        <v>43.061999999999998</v>
      </c>
      <c r="G2178" s="508">
        <v>53.18</v>
      </c>
      <c r="H2178" s="508">
        <v>60.334000000000003</v>
      </c>
      <c r="I2178" s="508">
        <v>61.203000000000003</v>
      </c>
      <c r="J2178" s="508">
        <v>52.683999999999997</v>
      </c>
      <c r="K2178" s="508">
        <v>52.941000000000003</v>
      </c>
      <c r="L2178" s="508">
        <v>18.673999999999999</v>
      </c>
      <c r="M2178" s="508">
        <v>28.120999999999999</v>
      </c>
      <c r="N2178" s="508">
        <v>43.545999999999999</v>
      </c>
      <c r="O2178" s="508">
        <v>39.579000000000001</v>
      </c>
      <c r="P2178" s="508">
        <v>11.002000000000001</v>
      </c>
      <c r="Q2178" s="508">
        <v>15.551</v>
      </c>
      <c r="R2178" s="508">
        <v>13.367000000000001</v>
      </c>
      <c r="S2178" s="508">
        <v>12.881</v>
      </c>
      <c r="T2178" s="508">
        <v>13.651999999999999</v>
      </c>
      <c r="U2178" s="508">
        <v>8.968</v>
      </c>
      <c r="V2178" s="508">
        <v>7.6059999999999999</v>
      </c>
      <c r="W2178" s="508">
        <v>6.4059999999999997</v>
      </c>
      <c r="X2178" s="508">
        <v>5.1630000000000003</v>
      </c>
      <c r="Y2178" s="508">
        <v>4.6340000000000003</v>
      </c>
      <c r="Z2178" s="508">
        <v>4.0540000000000003</v>
      </c>
      <c r="AA2178" s="508">
        <v>2.157</v>
      </c>
      <c r="AB2178" s="508">
        <v>1.8720000000000001</v>
      </c>
      <c r="AC2178" s="508">
        <v>2.4</v>
      </c>
      <c r="AD2178" s="508">
        <v>1.9550000000000001</v>
      </c>
      <c r="AE2178" s="508">
        <v>1.452</v>
      </c>
      <c r="AF2178" s="508">
        <v>0.83499999999999996</v>
      </c>
      <c r="AG2178" s="508">
        <v>0.83099999999999996</v>
      </c>
      <c r="AH2178" s="508">
        <v>0.82699999999999996</v>
      </c>
      <c r="AI2178" s="492">
        <v>0.82399999999999995</v>
      </c>
      <c r="AJ2178" s="485"/>
    </row>
    <row r="2179" spans="2:36">
      <c r="B2179" s="136" t="s">
        <v>450</v>
      </c>
      <c r="C2179" s="132" t="s">
        <v>1368</v>
      </c>
      <c r="D2179" s="132" t="s">
        <v>282</v>
      </c>
      <c r="E2179" s="508">
        <v>90.685000000000002</v>
      </c>
      <c r="F2179" s="508">
        <v>38.026000000000003</v>
      </c>
      <c r="G2179" s="508">
        <v>46.692999999999998</v>
      </c>
      <c r="H2179" s="508">
        <v>52.534999999999997</v>
      </c>
      <c r="I2179" s="508">
        <v>52.534999999999997</v>
      </c>
      <c r="J2179" s="508">
        <v>45.633000000000003</v>
      </c>
      <c r="K2179" s="508">
        <v>45.784999999999997</v>
      </c>
      <c r="L2179" s="508">
        <v>15.601000000000001</v>
      </c>
      <c r="M2179" s="508">
        <v>23.69</v>
      </c>
      <c r="N2179" s="508">
        <v>38.106000000000002</v>
      </c>
      <c r="O2179" s="508">
        <v>34.341999999999999</v>
      </c>
      <c r="P2179" s="508">
        <v>9.0250000000000004</v>
      </c>
      <c r="Q2179" s="508">
        <v>12.893000000000001</v>
      </c>
      <c r="R2179" s="508">
        <v>10.884</v>
      </c>
      <c r="S2179" s="508">
        <v>10.442</v>
      </c>
      <c r="T2179" s="508">
        <v>11.101000000000001</v>
      </c>
      <c r="U2179" s="508">
        <v>7.2009999999999996</v>
      </c>
      <c r="V2179" s="508">
        <v>5.93</v>
      </c>
      <c r="W2179" s="508">
        <v>5.0460000000000003</v>
      </c>
      <c r="X2179" s="508">
        <v>4.016</v>
      </c>
      <c r="Y2179" s="508">
        <v>3.573</v>
      </c>
      <c r="Z2179" s="508">
        <v>3.077</v>
      </c>
      <c r="AA2179" s="508">
        <v>1.74</v>
      </c>
      <c r="AB2179" s="508">
        <v>1.5089999999999999</v>
      </c>
      <c r="AC2179" s="508">
        <v>1.9490000000000001</v>
      </c>
      <c r="AD2179" s="508">
        <v>1.603</v>
      </c>
      <c r="AE2179" s="508">
        <v>1.1830000000000001</v>
      </c>
      <c r="AF2179" s="508">
        <v>0.68</v>
      </c>
      <c r="AG2179" s="508">
        <v>0.67600000000000005</v>
      </c>
      <c r="AH2179" s="508">
        <v>0.67300000000000004</v>
      </c>
      <c r="AI2179" s="492">
        <v>0.67</v>
      </c>
      <c r="AJ2179" s="485"/>
    </row>
    <row r="2180" spans="2:36">
      <c r="B2180" s="136" t="s">
        <v>451</v>
      </c>
      <c r="C2180" s="132" t="s">
        <v>1368</v>
      </c>
      <c r="D2180" s="132" t="s">
        <v>282</v>
      </c>
      <c r="E2180" s="508">
        <v>96.105000000000004</v>
      </c>
      <c r="F2180" s="508">
        <v>39.996000000000002</v>
      </c>
      <c r="G2180" s="508">
        <v>49.008000000000003</v>
      </c>
      <c r="H2180" s="508">
        <v>55.085000000000001</v>
      </c>
      <c r="I2180" s="508">
        <v>55.084000000000003</v>
      </c>
      <c r="J2180" s="508">
        <v>46.917000000000002</v>
      </c>
      <c r="K2180" s="508">
        <v>47.069000000000003</v>
      </c>
      <c r="L2180" s="508">
        <v>16.408000000000001</v>
      </c>
      <c r="M2180" s="508">
        <v>24.620999999999999</v>
      </c>
      <c r="N2180" s="508">
        <v>39.79</v>
      </c>
      <c r="O2180" s="508">
        <v>35.905999999999999</v>
      </c>
      <c r="P2180" s="508">
        <v>9.6839999999999993</v>
      </c>
      <c r="Q2180" s="508">
        <v>13.677</v>
      </c>
      <c r="R2180" s="508">
        <v>11.63</v>
      </c>
      <c r="S2180" s="508">
        <v>11.178000000000001</v>
      </c>
      <c r="T2180" s="508">
        <v>11.846</v>
      </c>
      <c r="U2180" s="508">
        <v>7.7960000000000003</v>
      </c>
      <c r="V2180" s="508">
        <v>6.5309999999999997</v>
      </c>
      <c r="W2180" s="508">
        <v>5.508</v>
      </c>
      <c r="X2180" s="508">
        <v>4.399</v>
      </c>
      <c r="Y2180" s="508">
        <v>3.9319999999999999</v>
      </c>
      <c r="Z2180" s="508">
        <v>3.4220000000000002</v>
      </c>
      <c r="AA2180" s="508">
        <v>1.851</v>
      </c>
      <c r="AB2180" s="508">
        <v>1.6020000000000001</v>
      </c>
      <c r="AC2180" s="508">
        <v>2.0510000000000002</v>
      </c>
      <c r="AD2180" s="508">
        <v>1.671</v>
      </c>
      <c r="AE2180" s="508">
        <v>1.242</v>
      </c>
      <c r="AF2180" s="508">
        <v>0.71599999999999997</v>
      </c>
      <c r="AG2180" s="508">
        <v>0.71199999999999997</v>
      </c>
      <c r="AH2180" s="508">
        <v>0.70799999999999996</v>
      </c>
      <c r="AI2180" s="492">
        <v>0.70499999999999996</v>
      </c>
      <c r="AJ2180" s="485"/>
    </row>
    <row r="2181" spans="2:36">
      <c r="B2181" s="136" t="s">
        <v>452</v>
      </c>
      <c r="C2181" s="132" t="s">
        <v>1368</v>
      </c>
      <c r="D2181" s="132" t="s">
        <v>282</v>
      </c>
      <c r="E2181" s="508">
        <v>92.813000000000002</v>
      </c>
      <c r="F2181" s="508">
        <v>38.631999999999998</v>
      </c>
      <c r="G2181" s="508">
        <v>47.377000000000002</v>
      </c>
      <c r="H2181" s="508">
        <v>53.271999999999998</v>
      </c>
      <c r="I2181" s="508">
        <v>53.271999999999998</v>
      </c>
      <c r="J2181" s="508">
        <v>45.725000000000001</v>
      </c>
      <c r="K2181" s="508">
        <v>45.874000000000002</v>
      </c>
      <c r="L2181" s="508">
        <v>15.846</v>
      </c>
      <c r="M2181" s="508">
        <v>23.89</v>
      </c>
      <c r="N2181" s="508">
        <v>38.677999999999997</v>
      </c>
      <c r="O2181" s="508">
        <v>34.883000000000003</v>
      </c>
      <c r="P2181" s="508">
        <v>9.3000000000000007</v>
      </c>
      <c r="Q2181" s="508">
        <v>13.166</v>
      </c>
      <c r="R2181" s="508">
        <v>11.163</v>
      </c>
      <c r="S2181" s="508">
        <v>10.721</v>
      </c>
      <c r="T2181" s="508">
        <v>11.375</v>
      </c>
      <c r="U2181" s="508">
        <v>7.4290000000000003</v>
      </c>
      <c r="V2181" s="508">
        <v>6.1859999999999999</v>
      </c>
      <c r="W2181" s="508">
        <v>5.2329999999999997</v>
      </c>
      <c r="X2181" s="508">
        <v>4.173</v>
      </c>
      <c r="Y2181" s="508">
        <v>3.7240000000000002</v>
      </c>
      <c r="Z2181" s="508">
        <v>3.2290000000000001</v>
      </c>
      <c r="AA2181" s="508">
        <v>1.774</v>
      </c>
      <c r="AB2181" s="508">
        <v>1.536</v>
      </c>
      <c r="AC2181" s="508">
        <v>1.972</v>
      </c>
      <c r="AD2181" s="508">
        <v>1.6120000000000001</v>
      </c>
      <c r="AE2181" s="508">
        <v>1.1950000000000001</v>
      </c>
      <c r="AF2181" s="508">
        <v>0.68899999999999995</v>
      </c>
      <c r="AG2181" s="508">
        <v>0.68500000000000005</v>
      </c>
      <c r="AH2181" s="508">
        <v>0.68100000000000005</v>
      </c>
      <c r="AI2181" s="492">
        <v>0.67800000000000005</v>
      </c>
      <c r="AJ2181" s="485"/>
    </row>
    <row r="2182" spans="2:36">
      <c r="B2182" s="136" t="s">
        <v>453</v>
      </c>
      <c r="C2182" s="132" t="s">
        <v>1368</v>
      </c>
      <c r="D2182" s="132" t="s">
        <v>282</v>
      </c>
      <c r="E2182" s="508">
        <v>90.185000000000002</v>
      </c>
      <c r="F2182" s="508">
        <v>37.881999999999998</v>
      </c>
      <c r="G2182" s="508">
        <v>46.529000000000003</v>
      </c>
      <c r="H2182" s="508">
        <v>52.357999999999997</v>
      </c>
      <c r="I2182" s="508">
        <v>52.357999999999997</v>
      </c>
      <c r="J2182" s="508">
        <v>45.616999999999997</v>
      </c>
      <c r="K2182" s="508">
        <v>45.77</v>
      </c>
      <c r="L2182" s="508">
        <v>15.548999999999999</v>
      </c>
      <c r="M2182" s="508">
        <v>23.649000000000001</v>
      </c>
      <c r="N2182" s="508">
        <v>37.97</v>
      </c>
      <c r="O2182" s="508">
        <v>34.213999999999999</v>
      </c>
      <c r="P2182" s="508">
        <v>8.9640000000000004</v>
      </c>
      <c r="Q2182" s="508">
        <v>12.827999999999999</v>
      </c>
      <c r="R2182" s="508">
        <v>10.82</v>
      </c>
      <c r="S2182" s="508">
        <v>10.379</v>
      </c>
      <c r="T2182" s="508">
        <v>11.039</v>
      </c>
      <c r="U2182" s="508">
        <v>7.1459999999999999</v>
      </c>
      <c r="V2182" s="508">
        <v>5.8719999999999999</v>
      </c>
      <c r="W2182" s="508">
        <v>5.0030000000000001</v>
      </c>
      <c r="X2182" s="508">
        <v>3.98</v>
      </c>
      <c r="Y2182" s="508">
        <v>3.5390000000000001</v>
      </c>
      <c r="Z2182" s="508">
        <v>3.0430000000000001</v>
      </c>
      <c r="AA2182" s="508">
        <v>1.7310000000000001</v>
      </c>
      <c r="AB2182" s="508">
        <v>1.502</v>
      </c>
      <c r="AC2182" s="508">
        <v>1.9430000000000001</v>
      </c>
      <c r="AD2182" s="508">
        <v>1.6</v>
      </c>
      <c r="AE2182" s="508">
        <v>1.179</v>
      </c>
      <c r="AF2182" s="508">
        <v>0.67800000000000005</v>
      </c>
      <c r="AG2182" s="508">
        <v>0.67400000000000004</v>
      </c>
      <c r="AH2182" s="508">
        <v>0.67100000000000004</v>
      </c>
      <c r="AI2182" s="492">
        <v>0.66700000000000004</v>
      </c>
      <c r="AJ2182" s="485"/>
    </row>
    <row r="2183" spans="2:36">
      <c r="B2183" s="136" t="s">
        <v>454</v>
      </c>
      <c r="C2183" s="132" t="s">
        <v>1368</v>
      </c>
      <c r="D2183" s="132" t="s">
        <v>282</v>
      </c>
      <c r="E2183" s="508">
        <v>90.876000000000005</v>
      </c>
      <c r="F2183" s="508">
        <v>38.235999999999997</v>
      </c>
      <c r="G2183" s="508">
        <v>46.963999999999999</v>
      </c>
      <c r="H2183" s="508">
        <v>52.847999999999999</v>
      </c>
      <c r="I2183" s="508">
        <v>52.847000000000001</v>
      </c>
      <c r="J2183" s="508">
        <v>46.076999999999998</v>
      </c>
      <c r="K2183" s="508">
        <v>46.231999999999999</v>
      </c>
      <c r="L2183" s="508">
        <v>15.702</v>
      </c>
      <c r="M2183" s="508">
        <v>23.885999999999999</v>
      </c>
      <c r="N2183" s="508">
        <v>38.206000000000003</v>
      </c>
      <c r="O2183" s="508">
        <v>34.427</v>
      </c>
      <c r="P2183" s="508">
        <v>9.0329999999999995</v>
      </c>
      <c r="Q2183" s="508">
        <v>12.959</v>
      </c>
      <c r="R2183" s="508">
        <v>10.93</v>
      </c>
      <c r="S2183" s="508">
        <v>10.484</v>
      </c>
      <c r="T2183" s="508">
        <v>11.151999999999999</v>
      </c>
      <c r="U2183" s="508">
        <v>7.2279999999999998</v>
      </c>
      <c r="V2183" s="508">
        <v>5.9349999999999996</v>
      </c>
      <c r="W2183" s="508">
        <v>5.0590000000000002</v>
      </c>
      <c r="X2183" s="508">
        <v>4.0250000000000004</v>
      </c>
      <c r="Y2183" s="508">
        <v>3.5779999999999998</v>
      </c>
      <c r="Z2183" s="508">
        <v>3.0750000000000002</v>
      </c>
      <c r="AA2183" s="508">
        <v>1.7529999999999999</v>
      </c>
      <c r="AB2183" s="508">
        <v>1.5209999999999999</v>
      </c>
      <c r="AC2183" s="508">
        <v>1.9690000000000001</v>
      </c>
      <c r="AD2183" s="508">
        <v>1.6220000000000001</v>
      </c>
      <c r="AE2183" s="508">
        <v>1.1950000000000001</v>
      </c>
      <c r="AF2183" s="508">
        <v>0.68700000000000006</v>
      </c>
      <c r="AG2183" s="508">
        <v>0.68300000000000005</v>
      </c>
      <c r="AH2183" s="508">
        <v>0.67900000000000005</v>
      </c>
      <c r="AI2183" s="492">
        <v>0.67600000000000005</v>
      </c>
      <c r="AJ2183" s="485"/>
    </row>
    <row r="2184" spans="2:36">
      <c r="B2184" s="136" t="s">
        <v>455</v>
      </c>
      <c r="C2184" s="132" t="s">
        <v>1368</v>
      </c>
      <c r="D2184" s="132" t="s">
        <v>282</v>
      </c>
      <c r="E2184" s="508">
        <v>90.817999999999998</v>
      </c>
      <c r="F2184" s="508">
        <v>38.646999999999998</v>
      </c>
      <c r="G2184" s="508">
        <v>47.512</v>
      </c>
      <c r="H2184" s="508">
        <v>53.488999999999997</v>
      </c>
      <c r="I2184" s="508">
        <v>53.488999999999997</v>
      </c>
      <c r="J2184" s="508">
        <v>47.009</v>
      </c>
      <c r="K2184" s="508">
        <v>47.170999999999999</v>
      </c>
      <c r="L2184" s="508">
        <v>15.869</v>
      </c>
      <c r="M2184" s="508">
        <v>24.263999999999999</v>
      </c>
      <c r="N2184" s="508">
        <v>38.515999999999998</v>
      </c>
      <c r="O2184" s="508">
        <v>34.692999999999998</v>
      </c>
      <c r="P2184" s="508">
        <v>9.0079999999999991</v>
      </c>
      <c r="Q2184" s="508">
        <v>13.012</v>
      </c>
      <c r="R2184" s="508">
        <v>10.944000000000001</v>
      </c>
      <c r="S2184" s="508">
        <v>10.49</v>
      </c>
      <c r="T2184" s="508">
        <v>11.173999999999999</v>
      </c>
      <c r="U2184" s="508">
        <v>7.2249999999999996</v>
      </c>
      <c r="V2184" s="508">
        <v>5.8849999999999998</v>
      </c>
      <c r="W2184" s="508">
        <v>5.0389999999999997</v>
      </c>
      <c r="X2184" s="508">
        <v>4.0049999999999999</v>
      </c>
      <c r="Y2184" s="508">
        <v>3.552</v>
      </c>
      <c r="Z2184" s="508">
        <v>3.036</v>
      </c>
      <c r="AA2184" s="508">
        <v>1.7709999999999999</v>
      </c>
      <c r="AB2184" s="508">
        <v>1.538</v>
      </c>
      <c r="AC2184" s="508">
        <v>2.0009999999999999</v>
      </c>
      <c r="AD2184" s="508">
        <v>1.6559999999999999</v>
      </c>
      <c r="AE2184" s="508">
        <v>1.216</v>
      </c>
      <c r="AF2184" s="508">
        <v>0.69799999999999995</v>
      </c>
      <c r="AG2184" s="508">
        <v>0.69399999999999995</v>
      </c>
      <c r="AH2184" s="508">
        <v>0.69</v>
      </c>
      <c r="AI2184" s="492">
        <v>0.68700000000000006</v>
      </c>
      <c r="AJ2184" s="485"/>
    </row>
    <row r="2185" spans="2:36">
      <c r="B2185" s="136" t="s">
        <v>456</v>
      </c>
      <c r="C2185" s="132" t="s">
        <v>1368</v>
      </c>
      <c r="D2185" s="132" t="s">
        <v>282</v>
      </c>
      <c r="E2185" s="508">
        <v>94.960999999999999</v>
      </c>
      <c r="F2185" s="508">
        <v>40.622999999999998</v>
      </c>
      <c r="G2185" s="508">
        <v>50.058999999999997</v>
      </c>
      <c r="H2185" s="508">
        <v>56.573</v>
      </c>
      <c r="I2185" s="508">
        <v>56.972000000000001</v>
      </c>
      <c r="J2185" s="508">
        <v>49.631999999999998</v>
      </c>
      <c r="K2185" s="508">
        <v>49.838999999999999</v>
      </c>
      <c r="L2185" s="508">
        <v>17.13</v>
      </c>
      <c r="M2185" s="508">
        <v>26.021999999999998</v>
      </c>
      <c r="N2185" s="508">
        <v>40.773000000000003</v>
      </c>
      <c r="O2185" s="508">
        <v>36.884</v>
      </c>
      <c r="P2185" s="508">
        <v>9.8829999999999991</v>
      </c>
      <c r="Q2185" s="508">
        <v>14.138999999999999</v>
      </c>
      <c r="R2185" s="508">
        <v>12.013999999999999</v>
      </c>
      <c r="S2185" s="508">
        <v>11.545999999999999</v>
      </c>
      <c r="T2185" s="508">
        <v>12.271000000000001</v>
      </c>
      <c r="U2185" s="508">
        <v>7.9870000000000001</v>
      </c>
      <c r="V2185" s="508">
        <v>6.6319999999999997</v>
      </c>
      <c r="W2185" s="508">
        <v>5.6340000000000003</v>
      </c>
      <c r="X2185" s="508">
        <v>4.51</v>
      </c>
      <c r="Y2185" s="508">
        <v>4.0229999999999997</v>
      </c>
      <c r="Z2185" s="508">
        <v>3.4780000000000002</v>
      </c>
      <c r="AA2185" s="508">
        <v>1.9430000000000001</v>
      </c>
      <c r="AB2185" s="508">
        <v>1.6870000000000001</v>
      </c>
      <c r="AC2185" s="508">
        <v>2.181</v>
      </c>
      <c r="AD2185" s="508">
        <v>1.7929999999999999</v>
      </c>
      <c r="AE2185" s="508">
        <v>1.323</v>
      </c>
      <c r="AF2185" s="508">
        <v>0.76</v>
      </c>
      <c r="AG2185" s="508">
        <v>0.75600000000000001</v>
      </c>
      <c r="AH2185" s="508">
        <v>0.752</v>
      </c>
      <c r="AI2185" s="492">
        <v>0.749</v>
      </c>
      <c r="AJ2185" s="485"/>
    </row>
    <row r="2186" spans="2:36">
      <c r="B2186" s="136" t="s">
        <v>457</v>
      </c>
      <c r="C2186" s="132" t="s">
        <v>1368</v>
      </c>
      <c r="D2186" s="132" t="s">
        <v>282</v>
      </c>
      <c r="E2186" s="508">
        <v>88.471999999999994</v>
      </c>
      <c r="F2186" s="508">
        <v>37.298000000000002</v>
      </c>
      <c r="G2186" s="508">
        <v>45.85</v>
      </c>
      <c r="H2186" s="508">
        <v>51.615000000000002</v>
      </c>
      <c r="I2186" s="508">
        <v>51.615000000000002</v>
      </c>
      <c r="J2186" s="508">
        <v>45.344999999999999</v>
      </c>
      <c r="K2186" s="508">
        <v>45.499000000000002</v>
      </c>
      <c r="L2186" s="508">
        <v>15.317</v>
      </c>
      <c r="M2186" s="508">
        <v>23.408999999999999</v>
      </c>
      <c r="N2186" s="508">
        <v>37.43</v>
      </c>
      <c r="O2186" s="508">
        <v>33.710999999999999</v>
      </c>
      <c r="P2186" s="508">
        <v>8.7490000000000006</v>
      </c>
      <c r="Q2186" s="508">
        <v>12.597</v>
      </c>
      <c r="R2186" s="508">
        <v>10.593</v>
      </c>
      <c r="S2186" s="508">
        <v>10.153</v>
      </c>
      <c r="T2186" s="508">
        <v>10.814</v>
      </c>
      <c r="U2186" s="508">
        <v>6.9610000000000003</v>
      </c>
      <c r="V2186" s="508">
        <v>5.6769999999999996</v>
      </c>
      <c r="W2186" s="508">
        <v>4.8559999999999999</v>
      </c>
      <c r="X2186" s="508">
        <v>3.8570000000000002</v>
      </c>
      <c r="Y2186" s="508">
        <v>3.423</v>
      </c>
      <c r="Z2186" s="508">
        <v>2.9289999999999998</v>
      </c>
      <c r="AA2186" s="508">
        <v>1.7</v>
      </c>
      <c r="AB2186" s="508">
        <v>1.476</v>
      </c>
      <c r="AC2186" s="508">
        <v>1.917</v>
      </c>
      <c r="AD2186" s="508">
        <v>1.585</v>
      </c>
      <c r="AE2186" s="508">
        <v>1.165</v>
      </c>
      <c r="AF2186" s="508">
        <v>0.66900000000000004</v>
      </c>
      <c r="AG2186" s="508">
        <v>0.66500000000000004</v>
      </c>
      <c r="AH2186" s="508">
        <v>0.66100000000000003</v>
      </c>
      <c r="AI2186" s="492">
        <v>0.65800000000000003</v>
      </c>
      <c r="AJ2186" s="485"/>
    </row>
    <row r="2187" spans="2:36">
      <c r="B2187" s="136" t="s">
        <v>458</v>
      </c>
      <c r="C2187" s="132" t="s">
        <v>1368</v>
      </c>
      <c r="D2187" s="132" t="s">
        <v>282</v>
      </c>
      <c r="E2187" s="508">
        <v>93.128</v>
      </c>
      <c r="F2187" s="508">
        <v>39.472999999999999</v>
      </c>
      <c r="G2187" s="508">
        <v>48.485999999999997</v>
      </c>
      <c r="H2187" s="508">
        <v>54.563000000000002</v>
      </c>
      <c r="I2187" s="508">
        <v>54.563000000000002</v>
      </c>
      <c r="J2187" s="508">
        <v>47.624000000000002</v>
      </c>
      <c r="K2187" s="508">
        <v>47.786000000000001</v>
      </c>
      <c r="L2187" s="508">
        <v>16.22</v>
      </c>
      <c r="M2187" s="508">
        <v>24.684000000000001</v>
      </c>
      <c r="N2187" s="508">
        <v>39.143999999999998</v>
      </c>
      <c r="O2187" s="508">
        <v>35.277000000000001</v>
      </c>
      <c r="P2187" s="508">
        <v>9.2739999999999991</v>
      </c>
      <c r="Q2187" s="508">
        <v>13.367000000000001</v>
      </c>
      <c r="R2187" s="508">
        <v>11.273999999999999</v>
      </c>
      <c r="S2187" s="508">
        <v>10.815</v>
      </c>
      <c r="T2187" s="508">
        <v>11.506</v>
      </c>
      <c r="U2187" s="508">
        <v>7.4859999999999998</v>
      </c>
      <c r="V2187" s="508">
        <v>6.1379999999999999</v>
      </c>
      <c r="W2187" s="508">
        <v>5.2370000000000001</v>
      </c>
      <c r="X2187" s="508">
        <v>4.1689999999999996</v>
      </c>
      <c r="Y2187" s="508">
        <v>3.7040000000000002</v>
      </c>
      <c r="Z2187" s="508">
        <v>3.1789999999999998</v>
      </c>
      <c r="AA2187" s="508">
        <v>1.823</v>
      </c>
      <c r="AB2187" s="508">
        <v>1.5820000000000001</v>
      </c>
      <c r="AC2187" s="508">
        <v>2.0510000000000002</v>
      </c>
      <c r="AD2187" s="508">
        <v>1.6919999999999999</v>
      </c>
      <c r="AE2187" s="508">
        <v>1.2450000000000001</v>
      </c>
      <c r="AF2187" s="508">
        <v>0.71499999999999997</v>
      </c>
      <c r="AG2187" s="508">
        <v>0.71099999999999997</v>
      </c>
      <c r="AH2187" s="508">
        <v>0.70699999999999996</v>
      </c>
      <c r="AI2187" s="492">
        <v>0.70399999999999996</v>
      </c>
      <c r="AJ2187" s="485"/>
    </row>
    <row r="2188" spans="2:36">
      <c r="B2188" s="136" t="s">
        <v>459</v>
      </c>
      <c r="C2188" s="132" t="s">
        <v>1368</v>
      </c>
      <c r="D2188" s="132" t="s">
        <v>282</v>
      </c>
      <c r="E2188" s="508">
        <v>93.126000000000005</v>
      </c>
      <c r="F2188" s="508">
        <v>39.470999999999997</v>
      </c>
      <c r="G2188" s="508">
        <v>48.482999999999997</v>
      </c>
      <c r="H2188" s="508">
        <v>54.558999999999997</v>
      </c>
      <c r="I2188" s="508">
        <v>54.558</v>
      </c>
      <c r="J2188" s="508">
        <v>47.613999999999997</v>
      </c>
      <c r="K2188" s="508">
        <v>47.776000000000003</v>
      </c>
      <c r="L2188" s="508">
        <v>16.218</v>
      </c>
      <c r="M2188" s="508">
        <v>24.68</v>
      </c>
      <c r="N2188" s="508">
        <v>39.148000000000003</v>
      </c>
      <c r="O2188" s="508">
        <v>35.28</v>
      </c>
      <c r="P2188" s="508">
        <v>9.2750000000000004</v>
      </c>
      <c r="Q2188" s="508">
        <v>13.365</v>
      </c>
      <c r="R2188" s="508">
        <v>11.273</v>
      </c>
      <c r="S2188" s="508">
        <v>10.814</v>
      </c>
      <c r="T2188" s="508">
        <v>11.505000000000001</v>
      </c>
      <c r="U2188" s="508">
        <v>7.4859999999999998</v>
      </c>
      <c r="V2188" s="508">
        <v>6.1379999999999999</v>
      </c>
      <c r="W2188" s="508">
        <v>5.2370000000000001</v>
      </c>
      <c r="X2188" s="508">
        <v>4.1680000000000001</v>
      </c>
      <c r="Y2188" s="508">
        <v>3.7040000000000002</v>
      </c>
      <c r="Z2188" s="508">
        <v>3.18</v>
      </c>
      <c r="AA2188" s="508">
        <v>1.823</v>
      </c>
      <c r="AB2188" s="508">
        <v>1.5820000000000001</v>
      </c>
      <c r="AC2188" s="508">
        <v>2.0510000000000002</v>
      </c>
      <c r="AD2188" s="508">
        <v>1.6910000000000001</v>
      </c>
      <c r="AE2188" s="508">
        <v>1.2450000000000001</v>
      </c>
      <c r="AF2188" s="508">
        <v>0.71499999999999997</v>
      </c>
      <c r="AG2188" s="508">
        <v>0.71</v>
      </c>
      <c r="AH2188" s="508">
        <v>0.70699999999999996</v>
      </c>
      <c r="AI2188" s="492">
        <v>0.70399999999999996</v>
      </c>
      <c r="AJ2188" s="485"/>
    </row>
    <row r="2189" spans="2:36">
      <c r="B2189" s="136" t="s">
        <v>460</v>
      </c>
      <c r="C2189" s="132" t="s">
        <v>1368</v>
      </c>
      <c r="D2189" s="132" t="s">
        <v>282</v>
      </c>
      <c r="E2189" s="508">
        <v>92.885999999999996</v>
      </c>
      <c r="F2189" s="508">
        <v>39.033999999999999</v>
      </c>
      <c r="G2189" s="508">
        <v>47.911000000000001</v>
      </c>
      <c r="H2189" s="508">
        <v>53.895000000000003</v>
      </c>
      <c r="I2189" s="508">
        <v>53.895000000000003</v>
      </c>
      <c r="J2189" s="508">
        <v>46.655000000000001</v>
      </c>
      <c r="K2189" s="508">
        <v>46.811</v>
      </c>
      <c r="L2189" s="508">
        <v>16.021999999999998</v>
      </c>
      <c r="M2189" s="508">
        <v>24.274000000000001</v>
      </c>
      <c r="N2189" s="508">
        <v>38.915999999999997</v>
      </c>
      <c r="O2189" s="508">
        <v>35.084000000000003</v>
      </c>
      <c r="P2189" s="508">
        <v>9.2799999999999994</v>
      </c>
      <c r="Q2189" s="508">
        <v>13.25</v>
      </c>
      <c r="R2189" s="508">
        <v>11.204000000000001</v>
      </c>
      <c r="S2189" s="508">
        <v>10.753</v>
      </c>
      <c r="T2189" s="508">
        <v>11.426</v>
      </c>
      <c r="U2189" s="508">
        <v>7.4470000000000001</v>
      </c>
      <c r="V2189" s="508">
        <v>6.1520000000000001</v>
      </c>
      <c r="W2189" s="508">
        <v>5.2270000000000003</v>
      </c>
      <c r="X2189" s="508">
        <v>4.1639999999999997</v>
      </c>
      <c r="Y2189" s="508">
        <v>3.7080000000000002</v>
      </c>
      <c r="Z2189" s="508">
        <v>3.1989999999999998</v>
      </c>
      <c r="AA2189" s="508">
        <v>1.796</v>
      </c>
      <c r="AB2189" s="508">
        <v>1.5569999999999999</v>
      </c>
      <c r="AC2189" s="508">
        <v>2.0089999999999999</v>
      </c>
      <c r="AD2189" s="508">
        <v>1.65</v>
      </c>
      <c r="AE2189" s="508">
        <v>1.2190000000000001</v>
      </c>
      <c r="AF2189" s="508">
        <v>0.70099999999999996</v>
      </c>
      <c r="AG2189" s="508">
        <v>0.69699999999999995</v>
      </c>
      <c r="AH2189" s="508">
        <v>0.69299999999999995</v>
      </c>
      <c r="AI2189" s="492">
        <v>0.69</v>
      </c>
      <c r="AJ2189" s="485"/>
    </row>
    <row r="2190" spans="2:36">
      <c r="B2190" s="136" t="s">
        <v>461</v>
      </c>
      <c r="C2190" s="132" t="s">
        <v>1368</v>
      </c>
      <c r="D2190" s="132" t="s">
        <v>282</v>
      </c>
      <c r="E2190" s="508">
        <v>91.177000000000007</v>
      </c>
      <c r="F2190" s="508">
        <v>38.225999999999999</v>
      </c>
      <c r="G2190" s="508">
        <v>46.933999999999997</v>
      </c>
      <c r="H2190" s="508">
        <v>52.805999999999997</v>
      </c>
      <c r="I2190" s="508">
        <v>52.805</v>
      </c>
      <c r="J2190" s="508">
        <v>45.890999999999998</v>
      </c>
      <c r="K2190" s="508">
        <v>46.043999999999997</v>
      </c>
      <c r="L2190" s="508">
        <v>15.699</v>
      </c>
      <c r="M2190" s="508">
        <v>23.832000000000001</v>
      </c>
      <c r="N2190" s="508">
        <v>38.204999999999998</v>
      </c>
      <c r="O2190" s="508">
        <v>34.433</v>
      </c>
      <c r="P2190" s="508">
        <v>9.0739999999999998</v>
      </c>
      <c r="Q2190" s="508">
        <v>12.987</v>
      </c>
      <c r="R2190" s="508">
        <v>10.965999999999999</v>
      </c>
      <c r="S2190" s="508">
        <v>10.521000000000001</v>
      </c>
      <c r="T2190" s="508">
        <v>11.185</v>
      </c>
      <c r="U2190" s="508">
        <v>7.2610000000000001</v>
      </c>
      <c r="V2190" s="508">
        <v>5.9809999999999999</v>
      </c>
      <c r="W2190" s="508">
        <v>5.0890000000000004</v>
      </c>
      <c r="X2190" s="508">
        <v>4.0510000000000002</v>
      </c>
      <c r="Y2190" s="508">
        <v>3.6040000000000001</v>
      </c>
      <c r="Z2190" s="508">
        <v>3.1040000000000001</v>
      </c>
      <c r="AA2190" s="508">
        <v>1.7549999999999999</v>
      </c>
      <c r="AB2190" s="508">
        <v>1.522</v>
      </c>
      <c r="AC2190" s="508">
        <v>1.966</v>
      </c>
      <c r="AD2190" s="508">
        <v>1.617</v>
      </c>
      <c r="AE2190" s="508">
        <v>1.1930000000000001</v>
      </c>
      <c r="AF2190" s="508">
        <v>0.68600000000000005</v>
      </c>
      <c r="AG2190" s="508">
        <v>0.68200000000000005</v>
      </c>
      <c r="AH2190" s="508">
        <v>0.67800000000000005</v>
      </c>
      <c r="AI2190" s="492">
        <v>0.67500000000000004</v>
      </c>
      <c r="AJ2190" s="485"/>
    </row>
    <row r="2191" spans="2:36">
      <c r="B2191" s="136" t="s">
        <v>462</v>
      </c>
      <c r="C2191" s="132" t="s">
        <v>1368</v>
      </c>
      <c r="D2191" s="132" t="s">
        <v>282</v>
      </c>
      <c r="E2191" s="508">
        <v>90.305000000000007</v>
      </c>
      <c r="F2191" s="508">
        <v>37.761000000000003</v>
      </c>
      <c r="G2191" s="508">
        <v>46.392000000000003</v>
      </c>
      <c r="H2191" s="508">
        <v>52.241</v>
      </c>
      <c r="I2191" s="508">
        <v>52.317</v>
      </c>
      <c r="J2191" s="508">
        <v>45.418999999999997</v>
      </c>
      <c r="K2191" s="508">
        <v>45.576999999999998</v>
      </c>
      <c r="L2191" s="508">
        <v>15.589</v>
      </c>
      <c r="M2191" s="508">
        <v>23.648</v>
      </c>
      <c r="N2191" s="508">
        <v>37.991</v>
      </c>
      <c r="O2191" s="508">
        <v>34.264000000000003</v>
      </c>
      <c r="P2191" s="508">
        <v>9.06</v>
      </c>
      <c r="Q2191" s="508">
        <v>12.914</v>
      </c>
      <c r="R2191" s="508">
        <v>10.922000000000001</v>
      </c>
      <c r="S2191" s="508">
        <v>10.483000000000001</v>
      </c>
      <c r="T2191" s="508">
        <v>11.14</v>
      </c>
      <c r="U2191" s="508">
        <v>7.2160000000000002</v>
      </c>
      <c r="V2191" s="508">
        <v>5.9649999999999999</v>
      </c>
      <c r="W2191" s="508">
        <v>5.0679999999999996</v>
      </c>
      <c r="X2191" s="508">
        <v>4.0380000000000003</v>
      </c>
      <c r="Y2191" s="508">
        <v>3.597</v>
      </c>
      <c r="Z2191" s="508">
        <v>3.1040000000000001</v>
      </c>
      <c r="AA2191" s="508">
        <v>1.74</v>
      </c>
      <c r="AB2191" s="508">
        <v>1.5089999999999999</v>
      </c>
      <c r="AC2191" s="508">
        <v>1.946</v>
      </c>
      <c r="AD2191" s="508">
        <v>1.5980000000000001</v>
      </c>
      <c r="AE2191" s="508">
        <v>1.181</v>
      </c>
      <c r="AF2191" s="508">
        <v>0.67900000000000005</v>
      </c>
      <c r="AG2191" s="508">
        <v>0.67500000000000004</v>
      </c>
      <c r="AH2191" s="508">
        <v>0.67200000000000004</v>
      </c>
      <c r="AI2191" s="492">
        <v>0.66900000000000004</v>
      </c>
      <c r="AJ2191" s="485"/>
    </row>
    <row r="2192" spans="2:36">
      <c r="B2192" s="136" t="s">
        <v>463</v>
      </c>
      <c r="C2192" s="132" t="s">
        <v>1368</v>
      </c>
      <c r="D2192" s="132" t="s">
        <v>282</v>
      </c>
      <c r="E2192" s="508">
        <v>90.429000000000002</v>
      </c>
      <c r="F2192" s="508">
        <v>38.652999999999999</v>
      </c>
      <c r="G2192" s="508">
        <v>47.546999999999997</v>
      </c>
      <c r="H2192" s="508">
        <v>53.543999999999997</v>
      </c>
      <c r="I2192" s="508">
        <v>53.543999999999997</v>
      </c>
      <c r="J2192" s="508">
        <v>47.384999999999998</v>
      </c>
      <c r="K2192" s="508">
        <v>47.55</v>
      </c>
      <c r="L2192" s="508">
        <v>15.891</v>
      </c>
      <c r="M2192" s="508">
        <v>24.384</v>
      </c>
      <c r="N2192" s="508">
        <v>38.392000000000003</v>
      </c>
      <c r="O2192" s="508">
        <v>34.57</v>
      </c>
      <c r="P2192" s="508">
        <v>8.9339999999999993</v>
      </c>
      <c r="Q2192" s="508">
        <v>13.009</v>
      </c>
      <c r="R2192" s="508">
        <v>10.917</v>
      </c>
      <c r="S2192" s="508">
        <v>10.46</v>
      </c>
      <c r="T2192" s="508">
        <v>11.154</v>
      </c>
      <c r="U2192" s="508">
        <v>7.194</v>
      </c>
      <c r="V2192" s="508">
        <v>5.8220000000000001</v>
      </c>
      <c r="W2192" s="508">
        <v>5.0019999999999998</v>
      </c>
      <c r="X2192" s="508">
        <v>3.972</v>
      </c>
      <c r="Y2192" s="508">
        <v>3.5169999999999999</v>
      </c>
      <c r="Z2192" s="508">
        <v>2.9929999999999999</v>
      </c>
      <c r="AA2192" s="508">
        <v>1.776</v>
      </c>
      <c r="AB2192" s="508">
        <v>1.544</v>
      </c>
      <c r="AC2192" s="508">
        <v>2.016</v>
      </c>
      <c r="AD2192" s="508">
        <v>1.6739999999999999</v>
      </c>
      <c r="AE2192" s="508">
        <v>1.2250000000000001</v>
      </c>
      <c r="AF2192" s="508">
        <v>0.70199999999999996</v>
      </c>
      <c r="AG2192" s="508">
        <v>0.69799999999999995</v>
      </c>
      <c r="AH2192" s="508">
        <v>0.69499999999999995</v>
      </c>
      <c r="AI2192" s="492">
        <v>0.69099999999999995</v>
      </c>
      <c r="AJ2192" s="485"/>
    </row>
    <row r="2193" spans="2:36">
      <c r="B2193" s="136" t="s">
        <v>464</v>
      </c>
      <c r="C2193" s="132" t="s">
        <v>1368</v>
      </c>
      <c r="D2193" s="132" t="s">
        <v>282</v>
      </c>
      <c r="E2193" s="508">
        <v>88.92</v>
      </c>
      <c r="F2193" s="508">
        <v>37.607999999999997</v>
      </c>
      <c r="G2193" s="508">
        <v>46.234999999999999</v>
      </c>
      <c r="H2193" s="508">
        <v>52.051000000000002</v>
      </c>
      <c r="I2193" s="508">
        <v>52.051000000000002</v>
      </c>
      <c r="J2193" s="508">
        <v>45.743000000000002</v>
      </c>
      <c r="K2193" s="508">
        <v>45.899000000000001</v>
      </c>
      <c r="L2193" s="508">
        <v>15.439</v>
      </c>
      <c r="M2193" s="508">
        <v>23.606000000000002</v>
      </c>
      <c r="N2193" s="508">
        <v>37.704000000000001</v>
      </c>
      <c r="O2193" s="508">
        <v>33.957000000000001</v>
      </c>
      <c r="P2193" s="508">
        <v>8.8010000000000002</v>
      </c>
      <c r="Q2193" s="508">
        <v>12.676</v>
      </c>
      <c r="R2193" s="508">
        <v>10.657999999999999</v>
      </c>
      <c r="S2193" s="508">
        <v>10.215</v>
      </c>
      <c r="T2193" s="508">
        <v>10.881</v>
      </c>
      <c r="U2193" s="508">
        <v>7.01</v>
      </c>
      <c r="V2193" s="508">
        <v>5.7130000000000001</v>
      </c>
      <c r="W2193" s="508">
        <v>4.8890000000000002</v>
      </c>
      <c r="X2193" s="508">
        <v>3.883</v>
      </c>
      <c r="Y2193" s="508">
        <v>3.4449999999999998</v>
      </c>
      <c r="Z2193" s="508">
        <v>2.9470000000000001</v>
      </c>
      <c r="AA2193" s="508">
        <v>1.714</v>
      </c>
      <c r="AB2193" s="508">
        <v>1.4890000000000001</v>
      </c>
      <c r="AC2193" s="508">
        <v>1.9339999999999999</v>
      </c>
      <c r="AD2193" s="508">
        <v>1.6</v>
      </c>
      <c r="AE2193" s="508">
        <v>1.175</v>
      </c>
      <c r="AF2193" s="508">
        <v>0.67500000000000004</v>
      </c>
      <c r="AG2193" s="508">
        <v>0.67100000000000004</v>
      </c>
      <c r="AH2193" s="508">
        <v>0.66700000000000004</v>
      </c>
      <c r="AI2193" s="492">
        <v>0.66400000000000003</v>
      </c>
      <c r="AJ2193" s="485"/>
    </row>
    <row r="2194" spans="2:36">
      <c r="B2194" s="136" t="s">
        <v>465</v>
      </c>
      <c r="C2194" s="132" t="s">
        <v>1368</v>
      </c>
      <c r="D2194" s="132" t="s">
        <v>282</v>
      </c>
      <c r="E2194" s="508">
        <v>90.76</v>
      </c>
      <c r="F2194" s="508">
        <v>38.526000000000003</v>
      </c>
      <c r="G2194" s="508">
        <v>47.353999999999999</v>
      </c>
      <c r="H2194" s="508">
        <v>53.305</v>
      </c>
      <c r="I2194" s="508">
        <v>53.305</v>
      </c>
      <c r="J2194" s="508">
        <v>46.752000000000002</v>
      </c>
      <c r="K2194" s="508">
        <v>46.911999999999999</v>
      </c>
      <c r="L2194" s="508">
        <v>15.817</v>
      </c>
      <c r="M2194" s="508">
        <v>24.155000000000001</v>
      </c>
      <c r="N2194" s="508">
        <v>38.442</v>
      </c>
      <c r="O2194" s="508">
        <v>34.630000000000003</v>
      </c>
      <c r="P2194" s="508">
        <v>9.0090000000000003</v>
      </c>
      <c r="Q2194" s="508">
        <v>12.983000000000001</v>
      </c>
      <c r="R2194" s="508">
        <v>10.927</v>
      </c>
      <c r="S2194" s="508">
        <v>10.476000000000001</v>
      </c>
      <c r="T2194" s="508">
        <v>11.154999999999999</v>
      </c>
      <c r="U2194" s="508">
        <v>7.2160000000000002</v>
      </c>
      <c r="V2194" s="508">
        <v>5.89</v>
      </c>
      <c r="W2194" s="508">
        <v>5.0369999999999999</v>
      </c>
      <c r="X2194" s="508">
        <v>4.0039999999999996</v>
      </c>
      <c r="Y2194" s="508">
        <v>3.5539999999999998</v>
      </c>
      <c r="Z2194" s="508">
        <v>3.0419999999999998</v>
      </c>
      <c r="AA2194" s="508">
        <v>1.764</v>
      </c>
      <c r="AB2194" s="508">
        <v>1.532</v>
      </c>
      <c r="AC2194" s="508">
        <v>1.99</v>
      </c>
      <c r="AD2194" s="508">
        <v>1.645</v>
      </c>
      <c r="AE2194" s="508">
        <v>1.2090000000000001</v>
      </c>
      <c r="AF2194" s="508">
        <v>0.69399999999999995</v>
      </c>
      <c r="AG2194" s="508">
        <v>0.69</v>
      </c>
      <c r="AH2194" s="508">
        <v>0.68600000000000005</v>
      </c>
      <c r="AI2194" s="492">
        <v>0.68300000000000005</v>
      </c>
      <c r="AJ2194" s="485"/>
    </row>
    <row r="2195" spans="2:36">
      <c r="B2195" s="136" t="s">
        <v>466</v>
      </c>
      <c r="C2195" s="132" t="s">
        <v>1368</v>
      </c>
      <c r="D2195" s="132" t="s">
        <v>282</v>
      </c>
      <c r="E2195" s="508">
        <v>94.733999999999995</v>
      </c>
      <c r="F2195" s="508">
        <v>39.542000000000002</v>
      </c>
      <c r="G2195" s="508">
        <v>48.478999999999999</v>
      </c>
      <c r="H2195" s="508">
        <v>54.503999999999998</v>
      </c>
      <c r="I2195" s="508">
        <v>54.503999999999998</v>
      </c>
      <c r="J2195" s="508">
        <v>46.642000000000003</v>
      </c>
      <c r="K2195" s="508">
        <v>46.795000000000002</v>
      </c>
      <c r="L2195" s="508">
        <v>16.216999999999999</v>
      </c>
      <c r="M2195" s="508">
        <v>24.408999999999999</v>
      </c>
      <c r="N2195" s="508">
        <v>39.435000000000002</v>
      </c>
      <c r="O2195" s="508">
        <v>35.575000000000003</v>
      </c>
      <c r="P2195" s="508">
        <v>9.5229999999999997</v>
      </c>
      <c r="Q2195" s="508">
        <v>13.474</v>
      </c>
      <c r="R2195" s="508">
        <v>11.438000000000001</v>
      </c>
      <c r="S2195" s="508">
        <v>10.988</v>
      </c>
      <c r="T2195" s="508">
        <v>11.654</v>
      </c>
      <c r="U2195" s="508">
        <v>7.6420000000000003</v>
      </c>
      <c r="V2195" s="508">
        <v>6.3760000000000003</v>
      </c>
      <c r="W2195" s="508">
        <v>5.3890000000000002</v>
      </c>
      <c r="X2195" s="508">
        <v>4.3</v>
      </c>
      <c r="Y2195" s="508">
        <v>3.84</v>
      </c>
      <c r="Z2195" s="508">
        <v>3.3330000000000002</v>
      </c>
      <c r="AA2195" s="508">
        <v>1.823</v>
      </c>
      <c r="AB2195" s="508">
        <v>1.5780000000000001</v>
      </c>
      <c r="AC2195" s="508">
        <v>2.0249999999999999</v>
      </c>
      <c r="AD2195" s="508">
        <v>1.653</v>
      </c>
      <c r="AE2195" s="508">
        <v>1.2270000000000001</v>
      </c>
      <c r="AF2195" s="508">
        <v>0.70699999999999996</v>
      </c>
      <c r="AG2195" s="508">
        <v>0.70299999999999996</v>
      </c>
      <c r="AH2195" s="508">
        <v>0.69899999999999995</v>
      </c>
      <c r="AI2195" s="492">
        <v>0.69599999999999995</v>
      </c>
      <c r="AJ2195" s="485"/>
    </row>
    <row r="2196" spans="2:36">
      <c r="B2196" s="136" t="s">
        <v>467</v>
      </c>
      <c r="C2196" s="132" t="s">
        <v>1368</v>
      </c>
      <c r="D2196" s="132" t="s">
        <v>282</v>
      </c>
      <c r="E2196" s="508">
        <v>90.781999999999996</v>
      </c>
      <c r="F2196" s="508">
        <v>38.048999999999999</v>
      </c>
      <c r="G2196" s="508">
        <v>46.72</v>
      </c>
      <c r="H2196" s="508">
        <v>52.566000000000003</v>
      </c>
      <c r="I2196" s="508">
        <v>52.566000000000003</v>
      </c>
      <c r="J2196" s="508">
        <v>45.710999999999999</v>
      </c>
      <c r="K2196" s="508">
        <v>45.863999999999997</v>
      </c>
      <c r="L2196" s="508">
        <v>15.625</v>
      </c>
      <c r="M2196" s="508">
        <v>23.73</v>
      </c>
      <c r="N2196" s="508">
        <v>38.067</v>
      </c>
      <c r="O2196" s="508">
        <v>34.307000000000002</v>
      </c>
      <c r="P2196" s="508">
        <v>9.0299999999999994</v>
      </c>
      <c r="Q2196" s="508">
        <v>12.922000000000001</v>
      </c>
      <c r="R2196" s="508">
        <v>10.907999999999999</v>
      </c>
      <c r="S2196" s="508">
        <v>10.465</v>
      </c>
      <c r="T2196" s="508">
        <v>11.127000000000001</v>
      </c>
      <c r="U2196" s="508">
        <v>7.2160000000000002</v>
      </c>
      <c r="V2196" s="508">
        <v>5.9409999999999998</v>
      </c>
      <c r="W2196" s="508">
        <v>5.056</v>
      </c>
      <c r="X2196" s="508">
        <v>4.024</v>
      </c>
      <c r="Y2196" s="508">
        <v>3.58</v>
      </c>
      <c r="Z2196" s="508">
        <v>3.0819999999999999</v>
      </c>
      <c r="AA2196" s="508">
        <v>1.7450000000000001</v>
      </c>
      <c r="AB2196" s="508">
        <v>1.5129999999999999</v>
      </c>
      <c r="AC2196" s="508">
        <v>1.9550000000000001</v>
      </c>
      <c r="AD2196" s="508">
        <v>1.6080000000000001</v>
      </c>
      <c r="AE2196" s="508">
        <v>1.1859999999999999</v>
      </c>
      <c r="AF2196" s="508">
        <v>0.68200000000000005</v>
      </c>
      <c r="AG2196" s="508">
        <v>0.67800000000000005</v>
      </c>
      <c r="AH2196" s="508">
        <v>0.67500000000000004</v>
      </c>
      <c r="AI2196" s="492">
        <v>0.67200000000000004</v>
      </c>
      <c r="AJ2196" s="485"/>
    </row>
    <row r="2197" spans="2:36">
      <c r="B2197" s="136" t="s">
        <v>468</v>
      </c>
      <c r="C2197" s="132" t="s">
        <v>1368</v>
      </c>
      <c r="D2197" s="132" t="s">
        <v>282</v>
      </c>
      <c r="E2197" s="508">
        <v>89.692999999999998</v>
      </c>
      <c r="F2197" s="508">
        <v>38.798000000000002</v>
      </c>
      <c r="G2197" s="508">
        <v>47.738999999999997</v>
      </c>
      <c r="H2197" s="508">
        <v>53.765999999999998</v>
      </c>
      <c r="I2197" s="508">
        <v>53.765999999999998</v>
      </c>
      <c r="J2197" s="508">
        <v>47.636000000000003</v>
      </c>
      <c r="K2197" s="508">
        <v>47.805999999999997</v>
      </c>
      <c r="L2197" s="508">
        <v>15.939</v>
      </c>
      <c r="M2197" s="508">
        <v>24.492999999999999</v>
      </c>
      <c r="N2197" s="508">
        <v>38.39</v>
      </c>
      <c r="O2197" s="508">
        <v>34.575000000000003</v>
      </c>
      <c r="P2197" s="508">
        <v>8.9049999999999994</v>
      </c>
      <c r="Q2197" s="508">
        <v>12.961</v>
      </c>
      <c r="R2197" s="508">
        <v>10.875</v>
      </c>
      <c r="S2197" s="508">
        <v>10.420999999999999</v>
      </c>
      <c r="T2197" s="508">
        <v>11.116</v>
      </c>
      <c r="U2197" s="508">
        <v>7.1660000000000004</v>
      </c>
      <c r="V2197" s="508">
        <v>5.7939999999999996</v>
      </c>
      <c r="W2197" s="508">
        <v>4.9820000000000002</v>
      </c>
      <c r="X2197" s="508">
        <v>3.9590000000000001</v>
      </c>
      <c r="Y2197" s="508">
        <v>3.5049999999999999</v>
      </c>
      <c r="Z2197" s="508">
        <v>2.9809999999999999</v>
      </c>
      <c r="AA2197" s="508">
        <v>1.7769999999999999</v>
      </c>
      <c r="AB2197" s="508">
        <v>1.5449999999999999</v>
      </c>
      <c r="AC2197" s="508">
        <v>2.0209999999999999</v>
      </c>
      <c r="AD2197" s="508">
        <v>1.68</v>
      </c>
      <c r="AE2197" s="508">
        <v>1.2290000000000001</v>
      </c>
      <c r="AF2197" s="508">
        <v>0.70399999999999996</v>
      </c>
      <c r="AG2197" s="508">
        <v>0.7</v>
      </c>
      <c r="AH2197" s="508">
        <v>0.69599999999999995</v>
      </c>
      <c r="AI2197" s="492">
        <v>0.69299999999999995</v>
      </c>
      <c r="AJ2197" s="485"/>
    </row>
    <row r="2198" spans="2:36">
      <c r="B2198" s="136" t="s">
        <v>469</v>
      </c>
      <c r="C2198" s="132" t="s">
        <v>1368</v>
      </c>
      <c r="D2198" s="132" t="s">
        <v>282</v>
      </c>
      <c r="E2198" s="508">
        <v>90.792000000000002</v>
      </c>
      <c r="F2198" s="508">
        <v>38.305</v>
      </c>
      <c r="G2198" s="508">
        <v>47.057000000000002</v>
      </c>
      <c r="H2198" s="508">
        <v>52.957999999999998</v>
      </c>
      <c r="I2198" s="508">
        <v>52.957999999999998</v>
      </c>
      <c r="J2198" s="508">
        <v>46.216000000000001</v>
      </c>
      <c r="K2198" s="508">
        <v>46.372</v>
      </c>
      <c r="L2198" s="508">
        <v>15.722</v>
      </c>
      <c r="M2198" s="508">
        <v>23.939</v>
      </c>
      <c r="N2198" s="508">
        <v>38.302999999999997</v>
      </c>
      <c r="O2198" s="508">
        <v>34.512999999999998</v>
      </c>
      <c r="P2198" s="508">
        <v>9.0269999999999992</v>
      </c>
      <c r="Q2198" s="508">
        <v>12.948</v>
      </c>
      <c r="R2198" s="508">
        <v>10.914999999999999</v>
      </c>
      <c r="S2198" s="508">
        <v>10.468999999999999</v>
      </c>
      <c r="T2198" s="508">
        <v>11.138</v>
      </c>
      <c r="U2198" s="508">
        <v>7.2149999999999999</v>
      </c>
      <c r="V2198" s="508">
        <v>5.9180000000000001</v>
      </c>
      <c r="W2198" s="508">
        <v>5.0469999999999997</v>
      </c>
      <c r="X2198" s="508">
        <v>4.0149999999999997</v>
      </c>
      <c r="Y2198" s="508">
        <v>3.5680000000000001</v>
      </c>
      <c r="Z2198" s="508">
        <v>3.0640000000000001</v>
      </c>
      <c r="AA2198" s="508">
        <v>1.7529999999999999</v>
      </c>
      <c r="AB2198" s="508">
        <v>1.5209999999999999</v>
      </c>
      <c r="AC2198" s="508">
        <v>1.9710000000000001</v>
      </c>
      <c r="AD2198" s="508">
        <v>1.625</v>
      </c>
      <c r="AE2198" s="508">
        <v>1.196</v>
      </c>
      <c r="AF2198" s="508">
        <v>0.68799999999999994</v>
      </c>
      <c r="AG2198" s="508">
        <v>0.68300000000000005</v>
      </c>
      <c r="AH2198" s="508">
        <v>0.68</v>
      </c>
      <c r="AI2198" s="492">
        <v>0.67700000000000005</v>
      </c>
      <c r="AJ2198" s="485"/>
    </row>
    <row r="2199" spans="2:36">
      <c r="B2199" s="136" t="s">
        <v>470</v>
      </c>
      <c r="C2199" s="132" t="s">
        <v>1368</v>
      </c>
      <c r="D2199" s="132" t="s">
        <v>282</v>
      </c>
      <c r="E2199" s="508">
        <v>93.394000000000005</v>
      </c>
      <c r="F2199" s="508">
        <v>39.191000000000003</v>
      </c>
      <c r="G2199" s="508">
        <v>48.093000000000004</v>
      </c>
      <c r="H2199" s="508">
        <v>54.094000000000001</v>
      </c>
      <c r="I2199" s="508">
        <v>54.094999999999999</v>
      </c>
      <c r="J2199" s="508">
        <v>46.761000000000003</v>
      </c>
      <c r="K2199" s="508">
        <v>46.917000000000002</v>
      </c>
      <c r="L2199" s="508">
        <v>16.091999999999999</v>
      </c>
      <c r="M2199" s="508">
        <v>24.353999999999999</v>
      </c>
      <c r="N2199" s="508">
        <v>39.015999999999998</v>
      </c>
      <c r="O2199" s="508">
        <v>35.177999999999997</v>
      </c>
      <c r="P2199" s="508">
        <v>9.3360000000000003</v>
      </c>
      <c r="Q2199" s="508">
        <v>13.33</v>
      </c>
      <c r="R2199" s="508">
        <v>11.278</v>
      </c>
      <c r="S2199" s="508">
        <v>10.827</v>
      </c>
      <c r="T2199" s="508">
        <v>11.500999999999999</v>
      </c>
      <c r="U2199" s="508">
        <v>7.5060000000000002</v>
      </c>
      <c r="V2199" s="508">
        <v>6.21</v>
      </c>
      <c r="W2199" s="508">
        <v>5.2720000000000002</v>
      </c>
      <c r="X2199" s="508">
        <v>4.2009999999999996</v>
      </c>
      <c r="Y2199" s="508">
        <v>3.742</v>
      </c>
      <c r="Z2199" s="508">
        <v>3.2309999999999999</v>
      </c>
      <c r="AA2199" s="508">
        <v>1.8069999999999999</v>
      </c>
      <c r="AB2199" s="508">
        <v>1.5669999999999999</v>
      </c>
      <c r="AC2199" s="508">
        <v>2.02</v>
      </c>
      <c r="AD2199" s="508">
        <v>1.6579999999999999</v>
      </c>
      <c r="AE2199" s="508">
        <v>1.2250000000000001</v>
      </c>
      <c r="AF2199" s="508">
        <v>0.70499999999999996</v>
      </c>
      <c r="AG2199" s="508">
        <v>0.7</v>
      </c>
      <c r="AH2199" s="508">
        <v>0.69699999999999995</v>
      </c>
      <c r="AI2199" s="492">
        <v>0.69399999999999995</v>
      </c>
      <c r="AJ2199" s="485"/>
    </row>
    <row r="2200" spans="2:36">
      <c r="B2200" s="136" t="s">
        <v>471</v>
      </c>
      <c r="C2200" s="132" t="s">
        <v>1368</v>
      </c>
      <c r="D2200" s="132" t="s">
        <v>282</v>
      </c>
      <c r="E2200" s="508">
        <v>91.798000000000002</v>
      </c>
      <c r="F2200" s="508">
        <v>38.344999999999999</v>
      </c>
      <c r="G2200" s="508">
        <v>47.057000000000002</v>
      </c>
      <c r="H2200" s="508">
        <v>52.93</v>
      </c>
      <c r="I2200" s="508">
        <v>52.93</v>
      </c>
      <c r="J2200" s="508">
        <v>45.77</v>
      </c>
      <c r="K2200" s="508">
        <v>45.920999999999999</v>
      </c>
      <c r="L2200" s="508">
        <v>15.743</v>
      </c>
      <c r="M2200" s="508">
        <v>23.83</v>
      </c>
      <c r="N2200" s="508">
        <v>38.344000000000001</v>
      </c>
      <c r="O2200" s="508">
        <v>34.567999999999998</v>
      </c>
      <c r="P2200" s="508">
        <v>9.1590000000000007</v>
      </c>
      <c r="Q2200" s="508">
        <v>13.054</v>
      </c>
      <c r="R2200" s="508">
        <v>11.041</v>
      </c>
      <c r="S2200" s="508">
        <v>10.598000000000001</v>
      </c>
      <c r="T2200" s="508">
        <v>11.257999999999999</v>
      </c>
      <c r="U2200" s="508">
        <v>7.3259999999999996</v>
      </c>
      <c r="V2200" s="508">
        <v>6.0609999999999999</v>
      </c>
      <c r="W2200" s="508">
        <v>5.1449999999999996</v>
      </c>
      <c r="X2200" s="508">
        <v>4.0979999999999999</v>
      </c>
      <c r="Y2200" s="508">
        <v>3.6509999999999998</v>
      </c>
      <c r="Z2200" s="508">
        <v>3.153</v>
      </c>
      <c r="AA2200" s="508">
        <v>1.7609999999999999</v>
      </c>
      <c r="AB2200" s="508">
        <v>1.5269999999999999</v>
      </c>
      <c r="AC2200" s="508">
        <v>1.9670000000000001</v>
      </c>
      <c r="AD2200" s="508">
        <v>1.6140000000000001</v>
      </c>
      <c r="AE2200" s="508">
        <v>1.1930000000000001</v>
      </c>
      <c r="AF2200" s="508">
        <v>0.68700000000000006</v>
      </c>
      <c r="AG2200" s="508">
        <v>0.68300000000000005</v>
      </c>
      <c r="AH2200" s="508">
        <v>0.67900000000000005</v>
      </c>
      <c r="AI2200" s="492">
        <v>0.67600000000000005</v>
      </c>
      <c r="AJ2200" s="485"/>
    </row>
    <row r="2201" spans="2:36">
      <c r="B2201" s="136" t="s">
        <v>472</v>
      </c>
      <c r="C2201" s="132" t="s">
        <v>1368</v>
      </c>
      <c r="D2201" s="132" t="s">
        <v>282</v>
      </c>
      <c r="E2201" s="508">
        <v>88.582999999999998</v>
      </c>
      <c r="F2201" s="508">
        <v>37.332000000000001</v>
      </c>
      <c r="G2201" s="508">
        <v>45.889000000000003</v>
      </c>
      <c r="H2201" s="508">
        <v>51.656999999999996</v>
      </c>
      <c r="I2201" s="508">
        <v>51.656999999999996</v>
      </c>
      <c r="J2201" s="508">
        <v>45.344999999999999</v>
      </c>
      <c r="K2201" s="508">
        <v>45.499000000000002</v>
      </c>
      <c r="L2201" s="508">
        <v>15.329000000000001</v>
      </c>
      <c r="M2201" s="508">
        <v>23.417000000000002</v>
      </c>
      <c r="N2201" s="508">
        <v>37.47</v>
      </c>
      <c r="O2201" s="508">
        <v>33.747999999999998</v>
      </c>
      <c r="P2201" s="508">
        <v>8.7639999999999993</v>
      </c>
      <c r="Q2201" s="508">
        <v>12.609</v>
      </c>
      <c r="R2201" s="508">
        <v>10.606</v>
      </c>
      <c r="S2201" s="508">
        <v>10.166</v>
      </c>
      <c r="T2201" s="508">
        <v>10.826000000000001</v>
      </c>
      <c r="U2201" s="508">
        <v>6.9720000000000004</v>
      </c>
      <c r="V2201" s="508">
        <v>5.69</v>
      </c>
      <c r="W2201" s="508">
        <v>4.8659999999999997</v>
      </c>
      <c r="X2201" s="508">
        <v>3.8650000000000002</v>
      </c>
      <c r="Y2201" s="508">
        <v>3.431</v>
      </c>
      <c r="Z2201" s="508">
        <v>2.9369999999999998</v>
      </c>
      <c r="AA2201" s="508">
        <v>1.7010000000000001</v>
      </c>
      <c r="AB2201" s="508">
        <v>1.4770000000000001</v>
      </c>
      <c r="AC2201" s="508">
        <v>1.9179999999999999</v>
      </c>
      <c r="AD2201" s="508">
        <v>1.585</v>
      </c>
      <c r="AE2201" s="508">
        <v>1.165</v>
      </c>
      <c r="AF2201" s="508">
        <v>0.66900000000000004</v>
      </c>
      <c r="AG2201" s="508">
        <v>0.66500000000000004</v>
      </c>
      <c r="AH2201" s="508">
        <v>0.66200000000000003</v>
      </c>
      <c r="AI2201" s="492">
        <v>0.65900000000000003</v>
      </c>
      <c r="AJ2201" s="485"/>
    </row>
    <row r="2202" spans="2:36">
      <c r="B2202" s="136" t="s">
        <v>473</v>
      </c>
      <c r="C2202" s="132" t="s">
        <v>1368</v>
      </c>
      <c r="D2202" s="132" t="s">
        <v>282</v>
      </c>
      <c r="E2202" s="508">
        <v>93.180999999999997</v>
      </c>
      <c r="F2202" s="508">
        <v>38.86</v>
      </c>
      <c r="G2202" s="508">
        <v>47.661999999999999</v>
      </c>
      <c r="H2202" s="508">
        <v>53.595999999999997</v>
      </c>
      <c r="I2202" s="508">
        <v>53.595999999999997</v>
      </c>
      <c r="J2202" s="508">
        <v>46.072000000000003</v>
      </c>
      <c r="K2202" s="508">
        <v>46.223999999999997</v>
      </c>
      <c r="L2202" s="508">
        <v>15.946</v>
      </c>
      <c r="M2202" s="508">
        <v>24.058</v>
      </c>
      <c r="N2202" s="508">
        <v>38.823</v>
      </c>
      <c r="O2202" s="508">
        <v>35.012</v>
      </c>
      <c r="P2202" s="508">
        <v>9.3330000000000002</v>
      </c>
      <c r="Q2202" s="508">
        <v>13.244</v>
      </c>
      <c r="R2202" s="508">
        <v>11.225</v>
      </c>
      <c r="S2202" s="508">
        <v>10.78</v>
      </c>
      <c r="T2202" s="508">
        <v>11.441000000000001</v>
      </c>
      <c r="U2202" s="508">
        <v>7.4740000000000002</v>
      </c>
      <c r="V2202" s="508">
        <v>6.2149999999999999</v>
      </c>
      <c r="W2202" s="508">
        <v>5.2619999999999996</v>
      </c>
      <c r="X2202" s="508">
        <v>4.1950000000000003</v>
      </c>
      <c r="Y2202" s="508">
        <v>3.742</v>
      </c>
      <c r="Z2202" s="508">
        <v>3.242</v>
      </c>
      <c r="AA2202" s="508">
        <v>1.788</v>
      </c>
      <c r="AB2202" s="508">
        <v>1.5489999999999999</v>
      </c>
      <c r="AC2202" s="508">
        <v>1.9910000000000001</v>
      </c>
      <c r="AD2202" s="508">
        <v>1.6279999999999999</v>
      </c>
      <c r="AE2202" s="508">
        <v>1.206</v>
      </c>
      <c r="AF2202" s="508">
        <v>0.69499999999999995</v>
      </c>
      <c r="AG2202" s="508">
        <v>0.69099999999999995</v>
      </c>
      <c r="AH2202" s="508">
        <v>0.68700000000000006</v>
      </c>
      <c r="AI2202" s="492">
        <v>0.68400000000000005</v>
      </c>
      <c r="AJ2202" s="485"/>
    </row>
    <row r="2203" spans="2:36">
      <c r="B2203" s="136" t="s">
        <v>474</v>
      </c>
      <c r="C2203" s="132" t="s">
        <v>1368</v>
      </c>
      <c r="D2203" s="132" t="s">
        <v>282</v>
      </c>
      <c r="E2203" s="508">
        <v>91.576999999999998</v>
      </c>
      <c r="F2203" s="508">
        <v>38.375</v>
      </c>
      <c r="G2203" s="508">
        <v>47.107999999999997</v>
      </c>
      <c r="H2203" s="508">
        <v>52.994999999999997</v>
      </c>
      <c r="I2203" s="508">
        <v>52.994999999999997</v>
      </c>
      <c r="J2203" s="508">
        <v>45.933</v>
      </c>
      <c r="K2203" s="508">
        <v>46.085999999999999</v>
      </c>
      <c r="L2203" s="508">
        <v>15.752000000000001</v>
      </c>
      <c r="M2203" s="508">
        <v>23.882000000000001</v>
      </c>
      <c r="N2203" s="508">
        <v>38.378999999999998</v>
      </c>
      <c r="O2203" s="508">
        <v>34.594999999999999</v>
      </c>
      <c r="P2203" s="508">
        <v>9.1310000000000002</v>
      </c>
      <c r="Q2203" s="508">
        <v>13.032</v>
      </c>
      <c r="R2203" s="508">
        <v>11.013</v>
      </c>
      <c r="S2203" s="508">
        <v>10.569000000000001</v>
      </c>
      <c r="T2203" s="508">
        <v>11.231</v>
      </c>
      <c r="U2203" s="508">
        <v>7.3</v>
      </c>
      <c r="V2203" s="508">
        <v>6.0270000000000001</v>
      </c>
      <c r="W2203" s="508">
        <v>5.1219999999999999</v>
      </c>
      <c r="X2203" s="508">
        <v>4.0780000000000003</v>
      </c>
      <c r="Y2203" s="508">
        <v>3.6309999999999998</v>
      </c>
      <c r="Z2203" s="508">
        <v>3.1309999999999998</v>
      </c>
      <c r="AA2203" s="508">
        <v>1.76</v>
      </c>
      <c r="AB2203" s="508">
        <v>1.526</v>
      </c>
      <c r="AC2203" s="508">
        <v>1.97</v>
      </c>
      <c r="AD2203" s="508">
        <v>1.6180000000000001</v>
      </c>
      <c r="AE2203" s="508">
        <v>1.1950000000000001</v>
      </c>
      <c r="AF2203" s="508">
        <v>0.68700000000000006</v>
      </c>
      <c r="AG2203" s="508">
        <v>0.68300000000000005</v>
      </c>
      <c r="AH2203" s="508">
        <v>0.68</v>
      </c>
      <c r="AI2203" s="492">
        <v>0.67700000000000005</v>
      </c>
      <c r="AJ2203" s="485"/>
    </row>
    <row r="2204" spans="2:36">
      <c r="B2204" s="136" t="s">
        <v>475</v>
      </c>
      <c r="C2204" s="132" t="s">
        <v>1368</v>
      </c>
      <c r="D2204" s="132" t="s">
        <v>282</v>
      </c>
      <c r="E2204" s="508">
        <v>90.835999999999999</v>
      </c>
      <c r="F2204" s="508">
        <v>38.154000000000003</v>
      </c>
      <c r="G2204" s="508">
        <v>46.854999999999997</v>
      </c>
      <c r="H2204" s="508">
        <v>52.722000000000001</v>
      </c>
      <c r="I2204" s="508">
        <v>52.722000000000001</v>
      </c>
      <c r="J2204" s="508">
        <v>45.892000000000003</v>
      </c>
      <c r="K2204" s="508">
        <v>46.045999999999999</v>
      </c>
      <c r="L2204" s="508">
        <v>15.666</v>
      </c>
      <c r="M2204" s="508">
        <v>23.809000000000001</v>
      </c>
      <c r="N2204" s="508">
        <v>38.161999999999999</v>
      </c>
      <c r="O2204" s="508">
        <v>34.390999999999998</v>
      </c>
      <c r="P2204" s="508">
        <v>9.0350000000000001</v>
      </c>
      <c r="Q2204" s="508">
        <v>12.938000000000001</v>
      </c>
      <c r="R2204" s="508">
        <v>10.917999999999999</v>
      </c>
      <c r="S2204" s="508">
        <v>10.473000000000001</v>
      </c>
      <c r="T2204" s="508">
        <v>11.138</v>
      </c>
      <c r="U2204" s="508">
        <v>7.2210000000000001</v>
      </c>
      <c r="V2204" s="508">
        <v>5.9390000000000001</v>
      </c>
      <c r="W2204" s="508">
        <v>5.0579999999999998</v>
      </c>
      <c r="X2204" s="508">
        <v>4.024</v>
      </c>
      <c r="Y2204" s="508">
        <v>3.5790000000000002</v>
      </c>
      <c r="Z2204" s="508">
        <v>3.0790000000000002</v>
      </c>
      <c r="AA2204" s="508">
        <v>1.748</v>
      </c>
      <c r="AB2204" s="508">
        <v>1.5169999999999999</v>
      </c>
      <c r="AC2204" s="508">
        <v>1.9610000000000001</v>
      </c>
      <c r="AD2204" s="508">
        <v>1.6140000000000001</v>
      </c>
      <c r="AE2204" s="508">
        <v>1.19</v>
      </c>
      <c r="AF2204" s="508">
        <v>0.68400000000000005</v>
      </c>
      <c r="AG2204" s="508">
        <v>0.68</v>
      </c>
      <c r="AH2204" s="508">
        <v>0.67700000000000005</v>
      </c>
      <c r="AI2204" s="492">
        <v>0.67400000000000004</v>
      </c>
      <c r="AJ2204" s="485"/>
    </row>
    <row r="2205" spans="2:36">
      <c r="B2205" s="136" t="s">
        <v>476</v>
      </c>
      <c r="C2205" s="132" t="s">
        <v>1368</v>
      </c>
      <c r="D2205" s="132" t="s">
        <v>282</v>
      </c>
      <c r="E2205" s="508">
        <v>93</v>
      </c>
      <c r="F2205" s="508">
        <v>39.091000000000001</v>
      </c>
      <c r="G2205" s="508">
        <v>47.978999999999999</v>
      </c>
      <c r="H2205" s="508">
        <v>53.970999999999997</v>
      </c>
      <c r="I2205" s="508">
        <v>53.970999999999997</v>
      </c>
      <c r="J2205" s="508">
        <v>46.706000000000003</v>
      </c>
      <c r="K2205" s="508">
        <v>46.862000000000002</v>
      </c>
      <c r="L2205" s="508">
        <v>16.042999999999999</v>
      </c>
      <c r="M2205" s="508">
        <v>24.303999999999998</v>
      </c>
      <c r="N2205" s="508">
        <v>38.97</v>
      </c>
      <c r="O2205" s="508">
        <v>35.133000000000003</v>
      </c>
      <c r="P2205" s="508">
        <v>9.2940000000000005</v>
      </c>
      <c r="Q2205" s="508">
        <v>13.266</v>
      </c>
      <c r="R2205" s="508">
        <v>11.218999999999999</v>
      </c>
      <c r="S2205" s="508">
        <v>10.768000000000001</v>
      </c>
      <c r="T2205" s="508">
        <v>11.441000000000001</v>
      </c>
      <c r="U2205" s="508">
        <v>7.4589999999999996</v>
      </c>
      <c r="V2205" s="508">
        <v>6.1639999999999997</v>
      </c>
      <c r="W2205" s="508">
        <v>5.2359999999999998</v>
      </c>
      <c r="X2205" s="508">
        <v>4.1710000000000003</v>
      </c>
      <c r="Y2205" s="508">
        <v>3.7149999999999999</v>
      </c>
      <c r="Z2205" s="508">
        <v>3.2050000000000001</v>
      </c>
      <c r="AA2205" s="508">
        <v>1.798</v>
      </c>
      <c r="AB2205" s="508">
        <v>1.5589999999999999</v>
      </c>
      <c r="AC2205" s="508">
        <v>2.012</v>
      </c>
      <c r="AD2205" s="508">
        <v>1.6519999999999999</v>
      </c>
      <c r="AE2205" s="508">
        <v>1.22</v>
      </c>
      <c r="AF2205" s="508">
        <v>0.70199999999999996</v>
      </c>
      <c r="AG2205" s="508">
        <v>0.69799999999999995</v>
      </c>
      <c r="AH2205" s="508">
        <v>0.69399999999999995</v>
      </c>
      <c r="AI2205" s="492">
        <v>0.69099999999999995</v>
      </c>
      <c r="AJ2205" s="485"/>
    </row>
    <row r="2206" spans="2:36">
      <c r="B2206" s="136" t="s">
        <v>478</v>
      </c>
      <c r="C2206" s="132" t="s">
        <v>1368</v>
      </c>
      <c r="D2206" s="132" t="s">
        <v>282</v>
      </c>
      <c r="E2206" s="508">
        <v>94.786000000000001</v>
      </c>
      <c r="F2206" s="508">
        <v>39.993000000000002</v>
      </c>
      <c r="G2206" s="508">
        <v>49.082000000000001</v>
      </c>
      <c r="H2206" s="508">
        <v>55.209000000000003</v>
      </c>
      <c r="I2206" s="508">
        <v>55.209000000000003</v>
      </c>
      <c r="J2206" s="508">
        <v>47.76</v>
      </c>
      <c r="K2206" s="508">
        <v>47.92</v>
      </c>
      <c r="L2206" s="508">
        <v>16.420999999999999</v>
      </c>
      <c r="M2206" s="508">
        <v>24.864999999999998</v>
      </c>
      <c r="N2206" s="508">
        <v>39.655000000000001</v>
      </c>
      <c r="O2206" s="508">
        <v>35.756</v>
      </c>
      <c r="P2206" s="508">
        <v>9.4890000000000008</v>
      </c>
      <c r="Q2206" s="508">
        <v>13.577999999999999</v>
      </c>
      <c r="R2206" s="508">
        <v>11.488</v>
      </c>
      <c r="S2206" s="508">
        <v>11.028</v>
      </c>
      <c r="T2206" s="508">
        <v>11.715999999999999</v>
      </c>
      <c r="U2206" s="508">
        <v>7.6630000000000003</v>
      </c>
      <c r="V2206" s="508">
        <v>6.3330000000000002</v>
      </c>
      <c r="W2206" s="508">
        <v>5.38</v>
      </c>
      <c r="X2206" s="508">
        <v>4.2880000000000003</v>
      </c>
      <c r="Y2206" s="508">
        <v>3.819</v>
      </c>
      <c r="Z2206" s="508">
        <v>3.294</v>
      </c>
      <c r="AA2206" s="508">
        <v>1.85</v>
      </c>
      <c r="AB2206" s="508">
        <v>1.6040000000000001</v>
      </c>
      <c r="AC2206" s="508">
        <v>2.0710000000000002</v>
      </c>
      <c r="AD2206" s="508">
        <v>1.7010000000000001</v>
      </c>
      <c r="AE2206" s="508">
        <v>1.256</v>
      </c>
      <c r="AF2206" s="508">
        <v>0.72199999999999998</v>
      </c>
      <c r="AG2206" s="508">
        <v>0.71799999999999997</v>
      </c>
      <c r="AH2206" s="508">
        <v>0.71399999999999997</v>
      </c>
      <c r="AI2206" s="492">
        <v>0.71099999999999997</v>
      </c>
      <c r="AJ2206" s="485"/>
    </row>
    <row r="2207" spans="2:36">
      <c r="B2207" s="136" t="s">
        <v>479</v>
      </c>
      <c r="C2207" s="132" t="s">
        <v>1368</v>
      </c>
      <c r="D2207" s="132" t="s">
        <v>282</v>
      </c>
      <c r="E2207" s="508">
        <v>91.792000000000002</v>
      </c>
      <c r="F2207" s="508">
        <v>38.667000000000002</v>
      </c>
      <c r="G2207" s="508">
        <v>47.482999999999997</v>
      </c>
      <c r="H2207" s="508">
        <v>53.426000000000002</v>
      </c>
      <c r="I2207" s="508">
        <v>53.426000000000002</v>
      </c>
      <c r="J2207" s="508">
        <v>46.444000000000003</v>
      </c>
      <c r="K2207" s="508">
        <v>46.6</v>
      </c>
      <c r="L2207" s="508">
        <v>15.869</v>
      </c>
      <c r="M2207" s="508">
        <v>24.106999999999999</v>
      </c>
      <c r="N2207" s="508">
        <v>38.616</v>
      </c>
      <c r="O2207" s="508">
        <v>34.804000000000002</v>
      </c>
      <c r="P2207" s="508">
        <v>9.1489999999999991</v>
      </c>
      <c r="Q2207" s="508">
        <v>13.090999999999999</v>
      </c>
      <c r="R2207" s="508">
        <v>11.052</v>
      </c>
      <c r="S2207" s="508">
        <v>10.603999999999999</v>
      </c>
      <c r="T2207" s="508">
        <v>11.273999999999999</v>
      </c>
      <c r="U2207" s="508">
        <v>7.3250000000000002</v>
      </c>
      <c r="V2207" s="508">
        <v>6.0289999999999999</v>
      </c>
      <c r="W2207" s="508">
        <v>5.1319999999999997</v>
      </c>
      <c r="X2207" s="508">
        <v>4.085</v>
      </c>
      <c r="Y2207" s="508">
        <v>3.6339999999999999</v>
      </c>
      <c r="Z2207" s="508">
        <v>3.1280000000000001</v>
      </c>
      <c r="AA2207" s="508">
        <v>1.7729999999999999</v>
      </c>
      <c r="AB2207" s="508">
        <v>1.538</v>
      </c>
      <c r="AC2207" s="508">
        <v>1.9890000000000001</v>
      </c>
      <c r="AD2207" s="508">
        <v>1.637</v>
      </c>
      <c r="AE2207" s="508">
        <v>1.2070000000000001</v>
      </c>
      <c r="AF2207" s="508">
        <v>0.69399999999999995</v>
      </c>
      <c r="AG2207" s="508">
        <v>0.69</v>
      </c>
      <c r="AH2207" s="508">
        <v>0.68600000000000005</v>
      </c>
      <c r="AI2207" s="492">
        <v>0.68300000000000005</v>
      </c>
      <c r="AJ2207" s="485"/>
    </row>
    <row r="2208" spans="2:36">
      <c r="B2208" s="136" t="s">
        <v>480</v>
      </c>
      <c r="C2208" s="132" t="s">
        <v>1368</v>
      </c>
      <c r="D2208" s="132" t="s">
        <v>282</v>
      </c>
      <c r="E2208" s="508">
        <v>89.23</v>
      </c>
      <c r="F2208" s="508">
        <v>38.040999999999997</v>
      </c>
      <c r="G2208" s="508">
        <v>46.795000000000002</v>
      </c>
      <c r="H2208" s="508">
        <v>52.697000000000003</v>
      </c>
      <c r="I2208" s="508">
        <v>52.697000000000003</v>
      </c>
      <c r="J2208" s="508">
        <v>46.570999999999998</v>
      </c>
      <c r="K2208" s="508">
        <v>46.731999999999999</v>
      </c>
      <c r="L2208" s="508">
        <v>15.622</v>
      </c>
      <c r="M2208" s="508">
        <v>23.966999999999999</v>
      </c>
      <c r="N2208" s="508">
        <v>38.002000000000002</v>
      </c>
      <c r="O2208" s="508">
        <v>34.218000000000004</v>
      </c>
      <c r="P2208" s="508">
        <v>8.8170000000000002</v>
      </c>
      <c r="Q2208" s="508">
        <v>12.778</v>
      </c>
      <c r="R2208" s="508">
        <v>10.724</v>
      </c>
      <c r="S2208" s="508">
        <v>10.273999999999999</v>
      </c>
      <c r="T2208" s="508">
        <v>10.954000000000001</v>
      </c>
      <c r="U2208" s="508">
        <v>7.05</v>
      </c>
      <c r="V2208" s="508">
        <v>5.7119999999999997</v>
      </c>
      <c r="W2208" s="508">
        <v>4.9039999999999999</v>
      </c>
      <c r="X2208" s="508">
        <v>3.8940000000000001</v>
      </c>
      <c r="Y2208" s="508">
        <v>3.448</v>
      </c>
      <c r="Z2208" s="508">
        <v>2.9380000000000002</v>
      </c>
      <c r="AA2208" s="508">
        <v>1.7370000000000001</v>
      </c>
      <c r="AB2208" s="508">
        <v>1.51</v>
      </c>
      <c r="AC2208" s="508">
        <v>1.9690000000000001</v>
      </c>
      <c r="AD2208" s="508">
        <v>1.6339999999999999</v>
      </c>
      <c r="AE2208" s="508">
        <v>1.1970000000000001</v>
      </c>
      <c r="AF2208" s="508">
        <v>0.68600000000000005</v>
      </c>
      <c r="AG2208" s="508">
        <v>0.68200000000000005</v>
      </c>
      <c r="AH2208" s="508">
        <v>0.67900000000000005</v>
      </c>
      <c r="AI2208" s="492">
        <v>0.67600000000000005</v>
      </c>
      <c r="AJ2208" s="485"/>
    </row>
    <row r="2209" spans="2:36">
      <c r="B2209" s="136" t="s">
        <v>481</v>
      </c>
      <c r="C2209" s="132" t="s">
        <v>1368</v>
      </c>
      <c r="D2209" s="132" t="s">
        <v>282</v>
      </c>
      <c r="E2209" s="508">
        <v>92.427999999999997</v>
      </c>
      <c r="F2209" s="508">
        <v>38.941000000000003</v>
      </c>
      <c r="G2209" s="508">
        <v>47.811999999999998</v>
      </c>
      <c r="H2209" s="508">
        <v>53.792999999999999</v>
      </c>
      <c r="I2209" s="508">
        <v>53.792999999999999</v>
      </c>
      <c r="J2209" s="508">
        <v>46.713999999999999</v>
      </c>
      <c r="K2209" s="508">
        <v>46.872</v>
      </c>
      <c r="L2209" s="508">
        <v>15.984</v>
      </c>
      <c r="M2209" s="508">
        <v>24.263999999999999</v>
      </c>
      <c r="N2209" s="508">
        <v>38.823</v>
      </c>
      <c r="O2209" s="508">
        <v>34.994</v>
      </c>
      <c r="P2209" s="508">
        <v>9.2200000000000006</v>
      </c>
      <c r="Q2209" s="508">
        <v>13.195</v>
      </c>
      <c r="R2209" s="508">
        <v>11.146000000000001</v>
      </c>
      <c r="S2209" s="508">
        <v>10.695</v>
      </c>
      <c r="T2209" s="508">
        <v>11.369</v>
      </c>
      <c r="U2209" s="508">
        <v>7.3970000000000002</v>
      </c>
      <c r="V2209" s="508">
        <v>6.0940000000000003</v>
      </c>
      <c r="W2209" s="508">
        <v>5.1859999999999999</v>
      </c>
      <c r="X2209" s="508">
        <v>4.1289999999999996</v>
      </c>
      <c r="Y2209" s="508">
        <v>3.6739999999999999</v>
      </c>
      <c r="Z2209" s="508">
        <v>3.1640000000000001</v>
      </c>
      <c r="AA2209" s="508">
        <v>1.79</v>
      </c>
      <c r="AB2209" s="508">
        <v>1.552</v>
      </c>
      <c r="AC2209" s="508">
        <v>2.0070000000000001</v>
      </c>
      <c r="AD2209" s="508">
        <v>1.65</v>
      </c>
      <c r="AE2209" s="508">
        <v>1.2170000000000001</v>
      </c>
      <c r="AF2209" s="508">
        <v>0.7</v>
      </c>
      <c r="AG2209" s="508">
        <v>0.69599999999999995</v>
      </c>
      <c r="AH2209" s="508">
        <v>0.69199999999999995</v>
      </c>
      <c r="AI2209" s="492">
        <v>0.68899999999999995</v>
      </c>
      <c r="AJ2209" s="485"/>
    </row>
    <row r="2210" spans="2:36">
      <c r="B2210" s="136" t="s">
        <v>482</v>
      </c>
      <c r="C2210" s="132" t="s">
        <v>1368</v>
      </c>
      <c r="D2210" s="132" t="s">
        <v>282</v>
      </c>
      <c r="E2210" s="508">
        <v>95.683999999999997</v>
      </c>
      <c r="F2210" s="508">
        <v>41.232999999999997</v>
      </c>
      <c r="G2210" s="508">
        <v>50.841999999999999</v>
      </c>
      <c r="H2210" s="508">
        <v>57.484999999999999</v>
      </c>
      <c r="I2210" s="508">
        <v>57.911999999999999</v>
      </c>
      <c r="J2210" s="508">
        <v>50.707000000000001</v>
      </c>
      <c r="K2210" s="508">
        <v>50.923000000000002</v>
      </c>
      <c r="L2210" s="508">
        <v>17.422999999999998</v>
      </c>
      <c r="M2210" s="508">
        <v>26.539000000000001</v>
      </c>
      <c r="N2210" s="508">
        <v>41.212000000000003</v>
      </c>
      <c r="O2210" s="508">
        <v>37.280999999999999</v>
      </c>
      <c r="P2210" s="508">
        <v>9.9649999999999999</v>
      </c>
      <c r="Q2210" s="508">
        <v>14.347</v>
      </c>
      <c r="R2210" s="508">
        <v>12.177</v>
      </c>
      <c r="S2210" s="508">
        <v>11.7</v>
      </c>
      <c r="T2210" s="508">
        <v>12.444000000000001</v>
      </c>
      <c r="U2210" s="508">
        <v>8.0969999999999995</v>
      </c>
      <c r="V2210" s="508">
        <v>6.6950000000000003</v>
      </c>
      <c r="W2210" s="508">
        <v>5.702</v>
      </c>
      <c r="X2210" s="508">
        <v>4.5640000000000001</v>
      </c>
      <c r="Y2210" s="508">
        <v>4.0659999999999998</v>
      </c>
      <c r="Z2210" s="508">
        <v>3.5049999999999999</v>
      </c>
      <c r="AA2210" s="508">
        <v>1.9830000000000001</v>
      </c>
      <c r="AB2210" s="508">
        <v>1.7230000000000001</v>
      </c>
      <c r="AC2210" s="508">
        <v>2.2349999999999999</v>
      </c>
      <c r="AD2210" s="508">
        <v>1.8420000000000001</v>
      </c>
      <c r="AE2210" s="508">
        <v>1.3560000000000001</v>
      </c>
      <c r="AF2210" s="508">
        <v>0.77800000000000002</v>
      </c>
      <c r="AG2210" s="508">
        <v>0.77400000000000002</v>
      </c>
      <c r="AH2210" s="508">
        <v>0.77</v>
      </c>
      <c r="AI2210" s="492">
        <v>0.76700000000000002</v>
      </c>
      <c r="AJ2210" s="485"/>
    </row>
    <row r="2211" spans="2:36">
      <c r="B2211" s="136" t="s">
        <v>483</v>
      </c>
      <c r="C2211" s="132" t="s">
        <v>1368</v>
      </c>
      <c r="D2211" s="132" t="s">
        <v>282</v>
      </c>
      <c r="E2211" s="508">
        <v>94.361999999999995</v>
      </c>
      <c r="F2211" s="508">
        <v>39.728999999999999</v>
      </c>
      <c r="G2211" s="508">
        <v>48.752000000000002</v>
      </c>
      <c r="H2211" s="508">
        <v>54.835000000000001</v>
      </c>
      <c r="I2211" s="508">
        <v>54.835000000000001</v>
      </c>
      <c r="J2211" s="508">
        <v>47.377000000000002</v>
      </c>
      <c r="K2211" s="508">
        <v>47.536000000000001</v>
      </c>
      <c r="L2211" s="508">
        <v>16.308</v>
      </c>
      <c r="M2211" s="508">
        <v>24.678000000000001</v>
      </c>
      <c r="N2211" s="508">
        <v>39.470999999999997</v>
      </c>
      <c r="O2211" s="508">
        <v>35.591000000000001</v>
      </c>
      <c r="P2211" s="508">
        <v>9.4480000000000004</v>
      </c>
      <c r="Q2211" s="508">
        <v>13.492000000000001</v>
      </c>
      <c r="R2211" s="508">
        <v>11.417999999999999</v>
      </c>
      <c r="S2211" s="508">
        <v>10.962</v>
      </c>
      <c r="T2211" s="508">
        <v>11.644</v>
      </c>
      <c r="U2211" s="508">
        <v>7.6120000000000001</v>
      </c>
      <c r="V2211" s="508">
        <v>6.298</v>
      </c>
      <c r="W2211" s="508">
        <v>5.3479999999999999</v>
      </c>
      <c r="X2211" s="508">
        <v>4.2619999999999996</v>
      </c>
      <c r="Y2211" s="508">
        <v>3.7970000000000002</v>
      </c>
      <c r="Z2211" s="508">
        <v>3.278</v>
      </c>
      <c r="AA2211" s="508">
        <v>1.835</v>
      </c>
      <c r="AB2211" s="508">
        <v>1.59</v>
      </c>
      <c r="AC2211" s="508">
        <v>2.0510000000000002</v>
      </c>
      <c r="AD2211" s="508">
        <v>1.6830000000000001</v>
      </c>
      <c r="AE2211" s="508">
        <v>1.244</v>
      </c>
      <c r="AF2211" s="508">
        <v>0.71499999999999997</v>
      </c>
      <c r="AG2211" s="508">
        <v>0.71099999999999997</v>
      </c>
      <c r="AH2211" s="508">
        <v>0.70699999999999996</v>
      </c>
      <c r="AI2211" s="492">
        <v>0.70399999999999996</v>
      </c>
      <c r="AJ2211" s="485"/>
    </row>
    <row r="2212" spans="2:36">
      <c r="B2212" s="136" t="s">
        <v>484</v>
      </c>
      <c r="C2212" s="132" t="s">
        <v>1368</v>
      </c>
      <c r="D2212" s="132" t="s">
        <v>282</v>
      </c>
      <c r="E2212" s="508">
        <v>88.625</v>
      </c>
      <c r="F2212" s="508">
        <v>37.442999999999998</v>
      </c>
      <c r="G2212" s="508">
        <v>46.033999999999999</v>
      </c>
      <c r="H2212" s="508">
        <v>51.826000000000001</v>
      </c>
      <c r="I2212" s="508">
        <v>51.826000000000001</v>
      </c>
      <c r="J2212" s="508">
        <v>45.582000000000001</v>
      </c>
      <c r="K2212" s="508">
        <v>45.737000000000002</v>
      </c>
      <c r="L2212" s="508">
        <v>15.377000000000001</v>
      </c>
      <c r="M2212" s="508">
        <v>23.516999999999999</v>
      </c>
      <c r="N2212" s="508">
        <v>37.540999999999997</v>
      </c>
      <c r="O2212" s="508">
        <v>33.808999999999997</v>
      </c>
      <c r="P2212" s="508">
        <v>8.7629999999999999</v>
      </c>
      <c r="Q2212" s="508">
        <v>12.632999999999999</v>
      </c>
      <c r="R2212" s="508">
        <v>10.619</v>
      </c>
      <c r="S2212" s="508">
        <v>10.178000000000001</v>
      </c>
      <c r="T2212" s="508">
        <v>10.842000000000001</v>
      </c>
      <c r="U2212" s="508">
        <v>6.9790000000000001</v>
      </c>
      <c r="V2212" s="508">
        <v>5.6849999999999996</v>
      </c>
      <c r="W2212" s="508">
        <v>4.8659999999999997</v>
      </c>
      <c r="X2212" s="508">
        <v>3.8650000000000002</v>
      </c>
      <c r="Y2212" s="508">
        <v>3.4279999999999999</v>
      </c>
      <c r="Z2212" s="508">
        <v>2.931</v>
      </c>
      <c r="AA2212" s="508">
        <v>1.7070000000000001</v>
      </c>
      <c r="AB2212" s="508">
        <v>1.4830000000000001</v>
      </c>
      <c r="AC2212" s="508">
        <v>1.927</v>
      </c>
      <c r="AD2212" s="508">
        <v>1.5940000000000001</v>
      </c>
      <c r="AE2212" s="508">
        <v>1.171</v>
      </c>
      <c r="AF2212" s="508">
        <v>0.67200000000000004</v>
      </c>
      <c r="AG2212" s="508">
        <v>0.66800000000000004</v>
      </c>
      <c r="AH2212" s="508">
        <v>0.66500000000000004</v>
      </c>
      <c r="AI2212" s="492">
        <v>0.66200000000000003</v>
      </c>
      <c r="AJ2212" s="485"/>
    </row>
    <row r="2213" spans="2:36">
      <c r="B2213" s="136" t="s">
        <v>486</v>
      </c>
      <c r="C2213" s="132" t="s">
        <v>1368</v>
      </c>
      <c r="D2213" s="132" t="s">
        <v>282</v>
      </c>
      <c r="E2213" s="508">
        <v>92.707999999999998</v>
      </c>
      <c r="F2213" s="508">
        <v>39.128999999999998</v>
      </c>
      <c r="G2213" s="508">
        <v>48.046999999999997</v>
      </c>
      <c r="H2213" s="508">
        <v>54.058999999999997</v>
      </c>
      <c r="I2213" s="508">
        <v>54.058999999999997</v>
      </c>
      <c r="J2213" s="508">
        <v>46.999000000000002</v>
      </c>
      <c r="K2213" s="508">
        <v>47.156999999999996</v>
      </c>
      <c r="L2213" s="508">
        <v>16.065000000000001</v>
      </c>
      <c r="M2213" s="508">
        <v>24.4</v>
      </c>
      <c r="N2213" s="508">
        <v>38.951000000000001</v>
      </c>
      <c r="O2213" s="508">
        <v>35.109000000000002</v>
      </c>
      <c r="P2213" s="508">
        <v>9.2460000000000004</v>
      </c>
      <c r="Q2213" s="508">
        <v>13.255000000000001</v>
      </c>
      <c r="R2213" s="508">
        <v>11.192</v>
      </c>
      <c r="S2213" s="508">
        <v>10.739000000000001</v>
      </c>
      <c r="T2213" s="508">
        <v>11.417999999999999</v>
      </c>
      <c r="U2213" s="508">
        <v>7.431</v>
      </c>
      <c r="V2213" s="508">
        <v>6.1150000000000002</v>
      </c>
      <c r="W2213" s="508">
        <v>5.2069999999999999</v>
      </c>
      <c r="X2213" s="508">
        <v>4.1459999999999999</v>
      </c>
      <c r="Y2213" s="508">
        <v>3.6869999999999998</v>
      </c>
      <c r="Z2213" s="508">
        <v>3.173</v>
      </c>
      <c r="AA2213" s="508">
        <v>1.8009999999999999</v>
      </c>
      <c r="AB2213" s="508">
        <v>1.5620000000000001</v>
      </c>
      <c r="AC2213" s="508">
        <v>2.0209999999999999</v>
      </c>
      <c r="AD2213" s="508">
        <v>1.663</v>
      </c>
      <c r="AE2213" s="508">
        <v>1.226</v>
      </c>
      <c r="AF2213" s="508">
        <v>0.70499999999999996</v>
      </c>
      <c r="AG2213" s="508">
        <v>0.70099999999999996</v>
      </c>
      <c r="AH2213" s="508">
        <v>0.69699999999999995</v>
      </c>
      <c r="AI2213" s="492">
        <v>0.69399999999999995</v>
      </c>
      <c r="AJ2213" s="485"/>
    </row>
    <row r="2214" spans="2:36">
      <c r="B2214" s="136" t="s">
        <v>487</v>
      </c>
      <c r="C2214" s="132" t="s">
        <v>1368</v>
      </c>
      <c r="D2214" s="132" t="s">
        <v>282</v>
      </c>
      <c r="E2214" s="508">
        <v>93.302000000000007</v>
      </c>
      <c r="F2214" s="508">
        <v>39.603000000000002</v>
      </c>
      <c r="G2214" s="508">
        <v>48.646000000000001</v>
      </c>
      <c r="H2214" s="508">
        <v>54.741999999999997</v>
      </c>
      <c r="I2214" s="508">
        <v>54.741999999999997</v>
      </c>
      <c r="J2214" s="508">
        <v>47.753</v>
      </c>
      <c r="K2214" s="508">
        <v>47.915999999999997</v>
      </c>
      <c r="L2214" s="508">
        <v>16.263999999999999</v>
      </c>
      <c r="M2214" s="508">
        <v>24.751999999999999</v>
      </c>
      <c r="N2214" s="508">
        <v>39.293999999999997</v>
      </c>
      <c r="O2214" s="508">
        <v>35.412999999999997</v>
      </c>
      <c r="P2214" s="508">
        <v>9.3000000000000007</v>
      </c>
      <c r="Q2214" s="508">
        <v>13.388</v>
      </c>
      <c r="R2214" s="508">
        <v>11.292999999999999</v>
      </c>
      <c r="S2214" s="508">
        <v>10.834</v>
      </c>
      <c r="T2214" s="508">
        <v>11.526</v>
      </c>
      <c r="U2214" s="508">
        <v>7.5019999999999998</v>
      </c>
      <c r="V2214" s="508">
        <v>6.1529999999999996</v>
      </c>
      <c r="W2214" s="508">
        <v>5.2489999999999997</v>
      </c>
      <c r="X2214" s="508">
        <v>4.1779999999999999</v>
      </c>
      <c r="Y2214" s="508">
        <v>3.7130000000000001</v>
      </c>
      <c r="Z2214" s="508">
        <v>3.1880000000000002</v>
      </c>
      <c r="AA2214" s="508">
        <v>1.827</v>
      </c>
      <c r="AB2214" s="508">
        <v>1.585</v>
      </c>
      <c r="AC2214" s="508">
        <v>2.0550000000000002</v>
      </c>
      <c r="AD2214" s="508">
        <v>1.6950000000000001</v>
      </c>
      <c r="AE2214" s="508">
        <v>1.2470000000000001</v>
      </c>
      <c r="AF2214" s="508">
        <v>0.71599999999999997</v>
      </c>
      <c r="AG2214" s="508">
        <v>0.71199999999999997</v>
      </c>
      <c r="AH2214" s="508">
        <v>0.70799999999999996</v>
      </c>
      <c r="AI2214" s="492">
        <v>0.70499999999999996</v>
      </c>
      <c r="AJ2214" s="485"/>
    </row>
    <row r="2215" spans="2:36">
      <c r="B2215" s="136" t="s">
        <v>488</v>
      </c>
      <c r="C2215" s="132" t="s">
        <v>1368</v>
      </c>
      <c r="D2215" s="132" t="s">
        <v>282</v>
      </c>
      <c r="E2215" s="508">
        <v>89.930999999999997</v>
      </c>
      <c r="F2215" s="508">
        <v>38.101999999999997</v>
      </c>
      <c r="G2215" s="508">
        <v>46.838999999999999</v>
      </c>
      <c r="H2215" s="508">
        <v>52.728999999999999</v>
      </c>
      <c r="I2215" s="508">
        <v>52.728999999999999</v>
      </c>
      <c r="J2215" s="508">
        <v>46.332999999999998</v>
      </c>
      <c r="K2215" s="508">
        <v>46.491999999999997</v>
      </c>
      <c r="L2215" s="508">
        <v>15.65</v>
      </c>
      <c r="M2215" s="508">
        <v>23.920999999999999</v>
      </c>
      <c r="N2215" s="508">
        <v>38.057000000000002</v>
      </c>
      <c r="O2215" s="508">
        <v>34.277999999999999</v>
      </c>
      <c r="P2215" s="508">
        <v>8.907</v>
      </c>
      <c r="Q2215" s="508">
        <v>12.856</v>
      </c>
      <c r="R2215" s="508">
        <v>10.813000000000001</v>
      </c>
      <c r="S2215" s="508">
        <v>10.365</v>
      </c>
      <c r="T2215" s="508">
        <v>11.04</v>
      </c>
      <c r="U2215" s="508">
        <v>7.1269999999999998</v>
      </c>
      <c r="V2215" s="508">
        <v>5.8090000000000002</v>
      </c>
      <c r="W2215" s="508">
        <v>4.9710000000000001</v>
      </c>
      <c r="X2215" s="508">
        <v>3.95</v>
      </c>
      <c r="Y2215" s="508">
        <v>3.504</v>
      </c>
      <c r="Z2215" s="508">
        <v>2.9969999999999999</v>
      </c>
      <c r="AA2215" s="508">
        <v>1.744</v>
      </c>
      <c r="AB2215" s="508">
        <v>1.5149999999999999</v>
      </c>
      <c r="AC2215" s="508">
        <v>1.9690000000000001</v>
      </c>
      <c r="AD2215" s="508">
        <v>1.629</v>
      </c>
      <c r="AE2215" s="508">
        <v>1.196</v>
      </c>
      <c r="AF2215" s="508">
        <v>0.68700000000000006</v>
      </c>
      <c r="AG2215" s="508">
        <v>0.68300000000000005</v>
      </c>
      <c r="AH2215" s="508">
        <v>0.67900000000000005</v>
      </c>
      <c r="AI2215" s="492">
        <v>0.67600000000000005</v>
      </c>
      <c r="AJ2215" s="485"/>
    </row>
    <row r="2216" spans="2:36">
      <c r="B2216" s="136" t="s">
        <v>489</v>
      </c>
      <c r="C2216" s="132" t="s">
        <v>1368</v>
      </c>
      <c r="D2216" s="132" t="s">
        <v>282</v>
      </c>
      <c r="E2216" s="508">
        <v>90.760999999999996</v>
      </c>
      <c r="F2216" s="508">
        <v>38.204000000000001</v>
      </c>
      <c r="G2216" s="508">
        <v>46.927</v>
      </c>
      <c r="H2216" s="508">
        <v>52.807000000000002</v>
      </c>
      <c r="I2216" s="508">
        <v>52.807000000000002</v>
      </c>
      <c r="J2216" s="508">
        <v>46.06</v>
      </c>
      <c r="K2216" s="508">
        <v>46.216000000000001</v>
      </c>
      <c r="L2216" s="508">
        <v>15.688000000000001</v>
      </c>
      <c r="M2216" s="508">
        <v>23.870999999999999</v>
      </c>
      <c r="N2216" s="508">
        <v>38.185000000000002</v>
      </c>
      <c r="O2216" s="508">
        <v>34.408000000000001</v>
      </c>
      <c r="P2216" s="508">
        <v>9.0210000000000008</v>
      </c>
      <c r="Q2216" s="508">
        <v>12.942</v>
      </c>
      <c r="R2216" s="508">
        <v>10.913</v>
      </c>
      <c r="S2216" s="508">
        <v>10.468</v>
      </c>
      <c r="T2216" s="508">
        <v>11.135</v>
      </c>
      <c r="U2216" s="508">
        <v>7.2149999999999999</v>
      </c>
      <c r="V2216" s="508">
        <v>5.9219999999999997</v>
      </c>
      <c r="W2216" s="508">
        <v>5.0490000000000004</v>
      </c>
      <c r="X2216" s="508">
        <v>4.016</v>
      </c>
      <c r="Y2216" s="508">
        <v>3.57</v>
      </c>
      <c r="Z2216" s="508">
        <v>3.0680000000000001</v>
      </c>
      <c r="AA2216" s="508">
        <v>1.7509999999999999</v>
      </c>
      <c r="AB2216" s="508">
        <v>1.5189999999999999</v>
      </c>
      <c r="AC2216" s="508">
        <v>1.9670000000000001</v>
      </c>
      <c r="AD2216" s="508">
        <v>1.621</v>
      </c>
      <c r="AE2216" s="508">
        <v>1.194</v>
      </c>
      <c r="AF2216" s="508">
        <v>0.68600000000000005</v>
      </c>
      <c r="AG2216" s="508">
        <v>0.68200000000000005</v>
      </c>
      <c r="AH2216" s="508">
        <v>0.67900000000000005</v>
      </c>
      <c r="AI2216" s="492">
        <v>0.67600000000000005</v>
      </c>
      <c r="AJ2216" s="485"/>
    </row>
    <row r="2217" spans="2:36">
      <c r="B2217" s="136" t="s">
        <v>490</v>
      </c>
      <c r="C2217" s="132" t="s">
        <v>1368</v>
      </c>
      <c r="D2217" s="132" t="s">
        <v>282</v>
      </c>
      <c r="E2217" s="508">
        <v>89.944000000000003</v>
      </c>
      <c r="F2217" s="508">
        <v>38.433</v>
      </c>
      <c r="G2217" s="508">
        <v>47.274999999999999</v>
      </c>
      <c r="H2217" s="508">
        <v>53.234999999999999</v>
      </c>
      <c r="I2217" s="508">
        <v>53.234999999999999</v>
      </c>
      <c r="J2217" s="508">
        <v>46.994999999999997</v>
      </c>
      <c r="K2217" s="508">
        <v>47.158000000000001</v>
      </c>
      <c r="L2217" s="508">
        <v>15.776999999999999</v>
      </c>
      <c r="M2217" s="508">
        <v>24.195</v>
      </c>
      <c r="N2217" s="508">
        <v>38.351999999999997</v>
      </c>
      <c r="O2217" s="508">
        <v>34.536000000000001</v>
      </c>
      <c r="P2217" s="508">
        <v>8.9030000000000005</v>
      </c>
      <c r="Q2217" s="508">
        <v>12.891999999999999</v>
      </c>
      <c r="R2217" s="508">
        <v>10.824</v>
      </c>
      <c r="S2217" s="508">
        <v>10.371</v>
      </c>
      <c r="T2217" s="508">
        <v>11.055999999999999</v>
      </c>
      <c r="U2217" s="508">
        <v>7.1269999999999998</v>
      </c>
      <c r="V2217" s="508">
        <v>5.7789999999999999</v>
      </c>
      <c r="W2217" s="508">
        <v>4.96</v>
      </c>
      <c r="X2217" s="508">
        <v>3.9390000000000001</v>
      </c>
      <c r="Y2217" s="508">
        <v>3.4889999999999999</v>
      </c>
      <c r="Z2217" s="508">
        <v>2.9740000000000002</v>
      </c>
      <c r="AA2217" s="508">
        <v>1.756</v>
      </c>
      <c r="AB2217" s="508">
        <v>1.526</v>
      </c>
      <c r="AC2217" s="508">
        <v>1.9890000000000001</v>
      </c>
      <c r="AD2217" s="508">
        <v>1.651</v>
      </c>
      <c r="AE2217" s="508">
        <v>1.2090000000000001</v>
      </c>
      <c r="AF2217" s="508">
        <v>0.69399999999999995</v>
      </c>
      <c r="AG2217" s="508">
        <v>0.69</v>
      </c>
      <c r="AH2217" s="508">
        <v>0.68600000000000005</v>
      </c>
      <c r="AI2217" s="492">
        <v>0.68300000000000005</v>
      </c>
      <c r="AJ2217" s="485"/>
    </row>
    <row r="2218" spans="2:36">
      <c r="B2218" s="136" t="s">
        <v>435</v>
      </c>
      <c r="C2218" s="132" t="s">
        <v>1369</v>
      </c>
      <c r="D2218" s="132" t="s">
        <v>282</v>
      </c>
      <c r="E2218" s="508">
        <v>108.874</v>
      </c>
      <c r="F2218" s="508">
        <v>45.469000000000001</v>
      </c>
      <c r="G2218" s="508">
        <v>45.57</v>
      </c>
      <c r="H2218" s="508">
        <v>45.58</v>
      </c>
      <c r="I2218" s="508">
        <v>45.561999999999998</v>
      </c>
      <c r="J2218" s="508">
        <v>39.930999999999997</v>
      </c>
      <c r="K2218" s="508">
        <v>39.81</v>
      </c>
      <c r="L2218" s="508">
        <v>39.575000000000003</v>
      </c>
      <c r="M2218" s="508">
        <v>39.286000000000001</v>
      </c>
      <c r="N2218" s="508">
        <v>39.326000000000001</v>
      </c>
      <c r="O2218" s="508">
        <v>38.595999999999997</v>
      </c>
      <c r="P2218" s="508">
        <v>15.276</v>
      </c>
      <c r="Q2218" s="508">
        <v>16.702999999999999</v>
      </c>
      <c r="R2218" s="508">
        <v>15.981</v>
      </c>
      <c r="S2218" s="508">
        <v>15.904999999999999</v>
      </c>
      <c r="T2218" s="508">
        <v>15.471</v>
      </c>
      <c r="U2218" s="508">
        <v>9.32</v>
      </c>
      <c r="V2218" s="508">
        <v>9.1050000000000004</v>
      </c>
      <c r="W2218" s="508">
        <v>9.3529999999999998</v>
      </c>
      <c r="X2218" s="508">
        <v>6.7290000000000001</v>
      </c>
      <c r="Y2218" s="508">
        <v>5.9020000000000001</v>
      </c>
      <c r="Z2218" s="508">
        <v>4.6619999999999999</v>
      </c>
      <c r="AA2218" s="508">
        <v>4.2930000000000001</v>
      </c>
      <c r="AB2218" s="508">
        <v>3.8340000000000001</v>
      </c>
      <c r="AC2218" s="508">
        <v>3.5739999999999998</v>
      </c>
      <c r="AD2218" s="508">
        <v>2.8340000000000001</v>
      </c>
      <c r="AE2218" s="508">
        <v>2.8279999999999998</v>
      </c>
      <c r="AF2218" s="508">
        <v>1.458</v>
      </c>
      <c r="AG2218" s="508">
        <v>1.4410000000000001</v>
      </c>
      <c r="AH2218" s="508">
        <v>1.4350000000000001</v>
      </c>
      <c r="AI2218" s="492">
        <v>1.429</v>
      </c>
      <c r="AJ2218" s="485"/>
    </row>
    <row r="2219" spans="2:36">
      <c r="B2219" s="136" t="s">
        <v>436</v>
      </c>
      <c r="C2219" s="132" t="s">
        <v>1369</v>
      </c>
      <c r="D2219" s="132" t="s">
        <v>282</v>
      </c>
      <c r="E2219" s="508">
        <v>117.79900000000001</v>
      </c>
      <c r="F2219" s="508">
        <v>46.087000000000003</v>
      </c>
      <c r="G2219" s="508">
        <v>46.137</v>
      </c>
      <c r="H2219" s="508">
        <v>46.140999999999998</v>
      </c>
      <c r="I2219" s="508">
        <v>46.133000000000003</v>
      </c>
      <c r="J2219" s="508">
        <v>41.389000000000003</v>
      </c>
      <c r="K2219" s="508">
        <v>41.232999999999997</v>
      </c>
      <c r="L2219" s="508">
        <v>40.926000000000002</v>
      </c>
      <c r="M2219" s="508">
        <v>40.555999999999997</v>
      </c>
      <c r="N2219" s="508">
        <v>40.345999999999997</v>
      </c>
      <c r="O2219" s="508">
        <v>39.484999999999999</v>
      </c>
      <c r="P2219" s="508">
        <v>17.670000000000002</v>
      </c>
      <c r="Q2219" s="508">
        <v>18.882000000000001</v>
      </c>
      <c r="R2219" s="508">
        <v>18.015999999999998</v>
      </c>
      <c r="S2219" s="508">
        <v>17.827000000000002</v>
      </c>
      <c r="T2219" s="508">
        <v>17.257000000000001</v>
      </c>
      <c r="U2219" s="508">
        <v>10.074999999999999</v>
      </c>
      <c r="V2219" s="508">
        <v>9.8230000000000004</v>
      </c>
      <c r="W2219" s="508">
        <v>9.9990000000000006</v>
      </c>
      <c r="X2219" s="508">
        <v>7.4210000000000003</v>
      </c>
      <c r="Y2219" s="508">
        <v>6.5990000000000002</v>
      </c>
      <c r="Z2219" s="508">
        <v>5.4480000000000004</v>
      </c>
      <c r="AA2219" s="508">
        <v>5.032</v>
      </c>
      <c r="AB2219" s="508">
        <v>4.5519999999999996</v>
      </c>
      <c r="AC2219" s="508">
        <v>4.2560000000000002</v>
      </c>
      <c r="AD2219" s="508">
        <v>3.5840000000000001</v>
      </c>
      <c r="AE2219" s="508">
        <v>3.47</v>
      </c>
      <c r="AF2219" s="508">
        <v>1.946</v>
      </c>
      <c r="AG2219" s="508">
        <v>1.835</v>
      </c>
      <c r="AH2219" s="508">
        <v>1.825</v>
      </c>
      <c r="AI2219" s="492">
        <v>1.8120000000000001</v>
      </c>
      <c r="AJ2219" s="485"/>
    </row>
    <row r="2220" spans="2:36">
      <c r="B2220" s="136" t="s">
        <v>437</v>
      </c>
      <c r="C2220" s="132" t="s">
        <v>1369</v>
      </c>
      <c r="D2220" s="132" t="s">
        <v>282</v>
      </c>
      <c r="E2220" s="508">
        <v>92.835999999999999</v>
      </c>
      <c r="F2220" s="508">
        <v>40.665999999999997</v>
      </c>
      <c r="G2220" s="508">
        <v>40.94</v>
      </c>
      <c r="H2220" s="508">
        <v>41.265000000000001</v>
      </c>
      <c r="I2220" s="508">
        <v>41.76</v>
      </c>
      <c r="J2220" s="508">
        <v>37.088999999999999</v>
      </c>
      <c r="K2220" s="508">
        <v>37.045000000000002</v>
      </c>
      <c r="L2220" s="508">
        <v>37.049999999999997</v>
      </c>
      <c r="M2220" s="508">
        <v>36.972000000000001</v>
      </c>
      <c r="N2220" s="508">
        <v>36.962000000000003</v>
      </c>
      <c r="O2220" s="508">
        <v>36.392000000000003</v>
      </c>
      <c r="P2220" s="508">
        <v>15.606</v>
      </c>
      <c r="Q2220" s="508">
        <v>17.338000000000001</v>
      </c>
      <c r="R2220" s="508">
        <v>16.597000000000001</v>
      </c>
      <c r="S2220" s="508">
        <v>16.577000000000002</v>
      </c>
      <c r="T2220" s="508">
        <v>16.131</v>
      </c>
      <c r="U2220" s="508">
        <v>10.266</v>
      </c>
      <c r="V2220" s="508">
        <v>10.044</v>
      </c>
      <c r="W2220" s="508">
        <v>10.348000000000001</v>
      </c>
      <c r="X2220" s="508">
        <v>7.4470000000000001</v>
      </c>
      <c r="Y2220" s="508">
        <v>6.5339999999999998</v>
      </c>
      <c r="Z2220" s="508">
        <v>5.2960000000000003</v>
      </c>
      <c r="AA2220" s="508">
        <v>4.8540000000000001</v>
      </c>
      <c r="AB2220" s="508">
        <v>4.327</v>
      </c>
      <c r="AC2220" s="508">
        <v>4.0140000000000002</v>
      </c>
      <c r="AD2220" s="508">
        <v>3.339</v>
      </c>
      <c r="AE2220" s="508">
        <v>3.3450000000000002</v>
      </c>
      <c r="AF2220" s="508">
        <v>1.8009999999999999</v>
      </c>
      <c r="AG2220" s="508">
        <v>1.792</v>
      </c>
      <c r="AH2220" s="508">
        <v>1.784</v>
      </c>
      <c r="AI2220" s="492">
        <v>1.778</v>
      </c>
      <c r="AJ2220" s="485"/>
    </row>
    <row r="2221" spans="2:36">
      <c r="B2221" s="136" t="s">
        <v>438</v>
      </c>
      <c r="C2221" s="132" t="s">
        <v>1369</v>
      </c>
      <c r="D2221" s="132" t="s">
        <v>282</v>
      </c>
      <c r="E2221" s="508">
        <v>109.26600000000001</v>
      </c>
      <c r="F2221" s="508">
        <v>45.951000000000001</v>
      </c>
      <c r="G2221" s="508">
        <v>46.063000000000002</v>
      </c>
      <c r="H2221" s="508">
        <v>46.073</v>
      </c>
      <c r="I2221" s="508">
        <v>46.054000000000002</v>
      </c>
      <c r="J2221" s="508">
        <v>41.002000000000002</v>
      </c>
      <c r="K2221" s="508">
        <v>40.866</v>
      </c>
      <c r="L2221" s="508">
        <v>40.622999999999998</v>
      </c>
      <c r="M2221" s="508">
        <v>40.314</v>
      </c>
      <c r="N2221" s="508">
        <v>39.494</v>
      </c>
      <c r="O2221" s="508">
        <v>38.755000000000003</v>
      </c>
      <c r="P2221" s="508">
        <v>15.381</v>
      </c>
      <c r="Q2221" s="508">
        <v>16.861999999999998</v>
      </c>
      <c r="R2221" s="508">
        <v>16.143999999999998</v>
      </c>
      <c r="S2221" s="508">
        <v>16.055</v>
      </c>
      <c r="T2221" s="508">
        <v>15.616</v>
      </c>
      <c r="U2221" s="508">
        <v>9.7430000000000003</v>
      </c>
      <c r="V2221" s="508">
        <v>9.5109999999999992</v>
      </c>
      <c r="W2221" s="508">
        <v>9.7379999999999995</v>
      </c>
      <c r="X2221" s="508">
        <v>7.0259999999999998</v>
      </c>
      <c r="Y2221" s="508">
        <v>6.1959999999999997</v>
      </c>
      <c r="Z2221" s="508">
        <v>4.907</v>
      </c>
      <c r="AA2221" s="508">
        <v>4.5190000000000001</v>
      </c>
      <c r="AB2221" s="508">
        <v>4.0540000000000003</v>
      </c>
      <c r="AC2221" s="508">
        <v>3.782</v>
      </c>
      <c r="AD2221" s="508">
        <v>3.0190000000000001</v>
      </c>
      <c r="AE2221" s="508">
        <v>3.004</v>
      </c>
      <c r="AF2221" s="508">
        <v>1.5669999999999999</v>
      </c>
      <c r="AG2221" s="508">
        <v>1.544</v>
      </c>
      <c r="AH2221" s="508">
        <v>1.536</v>
      </c>
      <c r="AI2221" s="492">
        <v>1.5289999999999999</v>
      </c>
      <c r="AJ2221" s="485"/>
    </row>
    <row r="2222" spans="2:36">
      <c r="B2222" s="136" t="s">
        <v>439</v>
      </c>
      <c r="C2222" s="132" t="s">
        <v>1369</v>
      </c>
      <c r="D2222" s="132" t="s">
        <v>282</v>
      </c>
      <c r="E2222" s="508">
        <v>71.72</v>
      </c>
      <c r="F2222" s="508">
        <v>27.451000000000001</v>
      </c>
      <c r="G2222" s="508">
        <v>27.282</v>
      </c>
      <c r="H2222" s="508">
        <v>27.265999999999998</v>
      </c>
      <c r="I2222" s="508">
        <v>27.295999999999999</v>
      </c>
      <c r="J2222" s="508">
        <v>24.486000000000001</v>
      </c>
      <c r="K2222" s="508">
        <v>24.462</v>
      </c>
      <c r="L2222" s="508">
        <v>24.283999999999999</v>
      </c>
      <c r="M2222" s="508">
        <v>24.16</v>
      </c>
      <c r="N2222" s="508">
        <v>25.818999999999999</v>
      </c>
      <c r="O2222" s="508">
        <v>25.178999999999998</v>
      </c>
      <c r="P2222" s="508">
        <v>13.47</v>
      </c>
      <c r="Q2222" s="508">
        <v>14.771000000000001</v>
      </c>
      <c r="R2222" s="508">
        <v>14.02</v>
      </c>
      <c r="S2222" s="508">
        <v>14.002000000000001</v>
      </c>
      <c r="T2222" s="508">
        <v>13.551</v>
      </c>
      <c r="U2222" s="508">
        <v>8.8049999999999997</v>
      </c>
      <c r="V2222" s="508">
        <v>8.6029999999999998</v>
      </c>
      <c r="W2222" s="508">
        <v>8.7859999999999996</v>
      </c>
      <c r="X2222" s="508">
        <v>6.3230000000000004</v>
      </c>
      <c r="Y2222" s="508">
        <v>5.5620000000000003</v>
      </c>
      <c r="Z2222" s="508">
        <v>4.6029999999999998</v>
      </c>
      <c r="AA2222" s="508">
        <v>4.1879999999999997</v>
      </c>
      <c r="AB2222" s="508">
        <v>3.722</v>
      </c>
      <c r="AC2222" s="508">
        <v>3.43</v>
      </c>
      <c r="AD2222" s="508">
        <v>2.8460000000000001</v>
      </c>
      <c r="AE2222" s="508">
        <v>2.827</v>
      </c>
      <c r="AF2222" s="508">
        <v>1.5669999999999999</v>
      </c>
      <c r="AG2222" s="508">
        <v>1.54</v>
      </c>
      <c r="AH2222" s="508">
        <v>1.577</v>
      </c>
      <c r="AI2222" s="492">
        <v>1.569</v>
      </c>
      <c r="AJ2222" s="485"/>
    </row>
    <row r="2223" spans="2:36">
      <c r="B2223" s="136" t="s">
        <v>440</v>
      </c>
      <c r="C2223" s="132" t="s">
        <v>1369</v>
      </c>
      <c r="D2223" s="132" t="s">
        <v>282</v>
      </c>
      <c r="E2223" s="508">
        <v>95.364999999999995</v>
      </c>
      <c r="F2223" s="508">
        <v>36.984000000000002</v>
      </c>
      <c r="G2223" s="508">
        <v>36.915999999999997</v>
      </c>
      <c r="H2223" s="508">
        <v>36.909999999999997</v>
      </c>
      <c r="I2223" s="508">
        <v>36.921999999999997</v>
      </c>
      <c r="J2223" s="508">
        <v>32.945</v>
      </c>
      <c r="K2223" s="508">
        <v>32.875999999999998</v>
      </c>
      <c r="L2223" s="508">
        <v>32.654000000000003</v>
      </c>
      <c r="M2223" s="508">
        <v>32.442</v>
      </c>
      <c r="N2223" s="508">
        <v>32.491999999999997</v>
      </c>
      <c r="O2223" s="508">
        <v>31.766999999999999</v>
      </c>
      <c r="P2223" s="508">
        <v>15.619</v>
      </c>
      <c r="Q2223" s="508">
        <v>16.972000000000001</v>
      </c>
      <c r="R2223" s="508">
        <v>16.167999999999999</v>
      </c>
      <c r="S2223" s="508">
        <v>16.084</v>
      </c>
      <c r="T2223" s="508">
        <v>15.589</v>
      </c>
      <c r="U2223" s="508">
        <v>9.3919999999999995</v>
      </c>
      <c r="V2223" s="508">
        <v>9.17</v>
      </c>
      <c r="W2223" s="508">
        <v>9.3670000000000009</v>
      </c>
      <c r="X2223" s="508">
        <v>6.8159999999999998</v>
      </c>
      <c r="Y2223" s="508">
        <v>6.0170000000000003</v>
      </c>
      <c r="Z2223" s="508">
        <v>4.9269999999999996</v>
      </c>
      <c r="AA2223" s="508">
        <v>4.5220000000000002</v>
      </c>
      <c r="AB2223" s="508">
        <v>4.0529999999999999</v>
      </c>
      <c r="AC2223" s="508">
        <v>3.7669999999999999</v>
      </c>
      <c r="AD2223" s="508">
        <v>3.081</v>
      </c>
      <c r="AE2223" s="508">
        <v>3.036</v>
      </c>
      <c r="AF2223" s="508">
        <v>1.68</v>
      </c>
      <c r="AG2223" s="508">
        <v>1.629</v>
      </c>
      <c r="AH2223" s="508">
        <v>1.651</v>
      </c>
      <c r="AI2223" s="492">
        <v>1.6419999999999999</v>
      </c>
      <c r="AJ2223" s="485"/>
    </row>
    <row r="2224" spans="2:36">
      <c r="B2224" s="136" t="s">
        <v>441</v>
      </c>
      <c r="C2224" s="132" t="s">
        <v>1369</v>
      </c>
      <c r="D2224" s="132" t="s">
        <v>282</v>
      </c>
      <c r="E2224" s="508">
        <v>116.92400000000001</v>
      </c>
      <c r="F2224" s="508">
        <v>47.985999999999997</v>
      </c>
      <c r="G2224" s="508">
        <v>33.259</v>
      </c>
      <c r="H2224" s="508">
        <v>33.25</v>
      </c>
      <c r="I2224" s="508">
        <v>33.267000000000003</v>
      </c>
      <c r="J2224" s="508">
        <v>29.927</v>
      </c>
      <c r="K2224" s="508">
        <v>29.861000000000001</v>
      </c>
      <c r="L2224" s="508">
        <v>29.638999999999999</v>
      </c>
      <c r="M2224" s="508">
        <v>29.434999999999999</v>
      </c>
      <c r="N2224" s="508">
        <v>30.106000000000002</v>
      </c>
      <c r="O2224" s="508">
        <v>29.376999999999999</v>
      </c>
      <c r="P2224" s="508">
        <v>14.009</v>
      </c>
      <c r="Q2224" s="508">
        <v>15.301</v>
      </c>
      <c r="R2224" s="508">
        <v>14.531000000000001</v>
      </c>
      <c r="S2224" s="508">
        <v>14.484</v>
      </c>
      <c r="T2224" s="508">
        <v>14.016</v>
      </c>
      <c r="U2224" s="508">
        <v>8.6379999999999999</v>
      </c>
      <c r="V2224" s="508">
        <v>8.4440000000000008</v>
      </c>
      <c r="W2224" s="508">
        <v>8.6280000000000001</v>
      </c>
      <c r="X2224" s="508">
        <v>6.3040000000000003</v>
      </c>
      <c r="Y2224" s="508">
        <v>5.5730000000000004</v>
      </c>
      <c r="Z2224" s="508">
        <v>4.6440000000000001</v>
      </c>
      <c r="AA2224" s="508">
        <v>4.2560000000000002</v>
      </c>
      <c r="AB2224" s="508">
        <v>3.8170000000000002</v>
      </c>
      <c r="AC2224" s="508">
        <v>3.5409999999999999</v>
      </c>
      <c r="AD2224" s="508">
        <v>2.948</v>
      </c>
      <c r="AE2224" s="508">
        <v>2.9079999999999999</v>
      </c>
      <c r="AF2224" s="508">
        <v>1.6439999999999999</v>
      </c>
      <c r="AG2224" s="508">
        <v>1.647</v>
      </c>
      <c r="AH2224" s="508">
        <v>1.637</v>
      </c>
      <c r="AI2224" s="492">
        <v>1.6279999999999999</v>
      </c>
      <c r="AJ2224" s="485"/>
    </row>
    <row r="2225" spans="2:36">
      <c r="B2225" s="136" t="s">
        <v>443</v>
      </c>
      <c r="C2225" s="132" t="s">
        <v>1369</v>
      </c>
      <c r="D2225" s="132" t="s">
        <v>282</v>
      </c>
      <c r="E2225" s="508">
        <v>95.253</v>
      </c>
      <c r="F2225" s="508">
        <v>36.453000000000003</v>
      </c>
      <c r="G2225" s="508">
        <v>36.421999999999997</v>
      </c>
      <c r="H2225" s="508">
        <v>36.418999999999997</v>
      </c>
      <c r="I2225" s="508">
        <v>36.423999999999999</v>
      </c>
      <c r="J2225" s="508">
        <v>31.914999999999999</v>
      </c>
      <c r="K2225" s="508">
        <v>31.832000000000001</v>
      </c>
      <c r="L2225" s="508">
        <v>31.608000000000001</v>
      </c>
      <c r="M2225" s="508">
        <v>31.381</v>
      </c>
      <c r="N2225" s="508">
        <v>32.673000000000002</v>
      </c>
      <c r="O2225" s="508">
        <v>31.954999999999998</v>
      </c>
      <c r="P2225" s="508">
        <v>13.403</v>
      </c>
      <c r="Q2225" s="508">
        <v>14.523</v>
      </c>
      <c r="R2225" s="508">
        <v>13.786</v>
      </c>
      <c r="S2225" s="508">
        <v>13.755000000000001</v>
      </c>
      <c r="T2225" s="508">
        <v>13.308</v>
      </c>
      <c r="U2225" s="508">
        <v>8.2520000000000007</v>
      </c>
      <c r="V2225" s="508">
        <v>8.0640000000000001</v>
      </c>
      <c r="W2225" s="508">
        <v>8.2539999999999996</v>
      </c>
      <c r="X2225" s="508">
        <v>5.9489999999999998</v>
      </c>
      <c r="Y2225" s="508">
        <v>5.2089999999999996</v>
      </c>
      <c r="Z2225" s="508">
        <v>4.3019999999999996</v>
      </c>
      <c r="AA2225" s="508">
        <v>3.9169999999999998</v>
      </c>
      <c r="AB2225" s="508">
        <v>3.4740000000000002</v>
      </c>
      <c r="AC2225" s="508">
        <v>3.2</v>
      </c>
      <c r="AD2225" s="508">
        <v>2.6219999999999999</v>
      </c>
      <c r="AE2225" s="508">
        <v>2.8180000000000001</v>
      </c>
      <c r="AF2225" s="508">
        <v>1.4730000000000001</v>
      </c>
      <c r="AG2225" s="508">
        <v>1.4379999999999999</v>
      </c>
      <c r="AH2225" s="508">
        <v>1.43</v>
      </c>
      <c r="AI2225" s="492">
        <v>1.4219999999999999</v>
      </c>
      <c r="AJ2225" s="485"/>
    </row>
    <row r="2226" spans="2:36">
      <c r="B2226" s="136" t="s">
        <v>445</v>
      </c>
      <c r="C2226" s="132" t="s">
        <v>1369</v>
      </c>
      <c r="D2226" s="132" t="s">
        <v>282</v>
      </c>
      <c r="E2226" s="508">
        <v>76.576999999999998</v>
      </c>
      <c r="F2226" s="508">
        <v>29.087</v>
      </c>
      <c r="G2226" s="508">
        <v>28.92</v>
      </c>
      <c r="H2226" s="508">
        <v>28.905000000000001</v>
      </c>
      <c r="I2226" s="508">
        <v>28.934000000000001</v>
      </c>
      <c r="J2226" s="508">
        <v>25.065000000000001</v>
      </c>
      <c r="K2226" s="508">
        <v>25.053000000000001</v>
      </c>
      <c r="L2226" s="508">
        <v>24.878</v>
      </c>
      <c r="M2226" s="508">
        <v>24.77</v>
      </c>
      <c r="N2226" s="508">
        <v>25.86</v>
      </c>
      <c r="O2226" s="508">
        <v>25.227</v>
      </c>
      <c r="P2226" s="508">
        <v>13.648</v>
      </c>
      <c r="Q2226" s="508">
        <v>14.827</v>
      </c>
      <c r="R2226" s="508">
        <v>14.045999999999999</v>
      </c>
      <c r="S2226" s="508">
        <v>14.028</v>
      </c>
      <c r="T2226" s="508">
        <v>13.573</v>
      </c>
      <c r="U2226" s="508">
        <v>8.5220000000000002</v>
      </c>
      <c r="V2226" s="508">
        <v>8.33</v>
      </c>
      <c r="W2226" s="508">
        <v>8.5399999999999991</v>
      </c>
      <c r="X2226" s="508">
        <v>6.1319999999999997</v>
      </c>
      <c r="Y2226" s="508">
        <v>5.3460000000000001</v>
      </c>
      <c r="Z2226" s="508">
        <v>4.4269999999999996</v>
      </c>
      <c r="AA2226" s="508">
        <v>4.024</v>
      </c>
      <c r="AB2226" s="508">
        <v>3.548</v>
      </c>
      <c r="AC2226" s="508">
        <v>3.26</v>
      </c>
      <c r="AD2226" s="508">
        <v>2.9239999999999999</v>
      </c>
      <c r="AE2226" s="508">
        <v>2.899</v>
      </c>
      <c r="AF2226" s="508">
        <v>1.5009999999999999</v>
      </c>
      <c r="AG2226" s="508">
        <v>1.468</v>
      </c>
      <c r="AH2226" s="508">
        <v>1.4590000000000001</v>
      </c>
      <c r="AI2226" s="492">
        <v>1.4510000000000001</v>
      </c>
      <c r="AJ2226" s="485"/>
    </row>
    <row r="2227" spans="2:36">
      <c r="B2227" s="136" t="s">
        <v>446</v>
      </c>
      <c r="C2227" s="132" t="s">
        <v>1369</v>
      </c>
      <c r="D2227" s="132" t="s">
        <v>282</v>
      </c>
      <c r="E2227" s="508">
        <v>108.05200000000001</v>
      </c>
      <c r="F2227" s="508">
        <v>47.523000000000003</v>
      </c>
      <c r="G2227" s="508">
        <v>47.959000000000003</v>
      </c>
      <c r="H2227" s="508">
        <v>48.384999999999998</v>
      </c>
      <c r="I2227" s="508">
        <v>49.003999999999998</v>
      </c>
      <c r="J2227" s="508">
        <v>42.667000000000002</v>
      </c>
      <c r="K2227" s="508">
        <v>42.613</v>
      </c>
      <c r="L2227" s="508">
        <v>42.662999999999997</v>
      </c>
      <c r="M2227" s="508">
        <v>42.582000000000001</v>
      </c>
      <c r="N2227" s="508">
        <v>41.91</v>
      </c>
      <c r="O2227" s="508">
        <v>41.341000000000001</v>
      </c>
      <c r="P2227" s="508">
        <v>17.018000000000001</v>
      </c>
      <c r="Q2227" s="508">
        <v>18.866</v>
      </c>
      <c r="R2227" s="508">
        <v>18.114999999999998</v>
      </c>
      <c r="S2227" s="508">
        <v>18.067</v>
      </c>
      <c r="T2227" s="508">
        <v>17.620999999999999</v>
      </c>
      <c r="U2227" s="508">
        <v>10.835000000000001</v>
      </c>
      <c r="V2227" s="508">
        <v>10.602</v>
      </c>
      <c r="W2227" s="508">
        <v>10.977</v>
      </c>
      <c r="X2227" s="508">
        <v>7.8890000000000002</v>
      </c>
      <c r="Y2227" s="508">
        <v>6.883</v>
      </c>
      <c r="Z2227" s="508">
        <v>5.46</v>
      </c>
      <c r="AA2227" s="508">
        <v>5.032</v>
      </c>
      <c r="AB2227" s="508">
        <v>4.4749999999999996</v>
      </c>
      <c r="AC2227" s="508">
        <v>4.1689999999999996</v>
      </c>
      <c r="AD2227" s="508">
        <v>3.3159999999999998</v>
      </c>
      <c r="AE2227" s="508">
        <v>3.3279999999999998</v>
      </c>
      <c r="AF2227" s="508">
        <v>1.72</v>
      </c>
      <c r="AG2227" s="508">
        <v>1.7130000000000001</v>
      </c>
      <c r="AH2227" s="508">
        <v>1.7310000000000001</v>
      </c>
      <c r="AI2227" s="492">
        <v>1.726</v>
      </c>
      <c r="AJ2227" s="485"/>
    </row>
    <row r="2228" spans="2:36">
      <c r="B2228" s="136" t="s">
        <v>448</v>
      </c>
      <c r="C2228" s="132" t="s">
        <v>1369</v>
      </c>
      <c r="D2228" s="132" t="s">
        <v>282</v>
      </c>
      <c r="E2228" s="508">
        <v>109.017</v>
      </c>
      <c r="F2228" s="508">
        <v>45.914999999999999</v>
      </c>
      <c r="G2228" s="508">
        <v>41.073</v>
      </c>
      <c r="H2228" s="508">
        <v>41.076000000000001</v>
      </c>
      <c r="I2228" s="508">
        <v>41.069000000000003</v>
      </c>
      <c r="J2228" s="508">
        <v>36.488999999999997</v>
      </c>
      <c r="K2228" s="508">
        <v>36.387999999999998</v>
      </c>
      <c r="L2228" s="508">
        <v>36.165999999999997</v>
      </c>
      <c r="M2228" s="508">
        <v>35.911000000000001</v>
      </c>
      <c r="N2228" s="508">
        <v>35.807000000000002</v>
      </c>
      <c r="O2228" s="508">
        <v>35.094000000000001</v>
      </c>
      <c r="P2228" s="508">
        <v>14.313000000000001</v>
      </c>
      <c r="Q2228" s="508">
        <v>15.676</v>
      </c>
      <c r="R2228" s="508">
        <v>14.959</v>
      </c>
      <c r="S2228" s="508">
        <v>14.91</v>
      </c>
      <c r="T2228" s="508">
        <v>14.477</v>
      </c>
      <c r="U2228" s="508">
        <v>8.7089999999999996</v>
      </c>
      <c r="V2228" s="508">
        <v>8.5169999999999995</v>
      </c>
      <c r="W2228" s="508">
        <v>8.7420000000000009</v>
      </c>
      <c r="X2228" s="508">
        <v>6.335</v>
      </c>
      <c r="Y2228" s="508">
        <v>5.5819999999999999</v>
      </c>
      <c r="Z2228" s="508">
        <v>4.4870000000000001</v>
      </c>
      <c r="AA2228" s="508">
        <v>4.1289999999999996</v>
      </c>
      <c r="AB2228" s="508">
        <v>3.69</v>
      </c>
      <c r="AC2228" s="508">
        <v>3.4359999999999999</v>
      </c>
      <c r="AD2228" s="508">
        <v>2.782</v>
      </c>
      <c r="AE2228" s="508">
        <v>2.7749999999999999</v>
      </c>
      <c r="AF2228" s="508">
        <v>1.4810000000000001</v>
      </c>
      <c r="AG2228" s="508">
        <v>1.498</v>
      </c>
      <c r="AH2228" s="508">
        <v>1.4910000000000001</v>
      </c>
      <c r="AI2228" s="492">
        <v>1.4850000000000001</v>
      </c>
      <c r="AJ2228" s="485"/>
    </row>
    <row r="2229" spans="2:36">
      <c r="B2229" s="136" t="s">
        <v>449</v>
      </c>
      <c r="C2229" s="132" t="s">
        <v>1369</v>
      </c>
      <c r="D2229" s="132" t="s">
        <v>282</v>
      </c>
      <c r="E2229" s="508">
        <v>114.02800000000001</v>
      </c>
      <c r="F2229" s="508">
        <v>50.905999999999999</v>
      </c>
      <c r="G2229" s="508">
        <v>51.447000000000003</v>
      </c>
      <c r="H2229" s="508">
        <v>51.933999999999997</v>
      </c>
      <c r="I2229" s="508">
        <v>52.627000000000002</v>
      </c>
      <c r="J2229" s="508">
        <v>46.018000000000001</v>
      </c>
      <c r="K2229" s="508">
        <v>45.942</v>
      </c>
      <c r="L2229" s="508">
        <v>46.015999999999998</v>
      </c>
      <c r="M2229" s="508">
        <v>45.917999999999999</v>
      </c>
      <c r="N2229" s="508">
        <v>44.418999999999997</v>
      </c>
      <c r="O2229" s="508">
        <v>43.863</v>
      </c>
      <c r="P2229" s="508">
        <v>17.524999999999999</v>
      </c>
      <c r="Q2229" s="508">
        <v>19.503</v>
      </c>
      <c r="R2229" s="508">
        <v>18.777000000000001</v>
      </c>
      <c r="S2229" s="508">
        <v>18.707999999999998</v>
      </c>
      <c r="T2229" s="508">
        <v>18.266999999999999</v>
      </c>
      <c r="U2229" s="508">
        <v>11.507999999999999</v>
      </c>
      <c r="V2229" s="508">
        <v>11.25</v>
      </c>
      <c r="W2229" s="508">
        <v>11.625999999999999</v>
      </c>
      <c r="X2229" s="508">
        <v>8.3350000000000009</v>
      </c>
      <c r="Y2229" s="508">
        <v>7.282</v>
      </c>
      <c r="Z2229" s="508">
        <v>5.7270000000000003</v>
      </c>
      <c r="AA2229" s="508">
        <v>5.2770000000000001</v>
      </c>
      <c r="AB2229" s="508">
        <v>4.7060000000000004</v>
      </c>
      <c r="AC2229" s="508">
        <v>4.3869999999999996</v>
      </c>
      <c r="AD2229" s="508">
        <v>3.4630000000000001</v>
      </c>
      <c r="AE2229" s="508">
        <v>3.472</v>
      </c>
      <c r="AF2229" s="508">
        <v>1.766</v>
      </c>
      <c r="AG2229" s="508">
        <v>1.758</v>
      </c>
      <c r="AH2229" s="508">
        <v>1.7509999999999999</v>
      </c>
      <c r="AI2229" s="492">
        <v>1.7450000000000001</v>
      </c>
      <c r="AJ2229" s="485"/>
    </row>
    <row r="2230" spans="2:36">
      <c r="B2230" s="136" t="s">
        <v>450</v>
      </c>
      <c r="C2230" s="132" t="s">
        <v>1369</v>
      </c>
      <c r="D2230" s="132" t="s">
        <v>282</v>
      </c>
      <c r="E2230" s="508">
        <v>114.721</v>
      </c>
      <c r="F2230" s="508">
        <v>45.518999999999998</v>
      </c>
      <c r="G2230" s="508">
        <v>45.587000000000003</v>
      </c>
      <c r="H2230" s="508">
        <v>45.593000000000004</v>
      </c>
      <c r="I2230" s="508">
        <v>45.582000000000001</v>
      </c>
      <c r="J2230" s="508">
        <v>40.457000000000001</v>
      </c>
      <c r="K2230" s="508">
        <v>40.328000000000003</v>
      </c>
      <c r="L2230" s="508">
        <v>40.067</v>
      </c>
      <c r="M2230" s="508">
        <v>39.753</v>
      </c>
      <c r="N2230" s="508">
        <v>39.738</v>
      </c>
      <c r="O2230" s="508">
        <v>38.948999999999998</v>
      </c>
      <c r="P2230" s="508">
        <v>16.164999999999999</v>
      </c>
      <c r="Q2230" s="508">
        <v>17.512</v>
      </c>
      <c r="R2230" s="508">
        <v>16.725999999999999</v>
      </c>
      <c r="S2230" s="508">
        <v>16.620999999999999</v>
      </c>
      <c r="T2230" s="508">
        <v>16.129000000000001</v>
      </c>
      <c r="U2230" s="508">
        <v>9.609</v>
      </c>
      <c r="V2230" s="508">
        <v>9.3759999999999994</v>
      </c>
      <c r="W2230" s="508">
        <v>9.5790000000000006</v>
      </c>
      <c r="X2230" s="508">
        <v>6.9630000000000001</v>
      </c>
      <c r="Y2230" s="508">
        <v>6.1440000000000001</v>
      </c>
      <c r="Z2230" s="508">
        <v>4.968</v>
      </c>
      <c r="AA2230" s="508">
        <v>4.5659999999999998</v>
      </c>
      <c r="AB2230" s="508">
        <v>4.0940000000000003</v>
      </c>
      <c r="AC2230" s="508">
        <v>3.81</v>
      </c>
      <c r="AD2230" s="508">
        <v>3.0750000000000002</v>
      </c>
      <c r="AE2230" s="508">
        <v>3.0529999999999999</v>
      </c>
      <c r="AF2230" s="508">
        <v>1.6619999999999999</v>
      </c>
      <c r="AG2230" s="508">
        <v>1.609</v>
      </c>
      <c r="AH2230" s="508">
        <v>1.5980000000000001</v>
      </c>
      <c r="AI2230" s="492">
        <v>1.59</v>
      </c>
      <c r="AJ2230" s="485"/>
    </row>
    <row r="2231" spans="2:36">
      <c r="B2231" s="136" t="s">
        <v>451</v>
      </c>
      <c r="C2231" s="132" t="s">
        <v>1369</v>
      </c>
      <c r="D2231" s="132" t="s">
        <v>282</v>
      </c>
      <c r="E2231" s="508">
        <v>119.71</v>
      </c>
      <c r="F2231" s="508">
        <v>48.177999999999997</v>
      </c>
      <c r="G2231" s="508">
        <v>48.280999999999999</v>
      </c>
      <c r="H2231" s="508">
        <v>48.29</v>
      </c>
      <c r="I2231" s="508">
        <v>48.271999999999998</v>
      </c>
      <c r="J2231" s="508">
        <v>41.968000000000004</v>
      </c>
      <c r="K2231" s="508">
        <v>41.832999999999998</v>
      </c>
      <c r="L2231" s="508">
        <v>41.570999999999998</v>
      </c>
      <c r="M2231" s="508">
        <v>41.250999999999998</v>
      </c>
      <c r="N2231" s="508">
        <v>41.433999999999997</v>
      </c>
      <c r="O2231" s="508">
        <v>40.645000000000003</v>
      </c>
      <c r="P2231" s="508">
        <v>15.324</v>
      </c>
      <c r="Q2231" s="508">
        <v>16.686</v>
      </c>
      <c r="R2231" s="508">
        <v>15.888999999999999</v>
      </c>
      <c r="S2231" s="508">
        <v>15.814</v>
      </c>
      <c r="T2231" s="508">
        <v>15.337999999999999</v>
      </c>
      <c r="U2231" s="508">
        <v>9.4250000000000007</v>
      </c>
      <c r="V2231" s="508">
        <v>9.1980000000000004</v>
      </c>
      <c r="W2231" s="508">
        <v>9.4079999999999995</v>
      </c>
      <c r="X2231" s="508">
        <v>6.7880000000000003</v>
      </c>
      <c r="Y2231" s="508">
        <v>5.952</v>
      </c>
      <c r="Z2231" s="508">
        <v>4.8419999999999996</v>
      </c>
      <c r="AA2231" s="508">
        <v>4.43</v>
      </c>
      <c r="AB2231" s="508">
        <v>3.9359999999999999</v>
      </c>
      <c r="AC2231" s="508">
        <v>3.6440000000000001</v>
      </c>
      <c r="AD2231" s="508">
        <v>2.9489999999999998</v>
      </c>
      <c r="AE2231" s="508">
        <v>2.9079999999999999</v>
      </c>
      <c r="AF2231" s="508">
        <v>1.607</v>
      </c>
      <c r="AG2231" s="508">
        <v>1.56</v>
      </c>
      <c r="AH2231" s="508">
        <v>1.55</v>
      </c>
      <c r="AI2231" s="492">
        <v>1.5409999999999999</v>
      </c>
      <c r="AJ2231" s="485"/>
    </row>
    <row r="2232" spans="2:36">
      <c r="B2232" s="136" t="s">
        <v>452</v>
      </c>
      <c r="C2232" s="132" t="s">
        <v>1369</v>
      </c>
      <c r="D2232" s="132" t="s">
        <v>282</v>
      </c>
      <c r="E2232" s="508">
        <v>114.64100000000001</v>
      </c>
      <c r="F2232" s="508">
        <v>45.914999999999999</v>
      </c>
      <c r="G2232" s="508">
        <v>45.985999999999997</v>
      </c>
      <c r="H2232" s="508">
        <v>45.993000000000002</v>
      </c>
      <c r="I2232" s="508">
        <v>45.98</v>
      </c>
      <c r="J2232" s="508">
        <v>40.287999999999997</v>
      </c>
      <c r="K2232" s="508">
        <v>40.17</v>
      </c>
      <c r="L2232" s="508">
        <v>39.921999999999997</v>
      </c>
      <c r="M2232" s="508">
        <v>39.627000000000002</v>
      </c>
      <c r="N2232" s="508">
        <v>39.819000000000003</v>
      </c>
      <c r="O2232" s="508">
        <v>39.049999999999997</v>
      </c>
      <c r="P2232" s="508">
        <v>16.402999999999999</v>
      </c>
      <c r="Q2232" s="508">
        <v>17.831</v>
      </c>
      <c r="R2232" s="508">
        <v>17.042999999999999</v>
      </c>
      <c r="S2232" s="508">
        <v>16.940999999999999</v>
      </c>
      <c r="T2232" s="508">
        <v>16.460999999999999</v>
      </c>
      <c r="U2232" s="508">
        <v>10.09</v>
      </c>
      <c r="V2232" s="508">
        <v>9.8369999999999997</v>
      </c>
      <c r="W2232" s="508">
        <v>10.052</v>
      </c>
      <c r="X2232" s="508">
        <v>7.2329999999999997</v>
      </c>
      <c r="Y2232" s="508">
        <v>6.35</v>
      </c>
      <c r="Z2232" s="508">
        <v>5.0810000000000004</v>
      </c>
      <c r="AA2232" s="508">
        <v>4.6559999999999997</v>
      </c>
      <c r="AB2232" s="508">
        <v>4.1449999999999996</v>
      </c>
      <c r="AC2232" s="508">
        <v>3.8460000000000001</v>
      </c>
      <c r="AD2232" s="508">
        <v>3.069</v>
      </c>
      <c r="AE2232" s="508">
        <v>3.0259999999999998</v>
      </c>
      <c r="AF2232" s="508">
        <v>1.613</v>
      </c>
      <c r="AG2232" s="508">
        <v>1.5649999999999999</v>
      </c>
      <c r="AH2232" s="508">
        <v>1.56</v>
      </c>
      <c r="AI2232" s="492">
        <v>1.5509999999999999</v>
      </c>
      <c r="AJ2232" s="485"/>
    </row>
    <row r="2233" spans="2:36">
      <c r="B2233" s="136" t="s">
        <v>453</v>
      </c>
      <c r="C2233" s="132" t="s">
        <v>1369</v>
      </c>
      <c r="D2233" s="132" t="s">
        <v>282</v>
      </c>
      <c r="E2233" s="508">
        <v>115.611</v>
      </c>
      <c r="F2233" s="508">
        <v>46.652999999999999</v>
      </c>
      <c r="G2233" s="508">
        <v>46.76</v>
      </c>
      <c r="H2233" s="508">
        <v>46.77</v>
      </c>
      <c r="I2233" s="508">
        <v>46.750999999999998</v>
      </c>
      <c r="J2233" s="508">
        <v>41.527999999999999</v>
      </c>
      <c r="K2233" s="508">
        <v>41.381</v>
      </c>
      <c r="L2233" s="508">
        <v>41.116999999999997</v>
      </c>
      <c r="M2233" s="508">
        <v>40.783000000000001</v>
      </c>
      <c r="N2233" s="508">
        <v>40.316000000000003</v>
      </c>
      <c r="O2233" s="508">
        <v>39.542000000000002</v>
      </c>
      <c r="P2233" s="508">
        <v>16.274000000000001</v>
      </c>
      <c r="Q2233" s="508">
        <v>17.651</v>
      </c>
      <c r="R2233" s="508">
        <v>16.891999999999999</v>
      </c>
      <c r="S2233" s="508">
        <v>16.765000000000001</v>
      </c>
      <c r="T2233" s="508">
        <v>16.286999999999999</v>
      </c>
      <c r="U2233" s="508">
        <v>9.9469999999999992</v>
      </c>
      <c r="V2233" s="508">
        <v>9.7029999999999994</v>
      </c>
      <c r="W2233" s="508">
        <v>9.9169999999999998</v>
      </c>
      <c r="X2233" s="508">
        <v>7.2050000000000001</v>
      </c>
      <c r="Y2233" s="508">
        <v>6.3620000000000001</v>
      </c>
      <c r="Z2233" s="508">
        <v>5.0810000000000004</v>
      </c>
      <c r="AA2233" s="508">
        <v>4.6829999999999998</v>
      </c>
      <c r="AB2233" s="508">
        <v>4.2069999999999999</v>
      </c>
      <c r="AC2233" s="508">
        <v>3.927</v>
      </c>
      <c r="AD2233" s="508">
        <v>3.137</v>
      </c>
      <c r="AE2233" s="508">
        <v>3.09</v>
      </c>
      <c r="AF2233" s="508">
        <v>1.6519999999999999</v>
      </c>
      <c r="AG2233" s="508">
        <v>1.601</v>
      </c>
      <c r="AH2233" s="508">
        <v>1.591</v>
      </c>
      <c r="AI2233" s="492">
        <v>1.5820000000000001</v>
      </c>
      <c r="AJ2233" s="485"/>
    </row>
    <row r="2234" spans="2:36">
      <c r="B2234" s="136" t="s">
        <v>454</v>
      </c>
      <c r="C2234" s="132" t="s">
        <v>1369</v>
      </c>
      <c r="D2234" s="132" t="s">
        <v>282</v>
      </c>
      <c r="E2234" s="508">
        <v>112.52</v>
      </c>
      <c r="F2234" s="508">
        <v>46.218000000000004</v>
      </c>
      <c r="G2234" s="508">
        <v>46.326000000000001</v>
      </c>
      <c r="H2234" s="508">
        <v>46.335999999999999</v>
      </c>
      <c r="I2234" s="508">
        <v>46.317</v>
      </c>
      <c r="J2234" s="508">
        <v>41.085999999999999</v>
      </c>
      <c r="K2234" s="508">
        <v>40.947000000000003</v>
      </c>
      <c r="L2234" s="508">
        <v>40.695</v>
      </c>
      <c r="M2234" s="508">
        <v>40.378</v>
      </c>
      <c r="N2234" s="508">
        <v>39.787999999999997</v>
      </c>
      <c r="O2234" s="508">
        <v>39.033999999999999</v>
      </c>
      <c r="P2234" s="508">
        <v>15.715</v>
      </c>
      <c r="Q2234" s="508">
        <v>17.172999999999998</v>
      </c>
      <c r="R2234" s="508">
        <v>16.436</v>
      </c>
      <c r="S2234" s="508">
        <v>16.332999999999998</v>
      </c>
      <c r="T2234" s="508">
        <v>15.879</v>
      </c>
      <c r="U2234" s="508">
        <v>9.859</v>
      </c>
      <c r="V2234" s="508">
        <v>9.6210000000000004</v>
      </c>
      <c r="W2234" s="508">
        <v>9.8460000000000001</v>
      </c>
      <c r="X2234" s="508">
        <v>7.1159999999999997</v>
      </c>
      <c r="Y2234" s="508">
        <v>6.2729999999999997</v>
      </c>
      <c r="Z2234" s="508">
        <v>4.9829999999999997</v>
      </c>
      <c r="AA2234" s="508">
        <v>4.5890000000000004</v>
      </c>
      <c r="AB2234" s="508">
        <v>4.1139999999999999</v>
      </c>
      <c r="AC2234" s="508">
        <v>3.8370000000000002</v>
      </c>
      <c r="AD2234" s="508">
        <v>3.0609999999999999</v>
      </c>
      <c r="AE2234" s="508">
        <v>3.0329999999999999</v>
      </c>
      <c r="AF2234" s="508">
        <v>1.5960000000000001</v>
      </c>
      <c r="AG2234" s="508">
        <v>1.5620000000000001</v>
      </c>
      <c r="AH2234" s="508">
        <v>1.5529999999999999</v>
      </c>
      <c r="AI2234" s="492">
        <v>1.5449999999999999</v>
      </c>
      <c r="AJ2234" s="485"/>
    </row>
    <row r="2235" spans="2:36">
      <c r="B2235" s="136" t="s">
        <v>455</v>
      </c>
      <c r="C2235" s="132" t="s">
        <v>1369</v>
      </c>
      <c r="D2235" s="132" t="s">
        <v>282</v>
      </c>
      <c r="E2235" s="508">
        <v>109.703</v>
      </c>
      <c r="F2235" s="508">
        <v>45.101999999999997</v>
      </c>
      <c r="G2235" s="508">
        <v>45.186</v>
      </c>
      <c r="H2235" s="508">
        <v>45.194000000000003</v>
      </c>
      <c r="I2235" s="508">
        <v>45.179000000000002</v>
      </c>
      <c r="J2235" s="508">
        <v>40.414999999999999</v>
      </c>
      <c r="K2235" s="508">
        <v>40.29</v>
      </c>
      <c r="L2235" s="508">
        <v>40.046999999999997</v>
      </c>
      <c r="M2235" s="508">
        <v>39.747</v>
      </c>
      <c r="N2235" s="508">
        <v>39.030999999999999</v>
      </c>
      <c r="O2235" s="508">
        <v>38.28</v>
      </c>
      <c r="P2235" s="508">
        <v>15.433999999999999</v>
      </c>
      <c r="Q2235" s="508">
        <v>16.876999999999999</v>
      </c>
      <c r="R2235" s="508">
        <v>16.135999999999999</v>
      </c>
      <c r="S2235" s="508">
        <v>16.055</v>
      </c>
      <c r="T2235" s="508">
        <v>15.6</v>
      </c>
      <c r="U2235" s="508">
        <v>9.5690000000000008</v>
      </c>
      <c r="V2235" s="508">
        <v>9.3369999999999997</v>
      </c>
      <c r="W2235" s="508">
        <v>9.5359999999999996</v>
      </c>
      <c r="X2235" s="508">
        <v>6.8979999999999997</v>
      </c>
      <c r="Y2235" s="508">
        <v>6.0940000000000003</v>
      </c>
      <c r="Z2235" s="508">
        <v>4.8869999999999996</v>
      </c>
      <c r="AA2235" s="508">
        <v>4.4880000000000004</v>
      </c>
      <c r="AB2235" s="508">
        <v>4.0170000000000003</v>
      </c>
      <c r="AC2235" s="508">
        <v>3.738</v>
      </c>
      <c r="AD2235" s="508">
        <v>3.016</v>
      </c>
      <c r="AE2235" s="508">
        <v>2.9860000000000002</v>
      </c>
      <c r="AF2235" s="508">
        <v>1.6020000000000001</v>
      </c>
      <c r="AG2235" s="508">
        <v>1.5660000000000001</v>
      </c>
      <c r="AH2235" s="508">
        <v>1.5760000000000001</v>
      </c>
      <c r="AI2235" s="492">
        <v>1.5680000000000001</v>
      </c>
      <c r="AJ2235" s="485"/>
    </row>
    <row r="2236" spans="2:36">
      <c r="B2236" s="136" t="s">
        <v>456</v>
      </c>
      <c r="C2236" s="132" t="s">
        <v>1369</v>
      </c>
      <c r="D2236" s="132" t="s">
        <v>282</v>
      </c>
      <c r="E2236" s="508">
        <v>108.43</v>
      </c>
      <c r="F2236" s="508">
        <v>47.17</v>
      </c>
      <c r="G2236" s="508">
        <v>47.460999999999999</v>
      </c>
      <c r="H2236" s="508">
        <v>47.683</v>
      </c>
      <c r="I2236" s="508">
        <v>47.982999999999997</v>
      </c>
      <c r="J2236" s="508">
        <v>42.465000000000003</v>
      </c>
      <c r="K2236" s="508">
        <v>42.368000000000002</v>
      </c>
      <c r="L2236" s="508">
        <v>42.277999999999999</v>
      </c>
      <c r="M2236" s="508">
        <v>42.081000000000003</v>
      </c>
      <c r="N2236" s="508">
        <v>40.932000000000002</v>
      </c>
      <c r="O2236" s="508">
        <v>40.289000000000001</v>
      </c>
      <c r="P2236" s="508">
        <v>16.001000000000001</v>
      </c>
      <c r="Q2236" s="508">
        <v>17.690000000000001</v>
      </c>
      <c r="R2236" s="508">
        <v>16.978000000000002</v>
      </c>
      <c r="S2236" s="508">
        <v>16.913</v>
      </c>
      <c r="T2236" s="508">
        <v>16.481999999999999</v>
      </c>
      <c r="U2236" s="508">
        <v>10.01</v>
      </c>
      <c r="V2236" s="508">
        <v>9.7899999999999991</v>
      </c>
      <c r="W2236" s="508">
        <v>10.089</v>
      </c>
      <c r="X2236" s="508">
        <v>7.2949999999999999</v>
      </c>
      <c r="Y2236" s="508">
        <v>6.415</v>
      </c>
      <c r="Z2236" s="508">
        <v>5.077</v>
      </c>
      <c r="AA2236" s="508">
        <v>4.6909999999999998</v>
      </c>
      <c r="AB2236" s="508">
        <v>4.2089999999999996</v>
      </c>
      <c r="AC2236" s="508">
        <v>3.9359999999999999</v>
      </c>
      <c r="AD2236" s="508">
        <v>3.141</v>
      </c>
      <c r="AE2236" s="508">
        <v>3.1440000000000001</v>
      </c>
      <c r="AF2236" s="508">
        <v>1.627</v>
      </c>
      <c r="AG2236" s="508">
        <v>1.6160000000000001</v>
      </c>
      <c r="AH2236" s="508">
        <v>1.619</v>
      </c>
      <c r="AI2236" s="492">
        <v>1.6140000000000001</v>
      </c>
      <c r="AJ2236" s="485"/>
    </row>
    <row r="2237" spans="2:36">
      <c r="B2237" s="136" t="s">
        <v>457</v>
      </c>
      <c r="C2237" s="132" t="s">
        <v>1369</v>
      </c>
      <c r="D2237" s="132" t="s">
        <v>282</v>
      </c>
      <c r="E2237" s="508">
        <v>115.51600000000001</v>
      </c>
      <c r="F2237" s="508">
        <v>46.439</v>
      </c>
      <c r="G2237" s="508">
        <v>46.546999999999997</v>
      </c>
      <c r="H2237" s="508">
        <v>46.557000000000002</v>
      </c>
      <c r="I2237" s="508">
        <v>46.539000000000001</v>
      </c>
      <c r="J2237" s="508">
        <v>41.713000000000001</v>
      </c>
      <c r="K2237" s="508">
        <v>41.564</v>
      </c>
      <c r="L2237" s="508">
        <v>41.295999999999999</v>
      </c>
      <c r="M2237" s="508">
        <v>40.953000000000003</v>
      </c>
      <c r="N2237" s="508">
        <v>40.194000000000003</v>
      </c>
      <c r="O2237" s="508">
        <v>39.417000000000002</v>
      </c>
      <c r="P2237" s="508">
        <v>16.004000000000001</v>
      </c>
      <c r="Q2237" s="508">
        <v>17.274000000000001</v>
      </c>
      <c r="R2237" s="508">
        <v>16.518000000000001</v>
      </c>
      <c r="S2237" s="508">
        <v>16.39</v>
      </c>
      <c r="T2237" s="508">
        <v>15.901999999999999</v>
      </c>
      <c r="U2237" s="508">
        <v>9.1300000000000008</v>
      </c>
      <c r="V2237" s="508">
        <v>8.9160000000000004</v>
      </c>
      <c r="W2237" s="508">
        <v>9.1180000000000003</v>
      </c>
      <c r="X2237" s="508">
        <v>6.6989999999999998</v>
      </c>
      <c r="Y2237" s="508">
        <v>5.9409999999999998</v>
      </c>
      <c r="Z2237" s="508">
        <v>4.7969999999999997</v>
      </c>
      <c r="AA2237" s="508">
        <v>4.4349999999999996</v>
      </c>
      <c r="AB2237" s="508">
        <v>4.0039999999999996</v>
      </c>
      <c r="AC2237" s="508">
        <v>3.7469999999999999</v>
      </c>
      <c r="AD2237" s="508">
        <v>3.0249999999999999</v>
      </c>
      <c r="AE2237" s="508">
        <v>2.9750000000000001</v>
      </c>
      <c r="AF2237" s="508">
        <v>1.6279999999999999</v>
      </c>
      <c r="AG2237" s="508">
        <v>1.571</v>
      </c>
      <c r="AH2237" s="508">
        <v>1.5620000000000001</v>
      </c>
      <c r="AI2237" s="492">
        <v>1.554</v>
      </c>
      <c r="AJ2237" s="485"/>
    </row>
    <row r="2238" spans="2:36">
      <c r="B2238" s="136" t="s">
        <v>458</v>
      </c>
      <c r="C2238" s="132" t="s">
        <v>1369</v>
      </c>
      <c r="D2238" s="132" t="s">
        <v>282</v>
      </c>
      <c r="E2238" s="508">
        <v>98.926000000000002</v>
      </c>
      <c r="F2238" s="508">
        <v>39.381</v>
      </c>
      <c r="G2238" s="508">
        <v>39.389000000000003</v>
      </c>
      <c r="H2238" s="508">
        <v>39.39</v>
      </c>
      <c r="I2238" s="508">
        <v>39.387999999999998</v>
      </c>
      <c r="J2238" s="508">
        <v>35.134999999999998</v>
      </c>
      <c r="K2238" s="508">
        <v>35.036000000000001</v>
      </c>
      <c r="L2238" s="508">
        <v>34.805</v>
      </c>
      <c r="M2238" s="508">
        <v>34.552</v>
      </c>
      <c r="N2238" s="508">
        <v>34.534999999999997</v>
      </c>
      <c r="O2238" s="508">
        <v>33.807000000000002</v>
      </c>
      <c r="P2238" s="508">
        <v>13.691000000000001</v>
      </c>
      <c r="Q2238" s="508">
        <v>14.981</v>
      </c>
      <c r="R2238" s="508">
        <v>14.244999999999999</v>
      </c>
      <c r="S2238" s="508">
        <v>14.207000000000001</v>
      </c>
      <c r="T2238" s="508">
        <v>13.762</v>
      </c>
      <c r="U2238" s="508">
        <v>8.4190000000000005</v>
      </c>
      <c r="V2238" s="508">
        <v>8.234</v>
      </c>
      <c r="W2238" s="508">
        <v>8.4309999999999992</v>
      </c>
      <c r="X2238" s="508">
        <v>6.1390000000000002</v>
      </c>
      <c r="Y2238" s="508">
        <v>5.4189999999999996</v>
      </c>
      <c r="Z2238" s="508">
        <v>4.468</v>
      </c>
      <c r="AA2238" s="508">
        <v>4.0999999999999996</v>
      </c>
      <c r="AB2238" s="508">
        <v>3.677</v>
      </c>
      <c r="AC2238" s="508">
        <v>3.415</v>
      </c>
      <c r="AD2238" s="508">
        <v>2.8220000000000001</v>
      </c>
      <c r="AE2238" s="508">
        <v>2.7989999999999999</v>
      </c>
      <c r="AF2238" s="508">
        <v>1.5509999999999999</v>
      </c>
      <c r="AG2238" s="508">
        <v>1.518</v>
      </c>
      <c r="AH2238" s="508">
        <v>1.552</v>
      </c>
      <c r="AI2238" s="492">
        <v>1.5449999999999999</v>
      </c>
      <c r="AJ2238" s="485"/>
    </row>
    <row r="2239" spans="2:36">
      <c r="B2239" s="136" t="s">
        <v>459</v>
      </c>
      <c r="C2239" s="132" t="s">
        <v>1369</v>
      </c>
      <c r="D2239" s="132" t="s">
        <v>282</v>
      </c>
      <c r="E2239" s="508">
        <v>116.545</v>
      </c>
      <c r="F2239" s="508">
        <v>47.485999999999997</v>
      </c>
      <c r="G2239" s="508">
        <v>47.597999999999999</v>
      </c>
      <c r="H2239" s="508">
        <v>47.607999999999997</v>
      </c>
      <c r="I2239" s="508">
        <v>47.588999999999999</v>
      </c>
      <c r="J2239" s="508">
        <v>42.326000000000001</v>
      </c>
      <c r="K2239" s="508">
        <v>42.176000000000002</v>
      </c>
      <c r="L2239" s="508">
        <v>41.908000000000001</v>
      </c>
      <c r="M2239" s="508">
        <v>41.57</v>
      </c>
      <c r="N2239" s="508">
        <v>40.627000000000002</v>
      </c>
      <c r="O2239" s="508">
        <v>39.844000000000001</v>
      </c>
      <c r="P2239" s="508">
        <v>16.393999999999998</v>
      </c>
      <c r="Q2239" s="508">
        <v>15.259</v>
      </c>
      <c r="R2239" s="508">
        <v>14.493</v>
      </c>
      <c r="S2239" s="508">
        <v>14.439</v>
      </c>
      <c r="T2239" s="508">
        <v>13.967000000000001</v>
      </c>
      <c r="U2239" s="508">
        <v>8.5009999999999994</v>
      </c>
      <c r="V2239" s="508">
        <v>8.3089999999999993</v>
      </c>
      <c r="W2239" s="508">
        <v>8.4860000000000007</v>
      </c>
      <c r="X2239" s="508">
        <v>6.21</v>
      </c>
      <c r="Y2239" s="508">
        <v>5.492</v>
      </c>
      <c r="Z2239" s="508">
        <v>4.5609999999999999</v>
      </c>
      <c r="AA2239" s="508">
        <v>4.1760000000000002</v>
      </c>
      <c r="AB2239" s="508">
        <v>3.677</v>
      </c>
      <c r="AC2239" s="508">
        <v>3.4039999999999999</v>
      </c>
      <c r="AD2239" s="508">
        <v>2.8319999999999999</v>
      </c>
      <c r="AE2239" s="508">
        <v>2.7879999999999998</v>
      </c>
      <c r="AF2239" s="508">
        <v>1.5960000000000001</v>
      </c>
      <c r="AG2239" s="508">
        <v>1.5449999999999999</v>
      </c>
      <c r="AH2239" s="508">
        <v>1.5349999999999999</v>
      </c>
      <c r="AI2239" s="492">
        <v>1.611</v>
      </c>
      <c r="AJ2239" s="485"/>
    </row>
    <row r="2240" spans="2:36">
      <c r="B2240" s="136" t="s">
        <v>460</v>
      </c>
      <c r="C2240" s="132" t="s">
        <v>1369</v>
      </c>
      <c r="D2240" s="132" t="s">
        <v>282</v>
      </c>
      <c r="E2240" s="508">
        <v>122.706</v>
      </c>
      <c r="F2240" s="508">
        <v>49.49</v>
      </c>
      <c r="G2240" s="508">
        <v>49.601999999999997</v>
      </c>
      <c r="H2240" s="508">
        <v>49.613</v>
      </c>
      <c r="I2240" s="508">
        <v>49.593000000000004</v>
      </c>
      <c r="J2240" s="508">
        <v>43.807000000000002</v>
      </c>
      <c r="K2240" s="508">
        <v>43.664000000000001</v>
      </c>
      <c r="L2240" s="508">
        <v>43.393000000000001</v>
      </c>
      <c r="M2240" s="508">
        <v>43.052</v>
      </c>
      <c r="N2240" s="508">
        <v>42.628999999999998</v>
      </c>
      <c r="O2240" s="508">
        <v>41.819000000000003</v>
      </c>
      <c r="P2240" s="508">
        <v>17.276</v>
      </c>
      <c r="Q2240" s="508">
        <v>18.794</v>
      </c>
      <c r="R2240" s="508">
        <v>17.984000000000002</v>
      </c>
      <c r="S2240" s="508">
        <v>17.850000000000001</v>
      </c>
      <c r="T2240" s="508">
        <v>17.350000000000001</v>
      </c>
      <c r="U2240" s="508">
        <v>10.548999999999999</v>
      </c>
      <c r="V2240" s="508">
        <v>10.28</v>
      </c>
      <c r="W2240" s="508">
        <v>10.491</v>
      </c>
      <c r="X2240" s="508">
        <v>7.5919999999999996</v>
      </c>
      <c r="Y2240" s="508">
        <v>6.6909999999999998</v>
      </c>
      <c r="Z2240" s="508">
        <v>5.3479999999999999</v>
      </c>
      <c r="AA2240" s="508">
        <v>4.9169999999999998</v>
      </c>
      <c r="AB2240" s="508">
        <v>4.399</v>
      </c>
      <c r="AC2240" s="508">
        <v>4.0970000000000004</v>
      </c>
      <c r="AD2240" s="508">
        <v>3.27</v>
      </c>
      <c r="AE2240" s="508">
        <v>3.2109999999999999</v>
      </c>
      <c r="AF2240" s="508">
        <v>1.722</v>
      </c>
      <c r="AG2240" s="508">
        <v>1.661</v>
      </c>
      <c r="AH2240" s="508">
        <v>1.65</v>
      </c>
      <c r="AI2240" s="492">
        <v>1.64</v>
      </c>
      <c r="AJ2240" s="485"/>
    </row>
    <row r="2241" spans="2:36">
      <c r="B2241" s="136" t="s">
        <v>461</v>
      </c>
      <c r="C2241" s="132" t="s">
        <v>1369</v>
      </c>
      <c r="D2241" s="132" t="s">
        <v>282</v>
      </c>
      <c r="E2241" s="508">
        <v>117.526</v>
      </c>
      <c r="F2241" s="508">
        <v>46.046999999999997</v>
      </c>
      <c r="G2241" s="508">
        <v>46.097999999999999</v>
      </c>
      <c r="H2241" s="508">
        <v>46.103000000000002</v>
      </c>
      <c r="I2241" s="508">
        <v>46.094000000000001</v>
      </c>
      <c r="J2241" s="508">
        <v>41.030999999999999</v>
      </c>
      <c r="K2241" s="508">
        <v>40.908999999999999</v>
      </c>
      <c r="L2241" s="508">
        <v>40.642000000000003</v>
      </c>
      <c r="M2241" s="508">
        <v>40.325000000000003</v>
      </c>
      <c r="N2241" s="508">
        <v>40.31</v>
      </c>
      <c r="O2241" s="508">
        <v>39.494999999999997</v>
      </c>
      <c r="P2241" s="508">
        <v>17.178999999999998</v>
      </c>
      <c r="Q2241" s="508">
        <v>18.57</v>
      </c>
      <c r="R2241" s="508">
        <v>17.739999999999998</v>
      </c>
      <c r="S2241" s="508">
        <v>18.381</v>
      </c>
      <c r="T2241" s="508">
        <v>17.86</v>
      </c>
      <c r="U2241" s="508">
        <v>9.8070000000000004</v>
      </c>
      <c r="V2241" s="508">
        <v>9.57</v>
      </c>
      <c r="W2241" s="508">
        <v>9.7940000000000005</v>
      </c>
      <c r="X2241" s="508">
        <v>7.1559999999999997</v>
      </c>
      <c r="Y2241" s="508">
        <v>6.3239999999999998</v>
      </c>
      <c r="Z2241" s="508">
        <v>5.0599999999999996</v>
      </c>
      <c r="AA2241" s="508">
        <v>4.6790000000000003</v>
      </c>
      <c r="AB2241" s="508">
        <v>4.2140000000000004</v>
      </c>
      <c r="AC2241" s="508">
        <v>3.944</v>
      </c>
      <c r="AD2241" s="508">
        <v>3.1520000000000001</v>
      </c>
      <c r="AE2241" s="508">
        <v>3.0990000000000002</v>
      </c>
      <c r="AF2241" s="508">
        <v>1.667</v>
      </c>
      <c r="AG2241" s="508">
        <v>1.6080000000000001</v>
      </c>
      <c r="AH2241" s="508">
        <v>1.5980000000000001</v>
      </c>
      <c r="AI2241" s="492">
        <v>1.59</v>
      </c>
      <c r="AJ2241" s="485"/>
    </row>
    <row r="2242" spans="2:36">
      <c r="B2242" s="136" t="s">
        <v>462</v>
      </c>
      <c r="C2242" s="132" t="s">
        <v>1369</v>
      </c>
      <c r="D2242" s="132" t="s">
        <v>282</v>
      </c>
      <c r="E2242" s="508">
        <v>107.176</v>
      </c>
      <c r="F2242" s="508">
        <v>45.148000000000003</v>
      </c>
      <c r="G2242" s="508">
        <v>45.289000000000001</v>
      </c>
      <c r="H2242" s="508">
        <v>45.341000000000001</v>
      </c>
      <c r="I2242" s="508">
        <v>45.384999999999998</v>
      </c>
      <c r="J2242" s="508">
        <v>40.033999999999999</v>
      </c>
      <c r="K2242" s="508">
        <v>39.917000000000002</v>
      </c>
      <c r="L2242" s="508">
        <v>39.713999999999999</v>
      </c>
      <c r="M2242" s="508">
        <v>39.442999999999998</v>
      </c>
      <c r="N2242" s="508">
        <v>39.143000000000001</v>
      </c>
      <c r="O2242" s="508">
        <v>38.441000000000003</v>
      </c>
      <c r="P2242" s="508">
        <v>15.215</v>
      </c>
      <c r="Q2242" s="508">
        <v>16.655000000000001</v>
      </c>
      <c r="R2242" s="508">
        <v>15.952999999999999</v>
      </c>
      <c r="S2242" s="508">
        <v>15.88</v>
      </c>
      <c r="T2242" s="508">
        <v>15.451000000000001</v>
      </c>
      <c r="U2242" s="508">
        <v>9.2769999999999992</v>
      </c>
      <c r="V2242" s="508">
        <v>9.0660000000000007</v>
      </c>
      <c r="W2242" s="508">
        <v>9.3160000000000007</v>
      </c>
      <c r="X2242" s="508">
        <v>6.7160000000000002</v>
      </c>
      <c r="Y2242" s="508">
        <v>5.9009999999999998</v>
      </c>
      <c r="Z2242" s="508">
        <v>4.6630000000000003</v>
      </c>
      <c r="AA2242" s="508">
        <v>4.2969999999999997</v>
      </c>
      <c r="AB2242" s="508">
        <v>3.8490000000000002</v>
      </c>
      <c r="AC2242" s="508">
        <v>3.5910000000000002</v>
      </c>
      <c r="AD2242" s="508">
        <v>2.851</v>
      </c>
      <c r="AE2242" s="508">
        <v>2.8479999999999999</v>
      </c>
      <c r="AF2242" s="508">
        <v>1.4710000000000001</v>
      </c>
      <c r="AG2242" s="508">
        <v>1.4550000000000001</v>
      </c>
      <c r="AH2242" s="508">
        <v>1.4490000000000001</v>
      </c>
      <c r="AI2242" s="492">
        <v>1.4430000000000001</v>
      </c>
      <c r="AJ2242" s="485"/>
    </row>
    <row r="2243" spans="2:36">
      <c r="B2243" s="136" t="s">
        <v>463</v>
      </c>
      <c r="C2243" s="132" t="s">
        <v>1369</v>
      </c>
      <c r="D2243" s="132" t="s">
        <v>282</v>
      </c>
      <c r="E2243" s="508">
        <v>111.033</v>
      </c>
      <c r="F2243" s="508">
        <v>46.317999999999998</v>
      </c>
      <c r="G2243" s="508">
        <v>46.435000000000002</v>
      </c>
      <c r="H2243" s="508">
        <v>46.445</v>
      </c>
      <c r="I2243" s="508">
        <v>46.424999999999997</v>
      </c>
      <c r="J2243" s="508">
        <v>41.746000000000002</v>
      </c>
      <c r="K2243" s="508">
        <v>41.601999999999997</v>
      </c>
      <c r="L2243" s="508">
        <v>41.35</v>
      </c>
      <c r="M2243" s="508">
        <v>41.026000000000003</v>
      </c>
      <c r="N2243" s="508">
        <v>39.595999999999997</v>
      </c>
      <c r="O2243" s="508">
        <v>38.847000000000001</v>
      </c>
      <c r="P2243" s="508">
        <v>14.959</v>
      </c>
      <c r="Q2243" s="508">
        <v>16.408999999999999</v>
      </c>
      <c r="R2243" s="508">
        <v>15.686999999999999</v>
      </c>
      <c r="S2243" s="508">
        <v>15.603</v>
      </c>
      <c r="T2243" s="508">
        <v>15.154999999999999</v>
      </c>
      <c r="U2243" s="508">
        <v>9.3629999999999995</v>
      </c>
      <c r="V2243" s="508">
        <v>9.1430000000000007</v>
      </c>
      <c r="W2243" s="508">
        <v>9.3469999999999995</v>
      </c>
      <c r="X2243" s="508">
        <v>6.7990000000000004</v>
      </c>
      <c r="Y2243" s="508">
        <v>6.0229999999999997</v>
      </c>
      <c r="Z2243" s="508">
        <v>4.843</v>
      </c>
      <c r="AA2243" s="508">
        <v>4.4630000000000001</v>
      </c>
      <c r="AB2243" s="508">
        <v>4.0220000000000002</v>
      </c>
      <c r="AC2243" s="508">
        <v>3.7559999999999998</v>
      </c>
      <c r="AD2243" s="508">
        <v>3.044</v>
      </c>
      <c r="AE2243" s="508">
        <v>3.016</v>
      </c>
      <c r="AF2243" s="508">
        <v>1.623</v>
      </c>
      <c r="AG2243" s="508">
        <v>1.5880000000000001</v>
      </c>
      <c r="AH2243" s="508">
        <v>1.5940000000000001</v>
      </c>
      <c r="AI2243" s="492">
        <v>1.5860000000000001</v>
      </c>
      <c r="AJ2243" s="485"/>
    </row>
    <row r="2244" spans="2:36">
      <c r="B2244" s="136" t="s">
        <v>464</v>
      </c>
      <c r="C2244" s="132" t="s">
        <v>1369</v>
      </c>
      <c r="D2244" s="132" t="s">
        <v>282</v>
      </c>
      <c r="E2244" s="508">
        <v>120.051</v>
      </c>
      <c r="F2244" s="508">
        <v>48.445</v>
      </c>
      <c r="G2244" s="508">
        <v>48.558999999999997</v>
      </c>
      <c r="H2244" s="508">
        <v>48.57</v>
      </c>
      <c r="I2244" s="508">
        <v>48.55</v>
      </c>
      <c r="J2244" s="508">
        <v>43.518000000000001</v>
      </c>
      <c r="K2244" s="508">
        <v>43.365000000000002</v>
      </c>
      <c r="L2244" s="508">
        <v>43.088000000000001</v>
      </c>
      <c r="M2244" s="508">
        <v>42.732999999999997</v>
      </c>
      <c r="N2244" s="508">
        <v>41.887999999999998</v>
      </c>
      <c r="O2244" s="508">
        <v>41.082999999999998</v>
      </c>
      <c r="P2244" s="508">
        <v>17.158999999999999</v>
      </c>
      <c r="Q2244" s="508">
        <v>18.550999999999998</v>
      </c>
      <c r="R2244" s="508">
        <v>17.765000000000001</v>
      </c>
      <c r="S2244" s="508">
        <v>17.617000000000001</v>
      </c>
      <c r="T2244" s="508">
        <v>17.111000000000001</v>
      </c>
      <c r="U2244" s="508">
        <v>10.050000000000001</v>
      </c>
      <c r="V2244" s="508">
        <v>9.7989999999999995</v>
      </c>
      <c r="W2244" s="508">
        <v>9.9979999999999993</v>
      </c>
      <c r="X2244" s="508">
        <v>7.3049999999999997</v>
      </c>
      <c r="Y2244" s="508">
        <v>6.4749999999999996</v>
      </c>
      <c r="Z2244" s="508">
        <v>5.1929999999999996</v>
      </c>
      <c r="AA2244" s="508">
        <v>4.7930000000000001</v>
      </c>
      <c r="AB2244" s="508">
        <v>4.3230000000000004</v>
      </c>
      <c r="AC2244" s="508">
        <v>4.0419999999999998</v>
      </c>
      <c r="AD2244" s="508">
        <v>3.2410000000000001</v>
      </c>
      <c r="AE2244" s="508">
        <v>3.1789999999999998</v>
      </c>
      <c r="AF2244" s="508">
        <v>1.724</v>
      </c>
      <c r="AG2244" s="508">
        <v>1.659</v>
      </c>
      <c r="AH2244" s="508">
        <v>1.6479999999999999</v>
      </c>
      <c r="AI2244" s="492">
        <v>1.639</v>
      </c>
      <c r="AJ2244" s="485"/>
    </row>
    <row r="2245" spans="2:36">
      <c r="B2245" s="136" t="s">
        <v>465</v>
      </c>
      <c r="C2245" s="132" t="s">
        <v>1369</v>
      </c>
      <c r="D2245" s="132" t="s">
        <v>282</v>
      </c>
      <c r="E2245" s="508">
        <v>115.46</v>
      </c>
      <c r="F2245" s="508">
        <v>47.23</v>
      </c>
      <c r="G2245" s="508">
        <v>47.344000000000001</v>
      </c>
      <c r="H2245" s="508">
        <v>47.354999999999997</v>
      </c>
      <c r="I2245" s="508">
        <v>47.335000000000001</v>
      </c>
      <c r="J2245" s="508">
        <v>42.271999999999998</v>
      </c>
      <c r="K2245" s="508">
        <v>42.124000000000002</v>
      </c>
      <c r="L2245" s="508">
        <v>41.860999999999997</v>
      </c>
      <c r="M2245" s="508">
        <v>41.526000000000003</v>
      </c>
      <c r="N2245" s="508">
        <v>40.61</v>
      </c>
      <c r="O2245" s="508">
        <v>39.837000000000003</v>
      </c>
      <c r="P2245" s="508">
        <v>16.27</v>
      </c>
      <c r="Q2245" s="508">
        <v>17.721</v>
      </c>
      <c r="R2245" s="508">
        <v>16.966000000000001</v>
      </c>
      <c r="S2245" s="508">
        <v>16.841999999999999</v>
      </c>
      <c r="T2245" s="508">
        <v>16.369</v>
      </c>
      <c r="U2245" s="508">
        <v>10.055</v>
      </c>
      <c r="V2245" s="508">
        <v>9.81</v>
      </c>
      <c r="W2245" s="508">
        <v>10.026999999999999</v>
      </c>
      <c r="X2245" s="508">
        <v>7.2930000000000001</v>
      </c>
      <c r="Y2245" s="508">
        <v>6.4509999999999996</v>
      </c>
      <c r="Z2245" s="508">
        <v>5.1440000000000001</v>
      </c>
      <c r="AA2245" s="508">
        <v>4.7480000000000002</v>
      </c>
      <c r="AB2245" s="508">
        <v>4.274</v>
      </c>
      <c r="AC2245" s="508">
        <v>3.996</v>
      </c>
      <c r="AD2245" s="508">
        <v>3.2</v>
      </c>
      <c r="AE2245" s="508">
        <v>3.157</v>
      </c>
      <c r="AF2245" s="508">
        <v>1.6839999999999999</v>
      </c>
      <c r="AG2245" s="508">
        <v>1.637</v>
      </c>
      <c r="AH2245" s="508">
        <v>1.627</v>
      </c>
      <c r="AI2245" s="492">
        <v>1.619</v>
      </c>
      <c r="AJ2245" s="485"/>
    </row>
    <row r="2246" spans="2:36">
      <c r="B2246" s="136" t="s">
        <v>466</v>
      </c>
      <c r="C2246" s="132" t="s">
        <v>1369</v>
      </c>
      <c r="D2246" s="132" t="s">
        <v>282</v>
      </c>
      <c r="E2246" s="508">
        <v>99.26</v>
      </c>
      <c r="F2246" s="508">
        <v>39.911000000000001</v>
      </c>
      <c r="G2246" s="508">
        <v>39.909999999999997</v>
      </c>
      <c r="H2246" s="508">
        <v>39.909999999999997</v>
      </c>
      <c r="I2246" s="508">
        <v>39.911000000000001</v>
      </c>
      <c r="J2246" s="508">
        <v>34.938000000000002</v>
      </c>
      <c r="K2246" s="508">
        <v>34.847999999999999</v>
      </c>
      <c r="L2246" s="508">
        <v>34.619999999999997</v>
      </c>
      <c r="M2246" s="508">
        <v>34.380000000000003</v>
      </c>
      <c r="N2246" s="508">
        <v>35.268999999999998</v>
      </c>
      <c r="O2246" s="508">
        <v>34.531999999999996</v>
      </c>
      <c r="P2246" s="508">
        <v>13.904999999999999</v>
      </c>
      <c r="Q2246" s="508">
        <v>15.19</v>
      </c>
      <c r="R2246" s="508">
        <v>14.433999999999999</v>
      </c>
      <c r="S2246" s="508">
        <v>14.411</v>
      </c>
      <c r="T2246" s="508">
        <v>13.967000000000001</v>
      </c>
      <c r="U2246" s="508">
        <v>8.8130000000000006</v>
      </c>
      <c r="V2246" s="508">
        <v>8.6170000000000009</v>
      </c>
      <c r="W2246" s="508">
        <v>8.8369999999999997</v>
      </c>
      <c r="X2246" s="508">
        <v>6.3529999999999998</v>
      </c>
      <c r="Y2246" s="508">
        <v>5.5629999999999997</v>
      </c>
      <c r="Z2246" s="508">
        <v>4.5309999999999997</v>
      </c>
      <c r="AA2246" s="508">
        <v>4.1349999999999998</v>
      </c>
      <c r="AB2246" s="508">
        <v>3.6419999999999999</v>
      </c>
      <c r="AC2246" s="508">
        <v>3.3610000000000002</v>
      </c>
      <c r="AD2246" s="508">
        <v>2.74</v>
      </c>
      <c r="AE2246" s="508">
        <v>2.7309999999999999</v>
      </c>
      <c r="AF2246" s="508">
        <v>1.482</v>
      </c>
      <c r="AG2246" s="508">
        <v>1.46</v>
      </c>
      <c r="AH2246" s="508">
        <v>1.514</v>
      </c>
      <c r="AI2246" s="492">
        <v>1.5069999999999999</v>
      </c>
      <c r="AJ2246" s="485"/>
    </row>
    <row r="2247" spans="2:36">
      <c r="B2247" s="136" t="s">
        <v>467</v>
      </c>
      <c r="C2247" s="132" t="s">
        <v>1369</v>
      </c>
      <c r="D2247" s="132" t="s">
        <v>282</v>
      </c>
      <c r="E2247" s="508">
        <v>115.577</v>
      </c>
      <c r="F2247" s="508">
        <v>46.390999999999998</v>
      </c>
      <c r="G2247" s="508">
        <v>46.496000000000002</v>
      </c>
      <c r="H2247" s="508">
        <v>46.505000000000003</v>
      </c>
      <c r="I2247" s="508">
        <v>46.487000000000002</v>
      </c>
      <c r="J2247" s="508">
        <v>41.252000000000002</v>
      </c>
      <c r="K2247" s="508">
        <v>41.104999999999997</v>
      </c>
      <c r="L2247" s="508">
        <v>40.838999999999999</v>
      </c>
      <c r="M2247" s="508">
        <v>40.503999999999998</v>
      </c>
      <c r="N2247" s="508">
        <v>40.045999999999999</v>
      </c>
      <c r="O2247" s="508">
        <v>39.271000000000001</v>
      </c>
      <c r="P2247" s="508">
        <v>13.976000000000001</v>
      </c>
      <c r="Q2247" s="508">
        <v>15.077999999999999</v>
      </c>
      <c r="R2247" s="508">
        <v>14.321</v>
      </c>
      <c r="S2247" s="508">
        <v>14.263</v>
      </c>
      <c r="T2247" s="508">
        <v>13.786</v>
      </c>
      <c r="U2247" s="508">
        <v>8.2050000000000001</v>
      </c>
      <c r="V2247" s="508">
        <v>8.0210000000000008</v>
      </c>
      <c r="W2247" s="508">
        <v>8.1929999999999996</v>
      </c>
      <c r="X2247" s="508">
        <v>6.008</v>
      </c>
      <c r="Y2247" s="508">
        <v>5.31</v>
      </c>
      <c r="Z2247" s="508">
        <v>4.4219999999999997</v>
      </c>
      <c r="AA2247" s="508">
        <v>4.0469999999999997</v>
      </c>
      <c r="AB2247" s="508">
        <v>3.5990000000000002</v>
      </c>
      <c r="AC2247" s="508">
        <v>3.331</v>
      </c>
      <c r="AD2247" s="508">
        <v>2.7589999999999999</v>
      </c>
      <c r="AE2247" s="508">
        <v>2.7120000000000002</v>
      </c>
      <c r="AF2247" s="508">
        <v>1.5529999999999999</v>
      </c>
      <c r="AG2247" s="508">
        <v>1.498</v>
      </c>
      <c r="AH2247" s="508">
        <v>1.488</v>
      </c>
      <c r="AI2247" s="492">
        <v>1.4790000000000001</v>
      </c>
      <c r="AJ2247" s="485"/>
    </row>
    <row r="2248" spans="2:36">
      <c r="B2248" s="136" t="s">
        <v>468</v>
      </c>
      <c r="C2248" s="132" t="s">
        <v>1369</v>
      </c>
      <c r="D2248" s="132" t="s">
        <v>282</v>
      </c>
      <c r="E2248" s="508">
        <v>92.73</v>
      </c>
      <c r="F2248" s="508">
        <v>36.670999999999999</v>
      </c>
      <c r="G2248" s="508">
        <v>36.655000000000001</v>
      </c>
      <c r="H2248" s="508">
        <v>36.654000000000003</v>
      </c>
      <c r="I2248" s="508">
        <v>36.655999999999999</v>
      </c>
      <c r="J2248" s="508">
        <v>33.206000000000003</v>
      </c>
      <c r="K2248" s="508">
        <v>33.112000000000002</v>
      </c>
      <c r="L2248" s="508">
        <v>32.887</v>
      </c>
      <c r="M2248" s="508">
        <v>32.645000000000003</v>
      </c>
      <c r="N2248" s="508">
        <v>32.453000000000003</v>
      </c>
      <c r="O2248" s="508">
        <v>31.745000000000001</v>
      </c>
      <c r="P2248" s="508">
        <v>13.183</v>
      </c>
      <c r="Q2248" s="508">
        <v>14.367000000000001</v>
      </c>
      <c r="R2248" s="508">
        <v>13.656000000000001</v>
      </c>
      <c r="S2248" s="508">
        <v>13.622999999999999</v>
      </c>
      <c r="T2248" s="508">
        <v>13.183999999999999</v>
      </c>
      <c r="U2248" s="508">
        <v>8.1150000000000002</v>
      </c>
      <c r="V2248" s="508">
        <v>7.9370000000000003</v>
      </c>
      <c r="W2248" s="508">
        <v>8.1069999999999993</v>
      </c>
      <c r="X2248" s="508">
        <v>5.94</v>
      </c>
      <c r="Y2248" s="508">
        <v>5.2709999999999999</v>
      </c>
      <c r="Z2248" s="508">
        <v>4.3979999999999997</v>
      </c>
      <c r="AA2248" s="508">
        <v>4.0350000000000001</v>
      </c>
      <c r="AB2248" s="508">
        <v>3.6360000000000001</v>
      </c>
      <c r="AC2248" s="508">
        <v>3.379</v>
      </c>
      <c r="AD2248" s="508">
        <v>2.8290000000000002</v>
      </c>
      <c r="AE2248" s="508">
        <v>3.0819999999999999</v>
      </c>
      <c r="AF2248" s="508">
        <v>1.6379999999999999</v>
      </c>
      <c r="AG2248" s="508">
        <v>1.599</v>
      </c>
      <c r="AH2248" s="508">
        <v>1.59</v>
      </c>
      <c r="AI2248" s="492">
        <v>1.583</v>
      </c>
      <c r="AJ2248" s="485"/>
    </row>
    <row r="2249" spans="2:36">
      <c r="B2249" s="136" t="s">
        <v>469</v>
      </c>
      <c r="C2249" s="132" t="s">
        <v>1369</v>
      </c>
      <c r="D2249" s="132" t="s">
        <v>282</v>
      </c>
      <c r="E2249" s="508">
        <v>107.89</v>
      </c>
      <c r="F2249" s="508">
        <v>44.182000000000002</v>
      </c>
      <c r="G2249" s="508">
        <v>44.262</v>
      </c>
      <c r="H2249" s="508">
        <v>44.268999999999998</v>
      </c>
      <c r="I2249" s="508">
        <v>44.255000000000003</v>
      </c>
      <c r="J2249" s="508">
        <v>39.323</v>
      </c>
      <c r="K2249" s="508">
        <v>39.195999999999998</v>
      </c>
      <c r="L2249" s="508">
        <v>38.953000000000003</v>
      </c>
      <c r="M2249" s="508">
        <v>38.655999999999999</v>
      </c>
      <c r="N2249" s="508">
        <v>38.317999999999998</v>
      </c>
      <c r="O2249" s="508">
        <v>37.575000000000003</v>
      </c>
      <c r="P2249" s="508">
        <v>15.113</v>
      </c>
      <c r="Q2249" s="508">
        <v>16.492999999999999</v>
      </c>
      <c r="R2249" s="508">
        <v>15.763</v>
      </c>
      <c r="S2249" s="508">
        <v>15.683</v>
      </c>
      <c r="T2249" s="508">
        <v>15.234</v>
      </c>
      <c r="U2249" s="508">
        <v>9.484</v>
      </c>
      <c r="V2249" s="508">
        <v>9.26</v>
      </c>
      <c r="W2249" s="508">
        <v>9.4779999999999998</v>
      </c>
      <c r="X2249" s="508">
        <v>6.8540000000000001</v>
      </c>
      <c r="Y2249" s="508">
        <v>6.0430000000000001</v>
      </c>
      <c r="Z2249" s="508">
        <v>4.84</v>
      </c>
      <c r="AA2249" s="508">
        <v>4.45</v>
      </c>
      <c r="AB2249" s="508">
        <v>3.988</v>
      </c>
      <c r="AC2249" s="508">
        <v>3.7149999999999999</v>
      </c>
      <c r="AD2249" s="508">
        <v>2.988</v>
      </c>
      <c r="AE2249" s="508">
        <v>2.9649999999999999</v>
      </c>
      <c r="AF2249" s="508">
        <v>1.577</v>
      </c>
      <c r="AG2249" s="508">
        <v>1.546</v>
      </c>
      <c r="AH2249" s="508">
        <v>1.548</v>
      </c>
      <c r="AI2249" s="492">
        <v>1.5409999999999999</v>
      </c>
      <c r="AJ2249" s="485"/>
    </row>
    <row r="2250" spans="2:36">
      <c r="B2250" s="136" t="s">
        <v>470</v>
      </c>
      <c r="C2250" s="132" t="s">
        <v>1369</v>
      </c>
      <c r="D2250" s="132" t="s">
        <v>282</v>
      </c>
      <c r="E2250" s="508">
        <v>72.37</v>
      </c>
      <c r="F2250" s="508">
        <v>26.738</v>
      </c>
      <c r="G2250" s="508">
        <v>26.542000000000002</v>
      </c>
      <c r="H2250" s="508">
        <v>26.524000000000001</v>
      </c>
      <c r="I2250" s="508">
        <v>26.558</v>
      </c>
      <c r="J2250" s="508">
        <v>23.741</v>
      </c>
      <c r="K2250" s="508">
        <v>23.733000000000001</v>
      </c>
      <c r="L2250" s="508">
        <v>23.559000000000001</v>
      </c>
      <c r="M2250" s="508">
        <v>23.454999999999998</v>
      </c>
      <c r="N2250" s="508">
        <v>23.93</v>
      </c>
      <c r="O2250" s="508">
        <v>23.303999999999998</v>
      </c>
      <c r="P2250" s="508">
        <v>13.879</v>
      </c>
      <c r="Q2250" s="508">
        <v>15.057</v>
      </c>
      <c r="R2250" s="508">
        <v>14.286</v>
      </c>
      <c r="S2250" s="508">
        <v>14.246</v>
      </c>
      <c r="T2250" s="508">
        <v>13.775</v>
      </c>
      <c r="U2250" s="508">
        <v>8.2720000000000002</v>
      </c>
      <c r="V2250" s="508">
        <v>8.09</v>
      </c>
      <c r="W2250" s="508">
        <v>8.2789999999999999</v>
      </c>
      <c r="X2250" s="508">
        <v>6.048</v>
      </c>
      <c r="Y2250" s="508">
        <v>5.3330000000000002</v>
      </c>
      <c r="Z2250" s="508">
        <v>4.4349999999999996</v>
      </c>
      <c r="AA2250" s="508">
        <v>4.0570000000000004</v>
      </c>
      <c r="AB2250" s="508">
        <v>3.5950000000000002</v>
      </c>
      <c r="AC2250" s="508">
        <v>3.3250000000000002</v>
      </c>
      <c r="AD2250" s="508">
        <v>2.7559999999999998</v>
      </c>
      <c r="AE2250" s="508">
        <v>2.7210000000000001</v>
      </c>
      <c r="AF2250" s="508">
        <v>1.5469999999999999</v>
      </c>
      <c r="AG2250" s="508">
        <v>1.585</v>
      </c>
      <c r="AH2250" s="508">
        <v>1.575</v>
      </c>
      <c r="AI2250" s="492">
        <v>1.5669999999999999</v>
      </c>
      <c r="AJ2250" s="485"/>
    </row>
    <row r="2251" spans="2:36">
      <c r="B2251" s="136" t="s">
        <v>471</v>
      </c>
      <c r="C2251" s="132" t="s">
        <v>1369</v>
      </c>
      <c r="D2251" s="132" t="s">
        <v>282</v>
      </c>
      <c r="E2251" s="508">
        <v>111.261</v>
      </c>
      <c r="F2251" s="508">
        <v>46.01</v>
      </c>
      <c r="G2251" s="508">
        <v>46.113999999999997</v>
      </c>
      <c r="H2251" s="508">
        <v>46.124000000000002</v>
      </c>
      <c r="I2251" s="508">
        <v>46.106000000000002</v>
      </c>
      <c r="J2251" s="508">
        <v>40.549999999999997</v>
      </c>
      <c r="K2251" s="508">
        <v>40.424999999999997</v>
      </c>
      <c r="L2251" s="508">
        <v>40.186</v>
      </c>
      <c r="M2251" s="508">
        <v>39.887999999999998</v>
      </c>
      <c r="N2251" s="508">
        <v>39.682000000000002</v>
      </c>
      <c r="O2251" s="508">
        <v>38.942</v>
      </c>
      <c r="P2251" s="508">
        <v>15.253</v>
      </c>
      <c r="Q2251" s="508">
        <v>16.693000000000001</v>
      </c>
      <c r="R2251" s="508">
        <v>15.961</v>
      </c>
      <c r="S2251" s="508">
        <v>15.885</v>
      </c>
      <c r="T2251" s="508">
        <v>15.443</v>
      </c>
      <c r="U2251" s="508">
        <v>9.2910000000000004</v>
      </c>
      <c r="V2251" s="508">
        <v>9.0779999999999994</v>
      </c>
      <c r="W2251" s="508">
        <v>9.32</v>
      </c>
      <c r="X2251" s="508">
        <v>6.73</v>
      </c>
      <c r="Y2251" s="508">
        <v>5.9139999999999997</v>
      </c>
      <c r="Z2251" s="508">
        <v>4.7</v>
      </c>
      <c r="AA2251" s="508">
        <v>4.33</v>
      </c>
      <c r="AB2251" s="508">
        <v>3.871</v>
      </c>
      <c r="AC2251" s="508">
        <v>3.61</v>
      </c>
      <c r="AD2251" s="508">
        <v>2.879</v>
      </c>
      <c r="AE2251" s="508">
        <v>2.867</v>
      </c>
      <c r="AF2251" s="508">
        <v>1.4990000000000001</v>
      </c>
      <c r="AG2251" s="508">
        <v>1.476</v>
      </c>
      <c r="AH2251" s="508">
        <v>1.4690000000000001</v>
      </c>
      <c r="AI2251" s="492">
        <v>1.472</v>
      </c>
      <c r="AJ2251" s="485"/>
    </row>
    <row r="2252" spans="2:36">
      <c r="B2252" s="136" t="s">
        <v>472</v>
      </c>
      <c r="C2252" s="132" t="s">
        <v>1369</v>
      </c>
      <c r="D2252" s="132" t="s">
        <v>282</v>
      </c>
      <c r="E2252" s="508">
        <v>124.03700000000001</v>
      </c>
      <c r="F2252" s="508">
        <v>49.673000000000002</v>
      </c>
      <c r="G2252" s="508">
        <v>49.786999999999999</v>
      </c>
      <c r="H2252" s="508">
        <v>49.796999999999997</v>
      </c>
      <c r="I2252" s="508">
        <v>49.777000000000001</v>
      </c>
      <c r="J2252" s="508">
        <v>44.64</v>
      </c>
      <c r="K2252" s="508">
        <v>44.488</v>
      </c>
      <c r="L2252" s="508">
        <v>44.204999999999998</v>
      </c>
      <c r="M2252" s="508">
        <v>43.838999999999999</v>
      </c>
      <c r="N2252" s="508">
        <v>43.070999999999998</v>
      </c>
      <c r="O2252" s="508">
        <v>42.241999999999997</v>
      </c>
      <c r="P2252" s="508">
        <v>17.966000000000001</v>
      </c>
      <c r="Q2252" s="508">
        <v>19.356999999999999</v>
      </c>
      <c r="R2252" s="508">
        <v>18.54</v>
      </c>
      <c r="S2252" s="508">
        <v>18.373999999999999</v>
      </c>
      <c r="T2252" s="508">
        <v>17.841999999999999</v>
      </c>
      <c r="U2252" s="508">
        <v>9.625</v>
      </c>
      <c r="V2252" s="508">
        <v>9.391</v>
      </c>
      <c r="W2252" s="508">
        <v>9.5950000000000006</v>
      </c>
      <c r="X2252" s="508">
        <v>7.056</v>
      </c>
      <c r="Y2252" s="508">
        <v>6.2619999999999996</v>
      </c>
      <c r="Z2252" s="508">
        <v>5.0309999999999997</v>
      </c>
      <c r="AA2252" s="508">
        <v>4.6589999999999998</v>
      </c>
      <c r="AB2252" s="508">
        <v>4.2169999999999996</v>
      </c>
      <c r="AC2252" s="508">
        <v>3.9529999999999998</v>
      </c>
      <c r="AD2252" s="508">
        <v>3.1720000000000002</v>
      </c>
      <c r="AE2252" s="508">
        <v>3.1070000000000002</v>
      </c>
      <c r="AF2252" s="508">
        <v>1.6930000000000001</v>
      </c>
      <c r="AG2252" s="508">
        <v>1.625</v>
      </c>
      <c r="AH2252" s="508">
        <v>1.615</v>
      </c>
      <c r="AI2252" s="492">
        <v>1.6060000000000001</v>
      </c>
      <c r="AJ2252" s="485"/>
    </row>
    <row r="2253" spans="2:36">
      <c r="B2253" s="136" t="s">
        <v>473</v>
      </c>
      <c r="C2253" s="132" t="s">
        <v>1369</v>
      </c>
      <c r="D2253" s="132" t="s">
        <v>282</v>
      </c>
      <c r="E2253" s="508">
        <v>111.98399999999999</v>
      </c>
      <c r="F2253" s="508">
        <v>44.613999999999997</v>
      </c>
      <c r="G2253" s="508">
        <v>41.555999999999997</v>
      </c>
      <c r="H2253" s="508">
        <v>41.555999999999997</v>
      </c>
      <c r="I2253" s="508">
        <v>41.555999999999997</v>
      </c>
      <c r="J2253" s="508">
        <v>36.585000000000001</v>
      </c>
      <c r="K2253" s="508">
        <v>36.494</v>
      </c>
      <c r="L2253" s="508">
        <v>36.258000000000003</v>
      </c>
      <c r="M2253" s="508">
        <v>36.005000000000003</v>
      </c>
      <c r="N2253" s="508">
        <v>36.427999999999997</v>
      </c>
      <c r="O2253" s="508">
        <v>35.673999999999999</v>
      </c>
      <c r="P2253" s="508">
        <v>15.874000000000001</v>
      </c>
      <c r="Q2253" s="508">
        <v>17.256</v>
      </c>
      <c r="R2253" s="508">
        <v>16.459</v>
      </c>
      <c r="S2253" s="508">
        <v>16.376999999999999</v>
      </c>
      <c r="T2253" s="508">
        <v>15.891999999999999</v>
      </c>
      <c r="U2253" s="508">
        <v>9.7609999999999992</v>
      </c>
      <c r="V2253" s="508">
        <v>9.5220000000000002</v>
      </c>
      <c r="W2253" s="508">
        <v>9.7249999999999996</v>
      </c>
      <c r="X2253" s="508">
        <v>7.0190000000000001</v>
      </c>
      <c r="Y2253" s="508">
        <v>6.1680000000000001</v>
      </c>
      <c r="Z2253" s="508">
        <v>5.0019999999999998</v>
      </c>
      <c r="AA2253" s="508">
        <v>4.5759999999999996</v>
      </c>
      <c r="AB2253" s="508">
        <v>4.0750000000000002</v>
      </c>
      <c r="AC2253" s="508">
        <v>3.7749999999999999</v>
      </c>
      <c r="AD2253" s="508">
        <v>3.048</v>
      </c>
      <c r="AE2253" s="508">
        <v>3.0030000000000001</v>
      </c>
      <c r="AF2253" s="508">
        <v>1.643</v>
      </c>
      <c r="AG2253" s="508">
        <v>1.5920000000000001</v>
      </c>
      <c r="AH2253" s="508">
        <v>1.591</v>
      </c>
      <c r="AI2253" s="492">
        <v>1.5820000000000001</v>
      </c>
      <c r="AJ2253" s="485"/>
    </row>
    <row r="2254" spans="2:36">
      <c r="B2254" s="136" t="s">
        <v>474</v>
      </c>
      <c r="C2254" s="132" t="s">
        <v>1369</v>
      </c>
      <c r="D2254" s="132" t="s">
        <v>282</v>
      </c>
      <c r="E2254" s="508">
        <v>110.63</v>
      </c>
      <c r="F2254" s="508">
        <v>46.040999999999997</v>
      </c>
      <c r="G2254" s="508">
        <v>46.146999999999998</v>
      </c>
      <c r="H2254" s="508">
        <v>46.156999999999996</v>
      </c>
      <c r="I2254" s="508">
        <v>46.139000000000003</v>
      </c>
      <c r="J2254" s="508">
        <v>40.659999999999997</v>
      </c>
      <c r="K2254" s="508">
        <v>40.527999999999999</v>
      </c>
      <c r="L2254" s="508">
        <v>40.283000000000001</v>
      </c>
      <c r="M2254" s="508">
        <v>39.978999999999999</v>
      </c>
      <c r="N2254" s="508">
        <v>39.673999999999999</v>
      </c>
      <c r="O2254" s="508">
        <v>38.93</v>
      </c>
      <c r="P2254" s="508">
        <v>15.472</v>
      </c>
      <c r="Q2254" s="508">
        <v>16.934999999999999</v>
      </c>
      <c r="R2254" s="508">
        <v>16.204000000000001</v>
      </c>
      <c r="S2254" s="508">
        <v>16.116</v>
      </c>
      <c r="T2254" s="508">
        <v>15.673999999999999</v>
      </c>
      <c r="U2254" s="508">
        <v>9.8040000000000003</v>
      </c>
      <c r="V2254" s="508">
        <v>9.5690000000000008</v>
      </c>
      <c r="W2254" s="508">
        <v>9.8040000000000003</v>
      </c>
      <c r="X2254" s="508">
        <v>7.048</v>
      </c>
      <c r="Y2254" s="508">
        <v>6.194</v>
      </c>
      <c r="Z2254" s="508">
        <v>4.9020000000000001</v>
      </c>
      <c r="AA2254" s="508">
        <v>4.5069999999999997</v>
      </c>
      <c r="AB2254" s="508">
        <v>4.0250000000000004</v>
      </c>
      <c r="AC2254" s="508">
        <v>3.7480000000000002</v>
      </c>
      <c r="AD2254" s="508">
        <v>2.98</v>
      </c>
      <c r="AE2254" s="508">
        <v>2.964</v>
      </c>
      <c r="AF2254" s="508">
        <v>1.5409999999999999</v>
      </c>
      <c r="AG2254" s="508">
        <v>1.5169999999999999</v>
      </c>
      <c r="AH2254" s="508">
        <v>1.5089999999999999</v>
      </c>
      <c r="AI2254" s="492">
        <v>1.502</v>
      </c>
      <c r="AJ2254" s="485"/>
    </row>
    <row r="2255" spans="2:36">
      <c r="B2255" s="136" t="s">
        <v>475</v>
      </c>
      <c r="C2255" s="132" t="s">
        <v>1369</v>
      </c>
      <c r="D2255" s="132" t="s">
        <v>282</v>
      </c>
      <c r="E2255" s="508">
        <v>111.563</v>
      </c>
      <c r="F2255" s="508">
        <v>44.475000000000001</v>
      </c>
      <c r="G2255" s="508">
        <v>44.533999999999999</v>
      </c>
      <c r="H2255" s="508">
        <v>44.539000000000001</v>
      </c>
      <c r="I2255" s="508">
        <v>44.529000000000003</v>
      </c>
      <c r="J2255" s="508">
        <v>39.573</v>
      </c>
      <c r="K2255" s="508">
        <v>39.073999999999998</v>
      </c>
      <c r="L2255" s="508">
        <v>38.822000000000003</v>
      </c>
      <c r="M2255" s="508">
        <v>38.526000000000003</v>
      </c>
      <c r="N2255" s="508">
        <v>38.484999999999999</v>
      </c>
      <c r="O2255" s="508">
        <v>37.713000000000001</v>
      </c>
      <c r="P2255" s="508">
        <v>15.43</v>
      </c>
      <c r="Q2255" s="508">
        <v>16.765999999999998</v>
      </c>
      <c r="R2255" s="508">
        <v>15.996</v>
      </c>
      <c r="S2255" s="508">
        <v>15.916</v>
      </c>
      <c r="T2255" s="508">
        <v>15.438000000000001</v>
      </c>
      <c r="U2255" s="508">
        <v>9.2859999999999996</v>
      </c>
      <c r="V2255" s="508">
        <v>9.0670000000000002</v>
      </c>
      <c r="W2255" s="508">
        <v>9.2669999999999995</v>
      </c>
      <c r="X2255" s="508">
        <v>6.73</v>
      </c>
      <c r="Y2255" s="508">
        <v>5.9370000000000003</v>
      </c>
      <c r="Z2255" s="508">
        <v>4.8259999999999996</v>
      </c>
      <c r="AA2255" s="508">
        <v>4.4290000000000003</v>
      </c>
      <c r="AB2255" s="508">
        <v>3.968</v>
      </c>
      <c r="AC2255" s="508">
        <v>3.6880000000000002</v>
      </c>
      <c r="AD2255" s="508">
        <v>2.9950000000000001</v>
      </c>
      <c r="AE2255" s="508">
        <v>2.956</v>
      </c>
      <c r="AF2255" s="508">
        <v>1.637</v>
      </c>
      <c r="AG2255" s="508">
        <v>1.5920000000000001</v>
      </c>
      <c r="AH2255" s="508">
        <v>1.5820000000000001</v>
      </c>
      <c r="AI2255" s="492">
        <v>1.5740000000000001</v>
      </c>
      <c r="AJ2255" s="485"/>
    </row>
    <row r="2256" spans="2:36">
      <c r="B2256" s="136" t="s">
        <v>476</v>
      </c>
      <c r="C2256" s="132" t="s">
        <v>1369</v>
      </c>
      <c r="D2256" s="132" t="s">
        <v>282</v>
      </c>
      <c r="E2256" s="508">
        <v>115.62</v>
      </c>
      <c r="F2256" s="508">
        <v>42.07</v>
      </c>
      <c r="G2256" s="508">
        <v>42.094999999999999</v>
      </c>
      <c r="H2256" s="508">
        <v>42.097999999999999</v>
      </c>
      <c r="I2256" s="508">
        <v>42.093000000000004</v>
      </c>
      <c r="J2256" s="508">
        <v>37.273000000000003</v>
      </c>
      <c r="K2256" s="508">
        <v>37.165999999999997</v>
      </c>
      <c r="L2256" s="508">
        <v>36.923000000000002</v>
      </c>
      <c r="M2256" s="508">
        <v>36.648000000000003</v>
      </c>
      <c r="N2256" s="508">
        <v>36.893000000000001</v>
      </c>
      <c r="O2256" s="508">
        <v>36.134</v>
      </c>
      <c r="P2256" s="508">
        <v>14.707000000000001</v>
      </c>
      <c r="Q2256" s="508">
        <v>15.981999999999999</v>
      </c>
      <c r="R2256" s="508">
        <v>15.209</v>
      </c>
      <c r="S2256" s="508">
        <v>15.15</v>
      </c>
      <c r="T2256" s="508">
        <v>14.679</v>
      </c>
      <c r="U2256" s="508">
        <v>8.8439999999999994</v>
      </c>
      <c r="V2256" s="508">
        <v>8.6419999999999995</v>
      </c>
      <c r="W2256" s="508">
        <v>8.843</v>
      </c>
      <c r="X2256" s="508">
        <v>6.4340000000000002</v>
      </c>
      <c r="Y2256" s="508">
        <v>5.6710000000000003</v>
      </c>
      <c r="Z2256" s="508">
        <v>4.6440000000000001</v>
      </c>
      <c r="AA2256" s="508">
        <v>4.2569999999999997</v>
      </c>
      <c r="AB2256" s="508">
        <v>3.7850000000000001</v>
      </c>
      <c r="AC2256" s="508">
        <v>3.51</v>
      </c>
      <c r="AD2256" s="508">
        <v>2.871</v>
      </c>
      <c r="AE2256" s="508">
        <v>2.8359999999999999</v>
      </c>
      <c r="AF2256" s="508">
        <v>1.573</v>
      </c>
      <c r="AG2256" s="508">
        <v>1.53</v>
      </c>
      <c r="AH2256" s="508">
        <v>1.5309999999999999</v>
      </c>
      <c r="AI2256" s="492">
        <v>1.57</v>
      </c>
      <c r="AJ2256" s="485"/>
    </row>
    <row r="2257" spans="2:36">
      <c r="B2257" s="136" t="s">
        <v>478</v>
      </c>
      <c r="C2257" s="132" t="s">
        <v>1369</v>
      </c>
      <c r="D2257" s="132" t="s">
        <v>282</v>
      </c>
      <c r="E2257" s="508">
        <v>35.445999999999998</v>
      </c>
      <c r="F2257" s="508">
        <v>9.8049999999999997</v>
      </c>
      <c r="G2257" s="508">
        <v>9.3580000000000005</v>
      </c>
      <c r="H2257" s="508">
        <v>9.3170000000000002</v>
      </c>
      <c r="I2257" s="508">
        <v>9.3949999999999996</v>
      </c>
      <c r="J2257" s="508">
        <v>8.8810000000000002</v>
      </c>
      <c r="K2257" s="508">
        <v>8.9819999999999993</v>
      </c>
      <c r="L2257" s="508">
        <v>8.8810000000000002</v>
      </c>
      <c r="M2257" s="508">
        <v>8.9610000000000003</v>
      </c>
      <c r="N2257" s="508">
        <v>10.097</v>
      </c>
      <c r="O2257" s="508">
        <v>9.5969999999999995</v>
      </c>
      <c r="P2257" s="508">
        <v>12.042</v>
      </c>
      <c r="Q2257" s="508">
        <v>12.992000000000001</v>
      </c>
      <c r="R2257" s="508">
        <v>12.214</v>
      </c>
      <c r="S2257" s="508">
        <v>12.231</v>
      </c>
      <c r="T2257" s="508">
        <v>11.759</v>
      </c>
      <c r="U2257" s="508">
        <v>7.266</v>
      </c>
      <c r="V2257" s="508">
        <v>7.1189999999999998</v>
      </c>
      <c r="W2257" s="508">
        <v>7.2690000000000001</v>
      </c>
      <c r="X2257" s="508">
        <v>5.3380000000000001</v>
      </c>
      <c r="Y2257" s="508">
        <v>4.7119999999999997</v>
      </c>
      <c r="Z2257" s="508">
        <v>4.1340000000000003</v>
      </c>
      <c r="AA2257" s="508">
        <v>3.7530000000000001</v>
      </c>
      <c r="AB2257" s="508">
        <v>3.35</v>
      </c>
      <c r="AC2257" s="508">
        <v>3.0750000000000002</v>
      </c>
      <c r="AD2257" s="508">
        <v>2.6629999999999998</v>
      </c>
      <c r="AE2257" s="508">
        <v>3.1360000000000001</v>
      </c>
      <c r="AF2257" s="508">
        <v>1.6659999999999999</v>
      </c>
      <c r="AG2257" s="508">
        <v>1.617</v>
      </c>
      <c r="AH2257" s="508">
        <v>1.607</v>
      </c>
      <c r="AI2257" s="492">
        <v>1.5980000000000001</v>
      </c>
      <c r="AJ2257" s="485"/>
    </row>
    <row r="2258" spans="2:36">
      <c r="B2258" s="136" t="s">
        <v>479</v>
      </c>
      <c r="C2258" s="132" t="s">
        <v>1369</v>
      </c>
      <c r="D2258" s="132" t="s">
        <v>282</v>
      </c>
      <c r="E2258" s="508">
        <v>109.801</v>
      </c>
      <c r="F2258" s="508">
        <v>46.311</v>
      </c>
      <c r="G2258" s="508">
        <v>46.420999999999999</v>
      </c>
      <c r="H2258" s="508">
        <v>46.430999999999997</v>
      </c>
      <c r="I2258" s="508">
        <v>46.411999999999999</v>
      </c>
      <c r="J2258" s="508">
        <v>40.997</v>
      </c>
      <c r="K2258" s="508">
        <v>40.871000000000002</v>
      </c>
      <c r="L2258" s="508">
        <v>40.634</v>
      </c>
      <c r="M2258" s="508">
        <v>40.335999999999999</v>
      </c>
      <c r="N2258" s="508">
        <v>39.860999999999997</v>
      </c>
      <c r="O2258" s="508">
        <v>39.125</v>
      </c>
      <c r="P2258" s="508">
        <v>15.478</v>
      </c>
      <c r="Q2258" s="508">
        <v>16.966999999999999</v>
      </c>
      <c r="R2258" s="508">
        <v>16.241</v>
      </c>
      <c r="S2258" s="508">
        <v>16.158999999999999</v>
      </c>
      <c r="T2258" s="508">
        <v>15.723000000000001</v>
      </c>
      <c r="U2258" s="508">
        <v>9.4779999999999998</v>
      </c>
      <c r="V2258" s="508">
        <v>9.26</v>
      </c>
      <c r="W2258" s="508">
        <v>9.5079999999999991</v>
      </c>
      <c r="X2258" s="508">
        <v>6.8650000000000002</v>
      </c>
      <c r="Y2258" s="508">
        <v>6.0419999999999998</v>
      </c>
      <c r="Z2258" s="508">
        <v>4.7750000000000004</v>
      </c>
      <c r="AA2258" s="508">
        <v>4.407</v>
      </c>
      <c r="AB2258" s="508">
        <v>3.952</v>
      </c>
      <c r="AC2258" s="508">
        <v>3.6930000000000001</v>
      </c>
      <c r="AD2258" s="508">
        <v>2.94</v>
      </c>
      <c r="AE2258" s="508">
        <v>2.9329999999999998</v>
      </c>
      <c r="AF2258" s="508">
        <v>1.518</v>
      </c>
      <c r="AG2258" s="508">
        <v>1.5</v>
      </c>
      <c r="AH2258" s="508">
        <v>1.494</v>
      </c>
      <c r="AI2258" s="492">
        <v>1.488</v>
      </c>
      <c r="AJ2258" s="485"/>
    </row>
    <row r="2259" spans="2:36">
      <c r="B2259" s="136" t="s">
        <v>480</v>
      </c>
      <c r="C2259" s="132" t="s">
        <v>1369</v>
      </c>
      <c r="D2259" s="132" t="s">
        <v>282</v>
      </c>
      <c r="E2259" s="508">
        <v>122.11</v>
      </c>
      <c r="F2259" s="508">
        <v>49.749000000000002</v>
      </c>
      <c r="G2259" s="508">
        <v>49.871000000000002</v>
      </c>
      <c r="H2259" s="508">
        <v>49.883000000000003</v>
      </c>
      <c r="I2259" s="508">
        <v>49.862000000000002</v>
      </c>
      <c r="J2259" s="508">
        <v>44.893999999999998</v>
      </c>
      <c r="K2259" s="508">
        <v>44.747</v>
      </c>
      <c r="L2259" s="508">
        <v>44.476999999999997</v>
      </c>
      <c r="M2259" s="508">
        <v>44.125</v>
      </c>
      <c r="N2259" s="508">
        <v>42.884999999999998</v>
      </c>
      <c r="O2259" s="508">
        <v>42.076999999999998</v>
      </c>
      <c r="P2259" s="508">
        <v>17.465</v>
      </c>
      <c r="Q2259" s="508">
        <v>18.957000000000001</v>
      </c>
      <c r="R2259" s="508">
        <v>18.164999999999999</v>
      </c>
      <c r="S2259" s="508">
        <v>18.023</v>
      </c>
      <c r="T2259" s="508">
        <v>17.516999999999999</v>
      </c>
      <c r="U2259" s="508">
        <v>9.6270000000000007</v>
      </c>
      <c r="V2259" s="508">
        <v>9.3979999999999997</v>
      </c>
      <c r="W2259" s="508">
        <v>9.61</v>
      </c>
      <c r="X2259" s="508">
        <v>7.0510000000000002</v>
      </c>
      <c r="Y2259" s="508">
        <v>6.2629999999999999</v>
      </c>
      <c r="Z2259" s="508">
        <v>5.0090000000000003</v>
      </c>
      <c r="AA2259" s="508">
        <v>4.6420000000000003</v>
      </c>
      <c r="AB2259" s="508">
        <v>4.2060000000000004</v>
      </c>
      <c r="AC2259" s="508">
        <v>3.9470000000000001</v>
      </c>
      <c r="AD2259" s="508">
        <v>3.1709999999999998</v>
      </c>
      <c r="AE2259" s="508">
        <v>3.1240000000000001</v>
      </c>
      <c r="AF2259" s="508">
        <v>1.6819999999999999</v>
      </c>
      <c r="AG2259" s="508">
        <v>1.629</v>
      </c>
      <c r="AH2259" s="508">
        <v>1.62</v>
      </c>
      <c r="AI2259" s="492">
        <v>1.6120000000000001</v>
      </c>
      <c r="AJ2259" s="485"/>
    </row>
    <row r="2260" spans="2:36">
      <c r="B2260" s="136" t="s">
        <v>481</v>
      </c>
      <c r="C2260" s="132" t="s">
        <v>1369</v>
      </c>
      <c r="D2260" s="132" t="s">
        <v>282</v>
      </c>
      <c r="E2260" s="508">
        <v>108.98399999999999</v>
      </c>
      <c r="F2260" s="508">
        <v>44.667999999999999</v>
      </c>
      <c r="G2260" s="508">
        <v>44.738</v>
      </c>
      <c r="H2260" s="508">
        <v>44.744</v>
      </c>
      <c r="I2260" s="508">
        <v>44.731999999999999</v>
      </c>
      <c r="J2260" s="508">
        <v>39.572000000000003</v>
      </c>
      <c r="K2260" s="508">
        <v>39.457999999999998</v>
      </c>
      <c r="L2260" s="508">
        <v>39.22</v>
      </c>
      <c r="M2260" s="508">
        <v>38.936</v>
      </c>
      <c r="N2260" s="508">
        <v>38.767000000000003</v>
      </c>
      <c r="O2260" s="508">
        <v>38.015999999999998</v>
      </c>
      <c r="P2260" s="508">
        <v>15.18</v>
      </c>
      <c r="Q2260" s="508">
        <v>16.611000000000001</v>
      </c>
      <c r="R2260" s="508">
        <v>15.86</v>
      </c>
      <c r="S2260" s="508">
        <v>15.795999999999999</v>
      </c>
      <c r="T2260" s="508">
        <v>15.343999999999999</v>
      </c>
      <c r="U2260" s="508">
        <v>9.3840000000000003</v>
      </c>
      <c r="V2260" s="508">
        <v>9.1639999999999997</v>
      </c>
      <c r="W2260" s="508">
        <v>9.3840000000000003</v>
      </c>
      <c r="X2260" s="508">
        <v>6.7720000000000002</v>
      </c>
      <c r="Y2260" s="508">
        <v>5.9589999999999996</v>
      </c>
      <c r="Z2260" s="508">
        <v>4.7830000000000004</v>
      </c>
      <c r="AA2260" s="508">
        <v>4.3899999999999997</v>
      </c>
      <c r="AB2260" s="508">
        <v>3.9119999999999999</v>
      </c>
      <c r="AC2260" s="508">
        <v>3.6349999999999998</v>
      </c>
      <c r="AD2260" s="508">
        <v>2.93</v>
      </c>
      <c r="AE2260" s="508">
        <v>2.911</v>
      </c>
      <c r="AF2260" s="508">
        <v>1.554</v>
      </c>
      <c r="AG2260" s="508">
        <v>1.5249999999999999</v>
      </c>
      <c r="AH2260" s="508">
        <v>1.5449999999999999</v>
      </c>
      <c r="AI2260" s="492">
        <v>1.5369999999999999</v>
      </c>
      <c r="AJ2260" s="485"/>
    </row>
    <row r="2261" spans="2:36">
      <c r="B2261" s="136" t="s">
        <v>482</v>
      </c>
      <c r="C2261" s="132" t="s">
        <v>1369</v>
      </c>
      <c r="D2261" s="132" t="s">
        <v>282</v>
      </c>
      <c r="E2261" s="508">
        <v>108.24</v>
      </c>
      <c r="F2261" s="508">
        <v>47.673000000000002</v>
      </c>
      <c r="G2261" s="508">
        <v>41.936</v>
      </c>
      <c r="H2261" s="508">
        <v>42.133000000000003</v>
      </c>
      <c r="I2261" s="508">
        <v>42.417999999999999</v>
      </c>
      <c r="J2261" s="508">
        <v>37.808</v>
      </c>
      <c r="K2261" s="508">
        <v>37.731000000000002</v>
      </c>
      <c r="L2261" s="508">
        <v>37.643000000000001</v>
      </c>
      <c r="M2261" s="508">
        <v>37.478999999999999</v>
      </c>
      <c r="N2261" s="508">
        <v>36.527999999999999</v>
      </c>
      <c r="O2261" s="508">
        <v>35.901000000000003</v>
      </c>
      <c r="P2261" s="508">
        <v>14.709</v>
      </c>
      <c r="Q2261" s="508">
        <v>16.302</v>
      </c>
      <c r="R2261" s="508">
        <v>15.599</v>
      </c>
      <c r="S2261" s="508">
        <v>15.563000000000001</v>
      </c>
      <c r="T2261" s="508">
        <v>15.138999999999999</v>
      </c>
      <c r="U2261" s="508">
        <v>9.3360000000000003</v>
      </c>
      <c r="V2261" s="508">
        <v>9.1359999999999992</v>
      </c>
      <c r="W2261" s="508">
        <v>9.4030000000000005</v>
      </c>
      <c r="X2261" s="508">
        <v>6.8070000000000004</v>
      </c>
      <c r="Y2261" s="508">
        <v>5.9950000000000001</v>
      </c>
      <c r="Z2261" s="508">
        <v>4.8220000000000001</v>
      </c>
      <c r="AA2261" s="508">
        <v>4.4379999999999997</v>
      </c>
      <c r="AB2261" s="508">
        <v>3.9649999999999999</v>
      </c>
      <c r="AC2261" s="508">
        <v>3.6930000000000001</v>
      </c>
      <c r="AD2261" s="508">
        <v>2.9990000000000001</v>
      </c>
      <c r="AE2261" s="508">
        <v>3.0009999999999999</v>
      </c>
      <c r="AF2261" s="508">
        <v>1.599</v>
      </c>
      <c r="AG2261" s="508">
        <v>1.587</v>
      </c>
      <c r="AH2261" s="508">
        <v>1.6279999999999999</v>
      </c>
      <c r="AI2261" s="492">
        <v>1.6220000000000001</v>
      </c>
      <c r="AJ2261" s="485"/>
    </row>
    <row r="2262" spans="2:36">
      <c r="B2262" s="136" t="s">
        <v>483</v>
      </c>
      <c r="C2262" s="132" t="s">
        <v>1369</v>
      </c>
      <c r="D2262" s="132" t="s">
        <v>282</v>
      </c>
      <c r="E2262" s="508">
        <v>107.595</v>
      </c>
      <c r="F2262" s="508">
        <v>42.036000000000001</v>
      </c>
      <c r="G2262" s="508">
        <v>42.036000000000001</v>
      </c>
      <c r="H2262" s="508">
        <v>42.036000000000001</v>
      </c>
      <c r="I2262" s="508">
        <v>42.036000000000001</v>
      </c>
      <c r="J2262" s="508">
        <v>37.222999999999999</v>
      </c>
      <c r="K2262" s="508">
        <v>37.122</v>
      </c>
      <c r="L2262" s="508">
        <v>36.875</v>
      </c>
      <c r="M2262" s="508">
        <v>36.606999999999999</v>
      </c>
      <c r="N2262" s="508">
        <v>37.011000000000003</v>
      </c>
      <c r="O2262" s="508">
        <v>36.228000000000002</v>
      </c>
      <c r="P2262" s="508">
        <v>15.584</v>
      </c>
      <c r="Q2262" s="508">
        <v>16.984000000000002</v>
      </c>
      <c r="R2262" s="508">
        <v>16.175000000000001</v>
      </c>
      <c r="S2262" s="508">
        <v>16.103000000000002</v>
      </c>
      <c r="T2262" s="508">
        <v>15.614000000000001</v>
      </c>
      <c r="U2262" s="508">
        <v>9.4380000000000006</v>
      </c>
      <c r="V2262" s="508">
        <v>9.2170000000000005</v>
      </c>
      <c r="W2262" s="508">
        <v>9.4260000000000002</v>
      </c>
      <c r="X2262" s="508">
        <v>6.843</v>
      </c>
      <c r="Y2262" s="508">
        <v>6.0270000000000001</v>
      </c>
      <c r="Z2262" s="508">
        <v>4.95</v>
      </c>
      <c r="AA2262" s="508">
        <v>4.5410000000000004</v>
      </c>
      <c r="AB2262" s="508">
        <v>4.0590000000000002</v>
      </c>
      <c r="AC2262" s="508">
        <v>3.7690000000000001</v>
      </c>
      <c r="AD2262" s="508">
        <v>3.0739999999999998</v>
      </c>
      <c r="AE2262" s="508">
        <v>3.0329999999999999</v>
      </c>
      <c r="AF2262" s="508">
        <v>1.6659999999999999</v>
      </c>
      <c r="AG2262" s="508">
        <v>1.619</v>
      </c>
      <c r="AH2262" s="508">
        <v>1.609</v>
      </c>
      <c r="AI2262" s="492">
        <v>1.6</v>
      </c>
      <c r="AJ2262" s="485"/>
    </row>
    <row r="2263" spans="2:36">
      <c r="B2263" s="136" t="s">
        <v>484</v>
      </c>
      <c r="C2263" s="132" t="s">
        <v>1369</v>
      </c>
      <c r="D2263" s="132" t="s">
        <v>282</v>
      </c>
      <c r="E2263" s="508">
        <v>116.20099999999999</v>
      </c>
      <c r="F2263" s="508">
        <v>46.811999999999998</v>
      </c>
      <c r="G2263" s="508">
        <v>46.920999999999999</v>
      </c>
      <c r="H2263" s="508">
        <v>46.930999999999997</v>
      </c>
      <c r="I2263" s="508">
        <v>46.912999999999997</v>
      </c>
      <c r="J2263" s="508">
        <v>42.088999999999999</v>
      </c>
      <c r="K2263" s="508">
        <v>41.94</v>
      </c>
      <c r="L2263" s="508">
        <v>41.673000000000002</v>
      </c>
      <c r="M2263" s="508">
        <v>41.328000000000003</v>
      </c>
      <c r="N2263" s="508">
        <v>40.484999999999999</v>
      </c>
      <c r="O2263" s="508">
        <v>39.706000000000003</v>
      </c>
      <c r="P2263" s="508">
        <v>14.487</v>
      </c>
      <c r="Q2263" s="508">
        <v>15.582000000000001</v>
      </c>
      <c r="R2263" s="508">
        <v>14.826000000000001</v>
      </c>
      <c r="S2263" s="508">
        <v>14.75</v>
      </c>
      <c r="T2263" s="508">
        <v>14.263</v>
      </c>
      <c r="U2263" s="508">
        <v>8.1489999999999991</v>
      </c>
      <c r="V2263" s="508">
        <v>7.9710000000000001</v>
      </c>
      <c r="W2263" s="508">
        <v>8.1470000000000002</v>
      </c>
      <c r="X2263" s="508">
        <v>6.0209999999999999</v>
      </c>
      <c r="Y2263" s="508">
        <v>5.3460000000000001</v>
      </c>
      <c r="Z2263" s="508">
        <v>4.4409999999999998</v>
      </c>
      <c r="AA2263" s="508">
        <v>4.0860000000000003</v>
      </c>
      <c r="AB2263" s="508">
        <v>3.665</v>
      </c>
      <c r="AC2263" s="508">
        <v>3.411</v>
      </c>
      <c r="AD2263" s="508">
        <v>2.8250000000000002</v>
      </c>
      <c r="AE2263" s="508">
        <v>2.7770000000000001</v>
      </c>
      <c r="AF2263" s="508">
        <v>1.59</v>
      </c>
      <c r="AG2263" s="508">
        <v>1.607</v>
      </c>
      <c r="AH2263" s="508">
        <v>1.5980000000000001</v>
      </c>
      <c r="AI2263" s="492">
        <v>1.59</v>
      </c>
      <c r="AJ2263" s="485"/>
    </row>
    <row r="2264" spans="2:36">
      <c r="B2264" s="136" t="s">
        <v>486</v>
      </c>
      <c r="C2264" s="132" t="s">
        <v>1369</v>
      </c>
      <c r="D2264" s="132" t="s">
        <v>282</v>
      </c>
      <c r="E2264" s="508">
        <v>105.21299999999999</v>
      </c>
      <c r="F2264" s="508">
        <v>42.755000000000003</v>
      </c>
      <c r="G2264" s="508">
        <v>42.811</v>
      </c>
      <c r="H2264" s="508">
        <v>42.816000000000003</v>
      </c>
      <c r="I2264" s="508">
        <v>42.805999999999997</v>
      </c>
      <c r="J2264" s="508">
        <v>37.941000000000003</v>
      </c>
      <c r="K2264" s="508">
        <v>37.828000000000003</v>
      </c>
      <c r="L2264" s="508">
        <v>37.591999999999999</v>
      </c>
      <c r="M2264" s="508">
        <v>37.314999999999998</v>
      </c>
      <c r="N2264" s="508">
        <v>37.113</v>
      </c>
      <c r="O2264" s="508">
        <v>36.378999999999998</v>
      </c>
      <c r="P2264" s="508">
        <v>15.090999999999999</v>
      </c>
      <c r="Q2264" s="508">
        <v>16.518999999999998</v>
      </c>
      <c r="R2264" s="508">
        <v>15.781000000000001</v>
      </c>
      <c r="S2264" s="508">
        <v>15.702</v>
      </c>
      <c r="T2264" s="508">
        <v>15.255000000000001</v>
      </c>
      <c r="U2264" s="508">
        <v>9.2609999999999992</v>
      </c>
      <c r="V2264" s="508">
        <v>9.0470000000000006</v>
      </c>
      <c r="W2264" s="508">
        <v>9.2729999999999997</v>
      </c>
      <c r="X2264" s="508">
        <v>6.7190000000000003</v>
      </c>
      <c r="Y2264" s="508">
        <v>5.92</v>
      </c>
      <c r="Z2264" s="508">
        <v>4.7430000000000003</v>
      </c>
      <c r="AA2264" s="508">
        <v>4.37</v>
      </c>
      <c r="AB2264" s="508">
        <v>3.919</v>
      </c>
      <c r="AC2264" s="508">
        <v>3.6560000000000001</v>
      </c>
      <c r="AD2264" s="508">
        <v>2.9430000000000001</v>
      </c>
      <c r="AE2264" s="508">
        <v>2.9220000000000002</v>
      </c>
      <c r="AF2264" s="508">
        <v>1.5529999999999999</v>
      </c>
      <c r="AG2264" s="508">
        <v>1.5229999999999999</v>
      </c>
      <c r="AH2264" s="508">
        <v>1.528</v>
      </c>
      <c r="AI2264" s="492">
        <v>1.5209999999999999</v>
      </c>
      <c r="AJ2264" s="485"/>
    </row>
    <row r="2265" spans="2:36">
      <c r="B2265" s="136" t="s">
        <v>487</v>
      </c>
      <c r="C2265" s="132" t="s">
        <v>1369</v>
      </c>
      <c r="D2265" s="132" t="s">
        <v>282</v>
      </c>
      <c r="E2265" s="508">
        <v>122.691</v>
      </c>
      <c r="F2265" s="508">
        <v>50.145000000000003</v>
      </c>
      <c r="G2265" s="508">
        <v>44.21</v>
      </c>
      <c r="H2265" s="508">
        <v>44.212000000000003</v>
      </c>
      <c r="I2265" s="508">
        <v>44.207000000000001</v>
      </c>
      <c r="J2265" s="508">
        <v>39.424999999999997</v>
      </c>
      <c r="K2265" s="508">
        <v>39.31</v>
      </c>
      <c r="L2265" s="508">
        <v>39.055999999999997</v>
      </c>
      <c r="M2265" s="508">
        <v>38.765000000000001</v>
      </c>
      <c r="N2265" s="508">
        <v>38.475999999999999</v>
      </c>
      <c r="O2265" s="508">
        <v>37.686999999999998</v>
      </c>
      <c r="P2265" s="508">
        <v>16.106000000000002</v>
      </c>
      <c r="Q2265" s="508">
        <v>17.568999999999999</v>
      </c>
      <c r="R2265" s="508">
        <v>16.762</v>
      </c>
      <c r="S2265" s="508">
        <v>16.670000000000002</v>
      </c>
      <c r="T2265" s="508">
        <v>16.175999999999998</v>
      </c>
      <c r="U2265" s="508">
        <v>9.7330000000000005</v>
      </c>
      <c r="V2265" s="508">
        <v>9.5009999999999994</v>
      </c>
      <c r="W2265" s="508">
        <v>9.7100000000000009</v>
      </c>
      <c r="X2265" s="508">
        <v>7.07</v>
      </c>
      <c r="Y2265" s="508">
        <v>6.2480000000000002</v>
      </c>
      <c r="Z2265" s="508">
        <v>5.0780000000000003</v>
      </c>
      <c r="AA2265" s="508">
        <v>4.6710000000000003</v>
      </c>
      <c r="AB2265" s="508">
        <v>4.1929999999999996</v>
      </c>
      <c r="AC2265" s="508">
        <v>3.9060000000000001</v>
      </c>
      <c r="AD2265" s="508">
        <v>3.1789999999999998</v>
      </c>
      <c r="AE2265" s="508">
        <v>3.2639999999999998</v>
      </c>
      <c r="AF2265" s="508">
        <v>1.74</v>
      </c>
      <c r="AG2265" s="508">
        <v>1.6890000000000001</v>
      </c>
      <c r="AH2265" s="508">
        <v>1.6779999999999999</v>
      </c>
      <c r="AI2265" s="492">
        <v>1.67</v>
      </c>
      <c r="AJ2265" s="485"/>
    </row>
    <row r="2266" spans="2:36">
      <c r="B2266" s="136" t="s">
        <v>488</v>
      </c>
      <c r="C2266" s="132" t="s">
        <v>1369</v>
      </c>
      <c r="D2266" s="132" t="s">
        <v>282</v>
      </c>
      <c r="E2266" s="508">
        <v>115.467</v>
      </c>
      <c r="F2266" s="508">
        <v>47.444000000000003</v>
      </c>
      <c r="G2266" s="508">
        <v>47.558999999999997</v>
      </c>
      <c r="H2266" s="508">
        <v>47.569000000000003</v>
      </c>
      <c r="I2266" s="508">
        <v>47.548999999999999</v>
      </c>
      <c r="J2266" s="508">
        <v>42.505000000000003</v>
      </c>
      <c r="K2266" s="508">
        <v>42.366999999999997</v>
      </c>
      <c r="L2266" s="508">
        <v>42.115000000000002</v>
      </c>
      <c r="M2266" s="508">
        <v>41.790999999999997</v>
      </c>
      <c r="N2266" s="508">
        <v>40.847000000000001</v>
      </c>
      <c r="O2266" s="508">
        <v>40.082000000000001</v>
      </c>
      <c r="P2266" s="508">
        <v>16.239000000000001</v>
      </c>
      <c r="Q2266" s="508">
        <v>17.728000000000002</v>
      </c>
      <c r="R2266" s="508">
        <v>16.98</v>
      </c>
      <c r="S2266" s="508">
        <v>16.87</v>
      </c>
      <c r="T2266" s="508">
        <v>16.405000000000001</v>
      </c>
      <c r="U2266" s="508">
        <v>9.9139999999999997</v>
      </c>
      <c r="V2266" s="508">
        <v>9.6720000000000006</v>
      </c>
      <c r="W2266" s="508">
        <v>9.8829999999999991</v>
      </c>
      <c r="X2266" s="508">
        <v>7.1660000000000004</v>
      </c>
      <c r="Y2266" s="508">
        <v>6.335</v>
      </c>
      <c r="Z2266" s="508">
        <v>5.0439999999999996</v>
      </c>
      <c r="AA2266" s="508">
        <v>4.649</v>
      </c>
      <c r="AB2266" s="508">
        <v>4.1790000000000003</v>
      </c>
      <c r="AC2266" s="508">
        <v>3.9020000000000001</v>
      </c>
      <c r="AD2266" s="508">
        <v>3.1230000000000002</v>
      </c>
      <c r="AE2266" s="508">
        <v>3.0859999999999999</v>
      </c>
      <c r="AF2266" s="508">
        <v>1.639</v>
      </c>
      <c r="AG2266" s="508">
        <v>1.597</v>
      </c>
      <c r="AH2266" s="508">
        <v>1.5880000000000001</v>
      </c>
      <c r="AI2266" s="492">
        <v>1.58</v>
      </c>
      <c r="AJ2266" s="485"/>
    </row>
    <row r="2267" spans="2:36">
      <c r="B2267" s="136" t="s">
        <v>489</v>
      </c>
      <c r="C2267" s="132" t="s">
        <v>1369</v>
      </c>
      <c r="D2267" s="132" t="s">
        <v>282</v>
      </c>
      <c r="E2267" s="508">
        <v>121.41200000000001</v>
      </c>
      <c r="F2267" s="508">
        <v>48.853000000000002</v>
      </c>
      <c r="G2267" s="508">
        <v>48.965000000000003</v>
      </c>
      <c r="H2267" s="508">
        <v>48.975000000000001</v>
      </c>
      <c r="I2267" s="508">
        <v>48.956000000000003</v>
      </c>
      <c r="J2267" s="508">
        <v>43.575000000000003</v>
      </c>
      <c r="K2267" s="508">
        <v>43.430999999999997</v>
      </c>
      <c r="L2267" s="508">
        <v>43.16</v>
      </c>
      <c r="M2267" s="508">
        <v>42.814999999999998</v>
      </c>
      <c r="N2267" s="508">
        <v>42.174999999999997</v>
      </c>
      <c r="O2267" s="508">
        <v>41.37</v>
      </c>
      <c r="P2267" s="508">
        <v>16.599</v>
      </c>
      <c r="Q2267" s="508">
        <v>17.983000000000001</v>
      </c>
      <c r="R2267" s="508">
        <v>17.187000000000001</v>
      </c>
      <c r="S2267" s="508">
        <v>17.065999999999999</v>
      </c>
      <c r="T2267" s="508">
        <v>16.564</v>
      </c>
      <c r="U2267" s="508">
        <v>9.3019999999999996</v>
      </c>
      <c r="V2267" s="508">
        <v>9.0809999999999995</v>
      </c>
      <c r="W2267" s="508">
        <v>9.2859999999999996</v>
      </c>
      <c r="X2267" s="508">
        <v>6.7910000000000004</v>
      </c>
      <c r="Y2267" s="508">
        <v>6.0069999999999997</v>
      </c>
      <c r="Z2267" s="508">
        <v>4.8559999999999999</v>
      </c>
      <c r="AA2267" s="508">
        <v>4.4720000000000004</v>
      </c>
      <c r="AB2267" s="508">
        <v>4.0270000000000001</v>
      </c>
      <c r="AC2267" s="508">
        <v>3.7610000000000001</v>
      </c>
      <c r="AD2267" s="508">
        <v>3.0390000000000001</v>
      </c>
      <c r="AE2267" s="508">
        <v>2.9889999999999999</v>
      </c>
      <c r="AF2267" s="508">
        <v>1.633</v>
      </c>
      <c r="AG2267" s="508">
        <v>1.591</v>
      </c>
      <c r="AH2267" s="508">
        <v>1.581</v>
      </c>
      <c r="AI2267" s="492">
        <v>1.573</v>
      </c>
      <c r="AJ2267" s="485"/>
    </row>
    <row r="2268" spans="2:36">
      <c r="B2268" s="136" t="s">
        <v>490</v>
      </c>
      <c r="C2268" s="132" t="s">
        <v>1369</v>
      </c>
      <c r="D2268" s="132" t="s">
        <v>282</v>
      </c>
      <c r="E2268" s="508">
        <v>121.532</v>
      </c>
      <c r="F2268" s="508">
        <v>49.512</v>
      </c>
      <c r="G2268" s="508">
        <v>49.634</v>
      </c>
      <c r="H2268" s="508">
        <v>49.645000000000003</v>
      </c>
      <c r="I2268" s="508">
        <v>49.624000000000002</v>
      </c>
      <c r="J2268" s="508">
        <v>44.656999999999996</v>
      </c>
      <c r="K2268" s="508">
        <v>44.499000000000002</v>
      </c>
      <c r="L2268" s="508">
        <v>44.218000000000004</v>
      </c>
      <c r="M2268" s="508">
        <v>43.853999999999999</v>
      </c>
      <c r="N2268" s="508">
        <v>42.610999999999997</v>
      </c>
      <c r="O2268" s="508">
        <v>41.795000000000002</v>
      </c>
      <c r="P2268" s="508">
        <v>17.440000000000001</v>
      </c>
      <c r="Q2268" s="508">
        <v>18.901</v>
      </c>
      <c r="R2268" s="508">
        <v>18.103000000000002</v>
      </c>
      <c r="S2268" s="508">
        <v>17.949000000000002</v>
      </c>
      <c r="T2268" s="508">
        <v>17.439</v>
      </c>
      <c r="U2268" s="508">
        <v>10.265000000000001</v>
      </c>
      <c r="V2268" s="508">
        <v>10.01</v>
      </c>
      <c r="W2268" s="508">
        <v>10.211</v>
      </c>
      <c r="X2268" s="508">
        <v>7.476</v>
      </c>
      <c r="Y2268" s="508">
        <v>6.6379999999999999</v>
      </c>
      <c r="Z2268" s="508">
        <v>5.3220000000000001</v>
      </c>
      <c r="AA2268" s="508">
        <v>4.92</v>
      </c>
      <c r="AB2268" s="508">
        <v>4.4470000000000001</v>
      </c>
      <c r="AC2268" s="508">
        <v>4.165</v>
      </c>
      <c r="AD2268" s="508">
        <v>3.3479999999999999</v>
      </c>
      <c r="AE2268" s="508">
        <v>3.2829999999999999</v>
      </c>
      <c r="AF2268" s="508">
        <v>1.782</v>
      </c>
      <c r="AG2268" s="508">
        <v>1.716</v>
      </c>
      <c r="AH2268" s="508">
        <v>1.7050000000000001</v>
      </c>
      <c r="AI2268" s="492">
        <v>1.6950000000000001</v>
      </c>
      <c r="AJ2268" s="485"/>
    </row>
    <row r="2269" spans="2:36">
      <c r="B2269" s="136" t="s">
        <v>435</v>
      </c>
      <c r="C2269" s="132" t="s">
        <v>1370</v>
      </c>
      <c r="D2269" s="132" t="s">
        <v>282</v>
      </c>
      <c r="E2269" s="508">
        <v>11.712</v>
      </c>
      <c r="F2269" s="508">
        <v>8.99</v>
      </c>
      <c r="G2269" s="508">
        <v>7.81</v>
      </c>
      <c r="H2269" s="508">
        <v>7.351</v>
      </c>
      <c r="I2269" s="508">
        <v>6.38</v>
      </c>
      <c r="J2269" s="508">
        <v>6.7110000000000003</v>
      </c>
      <c r="K2269" s="508">
        <v>6.3019999999999996</v>
      </c>
      <c r="L2269" s="508">
        <v>6.3570000000000002</v>
      </c>
      <c r="M2269" s="508">
        <v>6.3789999999999996</v>
      </c>
      <c r="N2269" s="508">
        <v>6.2640000000000002</v>
      </c>
      <c r="O2269" s="508">
        <v>6.0369999999999999</v>
      </c>
      <c r="P2269" s="508">
        <v>6.266</v>
      </c>
      <c r="Q2269" s="508">
        <v>6.2409999999999997</v>
      </c>
      <c r="R2269" s="508">
        <v>6.1760000000000002</v>
      </c>
      <c r="S2269" s="508">
        <v>6.1150000000000002</v>
      </c>
      <c r="T2269" s="508">
        <v>5.883</v>
      </c>
      <c r="U2269" s="508">
        <v>6.0990000000000002</v>
      </c>
      <c r="V2269" s="508">
        <v>6.1040000000000001</v>
      </c>
      <c r="W2269" s="508">
        <v>2.9809999999999999</v>
      </c>
      <c r="X2269" s="508">
        <v>2.9620000000000002</v>
      </c>
      <c r="Y2269" s="508">
        <v>2.9350000000000001</v>
      </c>
      <c r="Z2269" s="508">
        <v>2.9140000000000001</v>
      </c>
      <c r="AA2269" s="508">
        <v>0.80400000000000005</v>
      </c>
      <c r="AB2269" s="508">
        <v>0.78900000000000003</v>
      </c>
      <c r="AC2269" s="508">
        <v>0.77300000000000002</v>
      </c>
      <c r="AD2269" s="508">
        <v>0.57499999999999996</v>
      </c>
      <c r="AE2269" s="508">
        <v>0.56399999999999995</v>
      </c>
      <c r="AF2269" s="508">
        <v>0.49399999999999999</v>
      </c>
      <c r="AG2269" s="508">
        <v>0.48899999999999999</v>
      </c>
      <c r="AH2269" s="508">
        <v>0.48899999999999999</v>
      </c>
      <c r="AI2269" s="492">
        <v>0.48899999999999999</v>
      </c>
      <c r="AJ2269" s="485"/>
    </row>
    <row r="2270" spans="2:36">
      <c r="B2270" s="136" t="s">
        <v>436</v>
      </c>
      <c r="C2270" s="132" t="s">
        <v>1370</v>
      </c>
      <c r="D2270" s="132" t="s">
        <v>282</v>
      </c>
      <c r="E2270" s="508">
        <v>10.842000000000001</v>
      </c>
      <c r="F2270" s="508">
        <v>8.4339999999999993</v>
      </c>
      <c r="G2270" s="508">
        <v>7.3710000000000004</v>
      </c>
      <c r="H2270" s="508">
        <v>6.9829999999999997</v>
      </c>
      <c r="I2270" s="508">
        <v>6.0750000000000002</v>
      </c>
      <c r="J2270" s="508">
        <v>6.4180000000000001</v>
      </c>
      <c r="K2270" s="508">
        <v>6.0069999999999997</v>
      </c>
      <c r="L2270" s="508">
        <v>6.0869999999999997</v>
      </c>
      <c r="M2270" s="508">
        <v>6.1280000000000001</v>
      </c>
      <c r="N2270" s="508">
        <v>6.0209999999999999</v>
      </c>
      <c r="O2270" s="508">
        <v>5.81</v>
      </c>
      <c r="P2270" s="508">
        <v>6.0449999999999999</v>
      </c>
      <c r="Q2270" s="508">
        <v>6.0259999999999998</v>
      </c>
      <c r="R2270" s="508">
        <v>5.9640000000000004</v>
      </c>
      <c r="S2270" s="508">
        <v>5.907</v>
      </c>
      <c r="T2270" s="508">
        <v>5.6749999999999998</v>
      </c>
      <c r="U2270" s="508">
        <v>5.907</v>
      </c>
      <c r="V2270" s="508">
        <v>5.9189999999999996</v>
      </c>
      <c r="W2270" s="508">
        <v>2.8260000000000001</v>
      </c>
      <c r="X2270" s="508">
        <v>2.81</v>
      </c>
      <c r="Y2270" s="508">
        <v>2.786</v>
      </c>
      <c r="Z2270" s="508">
        <v>2.7669999999999999</v>
      </c>
      <c r="AA2270" s="508">
        <v>0.749</v>
      </c>
      <c r="AB2270" s="508">
        <v>0.73699999999999999</v>
      </c>
      <c r="AC2270" s="508">
        <v>0.72199999999999998</v>
      </c>
      <c r="AD2270" s="508">
        <v>0.53400000000000003</v>
      </c>
      <c r="AE2270" s="508">
        <v>0.52400000000000002</v>
      </c>
      <c r="AF2270" s="508">
        <v>0.45800000000000002</v>
      </c>
      <c r="AG2270" s="508">
        <v>0.45300000000000001</v>
      </c>
      <c r="AH2270" s="508">
        <v>0.45300000000000001</v>
      </c>
      <c r="AI2270" s="492">
        <v>0.45300000000000001</v>
      </c>
      <c r="AJ2270" s="485"/>
    </row>
    <row r="2271" spans="2:36">
      <c r="B2271" s="136" t="s">
        <v>437</v>
      </c>
      <c r="C2271" s="132" t="s">
        <v>1370</v>
      </c>
      <c r="D2271" s="132" t="s">
        <v>282</v>
      </c>
      <c r="E2271" s="508">
        <v>11.760999999999999</v>
      </c>
      <c r="F2271" s="508">
        <v>9.0269999999999992</v>
      </c>
      <c r="G2271" s="508">
        <v>7.8380000000000001</v>
      </c>
      <c r="H2271" s="508">
        <v>7.38</v>
      </c>
      <c r="I2271" s="508">
        <v>6.3959999999999999</v>
      </c>
      <c r="J2271" s="508">
        <v>6.7370000000000001</v>
      </c>
      <c r="K2271" s="508">
        <v>6.3179999999999996</v>
      </c>
      <c r="L2271" s="508">
        <v>6.3789999999999996</v>
      </c>
      <c r="M2271" s="508">
        <v>6.4050000000000002</v>
      </c>
      <c r="N2271" s="508">
        <v>6.2889999999999997</v>
      </c>
      <c r="O2271" s="508">
        <v>6.0579999999999998</v>
      </c>
      <c r="P2271" s="508">
        <v>6.2939999999999996</v>
      </c>
      <c r="Q2271" s="508">
        <v>6.2690000000000001</v>
      </c>
      <c r="R2271" s="508">
        <v>6.2030000000000003</v>
      </c>
      <c r="S2271" s="508">
        <v>6.1420000000000003</v>
      </c>
      <c r="T2271" s="508">
        <v>5.9039999999999999</v>
      </c>
      <c r="U2271" s="508">
        <v>6.1280000000000001</v>
      </c>
      <c r="V2271" s="508">
        <v>6.1349999999999998</v>
      </c>
      <c r="W2271" s="508">
        <v>2.9590000000000001</v>
      </c>
      <c r="X2271" s="508">
        <v>2.9390000000000001</v>
      </c>
      <c r="Y2271" s="508">
        <v>2.9119999999999999</v>
      </c>
      <c r="Z2271" s="508">
        <v>2.891</v>
      </c>
      <c r="AA2271" s="508">
        <v>0.8</v>
      </c>
      <c r="AB2271" s="508">
        <v>0.78500000000000003</v>
      </c>
      <c r="AC2271" s="508">
        <v>0.76900000000000002</v>
      </c>
      <c r="AD2271" s="508">
        <v>0.57299999999999995</v>
      </c>
      <c r="AE2271" s="508">
        <v>0.56200000000000006</v>
      </c>
      <c r="AF2271" s="508">
        <v>0.49199999999999999</v>
      </c>
      <c r="AG2271" s="508">
        <v>0.48699999999999999</v>
      </c>
      <c r="AH2271" s="508">
        <v>0.48699999999999999</v>
      </c>
      <c r="AI2271" s="492">
        <v>0.48699999999999999</v>
      </c>
      <c r="AJ2271" s="485"/>
    </row>
    <row r="2272" spans="2:36">
      <c r="B2272" s="136" t="s">
        <v>438</v>
      </c>
      <c r="C2272" s="132" t="s">
        <v>1370</v>
      </c>
      <c r="D2272" s="132" t="s">
        <v>282</v>
      </c>
      <c r="E2272" s="508">
        <v>10.746</v>
      </c>
      <c r="F2272" s="508">
        <v>8.3610000000000007</v>
      </c>
      <c r="G2272" s="508">
        <v>7.306</v>
      </c>
      <c r="H2272" s="508">
        <v>6.923</v>
      </c>
      <c r="I2272" s="508">
        <v>6.0209999999999999</v>
      </c>
      <c r="J2272" s="508">
        <v>6.3630000000000004</v>
      </c>
      <c r="K2272" s="508">
        <v>5.9550000000000001</v>
      </c>
      <c r="L2272" s="508">
        <v>6.0350000000000001</v>
      </c>
      <c r="M2272" s="508">
        <v>6.0759999999999996</v>
      </c>
      <c r="N2272" s="508">
        <v>5.97</v>
      </c>
      <c r="O2272" s="508">
        <v>5.76</v>
      </c>
      <c r="P2272" s="508">
        <v>5.9939999999999998</v>
      </c>
      <c r="Q2272" s="508">
        <v>5.9749999999999996</v>
      </c>
      <c r="R2272" s="508">
        <v>5.9139999999999997</v>
      </c>
      <c r="S2272" s="508">
        <v>5.8570000000000002</v>
      </c>
      <c r="T2272" s="508">
        <v>5.6269999999999998</v>
      </c>
      <c r="U2272" s="508">
        <v>5.8579999999999997</v>
      </c>
      <c r="V2272" s="508">
        <v>5.87</v>
      </c>
      <c r="W2272" s="508">
        <v>2.8090000000000002</v>
      </c>
      <c r="X2272" s="508">
        <v>2.7930000000000001</v>
      </c>
      <c r="Y2272" s="508">
        <v>2.77</v>
      </c>
      <c r="Z2272" s="508">
        <v>2.75</v>
      </c>
      <c r="AA2272" s="508">
        <v>0.74399999999999999</v>
      </c>
      <c r="AB2272" s="508">
        <v>0.73199999999999998</v>
      </c>
      <c r="AC2272" s="508">
        <v>0.71799999999999997</v>
      </c>
      <c r="AD2272" s="508">
        <v>0.53</v>
      </c>
      <c r="AE2272" s="508">
        <v>0.52100000000000002</v>
      </c>
      <c r="AF2272" s="508">
        <v>0.45500000000000002</v>
      </c>
      <c r="AG2272" s="508">
        <v>0.45</v>
      </c>
      <c r="AH2272" s="508">
        <v>0.44900000000000001</v>
      </c>
      <c r="AI2272" s="492">
        <v>0.44900000000000001</v>
      </c>
      <c r="AJ2272" s="485"/>
    </row>
    <row r="2273" spans="2:36">
      <c r="B2273" s="136" t="s">
        <v>439</v>
      </c>
      <c r="C2273" s="132" t="s">
        <v>1370</v>
      </c>
      <c r="D2273" s="132" t="s">
        <v>282</v>
      </c>
      <c r="E2273" s="508">
        <v>12.242000000000001</v>
      </c>
      <c r="F2273" s="508">
        <v>9.3059999999999992</v>
      </c>
      <c r="G2273" s="508">
        <v>8.0389999999999997</v>
      </c>
      <c r="H2273" s="508">
        <v>7.5389999999999997</v>
      </c>
      <c r="I2273" s="508">
        <v>6.5069999999999997</v>
      </c>
      <c r="J2273" s="508">
        <v>6.8479999999999999</v>
      </c>
      <c r="K2273" s="508">
        <v>6.4219999999999997</v>
      </c>
      <c r="L2273" s="508">
        <v>6.4720000000000004</v>
      </c>
      <c r="M2273" s="508">
        <v>6.4889999999999999</v>
      </c>
      <c r="N2273" s="508">
        <v>6.367</v>
      </c>
      <c r="O2273" s="508">
        <v>6.125</v>
      </c>
      <c r="P2273" s="508">
        <v>6.3630000000000004</v>
      </c>
      <c r="Q2273" s="508">
        <v>6.3339999999999996</v>
      </c>
      <c r="R2273" s="508">
        <v>6.2649999999999997</v>
      </c>
      <c r="S2273" s="508">
        <v>6.2009999999999996</v>
      </c>
      <c r="T2273" s="508">
        <v>5.9589999999999996</v>
      </c>
      <c r="U2273" s="508">
        <v>6.1790000000000003</v>
      </c>
      <c r="V2273" s="508">
        <v>6.1820000000000004</v>
      </c>
      <c r="W2273" s="508">
        <v>3.0030000000000001</v>
      </c>
      <c r="X2273" s="508">
        <v>2.9809999999999999</v>
      </c>
      <c r="Y2273" s="508">
        <v>2.9529999999999998</v>
      </c>
      <c r="Z2273" s="508">
        <v>2.93</v>
      </c>
      <c r="AA2273" s="508">
        <v>0.82399999999999995</v>
      </c>
      <c r="AB2273" s="508">
        <v>0.80800000000000005</v>
      </c>
      <c r="AC2273" s="508">
        <v>0.79100000000000004</v>
      </c>
      <c r="AD2273" s="508">
        <v>0.59199999999999997</v>
      </c>
      <c r="AE2273" s="508">
        <v>0.57999999999999996</v>
      </c>
      <c r="AF2273" s="508">
        <v>0.50900000000000001</v>
      </c>
      <c r="AG2273" s="508">
        <v>0.504</v>
      </c>
      <c r="AH2273" s="508">
        <v>0.504</v>
      </c>
      <c r="AI2273" s="492">
        <v>0.504</v>
      </c>
      <c r="AJ2273" s="485"/>
    </row>
    <row r="2274" spans="2:36">
      <c r="B2274" s="136" t="s">
        <v>440</v>
      </c>
      <c r="C2274" s="132" t="s">
        <v>1370</v>
      </c>
      <c r="D2274" s="132" t="s">
        <v>282</v>
      </c>
      <c r="E2274" s="508">
        <v>11.657999999999999</v>
      </c>
      <c r="F2274" s="508">
        <v>8.9459999999999997</v>
      </c>
      <c r="G2274" s="508">
        <v>7.766</v>
      </c>
      <c r="H2274" s="508">
        <v>7.3129999999999997</v>
      </c>
      <c r="I2274" s="508">
        <v>6.3339999999999996</v>
      </c>
      <c r="J2274" s="508">
        <v>6.6749999999999998</v>
      </c>
      <c r="K2274" s="508">
        <v>6.2569999999999997</v>
      </c>
      <c r="L2274" s="508">
        <v>6.319</v>
      </c>
      <c r="M2274" s="508">
        <v>6.3449999999999998</v>
      </c>
      <c r="N2274" s="508">
        <v>6.23</v>
      </c>
      <c r="O2274" s="508">
        <v>6.0010000000000003</v>
      </c>
      <c r="P2274" s="508">
        <v>6.2370000000000001</v>
      </c>
      <c r="Q2274" s="508">
        <v>6.2119999999999997</v>
      </c>
      <c r="R2274" s="508">
        <v>6.1470000000000002</v>
      </c>
      <c r="S2274" s="508">
        <v>6.085</v>
      </c>
      <c r="T2274" s="508">
        <v>5.8479999999999999</v>
      </c>
      <c r="U2274" s="508">
        <v>6.0720000000000001</v>
      </c>
      <c r="V2274" s="508">
        <v>6.0789999999999997</v>
      </c>
      <c r="W2274" s="508">
        <v>2.9359999999999999</v>
      </c>
      <c r="X2274" s="508">
        <v>2.9169999999999998</v>
      </c>
      <c r="Y2274" s="508">
        <v>2.89</v>
      </c>
      <c r="Z2274" s="508">
        <v>2.8690000000000002</v>
      </c>
      <c r="AA2274" s="508">
        <v>0.79400000000000004</v>
      </c>
      <c r="AB2274" s="508">
        <v>0.77900000000000003</v>
      </c>
      <c r="AC2274" s="508">
        <v>0.76300000000000001</v>
      </c>
      <c r="AD2274" s="508">
        <v>0.56899999999999995</v>
      </c>
      <c r="AE2274" s="508">
        <v>0.55800000000000005</v>
      </c>
      <c r="AF2274" s="508">
        <v>0.48799999999999999</v>
      </c>
      <c r="AG2274" s="508">
        <v>0.48399999999999999</v>
      </c>
      <c r="AH2274" s="508">
        <v>0.48299999999999998</v>
      </c>
      <c r="AI2274" s="492">
        <v>0.48299999999999998</v>
      </c>
      <c r="AJ2274" s="485"/>
    </row>
    <row r="2275" spans="2:36">
      <c r="B2275" s="136" t="s">
        <v>441</v>
      </c>
      <c r="C2275" s="132" t="s">
        <v>1370</v>
      </c>
      <c r="D2275" s="132" t="s">
        <v>282</v>
      </c>
      <c r="E2275" s="508">
        <v>12.462</v>
      </c>
      <c r="F2275" s="508">
        <v>9.4380000000000006</v>
      </c>
      <c r="G2275" s="508">
        <v>8.1359999999999992</v>
      </c>
      <c r="H2275" s="508">
        <v>7.617</v>
      </c>
      <c r="I2275" s="508">
        <v>6.5640000000000001</v>
      </c>
      <c r="J2275" s="508">
        <v>6.9050000000000002</v>
      </c>
      <c r="K2275" s="508">
        <v>6.476</v>
      </c>
      <c r="L2275" s="508">
        <v>6.5209999999999999</v>
      </c>
      <c r="M2275" s="508">
        <v>6.5350000000000001</v>
      </c>
      <c r="N2275" s="508">
        <v>6.41</v>
      </c>
      <c r="O2275" s="508">
        <v>6.1619999999999999</v>
      </c>
      <c r="P2275" s="508">
        <v>6.4020000000000001</v>
      </c>
      <c r="Q2275" s="508">
        <v>6.3710000000000004</v>
      </c>
      <c r="R2275" s="508">
        <v>6.3010000000000002</v>
      </c>
      <c r="S2275" s="508">
        <v>6.2359999999999998</v>
      </c>
      <c r="T2275" s="508">
        <v>5.9909999999999997</v>
      </c>
      <c r="U2275" s="508">
        <v>6.21</v>
      </c>
      <c r="V2275" s="508">
        <v>6.2119999999999997</v>
      </c>
      <c r="W2275" s="508">
        <v>3.024</v>
      </c>
      <c r="X2275" s="508">
        <v>3.0019999999999998</v>
      </c>
      <c r="Y2275" s="508">
        <v>2.9729999999999999</v>
      </c>
      <c r="Z2275" s="508">
        <v>2.9489999999999998</v>
      </c>
      <c r="AA2275" s="508">
        <v>0.83399999999999996</v>
      </c>
      <c r="AB2275" s="508">
        <v>0.81799999999999995</v>
      </c>
      <c r="AC2275" s="508">
        <v>0.80100000000000005</v>
      </c>
      <c r="AD2275" s="508">
        <v>0.60099999999999998</v>
      </c>
      <c r="AE2275" s="508">
        <v>0.58899999999999997</v>
      </c>
      <c r="AF2275" s="508">
        <v>0.51700000000000002</v>
      </c>
      <c r="AG2275" s="508">
        <v>0.51200000000000001</v>
      </c>
      <c r="AH2275" s="508">
        <v>0.51200000000000001</v>
      </c>
      <c r="AI2275" s="492">
        <v>0.51200000000000001</v>
      </c>
      <c r="AJ2275" s="485"/>
    </row>
    <row r="2276" spans="2:36">
      <c r="B2276" s="136" t="s">
        <v>443</v>
      </c>
      <c r="C2276" s="132" t="s">
        <v>1370</v>
      </c>
      <c r="D2276" s="132" t="s">
        <v>282</v>
      </c>
      <c r="E2276" s="508">
        <v>13.28</v>
      </c>
      <c r="F2276" s="508">
        <v>9.9870000000000001</v>
      </c>
      <c r="G2276" s="508">
        <v>8.593</v>
      </c>
      <c r="H2276" s="508">
        <v>8.0079999999999991</v>
      </c>
      <c r="I2276" s="508">
        <v>6.9160000000000004</v>
      </c>
      <c r="J2276" s="508">
        <v>7.2309999999999999</v>
      </c>
      <c r="K2276" s="508">
        <v>6.819</v>
      </c>
      <c r="L2276" s="508">
        <v>6.8330000000000002</v>
      </c>
      <c r="M2276" s="508">
        <v>6.8239999999999998</v>
      </c>
      <c r="N2276" s="508">
        <v>6.694</v>
      </c>
      <c r="O2276" s="508">
        <v>6.4359999999999999</v>
      </c>
      <c r="P2276" s="508">
        <v>6.6609999999999996</v>
      </c>
      <c r="Q2276" s="508">
        <v>6.6230000000000002</v>
      </c>
      <c r="R2276" s="508">
        <v>6.5510000000000002</v>
      </c>
      <c r="S2276" s="508">
        <v>6.4850000000000003</v>
      </c>
      <c r="T2276" s="508">
        <v>6.2480000000000002</v>
      </c>
      <c r="U2276" s="508">
        <v>6.44</v>
      </c>
      <c r="V2276" s="508">
        <v>6.4349999999999996</v>
      </c>
      <c r="W2276" s="508">
        <v>3.234</v>
      </c>
      <c r="X2276" s="508">
        <v>3.21</v>
      </c>
      <c r="Y2276" s="508">
        <v>3.1779999999999999</v>
      </c>
      <c r="Z2276" s="508">
        <v>3.1520000000000001</v>
      </c>
      <c r="AA2276" s="508">
        <v>0.89700000000000002</v>
      </c>
      <c r="AB2276" s="508">
        <v>0.879</v>
      </c>
      <c r="AC2276" s="508">
        <v>0.86</v>
      </c>
      <c r="AD2276" s="508">
        <v>0.64700000000000002</v>
      </c>
      <c r="AE2276" s="508">
        <v>0.63300000000000001</v>
      </c>
      <c r="AF2276" s="508">
        <v>0.55700000000000005</v>
      </c>
      <c r="AG2276" s="508">
        <v>0.55200000000000005</v>
      </c>
      <c r="AH2276" s="508">
        <v>0.55100000000000005</v>
      </c>
      <c r="AI2276" s="492">
        <v>0.55100000000000005</v>
      </c>
      <c r="AJ2276" s="485"/>
    </row>
    <row r="2277" spans="2:36">
      <c r="B2277" s="136" t="s">
        <v>445</v>
      </c>
      <c r="C2277" s="132" t="s">
        <v>1370</v>
      </c>
      <c r="D2277" s="132" t="s">
        <v>282</v>
      </c>
      <c r="E2277" s="508">
        <v>15.084</v>
      </c>
      <c r="F2277" s="508">
        <v>11.183</v>
      </c>
      <c r="G2277" s="508">
        <v>9.5540000000000003</v>
      </c>
      <c r="H2277" s="508">
        <v>8.84</v>
      </c>
      <c r="I2277" s="508">
        <v>7.6029999999999998</v>
      </c>
      <c r="J2277" s="508">
        <v>7.9189999999999996</v>
      </c>
      <c r="K2277" s="508">
        <v>7.4859999999999998</v>
      </c>
      <c r="L2277" s="508">
        <v>7.4669999999999996</v>
      </c>
      <c r="M2277" s="508">
        <v>7.4329999999999998</v>
      </c>
      <c r="N2277" s="508">
        <v>7.2850000000000001</v>
      </c>
      <c r="O2277" s="508">
        <v>6.99</v>
      </c>
      <c r="P2277" s="508">
        <v>7.2210000000000001</v>
      </c>
      <c r="Q2277" s="508">
        <v>7.173</v>
      </c>
      <c r="R2277" s="508">
        <v>7.0919999999999996</v>
      </c>
      <c r="S2277" s="508">
        <v>7.0179999999999998</v>
      </c>
      <c r="T2277" s="508">
        <v>6.7670000000000003</v>
      </c>
      <c r="U2277" s="508">
        <v>6.9489999999999998</v>
      </c>
      <c r="V2277" s="508">
        <v>6.9340000000000002</v>
      </c>
      <c r="W2277" s="508">
        <v>3.504</v>
      </c>
      <c r="X2277" s="508">
        <v>3.4740000000000002</v>
      </c>
      <c r="Y2277" s="508">
        <v>3.4369999999999998</v>
      </c>
      <c r="Z2277" s="508">
        <v>3.4060000000000001</v>
      </c>
      <c r="AA2277" s="508">
        <v>0.995</v>
      </c>
      <c r="AB2277" s="508">
        <v>0.97399999999999998</v>
      </c>
      <c r="AC2277" s="508">
        <v>0.95199999999999996</v>
      </c>
      <c r="AD2277" s="508">
        <v>0.72199999999999998</v>
      </c>
      <c r="AE2277" s="508">
        <v>0.70599999999999996</v>
      </c>
      <c r="AF2277" s="508">
        <v>0.623</v>
      </c>
      <c r="AG2277" s="508">
        <v>0.61799999999999999</v>
      </c>
      <c r="AH2277" s="508">
        <v>0.61699999999999999</v>
      </c>
      <c r="AI2277" s="492">
        <v>0.61699999999999999</v>
      </c>
      <c r="AJ2277" s="485"/>
    </row>
    <row r="2278" spans="2:36">
      <c r="B2278" s="136" t="s">
        <v>446</v>
      </c>
      <c r="C2278" s="132" t="s">
        <v>1370</v>
      </c>
      <c r="D2278" s="132" t="s">
        <v>282</v>
      </c>
      <c r="E2278" s="508">
        <v>13.211</v>
      </c>
      <c r="F2278" s="508">
        <v>9.9730000000000008</v>
      </c>
      <c r="G2278" s="508">
        <v>8.5960000000000001</v>
      </c>
      <c r="H2278" s="508">
        <v>8.0269999999999992</v>
      </c>
      <c r="I2278" s="508">
        <v>6.9370000000000003</v>
      </c>
      <c r="J2278" s="508">
        <v>7.2640000000000002</v>
      </c>
      <c r="K2278" s="508">
        <v>6.8419999999999996</v>
      </c>
      <c r="L2278" s="508">
        <v>6.867</v>
      </c>
      <c r="M2278" s="508">
        <v>6.8650000000000002</v>
      </c>
      <c r="N2278" s="508">
        <v>6.7359999999999998</v>
      </c>
      <c r="O2278" s="508">
        <v>6.4779999999999998</v>
      </c>
      <c r="P2278" s="508">
        <v>6.71</v>
      </c>
      <c r="Q2278" s="508">
        <v>6.6740000000000004</v>
      </c>
      <c r="R2278" s="508">
        <v>6.6020000000000003</v>
      </c>
      <c r="S2278" s="508">
        <v>6.5359999999999996</v>
      </c>
      <c r="T2278" s="508">
        <v>6.2939999999999996</v>
      </c>
      <c r="U2278" s="508">
        <v>6.4969999999999999</v>
      </c>
      <c r="V2278" s="508">
        <v>6.4939999999999998</v>
      </c>
      <c r="W2278" s="508">
        <v>3.2109999999999999</v>
      </c>
      <c r="X2278" s="508">
        <v>3.1880000000000002</v>
      </c>
      <c r="Y2278" s="508">
        <v>3.1560000000000001</v>
      </c>
      <c r="Z2278" s="508">
        <v>3.1309999999999998</v>
      </c>
      <c r="AA2278" s="508">
        <v>0.88800000000000001</v>
      </c>
      <c r="AB2278" s="508">
        <v>0.871</v>
      </c>
      <c r="AC2278" s="508">
        <v>0.85199999999999998</v>
      </c>
      <c r="AD2278" s="508">
        <v>0.64</v>
      </c>
      <c r="AE2278" s="508">
        <v>0.627</v>
      </c>
      <c r="AF2278" s="508">
        <v>0.55100000000000005</v>
      </c>
      <c r="AG2278" s="508">
        <v>0.54600000000000004</v>
      </c>
      <c r="AH2278" s="508">
        <v>0.54500000000000004</v>
      </c>
      <c r="AI2278" s="492">
        <v>0.54500000000000004</v>
      </c>
      <c r="AJ2278" s="485"/>
    </row>
    <row r="2279" spans="2:36">
      <c r="B2279" s="136" t="s">
        <v>448</v>
      </c>
      <c r="C2279" s="132" t="s">
        <v>1370</v>
      </c>
      <c r="D2279" s="132" t="s">
        <v>282</v>
      </c>
      <c r="E2279" s="508">
        <v>11.173</v>
      </c>
      <c r="F2279" s="508">
        <v>8.6349999999999998</v>
      </c>
      <c r="G2279" s="508">
        <v>7.5220000000000002</v>
      </c>
      <c r="H2279" s="508">
        <v>7.1059999999999999</v>
      </c>
      <c r="I2279" s="508">
        <v>6.17</v>
      </c>
      <c r="J2279" s="508">
        <v>6.5090000000000003</v>
      </c>
      <c r="K2279" s="508">
        <v>6.0979999999999999</v>
      </c>
      <c r="L2279" s="508">
        <v>6.1689999999999996</v>
      </c>
      <c r="M2279" s="508">
        <v>6.202</v>
      </c>
      <c r="N2279" s="508">
        <v>6.0919999999999996</v>
      </c>
      <c r="O2279" s="508">
        <v>5.8739999999999997</v>
      </c>
      <c r="P2279" s="508">
        <v>6.1070000000000002</v>
      </c>
      <c r="Q2279" s="508">
        <v>6.085</v>
      </c>
      <c r="R2279" s="508">
        <v>6.0220000000000002</v>
      </c>
      <c r="S2279" s="508">
        <v>5.9640000000000004</v>
      </c>
      <c r="T2279" s="508">
        <v>5.7309999999999999</v>
      </c>
      <c r="U2279" s="508">
        <v>5.9569999999999999</v>
      </c>
      <c r="V2279" s="508">
        <v>5.9669999999999996</v>
      </c>
      <c r="W2279" s="508">
        <v>2.875</v>
      </c>
      <c r="X2279" s="508">
        <v>2.8570000000000002</v>
      </c>
      <c r="Y2279" s="508">
        <v>2.8330000000000002</v>
      </c>
      <c r="Z2279" s="508">
        <v>2.8119999999999998</v>
      </c>
      <c r="AA2279" s="508">
        <v>0.76900000000000002</v>
      </c>
      <c r="AB2279" s="508">
        <v>0.755</v>
      </c>
      <c r="AC2279" s="508">
        <v>0.74</v>
      </c>
      <c r="AD2279" s="508">
        <v>0.54900000000000004</v>
      </c>
      <c r="AE2279" s="508">
        <v>0.53900000000000003</v>
      </c>
      <c r="AF2279" s="508">
        <v>0.47099999999999997</v>
      </c>
      <c r="AG2279" s="508">
        <v>0.46600000000000003</v>
      </c>
      <c r="AH2279" s="508">
        <v>0.46600000000000003</v>
      </c>
      <c r="AI2279" s="492">
        <v>0.46600000000000003</v>
      </c>
      <c r="AJ2279" s="485"/>
    </row>
    <row r="2280" spans="2:36">
      <c r="B2280" s="136" t="s">
        <v>449</v>
      </c>
      <c r="C2280" s="132" t="s">
        <v>1370</v>
      </c>
      <c r="D2280" s="132" t="s">
        <v>282</v>
      </c>
      <c r="E2280" s="508">
        <v>13.337</v>
      </c>
      <c r="F2280" s="508">
        <v>10.026999999999999</v>
      </c>
      <c r="G2280" s="508">
        <v>8.6229999999999993</v>
      </c>
      <c r="H2280" s="508">
        <v>8.0370000000000008</v>
      </c>
      <c r="I2280" s="508">
        <v>6.9359999999999999</v>
      </c>
      <c r="J2280" s="508">
        <v>7.2569999999999997</v>
      </c>
      <c r="K2280" s="508">
        <v>6.8380000000000001</v>
      </c>
      <c r="L2280" s="508">
        <v>6.8550000000000004</v>
      </c>
      <c r="M2280" s="508">
        <v>6.8470000000000004</v>
      </c>
      <c r="N2280" s="508">
        <v>6.7169999999999996</v>
      </c>
      <c r="O2280" s="508">
        <v>6.4560000000000004</v>
      </c>
      <c r="P2280" s="508">
        <v>6.6849999999999996</v>
      </c>
      <c r="Q2280" s="508">
        <v>6.6470000000000002</v>
      </c>
      <c r="R2280" s="508">
        <v>6.5739999999999998</v>
      </c>
      <c r="S2280" s="508">
        <v>6.508</v>
      </c>
      <c r="T2280" s="508">
        <v>6.2679999999999998</v>
      </c>
      <c r="U2280" s="508">
        <v>6.4640000000000004</v>
      </c>
      <c r="V2280" s="508">
        <v>6.4589999999999996</v>
      </c>
      <c r="W2280" s="508">
        <v>3.2269999999999999</v>
      </c>
      <c r="X2280" s="508">
        <v>3.2029999999999998</v>
      </c>
      <c r="Y2280" s="508">
        <v>3.1709999999999998</v>
      </c>
      <c r="Z2280" s="508">
        <v>3.145</v>
      </c>
      <c r="AA2280" s="508">
        <v>0.89600000000000002</v>
      </c>
      <c r="AB2280" s="508">
        <v>0.879</v>
      </c>
      <c r="AC2280" s="508">
        <v>0.85899999999999999</v>
      </c>
      <c r="AD2280" s="508">
        <v>0.64700000000000002</v>
      </c>
      <c r="AE2280" s="508">
        <v>0.63300000000000001</v>
      </c>
      <c r="AF2280" s="508">
        <v>0.55700000000000005</v>
      </c>
      <c r="AG2280" s="508">
        <v>0.55200000000000005</v>
      </c>
      <c r="AH2280" s="508">
        <v>0.55100000000000005</v>
      </c>
      <c r="AI2280" s="492">
        <v>0.55100000000000005</v>
      </c>
      <c r="AJ2280" s="485"/>
    </row>
    <row r="2281" spans="2:36">
      <c r="B2281" s="136" t="s">
        <v>450</v>
      </c>
      <c r="C2281" s="132" t="s">
        <v>1370</v>
      </c>
      <c r="D2281" s="132" t="s">
        <v>282</v>
      </c>
      <c r="E2281" s="508">
        <v>11.022</v>
      </c>
      <c r="F2281" s="508">
        <v>8.5470000000000006</v>
      </c>
      <c r="G2281" s="508">
        <v>7.46</v>
      </c>
      <c r="H2281" s="508">
        <v>7.056</v>
      </c>
      <c r="I2281" s="508">
        <v>6.1369999999999996</v>
      </c>
      <c r="J2281" s="508">
        <v>6.4749999999999996</v>
      </c>
      <c r="K2281" s="508">
        <v>6.0670000000000002</v>
      </c>
      <c r="L2281" s="508">
        <v>6.14</v>
      </c>
      <c r="M2281" s="508">
        <v>6.1749999999999998</v>
      </c>
      <c r="N2281" s="508">
        <v>6.0670000000000002</v>
      </c>
      <c r="O2281" s="508">
        <v>5.8529999999999998</v>
      </c>
      <c r="P2281" s="508">
        <v>6.085</v>
      </c>
      <c r="Q2281" s="508">
        <v>6.0640000000000001</v>
      </c>
      <c r="R2281" s="508">
        <v>6.0019999999999998</v>
      </c>
      <c r="S2281" s="508">
        <v>5.9450000000000003</v>
      </c>
      <c r="T2281" s="508">
        <v>5.7140000000000004</v>
      </c>
      <c r="U2281" s="508">
        <v>5.94</v>
      </c>
      <c r="V2281" s="508">
        <v>5.95</v>
      </c>
      <c r="W2281" s="508">
        <v>2.867</v>
      </c>
      <c r="X2281" s="508">
        <v>2.85</v>
      </c>
      <c r="Y2281" s="508">
        <v>2.8250000000000002</v>
      </c>
      <c r="Z2281" s="508">
        <v>2.8050000000000002</v>
      </c>
      <c r="AA2281" s="508">
        <v>0.76300000000000001</v>
      </c>
      <c r="AB2281" s="508">
        <v>0.75</v>
      </c>
      <c r="AC2281" s="508">
        <v>0.73499999999999999</v>
      </c>
      <c r="AD2281" s="508">
        <v>0.54400000000000004</v>
      </c>
      <c r="AE2281" s="508">
        <v>0.53400000000000003</v>
      </c>
      <c r="AF2281" s="508">
        <v>0.46600000000000003</v>
      </c>
      <c r="AG2281" s="508">
        <v>0.46200000000000002</v>
      </c>
      <c r="AH2281" s="508">
        <v>0.46100000000000002</v>
      </c>
      <c r="AI2281" s="492">
        <v>0.46100000000000002</v>
      </c>
      <c r="AJ2281" s="485"/>
    </row>
    <row r="2282" spans="2:36">
      <c r="B2282" s="136" t="s">
        <v>451</v>
      </c>
      <c r="C2282" s="132" t="s">
        <v>1370</v>
      </c>
      <c r="D2282" s="132" t="s">
        <v>282</v>
      </c>
      <c r="E2282" s="508">
        <v>13.882999999999999</v>
      </c>
      <c r="F2282" s="508">
        <v>10.387</v>
      </c>
      <c r="G2282" s="508">
        <v>8.9090000000000007</v>
      </c>
      <c r="H2282" s="508">
        <v>8.2859999999999996</v>
      </c>
      <c r="I2282" s="508">
        <v>7.1340000000000003</v>
      </c>
      <c r="J2282" s="508">
        <v>7.4610000000000003</v>
      </c>
      <c r="K2282" s="508">
        <v>7.03</v>
      </c>
      <c r="L2282" s="508">
        <v>7.0410000000000004</v>
      </c>
      <c r="M2282" s="508">
        <v>7.0289999999999999</v>
      </c>
      <c r="N2282" s="508">
        <v>6.8920000000000003</v>
      </c>
      <c r="O2282" s="508">
        <v>6.6189999999999998</v>
      </c>
      <c r="P2282" s="508">
        <v>6.8529999999999998</v>
      </c>
      <c r="Q2282" s="508">
        <v>6.8129999999999997</v>
      </c>
      <c r="R2282" s="508">
        <v>6.7370000000000001</v>
      </c>
      <c r="S2282" s="508">
        <v>6.6669999999999998</v>
      </c>
      <c r="T2282" s="508">
        <v>6.4189999999999996</v>
      </c>
      <c r="U2282" s="508">
        <v>6.6180000000000003</v>
      </c>
      <c r="V2282" s="508">
        <v>6.6109999999999998</v>
      </c>
      <c r="W2282" s="508">
        <v>3.2869999999999999</v>
      </c>
      <c r="X2282" s="508">
        <v>3.2610000000000001</v>
      </c>
      <c r="Y2282" s="508">
        <v>3.2269999999999999</v>
      </c>
      <c r="Z2282" s="508">
        <v>3.2</v>
      </c>
      <c r="AA2282" s="508">
        <v>0.92200000000000004</v>
      </c>
      <c r="AB2282" s="508">
        <v>0.90300000000000002</v>
      </c>
      <c r="AC2282" s="508">
        <v>0.88300000000000001</v>
      </c>
      <c r="AD2282" s="508">
        <v>0.66700000000000004</v>
      </c>
      <c r="AE2282" s="508">
        <v>0.65300000000000002</v>
      </c>
      <c r="AF2282" s="508">
        <v>0.57499999999999996</v>
      </c>
      <c r="AG2282" s="508">
        <v>0.56999999999999995</v>
      </c>
      <c r="AH2282" s="508">
        <v>0.56899999999999995</v>
      </c>
      <c r="AI2282" s="492">
        <v>0.56899999999999995</v>
      </c>
      <c r="AJ2282" s="485"/>
    </row>
    <row r="2283" spans="2:36">
      <c r="B2283" s="136" t="s">
        <v>452</v>
      </c>
      <c r="C2283" s="132" t="s">
        <v>1370</v>
      </c>
      <c r="D2283" s="132" t="s">
        <v>282</v>
      </c>
      <c r="E2283" s="508">
        <v>11.988</v>
      </c>
      <c r="F2283" s="508">
        <v>9.1760000000000002</v>
      </c>
      <c r="G2283" s="508">
        <v>7.96</v>
      </c>
      <c r="H2283" s="508">
        <v>7.4829999999999997</v>
      </c>
      <c r="I2283" s="508">
        <v>6.4889999999999999</v>
      </c>
      <c r="J2283" s="508">
        <v>6.8209999999999997</v>
      </c>
      <c r="K2283" s="508">
        <v>6.4080000000000004</v>
      </c>
      <c r="L2283" s="508">
        <v>6.4589999999999996</v>
      </c>
      <c r="M2283" s="508">
        <v>6.4770000000000003</v>
      </c>
      <c r="N2283" s="508">
        <v>6.36</v>
      </c>
      <c r="O2283" s="508">
        <v>6.1269999999999998</v>
      </c>
      <c r="P2283" s="508">
        <v>6.3579999999999997</v>
      </c>
      <c r="Q2283" s="508">
        <v>6.3310000000000004</v>
      </c>
      <c r="R2283" s="508">
        <v>6.2640000000000002</v>
      </c>
      <c r="S2283" s="508">
        <v>6.2030000000000003</v>
      </c>
      <c r="T2283" s="508">
        <v>5.968</v>
      </c>
      <c r="U2283" s="508">
        <v>6.1829999999999998</v>
      </c>
      <c r="V2283" s="508">
        <v>6.1870000000000003</v>
      </c>
      <c r="W2283" s="508">
        <v>3.0209999999999999</v>
      </c>
      <c r="X2283" s="508">
        <v>3.0009999999999999</v>
      </c>
      <c r="Y2283" s="508">
        <v>2.9729999999999999</v>
      </c>
      <c r="Z2283" s="508">
        <v>2.9510000000000001</v>
      </c>
      <c r="AA2283" s="508">
        <v>0.81799999999999995</v>
      </c>
      <c r="AB2283" s="508">
        <v>0.80300000000000005</v>
      </c>
      <c r="AC2283" s="508">
        <v>0.78700000000000003</v>
      </c>
      <c r="AD2283" s="508">
        <v>0.58699999999999997</v>
      </c>
      <c r="AE2283" s="508">
        <v>0.57499999999999996</v>
      </c>
      <c r="AF2283" s="508">
        <v>0.504</v>
      </c>
      <c r="AG2283" s="508">
        <v>0.499</v>
      </c>
      <c r="AH2283" s="508">
        <v>0.498</v>
      </c>
      <c r="AI2283" s="492">
        <v>0.498</v>
      </c>
      <c r="AJ2283" s="485"/>
    </row>
    <row r="2284" spans="2:36">
      <c r="B2284" s="136" t="s">
        <v>453</v>
      </c>
      <c r="C2284" s="132" t="s">
        <v>1370</v>
      </c>
      <c r="D2284" s="132" t="s">
        <v>282</v>
      </c>
      <c r="E2284" s="508">
        <v>10.792999999999999</v>
      </c>
      <c r="F2284" s="508">
        <v>8.3989999999999991</v>
      </c>
      <c r="G2284" s="508">
        <v>7.343</v>
      </c>
      <c r="H2284" s="508">
        <v>6.9560000000000004</v>
      </c>
      <c r="I2284" s="508">
        <v>6.056</v>
      </c>
      <c r="J2284" s="508">
        <v>6.3940000000000001</v>
      </c>
      <c r="K2284" s="508">
        <v>5.9889999999999999</v>
      </c>
      <c r="L2284" s="508">
        <v>6.0670000000000002</v>
      </c>
      <c r="M2284" s="508">
        <v>6.1059999999999999</v>
      </c>
      <c r="N2284" s="508">
        <v>6</v>
      </c>
      <c r="O2284" s="508">
        <v>5.79</v>
      </c>
      <c r="P2284" s="508">
        <v>6.0220000000000002</v>
      </c>
      <c r="Q2284" s="508">
        <v>6.0030000000000001</v>
      </c>
      <c r="R2284" s="508">
        <v>5.9420000000000002</v>
      </c>
      <c r="S2284" s="508">
        <v>5.8849999999999998</v>
      </c>
      <c r="T2284" s="508">
        <v>5.6559999999999997</v>
      </c>
      <c r="U2284" s="508">
        <v>5.8840000000000003</v>
      </c>
      <c r="V2284" s="508">
        <v>5.8959999999999999</v>
      </c>
      <c r="W2284" s="508">
        <v>2.8319999999999999</v>
      </c>
      <c r="X2284" s="508">
        <v>2.8159999999999998</v>
      </c>
      <c r="Y2284" s="508">
        <v>2.7919999999999998</v>
      </c>
      <c r="Z2284" s="508">
        <v>2.7730000000000001</v>
      </c>
      <c r="AA2284" s="508">
        <v>0.75</v>
      </c>
      <c r="AB2284" s="508">
        <v>0.73699999999999999</v>
      </c>
      <c r="AC2284" s="508">
        <v>0.72299999999999998</v>
      </c>
      <c r="AD2284" s="508">
        <v>0.53400000000000003</v>
      </c>
      <c r="AE2284" s="508">
        <v>0.52400000000000002</v>
      </c>
      <c r="AF2284" s="508">
        <v>0.45800000000000002</v>
      </c>
      <c r="AG2284" s="508">
        <v>0.45300000000000001</v>
      </c>
      <c r="AH2284" s="508">
        <v>0.45200000000000001</v>
      </c>
      <c r="AI2284" s="492">
        <v>0.45200000000000001</v>
      </c>
      <c r="AJ2284" s="485"/>
    </row>
    <row r="2285" spans="2:36">
      <c r="B2285" s="136" t="s">
        <v>454</v>
      </c>
      <c r="C2285" s="132" t="s">
        <v>1370</v>
      </c>
      <c r="D2285" s="132" t="s">
        <v>282</v>
      </c>
      <c r="E2285" s="508">
        <v>11.255000000000001</v>
      </c>
      <c r="F2285" s="508">
        <v>8.6839999999999993</v>
      </c>
      <c r="G2285" s="508">
        <v>7.56</v>
      </c>
      <c r="H2285" s="508">
        <v>7.1349999999999998</v>
      </c>
      <c r="I2285" s="508">
        <v>6.1950000000000003</v>
      </c>
      <c r="J2285" s="508">
        <v>6.5309999999999997</v>
      </c>
      <c r="K2285" s="508">
        <v>6.1219999999999999</v>
      </c>
      <c r="L2285" s="508">
        <v>6.1890000000000001</v>
      </c>
      <c r="M2285" s="508">
        <v>6.22</v>
      </c>
      <c r="N2285" s="508">
        <v>6.109</v>
      </c>
      <c r="O2285" s="508">
        <v>5.8890000000000002</v>
      </c>
      <c r="P2285" s="508">
        <v>6.1210000000000004</v>
      </c>
      <c r="Q2285" s="508">
        <v>6.0990000000000002</v>
      </c>
      <c r="R2285" s="508">
        <v>6.0359999999999996</v>
      </c>
      <c r="S2285" s="508">
        <v>5.9770000000000003</v>
      </c>
      <c r="T2285" s="508">
        <v>5.7439999999999998</v>
      </c>
      <c r="U2285" s="508">
        <v>5.968</v>
      </c>
      <c r="V2285" s="508">
        <v>5.9770000000000003</v>
      </c>
      <c r="W2285" s="508">
        <v>2.891</v>
      </c>
      <c r="X2285" s="508">
        <v>2.8730000000000002</v>
      </c>
      <c r="Y2285" s="508">
        <v>2.8479999999999999</v>
      </c>
      <c r="Z2285" s="508">
        <v>2.827</v>
      </c>
      <c r="AA2285" s="508">
        <v>0.77400000000000002</v>
      </c>
      <c r="AB2285" s="508">
        <v>0.76100000000000001</v>
      </c>
      <c r="AC2285" s="508">
        <v>0.746</v>
      </c>
      <c r="AD2285" s="508">
        <v>0.55300000000000005</v>
      </c>
      <c r="AE2285" s="508">
        <v>0.54300000000000004</v>
      </c>
      <c r="AF2285" s="508">
        <v>0.47499999999999998</v>
      </c>
      <c r="AG2285" s="508">
        <v>0.47</v>
      </c>
      <c r="AH2285" s="508">
        <v>0.47</v>
      </c>
      <c r="AI2285" s="492">
        <v>0.47</v>
      </c>
      <c r="AJ2285" s="485"/>
    </row>
    <row r="2286" spans="2:36">
      <c r="B2286" s="136" t="s">
        <v>455</v>
      </c>
      <c r="C2286" s="132" t="s">
        <v>1370</v>
      </c>
      <c r="D2286" s="132" t="s">
        <v>282</v>
      </c>
      <c r="E2286" s="508">
        <v>10.441000000000001</v>
      </c>
      <c r="F2286" s="508">
        <v>8.1709999999999994</v>
      </c>
      <c r="G2286" s="508">
        <v>7.1589999999999998</v>
      </c>
      <c r="H2286" s="508">
        <v>6.8019999999999996</v>
      </c>
      <c r="I2286" s="508">
        <v>5.923</v>
      </c>
      <c r="J2286" s="508">
        <v>6.2690000000000001</v>
      </c>
      <c r="K2286" s="508">
        <v>5.86</v>
      </c>
      <c r="L2286" s="508">
        <v>5.95</v>
      </c>
      <c r="M2286" s="508">
        <v>5.9969999999999999</v>
      </c>
      <c r="N2286" s="508">
        <v>5.8949999999999996</v>
      </c>
      <c r="O2286" s="508">
        <v>5.6909999999999998</v>
      </c>
      <c r="P2286" s="508">
        <v>5.9260000000000002</v>
      </c>
      <c r="Q2286" s="508">
        <v>5.91</v>
      </c>
      <c r="R2286" s="508">
        <v>5.851</v>
      </c>
      <c r="S2286" s="508">
        <v>5.7949999999999999</v>
      </c>
      <c r="T2286" s="508">
        <v>5.5640000000000001</v>
      </c>
      <c r="U2286" s="508">
        <v>5.8019999999999996</v>
      </c>
      <c r="V2286" s="508">
        <v>5.8159999999999998</v>
      </c>
      <c r="W2286" s="508">
        <v>2.7570000000000001</v>
      </c>
      <c r="X2286" s="508">
        <v>2.7410000000000001</v>
      </c>
      <c r="Y2286" s="508">
        <v>2.7189999999999999</v>
      </c>
      <c r="Z2286" s="508">
        <v>2.7010000000000001</v>
      </c>
      <c r="AA2286" s="508">
        <v>0.72499999999999998</v>
      </c>
      <c r="AB2286" s="508">
        <v>0.71299999999999997</v>
      </c>
      <c r="AC2286" s="508">
        <v>0.7</v>
      </c>
      <c r="AD2286" s="508">
        <v>0.51600000000000001</v>
      </c>
      <c r="AE2286" s="508">
        <v>0.50600000000000001</v>
      </c>
      <c r="AF2286" s="508">
        <v>0.442</v>
      </c>
      <c r="AG2286" s="508">
        <v>0.437</v>
      </c>
      <c r="AH2286" s="508">
        <v>0.437</v>
      </c>
      <c r="AI2286" s="492">
        <v>0.437</v>
      </c>
      <c r="AJ2286" s="485"/>
    </row>
    <row r="2287" spans="2:36">
      <c r="B2287" s="136" t="s">
        <v>456</v>
      </c>
      <c r="C2287" s="132" t="s">
        <v>1370</v>
      </c>
      <c r="D2287" s="132" t="s">
        <v>282</v>
      </c>
      <c r="E2287" s="508">
        <v>11.420999999999999</v>
      </c>
      <c r="F2287" s="508">
        <v>8.8000000000000007</v>
      </c>
      <c r="G2287" s="508">
        <v>7.6559999999999997</v>
      </c>
      <c r="H2287" s="508">
        <v>7.2210000000000001</v>
      </c>
      <c r="I2287" s="508">
        <v>6.2679999999999998</v>
      </c>
      <c r="J2287" s="508">
        <v>6.6050000000000004</v>
      </c>
      <c r="K2287" s="508">
        <v>6.1929999999999996</v>
      </c>
      <c r="L2287" s="508">
        <v>6.258</v>
      </c>
      <c r="M2287" s="508">
        <v>6.2869999999999999</v>
      </c>
      <c r="N2287" s="508">
        <v>6.1749999999999998</v>
      </c>
      <c r="O2287" s="508">
        <v>5.952</v>
      </c>
      <c r="P2287" s="508">
        <v>6.1849999999999996</v>
      </c>
      <c r="Q2287" s="508">
        <v>6.1609999999999996</v>
      </c>
      <c r="R2287" s="508">
        <v>6.0970000000000004</v>
      </c>
      <c r="S2287" s="508">
        <v>6.0380000000000003</v>
      </c>
      <c r="T2287" s="508">
        <v>5.8040000000000003</v>
      </c>
      <c r="U2287" s="508">
        <v>6.0270000000000001</v>
      </c>
      <c r="V2287" s="508">
        <v>6.0350000000000001</v>
      </c>
      <c r="W2287" s="508">
        <v>2.9180000000000001</v>
      </c>
      <c r="X2287" s="508">
        <v>2.899</v>
      </c>
      <c r="Y2287" s="508">
        <v>2.8740000000000001</v>
      </c>
      <c r="Z2287" s="508">
        <v>2.8530000000000002</v>
      </c>
      <c r="AA2287" s="508">
        <v>0.78400000000000003</v>
      </c>
      <c r="AB2287" s="508">
        <v>0.77</v>
      </c>
      <c r="AC2287" s="508">
        <v>0.754</v>
      </c>
      <c r="AD2287" s="508">
        <v>0.56000000000000005</v>
      </c>
      <c r="AE2287" s="508">
        <v>0.55000000000000004</v>
      </c>
      <c r="AF2287" s="508">
        <v>0.48099999999999998</v>
      </c>
      <c r="AG2287" s="508">
        <v>0.47599999999999998</v>
      </c>
      <c r="AH2287" s="508">
        <v>0.47599999999999998</v>
      </c>
      <c r="AI2287" s="492">
        <v>0.47599999999999998</v>
      </c>
      <c r="AJ2287" s="485"/>
    </row>
    <row r="2288" spans="2:36">
      <c r="B2288" s="136" t="s">
        <v>457</v>
      </c>
      <c r="C2288" s="132" t="s">
        <v>1370</v>
      </c>
      <c r="D2288" s="132" t="s">
        <v>282</v>
      </c>
      <c r="E2288" s="508">
        <v>10.353999999999999</v>
      </c>
      <c r="F2288" s="508">
        <v>8.11</v>
      </c>
      <c r="G2288" s="508">
        <v>7.11</v>
      </c>
      <c r="H2288" s="508">
        <v>6.7560000000000002</v>
      </c>
      <c r="I2288" s="508">
        <v>5.89</v>
      </c>
      <c r="J2288" s="508">
        <v>6.23</v>
      </c>
      <c r="K2288" s="508">
        <v>5.8280000000000003</v>
      </c>
      <c r="L2288" s="508">
        <v>5.915</v>
      </c>
      <c r="M2288" s="508">
        <v>5.96</v>
      </c>
      <c r="N2288" s="508">
        <v>5.859</v>
      </c>
      <c r="O2288" s="508">
        <v>5.6580000000000004</v>
      </c>
      <c r="P2288" s="508">
        <v>5.8890000000000002</v>
      </c>
      <c r="Q2288" s="508">
        <v>5.8730000000000002</v>
      </c>
      <c r="R2288" s="508">
        <v>5.8140000000000001</v>
      </c>
      <c r="S2288" s="508">
        <v>5.7590000000000003</v>
      </c>
      <c r="T2288" s="508">
        <v>5.5330000000000004</v>
      </c>
      <c r="U2288" s="508">
        <v>5.7649999999999997</v>
      </c>
      <c r="V2288" s="508">
        <v>5.7789999999999999</v>
      </c>
      <c r="W2288" s="508">
        <v>2.7639999999999998</v>
      </c>
      <c r="X2288" s="508">
        <v>2.7490000000000001</v>
      </c>
      <c r="Y2288" s="508">
        <v>2.7269999999999999</v>
      </c>
      <c r="Z2288" s="508">
        <v>2.7080000000000002</v>
      </c>
      <c r="AA2288" s="508">
        <v>0.72499999999999998</v>
      </c>
      <c r="AB2288" s="508">
        <v>0.71299999999999997</v>
      </c>
      <c r="AC2288" s="508">
        <v>0.7</v>
      </c>
      <c r="AD2288" s="508">
        <v>0.51500000000000001</v>
      </c>
      <c r="AE2288" s="508">
        <v>0.50600000000000001</v>
      </c>
      <c r="AF2288" s="508">
        <v>0.441</v>
      </c>
      <c r="AG2288" s="508">
        <v>0.436</v>
      </c>
      <c r="AH2288" s="508">
        <v>0.436</v>
      </c>
      <c r="AI2288" s="492">
        <v>0.436</v>
      </c>
      <c r="AJ2288" s="485"/>
    </row>
    <row r="2289" spans="2:36">
      <c r="B2289" s="136" t="s">
        <v>458</v>
      </c>
      <c r="C2289" s="132" t="s">
        <v>1370</v>
      </c>
      <c r="D2289" s="132" t="s">
        <v>282</v>
      </c>
      <c r="E2289" s="508">
        <v>11.956</v>
      </c>
      <c r="F2289" s="508">
        <v>9.1229999999999993</v>
      </c>
      <c r="G2289" s="508">
        <v>7.8959999999999999</v>
      </c>
      <c r="H2289" s="508">
        <v>7.4169999999999998</v>
      </c>
      <c r="I2289" s="508">
        <v>6.41</v>
      </c>
      <c r="J2289" s="508">
        <v>6.75</v>
      </c>
      <c r="K2289" s="508">
        <v>6.3280000000000003</v>
      </c>
      <c r="L2289" s="508">
        <v>6.383</v>
      </c>
      <c r="M2289" s="508">
        <v>6.4039999999999999</v>
      </c>
      <c r="N2289" s="508">
        <v>6.2859999999999996</v>
      </c>
      <c r="O2289" s="508">
        <v>6.0490000000000004</v>
      </c>
      <c r="P2289" s="508">
        <v>6.2859999999999996</v>
      </c>
      <c r="Q2289" s="508">
        <v>6.2590000000000003</v>
      </c>
      <c r="R2289" s="508">
        <v>6.1920000000000002</v>
      </c>
      <c r="S2289" s="508">
        <v>6.1289999999999996</v>
      </c>
      <c r="T2289" s="508">
        <v>5.8890000000000002</v>
      </c>
      <c r="U2289" s="508">
        <v>6.1109999999999998</v>
      </c>
      <c r="V2289" s="508">
        <v>6.1159999999999997</v>
      </c>
      <c r="W2289" s="508">
        <v>2.9670000000000001</v>
      </c>
      <c r="X2289" s="508">
        <v>2.9460000000000002</v>
      </c>
      <c r="Y2289" s="508">
        <v>2.919</v>
      </c>
      <c r="Z2289" s="508">
        <v>2.8959999999999999</v>
      </c>
      <c r="AA2289" s="508">
        <v>0.80900000000000005</v>
      </c>
      <c r="AB2289" s="508">
        <v>0.79400000000000004</v>
      </c>
      <c r="AC2289" s="508">
        <v>0.77700000000000002</v>
      </c>
      <c r="AD2289" s="508">
        <v>0.58099999999999996</v>
      </c>
      <c r="AE2289" s="508">
        <v>0.56899999999999995</v>
      </c>
      <c r="AF2289" s="508">
        <v>0.499</v>
      </c>
      <c r="AG2289" s="508">
        <v>0.49399999999999999</v>
      </c>
      <c r="AH2289" s="508">
        <v>0.49399999999999999</v>
      </c>
      <c r="AI2289" s="492">
        <v>0.49399999999999999</v>
      </c>
      <c r="AJ2289" s="485"/>
    </row>
    <row r="2290" spans="2:36">
      <c r="B2290" s="136" t="s">
        <v>459</v>
      </c>
      <c r="C2290" s="132" t="s">
        <v>1370</v>
      </c>
      <c r="D2290" s="132" t="s">
        <v>282</v>
      </c>
      <c r="E2290" s="508">
        <v>11.914</v>
      </c>
      <c r="F2290" s="508">
        <v>9.0969999999999995</v>
      </c>
      <c r="G2290" s="508">
        <v>7.8760000000000003</v>
      </c>
      <c r="H2290" s="508">
        <v>7.4009999999999998</v>
      </c>
      <c r="I2290" s="508">
        <v>6.3979999999999997</v>
      </c>
      <c r="J2290" s="508">
        <v>6.7389999999999999</v>
      </c>
      <c r="K2290" s="508">
        <v>6.3170000000000002</v>
      </c>
      <c r="L2290" s="508">
        <v>6.3730000000000002</v>
      </c>
      <c r="M2290" s="508">
        <v>6.3949999999999996</v>
      </c>
      <c r="N2290" s="508">
        <v>6.2770000000000001</v>
      </c>
      <c r="O2290" s="508">
        <v>6.0410000000000004</v>
      </c>
      <c r="P2290" s="508">
        <v>6.2779999999999996</v>
      </c>
      <c r="Q2290" s="508">
        <v>6.2510000000000003</v>
      </c>
      <c r="R2290" s="508">
        <v>6.1840000000000002</v>
      </c>
      <c r="S2290" s="508">
        <v>6.1219999999999999</v>
      </c>
      <c r="T2290" s="508">
        <v>5.8819999999999997</v>
      </c>
      <c r="U2290" s="508">
        <v>6.1040000000000001</v>
      </c>
      <c r="V2290" s="508">
        <v>6.11</v>
      </c>
      <c r="W2290" s="508">
        <v>2.9609999999999999</v>
      </c>
      <c r="X2290" s="508">
        <v>2.9409999999999998</v>
      </c>
      <c r="Y2290" s="508">
        <v>2.9140000000000001</v>
      </c>
      <c r="Z2290" s="508">
        <v>2.891</v>
      </c>
      <c r="AA2290" s="508">
        <v>0.80600000000000005</v>
      </c>
      <c r="AB2290" s="508">
        <v>0.79100000000000004</v>
      </c>
      <c r="AC2290" s="508">
        <v>0.77500000000000002</v>
      </c>
      <c r="AD2290" s="508">
        <v>0.57899999999999996</v>
      </c>
      <c r="AE2290" s="508">
        <v>0.56699999999999995</v>
      </c>
      <c r="AF2290" s="508">
        <v>0.498</v>
      </c>
      <c r="AG2290" s="508">
        <v>0.49299999999999999</v>
      </c>
      <c r="AH2290" s="508">
        <v>0.49199999999999999</v>
      </c>
      <c r="AI2290" s="492">
        <v>0.49199999999999999</v>
      </c>
      <c r="AJ2290" s="485"/>
    </row>
    <row r="2291" spans="2:36">
      <c r="B2291" s="136" t="s">
        <v>460</v>
      </c>
      <c r="C2291" s="132" t="s">
        <v>1370</v>
      </c>
      <c r="D2291" s="132" t="s">
        <v>282</v>
      </c>
      <c r="E2291" s="508">
        <v>11.715</v>
      </c>
      <c r="F2291" s="508">
        <v>8.99</v>
      </c>
      <c r="G2291" s="508">
        <v>7.806</v>
      </c>
      <c r="H2291" s="508">
        <v>7.3490000000000002</v>
      </c>
      <c r="I2291" s="508">
        <v>6.37</v>
      </c>
      <c r="J2291" s="508">
        <v>6.7080000000000002</v>
      </c>
      <c r="K2291" s="508">
        <v>6.2919999999999998</v>
      </c>
      <c r="L2291" s="508">
        <v>6.3520000000000003</v>
      </c>
      <c r="M2291" s="508">
        <v>6.3760000000000003</v>
      </c>
      <c r="N2291" s="508">
        <v>6.2610000000000001</v>
      </c>
      <c r="O2291" s="508">
        <v>6.032</v>
      </c>
      <c r="P2291" s="508">
        <v>6.266</v>
      </c>
      <c r="Q2291" s="508">
        <v>6.2409999999999997</v>
      </c>
      <c r="R2291" s="508">
        <v>6.1749999999999998</v>
      </c>
      <c r="S2291" s="508">
        <v>6.1139999999999999</v>
      </c>
      <c r="T2291" s="508">
        <v>5.8780000000000001</v>
      </c>
      <c r="U2291" s="508">
        <v>6.1</v>
      </c>
      <c r="V2291" s="508">
        <v>6.1059999999999999</v>
      </c>
      <c r="W2291" s="508">
        <v>2.9569999999999999</v>
      </c>
      <c r="X2291" s="508">
        <v>2.9380000000000002</v>
      </c>
      <c r="Y2291" s="508">
        <v>2.9119999999999999</v>
      </c>
      <c r="Z2291" s="508">
        <v>2.89</v>
      </c>
      <c r="AA2291" s="508">
        <v>0.79900000000000004</v>
      </c>
      <c r="AB2291" s="508">
        <v>0.78500000000000003</v>
      </c>
      <c r="AC2291" s="508">
        <v>0.76900000000000002</v>
      </c>
      <c r="AD2291" s="508">
        <v>0.57199999999999995</v>
      </c>
      <c r="AE2291" s="508">
        <v>0.56100000000000005</v>
      </c>
      <c r="AF2291" s="508">
        <v>0.49199999999999999</v>
      </c>
      <c r="AG2291" s="508">
        <v>0.48699999999999999</v>
      </c>
      <c r="AH2291" s="508">
        <v>0.48599999999999999</v>
      </c>
      <c r="AI2291" s="492">
        <v>0.48599999999999999</v>
      </c>
      <c r="AJ2291" s="485"/>
    </row>
    <row r="2292" spans="2:36">
      <c r="B2292" s="136" t="s">
        <v>461</v>
      </c>
      <c r="C2292" s="132" t="s">
        <v>1370</v>
      </c>
      <c r="D2292" s="132" t="s">
        <v>282</v>
      </c>
      <c r="E2292" s="508">
        <v>11.682</v>
      </c>
      <c r="F2292" s="508">
        <v>8.9540000000000006</v>
      </c>
      <c r="G2292" s="508">
        <v>7.7709999999999999</v>
      </c>
      <c r="H2292" s="508">
        <v>7.3120000000000003</v>
      </c>
      <c r="I2292" s="508">
        <v>6.3369999999999997</v>
      </c>
      <c r="J2292" s="508">
        <v>6.67</v>
      </c>
      <c r="K2292" s="508">
        <v>6.2590000000000003</v>
      </c>
      <c r="L2292" s="508">
        <v>6.3150000000000004</v>
      </c>
      <c r="M2292" s="508">
        <v>6.3380000000000001</v>
      </c>
      <c r="N2292" s="508">
        <v>6.2229999999999999</v>
      </c>
      <c r="O2292" s="508">
        <v>5.9939999999999998</v>
      </c>
      <c r="P2292" s="508">
        <v>6.2249999999999996</v>
      </c>
      <c r="Q2292" s="508">
        <v>6.2</v>
      </c>
      <c r="R2292" s="508">
        <v>6.1340000000000003</v>
      </c>
      <c r="S2292" s="508">
        <v>6.0739999999999998</v>
      </c>
      <c r="T2292" s="508">
        <v>5.84</v>
      </c>
      <c r="U2292" s="508">
        <v>6.0579999999999998</v>
      </c>
      <c r="V2292" s="508">
        <v>6.0629999999999997</v>
      </c>
      <c r="W2292" s="508">
        <v>2.9580000000000002</v>
      </c>
      <c r="X2292" s="508">
        <v>2.9390000000000001</v>
      </c>
      <c r="Y2292" s="508">
        <v>2.9119999999999999</v>
      </c>
      <c r="Z2292" s="508">
        <v>2.89</v>
      </c>
      <c r="AA2292" s="508">
        <v>0.79900000000000004</v>
      </c>
      <c r="AB2292" s="508">
        <v>0.78500000000000003</v>
      </c>
      <c r="AC2292" s="508">
        <v>0.76900000000000002</v>
      </c>
      <c r="AD2292" s="508">
        <v>0.57299999999999995</v>
      </c>
      <c r="AE2292" s="508">
        <v>0.56200000000000006</v>
      </c>
      <c r="AF2292" s="508">
        <v>0.49199999999999999</v>
      </c>
      <c r="AG2292" s="508">
        <v>0.48699999999999999</v>
      </c>
      <c r="AH2292" s="508">
        <v>0.48599999999999999</v>
      </c>
      <c r="AI2292" s="492">
        <v>0.48599999999999999</v>
      </c>
      <c r="AJ2292" s="485"/>
    </row>
    <row r="2293" spans="2:36">
      <c r="B2293" s="136" t="s">
        <v>462</v>
      </c>
      <c r="C2293" s="132" t="s">
        <v>1370</v>
      </c>
      <c r="D2293" s="132" t="s">
        <v>282</v>
      </c>
      <c r="E2293" s="508">
        <v>11.298999999999999</v>
      </c>
      <c r="F2293" s="508">
        <v>8.7159999999999993</v>
      </c>
      <c r="G2293" s="508">
        <v>7.5890000000000004</v>
      </c>
      <c r="H2293" s="508">
        <v>7.16</v>
      </c>
      <c r="I2293" s="508">
        <v>6.2229999999999999</v>
      </c>
      <c r="J2293" s="508">
        <v>6.5529999999999999</v>
      </c>
      <c r="K2293" s="508">
        <v>6.149</v>
      </c>
      <c r="L2293" s="508">
        <v>6.2110000000000003</v>
      </c>
      <c r="M2293" s="508">
        <v>6.2389999999999999</v>
      </c>
      <c r="N2293" s="508">
        <v>6.1280000000000001</v>
      </c>
      <c r="O2293" s="508">
        <v>5.9089999999999998</v>
      </c>
      <c r="P2293" s="508">
        <v>6.1369999999999996</v>
      </c>
      <c r="Q2293" s="508">
        <v>6.1139999999999999</v>
      </c>
      <c r="R2293" s="508">
        <v>6.0510000000000002</v>
      </c>
      <c r="S2293" s="508">
        <v>5.992</v>
      </c>
      <c r="T2293" s="508">
        <v>5.7640000000000002</v>
      </c>
      <c r="U2293" s="508">
        <v>5.9809999999999999</v>
      </c>
      <c r="V2293" s="508">
        <v>5.9889999999999999</v>
      </c>
      <c r="W2293" s="508">
        <v>2.92</v>
      </c>
      <c r="X2293" s="508">
        <v>2.9020000000000001</v>
      </c>
      <c r="Y2293" s="508">
        <v>2.8769999999999998</v>
      </c>
      <c r="Z2293" s="508">
        <v>2.8559999999999999</v>
      </c>
      <c r="AA2293" s="508">
        <v>0.78100000000000003</v>
      </c>
      <c r="AB2293" s="508">
        <v>0.76800000000000002</v>
      </c>
      <c r="AC2293" s="508">
        <v>0.753</v>
      </c>
      <c r="AD2293" s="508">
        <v>0.55800000000000005</v>
      </c>
      <c r="AE2293" s="508">
        <v>0.54800000000000004</v>
      </c>
      <c r="AF2293" s="508">
        <v>0.47899999999999998</v>
      </c>
      <c r="AG2293" s="508">
        <v>0.47399999999999998</v>
      </c>
      <c r="AH2293" s="508">
        <v>0.47399999999999998</v>
      </c>
      <c r="AI2293" s="492">
        <v>0.47399999999999998</v>
      </c>
      <c r="AJ2293" s="485"/>
    </row>
    <row r="2294" spans="2:36">
      <c r="B2294" s="136" t="s">
        <v>463</v>
      </c>
      <c r="C2294" s="132" t="s">
        <v>1370</v>
      </c>
      <c r="D2294" s="132" t="s">
        <v>282</v>
      </c>
      <c r="E2294" s="508">
        <v>10.747999999999999</v>
      </c>
      <c r="F2294" s="508">
        <v>8.3450000000000006</v>
      </c>
      <c r="G2294" s="508">
        <v>7.282</v>
      </c>
      <c r="H2294" s="508">
        <v>6.8949999999999996</v>
      </c>
      <c r="I2294" s="508">
        <v>5.9859999999999998</v>
      </c>
      <c r="J2294" s="508">
        <v>6.3310000000000004</v>
      </c>
      <c r="K2294" s="508">
        <v>5.9189999999999996</v>
      </c>
      <c r="L2294" s="508">
        <v>6.0010000000000003</v>
      </c>
      <c r="M2294" s="508">
        <v>6.0419999999999998</v>
      </c>
      <c r="N2294" s="508">
        <v>5.9349999999999996</v>
      </c>
      <c r="O2294" s="508">
        <v>5.7240000000000002</v>
      </c>
      <c r="P2294" s="508">
        <v>5.96</v>
      </c>
      <c r="Q2294" s="508">
        <v>5.9409999999999998</v>
      </c>
      <c r="R2294" s="508">
        <v>5.88</v>
      </c>
      <c r="S2294" s="508">
        <v>5.8220000000000001</v>
      </c>
      <c r="T2294" s="508">
        <v>5.5890000000000004</v>
      </c>
      <c r="U2294" s="508">
        <v>5.8230000000000004</v>
      </c>
      <c r="V2294" s="508">
        <v>5.835</v>
      </c>
      <c r="W2294" s="508">
        <v>2.786</v>
      </c>
      <c r="X2294" s="508">
        <v>2.7690000000000001</v>
      </c>
      <c r="Y2294" s="508">
        <v>2.746</v>
      </c>
      <c r="Z2294" s="508">
        <v>2.726</v>
      </c>
      <c r="AA2294" s="508">
        <v>0.74099999999999999</v>
      </c>
      <c r="AB2294" s="508">
        <v>0.72799999999999998</v>
      </c>
      <c r="AC2294" s="508">
        <v>0.71399999999999997</v>
      </c>
      <c r="AD2294" s="508">
        <v>0.52800000000000002</v>
      </c>
      <c r="AE2294" s="508">
        <v>0.51900000000000002</v>
      </c>
      <c r="AF2294" s="508">
        <v>0.45300000000000001</v>
      </c>
      <c r="AG2294" s="508">
        <v>0.44800000000000001</v>
      </c>
      <c r="AH2294" s="508">
        <v>0.44800000000000001</v>
      </c>
      <c r="AI2294" s="492">
        <v>0.44800000000000001</v>
      </c>
      <c r="AJ2294" s="485"/>
    </row>
    <row r="2295" spans="2:36">
      <c r="B2295" s="136" t="s">
        <v>464</v>
      </c>
      <c r="C2295" s="132" t="s">
        <v>1370</v>
      </c>
      <c r="D2295" s="132" t="s">
        <v>282</v>
      </c>
      <c r="E2295" s="508">
        <v>10.144</v>
      </c>
      <c r="F2295" s="508">
        <v>7.9829999999999997</v>
      </c>
      <c r="G2295" s="508">
        <v>7.0140000000000002</v>
      </c>
      <c r="H2295" s="508">
        <v>6.6790000000000003</v>
      </c>
      <c r="I2295" s="508">
        <v>5.8289999999999997</v>
      </c>
      <c r="J2295" s="508">
        <v>6.1719999999999997</v>
      </c>
      <c r="K2295" s="508">
        <v>5.77</v>
      </c>
      <c r="L2295" s="508">
        <v>5.8630000000000004</v>
      </c>
      <c r="M2295" s="508">
        <v>5.9139999999999997</v>
      </c>
      <c r="N2295" s="508">
        <v>5.8150000000000004</v>
      </c>
      <c r="O2295" s="508">
        <v>5.6180000000000003</v>
      </c>
      <c r="P2295" s="508">
        <v>5.85</v>
      </c>
      <c r="Q2295" s="508">
        <v>5.8360000000000003</v>
      </c>
      <c r="R2295" s="508">
        <v>5.7779999999999996</v>
      </c>
      <c r="S2295" s="508">
        <v>5.7240000000000002</v>
      </c>
      <c r="T2295" s="508">
        <v>5.4980000000000002</v>
      </c>
      <c r="U2295" s="508">
        <v>5.734</v>
      </c>
      <c r="V2295" s="508">
        <v>5.75</v>
      </c>
      <c r="W2295" s="508">
        <v>2.73</v>
      </c>
      <c r="X2295" s="508">
        <v>2.7160000000000002</v>
      </c>
      <c r="Y2295" s="508">
        <v>2.694</v>
      </c>
      <c r="Z2295" s="508">
        <v>2.6760000000000002</v>
      </c>
      <c r="AA2295" s="508">
        <v>0.71199999999999997</v>
      </c>
      <c r="AB2295" s="508">
        <v>0.70099999999999996</v>
      </c>
      <c r="AC2295" s="508">
        <v>0.68799999999999994</v>
      </c>
      <c r="AD2295" s="508">
        <v>0.505</v>
      </c>
      <c r="AE2295" s="508">
        <v>0.496</v>
      </c>
      <c r="AF2295" s="508">
        <v>0.432</v>
      </c>
      <c r="AG2295" s="508">
        <v>0.42799999999999999</v>
      </c>
      <c r="AH2295" s="508">
        <v>0.42699999999999999</v>
      </c>
      <c r="AI2295" s="492">
        <v>0.42699999999999999</v>
      </c>
      <c r="AJ2295" s="485"/>
    </row>
    <row r="2296" spans="2:36">
      <c r="B2296" s="136" t="s">
        <v>465</v>
      </c>
      <c r="C2296" s="132" t="s">
        <v>1370</v>
      </c>
      <c r="D2296" s="132" t="s">
        <v>282</v>
      </c>
      <c r="E2296" s="508">
        <v>10.467000000000001</v>
      </c>
      <c r="F2296" s="508">
        <v>8.19</v>
      </c>
      <c r="G2296" s="508">
        <v>7.1760000000000002</v>
      </c>
      <c r="H2296" s="508">
        <v>6.8170000000000002</v>
      </c>
      <c r="I2296" s="508">
        <v>5.9370000000000003</v>
      </c>
      <c r="J2296" s="508">
        <v>6.2830000000000004</v>
      </c>
      <c r="K2296" s="508">
        <v>5.8739999999999997</v>
      </c>
      <c r="L2296" s="508">
        <v>5.9630000000000001</v>
      </c>
      <c r="M2296" s="508">
        <v>6.01</v>
      </c>
      <c r="N2296" s="508">
        <v>5.907</v>
      </c>
      <c r="O2296" s="508">
        <v>5.7030000000000003</v>
      </c>
      <c r="P2296" s="508">
        <v>5.9379999999999997</v>
      </c>
      <c r="Q2296" s="508">
        <v>5.9219999999999997</v>
      </c>
      <c r="R2296" s="508">
        <v>5.8620000000000001</v>
      </c>
      <c r="S2296" s="508">
        <v>5.806</v>
      </c>
      <c r="T2296" s="508">
        <v>5.5759999999999996</v>
      </c>
      <c r="U2296" s="508">
        <v>5.8120000000000003</v>
      </c>
      <c r="V2296" s="508">
        <v>5.827</v>
      </c>
      <c r="W2296" s="508">
        <v>2.766</v>
      </c>
      <c r="X2296" s="508">
        <v>2.75</v>
      </c>
      <c r="Y2296" s="508">
        <v>2.7280000000000002</v>
      </c>
      <c r="Z2296" s="508">
        <v>2.7090000000000001</v>
      </c>
      <c r="AA2296" s="508">
        <v>0.72799999999999998</v>
      </c>
      <c r="AB2296" s="508">
        <v>0.71599999999999997</v>
      </c>
      <c r="AC2296" s="508">
        <v>0.70199999999999996</v>
      </c>
      <c r="AD2296" s="508">
        <v>0.51700000000000002</v>
      </c>
      <c r="AE2296" s="508">
        <v>0.50800000000000001</v>
      </c>
      <c r="AF2296" s="508">
        <v>0.443</v>
      </c>
      <c r="AG2296" s="508">
        <v>0.439</v>
      </c>
      <c r="AH2296" s="508">
        <v>0.438</v>
      </c>
      <c r="AI2296" s="492">
        <v>0.438</v>
      </c>
      <c r="AJ2296" s="485"/>
    </row>
    <row r="2297" spans="2:36">
      <c r="B2297" s="136" t="s">
        <v>466</v>
      </c>
      <c r="C2297" s="132" t="s">
        <v>1370</v>
      </c>
      <c r="D2297" s="132" t="s">
        <v>282</v>
      </c>
      <c r="E2297" s="508">
        <v>12.429</v>
      </c>
      <c r="F2297" s="508">
        <v>9.4640000000000004</v>
      </c>
      <c r="G2297" s="508">
        <v>8.1890000000000001</v>
      </c>
      <c r="H2297" s="508">
        <v>7.68</v>
      </c>
      <c r="I2297" s="508">
        <v>6.6470000000000002</v>
      </c>
      <c r="J2297" s="508">
        <v>6.9820000000000002</v>
      </c>
      <c r="K2297" s="508">
        <v>6.5609999999999999</v>
      </c>
      <c r="L2297" s="508">
        <v>6.6059999999999999</v>
      </c>
      <c r="M2297" s="508">
        <v>6.6189999999999998</v>
      </c>
      <c r="N2297" s="508">
        <v>6.4969999999999999</v>
      </c>
      <c r="O2297" s="508">
        <v>6.2539999999999996</v>
      </c>
      <c r="P2297" s="508">
        <v>6.4889999999999999</v>
      </c>
      <c r="Q2297" s="508">
        <v>6.4589999999999996</v>
      </c>
      <c r="R2297" s="508">
        <v>6.39</v>
      </c>
      <c r="S2297" s="508">
        <v>6.3259999999999996</v>
      </c>
      <c r="T2297" s="508">
        <v>6.0860000000000003</v>
      </c>
      <c r="U2297" s="508">
        <v>6.3010000000000002</v>
      </c>
      <c r="V2297" s="508">
        <v>6.3029999999999999</v>
      </c>
      <c r="W2297" s="508">
        <v>3.0750000000000002</v>
      </c>
      <c r="X2297" s="508">
        <v>3.0539999999999998</v>
      </c>
      <c r="Y2297" s="508">
        <v>3.0249999999999999</v>
      </c>
      <c r="Z2297" s="508">
        <v>3.0009999999999999</v>
      </c>
      <c r="AA2297" s="508">
        <v>0.84</v>
      </c>
      <c r="AB2297" s="508">
        <v>0.82499999999999996</v>
      </c>
      <c r="AC2297" s="508">
        <v>0.80700000000000005</v>
      </c>
      <c r="AD2297" s="508">
        <v>0.60399999999999998</v>
      </c>
      <c r="AE2297" s="508">
        <v>0.59199999999999997</v>
      </c>
      <c r="AF2297" s="508">
        <v>0.51900000000000002</v>
      </c>
      <c r="AG2297" s="508">
        <v>0.51400000000000001</v>
      </c>
      <c r="AH2297" s="508">
        <v>0.51400000000000001</v>
      </c>
      <c r="AI2297" s="492">
        <v>0.51400000000000001</v>
      </c>
      <c r="AJ2297" s="485"/>
    </row>
    <row r="2298" spans="2:36">
      <c r="B2298" s="136" t="s">
        <v>467</v>
      </c>
      <c r="C2298" s="132" t="s">
        <v>1370</v>
      </c>
      <c r="D2298" s="132" t="s">
        <v>282</v>
      </c>
      <c r="E2298" s="508">
        <v>11.494</v>
      </c>
      <c r="F2298" s="508">
        <v>8.8360000000000003</v>
      </c>
      <c r="G2298" s="508">
        <v>7.6790000000000003</v>
      </c>
      <c r="H2298" s="508">
        <v>7.2350000000000003</v>
      </c>
      <c r="I2298" s="508">
        <v>6.2759999999999998</v>
      </c>
      <c r="J2298" s="508">
        <v>6.61</v>
      </c>
      <c r="K2298" s="508">
        <v>6.2</v>
      </c>
      <c r="L2298" s="508">
        <v>6.2610000000000001</v>
      </c>
      <c r="M2298" s="508">
        <v>6.2859999999999996</v>
      </c>
      <c r="N2298" s="508">
        <v>6.173</v>
      </c>
      <c r="O2298" s="508">
        <v>5.9489999999999998</v>
      </c>
      <c r="P2298" s="508">
        <v>6.18</v>
      </c>
      <c r="Q2298" s="508">
        <v>6.1550000000000002</v>
      </c>
      <c r="R2298" s="508">
        <v>6.0910000000000002</v>
      </c>
      <c r="S2298" s="508">
        <v>6.0309999999999997</v>
      </c>
      <c r="T2298" s="508">
        <v>5.7990000000000004</v>
      </c>
      <c r="U2298" s="508">
        <v>6.0179999999999998</v>
      </c>
      <c r="V2298" s="508">
        <v>6.0250000000000004</v>
      </c>
      <c r="W2298" s="508">
        <v>2.9329999999999998</v>
      </c>
      <c r="X2298" s="508">
        <v>2.9140000000000001</v>
      </c>
      <c r="Y2298" s="508">
        <v>2.8879999999999999</v>
      </c>
      <c r="Z2298" s="508">
        <v>2.867</v>
      </c>
      <c r="AA2298" s="508">
        <v>0.78900000000000003</v>
      </c>
      <c r="AB2298" s="508">
        <v>0.77500000000000002</v>
      </c>
      <c r="AC2298" s="508">
        <v>0.76</v>
      </c>
      <c r="AD2298" s="508">
        <v>0.56499999999999995</v>
      </c>
      <c r="AE2298" s="508">
        <v>0.55400000000000005</v>
      </c>
      <c r="AF2298" s="508">
        <v>0.48499999999999999</v>
      </c>
      <c r="AG2298" s="508">
        <v>0.48</v>
      </c>
      <c r="AH2298" s="508">
        <v>0.48</v>
      </c>
      <c r="AI2298" s="492">
        <v>0.48</v>
      </c>
      <c r="AJ2298" s="485"/>
    </row>
    <row r="2299" spans="2:36">
      <c r="B2299" s="136" t="s">
        <v>468</v>
      </c>
      <c r="C2299" s="132" t="s">
        <v>1370</v>
      </c>
      <c r="D2299" s="132" t="s">
        <v>282</v>
      </c>
      <c r="E2299" s="508">
        <v>9.7859999999999996</v>
      </c>
      <c r="F2299" s="508">
        <v>7.7610000000000001</v>
      </c>
      <c r="G2299" s="508">
        <v>6.8410000000000002</v>
      </c>
      <c r="H2299" s="508">
        <v>6.5380000000000003</v>
      </c>
      <c r="I2299" s="508">
        <v>5.7110000000000003</v>
      </c>
      <c r="J2299" s="508">
        <v>6.0640000000000001</v>
      </c>
      <c r="K2299" s="508">
        <v>5.6559999999999997</v>
      </c>
      <c r="L2299" s="508">
        <v>5.7640000000000002</v>
      </c>
      <c r="M2299" s="508">
        <v>5.8250000000000002</v>
      </c>
      <c r="N2299" s="508">
        <v>5.7279999999999998</v>
      </c>
      <c r="O2299" s="508">
        <v>5.5380000000000003</v>
      </c>
      <c r="P2299" s="508">
        <v>5.7750000000000004</v>
      </c>
      <c r="Q2299" s="508">
        <v>5.7649999999999997</v>
      </c>
      <c r="R2299" s="508">
        <v>5.7080000000000002</v>
      </c>
      <c r="S2299" s="508">
        <v>5.6539999999999999</v>
      </c>
      <c r="T2299" s="508">
        <v>5.4249999999999998</v>
      </c>
      <c r="U2299" s="508">
        <v>5.673</v>
      </c>
      <c r="V2299" s="508">
        <v>5.6920000000000002</v>
      </c>
      <c r="W2299" s="508">
        <v>2.6560000000000001</v>
      </c>
      <c r="X2299" s="508">
        <v>2.6429999999999998</v>
      </c>
      <c r="Y2299" s="508">
        <v>2.6230000000000002</v>
      </c>
      <c r="Z2299" s="508">
        <v>2.6059999999999999</v>
      </c>
      <c r="AA2299" s="508">
        <v>0.68700000000000006</v>
      </c>
      <c r="AB2299" s="508">
        <v>0.67700000000000005</v>
      </c>
      <c r="AC2299" s="508">
        <v>0.66400000000000003</v>
      </c>
      <c r="AD2299" s="508">
        <v>0.48599999999999999</v>
      </c>
      <c r="AE2299" s="508">
        <v>0.47799999999999998</v>
      </c>
      <c r="AF2299" s="508">
        <v>0.41599999999999998</v>
      </c>
      <c r="AG2299" s="508">
        <v>0.41099999999999998</v>
      </c>
      <c r="AH2299" s="508">
        <v>0.41099999999999998</v>
      </c>
      <c r="AI2299" s="492">
        <v>0.41099999999999998</v>
      </c>
      <c r="AJ2299" s="485"/>
    </row>
    <row r="2300" spans="2:36">
      <c r="B2300" s="136" t="s">
        <v>469</v>
      </c>
      <c r="C2300" s="132" t="s">
        <v>1370</v>
      </c>
      <c r="D2300" s="132" t="s">
        <v>282</v>
      </c>
      <c r="E2300" s="508">
        <v>10.709</v>
      </c>
      <c r="F2300" s="508">
        <v>8.3469999999999995</v>
      </c>
      <c r="G2300" s="508">
        <v>7.3019999999999996</v>
      </c>
      <c r="H2300" s="508">
        <v>6.923</v>
      </c>
      <c r="I2300" s="508">
        <v>6.0270000000000001</v>
      </c>
      <c r="J2300" s="508">
        <v>6.3689999999999998</v>
      </c>
      <c r="K2300" s="508">
        <v>5.9610000000000003</v>
      </c>
      <c r="L2300" s="508">
        <v>6.0430000000000001</v>
      </c>
      <c r="M2300" s="508">
        <v>6.085</v>
      </c>
      <c r="N2300" s="508">
        <v>5.98</v>
      </c>
      <c r="O2300" s="508">
        <v>5.7709999999999999</v>
      </c>
      <c r="P2300" s="508">
        <v>6.0049999999999999</v>
      </c>
      <c r="Q2300" s="508">
        <v>5.9870000000000001</v>
      </c>
      <c r="R2300" s="508">
        <v>5.9260000000000002</v>
      </c>
      <c r="S2300" s="508">
        <v>5.8689999999999998</v>
      </c>
      <c r="T2300" s="508">
        <v>5.6390000000000002</v>
      </c>
      <c r="U2300" s="508">
        <v>5.8710000000000004</v>
      </c>
      <c r="V2300" s="508">
        <v>5.883</v>
      </c>
      <c r="W2300" s="508">
        <v>2.8109999999999999</v>
      </c>
      <c r="X2300" s="508">
        <v>2.7949999999999999</v>
      </c>
      <c r="Y2300" s="508">
        <v>2.7719999999999998</v>
      </c>
      <c r="Z2300" s="508">
        <v>2.7530000000000001</v>
      </c>
      <c r="AA2300" s="508">
        <v>0.74299999999999999</v>
      </c>
      <c r="AB2300" s="508">
        <v>0.73099999999999998</v>
      </c>
      <c r="AC2300" s="508">
        <v>0.71699999999999997</v>
      </c>
      <c r="AD2300" s="508">
        <v>0.52900000000000003</v>
      </c>
      <c r="AE2300" s="508">
        <v>0.51900000000000002</v>
      </c>
      <c r="AF2300" s="508">
        <v>0.45300000000000001</v>
      </c>
      <c r="AG2300" s="508">
        <v>0.44900000000000001</v>
      </c>
      <c r="AH2300" s="508">
        <v>0.44800000000000001</v>
      </c>
      <c r="AI2300" s="492">
        <v>0.44800000000000001</v>
      </c>
      <c r="AJ2300" s="485"/>
    </row>
    <row r="2301" spans="2:36">
      <c r="B2301" s="136" t="s">
        <v>470</v>
      </c>
      <c r="C2301" s="132" t="s">
        <v>1370</v>
      </c>
      <c r="D2301" s="132" t="s">
        <v>282</v>
      </c>
      <c r="E2301" s="508">
        <v>12.38</v>
      </c>
      <c r="F2301" s="508">
        <v>9.4060000000000006</v>
      </c>
      <c r="G2301" s="508">
        <v>8.1270000000000007</v>
      </c>
      <c r="H2301" s="508">
        <v>7.6159999999999997</v>
      </c>
      <c r="I2301" s="508">
        <v>6.5819999999999999</v>
      </c>
      <c r="J2301" s="508">
        <v>6.9160000000000004</v>
      </c>
      <c r="K2301" s="508">
        <v>6.4960000000000004</v>
      </c>
      <c r="L2301" s="508">
        <v>6.5389999999999997</v>
      </c>
      <c r="M2301" s="508">
        <v>6.5510000000000002</v>
      </c>
      <c r="N2301" s="508">
        <v>6.4290000000000003</v>
      </c>
      <c r="O2301" s="508">
        <v>6.1859999999999999</v>
      </c>
      <c r="P2301" s="508">
        <v>6.42</v>
      </c>
      <c r="Q2301" s="508">
        <v>6.39</v>
      </c>
      <c r="R2301" s="508">
        <v>6.3209999999999997</v>
      </c>
      <c r="S2301" s="508">
        <v>6.2569999999999997</v>
      </c>
      <c r="T2301" s="508">
        <v>6.0170000000000003</v>
      </c>
      <c r="U2301" s="508">
        <v>6.2309999999999999</v>
      </c>
      <c r="V2301" s="508">
        <v>6.2329999999999997</v>
      </c>
      <c r="W2301" s="508">
        <v>3.052</v>
      </c>
      <c r="X2301" s="508">
        <v>3.03</v>
      </c>
      <c r="Y2301" s="508">
        <v>3.0009999999999999</v>
      </c>
      <c r="Z2301" s="508">
        <v>2.9780000000000002</v>
      </c>
      <c r="AA2301" s="508">
        <v>0.83599999999999997</v>
      </c>
      <c r="AB2301" s="508">
        <v>0.82</v>
      </c>
      <c r="AC2301" s="508">
        <v>0.80300000000000005</v>
      </c>
      <c r="AD2301" s="508">
        <v>0.60099999999999998</v>
      </c>
      <c r="AE2301" s="508">
        <v>0.58899999999999997</v>
      </c>
      <c r="AF2301" s="508">
        <v>0.51700000000000002</v>
      </c>
      <c r="AG2301" s="508">
        <v>0.51200000000000001</v>
      </c>
      <c r="AH2301" s="508">
        <v>0.51200000000000001</v>
      </c>
      <c r="AI2301" s="492">
        <v>0.51200000000000001</v>
      </c>
      <c r="AJ2301" s="485"/>
    </row>
    <row r="2302" spans="2:36">
      <c r="B2302" s="136" t="s">
        <v>471</v>
      </c>
      <c r="C2302" s="132" t="s">
        <v>1370</v>
      </c>
      <c r="D2302" s="132" t="s">
        <v>282</v>
      </c>
      <c r="E2302" s="508">
        <v>12.010999999999999</v>
      </c>
      <c r="F2302" s="508">
        <v>9.17</v>
      </c>
      <c r="G2302" s="508">
        <v>7.9429999999999996</v>
      </c>
      <c r="H2302" s="508">
        <v>7.4589999999999996</v>
      </c>
      <c r="I2302" s="508">
        <v>6.46</v>
      </c>
      <c r="J2302" s="508">
        <v>6.7910000000000004</v>
      </c>
      <c r="K2302" s="508">
        <v>6.3780000000000001</v>
      </c>
      <c r="L2302" s="508">
        <v>6.4269999999999996</v>
      </c>
      <c r="M2302" s="508">
        <v>6.4429999999999996</v>
      </c>
      <c r="N2302" s="508">
        <v>6.3259999999999996</v>
      </c>
      <c r="O2302" s="508">
        <v>6.0910000000000002</v>
      </c>
      <c r="P2302" s="508">
        <v>6.3209999999999997</v>
      </c>
      <c r="Q2302" s="508">
        <v>6.2930000000000001</v>
      </c>
      <c r="R2302" s="508">
        <v>6.2270000000000003</v>
      </c>
      <c r="S2302" s="508">
        <v>6.165</v>
      </c>
      <c r="T2302" s="508">
        <v>5.93</v>
      </c>
      <c r="U2302" s="508">
        <v>6.1429999999999998</v>
      </c>
      <c r="V2302" s="508">
        <v>6.1470000000000002</v>
      </c>
      <c r="W2302" s="508">
        <v>3.0129999999999999</v>
      </c>
      <c r="X2302" s="508">
        <v>2.9929999999999999</v>
      </c>
      <c r="Y2302" s="508">
        <v>2.9649999999999999</v>
      </c>
      <c r="Z2302" s="508">
        <v>2.9420000000000002</v>
      </c>
      <c r="AA2302" s="508">
        <v>0.81899999999999995</v>
      </c>
      <c r="AB2302" s="508">
        <v>0.80400000000000005</v>
      </c>
      <c r="AC2302" s="508">
        <v>0.78700000000000003</v>
      </c>
      <c r="AD2302" s="508">
        <v>0.58699999999999997</v>
      </c>
      <c r="AE2302" s="508">
        <v>0.57599999999999996</v>
      </c>
      <c r="AF2302" s="508">
        <v>0.505</v>
      </c>
      <c r="AG2302" s="508">
        <v>0.5</v>
      </c>
      <c r="AH2302" s="508">
        <v>0.499</v>
      </c>
      <c r="AI2302" s="492">
        <v>0.499</v>
      </c>
      <c r="AJ2302" s="485"/>
    </row>
    <row r="2303" spans="2:36">
      <c r="B2303" s="136" t="s">
        <v>472</v>
      </c>
      <c r="C2303" s="132" t="s">
        <v>1370</v>
      </c>
      <c r="D2303" s="132" t="s">
        <v>282</v>
      </c>
      <c r="E2303" s="508">
        <v>10.342000000000001</v>
      </c>
      <c r="F2303" s="508">
        <v>8.1039999999999992</v>
      </c>
      <c r="G2303" s="508">
        <v>7.1070000000000002</v>
      </c>
      <c r="H2303" s="508">
        <v>6.7539999999999996</v>
      </c>
      <c r="I2303" s="508">
        <v>5.89</v>
      </c>
      <c r="J2303" s="508">
        <v>6.23</v>
      </c>
      <c r="K2303" s="508">
        <v>5.8280000000000003</v>
      </c>
      <c r="L2303" s="508">
        <v>5.915</v>
      </c>
      <c r="M2303" s="508">
        <v>5.9610000000000003</v>
      </c>
      <c r="N2303" s="508">
        <v>5.86</v>
      </c>
      <c r="O2303" s="508">
        <v>5.6589999999999998</v>
      </c>
      <c r="P2303" s="508">
        <v>5.89</v>
      </c>
      <c r="Q2303" s="508">
        <v>5.8739999999999997</v>
      </c>
      <c r="R2303" s="508">
        <v>5.8159999999999998</v>
      </c>
      <c r="S2303" s="508">
        <v>5.7610000000000001</v>
      </c>
      <c r="T2303" s="508">
        <v>5.5339999999999998</v>
      </c>
      <c r="U2303" s="508">
        <v>5.7670000000000003</v>
      </c>
      <c r="V2303" s="508">
        <v>5.7809999999999997</v>
      </c>
      <c r="W2303" s="508">
        <v>2.7629999999999999</v>
      </c>
      <c r="X2303" s="508">
        <v>2.7480000000000002</v>
      </c>
      <c r="Y2303" s="508">
        <v>2.726</v>
      </c>
      <c r="Z2303" s="508">
        <v>2.7080000000000002</v>
      </c>
      <c r="AA2303" s="508">
        <v>0.72399999999999998</v>
      </c>
      <c r="AB2303" s="508">
        <v>0.71299999999999997</v>
      </c>
      <c r="AC2303" s="508">
        <v>0.69899999999999995</v>
      </c>
      <c r="AD2303" s="508">
        <v>0.51500000000000001</v>
      </c>
      <c r="AE2303" s="508">
        <v>0.505</v>
      </c>
      <c r="AF2303" s="508">
        <v>0.441</v>
      </c>
      <c r="AG2303" s="508">
        <v>0.436</v>
      </c>
      <c r="AH2303" s="508">
        <v>0.436</v>
      </c>
      <c r="AI2303" s="492">
        <v>0.436</v>
      </c>
      <c r="AJ2303" s="485"/>
    </row>
    <row r="2304" spans="2:36">
      <c r="B2304" s="136" t="s">
        <v>473</v>
      </c>
      <c r="C2304" s="132" t="s">
        <v>1370</v>
      </c>
      <c r="D2304" s="132" t="s">
        <v>282</v>
      </c>
      <c r="E2304" s="508">
        <v>12.323</v>
      </c>
      <c r="F2304" s="508">
        <v>9.3810000000000002</v>
      </c>
      <c r="G2304" s="508">
        <v>8.1159999999999997</v>
      </c>
      <c r="H2304" s="508">
        <v>7.6109999999999998</v>
      </c>
      <c r="I2304" s="508">
        <v>6.5880000000000001</v>
      </c>
      <c r="J2304" s="508">
        <v>6.9189999999999996</v>
      </c>
      <c r="K2304" s="508">
        <v>6.5019999999999998</v>
      </c>
      <c r="L2304" s="508">
        <v>6.5460000000000003</v>
      </c>
      <c r="M2304" s="508">
        <v>6.5579999999999998</v>
      </c>
      <c r="N2304" s="508">
        <v>6.4370000000000003</v>
      </c>
      <c r="O2304" s="508">
        <v>6.1970000000000001</v>
      </c>
      <c r="P2304" s="508">
        <v>6.4290000000000003</v>
      </c>
      <c r="Q2304" s="508">
        <v>6.399</v>
      </c>
      <c r="R2304" s="508">
        <v>6.3310000000000004</v>
      </c>
      <c r="S2304" s="508">
        <v>6.2670000000000003</v>
      </c>
      <c r="T2304" s="508">
        <v>6.03</v>
      </c>
      <c r="U2304" s="508">
        <v>6.242</v>
      </c>
      <c r="V2304" s="508">
        <v>6.2439999999999998</v>
      </c>
      <c r="W2304" s="508">
        <v>3.0619999999999998</v>
      </c>
      <c r="X2304" s="508">
        <v>3.04</v>
      </c>
      <c r="Y2304" s="508">
        <v>3.012</v>
      </c>
      <c r="Z2304" s="508">
        <v>2.988</v>
      </c>
      <c r="AA2304" s="508">
        <v>0.83599999999999997</v>
      </c>
      <c r="AB2304" s="508">
        <v>0.82</v>
      </c>
      <c r="AC2304" s="508">
        <v>0.80300000000000005</v>
      </c>
      <c r="AD2304" s="508">
        <v>0.60099999999999998</v>
      </c>
      <c r="AE2304" s="508">
        <v>0.58899999999999997</v>
      </c>
      <c r="AF2304" s="508">
        <v>0.51600000000000001</v>
      </c>
      <c r="AG2304" s="508">
        <v>0.51100000000000001</v>
      </c>
      <c r="AH2304" s="508">
        <v>0.51100000000000001</v>
      </c>
      <c r="AI2304" s="492">
        <v>0.51100000000000001</v>
      </c>
      <c r="AJ2304" s="485"/>
    </row>
    <row r="2305" spans="2:36">
      <c r="B2305" s="136" t="s">
        <v>474</v>
      </c>
      <c r="C2305" s="132" t="s">
        <v>1370</v>
      </c>
      <c r="D2305" s="132" t="s">
        <v>282</v>
      </c>
      <c r="E2305" s="508">
        <v>11.471</v>
      </c>
      <c r="F2305" s="508">
        <v>8.8309999999999995</v>
      </c>
      <c r="G2305" s="508">
        <v>7.681</v>
      </c>
      <c r="H2305" s="508">
        <v>7.2409999999999997</v>
      </c>
      <c r="I2305" s="508">
        <v>6.2859999999999996</v>
      </c>
      <c r="J2305" s="508">
        <v>6.6210000000000004</v>
      </c>
      <c r="K2305" s="508">
        <v>6.21</v>
      </c>
      <c r="L2305" s="508">
        <v>6.2729999999999997</v>
      </c>
      <c r="M2305" s="508">
        <v>6.3</v>
      </c>
      <c r="N2305" s="508">
        <v>6.1879999999999997</v>
      </c>
      <c r="O2305" s="508">
        <v>5.9640000000000004</v>
      </c>
      <c r="P2305" s="508">
        <v>6.1959999999999997</v>
      </c>
      <c r="Q2305" s="508">
        <v>6.1719999999999997</v>
      </c>
      <c r="R2305" s="508">
        <v>6.1079999999999997</v>
      </c>
      <c r="S2305" s="508">
        <v>6.048</v>
      </c>
      <c r="T2305" s="508">
        <v>5.8150000000000004</v>
      </c>
      <c r="U2305" s="508">
        <v>6.0359999999999996</v>
      </c>
      <c r="V2305" s="508">
        <v>6.0430000000000001</v>
      </c>
      <c r="W2305" s="508">
        <v>2.931</v>
      </c>
      <c r="X2305" s="508">
        <v>2.9119999999999999</v>
      </c>
      <c r="Y2305" s="508">
        <v>2.8860000000000001</v>
      </c>
      <c r="Z2305" s="508">
        <v>2.8650000000000002</v>
      </c>
      <c r="AA2305" s="508">
        <v>0.78800000000000003</v>
      </c>
      <c r="AB2305" s="508">
        <v>0.77400000000000002</v>
      </c>
      <c r="AC2305" s="508">
        <v>0.75800000000000001</v>
      </c>
      <c r="AD2305" s="508">
        <v>0.56299999999999994</v>
      </c>
      <c r="AE2305" s="508">
        <v>0.55200000000000005</v>
      </c>
      <c r="AF2305" s="508">
        <v>0.48299999999999998</v>
      </c>
      <c r="AG2305" s="508">
        <v>0.47899999999999998</v>
      </c>
      <c r="AH2305" s="508">
        <v>0.47799999999999998</v>
      </c>
      <c r="AI2305" s="492">
        <v>0.47799999999999998</v>
      </c>
      <c r="AJ2305" s="485"/>
    </row>
    <row r="2306" spans="2:36">
      <c r="B2306" s="136" t="s">
        <v>475</v>
      </c>
      <c r="C2306" s="132" t="s">
        <v>1370</v>
      </c>
      <c r="D2306" s="132" t="s">
        <v>282</v>
      </c>
      <c r="E2306" s="508">
        <v>11.23</v>
      </c>
      <c r="F2306" s="508">
        <v>8.6720000000000006</v>
      </c>
      <c r="G2306" s="508">
        <v>7.5529999999999999</v>
      </c>
      <c r="H2306" s="508">
        <v>7.1310000000000002</v>
      </c>
      <c r="I2306" s="508">
        <v>6.1929999999999996</v>
      </c>
      <c r="J2306" s="508">
        <v>6.53</v>
      </c>
      <c r="K2306" s="508">
        <v>6.1210000000000004</v>
      </c>
      <c r="L2306" s="508">
        <v>6.1879999999999997</v>
      </c>
      <c r="M2306" s="508">
        <v>6.2190000000000003</v>
      </c>
      <c r="N2306" s="508">
        <v>6.109</v>
      </c>
      <c r="O2306" s="508">
        <v>5.89</v>
      </c>
      <c r="P2306" s="508">
        <v>6.1219999999999999</v>
      </c>
      <c r="Q2306" s="508">
        <v>6.1</v>
      </c>
      <c r="R2306" s="508">
        <v>6.0369999999999999</v>
      </c>
      <c r="S2306" s="508">
        <v>5.9779999999999998</v>
      </c>
      <c r="T2306" s="508">
        <v>5.7460000000000004</v>
      </c>
      <c r="U2306" s="508">
        <v>5.97</v>
      </c>
      <c r="V2306" s="508">
        <v>5.9779999999999998</v>
      </c>
      <c r="W2306" s="508">
        <v>2.8919999999999999</v>
      </c>
      <c r="X2306" s="508">
        <v>2.8740000000000001</v>
      </c>
      <c r="Y2306" s="508">
        <v>2.8490000000000002</v>
      </c>
      <c r="Z2306" s="508">
        <v>2.8279999999999998</v>
      </c>
      <c r="AA2306" s="508">
        <v>0.77400000000000002</v>
      </c>
      <c r="AB2306" s="508">
        <v>0.76</v>
      </c>
      <c r="AC2306" s="508">
        <v>0.745</v>
      </c>
      <c r="AD2306" s="508">
        <v>0.55300000000000005</v>
      </c>
      <c r="AE2306" s="508">
        <v>0.54200000000000004</v>
      </c>
      <c r="AF2306" s="508">
        <v>0.47399999999999998</v>
      </c>
      <c r="AG2306" s="508">
        <v>0.46899999999999997</v>
      </c>
      <c r="AH2306" s="508">
        <v>0.46899999999999997</v>
      </c>
      <c r="AI2306" s="492">
        <v>0.46899999999999997</v>
      </c>
      <c r="AJ2306" s="485"/>
    </row>
    <row r="2307" spans="2:36">
      <c r="B2307" s="136" t="s">
        <v>476</v>
      </c>
      <c r="C2307" s="132" t="s">
        <v>1370</v>
      </c>
      <c r="D2307" s="132" t="s">
        <v>282</v>
      </c>
      <c r="E2307" s="508">
        <v>11.68</v>
      </c>
      <c r="F2307" s="508">
        <v>8.9700000000000006</v>
      </c>
      <c r="G2307" s="508">
        <v>7.7910000000000004</v>
      </c>
      <c r="H2307" s="508">
        <v>7.3369999999999997</v>
      </c>
      <c r="I2307" s="508">
        <v>6.3609999999999998</v>
      </c>
      <c r="J2307" s="508">
        <v>6.7</v>
      </c>
      <c r="K2307" s="508">
        <v>6.2839999999999998</v>
      </c>
      <c r="L2307" s="508">
        <v>6.3449999999999998</v>
      </c>
      <c r="M2307" s="508">
        <v>6.37</v>
      </c>
      <c r="N2307" s="508">
        <v>6.2549999999999999</v>
      </c>
      <c r="O2307" s="508">
        <v>6.0270000000000001</v>
      </c>
      <c r="P2307" s="508">
        <v>6.2610000000000001</v>
      </c>
      <c r="Q2307" s="508">
        <v>6.2359999999999998</v>
      </c>
      <c r="R2307" s="508">
        <v>6.1710000000000003</v>
      </c>
      <c r="S2307" s="508">
        <v>6.11</v>
      </c>
      <c r="T2307" s="508">
        <v>5.8739999999999997</v>
      </c>
      <c r="U2307" s="508">
        <v>6.0960000000000001</v>
      </c>
      <c r="V2307" s="508">
        <v>6.1029999999999998</v>
      </c>
      <c r="W2307" s="508">
        <v>2.952</v>
      </c>
      <c r="X2307" s="508">
        <v>2.9329999999999998</v>
      </c>
      <c r="Y2307" s="508">
        <v>2.907</v>
      </c>
      <c r="Z2307" s="508">
        <v>2.8849999999999998</v>
      </c>
      <c r="AA2307" s="508">
        <v>0.79700000000000004</v>
      </c>
      <c r="AB2307" s="508">
        <v>0.78300000000000003</v>
      </c>
      <c r="AC2307" s="508">
        <v>0.76700000000000002</v>
      </c>
      <c r="AD2307" s="508">
        <v>0.57099999999999995</v>
      </c>
      <c r="AE2307" s="508">
        <v>0.56000000000000005</v>
      </c>
      <c r="AF2307" s="508">
        <v>0.49</v>
      </c>
      <c r="AG2307" s="508">
        <v>0.48499999999999999</v>
      </c>
      <c r="AH2307" s="508">
        <v>0.48499999999999999</v>
      </c>
      <c r="AI2307" s="492">
        <v>0.48499999999999999</v>
      </c>
      <c r="AJ2307" s="485"/>
    </row>
    <row r="2308" spans="2:36">
      <c r="B2308" s="136" t="s">
        <v>478</v>
      </c>
      <c r="C2308" s="132" t="s">
        <v>1370</v>
      </c>
      <c r="D2308" s="132" t="s">
        <v>282</v>
      </c>
      <c r="E2308" s="508">
        <v>12.489000000000001</v>
      </c>
      <c r="F2308" s="508">
        <v>9.4779999999999998</v>
      </c>
      <c r="G2308" s="508">
        <v>8.1829999999999998</v>
      </c>
      <c r="H2308" s="508">
        <v>7.6660000000000004</v>
      </c>
      <c r="I2308" s="508">
        <v>6.6180000000000003</v>
      </c>
      <c r="J2308" s="508">
        <v>6.9580000000000002</v>
      </c>
      <c r="K2308" s="508">
        <v>6.5309999999999997</v>
      </c>
      <c r="L2308" s="508">
        <v>6.5759999999999996</v>
      </c>
      <c r="M2308" s="508">
        <v>6.5890000000000004</v>
      </c>
      <c r="N2308" s="508">
        <v>6.4649999999999999</v>
      </c>
      <c r="O2308" s="508">
        <v>6.218</v>
      </c>
      <c r="P2308" s="508">
        <v>6.4560000000000004</v>
      </c>
      <c r="Q2308" s="508">
        <v>6.4260000000000002</v>
      </c>
      <c r="R2308" s="508">
        <v>6.3559999999999999</v>
      </c>
      <c r="S2308" s="508">
        <v>6.2910000000000004</v>
      </c>
      <c r="T2308" s="508">
        <v>6.048</v>
      </c>
      <c r="U2308" s="508">
        <v>6.2649999999999997</v>
      </c>
      <c r="V2308" s="508">
        <v>6.2670000000000003</v>
      </c>
      <c r="W2308" s="508">
        <v>3.052</v>
      </c>
      <c r="X2308" s="508">
        <v>3.03</v>
      </c>
      <c r="Y2308" s="508">
        <v>3.0009999999999999</v>
      </c>
      <c r="Z2308" s="508">
        <v>2.9769999999999999</v>
      </c>
      <c r="AA2308" s="508">
        <v>0.83899999999999997</v>
      </c>
      <c r="AB2308" s="508">
        <v>0.82299999999999995</v>
      </c>
      <c r="AC2308" s="508">
        <v>0.80500000000000005</v>
      </c>
      <c r="AD2308" s="508">
        <v>0.60399999999999998</v>
      </c>
      <c r="AE2308" s="508">
        <v>0.59099999999999997</v>
      </c>
      <c r="AF2308" s="508">
        <v>0.51900000000000002</v>
      </c>
      <c r="AG2308" s="508">
        <v>0.51400000000000001</v>
      </c>
      <c r="AH2308" s="508">
        <v>0.51400000000000001</v>
      </c>
      <c r="AI2308" s="492">
        <v>0.51400000000000001</v>
      </c>
      <c r="AJ2308" s="485"/>
    </row>
    <row r="2309" spans="2:36">
      <c r="B2309" s="136" t="s">
        <v>479</v>
      </c>
      <c r="C2309" s="132" t="s">
        <v>1370</v>
      </c>
      <c r="D2309" s="132" t="s">
        <v>282</v>
      </c>
      <c r="E2309" s="508">
        <v>11.057</v>
      </c>
      <c r="F2309" s="508">
        <v>8.5719999999999992</v>
      </c>
      <c r="G2309" s="508">
        <v>7.4790000000000001</v>
      </c>
      <c r="H2309" s="508">
        <v>7.0739999999999998</v>
      </c>
      <c r="I2309" s="508">
        <v>6.15</v>
      </c>
      <c r="J2309" s="508">
        <v>6.4909999999999997</v>
      </c>
      <c r="K2309" s="508">
        <v>6.08</v>
      </c>
      <c r="L2309" s="508">
        <v>6.1539999999999999</v>
      </c>
      <c r="M2309" s="508">
        <v>6.19</v>
      </c>
      <c r="N2309" s="508">
        <v>6.0819999999999999</v>
      </c>
      <c r="O2309" s="508">
        <v>5.8659999999999997</v>
      </c>
      <c r="P2309" s="508">
        <v>6.1</v>
      </c>
      <c r="Q2309" s="508">
        <v>6.08</v>
      </c>
      <c r="R2309" s="508">
        <v>6.0170000000000003</v>
      </c>
      <c r="S2309" s="508">
        <v>5.9589999999999996</v>
      </c>
      <c r="T2309" s="508">
        <v>5.7270000000000003</v>
      </c>
      <c r="U2309" s="508">
        <v>5.9560000000000004</v>
      </c>
      <c r="V2309" s="508">
        <v>5.9660000000000002</v>
      </c>
      <c r="W2309" s="508">
        <v>2.8620000000000001</v>
      </c>
      <c r="X2309" s="508">
        <v>2.8450000000000002</v>
      </c>
      <c r="Y2309" s="508">
        <v>2.8210000000000002</v>
      </c>
      <c r="Z2309" s="508">
        <v>2.8</v>
      </c>
      <c r="AA2309" s="508">
        <v>0.76200000000000001</v>
      </c>
      <c r="AB2309" s="508">
        <v>0.749</v>
      </c>
      <c r="AC2309" s="508">
        <v>0.73499999999999999</v>
      </c>
      <c r="AD2309" s="508">
        <v>0.54400000000000004</v>
      </c>
      <c r="AE2309" s="508">
        <v>0.53400000000000003</v>
      </c>
      <c r="AF2309" s="508">
        <v>0.46600000000000003</v>
      </c>
      <c r="AG2309" s="508">
        <v>0.46200000000000002</v>
      </c>
      <c r="AH2309" s="508">
        <v>0.46100000000000002</v>
      </c>
      <c r="AI2309" s="492">
        <v>0.46100000000000002</v>
      </c>
      <c r="AJ2309" s="485"/>
    </row>
    <row r="2310" spans="2:36">
      <c r="B2310" s="136" t="s">
        <v>480</v>
      </c>
      <c r="C2310" s="132" t="s">
        <v>1370</v>
      </c>
      <c r="D2310" s="132" t="s">
        <v>282</v>
      </c>
      <c r="E2310" s="508">
        <v>9.9870000000000001</v>
      </c>
      <c r="F2310" s="508">
        <v>7.8789999999999996</v>
      </c>
      <c r="G2310" s="508">
        <v>6.93</v>
      </c>
      <c r="H2310" s="508">
        <v>6.6070000000000002</v>
      </c>
      <c r="I2310" s="508">
        <v>5.766</v>
      </c>
      <c r="J2310" s="508">
        <v>6.1130000000000004</v>
      </c>
      <c r="K2310" s="508">
        <v>5.7080000000000002</v>
      </c>
      <c r="L2310" s="508">
        <v>5.8079999999999998</v>
      </c>
      <c r="M2310" s="508">
        <v>5.8620000000000001</v>
      </c>
      <c r="N2310" s="508">
        <v>5.7640000000000002</v>
      </c>
      <c r="O2310" s="508">
        <v>5.57</v>
      </c>
      <c r="P2310" s="508">
        <v>5.8040000000000003</v>
      </c>
      <c r="Q2310" s="508">
        <v>5.7919999999999998</v>
      </c>
      <c r="R2310" s="508">
        <v>5.734</v>
      </c>
      <c r="S2310" s="508">
        <v>5.68</v>
      </c>
      <c r="T2310" s="508">
        <v>5.452</v>
      </c>
      <c r="U2310" s="508">
        <v>5.694</v>
      </c>
      <c r="V2310" s="508">
        <v>5.7110000000000003</v>
      </c>
      <c r="W2310" s="508">
        <v>2.6930000000000001</v>
      </c>
      <c r="X2310" s="508">
        <v>2.6789999999999998</v>
      </c>
      <c r="Y2310" s="508">
        <v>2.6579999999999999</v>
      </c>
      <c r="Z2310" s="508">
        <v>2.641</v>
      </c>
      <c r="AA2310" s="508">
        <v>0.70099999999999996</v>
      </c>
      <c r="AB2310" s="508">
        <v>0.69</v>
      </c>
      <c r="AC2310" s="508">
        <v>0.67700000000000005</v>
      </c>
      <c r="AD2310" s="508">
        <v>0.497</v>
      </c>
      <c r="AE2310" s="508">
        <v>0.48799999999999999</v>
      </c>
      <c r="AF2310" s="508">
        <v>0.42499999999999999</v>
      </c>
      <c r="AG2310" s="508">
        <v>0.42</v>
      </c>
      <c r="AH2310" s="508">
        <v>0.42</v>
      </c>
      <c r="AI2310" s="492">
        <v>0.42</v>
      </c>
      <c r="AJ2310" s="485"/>
    </row>
    <row r="2311" spans="2:36">
      <c r="B2311" s="136" t="s">
        <v>481</v>
      </c>
      <c r="C2311" s="132" t="s">
        <v>1370</v>
      </c>
      <c r="D2311" s="132" t="s">
        <v>282</v>
      </c>
      <c r="E2311" s="508">
        <v>11.401</v>
      </c>
      <c r="F2311" s="508">
        <v>8.7880000000000003</v>
      </c>
      <c r="G2311" s="508">
        <v>7.6459999999999999</v>
      </c>
      <c r="H2311" s="508">
        <v>7.2140000000000004</v>
      </c>
      <c r="I2311" s="508">
        <v>6.26</v>
      </c>
      <c r="J2311" s="508">
        <v>6.6</v>
      </c>
      <c r="K2311" s="508">
        <v>6.1859999999999999</v>
      </c>
      <c r="L2311" s="508">
        <v>6.2530000000000001</v>
      </c>
      <c r="M2311" s="508">
        <v>6.2830000000000004</v>
      </c>
      <c r="N2311" s="508">
        <v>6.1710000000000003</v>
      </c>
      <c r="O2311" s="508">
        <v>5.9480000000000004</v>
      </c>
      <c r="P2311" s="508">
        <v>6.1820000000000004</v>
      </c>
      <c r="Q2311" s="508">
        <v>6.16</v>
      </c>
      <c r="R2311" s="508">
        <v>6.0949999999999998</v>
      </c>
      <c r="S2311" s="508">
        <v>6.0359999999999996</v>
      </c>
      <c r="T2311" s="508">
        <v>5.8010000000000002</v>
      </c>
      <c r="U2311" s="508">
        <v>6.0259999999999998</v>
      </c>
      <c r="V2311" s="508">
        <v>6.0350000000000001</v>
      </c>
      <c r="W2311" s="508">
        <v>2.9079999999999999</v>
      </c>
      <c r="X2311" s="508">
        <v>2.89</v>
      </c>
      <c r="Y2311" s="508">
        <v>2.8639999999999999</v>
      </c>
      <c r="Z2311" s="508">
        <v>2.843</v>
      </c>
      <c r="AA2311" s="508">
        <v>0.78100000000000003</v>
      </c>
      <c r="AB2311" s="508">
        <v>0.76700000000000002</v>
      </c>
      <c r="AC2311" s="508">
        <v>0.752</v>
      </c>
      <c r="AD2311" s="508">
        <v>0.55800000000000005</v>
      </c>
      <c r="AE2311" s="508">
        <v>0.54800000000000004</v>
      </c>
      <c r="AF2311" s="508">
        <v>0.47899999999999998</v>
      </c>
      <c r="AG2311" s="508">
        <v>0.47499999999999998</v>
      </c>
      <c r="AH2311" s="508">
        <v>0.47399999999999998</v>
      </c>
      <c r="AI2311" s="492">
        <v>0.47399999999999998</v>
      </c>
      <c r="AJ2311" s="485"/>
    </row>
    <row r="2312" spans="2:36">
      <c r="B2312" s="136" t="s">
        <v>482</v>
      </c>
      <c r="C2312" s="132" t="s">
        <v>1370</v>
      </c>
      <c r="D2312" s="132" t="s">
        <v>282</v>
      </c>
      <c r="E2312" s="508">
        <v>11.648999999999999</v>
      </c>
      <c r="F2312" s="508">
        <v>8.9329999999999998</v>
      </c>
      <c r="G2312" s="508">
        <v>7.7519999999999998</v>
      </c>
      <c r="H2312" s="508">
        <v>7.2969999999999997</v>
      </c>
      <c r="I2312" s="508">
        <v>6.319</v>
      </c>
      <c r="J2312" s="508">
        <v>6.6589999999999998</v>
      </c>
      <c r="K2312" s="508">
        <v>6.2409999999999997</v>
      </c>
      <c r="L2312" s="508">
        <v>6.3029999999999999</v>
      </c>
      <c r="M2312" s="508">
        <v>6.3280000000000003</v>
      </c>
      <c r="N2312" s="508">
        <v>6.2130000000000001</v>
      </c>
      <c r="O2312" s="508">
        <v>5.984</v>
      </c>
      <c r="P2312" s="508">
        <v>6.2190000000000003</v>
      </c>
      <c r="Q2312" s="508">
        <v>6.1950000000000003</v>
      </c>
      <c r="R2312" s="508">
        <v>6.1289999999999996</v>
      </c>
      <c r="S2312" s="508">
        <v>6.0679999999999996</v>
      </c>
      <c r="T2312" s="508">
        <v>5.8310000000000004</v>
      </c>
      <c r="U2312" s="508">
        <v>6.0540000000000003</v>
      </c>
      <c r="V2312" s="508">
        <v>6.0609999999999999</v>
      </c>
      <c r="W2312" s="508">
        <v>2.9329999999999998</v>
      </c>
      <c r="X2312" s="508">
        <v>2.9129999999999998</v>
      </c>
      <c r="Y2312" s="508">
        <v>2.887</v>
      </c>
      <c r="Z2312" s="508">
        <v>2.8650000000000002</v>
      </c>
      <c r="AA2312" s="508">
        <v>0.79300000000000004</v>
      </c>
      <c r="AB2312" s="508">
        <v>0.77900000000000003</v>
      </c>
      <c r="AC2312" s="508">
        <v>0.76300000000000001</v>
      </c>
      <c r="AD2312" s="508">
        <v>0.56799999999999995</v>
      </c>
      <c r="AE2312" s="508">
        <v>0.55700000000000005</v>
      </c>
      <c r="AF2312" s="508">
        <v>0.48799999999999999</v>
      </c>
      <c r="AG2312" s="508">
        <v>0.48299999999999998</v>
      </c>
      <c r="AH2312" s="508">
        <v>0.48299999999999998</v>
      </c>
      <c r="AI2312" s="492">
        <v>0.48299999999999998</v>
      </c>
      <c r="AJ2312" s="485"/>
    </row>
    <row r="2313" spans="2:36">
      <c r="B2313" s="136" t="s">
        <v>483</v>
      </c>
      <c r="C2313" s="132" t="s">
        <v>1370</v>
      </c>
      <c r="D2313" s="132" t="s">
        <v>282</v>
      </c>
      <c r="E2313" s="508">
        <v>12.255000000000001</v>
      </c>
      <c r="F2313" s="508">
        <v>9.3339999999999996</v>
      </c>
      <c r="G2313" s="508">
        <v>8.0739999999999998</v>
      </c>
      <c r="H2313" s="508">
        <v>7.5759999999999996</v>
      </c>
      <c r="I2313" s="508">
        <v>6.55</v>
      </c>
      <c r="J2313" s="508">
        <v>6.8890000000000002</v>
      </c>
      <c r="K2313" s="508">
        <v>6.4660000000000002</v>
      </c>
      <c r="L2313" s="508">
        <v>6.5149999999999997</v>
      </c>
      <c r="M2313" s="508">
        <v>6.532</v>
      </c>
      <c r="N2313" s="508">
        <v>6.41</v>
      </c>
      <c r="O2313" s="508">
        <v>6.1689999999999996</v>
      </c>
      <c r="P2313" s="508">
        <v>6.4059999999999997</v>
      </c>
      <c r="Q2313" s="508">
        <v>6.3769999999999998</v>
      </c>
      <c r="R2313" s="508">
        <v>6.3090000000000002</v>
      </c>
      <c r="S2313" s="508">
        <v>6.2450000000000001</v>
      </c>
      <c r="T2313" s="508">
        <v>6.0039999999999996</v>
      </c>
      <c r="U2313" s="508">
        <v>6.2229999999999999</v>
      </c>
      <c r="V2313" s="508">
        <v>6.226</v>
      </c>
      <c r="W2313" s="508">
        <v>3.0259999999999998</v>
      </c>
      <c r="X2313" s="508">
        <v>3.0049999999999999</v>
      </c>
      <c r="Y2313" s="508">
        <v>2.9769999999999999</v>
      </c>
      <c r="Z2313" s="508">
        <v>2.9529999999999998</v>
      </c>
      <c r="AA2313" s="508">
        <v>0.82699999999999996</v>
      </c>
      <c r="AB2313" s="508">
        <v>0.81200000000000006</v>
      </c>
      <c r="AC2313" s="508">
        <v>0.79500000000000004</v>
      </c>
      <c r="AD2313" s="508">
        <v>0.59399999999999997</v>
      </c>
      <c r="AE2313" s="508">
        <v>0.58199999999999996</v>
      </c>
      <c r="AF2313" s="508">
        <v>0.51100000000000001</v>
      </c>
      <c r="AG2313" s="508">
        <v>0.50600000000000001</v>
      </c>
      <c r="AH2313" s="508">
        <v>0.50600000000000001</v>
      </c>
      <c r="AI2313" s="492">
        <v>0.50600000000000001</v>
      </c>
      <c r="AJ2313" s="485"/>
    </row>
    <row r="2314" spans="2:36">
      <c r="B2314" s="136" t="s">
        <v>484</v>
      </c>
      <c r="C2314" s="132" t="s">
        <v>1370</v>
      </c>
      <c r="D2314" s="132" t="s">
        <v>282</v>
      </c>
      <c r="E2314" s="508">
        <v>10.286</v>
      </c>
      <c r="F2314" s="508">
        <v>8.0670000000000002</v>
      </c>
      <c r="G2314" s="508">
        <v>7.077</v>
      </c>
      <c r="H2314" s="508">
        <v>6.7279999999999998</v>
      </c>
      <c r="I2314" s="508">
        <v>5.867</v>
      </c>
      <c r="J2314" s="508">
        <v>6.2080000000000002</v>
      </c>
      <c r="K2314" s="508">
        <v>5.806</v>
      </c>
      <c r="L2314" s="508">
        <v>5.8949999999999996</v>
      </c>
      <c r="M2314" s="508">
        <v>5.9420000000000002</v>
      </c>
      <c r="N2314" s="508">
        <v>5.8410000000000002</v>
      </c>
      <c r="O2314" s="508">
        <v>5.6420000000000003</v>
      </c>
      <c r="P2314" s="508">
        <v>5.8730000000000002</v>
      </c>
      <c r="Q2314" s="508">
        <v>5.8579999999999997</v>
      </c>
      <c r="R2314" s="508">
        <v>5.7990000000000004</v>
      </c>
      <c r="S2314" s="508">
        <v>5.7439999999999998</v>
      </c>
      <c r="T2314" s="508">
        <v>5.5179999999999998</v>
      </c>
      <c r="U2314" s="508">
        <v>5.7519999999999998</v>
      </c>
      <c r="V2314" s="508">
        <v>5.766</v>
      </c>
      <c r="W2314" s="508">
        <v>2.7509999999999999</v>
      </c>
      <c r="X2314" s="508">
        <v>2.7360000000000002</v>
      </c>
      <c r="Y2314" s="508">
        <v>2.714</v>
      </c>
      <c r="Z2314" s="508">
        <v>2.6960000000000002</v>
      </c>
      <c r="AA2314" s="508">
        <v>0.72</v>
      </c>
      <c r="AB2314" s="508">
        <v>0.70899999999999996</v>
      </c>
      <c r="AC2314" s="508">
        <v>0.69599999999999995</v>
      </c>
      <c r="AD2314" s="508">
        <v>0.51200000000000001</v>
      </c>
      <c r="AE2314" s="508">
        <v>0.503</v>
      </c>
      <c r="AF2314" s="508">
        <v>0.438</v>
      </c>
      <c r="AG2314" s="508">
        <v>0.433</v>
      </c>
      <c r="AH2314" s="508">
        <v>0.433</v>
      </c>
      <c r="AI2314" s="492">
        <v>0.433</v>
      </c>
      <c r="AJ2314" s="485"/>
    </row>
    <row r="2315" spans="2:36">
      <c r="B2315" s="136" t="s">
        <v>486</v>
      </c>
      <c r="C2315" s="132" t="s">
        <v>1370</v>
      </c>
      <c r="D2315" s="132" t="s">
        <v>282</v>
      </c>
      <c r="E2315" s="508">
        <v>11.516</v>
      </c>
      <c r="F2315" s="508">
        <v>8.8580000000000005</v>
      </c>
      <c r="G2315" s="508">
        <v>7.6989999999999998</v>
      </c>
      <c r="H2315" s="508">
        <v>7.2569999999999997</v>
      </c>
      <c r="I2315" s="508">
        <v>6.2919999999999998</v>
      </c>
      <c r="J2315" s="508">
        <v>6.6319999999999997</v>
      </c>
      <c r="K2315" s="508">
        <v>6.2160000000000002</v>
      </c>
      <c r="L2315" s="508">
        <v>6.2809999999999997</v>
      </c>
      <c r="M2315" s="508">
        <v>6.31</v>
      </c>
      <c r="N2315" s="508">
        <v>6.1959999999999997</v>
      </c>
      <c r="O2315" s="508">
        <v>5.97</v>
      </c>
      <c r="P2315" s="508">
        <v>6.2050000000000001</v>
      </c>
      <c r="Q2315" s="508">
        <v>6.1820000000000004</v>
      </c>
      <c r="R2315" s="508">
        <v>6.117</v>
      </c>
      <c r="S2315" s="508">
        <v>6.056</v>
      </c>
      <c r="T2315" s="508">
        <v>5.82</v>
      </c>
      <c r="U2315" s="508">
        <v>6.0460000000000003</v>
      </c>
      <c r="V2315" s="508">
        <v>6.0529999999999999</v>
      </c>
      <c r="W2315" s="508">
        <v>2.919</v>
      </c>
      <c r="X2315" s="508">
        <v>2.9009999999999998</v>
      </c>
      <c r="Y2315" s="508">
        <v>2.875</v>
      </c>
      <c r="Z2315" s="508">
        <v>2.8530000000000002</v>
      </c>
      <c r="AA2315" s="508">
        <v>0.78600000000000003</v>
      </c>
      <c r="AB2315" s="508">
        <v>0.77200000000000002</v>
      </c>
      <c r="AC2315" s="508">
        <v>0.75700000000000001</v>
      </c>
      <c r="AD2315" s="508">
        <v>0.56299999999999994</v>
      </c>
      <c r="AE2315" s="508">
        <v>0.55200000000000005</v>
      </c>
      <c r="AF2315" s="508">
        <v>0.48299999999999998</v>
      </c>
      <c r="AG2315" s="508">
        <v>0.47899999999999998</v>
      </c>
      <c r="AH2315" s="508">
        <v>0.47799999999999998</v>
      </c>
      <c r="AI2315" s="492">
        <v>0.47799999999999998</v>
      </c>
      <c r="AJ2315" s="485"/>
    </row>
    <row r="2316" spans="2:36">
      <c r="B2316" s="136" t="s">
        <v>487</v>
      </c>
      <c r="C2316" s="132" t="s">
        <v>1370</v>
      </c>
      <c r="D2316" s="132" t="s">
        <v>282</v>
      </c>
      <c r="E2316" s="508">
        <v>11.506</v>
      </c>
      <c r="F2316" s="508">
        <v>8.8480000000000008</v>
      </c>
      <c r="G2316" s="508">
        <v>7.6870000000000003</v>
      </c>
      <c r="H2316" s="508">
        <v>7.2469999999999999</v>
      </c>
      <c r="I2316" s="508">
        <v>6.2770000000000001</v>
      </c>
      <c r="J2316" s="508">
        <v>6.6219999999999999</v>
      </c>
      <c r="K2316" s="508">
        <v>6.202</v>
      </c>
      <c r="L2316" s="508">
        <v>6.2690000000000001</v>
      </c>
      <c r="M2316" s="508">
        <v>6.2990000000000004</v>
      </c>
      <c r="N2316" s="508">
        <v>6.1849999999999996</v>
      </c>
      <c r="O2316" s="508">
        <v>5.9589999999999996</v>
      </c>
      <c r="P2316" s="508">
        <v>6.1959999999999997</v>
      </c>
      <c r="Q2316" s="508">
        <v>6.173</v>
      </c>
      <c r="R2316" s="508">
        <v>6.1079999999999997</v>
      </c>
      <c r="S2316" s="508">
        <v>6.0469999999999997</v>
      </c>
      <c r="T2316" s="508">
        <v>5.8090000000000002</v>
      </c>
      <c r="U2316" s="508">
        <v>6.0369999999999999</v>
      </c>
      <c r="V2316" s="508">
        <v>6.0449999999999999</v>
      </c>
      <c r="W2316" s="508">
        <v>2.9039999999999999</v>
      </c>
      <c r="X2316" s="508">
        <v>2.8849999999999998</v>
      </c>
      <c r="Y2316" s="508">
        <v>2.859</v>
      </c>
      <c r="Z2316" s="508">
        <v>2.8380000000000001</v>
      </c>
      <c r="AA2316" s="508">
        <v>0.78300000000000003</v>
      </c>
      <c r="AB2316" s="508">
        <v>0.76900000000000002</v>
      </c>
      <c r="AC2316" s="508">
        <v>0.754</v>
      </c>
      <c r="AD2316" s="508">
        <v>0.56100000000000005</v>
      </c>
      <c r="AE2316" s="508">
        <v>0.55000000000000004</v>
      </c>
      <c r="AF2316" s="508">
        <v>0.48199999999999998</v>
      </c>
      <c r="AG2316" s="508">
        <v>0.47699999999999998</v>
      </c>
      <c r="AH2316" s="508">
        <v>0.47599999999999998</v>
      </c>
      <c r="AI2316" s="492">
        <v>0.47599999999999998</v>
      </c>
      <c r="AJ2316" s="485"/>
    </row>
    <row r="2317" spans="2:36">
      <c r="B2317" s="136" t="s">
        <v>488</v>
      </c>
      <c r="C2317" s="132" t="s">
        <v>1370</v>
      </c>
      <c r="D2317" s="132" t="s">
        <v>282</v>
      </c>
      <c r="E2317" s="508">
        <v>10.598000000000001</v>
      </c>
      <c r="F2317" s="508">
        <v>8.2639999999999993</v>
      </c>
      <c r="G2317" s="508">
        <v>7.2290000000000001</v>
      </c>
      <c r="H2317" s="508">
        <v>6.8559999999999999</v>
      </c>
      <c r="I2317" s="508">
        <v>5.9669999999999996</v>
      </c>
      <c r="J2317" s="508">
        <v>6.3090000000000002</v>
      </c>
      <c r="K2317" s="508">
        <v>5.9009999999999998</v>
      </c>
      <c r="L2317" s="508">
        <v>5.9850000000000003</v>
      </c>
      <c r="M2317" s="508">
        <v>6.0279999999999996</v>
      </c>
      <c r="N2317" s="508">
        <v>5.9240000000000004</v>
      </c>
      <c r="O2317" s="508">
        <v>5.7169999999999996</v>
      </c>
      <c r="P2317" s="508">
        <v>5.95</v>
      </c>
      <c r="Q2317" s="508">
        <v>5.9329999999999998</v>
      </c>
      <c r="R2317" s="508">
        <v>5.8730000000000002</v>
      </c>
      <c r="S2317" s="508">
        <v>5.8159999999999998</v>
      </c>
      <c r="T2317" s="508">
        <v>5.5860000000000003</v>
      </c>
      <c r="U2317" s="508">
        <v>5.819</v>
      </c>
      <c r="V2317" s="508">
        <v>5.8319999999999999</v>
      </c>
      <c r="W2317" s="508">
        <v>2.786</v>
      </c>
      <c r="X2317" s="508">
        <v>2.7709999999999999</v>
      </c>
      <c r="Y2317" s="508">
        <v>2.7469999999999999</v>
      </c>
      <c r="Z2317" s="508">
        <v>2.7290000000000001</v>
      </c>
      <c r="AA2317" s="508">
        <v>0.73599999999999999</v>
      </c>
      <c r="AB2317" s="508">
        <v>0.72399999999999998</v>
      </c>
      <c r="AC2317" s="508">
        <v>0.71</v>
      </c>
      <c r="AD2317" s="508">
        <v>0.52400000000000002</v>
      </c>
      <c r="AE2317" s="508">
        <v>0.51400000000000001</v>
      </c>
      <c r="AF2317" s="508">
        <v>0.44900000000000001</v>
      </c>
      <c r="AG2317" s="508">
        <v>0.44400000000000001</v>
      </c>
      <c r="AH2317" s="508">
        <v>0.44400000000000001</v>
      </c>
      <c r="AI2317" s="492">
        <v>0.44400000000000001</v>
      </c>
      <c r="AJ2317" s="485"/>
    </row>
    <row r="2318" spans="2:36">
      <c r="B2318" s="136" t="s">
        <v>489</v>
      </c>
      <c r="C2318" s="132" t="s">
        <v>1370</v>
      </c>
      <c r="D2318" s="132" t="s">
        <v>282</v>
      </c>
      <c r="E2318" s="508">
        <v>11.132</v>
      </c>
      <c r="F2318" s="508">
        <v>8.6080000000000005</v>
      </c>
      <c r="G2318" s="508">
        <v>7.5010000000000003</v>
      </c>
      <c r="H2318" s="508">
        <v>7.0860000000000003</v>
      </c>
      <c r="I2318" s="508">
        <v>6.1559999999999997</v>
      </c>
      <c r="J2318" s="508">
        <v>6.4939999999999998</v>
      </c>
      <c r="K2318" s="508">
        <v>6.0839999999999996</v>
      </c>
      <c r="L2318" s="508">
        <v>6.1550000000000002</v>
      </c>
      <c r="M2318" s="508">
        <v>6.1879999999999997</v>
      </c>
      <c r="N2318" s="508">
        <v>6.0780000000000003</v>
      </c>
      <c r="O2318" s="508">
        <v>5.8609999999999998</v>
      </c>
      <c r="P2318" s="508">
        <v>6.093</v>
      </c>
      <c r="Q2318" s="508">
        <v>6.0720000000000001</v>
      </c>
      <c r="R2318" s="508">
        <v>6.0090000000000003</v>
      </c>
      <c r="S2318" s="508">
        <v>5.9509999999999996</v>
      </c>
      <c r="T2318" s="508">
        <v>5.7190000000000003</v>
      </c>
      <c r="U2318" s="508">
        <v>5.944</v>
      </c>
      <c r="V2318" s="508">
        <v>5.9539999999999997</v>
      </c>
      <c r="W2318" s="508">
        <v>2.8730000000000002</v>
      </c>
      <c r="X2318" s="508">
        <v>2.8559999999999999</v>
      </c>
      <c r="Y2318" s="508">
        <v>2.831</v>
      </c>
      <c r="Z2318" s="508">
        <v>2.8109999999999999</v>
      </c>
      <c r="AA2318" s="508">
        <v>0.76800000000000002</v>
      </c>
      <c r="AB2318" s="508">
        <v>0.754</v>
      </c>
      <c r="AC2318" s="508">
        <v>0.73899999999999999</v>
      </c>
      <c r="AD2318" s="508">
        <v>0.54800000000000004</v>
      </c>
      <c r="AE2318" s="508">
        <v>0.53800000000000003</v>
      </c>
      <c r="AF2318" s="508">
        <v>0.47</v>
      </c>
      <c r="AG2318" s="508">
        <v>0.46500000000000002</v>
      </c>
      <c r="AH2318" s="508">
        <v>0.46500000000000002</v>
      </c>
      <c r="AI2318" s="492">
        <v>0.46500000000000002</v>
      </c>
      <c r="AJ2318" s="485"/>
    </row>
    <row r="2319" spans="2:36">
      <c r="B2319" s="136" t="s">
        <v>490</v>
      </c>
      <c r="C2319" s="132" t="s">
        <v>1370</v>
      </c>
      <c r="D2319" s="132" t="s">
        <v>282</v>
      </c>
      <c r="E2319" s="508">
        <v>9.8759999999999994</v>
      </c>
      <c r="F2319" s="508">
        <v>7.8159999999999998</v>
      </c>
      <c r="G2319" s="508">
        <v>6.883</v>
      </c>
      <c r="H2319" s="508">
        <v>6.5720000000000001</v>
      </c>
      <c r="I2319" s="508">
        <v>5.7389999999999999</v>
      </c>
      <c r="J2319" s="508">
        <v>6.0890000000000004</v>
      </c>
      <c r="K2319" s="508">
        <v>5.6829999999999998</v>
      </c>
      <c r="L2319" s="508">
        <v>5.7869999999999999</v>
      </c>
      <c r="M2319" s="508">
        <v>5.8449999999999998</v>
      </c>
      <c r="N2319" s="508">
        <v>5.7480000000000002</v>
      </c>
      <c r="O2319" s="508">
        <v>5.556</v>
      </c>
      <c r="P2319" s="508">
        <v>5.7919999999999998</v>
      </c>
      <c r="Q2319" s="508">
        <v>5.78</v>
      </c>
      <c r="R2319" s="508">
        <v>5.7229999999999999</v>
      </c>
      <c r="S2319" s="508">
        <v>5.67</v>
      </c>
      <c r="T2319" s="508">
        <v>5.4409999999999998</v>
      </c>
      <c r="U2319" s="508">
        <v>5.6859999999999999</v>
      </c>
      <c r="V2319" s="508">
        <v>5.7039999999999997</v>
      </c>
      <c r="W2319" s="508">
        <v>2.6749999999999998</v>
      </c>
      <c r="X2319" s="508">
        <v>2.661</v>
      </c>
      <c r="Y2319" s="508">
        <v>2.64</v>
      </c>
      <c r="Z2319" s="508">
        <v>2.6240000000000001</v>
      </c>
      <c r="AA2319" s="508">
        <v>0.69299999999999995</v>
      </c>
      <c r="AB2319" s="508">
        <v>0.68300000000000005</v>
      </c>
      <c r="AC2319" s="508">
        <v>0.67</v>
      </c>
      <c r="AD2319" s="508">
        <v>0.49099999999999999</v>
      </c>
      <c r="AE2319" s="508">
        <v>0.48299999999999998</v>
      </c>
      <c r="AF2319" s="508">
        <v>0.42</v>
      </c>
      <c r="AG2319" s="508">
        <v>0.41499999999999998</v>
      </c>
      <c r="AH2319" s="508">
        <v>0.41499999999999998</v>
      </c>
      <c r="AI2319" s="492">
        <v>0.41499999999999998</v>
      </c>
      <c r="AJ2319" s="485"/>
    </row>
    <row r="2320" spans="2:36">
      <c r="B2320" s="136" t="s">
        <v>435</v>
      </c>
      <c r="C2320" s="132" t="s">
        <v>1371</v>
      </c>
      <c r="D2320" s="132" t="s">
        <v>282</v>
      </c>
      <c r="E2320" s="508">
        <v>4.1440000000000001</v>
      </c>
      <c r="F2320" s="508">
        <v>4.1440000000000001</v>
      </c>
      <c r="G2320" s="508">
        <v>4.1440000000000001</v>
      </c>
      <c r="H2320" s="508">
        <v>4.1440000000000001</v>
      </c>
      <c r="I2320" s="508">
        <v>4.1440000000000001</v>
      </c>
      <c r="J2320" s="508">
        <v>4.1440000000000001</v>
      </c>
      <c r="K2320" s="508">
        <v>4.1440000000000001</v>
      </c>
      <c r="L2320" s="508">
        <v>4.1440000000000001</v>
      </c>
      <c r="M2320" s="508">
        <v>4.1440000000000001</v>
      </c>
      <c r="N2320" s="508">
        <v>4.1440000000000001</v>
      </c>
      <c r="O2320" s="508">
        <v>4.1440000000000001</v>
      </c>
      <c r="P2320" s="508">
        <v>4.1440000000000001</v>
      </c>
      <c r="Q2320" s="508">
        <v>4.1440000000000001</v>
      </c>
      <c r="R2320" s="508">
        <v>4.1440000000000001</v>
      </c>
      <c r="S2320" s="508">
        <v>4.1440000000000001</v>
      </c>
      <c r="T2320" s="508">
        <v>4.1440000000000001</v>
      </c>
      <c r="U2320" s="508">
        <v>4.1440000000000001</v>
      </c>
      <c r="V2320" s="508">
        <v>4.1440000000000001</v>
      </c>
      <c r="W2320" s="508">
        <v>3.367</v>
      </c>
      <c r="X2320" s="508">
        <v>3.367</v>
      </c>
      <c r="Y2320" s="508">
        <v>3.367</v>
      </c>
      <c r="Z2320" s="508">
        <v>3.367</v>
      </c>
      <c r="AA2320" s="508">
        <v>1.2749999999999999</v>
      </c>
      <c r="AB2320" s="508">
        <v>1.2749999999999999</v>
      </c>
      <c r="AC2320" s="508">
        <v>1.2749999999999999</v>
      </c>
      <c r="AD2320" s="508">
        <v>1.03</v>
      </c>
      <c r="AE2320" s="508">
        <v>1.03</v>
      </c>
      <c r="AF2320" s="508">
        <v>0.97799999999999998</v>
      </c>
      <c r="AG2320" s="508">
        <v>0.97599999999999998</v>
      </c>
      <c r="AH2320" s="508">
        <v>0.97599999999999998</v>
      </c>
      <c r="AI2320" s="492">
        <v>0.97599999999999998</v>
      </c>
      <c r="AJ2320" s="485"/>
    </row>
    <row r="2321" spans="2:36">
      <c r="B2321" s="136" t="s">
        <v>436</v>
      </c>
      <c r="C2321" s="132" t="s">
        <v>1371</v>
      </c>
      <c r="D2321" s="132" t="s">
        <v>282</v>
      </c>
      <c r="E2321" s="508">
        <v>4.0640000000000001</v>
      </c>
      <c r="F2321" s="508">
        <v>4.0640000000000001</v>
      </c>
      <c r="G2321" s="508">
        <v>4.0640000000000001</v>
      </c>
      <c r="H2321" s="508">
        <v>4.0640000000000001</v>
      </c>
      <c r="I2321" s="508">
        <v>4.0640000000000001</v>
      </c>
      <c r="J2321" s="508">
        <v>4.0640000000000001</v>
      </c>
      <c r="K2321" s="508">
        <v>4.0640000000000001</v>
      </c>
      <c r="L2321" s="508">
        <v>4.0640000000000001</v>
      </c>
      <c r="M2321" s="508">
        <v>4.0640000000000001</v>
      </c>
      <c r="N2321" s="508">
        <v>4.0640000000000001</v>
      </c>
      <c r="O2321" s="508">
        <v>4.0640000000000001</v>
      </c>
      <c r="P2321" s="508">
        <v>4.0640000000000001</v>
      </c>
      <c r="Q2321" s="508">
        <v>4.0640000000000001</v>
      </c>
      <c r="R2321" s="508">
        <v>4.0640000000000001</v>
      </c>
      <c r="S2321" s="508">
        <v>4.0640000000000001</v>
      </c>
      <c r="T2321" s="508">
        <v>4.0640000000000001</v>
      </c>
      <c r="U2321" s="508">
        <v>4.0640000000000001</v>
      </c>
      <c r="V2321" s="508">
        <v>4.0640000000000001</v>
      </c>
      <c r="W2321" s="508">
        <v>3.3140000000000001</v>
      </c>
      <c r="X2321" s="508">
        <v>3.3140000000000001</v>
      </c>
      <c r="Y2321" s="508">
        <v>3.3140000000000001</v>
      </c>
      <c r="Z2321" s="508">
        <v>3.3140000000000001</v>
      </c>
      <c r="AA2321" s="508">
        <v>1.2430000000000001</v>
      </c>
      <c r="AB2321" s="508">
        <v>1.2430000000000001</v>
      </c>
      <c r="AC2321" s="508">
        <v>1.2430000000000001</v>
      </c>
      <c r="AD2321" s="508">
        <v>1.002</v>
      </c>
      <c r="AE2321" s="508">
        <v>1.002</v>
      </c>
      <c r="AF2321" s="508">
        <v>0.95</v>
      </c>
      <c r="AG2321" s="508">
        <v>0.94799999999999995</v>
      </c>
      <c r="AH2321" s="508">
        <v>0.94799999999999995</v>
      </c>
      <c r="AI2321" s="492">
        <v>0.94799999999999995</v>
      </c>
      <c r="AJ2321" s="485"/>
    </row>
    <row r="2322" spans="2:36">
      <c r="B2322" s="136" t="s">
        <v>437</v>
      </c>
      <c r="C2322" s="132" t="s">
        <v>1371</v>
      </c>
      <c r="D2322" s="132" t="s">
        <v>282</v>
      </c>
      <c r="E2322" s="508">
        <v>4.2320000000000002</v>
      </c>
      <c r="F2322" s="508">
        <v>4.2320000000000002</v>
      </c>
      <c r="G2322" s="508">
        <v>4.2320000000000002</v>
      </c>
      <c r="H2322" s="508">
        <v>4.2320000000000002</v>
      </c>
      <c r="I2322" s="508">
        <v>4.2320000000000002</v>
      </c>
      <c r="J2322" s="508">
        <v>4.2320000000000002</v>
      </c>
      <c r="K2322" s="508">
        <v>4.2320000000000002</v>
      </c>
      <c r="L2322" s="508">
        <v>4.2320000000000002</v>
      </c>
      <c r="M2322" s="508">
        <v>4.2320000000000002</v>
      </c>
      <c r="N2322" s="508">
        <v>4.2320000000000002</v>
      </c>
      <c r="O2322" s="508">
        <v>4.2320000000000002</v>
      </c>
      <c r="P2322" s="508">
        <v>4.2320000000000002</v>
      </c>
      <c r="Q2322" s="508">
        <v>4.2320000000000002</v>
      </c>
      <c r="R2322" s="508">
        <v>4.2320000000000002</v>
      </c>
      <c r="S2322" s="508">
        <v>4.2320000000000002</v>
      </c>
      <c r="T2322" s="508">
        <v>4.2320000000000002</v>
      </c>
      <c r="U2322" s="508">
        <v>4.2320000000000002</v>
      </c>
      <c r="V2322" s="508">
        <v>4.2320000000000002</v>
      </c>
      <c r="W2322" s="508">
        <v>3.427</v>
      </c>
      <c r="X2322" s="508">
        <v>3.427</v>
      </c>
      <c r="Y2322" s="508">
        <v>3.427</v>
      </c>
      <c r="Z2322" s="508">
        <v>3.427</v>
      </c>
      <c r="AA2322" s="508">
        <v>1.3029999999999999</v>
      </c>
      <c r="AB2322" s="508">
        <v>1.3029999999999999</v>
      </c>
      <c r="AC2322" s="508">
        <v>1.3029999999999999</v>
      </c>
      <c r="AD2322" s="508">
        <v>1.0549999999999999</v>
      </c>
      <c r="AE2322" s="508">
        <v>1.0549999999999999</v>
      </c>
      <c r="AF2322" s="508">
        <v>1.002</v>
      </c>
      <c r="AG2322" s="508">
        <v>1</v>
      </c>
      <c r="AH2322" s="508">
        <v>1</v>
      </c>
      <c r="AI2322" s="492">
        <v>1</v>
      </c>
      <c r="AJ2322" s="485"/>
    </row>
    <row r="2323" spans="2:36">
      <c r="B2323" s="136" t="s">
        <v>438</v>
      </c>
      <c r="C2323" s="132" t="s">
        <v>1371</v>
      </c>
      <c r="D2323" s="132" t="s">
        <v>282</v>
      </c>
      <c r="E2323" s="508">
        <v>4.0179999999999998</v>
      </c>
      <c r="F2323" s="508">
        <v>4.0179999999999998</v>
      </c>
      <c r="G2323" s="508">
        <v>4.0190000000000001</v>
      </c>
      <c r="H2323" s="508">
        <v>4.0179999999999998</v>
      </c>
      <c r="I2323" s="508">
        <v>4.0179999999999998</v>
      </c>
      <c r="J2323" s="508">
        <v>4.0190000000000001</v>
      </c>
      <c r="K2323" s="508">
        <v>4.0179999999999998</v>
      </c>
      <c r="L2323" s="508">
        <v>4.0190000000000001</v>
      </c>
      <c r="M2323" s="508">
        <v>4.0190000000000001</v>
      </c>
      <c r="N2323" s="508">
        <v>4.0190000000000001</v>
      </c>
      <c r="O2323" s="508">
        <v>4.0179999999999998</v>
      </c>
      <c r="P2323" s="508">
        <v>4.0179999999999998</v>
      </c>
      <c r="Q2323" s="508">
        <v>4.0179999999999998</v>
      </c>
      <c r="R2323" s="508">
        <v>4.0179999999999998</v>
      </c>
      <c r="S2323" s="508">
        <v>4.0190000000000001</v>
      </c>
      <c r="T2323" s="508">
        <v>4.0190000000000001</v>
      </c>
      <c r="U2323" s="508">
        <v>4.0179999999999998</v>
      </c>
      <c r="V2323" s="508">
        <v>4.0179999999999998</v>
      </c>
      <c r="W2323" s="508">
        <v>3.2890000000000001</v>
      </c>
      <c r="X2323" s="508">
        <v>3.2890000000000001</v>
      </c>
      <c r="Y2323" s="508">
        <v>3.2890000000000001</v>
      </c>
      <c r="Z2323" s="508">
        <v>3.2890000000000001</v>
      </c>
      <c r="AA2323" s="508">
        <v>1.2330000000000001</v>
      </c>
      <c r="AB2323" s="508">
        <v>1.2330000000000001</v>
      </c>
      <c r="AC2323" s="508">
        <v>1.2330000000000001</v>
      </c>
      <c r="AD2323" s="508">
        <v>0.99399999999999999</v>
      </c>
      <c r="AE2323" s="508">
        <v>0.99299999999999999</v>
      </c>
      <c r="AF2323" s="508">
        <v>0.94199999999999995</v>
      </c>
      <c r="AG2323" s="508">
        <v>0.94</v>
      </c>
      <c r="AH2323" s="508">
        <v>0.94</v>
      </c>
      <c r="AI2323" s="492">
        <v>0.94</v>
      </c>
      <c r="AJ2323" s="485"/>
    </row>
    <row r="2324" spans="2:36">
      <c r="B2324" s="136" t="s">
        <v>439</v>
      </c>
      <c r="C2324" s="132" t="s">
        <v>1371</v>
      </c>
      <c r="D2324" s="132" t="s">
        <v>282</v>
      </c>
      <c r="E2324" s="508">
        <v>4.282</v>
      </c>
      <c r="F2324" s="508">
        <v>4.282</v>
      </c>
      <c r="G2324" s="508">
        <v>4.282</v>
      </c>
      <c r="H2324" s="508">
        <v>4.282</v>
      </c>
      <c r="I2324" s="508">
        <v>4.282</v>
      </c>
      <c r="J2324" s="508">
        <v>4.282</v>
      </c>
      <c r="K2324" s="508">
        <v>4.282</v>
      </c>
      <c r="L2324" s="508">
        <v>4.282</v>
      </c>
      <c r="M2324" s="508">
        <v>4.282</v>
      </c>
      <c r="N2324" s="508">
        <v>4.282</v>
      </c>
      <c r="O2324" s="508">
        <v>4.282</v>
      </c>
      <c r="P2324" s="508">
        <v>4.282</v>
      </c>
      <c r="Q2324" s="508">
        <v>4.282</v>
      </c>
      <c r="R2324" s="508">
        <v>4.282</v>
      </c>
      <c r="S2324" s="508">
        <v>4.282</v>
      </c>
      <c r="T2324" s="508">
        <v>4.282</v>
      </c>
      <c r="U2324" s="508">
        <v>4.282</v>
      </c>
      <c r="V2324" s="508">
        <v>4.282</v>
      </c>
      <c r="W2324" s="508">
        <v>3.4740000000000002</v>
      </c>
      <c r="X2324" s="508">
        <v>3.4740000000000002</v>
      </c>
      <c r="Y2324" s="508">
        <v>3.4740000000000002</v>
      </c>
      <c r="Z2324" s="508">
        <v>3.4740000000000002</v>
      </c>
      <c r="AA2324" s="508">
        <v>1.335</v>
      </c>
      <c r="AB2324" s="508">
        <v>1.335</v>
      </c>
      <c r="AC2324" s="508">
        <v>1.335</v>
      </c>
      <c r="AD2324" s="508">
        <v>1.0860000000000001</v>
      </c>
      <c r="AE2324" s="508">
        <v>1.0860000000000001</v>
      </c>
      <c r="AF2324" s="508">
        <v>1.032</v>
      </c>
      <c r="AG2324" s="508">
        <v>1.03</v>
      </c>
      <c r="AH2324" s="508">
        <v>1.03</v>
      </c>
      <c r="AI2324" s="492">
        <v>1.03</v>
      </c>
      <c r="AJ2324" s="485"/>
    </row>
    <row r="2325" spans="2:36">
      <c r="B2325" s="136" t="s">
        <v>440</v>
      </c>
      <c r="C2325" s="132" t="s">
        <v>1371</v>
      </c>
      <c r="D2325" s="132" t="s">
        <v>282</v>
      </c>
      <c r="E2325" s="508">
        <v>4.1909999999999998</v>
      </c>
      <c r="F2325" s="508">
        <v>4.1909999999999998</v>
      </c>
      <c r="G2325" s="508">
        <v>4.1909999999999998</v>
      </c>
      <c r="H2325" s="508">
        <v>4.1909999999999998</v>
      </c>
      <c r="I2325" s="508">
        <v>4.1909999999999998</v>
      </c>
      <c r="J2325" s="508">
        <v>4.1909999999999998</v>
      </c>
      <c r="K2325" s="508">
        <v>4.1909999999999998</v>
      </c>
      <c r="L2325" s="508">
        <v>4.1909999999999998</v>
      </c>
      <c r="M2325" s="508">
        <v>4.1909999999999998</v>
      </c>
      <c r="N2325" s="508">
        <v>4.1909999999999998</v>
      </c>
      <c r="O2325" s="508">
        <v>4.1909999999999998</v>
      </c>
      <c r="P2325" s="508">
        <v>4.1909999999999998</v>
      </c>
      <c r="Q2325" s="508">
        <v>4.1909999999999998</v>
      </c>
      <c r="R2325" s="508">
        <v>4.1909999999999998</v>
      </c>
      <c r="S2325" s="508">
        <v>4.1909999999999998</v>
      </c>
      <c r="T2325" s="508">
        <v>4.1909999999999998</v>
      </c>
      <c r="U2325" s="508">
        <v>4.1909999999999998</v>
      </c>
      <c r="V2325" s="508">
        <v>4.1909999999999998</v>
      </c>
      <c r="W2325" s="508">
        <v>3.4060000000000001</v>
      </c>
      <c r="X2325" s="508">
        <v>3.4060000000000001</v>
      </c>
      <c r="Y2325" s="508">
        <v>3.4060000000000001</v>
      </c>
      <c r="Z2325" s="508">
        <v>3.4060000000000001</v>
      </c>
      <c r="AA2325" s="508">
        <v>1.296</v>
      </c>
      <c r="AB2325" s="508">
        <v>1.296</v>
      </c>
      <c r="AC2325" s="508">
        <v>1.296</v>
      </c>
      <c r="AD2325" s="508">
        <v>1.0489999999999999</v>
      </c>
      <c r="AE2325" s="508">
        <v>1.0489999999999999</v>
      </c>
      <c r="AF2325" s="508">
        <v>0.996</v>
      </c>
      <c r="AG2325" s="508">
        <v>0.995</v>
      </c>
      <c r="AH2325" s="508">
        <v>0.99399999999999999</v>
      </c>
      <c r="AI2325" s="492">
        <v>0.99399999999999999</v>
      </c>
      <c r="AJ2325" s="485"/>
    </row>
    <row r="2326" spans="2:36">
      <c r="B2326" s="136" t="s">
        <v>441</v>
      </c>
      <c r="C2326" s="132" t="s">
        <v>1371</v>
      </c>
      <c r="D2326" s="132" t="s">
        <v>282</v>
      </c>
      <c r="E2326" s="508">
        <v>4.3109999999999999</v>
      </c>
      <c r="F2326" s="508">
        <v>4.3109999999999999</v>
      </c>
      <c r="G2326" s="508">
        <v>4.3109999999999999</v>
      </c>
      <c r="H2326" s="508">
        <v>4.3109999999999999</v>
      </c>
      <c r="I2326" s="508">
        <v>4.3109999999999999</v>
      </c>
      <c r="J2326" s="508">
        <v>4.3120000000000003</v>
      </c>
      <c r="K2326" s="508">
        <v>4.3109999999999999</v>
      </c>
      <c r="L2326" s="508">
        <v>4.3120000000000003</v>
      </c>
      <c r="M2326" s="508">
        <v>4.3120000000000003</v>
      </c>
      <c r="N2326" s="508">
        <v>4.3109999999999999</v>
      </c>
      <c r="O2326" s="508">
        <v>4.3109999999999999</v>
      </c>
      <c r="P2326" s="508">
        <v>4.3109999999999999</v>
      </c>
      <c r="Q2326" s="508">
        <v>4.3109999999999999</v>
      </c>
      <c r="R2326" s="508">
        <v>4.3109999999999999</v>
      </c>
      <c r="S2326" s="508">
        <v>4.3109999999999999</v>
      </c>
      <c r="T2326" s="508">
        <v>4.3120000000000003</v>
      </c>
      <c r="U2326" s="508">
        <v>4.3109999999999999</v>
      </c>
      <c r="V2326" s="508">
        <v>4.3109999999999999</v>
      </c>
      <c r="W2326" s="508">
        <v>3.4980000000000002</v>
      </c>
      <c r="X2326" s="508">
        <v>3.4980000000000002</v>
      </c>
      <c r="Y2326" s="508">
        <v>3.4980000000000002</v>
      </c>
      <c r="Z2326" s="508">
        <v>3.4980000000000002</v>
      </c>
      <c r="AA2326" s="508">
        <v>1.351</v>
      </c>
      <c r="AB2326" s="508">
        <v>1.351</v>
      </c>
      <c r="AC2326" s="508">
        <v>1.351</v>
      </c>
      <c r="AD2326" s="508">
        <v>1.1000000000000001</v>
      </c>
      <c r="AE2326" s="508">
        <v>1.1000000000000001</v>
      </c>
      <c r="AF2326" s="508">
        <v>1.046</v>
      </c>
      <c r="AG2326" s="508">
        <v>1.044</v>
      </c>
      <c r="AH2326" s="508">
        <v>1.044</v>
      </c>
      <c r="AI2326" s="492">
        <v>1.044</v>
      </c>
      <c r="AJ2326" s="485"/>
    </row>
    <row r="2327" spans="2:36">
      <c r="B2327" s="136" t="s">
        <v>443</v>
      </c>
      <c r="C2327" s="132" t="s">
        <v>1371</v>
      </c>
      <c r="D2327" s="132" t="s">
        <v>282</v>
      </c>
      <c r="E2327" s="508">
        <v>4.3</v>
      </c>
      <c r="F2327" s="508">
        <v>4.3</v>
      </c>
      <c r="G2327" s="508">
        <v>4.3</v>
      </c>
      <c r="H2327" s="508">
        <v>4.3</v>
      </c>
      <c r="I2327" s="508">
        <v>4.3</v>
      </c>
      <c r="J2327" s="508">
        <v>4.3</v>
      </c>
      <c r="K2327" s="508">
        <v>4.3</v>
      </c>
      <c r="L2327" s="508">
        <v>4.3</v>
      </c>
      <c r="M2327" s="508">
        <v>4.3</v>
      </c>
      <c r="N2327" s="508">
        <v>4.3</v>
      </c>
      <c r="O2327" s="508">
        <v>4.3</v>
      </c>
      <c r="P2327" s="508">
        <v>4.3</v>
      </c>
      <c r="Q2327" s="508">
        <v>4.3</v>
      </c>
      <c r="R2327" s="508">
        <v>4.3</v>
      </c>
      <c r="S2327" s="508">
        <v>4.3</v>
      </c>
      <c r="T2327" s="508">
        <v>4.3</v>
      </c>
      <c r="U2327" s="508">
        <v>4.3</v>
      </c>
      <c r="V2327" s="508">
        <v>4.3</v>
      </c>
      <c r="W2327" s="508">
        <v>3.4750000000000001</v>
      </c>
      <c r="X2327" s="508">
        <v>3.4750000000000001</v>
      </c>
      <c r="Y2327" s="508">
        <v>3.4750000000000001</v>
      </c>
      <c r="Z2327" s="508">
        <v>3.4750000000000001</v>
      </c>
      <c r="AA2327" s="508">
        <v>1.3360000000000001</v>
      </c>
      <c r="AB2327" s="508">
        <v>1.3360000000000001</v>
      </c>
      <c r="AC2327" s="508">
        <v>1.3360000000000001</v>
      </c>
      <c r="AD2327" s="508">
        <v>1.0860000000000001</v>
      </c>
      <c r="AE2327" s="508">
        <v>1.0860000000000001</v>
      </c>
      <c r="AF2327" s="508">
        <v>1.032</v>
      </c>
      <c r="AG2327" s="508">
        <v>1.0309999999999999</v>
      </c>
      <c r="AH2327" s="508">
        <v>1.03</v>
      </c>
      <c r="AI2327" s="492">
        <v>1.03</v>
      </c>
      <c r="AJ2327" s="485"/>
    </row>
    <row r="2328" spans="2:36">
      <c r="B2328" s="136" t="s">
        <v>445</v>
      </c>
      <c r="C2328" s="132" t="s">
        <v>1371</v>
      </c>
      <c r="D2328" s="132" t="s">
        <v>282</v>
      </c>
      <c r="E2328" s="508">
        <v>4.5949999999999998</v>
      </c>
      <c r="F2328" s="508">
        <v>4.5949999999999998</v>
      </c>
      <c r="G2328" s="508">
        <v>4.5949999999999998</v>
      </c>
      <c r="H2328" s="508">
        <v>4.5949999999999998</v>
      </c>
      <c r="I2328" s="508">
        <v>4.5949999999999998</v>
      </c>
      <c r="J2328" s="508">
        <v>4.5949999999999998</v>
      </c>
      <c r="K2328" s="508">
        <v>4.5949999999999998</v>
      </c>
      <c r="L2328" s="508">
        <v>4.5949999999999998</v>
      </c>
      <c r="M2328" s="508">
        <v>4.5949999999999998</v>
      </c>
      <c r="N2328" s="508">
        <v>4.5949999999999998</v>
      </c>
      <c r="O2328" s="508">
        <v>4.5949999999999998</v>
      </c>
      <c r="P2328" s="508">
        <v>4.5949999999999998</v>
      </c>
      <c r="Q2328" s="508">
        <v>4.5949999999999998</v>
      </c>
      <c r="R2328" s="508">
        <v>4.5949999999999998</v>
      </c>
      <c r="S2328" s="508">
        <v>4.5949999999999998</v>
      </c>
      <c r="T2328" s="508">
        <v>4.5949999999999998</v>
      </c>
      <c r="U2328" s="508">
        <v>4.5949999999999998</v>
      </c>
      <c r="V2328" s="508">
        <v>4.5949999999999998</v>
      </c>
      <c r="W2328" s="508">
        <v>3.66</v>
      </c>
      <c r="X2328" s="508">
        <v>3.66</v>
      </c>
      <c r="Y2328" s="508">
        <v>3.66</v>
      </c>
      <c r="Z2328" s="508">
        <v>3.66</v>
      </c>
      <c r="AA2328" s="508">
        <v>1.427</v>
      </c>
      <c r="AB2328" s="508">
        <v>1.427</v>
      </c>
      <c r="AC2328" s="508">
        <v>1.427</v>
      </c>
      <c r="AD2328" s="508">
        <v>1.1659999999999999</v>
      </c>
      <c r="AE2328" s="508">
        <v>1.1659999999999999</v>
      </c>
      <c r="AF2328" s="508">
        <v>1.1100000000000001</v>
      </c>
      <c r="AG2328" s="508">
        <v>1.1080000000000001</v>
      </c>
      <c r="AH2328" s="508">
        <v>1.1080000000000001</v>
      </c>
      <c r="AI2328" s="492">
        <v>1.1080000000000001</v>
      </c>
      <c r="AJ2328" s="485"/>
    </row>
    <row r="2329" spans="2:36">
      <c r="B2329" s="136" t="s">
        <v>446</v>
      </c>
      <c r="C2329" s="132" t="s">
        <v>1371</v>
      </c>
      <c r="D2329" s="132" t="s">
        <v>282</v>
      </c>
      <c r="E2329" s="508">
        <v>4.3959999999999999</v>
      </c>
      <c r="F2329" s="508">
        <v>4.3959999999999999</v>
      </c>
      <c r="G2329" s="508">
        <v>4.3959999999999999</v>
      </c>
      <c r="H2329" s="508">
        <v>4.3959999999999999</v>
      </c>
      <c r="I2329" s="508">
        <v>4.3959999999999999</v>
      </c>
      <c r="J2329" s="508">
        <v>4.3959999999999999</v>
      </c>
      <c r="K2329" s="508">
        <v>4.3959999999999999</v>
      </c>
      <c r="L2329" s="508">
        <v>4.3959999999999999</v>
      </c>
      <c r="M2329" s="508">
        <v>4.3959999999999999</v>
      </c>
      <c r="N2329" s="508">
        <v>4.3959999999999999</v>
      </c>
      <c r="O2329" s="508">
        <v>4.3959999999999999</v>
      </c>
      <c r="P2329" s="508">
        <v>4.3959999999999999</v>
      </c>
      <c r="Q2329" s="508">
        <v>4.3959999999999999</v>
      </c>
      <c r="R2329" s="508">
        <v>4.3959999999999999</v>
      </c>
      <c r="S2329" s="508">
        <v>4.3959999999999999</v>
      </c>
      <c r="T2329" s="508">
        <v>4.3959999999999999</v>
      </c>
      <c r="U2329" s="508">
        <v>4.3959999999999999</v>
      </c>
      <c r="V2329" s="508">
        <v>4.3959999999999999</v>
      </c>
      <c r="W2329" s="508">
        <v>3.528</v>
      </c>
      <c r="X2329" s="508">
        <v>3.528</v>
      </c>
      <c r="Y2329" s="508">
        <v>3.528</v>
      </c>
      <c r="Z2329" s="508">
        <v>3.528</v>
      </c>
      <c r="AA2329" s="508">
        <v>1.3560000000000001</v>
      </c>
      <c r="AB2329" s="508">
        <v>1.3560000000000001</v>
      </c>
      <c r="AC2329" s="508">
        <v>1.3560000000000001</v>
      </c>
      <c r="AD2329" s="508">
        <v>1.103</v>
      </c>
      <c r="AE2329" s="508">
        <v>1.103</v>
      </c>
      <c r="AF2329" s="508">
        <v>1.048</v>
      </c>
      <c r="AG2329" s="508">
        <v>1.046</v>
      </c>
      <c r="AH2329" s="508">
        <v>1.046</v>
      </c>
      <c r="AI2329" s="492">
        <v>1.046</v>
      </c>
      <c r="AJ2329" s="485"/>
    </row>
    <row r="2330" spans="2:36">
      <c r="B2330" s="136" t="s">
        <v>448</v>
      </c>
      <c r="C2330" s="132" t="s">
        <v>1371</v>
      </c>
      <c r="D2330" s="132" t="s">
        <v>282</v>
      </c>
      <c r="E2330" s="508">
        <v>4.0880000000000001</v>
      </c>
      <c r="F2330" s="508">
        <v>4.0880000000000001</v>
      </c>
      <c r="G2330" s="508">
        <v>4.0880000000000001</v>
      </c>
      <c r="H2330" s="508">
        <v>4.0880000000000001</v>
      </c>
      <c r="I2330" s="508">
        <v>4.0880000000000001</v>
      </c>
      <c r="J2330" s="508">
        <v>4.0880000000000001</v>
      </c>
      <c r="K2330" s="508">
        <v>4.0880000000000001</v>
      </c>
      <c r="L2330" s="508">
        <v>4.0880000000000001</v>
      </c>
      <c r="M2330" s="508">
        <v>4.0880000000000001</v>
      </c>
      <c r="N2330" s="508">
        <v>4.0880000000000001</v>
      </c>
      <c r="O2330" s="508">
        <v>4.0880000000000001</v>
      </c>
      <c r="P2330" s="508">
        <v>4.0880000000000001</v>
      </c>
      <c r="Q2330" s="508">
        <v>4.0880000000000001</v>
      </c>
      <c r="R2330" s="508">
        <v>4.0880000000000001</v>
      </c>
      <c r="S2330" s="508">
        <v>4.0880000000000001</v>
      </c>
      <c r="T2330" s="508">
        <v>4.0880000000000001</v>
      </c>
      <c r="U2330" s="508">
        <v>4.0880000000000001</v>
      </c>
      <c r="V2330" s="508">
        <v>4.0880000000000001</v>
      </c>
      <c r="W2330" s="508">
        <v>3.3359999999999999</v>
      </c>
      <c r="X2330" s="508">
        <v>3.3359999999999999</v>
      </c>
      <c r="Y2330" s="508">
        <v>3.3359999999999999</v>
      </c>
      <c r="Z2330" s="508">
        <v>3.3359999999999999</v>
      </c>
      <c r="AA2330" s="508">
        <v>1.258</v>
      </c>
      <c r="AB2330" s="508">
        <v>1.258</v>
      </c>
      <c r="AC2330" s="508">
        <v>1.258</v>
      </c>
      <c r="AD2330" s="508">
        <v>1.016</v>
      </c>
      <c r="AE2330" s="508">
        <v>1.016</v>
      </c>
      <c r="AF2330" s="508">
        <v>0.96399999999999997</v>
      </c>
      <c r="AG2330" s="508">
        <v>0.96199999999999997</v>
      </c>
      <c r="AH2330" s="508">
        <v>0.96199999999999997</v>
      </c>
      <c r="AI2330" s="492">
        <v>0.96199999999999997</v>
      </c>
      <c r="AJ2330" s="485"/>
    </row>
    <row r="2331" spans="2:36">
      <c r="B2331" s="136" t="s">
        <v>449</v>
      </c>
      <c r="C2331" s="132" t="s">
        <v>1371</v>
      </c>
      <c r="D2331" s="132" t="s">
        <v>282</v>
      </c>
      <c r="E2331" s="508">
        <v>4.3470000000000004</v>
      </c>
      <c r="F2331" s="508">
        <v>4.3470000000000004</v>
      </c>
      <c r="G2331" s="508">
        <v>4.3470000000000004</v>
      </c>
      <c r="H2331" s="508">
        <v>4.3470000000000004</v>
      </c>
      <c r="I2331" s="508">
        <v>4.3470000000000004</v>
      </c>
      <c r="J2331" s="508">
        <v>4.3470000000000004</v>
      </c>
      <c r="K2331" s="508">
        <v>4.3470000000000004</v>
      </c>
      <c r="L2331" s="508">
        <v>4.3470000000000004</v>
      </c>
      <c r="M2331" s="508">
        <v>4.3470000000000004</v>
      </c>
      <c r="N2331" s="508">
        <v>4.3470000000000004</v>
      </c>
      <c r="O2331" s="508">
        <v>4.3470000000000004</v>
      </c>
      <c r="P2331" s="508">
        <v>4.3470000000000004</v>
      </c>
      <c r="Q2331" s="508">
        <v>4.3470000000000004</v>
      </c>
      <c r="R2331" s="508">
        <v>4.3470000000000004</v>
      </c>
      <c r="S2331" s="508">
        <v>4.3470000000000004</v>
      </c>
      <c r="T2331" s="508">
        <v>4.3470000000000004</v>
      </c>
      <c r="U2331" s="508">
        <v>4.3470000000000004</v>
      </c>
      <c r="V2331" s="508">
        <v>4.3470000000000004</v>
      </c>
      <c r="W2331" s="508">
        <v>3.5049999999999999</v>
      </c>
      <c r="X2331" s="508">
        <v>3.5059999999999998</v>
      </c>
      <c r="Y2331" s="508">
        <v>3.5059999999999998</v>
      </c>
      <c r="Z2331" s="508">
        <v>3.5059999999999998</v>
      </c>
      <c r="AA2331" s="508">
        <v>1.351</v>
      </c>
      <c r="AB2331" s="508">
        <v>1.351</v>
      </c>
      <c r="AC2331" s="508">
        <v>1.351</v>
      </c>
      <c r="AD2331" s="508">
        <v>1.099</v>
      </c>
      <c r="AE2331" s="508">
        <v>1.099</v>
      </c>
      <c r="AF2331" s="508">
        <v>1.0449999999999999</v>
      </c>
      <c r="AG2331" s="508">
        <v>1.0429999999999999</v>
      </c>
      <c r="AH2331" s="508">
        <v>1.0429999999999999</v>
      </c>
      <c r="AI2331" s="492">
        <v>1.0429999999999999</v>
      </c>
      <c r="AJ2331" s="485"/>
    </row>
    <row r="2332" spans="2:36">
      <c r="B2332" s="136" t="s">
        <v>450</v>
      </c>
      <c r="C2332" s="132" t="s">
        <v>1371</v>
      </c>
      <c r="D2332" s="132" t="s">
        <v>282</v>
      </c>
      <c r="E2332" s="508">
        <v>4.0570000000000004</v>
      </c>
      <c r="F2332" s="508">
        <v>4.0570000000000004</v>
      </c>
      <c r="G2332" s="508">
        <v>4.0570000000000004</v>
      </c>
      <c r="H2332" s="508">
        <v>4.0570000000000004</v>
      </c>
      <c r="I2332" s="508">
        <v>4.0570000000000004</v>
      </c>
      <c r="J2332" s="508">
        <v>4.0570000000000004</v>
      </c>
      <c r="K2332" s="508">
        <v>4.0570000000000004</v>
      </c>
      <c r="L2332" s="508">
        <v>4.0570000000000004</v>
      </c>
      <c r="M2332" s="508">
        <v>4.0570000000000004</v>
      </c>
      <c r="N2332" s="508">
        <v>4.0570000000000004</v>
      </c>
      <c r="O2332" s="508">
        <v>4.0570000000000004</v>
      </c>
      <c r="P2332" s="508">
        <v>4.0570000000000004</v>
      </c>
      <c r="Q2332" s="508">
        <v>4.0570000000000004</v>
      </c>
      <c r="R2332" s="508">
        <v>4.0570000000000004</v>
      </c>
      <c r="S2332" s="508">
        <v>4.0570000000000004</v>
      </c>
      <c r="T2332" s="508">
        <v>4.0570000000000004</v>
      </c>
      <c r="U2332" s="508">
        <v>4.0570000000000004</v>
      </c>
      <c r="V2332" s="508">
        <v>4.0570000000000004</v>
      </c>
      <c r="W2332" s="508">
        <v>3.31</v>
      </c>
      <c r="X2332" s="508">
        <v>3.31</v>
      </c>
      <c r="Y2332" s="508">
        <v>3.31</v>
      </c>
      <c r="Z2332" s="508">
        <v>3.31</v>
      </c>
      <c r="AA2332" s="508">
        <v>1.2430000000000001</v>
      </c>
      <c r="AB2332" s="508">
        <v>1.2430000000000001</v>
      </c>
      <c r="AC2332" s="508">
        <v>1.2430000000000001</v>
      </c>
      <c r="AD2332" s="508">
        <v>1.0009999999999999</v>
      </c>
      <c r="AE2332" s="508">
        <v>1.0009999999999999</v>
      </c>
      <c r="AF2332" s="508">
        <v>0.94899999999999995</v>
      </c>
      <c r="AG2332" s="508">
        <v>0.94799999999999995</v>
      </c>
      <c r="AH2332" s="508">
        <v>0.94799999999999995</v>
      </c>
      <c r="AI2332" s="492">
        <v>0.94799999999999995</v>
      </c>
      <c r="AJ2332" s="485"/>
    </row>
    <row r="2333" spans="2:36">
      <c r="B2333" s="136" t="s">
        <v>451</v>
      </c>
      <c r="C2333" s="132" t="s">
        <v>1371</v>
      </c>
      <c r="D2333" s="132" t="s">
        <v>282</v>
      </c>
      <c r="E2333" s="508">
        <v>4.4809999999999999</v>
      </c>
      <c r="F2333" s="508">
        <v>4.4809999999999999</v>
      </c>
      <c r="G2333" s="508">
        <v>4.4809999999999999</v>
      </c>
      <c r="H2333" s="508">
        <v>4.4809999999999999</v>
      </c>
      <c r="I2333" s="508">
        <v>4.4809999999999999</v>
      </c>
      <c r="J2333" s="508">
        <v>4.4809999999999999</v>
      </c>
      <c r="K2333" s="508">
        <v>4.4809999999999999</v>
      </c>
      <c r="L2333" s="508">
        <v>4.4809999999999999</v>
      </c>
      <c r="M2333" s="508">
        <v>4.4809999999999999</v>
      </c>
      <c r="N2333" s="508">
        <v>4.4809999999999999</v>
      </c>
      <c r="O2333" s="508">
        <v>4.4809999999999999</v>
      </c>
      <c r="P2333" s="508">
        <v>4.4809999999999999</v>
      </c>
      <c r="Q2333" s="508">
        <v>4.4809999999999999</v>
      </c>
      <c r="R2333" s="508">
        <v>4.4809999999999999</v>
      </c>
      <c r="S2333" s="508">
        <v>4.4809999999999999</v>
      </c>
      <c r="T2333" s="508">
        <v>4.4809999999999999</v>
      </c>
      <c r="U2333" s="508">
        <v>4.4809999999999999</v>
      </c>
      <c r="V2333" s="508">
        <v>4.4809999999999999</v>
      </c>
      <c r="W2333" s="508">
        <v>3.5939999999999999</v>
      </c>
      <c r="X2333" s="508">
        <v>3.5939999999999999</v>
      </c>
      <c r="Y2333" s="508">
        <v>3.5939999999999999</v>
      </c>
      <c r="Z2333" s="508">
        <v>3.5939999999999999</v>
      </c>
      <c r="AA2333" s="508">
        <v>1.395</v>
      </c>
      <c r="AB2333" s="508">
        <v>1.395</v>
      </c>
      <c r="AC2333" s="508">
        <v>1.395</v>
      </c>
      <c r="AD2333" s="508">
        <v>1.1379999999999999</v>
      </c>
      <c r="AE2333" s="508">
        <v>1.1379999999999999</v>
      </c>
      <c r="AF2333" s="508">
        <v>1.083</v>
      </c>
      <c r="AG2333" s="508">
        <v>1.081</v>
      </c>
      <c r="AH2333" s="508">
        <v>1.081</v>
      </c>
      <c r="AI2333" s="492">
        <v>1.081</v>
      </c>
      <c r="AJ2333" s="485"/>
    </row>
    <row r="2334" spans="2:36">
      <c r="B2334" s="136" t="s">
        <v>452</v>
      </c>
      <c r="C2334" s="132" t="s">
        <v>1371</v>
      </c>
      <c r="D2334" s="132" t="s">
        <v>282</v>
      </c>
      <c r="E2334" s="508">
        <v>4.2130000000000001</v>
      </c>
      <c r="F2334" s="508">
        <v>4.2130000000000001</v>
      </c>
      <c r="G2334" s="508">
        <v>4.2130000000000001</v>
      </c>
      <c r="H2334" s="508">
        <v>4.2130000000000001</v>
      </c>
      <c r="I2334" s="508">
        <v>4.2130000000000001</v>
      </c>
      <c r="J2334" s="508">
        <v>4.2130000000000001</v>
      </c>
      <c r="K2334" s="508">
        <v>4.2130000000000001</v>
      </c>
      <c r="L2334" s="508">
        <v>4.2130000000000001</v>
      </c>
      <c r="M2334" s="508">
        <v>4.2130000000000001</v>
      </c>
      <c r="N2334" s="508">
        <v>4.2130000000000001</v>
      </c>
      <c r="O2334" s="508">
        <v>4.2130000000000001</v>
      </c>
      <c r="P2334" s="508">
        <v>4.2130000000000001</v>
      </c>
      <c r="Q2334" s="508">
        <v>4.2130000000000001</v>
      </c>
      <c r="R2334" s="508">
        <v>4.2130000000000001</v>
      </c>
      <c r="S2334" s="508">
        <v>4.2130000000000001</v>
      </c>
      <c r="T2334" s="508">
        <v>4.2130000000000001</v>
      </c>
      <c r="U2334" s="508">
        <v>4.2130000000000001</v>
      </c>
      <c r="V2334" s="508">
        <v>4.2130000000000001</v>
      </c>
      <c r="W2334" s="508">
        <v>3.41</v>
      </c>
      <c r="X2334" s="508">
        <v>3.41</v>
      </c>
      <c r="Y2334" s="508">
        <v>3.41</v>
      </c>
      <c r="Z2334" s="508">
        <v>3.41</v>
      </c>
      <c r="AA2334" s="508">
        <v>1.2949999999999999</v>
      </c>
      <c r="AB2334" s="508">
        <v>1.2949999999999999</v>
      </c>
      <c r="AC2334" s="508">
        <v>1.2949999999999999</v>
      </c>
      <c r="AD2334" s="508">
        <v>1.0489999999999999</v>
      </c>
      <c r="AE2334" s="508">
        <v>1.048</v>
      </c>
      <c r="AF2334" s="508">
        <v>0.995</v>
      </c>
      <c r="AG2334" s="508">
        <v>0.99399999999999999</v>
      </c>
      <c r="AH2334" s="508">
        <v>0.99299999999999999</v>
      </c>
      <c r="AI2334" s="492">
        <v>0.99299999999999999</v>
      </c>
      <c r="AJ2334" s="485"/>
    </row>
    <row r="2335" spans="2:36">
      <c r="B2335" s="136" t="s">
        <v>453</v>
      </c>
      <c r="C2335" s="132" t="s">
        <v>1371</v>
      </c>
      <c r="D2335" s="132" t="s">
        <v>282</v>
      </c>
      <c r="E2335" s="508">
        <v>4.0149999999999997</v>
      </c>
      <c r="F2335" s="508">
        <v>4.0149999999999997</v>
      </c>
      <c r="G2335" s="508">
        <v>4.0149999999999997</v>
      </c>
      <c r="H2335" s="508">
        <v>4.0149999999999997</v>
      </c>
      <c r="I2335" s="508">
        <v>4.0149999999999997</v>
      </c>
      <c r="J2335" s="508">
        <v>4.0149999999999997</v>
      </c>
      <c r="K2335" s="508">
        <v>4.0149999999999997</v>
      </c>
      <c r="L2335" s="508">
        <v>4.0149999999999997</v>
      </c>
      <c r="M2335" s="508">
        <v>4.0149999999999997</v>
      </c>
      <c r="N2335" s="508">
        <v>4.0149999999999997</v>
      </c>
      <c r="O2335" s="508">
        <v>4.0149999999999997</v>
      </c>
      <c r="P2335" s="508">
        <v>4.0149999999999997</v>
      </c>
      <c r="Q2335" s="508">
        <v>4.0149999999999997</v>
      </c>
      <c r="R2335" s="508">
        <v>4.0149999999999997</v>
      </c>
      <c r="S2335" s="508">
        <v>4.0149999999999997</v>
      </c>
      <c r="T2335" s="508">
        <v>4.0149999999999997</v>
      </c>
      <c r="U2335" s="508">
        <v>4.0149999999999997</v>
      </c>
      <c r="V2335" s="508">
        <v>4.0149999999999997</v>
      </c>
      <c r="W2335" s="508">
        <v>3.282</v>
      </c>
      <c r="X2335" s="508">
        <v>3.282</v>
      </c>
      <c r="Y2335" s="508">
        <v>3.282</v>
      </c>
      <c r="Z2335" s="508">
        <v>3.282</v>
      </c>
      <c r="AA2335" s="508">
        <v>1.228</v>
      </c>
      <c r="AB2335" s="508">
        <v>1.228</v>
      </c>
      <c r="AC2335" s="508">
        <v>1.228</v>
      </c>
      <c r="AD2335" s="508">
        <v>0.98799999999999999</v>
      </c>
      <c r="AE2335" s="508">
        <v>0.98799999999999999</v>
      </c>
      <c r="AF2335" s="508">
        <v>0.93700000000000006</v>
      </c>
      <c r="AG2335" s="508">
        <v>0.93500000000000005</v>
      </c>
      <c r="AH2335" s="508">
        <v>0.93500000000000005</v>
      </c>
      <c r="AI2335" s="492">
        <v>0.93500000000000005</v>
      </c>
      <c r="AJ2335" s="485"/>
    </row>
    <row r="2336" spans="2:36">
      <c r="B2336" s="136" t="s">
        <v>454</v>
      </c>
      <c r="C2336" s="132" t="s">
        <v>1371</v>
      </c>
      <c r="D2336" s="132" t="s">
        <v>282</v>
      </c>
      <c r="E2336" s="508">
        <v>4.085</v>
      </c>
      <c r="F2336" s="508">
        <v>4.085</v>
      </c>
      <c r="G2336" s="508">
        <v>4.085</v>
      </c>
      <c r="H2336" s="508">
        <v>4.085</v>
      </c>
      <c r="I2336" s="508">
        <v>4.085</v>
      </c>
      <c r="J2336" s="508">
        <v>4.085</v>
      </c>
      <c r="K2336" s="508">
        <v>4.085</v>
      </c>
      <c r="L2336" s="508">
        <v>4.085</v>
      </c>
      <c r="M2336" s="508">
        <v>4.085</v>
      </c>
      <c r="N2336" s="508">
        <v>4.085</v>
      </c>
      <c r="O2336" s="508">
        <v>4.085</v>
      </c>
      <c r="P2336" s="508">
        <v>4.085</v>
      </c>
      <c r="Q2336" s="508">
        <v>4.085</v>
      </c>
      <c r="R2336" s="508">
        <v>4.085</v>
      </c>
      <c r="S2336" s="508">
        <v>4.085</v>
      </c>
      <c r="T2336" s="508">
        <v>4.085</v>
      </c>
      <c r="U2336" s="508">
        <v>4.085</v>
      </c>
      <c r="V2336" s="508">
        <v>4.085</v>
      </c>
      <c r="W2336" s="508">
        <v>3.3340000000000001</v>
      </c>
      <c r="X2336" s="508">
        <v>3.3340000000000001</v>
      </c>
      <c r="Y2336" s="508">
        <v>3.3340000000000001</v>
      </c>
      <c r="Z2336" s="508">
        <v>3.3340000000000001</v>
      </c>
      <c r="AA2336" s="508">
        <v>1.2589999999999999</v>
      </c>
      <c r="AB2336" s="508">
        <v>1.2589999999999999</v>
      </c>
      <c r="AC2336" s="508">
        <v>1.2589999999999999</v>
      </c>
      <c r="AD2336" s="508">
        <v>1.0169999999999999</v>
      </c>
      <c r="AE2336" s="508">
        <v>1.0169999999999999</v>
      </c>
      <c r="AF2336" s="508">
        <v>0.96499999999999997</v>
      </c>
      <c r="AG2336" s="508">
        <v>0.96299999999999997</v>
      </c>
      <c r="AH2336" s="508">
        <v>0.96299999999999997</v>
      </c>
      <c r="AI2336" s="492">
        <v>0.96299999999999997</v>
      </c>
      <c r="AJ2336" s="485"/>
    </row>
    <row r="2337" spans="2:36">
      <c r="B2337" s="136" t="s">
        <v>455</v>
      </c>
      <c r="C2337" s="132" t="s">
        <v>1371</v>
      </c>
      <c r="D2337" s="132" t="s">
        <v>282</v>
      </c>
      <c r="E2337" s="508">
        <v>3.996</v>
      </c>
      <c r="F2337" s="508">
        <v>3.996</v>
      </c>
      <c r="G2337" s="508">
        <v>3.996</v>
      </c>
      <c r="H2337" s="508">
        <v>3.996</v>
      </c>
      <c r="I2337" s="508">
        <v>3.996</v>
      </c>
      <c r="J2337" s="508">
        <v>3.996</v>
      </c>
      <c r="K2337" s="508">
        <v>3.996</v>
      </c>
      <c r="L2337" s="508">
        <v>3.996</v>
      </c>
      <c r="M2337" s="508">
        <v>3.996</v>
      </c>
      <c r="N2337" s="508">
        <v>3.996</v>
      </c>
      <c r="O2337" s="508">
        <v>3.996</v>
      </c>
      <c r="P2337" s="508">
        <v>3.996</v>
      </c>
      <c r="Q2337" s="508">
        <v>3.996</v>
      </c>
      <c r="R2337" s="508">
        <v>3.996</v>
      </c>
      <c r="S2337" s="508">
        <v>3.996</v>
      </c>
      <c r="T2337" s="508">
        <v>3.996</v>
      </c>
      <c r="U2337" s="508">
        <v>3.996</v>
      </c>
      <c r="V2337" s="508">
        <v>3.996</v>
      </c>
      <c r="W2337" s="508">
        <v>3.2719999999999998</v>
      </c>
      <c r="X2337" s="508">
        <v>3.2719999999999998</v>
      </c>
      <c r="Y2337" s="508">
        <v>3.2719999999999998</v>
      </c>
      <c r="Z2337" s="508">
        <v>3.2719999999999998</v>
      </c>
      <c r="AA2337" s="508">
        <v>1.222</v>
      </c>
      <c r="AB2337" s="508">
        <v>1.222</v>
      </c>
      <c r="AC2337" s="508">
        <v>1.222</v>
      </c>
      <c r="AD2337" s="508">
        <v>0.98199999999999998</v>
      </c>
      <c r="AE2337" s="508">
        <v>0.98199999999999998</v>
      </c>
      <c r="AF2337" s="508">
        <v>0.93100000000000005</v>
      </c>
      <c r="AG2337" s="508">
        <v>0.92900000000000005</v>
      </c>
      <c r="AH2337" s="508">
        <v>0.92900000000000005</v>
      </c>
      <c r="AI2337" s="492">
        <v>0.92900000000000005</v>
      </c>
      <c r="AJ2337" s="485"/>
    </row>
    <row r="2338" spans="2:36">
      <c r="B2338" s="136" t="s">
        <v>456</v>
      </c>
      <c r="C2338" s="132" t="s">
        <v>1371</v>
      </c>
      <c r="D2338" s="132" t="s">
        <v>282</v>
      </c>
      <c r="E2338" s="508">
        <v>4.133</v>
      </c>
      <c r="F2338" s="508">
        <v>4.133</v>
      </c>
      <c r="G2338" s="508">
        <v>4.133</v>
      </c>
      <c r="H2338" s="508">
        <v>4.133</v>
      </c>
      <c r="I2338" s="508">
        <v>4.133</v>
      </c>
      <c r="J2338" s="508">
        <v>4.133</v>
      </c>
      <c r="K2338" s="508">
        <v>4.133</v>
      </c>
      <c r="L2338" s="508">
        <v>4.133</v>
      </c>
      <c r="M2338" s="508">
        <v>4.133</v>
      </c>
      <c r="N2338" s="508">
        <v>4.133</v>
      </c>
      <c r="O2338" s="508">
        <v>4.133</v>
      </c>
      <c r="P2338" s="508">
        <v>4.133</v>
      </c>
      <c r="Q2338" s="508">
        <v>4.133</v>
      </c>
      <c r="R2338" s="508">
        <v>4.133</v>
      </c>
      <c r="S2338" s="508">
        <v>4.133</v>
      </c>
      <c r="T2338" s="508">
        <v>4.133</v>
      </c>
      <c r="U2338" s="508">
        <v>4.133</v>
      </c>
      <c r="V2338" s="508">
        <v>4.133</v>
      </c>
      <c r="W2338" s="508">
        <v>3.363</v>
      </c>
      <c r="X2338" s="508">
        <v>3.363</v>
      </c>
      <c r="Y2338" s="508">
        <v>3.363</v>
      </c>
      <c r="Z2338" s="508">
        <v>3.363</v>
      </c>
      <c r="AA2338" s="508">
        <v>1.272</v>
      </c>
      <c r="AB2338" s="508">
        <v>1.272</v>
      </c>
      <c r="AC2338" s="508">
        <v>1.272</v>
      </c>
      <c r="AD2338" s="508">
        <v>1.028</v>
      </c>
      <c r="AE2338" s="508">
        <v>1.028</v>
      </c>
      <c r="AF2338" s="508">
        <v>0.97499999999999998</v>
      </c>
      <c r="AG2338" s="508">
        <v>0.97299999999999998</v>
      </c>
      <c r="AH2338" s="508">
        <v>0.97299999999999998</v>
      </c>
      <c r="AI2338" s="492">
        <v>0.97299999999999998</v>
      </c>
      <c r="AJ2338" s="485"/>
    </row>
    <row r="2339" spans="2:36">
      <c r="B2339" s="136" t="s">
        <v>457</v>
      </c>
      <c r="C2339" s="132" t="s">
        <v>1371</v>
      </c>
      <c r="D2339" s="132" t="s">
        <v>282</v>
      </c>
      <c r="E2339" s="508">
        <v>3.9180000000000001</v>
      </c>
      <c r="F2339" s="508">
        <v>3.9180000000000001</v>
      </c>
      <c r="G2339" s="508">
        <v>3.9180000000000001</v>
      </c>
      <c r="H2339" s="508">
        <v>3.9180000000000001</v>
      </c>
      <c r="I2339" s="508">
        <v>3.9180000000000001</v>
      </c>
      <c r="J2339" s="508">
        <v>3.9180000000000001</v>
      </c>
      <c r="K2339" s="508">
        <v>3.9180000000000001</v>
      </c>
      <c r="L2339" s="508">
        <v>3.9180000000000001</v>
      </c>
      <c r="M2339" s="508">
        <v>3.9180000000000001</v>
      </c>
      <c r="N2339" s="508">
        <v>3.9180000000000001</v>
      </c>
      <c r="O2339" s="508">
        <v>3.9180000000000001</v>
      </c>
      <c r="P2339" s="508">
        <v>3.9180000000000001</v>
      </c>
      <c r="Q2339" s="508">
        <v>3.9180000000000001</v>
      </c>
      <c r="R2339" s="508">
        <v>3.9180000000000001</v>
      </c>
      <c r="S2339" s="508">
        <v>3.9180000000000001</v>
      </c>
      <c r="T2339" s="508">
        <v>3.9180000000000001</v>
      </c>
      <c r="U2339" s="508">
        <v>3.9180000000000001</v>
      </c>
      <c r="V2339" s="508">
        <v>3.9180000000000001</v>
      </c>
      <c r="W2339" s="508">
        <v>3.2210000000000001</v>
      </c>
      <c r="X2339" s="508">
        <v>3.2210000000000001</v>
      </c>
      <c r="Y2339" s="508">
        <v>3.2210000000000001</v>
      </c>
      <c r="Z2339" s="508">
        <v>3.2210000000000001</v>
      </c>
      <c r="AA2339" s="508">
        <v>1.1970000000000001</v>
      </c>
      <c r="AB2339" s="508">
        <v>1.1970000000000001</v>
      </c>
      <c r="AC2339" s="508">
        <v>1.1970000000000001</v>
      </c>
      <c r="AD2339" s="508">
        <v>0.96099999999999997</v>
      </c>
      <c r="AE2339" s="508">
        <v>0.96099999999999997</v>
      </c>
      <c r="AF2339" s="508">
        <v>0.91</v>
      </c>
      <c r="AG2339" s="508">
        <v>0.90900000000000003</v>
      </c>
      <c r="AH2339" s="508">
        <v>0.90800000000000003</v>
      </c>
      <c r="AI2339" s="492">
        <v>0.90800000000000003</v>
      </c>
      <c r="AJ2339" s="485"/>
    </row>
    <row r="2340" spans="2:36">
      <c r="B2340" s="136" t="s">
        <v>458</v>
      </c>
      <c r="C2340" s="132" t="s">
        <v>1371</v>
      </c>
      <c r="D2340" s="132" t="s">
        <v>282</v>
      </c>
      <c r="E2340" s="508">
        <v>4.226</v>
      </c>
      <c r="F2340" s="508">
        <v>4.226</v>
      </c>
      <c r="G2340" s="508">
        <v>4.226</v>
      </c>
      <c r="H2340" s="508">
        <v>4.226</v>
      </c>
      <c r="I2340" s="508">
        <v>4.226</v>
      </c>
      <c r="J2340" s="508">
        <v>4.226</v>
      </c>
      <c r="K2340" s="508">
        <v>4.226</v>
      </c>
      <c r="L2340" s="508">
        <v>4.226</v>
      </c>
      <c r="M2340" s="508">
        <v>4.226</v>
      </c>
      <c r="N2340" s="508">
        <v>4.226</v>
      </c>
      <c r="O2340" s="508">
        <v>4.226</v>
      </c>
      <c r="P2340" s="508">
        <v>4.226</v>
      </c>
      <c r="Q2340" s="508">
        <v>4.226</v>
      </c>
      <c r="R2340" s="508">
        <v>4.226</v>
      </c>
      <c r="S2340" s="508">
        <v>4.226</v>
      </c>
      <c r="T2340" s="508">
        <v>4.226</v>
      </c>
      <c r="U2340" s="508">
        <v>4.226</v>
      </c>
      <c r="V2340" s="508">
        <v>4.226</v>
      </c>
      <c r="W2340" s="508">
        <v>3.4359999999999999</v>
      </c>
      <c r="X2340" s="508">
        <v>3.4359999999999999</v>
      </c>
      <c r="Y2340" s="508">
        <v>3.4359999999999999</v>
      </c>
      <c r="Z2340" s="508">
        <v>3.4359999999999999</v>
      </c>
      <c r="AA2340" s="508">
        <v>1.3149999999999999</v>
      </c>
      <c r="AB2340" s="508">
        <v>1.3149999999999999</v>
      </c>
      <c r="AC2340" s="508">
        <v>1.3149999999999999</v>
      </c>
      <c r="AD2340" s="508">
        <v>1.0680000000000001</v>
      </c>
      <c r="AE2340" s="508">
        <v>1.0680000000000001</v>
      </c>
      <c r="AF2340" s="508">
        <v>1.014</v>
      </c>
      <c r="AG2340" s="508">
        <v>1.0129999999999999</v>
      </c>
      <c r="AH2340" s="508">
        <v>1.012</v>
      </c>
      <c r="AI2340" s="492">
        <v>1.012</v>
      </c>
      <c r="AJ2340" s="485"/>
    </row>
    <row r="2341" spans="2:36">
      <c r="B2341" s="136" t="s">
        <v>459</v>
      </c>
      <c r="C2341" s="132" t="s">
        <v>1371</v>
      </c>
      <c r="D2341" s="132" t="s">
        <v>282</v>
      </c>
      <c r="E2341" s="508">
        <v>4.2220000000000004</v>
      </c>
      <c r="F2341" s="508">
        <v>4.2220000000000004</v>
      </c>
      <c r="G2341" s="508">
        <v>4.2220000000000004</v>
      </c>
      <c r="H2341" s="508">
        <v>4.2220000000000004</v>
      </c>
      <c r="I2341" s="508">
        <v>4.2220000000000004</v>
      </c>
      <c r="J2341" s="508">
        <v>4.2220000000000004</v>
      </c>
      <c r="K2341" s="508">
        <v>4.2220000000000004</v>
      </c>
      <c r="L2341" s="508">
        <v>4.2220000000000004</v>
      </c>
      <c r="M2341" s="508">
        <v>4.2220000000000004</v>
      </c>
      <c r="N2341" s="508">
        <v>4.2220000000000004</v>
      </c>
      <c r="O2341" s="508">
        <v>4.2220000000000004</v>
      </c>
      <c r="P2341" s="508">
        <v>4.2220000000000004</v>
      </c>
      <c r="Q2341" s="508">
        <v>4.2220000000000004</v>
      </c>
      <c r="R2341" s="508">
        <v>4.2220000000000004</v>
      </c>
      <c r="S2341" s="508">
        <v>4.2220000000000004</v>
      </c>
      <c r="T2341" s="508">
        <v>4.2220000000000004</v>
      </c>
      <c r="U2341" s="508">
        <v>4.2220000000000004</v>
      </c>
      <c r="V2341" s="508">
        <v>4.2220000000000004</v>
      </c>
      <c r="W2341" s="508">
        <v>3.4329999999999998</v>
      </c>
      <c r="X2341" s="508">
        <v>3.4329999999999998</v>
      </c>
      <c r="Y2341" s="508">
        <v>3.4329999999999998</v>
      </c>
      <c r="Z2341" s="508">
        <v>3.4329999999999998</v>
      </c>
      <c r="AA2341" s="508">
        <v>1.3129999999999999</v>
      </c>
      <c r="AB2341" s="508">
        <v>1.3129999999999999</v>
      </c>
      <c r="AC2341" s="508">
        <v>1.3129999999999999</v>
      </c>
      <c r="AD2341" s="508">
        <v>1.0660000000000001</v>
      </c>
      <c r="AE2341" s="508">
        <v>1.0660000000000001</v>
      </c>
      <c r="AF2341" s="508">
        <v>1.012</v>
      </c>
      <c r="AG2341" s="508">
        <v>1.0109999999999999</v>
      </c>
      <c r="AH2341" s="508">
        <v>1.0109999999999999</v>
      </c>
      <c r="AI2341" s="492">
        <v>1.0109999999999999</v>
      </c>
      <c r="AJ2341" s="485"/>
    </row>
    <row r="2342" spans="2:36">
      <c r="B2342" s="136" t="s">
        <v>460</v>
      </c>
      <c r="C2342" s="132" t="s">
        <v>1371</v>
      </c>
      <c r="D2342" s="132" t="s">
        <v>282</v>
      </c>
      <c r="E2342" s="508">
        <v>4.1920000000000002</v>
      </c>
      <c r="F2342" s="508">
        <v>4.1920000000000002</v>
      </c>
      <c r="G2342" s="508">
        <v>4.1920000000000002</v>
      </c>
      <c r="H2342" s="508">
        <v>4.1920000000000002</v>
      </c>
      <c r="I2342" s="508">
        <v>4.1920000000000002</v>
      </c>
      <c r="J2342" s="508">
        <v>4.1920000000000002</v>
      </c>
      <c r="K2342" s="508">
        <v>4.1920000000000002</v>
      </c>
      <c r="L2342" s="508">
        <v>4.1920000000000002</v>
      </c>
      <c r="M2342" s="508">
        <v>4.1920000000000002</v>
      </c>
      <c r="N2342" s="508">
        <v>4.1920000000000002</v>
      </c>
      <c r="O2342" s="508">
        <v>4.1920000000000002</v>
      </c>
      <c r="P2342" s="508">
        <v>4.1920000000000002</v>
      </c>
      <c r="Q2342" s="508">
        <v>4.1920000000000002</v>
      </c>
      <c r="R2342" s="508">
        <v>4.1920000000000002</v>
      </c>
      <c r="S2342" s="508">
        <v>4.1920000000000002</v>
      </c>
      <c r="T2342" s="508">
        <v>4.1920000000000002</v>
      </c>
      <c r="U2342" s="508">
        <v>4.1920000000000002</v>
      </c>
      <c r="V2342" s="508">
        <v>4.1920000000000002</v>
      </c>
      <c r="W2342" s="508">
        <v>3.4020000000000001</v>
      </c>
      <c r="X2342" s="508">
        <v>3.4020000000000001</v>
      </c>
      <c r="Y2342" s="508">
        <v>3.4020000000000001</v>
      </c>
      <c r="Z2342" s="508">
        <v>3.4020000000000001</v>
      </c>
      <c r="AA2342" s="508">
        <v>1.292</v>
      </c>
      <c r="AB2342" s="508">
        <v>1.292</v>
      </c>
      <c r="AC2342" s="508">
        <v>1.292</v>
      </c>
      <c r="AD2342" s="508">
        <v>1.046</v>
      </c>
      <c r="AE2342" s="508">
        <v>1.046</v>
      </c>
      <c r="AF2342" s="508">
        <v>0.99299999999999999</v>
      </c>
      <c r="AG2342" s="508">
        <v>0.99099999999999999</v>
      </c>
      <c r="AH2342" s="508">
        <v>0.99099999999999999</v>
      </c>
      <c r="AI2342" s="492">
        <v>0.99099999999999999</v>
      </c>
      <c r="AJ2342" s="485"/>
    </row>
    <row r="2343" spans="2:36">
      <c r="B2343" s="136" t="s">
        <v>461</v>
      </c>
      <c r="C2343" s="132" t="s">
        <v>1371</v>
      </c>
      <c r="D2343" s="132" t="s">
        <v>282</v>
      </c>
      <c r="E2343" s="508">
        <v>4.1349999999999998</v>
      </c>
      <c r="F2343" s="508">
        <v>4.1349999999999998</v>
      </c>
      <c r="G2343" s="508">
        <v>4.1349999999999998</v>
      </c>
      <c r="H2343" s="508">
        <v>4.1349999999999998</v>
      </c>
      <c r="I2343" s="508">
        <v>4.1349999999999998</v>
      </c>
      <c r="J2343" s="508">
        <v>4.1349999999999998</v>
      </c>
      <c r="K2343" s="508">
        <v>4.1349999999999998</v>
      </c>
      <c r="L2343" s="508">
        <v>4.1349999999999998</v>
      </c>
      <c r="M2343" s="508">
        <v>4.1349999999999998</v>
      </c>
      <c r="N2343" s="508">
        <v>4.1349999999999998</v>
      </c>
      <c r="O2343" s="508">
        <v>4.1349999999999998</v>
      </c>
      <c r="P2343" s="508">
        <v>4.1349999999999998</v>
      </c>
      <c r="Q2343" s="508">
        <v>4.1349999999999998</v>
      </c>
      <c r="R2343" s="508">
        <v>4.1349999999999998</v>
      </c>
      <c r="S2343" s="508">
        <v>4.1349999999999998</v>
      </c>
      <c r="T2343" s="508">
        <v>4.1349999999999998</v>
      </c>
      <c r="U2343" s="508">
        <v>4.1349999999999998</v>
      </c>
      <c r="V2343" s="508">
        <v>4.1349999999999998</v>
      </c>
      <c r="W2343" s="508">
        <v>3.3690000000000002</v>
      </c>
      <c r="X2343" s="508">
        <v>3.3690000000000002</v>
      </c>
      <c r="Y2343" s="508">
        <v>3.3690000000000002</v>
      </c>
      <c r="Z2343" s="508">
        <v>3.3690000000000002</v>
      </c>
      <c r="AA2343" s="508">
        <v>1.2789999999999999</v>
      </c>
      <c r="AB2343" s="508">
        <v>1.2789999999999999</v>
      </c>
      <c r="AC2343" s="508">
        <v>1.2789999999999999</v>
      </c>
      <c r="AD2343" s="508">
        <v>1.0349999999999999</v>
      </c>
      <c r="AE2343" s="508">
        <v>1.0349999999999999</v>
      </c>
      <c r="AF2343" s="508">
        <v>0.98299999999999998</v>
      </c>
      <c r="AG2343" s="508">
        <v>0.98099999999999998</v>
      </c>
      <c r="AH2343" s="508">
        <v>0.98099999999999998</v>
      </c>
      <c r="AI2343" s="492">
        <v>0.98099999999999998</v>
      </c>
      <c r="AJ2343" s="485"/>
    </row>
    <row r="2344" spans="2:36">
      <c r="B2344" s="136" t="s">
        <v>462</v>
      </c>
      <c r="C2344" s="132" t="s">
        <v>1371</v>
      </c>
      <c r="D2344" s="132" t="s">
        <v>282</v>
      </c>
      <c r="E2344" s="508">
        <v>4.0519999999999996</v>
      </c>
      <c r="F2344" s="508">
        <v>4.0519999999999996</v>
      </c>
      <c r="G2344" s="508">
        <v>4.0519999999999996</v>
      </c>
      <c r="H2344" s="508">
        <v>4.0510000000000002</v>
      </c>
      <c r="I2344" s="508">
        <v>4.0519999999999996</v>
      </c>
      <c r="J2344" s="508">
        <v>4.0519999999999996</v>
      </c>
      <c r="K2344" s="508">
        <v>4.0519999999999996</v>
      </c>
      <c r="L2344" s="508">
        <v>4.0519999999999996</v>
      </c>
      <c r="M2344" s="508">
        <v>4.0519999999999996</v>
      </c>
      <c r="N2344" s="508">
        <v>4.0519999999999996</v>
      </c>
      <c r="O2344" s="508">
        <v>4.0519999999999996</v>
      </c>
      <c r="P2344" s="508">
        <v>4.0519999999999996</v>
      </c>
      <c r="Q2344" s="508">
        <v>4.0519999999999996</v>
      </c>
      <c r="R2344" s="508">
        <v>4.0519999999999996</v>
      </c>
      <c r="S2344" s="508">
        <v>4.0519999999999996</v>
      </c>
      <c r="T2344" s="508">
        <v>4.0519999999999996</v>
      </c>
      <c r="U2344" s="508">
        <v>4.0519999999999996</v>
      </c>
      <c r="V2344" s="508">
        <v>4.0519999999999996</v>
      </c>
      <c r="W2344" s="508">
        <v>3.3090000000000002</v>
      </c>
      <c r="X2344" s="508">
        <v>3.3090000000000002</v>
      </c>
      <c r="Y2344" s="508">
        <v>3.3090000000000002</v>
      </c>
      <c r="Z2344" s="508">
        <v>3.3090000000000002</v>
      </c>
      <c r="AA2344" s="508">
        <v>1.246</v>
      </c>
      <c r="AB2344" s="508">
        <v>1.246</v>
      </c>
      <c r="AC2344" s="508">
        <v>1.246</v>
      </c>
      <c r="AD2344" s="508">
        <v>1.0049999999999999</v>
      </c>
      <c r="AE2344" s="508">
        <v>1.0049999999999999</v>
      </c>
      <c r="AF2344" s="508">
        <v>0.95299999999999996</v>
      </c>
      <c r="AG2344" s="508">
        <v>0.95099999999999996</v>
      </c>
      <c r="AH2344" s="508">
        <v>0.95099999999999996</v>
      </c>
      <c r="AI2344" s="492">
        <v>0.95099999999999996</v>
      </c>
      <c r="AJ2344" s="485"/>
    </row>
    <row r="2345" spans="2:36">
      <c r="B2345" s="136" t="s">
        <v>463</v>
      </c>
      <c r="C2345" s="132" t="s">
        <v>1371</v>
      </c>
      <c r="D2345" s="132" t="s">
        <v>282</v>
      </c>
      <c r="E2345" s="508">
        <v>4.0209999999999999</v>
      </c>
      <c r="F2345" s="508">
        <v>4.0209999999999999</v>
      </c>
      <c r="G2345" s="508">
        <v>4.0209999999999999</v>
      </c>
      <c r="H2345" s="508">
        <v>4.0209999999999999</v>
      </c>
      <c r="I2345" s="508">
        <v>4.0209999999999999</v>
      </c>
      <c r="J2345" s="508">
        <v>4.0209999999999999</v>
      </c>
      <c r="K2345" s="508">
        <v>4.0209999999999999</v>
      </c>
      <c r="L2345" s="508">
        <v>4.0209999999999999</v>
      </c>
      <c r="M2345" s="508">
        <v>4.0209999999999999</v>
      </c>
      <c r="N2345" s="508">
        <v>4.0209999999999999</v>
      </c>
      <c r="O2345" s="508">
        <v>4.0209999999999999</v>
      </c>
      <c r="P2345" s="508">
        <v>4.0209999999999999</v>
      </c>
      <c r="Q2345" s="508">
        <v>4.0209999999999999</v>
      </c>
      <c r="R2345" s="508">
        <v>4.0209999999999999</v>
      </c>
      <c r="S2345" s="508">
        <v>4.0209999999999999</v>
      </c>
      <c r="T2345" s="508">
        <v>4.0209999999999999</v>
      </c>
      <c r="U2345" s="508">
        <v>4.0209999999999999</v>
      </c>
      <c r="V2345" s="508">
        <v>4.0209999999999999</v>
      </c>
      <c r="W2345" s="508">
        <v>3.3010000000000002</v>
      </c>
      <c r="X2345" s="508">
        <v>3.3010000000000002</v>
      </c>
      <c r="Y2345" s="508">
        <v>3.3010000000000002</v>
      </c>
      <c r="Z2345" s="508">
        <v>3.3010000000000002</v>
      </c>
      <c r="AA2345" s="508">
        <v>1.2430000000000001</v>
      </c>
      <c r="AB2345" s="508">
        <v>1.2430000000000001</v>
      </c>
      <c r="AC2345" s="508">
        <v>1.2430000000000001</v>
      </c>
      <c r="AD2345" s="508">
        <v>1.0029999999999999</v>
      </c>
      <c r="AE2345" s="508">
        <v>1.0029999999999999</v>
      </c>
      <c r="AF2345" s="508">
        <v>0.95199999999999996</v>
      </c>
      <c r="AG2345" s="508">
        <v>0.95</v>
      </c>
      <c r="AH2345" s="508">
        <v>0.95</v>
      </c>
      <c r="AI2345" s="492">
        <v>0.95</v>
      </c>
      <c r="AJ2345" s="485"/>
    </row>
    <row r="2346" spans="2:36">
      <c r="B2346" s="136" t="s">
        <v>464</v>
      </c>
      <c r="C2346" s="132" t="s">
        <v>1371</v>
      </c>
      <c r="D2346" s="132" t="s">
        <v>282</v>
      </c>
      <c r="E2346" s="508">
        <v>3.9060000000000001</v>
      </c>
      <c r="F2346" s="508">
        <v>3.9060000000000001</v>
      </c>
      <c r="G2346" s="508">
        <v>3.9060000000000001</v>
      </c>
      <c r="H2346" s="508">
        <v>3.9060000000000001</v>
      </c>
      <c r="I2346" s="508">
        <v>3.9060000000000001</v>
      </c>
      <c r="J2346" s="508">
        <v>3.9060000000000001</v>
      </c>
      <c r="K2346" s="508">
        <v>3.9060000000000001</v>
      </c>
      <c r="L2346" s="508">
        <v>3.9060000000000001</v>
      </c>
      <c r="M2346" s="508">
        <v>3.9060000000000001</v>
      </c>
      <c r="N2346" s="508">
        <v>3.9060000000000001</v>
      </c>
      <c r="O2346" s="508">
        <v>3.9060000000000001</v>
      </c>
      <c r="P2346" s="508">
        <v>3.9060000000000001</v>
      </c>
      <c r="Q2346" s="508">
        <v>3.9060000000000001</v>
      </c>
      <c r="R2346" s="508">
        <v>3.9060000000000001</v>
      </c>
      <c r="S2346" s="508">
        <v>3.9060000000000001</v>
      </c>
      <c r="T2346" s="508">
        <v>3.9060000000000001</v>
      </c>
      <c r="U2346" s="508">
        <v>3.9060000000000001</v>
      </c>
      <c r="V2346" s="508">
        <v>3.9060000000000001</v>
      </c>
      <c r="W2346" s="508">
        <v>3.2090000000000001</v>
      </c>
      <c r="X2346" s="508">
        <v>3.2090000000000001</v>
      </c>
      <c r="Y2346" s="508">
        <v>3.2090000000000001</v>
      </c>
      <c r="Z2346" s="508">
        <v>3.2090000000000001</v>
      </c>
      <c r="AA2346" s="508">
        <v>1.1879999999999999</v>
      </c>
      <c r="AB2346" s="508">
        <v>1.1879999999999999</v>
      </c>
      <c r="AC2346" s="508">
        <v>1.1879999999999999</v>
      </c>
      <c r="AD2346" s="508">
        <v>0.95299999999999996</v>
      </c>
      <c r="AE2346" s="508">
        <v>0.95299999999999996</v>
      </c>
      <c r="AF2346" s="508">
        <v>0.90200000000000002</v>
      </c>
      <c r="AG2346" s="508">
        <v>0.9</v>
      </c>
      <c r="AH2346" s="508">
        <v>0.9</v>
      </c>
      <c r="AI2346" s="492">
        <v>0.9</v>
      </c>
      <c r="AJ2346" s="485"/>
    </row>
    <row r="2347" spans="2:36">
      <c r="B2347" s="136" t="s">
        <v>465</v>
      </c>
      <c r="C2347" s="132" t="s">
        <v>1371</v>
      </c>
      <c r="D2347" s="132" t="s">
        <v>282</v>
      </c>
      <c r="E2347" s="508">
        <v>3.9969999999999999</v>
      </c>
      <c r="F2347" s="508">
        <v>3.9969999999999999</v>
      </c>
      <c r="G2347" s="508">
        <v>3.9969999999999999</v>
      </c>
      <c r="H2347" s="508">
        <v>3.9969999999999999</v>
      </c>
      <c r="I2347" s="508">
        <v>3.9969999999999999</v>
      </c>
      <c r="J2347" s="508">
        <v>3.9969999999999999</v>
      </c>
      <c r="K2347" s="508">
        <v>3.9969999999999999</v>
      </c>
      <c r="L2347" s="508">
        <v>3.9969999999999999</v>
      </c>
      <c r="M2347" s="508">
        <v>3.9969999999999999</v>
      </c>
      <c r="N2347" s="508">
        <v>3.9969999999999999</v>
      </c>
      <c r="O2347" s="508">
        <v>3.9969999999999999</v>
      </c>
      <c r="P2347" s="508">
        <v>3.9969999999999999</v>
      </c>
      <c r="Q2347" s="508">
        <v>3.9969999999999999</v>
      </c>
      <c r="R2347" s="508">
        <v>3.9969999999999999</v>
      </c>
      <c r="S2347" s="508">
        <v>3.9969999999999999</v>
      </c>
      <c r="T2347" s="508">
        <v>3.9969999999999999</v>
      </c>
      <c r="U2347" s="508">
        <v>3.9969999999999999</v>
      </c>
      <c r="V2347" s="508">
        <v>3.9969999999999999</v>
      </c>
      <c r="W2347" s="508">
        <v>3.2709999999999999</v>
      </c>
      <c r="X2347" s="508">
        <v>3.2709999999999999</v>
      </c>
      <c r="Y2347" s="508">
        <v>3.2709999999999999</v>
      </c>
      <c r="Z2347" s="508">
        <v>3.2709999999999999</v>
      </c>
      <c r="AA2347" s="508">
        <v>1.2210000000000001</v>
      </c>
      <c r="AB2347" s="508">
        <v>1.2210000000000001</v>
      </c>
      <c r="AC2347" s="508">
        <v>1.2210000000000001</v>
      </c>
      <c r="AD2347" s="508">
        <v>0.98199999999999998</v>
      </c>
      <c r="AE2347" s="508">
        <v>0.98199999999999998</v>
      </c>
      <c r="AF2347" s="508">
        <v>0.93</v>
      </c>
      <c r="AG2347" s="508">
        <v>0.92800000000000005</v>
      </c>
      <c r="AH2347" s="508">
        <v>0.92800000000000005</v>
      </c>
      <c r="AI2347" s="492">
        <v>0.92800000000000005</v>
      </c>
      <c r="AJ2347" s="485"/>
    </row>
    <row r="2348" spans="2:36">
      <c r="B2348" s="136" t="s">
        <v>466</v>
      </c>
      <c r="C2348" s="132" t="s">
        <v>1371</v>
      </c>
      <c r="D2348" s="132" t="s">
        <v>282</v>
      </c>
      <c r="E2348" s="508">
        <v>4.3159999999999998</v>
      </c>
      <c r="F2348" s="508">
        <v>4.3159999999999998</v>
      </c>
      <c r="G2348" s="508">
        <v>4.3159999999999998</v>
      </c>
      <c r="H2348" s="508">
        <v>4.3159999999999998</v>
      </c>
      <c r="I2348" s="508">
        <v>4.3159999999999998</v>
      </c>
      <c r="J2348" s="508">
        <v>4.3159999999999998</v>
      </c>
      <c r="K2348" s="508">
        <v>4.3159999999999998</v>
      </c>
      <c r="L2348" s="508">
        <v>4.3159999999999998</v>
      </c>
      <c r="M2348" s="508">
        <v>4.3159999999999998</v>
      </c>
      <c r="N2348" s="508">
        <v>4.3159999999999998</v>
      </c>
      <c r="O2348" s="508">
        <v>4.3159999999999998</v>
      </c>
      <c r="P2348" s="508">
        <v>4.3159999999999998</v>
      </c>
      <c r="Q2348" s="508">
        <v>4.3159999999999998</v>
      </c>
      <c r="R2348" s="508">
        <v>4.3159999999999998</v>
      </c>
      <c r="S2348" s="508">
        <v>4.3159999999999998</v>
      </c>
      <c r="T2348" s="508">
        <v>4.3159999999999998</v>
      </c>
      <c r="U2348" s="508">
        <v>4.3159999999999998</v>
      </c>
      <c r="V2348" s="508">
        <v>4.3159999999999998</v>
      </c>
      <c r="W2348" s="508">
        <v>3.4780000000000002</v>
      </c>
      <c r="X2348" s="508">
        <v>3.4780000000000002</v>
      </c>
      <c r="Y2348" s="508">
        <v>3.4780000000000002</v>
      </c>
      <c r="Z2348" s="508">
        <v>3.4780000000000002</v>
      </c>
      <c r="AA2348" s="508">
        <v>1.33</v>
      </c>
      <c r="AB2348" s="508">
        <v>1.33</v>
      </c>
      <c r="AC2348" s="508">
        <v>1.33</v>
      </c>
      <c r="AD2348" s="508">
        <v>1.079</v>
      </c>
      <c r="AE2348" s="508">
        <v>1.079</v>
      </c>
      <c r="AF2348" s="508">
        <v>1.0249999999999999</v>
      </c>
      <c r="AG2348" s="508">
        <v>1.0229999999999999</v>
      </c>
      <c r="AH2348" s="508">
        <v>1.0229999999999999</v>
      </c>
      <c r="AI2348" s="492">
        <v>1.0229999999999999</v>
      </c>
      <c r="AJ2348" s="485"/>
    </row>
    <row r="2349" spans="2:36">
      <c r="B2349" s="136" t="s">
        <v>467</v>
      </c>
      <c r="C2349" s="132" t="s">
        <v>1371</v>
      </c>
      <c r="D2349" s="132" t="s">
        <v>282</v>
      </c>
      <c r="E2349" s="508">
        <v>4.1050000000000004</v>
      </c>
      <c r="F2349" s="508">
        <v>4.1050000000000004</v>
      </c>
      <c r="G2349" s="508">
        <v>4.1050000000000004</v>
      </c>
      <c r="H2349" s="508">
        <v>4.1050000000000004</v>
      </c>
      <c r="I2349" s="508">
        <v>4.1050000000000004</v>
      </c>
      <c r="J2349" s="508">
        <v>4.1050000000000004</v>
      </c>
      <c r="K2349" s="508">
        <v>4.1050000000000004</v>
      </c>
      <c r="L2349" s="508">
        <v>4.1050000000000004</v>
      </c>
      <c r="M2349" s="508">
        <v>4.1050000000000004</v>
      </c>
      <c r="N2349" s="508">
        <v>4.1050000000000004</v>
      </c>
      <c r="O2349" s="508">
        <v>4.1050000000000004</v>
      </c>
      <c r="P2349" s="508">
        <v>4.1050000000000004</v>
      </c>
      <c r="Q2349" s="508">
        <v>4.1050000000000004</v>
      </c>
      <c r="R2349" s="508">
        <v>4.1050000000000004</v>
      </c>
      <c r="S2349" s="508">
        <v>4.1050000000000004</v>
      </c>
      <c r="T2349" s="508">
        <v>4.1050000000000004</v>
      </c>
      <c r="U2349" s="508">
        <v>4.1050000000000004</v>
      </c>
      <c r="V2349" s="508">
        <v>4.1050000000000004</v>
      </c>
      <c r="W2349" s="508">
        <v>3.3479999999999999</v>
      </c>
      <c r="X2349" s="508">
        <v>3.3479999999999999</v>
      </c>
      <c r="Y2349" s="508">
        <v>3.3479999999999999</v>
      </c>
      <c r="Z2349" s="508">
        <v>3.3479999999999999</v>
      </c>
      <c r="AA2349" s="508">
        <v>1.2669999999999999</v>
      </c>
      <c r="AB2349" s="508">
        <v>1.2669999999999999</v>
      </c>
      <c r="AC2349" s="508">
        <v>1.2669999999999999</v>
      </c>
      <c r="AD2349" s="508">
        <v>1.0249999999999999</v>
      </c>
      <c r="AE2349" s="508">
        <v>1.024</v>
      </c>
      <c r="AF2349" s="508">
        <v>0.97199999999999998</v>
      </c>
      <c r="AG2349" s="508">
        <v>0.97</v>
      </c>
      <c r="AH2349" s="508">
        <v>0.97</v>
      </c>
      <c r="AI2349" s="492">
        <v>0.97</v>
      </c>
      <c r="AJ2349" s="485"/>
    </row>
    <row r="2350" spans="2:36">
      <c r="B2350" s="136" t="s">
        <v>468</v>
      </c>
      <c r="C2350" s="132" t="s">
        <v>1371</v>
      </c>
      <c r="D2350" s="132" t="s">
        <v>282</v>
      </c>
      <c r="E2350" s="508">
        <v>3.907</v>
      </c>
      <c r="F2350" s="508">
        <v>3.907</v>
      </c>
      <c r="G2350" s="508">
        <v>3.907</v>
      </c>
      <c r="H2350" s="508">
        <v>3.907</v>
      </c>
      <c r="I2350" s="508">
        <v>3.907</v>
      </c>
      <c r="J2350" s="508">
        <v>3.907</v>
      </c>
      <c r="K2350" s="508">
        <v>3.907</v>
      </c>
      <c r="L2350" s="508">
        <v>3.907</v>
      </c>
      <c r="M2350" s="508">
        <v>3.907</v>
      </c>
      <c r="N2350" s="508">
        <v>3.907</v>
      </c>
      <c r="O2350" s="508">
        <v>3.907</v>
      </c>
      <c r="P2350" s="508">
        <v>3.907</v>
      </c>
      <c r="Q2350" s="508">
        <v>3.907</v>
      </c>
      <c r="R2350" s="508">
        <v>3.907</v>
      </c>
      <c r="S2350" s="508">
        <v>3.907</v>
      </c>
      <c r="T2350" s="508">
        <v>3.907</v>
      </c>
      <c r="U2350" s="508">
        <v>3.907</v>
      </c>
      <c r="V2350" s="508">
        <v>3.907</v>
      </c>
      <c r="W2350" s="508">
        <v>3.2080000000000002</v>
      </c>
      <c r="X2350" s="508">
        <v>3.2080000000000002</v>
      </c>
      <c r="Y2350" s="508">
        <v>3.2080000000000002</v>
      </c>
      <c r="Z2350" s="508">
        <v>3.2080000000000002</v>
      </c>
      <c r="AA2350" s="508">
        <v>1.179</v>
      </c>
      <c r="AB2350" s="508">
        <v>1.179</v>
      </c>
      <c r="AC2350" s="508">
        <v>1.179</v>
      </c>
      <c r="AD2350" s="508">
        <v>0.94199999999999995</v>
      </c>
      <c r="AE2350" s="508">
        <v>0.94199999999999995</v>
      </c>
      <c r="AF2350" s="508">
        <v>0.89100000000000001</v>
      </c>
      <c r="AG2350" s="508">
        <v>0.89</v>
      </c>
      <c r="AH2350" s="508">
        <v>0.88900000000000001</v>
      </c>
      <c r="AI2350" s="492">
        <v>0.88900000000000001</v>
      </c>
      <c r="AJ2350" s="485"/>
    </row>
    <row r="2351" spans="2:36">
      <c r="B2351" s="136" t="s">
        <v>469</v>
      </c>
      <c r="C2351" s="132" t="s">
        <v>1371</v>
      </c>
      <c r="D2351" s="132" t="s">
        <v>282</v>
      </c>
      <c r="E2351" s="508">
        <v>4.024</v>
      </c>
      <c r="F2351" s="508">
        <v>4.024</v>
      </c>
      <c r="G2351" s="508">
        <v>4.024</v>
      </c>
      <c r="H2351" s="508">
        <v>4.024</v>
      </c>
      <c r="I2351" s="508">
        <v>4.024</v>
      </c>
      <c r="J2351" s="508">
        <v>4.024</v>
      </c>
      <c r="K2351" s="508">
        <v>4.024</v>
      </c>
      <c r="L2351" s="508">
        <v>4.024</v>
      </c>
      <c r="M2351" s="508">
        <v>4.024</v>
      </c>
      <c r="N2351" s="508">
        <v>4.024</v>
      </c>
      <c r="O2351" s="508">
        <v>4.024</v>
      </c>
      <c r="P2351" s="508">
        <v>4.024</v>
      </c>
      <c r="Q2351" s="508">
        <v>4.024</v>
      </c>
      <c r="R2351" s="508">
        <v>4.024</v>
      </c>
      <c r="S2351" s="508">
        <v>4.024</v>
      </c>
      <c r="T2351" s="508">
        <v>4.024</v>
      </c>
      <c r="U2351" s="508">
        <v>4.024</v>
      </c>
      <c r="V2351" s="508">
        <v>4.024</v>
      </c>
      <c r="W2351" s="508">
        <v>3.2879999999999998</v>
      </c>
      <c r="X2351" s="508">
        <v>3.2879999999999998</v>
      </c>
      <c r="Y2351" s="508">
        <v>3.2879999999999998</v>
      </c>
      <c r="Z2351" s="508">
        <v>3.2879999999999998</v>
      </c>
      <c r="AA2351" s="508">
        <v>1.23</v>
      </c>
      <c r="AB2351" s="508">
        <v>1.23</v>
      </c>
      <c r="AC2351" s="508">
        <v>1.23</v>
      </c>
      <c r="AD2351" s="508">
        <v>0.99</v>
      </c>
      <c r="AE2351" s="508">
        <v>0.99</v>
      </c>
      <c r="AF2351" s="508">
        <v>0.93799999999999994</v>
      </c>
      <c r="AG2351" s="508">
        <v>0.93700000000000006</v>
      </c>
      <c r="AH2351" s="508">
        <v>0.93600000000000005</v>
      </c>
      <c r="AI2351" s="492">
        <v>0.93600000000000005</v>
      </c>
      <c r="AJ2351" s="485"/>
    </row>
    <row r="2352" spans="2:36">
      <c r="B2352" s="136" t="s">
        <v>470</v>
      </c>
      <c r="C2352" s="132" t="s">
        <v>1371</v>
      </c>
      <c r="D2352" s="132" t="s">
        <v>282</v>
      </c>
      <c r="E2352" s="508">
        <v>4.2699999999999996</v>
      </c>
      <c r="F2352" s="508">
        <v>4.2699999999999996</v>
      </c>
      <c r="G2352" s="508">
        <v>4.2699999999999996</v>
      </c>
      <c r="H2352" s="508">
        <v>4.2699999999999996</v>
      </c>
      <c r="I2352" s="508">
        <v>4.2699999999999996</v>
      </c>
      <c r="J2352" s="508">
        <v>4.2699999999999996</v>
      </c>
      <c r="K2352" s="508">
        <v>4.2699999999999996</v>
      </c>
      <c r="L2352" s="508">
        <v>4.2699999999999996</v>
      </c>
      <c r="M2352" s="508">
        <v>4.2699999999999996</v>
      </c>
      <c r="N2352" s="508">
        <v>4.2699999999999996</v>
      </c>
      <c r="O2352" s="508">
        <v>4.2699999999999996</v>
      </c>
      <c r="P2352" s="508">
        <v>4.2699999999999996</v>
      </c>
      <c r="Q2352" s="508">
        <v>4.2699999999999996</v>
      </c>
      <c r="R2352" s="508">
        <v>4.2699999999999996</v>
      </c>
      <c r="S2352" s="508">
        <v>4.2699999999999996</v>
      </c>
      <c r="T2352" s="508">
        <v>4.2699999999999996</v>
      </c>
      <c r="U2352" s="508">
        <v>4.2699999999999996</v>
      </c>
      <c r="V2352" s="508">
        <v>4.2699999999999996</v>
      </c>
      <c r="W2352" s="508">
        <v>3.4590000000000001</v>
      </c>
      <c r="X2352" s="508">
        <v>3.4590000000000001</v>
      </c>
      <c r="Y2352" s="508">
        <v>3.4590000000000001</v>
      </c>
      <c r="Z2352" s="508">
        <v>3.4590000000000001</v>
      </c>
      <c r="AA2352" s="508">
        <v>1.3260000000000001</v>
      </c>
      <c r="AB2352" s="508">
        <v>1.3260000000000001</v>
      </c>
      <c r="AC2352" s="508">
        <v>1.3260000000000001</v>
      </c>
      <c r="AD2352" s="508">
        <v>1.077</v>
      </c>
      <c r="AE2352" s="508">
        <v>1.077</v>
      </c>
      <c r="AF2352" s="508">
        <v>1.0229999999999999</v>
      </c>
      <c r="AG2352" s="508">
        <v>1.022</v>
      </c>
      <c r="AH2352" s="508">
        <v>1.0209999999999999</v>
      </c>
      <c r="AI2352" s="492">
        <v>1.0209999999999999</v>
      </c>
      <c r="AJ2352" s="485"/>
    </row>
    <row r="2353" spans="2:36">
      <c r="B2353" s="136" t="s">
        <v>471</v>
      </c>
      <c r="C2353" s="132" t="s">
        <v>1371</v>
      </c>
      <c r="D2353" s="132" t="s">
        <v>282</v>
      </c>
      <c r="E2353" s="508">
        <v>4.1840000000000002</v>
      </c>
      <c r="F2353" s="508">
        <v>4.1840000000000002</v>
      </c>
      <c r="G2353" s="508">
        <v>4.1840000000000002</v>
      </c>
      <c r="H2353" s="508">
        <v>4.1840000000000002</v>
      </c>
      <c r="I2353" s="508">
        <v>4.1840000000000002</v>
      </c>
      <c r="J2353" s="508">
        <v>4.1840000000000002</v>
      </c>
      <c r="K2353" s="508">
        <v>4.1840000000000002</v>
      </c>
      <c r="L2353" s="508">
        <v>4.1840000000000002</v>
      </c>
      <c r="M2353" s="508">
        <v>4.1840000000000002</v>
      </c>
      <c r="N2353" s="508">
        <v>4.1840000000000002</v>
      </c>
      <c r="O2353" s="508">
        <v>4.1840000000000002</v>
      </c>
      <c r="P2353" s="508">
        <v>4.1840000000000002</v>
      </c>
      <c r="Q2353" s="508">
        <v>4.1840000000000002</v>
      </c>
      <c r="R2353" s="508">
        <v>4.1840000000000002</v>
      </c>
      <c r="S2353" s="508">
        <v>4.1840000000000002</v>
      </c>
      <c r="T2353" s="508">
        <v>4.1840000000000002</v>
      </c>
      <c r="U2353" s="508">
        <v>4.1840000000000002</v>
      </c>
      <c r="V2353" s="508">
        <v>4.1840000000000002</v>
      </c>
      <c r="W2353" s="508">
        <v>3.4</v>
      </c>
      <c r="X2353" s="508">
        <v>3.4</v>
      </c>
      <c r="Y2353" s="508">
        <v>3.4</v>
      </c>
      <c r="Z2353" s="508">
        <v>3.4</v>
      </c>
      <c r="AA2353" s="508">
        <v>1.2949999999999999</v>
      </c>
      <c r="AB2353" s="508">
        <v>1.2949999999999999</v>
      </c>
      <c r="AC2353" s="508">
        <v>1.2949999999999999</v>
      </c>
      <c r="AD2353" s="508">
        <v>1.0489999999999999</v>
      </c>
      <c r="AE2353" s="508">
        <v>1.0489999999999999</v>
      </c>
      <c r="AF2353" s="508">
        <v>0.996</v>
      </c>
      <c r="AG2353" s="508">
        <v>0.99399999999999999</v>
      </c>
      <c r="AH2353" s="508">
        <v>0.99399999999999999</v>
      </c>
      <c r="AI2353" s="492">
        <v>0.99399999999999999</v>
      </c>
      <c r="AJ2353" s="485"/>
    </row>
    <row r="2354" spans="2:36">
      <c r="B2354" s="136" t="s">
        <v>472</v>
      </c>
      <c r="C2354" s="132" t="s">
        <v>1371</v>
      </c>
      <c r="D2354" s="132" t="s">
        <v>282</v>
      </c>
      <c r="E2354" s="508">
        <v>3.92</v>
      </c>
      <c r="F2354" s="508">
        <v>3.92</v>
      </c>
      <c r="G2354" s="508">
        <v>3.92</v>
      </c>
      <c r="H2354" s="508">
        <v>3.92</v>
      </c>
      <c r="I2354" s="508">
        <v>3.92</v>
      </c>
      <c r="J2354" s="508">
        <v>3.92</v>
      </c>
      <c r="K2354" s="508">
        <v>3.92</v>
      </c>
      <c r="L2354" s="508">
        <v>3.92</v>
      </c>
      <c r="M2354" s="508">
        <v>3.92</v>
      </c>
      <c r="N2354" s="508">
        <v>3.92</v>
      </c>
      <c r="O2354" s="508">
        <v>3.92</v>
      </c>
      <c r="P2354" s="508">
        <v>3.92</v>
      </c>
      <c r="Q2354" s="508">
        <v>3.92</v>
      </c>
      <c r="R2354" s="508">
        <v>3.92</v>
      </c>
      <c r="S2354" s="508">
        <v>3.92</v>
      </c>
      <c r="T2354" s="508">
        <v>3.92</v>
      </c>
      <c r="U2354" s="508">
        <v>3.92</v>
      </c>
      <c r="V2354" s="508">
        <v>3.92</v>
      </c>
      <c r="W2354" s="508">
        <v>3.2210000000000001</v>
      </c>
      <c r="X2354" s="508">
        <v>3.2210000000000001</v>
      </c>
      <c r="Y2354" s="508">
        <v>3.2210000000000001</v>
      </c>
      <c r="Z2354" s="508">
        <v>3.2210000000000001</v>
      </c>
      <c r="AA2354" s="508">
        <v>1.1970000000000001</v>
      </c>
      <c r="AB2354" s="508">
        <v>1.1970000000000001</v>
      </c>
      <c r="AC2354" s="508">
        <v>1.1970000000000001</v>
      </c>
      <c r="AD2354" s="508">
        <v>0.96</v>
      </c>
      <c r="AE2354" s="508">
        <v>0.96</v>
      </c>
      <c r="AF2354" s="508">
        <v>0.90900000000000003</v>
      </c>
      <c r="AG2354" s="508">
        <v>0.90800000000000003</v>
      </c>
      <c r="AH2354" s="508">
        <v>0.90800000000000003</v>
      </c>
      <c r="AI2354" s="492">
        <v>0.90800000000000003</v>
      </c>
      <c r="AJ2354" s="485"/>
    </row>
    <row r="2355" spans="2:36">
      <c r="B2355" s="136" t="s">
        <v>473</v>
      </c>
      <c r="C2355" s="132" t="s">
        <v>1371</v>
      </c>
      <c r="D2355" s="132" t="s">
        <v>282</v>
      </c>
      <c r="E2355" s="508">
        <v>4.2560000000000002</v>
      </c>
      <c r="F2355" s="508">
        <v>4.2560000000000002</v>
      </c>
      <c r="G2355" s="508">
        <v>4.2560000000000002</v>
      </c>
      <c r="H2355" s="508">
        <v>4.2560000000000002</v>
      </c>
      <c r="I2355" s="508">
        <v>4.2560000000000002</v>
      </c>
      <c r="J2355" s="508">
        <v>4.2560000000000002</v>
      </c>
      <c r="K2355" s="508">
        <v>4.2560000000000002</v>
      </c>
      <c r="L2355" s="508">
        <v>4.2560000000000002</v>
      </c>
      <c r="M2355" s="508">
        <v>4.2560000000000002</v>
      </c>
      <c r="N2355" s="508">
        <v>4.2560000000000002</v>
      </c>
      <c r="O2355" s="508">
        <v>4.2560000000000002</v>
      </c>
      <c r="P2355" s="508">
        <v>4.2560000000000002</v>
      </c>
      <c r="Q2355" s="508">
        <v>4.2560000000000002</v>
      </c>
      <c r="R2355" s="508">
        <v>4.2560000000000002</v>
      </c>
      <c r="S2355" s="508">
        <v>4.2560000000000002</v>
      </c>
      <c r="T2355" s="508">
        <v>4.2560000000000002</v>
      </c>
      <c r="U2355" s="508">
        <v>4.2560000000000002</v>
      </c>
      <c r="V2355" s="508">
        <v>4.2560000000000002</v>
      </c>
      <c r="W2355" s="508">
        <v>3.4430000000000001</v>
      </c>
      <c r="X2355" s="508">
        <v>3.4430000000000001</v>
      </c>
      <c r="Y2355" s="508">
        <v>3.4430000000000001</v>
      </c>
      <c r="Z2355" s="508">
        <v>3.4430000000000001</v>
      </c>
      <c r="AA2355" s="508">
        <v>1.3149999999999999</v>
      </c>
      <c r="AB2355" s="508">
        <v>1.3149999999999999</v>
      </c>
      <c r="AC2355" s="508">
        <v>1.3149999999999999</v>
      </c>
      <c r="AD2355" s="508">
        <v>1.0669999999999999</v>
      </c>
      <c r="AE2355" s="508">
        <v>1.0669999999999999</v>
      </c>
      <c r="AF2355" s="508">
        <v>1.0129999999999999</v>
      </c>
      <c r="AG2355" s="508">
        <v>1.012</v>
      </c>
      <c r="AH2355" s="508">
        <v>1.0109999999999999</v>
      </c>
      <c r="AI2355" s="492">
        <v>1.0109999999999999</v>
      </c>
      <c r="AJ2355" s="485"/>
    </row>
    <row r="2356" spans="2:36">
      <c r="B2356" s="136" t="s">
        <v>474</v>
      </c>
      <c r="C2356" s="132" t="s">
        <v>1371</v>
      </c>
      <c r="D2356" s="132" t="s">
        <v>282</v>
      </c>
      <c r="E2356" s="508">
        <v>4.1269999999999998</v>
      </c>
      <c r="F2356" s="508">
        <v>4.1269999999999998</v>
      </c>
      <c r="G2356" s="508">
        <v>4.1269999999999998</v>
      </c>
      <c r="H2356" s="508">
        <v>4.1269999999999998</v>
      </c>
      <c r="I2356" s="508">
        <v>4.1269999999999998</v>
      </c>
      <c r="J2356" s="508">
        <v>4.1269999999999998</v>
      </c>
      <c r="K2356" s="508">
        <v>4.1269999999999998</v>
      </c>
      <c r="L2356" s="508">
        <v>4.1269999999999998</v>
      </c>
      <c r="M2356" s="508">
        <v>4.1269999999999998</v>
      </c>
      <c r="N2356" s="508">
        <v>4.1269999999999998</v>
      </c>
      <c r="O2356" s="508">
        <v>4.1269999999999998</v>
      </c>
      <c r="P2356" s="508">
        <v>4.1269999999999998</v>
      </c>
      <c r="Q2356" s="508">
        <v>4.1269999999999998</v>
      </c>
      <c r="R2356" s="508">
        <v>4.1269999999999998</v>
      </c>
      <c r="S2356" s="508">
        <v>4.1269999999999998</v>
      </c>
      <c r="T2356" s="508">
        <v>4.1269999999999998</v>
      </c>
      <c r="U2356" s="508">
        <v>4.1269999999999998</v>
      </c>
      <c r="V2356" s="508">
        <v>4.1269999999999998</v>
      </c>
      <c r="W2356" s="508">
        <v>3.3580000000000001</v>
      </c>
      <c r="X2356" s="508">
        <v>3.3580000000000001</v>
      </c>
      <c r="Y2356" s="508">
        <v>3.3580000000000001</v>
      </c>
      <c r="Z2356" s="508">
        <v>3.3580000000000001</v>
      </c>
      <c r="AA2356" s="508">
        <v>1.27</v>
      </c>
      <c r="AB2356" s="508">
        <v>1.27</v>
      </c>
      <c r="AC2356" s="508">
        <v>1.27</v>
      </c>
      <c r="AD2356" s="508">
        <v>1.026</v>
      </c>
      <c r="AE2356" s="508">
        <v>1.026</v>
      </c>
      <c r="AF2356" s="508">
        <v>0.97399999999999998</v>
      </c>
      <c r="AG2356" s="508">
        <v>0.97199999999999998</v>
      </c>
      <c r="AH2356" s="508">
        <v>0.97199999999999998</v>
      </c>
      <c r="AI2356" s="492">
        <v>0.97199999999999998</v>
      </c>
      <c r="AJ2356" s="485"/>
    </row>
    <row r="2357" spans="2:36">
      <c r="B2357" s="136" t="s">
        <v>475</v>
      </c>
      <c r="C2357" s="132" t="s">
        <v>1371</v>
      </c>
      <c r="D2357" s="132" t="s">
        <v>282</v>
      </c>
      <c r="E2357" s="508">
        <v>4.08</v>
      </c>
      <c r="F2357" s="508">
        <v>4.08</v>
      </c>
      <c r="G2357" s="508">
        <v>4.08</v>
      </c>
      <c r="H2357" s="508">
        <v>4.08</v>
      </c>
      <c r="I2357" s="508">
        <v>4.08</v>
      </c>
      <c r="J2357" s="508">
        <v>4.0810000000000004</v>
      </c>
      <c r="K2357" s="508">
        <v>4.08</v>
      </c>
      <c r="L2357" s="508">
        <v>4.0810000000000004</v>
      </c>
      <c r="M2357" s="508">
        <v>4.0810000000000004</v>
      </c>
      <c r="N2357" s="508">
        <v>4.0810000000000004</v>
      </c>
      <c r="O2357" s="508">
        <v>4.0810000000000004</v>
      </c>
      <c r="P2357" s="508">
        <v>4.0810000000000004</v>
      </c>
      <c r="Q2357" s="508">
        <v>4.08</v>
      </c>
      <c r="R2357" s="508">
        <v>4.0810000000000004</v>
      </c>
      <c r="S2357" s="508">
        <v>4.0810000000000004</v>
      </c>
      <c r="T2357" s="508">
        <v>4.0810000000000004</v>
      </c>
      <c r="U2357" s="508">
        <v>4.08</v>
      </c>
      <c r="V2357" s="508">
        <v>4.0810000000000004</v>
      </c>
      <c r="W2357" s="508">
        <v>3.33</v>
      </c>
      <c r="X2357" s="508">
        <v>3.33</v>
      </c>
      <c r="Y2357" s="508">
        <v>3.33</v>
      </c>
      <c r="Z2357" s="508">
        <v>3.33</v>
      </c>
      <c r="AA2357" s="508">
        <v>1.256</v>
      </c>
      <c r="AB2357" s="508">
        <v>1.256</v>
      </c>
      <c r="AC2357" s="508">
        <v>1.256</v>
      </c>
      <c r="AD2357" s="508">
        <v>1.014</v>
      </c>
      <c r="AE2357" s="508">
        <v>1.014</v>
      </c>
      <c r="AF2357" s="508">
        <v>0.96099999999999997</v>
      </c>
      <c r="AG2357" s="508">
        <v>0.96</v>
      </c>
      <c r="AH2357" s="508">
        <v>0.96</v>
      </c>
      <c r="AI2357" s="492">
        <v>0.96</v>
      </c>
      <c r="AJ2357" s="485"/>
    </row>
    <row r="2358" spans="2:36">
      <c r="B2358" s="136" t="s">
        <v>476</v>
      </c>
      <c r="C2358" s="132" t="s">
        <v>1371</v>
      </c>
      <c r="D2358" s="132" t="s">
        <v>282</v>
      </c>
      <c r="E2358" s="508">
        <v>4.1920000000000002</v>
      </c>
      <c r="F2358" s="508">
        <v>4.1920000000000002</v>
      </c>
      <c r="G2358" s="508">
        <v>4.1920000000000002</v>
      </c>
      <c r="H2358" s="508">
        <v>4.1920000000000002</v>
      </c>
      <c r="I2358" s="508">
        <v>4.1920000000000002</v>
      </c>
      <c r="J2358" s="508">
        <v>4.1920000000000002</v>
      </c>
      <c r="K2358" s="508">
        <v>4.1920000000000002</v>
      </c>
      <c r="L2358" s="508">
        <v>4.1920000000000002</v>
      </c>
      <c r="M2358" s="508">
        <v>4.1920000000000002</v>
      </c>
      <c r="N2358" s="508">
        <v>4.1920000000000002</v>
      </c>
      <c r="O2358" s="508">
        <v>4.1920000000000002</v>
      </c>
      <c r="P2358" s="508">
        <v>4.1920000000000002</v>
      </c>
      <c r="Q2358" s="508">
        <v>4.1920000000000002</v>
      </c>
      <c r="R2358" s="508">
        <v>4.1920000000000002</v>
      </c>
      <c r="S2358" s="508">
        <v>4.1920000000000002</v>
      </c>
      <c r="T2358" s="508">
        <v>4.1920000000000002</v>
      </c>
      <c r="U2358" s="508">
        <v>4.1920000000000002</v>
      </c>
      <c r="V2358" s="508">
        <v>4.1920000000000002</v>
      </c>
      <c r="W2358" s="508">
        <v>3.4009999999999998</v>
      </c>
      <c r="X2358" s="508">
        <v>3.4009999999999998</v>
      </c>
      <c r="Y2358" s="508">
        <v>3.4009999999999998</v>
      </c>
      <c r="Z2358" s="508">
        <v>3.4009999999999998</v>
      </c>
      <c r="AA2358" s="508">
        <v>1.2909999999999999</v>
      </c>
      <c r="AB2358" s="508">
        <v>1.2909999999999999</v>
      </c>
      <c r="AC2358" s="508">
        <v>1.2909999999999999</v>
      </c>
      <c r="AD2358" s="508">
        <v>1.0449999999999999</v>
      </c>
      <c r="AE2358" s="508">
        <v>1.0449999999999999</v>
      </c>
      <c r="AF2358" s="508">
        <v>0.99199999999999999</v>
      </c>
      <c r="AG2358" s="508">
        <v>0.99</v>
      </c>
      <c r="AH2358" s="508">
        <v>0.99</v>
      </c>
      <c r="AI2358" s="492">
        <v>0.99</v>
      </c>
      <c r="AJ2358" s="485"/>
    </row>
    <row r="2359" spans="2:36">
      <c r="B2359" s="136" t="s">
        <v>478</v>
      </c>
      <c r="C2359" s="132" t="s">
        <v>1371</v>
      </c>
      <c r="D2359" s="132" t="s">
        <v>282</v>
      </c>
      <c r="E2359" s="508">
        <v>4.3280000000000003</v>
      </c>
      <c r="F2359" s="508">
        <v>4.3280000000000003</v>
      </c>
      <c r="G2359" s="508">
        <v>4.3280000000000003</v>
      </c>
      <c r="H2359" s="508">
        <v>4.3280000000000003</v>
      </c>
      <c r="I2359" s="508">
        <v>4.3280000000000003</v>
      </c>
      <c r="J2359" s="508">
        <v>4.3280000000000003</v>
      </c>
      <c r="K2359" s="508">
        <v>4.3280000000000003</v>
      </c>
      <c r="L2359" s="508">
        <v>4.3280000000000003</v>
      </c>
      <c r="M2359" s="508">
        <v>4.3280000000000003</v>
      </c>
      <c r="N2359" s="508">
        <v>4.3280000000000003</v>
      </c>
      <c r="O2359" s="508">
        <v>4.3280000000000003</v>
      </c>
      <c r="P2359" s="508">
        <v>4.3280000000000003</v>
      </c>
      <c r="Q2359" s="508">
        <v>4.3280000000000003</v>
      </c>
      <c r="R2359" s="508">
        <v>4.3280000000000003</v>
      </c>
      <c r="S2359" s="508">
        <v>4.3280000000000003</v>
      </c>
      <c r="T2359" s="508">
        <v>4.3280000000000003</v>
      </c>
      <c r="U2359" s="508">
        <v>4.3280000000000003</v>
      </c>
      <c r="V2359" s="508">
        <v>4.3280000000000003</v>
      </c>
      <c r="W2359" s="508">
        <v>3.4980000000000002</v>
      </c>
      <c r="X2359" s="508">
        <v>3.4980000000000002</v>
      </c>
      <c r="Y2359" s="508">
        <v>3.4980000000000002</v>
      </c>
      <c r="Z2359" s="508">
        <v>3.4980000000000002</v>
      </c>
      <c r="AA2359" s="508">
        <v>1.345</v>
      </c>
      <c r="AB2359" s="508">
        <v>1.345</v>
      </c>
      <c r="AC2359" s="508">
        <v>1.345</v>
      </c>
      <c r="AD2359" s="508">
        <v>1.0940000000000001</v>
      </c>
      <c r="AE2359" s="508">
        <v>1.0940000000000001</v>
      </c>
      <c r="AF2359" s="508">
        <v>1.04</v>
      </c>
      <c r="AG2359" s="508">
        <v>1.038</v>
      </c>
      <c r="AH2359" s="508">
        <v>1.038</v>
      </c>
      <c r="AI2359" s="492">
        <v>1.038</v>
      </c>
      <c r="AJ2359" s="485"/>
    </row>
    <row r="2360" spans="2:36">
      <c r="B2360" s="136" t="s">
        <v>479</v>
      </c>
      <c r="C2360" s="132" t="s">
        <v>1371</v>
      </c>
      <c r="D2360" s="132" t="s">
        <v>282</v>
      </c>
      <c r="E2360" s="508">
        <v>4.0919999999999996</v>
      </c>
      <c r="F2360" s="508">
        <v>4.0910000000000002</v>
      </c>
      <c r="G2360" s="508">
        <v>4.0919999999999996</v>
      </c>
      <c r="H2360" s="508">
        <v>4.0910000000000002</v>
      </c>
      <c r="I2360" s="508">
        <v>4.0910000000000002</v>
      </c>
      <c r="J2360" s="508">
        <v>4.0919999999999996</v>
      </c>
      <c r="K2360" s="508">
        <v>4.0919999999999996</v>
      </c>
      <c r="L2360" s="508">
        <v>4.0919999999999996</v>
      </c>
      <c r="M2360" s="508">
        <v>4.0919999999999996</v>
      </c>
      <c r="N2360" s="508">
        <v>4.0919999999999996</v>
      </c>
      <c r="O2360" s="508">
        <v>4.0919999999999996</v>
      </c>
      <c r="P2360" s="508">
        <v>4.0919999999999996</v>
      </c>
      <c r="Q2360" s="508">
        <v>4.0910000000000002</v>
      </c>
      <c r="R2360" s="508">
        <v>4.0910000000000002</v>
      </c>
      <c r="S2360" s="508">
        <v>4.0919999999999996</v>
      </c>
      <c r="T2360" s="508">
        <v>4.0919999999999996</v>
      </c>
      <c r="U2360" s="508">
        <v>4.0910000000000002</v>
      </c>
      <c r="V2360" s="508">
        <v>4.0919999999999996</v>
      </c>
      <c r="W2360" s="508">
        <v>3.3330000000000002</v>
      </c>
      <c r="X2360" s="508">
        <v>3.3330000000000002</v>
      </c>
      <c r="Y2360" s="508">
        <v>3.3330000000000002</v>
      </c>
      <c r="Z2360" s="508">
        <v>3.3330000000000002</v>
      </c>
      <c r="AA2360" s="508">
        <v>1.254</v>
      </c>
      <c r="AB2360" s="508">
        <v>1.254</v>
      </c>
      <c r="AC2360" s="508">
        <v>1.254</v>
      </c>
      <c r="AD2360" s="508">
        <v>1.0109999999999999</v>
      </c>
      <c r="AE2360" s="508">
        <v>1.0109999999999999</v>
      </c>
      <c r="AF2360" s="508">
        <v>0.95899999999999996</v>
      </c>
      <c r="AG2360" s="508">
        <v>0.95699999999999996</v>
      </c>
      <c r="AH2360" s="508">
        <v>0.95699999999999996</v>
      </c>
      <c r="AI2360" s="492">
        <v>0.95699999999999996</v>
      </c>
      <c r="AJ2360" s="485"/>
    </row>
    <row r="2361" spans="2:36">
      <c r="B2361" s="136" t="s">
        <v>480</v>
      </c>
      <c r="C2361" s="132" t="s">
        <v>1371</v>
      </c>
      <c r="D2361" s="132" t="s">
        <v>282</v>
      </c>
      <c r="E2361" s="508">
        <v>3.8969999999999998</v>
      </c>
      <c r="F2361" s="508">
        <v>3.8969999999999998</v>
      </c>
      <c r="G2361" s="508">
        <v>3.8969999999999998</v>
      </c>
      <c r="H2361" s="508">
        <v>3.8969999999999998</v>
      </c>
      <c r="I2361" s="508">
        <v>3.8969999999999998</v>
      </c>
      <c r="J2361" s="508">
        <v>3.8969999999999998</v>
      </c>
      <c r="K2361" s="508">
        <v>3.8969999999999998</v>
      </c>
      <c r="L2361" s="508">
        <v>3.8969999999999998</v>
      </c>
      <c r="M2361" s="508">
        <v>3.8969999999999998</v>
      </c>
      <c r="N2361" s="508">
        <v>3.8969999999999998</v>
      </c>
      <c r="O2361" s="508">
        <v>3.8969999999999998</v>
      </c>
      <c r="P2361" s="508">
        <v>3.8969999999999998</v>
      </c>
      <c r="Q2361" s="508">
        <v>3.8969999999999998</v>
      </c>
      <c r="R2361" s="508">
        <v>3.8969999999999998</v>
      </c>
      <c r="S2361" s="508">
        <v>3.8969999999999998</v>
      </c>
      <c r="T2361" s="508">
        <v>3.8969999999999998</v>
      </c>
      <c r="U2361" s="508">
        <v>3.8969999999999998</v>
      </c>
      <c r="V2361" s="508">
        <v>3.8969999999999998</v>
      </c>
      <c r="W2361" s="508">
        <v>3.2050000000000001</v>
      </c>
      <c r="X2361" s="508">
        <v>3.2050000000000001</v>
      </c>
      <c r="Y2361" s="508">
        <v>3.2050000000000001</v>
      </c>
      <c r="Z2361" s="508">
        <v>3.2050000000000001</v>
      </c>
      <c r="AA2361" s="508">
        <v>1.1859999999999999</v>
      </c>
      <c r="AB2361" s="508">
        <v>1.1859999999999999</v>
      </c>
      <c r="AC2361" s="508">
        <v>1.1859999999999999</v>
      </c>
      <c r="AD2361" s="508">
        <v>0.95099999999999996</v>
      </c>
      <c r="AE2361" s="508">
        <v>0.95099999999999996</v>
      </c>
      <c r="AF2361" s="508">
        <v>0.9</v>
      </c>
      <c r="AG2361" s="508">
        <v>0.89800000000000002</v>
      </c>
      <c r="AH2361" s="508">
        <v>0.89800000000000002</v>
      </c>
      <c r="AI2361" s="492">
        <v>0.89800000000000002</v>
      </c>
      <c r="AJ2361" s="485"/>
    </row>
    <row r="2362" spans="2:36">
      <c r="B2362" s="136" t="s">
        <v>481</v>
      </c>
      <c r="C2362" s="132" t="s">
        <v>1371</v>
      </c>
      <c r="D2362" s="132" t="s">
        <v>282</v>
      </c>
      <c r="E2362" s="508">
        <v>4.1470000000000002</v>
      </c>
      <c r="F2362" s="508">
        <v>4.1470000000000002</v>
      </c>
      <c r="G2362" s="508">
        <v>4.1470000000000002</v>
      </c>
      <c r="H2362" s="508">
        <v>4.1470000000000002</v>
      </c>
      <c r="I2362" s="508">
        <v>4.1470000000000002</v>
      </c>
      <c r="J2362" s="508">
        <v>4.1470000000000002</v>
      </c>
      <c r="K2362" s="508">
        <v>4.1470000000000002</v>
      </c>
      <c r="L2362" s="508">
        <v>4.1470000000000002</v>
      </c>
      <c r="M2362" s="508">
        <v>4.1470000000000002</v>
      </c>
      <c r="N2362" s="508">
        <v>4.1470000000000002</v>
      </c>
      <c r="O2362" s="508">
        <v>4.1470000000000002</v>
      </c>
      <c r="P2362" s="508">
        <v>4.1470000000000002</v>
      </c>
      <c r="Q2362" s="508">
        <v>4.1470000000000002</v>
      </c>
      <c r="R2362" s="508">
        <v>4.1470000000000002</v>
      </c>
      <c r="S2362" s="508">
        <v>4.1470000000000002</v>
      </c>
      <c r="T2362" s="508">
        <v>4.1470000000000002</v>
      </c>
      <c r="U2362" s="508">
        <v>4.1470000000000002</v>
      </c>
      <c r="V2362" s="508">
        <v>4.1470000000000002</v>
      </c>
      <c r="W2362" s="508">
        <v>3.3719999999999999</v>
      </c>
      <c r="X2362" s="508">
        <v>3.3719999999999999</v>
      </c>
      <c r="Y2362" s="508">
        <v>3.3719999999999999</v>
      </c>
      <c r="Z2362" s="508">
        <v>3.3719999999999999</v>
      </c>
      <c r="AA2362" s="508">
        <v>1.276</v>
      </c>
      <c r="AB2362" s="508">
        <v>1.276</v>
      </c>
      <c r="AC2362" s="508">
        <v>1.276</v>
      </c>
      <c r="AD2362" s="508">
        <v>1.032</v>
      </c>
      <c r="AE2362" s="508">
        <v>1.032</v>
      </c>
      <c r="AF2362" s="508">
        <v>0.97899999999999998</v>
      </c>
      <c r="AG2362" s="508">
        <v>0.97699999999999998</v>
      </c>
      <c r="AH2362" s="508">
        <v>0.97699999999999998</v>
      </c>
      <c r="AI2362" s="492">
        <v>0.97699999999999998</v>
      </c>
      <c r="AJ2362" s="485"/>
    </row>
    <row r="2363" spans="2:36">
      <c r="B2363" s="136" t="s">
        <v>482</v>
      </c>
      <c r="C2363" s="132" t="s">
        <v>1371</v>
      </c>
      <c r="D2363" s="132" t="s">
        <v>282</v>
      </c>
      <c r="E2363" s="508">
        <v>4.1740000000000004</v>
      </c>
      <c r="F2363" s="508">
        <v>4.1740000000000004</v>
      </c>
      <c r="G2363" s="508">
        <v>4.1740000000000004</v>
      </c>
      <c r="H2363" s="508">
        <v>4.1740000000000004</v>
      </c>
      <c r="I2363" s="508">
        <v>4.1740000000000004</v>
      </c>
      <c r="J2363" s="508">
        <v>4.1749999999999998</v>
      </c>
      <c r="K2363" s="508">
        <v>4.1749999999999998</v>
      </c>
      <c r="L2363" s="508">
        <v>4.1749999999999998</v>
      </c>
      <c r="M2363" s="508">
        <v>4.1749999999999998</v>
      </c>
      <c r="N2363" s="508">
        <v>4.1749999999999998</v>
      </c>
      <c r="O2363" s="508">
        <v>4.1740000000000004</v>
      </c>
      <c r="P2363" s="508">
        <v>4.1749999999999998</v>
      </c>
      <c r="Q2363" s="508">
        <v>4.1740000000000004</v>
      </c>
      <c r="R2363" s="508">
        <v>4.1749999999999998</v>
      </c>
      <c r="S2363" s="508">
        <v>4.1740000000000004</v>
      </c>
      <c r="T2363" s="508">
        <v>4.1749999999999998</v>
      </c>
      <c r="U2363" s="508">
        <v>4.1740000000000004</v>
      </c>
      <c r="V2363" s="508">
        <v>4.1740000000000004</v>
      </c>
      <c r="W2363" s="508">
        <v>3.3980000000000001</v>
      </c>
      <c r="X2363" s="508">
        <v>3.3980000000000001</v>
      </c>
      <c r="Y2363" s="508">
        <v>3.3980000000000001</v>
      </c>
      <c r="Z2363" s="508">
        <v>3.3980000000000001</v>
      </c>
      <c r="AA2363" s="508">
        <v>1.2929999999999999</v>
      </c>
      <c r="AB2363" s="508">
        <v>1.2929999999999999</v>
      </c>
      <c r="AC2363" s="508">
        <v>1.2929999999999999</v>
      </c>
      <c r="AD2363" s="508">
        <v>1.048</v>
      </c>
      <c r="AE2363" s="508">
        <v>1.048</v>
      </c>
      <c r="AF2363" s="508">
        <v>0.995</v>
      </c>
      <c r="AG2363" s="508">
        <v>0.99299999999999999</v>
      </c>
      <c r="AH2363" s="508">
        <v>0.99299999999999999</v>
      </c>
      <c r="AI2363" s="492">
        <v>0.99299999999999999</v>
      </c>
      <c r="AJ2363" s="485"/>
    </row>
    <row r="2364" spans="2:36">
      <c r="B2364" s="136" t="s">
        <v>483</v>
      </c>
      <c r="C2364" s="132" t="s">
        <v>1371</v>
      </c>
      <c r="D2364" s="132" t="s">
        <v>282</v>
      </c>
      <c r="E2364" s="508">
        <v>4.2910000000000004</v>
      </c>
      <c r="F2364" s="508">
        <v>4.2910000000000004</v>
      </c>
      <c r="G2364" s="508">
        <v>4.2910000000000004</v>
      </c>
      <c r="H2364" s="508">
        <v>4.2910000000000004</v>
      </c>
      <c r="I2364" s="508">
        <v>4.2910000000000004</v>
      </c>
      <c r="J2364" s="508">
        <v>4.2910000000000004</v>
      </c>
      <c r="K2364" s="508">
        <v>4.2910000000000004</v>
      </c>
      <c r="L2364" s="508">
        <v>4.2910000000000004</v>
      </c>
      <c r="M2364" s="508">
        <v>4.2910000000000004</v>
      </c>
      <c r="N2364" s="508">
        <v>4.2910000000000004</v>
      </c>
      <c r="O2364" s="508">
        <v>4.2910000000000004</v>
      </c>
      <c r="P2364" s="508">
        <v>4.2910000000000004</v>
      </c>
      <c r="Q2364" s="508">
        <v>4.2910000000000004</v>
      </c>
      <c r="R2364" s="508">
        <v>4.2910000000000004</v>
      </c>
      <c r="S2364" s="508">
        <v>4.2910000000000004</v>
      </c>
      <c r="T2364" s="508">
        <v>4.2910000000000004</v>
      </c>
      <c r="U2364" s="508">
        <v>4.2910000000000004</v>
      </c>
      <c r="V2364" s="508">
        <v>4.2910000000000004</v>
      </c>
      <c r="W2364" s="508">
        <v>3.47</v>
      </c>
      <c r="X2364" s="508">
        <v>3.47</v>
      </c>
      <c r="Y2364" s="508">
        <v>3.47</v>
      </c>
      <c r="Z2364" s="508">
        <v>3.47</v>
      </c>
      <c r="AA2364" s="508">
        <v>1.329</v>
      </c>
      <c r="AB2364" s="508">
        <v>1.329</v>
      </c>
      <c r="AC2364" s="508">
        <v>1.329</v>
      </c>
      <c r="AD2364" s="508">
        <v>1.079</v>
      </c>
      <c r="AE2364" s="508">
        <v>1.079</v>
      </c>
      <c r="AF2364" s="508">
        <v>1.0249999999999999</v>
      </c>
      <c r="AG2364" s="508">
        <v>1.024</v>
      </c>
      <c r="AH2364" s="508">
        <v>1.0229999999999999</v>
      </c>
      <c r="AI2364" s="492">
        <v>1.0229999999999999</v>
      </c>
      <c r="AJ2364" s="485"/>
    </row>
    <row r="2365" spans="2:36">
      <c r="B2365" s="136" t="s">
        <v>484</v>
      </c>
      <c r="C2365" s="132" t="s">
        <v>1371</v>
      </c>
      <c r="D2365" s="132" t="s">
        <v>282</v>
      </c>
      <c r="E2365" s="508">
        <v>3.915</v>
      </c>
      <c r="F2365" s="508">
        <v>3.915</v>
      </c>
      <c r="G2365" s="508">
        <v>3.915</v>
      </c>
      <c r="H2365" s="508">
        <v>3.915</v>
      </c>
      <c r="I2365" s="508">
        <v>3.915</v>
      </c>
      <c r="J2365" s="508">
        <v>3.915</v>
      </c>
      <c r="K2365" s="508">
        <v>3.915</v>
      </c>
      <c r="L2365" s="508">
        <v>3.915</v>
      </c>
      <c r="M2365" s="508">
        <v>3.915</v>
      </c>
      <c r="N2365" s="508">
        <v>3.915</v>
      </c>
      <c r="O2365" s="508">
        <v>3.915</v>
      </c>
      <c r="P2365" s="508">
        <v>3.915</v>
      </c>
      <c r="Q2365" s="508">
        <v>3.915</v>
      </c>
      <c r="R2365" s="508">
        <v>3.915</v>
      </c>
      <c r="S2365" s="508">
        <v>3.915</v>
      </c>
      <c r="T2365" s="508">
        <v>3.915</v>
      </c>
      <c r="U2365" s="508">
        <v>3.915</v>
      </c>
      <c r="V2365" s="508">
        <v>3.915</v>
      </c>
      <c r="W2365" s="508">
        <v>3.218</v>
      </c>
      <c r="X2365" s="508">
        <v>3.218</v>
      </c>
      <c r="Y2365" s="508">
        <v>3.218</v>
      </c>
      <c r="Z2365" s="508">
        <v>3.218</v>
      </c>
      <c r="AA2365" s="508">
        <v>1.1950000000000001</v>
      </c>
      <c r="AB2365" s="508">
        <v>1.1950000000000001</v>
      </c>
      <c r="AC2365" s="508">
        <v>1.1950000000000001</v>
      </c>
      <c r="AD2365" s="508">
        <v>0.95899999999999996</v>
      </c>
      <c r="AE2365" s="508">
        <v>0.95899999999999996</v>
      </c>
      <c r="AF2365" s="508">
        <v>0.90800000000000003</v>
      </c>
      <c r="AG2365" s="508">
        <v>0.90700000000000003</v>
      </c>
      <c r="AH2365" s="508">
        <v>0.90700000000000003</v>
      </c>
      <c r="AI2365" s="492">
        <v>0.90700000000000003</v>
      </c>
      <c r="AJ2365" s="485"/>
    </row>
    <row r="2366" spans="2:36">
      <c r="B2366" s="136" t="s">
        <v>486</v>
      </c>
      <c r="C2366" s="132" t="s">
        <v>1371</v>
      </c>
      <c r="D2366" s="132" t="s">
        <v>282</v>
      </c>
      <c r="E2366" s="508">
        <v>4.1680000000000001</v>
      </c>
      <c r="F2366" s="508">
        <v>4.1680000000000001</v>
      </c>
      <c r="G2366" s="508">
        <v>4.1680000000000001</v>
      </c>
      <c r="H2366" s="508">
        <v>4.1680000000000001</v>
      </c>
      <c r="I2366" s="508">
        <v>4.1680000000000001</v>
      </c>
      <c r="J2366" s="508">
        <v>4.1680000000000001</v>
      </c>
      <c r="K2366" s="508">
        <v>4.1680000000000001</v>
      </c>
      <c r="L2366" s="508">
        <v>4.1680000000000001</v>
      </c>
      <c r="M2366" s="508">
        <v>4.1680000000000001</v>
      </c>
      <c r="N2366" s="508">
        <v>4.1680000000000001</v>
      </c>
      <c r="O2366" s="508">
        <v>4.1680000000000001</v>
      </c>
      <c r="P2366" s="508">
        <v>4.1680000000000001</v>
      </c>
      <c r="Q2366" s="508">
        <v>4.1680000000000001</v>
      </c>
      <c r="R2366" s="508">
        <v>4.1680000000000001</v>
      </c>
      <c r="S2366" s="508">
        <v>4.1680000000000001</v>
      </c>
      <c r="T2366" s="508">
        <v>4.1680000000000001</v>
      </c>
      <c r="U2366" s="508">
        <v>4.1680000000000001</v>
      </c>
      <c r="V2366" s="508">
        <v>4.1680000000000001</v>
      </c>
      <c r="W2366" s="508">
        <v>3.3879999999999999</v>
      </c>
      <c r="X2366" s="508">
        <v>3.3879999999999999</v>
      </c>
      <c r="Y2366" s="508">
        <v>3.3879999999999999</v>
      </c>
      <c r="Z2366" s="508">
        <v>3.3879999999999999</v>
      </c>
      <c r="AA2366" s="508">
        <v>1.286</v>
      </c>
      <c r="AB2366" s="508">
        <v>1.286</v>
      </c>
      <c r="AC2366" s="508">
        <v>1.286</v>
      </c>
      <c r="AD2366" s="508">
        <v>1.04</v>
      </c>
      <c r="AE2366" s="508">
        <v>1.04</v>
      </c>
      <c r="AF2366" s="508">
        <v>0.98699999999999999</v>
      </c>
      <c r="AG2366" s="508">
        <v>0.98599999999999999</v>
      </c>
      <c r="AH2366" s="508">
        <v>0.98499999999999999</v>
      </c>
      <c r="AI2366" s="492">
        <v>0.98499999999999999</v>
      </c>
      <c r="AJ2366" s="485"/>
    </row>
    <row r="2367" spans="2:36">
      <c r="B2367" s="136" t="s">
        <v>487</v>
      </c>
      <c r="C2367" s="132" t="s">
        <v>1371</v>
      </c>
      <c r="D2367" s="132" t="s">
        <v>282</v>
      </c>
      <c r="E2367" s="508">
        <v>4.1870000000000003</v>
      </c>
      <c r="F2367" s="508">
        <v>4.1870000000000003</v>
      </c>
      <c r="G2367" s="508">
        <v>4.1870000000000003</v>
      </c>
      <c r="H2367" s="508">
        <v>4.1870000000000003</v>
      </c>
      <c r="I2367" s="508">
        <v>4.1870000000000003</v>
      </c>
      <c r="J2367" s="508">
        <v>4.1870000000000003</v>
      </c>
      <c r="K2367" s="508">
        <v>4.1870000000000003</v>
      </c>
      <c r="L2367" s="508">
        <v>4.1870000000000003</v>
      </c>
      <c r="M2367" s="508">
        <v>4.1870000000000003</v>
      </c>
      <c r="N2367" s="508">
        <v>4.1870000000000003</v>
      </c>
      <c r="O2367" s="508">
        <v>4.1870000000000003</v>
      </c>
      <c r="P2367" s="508">
        <v>4.1870000000000003</v>
      </c>
      <c r="Q2367" s="508">
        <v>4.1870000000000003</v>
      </c>
      <c r="R2367" s="508">
        <v>4.1870000000000003</v>
      </c>
      <c r="S2367" s="508">
        <v>4.1870000000000003</v>
      </c>
      <c r="T2367" s="508">
        <v>4.1870000000000003</v>
      </c>
      <c r="U2367" s="508">
        <v>4.1870000000000003</v>
      </c>
      <c r="V2367" s="508">
        <v>4.1870000000000003</v>
      </c>
      <c r="W2367" s="508">
        <v>3.4039999999999999</v>
      </c>
      <c r="X2367" s="508">
        <v>3.4039999999999999</v>
      </c>
      <c r="Y2367" s="508">
        <v>3.4039999999999999</v>
      </c>
      <c r="Z2367" s="508">
        <v>3.4039999999999999</v>
      </c>
      <c r="AA2367" s="508">
        <v>1.294</v>
      </c>
      <c r="AB2367" s="508">
        <v>1.294</v>
      </c>
      <c r="AC2367" s="508">
        <v>1.294</v>
      </c>
      <c r="AD2367" s="508">
        <v>1.048</v>
      </c>
      <c r="AE2367" s="508">
        <v>1.048</v>
      </c>
      <c r="AF2367" s="508">
        <v>0.995</v>
      </c>
      <c r="AG2367" s="508">
        <v>0.99299999999999999</v>
      </c>
      <c r="AH2367" s="508">
        <v>0.99299999999999999</v>
      </c>
      <c r="AI2367" s="492">
        <v>0.99299999999999999</v>
      </c>
      <c r="AJ2367" s="485"/>
    </row>
    <row r="2368" spans="2:36">
      <c r="B2368" s="136" t="s">
        <v>488</v>
      </c>
      <c r="C2368" s="132" t="s">
        <v>1371</v>
      </c>
      <c r="D2368" s="132" t="s">
        <v>282</v>
      </c>
      <c r="E2368" s="508">
        <v>3.988</v>
      </c>
      <c r="F2368" s="508">
        <v>3.988</v>
      </c>
      <c r="G2368" s="508">
        <v>3.988</v>
      </c>
      <c r="H2368" s="508">
        <v>3.988</v>
      </c>
      <c r="I2368" s="508">
        <v>3.988</v>
      </c>
      <c r="J2368" s="508">
        <v>3.988</v>
      </c>
      <c r="K2368" s="508">
        <v>3.988</v>
      </c>
      <c r="L2368" s="508">
        <v>3.988</v>
      </c>
      <c r="M2368" s="508">
        <v>3.988</v>
      </c>
      <c r="N2368" s="508">
        <v>3.988</v>
      </c>
      <c r="O2368" s="508">
        <v>3.988</v>
      </c>
      <c r="P2368" s="508">
        <v>3.988</v>
      </c>
      <c r="Q2368" s="508">
        <v>3.988</v>
      </c>
      <c r="R2368" s="508">
        <v>3.988</v>
      </c>
      <c r="S2368" s="508">
        <v>3.988</v>
      </c>
      <c r="T2368" s="508">
        <v>3.988</v>
      </c>
      <c r="U2368" s="508">
        <v>3.988</v>
      </c>
      <c r="V2368" s="508">
        <v>3.988</v>
      </c>
      <c r="W2368" s="508">
        <v>3.27</v>
      </c>
      <c r="X2368" s="508">
        <v>3.27</v>
      </c>
      <c r="Y2368" s="508">
        <v>3.27</v>
      </c>
      <c r="Z2368" s="508">
        <v>3.27</v>
      </c>
      <c r="AA2368" s="508">
        <v>1.2230000000000001</v>
      </c>
      <c r="AB2368" s="508">
        <v>1.2230000000000001</v>
      </c>
      <c r="AC2368" s="508">
        <v>1.2230000000000001</v>
      </c>
      <c r="AD2368" s="508">
        <v>0.98499999999999999</v>
      </c>
      <c r="AE2368" s="508">
        <v>0.98499999999999999</v>
      </c>
      <c r="AF2368" s="508">
        <v>0.93300000000000005</v>
      </c>
      <c r="AG2368" s="508">
        <v>0.93200000000000005</v>
      </c>
      <c r="AH2368" s="508">
        <v>0.93100000000000005</v>
      </c>
      <c r="AI2368" s="492">
        <v>0.93100000000000005</v>
      </c>
      <c r="AJ2368" s="485"/>
    </row>
    <row r="2369" spans="2:36">
      <c r="B2369" s="136" t="s">
        <v>489</v>
      </c>
      <c r="C2369" s="132" t="s">
        <v>1371</v>
      </c>
      <c r="D2369" s="132" t="s">
        <v>282</v>
      </c>
      <c r="E2369" s="508">
        <v>4.069</v>
      </c>
      <c r="F2369" s="508">
        <v>4.069</v>
      </c>
      <c r="G2369" s="508">
        <v>4.069</v>
      </c>
      <c r="H2369" s="508">
        <v>4.069</v>
      </c>
      <c r="I2369" s="508">
        <v>4.069</v>
      </c>
      <c r="J2369" s="508">
        <v>4.069</v>
      </c>
      <c r="K2369" s="508">
        <v>4.069</v>
      </c>
      <c r="L2369" s="508">
        <v>4.069</v>
      </c>
      <c r="M2369" s="508">
        <v>4.069</v>
      </c>
      <c r="N2369" s="508">
        <v>4.069</v>
      </c>
      <c r="O2369" s="508">
        <v>4.069</v>
      </c>
      <c r="P2369" s="508">
        <v>4.069</v>
      </c>
      <c r="Q2369" s="508">
        <v>4.069</v>
      </c>
      <c r="R2369" s="508">
        <v>4.069</v>
      </c>
      <c r="S2369" s="508">
        <v>4.069</v>
      </c>
      <c r="T2369" s="508">
        <v>4.069</v>
      </c>
      <c r="U2369" s="508">
        <v>4.069</v>
      </c>
      <c r="V2369" s="508">
        <v>4.069</v>
      </c>
      <c r="W2369" s="508">
        <v>3.323</v>
      </c>
      <c r="X2369" s="508">
        <v>3.323</v>
      </c>
      <c r="Y2369" s="508">
        <v>3.323</v>
      </c>
      <c r="Z2369" s="508">
        <v>3.323</v>
      </c>
      <c r="AA2369" s="508">
        <v>1.252</v>
      </c>
      <c r="AB2369" s="508">
        <v>1.252</v>
      </c>
      <c r="AC2369" s="508">
        <v>1.252</v>
      </c>
      <c r="AD2369" s="508">
        <v>1.0109999999999999</v>
      </c>
      <c r="AE2369" s="508">
        <v>1.0109999999999999</v>
      </c>
      <c r="AF2369" s="508">
        <v>0.95799999999999996</v>
      </c>
      <c r="AG2369" s="508">
        <v>0.95699999999999996</v>
      </c>
      <c r="AH2369" s="508">
        <v>0.95699999999999996</v>
      </c>
      <c r="AI2369" s="492">
        <v>0.95699999999999996</v>
      </c>
      <c r="AJ2369" s="485"/>
    </row>
    <row r="2370" spans="2:36">
      <c r="B2370" s="136" t="s">
        <v>490</v>
      </c>
      <c r="C2370" s="132" t="s">
        <v>1371</v>
      </c>
      <c r="D2370" s="132" t="s">
        <v>282</v>
      </c>
      <c r="E2370" s="508">
        <v>3.9020000000000001</v>
      </c>
      <c r="F2370" s="508">
        <v>3.9020000000000001</v>
      </c>
      <c r="G2370" s="508">
        <v>3.9020000000000001</v>
      </c>
      <c r="H2370" s="508">
        <v>3.9020000000000001</v>
      </c>
      <c r="I2370" s="508">
        <v>3.9020000000000001</v>
      </c>
      <c r="J2370" s="508">
        <v>3.9020000000000001</v>
      </c>
      <c r="K2370" s="508">
        <v>3.9020000000000001</v>
      </c>
      <c r="L2370" s="508">
        <v>3.9020000000000001</v>
      </c>
      <c r="M2370" s="508">
        <v>3.9020000000000001</v>
      </c>
      <c r="N2370" s="508">
        <v>3.9020000000000001</v>
      </c>
      <c r="O2370" s="508">
        <v>3.9020000000000001</v>
      </c>
      <c r="P2370" s="508">
        <v>3.9020000000000001</v>
      </c>
      <c r="Q2370" s="508">
        <v>3.9020000000000001</v>
      </c>
      <c r="R2370" s="508">
        <v>3.9020000000000001</v>
      </c>
      <c r="S2370" s="508">
        <v>3.9020000000000001</v>
      </c>
      <c r="T2370" s="508">
        <v>3.9020000000000001</v>
      </c>
      <c r="U2370" s="508">
        <v>3.9020000000000001</v>
      </c>
      <c r="V2370" s="508">
        <v>3.9020000000000001</v>
      </c>
      <c r="W2370" s="508">
        <v>3.2050000000000001</v>
      </c>
      <c r="X2370" s="508">
        <v>3.2050000000000001</v>
      </c>
      <c r="Y2370" s="508">
        <v>3.2050000000000001</v>
      </c>
      <c r="Z2370" s="508">
        <v>3.2050000000000001</v>
      </c>
      <c r="AA2370" s="508">
        <v>1.1830000000000001</v>
      </c>
      <c r="AB2370" s="508">
        <v>1.1830000000000001</v>
      </c>
      <c r="AC2370" s="508">
        <v>1.1830000000000001</v>
      </c>
      <c r="AD2370" s="508">
        <v>0.94699999999999995</v>
      </c>
      <c r="AE2370" s="508">
        <v>0.94699999999999995</v>
      </c>
      <c r="AF2370" s="508">
        <v>0.89600000000000002</v>
      </c>
      <c r="AG2370" s="508">
        <v>0.89500000000000002</v>
      </c>
      <c r="AH2370" s="508">
        <v>0.89500000000000002</v>
      </c>
      <c r="AI2370" s="492">
        <v>0.89500000000000002</v>
      </c>
      <c r="AJ2370" s="485"/>
    </row>
    <row r="2371" spans="2:36">
      <c r="B2371" s="136" t="s">
        <v>435</v>
      </c>
      <c r="C2371" s="132" t="s">
        <v>1372</v>
      </c>
      <c r="D2371" s="132" t="s">
        <v>282</v>
      </c>
      <c r="E2371" s="508">
        <v>69.063999999999993</v>
      </c>
      <c r="F2371" s="508">
        <v>67.679000000000002</v>
      </c>
      <c r="G2371" s="508">
        <v>67.680999999999997</v>
      </c>
      <c r="H2371" s="508">
        <v>67.680000000000007</v>
      </c>
      <c r="I2371" s="508">
        <v>67.683000000000007</v>
      </c>
      <c r="J2371" s="508">
        <v>88.86</v>
      </c>
      <c r="K2371" s="508">
        <v>88.867000000000004</v>
      </c>
      <c r="L2371" s="508">
        <v>88.825000000000003</v>
      </c>
      <c r="M2371" s="508">
        <v>88.879000000000005</v>
      </c>
      <c r="N2371" s="508">
        <v>92.747</v>
      </c>
      <c r="O2371" s="508">
        <v>92.753</v>
      </c>
      <c r="P2371" s="508">
        <v>92.754999999999995</v>
      </c>
      <c r="Q2371" s="508">
        <v>92.763000000000005</v>
      </c>
      <c r="R2371" s="508">
        <v>35.951000000000001</v>
      </c>
      <c r="S2371" s="508">
        <v>35.947000000000003</v>
      </c>
      <c r="T2371" s="508">
        <v>35.944000000000003</v>
      </c>
      <c r="U2371" s="508">
        <v>35.582000000000001</v>
      </c>
      <c r="V2371" s="508">
        <v>35.591999999999999</v>
      </c>
      <c r="W2371" s="508">
        <v>35.585000000000001</v>
      </c>
      <c r="X2371" s="508">
        <v>35.603999999999999</v>
      </c>
      <c r="Y2371" s="508">
        <v>35.603999999999999</v>
      </c>
      <c r="Z2371" s="508">
        <v>35.706000000000003</v>
      </c>
      <c r="AA2371" s="508">
        <v>35.713000000000001</v>
      </c>
      <c r="AB2371" s="508">
        <v>20.295999999999999</v>
      </c>
      <c r="AC2371" s="508">
        <v>20.295000000000002</v>
      </c>
      <c r="AD2371" s="508">
        <v>15.081</v>
      </c>
      <c r="AE2371" s="508">
        <v>15.061999999999999</v>
      </c>
      <c r="AF2371" s="508">
        <v>11.987</v>
      </c>
      <c r="AG2371" s="508">
        <v>11.98</v>
      </c>
      <c r="AH2371" s="508">
        <v>11.976000000000001</v>
      </c>
      <c r="AI2371" s="492">
        <v>11.976000000000001</v>
      </c>
      <c r="AJ2371" s="485"/>
    </row>
    <row r="2372" spans="2:36">
      <c r="B2372" s="136" t="s">
        <v>436</v>
      </c>
      <c r="C2372" s="132" t="s">
        <v>1372</v>
      </c>
      <c r="D2372" s="132" t="s">
        <v>282</v>
      </c>
      <c r="E2372" s="508">
        <v>75.924999999999997</v>
      </c>
      <c r="F2372" s="508">
        <v>70.64</v>
      </c>
      <c r="G2372" s="508">
        <v>70.643000000000001</v>
      </c>
      <c r="H2372" s="508">
        <v>70.641000000000005</v>
      </c>
      <c r="I2372" s="508">
        <v>70.644000000000005</v>
      </c>
      <c r="J2372" s="508">
        <v>92.965000000000003</v>
      </c>
      <c r="K2372" s="508">
        <v>92.957999999999998</v>
      </c>
      <c r="L2372" s="508">
        <v>92.903999999999996</v>
      </c>
      <c r="M2372" s="508">
        <v>92.941999999999993</v>
      </c>
      <c r="N2372" s="508">
        <v>96.995999999999995</v>
      </c>
      <c r="O2372" s="508">
        <v>96.984999999999999</v>
      </c>
      <c r="P2372" s="508">
        <v>96.97</v>
      </c>
      <c r="Q2372" s="508">
        <v>96.962000000000003</v>
      </c>
      <c r="R2372" s="508">
        <v>36.594000000000001</v>
      </c>
      <c r="S2372" s="508">
        <v>36.582999999999998</v>
      </c>
      <c r="T2372" s="508">
        <v>36.572000000000003</v>
      </c>
      <c r="U2372" s="508">
        <v>37.859000000000002</v>
      </c>
      <c r="V2372" s="508">
        <v>37.871000000000002</v>
      </c>
      <c r="W2372" s="508">
        <v>37.863</v>
      </c>
      <c r="X2372" s="508">
        <v>37.884</v>
      </c>
      <c r="Y2372" s="508">
        <v>37.884</v>
      </c>
      <c r="Z2372" s="508">
        <v>37.996000000000002</v>
      </c>
      <c r="AA2372" s="508">
        <v>38.003</v>
      </c>
      <c r="AB2372" s="508">
        <v>22.295999999999999</v>
      </c>
      <c r="AC2372" s="508">
        <v>22.295000000000002</v>
      </c>
      <c r="AD2372" s="508">
        <v>16.817</v>
      </c>
      <c r="AE2372" s="508">
        <v>16.734999999999999</v>
      </c>
      <c r="AF2372" s="508">
        <v>13.282999999999999</v>
      </c>
      <c r="AG2372" s="508">
        <v>13.215</v>
      </c>
      <c r="AH2372" s="508">
        <v>13.211</v>
      </c>
      <c r="AI2372" s="492">
        <v>13.211</v>
      </c>
      <c r="AJ2372" s="485"/>
    </row>
    <row r="2373" spans="2:36">
      <c r="B2373" s="136" t="s">
        <v>437</v>
      </c>
      <c r="C2373" s="132" t="s">
        <v>1372</v>
      </c>
      <c r="D2373" s="132" t="s">
        <v>282</v>
      </c>
      <c r="E2373" s="508">
        <v>68.724999999999994</v>
      </c>
      <c r="F2373" s="508">
        <v>68.682000000000002</v>
      </c>
      <c r="G2373" s="508">
        <v>68.683000000000007</v>
      </c>
      <c r="H2373" s="508">
        <v>68.682000000000002</v>
      </c>
      <c r="I2373" s="508">
        <v>68.685000000000002</v>
      </c>
      <c r="J2373" s="508">
        <v>89.783000000000001</v>
      </c>
      <c r="K2373" s="508">
        <v>89.77</v>
      </c>
      <c r="L2373" s="508">
        <v>89.706000000000003</v>
      </c>
      <c r="M2373" s="508">
        <v>89.741</v>
      </c>
      <c r="N2373" s="508">
        <v>96.983000000000004</v>
      </c>
      <c r="O2373" s="508">
        <v>96.962999999999994</v>
      </c>
      <c r="P2373" s="508">
        <v>96.938999999999993</v>
      </c>
      <c r="Q2373" s="508">
        <v>96.921999999999997</v>
      </c>
      <c r="R2373" s="508">
        <v>36.924999999999997</v>
      </c>
      <c r="S2373" s="508">
        <v>36.909999999999997</v>
      </c>
      <c r="T2373" s="508">
        <v>36.895000000000003</v>
      </c>
      <c r="U2373" s="508">
        <v>38.536000000000001</v>
      </c>
      <c r="V2373" s="508">
        <v>38.549999999999997</v>
      </c>
      <c r="W2373" s="508">
        <v>38.540999999999997</v>
      </c>
      <c r="X2373" s="508">
        <v>38.564999999999998</v>
      </c>
      <c r="Y2373" s="508">
        <v>38.566000000000003</v>
      </c>
      <c r="Z2373" s="508">
        <v>38.695999999999998</v>
      </c>
      <c r="AA2373" s="508">
        <v>38.704000000000001</v>
      </c>
      <c r="AB2373" s="508">
        <v>23.817</v>
      </c>
      <c r="AC2373" s="508">
        <v>23.815999999999999</v>
      </c>
      <c r="AD2373" s="508">
        <v>18.358000000000001</v>
      </c>
      <c r="AE2373" s="508">
        <v>18.341999999999999</v>
      </c>
      <c r="AF2373" s="508">
        <v>14.417999999999999</v>
      </c>
      <c r="AG2373" s="508">
        <v>14.417999999999999</v>
      </c>
      <c r="AH2373" s="508">
        <v>14.414</v>
      </c>
      <c r="AI2373" s="492">
        <v>14.414</v>
      </c>
      <c r="AJ2373" s="485"/>
    </row>
    <row r="2374" spans="2:36">
      <c r="B2374" s="136" t="s">
        <v>438</v>
      </c>
      <c r="C2374" s="132" t="s">
        <v>1372</v>
      </c>
      <c r="D2374" s="132" t="s">
        <v>282</v>
      </c>
      <c r="E2374" s="508">
        <v>70.543999999999997</v>
      </c>
      <c r="F2374" s="508">
        <v>68.843000000000004</v>
      </c>
      <c r="G2374" s="508">
        <v>68.844999999999999</v>
      </c>
      <c r="H2374" s="508">
        <v>68.843000000000004</v>
      </c>
      <c r="I2374" s="508">
        <v>68.846000000000004</v>
      </c>
      <c r="J2374" s="508">
        <v>90.998999999999995</v>
      </c>
      <c r="K2374" s="508">
        <v>90.992000000000004</v>
      </c>
      <c r="L2374" s="508">
        <v>90.938999999999993</v>
      </c>
      <c r="M2374" s="508">
        <v>90.977000000000004</v>
      </c>
      <c r="N2374" s="508">
        <v>95.003</v>
      </c>
      <c r="O2374" s="508">
        <v>94.992000000000004</v>
      </c>
      <c r="P2374" s="508">
        <v>94.975999999999999</v>
      </c>
      <c r="Q2374" s="508">
        <v>94.968000000000004</v>
      </c>
      <c r="R2374" s="508">
        <v>35.136000000000003</v>
      </c>
      <c r="S2374" s="508">
        <v>35.125</v>
      </c>
      <c r="T2374" s="508">
        <v>35.115000000000002</v>
      </c>
      <c r="U2374" s="508">
        <v>37.165999999999997</v>
      </c>
      <c r="V2374" s="508">
        <v>37.177</v>
      </c>
      <c r="W2374" s="508">
        <v>37.17</v>
      </c>
      <c r="X2374" s="508">
        <v>37.19</v>
      </c>
      <c r="Y2374" s="508">
        <v>37.191000000000003</v>
      </c>
      <c r="Z2374" s="508">
        <v>37.302</v>
      </c>
      <c r="AA2374" s="508">
        <v>37.308999999999997</v>
      </c>
      <c r="AB2374" s="508">
        <v>21.686</v>
      </c>
      <c r="AC2374" s="508">
        <v>21.684999999999999</v>
      </c>
      <c r="AD2374" s="508">
        <v>16.297999999999998</v>
      </c>
      <c r="AE2374" s="508">
        <v>16.274000000000001</v>
      </c>
      <c r="AF2374" s="508">
        <v>12.907999999999999</v>
      </c>
      <c r="AG2374" s="508">
        <v>12.897</v>
      </c>
      <c r="AH2374" s="508">
        <v>12.893000000000001</v>
      </c>
      <c r="AI2374" s="492">
        <v>12.893000000000001</v>
      </c>
      <c r="AJ2374" s="485"/>
    </row>
    <row r="2375" spans="2:36">
      <c r="B2375" s="136" t="s">
        <v>439</v>
      </c>
      <c r="C2375" s="132" t="s">
        <v>1372</v>
      </c>
      <c r="D2375" s="132" t="s">
        <v>282</v>
      </c>
      <c r="E2375" s="508">
        <v>70.153999999999996</v>
      </c>
      <c r="F2375" s="508">
        <v>68.311999999999998</v>
      </c>
      <c r="G2375" s="508">
        <v>68.313999999999993</v>
      </c>
      <c r="H2375" s="508">
        <v>68.313000000000002</v>
      </c>
      <c r="I2375" s="508">
        <v>68.314999999999998</v>
      </c>
      <c r="J2375" s="508">
        <v>88.536000000000001</v>
      </c>
      <c r="K2375" s="508">
        <v>88.516000000000005</v>
      </c>
      <c r="L2375" s="508">
        <v>88.445999999999998</v>
      </c>
      <c r="M2375" s="508">
        <v>88.477000000000004</v>
      </c>
      <c r="N2375" s="508">
        <v>98.507000000000005</v>
      </c>
      <c r="O2375" s="508">
        <v>98.48</v>
      </c>
      <c r="P2375" s="508">
        <v>98.447999999999993</v>
      </c>
      <c r="Q2375" s="508">
        <v>98.424000000000007</v>
      </c>
      <c r="R2375" s="508">
        <v>38.151000000000003</v>
      </c>
      <c r="S2375" s="508">
        <v>38.131999999999998</v>
      </c>
      <c r="T2375" s="508">
        <v>38.113</v>
      </c>
      <c r="U2375" s="508">
        <v>39.433</v>
      </c>
      <c r="V2375" s="508">
        <v>39.448</v>
      </c>
      <c r="W2375" s="508">
        <v>39.439</v>
      </c>
      <c r="X2375" s="508">
        <v>39.465000000000003</v>
      </c>
      <c r="Y2375" s="508">
        <v>39.465000000000003</v>
      </c>
      <c r="Z2375" s="508">
        <v>39.61</v>
      </c>
      <c r="AA2375" s="508">
        <v>39.619</v>
      </c>
      <c r="AB2375" s="508">
        <v>25.481000000000002</v>
      </c>
      <c r="AC2375" s="508">
        <v>25.478999999999999</v>
      </c>
      <c r="AD2375" s="508">
        <v>20.001000000000001</v>
      </c>
      <c r="AE2375" s="508">
        <v>19.971</v>
      </c>
      <c r="AF2375" s="508">
        <v>15.61</v>
      </c>
      <c r="AG2375" s="508">
        <v>15.597</v>
      </c>
      <c r="AH2375" s="508">
        <v>15.593999999999999</v>
      </c>
      <c r="AI2375" s="492">
        <v>15.593999999999999</v>
      </c>
      <c r="AJ2375" s="485"/>
    </row>
    <row r="2376" spans="2:36">
      <c r="B2376" s="136" t="s">
        <v>440</v>
      </c>
      <c r="C2376" s="132" t="s">
        <v>1372</v>
      </c>
      <c r="D2376" s="132" t="s">
        <v>282</v>
      </c>
      <c r="E2376" s="508">
        <v>77.024000000000001</v>
      </c>
      <c r="F2376" s="508">
        <v>73.358000000000004</v>
      </c>
      <c r="G2376" s="508">
        <v>73.36</v>
      </c>
      <c r="H2376" s="508">
        <v>73.358000000000004</v>
      </c>
      <c r="I2376" s="508">
        <v>73.361000000000004</v>
      </c>
      <c r="J2376" s="508">
        <v>96.239000000000004</v>
      </c>
      <c r="K2376" s="508">
        <v>96.242999999999995</v>
      </c>
      <c r="L2376" s="508">
        <v>96.195999999999998</v>
      </c>
      <c r="M2376" s="508">
        <v>96.248000000000005</v>
      </c>
      <c r="N2376" s="508">
        <v>100.447</v>
      </c>
      <c r="O2376" s="508">
        <v>100.449</v>
      </c>
      <c r="P2376" s="508">
        <v>100.447</v>
      </c>
      <c r="Q2376" s="508">
        <v>100.45099999999999</v>
      </c>
      <c r="R2376" s="508">
        <v>38.344000000000001</v>
      </c>
      <c r="S2376" s="508">
        <v>38.338000000000001</v>
      </c>
      <c r="T2376" s="508">
        <v>38.332000000000001</v>
      </c>
      <c r="U2376" s="508">
        <v>39.502000000000002</v>
      </c>
      <c r="V2376" s="508">
        <v>39.515000000000001</v>
      </c>
      <c r="W2376" s="508">
        <v>39.506999999999998</v>
      </c>
      <c r="X2376" s="508">
        <v>39.529000000000003</v>
      </c>
      <c r="Y2376" s="508">
        <v>39.53</v>
      </c>
      <c r="Z2376" s="508">
        <v>39.651000000000003</v>
      </c>
      <c r="AA2376" s="508">
        <v>39.658999999999999</v>
      </c>
      <c r="AB2376" s="508">
        <v>23.478000000000002</v>
      </c>
      <c r="AC2376" s="508">
        <v>23.477</v>
      </c>
      <c r="AD2376" s="508">
        <v>17.789000000000001</v>
      </c>
      <c r="AE2376" s="508">
        <v>17.744</v>
      </c>
      <c r="AF2376" s="508">
        <v>14.042999999999999</v>
      </c>
      <c r="AG2376" s="508">
        <v>14.013</v>
      </c>
      <c r="AH2376" s="508">
        <v>14.009</v>
      </c>
      <c r="AI2376" s="492">
        <v>14.009</v>
      </c>
      <c r="AJ2376" s="485"/>
    </row>
    <row r="2377" spans="2:36">
      <c r="B2377" s="136" t="s">
        <v>441</v>
      </c>
      <c r="C2377" s="132" t="s">
        <v>1372</v>
      </c>
      <c r="D2377" s="132" t="s">
        <v>282</v>
      </c>
      <c r="E2377" s="508">
        <v>75.941000000000003</v>
      </c>
      <c r="F2377" s="508">
        <v>72.430999999999997</v>
      </c>
      <c r="G2377" s="508">
        <v>72.433000000000007</v>
      </c>
      <c r="H2377" s="508">
        <v>72.432000000000002</v>
      </c>
      <c r="I2377" s="508">
        <v>72.435000000000002</v>
      </c>
      <c r="J2377" s="508">
        <v>94.534999999999997</v>
      </c>
      <c r="K2377" s="508">
        <v>94.522000000000006</v>
      </c>
      <c r="L2377" s="508">
        <v>94.457999999999998</v>
      </c>
      <c r="M2377" s="508">
        <v>94.494</v>
      </c>
      <c r="N2377" s="508">
        <v>98.561999999999998</v>
      </c>
      <c r="O2377" s="508">
        <v>98.543000000000006</v>
      </c>
      <c r="P2377" s="508">
        <v>98.521000000000001</v>
      </c>
      <c r="Q2377" s="508">
        <v>98.504999999999995</v>
      </c>
      <c r="R2377" s="508">
        <v>38.143999999999998</v>
      </c>
      <c r="S2377" s="508">
        <v>38.128</v>
      </c>
      <c r="T2377" s="508">
        <v>38.113999999999997</v>
      </c>
      <c r="U2377" s="508">
        <v>39.94</v>
      </c>
      <c r="V2377" s="508">
        <v>39.953000000000003</v>
      </c>
      <c r="W2377" s="508">
        <v>39.945</v>
      </c>
      <c r="X2377" s="508">
        <v>39.968000000000004</v>
      </c>
      <c r="Y2377" s="508">
        <v>39.968000000000004</v>
      </c>
      <c r="Z2377" s="508">
        <v>40.093000000000004</v>
      </c>
      <c r="AA2377" s="508">
        <v>40.100999999999999</v>
      </c>
      <c r="AB2377" s="508">
        <v>23.9</v>
      </c>
      <c r="AC2377" s="508">
        <v>23.899000000000001</v>
      </c>
      <c r="AD2377" s="508">
        <v>18.169</v>
      </c>
      <c r="AE2377" s="508">
        <v>18.126000000000001</v>
      </c>
      <c r="AF2377" s="508">
        <v>14.331</v>
      </c>
      <c r="AG2377" s="508">
        <v>14.303000000000001</v>
      </c>
      <c r="AH2377" s="508">
        <v>14.298</v>
      </c>
      <c r="AI2377" s="492">
        <v>14.298</v>
      </c>
      <c r="AJ2377" s="485"/>
    </row>
    <row r="2378" spans="2:36">
      <c r="B2378" s="136" t="s">
        <v>443</v>
      </c>
      <c r="C2378" s="132" t="s">
        <v>1372</v>
      </c>
      <c r="D2378" s="132" t="s">
        <v>282</v>
      </c>
      <c r="E2378" s="508">
        <v>69.003</v>
      </c>
      <c r="F2378" s="508">
        <v>66.233999999999995</v>
      </c>
      <c r="G2378" s="508">
        <v>66.236999999999995</v>
      </c>
      <c r="H2378" s="508">
        <v>66.234999999999999</v>
      </c>
      <c r="I2378" s="508">
        <v>66.238</v>
      </c>
      <c r="J2378" s="508">
        <v>86.054000000000002</v>
      </c>
      <c r="K2378" s="508">
        <v>86.042000000000002</v>
      </c>
      <c r="L2378" s="508">
        <v>85.980999999999995</v>
      </c>
      <c r="M2378" s="508">
        <v>86.016000000000005</v>
      </c>
      <c r="N2378" s="508">
        <v>89.626000000000005</v>
      </c>
      <c r="O2378" s="508">
        <v>89.61</v>
      </c>
      <c r="P2378" s="508">
        <v>89.588999999999999</v>
      </c>
      <c r="Q2378" s="508">
        <v>89.575000000000003</v>
      </c>
      <c r="R2378" s="508">
        <v>36.811</v>
      </c>
      <c r="S2378" s="508">
        <v>36.795999999999999</v>
      </c>
      <c r="T2378" s="508">
        <v>36.781999999999996</v>
      </c>
      <c r="U2378" s="508">
        <v>38.61</v>
      </c>
      <c r="V2378" s="508">
        <v>38.622999999999998</v>
      </c>
      <c r="W2378" s="508">
        <v>38.615000000000002</v>
      </c>
      <c r="X2378" s="508">
        <v>38.637999999999998</v>
      </c>
      <c r="Y2378" s="508">
        <v>38.637999999999998</v>
      </c>
      <c r="Z2378" s="508">
        <v>38.761000000000003</v>
      </c>
      <c r="AA2378" s="508">
        <v>38.768999999999998</v>
      </c>
      <c r="AB2378" s="508">
        <v>23.271000000000001</v>
      </c>
      <c r="AC2378" s="508">
        <v>23.27</v>
      </c>
      <c r="AD2378" s="508">
        <v>17.722000000000001</v>
      </c>
      <c r="AE2378" s="508">
        <v>17.687999999999999</v>
      </c>
      <c r="AF2378" s="508">
        <v>13.96</v>
      </c>
      <c r="AG2378" s="508">
        <v>13.94</v>
      </c>
      <c r="AH2378" s="508">
        <v>13.936999999999999</v>
      </c>
      <c r="AI2378" s="492">
        <v>13.936999999999999</v>
      </c>
      <c r="AJ2378" s="485"/>
    </row>
    <row r="2379" spans="2:36">
      <c r="B2379" s="136" t="s">
        <v>445</v>
      </c>
      <c r="C2379" s="132" t="s">
        <v>1372</v>
      </c>
      <c r="D2379" s="132" t="s">
        <v>282</v>
      </c>
      <c r="E2379" s="508">
        <v>72.582999999999998</v>
      </c>
      <c r="F2379" s="508">
        <v>69.781999999999996</v>
      </c>
      <c r="G2379" s="508">
        <v>69.784999999999997</v>
      </c>
      <c r="H2379" s="508">
        <v>69.783000000000001</v>
      </c>
      <c r="I2379" s="508">
        <v>69.786000000000001</v>
      </c>
      <c r="J2379" s="508">
        <v>90.078000000000003</v>
      </c>
      <c r="K2379" s="508">
        <v>90.066000000000003</v>
      </c>
      <c r="L2379" s="508">
        <v>89.998999999999995</v>
      </c>
      <c r="M2379" s="508">
        <v>90.037999999999997</v>
      </c>
      <c r="N2379" s="508">
        <v>93.768000000000001</v>
      </c>
      <c r="O2379" s="508">
        <v>93.75</v>
      </c>
      <c r="P2379" s="508">
        <v>93.728999999999999</v>
      </c>
      <c r="Q2379" s="508">
        <v>93.712999999999994</v>
      </c>
      <c r="R2379" s="508">
        <v>39.203000000000003</v>
      </c>
      <c r="S2379" s="508">
        <v>39.188000000000002</v>
      </c>
      <c r="T2379" s="508">
        <v>39.171999999999997</v>
      </c>
      <c r="U2379" s="508">
        <v>41.091999999999999</v>
      </c>
      <c r="V2379" s="508">
        <v>41.106000000000002</v>
      </c>
      <c r="W2379" s="508">
        <v>41.097000000000001</v>
      </c>
      <c r="X2379" s="508">
        <v>41.122</v>
      </c>
      <c r="Y2379" s="508">
        <v>41.122</v>
      </c>
      <c r="Z2379" s="508">
        <v>41.255000000000003</v>
      </c>
      <c r="AA2379" s="508">
        <v>41.264000000000003</v>
      </c>
      <c r="AB2379" s="508">
        <v>25</v>
      </c>
      <c r="AC2379" s="508">
        <v>24.998999999999999</v>
      </c>
      <c r="AD2379" s="508">
        <v>19.119</v>
      </c>
      <c r="AE2379" s="508">
        <v>19.084</v>
      </c>
      <c r="AF2379" s="508">
        <v>15.04</v>
      </c>
      <c r="AG2379" s="508">
        <v>15.021000000000001</v>
      </c>
      <c r="AH2379" s="508">
        <v>15.018000000000001</v>
      </c>
      <c r="AI2379" s="492">
        <v>15.018000000000001</v>
      </c>
      <c r="AJ2379" s="485"/>
    </row>
    <row r="2380" spans="2:36">
      <c r="B2380" s="136" t="s">
        <v>446</v>
      </c>
      <c r="C2380" s="132" t="s">
        <v>1372</v>
      </c>
      <c r="D2380" s="132" t="s">
        <v>282</v>
      </c>
      <c r="E2380" s="508">
        <v>69.832999999999998</v>
      </c>
      <c r="F2380" s="508">
        <v>69.831000000000003</v>
      </c>
      <c r="G2380" s="508">
        <v>69.832999999999998</v>
      </c>
      <c r="H2380" s="508">
        <v>69.831999999999994</v>
      </c>
      <c r="I2380" s="508">
        <v>69.834000000000003</v>
      </c>
      <c r="J2380" s="508">
        <v>90.977999999999994</v>
      </c>
      <c r="K2380" s="508">
        <v>90.984999999999999</v>
      </c>
      <c r="L2380" s="508">
        <v>90.938999999999993</v>
      </c>
      <c r="M2380" s="508">
        <v>90.995999999999995</v>
      </c>
      <c r="N2380" s="508">
        <v>94.885000000000005</v>
      </c>
      <c r="O2380" s="508">
        <v>94.891000000000005</v>
      </c>
      <c r="P2380" s="508">
        <v>94.891000000000005</v>
      </c>
      <c r="Q2380" s="508">
        <v>94.899000000000001</v>
      </c>
      <c r="R2380" s="508">
        <v>37.976999999999997</v>
      </c>
      <c r="S2380" s="508">
        <v>37.972999999999999</v>
      </c>
      <c r="T2380" s="508">
        <v>37.969000000000001</v>
      </c>
      <c r="U2380" s="508">
        <v>37.49</v>
      </c>
      <c r="V2380" s="508">
        <v>37.502000000000002</v>
      </c>
      <c r="W2380" s="508">
        <v>37.494999999999997</v>
      </c>
      <c r="X2380" s="508">
        <v>37.515000000000001</v>
      </c>
      <c r="Y2380" s="508">
        <v>37.515000000000001</v>
      </c>
      <c r="Z2380" s="508">
        <v>37.625</v>
      </c>
      <c r="AA2380" s="508">
        <v>37.633000000000003</v>
      </c>
      <c r="AB2380" s="508">
        <v>21.623999999999999</v>
      </c>
      <c r="AC2380" s="508">
        <v>21.623000000000001</v>
      </c>
      <c r="AD2380" s="508">
        <v>16.152999999999999</v>
      </c>
      <c r="AE2380" s="508">
        <v>16.138999999999999</v>
      </c>
      <c r="AF2380" s="508">
        <v>12.817</v>
      </c>
      <c r="AG2380" s="508">
        <v>12.817</v>
      </c>
      <c r="AH2380" s="508">
        <v>12.813000000000001</v>
      </c>
      <c r="AI2380" s="492">
        <v>12.813000000000001</v>
      </c>
      <c r="AJ2380" s="485"/>
    </row>
    <row r="2381" spans="2:36">
      <c r="B2381" s="136" t="s">
        <v>448</v>
      </c>
      <c r="C2381" s="132" t="s">
        <v>1372</v>
      </c>
      <c r="D2381" s="132" t="s">
        <v>282</v>
      </c>
      <c r="E2381" s="508">
        <v>70.424000000000007</v>
      </c>
      <c r="F2381" s="508">
        <v>68.891999999999996</v>
      </c>
      <c r="G2381" s="508">
        <v>68.894000000000005</v>
      </c>
      <c r="H2381" s="508">
        <v>68.891999999999996</v>
      </c>
      <c r="I2381" s="508">
        <v>68.894999999999996</v>
      </c>
      <c r="J2381" s="508">
        <v>90.78</v>
      </c>
      <c r="K2381" s="508">
        <v>90.784999999999997</v>
      </c>
      <c r="L2381" s="508">
        <v>90.742000000000004</v>
      </c>
      <c r="M2381" s="508">
        <v>90.792000000000002</v>
      </c>
      <c r="N2381" s="508">
        <v>94.792000000000002</v>
      </c>
      <c r="O2381" s="508">
        <v>94.795000000000002</v>
      </c>
      <c r="P2381" s="508">
        <v>94.793000000000006</v>
      </c>
      <c r="Q2381" s="508">
        <v>94.799000000000007</v>
      </c>
      <c r="R2381" s="508">
        <v>35.658999999999999</v>
      </c>
      <c r="S2381" s="508">
        <v>35.654000000000003</v>
      </c>
      <c r="T2381" s="508">
        <v>35.649000000000001</v>
      </c>
      <c r="U2381" s="508">
        <v>35.366</v>
      </c>
      <c r="V2381" s="508">
        <v>35.377000000000002</v>
      </c>
      <c r="W2381" s="508">
        <v>35.371000000000002</v>
      </c>
      <c r="X2381" s="508">
        <v>35.389000000000003</v>
      </c>
      <c r="Y2381" s="508">
        <v>35.389000000000003</v>
      </c>
      <c r="Z2381" s="508">
        <v>35.488999999999997</v>
      </c>
      <c r="AA2381" s="508">
        <v>35.494999999999997</v>
      </c>
      <c r="AB2381" s="508">
        <v>20.052</v>
      </c>
      <c r="AC2381" s="508">
        <v>20.050999999999998</v>
      </c>
      <c r="AD2381" s="508">
        <v>14.868</v>
      </c>
      <c r="AE2381" s="508">
        <v>14.848000000000001</v>
      </c>
      <c r="AF2381" s="508">
        <v>11.83</v>
      </c>
      <c r="AG2381" s="508">
        <v>11.821999999999999</v>
      </c>
      <c r="AH2381" s="508">
        <v>11.818</v>
      </c>
      <c r="AI2381" s="492">
        <v>11.818</v>
      </c>
      <c r="AJ2381" s="485"/>
    </row>
    <row r="2382" spans="2:36">
      <c r="B2382" s="136" t="s">
        <v>449</v>
      </c>
      <c r="C2382" s="132" t="s">
        <v>1372</v>
      </c>
      <c r="D2382" s="132" t="s">
        <v>282</v>
      </c>
      <c r="E2382" s="508">
        <v>69.001999999999995</v>
      </c>
      <c r="F2382" s="508">
        <v>69</v>
      </c>
      <c r="G2382" s="508">
        <v>69.001999999999995</v>
      </c>
      <c r="H2382" s="508">
        <v>69</v>
      </c>
      <c r="I2382" s="508">
        <v>69.003</v>
      </c>
      <c r="J2382" s="508">
        <v>89.742000000000004</v>
      </c>
      <c r="K2382" s="508">
        <v>89.734999999999999</v>
      </c>
      <c r="L2382" s="508">
        <v>89.677000000000007</v>
      </c>
      <c r="M2382" s="508">
        <v>89.718999999999994</v>
      </c>
      <c r="N2382" s="508">
        <v>93.516999999999996</v>
      </c>
      <c r="O2382" s="508">
        <v>93.507000000000005</v>
      </c>
      <c r="P2382" s="508">
        <v>93.491</v>
      </c>
      <c r="Q2382" s="508">
        <v>93.483000000000004</v>
      </c>
      <c r="R2382" s="508">
        <v>37.9</v>
      </c>
      <c r="S2382" s="508">
        <v>37.887999999999998</v>
      </c>
      <c r="T2382" s="508">
        <v>37.875999999999998</v>
      </c>
      <c r="U2382" s="508">
        <v>39.954000000000001</v>
      </c>
      <c r="V2382" s="508">
        <v>39.968000000000004</v>
      </c>
      <c r="W2382" s="508">
        <v>39.959000000000003</v>
      </c>
      <c r="X2382" s="508">
        <v>39.982999999999997</v>
      </c>
      <c r="Y2382" s="508">
        <v>39.982999999999997</v>
      </c>
      <c r="Z2382" s="508">
        <v>40.107999999999997</v>
      </c>
      <c r="AA2382" s="508">
        <v>40.116999999999997</v>
      </c>
      <c r="AB2382" s="508">
        <v>23.835000000000001</v>
      </c>
      <c r="AC2382" s="508">
        <v>23.834</v>
      </c>
      <c r="AD2382" s="508">
        <v>18.077999999999999</v>
      </c>
      <c r="AE2382" s="508">
        <v>18.062999999999999</v>
      </c>
      <c r="AF2382" s="508">
        <v>14.269</v>
      </c>
      <c r="AG2382" s="508">
        <v>14.269</v>
      </c>
      <c r="AH2382" s="508">
        <v>14.265000000000001</v>
      </c>
      <c r="AI2382" s="492">
        <v>14.266</v>
      </c>
      <c r="AJ2382" s="485"/>
    </row>
    <row r="2383" spans="2:36">
      <c r="B2383" s="136" t="s">
        <v>450</v>
      </c>
      <c r="C2383" s="132" t="s">
        <v>1372</v>
      </c>
      <c r="D2383" s="132" t="s">
        <v>282</v>
      </c>
      <c r="E2383" s="508">
        <v>74.331000000000003</v>
      </c>
      <c r="F2383" s="508">
        <v>70.700999999999993</v>
      </c>
      <c r="G2383" s="508">
        <v>70.703999999999994</v>
      </c>
      <c r="H2383" s="508">
        <v>70.701999999999998</v>
      </c>
      <c r="I2383" s="508">
        <v>70.703999999999994</v>
      </c>
      <c r="J2383" s="508">
        <v>93.155000000000001</v>
      </c>
      <c r="K2383" s="508">
        <v>93.161000000000001</v>
      </c>
      <c r="L2383" s="508">
        <v>93.117999999999995</v>
      </c>
      <c r="M2383" s="508">
        <v>93.171999999999997</v>
      </c>
      <c r="N2383" s="508">
        <v>97.263000000000005</v>
      </c>
      <c r="O2383" s="508">
        <v>97.268000000000001</v>
      </c>
      <c r="P2383" s="508">
        <v>97.268000000000001</v>
      </c>
      <c r="Q2383" s="508">
        <v>97.275000000000006</v>
      </c>
      <c r="R2383" s="508">
        <v>36.845999999999997</v>
      </c>
      <c r="S2383" s="508">
        <v>36.841999999999999</v>
      </c>
      <c r="T2383" s="508">
        <v>36.838000000000001</v>
      </c>
      <c r="U2383" s="508">
        <v>37.853999999999999</v>
      </c>
      <c r="V2383" s="508">
        <v>37.866</v>
      </c>
      <c r="W2383" s="508">
        <v>37.857999999999997</v>
      </c>
      <c r="X2383" s="508">
        <v>37.880000000000003</v>
      </c>
      <c r="Y2383" s="508">
        <v>37.880000000000003</v>
      </c>
      <c r="Z2383" s="508">
        <v>37.994999999999997</v>
      </c>
      <c r="AA2383" s="508">
        <v>38.003</v>
      </c>
      <c r="AB2383" s="508">
        <v>22.376999999999999</v>
      </c>
      <c r="AC2383" s="508">
        <v>22.376000000000001</v>
      </c>
      <c r="AD2383" s="508">
        <v>16.905999999999999</v>
      </c>
      <c r="AE2383" s="508">
        <v>16.861999999999998</v>
      </c>
      <c r="AF2383" s="508">
        <v>13.356</v>
      </c>
      <c r="AG2383" s="508">
        <v>13.324999999999999</v>
      </c>
      <c r="AH2383" s="508">
        <v>13.321</v>
      </c>
      <c r="AI2383" s="492">
        <v>13.321</v>
      </c>
      <c r="AJ2383" s="485"/>
    </row>
    <row r="2384" spans="2:36">
      <c r="B2384" s="136" t="s">
        <v>451</v>
      </c>
      <c r="C2384" s="132" t="s">
        <v>1372</v>
      </c>
      <c r="D2384" s="132" t="s">
        <v>282</v>
      </c>
      <c r="E2384" s="508">
        <v>75.242999999999995</v>
      </c>
      <c r="F2384" s="508">
        <v>71.616</v>
      </c>
      <c r="G2384" s="508">
        <v>71.617999999999995</v>
      </c>
      <c r="H2384" s="508">
        <v>71.617000000000004</v>
      </c>
      <c r="I2384" s="508">
        <v>71.619</v>
      </c>
      <c r="J2384" s="508">
        <v>92.85</v>
      </c>
      <c r="K2384" s="508">
        <v>92.849000000000004</v>
      </c>
      <c r="L2384" s="508">
        <v>92.793000000000006</v>
      </c>
      <c r="M2384" s="508">
        <v>92.844999999999999</v>
      </c>
      <c r="N2384" s="508">
        <v>96.762</v>
      </c>
      <c r="O2384" s="508">
        <v>96.759</v>
      </c>
      <c r="P2384" s="508">
        <v>96.75</v>
      </c>
      <c r="Q2384" s="508">
        <v>96.748999999999995</v>
      </c>
      <c r="R2384" s="508">
        <v>39.280999999999999</v>
      </c>
      <c r="S2384" s="508">
        <v>39.271999999999998</v>
      </c>
      <c r="T2384" s="508">
        <v>39.264000000000003</v>
      </c>
      <c r="U2384" s="508">
        <v>41.186999999999998</v>
      </c>
      <c r="V2384" s="508">
        <v>41.2</v>
      </c>
      <c r="W2384" s="508">
        <v>41.192</v>
      </c>
      <c r="X2384" s="508">
        <v>41.216999999999999</v>
      </c>
      <c r="Y2384" s="508">
        <v>41.216999999999999</v>
      </c>
      <c r="Z2384" s="508">
        <v>41.350999999999999</v>
      </c>
      <c r="AA2384" s="508">
        <v>41.359000000000002</v>
      </c>
      <c r="AB2384" s="508">
        <v>25.151</v>
      </c>
      <c r="AC2384" s="508">
        <v>25.15</v>
      </c>
      <c r="AD2384" s="508">
        <v>19.274999999999999</v>
      </c>
      <c r="AE2384" s="508">
        <v>19.228999999999999</v>
      </c>
      <c r="AF2384" s="508">
        <v>15.154</v>
      </c>
      <c r="AG2384" s="508">
        <v>15.124000000000001</v>
      </c>
      <c r="AH2384" s="508">
        <v>15.121</v>
      </c>
      <c r="AI2384" s="492">
        <v>15.121</v>
      </c>
      <c r="AJ2384" s="485"/>
    </row>
    <row r="2385" spans="2:36">
      <c r="B2385" s="136" t="s">
        <v>452</v>
      </c>
      <c r="C2385" s="132" t="s">
        <v>1372</v>
      </c>
      <c r="D2385" s="132" t="s">
        <v>282</v>
      </c>
      <c r="E2385" s="508">
        <v>74.185000000000002</v>
      </c>
      <c r="F2385" s="508">
        <v>70.869</v>
      </c>
      <c r="G2385" s="508">
        <v>70.870999999999995</v>
      </c>
      <c r="H2385" s="508">
        <v>70.869</v>
      </c>
      <c r="I2385" s="508">
        <v>70.872</v>
      </c>
      <c r="J2385" s="508">
        <v>92.820999999999998</v>
      </c>
      <c r="K2385" s="508">
        <v>92.834000000000003</v>
      </c>
      <c r="L2385" s="508">
        <v>92.796000000000006</v>
      </c>
      <c r="M2385" s="508">
        <v>92.856999999999999</v>
      </c>
      <c r="N2385" s="508">
        <v>96.882000000000005</v>
      </c>
      <c r="O2385" s="508">
        <v>96.894999999999996</v>
      </c>
      <c r="P2385" s="508">
        <v>96.903999999999996</v>
      </c>
      <c r="Q2385" s="508">
        <v>96.92</v>
      </c>
      <c r="R2385" s="508">
        <v>37.856000000000002</v>
      </c>
      <c r="S2385" s="508">
        <v>37.856000000000002</v>
      </c>
      <c r="T2385" s="508">
        <v>37.856000000000002</v>
      </c>
      <c r="U2385" s="508">
        <v>40.253999999999998</v>
      </c>
      <c r="V2385" s="508">
        <v>40.268000000000001</v>
      </c>
      <c r="W2385" s="508">
        <v>40.259</v>
      </c>
      <c r="X2385" s="508">
        <v>40.283000000000001</v>
      </c>
      <c r="Y2385" s="508">
        <v>40.283999999999999</v>
      </c>
      <c r="Z2385" s="508">
        <v>40.414000000000001</v>
      </c>
      <c r="AA2385" s="508">
        <v>40.421999999999997</v>
      </c>
      <c r="AB2385" s="508">
        <v>24.498000000000001</v>
      </c>
      <c r="AC2385" s="508">
        <v>24.497</v>
      </c>
      <c r="AD2385" s="508">
        <v>18.744</v>
      </c>
      <c r="AE2385" s="508">
        <v>18.701000000000001</v>
      </c>
      <c r="AF2385" s="508">
        <v>14.744</v>
      </c>
      <c r="AG2385" s="508">
        <v>14.717000000000001</v>
      </c>
      <c r="AH2385" s="508">
        <v>14.712999999999999</v>
      </c>
      <c r="AI2385" s="492">
        <v>14.712999999999999</v>
      </c>
      <c r="AJ2385" s="485"/>
    </row>
    <row r="2386" spans="2:36">
      <c r="B2386" s="136" t="s">
        <v>453</v>
      </c>
      <c r="C2386" s="132" t="s">
        <v>1372</v>
      </c>
      <c r="D2386" s="132" t="s">
        <v>282</v>
      </c>
      <c r="E2386" s="508">
        <v>71.495999999999995</v>
      </c>
      <c r="F2386" s="508">
        <v>68.048000000000002</v>
      </c>
      <c r="G2386" s="508">
        <v>68.05</v>
      </c>
      <c r="H2386" s="508">
        <v>68.049000000000007</v>
      </c>
      <c r="I2386" s="508">
        <v>68.05</v>
      </c>
      <c r="J2386" s="508">
        <v>89.813000000000002</v>
      </c>
      <c r="K2386" s="508">
        <v>89.805999999999997</v>
      </c>
      <c r="L2386" s="508">
        <v>89.753</v>
      </c>
      <c r="M2386" s="508">
        <v>89.79</v>
      </c>
      <c r="N2386" s="508">
        <v>93.733000000000004</v>
      </c>
      <c r="O2386" s="508">
        <v>93.722999999999999</v>
      </c>
      <c r="P2386" s="508">
        <v>93.707999999999998</v>
      </c>
      <c r="Q2386" s="508">
        <v>93.7</v>
      </c>
      <c r="R2386" s="508">
        <v>35.198</v>
      </c>
      <c r="S2386" s="508">
        <v>35.186999999999998</v>
      </c>
      <c r="T2386" s="508">
        <v>35.176000000000002</v>
      </c>
      <c r="U2386" s="508">
        <v>36.975999999999999</v>
      </c>
      <c r="V2386" s="508">
        <v>36.987000000000002</v>
      </c>
      <c r="W2386" s="508">
        <v>36.979999999999997</v>
      </c>
      <c r="X2386" s="508">
        <v>37</v>
      </c>
      <c r="Y2386" s="508">
        <v>37.000999999999998</v>
      </c>
      <c r="Z2386" s="508">
        <v>37.110999999999997</v>
      </c>
      <c r="AA2386" s="508">
        <v>37.118000000000002</v>
      </c>
      <c r="AB2386" s="508">
        <v>21.657</v>
      </c>
      <c r="AC2386" s="508">
        <v>21.655999999999999</v>
      </c>
      <c r="AD2386" s="508">
        <v>16.295000000000002</v>
      </c>
      <c r="AE2386" s="508">
        <v>16.253</v>
      </c>
      <c r="AF2386" s="508">
        <v>12.891999999999999</v>
      </c>
      <c r="AG2386" s="508">
        <v>12.863</v>
      </c>
      <c r="AH2386" s="508">
        <v>12.858000000000001</v>
      </c>
      <c r="AI2386" s="492">
        <v>12.858000000000001</v>
      </c>
      <c r="AJ2386" s="485"/>
    </row>
    <row r="2387" spans="2:36">
      <c r="B2387" s="136" t="s">
        <v>454</v>
      </c>
      <c r="C2387" s="132" t="s">
        <v>1372</v>
      </c>
      <c r="D2387" s="132" t="s">
        <v>282</v>
      </c>
      <c r="E2387" s="508">
        <v>71.325999999999993</v>
      </c>
      <c r="F2387" s="508">
        <v>68.725999999999999</v>
      </c>
      <c r="G2387" s="508">
        <v>68.727999999999994</v>
      </c>
      <c r="H2387" s="508">
        <v>68.725999999999999</v>
      </c>
      <c r="I2387" s="508">
        <v>68.728999999999999</v>
      </c>
      <c r="J2387" s="508">
        <v>90.438999999999993</v>
      </c>
      <c r="K2387" s="508">
        <v>90.43</v>
      </c>
      <c r="L2387" s="508">
        <v>90.375</v>
      </c>
      <c r="M2387" s="508">
        <v>90.412000000000006</v>
      </c>
      <c r="N2387" s="508">
        <v>94.361000000000004</v>
      </c>
      <c r="O2387" s="508">
        <v>94.349000000000004</v>
      </c>
      <c r="P2387" s="508">
        <v>94.331000000000003</v>
      </c>
      <c r="Q2387" s="508">
        <v>94.322000000000003</v>
      </c>
      <c r="R2387" s="508">
        <v>35.822000000000003</v>
      </c>
      <c r="S2387" s="508">
        <v>35.811</v>
      </c>
      <c r="T2387" s="508">
        <v>35.798999999999999</v>
      </c>
      <c r="U2387" s="508">
        <v>37.786000000000001</v>
      </c>
      <c r="V2387" s="508">
        <v>37.798000000000002</v>
      </c>
      <c r="W2387" s="508">
        <v>37.790999999999997</v>
      </c>
      <c r="X2387" s="508">
        <v>37.811</v>
      </c>
      <c r="Y2387" s="508">
        <v>37.811999999999998</v>
      </c>
      <c r="Z2387" s="508">
        <v>37.926000000000002</v>
      </c>
      <c r="AA2387" s="508">
        <v>37.933</v>
      </c>
      <c r="AB2387" s="508">
        <v>22.204000000000001</v>
      </c>
      <c r="AC2387" s="508">
        <v>22.204000000000001</v>
      </c>
      <c r="AD2387" s="508">
        <v>16.734999999999999</v>
      </c>
      <c r="AE2387" s="508">
        <v>16.702999999999999</v>
      </c>
      <c r="AF2387" s="508">
        <v>13.237</v>
      </c>
      <c r="AG2387" s="508">
        <v>13.218999999999999</v>
      </c>
      <c r="AH2387" s="508">
        <v>13.214</v>
      </c>
      <c r="AI2387" s="492">
        <v>13.214</v>
      </c>
      <c r="AJ2387" s="485"/>
    </row>
    <row r="2388" spans="2:36">
      <c r="B2388" s="136" t="s">
        <v>455</v>
      </c>
      <c r="C2388" s="132" t="s">
        <v>1372</v>
      </c>
      <c r="D2388" s="132" t="s">
        <v>282</v>
      </c>
      <c r="E2388" s="508">
        <v>73.108999999999995</v>
      </c>
      <c r="F2388" s="508">
        <v>70.679000000000002</v>
      </c>
      <c r="G2388" s="508">
        <v>70.680999999999997</v>
      </c>
      <c r="H2388" s="508">
        <v>70.679000000000002</v>
      </c>
      <c r="I2388" s="508">
        <v>70.682000000000002</v>
      </c>
      <c r="J2388" s="508">
        <v>93.652000000000001</v>
      </c>
      <c r="K2388" s="508">
        <v>93.66</v>
      </c>
      <c r="L2388" s="508">
        <v>93.622</v>
      </c>
      <c r="M2388" s="508">
        <v>93.674999999999997</v>
      </c>
      <c r="N2388" s="508">
        <v>97.869</v>
      </c>
      <c r="O2388" s="508">
        <v>97.878</v>
      </c>
      <c r="P2388" s="508">
        <v>97.881</v>
      </c>
      <c r="Q2388" s="508">
        <v>97.891000000000005</v>
      </c>
      <c r="R2388" s="508">
        <v>35.56</v>
      </c>
      <c r="S2388" s="508">
        <v>35.558</v>
      </c>
      <c r="T2388" s="508">
        <v>35.555999999999997</v>
      </c>
      <c r="U2388" s="508">
        <v>37.777999999999999</v>
      </c>
      <c r="V2388" s="508">
        <v>37.79</v>
      </c>
      <c r="W2388" s="508">
        <v>37.783000000000001</v>
      </c>
      <c r="X2388" s="508">
        <v>37.804000000000002</v>
      </c>
      <c r="Y2388" s="508">
        <v>37.804000000000002</v>
      </c>
      <c r="Z2388" s="508">
        <v>37.921999999999997</v>
      </c>
      <c r="AA2388" s="508">
        <v>37.93</v>
      </c>
      <c r="AB2388" s="508">
        <v>22.518000000000001</v>
      </c>
      <c r="AC2388" s="508">
        <v>22.516999999999999</v>
      </c>
      <c r="AD2388" s="508">
        <v>17.088999999999999</v>
      </c>
      <c r="AE2388" s="508">
        <v>17.056999999999999</v>
      </c>
      <c r="AF2388" s="508">
        <v>13.489000000000001</v>
      </c>
      <c r="AG2388" s="508">
        <v>13.471</v>
      </c>
      <c r="AH2388" s="508">
        <v>13.467000000000001</v>
      </c>
      <c r="AI2388" s="492">
        <v>13.467000000000001</v>
      </c>
      <c r="AJ2388" s="485"/>
    </row>
    <row r="2389" spans="2:36">
      <c r="B2389" s="136" t="s">
        <v>456</v>
      </c>
      <c r="C2389" s="132" t="s">
        <v>1372</v>
      </c>
      <c r="D2389" s="132" t="s">
        <v>282</v>
      </c>
      <c r="E2389" s="508">
        <v>69.727000000000004</v>
      </c>
      <c r="F2389" s="508">
        <v>69.022000000000006</v>
      </c>
      <c r="G2389" s="508">
        <v>69.024000000000001</v>
      </c>
      <c r="H2389" s="508">
        <v>69.022000000000006</v>
      </c>
      <c r="I2389" s="508">
        <v>69.025000000000006</v>
      </c>
      <c r="J2389" s="508">
        <v>90.83</v>
      </c>
      <c r="K2389" s="508">
        <v>90.837999999999994</v>
      </c>
      <c r="L2389" s="508">
        <v>90.795000000000002</v>
      </c>
      <c r="M2389" s="508">
        <v>90.846999999999994</v>
      </c>
      <c r="N2389" s="508">
        <v>94.838999999999999</v>
      </c>
      <c r="O2389" s="508">
        <v>94.843999999999994</v>
      </c>
      <c r="P2389" s="508">
        <v>94.844999999999999</v>
      </c>
      <c r="Q2389" s="508">
        <v>94.852999999999994</v>
      </c>
      <c r="R2389" s="508">
        <v>35.966000000000001</v>
      </c>
      <c r="S2389" s="508">
        <v>35.962000000000003</v>
      </c>
      <c r="T2389" s="508">
        <v>35.957999999999998</v>
      </c>
      <c r="U2389" s="508">
        <v>35.697000000000003</v>
      </c>
      <c r="V2389" s="508">
        <v>35.707999999999998</v>
      </c>
      <c r="W2389" s="508">
        <v>35.701000000000001</v>
      </c>
      <c r="X2389" s="508">
        <v>35.72</v>
      </c>
      <c r="Y2389" s="508">
        <v>35.72</v>
      </c>
      <c r="Z2389" s="508">
        <v>35.820999999999998</v>
      </c>
      <c r="AA2389" s="508">
        <v>35.828000000000003</v>
      </c>
      <c r="AB2389" s="508">
        <v>20.276</v>
      </c>
      <c r="AC2389" s="508">
        <v>20.274999999999999</v>
      </c>
      <c r="AD2389" s="508">
        <v>15.045</v>
      </c>
      <c r="AE2389" s="508">
        <v>15.029</v>
      </c>
      <c r="AF2389" s="508">
        <v>11.968999999999999</v>
      </c>
      <c r="AG2389" s="508">
        <v>11.965</v>
      </c>
      <c r="AH2389" s="508">
        <v>11.961</v>
      </c>
      <c r="AI2389" s="492">
        <v>11.961</v>
      </c>
      <c r="AJ2389" s="485"/>
    </row>
    <row r="2390" spans="2:36">
      <c r="B2390" s="136" t="s">
        <v>457</v>
      </c>
      <c r="C2390" s="132" t="s">
        <v>1372</v>
      </c>
      <c r="D2390" s="132" t="s">
        <v>282</v>
      </c>
      <c r="E2390" s="508">
        <v>70.989000000000004</v>
      </c>
      <c r="F2390" s="508">
        <v>67.143000000000001</v>
      </c>
      <c r="G2390" s="508">
        <v>67.144999999999996</v>
      </c>
      <c r="H2390" s="508">
        <v>67.143000000000001</v>
      </c>
      <c r="I2390" s="508">
        <v>67.146000000000001</v>
      </c>
      <c r="J2390" s="508">
        <v>88.843000000000004</v>
      </c>
      <c r="K2390" s="508">
        <v>88.846999999999994</v>
      </c>
      <c r="L2390" s="508">
        <v>88.807000000000002</v>
      </c>
      <c r="M2390" s="508">
        <v>88.852999999999994</v>
      </c>
      <c r="N2390" s="508">
        <v>92.79</v>
      </c>
      <c r="O2390" s="508">
        <v>92.792000000000002</v>
      </c>
      <c r="P2390" s="508">
        <v>92.790999999999997</v>
      </c>
      <c r="Q2390" s="508">
        <v>92.795000000000002</v>
      </c>
      <c r="R2390" s="508">
        <v>34.481999999999999</v>
      </c>
      <c r="S2390" s="508">
        <v>34.476999999999997</v>
      </c>
      <c r="T2390" s="508">
        <v>34.472999999999999</v>
      </c>
      <c r="U2390" s="508">
        <v>33.902000000000001</v>
      </c>
      <c r="V2390" s="508">
        <v>33.911000000000001</v>
      </c>
      <c r="W2390" s="508">
        <v>33.905000000000001</v>
      </c>
      <c r="X2390" s="508">
        <v>33.921999999999997</v>
      </c>
      <c r="Y2390" s="508">
        <v>33.923000000000002</v>
      </c>
      <c r="Z2390" s="508">
        <v>34.015999999999998</v>
      </c>
      <c r="AA2390" s="508">
        <v>34.021999999999998</v>
      </c>
      <c r="AB2390" s="508">
        <v>19.122</v>
      </c>
      <c r="AC2390" s="508">
        <v>19.122</v>
      </c>
      <c r="AD2390" s="508">
        <v>14.135999999999999</v>
      </c>
      <c r="AE2390" s="508">
        <v>14.093</v>
      </c>
      <c r="AF2390" s="508">
        <v>11.25</v>
      </c>
      <c r="AG2390" s="508">
        <v>11.218</v>
      </c>
      <c r="AH2390" s="508">
        <v>11.214</v>
      </c>
      <c r="AI2390" s="492">
        <v>11.214</v>
      </c>
      <c r="AJ2390" s="485"/>
    </row>
    <row r="2391" spans="2:36">
      <c r="B2391" s="136" t="s">
        <v>458</v>
      </c>
      <c r="C2391" s="132" t="s">
        <v>1372</v>
      </c>
      <c r="D2391" s="132" t="s">
        <v>282</v>
      </c>
      <c r="E2391" s="508">
        <v>72.738</v>
      </c>
      <c r="F2391" s="508">
        <v>70.066000000000003</v>
      </c>
      <c r="G2391" s="508">
        <v>70.067999999999998</v>
      </c>
      <c r="H2391" s="508">
        <v>70.066999999999993</v>
      </c>
      <c r="I2391" s="508">
        <v>70.069000000000003</v>
      </c>
      <c r="J2391" s="508">
        <v>91.777000000000001</v>
      </c>
      <c r="K2391" s="508">
        <v>91.769000000000005</v>
      </c>
      <c r="L2391" s="508">
        <v>91.712000000000003</v>
      </c>
      <c r="M2391" s="508">
        <v>91.751000000000005</v>
      </c>
      <c r="N2391" s="508">
        <v>95.734999999999999</v>
      </c>
      <c r="O2391" s="508">
        <v>95.722999999999999</v>
      </c>
      <c r="P2391" s="508">
        <v>95.706999999999994</v>
      </c>
      <c r="Q2391" s="508">
        <v>95.697000000000003</v>
      </c>
      <c r="R2391" s="508">
        <v>36.665999999999997</v>
      </c>
      <c r="S2391" s="508">
        <v>36.654000000000003</v>
      </c>
      <c r="T2391" s="508">
        <v>36.642000000000003</v>
      </c>
      <c r="U2391" s="508">
        <v>37.43</v>
      </c>
      <c r="V2391" s="508">
        <v>37.441000000000003</v>
      </c>
      <c r="W2391" s="508">
        <v>37.433999999999997</v>
      </c>
      <c r="X2391" s="508">
        <v>37.454999999999998</v>
      </c>
      <c r="Y2391" s="508">
        <v>37.454999999999998</v>
      </c>
      <c r="Z2391" s="508">
        <v>37.567</v>
      </c>
      <c r="AA2391" s="508">
        <v>37.573999999999998</v>
      </c>
      <c r="AB2391" s="508">
        <v>21.882999999999999</v>
      </c>
      <c r="AC2391" s="508">
        <v>21.882000000000001</v>
      </c>
      <c r="AD2391" s="508">
        <v>16.463000000000001</v>
      </c>
      <c r="AE2391" s="508">
        <v>16.431000000000001</v>
      </c>
      <c r="AF2391" s="508">
        <v>13.032999999999999</v>
      </c>
      <c r="AG2391" s="508">
        <v>13.015000000000001</v>
      </c>
      <c r="AH2391" s="508">
        <v>13.010999999999999</v>
      </c>
      <c r="AI2391" s="492">
        <v>13.010999999999999</v>
      </c>
      <c r="AJ2391" s="485"/>
    </row>
    <row r="2392" spans="2:36">
      <c r="B2392" s="136" t="s">
        <v>459</v>
      </c>
      <c r="C2392" s="132" t="s">
        <v>1372</v>
      </c>
      <c r="D2392" s="132" t="s">
        <v>282</v>
      </c>
      <c r="E2392" s="508">
        <v>74.361999999999995</v>
      </c>
      <c r="F2392" s="508">
        <v>70.721000000000004</v>
      </c>
      <c r="G2392" s="508">
        <v>70.722999999999999</v>
      </c>
      <c r="H2392" s="508">
        <v>70.721000000000004</v>
      </c>
      <c r="I2392" s="508">
        <v>70.724000000000004</v>
      </c>
      <c r="J2392" s="508">
        <v>92.587000000000003</v>
      </c>
      <c r="K2392" s="508">
        <v>92.573999999999998</v>
      </c>
      <c r="L2392" s="508">
        <v>92.513000000000005</v>
      </c>
      <c r="M2392" s="508">
        <v>92.546999999999997</v>
      </c>
      <c r="N2392" s="508">
        <v>96.551000000000002</v>
      </c>
      <c r="O2392" s="508">
        <v>96.533000000000001</v>
      </c>
      <c r="P2392" s="508">
        <v>96.510999999999996</v>
      </c>
      <c r="Q2392" s="508">
        <v>96.495000000000005</v>
      </c>
      <c r="R2392" s="508">
        <v>37.064999999999998</v>
      </c>
      <c r="S2392" s="508">
        <v>37.049999999999997</v>
      </c>
      <c r="T2392" s="508">
        <v>37.036000000000001</v>
      </c>
      <c r="U2392" s="508">
        <v>38.78</v>
      </c>
      <c r="V2392" s="508">
        <v>38.792000000000002</v>
      </c>
      <c r="W2392" s="508">
        <v>38.783999999999999</v>
      </c>
      <c r="X2392" s="508">
        <v>38.807000000000002</v>
      </c>
      <c r="Y2392" s="508">
        <v>38.807000000000002</v>
      </c>
      <c r="Z2392" s="508">
        <v>38.927</v>
      </c>
      <c r="AA2392" s="508">
        <v>38.935000000000002</v>
      </c>
      <c r="AB2392" s="508">
        <v>23.123000000000001</v>
      </c>
      <c r="AC2392" s="508">
        <v>23.122</v>
      </c>
      <c r="AD2392" s="508">
        <v>17.547000000000001</v>
      </c>
      <c r="AE2392" s="508">
        <v>17.501999999999999</v>
      </c>
      <c r="AF2392" s="508">
        <v>13.846</v>
      </c>
      <c r="AG2392" s="508">
        <v>13.815</v>
      </c>
      <c r="AH2392" s="508">
        <v>13.811</v>
      </c>
      <c r="AI2392" s="492">
        <v>13.811</v>
      </c>
      <c r="AJ2392" s="485"/>
    </row>
    <row r="2393" spans="2:36">
      <c r="B2393" s="136" t="s">
        <v>460</v>
      </c>
      <c r="C2393" s="132" t="s">
        <v>1372</v>
      </c>
      <c r="D2393" s="132" t="s">
        <v>282</v>
      </c>
      <c r="E2393" s="508">
        <v>76.513999999999996</v>
      </c>
      <c r="F2393" s="508">
        <v>72.611000000000004</v>
      </c>
      <c r="G2393" s="508">
        <v>72.614000000000004</v>
      </c>
      <c r="H2393" s="508">
        <v>72.611000000000004</v>
      </c>
      <c r="I2393" s="508">
        <v>72.614000000000004</v>
      </c>
      <c r="J2393" s="508">
        <v>95.21</v>
      </c>
      <c r="K2393" s="508">
        <v>95.224000000000004</v>
      </c>
      <c r="L2393" s="508">
        <v>95.185000000000002</v>
      </c>
      <c r="M2393" s="508">
        <v>95.245999999999995</v>
      </c>
      <c r="N2393" s="508">
        <v>99.397999999999996</v>
      </c>
      <c r="O2393" s="508">
        <v>99.41</v>
      </c>
      <c r="P2393" s="508">
        <v>99.418000000000006</v>
      </c>
      <c r="Q2393" s="508">
        <v>99.433999999999997</v>
      </c>
      <c r="R2393" s="508">
        <v>38.26</v>
      </c>
      <c r="S2393" s="508">
        <v>38.259</v>
      </c>
      <c r="T2393" s="508">
        <v>38.259</v>
      </c>
      <c r="U2393" s="508">
        <v>40.659999999999997</v>
      </c>
      <c r="V2393" s="508">
        <v>40.673999999999999</v>
      </c>
      <c r="W2393" s="508">
        <v>40.664999999999999</v>
      </c>
      <c r="X2393" s="508">
        <v>40.69</v>
      </c>
      <c r="Y2393" s="508">
        <v>40.69</v>
      </c>
      <c r="Z2393" s="508">
        <v>40.820999999999998</v>
      </c>
      <c r="AA2393" s="508">
        <v>40.829000000000001</v>
      </c>
      <c r="AB2393" s="508">
        <v>24.739000000000001</v>
      </c>
      <c r="AC2393" s="508">
        <v>24.736999999999998</v>
      </c>
      <c r="AD2393" s="508">
        <v>18.931999999999999</v>
      </c>
      <c r="AE2393" s="508">
        <v>18.88</v>
      </c>
      <c r="AF2393" s="508">
        <v>14.891999999999999</v>
      </c>
      <c r="AG2393" s="508">
        <v>14.856</v>
      </c>
      <c r="AH2393" s="508">
        <v>14.852</v>
      </c>
      <c r="AI2393" s="492">
        <v>14.852</v>
      </c>
      <c r="AJ2393" s="485"/>
    </row>
    <row r="2394" spans="2:36">
      <c r="B2394" s="136" t="s">
        <v>461</v>
      </c>
      <c r="C2394" s="132" t="s">
        <v>1372</v>
      </c>
      <c r="D2394" s="132" t="s">
        <v>282</v>
      </c>
      <c r="E2394" s="508">
        <v>77.436999999999998</v>
      </c>
      <c r="F2394" s="508">
        <v>72.986999999999995</v>
      </c>
      <c r="G2394" s="508">
        <v>72.989000000000004</v>
      </c>
      <c r="H2394" s="508">
        <v>72.988</v>
      </c>
      <c r="I2394" s="508">
        <v>72.989999999999995</v>
      </c>
      <c r="J2394" s="508">
        <v>95.594999999999999</v>
      </c>
      <c r="K2394" s="508">
        <v>95.625</v>
      </c>
      <c r="L2394" s="508">
        <v>95.599000000000004</v>
      </c>
      <c r="M2394" s="508">
        <v>95.677999999999997</v>
      </c>
      <c r="N2394" s="508">
        <v>99.844999999999999</v>
      </c>
      <c r="O2394" s="508">
        <v>99.876000000000005</v>
      </c>
      <c r="P2394" s="508">
        <v>99.903000000000006</v>
      </c>
      <c r="Q2394" s="508">
        <v>99.936999999999998</v>
      </c>
      <c r="R2394" s="508">
        <v>38.957000000000001</v>
      </c>
      <c r="S2394" s="508">
        <v>38.965000000000003</v>
      </c>
      <c r="T2394" s="508">
        <v>38.972999999999999</v>
      </c>
      <c r="U2394" s="508">
        <v>36.284999999999997</v>
      </c>
      <c r="V2394" s="508">
        <v>36.295999999999999</v>
      </c>
      <c r="W2394" s="508">
        <v>36.289000000000001</v>
      </c>
      <c r="X2394" s="508">
        <v>36.308</v>
      </c>
      <c r="Y2394" s="508">
        <v>36.308</v>
      </c>
      <c r="Z2394" s="508">
        <v>36.412999999999997</v>
      </c>
      <c r="AA2394" s="508">
        <v>36.42</v>
      </c>
      <c r="AB2394" s="508">
        <v>20.902000000000001</v>
      </c>
      <c r="AC2394" s="508">
        <v>20.901</v>
      </c>
      <c r="AD2394" s="508">
        <v>15.603999999999999</v>
      </c>
      <c r="AE2394" s="508">
        <v>15.555999999999999</v>
      </c>
      <c r="AF2394" s="508">
        <v>12.375</v>
      </c>
      <c r="AG2394" s="508">
        <v>12.339</v>
      </c>
      <c r="AH2394" s="508">
        <v>12.335000000000001</v>
      </c>
      <c r="AI2394" s="492">
        <v>12.335000000000001</v>
      </c>
      <c r="AJ2394" s="485"/>
    </row>
    <row r="2395" spans="2:36">
      <c r="B2395" s="136" t="s">
        <v>462</v>
      </c>
      <c r="C2395" s="132" t="s">
        <v>1372</v>
      </c>
      <c r="D2395" s="132" t="s">
        <v>282</v>
      </c>
      <c r="E2395" s="508">
        <v>67.792000000000002</v>
      </c>
      <c r="F2395" s="508">
        <v>66.596999999999994</v>
      </c>
      <c r="G2395" s="508">
        <v>66.599999999999994</v>
      </c>
      <c r="H2395" s="508">
        <v>66.597999999999999</v>
      </c>
      <c r="I2395" s="508">
        <v>66.600999999999999</v>
      </c>
      <c r="J2395" s="508">
        <v>87.652000000000001</v>
      </c>
      <c r="K2395" s="508">
        <v>87.661000000000001</v>
      </c>
      <c r="L2395" s="508">
        <v>87.620999999999995</v>
      </c>
      <c r="M2395" s="508">
        <v>87.674000000000007</v>
      </c>
      <c r="N2395" s="508">
        <v>91.51</v>
      </c>
      <c r="O2395" s="508">
        <v>91.518000000000001</v>
      </c>
      <c r="P2395" s="508">
        <v>91.52</v>
      </c>
      <c r="Q2395" s="508">
        <v>91.528999999999996</v>
      </c>
      <c r="R2395" s="508">
        <v>35.204000000000001</v>
      </c>
      <c r="S2395" s="508">
        <v>35.201000000000001</v>
      </c>
      <c r="T2395" s="508">
        <v>35.198999999999998</v>
      </c>
      <c r="U2395" s="508">
        <v>34.887999999999998</v>
      </c>
      <c r="V2395" s="508">
        <v>34.898000000000003</v>
      </c>
      <c r="W2395" s="508">
        <v>34.892000000000003</v>
      </c>
      <c r="X2395" s="508">
        <v>34.909999999999997</v>
      </c>
      <c r="Y2395" s="508">
        <v>34.909999999999997</v>
      </c>
      <c r="Z2395" s="508">
        <v>35.009</v>
      </c>
      <c r="AA2395" s="508">
        <v>35.015000000000001</v>
      </c>
      <c r="AB2395" s="508">
        <v>19.815999999999999</v>
      </c>
      <c r="AC2395" s="508">
        <v>19.815000000000001</v>
      </c>
      <c r="AD2395" s="508">
        <v>14.695</v>
      </c>
      <c r="AE2395" s="508">
        <v>14.677</v>
      </c>
      <c r="AF2395" s="508">
        <v>11.688000000000001</v>
      </c>
      <c r="AG2395" s="508">
        <v>11.682</v>
      </c>
      <c r="AH2395" s="508">
        <v>11.678000000000001</v>
      </c>
      <c r="AI2395" s="492">
        <v>11.678000000000001</v>
      </c>
      <c r="AJ2395" s="485"/>
    </row>
    <row r="2396" spans="2:36">
      <c r="B2396" s="136" t="s">
        <v>463</v>
      </c>
      <c r="C2396" s="132" t="s">
        <v>1372</v>
      </c>
      <c r="D2396" s="132" t="s">
        <v>282</v>
      </c>
      <c r="E2396" s="508">
        <v>72.177999999999997</v>
      </c>
      <c r="F2396" s="508">
        <v>69.662999999999997</v>
      </c>
      <c r="G2396" s="508">
        <v>69.665000000000006</v>
      </c>
      <c r="H2396" s="508">
        <v>69.662999999999997</v>
      </c>
      <c r="I2396" s="508">
        <v>69.665999999999997</v>
      </c>
      <c r="J2396" s="508">
        <v>91.992000000000004</v>
      </c>
      <c r="K2396" s="508">
        <v>91.981999999999999</v>
      </c>
      <c r="L2396" s="508">
        <v>91.927000000000007</v>
      </c>
      <c r="M2396" s="508">
        <v>91.962000000000003</v>
      </c>
      <c r="N2396" s="508">
        <v>96.031999999999996</v>
      </c>
      <c r="O2396" s="508">
        <v>96.018000000000001</v>
      </c>
      <c r="P2396" s="508">
        <v>96.001000000000005</v>
      </c>
      <c r="Q2396" s="508">
        <v>95.99</v>
      </c>
      <c r="R2396" s="508">
        <v>35.351999999999997</v>
      </c>
      <c r="S2396" s="508">
        <v>35.340000000000003</v>
      </c>
      <c r="T2396" s="508">
        <v>35.328000000000003</v>
      </c>
      <c r="U2396" s="508">
        <v>37.212000000000003</v>
      </c>
      <c r="V2396" s="508">
        <v>37.223999999999997</v>
      </c>
      <c r="W2396" s="508">
        <v>37.216999999999999</v>
      </c>
      <c r="X2396" s="508">
        <v>37.237000000000002</v>
      </c>
      <c r="Y2396" s="508">
        <v>37.238</v>
      </c>
      <c r="Z2396" s="508">
        <v>37.348999999999997</v>
      </c>
      <c r="AA2396" s="508">
        <v>37.356000000000002</v>
      </c>
      <c r="AB2396" s="508">
        <v>21.786999999999999</v>
      </c>
      <c r="AC2396" s="508">
        <v>21.786999999999999</v>
      </c>
      <c r="AD2396" s="508">
        <v>16.405000000000001</v>
      </c>
      <c r="AE2396" s="508">
        <v>16.373999999999999</v>
      </c>
      <c r="AF2396" s="508">
        <v>12.984999999999999</v>
      </c>
      <c r="AG2396" s="508">
        <v>12.967000000000001</v>
      </c>
      <c r="AH2396" s="508">
        <v>12.962999999999999</v>
      </c>
      <c r="AI2396" s="492">
        <v>12.962999999999999</v>
      </c>
      <c r="AJ2396" s="485"/>
    </row>
    <row r="2397" spans="2:36">
      <c r="B2397" s="136" t="s">
        <v>464</v>
      </c>
      <c r="C2397" s="132" t="s">
        <v>1372</v>
      </c>
      <c r="D2397" s="132" t="s">
        <v>282</v>
      </c>
      <c r="E2397" s="508">
        <v>73.95</v>
      </c>
      <c r="F2397" s="508">
        <v>70.075000000000003</v>
      </c>
      <c r="G2397" s="508">
        <v>70.076999999999998</v>
      </c>
      <c r="H2397" s="508">
        <v>70.075000000000003</v>
      </c>
      <c r="I2397" s="508">
        <v>70.078000000000003</v>
      </c>
      <c r="J2397" s="508">
        <v>92.94</v>
      </c>
      <c r="K2397" s="508">
        <v>92.947000000000003</v>
      </c>
      <c r="L2397" s="508">
        <v>92.906999999999996</v>
      </c>
      <c r="M2397" s="508">
        <v>92.956000000000003</v>
      </c>
      <c r="N2397" s="508">
        <v>97.103999999999999</v>
      </c>
      <c r="O2397" s="508">
        <v>97.108999999999995</v>
      </c>
      <c r="P2397" s="508">
        <v>97.11</v>
      </c>
      <c r="Q2397" s="508">
        <v>97.117000000000004</v>
      </c>
      <c r="R2397" s="508">
        <v>35.51</v>
      </c>
      <c r="S2397" s="508">
        <v>35.506999999999998</v>
      </c>
      <c r="T2397" s="508">
        <v>35.503</v>
      </c>
      <c r="U2397" s="508">
        <v>36.454000000000001</v>
      </c>
      <c r="V2397" s="508">
        <v>36.465000000000003</v>
      </c>
      <c r="W2397" s="508">
        <v>36.457999999999998</v>
      </c>
      <c r="X2397" s="508">
        <v>36.478000000000002</v>
      </c>
      <c r="Y2397" s="508">
        <v>36.478000000000002</v>
      </c>
      <c r="Z2397" s="508">
        <v>36.587000000000003</v>
      </c>
      <c r="AA2397" s="508">
        <v>36.593000000000004</v>
      </c>
      <c r="AB2397" s="508">
        <v>21.338999999999999</v>
      </c>
      <c r="AC2397" s="508">
        <v>21.338000000000001</v>
      </c>
      <c r="AD2397" s="508">
        <v>16.053999999999998</v>
      </c>
      <c r="AE2397" s="508">
        <v>16.004999999999999</v>
      </c>
      <c r="AF2397" s="508">
        <v>12.701000000000001</v>
      </c>
      <c r="AG2397" s="508">
        <v>12.664999999999999</v>
      </c>
      <c r="AH2397" s="508">
        <v>12.66</v>
      </c>
      <c r="AI2397" s="492">
        <v>12.66</v>
      </c>
      <c r="AJ2397" s="485"/>
    </row>
    <row r="2398" spans="2:36">
      <c r="B2398" s="136" t="s">
        <v>465</v>
      </c>
      <c r="C2398" s="132" t="s">
        <v>1372</v>
      </c>
      <c r="D2398" s="132" t="s">
        <v>282</v>
      </c>
      <c r="E2398" s="508">
        <v>72.69</v>
      </c>
      <c r="F2398" s="508">
        <v>69.512</v>
      </c>
      <c r="G2398" s="508">
        <v>69.513000000000005</v>
      </c>
      <c r="H2398" s="508">
        <v>69.512</v>
      </c>
      <c r="I2398" s="508">
        <v>69.515000000000001</v>
      </c>
      <c r="J2398" s="508">
        <v>92.031000000000006</v>
      </c>
      <c r="K2398" s="508">
        <v>92.022999999999996</v>
      </c>
      <c r="L2398" s="508">
        <v>91.971000000000004</v>
      </c>
      <c r="M2398" s="508">
        <v>92.007000000000005</v>
      </c>
      <c r="N2398" s="508">
        <v>96.094999999999999</v>
      </c>
      <c r="O2398" s="508">
        <v>96.082999999999998</v>
      </c>
      <c r="P2398" s="508">
        <v>96.069000000000003</v>
      </c>
      <c r="Q2398" s="508">
        <v>96.06</v>
      </c>
      <c r="R2398" s="508">
        <v>35.119</v>
      </c>
      <c r="S2398" s="508">
        <v>35.107999999999997</v>
      </c>
      <c r="T2398" s="508">
        <v>35.097000000000001</v>
      </c>
      <c r="U2398" s="508">
        <v>36.972999999999999</v>
      </c>
      <c r="V2398" s="508">
        <v>36.984000000000002</v>
      </c>
      <c r="W2398" s="508">
        <v>36.976999999999997</v>
      </c>
      <c r="X2398" s="508">
        <v>36.997</v>
      </c>
      <c r="Y2398" s="508">
        <v>36.997</v>
      </c>
      <c r="Z2398" s="508">
        <v>37.106999999999999</v>
      </c>
      <c r="AA2398" s="508">
        <v>37.113999999999997</v>
      </c>
      <c r="AB2398" s="508">
        <v>21.542999999999999</v>
      </c>
      <c r="AC2398" s="508">
        <v>21.542000000000002</v>
      </c>
      <c r="AD2398" s="508">
        <v>16.18</v>
      </c>
      <c r="AE2398" s="508">
        <v>16.140999999999998</v>
      </c>
      <c r="AF2398" s="508">
        <v>12.813000000000001</v>
      </c>
      <c r="AG2398" s="508">
        <v>12.788</v>
      </c>
      <c r="AH2398" s="508">
        <v>12.784000000000001</v>
      </c>
      <c r="AI2398" s="492">
        <v>12.784000000000001</v>
      </c>
      <c r="AJ2398" s="485"/>
    </row>
    <row r="2399" spans="2:36">
      <c r="B2399" s="136" t="s">
        <v>466</v>
      </c>
      <c r="C2399" s="132" t="s">
        <v>1372</v>
      </c>
      <c r="D2399" s="132" t="s">
        <v>282</v>
      </c>
      <c r="E2399" s="508">
        <v>72.248000000000005</v>
      </c>
      <c r="F2399" s="508">
        <v>70.611999999999995</v>
      </c>
      <c r="G2399" s="508">
        <v>70.614000000000004</v>
      </c>
      <c r="H2399" s="508">
        <v>70.611999999999995</v>
      </c>
      <c r="I2399" s="508">
        <v>70.614999999999995</v>
      </c>
      <c r="J2399" s="508">
        <v>92.370999999999995</v>
      </c>
      <c r="K2399" s="508">
        <v>92.364000000000004</v>
      </c>
      <c r="L2399" s="508">
        <v>92.305000000000007</v>
      </c>
      <c r="M2399" s="508">
        <v>92.346000000000004</v>
      </c>
      <c r="N2399" s="508">
        <v>96.325999999999993</v>
      </c>
      <c r="O2399" s="508">
        <v>96.314999999999998</v>
      </c>
      <c r="P2399" s="508">
        <v>96.298000000000002</v>
      </c>
      <c r="Q2399" s="508">
        <v>96.289000000000001</v>
      </c>
      <c r="R2399" s="508">
        <v>37.505000000000003</v>
      </c>
      <c r="S2399" s="508">
        <v>37.493000000000002</v>
      </c>
      <c r="T2399" s="508">
        <v>37.481000000000002</v>
      </c>
      <c r="U2399" s="508">
        <v>39.597999999999999</v>
      </c>
      <c r="V2399" s="508">
        <v>39.610999999999997</v>
      </c>
      <c r="W2399" s="508">
        <v>39.603000000000002</v>
      </c>
      <c r="X2399" s="508">
        <v>39.625999999999998</v>
      </c>
      <c r="Y2399" s="508">
        <v>39.625999999999998</v>
      </c>
      <c r="Z2399" s="508">
        <v>39.749000000000002</v>
      </c>
      <c r="AA2399" s="508">
        <v>39.756</v>
      </c>
      <c r="AB2399" s="508">
        <v>23.483000000000001</v>
      </c>
      <c r="AC2399" s="508">
        <v>23.483000000000001</v>
      </c>
      <c r="AD2399" s="508">
        <v>17.771999999999998</v>
      </c>
      <c r="AE2399" s="508">
        <v>17.747</v>
      </c>
      <c r="AF2399" s="508">
        <v>14.039</v>
      </c>
      <c r="AG2399" s="508">
        <v>14.029</v>
      </c>
      <c r="AH2399" s="508">
        <v>14.026</v>
      </c>
      <c r="AI2399" s="492">
        <v>14.026</v>
      </c>
      <c r="AJ2399" s="485"/>
    </row>
    <row r="2400" spans="2:36">
      <c r="B2400" s="136" t="s">
        <v>467</v>
      </c>
      <c r="C2400" s="132" t="s">
        <v>1372</v>
      </c>
      <c r="D2400" s="132" t="s">
        <v>282</v>
      </c>
      <c r="E2400" s="508">
        <v>71.528000000000006</v>
      </c>
      <c r="F2400" s="508">
        <v>67.721000000000004</v>
      </c>
      <c r="G2400" s="508">
        <v>67.722999999999999</v>
      </c>
      <c r="H2400" s="508">
        <v>67.721999999999994</v>
      </c>
      <c r="I2400" s="508">
        <v>67.724999999999994</v>
      </c>
      <c r="J2400" s="508">
        <v>88.849000000000004</v>
      </c>
      <c r="K2400" s="508">
        <v>88.841999999999999</v>
      </c>
      <c r="L2400" s="508">
        <v>88.789000000000001</v>
      </c>
      <c r="M2400" s="508">
        <v>88.826999999999998</v>
      </c>
      <c r="N2400" s="508">
        <v>92.671000000000006</v>
      </c>
      <c r="O2400" s="508">
        <v>92.661000000000001</v>
      </c>
      <c r="P2400" s="508">
        <v>92.646000000000001</v>
      </c>
      <c r="Q2400" s="508">
        <v>92.638000000000005</v>
      </c>
      <c r="R2400" s="508">
        <v>35.850999999999999</v>
      </c>
      <c r="S2400" s="508">
        <v>35.840000000000003</v>
      </c>
      <c r="T2400" s="508">
        <v>35.829000000000001</v>
      </c>
      <c r="U2400" s="508">
        <v>36.823999999999998</v>
      </c>
      <c r="V2400" s="508">
        <v>36.835000000000001</v>
      </c>
      <c r="W2400" s="508">
        <v>36.828000000000003</v>
      </c>
      <c r="X2400" s="508">
        <v>36.848999999999997</v>
      </c>
      <c r="Y2400" s="508">
        <v>36.848999999999997</v>
      </c>
      <c r="Z2400" s="508">
        <v>36.96</v>
      </c>
      <c r="AA2400" s="508">
        <v>36.966999999999999</v>
      </c>
      <c r="AB2400" s="508">
        <v>21.678000000000001</v>
      </c>
      <c r="AC2400" s="508">
        <v>21.677</v>
      </c>
      <c r="AD2400" s="508">
        <v>16.346</v>
      </c>
      <c r="AE2400" s="508">
        <v>16.3</v>
      </c>
      <c r="AF2400" s="508">
        <v>12.92</v>
      </c>
      <c r="AG2400" s="508">
        <v>12.887</v>
      </c>
      <c r="AH2400" s="508">
        <v>12.882999999999999</v>
      </c>
      <c r="AI2400" s="492">
        <v>12.882999999999999</v>
      </c>
      <c r="AJ2400" s="485"/>
    </row>
    <row r="2401" spans="2:36">
      <c r="B2401" s="136" t="s">
        <v>468</v>
      </c>
      <c r="C2401" s="132" t="s">
        <v>1372</v>
      </c>
      <c r="D2401" s="132" t="s">
        <v>282</v>
      </c>
      <c r="E2401" s="508">
        <v>71.203000000000003</v>
      </c>
      <c r="F2401" s="508">
        <v>68.66</v>
      </c>
      <c r="G2401" s="508">
        <v>68.662000000000006</v>
      </c>
      <c r="H2401" s="508">
        <v>68.66</v>
      </c>
      <c r="I2401" s="508">
        <v>68.662000000000006</v>
      </c>
      <c r="J2401" s="508">
        <v>91.546999999999997</v>
      </c>
      <c r="K2401" s="508">
        <v>91.533000000000001</v>
      </c>
      <c r="L2401" s="508">
        <v>91.478999999999999</v>
      </c>
      <c r="M2401" s="508">
        <v>91.506</v>
      </c>
      <c r="N2401" s="508">
        <v>95.653000000000006</v>
      </c>
      <c r="O2401" s="508">
        <v>95.635999999999996</v>
      </c>
      <c r="P2401" s="508">
        <v>95.614000000000004</v>
      </c>
      <c r="Q2401" s="508">
        <v>95.599000000000004</v>
      </c>
      <c r="R2401" s="508">
        <v>33.313000000000002</v>
      </c>
      <c r="S2401" s="508">
        <v>33.299999999999997</v>
      </c>
      <c r="T2401" s="508">
        <v>33.286999999999999</v>
      </c>
      <c r="U2401" s="508">
        <v>35.093000000000004</v>
      </c>
      <c r="V2401" s="508">
        <v>35.103999999999999</v>
      </c>
      <c r="W2401" s="508">
        <v>35.097000000000001</v>
      </c>
      <c r="X2401" s="508">
        <v>35.116</v>
      </c>
      <c r="Y2401" s="508">
        <v>35.116</v>
      </c>
      <c r="Z2401" s="508">
        <v>35.219000000000001</v>
      </c>
      <c r="AA2401" s="508">
        <v>35.225999999999999</v>
      </c>
      <c r="AB2401" s="508">
        <v>20.32</v>
      </c>
      <c r="AC2401" s="508">
        <v>20.318999999999999</v>
      </c>
      <c r="AD2401" s="508">
        <v>15.227</v>
      </c>
      <c r="AE2401" s="508">
        <v>15.196</v>
      </c>
      <c r="AF2401" s="508">
        <v>12.074999999999999</v>
      </c>
      <c r="AG2401" s="508">
        <v>12.055999999999999</v>
      </c>
      <c r="AH2401" s="508">
        <v>12.051</v>
      </c>
      <c r="AI2401" s="492">
        <v>12.051</v>
      </c>
      <c r="AJ2401" s="485"/>
    </row>
    <row r="2402" spans="2:36">
      <c r="B2402" s="136" t="s">
        <v>469</v>
      </c>
      <c r="C2402" s="132" t="s">
        <v>1372</v>
      </c>
      <c r="D2402" s="132" t="s">
        <v>282</v>
      </c>
      <c r="E2402" s="508">
        <v>70.951999999999998</v>
      </c>
      <c r="F2402" s="508">
        <v>68.673000000000002</v>
      </c>
      <c r="G2402" s="508">
        <v>68.674999999999997</v>
      </c>
      <c r="H2402" s="508">
        <v>68.674000000000007</v>
      </c>
      <c r="I2402" s="508">
        <v>68.676000000000002</v>
      </c>
      <c r="J2402" s="508">
        <v>90.808999999999997</v>
      </c>
      <c r="K2402" s="508">
        <v>90.801000000000002</v>
      </c>
      <c r="L2402" s="508">
        <v>90.748999999999995</v>
      </c>
      <c r="M2402" s="508">
        <v>90.784999999999997</v>
      </c>
      <c r="N2402" s="508">
        <v>94.802000000000007</v>
      </c>
      <c r="O2402" s="508">
        <v>94.790999999999997</v>
      </c>
      <c r="P2402" s="508">
        <v>94.775999999999996</v>
      </c>
      <c r="Q2402" s="508">
        <v>94.768000000000001</v>
      </c>
      <c r="R2402" s="508">
        <v>35.055999999999997</v>
      </c>
      <c r="S2402" s="508">
        <v>35.045000000000002</v>
      </c>
      <c r="T2402" s="508">
        <v>35.033999999999999</v>
      </c>
      <c r="U2402" s="508">
        <v>37.029000000000003</v>
      </c>
      <c r="V2402" s="508">
        <v>37.04</v>
      </c>
      <c r="W2402" s="508">
        <v>37.033000000000001</v>
      </c>
      <c r="X2402" s="508">
        <v>37.052999999999997</v>
      </c>
      <c r="Y2402" s="508">
        <v>37.052999999999997</v>
      </c>
      <c r="Z2402" s="508">
        <v>37.164000000000001</v>
      </c>
      <c r="AA2402" s="508">
        <v>37.170999999999999</v>
      </c>
      <c r="AB2402" s="508">
        <v>21.614000000000001</v>
      </c>
      <c r="AC2402" s="508">
        <v>21.613</v>
      </c>
      <c r="AD2402" s="508">
        <v>16.244</v>
      </c>
      <c r="AE2402" s="508">
        <v>16.216000000000001</v>
      </c>
      <c r="AF2402" s="508">
        <v>12.863</v>
      </c>
      <c r="AG2402" s="508">
        <v>12.848000000000001</v>
      </c>
      <c r="AH2402" s="508">
        <v>12.843</v>
      </c>
      <c r="AI2402" s="492">
        <v>12.843</v>
      </c>
      <c r="AJ2402" s="485"/>
    </row>
    <row r="2403" spans="2:36">
      <c r="B2403" s="136" t="s">
        <v>470</v>
      </c>
      <c r="C2403" s="132" t="s">
        <v>1372</v>
      </c>
      <c r="D2403" s="132" t="s">
        <v>282</v>
      </c>
      <c r="E2403" s="508">
        <v>73.906999999999996</v>
      </c>
      <c r="F2403" s="508">
        <v>70.331999999999994</v>
      </c>
      <c r="G2403" s="508">
        <v>70.334000000000003</v>
      </c>
      <c r="H2403" s="508">
        <v>70.332999999999998</v>
      </c>
      <c r="I2403" s="508">
        <v>70.334999999999994</v>
      </c>
      <c r="J2403" s="508">
        <v>91.838999999999999</v>
      </c>
      <c r="K2403" s="508">
        <v>91.835999999999999</v>
      </c>
      <c r="L2403" s="508">
        <v>91.783000000000001</v>
      </c>
      <c r="M2403" s="508">
        <v>91.828000000000003</v>
      </c>
      <c r="N2403" s="508">
        <v>95.774000000000001</v>
      </c>
      <c r="O2403" s="508">
        <v>95.769000000000005</v>
      </c>
      <c r="P2403" s="508">
        <v>95.757999999999996</v>
      </c>
      <c r="Q2403" s="508">
        <v>95.754999999999995</v>
      </c>
      <c r="R2403" s="508">
        <v>37.576999999999998</v>
      </c>
      <c r="S2403" s="508">
        <v>37.567999999999998</v>
      </c>
      <c r="T2403" s="508">
        <v>37.558999999999997</v>
      </c>
      <c r="U2403" s="508">
        <v>38.162999999999997</v>
      </c>
      <c r="V2403" s="508">
        <v>38.174999999999997</v>
      </c>
      <c r="W2403" s="508">
        <v>38.167999999999999</v>
      </c>
      <c r="X2403" s="508">
        <v>38.189</v>
      </c>
      <c r="Y2403" s="508">
        <v>38.189</v>
      </c>
      <c r="Z2403" s="508">
        <v>38.304000000000002</v>
      </c>
      <c r="AA2403" s="508">
        <v>38.311999999999998</v>
      </c>
      <c r="AB2403" s="508">
        <v>22.433</v>
      </c>
      <c r="AC2403" s="508">
        <v>22.431999999999999</v>
      </c>
      <c r="AD2403" s="508">
        <v>16.908000000000001</v>
      </c>
      <c r="AE2403" s="508">
        <v>16.867000000000001</v>
      </c>
      <c r="AF2403" s="508">
        <v>13.37</v>
      </c>
      <c r="AG2403" s="508">
        <v>13.343</v>
      </c>
      <c r="AH2403" s="508">
        <v>13.337999999999999</v>
      </c>
      <c r="AI2403" s="492">
        <v>13.339</v>
      </c>
      <c r="AJ2403" s="485"/>
    </row>
    <row r="2404" spans="2:36">
      <c r="B2404" s="136" t="s">
        <v>471</v>
      </c>
      <c r="C2404" s="132" t="s">
        <v>1372</v>
      </c>
      <c r="D2404" s="132" t="s">
        <v>282</v>
      </c>
      <c r="E2404" s="508">
        <v>70.736000000000004</v>
      </c>
      <c r="F2404" s="508">
        <v>68.72</v>
      </c>
      <c r="G2404" s="508">
        <v>68.722999999999999</v>
      </c>
      <c r="H2404" s="508">
        <v>68.721000000000004</v>
      </c>
      <c r="I2404" s="508">
        <v>68.724000000000004</v>
      </c>
      <c r="J2404" s="508">
        <v>90.004000000000005</v>
      </c>
      <c r="K2404" s="508">
        <v>90.012</v>
      </c>
      <c r="L2404" s="508">
        <v>89.97</v>
      </c>
      <c r="M2404" s="508">
        <v>90.024000000000001</v>
      </c>
      <c r="N2404" s="508">
        <v>93.924999999999997</v>
      </c>
      <c r="O2404" s="508">
        <v>93.932000000000002</v>
      </c>
      <c r="P2404" s="508">
        <v>93.933000000000007</v>
      </c>
      <c r="Q2404" s="508">
        <v>93.941999999999993</v>
      </c>
      <c r="R2404" s="508">
        <v>36.677999999999997</v>
      </c>
      <c r="S2404" s="508">
        <v>36.674999999999997</v>
      </c>
      <c r="T2404" s="508">
        <v>36.671999999999997</v>
      </c>
      <c r="U2404" s="508">
        <v>36.256999999999998</v>
      </c>
      <c r="V2404" s="508">
        <v>36.268000000000001</v>
      </c>
      <c r="W2404" s="508">
        <v>36.261000000000003</v>
      </c>
      <c r="X2404" s="508">
        <v>36.28</v>
      </c>
      <c r="Y2404" s="508">
        <v>36.28</v>
      </c>
      <c r="Z2404" s="508">
        <v>36.384</v>
      </c>
      <c r="AA2404" s="508">
        <v>36.390999999999998</v>
      </c>
      <c r="AB2404" s="508">
        <v>20.745000000000001</v>
      </c>
      <c r="AC2404" s="508">
        <v>20.744</v>
      </c>
      <c r="AD2404" s="508">
        <v>15.44</v>
      </c>
      <c r="AE2404" s="508">
        <v>15.416</v>
      </c>
      <c r="AF2404" s="508">
        <v>12.263999999999999</v>
      </c>
      <c r="AG2404" s="508">
        <v>12.253</v>
      </c>
      <c r="AH2404" s="508">
        <v>12.249000000000001</v>
      </c>
      <c r="AI2404" s="492">
        <v>12.249000000000001</v>
      </c>
      <c r="AJ2404" s="485"/>
    </row>
    <row r="2405" spans="2:36">
      <c r="B2405" s="136" t="s">
        <v>472</v>
      </c>
      <c r="C2405" s="132" t="s">
        <v>1372</v>
      </c>
      <c r="D2405" s="132" t="s">
        <v>282</v>
      </c>
      <c r="E2405" s="508">
        <v>75.585999999999999</v>
      </c>
      <c r="F2405" s="508">
        <v>71.131</v>
      </c>
      <c r="G2405" s="508">
        <v>71.132999999999996</v>
      </c>
      <c r="H2405" s="508">
        <v>71.132000000000005</v>
      </c>
      <c r="I2405" s="508">
        <v>71.134</v>
      </c>
      <c r="J2405" s="508">
        <v>94.084000000000003</v>
      </c>
      <c r="K2405" s="508">
        <v>94.113</v>
      </c>
      <c r="L2405" s="508">
        <v>94.091999999999999</v>
      </c>
      <c r="M2405" s="508">
        <v>94.165000000000006</v>
      </c>
      <c r="N2405" s="508">
        <v>98.358999999999995</v>
      </c>
      <c r="O2405" s="508">
        <v>98.39</v>
      </c>
      <c r="P2405" s="508">
        <v>98.417000000000002</v>
      </c>
      <c r="Q2405" s="508">
        <v>98.450999999999993</v>
      </c>
      <c r="R2405" s="508">
        <v>36.664999999999999</v>
      </c>
      <c r="S2405" s="508">
        <v>36.673000000000002</v>
      </c>
      <c r="T2405" s="508">
        <v>36.680999999999997</v>
      </c>
      <c r="U2405" s="508">
        <v>34.201000000000001</v>
      </c>
      <c r="V2405" s="508">
        <v>34.210999999999999</v>
      </c>
      <c r="W2405" s="508">
        <v>34.204999999999998</v>
      </c>
      <c r="X2405" s="508">
        <v>34.222000000000001</v>
      </c>
      <c r="Y2405" s="508">
        <v>34.222000000000001</v>
      </c>
      <c r="Z2405" s="508">
        <v>34.317</v>
      </c>
      <c r="AA2405" s="508">
        <v>34.323</v>
      </c>
      <c r="AB2405" s="508">
        <v>19.423999999999999</v>
      </c>
      <c r="AC2405" s="508">
        <v>19.423999999999999</v>
      </c>
      <c r="AD2405" s="508">
        <v>14.406000000000001</v>
      </c>
      <c r="AE2405" s="508">
        <v>14.355</v>
      </c>
      <c r="AF2405" s="508">
        <v>11.45</v>
      </c>
      <c r="AG2405" s="508">
        <v>11.411</v>
      </c>
      <c r="AH2405" s="508">
        <v>11.406000000000001</v>
      </c>
      <c r="AI2405" s="492">
        <v>11.406000000000001</v>
      </c>
      <c r="AJ2405" s="485"/>
    </row>
    <row r="2406" spans="2:36">
      <c r="B2406" s="136" t="s">
        <v>473</v>
      </c>
      <c r="C2406" s="132" t="s">
        <v>1372</v>
      </c>
      <c r="D2406" s="132" t="s">
        <v>282</v>
      </c>
      <c r="E2406" s="508">
        <v>75.531000000000006</v>
      </c>
      <c r="F2406" s="508">
        <v>72.024000000000001</v>
      </c>
      <c r="G2406" s="508">
        <v>72.025999999999996</v>
      </c>
      <c r="H2406" s="508">
        <v>72.024000000000001</v>
      </c>
      <c r="I2406" s="508">
        <v>72.027000000000001</v>
      </c>
      <c r="J2406" s="508">
        <v>94.111000000000004</v>
      </c>
      <c r="K2406" s="508">
        <v>94.126000000000005</v>
      </c>
      <c r="L2406" s="508">
        <v>94.087999999999994</v>
      </c>
      <c r="M2406" s="508">
        <v>94.152000000000001</v>
      </c>
      <c r="N2406" s="508">
        <v>98.215999999999994</v>
      </c>
      <c r="O2406" s="508">
        <v>98.230999999999995</v>
      </c>
      <c r="P2406" s="508">
        <v>98.241</v>
      </c>
      <c r="Q2406" s="508">
        <v>98.259</v>
      </c>
      <c r="R2406" s="508">
        <v>38.703000000000003</v>
      </c>
      <c r="S2406" s="508">
        <v>38.704000000000001</v>
      </c>
      <c r="T2406" s="508">
        <v>38.704999999999998</v>
      </c>
      <c r="U2406" s="508">
        <v>41.238999999999997</v>
      </c>
      <c r="V2406" s="508">
        <v>41.253</v>
      </c>
      <c r="W2406" s="508">
        <v>41.244</v>
      </c>
      <c r="X2406" s="508">
        <v>41.268999999999998</v>
      </c>
      <c r="Y2406" s="508">
        <v>41.268999999999998</v>
      </c>
      <c r="Z2406" s="508">
        <v>41.402999999999999</v>
      </c>
      <c r="AA2406" s="508">
        <v>41.411999999999999</v>
      </c>
      <c r="AB2406" s="508">
        <v>25.2</v>
      </c>
      <c r="AC2406" s="508">
        <v>25.199000000000002</v>
      </c>
      <c r="AD2406" s="508">
        <v>19.317</v>
      </c>
      <c r="AE2406" s="508">
        <v>19.271000000000001</v>
      </c>
      <c r="AF2406" s="508">
        <v>15.185</v>
      </c>
      <c r="AG2406" s="508">
        <v>15.156000000000001</v>
      </c>
      <c r="AH2406" s="508">
        <v>15.151999999999999</v>
      </c>
      <c r="AI2406" s="492">
        <v>15.151999999999999</v>
      </c>
      <c r="AJ2406" s="485"/>
    </row>
    <row r="2407" spans="2:36">
      <c r="B2407" s="136" t="s">
        <v>474</v>
      </c>
      <c r="C2407" s="132" t="s">
        <v>1372</v>
      </c>
      <c r="D2407" s="132" t="s">
        <v>282</v>
      </c>
      <c r="E2407" s="508">
        <v>70.524000000000001</v>
      </c>
      <c r="F2407" s="508">
        <v>68.707999999999998</v>
      </c>
      <c r="G2407" s="508">
        <v>68.709999999999994</v>
      </c>
      <c r="H2407" s="508">
        <v>68.709000000000003</v>
      </c>
      <c r="I2407" s="508">
        <v>68.712000000000003</v>
      </c>
      <c r="J2407" s="508">
        <v>90.346999999999994</v>
      </c>
      <c r="K2407" s="508">
        <v>90.34</v>
      </c>
      <c r="L2407" s="508">
        <v>90.284999999999997</v>
      </c>
      <c r="M2407" s="508">
        <v>90.323999999999998</v>
      </c>
      <c r="N2407" s="508">
        <v>94.262</v>
      </c>
      <c r="O2407" s="508">
        <v>94.251000000000005</v>
      </c>
      <c r="P2407" s="508">
        <v>94.236999999999995</v>
      </c>
      <c r="Q2407" s="508">
        <v>94.227999999999994</v>
      </c>
      <c r="R2407" s="508">
        <v>35.988</v>
      </c>
      <c r="S2407" s="508">
        <v>35.976999999999997</v>
      </c>
      <c r="T2407" s="508">
        <v>35.966000000000001</v>
      </c>
      <c r="U2407" s="508">
        <v>38.012</v>
      </c>
      <c r="V2407" s="508">
        <v>38.024000000000001</v>
      </c>
      <c r="W2407" s="508">
        <v>38.015999999999998</v>
      </c>
      <c r="X2407" s="508">
        <v>38.037999999999997</v>
      </c>
      <c r="Y2407" s="508">
        <v>38.037999999999997</v>
      </c>
      <c r="Z2407" s="508">
        <v>38.154000000000003</v>
      </c>
      <c r="AA2407" s="508">
        <v>38.161000000000001</v>
      </c>
      <c r="AB2407" s="508">
        <v>22.364000000000001</v>
      </c>
      <c r="AC2407" s="508">
        <v>22.363</v>
      </c>
      <c r="AD2407" s="508">
        <v>16.864000000000001</v>
      </c>
      <c r="AE2407" s="508">
        <v>16.838999999999999</v>
      </c>
      <c r="AF2407" s="508">
        <v>13.337</v>
      </c>
      <c r="AG2407" s="508">
        <v>13.326000000000001</v>
      </c>
      <c r="AH2407" s="508">
        <v>13.321999999999999</v>
      </c>
      <c r="AI2407" s="492">
        <v>13.321999999999999</v>
      </c>
      <c r="AJ2407" s="485"/>
    </row>
    <row r="2408" spans="2:36">
      <c r="B2408" s="136" t="s">
        <v>475</v>
      </c>
      <c r="C2408" s="132" t="s">
        <v>1372</v>
      </c>
      <c r="D2408" s="132" t="s">
        <v>282</v>
      </c>
      <c r="E2408" s="508">
        <v>73.994</v>
      </c>
      <c r="F2408" s="508">
        <v>70.721000000000004</v>
      </c>
      <c r="G2408" s="508">
        <v>70.722999999999999</v>
      </c>
      <c r="H2408" s="508">
        <v>70.721999999999994</v>
      </c>
      <c r="I2408" s="508">
        <v>70.724999999999994</v>
      </c>
      <c r="J2408" s="508">
        <v>93.046000000000006</v>
      </c>
      <c r="K2408" s="508">
        <v>93.05</v>
      </c>
      <c r="L2408" s="508">
        <v>93.004999999999995</v>
      </c>
      <c r="M2408" s="508">
        <v>93.055999999999997</v>
      </c>
      <c r="N2408" s="508">
        <v>97.13</v>
      </c>
      <c r="O2408" s="508">
        <v>97.132999999999996</v>
      </c>
      <c r="P2408" s="508">
        <v>97.131</v>
      </c>
      <c r="Q2408" s="508">
        <v>97.135999999999996</v>
      </c>
      <c r="R2408" s="508">
        <v>37.002000000000002</v>
      </c>
      <c r="S2408" s="508">
        <v>36.996000000000002</v>
      </c>
      <c r="T2408" s="508">
        <v>36.991999999999997</v>
      </c>
      <c r="U2408" s="508">
        <v>38.165999999999997</v>
      </c>
      <c r="V2408" s="508">
        <v>38.177999999999997</v>
      </c>
      <c r="W2408" s="508">
        <v>38.17</v>
      </c>
      <c r="X2408" s="508">
        <v>38.192</v>
      </c>
      <c r="Y2408" s="508">
        <v>38.192</v>
      </c>
      <c r="Z2408" s="508">
        <v>38.308999999999997</v>
      </c>
      <c r="AA2408" s="508">
        <v>38.316000000000003</v>
      </c>
      <c r="AB2408" s="508">
        <v>22.594000000000001</v>
      </c>
      <c r="AC2408" s="508">
        <v>22.593</v>
      </c>
      <c r="AD2408" s="508">
        <v>17.084</v>
      </c>
      <c r="AE2408" s="508">
        <v>17.044</v>
      </c>
      <c r="AF2408" s="508">
        <v>13.494</v>
      </c>
      <c r="AG2408" s="508">
        <v>13.468999999999999</v>
      </c>
      <c r="AH2408" s="508">
        <v>13.465</v>
      </c>
      <c r="AI2408" s="492">
        <v>13.465</v>
      </c>
      <c r="AJ2408" s="485"/>
    </row>
    <row r="2409" spans="2:36">
      <c r="B2409" s="136" t="s">
        <v>476</v>
      </c>
      <c r="C2409" s="132" t="s">
        <v>1372</v>
      </c>
      <c r="D2409" s="132" t="s">
        <v>282</v>
      </c>
      <c r="E2409" s="508">
        <v>73.981999999999999</v>
      </c>
      <c r="F2409" s="508">
        <v>70.676000000000002</v>
      </c>
      <c r="G2409" s="508">
        <v>70.677999999999997</v>
      </c>
      <c r="H2409" s="508">
        <v>70.677000000000007</v>
      </c>
      <c r="I2409" s="508">
        <v>70.679000000000002</v>
      </c>
      <c r="J2409" s="508">
        <v>92.748000000000005</v>
      </c>
      <c r="K2409" s="508">
        <v>92.753</v>
      </c>
      <c r="L2409" s="508">
        <v>92.706999999999994</v>
      </c>
      <c r="M2409" s="508">
        <v>92.757999999999996</v>
      </c>
      <c r="N2409" s="508">
        <v>96.801000000000002</v>
      </c>
      <c r="O2409" s="508">
        <v>96.802999999999997</v>
      </c>
      <c r="P2409" s="508">
        <v>96.802000000000007</v>
      </c>
      <c r="Q2409" s="508">
        <v>96.807000000000002</v>
      </c>
      <c r="R2409" s="508">
        <v>37.078000000000003</v>
      </c>
      <c r="S2409" s="508">
        <v>37.072000000000003</v>
      </c>
      <c r="T2409" s="508">
        <v>37.067</v>
      </c>
      <c r="U2409" s="508">
        <v>37.884999999999998</v>
      </c>
      <c r="V2409" s="508">
        <v>37.896999999999998</v>
      </c>
      <c r="W2409" s="508">
        <v>37.889000000000003</v>
      </c>
      <c r="X2409" s="508">
        <v>37.909999999999997</v>
      </c>
      <c r="Y2409" s="508">
        <v>37.911000000000001</v>
      </c>
      <c r="Z2409" s="508">
        <v>38.024999999999999</v>
      </c>
      <c r="AA2409" s="508">
        <v>38.031999999999996</v>
      </c>
      <c r="AB2409" s="508">
        <v>22.254999999999999</v>
      </c>
      <c r="AC2409" s="508">
        <v>22.254000000000001</v>
      </c>
      <c r="AD2409" s="508">
        <v>16.771000000000001</v>
      </c>
      <c r="AE2409" s="508">
        <v>16.731999999999999</v>
      </c>
      <c r="AF2409" s="508">
        <v>13.263999999999999</v>
      </c>
      <c r="AG2409" s="508">
        <v>13.239000000000001</v>
      </c>
      <c r="AH2409" s="508">
        <v>13.234999999999999</v>
      </c>
      <c r="AI2409" s="492">
        <v>13.234999999999999</v>
      </c>
      <c r="AJ2409" s="485"/>
    </row>
    <row r="2410" spans="2:36">
      <c r="B2410" s="136" t="s">
        <v>478</v>
      </c>
      <c r="C2410" s="132" t="s">
        <v>1372</v>
      </c>
      <c r="D2410" s="132" t="s">
        <v>282</v>
      </c>
      <c r="E2410" s="508">
        <v>75.042000000000002</v>
      </c>
      <c r="F2410" s="508">
        <v>71.450999999999993</v>
      </c>
      <c r="G2410" s="508">
        <v>71.453000000000003</v>
      </c>
      <c r="H2410" s="508">
        <v>71.451999999999998</v>
      </c>
      <c r="I2410" s="508">
        <v>71.454999999999998</v>
      </c>
      <c r="J2410" s="508">
        <v>93.281000000000006</v>
      </c>
      <c r="K2410" s="508">
        <v>93.268000000000001</v>
      </c>
      <c r="L2410" s="508">
        <v>93.204999999999998</v>
      </c>
      <c r="M2410" s="508">
        <v>93.241</v>
      </c>
      <c r="N2410" s="508">
        <v>97.245999999999995</v>
      </c>
      <c r="O2410" s="508">
        <v>97.227999999999994</v>
      </c>
      <c r="P2410" s="508">
        <v>97.204999999999998</v>
      </c>
      <c r="Q2410" s="508">
        <v>97.19</v>
      </c>
      <c r="R2410" s="508">
        <v>37.817</v>
      </c>
      <c r="S2410" s="508">
        <v>37.802</v>
      </c>
      <c r="T2410" s="508">
        <v>37.786999999999999</v>
      </c>
      <c r="U2410" s="508">
        <v>39.573</v>
      </c>
      <c r="V2410" s="508">
        <v>39.585999999999999</v>
      </c>
      <c r="W2410" s="508">
        <v>39.578000000000003</v>
      </c>
      <c r="X2410" s="508">
        <v>39.600999999999999</v>
      </c>
      <c r="Y2410" s="508">
        <v>39.600999999999999</v>
      </c>
      <c r="Z2410" s="508">
        <v>39.725000000000001</v>
      </c>
      <c r="AA2410" s="508">
        <v>39.732999999999997</v>
      </c>
      <c r="AB2410" s="508">
        <v>23.701000000000001</v>
      </c>
      <c r="AC2410" s="508">
        <v>23.7</v>
      </c>
      <c r="AD2410" s="508">
        <v>18.02</v>
      </c>
      <c r="AE2410" s="508">
        <v>17.975999999999999</v>
      </c>
      <c r="AF2410" s="508">
        <v>14.21</v>
      </c>
      <c r="AG2410" s="508">
        <v>14.18</v>
      </c>
      <c r="AH2410" s="508">
        <v>14.176</v>
      </c>
      <c r="AI2410" s="492">
        <v>14.176</v>
      </c>
      <c r="AJ2410" s="485"/>
    </row>
    <row r="2411" spans="2:36">
      <c r="B2411" s="136" t="s">
        <v>479</v>
      </c>
      <c r="C2411" s="132" t="s">
        <v>1372</v>
      </c>
      <c r="D2411" s="132" t="s">
        <v>282</v>
      </c>
      <c r="E2411" s="508">
        <v>70.710999999999999</v>
      </c>
      <c r="F2411" s="508">
        <v>69.275000000000006</v>
      </c>
      <c r="G2411" s="508">
        <v>69.277000000000001</v>
      </c>
      <c r="H2411" s="508">
        <v>69.275999999999996</v>
      </c>
      <c r="I2411" s="508">
        <v>69.278000000000006</v>
      </c>
      <c r="J2411" s="508">
        <v>91.408000000000001</v>
      </c>
      <c r="K2411" s="508">
        <v>91.417000000000002</v>
      </c>
      <c r="L2411" s="508">
        <v>91.376999999999995</v>
      </c>
      <c r="M2411" s="508">
        <v>91.430999999999997</v>
      </c>
      <c r="N2411" s="508">
        <v>95.477000000000004</v>
      </c>
      <c r="O2411" s="508">
        <v>95.483999999999995</v>
      </c>
      <c r="P2411" s="508">
        <v>95.488</v>
      </c>
      <c r="Q2411" s="508">
        <v>95.497</v>
      </c>
      <c r="R2411" s="508">
        <v>35.658000000000001</v>
      </c>
      <c r="S2411" s="508">
        <v>35.655000000000001</v>
      </c>
      <c r="T2411" s="508">
        <v>35.652999999999999</v>
      </c>
      <c r="U2411" s="508">
        <v>35.369999999999997</v>
      </c>
      <c r="V2411" s="508">
        <v>35.381</v>
      </c>
      <c r="W2411" s="508">
        <v>35.374000000000002</v>
      </c>
      <c r="X2411" s="508">
        <v>35.393000000000001</v>
      </c>
      <c r="Y2411" s="508">
        <v>35.393000000000001</v>
      </c>
      <c r="Z2411" s="508">
        <v>35.491999999999997</v>
      </c>
      <c r="AA2411" s="508">
        <v>35.499000000000002</v>
      </c>
      <c r="AB2411" s="508">
        <v>20.02</v>
      </c>
      <c r="AC2411" s="508">
        <v>20.018999999999998</v>
      </c>
      <c r="AD2411" s="508">
        <v>14.832000000000001</v>
      </c>
      <c r="AE2411" s="508">
        <v>14.811999999999999</v>
      </c>
      <c r="AF2411" s="508">
        <v>11.805</v>
      </c>
      <c r="AG2411" s="508">
        <v>11.798</v>
      </c>
      <c r="AH2411" s="508">
        <v>11.792999999999999</v>
      </c>
      <c r="AI2411" s="492">
        <v>11.794</v>
      </c>
      <c r="AJ2411" s="485"/>
    </row>
    <row r="2412" spans="2:36">
      <c r="B2412" s="136" t="s">
        <v>480</v>
      </c>
      <c r="C2412" s="132" t="s">
        <v>1372</v>
      </c>
      <c r="D2412" s="132" t="s">
        <v>282</v>
      </c>
      <c r="E2412" s="508">
        <v>76.302999999999997</v>
      </c>
      <c r="F2412" s="508">
        <v>72.540999999999997</v>
      </c>
      <c r="G2412" s="508">
        <v>72.543000000000006</v>
      </c>
      <c r="H2412" s="508">
        <v>72.542000000000002</v>
      </c>
      <c r="I2412" s="508">
        <v>72.543999999999997</v>
      </c>
      <c r="J2412" s="508">
        <v>96.369</v>
      </c>
      <c r="K2412" s="508">
        <v>96.399000000000001</v>
      </c>
      <c r="L2412" s="508">
        <v>96.379000000000005</v>
      </c>
      <c r="M2412" s="508">
        <v>96.451999999999998</v>
      </c>
      <c r="N2412" s="508">
        <v>100.813</v>
      </c>
      <c r="O2412" s="508">
        <v>100.84399999999999</v>
      </c>
      <c r="P2412" s="508">
        <v>100.873</v>
      </c>
      <c r="Q2412" s="508">
        <v>100.907</v>
      </c>
      <c r="R2412" s="508">
        <v>36.301000000000002</v>
      </c>
      <c r="S2412" s="508">
        <v>36.308999999999997</v>
      </c>
      <c r="T2412" s="508">
        <v>36.317</v>
      </c>
      <c r="U2412" s="508">
        <v>34.091000000000001</v>
      </c>
      <c r="V2412" s="508">
        <v>34.100999999999999</v>
      </c>
      <c r="W2412" s="508">
        <v>34.094999999999999</v>
      </c>
      <c r="X2412" s="508">
        <v>34.112000000000002</v>
      </c>
      <c r="Y2412" s="508">
        <v>34.112000000000002</v>
      </c>
      <c r="Z2412" s="508">
        <v>34.206000000000003</v>
      </c>
      <c r="AA2412" s="508">
        <v>34.212000000000003</v>
      </c>
      <c r="AB2412" s="508">
        <v>19.213999999999999</v>
      </c>
      <c r="AC2412" s="508">
        <v>19.213000000000001</v>
      </c>
      <c r="AD2412" s="508">
        <v>14.208</v>
      </c>
      <c r="AE2412" s="508">
        <v>14.167999999999999</v>
      </c>
      <c r="AF2412" s="508">
        <v>11.311999999999999</v>
      </c>
      <c r="AG2412" s="508">
        <v>11.282999999999999</v>
      </c>
      <c r="AH2412" s="508">
        <v>11.279</v>
      </c>
      <c r="AI2412" s="492">
        <v>11.279</v>
      </c>
      <c r="AJ2412" s="485"/>
    </row>
    <row r="2413" spans="2:36">
      <c r="B2413" s="136" t="s">
        <v>481</v>
      </c>
      <c r="C2413" s="132" t="s">
        <v>1372</v>
      </c>
      <c r="D2413" s="132" t="s">
        <v>282</v>
      </c>
      <c r="E2413" s="508">
        <v>73.305999999999997</v>
      </c>
      <c r="F2413" s="508">
        <v>71.134</v>
      </c>
      <c r="G2413" s="508">
        <v>71.135999999999996</v>
      </c>
      <c r="H2413" s="508">
        <v>71.134</v>
      </c>
      <c r="I2413" s="508">
        <v>71.137</v>
      </c>
      <c r="J2413" s="508">
        <v>93.593000000000004</v>
      </c>
      <c r="K2413" s="508">
        <v>93.605000000000004</v>
      </c>
      <c r="L2413" s="508">
        <v>93.564999999999998</v>
      </c>
      <c r="M2413" s="508">
        <v>93.623999999999995</v>
      </c>
      <c r="N2413" s="508">
        <v>97.744</v>
      </c>
      <c r="O2413" s="508">
        <v>97.754000000000005</v>
      </c>
      <c r="P2413" s="508">
        <v>97.76</v>
      </c>
      <c r="Q2413" s="508">
        <v>97.772999999999996</v>
      </c>
      <c r="R2413" s="508">
        <v>36.954999999999998</v>
      </c>
      <c r="S2413" s="508">
        <v>36.953000000000003</v>
      </c>
      <c r="T2413" s="508">
        <v>36.951999999999998</v>
      </c>
      <c r="U2413" s="508">
        <v>38.247999999999998</v>
      </c>
      <c r="V2413" s="508">
        <v>38.26</v>
      </c>
      <c r="W2413" s="508">
        <v>38.253</v>
      </c>
      <c r="X2413" s="508">
        <v>38.274000000000001</v>
      </c>
      <c r="Y2413" s="508">
        <v>38.274000000000001</v>
      </c>
      <c r="Z2413" s="508">
        <v>38.390999999999998</v>
      </c>
      <c r="AA2413" s="508">
        <v>38.399000000000001</v>
      </c>
      <c r="AB2413" s="508">
        <v>22.547999999999998</v>
      </c>
      <c r="AC2413" s="508">
        <v>22.547000000000001</v>
      </c>
      <c r="AD2413" s="508">
        <v>17.023</v>
      </c>
      <c r="AE2413" s="508">
        <v>16.995000000000001</v>
      </c>
      <c r="AF2413" s="508">
        <v>13.46</v>
      </c>
      <c r="AG2413" s="508">
        <v>13.446</v>
      </c>
      <c r="AH2413" s="508">
        <v>13.442</v>
      </c>
      <c r="AI2413" s="492">
        <v>13.442</v>
      </c>
      <c r="AJ2413" s="485"/>
    </row>
    <row r="2414" spans="2:36">
      <c r="B2414" s="136" t="s">
        <v>482</v>
      </c>
      <c r="C2414" s="132" t="s">
        <v>1372</v>
      </c>
      <c r="D2414" s="132" t="s">
        <v>282</v>
      </c>
      <c r="E2414" s="508">
        <v>69.394999999999996</v>
      </c>
      <c r="F2414" s="508">
        <v>68.725999999999999</v>
      </c>
      <c r="G2414" s="508">
        <v>68.727999999999994</v>
      </c>
      <c r="H2414" s="508">
        <v>68.725999999999999</v>
      </c>
      <c r="I2414" s="508">
        <v>68.728999999999999</v>
      </c>
      <c r="J2414" s="508">
        <v>90.278000000000006</v>
      </c>
      <c r="K2414" s="508">
        <v>90.27</v>
      </c>
      <c r="L2414" s="508">
        <v>90.215000000000003</v>
      </c>
      <c r="M2414" s="508">
        <v>90.253</v>
      </c>
      <c r="N2414" s="508">
        <v>94.194999999999993</v>
      </c>
      <c r="O2414" s="508">
        <v>94.183000000000007</v>
      </c>
      <c r="P2414" s="508">
        <v>94.167000000000002</v>
      </c>
      <c r="Q2414" s="508">
        <v>94.158000000000001</v>
      </c>
      <c r="R2414" s="508">
        <v>35.737000000000002</v>
      </c>
      <c r="S2414" s="508">
        <v>35.725000000000001</v>
      </c>
      <c r="T2414" s="508">
        <v>35.713999999999999</v>
      </c>
      <c r="U2414" s="508">
        <v>36.656999999999996</v>
      </c>
      <c r="V2414" s="508">
        <v>36.667999999999999</v>
      </c>
      <c r="W2414" s="508">
        <v>36.661000000000001</v>
      </c>
      <c r="X2414" s="508">
        <v>36.680999999999997</v>
      </c>
      <c r="Y2414" s="508">
        <v>36.682000000000002</v>
      </c>
      <c r="Z2414" s="508">
        <v>36.790999999999997</v>
      </c>
      <c r="AA2414" s="508">
        <v>36.798000000000002</v>
      </c>
      <c r="AB2414" s="508">
        <v>21.305</v>
      </c>
      <c r="AC2414" s="508">
        <v>21.303999999999998</v>
      </c>
      <c r="AD2414" s="508">
        <v>15.984999999999999</v>
      </c>
      <c r="AE2414" s="508">
        <v>15.968</v>
      </c>
      <c r="AF2414" s="508">
        <v>12.67</v>
      </c>
      <c r="AG2414" s="508">
        <v>12.667</v>
      </c>
      <c r="AH2414" s="508">
        <v>12.663</v>
      </c>
      <c r="AI2414" s="492">
        <v>12.663</v>
      </c>
      <c r="AJ2414" s="485"/>
    </row>
    <row r="2415" spans="2:36">
      <c r="B2415" s="136" t="s">
        <v>483</v>
      </c>
      <c r="C2415" s="132" t="s">
        <v>1372</v>
      </c>
      <c r="D2415" s="132" t="s">
        <v>282</v>
      </c>
      <c r="E2415" s="508">
        <v>77.765000000000001</v>
      </c>
      <c r="F2415" s="508">
        <v>74.228999999999999</v>
      </c>
      <c r="G2415" s="508">
        <v>74.230999999999995</v>
      </c>
      <c r="H2415" s="508">
        <v>74.23</v>
      </c>
      <c r="I2415" s="508">
        <v>74.231999999999999</v>
      </c>
      <c r="J2415" s="508">
        <v>97.063999999999993</v>
      </c>
      <c r="K2415" s="508">
        <v>97.067999999999998</v>
      </c>
      <c r="L2415" s="508">
        <v>97.019000000000005</v>
      </c>
      <c r="M2415" s="508">
        <v>97.073999999999998</v>
      </c>
      <c r="N2415" s="508">
        <v>101.27800000000001</v>
      </c>
      <c r="O2415" s="508">
        <v>101.28</v>
      </c>
      <c r="P2415" s="508">
        <v>101.279</v>
      </c>
      <c r="Q2415" s="508">
        <v>101.28400000000001</v>
      </c>
      <c r="R2415" s="508">
        <v>39.247999999999998</v>
      </c>
      <c r="S2415" s="508">
        <v>39.243000000000002</v>
      </c>
      <c r="T2415" s="508">
        <v>39.237000000000002</v>
      </c>
      <c r="U2415" s="508">
        <v>40.429000000000002</v>
      </c>
      <c r="V2415" s="508">
        <v>40.442</v>
      </c>
      <c r="W2415" s="508">
        <v>40.433999999999997</v>
      </c>
      <c r="X2415" s="508">
        <v>40.457000000000001</v>
      </c>
      <c r="Y2415" s="508">
        <v>40.457000000000001</v>
      </c>
      <c r="Z2415" s="508">
        <v>40.582999999999998</v>
      </c>
      <c r="AA2415" s="508">
        <v>40.591000000000001</v>
      </c>
      <c r="AB2415" s="508">
        <v>24.141999999999999</v>
      </c>
      <c r="AC2415" s="508">
        <v>24.140999999999998</v>
      </c>
      <c r="AD2415" s="508">
        <v>18.329999999999998</v>
      </c>
      <c r="AE2415" s="508">
        <v>18.286999999999999</v>
      </c>
      <c r="AF2415" s="508">
        <v>14.46</v>
      </c>
      <c r="AG2415" s="508">
        <v>14.433</v>
      </c>
      <c r="AH2415" s="508">
        <v>14.429</v>
      </c>
      <c r="AI2415" s="492">
        <v>14.429</v>
      </c>
      <c r="AJ2415" s="485"/>
    </row>
    <row r="2416" spans="2:36">
      <c r="B2416" s="136" t="s">
        <v>484</v>
      </c>
      <c r="C2416" s="132" t="s">
        <v>1372</v>
      </c>
      <c r="D2416" s="132" t="s">
        <v>282</v>
      </c>
      <c r="E2416" s="508">
        <v>71.594999999999999</v>
      </c>
      <c r="F2416" s="508">
        <v>67.748000000000005</v>
      </c>
      <c r="G2416" s="508">
        <v>67.75</v>
      </c>
      <c r="H2416" s="508">
        <v>67.748000000000005</v>
      </c>
      <c r="I2416" s="508">
        <v>67.75</v>
      </c>
      <c r="J2416" s="508">
        <v>89.704999999999998</v>
      </c>
      <c r="K2416" s="508">
        <v>89.712999999999994</v>
      </c>
      <c r="L2416" s="508">
        <v>89.676000000000002</v>
      </c>
      <c r="M2416" s="508">
        <v>89.725999999999999</v>
      </c>
      <c r="N2416" s="508">
        <v>93.715999999999994</v>
      </c>
      <c r="O2416" s="508">
        <v>93.722999999999999</v>
      </c>
      <c r="P2416" s="508">
        <v>93.727000000000004</v>
      </c>
      <c r="Q2416" s="508">
        <v>93.736000000000004</v>
      </c>
      <c r="R2416" s="508">
        <v>34.630000000000003</v>
      </c>
      <c r="S2416" s="508">
        <v>34.627000000000002</v>
      </c>
      <c r="T2416" s="508">
        <v>34.625</v>
      </c>
      <c r="U2416" s="508">
        <v>34.072000000000003</v>
      </c>
      <c r="V2416" s="508">
        <v>34.082000000000001</v>
      </c>
      <c r="W2416" s="508">
        <v>34.076000000000001</v>
      </c>
      <c r="X2416" s="508">
        <v>34.093000000000004</v>
      </c>
      <c r="Y2416" s="508">
        <v>34.093000000000004</v>
      </c>
      <c r="Z2416" s="508">
        <v>34.186</v>
      </c>
      <c r="AA2416" s="508">
        <v>34.192</v>
      </c>
      <c r="AB2416" s="508">
        <v>19.190000000000001</v>
      </c>
      <c r="AC2416" s="508">
        <v>19.189</v>
      </c>
      <c r="AD2416" s="508">
        <v>14.178000000000001</v>
      </c>
      <c r="AE2416" s="508">
        <v>14.135</v>
      </c>
      <c r="AF2416" s="508">
        <v>11.287000000000001</v>
      </c>
      <c r="AG2416" s="508">
        <v>11.255000000000001</v>
      </c>
      <c r="AH2416" s="508">
        <v>11.25</v>
      </c>
      <c r="AI2416" s="492">
        <v>11.25</v>
      </c>
      <c r="AJ2416" s="485"/>
    </row>
    <row r="2417" spans="2:36">
      <c r="B2417" s="136" t="s">
        <v>486</v>
      </c>
      <c r="C2417" s="132" t="s">
        <v>1372</v>
      </c>
      <c r="D2417" s="132" t="s">
        <v>282</v>
      </c>
      <c r="E2417" s="508">
        <v>71.88</v>
      </c>
      <c r="F2417" s="508">
        <v>69.433999999999997</v>
      </c>
      <c r="G2417" s="508">
        <v>69.436999999999998</v>
      </c>
      <c r="H2417" s="508">
        <v>69.435000000000002</v>
      </c>
      <c r="I2417" s="508">
        <v>69.438000000000002</v>
      </c>
      <c r="J2417" s="508">
        <v>91.260999999999996</v>
      </c>
      <c r="K2417" s="508">
        <v>91.259</v>
      </c>
      <c r="L2417" s="508">
        <v>91.209000000000003</v>
      </c>
      <c r="M2417" s="508">
        <v>91.253</v>
      </c>
      <c r="N2417" s="508">
        <v>95.245999999999995</v>
      </c>
      <c r="O2417" s="508">
        <v>95.242000000000004</v>
      </c>
      <c r="P2417" s="508">
        <v>95.233000000000004</v>
      </c>
      <c r="Q2417" s="508">
        <v>95.230999999999995</v>
      </c>
      <c r="R2417" s="508">
        <v>36.082000000000001</v>
      </c>
      <c r="S2417" s="508">
        <v>36.073999999999998</v>
      </c>
      <c r="T2417" s="508">
        <v>36.066000000000003</v>
      </c>
      <c r="U2417" s="508">
        <v>36.424999999999997</v>
      </c>
      <c r="V2417" s="508">
        <v>36.436</v>
      </c>
      <c r="W2417" s="508">
        <v>36.429000000000002</v>
      </c>
      <c r="X2417" s="508">
        <v>36.448</v>
      </c>
      <c r="Y2417" s="508">
        <v>36.448999999999998</v>
      </c>
      <c r="Z2417" s="508">
        <v>36.555</v>
      </c>
      <c r="AA2417" s="508">
        <v>36.561999999999998</v>
      </c>
      <c r="AB2417" s="508">
        <v>21.036999999999999</v>
      </c>
      <c r="AC2417" s="508">
        <v>21.036000000000001</v>
      </c>
      <c r="AD2417" s="508">
        <v>15.734999999999999</v>
      </c>
      <c r="AE2417" s="508">
        <v>15.706</v>
      </c>
      <c r="AF2417" s="508">
        <v>12.481</v>
      </c>
      <c r="AG2417" s="508">
        <v>12.465999999999999</v>
      </c>
      <c r="AH2417" s="508">
        <v>12.461</v>
      </c>
      <c r="AI2417" s="492">
        <v>12.461</v>
      </c>
      <c r="AJ2417" s="485"/>
    </row>
    <row r="2418" spans="2:36">
      <c r="B2418" s="136" t="s">
        <v>487</v>
      </c>
      <c r="C2418" s="132" t="s">
        <v>1372</v>
      </c>
      <c r="D2418" s="132" t="s">
        <v>282</v>
      </c>
      <c r="E2418" s="508">
        <v>78.141000000000005</v>
      </c>
      <c r="F2418" s="508">
        <v>74.506</v>
      </c>
      <c r="G2418" s="508">
        <v>74.507999999999996</v>
      </c>
      <c r="H2418" s="508">
        <v>74.507000000000005</v>
      </c>
      <c r="I2418" s="508">
        <v>74.509</v>
      </c>
      <c r="J2418" s="508">
        <v>97.86</v>
      </c>
      <c r="K2418" s="508">
        <v>97.867999999999995</v>
      </c>
      <c r="L2418" s="508">
        <v>97.822000000000003</v>
      </c>
      <c r="M2418" s="508">
        <v>97.876999999999995</v>
      </c>
      <c r="N2418" s="508">
        <v>102.17100000000001</v>
      </c>
      <c r="O2418" s="508">
        <v>102.176</v>
      </c>
      <c r="P2418" s="508">
        <v>102.176</v>
      </c>
      <c r="Q2418" s="508">
        <v>102.184</v>
      </c>
      <c r="R2418" s="508">
        <v>38.578000000000003</v>
      </c>
      <c r="S2418" s="508">
        <v>38.573</v>
      </c>
      <c r="T2418" s="508">
        <v>38.569000000000003</v>
      </c>
      <c r="U2418" s="508">
        <v>39.68</v>
      </c>
      <c r="V2418" s="508">
        <v>39.692999999999998</v>
      </c>
      <c r="W2418" s="508">
        <v>39.685000000000002</v>
      </c>
      <c r="X2418" s="508">
        <v>39.707000000000001</v>
      </c>
      <c r="Y2418" s="508">
        <v>39.707999999999998</v>
      </c>
      <c r="Z2418" s="508">
        <v>39.829000000000001</v>
      </c>
      <c r="AA2418" s="508">
        <v>39.837000000000003</v>
      </c>
      <c r="AB2418" s="508">
        <v>23.54</v>
      </c>
      <c r="AC2418" s="508">
        <v>23.539000000000001</v>
      </c>
      <c r="AD2418" s="508">
        <v>17.824999999999999</v>
      </c>
      <c r="AE2418" s="508">
        <v>17.780999999999999</v>
      </c>
      <c r="AF2418" s="508">
        <v>14.077</v>
      </c>
      <c r="AG2418" s="508">
        <v>14.047000000000001</v>
      </c>
      <c r="AH2418" s="508">
        <v>14.042999999999999</v>
      </c>
      <c r="AI2418" s="492">
        <v>14.042999999999999</v>
      </c>
      <c r="AJ2418" s="485"/>
    </row>
    <row r="2419" spans="2:36">
      <c r="B2419" s="136" t="s">
        <v>488</v>
      </c>
      <c r="C2419" s="132" t="s">
        <v>1372</v>
      </c>
      <c r="D2419" s="132" t="s">
        <v>282</v>
      </c>
      <c r="E2419" s="508">
        <v>73.209000000000003</v>
      </c>
      <c r="F2419" s="508">
        <v>70.316999999999993</v>
      </c>
      <c r="G2419" s="508">
        <v>70.319999999999993</v>
      </c>
      <c r="H2419" s="508">
        <v>70.317999999999998</v>
      </c>
      <c r="I2419" s="508">
        <v>70.320999999999998</v>
      </c>
      <c r="J2419" s="508">
        <v>92.981999999999999</v>
      </c>
      <c r="K2419" s="508">
        <v>92.995999999999995</v>
      </c>
      <c r="L2419" s="508">
        <v>92.960999999999999</v>
      </c>
      <c r="M2419" s="508">
        <v>93.019000000000005</v>
      </c>
      <c r="N2419" s="508">
        <v>97.161000000000001</v>
      </c>
      <c r="O2419" s="508">
        <v>97.173000000000002</v>
      </c>
      <c r="P2419" s="508">
        <v>97.182000000000002</v>
      </c>
      <c r="Q2419" s="508">
        <v>97.197999999999993</v>
      </c>
      <c r="R2419" s="508">
        <v>35.917000000000002</v>
      </c>
      <c r="S2419" s="508">
        <v>35.917000000000002</v>
      </c>
      <c r="T2419" s="508">
        <v>35.917000000000002</v>
      </c>
      <c r="U2419" s="508">
        <v>37.389000000000003</v>
      </c>
      <c r="V2419" s="508">
        <v>37.401000000000003</v>
      </c>
      <c r="W2419" s="508">
        <v>37.393999999999998</v>
      </c>
      <c r="X2419" s="508">
        <v>37.414999999999999</v>
      </c>
      <c r="Y2419" s="508">
        <v>37.414999999999999</v>
      </c>
      <c r="Z2419" s="508">
        <v>37.527999999999999</v>
      </c>
      <c r="AA2419" s="508">
        <v>37.536000000000001</v>
      </c>
      <c r="AB2419" s="508">
        <v>22.024000000000001</v>
      </c>
      <c r="AC2419" s="508">
        <v>22.023</v>
      </c>
      <c r="AD2419" s="508">
        <v>16.622</v>
      </c>
      <c r="AE2419" s="508">
        <v>16.585999999999999</v>
      </c>
      <c r="AF2419" s="508">
        <v>13.141999999999999</v>
      </c>
      <c r="AG2419" s="508">
        <v>13.12</v>
      </c>
      <c r="AH2419" s="508">
        <v>13.116</v>
      </c>
      <c r="AI2419" s="492">
        <v>13.116</v>
      </c>
      <c r="AJ2419" s="485"/>
    </row>
    <row r="2420" spans="2:36">
      <c r="B2420" s="136" t="s">
        <v>489</v>
      </c>
      <c r="C2420" s="132" t="s">
        <v>1372</v>
      </c>
      <c r="D2420" s="132" t="s">
        <v>282</v>
      </c>
      <c r="E2420" s="508">
        <v>75.224999999999994</v>
      </c>
      <c r="F2420" s="508">
        <v>71.182000000000002</v>
      </c>
      <c r="G2420" s="508">
        <v>71.183999999999997</v>
      </c>
      <c r="H2420" s="508">
        <v>71.183000000000007</v>
      </c>
      <c r="I2420" s="508">
        <v>71.185000000000002</v>
      </c>
      <c r="J2420" s="508">
        <v>93.638999999999996</v>
      </c>
      <c r="K2420" s="508">
        <v>93.658000000000001</v>
      </c>
      <c r="L2420" s="508">
        <v>93.626000000000005</v>
      </c>
      <c r="M2420" s="508">
        <v>93.691000000000003</v>
      </c>
      <c r="N2420" s="508">
        <v>97.808000000000007</v>
      </c>
      <c r="O2420" s="508">
        <v>97.828000000000003</v>
      </c>
      <c r="P2420" s="508">
        <v>97.841999999999999</v>
      </c>
      <c r="Q2420" s="508">
        <v>97.864000000000004</v>
      </c>
      <c r="R2420" s="508">
        <v>37.244</v>
      </c>
      <c r="S2420" s="508">
        <v>37.247</v>
      </c>
      <c r="T2420" s="508">
        <v>37.249000000000002</v>
      </c>
      <c r="U2420" s="508">
        <v>35.706000000000003</v>
      </c>
      <c r="V2420" s="508">
        <v>35.716999999999999</v>
      </c>
      <c r="W2420" s="508">
        <v>35.71</v>
      </c>
      <c r="X2420" s="508">
        <v>35.728999999999999</v>
      </c>
      <c r="Y2420" s="508">
        <v>35.728999999999999</v>
      </c>
      <c r="Z2420" s="508">
        <v>35.832999999999998</v>
      </c>
      <c r="AA2420" s="508">
        <v>35.838999999999999</v>
      </c>
      <c r="AB2420" s="508">
        <v>20.641999999999999</v>
      </c>
      <c r="AC2420" s="508">
        <v>20.640999999999998</v>
      </c>
      <c r="AD2420" s="508">
        <v>15.439</v>
      </c>
      <c r="AE2420" s="508">
        <v>15.394</v>
      </c>
      <c r="AF2420" s="508">
        <v>12.238</v>
      </c>
      <c r="AG2420" s="508">
        <v>12.206</v>
      </c>
      <c r="AH2420" s="508">
        <v>12.202</v>
      </c>
      <c r="AI2420" s="492">
        <v>12.202</v>
      </c>
      <c r="AJ2420" s="485"/>
    </row>
    <row r="2421" spans="2:36">
      <c r="B2421" s="136" t="s">
        <v>490</v>
      </c>
      <c r="C2421" s="132" t="s">
        <v>1372</v>
      </c>
      <c r="D2421" s="132" t="s">
        <v>282</v>
      </c>
      <c r="E2421" s="508">
        <v>75.662000000000006</v>
      </c>
      <c r="F2421" s="508">
        <v>71.81</v>
      </c>
      <c r="G2421" s="508">
        <v>71.811999999999998</v>
      </c>
      <c r="H2421" s="508">
        <v>71.81</v>
      </c>
      <c r="I2421" s="508">
        <v>71.811999999999998</v>
      </c>
      <c r="J2421" s="508">
        <v>95.512</v>
      </c>
      <c r="K2421" s="508">
        <v>95.519000000000005</v>
      </c>
      <c r="L2421" s="508">
        <v>95.478999999999999</v>
      </c>
      <c r="M2421" s="508">
        <v>95.528999999999996</v>
      </c>
      <c r="N2421" s="508">
        <v>99.835999999999999</v>
      </c>
      <c r="O2421" s="508">
        <v>99.840999999999994</v>
      </c>
      <c r="P2421" s="508">
        <v>99.841999999999999</v>
      </c>
      <c r="Q2421" s="508">
        <v>99.849000000000004</v>
      </c>
      <c r="R2421" s="508">
        <v>35.542999999999999</v>
      </c>
      <c r="S2421" s="508">
        <v>35.539000000000001</v>
      </c>
      <c r="T2421" s="508">
        <v>35.536000000000001</v>
      </c>
      <c r="U2421" s="508">
        <v>36.51</v>
      </c>
      <c r="V2421" s="508">
        <v>36.521000000000001</v>
      </c>
      <c r="W2421" s="508">
        <v>36.515000000000001</v>
      </c>
      <c r="X2421" s="508">
        <v>36.533999999999999</v>
      </c>
      <c r="Y2421" s="508">
        <v>36.533999999999999</v>
      </c>
      <c r="Z2421" s="508">
        <v>36.642000000000003</v>
      </c>
      <c r="AA2421" s="508">
        <v>36.649000000000001</v>
      </c>
      <c r="AB2421" s="508">
        <v>21.271999999999998</v>
      </c>
      <c r="AC2421" s="508">
        <v>21.271000000000001</v>
      </c>
      <c r="AD2421" s="508">
        <v>15.978</v>
      </c>
      <c r="AE2421" s="508">
        <v>15.929</v>
      </c>
      <c r="AF2421" s="508">
        <v>12.651999999999999</v>
      </c>
      <c r="AG2421" s="508">
        <v>12.616</v>
      </c>
      <c r="AH2421" s="508">
        <v>12.611000000000001</v>
      </c>
      <c r="AI2421" s="492">
        <v>12.611000000000001</v>
      </c>
      <c r="AJ2421" s="485"/>
    </row>
    <row r="2422" spans="2:36">
      <c r="B2422" s="136" t="s">
        <v>435</v>
      </c>
      <c r="C2422" s="132" t="s">
        <v>1373</v>
      </c>
      <c r="D2422" s="132" t="s">
        <v>282</v>
      </c>
      <c r="E2422" s="508">
        <v>5.952</v>
      </c>
      <c r="F2422" s="508">
        <v>5.65</v>
      </c>
      <c r="G2422" s="508">
        <v>5.8630000000000004</v>
      </c>
      <c r="H2422" s="508">
        <v>5.2670000000000003</v>
      </c>
      <c r="I2422" s="508">
        <v>4.4009999999999998</v>
      </c>
      <c r="J2422" s="508">
        <v>4.7030000000000003</v>
      </c>
      <c r="K2422" s="508">
        <v>4.359</v>
      </c>
      <c r="L2422" s="508">
        <v>4.641</v>
      </c>
      <c r="M2422" s="508">
        <v>4.3380000000000001</v>
      </c>
      <c r="N2422" s="508">
        <v>4.4980000000000002</v>
      </c>
      <c r="O2422" s="508">
        <v>4.827</v>
      </c>
      <c r="P2422" s="508">
        <v>4.8819999999999997</v>
      </c>
      <c r="Q2422" s="508">
        <v>4.9729999999999999</v>
      </c>
      <c r="R2422" s="508">
        <v>4.6580000000000004</v>
      </c>
      <c r="S2422" s="508">
        <v>4.3949999999999996</v>
      </c>
      <c r="T2422" s="508">
        <v>4.4260000000000002</v>
      </c>
      <c r="U2422" s="508">
        <v>4.2480000000000002</v>
      </c>
      <c r="V2422" s="508">
        <v>4.2560000000000002</v>
      </c>
      <c r="W2422" s="508">
        <v>3.1579999999999999</v>
      </c>
      <c r="X2422" s="508">
        <v>3.1659999999999999</v>
      </c>
      <c r="Y2422" s="508">
        <v>3.13</v>
      </c>
      <c r="Z2422" s="508">
        <v>3.097</v>
      </c>
      <c r="AA2422" s="508">
        <v>0.80300000000000005</v>
      </c>
      <c r="AB2422" s="508">
        <v>0.73299999999999998</v>
      </c>
      <c r="AC2422" s="508">
        <v>0.75600000000000001</v>
      </c>
      <c r="AD2422" s="508">
        <v>0.496</v>
      </c>
      <c r="AE2422" s="508">
        <v>0.47499999999999998</v>
      </c>
      <c r="AF2422" s="508">
        <v>0.40400000000000003</v>
      </c>
      <c r="AG2422" s="508">
        <v>0.40200000000000002</v>
      </c>
      <c r="AH2422" s="508">
        <v>0.40200000000000002</v>
      </c>
      <c r="AI2422" s="492">
        <v>0.40200000000000002</v>
      </c>
      <c r="AJ2422" s="485"/>
    </row>
    <row r="2423" spans="2:36">
      <c r="B2423" s="136" t="s">
        <v>436</v>
      </c>
      <c r="C2423" s="132" t="s">
        <v>1373</v>
      </c>
      <c r="D2423" s="132" t="s">
        <v>282</v>
      </c>
      <c r="E2423" s="508">
        <v>5.7110000000000003</v>
      </c>
      <c r="F2423" s="508">
        <v>5.4219999999999997</v>
      </c>
      <c r="G2423" s="508">
        <v>5.63</v>
      </c>
      <c r="H2423" s="508">
        <v>5.0410000000000004</v>
      </c>
      <c r="I2423" s="508">
        <v>4.2210000000000001</v>
      </c>
      <c r="J2423" s="508">
        <v>4.5179999999999998</v>
      </c>
      <c r="K2423" s="508">
        <v>4.1769999999999996</v>
      </c>
      <c r="L2423" s="508">
        <v>4.4550000000000001</v>
      </c>
      <c r="M2423" s="508">
        <v>4.1639999999999997</v>
      </c>
      <c r="N2423" s="508">
        <v>4.3209999999999997</v>
      </c>
      <c r="O2423" s="508">
        <v>4.6349999999999998</v>
      </c>
      <c r="P2423" s="508">
        <v>4.6970000000000001</v>
      </c>
      <c r="Q2423" s="508">
        <v>4.7850000000000001</v>
      </c>
      <c r="R2423" s="508">
        <v>4.476</v>
      </c>
      <c r="S2423" s="508">
        <v>4.218</v>
      </c>
      <c r="T2423" s="508">
        <v>4.2549999999999999</v>
      </c>
      <c r="U2423" s="508">
        <v>4.0819999999999999</v>
      </c>
      <c r="V2423" s="508">
        <v>4.0919999999999996</v>
      </c>
      <c r="W2423" s="508">
        <v>3.04</v>
      </c>
      <c r="X2423" s="508">
        <v>3.048</v>
      </c>
      <c r="Y2423" s="508">
        <v>3.0129999999999999</v>
      </c>
      <c r="Z2423" s="508">
        <v>2.9820000000000002</v>
      </c>
      <c r="AA2423" s="508">
        <v>0.77</v>
      </c>
      <c r="AB2423" s="508">
        <v>0.70399999999999996</v>
      </c>
      <c r="AC2423" s="508">
        <v>0.72599999999999998</v>
      </c>
      <c r="AD2423" s="508">
        <v>0.47499999999999998</v>
      </c>
      <c r="AE2423" s="508">
        <v>0.45500000000000002</v>
      </c>
      <c r="AF2423" s="508">
        <v>0.38700000000000001</v>
      </c>
      <c r="AG2423" s="508">
        <v>0.38500000000000001</v>
      </c>
      <c r="AH2423" s="508">
        <v>0.38500000000000001</v>
      </c>
      <c r="AI2423" s="492">
        <v>0.38500000000000001</v>
      </c>
      <c r="AJ2423" s="485"/>
    </row>
    <row r="2424" spans="2:36">
      <c r="B2424" s="136" t="s">
        <v>437</v>
      </c>
      <c r="C2424" s="132" t="s">
        <v>1373</v>
      </c>
      <c r="D2424" s="132" t="s">
        <v>282</v>
      </c>
      <c r="E2424" s="508">
        <v>6.0670000000000002</v>
      </c>
      <c r="F2424" s="508">
        <v>5.7549999999999999</v>
      </c>
      <c r="G2424" s="508">
        <v>5.976</v>
      </c>
      <c r="H2424" s="508">
        <v>5.3559999999999999</v>
      </c>
      <c r="I2424" s="508">
        <v>4.4640000000000004</v>
      </c>
      <c r="J2424" s="508">
        <v>4.7779999999999996</v>
      </c>
      <c r="K2424" s="508">
        <v>4.42</v>
      </c>
      <c r="L2424" s="508">
        <v>4.7130000000000001</v>
      </c>
      <c r="M2424" s="508">
        <v>4.4000000000000004</v>
      </c>
      <c r="N2424" s="508">
        <v>4.5659999999999998</v>
      </c>
      <c r="O2424" s="508">
        <v>4.9050000000000002</v>
      </c>
      <c r="P2424" s="508">
        <v>4.9649999999999999</v>
      </c>
      <c r="Q2424" s="508">
        <v>5.0590000000000002</v>
      </c>
      <c r="R2424" s="508">
        <v>4.7320000000000002</v>
      </c>
      <c r="S2424" s="508">
        <v>4.4589999999999996</v>
      </c>
      <c r="T2424" s="508">
        <v>4.4930000000000003</v>
      </c>
      <c r="U2424" s="508">
        <v>4.3079999999999998</v>
      </c>
      <c r="V2424" s="508">
        <v>4.3170000000000002</v>
      </c>
      <c r="W2424" s="508">
        <v>3.1789999999999998</v>
      </c>
      <c r="X2424" s="508">
        <v>3.1869999999999998</v>
      </c>
      <c r="Y2424" s="508">
        <v>3.1509999999999998</v>
      </c>
      <c r="Z2424" s="508">
        <v>3.1160000000000001</v>
      </c>
      <c r="AA2424" s="508">
        <v>0.81200000000000006</v>
      </c>
      <c r="AB2424" s="508">
        <v>0.73899999999999999</v>
      </c>
      <c r="AC2424" s="508">
        <v>0.76400000000000001</v>
      </c>
      <c r="AD2424" s="508">
        <v>0.502</v>
      </c>
      <c r="AE2424" s="508">
        <v>0.48</v>
      </c>
      <c r="AF2424" s="508">
        <v>0.40899999999999997</v>
      </c>
      <c r="AG2424" s="508">
        <v>0.40699999999999997</v>
      </c>
      <c r="AH2424" s="508">
        <v>0.40699999999999997</v>
      </c>
      <c r="AI2424" s="492">
        <v>0.40699999999999997</v>
      </c>
      <c r="AJ2424" s="485"/>
    </row>
    <row r="2425" spans="2:36">
      <c r="B2425" s="136" t="s">
        <v>438</v>
      </c>
      <c r="C2425" s="132" t="s">
        <v>1373</v>
      </c>
      <c r="D2425" s="132" t="s">
        <v>282</v>
      </c>
      <c r="E2425" s="508">
        <v>5.6180000000000003</v>
      </c>
      <c r="F2425" s="508">
        <v>5.3319999999999999</v>
      </c>
      <c r="G2425" s="508">
        <v>5.5380000000000003</v>
      </c>
      <c r="H2425" s="508">
        <v>4.9550000000000001</v>
      </c>
      <c r="I2425" s="508">
        <v>4.1459999999999999</v>
      </c>
      <c r="J2425" s="508">
        <v>4.4390000000000001</v>
      </c>
      <c r="K2425" s="508">
        <v>4.1020000000000003</v>
      </c>
      <c r="L2425" s="508">
        <v>4.3769999999999998</v>
      </c>
      <c r="M2425" s="508">
        <v>4.0890000000000004</v>
      </c>
      <c r="N2425" s="508">
        <v>4.2439999999999998</v>
      </c>
      <c r="O2425" s="508">
        <v>4.5549999999999997</v>
      </c>
      <c r="P2425" s="508">
        <v>4.617</v>
      </c>
      <c r="Q2425" s="508">
        <v>4.7050000000000001</v>
      </c>
      <c r="R2425" s="508">
        <v>4.3979999999999997</v>
      </c>
      <c r="S2425" s="508">
        <v>4.1420000000000003</v>
      </c>
      <c r="T2425" s="508">
        <v>4.18</v>
      </c>
      <c r="U2425" s="508">
        <v>4.0090000000000003</v>
      </c>
      <c r="V2425" s="508">
        <v>4.0199999999999996</v>
      </c>
      <c r="W2425" s="508">
        <v>2.9969999999999999</v>
      </c>
      <c r="X2425" s="508">
        <v>3.0049999999999999</v>
      </c>
      <c r="Y2425" s="508">
        <v>2.9710000000000001</v>
      </c>
      <c r="Z2425" s="508">
        <v>2.94</v>
      </c>
      <c r="AA2425" s="508">
        <v>0.75900000000000001</v>
      </c>
      <c r="AB2425" s="508">
        <v>0.69399999999999995</v>
      </c>
      <c r="AC2425" s="508">
        <v>0.71599999999999997</v>
      </c>
      <c r="AD2425" s="508">
        <v>0.46800000000000003</v>
      </c>
      <c r="AE2425" s="508">
        <v>0.44900000000000001</v>
      </c>
      <c r="AF2425" s="508">
        <v>0.38100000000000001</v>
      </c>
      <c r="AG2425" s="508">
        <v>0.379</v>
      </c>
      <c r="AH2425" s="508">
        <v>0.379</v>
      </c>
      <c r="AI2425" s="492">
        <v>0.379</v>
      </c>
      <c r="AJ2425" s="485"/>
    </row>
    <row r="2426" spans="2:36">
      <c r="B2426" s="136" t="s">
        <v>439</v>
      </c>
      <c r="C2426" s="132" t="s">
        <v>1373</v>
      </c>
      <c r="D2426" s="132" t="s">
        <v>282</v>
      </c>
      <c r="E2426" s="508">
        <v>6.1369999999999996</v>
      </c>
      <c r="F2426" s="508">
        <v>5.8129999999999997</v>
      </c>
      <c r="G2426" s="508">
        <v>6.0419999999999998</v>
      </c>
      <c r="H2426" s="508">
        <v>5.4</v>
      </c>
      <c r="I2426" s="508">
        <v>4.4720000000000004</v>
      </c>
      <c r="J2426" s="508">
        <v>4.7969999999999997</v>
      </c>
      <c r="K2426" s="508">
        <v>4.4269999999999996</v>
      </c>
      <c r="L2426" s="508">
        <v>4.7300000000000004</v>
      </c>
      <c r="M2426" s="508">
        <v>4.4059999999999997</v>
      </c>
      <c r="N2426" s="508">
        <v>4.577</v>
      </c>
      <c r="O2426" s="508">
        <v>4.93</v>
      </c>
      <c r="P2426" s="508">
        <v>4.99</v>
      </c>
      <c r="Q2426" s="508">
        <v>5.0880000000000001</v>
      </c>
      <c r="R2426" s="508">
        <v>4.7489999999999997</v>
      </c>
      <c r="S2426" s="508">
        <v>4.4660000000000002</v>
      </c>
      <c r="T2426" s="508">
        <v>4.5</v>
      </c>
      <c r="U2426" s="508">
        <v>4.3090000000000002</v>
      </c>
      <c r="V2426" s="508">
        <v>4.3179999999999996</v>
      </c>
      <c r="W2426" s="508">
        <v>3.177</v>
      </c>
      <c r="X2426" s="508">
        <v>3.1850000000000001</v>
      </c>
      <c r="Y2426" s="508">
        <v>3.149</v>
      </c>
      <c r="Z2426" s="508">
        <v>3.113</v>
      </c>
      <c r="AA2426" s="508">
        <v>0.81899999999999995</v>
      </c>
      <c r="AB2426" s="508">
        <v>0.74199999999999999</v>
      </c>
      <c r="AC2426" s="508">
        <v>0.76900000000000002</v>
      </c>
      <c r="AD2426" s="508">
        <v>0.50700000000000001</v>
      </c>
      <c r="AE2426" s="508">
        <v>0.48499999999999999</v>
      </c>
      <c r="AF2426" s="508">
        <v>0.41299999999999998</v>
      </c>
      <c r="AG2426" s="508">
        <v>0.41099999999999998</v>
      </c>
      <c r="AH2426" s="508">
        <v>0.41099999999999998</v>
      </c>
      <c r="AI2426" s="492">
        <v>0.41099999999999998</v>
      </c>
      <c r="AJ2426" s="485"/>
    </row>
    <row r="2427" spans="2:36">
      <c r="B2427" s="136" t="s">
        <v>440</v>
      </c>
      <c r="C2427" s="132" t="s">
        <v>1373</v>
      </c>
      <c r="D2427" s="132" t="s">
        <v>282</v>
      </c>
      <c r="E2427" s="508">
        <v>5.97</v>
      </c>
      <c r="F2427" s="508">
        <v>5.6609999999999996</v>
      </c>
      <c r="G2427" s="508">
        <v>5.8810000000000002</v>
      </c>
      <c r="H2427" s="508">
        <v>5.2629999999999999</v>
      </c>
      <c r="I2427" s="508">
        <v>4.3810000000000002</v>
      </c>
      <c r="J2427" s="508">
        <v>4.694</v>
      </c>
      <c r="K2427" s="508">
        <v>4.3369999999999997</v>
      </c>
      <c r="L2427" s="508">
        <v>4.6280000000000001</v>
      </c>
      <c r="M2427" s="508">
        <v>4.319</v>
      </c>
      <c r="N2427" s="508">
        <v>4.4829999999999997</v>
      </c>
      <c r="O2427" s="508">
        <v>4.819</v>
      </c>
      <c r="P2427" s="508">
        <v>4.88</v>
      </c>
      <c r="Q2427" s="508">
        <v>4.9729999999999999</v>
      </c>
      <c r="R2427" s="508">
        <v>4.6479999999999997</v>
      </c>
      <c r="S2427" s="508">
        <v>4.3760000000000003</v>
      </c>
      <c r="T2427" s="508">
        <v>4.4109999999999996</v>
      </c>
      <c r="U2427" s="508">
        <v>4.2279999999999998</v>
      </c>
      <c r="V2427" s="508">
        <v>4.2370000000000001</v>
      </c>
      <c r="W2427" s="508">
        <v>3.13</v>
      </c>
      <c r="X2427" s="508">
        <v>3.1379999999999999</v>
      </c>
      <c r="Y2427" s="508">
        <v>3.1030000000000002</v>
      </c>
      <c r="Z2427" s="508">
        <v>3.069</v>
      </c>
      <c r="AA2427" s="508">
        <v>0.8</v>
      </c>
      <c r="AB2427" s="508">
        <v>0.72799999999999998</v>
      </c>
      <c r="AC2427" s="508">
        <v>0.753</v>
      </c>
      <c r="AD2427" s="508">
        <v>0.495</v>
      </c>
      <c r="AE2427" s="508">
        <v>0.47299999999999998</v>
      </c>
      <c r="AF2427" s="508">
        <v>0.40300000000000002</v>
      </c>
      <c r="AG2427" s="508">
        <v>0.40100000000000002</v>
      </c>
      <c r="AH2427" s="508">
        <v>0.40100000000000002</v>
      </c>
      <c r="AI2427" s="492">
        <v>0.40100000000000002</v>
      </c>
      <c r="AJ2427" s="485"/>
    </row>
    <row r="2428" spans="2:36">
      <c r="B2428" s="136" t="s">
        <v>441</v>
      </c>
      <c r="C2428" s="132" t="s">
        <v>1373</v>
      </c>
      <c r="D2428" s="132" t="s">
        <v>282</v>
      </c>
      <c r="E2428" s="508">
        <v>6.1849999999999996</v>
      </c>
      <c r="F2428" s="508">
        <v>5.8550000000000004</v>
      </c>
      <c r="G2428" s="508">
        <v>6.0880000000000001</v>
      </c>
      <c r="H2428" s="508">
        <v>5.4359999999999999</v>
      </c>
      <c r="I2428" s="508">
        <v>4.4909999999999997</v>
      </c>
      <c r="J2428" s="508">
        <v>4.8209999999999997</v>
      </c>
      <c r="K2428" s="508">
        <v>4.4450000000000003</v>
      </c>
      <c r="L2428" s="508">
        <v>4.7530000000000001</v>
      </c>
      <c r="M2428" s="508">
        <v>4.423</v>
      </c>
      <c r="N2428" s="508">
        <v>4.5970000000000004</v>
      </c>
      <c r="O2428" s="508">
        <v>4.9560000000000004</v>
      </c>
      <c r="P2428" s="508">
        <v>5.0170000000000003</v>
      </c>
      <c r="Q2428" s="508">
        <v>5.1159999999999997</v>
      </c>
      <c r="R2428" s="508">
        <v>4.7720000000000002</v>
      </c>
      <c r="S2428" s="508">
        <v>4.4850000000000003</v>
      </c>
      <c r="T2428" s="508">
        <v>4.5179999999999998</v>
      </c>
      <c r="U2428" s="508">
        <v>4.3239999999999998</v>
      </c>
      <c r="V2428" s="508">
        <v>4.3330000000000002</v>
      </c>
      <c r="W2428" s="508">
        <v>3.1850000000000001</v>
      </c>
      <c r="X2428" s="508">
        <v>3.1920000000000002</v>
      </c>
      <c r="Y2428" s="508">
        <v>3.1560000000000001</v>
      </c>
      <c r="Z2428" s="508">
        <v>3.1190000000000002</v>
      </c>
      <c r="AA2428" s="508">
        <v>0.82399999999999995</v>
      </c>
      <c r="AB2428" s="508">
        <v>0.745</v>
      </c>
      <c r="AC2428" s="508">
        <v>0.77300000000000002</v>
      </c>
      <c r="AD2428" s="508">
        <v>0.51</v>
      </c>
      <c r="AE2428" s="508">
        <v>0.48799999999999999</v>
      </c>
      <c r="AF2428" s="508">
        <v>0.41599999999999998</v>
      </c>
      <c r="AG2428" s="508">
        <v>0.41399999999999998</v>
      </c>
      <c r="AH2428" s="508">
        <v>0.41399999999999998</v>
      </c>
      <c r="AI2428" s="492">
        <v>0.41399999999999998</v>
      </c>
      <c r="AJ2428" s="485"/>
    </row>
    <row r="2429" spans="2:36">
      <c r="B2429" s="136" t="s">
        <v>443</v>
      </c>
      <c r="C2429" s="132" t="s">
        <v>1373</v>
      </c>
      <c r="D2429" s="132" t="s">
        <v>282</v>
      </c>
      <c r="E2429" s="508">
        <v>6.3570000000000002</v>
      </c>
      <c r="F2429" s="508">
        <v>6.0289999999999999</v>
      </c>
      <c r="G2429" s="508">
        <v>6.2549999999999999</v>
      </c>
      <c r="H2429" s="508">
        <v>5.6319999999999997</v>
      </c>
      <c r="I2429" s="508">
        <v>4.6820000000000004</v>
      </c>
      <c r="J2429" s="508">
        <v>5.0010000000000003</v>
      </c>
      <c r="K2429" s="508">
        <v>4.6429999999999998</v>
      </c>
      <c r="L2429" s="508">
        <v>4.9370000000000003</v>
      </c>
      <c r="M2429" s="508">
        <v>4.6120000000000001</v>
      </c>
      <c r="N2429" s="508">
        <v>4.78</v>
      </c>
      <c r="O2429" s="508">
        <v>5.1360000000000001</v>
      </c>
      <c r="P2429" s="508">
        <v>5.1840000000000002</v>
      </c>
      <c r="Q2429" s="508">
        <v>5.28</v>
      </c>
      <c r="R2429" s="508">
        <v>4.95</v>
      </c>
      <c r="S2429" s="508">
        <v>4.6740000000000004</v>
      </c>
      <c r="T2429" s="508">
        <v>4.6959999999999997</v>
      </c>
      <c r="U2429" s="508">
        <v>4.5090000000000003</v>
      </c>
      <c r="V2429" s="508">
        <v>4.5129999999999999</v>
      </c>
      <c r="W2429" s="508">
        <v>3.3319999999999999</v>
      </c>
      <c r="X2429" s="508">
        <v>3.34</v>
      </c>
      <c r="Y2429" s="508">
        <v>3.3029999999999999</v>
      </c>
      <c r="Z2429" s="508">
        <v>3.266</v>
      </c>
      <c r="AA2429" s="508">
        <v>0.85499999999999998</v>
      </c>
      <c r="AB2429" s="508">
        <v>0.77700000000000002</v>
      </c>
      <c r="AC2429" s="508">
        <v>0.80400000000000005</v>
      </c>
      <c r="AD2429" s="508">
        <v>0.52900000000000003</v>
      </c>
      <c r="AE2429" s="508">
        <v>0.50600000000000001</v>
      </c>
      <c r="AF2429" s="508">
        <v>0.43099999999999999</v>
      </c>
      <c r="AG2429" s="508">
        <v>0.42899999999999999</v>
      </c>
      <c r="AH2429" s="508">
        <v>0.42899999999999999</v>
      </c>
      <c r="AI2429" s="492">
        <v>0.42899999999999999</v>
      </c>
      <c r="AJ2429" s="485"/>
    </row>
    <row r="2430" spans="2:36">
      <c r="B2430" s="136" t="s">
        <v>445</v>
      </c>
      <c r="C2430" s="132" t="s">
        <v>1373</v>
      </c>
      <c r="D2430" s="132" t="s">
        <v>282</v>
      </c>
      <c r="E2430" s="508">
        <v>7.0439999999999996</v>
      </c>
      <c r="F2430" s="508">
        <v>6.6769999999999996</v>
      </c>
      <c r="G2430" s="508">
        <v>6.9260000000000002</v>
      </c>
      <c r="H2430" s="508">
        <v>6.2480000000000002</v>
      </c>
      <c r="I2430" s="508">
        <v>5.1779999999999999</v>
      </c>
      <c r="J2430" s="508">
        <v>5.5270000000000001</v>
      </c>
      <c r="K2430" s="508">
        <v>5.1379999999999999</v>
      </c>
      <c r="L2430" s="508">
        <v>5.4580000000000002</v>
      </c>
      <c r="M2430" s="508">
        <v>5.0960000000000001</v>
      </c>
      <c r="N2430" s="508">
        <v>5.2809999999999997</v>
      </c>
      <c r="O2430" s="508">
        <v>5.6779999999999999</v>
      </c>
      <c r="P2430" s="508">
        <v>5.7220000000000004</v>
      </c>
      <c r="Q2430" s="508">
        <v>5.8289999999999997</v>
      </c>
      <c r="R2430" s="508">
        <v>5.4669999999999996</v>
      </c>
      <c r="S2430" s="508">
        <v>5.1660000000000004</v>
      </c>
      <c r="T2430" s="508">
        <v>5.1829999999999998</v>
      </c>
      <c r="U2430" s="508">
        <v>4.9770000000000003</v>
      </c>
      <c r="V2430" s="508">
        <v>4.9790000000000001</v>
      </c>
      <c r="W2430" s="508">
        <v>3.6139999999999999</v>
      </c>
      <c r="X2430" s="508">
        <v>3.6219999999999999</v>
      </c>
      <c r="Y2430" s="508">
        <v>3.58</v>
      </c>
      <c r="Z2430" s="508">
        <v>3.5390000000000001</v>
      </c>
      <c r="AA2430" s="508">
        <v>0.93600000000000005</v>
      </c>
      <c r="AB2430" s="508">
        <v>0.84599999999999997</v>
      </c>
      <c r="AC2430" s="508">
        <v>0.878</v>
      </c>
      <c r="AD2430" s="508">
        <v>0.57999999999999996</v>
      </c>
      <c r="AE2430" s="508">
        <v>0.55400000000000005</v>
      </c>
      <c r="AF2430" s="508">
        <v>0.47199999999999998</v>
      </c>
      <c r="AG2430" s="508">
        <v>0.47</v>
      </c>
      <c r="AH2430" s="508">
        <v>0.47</v>
      </c>
      <c r="AI2430" s="492">
        <v>0.47</v>
      </c>
      <c r="AJ2430" s="485"/>
    </row>
    <row r="2431" spans="2:36">
      <c r="B2431" s="136" t="s">
        <v>446</v>
      </c>
      <c r="C2431" s="132" t="s">
        <v>1373</v>
      </c>
      <c r="D2431" s="132" t="s">
        <v>282</v>
      </c>
      <c r="E2431" s="508">
        <v>6.5279999999999996</v>
      </c>
      <c r="F2431" s="508">
        <v>6.1929999999999996</v>
      </c>
      <c r="G2431" s="508">
        <v>6.4249999999999998</v>
      </c>
      <c r="H2431" s="508">
        <v>5.7850000000000001</v>
      </c>
      <c r="I2431" s="508">
        <v>4.8150000000000004</v>
      </c>
      <c r="J2431" s="508">
        <v>5.1420000000000003</v>
      </c>
      <c r="K2431" s="508">
        <v>4.774</v>
      </c>
      <c r="L2431" s="508">
        <v>5.0759999999999996</v>
      </c>
      <c r="M2431" s="508">
        <v>4.7430000000000003</v>
      </c>
      <c r="N2431" s="508">
        <v>4.9160000000000004</v>
      </c>
      <c r="O2431" s="508">
        <v>5.2789999999999999</v>
      </c>
      <c r="P2431" s="508">
        <v>5.33</v>
      </c>
      <c r="Q2431" s="508">
        <v>5.4290000000000003</v>
      </c>
      <c r="R2431" s="508">
        <v>5.0890000000000004</v>
      </c>
      <c r="S2431" s="508">
        <v>4.806</v>
      </c>
      <c r="T2431" s="508">
        <v>4.8310000000000004</v>
      </c>
      <c r="U2431" s="508">
        <v>4.6390000000000002</v>
      </c>
      <c r="V2431" s="508">
        <v>4.6429999999999998</v>
      </c>
      <c r="W2431" s="508">
        <v>3.3980000000000001</v>
      </c>
      <c r="X2431" s="508">
        <v>3.4060000000000001</v>
      </c>
      <c r="Y2431" s="508">
        <v>3.367</v>
      </c>
      <c r="Z2431" s="508">
        <v>3.33</v>
      </c>
      <c r="AA2431" s="508">
        <v>0.872</v>
      </c>
      <c r="AB2431" s="508">
        <v>0.79200000000000004</v>
      </c>
      <c r="AC2431" s="508">
        <v>0.82</v>
      </c>
      <c r="AD2431" s="508">
        <v>0.53900000000000003</v>
      </c>
      <c r="AE2431" s="508">
        <v>0.51600000000000001</v>
      </c>
      <c r="AF2431" s="508">
        <v>0.439</v>
      </c>
      <c r="AG2431" s="508">
        <v>0.437</v>
      </c>
      <c r="AH2431" s="508">
        <v>0.437</v>
      </c>
      <c r="AI2431" s="492">
        <v>0.437</v>
      </c>
      <c r="AJ2431" s="485"/>
    </row>
    <row r="2432" spans="2:36">
      <c r="B2432" s="136" t="s">
        <v>448</v>
      </c>
      <c r="C2432" s="132" t="s">
        <v>1373</v>
      </c>
      <c r="D2432" s="132" t="s">
        <v>282</v>
      </c>
      <c r="E2432" s="508">
        <v>5.7720000000000002</v>
      </c>
      <c r="F2432" s="508">
        <v>5.4770000000000003</v>
      </c>
      <c r="G2432" s="508">
        <v>5.6879999999999997</v>
      </c>
      <c r="H2432" s="508">
        <v>5.093</v>
      </c>
      <c r="I2432" s="508">
        <v>4.2530000000000001</v>
      </c>
      <c r="J2432" s="508">
        <v>4.5540000000000003</v>
      </c>
      <c r="K2432" s="508">
        <v>4.21</v>
      </c>
      <c r="L2432" s="508">
        <v>4.4909999999999997</v>
      </c>
      <c r="M2432" s="508">
        <v>4.194</v>
      </c>
      <c r="N2432" s="508">
        <v>4.3529999999999998</v>
      </c>
      <c r="O2432" s="508">
        <v>4.6740000000000004</v>
      </c>
      <c r="P2432" s="508">
        <v>4.734</v>
      </c>
      <c r="Q2432" s="508">
        <v>4.8239999999999998</v>
      </c>
      <c r="R2432" s="508">
        <v>4.5110000000000001</v>
      </c>
      <c r="S2432" s="508">
        <v>4.2489999999999997</v>
      </c>
      <c r="T2432" s="508">
        <v>4.2850000000000001</v>
      </c>
      <c r="U2432" s="508">
        <v>4.109</v>
      </c>
      <c r="V2432" s="508">
        <v>4.1189999999999998</v>
      </c>
      <c r="W2432" s="508">
        <v>3.0609999999999999</v>
      </c>
      <c r="X2432" s="508">
        <v>3.069</v>
      </c>
      <c r="Y2432" s="508">
        <v>3.0350000000000001</v>
      </c>
      <c r="Z2432" s="508">
        <v>3.0019999999999998</v>
      </c>
      <c r="AA2432" s="508">
        <v>0.77800000000000002</v>
      </c>
      <c r="AB2432" s="508">
        <v>0.71</v>
      </c>
      <c r="AC2432" s="508">
        <v>0.73299999999999998</v>
      </c>
      <c r="AD2432" s="508">
        <v>0.48</v>
      </c>
      <c r="AE2432" s="508">
        <v>0.46</v>
      </c>
      <c r="AF2432" s="508">
        <v>0.39100000000000001</v>
      </c>
      <c r="AG2432" s="508">
        <v>0.38900000000000001</v>
      </c>
      <c r="AH2432" s="508">
        <v>0.38900000000000001</v>
      </c>
      <c r="AI2432" s="492">
        <v>0.38900000000000001</v>
      </c>
      <c r="AJ2432" s="485"/>
    </row>
    <row r="2433" spans="2:36">
      <c r="B2433" s="136" t="s">
        <v>449</v>
      </c>
      <c r="C2433" s="132" t="s">
        <v>1373</v>
      </c>
      <c r="D2433" s="132" t="s">
        <v>282</v>
      </c>
      <c r="E2433" s="508">
        <v>6.4269999999999996</v>
      </c>
      <c r="F2433" s="508">
        <v>6.093</v>
      </c>
      <c r="G2433" s="508">
        <v>6.3239999999999998</v>
      </c>
      <c r="H2433" s="508">
        <v>5.6890000000000001</v>
      </c>
      <c r="I2433" s="508">
        <v>4.7229999999999999</v>
      </c>
      <c r="J2433" s="508">
        <v>5.048</v>
      </c>
      <c r="K2433" s="508">
        <v>4.6829999999999998</v>
      </c>
      <c r="L2433" s="508">
        <v>4.9829999999999997</v>
      </c>
      <c r="M2433" s="508">
        <v>4.6520000000000001</v>
      </c>
      <c r="N2433" s="508">
        <v>4.8230000000000004</v>
      </c>
      <c r="O2433" s="508">
        <v>5.1849999999999996</v>
      </c>
      <c r="P2433" s="508">
        <v>5.2350000000000003</v>
      </c>
      <c r="Q2433" s="508">
        <v>5.3330000000000002</v>
      </c>
      <c r="R2433" s="508">
        <v>4.9960000000000004</v>
      </c>
      <c r="S2433" s="508">
        <v>4.7149999999999999</v>
      </c>
      <c r="T2433" s="508">
        <v>4.7389999999999999</v>
      </c>
      <c r="U2433" s="508">
        <v>4.548</v>
      </c>
      <c r="V2433" s="508">
        <v>4.5519999999999996</v>
      </c>
      <c r="W2433" s="508">
        <v>3.3490000000000002</v>
      </c>
      <c r="X2433" s="508">
        <v>3.3570000000000002</v>
      </c>
      <c r="Y2433" s="508">
        <v>3.319</v>
      </c>
      <c r="Z2433" s="508">
        <v>3.2810000000000001</v>
      </c>
      <c r="AA2433" s="508">
        <v>0.86099999999999999</v>
      </c>
      <c r="AB2433" s="508">
        <v>0.78200000000000003</v>
      </c>
      <c r="AC2433" s="508">
        <v>0.81</v>
      </c>
      <c r="AD2433" s="508">
        <v>0.53300000000000003</v>
      </c>
      <c r="AE2433" s="508">
        <v>0.51</v>
      </c>
      <c r="AF2433" s="508">
        <v>0.434</v>
      </c>
      <c r="AG2433" s="508">
        <v>0.432</v>
      </c>
      <c r="AH2433" s="508">
        <v>0.432</v>
      </c>
      <c r="AI2433" s="492">
        <v>0.432</v>
      </c>
      <c r="AJ2433" s="485"/>
    </row>
    <row r="2434" spans="2:36">
      <c r="B2434" s="136" t="s">
        <v>450</v>
      </c>
      <c r="C2434" s="132" t="s">
        <v>1373</v>
      </c>
      <c r="D2434" s="132" t="s">
        <v>282</v>
      </c>
      <c r="E2434" s="508">
        <v>5.7329999999999997</v>
      </c>
      <c r="F2434" s="508">
        <v>5.444</v>
      </c>
      <c r="G2434" s="508">
        <v>5.6509999999999998</v>
      </c>
      <c r="H2434" s="508">
        <v>5.0670000000000002</v>
      </c>
      <c r="I2434" s="508">
        <v>4.2439999999999998</v>
      </c>
      <c r="J2434" s="508">
        <v>4.5380000000000003</v>
      </c>
      <c r="K2434" s="508">
        <v>4.2009999999999996</v>
      </c>
      <c r="L2434" s="508">
        <v>4.476</v>
      </c>
      <c r="M2434" s="508">
        <v>4.1859999999999999</v>
      </c>
      <c r="N2434" s="508">
        <v>4.3410000000000002</v>
      </c>
      <c r="O2434" s="508">
        <v>4.6559999999999997</v>
      </c>
      <c r="P2434" s="508">
        <v>4.7149999999999999</v>
      </c>
      <c r="Q2434" s="508">
        <v>4.8029999999999999</v>
      </c>
      <c r="R2434" s="508">
        <v>4.4960000000000004</v>
      </c>
      <c r="S2434" s="508">
        <v>4.2389999999999999</v>
      </c>
      <c r="T2434" s="508">
        <v>4.2750000000000004</v>
      </c>
      <c r="U2434" s="508">
        <v>4.1020000000000003</v>
      </c>
      <c r="V2434" s="508">
        <v>4.1120000000000001</v>
      </c>
      <c r="W2434" s="508">
        <v>3.06</v>
      </c>
      <c r="X2434" s="508">
        <v>3.069</v>
      </c>
      <c r="Y2434" s="508">
        <v>3.0339999999999998</v>
      </c>
      <c r="Z2434" s="508">
        <v>3.0030000000000001</v>
      </c>
      <c r="AA2434" s="508">
        <v>0.77500000000000002</v>
      </c>
      <c r="AB2434" s="508">
        <v>0.70899999999999996</v>
      </c>
      <c r="AC2434" s="508">
        <v>0.73</v>
      </c>
      <c r="AD2434" s="508">
        <v>0.47799999999999998</v>
      </c>
      <c r="AE2434" s="508">
        <v>0.45800000000000002</v>
      </c>
      <c r="AF2434" s="508">
        <v>0.38900000000000001</v>
      </c>
      <c r="AG2434" s="508">
        <v>0.38700000000000001</v>
      </c>
      <c r="AH2434" s="508">
        <v>0.38700000000000001</v>
      </c>
      <c r="AI2434" s="492">
        <v>0.38700000000000001</v>
      </c>
      <c r="AJ2434" s="485"/>
    </row>
    <row r="2435" spans="2:36">
      <c r="B2435" s="136" t="s">
        <v>451</v>
      </c>
      <c r="C2435" s="132" t="s">
        <v>1373</v>
      </c>
      <c r="D2435" s="132" t="s">
        <v>282</v>
      </c>
      <c r="E2435" s="508">
        <v>6.6879999999999997</v>
      </c>
      <c r="F2435" s="508">
        <v>6.3369999999999997</v>
      </c>
      <c r="G2435" s="508">
        <v>6.5789999999999997</v>
      </c>
      <c r="H2435" s="508">
        <v>5.9130000000000003</v>
      </c>
      <c r="I2435" s="508">
        <v>4.8959999999999999</v>
      </c>
      <c r="J2435" s="508">
        <v>5.2370000000000001</v>
      </c>
      <c r="K2435" s="508">
        <v>4.8540000000000001</v>
      </c>
      <c r="L2435" s="508">
        <v>5.1689999999999996</v>
      </c>
      <c r="M2435" s="508">
        <v>4.82</v>
      </c>
      <c r="N2435" s="508">
        <v>5</v>
      </c>
      <c r="O2435" s="508">
        <v>5.3810000000000002</v>
      </c>
      <c r="P2435" s="508">
        <v>5.4320000000000004</v>
      </c>
      <c r="Q2435" s="508">
        <v>5.5359999999999996</v>
      </c>
      <c r="R2435" s="508">
        <v>5.1820000000000004</v>
      </c>
      <c r="S2435" s="508">
        <v>4.8869999999999996</v>
      </c>
      <c r="T2435" s="508">
        <v>4.9109999999999996</v>
      </c>
      <c r="U2435" s="508">
        <v>4.71</v>
      </c>
      <c r="V2435" s="508">
        <v>4.7149999999999999</v>
      </c>
      <c r="W2435" s="508">
        <v>3.4380000000000002</v>
      </c>
      <c r="X2435" s="508">
        <v>3.4460000000000002</v>
      </c>
      <c r="Y2435" s="508">
        <v>3.407</v>
      </c>
      <c r="Z2435" s="508">
        <v>3.367</v>
      </c>
      <c r="AA2435" s="508">
        <v>0.88900000000000001</v>
      </c>
      <c r="AB2435" s="508">
        <v>0.80500000000000005</v>
      </c>
      <c r="AC2435" s="508">
        <v>0.83499999999999996</v>
      </c>
      <c r="AD2435" s="508">
        <v>0.55100000000000005</v>
      </c>
      <c r="AE2435" s="508">
        <v>0.52600000000000002</v>
      </c>
      <c r="AF2435" s="508">
        <v>0.44900000000000001</v>
      </c>
      <c r="AG2435" s="508">
        <v>0.44700000000000001</v>
      </c>
      <c r="AH2435" s="508">
        <v>0.44700000000000001</v>
      </c>
      <c r="AI2435" s="492">
        <v>0.44700000000000001</v>
      </c>
      <c r="AJ2435" s="485"/>
    </row>
    <row r="2436" spans="2:36">
      <c r="B2436" s="136" t="s">
        <v>452</v>
      </c>
      <c r="C2436" s="132" t="s">
        <v>1373</v>
      </c>
      <c r="D2436" s="132" t="s">
        <v>282</v>
      </c>
      <c r="E2436" s="508">
        <v>6.093</v>
      </c>
      <c r="F2436" s="508">
        <v>5.7830000000000004</v>
      </c>
      <c r="G2436" s="508">
        <v>6.0010000000000003</v>
      </c>
      <c r="H2436" s="508">
        <v>5.3929999999999998</v>
      </c>
      <c r="I2436" s="508">
        <v>4.5030000000000001</v>
      </c>
      <c r="J2436" s="508">
        <v>4.8120000000000003</v>
      </c>
      <c r="K2436" s="508">
        <v>4.4610000000000003</v>
      </c>
      <c r="L2436" s="508">
        <v>4.7480000000000002</v>
      </c>
      <c r="M2436" s="508">
        <v>4.4379999999999997</v>
      </c>
      <c r="N2436" s="508">
        <v>4.601</v>
      </c>
      <c r="O2436" s="508">
        <v>4.9379999999999997</v>
      </c>
      <c r="P2436" s="508">
        <v>4.9930000000000003</v>
      </c>
      <c r="Q2436" s="508">
        <v>5.0860000000000003</v>
      </c>
      <c r="R2436" s="508">
        <v>4.7649999999999997</v>
      </c>
      <c r="S2436" s="508">
        <v>4.4969999999999999</v>
      </c>
      <c r="T2436" s="508">
        <v>4.5259999999999998</v>
      </c>
      <c r="U2436" s="508">
        <v>4.3449999999999998</v>
      </c>
      <c r="V2436" s="508">
        <v>4.3520000000000003</v>
      </c>
      <c r="W2436" s="508">
        <v>3.2149999999999999</v>
      </c>
      <c r="X2436" s="508">
        <v>3.2229999999999999</v>
      </c>
      <c r="Y2436" s="508">
        <v>3.1859999999999999</v>
      </c>
      <c r="Z2436" s="508">
        <v>3.1520000000000001</v>
      </c>
      <c r="AA2436" s="508">
        <v>0.81899999999999995</v>
      </c>
      <c r="AB2436" s="508">
        <v>0.747</v>
      </c>
      <c r="AC2436" s="508">
        <v>0.77100000000000002</v>
      </c>
      <c r="AD2436" s="508">
        <v>0.50600000000000001</v>
      </c>
      <c r="AE2436" s="508">
        <v>0.48399999999999999</v>
      </c>
      <c r="AF2436" s="508">
        <v>0.41199999999999998</v>
      </c>
      <c r="AG2436" s="508">
        <v>0.41</v>
      </c>
      <c r="AH2436" s="508">
        <v>0.41</v>
      </c>
      <c r="AI2436" s="492">
        <v>0.41</v>
      </c>
      <c r="AJ2436" s="485"/>
    </row>
    <row r="2437" spans="2:36">
      <c r="B2437" s="136" t="s">
        <v>453</v>
      </c>
      <c r="C2437" s="132" t="s">
        <v>1373</v>
      </c>
      <c r="D2437" s="132" t="s">
        <v>282</v>
      </c>
      <c r="E2437" s="508">
        <v>5.6440000000000001</v>
      </c>
      <c r="F2437" s="508">
        <v>5.36</v>
      </c>
      <c r="G2437" s="508">
        <v>5.5640000000000001</v>
      </c>
      <c r="H2437" s="508">
        <v>4.9870000000000001</v>
      </c>
      <c r="I2437" s="508">
        <v>4.181</v>
      </c>
      <c r="J2437" s="508">
        <v>4.4720000000000004</v>
      </c>
      <c r="K2437" s="508">
        <v>4.1390000000000002</v>
      </c>
      <c r="L2437" s="508">
        <v>4.41</v>
      </c>
      <c r="M2437" s="508">
        <v>4.125</v>
      </c>
      <c r="N2437" s="508">
        <v>4.2779999999999996</v>
      </c>
      <c r="O2437" s="508">
        <v>4.5869999999999997</v>
      </c>
      <c r="P2437" s="508">
        <v>4.6470000000000002</v>
      </c>
      <c r="Q2437" s="508">
        <v>4.734</v>
      </c>
      <c r="R2437" s="508">
        <v>4.431</v>
      </c>
      <c r="S2437" s="508">
        <v>4.1779999999999999</v>
      </c>
      <c r="T2437" s="508">
        <v>4.2140000000000004</v>
      </c>
      <c r="U2437" s="508">
        <v>4.0439999999999996</v>
      </c>
      <c r="V2437" s="508">
        <v>4.0540000000000003</v>
      </c>
      <c r="W2437" s="508">
        <v>3.024</v>
      </c>
      <c r="X2437" s="508">
        <v>3.032</v>
      </c>
      <c r="Y2437" s="508">
        <v>2.9980000000000002</v>
      </c>
      <c r="Z2437" s="508">
        <v>2.9670000000000001</v>
      </c>
      <c r="AA2437" s="508">
        <v>0.76400000000000001</v>
      </c>
      <c r="AB2437" s="508">
        <v>0.7</v>
      </c>
      <c r="AC2437" s="508">
        <v>0.72099999999999997</v>
      </c>
      <c r="AD2437" s="508">
        <v>0.47099999999999997</v>
      </c>
      <c r="AE2437" s="508">
        <v>0.45100000000000001</v>
      </c>
      <c r="AF2437" s="508">
        <v>0.38300000000000001</v>
      </c>
      <c r="AG2437" s="508">
        <v>0.38200000000000001</v>
      </c>
      <c r="AH2437" s="508">
        <v>0.38200000000000001</v>
      </c>
      <c r="AI2437" s="492">
        <v>0.38200000000000001</v>
      </c>
      <c r="AJ2437" s="485"/>
    </row>
    <row r="2438" spans="2:36">
      <c r="B2438" s="136" t="s">
        <v>454</v>
      </c>
      <c r="C2438" s="132" t="s">
        <v>1373</v>
      </c>
      <c r="D2438" s="132" t="s">
        <v>282</v>
      </c>
      <c r="E2438" s="508">
        <v>5.7770000000000001</v>
      </c>
      <c r="F2438" s="508">
        <v>5.4809999999999999</v>
      </c>
      <c r="G2438" s="508">
        <v>5.6920000000000002</v>
      </c>
      <c r="H2438" s="508">
        <v>5.0979999999999999</v>
      </c>
      <c r="I2438" s="508">
        <v>4.2560000000000002</v>
      </c>
      <c r="J2438" s="508">
        <v>4.556</v>
      </c>
      <c r="K2438" s="508">
        <v>4.2140000000000004</v>
      </c>
      <c r="L2438" s="508">
        <v>4.4939999999999998</v>
      </c>
      <c r="M2438" s="508">
        <v>4.1970000000000001</v>
      </c>
      <c r="N2438" s="508">
        <v>4.3550000000000004</v>
      </c>
      <c r="O2438" s="508">
        <v>4.6769999999999996</v>
      </c>
      <c r="P2438" s="508">
        <v>4.7359999999999998</v>
      </c>
      <c r="Q2438" s="508">
        <v>4.8259999999999996</v>
      </c>
      <c r="R2438" s="508">
        <v>4.5129999999999999</v>
      </c>
      <c r="S2438" s="508">
        <v>4.2519999999999998</v>
      </c>
      <c r="T2438" s="508">
        <v>4.2869999999999999</v>
      </c>
      <c r="U2438" s="508">
        <v>4.1109999999999998</v>
      </c>
      <c r="V2438" s="508">
        <v>4.1210000000000004</v>
      </c>
      <c r="W2438" s="508">
        <v>3.0659999999999998</v>
      </c>
      <c r="X2438" s="508">
        <v>3.0739999999999998</v>
      </c>
      <c r="Y2438" s="508">
        <v>3.0390000000000001</v>
      </c>
      <c r="Z2438" s="508">
        <v>3.0070000000000001</v>
      </c>
      <c r="AA2438" s="508">
        <v>0.77900000000000003</v>
      </c>
      <c r="AB2438" s="508">
        <v>0.71099999999999997</v>
      </c>
      <c r="AC2438" s="508">
        <v>0.73399999999999999</v>
      </c>
      <c r="AD2438" s="508">
        <v>0.48099999999999998</v>
      </c>
      <c r="AE2438" s="508">
        <v>0.46100000000000002</v>
      </c>
      <c r="AF2438" s="508">
        <v>0.39200000000000002</v>
      </c>
      <c r="AG2438" s="508">
        <v>0.39</v>
      </c>
      <c r="AH2438" s="508">
        <v>0.39</v>
      </c>
      <c r="AI2438" s="492">
        <v>0.39</v>
      </c>
      <c r="AJ2438" s="485"/>
    </row>
    <row r="2439" spans="2:36">
      <c r="B2439" s="136" t="s">
        <v>455</v>
      </c>
      <c r="C2439" s="132" t="s">
        <v>1373</v>
      </c>
      <c r="D2439" s="132" t="s">
        <v>282</v>
      </c>
      <c r="E2439" s="508">
        <v>5.5449999999999999</v>
      </c>
      <c r="F2439" s="508">
        <v>5.2640000000000002</v>
      </c>
      <c r="G2439" s="508">
        <v>5.468</v>
      </c>
      <c r="H2439" s="508">
        <v>4.8879999999999999</v>
      </c>
      <c r="I2439" s="508">
        <v>4.0960000000000001</v>
      </c>
      <c r="J2439" s="508">
        <v>4.3869999999999996</v>
      </c>
      <c r="K2439" s="508">
        <v>4.0510000000000002</v>
      </c>
      <c r="L2439" s="508">
        <v>4.3250000000000002</v>
      </c>
      <c r="M2439" s="508">
        <v>4.0410000000000004</v>
      </c>
      <c r="N2439" s="508">
        <v>4.1950000000000003</v>
      </c>
      <c r="O2439" s="508">
        <v>4.5010000000000003</v>
      </c>
      <c r="P2439" s="508">
        <v>4.5659999999999998</v>
      </c>
      <c r="Q2439" s="508">
        <v>4.6520000000000001</v>
      </c>
      <c r="R2439" s="508">
        <v>4.3470000000000004</v>
      </c>
      <c r="S2439" s="508">
        <v>4.093</v>
      </c>
      <c r="T2439" s="508">
        <v>4.1340000000000003</v>
      </c>
      <c r="U2439" s="508">
        <v>3.9630000000000001</v>
      </c>
      <c r="V2439" s="508">
        <v>3.9750000000000001</v>
      </c>
      <c r="W2439" s="508">
        <v>2.9620000000000002</v>
      </c>
      <c r="X2439" s="508">
        <v>2.9710000000000001</v>
      </c>
      <c r="Y2439" s="508">
        <v>2.9369999999999998</v>
      </c>
      <c r="Z2439" s="508">
        <v>2.907</v>
      </c>
      <c r="AA2439" s="508">
        <v>0.748</v>
      </c>
      <c r="AB2439" s="508">
        <v>0.68500000000000005</v>
      </c>
      <c r="AC2439" s="508">
        <v>0.70599999999999996</v>
      </c>
      <c r="AD2439" s="508">
        <v>0.46100000000000002</v>
      </c>
      <c r="AE2439" s="508">
        <v>0.442</v>
      </c>
      <c r="AF2439" s="508">
        <v>0.376</v>
      </c>
      <c r="AG2439" s="508">
        <v>0.374</v>
      </c>
      <c r="AH2439" s="508">
        <v>0.374</v>
      </c>
      <c r="AI2439" s="492">
        <v>0.374</v>
      </c>
      <c r="AJ2439" s="485"/>
    </row>
    <row r="2440" spans="2:36">
      <c r="B2440" s="136" t="s">
        <v>456</v>
      </c>
      <c r="C2440" s="132" t="s">
        <v>1373</v>
      </c>
      <c r="D2440" s="132" t="s">
        <v>282</v>
      </c>
      <c r="E2440" s="508">
        <v>5.8789999999999996</v>
      </c>
      <c r="F2440" s="508">
        <v>5.5789999999999997</v>
      </c>
      <c r="G2440" s="508">
        <v>5.7930000000000001</v>
      </c>
      <c r="H2440" s="508">
        <v>5.1920000000000002</v>
      </c>
      <c r="I2440" s="508">
        <v>4.335</v>
      </c>
      <c r="J2440" s="508">
        <v>4.6390000000000002</v>
      </c>
      <c r="K2440" s="508">
        <v>4.2919999999999998</v>
      </c>
      <c r="L2440" s="508">
        <v>4.5759999999999996</v>
      </c>
      <c r="M2440" s="508">
        <v>4.274</v>
      </c>
      <c r="N2440" s="508">
        <v>4.4349999999999996</v>
      </c>
      <c r="O2440" s="508">
        <v>4.7610000000000001</v>
      </c>
      <c r="P2440" s="508">
        <v>4.82</v>
      </c>
      <c r="Q2440" s="508">
        <v>4.9109999999999996</v>
      </c>
      <c r="R2440" s="508">
        <v>4.5949999999999998</v>
      </c>
      <c r="S2440" s="508">
        <v>4.3310000000000004</v>
      </c>
      <c r="T2440" s="508">
        <v>4.3650000000000002</v>
      </c>
      <c r="U2440" s="508">
        <v>4.1870000000000003</v>
      </c>
      <c r="V2440" s="508">
        <v>4.1959999999999997</v>
      </c>
      <c r="W2440" s="508">
        <v>3.1110000000000002</v>
      </c>
      <c r="X2440" s="508">
        <v>3.1190000000000002</v>
      </c>
      <c r="Y2440" s="508">
        <v>3.0830000000000002</v>
      </c>
      <c r="Z2440" s="508">
        <v>3.05</v>
      </c>
      <c r="AA2440" s="508">
        <v>0.79100000000000004</v>
      </c>
      <c r="AB2440" s="508">
        <v>0.72199999999999998</v>
      </c>
      <c r="AC2440" s="508">
        <v>0.745</v>
      </c>
      <c r="AD2440" s="508">
        <v>0.48799999999999999</v>
      </c>
      <c r="AE2440" s="508">
        <v>0.46800000000000003</v>
      </c>
      <c r="AF2440" s="508">
        <v>0.39800000000000002</v>
      </c>
      <c r="AG2440" s="508">
        <v>0.39600000000000002</v>
      </c>
      <c r="AH2440" s="508">
        <v>0.39600000000000002</v>
      </c>
      <c r="AI2440" s="492">
        <v>0.39600000000000002</v>
      </c>
      <c r="AJ2440" s="485"/>
    </row>
    <row r="2441" spans="2:36">
      <c r="B2441" s="136" t="s">
        <v>457</v>
      </c>
      <c r="C2441" s="132" t="s">
        <v>1373</v>
      </c>
      <c r="D2441" s="132" t="s">
        <v>282</v>
      </c>
      <c r="E2441" s="508">
        <v>5.44</v>
      </c>
      <c r="F2441" s="508">
        <v>5.1680000000000001</v>
      </c>
      <c r="G2441" s="508">
        <v>5.3650000000000002</v>
      </c>
      <c r="H2441" s="508">
        <v>4.8029999999999999</v>
      </c>
      <c r="I2441" s="508">
        <v>4.0330000000000004</v>
      </c>
      <c r="J2441" s="508">
        <v>4.3159999999999998</v>
      </c>
      <c r="K2441" s="508">
        <v>3.9910000000000001</v>
      </c>
      <c r="L2441" s="508">
        <v>4.2549999999999999</v>
      </c>
      <c r="M2441" s="508">
        <v>3.98</v>
      </c>
      <c r="N2441" s="508">
        <v>4.1289999999999996</v>
      </c>
      <c r="O2441" s="508">
        <v>4.4260000000000002</v>
      </c>
      <c r="P2441" s="508">
        <v>4.4880000000000004</v>
      </c>
      <c r="Q2441" s="508">
        <v>4.5720000000000001</v>
      </c>
      <c r="R2441" s="508">
        <v>4.2770000000000001</v>
      </c>
      <c r="S2441" s="508">
        <v>4.0309999999999997</v>
      </c>
      <c r="T2441" s="508">
        <v>4.069</v>
      </c>
      <c r="U2441" s="508">
        <v>3.9039999999999999</v>
      </c>
      <c r="V2441" s="508">
        <v>3.9159999999999999</v>
      </c>
      <c r="W2441" s="508">
        <v>2.9380000000000002</v>
      </c>
      <c r="X2441" s="508">
        <v>2.9470000000000001</v>
      </c>
      <c r="Y2441" s="508">
        <v>2.9129999999999998</v>
      </c>
      <c r="Z2441" s="508">
        <v>2.8839999999999999</v>
      </c>
      <c r="AA2441" s="508">
        <v>0.73899999999999999</v>
      </c>
      <c r="AB2441" s="508">
        <v>0.67900000000000005</v>
      </c>
      <c r="AC2441" s="508">
        <v>0.69799999999999995</v>
      </c>
      <c r="AD2441" s="508">
        <v>0.45500000000000002</v>
      </c>
      <c r="AE2441" s="508">
        <v>0.437</v>
      </c>
      <c r="AF2441" s="508">
        <v>0.371</v>
      </c>
      <c r="AG2441" s="508">
        <v>0.36899999999999999</v>
      </c>
      <c r="AH2441" s="508">
        <v>0.36899999999999999</v>
      </c>
      <c r="AI2441" s="492">
        <v>0.36899999999999999</v>
      </c>
      <c r="AJ2441" s="485"/>
    </row>
    <row r="2442" spans="2:36">
      <c r="B2442" s="136" t="s">
        <v>458</v>
      </c>
      <c r="C2442" s="132" t="s">
        <v>1373</v>
      </c>
      <c r="D2442" s="132" t="s">
        <v>282</v>
      </c>
      <c r="E2442" s="508">
        <v>6.0270000000000001</v>
      </c>
      <c r="F2442" s="508">
        <v>5.71</v>
      </c>
      <c r="G2442" s="508">
        <v>5.9349999999999996</v>
      </c>
      <c r="H2442" s="508">
        <v>5.3049999999999997</v>
      </c>
      <c r="I2442" s="508">
        <v>4.4000000000000004</v>
      </c>
      <c r="J2442" s="508">
        <v>4.7190000000000003</v>
      </c>
      <c r="K2442" s="508">
        <v>4.3559999999999999</v>
      </c>
      <c r="L2442" s="508">
        <v>4.6529999999999996</v>
      </c>
      <c r="M2442" s="508">
        <v>4.3360000000000003</v>
      </c>
      <c r="N2442" s="508">
        <v>4.5039999999999996</v>
      </c>
      <c r="O2442" s="508">
        <v>4.8479999999999999</v>
      </c>
      <c r="P2442" s="508">
        <v>4.9089999999999998</v>
      </c>
      <c r="Q2442" s="508">
        <v>5.0039999999999996</v>
      </c>
      <c r="R2442" s="508">
        <v>4.6719999999999997</v>
      </c>
      <c r="S2442" s="508">
        <v>4.3949999999999996</v>
      </c>
      <c r="T2442" s="508">
        <v>4.4290000000000003</v>
      </c>
      <c r="U2442" s="508">
        <v>4.242</v>
      </c>
      <c r="V2442" s="508">
        <v>4.2510000000000003</v>
      </c>
      <c r="W2442" s="508">
        <v>3.1379999999999999</v>
      </c>
      <c r="X2442" s="508">
        <v>3.1459999999999999</v>
      </c>
      <c r="Y2442" s="508">
        <v>3.11</v>
      </c>
      <c r="Z2442" s="508">
        <v>3.0750000000000002</v>
      </c>
      <c r="AA2442" s="508">
        <v>0.80600000000000005</v>
      </c>
      <c r="AB2442" s="508">
        <v>0.73199999999999998</v>
      </c>
      <c r="AC2442" s="508">
        <v>0.75800000000000001</v>
      </c>
      <c r="AD2442" s="508">
        <v>0.499</v>
      </c>
      <c r="AE2442" s="508">
        <v>0.47699999999999998</v>
      </c>
      <c r="AF2442" s="508">
        <v>0.40600000000000003</v>
      </c>
      <c r="AG2442" s="508">
        <v>0.40500000000000003</v>
      </c>
      <c r="AH2442" s="508">
        <v>0.40400000000000003</v>
      </c>
      <c r="AI2442" s="492">
        <v>0.40400000000000003</v>
      </c>
      <c r="AJ2442" s="485"/>
    </row>
    <row r="2443" spans="2:36">
      <c r="B2443" s="136" t="s">
        <v>459</v>
      </c>
      <c r="C2443" s="132" t="s">
        <v>1373</v>
      </c>
      <c r="D2443" s="132" t="s">
        <v>282</v>
      </c>
      <c r="E2443" s="508">
        <v>6.0179999999999998</v>
      </c>
      <c r="F2443" s="508">
        <v>5.702</v>
      </c>
      <c r="G2443" s="508">
        <v>5.9260000000000002</v>
      </c>
      <c r="H2443" s="508">
        <v>5.298</v>
      </c>
      <c r="I2443" s="508">
        <v>4.3959999999999999</v>
      </c>
      <c r="J2443" s="508">
        <v>4.7140000000000004</v>
      </c>
      <c r="K2443" s="508">
        <v>4.351</v>
      </c>
      <c r="L2443" s="508">
        <v>4.6479999999999997</v>
      </c>
      <c r="M2443" s="508">
        <v>4.3310000000000004</v>
      </c>
      <c r="N2443" s="508">
        <v>4.5</v>
      </c>
      <c r="O2443" s="508">
        <v>4.843</v>
      </c>
      <c r="P2443" s="508">
        <v>4.9029999999999996</v>
      </c>
      <c r="Q2443" s="508">
        <v>4.9989999999999997</v>
      </c>
      <c r="R2443" s="508">
        <v>4.6669999999999998</v>
      </c>
      <c r="S2443" s="508">
        <v>4.391</v>
      </c>
      <c r="T2443" s="508">
        <v>4.4249999999999998</v>
      </c>
      <c r="U2443" s="508">
        <v>4.2389999999999999</v>
      </c>
      <c r="V2443" s="508">
        <v>4.2480000000000002</v>
      </c>
      <c r="W2443" s="508">
        <v>3.1360000000000001</v>
      </c>
      <c r="X2443" s="508">
        <v>3.1429999999999998</v>
      </c>
      <c r="Y2443" s="508">
        <v>3.1080000000000001</v>
      </c>
      <c r="Z2443" s="508">
        <v>3.073</v>
      </c>
      <c r="AA2443" s="508">
        <v>0.80500000000000005</v>
      </c>
      <c r="AB2443" s="508">
        <v>0.73099999999999998</v>
      </c>
      <c r="AC2443" s="508">
        <v>0.75700000000000001</v>
      </c>
      <c r="AD2443" s="508">
        <v>0.498</v>
      </c>
      <c r="AE2443" s="508">
        <v>0.47599999999999998</v>
      </c>
      <c r="AF2443" s="508">
        <v>0.40600000000000003</v>
      </c>
      <c r="AG2443" s="508">
        <v>0.40400000000000003</v>
      </c>
      <c r="AH2443" s="508">
        <v>0.40400000000000003</v>
      </c>
      <c r="AI2443" s="492">
        <v>0.40400000000000003</v>
      </c>
      <c r="AJ2443" s="485"/>
    </row>
    <row r="2444" spans="2:36">
      <c r="B2444" s="136" t="s">
        <v>460</v>
      </c>
      <c r="C2444" s="132" t="s">
        <v>1373</v>
      </c>
      <c r="D2444" s="132" t="s">
        <v>282</v>
      </c>
      <c r="E2444" s="508">
        <v>5.9989999999999997</v>
      </c>
      <c r="F2444" s="508">
        <v>5.69</v>
      </c>
      <c r="G2444" s="508">
        <v>5.9089999999999998</v>
      </c>
      <c r="H2444" s="508">
        <v>5.2960000000000003</v>
      </c>
      <c r="I2444" s="508">
        <v>4.415</v>
      </c>
      <c r="J2444" s="508">
        <v>4.7249999999999996</v>
      </c>
      <c r="K2444" s="508">
        <v>4.3719999999999999</v>
      </c>
      <c r="L2444" s="508">
        <v>4.6609999999999996</v>
      </c>
      <c r="M2444" s="508">
        <v>4.3520000000000003</v>
      </c>
      <c r="N2444" s="508">
        <v>4.516</v>
      </c>
      <c r="O2444" s="508">
        <v>4.851</v>
      </c>
      <c r="P2444" s="508">
        <v>4.91</v>
      </c>
      <c r="Q2444" s="508">
        <v>5.0030000000000001</v>
      </c>
      <c r="R2444" s="508">
        <v>4.68</v>
      </c>
      <c r="S2444" s="508">
        <v>4.41</v>
      </c>
      <c r="T2444" s="508">
        <v>4.4429999999999996</v>
      </c>
      <c r="U2444" s="508">
        <v>4.2619999999999996</v>
      </c>
      <c r="V2444" s="508">
        <v>4.2699999999999996</v>
      </c>
      <c r="W2444" s="508">
        <v>3.1549999999999998</v>
      </c>
      <c r="X2444" s="508">
        <v>3.1629999999999998</v>
      </c>
      <c r="Y2444" s="508">
        <v>3.1269999999999998</v>
      </c>
      <c r="Z2444" s="508">
        <v>3.093</v>
      </c>
      <c r="AA2444" s="508">
        <v>0.80500000000000005</v>
      </c>
      <c r="AB2444" s="508">
        <v>0.73399999999999999</v>
      </c>
      <c r="AC2444" s="508">
        <v>0.75800000000000001</v>
      </c>
      <c r="AD2444" s="508">
        <v>0.497</v>
      </c>
      <c r="AE2444" s="508">
        <v>0.47599999999999998</v>
      </c>
      <c r="AF2444" s="508">
        <v>0.40500000000000003</v>
      </c>
      <c r="AG2444" s="508">
        <v>0.40300000000000002</v>
      </c>
      <c r="AH2444" s="508">
        <v>0.40300000000000002</v>
      </c>
      <c r="AI2444" s="492">
        <v>0.40300000000000002</v>
      </c>
      <c r="AJ2444" s="485"/>
    </row>
    <row r="2445" spans="2:36">
      <c r="B2445" s="136" t="s">
        <v>461</v>
      </c>
      <c r="C2445" s="132" t="s">
        <v>1373</v>
      </c>
      <c r="D2445" s="132" t="s">
        <v>282</v>
      </c>
      <c r="E2445" s="508">
        <v>5.899</v>
      </c>
      <c r="F2445" s="508">
        <v>5.5949999999999998</v>
      </c>
      <c r="G2445" s="508">
        <v>5.81</v>
      </c>
      <c r="H2445" s="508">
        <v>5.2069999999999999</v>
      </c>
      <c r="I2445" s="508">
        <v>4.3390000000000004</v>
      </c>
      <c r="J2445" s="508">
        <v>4.6440000000000001</v>
      </c>
      <c r="K2445" s="508">
        <v>4.2969999999999997</v>
      </c>
      <c r="L2445" s="508">
        <v>4.5810000000000004</v>
      </c>
      <c r="M2445" s="508">
        <v>4.2770000000000001</v>
      </c>
      <c r="N2445" s="508">
        <v>4.4379999999999997</v>
      </c>
      <c r="O2445" s="508">
        <v>4.7679999999999998</v>
      </c>
      <c r="P2445" s="508">
        <v>4.8259999999999996</v>
      </c>
      <c r="Q2445" s="508">
        <v>4.9169999999999998</v>
      </c>
      <c r="R2445" s="508">
        <v>4.5990000000000002</v>
      </c>
      <c r="S2445" s="508">
        <v>4.3339999999999996</v>
      </c>
      <c r="T2445" s="508">
        <v>4.3659999999999997</v>
      </c>
      <c r="U2445" s="508">
        <v>4.1870000000000003</v>
      </c>
      <c r="V2445" s="508">
        <v>4.1959999999999997</v>
      </c>
      <c r="W2445" s="508">
        <v>3.117</v>
      </c>
      <c r="X2445" s="508">
        <v>3.125</v>
      </c>
      <c r="Y2445" s="508">
        <v>3.089</v>
      </c>
      <c r="Z2445" s="508">
        <v>3.056</v>
      </c>
      <c r="AA2445" s="508">
        <v>0.79500000000000004</v>
      </c>
      <c r="AB2445" s="508">
        <v>0.72399999999999998</v>
      </c>
      <c r="AC2445" s="508">
        <v>0.748</v>
      </c>
      <c r="AD2445" s="508">
        <v>0.49099999999999999</v>
      </c>
      <c r="AE2445" s="508">
        <v>0.47</v>
      </c>
      <c r="AF2445" s="508">
        <v>0.4</v>
      </c>
      <c r="AG2445" s="508">
        <v>0.39800000000000002</v>
      </c>
      <c r="AH2445" s="508">
        <v>0.39800000000000002</v>
      </c>
      <c r="AI2445" s="492">
        <v>0.39800000000000002</v>
      </c>
      <c r="AJ2445" s="485"/>
    </row>
    <row r="2446" spans="2:36">
      <c r="B2446" s="136" t="s">
        <v>462</v>
      </c>
      <c r="C2446" s="132" t="s">
        <v>1373</v>
      </c>
      <c r="D2446" s="132" t="s">
        <v>282</v>
      </c>
      <c r="E2446" s="508">
        <v>5.7590000000000003</v>
      </c>
      <c r="F2446" s="508">
        <v>5.468</v>
      </c>
      <c r="G2446" s="508">
        <v>5.6749999999999998</v>
      </c>
      <c r="H2446" s="508">
        <v>5.0940000000000003</v>
      </c>
      <c r="I2446" s="508">
        <v>4.2619999999999996</v>
      </c>
      <c r="J2446" s="508">
        <v>4.556</v>
      </c>
      <c r="K2446" s="508">
        <v>4.2210000000000001</v>
      </c>
      <c r="L2446" s="508">
        <v>4.4950000000000001</v>
      </c>
      <c r="M2446" s="508">
        <v>4.2030000000000003</v>
      </c>
      <c r="N2446" s="508">
        <v>4.3579999999999997</v>
      </c>
      <c r="O2446" s="508">
        <v>4.6749999999999998</v>
      </c>
      <c r="P2446" s="508">
        <v>4.7309999999999999</v>
      </c>
      <c r="Q2446" s="508">
        <v>4.819</v>
      </c>
      <c r="R2446" s="508">
        <v>4.5129999999999999</v>
      </c>
      <c r="S2446" s="508">
        <v>4.2569999999999997</v>
      </c>
      <c r="T2446" s="508">
        <v>4.29</v>
      </c>
      <c r="U2446" s="508">
        <v>4.117</v>
      </c>
      <c r="V2446" s="508">
        <v>4.1260000000000003</v>
      </c>
      <c r="W2446" s="508">
        <v>3.0790000000000002</v>
      </c>
      <c r="X2446" s="508">
        <v>3.0880000000000001</v>
      </c>
      <c r="Y2446" s="508">
        <v>3.0529999999999999</v>
      </c>
      <c r="Z2446" s="508">
        <v>3.0209999999999999</v>
      </c>
      <c r="AA2446" s="508">
        <v>0.78</v>
      </c>
      <c r="AB2446" s="508">
        <v>0.71399999999999997</v>
      </c>
      <c r="AC2446" s="508">
        <v>0.73599999999999999</v>
      </c>
      <c r="AD2446" s="508">
        <v>0.48099999999999998</v>
      </c>
      <c r="AE2446" s="508">
        <v>0.46100000000000002</v>
      </c>
      <c r="AF2446" s="508">
        <v>0.39200000000000002</v>
      </c>
      <c r="AG2446" s="508">
        <v>0.39</v>
      </c>
      <c r="AH2446" s="508">
        <v>0.39</v>
      </c>
      <c r="AI2446" s="492">
        <v>0.39</v>
      </c>
      <c r="AJ2446" s="485"/>
    </row>
    <row r="2447" spans="2:36">
      <c r="B2447" s="136" t="s">
        <v>463</v>
      </c>
      <c r="C2447" s="132" t="s">
        <v>1373</v>
      </c>
      <c r="D2447" s="132" t="s">
        <v>282</v>
      </c>
      <c r="E2447" s="508">
        <v>5.5780000000000003</v>
      </c>
      <c r="F2447" s="508">
        <v>5.2889999999999997</v>
      </c>
      <c r="G2447" s="508">
        <v>5.4980000000000002</v>
      </c>
      <c r="H2447" s="508">
        <v>4.9039999999999999</v>
      </c>
      <c r="I2447" s="508">
        <v>4.0880000000000001</v>
      </c>
      <c r="J2447" s="508">
        <v>4.3860000000000001</v>
      </c>
      <c r="K2447" s="508">
        <v>4.0430000000000001</v>
      </c>
      <c r="L2447" s="508">
        <v>4.3230000000000004</v>
      </c>
      <c r="M2447" s="508">
        <v>4.0309999999999997</v>
      </c>
      <c r="N2447" s="508">
        <v>4.1890000000000001</v>
      </c>
      <c r="O2447" s="508">
        <v>4.5030000000000001</v>
      </c>
      <c r="P2447" s="508">
        <v>4.5679999999999996</v>
      </c>
      <c r="Q2447" s="508">
        <v>4.657</v>
      </c>
      <c r="R2447" s="508">
        <v>4.3449999999999998</v>
      </c>
      <c r="S2447" s="508">
        <v>4.085</v>
      </c>
      <c r="T2447" s="508">
        <v>4.125</v>
      </c>
      <c r="U2447" s="508">
        <v>3.95</v>
      </c>
      <c r="V2447" s="508">
        <v>3.9620000000000002</v>
      </c>
      <c r="W2447" s="508">
        <v>2.9550000000000001</v>
      </c>
      <c r="X2447" s="508">
        <v>2.9630000000000001</v>
      </c>
      <c r="Y2447" s="508">
        <v>2.93</v>
      </c>
      <c r="Z2447" s="508">
        <v>2.8980000000000001</v>
      </c>
      <c r="AA2447" s="508">
        <v>0.752</v>
      </c>
      <c r="AB2447" s="508">
        <v>0.68600000000000005</v>
      </c>
      <c r="AC2447" s="508">
        <v>0.70799999999999996</v>
      </c>
      <c r="AD2447" s="508">
        <v>0.46400000000000002</v>
      </c>
      <c r="AE2447" s="508">
        <v>0.44500000000000001</v>
      </c>
      <c r="AF2447" s="508">
        <v>0.378</v>
      </c>
      <c r="AG2447" s="508">
        <v>0.376</v>
      </c>
      <c r="AH2447" s="508">
        <v>0.376</v>
      </c>
      <c r="AI2447" s="492">
        <v>0.376</v>
      </c>
      <c r="AJ2447" s="485"/>
    </row>
    <row r="2448" spans="2:36">
      <c r="B2448" s="136" t="s">
        <v>464</v>
      </c>
      <c r="C2448" s="132" t="s">
        <v>1373</v>
      </c>
      <c r="D2448" s="132" t="s">
        <v>282</v>
      </c>
      <c r="E2448" s="508">
        <v>5.4020000000000001</v>
      </c>
      <c r="F2448" s="508">
        <v>5.133</v>
      </c>
      <c r="G2448" s="508">
        <v>5.3289999999999997</v>
      </c>
      <c r="H2448" s="508">
        <v>4.7699999999999996</v>
      </c>
      <c r="I2448" s="508">
        <v>4.0119999999999996</v>
      </c>
      <c r="J2448" s="508">
        <v>4.2919999999999998</v>
      </c>
      <c r="K2448" s="508">
        <v>3.968</v>
      </c>
      <c r="L2448" s="508">
        <v>4.2320000000000002</v>
      </c>
      <c r="M2448" s="508">
        <v>3.96</v>
      </c>
      <c r="N2448" s="508">
        <v>4.1079999999999997</v>
      </c>
      <c r="O2448" s="508">
        <v>4.4009999999999998</v>
      </c>
      <c r="P2448" s="508">
        <v>4.4649999999999999</v>
      </c>
      <c r="Q2448" s="508">
        <v>4.548</v>
      </c>
      <c r="R2448" s="508">
        <v>4.2549999999999999</v>
      </c>
      <c r="S2448" s="508">
        <v>4.01</v>
      </c>
      <c r="T2448" s="508">
        <v>4.05</v>
      </c>
      <c r="U2448" s="508">
        <v>3.8860000000000001</v>
      </c>
      <c r="V2448" s="508">
        <v>3.8980000000000001</v>
      </c>
      <c r="W2448" s="508">
        <v>2.9220000000000002</v>
      </c>
      <c r="X2448" s="508">
        <v>2.93</v>
      </c>
      <c r="Y2448" s="508">
        <v>2.8969999999999998</v>
      </c>
      <c r="Z2448" s="508">
        <v>2.8690000000000002</v>
      </c>
      <c r="AA2448" s="508">
        <v>0.73399999999999999</v>
      </c>
      <c r="AB2448" s="508">
        <v>0.67400000000000004</v>
      </c>
      <c r="AC2448" s="508">
        <v>0.69299999999999995</v>
      </c>
      <c r="AD2448" s="508">
        <v>0.45200000000000001</v>
      </c>
      <c r="AE2448" s="508">
        <v>0.433</v>
      </c>
      <c r="AF2448" s="508">
        <v>0.36799999999999999</v>
      </c>
      <c r="AG2448" s="508">
        <v>0.36599999999999999</v>
      </c>
      <c r="AH2448" s="508">
        <v>0.36599999999999999</v>
      </c>
      <c r="AI2448" s="492">
        <v>0.36599999999999999</v>
      </c>
      <c r="AJ2448" s="485"/>
    </row>
    <row r="2449" spans="2:36">
      <c r="B2449" s="136" t="s">
        <v>465</v>
      </c>
      <c r="C2449" s="132" t="s">
        <v>1373</v>
      </c>
      <c r="D2449" s="132" t="s">
        <v>282</v>
      </c>
      <c r="E2449" s="508">
        <v>5.5579999999999998</v>
      </c>
      <c r="F2449" s="508">
        <v>5.2770000000000001</v>
      </c>
      <c r="G2449" s="508">
        <v>5.4809999999999999</v>
      </c>
      <c r="H2449" s="508">
        <v>4.9020000000000001</v>
      </c>
      <c r="I2449" s="508">
        <v>4.1100000000000003</v>
      </c>
      <c r="J2449" s="508">
        <v>4.4009999999999998</v>
      </c>
      <c r="K2449" s="508">
        <v>4.0659999999999998</v>
      </c>
      <c r="L2449" s="508">
        <v>4.3390000000000004</v>
      </c>
      <c r="M2449" s="508">
        <v>4.056</v>
      </c>
      <c r="N2449" s="508">
        <v>4.2089999999999996</v>
      </c>
      <c r="O2449" s="508">
        <v>4.5140000000000002</v>
      </c>
      <c r="P2449" s="508">
        <v>4.5780000000000003</v>
      </c>
      <c r="Q2449" s="508">
        <v>4.665</v>
      </c>
      <c r="R2449" s="508">
        <v>4.3609999999999998</v>
      </c>
      <c r="S2449" s="508">
        <v>4.1070000000000002</v>
      </c>
      <c r="T2449" s="508">
        <v>4.1470000000000002</v>
      </c>
      <c r="U2449" s="508">
        <v>3.9769999999999999</v>
      </c>
      <c r="V2449" s="508">
        <v>3.9889999999999999</v>
      </c>
      <c r="W2449" s="508">
        <v>2.9729999999999999</v>
      </c>
      <c r="X2449" s="508">
        <v>2.9809999999999999</v>
      </c>
      <c r="Y2449" s="508">
        <v>2.9470000000000001</v>
      </c>
      <c r="Z2449" s="508">
        <v>2.9169999999999998</v>
      </c>
      <c r="AA2449" s="508">
        <v>0.751</v>
      </c>
      <c r="AB2449" s="508">
        <v>0.68799999999999994</v>
      </c>
      <c r="AC2449" s="508">
        <v>0.70799999999999996</v>
      </c>
      <c r="AD2449" s="508">
        <v>0.46300000000000002</v>
      </c>
      <c r="AE2449" s="508">
        <v>0.44400000000000001</v>
      </c>
      <c r="AF2449" s="508">
        <v>0.377</v>
      </c>
      <c r="AG2449" s="508">
        <v>0.375</v>
      </c>
      <c r="AH2449" s="508">
        <v>0.375</v>
      </c>
      <c r="AI2449" s="492">
        <v>0.375</v>
      </c>
      <c r="AJ2449" s="485"/>
    </row>
    <row r="2450" spans="2:36">
      <c r="B2450" s="136" t="s">
        <v>466</v>
      </c>
      <c r="C2450" s="132" t="s">
        <v>1373</v>
      </c>
      <c r="D2450" s="132" t="s">
        <v>282</v>
      </c>
      <c r="E2450" s="508">
        <v>6.2949999999999999</v>
      </c>
      <c r="F2450" s="508">
        <v>5.9720000000000004</v>
      </c>
      <c r="G2450" s="508">
        <v>6.1980000000000004</v>
      </c>
      <c r="H2450" s="508">
        <v>5.5679999999999996</v>
      </c>
      <c r="I2450" s="508">
        <v>4.6379999999999999</v>
      </c>
      <c r="J2450" s="508">
        <v>4.9589999999999996</v>
      </c>
      <c r="K2450" s="508">
        <v>4.5960000000000001</v>
      </c>
      <c r="L2450" s="508">
        <v>4.8929999999999998</v>
      </c>
      <c r="M2450" s="508">
        <v>4.5709999999999997</v>
      </c>
      <c r="N2450" s="508">
        <v>4.74</v>
      </c>
      <c r="O2450" s="508">
        <v>5.0910000000000002</v>
      </c>
      <c r="P2450" s="508">
        <v>5.1459999999999999</v>
      </c>
      <c r="Q2450" s="508">
        <v>5.2430000000000003</v>
      </c>
      <c r="R2450" s="508">
        <v>4.9089999999999998</v>
      </c>
      <c r="S2450" s="508">
        <v>4.6310000000000002</v>
      </c>
      <c r="T2450" s="508">
        <v>4.6609999999999996</v>
      </c>
      <c r="U2450" s="508">
        <v>4.4729999999999999</v>
      </c>
      <c r="V2450" s="508">
        <v>4.4790000000000001</v>
      </c>
      <c r="W2450" s="508">
        <v>3.2869999999999999</v>
      </c>
      <c r="X2450" s="508">
        <v>3.2949999999999999</v>
      </c>
      <c r="Y2450" s="508">
        <v>3.258</v>
      </c>
      <c r="Z2450" s="508">
        <v>3.222</v>
      </c>
      <c r="AA2450" s="508">
        <v>0.84099999999999997</v>
      </c>
      <c r="AB2450" s="508">
        <v>0.76600000000000001</v>
      </c>
      <c r="AC2450" s="508">
        <v>0.79200000000000004</v>
      </c>
      <c r="AD2450" s="508">
        <v>0.52</v>
      </c>
      <c r="AE2450" s="508">
        <v>0.498</v>
      </c>
      <c r="AF2450" s="508">
        <v>0.42399999999999999</v>
      </c>
      <c r="AG2450" s="508">
        <v>0.42199999999999999</v>
      </c>
      <c r="AH2450" s="508">
        <v>0.42199999999999999</v>
      </c>
      <c r="AI2450" s="492">
        <v>0.42199999999999999</v>
      </c>
      <c r="AJ2450" s="485"/>
    </row>
    <row r="2451" spans="2:36">
      <c r="B2451" s="136" t="s">
        <v>467</v>
      </c>
      <c r="C2451" s="132" t="s">
        <v>1373</v>
      </c>
      <c r="D2451" s="132" t="s">
        <v>282</v>
      </c>
      <c r="E2451" s="508">
        <v>5.8380000000000001</v>
      </c>
      <c r="F2451" s="508">
        <v>5.5389999999999997</v>
      </c>
      <c r="G2451" s="508">
        <v>5.7510000000000003</v>
      </c>
      <c r="H2451" s="508">
        <v>5.1550000000000002</v>
      </c>
      <c r="I2451" s="508">
        <v>4.3010000000000002</v>
      </c>
      <c r="J2451" s="508">
        <v>4.6020000000000003</v>
      </c>
      <c r="K2451" s="508">
        <v>4.2590000000000003</v>
      </c>
      <c r="L2451" s="508">
        <v>4.54</v>
      </c>
      <c r="M2451" s="508">
        <v>4.24</v>
      </c>
      <c r="N2451" s="508">
        <v>4.399</v>
      </c>
      <c r="O2451" s="508">
        <v>4.7240000000000002</v>
      </c>
      <c r="P2451" s="508">
        <v>4.782</v>
      </c>
      <c r="Q2451" s="508">
        <v>4.8719999999999999</v>
      </c>
      <c r="R2451" s="508">
        <v>4.5579999999999998</v>
      </c>
      <c r="S2451" s="508">
        <v>4.2960000000000003</v>
      </c>
      <c r="T2451" s="508">
        <v>4.3289999999999997</v>
      </c>
      <c r="U2451" s="508">
        <v>4.1520000000000001</v>
      </c>
      <c r="V2451" s="508">
        <v>4.1609999999999996</v>
      </c>
      <c r="W2451" s="508">
        <v>3.0950000000000002</v>
      </c>
      <c r="X2451" s="508">
        <v>3.1030000000000002</v>
      </c>
      <c r="Y2451" s="508">
        <v>3.0680000000000001</v>
      </c>
      <c r="Z2451" s="508">
        <v>3.0350000000000001</v>
      </c>
      <c r="AA2451" s="508">
        <v>0.78800000000000003</v>
      </c>
      <c r="AB2451" s="508">
        <v>0.71899999999999997</v>
      </c>
      <c r="AC2451" s="508">
        <v>0.74199999999999999</v>
      </c>
      <c r="AD2451" s="508">
        <v>0.48599999999999999</v>
      </c>
      <c r="AE2451" s="508">
        <v>0.46600000000000003</v>
      </c>
      <c r="AF2451" s="508">
        <v>0.39600000000000002</v>
      </c>
      <c r="AG2451" s="508">
        <v>0.39400000000000002</v>
      </c>
      <c r="AH2451" s="508">
        <v>0.39400000000000002</v>
      </c>
      <c r="AI2451" s="492">
        <v>0.39400000000000002</v>
      </c>
      <c r="AJ2451" s="485"/>
    </row>
    <row r="2452" spans="2:36">
      <c r="B2452" s="136" t="s">
        <v>468</v>
      </c>
      <c r="C2452" s="132" t="s">
        <v>1373</v>
      </c>
      <c r="D2452" s="132" t="s">
        <v>282</v>
      </c>
      <c r="E2452" s="508">
        <v>5.3239999999999998</v>
      </c>
      <c r="F2452" s="508">
        <v>5.0590000000000002</v>
      </c>
      <c r="G2452" s="508">
        <v>5.2549999999999999</v>
      </c>
      <c r="H2452" s="508">
        <v>4.6900000000000004</v>
      </c>
      <c r="I2452" s="508">
        <v>3.9510000000000001</v>
      </c>
      <c r="J2452" s="508">
        <v>4.2320000000000002</v>
      </c>
      <c r="K2452" s="508">
        <v>3.9049999999999998</v>
      </c>
      <c r="L2452" s="508">
        <v>4.1710000000000003</v>
      </c>
      <c r="M2452" s="508">
        <v>3.9009999999999998</v>
      </c>
      <c r="N2452" s="508">
        <v>4.05</v>
      </c>
      <c r="O2452" s="508">
        <v>4.3390000000000004</v>
      </c>
      <c r="P2452" s="508">
        <v>4.4089999999999998</v>
      </c>
      <c r="Q2452" s="508">
        <v>4.4909999999999997</v>
      </c>
      <c r="R2452" s="508">
        <v>4.1959999999999997</v>
      </c>
      <c r="S2452" s="508">
        <v>3.95</v>
      </c>
      <c r="T2452" s="508">
        <v>3.996</v>
      </c>
      <c r="U2452" s="508">
        <v>3.8319999999999999</v>
      </c>
      <c r="V2452" s="508">
        <v>3.8460000000000001</v>
      </c>
      <c r="W2452" s="508">
        <v>2.871</v>
      </c>
      <c r="X2452" s="508">
        <v>2.879</v>
      </c>
      <c r="Y2452" s="508">
        <v>2.847</v>
      </c>
      <c r="Z2452" s="508">
        <v>2.819</v>
      </c>
      <c r="AA2452" s="508">
        <v>0.71899999999999997</v>
      </c>
      <c r="AB2452" s="508">
        <v>0.66200000000000003</v>
      </c>
      <c r="AC2452" s="508">
        <v>0.68</v>
      </c>
      <c r="AD2452" s="508">
        <v>0.443</v>
      </c>
      <c r="AE2452" s="508">
        <v>0.42499999999999999</v>
      </c>
      <c r="AF2452" s="508">
        <v>0.36</v>
      </c>
      <c r="AG2452" s="508">
        <v>0.35899999999999999</v>
      </c>
      <c r="AH2452" s="508">
        <v>0.35899999999999999</v>
      </c>
      <c r="AI2452" s="492">
        <v>0.35899999999999999</v>
      </c>
      <c r="AJ2452" s="485"/>
    </row>
    <row r="2453" spans="2:36">
      <c r="B2453" s="136" t="s">
        <v>469</v>
      </c>
      <c r="C2453" s="132" t="s">
        <v>1373</v>
      </c>
      <c r="D2453" s="132" t="s">
        <v>282</v>
      </c>
      <c r="E2453" s="508">
        <v>5.64</v>
      </c>
      <c r="F2453" s="508">
        <v>5.3559999999999999</v>
      </c>
      <c r="G2453" s="508">
        <v>5.56</v>
      </c>
      <c r="H2453" s="508">
        <v>4.9800000000000004</v>
      </c>
      <c r="I2453" s="508">
        <v>4.1740000000000004</v>
      </c>
      <c r="J2453" s="508">
        <v>4.4669999999999996</v>
      </c>
      <c r="K2453" s="508">
        <v>4.1310000000000002</v>
      </c>
      <c r="L2453" s="508">
        <v>4.4050000000000002</v>
      </c>
      <c r="M2453" s="508">
        <v>4.1180000000000003</v>
      </c>
      <c r="N2453" s="508">
        <v>4.2729999999999997</v>
      </c>
      <c r="O2453" s="508">
        <v>4.5819999999999999</v>
      </c>
      <c r="P2453" s="508">
        <v>4.6440000000000001</v>
      </c>
      <c r="Q2453" s="508">
        <v>4.7309999999999999</v>
      </c>
      <c r="R2453" s="508">
        <v>4.4260000000000002</v>
      </c>
      <c r="S2453" s="508">
        <v>4.1710000000000003</v>
      </c>
      <c r="T2453" s="508">
        <v>4.2089999999999996</v>
      </c>
      <c r="U2453" s="508">
        <v>4.0380000000000003</v>
      </c>
      <c r="V2453" s="508">
        <v>4.0490000000000004</v>
      </c>
      <c r="W2453" s="508">
        <v>3.0150000000000001</v>
      </c>
      <c r="X2453" s="508">
        <v>3.024</v>
      </c>
      <c r="Y2453" s="508">
        <v>2.9889999999999999</v>
      </c>
      <c r="Z2453" s="508">
        <v>2.9590000000000001</v>
      </c>
      <c r="AA2453" s="508">
        <v>0.76200000000000001</v>
      </c>
      <c r="AB2453" s="508">
        <v>0.69799999999999995</v>
      </c>
      <c r="AC2453" s="508">
        <v>0.71899999999999997</v>
      </c>
      <c r="AD2453" s="508">
        <v>0.47</v>
      </c>
      <c r="AE2453" s="508">
        <v>0.45</v>
      </c>
      <c r="AF2453" s="508">
        <v>0.38200000000000001</v>
      </c>
      <c r="AG2453" s="508">
        <v>0.38100000000000001</v>
      </c>
      <c r="AH2453" s="508">
        <v>0.38100000000000001</v>
      </c>
      <c r="AI2453" s="492">
        <v>0.38100000000000001</v>
      </c>
      <c r="AJ2453" s="485"/>
    </row>
    <row r="2454" spans="2:36">
      <c r="B2454" s="136" t="s">
        <v>470</v>
      </c>
      <c r="C2454" s="132" t="s">
        <v>1373</v>
      </c>
      <c r="D2454" s="132" t="s">
        <v>282</v>
      </c>
      <c r="E2454" s="508">
        <v>6.1740000000000004</v>
      </c>
      <c r="F2454" s="508">
        <v>5.8520000000000003</v>
      </c>
      <c r="G2454" s="508">
        <v>6.0780000000000003</v>
      </c>
      <c r="H2454" s="508">
        <v>5.4480000000000004</v>
      </c>
      <c r="I2454" s="508">
        <v>4.5250000000000004</v>
      </c>
      <c r="J2454" s="508">
        <v>4.8449999999999998</v>
      </c>
      <c r="K2454" s="508">
        <v>4.4820000000000002</v>
      </c>
      <c r="L2454" s="508">
        <v>4.7789999999999999</v>
      </c>
      <c r="M2454" s="508">
        <v>4.4580000000000002</v>
      </c>
      <c r="N2454" s="508">
        <v>4.6269999999999998</v>
      </c>
      <c r="O2454" s="508">
        <v>4.976</v>
      </c>
      <c r="P2454" s="508">
        <v>5.0330000000000004</v>
      </c>
      <c r="Q2454" s="508">
        <v>5.1289999999999996</v>
      </c>
      <c r="R2454" s="508">
        <v>4.7960000000000003</v>
      </c>
      <c r="S2454" s="508">
        <v>4.5179999999999998</v>
      </c>
      <c r="T2454" s="508">
        <v>4.5490000000000004</v>
      </c>
      <c r="U2454" s="508">
        <v>4.3609999999999998</v>
      </c>
      <c r="V2454" s="508">
        <v>4.3680000000000003</v>
      </c>
      <c r="W2454" s="508">
        <v>3.2189999999999999</v>
      </c>
      <c r="X2454" s="508">
        <v>3.2269999999999999</v>
      </c>
      <c r="Y2454" s="508">
        <v>3.19</v>
      </c>
      <c r="Z2454" s="508">
        <v>3.1549999999999998</v>
      </c>
      <c r="AA2454" s="508">
        <v>0.82699999999999996</v>
      </c>
      <c r="AB2454" s="508">
        <v>0.751</v>
      </c>
      <c r="AC2454" s="508">
        <v>0.77700000000000002</v>
      </c>
      <c r="AD2454" s="508">
        <v>0.51100000000000001</v>
      </c>
      <c r="AE2454" s="508">
        <v>0.48899999999999999</v>
      </c>
      <c r="AF2454" s="508">
        <v>0.41599999999999998</v>
      </c>
      <c r="AG2454" s="508">
        <v>0.41499999999999998</v>
      </c>
      <c r="AH2454" s="508">
        <v>0.41399999999999998</v>
      </c>
      <c r="AI2454" s="492">
        <v>0.41399999999999998</v>
      </c>
      <c r="AJ2454" s="485"/>
    </row>
    <row r="2455" spans="2:36">
      <c r="B2455" s="136" t="s">
        <v>471</v>
      </c>
      <c r="C2455" s="132" t="s">
        <v>1373</v>
      </c>
      <c r="D2455" s="132" t="s">
        <v>282</v>
      </c>
      <c r="E2455" s="508">
        <v>6.0190000000000001</v>
      </c>
      <c r="F2455" s="508">
        <v>5.7089999999999996</v>
      </c>
      <c r="G2455" s="508">
        <v>5.9269999999999996</v>
      </c>
      <c r="H2455" s="508">
        <v>5.3179999999999996</v>
      </c>
      <c r="I2455" s="508">
        <v>4.4290000000000003</v>
      </c>
      <c r="J2455" s="508">
        <v>4.7380000000000004</v>
      </c>
      <c r="K2455" s="508">
        <v>4.3869999999999996</v>
      </c>
      <c r="L2455" s="508">
        <v>4.6749999999999998</v>
      </c>
      <c r="M2455" s="508">
        <v>4.3650000000000002</v>
      </c>
      <c r="N2455" s="508">
        <v>4.5279999999999996</v>
      </c>
      <c r="O2455" s="508">
        <v>4.8650000000000002</v>
      </c>
      <c r="P2455" s="508">
        <v>4.9210000000000003</v>
      </c>
      <c r="Q2455" s="508">
        <v>5.0140000000000002</v>
      </c>
      <c r="R2455" s="508">
        <v>4.6920000000000002</v>
      </c>
      <c r="S2455" s="508">
        <v>4.423</v>
      </c>
      <c r="T2455" s="508">
        <v>4.4539999999999997</v>
      </c>
      <c r="U2455" s="508">
        <v>4.2720000000000002</v>
      </c>
      <c r="V2455" s="508">
        <v>4.28</v>
      </c>
      <c r="W2455" s="508">
        <v>3.1709999999999998</v>
      </c>
      <c r="X2455" s="508">
        <v>3.1789999999999998</v>
      </c>
      <c r="Y2455" s="508">
        <v>3.1429999999999998</v>
      </c>
      <c r="Z2455" s="508">
        <v>3.109</v>
      </c>
      <c r="AA2455" s="508">
        <v>0.81</v>
      </c>
      <c r="AB2455" s="508">
        <v>0.73799999999999999</v>
      </c>
      <c r="AC2455" s="508">
        <v>0.76200000000000001</v>
      </c>
      <c r="AD2455" s="508">
        <v>0.5</v>
      </c>
      <c r="AE2455" s="508">
        <v>0.47899999999999998</v>
      </c>
      <c r="AF2455" s="508">
        <v>0.40799999999999997</v>
      </c>
      <c r="AG2455" s="508">
        <v>0.40600000000000003</v>
      </c>
      <c r="AH2455" s="508">
        <v>0.40600000000000003</v>
      </c>
      <c r="AI2455" s="492">
        <v>0.40600000000000003</v>
      </c>
      <c r="AJ2455" s="485"/>
    </row>
    <row r="2456" spans="2:36">
      <c r="B2456" s="136" t="s">
        <v>472</v>
      </c>
      <c r="C2456" s="132" t="s">
        <v>1373</v>
      </c>
      <c r="D2456" s="132" t="s">
        <v>282</v>
      </c>
      <c r="E2456" s="508">
        <v>5.444</v>
      </c>
      <c r="F2456" s="508">
        <v>5.1719999999999997</v>
      </c>
      <c r="G2456" s="508">
        <v>5.3689999999999998</v>
      </c>
      <c r="H2456" s="508">
        <v>4.8079999999999998</v>
      </c>
      <c r="I2456" s="508">
        <v>4.0389999999999997</v>
      </c>
      <c r="J2456" s="508">
        <v>4.3209999999999997</v>
      </c>
      <c r="K2456" s="508">
        <v>3.996</v>
      </c>
      <c r="L2456" s="508">
        <v>4.2610000000000001</v>
      </c>
      <c r="M2456" s="508">
        <v>3.9860000000000002</v>
      </c>
      <c r="N2456" s="508">
        <v>4.1349999999999998</v>
      </c>
      <c r="O2456" s="508">
        <v>4.431</v>
      </c>
      <c r="P2456" s="508">
        <v>4.4930000000000003</v>
      </c>
      <c r="Q2456" s="508">
        <v>4.577</v>
      </c>
      <c r="R2456" s="508">
        <v>4.282</v>
      </c>
      <c r="S2456" s="508">
        <v>4.0359999999999996</v>
      </c>
      <c r="T2456" s="508">
        <v>4.0750000000000002</v>
      </c>
      <c r="U2456" s="508">
        <v>3.91</v>
      </c>
      <c r="V2456" s="508">
        <v>3.9209999999999998</v>
      </c>
      <c r="W2456" s="508">
        <v>2.9409999999999998</v>
      </c>
      <c r="X2456" s="508">
        <v>2.95</v>
      </c>
      <c r="Y2456" s="508">
        <v>2.9159999999999999</v>
      </c>
      <c r="Z2456" s="508">
        <v>2.887</v>
      </c>
      <c r="AA2456" s="508">
        <v>0.74</v>
      </c>
      <c r="AB2456" s="508">
        <v>0.67900000000000005</v>
      </c>
      <c r="AC2456" s="508">
        <v>0.69899999999999995</v>
      </c>
      <c r="AD2456" s="508">
        <v>0.45600000000000002</v>
      </c>
      <c r="AE2456" s="508">
        <v>0.437</v>
      </c>
      <c r="AF2456" s="508">
        <v>0.371</v>
      </c>
      <c r="AG2456" s="508">
        <v>0.36899999999999999</v>
      </c>
      <c r="AH2456" s="508">
        <v>0.36899999999999999</v>
      </c>
      <c r="AI2456" s="492">
        <v>0.36899999999999999</v>
      </c>
      <c r="AJ2456" s="485"/>
    </row>
    <row r="2457" spans="2:36">
      <c r="B2457" s="136" t="s">
        <v>473</v>
      </c>
      <c r="C2457" s="132" t="s">
        <v>1373</v>
      </c>
      <c r="D2457" s="132" t="s">
        <v>282</v>
      </c>
      <c r="E2457" s="508">
        <v>6.1769999999999996</v>
      </c>
      <c r="F2457" s="508">
        <v>5.859</v>
      </c>
      <c r="G2457" s="508">
        <v>6.0810000000000004</v>
      </c>
      <c r="H2457" s="508">
        <v>5.4610000000000003</v>
      </c>
      <c r="I2457" s="508">
        <v>4.5469999999999997</v>
      </c>
      <c r="J2457" s="508">
        <v>4.8630000000000004</v>
      </c>
      <c r="K2457" s="508">
        <v>4.5049999999999999</v>
      </c>
      <c r="L2457" s="508">
        <v>4.798</v>
      </c>
      <c r="M2457" s="508">
        <v>4.4809999999999999</v>
      </c>
      <c r="N2457" s="508">
        <v>4.6470000000000002</v>
      </c>
      <c r="O2457" s="508">
        <v>4.9930000000000003</v>
      </c>
      <c r="P2457" s="508">
        <v>5.0469999999999997</v>
      </c>
      <c r="Q2457" s="508">
        <v>5.1420000000000003</v>
      </c>
      <c r="R2457" s="508">
        <v>4.8140000000000001</v>
      </c>
      <c r="S2457" s="508">
        <v>4.5410000000000004</v>
      </c>
      <c r="T2457" s="508">
        <v>4.57</v>
      </c>
      <c r="U2457" s="508">
        <v>4.3849999999999998</v>
      </c>
      <c r="V2457" s="508">
        <v>4.391</v>
      </c>
      <c r="W2457" s="508">
        <v>3.238</v>
      </c>
      <c r="X2457" s="508">
        <v>3.2469999999999999</v>
      </c>
      <c r="Y2457" s="508">
        <v>3.21</v>
      </c>
      <c r="Z2457" s="508">
        <v>3.1739999999999999</v>
      </c>
      <c r="AA2457" s="508">
        <v>0.82899999999999996</v>
      </c>
      <c r="AB2457" s="508">
        <v>0.754</v>
      </c>
      <c r="AC2457" s="508">
        <v>0.78</v>
      </c>
      <c r="AD2457" s="508">
        <v>0.51200000000000001</v>
      </c>
      <c r="AE2457" s="508">
        <v>0.49</v>
      </c>
      <c r="AF2457" s="508">
        <v>0.41699999999999998</v>
      </c>
      <c r="AG2457" s="508">
        <v>0.41499999999999998</v>
      </c>
      <c r="AH2457" s="508">
        <v>0.41499999999999998</v>
      </c>
      <c r="AI2457" s="492">
        <v>0.41499999999999998</v>
      </c>
      <c r="AJ2457" s="485"/>
    </row>
    <row r="2458" spans="2:36">
      <c r="B2458" s="136" t="s">
        <v>474</v>
      </c>
      <c r="C2458" s="132" t="s">
        <v>1373</v>
      </c>
      <c r="D2458" s="132" t="s">
        <v>282</v>
      </c>
      <c r="E2458" s="508">
        <v>5.8810000000000002</v>
      </c>
      <c r="F2458" s="508">
        <v>5.5810000000000004</v>
      </c>
      <c r="G2458" s="508">
        <v>5.7930000000000001</v>
      </c>
      <c r="H2458" s="508">
        <v>5.1959999999999997</v>
      </c>
      <c r="I2458" s="508">
        <v>4.3390000000000004</v>
      </c>
      <c r="J2458" s="508">
        <v>4.6420000000000003</v>
      </c>
      <c r="K2458" s="508">
        <v>4.2969999999999997</v>
      </c>
      <c r="L2458" s="508">
        <v>4.5789999999999997</v>
      </c>
      <c r="M2458" s="508">
        <v>4.2779999999999996</v>
      </c>
      <c r="N2458" s="508">
        <v>4.4379999999999997</v>
      </c>
      <c r="O2458" s="508">
        <v>4.7640000000000002</v>
      </c>
      <c r="P2458" s="508">
        <v>4.8220000000000001</v>
      </c>
      <c r="Q2458" s="508">
        <v>4.9119999999999999</v>
      </c>
      <c r="R2458" s="508">
        <v>4.5970000000000004</v>
      </c>
      <c r="S2458" s="508">
        <v>4.3339999999999996</v>
      </c>
      <c r="T2458" s="508">
        <v>4.3680000000000003</v>
      </c>
      <c r="U2458" s="508">
        <v>4.1900000000000004</v>
      </c>
      <c r="V2458" s="508">
        <v>4.1989999999999998</v>
      </c>
      <c r="W2458" s="508">
        <v>3.1160000000000001</v>
      </c>
      <c r="X2458" s="508">
        <v>3.1240000000000001</v>
      </c>
      <c r="Y2458" s="508">
        <v>3.089</v>
      </c>
      <c r="Z2458" s="508">
        <v>3.056</v>
      </c>
      <c r="AA2458" s="508">
        <v>0.79200000000000004</v>
      </c>
      <c r="AB2458" s="508">
        <v>0.72299999999999998</v>
      </c>
      <c r="AC2458" s="508">
        <v>0.746</v>
      </c>
      <c r="AD2458" s="508">
        <v>0.48899999999999999</v>
      </c>
      <c r="AE2458" s="508">
        <v>0.46899999999999997</v>
      </c>
      <c r="AF2458" s="508">
        <v>0.39800000000000002</v>
      </c>
      <c r="AG2458" s="508">
        <v>0.39700000000000002</v>
      </c>
      <c r="AH2458" s="508">
        <v>0.39600000000000002</v>
      </c>
      <c r="AI2458" s="492">
        <v>0.39600000000000002</v>
      </c>
      <c r="AJ2458" s="485"/>
    </row>
    <row r="2459" spans="2:36">
      <c r="B2459" s="136" t="s">
        <v>475</v>
      </c>
      <c r="C2459" s="132" t="s">
        <v>1373</v>
      </c>
      <c r="D2459" s="132" t="s">
        <v>282</v>
      </c>
      <c r="E2459" s="508">
        <v>5.7759999999999998</v>
      </c>
      <c r="F2459" s="508">
        <v>5.4820000000000002</v>
      </c>
      <c r="G2459" s="508">
        <v>5.6920000000000002</v>
      </c>
      <c r="H2459" s="508">
        <v>5.101</v>
      </c>
      <c r="I2459" s="508">
        <v>4.2619999999999996</v>
      </c>
      <c r="J2459" s="508">
        <v>4.5609999999999999</v>
      </c>
      <c r="K2459" s="508">
        <v>4.2190000000000003</v>
      </c>
      <c r="L2459" s="508">
        <v>4.4980000000000002</v>
      </c>
      <c r="M2459" s="508">
        <v>4.2030000000000003</v>
      </c>
      <c r="N2459" s="508">
        <v>4.3600000000000003</v>
      </c>
      <c r="O2459" s="508">
        <v>4.681</v>
      </c>
      <c r="P2459" s="508">
        <v>4.74</v>
      </c>
      <c r="Q2459" s="508">
        <v>4.8289999999999997</v>
      </c>
      <c r="R2459" s="508">
        <v>4.5170000000000003</v>
      </c>
      <c r="S2459" s="508">
        <v>4.258</v>
      </c>
      <c r="T2459" s="508">
        <v>4.2919999999999998</v>
      </c>
      <c r="U2459" s="508">
        <v>4.117</v>
      </c>
      <c r="V2459" s="508">
        <v>4.1269999999999998</v>
      </c>
      <c r="W2459" s="508">
        <v>3.07</v>
      </c>
      <c r="X2459" s="508">
        <v>3.0779999999999998</v>
      </c>
      <c r="Y2459" s="508">
        <v>3.044</v>
      </c>
      <c r="Z2459" s="508">
        <v>3.0110000000000001</v>
      </c>
      <c r="AA2459" s="508">
        <v>0.78</v>
      </c>
      <c r="AB2459" s="508">
        <v>0.71199999999999997</v>
      </c>
      <c r="AC2459" s="508">
        <v>0.73499999999999999</v>
      </c>
      <c r="AD2459" s="508">
        <v>0.48099999999999998</v>
      </c>
      <c r="AE2459" s="508">
        <v>0.46100000000000002</v>
      </c>
      <c r="AF2459" s="508">
        <v>0.39200000000000002</v>
      </c>
      <c r="AG2459" s="508">
        <v>0.39</v>
      </c>
      <c r="AH2459" s="508">
        <v>0.39</v>
      </c>
      <c r="AI2459" s="492">
        <v>0.39</v>
      </c>
      <c r="AJ2459" s="485"/>
    </row>
    <row r="2460" spans="2:36">
      <c r="B2460" s="136" t="s">
        <v>476</v>
      </c>
      <c r="C2460" s="132" t="s">
        <v>1373</v>
      </c>
      <c r="D2460" s="132" t="s">
        <v>282</v>
      </c>
      <c r="E2460" s="508">
        <v>5.9969999999999999</v>
      </c>
      <c r="F2460" s="508">
        <v>5.6890000000000001</v>
      </c>
      <c r="G2460" s="508">
        <v>5.907</v>
      </c>
      <c r="H2460" s="508">
        <v>5.2949999999999999</v>
      </c>
      <c r="I2460" s="508">
        <v>4.4160000000000004</v>
      </c>
      <c r="J2460" s="508">
        <v>4.726</v>
      </c>
      <c r="K2460" s="508">
        <v>4.3730000000000002</v>
      </c>
      <c r="L2460" s="508">
        <v>4.6609999999999996</v>
      </c>
      <c r="M2460" s="508">
        <v>4.3529999999999998</v>
      </c>
      <c r="N2460" s="508">
        <v>4.5170000000000003</v>
      </c>
      <c r="O2460" s="508">
        <v>4.851</v>
      </c>
      <c r="P2460" s="508">
        <v>4.91</v>
      </c>
      <c r="Q2460" s="508">
        <v>5.0030000000000001</v>
      </c>
      <c r="R2460" s="508">
        <v>4.68</v>
      </c>
      <c r="S2460" s="508">
        <v>4.4109999999999996</v>
      </c>
      <c r="T2460" s="508">
        <v>4.444</v>
      </c>
      <c r="U2460" s="508">
        <v>4.2619999999999996</v>
      </c>
      <c r="V2460" s="508">
        <v>4.2709999999999999</v>
      </c>
      <c r="W2460" s="508">
        <v>3.1549999999999998</v>
      </c>
      <c r="X2460" s="508">
        <v>3.1629999999999998</v>
      </c>
      <c r="Y2460" s="508">
        <v>3.1269999999999998</v>
      </c>
      <c r="Z2460" s="508">
        <v>3.093</v>
      </c>
      <c r="AA2460" s="508">
        <v>0.80500000000000005</v>
      </c>
      <c r="AB2460" s="508">
        <v>0.73299999999999998</v>
      </c>
      <c r="AC2460" s="508">
        <v>0.75800000000000001</v>
      </c>
      <c r="AD2460" s="508">
        <v>0.497</v>
      </c>
      <c r="AE2460" s="508">
        <v>0.47599999999999998</v>
      </c>
      <c r="AF2460" s="508">
        <v>0.40500000000000003</v>
      </c>
      <c r="AG2460" s="508">
        <v>0.40300000000000002</v>
      </c>
      <c r="AH2460" s="508">
        <v>0.40300000000000002</v>
      </c>
      <c r="AI2460" s="492">
        <v>0.40300000000000002</v>
      </c>
      <c r="AJ2460" s="485"/>
    </row>
    <row r="2461" spans="2:36">
      <c r="B2461" s="136" t="s">
        <v>478</v>
      </c>
      <c r="C2461" s="132" t="s">
        <v>1373</v>
      </c>
      <c r="D2461" s="132" t="s">
        <v>282</v>
      </c>
      <c r="E2461" s="508">
        <v>6.2619999999999996</v>
      </c>
      <c r="F2461" s="508">
        <v>5.9329999999999998</v>
      </c>
      <c r="G2461" s="508">
        <v>6.1639999999999997</v>
      </c>
      <c r="H2461" s="508">
        <v>5.5190000000000001</v>
      </c>
      <c r="I2461" s="508">
        <v>4.5759999999999996</v>
      </c>
      <c r="J2461" s="508">
        <v>4.9029999999999996</v>
      </c>
      <c r="K2461" s="508">
        <v>4.532</v>
      </c>
      <c r="L2461" s="508">
        <v>4.8360000000000003</v>
      </c>
      <c r="M2461" s="508">
        <v>4.508</v>
      </c>
      <c r="N2461" s="508">
        <v>4.681</v>
      </c>
      <c r="O2461" s="508">
        <v>5.0380000000000003</v>
      </c>
      <c r="P2461" s="508">
        <v>5.0960000000000001</v>
      </c>
      <c r="Q2461" s="508">
        <v>5.194</v>
      </c>
      <c r="R2461" s="508">
        <v>4.8540000000000001</v>
      </c>
      <c r="S2461" s="508">
        <v>4.569</v>
      </c>
      <c r="T2461" s="508">
        <v>4.601</v>
      </c>
      <c r="U2461" s="508">
        <v>4.4089999999999998</v>
      </c>
      <c r="V2461" s="508">
        <v>4.4169999999999998</v>
      </c>
      <c r="W2461" s="508">
        <v>3.2410000000000001</v>
      </c>
      <c r="X2461" s="508">
        <v>3.2480000000000002</v>
      </c>
      <c r="Y2461" s="508">
        <v>3.2120000000000002</v>
      </c>
      <c r="Z2461" s="508">
        <v>3.1749999999999998</v>
      </c>
      <c r="AA2461" s="508">
        <v>0.83499999999999996</v>
      </c>
      <c r="AB2461" s="508">
        <v>0.75700000000000001</v>
      </c>
      <c r="AC2461" s="508">
        <v>0.78400000000000003</v>
      </c>
      <c r="AD2461" s="508">
        <v>0.51700000000000002</v>
      </c>
      <c r="AE2461" s="508">
        <v>0.49399999999999999</v>
      </c>
      <c r="AF2461" s="508">
        <v>0.42099999999999999</v>
      </c>
      <c r="AG2461" s="508">
        <v>0.41899999999999998</v>
      </c>
      <c r="AH2461" s="508">
        <v>0.41899999999999998</v>
      </c>
      <c r="AI2461" s="492">
        <v>0.41899999999999998</v>
      </c>
      <c r="AJ2461" s="485"/>
    </row>
    <row r="2462" spans="2:36">
      <c r="B2462" s="136" t="s">
        <v>479</v>
      </c>
      <c r="C2462" s="132" t="s">
        <v>1373</v>
      </c>
      <c r="D2462" s="132" t="s">
        <v>282</v>
      </c>
      <c r="E2462" s="508">
        <v>5.78</v>
      </c>
      <c r="F2462" s="508">
        <v>5.4870000000000001</v>
      </c>
      <c r="G2462" s="508">
        <v>5.6970000000000001</v>
      </c>
      <c r="H2462" s="508">
        <v>5.1040000000000001</v>
      </c>
      <c r="I2462" s="508">
        <v>4.2709999999999999</v>
      </c>
      <c r="J2462" s="508">
        <v>4.57</v>
      </c>
      <c r="K2462" s="508">
        <v>4.2279999999999998</v>
      </c>
      <c r="L2462" s="508">
        <v>4.5069999999999997</v>
      </c>
      <c r="M2462" s="508">
        <v>4.2119999999999997</v>
      </c>
      <c r="N2462" s="508">
        <v>4.37</v>
      </c>
      <c r="O2462" s="508">
        <v>4.6890000000000001</v>
      </c>
      <c r="P2462" s="508">
        <v>4.75</v>
      </c>
      <c r="Q2462" s="508">
        <v>4.8390000000000004</v>
      </c>
      <c r="R2462" s="508">
        <v>4.5270000000000001</v>
      </c>
      <c r="S2462" s="508">
        <v>4.2670000000000003</v>
      </c>
      <c r="T2462" s="508">
        <v>4.3029999999999999</v>
      </c>
      <c r="U2462" s="508">
        <v>4.1280000000000001</v>
      </c>
      <c r="V2462" s="508">
        <v>4.1379999999999999</v>
      </c>
      <c r="W2462" s="508">
        <v>3.0710000000000002</v>
      </c>
      <c r="X2462" s="508">
        <v>3.0790000000000002</v>
      </c>
      <c r="Y2462" s="508">
        <v>3.044</v>
      </c>
      <c r="Z2462" s="508">
        <v>3.012</v>
      </c>
      <c r="AA2462" s="508">
        <v>0.77900000000000003</v>
      </c>
      <c r="AB2462" s="508">
        <v>0.71199999999999997</v>
      </c>
      <c r="AC2462" s="508">
        <v>0.73399999999999999</v>
      </c>
      <c r="AD2462" s="508">
        <v>0.48</v>
      </c>
      <c r="AE2462" s="508">
        <v>0.46</v>
      </c>
      <c r="AF2462" s="508">
        <v>0.39100000000000001</v>
      </c>
      <c r="AG2462" s="508">
        <v>0.39</v>
      </c>
      <c r="AH2462" s="508">
        <v>0.38900000000000001</v>
      </c>
      <c r="AI2462" s="492">
        <v>0.38900000000000001</v>
      </c>
      <c r="AJ2462" s="485"/>
    </row>
    <row r="2463" spans="2:36">
      <c r="B2463" s="136" t="s">
        <v>480</v>
      </c>
      <c r="C2463" s="132" t="s">
        <v>1373</v>
      </c>
      <c r="D2463" s="132" t="s">
        <v>282</v>
      </c>
      <c r="E2463" s="508">
        <v>5.35</v>
      </c>
      <c r="F2463" s="508">
        <v>5.0830000000000002</v>
      </c>
      <c r="G2463" s="508">
        <v>5.2789999999999999</v>
      </c>
      <c r="H2463" s="508">
        <v>4.7160000000000002</v>
      </c>
      <c r="I2463" s="508">
        <v>3.964</v>
      </c>
      <c r="J2463" s="508">
        <v>4.2460000000000004</v>
      </c>
      <c r="K2463" s="508">
        <v>3.92</v>
      </c>
      <c r="L2463" s="508">
        <v>4.1849999999999996</v>
      </c>
      <c r="M2463" s="508">
        <v>3.9140000000000001</v>
      </c>
      <c r="N2463" s="508">
        <v>4.0620000000000003</v>
      </c>
      <c r="O2463" s="508">
        <v>4.3540000000000001</v>
      </c>
      <c r="P2463" s="508">
        <v>4.42</v>
      </c>
      <c r="Q2463" s="508">
        <v>4.5030000000000001</v>
      </c>
      <c r="R2463" s="508">
        <v>4.2089999999999996</v>
      </c>
      <c r="S2463" s="508">
        <v>3.9630000000000001</v>
      </c>
      <c r="T2463" s="508">
        <v>4.0049999999999999</v>
      </c>
      <c r="U2463" s="508">
        <v>3.8410000000000002</v>
      </c>
      <c r="V2463" s="508">
        <v>3.8540000000000001</v>
      </c>
      <c r="W2463" s="508">
        <v>2.8879999999999999</v>
      </c>
      <c r="X2463" s="508">
        <v>2.8959999999999999</v>
      </c>
      <c r="Y2463" s="508">
        <v>2.863</v>
      </c>
      <c r="Z2463" s="508">
        <v>2.835</v>
      </c>
      <c r="AA2463" s="508">
        <v>0.72499999999999998</v>
      </c>
      <c r="AB2463" s="508">
        <v>0.66600000000000004</v>
      </c>
      <c r="AC2463" s="508">
        <v>0.68500000000000005</v>
      </c>
      <c r="AD2463" s="508">
        <v>0.44700000000000001</v>
      </c>
      <c r="AE2463" s="508">
        <v>0.42899999999999999</v>
      </c>
      <c r="AF2463" s="508">
        <v>0.36399999999999999</v>
      </c>
      <c r="AG2463" s="508">
        <v>0.36199999999999999</v>
      </c>
      <c r="AH2463" s="508">
        <v>0.36199999999999999</v>
      </c>
      <c r="AI2463" s="492">
        <v>0.36199999999999999</v>
      </c>
      <c r="AJ2463" s="485"/>
    </row>
    <row r="2464" spans="2:36">
      <c r="B2464" s="136" t="s">
        <v>481</v>
      </c>
      <c r="C2464" s="132" t="s">
        <v>1373</v>
      </c>
      <c r="D2464" s="132" t="s">
        <v>282</v>
      </c>
      <c r="E2464" s="508">
        <v>5.8929999999999998</v>
      </c>
      <c r="F2464" s="508">
        <v>5.5910000000000002</v>
      </c>
      <c r="G2464" s="508">
        <v>5.806</v>
      </c>
      <c r="H2464" s="508">
        <v>5.2009999999999996</v>
      </c>
      <c r="I2464" s="508">
        <v>4.3410000000000002</v>
      </c>
      <c r="J2464" s="508">
        <v>4.6470000000000002</v>
      </c>
      <c r="K2464" s="508">
        <v>4.2969999999999997</v>
      </c>
      <c r="L2464" s="508">
        <v>4.5830000000000002</v>
      </c>
      <c r="M2464" s="508">
        <v>4.28</v>
      </c>
      <c r="N2464" s="508">
        <v>4.4409999999999998</v>
      </c>
      <c r="O2464" s="508">
        <v>4.7690000000000001</v>
      </c>
      <c r="P2464" s="508">
        <v>4.8289999999999997</v>
      </c>
      <c r="Q2464" s="508">
        <v>4.9210000000000003</v>
      </c>
      <c r="R2464" s="508">
        <v>4.6020000000000003</v>
      </c>
      <c r="S2464" s="508">
        <v>4.3360000000000003</v>
      </c>
      <c r="T2464" s="508">
        <v>4.3710000000000004</v>
      </c>
      <c r="U2464" s="508">
        <v>4.1920000000000002</v>
      </c>
      <c r="V2464" s="508">
        <v>4.202</v>
      </c>
      <c r="W2464" s="508">
        <v>3.11</v>
      </c>
      <c r="X2464" s="508">
        <v>3.1179999999999999</v>
      </c>
      <c r="Y2464" s="508">
        <v>3.0830000000000002</v>
      </c>
      <c r="Z2464" s="508">
        <v>3.05</v>
      </c>
      <c r="AA2464" s="508">
        <v>0.79200000000000004</v>
      </c>
      <c r="AB2464" s="508">
        <v>0.72199999999999998</v>
      </c>
      <c r="AC2464" s="508">
        <v>0.746</v>
      </c>
      <c r="AD2464" s="508">
        <v>0.48899999999999999</v>
      </c>
      <c r="AE2464" s="508">
        <v>0.46800000000000003</v>
      </c>
      <c r="AF2464" s="508">
        <v>0.39800000000000002</v>
      </c>
      <c r="AG2464" s="508">
        <v>0.39700000000000002</v>
      </c>
      <c r="AH2464" s="508">
        <v>0.39600000000000002</v>
      </c>
      <c r="AI2464" s="492">
        <v>0.39600000000000002</v>
      </c>
      <c r="AJ2464" s="485"/>
    </row>
    <row r="2465" spans="2:36">
      <c r="B2465" s="136" t="s">
        <v>482</v>
      </c>
      <c r="C2465" s="132" t="s">
        <v>1373</v>
      </c>
      <c r="D2465" s="132" t="s">
        <v>282</v>
      </c>
      <c r="E2465" s="508">
        <v>5.9340000000000002</v>
      </c>
      <c r="F2465" s="508">
        <v>5.6260000000000003</v>
      </c>
      <c r="G2465" s="508">
        <v>5.8449999999999998</v>
      </c>
      <c r="H2465" s="508">
        <v>5.2290000000000001</v>
      </c>
      <c r="I2465" s="508">
        <v>4.3499999999999996</v>
      </c>
      <c r="J2465" s="508">
        <v>4.6609999999999996</v>
      </c>
      <c r="K2465" s="508">
        <v>4.306</v>
      </c>
      <c r="L2465" s="508">
        <v>4.5960000000000001</v>
      </c>
      <c r="M2465" s="508">
        <v>4.2869999999999999</v>
      </c>
      <c r="N2465" s="508">
        <v>4.452</v>
      </c>
      <c r="O2465" s="508">
        <v>4.7869999999999999</v>
      </c>
      <c r="P2465" s="508">
        <v>4.8470000000000004</v>
      </c>
      <c r="Q2465" s="508">
        <v>4.9400000000000004</v>
      </c>
      <c r="R2465" s="508">
        <v>4.6159999999999997</v>
      </c>
      <c r="S2465" s="508">
        <v>4.3449999999999998</v>
      </c>
      <c r="T2465" s="508">
        <v>4.38</v>
      </c>
      <c r="U2465" s="508">
        <v>4.1970000000000001</v>
      </c>
      <c r="V2465" s="508">
        <v>4.2069999999999999</v>
      </c>
      <c r="W2465" s="508">
        <v>3.113</v>
      </c>
      <c r="X2465" s="508">
        <v>3.121</v>
      </c>
      <c r="Y2465" s="508">
        <v>3.085</v>
      </c>
      <c r="Z2465" s="508">
        <v>3.0510000000000002</v>
      </c>
      <c r="AA2465" s="508">
        <v>0.79600000000000004</v>
      </c>
      <c r="AB2465" s="508">
        <v>0.72499999999999998</v>
      </c>
      <c r="AC2465" s="508">
        <v>0.749</v>
      </c>
      <c r="AD2465" s="508">
        <v>0.49199999999999999</v>
      </c>
      <c r="AE2465" s="508">
        <v>0.47099999999999997</v>
      </c>
      <c r="AF2465" s="508">
        <v>0.40100000000000002</v>
      </c>
      <c r="AG2465" s="508">
        <v>0.39900000000000002</v>
      </c>
      <c r="AH2465" s="508">
        <v>0.39900000000000002</v>
      </c>
      <c r="AI2465" s="492">
        <v>0.39900000000000002</v>
      </c>
      <c r="AJ2465" s="485"/>
    </row>
    <row r="2466" spans="2:36">
      <c r="B2466" s="136" t="s">
        <v>483</v>
      </c>
      <c r="C2466" s="132" t="s">
        <v>1373</v>
      </c>
      <c r="D2466" s="132" t="s">
        <v>282</v>
      </c>
      <c r="E2466" s="508">
        <v>6.1959999999999997</v>
      </c>
      <c r="F2466" s="508">
        <v>5.8730000000000002</v>
      </c>
      <c r="G2466" s="508">
        <v>6.1</v>
      </c>
      <c r="H2466" s="508">
        <v>5.4660000000000002</v>
      </c>
      <c r="I2466" s="508">
        <v>4.5410000000000004</v>
      </c>
      <c r="J2466" s="508">
        <v>4.8630000000000004</v>
      </c>
      <c r="K2466" s="508">
        <v>4.4980000000000002</v>
      </c>
      <c r="L2466" s="508">
        <v>4.7969999999999997</v>
      </c>
      <c r="M2466" s="508">
        <v>4.4749999999999996</v>
      </c>
      <c r="N2466" s="508">
        <v>4.6449999999999996</v>
      </c>
      <c r="O2466" s="508">
        <v>4.9950000000000001</v>
      </c>
      <c r="P2466" s="508">
        <v>5.0529999999999999</v>
      </c>
      <c r="Q2466" s="508">
        <v>5.15</v>
      </c>
      <c r="R2466" s="508">
        <v>4.8150000000000004</v>
      </c>
      <c r="S2466" s="508">
        <v>4.5350000000000001</v>
      </c>
      <c r="T2466" s="508">
        <v>4.5670000000000002</v>
      </c>
      <c r="U2466" s="508">
        <v>4.3780000000000001</v>
      </c>
      <c r="V2466" s="508">
        <v>4.3860000000000001</v>
      </c>
      <c r="W2466" s="508">
        <v>3.2240000000000002</v>
      </c>
      <c r="X2466" s="508">
        <v>3.2309999999999999</v>
      </c>
      <c r="Y2466" s="508">
        <v>3.1949999999999998</v>
      </c>
      <c r="Z2466" s="508">
        <v>3.1589999999999998</v>
      </c>
      <c r="AA2466" s="508">
        <v>0.82699999999999996</v>
      </c>
      <c r="AB2466" s="508">
        <v>0.752</v>
      </c>
      <c r="AC2466" s="508">
        <v>0.77800000000000002</v>
      </c>
      <c r="AD2466" s="508">
        <v>0.51200000000000001</v>
      </c>
      <c r="AE2466" s="508">
        <v>0.49</v>
      </c>
      <c r="AF2466" s="508">
        <v>0.41699999999999998</v>
      </c>
      <c r="AG2466" s="508">
        <v>0.41499999999999998</v>
      </c>
      <c r="AH2466" s="508">
        <v>0.41499999999999998</v>
      </c>
      <c r="AI2466" s="492">
        <v>0.41499999999999998</v>
      </c>
      <c r="AJ2466" s="485"/>
    </row>
    <row r="2467" spans="2:36">
      <c r="B2467" s="136" t="s">
        <v>484</v>
      </c>
      <c r="C2467" s="132" t="s">
        <v>1373</v>
      </c>
      <c r="D2467" s="132" t="s">
        <v>282</v>
      </c>
      <c r="E2467" s="508">
        <v>5.4240000000000004</v>
      </c>
      <c r="F2467" s="508">
        <v>5.1529999999999996</v>
      </c>
      <c r="G2467" s="508">
        <v>5.35</v>
      </c>
      <c r="H2467" s="508">
        <v>4.7880000000000003</v>
      </c>
      <c r="I2467" s="508">
        <v>4.0209999999999999</v>
      </c>
      <c r="J2467" s="508">
        <v>4.3029999999999999</v>
      </c>
      <c r="K2467" s="508">
        <v>3.9780000000000002</v>
      </c>
      <c r="L2467" s="508">
        <v>4.2430000000000003</v>
      </c>
      <c r="M2467" s="508">
        <v>3.968</v>
      </c>
      <c r="N2467" s="508">
        <v>4.117</v>
      </c>
      <c r="O2467" s="508">
        <v>4.4130000000000003</v>
      </c>
      <c r="P2467" s="508">
        <v>4.476</v>
      </c>
      <c r="Q2467" s="508">
        <v>4.5590000000000002</v>
      </c>
      <c r="R2467" s="508">
        <v>4.2649999999999997</v>
      </c>
      <c r="S2467" s="508">
        <v>4.0190000000000001</v>
      </c>
      <c r="T2467" s="508">
        <v>4.0579999999999998</v>
      </c>
      <c r="U2467" s="508">
        <v>3.8929999999999998</v>
      </c>
      <c r="V2467" s="508">
        <v>3.9039999999999999</v>
      </c>
      <c r="W2467" s="508">
        <v>2.9289999999999998</v>
      </c>
      <c r="X2467" s="508">
        <v>2.9369999999999998</v>
      </c>
      <c r="Y2467" s="508">
        <v>2.9039999999999999</v>
      </c>
      <c r="Z2467" s="508">
        <v>2.875</v>
      </c>
      <c r="AA2467" s="508">
        <v>0.73699999999999999</v>
      </c>
      <c r="AB2467" s="508">
        <v>0.67600000000000005</v>
      </c>
      <c r="AC2467" s="508">
        <v>0.69599999999999995</v>
      </c>
      <c r="AD2467" s="508">
        <v>0.45400000000000001</v>
      </c>
      <c r="AE2467" s="508">
        <v>0.435</v>
      </c>
      <c r="AF2467" s="508">
        <v>0.37</v>
      </c>
      <c r="AG2467" s="508">
        <v>0.36799999999999999</v>
      </c>
      <c r="AH2467" s="508">
        <v>0.36799999999999999</v>
      </c>
      <c r="AI2467" s="492">
        <v>0.36799999999999999</v>
      </c>
      <c r="AJ2467" s="485"/>
    </row>
    <row r="2468" spans="2:36">
      <c r="B2468" s="136" t="s">
        <v>486</v>
      </c>
      <c r="C2468" s="132" t="s">
        <v>1373</v>
      </c>
      <c r="D2468" s="132" t="s">
        <v>282</v>
      </c>
      <c r="E2468" s="508">
        <v>5.9269999999999996</v>
      </c>
      <c r="F2468" s="508">
        <v>5.6210000000000004</v>
      </c>
      <c r="G2468" s="508">
        <v>5.8390000000000004</v>
      </c>
      <c r="H2468" s="508">
        <v>5.2279999999999998</v>
      </c>
      <c r="I2468" s="508">
        <v>4.3570000000000002</v>
      </c>
      <c r="J2468" s="508">
        <v>4.6660000000000004</v>
      </c>
      <c r="K2468" s="508">
        <v>4.3129999999999997</v>
      </c>
      <c r="L2468" s="508">
        <v>4.601</v>
      </c>
      <c r="M2468" s="508">
        <v>4.2949999999999999</v>
      </c>
      <c r="N2468" s="508">
        <v>4.4580000000000002</v>
      </c>
      <c r="O2468" s="508">
        <v>4.79</v>
      </c>
      <c r="P2468" s="508">
        <v>4.8499999999999996</v>
      </c>
      <c r="Q2468" s="508">
        <v>4.9429999999999996</v>
      </c>
      <c r="R2468" s="508">
        <v>4.6210000000000004</v>
      </c>
      <c r="S2468" s="508">
        <v>4.3520000000000003</v>
      </c>
      <c r="T2468" s="508">
        <v>4.3869999999999996</v>
      </c>
      <c r="U2468" s="508">
        <v>4.2060000000000004</v>
      </c>
      <c r="V2468" s="508">
        <v>4.2160000000000002</v>
      </c>
      <c r="W2468" s="508">
        <v>3.1179999999999999</v>
      </c>
      <c r="X2468" s="508">
        <v>3.1259999999999999</v>
      </c>
      <c r="Y2468" s="508">
        <v>3.09</v>
      </c>
      <c r="Z2468" s="508">
        <v>3.0569999999999999</v>
      </c>
      <c r="AA2468" s="508">
        <v>0.79500000000000004</v>
      </c>
      <c r="AB2468" s="508">
        <v>0.72499999999999998</v>
      </c>
      <c r="AC2468" s="508">
        <v>0.749</v>
      </c>
      <c r="AD2468" s="508">
        <v>0.49099999999999999</v>
      </c>
      <c r="AE2468" s="508">
        <v>0.47</v>
      </c>
      <c r="AF2468" s="508">
        <v>0.4</v>
      </c>
      <c r="AG2468" s="508">
        <v>0.39800000000000002</v>
      </c>
      <c r="AH2468" s="508">
        <v>0.39800000000000002</v>
      </c>
      <c r="AI2468" s="492">
        <v>0.39800000000000002</v>
      </c>
      <c r="AJ2468" s="485"/>
    </row>
    <row r="2469" spans="2:36">
      <c r="B2469" s="136" t="s">
        <v>487</v>
      </c>
      <c r="C2469" s="132" t="s">
        <v>1373</v>
      </c>
      <c r="D2469" s="132" t="s">
        <v>282</v>
      </c>
      <c r="E2469" s="508">
        <v>5.9349999999999996</v>
      </c>
      <c r="F2469" s="508">
        <v>5.6269999999999998</v>
      </c>
      <c r="G2469" s="508">
        <v>5.8470000000000004</v>
      </c>
      <c r="H2469" s="508">
        <v>5.2279999999999998</v>
      </c>
      <c r="I2469" s="508">
        <v>4.3499999999999996</v>
      </c>
      <c r="J2469" s="508">
        <v>4.6630000000000003</v>
      </c>
      <c r="K2469" s="508">
        <v>4.306</v>
      </c>
      <c r="L2469" s="508">
        <v>4.5979999999999999</v>
      </c>
      <c r="M2469" s="508">
        <v>4.2880000000000003</v>
      </c>
      <c r="N2469" s="508">
        <v>4.4530000000000003</v>
      </c>
      <c r="O2469" s="508">
        <v>4.7880000000000003</v>
      </c>
      <c r="P2469" s="508">
        <v>4.8499999999999996</v>
      </c>
      <c r="Q2469" s="508">
        <v>4.944</v>
      </c>
      <c r="R2469" s="508">
        <v>4.6180000000000003</v>
      </c>
      <c r="S2469" s="508">
        <v>4.3460000000000001</v>
      </c>
      <c r="T2469" s="508">
        <v>4.3819999999999997</v>
      </c>
      <c r="U2469" s="508">
        <v>4.1989999999999998</v>
      </c>
      <c r="V2469" s="508">
        <v>4.2089999999999996</v>
      </c>
      <c r="W2469" s="508">
        <v>3.1070000000000002</v>
      </c>
      <c r="X2469" s="508">
        <v>3.1150000000000002</v>
      </c>
      <c r="Y2469" s="508">
        <v>3.08</v>
      </c>
      <c r="Z2469" s="508">
        <v>3.0459999999999998</v>
      </c>
      <c r="AA2469" s="508">
        <v>0.79500000000000004</v>
      </c>
      <c r="AB2469" s="508">
        <v>0.72299999999999998</v>
      </c>
      <c r="AC2469" s="508">
        <v>0.748</v>
      </c>
      <c r="AD2469" s="508">
        <v>0.49099999999999999</v>
      </c>
      <c r="AE2469" s="508">
        <v>0.47</v>
      </c>
      <c r="AF2469" s="508">
        <v>0.4</v>
      </c>
      <c r="AG2469" s="508">
        <v>0.39800000000000002</v>
      </c>
      <c r="AH2469" s="508">
        <v>0.39800000000000002</v>
      </c>
      <c r="AI2469" s="492">
        <v>0.39800000000000002</v>
      </c>
      <c r="AJ2469" s="485"/>
    </row>
    <row r="2470" spans="2:36">
      <c r="B2470" s="136" t="s">
        <v>488</v>
      </c>
      <c r="C2470" s="132" t="s">
        <v>1373</v>
      </c>
      <c r="D2470" s="132" t="s">
        <v>282</v>
      </c>
      <c r="E2470" s="508">
        <v>5.5519999999999996</v>
      </c>
      <c r="F2470" s="508">
        <v>5.2709999999999999</v>
      </c>
      <c r="G2470" s="508">
        <v>5.4740000000000002</v>
      </c>
      <c r="H2470" s="508">
        <v>4.8959999999999999</v>
      </c>
      <c r="I2470" s="508">
        <v>4.0990000000000002</v>
      </c>
      <c r="J2470" s="508">
        <v>4.3899999999999997</v>
      </c>
      <c r="K2470" s="508">
        <v>4.0549999999999997</v>
      </c>
      <c r="L2470" s="508">
        <v>4.3280000000000003</v>
      </c>
      <c r="M2470" s="508">
        <v>4.0430000000000001</v>
      </c>
      <c r="N2470" s="508">
        <v>4.1970000000000001</v>
      </c>
      <c r="O2470" s="508">
        <v>4.5039999999999996</v>
      </c>
      <c r="P2470" s="508">
        <v>4.5670000000000002</v>
      </c>
      <c r="Q2470" s="508">
        <v>4.6529999999999996</v>
      </c>
      <c r="R2470" s="508">
        <v>4.3490000000000002</v>
      </c>
      <c r="S2470" s="508">
        <v>4.0960000000000001</v>
      </c>
      <c r="T2470" s="508">
        <v>4.1349999999999998</v>
      </c>
      <c r="U2470" s="508">
        <v>3.964</v>
      </c>
      <c r="V2470" s="508">
        <v>3.976</v>
      </c>
      <c r="W2470" s="508">
        <v>2.97</v>
      </c>
      <c r="X2470" s="508">
        <v>2.9780000000000002</v>
      </c>
      <c r="Y2470" s="508">
        <v>2.944</v>
      </c>
      <c r="Z2470" s="508">
        <v>2.9140000000000001</v>
      </c>
      <c r="AA2470" s="508">
        <v>0.751</v>
      </c>
      <c r="AB2470" s="508">
        <v>0.68700000000000006</v>
      </c>
      <c r="AC2470" s="508">
        <v>0.70799999999999996</v>
      </c>
      <c r="AD2470" s="508">
        <v>0.46300000000000002</v>
      </c>
      <c r="AE2470" s="508">
        <v>0.44400000000000001</v>
      </c>
      <c r="AF2470" s="508">
        <v>0.377</v>
      </c>
      <c r="AG2470" s="508">
        <v>0.375</v>
      </c>
      <c r="AH2470" s="508">
        <v>0.375</v>
      </c>
      <c r="AI2470" s="492">
        <v>0.375</v>
      </c>
      <c r="AJ2470" s="485"/>
    </row>
    <row r="2471" spans="2:36">
      <c r="B2471" s="136" t="s">
        <v>489</v>
      </c>
      <c r="C2471" s="132" t="s">
        <v>1373</v>
      </c>
      <c r="D2471" s="132" t="s">
        <v>282</v>
      </c>
      <c r="E2471" s="508">
        <v>5.742</v>
      </c>
      <c r="F2471" s="508">
        <v>5.4489999999999998</v>
      </c>
      <c r="G2471" s="508">
        <v>5.6589999999999998</v>
      </c>
      <c r="H2471" s="508">
        <v>5.0679999999999996</v>
      </c>
      <c r="I2471" s="508">
        <v>4.2350000000000003</v>
      </c>
      <c r="J2471" s="508">
        <v>4.5330000000000004</v>
      </c>
      <c r="K2471" s="508">
        <v>4.1920000000000002</v>
      </c>
      <c r="L2471" s="508">
        <v>4.47</v>
      </c>
      <c r="M2471" s="508">
        <v>4.1760000000000002</v>
      </c>
      <c r="N2471" s="508">
        <v>4.3330000000000002</v>
      </c>
      <c r="O2471" s="508">
        <v>4.6520000000000001</v>
      </c>
      <c r="P2471" s="508">
        <v>4.7119999999999997</v>
      </c>
      <c r="Q2471" s="508">
        <v>4.8010000000000002</v>
      </c>
      <c r="R2471" s="508">
        <v>4.49</v>
      </c>
      <c r="S2471" s="508">
        <v>4.2309999999999999</v>
      </c>
      <c r="T2471" s="508">
        <v>4.266</v>
      </c>
      <c r="U2471" s="508">
        <v>4.0919999999999996</v>
      </c>
      <c r="V2471" s="508">
        <v>4.101</v>
      </c>
      <c r="W2471" s="508">
        <v>3.0529999999999999</v>
      </c>
      <c r="X2471" s="508">
        <v>3.0609999999999999</v>
      </c>
      <c r="Y2471" s="508">
        <v>3.0259999999999998</v>
      </c>
      <c r="Z2471" s="508">
        <v>2.9940000000000002</v>
      </c>
      <c r="AA2471" s="508">
        <v>0.77500000000000002</v>
      </c>
      <c r="AB2471" s="508">
        <v>0.70799999999999996</v>
      </c>
      <c r="AC2471" s="508">
        <v>0.73</v>
      </c>
      <c r="AD2471" s="508">
        <v>0.47799999999999998</v>
      </c>
      <c r="AE2471" s="508">
        <v>0.45800000000000002</v>
      </c>
      <c r="AF2471" s="508">
        <v>0.39</v>
      </c>
      <c r="AG2471" s="508">
        <v>0.38800000000000001</v>
      </c>
      <c r="AH2471" s="508">
        <v>0.38800000000000001</v>
      </c>
      <c r="AI2471" s="492">
        <v>0.38800000000000001</v>
      </c>
      <c r="AJ2471" s="485"/>
    </row>
    <row r="2472" spans="2:36">
      <c r="B2472" s="136" t="s">
        <v>490</v>
      </c>
      <c r="C2472" s="132" t="s">
        <v>1373</v>
      </c>
      <c r="D2472" s="132" t="s">
        <v>282</v>
      </c>
      <c r="E2472" s="508">
        <v>5.3490000000000002</v>
      </c>
      <c r="F2472" s="508">
        <v>5.0819999999999999</v>
      </c>
      <c r="G2472" s="508">
        <v>5.2779999999999996</v>
      </c>
      <c r="H2472" s="508">
        <v>4.7149999999999999</v>
      </c>
      <c r="I2472" s="508">
        <v>3.968</v>
      </c>
      <c r="J2472" s="508">
        <v>4.25</v>
      </c>
      <c r="K2472" s="508">
        <v>3.923</v>
      </c>
      <c r="L2472" s="508">
        <v>4.1890000000000001</v>
      </c>
      <c r="M2472" s="508">
        <v>3.9180000000000001</v>
      </c>
      <c r="N2472" s="508">
        <v>4.0670000000000002</v>
      </c>
      <c r="O2472" s="508">
        <v>4.3570000000000002</v>
      </c>
      <c r="P2472" s="508">
        <v>4.4249999999999998</v>
      </c>
      <c r="Q2472" s="508">
        <v>4.5069999999999997</v>
      </c>
      <c r="R2472" s="508">
        <v>4.2130000000000001</v>
      </c>
      <c r="S2472" s="508">
        <v>3.9670000000000001</v>
      </c>
      <c r="T2472" s="508">
        <v>4.0110000000000001</v>
      </c>
      <c r="U2472" s="508">
        <v>3.847</v>
      </c>
      <c r="V2472" s="508">
        <v>3.86</v>
      </c>
      <c r="W2472" s="508">
        <v>2.887</v>
      </c>
      <c r="X2472" s="508">
        <v>2.895</v>
      </c>
      <c r="Y2472" s="508">
        <v>2.863</v>
      </c>
      <c r="Z2472" s="508">
        <v>2.8340000000000001</v>
      </c>
      <c r="AA2472" s="508">
        <v>0.72399999999999998</v>
      </c>
      <c r="AB2472" s="508">
        <v>0.66600000000000004</v>
      </c>
      <c r="AC2472" s="508">
        <v>0.68400000000000005</v>
      </c>
      <c r="AD2472" s="508">
        <v>0.44600000000000001</v>
      </c>
      <c r="AE2472" s="508">
        <v>0.42799999999999999</v>
      </c>
      <c r="AF2472" s="508">
        <v>0.36299999999999999</v>
      </c>
      <c r="AG2472" s="508">
        <v>0.36099999999999999</v>
      </c>
      <c r="AH2472" s="508">
        <v>0.36099999999999999</v>
      </c>
      <c r="AI2472" s="492">
        <v>0.36099999999999999</v>
      </c>
      <c r="AJ2472" s="485"/>
    </row>
    <row r="2473" spans="2:36">
      <c r="B2473" s="136" t="s">
        <v>435</v>
      </c>
      <c r="C2473" s="132" t="s">
        <v>1374</v>
      </c>
      <c r="D2473" s="132" t="s">
        <v>282</v>
      </c>
      <c r="E2473" s="508">
        <v>76.66</v>
      </c>
      <c r="F2473" s="508">
        <v>69.552999999999997</v>
      </c>
      <c r="G2473" s="508">
        <v>55.255000000000003</v>
      </c>
      <c r="H2473" s="508">
        <v>58.293999999999997</v>
      </c>
      <c r="I2473" s="508">
        <v>59.420999999999999</v>
      </c>
      <c r="J2473" s="508">
        <v>89.78</v>
      </c>
      <c r="K2473" s="508">
        <v>84.685000000000002</v>
      </c>
      <c r="L2473" s="508">
        <v>84.070999999999998</v>
      </c>
      <c r="M2473" s="508">
        <v>82.578999999999994</v>
      </c>
      <c r="N2473" s="508">
        <v>84.132999999999996</v>
      </c>
      <c r="O2473" s="508">
        <v>75.585999999999999</v>
      </c>
      <c r="P2473" s="508">
        <v>82.242000000000004</v>
      </c>
      <c r="Q2473" s="508">
        <v>66.522999999999996</v>
      </c>
      <c r="R2473" s="508">
        <v>33.335999999999999</v>
      </c>
      <c r="S2473" s="508">
        <v>29.562000000000001</v>
      </c>
      <c r="T2473" s="508">
        <v>32.744</v>
      </c>
      <c r="U2473" s="508">
        <v>26.986000000000001</v>
      </c>
      <c r="V2473" s="508">
        <v>32.088000000000001</v>
      </c>
      <c r="W2473" s="508"/>
      <c r="X2473" s="508">
        <v>29.346</v>
      </c>
      <c r="Y2473" s="508"/>
      <c r="Z2473" s="508"/>
      <c r="AA2473" s="508"/>
      <c r="AB2473" s="508"/>
      <c r="AC2473" s="508"/>
      <c r="AD2473" s="508"/>
      <c r="AE2473" s="508"/>
      <c r="AF2473" s="508"/>
      <c r="AG2473" s="508"/>
      <c r="AH2473" s="508"/>
      <c r="AI2473" s="492"/>
      <c r="AJ2473" s="485"/>
    </row>
    <row r="2474" spans="2:36">
      <c r="B2474" s="136" t="s">
        <v>436</v>
      </c>
      <c r="C2474" s="132" t="s">
        <v>1374</v>
      </c>
      <c r="D2474" s="132" t="s">
        <v>282</v>
      </c>
      <c r="E2474" s="508">
        <v>90.061000000000007</v>
      </c>
      <c r="F2474" s="508">
        <v>72.239000000000004</v>
      </c>
      <c r="G2474" s="508">
        <v>58.478999999999999</v>
      </c>
      <c r="H2474" s="508">
        <v>61.128</v>
      </c>
      <c r="I2474" s="508">
        <v>62.002000000000002</v>
      </c>
      <c r="J2474" s="508">
        <v>91.647000000000006</v>
      </c>
      <c r="K2474" s="508">
        <v>86.68</v>
      </c>
      <c r="L2474" s="508">
        <v>85.962000000000003</v>
      </c>
      <c r="M2474" s="508">
        <v>84.427999999999997</v>
      </c>
      <c r="N2474" s="508">
        <v>86.04</v>
      </c>
      <c r="O2474" s="508">
        <v>77.873000000000005</v>
      </c>
      <c r="P2474" s="508">
        <v>84.055000000000007</v>
      </c>
      <c r="Q2474" s="508">
        <v>69.144999999999996</v>
      </c>
      <c r="R2474" s="508">
        <v>33.555</v>
      </c>
      <c r="S2474" s="508">
        <v>29.928000000000001</v>
      </c>
      <c r="T2474" s="508">
        <v>32.646999999999998</v>
      </c>
      <c r="U2474" s="508">
        <v>27.297000000000001</v>
      </c>
      <c r="V2474" s="508">
        <v>32.747</v>
      </c>
      <c r="W2474" s="508"/>
      <c r="X2474" s="508">
        <v>29.722999999999999</v>
      </c>
      <c r="Y2474" s="508"/>
      <c r="Z2474" s="508"/>
      <c r="AA2474" s="508"/>
      <c r="AB2474" s="508"/>
      <c r="AC2474" s="508"/>
      <c r="AD2474" s="508"/>
      <c r="AE2474" s="508"/>
      <c r="AF2474" s="508"/>
      <c r="AG2474" s="508"/>
      <c r="AH2474" s="508"/>
      <c r="AI2474" s="492"/>
      <c r="AJ2474" s="485"/>
    </row>
    <row r="2475" spans="2:36">
      <c r="B2475" s="136" t="s">
        <v>437</v>
      </c>
      <c r="C2475" s="132" t="s">
        <v>1374</v>
      </c>
      <c r="D2475" s="132" t="s">
        <v>282</v>
      </c>
      <c r="E2475" s="508">
        <v>75.271000000000001</v>
      </c>
      <c r="F2475" s="508">
        <v>71.804000000000002</v>
      </c>
      <c r="G2475" s="508">
        <v>56.924999999999997</v>
      </c>
      <c r="H2475" s="508">
        <v>60.103000000000002</v>
      </c>
      <c r="I2475" s="508">
        <v>61.286000000000001</v>
      </c>
      <c r="J2475" s="508">
        <v>92.221999999999994</v>
      </c>
      <c r="K2475" s="508">
        <v>86.902000000000001</v>
      </c>
      <c r="L2475" s="508">
        <v>86.251000000000005</v>
      </c>
      <c r="M2475" s="508">
        <v>84.682000000000002</v>
      </c>
      <c r="N2475" s="508">
        <v>88.814999999999998</v>
      </c>
      <c r="O2475" s="508">
        <v>79.945999999999998</v>
      </c>
      <c r="P2475" s="508">
        <v>86.82</v>
      </c>
      <c r="Q2475" s="508">
        <v>70.531999999999996</v>
      </c>
      <c r="R2475" s="508">
        <v>34.113999999999997</v>
      </c>
      <c r="S2475" s="508">
        <v>30.202999999999999</v>
      </c>
      <c r="T2475" s="508">
        <v>33.497</v>
      </c>
      <c r="U2475" s="508">
        <v>26.594000000000001</v>
      </c>
      <c r="V2475" s="508">
        <v>33.131</v>
      </c>
      <c r="W2475" s="508"/>
      <c r="X2475" s="508">
        <v>29.631</v>
      </c>
      <c r="Y2475" s="508"/>
      <c r="Z2475" s="508"/>
      <c r="AA2475" s="508"/>
      <c r="AB2475" s="508"/>
      <c r="AC2475" s="508"/>
      <c r="AD2475" s="508"/>
      <c r="AE2475" s="508"/>
      <c r="AF2475" s="508"/>
      <c r="AG2475" s="508"/>
      <c r="AH2475" s="508"/>
      <c r="AI2475" s="492"/>
      <c r="AJ2475" s="485"/>
    </row>
    <row r="2476" spans="2:36">
      <c r="B2476" s="136" t="s">
        <v>438</v>
      </c>
      <c r="C2476" s="132" t="s">
        <v>1374</v>
      </c>
      <c r="D2476" s="132" t="s">
        <v>282</v>
      </c>
      <c r="E2476" s="508">
        <v>75.647000000000006</v>
      </c>
      <c r="F2476" s="508">
        <v>68</v>
      </c>
      <c r="G2476" s="508">
        <v>54.683</v>
      </c>
      <c r="H2476" s="508">
        <v>57.506</v>
      </c>
      <c r="I2476" s="508">
        <v>58.548000000000002</v>
      </c>
      <c r="J2476" s="508">
        <v>87.801000000000002</v>
      </c>
      <c r="K2476" s="508">
        <v>83.040999999999997</v>
      </c>
      <c r="L2476" s="508">
        <v>82.453999999999994</v>
      </c>
      <c r="M2476" s="508">
        <v>81.05</v>
      </c>
      <c r="N2476" s="508">
        <v>82.718999999999994</v>
      </c>
      <c r="O2476" s="508">
        <v>74.753</v>
      </c>
      <c r="P2476" s="508">
        <v>80.926000000000002</v>
      </c>
      <c r="Q2476" s="508">
        <v>66.295000000000002</v>
      </c>
      <c r="R2476" s="508">
        <v>31.635999999999999</v>
      </c>
      <c r="S2476" s="508">
        <v>28.120999999999999</v>
      </c>
      <c r="T2476" s="508">
        <v>31.062000000000001</v>
      </c>
      <c r="U2476" s="508">
        <v>26.552</v>
      </c>
      <c r="V2476" s="508">
        <v>31.972999999999999</v>
      </c>
      <c r="W2476" s="508"/>
      <c r="X2476" s="508">
        <v>29.053999999999998</v>
      </c>
      <c r="Y2476" s="508"/>
      <c r="Z2476" s="508"/>
      <c r="AA2476" s="508"/>
      <c r="AB2476" s="508"/>
      <c r="AC2476" s="508"/>
      <c r="AD2476" s="508"/>
      <c r="AE2476" s="508"/>
      <c r="AF2476" s="508"/>
      <c r="AG2476" s="508"/>
      <c r="AH2476" s="508"/>
      <c r="AI2476" s="492"/>
      <c r="AJ2476" s="485"/>
    </row>
    <row r="2477" spans="2:36">
      <c r="B2477" s="136" t="s">
        <v>439</v>
      </c>
      <c r="C2477" s="132" t="s">
        <v>1374</v>
      </c>
      <c r="D2477" s="132" t="s">
        <v>282</v>
      </c>
      <c r="E2477" s="508">
        <v>81.593000000000004</v>
      </c>
      <c r="F2477" s="508">
        <v>72.864999999999995</v>
      </c>
      <c r="G2477" s="508">
        <v>57.197000000000003</v>
      </c>
      <c r="H2477" s="508">
        <v>60.52</v>
      </c>
      <c r="I2477" s="508">
        <v>61.749000000000002</v>
      </c>
      <c r="J2477" s="508">
        <v>92.644999999999996</v>
      </c>
      <c r="K2477" s="508">
        <v>87.034999999999997</v>
      </c>
      <c r="L2477" s="508">
        <v>86.334999999999994</v>
      </c>
      <c r="M2477" s="508">
        <v>84.671999999999997</v>
      </c>
      <c r="N2477" s="508">
        <v>90.861999999999995</v>
      </c>
      <c r="O2477" s="508">
        <v>81.56</v>
      </c>
      <c r="P2477" s="508">
        <v>88.745000000000005</v>
      </c>
      <c r="Q2477" s="508">
        <v>71.679000000000002</v>
      </c>
      <c r="R2477" s="508">
        <v>35.021000000000001</v>
      </c>
      <c r="S2477" s="508">
        <v>30.919</v>
      </c>
      <c r="T2477" s="508">
        <v>34.341999999999999</v>
      </c>
      <c r="U2477" s="508">
        <v>25.597999999999999</v>
      </c>
      <c r="V2477" s="508">
        <v>32.862000000000002</v>
      </c>
      <c r="W2477" s="508"/>
      <c r="X2477" s="508">
        <v>28.952999999999999</v>
      </c>
      <c r="Y2477" s="508"/>
      <c r="Z2477" s="508"/>
      <c r="AA2477" s="508"/>
      <c r="AB2477" s="508"/>
      <c r="AC2477" s="508"/>
      <c r="AD2477" s="508"/>
      <c r="AE2477" s="508"/>
      <c r="AF2477" s="508"/>
      <c r="AG2477" s="508"/>
      <c r="AH2477" s="508"/>
      <c r="AI2477" s="492"/>
      <c r="AJ2477" s="485"/>
    </row>
    <row r="2478" spans="2:36">
      <c r="B2478" s="136" t="s">
        <v>440</v>
      </c>
      <c r="C2478" s="132" t="s">
        <v>1374</v>
      </c>
      <c r="D2478" s="132" t="s">
        <v>282</v>
      </c>
      <c r="E2478" s="508">
        <v>89.558999999999997</v>
      </c>
      <c r="F2478" s="508">
        <v>75.861000000000004</v>
      </c>
      <c r="G2478" s="508">
        <v>60.805999999999997</v>
      </c>
      <c r="H2478" s="508">
        <v>63.914999999999999</v>
      </c>
      <c r="I2478" s="508">
        <v>65.031000000000006</v>
      </c>
      <c r="J2478" s="508">
        <v>97.058999999999997</v>
      </c>
      <c r="K2478" s="508">
        <v>91.674000000000007</v>
      </c>
      <c r="L2478" s="508">
        <v>90.986000000000004</v>
      </c>
      <c r="M2478" s="508">
        <v>89.382999999999996</v>
      </c>
      <c r="N2478" s="508">
        <v>91.103999999999999</v>
      </c>
      <c r="O2478" s="508">
        <v>82.125</v>
      </c>
      <c r="P2478" s="508">
        <v>89.058999999999997</v>
      </c>
      <c r="Q2478" s="508">
        <v>72.581999999999994</v>
      </c>
      <c r="R2478" s="508">
        <v>35.28</v>
      </c>
      <c r="S2478" s="508">
        <v>31.308</v>
      </c>
      <c r="T2478" s="508">
        <v>34.545000000000002</v>
      </c>
      <c r="U2478" s="508">
        <v>28.359000000000002</v>
      </c>
      <c r="V2478" s="508">
        <v>34.414000000000001</v>
      </c>
      <c r="W2478" s="508"/>
      <c r="X2478" s="508">
        <v>31.125</v>
      </c>
      <c r="Y2478" s="508"/>
      <c r="Z2478" s="508"/>
      <c r="AA2478" s="508"/>
      <c r="AB2478" s="508"/>
      <c r="AC2478" s="508"/>
      <c r="AD2478" s="508"/>
      <c r="AE2478" s="508"/>
      <c r="AF2478" s="508"/>
      <c r="AG2478" s="508"/>
      <c r="AH2478" s="508"/>
      <c r="AI2478" s="492"/>
      <c r="AJ2478" s="485"/>
    </row>
    <row r="2479" spans="2:36">
      <c r="B2479" s="136" t="s">
        <v>441</v>
      </c>
      <c r="C2479" s="132" t="s">
        <v>1374</v>
      </c>
      <c r="D2479" s="132" t="s">
        <v>282</v>
      </c>
      <c r="E2479" s="508">
        <v>89.954999999999998</v>
      </c>
      <c r="F2479" s="508">
        <v>76.506</v>
      </c>
      <c r="G2479" s="508">
        <v>61.133000000000003</v>
      </c>
      <c r="H2479" s="508">
        <v>64.319999999999993</v>
      </c>
      <c r="I2479" s="508">
        <v>65.468999999999994</v>
      </c>
      <c r="J2479" s="508">
        <v>97.400999999999996</v>
      </c>
      <c r="K2479" s="508">
        <v>91.888000000000005</v>
      </c>
      <c r="L2479" s="508">
        <v>91.174999999999997</v>
      </c>
      <c r="M2479" s="508">
        <v>89.527000000000001</v>
      </c>
      <c r="N2479" s="508">
        <v>91.174000000000007</v>
      </c>
      <c r="O2479" s="508">
        <v>81.992000000000004</v>
      </c>
      <c r="P2479" s="508">
        <v>89.057000000000002</v>
      </c>
      <c r="Q2479" s="508">
        <v>72.225999999999999</v>
      </c>
      <c r="R2479" s="508">
        <v>35.161000000000001</v>
      </c>
      <c r="S2479" s="508">
        <v>31.103999999999999</v>
      </c>
      <c r="T2479" s="508">
        <v>34.408000000000001</v>
      </c>
      <c r="U2479" s="508">
        <v>28.492999999999999</v>
      </c>
      <c r="V2479" s="508">
        <v>34.786999999999999</v>
      </c>
      <c r="W2479" s="508"/>
      <c r="X2479" s="508">
        <v>31.372</v>
      </c>
      <c r="Y2479" s="508"/>
      <c r="Z2479" s="508"/>
      <c r="AA2479" s="508"/>
      <c r="AB2479" s="508"/>
      <c r="AC2479" s="508"/>
      <c r="AD2479" s="508"/>
      <c r="AE2479" s="508"/>
      <c r="AF2479" s="508"/>
      <c r="AG2479" s="508"/>
      <c r="AH2479" s="508"/>
      <c r="AI2479" s="492"/>
      <c r="AJ2479" s="485"/>
    </row>
    <row r="2480" spans="2:36">
      <c r="B2480" s="136" t="s">
        <v>443</v>
      </c>
      <c r="C2480" s="132" t="s">
        <v>1374</v>
      </c>
      <c r="D2480" s="132" t="s">
        <v>282</v>
      </c>
      <c r="E2480" s="508">
        <v>83.242000000000004</v>
      </c>
      <c r="F2480" s="508">
        <v>71.694000000000003</v>
      </c>
      <c r="G2480" s="508">
        <v>56.210999999999999</v>
      </c>
      <c r="H2480" s="508">
        <v>59.459000000000003</v>
      </c>
      <c r="I2480" s="508">
        <v>60.645000000000003</v>
      </c>
      <c r="J2480" s="508">
        <v>91.873000000000005</v>
      </c>
      <c r="K2480" s="508">
        <v>86.328999999999994</v>
      </c>
      <c r="L2480" s="508">
        <v>85.628</v>
      </c>
      <c r="M2480" s="508">
        <v>83.98</v>
      </c>
      <c r="N2480" s="508">
        <v>85.302999999999997</v>
      </c>
      <c r="O2480" s="508">
        <v>76.046999999999997</v>
      </c>
      <c r="P2480" s="508">
        <v>83.191999999999993</v>
      </c>
      <c r="Q2480" s="508">
        <v>66.210999999999999</v>
      </c>
      <c r="R2480" s="508">
        <v>35.149000000000001</v>
      </c>
      <c r="S2480" s="508">
        <v>31.062000000000001</v>
      </c>
      <c r="T2480" s="508">
        <v>34.436</v>
      </c>
      <c r="U2480" s="508">
        <v>28.555</v>
      </c>
      <c r="V2480" s="508">
        <v>34.915999999999997</v>
      </c>
      <c r="W2480" s="508"/>
      <c r="X2480" s="508">
        <v>31.478000000000002</v>
      </c>
      <c r="Y2480" s="508"/>
      <c r="Z2480" s="508"/>
      <c r="AA2480" s="508"/>
      <c r="AB2480" s="508"/>
      <c r="AC2480" s="508"/>
      <c r="AD2480" s="508"/>
      <c r="AE2480" s="508"/>
      <c r="AF2480" s="508"/>
      <c r="AG2480" s="508"/>
      <c r="AH2480" s="508"/>
      <c r="AI2480" s="492"/>
      <c r="AJ2480" s="485"/>
    </row>
    <row r="2481" spans="2:36">
      <c r="B2481" s="136" t="s">
        <v>445</v>
      </c>
      <c r="C2481" s="132" t="s">
        <v>1374</v>
      </c>
      <c r="D2481" s="132" t="s">
        <v>282</v>
      </c>
      <c r="E2481" s="508">
        <v>92.867999999999995</v>
      </c>
      <c r="F2481" s="508">
        <v>80.444999999999993</v>
      </c>
      <c r="G2481" s="508">
        <v>62.959000000000003</v>
      </c>
      <c r="H2481" s="508">
        <v>66.635999999999996</v>
      </c>
      <c r="I2481" s="508">
        <v>67.983000000000004</v>
      </c>
      <c r="J2481" s="508">
        <v>102.94</v>
      </c>
      <c r="K2481" s="508">
        <v>96.68</v>
      </c>
      <c r="L2481" s="508">
        <v>95.891999999999996</v>
      </c>
      <c r="M2481" s="508">
        <v>94.034000000000006</v>
      </c>
      <c r="N2481" s="508">
        <v>95.486000000000004</v>
      </c>
      <c r="O2481" s="508">
        <v>85.03</v>
      </c>
      <c r="P2481" s="508">
        <v>93.106999999999999</v>
      </c>
      <c r="Q2481" s="508">
        <v>73.923000000000002</v>
      </c>
      <c r="R2481" s="508">
        <v>39.009</v>
      </c>
      <c r="S2481" s="508">
        <v>34.393000000000001</v>
      </c>
      <c r="T2481" s="508">
        <v>38.215000000000003</v>
      </c>
      <c r="U2481" s="508">
        <v>31.515000000000001</v>
      </c>
      <c r="V2481" s="508">
        <v>38.704999999999998</v>
      </c>
      <c r="W2481" s="508"/>
      <c r="X2481" s="508">
        <v>34.823</v>
      </c>
      <c r="Y2481" s="508"/>
      <c r="Z2481" s="508"/>
      <c r="AA2481" s="508"/>
      <c r="AB2481" s="508"/>
      <c r="AC2481" s="508"/>
      <c r="AD2481" s="508"/>
      <c r="AE2481" s="508"/>
      <c r="AF2481" s="508"/>
      <c r="AG2481" s="508"/>
      <c r="AH2481" s="508"/>
      <c r="AI2481" s="492"/>
      <c r="AJ2481" s="485"/>
    </row>
    <row r="2482" spans="2:36">
      <c r="B2482" s="136" t="s">
        <v>446</v>
      </c>
      <c r="C2482" s="132" t="s">
        <v>1374</v>
      </c>
      <c r="D2482" s="132" t="s">
        <v>282</v>
      </c>
      <c r="E2482" s="508">
        <v>79.661000000000001</v>
      </c>
      <c r="F2482" s="508">
        <v>76.049000000000007</v>
      </c>
      <c r="G2482" s="508">
        <v>60.003999999999998</v>
      </c>
      <c r="H2482" s="508">
        <v>63.430999999999997</v>
      </c>
      <c r="I2482" s="508">
        <v>64.706999999999994</v>
      </c>
      <c r="J2482" s="508">
        <v>97.986999999999995</v>
      </c>
      <c r="K2482" s="508">
        <v>92.272000000000006</v>
      </c>
      <c r="L2482" s="508">
        <v>91.588999999999999</v>
      </c>
      <c r="M2482" s="508">
        <v>89.918999999999997</v>
      </c>
      <c r="N2482" s="508">
        <v>91.512</v>
      </c>
      <c r="O2482" s="508">
        <v>81.917000000000002</v>
      </c>
      <c r="P2482" s="508">
        <v>89.396000000000001</v>
      </c>
      <c r="Q2482" s="508">
        <v>71.745999999999995</v>
      </c>
      <c r="R2482" s="508">
        <v>36.518999999999998</v>
      </c>
      <c r="S2482" s="508">
        <v>32.283999999999999</v>
      </c>
      <c r="T2482" s="508">
        <v>35.872</v>
      </c>
      <c r="U2482" s="508">
        <v>29.318999999999999</v>
      </c>
      <c r="V2482" s="508">
        <v>35.061999999999998</v>
      </c>
      <c r="W2482" s="508"/>
      <c r="X2482" s="508">
        <v>31.988</v>
      </c>
      <c r="Y2482" s="508"/>
      <c r="Z2482" s="508"/>
      <c r="AA2482" s="508"/>
      <c r="AB2482" s="508"/>
      <c r="AC2482" s="508"/>
      <c r="AD2482" s="508"/>
      <c r="AE2482" s="508"/>
      <c r="AF2482" s="508"/>
      <c r="AG2482" s="508"/>
      <c r="AH2482" s="508"/>
      <c r="AI2482" s="492"/>
      <c r="AJ2482" s="485"/>
    </row>
    <row r="2483" spans="2:36">
      <c r="B2483" s="136" t="s">
        <v>448</v>
      </c>
      <c r="C2483" s="132" t="s">
        <v>1374</v>
      </c>
      <c r="D2483" s="132" t="s">
        <v>282</v>
      </c>
      <c r="E2483" s="508">
        <v>76.590999999999994</v>
      </c>
      <c r="F2483" s="508">
        <v>69.254000000000005</v>
      </c>
      <c r="G2483" s="508">
        <v>55.465000000000003</v>
      </c>
      <c r="H2483" s="508">
        <v>58.393000000000001</v>
      </c>
      <c r="I2483" s="508">
        <v>59.476999999999997</v>
      </c>
      <c r="J2483" s="508">
        <v>89.322999999999993</v>
      </c>
      <c r="K2483" s="508">
        <v>84.406999999999996</v>
      </c>
      <c r="L2483" s="508">
        <v>83.811000000000007</v>
      </c>
      <c r="M2483" s="508">
        <v>82.369</v>
      </c>
      <c r="N2483" s="508">
        <v>84.022000000000006</v>
      </c>
      <c r="O2483" s="508">
        <v>75.78</v>
      </c>
      <c r="P2483" s="508">
        <v>82.191000000000003</v>
      </c>
      <c r="Q2483" s="508">
        <v>67.037999999999997</v>
      </c>
      <c r="R2483" s="508">
        <v>32.427</v>
      </c>
      <c r="S2483" s="508">
        <v>28.788</v>
      </c>
      <c r="T2483" s="508">
        <v>31.849</v>
      </c>
      <c r="U2483" s="508">
        <v>26.341999999999999</v>
      </c>
      <c r="V2483" s="508">
        <v>31.260999999999999</v>
      </c>
      <c r="W2483" s="508"/>
      <c r="X2483" s="508">
        <v>28.614999999999998</v>
      </c>
      <c r="Y2483" s="508"/>
      <c r="Z2483" s="508"/>
      <c r="AA2483" s="508"/>
      <c r="AB2483" s="508"/>
      <c r="AC2483" s="508"/>
      <c r="AD2483" s="508"/>
      <c r="AE2483" s="508"/>
      <c r="AF2483" s="508"/>
      <c r="AG2483" s="508"/>
      <c r="AH2483" s="508"/>
      <c r="AI2483" s="492"/>
      <c r="AJ2483" s="485"/>
    </row>
    <row r="2484" spans="2:36">
      <c r="B2484" s="136" t="s">
        <v>449</v>
      </c>
      <c r="C2484" s="132" t="s">
        <v>1374</v>
      </c>
      <c r="D2484" s="132" t="s">
        <v>282</v>
      </c>
      <c r="E2484" s="508">
        <v>78.225999999999999</v>
      </c>
      <c r="F2484" s="508">
        <v>74.623000000000005</v>
      </c>
      <c r="G2484" s="508">
        <v>58.618000000000002</v>
      </c>
      <c r="H2484" s="508">
        <v>62.036999999999999</v>
      </c>
      <c r="I2484" s="508">
        <v>63.308999999999997</v>
      </c>
      <c r="J2484" s="508">
        <v>95.936999999999998</v>
      </c>
      <c r="K2484" s="508">
        <v>90.221999999999994</v>
      </c>
      <c r="L2484" s="508">
        <v>89.528999999999996</v>
      </c>
      <c r="M2484" s="508">
        <v>87.85</v>
      </c>
      <c r="N2484" s="508">
        <v>89.317999999999998</v>
      </c>
      <c r="O2484" s="508">
        <v>79.738</v>
      </c>
      <c r="P2484" s="508">
        <v>87.177999999999997</v>
      </c>
      <c r="Q2484" s="508">
        <v>69.575999999999993</v>
      </c>
      <c r="R2484" s="508">
        <v>36.119</v>
      </c>
      <c r="S2484" s="508">
        <v>31.893000000000001</v>
      </c>
      <c r="T2484" s="508">
        <v>35.46</v>
      </c>
      <c r="U2484" s="508">
        <v>29.791</v>
      </c>
      <c r="V2484" s="508">
        <v>36.326000000000001</v>
      </c>
      <c r="W2484" s="508"/>
      <c r="X2484" s="508">
        <v>32.826999999999998</v>
      </c>
      <c r="Y2484" s="508"/>
      <c r="Z2484" s="508"/>
      <c r="AA2484" s="508"/>
      <c r="AB2484" s="508"/>
      <c r="AC2484" s="508"/>
      <c r="AD2484" s="508"/>
      <c r="AE2484" s="508"/>
      <c r="AF2484" s="508"/>
      <c r="AG2484" s="508"/>
      <c r="AH2484" s="508"/>
      <c r="AI2484" s="492"/>
      <c r="AJ2484" s="485"/>
    </row>
    <row r="2485" spans="2:36">
      <c r="B2485" s="136" t="s">
        <v>450</v>
      </c>
      <c r="C2485" s="132" t="s">
        <v>1374</v>
      </c>
      <c r="D2485" s="132" t="s">
        <v>282</v>
      </c>
      <c r="E2485" s="508">
        <v>84.686999999999998</v>
      </c>
      <c r="F2485" s="508">
        <v>71.424999999999997</v>
      </c>
      <c r="G2485" s="508">
        <v>57.304000000000002</v>
      </c>
      <c r="H2485" s="508">
        <v>60.21</v>
      </c>
      <c r="I2485" s="508">
        <v>61.249000000000002</v>
      </c>
      <c r="J2485" s="508">
        <v>91.745999999999995</v>
      </c>
      <c r="K2485" s="508">
        <v>86.694999999999993</v>
      </c>
      <c r="L2485" s="508">
        <v>86.048000000000002</v>
      </c>
      <c r="M2485" s="508">
        <v>84.543999999999997</v>
      </c>
      <c r="N2485" s="508">
        <v>86.197000000000003</v>
      </c>
      <c r="O2485" s="508">
        <v>77.778000000000006</v>
      </c>
      <c r="P2485" s="508">
        <v>84.278999999999996</v>
      </c>
      <c r="Q2485" s="508">
        <v>68.83</v>
      </c>
      <c r="R2485" s="508">
        <v>33.735999999999997</v>
      </c>
      <c r="S2485" s="508">
        <v>30.01</v>
      </c>
      <c r="T2485" s="508">
        <v>33.036000000000001</v>
      </c>
      <c r="U2485" s="508">
        <v>27.198</v>
      </c>
      <c r="V2485" s="508">
        <v>32.856000000000002</v>
      </c>
      <c r="W2485" s="508"/>
      <c r="X2485" s="508">
        <v>29.779</v>
      </c>
      <c r="Y2485" s="508"/>
      <c r="Z2485" s="508"/>
      <c r="AA2485" s="508"/>
      <c r="AB2485" s="508"/>
      <c r="AC2485" s="508"/>
      <c r="AD2485" s="508"/>
      <c r="AE2485" s="508"/>
      <c r="AF2485" s="508"/>
      <c r="AG2485" s="508"/>
      <c r="AH2485" s="508"/>
      <c r="AI2485" s="492"/>
      <c r="AJ2485" s="485"/>
    </row>
    <row r="2486" spans="2:36">
      <c r="B2486" s="136" t="s">
        <v>451</v>
      </c>
      <c r="C2486" s="132" t="s">
        <v>1374</v>
      </c>
      <c r="D2486" s="132" t="s">
        <v>282</v>
      </c>
      <c r="E2486" s="508">
        <v>94.358999999999995</v>
      </c>
      <c r="F2486" s="508">
        <v>79.852999999999994</v>
      </c>
      <c r="G2486" s="508">
        <v>63.075000000000003</v>
      </c>
      <c r="H2486" s="508">
        <v>66.557000000000002</v>
      </c>
      <c r="I2486" s="508">
        <v>67.813999999999993</v>
      </c>
      <c r="J2486" s="508">
        <v>101.836</v>
      </c>
      <c r="K2486" s="508">
        <v>95.834000000000003</v>
      </c>
      <c r="L2486" s="508">
        <v>95.07</v>
      </c>
      <c r="M2486" s="508">
        <v>93.283000000000001</v>
      </c>
      <c r="N2486" s="508">
        <v>94.84</v>
      </c>
      <c r="O2486" s="508">
        <v>84.825999999999993</v>
      </c>
      <c r="P2486" s="508">
        <v>92.56</v>
      </c>
      <c r="Q2486" s="508">
        <v>74.185000000000002</v>
      </c>
      <c r="R2486" s="508">
        <v>37.957999999999998</v>
      </c>
      <c r="S2486" s="508">
        <v>33.530999999999999</v>
      </c>
      <c r="T2486" s="508">
        <v>37.154000000000003</v>
      </c>
      <c r="U2486" s="508">
        <v>30.367000000000001</v>
      </c>
      <c r="V2486" s="508">
        <v>37.396000000000001</v>
      </c>
      <c r="W2486" s="508"/>
      <c r="X2486" s="508">
        <v>33.584000000000003</v>
      </c>
      <c r="Y2486" s="508"/>
      <c r="Z2486" s="508"/>
      <c r="AA2486" s="508"/>
      <c r="AB2486" s="508"/>
      <c r="AC2486" s="508"/>
      <c r="AD2486" s="508"/>
      <c r="AE2486" s="508"/>
      <c r="AF2486" s="508"/>
      <c r="AG2486" s="508"/>
      <c r="AH2486" s="508"/>
      <c r="AI2486" s="492"/>
      <c r="AJ2486" s="485"/>
    </row>
    <row r="2487" spans="2:36">
      <c r="B2487" s="136" t="s">
        <v>452</v>
      </c>
      <c r="C2487" s="132" t="s">
        <v>1374</v>
      </c>
      <c r="D2487" s="132" t="s">
        <v>282</v>
      </c>
      <c r="E2487" s="508">
        <v>87.203000000000003</v>
      </c>
      <c r="F2487" s="508">
        <v>74.343999999999994</v>
      </c>
      <c r="G2487" s="508">
        <v>59.165999999999997</v>
      </c>
      <c r="H2487" s="508">
        <v>62.322000000000003</v>
      </c>
      <c r="I2487" s="508">
        <v>63.463000000000001</v>
      </c>
      <c r="J2487" s="508">
        <v>95.463999999999999</v>
      </c>
      <c r="K2487" s="508">
        <v>90.049000000000007</v>
      </c>
      <c r="L2487" s="508">
        <v>89.372</v>
      </c>
      <c r="M2487" s="508">
        <v>87.771000000000001</v>
      </c>
      <c r="N2487" s="508">
        <v>89.393000000000001</v>
      </c>
      <c r="O2487" s="508">
        <v>80.340999999999994</v>
      </c>
      <c r="P2487" s="508">
        <v>87.361999999999995</v>
      </c>
      <c r="Q2487" s="508">
        <v>70.73</v>
      </c>
      <c r="R2487" s="508">
        <v>35.496000000000002</v>
      </c>
      <c r="S2487" s="508">
        <v>31.492000000000001</v>
      </c>
      <c r="T2487" s="508">
        <v>34.789000000000001</v>
      </c>
      <c r="U2487" s="508">
        <v>28.797000000000001</v>
      </c>
      <c r="V2487" s="508">
        <v>35.369</v>
      </c>
      <c r="W2487" s="508"/>
      <c r="X2487" s="508">
        <v>31.806000000000001</v>
      </c>
      <c r="Y2487" s="508"/>
      <c r="Z2487" s="508"/>
      <c r="AA2487" s="508"/>
      <c r="AB2487" s="508"/>
      <c r="AC2487" s="508"/>
      <c r="AD2487" s="508"/>
      <c r="AE2487" s="508"/>
      <c r="AF2487" s="508"/>
      <c r="AG2487" s="508"/>
      <c r="AH2487" s="508"/>
      <c r="AI2487" s="492"/>
      <c r="AJ2487" s="485"/>
    </row>
    <row r="2488" spans="2:36">
      <c r="B2488" s="136" t="s">
        <v>453</v>
      </c>
      <c r="C2488" s="132" t="s">
        <v>1374</v>
      </c>
      <c r="D2488" s="132" t="s">
        <v>282</v>
      </c>
      <c r="E2488" s="508">
        <v>80.558999999999997</v>
      </c>
      <c r="F2488" s="508">
        <v>68.036000000000001</v>
      </c>
      <c r="G2488" s="508">
        <v>54.679000000000002</v>
      </c>
      <c r="H2488" s="508">
        <v>57.429000000000002</v>
      </c>
      <c r="I2488" s="508">
        <v>58.411999999999999</v>
      </c>
      <c r="J2488" s="508">
        <v>87.47</v>
      </c>
      <c r="K2488" s="508">
        <v>82.680999999999997</v>
      </c>
      <c r="L2488" s="508">
        <v>82.058000000000007</v>
      </c>
      <c r="M2488" s="508">
        <v>80.623999999999995</v>
      </c>
      <c r="N2488" s="508">
        <v>82.213999999999999</v>
      </c>
      <c r="O2488" s="508">
        <v>74.242999999999995</v>
      </c>
      <c r="P2488" s="508">
        <v>80.375</v>
      </c>
      <c r="Q2488" s="508">
        <v>65.763999999999996</v>
      </c>
      <c r="R2488" s="508">
        <v>32.045999999999999</v>
      </c>
      <c r="S2488" s="508">
        <v>28.521000000000001</v>
      </c>
      <c r="T2488" s="508">
        <v>31.373000000000001</v>
      </c>
      <c r="U2488" s="508">
        <v>26.652999999999999</v>
      </c>
      <c r="V2488" s="508">
        <v>32.042999999999999</v>
      </c>
      <c r="W2488" s="508"/>
      <c r="X2488" s="508">
        <v>29.111999999999998</v>
      </c>
      <c r="Y2488" s="508"/>
      <c r="Z2488" s="508"/>
      <c r="AA2488" s="508"/>
      <c r="AB2488" s="508"/>
      <c r="AC2488" s="508"/>
      <c r="AD2488" s="508"/>
      <c r="AE2488" s="508"/>
      <c r="AF2488" s="508"/>
      <c r="AG2488" s="508"/>
      <c r="AH2488" s="508"/>
      <c r="AI2488" s="492"/>
      <c r="AJ2488" s="485"/>
    </row>
    <row r="2489" spans="2:36">
      <c r="B2489" s="136" t="s">
        <v>454</v>
      </c>
      <c r="C2489" s="132" t="s">
        <v>1374</v>
      </c>
      <c r="D2489" s="132" t="s">
        <v>282</v>
      </c>
      <c r="E2489" s="508">
        <v>79.784999999999997</v>
      </c>
      <c r="F2489" s="508">
        <v>69.438999999999993</v>
      </c>
      <c r="G2489" s="508">
        <v>55.548999999999999</v>
      </c>
      <c r="H2489" s="508">
        <v>58.462000000000003</v>
      </c>
      <c r="I2489" s="508">
        <v>59.527000000000001</v>
      </c>
      <c r="J2489" s="508">
        <v>89.308999999999997</v>
      </c>
      <c r="K2489" s="508">
        <v>84.337999999999994</v>
      </c>
      <c r="L2489" s="508">
        <v>83.710999999999999</v>
      </c>
      <c r="M2489" s="508">
        <v>82.236000000000004</v>
      </c>
      <c r="N2489" s="508">
        <v>83.825000000000003</v>
      </c>
      <c r="O2489" s="508">
        <v>75.522000000000006</v>
      </c>
      <c r="P2489" s="508">
        <v>81.936999999999998</v>
      </c>
      <c r="Q2489" s="508">
        <v>66.700999999999993</v>
      </c>
      <c r="R2489" s="508">
        <v>32.658000000000001</v>
      </c>
      <c r="S2489" s="508">
        <v>28.991</v>
      </c>
      <c r="T2489" s="508">
        <v>32.021999999999998</v>
      </c>
      <c r="U2489" s="508">
        <v>27.193000000000001</v>
      </c>
      <c r="V2489" s="508">
        <v>32.832000000000001</v>
      </c>
      <c r="W2489" s="508"/>
      <c r="X2489" s="508">
        <v>29.783999999999999</v>
      </c>
      <c r="Y2489" s="508"/>
      <c r="Z2489" s="508"/>
      <c r="AA2489" s="508"/>
      <c r="AB2489" s="508"/>
      <c r="AC2489" s="508"/>
      <c r="AD2489" s="508"/>
      <c r="AE2489" s="508"/>
      <c r="AF2489" s="508"/>
      <c r="AG2489" s="508"/>
      <c r="AH2489" s="508"/>
      <c r="AI2489" s="492"/>
      <c r="AJ2489" s="485"/>
    </row>
    <row r="2490" spans="2:36">
      <c r="B2490" s="136" t="s">
        <v>455</v>
      </c>
      <c r="C2490" s="132" t="s">
        <v>1374</v>
      </c>
      <c r="D2490" s="132" t="s">
        <v>282</v>
      </c>
      <c r="E2490" s="508">
        <v>78.832999999999998</v>
      </c>
      <c r="F2490" s="508">
        <v>69.254000000000005</v>
      </c>
      <c r="G2490" s="508">
        <v>56.027999999999999</v>
      </c>
      <c r="H2490" s="508">
        <v>58.805999999999997</v>
      </c>
      <c r="I2490" s="508">
        <v>59.823</v>
      </c>
      <c r="J2490" s="508">
        <v>89.367999999999995</v>
      </c>
      <c r="K2490" s="508">
        <v>84.650999999999996</v>
      </c>
      <c r="L2490" s="508">
        <v>84.07</v>
      </c>
      <c r="M2490" s="508">
        <v>82.680999999999997</v>
      </c>
      <c r="N2490" s="508">
        <v>84.465999999999994</v>
      </c>
      <c r="O2490" s="508">
        <v>76.570999999999998</v>
      </c>
      <c r="P2490" s="508">
        <v>82.703999999999994</v>
      </c>
      <c r="Q2490" s="508">
        <v>68.191000000000003</v>
      </c>
      <c r="R2490" s="508">
        <v>31.850999999999999</v>
      </c>
      <c r="S2490" s="508">
        <v>28.361000000000001</v>
      </c>
      <c r="T2490" s="508">
        <v>31.265000000000001</v>
      </c>
      <c r="U2490" s="508">
        <v>26.195</v>
      </c>
      <c r="V2490" s="508">
        <v>31.879000000000001</v>
      </c>
      <c r="W2490" s="508"/>
      <c r="X2490" s="508">
        <v>28.809000000000001</v>
      </c>
      <c r="Y2490" s="508"/>
      <c r="Z2490" s="508"/>
      <c r="AA2490" s="508"/>
      <c r="AB2490" s="508"/>
      <c r="AC2490" s="508"/>
      <c r="AD2490" s="508"/>
      <c r="AE2490" s="508"/>
      <c r="AF2490" s="508"/>
      <c r="AG2490" s="508"/>
      <c r="AH2490" s="508"/>
      <c r="AI2490" s="492"/>
      <c r="AJ2490" s="485"/>
    </row>
    <row r="2491" spans="2:36">
      <c r="B2491" s="136" t="s">
        <v>456</v>
      </c>
      <c r="C2491" s="132" t="s">
        <v>1374</v>
      </c>
      <c r="D2491" s="132" t="s">
        <v>282</v>
      </c>
      <c r="E2491" s="508">
        <v>75.254000000000005</v>
      </c>
      <c r="F2491" s="508">
        <v>70.123999999999995</v>
      </c>
      <c r="G2491" s="508">
        <v>56.029000000000003</v>
      </c>
      <c r="H2491" s="508">
        <v>59.036000000000001</v>
      </c>
      <c r="I2491" s="508">
        <v>60.154000000000003</v>
      </c>
      <c r="J2491" s="508">
        <v>90.528000000000006</v>
      </c>
      <c r="K2491" s="508">
        <v>85.507999999999996</v>
      </c>
      <c r="L2491" s="508">
        <v>84.906000000000006</v>
      </c>
      <c r="M2491" s="508">
        <v>83.438000000000002</v>
      </c>
      <c r="N2491" s="508">
        <v>85.093000000000004</v>
      </c>
      <c r="O2491" s="508">
        <v>76.665000000000006</v>
      </c>
      <c r="P2491" s="508">
        <v>83.233000000000004</v>
      </c>
      <c r="Q2491" s="508">
        <v>67.73</v>
      </c>
      <c r="R2491" s="508">
        <v>32.978000000000002</v>
      </c>
      <c r="S2491" s="508">
        <v>29.257000000000001</v>
      </c>
      <c r="T2491" s="508">
        <v>32.405999999999999</v>
      </c>
      <c r="U2491" s="508">
        <v>26.803999999999998</v>
      </c>
      <c r="V2491" s="508">
        <v>31.846</v>
      </c>
      <c r="W2491" s="508"/>
      <c r="X2491" s="508">
        <v>29.141999999999999</v>
      </c>
      <c r="Y2491" s="508"/>
      <c r="Z2491" s="508"/>
      <c r="AA2491" s="508"/>
      <c r="AB2491" s="508"/>
      <c r="AC2491" s="508"/>
      <c r="AD2491" s="508"/>
      <c r="AE2491" s="508"/>
      <c r="AF2491" s="508"/>
      <c r="AG2491" s="508"/>
      <c r="AH2491" s="508"/>
      <c r="AI2491" s="492"/>
      <c r="AJ2491" s="485"/>
    </row>
    <row r="2492" spans="2:36">
      <c r="B2492" s="136" t="s">
        <v>457</v>
      </c>
      <c r="C2492" s="132" t="s">
        <v>1374</v>
      </c>
      <c r="D2492" s="132" t="s">
        <v>282</v>
      </c>
      <c r="E2492" s="508">
        <v>79.224999999999994</v>
      </c>
      <c r="F2492" s="508">
        <v>65.867000000000004</v>
      </c>
      <c r="G2492" s="508">
        <v>53.137999999999998</v>
      </c>
      <c r="H2492" s="508">
        <v>55.716999999999999</v>
      </c>
      <c r="I2492" s="508">
        <v>56.624000000000002</v>
      </c>
      <c r="J2492" s="508">
        <v>84.521000000000001</v>
      </c>
      <c r="K2492" s="508">
        <v>79.959999999999994</v>
      </c>
      <c r="L2492" s="508">
        <v>79.358999999999995</v>
      </c>
      <c r="M2492" s="508">
        <v>77.989000000000004</v>
      </c>
      <c r="N2492" s="508">
        <v>79.558000000000007</v>
      </c>
      <c r="O2492" s="508">
        <v>71.977999999999994</v>
      </c>
      <c r="P2492" s="508">
        <v>77.805999999999997</v>
      </c>
      <c r="Q2492" s="508">
        <v>63.911999999999999</v>
      </c>
      <c r="R2492" s="508">
        <v>31.007000000000001</v>
      </c>
      <c r="S2492" s="508">
        <v>27.65</v>
      </c>
      <c r="T2492" s="508">
        <v>30.327999999999999</v>
      </c>
      <c r="U2492" s="508">
        <v>25.010999999999999</v>
      </c>
      <c r="V2492" s="508">
        <v>29.488</v>
      </c>
      <c r="W2492" s="508"/>
      <c r="X2492" s="508">
        <v>27.042000000000002</v>
      </c>
      <c r="Y2492" s="508"/>
      <c r="Z2492" s="508"/>
      <c r="AA2492" s="508"/>
      <c r="AB2492" s="508"/>
      <c r="AC2492" s="508"/>
      <c r="AD2492" s="508"/>
      <c r="AE2492" s="508"/>
      <c r="AF2492" s="508"/>
      <c r="AG2492" s="508"/>
      <c r="AH2492" s="508"/>
      <c r="AI2492" s="492"/>
      <c r="AJ2492" s="485"/>
    </row>
    <row r="2493" spans="2:36">
      <c r="B2493" s="136" t="s">
        <v>458</v>
      </c>
      <c r="C2493" s="132" t="s">
        <v>1374</v>
      </c>
      <c r="D2493" s="132" t="s">
        <v>282</v>
      </c>
      <c r="E2493" s="508">
        <v>83.402000000000001</v>
      </c>
      <c r="F2493" s="508">
        <v>72.602999999999994</v>
      </c>
      <c r="G2493" s="508">
        <v>58.036000000000001</v>
      </c>
      <c r="H2493" s="508">
        <v>61.091999999999999</v>
      </c>
      <c r="I2493" s="508">
        <v>62.209000000000003</v>
      </c>
      <c r="J2493" s="508">
        <v>92.933000000000007</v>
      </c>
      <c r="K2493" s="508">
        <v>87.72</v>
      </c>
      <c r="L2493" s="508">
        <v>87.064999999999998</v>
      </c>
      <c r="M2493" s="508">
        <v>85.518000000000001</v>
      </c>
      <c r="N2493" s="508">
        <v>87.144000000000005</v>
      </c>
      <c r="O2493" s="508">
        <v>78.436999999999998</v>
      </c>
      <c r="P2493" s="508">
        <v>85.165999999999997</v>
      </c>
      <c r="Q2493" s="508">
        <v>69.188000000000002</v>
      </c>
      <c r="R2493" s="508">
        <v>33.61</v>
      </c>
      <c r="S2493" s="508">
        <v>29.765000000000001</v>
      </c>
      <c r="T2493" s="508">
        <v>32.945</v>
      </c>
      <c r="U2493" s="508">
        <v>27.23</v>
      </c>
      <c r="V2493" s="508">
        <v>32.834000000000003</v>
      </c>
      <c r="W2493" s="508"/>
      <c r="X2493" s="508">
        <v>29.805</v>
      </c>
      <c r="Y2493" s="508"/>
      <c r="Z2493" s="508"/>
      <c r="AA2493" s="508"/>
      <c r="AB2493" s="508"/>
      <c r="AC2493" s="508"/>
      <c r="AD2493" s="508"/>
      <c r="AE2493" s="508"/>
      <c r="AF2493" s="508"/>
      <c r="AG2493" s="508"/>
      <c r="AH2493" s="508"/>
      <c r="AI2493" s="492"/>
      <c r="AJ2493" s="485"/>
    </row>
    <row r="2494" spans="2:36">
      <c r="B2494" s="136" t="s">
        <v>459</v>
      </c>
      <c r="C2494" s="132" t="s">
        <v>1374</v>
      </c>
      <c r="D2494" s="132" t="s">
        <v>282</v>
      </c>
      <c r="E2494" s="508">
        <v>87.144000000000005</v>
      </c>
      <c r="F2494" s="508">
        <v>73.569999999999993</v>
      </c>
      <c r="G2494" s="508">
        <v>58.902000000000001</v>
      </c>
      <c r="H2494" s="508">
        <v>61.924999999999997</v>
      </c>
      <c r="I2494" s="508">
        <v>63.009</v>
      </c>
      <c r="J2494" s="508">
        <v>93.858999999999995</v>
      </c>
      <c r="K2494" s="508">
        <v>88.594999999999999</v>
      </c>
      <c r="L2494" s="508">
        <v>87.909000000000006</v>
      </c>
      <c r="M2494" s="508">
        <v>86.33</v>
      </c>
      <c r="N2494" s="508">
        <v>87.944000000000003</v>
      </c>
      <c r="O2494" s="508">
        <v>79.186999999999998</v>
      </c>
      <c r="P2494" s="508">
        <v>85.915000000000006</v>
      </c>
      <c r="Q2494" s="508">
        <v>69.867999999999995</v>
      </c>
      <c r="R2494" s="508">
        <v>34.042000000000002</v>
      </c>
      <c r="S2494" s="508">
        <v>30.170999999999999</v>
      </c>
      <c r="T2494" s="508">
        <v>33.304000000000002</v>
      </c>
      <c r="U2494" s="508">
        <v>27.67</v>
      </c>
      <c r="V2494" s="508">
        <v>33.664999999999999</v>
      </c>
      <c r="W2494" s="508"/>
      <c r="X2494" s="508">
        <v>30.407</v>
      </c>
      <c r="Y2494" s="508"/>
      <c r="Z2494" s="508"/>
      <c r="AA2494" s="508"/>
      <c r="AB2494" s="508"/>
      <c r="AC2494" s="508"/>
      <c r="AD2494" s="508"/>
      <c r="AE2494" s="508"/>
      <c r="AF2494" s="508"/>
      <c r="AG2494" s="508"/>
      <c r="AH2494" s="508"/>
      <c r="AI2494" s="492"/>
      <c r="AJ2494" s="485"/>
    </row>
    <row r="2495" spans="2:36">
      <c r="B2495" s="136" t="s">
        <v>460</v>
      </c>
      <c r="C2495" s="132" t="s">
        <v>1374</v>
      </c>
      <c r="D2495" s="132" t="s">
        <v>282</v>
      </c>
      <c r="E2495" s="508">
        <v>89.927000000000007</v>
      </c>
      <c r="F2495" s="508">
        <v>75.507999999999996</v>
      </c>
      <c r="G2495" s="508">
        <v>60.433</v>
      </c>
      <c r="H2495" s="508">
        <v>63.527999999999999</v>
      </c>
      <c r="I2495" s="508">
        <v>64.632999999999996</v>
      </c>
      <c r="J2495" s="508">
        <v>96.605000000000004</v>
      </c>
      <c r="K2495" s="508">
        <v>91.218999999999994</v>
      </c>
      <c r="L2495" s="508">
        <v>90.531000000000006</v>
      </c>
      <c r="M2495" s="508">
        <v>88.929000000000002</v>
      </c>
      <c r="N2495" s="508">
        <v>90.617999999999995</v>
      </c>
      <c r="O2495" s="508">
        <v>81.637</v>
      </c>
      <c r="P2495" s="508">
        <v>88.581000000000003</v>
      </c>
      <c r="Q2495" s="508">
        <v>72.093000000000004</v>
      </c>
      <c r="R2495" s="508">
        <v>35.451999999999998</v>
      </c>
      <c r="S2495" s="508">
        <v>31.475999999999999</v>
      </c>
      <c r="T2495" s="508">
        <v>34.704000000000001</v>
      </c>
      <c r="U2495" s="508">
        <v>28.672999999999998</v>
      </c>
      <c r="V2495" s="508">
        <v>35.212000000000003</v>
      </c>
      <c r="W2495" s="508"/>
      <c r="X2495" s="508">
        <v>31.654</v>
      </c>
      <c r="Y2495" s="508"/>
      <c r="Z2495" s="508"/>
      <c r="AA2495" s="508"/>
      <c r="AB2495" s="508"/>
      <c r="AC2495" s="508"/>
      <c r="AD2495" s="508"/>
      <c r="AE2495" s="508"/>
      <c r="AF2495" s="508"/>
      <c r="AG2495" s="508"/>
      <c r="AH2495" s="508"/>
      <c r="AI2495" s="492"/>
      <c r="AJ2495" s="485"/>
    </row>
    <row r="2496" spans="2:36">
      <c r="B2496" s="136" t="s">
        <v>461</v>
      </c>
      <c r="C2496" s="132" t="s">
        <v>1374</v>
      </c>
      <c r="D2496" s="132" t="s">
        <v>282</v>
      </c>
      <c r="E2496" s="508">
        <v>91.561000000000007</v>
      </c>
      <c r="F2496" s="508">
        <v>75.581000000000003</v>
      </c>
      <c r="G2496" s="508">
        <v>60.34</v>
      </c>
      <c r="H2496" s="508">
        <v>63.429000000000002</v>
      </c>
      <c r="I2496" s="508">
        <v>64.515000000000001</v>
      </c>
      <c r="J2496" s="508">
        <v>96.382000000000005</v>
      </c>
      <c r="K2496" s="508">
        <v>90.944000000000003</v>
      </c>
      <c r="L2496" s="508">
        <v>90.244</v>
      </c>
      <c r="M2496" s="508">
        <v>88.626999999999995</v>
      </c>
      <c r="N2496" s="508">
        <v>90.251999999999995</v>
      </c>
      <c r="O2496" s="508">
        <v>81.188999999999993</v>
      </c>
      <c r="P2496" s="508">
        <v>88.203999999999994</v>
      </c>
      <c r="Q2496" s="508">
        <v>71.558000000000007</v>
      </c>
      <c r="R2496" s="508">
        <v>35.945</v>
      </c>
      <c r="S2496" s="508">
        <v>31.927</v>
      </c>
      <c r="T2496" s="508">
        <v>35.155000000000001</v>
      </c>
      <c r="U2496" s="508">
        <v>27.015999999999998</v>
      </c>
      <c r="V2496" s="508">
        <v>32.195</v>
      </c>
      <c r="W2496" s="508"/>
      <c r="X2496" s="508">
        <v>29.366</v>
      </c>
      <c r="Y2496" s="508"/>
      <c r="Z2496" s="508"/>
      <c r="AA2496" s="508"/>
      <c r="AB2496" s="508"/>
      <c r="AC2496" s="508"/>
      <c r="AD2496" s="508"/>
      <c r="AE2496" s="508"/>
      <c r="AF2496" s="508"/>
      <c r="AG2496" s="508"/>
      <c r="AH2496" s="508"/>
      <c r="AI2496" s="492"/>
      <c r="AJ2496" s="485"/>
    </row>
    <row r="2497" spans="2:36">
      <c r="B2497" s="136" t="s">
        <v>462</v>
      </c>
      <c r="C2497" s="132" t="s">
        <v>1374</v>
      </c>
      <c r="D2497" s="132" t="s">
        <v>282</v>
      </c>
      <c r="E2497" s="508">
        <v>73.45</v>
      </c>
      <c r="F2497" s="508">
        <v>67.046999999999997</v>
      </c>
      <c r="G2497" s="508">
        <v>53.31</v>
      </c>
      <c r="H2497" s="508">
        <v>56.232999999999997</v>
      </c>
      <c r="I2497" s="508">
        <v>57.317999999999998</v>
      </c>
      <c r="J2497" s="508">
        <v>86.638999999999996</v>
      </c>
      <c r="K2497" s="508">
        <v>81.745999999999995</v>
      </c>
      <c r="L2497" s="508">
        <v>81.158000000000001</v>
      </c>
      <c r="M2497" s="508">
        <v>79.725999999999999</v>
      </c>
      <c r="N2497" s="508">
        <v>81.245000000000005</v>
      </c>
      <c r="O2497" s="508">
        <v>73.033000000000001</v>
      </c>
      <c r="P2497" s="508">
        <v>79.432000000000002</v>
      </c>
      <c r="Q2497" s="508">
        <v>64.326999999999998</v>
      </c>
      <c r="R2497" s="508">
        <v>32.247999999999998</v>
      </c>
      <c r="S2497" s="508">
        <v>28.622</v>
      </c>
      <c r="T2497" s="508">
        <v>31.683</v>
      </c>
      <c r="U2497" s="508">
        <v>26.192</v>
      </c>
      <c r="V2497" s="508">
        <v>31.094999999999999</v>
      </c>
      <c r="W2497" s="508"/>
      <c r="X2497" s="508">
        <v>28.460999999999999</v>
      </c>
      <c r="Y2497" s="508"/>
      <c r="Z2497" s="508"/>
      <c r="AA2497" s="508"/>
      <c r="AB2497" s="508"/>
      <c r="AC2497" s="508"/>
      <c r="AD2497" s="508"/>
      <c r="AE2497" s="508"/>
      <c r="AF2497" s="508"/>
      <c r="AG2497" s="508"/>
      <c r="AH2497" s="508"/>
      <c r="AI2497" s="492"/>
      <c r="AJ2497" s="485"/>
    </row>
    <row r="2498" spans="2:36">
      <c r="B2498" s="136" t="s">
        <v>463</v>
      </c>
      <c r="C2498" s="132" t="s">
        <v>1374</v>
      </c>
      <c r="D2498" s="132" t="s">
        <v>282</v>
      </c>
      <c r="E2498" s="508">
        <v>78.506</v>
      </c>
      <c r="F2498" s="508">
        <v>68.656000000000006</v>
      </c>
      <c r="G2498" s="508">
        <v>55.36</v>
      </c>
      <c r="H2498" s="508">
        <v>58.15</v>
      </c>
      <c r="I2498" s="508">
        <v>59.17</v>
      </c>
      <c r="J2498" s="508">
        <v>88.2</v>
      </c>
      <c r="K2498" s="508">
        <v>83.44</v>
      </c>
      <c r="L2498" s="508">
        <v>82.84</v>
      </c>
      <c r="M2498" s="508">
        <v>81.427000000000007</v>
      </c>
      <c r="N2498" s="508">
        <v>83.105000000000004</v>
      </c>
      <c r="O2498" s="508">
        <v>75.156999999999996</v>
      </c>
      <c r="P2498" s="508">
        <v>81.296999999999997</v>
      </c>
      <c r="Q2498" s="508">
        <v>66.710999999999999</v>
      </c>
      <c r="R2498" s="508">
        <v>31.478999999999999</v>
      </c>
      <c r="S2498" s="508">
        <v>27.97</v>
      </c>
      <c r="T2498" s="508">
        <v>30.870999999999999</v>
      </c>
      <c r="U2498" s="508">
        <v>26.123000000000001</v>
      </c>
      <c r="V2498" s="508">
        <v>31.535</v>
      </c>
      <c r="W2498" s="508"/>
      <c r="X2498" s="508">
        <v>28.61</v>
      </c>
      <c r="Y2498" s="508"/>
      <c r="Z2498" s="508"/>
      <c r="AA2498" s="508"/>
      <c r="AB2498" s="508"/>
      <c r="AC2498" s="508"/>
      <c r="AD2498" s="508"/>
      <c r="AE2498" s="508"/>
      <c r="AF2498" s="508"/>
      <c r="AG2498" s="508"/>
      <c r="AH2498" s="508"/>
      <c r="AI2498" s="492"/>
      <c r="AJ2498" s="485"/>
    </row>
    <row r="2499" spans="2:36">
      <c r="B2499" s="136" t="s">
        <v>464</v>
      </c>
      <c r="C2499" s="132" t="s">
        <v>1374</v>
      </c>
      <c r="D2499" s="132" t="s">
        <v>282</v>
      </c>
      <c r="E2499" s="508">
        <v>81.701999999999998</v>
      </c>
      <c r="F2499" s="508">
        <v>68.263999999999996</v>
      </c>
      <c r="G2499" s="508">
        <v>55.293999999999997</v>
      </c>
      <c r="H2499" s="508">
        <v>57.927999999999997</v>
      </c>
      <c r="I2499" s="508">
        <v>58.856000000000002</v>
      </c>
      <c r="J2499" s="508">
        <v>87.763000000000005</v>
      </c>
      <c r="K2499" s="508">
        <v>83.119</v>
      </c>
      <c r="L2499" s="508">
        <v>82.509</v>
      </c>
      <c r="M2499" s="508">
        <v>81.117000000000004</v>
      </c>
      <c r="N2499" s="508">
        <v>82.816000000000003</v>
      </c>
      <c r="O2499" s="508">
        <v>75.091999999999999</v>
      </c>
      <c r="P2499" s="508">
        <v>81.037000000000006</v>
      </c>
      <c r="Q2499" s="508">
        <v>66.875</v>
      </c>
      <c r="R2499" s="508">
        <v>31.849</v>
      </c>
      <c r="S2499" s="508">
        <v>28.428999999999998</v>
      </c>
      <c r="T2499" s="508">
        <v>31.166</v>
      </c>
      <c r="U2499" s="508">
        <v>25.808</v>
      </c>
      <c r="V2499" s="508">
        <v>30.989000000000001</v>
      </c>
      <c r="W2499" s="508"/>
      <c r="X2499" s="508">
        <v>28.16</v>
      </c>
      <c r="Y2499" s="508"/>
      <c r="Z2499" s="508"/>
      <c r="AA2499" s="508"/>
      <c r="AB2499" s="508"/>
      <c r="AC2499" s="508"/>
      <c r="AD2499" s="508"/>
      <c r="AE2499" s="508"/>
      <c r="AF2499" s="508"/>
      <c r="AG2499" s="508"/>
      <c r="AH2499" s="508"/>
      <c r="AI2499" s="492"/>
      <c r="AJ2499" s="485"/>
    </row>
    <row r="2500" spans="2:36">
      <c r="B2500" s="136" t="s">
        <v>465</v>
      </c>
      <c r="C2500" s="132" t="s">
        <v>1374</v>
      </c>
      <c r="D2500" s="132" t="s">
        <v>282</v>
      </c>
      <c r="E2500" s="508">
        <v>80.126999999999995</v>
      </c>
      <c r="F2500" s="508">
        <v>68.507999999999996</v>
      </c>
      <c r="G2500" s="508">
        <v>55.423999999999999</v>
      </c>
      <c r="H2500" s="508">
        <v>58.133000000000003</v>
      </c>
      <c r="I2500" s="508">
        <v>59.107999999999997</v>
      </c>
      <c r="J2500" s="508">
        <v>88.191000000000003</v>
      </c>
      <c r="K2500" s="508">
        <v>83.503</v>
      </c>
      <c r="L2500" s="508">
        <v>82.899000000000001</v>
      </c>
      <c r="M2500" s="508">
        <v>81.498999999999995</v>
      </c>
      <c r="N2500" s="508">
        <v>83.21</v>
      </c>
      <c r="O2500" s="508">
        <v>75.399000000000001</v>
      </c>
      <c r="P2500" s="508">
        <v>81.415999999999997</v>
      </c>
      <c r="Q2500" s="508">
        <v>67.091999999999999</v>
      </c>
      <c r="R2500" s="508">
        <v>31.596</v>
      </c>
      <c r="S2500" s="508">
        <v>28.143000000000001</v>
      </c>
      <c r="T2500" s="508">
        <v>30.954999999999998</v>
      </c>
      <c r="U2500" s="508">
        <v>26.41</v>
      </c>
      <c r="V2500" s="508">
        <v>31.699000000000002</v>
      </c>
      <c r="W2500" s="508"/>
      <c r="X2500" s="508">
        <v>28.827999999999999</v>
      </c>
      <c r="Y2500" s="508"/>
      <c r="Z2500" s="508"/>
      <c r="AA2500" s="508"/>
      <c r="AB2500" s="508"/>
      <c r="AC2500" s="508"/>
      <c r="AD2500" s="508"/>
      <c r="AE2500" s="508"/>
      <c r="AF2500" s="508"/>
      <c r="AG2500" s="508"/>
      <c r="AH2500" s="508"/>
      <c r="AI2500" s="492"/>
      <c r="AJ2500" s="485"/>
    </row>
    <row r="2501" spans="2:36">
      <c r="B2501" s="136" t="s">
        <v>466</v>
      </c>
      <c r="C2501" s="132" t="s">
        <v>1374</v>
      </c>
      <c r="D2501" s="132" t="s">
        <v>282</v>
      </c>
      <c r="E2501" s="508">
        <v>83.183999999999997</v>
      </c>
      <c r="F2501" s="508">
        <v>75.037999999999997</v>
      </c>
      <c r="G2501" s="508">
        <v>59.658999999999999</v>
      </c>
      <c r="H2501" s="508">
        <v>62.924999999999997</v>
      </c>
      <c r="I2501" s="508">
        <v>64.134</v>
      </c>
      <c r="J2501" s="508">
        <v>96.623999999999995</v>
      </c>
      <c r="K2501" s="508">
        <v>91.128</v>
      </c>
      <c r="L2501" s="508">
        <v>90.453000000000003</v>
      </c>
      <c r="M2501" s="508">
        <v>88.832999999999998</v>
      </c>
      <c r="N2501" s="508">
        <v>90.486999999999995</v>
      </c>
      <c r="O2501" s="508">
        <v>81.287000000000006</v>
      </c>
      <c r="P2501" s="508">
        <v>88.42</v>
      </c>
      <c r="Q2501" s="508">
        <v>71.521000000000001</v>
      </c>
      <c r="R2501" s="508">
        <v>35.398000000000003</v>
      </c>
      <c r="S2501" s="508">
        <v>31.337</v>
      </c>
      <c r="T2501" s="508">
        <v>34.741</v>
      </c>
      <c r="U2501" s="508">
        <v>29.395</v>
      </c>
      <c r="V2501" s="508">
        <v>35.661999999999999</v>
      </c>
      <c r="W2501" s="508"/>
      <c r="X2501" s="508">
        <v>32.290999999999997</v>
      </c>
      <c r="Y2501" s="508"/>
      <c r="Z2501" s="508"/>
      <c r="AA2501" s="508"/>
      <c r="AB2501" s="508"/>
      <c r="AC2501" s="508"/>
      <c r="AD2501" s="508"/>
      <c r="AE2501" s="508"/>
      <c r="AF2501" s="508"/>
      <c r="AG2501" s="508"/>
      <c r="AH2501" s="508"/>
      <c r="AI2501" s="492"/>
      <c r="AJ2501" s="485"/>
    </row>
    <row r="2502" spans="2:36">
      <c r="B2502" s="136" t="s">
        <v>467</v>
      </c>
      <c r="C2502" s="132" t="s">
        <v>1374</v>
      </c>
      <c r="D2502" s="132" t="s">
        <v>282</v>
      </c>
      <c r="E2502" s="508">
        <v>83.313000000000002</v>
      </c>
      <c r="F2502" s="508">
        <v>69.484999999999999</v>
      </c>
      <c r="G2502" s="508">
        <v>55.491</v>
      </c>
      <c r="H2502" s="508">
        <v>58.353000000000002</v>
      </c>
      <c r="I2502" s="508">
        <v>59.369</v>
      </c>
      <c r="J2502" s="508">
        <v>88.852000000000004</v>
      </c>
      <c r="K2502" s="508">
        <v>83.831000000000003</v>
      </c>
      <c r="L2502" s="508">
        <v>83.171999999999997</v>
      </c>
      <c r="M2502" s="508">
        <v>81.664000000000001</v>
      </c>
      <c r="N2502" s="508">
        <v>83.156000000000006</v>
      </c>
      <c r="O2502" s="508">
        <v>74.811000000000007</v>
      </c>
      <c r="P2502" s="508">
        <v>81.221000000000004</v>
      </c>
      <c r="Q2502" s="508">
        <v>65.929000000000002</v>
      </c>
      <c r="R2502" s="508">
        <v>32.96</v>
      </c>
      <c r="S2502" s="508">
        <v>29.268000000000001</v>
      </c>
      <c r="T2502" s="508">
        <v>32.234000000000002</v>
      </c>
      <c r="U2502" s="508">
        <v>26.698</v>
      </c>
      <c r="V2502" s="508">
        <v>32.191000000000003</v>
      </c>
      <c r="W2502" s="508"/>
      <c r="X2502" s="508">
        <v>29.198</v>
      </c>
      <c r="Y2502" s="508"/>
      <c r="Z2502" s="508"/>
      <c r="AA2502" s="508"/>
      <c r="AB2502" s="508"/>
      <c r="AC2502" s="508"/>
      <c r="AD2502" s="508"/>
      <c r="AE2502" s="508"/>
      <c r="AF2502" s="508"/>
      <c r="AG2502" s="508"/>
      <c r="AH2502" s="508"/>
      <c r="AI2502" s="492"/>
      <c r="AJ2502" s="485"/>
    </row>
    <row r="2503" spans="2:36">
      <c r="B2503" s="136" t="s">
        <v>468</v>
      </c>
      <c r="C2503" s="132" t="s">
        <v>1374</v>
      </c>
      <c r="D2503" s="132" t="s">
        <v>282</v>
      </c>
      <c r="E2503" s="508">
        <v>74.98</v>
      </c>
      <c r="F2503" s="508">
        <v>65.506</v>
      </c>
      <c r="G2503" s="508">
        <v>53.616999999999997</v>
      </c>
      <c r="H2503" s="508">
        <v>56.100999999999999</v>
      </c>
      <c r="I2503" s="508">
        <v>57.003</v>
      </c>
      <c r="J2503" s="508">
        <v>84.704999999999998</v>
      </c>
      <c r="K2503" s="508">
        <v>80.442999999999998</v>
      </c>
      <c r="L2503" s="508">
        <v>79.897999999999996</v>
      </c>
      <c r="M2503" s="508">
        <v>78.626999999999995</v>
      </c>
      <c r="N2503" s="508">
        <v>80.454999999999998</v>
      </c>
      <c r="O2503" s="508">
        <v>73.346999999999994</v>
      </c>
      <c r="P2503" s="508">
        <v>78.822999999999993</v>
      </c>
      <c r="Q2503" s="508">
        <v>65.790999999999997</v>
      </c>
      <c r="R2503" s="508">
        <v>29.443999999999999</v>
      </c>
      <c r="S2503" s="508">
        <v>26.306000000000001</v>
      </c>
      <c r="T2503" s="508">
        <v>28.882999999999999</v>
      </c>
      <c r="U2503" s="508">
        <v>24.643000000000001</v>
      </c>
      <c r="V2503" s="508">
        <v>29.521000000000001</v>
      </c>
      <c r="W2503" s="508"/>
      <c r="X2503" s="508">
        <v>26.881</v>
      </c>
      <c r="Y2503" s="508"/>
      <c r="Z2503" s="508"/>
      <c r="AA2503" s="508"/>
      <c r="AB2503" s="508"/>
      <c r="AC2503" s="508"/>
      <c r="AD2503" s="508"/>
      <c r="AE2503" s="508"/>
      <c r="AF2503" s="508"/>
      <c r="AG2503" s="508"/>
      <c r="AH2503" s="508"/>
      <c r="AI2503" s="492"/>
      <c r="AJ2503" s="485"/>
    </row>
    <row r="2504" spans="2:36">
      <c r="B2504" s="136" t="s">
        <v>469</v>
      </c>
      <c r="C2504" s="132" t="s">
        <v>1374</v>
      </c>
      <c r="D2504" s="132" t="s">
        <v>282</v>
      </c>
      <c r="E2504" s="508">
        <v>77.335999999999999</v>
      </c>
      <c r="F2504" s="508">
        <v>68.096999999999994</v>
      </c>
      <c r="G2504" s="508">
        <v>54.813000000000002</v>
      </c>
      <c r="H2504" s="508">
        <v>57.61</v>
      </c>
      <c r="I2504" s="508">
        <v>58.634999999999998</v>
      </c>
      <c r="J2504" s="508">
        <v>87.936000000000007</v>
      </c>
      <c r="K2504" s="508">
        <v>83.183999999999997</v>
      </c>
      <c r="L2504" s="508">
        <v>82.590999999999994</v>
      </c>
      <c r="M2504" s="508">
        <v>81.183000000000007</v>
      </c>
      <c r="N2504" s="508">
        <v>82.856999999999999</v>
      </c>
      <c r="O2504" s="508">
        <v>74.915999999999997</v>
      </c>
      <c r="P2504" s="508">
        <v>81.058999999999997</v>
      </c>
      <c r="Q2504" s="508">
        <v>66.480999999999995</v>
      </c>
      <c r="R2504" s="508">
        <v>31.747</v>
      </c>
      <c r="S2504" s="508">
        <v>28.24</v>
      </c>
      <c r="T2504" s="508">
        <v>31.151</v>
      </c>
      <c r="U2504" s="508">
        <v>26.628</v>
      </c>
      <c r="V2504" s="508">
        <v>32.023000000000003</v>
      </c>
      <c r="W2504" s="508"/>
      <c r="X2504" s="508">
        <v>29.11</v>
      </c>
      <c r="Y2504" s="508"/>
      <c r="Z2504" s="508"/>
      <c r="AA2504" s="508"/>
      <c r="AB2504" s="508"/>
      <c r="AC2504" s="508"/>
      <c r="AD2504" s="508"/>
      <c r="AE2504" s="508"/>
      <c r="AF2504" s="508"/>
      <c r="AG2504" s="508"/>
      <c r="AH2504" s="508"/>
      <c r="AI2504" s="492"/>
      <c r="AJ2504" s="485"/>
    </row>
    <row r="2505" spans="2:36">
      <c r="B2505" s="136" t="s">
        <v>470</v>
      </c>
      <c r="C2505" s="132" t="s">
        <v>1374</v>
      </c>
      <c r="D2505" s="132" t="s">
        <v>282</v>
      </c>
      <c r="E2505" s="508">
        <v>88.123000000000005</v>
      </c>
      <c r="F2505" s="508">
        <v>74.480999999999995</v>
      </c>
      <c r="G2505" s="508">
        <v>59.283000000000001</v>
      </c>
      <c r="H2505" s="508">
        <v>62.424999999999997</v>
      </c>
      <c r="I2505" s="508">
        <v>63.555999999999997</v>
      </c>
      <c r="J2505" s="508">
        <v>95.128</v>
      </c>
      <c r="K2505" s="508">
        <v>89.686999999999998</v>
      </c>
      <c r="L2505" s="508">
        <v>88.988</v>
      </c>
      <c r="M2505" s="508">
        <v>87.366</v>
      </c>
      <c r="N2505" s="508">
        <v>88.933000000000007</v>
      </c>
      <c r="O2505" s="508">
        <v>79.864000000000004</v>
      </c>
      <c r="P2505" s="508">
        <v>86.858000000000004</v>
      </c>
      <c r="Q2505" s="508">
        <v>70.221000000000004</v>
      </c>
      <c r="R2505" s="508">
        <v>35.082000000000001</v>
      </c>
      <c r="S2505" s="508">
        <v>31.071999999999999</v>
      </c>
      <c r="T2505" s="508">
        <v>34.338999999999999</v>
      </c>
      <c r="U2505" s="508">
        <v>28.212</v>
      </c>
      <c r="V2505" s="508">
        <v>34.030999999999999</v>
      </c>
      <c r="W2505" s="508"/>
      <c r="X2505" s="508">
        <v>30.872</v>
      </c>
      <c r="Y2505" s="508"/>
      <c r="Z2505" s="508"/>
      <c r="AA2505" s="508"/>
      <c r="AB2505" s="508"/>
      <c r="AC2505" s="508"/>
      <c r="AD2505" s="508"/>
      <c r="AE2505" s="508"/>
      <c r="AF2505" s="508"/>
      <c r="AG2505" s="508"/>
      <c r="AH2505" s="508"/>
      <c r="AI2505" s="492"/>
      <c r="AJ2505" s="485"/>
    </row>
    <row r="2506" spans="2:36">
      <c r="B2506" s="136" t="s">
        <v>471</v>
      </c>
      <c r="C2506" s="132" t="s">
        <v>1374</v>
      </c>
      <c r="D2506" s="132" t="s">
        <v>282</v>
      </c>
      <c r="E2506" s="508">
        <v>80.256</v>
      </c>
      <c r="F2506" s="508">
        <v>71.257000000000005</v>
      </c>
      <c r="G2506" s="508">
        <v>56.558999999999997</v>
      </c>
      <c r="H2506" s="508">
        <v>59.668999999999997</v>
      </c>
      <c r="I2506" s="508">
        <v>60.814999999999998</v>
      </c>
      <c r="J2506" s="508">
        <v>91.635999999999996</v>
      </c>
      <c r="K2506" s="508">
        <v>86.397000000000006</v>
      </c>
      <c r="L2506" s="508">
        <v>85.759</v>
      </c>
      <c r="M2506" s="508">
        <v>84.221000000000004</v>
      </c>
      <c r="N2506" s="508">
        <v>85.771000000000001</v>
      </c>
      <c r="O2506" s="508">
        <v>76.989000000000004</v>
      </c>
      <c r="P2506" s="508">
        <v>83.82</v>
      </c>
      <c r="Q2506" s="508">
        <v>67.674000000000007</v>
      </c>
      <c r="R2506" s="508">
        <v>33.996000000000002</v>
      </c>
      <c r="S2506" s="508">
        <v>30.117000000000001</v>
      </c>
      <c r="T2506" s="508">
        <v>33.369</v>
      </c>
      <c r="U2506" s="508">
        <v>27.379000000000001</v>
      </c>
      <c r="V2506" s="508">
        <v>32.618000000000002</v>
      </c>
      <c r="W2506" s="508"/>
      <c r="X2506" s="508">
        <v>29.795000000000002</v>
      </c>
      <c r="Y2506" s="508"/>
      <c r="Z2506" s="508"/>
      <c r="AA2506" s="508"/>
      <c r="AB2506" s="508"/>
      <c r="AC2506" s="508"/>
      <c r="AD2506" s="508"/>
      <c r="AE2506" s="508"/>
      <c r="AF2506" s="508"/>
      <c r="AG2506" s="508"/>
      <c r="AH2506" s="508"/>
      <c r="AI2506" s="492"/>
      <c r="AJ2506" s="485"/>
    </row>
    <row r="2507" spans="2:36">
      <c r="B2507" s="136" t="s">
        <v>472</v>
      </c>
      <c r="C2507" s="132" t="s">
        <v>1374</v>
      </c>
      <c r="D2507" s="132" t="s">
        <v>282</v>
      </c>
      <c r="E2507" s="508">
        <v>85.26</v>
      </c>
      <c r="F2507" s="508">
        <v>70.051000000000002</v>
      </c>
      <c r="G2507" s="508">
        <v>56.576000000000001</v>
      </c>
      <c r="H2507" s="508">
        <v>59.27</v>
      </c>
      <c r="I2507" s="508">
        <v>60.201000000000001</v>
      </c>
      <c r="J2507" s="508">
        <v>89.686999999999998</v>
      </c>
      <c r="K2507" s="508">
        <v>84.873999999999995</v>
      </c>
      <c r="L2507" s="508">
        <v>84.241</v>
      </c>
      <c r="M2507" s="508">
        <v>82.801000000000002</v>
      </c>
      <c r="N2507" s="508">
        <v>84.475999999999999</v>
      </c>
      <c r="O2507" s="508">
        <v>76.474999999999994</v>
      </c>
      <c r="P2507" s="508">
        <v>82.65</v>
      </c>
      <c r="Q2507" s="508">
        <v>67.965000000000003</v>
      </c>
      <c r="R2507" s="508">
        <v>33.045999999999999</v>
      </c>
      <c r="S2507" s="508">
        <v>29.495999999999999</v>
      </c>
      <c r="T2507" s="508">
        <v>32.305</v>
      </c>
      <c r="U2507" s="508">
        <v>25.116</v>
      </c>
      <c r="V2507" s="508">
        <v>29.678000000000001</v>
      </c>
      <c r="W2507" s="508"/>
      <c r="X2507" s="508">
        <v>27.175000000000001</v>
      </c>
      <c r="Y2507" s="508"/>
      <c r="Z2507" s="508"/>
      <c r="AA2507" s="508"/>
      <c r="AB2507" s="508"/>
      <c r="AC2507" s="508"/>
      <c r="AD2507" s="508"/>
      <c r="AE2507" s="508"/>
      <c r="AF2507" s="508"/>
      <c r="AG2507" s="508"/>
      <c r="AH2507" s="508"/>
      <c r="AI2507" s="492"/>
      <c r="AJ2507" s="485"/>
    </row>
    <row r="2508" spans="2:36">
      <c r="B2508" s="136" t="s">
        <v>473</v>
      </c>
      <c r="C2508" s="132" t="s">
        <v>1374</v>
      </c>
      <c r="D2508" s="132" t="s">
        <v>282</v>
      </c>
      <c r="E2508" s="508">
        <v>89.86</v>
      </c>
      <c r="F2508" s="508">
        <v>76.290000000000006</v>
      </c>
      <c r="G2508" s="508">
        <v>60.621000000000002</v>
      </c>
      <c r="H2508" s="508">
        <v>63.872999999999998</v>
      </c>
      <c r="I2508" s="508">
        <v>65.046000000000006</v>
      </c>
      <c r="J2508" s="508">
        <v>97.706000000000003</v>
      </c>
      <c r="K2508" s="508">
        <v>92.114999999999995</v>
      </c>
      <c r="L2508" s="508">
        <v>91.415000000000006</v>
      </c>
      <c r="M2508" s="508">
        <v>89.762</v>
      </c>
      <c r="N2508" s="508">
        <v>91.384</v>
      </c>
      <c r="O2508" s="508">
        <v>82.040999999999997</v>
      </c>
      <c r="P2508" s="508">
        <v>89.287000000000006</v>
      </c>
      <c r="Q2508" s="508">
        <v>72.120999999999995</v>
      </c>
      <c r="R2508" s="508">
        <v>36.353000000000002</v>
      </c>
      <c r="S2508" s="508">
        <v>32.22</v>
      </c>
      <c r="T2508" s="508">
        <v>35.616</v>
      </c>
      <c r="U2508" s="508">
        <v>29.413</v>
      </c>
      <c r="V2508" s="508">
        <v>36.231000000000002</v>
      </c>
      <c r="W2508" s="508"/>
      <c r="X2508" s="508">
        <v>32.533000000000001</v>
      </c>
      <c r="Y2508" s="508"/>
      <c r="Z2508" s="508"/>
      <c r="AA2508" s="508"/>
      <c r="AB2508" s="508"/>
      <c r="AC2508" s="508"/>
      <c r="AD2508" s="508"/>
      <c r="AE2508" s="508"/>
      <c r="AF2508" s="508"/>
      <c r="AG2508" s="508"/>
      <c r="AH2508" s="508"/>
      <c r="AI2508" s="492"/>
      <c r="AJ2508" s="485"/>
    </row>
    <row r="2509" spans="2:36">
      <c r="B2509" s="136" t="s">
        <v>474</v>
      </c>
      <c r="C2509" s="132" t="s">
        <v>1374</v>
      </c>
      <c r="D2509" s="132" t="s">
        <v>282</v>
      </c>
      <c r="E2509" s="508">
        <v>78.271000000000001</v>
      </c>
      <c r="F2509" s="508">
        <v>70.02</v>
      </c>
      <c r="G2509" s="508">
        <v>55.875999999999998</v>
      </c>
      <c r="H2509" s="508">
        <v>58.872</v>
      </c>
      <c r="I2509" s="508">
        <v>59.978999999999999</v>
      </c>
      <c r="J2509" s="508">
        <v>90.278000000000006</v>
      </c>
      <c r="K2509" s="508">
        <v>85.221999999999994</v>
      </c>
      <c r="L2509" s="508">
        <v>84.597999999999999</v>
      </c>
      <c r="M2509" s="508">
        <v>83.105999999999995</v>
      </c>
      <c r="N2509" s="508">
        <v>84.706000000000003</v>
      </c>
      <c r="O2509" s="508">
        <v>76.245000000000005</v>
      </c>
      <c r="P2509" s="508">
        <v>82.801000000000002</v>
      </c>
      <c r="Q2509" s="508">
        <v>67.263000000000005</v>
      </c>
      <c r="R2509" s="508">
        <v>33.084000000000003</v>
      </c>
      <c r="S2509" s="508">
        <v>29.349</v>
      </c>
      <c r="T2509" s="508">
        <v>32.472000000000001</v>
      </c>
      <c r="U2509" s="508">
        <v>27.600999999999999</v>
      </c>
      <c r="V2509" s="508">
        <v>33.357999999999997</v>
      </c>
      <c r="W2509" s="508"/>
      <c r="X2509" s="508">
        <v>30.257999999999999</v>
      </c>
      <c r="Y2509" s="508"/>
      <c r="Z2509" s="508"/>
      <c r="AA2509" s="508"/>
      <c r="AB2509" s="508"/>
      <c r="AC2509" s="508"/>
      <c r="AD2509" s="508"/>
      <c r="AE2509" s="508"/>
      <c r="AF2509" s="508"/>
      <c r="AG2509" s="508"/>
      <c r="AH2509" s="508"/>
      <c r="AI2509" s="492"/>
      <c r="AJ2509" s="485"/>
    </row>
    <row r="2510" spans="2:36">
      <c r="B2510" s="136" t="s">
        <v>475</v>
      </c>
      <c r="C2510" s="132" t="s">
        <v>1374</v>
      </c>
      <c r="D2510" s="132" t="s">
        <v>282</v>
      </c>
      <c r="E2510" s="508">
        <v>83.998000000000005</v>
      </c>
      <c r="F2510" s="508">
        <v>71.668999999999997</v>
      </c>
      <c r="G2510" s="508">
        <v>57.362000000000002</v>
      </c>
      <c r="H2510" s="508">
        <v>60.332000000000001</v>
      </c>
      <c r="I2510" s="508">
        <v>61.405000000000001</v>
      </c>
      <c r="J2510" s="508">
        <v>92.043000000000006</v>
      </c>
      <c r="K2510" s="508">
        <v>86.929000000000002</v>
      </c>
      <c r="L2510" s="508">
        <v>86.281999999999996</v>
      </c>
      <c r="M2510" s="508">
        <v>84.765000000000001</v>
      </c>
      <c r="N2510" s="508">
        <v>86.4</v>
      </c>
      <c r="O2510" s="508">
        <v>77.863</v>
      </c>
      <c r="P2510" s="508">
        <v>84.465999999999994</v>
      </c>
      <c r="Q2510" s="508">
        <v>68.793999999999997</v>
      </c>
      <c r="R2510" s="508">
        <v>33.834000000000003</v>
      </c>
      <c r="S2510" s="508">
        <v>30.06</v>
      </c>
      <c r="T2510" s="508">
        <v>33.154000000000003</v>
      </c>
      <c r="U2510" s="508">
        <v>27.338999999999999</v>
      </c>
      <c r="V2510" s="508">
        <v>33.098999999999997</v>
      </c>
      <c r="W2510" s="508"/>
      <c r="X2510" s="508">
        <v>29.975000000000001</v>
      </c>
      <c r="Y2510" s="508"/>
      <c r="Z2510" s="508"/>
      <c r="AA2510" s="508"/>
      <c r="AB2510" s="508"/>
      <c r="AC2510" s="508"/>
      <c r="AD2510" s="508"/>
      <c r="AE2510" s="508"/>
      <c r="AF2510" s="508"/>
      <c r="AG2510" s="508"/>
      <c r="AH2510" s="508"/>
      <c r="AI2510" s="492"/>
      <c r="AJ2510" s="485"/>
    </row>
    <row r="2511" spans="2:36">
      <c r="B2511" s="136" t="s">
        <v>476</v>
      </c>
      <c r="C2511" s="132" t="s">
        <v>1374</v>
      </c>
      <c r="D2511" s="132" t="s">
        <v>282</v>
      </c>
      <c r="E2511" s="508">
        <v>85.847999999999999</v>
      </c>
      <c r="F2511" s="508">
        <v>73.236999999999995</v>
      </c>
      <c r="G2511" s="508">
        <v>58.606000000000002</v>
      </c>
      <c r="H2511" s="508">
        <v>61.643000000000001</v>
      </c>
      <c r="I2511" s="508">
        <v>62.74</v>
      </c>
      <c r="J2511" s="508">
        <v>93.93</v>
      </c>
      <c r="K2511" s="508">
        <v>88.7</v>
      </c>
      <c r="L2511" s="508">
        <v>88.039000000000001</v>
      </c>
      <c r="M2511" s="508">
        <v>86.486000000000004</v>
      </c>
      <c r="N2511" s="508">
        <v>88.146000000000001</v>
      </c>
      <c r="O2511" s="508">
        <v>79.417000000000002</v>
      </c>
      <c r="P2511" s="508">
        <v>86.168000000000006</v>
      </c>
      <c r="Q2511" s="508">
        <v>70.141999999999996</v>
      </c>
      <c r="R2511" s="508">
        <v>34.317</v>
      </c>
      <c r="S2511" s="508">
        <v>30.457000000000001</v>
      </c>
      <c r="T2511" s="508">
        <v>33.621000000000002</v>
      </c>
      <c r="U2511" s="508">
        <v>27.754000000000001</v>
      </c>
      <c r="V2511" s="508">
        <v>33.454000000000001</v>
      </c>
      <c r="W2511" s="508"/>
      <c r="X2511" s="508">
        <v>30.361999999999998</v>
      </c>
      <c r="Y2511" s="508"/>
      <c r="Z2511" s="508"/>
      <c r="AA2511" s="508"/>
      <c r="AB2511" s="508"/>
      <c r="AC2511" s="508"/>
      <c r="AD2511" s="508"/>
      <c r="AE2511" s="508"/>
      <c r="AF2511" s="508"/>
      <c r="AG2511" s="508"/>
      <c r="AH2511" s="508"/>
      <c r="AI2511" s="492"/>
      <c r="AJ2511" s="485"/>
    </row>
    <row r="2512" spans="2:36">
      <c r="B2512" s="136" t="s">
        <v>478</v>
      </c>
      <c r="C2512" s="132" t="s">
        <v>1374</v>
      </c>
      <c r="D2512" s="132" t="s">
        <v>282</v>
      </c>
      <c r="E2512" s="508">
        <v>89.884</v>
      </c>
      <c r="F2512" s="508">
        <v>76.135000000000005</v>
      </c>
      <c r="G2512" s="508">
        <v>60.78</v>
      </c>
      <c r="H2512" s="508">
        <v>63.957000000000001</v>
      </c>
      <c r="I2512" s="508">
        <v>65.099000000000004</v>
      </c>
      <c r="J2512" s="508">
        <v>97.150999999999996</v>
      </c>
      <c r="K2512" s="508">
        <v>91.643000000000001</v>
      </c>
      <c r="L2512" s="508">
        <v>90.927999999999997</v>
      </c>
      <c r="M2512" s="508">
        <v>89.278999999999996</v>
      </c>
      <c r="N2512" s="508">
        <v>90.912000000000006</v>
      </c>
      <c r="O2512" s="508">
        <v>81.742000000000004</v>
      </c>
      <c r="P2512" s="508">
        <v>88.795000000000002</v>
      </c>
      <c r="Q2512" s="508">
        <v>71.988</v>
      </c>
      <c r="R2512" s="508">
        <v>35.332000000000001</v>
      </c>
      <c r="S2512" s="508">
        <v>31.279</v>
      </c>
      <c r="T2512" s="508">
        <v>34.572000000000003</v>
      </c>
      <c r="U2512" s="508">
        <v>28.669</v>
      </c>
      <c r="V2512" s="508">
        <v>34.951000000000001</v>
      </c>
      <c r="W2512" s="508"/>
      <c r="X2512" s="508">
        <v>31.54</v>
      </c>
      <c r="Y2512" s="508"/>
      <c r="Z2512" s="508"/>
      <c r="AA2512" s="508"/>
      <c r="AB2512" s="508"/>
      <c r="AC2512" s="508"/>
      <c r="AD2512" s="508"/>
      <c r="AE2512" s="508"/>
      <c r="AF2512" s="508"/>
      <c r="AG2512" s="508"/>
      <c r="AH2512" s="508"/>
      <c r="AI2512" s="492"/>
      <c r="AJ2512" s="485"/>
    </row>
    <row r="2513" spans="2:36">
      <c r="B2513" s="136" t="s">
        <v>479</v>
      </c>
      <c r="C2513" s="132" t="s">
        <v>1374</v>
      </c>
      <c r="D2513" s="132" t="s">
        <v>282</v>
      </c>
      <c r="E2513" s="508">
        <v>76.659000000000006</v>
      </c>
      <c r="F2513" s="508">
        <v>69.600999999999999</v>
      </c>
      <c r="G2513" s="508">
        <v>55.856000000000002</v>
      </c>
      <c r="H2513" s="508">
        <v>58.777000000000001</v>
      </c>
      <c r="I2513" s="508">
        <v>59.857999999999997</v>
      </c>
      <c r="J2513" s="508">
        <v>89.927000000000007</v>
      </c>
      <c r="K2513" s="508">
        <v>85.03</v>
      </c>
      <c r="L2513" s="508">
        <v>84.44</v>
      </c>
      <c r="M2513" s="508">
        <v>83.007000000000005</v>
      </c>
      <c r="N2513" s="508">
        <v>84.710999999999999</v>
      </c>
      <c r="O2513" s="508">
        <v>76.495999999999995</v>
      </c>
      <c r="P2513" s="508">
        <v>82.894999999999996</v>
      </c>
      <c r="Q2513" s="508">
        <v>67.786000000000001</v>
      </c>
      <c r="R2513" s="508">
        <v>32.523000000000003</v>
      </c>
      <c r="S2513" s="508">
        <v>28.895</v>
      </c>
      <c r="T2513" s="508">
        <v>31.952999999999999</v>
      </c>
      <c r="U2513" s="508">
        <v>26.49</v>
      </c>
      <c r="V2513" s="508">
        <v>31.391999999999999</v>
      </c>
      <c r="W2513" s="508"/>
      <c r="X2513" s="508">
        <v>28.756</v>
      </c>
      <c r="Y2513" s="508"/>
      <c r="Z2513" s="508"/>
      <c r="AA2513" s="508"/>
      <c r="AB2513" s="508"/>
      <c r="AC2513" s="508"/>
      <c r="AD2513" s="508"/>
      <c r="AE2513" s="508"/>
      <c r="AF2513" s="508"/>
      <c r="AG2513" s="508"/>
      <c r="AH2513" s="508"/>
      <c r="AI2513" s="492"/>
      <c r="AJ2513" s="485"/>
    </row>
    <row r="2514" spans="2:36">
      <c r="B2514" s="136" t="s">
        <v>480</v>
      </c>
      <c r="C2514" s="132" t="s">
        <v>1374</v>
      </c>
      <c r="D2514" s="132" t="s">
        <v>282</v>
      </c>
      <c r="E2514" s="508">
        <v>83.102999999999994</v>
      </c>
      <c r="F2514" s="508">
        <v>70.022000000000006</v>
      </c>
      <c r="G2514" s="508">
        <v>56.935000000000002</v>
      </c>
      <c r="H2514" s="508">
        <v>59.606999999999999</v>
      </c>
      <c r="I2514" s="508">
        <v>60.552999999999997</v>
      </c>
      <c r="J2514" s="508">
        <v>90.075000000000003</v>
      </c>
      <c r="K2514" s="508">
        <v>85.411000000000001</v>
      </c>
      <c r="L2514" s="508">
        <v>84.820999999999998</v>
      </c>
      <c r="M2514" s="508">
        <v>83.438999999999993</v>
      </c>
      <c r="N2514" s="508">
        <v>85.274000000000001</v>
      </c>
      <c r="O2514" s="508">
        <v>77.491</v>
      </c>
      <c r="P2514" s="508">
        <v>83.53</v>
      </c>
      <c r="Q2514" s="508">
        <v>69.225999999999999</v>
      </c>
      <c r="R2514" s="508">
        <v>32.271000000000001</v>
      </c>
      <c r="S2514" s="508">
        <v>28.821999999999999</v>
      </c>
      <c r="T2514" s="508">
        <v>31.617000000000001</v>
      </c>
      <c r="U2514" s="508">
        <v>24.817</v>
      </c>
      <c r="V2514" s="508">
        <v>29.273</v>
      </c>
      <c r="W2514" s="508"/>
      <c r="X2514" s="508">
        <v>26.844000000000001</v>
      </c>
      <c r="Y2514" s="508"/>
      <c r="Z2514" s="508"/>
      <c r="AA2514" s="508"/>
      <c r="AB2514" s="508"/>
      <c r="AC2514" s="508"/>
      <c r="AD2514" s="508"/>
      <c r="AE2514" s="508"/>
      <c r="AF2514" s="508"/>
      <c r="AG2514" s="508"/>
      <c r="AH2514" s="508"/>
      <c r="AI2514" s="492"/>
      <c r="AJ2514" s="485"/>
    </row>
    <row r="2515" spans="2:36">
      <c r="B2515" s="136" t="s">
        <v>481</v>
      </c>
      <c r="C2515" s="132" t="s">
        <v>1374</v>
      </c>
      <c r="D2515" s="132" t="s">
        <v>282</v>
      </c>
      <c r="E2515" s="508">
        <v>81.808999999999997</v>
      </c>
      <c r="F2515" s="508">
        <v>72.507000000000005</v>
      </c>
      <c r="G2515" s="508">
        <v>58.076999999999998</v>
      </c>
      <c r="H2515" s="508">
        <v>61.124000000000002</v>
      </c>
      <c r="I2515" s="508">
        <v>62.244999999999997</v>
      </c>
      <c r="J2515" s="508">
        <v>93.381</v>
      </c>
      <c r="K2515" s="508">
        <v>88.239000000000004</v>
      </c>
      <c r="L2515" s="508">
        <v>87.614000000000004</v>
      </c>
      <c r="M2515" s="508">
        <v>86.105999999999995</v>
      </c>
      <c r="N2515" s="508">
        <v>87.825999999999993</v>
      </c>
      <c r="O2515" s="508">
        <v>79.207999999999998</v>
      </c>
      <c r="P2515" s="508">
        <v>85.915000000000006</v>
      </c>
      <c r="Q2515" s="508">
        <v>70.066999999999993</v>
      </c>
      <c r="R2515" s="508">
        <v>33.887999999999998</v>
      </c>
      <c r="S2515" s="508">
        <v>30.08</v>
      </c>
      <c r="T2515" s="508">
        <v>33.268999999999998</v>
      </c>
      <c r="U2515" s="508">
        <v>27.617999999999999</v>
      </c>
      <c r="V2515" s="508">
        <v>33.412999999999997</v>
      </c>
      <c r="W2515" s="508"/>
      <c r="X2515" s="508">
        <v>30.289000000000001</v>
      </c>
      <c r="Y2515" s="508"/>
      <c r="Z2515" s="508"/>
      <c r="AA2515" s="508"/>
      <c r="AB2515" s="508"/>
      <c r="AC2515" s="508"/>
      <c r="AD2515" s="508"/>
      <c r="AE2515" s="508"/>
      <c r="AF2515" s="508"/>
      <c r="AG2515" s="508"/>
      <c r="AH2515" s="508"/>
      <c r="AI2515" s="492"/>
      <c r="AJ2515" s="485"/>
    </row>
    <row r="2516" spans="2:36">
      <c r="B2516" s="136" t="s">
        <v>482</v>
      </c>
      <c r="C2516" s="132" t="s">
        <v>1374</v>
      </c>
      <c r="D2516" s="132" t="s">
        <v>282</v>
      </c>
      <c r="E2516" s="508">
        <v>75.23</v>
      </c>
      <c r="F2516" s="508">
        <v>70.197000000000003</v>
      </c>
      <c r="G2516" s="508">
        <v>56.098999999999997</v>
      </c>
      <c r="H2516" s="508">
        <v>59.106999999999999</v>
      </c>
      <c r="I2516" s="508">
        <v>60.225999999999999</v>
      </c>
      <c r="J2516" s="508">
        <v>90.358000000000004</v>
      </c>
      <c r="K2516" s="508">
        <v>85.322000000000003</v>
      </c>
      <c r="L2516" s="508">
        <v>84.707999999999998</v>
      </c>
      <c r="M2516" s="508">
        <v>83.227000000000004</v>
      </c>
      <c r="N2516" s="508">
        <v>84.855999999999995</v>
      </c>
      <c r="O2516" s="508">
        <v>76.418000000000006</v>
      </c>
      <c r="P2516" s="508">
        <v>82.966999999999999</v>
      </c>
      <c r="Q2516" s="508">
        <v>67.463999999999999</v>
      </c>
      <c r="R2516" s="508">
        <v>32.64</v>
      </c>
      <c r="S2516" s="508">
        <v>28.917999999999999</v>
      </c>
      <c r="T2516" s="508">
        <v>32.055</v>
      </c>
      <c r="U2516" s="508">
        <v>26.731999999999999</v>
      </c>
      <c r="V2516" s="508">
        <v>32.176000000000002</v>
      </c>
      <c r="W2516" s="508"/>
      <c r="X2516" s="508">
        <v>29.256</v>
      </c>
      <c r="Y2516" s="508"/>
      <c r="Z2516" s="508"/>
      <c r="AA2516" s="508"/>
      <c r="AB2516" s="508"/>
      <c r="AC2516" s="508"/>
      <c r="AD2516" s="508"/>
      <c r="AE2516" s="508"/>
      <c r="AF2516" s="508"/>
      <c r="AG2516" s="508"/>
      <c r="AH2516" s="508"/>
      <c r="AI2516" s="492"/>
      <c r="AJ2516" s="485"/>
    </row>
    <row r="2517" spans="2:36">
      <c r="B2517" s="136" t="s">
        <v>483</v>
      </c>
      <c r="C2517" s="132" t="s">
        <v>1374</v>
      </c>
      <c r="D2517" s="132" t="s">
        <v>282</v>
      </c>
      <c r="E2517" s="508">
        <v>92.158000000000001</v>
      </c>
      <c r="F2517" s="508">
        <v>78.507999999999996</v>
      </c>
      <c r="G2517" s="508">
        <v>62.695</v>
      </c>
      <c r="H2517" s="508">
        <v>65.975999999999999</v>
      </c>
      <c r="I2517" s="508">
        <v>67.162000000000006</v>
      </c>
      <c r="J2517" s="508">
        <v>100.408</v>
      </c>
      <c r="K2517" s="508">
        <v>94.756</v>
      </c>
      <c r="L2517" s="508">
        <v>94.04</v>
      </c>
      <c r="M2517" s="508">
        <v>92.363</v>
      </c>
      <c r="N2517" s="508">
        <v>94.091999999999999</v>
      </c>
      <c r="O2517" s="508">
        <v>84.656999999999996</v>
      </c>
      <c r="P2517" s="508">
        <v>91.954999999999998</v>
      </c>
      <c r="Q2517" s="508">
        <v>74.632999999999996</v>
      </c>
      <c r="R2517" s="508">
        <v>36.622999999999998</v>
      </c>
      <c r="S2517" s="508">
        <v>32.451000000000001</v>
      </c>
      <c r="T2517" s="508">
        <v>35.871000000000002</v>
      </c>
      <c r="U2517" s="508">
        <v>29.356000000000002</v>
      </c>
      <c r="V2517" s="508">
        <v>35.722000000000001</v>
      </c>
      <c r="W2517" s="508"/>
      <c r="X2517" s="508">
        <v>32.268999999999998</v>
      </c>
      <c r="Y2517" s="508"/>
      <c r="Z2517" s="508"/>
      <c r="AA2517" s="508"/>
      <c r="AB2517" s="508"/>
      <c r="AC2517" s="508"/>
      <c r="AD2517" s="508"/>
      <c r="AE2517" s="508"/>
      <c r="AF2517" s="508"/>
      <c r="AG2517" s="508"/>
      <c r="AH2517" s="508"/>
      <c r="AI2517" s="492"/>
      <c r="AJ2517" s="485"/>
    </row>
    <row r="2518" spans="2:36">
      <c r="B2518" s="136" t="s">
        <v>484</v>
      </c>
      <c r="C2518" s="132" t="s">
        <v>1374</v>
      </c>
      <c r="D2518" s="132" t="s">
        <v>282</v>
      </c>
      <c r="E2518" s="508">
        <v>79.626999999999995</v>
      </c>
      <c r="F2518" s="508">
        <v>66.287999999999997</v>
      </c>
      <c r="G2518" s="508">
        <v>53.561</v>
      </c>
      <c r="H2518" s="508">
        <v>56.140999999999998</v>
      </c>
      <c r="I2518" s="508">
        <v>57.048000000000002</v>
      </c>
      <c r="J2518" s="508">
        <v>85.08</v>
      </c>
      <c r="K2518" s="508">
        <v>80.522999999999996</v>
      </c>
      <c r="L2518" s="508">
        <v>79.924999999999997</v>
      </c>
      <c r="M2518" s="508">
        <v>78.558999999999997</v>
      </c>
      <c r="N2518" s="508">
        <v>80.165000000000006</v>
      </c>
      <c r="O2518" s="508">
        <v>72.588999999999999</v>
      </c>
      <c r="P2518" s="508">
        <v>78.421999999999997</v>
      </c>
      <c r="Q2518" s="508">
        <v>64.528000000000006</v>
      </c>
      <c r="R2518" s="508">
        <v>31.076000000000001</v>
      </c>
      <c r="S2518" s="508">
        <v>27.721</v>
      </c>
      <c r="T2518" s="508">
        <v>30.402000000000001</v>
      </c>
      <c r="U2518" s="508">
        <v>25.108000000000001</v>
      </c>
      <c r="V2518" s="508">
        <v>29.585000000000001</v>
      </c>
      <c r="W2518" s="508"/>
      <c r="X2518" s="508">
        <v>27.138999999999999</v>
      </c>
      <c r="Y2518" s="508"/>
      <c r="Z2518" s="508"/>
      <c r="AA2518" s="508"/>
      <c r="AB2518" s="508"/>
      <c r="AC2518" s="508"/>
      <c r="AD2518" s="508"/>
      <c r="AE2518" s="508"/>
      <c r="AF2518" s="508"/>
      <c r="AG2518" s="508"/>
      <c r="AH2518" s="508"/>
      <c r="AI2518" s="492"/>
      <c r="AJ2518" s="485"/>
    </row>
    <row r="2519" spans="2:36">
      <c r="B2519" s="136" t="s">
        <v>486</v>
      </c>
      <c r="C2519" s="132" t="s">
        <v>1374</v>
      </c>
      <c r="D2519" s="132" t="s">
        <v>282</v>
      </c>
      <c r="E2519" s="508">
        <v>81.125</v>
      </c>
      <c r="F2519" s="508">
        <v>71.105000000000004</v>
      </c>
      <c r="G2519" s="508">
        <v>56.957999999999998</v>
      </c>
      <c r="H2519" s="508">
        <v>59.933</v>
      </c>
      <c r="I2519" s="508">
        <v>61.023000000000003</v>
      </c>
      <c r="J2519" s="508">
        <v>91.400999999999996</v>
      </c>
      <c r="K2519" s="508">
        <v>86.346000000000004</v>
      </c>
      <c r="L2519" s="508">
        <v>85.716999999999999</v>
      </c>
      <c r="M2519" s="508">
        <v>84.222999999999999</v>
      </c>
      <c r="N2519" s="508">
        <v>85.879000000000005</v>
      </c>
      <c r="O2519" s="508">
        <v>77.424999999999997</v>
      </c>
      <c r="P2519" s="508">
        <v>83.974000000000004</v>
      </c>
      <c r="Q2519" s="508">
        <v>68.448999999999998</v>
      </c>
      <c r="R2519" s="508">
        <v>33.095999999999997</v>
      </c>
      <c r="S2519" s="508">
        <v>29.361000000000001</v>
      </c>
      <c r="T2519" s="508">
        <v>32.463000000000001</v>
      </c>
      <c r="U2519" s="508">
        <v>26.882999999999999</v>
      </c>
      <c r="V2519" s="508">
        <v>32.173000000000002</v>
      </c>
      <c r="W2519" s="508"/>
      <c r="X2519" s="508">
        <v>29.315999999999999</v>
      </c>
      <c r="Y2519" s="508"/>
      <c r="Z2519" s="508"/>
      <c r="AA2519" s="508"/>
      <c r="AB2519" s="508"/>
      <c r="AC2519" s="508"/>
      <c r="AD2519" s="508"/>
      <c r="AE2519" s="508"/>
      <c r="AF2519" s="508"/>
      <c r="AG2519" s="508"/>
      <c r="AH2519" s="508"/>
      <c r="AI2519" s="492"/>
      <c r="AJ2519" s="485"/>
    </row>
    <row r="2520" spans="2:36">
      <c r="B2520" s="136" t="s">
        <v>487</v>
      </c>
      <c r="C2520" s="132" t="s">
        <v>1374</v>
      </c>
      <c r="D2520" s="132" t="s">
        <v>282</v>
      </c>
      <c r="E2520" s="508">
        <v>90.179000000000002</v>
      </c>
      <c r="F2520" s="508">
        <v>76.620999999999995</v>
      </c>
      <c r="G2520" s="508">
        <v>61.594000000000001</v>
      </c>
      <c r="H2520" s="508">
        <v>64.7</v>
      </c>
      <c r="I2520" s="508">
        <v>65.816000000000003</v>
      </c>
      <c r="J2520" s="508">
        <v>98.037999999999997</v>
      </c>
      <c r="K2520" s="508">
        <v>92.665999999999997</v>
      </c>
      <c r="L2520" s="508">
        <v>91.983000000000004</v>
      </c>
      <c r="M2520" s="508">
        <v>90.385999999999996</v>
      </c>
      <c r="N2520" s="508">
        <v>92.176000000000002</v>
      </c>
      <c r="O2520" s="508">
        <v>83.213999999999999</v>
      </c>
      <c r="P2520" s="508">
        <v>90.141999999999996</v>
      </c>
      <c r="Q2520" s="508">
        <v>73.691000000000003</v>
      </c>
      <c r="R2520" s="508">
        <v>35.305</v>
      </c>
      <c r="S2520" s="508">
        <v>31.341000000000001</v>
      </c>
      <c r="T2520" s="508">
        <v>34.576999999999998</v>
      </c>
      <c r="U2520" s="508">
        <v>28.358000000000001</v>
      </c>
      <c r="V2520" s="508">
        <v>34.392000000000003</v>
      </c>
      <c r="W2520" s="508"/>
      <c r="X2520" s="508">
        <v>31.114999999999998</v>
      </c>
      <c r="Y2520" s="508"/>
      <c r="Z2520" s="508"/>
      <c r="AA2520" s="508"/>
      <c r="AB2520" s="508"/>
      <c r="AC2520" s="508"/>
      <c r="AD2520" s="508"/>
      <c r="AE2520" s="508"/>
      <c r="AF2520" s="508"/>
      <c r="AG2520" s="508"/>
      <c r="AH2520" s="508"/>
      <c r="AI2520" s="492"/>
      <c r="AJ2520" s="485"/>
    </row>
    <row r="2521" spans="2:36">
      <c r="B2521" s="136" t="s">
        <v>488</v>
      </c>
      <c r="C2521" s="132" t="s">
        <v>1374</v>
      </c>
      <c r="D2521" s="132" t="s">
        <v>282</v>
      </c>
      <c r="E2521" s="508">
        <v>80.174999999999997</v>
      </c>
      <c r="F2521" s="508">
        <v>69.254000000000005</v>
      </c>
      <c r="G2521" s="508">
        <v>55.81</v>
      </c>
      <c r="H2521" s="508">
        <v>58.613999999999997</v>
      </c>
      <c r="I2521" s="508">
        <v>59.631999999999998</v>
      </c>
      <c r="J2521" s="508">
        <v>89.165999999999997</v>
      </c>
      <c r="K2521" s="508">
        <v>84.370999999999995</v>
      </c>
      <c r="L2521" s="508">
        <v>83.775999999999996</v>
      </c>
      <c r="M2521" s="508">
        <v>82.361999999999995</v>
      </c>
      <c r="N2521" s="508">
        <v>84.072000000000003</v>
      </c>
      <c r="O2521" s="508">
        <v>76.052000000000007</v>
      </c>
      <c r="P2521" s="508">
        <v>82.278000000000006</v>
      </c>
      <c r="Q2521" s="508">
        <v>67.540000000000006</v>
      </c>
      <c r="R2521" s="508">
        <v>32.253</v>
      </c>
      <c r="S2521" s="508">
        <v>28.706</v>
      </c>
      <c r="T2521" s="508">
        <v>31.637</v>
      </c>
      <c r="U2521" s="508">
        <v>26.349</v>
      </c>
      <c r="V2521" s="508">
        <v>31.844000000000001</v>
      </c>
      <c r="W2521" s="508"/>
      <c r="X2521" s="508">
        <v>28.869</v>
      </c>
      <c r="Y2521" s="508"/>
      <c r="Z2521" s="508"/>
      <c r="AA2521" s="508"/>
      <c r="AB2521" s="508"/>
      <c r="AC2521" s="508"/>
      <c r="AD2521" s="508"/>
      <c r="AE2521" s="508"/>
      <c r="AF2521" s="508"/>
      <c r="AG2521" s="508"/>
      <c r="AH2521" s="508"/>
      <c r="AI2521" s="492"/>
      <c r="AJ2521" s="485"/>
    </row>
    <row r="2522" spans="2:36">
      <c r="B2522" s="136" t="s">
        <v>489</v>
      </c>
      <c r="C2522" s="132" t="s">
        <v>1374</v>
      </c>
      <c r="D2522" s="132" t="s">
        <v>282</v>
      </c>
      <c r="E2522" s="508">
        <v>86.662000000000006</v>
      </c>
      <c r="F2522" s="508">
        <v>72.201999999999998</v>
      </c>
      <c r="G2522" s="508">
        <v>57.939</v>
      </c>
      <c r="H2522" s="508">
        <v>60.844999999999999</v>
      </c>
      <c r="I2522" s="508">
        <v>61.872999999999998</v>
      </c>
      <c r="J2522" s="508">
        <v>92.385000000000005</v>
      </c>
      <c r="K2522" s="508">
        <v>87.29</v>
      </c>
      <c r="L2522" s="508">
        <v>86.635000000000005</v>
      </c>
      <c r="M2522" s="508">
        <v>85.117000000000004</v>
      </c>
      <c r="N2522" s="508">
        <v>86.765000000000001</v>
      </c>
      <c r="O2522" s="508">
        <v>78.275999999999996</v>
      </c>
      <c r="P2522" s="508">
        <v>84.837999999999994</v>
      </c>
      <c r="Q2522" s="508">
        <v>69.253</v>
      </c>
      <c r="R2522" s="508">
        <v>34.01</v>
      </c>
      <c r="S2522" s="508">
        <v>30.248999999999999</v>
      </c>
      <c r="T2522" s="508">
        <v>33.280999999999999</v>
      </c>
      <c r="U2522" s="508">
        <v>26.169</v>
      </c>
      <c r="V2522" s="508">
        <v>31.25</v>
      </c>
      <c r="W2522" s="508"/>
      <c r="X2522" s="508">
        <v>28.478999999999999</v>
      </c>
      <c r="Y2522" s="508"/>
      <c r="Z2522" s="508"/>
      <c r="AA2522" s="508"/>
      <c r="AB2522" s="508"/>
      <c r="AC2522" s="508"/>
      <c r="AD2522" s="508"/>
      <c r="AE2522" s="508"/>
      <c r="AF2522" s="508"/>
      <c r="AG2522" s="508"/>
      <c r="AH2522" s="508"/>
      <c r="AI2522" s="492"/>
      <c r="AJ2522" s="485"/>
    </row>
    <row r="2523" spans="2:36">
      <c r="B2523" s="136" t="s">
        <v>490</v>
      </c>
      <c r="C2523" s="132" t="s">
        <v>1374</v>
      </c>
      <c r="D2523" s="132" t="s">
        <v>282</v>
      </c>
      <c r="E2523" s="508">
        <v>82.513999999999996</v>
      </c>
      <c r="F2523" s="508">
        <v>69.275999999999996</v>
      </c>
      <c r="G2523" s="508">
        <v>56.523000000000003</v>
      </c>
      <c r="H2523" s="508">
        <v>59.110999999999997</v>
      </c>
      <c r="I2523" s="508">
        <v>60.024000000000001</v>
      </c>
      <c r="J2523" s="508">
        <v>89.123999999999995</v>
      </c>
      <c r="K2523" s="508">
        <v>84.555999999999997</v>
      </c>
      <c r="L2523" s="508">
        <v>83.956999999999994</v>
      </c>
      <c r="M2523" s="508">
        <v>82.587000000000003</v>
      </c>
      <c r="N2523" s="508">
        <v>84.421000000000006</v>
      </c>
      <c r="O2523" s="508">
        <v>76.825999999999993</v>
      </c>
      <c r="P2523" s="508">
        <v>82.671999999999997</v>
      </c>
      <c r="Q2523" s="508">
        <v>68.745999999999995</v>
      </c>
      <c r="R2523" s="508">
        <v>31.620999999999999</v>
      </c>
      <c r="S2523" s="508">
        <v>28.257000000000001</v>
      </c>
      <c r="T2523" s="508">
        <v>30.948</v>
      </c>
      <c r="U2523" s="508">
        <v>25.709</v>
      </c>
      <c r="V2523" s="508">
        <v>30.803999999999998</v>
      </c>
      <c r="W2523" s="508"/>
      <c r="X2523" s="508">
        <v>28.021999999999998</v>
      </c>
      <c r="Y2523" s="508"/>
      <c r="Z2523" s="508"/>
      <c r="AA2523" s="508"/>
      <c r="AB2523" s="508"/>
      <c r="AC2523" s="508"/>
      <c r="AD2523" s="508"/>
      <c r="AE2523" s="508"/>
      <c r="AF2523" s="508"/>
      <c r="AG2523" s="508"/>
      <c r="AH2523" s="508"/>
      <c r="AI2523" s="492"/>
      <c r="AJ2523" s="485"/>
    </row>
    <row r="2524" spans="2:36">
      <c r="B2524" s="136" t="s">
        <v>435</v>
      </c>
      <c r="C2524" s="132" t="s">
        <v>1375</v>
      </c>
      <c r="D2524" s="132" t="s">
        <v>282</v>
      </c>
      <c r="E2524" s="508">
        <v>10.6</v>
      </c>
      <c r="F2524" s="508">
        <v>8.8559999999999999</v>
      </c>
      <c r="G2524" s="508">
        <v>7.66</v>
      </c>
      <c r="H2524" s="508">
        <v>6.9880000000000004</v>
      </c>
      <c r="I2524" s="508">
        <v>6.48</v>
      </c>
      <c r="J2524" s="508">
        <v>6.1130000000000004</v>
      </c>
      <c r="K2524" s="508">
        <v>6.07</v>
      </c>
      <c r="L2524" s="508">
        <v>5.665</v>
      </c>
      <c r="M2524" s="508">
        <v>5.5049999999999999</v>
      </c>
      <c r="N2524" s="508">
        <v>5.1989999999999998</v>
      </c>
      <c r="O2524" s="508">
        <v>5.1539999999999999</v>
      </c>
      <c r="P2524" s="508">
        <v>5.0670000000000002</v>
      </c>
      <c r="Q2524" s="508">
        <v>4.859</v>
      </c>
      <c r="R2524" s="508">
        <v>5.0999999999999996</v>
      </c>
      <c r="S2524" s="508">
        <v>4.766</v>
      </c>
      <c r="T2524" s="508">
        <v>4.6529999999999996</v>
      </c>
      <c r="U2524" s="508">
        <v>4.6139999999999999</v>
      </c>
      <c r="V2524" s="508">
        <v>4.3570000000000002</v>
      </c>
      <c r="W2524" s="508">
        <v>3.3079999999999998</v>
      </c>
      <c r="X2524" s="508">
        <v>3.3149999999999999</v>
      </c>
      <c r="Y2524" s="508">
        <v>3.2909999999999999</v>
      </c>
      <c r="Z2524" s="508">
        <v>3.2429999999999999</v>
      </c>
      <c r="AA2524" s="508">
        <v>0.9</v>
      </c>
      <c r="AB2524" s="508">
        <v>0.77800000000000002</v>
      </c>
      <c r="AC2524" s="508">
        <v>0.83899999999999997</v>
      </c>
      <c r="AD2524" s="508">
        <v>0.55700000000000005</v>
      </c>
      <c r="AE2524" s="508">
        <v>0.52300000000000002</v>
      </c>
      <c r="AF2524" s="508">
        <v>0.44700000000000001</v>
      </c>
      <c r="AG2524" s="508">
        <v>0.44500000000000001</v>
      </c>
      <c r="AH2524" s="508">
        <v>0.44500000000000001</v>
      </c>
      <c r="AI2524" s="492">
        <v>0.44500000000000001</v>
      </c>
      <c r="AJ2524" s="485"/>
    </row>
    <row r="2525" spans="2:36">
      <c r="B2525" s="136" t="s">
        <v>436</v>
      </c>
      <c r="C2525" s="132" t="s">
        <v>1375</v>
      </c>
      <c r="D2525" s="132" t="s">
        <v>282</v>
      </c>
      <c r="E2525" s="508">
        <v>10.101000000000001</v>
      </c>
      <c r="F2525" s="508">
        <v>8.4510000000000005</v>
      </c>
      <c r="G2525" s="508">
        <v>7.319</v>
      </c>
      <c r="H2525" s="508">
        <v>6.6840000000000002</v>
      </c>
      <c r="I2525" s="508">
        <v>6.2050000000000001</v>
      </c>
      <c r="J2525" s="508">
        <v>5.8540000000000001</v>
      </c>
      <c r="K2525" s="508">
        <v>5.8129999999999997</v>
      </c>
      <c r="L2525" s="508">
        <v>5.43</v>
      </c>
      <c r="M2525" s="508">
        <v>5.28</v>
      </c>
      <c r="N2525" s="508">
        <v>4.9880000000000004</v>
      </c>
      <c r="O2525" s="508">
        <v>4.9429999999999996</v>
      </c>
      <c r="P2525" s="508">
        <v>4.8630000000000004</v>
      </c>
      <c r="Q2525" s="508">
        <v>4.6630000000000003</v>
      </c>
      <c r="R2525" s="508">
        <v>4.8949999999999996</v>
      </c>
      <c r="S2525" s="508">
        <v>4.5739999999999998</v>
      </c>
      <c r="T2525" s="508">
        <v>4.4660000000000002</v>
      </c>
      <c r="U2525" s="508">
        <v>4.431</v>
      </c>
      <c r="V2525" s="508">
        <v>4.18</v>
      </c>
      <c r="W2525" s="508">
        <v>3.1829999999999998</v>
      </c>
      <c r="X2525" s="508">
        <v>3.19</v>
      </c>
      <c r="Y2525" s="508">
        <v>3.1669999999999998</v>
      </c>
      <c r="Z2525" s="508">
        <v>3.1219999999999999</v>
      </c>
      <c r="AA2525" s="508">
        <v>0.86199999999999999</v>
      </c>
      <c r="AB2525" s="508">
        <v>0.746</v>
      </c>
      <c r="AC2525" s="508">
        <v>0.80400000000000005</v>
      </c>
      <c r="AD2525" s="508">
        <v>0.53200000000000003</v>
      </c>
      <c r="AE2525" s="508">
        <v>0.5</v>
      </c>
      <c r="AF2525" s="508">
        <v>0.42699999999999999</v>
      </c>
      <c r="AG2525" s="508">
        <v>0.42599999999999999</v>
      </c>
      <c r="AH2525" s="508">
        <v>0.42599999999999999</v>
      </c>
      <c r="AI2525" s="492">
        <v>0.42599999999999999</v>
      </c>
      <c r="AJ2525" s="485"/>
    </row>
    <row r="2526" spans="2:36">
      <c r="B2526" s="136" t="s">
        <v>437</v>
      </c>
      <c r="C2526" s="132" t="s">
        <v>1375</v>
      </c>
      <c r="D2526" s="132" t="s">
        <v>282</v>
      </c>
      <c r="E2526" s="508">
        <v>10.849</v>
      </c>
      <c r="F2526" s="508">
        <v>9.0540000000000003</v>
      </c>
      <c r="G2526" s="508">
        <v>7.8220000000000001</v>
      </c>
      <c r="H2526" s="508">
        <v>7.13</v>
      </c>
      <c r="I2526" s="508">
        <v>6.6079999999999997</v>
      </c>
      <c r="J2526" s="508">
        <v>6.2290000000000001</v>
      </c>
      <c r="K2526" s="508">
        <v>6.1840000000000002</v>
      </c>
      <c r="L2526" s="508">
        <v>5.7679999999999998</v>
      </c>
      <c r="M2526" s="508">
        <v>5.6029999999999998</v>
      </c>
      <c r="N2526" s="508">
        <v>5.2880000000000003</v>
      </c>
      <c r="O2526" s="508">
        <v>5.2409999999999997</v>
      </c>
      <c r="P2526" s="508">
        <v>5.1520000000000001</v>
      </c>
      <c r="Q2526" s="508">
        <v>4.9370000000000003</v>
      </c>
      <c r="R2526" s="508">
        <v>5.1859999999999999</v>
      </c>
      <c r="S2526" s="508">
        <v>4.8410000000000002</v>
      </c>
      <c r="T2526" s="508">
        <v>4.7240000000000002</v>
      </c>
      <c r="U2526" s="508">
        <v>4.6849999999999996</v>
      </c>
      <c r="V2526" s="508">
        <v>4.4180000000000001</v>
      </c>
      <c r="W2526" s="508">
        <v>3.3319999999999999</v>
      </c>
      <c r="X2526" s="508">
        <v>3.339</v>
      </c>
      <c r="Y2526" s="508">
        <v>3.3149999999999999</v>
      </c>
      <c r="Z2526" s="508">
        <v>3.2650000000000001</v>
      </c>
      <c r="AA2526" s="508">
        <v>0.91200000000000003</v>
      </c>
      <c r="AB2526" s="508">
        <v>0.78500000000000003</v>
      </c>
      <c r="AC2526" s="508">
        <v>0.84899999999999998</v>
      </c>
      <c r="AD2526" s="508">
        <v>0.56499999999999995</v>
      </c>
      <c r="AE2526" s="508">
        <v>0.52900000000000003</v>
      </c>
      <c r="AF2526" s="508">
        <v>0.45300000000000001</v>
      </c>
      <c r="AG2526" s="508">
        <v>0.45100000000000001</v>
      </c>
      <c r="AH2526" s="508">
        <v>0.45100000000000001</v>
      </c>
      <c r="AI2526" s="492">
        <v>0.45100000000000001</v>
      </c>
      <c r="AJ2526" s="485"/>
    </row>
    <row r="2527" spans="2:36">
      <c r="B2527" s="136" t="s">
        <v>438</v>
      </c>
      <c r="C2527" s="132" t="s">
        <v>1375</v>
      </c>
      <c r="D2527" s="132" t="s">
        <v>282</v>
      </c>
      <c r="E2527" s="508">
        <v>9.9450000000000003</v>
      </c>
      <c r="F2527" s="508">
        <v>8.3179999999999996</v>
      </c>
      <c r="G2527" s="508">
        <v>7.2009999999999996</v>
      </c>
      <c r="H2527" s="508">
        <v>6.5750000000000002</v>
      </c>
      <c r="I2527" s="508">
        <v>6.1029999999999998</v>
      </c>
      <c r="J2527" s="508">
        <v>5.7560000000000002</v>
      </c>
      <c r="K2527" s="508">
        <v>5.7149999999999999</v>
      </c>
      <c r="L2527" s="508">
        <v>5.3380000000000001</v>
      </c>
      <c r="M2527" s="508">
        <v>5.19</v>
      </c>
      <c r="N2527" s="508">
        <v>4.9009999999999998</v>
      </c>
      <c r="O2527" s="508">
        <v>4.8559999999999999</v>
      </c>
      <c r="P2527" s="508">
        <v>4.7779999999999996</v>
      </c>
      <c r="Q2527" s="508">
        <v>4.58</v>
      </c>
      <c r="R2527" s="508">
        <v>4.8099999999999996</v>
      </c>
      <c r="S2527" s="508">
        <v>4.4930000000000003</v>
      </c>
      <c r="T2527" s="508">
        <v>4.3860000000000001</v>
      </c>
      <c r="U2527" s="508">
        <v>4.3520000000000003</v>
      </c>
      <c r="V2527" s="508">
        <v>4.1029999999999998</v>
      </c>
      <c r="W2527" s="508">
        <v>3.1379999999999999</v>
      </c>
      <c r="X2527" s="508">
        <v>3.145</v>
      </c>
      <c r="Y2527" s="508">
        <v>3.1219999999999999</v>
      </c>
      <c r="Z2527" s="508">
        <v>3.077</v>
      </c>
      <c r="AA2527" s="508">
        <v>0.85</v>
      </c>
      <c r="AB2527" s="508">
        <v>0.73599999999999999</v>
      </c>
      <c r="AC2527" s="508">
        <v>0.79200000000000004</v>
      </c>
      <c r="AD2527" s="508">
        <v>0.52500000000000002</v>
      </c>
      <c r="AE2527" s="508">
        <v>0.49299999999999999</v>
      </c>
      <c r="AF2527" s="508">
        <v>0.42099999999999999</v>
      </c>
      <c r="AG2527" s="508">
        <v>0.42</v>
      </c>
      <c r="AH2527" s="508">
        <v>0.42</v>
      </c>
      <c r="AI2527" s="492">
        <v>0.42</v>
      </c>
      <c r="AJ2527" s="485"/>
    </row>
    <row r="2528" spans="2:36">
      <c r="B2528" s="136" t="s">
        <v>439</v>
      </c>
      <c r="C2528" s="132" t="s">
        <v>1375</v>
      </c>
      <c r="D2528" s="132" t="s">
        <v>282</v>
      </c>
      <c r="E2528" s="508">
        <v>11.11</v>
      </c>
      <c r="F2528" s="508">
        <v>9.24</v>
      </c>
      <c r="G2528" s="508">
        <v>7.9589999999999996</v>
      </c>
      <c r="H2528" s="508">
        <v>7.2380000000000004</v>
      </c>
      <c r="I2528" s="508">
        <v>6.694</v>
      </c>
      <c r="J2528" s="508">
        <v>6.3010000000000002</v>
      </c>
      <c r="K2528" s="508">
        <v>6.2539999999999996</v>
      </c>
      <c r="L2528" s="508">
        <v>5.8209999999999997</v>
      </c>
      <c r="M2528" s="508">
        <v>5.649</v>
      </c>
      <c r="N2528" s="508">
        <v>5.3209999999999997</v>
      </c>
      <c r="O2528" s="508">
        <v>5.2729999999999997</v>
      </c>
      <c r="P2528" s="508">
        <v>5.18</v>
      </c>
      <c r="Q2528" s="508">
        <v>4.9560000000000004</v>
      </c>
      <c r="R2528" s="508">
        <v>5.2149999999999999</v>
      </c>
      <c r="S2528" s="508">
        <v>4.8570000000000002</v>
      </c>
      <c r="T2528" s="508">
        <v>4.7350000000000003</v>
      </c>
      <c r="U2528" s="508">
        <v>4.694</v>
      </c>
      <c r="V2528" s="508">
        <v>4.4180000000000001</v>
      </c>
      <c r="W2528" s="508">
        <v>3.331</v>
      </c>
      <c r="X2528" s="508">
        <v>3.3380000000000001</v>
      </c>
      <c r="Y2528" s="508">
        <v>3.3140000000000001</v>
      </c>
      <c r="Z2528" s="508">
        <v>3.262</v>
      </c>
      <c r="AA2528" s="508">
        <v>0.92200000000000004</v>
      </c>
      <c r="AB2528" s="508">
        <v>0.78900000000000003</v>
      </c>
      <c r="AC2528" s="508">
        <v>0.85599999999999998</v>
      </c>
      <c r="AD2528" s="508">
        <v>0.57199999999999995</v>
      </c>
      <c r="AE2528" s="508">
        <v>0.53500000000000003</v>
      </c>
      <c r="AF2528" s="508">
        <v>0.45900000000000002</v>
      </c>
      <c r="AG2528" s="508">
        <v>0.45700000000000002</v>
      </c>
      <c r="AH2528" s="508">
        <v>0.45700000000000002</v>
      </c>
      <c r="AI2528" s="492">
        <v>0.45700000000000002</v>
      </c>
      <c r="AJ2528" s="485"/>
    </row>
    <row r="2529" spans="2:36">
      <c r="B2529" s="136" t="s">
        <v>440</v>
      </c>
      <c r="C2529" s="132" t="s">
        <v>1375</v>
      </c>
      <c r="D2529" s="132" t="s">
        <v>282</v>
      </c>
      <c r="E2529" s="508">
        <v>10.696</v>
      </c>
      <c r="F2529" s="508">
        <v>8.9209999999999994</v>
      </c>
      <c r="G2529" s="508">
        <v>7.702</v>
      </c>
      <c r="H2529" s="508">
        <v>7.0179999999999998</v>
      </c>
      <c r="I2529" s="508">
        <v>6.5019999999999998</v>
      </c>
      <c r="J2529" s="508">
        <v>6.1269999999999998</v>
      </c>
      <c r="K2529" s="508">
        <v>6.0819999999999999</v>
      </c>
      <c r="L2529" s="508">
        <v>5.67</v>
      </c>
      <c r="M2529" s="508">
        <v>5.508</v>
      </c>
      <c r="N2529" s="508">
        <v>5.1950000000000003</v>
      </c>
      <c r="O2529" s="508">
        <v>5.1479999999999997</v>
      </c>
      <c r="P2529" s="508">
        <v>5.0609999999999999</v>
      </c>
      <c r="Q2529" s="508">
        <v>4.8479999999999999</v>
      </c>
      <c r="R2529" s="508">
        <v>5.0949999999999998</v>
      </c>
      <c r="S2529" s="508">
        <v>4.7530000000000001</v>
      </c>
      <c r="T2529" s="508">
        <v>4.6369999999999996</v>
      </c>
      <c r="U2529" s="508">
        <v>4.5990000000000002</v>
      </c>
      <c r="V2529" s="508">
        <v>4.3330000000000002</v>
      </c>
      <c r="W2529" s="508">
        <v>3.2810000000000001</v>
      </c>
      <c r="X2529" s="508">
        <v>3.2869999999999999</v>
      </c>
      <c r="Y2529" s="508">
        <v>3.2639999999999998</v>
      </c>
      <c r="Z2529" s="508">
        <v>3.2149999999999999</v>
      </c>
      <c r="AA2529" s="508">
        <v>0.89900000000000002</v>
      </c>
      <c r="AB2529" s="508">
        <v>0.77300000000000002</v>
      </c>
      <c r="AC2529" s="508">
        <v>0.83599999999999997</v>
      </c>
      <c r="AD2529" s="508">
        <v>0.55700000000000005</v>
      </c>
      <c r="AE2529" s="508">
        <v>0.52200000000000002</v>
      </c>
      <c r="AF2529" s="508">
        <v>0.44600000000000001</v>
      </c>
      <c r="AG2529" s="508">
        <v>0.44500000000000001</v>
      </c>
      <c r="AH2529" s="508">
        <v>0.44500000000000001</v>
      </c>
      <c r="AI2529" s="492">
        <v>0.44500000000000001</v>
      </c>
      <c r="AJ2529" s="485"/>
    </row>
    <row r="2530" spans="2:36">
      <c r="B2530" s="136" t="s">
        <v>441</v>
      </c>
      <c r="C2530" s="132" t="s">
        <v>1375</v>
      </c>
      <c r="D2530" s="132" t="s">
        <v>282</v>
      </c>
      <c r="E2530" s="508">
        <v>11.247999999999999</v>
      </c>
      <c r="F2530" s="508">
        <v>9.3439999999999994</v>
      </c>
      <c r="G2530" s="508">
        <v>8.0389999999999997</v>
      </c>
      <c r="H2530" s="508">
        <v>7.3040000000000003</v>
      </c>
      <c r="I2530" s="508">
        <v>6.75</v>
      </c>
      <c r="J2530" s="508">
        <v>6.35</v>
      </c>
      <c r="K2530" s="508">
        <v>6.3019999999999996</v>
      </c>
      <c r="L2530" s="508">
        <v>5.8609999999999998</v>
      </c>
      <c r="M2530" s="508">
        <v>5.6859999999999999</v>
      </c>
      <c r="N2530" s="508">
        <v>5.3520000000000003</v>
      </c>
      <c r="O2530" s="508">
        <v>5.3029999999999999</v>
      </c>
      <c r="P2530" s="508">
        <v>5.2080000000000002</v>
      </c>
      <c r="Q2530" s="508">
        <v>4.9809999999999999</v>
      </c>
      <c r="R2530" s="508">
        <v>5.2439999999999998</v>
      </c>
      <c r="S2530" s="508">
        <v>4.8789999999999996</v>
      </c>
      <c r="T2530" s="508">
        <v>4.7560000000000002</v>
      </c>
      <c r="U2530" s="508">
        <v>4.7140000000000004</v>
      </c>
      <c r="V2530" s="508">
        <v>4.4329999999999998</v>
      </c>
      <c r="W2530" s="508">
        <v>3.34</v>
      </c>
      <c r="X2530" s="508">
        <v>3.3460000000000001</v>
      </c>
      <c r="Y2530" s="508">
        <v>3.323</v>
      </c>
      <c r="Z2530" s="508">
        <v>3.27</v>
      </c>
      <c r="AA2530" s="508">
        <v>0.92800000000000005</v>
      </c>
      <c r="AB2530" s="508">
        <v>0.79200000000000004</v>
      </c>
      <c r="AC2530" s="508">
        <v>0.86099999999999999</v>
      </c>
      <c r="AD2530" s="508">
        <v>0.57599999999999996</v>
      </c>
      <c r="AE2530" s="508">
        <v>0.53900000000000003</v>
      </c>
      <c r="AF2530" s="508">
        <v>0.46200000000000002</v>
      </c>
      <c r="AG2530" s="508">
        <v>0.46100000000000002</v>
      </c>
      <c r="AH2530" s="508">
        <v>0.46100000000000002</v>
      </c>
      <c r="AI2530" s="492">
        <v>0.46100000000000002</v>
      </c>
      <c r="AJ2530" s="485"/>
    </row>
    <row r="2531" spans="2:36">
      <c r="B2531" s="136" t="s">
        <v>443</v>
      </c>
      <c r="C2531" s="132" t="s">
        <v>1375</v>
      </c>
      <c r="D2531" s="132" t="s">
        <v>282</v>
      </c>
      <c r="E2531" s="508">
        <v>11.471</v>
      </c>
      <c r="F2531" s="508">
        <v>9.5540000000000003</v>
      </c>
      <c r="G2531" s="508">
        <v>8.2420000000000009</v>
      </c>
      <c r="H2531" s="508">
        <v>7.5019999999999998</v>
      </c>
      <c r="I2531" s="508">
        <v>6.9420000000000002</v>
      </c>
      <c r="J2531" s="508">
        <v>6.5449999999999999</v>
      </c>
      <c r="K2531" s="508">
        <v>6.4960000000000004</v>
      </c>
      <c r="L2531" s="508">
        <v>6.0519999999999996</v>
      </c>
      <c r="M2531" s="508">
        <v>5.8730000000000002</v>
      </c>
      <c r="N2531" s="508">
        <v>5.5410000000000004</v>
      </c>
      <c r="O2531" s="508">
        <v>5.4960000000000004</v>
      </c>
      <c r="P2531" s="508">
        <v>5.3970000000000002</v>
      </c>
      <c r="Q2531" s="508">
        <v>5.1719999999999997</v>
      </c>
      <c r="R2531" s="508">
        <v>5.4320000000000004</v>
      </c>
      <c r="S2531" s="508">
        <v>5.0709999999999997</v>
      </c>
      <c r="T2531" s="508">
        <v>4.9480000000000004</v>
      </c>
      <c r="U2531" s="508">
        <v>4.9039999999999999</v>
      </c>
      <c r="V2531" s="508">
        <v>4.6310000000000002</v>
      </c>
      <c r="W2531" s="508">
        <v>3.4940000000000002</v>
      </c>
      <c r="X2531" s="508">
        <v>3.5009999999999999</v>
      </c>
      <c r="Y2531" s="508">
        <v>3.476</v>
      </c>
      <c r="Z2531" s="508">
        <v>3.4220000000000002</v>
      </c>
      <c r="AA2531" s="508">
        <v>0.96099999999999997</v>
      </c>
      <c r="AB2531" s="508">
        <v>0.82499999999999996</v>
      </c>
      <c r="AC2531" s="508">
        <v>0.89400000000000002</v>
      </c>
      <c r="AD2531" s="508">
        <v>0.59599999999999997</v>
      </c>
      <c r="AE2531" s="508">
        <v>0.55800000000000005</v>
      </c>
      <c r="AF2531" s="508">
        <v>0.47799999999999998</v>
      </c>
      <c r="AG2531" s="508">
        <v>0.47699999999999998</v>
      </c>
      <c r="AH2531" s="508">
        <v>0.47599999999999998</v>
      </c>
      <c r="AI2531" s="492">
        <v>0.47599999999999998</v>
      </c>
      <c r="AJ2531" s="485"/>
    </row>
    <row r="2532" spans="2:36">
      <c r="B2532" s="136" t="s">
        <v>445</v>
      </c>
      <c r="C2532" s="132" t="s">
        <v>1375</v>
      </c>
      <c r="D2532" s="132" t="s">
        <v>282</v>
      </c>
      <c r="E2532" s="508">
        <v>12.817</v>
      </c>
      <c r="F2532" s="508">
        <v>10.654999999999999</v>
      </c>
      <c r="G2532" s="508">
        <v>9.1790000000000003</v>
      </c>
      <c r="H2532" s="508">
        <v>8.343</v>
      </c>
      <c r="I2532" s="508">
        <v>7.7110000000000003</v>
      </c>
      <c r="J2532" s="508">
        <v>7.2670000000000003</v>
      </c>
      <c r="K2532" s="508">
        <v>7.2130000000000001</v>
      </c>
      <c r="L2532" s="508">
        <v>6.7119999999999997</v>
      </c>
      <c r="M2532" s="508">
        <v>6.508</v>
      </c>
      <c r="N2532" s="508">
        <v>6.1379999999999999</v>
      </c>
      <c r="O2532" s="508">
        <v>6.0890000000000004</v>
      </c>
      <c r="P2532" s="508">
        <v>5.9749999999999996</v>
      </c>
      <c r="Q2532" s="508">
        <v>5.7249999999999996</v>
      </c>
      <c r="R2532" s="508">
        <v>6.0140000000000002</v>
      </c>
      <c r="S2532" s="508">
        <v>5.6120000000000001</v>
      </c>
      <c r="T2532" s="508">
        <v>5.4729999999999999</v>
      </c>
      <c r="U2532" s="508">
        <v>5.4240000000000004</v>
      </c>
      <c r="V2532" s="508">
        <v>5.1239999999999997</v>
      </c>
      <c r="W2532" s="508">
        <v>3.7930000000000001</v>
      </c>
      <c r="X2532" s="508">
        <v>3.8</v>
      </c>
      <c r="Y2532" s="508">
        <v>3.7730000000000001</v>
      </c>
      <c r="Z2532" s="508">
        <v>3.7130000000000001</v>
      </c>
      <c r="AA2532" s="508">
        <v>1.0549999999999999</v>
      </c>
      <c r="AB2532" s="508">
        <v>0.9</v>
      </c>
      <c r="AC2532" s="508">
        <v>0.97899999999999998</v>
      </c>
      <c r="AD2532" s="508">
        <v>0.65500000000000003</v>
      </c>
      <c r="AE2532" s="508">
        <v>0.61299999999999999</v>
      </c>
      <c r="AF2532" s="508">
        <v>0.52500000000000002</v>
      </c>
      <c r="AG2532" s="508">
        <v>0.52400000000000002</v>
      </c>
      <c r="AH2532" s="508">
        <v>0.52400000000000002</v>
      </c>
      <c r="AI2532" s="492">
        <v>0.52400000000000002</v>
      </c>
      <c r="AJ2532" s="485"/>
    </row>
    <row r="2533" spans="2:36">
      <c r="B2533" s="136" t="s">
        <v>446</v>
      </c>
      <c r="C2533" s="132" t="s">
        <v>1375</v>
      </c>
      <c r="D2533" s="132" t="s">
        <v>282</v>
      </c>
      <c r="E2533" s="508">
        <v>11.75</v>
      </c>
      <c r="F2533" s="508">
        <v>9.7929999999999993</v>
      </c>
      <c r="G2533" s="508">
        <v>8.4540000000000006</v>
      </c>
      <c r="H2533" s="508">
        <v>7.6989999999999998</v>
      </c>
      <c r="I2533" s="508">
        <v>7.1280000000000001</v>
      </c>
      <c r="J2533" s="508">
        <v>6.7220000000000004</v>
      </c>
      <c r="K2533" s="508">
        <v>6.6719999999999997</v>
      </c>
      <c r="L2533" s="508">
        <v>6.2190000000000003</v>
      </c>
      <c r="M2533" s="508">
        <v>6.0359999999999996</v>
      </c>
      <c r="N2533" s="508">
        <v>5.6980000000000004</v>
      </c>
      <c r="O2533" s="508">
        <v>5.6509999999999998</v>
      </c>
      <c r="P2533" s="508">
        <v>5.55</v>
      </c>
      <c r="Q2533" s="508">
        <v>5.3209999999999997</v>
      </c>
      <c r="R2533" s="508">
        <v>5.5860000000000003</v>
      </c>
      <c r="S2533" s="508">
        <v>5.2169999999999996</v>
      </c>
      <c r="T2533" s="508">
        <v>5.0910000000000002</v>
      </c>
      <c r="U2533" s="508">
        <v>5.0469999999999997</v>
      </c>
      <c r="V2533" s="508">
        <v>4.7670000000000003</v>
      </c>
      <c r="W2533" s="508">
        <v>3.5640000000000001</v>
      </c>
      <c r="X2533" s="508">
        <v>3.5710000000000002</v>
      </c>
      <c r="Y2533" s="508">
        <v>3.5449999999999999</v>
      </c>
      <c r="Z2533" s="508">
        <v>3.4910000000000001</v>
      </c>
      <c r="AA2533" s="508">
        <v>0.98099999999999998</v>
      </c>
      <c r="AB2533" s="508">
        <v>0.84199999999999997</v>
      </c>
      <c r="AC2533" s="508">
        <v>0.91200000000000003</v>
      </c>
      <c r="AD2533" s="508">
        <v>0.60799999999999998</v>
      </c>
      <c r="AE2533" s="508">
        <v>0.56999999999999995</v>
      </c>
      <c r="AF2533" s="508">
        <v>0.48699999999999999</v>
      </c>
      <c r="AG2533" s="508">
        <v>0.48599999999999999</v>
      </c>
      <c r="AH2533" s="508">
        <v>0.48599999999999999</v>
      </c>
      <c r="AI2533" s="492">
        <v>0.48599999999999999</v>
      </c>
      <c r="AJ2533" s="485"/>
    </row>
    <row r="2534" spans="2:36">
      <c r="B2534" s="136" t="s">
        <v>448</v>
      </c>
      <c r="C2534" s="132" t="s">
        <v>1375</v>
      </c>
      <c r="D2534" s="132" t="s">
        <v>282</v>
      </c>
      <c r="E2534" s="508">
        <v>10.27</v>
      </c>
      <c r="F2534" s="508">
        <v>8.58</v>
      </c>
      <c r="G2534" s="508">
        <v>7.42</v>
      </c>
      <c r="H2534" s="508">
        <v>6.7690000000000001</v>
      </c>
      <c r="I2534" s="508">
        <v>6.2779999999999996</v>
      </c>
      <c r="J2534" s="508">
        <v>5.9189999999999996</v>
      </c>
      <c r="K2534" s="508">
        <v>5.8769999999999998</v>
      </c>
      <c r="L2534" s="508">
        <v>5.4850000000000003</v>
      </c>
      <c r="M2534" s="508">
        <v>5.3310000000000004</v>
      </c>
      <c r="N2534" s="508">
        <v>5.032</v>
      </c>
      <c r="O2534" s="508">
        <v>4.9870000000000001</v>
      </c>
      <c r="P2534" s="508">
        <v>4.9050000000000002</v>
      </c>
      <c r="Q2534" s="508">
        <v>4.7009999999999996</v>
      </c>
      <c r="R2534" s="508">
        <v>4.9370000000000003</v>
      </c>
      <c r="S2534" s="508">
        <v>4.6100000000000003</v>
      </c>
      <c r="T2534" s="508">
        <v>4.5</v>
      </c>
      <c r="U2534" s="508">
        <v>4.4640000000000004</v>
      </c>
      <c r="V2534" s="508">
        <v>4.2089999999999996</v>
      </c>
      <c r="W2534" s="508">
        <v>3.206</v>
      </c>
      <c r="X2534" s="508">
        <v>3.2130000000000001</v>
      </c>
      <c r="Y2534" s="508">
        <v>3.19</v>
      </c>
      <c r="Z2534" s="508">
        <v>3.1429999999999998</v>
      </c>
      <c r="AA2534" s="508">
        <v>0.872</v>
      </c>
      <c r="AB2534" s="508">
        <v>0.753</v>
      </c>
      <c r="AC2534" s="508">
        <v>0.81299999999999994</v>
      </c>
      <c r="AD2534" s="508">
        <v>0.53900000000000003</v>
      </c>
      <c r="AE2534" s="508">
        <v>0.50600000000000001</v>
      </c>
      <c r="AF2534" s="508">
        <v>0.432</v>
      </c>
      <c r="AG2534" s="508">
        <v>0.43099999999999999</v>
      </c>
      <c r="AH2534" s="508">
        <v>0.43099999999999999</v>
      </c>
      <c r="AI2534" s="492">
        <v>0.43099999999999999</v>
      </c>
      <c r="AJ2534" s="485"/>
    </row>
    <row r="2535" spans="2:36">
      <c r="B2535" s="136" t="s">
        <v>449</v>
      </c>
      <c r="C2535" s="132" t="s">
        <v>1375</v>
      </c>
      <c r="D2535" s="132" t="s">
        <v>282</v>
      </c>
      <c r="E2535" s="508">
        <v>11.62</v>
      </c>
      <c r="F2535" s="508">
        <v>9.6720000000000006</v>
      </c>
      <c r="G2535" s="508">
        <v>8.34</v>
      </c>
      <c r="H2535" s="508">
        <v>7.5880000000000001</v>
      </c>
      <c r="I2535" s="508">
        <v>7.02</v>
      </c>
      <c r="J2535" s="508">
        <v>6.6159999999999997</v>
      </c>
      <c r="K2535" s="508">
        <v>6.5670000000000002</v>
      </c>
      <c r="L2535" s="508">
        <v>6.1159999999999997</v>
      </c>
      <c r="M2535" s="508">
        <v>5.9340000000000002</v>
      </c>
      <c r="N2535" s="508">
        <v>5.5970000000000004</v>
      </c>
      <c r="O2535" s="508">
        <v>5.55</v>
      </c>
      <c r="P2535" s="508">
        <v>5.45</v>
      </c>
      <c r="Q2535" s="508">
        <v>5.2220000000000004</v>
      </c>
      <c r="R2535" s="508">
        <v>5.4859999999999998</v>
      </c>
      <c r="S2535" s="508">
        <v>5.1189999999999998</v>
      </c>
      <c r="T2535" s="508">
        <v>4.9930000000000003</v>
      </c>
      <c r="U2535" s="508">
        <v>4.9489999999999998</v>
      </c>
      <c r="V2535" s="508">
        <v>4.6719999999999997</v>
      </c>
      <c r="W2535" s="508">
        <v>3.512</v>
      </c>
      <c r="X2535" s="508">
        <v>3.5190000000000001</v>
      </c>
      <c r="Y2535" s="508">
        <v>3.4940000000000002</v>
      </c>
      <c r="Z2535" s="508">
        <v>3.4390000000000001</v>
      </c>
      <c r="AA2535" s="508">
        <v>0.96899999999999997</v>
      </c>
      <c r="AB2535" s="508">
        <v>0.83099999999999996</v>
      </c>
      <c r="AC2535" s="508">
        <v>0.9</v>
      </c>
      <c r="AD2535" s="508">
        <v>0.60099999999999998</v>
      </c>
      <c r="AE2535" s="508">
        <v>0.56299999999999994</v>
      </c>
      <c r="AF2535" s="508">
        <v>0.48199999999999998</v>
      </c>
      <c r="AG2535" s="508">
        <v>0.48099999999999998</v>
      </c>
      <c r="AH2535" s="508">
        <v>0.48</v>
      </c>
      <c r="AI2535" s="492">
        <v>0.48</v>
      </c>
      <c r="AJ2535" s="485"/>
    </row>
    <row r="2536" spans="2:36">
      <c r="B2536" s="136" t="s">
        <v>450</v>
      </c>
      <c r="C2536" s="132" t="s">
        <v>1375</v>
      </c>
      <c r="D2536" s="132" t="s">
        <v>282</v>
      </c>
      <c r="E2536" s="508">
        <v>10.146000000000001</v>
      </c>
      <c r="F2536" s="508">
        <v>8.4890000000000008</v>
      </c>
      <c r="G2536" s="508">
        <v>7.351</v>
      </c>
      <c r="H2536" s="508">
        <v>6.7130000000000001</v>
      </c>
      <c r="I2536" s="508">
        <v>6.2320000000000002</v>
      </c>
      <c r="J2536" s="508">
        <v>5.88</v>
      </c>
      <c r="K2536" s="508">
        <v>5.8390000000000004</v>
      </c>
      <c r="L2536" s="508">
        <v>5.4539999999999997</v>
      </c>
      <c r="M2536" s="508">
        <v>5.3029999999999999</v>
      </c>
      <c r="N2536" s="508">
        <v>5.01</v>
      </c>
      <c r="O2536" s="508">
        <v>4.9660000000000002</v>
      </c>
      <c r="P2536" s="508">
        <v>4.8849999999999998</v>
      </c>
      <c r="Q2536" s="508">
        <v>4.6849999999999996</v>
      </c>
      <c r="R2536" s="508">
        <v>4.9169999999999998</v>
      </c>
      <c r="S2536" s="508">
        <v>4.5960000000000001</v>
      </c>
      <c r="T2536" s="508">
        <v>4.4880000000000004</v>
      </c>
      <c r="U2536" s="508">
        <v>4.452</v>
      </c>
      <c r="V2536" s="508">
        <v>4.202</v>
      </c>
      <c r="W2536" s="508">
        <v>3.2050000000000001</v>
      </c>
      <c r="X2536" s="508">
        <v>3.2120000000000002</v>
      </c>
      <c r="Y2536" s="508">
        <v>3.1890000000000001</v>
      </c>
      <c r="Z2536" s="508">
        <v>3.1429999999999998</v>
      </c>
      <c r="AA2536" s="508">
        <v>0.86799999999999999</v>
      </c>
      <c r="AB2536" s="508">
        <v>0.751</v>
      </c>
      <c r="AC2536" s="508">
        <v>0.80900000000000005</v>
      </c>
      <c r="AD2536" s="508">
        <v>0.53600000000000003</v>
      </c>
      <c r="AE2536" s="508">
        <v>0.503</v>
      </c>
      <c r="AF2536" s="508">
        <v>0.43</v>
      </c>
      <c r="AG2536" s="508">
        <v>0.42899999999999999</v>
      </c>
      <c r="AH2536" s="508">
        <v>0.42799999999999999</v>
      </c>
      <c r="AI2536" s="492">
        <v>0.42799999999999999</v>
      </c>
      <c r="AJ2536" s="485"/>
    </row>
    <row r="2537" spans="2:36">
      <c r="B2537" s="136" t="s">
        <v>451</v>
      </c>
      <c r="C2537" s="132" t="s">
        <v>1375</v>
      </c>
      <c r="D2537" s="132" t="s">
        <v>282</v>
      </c>
      <c r="E2537" s="508">
        <v>12.157999999999999</v>
      </c>
      <c r="F2537" s="508">
        <v>10.106999999999999</v>
      </c>
      <c r="G2537" s="508">
        <v>8.7040000000000006</v>
      </c>
      <c r="H2537" s="508">
        <v>7.9109999999999996</v>
      </c>
      <c r="I2537" s="508">
        <v>7.3129999999999997</v>
      </c>
      <c r="J2537" s="508">
        <v>6.8879999999999999</v>
      </c>
      <c r="K2537" s="508">
        <v>6.8360000000000003</v>
      </c>
      <c r="L2537" s="508">
        <v>6.3609999999999998</v>
      </c>
      <c r="M2537" s="508">
        <v>6.1689999999999996</v>
      </c>
      <c r="N2537" s="508">
        <v>5.8140000000000001</v>
      </c>
      <c r="O2537" s="508">
        <v>5.766</v>
      </c>
      <c r="P2537" s="508">
        <v>5.66</v>
      </c>
      <c r="Q2537" s="508">
        <v>5.42</v>
      </c>
      <c r="R2537" s="508">
        <v>5.6970000000000001</v>
      </c>
      <c r="S2537" s="508">
        <v>5.3120000000000003</v>
      </c>
      <c r="T2537" s="508">
        <v>5.1790000000000003</v>
      </c>
      <c r="U2537" s="508">
        <v>5.133</v>
      </c>
      <c r="V2537" s="508">
        <v>4.8419999999999996</v>
      </c>
      <c r="W2537" s="508">
        <v>3.6080000000000001</v>
      </c>
      <c r="X2537" s="508">
        <v>3.6139999999999999</v>
      </c>
      <c r="Y2537" s="508">
        <v>3.589</v>
      </c>
      <c r="Z2537" s="508">
        <v>3.5310000000000001</v>
      </c>
      <c r="AA2537" s="508">
        <v>1.002</v>
      </c>
      <c r="AB2537" s="508">
        <v>0.85599999999999998</v>
      </c>
      <c r="AC2537" s="508">
        <v>0.93</v>
      </c>
      <c r="AD2537" s="508">
        <v>0.623</v>
      </c>
      <c r="AE2537" s="508">
        <v>0.58199999999999996</v>
      </c>
      <c r="AF2537" s="508">
        <v>0.499</v>
      </c>
      <c r="AG2537" s="508">
        <v>0.498</v>
      </c>
      <c r="AH2537" s="508">
        <v>0.497</v>
      </c>
      <c r="AI2537" s="492">
        <v>0.497</v>
      </c>
      <c r="AJ2537" s="485"/>
    </row>
    <row r="2538" spans="2:36">
      <c r="B2538" s="136" t="s">
        <v>452</v>
      </c>
      <c r="C2538" s="132" t="s">
        <v>1375</v>
      </c>
      <c r="D2538" s="132" t="s">
        <v>282</v>
      </c>
      <c r="E2538" s="508">
        <v>10.875</v>
      </c>
      <c r="F2538" s="508">
        <v>9.0809999999999995</v>
      </c>
      <c r="G2538" s="508">
        <v>7.8520000000000003</v>
      </c>
      <c r="H2538" s="508">
        <v>7.16</v>
      </c>
      <c r="I2538" s="508">
        <v>6.6379999999999999</v>
      </c>
      <c r="J2538" s="508">
        <v>6.2619999999999996</v>
      </c>
      <c r="K2538" s="508">
        <v>6.2169999999999996</v>
      </c>
      <c r="L2538" s="508">
        <v>5.8010000000000002</v>
      </c>
      <c r="M2538" s="508">
        <v>5.6360000000000001</v>
      </c>
      <c r="N2538" s="508">
        <v>5.3220000000000001</v>
      </c>
      <c r="O2538" s="508">
        <v>5.2759999999999998</v>
      </c>
      <c r="P2538" s="508">
        <v>5.1859999999999999</v>
      </c>
      <c r="Q2538" s="508">
        <v>4.9729999999999999</v>
      </c>
      <c r="R2538" s="508">
        <v>5.22</v>
      </c>
      <c r="S2538" s="508">
        <v>4.8780000000000001</v>
      </c>
      <c r="T2538" s="508">
        <v>4.7610000000000001</v>
      </c>
      <c r="U2538" s="508">
        <v>4.7220000000000004</v>
      </c>
      <c r="V2538" s="508">
        <v>4.4580000000000002</v>
      </c>
      <c r="W2538" s="508">
        <v>3.3690000000000002</v>
      </c>
      <c r="X2538" s="508">
        <v>3.3759999999999999</v>
      </c>
      <c r="Y2538" s="508">
        <v>3.3519999999999999</v>
      </c>
      <c r="Z2538" s="508">
        <v>3.302</v>
      </c>
      <c r="AA2538" s="508">
        <v>0.91900000000000004</v>
      </c>
      <c r="AB2538" s="508">
        <v>0.79300000000000004</v>
      </c>
      <c r="AC2538" s="508">
        <v>0.85599999999999998</v>
      </c>
      <c r="AD2538" s="508">
        <v>0.56899999999999995</v>
      </c>
      <c r="AE2538" s="508">
        <v>0.53400000000000003</v>
      </c>
      <c r="AF2538" s="508">
        <v>0.45600000000000002</v>
      </c>
      <c r="AG2538" s="508">
        <v>0.45500000000000002</v>
      </c>
      <c r="AH2538" s="508">
        <v>0.45500000000000002</v>
      </c>
      <c r="AI2538" s="492">
        <v>0.45500000000000002</v>
      </c>
      <c r="AJ2538" s="485"/>
    </row>
    <row r="2539" spans="2:36">
      <c r="B2539" s="136" t="s">
        <v>453</v>
      </c>
      <c r="C2539" s="132" t="s">
        <v>1375</v>
      </c>
      <c r="D2539" s="132" t="s">
        <v>282</v>
      </c>
      <c r="E2539" s="508">
        <v>9.9610000000000003</v>
      </c>
      <c r="F2539" s="508">
        <v>8.3390000000000004</v>
      </c>
      <c r="G2539" s="508">
        <v>7.2249999999999996</v>
      </c>
      <c r="H2539" s="508">
        <v>6.601</v>
      </c>
      <c r="I2539" s="508">
        <v>6.13</v>
      </c>
      <c r="J2539" s="508">
        <v>5.7850000000000001</v>
      </c>
      <c r="K2539" s="508">
        <v>5.7450000000000001</v>
      </c>
      <c r="L2539" s="508">
        <v>5.3689999999999998</v>
      </c>
      <c r="M2539" s="508">
        <v>5.2220000000000004</v>
      </c>
      <c r="N2539" s="508">
        <v>4.9340000000000002</v>
      </c>
      <c r="O2539" s="508">
        <v>4.8899999999999997</v>
      </c>
      <c r="P2539" s="508">
        <v>4.8120000000000003</v>
      </c>
      <c r="Q2539" s="508">
        <v>4.6150000000000002</v>
      </c>
      <c r="R2539" s="508">
        <v>4.843</v>
      </c>
      <c r="S2539" s="508">
        <v>4.5279999999999996</v>
      </c>
      <c r="T2539" s="508">
        <v>4.4219999999999997</v>
      </c>
      <c r="U2539" s="508">
        <v>4.3869999999999996</v>
      </c>
      <c r="V2539" s="508">
        <v>4.141</v>
      </c>
      <c r="W2539" s="508">
        <v>3.1659999999999999</v>
      </c>
      <c r="X2539" s="508">
        <v>3.173</v>
      </c>
      <c r="Y2539" s="508">
        <v>3.15</v>
      </c>
      <c r="Z2539" s="508">
        <v>3.105</v>
      </c>
      <c r="AA2539" s="508">
        <v>0.85499999999999998</v>
      </c>
      <c r="AB2539" s="508">
        <v>0.74099999999999999</v>
      </c>
      <c r="AC2539" s="508">
        <v>0.79800000000000004</v>
      </c>
      <c r="AD2539" s="508">
        <v>0.52800000000000002</v>
      </c>
      <c r="AE2539" s="508">
        <v>0.496</v>
      </c>
      <c r="AF2539" s="508">
        <v>0.42299999999999999</v>
      </c>
      <c r="AG2539" s="508">
        <v>0.42199999999999999</v>
      </c>
      <c r="AH2539" s="508">
        <v>0.42199999999999999</v>
      </c>
      <c r="AI2539" s="492">
        <v>0.42199999999999999</v>
      </c>
      <c r="AJ2539" s="485"/>
    </row>
    <row r="2540" spans="2:36">
      <c r="B2540" s="136" t="s">
        <v>454</v>
      </c>
      <c r="C2540" s="132" t="s">
        <v>1375</v>
      </c>
      <c r="D2540" s="132" t="s">
        <v>282</v>
      </c>
      <c r="E2540" s="508">
        <v>10.287000000000001</v>
      </c>
      <c r="F2540" s="508">
        <v>8.5920000000000005</v>
      </c>
      <c r="G2540" s="508">
        <v>7.4290000000000003</v>
      </c>
      <c r="H2540" s="508">
        <v>6.7770000000000001</v>
      </c>
      <c r="I2540" s="508">
        <v>6.2839999999999998</v>
      </c>
      <c r="J2540" s="508">
        <v>5.9249999999999998</v>
      </c>
      <c r="K2540" s="508">
        <v>5.883</v>
      </c>
      <c r="L2540" s="508">
        <v>5.49</v>
      </c>
      <c r="M2540" s="508">
        <v>5.335</v>
      </c>
      <c r="N2540" s="508">
        <v>5.0359999999999996</v>
      </c>
      <c r="O2540" s="508">
        <v>4.9909999999999997</v>
      </c>
      <c r="P2540" s="508">
        <v>4.9080000000000004</v>
      </c>
      <c r="Q2540" s="508">
        <v>4.7039999999999997</v>
      </c>
      <c r="R2540" s="508">
        <v>4.9400000000000004</v>
      </c>
      <c r="S2540" s="508">
        <v>4.6130000000000004</v>
      </c>
      <c r="T2540" s="508">
        <v>4.5019999999999998</v>
      </c>
      <c r="U2540" s="508">
        <v>4.4660000000000002</v>
      </c>
      <c r="V2540" s="508">
        <v>4.2110000000000003</v>
      </c>
      <c r="W2540" s="508">
        <v>3.2109999999999999</v>
      </c>
      <c r="X2540" s="508">
        <v>3.2170000000000001</v>
      </c>
      <c r="Y2540" s="508">
        <v>3.194</v>
      </c>
      <c r="Z2540" s="508">
        <v>3.1480000000000001</v>
      </c>
      <c r="AA2540" s="508">
        <v>0.874</v>
      </c>
      <c r="AB2540" s="508">
        <v>0.755</v>
      </c>
      <c r="AC2540" s="508">
        <v>0.81399999999999995</v>
      </c>
      <c r="AD2540" s="508">
        <v>0.54</v>
      </c>
      <c r="AE2540" s="508">
        <v>0.50700000000000001</v>
      </c>
      <c r="AF2540" s="508">
        <v>0.433</v>
      </c>
      <c r="AG2540" s="508">
        <v>0.432</v>
      </c>
      <c r="AH2540" s="508">
        <v>0.432</v>
      </c>
      <c r="AI2540" s="492">
        <v>0.432</v>
      </c>
      <c r="AJ2540" s="485"/>
    </row>
    <row r="2541" spans="2:36">
      <c r="B2541" s="136" t="s">
        <v>455</v>
      </c>
      <c r="C2541" s="132" t="s">
        <v>1375</v>
      </c>
      <c r="D2541" s="132" t="s">
        <v>282</v>
      </c>
      <c r="E2541" s="508">
        <v>9.7789999999999999</v>
      </c>
      <c r="F2541" s="508">
        <v>8.1869999999999994</v>
      </c>
      <c r="G2541" s="508">
        <v>7.0919999999999996</v>
      </c>
      <c r="H2541" s="508">
        <v>6.48</v>
      </c>
      <c r="I2541" s="508">
        <v>6.0179999999999998</v>
      </c>
      <c r="J2541" s="508">
        <v>5.6769999999999996</v>
      </c>
      <c r="K2541" s="508">
        <v>5.6379999999999999</v>
      </c>
      <c r="L2541" s="508">
        <v>5.2679999999999998</v>
      </c>
      <c r="M2541" s="508">
        <v>5.125</v>
      </c>
      <c r="N2541" s="508">
        <v>4.84</v>
      </c>
      <c r="O2541" s="508">
        <v>4.7960000000000003</v>
      </c>
      <c r="P2541" s="508">
        <v>4.72</v>
      </c>
      <c r="Q2541" s="508">
        <v>4.5250000000000004</v>
      </c>
      <c r="R2541" s="508">
        <v>4.7510000000000003</v>
      </c>
      <c r="S2541" s="508">
        <v>4.4390000000000001</v>
      </c>
      <c r="T2541" s="508">
        <v>4.335</v>
      </c>
      <c r="U2541" s="508">
        <v>4.3010000000000002</v>
      </c>
      <c r="V2541" s="508">
        <v>4.0549999999999997</v>
      </c>
      <c r="W2541" s="508">
        <v>3.101</v>
      </c>
      <c r="X2541" s="508">
        <v>3.1080000000000001</v>
      </c>
      <c r="Y2541" s="508">
        <v>3.085</v>
      </c>
      <c r="Z2541" s="508">
        <v>3.0419999999999998</v>
      </c>
      <c r="AA2541" s="508">
        <v>0.83799999999999997</v>
      </c>
      <c r="AB2541" s="508">
        <v>0.72599999999999998</v>
      </c>
      <c r="AC2541" s="508">
        <v>0.78100000000000003</v>
      </c>
      <c r="AD2541" s="508">
        <v>0.51700000000000002</v>
      </c>
      <c r="AE2541" s="508">
        <v>0.48599999999999999</v>
      </c>
      <c r="AF2541" s="508">
        <v>0.41499999999999998</v>
      </c>
      <c r="AG2541" s="508">
        <v>0.41399999999999998</v>
      </c>
      <c r="AH2541" s="508">
        <v>0.41299999999999998</v>
      </c>
      <c r="AI2541" s="492">
        <v>0.41299999999999998</v>
      </c>
      <c r="AJ2541" s="485"/>
    </row>
    <row r="2542" spans="2:36">
      <c r="B2542" s="136" t="s">
        <v>456</v>
      </c>
      <c r="C2542" s="132" t="s">
        <v>1375</v>
      </c>
      <c r="D2542" s="132" t="s">
        <v>282</v>
      </c>
      <c r="E2542" s="508">
        <v>10.473000000000001</v>
      </c>
      <c r="F2542" s="508">
        <v>8.7479999999999993</v>
      </c>
      <c r="G2542" s="508">
        <v>7.5640000000000001</v>
      </c>
      <c r="H2542" s="508">
        <v>6.899</v>
      </c>
      <c r="I2542" s="508">
        <v>6.3979999999999997</v>
      </c>
      <c r="J2542" s="508">
        <v>6.0330000000000004</v>
      </c>
      <c r="K2542" s="508">
        <v>5.99</v>
      </c>
      <c r="L2542" s="508">
        <v>5.59</v>
      </c>
      <c r="M2542" s="508">
        <v>5.4320000000000004</v>
      </c>
      <c r="N2542" s="508">
        <v>5.1280000000000001</v>
      </c>
      <c r="O2542" s="508">
        <v>5.0830000000000002</v>
      </c>
      <c r="P2542" s="508">
        <v>4.9980000000000002</v>
      </c>
      <c r="Q2542" s="508">
        <v>4.7910000000000004</v>
      </c>
      <c r="R2542" s="508">
        <v>5.0309999999999997</v>
      </c>
      <c r="S2542" s="508">
        <v>4.6980000000000004</v>
      </c>
      <c r="T2542" s="508">
        <v>4.5860000000000003</v>
      </c>
      <c r="U2542" s="508">
        <v>4.5490000000000004</v>
      </c>
      <c r="V2542" s="508">
        <v>4.2910000000000004</v>
      </c>
      <c r="W2542" s="508">
        <v>3.2589999999999999</v>
      </c>
      <c r="X2542" s="508">
        <v>3.2650000000000001</v>
      </c>
      <c r="Y2542" s="508">
        <v>3.242</v>
      </c>
      <c r="Z2542" s="508">
        <v>3.194</v>
      </c>
      <c r="AA2542" s="508">
        <v>0.88800000000000001</v>
      </c>
      <c r="AB2542" s="508">
        <v>0.76600000000000001</v>
      </c>
      <c r="AC2542" s="508">
        <v>0.82699999999999996</v>
      </c>
      <c r="AD2542" s="508">
        <v>0.54900000000000004</v>
      </c>
      <c r="AE2542" s="508">
        <v>0.51500000000000001</v>
      </c>
      <c r="AF2542" s="508">
        <v>0.44</v>
      </c>
      <c r="AG2542" s="508">
        <v>0.439</v>
      </c>
      <c r="AH2542" s="508">
        <v>0.439</v>
      </c>
      <c r="AI2542" s="492">
        <v>0.439</v>
      </c>
      <c r="AJ2542" s="485"/>
    </row>
    <row r="2543" spans="2:36">
      <c r="B2543" s="136" t="s">
        <v>457</v>
      </c>
      <c r="C2543" s="132" t="s">
        <v>1375</v>
      </c>
      <c r="D2543" s="132" t="s">
        <v>282</v>
      </c>
      <c r="E2543" s="508">
        <v>9.5589999999999993</v>
      </c>
      <c r="F2543" s="508">
        <v>8.01</v>
      </c>
      <c r="G2543" s="508">
        <v>6.9459999999999997</v>
      </c>
      <c r="H2543" s="508">
        <v>6.351</v>
      </c>
      <c r="I2543" s="508">
        <v>5.9020000000000001</v>
      </c>
      <c r="J2543" s="508">
        <v>5.57</v>
      </c>
      <c r="K2543" s="508">
        <v>5.532</v>
      </c>
      <c r="L2543" s="508">
        <v>5.173</v>
      </c>
      <c r="M2543" s="508">
        <v>5.0330000000000004</v>
      </c>
      <c r="N2543" s="508">
        <v>4.7569999999999997</v>
      </c>
      <c r="O2543" s="508">
        <v>4.7130000000000001</v>
      </c>
      <c r="P2543" s="508">
        <v>4.6399999999999997</v>
      </c>
      <c r="Q2543" s="508">
        <v>4.45</v>
      </c>
      <c r="R2543" s="508">
        <v>4.67</v>
      </c>
      <c r="S2543" s="508">
        <v>4.367</v>
      </c>
      <c r="T2543" s="508">
        <v>4.2649999999999997</v>
      </c>
      <c r="U2543" s="508">
        <v>4.2329999999999997</v>
      </c>
      <c r="V2543" s="508">
        <v>3.9940000000000002</v>
      </c>
      <c r="W2543" s="508">
        <v>3.0750000000000002</v>
      </c>
      <c r="X2543" s="508">
        <v>3.081</v>
      </c>
      <c r="Y2543" s="508">
        <v>3.0590000000000002</v>
      </c>
      <c r="Z2543" s="508">
        <v>3.0169999999999999</v>
      </c>
      <c r="AA2543" s="508">
        <v>0.82599999999999996</v>
      </c>
      <c r="AB2543" s="508">
        <v>0.71899999999999997</v>
      </c>
      <c r="AC2543" s="508">
        <v>0.77200000000000002</v>
      </c>
      <c r="AD2543" s="508">
        <v>0.51</v>
      </c>
      <c r="AE2543" s="508">
        <v>0.47899999999999998</v>
      </c>
      <c r="AF2543" s="508">
        <v>0.40899999999999997</v>
      </c>
      <c r="AG2543" s="508">
        <v>0.40799999999999997</v>
      </c>
      <c r="AH2543" s="508">
        <v>0.40699999999999997</v>
      </c>
      <c r="AI2543" s="492">
        <v>0.40699999999999997</v>
      </c>
      <c r="AJ2543" s="485"/>
    </row>
    <row r="2544" spans="2:36">
      <c r="B2544" s="136" t="s">
        <v>458</v>
      </c>
      <c r="C2544" s="132" t="s">
        <v>1375</v>
      </c>
      <c r="D2544" s="132" t="s">
        <v>282</v>
      </c>
      <c r="E2544" s="508">
        <v>10.872</v>
      </c>
      <c r="F2544" s="508">
        <v>9.0500000000000007</v>
      </c>
      <c r="G2544" s="508">
        <v>7.8010000000000002</v>
      </c>
      <c r="H2544" s="508">
        <v>7.0990000000000002</v>
      </c>
      <c r="I2544" s="508">
        <v>6.569</v>
      </c>
      <c r="J2544" s="508">
        <v>6.1849999999999996</v>
      </c>
      <c r="K2544" s="508">
        <v>6.14</v>
      </c>
      <c r="L2544" s="508">
        <v>5.7169999999999996</v>
      </c>
      <c r="M2544" s="508">
        <v>5.55</v>
      </c>
      <c r="N2544" s="508">
        <v>5.23</v>
      </c>
      <c r="O2544" s="508">
        <v>5.1820000000000004</v>
      </c>
      <c r="P2544" s="508">
        <v>5.0919999999999996</v>
      </c>
      <c r="Q2544" s="508">
        <v>4.8739999999999997</v>
      </c>
      <c r="R2544" s="508">
        <v>5.1269999999999998</v>
      </c>
      <c r="S2544" s="508">
        <v>4.7770000000000001</v>
      </c>
      <c r="T2544" s="508">
        <v>4.6580000000000004</v>
      </c>
      <c r="U2544" s="508">
        <v>4.6180000000000003</v>
      </c>
      <c r="V2544" s="508">
        <v>4.3479999999999999</v>
      </c>
      <c r="W2544" s="508">
        <v>3.29</v>
      </c>
      <c r="X2544" s="508">
        <v>3.2959999999999998</v>
      </c>
      <c r="Y2544" s="508">
        <v>3.2719999999999998</v>
      </c>
      <c r="Z2544" s="508">
        <v>3.222</v>
      </c>
      <c r="AA2544" s="508">
        <v>0.90700000000000003</v>
      </c>
      <c r="AB2544" s="508">
        <v>0.77800000000000002</v>
      </c>
      <c r="AC2544" s="508">
        <v>0.84299999999999997</v>
      </c>
      <c r="AD2544" s="508">
        <v>0.56200000000000006</v>
      </c>
      <c r="AE2544" s="508">
        <v>0.52700000000000002</v>
      </c>
      <c r="AF2544" s="508">
        <v>0.45100000000000001</v>
      </c>
      <c r="AG2544" s="508">
        <v>0.45</v>
      </c>
      <c r="AH2544" s="508">
        <v>0.44900000000000001</v>
      </c>
      <c r="AI2544" s="492">
        <v>0.44900000000000001</v>
      </c>
      <c r="AJ2544" s="485"/>
    </row>
    <row r="2545" spans="2:36">
      <c r="B2545" s="136" t="s">
        <v>459</v>
      </c>
      <c r="C2545" s="132" t="s">
        <v>1375</v>
      </c>
      <c r="D2545" s="132" t="s">
        <v>282</v>
      </c>
      <c r="E2545" s="508">
        <v>10.849</v>
      </c>
      <c r="F2545" s="508">
        <v>9.0329999999999995</v>
      </c>
      <c r="G2545" s="508">
        <v>7.7869999999999999</v>
      </c>
      <c r="H2545" s="508">
        <v>7.0869999999999997</v>
      </c>
      <c r="I2545" s="508">
        <v>6.5590000000000002</v>
      </c>
      <c r="J2545" s="508">
        <v>6.1760000000000002</v>
      </c>
      <c r="K2545" s="508">
        <v>6.1310000000000002</v>
      </c>
      <c r="L2545" s="508">
        <v>5.71</v>
      </c>
      <c r="M2545" s="508">
        <v>5.5430000000000001</v>
      </c>
      <c r="N2545" s="508">
        <v>5.2229999999999999</v>
      </c>
      <c r="O2545" s="508">
        <v>5.1760000000000002</v>
      </c>
      <c r="P2545" s="508">
        <v>5.0860000000000003</v>
      </c>
      <c r="Q2545" s="508">
        <v>4.8689999999999998</v>
      </c>
      <c r="R2545" s="508">
        <v>5.1210000000000004</v>
      </c>
      <c r="S2545" s="508">
        <v>4.7720000000000002</v>
      </c>
      <c r="T2545" s="508">
        <v>4.6529999999999996</v>
      </c>
      <c r="U2545" s="508">
        <v>4.6139999999999999</v>
      </c>
      <c r="V2545" s="508">
        <v>4.3440000000000003</v>
      </c>
      <c r="W2545" s="508">
        <v>3.2869999999999999</v>
      </c>
      <c r="X2545" s="508">
        <v>3.2930000000000001</v>
      </c>
      <c r="Y2545" s="508">
        <v>3.27</v>
      </c>
      <c r="Z2545" s="508">
        <v>3.2189999999999999</v>
      </c>
      <c r="AA2545" s="508">
        <v>0.90500000000000003</v>
      </c>
      <c r="AB2545" s="508">
        <v>0.77700000000000002</v>
      </c>
      <c r="AC2545" s="508">
        <v>0.84199999999999997</v>
      </c>
      <c r="AD2545" s="508">
        <v>0.56100000000000005</v>
      </c>
      <c r="AE2545" s="508">
        <v>0.52600000000000002</v>
      </c>
      <c r="AF2545" s="508">
        <v>0.45</v>
      </c>
      <c r="AG2545" s="508">
        <v>0.44900000000000001</v>
      </c>
      <c r="AH2545" s="508">
        <v>0.44900000000000001</v>
      </c>
      <c r="AI2545" s="492">
        <v>0.44900000000000001</v>
      </c>
      <c r="AJ2545" s="485"/>
    </row>
    <row r="2546" spans="2:36">
      <c r="B2546" s="136" t="s">
        <v>460</v>
      </c>
      <c r="C2546" s="132" t="s">
        <v>1375</v>
      </c>
      <c r="D2546" s="132" t="s">
        <v>282</v>
      </c>
      <c r="E2546" s="508">
        <v>10.723000000000001</v>
      </c>
      <c r="F2546" s="508">
        <v>8.9489999999999998</v>
      </c>
      <c r="G2546" s="508">
        <v>7.7320000000000002</v>
      </c>
      <c r="H2546" s="508">
        <v>7.0490000000000004</v>
      </c>
      <c r="I2546" s="508">
        <v>6.5330000000000004</v>
      </c>
      <c r="J2546" s="508">
        <v>6.1589999999999998</v>
      </c>
      <c r="K2546" s="508">
        <v>6.1139999999999999</v>
      </c>
      <c r="L2546" s="508">
        <v>5.7030000000000003</v>
      </c>
      <c r="M2546" s="508">
        <v>5.54</v>
      </c>
      <c r="N2546" s="508">
        <v>5.2279999999999998</v>
      </c>
      <c r="O2546" s="508">
        <v>5.1820000000000004</v>
      </c>
      <c r="P2546" s="508">
        <v>5.0940000000000003</v>
      </c>
      <c r="Q2546" s="508">
        <v>4.8819999999999997</v>
      </c>
      <c r="R2546" s="508">
        <v>5.1280000000000001</v>
      </c>
      <c r="S2546" s="508">
        <v>4.7869999999999999</v>
      </c>
      <c r="T2546" s="508">
        <v>4.6710000000000003</v>
      </c>
      <c r="U2546" s="508">
        <v>4.633</v>
      </c>
      <c r="V2546" s="508">
        <v>4.3689999999999998</v>
      </c>
      <c r="W2546" s="508">
        <v>3.306</v>
      </c>
      <c r="X2546" s="508">
        <v>3.3130000000000002</v>
      </c>
      <c r="Y2546" s="508">
        <v>3.2890000000000001</v>
      </c>
      <c r="Z2546" s="508">
        <v>3.24</v>
      </c>
      <c r="AA2546" s="508">
        <v>0.90400000000000003</v>
      </c>
      <c r="AB2546" s="508">
        <v>0.77900000000000003</v>
      </c>
      <c r="AC2546" s="508">
        <v>0.84099999999999997</v>
      </c>
      <c r="AD2546" s="508">
        <v>0.55900000000000005</v>
      </c>
      <c r="AE2546" s="508">
        <v>0.52500000000000002</v>
      </c>
      <c r="AF2546" s="508">
        <v>0.44900000000000001</v>
      </c>
      <c r="AG2546" s="508">
        <v>0.44700000000000001</v>
      </c>
      <c r="AH2546" s="508">
        <v>0.44700000000000001</v>
      </c>
      <c r="AI2546" s="492">
        <v>0.44700000000000001</v>
      </c>
      <c r="AJ2546" s="485"/>
    </row>
    <row r="2547" spans="2:36">
      <c r="B2547" s="136" t="s">
        <v>461</v>
      </c>
      <c r="C2547" s="132" t="s">
        <v>1375</v>
      </c>
      <c r="D2547" s="132" t="s">
        <v>282</v>
      </c>
      <c r="E2547" s="508">
        <v>10.554</v>
      </c>
      <c r="F2547" s="508">
        <v>8.8049999999999997</v>
      </c>
      <c r="G2547" s="508">
        <v>7.6059999999999999</v>
      </c>
      <c r="H2547" s="508">
        <v>6.9320000000000004</v>
      </c>
      <c r="I2547" s="508">
        <v>6.4240000000000004</v>
      </c>
      <c r="J2547" s="508">
        <v>6.0549999999999997</v>
      </c>
      <c r="K2547" s="508">
        <v>6.0110000000000001</v>
      </c>
      <c r="L2547" s="508">
        <v>5.6059999999999999</v>
      </c>
      <c r="M2547" s="508">
        <v>5.4450000000000003</v>
      </c>
      <c r="N2547" s="508">
        <v>5.1379999999999999</v>
      </c>
      <c r="O2547" s="508">
        <v>5.0919999999999996</v>
      </c>
      <c r="P2547" s="508">
        <v>5.0060000000000002</v>
      </c>
      <c r="Q2547" s="508">
        <v>4.7960000000000003</v>
      </c>
      <c r="R2547" s="508">
        <v>5.0389999999999997</v>
      </c>
      <c r="S2547" s="508">
        <v>4.7030000000000003</v>
      </c>
      <c r="T2547" s="508">
        <v>4.5890000000000004</v>
      </c>
      <c r="U2547" s="508">
        <v>4.5510000000000002</v>
      </c>
      <c r="V2547" s="508">
        <v>4.2919999999999998</v>
      </c>
      <c r="W2547" s="508">
        <v>3.2650000000000001</v>
      </c>
      <c r="X2547" s="508">
        <v>3.2719999999999998</v>
      </c>
      <c r="Y2547" s="508">
        <v>3.2480000000000002</v>
      </c>
      <c r="Z2547" s="508">
        <v>3.2</v>
      </c>
      <c r="AA2547" s="508">
        <v>0.89200000000000002</v>
      </c>
      <c r="AB2547" s="508">
        <v>0.76900000000000002</v>
      </c>
      <c r="AC2547" s="508">
        <v>0.83</v>
      </c>
      <c r="AD2547" s="508">
        <v>0.55200000000000005</v>
      </c>
      <c r="AE2547" s="508">
        <v>0.51800000000000002</v>
      </c>
      <c r="AF2547" s="508">
        <v>0.443</v>
      </c>
      <c r="AG2547" s="508">
        <v>0.442</v>
      </c>
      <c r="AH2547" s="508">
        <v>0.441</v>
      </c>
      <c r="AI2547" s="492">
        <v>0.441</v>
      </c>
      <c r="AJ2547" s="485"/>
    </row>
    <row r="2548" spans="2:36">
      <c r="B2548" s="136" t="s">
        <v>462</v>
      </c>
      <c r="C2548" s="132" t="s">
        <v>1375</v>
      </c>
      <c r="D2548" s="132" t="s">
        <v>282</v>
      </c>
      <c r="E2548" s="508">
        <v>10.222</v>
      </c>
      <c r="F2548" s="508">
        <v>8.5459999999999994</v>
      </c>
      <c r="G2548" s="508">
        <v>7.3970000000000002</v>
      </c>
      <c r="H2548" s="508">
        <v>6.7510000000000003</v>
      </c>
      <c r="I2548" s="508">
        <v>6.2640000000000002</v>
      </c>
      <c r="J2548" s="508">
        <v>5.91</v>
      </c>
      <c r="K2548" s="508">
        <v>5.8689999999999998</v>
      </c>
      <c r="L2548" s="508">
        <v>5.48</v>
      </c>
      <c r="M2548" s="508">
        <v>5.327</v>
      </c>
      <c r="N2548" s="508">
        <v>5.0309999999999997</v>
      </c>
      <c r="O2548" s="508">
        <v>4.9880000000000004</v>
      </c>
      <c r="P2548" s="508">
        <v>4.9050000000000002</v>
      </c>
      <c r="Q2548" s="508">
        <v>4.7039999999999997</v>
      </c>
      <c r="R2548" s="508">
        <v>4.9370000000000003</v>
      </c>
      <c r="S2548" s="508">
        <v>4.6139999999999999</v>
      </c>
      <c r="T2548" s="508">
        <v>4.5049999999999999</v>
      </c>
      <c r="U2548" s="508">
        <v>4.4690000000000003</v>
      </c>
      <c r="V2548" s="508">
        <v>4.2190000000000003</v>
      </c>
      <c r="W2548" s="508">
        <v>3.2250000000000001</v>
      </c>
      <c r="X2548" s="508">
        <v>3.2320000000000002</v>
      </c>
      <c r="Y2548" s="508">
        <v>3.2080000000000002</v>
      </c>
      <c r="Z2548" s="508">
        <v>3.1619999999999999</v>
      </c>
      <c r="AA2548" s="508">
        <v>0.874</v>
      </c>
      <c r="AB2548" s="508">
        <v>0.75700000000000001</v>
      </c>
      <c r="AC2548" s="508">
        <v>0.81499999999999995</v>
      </c>
      <c r="AD2548" s="508">
        <v>0.54</v>
      </c>
      <c r="AE2548" s="508">
        <v>0.50700000000000001</v>
      </c>
      <c r="AF2548" s="508">
        <v>0.433</v>
      </c>
      <c r="AG2548" s="508">
        <v>0.432</v>
      </c>
      <c r="AH2548" s="508">
        <v>0.432</v>
      </c>
      <c r="AI2548" s="492">
        <v>0.432</v>
      </c>
      <c r="AJ2548" s="485"/>
    </row>
    <row r="2549" spans="2:36">
      <c r="B2549" s="136" t="s">
        <v>463</v>
      </c>
      <c r="C2549" s="132" t="s">
        <v>1375</v>
      </c>
      <c r="D2549" s="132" t="s">
        <v>282</v>
      </c>
      <c r="E2549" s="508">
        <v>9.9380000000000006</v>
      </c>
      <c r="F2549" s="508">
        <v>8.2970000000000006</v>
      </c>
      <c r="G2549" s="508">
        <v>7.1689999999999996</v>
      </c>
      <c r="H2549" s="508">
        <v>6.5369999999999999</v>
      </c>
      <c r="I2549" s="508">
        <v>6.0609999999999999</v>
      </c>
      <c r="J2549" s="508">
        <v>5.71</v>
      </c>
      <c r="K2549" s="508">
        <v>5.67</v>
      </c>
      <c r="L2549" s="508">
        <v>5.2889999999999997</v>
      </c>
      <c r="M2549" s="508">
        <v>5.14</v>
      </c>
      <c r="N2549" s="508">
        <v>4.8479999999999999</v>
      </c>
      <c r="O2549" s="508">
        <v>4.8019999999999996</v>
      </c>
      <c r="P2549" s="508">
        <v>4.7240000000000002</v>
      </c>
      <c r="Q2549" s="508">
        <v>4.5229999999999997</v>
      </c>
      <c r="R2549" s="508">
        <v>4.7560000000000002</v>
      </c>
      <c r="S2549" s="508">
        <v>4.4349999999999996</v>
      </c>
      <c r="T2549" s="508">
        <v>4.327</v>
      </c>
      <c r="U2549" s="508">
        <v>4.2930000000000001</v>
      </c>
      <c r="V2549" s="508">
        <v>4.04</v>
      </c>
      <c r="W2549" s="508">
        <v>3.0939999999999999</v>
      </c>
      <c r="X2549" s="508">
        <v>3.101</v>
      </c>
      <c r="Y2549" s="508">
        <v>3.0790000000000002</v>
      </c>
      <c r="Z2549" s="508">
        <v>3.0329999999999999</v>
      </c>
      <c r="AA2549" s="508">
        <v>0.84299999999999997</v>
      </c>
      <c r="AB2549" s="508">
        <v>0.72799999999999998</v>
      </c>
      <c r="AC2549" s="508">
        <v>0.78500000000000003</v>
      </c>
      <c r="AD2549" s="508">
        <v>0.52100000000000002</v>
      </c>
      <c r="AE2549" s="508">
        <v>0.48899999999999999</v>
      </c>
      <c r="AF2549" s="508">
        <v>0.41799999999999998</v>
      </c>
      <c r="AG2549" s="508">
        <v>0.41699999999999998</v>
      </c>
      <c r="AH2549" s="508">
        <v>0.41699999999999998</v>
      </c>
      <c r="AI2549" s="492">
        <v>0.41699999999999998</v>
      </c>
      <c r="AJ2549" s="485"/>
    </row>
    <row r="2550" spans="2:36">
      <c r="B2550" s="136" t="s">
        <v>464</v>
      </c>
      <c r="C2550" s="132" t="s">
        <v>1375</v>
      </c>
      <c r="D2550" s="132" t="s">
        <v>282</v>
      </c>
      <c r="E2550" s="508">
        <v>9.4550000000000001</v>
      </c>
      <c r="F2550" s="508">
        <v>7.931</v>
      </c>
      <c r="G2550" s="508">
        <v>6.8840000000000003</v>
      </c>
      <c r="H2550" s="508">
        <v>6.298</v>
      </c>
      <c r="I2550" s="508">
        <v>5.8559999999999999</v>
      </c>
      <c r="J2550" s="508">
        <v>5.5289999999999999</v>
      </c>
      <c r="K2550" s="508">
        <v>5.4909999999999997</v>
      </c>
      <c r="L2550" s="508">
        <v>5.1379999999999999</v>
      </c>
      <c r="M2550" s="508">
        <v>5.0010000000000003</v>
      </c>
      <c r="N2550" s="508">
        <v>4.7279999999999998</v>
      </c>
      <c r="O2550" s="508">
        <v>4.6849999999999996</v>
      </c>
      <c r="P2550" s="508">
        <v>4.6130000000000004</v>
      </c>
      <c r="Q2550" s="508">
        <v>4.4260000000000002</v>
      </c>
      <c r="R2550" s="508">
        <v>4.6429999999999998</v>
      </c>
      <c r="S2550" s="508">
        <v>4.343</v>
      </c>
      <c r="T2550" s="508">
        <v>4.2430000000000003</v>
      </c>
      <c r="U2550" s="508">
        <v>4.2119999999999997</v>
      </c>
      <c r="V2550" s="508">
        <v>3.9740000000000002</v>
      </c>
      <c r="W2550" s="508">
        <v>3.0569999999999999</v>
      </c>
      <c r="X2550" s="508">
        <v>3.0640000000000001</v>
      </c>
      <c r="Y2550" s="508">
        <v>3.0419999999999998</v>
      </c>
      <c r="Z2550" s="508">
        <v>3</v>
      </c>
      <c r="AA2550" s="508">
        <v>0.82</v>
      </c>
      <c r="AB2550" s="508">
        <v>0.71399999999999997</v>
      </c>
      <c r="AC2550" s="508">
        <v>0.76600000000000001</v>
      </c>
      <c r="AD2550" s="508">
        <v>0.505</v>
      </c>
      <c r="AE2550" s="508">
        <v>0.47499999999999998</v>
      </c>
      <c r="AF2550" s="508">
        <v>0.40500000000000003</v>
      </c>
      <c r="AG2550" s="508">
        <v>0.40400000000000003</v>
      </c>
      <c r="AH2550" s="508">
        <v>0.40400000000000003</v>
      </c>
      <c r="AI2550" s="492">
        <v>0.40400000000000003</v>
      </c>
      <c r="AJ2550" s="485"/>
    </row>
    <row r="2551" spans="2:36">
      <c r="B2551" s="136" t="s">
        <v>465</v>
      </c>
      <c r="C2551" s="132" t="s">
        <v>1375</v>
      </c>
      <c r="D2551" s="132" t="s">
        <v>282</v>
      </c>
      <c r="E2551" s="508">
        <v>9.7929999999999993</v>
      </c>
      <c r="F2551" s="508">
        <v>8.2010000000000005</v>
      </c>
      <c r="G2551" s="508">
        <v>7.1070000000000002</v>
      </c>
      <c r="H2551" s="508">
        <v>6.4939999999999998</v>
      </c>
      <c r="I2551" s="508">
        <v>6.032</v>
      </c>
      <c r="J2551" s="508">
        <v>5.6909999999999998</v>
      </c>
      <c r="K2551" s="508">
        <v>5.6520000000000001</v>
      </c>
      <c r="L2551" s="508">
        <v>5.2830000000000004</v>
      </c>
      <c r="M2551" s="508">
        <v>5.1390000000000002</v>
      </c>
      <c r="N2551" s="508">
        <v>4.8550000000000004</v>
      </c>
      <c r="O2551" s="508">
        <v>4.8099999999999996</v>
      </c>
      <c r="P2551" s="508">
        <v>4.734</v>
      </c>
      <c r="Q2551" s="508">
        <v>4.54</v>
      </c>
      <c r="R2551" s="508">
        <v>4.766</v>
      </c>
      <c r="S2551" s="508">
        <v>4.4530000000000003</v>
      </c>
      <c r="T2551" s="508">
        <v>4.3490000000000002</v>
      </c>
      <c r="U2551" s="508">
        <v>4.3159999999999998</v>
      </c>
      <c r="V2551" s="508">
        <v>4.07</v>
      </c>
      <c r="W2551" s="508">
        <v>3.1120000000000001</v>
      </c>
      <c r="X2551" s="508">
        <v>3.1190000000000002</v>
      </c>
      <c r="Y2551" s="508">
        <v>3.0960000000000001</v>
      </c>
      <c r="Z2551" s="508">
        <v>3.0529999999999999</v>
      </c>
      <c r="AA2551" s="508">
        <v>0.84</v>
      </c>
      <c r="AB2551" s="508">
        <v>0.72899999999999998</v>
      </c>
      <c r="AC2551" s="508">
        <v>0.78400000000000003</v>
      </c>
      <c r="AD2551" s="508">
        <v>0.51800000000000002</v>
      </c>
      <c r="AE2551" s="508">
        <v>0.48699999999999999</v>
      </c>
      <c r="AF2551" s="508">
        <v>0.41599999999999998</v>
      </c>
      <c r="AG2551" s="508">
        <v>0.41499999999999998</v>
      </c>
      <c r="AH2551" s="508">
        <v>0.41399999999999998</v>
      </c>
      <c r="AI2551" s="492">
        <v>0.41399999999999998</v>
      </c>
      <c r="AJ2551" s="485"/>
    </row>
    <row r="2552" spans="2:36">
      <c r="B2552" s="136" t="s">
        <v>466</v>
      </c>
      <c r="C2552" s="132" t="s">
        <v>1375</v>
      </c>
      <c r="D2552" s="132" t="s">
        <v>282</v>
      </c>
      <c r="E2552" s="508">
        <v>11.292</v>
      </c>
      <c r="F2552" s="508">
        <v>9.4179999999999993</v>
      </c>
      <c r="G2552" s="508">
        <v>8.1340000000000003</v>
      </c>
      <c r="H2552" s="508">
        <v>7.4109999999999996</v>
      </c>
      <c r="I2552" s="508">
        <v>6.8650000000000002</v>
      </c>
      <c r="J2552" s="508">
        <v>6.4729999999999999</v>
      </c>
      <c r="K2552" s="508">
        <v>6.4260000000000002</v>
      </c>
      <c r="L2552" s="508">
        <v>5.992</v>
      </c>
      <c r="M2552" s="508">
        <v>5.8179999999999996</v>
      </c>
      <c r="N2552" s="508">
        <v>5.4909999999999997</v>
      </c>
      <c r="O2552" s="508">
        <v>5.444</v>
      </c>
      <c r="P2552" s="508">
        <v>5.35</v>
      </c>
      <c r="Q2552" s="508">
        <v>5.1269999999999998</v>
      </c>
      <c r="R2552" s="508">
        <v>5.3849999999999998</v>
      </c>
      <c r="S2552" s="508">
        <v>5.0279999999999996</v>
      </c>
      <c r="T2552" s="508">
        <v>4.9059999999999997</v>
      </c>
      <c r="U2552" s="508">
        <v>4.8650000000000002</v>
      </c>
      <c r="V2552" s="508">
        <v>4.5919999999999996</v>
      </c>
      <c r="W2552" s="508">
        <v>3.4470000000000001</v>
      </c>
      <c r="X2552" s="508">
        <v>3.4529999999999998</v>
      </c>
      <c r="Y2552" s="508">
        <v>3.4289999999999998</v>
      </c>
      <c r="Z2552" s="508">
        <v>3.3769999999999998</v>
      </c>
      <c r="AA2552" s="508">
        <v>0.94599999999999995</v>
      </c>
      <c r="AB2552" s="508">
        <v>0.81299999999999994</v>
      </c>
      <c r="AC2552" s="508">
        <v>0.88</v>
      </c>
      <c r="AD2552" s="508">
        <v>0.58599999999999997</v>
      </c>
      <c r="AE2552" s="508">
        <v>0.54900000000000004</v>
      </c>
      <c r="AF2552" s="508">
        <v>0.47</v>
      </c>
      <c r="AG2552" s="508">
        <v>0.46899999999999997</v>
      </c>
      <c r="AH2552" s="508">
        <v>0.46800000000000003</v>
      </c>
      <c r="AI2552" s="492">
        <v>0.46800000000000003</v>
      </c>
      <c r="AJ2552" s="485"/>
    </row>
    <row r="2553" spans="2:36">
      <c r="B2553" s="136" t="s">
        <v>467</v>
      </c>
      <c r="C2553" s="132" t="s">
        <v>1375</v>
      </c>
      <c r="D2553" s="132" t="s">
        <v>282</v>
      </c>
      <c r="E2553" s="508">
        <v>10.417</v>
      </c>
      <c r="F2553" s="508">
        <v>8.6969999999999992</v>
      </c>
      <c r="G2553" s="508">
        <v>7.5170000000000003</v>
      </c>
      <c r="H2553" s="508">
        <v>6.8540000000000001</v>
      </c>
      <c r="I2553" s="508">
        <v>6.3540000000000001</v>
      </c>
      <c r="J2553" s="508">
        <v>5.9909999999999997</v>
      </c>
      <c r="K2553" s="508">
        <v>5.9480000000000004</v>
      </c>
      <c r="L2553" s="508">
        <v>5.5490000000000004</v>
      </c>
      <c r="M2553" s="508">
        <v>5.391</v>
      </c>
      <c r="N2553" s="508">
        <v>5.0890000000000004</v>
      </c>
      <c r="O2553" s="508">
        <v>5.0439999999999996</v>
      </c>
      <c r="P2553" s="508">
        <v>4.9589999999999996</v>
      </c>
      <c r="Q2553" s="508">
        <v>4.7519999999999998</v>
      </c>
      <c r="R2553" s="508">
        <v>4.9909999999999997</v>
      </c>
      <c r="S2553" s="508">
        <v>4.66</v>
      </c>
      <c r="T2553" s="508">
        <v>4.548</v>
      </c>
      <c r="U2553" s="508">
        <v>4.5110000000000001</v>
      </c>
      <c r="V2553" s="508">
        <v>4.2549999999999999</v>
      </c>
      <c r="W2553" s="508">
        <v>3.242</v>
      </c>
      <c r="X2553" s="508">
        <v>3.2490000000000001</v>
      </c>
      <c r="Y2553" s="508">
        <v>3.226</v>
      </c>
      <c r="Z2553" s="508">
        <v>3.1779999999999999</v>
      </c>
      <c r="AA2553" s="508">
        <v>0.88400000000000001</v>
      </c>
      <c r="AB2553" s="508">
        <v>0.76200000000000001</v>
      </c>
      <c r="AC2553" s="508">
        <v>0.82299999999999995</v>
      </c>
      <c r="AD2553" s="508">
        <v>0.54700000000000004</v>
      </c>
      <c r="AE2553" s="508">
        <v>0.51300000000000001</v>
      </c>
      <c r="AF2553" s="508">
        <v>0.438</v>
      </c>
      <c r="AG2553" s="508">
        <v>0.437</v>
      </c>
      <c r="AH2553" s="508">
        <v>0.437</v>
      </c>
      <c r="AI2553" s="492">
        <v>0.437</v>
      </c>
      <c r="AJ2553" s="485"/>
    </row>
    <row r="2554" spans="2:36">
      <c r="B2554" s="136" t="s">
        <v>468</v>
      </c>
      <c r="C2554" s="132" t="s">
        <v>1375</v>
      </c>
      <c r="D2554" s="132" t="s">
        <v>282</v>
      </c>
      <c r="E2554" s="508">
        <v>9.2680000000000007</v>
      </c>
      <c r="F2554" s="508">
        <v>7.7839999999999998</v>
      </c>
      <c r="G2554" s="508">
        <v>6.7610000000000001</v>
      </c>
      <c r="H2554" s="508">
        <v>6.1909999999999998</v>
      </c>
      <c r="I2554" s="508">
        <v>5.7619999999999996</v>
      </c>
      <c r="J2554" s="508">
        <v>5.44</v>
      </c>
      <c r="K2554" s="508">
        <v>5.4029999999999996</v>
      </c>
      <c r="L2554" s="508">
        <v>5.0590000000000002</v>
      </c>
      <c r="M2554" s="508">
        <v>4.9269999999999996</v>
      </c>
      <c r="N2554" s="508">
        <v>4.6580000000000004</v>
      </c>
      <c r="O2554" s="508">
        <v>4.6139999999999999</v>
      </c>
      <c r="P2554" s="508">
        <v>4.5460000000000003</v>
      </c>
      <c r="Q2554" s="508">
        <v>4.3609999999999998</v>
      </c>
      <c r="R2554" s="508">
        <v>4.5759999999999996</v>
      </c>
      <c r="S2554" s="508">
        <v>4.28</v>
      </c>
      <c r="T2554" s="508">
        <v>4.1820000000000004</v>
      </c>
      <c r="U2554" s="508">
        <v>4.1520000000000001</v>
      </c>
      <c r="V2554" s="508">
        <v>3.915</v>
      </c>
      <c r="W2554" s="508">
        <v>3.0030000000000001</v>
      </c>
      <c r="X2554" s="508">
        <v>3.01</v>
      </c>
      <c r="Y2554" s="508">
        <v>2.988</v>
      </c>
      <c r="Z2554" s="508">
        <v>2.948</v>
      </c>
      <c r="AA2554" s="508">
        <v>0.80300000000000005</v>
      </c>
      <c r="AB2554" s="508">
        <v>0.7</v>
      </c>
      <c r="AC2554" s="508">
        <v>0.751</v>
      </c>
      <c r="AD2554" s="508">
        <v>0.495</v>
      </c>
      <c r="AE2554" s="508">
        <v>0.46600000000000003</v>
      </c>
      <c r="AF2554" s="508">
        <v>0.39700000000000002</v>
      </c>
      <c r="AG2554" s="508">
        <v>0.39600000000000002</v>
      </c>
      <c r="AH2554" s="508">
        <v>0.39500000000000002</v>
      </c>
      <c r="AI2554" s="492">
        <v>0.39500000000000002</v>
      </c>
      <c r="AJ2554" s="485"/>
    </row>
    <row r="2555" spans="2:36">
      <c r="B2555" s="136" t="s">
        <v>469</v>
      </c>
      <c r="C2555" s="132" t="s">
        <v>1375</v>
      </c>
      <c r="D2555" s="132" t="s">
        <v>282</v>
      </c>
      <c r="E2555" s="508">
        <v>9.9529999999999994</v>
      </c>
      <c r="F2555" s="508">
        <v>8.3330000000000002</v>
      </c>
      <c r="G2555" s="508">
        <v>7.2190000000000003</v>
      </c>
      <c r="H2555" s="508">
        <v>6.5960000000000001</v>
      </c>
      <c r="I2555" s="508">
        <v>6.125</v>
      </c>
      <c r="J2555" s="508">
        <v>5.78</v>
      </c>
      <c r="K2555" s="508">
        <v>5.74</v>
      </c>
      <c r="L2555" s="508">
        <v>5.3639999999999999</v>
      </c>
      <c r="M2555" s="508">
        <v>5.2169999999999996</v>
      </c>
      <c r="N2555" s="508">
        <v>4.9290000000000003</v>
      </c>
      <c r="O2555" s="508">
        <v>4.8840000000000003</v>
      </c>
      <c r="P2555" s="508">
        <v>4.806</v>
      </c>
      <c r="Q2555" s="508">
        <v>4.609</v>
      </c>
      <c r="R2555" s="508">
        <v>4.8380000000000001</v>
      </c>
      <c r="S2555" s="508">
        <v>4.5220000000000002</v>
      </c>
      <c r="T2555" s="508">
        <v>4.4160000000000004</v>
      </c>
      <c r="U2555" s="508">
        <v>4.3819999999999997</v>
      </c>
      <c r="V2555" s="508">
        <v>4.1340000000000003</v>
      </c>
      <c r="W2555" s="508">
        <v>3.157</v>
      </c>
      <c r="X2555" s="508">
        <v>3.1640000000000001</v>
      </c>
      <c r="Y2555" s="508">
        <v>3.141</v>
      </c>
      <c r="Z2555" s="508">
        <v>3.0960000000000001</v>
      </c>
      <c r="AA2555" s="508">
        <v>0.85299999999999998</v>
      </c>
      <c r="AB2555" s="508">
        <v>0.73899999999999999</v>
      </c>
      <c r="AC2555" s="508">
        <v>0.79600000000000004</v>
      </c>
      <c r="AD2555" s="508">
        <v>0.52700000000000002</v>
      </c>
      <c r="AE2555" s="508">
        <v>0.495</v>
      </c>
      <c r="AF2555" s="508">
        <v>0.42199999999999999</v>
      </c>
      <c r="AG2555" s="508">
        <v>0.42099999999999999</v>
      </c>
      <c r="AH2555" s="508">
        <v>0.42099999999999999</v>
      </c>
      <c r="AI2555" s="492">
        <v>0.42099999999999999</v>
      </c>
      <c r="AJ2555" s="485"/>
    </row>
    <row r="2556" spans="2:36">
      <c r="B2556" s="136" t="s">
        <v>470</v>
      </c>
      <c r="C2556" s="132" t="s">
        <v>1375</v>
      </c>
      <c r="D2556" s="132" t="s">
        <v>282</v>
      </c>
      <c r="E2556" s="508">
        <v>11.131</v>
      </c>
      <c r="F2556" s="508">
        <v>9.2690000000000001</v>
      </c>
      <c r="G2556" s="508">
        <v>7.9939999999999998</v>
      </c>
      <c r="H2556" s="508">
        <v>7.2759999999999998</v>
      </c>
      <c r="I2556" s="508">
        <v>6.734</v>
      </c>
      <c r="J2556" s="508">
        <v>6.3440000000000003</v>
      </c>
      <c r="K2556" s="508">
        <v>6.2969999999999997</v>
      </c>
      <c r="L2556" s="508">
        <v>5.8659999999999997</v>
      </c>
      <c r="M2556" s="508">
        <v>5.694</v>
      </c>
      <c r="N2556" s="508">
        <v>5.3680000000000003</v>
      </c>
      <c r="O2556" s="508">
        <v>5.3209999999999997</v>
      </c>
      <c r="P2556" s="508">
        <v>5.2279999999999998</v>
      </c>
      <c r="Q2556" s="508">
        <v>5.0069999999999997</v>
      </c>
      <c r="R2556" s="508">
        <v>5.2629999999999999</v>
      </c>
      <c r="S2556" s="508">
        <v>4.9080000000000004</v>
      </c>
      <c r="T2556" s="508">
        <v>4.7869999999999999</v>
      </c>
      <c r="U2556" s="508">
        <v>4.7460000000000004</v>
      </c>
      <c r="V2556" s="508">
        <v>4.4729999999999999</v>
      </c>
      <c r="W2556" s="508">
        <v>3.375</v>
      </c>
      <c r="X2556" s="508">
        <v>3.3820000000000001</v>
      </c>
      <c r="Y2556" s="508">
        <v>3.3570000000000002</v>
      </c>
      <c r="Z2556" s="508">
        <v>3.306</v>
      </c>
      <c r="AA2556" s="508">
        <v>0.93</v>
      </c>
      <c r="AB2556" s="508">
        <v>0.79800000000000004</v>
      </c>
      <c r="AC2556" s="508">
        <v>0.86399999999999999</v>
      </c>
      <c r="AD2556" s="508">
        <v>0.57599999999999996</v>
      </c>
      <c r="AE2556" s="508">
        <v>0.54</v>
      </c>
      <c r="AF2556" s="508">
        <v>0.46200000000000002</v>
      </c>
      <c r="AG2556" s="508">
        <v>0.46100000000000002</v>
      </c>
      <c r="AH2556" s="508">
        <v>0.46100000000000002</v>
      </c>
      <c r="AI2556" s="492">
        <v>0.46100000000000002</v>
      </c>
      <c r="AJ2556" s="485"/>
    </row>
    <row r="2557" spans="2:36">
      <c r="B2557" s="136" t="s">
        <v>471</v>
      </c>
      <c r="C2557" s="132" t="s">
        <v>1375</v>
      </c>
      <c r="D2557" s="132" t="s">
        <v>282</v>
      </c>
      <c r="E2557" s="508">
        <v>10.789</v>
      </c>
      <c r="F2557" s="508">
        <v>8.9979999999999993</v>
      </c>
      <c r="G2557" s="508">
        <v>7.7709999999999999</v>
      </c>
      <c r="H2557" s="508">
        <v>7.08</v>
      </c>
      <c r="I2557" s="508">
        <v>6.5590000000000002</v>
      </c>
      <c r="J2557" s="508">
        <v>6.1829999999999998</v>
      </c>
      <c r="K2557" s="508">
        <v>6.1379999999999999</v>
      </c>
      <c r="L2557" s="508">
        <v>5.7229999999999999</v>
      </c>
      <c r="M2557" s="508">
        <v>5.5579999999999998</v>
      </c>
      <c r="N2557" s="508">
        <v>5.2439999999999998</v>
      </c>
      <c r="O2557" s="508">
        <v>5.1980000000000004</v>
      </c>
      <c r="P2557" s="508">
        <v>5.109</v>
      </c>
      <c r="Q2557" s="508">
        <v>4.8949999999999996</v>
      </c>
      <c r="R2557" s="508">
        <v>5.1429999999999998</v>
      </c>
      <c r="S2557" s="508">
        <v>4.8</v>
      </c>
      <c r="T2557" s="508">
        <v>4.6840000000000002</v>
      </c>
      <c r="U2557" s="508">
        <v>4.6449999999999996</v>
      </c>
      <c r="V2557" s="508">
        <v>4.3810000000000002</v>
      </c>
      <c r="W2557" s="508">
        <v>3.323</v>
      </c>
      <c r="X2557" s="508">
        <v>3.33</v>
      </c>
      <c r="Y2557" s="508">
        <v>3.306</v>
      </c>
      <c r="Z2557" s="508">
        <v>3.2559999999999998</v>
      </c>
      <c r="AA2557" s="508">
        <v>0.91</v>
      </c>
      <c r="AB2557" s="508">
        <v>0.78300000000000003</v>
      </c>
      <c r="AC2557" s="508">
        <v>0.84599999999999997</v>
      </c>
      <c r="AD2557" s="508">
        <v>0.56299999999999994</v>
      </c>
      <c r="AE2557" s="508">
        <v>0.52800000000000002</v>
      </c>
      <c r="AF2557" s="508">
        <v>0.45200000000000001</v>
      </c>
      <c r="AG2557" s="508">
        <v>0.45</v>
      </c>
      <c r="AH2557" s="508">
        <v>0.45</v>
      </c>
      <c r="AI2557" s="492">
        <v>0.45</v>
      </c>
      <c r="AJ2557" s="485"/>
    </row>
    <row r="2558" spans="2:36">
      <c r="B2558" s="136" t="s">
        <v>472</v>
      </c>
      <c r="C2558" s="132" t="s">
        <v>1375</v>
      </c>
      <c r="D2558" s="132" t="s">
        <v>282</v>
      </c>
      <c r="E2558" s="508">
        <v>9.5589999999999993</v>
      </c>
      <c r="F2558" s="508">
        <v>8.0129999999999999</v>
      </c>
      <c r="G2558" s="508">
        <v>6.9489999999999998</v>
      </c>
      <c r="H2558" s="508">
        <v>6.3540000000000001</v>
      </c>
      <c r="I2558" s="508">
        <v>5.9059999999999997</v>
      </c>
      <c r="J2558" s="508">
        <v>5.5750000000000002</v>
      </c>
      <c r="K2558" s="508">
        <v>5.5359999999999996</v>
      </c>
      <c r="L2558" s="508">
        <v>5.1779999999999999</v>
      </c>
      <c r="M2558" s="508">
        <v>5.0380000000000003</v>
      </c>
      <c r="N2558" s="508">
        <v>4.7619999999999996</v>
      </c>
      <c r="O2558" s="508">
        <v>4.7190000000000003</v>
      </c>
      <c r="P2558" s="508">
        <v>4.6449999999999996</v>
      </c>
      <c r="Q2558" s="508">
        <v>4.4560000000000004</v>
      </c>
      <c r="R2558" s="508">
        <v>4.6749999999999998</v>
      </c>
      <c r="S2558" s="508">
        <v>4.3719999999999999</v>
      </c>
      <c r="T2558" s="508">
        <v>4.2709999999999999</v>
      </c>
      <c r="U2558" s="508">
        <v>4.2380000000000004</v>
      </c>
      <c r="V2558" s="508">
        <v>4</v>
      </c>
      <c r="W2558" s="508">
        <v>3.0779999999999998</v>
      </c>
      <c r="X2558" s="508">
        <v>3.085</v>
      </c>
      <c r="Y2558" s="508">
        <v>3.0619999999999998</v>
      </c>
      <c r="Z2558" s="508">
        <v>3.02</v>
      </c>
      <c r="AA2558" s="508">
        <v>0.82699999999999996</v>
      </c>
      <c r="AB2558" s="508">
        <v>0.71899999999999997</v>
      </c>
      <c r="AC2558" s="508">
        <v>0.77200000000000002</v>
      </c>
      <c r="AD2558" s="508">
        <v>0.51</v>
      </c>
      <c r="AE2558" s="508">
        <v>0.48</v>
      </c>
      <c r="AF2558" s="508">
        <v>0.40899999999999997</v>
      </c>
      <c r="AG2558" s="508">
        <v>0.40799999999999997</v>
      </c>
      <c r="AH2558" s="508">
        <v>0.40799999999999997</v>
      </c>
      <c r="AI2558" s="492">
        <v>0.40799999999999997</v>
      </c>
      <c r="AJ2558" s="485"/>
    </row>
    <row r="2559" spans="2:36">
      <c r="B2559" s="136" t="s">
        <v>473</v>
      </c>
      <c r="C2559" s="132" t="s">
        <v>1375</v>
      </c>
      <c r="D2559" s="132" t="s">
        <v>282</v>
      </c>
      <c r="E2559" s="508">
        <v>11.085000000000001</v>
      </c>
      <c r="F2559" s="508">
        <v>9.2430000000000003</v>
      </c>
      <c r="G2559" s="508">
        <v>7.9809999999999999</v>
      </c>
      <c r="H2559" s="508">
        <v>7.2709999999999999</v>
      </c>
      <c r="I2559" s="508">
        <v>6.7350000000000003</v>
      </c>
      <c r="J2559" s="508">
        <v>6.3490000000000002</v>
      </c>
      <c r="K2559" s="508">
        <v>6.3029999999999999</v>
      </c>
      <c r="L2559" s="508">
        <v>5.8760000000000003</v>
      </c>
      <c r="M2559" s="508">
        <v>5.7050000000000001</v>
      </c>
      <c r="N2559" s="508">
        <v>5.3840000000000003</v>
      </c>
      <c r="O2559" s="508">
        <v>5.3380000000000001</v>
      </c>
      <c r="P2559" s="508">
        <v>5.2450000000000001</v>
      </c>
      <c r="Q2559" s="508">
        <v>5.0259999999999998</v>
      </c>
      <c r="R2559" s="508">
        <v>5.2789999999999999</v>
      </c>
      <c r="S2559" s="508">
        <v>4.9279999999999999</v>
      </c>
      <c r="T2559" s="508">
        <v>4.8090000000000002</v>
      </c>
      <c r="U2559" s="508">
        <v>4.7679999999999998</v>
      </c>
      <c r="V2559" s="508">
        <v>4.4989999999999997</v>
      </c>
      <c r="W2559" s="508">
        <v>3.395</v>
      </c>
      <c r="X2559" s="508">
        <v>3.4009999999999998</v>
      </c>
      <c r="Y2559" s="508">
        <v>3.3769999999999998</v>
      </c>
      <c r="Z2559" s="508">
        <v>3.3260000000000001</v>
      </c>
      <c r="AA2559" s="508">
        <v>0.93100000000000005</v>
      </c>
      <c r="AB2559" s="508">
        <v>0.80100000000000005</v>
      </c>
      <c r="AC2559" s="508">
        <v>0.86599999999999999</v>
      </c>
      <c r="AD2559" s="508">
        <v>0.57699999999999996</v>
      </c>
      <c r="AE2559" s="508">
        <v>0.54100000000000004</v>
      </c>
      <c r="AF2559" s="508">
        <v>0.46200000000000002</v>
      </c>
      <c r="AG2559" s="508">
        <v>0.46100000000000002</v>
      </c>
      <c r="AH2559" s="508">
        <v>0.46100000000000002</v>
      </c>
      <c r="AI2559" s="492">
        <v>0.46100000000000002</v>
      </c>
      <c r="AJ2559" s="485"/>
    </row>
    <row r="2560" spans="2:36">
      <c r="B2560" s="136" t="s">
        <v>474</v>
      </c>
      <c r="C2560" s="132" t="s">
        <v>1375</v>
      </c>
      <c r="D2560" s="132" t="s">
        <v>282</v>
      </c>
      <c r="E2560" s="508">
        <v>10.473000000000001</v>
      </c>
      <c r="F2560" s="508">
        <v>8.7490000000000006</v>
      </c>
      <c r="G2560" s="508">
        <v>7.5659999999999998</v>
      </c>
      <c r="H2560" s="508">
        <v>6.9009999999999998</v>
      </c>
      <c r="I2560" s="508">
        <v>6.4</v>
      </c>
      <c r="J2560" s="508">
        <v>6.0359999999999996</v>
      </c>
      <c r="K2560" s="508">
        <v>5.9930000000000003</v>
      </c>
      <c r="L2560" s="508">
        <v>5.593</v>
      </c>
      <c r="M2560" s="508">
        <v>5.4349999999999996</v>
      </c>
      <c r="N2560" s="508">
        <v>5.1310000000000002</v>
      </c>
      <c r="O2560" s="508">
        <v>5.0860000000000003</v>
      </c>
      <c r="P2560" s="508">
        <v>5.0010000000000003</v>
      </c>
      <c r="Q2560" s="508">
        <v>4.7939999999999996</v>
      </c>
      <c r="R2560" s="508">
        <v>5.0339999999999998</v>
      </c>
      <c r="S2560" s="508">
        <v>4.702</v>
      </c>
      <c r="T2560" s="508">
        <v>4.5890000000000004</v>
      </c>
      <c r="U2560" s="508">
        <v>4.5519999999999996</v>
      </c>
      <c r="V2560" s="508">
        <v>4.2949999999999999</v>
      </c>
      <c r="W2560" s="508">
        <v>3.2639999999999998</v>
      </c>
      <c r="X2560" s="508">
        <v>3.2709999999999999</v>
      </c>
      <c r="Y2560" s="508">
        <v>3.2469999999999999</v>
      </c>
      <c r="Z2560" s="508">
        <v>3.2</v>
      </c>
      <c r="AA2560" s="508">
        <v>0.88900000000000001</v>
      </c>
      <c r="AB2560" s="508">
        <v>0.76700000000000002</v>
      </c>
      <c r="AC2560" s="508">
        <v>0.82799999999999996</v>
      </c>
      <c r="AD2560" s="508">
        <v>0.55000000000000004</v>
      </c>
      <c r="AE2560" s="508">
        <v>0.51600000000000001</v>
      </c>
      <c r="AF2560" s="508">
        <v>0.441</v>
      </c>
      <c r="AG2560" s="508">
        <v>0.44</v>
      </c>
      <c r="AH2560" s="508">
        <v>0.439</v>
      </c>
      <c r="AI2560" s="492">
        <v>0.439</v>
      </c>
      <c r="AJ2560" s="485"/>
    </row>
    <row r="2561" spans="2:36">
      <c r="B2561" s="136" t="s">
        <v>475</v>
      </c>
      <c r="C2561" s="132" t="s">
        <v>1375</v>
      </c>
      <c r="D2561" s="132" t="s">
        <v>282</v>
      </c>
      <c r="E2561" s="508">
        <v>10.271000000000001</v>
      </c>
      <c r="F2561" s="508">
        <v>8.5830000000000002</v>
      </c>
      <c r="G2561" s="508">
        <v>7.4240000000000004</v>
      </c>
      <c r="H2561" s="508">
        <v>6.7729999999999997</v>
      </c>
      <c r="I2561" s="508">
        <v>6.2830000000000004</v>
      </c>
      <c r="J2561" s="508">
        <v>5.9249999999999998</v>
      </c>
      <c r="K2561" s="508">
        <v>5.883</v>
      </c>
      <c r="L2561" s="508">
        <v>5.492</v>
      </c>
      <c r="M2561" s="508">
        <v>5.3369999999999997</v>
      </c>
      <c r="N2561" s="508">
        <v>5.0389999999999997</v>
      </c>
      <c r="O2561" s="508">
        <v>4.9939999999999998</v>
      </c>
      <c r="P2561" s="508">
        <v>4.9119999999999999</v>
      </c>
      <c r="Q2561" s="508">
        <v>4.7080000000000002</v>
      </c>
      <c r="R2561" s="508">
        <v>4.944</v>
      </c>
      <c r="S2561" s="508">
        <v>4.6180000000000003</v>
      </c>
      <c r="T2561" s="508">
        <v>4.508</v>
      </c>
      <c r="U2561" s="508">
        <v>4.4710000000000001</v>
      </c>
      <c r="V2561" s="508">
        <v>4.218</v>
      </c>
      <c r="W2561" s="508">
        <v>3.2160000000000002</v>
      </c>
      <c r="X2561" s="508">
        <v>3.222</v>
      </c>
      <c r="Y2561" s="508">
        <v>3.1989999999999998</v>
      </c>
      <c r="Z2561" s="508">
        <v>3.153</v>
      </c>
      <c r="AA2561" s="508">
        <v>0.874</v>
      </c>
      <c r="AB2561" s="508">
        <v>0.755</v>
      </c>
      <c r="AC2561" s="508">
        <v>0.81399999999999995</v>
      </c>
      <c r="AD2561" s="508">
        <v>0.54</v>
      </c>
      <c r="AE2561" s="508">
        <v>0.50700000000000001</v>
      </c>
      <c r="AF2561" s="508">
        <v>0.433</v>
      </c>
      <c r="AG2561" s="508">
        <v>0.432</v>
      </c>
      <c r="AH2561" s="508">
        <v>0.432</v>
      </c>
      <c r="AI2561" s="492">
        <v>0.432</v>
      </c>
      <c r="AJ2561" s="485"/>
    </row>
    <row r="2562" spans="2:36">
      <c r="B2562" s="136" t="s">
        <v>476</v>
      </c>
      <c r="C2562" s="132" t="s">
        <v>1375</v>
      </c>
      <c r="D2562" s="132" t="s">
        <v>282</v>
      </c>
      <c r="E2562" s="508">
        <v>10.714</v>
      </c>
      <c r="F2562" s="508">
        <v>8.9429999999999996</v>
      </c>
      <c r="G2562" s="508">
        <v>7.7279999999999998</v>
      </c>
      <c r="H2562" s="508">
        <v>7.0449999999999999</v>
      </c>
      <c r="I2562" s="508">
        <v>6.53</v>
      </c>
      <c r="J2562" s="508">
        <v>6.157</v>
      </c>
      <c r="K2562" s="508">
        <v>6.1130000000000004</v>
      </c>
      <c r="L2562" s="508">
        <v>5.702</v>
      </c>
      <c r="M2562" s="508">
        <v>5.5389999999999997</v>
      </c>
      <c r="N2562" s="508">
        <v>5.2279999999999998</v>
      </c>
      <c r="O2562" s="508">
        <v>5.1820000000000004</v>
      </c>
      <c r="P2562" s="508">
        <v>5.0940000000000003</v>
      </c>
      <c r="Q2562" s="508">
        <v>4.8819999999999997</v>
      </c>
      <c r="R2562" s="508">
        <v>5.1280000000000001</v>
      </c>
      <c r="S2562" s="508">
        <v>4.7869999999999999</v>
      </c>
      <c r="T2562" s="508">
        <v>4.6719999999999997</v>
      </c>
      <c r="U2562" s="508">
        <v>4.6340000000000003</v>
      </c>
      <c r="V2562" s="508">
        <v>4.37</v>
      </c>
      <c r="W2562" s="508">
        <v>3.306</v>
      </c>
      <c r="X2562" s="508">
        <v>3.3130000000000002</v>
      </c>
      <c r="Y2562" s="508">
        <v>3.2890000000000001</v>
      </c>
      <c r="Z2562" s="508">
        <v>3.24</v>
      </c>
      <c r="AA2562" s="508">
        <v>0.90300000000000002</v>
      </c>
      <c r="AB2562" s="508">
        <v>0.77800000000000002</v>
      </c>
      <c r="AC2562" s="508">
        <v>0.84099999999999997</v>
      </c>
      <c r="AD2562" s="508">
        <v>0.55900000000000005</v>
      </c>
      <c r="AE2562" s="508">
        <v>0.52500000000000002</v>
      </c>
      <c r="AF2562" s="508">
        <v>0.44800000000000001</v>
      </c>
      <c r="AG2562" s="508">
        <v>0.44700000000000001</v>
      </c>
      <c r="AH2562" s="508">
        <v>0.44700000000000001</v>
      </c>
      <c r="AI2562" s="492">
        <v>0.44700000000000001</v>
      </c>
      <c r="AJ2562" s="485"/>
    </row>
    <row r="2563" spans="2:36">
      <c r="B2563" s="136" t="s">
        <v>478</v>
      </c>
      <c r="C2563" s="132" t="s">
        <v>1375</v>
      </c>
      <c r="D2563" s="132" t="s">
        <v>282</v>
      </c>
      <c r="E2563" s="508">
        <v>11.321</v>
      </c>
      <c r="F2563" s="508">
        <v>9.42</v>
      </c>
      <c r="G2563" s="508">
        <v>8.1180000000000003</v>
      </c>
      <c r="H2563" s="508">
        <v>7.3849999999999998</v>
      </c>
      <c r="I2563" s="508">
        <v>6.8319999999999999</v>
      </c>
      <c r="J2563" s="508">
        <v>6.4329999999999998</v>
      </c>
      <c r="K2563" s="508">
        <v>6.3860000000000001</v>
      </c>
      <c r="L2563" s="508">
        <v>5.9450000000000003</v>
      </c>
      <c r="M2563" s="508">
        <v>5.77</v>
      </c>
      <c r="N2563" s="508">
        <v>5.4379999999999997</v>
      </c>
      <c r="O2563" s="508">
        <v>5.3890000000000002</v>
      </c>
      <c r="P2563" s="508">
        <v>5.2939999999999996</v>
      </c>
      <c r="Q2563" s="508">
        <v>5.0679999999999996</v>
      </c>
      <c r="R2563" s="508">
        <v>5.33</v>
      </c>
      <c r="S2563" s="508">
        <v>4.9669999999999996</v>
      </c>
      <c r="T2563" s="508">
        <v>4.8440000000000003</v>
      </c>
      <c r="U2563" s="508">
        <v>4.8019999999999996</v>
      </c>
      <c r="V2563" s="508">
        <v>4.5229999999999997</v>
      </c>
      <c r="W2563" s="508">
        <v>3.3980000000000001</v>
      </c>
      <c r="X2563" s="508">
        <v>3.4049999999999998</v>
      </c>
      <c r="Y2563" s="508">
        <v>3.3809999999999998</v>
      </c>
      <c r="Z2563" s="508">
        <v>3.3279999999999998</v>
      </c>
      <c r="AA2563" s="508">
        <v>0.93899999999999995</v>
      </c>
      <c r="AB2563" s="508">
        <v>0.80400000000000005</v>
      </c>
      <c r="AC2563" s="508">
        <v>0.873</v>
      </c>
      <c r="AD2563" s="508">
        <v>0.58299999999999996</v>
      </c>
      <c r="AE2563" s="508">
        <v>0.54600000000000004</v>
      </c>
      <c r="AF2563" s="508">
        <v>0.46700000000000003</v>
      </c>
      <c r="AG2563" s="508">
        <v>0.46600000000000003</v>
      </c>
      <c r="AH2563" s="508">
        <v>0.46600000000000003</v>
      </c>
      <c r="AI2563" s="492">
        <v>0.46600000000000003</v>
      </c>
      <c r="AJ2563" s="485"/>
    </row>
    <row r="2564" spans="2:36">
      <c r="B2564" s="136" t="s">
        <v>479</v>
      </c>
      <c r="C2564" s="132" t="s">
        <v>1375</v>
      </c>
      <c r="D2564" s="132" t="s">
        <v>282</v>
      </c>
      <c r="E2564" s="508">
        <v>10.246</v>
      </c>
      <c r="F2564" s="508">
        <v>8.5690000000000008</v>
      </c>
      <c r="G2564" s="508">
        <v>7.4169999999999998</v>
      </c>
      <c r="H2564" s="508">
        <v>6.7709999999999999</v>
      </c>
      <c r="I2564" s="508">
        <v>6.2839999999999998</v>
      </c>
      <c r="J2564" s="508">
        <v>5.9279999999999999</v>
      </c>
      <c r="K2564" s="508">
        <v>5.8860000000000001</v>
      </c>
      <c r="L2564" s="508">
        <v>5.4969999999999999</v>
      </c>
      <c r="M2564" s="508">
        <v>5.3440000000000003</v>
      </c>
      <c r="N2564" s="508">
        <v>5.0469999999999997</v>
      </c>
      <c r="O2564" s="508">
        <v>5.0019999999999998</v>
      </c>
      <c r="P2564" s="508">
        <v>4.9210000000000003</v>
      </c>
      <c r="Q2564" s="508">
        <v>4.718</v>
      </c>
      <c r="R2564" s="508">
        <v>4.9530000000000003</v>
      </c>
      <c r="S2564" s="508">
        <v>4.6280000000000001</v>
      </c>
      <c r="T2564" s="508">
        <v>4.5179999999999998</v>
      </c>
      <c r="U2564" s="508">
        <v>4.4820000000000002</v>
      </c>
      <c r="V2564" s="508">
        <v>4.2290000000000001</v>
      </c>
      <c r="W2564" s="508">
        <v>3.2160000000000002</v>
      </c>
      <c r="X2564" s="508">
        <v>3.2229999999999999</v>
      </c>
      <c r="Y2564" s="508">
        <v>3.2</v>
      </c>
      <c r="Z2564" s="508">
        <v>3.1539999999999999</v>
      </c>
      <c r="AA2564" s="508">
        <v>0.872</v>
      </c>
      <c r="AB2564" s="508">
        <v>0.755</v>
      </c>
      <c r="AC2564" s="508">
        <v>0.81299999999999994</v>
      </c>
      <c r="AD2564" s="508">
        <v>0.53900000000000003</v>
      </c>
      <c r="AE2564" s="508">
        <v>0.50600000000000001</v>
      </c>
      <c r="AF2564" s="508">
        <v>0.432</v>
      </c>
      <c r="AG2564" s="508">
        <v>0.43099999999999999</v>
      </c>
      <c r="AH2564" s="508">
        <v>0.43099999999999999</v>
      </c>
      <c r="AI2564" s="492">
        <v>0.43099999999999999</v>
      </c>
      <c r="AJ2564" s="485"/>
    </row>
    <row r="2565" spans="2:36">
      <c r="B2565" s="136" t="s">
        <v>480</v>
      </c>
      <c r="C2565" s="132" t="s">
        <v>1375</v>
      </c>
      <c r="D2565" s="132" t="s">
        <v>282</v>
      </c>
      <c r="E2565" s="508">
        <v>9.3659999999999997</v>
      </c>
      <c r="F2565" s="508">
        <v>7.8550000000000004</v>
      </c>
      <c r="G2565" s="508">
        <v>6.8159999999999998</v>
      </c>
      <c r="H2565" s="508">
        <v>6.2350000000000003</v>
      </c>
      <c r="I2565" s="508">
        <v>5.798</v>
      </c>
      <c r="J2565" s="508">
        <v>5.4720000000000004</v>
      </c>
      <c r="K2565" s="508">
        <v>5.4349999999999996</v>
      </c>
      <c r="L2565" s="508">
        <v>5.0839999999999996</v>
      </c>
      <c r="M2565" s="508">
        <v>4.9489999999999998</v>
      </c>
      <c r="N2565" s="508">
        <v>4.6769999999999996</v>
      </c>
      <c r="O2565" s="508">
        <v>4.633</v>
      </c>
      <c r="P2565" s="508">
        <v>4.5629999999999997</v>
      </c>
      <c r="Q2565" s="508">
        <v>4.3760000000000003</v>
      </c>
      <c r="R2565" s="508">
        <v>4.593</v>
      </c>
      <c r="S2565" s="508">
        <v>4.2939999999999996</v>
      </c>
      <c r="T2565" s="508">
        <v>4.1950000000000003</v>
      </c>
      <c r="U2565" s="508">
        <v>4.1639999999999997</v>
      </c>
      <c r="V2565" s="508">
        <v>3.9260000000000002</v>
      </c>
      <c r="W2565" s="508">
        <v>3.0209999999999999</v>
      </c>
      <c r="X2565" s="508">
        <v>3.028</v>
      </c>
      <c r="Y2565" s="508">
        <v>3.0059999999999998</v>
      </c>
      <c r="Z2565" s="508">
        <v>2.9649999999999999</v>
      </c>
      <c r="AA2565" s="508">
        <v>0.81</v>
      </c>
      <c r="AB2565" s="508">
        <v>0.70499999999999996</v>
      </c>
      <c r="AC2565" s="508">
        <v>0.75700000000000001</v>
      </c>
      <c r="AD2565" s="508">
        <v>0.5</v>
      </c>
      <c r="AE2565" s="508">
        <v>0.47</v>
      </c>
      <c r="AF2565" s="508">
        <v>0.40100000000000002</v>
      </c>
      <c r="AG2565" s="508">
        <v>0.4</v>
      </c>
      <c r="AH2565" s="508">
        <v>0.39900000000000002</v>
      </c>
      <c r="AI2565" s="492">
        <v>0.39900000000000002</v>
      </c>
      <c r="AJ2565" s="485"/>
    </row>
    <row r="2566" spans="2:36">
      <c r="B2566" s="136" t="s">
        <v>481</v>
      </c>
      <c r="C2566" s="132" t="s">
        <v>1375</v>
      </c>
      <c r="D2566" s="132" t="s">
        <v>282</v>
      </c>
      <c r="E2566" s="508">
        <v>10.502000000000001</v>
      </c>
      <c r="F2566" s="508">
        <v>8.7710000000000008</v>
      </c>
      <c r="G2566" s="508">
        <v>7.5830000000000002</v>
      </c>
      <c r="H2566" s="508">
        <v>6.9160000000000004</v>
      </c>
      <c r="I2566" s="508">
        <v>6.4119999999999999</v>
      </c>
      <c r="J2566" s="508">
        <v>6.0460000000000003</v>
      </c>
      <c r="K2566" s="508">
        <v>6.0030000000000001</v>
      </c>
      <c r="L2566" s="508">
        <v>5.601</v>
      </c>
      <c r="M2566" s="508">
        <v>5.4429999999999996</v>
      </c>
      <c r="N2566" s="508">
        <v>5.1379999999999999</v>
      </c>
      <c r="O2566" s="508">
        <v>5.0919999999999996</v>
      </c>
      <c r="P2566" s="508">
        <v>5.0069999999999997</v>
      </c>
      <c r="Q2566" s="508">
        <v>4.7990000000000004</v>
      </c>
      <c r="R2566" s="508">
        <v>5.04</v>
      </c>
      <c r="S2566" s="508">
        <v>4.7060000000000004</v>
      </c>
      <c r="T2566" s="508">
        <v>4.593</v>
      </c>
      <c r="U2566" s="508">
        <v>4.556</v>
      </c>
      <c r="V2566" s="508">
        <v>4.2960000000000003</v>
      </c>
      <c r="W2566" s="508">
        <v>3.2589999999999999</v>
      </c>
      <c r="X2566" s="508">
        <v>3.2650000000000001</v>
      </c>
      <c r="Y2566" s="508">
        <v>3.242</v>
      </c>
      <c r="Z2566" s="508">
        <v>3.194</v>
      </c>
      <c r="AA2566" s="508">
        <v>0.88800000000000001</v>
      </c>
      <c r="AB2566" s="508">
        <v>0.76600000000000001</v>
      </c>
      <c r="AC2566" s="508">
        <v>0.82699999999999996</v>
      </c>
      <c r="AD2566" s="508">
        <v>0.55000000000000004</v>
      </c>
      <c r="AE2566" s="508">
        <v>0.51600000000000001</v>
      </c>
      <c r="AF2566" s="508">
        <v>0.441</v>
      </c>
      <c r="AG2566" s="508">
        <v>0.44</v>
      </c>
      <c r="AH2566" s="508">
        <v>0.439</v>
      </c>
      <c r="AI2566" s="492">
        <v>0.439</v>
      </c>
      <c r="AJ2566" s="485"/>
    </row>
    <row r="2567" spans="2:36">
      <c r="B2567" s="136" t="s">
        <v>482</v>
      </c>
      <c r="C2567" s="132" t="s">
        <v>1375</v>
      </c>
      <c r="D2567" s="132" t="s">
        <v>282</v>
      </c>
      <c r="E2567" s="508">
        <v>10.645</v>
      </c>
      <c r="F2567" s="508">
        <v>8.8740000000000006</v>
      </c>
      <c r="G2567" s="508">
        <v>7.66</v>
      </c>
      <c r="H2567" s="508">
        <v>6.9770000000000003</v>
      </c>
      <c r="I2567" s="508">
        <v>6.4630000000000001</v>
      </c>
      <c r="J2567" s="508">
        <v>6.0890000000000004</v>
      </c>
      <c r="K2567" s="508">
        <v>6.0449999999999999</v>
      </c>
      <c r="L2567" s="508">
        <v>5.6340000000000003</v>
      </c>
      <c r="M2567" s="508">
        <v>5.4720000000000004</v>
      </c>
      <c r="N2567" s="508">
        <v>5.16</v>
      </c>
      <c r="O2567" s="508">
        <v>5.1130000000000004</v>
      </c>
      <c r="P2567" s="508">
        <v>5.0259999999999998</v>
      </c>
      <c r="Q2567" s="508">
        <v>4.8140000000000001</v>
      </c>
      <c r="R2567" s="508">
        <v>5.0599999999999996</v>
      </c>
      <c r="S2567" s="508">
        <v>4.7190000000000003</v>
      </c>
      <c r="T2567" s="508">
        <v>4.6040000000000001</v>
      </c>
      <c r="U2567" s="508">
        <v>4.5650000000000004</v>
      </c>
      <c r="V2567" s="508">
        <v>4.3010000000000002</v>
      </c>
      <c r="W2567" s="508">
        <v>3.262</v>
      </c>
      <c r="X2567" s="508">
        <v>3.2679999999999998</v>
      </c>
      <c r="Y2567" s="508">
        <v>3.2450000000000001</v>
      </c>
      <c r="Z2567" s="508">
        <v>3.1960000000000002</v>
      </c>
      <c r="AA2567" s="508">
        <v>0.89400000000000002</v>
      </c>
      <c r="AB2567" s="508">
        <v>0.76900000000000002</v>
      </c>
      <c r="AC2567" s="508">
        <v>0.83199999999999996</v>
      </c>
      <c r="AD2567" s="508">
        <v>0.55400000000000005</v>
      </c>
      <c r="AE2567" s="508">
        <v>0.51900000000000002</v>
      </c>
      <c r="AF2567" s="508">
        <v>0.44400000000000001</v>
      </c>
      <c r="AG2567" s="508">
        <v>0.443</v>
      </c>
      <c r="AH2567" s="508">
        <v>0.443</v>
      </c>
      <c r="AI2567" s="492">
        <v>0.443</v>
      </c>
      <c r="AJ2567" s="485"/>
    </row>
    <row r="2568" spans="2:36">
      <c r="B2568" s="136" t="s">
        <v>483</v>
      </c>
      <c r="C2568" s="132" t="s">
        <v>1375</v>
      </c>
      <c r="D2568" s="132" t="s">
        <v>282</v>
      </c>
      <c r="E2568" s="508">
        <v>11.156000000000001</v>
      </c>
      <c r="F2568" s="508">
        <v>9.2929999999999993</v>
      </c>
      <c r="G2568" s="508">
        <v>8.0169999999999995</v>
      </c>
      <c r="H2568" s="508">
        <v>7.298</v>
      </c>
      <c r="I2568" s="508">
        <v>6.7560000000000002</v>
      </c>
      <c r="J2568" s="508">
        <v>6.3650000000000002</v>
      </c>
      <c r="K2568" s="508">
        <v>6.319</v>
      </c>
      <c r="L2568" s="508">
        <v>5.8869999999999996</v>
      </c>
      <c r="M2568" s="508">
        <v>5.7149999999999999</v>
      </c>
      <c r="N2568" s="508">
        <v>5.3890000000000002</v>
      </c>
      <c r="O2568" s="508">
        <v>5.3410000000000002</v>
      </c>
      <c r="P2568" s="508">
        <v>5.2480000000000002</v>
      </c>
      <c r="Q2568" s="508">
        <v>5.0259999999999998</v>
      </c>
      <c r="R2568" s="508">
        <v>5.2830000000000004</v>
      </c>
      <c r="S2568" s="508">
        <v>4.9269999999999996</v>
      </c>
      <c r="T2568" s="508">
        <v>4.806</v>
      </c>
      <c r="U2568" s="508">
        <v>4.7649999999999997</v>
      </c>
      <c r="V2568" s="508">
        <v>4.4909999999999997</v>
      </c>
      <c r="W2568" s="508">
        <v>3.38</v>
      </c>
      <c r="X2568" s="508">
        <v>3.3860000000000001</v>
      </c>
      <c r="Y2568" s="508">
        <v>3.3620000000000001</v>
      </c>
      <c r="Z2568" s="508">
        <v>3.3109999999999999</v>
      </c>
      <c r="AA2568" s="508">
        <v>0.93100000000000005</v>
      </c>
      <c r="AB2568" s="508">
        <v>0.79900000000000004</v>
      </c>
      <c r="AC2568" s="508">
        <v>0.86499999999999999</v>
      </c>
      <c r="AD2568" s="508">
        <v>0.57699999999999996</v>
      </c>
      <c r="AE2568" s="508">
        <v>0.54</v>
      </c>
      <c r="AF2568" s="508">
        <v>0.46300000000000002</v>
      </c>
      <c r="AG2568" s="508">
        <v>0.46100000000000002</v>
      </c>
      <c r="AH2568" s="508">
        <v>0.46100000000000002</v>
      </c>
      <c r="AI2568" s="492">
        <v>0.46100000000000002</v>
      </c>
      <c r="AJ2568" s="485"/>
    </row>
    <row r="2569" spans="2:36">
      <c r="B2569" s="136" t="s">
        <v>484</v>
      </c>
      <c r="C2569" s="132" t="s">
        <v>1375</v>
      </c>
      <c r="D2569" s="132" t="s">
        <v>282</v>
      </c>
      <c r="E2569" s="508">
        <v>9.5250000000000004</v>
      </c>
      <c r="F2569" s="508">
        <v>7.984</v>
      </c>
      <c r="G2569" s="508">
        <v>6.923</v>
      </c>
      <c r="H2569" s="508">
        <v>6.33</v>
      </c>
      <c r="I2569" s="508">
        <v>5.883</v>
      </c>
      <c r="J2569" s="508">
        <v>5.5529999999999999</v>
      </c>
      <c r="K2569" s="508">
        <v>5.5149999999999997</v>
      </c>
      <c r="L2569" s="508">
        <v>5.157</v>
      </c>
      <c r="M2569" s="508">
        <v>5.0179999999999998</v>
      </c>
      <c r="N2569" s="508">
        <v>4.7430000000000003</v>
      </c>
      <c r="O2569" s="508">
        <v>4.6989999999999998</v>
      </c>
      <c r="P2569" s="508">
        <v>4.6260000000000003</v>
      </c>
      <c r="Q2569" s="508">
        <v>4.4370000000000003</v>
      </c>
      <c r="R2569" s="508">
        <v>4.6559999999999997</v>
      </c>
      <c r="S2569" s="508">
        <v>4.3540000000000001</v>
      </c>
      <c r="T2569" s="508">
        <v>4.2530000000000001</v>
      </c>
      <c r="U2569" s="508">
        <v>4.22</v>
      </c>
      <c r="V2569" s="508">
        <v>3.9820000000000002</v>
      </c>
      <c r="W2569" s="508">
        <v>3.0649999999999999</v>
      </c>
      <c r="X2569" s="508">
        <v>3.0720000000000001</v>
      </c>
      <c r="Y2569" s="508">
        <v>3.0489999999999999</v>
      </c>
      <c r="Z2569" s="508">
        <v>3.0070000000000001</v>
      </c>
      <c r="AA2569" s="508">
        <v>0.82399999999999995</v>
      </c>
      <c r="AB2569" s="508">
        <v>0.71599999999999997</v>
      </c>
      <c r="AC2569" s="508">
        <v>0.76900000000000002</v>
      </c>
      <c r="AD2569" s="508">
        <v>0.50800000000000001</v>
      </c>
      <c r="AE2569" s="508">
        <v>0.47799999999999998</v>
      </c>
      <c r="AF2569" s="508">
        <v>0.40699999999999997</v>
      </c>
      <c r="AG2569" s="508">
        <v>0.40600000000000003</v>
      </c>
      <c r="AH2569" s="508">
        <v>0.40600000000000003</v>
      </c>
      <c r="AI2569" s="492">
        <v>0.40600000000000003</v>
      </c>
      <c r="AJ2569" s="485"/>
    </row>
    <row r="2570" spans="2:36">
      <c r="B2570" s="136" t="s">
        <v>486</v>
      </c>
      <c r="C2570" s="132" t="s">
        <v>1375</v>
      </c>
      <c r="D2570" s="132" t="s">
        <v>282</v>
      </c>
      <c r="E2570" s="508">
        <v>10.590999999999999</v>
      </c>
      <c r="F2570" s="508">
        <v>8.8390000000000004</v>
      </c>
      <c r="G2570" s="508">
        <v>7.6360000000000001</v>
      </c>
      <c r="H2570" s="508">
        <v>6.9610000000000003</v>
      </c>
      <c r="I2570" s="508">
        <v>6.452</v>
      </c>
      <c r="J2570" s="508">
        <v>6.0810000000000004</v>
      </c>
      <c r="K2570" s="508">
        <v>6.0380000000000003</v>
      </c>
      <c r="L2570" s="508">
        <v>5.6310000000000002</v>
      </c>
      <c r="M2570" s="508">
        <v>5.4710000000000001</v>
      </c>
      <c r="N2570" s="508">
        <v>5.1619999999999999</v>
      </c>
      <c r="O2570" s="508">
        <v>5.1159999999999997</v>
      </c>
      <c r="P2570" s="508">
        <v>5.03</v>
      </c>
      <c r="Q2570" s="508">
        <v>4.819</v>
      </c>
      <c r="R2570" s="508">
        <v>5.0629999999999997</v>
      </c>
      <c r="S2570" s="508">
        <v>4.7249999999999996</v>
      </c>
      <c r="T2570" s="508">
        <v>4.6109999999999998</v>
      </c>
      <c r="U2570" s="508">
        <v>4.5730000000000004</v>
      </c>
      <c r="V2570" s="508">
        <v>4.3109999999999999</v>
      </c>
      <c r="W2570" s="508">
        <v>3.2669999999999999</v>
      </c>
      <c r="X2570" s="508">
        <v>3.2730000000000001</v>
      </c>
      <c r="Y2570" s="508">
        <v>3.25</v>
      </c>
      <c r="Z2570" s="508">
        <v>3.202</v>
      </c>
      <c r="AA2570" s="508">
        <v>0.89300000000000002</v>
      </c>
      <c r="AB2570" s="508">
        <v>0.76900000000000002</v>
      </c>
      <c r="AC2570" s="508">
        <v>0.83099999999999996</v>
      </c>
      <c r="AD2570" s="508">
        <v>0.55300000000000005</v>
      </c>
      <c r="AE2570" s="508">
        <v>0.51800000000000002</v>
      </c>
      <c r="AF2570" s="508">
        <v>0.443</v>
      </c>
      <c r="AG2570" s="508">
        <v>0.442</v>
      </c>
      <c r="AH2570" s="508">
        <v>0.442</v>
      </c>
      <c r="AI2570" s="492">
        <v>0.442</v>
      </c>
      <c r="AJ2570" s="485"/>
    </row>
    <row r="2571" spans="2:36">
      <c r="B2571" s="136" t="s">
        <v>487</v>
      </c>
      <c r="C2571" s="132" t="s">
        <v>1375</v>
      </c>
      <c r="D2571" s="132" t="s">
        <v>282</v>
      </c>
      <c r="E2571" s="508">
        <v>10.632999999999999</v>
      </c>
      <c r="F2571" s="508">
        <v>8.8670000000000009</v>
      </c>
      <c r="G2571" s="508">
        <v>7.6550000000000002</v>
      </c>
      <c r="H2571" s="508">
        <v>6.9749999999999996</v>
      </c>
      <c r="I2571" s="508">
        <v>6.4619999999999997</v>
      </c>
      <c r="J2571" s="508">
        <v>6.0880000000000001</v>
      </c>
      <c r="K2571" s="508">
        <v>6.0439999999999996</v>
      </c>
      <c r="L2571" s="508">
        <v>5.6349999999999998</v>
      </c>
      <c r="M2571" s="508">
        <v>5.4729999999999999</v>
      </c>
      <c r="N2571" s="508">
        <v>5.1609999999999996</v>
      </c>
      <c r="O2571" s="508">
        <v>5.1139999999999999</v>
      </c>
      <c r="P2571" s="508">
        <v>5.0279999999999996</v>
      </c>
      <c r="Q2571" s="508">
        <v>4.8150000000000004</v>
      </c>
      <c r="R2571" s="508">
        <v>5.0620000000000003</v>
      </c>
      <c r="S2571" s="508">
        <v>4.7210000000000001</v>
      </c>
      <c r="T2571" s="508">
        <v>4.6050000000000004</v>
      </c>
      <c r="U2571" s="508">
        <v>4.5670000000000002</v>
      </c>
      <c r="V2571" s="508">
        <v>4.3019999999999996</v>
      </c>
      <c r="W2571" s="508">
        <v>3.2559999999999998</v>
      </c>
      <c r="X2571" s="508">
        <v>3.2629999999999999</v>
      </c>
      <c r="Y2571" s="508">
        <v>3.24</v>
      </c>
      <c r="Z2571" s="508">
        <v>3.1909999999999998</v>
      </c>
      <c r="AA2571" s="508">
        <v>0.89200000000000002</v>
      </c>
      <c r="AB2571" s="508">
        <v>0.76800000000000002</v>
      </c>
      <c r="AC2571" s="508">
        <v>0.83</v>
      </c>
      <c r="AD2571" s="508">
        <v>0.55300000000000005</v>
      </c>
      <c r="AE2571" s="508">
        <v>0.51800000000000002</v>
      </c>
      <c r="AF2571" s="508">
        <v>0.443</v>
      </c>
      <c r="AG2571" s="508">
        <v>0.442</v>
      </c>
      <c r="AH2571" s="508">
        <v>0.442</v>
      </c>
      <c r="AI2571" s="492">
        <v>0.442</v>
      </c>
      <c r="AJ2571" s="485"/>
    </row>
    <row r="2572" spans="2:36">
      <c r="B2572" s="136" t="s">
        <v>488</v>
      </c>
      <c r="C2572" s="132" t="s">
        <v>1375</v>
      </c>
      <c r="D2572" s="132" t="s">
        <v>282</v>
      </c>
      <c r="E2572" s="508">
        <v>9.8149999999999995</v>
      </c>
      <c r="F2572" s="508">
        <v>8.2119999999999997</v>
      </c>
      <c r="G2572" s="508">
        <v>7.1109999999999998</v>
      </c>
      <c r="H2572" s="508">
        <v>6.4939999999999998</v>
      </c>
      <c r="I2572" s="508">
        <v>6.0289999999999999</v>
      </c>
      <c r="J2572" s="508">
        <v>5.6870000000000003</v>
      </c>
      <c r="K2572" s="508">
        <v>5.6470000000000002</v>
      </c>
      <c r="L2572" s="508">
        <v>5.2750000000000004</v>
      </c>
      <c r="M2572" s="508">
        <v>5.13</v>
      </c>
      <c r="N2572" s="508">
        <v>4.8440000000000003</v>
      </c>
      <c r="O2572" s="508">
        <v>4.8</v>
      </c>
      <c r="P2572" s="508">
        <v>4.7229999999999999</v>
      </c>
      <c r="Q2572" s="508">
        <v>4.5279999999999996</v>
      </c>
      <c r="R2572" s="508">
        <v>4.7549999999999999</v>
      </c>
      <c r="S2572" s="508">
        <v>4.4409999999999998</v>
      </c>
      <c r="T2572" s="508">
        <v>4.3360000000000003</v>
      </c>
      <c r="U2572" s="508">
        <v>4.3029999999999999</v>
      </c>
      <c r="V2572" s="508">
        <v>4.056</v>
      </c>
      <c r="W2572" s="508">
        <v>3.109</v>
      </c>
      <c r="X2572" s="508">
        <v>3.1150000000000002</v>
      </c>
      <c r="Y2572" s="508">
        <v>3.093</v>
      </c>
      <c r="Z2572" s="508">
        <v>3.0489999999999999</v>
      </c>
      <c r="AA2572" s="508">
        <v>0.84099999999999997</v>
      </c>
      <c r="AB2572" s="508">
        <v>0.72799999999999998</v>
      </c>
      <c r="AC2572" s="508">
        <v>0.78400000000000003</v>
      </c>
      <c r="AD2572" s="508">
        <v>0.51900000000000002</v>
      </c>
      <c r="AE2572" s="508">
        <v>0.48799999999999999</v>
      </c>
      <c r="AF2572" s="508">
        <v>0.41599999999999998</v>
      </c>
      <c r="AG2572" s="508">
        <v>0.41499999999999998</v>
      </c>
      <c r="AH2572" s="508">
        <v>0.41499999999999998</v>
      </c>
      <c r="AI2572" s="492">
        <v>0.41499999999999998</v>
      </c>
      <c r="AJ2572" s="485"/>
    </row>
    <row r="2573" spans="2:36">
      <c r="B2573" s="136" t="s">
        <v>489</v>
      </c>
      <c r="C2573" s="132" t="s">
        <v>1375</v>
      </c>
      <c r="D2573" s="132" t="s">
        <v>282</v>
      </c>
      <c r="E2573" s="508">
        <v>10.206</v>
      </c>
      <c r="F2573" s="508">
        <v>8.5289999999999999</v>
      </c>
      <c r="G2573" s="508">
        <v>7.3780000000000001</v>
      </c>
      <c r="H2573" s="508">
        <v>6.7320000000000002</v>
      </c>
      <c r="I2573" s="508">
        <v>6.2439999999999998</v>
      </c>
      <c r="J2573" s="508">
        <v>5.8890000000000002</v>
      </c>
      <c r="K2573" s="508">
        <v>5.8470000000000004</v>
      </c>
      <c r="L2573" s="508">
        <v>5.4580000000000002</v>
      </c>
      <c r="M2573" s="508">
        <v>5.3049999999999997</v>
      </c>
      <c r="N2573" s="508">
        <v>5.008</v>
      </c>
      <c r="O2573" s="508">
        <v>4.9630000000000001</v>
      </c>
      <c r="P2573" s="508">
        <v>4.8819999999999997</v>
      </c>
      <c r="Q2573" s="508">
        <v>4.6790000000000003</v>
      </c>
      <c r="R2573" s="508">
        <v>4.9139999999999997</v>
      </c>
      <c r="S2573" s="508">
        <v>4.5890000000000004</v>
      </c>
      <c r="T2573" s="508">
        <v>4.4790000000000001</v>
      </c>
      <c r="U2573" s="508">
        <v>4.4429999999999996</v>
      </c>
      <c r="V2573" s="508">
        <v>4.1900000000000004</v>
      </c>
      <c r="W2573" s="508">
        <v>3.1970000000000001</v>
      </c>
      <c r="X2573" s="508">
        <v>3.2040000000000002</v>
      </c>
      <c r="Y2573" s="508">
        <v>3.181</v>
      </c>
      <c r="Z2573" s="508">
        <v>3.1349999999999998</v>
      </c>
      <c r="AA2573" s="508">
        <v>0.86899999999999999</v>
      </c>
      <c r="AB2573" s="508">
        <v>0.751</v>
      </c>
      <c r="AC2573" s="508">
        <v>0.80900000000000005</v>
      </c>
      <c r="AD2573" s="508">
        <v>0.53700000000000003</v>
      </c>
      <c r="AE2573" s="508">
        <v>0.504</v>
      </c>
      <c r="AF2573" s="508">
        <v>0.43099999999999999</v>
      </c>
      <c r="AG2573" s="508">
        <v>0.42899999999999999</v>
      </c>
      <c r="AH2573" s="508">
        <v>0.42899999999999999</v>
      </c>
      <c r="AI2573" s="492">
        <v>0.42899999999999999</v>
      </c>
      <c r="AJ2573" s="485"/>
    </row>
    <row r="2574" spans="2:36">
      <c r="B2574" s="136" t="s">
        <v>490</v>
      </c>
      <c r="C2574" s="132" t="s">
        <v>1375</v>
      </c>
      <c r="D2574" s="132" t="s">
        <v>282</v>
      </c>
      <c r="E2574" s="508">
        <v>9.3360000000000003</v>
      </c>
      <c r="F2574" s="508">
        <v>7.8360000000000003</v>
      </c>
      <c r="G2574" s="508">
        <v>6.8040000000000003</v>
      </c>
      <c r="H2574" s="508">
        <v>6.2270000000000003</v>
      </c>
      <c r="I2574" s="508">
        <v>5.7930000000000001</v>
      </c>
      <c r="J2574" s="508">
        <v>5.4690000000000003</v>
      </c>
      <c r="K2574" s="508">
        <v>5.4320000000000004</v>
      </c>
      <c r="L2574" s="508">
        <v>5.0839999999999996</v>
      </c>
      <c r="M2574" s="508">
        <v>4.95</v>
      </c>
      <c r="N2574" s="508">
        <v>4.68</v>
      </c>
      <c r="O2574" s="508">
        <v>4.6360000000000001</v>
      </c>
      <c r="P2574" s="508">
        <v>4.5659999999999998</v>
      </c>
      <c r="Q2574" s="508">
        <v>4.38</v>
      </c>
      <c r="R2574" s="508">
        <v>4.5960000000000001</v>
      </c>
      <c r="S2574" s="508">
        <v>4.2990000000000004</v>
      </c>
      <c r="T2574" s="508">
        <v>4.2</v>
      </c>
      <c r="U2574" s="508">
        <v>4.1689999999999996</v>
      </c>
      <c r="V2574" s="508">
        <v>3.9319999999999999</v>
      </c>
      <c r="W2574" s="508">
        <v>3.02</v>
      </c>
      <c r="X2574" s="508">
        <v>3.0270000000000001</v>
      </c>
      <c r="Y2574" s="508">
        <v>3.0049999999999999</v>
      </c>
      <c r="Z2574" s="508">
        <v>2.964</v>
      </c>
      <c r="AA2574" s="508">
        <v>0.80900000000000005</v>
      </c>
      <c r="AB2574" s="508">
        <v>0.70499999999999996</v>
      </c>
      <c r="AC2574" s="508">
        <v>0.75600000000000001</v>
      </c>
      <c r="AD2574" s="508">
        <v>0.498</v>
      </c>
      <c r="AE2574" s="508">
        <v>0.46899999999999997</v>
      </c>
      <c r="AF2574" s="508">
        <v>0.4</v>
      </c>
      <c r="AG2574" s="508">
        <v>0.39900000000000002</v>
      </c>
      <c r="AH2574" s="508">
        <v>0.39800000000000002</v>
      </c>
      <c r="AI2574" s="492">
        <v>0.39800000000000002</v>
      </c>
      <c r="AJ2574" s="485"/>
    </row>
    <row r="2575" spans="2:36">
      <c r="B2575" s="136" t="s">
        <v>435</v>
      </c>
      <c r="C2575" s="132" t="s">
        <v>1376</v>
      </c>
      <c r="D2575" s="132" t="s">
        <v>282</v>
      </c>
      <c r="E2575" s="508">
        <v>171.28899999999999</v>
      </c>
      <c r="F2575" s="508">
        <v>129.74199999999999</v>
      </c>
      <c r="G2575" s="508">
        <v>121.229</v>
      </c>
      <c r="H2575" s="508">
        <v>111.58199999999999</v>
      </c>
      <c r="I2575" s="508">
        <v>96.129000000000005</v>
      </c>
      <c r="J2575" s="508">
        <v>112.89</v>
      </c>
      <c r="K2575" s="508">
        <v>111.735</v>
      </c>
      <c r="L2575" s="508">
        <v>110.727</v>
      </c>
      <c r="M2575" s="508">
        <v>98.637</v>
      </c>
      <c r="N2575" s="508">
        <v>102.91</v>
      </c>
      <c r="O2575" s="508">
        <v>99.619</v>
      </c>
      <c r="P2575" s="508">
        <v>98.25</v>
      </c>
      <c r="Q2575" s="508">
        <v>97.926000000000002</v>
      </c>
      <c r="R2575" s="508">
        <v>47.177</v>
      </c>
      <c r="S2575" s="508">
        <v>46.308999999999997</v>
      </c>
      <c r="T2575" s="508">
        <v>39.094999999999999</v>
      </c>
      <c r="U2575" s="508">
        <v>37.768000000000001</v>
      </c>
      <c r="V2575" s="508">
        <v>35.905999999999999</v>
      </c>
      <c r="W2575" s="508">
        <v>34.078000000000003</v>
      </c>
      <c r="X2575" s="508">
        <v>32.945999999999998</v>
      </c>
      <c r="Y2575" s="508">
        <v>31.07</v>
      </c>
      <c r="Z2575" s="508">
        <v>31.184000000000001</v>
      </c>
      <c r="AA2575" s="508">
        <v>29.431000000000001</v>
      </c>
      <c r="AB2575" s="508">
        <v>12.589</v>
      </c>
      <c r="AC2575" s="508">
        <v>11.237</v>
      </c>
      <c r="AD2575" s="508">
        <v>6.05</v>
      </c>
      <c r="AE2575" s="508">
        <v>6.6349999999999998</v>
      </c>
      <c r="AF2575" s="508">
        <v>5.4509999999999996</v>
      </c>
      <c r="AG2575" s="508">
        <v>5.4480000000000004</v>
      </c>
      <c r="AH2575" s="508">
        <v>5.4420000000000002</v>
      </c>
      <c r="AI2575" s="492">
        <v>5.4420000000000002</v>
      </c>
      <c r="AJ2575" s="485"/>
    </row>
    <row r="2576" spans="2:36">
      <c r="B2576" s="136" t="s">
        <v>436</v>
      </c>
      <c r="C2576" s="132" t="s">
        <v>1376</v>
      </c>
      <c r="D2576" s="132" t="s">
        <v>282</v>
      </c>
      <c r="E2576" s="508">
        <v>213.00899999999999</v>
      </c>
      <c r="F2576" s="508">
        <v>134.858</v>
      </c>
      <c r="G2576" s="508">
        <v>125.131</v>
      </c>
      <c r="H2576" s="508">
        <v>114.878</v>
      </c>
      <c r="I2576" s="508">
        <v>99.460999999999999</v>
      </c>
      <c r="J2576" s="508">
        <v>116.00700000000001</v>
      </c>
      <c r="K2576" s="508">
        <v>114.41</v>
      </c>
      <c r="L2576" s="508">
        <v>113.05200000000001</v>
      </c>
      <c r="M2576" s="508">
        <v>101.30200000000001</v>
      </c>
      <c r="N2576" s="508">
        <v>105.32599999999999</v>
      </c>
      <c r="O2576" s="508">
        <v>101.97499999999999</v>
      </c>
      <c r="P2576" s="508">
        <v>100.47</v>
      </c>
      <c r="Q2576" s="508">
        <v>99.977999999999994</v>
      </c>
      <c r="R2576" s="508">
        <v>47.33</v>
      </c>
      <c r="S2576" s="508">
        <v>46.37</v>
      </c>
      <c r="T2576" s="508">
        <v>39.21</v>
      </c>
      <c r="U2576" s="508">
        <v>38.911000000000001</v>
      </c>
      <c r="V2576" s="508">
        <v>36.832999999999998</v>
      </c>
      <c r="W2576" s="508">
        <v>34.808</v>
      </c>
      <c r="X2576" s="508">
        <v>33.543999999999997</v>
      </c>
      <c r="Y2576" s="508">
        <v>31.484999999999999</v>
      </c>
      <c r="Z2576" s="508">
        <v>31.579000000000001</v>
      </c>
      <c r="AA2576" s="508">
        <v>29.663</v>
      </c>
      <c r="AB2576" s="508">
        <v>13.144</v>
      </c>
      <c r="AC2576" s="508">
        <v>11.667999999999999</v>
      </c>
      <c r="AD2576" s="508">
        <v>6.4729999999999999</v>
      </c>
      <c r="AE2576" s="508">
        <v>7.06</v>
      </c>
      <c r="AF2576" s="508">
        <v>5.7460000000000004</v>
      </c>
      <c r="AG2576" s="508">
        <v>5.7130000000000001</v>
      </c>
      <c r="AH2576" s="508">
        <v>5.7080000000000002</v>
      </c>
      <c r="AI2576" s="492">
        <v>5.7080000000000002</v>
      </c>
      <c r="AJ2576" s="485"/>
    </row>
    <row r="2577" spans="2:36">
      <c r="B2577" s="136" t="s">
        <v>437</v>
      </c>
      <c r="C2577" s="132" t="s">
        <v>1376</v>
      </c>
      <c r="D2577" s="132" t="s">
        <v>282</v>
      </c>
      <c r="E2577" s="508">
        <v>163.572</v>
      </c>
      <c r="F2577" s="508">
        <v>133.553</v>
      </c>
      <c r="G2577" s="508">
        <v>124.77500000000001</v>
      </c>
      <c r="H2577" s="508">
        <v>114.786</v>
      </c>
      <c r="I2577" s="508">
        <v>98.733000000000004</v>
      </c>
      <c r="J2577" s="508">
        <v>115.285</v>
      </c>
      <c r="K2577" s="508">
        <v>114.08</v>
      </c>
      <c r="L2577" s="508">
        <v>113.027</v>
      </c>
      <c r="M2577" s="508">
        <v>100.43300000000001</v>
      </c>
      <c r="N2577" s="508">
        <v>107.786</v>
      </c>
      <c r="O2577" s="508">
        <v>104.36</v>
      </c>
      <c r="P2577" s="508">
        <v>102.925</v>
      </c>
      <c r="Q2577" s="508">
        <v>102.572</v>
      </c>
      <c r="R2577" s="508">
        <v>48.345999999999997</v>
      </c>
      <c r="S2577" s="508">
        <v>47.438000000000002</v>
      </c>
      <c r="T2577" s="508">
        <v>39.981999999999999</v>
      </c>
      <c r="U2577" s="508">
        <v>39.865000000000002</v>
      </c>
      <c r="V2577" s="508">
        <v>37.493000000000002</v>
      </c>
      <c r="W2577" s="508">
        <v>35.161999999999999</v>
      </c>
      <c r="X2577" s="508">
        <v>33.72</v>
      </c>
      <c r="Y2577" s="508">
        <v>31.324000000000002</v>
      </c>
      <c r="Z2577" s="508">
        <v>31.474</v>
      </c>
      <c r="AA2577" s="508">
        <v>29.234000000000002</v>
      </c>
      <c r="AB2577" s="508">
        <v>13.553000000000001</v>
      </c>
      <c r="AC2577" s="508">
        <v>11.827</v>
      </c>
      <c r="AD2577" s="508">
        <v>6.6980000000000004</v>
      </c>
      <c r="AE2577" s="508">
        <v>7.452</v>
      </c>
      <c r="AF2577" s="508">
        <v>5.9429999999999996</v>
      </c>
      <c r="AG2577" s="508">
        <v>5.9429999999999996</v>
      </c>
      <c r="AH2577" s="508">
        <v>5.9379999999999997</v>
      </c>
      <c r="AI2577" s="492">
        <v>5.9379999999999997</v>
      </c>
      <c r="AJ2577" s="485"/>
    </row>
    <row r="2578" spans="2:36">
      <c r="B2578" s="136" t="s">
        <v>438</v>
      </c>
      <c r="C2578" s="132" t="s">
        <v>1376</v>
      </c>
      <c r="D2578" s="132" t="s">
        <v>282</v>
      </c>
      <c r="E2578" s="508">
        <v>166.542</v>
      </c>
      <c r="F2578" s="508">
        <v>124.351</v>
      </c>
      <c r="G2578" s="508">
        <v>116.372</v>
      </c>
      <c r="H2578" s="508">
        <v>107.354</v>
      </c>
      <c r="I2578" s="508">
        <v>92.938000000000002</v>
      </c>
      <c r="J2578" s="508">
        <v>109.714</v>
      </c>
      <c r="K2578" s="508">
        <v>108.60599999999999</v>
      </c>
      <c r="L2578" s="508">
        <v>107.64</v>
      </c>
      <c r="M2578" s="508">
        <v>96.361000000000004</v>
      </c>
      <c r="N2578" s="508">
        <v>100.571</v>
      </c>
      <c r="O2578" s="508">
        <v>97.483999999999995</v>
      </c>
      <c r="P2578" s="508">
        <v>96.186999999999998</v>
      </c>
      <c r="Q2578" s="508">
        <v>95.863</v>
      </c>
      <c r="R2578" s="508">
        <v>44.470999999999997</v>
      </c>
      <c r="S2578" s="508">
        <v>43.65</v>
      </c>
      <c r="T2578" s="508">
        <v>36.924999999999997</v>
      </c>
      <c r="U2578" s="508">
        <v>37.786999999999999</v>
      </c>
      <c r="V2578" s="508">
        <v>35.804000000000002</v>
      </c>
      <c r="W2578" s="508">
        <v>33.857999999999997</v>
      </c>
      <c r="X2578" s="508">
        <v>32.652000000000001</v>
      </c>
      <c r="Y2578" s="508">
        <v>30.655999999999999</v>
      </c>
      <c r="Z2578" s="508">
        <v>30.776</v>
      </c>
      <c r="AA2578" s="508">
        <v>28.91</v>
      </c>
      <c r="AB2578" s="508">
        <v>12.679</v>
      </c>
      <c r="AC2578" s="508">
        <v>11.241</v>
      </c>
      <c r="AD2578" s="508">
        <v>6.1749999999999998</v>
      </c>
      <c r="AE2578" s="508">
        <v>6.7939999999999996</v>
      </c>
      <c r="AF2578" s="508">
        <v>5.5339999999999998</v>
      </c>
      <c r="AG2578" s="508">
        <v>5.5289999999999999</v>
      </c>
      <c r="AH2578" s="508">
        <v>5.524</v>
      </c>
      <c r="AI2578" s="492">
        <v>5.524</v>
      </c>
      <c r="AJ2578" s="485"/>
    </row>
    <row r="2579" spans="2:36">
      <c r="B2579" s="136" t="s">
        <v>439</v>
      </c>
      <c r="C2579" s="132" t="s">
        <v>1376</v>
      </c>
      <c r="D2579" s="132" t="s">
        <v>282</v>
      </c>
      <c r="E2579" s="508">
        <v>186.155</v>
      </c>
      <c r="F2579" s="508">
        <v>137.44900000000001</v>
      </c>
      <c r="G2579" s="508">
        <v>128.08099999999999</v>
      </c>
      <c r="H2579" s="508">
        <v>117.48399999999999</v>
      </c>
      <c r="I2579" s="508">
        <v>100.54</v>
      </c>
      <c r="J2579" s="508">
        <v>115.922</v>
      </c>
      <c r="K2579" s="508">
        <v>114.608</v>
      </c>
      <c r="L2579" s="508">
        <v>113.46299999999999</v>
      </c>
      <c r="M2579" s="508">
        <v>100.191</v>
      </c>
      <c r="N2579" s="508">
        <v>110.003</v>
      </c>
      <c r="O2579" s="508">
        <v>106.39100000000001</v>
      </c>
      <c r="P2579" s="508">
        <v>104.86499999999999</v>
      </c>
      <c r="Q2579" s="508">
        <v>104.474</v>
      </c>
      <c r="R2579" s="508">
        <v>49.892000000000003</v>
      </c>
      <c r="S2579" s="508">
        <v>48.927</v>
      </c>
      <c r="T2579" s="508">
        <v>41.091000000000001</v>
      </c>
      <c r="U2579" s="508">
        <v>40.137999999999998</v>
      </c>
      <c r="V2579" s="508">
        <v>37.482999999999997</v>
      </c>
      <c r="W2579" s="508">
        <v>34.878</v>
      </c>
      <c r="X2579" s="508">
        <v>33.265000000000001</v>
      </c>
      <c r="Y2579" s="508">
        <v>30.591999999999999</v>
      </c>
      <c r="Z2579" s="508">
        <v>30.753</v>
      </c>
      <c r="AA2579" s="508">
        <v>28.254999999999999</v>
      </c>
      <c r="AB2579" s="508">
        <v>13.839</v>
      </c>
      <c r="AC2579" s="508">
        <v>11.913</v>
      </c>
      <c r="AD2579" s="508">
        <v>6.968</v>
      </c>
      <c r="AE2579" s="508">
        <v>7.7990000000000004</v>
      </c>
      <c r="AF2579" s="508">
        <v>6.1120000000000001</v>
      </c>
      <c r="AG2579" s="508">
        <v>6.1050000000000004</v>
      </c>
      <c r="AH2579" s="508">
        <v>6.101</v>
      </c>
      <c r="AI2579" s="492">
        <v>6.101</v>
      </c>
      <c r="AJ2579" s="485"/>
    </row>
    <row r="2580" spans="2:36">
      <c r="B2580" s="136" t="s">
        <v>440</v>
      </c>
      <c r="C2580" s="132" t="s">
        <v>1376</v>
      </c>
      <c r="D2580" s="132" t="s">
        <v>282</v>
      </c>
      <c r="E2580" s="508">
        <v>205.45699999999999</v>
      </c>
      <c r="F2580" s="508">
        <v>140.44999999999999</v>
      </c>
      <c r="G2580" s="508">
        <v>130.977</v>
      </c>
      <c r="H2580" s="508">
        <v>120.497</v>
      </c>
      <c r="I2580" s="508">
        <v>104.04600000000001</v>
      </c>
      <c r="J2580" s="508">
        <v>121.637</v>
      </c>
      <c r="K2580" s="508">
        <v>120.26</v>
      </c>
      <c r="L2580" s="508">
        <v>119.071</v>
      </c>
      <c r="M2580" s="508">
        <v>106.304</v>
      </c>
      <c r="N2580" s="508">
        <v>110.795</v>
      </c>
      <c r="O2580" s="508">
        <v>107.26900000000001</v>
      </c>
      <c r="P2580" s="508">
        <v>105.76600000000001</v>
      </c>
      <c r="Q2580" s="508">
        <v>105.367</v>
      </c>
      <c r="R2580" s="508">
        <v>49.948</v>
      </c>
      <c r="S2580" s="508">
        <v>48.991999999999997</v>
      </c>
      <c r="T2580" s="508">
        <v>41.323999999999998</v>
      </c>
      <c r="U2580" s="508">
        <v>40.966000000000001</v>
      </c>
      <c r="V2580" s="508">
        <v>38.723999999999997</v>
      </c>
      <c r="W2580" s="508">
        <v>36.529000000000003</v>
      </c>
      <c r="X2580" s="508">
        <v>35.165999999999997</v>
      </c>
      <c r="Y2580" s="508">
        <v>32.92</v>
      </c>
      <c r="Z2580" s="508">
        <v>33.045000000000002</v>
      </c>
      <c r="AA2580" s="508">
        <v>30.948</v>
      </c>
      <c r="AB2580" s="508">
        <v>13.829000000000001</v>
      </c>
      <c r="AC2580" s="508">
        <v>12.214</v>
      </c>
      <c r="AD2580" s="508">
        <v>6.7910000000000004</v>
      </c>
      <c r="AE2580" s="508">
        <v>7.4710000000000001</v>
      </c>
      <c r="AF2580" s="508">
        <v>6.0490000000000004</v>
      </c>
      <c r="AG2580" s="508">
        <v>6.0339999999999998</v>
      </c>
      <c r="AH2580" s="508">
        <v>6.0289999999999999</v>
      </c>
      <c r="AI2580" s="492">
        <v>6.0289999999999999</v>
      </c>
      <c r="AJ2580" s="485"/>
    </row>
    <row r="2581" spans="2:36">
      <c r="B2581" s="136" t="s">
        <v>441</v>
      </c>
      <c r="C2581" s="132" t="s">
        <v>1376</v>
      </c>
      <c r="D2581" s="132" t="s">
        <v>282</v>
      </c>
      <c r="E2581" s="508">
        <v>206.18600000000001</v>
      </c>
      <c r="F2581" s="508">
        <v>141.685</v>
      </c>
      <c r="G2581" s="508">
        <v>132.083</v>
      </c>
      <c r="H2581" s="508">
        <v>121.428</v>
      </c>
      <c r="I2581" s="508">
        <v>104.65600000000001</v>
      </c>
      <c r="J2581" s="508">
        <v>121.598</v>
      </c>
      <c r="K2581" s="508">
        <v>120.19199999999999</v>
      </c>
      <c r="L2581" s="508">
        <v>118.974</v>
      </c>
      <c r="M2581" s="508">
        <v>105.931</v>
      </c>
      <c r="N2581" s="508">
        <v>110.363</v>
      </c>
      <c r="O2581" s="508">
        <v>106.752</v>
      </c>
      <c r="P2581" s="508">
        <v>105.205</v>
      </c>
      <c r="Q2581" s="508">
        <v>104.78400000000001</v>
      </c>
      <c r="R2581" s="508">
        <v>50.02</v>
      </c>
      <c r="S2581" s="508">
        <v>49.039000000000001</v>
      </c>
      <c r="T2581" s="508">
        <v>41.225000000000001</v>
      </c>
      <c r="U2581" s="508">
        <v>41.500999999999998</v>
      </c>
      <c r="V2581" s="508">
        <v>39.174999999999997</v>
      </c>
      <c r="W2581" s="508">
        <v>36.896999999999998</v>
      </c>
      <c r="X2581" s="508">
        <v>35.482999999999997</v>
      </c>
      <c r="Y2581" s="508">
        <v>33.151000000000003</v>
      </c>
      <c r="Z2581" s="508">
        <v>33.281999999999996</v>
      </c>
      <c r="AA2581" s="508">
        <v>31.106000000000002</v>
      </c>
      <c r="AB2581" s="508">
        <v>14.045</v>
      </c>
      <c r="AC2581" s="508">
        <v>12.367000000000001</v>
      </c>
      <c r="AD2581" s="508">
        <v>6.9320000000000004</v>
      </c>
      <c r="AE2581" s="508">
        <v>7.64</v>
      </c>
      <c r="AF2581" s="508">
        <v>6.1639999999999997</v>
      </c>
      <c r="AG2581" s="508">
        <v>6.15</v>
      </c>
      <c r="AH2581" s="508">
        <v>6.1449999999999996</v>
      </c>
      <c r="AI2581" s="492">
        <v>6.1449999999999996</v>
      </c>
      <c r="AJ2581" s="485"/>
    </row>
    <row r="2582" spans="2:36">
      <c r="B2582" s="136" t="s">
        <v>443</v>
      </c>
      <c r="C2582" s="132" t="s">
        <v>1376</v>
      </c>
      <c r="D2582" s="132" t="s">
        <v>282</v>
      </c>
      <c r="E2582" s="508">
        <v>195.21899999999999</v>
      </c>
      <c r="F2582" s="508">
        <v>137.14400000000001</v>
      </c>
      <c r="G2582" s="508">
        <v>127.68300000000001</v>
      </c>
      <c r="H2582" s="508">
        <v>117.08499999999999</v>
      </c>
      <c r="I2582" s="508">
        <v>100.271</v>
      </c>
      <c r="J2582" s="508">
        <v>116.414</v>
      </c>
      <c r="K2582" s="508">
        <v>115.062</v>
      </c>
      <c r="L2582" s="508">
        <v>113.88800000000001</v>
      </c>
      <c r="M2582" s="508">
        <v>100.768</v>
      </c>
      <c r="N2582" s="508">
        <v>104.949</v>
      </c>
      <c r="O2582" s="508">
        <v>101.337</v>
      </c>
      <c r="P2582" s="508">
        <v>99.804000000000002</v>
      </c>
      <c r="Q2582" s="508">
        <v>99.403000000000006</v>
      </c>
      <c r="R2582" s="508">
        <v>50.198</v>
      </c>
      <c r="S2582" s="508">
        <v>49.225999999999999</v>
      </c>
      <c r="T2582" s="508">
        <v>41.387</v>
      </c>
      <c r="U2582" s="508">
        <v>41.834000000000003</v>
      </c>
      <c r="V2582" s="508">
        <v>39.496000000000002</v>
      </c>
      <c r="W2582" s="508">
        <v>37.204000000000001</v>
      </c>
      <c r="X2582" s="508">
        <v>35.783000000000001</v>
      </c>
      <c r="Y2582" s="508">
        <v>33.433999999999997</v>
      </c>
      <c r="Z2582" s="508">
        <v>33.57</v>
      </c>
      <c r="AA2582" s="508">
        <v>31.376999999999999</v>
      </c>
      <c r="AB2582" s="508">
        <v>14.143000000000001</v>
      </c>
      <c r="AC2582" s="508">
        <v>12.452999999999999</v>
      </c>
      <c r="AD2582" s="508">
        <v>6.9050000000000002</v>
      </c>
      <c r="AE2582" s="508">
        <v>7.6260000000000003</v>
      </c>
      <c r="AF2582" s="508">
        <v>6.141</v>
      </c>
      <c r="AG2582" s="508">
        <v>6.1319999999999997</v>
      </c>
      <c r="AH2582" s="508">
        <v>6.1260000000000003</v>
      </c>
      <c r="AI2582" s="492">
        <v>6.1260000000000003</v>
      </c>
      <c r="AJ2582" s="485"/>
    </row>
    <row r="2583" spans="2:36">
      <c r="B2583" s="136" t="s">
        <v>445</v>
      </c>
      <c r="C2583" s="132" t="s">
        <v>1376</v>
      </c>
      <c r="D2583" s="132" t="s">
        <v>282</v>
      </c>
      <c r="E2583" s="508">
        <v>217.25399999999999</v>
      </c>
      <c r="F2583" s="508">
        <v>153.80799999999999</v>
      </c>
      <c r="G2583" s="508">
        <v>143.18199999999999</v>
      </c>
      <c r="H2583" s="508">
        <v>131.251</v>
      </c>
      <c r="I2583" s="508">
        <v>112.289</v>
      </c>
      <c r="J2583" s="508">
        <v>129.96100000000001</v>
      </c>
      <c r="K2583" s="508">
        <v>128.452</v>
      </c>
      <c r="L2583" s="508">
        <v>127.14</v>
      </c>
      <c r="M2583" s="508">
        <v>112.333</v>
      </c>
      <c r="N2583" s="508">
        <v>116.986</v>
      </c>
      <c r="O2583" s="508">
        <v>112.914</v>
      </c>
      <c r="P2583" s="508">
        <v>111.19</v>
      </c>
      <c r="Q2583" s="508">
        <v>110.74299999999999</v>
      </c>
      <c r="R2583" s="508">
        <v>56.023000000000003</v>
      </c>
      <c r="S2583" s="508">
        <v>54.93</v>
      </c>
      <c r="T2583" s="508">
        <v>46.088999999999999</v>
      </c>
      <c r="U2583" s="508">
        <v>46.558999999999997</v>
      </c>
      <c r="V2583" s="508">
        <v>43.920999999999999</v>
      </c>
      <c r="W2583" s="508">
        <v>41.335000000000001</v>
      </c>
      <c r="X2583" s="508">
        <v>39.731000000000002</v>
      </c>
      <c r="Y2583" s="508">
        <v>37.08</v>
      </c>
      <c r="Z2583" s="508">
        <v>37.234999999999999</v>
      </c>
      <c r="AA2583" s="508">
        <v>34.759</v>
      </c>
      <c r="AB2583" s="508">
        <v>15.763</v>
      </c>
      <c r="AC2583" s="508">
        <v>13.853999999999999</v>
      </c>
      <c r="AD2583" s="508">
        <v>7.7080000000000002</v>
      </c>
      <c r="AE2583" s="508">
        <v>8.5239999999999991</v>
      </c>
      <c r="AF2583" s="508">
        <v>6.8479999999999999</v>
      </c>
      <c r="AG2583" s="508">
        <v>6.8380000000000001</v>
      </c>
      <c r="AH2583" s="508">
        <v>6.8319999999999999</v>
      </c>
      <c r="AI2583" s="492">
        <v>6.8330000000000002</v>
      </c>
      <c r="AJ2583" s="485"/>
    </row>
    <row r="2584" spans="2:36">
      <c r="B2584" s="136" t="s">
        <v>446</v>
      </c>
      <c r="C2584" s="132" t="s">
        <v>1376</v>
      </c>
      <c r="D2584" s="132" t="s">
        <v>282</v>
      </c>
      <c r="E2584" s="508">
        <v>174.84399999999999</v>
      </c>
      <c r="F2584" s="508">
        <v>142.91</v>
      </c>
      <c r="G2584" s="508">
        <v>133.44800000000001</v>
      </c>
      <c r="H2584" s="508">
        <v>122.681</v>
      </c>
      <c r="I2584" s="508">
        <v>105.378</v>
      </c>
      <c r="J2584" s="508">
        <v>123.116</v>
      </c>
      <c r="K2584" s="508">
        <v>121.846</v>
      </c>
      <c r="L2584" s="508">
        <v>120.735</v>
      </c>
      <c r="M2584" s="508">
        <v>107.18</v>
      </c>
      <c r="N2584" s="508">
        <v>111.79600000000001</v>
      </c>
      <c r="O2584" s="508">
        <v>108.113</v>
      </c>
      <c r="P2584" s="508">
        <v>106.586</v>
      </c>
      <c r="Q2584" s="508">
        <v>106.232</v>
      </c>
      <c r="R2584" s="508">
        <v>52.055</v>
      </c>
      <c r="S2584" s="508">
        <v>51.085999999999999</v>
      </c>
      <c r="T2584" s="508">
        <v>43.008000000000003</v>
      </c>
      <c r="U2584" s="508">
        <v>41.462000000000003</v>
      </c>
      <c r="V2584" s="508">
        <v>39.378999999999998</v>
      </c>
      <c r="W2584" s="508">
        <v>37.332000000000001</v>
      </c>
      <c r="X2584" s="508">
        <v>36.064999999999998</v>
      </c>
      <c r="Y2584" s="508">
        <v>33.962000000000003</v>
      </c>
      <c r="Z2584" s="508">
        <v>34.094000000000001</v>
      </c>
      <c r="AA2584" s="508">
        <v>32.125999999999998</v>
      </c>
      <c r="AB2584" s="508">
        <v>13.837999999999999</v>
      </c>
      <c r="AC2584" s="508">
        <v>12.321</v>
      </c>
      <c r="AD2584" s="508">
        <v>6.649</v>
      </c>
      <c r="AE2584" s="508">
        <v>7.3120000000000003</v>
      </c>
      <c r="AF2584" s="508">
        <v>5.9859999999999998</v>
      </c>
      <c r="AG2584" s="508">
        <v>5.9859999999999998</v>
      </c>
      <c r="AH2584" s="508">
        <v>5.9809999999999999</v>
      </c>
      <c r="AI2584" s="492">
        <v>5.9809999999999999</v>
      </c>
      <c r="AJ2584" s="485"/>
    </row>
    <row r="2585" spans="2:36">
      <c r="B2585" s="136" t="s">
        <v>448</v>
      </c>
      <c r="C2585" s="132" t="s">
        <v>1376</v>
      </c>
      <c r="D2585" s="132" t="s">
        <v>282</v>
      </c>
      <c r="E2585" s="508">
        <v>169.05799999999999</v>
      </c>
      <c r="F2585" s="508">
        <v>127.346</v>
      </c>
      <c r="G2585" s="508">
        <v>119.116</v>
      </c>
      <c r="H2585" s="508">
        <v>109.798</v>
      </c>
      <c r="I2585" s="508">
        <v>94.887</v>
      </c>
      <c r="J2585" s="508">
        <v>111.70399999999999</v>
      </c>
      <c r="K2585" s="508">
        <v>110.58</v>
      </c>
      <c r="L2585" s="508">
        <v>109.6</v>
      </c>
      <c r="M2585" s="508">
        <v>97.936999999999998</v>
      </c>
      <c r="N2585" s="508">
        <v>102.212</v>
      </c>
      <c r="O2585" s="508">
        <v>99.033000000000001</v>
      </c>
      <c r="P2585" s="508">
        <v>97.706999999999994</v>
      </c>
      <c r="Q2585" s="508">
        <v>97.388999999999996</v>
      </c>
      <c r="R2585" s="508">
        <v>45.726999999999997</v>
      </c>
      <c r="S2585" s="508">
        <v>44.886000000000003</v>
      </c>
      <c r="T2585" s="508">
        <v>37.926000000000002</v>
      </c>
      <c r="U2585" s="508">
        <v>36.680999999999997</v>
      </c>
      <c r="V2585" s="508">
        <v>34.884</v>
      </c>
      <c r="W2585" s="508">
        <v>33.119999999999997</v>
      </c>
      <c r="X2585" s="508">
        <v>32.027000000000001</v>
      </c>
      <c r="Y2585" s="508">
        <v>30.216999999999999</v>
      </c>
      <c r="Z2585" s="508">
        <v>30.326000000000001</v>
      </c>
      <c r="AA2585" s="508">
        <v>28.634</v>
      </c>
      <c r="AB2585" s="508">
        <v>12.22</v>
      </c>
      <c r="AC2585" s="508">
        <v>10.916</v>
      </c>
      <c r="AD2585" s="508">
        <v>5.8929999999999998</v>
      </c>
      <c r="AE2585" s="508">
        <v>6.4560000000000004</v>
      </c>
      <c r="AF2585" s="508">
        <v>5.3129999999999997</v>
      </c>
      <c r="AG2585" s="508">
        <v>5.3090000000000002</v>
      </c>
      <c r="AH2585" s="508">
        <v>5.3040000000000003</v>
      </c>
      <c r="AI2585" s="492">
        <v>5.3040000000000003</v>
      </c>
      <c r="AJ2585" s="485"/>
    </row>
    <row r="2586" spans="2:36">
      <c r="B2586" s="136" t="s">
        <v>449</v>
      </c>
      <c r="C2586" s="132" t="s">
        <v>1376</v>
      </c>
      <c r="D2586" s="132" t="s">
        <v>282</v>
      </c>
      <c r="E2586" s="508">
        <v>173.02</v>
      </c>
      <c r="F2586" s="508">
        <v>141.166</v>
      </c>
      <c r="G2586" s="508">
        <v>131.72800000000001</v>
      </c>
      <c r="H2586" s="508">
        <v>120.988</v>
      </c>
      <c r="I2586" s="508">
        <v>103.72799999999999</v>
      </c>
      <c r="J2586" s="508">
        <v>120.78400000000001</v>
      </c>
      <c r="K2586" s="508">
        <v>119.498</v>
      </c>
      <c r="L2586" s="508">
        <v>118.375</v>
      </c>
      <c r="M2586" s="508">
        <v>104.84</v>
      </c>
      <c r="N2586" s="508">
        <v>109.307</v>
      </c>
      <c r="O2586" s="508">
        <v>105.617</v>
      </c>
      <c r="P2586" s="508">
        <v>104.077</v>
      </c>
      <c r="Q2586" s="508">
        <v>103.706</v>
      </c>
      <c r="R2586" s="508">
        <v>51.555</v>
      </c>
      <c r="S2586" s="508">
        <v>50.58</v>
      </c>
      <c r="T2586" s="508">
        <v>42.524000000000001</v>
      </c>
      <c r="U2586" s="508">
        <v>43.35</v>
      </c>
      <c r="V2586" s="508">
        <v>40.978999999999999</v>
      </c>
      <c r="W2586" s="508">
        <v>38.65</v>
      </c>
      <c r="X2586" s="508">
        <v>37.21</v>
      </c>
      <c r="Y2586" s="508">
        <v>34.816000000000003</v>
      </c>
      <c r="Z2586" s="508">
        <v>34.966999999999999</v>
      </c>
      <c r="AA2586" s="508">
        <v>32.728000000000002</v>
      </c>
      <c r="AB2586" s="508">
        <v>14.597</v>
      </c>
      <c r="AC2586" s="508">
        <v>12.872</v>
      </c>
      <c r="AD2586" s="508">
        <v>7.0940000000000003</v>
      </c>
      <c r="AE2586" s="508">
        <v>7.8479999999999999</v>
      </c>
      <c r="AF2586" s="508">
        <v>6.34</v>
      </c>
      <c r="AG2586" s="508">
        <v>6.34</v>
      </c>
      <c r="AH2586" s="508">
        <v>6.3339999999999996</v>
      </c>
      <c r="AI2586" s="492">
        <v>6.3339999999999996</v>
      </c>
      <c r="AJ2586" s="485"/>
    </row>
    <row r="2587" spans="2:36">
      <c r="B2587" s="136" t="s">
        <v>450</v>
      </c>
      <c r="C2587" s="132" t="s">
        <v>1376</v>
      </c>
      <c r="D2587" s="132" t="s">
        <v>282</v>
      </c>
      <c r="E2587" s="508">
        <v>195.06100000000001</v>
      </c>
      <c r="F2587" s="508">
        <v>132.642</v>
      </c>
      <c r="G2587" s="508">
        <v>123.699</v>
      </c>
      <c r="H2587" s="508">
        <v>113.83199999999999</v>
      </c>
      <c r="I2587" s="508">
        <v>98.376999999999995</v>
      </c>
      <c r="J2587" s="508">
        <v>115.535</v>
      </c>
      <c r="K2587" s="508">
        <v>114.23099999999999</v>
      </c>
      <c r="L2587" s="508">
        <v>113.104</v>
      </c>
      <c r="M2587" s="508">
        <v>101.126</v>
      </c>
      <c r="N2587" s="508">
        <v>105.40600000000001</v>
      </c>
      <c r="O2587" s="508">
        <v>102.09699999999999</v>
      </c>
      <c r="P2587" s="508">
        <v>100.68300000000001</v>
      </c>
      <c r="Q2587" s="508">
        <v>100.306</v>
      </c>
      <c r="R2587" s="508">
        <v>47.564</v>
      </c>
      <c r="S2587" s="508">
        <v>46.664999999999999</v>
      </c>
      <c r="T2587" s="508">
        <v>39.463000000000001</v>
      </c>
      <c r="U2587" s="508">
        <v>39.040999999999997</v>
      </c>
      <c r="V2587" s="508">
        <v>36.942999999999998</v>
      </c>
      <c r="W2587" s="508">
        <v>34.887999999999998</v>
      </c>
      <c r="X2587" s="508">
        <v>33.612000000000002</v>
      </c>
      <c r="Y2587" s="508">
        <v>31.510999999999999</v>
      </c>
      <c r="Z2587" s="508">
        <v>31.626999999999999</v>
      </c>
      <c r="AA2587" s="508">
        <v>29.666</v>
      </c>
      <c r="AB2587" s="508">
        <v>13.156000000000001</v>
      </c>
      <c r="AC2587" s="508">
        <v>11.644</v>
      </c>
      <c r="AD2587" s="508">
        <v>6.4329999999999998</v>
      </c>
      <c r="AE2587" s="508">
        <v>7.0670000000000002</v>
      </c>
      <c r="AF2587" s="508">
        <v>5.7350000000000003</v>
      </c>
      <c r="AG2587" s="508">
        <v>5.7210000000000001</v>
      </c>
      <c r="AH2587" s="508">
        <v>5.7160000000000002</v>
      </c>
      <c r="AI2587" s="492">
        <v>5.7160000000000002</v>
      </c>
      <c r="AJ2587" s="485"/>
    </row>
    <row r="2588" spans="2:36">
      <c r="B2588" s="136" t="s">
        <v>451</v>
      </c>
      <c r="C2588" s="132" t="s">
        <v>1376</v>
      </c>
      <c r="D2588" s="132" t="s">
        <v>282</v>
      </c>
      <c r="E2588" s="508">
        <v>220.77799999999999</v>
      </c>
      <c r="F2588" s="508">
        <v>151.001</v>
      </c>
      <c r="G2588" s="508">
        <v>140.54499999999999</v>
      </c>
      <c r="H2588" s="508">
        <v>128.935</v>
      </c>
      <c r="I2588" s="508">
        <v>110.645</v>
      </c>
      <c r="J2588" s="508">
        <v>128.16200000000001</v>
      </c>
      <c r="K2588" s="508">
        <v>126.652</v>
      </c>
      <c r="L2588" s="508">
        <v>125.34399999999999</v>
      </c>
      <c r="M2588" s="508">
        <v>111.127</v>
      </c>
      <c r="N2588" s="508">
        <v>115.72799999999999</v>
      </c>
      <c r="O2588" s="508">
        <v>111.806</v>
      </c>
      <c r="P2588" s="508">
        <v>110.137</v>
      </c>
      <c r="Q2588" s="508">
        <v>109.69499999999999</v>
      </c>
      <c r="R2588" s="508">
        <v>54.316000000000003</v>
      </c>
      <c r="S2588" s="508">
        <v>53.255000000000003</v>
      </c>
      <c r="T2588" s="508">
        <v>44.731000000000002</v>
      </c>
      <c r="U2588" s="508">
        <v>44.987000000000002</v>
      </c>
      <c r="V2588" s="508">
        <v>42.390999999999998</v>
      </c>
      <c r="W2588" s="508">
        <v>39.848999999999997</v>
      </c>
      <c r="X2588" s="508">
        <v>38.271000000000001</v>
      </c>
      <c r="Y2588" s="508">
        <v>35.667999999999999</v>
      </c>
      <c r="Z2588" s="508">
        <v>35.814999999999998</v>
      </c>
      <c r="AA2588" s="508">
        <v>33.384999999999998</v>
      </c>
      <c r="AB2588" s="508">
        <v>15.273999999999999</v>
      </c>
      <c r="AC2588" s="508">
        <v>13.401999999999999</v>
      </c>
      <c r="AD2588" s="508">
        <v>7.5259999999999998</v>
      </c>
      <c r="AE2588" s="508">
        <v>8.3170000000000002</v>
      </c>
      <c r="AF2588" s="508">
        <v>6.6689999999999996</v>
      </c>
      <c r="AG2588" s="508">
        <v>6.6539999999999999</v>
      </c>
      <c r="AH2588" s="508">
        <v>6.649</v>
      </c>
      <c r="AI2588" s="492">
        <v>6.649</v>
      </c>
      <c r="AJ2588" s="485"/>
    </row>
    <row r="2589" spans="2:36">
      <c r="B2589" s="136" t="s">
        <v>452</v>
      </c>
      <c r="C2589" s="132" t="s">
        <v>1376</v>
      </c>
      <c r="D2589" s="132" t="s">
        <v>282</v>
      </c>
      <c r="E2589" s="508">
        <v>201.559</v>
      </c>
      <c r="F2589" s="508">
        <v>139.31700000000001</v>
      </c>
      <c r="G2589" s="508">
        <v>129.88399999999999</v>
      </c>
      <c r="H2589" s="508">
        <v>119.39400000000001</v>
      </c>
      <c r="I2589" s="508">
        <v>102.85</v>
      </c>
      <c r="J2589" s="508">
        <v>120.309</v>
      </c>
      <c r="K2589" s="508">
        <v>118.96899999999999</v>
      </c>
      <c r="L2589" s="508">
        <v>117.809</v>
      </c>
      <c r="M2589" s="508">
        <v>104.956</v>
      </c>
      <c r="N2589" s="508">
        <v>109.4</v>
      </c>
      <c r="O2589" s="508">
        <v>105.869</v>
      </c>
      <c r="P2589" s="508">
        <v>104.379</v>
      </c>
      <c r="Q2589" s="508">
        <v>104.001</v>
      </c>
      <c r="R2589" s="508">
        <v>50.337000000000003</v>
      </c>
      <c r="S2589" s="508">
        <v>49.389000000000003</v>
      </c>
      <c r="T2589" s="508">
        <v>41.673999999999999</v>
      </c>
      <c r="U2589" s="508">
        <v>42.439</v>
      </c>
      <c r="V2589" s="508">
        <v>40.012</v>
      </c>
      <c r="W2589" s="508">
        <v>37.634999999999998</v>
      </c>
      <c r="X2589" s="508">
        <v>36.159999999999997</v>
      </c>
      <c r="Y2589" s="508">
        <v>33.726999999999997</v>
      </c>
      <c r="Z2589" s="508">
        <v>33.865000000000002</v>
      </c>
      <c r="AA2589" s="508">
        <v>31.593</v>
      </c>
      <c r="AB2589" s="508">
        <v>14.391999999999999</v>
      </c>
      <c r="AC2589" s="508">
        <v>12.641</v>
      </c>
      <c r="AD2589" s="508">
        <v>7.0789999999999997</v>
      </c>
      <c r="AE2589" s="508">
        <v>7.82</v>
      </c>
      <c r="AF2589" s="508">
        <v>6.28</v>
      </c>
      <c r="AG2589" s="508">
        <v>6.266</v>
      </c>
      <c r="AH2589" s="508">
        <v>6.2610000000000001</v>
      </c>
      <c r="AI2589" s="492">
        <v>6.2610000000000001</v>
      </c>
      <c r="AJ2589" s="485"/>
    </row>
    <row r="2590" spans="2:36">
      <c r="B2590" s="136" t="s">
        <v>453</v>
      </c>
      <c r="C2590" s="132" t="s">
        <v>1376</v>
      </c>
      <c r="D2590" s="132" t="s">
        <v>282</v>
      </c>
      <c r="E2590" s="508">
        <v>184.994</v>
      </c>
      <c r="F2590" s="508">
        <v>126.021</v>
      </c>
      <c r="G2590" s="508">
        <v>117.56399999999999</v>
      </c>
      <c r="H2590" s="508">
        <v>108.233</v>
      </c>
      <c r="I2590" s="508">
        <v>93.614999999999995</v>
      </c>
      <c r="J2590" s="508">
        <v>110.11799999999999</v>
      </c>
      <c r="K2590" s="508">
        <v>108.86799999999999</v>
      </c>
      <c r="L2590" s="508">
        <v>107.789</v>
      </c>
      <c r="M2590" s="508">
        <v>96.447999999999993</v>
      </c>
      <c r="N2590" s="508">
        <v>100.527</v>
      </c>
      <c r="O2590" s="508">
        <v>97.382999999999996</v>
      </c>
      <c r="P2590" s="508">
        <v>96.031000000000006</v>
      </c>
      <c r="Q2590" s="508">
        <v>95.659000000000006</v>
      </c>
      <c r="R2590" s="508">
        <v>45.104999999999997</v>
      </c>
      <c r="S2590" s="508">
        <v>44.247</v>
      </c>
      <c r="T2590" s="508">
        <v>37.436999999999998</v>
      </c>
      <c r="U2590" s="508">
        <v>37.960999999999999</v>
      </c>
      <c r="V2590" s="508">
        <v>35.962000000000003</v>
      </c>
      <c r="W2590" s="508">
        <v>34.003999999999998</v>
      </c>
      <c r="X2590" s="508">
        <v>32.789000000000001</v>
      </c>
      <c r="Y2590" s="508">
        <v>30.786999999999999</v>
      </c>
      <c r="Z2590" s="508">
        <v>30.898</v>
      </c>
      <c r="AA2590" s="508">
        <v>29.029</v>
      </c>
      <c r="AB2590" s="508">
        <v>12.763</v>
      </c>
      <c r="AC2590" s="508">
        <v>11.323</v>
      </c>
      <c r="AD2590" s="508">
        <v>6.2249999999999996</v>
      </c>
      <c r="AE2590" s="508">
        <v>6.8289999999999997</v>
      </c>
      <c r="AF2590" s="508">
        <v>5.5609999999999999</v>
      </c>
      <c r="AG2590" s="508">
        <v>5.5469999999999997</v>
      </c>
      <c r="AH2590" s="508">
        <v>5.5419999999999998</v>
      </c>
      <c r="AI2590" s="492">
        <v>5.5419999999999998</v>
      </c>
      <c r="AJ2590" s="485"/>
    </row>
    <row r="2591" spans="2:36">
      <c r="B2591" s="136" t="s">
        <v>454</v>
      </c>
      <c r="C2591" s="132" t="s">
        <v>1376</v>
      </c>
      <c r="D2591" s="132" t="s">
        <v>282</v>
      </c>
      <c r="E2591" s="508">
        <v>180.61600000000001</v>
      </c>
      <c r="F2591" s="508">
        <v>128.53</v>
      </c>
      <c r="G2591" s="508">
        <v>120.04</v>
      </c>
      <c r="H2591" s="508">
        <v>110.52800000000001</v>
      </c>
      <c r="I2591" s="508">
        <v>95.435000000000002</v>
      </c>
      <c r="J2591" s="508">
        <v>112.041</v>
      </c>
      <c r="K2591" s="508">
        <v>110.83199999999999</v>
      </c>
      <c r="L2591" s="508">
        <v>109.782</v>
      </c>
      <c r="M2591" s="508">
        <v>98.007000000000005</v>
      </c>
      <c r="N2591" s="508">
        <v>102.203</v>
      </c>
      <c r="O2591" s="508">
        <v>98.963999999999999</v>
      </c>
      <c r="P2591" s="508">
        <v>97.590999999999994</v>
      </c>
      <c r="Q2591" s="508">
        <v>97.234999999999999</v>
      </c>
      <c r="R2591" s="508">
        <v>46.106000000000002</v>
      </c>
      <c r="S2591" s="508">
        <v>45.235999999999997</v>
      </c>
      <c r="T2591" s="508">
        <v>38.198999999999998</v>
      </c>
      <c r="U2591" s="508">
        <v>38.929000000000002</v>
      </c>
      <c r="V2591" s="508">
        <v>36.854999999999997</v>
      </c>
      <c r="W2591" s="508">
        <v>34.822000000000003</v>
      </c>
      <c r="X2591" s="508">
        <v>33.561</v>
      </c>
      <c r="Y2591" s="508">
        <v>31.478000000000002</v>
      </c>
      <c r="Z2591" s="508">
        <v>31.599</v>
      </c>
      <c r="AA2591" s="508">
        <v>29.652999999999999</v>
      </c>
      <c r="AB2591" s="508">
        <v>13.092000000000001</v>
      </c>
      <c r="AC2591" s="508">
        <v>11.592000000000001</v>
      </c>
      <c r="AD2591" s="508">
        <v>6.3869999999999996</v>
      </c>
      <c r="AE2591" s="508">
        <v>7.0259999999999998</v>
      </c>
      <c r="AF2591" s="508">
        <v>5.7089999999999996</v>
      </c>
      <c r="AG2591" s="508">
        <v>5.7009999999999996</v>
      </c>
      <c r="AH2591" s="508">
        <v>5.6950000000000003</v>
      </c>
      <c r="AI2591" s="492">
        <v>5.6950000000000003</v>
      </c>
      <c r="AJ2591" s="485"/>
    </row>
    <row r="2592" spans="2:36">
      <c r="B2592" s="136" t="s">
        <v>455</v>
      </c>
      <c r="C2592" s="132" t="s">
        <v>1376</v>
      </c>
      <c r="D2592" s="132" t="s">
        <v>282</v>
      </c>
      <c r="E2592" s="508">
        <v>174.40299999999999</v>
      </c>
      <c r="F2592" s="508">
        <v>125.72799999999999</v>
      </c>
      <c r="G2592" s="508">
        <v>117.666</v>
      </c>
      <c r="H2592" s="508">
        <v>108.622</v>
      </c>
      <c r="I2592" s="508">
        <v>94.256</v>
      </c>
      <c r="J2592" s="508">
        <v>111.48399999999999</v>
      </c>
      <c r="K2592" s="508">
        <v>110.36</v>
      </c>
      <c r="L2592" s="508">
        <v>109.38500000000001</v>
      </c>
      <c r="M2592" s="508">
        <v>98.186000000000007</v>
      </c>
      <c r="N2592" s="508">
        <v>102.49</v>
      </c>
      <c r="O2592" s="508">
        <v>99.427000000000007</v>
      </c>
      <c r="P2592" s="508">
        <v>98.141000000000005</v>
      </c>
      <c r="Q2592" s="508">
        <v>97.823999999999998</v>
      </c>
      <c r="R2592" s="508">
        <v>44.656999999999996</v>
      </c>
      <c r="S2592" s="508">
        <v>43.84</v>
      </c>
      <c r="T2592" s="508">
        <v>37.137999999999998</v>
      </c>
      <c r="U2592" s="508">
        <v>37.896000000000001</v>
      </c>
      <c r="V2592" s="508">
        <v>35.805999999999997</v>
      </c>
      <c r="W2592" s="508">
        <v>33.758000000000003</v>
      </c>
      <c r="X2592" s="508">
        <v>32.488</v>
      </c>
      <c r="Y2592" s="508">
        <v>30.388000000000002</v>
      </c>
      <c r="Z2592" s="508">
        <v>30.51</v>
      </c>
      <c r="AA2592" s="508">
        <v>28.548999999999999</v>
      </c>
      <c r="AB2592" s="508">
        <v>12.791</v>
      </c>
      <c r="AC2592" s="508">
        <v>11.28</v>
      </c>
      <c r="AD2592" s="508">
        <v>6.2859999999999996</v>
      </c>
      <c r="AE2592" s="508">
        <v>6.9320000000000004</v>
      </c>
      <c r="AF2592" s="508">
        <v>5.6040000000000001</v>
      </c>
      <c r="AG2592" s="508">
        <v>5.5960000000000001</v>
      </c>
      <c r="AH2592" s="508">
        <v>5.5910000000000002</v>
      </c>
      <c r="AI2592" s="492">
        <v>5.5910000000000002</v>
      </c>
      <c r="AJ2592" s="485"/>
    </row>
    <row r="2593" spans="2:36">
      <c r="B2593" s="136" t="s">
        <v>456</v>
      </c>
      <c r="C2593" s="132" t="s">
        <v>1376</v>
      </c>
      <c r="D2593" s="132" t="s">
        <v>282</v>
      </c>
      <c r="E2593" s="508">
        <v>163.88399999999999</v>
      </c>
      <c r="F2593" s="508">
        <v>129.25</v>
      </c>
      <c r="G2593" s="508">
        <v>120.914</v>
      </c>
      <c r="H2593" s="508">
        <v>111.438</v>
      </c>
      <c r="I2593" s="508">
        <v>96.222999999999999</v>
      </c>
      <c r="J2593" s="508">
        <v>113.242</v>
      </c>
      <c r="K2593" s="508">
        <v>112.119</v>
      </c>
      <c r="L2593" s="508">
        <v>111.139</v>
      </c>
      <c r="M2593" s="508">
        <v>99.222999999999999</v>
      </c>
      <c r="N2593" s="508">
        <v>103.56699999999999</v>
      </c>
      <c r="O2593" s="508">
        <v>100.328</v>
      </c>
      <c r="P2593" s="508">
        <v>98.983000000000004</v>
      </c>
      <c r="Q2593" s="508">
        <v>98.67</v>
      </c>
      <c r="R2593" s="508">
        <v>46.569000000000003</v>
      </c>
      <c r="S2593" s="508">
        <v>45.716999999999999</v>
      </c>
      <c r="T2593" s="508">
        <v>38.613</v>
      </c>
      <c r="U2593" s="508">
        <v>37.399000000000001</v>
      </c>
      <c r="V2593" s="508">
        <v>35.564</v>
      </c>
      <c r="W2593" s="508">
        <v>33.762</v>
      </c>
      <c r="X2593" s="508">
        <v>32.646999999999998</v>
      </c>
      <c r="Y2593" s="508">
        <v>30.795999999999999</v>
      </c>
      <c r="Z2593" s="508">
        <v>30.911000000000001</v>
      </c>
      <c r="AA2593" s="508">
        <v>29.181000000000001</v>
      </c>
      <c r="AB2593" s="508">
        <v>12.456</v>
      </c>
      <c r="AC2593" s="508">
        <v>11.122</v>
      </c>
      <c r="AD2593" s="508">
        <v>5.9960000000000004</v>
      </c>
      <c r="AE2593" s="508">
        <v>6.5759999999999996</v>
      </c>
      <c r="AF2593" s="508">
        <v>5.4089999999999998</v>
      </c>
      <c r="AG2593" s="508">
        <v>5.4080000000000004</v>
      </c>
      <c r="AH2593" s="508">
        <v>5.4020000000000001</v>
      </c>
      <c r="AI2593" s="492">
        <v>5.4020000000000001</v>
      </c>
      <c r="AJ2593" s="485"/>
    </row>
    <row r="2594" spans="2:36">
      <c r="B2594" s="136" t="s">
        <v>457</v>
      </c>
      <c r="C2594" s="132" t="s">
        <v>1376</v>
      </c>
      <c r="D2594" s="132" t="s">
        <v>282</v>
      </c>
      <c r="E2594" s="508">
        <v>183.108</v>
      </c>
      <c r="F2594" s="508">
        <v>121.92700000000001</v>
      </c>
      <c r="G2594" s="508">
        <v>113.643</v>
      </c>
      <c r="H2594" s="508">
        <v>104.608</v>
      </c>
      <c r="I2594" s="508">
        <v>90.596000000000004</v>
      </c>
      <c r="J2594" s="508">
        <v>106.60599999999999</v>
      </c>
      <c r="K2594" s="508">
        <v>105.36</v>
      </c>
      <c r="L2594" s="508">
        <v>104.288</v>
      </c>
      <c r="M2594" s="508">
        <v>93.472999999999999</v>
      </c>
      <c r="N2594" s="508">
        <v>97.4</v>
      </c>
      <c r="O2594" s="508">
        <v>94.39</v>
      </c>
      <c r="P2594" s="508">
        <v>93.088999999999999</v>
      </c>
      <c r="Q2594" s="508">
        <v>92.722999999999999</v>
      </c>
      <c r="R2594" s="508">
        <v>43.523000000000003</v>
      </c>
      <c r="S2594" s="508">
        <v>42.695</v>
      </c>
      <c r="T2594" s="508">
        <v>36.17</v>
      </c>
      <c r="U2594" s="508">
        <v>34.552999999999997</v>
      </c>
      <c r="V2594" s="508">
        <v>32.881</v>
      </c>
      <c r="W2594" s="508">
        <v>31.245999999999999</v>
      </c>
      <c r="X2594" s="508">
        <v>30.23</v>
      </c>
      <c r="Y2594" s="508">
        <v>28.56</v>
      </c>
      <c r="Z2594" s="508">
        <v>28.648</v>
      </c>
      <c r="AA2594" s="508">
        <v>27.091000000000001</v>
      </c>
      <c r="AB2594" s="508">
        <v>11.523</v>
      </c>
      <c r="AC2594" s="508">
        <v>10.323</v>
      </c>
      <c r="AD2594" s="508">
        <v>5.57</v>
      </c>
      <c r="AE2594" s="508">
        <v>6.0670000000000002</v>
      </c>
      <c r="AF2594" s="508">
        <v>5.0069999999999997</v>
      </c>
      <c r="AG2594" s="508">
        <v>4.9930000000000003</v>
      </c>
      <c r="AH2594" s="508">
        <v>4.9870000000000001</v>
      </c>
      <c r="AI2594" s="492">
        <v>4.9870000000000001</v>
      </c>
      <c r="AJ2594" s="485"/>
    </row>
    <row r="2595" spans="2:36">
      <c r="B2595" s="136" t="s">
        <v>458</v>
      </c>
      <c r="C2595" s="132" t="s">
        <v>1376</v>
      </c>
      <c r="D2595" s="132" t="s">
        <v>282</v>
      </c>
      <c r="E2595" s="508">
        <v>188.494</v>
      </c>
      <c r="F2595" s="508">
        <v>134.059</v>
      </c>
      <c r="G2595" s="508">
        <v>125.163</v>
      </c>
      <c r="H2595" s="508">
        <v>115.19199999999999</v>
      </c>
      <c r="I2595" s="508">
        <v>99.369</v>
      </c>
      <c r="J2595" s="508">
        <v>116.05200000000001</v>
      </c>
      <c r="K2595" s="508">
        <v>114.788</v>
      </c>
      <c r="L2595" s="508">
        <v>113.68899999999999</v>
      </c>
      <c r="M2595" s="508">
        <v>101.34399999999999</v>
      </c>
      <c r="N2595" s="508">
        <v>105.664</v>
      </c>
      <c r="O2595" s="508">
        <v>102.27</v>
      </c>
      <c r="P2595" s="508">
        <v>100.83199999999999</v>
      </c>
      <c r="Q2595" s="508">
        <v>100.46</v>
      </c>
      <c r="R2595" s="508">
        <v>47.66</v>
      </c>
      <c r="S2595" s="508">
        <v>46.749000000000002</v>
      </c>
      <c r="T2595" s="508">
        <v>39.372</v>
      </c>
      <c r="U2595" s="508">
        <v>38.886000000000003</v>
      </c>
      <c r="V2595" s="508">
        <v>36.826000000000001</v>
      </c>
      <c r="W2595" s="508">
        <v>34.807000000000002</v>
      </c>
      <c r="X2595" s="508">
        <v>33.555</v>
      </c>
      <c r="Y2595" s="508">
        <v>31.484999999999999</v>
      </c>
      <c r="Z2595" s="508">
        <v>31.605</v>
      </c>
      <c r="AA2595" s="508">
        <v>29.672000000000001</v>
      </c>
      <c r="AB2595" s="508">
        <v>13.069000000000001</v>
      </c>
      <c r="AC2595" s="508">
        <v>11.58</v>
      </c>
      <c r="AD2595" s="508">
        <v>6.3869999999999996</v>
      </c>
      <c r="AE2595" s="508">
        <v>7.0220000000000002</v>
      </c>
      <c r="AF2595" s="508">
        <v>5.7140000000000004</v>
      </c>
      <c r="AG2595" s="508">
        <v>5.7050000000000001</v>
      </c>
      <c r="AH2595" s="508">
        <v>5.7</v>
      </c>
      <c r="AI2595" s="492">
        <v>5.7</v>
      </c>
      <c r="AJ2595" s="485"/>
    </row>
    <row r="2596" spans="2:36">
      <c r="B2596" s="136" t="s">
        <v>459</v>
      </c>
      <c r="C2596" s="132" t="s">
        <v>1376</v>
      </c>
      <c r="D2596" s="132" t="s">
        <v>282</v>
      </c>
      <c r="E2596" s="508">
        <v>200.48599999999999</v>
      </c>
      <c r="F2596" s="508">
        <v>136.36600000000001</v>
      </c>
      <c r="G2596" s="508">
        <v>127.107</v>
      </c>
      <c r="H2596" s="508">
        <v>116.877</v>
      </c>
      <c r="I2596" s="508">
        <v>100.83799999999999</v>
      </c>
      <c r="J2596" s="508">
        <v>117.52200000000001</v>
      </c>
      <c r="K2596" s="508">
        <v>116.149</v>
      </c>
      <c r="L2596" s="508">
        <v>114.965</v>
      </c>
      <c r="M2596" s="508">
        <v>102.51</v>
      </c>
      <c r="N2596" s="508">
        <v>106.794</v>
      </c>
      <c r="O2596" s="508">
        <v>103.33799999999999</v>
      </c>
      <c r="P2596" s="508">
        <v>101.851</v>
      </c>
      <c r="Q2596" s="508">
        <v>101.438</v>
      </c>
      <c r="R2596" s="508">
        <v>48.286000000000001</v>
      </c>
      <c r="S2596" s="508">
        <v>47.343000000000004</v>
      </c>
      <c r="T2596" s="508">
        <v>39.872</v>
      </c>
      <c r="U2596" s="508">
        <v>40.116999999999997</v>
      </c>
      <c r="V2596" s="508">
        <v>37.895000000000003</v>
      </c>
      <c r="W2596" s="508">
        <v>35.72</v>
      </c>
      <c r="X2596" s="508">
        <v>34.369</v>
      </c>
      <c r="Y2596" s="508">
        <v>32.143999999999998</v>
      </c>
      <c r="Z2596" s="508">
        <v>32.267000000000003</v>
      </c>
      <c r="AA2596" s="508">
        <v>30.190999999999999</v>
      </c>
      <c r="AB2596" s="508">
        <v>13.561999999999999</v>
      </c>
      <c r="AC2596" s="508">
        <v>11.961</v>
      </c>
      <c r="AD2596" s="508">
        <v>6.6779999999999999</v>
      </c>
      <c r="AE2596" s="508">
        <v>7.351</v>
      </c>
      <c r="AF2596" s="508">
        <v>5.9409999999999998</v>
      </c>
      <c r="AG2596" s="508">
        <v>5.9260000000000002</v>
      </c>
      <c r="AH2596" s="508">
        <v>5.9210000000000003</v>
      </c>
      <c r="AI2596" s="492">
        <v>5.9210000000000003</v>
      </c>
      <c r="AJ2596" s="485"/>
    </row>
    <row r="2597" spans="2:36">
      <c r="B2597" s="136" t="s">
        <v>460</v>
      </c>
      <c r="C2597" s="132" t="s">
        <v>1376</v>
      </c>
      <c r="D2597" s="132" t="s">
        <v>282</v>
      </c>
      <c r="E2597" s="508">
        <v>208.102</v>
      </c>
      <c r="F2597" s="508">
        <v>140.56899999999999</v>
      </c>
      <c r="G2597" s="508">
        <v>130.98699999999999</v>
      </c>
      <c r="H2597" s="508">
        <v>120.43300000000001</v>
      </c>
      <c r="I2597" s="508">
        <v>103.926</v>
      </c>
      <c r="J2597" s="508">
        <v>121.444</v>
      </c>
      <c r="K2597" s="508">
        <v>120.04900000000001</v>
      </c>
      <c r="L2597" s="508">
        <v>118.845</v>
      </c>
      <c r="M2597" s="508">
        <v>106.06399999999999</v>
      </c>
      <c r="N2597" s="508">
        <v>110.52200000000001</v>
      </c>
      <c r="O2597" s="508">
        <v>106.992</v>
      </c>
      <c r="P2597" s="508">
        <v>105.48699999999999</v>
      </c>
      <c r="Q2597" s="508">
        <v>105.08799999999999</v>
      </c>
      <c r="R2597" s="508">
        <v>50.213999999999999</v>
      </c>
      <c r="S2597" s="508">
        <v>49.255000000000003</v>
      </c>
      <c r="T2597" s="508">
        <v>41.561999999999998</v>
      </c>
      <c r="U2597" s="508">
        <v>42.23</v>
      </c>
      <c r="V2597" s="508">
        <v>39.802999999999997</v>
      </c>
      <c r="W2597" s="508">
        <v>37.427</v>
      </c>
      <c r="X2597" s="508">
        <v>35.951000000000001</v>
      </c>
      <c r="Y2597" s="508">
        <v>33.521999999999998</v>
      </c>
      <c r="Z2597" s="508">
        <v>33.655000000000001</v>
      </c>
      <c r="AA2597" s="508">
        <v>31.388000000000002</v>
      </c>
      <c r="AB2597" s="508">
        <v>14.34</v>
      </c>
      <c r="AC2597" s="508">
        <v>12.593</v>
      </c>
      <c r="AD2597" s="508">
        <v>7.085</v>
      </c>
      <c r="AE2597" s="508">
        <v>7.8170000000000002</v>
      </c>
      <c r="AF2597" s="508">
        <v>6.2770000000000001</v>
      </c>
      <c r="AG2597" s="508">
        <v>6.2590000000000003</v>
      </c>
      <c r="AH2597" s="508">
        <v>6.2539999999999996</v>
      </c>
      <c r="AI2597" s="492">
        <v>6.2539999999999996</v>
      </c>
      <c r="AJ2597" s="485"/>
    </row>
    <row r="2598" spans="2:36">
      <c r="B2598" s="136" t="s">
        <v>461</v>
      </c>
      <c r="C2598" s="132" t="s">
        <v>1376</v>
      </c>
      <c r="D2598" s="132" t="s">
        <v>282</v>
      </c>
      <c r="E2598" s="508">
        <v>215.19300000000001</v>
      </c>
      <c r="F2598" s="508">
        <v>142.02000000000001</v>
      </c>
      <c r="G2598" s="508">
        <v>132.10599999999999</v>
      </c>
      <c r="H2598" s="508">
        <v>121.294</v>
      </c>
      <c r="I2598" s="508">
        <v>104.523</v>
      </c>
      <c r="J2598" s="508">
        <v>121.73399999999999</v>
      </c>
      <c r="K2598" s="508">
        <v>120.27500000000001</v>
      </c>
      <c r="L2598" s="508">
        <v>119.021</v>
      </c>
      <c r="M2598" s="508">
        <v>106.096</v>
      </c>
      <c r="N2598" s="508">
        <v>110.49299999999999</v>
      </c>
      <c r="O2598" s="508">
        <v>106.916</v>
      </c>
      <c r="P2598" s="508">
        <v>105.38800000000001</v>
      </c>
      <c r="Q2598" s="508">
        <v>104.98</v>
      </c>
      <c r="R2598" s="508">
        <v>50.953000000000003</v>
      </c>
      <c r="S2598" s="508">
        <v>49.976999999999997</v>
      </c>
      <c r="T2598" s="508">
        <v>42.161999999999999</v>
      </c>
      <c r="U2598" s="508">
        <v>38.020000000000003</v>
      </c>
      <c r="V2598" s="508">
        <v>36.087000000000003</v>
      </c>
      <c r="W2598" s="508">
        <v>34.197000000000003</v>
      </c>
      <c r="X2598" s="508">
        <v>33.021999999999998</v>
      </c>
      <c r="Y2598" s="508">
        <v>31.091000000000001</v>
      </c>
      <c r="Z2598" s="508">
        <v>31.193000000000001</v>
      </c>
      <c r="AA2598" s="508">
        <v>29.391999999999999</v>
      </c>
      <c r="AB2598" s="508">
        <v>12.744</v>
      </c>
      <c r="AC2598" s="508">
        <v>11.356999999999999</v>
      </c>
      <c r="AD2598" s="508">
        <v>6.1929999999999996</v>
      </c>
      <c r="AE2598" s="508">
        <v>6.7679999999999998</v>
      </c>
      <c r="AF2598" s="508">
        <v>5.5430000000000001</v>
      </c>
      <c r="AG2598" s="508">
        <v>5.5250000000000004</v>
      </c>
      <c r="AH2598" s="508">
        <v>5.52</v>
      </c>
      <c r="AI2598" s="492">
        <v>5.52</v>
      </c>
      <c r="AJ2598" s="485"/>
    </row>
    <row r="2599" spans="2:36">
      <c r="B2599" s="136" t="s">
        <v>462</v>
      </c>
      <c r="C2599" s="132" t="s">
        <v>1376</v>
      </c>
      <c r="D2599" s="132" t="s">
        <v>282</v>
      </c>
      <c r="E2599" s="508">
        <v>163.43899999999999</v>
      </c>
      <c r="F2599" s="508">
        <v>124.952</v>
      </c>
      <c r="G2599" s="508">
        <v>116.79</v>
      </c>
      <c r="H2599" s="508">
        <v>107.53100000000001</v>
      </c>
      <c r="I2599" s="508">
        <v>92.686999999999998</v>
      </c>
      <c r="J2599" s="508">
        <v>109.032</v>
      </c>
      <c r="K2599" s="508">
        <v>107.929</v>
      </c>
      <c r="L2599" s="508">
        <v>106.965</v>
      </c>
      <c r="M2599" s="508">
        <v>95.35</v>
      </c>
      <c r="N2599" s="508">
        <v>99.495999999999995</v>
      </c>
      <c r="O2599" s="508">
        <v>96.335999999999999</v>
      </c>
      <c r="P2599" s="508">
        <v>95.022999999999996</v>
      </c>
      <c r="Q2599" s="508">
        <v>94.715999999999994</v>
      </c>
      <c r="R2599" s="508">
        <v>45.53</v>
      </c>
      <c r="S2599" s="508">
        <v>44.697000000000003</v>
      </c>
      <c r="T2599" s="508">
        <v>37.767000000000003</v>
      </c>
      <c r="U2599" s="508">
        <v>36.531999999999996</v>
      </c>
      <c r="V2599" s="508">
        <v>34.743000000000002</v>
      </c>
      <c r="W2599" s="508">
        <v>32.988</v>
      </c>
      <c r="X2599" s="508">
        <v>31.901</v>
      </c>
      <c r="Y2599" s="508">
        <v>30.099</v>
      </c>
      <c r="Z2599" s="508">
        <v>30.21</v>
      </c>
      <c r="AA2599" s="508">
        <v>28.524999999999999</v>
      </c>
      <c r="AB2599" s="508">
        <v>12.167</v>
      </c>
      <c r="AC2599" s="508">
        <v>10.869</v>
      </c>
      <c r="AD2599" s="508">
        <v>5.8419999999999996</v>
      </c>
      <c r="AE2599" s="508">
        <v>6.4039999999999999</v>
      </c>
      <c r="AF2599" s="508">
        <v>5.2670000000000003</v>
      </c>
      <c r="AG2599" s="508">
        <v>5.2649999999999997</v>
      </c>
      <c r="AH2599" s="508">
        <v>5.2590000000000003</v>
      </c>
      <c r="AI2599" s="492">
        <v>5.2590000000000003</v>
      </c>
      <c r="AJ2599" s="485"/>
    </row>
    <row r="2600" spans="2:36">
      <c r="B2600" s="136" t="s">
        <v>463</v>
      </c>
      <c r="C2600" s="132" t="s">
        <v>1376</v>
      </c>
      <c r="D2600" s="132" t="s">
        <v>282</v>
      </c>
      <c r="E2600" s="508">
        <v>174.81200000000001</v>
      </c>
      <c r="F2600" s="508">
        <v>125.13500000000001</v>
      </c>
      <c r="G2600" s="508">
        <v>117.012</v>
      </c>
      <c r="H2600" s="508">
        <v>107.908</v>
      </c>
      <c r="I2600" s="508">
        <v>93.460999999999999</v>
      </c>
      <c r="J2600" s="508">
        <v>109.94799999999999</v>
      </c>
      <c r="K2600" s="508">
        <v>108.791</v>
      </c>
      <c r="L2600" s="508">
        <v>107.786</v>
      </c>
      <c r="M2600" s="508">
        <v>96.513000000000005</v>
      </c>
      <c r="N2600" s="508">
        <v>100.68600000000001</v>
      </c>
      <c r="O2600" s="508">
        <v>97.584999999999994</v>
      </c>
      <c r="P2600" s="508">
        <v>96.269000000000005</v>
      </c>
      <c r="Q2600" s="508">
        <v>95.927000000000007</v>
      </c>
      <c r="R2600" s="508">
        <v>44.281999999999996</v>
      </c>
      <c r="S2600" s="508">
        <v>43.448999999999998</v>
      </c>
      <c r="T2600" s="508">
        <v>36.713000000000001</v>
      </c>
      <c r="U2600" s="508">
        <v>37.292999999999999</v>
      </c>
      <c r="V2600" s="508">
        <v>35.302</v>
      </c>
      <c r="W2600" s="508">
        <v>33.350999999999999</v>
      </c>
      <c r="X2600" s="508">
        <v>32.142000000000003</v>
      </c>
      <c r="Y2600" s="508">
        <v>30.141999999999999</v>
      </c>
      <c r="Z2600" s="508">
        <v>30.259</v>
      </c>
      <c r="AA2600" s="508">
        <v>28.390999999999998</v>
      </c>
      <c r="AB2600" s="508">
        <v>12.544</v>
      </c>
      <c r="AC2600" s="508">
        <v>11.105</v>
      </c>
      <c r="AD2600" s="508">
        <v>6.1459999999999999</v>
      </c>
      <c r="AE2600" s="508">
        <v>6.76</v>
      </c>
      <c r="AF2600" s="508">
        <v>5.4960000000000004</v>
      </c>
      <c r="AG2600" s="508">
        <v>5.4880000000000004</v>
      </c>
      <c r="AH2600" s="508">
        <v>5.4829999999999997</v>
      </c>
      <c r="AI2600" s="492">
        <v>5.4829999999999997</v>
      </c>
      <c r="AJ2600" s="485"/>
    </row>
    <row r="2601" spans="2:36">
      <c r="B2601" s="136" t="s">
        <v>464</v>
      </c>
      <c r="C2601" s="132" t="s">
        <v>1376</v>
      </c>
      <c r="D2601" s="132" t="s">
        <v>282</v>
      </c>
      <c r="E2601" s="508">
        <v>187.15199999999999</v>
      </c>
      <c r="F2601" s="508">
        <v>125.41500000000001</v>
      </c>
      <c r="G2601" s="508">
        <v>117.003</v>
      </c>
      <c r="H2601" s="508">
        <v>107.815</v>
      </c>
      <c r="I2601" s="508">
        <v>93.546999999999997</v>
      </c>
      <c r="J2601" s="508">
        <v>110.42700000000001</v>
      </c>
      <c r="K2601" s="508">
        <v>109.169</v>
      </c>
      <c r="L2601" s="508">
        <v>108.086</v>
      </c>
      <c r="M2601" s="508">
        <v>97.067999999999998</v>
      </c>
      <c r="N2601" s="508">
        <v>101.187</v>
      </c>
      <c r="O2601" s="508">
        <v>98.123999999999995</v>
      </c>
      <c r="P2601" s="508">
        <v>96.804000000000002</v>
      </c>
      <c r="Q2601" s="508">
        <v>96.436000000000007</v>
      </c>
      <c r="R2601" s="508">
        <v>44.600999999999999</v>
      </c>
      <c r="S2601" s="508">
        <v>43.76</v>
      </c>
      <c r="T2601" s="508">
        <v>37.115000000000002</v>
      </c>
      <c r="U2601" s="508">
        <v>36.671999999999997</v>
      </c>
      <c r="V2601" s="508">
        <v>34.738999999999997</v>
      </c>
      <c r="W2601" s="508">
        <v>32.847000000000001</v>
      </c>
      <c r="X2601" s="508">
        <v>31.672000000000001</v>
      </c>
      <c r="Y2601" s="508">
        <v>29.74</v>
      </c>
      <c r="Z2601" s="508">
        <v>29.843</v>
      </c>
      <c r="AA2601" s="508">
        <v>28.041</v>
      </c>
      <c r="AB2601" s="508">
        <v>12.339</v>
      </c>
      <c r="AC2601" s="508">
        <v>10.951000000000001</v>
      </c>
      <c r="AD2601" s="508">
        <v>6.0359999999999996</v>
      </c>
      <c r="AE2601" s="508">
        <v>6.6120000000000001</v>
      </c>
      <c r="AF2601" s="508">
        <v>5.3869999999999996</v>
      </c>
      <c r="AG2601" s="508">
        <v>5.37</v>
      </c>
      <c r="AH2601" s="508">
        <v>5.3650000000000002</v>
      </c>
      <c r="AI2601" s="492">
        <v>5.3650000000000002</v>
      </c>
      <c r="AJ2601" s="485"/>
    </row>
    <row r="2602" spans="2:36">
      <c r="B2602" s="136" t="s">
        <v>465</v>
      </c>
      <c r="C2602" s="132" t="s">
        <v>1376</v>
      </c>
      <c r="D2602" s="132" t="s">
        <v>282</v>
      </c>
      <c r="E2602" s="508">
        <v>180.59899999999999</v>
      </c>
      <c r="F2602" s="508">
        <v>125.072</v>
      </c>
      <c r="G2602" s="508">
        <v>116.872</v>
      </c>
      <c r="H2602" s="508">
        <v>107.78400000000001</v>
      </c>
      <c r="I2602" s="508">
        <v>93.494</v>
      </c>
      <c r="J2602" s="508">
        <v>110.36499999999999</v>
      </c>
      <c r="K2602" s="508">
        <v>109.166</v>
      </c>
      <c r="L2602" s="508">
        <v>108.129</v>
      </c>
      <c r="M2602" s="508">
        <v>97.022999999999996</v>
      </c>
      <c r="N2602" s="508">
        <v>101.19199999999999</v>
      </c>
      <c r="O2602" s="508">
        <v>98.119</v>
      </c>
      <c r="P2602" s="508">
        <v>96.804000000000002</v>
      </c>
      <c r="Q2602" s="508">
        <v>96.448999999999998</v>
      </c>
      <c r="R2602" s="508">
        <v>44.332000000000001</v>
      </c>
      <c r="S2602" s="508">
        <v>43.497999999999998</v>
      </c>
      <c r="T2602" s="508">
        <v>36.838999999999999</v>
      </c>
      <c r="U2602" s="508">
        <v>37.454000000000001</v>
      </c>
      <c r="V2602" s="508">
        <v>35.497</v>
      </c>
      <c r="W2602" s="508">
        <v>33.581000000000003</v>
      </c>
      <c r="X2602" s="508">
        <v>32.390999999999998</v>
      </c>
      <c r="Y2602" s="508">
        <v>30.428999999999998</v>
      </c>
      <c r="Z2602" s="508">
        <v>30.539000000000001</v>
      </c>
      <c r="AA2602" s="508">
        <v>28.707999999999998</v>
      </c>
      <c r="AB2602" s="508">
        <v>12.579000000000001</v>
      </c>
      <c r="AC2602" s="508">
        <v>11.167999999999999</v>
      </c>
      <c r="AD2602" s="508">
        <v>6.1429999999999998</v>
      </c>
      <c r="AE2602" s="508">
        <v>6.7380000000000004</v>
      </c>
      <c r="AF2602" s="508">
        <v>5.4960000000000004</v>
      </c>
      <c r="AG2602" s="508">
        <v>5.484</v>
      </c>
      <c r="AH2602" s="508">
        <v>5.4790000000000001</v>
      </c>
      <c r="AI2602" s="492">
        <v>5.4790000000000001</v>
      </c>
      <c r="AJ2602" s="485"/>
    </row>
    <row r="2603" spans="2:36">
      <c r="B2603" s="136" t="s">
        <v>466</v>
      </c>
      <c r="C2603" s="132" t="s">
        <v>1376</v>
      </c>
      <c r="D2603" s="132" t="s">
        <v>282</v>
      </c>
      <c r="E2603" s="508">
        <v>185.905</v>
      </c>
      <c r="F2603" s="508">
        <v>139.52799999999999</v>
      </c>
      <c r="G2603" s="508">
        <v>130.35400000000001</v>
      </c>
      <c r="H2603" s="508">
        <v>119.967</v>
      </c>
      <c r="I2603" s="508">
        <v>103.34099999999999</v>
      </c>
      <c r="J2603" s="508">
        <v>121.04300000000001</v>
      </c>
      <c r="K2603" s="508">
        <v>119.774</v>
      </c>
      <c r="L2603" s="508">
        <v>118.66800000000001</v>
      </c>
      <c r="M2603" s="508">
        <v>105.652</v>
      </c>
      <c r="N2603" s="508">
        <v>110.19799999999999</v>
      </c>
      <c r="O2603" s="508">
        <v>106.64</v>
      </c>
      <c r="P2603" s="508">
        <v>105.145</v>
      </c>
      <c r="Q2603" s="508">
        <v>104.776</v>
      </c>
      <c r="R2603" s="508">
        <v>50.27</v>
      </c>
      <c r="S2603" s="508">
        <v>49.323999999999998</v>
      </c>
      <c r="T2603" s="508">
        <v>41.567999999999998</v>
      </c>
      <c r="U2603" s="508">
        <v>42.454999999999998</v>
      </c>
      <c r="V2603" s="508">
        <v>40.164999999999999</v>
      </c>
      <c r="W2603" s="508">
        <v>37.918999999999997</v>
      </c>
      <c r="X2603" s="508">
        <v>36.529000000000003</v>
      </c>
      <c r="Y2603" s="508">
        <v>34.222999999999999</v>
      </c>
      <c r="Z2603" s="508">
        <v>34.363</v>
      </c>
      <c r="AA2603" s="508">
        <v>32.209000000000003</v>
      </c>
      <c r="AB2603" s="508">
        <v>14.284000000000001</v>
      </c>
      <c r="AC2603" s="508">
        <v>12.624000000000001</v>
      </c>
      <c r="AD2603" s="508">
        <v>6.9569999999999999</v>
      </c>
      <c r="AE2603" s="508">
        <v>7.6740000000000004</v>
      </c>
      <c r="AF2603" s="508">
        <v>6.2190000000000003</v>
      </c>
      <c r="AG2603" s="508">
        <v>6.2149999999999999</v>
      </c>
      <c r="AH2603" s="508">
        <v>6.2089999999999996</v>
      </c>
      <c r="AI2603" s="492">
        <v>6.2089999999999996</v>
      </c>
      <c r="AJ2603" s="485"/>
    </row>
    <row r="2604" spans="2:36">
      <c r="B2604" s="136" t="s">
        <v>467</v>
      </c>
      <c r="C2604" s="132" t="s">
        <v>1376</v>
      </c>
      <c r="D2604" s="132" t="s">
        <v>282</v>
      </c>
      <c r="E2604" s="508">
        <v>194.399</v>
      </c>
      <c r="F2604" s="508">
        <v>130.16399999999999</v>
      </c>
      <c r="G2604" s="508">
        <v>121.202</v>
      </c>
      <c r="H2604" s="508">
        <v>111.36199999999999</v>
      </c>
      <c r="I2604" s="508">
        <v>96.015000000000001</v>
      </c>
      <c r="J2604" s="508">
        <v>112.11199999999999</v>
      </c>
      <c r="K2604" s="508">
        <v>110.77200000000001</v>
      </c>
      <c r="L2604" s="508">
        <v>109.617</v>
      </c>
      <c r="M2604" s="508">
        <v>97.730999999999995</v>
      </c>
      <c r="N2604" s="508">
        <v>101.78400000000001</v>
      </c>
      <c r="O2604" s="508">
        <v>98.478999999999999</v>
      </c>
      <c r="P2604" s="508">
        <v>97.052000000000007</v>
      </c>
      <c r="Q2604" s="508">
        <v>96.652000000000001</v>
      </c>
      <c r="R2604" s="508">
        <v>46.652999999999999</v>
      </c>
      <c r="S2604" s="508">
        <v>45.747</v>
      </c>
      <c r="T2604" s="508">
        <v>38.6</v>
      </c>
      <c r="U2604" s="508">
        <v>38.232999999999997</v>
      </c>
      <c r="V2604" s="508">
        <v>36.19</v>
      </c>
      <c r="W2604" s="508">
        <v>34.191000000000003</v>
      </c>
      <c r="X2604" s="508">
        <v>32.948999999999998</v>
      </c>
      <c r="Y2604" s="508">
        <v>30.905999999999999</v>
      </c>
      <c r="Z2604" s="508">
        <v>31.016999999999999</v>
      </c>
      <c r="AA2604" s="508">
        <v>29.11</v>
      </c>
      <c r="AB2604" s="508">
        <v>12.879</v>
      </c>
      <c r="AC2604" s="508">
        <v>11.41</v>
      </c>
      <c r="AD2604" s="508">
        <v>6.2939999999999996</v>
      </c>
      <c r="AE2604" s="508">
        <v>6.9080000000000004</v>
      </c>
      <c r="AF2604" s="508">
        <v>5.6120000000000001</v>
      </c>
      <c r="AG2604" s="508">
        <v>5.5960000000000001</v>
      </c>
      <c r="AH2604" s="508">
        <v>5.5910000000000002</v>
      </c>
      <c r="AI2604" s="492">
        <v>5.5910000000000002</v>
      </c>
      <c r="AJ2604" s="485"/>
    </row>
    <row r="2605" spans="2:36">
      <c r="B2605" s="136" t="s">
        <v>468</v>
      </c>
      <c r="C2605" s="132" t="s">
        <v>1376</v>
      </c>
      <c r="D2605" s="132" t="s">
        <v>282</v>
      </c>
      <c r="E2605" s="508">
        <v>163.53700000000001</v>
      </c>
      <c r="F2605" s="508">
        <v>116.813</v>
      </c>
      <c r="G2605" s="508">
        <v>109.48399999999999</v>
      </c>
      <c r="H2605" s="508">
        <v>101.30200000000001</v>
      </c>
      <c r="I2605" s="508">
        <v>88.356999999999999</v>
      </c>
      <c r="J2605" s="508">
        <v>105.19799999999999</v>
      </c>
      <c r="K2605" s="508">
        <v>104.139</v>
      </c>
      <c r="L2605" s="508">
        <v>103.221</v>
      </c>
      <c r="M2605" s="508">
        <v>93.129000000000005</v>
      </c>
      <c r="N2605" s="508">
        <v>97.233000000000004</v>
      </c>
      <c r="O2605" s="508">
        <v>94.447999999999993</v>
      </c>
      <c r="P2605" s="508">
        <v>93.259</v>
      </c>
      <c r="Q2605" s="508">
        <v>92.941999999999993</v>
      </c>
      <c r="R2605" s="508">
        <v>40.956000000000003</v>
      </c>
      <c r="S2605" s="508">
        <v>40.204000000000001</v>
      </c>
      <c r="T2605" s="508">
        <v>34.17</v>
      </c>
      <c r="U2605" s="508">
        <v>34.756</v>
      </c>
      <c r="V2605" s="508">
        <v>32.957000000000001</v>
      </c>
      <c r="W2605" s="508">
        <v>31.195</v>
      </c>
      <c r="X2605" s="508">
        <v>30.102</v>
      </c>
      <c r="Y2605" s="508">
        <v>28.297000000000001</v>
      </c>
      <c r="Z2605" s="508">
        <v>28.4</v>
      </c>
      <c r="AA2605" s="508">
        <v>26.713999999999999</v>
      </c>
      <c r="AB2605" s="508">
        <v>11.654999999999999</v>
      </c>
      <c r="AC2605" s="508">
        <v>10.356</v>
      </c>
      <c r="AD2605" s="508">
        <v>5.6980000000000004</v>
      </c>
      <c r="AE2605" s="508">
        <v>6.25</v>
      </c>
      <c r="AF2605" s="508">
        <v>5.109</v>
      </c>
      <c r="AG2605" s="508">
        <v>5.0999999999999996</v>
      </c>
      <c r="AH2605" s="508">
        <v>5.0949999999999998</v>
      </c>
      <c r="AI2605" s="492">
        <v>5.0949999999999998</v>
      </c>
      <c r="AJ2605" s="485"/>
    </row>
    <row r="2606" spans="2:36">
      <c r="B2606" s="136" t="s">
        <v>469</v>
      </c>
      <c r="C2606" s="132" t="s">
        <v>1376</v>
      </c>
      <c r="D2606" s="132" t="s">
        <v>282</v>
      </c>
      <c r="E2606" s="508">
        <v>172.30699999999999</v>
      </c>
      <c r="F2606" s="508">
        <v>124.73399999999999</v>
      </c>
      <c r="G2606" s="508">
        <v>116.66800000000001</v>
      </c>
      <c r="H2606" s="508">
        <v>107.605</v>
      </c>
      <c r="I2606" s="508">
        <v>93.188000000000002</v>
      </c>
      <c r="J2606" s="508">
        <v>110.068</v>
      </c>
      <c r="K2606" s="508">
        <v>108.931</v>
      </c>
      <c r="L2606" s="508">
        <v>107.941</v>
      </c>
      <c r="M2606" s="508">
        <v>96.683000000000007</v>
      </c>
      <c r="N2606" s="508">
        <v>100.884</v>
      </c>
      <c r="O2606" s="508">
        <v>97.793999999999997</v>
      </c>
      <c r="P2606" s="508">
        <v>96.488</v>
      </c>
      <c r="Q2606" s="508">
        <v>96.153999999999996</v>
      </c>
      <c r="R2606" s="508">
        <v>44.610999999999997</v>
      </c>
      <c r="S2606" s="508">
        <v>43.783999999999999</v>
      </c>
      <c r="T2606" s="508">
        <v>37.06</v>
      </c>
      <c r="U2606" s="508">
        <v>37.866</v>
      </c>
      <c r="V2606" s="508">
        <v>35.884</v>
      </c>
      <c r="W2606" s="508">
        <v>33.941000000000003</v>
      </c>
      <c r="X2606" s="508">
        <v>32.737000000000002</v>
      </c>
      <c r="Y2606" s="508">
        <v>30.745000000000001</v>
      </c>
      <c r="Z2606" s="508">
        <v>30.861999999999998</v>
      </c>
      <c r="AA2606" s="508">
        <v>29.001999999999999</v>
      </c>
      <c r="AB2606" s="508">
        <v>12.707000000000001</v>
      </c>
      <c r="AC2606" s="508">
        <v>11.273</v>
      </c>
      <c r="AD2606" s="508">
        <v>6.1859999999999999</v>
      </c>
      <c r="AE2606" s="508">
        <v>6.8</v>
      </c>
      <c r="AF2606" s="508">
        <v>5.5410000000000004</v>
      </c>
      <c r="AG2606" s="508">
        <v>5.5339999999999998</v>
      </c>
      <c r="AH2606" s="508">
        <v>5.5289999999999999</v>
      </c>
      <c r="AI2606" s="492">
        <v>5.5289999999999999</v>
      </c>
      <c r="AJ2606" s="485"/>
    </row>
    <row r="2607" spans="2:36">
      <c r="B2607" s="136" t="s">
        <v>470</v>
      </c>
      <c r="C2607" s="132" t="s">
        <v>1376</v>
      </c>
      <c r="D2607" s="132" t="s">
        <v>282</v>
      </c>
      <c r="E2607" s="508">
        <v>204.374</v>
      </c>
      <c r="F2607" s="508">
        <v>139.41</v>
      </c>
      <c r="G2607" s="508">
        <v>129.874</v>
      </c>
      <c r="H2607" s="508">
        <v>119.312</v>
      </c>
      <c r="I2607" s="508">
        <v>102.71599999999999</v>
      </c>
      <c r="J2607" s="508">
        <v>119.55800000000001</v>
      </c>
      <c r="K2607" s="508">
        <v>118.16800000000001</v>
      </c>
      <c r="L2607" s="508">
        <v>116.96599999999999</v>
      </c>
      <c r="M2607" s="508">
        <v>104.077</v>
      </c>
      <c r="N2607" s="508">
        <v>108.42</v>
      </c>
      <c r="O2607" s="508">
        <v>104.858</v>
      </c>
      <c r="P2607" s="508">
        <v>103.336</v>
      </c>
      <c r="Q2607" s="508">
        <v>102.92700000000001</v>
      </c>
      <c r="R2607" s="508">
        <v>49.883000000000003</v>
      </c>
      <c r="S2607" s="508">
        <v>48.915999999999997</v>
      </c>
      <c r="T2607" s="508">
        <v>41.182000000000002</v>
      </c>
      <c r="U2607" s="508">
        <v>40.424999999999997</v>
      </c>
      <c r="V2607" s="508">
        <v>38.271999999999998</v>
      </c>
      <c r="W2607" s="508">
        <v>36.162999999999997</v>
      </c>
      <c r="X2607" s="508">
        <v>34.854999999999997</v>
      </c>
      <c r="Y2607" s="508">
        <v>32.697000000000003</v>
      </c>
      <c r="Z2607" s="508">
        <v>32.817</v>
      </c>
      <c r="AA2607" s="508">
        <v>30.803999999999998</v>
      </c>
      <c r="AB2607" s="508">
        <v>13.605</v>
      </c>
      <c r="AC2607" s="508">
        <v>12.053000000000001</v>
      </c>
      <c r="AD2607" s="508">
        <v>6.6440000000000001</v>
      </c>
      <c r="AE2607" s="508">
        <v>7.298</v>
      </c>
      <c r="AF2607" s="508">
        <v>5.931</v>
      </c>
      <c r="AG2607" s="508">
        <v>5.9180000000000001</v>
      </c>
      <c r="AH2607" s="508">
        <v>5.9130000000000003</v>
      </c>
      <c r="AI2607" s="492">
        <v>5.9130000000000003</v>
      </c>
      <c r="AJ2607" s="485"/>
    </row>
    <row r="2608" spans="2:36">
      <c r="B2608" s="136" t="s">
        <v>471</v>
      </c>
      <c r="C2608" s="132" t="s">
        <v>1376</v>
      </c>
      <c r="D2608" s="132" t="s">
        <v>282</v>
      </c>
      <c r="E2608" s="508">
        <v>181.57900000000001</v>
      </c>
      <c r="F2608" s="508">
        <v>133.13200000000001</v>
      </c>
      <c r="G2608" s="508">
        <v>124.298</v>
      </c>
      <c r="H2608" s="508">
        <v>114.328</v>
      </c>
      <c r="I2608" s="508">
        <v>98.414000000000001</v>
      </c>
      <c r="J2608" s="508">
        <v>115.14</v>
      </c>
      <c r="K2608" s="508">
        <v>113.92700000000001</v>
      </c>
      <c r="L2608" s="508">
        <v>112.87</v>
      </c>
      <c r="M2608" s="508">
        <v>100.438</v>
      </c>
      <c r="N2608" s="508">
        <v>104.751</v>
      </c>
      <c r="O2608" s="508">
        <v>101.36</v>
      </c>
      <c r="P2608" s="508">
        <v>99.941999999999993</v>
      </c>
      <c r="Q2608" s="508">
        <v>99.600999999999999</v>
      </c>
      <c r="R2608" s="508">
        <v>48.216000000000001</v>
      </c>
      <c r="S2608" s="508">
        <v>47.317</v>
      </c>
      <c r="T2608" s="508">
        <v>39.89</v>
      </c>
      <c r="U2608" s="508">
        <v>38.43</v>
      </c>
      <c r="V2608" s="508">
        <v>36.512</v>
      </c>
      <c r="W2608" s="508">
        <v>34.631</v>
      </c>
      <c r="X2608" s="508">
        <v>33.465000000000003</v>
      </c>
      <c r="Y2608" s="508">
        <v>31.536000000000001</v>
      </c>
      <c r="Z2608" s="508">
        <v>31.651</v>
      </c>
      <c r="AA2608" s="508">
        <v>29.847999999999999</v>
      </c>
      <c r="AB2608" s="508">
        <v>12.83</v>
      </c>
      <c r="AC2608" s="508">
        <v>11.44</v>
      </c>
      <c r="AD2608" s="508">
        <v>6.1870000000000003</v>
      </c>
      <c r="AE2608" s="508">
        <v>6.7839999999999998</v>
      </c>
      <c r="AF2608" s="508">
        <v>5.5659999999999998</v>
      </c>
      <c r="AG2608" s="508">
        <v>5.5609999999999999</v>
      </c>
      <c r="AH2608" s="508">
        <v>5.5549999999999997</v>
      </c>
      <c r="AI2608" s="492">
        <v>5.5549999999999997</v>
      </c>
      <c r="AJ2608" s="485"/>
    </row>
    <row r="2609" spans="2:36">
      <c r="B2609" s="136" t="s">
        <v>472</v>
      </c>
      <c r="C2609" s="132" t="s">
        <v>1376</v>
      </c>
      <c r="D2609" s="132" t="s">
        <v>282</v>
      </c>
      <c r="E2609" s="508">
        <v>198.54900000000001</v>
      </c>
      <c r="F2609" s="508">
        <v>130.02099999999999</v>
      </c>
      <c r="G2609" s="508">
        <v>121.047</v>
      </c>
      <c r="H2609" s="508">
        <v>111.354</v>
      </c>
      <c r="I2609" s="508">
        <v>96.447999999999993</v>
      </c>
      <c r="J2609" s="508">
        <v>113.331</v>
      </c>
      <c r="K2609" s="508">
        <v>111.979</v>
      </c>
      <c r="L2609" s="508">
        <v>110.82</v>
      </c>
      <c r="M2609" s="508">
        <v>99.378</v>
      </c>
      <c r="N2609" s="508">
        <v>103.529</v>
      </c>
      <c r="O2609" s="508">
        <v>100.346</v>
      </c>
      <c r="P2609" s="508">
        <v>98.972999999999999</v>
      </c>
      <c r="Q2609" s="508">
        <v>98.593000000000004</v>
      </c>
      <c r="R2609" s="508">
        <v>46.398000000000003</v>
      </c>
      <c r="S2609" s="508">
        <v>45.52</v>
      </c>
      <c r="T2609" s="508">
        <v>38.579000000000001</v>
      </c>
      <c r="U2609" s="508">
        <v>34.850999999999999</v>
      </c>
      <c r="V2609" s="508">
        <v>33.137999999999998</v>
      </c>
      <c r="W2609" s="508">
        <v>31.465</v>
      </c>
      <c r="X2609" s="508">
        <v>30.423999999999999</v>
      </c>
      <c r="Y2609" s="508">
        <v>28.716000000000001</v>
      </c>
      <c r="Z2609" s="508">
        <v>28.803000000000001</v>
      </c>
      <c r="AA2609" s="508">
        <v>27.212</v>
      </c>
      <c r="AB2609" s="508">
        <v>11.648</v>
      </c>
      <c r="AC2609" s="508">
        <v>10.422000000000001</v>
      </c>
      <c r="AD2609" s="508">
        <v>5.6470000000000002</v>
      </c>
      <c r="AE2609" s="508">
        <v>6.15</v>
      </c>
      <c r="AF2609" s="508">
        <v>5.0650000000000004</v>
      </c>
      <c r="AG2609" s="508">
        <v>5.0469999999999997</v>
      </c>
      <c r="AH2609" s="508">
        <v>5.0419999999999998</v>
      </c>
      <c r="AI2609" s="492">
        <v>5.0419999999999998</v>
      </c>
      <c r="AJ2609" s="485"/>
    </row>
    <row r="2610" spans="2:36">
      <c r="B2610" s="136" t="s">
        <v>473</v>
      </c>
      <c r="C2610" s="132" t="s">
        <v>1376</v>
      </c>
      <c r="D2610" s="132" t="s">
        <v>282</v>
      </c>
      <c r="E2610" s="508">
        <v>208.51400000000001</v>
      </c>
      <c r="F2610" s="508">
        <v>143.245</v>
      </c>
      <c r="G2610" s="508">
        <v>133.47399999999999</v>
      </c>
      <c r="H2610" s="508">
        <v>122.623</v>
      </c>
      <c r="I2610" s="508">
        <v>105.533</v>
      </c>
      <c r="J2610" s="508">
        <v>123.07</v>
      </c>
      <c r="K2610" s="508">
        <v>121.679</v>
      </c>
      <c r="L2610" s="508">
        <v>120.474</v>
      </c>
      <c r="M2610" s="508">
        <v>107.205</v>
      </c>
      <c r="N2610" s="508">
        <v>111.71899999999999</v>
      </c>
      <c r="O2610" s="508">
        <v>108.072</v>
      </c>
      <c r="P2610" s="508">
        <v>106.53100000000001</v>
      </c>
      <c r="Q2610" s="508">
        <v>106.139</v>
      </c>
      <c r="R2610" s="508">
        <v>51.661000000000001</v>
      </c>
      <c r="S2610" s="508">
        <v>50.68</v>
      </c>
      <c r="T2610" s="508">
        <v>42.710999999999999</v>
      </c>
      <c r="U2610" s="508">
        <v>43.537999999999997</v>
      </c>
      <c r="V2610" s="508">
        <v>41.018000000000001</v>
      </c>
      <c r="W2610" s="508">
        <v>38.551000000000002</v>
      </c>
      <c r="X2610" s="508">
        <v>37.018999999999998</v>
      </c>
      <c r="Y2610" s="508">
        <v>34.493000000000002</v>
      </c>
      <c r="Z2610" s="508">
        <v>34.636000000000003</v>
      </c>
      <c r="AA2610" s="508">
        <v>32.277999999999999</v>
      </c>
      <c r="AB2610" s="508">
        <v>14.787000000000001</v>
      </c>
      <c r="AC2610" s="508">
        <v>12.97</v>
      </c>
      <c r="AD2610" s="508">
        <v>7.2910000000000004</v>
      </c>
      <c r="AE2610" s="508">
        <v>8.0589999999999993</v>
      </c>
      <c r="AF2610" s="508">
        <v>6.46</v>
      </c>
      <c r="AG2610" s="508">
        <v>6.4450000000000003</v>
      </c>
      <c r="AH2610" s="508">
        <v>6.44</v>
      </c>
      <c r="AI2610" s="492">
        <v>6.44</v>
      </c>
      <c r="AJ2610" s="485"/>
    </row>
    <row r="2611" spans="2:36">
      <c r="B2611" s="136" t="s">
        <v>474</v>
      </c>
      <c r="C2611" s="132" t="s">
        <v>1376</v>
      </c>
      <c r="D2611" s="132" t="s">
        <v>282</v>
      </c>
      <c r="E2611" s="508">
        <v>174.95</v>
      </c>
      <c r="F2611" s="508">
        <v>129.71100000000001</v>
      </c>
      <c r="G2611" s="508">
        <v>121.23099999999999</v>
      </c>
      <c r="H2611" s="508">
        <v>111.649</v>
      </c>
      <c r="I2611" s="508">
        <v>96.34</v>
      </c>
      <c r="J2611" s="508">
        <v>113.21299999999999</v>
      </c>
      <c r="K2611" s="508">
        <v>112.035</v>
      </c>
      <c r="L2611" s="508">
        <v>111.008</v>
      </c>
      <c r="M2611" s="508">
        <v>99.03</v>
      </c>
      <c r="N2611" s="508">
        <v>103.30800000000001</v>
      </c>
      <c r="O2611" s="508">
        <v>100.03</v>
      </c>
      <c r="P2611" s="508">
        <v>98.652000000000001</v>
      </c>
      <c r="Q2611" s="508">
        <v>98.308999999999997</v>
      </c>
      <c r="R2611" s="508">
        <v>46.75</v>
      </c>
      <c r="S2611" s="508">
        <v>45.878</v>
      </c>
      <c r="T2611" s="508">
        <v>38.735999999999997</v>
      </c>
      <c r="U2611" s="508">
        <v>39.573999999999998</v>
      </c>
      <c r="V2611" s="508">
        <v>37.468000000000004</v>
      </c>
      <c r="W2611" s="508">
        <v>35.402000000000001</v>
      </c>
      <c r="X2611" s="508">
        <v>34.121000000000002</v>
      </c>
      <c r="Y2611" s="508">
        <v>32.000999999999998</v>
      </c>
      <c r="Z2611" s="508">
        <v>32.128</v>
      </c>
      <c r="AA2611" s="508">
        <v>30.146999999999998</v>
      </c>
      <c r="AB2611" s="508">
        <v>13.298999999999999</v>
      </c>
      <c r="AC2611" s="508">
        <v>11.772</v>
      </c>
      <c r="AD2611" s="508">
        <v>6.4729999999999999</v>
      </c>
      <c r="AE2611" s="508">
        <v>7.13</v>
      </c>
      <c r="AF2611" s="508">
        <v>5.7919999999999998</v>
      </c>
      <c r="AG2611" s="508">
        <v>5.7869999999999999</v>
      </c>
      <c r="AH2611" s="508">
        <v>5.7809999999999997</v>
      </c>
      <c r="AI2611" s="492">
        <v>5.7809999999999997</v>
      </c>
      <c r="AJ2611" s="485"/>
    </row>
    <row r="2612" spans="2:36">
      <c r="B2612" s="136" t="s">
        <v>475</v>
      </c>
      <c r="C2612" s="132" t="s">
        <v>1376</v>
      </c>
      <c r="D2612" s="132" t="s">
        <v>282</v>
      </c>
      <c r="E2612" s="508">
        <v>192.5</v>
      </c>
      <c r="F2612" s="508">
        <v>133.09800000000001</v>
      </c>
      <c r="G2612" s="508">
        <v>124.181</v>
      </c>
      <c r="H2612" s="508">
        <v>114.27500000000001</v>
      </c>
      <c r="I2612" s="508">
        <v>98.668000000000006</v>
      </c>
      <c r="J2612" s="508">
        <v>115.73</v>
      </c>
      <c r="K2612" s="508">
        <v>114.449</v>
      </c>
      <c r="L2612" s="508">
        <v>113.34</v>
      </c>
      <c r="M2612" s="508">
        <v>101.21299999999999</v>
      </c>
      <c r="N2612" s="508">
        <v>105.51600000000001</v>
      </c>
      <c r="O2612" s="508">
        <v>102.176</v>
      </c>
      <c r="P2612" s="508">
        <v>100.758</v>
      </c>
      <c r="Q2612" s="508">
        <v>100.38800000000001</v>
      </c>
      <c r="R2612" s="508">
        <v>47.771999999999998</v>
      </c>
      <c r="S2612" s="508">
        <v>46.871000000000002</v>
      </c>
      <c r="T2612" s="508">
        <v>39.595999999999997</v>
      </c>
      <c r="U2612" s="508">
        <v>39.343000000000004</v>
      </c>
      <c r="V2612" s="508">
        <v>37.215000000000003</v>
      </c>
      <c r="W2612" s="508">
        <v>35.130000000000003</v>
      </c>
      <c r="X2612" s="508">
        <v>33.837000000000003</v>
      </c>
      <c r="Y2612" s="508">
        <v>31.702000000000002</v>
      </c>
      <c r="Z2612" s="508">
        <v>31.823</v>
      </c>
      <c r="AA2612" s="508">
        <v>29.831</v>
      </c>
      <c r="AB2612" s="508">
        <v>13.260999999999999</v>
      </c>
      <c r="AC2612" s="508">
        <v>11.725</v>
      </c>
      <c r="AD2612" s="508">
        <v>6.4870000000000001</v>
      </c>
      <c r="AE2612" s="508">
        <v>7.1360000000000001</v>
      </c>
      <c r="AF2612" s="508">
        <v>5.7850000000000001</v>
      </c>
      <c r="AG2612" s="508">
        <v>5.7729999999999997</v>
      </c>
      <c r="AH2612" s="508">
        <v>5.7670000000000003</v>
      </c>
      <c r="AI2612" s="492">
        <v>5.7670000000000003</v>
      </c>
      <c r="AJ2612" s="485"/>
    </row>
    <row r="2613" spans="2:36">
      <c r="B2613" s="136" t="s">
        <v>476</v>
      </c>
      <c r="C2613" s="132" t="s">
        <v>1376</v>
      </c>
      <c r="D2613" s="132" t="s">
        <v>282</v>
      </c>
      <c r="E2613" s="508">
        <v>196.61699999999999</v>
      </c>
      <c r="F2613" s="508">
        <v>135.869</v>
      </c>
      <c r="G2613" s="508">
        <v>126.751</v>
      </c>
      <c r="H2613" s="508">
        <v>116.622</v>
      </c>
      <c r="I2613" s="508">
        <v>100.664</v>
      </c>
      <c r="J2613" s="508">
        <v>117.863</v>
      </c>
      <c r="K2613" s="508">
        <v>116.553</v>
      </c>
      <c r="L2613" s="508">
        <v>115.419</v>
      </c>
      <c r="M2613" s="508">
        <v>103.017</v>
      </c>
      <c r="N2613" s="508">
        <v>107.39100000000001</v>
      </c>
      <c r="O2613" s="508">
        <v>103.97499999999999</v>
      </c>
      <c r="P2613" s="508">
        <v>102.524</v>
      </c>
      <c r="Q2613" s="508">
        <v>102.146</v>
      </c>
      <c r="R2613" s="508">
        <v>48.575000000000003</v>
      </c>
      <c r="S2613" s="508">
        <v>47.654000000000003</v>
      </c>
      <c r="T2613" s="508">
        <v>40.213999999999999</v>
      </c>
      <c r="U2613" s="508">
        <v>39.698</v>
      </c>
      <c r="V2613" s="508">
        <v>37.591999999999999</v>
      </c>
      <c r="W2613" s="508">
        <v>35.529000000000003</v>
      </c>
      <c r="X2613" s="508">
        <v>34.249000000000002</v>
      </c>
      <c r="Y2613" s="508">
        <v>32.137</v>
      </c>
      <c r="Z2613" s="508">
        <v>32.256</v>
      </c>
      <c r="AA2613" s="508">
        <v>30.285</v>
      </c>
      <c r="AB2613" s="508">
        <v>13.352</v>
      </c>
      <c r="AC2613" s="508">
        <v>11.833</v>
      </c>
      <c r="AD2613" s="508">
        <v>6.5170000000000003</v>
      </c>
      <c r="AE2613" s="508">
        <v>7.1589999999999998</v>
      </c>
      <c r="AF2613" s="508">
        <v>5.8220000000000001</v>
      </c>
      <c r="AG2613" s="508">
        <v>5.81</v>
      </c>
      <c r="AH2613" s="508">
        <v>5.8049999999999997</v>
      </c>
      <c r="AI2613" s="492">
        <v>5.8049999999999997</v>
      </c>
      <c r="AJ2613" s="485"/>
    </row>
    <row r="2614" spans="2:36">
      <c r="B2614" s="136" t="s">
        <v>478</v>
      </c>
      <c r="C2614" s="132" t="s">
        <v>1376</v>
      </c>
      <c r="D2614" s="132" t="s">
        <v>282</v>
      </c>
      <c r="E2614" s="508">
        <v>207.10400000000001</v>
      </c>
      <c r="F2614" s="508">
        <v>141.58799999999999</v>
      </c>
      <c r="G2614" s="508">
        <v>131.95699999999999</v>
      </c>
      <c r="H2614" s="508">
        <v>121.29</v>
      </c>
      <c r="I2614" s="508">
        <v>104.524</v>
      </c>
      <c r="J2614" s="508">
        <v>121.657</v>
      </c>
      <c r="K2614" s="508">
        <v>120.24</v>
      </c>
      <c r="L2614" s="508">
        <v>119.015</v>
      </c>
      <c r="M2614" s="508">
        <v>105.98399999999999</v>
      </c>
      <c r="N2614" s="508">
        <v>110.40900000000001</v>
      </c>
      <c r="O2614" s="508">
        <v>106.79900000000001</v>
      </c>
      <c r="P2614" s="508">
        <v>105.249</v>
      </c>
      <c r="Q2614" s="508">
        <v>104.824</v>
      </c>
      <c r="R2614" s="508">
        <v>50.250999999999998</v>
      </c>
      <c r="S2614" s="508">
        <v>49.268000000000001</v>
      </c>
      <c r="T2614" s="508">
        <v>41.457999999999998</v>
      </c>
      <c r="U2614" s="508">
        <v>41.734000000000002</v>
      </c>
      <c r="V2614" s="508">
        <v>39.409999999999997</v>
      </c>
      <c r="W2614" s="508">
        <v>37.134</v>
      </c>
      <c r="X2614" s="508">
        <v>35.720999999999997</v>
      </c>
      <c r="Y2614" s="508">
        <v>33.390999999999998</v>
      </c>
      <c r="Z2614" s="508">
        <v>33.521999999999998</v>
      </c>
      <c r="AA2614" s="508">
        <v>31.347999999999999</v>
      </c>
      <c r="AB2614" s="508">
        <v>14.115</v>
      </c>
      <c r="AC2614" s="508">
        <v>12.439</v>
      </c>
      <c r="AD2614" s="508">
        <v>6.9470000000000001</v>
      </c>
      <c r="AE2614" s="508">
        <v>7.6529999999999996</v>
      </c>
      <c r="AF2614" s="508">
        <v>6.1779999999999999</v>
      </c>
      <c r="AG2614" s="508">
        <v>6.1630000000000003</v>
      </c>
      <c r="AH2614" s="508">
        <v>6.1580000000000004</v>
      </c>
      <c r="AI2614" s="492">
        <v>6.1580000000000004</v>
      </c>
      <c r="AJ2614" s="485"/>
    </row>
    <row r="2615" spans="2:36">
      <c r="B2615" s="136" t="s">
        <v>479</v>
      </c>
      <c r="C2615" s="132" t="s">
        <v>1376</v>
      </c>
      <c r="D2615" s="132" t="s">
        <v>282</v>
      </c>
      <c r="E2615" s="508">
        <v>168.315</v>
      </c>
      <c r="F2615" s="508">
        <v>127.604</v>
      </c>
      <c r="G2615" s="508">
        <v>119.41</v>
      </c>
      <c r="H2615" s="508">
        <v>110.129</v>
      </c>
      <c r="I2615" s="508">
        <v>95.266999999999996</v>
      </c>
      <c r="J2615" s="508">
        <v>112.405</v>
      </c>
      <c r="K2615" s="508">
        <v>111.29300000000001</v>
      </c>
      <c r="L2615" s="508">
        <v>110.32299999999999</v>
      </c>
      <c r="M2615" s="508">
        <v>98.698999999999998</v>
      </c>
      <c r="N2615" s="508">
        <v>103.03100000000001</v>
      </c>
      <c r="O2615" s="508">
        <v>99.867000000000004</v>
      </c>
      <c r="P2615" s="508">
        <v>98.551000000000002</v>
      </c>
      <c r="Q2615" s="508">
        <v>98.241</v>
      </c>
      <c r="R2615" s="508">
        <v>45.805999999999997</v>
      </c>
      <c r="S2615" s="508">
        <v>44.97</v>
      </c>
      <c r="T2615" s="508">
        <v>38.031999999999996</v>
      </c>
      <c r="U2615" s="508">
        <v>36.817</v>
      </c>
      <c r="V2615" s="508">
        <v>35.026000000000003</v>
      </c>
      <c r="W2615" s="508">
        <v>33.268999999999998</v>
      </c>
      <c r="X2615" s="508">
        <v>32.180999999999997</v>
      </c>
      <c r="Y2615" s="508">
        <v>30.376999999999999</v>
      </c>
      <c r="Z2615" s="508">
        <v>30.486999999999998</v>
      </c>
      <c r="AA2615" s="508">
        <v>28.800999999999998</v>
      </c>
      <c r="AB2615" s="508">
        <v>12.255000000000001</v>
      </c>
      <c r="AC2615" s="508">
        <v>10.956</v>
      </c>
      <c r="AD2615" s="508">
        <v>5.9020000000000001</v>
      </c>
      <c r="AE2615" s="508">
        <v>6.4630000000000001</v>
      </c>
      <c r="AF2615" s="508">
        <v>5.3250000000000002</v>
      </c>
      <c r="AG2615" s="508">
        <v>5.3220000000000001</v>
      </c>
      <c r="AH2615" s="508">
        <v>5.3170000000000002</v>
      </c>
      <c r="AI2615" s="492">
        <v>5.3170000000000002</v>
      </c>
      <c r="AJ2615" s="485"/>
    </row>
    <row r="2616" spans="2:36">
      <c r="B2616" s="136" t="s">
        <v>480</v>
      </c>
      <c r="C2616" s="132" t="s">
        <v>1376</v>
      </c>
      <c r="D2616" s="132" t="s">
        <v>282</v>
      </c>
      <c r="E2616" s="508">
        <v>188.047</v>
      </c>
      <c r="F2616" s="508">
        <v>127.422</v>
      </c>
      <c r="G2616" s="508">
        <v>119.01300000000001</v>
      </c>
      <c r="H2616" s="508">
        <v>109.791</v>
      </c>
      <c r="I2616" s="508">
        <v>95.421000000000006</v>
      </c>
      <c r="J2616" s="508">
        <v>112.84699999999999</v>
      </c>
      <c r="K2616" s="508">
        <v>111.628</v>
      </c>
      <c r="L2616" s="508">
        <v>110.578</v>
      </c>
      <c r="M2616" s="508">
        <v>99.483999999999995</v>
      </c>
      <c r="N2616" s="508">
        <v>103.779</v>
      </c>
      <c r="O2616" s="508">
        <v>100.721</v>
      </c>
      <c r="P2616" s="508">
        <v>99.421999999999997</v>
      </c>
      <c r="Q2616" s="508">
        <v>99.085999999999999</v>
      </c>
      <c r="R2616" s="508">
        <v>45.110999999999997</v>
      </c>
      <c r="S2616" s="508">
        <v>44.280999999999999</v>
      </c>
      <c r="T2616" s="508">
        <v>37.582999999999998</v>
      </c>
      <c r="U2616" s="508">
        <v>34.246000000000002</v>
      </c>
      <c r="V2616" s="508">
        <v>32.588000000000001</v>
      </c>
      <c r="W2616" s="508">
        <v>30.963999999999999</v>
      </c>
      <c r="X2616" s="508">
        <v>29.956</v>
      </c>
      <c r="Y2616" s="508">
        <v>28.297000000000001</v>
      </c>
      <c r="Z2616" s="508">
        <v>28.385999999999999</v>
      </c>
      <c r="AA2616" s="508">
        <v>26.838000000000001</v>
      </c>
      <c r="AB2616" s="508">
        <v>11.419</v>
      </c>
      <c r="AC2616" s="508">
        <v>10.226000000000001</v>
      </c>
      <c r="AD2616" s="508">
        <v>5.5339999999999998</v>
      </c>
      <c r="AE2616" s="508">
        <v>6.032</v>
      </c>
      <c r="AF2616" s="508">
        <v>4.9800000000000004</v>
      </c>
      <c r="AG2616" s="508">
        <v>4.9660000000000002</v>
      </c>
      <c r="AH2616" s="508">
        <v>4.9610000000000003</v>
      </c>
      <c r="AI2616" s="492">
        <v>4.9610000000000003</v>
      </c>
      <c r="AJ2616" s="485"/>
    </row>
    <row r="2617" spans="2:36">
      <c r="B2617" s="136" t="s">
        <v>481</v>
      </c>
      <c r="C2617" s="132" t="s">
        <v>1376</v>
      </c>
      <c r="D2617" s="132" t="s">
        <v>282</v>
      </c>
      <c r="E2617" s="508">
        <v>182.67599999999999</v>
      </c>
      <c r="F2617" s="508">
        <v>133.512</v>
      </c>
      <c r="G2617" s="508">
        <v>124.80500000000001</v>
      </c>
      <c r="H2617" s="508">
        <v>114.996</v>
      </c>
      <c r="I2617" s="508">
        <v>99.358000000000004</v>
      </c>
      <c r="J2617" s="508">
        <v>116.79600000000001</v>
      </c>
      <c r="K2617" s="508">
        <v>115.601</v>
      </c>
      <c r="L2617" s="508">
        <v>114.56</v>
      </c>
      <c r="M2617" s="508">
        <v>102.35299999999999</v>
      </c>
      <c r="N2617" s="508">
        <v>106.8</v>
      </c>
      <c r="O2617" s="508">
        <v>103.47</v>
      </c>
      <c r="P2617" s="508">
        <v>102.08</v>
      </c>
      <c r="Q2617" s="508">
        <v>101.745</v>
      </c>
      <c r="R2617" s="508">
        <v>47.856999999999999</v>
      </c>
      <c r="S2617" s="508">
        <v>46.972999999999999</v>
      </c>
      <c r="T2617" s="508">
        <v>39.674999999999997</v>
      </c>
      <c r="U2617" s="508">
        <v>39.652999999999999</v>
      </c>
      <c r="V2617" s="508">
        <v>37.529000000000003</v>
      </c>
      <c r="W2617" s="508">
        <v>35.445</v>
      </c>
      <c r="X2617" s="508">
        <v>34.154000000000003</v>
      </c>
      <c r="Y2617" s="508">
        <v>32.018000000000001</v>
      </c>
      <c r="Z2617" s="508">
        <v>32.143999999999998</v>
      </c>
      <c r="AA2617" s="508">
        <v>30.148</v>
      </c>
      <c r="AB2617" s="508">
        <v>13.337999999999999</v>
      </c>
      <c r="AC2617" s="508">
        <v>11.798999999999999</v>
      </c>
      <c r="AD2617" s="508">
        <v>6.51</v>
      </c>
      <c r="AE2617" s="508">
        <v>7.1710000000000003</v>
      </c>
      <c r="AF2617" s="508">
        <v>5.8209999999999997</v>
      </c>
      <c r="AG2617" s="508">
        <v>5.8140000000000001</v>
      </c>
      <c r="AH2617" s="508">
        <v>5.8090000000000002</v>
      </c>
      <c r="AI2617" s="492">
        <v>5.8090000000000002</v>
      </c>
      <c r="AJ2617" s="485"/>
    </row>
    <row r="2618" spans="2:36">
      <c r="B2618" s="136" t="s">
        <v>482</v>
      </c>
      <c r="C2618" s="132" t="s">
        <v>1376</v>
      </c>
      <c r="D2618" s="132" t="s">
        <v>282</v>
      </c>
      <c r="E2618" s="508">
        <v>163.36799999999999</v>
      </c>
      <c r="F2618" s="508">
        <v>129.059</v>
      </c>
      <c r="G2618" s="508">
        <v>120.726</v>
      </c>
      <c r="H2618" s="508">
        <v>111.25</v>
      </c>
      <c r="I2618" s="508">
        <v>96.034000000000006</v>
      </c>
      <c r="J2618" s="508">
        <v>112.708</v>
      </c>
      <c r="K2618" s="508">
        <v>111.568</v>
      </c>
      <c r="L2618" s="508">
        <v>110.57299999999999</v>
      </c>
      <c r="M2618" s="508">
        <v>98.641999999999996</v>
      </c>
      <c r="N2618" s="508">
        <v>102.935</v>
      </c>
      <c r="O2618" s="508">
        <v>99.68</v>
      </c>
      <c r="P2618" s="508">
        <v>98.319000000000003</v>
      </c>
      <c r="Q2618" s="508">
        <v>97.988</v>
      </c>
      <c r="R2618" s="508">
        <v>46.17</v>
      </c>
      <c r="S2618" s="508">
        <v>45.308</v>
      </c>
      <c r="T2618" s="508">
        <v>38.207000000000001</v>
      </c>
      <c r="U2618" s="508">
        <v>38.015000000000001</v>
      </c>
      <c r="V2618" s="508">
        <v>36.033999999999999</v>
      </c>
      <c r="W2618" s="508">
        <v>34.088999999999999</v>
      </c>
      <c r="X2618" s="508">
        <v>32.884999999999998</v>
      </c>
      <c r="Y2618" s="508">
        <v>30.887</v>
      </c>
      <c r="Z2618" s="508">
        <v>31.010999999999999</v>
      </c>
      <c r="AA2618" s="508">
        <v>29.143000000000001</v>
      </c>
      <c r="AB2618" s="508">
        <v>12.738</v>
      </c>
      <c r="AC2618" s="508">
        <v>11.298</v>
      </c>
      <c r="AD2618" s="508">
        <v>6.1909999999999998</v>
      </c>
      <c r="AE2618" s="508">
        <v>6.8179999999999996</v>
      </c>
      <c r="AF2618" s="508">
        <v>5.5579999999999998</v>
      </c>
      <c r="AG2618" s="508">
        <v>5.5570000000000004</v>
      </c>
      <c r="AH2618" s="508">
        <v>5.5510000000000002</v>
      </c>
      <c r="AI2618" s="492">
        <v>5.5510000000000002</v>
      </c>
      <c r="AJ2618" s="485"/>
    </row>
    <row r="2619" spans="2:36">
      <c r="B2619" s="136" t="s">
        <v>483</v>
      </c>
      <c r="C2619" s="132" t="s">
        <v>1376</v>
      </c>
      <c r="D2619" s="132" t="s">
        <v>282</v>
      </c>
      <c r="E2619" s="508">
        <v>211.61099999999999</v>
      </c>
      <c r="F2619" s="508">
        <v>145.89599999999999</v>
      </c>
      <c r="G2619" s="508">
        <v>136.04</v>
      </c>
      <c r="H2619" s="508">
        <v>125.092</v>
      </c>
      <c r="I2619" s="508">
        <v>107.84699999999999</v>
      </c>
      <c r="J2619" s="508">
        <v>125.80800000000001</v>
      </c>
      <c r="K2619" s="508">
        <v>124.392</v>
      </c>
      <c r="L2619" s="508">
        <v>123.166</v>
      </c>
      <c r="M2619" s="508">
        <v>109.765</v>
      </c>
      <c r="N2619" s="508">
        <v>114.399</v>
      </c>
      <c r="O2619" s="508">
        <v>110.709</v>
      </c>
      <c r="P2619" s="508">
        <v>109.14100000000001</v>
      </c>
      <c r="Q2619" s="508">
        <v>108.732</v>
      </c>
      <c r="R2619" s="508">
        <v>52.014000000000003</v>
      </c>
      <c r="S2619" s="508">
        <v>51.018000000000001</v>
      </c>
      <c r="T2619" s="508">
        <v>42.978000000000002</v>
      </c>
      <c r="U2619" s="508">
        <v>42.61</v>
      </c>
      <c r="V2619" s="508">
        <v>40.258000000000003</v>
      </c>
      <c r="W2619" s="508">
        <v>37.954999999999998</v>
      </c>
      <c r="X2619" s="508">
        <v>36.524999999999999</v>
      </c>
      <c r="Y2619" s="508">
        <v>34.167000000000002</v>
      </c>
      <c r="Z2619" s="508">
        <v>34.299999999999997</v>
      </c>
      <c r="AA2619" s="508">
        <v>32.098999999999997</v>
      </c>
      <c r="AB2619" s="508">
        <v>14.394</v>
      </c>
      <c r="AC2619" s="508">
        <v>12.696999999999999</v>
      </c>
      <c r="AD2619" s="508">
        <v>7.0679999999999996</v>
      </c>
      <c r="AE2619" s="508">
        <v>7.7850000000000001</v>
      </c>
      <c r="AF2619" s="508">
        <v>6.2919999999999998</v>
      </c>
      <c r="AG2619" s="508">
        <v>6.2789999999999999</v>
      </c>
      <c r="AH2619" s="508">
        <v>6.274</v>
      </c>
      <c r="AI2619" s="492">
        <v>6.274</v>
      </c>
      <c r="AJ2619" s="485"/>
    </row>
    <row r="2620" spans="2:36">
      <c r="B2620" s="136" t="s">
        <v>484</v>
      </c>
      <c r="C2620" s="132" t="s">
        <v>1376</v>
      </c>
      <c r="D2620" s="132" t="s">
        <v>282</v>
      </c>
      <c r="E2620" s="508">
        <v>183.45599999999999</v>
      </c>
      <c r="F2620" s="508">
        <v>122.342</v>
      </c>
      <c r="G2620" s="508">
        <v>114.062</v>
      </c>
      <c r="H2620" s="508">
        <v>105.03</v>
      </c>
      <c r="I2620" s="508">
        <v>91.021000000000001</v>
      </c>
      <c r="J2620" s="508">
        <v>107.18600000000001</v>
      </c>
      <c r="K2620" s="508">
        <v>105.946</v>
      </c>
      <c r="L2620" s="508">
        <v>104.879</v>
      </c>
      <c r="M2620" s="508">
        <v>94.069000000000003</v>
      </c>
      <c r="N2620" s="508">
        <v>98.037000000000006</v>
      </c>
      <c r="O2620" s="508">
        <v>95.031000000000006</v>
      </c>
      <c r="P2620" s="508">
        <v>93.734999999999999</v>
      </c>
      <c r="Q2620" s="508">
        <v>93.373999999999995</v>
      </c>
      <c r="R2620" s="508">
        <v>43.59</v>
      </c>
      <c r="S2620" s="508">
        <v>42.765000000000001</v>
      </c>
      <c r="T2620" s="508">
        <v>36.241</v>
      </c>
      <c r="U2620" s="508">
        <v>34.643999999999998</v>
      </c>
      <c r="V2620" s="508">
        <v>32.972999999999999</v>
      </c>
      <c r="W2620" s="508">
        <v>31.338000000000001</v>
      </c>
      <c r="X2620" s="508">
        <v>30.321999999999999</v>
      </c>
      <c r="Y2620" s="508">
        <v>28.652000000000001</v>
      </c>
      <c r="Z2620" s="508">
        <v>28.74</v>
      </c>
      <c r="AA2620" s="508">
        <v>27.183</v>
      </c>
      <c r="AB2620" s="508">
        <v>11.55</v>
      </c>
      <c r="AC2620" s="508">
        <v>10.351000000000001</v>
      </c>
      <c r="AD2620" s="508">
        <v>5.5839999999999996</v>
      </c>
      <c r="AE2620" s="508">
        <v>6.0819999999999999</v>
      </c>
      <c r="AF2620" s="508">
        <v>5.0220000000000002</v>
      </c>
      <c r="AG2620" s="508">
        <v>5.0069999999999997</v>
      </c>
      <c r="AH2620" s="508">
        <v>5.0019999999999998</v>
      </c>
      <c r="AI2620" s="492">
        <v>5.0019999999999998</v>
      </c>
      <c r="AJ2620" s="485"/>
    </row>
    <row r="2621" spans="2:36">
      <c r="B2621" s="136" t="s">
        <v>486</v>
      </c>
      <c r="C2621" s="132" t="s">
        <v>1376</v>
      </c>
      <c r="D2621" s="132" t="s">
        <v>282</v>
      </c>
      <c r="E2621" s="508">
        <v>182.28299999999999</v>
      </c>
      <c r="F2621" s="508">
        <v>131.012</v>
      </c>
      <c r="G2621" s="508">
        <v>122.40900000000001</v>
      </c>
      <c r="H2621" s="508">
        <v>112.75</v>
      </c>
      <c r="I2621" s="508">
        <v>97.394999999999996</v>
      </c>
      <c r="J2621" s="508">
        <v>114.291</v>
      </c>
      <c r="K2621" s="508">
        <v>113.08199999999999</v>
      </c>
      <c r="L2621" s="508">
        <v>112.03100000000001</v>
      </c>
      <c r="M2621" s="508">
        <v>100.048</v>
      </c>
      <c r="N2621" s="508">
        <v>104.35599999999999</v>
      </c>
      <c r="O2621" s="508">
        <v>101.07</v>
      </c>
      <c r="P2621" s="508">
        <v>99.685000000000002</v>
      </c>
      <c r="Q2621" s="508">
        <v>99.334999999999994</v>
      </c>
      <c r="R2621" s="508">
        <v>46.783000000000001</v>
      </c>
      <c r="S2621" s="508">
        <v>45.904000000000003</v>
      </c>
      <c r="T2621" s="508">
        <v>38.741999999999997</v>
      </c>
      <c r="U2621" s="508">
        <v>37.966000000000001</v>
      </c>
      <c r="V2621" s="508">
        <v>36.024000000000001</v>
      </c>
      <c r="W2621" s="508">
        <v>34.119</v>
      </c>
      <c r="X2621" s="508">
        <v>32.938000000000002</v>
      </c>
      <c r="Y2621" s="508">
        <v>30.984999999999999</v>
      </c>
      <c r="Z2621" s="508">
        <v>31.1</v>
      </c>
      <c r="AA2621" s="508">
        <v>29.274999999999999</v>
      </c>
      <c r="AB2621" s="508">
        <v>12.712</v>
      </c>
      <c r="AC2621" s="508">
        <v>11.305999999999999</v>
      </c>
      <c r="AD2621" s="508">
        <v>6.1740000000000004</v>
      </c>
      <c r="AE2621" s="508">
        <v>6.7750000000000004</v>
      </c>
      <c r="AF2621" s="508">
        <v>5.5410000000000004</v>
      </c>
      <c r="AG2621" s="508">
        <v>5.5330000000000004</v>
      </c>
      <c r="AH2621" s="508">
        <v>5.5279999999999996</v>
      </c>
      <c r="AI2621" s="492">
        <v>5.5279999999999996</v>
      </c>
      <c r="AJ2621" s="485"/>
    </row>
    <row r="2622" spans="2:36">
      <c r="B2622" s="136" t="s">
        <v>487</v>
      </c>
      <c r="C2622" s="132" t="s">
        <v>1376</v>
      </c>
      <c r="D2622" s="132" t="s">
        <v>282</v>
      </c>
      <c r="E2622" s="508">
        <v>205.52099999999999</v>
      </c>
      <c r="F2622" s="508">
        <v>141.03299999999999</v>
      </c>
      <c r="G2622" s="508">
        <v>131.59100000000001</v>
      </c>
      <c r="H2622" s="508">
        <v>121.139</v>
      </c>
      <c r="I2622" s="508">
        <v>104.72199999999999</v>
      </c>
      <c r="J2622" s="508">
        <v>122.56</v>
      </c>
      <c r="K2622" s="508">
        <v>121.194</v>
      </c>
      <c r="L2622" s="508">
        <v>120.01300000000001</v>
      </c>
      <c r="M2622" s="508">
        <v>107.273</v>
      </c>
      <c r="N2622" s="508">
        <v>111.83</v>
      </c>
      <c r="O2622" s="508">
        <v>108.316</v>
      </c>
      <c r="P2622" s="508">
        <v>106.82</v>
      </c>
      <c r="Q2622" s="508">
        <v>106.426</v>
      </c>
      <c r="R2622" s="508">
        <v>49.927999999999997</v>
      </c>
      <c r="S2622" s="508">
        <v>48.976999999999997</v>
      </c>
      <c r="T2622" s="508">
        <v>41.323999999999998</v>
      </c>
      <c r="U2622" s="508">
        <v>40.9</v>
      </c>
      <c r="V2622" s="508">
        <v>38.665999999999997</v>
      </c>
      <c r="W2622" s="508">
        <v>36.478999999999999</v>
      </c>
      <c r="X2622" s="508">
        <v>35.121000000000002</v>
      </c>
      <c r="Y2622" s="508">
        <v>32.883000000000003</v>
      </c>
      <c r="Z2622" s="508">
        <v>33.008000000000003</v>
      </c>
      <c r="AA2622" s="508">
        <v>30.919</v>
      </c>
      <c r="AB2622" s="508">
        <v>13.803000000000001</v>
      </c>
      <c r="AC2622" s="508">
        <v>12.193</v>
      </c>
      <c r="AD2622" s="508">
        <v>6.7850000000000001</v>
      </c>
      <c r="AE2622" s="508">
        <v>7.4630000000000001</v>
      </c>
      <c r="AF2622" s="508">
        <v>6.0449999999999999</v>
      </c>
      <c r="AG2622" s="508">
        <v>6.0309999999999997</v>
      </c>
      <c r="AH2622" s="508">
        <v>6.0259999999999998</v>
      </c>
      <c r="AI2622" s="492">
        <v>6.0259999999999998</v>
      </c>
      <c r="AJ2622" s="485"/>
    </row>
    <row r="2623" spans="2:36">
      <c r="B2623" s="136" t="s">
        <v>488</v>
      </c>
      <c r="C2623" s="132" t="s">
        <v>1376</v>
      </c>
      <c r="D2623" s="132" t="s">
        <v>282</v>
      </c>
      <c r="E2623" s="508">
        <v>180.47</v>
      </c>
      <c r="F2623" s="508">
        <v>126.932</v>
      </c>
      <c r="G2623" s="508">
        <v>118.625</v>
      </c>
      <c r="H2623" s="508">
        <v>109.361</v>
      </c>
      <c r="I2623" s="508">
        <v>94.72</v>
      </c>
      <c r="J2623" s="508">
        <v>111.66</v>
      </c>
      <c r="K2623" s="508">
        <v>110.49</v>
      </c>
      <c r="L2623" s="508">
        <v>109.474</v>
      </c>
      <c r="M2623" s="508">
        <v>98.088999999999999</v>
      </c>
      <c r="N2623" s="508">
        <v>102.337</v>
      </c>
      <c r="O2623" s="508">
        <v>99.215999999999994</v>
      </c>
      <c r="P2623" s="508">
        <v>97.900999999999996</v>
      </c>
      <c r="Q2623" s="508">
        <v>97.572000000000003</v>
      </c>
      <c r="R2623" s="508">
        <v>45.313000000000002</v>
      </c>
      <c r="S2623" s="508">
        <v>44.475999999999999</v>
      </c>
      <c r="T2623" s="508">
        <v>37.646999999999998</v>
      </c>
      <c r="U2623" s="508">
        <v>37.744999999999997</v>
      </c>
      <c r="V2623" s="508">
        <v>35.718000000000004</v>
      </c>
      <c r="W2623" s="508">
        <v>33.731999999999999</v>
      </c>
      <c r="X2623" s="508">
        <v>32.500999999999998</v>
      </c>
      <c r="Y2623" s="508">
        <v>30.466999999999999</v>
      </c>
      <c r="Z2623" s="508">
        <v>30.582999999999998</v>
      </c>
      <c r="AA2623" s="508">
        <v>28.684000000000001</v>
      </c>
      <c r="AB2623" s="508">
        <v>12.708</v>
      </c>
      <c r="AC2623" s="508">
        <v>11.244999999999999</v>
      </c>
      <c r="AD2623" s="508">
        <v>6.22</v>
      </c>
      <c r="AE2623" s="508">
        <v>6.8410000000000002</v>
      </c>
      <c r="AF2623" s="508">
        <v>5.5549999999999997</v>
      </c>
      <c r="AG2623" s="508">
        <v>5.5449999999999999</v>
      </c>
      <c r="AH2623" s="508">
        <v>5.5389999999999997</v>
      </c>
      <c r="AI2623" s="492">
        <v>5.54</v>
      </c>
      <c r="AJ2623" s="485"/>
    </row>
    <row r="2624" spans="2:36">
      <c r="B2624" s="136" t="s">
        <v>489</v>
      </c>
      <c r="C2624" s="132" t="s">
        <v>1376</v>
      </c>
      <c r="D2624" s="132" t="s">
        <v>282</v>
      </c>
      <c r="E2624" s="508">
        <v>201.09899999999999</v>
      </c>
      <c r="F2624" s="508">
        <v>134.34399999999999</v>
      </c>
      <c r="G2624" s="508">
        <v>125.15</v>
      </c>
      <c r="H2624" s="508">
        <v>115.083</v>
      </c>
      <c r="I2624" s="508">
        <v>99.415999999999997</v>
      </c>
      <c r="J2624" s="508">
        <v>116.37</v>
      </c>
      <c r="K2624" s="508">
        <v>115.01900000000001</v>
      </c>
      <c r="L2624" s="508">
        <v>113.855</v>
      </c>
      <c r="M2624" s="508">
        <v>101.756</v>
      </c>
      <c r="N2624" s="508">
        <v>106.026</v>
      </c>
      <c r="O2624" s="508">
        <v>102.679</v>
      </c>
      <c r="P2624" s="508">
        <v>101.247</v>
      </c>
      <c r="Q2624" s="508">
        <v>100.863</v>
      </c>
      <c r="R2624" s="508">
        <v>48.015999999999998</v>
      </c>
      <c r="S2624" s="508">
        <v>47.103000000000002</v>
      </c>
      <c r="T2624" s="508">
        <v>39.802999999999997</v>
      </c>
      <c r="U2624" s="508">
        <v>36.904000000000003</v>
      </c>
      <c r="V2624" s="508">
        <v>35.012</v>
      </c>
      <c r="W2624" s="508">
        <v>33.161000000000001</v>
      </c>
      <c r="X2624" s="508">
        <v>32.011000000000003</v>
      </c>
      <c r="Y2624" s="508">
        <v>30.119</v>
      </c>
      <c r="Z2624" s="508">
        <v>30.22</v>
      </c>
      <c r="AA2624" s="508">
        <v>28.456</v>
      </c>
      <c r="AB2624" s="508">
        <v>12.378</v>
      </c>
      <c r="AC2624" s="508">
        <v>11.019</v>
      </c>
      <c r="AD2624" s="508">
        <v>6.0250000000000004</v>
      </c>
      <c r="AE2624" s="508">
        <v>6.5910000000000002</v>
      </c>
      <c r="AF2624" s="508">
        <v>5.391</v>
      </c>
      <c r="AG2624" s="508">
        <v>5.3760000000000003</v>
      </c>
      <c r="AH2624" s="508">
        <v>5.3710000000000004</v>
      </c>
      <c r="AI2624" s="492">
        <v>5.3710000000000004</v>
      </c>
      <c r="AJ2624" s="485"/>
    </row>
    <row r="2625" spans="2:36">
      <c r="B2625" s="136" t="s">
        <v>490</v>
      </c>
      <c r="C2625" s="132" t="s">
        <v>1376</v>
      </c>
      <c r="D2625" s="132" t="s">
        <v>282</v>
      </c>
      <c r="E2625" s="508">
        <v>186.334</v>
      </c>
      <c r="F2625" s="508">
        <v>125.53700000000001</v>
      </c>
      <c r="G2625" s="508">
        <v>117.26</v>
      </c>
      <c r="H2625" s="508">
        <v>108.221</v>
      </c>
      <c r="I2625" s="508">
        <v>94.188000000000002</v>
      </c>
      <c r="J2625" s="508">
        <v>111.544</v>
      </c>
      <c r="K2625" s="508">
        <v>110.306</v>
      </c>
      <c r="L2625" s="508">
        <v>109.24</v>
      </c>
      <c r="M2625" s="508">
        <v>98.403999999999996</v>
      </c>
      <c r="N2625" s="508">
        <v>102.624</v>
      </c>
      <c r="O2625" s="508">
        <v>99.611999999999995</v>
      </c>
      <c r="P2625" s="508">
        <v>98.313000000000002</v>
      </c>
      <c r="Q2625" s="508">
        <v>97.950999999999993</v>
      </c>
      <c r="R2625" s="508">
        <v>44.143999999999998</v>
      </c>
      <c r="S2625" s="508">
        <v>43.317</v>
      </c>
      <c r="T2625" s="508">
        <v>36.780999999999999</v>
      </c>
      <c r="U2625" s="508">
        <v>36.371000000000002</v>
      </c>
      <c r="V2625" s="508">
        <v>34.47</v>
      </c>
      <c r="W2625" s="508">
        <v>32.61</v>
      </c>
      <c r="X2625" s="508">
        <v>31.454000000000001</v>
      </c>
      <c r="Y2625" s="508">
        <v>29.553999999999998</v>
      </c>
      <c r="Z2625" s="508">
        <v>29.655000000000001</v>
      </c>
      <c r="AA2625" s="508">
        <v>27.882999999999999</v>
      </c>
      <c r="AB2625" s="508">
        <v>12.227</v>
      </c>
      <c r="AC2625" s="508">
        <v>10.862</v>
      </c>
      <c r="AD2625" s="508">
        <v>5.9909999999999997</v>
      </c>
      <c r="AE2625" s="508">
        <v>6.5570000000000004</v>
      </c>
      <c r="AF2625" s="508">
        <v>5.3520000000000003</v>
      </c>
      <c r="AG2625" s="508">
        <v>5.335</v>
      </c>
      <c r="AH2625" s="508">
        <v>5.33</v>
      </c>
      <c r="AI2625" s="492">
        <v>5.33</v>
      </c>
      <c r="AJ2625" s="485"/>
    </row>
    <row r="2626" spans="2:36">
      <c r="B2626" s="136" t="s">
        <v>435</v>
      </c>
      <c r="C2626" s="132" t="s">
        <v>1377</v>
      </c>
      <c r="D2626" s="132" t="s">
        <v>282</v>
      </c>
      <c r="E2626" s="508"/>
      <c r="F2626" s="508"/>
      <c r="G2626" s="508"/>
      <c r="H2626" s="508"/>
      <c r="I2626" s="508"/>
      <c r="J2626" s="508">
        <v>24.064</v>
      </c>
      <c r="K2626" s="508">
        <v>24.052</v>
      </c>
      <c r="L2626" s="508">
        <v>24.041</v>
      </c>
      <c r="M2626" s="508">
        <v>24.029</v>
      </c>
      <c r="N2626" s="508">
        <v>24.018000000000001</v>
      </c>
      <c r="O2626" s="508">
        <v>24.007000000000001</v>
      </c>
      <c r="P2626" s="508">
        <v>23.997</v>
      </c>
      <c r="Q2626" s="508">
        <v>23.986999999999998</v>
      </c>
      <c r="R2626" s="508">
        <v>23.978000000000002</v>
      </c>
      <c r="S2626" s="508">
        <v>23.969000000000001</v>
      </c>
      <c r="T2626" s="508">
        <v>23.959</v>
      </c>
      <c r="U2626" s="508">
        <v>23.951000000000001</v>
      </c>
      <c r="V2626" s="508">
        <v>2.79</v>
      </c>
      <c r="W2626" s="508">
        <v>2.782</v>
      </c>
      <c r="X2626" s="508">
        <v>2.774</v>
      </c>
      <c r="Y2626" s="508">
        <v>2.766</v>
      </c>
      <c r="Z2626" s="508">
        <v>2.7589999999999999</v>
      </c>
      <c r="AA2626" s="508">
        <v>7.1539999999999999</v>
      </c>
      <c r="AB2626" s="508">
        <v>7.1470000000000002</v>
      </c>
      <c r="AC2626" s="508">
        <v>7.141</v>
      </c>
      <c r="AD2626" s="508">
        <v>3.3260000000000001</v>
      </c>
      <c r="AE2626" s="508">
        <v>3.32</v>
      </c>
      <c r="AF2626" s="508">
        <v>3.3130000000000002</v>
      </c>
      <c r="AG2626" s="508">
        <v>3.3069999999999999</v>
      </c>
      <c r="AH2626" s="508">
        <v>3.2869999999999999</v>
      </c>
      <c r="AI2626" s="492">
        <v>3.282</v>
      </c>
      <c r="AJ2626" s="485"/>
    </row>
    <row r="2627" spans="2:36">
      <c r="B2627" s="136" t="s">
        <v>436</v>
      </c>
      <c r="C2627" s="132" t="s">
        <v>1377</v>
      </c>
      <c r="D2627" s="132" t="s">
        <v>282</v>
      </c>
      <c r="E2627" s="508"/>
      <c r="F2627" s="508"/>
      <c r="G2627" s="508"/>
      <c r="H2627" s="508"/>
      <c r="I2627" s="508"/>
      <c r="J2627" s="508">
        <v>24.826000000000001</v>
      </c>
      <c r="K2627" s="508">
        <v>24.815000000000001</v>
      </c>
      <c r="L2627" s="508">
        <v>24.803999999999998</v>
      </c>
      <c r="M2627" s="508">
        <v>24.792999999999999</v>
      </c>
      <c r="N2627" s="508">
        <v>24.782</v>
      </c>
      <c r="O2627" s="508">
        <v>24.771000000000001</v>
      </c>
      <c r="P2627" s="508">
        <v>24.760999999999999</v>
      </c>
      <c r="Q2627" s="508">
        <v>24.751999999999999</v>
      </c>
      <c r="R2627" s="508">
        <v>24.742999999999999</v>
      </c>
      <c r="S2627" s="508">
        <v>24.734000000000002</v>
      </c>
      <c r="T2627" s="508">
        <v>24.725000000000001</v>
      </c>
      <c r="U2627" s="508">
        <v>24.716999999999999</v>
      </c>
      <c r="V2627" s="508">
        <v>2.7850000000000001</v>
      </c>
      <c r="W2627" s="508">
        <v>2.7770000000000001</v>
      </c>
      <c r="X2627" s="508">
        <v>2.77</v>
      </c>
      <c r="Y2627" s="508">
        <v>2.762</v>
      </c>
      <c r="Z2627" s="508">
        <v>2.7549999999999999</v>
      </c>
      <c r="AA2627" s="508">
        <v>7.1580000000000004</v>
      </c>
      <c r="AB2627" s="508">
        <v>7.1509999999999998</v>
      </c>
      <c r="AC2627" s="508">
        <v>7.1449999999999996</v>
      </c>
      <c r="AD2627" s="508">
        <v>3.3140000000000001</v>
      </c>
      <c r="AE2627" s="508">
        <v>3.3079999999999998</v>
      </c>
      <c r="AF2627" s="508">
        <v>3.302</v>
      </c>
      <c r="AG2627" s="508">
        <v>3.2959999999999998</v>
      </c>
      <c r="AH2627" s="508">
        <v>3.2759999999999998</v>
      </c>
      <c r="AI2627" s="492">
        <v>3.2709999999999999</v>
      </c>
      <c r="AJ2627" s="485"/>
    </row>
    <row r="2628" spans="2:36">
      <c r="B2628" s="136" t="s">
        <v>437</v>
      </c>
      <c r="C2628" s="132" t="s">
        <v>1377</v>
      </c>
      <c r="D2628" s="132" t="s">
        <v>282</v>
      </c>
      <c r="E2628" s="508"/>
      <c r="F2628" s="508"/>
      <c r="G2628" s="508"/>
      <c r="H2628" s="508"/>
      <c r="I2628" s="508"/>
      <c r="J2628" s="508">
        <v>24.774999999999999</v>
      </c>
      <c r="K2628" s="508">
        <v>24.762</v>
      </c>
      <c r="L2628" s="508">
        <v>24.751000000000001</v>
      </c>
      <c r="M2628" s="508">
        <v>24.739000000000001</v>
      </c>
      <c r="N2628" s="508">
        <v>24.728000000000002</v>
      </c>
      <c r="O2628" s="508">
        <v>24.716000000000001</v>
      </c>
      <c r="P2628" s="508">
        <v>24.706</v>
      </c>
      <c r="Q2628" s="508">
        <v>24.696000000000002</v>
      </c>
      <c r="R2628" s="508">
        <v>24.686</v>
      </c>
      <c r="S2628" s="508">
        <v>24.675999999999998</v>
      </c>
      <c r="T2628" s="508">
        <v>24.667000000000002</v>
      </c>
      <c r="U2628" s="508">
        <v>24.658000000000001</v>
      </c>
      <c r="V2628" s="508">
        <v>2.8570000000000002</v>
      </c>
      <c r="W2628" s="508">
        <v>2.8490000000000002</v>
      </c>
      <c r="X2628" s="508">
        <v>2.8410000000000002</v>
      </c>
      <c r="Y2628" s="508">
        <v>2.8319999999999999</v>
      </c>
      <c r="Z2628" s="508">
        <v>2.8250000000000002</v>
      </c>
      <c r="AA2628" s="508">
        <v>7.3250000000000002</v>
      </c>
      <c r="AB2628" s="508">
        <v>7.3179999999999996</v>
      </c>
      <c r="AC2628" s="508">
        <v>7.3109999999999999</v>
      </c>
      <c r="AD2628" s="508">
        <v>3.403</v>
      </c>
      <c r="AE2628" s="508">
        <v>3.3959999999999999</v>
      </c>
      <c r="AF2628" s="508">
        <v>3.39</v>
      </c>
      <c r="AG2628" s="508">
        <v>3.3839999999999999</v>
      </c>
      <c r="AH2628" s="508">
        <v>3.3639999999999999</v>
      </c>
      <c r="AI2628" s="492">
        <v>3.3580000000000001</v>
      </c>
      <c r="AJ2628" s="485"/>
    </row>
    <row r="2629" spans="2:36">
      <c r="B2629" s="136" t="s">
        <v>438</v>
      </c>
      <c r="C2629" s="132" t="s">
        <v>1377</v>
      </c>
      <c r="D2629" s="132" t="s">
        <v>282</v>
      </c>
      <c r="E2629" s="508"/>
      <c r="F2629" s="508"/>
      <c r="G2629" s="508"/>
      <c r="H2629" s="508"/>
      <c r="I2629" s="508"/>
      <c r="J2629" s="508">
        <v>24.797999999999998</v>
      </c>
      <c r="K2629" s="508">
        <v>24.786000000000001</v>
      </c>
      <c r="L2629" s="508">
        <v>24.776</v>
      </c>
      <c r="M2629" s="508">
        <v>24.765000000000001</v>
      </c>
      <c r="N2629" s="508">
        <v>24.754000000000001</v>
      </c>
      <c r="O2629" s="508">
        <v>24.744</v>
      </c>
      <c r="P2629" s="508">
        <v>24.734000000000002</v>
      </c>
      <c r="Q2629" s="508">
        <v>24.725000000000001</v>
      </c>
      <c r="R2629" s="508">
        <v>24.715</v>
      </c>
      <c r="S2629" s="508">
        <v>24.706</v>
      </c>
      <c r="T2629" s="508">
        <v>24.698</v>
      </c>
      <c r="U2629" s="508">
        <v>24.689</v>
      </c>
      <c r="V2629" s="508">
        <v>2.7669999999999999</v>
      </c>
      <c r="W2629" s="508">
        <v>2.7589999999999999</v>
      </c>
      <c r="X2629" s="508">
        <v>2.7509999999999999</v>
      </c>
      <c r="Y2629" s="508">
        <v>2.7440000000000002</v>
      </c>
      <c r="Z2629" s="508">
        <v>2.7370000000000001</v>
      </c>
      <c r="AA2629" s="508">
        <v>7.1120000000000001</v>
      </c>
      <c r="AB2629" s="508">
        <v>7.1059999999999999</v>
      </c>
      <c r="AC2629" s="508">
        <v>7.0990000000000002</v>
      </c>
      <c r="AD2629" s="508">
        <v>3.2909999999999999</v>
      </c>
      <c r="AE2629" s="508">
        <v>3.2850000000000001</v>
      </c>
      <c r="AF2629" s="508">
        <v>3.2789999999999999</v>
      </c>
      <c r="AG2629" s="508">
        <v>3.2730000000000001</v>
      </c>
      <c r="AH2629" s="508">
        <v>3.2530000000000001</v>
      </c>
      <c r="AI2629" s="492">
        <v>3.2480000000000002</v>
      </c>
      <c r="AJ2629" s="485"/>
    </row>
    <row r="2630" spans="2:36">
      <c r="B2630" s="136" t="s">
        <v>439</v>
      </c>
      <c r="C2630" s="132" t="s">
        <v>1377</v>
      </c>
      <c r="D2630" s="132" t="s">
        <v>282</v>
      </c>
      <c r="E2630" s="508"/>
      <c r="F2630" s="508"/>
      <c r="G2630" s="508"/>
      <c r="H2630" s="508"/>
      <c r="I2630" s="508"/>
      <c r="J2630" s="508">
        <v>25.042000000000002</v>
      </c>
      <c r="K2630" s="508">
        <v>25.029</v>
      </c>
      <c r="L2630" s="508">
        <v>25.016999999999999</v>
      </c>
      <c r="M2630" s="508">
        <v>25.004999999999999</v>
      </c>
      <c r="N2630" s="508">
        <v>24.992999999999999</v>
      </c>
      <c r="O2630" s="508">
        <v>24.981000000000002</v>
      </c>
      <c r="P2630" s="508">
        <v>24.971</v>
      </c>
      <c r="Q2630" s="508">
        <v>24.96</v>
      </c>
      <c r="R2630" s="508">
        <v>24.95</v>
      </c>
      <c r="S2630" s="508">
        <v>24.94</v>
      </c>
      <c r="T2630" s="508">
        <v>24.93</v>
      </c>
      <c r="U2630" s="508">
        <v>24.920999999999999</v>
      </c>
      <c r="V2630" s="508">
        <v>2.8980000000000001</v>
      </c>
      <c r="W2630" s="508">
        <v>2.8889999999999998</v>
      </c>
      <c r="X2630" s="508">
        <v>2.8809999999999998</v>
      </c>
      <c r="Y2630" s="508">
        <v>2.8719999999999999</v>
      </c>
      <c r="Z2630" s="508">
        <v>2.8650000000000002</v>
      </c>
      <c r="AA2630" s="508">
        <v>7.4180000000000001</v>
      </c>
      <c r="AB2630" s="508">
        <v>7.41</v>
      </c>
      <c r="AC2630" s="508">
        <v>7.4029999999999996</v>
      </c>
      <c r="AD2630" s="508">
        <v>3.4460000000000002</v>
      </c>
      <c r="AE2630" s="508">
        <v>3.44</v>
      </c>
      <c r="AF2630" s="508">
        <v>3.4329999999999998</v>
      </c>
      <c r="AG2630" s="508">
        <v>3.427</v>
      </c>
      <c r="AH2630" s="508">
        <v>3.407</v>
      </c>
      <c r="AI2630" s="492">
        <v>3.4009999999999998</v>
      </c>
      <c r="AJ2630" s="485"/>
    </row>
    <row r="2631" spans="2:36">
      <c r="B2631" s="136" t="s">
        <v>440</v>
      </c>
      <c r="C2631" s="132" t="s">
        <v>1377</v>
      </c>
      <c r="D2631" s="132" t="s">
        <v>282</v>
      </c>
      <c r="E2631" s="508"/>
      <c r="F2631" s="508"/>
      <c r="G2631" s="508"/>
      <c r="H2631" s="508"/>
      <c r="I2631" s="508"/>
      <c r="J2631" s="508">
        <v>24.831</v>
      </c>
      <c r="K2631" s="508">
        <v>24.818999999999999</v>
      </c>
      <c r="L2631" s="508">
        <v>24.806999999999999</v>
      </c>
      <c r="M2631" s="508">
        <v>24.795000000000002</v>
      </c>
      <c r="N2631" s="508">
        <v>24.783999999999999</v>
      </c>
      <c r="O2631" s="508">
        <v>24.773</v>
      </c>
      <c r="P2631" s="508">
        <v>24.762</v>
      </c>
      <c r="Q2631" s="508">
        <v>24.753</v>
      </c>
      <c r="R2631" s="508">
        <v>24.742999999999999</v>
      </c>
      <c r="S2631" s="508">
        <v>24.733000000000001</v>
      </c>
      <c r="T2631" s="508">
        <v>24.724</v>
      </c>
      <c r="U2631" s="508">
        <v>24.715</v>
      </c>
      <c r="V2631" s="508">
        <v>2.8450000000000002</v>
      </c>
      <c r="W2631" s="508">
        <v>2.8370000000000002</v>
      </c>
      <c r="X2631" s="508">
        <v>2.8290000000000002</v>
      </c>
      <c r="Y2631" s="508">
        <v>2.82</v>
      </c>
      <c r="Z2631" s="508">
        <v>2.8130000000000002</v>
      </c>
      <c r="AA2631" s="508">
        <v>7.2949999999999999</v>
      </c>
      <c r="AB2631" s="508">
        <v>7.2869999999999999</v>
      </c>
      <c r="AC2631" s="508">
        <v>7.28</v>
      </c>
      <c r="AD2631" s="508">
        <v>3.3860000000000001</v>
      </c>
      <c r="AE2631" s="508">
        <v>3.379</v>
      </c>
      <c r="AF2631" s="508">
        <v>3.3730000000000002</v>
      </c>
      <c r="AG2631" s="508">
        <v>3.367</v>
      </c>
      <c r="AH2631" s="508">
        <v>3.347</v>
      </c>
      <c r="AI2631" s="492">
        <v>3.3410000000000002</v>
      </c>
      <c r="AJ2631" s="485"/>
    </row>
    <row r="2632" spans="2:36">
      <c r="B2632" s="136" t="s">
        <v>441</v>
      </c>
      <c r="C2632" s="132" t="s">
        <v>1377</v>
      </c>
      <c r="D2632" s="132" t="s">
        <v>282</v>
      </c>
      <c r="E2632" s="508"/>
      <c r="F2632" s="508"/>
      <c r="G2632" s="508"/>
      <c r="H2632" s="508"/>
      <c r="I2632" s="508"/>
      <c r="J2632" s="508">
        <v>25.166</v>
      </c>
      <c r="K2632" s="508">
        <v>25.152999999999999</v>
      </c>
      <c r="L2632" s="508">
        <v>25.140999999999998</v>
      </c>
      <c r="M2632" s="508">
        <v>25.129000000000001</v>
      </c>
      <c r="N2632" s="508">
        <v>25.117000000000001</v>
      </c>
      <c r="O2632" s="508">
        <v>25.105</v>
      </c>
      <c r="P2632" s="508">
        <v>25.094000000000001</v>
      </c>
      <c r="Q2632" s="508">
        <v>25.082999999999998</v>
      </c>
      <c r="R2632" s="508">
        <v>25.073</v>
      </c>
      <c r="S2632" s="508">
        <v>25.062999999999999</v>
      </c>
      <c r="T2632" s="508">
        <v>25.053000000000001</v>
      </c>
      <c r="U2632" s="508">
        <v>25.042999999999999</v>
      </c>
      <c r="V2632" s="508">
        <v>2.9180000000000001</v>
      </c>
      <c r="W2632" s="508">
        <v>2.91</v>
      </c>
      <c r="X2632" s="508">
        <v>2.9009999999999998</v>
      </c>
      <c r="Y2632" s="508">
        <v>2.8919999999999999</v>
      </c>
      <c r="Z2632" s="508">
        <v>2.8849999999999998</v>
      </c>
      <c r="AA2632" s="508">
        <v>7.4660000000000002</v>
      </c>
      <c r="AB2632" s="508">
        <v>7.4580000000000002</v>
      </c>
      <c r="AC2632" s="508">
        <v>7.4509999999999996</v>
      </c>
      <c r="AD2632" s="508">
        <v>3.4689999999999999</v>
      </c>
      <c r="AE2632" s="508">
        <v>3.4630000000000001</v>
      </c>
      <c r="AF2632" s="508">
        <v>3.456</v>
      </c>
      <c r="AG2632" s="508">
        <v>3.4489999999999998</v>
      </c>
      <c r="AH2632" s="508">
        <v>3.4289999999999998</v>
      </c>
      <c r="AI2632" s="492">
        <v>3.423</v>
      </c>
      <c r="AJ2632" s="485"/>
    </row>
    <row r="2633" spans="2:36">
      <c r="B2633" s="136" t="s">
        <v>443</v>
      </c>
      <c r="C2633" s="132" t="s">
        <v>1377</v>
      </c>
      <c r="D2633" s="132" t="s">
        <v>282</v>
      </c>
      <c r="E2633" s="508"/>
      <c r="F2633" s="508"/>
      <c r="G2633" s="508"/>
      <c r="H2633" s="508"/>
      <c r="I2633" s="508"/>
      <c r="J2633" s="508">
        <v>23.437999999999999</v>
      </c>
      <c r="K2633" s="508">
        <v>23.425000000000001</v>
      </c>
      <c r="L2633" s="508">
        <v>23.413</v>
      </c>
      <c r="M2633" s="508">
        <v>23.4</v>
      </c>
      <c r="N2633" s="508">
        <v>23.388999999999999</v>
      </c>
      <c r="O2633" s="508">
        <v>23.376999999999999</v>
      </c>
      <c r="P2633" s="508">
        <v>23.366</v>
      </c>
      <c r="Q2633" s="508">
        <v>23.356000000000002</v>
      </c>
      <c r="R2633" s="508">
        <v>23.344999999999999</v>
      </c>
      <c r="S2633" s="508">
        <v>23.335999999999999</v>
      </c>
      <c r="T2633" s="508">
        <v>23.326000000000001</v>
      </c>
      <c r="U2633" s="508">
        <v>23.317</v>
      </c>
      <c r="V2633" s="508">
        <v>2.835</v>
      </c>
      <c r="W2633" s="508">
        <v>2.827</v>
      </c>
      <c r="X2633" s="508">
        <v>2.8180000000000001</v>
      </c>
      <c r="Y2633" s="508">
        <v>2.81</v>
      </c>
      <c r="Z2633" s="508">
        <v>2.802</v>
      </c>
      <c r="AA2633" s="508">
        <v>7.2469999999999999</v>
      </c>
      <c r="AB2633" s="508">
        <v>7.2389999999999999</v>
      </c>
      <c r="AC2633" s="508">
        <v>7.2320000000000002</v>
      </c>
      <c r="AD2633" s="508">
        <v>3.3860000000000001</v>
      </c>
      <c r="AE2633" s="508">
        <v>3.379</v>
      </c>
      <c r="AF2633" s="508">
        <v>3.3719999999999999</v>
      </c>
      <c r="AG2633" s="508">
        <v>3.3660000000000001</v>
      </c>
      <c r="AH2633" s="508">
        <v>3.3450000000000002</v>
      </c>
      <c r="AI2633" s="492">
        <v>3.34</v>
      </c>
      <c r="AJ2633" s="485"/>
    </row>
    <row r="2634" spans="2:36">
      <c r="B2634" s="136" t="s">
        <v>445</v>
      </c>
      <c r="C2634" s="132" t="s">
        <v>1377</v>
      </c>
      <c r="D2634" s="132" t="s">
        <v>282</v>
      </c>
      <c r="E2634" s="508"/>
      <c r="F2634" s="508"/>
      <c r="G2634" s="508"/>
      <c r="H2634" s="508"/>
      <c r="I2634" s="508"/>
      <c r="J2634" s="508">
        <v>23.535</v>
      </c>
      <c r="K2634" s="508">
        <v>23.521000000000001</v>
      </c>
      <c r="L2634" s="508">
        <v>23.507999999999999</v>
      </c>
      <c r="M2634" s="508">
        <v>23.494</v>
      </c>
      <c r="N2634" s="508">
        <v>23.481999999999999</v>
      </c>
      <c r="O2634" s="508">
        <v>23.469000000000001</v>
      </c>
      <c r="P2634" s="508">
        <v>23.457000000000001</v>
      </c>
      <c r="Q2634" s="508">
        <v>23.446000000000002</v>
      </c>
      <c r="R2634" s="508">
        <v>23.434999999999999</v>
      </c>
      <c r="S2634" s="508">
        <v>23.423999999999999</v>
      </c>
      <c r="T2634" s="508">
        <v>23.413</v>
      </c>
      <c r="U2634" s="508">
        <v>23.404</v>
      </c>
      <c r="V2634" s="508">
        <v>2.9630000000000001</v>
      </c>
      <c r="W2634" s="508">
        <v>2.9540000000000002</v>
      </c>
      <c r="X2634" s="508">
        <v>2.944</v>
      </c>
      <c r="Y2634" s="508">
        <v>2.9350000000000001</v>
      </c>
      <c r="Z2634" s="508">
        <v>2.927</v>
      </c>
      <c r="AA2634" s="508">
        <v>7.5519999999999996</v>
      </c>
      <c r="AB2634" s="508">
        <v>7.5439999999999996</v>
      </c>
      <c r="AC2634" s="508">
        <v>7.5359999999999996</v>
      </c>
      <c r="AD2634" s="508">
        <v>3.5430000000000001</v>
      </c>
      <c r="AE2634" s="508">
        <v>3.536</v>
      </c>
      <c r="AF2634" s="508">
        <v>3.5289999999999999</v>
      </c>
      <c r="AG2634" s="508">
        <v>3.5219999999999998</v>
      </c>
      <c r="AH2634" s="508">
        <v>3.5019999999999998</v>
      </c>
      <c r="AI2634" s="492">
        <v>3.4950000000000001</v>
      </c>
      <c r="AJ2634" s="485"/>
    </row>
    <row r="2635" spans="2:36">
      <c r="B2635" s="136" t="s">
        <v>446</v>
      </c>
      <c r="C2635" s="132" t="s">
        <v>1377</v>
      </c>
      <c r="D2635" s="132" t="s">
        <v>282</v>
      </c>
      <c r="E2635" s="508"/>
      <c r="F2635" s="508"/>
      <c r="G2635" s="508"/>
      <c r="H2635" s="508"/>
      <c r="I2635" s="508"/>
      <c r="J2635" s="508">
        <v>23.904</v>
      </c>
      <c r="K2635" s="508">
        <v>23.890999999999998</v>
      </c>
      <c r="L2635" s="508">
        <v>23.879000000000001</v>
      </c>
      <c r="M2635" s="508">
        <v>23.866</v>
      </c>
      <c r="N2635" s="508">
        <v>23.853999999999999</v>
      </c>
      <c r="O2635" s="508">
        <v>23.843</v>
      </c>
      <c r="P2635" s="508">
        <v>23.831</v>
      </c>
      <c r="Q2635" s="508">
        <v>23.821000000000002</v>
      </c>
      <c r="R2635" s="508">
        <v>23.81</v>
      </c>
      <c r="S2635" s="508">
        <v>23.8</v>
      </c>
      <c r="T2635" s="508">
        <v>23.79</v>
      </c>
      <c r="U2635" s="508">
        <v>23.780999999999999</v>
      </c>
      <c r="V2635" s="508">
        <v>2.89</v>
      </c>
      <c r="W2635" s="508">
        <v>2.8820000000000001</v>
      </c>
      <c r="X2635" s="508">
        <v>2.8730000000000002</v>
      </c>
      <c r="Y2635" s="508">
        <v>2.8639999999999999</v>
      </c>
      <c r="Z2635" s="508">
        <v>2.8570000000000002</v>
      </c>
      <c r="AA2635" s="508">
        <v>7.39</v>
      </c>
      <c r="AB2635" s="508">
        <v>7.3819999999999997</v>
      </c>
      <c r="AC2635" s="508">
        <v>7.375</v>
      </c>
      <c r="AD2635" s="508">
        <v>3.452</v>
      </c>
      <c r="AE2635" s="508">
        <v>3.4449999999999998</v>
      </c>
      <c r="AF2635" s="508">
        <v>3.4380000000000002</v>
      </c>
      <c r="AG2635" s="508">
        <v>3.4319999999999999</v>
      </c>
      <c r="AH2635" s="508">
        <v>3.4119999999999999</v>
      </c>
      <c r="AI2635" s="492">
        <v>3.4060000000000001</v>
      </c>
      <c r="AJ2635" s="485"/>
    </row>
    <row r="2636" spans="2:36">
      <c r="B2636" s="136" t="s">
        <v>448</v>
      </c>
      <c r="C2636" s="132" t="s">
        <v>1377</v>
      </c>
      <c r="D2636" s="132" t="s">
        <v>282</v>
      </c>
      <c r="E2636" s="508"/>
      <c r="F2636" s="508"/>
      <c r="G2636" s="508"/>
      <c r="H2636" s="508"/>
      <c r="I2636" s="508"/>
      <c r="J2636" s="508">
        <v>24.661000000000001</v>
      </c>
      <c r="K2636" s="508">
        <v>24.649000000000001</v>
      </c>
      <c r="L2636" s="508">
        <v>24.638000000000002</v>
      </c>
      <c r="M2636" s="508">
        <v>24.626999999999999</v>
      </c>
      <c r="N2636" s="508">
        <v>24.616</v>
      </c>
      <c r="O2636" s="508">
        <v>24.605</v>
      </c>
      <c r="P2636" s="508">
        <v>24.594999999999999</v>
      </c>
      <c r="Q2636" s="508">
        <v>24.585999999999999</v>
      </c>
      <c r="R2636" s="508">
        <v>24.576000000000001</v>
      </c>
      <c r="S2636" s="508">
        <v>24.567</v>
      </c>
      <c r="T2636" s="508">
        <v>24.558</v>
      </c>
      <c r="U2636" s="508">
        <v>24.55</v>
      </c>
      <c r="V2636" s="508">
        <v>2.7919999999999998</v>
      </c>
      <c r="W2636" s="508">
        <v>2.7839999999999998</v>
      </c>
      <c r="X2636" s="508">
        <v>2.7759999999999998</v>
      </c>
      <c r="Y2636" s="508">
        <v>2.7679999999999998</v>
      </c>
      <c r="Z2636" s="508">
        <v>2.7610000000000001</v>
      </c>
      <c r="AA2636" s="508">
        <v>7.1680000000000001</v>
      </c>
      <c r="AB2636" s="508">
        <v>7.1619999999999999</v>
      </c>
      <c r="AC2636" s="508">
        <v>7.1550000000000002</v>
      </c>
      <c r="AD2636" s="508">
        <v>3.323</v>
      </c>
      <c r="AE2636" s="508">
        <v>3.3159999999999998</v>
      </c>
      <c r="AF2636" s="508">
        <v>3.31</v>
      </c>
      <c r="AG2636" s="508">
        <v>3.3039999999999998</v>
      </c>
      <c r="AH2636" s="508">
        <v>3.2839999999999998</v>
      </c>
      <c r="AI2636" s="492">
        <v>3.2789999999999999</v>
      </c>
      <c r="AJ2636" s="485"/>
    </row>
    <row r="2637" spans="2:36">
      <c r="B2637" s="136" t="s">
        <v>449</v>
      </c>
      <c r="C2637" s="132" t="s">
        <v>1377</v>
      </c>
      <c r="D2637" s="132" t="s">
        <v>282</v>
      </c>
      <c r="E2637" s="508"/>
      <c r="F2637" s="508"/>
      <c r="G2637" s="508"/>
      <c r="H2637" s="508"/>
      <c r="I2637" s="508"/>
      <c r="J2637" s="508">
        <v>23.75</v>
      </c>
      <c r="K2637" s="508">
        <v>23.736999999999998</v>
      </c>
      <c r="L2637" s="508">
        <v>23.724</v>
      </c>
      <c r="M2637" s="508">
        <v>23.712</v>
      </c>
      <c r="N2637" s="508">
        <v>23.7</v>
      </c>
      <c r="O2637" s="508">
        <v>23.687999999999999</v>
      </c>
      <c r="P2637" s="508">
        <v>23.677</v>
      </c>
      <c r="Q2637" s="508">
        <v>23.667000000000002</v>
      </c>
      <c r="R2637" s="508">
        <v>23.655999999999999</v>
      </c>
      <c r="S2637" s="508">
        <v>23.646000000000001</v>
      </c>
      <c r="T2637" s="508">
        <v>23.635999999999999</v>
      </c>
      <c r="U2637" s="508">
        <v>23.626999999999999</v>
      </c>
      <c r="V2637" s="508">
        <v>2.8679999999999999</v>
      </c>
      <c r="W2637" s="508">
        <v>2.86</v>
      </c>
      <c r="X2637" s="508">
        <v>2.851</v>
      </c>
      <c r="Y2637" s="508">
        <v>2.8420000000000001</v>
      </c>
      <c r="Z2637" s="508">
        <v>2.835</v>
      </c>
      <c r="AA2637" s="508">
        <v>7.3289999999999997</v>
      </c>
      <c r="AB2637" s="508">
        <v>7.3220000000000001</v>
      </c>
      <c r="AC2637" s="508">
        <v>7.3150000000000004</v>
      </c>
      <c r="AD2637" s="508">
        <v>3.423</v>
      </c>
      <c r="AE2637" s="508">
        <v>3.4159999999999999</v>
      </c>
      <c r="AF2637" s="508">
        <v>3.41</v>
      </c>
      <c r="AG2637" s="508">
        <v>3.403</v>
      </c>
      <c r="AH2637" s="508">
        <v>3.383</v>
      </c>
      <c r="AI2637" s="492">
        <v>3.3769999999999998</v>
      </c>
      <c r="AJ2637" s="485"/>
    </row>
    <row r="2638" spans="2:36">
      <c r="B2638" s="136" t="s">
        <v>450</v>
      </c>
      <c r="C2638" s="132" t="s">
        <v>1377</v>
      </c>
      <c r="D2638" s="132" t="s">
        <v>282</v>
      </c>
      <c r="E2638" s="508"/>
      <c r="F2638" s="508"/>
      <c r="G2638" s="508"/>
      <c r="H2638" s="508"/>
      <c r="I2638" s="508"/>
      <c r="J2638" s="508">
        <v>24.434999999999999</v>
      </c>
      <c r="K2638" s="508">
        <v>24.422999999999998</v>
      </c>
      <c r="L2638" s="508">
        <v>24.411999999999999</v>
      </c>
      <c r="M2638" s="508">
        <v>24.401</v>
      </c>
      <c r="N2638" s="508">
        <v>24.390999999999998</v>
      </c>
      <c r="O2638" s="508">
        <v>24.38</v>
      </c>
      <c r="P2638" s="508">
        <v>24.37</v>
      </c>
      <c r="Q2638" s="508">
        <v>24.361000000000001</v>
      </c>
      <c r="R2638" s="508">
        <v>24.352</v>
      </c>
      <c r="S2638" s="508">
        <v>24.343</v>
      </c>
      <c r="T2638" s="508">
        <v>24.334</v>
      </c>
      <c r="U2638" s="508">
        <v>24.326000000000001</v>
      </c>
      <c r="V2638" s="508">
        <v>2.766</v>
      </c>
      <c r="W2638" s="508">
        <v>2.7589999999999999</v>
      </c>
      <c r="X2638" s="508">
        <v>2.7509999999999999</v>
      </c>
      <c r="Y2638" s="508">
        <v>2.7429999999999999</v>
      </c>
      <c r="Z2638" s="508">
        <v>2.7360000000000002</v>
      </c>
      <c r="AA2638" s="508">
        <v>7.1070000000000002</v>
      </c>
      <c r="AB2638" s="508">
        <v>7.1</v>
      </c>
      <c r="AC2638" s="508">
        <v>7.093</v>
      </c>
      <c r="AD2638" s="508">
        <v>3.294</v>
      </c>
      <c r="AE2638" s="508">
        <v>3.2879999999999998</v>
      </c>
      <c r="AF2638" s="508">
        <v>3.282</v>
      </c>
      <c r="AG2638" s="508">
        <v>3.2759999999999998</v>
      </c>
      <c r="AH2638" s="508">
        <v>3.2559999999999998</v>
      </c>
      <c r="AI2638" s="492">
        <v>3.2509999999999999</v>
      </c>
      <c r="AJ2638" s="485"/>
    </row>
    <row r="2639" spans="2:36">
      <c r="B2639" s="136" t="s">
        <v>451</v>
      </c>
      <c r="C2639" s="132" t="s">
        <v>1377</v>
      </c>
      <c r="D2639" s="132" t="s">
        <v>282</v>
      </c>
      <c r="E2639" s="508"/>
      <c r="F2639" s="508"/>
      <c r="G2639" s="508"/>
      <c r="H2639" s="508"/>
      <c r="I2639" s="508"/>
      <c r="J2639" s="508">
        <v>24.173999999999999</v>
      </c>
      <c r="K2639" s="508">
        <v>24.16</v>
      </c>
      <c r="L2639" s="508">
        <v>24.148</v>
      </c>
      <c r="M2639" s="508">
        <v>24.135000000000002</v>
      </c>
      <c r="N2639" s="508">
        <v>24.122</v>
      </c>
      <c r="O2639" s="508">
        <v>24.11</v>
      </c>
      <c r="P2639" s="508">
        <v>24.097999999999999</v>
      </c>
      <c r="Q2639" s="508">
        <v>24.087</v>
      </c>
      <c r="R2639" s="508">
        <v>24.076000000000001</v>
      </c>
      <c r="S2639" s="508">
        <v>24.065999999999999</v>
      </c>
      <c r="T2639" s="508">
        <v>24.056000000000001</v>
      </c>
      <c r="U2639" s="508">
        <v>24.045999999999999</v>
      </c>
      <c r="V2639" s="508">
        <v>2.944</v>
      </c>
      <c r="W2639" s="508">
        <v>2.9350000000000001</v>
      </c>
      <c r="X2639" s="508">
        <v>2.9260000000000002</v>
      </c>
      <c r="Y2639" s="508">
        <v>2.9169999999999998</v>
      </c>
      <c r="Z2639" s="508">
        <v>2.9089999999999998</v>
      </c>
      <c r="AA2639" s="508">
        <v>7.5140000000000002</v>
      </c>
      <c r="AB2639" s="508">
        <v>7.5069999999999997</v>
      </c>
      <c r="AC2639" s="508">
        <v>7.4989999999999997</v>
      </c>
      <c r="AD2639" s="508">
        <v>3.5129999999999999</v>
      </c>
      <c r="AE2639" s="508">
        <v>3.5049999999999999</v>
      </c>
      <c r="AF2639" s="508">
        <v>3.4990000000000001</v>
      </c>
      <c r="AG2639" s="508">
        <v>3.492</v>
      </c>
      <c r="AH2639" s="508">
        <v>3.472</v>
      </c>
      <c r="AI2639" s="492">
        <v>3.4649999999999999</v>
      </c>
      <c r="AJ2639" s="485"/>
    </row>
    <row r="2640" spans="2:36">
      <c r="B2640" s="136" t="s">
        <v>452</v>
      </c>
      <c r="C2640" s="132" t="s">
        <v>1377</v>
      </c>
      <c r="D2640" s="132" t="s">
        <v>282</v>
      </c>
      <c r="E2640" s="508"/>
      <c r="F2640" s="508"/>
      <c r="G2640" s="508"/>
      <c r="H2640" s="508"/>
      <c r="I2640" s="508"/>
      <c r="J2640" s="508">
        <v>24.135000000000002</v>
      </c>
      <c r="K2640" s="508">
        <v>24.122</v>
      </c>
      <c r="L2640" s="508">
        <v>24.111000000000001</v>
      </c>
      <c r="M2640" s="508">
        <v>24.099</v>
      </c>
      <c r="N2640" s="508">
        <v>24.088000000000001</v>
      </c>
      <c r="O2640" s="508">
        <v>24.077000000000002</v>
      </c>
      <c r="P2640" s="508">
        <v>24.065999999999999</v>
      </c>
      <c r="Q2640" s="508">
        <v>24.056000000000001</v>
      </c>
      <c r="R2640" s="508">
        <v>24.045999999999999</v>
      </c>
      <c r="S2640" s="508">
        <v>24.036999999999999</v>
      </c>
      <c r="T2640" s="508">
        <v>24.027999999999999</v>
      </c>
      <c r="U2640" s="508">
        <v>24.018999999999998</v>
      </c>
      <c r="V2640" s="508">
        <v>2.8210000000000002</v>
      </c>
      <c r="W2640" s="508">
        <v>2.8130000000000002</v>
      </c>
      <c r="X2640" s="508">
        <v>2.8050000000000002</v>
      </c>
      <c r="Y2640" s="508">
        <v>2.7970000000000002</v>
      </c>
      <c r="Z2640" s="508">
        <v>2.7890000000000001</v>
      </c>
      <c r="AA2640" s="508">
        <v>7.2309999999999999</v>
      </c>
      <c r="AB2640" s="508">
        <v>7.2229999999999999</v>
      </c>
      <c r="AC2640" s="508">
        <v>7.2160000000000002</v>
      </c>
      <c r="AD2640" s="508">
        <v>3.3650000000000002</v>
      </c>
      <c r="AE2640" s="508">
        <v>3.3580000000000001</v>
      </c>
      <c r="AF2640" s="508">
        <v>3.3519999999999999</v>
      </c>
      <c r="AG2640" s="508">
        <v>3.3460000000000001</v>
      </c>
      <c r="AH2640" s="508">
        <v>3.3260000000000001</v>
      </c>
      <c r="AI2640" s="492">
        <v>3.32</v>
      </c>
      <c r="AJ2640" s="485"/>
    </row>
    <row r="2641" spans="2:36">
      <c r="B2641" s="136" t="s">
        <v>453</v>
      </c>
      <c r="C2641" s="132" t="s">
        <v>1377</v>
      </c>
      <c r="D2641" s="132" t="s">
        <v>282</v>
      </c>
      <c r="E2641" s="508"/>
      <c r="F2641" s="508"/>
      <c r="G2641" s="508"/>
      <c r="H2641" s="508"/>
      <c r="I2641" s="508"/>
      <c r="J2641" s="508">
        <v>24.48</v>
      </c>
      <c r="K2641" s="508">
        <v>24.469000000000001</v>
      </c>
      <c r="L2641" s="508">
        <v>24.457999999999998</v>
      </c>
      <c r="M2641" s="508">
        <v>24.446999999999999</v>
      </c>
      <c r="N2641" s="508">
        <v>24.437000000000001</v>
      </c>
      <c r="O2641" s="508">
        <v>24.425999999999998</v>
      </c>
      <c r="P2641" s="508">
        <v>24.416</v>
      </c>
      <c r="Q2641" s="508">
        <v>24.407</v>
      </c>
      <c r="R2641" s="508">
        <v>24.398</v>
      </c>
      <c r="S2641" s="508">
        <v>24.388999999999999</v>
      </c>
      <c r="T2641" s="508">
        <v>24.381</v>
      </c>
      <c r="U2641" s="508">
        <v>24.372</v>
      </c>
      <c r="V2641" s="508">
        <v>2.75</v>
      </c>
      <c r="W2641" s="508">
        <v>2.742</v>
      </c>
      <c r="X2641" s="508">
        <v>2.7349999999999999</v>
      </c>
      <c r="Y2641" s="508">
        <v>2.7269999999999999</v>
      </c>
      <c r="Z2641" s="508">
        <v>2.72</v>
      </c>
      <c r="AA2641" s="508">
        <v>7.069</v>
      </c>
      <c r="AB2641" s="508">
        <v>7.0629999999999997</v>
      </c>
      <c r="AC2641" s="508">
        <v>7.056</v>
      </c>
      <c r="AD2641" s="508">
        <v>3.274</v>
      </c>
      <c r="AE2641" s="508">
        <v>3.2679999999999998</v>
      </c>
      <c r="AF2641" s="508">
        <v>3.262</v>
      </c>
      <c r="AG2641" s="508">
        <v>3.2559999999999998</v>
      </c>
      <c r="AH2641" s="508">
        <v>3.2360000000000002</v>
      </c>
      <c r="AI2641" s="492">
        <v>3.2309999999999999</v>
      </c>
      <c r="AJ2641" s="485"/>
    </row>
    <row r="2642" spans="2:36">
      <c r="B2642" s="136" t="s">
        <v>454</v>
      </c>
      <c r="C2642" s="132" t="s">
        <v>1377</v>
      </c>
      <c r="D2642" s="132" t="s">
        <v>282</v>
      </c>
      <c r="E2642" s="508"/>
      <c r="F2642" s="508"/>
      <c r="G2642" s="508"/>
      <c r="H2642" s="508"/>
      <c r="I2642" s="508"/>
      <c r="J2642" s="508">
        <v>24.533999999999999</v>
      </c>
      <c r="K2642" s="508">
        <v>24.521999999999998</v>
      </c>
      <c r="L2642" s="508">
        <v>24.510999999999999</v>
      </c>
      <c r="M2642" s="508">
        <v>24.498999999999999</v>
      </c>
      <c r="N2642" s="508">
        <v>24.489000000000001</v>
      </c>
      <c r="O2642" s="508">
        <v>24.478000000000002</v>
      </c>
      <c r="P2642" s="508">
        <v>24.468</v>
      </c>
      <c r="Q2642" s="508">
        <v>24.457999999999998</v>
      </c>
      <c r="R2642" s="508">
        <v>24.449000000000002</v>
      </c>
      <c r="S2642" s="508">
        <v>24.439</v>
      </c>
      <c r="T2642" s="508">
        <v>24.43</v>
      </c>
      <c r="U2642" s="508">
        <v>24.422000000000001</v>
      </c>
      <c r="V2642" s="508">
        <v>2.786</v>
      </c>
      <c r="W2642" s="508">
        <v>2.778</v>
      </c>
      <c r="X2642" s="508">
        <v>2.77</v>
      </c>
      <c r="Y2642" s="508">
        <v>2.762</v>
      </c>
      <c r="Z2642" s="508">
        <v>2.7549999999999999</v>
      </c>
      <c r="AA2642" s="508">
        <v>7.1509999999999998</v>
      </c>
      <c r="AB2642" s="508">
        <v>7.1449999999999996</v>
      </c>
      <c r="AC2642" s="508">
        <v>7.1379999999999999</v>
      </c>
      <c r="AD2642" s="508">
        <v>3.3159999999999998</v>
      </c>
      <c r="AE2642" s="508">
        <v>3.31</v>
      </c>
      <c r="AF2642" s="508">
        <v>3.3039999999999998</v>
      </c>
      <c r="AG2642" s="508">
        <v>3.298</v>
      </c>
      <c r="AH2642" s="508">
        <v>3.278</v>
      </c>
      <c r="AI2642" s="492">
        <v>3.2719999999999998</v>
      </c>
      <c r="AJ2642" s="485"/>
    </row>
    <row r="2643" spans="2:36">
      <c r="B2643" s="136" t="s">
        <v>455</v>
      </c>
      <c r="C2643" s="132" t="s">
        <v>1377</v>
      </c>
      <c r="D2643" s="132" t="s">
        <v>282</v>
      </c>
      <c r="E2643" s="508"/>
      <c r="F2643" s="508"/>
      <c r="G2643" s="508"/>
      <c r="H2643" s="508"/>
      <c r="I2643" s="508"/>
      <c r="J2643" s="508">
        <v>25.103000000000002</v>
      </c>
      <c r="K2643" s="508">
        <v>25.091000000000001</v>
      </c>
      <c r="L2643" s="508">
        <v>25.081</v>
      </c>
      <c r="M2643" s="508">
        <v>25.07</v>
      </c>
      <c r="N2643" s="508">
        <v>25.06</v>
      </c>
      <c r="O2643" s="508">
        <v>25.048999999999999</v>
      </c>
      <c r="P2643" s="508">
        <v>25.039000000000001</v>
      </c>
      <c r="Q2643" s="508">
        <v>25.03</v>
      </c>
      <c r="R2643" s="508">
        <v>25.021000000000001</v>
      </c>
      <c r="S2643" s="508">
        <v>25.013000000000002</v>
      </c>
      <c r="T2643" s="508">
        <v>25.004000000000001</v>
      </c>
      <c r="U2643" s="508">
        <v>24.995999999999999</v>
      </c>
      <c r="V2643" s="508">
        <v>2.7679999999999998</v>
      </c>
      <c r="W2643" s="508">
        <v>2.76</v>
      </c>
      <c r="X2643" s="508">
        <v>2.7530000000000001</v>
      </c>
      <c r="Y2643" s="508">
        <v>2.7450000000000001</v>
      </c>
      <c r="Z2643" s="508">
        <v>2.738</v>
      </c>
      <c r="AA2643" s="508">
        <v>7.1219999999999999</v>
      </c>
      <c r="AB2643" s="508">
        <v>7.1150000000000002</v>
      </c>
      <c r="AC2643" s="508">
        <v>7.109</v>
      </c>
      <c r="AD2643" s="508">
        <v>3.29</v>
      </c>
      <c r="AE2643" s="508">
        <v>3.2839999999999998</v>
      </c>
      <c r="AF2643" s="508">
        <v>3.278</v>
      </c>
      <c r="AG2643" s="508">
        <v>3.2730000000000001</v>
      </c>
      <c r="AH2643" s="508">
        <v>3.2530000000000001</v>
      </c>
      <c r="AI2643" s="492">
        <v>3.2480000000000002</v>
      </c>
      <c r="AJ2643" s="485"/>
    </row>
    <row r="2644" spans="2:36">
      <c r="B2644" s="136" t="s">
        <v>456</v>
      </c>
      <c r="C2644" s="132" t="s">
        <v>1377</v>
      </c>
      <c r="D2644" s="132" t="s">
        <v>282</v>
      </c>
      <c r="E2644" s="508"/>
      <c r="F2644" s="508"/>
      <c r="G2644" s="508"/>
      <c r="H2644" s="508"/>
      <c r="I2644" s="508"/>
      <c r="J2644" s="508">
        <v>24.536000000000001</v>
      </c>
      <c r="K2644" s="508">
        <v>24.524000000000001</v>
      </c>
      <c r="L2644" s="508">
        <v>24.513000000000002</v>
      </c>
      <c r="M2644" s="508">
        <v>24.501999999999999</v>
      </c>
      <c r="N2644" s="508">
        <v>24.491</v>
      </c>
      <c r="O2644" s="508">
        <v>24.48</v>
      </c>
      <c r="P2644" s="508">
        <v>24.469000000000001</v>
      </c>
      <c r="Q2644" s="508">
        <v>24.46</v>
      </c>
      <c r="R2644" s="508">
        <v>24.45</v>
      </c>
      <c r="S2644" s="508">
        <v>24.440999999999999</v>
      </c>
      <c r="T2644" s="508">
        <v>24.431999999999999</v>
      </c>
      <c r="U2644" s="508">
        <v>24.422999999999998</v>
      </c>
      <c r="V2644" s="508">
        <v>2.8050000000000002</v>
      </c>
      <c r="W2644" s="508">
        <v>2.7970000000000002</v>
      </c>
      <c r="X2644" s="508">
        <v>2.7890000000000001</v>
      </c>
      <c r="Y2644" s="508">
        <v>2.7810000000000001</v>
      </c>
      <c r="Z2644" s="508">
        <v>2.774</v>
      </c>
      <c r="AA2644" s="508">
        <v>7.1980000000000004</v>
      </c>
      <c r="AB2644" s="508">
        <v>7.1909999999999998</v>
      </c>
      <c r="AC2644" s="508">
        <v>7.1840000000000002</v>
      </c>
      <c r="AD2644" s="508">
        <v>3.34</v>
      </c>
      <c r="AE2644" s="508">
        <v>3.3340000000000001</v>
      </c>
      <c r="AF2644" s="508">
        <v>3.3279999999999998</v>
      </c>
      <c r="AG2644" s="508">
        <v>3.3220000000000001</v>
      </c>
      <c r="AH2644" s="508">
        <v>3.302</v>
      </c>
      <c r="AI2644" s="492">
        <v>3.2970000000000002</v>
      </c>
      <c r="AJ2644" s="485"/>
    </row>
    <row r="2645" spans="2:36">
      <c r="B2645" s="136" t="s">
        <v>457</v>
      </c>
      <c r="C2645" s="132" t="s">
        <v>1377</v>
      </c>
      <c r="D2645" s="132" t="s">
        <v>282</v>
      </c>
      <c r="E2645" s="508"/>
      <c r="F2645" s="508"/>
      <c r="G2645" s="508"/>
      <c r="H2645" s="508"/>
      <c r="I2645" s="508"/>
      <c r="J2645" s="508">
        <v>24.558</v>
      </c>
      <c r="K2645" s="508">
        <v>24.547000000000001</v>
      </c>
      <c r="L2645" s="508">
        <v>24.536000000000001</v>
      </c>
      <c r="M2645" s="508">
        <v>24.526</v>
      </c>
      <c r="N2645" s="508">
        <v>24.515999999999998</v>
      </c>
      <c r="O2645" s="508">
        <v>24.504999999999999</v>
      </c>
      <c r="P2645" s="508">
        <v>24.495999999999999</v>
      </c>
      <c r="Q2645" s="508">
        <v>24.486999999999998</v>
      </c>
      <c r="R2645" s="508">
        <v>24.478000000000002</v>
      </c>
      <c r="S2645" s="508">
        <v>24.47</v>
      </c>
      <c r="T2645" s="508">
        <v>24.460999999999999</v>
      </c>
      <c r="U2645" s="508">
        <v>24.452999999999999</v>
      </c>
      <c r="V2645" s="508">
        <v>2.7120000000000002</v>
      </c>
      <c r="W2645" s="508">
        <v>2.7050000000000001</v>
      </c>
      <c r="X2645" s="508">
        <v>2.6970000000000001</v>
      </c>
      <c r="Y2645" s="508">
        <v>2.69</v>
      </c>
      <c r="Z2645" s="508">
        <v>2.6829999999999998</v>
      </c>
      <c r="AA2645" s="508">
        <v>6.9809999999999999</v>
      </c>
      <c r="AB2645" s="508">
        <v>6.9740000000000002</v>
      </c>
      <c r="AC2645" s="508">
        <v>6.968</v>
      </c>
      <c r="AD2645" s="508">
        <v>3.226</v>
      </c>
      <c r="AE2645" s="508">
        <v>3.22</v>
      </c>
      <c r="AF2645" s="508">
        <v>3.2149999999999999</v>
      </c>
      <c r="AG2645" s="508">
        <v>3.2090000000000001</v>
      </c>
      <c r="AH2645" s="508">
        <v>3.1890000000000001</v>
      </c>
      <c r="AI2645" s="492">
        <v>3.1840000000000002</v>
      </c>
      <c r="AJ2645" s="485"/>
    </row>
    <row r="2646" spans="2:36">
      <c r="B2646" s="136" t="s">
        <v>458</v>
      </c>
      <c r="C2646" s="132" t="s">
        <v>1377</v>
      </c>
      <c r="D2646" s="132" t="s">
        <v>282</v>
      </c>
      <c r="E2646" s="508"/>
      <c r="F2646" s="508"/>
      <c r="G2646" s="508"/>
      <c r="H2646" s="508"/>
      <c r="I2646" s="508"/>
      <c r="J2646" s="508">
        <v>24.956</v>
      </c>
      <c r="K2646" s="508">
        <v>24.943999999999999</v>
      </c>
      <c r="L2646" s="508">
        <v>24.931999999999999</v>
      </c>
      <c r="M2646" s="508">
        <v>24.92</v>
      </c>
      <c r="N2646" s="508">
        <v>24.908000000000001</v>
      </c>
      <c r="O2646" s="508">
        <v>24.896999999999998</v>
      </c>
      <c r="P2646" s="508">
        <v>24.885999999999999</v>
      </c>
      <c r="Q2646" s="508">
        <v>24.876000000000001</v>
      </c>
      <c r="R2646" s="508">
        <v>24.866</v>
      </c>
      <c r="S2646" s="508">
        <v>24.856000000000002</v>
      </c>
      <c r="T2646" s="508">
        <v>24.847000000000001</v>
      </c>
      <c r="U2646" s="508">
        <v>24.837</v>
      </c>
      <c r="V2646" s="508">
        <v>2.8690000000000002</v>
      </c>
      <c r="W2646" s="508">
        <v>2.8610000000000002</v>
      </c>
      <c r="X2646" s="508">
        <v>2.8530000000000002</v>
      </c>
      <c r="Y2646" s="508">
        <v>2.8439999999999999</v>
      </c>
      <c r="Z2646" s="508">
        <v>2.8370000000000002</v>
      </c>
      <c r="AA2646" s="508">
        <v>7.35</v>
      </c>
      <c r="AB2646" s="508">
        <v>7.343</v>
      </c>
      <c r="AC2646" s="508">
        <v>7.3360000000000003</v>
      </c>
      <c r="AD2646" s="508">
        <v>3.4129999999999998</v>
      </c>
      <c r="AE2646" s="508">
        <v>3.4060000000000001</v>
      </c>
      <c r="AF2646" s="508">
        <v>3.399</v>
      </c>
      <c r="AG2646" s="508">
        <v>3.3929999999999998</v>
      </c>
      <c r="AH2646" s="508">
        <v>3.3730000000000002</v>
      </c>
      <c r="AI2646" s="492">
        <v>3.367</v>
      </c>
      <c r="AJ2646" s="485"/>
    </row>
    <row r="2647" spans="2:36">
      <c r="B2647" s="136" t="s">
        <v>459</v>
      </c>
      <c r="C2647" s="132" t="s">
        <v>1377</v>
      </c>
      <c r="D2647" s="132" t="s">
        <v>282</v>
      </c>
      <c r="E2647" s="508"/>
      <c r="F2647" s="508"/>
      <c r="G2647" s="508"/>
      <c r="H2647" s="508"/>
      <c r="I2647" s="508"/>
      <c r="J2647" s="508">
        <v>24.957999999999998</v>
      </c>
      <c r="K2647" s="508">
        <v>24.946000000000002</v>
      </c>
      <c r="L2647" s="508">
        <v>24.934000000000001</v>
      </c>
      <c r="M2647" s="508">
        <v>24.922000000000001</v>
      </c>
      <c r="N2647" s="508">
        <v>24.911000000000001</v>
      </c>
      <c r="O2647" s="508">
        <v>24.899000000000001</v>
      </c>
      <c r="P2647" s="508">
        <v>24.888000000000002</v>
      </c>
      <c r="Q2647" s="508">
        <v>24.878</v>
      </c>
      <c r="R2647" s="508">
        <v>24.867999999999999</v>
      </c>
      <c r="S2647" s="508">
        <v>24.859000000000002</v>
      </c>
      <c r="T2647" s="508">
        <v>24.849</v>
      </c>
      <c r="U2647" s="508">
        <v>24.84</v>
      </c>
      <c r="V2647" s="508">
        <v>2.867</v>
      </c>
      <c r="W2647" s="508">
        <v>2.859</v>
      </c>
      <c r="X2647" s="508">
        <v>2.85</v>
      </c>
      <c r="Y2647" s="508">
        <v>2.8420000000000001</v>
      </c>
      <c r="Z2647" s="508">
        <v>2.835</v>
      </c>
      <c r="AA2647" s="508">
        <v>7.3460000000000001</v>
      </c>
      <c r="AB2647" s="508">
        <v>7.3380000000000001</v>
      </c>
      <c r="AC2647" s="508">
        <v>7.3310000000000004</v>
      </c>
      <c r="AD2647" s="508">
        <v>3.41</v>
      </c>
      <c r="AE2647" s="508">
        <v>3.4039999999999999</v>
      </c>
      <c r="AF2647" s="508">
        <v>3.3969999999999998</v>
      </c>
      <c r="AG2647" s="508">
        <v>3.391</v>
      </c>
      <c r="AH2647" s="508">
        <v>3.371</v>
      </c>
      <c r="AI2647" s="492">
        <v>3.3650000000000002</v>
      </c>
      <c r="AJ2647" s="485"/>
    </row>
    <row r="2648" spans="2:36">
      <c r="B2648" s="136" t="s">
        <v>460</v>
      </c>
      <c r="C2648" s="132" t="s">
        <v>1377</v>
      </c>
      <c r="D2648" s="132" t="s">
        <v>282</v>
      </c>
      <c r="E2648" s="508"/>
      <c r="F2648" s="508"/>
      <c r="G2648" s="508"/>
      <c r="H2648" s="508"/>
      <c r="I2648" s="508"/>
      <c r="J2648" s="508">
        <v>24.588000000000001</v>
      </c>
      <c r="K2648" s="508">
        <v>24.576000000000001</v>
      </c>
      <c r="L2648" s="508">
        <v>24.564</v>
      </c>
      <c r="M2648" s="508">
        <v>24.553000000000001</v>
      </c>
      <c r="N2648" s="508">
        <v>24.541</v>
      </c>
      <c r="O2648" s="508">
        <v>24.53</v>
      </c>
      <c r="P2648" s="508">
        <v>24.52</v>
      </c>
      <c r="Q2648" s="508">
        <v>24.51</v>
      </c>
      <c r="R2648" s="508">
        <v>24.5</v>
      </c>
      <c r="S2648" s="508">
        <v>24.491</v>
      </c>
      <c r="T2648" s="508">
        <v>24.481000000000002</v>
      </c>
      <c r="U2648" s="508">
        <v>24.472999999999999</v>
      </c>
      <c r="V2648" s="508">
        <v>2.8330000000000002</v>
      </c>
      <c r="W2648" s="508">
        <v>2.8250000000000002</v>
      </c>
      <c r="X2648" s="508">
        <v>2.8170000000000002</v>
      </c>
      <c r="Y2648" s="508">
        <v>2.8090000000000002</v>
      </c>
      <c r="Z2648" s="508">
        <v>2.802</v>
      </c>
      <c r="AA2648" s="508">
        <v>7.2649999999999997</v>
      </c>
      <c r="AB2648" s="508">
        <v>7.258</v>
      </c>
      <c r="AC2648" s="508">
        <v>7.2510000000000003</v>
      </c>
      <c r="AD2648" s="508">
        <v>3.3740000000000001</v>
      </c>
      <c r="AE2648" s="508">
        <v>3.3679999999999999</v>
      </c>
      <c r="AF2648" s="508">
        <v>3.3620000000000001</v>
      </c>
      <c r="AG2648" s="508">
        <v>3.355</v>
      </c>
      <c r="AH2648" s="508">
        <v>3.3359999999999999</v>
      </c>
      <c r="AI2648" s="492">
        <v>3.33</v>
      </c>
      <c r="AJ2648" s="485"/>
    </row>
    <row r="2649" spans="2:36">
      <c r="B2649" s="136" t="s">
        <v>461</v>
      </c>
      <c r="C2649" s="132" t="s">
        <v>1377</v>
      </c>
      <c r="D2649" s="132" t="s">
        <v>282</v>
      </c>
      <c r="E2649" s="508"/>
      <c r="F2649" s="508"/>
      <c r="G2649" s="508"/>
      <c r="H2649" s="508"/>
      <c r="I2649" s="508"/>
      <c r="J2649" s="508">
        <v>24.35</v>
      </c>
      <c r="K2649" s="508">
        <v>24.338000000000001</v>
      </c>
      <c r="L2649" s="508">
        <v>24.326000000000001</v>
      </c>
      <c r="M2649" s="508">
        <v>24.314</v>
      </c>
      <c r="N2649" s="508">
        <v>24.303999999999998</v>
      </c>
      <c r="O2649" s="508">
        <v>24.292000000000002</v>
      </c>
      <c r="P2649" s="508">
        <v>24.282</v>
      </c>
      <c r="Q2649" s="508">
        <v>24.271999999999998</v>
      </c>
      <c r="R2649" s="508">
        <v>24.262</v>
      </c>
      <c r="S2649" s="508">
        <v>24.253</v>
      </c>
      <c r="T2649" s="508">
        <v>24.244</v>
      </c>
      <c r="U2649" s="508">
        <v>24.234999999999999</v>
      </c>
      <c r="V2649" s="508">
        <v>2.802</v>
      </c>
      <c r="W2649" s="508">
        <v>2.794</v>
      </c>
      <c r="X2649" s="508">
        <v>2.786</v>
      </c>
      <c r="Y2649" s="508">
        <v>2.778</v>
      </c>
      <c r="Z2649" s="508">
        <v>2.77</v>
      </c>
      <c r="AA2649" s="508">
        <v>7.1840000000000002</v>
      </c>
      <c r="AB2649" s="508">
        <v>7.1769999999999996</v>
      </c>
      <c r="AC2649" s="508">
        <v>7.17</v>
      </c>
      <c r="AD2649" s="508">
        <v>3.3359999999999999</v>
      </c>
      <c r="AE2649" s="508">
        <v>3.33</v>
      </c>
      <c r="AF2649" s="508">
        <v>3.3239999999999998</v>
      </c>
      <c r="AG2649" s="508">
        <v>3.3180000000000001</v>
      </c>
      <c r="AH2649" s="508">
        <v>3.2970000000000002</v>
      </c>
      <c r="AI2649" s="492">
        <v>3.2919999999999998</v>
      </c>
      <c r="AJ2649" s="485"/>
    </row>
    <row r="2650" spans="2:36">
      <c r="B2650" s="136" t="s">
        <v>462</v>
      </c>
      <c r="C2650" s="132" t="s">
        <v>1377</v>
      </c>
      <c r="D2650" s="132" t="s">
        <v>282</v>
      </c>
      <c r="E2650" s="508"/>
      <c r="F2650" s="508"/>
      <c r="G2650" s="508"/>
      <c r="H2650" s="508"/>
      <c r="I2650" s="508"/>
      <c r="J2650" s="508">
        <v>24.030999999999999</v>
      </c>
      <c r="K2650" s="508">
        <v>24.018999999999998</v>
      </c>
      <c r="L2650" s="508">
        <v>24.007999999999999</v>
      </c>
      <c r="M2650" s="508">
        <v>23.997</v>
      </c>
      <c r="N2650" s="508">
        <v>23.986000000000001</v>
      </c>
      <c r="O2650" s="508">
        <v>23.975999999999999</v>
      </c>
      <c r="P2650" s="508">
        <v>23.966000000000001</v>
      </c>
      <c r="Q2650" s="508">
        <v>23.956</v>
      </c>
      <c r="R2650" s="508">
        <v>23.946999999999999</v>
      </c>
      <c r="S2650" s="508">
        <v>23.937999999999999</v>
      </c>
      <c r="T2650" s="508">
        <v>23.928999999999998</v>
      </c>
      <c r="U2650" s="508">
        <v>23.92</v>
      </c>
      <c r="V2650" s="508">
        <v>2.75</v>
      </c>
      <c r="W2650" s="508">
        <v>2.742</v>
      </c>
      <c r="X2650" s="508">
        <v>2.734</v>
      </c>
      <c r="Y2650" s="508">
        <v>2.726</v>
      </c>
      <c r="Z2650" s="508">
        <v>2.7189999999999999</v>
      </c>
      <c r="AA2650" s="508">
        <v>7.0579999999999998</v>
      </c>
      <c r="AB2650" s="508">
        <v>7.0510000000000002</v>
      </c>
      <c r="AC2650" s="508">
        <v>7.0449999999999999</v>
      </c>
      <c r="AD2650" s="508">
        <v>3.2759999999999998</v>
      </c>
      <c r="AE2650" s="508">
        <v>3.27</v>
      </c>
      <c r="AF2650" s="508">
        <v>3.2639999999999998</v>
      </c>
      <c r="AG2650" s="508">
        <v>3.258</v>
      </c>
      <c r="AH2650" s="508">
        <v>3.238</v>
      </c>
      <c r="AI2650" s="492">
        <v>3.2330000000000001</v>
      </c>
      <c r="AJ2650" s="485"/>
    </row>
    <row r="2651" spans="2:36">
      <c r="B2651" s="136" t="s">
        <v>463</v>
      </c>
      <c r="C2651" s="132" t="s">
        <v>1377</v>
      </c>
      <c r="D2651" s="132" t="s">
        <v>282</v>
      </c>
      <c r="E2651" s="508"/>
      <c r="F2651" s="508"/>
      <c r="G2651" s="508"/>
      <c r="H2651" s="508"/>
      <c r="I2651" s="508"/>
      <c r="J2651" s="508">
        <v>25.212</v>
      </c>
      <c r="K2651" s="508">
        <v>25.2</v>
      </c>
      <c r="L2651" s="508">
        <v>25.189</v>
      </c>
      <c r="M2651" s="508">
        <v>25.178000000000001</v>
      </c>
      <c r="N2651" s="508">
        <v>25.167000000000002</v>
      </c>
      <c r="O2651" s="508">
        <v>25.157</v>
      </c>
      <c r="P2651" s="508">
        <v>25.146000000000001</v>
      </c>
      <c r="Q2651" s="508">
        <v>25.137</v>
      </c>
      <c r="R2651" s="508">
        <v>25.128</v>
      </c>
      <c r="S2651" s="508">
        <v>25.119</v>
      </c>
      <c r="T2651" s="508">
        <v>25.11</v>
      </c>
      <c r="U2651" s="508">
        <v>25.100999999999999</v>
      </c>
      <c r="V2651" s="508">
        <v>2.79</v>
      </c>
      <c r="W2651" s="508">
        <v>2.782</v>
      </c>
      <c r="X2651" s="508">
        <v>2.774</v>
      </c>
      <c r="Y2651" s="508">
        <v>2.7669999999999999</v>
      </c>
      <c r="Z2651" s="508">
        <v>2.76</v>
      </c>
      <c r="AA2651" s="508">
        <v>7.1689999999999996</v>
      </c>
      <c r="AB2651" s="508">
        <v>7.1619999999999999</v>
      </c>
      <c r="AC2651" s="508">
        <v>7.1559999999999997</v>
      </c>
      <c r="AD2651" s="508">
        <v>3.3130000000000002</v>
      </c>
      <c r="AE2651" s="508">
        <v>3.3069999999999999</v>
      </c>
      <c r="AF2651" s="508">
        <v>3.3010000000000002</v>
      </c>
      <c r="AG2651" s="508">
        <v>3.2949999999999999</v>
      </c>
      <c r="AH2651" s="508">
        <v>3.2749999999999999</v>
      </c>
      <c r="AI2651" s="492">
        <v>3.27</v>
      </c>
      <c r="AJ2651" s="485"/>
    </row>
    <row r="2652" spans="2:36">
      <c r="B2652" s="136" t="s">
        <v>464</v>
      </c>
      <c r="C2652" s="132" t="s">
        <v>1377</v>
      </c>
      <c r="D2652" s="132" t="s">
        <v>282</v>
      </c>
      <c r="E2652" s="508"/>
      <c r="F2652" s="508"/>
      <c r="G2652" s="508"/>
      <c r="H2652" s="508"/>
      <c r="I2652" s="508"/>
      <c r="J2652" s="508">
        <v>24.753</v>
      </c>
      <c r="K2652" s="508">
        <v>24.742000000000001</v>
      </c>
      <c r="L2652" s="508">
        <v>24.731999999999999</v>
      </c>
      <c r="M2652" s="508">
        <v>24.721</v>
      </c>
      <c r="N2652" s="508">
        <v>24.710999999999999</v>
      </c>
      <c r="O2652" s="508">
        <v>24.701000000000001</v>
      </c>
      <c r="P2652" s="508">
        <v>24.692</v>
      </c>
      <c r="Q2652" s="508">
        <v>24.683</v>
      </c>
      <c r="R2652" s="508">
        <v>24.673999999999999</v>
      </c>
      <c r="S2652" s="508">
        <v>24.666</v>
      </c>
      <c r="T2652" s="508">
        <v>24.658000000000001</v>
      </c>
      <c r="U2652" s="508">
        <v>24.65</v>
      </c>
      <c r="V2652" s="508">
        <v>2.7130000000000001</v>
      </c>
      <c r="W2652" s="508">
        <v>2.7050000000000001</v>
      </c>
      <c r="X2652" s="508">
        <v>2.698</v>
      </c>
      <c r="Y2652" s="508">
        <v>2.6909999999999998</v>
      </c>
      <c r="Z2652" s="508">
        <v>2.6850000000000001</v>
      </c>
      <c r="AA2652" s="508">
        <v>6.9880000000000004</v>
      </c>
      <c r="AB2652" s="508">
        <v>6.9820000000000002</v>
      </c>
      <c r="AC2652" s="508">
        <v>6.976</v>
      </c>
      <c r="AD2652" s="508">
        <v>3.2269999999999999</v>
      </c>
      <c r="AE2652" s="508">
        <v>3.2210000000000001</v>
      </c>
      <c r="AF2652" s="508">
        <v>3.2149999999999999</v>
      </c>
      <c r="AG2652" s="508">
        <v>3.21</v>
      </c>
      <c r="AH2652" s="508">
        <v>3.19</v>
      </c>
      <c r="AI2652" s="492">
        <v>3.1850000000000001</v>
      </c>
      <c r="AJ2652" s="485"/>
    </row>
    <row r="2653" spans="2:36">
      <c r="B2653" s="136" t="s">
        <v>465</v>
      </c>
      <c r="C2653" s="132" t="s">
        <v>1377</v>
      </c>
      <c r="D2653" s="132" t="s">
        <v>282</v>
      </c>
      <c r="E2653" s="508"/>
      <c r="F2653" s="508"/>
      <c r="G2653" s="508"/>
      <c r="H2653" s="508"/>
      <c r="I2653" s="508"/>
      <c r="J2653" s="508">
        <v>24.995000000000001</v>
      </c>
      <c r="K2653" s="508">
        <v>24.983000000000001</v>
      </c>
      <c r="L2653" s="508">
        <v>24.972999999999999</v>
      </c>
      <c r="M2653" s="508">
        <v>24.962</v>
      </c>
      <c r="N2653" s="508">
        <v>24.952000000000002</v>
      </c>
      <c r="O2653" s="508">
        <v>24.940999999999999</v>
      </c>
      <c r="P2653" s="508">
        <v>24.931999999999999</v>
      </c>
      <c r="Q2653" s="508">
        <v>24.922999999999998</v>
      </c>
      <c r="R2653" s="508">
        <v>24.913</v>
      </c>
      <c r="S2653" s="508">
        <v>24.905000000000001</v>
      </c>
      <c r="T2653" s="508">
        <v>24.896000000000001</v>
      </c>
      <c r="U2653" s="508">
        <v>24.888000000000002</v>
      </c>
      <c r="V2653" s="508">
        <v>2.7629999999999999</v>
      </c>
      <c r="W2653" s="508">
        <v>2.7549999999999999</v>
      </c>
      <c r="X2653" s="508">
        <v>2.7480000000000002</v>
      </c>
      <c r="Y2653" s="508">
        <v>2.74</v>
      </c>
      <c r="Z2653" s="508">
        <v>2.734</v>
      </c>
      <c r="AA2653" s="508">
        <v>7.109</v>
      </c>
      <c r="AB2653" s="508">
        <v>7.1029999999999998</v>
      </c>
      <c r="AC2653" s="508">
        <v>7.0960000000000001</v>
      </c>
      <c r="AD2653" s="508">
        <v>3.286</v>
      </c>
      <c r="AE2653" s="508">
        <v>3.28</v>
      </c>
      <c r="AF2653" s="508">
        <v>3.274</v>
      </c>
      <c r="AG2653" s="508">
        <v>3.2679999999999998</v>
      </c>
      <c r="AH2653" s="508">
        <v>3.2480000000000002</v>
      </c>
      <c r="AI2653" s="492">
        <v>3.2429999999999999</v>
      </c>
      <c r="AJ2653" s="485"/>
    </row>
    <row r="2654" spans="2:36">
      <c r="B2654" s="136" t="s">
        <v>466</v>
      </c>
      <c r="C2654" s="132" t="s">
        <v>1377</v>
      </c>
      <c r="D2654" s="132" t="s">
        <v>282</v>
      </c>
      <c r="E2654" s="508"/>
      <c r="F2654" s="508"/>
      <c r="G2654" s="508"/>
      <c r="H2654" s="508"/>
      <c r="I2654" s="508"/>
      <c r="J2654" s="508">
        <v>24.355</v>
      </c>
      <c r="K2654" s="508">
        <v>24.341999999999999</v>
      </c>
      <c r="L2654" s="508">
        <v>24.33</v>
      </c>
      <c r="M2654" s="508">
        <v>24.318000000000001</v>
      </c>
      <c r="N2654" s="508">
        <v>24.306999999999999</v>
      </c>
      <c r="O2654" s="508">
        <v>24.295000000000002</v>
      </c>
      <c r="P2654" s="508">
        <v>24.283999999999999</v>
      </c>
      <c r="Q2654" s="508">
        <v>24.274000000000001</v>
      </c>
      <c r="R2654" s="508">
        <v>24.263999999999999</v>
      </c>
      <c r="S2654" s="508">
        <v>24.254000000000001</v>
      </c>
      <c r="T2654" s="508">
        <v>24.244</v>
      </c>
      <c r="U2654" s="508">
        <v>24.234999999999999</v>
      </c>
      <c r="V2654" s="508">
        <v>2.875</v>
      </c>
      <c r="W2654" s="508">
        <v>2.8660000000000001</v>
      </c>
      <c r="X2654" s="508">
        <v>2.8580000000000001</v>
      </c>
      <c r="Y2654" s="508">
        <v>2.8490000000000002</v>
      </c>
      <c r="Z2654" s="508">
        <v>2.8420000000000001</v>
      </c>
      <c r="AA2654" s="508">
        <v>7.36</v>
      </c>
      <c r="AB2654" s="508">
        <v>7.3529999999999998</v>
      </c>
      <c r="AC2654" s="508">
        <v>7.3460000000000001</v>
      </c>
      <c r="AD2654" s="508">
        <v>3.4289999999999998</v>
      </c>
      <c r="AE2654" s="508">
        <v>3.4220000000000002</v>
      </c>
      <c r="AF2654" s="508">
        <v>3.415</v>
      </c>
      <c r="AG2654" s="508">
        <v>3.4089999999999998</v>
      </c>
      <c r="AH2654" s="508">
        <v>3.3889999999999998</v>
      </c>
      <c r="AI2654" s="492">
        <v>3.383</v>
      </c>
      <c r="AJ2654" s="485"/>
    </row>
    <row r="2655" spans="2:36">
      <c r="B2655" s="136" t="s">
        <v>467</v>
      </c>
      <c r="C2655" s="132" t="s">
        <v>1377</v>
      </c>
      <c r="D2655" s="132" t="s">
        <v>282</v>
      </c>
      <c r="E2655" s="508"/>
      <c r="F2655" s="508"/>
      <c r="G2655" s="508"/>
      <c r="H2655" s="508"/>
      <c r="I2655" s="508"/>
      <c r="J2655" s="508">
        <v>24.331</v>
      </c>
      <c r="K2655" s="508">
        <v>24.318999999999999</v>
      </c>
      <c r="L2655" s="508">
        <v>24.308</v>
      </c>
      <c r="M2655" s="508">
        <v>24.295999999999999</v>
      </c>
      <c r="N2655" s="508">
        <v>24.286000000000001</v>
      </c>
      <c r="O2655" s="508">
        <v>24.274999999999999</v>
      </c>
      <c r="P2655" s="508">
        <v>24.263999999999999</v>
      </c>
      <c r="Q2655" s="508">
        <v>24.254999999999999</v>
      </c>
      <c r="R2655" s="508">
        <v>24.245000000000001</v>
      </c>
      <c r="S2655" s="508">
        <v>24.236000000000001</v>
      </c>
      <c r="T2655" s="508">
        <v>24.227</v>
      </c>
      <c r="U2655" s="508">
        <v>24.218</v>
      </c>
      <c r="V2655" s="508">
        <v>2.7869999999999999</v>
      </c>
      <c r="W2655" s="508">
        <v>2.7789999999999999</v>
      </c>
      <c r="X2655" s="508">
        <v>2.7709999999999999</v>
      </c>
      <c r="Y2655" s="508">
        <v>2.7629999999999999</v>
      </c>
      <c r="Z2655" s="508">
        <v>2.7559999999999998</v>
      </c>
      <c r="AA2655" s="508">
        <v>7.149</v>
      </c>
      <c r="AB2655" s="508">
        <v>7.1420000000000003</v>
      </c>
      <c r="AC2655" s="508">
        <v>7.1360000000000001</v>
      </c>
      <c r="AD2655" s="508">
        <v>3.319</v>
      </c>
      <c r="AE2655" s="508">
        <v>3.3119999999999998</v>
      </c>
      <c r="AF2655" s="508">
        <v>3.306</v>
      </c>
      <c r="AG2655" s="508">
        <v>3.3</v>
      </c>
      <c r="AH2655" s="508">
        <v>3.28</v>
      </c>
      <c r="AI2655" s="492">
        <v>3.2749999999999999</v>
      </c>
      <c r="AJ2655" s="485"/>
    </row>
    <row r="2656" spans="2:36">
      <c r="B2656" s="136" t="s">
        <v>468</v>
      </c>
      <c r="C2656" s="132" t="s">
        <v>1377</v>
      </c>
      <c r="D2656" s="132" t="s">
        <v>282</v>
      </c>
      <c r="E2656" s="508"/>
      <c r="F2656" s="508"/>
      <c r="G2656" s="508"/>
      <c r="H2656" s="508"/>
      <c r="I2656" s="508"/>
      <c r="J2656" s="508">
        <v>25.581</v>
      </c>
      <c r="K2656" s="508">
        <v>25.57</v>
      </c>
      <c r="L2656" s="508">
        <v>25.56</v>
      </c>
      <c r="M2656" s="508">
        <v>25.55</v>
      </c>
      <c r="N2656" s="508">
        <v>25.54</v>
      </c>
      <c r="O2656" s="508">
        <v>25.53</v>
      </c>
      <c r="P2656" s="508">
        <v>25.521000000000001</v>
      </c>
      <c r="Q2656" s="508">
        <v>25.512</v>
      </c>
      <c r="R2656" s="508">
        <v>25.503</v>
      </c>
      <c r="S2656" s="508">
        <v>25.495000000000001</v>
      </c>
      <c r="T2656" s="508">
        <v>25.486999999999998</v>
      </c>
      <c r="U2656" s="508">
        <v>25.478999999999999</v>
      </c>
      <c r="V2656" s="508">
        <v>2.7490000000000001</v>
      </c>
      <c r="W2656" s="508">
        <v>2.742</v>
      </c>
      <c r="X2656" s="508">
        <v>2.734</v>
      </c>
      <c r="Y2656" s="508">
        <v>2.7269999999999999</v>
      </c>
      <c r="Z2656" s="508">
        <v>2.7210000000000001</v>
      </c>
      <c r="AA2656" s="508">
        <v>7.0940000000000003</v>
      </c>
      <c r="AB2656" s="508">
        <v>7.0880000000000001</v>
      </c>
      <c r="AC2656" s="508">
        <v>7.0819999999999999</v>
      </c>
      <c r="AD2656" s="508">
        <v>3.266</v>
      </c>
      <c r="AE2656" s="508">
        <v>3.26</v>
      </c>
      <c r="AF2656" s="508">
        <v>3.254</v>
      </c>
      <c r="AG2656" s="508">
        <v>3.2490000000000001</v>
      </c>
      <c r="AH2656" s="508">
        <v>3.2290000000000001</v>
      </c>
      <c r="AI2656" s="492">
        <v>3.2240000000000002</v>
      </c>
      <c r="AJ2656" s="485"/>
    </row>
    <row r="2657" spans="2:36">
      <c r="B2657" s="136" t="s">
        <v>469</v>
      </c>
      <c r="C2657" s="132" t="s">
        <v>1377</v>
      </c>
      <c r="D2657" s="132" t="s">
        <v>282</v>
      </c>
      <c r="E2657" s="508"/>
      <c r="F2657" s="508"/>
      <c r="G2657" s="508"/>
      <c r="H2657" s="508"/>
      <c r="I2657" s="508"/>
      <c r="J2657" s="508">
        <v>24.718</v>
      </c>
      <c r="K2657" s="508">
        <v>24.707000000000001</v>
      </c>
      <c r="L2657" s="508">
        <v>24.696000000000002</v>
      </c>
      <c r="M2657" s="508">
        <v>24.684999999999999</v>
      </c>
      <c r="N2657" s="508">
        <v>24.675000000000001</v>
      </c>
      <c r="O2657" s="508">
        <v>24.664000000000001</v>
      </c>
      <c r="P2657" s="508">
        <v>24.655000000000001</v>
      </c>
      <c r="Q2657" s="508">
        <v>24.645</v>
      </c>
      <c r="R2657" s="508">
        <v>24.635999999999999</v>
      </c>
      <c r="S2657" s="508">
        <v>24.626999999999999</v>
      </c>
      <c r="T2657" s="508">
        <v>24.619</v>
      </c>
      <c r="U2657" s="508">
        <v>24.61</v>
      </c>
      <c r="V2657" s="508">
        <v>2.7629999999999999</v>
      </c>
      <c r="W2657" s="508">
        <v>2.7559999999999998</v>
      </c>
      <c r="X2657" s="508">
        <v>2.7480000000000002</v>
      </c>
      <c r="Y2657" s="508">
        <v>2.74</v>
      </c>
      <c r="Z2657" s="508">
        <v>2.734</v>
      </c>
      <c r="AA2657" s="508">
        <v>7.1050000000000004</v>
      </c>
      <c r="AB2657" s="508">
        <v>7.0990000000000002</v>
      </c>
      <c r="AC2657" s="508">
        <v>7.0919999999999996</v>
      </c>
      <c r="AD2657" s="508">
        <v>3.2890000000000001</v>
      </c>
      <c r="AE2657" s="508">
        <v>3.282</v>
      </c>
      <c r="AF2657" s="508">
        <v>3.2770000000000001</v>
      </c>
      <c r="AG2657" s="508">
        <v>3.2709999999999999</v>
      </c>
      <c r="AH2657" s="508">
        <v>3.2509999999999999</v>
      </c>
      <c r="AI2657" s="492">
        <v>3.246</v>
      </c>
      <c r="AJ2657" s="485"/>
    </row>
    <row r="2658" spans="2:36">
      <c r="B2658" s="136" t="s">
        <v>470</v>
      </c>
      <c r="C2658" s="132" t="s">
        <v>1377</v>
      </c>
      <c r="D2658" s="132" t="s">
        <v>282</v>
      </c>
      <c r="E2658" s="508"/>
      <c r="F2658" s="508"/>
      <c r="G2658" s="508"/>
      <c r="H2658" s="508"/>
      <c r="I2658" s="508"/>
      <c r="J2658" s="508">
        <v>24.486999999999998</v>
      </c>
      <c r="K2658" s="508">
        <v>24.474</v>
      </c>
      <c r="L2658" s="508">
        <v>24.462</v>
      </c>
      <c r="M2658" s="508">
        <v>24.45</v>
      </c>
      <c r="N2658" s="508">
        <v>24.437999999999999</v>
      </c>
      <c r="O2658" s="508">
        <v>24.427</v>
      </c>
      <c r="P2658" s="508">
        <v>24.416</v>
      </c>
      <c r="Q2658" s="508">
        <v>24.405999999999999</v>
      </c>
      <c r="R2658" s="508">
        <v>24.396000000000001</v>
      </c>
      <c r="S2658" s="508">
        <v>24.385999999999999</v>
      </c>
      <c r="T2658" s="508">
        <v>24.376000000000001</v>
      </c>
      <c r="U2658" s="508">
        <v>24.367000000000001</v>
      </c>
      <c r="V2658" s="508">
        <v>2.867</v>
      </c>
      <c r="W2658" s="508">
        <v>2.8580000000000001</v>
      </c>
      <c r="X2658" s="508">
        <v>2.85</v>
      </c>
      <c r="Y2658" s="508">
        <v>2.8410000000000002</v>
      </c>
      <c r="Z2658" s="508">
        <v>2.8340000000000001</v>
      </c>
      <c r="AA2658" s="508">
        <v>7.3380000000000001</v>
      </c>
      <c r="AB2658" s="508">
        <v>7.33</v>
      </c>
      <c r="AC2658" s="508">
        <v>7.3230000000000004</v>
      </c>
      <c r="AD2658" s="508">
        <v>3.4140000000000001</v>
      </c>
      <c r="AE2658" s="508">
        <v>3.4079999999999999</v>
      </c>
      <c r="AF2658" s="508">
        <v>3.4009999999999998</v>
      </c>
      <c r="AG2658" s="508">
        <v>3.395</v>
      </c>
      <c r="AH2658" s="508">
        <v>3.375</v>
      </c>
      <c r="AI2658" s="492">
        <v>3.3690000000000002</v>
      </c>
      <c r="AJ2658" s="485"/>
    </row>
    <row r="2659" spans="2:36">
      <c r="B2659" s="136" t="s">
        <v>471</v>
      </c>
      <c r="C2659" s="132" t="s">
        <v>1377</v>
      </c>
      <c r="D2659" s="132" t="s">
        <v>282</v>
      </c>
      <c r="E2659" s="508"/>
      <c r="F2659" s="508"/>
      <c r="G2659" s="508"/>
      <c r="H2659" s="508"/>
      <c r="I2659" s="508"/>
      <c r="J2659" s="508">
        <v>24.2</v>
      </c>
      <c r="K2659" s="508">
        <v>24.187999999999999</v>
      </c>
      <c r="L2659" s="508">
        <v>24.175999999999998</v>
      </c>
      <c r="M2659" s="508">
        <v>24.164000000000001</v>
      </c>
      <c r="N2659" s="508">
        <v>24.152999999999999</v>
      </c>
      <c r="O2659" s="508">
        <v>24.141999999999999</v>
      </c>
      <c r="P2659" s="508">
        <v>24.131</v>
      </c>
      <c r="Q2659" s="508">
        <v>24.120999999999999</v>
      </c>
      <c r="R2659" s="508">
        <v>24.111000000000001</v>
      </c>
      <c r="S2659" s="508">
        <v>24.102</v>
      </c>
      <c r="T2659" s="508">
        <v>24.093</v>
      </c>
      <c r="U2659" s="508">
        <v>24.084</v>
      </c>
      <c r="V2659" s="508">
        <v>2.8159999999999998</v>
      </c>
      <c r="W2659" s="508">
        <v>2.8079999999999998</v>
      </c>
      <c r="X2659" s="508">
        <v>2.8</v>
      </c>
      <c r="Y2659" s="508">
        <v>2.7919999999999998</v>
      </c>
      <c r="Z2659" s="508">
        <v>2.7839999999999998</v>
      </c>
      <c r="AA2659" s="508">
        <v>7.2149999999999999</v>
      </c>
      <c r="AB2659" s="508">
        <v>7.2080000000000002</v>
      </c>
      <c r="AC2659" s="508">
        <v>7.2009999999999996</v>
      </c>
      <c r="AD2659" s="508">
        <v>3.355</v>
      </c>
      <c r="AE2659" s="508">
        <v>3.3490000000000002</v>
      </c>
      <c r="AF2659" s="508">
        <v>3.343</v>
      </c>
      <c r="AG2659" s="508">
        <v>3.3359999999999999</v>
      </c>
      <c r="AH2659" s="508">
        <v>3.3159999999999998</v>
      </c>
      <c r="AI2659" s="492">
        <v>3.3109999999999999</v>
      </c>
      <c r="AJ2659" s="485"/>
    </row>
    <row r="2660" spans="2:36">
      <c r="B2660" s="136" t="s">
        <v>472</v>
      </c>
      <c r="C2660" s="132" t="s">
        <v>1377</v>
      </c>
      <c r="D2660" s="132" t="s">
        <v>282</v>
      </c>
      <c r="E2660" s="508"/>
      <c r="F2660" s="508"/>
      <c r="G2660" s="508"/>
      <c r="H2660" s="508"/>
      <c r="I2660" s="508"/>
      <c r="J2660" s="508">
        <v>24.556000000000001</v>
      </c>
      <c r="K2660" s="508">
        <v>24.545000000000002</v>
      </c>
      <c r="L2660" s="508">
        <v>24.533999999999999</v>
      </c>
      <c r="M2660" s="508">
        <v>24.524000000000001</v>
      </c>
      <c r="N2660" s="508">
        <v>24.513999999999999</v>
      </c>
      <c r="O2660" s="508">
        <v>24.504000000000001</v>
      </c>
      <c r="P2660" s="508">
        <v>24.494</v>
      </c>
      <c r="Q2660" s="508">
        <v>24.484999999999999</v>
      </c>
      <c r="R2660" s="508">
        <v>24.475999999999999</v>
      </c>
      <c r="S2660" s="508">
        <v>24.468</v>
      </c>
      <c r="T2660" s="508">
        <v>24.46</v>
      </c>
      <c r="U2660" s="508">
        <v>24.452000000000002</v>
      </c>
      <c r="V2660" s="508">
        <v>2.7120000000000002</v>
      </c>
      <c r="W2660" s="508">
        <v>2.7050000000000001</v>
      </c>
      <c r="X2660" s="508">
        <v>2.6970000000000001</v>
      </c>
      <c r="Y2660" s="508">
        <v>2.69</v>
      </c>
      <c r="Z2660" s="508">
        <v>2.6840000000000002</v>
      </c>
      <c r="AA2660" s="508">
        <v>6.9809999999999999</v>
      </c>
      <c r="AB2660" s="508">
        <v>6.9749999999999996</v>
      </c>
      <c r="AC2660" s="508">
        <v>6.9690000000000003</v>
      </c>
      <c r="AD2660" s="508">
        <v>3.2269999999999999</v>
      </c>
      <c r="AE2660" s="508">
        <v>3.2210000000000001</v>
      </c>
      <c r="AF2660" s="508">
        <v>3.2149999999999999</v>
      </c>
      <c r="AG2660" s="508">
        <v>3.21</v>
      </c>
      <c r="AH2660" s="508">
        <v>3.19</v>
      </c>
      <c r="AI2660" s="492">
        <v>3.1840000000000002</v>
      </c>
      <c r="AJ2660" s="485"/>
    </row>
    <row r="2661" spans="2:36">
      <c r="B2661" s="136" t="s">
        <v>473</v>
      </c>
      <c r="C2661" s="132" t="s">
        <v>1377</v>
      </c>
      <c r="D2661" s="132" t="s">
        <v>282</v>
      </c>
      <c r="E2661" s="508"/>
      <c r="F2661" s="508"/>
      <c r="G2661" s="508"/>
      <c r="H2661" s="508"/>
      <c r="I2661" s="508"/>
      <c r="J2661" s="508">
        <v>24.202999999999999</v>
      </c>
      <c r="K2661" s="508">
        <v>24.19</v>
      </c>
      <c r="L2661" s="508">
        <v>24.178000000000001</v>
      </c>
      <c r="M2661" s="508">
        <v>24.166</v>
      </c>
      <c r="N2661" s="508">
        <v>24.155000000000001</v>
      </c>
      <c r="O2661" s="508">
        <v>24.143999999999998</v>
      </c>
      <c r="P2661" s="508">
        <v>24.132999999999999</v>
      </c>
      <c r="Q2661" s="508">
        <v>24.123000000000001</v>
      </c>
      <c r="R2661" s="508">
        <v>24.113</v>
      </c>
      <c r="S2661" s="508">
        <v>24.103000000000002</v>
      </c>
      <c r="T2661" s="508">
        <v>24.093</v>
      </c>
      <c r="U2661" s="508">
        <v>24.085000000000001</v>
      </c>
      <c r="V2661" s="508">
        <v>2.8450000000000002</v>
      </c>
      <c r="W2661" s="508">
        <v>2.8370000000000002</v>
      </c>
      <c r="X2661" s="508">
        <v>2.8290000000000002</v>
      </c>
      <c r="Y2661" s="508">
        <v>2.82</v>
      </c>
      <c r="Z2661" s="508">
        <v>2.8130000000000002</v>
      </c>
      <c r="AA2661" s="508">
        <v>7.2859999999999996</v>
      </c>
      <c r="AB2661" s="508">
        <v>7.2789999999999999</v>
      </c>
      <c r="AC2661" s="508">
        <v>7.2720000000000002</v>
      </c>
      <c r="AD2661" s="508">
        <v>3.3919999999999999</v>
      </c>
      <c r="AE2661" s="508">
        <v>3.3860000000000001</v>
      </c>
      <c r="AF2661" s="508">
        <v>3.379</v>
      </c>
      <c r="AG2661" s="508">
        <v>3.3730000000000002</v>
      </c>
      <c r="AH2661" s="508">
        <v>3.3530000000000002</v>
      </c>
      <c r="AI2661" s="492">
        <v>3.347</v>
      </c>
      <c r="AJ2661" s="485"/>
    </row>
    <row r="2662" spans="2:36">
      <c r="B2662" s="136" t="s">
        <v>474</v>
      </c>
      <c r="C2662" s="132" t="s">
        <v>1377</v>
      </c>
      <c r="D2662" s="132" t="s">
        <v>282</v>
      </c>
      <c r="E2662" s="508"/>
      <c r="F2662" s="508"/>
      <c r="G2662" s="508"/>
      <c r="H2662" s="508"/>
      <c r="I2662" s="508"/>
      <c r="J2662" s="508">
        <v>24.393000000000001</v>
      </c>
      <c r="K2662" s="508">
        <v>24.381</v>
      </c>
      <c r="L2662" s="508">
        <v>24.369</v>
      </c>
      <c r="M2662" s="508">
        <v>24.358000000000001</v>
      </c>
      <c r="N2662" s="508">
        <v>24.347000000000001</v>
      </c>
      <c r="O2662" s="508">
        <v>24.335999999999999</v>
      </c>
      <c r="P2662" s="508">
        <v>24.326000000000001</v>
      </c>
      <c r="Q2662" s="508">
        <v>24.315999999999999</v>
      </c>
      <c r="R2662" s="508">
        <v>24.306999999999999</v>
      </c>
      <c r="S2662" s="508">
        <v>24.297000000000001</v>
      </c>
      <c r="T2662" s="508">
        <v>24.288</v>
      </c>
      <c r="U2662" s="508">
        <v>24.28</v>
      </c>
      <c r="V2662" s="508">
        <v>2.7970000000000002</v>
      </c>
      <c r="W2662" s="508">
        <v>2.7890000000000001</v>
      </c>
      <c r="X2662" s="508">
        <v>2.7810000000000001</v>
      </c>
      <c r="Y2662" s="508">
        <v>2.7730000000000001</v>
      </c>
      <c r="Z2662" s="508">
        <v>2.766</v>
      </c>
      <c r="AA2662" s="508">
        <v>7.1749999999999998</v>
      </c>
      <c r="AB2662" s="508">
        <v>7.1689999999999996</v>
      </c>
      <c r="AC2662" s="508">
        <v>7.1619999999999999</v>
      </c>
      <c r="AD2662" s="508">
        <v>3.331</v>
      </c>
      <c r="AE2662" s="508">
        <v>3.3250000000000002</v>
      </c>
      <c r="AF2662" s="508">
        <v>3.319</v>
      </c>
      <c r="AG2662" s="508">
        <v>3.3130000000000002</v>
      </c>
      <c r="AH2662" s="508">
        <v>3.2930000000000001</v>
      </c>
      <c r="AI2662" s="492">
        <v>3.2869999999999999</v>
      </c>
      <c r="AJ2662" s="485"/>
    </row>
    <row r="2663" spans="2:36">
      <c r="B2663" s="136" t="s">
        <v>475</v>
      </c>
      <c r="C2663" s="132" t="s">
        <v>1377</v>
      </c>
      <c r="D2663" s="132" t="s">
        <v>282</v>
      </c>
      <c r="E2663" s="508"/>
      <c r="F2663" s="508"/>
      <c r="G2663" s="508"/>
      <c r="H2663" s="508"/>
      <c r="I2663" s="508"/>
      <c r="J2663" s="508">
        <v>24.463000000000001</v>
      </c>
      <c r="K2663" s="508">
        <v>24.451000000000001</v>
      </c>
      <c r="L2663" s="508">
        <v>24.44</v>
      </c>
      <c r="M2663" s="508">
        <v>24.428999999999998</v>
      </c>
      <c r="N2663" s="508">
        <v>24.417999999999999</v>
      </c>
      <c r="O2663" s="508">
        <v>24.407</v>
      </c>
      <c r="P2663" s="508">
        <v>24.396999999999998</v>
      </c>
      <c r="Q2663" s="508">
        <v>24.388000000000002</v>
      </c>
      <c r="R2663" s="508">
        <v>24.378</v>
      </c>
      <c r="S2663" s="508">
        <v>24.369</v>
      </c>
      <c r="T2663" s="508">
        <v>24.36</v>
      </c>
      <c r="U2663" s="508">
        <v>24.352</v>
      </c>
      <c r="V2663" s="508">
        <v>2.78</v>
      </c>
      <c r="W2663" s="508">
        <v>2.7719999999999998</v>
      </c>
      <c r="X2663" s="508">
        <v>2.7650000000000001</v>
      </c>
      <c r="Y2663" s="508">
        <v>2.7570000000000001</v>
      </c>
      <c r="Z2663" s="508">
        <v>2.75</v>
      </c>
      <c r="AA2663" s="508">
        <v>7.1379999999999999</v>
      </c>
      <c r="AB2663" s="508">
        <v>7.1310000000000002</v>
      </c>
      <c r="AC2663" s="508">
        <v>7.1239999999999997</v>
      </c>
      <c r="AD2663" s="508">
        <v>3.31</v>
      </c>
      <c r="AE2663" s="508">
        <v>3.3039999999999998</v>
      </c>
      <c r="AF2663" s="508">
        <v>3.298</v>
      </c>
      <c r="AG2663" s="508">
        <v>3.2919999999999998</v>
      </c>
      <c r="AH2663" s="508">
        <v>3.2719999999999998</v>
      </c>
      <c r="AI2663" s="492">
        <v>3.266</v>
      </c>
      <c r="AJ2663" s="485"/>
    </row>
    <row r="2664" spans="2:36">
      <c r="B2664" s="136" t="s">
        <v>476</v>
      </c>
      <c r="C2664" s="132" t="s">
        <v>1377</v>
      </c>
      <c r="D2664" s="132" t="s">
        <v>282</v>
      </c>
      <c r="E2664" s="508"/>
      <c r="F2664" s="508"/>
      <c r="G2664" s="508"/>
      <c r="H2664" s="508"/>
      <c r="I2664" s="508"/>
      <c r="J2664" s="508">
        <v>24.611000000000001</v>
      </c>
      <c r="K2664" s="508">
        <v>24.599</v>
      </c>
      <c r="L2664" s="508">
        <v>24.587</v>
      </c>
      <c r="M2664" s="508">
        <v>24.576000000000001</v>
      </c>
      <c r="N2664" s="508">
        <v>24.565000000000001</v>
      </c>
      <c r="O2664" s="508">
        <v>24.553999999999998</v>
      </c>
      <c r="P2664" s="508">
        <v>24.542999999999999</v>
      </c>
      <c r="Q2664" s="508">
        <v>24.533000000000001</v>
      </c>
      <c r="R2664" s="508">
        <v>24.523</v>
      </c>
      <c r="S2664" s="508">
        <v>24.513999999999999</v>
      </c>
      <c r="T2664" s="508">
        <v>24.504999999999999</v>
      </c>
      <c r="U2664" s="508">
        <v>24.495999999999999</v>
      </c>
      <c r="V2664" s="508">
        <v>2.8340000000000001</v>
      </c>
      <c r="W2664" s="508">
        <v>2.8260000000000001</v>
      </c>
      <c r="X2664" s="508">
        <v>2.8180000000000001</v>
      </c>
      <c r="Y2664" s="508">
        <v>2.8090000000000002</v>
      </c>
      <c r="Z2664" s="508">
        <v>2.802</v>
      </c>
      <c r="AA2664" s="508">
        <v>7.2670000000000003</v>
      </c>
      <c r="AB2664" s="508">
        <v>7.26</v>
      </c>
      <c r="AC2664" s="508">
        <v>7.2530000000000001</v>
      </c>
      <c r="AD2664" s="508">
        <v>3.375</v>
      </c>
      <c r="AE2664" s="508">
        <v>3.3690000000000002</v>
      </c>
      <c r="AF2664" s="508">
        <v>3.3620000000000001</v>
      </c>
      <c r="AG2664" s="508">
        <v>3.3559999999999999</v>
      </c>
      <c r="AH2664" s="508">
        <v>3.3359999999999999</v>
      </c>
      <c r="AI2664" s="492">
        <v>3.331</v>
      </c>
      <c r="AJ2664" s="485"/>
    </row>
    <row r="2665" spans="2:36">
      <c r="B2665" s="136" t="s">
        <v>478</v>
      </c>
      <c r="C2665" s="132" t="s">
        <v>1377</v>
      </c>
      <c r="D2665" s="132" t="s">
        <v>282</v>
      </c>
      <c r="E2665" s="508"/>
      <c r="F2665" s="508"/>
      <c r="G2665" s="508"/>
      <c r="H2665" s="508"/>
      <c r="I2665" s="508"/>
      <c r="J2665" s="508">
        <v>24.841999999999999</v>
      </c>
      <c r="K2665" s="508">
        <v>24.827999999999999</v>
      </c>
      <c r="L2665" s="508">
        <v>24.815999999999999</v>
      </c>
      <c r="M2665" s="508">
        <v>24.803999999999998</v>
      </c>
      <c r="N2665" s="508">
        <v>24.792000000000002</v>
      </c>
      <c r="O2665" s="508">
        <v>24.78</v>
      </c>
      <c r="P2665" s="508">
        <v>24.768999999999998</v>
      </c>
      <c r="Q2665" s="508">
        <v>24.759</v>
      </c>
      <c r="R2665" s="508">
        <v>24.748000000000001</v>
      </c>
      <c r="S2665" s="508">
        <v>24.739000000000001</v>
      </c>
      <c r="T2665" s="508">
        <v>24.728999999999999</v>
      </c>
      <c r="U2665" s="508">
        <v>24.72</v>
      </c>
      <c r="V2665" s="508">
        <v>2.9060000000000001</v>
      </c>
      <c r="W2665" s="508">
        <v>2.8980000000000001</v>
      </c>
      <c r="X2665" s="508">
        <v>2.8889999999999998</v>
      </c>
      <c r="Y2665" s="508">
        <v>2.88</v>
      </c>
      <c r="Z2665" s="508">
        <v>2.8730000000000002</v>
      </c>
      <c r="AA2665" s="508">
        <v>7.4370000000000003</v>
      </c>
      <c r="AB2665" s="508">
        <v>7.43</v>
      </c>
      <c r="AC2665" s="508">
        <v>7.4219999999999997</v>
      </c>
      <c r="AD2665" s="508">
        <v>3.46</v>
      </c>
      <c r="AE2665" s="508">
        <v>3.4529999999999998</v>
      </c>
      <c r="AF2665" s="508">
        <v>3.4470000000000001</v>
      </c>
      <c r="AG2665" s="508">
        <v>3.44</v>
      </c>
      <c r="AH2665" s="508">
        <v>3.42</v>
      </c>
      <c r="AI2665" s="492">
        <v>3.4140000000000001</v>
      </c>
      <c r="AJ2665" s="485"/>
    </row>
    <row r="2666" spans="2:36">
      <c r="B2666" s="136" t="s">
        <v>479</v>
      </c>
      <c r="C2666" s="132" t="s">
        <v>1377</v>
      </c>
      <c r="D2666" s="132" t="s">
        <v>282</v>
      </c>
      <c r="E2666" s="508"/>
      <c r="F2666" s="508"/>
      <c r="G2666" s="508"/>
      <c r="H2666" s="508"/>
      <c r="I2666" s="508"/>
      <c r="J2666" s="508">
        <v>24.687000000000001</v>
      </c>
      <c r="K2666" s="508">
        <v>24.675000000000001</v>
      </c>
      <c r="L2666" s="508">
        <v>24.664000000000001</v>
      </c>
      <c r="M2666" s="508">
        <v>24.652999999999999</v>
      </c>
      <c r="N2666" s="508">
        <v>24.641999999999999</v>
      </c>
      <c r="O2666" s="508">
        <v>24.632000000000001</v>
      </c>
      <c r="P2666" s="508">
        <v>24.622</v>
      </c>
      <c r="Q2666" s="508">
        <v>24.611999999999998</v>
      </c>
      <c r="R2666" s="508">
        <v>24.603000000000002</v>
      </c>
      <c r="S2666" s="508">
        <v>24.594000000000001</v>
      </c>
      <c r="T2666" s="508">
        <v>24.585000000000001</v>
      </c>
      <c r="U2666" s="508">
        <v>24.576000000000001</v>
      </c>
      <c r="V2666" s="508">
        <v>2.7919999999999998</v>
      </c>
      <c r="W2666" s="508">
        <v>2.7839999999999998</v>
      </c>
      <c r="X2666" s="508">
        <v>2.7759999999999998</v>
      </c>
      <c r="Y2666" s="508">
        <v>2.7679999999999998</v>
      </c>
      <c r="Z2666" s="508">
        <v>2.7610000000000001</v>
      </c>
      <c r="AA2666" s="508">
        <v>7.1710000000000003</v>
      </c>
      <c r="AB2666" s="508">
        <v>7.1639999999999997</v>
      </c>
      <c r="AC2666" s="508">
        <v>7.157</v>
      </c>
      <c r="AD2666" s="508">
        <v>3.323</v>
      </c>
      <c r="AE2666" s="508">
        <v>3.3170000000000002</v>
      </c>
      <c r="AF2666" s="508">
        <v>3.3109999999999999</v>
      </c>
      <c r="AG2666" s="508">
        <v>3.3050000000000002</v>
      </c>
      <c r="AH2666" s="508">
        <v>3.2850000000000001</v>
      </c>
      <c r="AI2666" s="492">
        <v>3.28</v>
      </c>
      <c r="AJ2666" s="485"/>
    </row>
    <row r="2667" spans="2:36">
      <c r="B2667" s="136" t="s">
        <v>480</v>
      </c>
      <c r="C2667" s="132" t="s">
        <v>1377</v>
      </c>
      <c r="D2667" s="132" t="s">
        <v>282</v>
      </c>
      <c r="E2667" s="508"/>
      <c r="F2667" s="508"/>
      <c r="G2667" s="508"/>
      <c r="H2667" s="508"/>
      <c r="I2667" s="508"/>
      <c r="J2667" s="508">
        <v>25.106999999999999</v>
      </c>
      <c r="K2667" s="508">
        <v>25.096</v>
      </c>
      <c r="L2667" s="508">
        <v>25.085999999999999</v>
      </c>
      <c r="M2667" s="508">
        <v>25.076000000000001</v>
      </c>
      <c r="N2667" s="508">
        <v>25.065999999999999</v>
      </c>
      <c r="O2667" s="508">
        <v>25.056000000000001</v>
      </c>
      <c r="P2667" s="508">
        <v>25.047000000000001</v>
      </c>
      <c r="Q2667" s="508">
        <v>25.038</v>
      </c>
      <c r="R2667" s="508">
        <v>25.029</v>
      </c>
      <c r="S2667" s="508">
        <v>25.021000000000001</v>
      </c>
      <c r="T2667" s="508">
        <v>25.012</v>
      </c>
      <c r="U2667" s="508">
        <v>25.004999999999999</v>
      </c>
      <c r="V2667" s="508">
        <v>2.7240000000000002</v>
      </c>
      <c r="W2667" s="508">
        <v>2.7170000000000001</v>
      </c>
      <c r="X2667" s="508">
        <v>2.7090000000000001</v>
      </c>
      <c r="Y2667" s="508">
        <v>2.702</v>
      </c>
      <c r="Z2667" s="508">
        <v>2.6960000000000002</v>
      </c>
      <c r="AA2667" s="508">
        <v>7.02</v>
      </c>
      <c r="AB2667" s="508">
        <v>7.0140000000000002</v>
      </c>
      <c r="AC2667" s="508">
        <v>7.0069999999999997</v>
      </c>
      <c r="AD2667" s="508">
        <v>3.2370000000000001</v>
      </c>
      <c r="AE2667" s="508">
        <v>3.2309999999999999</v>
      </c>
      <c r="AF2667" s="508">
        <v>3.226</v>
      </c>
      <c r="AG2667" s="508">
        <v>3.22</v>
      </c>
      <c r="AH2667" s="508">
        <v>3.2</v>
      </c>
      <c r="AI2667" s="492">
        <v>3.1949999999999998</v>
      </c>
      <c r="AJ2667" s="485"/>
    </row>
    <row r="2668" spans="2:36">
      <c r="B2668" s="136" t="s">
        <v>481</v>
      </c>
      <c r="C2668" s="132" t="s">
        <v>1377</v>
      </c>
      <c r="D2668" s="132" t="s">
        <v>282</v>
      </c>
      <c r="E2668" s="508"/>
      <c r="F2668" s="508"/>
      <c r="G2668" s="508"/>
      <c r="H2668" s="508"/>
      <c r="I2668" s="508"/>
      <c r="J2668" s="508">
        <v>24.699000000000002</v>
      </c>
      <c r="K2668" s="508">
        <v>24.687000000000001</v>
      </c>
      <c r="L2668" s="508">
        <v>24.675000000000001</v>
      </c>
      <c r="M2668" s="508">
        <v>24.664000000000001</v>
      </c>
      <c r="N2668" s="508">
        <v>24.652999999999999</v>
      </c>
      <c r="O2668" s="508">
        <v>24.641999999999999</v>
      </c>
      <c r="P2668" s="508">
        <v>24.631</v>
      </c>
      <c r="Q2668" s="508">
        <v>24.622</v>
      </c>
      <c r="R2668" s="508">
        <v>24.611999999999998</v>
      </c>
      <c r="S2668" s="508">
        <v>24.603000000000002</v>
      </c>
      <c r="T2668" s="508">
        <v>24.594000000000001</v>
      </c>
      <c r="U2668" s="508">
        <v>24.585000000000001</v>
      </c>
      <c r="V2668" s="508">
        <v>2.8180000000000001</v>
      </c>
      <c r="W2668" s="508">
        <v>2.81</v>
      </c>
      <c r="X2668" s="508">
        <v>2.802</v>
      </c>
      <c r="Y2668" s="508">
        <v>2.794</v>
      </c>
      <c r="Z2668" s="508">
        <v>2.7869999999999999</v>
      </c>
      <c r="AA2668" s="508">
        <v>7.2309999999999999</v>
      </c>
      <c r="AB2668" s="508">
        <v>7.2240000000000002</v>
      </c>
      <c r="AC2668" s="508">
        <v>7.2169999999999996</v>
      </c>
      <c r="AD2668" s="508">
        <v>3.355</v>
      </c>
      <c r="AE2668" s="508">
        <v>3.3479999999999999</v>
      </c>
      <c r="AF2668" s="508">
        <v>3.3420000000000001</v>
      </c>
      <c r="AG2668" s="508">
        <v>3.3359999999999999</v>
      </c>
      <c r="AH2668" s="508">
        <v>3.3159999999999998</v>
      </c>
      <c r="AI2668" s="492">
        <v>3.3109999999999999</v>
      </c>
      <c r="AJ2668" s="485"/>
    </row>
    <row r="2669" spans="2:36">
      <c r="B2669" s="136" t="s">
        <v>482</v>
      </c>
      <c r="C2669" s="132" t="s">
        <v>1377</v>
      </c>
      <c r="D2669" s="132" t="s">
        <v>282</v>
      </c>
      <c r="E2669" s="508"/>
      <c r="F2669" s="508"/>
      <c r="G2669" s="508"/>
      <c r="H2669" s="508"/>
      <c r="I2669" s="508"/>
      <c r="J2669" s="508">
        <v>24.818000000000001</v>
      </c>
      <c r="K2669" s="508">
        <v>24.806000000000001</v>
      </c>
      <c r="L2669" s="508">
        <v>24.794</v>
      </c>
      <c r="M2669" s="508">
        <v>24.782</v>
      </c>
      <c r="N2669" s="508">
        <v>24.771000000000001</v>
      </c>
      <c r="O2669" s="508">
        <v>24.76</v>
      </c>
      <c r="P2669" s="508">
        <v>24.748999999999999</v>
      </c>
      <c r="Q2669" s="508">
        <v>24.739000000000001</v>
      </c>
      <c r="R2669" s="508">
        <v>24.73</v>
      </c>
      <c r="S2669" s="508">
        <v>24.72</v>
      </c>
      <c r="T2669" s="508">
        <v>24.710999999999999</v>
      </c>
      <c r="U2669" s="508">
        <v>24.702000000000002</v>
      </c>
      <c r="V2669" s="508">
        <v>2.839</v>
      </c>
      <c r="W2669" s="508">
        <v>2.831</v>
      </c>
      <c r="X2669" s="508">
        <v>2.8220000000000001</v>
      </c>
      <c r="Y2669" s="508">
        <v>2.8140000000000001</v>
      </c>
      <c r="Z2669" s="508">
        <v>2.8069999999999999</v>
      </c>
      <c r="AA2669" s="508">
        <v>7.2779999999999996</v>
      </c>
      <c r="AB2669" s="508">
        <v>7.2709999999999999</v>
      </c>
      <c r="AC2669" s="508">
        <v>7.2640000000000002</v>
      </c>
      <c r="AD2669" s="508">
        <v>3.3769999999999998</v>
      </c>
      <c r="AE2669" s="508">
        <v>3.371</v>
      </c>
      <c r="AF2669" s="508">
        <v>3.3650000000000002</v>
      </c>
      <c r="AG2669" s="508">
        <v>3.3580000000000001</v>
      </c>
      <c r="AH2669" s="508">
        <v>3.339</v>
      </c>
      <c r="AI2669" s="492">
        <v>3.3330000000000002</v>
      </c>
      <c r="AJ2669" s="485"/>
    </row>
    <row r="2670" spans="2:36">
      <c r="B2670" s="136" t="s">
        <v>483</v>
      </c>
      <c r="C2670" s="132" t="s">
        <v>1377</v>
      </c>
      <c r="D2670" s="132" t="s">
        <v>282</v>
      </c>
      <c r="E2670" s="508"/>
      <c r="F2670" s="508"/>
      <c r="G2670" s="508"/>
      <c r="H2670" s="508"/>
      <c r="I2670" s="508"/>
      <c r="J2670" s="508">
        <v>24.731000000000002</v>
      </c>
      <c r="K2670" s="508">
        <v>24.718</v>
      </c>
      <c r="L2670" s="508">
        <v>24.706</v>
      </c>
      <c r="M2670" s="508">
        <v>24.693999999999999</v>
      </c>
      <c r="N2670" s="508">
        <v>24.683</v>
      </c>
      <c r="O2670" s="508">
        <v>24.670999999999999</v>
      </c>
      <c r="P2670" s="508">
        <v>24.66</v>
      </c>
      <c r="Q2670" s="508">
        <v>24.65</v>
      </c>
      <c r="R2670" s="508">
        <v>24.638999999999999</v>
      </c>
      <c r="S2670" s="508">
        <v>24.63</v>
      </c>
      <c r="T2670" s="508">
        <v>24.62</v>
      </c>
      <c r="U2670" s="508">
        <v>24.611000000000001</v>
      </c>
      <c r="V2670" s="508">
        <v>2.8839999999999999</v>
      </c>
      <c r="W2670" s="508">
        <v>2.8759999999999999</v>
      </c>
      <c r="X2670" s="508">
        <v>2.867</v>
      </c>
      <c r="Y2670" s="508">
        <v>2.859</v>
      </c>
      <c r="Z2670" s="508">
        <v>2.851</v>
      </c>
      <c r="AA2670" s="508">
        <v>7.3849999999999998</v>
      </c>
      <c r="AB2670" s="508">
        <v>7.3769999999999998</v>
      </c>
      <c r="AC2670" s="508">
        <v>7.37</v>
      </c>
      <c r="AD2670" s="508">
        <v>3.4350000000000001</v>
      </c>
      <c r="AE2670" s="508">
        <v>3.4279999999999999</v>
      </c>
      <c r="AF2670" s="508">
        <v>3.4209999999999998</v>
      </c>
      <c r="AG2670" s="508">
        <v>3.415</v>
      </c>
      <c r="AH2670" s="508">
        <v>3.395</v>
      </c>
      <c r="AI2670" s="492">
        <v>3.3889999999999998</v>
      </c>
      <c r="AJ2670" s="485"/>
    </row>
    <row r="2671" spans="2:36">
      <c r="B2671" s="136" t="s">
        <v>484</v>
      </c>
      <c r="C2671" s="132" t="s">
        <v>1377</v>
      </c>
      <c r="D2671" s="132" t="s">
        <v>282</v>
      </c>
      <c r="E2671" s="508"/>
      <c r="F2671" s="508"/>
      <c r="G2671" s="508"/>
      <c r="H2671" s="508"/>
      <c r="I2671" s="508"/>
      <c r="J2671" s="508">
        <v>24.664000000000001</v>
      </c>
      <c r="K2671" s="508">
        <v>24.652999999999999</v>
      </c>
      <c r="L2671" s="508">
        <v>24.643000000000001</v>
      </c>
      <c r="M2671" s="508">
        <v>24.632000000000001</v>
      </c>
      <c r="N2671" s="508">
        <v>24.622</v>
      </c>
      <c r="O2671" s="508">
        <v>24.611999999999998</v>
      </c>
      <c r="P2671" s="508">
        <v>24.602</v>
      </c>
      <c r="Q2671" s="508">
        <v>24.593</v>
      </c>
      <c r="R2671" s="508">
        <v>24.585000000000001</v>
      </c>
      <c r="S2671" s="508">
        <v>24.576000000000001</v>
      </c>
      <c r="T2671" s="508">
        <v>24.568000000000001</v>
      </c>
      <c r="U2671" s="508">
        <v>24.56</v>
      </c>
      <c r="V2671" s="508">
        <v>2.7149999999999999</v>
      </c>
      <c r="W2671" s="508">
        <v>2.7069999999999999</v>
      </c>
      <c r="X2671" s="508">
        <v>2.7</v>
      </c>
      <c r="Y2671" s="508">
        <v>2.6930000000000001</v>
      </c>
      <c r="Z2671" s="508">
        <v>2.6859999999999999</v>
      </c>
      <c r="AA2671" s="508">
        <v>6.9889999999999999</v>
      </c>
      <c r="AB2671" s="508">
        <v>6.9829999999999997</v>
      </c>
      <c r="AC2671" s="508">
        <v>6.9770000000000003</v>
      </c>
      <c r="AD2671" s="508">
        <v>3.2290000000000001</v>
      </c>
      <c r="AE2671" s="508">
        <v>3.2229999999999999</v>
      </c>
      <c r="AF2671" s="508">
        <v>3.2170000000000001</v>
      </c>
      <c r="AG2671" s="508">
        <v>3.2120000000000002</v>
      </c>
      <c r="AH2671" s="508">
        <v>3.1920000000000002</v>
      </c>
      <c r="AI2671" s="492">
        <v>3.1869999999999998</v>
      </c>
      <c r="AJ2671" s="485"/>
    </row>
    <row r="2672" spans="2:36">
      <c r="B2672" s="136" t="s">
        <v>486</v>
      </c>
      <c r="C2672" s="132" t="s">
        <v>1377</v>
      </c>
      <c r="D2672" s="132" t="s">
        <v>282</v>
      </c>
      <c r="E2672" s="508"/>
      <c r="F2672" s="508"/>
      <c r="G2672" s="508"/>
      <c r="H2672" s="508"/>
      <c r="I2672" s="508"/>
      <c r="J2672" s="508">
        <v>24.783000000000001</v>
      </c>
      <c r="K2672" s="508">
        <v>24.771000000000001</v>
      </c>
      <c r="L2672" s="508">
        <v>24.76</v>
      </c>
      <c r="M2672" s="508">
        <v>24.748000000000001</v>
      </c>
      <c r="N2672" s="508">
        <v>24.736999999999998</v>
      </c>
      <c r="O2672" s="508">
        <v>24.725999999999999</v>
      </c>
      <c r="P2672" s="508">
        <v>24.716000000000001</v>
      </c>
      <c r="Q2672" s="508">
        <v>24.706</v>
      </c>
      <c r="R2672" s="508">
        <v>24.696000000000002</v>
      </c>
      <c r="S2672" s="508">
        <v>24.687000000000001</v>
      </c>
      <c r="T2672" s="508">
        <v>24.677</v>
      </c>
      <c r="U2672" s="508">
        <v>24.669</v>
      </c>
      <c r="V2672" s="508">
        <v>2.8319999999999999</v>
      </c>
      <c r="W2672" s="508">
        <v>2.8239999999999998</v>
      </c>
      <c r="X2672" s="508">
        <v>2.8159999999999998</v>
      </c>
      <c r="Y2672" s="508">
        <v>2.8069999999999999</v>
      </c>
      <c r="Z2672" s="508">
        <v>2.8</v>
      </c>
      <c r="AA2672" s="508">
        <v>7.2640000000000002</v>
      </c>
      <c r="AB2672" s="508">
        <v>7.2569999999999997</v>
      </c>
      <c r="AC2672" s="508">
        <v>7.25</v>
      </c>
      <c r="AD2672" s="508">
        <v>3.37</v>
      </c>
      <c r="AE2672" s="508">
        <v>3.3639999999999999</v>
      </c>
      <c r="AF2672" s="508">
        <v>3.3580000000000001</v>
      </c>
      <c r="AG2672" s="508">
        <v>3.3519999999999999</v>
      </c>
      <c r="AH2672" s="508">
        <v>3.3319999999999999</v>
      </c>
      <c r="AI2672" s="492">
        <v>3.3260000000000001</v>
      </c>
      <c r="AJ2672" s="485"/>
    </row>
    <row r="2673" spans="2:36">
      <c r="B2673" s="136" t="s">
        <v>487</v>
      </c>
      <c r="C2673" s="132" t="s">
        <v>1377</v>
      </c>
      <c r="D2673" s="132" t="s">
        <v>282</v>
      </c>
      <c r="E2673" s="508"/>
      <c r="F2673" s="508"/>
      <c r="G2673" s="508"/>
      <c r="H2673" s="508"/>
      <c r="I2673" s="508"/>
      <c r="J2673" s="508">
        <v>25.08</v>
      </c>
      <c r="K2673" s="508">
        <v>25.068000000000001</v>
      </c>
      <c r="L2673" s="508">
        <v>25.056000000000001</v>
      </c>
      <c r="M2673" s="508">
        <v>25.044</v>
      </c>
      <c r="N2673" s="508">
        <v>25.033000000000001</v>
      </c>
      <c r="O2673" s="508">
        <v>25.021999999999998</v>
      </c>
      <c r="P2673" s="508">
        <v>25.012</v>
      </c>
      <c r="Q2673" s="508">
        <v>25.001999999999999</v>
      </c>
      <c r="R2673" s="508">
        <v>24.992000000000001</v>
      </c>
      <c r="S2673" s="508">
        <v>24.981999999999999</v>
      </c>
      <c r="T2673" s="508">
        <v>24.972999999999999</v>
      </c>
      <c r="U2673" s="508">
        <v>24.963999999999999</v>
      </c>
      <c r="V2673" s="508">
        <v>2.8540000000000001</v>
      </c>
      <c r="W2673" s="508">
        <v>2.8450000000000002</v>
      </c>
      <c r="X2673" s="508">
        <v>2.8370000000000002</v>
      </c>
      <c r="Y2673" s="508">
        <v>2.8290000000000002</v>
      </c>
      <c r="Z2673" s="508">
        <v>2.8220000000000001</v>
      </c>
      <c r="AA2673" s="508">
        <v>7.319</v>
      </c>
      <c r="AB2673" s="508">
        <v>7.3120000000000003</v>
      </c>
      <c r="AC2673" s="508">
        <v>7.3049999999999997</v>
      </c>
      <c r="AD2673" s="508">
        <v>3.3940000000000001</v>
      </c>
      <c r="AE2673" s="508">
        <v>3.3879999999999999</v>
      </c>
      <c r="AF2673" s="508">
        <v>3.3809999999999998</v>
      </c>
      <c r="AG2673" s="508">
        <v>3.375</v>
      </c>
      <c r="AH2673" s="508">
        <v>3.355</v>
      </c>
      <c r="AI2673" s="492">
        <v>3.35</v>
      </c>
      <c r="AJ2673" s="485"/>
    </row>
    <row r="2674" spans="2:36">
      <c r="B2674" s="136" t="s">
        <v>488</v>
      </c>
      <c r="C2674" s="132" t="s">
        <v>1377</v>
      </c>
      <c r="D2674" s="132" t="s">
        <v>282</v>
      </c>
      <c r="E2674" s="508"/>
      <c r="F2674" s="508"/>
      <c r="G2674" s="508"/>
      <c r="H2674" s="508"/>
      <c r="I2674" s="508"/>
      <c r="J2674" s="508">
        <v>24.832000000000001</v>
      </c>
      <c r="K2674" s="508">
        <v>24.821000000000002</v>
      </c>
      <c r="L2674" s="508">
        <v>24.81</v>
      </c>
      <c r="M2674" s="508">
        <v>24.798999999999999</v>
      </c>
      <c r="N2674" s="508">
        <v>24.789000000000001</v>
      </c>
      <c r="O2674" s="508">
        <v>24.779</v>
      </c>
      <c r="P2674" s="508">
        <v>24.768999999999998</v>
      </c>
      <c r="Q2674" s="508">
        <v>24.76</v>
      </c>
      <c r="R2674" s="508">
        <v>24.75</v>
      </c>
      <c r="S2674" s="508">
        <v>24.742000000000001</v>
      </c>
      <c r="T2674" s="508">
        <v>24.733000000000001</v>
      </c>
      <c r="U2674" s="508">
        <v>24.725000000000001</v>
      </c>
      <c r="V2674" s="508">
        <v>2.7549999999999999</v>
      </c>
      <c r="W2674" s="508">
        <v>2.7480000000000002</v>
      </c>
      <c r="X2674" s="508">
        <v>2.74</v>
      </c>
      <c r="Y2674" s="508">
        <v>2.7320000000000002</v>
      </c>
      <c r="Z2674" s="508">
        <v>2.726</v>
      </c>
      <c r="AA2674" s="508">
        <v>7.085</v>
      </c>
      <c r="AB2674" s="508">
        <v>7.0789999999999997</v>
      </c>
      <c r="AC2674" s="508">
        <v>7.0720000000000001</v>
      </c>
      <c r="AD2674" s="508">
        <v>3.2759999999999998</v>
      </c>
      <c r="AE2674" s="508">
        <v>3.27</v>
      </c>
      <c r="AF2674" s="508">
        <v>3.2639999999999998</v>
      </c>
      <c r="AG2674" s="508">
        <v>3.2589999999999999</v>
      </c>
      <c r="AH2674" s="508">
        <v>3.2389999999999999</v>
      </c>
      <c r="AI2674" s="492">
        <v>3.2330000000000001</v>
      </c>
      <c r="AJ2674" s="485"/>
    </row>
    <row r="2675" spans="2:36">
      <c r="B2675" s="136" t="s">
        <v>489</v>
      </c>
      <c r="C2675" s="132" t="s">
        <v>1377</v>
      </c>
      <c r="D2675" s="132" t="s">
        <v>282</v>
      </c>
      <c r="E2675" s="508"/>
      <c r="F2675" s="508"/>
      <c r="G2675" s="508"/>
      <c r="H2675" s="508"/>
      <c r="I2675" s="508"/>
      <c r="J2675" s="508">
        <v>24.559000000000001</v>
      </c>
      <c r="K2675" s="508">
        <v>24.547000000000001</v>
      </c>
      <c r="L2675" s="508">
        <v>24.536000000000001</v>
      </c>
      <c r="M2675" s="508">
        <v>24.524999999999999</v>
      </c>
      <c r="N2675" s="508">
        <v>24.513999999999999</v>
      </c>
      <c r="O2675" s="508">
        <v>24.504000000000001</v>
      </c>
      <c r="P2675" s="508">
        <v>24.492999999999999</v>
      </c>
      <c r="Q2675" s="508">
        <v>24.484000000000002</v>
      </c>
      <c r="R2675" s="508">
        <v>24.475000000000001</v>
      </c>
      <c r="S2675" s="508">
        <v>24.466000000000001</v>
      </c>
      <c r="T2675" s="508">
        <v>24.457000000000001</v>
      </c>
      <c r="U2675" s="508">
        <v>24.448</v>
      </c>
      <c r="V2675" s="508">
        <v>2.7789999999999999</v>
      </c>
      <c r="W2675" s="508">
        <v>2.7719999999999998</v>
      </c>
      <c r="X2675" s="508">
        <v>2.7639999999999998</v>
      </c>
      <c r="Y2675" s="508">
        <v>2.7559999999999998</v>
      </c>
      <c r="Z2675" s="508">
        <v>2.7490000000000001</v>
      </c>
      <c r="AA2675" s="508">
        <v>7.1369999999999996</v>
      </c>
      <c r="AB2675" s="508">
        <v>7.13</v>
      </c>
      <c r="AC2675" s="508">
        <v>7.1239999999999997</v>
      </c>
      <c r="AD2675" s="508">
        <v>3.3079999999999998</v>
      </c>
      <c r="AE2675" s="508">
        <v>3.302</v>
      </c>
      <c r="AF2675" s="508">
        <v>3.2959999999999998</v>
      </c>
      <c r="AG2675" s="508">
        <v>3.29</v>
      </c>
      <c r="AH2675" s="508">
        <v>3.27</v>
      </c>
      <c r="AI2675" s="492">
        <v>3.2650000000000001</v>
      </c>
      <c r="AJ2675" s="485"/>
    </row>
    <row r="2676" spans="2:36">
      <c r="B2676" s="136" t="s">
        <v>490</v>
      </c>
      <c r="C2676" s="132" t="s">
        <v>1377</v>
      </c>
      <c r="D2676" s="132" t="s">
        <v>282</v>
      </c>
      <c r="E2676" s="508"/>
      <c r="F2676" s="508"/>
      <c r="G2676" s="508"/>
      <c r="H2676" s="508"/>
      <c r="I2676" s="508"/>
      <c r="J2676" s="508">
        <v>25.27</v>
      </c>
      <c r="K2676" s="508">
        <v>25.259</v>
      </c>
      <c r="L2676" s="508">
        <v>25.248999999999999</v>
      </c>
      <c r="M2676" s="508">
        <v>25.238</v>
      </c>
      <c r="N2676" s="508">
        <v>25.228000000000002</v>
      </c>
      <c r="O2676" s="508">
        <v>25.219000000000001</v>
      </c>
      <c r="P2676" s="508">
        <v>25.209</v>
      </c>
      <c r="Q2676" s="508">
        <v>25.201000000000001</v>
      </c>
      <c r="R2676" s="508">
        <v>25.192</v>
      </c>
      <c r="S2676" s="508">
        <v>25.184000000000001</v>
      </c>
      <c r="T2676" s="508">
        <v>25.175000000000001</v>
      </c>
      <c r="U2676" s="508">
        <v>25.167999999999999</v>
      </c>
      <c r="V2676" s="508">
        <v>2.7309999999999999</v>
      </c>
      <c r="W2676" s="508">
        <v>2.7229999999999999</v>
      </c>
      <c r="X2676" s="508">
        <v>2.7160000000000002</v>
      </c>
      <c r="Y2676" s="508">
        <v>2.7090000000000001</v>
      </c>
      <c r="Z2676" s="508">
        <v>2.7029999999999998</v>
      </c>
      <c r="AA2676" s="508">
        <v>7.0410000000000004</v>
      </c>
      <c r="AB2676" s="508">
        <v>7.0339999999999998</v>
      </c>
      <c r="AC2676" s="508">
        <v>7.0279999999999996</v>
      </c>
      <c r="AD2676" s="508">
        <v>3.2450000000000001</v>
      </c>
      <c r="AE2676" s="508">
        <v>3.2389999999999999</v>
      </c>
      <c r="AF2676" s="508">
        <v>3.2330000000000001</v>
      </c>
      <c r="AG2676" s="508">
        <v>3.2280000000000002</v>
      </c>
      <c r="AH2676" s="508">
        <v>3.2080000000000002</v>
      </c>
      <c r="AI2676" s="492">
        <v>3.2029999999999998</v>
      </c>
      <c r="AJ2676" s="485"/>
    </row>
    <row r="2677" spans="2:36">
      <c r="B2677" s="136" t="s">
        <v>435</v>
      </c>
      <c r="C2677" s="132" t="s">
        <v>1378</v>
      </c>
      <c r="D2677" s="132" t="s">
        <v>282</v>
      </c>
      <c r="E2677" s="508">
        <v>8.2200000000000006</v>
      </c>
      <c r="F2677" s="508">
        <v>8.2070000000000007</v>
      </c>
      <c r="G2677" s="508">
        <v>8.1929999999999996</v>
      </c>
      <c r="H2677" s="508">
        <v>8.18</v>
      </c>
      <c r="I2677" s="508">
        <v>8.1679999999999993</v>
      </c>
      <c r="J2677" s="508">
        <v>8.1549999999999994</v>
      </c>
      <c r="K2677" s="508">
        <v>8.1430000000000007</v>
      </c>
      <c r="L2677" s="508">
        <v>8.1319999999999997</v>
      </c>
      <c r="M2677" s="508">
        <v>8.1210000000000004</v>
      </c>
      <c r="N2677" s="508">
        <v>8.11</v>
      </c>
      <c r="O2677" s="508">
        <v>8.1</v>
      </c>
      <c r="P2677" s="508">
        <v>8.0890000000000004</v>
      </c>
      <c r="Q2677" s="508">
        <v>8.08</v>
      </c>
      <c r="R2677" s="508">
        <v>8.07</v>
      </c>
      <c r="S2677" s="508">
        <v>8.0619999999999994</v>
      </c>
      <c r="T2677" s="508">
        <v>8.0530000000000008</v>
      </c>
      <c r="U2677" s="508">
        <v>8.0440000000000005</v>
      </c>
      <c r="V2677" s="508">
        <v>8.0359999999999996</v>
      </c>
      <c r="W2677" s="508">
        <v>3.2669999999999999</v>
      </c>
      <c r="X2677" s="508">
        <v>3.2589999999999999</v>
      </c>
      <c r="Y2677" s="508">
        <v>3.2509999999999999</v>
      </c>
      <c r="Z2677" s="508">
        <v>2.9039999999999999</v>
      </c>
      <c r="AA2677" s="508">
        <v>0.76700000000000002</v>
      </c>
      <c r="AB2677" s="508">
        <v>0.66800000000000004</v>
      </c>
      <c r="AC2677" s="508">
        <v>0.66100000000000003</v>
      </c>
      <c r="AD2677" s="508">
        <v>0.47799999999999998</v>
      </c>
      <c r="AE2677" s="508">
        <v>0.47199999999999998</v>
      </c>
      <c r="AF2677" s="508">
        <v>0.44500000000000001</v>
      </c>
      <c r="AG2677" s="508">
        <v>0.438</v>
      </c>
      <c r="AH2677" s="508">
        <v>0.432</v>
      </c>
      <c r="AI2677" s="492">
        <v>0.42699999999999999</v>
      </c>
      <c r="AJ2677" s="485"/>
    </row>
    <row r="2678" spans="2:36">
      <c r="B2678" s="136" t="s">
        <v>436</v>
      </c>
      <c r="C2678" s="132" t="s">
        <v>1378</v>
      </c>
      <c r="D2678" s="132" t="s">
        <v>282</v>
      </c>
      <c r="E2678" s="508">
        <v>8.2100000000000009</v>
      </c>
      <c r="F2678" s="508">
        <v>8.1969999999999992</v>
      </c>
      <c r="G2678" s="508">
        <v>8.1839999999999993</v>
      </c>
      <c r="H2678" s="508">
        <v>8.1709999999999994</v>
      </c>
      <c r="I2678" s="508">
        <v>8.1590000000000007</v>
      </c>
      <c r="J2678" s="508">
        <v>8.1470000000000002</v>
      </c>
      <c r="K2678" s="508">
        <v>8.1359999999999992</v>
      </c>
      <c r="L2678" s="508">
        <v>8.125</v>
      </c>
      <c r="M2678" s="508">
        <v>8.1140000000000008</v>
      </c>
      <c r="N2678" s="508">
        <v>8.1039999999999992</v>
      </c>
      <c r="O2678" s="508">
        <v>8.0939999999999994</v>
      </c>
      <c r="P2678" s="508">
        <v>8.0839999999999996</v>
      </c>
      <c r="Q2678" s="508">
        <v>8.0749999999999993</v>
      </c>
      <c r="R2678" s="508">
        <v>8.0660000000000007</v>
      </c>
      <c r="S2678" s="508">
        <v>8.0570000000000004</v>
      </c>
      <c r="T2678" s="508">
        <v>8.048</v>
      </c>
      <c r="U2678" s="508">
        <v>8.0399999999999991</v>
      </c>
      <c r="V2678" s="508">
        <v>8.032</v>
      </c>
      <c r="W2678" s="508">
        <v>3.2189999999999999</v>
      </c>
      <c r="X2678" s="508">
        <v>3.2120000000000002</v>
      </c>
      <c r="Y2678" s="508">
        <v>3.2040000000000002</v>
      </c>
      <c r="Z2678" s="508">
        <v>2.8620000000000001</v>
      </c>
      <c r="AA2678" s="508">
        <v>0.753</v>
      </c>
      <c r="AB2678" s="508">
        <v>0.65400000000000003</v>
      </c>
      <c r="AC2678" s="508">
        <v>0.64800000000000002</v>
      </c>
      <c r="AD2678" s="508">
        <v>0.46800000000000003</v>
      </c>
      <c r="AE2678" s="508">
        <v>0.46200000000000002</v>
      </c>
      <c r="AF2678" s="508">
        <v>0.435</v>
      </c>
      <c r="AG2678" s="508">
        <v>0.42799999999999999</v>
      </c>
      <c r="AH2678" s="508">
        <v>0.42299999999999999</v>
      </c>
      <c r="AI2678" s="492">
        <v>0.41799999999999998</v>
      </c>
      <c r="AJ2678" s="485"/>
    </row>
    <row r="2679" spans="2:36">
      <c r="B2679" s="136" t="s">
        <v>437</v>
      </c>
      <c r="C2679" s="132" t="s">
        <v>1378</v>
      </c>
      <c r="D2679" s="132" t="s">
        <v>282</v>
      </c>
      <c r="E2679" s="508">
        <v>8.407</v>
      </c>
      <c r="F2679" s="508">
        <v>8.3940000000000001</v>
      </c>
      <c r="G2679" s="508">
        <v>8.3789999999999996</v>
      </c>
      <c r="H2679" s="508">
        <v>8.3659999999999997</v>
      </c>
      <c r="I2679" s="508">
        <v>8.3529999999999998</v>
      </c>
      <c r="J2679" s="508">
        <v>8.34</v>
      </c>
      <c r="K2679" s="508">
        <v>8.3279999999999994</v>
      </c>
      <c r="L2679" s="508">
        <v>8.3170000000000002</v>
      </c>
      <c r="M2679" s="508">
        <v>8.3049999999999997</v>
      </c>
      <c r="N2679" s="508">
        <v>8.2940000000000005</v>
      </c>
      <c r="O2679" s="508">
        <v>8.2829999999999995</v>
      </c>
      <c r="P2679" s="508">
        <v>8.2729999999999997</v>
      </c>
      <c r="Q2679" s="508">
        <v>8.2629999999999999</v>
      </c>
      <c r="R2679" s="508">
        <v>8.2539999999999996</v>
      </c>
      <c r="S2679" s="508">
        <v>8.2439999999999998</v>
      </c>
      <c r="T2679" s="508">
        <v>8.2349999999999994</v>
      </c>
      <c r="U2679" s="508">
        <v>8.2260000000000009</v>
      </c>
      <c r="V2679" s="508">
        <v>8.218</v>
      </c>
      <c r="W2679" s="508">
        <v>3.3140000000000001</v>
      </c>
      <c r="X2679" s="508">
        <v>3.306</v>
      </c>
      <c r="Y2679" s="508">
        <v>3.298</v>
      </c>
      <c r="Z2679" s="508">
        <v>2.9460000000000002</v>
      </c>
      <c r="AA2679" s="508">
        <v>0.78100000000000003</v>
      </c>
      <c r="AB2679" s="508">
        <v>0.68</v>
      </c>
      <c r="AC2679" s="508">
        <v>0.67300000000000004</v>
      </c>
      <c r="AD2679" s="508">
        <v>0.48799999999999999</v>
      </c>
      <c r="AE2679" s="508">
        <v>0.48099999999999998</v>
      </c>
      <c r="AF2679" s="508">
        <v>0.45300000000000001</v>
      </c>
      <c r="AG2679" s="508">
        <v>0.44600000000000001</v>
      </c>
      <c r="AH2679" s="508">
        <v>0.441</v>
      </c>
      <c r="AI2679" s="492">
        <v>0.435</v>
      </c>
      <c r="AJ2679" s="485"/>
    </row>
    <row r="2680" spans="2:36">
      <c r="B2680" s="136" t="s">
        <v>438</v>
      </c>
      <c r="C2680" s="132" t="s">
        <v>1378</v>
      </c>
      <c r="D2680" s="132" t="s">
        <v>282</v>
      </c>
      <c r="E2680" s="508">
        <v>8.1440000000000001</v>
      </c>
      <c r="F2680" s="508">
        <v>8.1319999999999997</v>
      </c>
      <c r="G2680" s="508">
        <v>8.1180000000000003</v>
      </c>
      <c r="H2680" s="508">
        <v>8.1059999999999999</v>
      </c>
      <c r="I2680" s="508">
        <v>8.0939999999999994</v>
      </c>
      <c r="J2680" s="508">
        <v>8.0820000000000007</v>
      </c>
      <c r="K2680" s="508">
        <v>8.0709999999999997</v>
      </c>
      <c r="L2680" s="508">
        <v>8.06</v>
      </c>
      <c r="M2680" s="508">
        <v>8.0500000000000007</v>
      </c>
      <c r="N2680" s="508">
        <v>8.0389999999999997</v>
      </c>
      <c r="O2680" s="508">
        <v>8.0289999999999999</v>
      </c>
      <c r="P2680" s="508">
        <v>8.0190000000000001</v>
      </c>
      <c r="Q2680" s="508">
        <v>8.01</v>
      </c>
      <c r="R2680" s="508">
        <v>8.0009999999999994</v>
      </c>
      <c r="S2680" s="508">
        <v>7.9930000000000003</v>
      </c>
      <c r="T2680" s="508">
        <v>7.984</v>
      </c>
      <c r="U2680" s="508">
        <v>7.976</v>
      </c>
      <c r="V2680" s="508">
        <v>7.968</v>
      </c>
      <c r="W2680" s="508">
        <v>3.1960000000000002</v>
      </c>
      <c r="X2680" s="508">
        <v>3.1880000000000002</v>
      </c>
      <c r="Y2680" s="508">
        <v>3.181</v>
      </c>
      <c r="Z2680" s="508">
        <v>2.8410000000000002</v>
      </c>
      <c r="AA2680" s="508">
        <v>0.747</v>
      </c>
      <c r="AB2680" s="508">
        <v>0.64900000000000002</v>
      </c>
      <c r="AC2680" s="508">
        <v>0.64300000000000002</v>
      </c>
      <c r="AD2680" s="508">
        <v>0.46400000000000002</v>
      </c>
      <c r="AE2680" s="508">
        <v>0.45800000000000002</v>
      </c>
      <c r="AF2680" s="508">
        <v>0.43099999999999999</v>
      </c>
      <c r="AG2680" s="508">
        <v>0.42499999999999999</v>
      </c>
      <c r="AH2680" s="508">
        <v>0.42</v>
      </c>
      <c r="AI2680" s="492">
        <v>0.41399999999999998</v>
      </c>
      <c r="AJ2680" s="485"/>
    </row>
    <row r="2681" spans="2:36">
      <c r="B2681" s="136" t="s">
        <v>439</v>
      </c>
      <c r="C2681" s="132" t="s">
        <v>1378</v>
      </c>
      <c r="D2681" s="132" t="s">
        <v>282</v>
      </c>
      <c r="E2681" s="508">
        <v>8.4789999999999992</v>
      </c>
      <c r="F2681" s="508">
        <v>8.4649999999999999</v>
      </c>
      <c r="G2681" s="508">
        <v>8.4499999999999993</v>
      </c>
      <c r="H2681" s="508">
        <v>8.4359999999999999</v>
      </c>
      <c r="I2681" s="508">
        <v>8.423</v>
      </c>
      <c r="J2681" s="508">
        <v>8.41</v>
      </c>
      <c r="K2681" s="508">
        <v>8.3970000000000002</v>
      </c>
      <c r="L2681" s="508">
        <v>8.3849999999999998</v>
      </c>
      <c r="M2681" s="508">
        <v>8.3729999999999993</v>
      </c>
      <c r="N2681" s="508">
        <v>8.3620000000000001</v>
      </c>
      <c r="O2681" s="508">
        <v>8.3510000000000009</v>
      </c>
      <c r="P2681" s="508">
        <v>8.34</v>
      </c>
      <c r="Q2681" s="508">
        <v>8.33</v>
      </c>
      <c r="R2681" s="508">
        <v>8.32</v>
      </c>
      <c r="S2681" s="508">
        <v>8.31</v>
      </c>
      <c r="T2681" s="508">
        <v>8.3000000000000007</v>
      </c>
      <c r="U2681" s="508">
        <v>8.2910000000000004</v>
      </c>
      <c r="V2681" s="508">
        <v>8.2829999999999995</v>
      </c>
      <c r="W2681" s="508">
        <v>3.3460000000000001</v>
      </c>
      <c r="X2681" s="508">
        <v>3.3370000000000002</v>
      </c>
      <c r="Y2681" s="508">
        <v>3.3290000000000002</v>
      </c>
      <c r="Z2681" s="508">
        <v>2.9740000000000002</v>
      </c>
      <c r="AA2681" s="508">
        <v>0.79300000000000004</v>
      </c>
      <c r="AB2681" s="508">
        <v>0.69099999999999995</v>
      </c>
      <c r="AC2681" s="508">
        <v>0.68400000000000005</v>
      </c>
      <c r="AD2681" s="508">
        <v>0.497</v>
      </c>
      <c r="AE2681" s="508">
        <v>0.49099999999999999</v>
      </c>
      <c r="AF2681" s="508">
        <v>0.46200000000000002</v>
      </c>
      <c r="AG2681" s="508">
        <v>0.45500000000000002</v>
      </c>
      <c r="AH2681" s="508">
        <v>0.44900000000000001</v>
      </c>
      <c r="AI2681" s="492">
        <v>0.443</v>
      </c>
      <c r="AJ2681" s="485"/>
    </row>
    <row r="2682" spans="2:36">
      <c r="B2682" s="136" t="s">
        <v>440</v>
      </c>
      <c r="C2682" s="132" t="s">
        <v>1378</v>
      </c>
      <c r="D2682" s="132" t="s">
        <v>282</v>
      </c>
      <c r="E2682" s="508">
        <v>8.3559999999999999</v>
      </c>
      <c r="F2682" s="508">
        <v>8.3420000000000005</v>
      </c>
      <c r="G2682" s="508">
        <v>8.3279999999999994</v>
      </c>
      <c r="H2682" s="508">
        <v>8.3140000000000001</v>
      </c>
      <c r="I2682" s="508">
        <v>8.3019999999999996</v>
      </c>
      <c r="J2682" s="508">
        <v>8.2889999999999997</v>
      </c>
      <c r="K2682" s="508">
        <v>8.2769999999999992</v>
      </c>
      <c r="L2682" s="508">
        <v>8.266</v>
      </c>
      <c r="M2682" s="508">
        <v>8.2539999999999996</v>
      </c>
      <c r="N2682" s="508">
        <v>8.2430000000000003</v>
      </c>
      <c r="O2682" s="508">
        <v>8.2319999999999993</v>
      </c>
      <c r="P2682" s="508">
        <v>8.2219999999999995</v>
      </c>
      <c r="Q2682" s="508">
        <v>8.2119999999999997</v>
      </c>
      <c r="R2682" s="508">
        <v>8.2029999999999994</v>
      </c>
      <c r="S2682" s="508">
        <v>8.1929999999999996</v>
      </c>
      <c r="T2682" s="508">
        <v>8.1839999999999993</v>
      </c>
      <c r="U2682" s="508">
        <v>8.1750000000000007</v>
      </c>
      <c r="V2682" s="508">
        <v>8.1669999999999998</v>
      </c>
      <c r="W2682" s="508">
        <v>3.2930000000000001</v>
      </c>
      <c r="X2682" s="508">
        <v>3.2850000000000001</v>
      </c>
      <c r="Y2682" s="508">
        <v>3.2770000000000001</v>
      </c>
      <c r="Z2682" s="508">
        <v>2.927</v>
      </c>
      <c r="AA2682" s="508">
        <v>0.77600000000000002</v>
      </c>
      <c r="AB2682" s="508">
        <v>0.67600000000000005</v>
      </c>
      <c r="AC2682" s="508">
        <v>0.66900000000000004</v>
      </c>
      <c r="AD2682" s="508">
        <v>0.48499999999999999</v>
      </c>
      <c r="AE2682" s="508">
        <v>0.47799999999999998</v>
      </c>
      <c r="AF2682" s="508">
        <v>0.45100000000000001</v>
      </c>
      <c r="AG2682" s="508">
        <v>0.44400000000000001</v>
      </c>
      <c r="AH2682" s="508">
        <v>0.438</v>
      </c>
      <c r="AI2682" s="492">
        <v>0.432</v>
      </c>
      <c r="AJ2682" s="485"/>
    </row>
    <row r="2683" spans="2:36">
      <c r="B2683" s="136" t="s">
        <v>441</v>
      </c>
      <c r="C2683" s="132" t="s">
        <v>1378</v>
      </c>
      <c r="D2683" s="132" t="s">
        <v>282</v>
      </c>
      <c r="E2683" s="508">
        <v>8.5229999999999997</v>
      </c>
      <c r="F2683" s="508">
        <v>8.5079999999999991</v>
      </c>
      <c r="G2683" s="508">
        <v>8.4930000000000003</v>
      </c>
      <c r="H2683" s="508">
        <v>8.4789999999999992</v>
      </c>
      <c r="I2683" s="508">
        <v>8.4659999999999993</v>
      </c>
      <c r="J2683" s="508">
        <v>8.452</v>
      </c>
      <c r="K2683" s="508">
        <v>8.44</v>
      </c>
      <c r="L2683" s="508">
        <v>8.4280000000000008</v>
      </c>
      <c r="M2683" s="508">
        <v>8.4149999999999991</v>
      </c>
      <c r="N2683" s="508">
        <v>8.4039999999999999</v>
      </c>
      <c r="O2683" s="508">
        <v>8.3919999999999995</v>
      </c>
      <c r="P2683" s="508">
        <v>8.3810000000000002</v>
      </c>
      <c r="Q2683" s="508">
        <v>8.3710000000000004</v>
      </c>
      <c r="R2683" s="508">
        <v>8.3610000000000007</v>
      </c>
      <c r="S2683" s="508">
        <v>8.3510000000000009</v>
      </c>
      <c r="T2683" s="508">
        <v>8.3409999999999993</v>
      </c>
      <c r="U2683" s="508">
        <v>8.3320000000000007</v>
      </c>
      <c r="V2683" s="508">
        <v>8.3230000000000004</v>
      </c>
      <c r="W2683" s="508">
        <v>3.363</v>
      </c>
      <c r="X2683" s="508">
        <v>3.355</v>
      </c>
      <c r="Y2683" s="508">
        <v>3.3460000000000001</v>
      </c>
      <c r="Z2683" s="508">
        <v>2.99</v>
      </c>
      <c r="AA2683" s="508">
        <v>0.8</v>
      </c>
      <c r="AB2683" s="508">
        <v>0.69699999999999995</v>
      </c>
      <c r="AC2683" s="508">
        <v>0.69</v>
      </c>
      <c r="AD2683" s="508">
        <v>0.502</v>
      </c>
      <c r="AE2683" s="508">
        <v>0.495</v>
      </c>
      <c r="AF2683" s="508">
        <v>0.46700000000000003</v>
      </c>
      <c r="AG2683" s="508">
        <v>0.46</v>
      </c>
      <c r="AH2683" s="508">
        <v>0.45300000000000001</v>
      </c>
      <c r="AI2683" s="492">
        <v>0.44700000000000001</v>
      </c>
      <c r="AJ2683" s="485"/>
    </row>
    <row r="2684" spans="2:36">
      <c r="B2684" s="136" t="s">
        <v>443</v>
      </c>
      <c r="C2684" s="132" t="s">
        <v>1378</v>
      </c>
      <c r="D2684" s="132" t="s">
        <v>282</v>
      </c>
      <c r="E2684" s="508">
        <v>8.3330000000000002</v>
      </c>
      <c r="F2684" s="508">
        <v>8.3190000000000008</v>
      </c>
      <c r="G2684" s="508">
        <v>8.3040000000000003</v>
      </c>
      <c r="H2684" s="508">
        <v>8.2910000000000004</v>
      </c>
      <c r="I2684" s="508">
        <v>8.2769999999999992</v>
      </c>
      <c r="J2684" s="508">
        <v>8.2639999999999993</v>
      </c>
      <c r="K2684" s="508">
        <v>8.2509999999999994</v>
      </c>
      <c r="L2684" s="508">
        <v>8.24</v>
      </c>
      <c r="M2684" s="508">
        <v>8.2279999999999998</v>
      </c>
      <c r="N2684" s="508">
        <v>8.2159999999999993</v>
      </c>
      <c r="O2684" s="508">
        <v>8.2050000000000001</v>
      </c>
      <c r="P2684" s="508">
        <v>8.1940000000000008</v>
      </c>
      <c r="Q2684" s="508">
        <v>8.1839999999999993</v>
      </c>
      <c r="R2684" s="508">
        <v>8.1739999999999995</v>
      </c>
      <c r="S2684" s="508">
        <v>8.1639999999999997</v>
      </c>
      <c r="T2684" s="508">
        <v>8.1549999999999994</v>
      </c>
      <c r="U2684" s="508">
        <v>8.1460000000000008</v>
      </c>
      <c r="V2684" s="508">
        <v>8.1370000000000005</v>
      </c>
      <c r="W2684" s="508">
        <v>3.3580000000000001</v>
      </c>
      <c r="X2684" s="508">
        <v>3.3490000000000002</v>
      </c>
      <c r="Y2684" s="508">
        <v>3.3410000000000002</v>
      </c>
      <c r="Z2684" s="508">
        <v>2.9849999999999999</v>
      </c>
      <c r="AA2684" s="508">
        <v>0.79500000000000004</v>
      </c>
      <c r="AB2684" s="508">
        <v>0.69299999999999995</v>
      </c>
      <c r="AC2684" s="508">
        <v>0.68600000000000005</v>
      </c>
      <c r="AD2684" s="508">
        <v>0.498</v>
      </c>
      <c r="AE2684" s="508">
        <v>0.49199999999999999</v>
      </c>
      <c r="AF2684" s="508">
        <v>0.46300000000000002</v>
      </c>
      <c r="AG2684" s="508">
        <v>0.45600000000000002</v>
      </c>
      <c r="AH2684" s="508">
        <v>0.45</v>
      </c>
      <c r="AI2684" s="492">
        <v>0.44400000000000001</v>
      </c>
      <c r="AJ2684" s="485"/>
    </row>
    <row r="2685" spans="2:36">
      <c r="B2685" s="136" t="s">
        <v>445</v>
      </c>
      <c r="C2685" s="132" t="s">
        <v>1378</v>
      </c>
      <c r="D2685" s="132" t="s">
        <v>282</v>
      </c>
      <c r="E2685" s="508">
        <v>8.7170000000000005</v>
      </c>
      <c r="F2685" s="508">
        <v>8.7010000000000005</v>
      </c>
      <c r="G2685" s="508">
        <v>8.6850000000000005</v>
      </c>
      <c r="H2685" s="508">
        <v>8.67</v>
      </c>
      <c r="I2685" s="508">
        <v>8.6560000000000006</v>
      </c>
      <c r="J2685" s="508">
        <v>8.641</v>
      </c>
      <c r="K2685" s="508">
        <v>8.6280000000000001</v>
      </c>
      <c r="L2685" s="508">
        <v>8.6150000000000002</v>
      </c>
      <c r="M2685" s="508">
        <v>8.6020000000000003</v>
      </c>
      <c r="N2685" s="508">
        <v>8.5890000000000004</v>
      </c>
      <c r="O2685" s="508">
        <v>8.577</v>
      </c>
      <c r="P2685" s="508">
        <v>8.5649999999999995</v>
      </c>
      <c r="Q2685" s="508">
        <v>8.5540000000000003</v>
      </c>
      <c r="R2685" s="508">
        <v>8.5429999999999993</v>
      </c>
      <c r="S2685" s="508">
        <v>8.5329999999999995</v>
      </c>
      <c r="T2685" s="508">
        <v>8.5220000000000002</v>
      </c>
      <c r="U2685" s="508">
        <v>8.5129999999999999</v>
      </c>
      <c r="V2685" s="508">
        <v>8.5030000000000001</v>
      </c>
      <c r="W2685" s="508">
        <v>3.5190000000000001</v>
      </c>
      <c r="X2685" s="508">
        <v>3.51</v>
      </c>
      <c r="Y2685" s="508">
        <v>3.5</v>
      </c>
      <c r="Z2685" s="508">
        <v>3.1280000000000001</v>
      </c>
      <c r="AA2685" s="508">
        <v>0.84099999999999997</v>
      </c>
      <c r="AB2685" s="508">
        <v>0.73299999999999998</v>
      </c>
      <c r="AC2685" s="508">
        <v>0.72499999999999998</v>
      </c>
      <c r="AD2685" s="508">
        <v>0.52900000000000003</v>
      </c>
      <c r="AE2685" s="508">
        <v>0.52200000000000002</v>
      </c>
      <c r="AF2685" s="508">
        <v>0.49199999999999999</v>
      </c>
      <c r="AG2685" s="508">
        <v>0.48499999999999999</v>
      </c>
      <c r="AH2685" s="508">
        <v>0.47799999999999998</v>
      </c>
      <c r="AI2685" s="492">
        <v>0.47199999999999998</v>
      </c>
      <c r="AJ2685" s="485"/>
    </row>
    <row r="2686" spans="2:36">
      <c r="B2686" s="136" t="s">
        <v>446</v>
      </c>
      <c r="C2686" s="132" t="s">
        <v>1378</v>
      </c>
      <c r="D2686" s="132" t="s">
        <v>282</v>
      </c>
      <c r="E2686" s="508">
        <v>8.516</v>
      </c>
      <c r="F2686" s="508">
        <v>8.5020000000000007</v>
      </c>
      <c r="G2686" s="508">
        <v>8.4870000000000001</v>
      </c>
      <c r="H2686" s="508">
        <v>8.4730000000000008</v>
      </c>
      <c r="I2686" s="508">
        <v>8.4589999999999996</v>
      </c>
      <c r="J2686" s="508">
        <v>8.4459999999999997</v>
      </c>
      <c r="K2686" s="508">
        <v>8.4329999999999998</v>
      </c>
      <c r="L2686" s="508">
        <v>8.4209999999999994</v>
      </c>
      <c r="M2686" s="508">
        <v>8.4090000000000007</v>
      </c>
      <c r="N2686" s="508">
        <v>8.3970000000000002</v>
      </c>
      <c r="O2686" s="508">
        <v>8.3859999999999992</v>
      </c>
      <c r="P2686" s="508">
        <v>8.375</v>
      </c>
      <c r="Q2686" s="508">
        <v>8.3650000000000002</v>
      </c>
      <c r="R2686" s="508">
        <v>8.3539999999999992</v>
      </c>
      <c r="S2686" s="508">
        <v>8.3450000000000006</v>
      </c>
      <c r="T2686" s="508">
        <v>8.3350000000000009</v>
      </c>
      <c r="U2686" s="508">
        <v>8.3260000000000005</v>
      </c>
      <c r="V2686" s="508">
        <v>8.3170000000000002</v>
      </c>
      <c r="W2686" s="508">
        <v>3.4060000000000001</v>
      </c>
      <c r="X2686" s="508">
        <v>3.3980000000000001</v>
      </c>
      <c r="Y2686" s="508">
        <v>3.3889999999999998</v>
      </c>
      <c r="Z2686" s="508">
        <v>3.028</v>
      </c>
      <c r="AA2686" s="508">
        <v>0.80700000000000005</v>
      </c>
      <c r="AB2686" s="508">
        <v>0.70299999999999996</v>
      </c>
      <c r="AC2686" s="508">
        <v>0.69599999999999995</v>
      </c>
      <c r="AD2686" s="508">
        <v>0.50600000000000001</v>
      </c>
      <c r="AE2686" s="508">
        <v>0.499</v>
      </c>
      <c r="AF2686" s="508">
        <v>0.47</v>
      </c>
      <c r="AG2686" s="508">
        <v>0.46300000000000002</v>
      </c>
      <c r="AH2686" s="508">
        <v>0.45700000000000002</v>
      </c>
      <c r="AI2686" s="492">
        <v>0.45100000000000001</v>
      </c>
      <c r="AJ2686" s="485"/>
    </row>
    <row r="2687" spans="2:36">
      <c r="B2687" s="136" t="s">
        <v>448</v>
      </c>
      <c r="C2687" s="132" t="s">
        <v>1378</v>
      </c>
      <c r="D2687" s="132" t="s">
        <v>282</v>
      </c>
      <c r="E2687" s="508">
        <v>8.2129999999999992</v>
      </c>
      <c r="F2687" s="508">
        <v>8.1999999999999993</v>
      </c>
      <c r="G2687" s="508">
        <v>8.1859999999999999</v>
      </c>
      <c r="H2687" s="508">
        <v>8.173</v>
      </c>
      <c r="I2687" s="508">
        <v>8.1609999999999996</v>
      </c>
      <c r="J2687" s="508">
        <v>8.1489999999999991</v>
      </c>
      <c r="K2687" s="508">
        <v>8.1370000000000005</v>
      </c>
      <c r="L2687" s="508">
        <v>8.1270000000000007</v>
      </c>
      <c r="M2687" s="508">
        <v>8.1150000000000002</v>
      </c>
      <c r="N2687" s="508">
        <v>8.1050000000000004</v>
      </c>
      <c r="O2687" s="508">
        <v>8.0939999999999994</v>
      </c>
      <c r="P2687" s="508">
        <v>8.0839999999999996</v>
      </c>
      <c r="Q2687" s="508">
        <v>8.0749999999999993</v>
      </c>
      <c r="R2687" s="508">
        <v>8.0660000000000007</v>
      </c>
      <c r="S2687" s="508">
        <v>8.0570000000000004</v>
      </c>
      <c r="T2687" s="508">
        <v>8.048</v>
      </c>
      <c r="U2687" s="508">
        <v>8.0399999999999991</v>
      </c>
      <c r="V2687" s="508">
        <v>8.032</v>
      </c>
      <c r="W2687" s="508">
        <v>3.2349999999999999</v>
      </c>
      <c r="X2687" s="508">
        <v>3.2269999999999999</v>
      </c>
      <c r="Y2687" s="508">
        <v>3.22</v>
      </c>
      <c r="Z2687" s="508">
        <v>2.8759999999999999</v>
      </c>
      <c r="AA2687" s="508">
        <v>0.75900000000000001</v>
      </c>
      <c r="AB2687" s="508">
        <v>0.66</v>
      </c>
      <c r="AC2687" s="508">
        <v>0.65300000000000002</v>
      </c>
      <c r="AD2687" s="508">
        <v>0.47199999999999998</v>
      </c>
      <c r="AE2687" s="508">
        <v>0.46600000000000003</v>
      </c>
      <c r="AF2687" s="508">
        <v>0.439</v>
      </c>
      <c r="AG2687" s="508">
        <v>0.433</v>
      </c>
      <c r="AH2687" s="508">
        <v>0.42699999999999999</v>
      </c>
      <c r="AI2687" s="492">
        <v>0.42199999999999999</v>
      </c>
      <c r="AJ2687" s="485"/>
    </row>
    <row r="2688" spans="2:36">
      <c r="B2688" s="136" t="s">
        <v>449</v>
      </c>
      <c r="C2688" s="132" t="s">
        <v>1378</v>
      </c>
      <c r="D2688" s="132" t="s">
        <v>282</v>
      </c>
      <c r="E2688" s="508">
        <v>8.4250000000000007</v>
      </c>
      <c r="F2688" s="508">
        <v>8.4109999999999996</v>
      </c>
      <c r="G2688" s="508">
        <v>8.3960000000000008</v>
      </c>
      <c r="H2688" s="508">
        <v>8.3819999999999997</v>
      </c>
      <c r="I2688" s="508">
        <v>8.3680000000000003</v>
      </c>
      <c r="J2688" s="508">
        <v>8.3550000000000004</v>
      </c>
      <c r="K2688" s="508">
        <v>8.3420000000000005</v>
      </c>
      <c r="L2688" s="508">
        <v>8.33</v>
      </c>
      <c r="M2688" s="508">
        <v>8.3179999999999996</v>
      </c>
      <c r="N2688" s="508">
        <v>8.3059999999999992</v>
      </c>
      <c r="O2688" s="508">
        <v>8.2949999999999999</v>
      </c>
      <c r="P2688" s="508">
        <v>8.2840000000000007</v>
      </c>
      <c r="Q2688" s="508">
        <v>8.2739999999999991</v>
      </c>
      <c r="R2688" s="508">
        <v>8.2629999999999999</v>
      </c>
      <c r="S2688" s="508">
        <v>8.2539999999999996</v>
      </c>
      <c r="T2688" s="508">
        <v>8.2439999999999998</v>
      </c>
      <c r="U2688" s="508">
        <v>8.2349999999999994</v>
      </c>
      <c r="V2688" s="508">
        <v>8.2260000000000009</v>
      </c>
      <c r="W2688" s="508">
        <v>3.3820000000000001</v>
      </c>
      <c r="X2688" s="508">
        <v>3.3740000000000001</v>
      </c>
      <c r="Y2688" s="508">
        <v>3.3660000000000001</v>
      </c>
      <c r="Z2688" s="508">
        <v>3.0070000000000001</v>
      </c>
      <c r="AA2688" s="508">
        <v>0.80300000000000005</v>
      </c>
      <c r="AB2688" s="508">
        <v>0.69899999999999995</v>
      </c>
      <c r="AC2688" s="508">
        <v>0.69199999999999995</v>
      </c>
      <c r="AD2688" s="508">
        <v>0.503</v>
      </c>
      <c r="AE2688" s="508">
        <v>0.497</v>
      </c>
      <c r="AF2688" s="508">
        <v>0.46800000000000003</v>
      </c>
      <c r="AG2688" s="508">
        <v>0.46100000000000002</v>
      </c>
      <c r="AH2688" s="508">
        <v>0.45500000000000002</v>
      </c>
      <c r="AI2688" s="492">
        <v>0.44900000000000001</v>
      </c>
      <c r="AJ2688" s="485"/>
    </row>
    <row r="2689" spans="2:36">
      <c r="B2689" s="136" t="s">
        <v>450</v>
      </c>
      <c r="C2689" s="132" t="s">
        <v>1378</v>
      </c>
      <c r="D2689" s="132" t="s">
        <v>282</v>
      </c>
      <c r="E2689" s="508">
        <v>8.1560000000000006</v>
      </c>
      <c r="F2689" s="508">
        <v>8.1430000000000007</v>
      </c>
      <c r="G2689" s="508">
        <v>8.1300000000000008</v>
      </c>
      <c r="H2689" s="508">
        <v>8.1170000000000009</v>
      </c>
      <c r="I2689" s="508">
        <v>8.1059999999999999</v>
      </c>
      <c r="J2689" s="508">
        <v>8.093</v>
      </c>
      <c r="K2689" s="508">
        <v>8.0820000000000007</v>
      </c>
      <c r="L2689" s="508">
        <v>8.0709999999999997</v>
      </c>
      <c r="M2689" s="508">
        <v>8.06</v>
      </c>
      <c r="N2689" s="508">
        <v>8.0500000000000007</v>
      </c>
      <c r="O2689" s="508">
        <v>8.0399999999999991</v>
      </c>
      <c r="P2689" s="508">
        <v>8.0299999999999994</v>
      </c>
      <c r="Q2689" s="508">
        <v>8.0210000000000008</v>
      </c>
      <c r="R2689" s="508">
        <v>8.0120000000000005</v>
      </c>
      <c r="S2689" s="508">
        <v>8.0030000000000001</v>
      </c>
      <c r="T2689" s="508">
        <v>7.9939999999999998</v>
      </c>
      <c r="U2689" s="508">
        <v>7.9859999999999998</v>
      </c>
      <c r="V2689" s="508">
        <v>7.9779999999999998</v>
      </c>
      <c r="W2689" s="508">
        <v>3.2160000000000002</v>
      </c>
      <c r="X2689" s="508">
        <v>3.2090000000000001</v>
      </c>
      <c r="Y2689" s="508">
        <v>3.2010000000000001</v>
      </c>
      <c r="Z2689" s="508">
        <v>2.859</v>
      </c>
      <c r="AA2689" s="508">
        <v>0.752</v>
      </c>
      <c r="AB2689" s="508">
        <v>0.65400000000000003</v>
      </c>
      <c r="AC2689" s="508">
        <v>0.64700000000000002</v>
      </c>
      <c r="AD2689" s="508">
        <v>0.46800000000000003</v>
      </c>
      <c r="AE2689" s="508">
        <v>0.46200000000000002</v>
      </c>
      <c r="AF2689" s="508">
        <v>0.435</v>
      </c>
      <c r="AG2689" s="508">
        <v>0.42799999999999999</v>
      </c>
      <c r="AH2689" s="508">
        <v>0.42299999999999999</v>
      </c>
      <c r="AI2689" s="492">
        <v>0.41699999999999998</v>
      </c>
      <c r="AJ2689" s="485"/>
    </row>
    <row r="2690" spans="2:36">
      <c r="B2690" s="136" t="s">
        <v>451</v>
      </c>
      <c r="C2690" s="132" t="s">
        <v>1378</v>
      </c>
      <c r="D2690" s="132" t="s">
        <v>282</v>
      </c>
      <c r="E2690" s="508">
        <v>8.6389999999999993</v>
      </c>
      <c r="F2690" s="508">
        <v>8.6240000000000006</v>
      </c>
      <c r="G2690" s="508">
        <v>8.6080000000000005</v>
      </c>
      <c r="H2690" s="508">
        <v>8.593</v>
      </c>
      <c r="I2690" s="508">
        <v>8.5790000000000006</v>
      </c>
      <c r="J2690" s="508">
        <v>8.5649999999999995</v>
      </c>
      <c r="K2690" s="508">
        <v>8.5519999999999996</v>
      </c>
      <c r="L2690" s="508">
        <v>8.5399999999999991</v>
      </c>
      <c r="M2690" s="508">
        <v>8.5269999999999992</v>
      </c>
      <c r="N2690" s="508">
        <v>8.5150000000000006</v>
      </c>
      <c r="O2690" s="508">
        <v>8.5030000000000001</v>
      </c>
      <c r="P2690" s="508">
        <v>8.4909999999999997</v>
      </c>
      <c r="Q2690" s="508">
        <v>8.4809999999999999</v>
      </c>
      <c r="R2690" s="508">
        <v>8.4700000000000006</v>
      </c>
      <c r="S2690" s="508">
        <v>8.4600000000000009</v>
      </c>
      <c r="T2690" s="508">
        <v>8.4499999999999993</v>
      </c>
      <c r="U2690" s="508">
        <v>8.44</v>
      </c>
      <c r="V2690" s="508">
        <v>8.4309999999999992</v>
      </c>
      <c r="W2690" s="508">
        <v>3.456</v>
      </c>
      <c r="X2690" s="508">
        <v>3.4470000000000001</v>
      </c>
      <c r="Y2690" s="508">
        <v>3.4380000000000002</v>
      </c>
      <c r="Z2690" s="508">
        <v>3.073</v>
      </c>
      <c r="AA2690" s="508">
        <v>0.82399999999999995</v>
      </c>
      <c r="AB2690" s="508">
        <v>0.71799999999999997</v>
      </c>
      <c r="AC2690" s="508">
        <v>0.71099999999999997</v>
      </c>
      <c r="AD2690" s="508">
        <v>0.51800000000000002</v>
      </c>
      <c r="AE2690" s="508">
        <v>0.51100000000000001</v>
      </c>
      <c r="AF2690" s="508">
        <v>0.48199999999999998</v>
      </c>
      <c r="AG2690" s="508">
        <v>0.47399999999999998</v>
      </c>
      <c r="AH2690" s="508">
        <v>0.46800000000000003</v>
      </c>
      <c r="AI2690" s="492">
        <v>0.46200000000000002</v>
      </c>
      <c r="AJ2690" s="485"/>
    </row>
    <row r="2691" spans="2:36">
      <c r="B2691" s="136" t="s">
        <v>452</v>
      </c>
      <c r="C2691" s="132" t="s">
        <v>1378</v>
      </c>
      <c r="D2691" s="132" t="s">
        <v>282</v>
      </c>
      <c r="E2691" s="508">
        <v>8.3149999999999995</v>
      </c>
      <c r="F2691" s="508">
        <v>8.3010000000000002</v>
      </c>
      <c r="G2691" s="508">
        <v>8.2870000000000008</v>
      </c>
      <c r="H2691" s="508">
        <v>8.2739999999999991</v>
      </c>
      <c r="I2691" s="508">
        <v>8.2609999999999992</v>
      </c>
      <c r="J2691" s="508">
        <v>8.2490000000000006</v>
      </c>
      <c r="K2691" s="508">
        <v>8.2370000000000001</v>
      </c>
      <c r="L2691" s="508">
        <v>8.2249999999999996</v>
      </c>
      <c r="M2691" s="508">
        <v>8.2140000000000004</v>
      </c>
      <c r="N2691" s="508">
        <v>8.2029999999999994</v>
      </c>
      <c r="O2691" s="508">
        <v>8.1920000000000002</v>
      </c>
      <c r="P2691" s="508">
        <v>8.1820000000000004</v>
      </c>
      <c r="Q2691" s="508">
        <v>8.1720000000000006</v>
      </c>
      <c r="R2691" s="508">
        <v>8.1620000000000008</v>
      </c>
      <c r="S2691" s="508">
        <v>8.1530000000000005</v>
      </c>
      <c r="T2691" s="508">
        <v>8.1440000000000001</v>
      </c>
      <c r="U2691" s="508">
        <v>8.1349999999999998</v>
      </c>
      <c r="V2691" s="508">
        <v>8.1270000000000007</v>
      </c>
      <c r="W2691" s="508">
        <v>3.3039999999999998</v>
      </c>
      <c r="X2691" s="508">
        <v>3.2959999999999998</v>
      </c>
      <c r="Y2691" s="508">
        <v>3.2879999999999998</v>
      </c>
      <c r="Z2691" s="508">
        <v>2.9369999999999998</v>
      </c>
      <c r="AA2691" s="508">
        <v>0.77800000000000002</v>
      </c>
      <c r="AB2691" s="508">
        <v>0.67700000000000005</v>
      </c>
      <c r="AC2691" s="508">
        <v>0.67</v>
      </c>
      <c r="AD2691" s="508">
        <v>0.48499999999999999</v>
      </c>
      <c r="AE2691" s="508">
        <v>0.47899999999999998</v>
      </c>
      <c r="AF2691" s="508">
        <v>0.45100000000000001</v>
      </c>
      <c r="AG2691" s="508">
        <v>0.44400000000000001</v>
      </c>
      <c r="AH2691" s="508">
        <v>0.439</v>
      </c>
      <c r="AI2691" s="492">
        <v>0.433</v>
      </c>
      <c r="AJ2691" s="485"/>
    </row>
    <row r="2692" spans="2:36">
      <c r="B2692" s="136" t="s">
        <v>453</v>
      </c>
      <c r="C2692" s="132" t="s">
        <v>1378</v>
      </c>
      <c r="D2692" s="132" t="s">
        <v>282</v>
      </c>
      <c r="E2692" s="508">
        <v>8.1110000000000007</v>
      </c>
      <c r="F2692" s="508">
        <v>8.0980000000000008</v>
      </c>
      <c r="G2692" s="508">
        <v>8.0850000000000009</v>
      </c>
      <c r="H2692" s="508">
        <v>8.0730000000000004</v>
      </c>
      <c r="I2692" s="508">
        <v>8.0609999999999999</v>
      </c>
      <c r="J2692" s="508">
        <v>8.0489999999999995</v>
      </c>
      <c r="K2692" s="508">
        <v>8.0380000000000003</v>
      </c>
      <c r="L2692" s="508">
        <v>8.0269999999999992</v>
      </c>
      <c r="M2692" s="508">
        <v>8.016</v>
      </c>
      <c r="N2692" s="508">
        <v>8.0060000000000002</v>
      </c>
      <c r="O2692" s="508">
        <v>7.9960000000000004</v>
      </c>
      <c r="P2692" s="508">
        <v>7.9870000000000001</v>
      </c>
      <c r="Q2692" s="508">
        <v>7.9779999999999998</v>
      </c>
      <c r="R2692" s="508">
        <v>7.9690000000000003</v>
      </c>
      <c r="S2692" s="508">
        <v>7.96</v>
      </c>
      <c r="T2692" s="508">
        <v>7.9509999999999996</v>
      </c>
      <c r="U2692" s="508">
        <v>7.9429999999999996</v>
      </c>
      <c r="V2692" s="508">
        <v>7.9349999999999996</v>
      </c>
      <c r="W2692" s="508">
        <v>3.1930000000000001</v>
      </c>
      <c r="X2692" s="508">
        <v>3.1859999999999999</v>
      </c>
      <c r="Y2692" s="508">
        <v>3.1779999999999999</v>
      </c>
      <c r="Z2692" s="508">
        <v>2.8380000000000001</v>
      </c>
      <c r="AA2692" s="508">
        <v>0.745</v>
      </c>
      <c r="AB2692" s="508">
        <v>0.64800000000000002</v>
      </c>
      <c r="AC2692" s="508">
        <v>0.64100000000000001</v>
      </c>
      <c r="AD2692" s="508">
        <v>0.46300000000000002</v>
      </c>
      <c r="AE2692" s="508">
        <v>0.45700000000000002</v>
      </c>
      <c r="AF2692" s="508">
        <v>0.43</v>
      </c>
      <c r="AG2692" s="508">
        <v>0.42399999999999999</v>
      </c>
      <c r="AH2692" s="508">
        <v>0.41799999999999998</v>
      </c>
      <c r="AI2692" s="492">
        <v>0.41299999999999998</v>
      </c>
      <c r="AJ2692" s="485"/>
    </row>
    <row r="2693" spans="2:36">
      <c r="B2693" s="136" t="s">
        <v>454</v>
      </c>
      <c r="C2693" s="132" t="s">
        <v>1378</v>
      </c>
      <c r="D2693" s="132" t="s">
        <v>282</v>
      </c>
      <c r="E2693" s="508">
        <v>8.1929999999999996</v>
      </c>
      <c r="F2693" s="508">
        <v>8.18</v>
      </c>
      <c r="G2693" s="508">
        <v>8.1660000000000004</v>
      </c>
      <c r="H2693" s="508">
        <v>8.1530000000000005</v>
      </c>
      <c r="I2693" s="508">
        <v>8.141</v>
      </c>
      <c r="J2693" s="508">
        <v>8.1289999999999996</v>
      </c>
      <c r="K2693" s="508">
        <v>8.1170000000000009</v>
      </c>
      <c r="L2693" s="508">
        <v>8.1059999999999999</v>
      </c>
      <c r="M2693" s="508">
        <v>8.0950000000000006</v>
      </c>
      <c r="N2693" s="508">
        <v>8.0850000000000009</v>
      </c>
      <c r="O2693" s="508">
        <v>8.0739999999999998</v>
      </c>
      <c r="P2693" s="508">
        <v>8.0640000000000001</v>
      </c>
      <c r="Q2693" s="508">
        <v>8.0549999999999997</v>
      </c>
      <c r="R2693" s="508">
        <v>8.0449999999999999</v>
      </c>
      <c r="S2693" s="508">
        <v>8.0370000000000008</v>
      </c>
      <c r="T2693" s="508">
        <v>8.0280000000000005</v>
      </c>
      <c r="U2693" s="508">
        <v>8.0190000000000001</v>
      </c>
      <c r="V2693" s="508">
        <v>8.0109999999999992</v>
      </c>
      <c r="W2693" s="508">
        <v>3.234</v>
      </c>
      <c r="X2693" s="508">
        <v>3.226</v>
      </c>
      <c r="Y2693" s="508">
        <v>3.2189999999999999</v>
      </c>
      <c r="Z2693" s="508">
        <v>2.875</v>
      </c>
      <c r="AA2693" s="508">
        <v>0.75900000000000001</v>
      </c>
      <c r="AB2693" s="508">
        <v>0.66</v>
      </c>
      <c r="AC2693" s="508">
        <v>0.65300000000000002</v>
      </c>
      <c r="AD2693" s="508">
        <v>0.47299999999999998</v>
      </c>
      <c r="AE2693" s="508">
        <v>0.46600000000000003</v>
      </c>
      <c r="AF2693" s="508">
        <v>0.439</v>
      </c>
      <c r="AG2693" s="508">
        <v>0.433</v>
      </c>
      <c r="AH2693" s="508">
        <v>0.42699999999999999</v>
      </c>
      <c r="AI2693" s="492">
        <v>0.42199999999999999</v>
      </c>
      <c r="AJ2693" s="485"/>
    </row>
    <row r="2694" spans="2:36">
      <c r="B2694" s="136" t="s">
        <v>455</v>
      </c>
      <c r="C2694" s="132" t="s">
        <v>1378</v>
      </c>
      <c r="D2694" s="132" t="s">
        <v>282</v>
      </c>
      <c r="E2694" s="508">
        <v>8.1539999999999999</v>
      </c>
      <c r="F2694" s="508">
        <v>8.1419999999999995</v>
      </c>
      <c r="G2694" s="508">
        <v>8.1289999999999996</v>
      </c>
      <c r="H2694" s="508">
        <v>8.1159999999999997</v>
      </c>
      <c r="I2694" s="508">
        <v>8.1050000000000004</v>
      </c>
      <c r="J2694" s="508">
        <v>8.093</v>
      </c>
      <c r="K2694" s="508">
        <v>8.0820000000000007</v>
      </c>
      <c r="L2694" s="508">
        <v>8.0719999999999992</v>
      </c>
      <c r="M2694" s="508">
        <v>8.0609999999999999</v>
      </c>
      <c r="N2694" s="508">
        <v>8.0510000000000002</v>
      </c>
      <c r="O2694" s="508">
        <v>8.0410000000000004</v>
      </c>
      <c r="P2694" s="508">
        <v>8.0310000000000006</v>
      </c>
      <c r="Q2694" s="508">
        <v>8.0220000000000002</v>
      </c>
      <c r="R2694" s="508">
        <v>8.0129999999999999</v>
      </c>
      <c r="S2694" s="508">
        <v>8.0050000000000008</v>
      </c>
      <c r="T2694" s="508">
        <v>7.9960000000000004</v>
      </c>
      <c r="U2694" s="508">
        <v>7.9880000000000004</v>
      </c>
      <c r="V2694" s="508">
        <v>7.9809999999999999</v>
      </c>
      <c r="W2694" s="508">
        <v>3.181</v>
      </c>
      <c r="X2694" s="508">
        <v>3.173</v>
      </c>
      <c r="Y2694" s="508">
        <v>3.1659999999999999</v>
      </c>
      <c r="Z2694" s="508">
        <v>2.8279999999999998</v>
      </c>
      <c r="AA2694" s="508">
        <v>0.74199999999999999</v>
      </c>
      <c r="AB2694" s="508">
        <v>0.64500000000000002</v>
      </c>
      <c r="AC2694" s="508">
        <v>0.63800000000000001</v>
      </c>
      <c r="AD2694" s="508">
        <v>0.46</v>
      </c>
      <c r="AE2694" s="508">
        <v>0.45400000000000001</v>
      </c>
      <c r="AF2694" s="508">
        <v>0.42799999999999999</v>
      </c>
      <c r="AG2694" s="508">
        <v>0.42199999999999999</v>
      </c>
      <c r="AH2694" s="508">
        <v>0.41599999999999998</v>
      </c>
      <c r="AI2694" s="492">
        <v>0.41099999999999998</v>
      </c>
      <c r="AJ2694" s="485"/>
    </row>
    <row r="2695" spans="2:36">
      <c r="B2695" s="136" t="s">
        <v>456</v>
      </c>
      <c r="C2695" s="132" t="s">
        <v>1378</v>
      </c>
      <c r="D2695" s="132" t="s">
        <v>282</v>
      </c>
      <c r="E2695" s="508">
        <v>8.2569999999999997</v>
      </c>
      <c r="F2695" s="508">
        <v>8.2430000000000003</v>
      </c>
      <c r="G2695" s="508">
        <v>8.23</v>
      </c>
      <c r="H2695" s="508">
        <v>8.2170000000000005</v>
      </c>
      <c r="I2695" s="508">
        <v>8.2040000000000006</v>
      </c>
      <c r="J2695" s="508">
        <v>8.1920000000000002</v>
      </c>
      <c r="K2695" s="508">
        <v>8.18</v>
      </c>
      <c r="L2695" s="508">
        <v>8.1690000000000005</v>
      </c>
      <c r="M2695" s="508">
        <v>8.1579999999999995</v>
      </c>
      <c r="N2695" s="508">
        <v>8.1470000000000002</v>
      </c>
      <c r="O2695" s="508">
        <v>8.1370000000000005</v>
      </c>
      <c r="P2695" s="508">
        <v>8.1259999999999994</v>
      </c>
      <c r="Q2695" s="508">
        <v>8.1170000000000009</v>
      </c>
      <c r="R2695" s="508">
        <v>8.1080000000000005</v>
      </c>
      <c r="S2695" s="508">
        <v>8.0990000000000002</v>
      </c>
      <c r="T2695" s="508">
        <v>8.09</v>
      </c>
      <c r="U2695" s="508">
        <v>8.0809999999999995</v>
      </c>
      <c r="V2695" s="508">
        <v>8.0730000000000004</v>
      </c>
      <c r="W2695" s="508">
        <v>3.26</v>
      </c>
      <c r="X2695" s="508">
        <v>3.2519999999999998</v>
      </c>
      <c r="Y2695" s="508">
        <v>3.2440000000000002</v>
      </c>
      <c r="Z2695" s="508">
        <v>2.8980000000000001</v>
      </c>
      <c r="AA2695" s="508">
        <v>0.76500000000000001</v>
      </c>
      <c r="AB2695" s="508">
        <v>0.66600000000000004</v>
      </c>
      <c r="AC2695" s="508">
        <v>0.65900000000000003</v>
      </c>
      <c r="AD2695" s="508">
        <v>0.47699999999999998</v>
      </c>
      <c r="AE2695" s="508">
        <v>0.47099999999999997</v>
      </c>
      <c r="AF2695" s="508">
        <v>0.443</v>
      </c>
      <c r="AG2695" s="508">
        <v>0.437</v>
      </c>
      <c r="AH2695" s="508">
        <v>0.43099999999999999</v>
      </c>
      <c r="AI2695" s="492">
        <v>0.42599999999999999</v>
      </c>
      <c r="AJ2695" s="485"/>
    </row>
    <row r="2696" spans="2:36">
      <c r="B2696" s="136" t="s">
        <v>457</v>
      </c>
      <c r="C2696" s="132" t="s">
        <v>1378</v>
      </c>
      <c r="D2696" s="132" t="s">
        <v>282</v>
      </c>
      <c r="E2696" s="508">
        <v>7.9980000000000002</v>
      </c>
      <c r="F2696" s="508">
        <v>7.9850000000000003</v>
      </c>
      <c r="G2696" s="508">
        <v>7.9729999999999999</v>
      </c>
      <c r="H2696" s="508">
        <v>7.9610000000000003</v>
      </c>
      <c r="I2696" s="508">
        <v>7.9489999999999998</v>
      </c>
      <c r="J2696" s="508">
        <v>7.9379999999999997</v>
      </c>
      <c r="K2696" s="508">
        <v>7.9269999999999996</v>
      </c>
      <c r="L2696" s="508">
        <v>7.9169999999999998</v>
      </c>
      <c r="M2696" s="508">
        <v>7.9059999999999997</v>
      </c>
      <c r="N2696" s="508">
        <v>7.8970000000000002</v>
      </c>
      <c r="O2696" s="508">
        <v>7.8869999999999996</v>
      </c>
      <c r="P2696" s="508">
        <v>7.8769999999999998</v>
      </c>
      <c r="Q2696" s="508">
        <v>7.8689999999999998</v>
      </c>
      <c r="R2696" s="508">
        <v>7.86</v>
      </c>
      <c r="S2696" s="508">
        <v>7.8520000000000003</v>
      </c>
      <c r="T2696" s="508">
        <v>7.8440000000000003</v>
      </c>
      <c r="U2696" s="508">
        <v>7.8360000000000003</v>
      </c>
      <c r="V2696" s="508">
        <v>7.8280000000000003</v>
      </c>
      <c r="W2696" s="508">
        <v>3.1389999999999998</v>
      </c>
      <c r="X2696" s="508">
        <v>3.1320000000000001</v>
      </c>
      <c r="Y2696" s="508">
        <v>3.125</v>
      </c>
      <c r="Z2696" s="508">
        <v>2.7909999999999999</v>
      </c>
      <c r="AA2696" s="508">
        <v>0.73</v>
      </c>
      <c r="AB2696" s="508">
        <v>0.63400000000000001</v>
      </c>
      <c r="AC2696" s="508">
        <v>0.628</v>
      </c>
      <c r="AD2696" s="508">
        <v>0.45200000000000001</v>
      </c>
      <c r="AE2696" s="508">
        <v>0.44600000000000001</v>
      </c>
      <c r="AF2696" s="508">
        <v>0.42</v>
      </c>
      <c r="AG2696" s="508">
        <v>0.41399999999999998</v>
      </c>
      <c r="AH2696" s="508">
        <v>0.40899999999999997</v>
      </c>
      <c r="AI2696" s="492">
        <v>0.40400000000000003</v>
      </c>
      <c r="AJ2696" s="485"/>
    </row>
    <row r="2697" spans="2:36">
      <c r="B2697" s="136" t="s">
        <v>458</v>
      </c>
      <c r="C2697" s="132" t="s">
        <v>1378</v>
      </c>
      <c r="D2697" s="132" t="s">
        <v>282</v>
      </c>
      <c r="E2697" s="508">
        <v>8.4019999999999992</v>
      </c>
      <c r="F2697" s="508">
        <v>8.3889999999999993</v>
      </c>
      <c r="G2697" s="508">
        <v>8.3740000000000006</v>
      </c>
      <c r="H2697" s="508">
        <v>8.36</v>
      </c>
      <c r="I2697" s="508">
        <v>8.3480000000000008</v>
      </c>
      <c r="J2697" s="508">
        <v>8.3339999999999996</v>
      </c>
      <c r="K2697" s="508">
        <v>8.3219999999999992</v>
      </c>
      <c r="L2697" s="508">
        <v>8.3109999999999999</v>
      </c>
      <c r="M2697" s="508">
        <v>8.2989999999999995</v>
      </c>
      <c r="N2697" s="508">
        <v>8.2880000000000003</v>
      </c>
      <c r="O2697" s="508">
        <v>8.2759999999999998</v>
      </c>
      <c r="P2697" s="508">
        <v>8.266</v>
      </c>
      <c r="Q2697" s="508">
        <v>8.2560000000000002</v>
      </c>
      <c r="R2697" s="508">
        <v>8.2460000000000004</v>
      </c>
      <c r="S2697" s="508">
        <v>8.2370000000000001</v>
      </c>
      <c r="T2697" s="508">
        <v>8.2270000000000003</v>
      </c>
      <c r="U2697" s="508">
        <v>8.218</v>
      </c>
      <c r="V2697" s="508">
        <v>8.2100000000000009</v>
      </c>
      <c r="W2697" s="508">
        <v>3.3140000000000001</v>
      </c>
      <c r="X2697" s="508">
        <v>3.306</v>
      </c>
      <c r="Y2697" s="508">
        <v>3.298</v>
      </c>
      <c r="Z2697" s="508">
        <v>2.9470000000000001</v>
      </c>
      <c r="AA2697" s="508">
        <v>0.78400000000000003</v>
      </c>
      <c r="AB2697" s="508">
        <v>0.68300000000000005</v>
      </c>
      <c r="AC2697" s="508">
        <v>0.67600000000000005</v>
      </c>
      <c r="AD2697" s="508">
        <v>0.49099999999999999</v>
      </c>
      <c r="AE2697" s="508">
        <v>0.48399999999999999</v>
      </c>
      <c r="AF2697" s="508">
        <v>0.45600000000000002</v>
      </c>
      <c r="AG2697" s="508">
        <v>0.44900000000000001</v>
      </c>
      <c r="AH2697" s="508">
        <v>0.443</v>
      </c>
      <c r="AI2697" s="492">
        <v>0.438</v>
      </c>
      <c r="AJ2697" s="485"/>
    </row>
    <row r="2698" spans="2:36">
      <c r="B2698" s="136" t="s">
        <v>459</v>
      </c>
      <c r="C2698" s="132" t="s">
        <v>1378</v>
      </c>
      <c r="D2698" s="132" t="s">
        <v>282</v>
      </c>
      <c r="E2698" s="508">
        <v>8.3989999999999991</v>
      </c>
      <c r="F2698" s="508">
        <v>8.3849999999999998</v>
      </c>
      <c r="G2698" s="508">
        <v>8.3699999999999992</v>
      </c>
      <c r="H2698" s="508">
        <v>8.3569999999999993</v>
      </c>
      <c r="I2698" s="508">
        <v>8.3439999999999994</v>
      </c>
      <c r="J2698" s="508">
        <v>8.3309999999999995</v>
      </c>
      <c r="K2698" s="508">
        <v>8.3179999999999996</v>
      </c>
      <c r="L2698" s="508">
        <v>8.3070000000000004</v>
      </c>
      <c r="M2698" s="508">
        <v>8.2949999999999999</v>
      </c>
      <c r="N2698" s="508">
        <v>8.2840000000000007</v>
      </c>
      <c r="O2698" s="508">
        <v>8.2729999999999997</v>
      </c>
      <c r="P2698" s="508">
        <v>8.2620000000000005</v>
      </c>
      <c r="Q2698" s="508">
        <v>8.2520000000000007</v>
      </c>
      <c r="R2698" s="508">
        <v>8.2430000000000003</v>
      </c>
      <c r="S2698" s="508">
        <v>8.2330000000000005</v>
      </c>
      <c r="T2698" s="508">
        <v>8.2240000000000002</v>
      </c>
      <c r="U2698" s="508">
        <v>8.2149999999999999</v>
      </c>
      <c r="V2698" s="508">
        <v>8.2059999999999995</v>
      </c>
      <c r="W2698" s="508">
        <v>3.3119999999999998</v>
      </c>
      <c r="X2698" s="508">
        <v>3.3039999999999998</v>
      </c>
      <c r="Y2698" s="508">
        <v>3.2959999999999998</v>
      </c>
      <c r="Z2698" s="508">
        <v>2.944</v>
      </c>
      <c r="AA2698" s="508">
        <v>0.78300000000000003</v>
      </c>
      <c r="AB2698" s="508">
        <v>0.68200000000000005</v>
      </c>
      <c r="AC2698" s="508">
        <v>0.67500000000000004</v>
      </c>
      <c r="AD2698" s="508">
        <v>0.49</v>
      </c>
      <c r="AE2698" s="508">
        <v>0.48299999999999998</v>
      </c>
      <c r="AF2698" s="508">
        <v>0.45600000000000002</v>
      </c>
      <c r="AG2698" s="508">
        <v>0.44900000000000001</v>
      </c>
      <c r="AH2698" s="508">
        <v>0.443</v>
      </c>
      <c r="AI2698" s="492">
        <v>0.437</v>
      </c>
      <c r="AJ2698" s="485"/>
    </row>
    <row r="2699" spans="2:36">
      <c r="B2699" s="136" t="s">
        <v>460</v>
      </c>
      <c r="C2699" s="132" t="s">
        <v>1378</v>
      </c>
      <c r="D2699" s="132" t="s">
        <v>282</v>
      </c>
      <c r="E2699" s="508">
        <v>8.3339999999999996</v>
      </c>
      <c r="F2699" s="508">
        <v>8.32</v>
      </c>
      <c r="G2699" s="508">
        <v>8.3059999999999992</v>
      </c>
      <c r="H2699" s="508">
        <v>8.2929999999999993</v>
      </c>
      <c r="I2699" s="508">
        <v>8.2810000000000006</v>
      </c>
      <c r="J2699" s="508">
        <v>8.2680000000000007</v>
      </c>
      <c r="K2699" s="508">
        <v>8.2560000000000002</v>
      </c>
      <c r="L2699" s="508">
        <v>8.2449999999999992</v>
      </c>
      <c r="M2699" s="508">
        <v>8.2330000000000005</v>
      </c>
      <c r="N2699" s="508">
        <v>8.2219999999999995</v>
      </c>
      <c r="O2699" s="508">
        <v>8.2110000000000003</v>
      </c>
      <c r="P2699" s="508">
        <v>8.2010000000000005</v>
      </c>
      <c r="Q2699" s="508">
        <v>8.1910000000000007</v>
      </c>
      <c r="R2699" s="508">
        <v>8.1820000000000004</v>
      </c>
      <c r="S2699" s="508">
        <v>8.173</v>
      </c>
      <c r="T2699" s="508">
        <v>8.1630000000000003</v>
      </c>
      <c r="U2699" s="508">
        <v>8.1549999999999994</v>
      </c>
      <c r="V2699" s="508">
        <v>8.1460000000000008</v>
      </c>
      <c r="W2699" s="508">
        <v>3.2930000000000001</v>
      </c>
      <c r="X2699" s="508">
        <v>3.2850000000000001</v>
      </c>
      <c r="Y2699" s="508">
        <v>3.2770000000000001</v>
      </c>
      <c r="Z2699" s="508">
        <v>2.927</v>
      </c>
      <c r="AA2699" s="508">
        <v>0.77500000000000002</v>
      </c>
      <c r="AB2699" s="508">
        <v>0.67500000000000004</v>
      </c>
      <c r="AC2699" s="508">
        <v>0.66800000000000004</v>
      </c>
      <c r="AD2699" s="508">
        <v>0.48399999999999999</v>
      </c>
      <c r="AE2699" s="508">
        <v>0.47699999999999998</v>
      </c>
      <c r="AF2699" s="508">
        <v>0.45</v>
      </c>
      <c r="AG2699" s="508">
        <v>0.443</v>
      </c>
      <c r="AH2699" s="508">
        <v>0.437</v>
      </c>
      <c r="AI2699" s="492">
        <v>0.432</v>
      </c>
      <c r="AJ2699" s="485"/>
    </row>
    <row r="2700" spans="2:36">
      <c r="B2700" s="136" t="s">
        <v>461</v>
      </c>
      <c r="C2700" s="132" t="s">
        <v>1378</v>
      </c>
      <c r="D2700" s="132" t="s">
        <v>282</v>
      </c>
      <c r="E2700" s="508">
        <v>8.2309999999999999</v>
      </c>
      <c r="F2700" s="508">
        <v>8.2170000000000005</v>
      </c>
      <c r="G2700" s="508">
        <v>8.2029999999999994</v>
      </c>
      <c r="H2700" s="508">
        <v>8.19</v>
      </c>
      <c r="I2700" s="508">
        <v>8.1780000000000008</v>
      </c>
      <c r="J2700" s="508">
        <v>8.1649999999999991</v>
      </c>
      <c r="K2700" s="508">
        <v>8.1530000000000005</v>
      </c>
      <c r="L2700" s="508">
        <v>8.1419999999999995</v>
      </c>
      <c r="M2700" s="508">
        <v>8.1310000000000002</v>
      </c>
      <c r="N2700" s="508">
        <v>8.1199999999999992</v>
      </c>
      <c r="O2700" s="508">
        <v>8.109</v>
      </c>
      <c r="P2700" s="508">
        <v>8.0990000000000002</v>
      </c>
      <c r="Q2700" s="508">
        <v>8.09</v>
      </c>
      <c r="R2700" s="508">
        <v>8.08</v>
      </c>
      <c r="S2700" s="508">
        <v>8.0709999999999997</v>
      </c>
      <c r="T2700" s="508">
        <v>8.0619999999999994</v>
      </c>
      <c r="U2700" s="508">
        <v>8.0530000000000008</v>
      </c>
      <c r="V2700" s="508">
        <v>8.0449999999999999</v>
      </c>
      <c r="W2700" s="508">
        <v>3.2629999999999999</v>
      </c>
      <c r="X2700" s="508">
        <v>3.2549999999999999</v>
      </c>
      <c r="Y2700" s="508">
        <v>3.2480000000000002</v>
      </c>
      <c r="Z2700" s="508">
        <v>2.9009999999999998</v>
      </c>
      <c r="AA2700" s="508">
        <v>0.76800000000000002</v>
      </c>
      <c r="AB2700" s="508">
        <v>0.66800000000000004</v>
      </c>
      <c r="AC2700" s="508">
        <v>0.66200000000000003</v>
      </c>
      <c r="AD2700" s="508">
        <v>0.47899999999999998</v>
      </c>
      <c r="AE2700" s="508">
        <v>0.47299999999999998</v>
      </c>
      <c r="AF2700" s="508">
        <v>0.44600000000000001</v>
      </c>
      <c r="AG2700" s="508">
        <v>0.439</v>
      </c>
      <c r="AH2700" s="508">
        <v>0.433</v>
      </c>
      <c r="AI2700" s="492">
        <v>0.42699999999999999</v>
      </c>
      <c r="AJ2700" s="485"/>
    </row>
    <row r="2701" spans="2:36">
      <c r="B2701" s="136" t="s">
        <v>462</v>
      </c>
      <c r="C2701" s="132" t="s">
        <v>1378</v>
      </c>
      <c r="D2701" s="132" t="s">
        <v>282</v>
      </c>
      <c r="E2701" s="508">
        <v>8.1</v>
      </c>
      <c r="F2701" s="508">
        <v>8.0869999999999997</v>
      </c>
      <c r="G2701" s="508">
        <v>8.0730000000000004</v>
      </c>
      <c r="H2701" s="508">
        <v>8.0609999999999999</v>
      </c>
      <c r="I2701" s="508">
        <v>8.0489999999999995</v>
      </c>
      <c r="J2701" s="508">
        <v>8.0370000000000008</v>
      </c>
      <c r="K2701" s="508">
        <v>8.0250000000000004</v>
      </c>
      <c r="L2701" s="508">
        <v>8.0139999999999993</v>
      </c>
      <c r="M2701" s="508">
        <v>8.0030000000000001</v>
      </c>
      <c r="N2701" s="508">
        <v>7.9930000000000003</v>
      </c>
      <c r="O2701" s="508">
        <v>7.9829999999999997</v>
      </c>
      <c r="P2701" s="508">
        <v>7.9729999999999999</v>
      </c>
      <c r="Q2701" s="508">
        <v>7.9640000000000004</v>
      </c>
      <c r="R2701" s="508">
        <v>7.9539999999999997</v>
      </c>
      <c r="S2701" s="508">
        <v>7.9459999999999997</v>
      </c>
      <c r="T2701" s="508">
        <v>7.9370000000000003</v>
      </c>
      <c r="U2701" s="508">
        <v>7.9290000000000003</v>
      </c>
      <c r="V2701" s="508">
        <v>7.9210000000000003</v>
      </c>
      <c r="W2701" s="508">
        <v>3.2160000000000002</v>
      </c>
      <c r="X2701" s="508">
        <v>3.2080000000000002</v>
      </c>
      <c r="Y2701" s="508">
        <v>3.2010000000000001</v>
      </c>
      <c r="Z2701" s="508">
        <v>2.859</v>
      </c>
      <c r="AA2701" s="508">
        <v>0.753</v>
      </c>
      <c r="AB2701" s="508">
        <v>0.65500000000000003</v>
      </c>
      <c r="AC2701" s="508">
        <v>0.64800000000000002</v>
      </c>
      <c r="AD2701" s="508">
        <v>0.46899999999999997</v>
      </c>
      <c r="AE2701" s="508">
        <v>0.46200000000000002</v>
      </c>
      <c r="AF2701" s="508">
        <v>0.436</v>
      </c>
      <c r="AG2701" s="508">
        <v>0.42899999999999999</v>
      </c>
      <c r="AH2701" s="508">
        <v>0.42399999999999999</v>
      </c>
      <c r="AI2701" s="492">
        <v>0.41799999999999998</v>
      </c>
      <c r="AJ2701" s="485"/>
    </row>
    <row r="2702" spans="2:36">
      <c r="B2702" s="136" t="s">
        <v>463</v>
      </c>
      <c r="C2702" s="132" t="s">
        <v>1378</v>
      </c>
      <c r="D2702" s="132" t="s">
        <v>282</v>
      </c>
      <c r="E2702" s="508">
        <v>8.1809999999999992</v>
      </c>
      <c r="F2702" s="508">
        <v>8.1679999999999993</v>
      </c>
      <c r="G2702" s="508">
        <v>8.1549999999999994</v>
      </c>
      <c r="H2702" s="508">
        <v>8.1419999999999995</v>
      </c>
      <c r="I2702" s="508">
        <v>8.1310000000000002</v>
      </c>
      <c r="J2702" s="508">
        <v>8.1180000000000003</v>
      </c>
      <c r="K2702" s="508">
        <v>8.1069999999999993</v>
      </c>
      <c r="L2702" s="508">
        <v>8.0960000000000001</v>
      </c>
      <c r="M2702" s="508">
        <v>8.0850000000000009</v>
      </c>
      <c r="N2702" s="508">
        <v>8.0749999999999993</v>
      </c>
      <c r="O2702" s="508">
        <v>8.0640000000000001</v>
      </c>
      <c r="P2702" s="508">
        <v>8.0549999999999997</v>
      </c>
      <c r="Q2702" s="508">
        <v>8.0449999999999999</v>
      </c>
      <c r="R2702" s="508">
        <v>8.0359999999999996</v>
      </c>
      <c r="S2702" s="508">
        <v>8.0269999999999992</v>
      </c>
      <c r="T2702" s="508">
        <v>8.0190000000000001</v>
      </c>
      <c r="U2702" s="508">
        <v>8.0109999999999992</v>
      </c>
      <c r="V2702" s="508">
        <v>8.0020000000000007</v>
      </c>
      <c r="W2702" s="508">
        <v>3.1989999999999998</v>
      </c>
      <c r="X2702" s="508">
        <v>3.1909999999999998</v>
      </c>
      <c r="Y2702" s="508">
        <v>3.1840000000000002</v>
      </c>
      <c r="Z2702" s="508">
        <v>2.8439999999999999</v>
      </c>
      <c r="AA2702" s="508">
        <v>0.75</v>
      </c>
      <c r="AB2702" s="508">
        <v>0.65200000000000002</v>
      </c>
      <c r="AC2702" s="508">
        <v>0.64600000000000002</v>
      </c>
      <c r="AD2702" s="508">
        <v>0.46700000000000003</v>
      </c>
      <c r="AE2702" s="508">
        <v>0.46100000000000002</v>
      </c>
      <c r="AF2702" s="508">
        <v>0.434</v>
      </c>
      <c r="AG2702" s="508">
        <v>0.42699999999999999</v>
      </c>
      <c r="AH2702" s="508">
        <v>0.42199999999999999</v>
      </c>
      <c r="AI2702" s="492">
        <v>0.41599999999999998</v>
      </c>
      <c r="AJ2702" s="485"/>
    </row>
    <row r="2703" spans="2:36">
      <c r="B2703" s="136" t="s">
        <v>464</v>
      </c>
      <c r="C2703" s="132" t="s">
        <v>1378</v>
      </c>
      <c r="D2703" s="132" t="s">
        <v>282</v>
      </c>
      <c r="E2703" s="508">
        <v>8.01</v>
      </c>
      <c r="F2703" s="508">
        <v>7.9980000000000002</v>
      </c>
      <c r="G2703" s="508">
        <v>7.9859999999999998</v>
      </c>
      <c r="H2703" s="508">
        <v>7.9740000000000002</v>
      </c>
      <c r="I2703" s="508">
        <v>7.9630000000000001</v>
      </c>
      <c r="J2703" s="508">
        <v>7.9509999999999996</v>
      </c>
      <c r="K2703" s="508">
        <v>7.9409999999999998</v>
      </c>
      <c r="L2703" s="508">
        <v>7.931</v>
      </c>
      <c r="M2703" s="508">
        <v>7.92</v>
      </c>
      <c r="N2703" s="508">
        <v>7.9109999999999996</v>
      </c>
      <c r="O2703" s="508">
        <v>7.9009999999999998</v>
      </c>
      <c r="P2703" s="508">
        <v>7.8920000000000003</v>
      </c>
      <c r="Q2703" s="508">
        <v>7.883</v>
      </c>
      <c r="R2703" s="508">
        <v>7.875</v>
      </c>
      <c r="S2703" s="508">
        <v>7.8659999999999997</v>
      </c>
      <c r="T2703" s="508">
        <v>7.8579999999999997</v>
      </c>
      <c r="U2703" s="508">
        <v>7.851</v>
      </c>
      <c r="V2703" s="508">
        <v>7.843</v>
      </c>
      <c r="W2703" s="508">
        <v>3.1309999999999998</v>
      </c>
      <c r="X2703" s="508">
        <v>3.1240000000000001</v>
      </c>
      <c r="Y2703" s="508">
        <v>3.117</v>
      </c>
      <c r="Z2703" s="508">
        <v>2.7829999999999999</v>
      </c>
      <c r="AA2703" s="508">
        <v>0.72699999999999998</v>
      </c>
      <c r="AB2703" s="508">
        <v>0.63100000000000001</v>
      </c>
      <c r="AC2703" s="508">
        <v>0.625</v>
      </c>
      <c r="AD2703" s="508">
        <v>0.45</v>
      </c>
      <c r="AE2703" s="508">
        <v>0.44400000000000001</v>
      </c>
      <c r="AF2703" s="508">
        <v>0.41799999999999998</v>
      </c>
      <c r="AG2703" s="508">
        <v>0.41199999999999998</v>
      </c>
      <c r="AH2703" s="508">
        <v>0.40699999999999997</v>
      </c>
      <c r="AI2703" s="492">
        <v>0.40200000000000002</v>
      </c>
      <c r="AJ2703" s="485"/>
    </row>
    <row r="2704" spans="2:36">
      <c r="B2704" s="136" t="s">
        <v>465</v>
      </c>
      <c r="C2704" s="132" t="s">
        <v>1378</v>
      </c>
      <c r="D2704" s="132" t="s">
        <v>282</v>
      </c>
      <c r="E2704" s="508">
        <v>8.1449999999999996</v>
      </c>
      <c r="F2704" s="508">
        <v>8.1329999999999991</v>
      </c>
      <c r="G2704" s="508">
        <v>8.1199999999999992</v>
      </c>
      <c r="H2704" s="508">
        <v>8.1069999999999993</v>
      </c>
      <c r="I2704" s="508">
        <v>8.0960000000000001</v>
      </c>
      <c r="J2704" s="508">
        <v>8.0839999999999996</v>
      </c>
      <c r="K2704" s="508">
        <v>8.0730000000000004</v>
      </c>
      <c r="L2704" s="508">
        <v>8.0630000000000006</v>
      </c>
      <c r="M2704" s="508">
        <v>8.0519999999999996</v>
      </c>
      <c r="N2704" s="508">
        <v>8.0419999999999998</v>
      </c>
      <c r="O2704" s="508">
        <v>8.032</v>
      </c>
      <c r="P2704" s="508">
        <v>8.0220000000000002</v>
      </c>
      <c r="Q2704" s="508">
        <v>8.0129999999999999</v>
      </c>
      <c r="R2704" s="508">
        <v>8.0039999999999996</v>
      </c>
      <c r="S2704" s="508">
        <v>7.9960000000000004</v>
      </c>
      <c r="T2704" s="508">
        <v>7.9880000000000004</v>
      </c>
      <c r="U2704" s="508">
        <v>7.98</v>
      </c>
      <c r="V2704" s="508">
        <v>7.9720000000000004</v>
      </c>
      <c r="W2704" s="508">
        <v>3.181</v>
      </c>
      <c r="X2704" s="508">
        <v>3.1739999999999999</v>
      </c>
      <c r="Y2704" s="508">
        <v>3.1669999999999998</v>
      </c>
      <c r="Z2704" s="508">
        <v>2.8279999999999998</v>
      </c>
      <c r="AA2704" s="508">
        <v>0.74199999999999999</v>
      </c>
      <c r="AB2704" s="508">
        <v>0.64500000000000002</v>
      </c>
      <c r="AC2704" s="508">
        <v>0.63800000000000001</v>
      </c>
      <c r="AD2704" s="508">
        <v>0.46</v>
      </c>
      <c r="AE2704" s="508">
        <v>0.45400000000000001</v>
      </c>
      <c r="AF2704" s="508">
        <v>0.42799999999999999</v>
      </c>
      <c r="AG2704" s="508">
        <v>0.42099999999999999</v>
      </c>
      <c r="AH2704" s="508">
        <v>0.41599999999999998</v>
      </c>
      <c r="AI2704" s="492">
        <v>0.41099999999999998</v>
      </c>
      <c r="AJ2704" s="485"/>
    </row>
    <row r="2705" spans="2:36">
      <c r="B2705" s="136" t="s">
        <v>466</v>
      </c>
      <c r="C2705" s="132" t="s">
        <v>1378</v>
      </c>
      <c r="D2705" s="132" t="s">
        <v>282</v>
      </c>
      <c r="E2705" s="508">
        <v>8.4659999999999993</v>
      </c>
      <c r="F2705" s="508">
        <v>8.452</v>
      </c>
      <c r="G2705" s="508">
        <v>8.4369999999999994</v>
      </c>
      <c r="H2705" s="508">
        <v>8.4239999999999995</v>
      </c>
      <c r="I2705" s="508">
        <v>8.4109999999999996</v>
      </c>
      <c r="J2705" s="508">
        <v>8.3970000000000002</v>
      </c>
      <c r="K2705" s="508">
        <v>8.3849999999999998</v>
      </c>
      <c r="L2705" s="508">
        <v>8.3729999999999993</v>
      </c>
      <c r="M2705" s="508">
        <v>8.3610000000000007</v>
      </c>
      <c r="N2705" s="508">
        <v>8.35</v>
      </c>
      <c r="O2705" s="508">
        <v>8.3390000000000004</v>
      </c>
      <c r="P2705" s="508">
        <v>8.3279999999999994</v>
      </c>
      <c r="Q2705" s="508">
        <v>8.3179999999999996</v>
      </c>
      <c r="R2705" s="508">
        <v>8.3079999999999998</v>
      </c>
      <c r="S2705" s="508">
        <v>8.2989999999999995</v>
      </c>
      <c r="T2705" s="508">
        <v>8.2889999999999997</v>
      </c>
      <c r="U2705" s="508">
        <v>8.2799999999999994</v>
      </c>
      <c r="V2705" s="508">
        <v>8.2710000000000008</v>
      </c>
      <c r="W2705" s="508">
        <v>3.3610000000000002</v>
      </c>
      <c r="X2705" s="508">
        <v>3.3519999999999999</v>
      </c>
      <c r="Y2705" s="508">
        <v>3.3439999999999999</v>
      </c>
      <c r="Z2705" s="508">
        <v>2.988</v>
      </c>
      <c r="AA2705" s="508">
        <v>0.79400000000000004</v>
      </c>
      <c r="AB2705" s="508">
        <v>0.69199999999999995</v>
      </c>
      <c r="AC2705" s="508">
        <v>0.68400000000000005</v>
      </c>
      <c r="AD2705" s="508">
        <v>0.497</v>
      </c>
      <c r="AE2705" s="508">
        <v>0.49</v>
      </c>
      <c r="AF2705" s="508">
        <v>0.46200000000000002</v>
      </c>
      <c r="AG2705" s="508">
        <v>0.45500000000000002</v>
      </c>
      <c r="AH2705" s="508">
        <v>0.44900000000000001</v>
      </c>
      <c r="AI2705" s="492">
        <v>0.443</v>
      </c>
      <c r="AJ2705" s="485"/>
    </row>
    <row r="2706" spans="2:36">
      <c r="B2706" s="136" t="s">
        <v>467</v>
      </c>
      <c r="C2706" s="132" t="s">
        <v>1378</v>
      </c>
      <c r="D2706" s="132" t="s">
        <v>282</v>
      </c>
      <c r="E2706" s="508">
        <v>8.1929999999999996</v>
      </c>
      <c r="F2706" s="508">
        <v>8.18</v>
      </c>
      <c r="G2706" s="508">
        <v>8.1660000000000004</v>
      </c>
      <c r="H2706" s="508">
        <v>8.1530000000000005</v>
      </c>
      <c r="I2706" s="508">
        <v>8.141</v>
      </c>
      <c r="J2706" s="508">
        <v>8.1289999999999996</v>
      </c>
      <c r="K2706" s="508">
        <v>8.1170000000000009</v>
      </c>
      <c r="L2706" s="508">
        <v>8.1059999999999999</v>
      </c>
      <c r="M2706" s="508">
        <v>8.0950000000000006</v>
      </c>
      <c r="N2706" s="508">
        <v>8.0839999999999996</v>
      </c>
      <c r="O2706" s="508">
        <v>8.0739999999999998</v>
      </c>
      <c r="P2706" s="508">
        <v>8.0630000000000006</v>
      </c>
      <c r="Q2706" s="508">
        <v>8.0540000000000003</v>
      </c>
      <c r="R2706" s="508">
        <v>8.0449999999999999</v>
      </c>
      <c r="S2706" s="508">
        <v>8.0359999999999996</v>
      </c>
      <c r="T2706" s="508">
        <v>8.0269999999999992</v>
      </c>
      <c r="U2706" s="508">
        <v>8.0180000000000007</v>
      </c>
      <c r="V2706" s="508">
        <v>8.01</v>
      </c>
      <c r="W2706" s="508">
        <v>3.246</v>
      </c>
      <c r="X2706" s="508">
        <v>3.238</v>
      </c>
      <c r="Y2706" s="508">
        <v>3.23</v>
      </c>
      <c r="Z2706" s="508">
        <v>2.8860000000000001</v>
      </c>
      <c r="AA2706" s="508">
        <v>0.76300000000000001</v>
      </c>
      <c r="AB2706" s="508">
        <v>0.66400000000000003</v>
      </c>
      <c r="AC2706" s="508">
        <v>0.65700000000000003</v>
      </c>
      <c r="AD2706" s="508">
        <v>0.47499999999999998</v>
      </c>
      <c r="AE2706" s="508">
        <v>0.46899999999999997</v>
      </c>
      <c r="AF2706" s="508">
        <v>0.442</v>
      </c>
      <c r="AG2706" s="508">
        <v>0.435</v>
      </c>
      <c r="AH2706" s="508">
        <v>0.43</v>
      </c>
      <c r="AI2706" s="492">
        <v>0.42399999999999999</v>
      </c>
      <c r="AJ2706" s="485"/>
    </row>
    <row r="2707" spans="2:36">
      <c r="B2707" s="136" t="s">
        <v>468</v>
      </c>
      <c r="C2707" s="132" t="s">
        <v>1378</v>
      </c>
      <c r="D2707" s="132" t="s">
        <v>282</v>
      </c>
      <c r="E2707" s="508">
        <v>8.1120000000000001</v>
      </c>
      <c r="F2707" s="508">
        <v>8.1</v>
      </c>
      <c r="G2707" s="508">
        <v>8.0869999999999997</v>
      </c>
      <c r="H2707" s="508">
        <v>8.0760000000000005</v>
      </c>
      <c r="I2707" s="508">
        <v>8.0649999999999995</v>
      </c>
      <c r="J2707" s="508">
        <v>8.0540000000000003</v>
      </c>
      <c r="K2707" s="508">
        <v>8.0429999999999993</v>
      </c>
      <c r="L2707" s="508">
        <v>8.0329999999999995</v>
      </c>
      <c r="M2707" s="508">
        <v>8.0229999999999997</v>
      </c>
      <c r="N2707" s="508">
        <v>8.0139999999999993</v>
      </c>
      <c r="O2707" s="508">
        <v>8.0039999999999996</v>
      </c>
      <c r="P2707" s="508">
        <v>7.9950000000000001</v>
      </c>
      <c r="Q2707" s="508">
        <v>7.9870000000000001</v>
      </c>
      <c r="R2707" s="508">
        <v>7.9779999999999998</v>
      </c>
      <c r="S2707" s="508">
        <v>7.97</v>
      </c>
      <c r="T2707" s="508">
        <v>7.9619999999999997</v>
      </c>
      <c r="U2707" s="508">
        <v>7.9550000000000001</v>
      </c>
      <c r="V2707" s="508">
        <v>7.9470000000000001</v>
      </c>
      <c r="W2707" s="508">
        <v>3.1320000000000001</v>
      </c>
      <c r="X2707" s="508">
        <v>3.125</v>
      </c>
      <c r="Y2707" s="508">
        <v>3.1179999999999999</v>
      </c>
      <c r="Z2707" s="508">
        <v>2.7839999999999998</v>
      </c>
      <c r="AA2707" s="508">
        <v>0.72399999999999998</v>
      </c>
      <c r="AB2707" s="508">
        <v>0.629</v>
      </c>
      <c r="AC2707" s="508">
        <v>0.622</v>
      </c>
      <c r="AD2707" s="508">
        <v>0.44700000000000001</v>
      </c>
      <c r="AE2707" s="508">
        <v>0.441</v>
      </c>
      <c r="AF2707" s="508">
        <v>0.41499999999999998</v>
      </c>
      <c r="AG2707" s="508">
        <v>0.40899999999999997</v>
      </c>
      <c r="AH2707" s="508">
        <v>0.40400000000000003</v>
      </c>
      <c r="AI2707" s="492">
        <v>0.39900000000000002</v>
      </c>
      <c r="AJ2707" s="485"/>
    </row>
    <row r="2708" spans="2:36">
      <c r="B2708" s="136" t="s">
        <v>469</v>
      </c>
      <c r="C2708" s="132" t="s">
        <v>1378</v>
      </c>
      <c r="D2708" s="132" t="s">
        <v>282</v>
      </c>
      <c r="E2708" s="508">
        <v>8.1489999999999991</v>
      </c>
      <c r="F2708" s="508">
        <v>8.1359999999999992</v>
      </c>
      <c r="G2708" s="508">
        <v>8.1229999999999993</v>
      </c>
      <c r="H2708" s="508">
        <v>8.1110000000000007</v>
      </c>
      <c r="I2708" s="508">
        <v>8.0990000000000002</v>
      </c>
      <c r="J2708" s="508">
        <v>8.0869999999999997</v>
      </c>
      <c r="K2708" s="508">
        <v>8.0760000000000005</v>
      </c>
      <c r="L2708" s="508">
        <v>8.0660000000000007</v>
      </c>
      <c r="M2708" s="508">
        <v>8.0549999999999997</v>
      </c>
      <c r="N2708" s="508">
        <v>8.0449999999999999</v>
      </c>
      <c r="O2708" s="508">
        <v>8.0340000000000007</v>
      </c>
      <c r="P2708" s="508">
        <v>8.0250000000000004</v>
      </c>
      <c r="Q2708" s="508">
        <v>8.016</v>
      </c>
      <c r="R2708" s="508">
        <v>8.0069999999999997</v>
      </c>
      <c r="S2708" s="508">
        <v>7.9980000000000002</v>
      </c>
      <c r="T2708" s="508">
        <v>7.99</v>
      </c>
      <c r="U2708" s="508">
        <v>7.9820000000000002</v>
      </c>
      <c r="V2708" s="508">
        <v>7.9740000000000002</v>
      </c>
      <c r="W2708" s="508">
        <v>3.1970000000000001</v>
      </c>
      <c r="X2708" s="508">
        <v>3.19</v>
      </c>
      <c r="Y2708" s="508">
        <v>3.1819999999999999</v>
      </c>
      <c r="Z2708" s="508">
        <v>2.8420000000000001</v>
      </c>
      <c r="AA2708" s="508">
        <v>0.746</v>
      </c>
      <c r="AB2708" s="508">
        <v>0.64900000000000002</v>
      </c>
      <c r="AC2708" s="508">
        <v>0.64200000000000002</v>
      </c>
      <c r="AD2708" s="508">
        <v>0.46300000000000002</v>
      </c>
      <c r="AE2708" s="508">
        <v>0.45700000000000002</v>
      </c>
      <c r="AF2708" s="508">
        <v>0.43099999999999999</v>
      </c>
      <c r="AG2708" s="508">
        <v>0.42399999999999999</v>
      </c>
      <c r="AH2708" s="508">
        <v>0.41899999999999998</v>
      </c>
      <c r="AI2708" s="492">
        <v>0.41399999999999998</v>
      </c>
      <c r="AJ2708" s="485"/>
    </row>
    <row r="2709" spans="2:36">
      <c r="B2709" s="136" t="s">
        <v>470</v>
      </c>
      <c r="C2709" s="132" t="s">
        <v>1378</v>
      </c>
      <c r="D2709" s="132" t="s">
        <v>282</v>
      </c>
      <c r="E2709" s="508">
        <v>8.4109999999999996</v>
      </c>
      <c r="F2709" s="508">
        <v>8.3960000000000008</v>
      </c>
      <c r="G2709" s="508">
        <v>8.3819999999999997</v>
      </c>
      <c r="H2709" s="508">
        <v>8.3680000000000003</v>
      </c>
      <c r="I2709" s="508">
        <v>8.3550000000000004</v>
      </c>
      <c r="J2709" s="508">
        <v>8.3420000000000005</v>
      </c>
      <c r="K2709" s="508">
        <v>8.3290000000000006</v>
      </c>
      <c r="L2709" s="508">
        <v>8.3179999999999996</v>
      </c>
      <c r="M2709" s="508">
        <v>8.3059999999999992</v>
      </c>
      <c r="N2709" s="508">
        <v>8.2940000000000005</v>
      </c>
      <c r="O2709" s="508">
        <v>8.2829999999999995</v>
      </c>
      <c r="P2709" s="508">
        <v>8.2729999999999997</v>
      </c>
      <c r="Q2709" s="508">
        <v>8.2629999999999999</v>
      </c>
      <c r="R2709" s="508">
        <v>8.2520000000000007</v>
      </c>
      <c r="S2709" s="508">
        <v>8.2430000000000003</v>
      </c>
      <c r="T2709" s="508">
        <v>8.2330000000000005</v>
      </c>
      <c r="U2709" s="508">
        <v>8.2249999999999996</v>
      </c>
      <c r="V2709" s="508">
        <v>8.2159999999999993</v>
      </c>
      <c r="W2709" s="508">
        <v>3.339</v>
      </c>
      <c r="X2709" s="508">
        <v>3.33</v>
      </c>
      <c r="Y2709" s="508">
        <v>3.3220000000000001</v>
      </c>
      <c r="Z2709" s="508">
        <v>2.968</v>
      </c>
      <c r="AA2709" s="508">
        <v>0.79</v>
      </c>
      <c r="AB2709" s="508">
        <v>0.68799999999999994</v>
      </c>
      <c r="AC2709" s="508">
        <v>0.68100000000000005</v>
      </c>
      <c r="AD2709" s="508">
        <v>0.495</v>
      </c>
      <c r="AE2709" s="508">
        <v>0.48799999999999999</v>
      </c>
      <c r="AF2709" s="508">
        <v>0.46</v>
      </c>
      <c r="AG2709" s="508">
        <v>0.45300000000000001</v>
      </c>
      <c r="AH2709" s="508">
        <v>0.44700000000000001</v>
      </c>
      <c r="AI2709" s="492">
        <v>0.441</v>
      </c>
      <c r="AJ2709" s="485"/>
    </row>
    <row r="2710" spans="2:36">
      <c r="B2710" s="136" t="s">
        <v>471</v>
      </c>
      <c r="C2710" s="132" t="s">
        <v>1378</v>
      </c>
      <c r="D2710" s="132" t="s">
        <v>282</v>
      </c>
      <c r="E2710" s="508">
        <v>8.2759999999999998</v>
      </c>
      <c r="F2710" s="508">
        <v>8.2620000000000005</v>
      </c>
      <c r="G2710" s="508">
        <v>8.2479999999999993</v>
      </c>
      <c r="H2710" s="508">
        <v>8.2349999999999994</v>
      </c>
      <c r="I2710" s="508">
        <v>8.2219999999999995</v>
      </c>
      <c r="J2710" s="508">
        <v>8.2089999999999996</v>
      </c>
      <c r="K2710" s="508">
        <v>8.1969999999999992</v>
      </c>
      <c r="L2710" s="508">
        <v>8.1859999999999999</v>
      </c>
      <c r="M2710" s="508">
        <v>8.1739999999999995</v>
      </c>
      <c r="N2710" s="508">
        <v>8.1630000000000003</v>
      </c>
      <c r="O2710" s="508">
        <v>8.1519999999999992</v>
      </c>
      <c r="P2710" s="508">
        <v>8.1419999999999995</v>
      </c>
      <c r="Q2710" s="508">
        <v>8.1319999999999997</v>
      </c>
      <c r="R2710" s="508">
        <v>8.1229999999999993</v>
      </c>
      <c r="S2710" s="508">
        <v>8.1129999999999995</v>
      </c>
      <c r="T2710" s="508">
        <v>8.1039999999999992</v>
      </c>
      <c r="U2710" s="508">
        <v>8.0960000000000001</v>
      </c>
      <c r="V2710" s="508">
        <v>8.0869999999999997</v>
      </c>
      <c r="W2710" s="508">
        <v>3.2909999999999999</v>
      </c>
      <c r="X2710" s="508">
        <v>3.2829999999999999</v>
      </c>
      <c r="Y2710" s="508">
        <v>3.2749999999999999</v>
      </c>
      <c r="Z2710" s="508">
        <v>2.9249999999999998</v>
      </c>
      <c r="AA2710" s="508">
        <v>0.77600000000000002</v>
      </c>
      <c r="AB2710" s="508">
        <v>0.67500000000000004</v>
      </c>
      <c r="AC2710" s="508">
        <v>0.66800000000000004</v>
      </c>
      <c r="AD2710" s="508">
        <v>0.48499999999999999</v>
      </c>
      <c r="AE2710" s="508">
        <v>0.47799999999999998</v>
      </c>
      <c r="AF2710" s="508">
        <v>0.45</v>
      </c>
      <c r="AG2710" s="508">
        <v>0.44400000000000001</v>
      </c>
      <c r="AH2710" s="508">
        <v>0.438</v>
      </c>
      <c r="AI2710" s="492">
        <v>0.432</v>
      </c>
      <c r="AJ2710" s="485"/>
    </row>
    <row r="2711" spans="2:36">
      <c r="B2711" s="136" t="s">
        <v>472</v>
      </c>
      <c r="C2711" s="132" t="s">
        <v>1378</v>
      </c>
      <c r="D2711" s="132" t="s">
        <v>282</v>
      </c>
      <c r="E2711" s="508">
        <v>8.0009999999999994</v>
      </c>
      <c r="F2711" s="508">
        <v>7.9889999999999999</v>
      </c>
      <c r="G2711" s="508">
        <v>7.976</v>
      </c>
      <c r="H2711" s="508">
        <v>7.9640000000000004</v>
      </c>
      <c r="I2711" s="508">
        <v>7.9530000000000003</v>
      </c>
      <c r="J2711" s="508">
        <v>7.9409999999999998</v>
      </c>
      <c r="K2711" s="508">
        <v>7.93</v>
      </c>
      <c r="L2711" s="508">
        <v>7.92</v>
      </c>
      <c r="M2711" s="508">
        <v>7.91</v>
      </c>
      <c r="N2711" s="508">
        <v>7.9</v>
      </c>
      <c r="O2711" s="508">
        <v>7.89</v>
      </c>
      <c r="P2711" s="508">
        <v>7.8810000000000002</v>
      </c>
      <c r="Q2711" s="508">
        <v>7.8719999999999999</v>
      </c>
      <c r="R2711" s="508">
        <v>7.8630000000000004</v>
      </c>
      <c r="S2711" s="508">
        <v>7.8550000000000004</v>
      </c>
      <c r="T2711" s="508">
        <v>7.8470000000000004</v>
      </c>
      <c r="U2711" s="508">
        <v>7.8390000000000004</v>
      </c>
      <c r="V2711" s="508">
        <v>7.8319999999999999</v>
      </c>
      <c r="W2711" s="508">
        <v>3.14</v>
      </c>
      <c r="X2711" s="508">
        <v>3.133</v>
      </c>
      <c r="Y2711" s="508">
        <v>3.1259999999999999</v>
      </c>
      <c r="Z2711" s="508">
        <v>2.7909999999999999</v>
      </c>
      <c r="AA2711" s="508">
        <v>0.73</v>
      </c>
      <c r="AB2711" s="508">
        <v>0.63400000000000001</v>
      </c>
      <c r="AC2711" s="508">
        <v>0.628</v>
      </c>
      <c r="AD2711" s="508">
        <v>0.45200000000000001</v>
      </c>
      <c r="AE2711" s="508">
        <v>0.44600000000000001</v>
      </c>
      <c r="AF2711" s="508">
        <v>0.42</v>
      </c>
      <c r="AG2711" s="508">
        <v>0.41399999999999998</v>
      </c>
      <c r="AH2711" s="508">
        <v>0.40899999999999997</v>
      </c>
      <c r="AI2711" s="492">
        <v>0.40400000000000003</v>
      </c>
      <c r="AJ2711" s="485"/>
    </row>
    <row r="2712" spans="2:36">
      <c r="B2712" s="136" t="s">
        <v>473</v>
      </c>
      <c r="C2712" s="132" t="s">
        <v>1378</v>
      </c>
      <c r="D2712" s="132" t="s">
        <v>282</v>
      </c>
      <c r="E2712" s="508">
        <v>8.3689999999999998</v>
      </c>
      <c r="F2712" s="508">
        <v>8.3550000000000004</v>
      </c>
      <c r="G2712" s="508">
        <v>8.34</v>
      </c>
      <c r="H2712" s="508">
        <v>8.327</v>
      </c>
      <c r="I2712" s="508">
        <v>8.3140000000000001</v>
      </c>
      <c r="J2712" s="508">
        <v>8.3010000000000002</v>
      </c>
      <c r="K2712" s="508">
        <v>8.2889999999999997</v>
      </c>
      <c r="L2712" s="508">
        <v>8.2769999999999992</v>
      </c>
      <c r="M2712" s="508">
        <v>8.2650000000000006</v>
      </c>
      <c r="N2712" s="508">
        <v>8.2539999999999996</v>
      </c>
      <c r="O2712" s="508">
        <v>8.2430000000000003</v>
      </c>
      <c r="P2712" s="508">
        <v>8.2330000000000005</v>
      </c>
      <c r="Q2712" s="508">
        <v>8.2230000000000008</v>
      </c>
      <c r="R2712" s="508">
        <v>8.2129999999999992</v>
      </c>
      <c r="S2712" s="508">
        <v>8.2029999999999994</v>
      </c>
      <c r="T2712" s="508">
        <v>8.1940000000000008</v>
      </c>
      <c r="U2712" s="508">
        <v>8.1850000000000005</v>
      </c>
      <c r="V2712" s="508">
        <v>8.1769999999999996</v>
      </c>
      <c r="W2712" s="508">
        <v>3.3290000000000002</v>
      </c>
      <c r="X2712" s="508">
        <v>3.3210000000000002</v>
      </c>
      <c r="Y2712" s="508">
        <v>3.3130000000000002</v>
      </c>
      <c r="Z2712" s="508">
        <v>2.96</v>
      </c>
      <c r="AA2712" s="508">
        <v>0.78600000000000003</v>
      </c>
      <c r="AB2712" s="508">
        <v>0.68500000000000005</v>
      </c>
      <c r="AC2712" s="508">
        <v>0.67700000000000005</v>
      </c>
      <c r="AD2712" s="508">
        <v>0.49199999999999999</v>
      </c>
      <c r="AE2712" s="508">
        <v>0.48499999999999999</v>
      </c>
      <c r="AF2712" s="508">
        <v>0.45700000000000002</v>
      </c>
      <c r="AG2712" s="508">
        <v>0.45</v>
      </c>
      <c r="AH2712" s="508">
        <v>0.44400000000000001</v>
      </c>
      <c r="AI2712" s="492">
        <v>0.438</v>
      </c>
      <c r="AJ2712" s="485"/>
    </row>
    <row r="2713" spans="2:36">
      <c r="B2713" s="136" t="s">
        <v>474</v>
      </c>
      <c r="C2713" s="132" t="s">
        <v>1378</v>
      </c>
      <c r="D2713" s="132" t="s">
        <v>282</v>
      </c>
      <c r="E2713" s="508">
        <v>8.2330000000000005</v>
      </c>
      <c r="F2713" s="508">
        <v>8.2200000000000006</v>
      </c>
      <c r="G2713" s="508">
        <v>8.2059999999999995</v>
      </c>
      <c r="H2713" s="508">
        <v>8.1929999999999996</v>
      </c>
      <c r="I2713" s="508">
        <v>8.1809999999999992</v>
      </c>
      <c r="J2713" s="508">
        <v>8.1679999999999993</v>
      </c>
      <c r="K2713" s="508">
        <v>8.1560000000000006</v>
      </c>
      <c r="L2713" s="508">
        <v>8.1449999999999996</v>
      </c>
      <c r="M2713" s="508">
        <v>8.1340000000000003</v>
      </c>
      <c r="N2713" s="508">
        <v>8.1240000000000006</v>
      </c>
      <c r="O2713" s="508">
        <v>8.1129999999999995</v>
      </c>
      <c r="P2713" s="508">
        <v>8.1029999999999998</v>
      </c>
      <c r="Q2713" s="508">
        <v>8.093</v>
      </c>
      <c r="R2713" s="508">
        <v>8.0839999999999996</v>
      </c>
      <c r="S2713" s="508">
        <v>8.0749999999999993</v>
      </c>
      <c r="T2713" s="508">
        <v>8.0660000000000007</v>
      </c>
      <c r="U2713" s="508">
        <v>8.0579999999999998</v>
      </c>
      <c r="V2713" s="508">
        <v>8.0489999999999995</v>
      </c>
      <c r="W2713" s="508">
        <v>3.2570000000000001</v>
      </c>
      <c r="X2713" s="508">
        <v>3.2490000000000001</v>
      </c>
      <c r="Y2713" s="508">
        <v>3.2410000000000001</v>
      </c>
      <c r="Z2713" s="508">
        <v>2.895</v>
      </c>
      <c r="AA2713" s="508">
        <v>0.76500000000000001</v>
      </c>
      <c r="AB2713" s="508">
        <v>0.66500000000000004</v>
      </c>
      <c r="AC2713" s="508">
        <v>0.65900000000000003</v>
      </c>
      <c r="AD2713" s="508">
        <v>0.47699999999999998</v>
      </c>
      <c r="AE2713" s="508">
        <v>0.47</v>
      </c>
      <c r="AF2713" s="508">
        <v>0.443</v>
      </c>
      <c r="AG2713" s="508">
        <v>0.436</v>
      </c>
      <c r="AH2713" s="508">
        <v>0.43099999999999999</v>
      </c>
      <c r="AI2713" s="492">
        <v>0.42499999999999999</v>
      </c>
      <c r="AJ2713" s="485"/>
    </row>
    <row r="2714" spans="2:36">
      <c r="B2714" s="136" t="s">
        <v>475</v>
      </c>
      <c r="C2714" s="132" t="s">
        <v>1378</v>
      </c>
      <c r="D2714" s="132" t="s">
        <v>282</v>
      </c>
      <c r="E2714" s="508">
        <v>8.1820000000000004</v>
      </c>
      <c r="F2714" s="508">
        <v>8.1690000000000005</v>
      </c>
      <c r="G2714" s="508">
        <v>8.1560000000000006</v>
      </c>
      <c r="H2714" s="508">
        <v>8.1430000000000007</v>
      </c>
      <c r="I2714" s="508">
        <v>8.1310000000000002</v>
      </c>
      <c r="J2714" s="508">
        <v>8.1189999999999998</v>
      </c>
      <c r="K2714" s="508">
        <v>8.1069999999999993</v>
      </c>
      <c r="L2714" s="508">
        <v>8.0960000000000001</v>
      </c>
      <c r="M2714" s="508">
        <v>8.0850000000000009</v>
      </c>
      <c r="N2714" s="508">
        <v>8.0749999999999993</v>
      </c>
      <c r="O2714" s="508">
        <v>8.0640000000000001</v>
      </c>
      <c r="P2714" s="508">
        <v>8.0540000000000003</v>
      </c>
      <c r="Q2714" s="508">
        <v>8.0449999999999999</v>
      </c>
      <c r="R2714" s="508">
        <v>8.0359999999999996</v>
      </c>
      <c r="S2714" s="508">
        <v>8.0269999999999992</v>
      </c>
      <c r="T2714" s="508">
        <v>8.0180000000000007</v>
      </c>
      <c r="U2714" s="508">
        <v>8.01</v>
      </c>
      <c r="V2714" s="508">
        <v>8.0009999999999994</v>
      </c>
      <c r="W2714" s="508">
        <v>3.2309999999999999</v>
      </c>
      <c r="X2714" s="508">
        <v>3.2240000000000002</v>
      </c>
      <c r="Y2714" s="508">
        <v>3.2160000000000002</v>
      </c>
      <c r="Z2714" s="508">
        <v>2.8730000000000002</v>
      </c>
      <c r="AA2714" s="508">
        <v>0.75800000000000001</v>
      </c>
      <c r="AB2714" s="508">
        <v>0.65900000000000003</v>
      </c>
      <c r="AC2714" s="508">
        <v>0.65200000000000002</v>
      </c>
      <c r="AD2714" s="508">
        <v>0.47199999999999998</v>
      </c>
      <c r="AE2714" s="508">
        <v>0.46500000000000002</v>
      </c>
      <c r="AF2714" s="508">
        <v>0.438</v>
      </c>
      <c r="AG2714" s="508">
        <v>0.432</v>
      </c>
      <c r="AH2714" s="508">
        <v>0.42599999999999999</v>
      </c>
      <c r="AI2714" s="492">
        <v>0.42099999999999999</v>
      </c>
      <c r="AJ2714" s="485"/>
    </row>
    <row r="2715" spans="2:36">
      <c r="B2715" s="136" t="s">
        <v>476</v>
      </c>
      <c r="C2715" s="132" t="s">
        <v>1378</v>
      </c>
      <c r="D2715" s="132" t="s">
        <v>282</v>
      </c>
      <c r="E2715" s="508">
        <v>8.3379999999999992</v>
      </c>
      <c r="F2715" s="508">
        <v>8.3239999999999998</v>
      </c>
      <c r="G2715" s="508">
        <v>8.31</v>
      </c>
      <c r="H2715" s="508">
        <v>8.2970000000000006</v>
      </c>
      <c r="I2715" s="508">
        <v>8.2850000000000001</v>
      </c>
      <c r="J2715" s="508">
        <v>8.2720000000000002</v>
      </c>
      <c r="K2715" s="508">
        <v>8.26</v>
      </c>
      <c r="L2715" s="508">
        <v>8.2490000000000006</v>
      </c>
      <c r="M2715" s="508">
        <v>8.2370000000000001</v>
      </c>
      <c r="N2715" s="508">
        <v>8.2260000000000009</v>
      </c>
      <c r="O2715" s="508">
        <v>8.2149999999999999</v>
      </c>
      <c r="P2715" s="508">
        <v>8.2050000000000001</v>
      </c>
      <c r="Q2715" s="508">
        <v>8.1959999999999997</v>
      </c>
      <c r="R2715" s="508">
        <v>8.1859999999999999</v>
      </c>
      <c r="S2715" s="508">
        <v>8.1769999999999996</v>
      </c>
      <c r="T2715" s="508">
        <v>8.1679999999999993</v>
      </c>
      <c r="U2715" s="508">
        <v>8.1590000000000007</v>
      </c>
      <c r="V2715" s="508">
        <v>8.15</v>
      </c>
      <c r="W2715" s="508">
        <v>3.2919999999999998</v>
      </c>
      <c r="X2715" s="508">
        <v>3.2839999999999998</v>
      </c>
      <c r="Y2715" s="508">
        <v>3.2759999999999998</v>
      </c>
      <c r="Z2715" s="508">
        <v>2.927</v>
      </c>
      <c r="AA2715" s="508">
        <v>0.77500000000000002</v>
      </c>
      <c r="AB2715" s="508">
        <v>0.67400000000000004</v>
      </c>
      <c r="AC2715" s="508">
        <v>0.66800000000000004</v>
      </c>
      <c r="AD2715" s="508">
        <v>0.48399999999999999</v>
      </c>
      <c r="AE2715" s="508">
        <v>0.47699999999999998</v>
      </c>
      <c r="AF2715" s="508">
        <v>0.45</v>
      </c>
      <c r="AG2715" s="508">
        <v>0.443</v>
      </c>
      <c r="AH2715" s="508">
        <v>0.437</v>
      </c>
      <c r="AI2715" s="492">
        <v>0.43099999999999999</v>
      </c>
      <c r="AJ2715" s="485"/>
    </row>
    <row r="2716" spans="2:36">
      <c r="B2716" s="136" t="s">
        <v>478</v>
      </c>
      <c r="C2716" s="132" t="s">
        <v>1378</v>
      </c>
      <c r="D2716" s="132" t="s">
        <v>282</v>
      </c>
      <c r="E2716" s="508">
        <v>8.52</v>
      </c>
      <c r="F2716" s="508">
        <v>8.5060000000000002</v>
      </c>
      <c r="G2716" s="508">
        <v>8.4909999999999997</v>
      </c>
      <c r="H2716" s="508">
        <v>8.4770000000000003</v>
      </c>
      <c r="I2716" s="508">
        <v>8.4629999999999992</v>
      </c>
      <c r="J2716" s="508">
        <v>8.4499999999999993</v>
      </c>
      <c r="K2716" s="508">
        <v>8.4369999999999994</v>
      </c>
      <c r="L2716" s="508">
        <v>8.4250000000000007</v>
      </c>
      <c r="M2716" s="508">
        <v>8.4130000000000003</v>
      </c>
      <c r="N2716" s="508">
        <v>8.4019999999999992</v>
      </c>
      <c r="O2716" s="508">
        <v>8.39</v>
      </c>
      <c r="P2716" s="508">
        <v>8.3789999999999996</v>
      </c>
      <c r="Q2716" s="508">
        <v>8.3689999999999998</v>
      </c>
      <c r="R2716" s="508">
        <v>8.359</v>
      </c>
      <c r="S2716" s="508">
        <v>8.3490000000000002</v>
      </c>
      <c r="T2716" s="508">
        <v>8.34</v>
      </c>
      <c r="U2716" s="508">
        <v>8.3309999999999995</v>
      </c>
      <c r="V2716" s="508">
        <v>8.3219999999999992</v>
      </c>
      <c r="W2716" s="508">
        <v>3.37</v>
      </c>
      <c r="X2716" s="508">
        <v>3.3610000000000002</v>
      </c>
      <c r="Y2716" s="508">
        <v>3.3530000000000002</v>
      </c>
      <c r="Z2716" s="508">
        <v>2.996</v>
      </c>
      <c r="AA2716" s="508">
        <v>0.79900000000000004</v>
      </c>
      <c r="AB2716" s="508">
        <v>0.69599999999999995</v>
      </c>
      <c r="AC2716" s="508">
        <v>0.68899999999999995</v>
      </c>
      <c r="AD2716" s="508">
        <v>0.501</v>
      </c>
      <c r="AE2716" s="508">
        <v>0.49399999999999999</v>
      </c>
      <c r="AF2716" s="508">
        <v>0.46600000000000003</v>
      </c>
      <c r="AG2716" s="508">
        <v>0.45900000000000002</v>
      </c>
      <c r="AH2716" s="508">
        <v>0.45300000000000001</v>
      </c>
      <c r="AI2716" s="492">
        <v>0.44700000000000001</v>
      </c>
      <c r="AJ2716" s="485"/>
    </row>
    <row r="2717" spans="2:36">
      <c r="B2717" s="136" t="s">
        <v>479</v>
      </c>
      <c r="C2717" s="132" t="s">
        <v>1378</v>
      </c>
      <c r="D2717" s="132" t="s">
        <v>282</v>
      </c>
      <c r="E2717" s="508">
        <v>8.2270000000000003</v>
      </c>
      <c r="F2717" s="508">
        <v>8.2140000000000004</v>
      </c>
      <c r="G2717" s="508">
        <v>8.2010000000000005</v>
      </c>
      <c r="H2717" s="508">
        <v>8.1880000000000006</v>
      </c>
      <c r="I2717" s="508">
        <v>8.1760000000000002</v>
      </c>
      <c r="J2717" s="508">
        <v>8.1639999999999997</v>
      </c>
      <c r="K2717" s="508">
        <v>8.1519999999999992</v>
      </c>
      <c r="L2717" s="508">
        <v>8.141</v>
      </c>
      <c r="M2717" s="508">
        <v>8.1300000000000008</v>
      </c>
      <c r="N2717" s="508">
        <v>8.1199999999999992</v>
      </c>
      <c r="O2717" s="508">
        <v>8.109</v>
      </c>
      <c r="P2717" s="508">
        <v>8.1</v>
      </c>
      <c r="Q2717" s="508">
        <v>8.09</v>
      </c>
      <c r="R2717" s="508">
        <v>8.0809999999999995</v>
      </c>
      <c r="S2717" s="508">
        <v>8.0719999999999992</v>
      </c>
      <c r="T2717" s="508">
        <v>8.0640000000000001</v>
      </c>
      <c r="U2717" s="508">
        <v>8.0549999999999997</v>
      </c>
      <c r="V2717" s="508">
        <v>8.0470000000000006</v>
      </c>
      <c r="W2717" s="508">
        <v>3.2349999999999999</v>
      </c>
      <c r="X2717" s="508">
        <v>3.2269999999999999</v>
      </c>
      <c r="Y2717" s="508">
        <v>3.22</v>
      </c>
      <c r="Z2717" s="508">
        <v>2.8759999999999999</v>
      </c>
      <c r="AA2717" s="508">
        <v>0.75700000000000001</v>
      </c>
      <c r="AB2717" s="508">
        <v>0.65900000000000003</v>
      </c>
      <c r="AC2717" s="508">
        <v>0.65200000000000002</v>
      </c>
      <c r="AD2717" s="508">
        <v>0.47099999999999997</v>
      </c>
      <c r="AE2717" s="508">
        <v>0.46500000000000002</v>
      </c>
      <c r="AF2717" s="508">
        <v>0.438</v>
      </c>
      <c r="AG2717" s="508">
        <v>0.432</v>
      </c>
      <c r="AH2717" s="508">
        <v>0.42599999999999999</v>
      </c>
      <c r="AI2717" s="492">
        <v>0.42099999999999999</v>
      </c>
      <c r="AJ2717" s="485"/>
    </row>
    <row r="2718" spans="2:36">
      <c r="B2718" s="136" t="s">
        <v>480</v>
      </c>
      <c r="C2718" s="132" t="s">
        <v>1378</v>
      </c>
      <c r="D2718" s="132" t="s">
        <v>282</v>
      </c>
      <c r="E2718" s="508">
        <v>8.0359999999999996</v>
      </c>
      <c r="F2718" s="508">
        <v>8.0239999999999991</v>
      </c>
      <c r="G2718" s="508">
        <v>8.0109999999999992</v>
      </c>
      <c r="H2718" s="508">
        <v>7.9989999999999997</v>
      </c>
      <c r="I2718" s="508">
        <v>7.9880000000000004</v>
      </c>
      <c r="J2718" s="508">
        <v>7.9770000000000003</v>
      </c>
      <c r="K2718" s="508">
        <v>7.9660000000000002</v>
      </c>
      <c r="L2718" s="508">
        <v>7.9560000000000004</v>
      </c>
      <c r="M2718" s="508">
        <v>7.9459999999999997</v>
      </c>
      <c r="N2718" s="508">
        <v>7.9359999999999999</v>
      </c>
      <c r="O2718" s="508">
        <v>7.9269999999999996</v>
      </c>
      <c r="P2718" s="508">
        <v>7.9169999999999998</v>
      </c>
      <c r="Q2718" s="508">
        <v>7.9089999999999998</v>
      </c>
      <c r="R2718" s="508">
        <v>7.9</v>
      </c>
      <c r="S2718" s="508">
        <v>7.8920000000000003</v>
      </c>
      <c r="T2718" s="508">
        <v>7.8840000000000003</v>
      </c>
      <c r="U2718" s="508">
        <v>7.8760000000000003</v>
      </c>
      <c r="V2718" s="508">
        <v>7.8689999999999998</v>
      </c>
      <c r="W2718" s="508">
        <v>3.125</v>
      </c>
      <c r="X2718" s="508">
        <v>3.1179999999999999</v>
      </c>
      <c r="Y2718" s="508">
        <v>3.1110000000000002</v>
      </c>
      <c r="Z2718" s="508">
        <v>2.778</v>
      </c>
      <c r="AA2718" s="508">
        <v>0.72499999999999998</v>
      </c>
      <c r="AB2718" s="508">
        <v>0.63</v>
      </c>
      <c r="AC2718" s="508">
        <v>0.624</v>
      </c>
      <c r="AD2718" s="508">
        <v>0.44900000000000001</v>
      </c>
      <c r="AE2718" s="508">
        <v>0.443</v>
      </c>
      <c r="AF2718" s="508">
        <v>0.41699999999999998</v>
      </c>
      <c r="AG2718" s="508">
        <v>0.41099999999999998</v>
      </c>
      <c r="AH2718" s="508">
        <v>0.40600000000000003</v>
      </c>
      <c r="AI2718" s="492">
        <v>0.40100000000000002</v>
      </c>
      <c r="AJ2718" s="485"/>
    </row>
    <row r="2719" spans="2:36">
      <c r="B2719" s="136" t="s">
        <v>481</v>
      </c>
      <c r="C2719" s="132" t="s">
        <v>1378</v>
      </c>
      <c r="D2719" s="132" t="s">
        <v>282</v>
      </c>
      <c r="E2719" s="508">
        <v>8.2919999999999998</v>
      </c>
      <c r="F2719" s="508">
        <v>8.2789999999999999</v>
      </c>
      <c r="G2719" s="508">
        <v>8.2650000000000006</v>
      </c>
      <c r="H2719" s="508">
        <v>8.2520000000000007</v>
      </c>
      <c r="I2719" s="508">
        <v>8.24</v>
      </c>
      <c r="J2719" s="508">
        <v>8.2270000000000003</v>
      </c>
      <c r="K2719" s="508">
        <v>8.2149999999999999</v>
      </c>
      <c r="L2719" s="508">
        <v>8.2040000000000006</v>
      </c>
      <c r="M2719" s="508">
        <v>8.1929999999999996</v>
      </c>
      <c r="N2719" s="508">
        <v>8.1820000000000004</v>
      </c>
      <c r="O2719" s="508">
        <v>8.1709999999999994</v>
      </c>
      <c r="P2719" s="508">
        <v>8.1609999999999996</v>
      </c>
      <c r="Q2719" s="508">
        <v>8.1519999999999992</v>
      </c>
      <c r="R2719" s="508">
        <v>8.1419999999999995</v>
      </c>
      <c r="S2719" s="508">
        <v>8.1329999999999991</v>
      </c>
      <c r="T2719" s="508">
        <v>8.1240000000000006</v>
      </c>
      <c r="U2719" s="508">
        <v>8.1159999999999997</v>
      </c>
      <c r="V2719" s="508">
        <v>8.1069999999999993</v>
      </c>
      <c r="W2719" s="508">
        <v>3.2669999999999999</v>
      </c>
      <c r="X2719" s="508">
        <v>3.2589999999999999</v>
      </c>
      <c r="Y2719" s="508">
        <v>3.2509999999999999</v>
      </c>
      <c r="Z2719" s="508">
        <v>2.9039999999999999</v>
      </c>
      <c r="AA2719" s="508">
        <v>0.76800000000000002</v>
      </c>
      <c r="AB2719" s="508">
        <v>0.66800000000000004</v>
      </c>
      <c r="AC2719" s="508">
        <v>0.66100000000000003</v>
      </c>
      <c r="AD2719" s="508">
        <v>0.47799999999999998</v>
      </c>
      <c r="AE2719" s="508">
        <v>0.47199999999999998</v>
      </c>
      <c r="AF2719" s="508">
        <v>0.44500000000000001</v>
      </c>
      <c r="AG2719" s="508">
        <v>0.438</v>
      </c>
      <c r="AH2719" s="508">
        <v>0.432</v>
      </c>
      <c r="AI2719" s="492">
        <v>0.42699999999999999</v>
      </c>
      <c r="AJ2719" s="485"/>
    </row>
    <row r="2720" spans="2:36">
      <c r="B2720" s="136" t="s">
        <v>482</v>
      </c>
      <c r="C2720" s="132" t="s">
        <v>1378</v>
      </c>
      <c r="D2720" s="132" t="s">
        <v>282</v>
      </c>
      <c r="E2720" s="508">
        <v>8.33</v>
      </c>
      <c r="F2720" s="508">
        <v>8.3160000000000007</v>
      </c>
      <c r="G2720" s="508">
        <v>8.3019999999999996</v>
      </c>
      <c r="H2720" s="508">
        <v>8.2889999999999997</v>
      </c>
      <c r="I2720" s="508">
        <v>8.2759999999999998</v>
      </c>
      <c r="J2720" s="508">
        <v>8.2629999999999999</v>
      </c>
      <c r="K2720" s="508">
        <v>8.2509999999999994</v>
      </c>
      <c r="L2720" s="508">
        <v>8.24</v>
      </c>
      <c r="M2720" s="508">
        <v>8.2279999999999998</v>
      </c>
      <c r="N2720" s="508">
        <v>8.218</v>
      </c>
      <c r="O2720" s="508">
        <v>8.2070000000000007</v>
      </c>
      <c r="P2720" s="508">
        <v>8.1959999999999997</v>
      </c>
      <c r="Q2720" s="508">
        <v>8.1869999999999994</v>
      </c>
      <c r="R2720" s="508">
        <v>8.1769999999999996</v>
      </c>
      <c r="S2720" s="508">
        <v>8.1679999999999993</v>
      </c>
      <c r="T2720" s="508">
        <v>8.1590000000000007</v>
      </c>
      <c r="U2720" s="508">
        <v>8.15</v>
      </c>
      <c r="V2720" s="508">
        <v>8.141</v>
      </c>
      <c r="W2720" s="508">
        <v>3.2850000000000001</v>
      </c>
      <c r="X2720" s="508">
        <v>3.2759999999999998</v>
      </c>
      <c r="Y2720" s="508">
        <v>3.2690000000000001</v>
      </c>
      <c r="Z2720" s="508">
        <v>2.92</v>
      </c>
      <c r="AA2720" s="508">
        <v>0.77400000000000002</v>
      </c>
      <c r="AB2720" s="508">
        <v>0.67400000000000004</v>
      </c>
      <c r="AC2720" s="508">
        <v>0.66700000000000004</v>
      </c>
      <c r="AD2720" s="508">
        <v>0.48399999999999999</v>
      </c>
      <c r="AE2720" s="508">
        <v>0.47699999999999998</v>
      </c>
      <c r="AF2720" s="508">
        <v>0.45</v>
      </c>
      <c r="AG2720" s="508">
        <v>0.443</v>
      </c>
      <c r="AH2720" s="508">
        <v>0.437</v>
      </c>
      <c r="AI2720" s="492">
        <v>0.43099999999999999</v>
      </c>
      <c r="AJ2720" s="485"/>
    </row>
    <row r="2721" spans="2:36">
      <c r="B2721" s="136" t="s">
        <v>483</v>
      </c>
      <c r="C2721" s="132" t="s">
        <v>1378</v>
      </c>
      <c r="D2721" s="132" t="s">
        <v>282</v>
      </c>
      <c r="E2721" s="508">
        <v>8.468</v>
      </c>
      <c r="F2721" s="508">
        <v>8.4540000000000006</v>
      </c>
      <c r="G2721" s="508">
        <v>8.4390000000000001</v>
      </c>
      <c r="H2721" s="508">
        <v>8.4250000000000007</v>
      </c>
      <c r="I2721" s="508">
        <v>8.4120000000000008</v>
      </c>
      <c r="J2721" s="508">
        <v>8.3989999999999991</v>
      </c>
      <c r="K2721" s="508">
        <v>8.3859999999999992</v>
      </c>
      <c r="L2721" s="508">
        <v>8.375</v>
      </c>
      <c r="M2721" s="508">
        <v>8.3629999999999995</v>
      </c>
      <c r="N2721" s="508">
        <v>8.3510000000000009</v>
      </c>
      <c r="O2721" s="508">
        <v>8.34</v>
      </c>
      <c r="P2721" s="508">
        <v>8.3290000000000006</v>
      </c>
      <c r="Q2721" s="508">
        <v>8.3190000000000008</v>
      </c>
      <c r="R2721" s="508">
        <v>8.3089999999999993</v>
      </c>
      <c r="S2721" s="508">
        <v>8.3000000000000007</v>
      </c>
      <c r="T2721" s="508">
        <v>8.2899999999999991</v>
      </c>
      <c r="U2721" s="508">
        <v>8.2810000000000006</v>
      </c>
      <c r="V2721" s="508">
        <v>8.2729999999999997</v>
      </c>
      <c r="W2721" s="508">
        <v>3.3490000000000002</v>
      </c>
      <c r="X2721" s="508">
        <v>3.34</v>
      </c>
      <c r="Y2721" s="508">
        <v>3.3319999999999999</v>
      </c>
      <c r="Z2721" s="508">
        <v>2.9769999999999999</v>
      </c>
      <c r="AA2721" s="508">
        <v>0.79200000000000004</v>
      </c>
      <c r="AB2721" s="508">
        <v>0.69</v>
      </c>
      <c r="AC2721" s="508">
        <v>0.68300000000000005</v>
      </c>
      <c r="AD2721" s="508">
        <v>0.496</v>
      </c>
      <c r="AE2721" s="508">
        <v>0.48899999999999999</v>
      </c>
      <c r="AF2721" s="508">
        <v>0.46100000000000002</v>
      </c>
      <c r="AG2721" s="508">
        <v>0.45400000000000001</v>
      </c>
      <c r="AH2721" s="508">
        <v>0.44800000000000001</v>
      </c>
      <c r="AI2721" s="492">
        <v>0.442</v>
      </c>
      <c r="AJ2721" s="485"/>
    </row>
    <row r="2722" spans="2:36">
      <c r="B2722" s="136" t="s">
        <v>484</v>
      </c>
      <c r="C2722" s="132" t="s">
        <v>1378</v>
      </c>
      <c r="D2722" s="132" t="s">
        <v>282</v>
      </c>
      <c r="E2722" s="508">
        <v>8.0060000000000002</v>
      </c>
      <c r="F2722" s="508">
        <v>7.9939999999999998</v>
      </c>
      <c r="G2722" s="508">
        <v>7.9809999999999999</v>
      </c>
      <c r="H2722" s="508">
        <v>7.9690000000000003</v>
      </c>
      <c r="I2722" s="508">
        <v>7.9580000000000002</v>
      </c>
      <c r="J2722" s="508">
        <v>7.9459999999999997</v>
      </c>
      <c r="K2722" s="508">
        <v>7.9359999999999999</v>
      </c>
      <c r="L2722" s="508">
        <v>7.9249999999999998</v>
      </c>
      <c r="M2722" s="508">
        <v>7.915</v>
      </c>
      <c r="N2722" s="508">
        <v>7.9050000000000002</v>
      </c>
      <c r="O2722" s="508">
        <v>7.8949999999999996</v>
      </c>
      <c r="P2722" s="508">
        <v>7.8860000000000001</v>
      </c>
      <c r="Q2722" s="508">
        <v>7.8780000000000001</v>
      </c>
      <c r="R2722" s="508">
        <v>7.8689999999999998</v>
      </c>
      <c r="S2722" s="508">
        <v>7.8609999999999998</v>
      </c>
      <c r="T2722" s="508">
        <v>7.8520000000000003</v>
      </c>
      <c r="U2722" s="508">
        <v>7.8449999999999998</v>
      </c>
      <c r="V2722" s="508">
        <v>7.8369999999999997</v>
      </c>
      <c r="W2722" s="508">
        <v>3.137</v>
      </c>
      <c r="X2722" s="508">
        <v>3.13</v>
      </c>
      <c r="Y2722" s="508">
        <v>3.1230000000000002</v>
      </c>
      <c r="Z2722" s="508">
        <v>2.7890000000000001</v>
      </c>
      <c r="AA2722" s="508">
        <v>0.72899999999999998</v>
      </c>
      <c r="AB2722" s="508">
        <v>0.63400000000000001</v>
      </c>
      <c r="AC2722" s="508">
        <v>0.627</v>
      </c>
      <c r="AD2722" s="508">
        <v>0.45200000000000001</v>
      </c>
      <c r="AE2722" s="508">
        <v>0.44600000000000001</v>
      </c>
      <c r="AF2722" s="508">
        <v>0.42</v>
      </c>
      <c r="AG2722" s="508">
        <v>0.41399999999999998</v>
      </c>
      <c r="AH2722" s="508">
        <v>0.40799999999999997</v>
      </c>
      <c r="AI2722" s="492">
        <v>0.40300000000000002</v>
      </c>
      <c r="AJ2722" s="485"/>
    </row>
    <row r="2723" spans="2:36">
      <c r="B2723" s="136" t="s">
        <v>486</v>
      </c>
      <c r="C2723" s="132" t="s">
        <v>1378</v>
      </c>
      <c r="D2723" s="132" t="s">
        <v>282</v>
      </c>
      <c r="E2723" s="508">
        <v>8.3239999999999998</v>
      </c>
      <c r="F2723" s="508">
        <v>8.3109999999999999</v>
      </c>
      <c r="G2723" s="508">
        <v>8.2970000000000006</v>
      </c>
      <c r="H2723" s="508">
        <v>8.2829999999999995</v>
      </c>
      <c r="I2723" s="508">
        <v>8.2710000000000008</v>
      </c>
      <c r="J2723" s="508">
        <v>8.2579999999999991</v>
      </c>
      <c r="K2723" s="508">
        <v>8.2460000000000004</v>
      </c>
      <c r="L2723" s="508">
        <v>8.2349999999999994</v>
      </c>
      <c r="M2723" s="508">
        <v>8.2240000000000002</v>
      </c>
      <c r="N2723" s="508">
        <v>8.2129999999999992</v>
      </c>
      <c r="O2723" s="508">
        <v>8.202</v>
      </c>
      <c r="P2723" s="508">
        <v>8.1920000000000002</v>
      </c>
      <c r="Q2723" s="508">
        <v>8.1820000000000004</v>
      </c>
      <c r="R2723" s="508">
        <v>8.173</v>
      </c>
      <c r="S2723" s="508">
        <v>8.1639999999999997</v>
      </c>
      <c r="T2723" s="508">
        <v>8.1549999999999994</v>
      </c>
      <c r="U2723" s="508">
        <v>8.1460000000000008</v>
      </c>
      <c r="V2723" s="508">
        <v>8.1379999999999999</v>
      </c>
      <c r="W2723" s="508">
        <v>3.2789999999999999</v>
      </c>
      <c r="X2723" s="508">
        <v>3.2709999999999999</v>
      </c>
      <c r="Y2723" s="508">
        <v>3.2629999999999999</v>
      </c>
      <c r="Z2723" s="508">
        <v>2.915</v>
      </c>
      <c r="AA2723" s="508">
        <v>0.77200000000000002</v>
      </c>
      <c r="AB2723" s="508">
        <v>0.67200000000000004</v>
      </c>
      <c r="AC2723" s="508">
        <v>0.66500000000000004</v>
      </c>
      <c r="AD2723" s="508">
        <v>0.48099999999999998</v>
      </c>
      <c r="AE2723" s="508">
        <v>0.47499999999999998</v>
      </c>
      <c r="AF2723" s="508">
        <v>0.44800000000000001</v>
      </c>
      <c r="AG2723" s="508">
        <v>0.441</v>
      </c>
      <c r="AH2723" s="508">
        <v>0.435</v>
      </c>
      <c r="AI2723" s="492">
        <v>0.42899999999999999</v>
      </c>
      <c r="AJ2723" s="485"/>
    </row>
    <row r="2724" spans="2:36">
      <c r="B2724" s="136" t="s">
        <v>487</v>
      </c>
      <c r="C2724" s="132" t="s">
        <v>1378</v>
      </c>
      <c r="D2724" s="132" t="s">
        <v>282</v>
      </c>
      <c r="E2724" s="508">
        <v>8.3770000000000007</v>
      </c>
      <c r="F2724" s="508">
        <v>8.3640000000000008</v>
      </c>
      <c r="G2724" s="508">
        <v>8.3490000000000002</v>
      </c>
      <c r="H2724" s="508">
        <v>8.3360000000000003</v>
      </c>
      <c r="I2724" s="508">
        <v>8.3239999999999998</v>
      </c>
      <c r="J2724" s="508">
        <v>8.3109999999999999</v>
      </c>
      <c r="K2724" s="508">
        <v>8.2989999999999995</v>
      </c>
      <c r="L2724" s="508">
        <v>8.2870000000000008</v>
      </c>
      <c r="M2724" s="508">
        <v>8.2759999999999998</v>
      </c>
      <c r="N2724" s="508">
        <v>8.2650000000000006</v>
      </c>
      <c r="O2724" s="508">
        <v>8.2539999999999996</v>
      </c>
      <c r="P2724" s="508">
        <v>8.2439999999999998</v>
      </c>
      <c r="Q2724" s="508">
        <v>8.234</v>
      </c>
      <c r="R2724" s="508">
        <v>8.2240000000000002</v>
      </c>
      <c r="S2724" s="508">
        <v>8.2149999999999999</v>
      </c>
      <c r="T2724" s="508">
        <v>8.2059999999999995</v>
      </c>
      <c r="U2724" s="508">
        <v>8.1969999999999992</v>
      </c>
      <c r="V2724" s="508">
        <v>8.1890000000000001</v>
      </c>
      <c r="W2724" s="508">
        <v>3.29</v>
      </c>
      <c r="X2724" s="508">
        <v>3.282</v>
      </c>
      <c r="Y2724" s="508">
        <v>3.274</v>
      </c>
      <c r="Z2724" s="508">
        <v>2.9249999999999998</v>
      </c>
      <c r="AA2724" s="508">
        <v>0.77500000000000002</v>
      </c>
      <c r="AB2724" s="508">
        <v>0.67500000000000004</v>
      </c>
      <c r="AC2724" s="508">
        <v>0.66800000000000004</v>
      </c>
      <c r="AD2724" s="508">
        <v>0.48399999999999999</v>
      </c>
      <c r="AE2724" s="508">
        <v>0.47799999999999998</v>
      </c>
      <c r="AF2724" s="508">
        <v>0.45</v>
      </c>
      <c r="AG2724" s="508">
        <v>0.443</v>
      </c>
      <c r="AH2724" s="508">
        <v>0.437</v>
      </c>
      <c r="AI2724" s="492">
        <v>0.432</v>
      </c>
      <c r="AJ2724" s="485"/>
    </row>
    <row r="2725" spans="2:36">
      <c r="B2725" s="136" t="s">
        <v>488</v>
      </c>
      <c r="C2725" s="132" t="s">
        <v>1378</v>
      </c>
      <c r="D2725" s="132" t="s">
        <v>282</v>
      </c>
      <c r="E2725" s="508">
        <v>8.11</v>
      </c>
      <c r="F2725" s="508">
        <v>8.0980000000000008</v>
      </c>
      <c r="G2725" s="508">
        <v>8.0839999999999996</v>
      </c>
      <c r="H2725" s="508">
        <v>8.0719999999999992</v>
      </c>
      <c r="I2725" s="508">
        <v>8.06</v>
      </c>
      <c r="J2725" s="508">
        <v>8.0489999999999995</v>
      </c>
      <c r="K2725" s="508">
        <v>8.0370000000000008</v>
      </c>
      <c r="L2725" s="508">
        <v>8.0269999999999992</v>
      </c>
      <c r="M2725" s="508">
        <v>8.016</v>
      </c>
      <c r="N2725" s="508">
        <v>8.0060000000000002</v>
      </c>
      <c r="O2725" s="508">
        <v>7.9960000000000004</v>
      </c>
      <c r="P2725" s="508">
        <v>7.9859999999999998</v>
      </c>
      <c r="Q2725" s="508">
        <v>7.9779999999999998</v>
      </c>
      <c r="R2725" s="508">
        <v>7.968</v>
      </c>
      <c r="S2725" s="508">
        <v>7.96</v>
      </c>
      <c r="T2725" s="508">
        <v>7.952</v>
      </c>
      <c r="U2725" s="508">
        <v>7.944</v>
      </c>
      <c r="V2725" s="508">
        <v>7.9359999999999999</v>
      </c>
      <c r="W2725" s="508">
        <v>3.1789999999999998</v>
      </c>
      <c r="X2725" s="508">
        <v>3.1709999999999998</v>
      </c>
      <c r="Y2725" s="508">
        <v>3.1640000000000001</v>
      </c>
      <c r="Z2725" s="508">
        <v>2.8260000000000001</v>
      </c>
      <c r="AA2725" s="508">
        <v>0.74199999999999999</v>
      </c>
      <c r="AB2725" s="508">
        <v>0.64500000000000002</v>
      </c>
      <c r="AC2725" s="508">
        <v>0.63900000000000001</v>
      </c>
      <c r="AD2725" s="508">
        <v>0.46100000000000002</v>
      </c>
      <c r="AE2725" s="508">
        <v>0.45500000000000002</v>
      </c>
      <c r="AF2725" s="508">
        <v>0.42799999999999999</v>
      </c>
      <c r="AG2725" s="508">
        <v>0.42199999999999999</v>
      </c>
      <c r="AH2725" s="508">
        <v>0.41699999999999998</v>
      </c>
      <c r="AI2725" s="492">
        <v>0.41099999999999998</v>
      </c>
      <c r="AJ2725" s="485"/>
    </row>
    <row r="2726" spans="2:36">
      <c r="B2726" s="136" t="s">
        <v>489</v>
      </c>
      <c r="C2726" s="132" t="s">
        <v>1378</v>
      </c>
      <c r="D2726" s="132" t="s">
        <v>282</v>
      </c>
      <c r="E2726" s="508">
        <v>8.1780000000000008</v>
      </c>
      <c r="F2726" s="508">
        <v>8.1649999999999991</v>
      </c>
      <c r="G2726" s="508">
        <v>8.1509999999999998</v>
      </c>
      <c r="H2726" s="508">
        <v>8.1389999999999993</v>
      </c>
      <c r="I2726" s="508">
        <v>8.1270000000000007</v>
      </c>
      <c r="J2726" s="508">
        <v>8.1140000000000008</v>
      </c>
      <c r="K2726" s="508">
        <v>8.1029999999999998</v>
      </c>
      <c r="L2726" s="508">
        <v>8.0920000000000005</v>
      </c>
      <c r="M2726" s="508">
        <v>8.0809999999999995</v>
      </c>
      <c r="N2726" s="508">
        <v>8.07</v>
      </c>
      <c r="O2726" s="508">
        <v>8.06</v>
      </c>
      <c r="P2726" s="508">
        <v>8.0500000000000007</v>
      </c>
      <c r="Q2726" s="508">
        <v>8.0410000000000004</v>
      </c>
      <c r="R2726" s="508">
        <v>8.032</v>
      </c>
      <c r="S2726" s="508">
        <v>8.0229999999999997</v>
      </c>
      <c r="T2726" s="508">
        <v>8.0139999999999993</v>
      </c>
      <c r="U2726" s="508">
        <v>8.0060000000000002</v>
      </c>
      <c r="V2726" s="508">
        <v>7.9980000000000002</v>
      </c>
      <c r="W2726" s="508">
        <v>3.2250000000000001</v>
      </c>
      <c r="X2726" s="508">
        <v>3.2170000000000001</v>
      </c>
      <c r="Y2726" s="508">
        <v>3.2090000000000001</v>
      </c>
      <c r="Z2726" s="508">
        <v>2.867</v>
      </c>
      <c r="AA2726" s="508">
        <v>0.75600000000000001</v>
      </c>
      <c r="AB2726" s="508">
        <v>0.65700000000000003</v>
      </c>
      <c r="AC2726" s="508">
        <v>0.65100000000000002</v>
      </c>
      <c r="AD2726" s="508">
        <v>0.47</v>
      </c>
      <c r="AE2726" s="508">
        <v>0.46400000000000002</v>
      </c>
      <c r="AF2726" s="508">
        <v>0.437</v>
      </c>
      <c r="AG2726" s="508">
        <v>0.43099999999999999</v>
      </c>
      <c r="AH2726" s="508">
        <v>0.42499999999999999</v>
      </c>
      <c r="AI2726" s="492">
        <v>0.42</v>
      </c>
      <c r="AJ2726" s="485"/>
    </row>
    <row r="2727" spans="2:36">
      <c r="B2727" s="136" t="s">
        <v>490</v>
      </c>
      <c r="C2727" s="132" t="s">
        <v>1378</v>
      </c>
      <c r="D2727" s="132" t="s">
        <v>282</v>
      </c>
      <c r="E2727" s="508">
        <v>8.0649999999999995</v>
      </c>
      <c r="F2727" s="508">
        <v>8.0530000000000008</v>
      </c>
      <c r="G2727" s="508">
        <v>8.0410000000000004</v>
      </c>
      <c r="H2727" s="508">
        <v>8.0289999999999999</v>
      </c>
      <c r="I2727" s="508">
        <v>8.0180000000000007</v>
      </c>
      <c r="J2727" s="508">
        <v>8.0069999999999997</v>
      </c>
      <c r="K2727" s="508">
        <v>7.9960000000000004</v>
      </c>
      <c r="L2727" s="508">
        <v>7.9859999999999998</v>
      </c>
      <c r="M2727" s="508">
        <v>7.976</v>
      </c>
      <c r="N2727" s="508">
        <v>7.9660000000000002</v>
      </c>
      <c r="O2727" s="508">
        <v>7.9569999999999999</v>
      </c>
      <c r="P2727" s="508">
        <v>7.9480000000000004</v>
      </c>
      <c r="Q2727" s="508">
        <v>7.9390000000000001</v>
      </c>
      <c r="R2727" s="508">
        <v>7.93</v>
      </c>
      <c r="S2727" s="508">
        <v>7.9219999999999997</v>
      </c>
      <c r="T2727" s="508">
        <v>7.9139999999999997</v>
      </c>
      <c r="U2727" s="508">
        <v>7.907</v>
      </c>
      <c r="V2727" s="508">
        <v>7.899</v>
      </c>
      <c r="W2727" s="508">
        <v>3.1259999999999999</v>
      </c>
      <c r="X2727" s="508">
        <v>3.1190000000000002</v>
      </c>
      <c r="Y2727" s="508">
        <v>3.1120000000000001</v>
      </c>
      <c r="Z2727" s="508">
        <v>2.7789999999999999</v>
      </c>
      <c r="AA2727" s="508">
        <v>0.72399999999999998</v>
      </c>
      <c r="AB2727" s="508">
        <v>0.629</v>
      </c>
      <c r="AC2727" s="508">
        <v>0.623</v>
      </c>
      <c r="AD2727" s="508">
        <v>0.44800000000000001</v>
      </c>
      <c r="AE2727" s="508">
        <v>0.442</v>
      </c>
      <c r="AF2727" s="508">
        <v>0.41599999999999998</v>
      </c>
      <c r="AG2727" s="508">
        <v>0.41</v>
      </c>
      <c r="AH2727" s="508">
        <v>0.40500000000000003</v>
      </c>
      <c r="AI2727" s="492">
        <v>0.4</v>
      </c>
      <c r="AJ2727" s="485"/>
    </row>
    <row r="2728" spans="2:36">
      <c r="B2728" s="136" t="s">
        <v>435</v>
      </c>
      <c r="C2728" s="132" t="s">
        <v>1362</v>
      </c>
      <c r="D2728" s="132" t="s">
        <v>283</v>
      </c>
      <c r="E2728" s="508">
        <v>39.893999999999998</v>
      </c>
      <c r="F2728" s="508">
        <v>39.890999999999998</v>
      </c>
      <c r="G2728" s="508">
        <v>39.903999999999996</v>
      </c>
      <c r="H2728" s="508">
        <v>39.909999999999997</v>
      </c>
      <c r="I2728" s="508">
        <v>39.887999999999998</v>
      </c>
      <c r="J2728" s="508">
        <v>31.1</v>
      </c>
      <c r="K2728" s="508">
        <v>30.608000000000001</v>
      </c>
      <c r="L2728" s="508">
        <v>30.613</v>
      </c>
      <c r="M2728" s="508">
        <v>30.523</v>
      </c>
      <c r="N2728" s="508">
        <v>30.599</v>
      </c>
      <c r="O2728" s="508">
        <v>30.593</v>
      </c>
      <c r="P2728" s="508">
        <v>30.663</v>
      </c>
      <c r="Q2728" s="508">
        <v>30.693999999999999</v>
      </c>
      <c r="R2728" s="508">
        <v>28.298999999999999</v>
      </c>
      <c r="S2728" s="508">
        <v>22.121000000000002</v>
      </c>
      <c r="T2728" s="508">
        <v>22.155000000000001</v>
      </c>
      <c r="U2728" s="508">
        <v>22.004999999999999</v>
      </c>
      <c r="V2728" s="508">
        <v>21.917999999999999</v>
      </c>
      <c r="W2728" s="508">
        <v>12.534000000000001</v>
      </c>
      <c r="X2728" s="508">
        <v>12.507000000000001</v>
      </c>
      <c r="Y2728" s="508">
        <v>12.523</v>
      </c>
      <c r="Z2728" s="508">
        <v>12.530999999999999</v>
      </c>
      <c r="AA2728" s="508">
        <v>9.36</v>
      </c>
      <c r="AB2728" s="508">
        <v>9.3140000000000001</v>
      </c>
      <c r="AC2728" s="508">
        <v>9.4090000000000007</v>
      </c>
      <c r="AD2728" s="508">
        <v>3.706</v>
      </c>
      <c r="AE2728" s="508">
        <v>3.694</v>
      </c>
      <c r="AF2728" s="508">
        <v>3.1509999999999998</v>
      </c>
      <c r="AG2728" s="508">
        <v>3.1070000000000002</v>
      </c>
      <c r="AH2728" s="508">
        <v>3.0459999999999998</v>
      </c>
      <c r="AI2728" s="492">
        <v>3.0459999999999998</v>
      </c>
      <c r="AJ2728" s="485"/>
    </row>
    <row r="2729" spans="2:36">
      <c r="B2729" s="136" t="s">
        <v>436</v>
      </c>
      <c r="C2729" s="132" t="s">
        <v>1362</v>
      </c>
      <c r="D2729" s="132" t="s">
        <v>283</v>
      </c>
      <c r="E2729" s="508">
        <v>44.594000000000001</v>
      </c>
      <c r="F2729" s="508">
        <v>44.588999999999999</v>
      </c>
      <c r="G2729" s="508">
        <v>44.610999999999997</v>
      </c>
      <c r="H2729" s="508">
        <v>44.620999999999995</v>
      </c>
      <c r="I2729" s="508">
        <v>44.582999999999998</v>
      </c>
      <c r="J2729" s="508">
        <v>34.945999999999998</v>
      </c>
      <c r="K2729" s="508">
        <v>35.497999999999998</v>
      </c>
      <c r="L2729" s="508">
        <v>35.506999999999998</v>
      </c>
      <c r="M2729" s="508">
        <v>35.35</v>
      </c>
      <c r="N2729" s="508">
        <v>35.481999999999999</v>
      </c>
      <c r="O2729" s="508">
        <v>35.472000000000001</v>
      </c>
      <c r="P2729" s="508">
        <v>35.527999999999999</v>
      </c>
      <c r="Q2729" s="508">
        <v>35.582000000000001</v>
      </c>
      <c r="R2729" s="508">
        <v>33.004999999999995</v>
      </c>
      <c r="S2729" s="508">
        <v>26.23</v>
      </c>
      <c r="T2729" s="508">
        <v>26.274000000000001</v>
      </c>
      <c r="U2729" s="508">
        <v>26.088000000000001</v>
      </c>
      <c r="V2729" s="508">
        <v>25.978999999999999</v>
      </c>
      <c r="W2729" s="508">
        <v>15.616</v>
      </c>
      <c r="X2729" s="508">
        <v>15.568000000000001</v>
      </c>
      <c r="Y2729" s="508">
        <v>15.594000000000001</v>
      </c>
      <c r="Z2729" s="508">
        <v>15.609000000000002</v>
      </c>
      <c r="AA2729" s="508">
        <v>11.887</v>
      </c>
      <c r="AB2729" s="508">
        <v>11.826000000000001</v>
      </c>
      <c r="AC2729" s="508">
        <v>11.954000000000001</v>
      </c>
      <c r="AD2729" s="508">
        <v>5.359</v>
      </c>
      <c r="AE2729" s="508">
        <v>5.34</v>
      </c>
      <c r="AF2729" s="508">
        <v>4.7540000000000004</v>
      </c>
      <c r="AG2729" s="508">
        <v>4.7069999999999999</v>
      </c>
      <c r="AH2729" s="508">
        <v>4.6390000000000002</v>
      </c>
      <c r="AI2729" s="492">
        <v>4.6390000000000002</v>
      </c>
      <c r="AJ2729" s="485"/>
    </row>
    <row r="2730" spans="2:36">
      <c r="B2730" s="136" t="s">
        <v>437</v>
      </c>
      <c r="C2730" s="132" t="s">
        <v>1362</v>
      </c>
      <c r="D2730" s="132" t="s">
        <v>283</v>
      </c>
      <c r="E2730" s="508">
        <v>42.934999999999995</v>
      </c>
      <c r="F2730" s="508">
        <v>42.931999999999995</v>
      </c>
      <c r="G2730" s="508">
        <v>42.947999999999993</v>
      </c>
      <c r="H2730" s="508">
        <v>42.955999999999996</v>
      </c>
      <c r="I2730" s="508">
        <v>42.927</v>
      </c>
      <c r="J2730" s="508">
        <v>33.548999999999999</v>
      </c>
      <c r="K2730" s="508">
        <v>33.49</v>
      </c>
      <c r="L2730" s="508">
        <v>33.497</v>
      </c>
      <c r="M2730" s="508">
        <v>33.376000000000005</v>
      </c>
      <c r="N2730" s="508">
        <v>33.478000000000002</v>
      </c>
      <c r="O2730" s="508">
        <v>33.47</v>
      </c>
      <c r="P2730" s="508">
        <v>33.536999999999999</v>
      </c>
      <c r="Q2730" s="508">
        <v>33.578000000000003</v>
      </c>
      <c r="R2730" s="508">
        <v>30.966000000000001</v>
      </c>
      <c r="S2730" s="508">
        <v>24.428000000000001</v>
      </c>
      <c r="T2730" s="508">
        <v>24.468</v>
      </c>
      <c r="U2730" s="508">
        <v>24.298000000000002</v>
      </c>
      <c r="V2730" s="508">
        <v>24.2</v>
      </c>
      <c r="W2730" s="508">
        <v>14.227999999999998</v>
      </c>
      <c r="X2730" s="508">
        <v>14.190999999999999</v>
      </c>
      <c r="Y2730" s="508">
        <v>14.212</v>
      </c>
      <c r="Z2730" s="508">
        <v>14.224</v>
      </c>
      <c r="AA2730" s="508">
        <v>10.736000000000001</v>
      </c>
      <c r="AB2730" s="508">
        <v>10.682</v>
      </c>
      <c r="AC2730" s="508">
        <v>10.794</v>
      </c>
      <c r="AD2730" s="508">
        <v>4.5199999999999996</v>
      </c>
      <c r="AE2730" s="508">
        <v>4.5049999999999999</v>
      </c>
      <c r="AF2730" s="508">
        <v>3.9260000000000002</v>
      </c>
      <c r="AG2730" s="508">
        <v>3.88</v>
      </c>
      <c r="AH2730" s="508">
        <v>3.8160000000000003</v>
      </c>
      <c r="AI2730" s="492">
        <v>3.8160000000000003</v>
      </c>
      <c r="AJ2730" s="485"/>
    </row>
    <row r="2731" spans="2:36">
      <c r="B2731" s="136" t="s">
        <v>438</v>
      </c>
      <c r="C2731" s="132" t="s">
        <v>1362</v>
      </c>
      <c r="D2731" s="132" t="s">
        <v>283</v>
      </c>
      <c r="E2731" s="508">
        <v>40.655000000000001</v>
      </c>
      <c r="F2731" s="508">
        <v>40.652000000000001</v>
      </c>
      <c r="G2731" s="508">
        <v>40.67</v>
      </c>
      <c r="H2731" s="508">
        <v>40.679000000000002</v>
      </c>
      <c r="I2731" s="508">
        <v>40.648000000000003</v>
      </c>
      <c r="J2731" s="508">
        <v>31.810000000000002</v>
      </c>
      <c r="K2731" s="508">
        <v>32.011000000000003</v>
      </c>
      <c r="L2731" s="508">
        <v>32.018000000000001</v>
      </c>
      <c r="M2731" s="508">
        <v>31.890999999999998</v>
      </c>
      <c r="N2731" s="508">
        <v>31.998000000000001</v>
      </c>
      <c r="O2731" s="508">
        <v>31.989000000000001</v>
      </c>
      <c r="P2731" s="508">
        <v>32.045000000000002</v>
      </c>
      <c r="Q2731" s="508">
        <v>32.088999999999999</v>
      </c>
      <c r="R2731" s="508">
        <v>29.768000000000001</v>
      </c>
      <c r="S2731" s="508">
        <v>23.506999999999998</v>
      </c>
      <c r="T2731" s="508">
        <v>23.544999999999998</v>
      </c>
      <c r="U2731" s="508">
        <v>23.381</v>
      </c>
      <c r="V2731" s="508">
        <v>23.285999999999998</v>
      </c>
      <c r="W2731" s="508">
        <v>13.739000000000001</v>
      </c>
      <c r="X2731" s="508">
        <v>13.7</v>
      </c>
      <c r="Y2731" s="508">
        <v>13.722</v>
      </c>
      <c r="Z2731" s="508">
        <v>13.733000000000001</v>
      </c>
      <c r="AA2731" s="508">
        <v>10.388</v>
      </c>
      <c r="AB2731" s="508">
        <v>10.335000000000001</v>
      </c>
      <c r="AC2731" s="508">
        <v>10.445</v>
      </c>
      <c r="AD2731" s="508">
        <v>4.5380000000000003</v>
      </c>
      <c r="AE2731" s="508">
        <v>4.5229999999999997</v>
      </c>
      <c r="AF2731" s="508">
        <v>3.9859999999999998</v>
      </c>
      <c r="AG2731" s="508">
        <v>3.9420000000000002</v>
      </c>
      <c r="AH2731" s="508">
        <v>3.879</v>
      </c>
      <c r="AI2731" s="492">
        <v>3.879</v>
      </c>
      <c r="AJ2731" s="485"/>
    </row>
    <row r="2732" spans="2:36">
      <c r="B2732" s="136" t="s">
        <v>439</v>
      </c>
      <c r="C2732" s="132" t="s">
        <v>1362</v>
      </c>
      <c r="D2732" s="132" t="s">
        <v>283</v>
      </c>
      <c r="E2732" s="508">
        <v>40.683999999999997</v>
      </c>
      <c r="F2732" s="508">
        <v>40.681000000000004</v>
      </c>
      <c r="G2732" s="508">
        <v>40.689</v>
      </c>
      <c r="H2732" s="508">
        <v>40.692999999999998</v>
      </c>
      <c r="I2732" s="508">
        <v>40.68</v>
      </c>
      <c r="J2732" s="508">
        <v>31.603000000000002</v>
      </c>
      <c r="K2732" s="508">
        <v>30.420999999999999</v>
      </c>
      <c r="L2732" s="508">
        <v>30.423999999999999</v>
      </c>
      <c r="M2732" s="508">
        <v>30.367000000000001</v>
      </c>
      <c r="N2732" s="508">
        <v>30.414999999999999</v>
      </c>
      <c r="O2732" s="508">
        <v>30.411000000000001</v>
      </c>
      <c r="P2732" s="508">
        <v>30.494</v>
      </c>
      <c r="Q2732" s="508">
        <v>30.513000000000002</v>
      </c>
      <c r="R2732" s="508">
        <v>27.997999999999998</v>
      </c>
      <c r="S2732" s="508">
        <v>21.599</v>
      </c>
      <c r="T2732" s="508">
        <v>21.631999999999998</v>
      </c>
      <c r="U2732" s="508">
        <v>21.491</v>
      </c>
      <c r="V2732" s="508">
        <v>21.408999999999999</v>
      </c>
      <c r="W2732" s="508">
        <v>11.744</v>
      </c>
      <c r="X2732" s="508">
        <v>11.728</v>
      </c>
      <c r="Y2732" s="508">
        <v>11.737</v>
      </c>
      <c r="Z2732" s="508">
        <v>11.741999999999999</v>
      </c>
      <c r="AA2732" s="508">
        <v>8.6150000000000002</v>
      </c>
      <c r="AB2732" s="508">
        <v>8.5760000000000005</v>
      </c>
      <c r="AC2732" s="508">
        <v>8.6579999999999995</v>
      </c>
      <c r="AD2732" s="508">
        <v>3.0129999999999999</v>
      </c>
      <c r="AE2732" s="508">
        <v>3.0060000000000002</v>
      </c>
      <c r="AF2732" s="508">
        <v>2.4420000000000002</v>
      </c>
      <c r="AG2732" s="508">
        <v>2.3970000000000002</v>
      </c>
      <c r="AH2732" s="508">
        <v>2.335</v>
      </c>
      <c r="AI2732" s="492">
        <v>2.335</v>
      </c>
      <c r="AJ2732" s="485"/>
    </row>
    <row r="2733" spans="2:36">
      <c r="B2733" s="136" t="s">
        <v>440</v>
      </c>
      <c r="C2733" s="132" t="s">
        <v>1362</v>
      </c>
      <c r="D2733" s="132" t="s">
        <v>283</v>
      </c>
      <c r="E2733" s="508">
        <v>43.02</v>
      </c>
      <c r="F2733" s="508">
        <v>43.017000000000003</v>
      </c>
      <c r="G2733" s="508">
        <v>43.032000000000004</v>
      </c>
      <c r="H2733" s="508">
        <v>43.038000000000004</v>
      </c>
      <c r="I2733" s="508">
        <v>43.014000000000003</v>
      </c>
      <c r="J2733" s="508">
        <v>33.555</v>
      </c>
      <c r="K2733" s="508">
        <v>33.122</v>
      </c>
      <c r="L2733" s="508">
        <v>33.128999999999998</v>
      </c>
      <c r="M2733" s="508">
        <v>33.025999999999996</v>
      </c>
      <c r="N2733" s="508">
        <v>33.113</v>
      </c>
      <c r="O2733" s="508">
        <v>33.106000000000002</v>
      </c>
      <c r="P2733" s="508">
        <v>33.177999999999997</v>
      </c>
      <c r="Q2733" s="508">
        <v>33.213000000000001</v>
      </c>
      <c r="R2733" s="508">
        <v>30.626999999999999</v>
      </c>
      <c r="S2733" s="508">
        <v>23.974</v>
      </c>
      <c r="T2733" s="508">
        <v>24.011000000000003</v>
      </c>
      <c r="U2733" s="508">
        <v>23.847999999999999</v>
      </c>
      <c r="V2733" s="508">
        <v>23.753999999999998</v>
      </c>
      <c r="W2733" s="508">
        <v>13.645</v>
      </c>
      <c r="X2733" s="508">
        <v>13.614000000000001</v>
      </c>
      <c r="Y2733" s="508">
        <v>13.631</v>
      </c>
      <c r="Z2733" s="508">
        <v>13.64</v>
      </c>
      <c r="AA2733" s="508">
        <v>10.205</v>
      </c>
      <c r="AB2733" s="508">
        <v>10.154</v>
      </c>
      <c r="AC2733" s="508">
        <v>10.257999999999999</v>
      </c>
      <c r="AD2733" s="508">
        <v>4.0999999999999996</v>
      </c>
      <c r="AE2733" s="508">
        <v>4.0869999999999997</v>
      </c>
      <c r="AF2733" s="508">
        <v>3.5040000000000004</v>
      </c>
      <c r="AG2733" s="508">
        <v>3.4580000000000002</v>
      </c>
      <c r="AH2733" s="508">
        <v>3.3920000000000003</v>
      </c>
      <c r="AI2733" s="492">
        <v>3.3920000000000003</v>
      </c>
      <c r="AJ2733" s="485"/>
    </row>
    <row r="2734" spans="2:36">
      <c r="B2734" s="136" t="s">
        <v>441</v>
      </c>
      <c r="C2734" s="132" t="s">
        <v>1362</v>
      </c>
      <c r="D2734" s="132" t="s">
        <v>283</v>
      </c>
      <c r="E2734" s="508">
        <v>41.197000000000003</v>
      </c>
      <c r="F2734" s="508">
        <v>41.196000000000005</v>
      </c>
      <c r="G2734" s="508">
        <v>41.201000000000001</v>
      </c>
      <c r="H2734" s="508">
        <v>41.203000000000003</v>
      </c>
      <c r="I2734" s="508">
        <v>41.194000000000003</v>
      </c>
      <c r="J2734" s="508">
        <v>31.933</v>
      </c>
      <c r="K2734" s="508">
        <v>30.317</v>
      </c>
      <c r="L2734" s="508">
        <v>30.318999999999999</v>
      </c>
      <c r="M2734" s="508">
        <v>30.283000000000001</v>
      </c>
      <c r="N2734" s="508">
        <v>30.312999999999999</v>
      </c>
      <c r="O2734" s="508">
        <v>30.311</v>
      </c>
      <c r="P2734" s="508">
        <v>30.402999999999999</v>
      </c>
      <c r="Q2734" s="508">
        <v>30.414999999999999</v>
      </c>
      <c r="R2734" s="508">
        <v>27.844000000000001</v>
      </c>
      <c r="S2734" s="508">
        <v>21.295000000000002</v>
      </c>
      <c r="T2734" s="508">
        <v>21.326000000000001</v>
      </c>
      <c r="U2734" s="508">
        <v>21.191000000000003</v>
      </c>
      <c r="V2734" s="508">
        <v>21.111999999999998</v>
      </c>
      <c r="W2734" s="508">
        <v>11.253</v>
      </c>
      <c r="X2734" s="508">
        <v>11.244</v>
      </c>
      <c r="Y2734" s="508">
        <v>11.249000000000001</v>
      </c>
      <c r="Z2734" s="508">
        <v>11.251000000000001</v>
      </c>
      <c r="AA2734" s="508">
        <v>8.1530000000000005</v>
      </c>
      <c r="AB2734" s="508">
        <v>8.1170000000000009</v>
      </c>
      <c r="AC2734" s="508">
        <v>8.1920000000000002</v>
      </c>
      <c r="AD2734" s="508">
        <v>2.581</v>
      </c>
      <c r="AE2734" s="508">
        <v>2.5760000000000001</v>
      </c>
      <c r="AF2734" s="508">
        <v>1.9979999999999998</v>
      </c>
      <c r="AG2734" s="508">
        <v>1.952</v>
      </c>
      <c r="AH2734" s="508">
        <v>1.8889999999999998</v>
      </c>
      <c r="AI2734" s="492">
        <v>1.8889999999999998</v>
      </c>
      <c r="AJ2734" s="485"/>
    </row>
    <row r="2735" spans="2:36">
      <c r="B2735" s="136" t="s">
        <v>443</v>
      </c>
      <c r="C2735" s="132" t="s">
        <v>1362</v>
      </c>
      <c r="D2735" s="132" t="s">
        <v>283</v>
      </c>
      <c r="E2735" s="508">
        <v>40.35</v>
      </c>
      <c r="F2735" s="508">
        <v>40.350999999999999</v>
      </c>
      <c r="G2735" s="508">
        <v>40.350999999999999</v>
      </c>
      <c r="H2735" s="508">
        <v>40.350999999999999</v>
      </c>
      <c r="I2735" s="508">
        <v>40.350999999999999</v>
      </c>
      <c r="J2735" s="508">
        <v>31.161999999999999</v>
      </c>
      <c r="K2735" s="508">
        <v>28.876999999999999</v>
      </c>
      <c r="L2735" s="508">
        <v>28.876999999999999</v>
      </c>
      <c r="M2735" s="508">
        <v>28.876999999999999</v>
      </c>
      <c r="N2735" s="508">
        <v>28.876999999999999</v>
      </c>
      <c r="O2735" s="508">
        <v>28.876999999999999</v>
      </c>
      <c r="P2735" s="508">
        <v>28.983000000000001</v>
      </c>
      <c r="Q2735" s="508">
        <v>28.983000000000001</v>
      </c>
      <c r="R2735" s="508">
        <v>26.373000000000001</v>
      </c>
      <c r="S2735" s="508">
        <v>19.922000000000001</v>
      </c>
      <c r="T2735" s="508">
        <v>19.95</v>
      </c>
      <c r="U2735" s="508">
        <v>19.827999999999999</v>
      </c>
      <c r="V2735" s="508">
        <v>19.757000000000001</v>
      </c>
      <c r="W2735" s="508">
        <v>10.079000000000001</v>
      </c>
      <c r="X2735" s="508">
        <v>10.081</v>
      </c>
      <c r="Y2735" s="508">
        <v>10.08</v>
      </c>
      <c r="Z2735" s="508">
        <v>10.079000000000001</v>
      </c>
      <c r="AA2735" s="508">
        <v>7.1580000000000004</v>
      </c>
      <c r="AB2735" s="508">
        <v>7.1280000000000001</v>
      </c>
      <c r="AC2735" s="508">
        <v>7.19</v>
      </c>
      <c r="AD2735" s="508">
        <v>1.7729999999999999</v>
      </c>
      <c r="AE2735" s="508">
        <v>1.772</v>
      </c>
      <c r="AF2735" s="508">
        <v>1.19</v>
      </c>
      <c r="AG2735" s="508">
        <v>1.143</v>
      </c>
      <c r="AH2735" s="508">
        <v>1.081</v>
      </c>
      <c r="AI2735" s="492">
        <v>1.081</v>
      </c>
      <c r="AJ2735" s="485"/>
    </row>
    <row r="2736" spans="2:36">
      <c r="B2736" s="136" t="s">
        <v>445</v>
      </c>
      <c r="C2736" s="132" t="s">
        <v>1362</v>
      </c>
      <c r="D2736" s="132" t="s">
        <v>283</v>
      </c>
      <c r="E2736" s="508">
        <v>41.621000000000002</v>
      </c>
      <c r="F2736" s="508">
        <v>41.621000000000002</v>
      </c>
      <c r="G2736" s="508">
        <v>41.621000000000002</v>
      </c>
      <c r="H2736" s="508">
        <v>41.621000000000002</v>
      </c>
      <c r="I2736" s="508">
        <v>41.621000000000002</v>
      </c>
      <c r="J2736" s="508">
        <v>32.143999999999998</v>
      </c>
      <c r="K2736" s="508">
        <v>29.768000000000001</v>
      </c>
      <c r="L2736" s="508">
        <v>29.768000000000001</v>
      </c>
      <c r="M2736" s="508">
        <v>29.768000000000001</v>
      </c>
      <c r="N2736" s="508">
        <v>29.768000000000001</v>
      </c>
      <c r="O2736" s="508">
        <v>29.768000000000001</v>
      </c>
      <c r="P2736" s="508">
        <v>29.882000000000001</v>
      </c>
      <c r="Q2736" s="508">
        <v>29.882000000000001</v>
      </c>
      <c r="R2736" s="508">
        <v>26.893000000000001</v>
      </c>
      <c r="S2736" s="508">
        <v>20.472000000000001</v>
      </c>
      <c r="T2736" s="508">
        <v>20.501000000000001</v>
      </c>
      <c r="U2736" s="508">
        <v>20.376000000000001</v>
      </c>
      <c r="V2736" s="508">
        <v>20.303000000000001</v>
      </c>
      <c r="W2736" s="508">
        <v>10.63</v>
      </c>
      <c r="X2736" s="508">
        <v>10.632</v>
      </c>
      <c r="Y2736" s="508">
        <v>10.631</v>
      </c>
      <c r="Z2736" s="508">
        <v>10.63</v>
      </c>
      <c r="AA2736" s="508">
        <v>7.625</v>
      </c>
      <c r="AB2736" s="508">
        <v>7.5919999999999996</v>
      </c>
      <c r="AC2736" s="508">
        <v>7.66</v>
      </c>
      <c r="AD2736" s="508">
        <v>1.871</v>
      </c>
      <c r="AE2736" s="508">
        <v>1.869</v>
      </c>
      <c r="AF2736" s="508">
        <v>1.2549999999999999</v>
      </c>
      <c r="AG2736" s="508">
        <v>1.206</v>
      </c>
      <c r="AH2736" s="508">
        <v>1.149</v>
      </c>
      <c r="AI2736" s="492">
        <v>1.149</v>
      </c>
      <c r="AJ2736" s="485"/>
    </row>
    <row r="2737" spans="2:36">
      <c r="B2737" s="136" t="s">
        <v>446</v>
      </c>
      <c r="C2737" s="132" t="s">
        <v>1362</v>
      </c>
      <c r="D2737" s="132" t="s">
        <v>283</v>
      </c>
      <c r="E2737" s="508">
        <v>37.753999999999998</v>
      </c>
      <c r="F2737" s="508">
        <v>37.752000000000002</v>
      </c>
      <c r="G2737" s="508">
        <v>37.761000000000003</v>
      </c>
      <c r="H2737" s="508">
        <v>37.765000000000001</v>
      </c>
      <c r="I2737" s="508">
        <v>37.75</v>
      </c>
      <c r="J2737" s="508">
        <v>29.364000000000001</v>
      </c>
      <c r="K2737" s="508">
        <v>28.466000000000001</v>
      </c>
      <c r="L2737" s="508">
        <v>28.47</v>
      </c>
      <c r="M2737" s="508">
        <v>28.406999999999996</v>
      </c>
      <c r="N2737" s="508">
        <v>28.46</v>
      </c>
      <c r="O2737" s="508">
        <v>28.456</v>
      </c>
      <c r="P2737" s="508">
        <v>28.533000000000001</v>
      </c>
      <c r="Q2737" s="508">
        <v>28.555</v>
      </c>
      <c r="R2737" s="508">
        <v>26.082000000000001</v>
      </c>
      <c r="S2737" s="508">
        <v>20.315999999999999</v>
      </c>
      <c r="T2737" s="508">
        <v>20.347000000000001</v>
      </c>
      <c r="U2737" s="508">
        <v>20.212</v>
      </c>
      <c r="V2737" s="508">
        <v>20.132999999999999</v>
      </c>
      <c r="W2737" s="508">
        <v>11.379</v>
      </c>
      <c r="X2737" s="508">
        <v>11.360000000000001</v>
      </c>
      <c r="Y2737" s="508">
        <v>11.370999999999999</v>
      </c>
      <c r="Z2737" s="508">
        <v>11.375999999999999</v>
      </c>
      <c r="AA2737" s="508">
        <v>8.447000000000001</v>
      </c>
      <c r="AB2737" s="508">
        <v>8.4060000000000006</v>
      </c>
      <c r="AC2737" s="508">
        <v>8.49</v>
      </c>
      <c r="AD2737" s="508">
        <v>3.0640000000000001</v>
      </c>
      <c r="AE2737" s="508">
        <v>3.056</v>
      </c>
      <c r="AF2737" s="508">
        <v>2.5270000000000001</v>
      </c>
      <c r="AG2737" s="508">
        <v>2.4849999999999999</v>
      </c>
      <c r="AH2737" s="508">
        <v>2.4299999999999997</v>
      </c>
      <c r="AI2737" s="492">
        <v>2.4299999999999997</v>
      </c>
      <c r="AJ2737" s="485"/>
    </row>
    <row r="2738" spans="2:36">
      <c r="B2738" s="136" t="s">
        <v>448</v>
      </c>
      <c r="C2738" s="132" t="s">
        <v>1362</v>
      </c>
      <c r="D2738" s="132" t="s">
        <v>283</v>
      </c>
      <c r="E2738" s="508">
        <v>40.238</v>
      </c>
      <c r="F2738" s="508">
        <v>40.234999999999999</v>
      </c>
      <c r="G2738" s="508">
        <v>40.25</v>
      </c>
      <c r="H2738" s="508">
        <v>40.256999999999998</v>
      </c>
      <c r="I2738" s="508">
        <v>40.229999999999997</v>
      </c>
      <c r="J2738" s="508">
        <v>31.426000000000002</v>
      </c>
      <c r="K2738" s="508">
        <v>31.285</v>
      </c>
      <c r="L2738" s="508">
        <v>31.291</v>
      </c>
      <c r="M2738" s="508">
        <v>31.183</v>
      </c>
      <c r="N2738" s="508">
        <v>31.274000000000001</v>
      </c>
      <c r="O2738" s="508">
        <v>31.266999999999999</v>
      </c>
      <c r="P2738" s="508">
        <v>31.329000000000001</v>
      </c>
      <c r="Q2738" s="508">
        <v>31.366</v>
      </c>
      <c r="R2738" s="508">
        <v>29.017000000000003</v>
      </c>
      <c r="S2738" s="508">
        <v>22.795000000000002</v>
      </c>
      <c r="T2738" s="508">
        <v>22.832000000000001</v>
      </c>
      <c r="U2738" s="508">
        <v>22.673999999999999</v>
      </c>
      <c r="V2738" s="508">
        <v>22.583000000000002</v>
      </c>
      <c r="W2738" s="508">
        <v>13.117000000000001</v>
      </c>
      <c r="X2738" s="508">
        <v>13.084</v>
      </c>
      <c r="Y2738" s="508">
        <v>13.102</v>
      </c>
      <c r="Z2738" s="508">
        <v>13.112</v>
      </c>
      <c r="AA2738" s="508">
        <v>9.8559999999999999</v>
      </c>
      <c r="AB2738" s="508">
        <v>9.8070000000000004</v>
      </c>
      <c r="AC2738" s="508">
        <v>9.9090000000000007</v>
      </c>
      <c r="AD2738" s="508">
        <v>4.1180000000000003</v>
      </c>
      <c r="AE2738" s="508">
        <v>4.1059999999999999</v>
      </c>
      <c r="AF2738" s="508">
        <v>3.5670000000000002</v>
      </c>
      <c r="AG2738" s="508">
        <v>3.5229999999999997</v>
      </c>
      <c r="AH2738" s="508">
        <v>3.4609999999999999</v>
      </c>
      <c r="AI2738" s="492">
        <v>3.4609999999999999</v>
      </c>
      <c r="AJ2738" s="485"/>
    </row>
    <row r="2739" spans="2:36">
      <c r="B2739" s="136" t="s">
        <v>449</v>
      </c>
      <c r="C2739" s="132" t="s">
        <v>1362</v>
      </c>
      <c r="D2739" s="132" t="s">
        <v>283</v>
      </c>
      <c r="E2739" s="508">
        <v>36.561999999999998</v>
      </c>
      <c r="F2739" s="508">
        <v>36.561999999999998</v>
      </c>
      <c r="G2739" s="508">
        <v>36.564</v>
      </c>
      <c r="H2739" s="508">
        <v>36.564</v>
      </c>
      <c r="I2739" s="508">
        <v>36.561</v>
      </c>
      <c r="J2739" s="508">
        <v>28.275000000000002</v>
      </c>
      <c r="K2739" s="508">
        <v>26.431000000000001</v>
      </c>
      <c r="L2739" s="508">
        <v>26.433</v>
      </c>
      <c r="M2739" s="508">
        <v>26.419999999999998</v>
      </c>
      <c r="N2739" s="508">
        <v>26.43</v>
      </c>
      <c r="O2739" s="508">
        <v>26.428999999999998</v>
      </c>
      <c r="P2739" s="508">
        <v>26.520999999999997</v>
      </c>
      <c r="Q2739" s="508">
        <v>26.524999999999999</v>
      </c>
      <c r="R2739" s="508">
        <v>24.143000000000001</v>
      </c>
      <c r="S2739" s="508">
        <v>18.352</v>
      </c>
      <c r="T2739" s="508">
        <v>18.378</v>
      </c>
      <c r="U2739" s="508">
        <v>18.265000000000001</v>
      </c>
      <c r="V2739" s="508">
        <v>18.198</v>
      </c>
      <c r="W2739" s="508">
        <v>9.4920000000000009</v>
      </c>
      <c r="X2739" s="508">
        <v>9.49</v>
      </c>
      <c r="Y2739" s="508">
        <v>9.4909999999999997</v>
      </c>
      <c r="Z2739" s="508">
        <v>9.4910000000000014</v>
      </c>
      <c r="AA2739" s="508">
        <v>6.8090000000000002</v>
      </c>
      <c r="AB2739" s="508">
        <v>6.7799999999999994</v>
      </c>
      <c r="AC2739" s="508">
        <v>6.8410000000000002</v>
      </c>
      <c r="AD2739" s="508">
        <v>1.865</v>
      </c>
      <c r="AE2739" s="508">
        <v>1.863</v>
      </c>
      <c r="AF2739" s="508">
        <v>1.3380000000000001</v>
      </c>
      <c r="AG2739" s="508">
        <v>1.2959999999999998</v>
      </c>
      <c r="AH2739" s="508">
        <v>1.2410000000000001</v>
      </c>
      <c r="AI2739" s="492">
        <v>1.2410000000000001</v>
      </c>
      <c r="AJ2739" s="485"/>
    </row>
    <row r="2740" spans="2:36">
      <c r="B2740" s="136" t="s">
        <v>450</v>
      </c>
      <c r="C2740" s="132" t="s">
        <v>1362</v>
      </c>
      <c r="D2740" s="132" t="s">
        <v>283</v>
      </c>
      <c r="E2740" s="508">
        <v>43.129000000000005</v>
      </c>
      <c r="F2740" s="508">
        <v>43.125</v>
      </c>
      <c r="G2740" s="508">
        <v>43.143999999999998</v>
      </c>
      <c r="H2740" s="508">
        <v>43.152000000000001</v>
      </c>
      <c r="I2740" s="508">
        <v>43.120000000000005</v>
      </c>
      <c r="J2740" s="508">
        <v>33.735999999999997</v>
      </c>
      <c r="K2740" s="508">
        <v>33.885999999999996</v>
      </c>
      <c r="L2740" s="508">
        <v>33.893000000000001</v>
      </c>
      <c r="M2740" s="508">
        <v>33.760999999999996</v>
      </c>
      <c r="N2740" s="508">
        <v>33.872</v>
      </c>
      <c r="O2740" s="508">
        <v>33.863999999999997</v>
      </c>
      <c r="P2740" s="508">
        <v>33.926000000000002</v>
      </c>
      <c r="Q2740" s="508">
        <v>33.971000000000004</v>
      </c>
      <c r="R2740" s="508">
        <v>31.468</v>
      </c>
      <c r="S2740" s="508">
        <v>24.852</v>
      </c>
      <c r="T2740" s="508">
        <v>24.891999999999999</v>
      </c>
      <c r="U2740" s="508">
        <v>24.718999999999998</v>
      </c>
      <c r="V2740" s="508">
        <v>24.617000000000001</v>
      </c>
      <c r="W2740" s="508">
        <v>14.527000000000001</v>
      </c>
      <c r="X2740" s="508">
        <v>14.487</v>
      </c>
      <c r="Y2740" s="508">
        <v>14.509</v>
      </c>
      <c r="Z2740" s="508">
        <v>14.522</v>
      </c>
      <c r="AA2740" s="508">
        <v>10.984</v>
      </c>
      <c r="AB2740" s="508">
        <v>10.928000000000001</v>
      </c>
      <c r="AC2740" s="508">
        <v>11.042999999999999</v>
      </c>
      <c r="AD2740" s="508">
        <v>4.7560000000000002</v>
      </c>
      <c r="AE2740" s="508">
        <v>4.7390000000000008</v>
      </c>
      <c r="AF2740" s="508">
        <v>4.1660000000000004</v>
      </c>
      <c r="AG2740" s="508">
        <v>4.12</v>
      </c>
      <c r="AH2740" s="508">
        <v>4.0540000000000003</v>
      </c>
      <c r="AI2740" s="492">
        <v>4.0540000000000003</v>
      </c>
      <c r="AJ2740" s="485"/>
    </row>
    <row r="2741" spans="2:36">
      <c r="B2741" s="136" t="s">
        <v>451</v>
      </c>
      <c r="C2741" s="132" t="s">
        <v>1362</v>
      </c>
      <c r="D2741" s="132" t="s">
        <v>283</v>
      </c>
      <c r="E2741" s="508">
        <v>41.650000000000006</v>
      </c>
      <c r="F2741" s="508">
        <v>41.649000000000001</v>
      </c>
      <c r="G2741" s="508">
        <v>41.650999999999996</v>
      </c>
      <c r="H2741" s="508">
        <v>41.654000000000003</v>
      </c>
      <c r="I2741" s="508">
        <v>41.649000000000001</v>
      </c>
      <c r="J2741" s="508">
        <v>32.237000000000002</v>
      </c>
      <c r="K2741" s="508">
        <v>30.3</v>
      </c>
      <c r="L2741" s="508">
        <v>30.301000000000002</v>
      </c>
      <c r="M2741" s="508">
        <v>30.279</v>
      </c>
      <c r="N2741" s="508">
        <v>30.298000000000002</v>
      </c>
      <c r="O2741" s="508">
        <v>30.295999999999999</v>
      </c>
      <c r="P2741" s="508">
        <v>30.398</v>
      </c>
      <c r="Q2741" s="508">
        <v>30.406000000000002</v>
      </c>
      <c r="R2741" s="508">
        <v>27.591000000000001</v>
      </c>
      <c r="S2741" s="508">
        <v>21.100999999999999</v>
      </c>
      <c r="T2741" s="508">
        <v>21.132000000000001</v>
      </c>
      <c r="U2741" s="508">
        <v>20.998999999999999</v>
      </c>
      <c r="V2741" s="508">
        <v>20.921000000000003</v>
      </c>
      <c r="W2741" s="508">
        <v>11.137</v>
      </c>
      <c r="X2741" s="508">
        <v>11.132000000000001</v>
      </c>
      <c r="Y2741" s="508">
        <v>11.135</v>
      </c>
      <c r="Z2741" s="508">
        <v>11.135999999999999</v>
      </c>
      <c r="AA2741" s="508">
        <v>8.0549999999999997</v>
      </c>
      <c r="AB2741" s="508">
        <v>8.0190000000000001</v>
      </c>
      <c r="AC2741" s="508">
        <v>8.0939999999999994</v>
      </c>
      <c r="AD2741" s="508">
        <v>2.3239999999999998</v>
      </c>
      <c r="AE2741" s="508">
        <v>2.3200000000000003</v>
      </c>
      <c r="AF2741" s="508">
        <v>1.7210000000000001</v>
      </c>
      <c r="AG2741" s="508">
        <v>1.673</v>
      </c>
      <c r="AH2741" s="508">
        <v>1.613</v>
      </c>
      <c r="AI2741" s="492">
        <v>1.613</v>
      </c>
      <c r="AJ2741" s="485"/>
    </row>
    <row r="2742" spans="2:36">
      <c r="B2742" s="136" t="s">
        <v>452</v>
      </c>
      <c r="C2742" s="132" t="s">
        <v>1362</v>
      </c>
      <c r="D2742" s="132" t="s">
        <v>283</v>
      </c>
      <c r="E2742" s="508">
        <v>42.127000000000002</v>
      </c>
      <c r="F2742" s="508">
        <v>42.124000000000002</v>
      </c>
      <c r="G2742" s="508">
        <v>42.138000000000005</v>
      </c>
      <c r="H2742" s="508">
        <v>42.144000000000005</v>
      </c>
      <c r="I2742" s="508">
        <v>42.120000000000005</v>
      </c>
      <c r="J2742" s="508">
        <v>32.858000000000004</v>
      </c>
      <c r="K2742" s="508">
        <v>32.436999999999998</v>
      </c>
      <c r="L2742" s="508">
        <v>32.442999999999998</v>
      </c>
      <c r="M2742" s="508">
        <v>32.342999999999996</v>
      </c>
      <c r="N2742" s="508">
        <v>32.427</v>
      </c>
      <c r="O2742" s="508">
        <v>32.420999999999999</v>
      </c>
      <c r="P2742" s="508">
        <v>32.493000000000002</v>
      </c>
      <c r="Q2742" s="508">
        <v>32.527000000000001</v>
      </c>
      <c r="R2742" s="508">
        <v>29.948</v>
      </c>
      <c r="S2742" s="508">
        <v>23.483999999999998</v>
      </c>
      <c r="T2742" s="508">
        <v>23.520999999999997</v>
      </c>
      <c r="U2742" s="508">
        <v>23.36</v>
      </c>
      <c r="V2742" s="508">
        <v>23.266999999999999</v>
      </c>
      <c r="W2742" s="508">
        <v>13.433</v>
      </c>
      <c r="X2742" s="508">
        <v>13.403</v>
      </c>
      <c r="Y2742" s="508">
        <v>13.419</v>
      </c>
      <c r="Z2742" s="508">
        <v>13.429</v>
      </c>
      <c r="AA2742" s="508">
        <v>10.065</v>
      </c>
      <c r="AB2742" s="508">
        <v>10.016</v>
      </c>
      <c r="AC2742" s="508">
        <v>10.119</v>
      </c>
      <c r="AD2742" s="508">
        <v>4.0350000000000001</v>
      </c>
      <c r="AE2742" s="508">
        <v>4.0220000000000002</v>
      </c>
      <c r="AF2742" s="508">
        <v>3.4470000000000001</v>
      </c>
      <c r="AG2742" s="508">
        <v>3.4009999999999998</v>
      </c>
      <c r="AH2742" s="508">
        <v>3.3380000000000001</v>
      </c>
      <c r="AI2742" s="492">
        <v>3.3380000000000001</v>
      </c>
      <c r="AJ2742" s="485"/>
    </row>
    <row r="2743" spans="2:36">
      <c r="B2743" s="136" t="s">
        <v>453</v>
      </c>
      <c r="C2743" s="132" t="s">
        <v>1362</v>
      </c>
      <c r="D2743" s="132" t="s">
        <v>283</v>
      </c>
      <c r="E2743" s="508">
        <v>42.625</v>
      </c>
      <c r="F2743" s="508">
        <v>42.621000000000002</v>
      </c>
      <c r="G2743" s="508">
        <v>42.64</v>
      </c>
      <c r="H2743" s="508">
        <v>42.649000000000001</v>
      </c>
      <c r="I2743" s="508">
        <v>42.616</v>
      </c>
      <c r="J2743" s="508">
        <v>33.365000000000002</v>
      </c>
      <c r="K2743" s="508">
        <v>33.665999999999997</v>
      </c>
      <c r="L2743" s="508">
        <v>33.673999999999999</v>
      </c>
      <c r="M2743" s="508">
        <v>33.535000000000004</v>
      </c>
      <c r="N2743" s="508">
        <v>33.652000000000001</v>
      </c>
      <c r="O2743" s="508">
        <v>33.643000000000001</v>
      </c>
      <c r="P2743" s="508">
        <v>33.701000000000001</v>
      </c>
      <c r="Q2743" s="508">
        <v>33.747999999999998</v>
      </c>
      <c r="R2743" s="508">
        <v>31.307000000000002</v>
      </c>
      <c r="S2743" s="508">
        <v>24.773000000000003</v>
      </c>
      <c r="T2743" s="508">
        <v>24.814</v>
      </c>
      <c r="U2743" s="508">
        <v>24.64</v>
      </c>
      <c r="V2743" s="508">
        <v>24.538</v>
      </c>
      <c r="W2743" s="508">
        <v>14.565000000000001</v>
      </c>
      <c r="X2743" s="508">
        <v>14.522</v>
      </c>
      <c r="Y2743" s="508">
        <v>14.545</v>
      </c>
      <c r="Z2743" s="508">
        <v>14.559000000000001</v>
      </c>
      <c r="AA2743" s="508">
        <v>11.038</v>
      </c>
      <c r="AB2743" s="508">
        <v>10.981000000000002</v>
      </c>
      <c r="AC2743" s="508">
        <v>11.098000000000001</v>
      </c>
      <c r="AD2743" s="508">
        <v>4.8650000000000002</v>
      </c>
      <c r="AE2743" s="508">
        <v>4.8479999999999999</v>
      </c>
      <c r="AF2743" s="508">
        <v>4.2850000000000001</v>
      </c>
      <c r="AG2743" s="508">
        <v>4.24</v>
      </c>
      <c r="AH2743" s="508">
        <v>4.1739999999999995</v>
      </c>
      <c r="AI2743" s="492">
        <v>4.1739999999999995</v>
      </c>
      <c r="AJ2743" s="485"/>
    </row>
    <row r="2744" spans="2:36">
      <c r="B2744" s="136" t="s">
        <v>454</v>
      </c>
      <c r="C2744" s="132" t="s">
        <v>1362</v>
      </c>
      <c r="D2744" s="132" t="s">
        <v>283</v>
      </c>
      <c r="E2744" s="508">
        <v>41.41</v>
      </c>
      <c r="F2744" s="508">
        <v>41.406999999999996</v>
      </c>
      <c r="G2744" s="508">
        <v>41.420999999999999</v>
      </c>
      <c r="H2744" s="508">
        <v>41.427</v>
      </c>
      <c r="I2744" s="508">
        <v>41.402999999999999</v>
      </c>
      <c r="J2744" s="508">
        <v>32.305999999999997</v>
      </c>
      <c r="K2744" s="508">
        <v>31.940999999999999</v>
      </c>
      <c r="L2744" s="508">
        <v>31.946999999999999</v>
      </c>
      <c r="M2744" s="508">
        <v>31.846</v>
      </c>
      <c r="N2744" s="508">
        <v>31.930999999999997</v>
      </c>
      <c r="O2744" s="508">
        <v>31.923999999999999</v>
      </c>
      <c r="P2744" s="508">
        <v>31.993000000000002</v>
      </c>
      <c r="Q2744" s="508">
        <v>32.027000000000001</v>
      </c>
      <c r="R2744" s="508">
        <v>29.605999999999998</v>
      </c>
      <c r="S2744" s="508">
        <v>23.163</v>
      </c>
      <c r="T2744" s="508">
        <v>23.198999999999998</v>
      </c>
      <c r="U2744" s="508">
        <v>23.041</v>
      </c>
      <c r="V2744" s="508">
        <v>22.949000000000002</v>
      </c>
      <c r="W2744" s="508">
        <v>13.164</v>
      </c>
      <c r="X2744" s="508">
        <v>13.134</v>
      </c>
      <c r="Y2744" s="508">
        <v>13.149999999999999</v>
      </c>
      <c r="Z2744" s="508">
        <v>13.16</v>
      </c>
      <c r="AA2744" s="508">
        <v>9.8439999999999994</v>
      </c>
      <c r="AB2744" s="508">
        <v>9.7949999999999999</v>
      </c>
      <c r="AC2744" s="508">
        <v>9.895999999999999</v>
      </c>
      <c r="AD2744" s="508">
        <v>3.9930000000000003</v>
      </c>
      <c r="AE2744" s="508">
        <v>3.98</v>
      </c>
      <c r="AF2744" s="508">
        <v>3.4219999999999997</v>
      </c>
      <c r="AG2744" s="508">
        <v>3.3769999999999998</v>
      </c>
      <c r="AH2744" s="508">
        <v>3.3129999999999997</v>
      </c>
      <c r="AI2744" s="492">
        <v>3.3129999999999997</v>
      </c>
      <c r="AJ2744" s="485"/>
    </row>
    <row r="2745" spans="2:36">
      <c r="B2745" s="136" t="s">
        <v>455</v>
      </c>
      <c r="C2745" s="132" t="s">
        <v>1362</v>
      </c>
      <c r="D2745" s="132" t="s">
        <v>283</v>
      </c>
      <c r="E2745" s="508">
        <v>41.910000000000004</v>
      </c>
      <c r="F2745" s="508">
        <v>41.905000000000001</v>
      </c>
      <c r="G2745" s="508">
        <v>41.927</v>
      </c>
      <c r="H2745" s="508">
        <v>41.937000000000005</v>
      </c>
      <c r="I2745" s="508">
        <v>41.899000000000001</v>
      </c>
      <c r="J2745" s="508">
        <v>32.875</v>
      </c>
      <c r="K2745" s="508">
        <v>33.591000000000001</v>
      </c>
      <c r="L2745" s="508">
        <v>33.6</v>
      </c>
      <c r="M2745" s="508">
        <v>33.441000000000003</v>
      </c>
      <c r="N2745" s="508">
        <v>33.574999999999996</v>
      </c>
      <c r="O2745" s="508">
        <v>33.564999999999998</v>
      </c>
      <c r="P2745" s="508">
        <v>33.613</v>
      </c>
      <c r="Q2745" s="508">
        <v>33.667000000000002</v>
      </c>
      <c r="R2745" s="508">
        <v>31.3</v>
      </c>
      <c r="S2745" s="508">
        <v>24.925000000000001</v>
      </c>
      <c r="T2745" s="508">
        <v>24.966000000000001</v>
      </c>
      <c r="U2745" s="508">
        <v>24.788</v>
      </c>
      <c r="V2745" s="508">
        <v>24.684999999999999</v>
      </c>
      <c r="W2745" s="508">
        <v>14.924999999999999</v>
      </c>
      <c r="X2745" s="508">
        <v>14.877000000000001</v>
      </c>
      <c r="Y2745" s="508">
        <v>14.904</v>
      </c>
      <c r="Z2745" s="508">
        <v>14.919</v>
      </c>
      <c r="AA2745" s="508">
        <v>11.388999999999999</v>
      </c>
      <c r="AB2745" s="508">
        <v>11.33</v>
      </c>
      <c r="AC2745" s="508">
        <v>11.452</v>
      </c>
      <c r="AD2745" s="508">
        <v>5.2450000000000001</v>
      </c>
      <c r="AE2745" s="508">
        <v>5.226</v>
      </c>
      <c r="AF2745" s="508">
        <v>4.681</v>
      </c>
      <c r="AG2745" s="508">
        <v>4.6370000000000005</v>
      </c>
      <c r="AH2745" s="508">
        <v>4.5720000000000001</v>
      </c>
      <c r="AI2745" s="492">
        <v>4.5720000000000001</v>
      </c>
      <c r="AJ2745" s="485"/>
    </row>
    <row r="2746" spans="2:36">
      <c r="B2746" s="136" t="s">
        <v>456</v>
      </c>
      <c r="C2746" s="132" t="s">
        <v>1362</v>
      </c>
      <c r="D2746" s="132" t="s">
        <v>283</v>
      </c>
      <c r="E2746" s="508">
        <v>38.9</v>
      </c>
      <c r="F2746" s="508">
        <v>38.898000000000003</v>
      </c>
      <c r="G2746" s="508">
        <v>38.911999999999999</v>
      </c>
      <c r="H2746" s="508">
        <v>38.918999999999997</v>
      </c>
      <c r="I2746" s="508">
        <v>38.893999999999998</v>
      </c>
      <c r="J2746" s="508">
        <v>30.375</v>
      </c>
      <c r="K2746" s="508">
        <v>30.195</v>
      </c>
      <c r="L2746" s="508">
        <v>30.201000000000001</v>
      </c>
      <c r="M2746" s="508">
        <v>30.097999999999999</v>
      </c>
      <c r="N2746" s="508">
        <v>30.184999999999999</v>
      </c>
      <c r="O2746" s="508">
        <v>30.178999999999998</v>
      </c>
      <c r="P2746" s="508">
        <v>30.240000000000002</v>
      </c>
      <c r="Q2746" s="508">
        <v>30.276</v>
      </c>
      <c r="R2746" s="508">
        <v>27.968</v>
      </c>
      <c r="S2746" s="508">
        <v>21.974</v>
      </c>
      <c r="T2746" s="508">
        <v>22.01</v>
      </c>
      <c r="U2746" s="508">
        <v>21.858000000000001</v>
      </c>
      <c r="V2746" s="508">
        <v>21.771000000000001</v>
      </c>
      <c r="W2746" s="508">
        <v>12.649000000000001</v>
      </c>
      <c r="X2746" s="508">
        <v>12.618</v>
      </c>
      <c r="Y2746" s="508">
        <v>12.635</v>
      </c>
      <c r="Z2746" s="508">
        <v>12.645</v>
      </c>
      <c r="AA2746" s="508">
        <v>9.5039999999999996</v>
      </c>
      <c r="AB2746" s="508">
        <v>9.4570000000000007</v>
      </c>
      <c r="AC2746" s="508">
        <v>9.5560000000000009</v>
      </c>
      <c r="AD2746" s="508">
        <v>3.9409999999999998</v>
      </c>
      <c r="AE2746" s="508">
        <v>3.9289999999999998</v>
      </c>
      <c r="AF2746" s="508">
        <v>3.4059999999999997</v>
      </c>
      <c r="AG2746" s="508">
        <v>3.3639999999999999</v>
      </c>
      <c r="AH2746" s="508">
        <v>3.3039999999999998</v>
      </c>
      <c r="AI2746" s="492">
        <v>3.3039999999999998</v>
      </c>
      <c r="AJ2746" s="485"/>
    </row>
    <row r="2747" spans="2:36">
      <c r="B2747" s="136" t="s">
        <v>457</v>
      </c>
      <c r="C2747" s="132" t="s">
        <v>1362</v>
      </c>
      <c r="D2747" s="132" t="s">
        <v>283</v>
      </c>
      <c r="E2747" s="508">
        <v>43.152999999999999</v>
      </c>
      <c r="F2747" s="508">
        <v>43.149000000000001</v>
      </c>
      <c r="G2747" s="508">
        <v>43.168999999999997</v>
      </c>
      <c r="H2747" s="508">
        <v>43.18</v>
      </c>
      <c r="I2747" s="508">
        <v>43.143999999999998</v>
      </c>
      <c r="J2747" s="508">
        <v>33.795000000000002</v>
      </c>
      <c r="K2747" s="508">
        <v>34.201000000000001</v>
      </c>
      <c r="L2747" s="508">
        <v>34.208999999999996</v>
      </c>
      <c r="M2747" s="508">
        <v>34.064</v>
      </c>
      <c r="N2747" s="508">
        <v>34.186999999999998</v>
      </c>
      <c r="O2747" s="508">
        <v>34.176000000000002</v>
      </c>
      <c r="P2747" s="508">
        <v>34.231999999999999</v>
      </c>
      <c r="Q2747" s="508">
        <v>34.281999999999996</v>
      </c>
      <c r="R2747" s="508">
        <v>31.881</v>
      </c>
      <c r="S2747" s="508">
        <v>25.229000000000003</v>
      </c>
      <c r="T2747" s="508">
        <v>25.27</v>
      </c>
      <c r="U2747" s="508">
        <v>25.092000000000002</v>
      </c>
      <c r="V2747" s="508">
        <v>24.989000000000001</v>
      </c>
      <c r="W2747" s="508">
        <v>14.837999999999999</v>
      </c>
      <c r="X2747" s="508">
        <v>14.795000000000002</v>
      </c>
      <c r="Y2747" s="508">
        <v>14.818999999999999</v>
      </c>
      <c r="Z2747" s="508">
        <v>14.831999999999999</v>
      </c>
      <c r="AA2747" s="508">
        <v>11.25</v>
      </c>
      <c r="AB2747" s="508">
        <v>11.193</v>
      </c>
      <c r="AC2747" s="508">
        <v>11.312000000000001</v>
      </c>
      <c r="AD2747" s="508">
        <v>5.0250000000000004</v>
      </c>
      <c r="AE2747" s="508">
        <v>5.0069999999999997</v>
      </c>
      <c r="AF2747" s="508">
        <v>4.4409999999999998</v>
      </c>
      <c r="AG2747" s="508">
        <v>4.3959999999999999</v>
      </c>
      <c r="AH2747" s="508">
        <v>4.327</v>
      </c>
      <c r="AI2747" s="492">
        <v>4.327</v>
      </c>
      <c r="AJ2747" s="485"/>
    </row>
    <row r="2748" spans="2:36">
      <c r="B2748" s="136" t="s">
        <v>458</v>
      </c>
      <c r="C2748" s="132" t="s">
        <v>1362</v>
      </c>
      <c r="D2748" s="132" t="s">
        <v>283</v>
      </c>
      <c r="E2748" s="508">
        <v>41.051000000000002</v>
      </c>
      <c r="F2748" s="508">
        <v>41.048999999999999</v>
      </c>
      <c r="G2748" s="508">
        <v>41.058</v>
      </c>
      <c r="H2748" s="508">
        <v>41.062999999999995</v>
      </c>
      <c r="I2748" s="508">
        <v>41.045999999999999</v>
      </c>
      <c r="J2748" s="508">
        <v>31.916</v>
      </c>
      <c r="K2748" s="508">
        <v>30.884</v>
      </c>
      <c r="L2748" s="508">
        <v>30.887</v>
      </c>
      <c r="M2748" s="508">
        <v>30.822000000000003</v>
      </c>
      <c r="N2748" s="508">
        <v>30.877000000000002</v>
      </c>
      <c r="O2748" s="508">
        <v>30.873000000000001</v>
      </c>
      <c r="P2748" s="508">
        <v>30.953000000000003</v>
      </c>
      <c r="Q2748" s="508">
        <v>30.976000000000003</v>
      </c>
      <c r="R2748" s="508">
        <v>28.481000000000002</v>
      </c>
      <c r="S2748" s="508">
        <v>22.024000000000001</v>
      </c>
      <c r="T2748" s="508">
        <v>22.057000000000002</v>
      </c>
      <c r="U2748" s="508">
        <v>21.913</v>
      </c>
      <c r="V2748" s="508">
        <v>21.829000000000001</v>
      </c>
      <c r="W2748" s="508">
        <v>12.068999999999999</v>
      </c>
      <c r="X2748" s="508">
        <v>12.052</v>
      </c>
      <c r="Y2748" s="508">
        <v>12.061</v>
      </c>
      <c r="Z2748" s="508">
        <v>12.067</v>
      </c>
      <c r="AA2748" s="508">
        <v>8.8859999999999992</v>
      </c>
      <c r="AB2748" s="508">
        <v>8.8450000000000006</v>
      </c>
      <c r="AC2748" s="508">
        <v>8.9309999999999992</v>
      </c>
      <c r="AD2748" s="508">
        <v>3.2160000000000002</v>
      </c>
      <c r="AE2748" s="508">
        <v>3.2069999999999999</v>
      </c>
      <c r="AF2748" s="508">
        <v>2.641</v>
      </c>
      <c r="AG2748" s="508">
        <v>2.5960000000000001</v>
      </c>
      <c r="AH2748" s="508">
        <v>2.5329999999999999</v>
      </c>
      <c r="AI2748" s="492">
        <v>2.5329999999999999</v>
      </c>
      <c r="AJ2748" s="485"/>
    </row>
    <row r="2749" spans="2:36">
      <c r="B2749" s="136" t="s">
        <v>459</v>
      </c>
      <c r="C2749" s="132" t="s">
        <v>1362</v>
      </c>
      <c r="D2749" s="132" t="s">
        <v>283</v>
      </c>
      <c r="E2749" s="508">
        <v>41.908999999999999</v>
      </c>
      <c r="F2749" s="508">
        <v>41.906999999999996</v>
      </c>
      <c r="G2749" s="508">
        <v>41.915999999999997</v>
      </c>
      <c r="H2749" s="508">
        <v>41.920999999999999</v>
      </c>
      <c r="I2749" s="508">
        <v>41.903999999999996</v>
      </c>
      <c r="J2749" s="508">
        <v>32.596000000000004</v>
      </c>
      <c r="K2749" s="508">
        <v>31.619999999999997</v>
      </c>
      <c r="L2749" s="508">
        <v>31.623999999999999</v>
      </c>
      <c r="M2749" s="508">
        <v>31.553000000000001</v>
      </c>
      <c r="N2749" s="508">
        <v>31.613</v>
      </c>
      <c r="O2749" s="508">
        <v>31.608000000000001</v>
      </c>
      <c r="P2749" s="508">
        <v>31.689</v>
      </c>
      <c r="Q2749" s="508">
        <v>31.712999999999997</v>
      </c>
      <c r="R2749" s="508">
        <v>29.17</v>
      </c>
      <c r="S2749" s="508">
        <v>22.591999999999999</v>
      </c>
      <c r="T2749" s="508">
        <v>22.625999999999998</v>
      </c>
      <c r="U2749" s="508">
        <v>22.477</v>
      </c>
      <c r="V2749" s="508">
        <v>22.39</v>
      </c>
      <c r="W2749" s="508">
        <v>12.440999999999999</v>
      </c>
      <c r="X2749" s="508">
        <v>12.42</v>
      </c>
      <c r="Y2749" s="508">
        <v>12.431000000000001</v>
      </c>
      <c r="Z2749" s="508">
        <v>12.437999999999999</v>
      </c>
      <c r="AA2749" s="508">
        <v>9.1780000000000008</v>
      </c>
      <c r="AB2749" s="508">
        <v>9.1349999999999998</v>
      </c>
      <c r="AC2749" s="508">
        <v>9.2249999999999996</v>
      </c>
      <c r="AD2749" s="508">
        <v>3.371</v>
      </c>
      <c r="AE2749" s="508">
        <v>3.3609999999999998</v>
      </c>
      <c r="AF2749" s="508">
        <v>2.7850000000000001</v>
      </c>
      <c r="AG2749" s="508">
        <v>2.7389999999999999</v>
      </c>
      <c r="AH2749" s="508">
        <v>2.6749999999999998</v>
      </c>
      <c r="AI2749" s="492">
        <v>2.6749999999999998</v>
      </c>
      <c r="AJ2749" s="485"/>
    </row>
    <row r="2750" spans="2:36">
      <c r="B2750" s="136" t="s">
        <v>460</v>
      </c>
      <c r="C2750" s="132" t="s">
        <v>1362</v>
      </c>
      <c r="D2750" s="132" t="s">
        <v>283</v>
      </c>
      <c r="E2750" s="508">
        <v>42.545000000000002</v>
      </c>
      <c r="F2750" s="508">
        <v>42.542000000000002</v>
      </c>
      <c r="G2750" s="508">
        <v>42.555999999999997</v>
      </c>
      <c r="H2750" s="508">
        <v>42.563000000000002</v>
      </c>
      <c r="I2750" s="508">
        <v>42.537999999999997</v>
      </c>
      <c r="J2750" s="508">
        <v>33.198</v>
      </c>
      <c r="K2750" s="508">
        <v>32.856000000000002</v>
      </c>
      <c r="L2750" s="508">
        <v>32.862000000000002</v>
      </c>
      <c r="M2750" s="508">
        <v>32.756</v>
      </c>
      <c r="N2750" s="508">
        <v>32.844999999999999</v>
      </c>
      <c r="O2750" s="508">
        <v>32.838000000000001</v>
      </c>
      <c r="P2750" s="508">
        <v>32.908999999999999</v>
      </c>
      <c r="Q2750" s="508">
        <v>32.945</v>
      </c>
      <c r="R2750" s="508">
        <v>30.377000000000002</v>
      </c>
      <c r="S2750" s="508">
        <v>23.826999999999998</v>
      </c>
      <c r="T2750" s="508">
        <v>23.866</v>
      </c>
      <c r="U2750" s="508">
        <v>23.701999999999998</v>
      </c>
      <c r="V2750" s="508">
        <v>23.606999999999999</v>
      </c>
      <c r="W2750" s="508">
        <v>13.645</v>
      </c>
      <c r="X2750" s="508">
        <v>13.613</v>
      </c>
      <c r="Y2750" s="508">
        <v>13.631</v>
      </c>
      <c r="Z2750" s="508">
        <v>13.641</v>
      </c>
      <c r="AA2750" s="508">
        <v>10.23</v>
      </c>
      <c r="AB2750" s="508">
        <v>10.179</v>
      </c>
      <c r="AC2750" s="508">
        <v>10.283999999999999</v>
      </c>
      <c r="AD2750" s="508">
        <v>4.1559999999999997</v>
      </c>
      <c r="AE2750" s="508">
        <v>4.1429999999999998</v>
      </c>
      <c r="AF2750" s="508">
        <v>3.5669999999999997</v>
      </c>
      <c r="AG2750" s="508">
        <v>3.5199999999999996</v>
      </c>
      <c r="AH2750" s="508">
        <v>3.4559999999999995</v>
      </c>
      <c r="AI2750" s="492">
        <v>3.4559999999999995</v>
      </c>
      <c r="AJ2750" s="485"/>
    </row>
    <row r="2751" spans="2:36">
      <c r="B2751" s="136" t="s">
        <v>461</v>
      </c>
      <c r="C2751" s="132" t="s">
        <v>1362</v>
      </c>
      <c r="D2751" s="132" t="s">
        <v>283</v>
      </c>
      <c r="E2751" s="508">
        <v>42.273000000000003</v>
      </c>
      <c r="F2751" s="508">
        <v>42.271000000000001</v>
      </c>
      <c r="G2751" s="508">
        <v>42.280999999999999</v>
      </c>
      <c r="H2751" s="508">
        <v>42.286000000000001</v>
      </c>
      <c r="I2751" s="508">
        <v>42.268000000000001</v>
      </c>
      <c r="J2751" s="508">
        <v>32.890999999999998</v>
      </c>
      <c r="K2751" s="508">
        <v>31.984000000000002</v>
      </c>
      <c r="L2751" s="508">
        <v>31.988</v>
      </c>
      <c r="M2751" s="508">
        <v>31.913</v>
      </c>
      <c r="N2751" s="508">
        <v>31.976000000000003</v>
      </c>
      <c r="O2751" s="508">
        <v>31.971</v>
      </c>
      <c r="P2751" s="508">
        <v>32.051000000000002</v>
      </c>
      <c r="Q2751" s="508">
        <v>32.078000000000003</v>
      </c>
      <c r="R2751" s="508">
        <v>29.554000000000002</v>
      </c>
      <c r="S2751" s="508">
        <v>22.911000000000001</v>
      </c>
      <c r="T2751" s="508">
        <v>22.946999999999999</v>
      </c>
      <c r="U2751" s="508">
        <v>22.794</v>
      </c>
      <c r="V2751" s="508">
        <v>22.704999999999998</v>
      </c>
      <c r="W2751" s="508">
        <v>12.652999999999999</v>
      </c>
      <c r="X2751" s="508">
        <v>12.632</v>
      </c>
      <c r="Y2751" s="508">
        <v>12.644</v>
      </c>
      <c r="Z2751" s="508">
        <v>12.649999999999999</v>
      </c>
      <c r="AA2751" s="508">
        <v>9.3509999999999991</v>
      </c>
      <c r="AB2751" s="508">
        <v>9.3070000000000004</v>
      </c>
      <c r="AC2751" s="508">
        <v>9.3979999999999997</v>
      </c>
      <c r="AD2751" s="508">
        <v>3.484</v>
      </c>
      <c r="AE2751" s="508">
        <v>3.4740000000000002</v>
      </c>
      <c r="AF2751" s="508">
        <v>2.895</v>
      </c>
      <c r="AG2751" s="508">
        <v>2.8479999999999999</v>
      </c>
      <c r="AH2751" s="508">
        <v>2.782</v>
      </c>
      <c r="AI2751" s="492">
        <v>2.782</v>
      </c>
      <c r="AJ2751" s="485"/>
    </row>
    <row r="2752" spans="2:36">
      <c r="B2752" s="136" t="s">
        <v>462</v>
      </c>
      <c r="C2752" s="132" t="s">
        <v>1362</v>
      </c>
      <c r="D2752" s="132" t="s">
        <v>283</v>
      </c>
      <c r="E2752" s="508">
        <v>39.276000000000003</v>
      </c>
      <c r="F2752" s="508">
        <v>39.273000000000003</v>
      </c>
      <c r="G2752" s="508">
        <v>39.285000000000004</v>
      </c>
      <c r="H2752" s="508">
        <v>39.291000000000004</v>
      </c>
      <c r="I2752" s="508">
        <v>39.270000000000003</v>
      </c>
      <c r="J2752" s="508">
        <v>30.617000000000001</v>
      </c>
      <c r="K2752" s="508">
        <v>30.121000000000002</v>
      </c>
      <c r="L2752" s="508">
        <v>30.126000000000001</v>
      </c>
      <c r="M2752" s="508">
        <v>30.038</v>
      </c>
      <c r="N2752" s="508">
        <v>30.112000000000002</v>
      </c>
      <c r="O2752" s="508">
        <v>30.106000000000002</v>
      </c>
      <c r="P2752" s="508">
        <v>30.173999999999999</v>
      </c>
      <c r="Q2752" s="508">
        <v>30.204000000000001</v>
      </c>
      <c r="R2752" s="508">
        <v>27.910999999999998</v>
      </c>
      <c r="S2752" s="508">
        <v>21.775000000000002</v>
      </c>
      <c r="T2752" s="508">
        <v>21.809000000000001</v>
      </c>
      <c r="U2752" s="508">
        <v>21.661000000000001</v>
      </c>
      <c r="V2752" s="508">
        <v>21.574999999999999</v>
      </c>
      <c r="W2752" s="508">
        <v>12.266</v>
      </c>
      <c r="X2752" s="508">
        <v>12.24</v>
      </c>
      <c r="Y2752" s="508">
        <v>12.254</v>
      </c>
      <c r="Z2752" s="508">
        <v>12.262</v>
      </c>
      <c r="AA2752" s="508">
        <v>9.141</v>
      </c>
      <c r="AB2752" s="508">
        <v>9.0969999999999995</v>
      </c>
      <c r="AC2752" s="508">
        <v>9.19</v>
      </c>
      <c r="AD2752" s="508">
        <v>3.6219999999999999</v>
      </c>
      <c r="AE2752" s="508">
        <v>3.6120000000000001</v>
      </c>
      <c r="AF2752" s="508">
        <v>3.08</v>
      </c>
      <c r="AG2752" s="508">
        <v>3.0369999999999999</v>
      </c>
      <c r="AH2752" s="508">
        <v>2.9750000000000001</v>
      </c>
      <c r="AI2752" s="492">
        <v>2.9750000000000001</v>
      </c>
      <c r="AJ2752" s="485"/>
    </row>
    <row r="2753" spans="2:36">
      <c r="B2753" s="136" t="s">
        <v>463</v>
      </c>
      <c r="C2753" s="132" t="s">
        <v>1362</v>
      </c>
      <c r="D2753" s="132" t="s">
        <v>283</v>
      </c>
      <c r="E2753" s="508">
        <v>41.036000000000001</v>
      </c>
      <c r="F2753" s="508">
        <v>41.033000000000001</v>
      </c>
      <c r="G2753" s="508">
        <v>41.048000000000002</v>
      </c>
      <c r="H2753" s="508">
        <v>41.056000000000004</v>
      </c>
      <c r="I2753" s="508">
        <v>41.029000000000003</v>
      </c>
      <c r="J2753" s="508">
        <v>32.045999999999999</v>
      </c>
      <c r="K2753" s="508">
        <v>31.875</v>
      </c>
      <c r="L2753" s="508">
        <v>31.882000000000001</v>
      </c>
      <c r="M2753" s="508">
        <v>31.773</v>
      </c>
      <c r="N2753" s="508">
        <v>31.865000000000002</v>
      </c>
      <c r="O2753" s="508">
        <v>31.858000000000001</v>
      </c>
      <c r="P2753" s="508">
        <v>31.92</v>
      </c>
      <c r="Q2753" s="508">
        <v>31.957000000000001</v>
      </c>
      <c r="R2753" s="508">
        <v>29.626999999999999</v>
      </c>
      <c r="S2753" s="508">
        <v>23.215</v>
      </c>
      <c r="T2753" s="508">
        <v>23.251999999999999</v>
      </c>
      <c r="U2753" s="508">
        <v>23.091999999999999</v>
      </c>
      <c r="V2753" s="508">
        <v>22.999000000000002</v>
      </c>
      <c r="W2753" s="508">
        <v>13.259</v>
      </c>
      <c r="X2753" s="508">
        <v>13.228</v>
      </c>
      <c r="Y2753" s="508">
        <v>13.244999999999999</v>
      </c>
      <c r="Z2753" s="508">
        <v>13.256</v>
      </c>
      <c r="AA2753" s="508">
        <v>9.9370000000000012</v>
      </c>
      <c r="AB2753" s="508">
        <v>9.8879999999999999</v>
      </c>
      <c r="AC2753" s="508">
        <v>9.99</v>
      </c>
      <c r="AD2753" s="508">
        <v>4.1520000000000001</v>
      </c>
      <c r="AE2753" s="508">
        <v>4.1390000000000002</v>
      </c>
      <c r="AF2753" s="508">
        <v>3.5920000000000001</v>
      </c>
      <c r="AG2753" s="508">
        <v>3.548</v>
      </c>
      <c r="AH2753" s="508">
        <v>3.484</v>
      </c>
      <c r="AI2753" s="492">
        <v>3.484</v>
      </c>
      <c r="AJ2753" s="485"/>
    </row>
    <row r="2754" spans="2:36">
      <c r="B2754" s="136" t="s">
        <v>464</v>
      </c>
      <c r="C2754" s="132" t="s">
        <v>1362</v>
      </c>
      <c r="D2754" s="132" t="s">
        <v>283</v>
      </c>
      <c r="E2754" s="508">
        <v>43.832000000000001</v>
      </c>
      <c r="F2754" s="508">
        <v>43.827000000000005</v>
      </c>
      <c r="G2754" s="508">
        <v>43.848999999999997</v>
      </c>
      <c r="H2754" s="508">
        <v>43.860999999999997</v>
      </c>
      <c r="I2754" s="508">
        <v>43.818999999999996</v>
      </c>
      <c r="J2754" s="508">
        <v>34.405000000000001</v>
      </c>
      <c r="K2754" s="508">
        <v>35.292999999999999</v>
      </c>
      <c r="L2754" s="508">
        <v>35.303000000000004</v>
      </c>
      <c r="M2754" s="508">
        <v>35.132000000000005</v>
      </c>
      <c r="N2754" s="508">
        <v>35.276000000000003</v>
      </c>
      <c r="O2754" s="508">
        <v>35.265000000000001</v>
      </c>
      <c r="P2754" s="508">
        <v>35.313000000000002</v>
      </c>
      <c r="Q2754" s="508">
        <v>35.372</v>
      </c>
      <c r="R2754" s="508">
        <v>32.945999999999998</v>
      </c>
      <c r="S2754" s="508">
        <v>26.273</v>
      </c>
      <c r="T2754" s="508">
        <v>26.317999999999998</v>
      </c>
      <c r="U2754" s="508">
        <v>26.128999999999998</v>
      </c>
      <c r="V2754" s="508">
        <v>26.018999999999998</v>
      </c>
      <c r="W2754" s="508">
        <v>15.8</v>
      </c>
      <c r="X2754" s="508">
        <v>15.745999999999999</v>
      </c>
      <c r="Y2754" s="508">
        <v>15.776</v>
      </c>
      <c r="Z2754" s="508">
        <v>15.792</v>
      </c>
      <c r="AA2754" s="508">
        <v>12.077999999999999</v>
      </c>
      <c r="AB2754" s="508">
        <v>12.015000000000001</v>
      </c>
      <c r="AC2754" s="508">
        <v>12.145</v>
      </c>
      <c r="AD2754" s="508">
        <v>5.6379999999999999</v>
      </c>
      <c r="AE2754" s="508">
        <v>5.6180000000000003</v>
      </c>
      <c r="AF2754" s="508">
        <v>5.0510000000000002</v>
      </c>
      <c r="AG2754" s="508">
        <v>5.0049999999999999</v>
      </c>
      <c r="AH2754" s="508">
        <v>4.9370000000000003</v>
      </c>
      <c r="AI2754" s="492">
        <v>4.9370000000000003</v>
      </c>
      <c r="AJ2754" s="485"/>
    </row>
    <row r="2755" spans="2:36">
      <c r="B2755" s="136" t="s">
        <v>465</v>
      </c>
      <c r="C2755" s="132" t="s">
        <v>1362</v>
      </c>
      <c r="D2755" s="132" t="s">
        <v>283</v>
      </c>
      <c r="E2755" s="508">
        <v>42.98</v>
      </c>
      <c r="F2755" s="508">
        <v>42.975999999999999</v>
      </c>
      <c r="G2755" s="508">
        <v>42.997999999999998</v>
      </c>
      <c r="H2755" s="508">
        <v>43.009</v>
      </c>
      <c r="I2755" s="508">
        <v>42.97</v>
      </c>
      <c r="J2755" s="508">
        <v>33.716999999999999</v>
      </c>
      <c r="K2755" s="508">
        <v>34.466999999999999</v>
      </c>
      <c r="L2755" s="508">
        <v>34.477000000000004</v>
      </c>
      <c r="M2755" s="508">
        <v>34.314999999999998</v>
      </c>
      <c r="N2755" s="508">
        <v>34.451000000000001</v>
      </c>
      <c r="O2755" s="508">
        <v>34.44</v>
      </c>
      <c r="P2755" s="508">
        <v>34.491</v>
      </c>
      <c r="Q2755" s="508">
        <v>34.545999999999999</v>
      </c>
      <c r="R2755" s="508">
        <v>32.113999999999997</v>
      </c>
      <c r="S2755" s="508">
        <v>25.585000000000001</v>
      </c>
      <c r="T2755" s="508">
        <v>25.628</v>
      </c>
      <c r="U2755" s="508">
        <v>25.445</v>
      </c>
      <c r="V2755" s="508">
        <v>25.338000000000001</v>
      </c>
      <c r="W2755" s="508">
        <v>15.34</v>
      </c>
      <c r="X2755" s="508">
        <v>15.290000000000001</v>
      </c>
      <c r="Y2755" s="508">
        <v>15.317</v>
      </c>
      <c r="Z2755" s="508">
        <v>15.333000000000002</v>
      </c>
      <c r="AA2755" s="508">
        <v>11.71</v>
      </c>
      <c r="AB2755" s="508">
        <v>11.649999999999999</v>
      </c>
      <c r="AC2755" s="508">
        <v>11.777000000000001</v>
      </c>
      <c r="AD2755" s="508">
        <v>5.4</v>
      </c>
      <c r="AE2755" s="508">
        <v>5.38</v>
      </c>
      <c r="AF2755" s="508">
        <v>4.82</v>
      </c>
      <c r="AG2755" s="508">
        <v>4.7750000000000004</v>
      </c>
      <c r="AH2755" s="508">
        <v>4.7089999999999996</v>
      </c>
      <c r="AI2755" s="492">
        <v>4.7089999999999996</v>
      </c>
      <c r="AJ2755" s="485"/>
    </row>
    <row r="2756" spans="2:36">
      <c r="B2756" s="136" t="s">
        <v>466</v>
      </c>
      <c r="C2756" s="132" t="s">
        <v>1362</v>
      </c>
      <c r="D2756" s="132" t="s">
        <v>283</v>
      </c>
      <c r="E2756" s="508">
        <v>43.573</v>
      </c>
      <c r="F2756" s="508">
        <v>43.57</v>
      </c>
      <c r="G2756" s="508">
        <v>43.584000000000003</v>
      </c>
      <c r="H2756" s="508">
        <v>43.591000000000001</v>
      </c>
      <c r="I2756" s="508">
        <v>43.566000000000003</v>
      </c>
      <c r="J2756" s="508">
        <v>33.983000000000004</v>
      </c>
      <c r="K2756" s="508">
        <v>33.520000000000003</v>
      </c>
      <c r="L2756" s="508">
        <v>33.525999999999996</v>
      </c>
      <c r="M2756" s="508">
        <v>33.423999999999999</v>
      </c>
      <c r="N2756" s="508">
        <v>33.51</v>
      </c>
      <c r="O2756" s="508">
        <v>33.503</v>
      </c>
      <c r="P2756" s="508">
        <v>33.58</v>
      </c>
      <c r="Q2756" s="508">
        <v>33.613999999999997</v>
      </c>
      <c r="R2756" s="508">
        <v>30.869999999999997</v>
      </c>
      <c r="S2756" s="508">
        <v>24.234999999999999</v>
      </c>
      <c r="T2756" s="508">
        <v>24.273</v>
      </c>
      <c r="U2756" s="508">
        <v>24.109000000000002</v>
      </c>
      <c r="V2756" s="508">
        <v>24.013000000000002</v>
      </c>
      <c r="W2756" s="508">
        <v>13.911999999999999</v>
      </c>
      <c r="X2756" s="508">
        <v>13.881</v>
      </c>
      <c r="Y2756" s="508">
        <v>13.898</v>
      </c>
      <c r="Z2756" s="508">
        <v>13.907</v>
      </c>
      <c r="AA2756" s="508">
        <v>10.433</v>
      </c>
      <c r="AB2756" s="508">
        <v>10.382</v>
      </c>
      <c r="AC2756" s="508">
        <v>10.489000000000001</v>
      </c>
      <c r="AD2756" s="508">
        <v>4.1560000000000006</v>
      </c>
      <c r="AE2756" s="508">
        <v>4.1440000000000001</v>
      </c>
      <c r="AF2756" s="508">
        <v>3.5470000000000002</v>
      </c>
      <c r="AG2756" s="508">
        <v>3.4990000000000001</v>
      </c>
      <c r="AH2756" s="508">
        <v>3.4350000000000001</v>
      </c>
      <c r="AI2756" s="492">
        <v>3.4350000000000001</v>
      </c>
      <c r="AJ2756" s="485"/>
    </row>
    <row r="2757" spans="2:36">
      <c r="B2757" s="136" t="s">
        <v>467</v>
      </c>
      <c r="C2757" s="132" t="s">
        <v>1362</v>
      </c>
      <c r="D2757" s="132" t="s">
        <v>283</v>
      </c>
      <c r="E2757" s="508">
        <v>42.308</v>
      </c>
      <c r="F2757" s="508">
        <v>42.305</v>
      </c>
      <c r="G2757" s="508">
        <v>42.317</v>
      </c>
      <c r="H2757" s="508">
        <v>42.323</v>
      </c>
      <c r="I2757" s="508">
        <v>42.302</v>
      </c>
      <c r="J2757" s="508">
        <v>32.951000000000001</v>
      </c>
      <c r="K2757" s="508">
        <v>32.242999999999995</v>
      </c>
      <c r="L2757" s="508">
        <v>32.247999999999998</v>
      </c>
      <c r="M2757" s="508">
        <v>32.161999999999999</v>
      </c>
      <c r="N2757" s="508">
        <v>32.234000000000002</v>
      </c>
      <c r="O2757" s="508">
        <v>32.228999999999999</v>
      </c>
      <c r="P2757" s="508">
        <v>32.306000000000004</v>
      </c>
      <c r="Q2757" s="508">
        <v>32.335000000000001</v>
      </c>
      <c r="R2757" s="508">
        <v>29.835999999999999</v>
      </c>
      <c r="S2757" s="508">
        <v>23.207999999999998</v>
      </c>
      <c r="T2757" s="508">
        <v>23.244</v>
      </c>
      <c r="U2757" s="508">
        <v>23.088000000000001</v>
      </c>
      <c r="V2757" s="508">
        <v>22.998000000000001</v>
      </c>
      <c r="W2757" s="508">
        <v>12.956</v>
      </c>
      <c r="X2757" s="508">
        <v>12.932</v>
      </c>
      <c r="Y2757" s="508">
        <v>12.945</v>
      </c>
      <c r="Z2757" s="508">
        <v>12.952999999999999</v>
      </c>
      <c r="AA2757" s="508">
        <v>9.6180000000000003</v>
      </c>
      <c r="AB2757" s="508">
        <v>9.5730000000000004</v>
      </c>
      <c r="AC2757" s="508">
        <v>9.6690000000000005</v>
      </c>
      <c r="AD2757" s="508">
        <v>3.7090000000000001</v>
      </c>
      <c r="AE2757" s="508">
        <v>3.698</v>
      </c>
      <c r="AF2757" s="508">
        <v>3.1219999999999999</v>
      </c>
      <c r="AG2757" s="508">
        <v>3.0760000000000001</v>
      </c>
      <c r="AH2757" s="508">
        <v>3.01</v>
      </c>
      <c r="AI2757" s="492">
        <v>3.01</v>
      </c>
      <c r="AJ2757" s="485"/>
    </row>
    <row r="2758" spans="2:36">
      <c r="B2758" s="136" t="s">
        <v>468</v>
      </c>
      <c r="C2758" s="132" t="s">
        <v>1362</v>
      </c>
      <c r="D2758" s="132" t="s">
        <v>283</v>
      </c>
      <c r="E2758" s="508">
        <v>43.098999999999997</v>
      </c>
      <c r="F2758" s="508">
        <v>43.093999999999994</v>
      </c>
      <c r="G2758" s="508">
        <v>43.120999999999995</v>
      </c>
      <c r="H2758" s="508">
        <v>43.134</v>
      </c>
      <c r="I2758" s="508">
        <v>43.085999999999999</v>
      </c>
      <c r="J2758" s="508">
        <v>33.914999999999999</v>
      </c>
      <c r="K2758" s="508">
        <v>35.304000000000002</v>
      </c>
      <c r="L2758" s="508">
        <v>35.314999999999998</v>
      </c>
      <c r="M2758" s="508">
        <v>35.119999999999997</v>
      </c>
      <c r="N2758" s="508">
        <v>35.283999999999999</v>
      </c>
      <c r="O2758" s="508">
        <v>35.271000000000001</v>
      </c>
      <c r="P2758" s="508">
        <v>35.308999999999997</v>
      </c>
      <c r="Q2758" s="508">
        <v>35.375</v>
      </c>
      <c r="R2758" s="508">
        <v>33.003</v>
      </c>
      <c r="S2758" s="508">
        <v>26.524999999999999</v>
      </c>
      <c r="T2758" s="508">
        <v>26.57</v>
      </c>
      <c r="U2758" s="508">
        <v>26.377000000000002</v>
      </c>
      <c r="V2758" s="508">
        <v>26.263999999999999</v>
      </c>
      <c r="W2758" s="508">
        <v>16.302</v>
      </c>
      <c r="X2758" s="508">
        <v>16.241</v>
      </c>
      <c r="Y2758" s="508">
        <v>16.274000000000001</v>
      </c>
      <c r="Z2758" s="508">
        <v>16.294</v>
      </c>
      <c r="AA2758" s="508">
        <v>12.559000000000001</v>
      </c>
      <c r="AB2758" s="508">
        <v>12.492000000000001</v>
      </c>
      <c r="AC2758" s="508">
        <v>12.632000000000001</v>
      </c>
      <c r="AD2758" s="508">
        <v>6.1159999999999997</v>
      </c>
      <c r="AE2758" s="508">
        <v>6.093</v>
      </c>
      <c r="AF2758" s="508">
        <v>5.5440000000000005</v>
      </c>
      <c r="AG2758" s="508">
        <v>5.5</v>
      </c>
      <c r="AH2758" s="508">
        <v>5.4340000000000002</v>
      </c>
      <c r="AI2758" s="492">
        <v>5.4340000000000002</v>
      </c>
      <c r="AJ2758" s="485"/>
    </row>
    <row r="2759" spans="2:36">
      <c r="B2759" s="136" t="s">
        <v>469</v>
      </c>
      <c r="C2759" s="132" t="s">
        <v>1362</v>
      </c>
      <c r="D2759" s="132" t="s">
        <v>283</v>
      </c>
      <c r="E2759" s="508">
        <v>43.447000000000003</v>
      </c>
      <c r="F2759" s="508">
        <v>43.442</v>
      </c>
      <c r="G2759" s="508">
        <v>43.463000000000001</v>
      </c>
      <c r="H2759" s="508">
        <v>43.472999999999999</v>
      </c>
      <c r="I2759" s="508">
        <v>43.436999999999998</v>
      </c>
      <c r="J2759" s="508">
        <v>34.045000000000002</v>
      </c>
      <c r="K2759" s="508">
        <v>34.573999999999998</v>
      </c>
      <c r="L2759" s="508">
        <v>34.582999999999998</v>
      </c>
      <c r="M2759" s="508">
        <v>34.430999999999997</v>
      </c>
      <c r="N2759" s="508">
        <v>34.558999999999997</v>
      </c>
      <c r="O2759" s="508">
        <v>34.548999999999999</v>
      </c>
      <c r="P2759" s="508">
        <v>34.603999999999999</v>
      </c>
      <c r="Q2759" s="508">
        <v>34.655999999999999</v>
      </c>
      <c r="R2759" s="508">
        <v>32.169000000000004</v>
      </c>
      <c r="S2759" s="508">
        <v>25.548999999999999</v>
      </c>
      <c r="T2759" s="508">
        <v>25.591999999999999</v>
      </c>
      <c r="U2759" s="508">
        <v>25.41</v>
      </c>
      <c r="V2759" s="508">
        <v>25.305</v>
      </c>
      <c r="W2759" s="508">
        <v>15.182</v>
      </c>
      <c r="X2759" s="508">
        <v>15.135</v>
      </c>
      <c r="Y2759" s="508">
        <v>15.161</v>
      </c>
      <c r="Z2759" s="508">
        <v>15.176</v>
      </c>
      <c r="AA2759" s="508">
        <v>11.551</v>
      </c>
      <c r="AB2759" s="508">
        <v>11.491</v>
      </c>
      <c r="AC2759" s="508">
        <v>11.616</v>
      </c>
      <c r="AD2759" s="508">
        <v>5.2069999999999999</v>
      </c>
      <c r="AE2759" s="508">
        <v>5.1890000000000001</v>
      </c>
      <c r="AF2759" s="508">
        <v>4.6180000000000003</v>
      </c>
      <c r="AG2759" s="508">
        <v>4.5730000000000004</v>
      </c>
      <c r="AH2759" s="508">
        <v>4.5060000000000002</v>
      </c>
      <c r="AI2759" s="492">
        <v>4.5060000000000002</v>
      </c>
      <c r="AJ2759" s="485"/>
    </row>
    <row r="2760" spans="2:36">
      <c r="B2760" s="136" t="s">
        <v>470</v>
      </c>
      <c r="C2760" s="132" t="s">
        <v>1362</v>
      </c>
      <c r="D2760" s="132" t="s">
        <v>283</v>
      </c>
      <c r="E2760" s="508">
        <v>41.793999999999997</v>
      </c>
      <c r="F2760" s="508">
        <v>41.792000000000002</v>
      </c>
      <c r="G2760" s="508">
        <v>41.8</v>
      </c>
      <c r="H2760" s="508">
        <v>41.804000000000002</v>
      </c>
      <c r="I2760" s="508">
        <v>41.79</v>
      </c>
      <c r="J2760" s="508">
        <v>32.466000000000001</v>
      </c>
      <c r="K2760" s="508">
        <v>31.248999999999999</v>
      </c>
      <c r="L2760" s="508">
        <v>31.251999999999999</v>
      </c>
      <c r="M2760" s="508">
        <v>31.192999999999998</v>
      </c>
      <c r="N2760" s="508">
        <v>31.242000000000001</v>
      </c>
      <c r="O2760" s="508">
        <v>31.238</v>
      </c>
      <c r="P2760" s="508">
        <v>31.323999999999998</v>
      </c>
      <c r="Q2760" s="508">
        <v>31.343999999999998</v>
      </c>
      <c r="R2760" s="508">
        <v>28.743000000000002</v>
      </c>
      <c r="S2760" s="508">
        <v>22.193000000000001</v>
      </c>
      <c r="T2760" s="508">
        <v>22.225999999999999</v>
      </c>
      <c r="U2760" s="508">
        <v>22.081</v>
      </c>
      <c r="V2760" s="508">
        <v>21.997</v>
      </c>
      <c r="W2760" s="508">
        <v>12.097999999999999</v>
      </c>
      <c r="X2760" s="508">
        <v>12.081</v>
      </c>
      <c r="Y2760" s="508">
        <v>12.09</v>
      </c>
      <c r="Z2760" s="508">
        <v>12.094999999999999</v>
      </c>
      <c r="AA2760" s="508">
        <v>8.8849999999999998</v>
      </c>
      <c r="AB2760" s="508">
        <v>8.8439999999999994</v>
      </c>
      <c r="AC2760" s="508">
        <v>8.93</v>
      </c>
      <c r="AD2760" s="508">
        <v>3.1020000000000003</v>
      </c>
      <c r="AE2760" s="508">
        <v>3.0939999999999999</v>
      </c>
      <c r="AF2760" s="508">
        <v>2.5129999999999999</v>
      </c>
      <c r="AG2760" s="508">
        <v>2.4660000000000002</v>
      </c>
      <c r="AH2760" s="508">
        <v>2.403</v>
      </c>
      <c r="AI2760" s="492">
        <v>2.403</v>
      </c>
      <c r="AJ2760" s="485"/>
    </row>
    <row r="2761" spans="2:36">
      <c r="B2761" s="136" t="s">
        <v>471</v>
      </c>
      <c r="C2761" s="132" t="s">
        <v>1362</v>
      </c>
      <c r="D2761" s="132" t="s">
        <v>283</v>
      </c>
      <c r="E2761" s="508">
        <v>40.281999999999996</v>
      </c>
      <c r="F2761" s="508">
        <v>40.28</v>
      </c>
      <c r="G2761" s="508">
        <v>40.288999999999994</v>
      </c>
      <c r="H2761" s="508">
        <v>40.292999999999999</v>
      </c>
      <c r="I2761" s="508">
        <v>40.277999999999999</v>
      </c>
      <c r="J2761" s="508">
        <v>31.315999999999999</v>
      </c>
      <c r="K2761" s="508">
        <v>30.288999999999998</v>
      </c>
      <c r="L2761" s="508">
        <v>30.291999999999998</v>
      </c>
      <c r="M2761" s="508">
        <v>30.228999999999999</v>
      </c>
      <c r="N2761" s="508">
        <v>30.282</v>
      </c>
      <c r="O2761" s="508">
        <v>30.277999999999999</v>
      </c>
      <c r="P2761" s="508">
        <v>30.358000000000001</v>
      </c>
      <c r="Q2761" s="508">
        <v>30.380000000000003</v>
      </c>
      <c r="R2761" s="508">
        <v>27.93</v>
      </c>
      <c r="S2761" s="508">
        <v>21.605</v>
      </c>
      <c r="T2761" s="508">
        <v>21.638999999999999</v>
      </c>
      <c r="U2761" s="508">
        <v>21.495999999999999</v>
      </c>
      <c r="V2761" s="508">
        <v>21.412999999999997</v>
      </c>
      <c r="W2761" s="508">
        <v>11.849</v>
      </c>
      <c r="X2761" s="508">
        <v>11.831</v>
      </c>
      <c r="Y2761" s="508">
        <v>11.841000000000001</v>
      </c>
      <c r="Z2761" s="508">
        <v>11.846</v>
      </c>
      <c r="AA2761" s="508">
        <v>8.7279999999999998</v>
      </c>
      <c r="AB2761" s="508">
        <v>8.6879999999999988</v>
      </c>
      <c r="AC2761" s="508">
        <v>8.7729999999999997</v>
      </c>
      <c r="AD2761" s="508">
        <v>3.1459999999999999</v>
      </c>
      <c r="AE2761" s="508">
        <v>3.1379999999999999</v>
      </c>
      <c r="AF2761" s="508">
        <v>2.5819999999999999</v>
      </c>
      <c r="AG2761" s="508">
        <v>2.5369999999999999</v>
      </c>
      <c r="AH2761" s="508">
        <v>2.4750000000000001</v>
      </c>
      <c r="AI2761" s="492">
        <v>2.4750000000000001</v>
      </c>
      <c r="AJ2761" s="485"/>
    </row>
    <row r="2762" spans="2:36">
      <c r="B2762" s="136" t="s">
        <v>472</v>
      </c>
      <c r="C2762" s="132" t="s">
        <v>1362</v>
      </c>
      <c r="D2762" s="132" t="s">
        <v>283</v>
      </c>
      <c r="E2762" s="508">
        <v>43.52</v>
      </c>
      <c r="F2762" s="508">
        <v>43.515000000000001</v>
      </c>
      <c r="G2762" s="508">
        <v>43.536000000000001</v>
      </c>
      <c r="H2762" s="508">
        <v>43.546999999999997</v>
      </c>
      <c r="I2762" s="508">
        <v>43.509</v>
      </c>
      <c r="J2762" s="508">
        <v>34.095999999999997</v>
      </c>
      <c r="K2762" s="508">
        <v>34.581000000000003</v>
      </c>
      <c r="L2762" s="508">
        <v>34.588999999999999</v>
      </c>
      <c r="M2762" s="508">
        <v>34.439</v>
      </c>
      <c r="N2762" s="508">
        <v>34.564999999999998</v>
      </c>
      <c r="O2762" s="508">
        <v>34.555999999999997</v>
      </c>
      <c r="P2762" s="508">
        <v>34.610999999999997</v>
      </c>
      <c r="Q2762" s="508">
        <v>34.661999999999999</v>
      </c>
      <c r="R2762" s="508">
        <v>32.238999999999997</v>
      </c>
      <c r="S2762" s="508">
        <v>25.547000000000001</v>
      </c>
      <c r="T2762" s="508">
        <v>25.59</v>
      </c>
      <c r="U2762" s="508">
        <v>25.408999999999999</v>
      </c>
      <c r="V2762" s="508">
        <v>25.302999999999997</v>
      </c>
      <c r="W2762" s="508">
        <v>15.085999999999999</v>
      </c>
      <c r="X2762" s="508">
        <v>15.039</v>
      </c>
      <c r="Y2762" s="508">
        <v>15.065000000000001</v>
      </c>
      <c r="Z2762" s="508">
        <v>15.079000000000001</v>
      </c>
      <c r="AA2762" s="508">
        <v>11.454000000000001</v>
      </c>
      <c r="AB2762" s="508">
        <v>11.396000000000001</v>
      </c>
      <c r="AC2762" s="508">
        <v>11.518000000000001</v>
      </c>
      <c r="AD2762" s="508">
        <v>5.1539999999999999</v>
      </c>
      <c r="AE2762" s="508">
        <v>5.1360000000000001</v>
      </c>
      <c r="AF2762" s="508">
        <v>4.5670000000000002</v>
      </c>
      <c r="AG2762" s="508">
        <v>4.5209999999999999</v>
      </c>
      <c r="AH2762" s="508">
        <v>4.4530000000000003</v>
      </c>
      <c r="AI2762" s="492">
        <v>4.4530000000000003</v>
      </c>
      <c r="AJ2762" s="485"/>
    </row>
    <row r="2763" spans="2:36">
      <c r="B2763" s="136" t="s">
        <v>473</v>
      </c>
      <c r="C2763" s="132" t="s">
        <v>1362</v>
      </c>
      <c r="D2763" s="132" t="s">
        <v>283</v>
      </c>
      <c r="E2763" s="508">
        <v>41.779000000000003</v>
      </c>
      <c r="F2763" s="508">
        <v>41.777000000000001</v>
      </c>
      <c r="G2763" s="508">
        <v>41.786999999999999</v>
      </c>
      <c r="H2763" s="508">
        <v>41.792000000000002</v>
      </c>
      <c r="I2763" s="508">
        <v>41.774000000000001</v>
      </c>
      <c r="J2763" s="508">
        <v>32.503999999999998</v>
      </c>
      <c r="K2763" s="508">
        <v>31.59</v>
      </c>
      <c r="L2763" s="508">
        <v>31.594000000000001</v>
      </c>
      <c r="M2763" s="508">
        <v>31.520000000000003</v>
      </c>
      <c r="N2763" s="508">
        <v>31.582000000000001</v>
      </c>
      <c r="O2763" s="508">
        <v>31.577000000000002</v>
      </c>
      <c r="P2763" s="508">
        <v>31.658000000000001</v>
      </c>
      <c r="Q2763" s="508">
        <v>31.684000000000001</v>
      </c>
      <c r="R2763" s="508">
        <v>29.085999999999999</v>
      </c>
      <c r="S2763" s="508">
        <v>22.603999999999999</v>
      </c>
      <c r="T2763" s="508">
        <v>22.637999999999998</v>
      </c>
      <c r="U2763" s="508">
        <v>22.488</v>
      </c>
      <c r="V2763" s="508">
        <v>22.4</v>
      </c>
      <c r="W2763" s="508">
        <v>12.576000000000001</v>
      </c>
      <c r="X2763" s="508">
        <v>12.554</v>
      </c>
      <c r="Y2763" s="508">
        <v>12.565999999999999</v>
      </c>
      <c r="Z2763" s="508">
        <v>12.573</v>
      </c>
      <c r="AA2763" s="508">
        <v>9.3159999999999989</v>
      </c>
      <c r="AB2763" s="508">
        <v>9.2710000000000008</v>
      </c>
      <c r="AC2763" s="508">
        <v>9.3640000000000008</v>
      </c>
      <c r="AD2763" s="508">
        <v>3.4459999999999997</v>
      </c>
      <c r="AE2763" s="508">
        <v>3.4359999999999999</v>
      </c>
      <c r="AF2763" s="508">
        <v>2.8579999999999997</v>
      </c>
      <c r="AG2763" s="508">
        <v>2.8119999999999998</v>
      </c>
      <c r="AH2763" s="508">
        <v>2.7489999999999997</v>
      </c>
      <c r="AI2763" s="492">
        <v>2.7489999999999997</v>
      </c>
      <c r="AJ2763" s="485"/>
    </row>
    <row r="2764" spans="2:36">
      <c r="B2764" s="136" t="s">
        <v>474</v>
      </c>
      <c r="C2764" s="132" t="s">
        <v>1362</v>
      </c>
      <c r="D2764" s="132" t="s">
        <v>283</v>
      </c>
      <c r="E2764" s="508">
        <v>40.856999999999999</v>
      </c>
      <c r="F2764" s="508">
        <v>40.853999999999999</v>
      </c>
      <c r="G2764" s="508">
        <v>40.868000000000002</v>
      </c>
      <c r="H2764" s="508">
        <v>40.875</v>
      </c>
      <c r="I2764" s="508">
        <v>40.85</v>
      </c>
      <c r="J2764" s="508">
        <v>31.882999999999999</v>
      </c>
      <c r="K2764" s="508">
        <v>31.573999999999998</v>
      </c>
      <c r="L2764" s="508">
        <v>31.58</v>
      </c>
      <c r="M2764" s="508">
        <v>31.477</v>
      </c>
      <c r="N2764" s="508">
        <v>31.563000000000002</v>
      </c>
      <c r="O2764" s="508">
        <v>31.558</v>
      </c>
      <c r="P2764" s="508">
        <v>31.625</v>
      </c>
      <c r="Q2764" s="508">
        <v>31.66</v>
      </c>
      <c r="R2764" s="508">
        <v>29.234000000000002</v>
      </c>
      <c r="S2764" s="508">
        <v>22.917999999999999</v>
      </c>
      <c r="T2764" s="508">
        <v>22.954000000000001</v>
      </c>
      <c r="U2764" s="508">
        <v>22.797999999999998</v>
      </c>
      <c r="V2764" s="508">
        <v>22.707000000000001</v>
      </c>
      <c r="W2764" s="508">
        <v>13.103999999999999</v>
      </c>
      <c r="X2764" s="508">
        <v>13.073</v>
      </c>
      <c r="Y2764" s="508">
        <v>13.091000000000001</v>
      </c>
      <c r="Z2764" s="508">
        <v>13.100999999999999</v>
      </c>
      <c r="AA2764" s="508">
        <v>9.8209999999999997</v>
      </c>
      <c r="AB2764" s="508">
        <v>9.7720000000000002</v>
      </c>
      <c r="AC2764" s="508">
        <v>9.8729999999999993</v>
      </c>
      <c r="AD2764" s="508">
        <v>4.0060000000000002</v>
      </c>
      <c r="AE2764" s="508">
        <v>3.9930000000000003</v>
      </c>
      <c r="AF2764" s="508">
        <v>3.4409999999999998</v>
      </c>
      <c r="AG2764" s="508">
        <v>3.3970000000000002</v>
      </c>
      <c r="AH2764" s="508">
        <v>3.335</v>
      </c>
      <c r="AI2764" s="492">
        <v>3.335</v>
      </c>
      <c r="AJ2764" s="485"/>
    </row>
    <row r="2765" spans="2:36">
      <c r="B2765" s="136" t="s">
        <v>475</v>
      </c>
      <c r="C2765" s="132" t="s">
        <v>1362</v>
      </c>
      <c r="D2765" s="132" t="s">
        <v>283</v>
      </c>
      <c r="E2765" s="508">
        <v>41.929000000000002</v>
      </c>
      <c r="F2765" s="508">
        <v>41.927000000000007</v>
      </c>
      <c r="G2765" s="508">
        <v>41.940999999999995</v>
      </c>
      <c r="H2765" s="508">
        <v>41.949000000000005</v>
      </c>
      <c r="I2765" s="508">
        <v>41.921999999999997</v>
      </c>
      <c r="J2765" s="508">
        <v>32.728000000000002</v>
      </c>
      <c r="K2765" s="508">
        <v>32.459000000000003</v>
      </c>
      <c r="L2765" s="508">
        <v>32.465000000000003</v>
      </c>
      <c r="M2765" s="508">
        <v>32.358000000000004</v>
      </c>
      <c r="N2765" s="508">
        <v>32.448</v>
      </c>
      <c r="O2765" s="508">
        <v>32.441000000000003</v>
      </c>
      <c r="P2765" s="508">
        <v>32.508000000000003</v>
      </c>
      <c r="Q2765" s="508">
        <v>32.545000000000002</v>
      </c>
      <c r="R2765" s="508">
        <v>30.094000000000001</v>
      </c>
      <c r="S2765" s="508">
        <v>23.591000000000001</v>
      </c>
      <c r="T2765" s="508">
        <v>23.629000000000001</v>
      </c>
      <c r="U2765" s="508">
        <v>23.466999999999999</v>
      </c>
      <c r="V2765" s="508">
        <v>23.372</v>
      </c>
      <c r="W2765" s="508">
        <v>13.488</v>
      </c>
      <c r="X2765" s="508">
        <v>13.456</v>
      </c>
      <c r="Y2765" s="508">
        <v>13.474</v>
      </c>
      <c r="Z2765" s="508">
        <v>13.484</v>
      </c>
      <c r="AA2765" s="508">
        <v>10.11</v>
      </c>
      <c r="AB2765" s="508">
        <v>10.06</v>
      </c>
      <c r="AC2765" s="508">
        <v>10.164000000000001</v>
      </c>
      <c r="AD2765" s="508">
        <v>4.1579999999999995</v>
      </c>
      <c r="AE2765" s="508">
        <v>4.1440000000000001</v>
      </c>
      <c r="AF2765" s="508">
        <v>3.58</v>
      </c>
      <c r="AG2765" s="508">
        <v>3.5350000000000001</v>
      </c>
      <c r="AH2765" s="508">
        <v>3.4699999999999998</v>
      </c>
      <c r="AI2765" s="492">
        <v>3.4699999999999998</v>
      </c>
      <c r="AJ2765" s="485"/>
    </row>
    <row r="2766" spans="2:36">
      <c r="B2766" s="136" t="s">
        <v>476</v>
      </c>
      <c r="C2766" s="132" t="s">
        <v>1362</v>
      </c>
      <c r="D2766" s="132" t="s">
        <v>283</v>
      </c>
      <c r="E2766" s="508">
        <v>42.351000000000006</v>
      </c>
      <c r="F2766" s="508">
        <v>42.348000000000006</v>
      </c>
      <c r="G2766" s="508">
        <v>42.363</v>
      </c>
      <c r="H2766" s="508">
        <v>42.370000000000005</v>
      </c>
      <c r="I2766" s="508">
        <v>42.344000000000001</v>
      </c>
      <c r="J2766" s="508">
        <v>33.063000000000002</v>
      </c>
      <c r="K2766" s="508">
        <v>32.822000000000003</v>
      </c>
      <c r="L2766" s="508">
        <v>32.827999999999996</v>
      </c>
      <c r="M2766" s="508">
        <v>32.717999999999996</v>
      </c>
      <c r="N2766" s="508">
        <v>32.81</v>
      </c>
      <c r="O2766" s="508">
        <v>32.802999999999997</v>
      </c>
      <c r="P2766" s="508">
        <v>32.872</v>
      </c>
      <c r="Q2766" s="508">
        <v>32.910000000000004</v>
      </c>
      <c r="R2766" s="508">
        <v>30.355</v>
      </c>
      <c r="S2766" s="508">
        <v>23.852999999999998</v>
      </c>
      <c r="T2766" s="508">
        <v>23.891000000000002</v>
      </c>
      <c r="U2766" s="508">
        <v>23.728000000000002</v>
      </c>
      <c r="V2766" s="508">
        <v>23.632000000000001</v>
      </c>
      <c r="W2766" s="508">
        <v>13.734999999999999</v>
      </c>
      <c r="X2766" s="508">
        <v>13.702</v>
      </c>
      <c r="Y2766" s="508">
        <v>13.721</v>
      </c>
      <c r="Z2766" s="508">
        <v>13.731</v>
      </c>
      <c r="AA2766" s="508">
        <v>10.319000000000001</v>
      </c>
      <c r="AB2766" s="508">
        <v>10.268000000000001</v>
      </c>
      <c r="AC2766" s="508">
        <v>10.375</v>
      </c>
      <c r="AD2766" s="508">
        <v>4.2489999999999997</v>
      </c>
      <c r="AE2766" s="508">
        <v>4.2349999999999994</v>
      </c>
      <c r="AF2766" s="508">
        <v>3.6629999999999998</v>
      </c>
      <c r="AG2766" s="508">
        <v>3.617</v>
      </c>
      <c r="AH2766" s="508">
        <v>3.5529999999999999</v>
      </c>
      <c r="AI2766" s="492">
        <v>3.5529999999999999</v>
      </c>
      <c r="AJ2766" s="485"/>
    </row>
    <row r="2767" spans="2:36">
      <c r="B2767" s="136" t="s">
        <v>478</v>
      </c>
      <c r="C2767" s="132" t="s">
        <v>1362</v>
      </c>
      <c r="D2767" s="132" t="s">
        <v>283</v>
      </c>
      <c r="E2767" s="508">
        <v>42.064</v>
      </c>
      <c r="F2767" s="508">
        <v>42.061</v>
      </c>
      <c r="G2767" s="508">
        <v>42.071999999999996</v>
      </c>
      <c r="H2767" s="508">
        <v>42.076000000000001</v>
      </c>
      <c r="I2767" s="508">
        <v>42.058</v>
      </c>
      <c r="J2767" s="508">
        <v>32.705999999999996</v>
      </c>
      <c r="K2767" s="508">
        <v>31.658999999999999</v>
      </c>
      <c r="L2767" s="508">
        <v>31.663</v>
      </c>
      <c r="M2767" s="508">
        <v>31.594999999999999</v>
      </c>
      <c r="N2767" s="508">
        <v>31.652000000000001</v>
      </c>
      <c r="O2767" s="508">
        <v>31.648</v>
      </c>
      <c r="P2767" s="508">
        <v>31.732000000000003</v>
      </c>
      <c r="Q2767" s="508">
        <v>31.755000000000003</v>
      </c>
      <c r="R2767" s="508">
        <v>29.109000000000002</v>
      </c>
      <c r="S2767" s="508">
        <v>22.569000000000003</v>
      </c>
      <c r="T2767" s="508">
        <v>22.603999999999999</v>
      </c>
      <c r="U2767" s="508">
        <v>22.454999999999998</v>
      </c>
      <c r="V2767" s="508">
        <v>22.368000000000002</v>
      </c>
      <c r="W2767" s="508">
        <v>12.468</v>
      </c>
      <c r="X2767" s="508">
        <v>12.448</v>
      </c>
      <c r="Y2767" s="508">
        <v>12.459000000000001</v>
      </c>
      <c r="Z2767" s="508">
        <v>12.465</v>
      </c>
      <c r="AA2767" s="508">
        <v>9.2059999999999995</v>
      </c>
      <c r="AB2767" s="508">
        <v>9.161999999999999</v>
      </c>
      <c r="AC2767" s="508">
        <v>9.2530000000000001</v>
      </c>
      <c r="AD2767" s="508">
        <v>3.3279999999999998</v>
      </c>
      <c r="AE2767" s="508">
        <v>3.3179999999999996</v>
      </c>
      <c r="AF2767" s="508">
        <v>2.7349999999999999</v>
      </c>
      <c r="AG2767" s="508">
        <v>2.6879999999999997</v>
      </c>
      <c r="AH2767" s="508">
        <v>2.6259999999999999</v>
      </c>
      <c r="AI2767" s="492">
        <v>2.6259999999999999</v>
      </c>
      <c r="AJ2767" s="485"/>
    </row>
    <row r="2768" spans="2:36">
      <c r="B2768" s="136" t="s">
        <v>479</v>
      </c>
      <c r="C2768" s="132" t="s">
        <v>1362</v>
      </c>
      <c r="D2768" s="132" t="s">
        <v>283</v>
      </c>
      <c r="E2768" s="508">
        <v>40.719000000000001</v>
      </c>
      <c r="F2768" s="508">
        <v>40.715000000000003</v>
      </c>
      <c r="G2768" s="508">
        <v>40.732999999999997</v>
      </c>
      <c r="H2768" s="508">
        <v>40.741999999999997</v>
      </c>
      <c r="I2768" s="508">
        <v>40.71</v>
      </c>
      <c r="J2768" s="508">
        <v>31.873999999999999</v>
      </c>
      <c r="K2768" s="508">
        <v>32.164000000000001</v>
      </c>
      <c r="L2768" s="508">
        <v>32.170999999999999</v>
      </c>
      <c r="M2768" s="508">
        <v>32.039000000000001</v>
      </c>
      <c r="N2768" s="508">
        <v>32.15</v>
      </c>
      <c r="O2768" s="508">
        <v>32.142000000000003</v>
      </c>
      <c r="P2768" s="508">
        <v>32.197000000000003</v>
      </c>
      <c r="Q2768" s="508">
        <v>32.241999999999997</v>
      </c>
      <c r="R2768" s="508">
        <v>29.865000000000002</v>
      </c>
      <c r="S2768" s="508">
        <v>23.657000000000004</v>
      </c>
      <c r="T2768" s="508">
        <v>23.695</v>
      </c>
      <c r="U2768" s="508">
        <v>23.529</v>
      </c>
      <c r="V2768" s="508">
        <v>23.433</v>
      </c>
      <c r="W2768" s="508">
        <v>13.948999999999998</v>
      </c>
      <c r="X2768" s="508">
        <v>13.908999999999999</v>
      </c>
      <c r="Y2768" s="508">
        <v>13.932</v>
      </c>
      <c r="Z2768" s="508">
        <v>13.945</v>
      </c>
      <c r="AA2768" s="508">
        <v>10.581</v>
      </c>
      <c r="AB2768" s="508">
        <v>10.526</v>
      </c>
      <c r="AC2768" s="508">
        <v>10.638999999999999</v>
      </c>
      <c r="AD2768" s="508">
        <v>4.6579999999999995</v>
      </c>
      <c r="AE2768" s="508">
        <v>4.6420000000000003</v>
      </c>
      <c r="AF2768" s="508">
        <v>4.1020000000000003</v>
      </c>
      <c r="AG2768" s="508">
        <v>4.0590000000000002</v>
      </c>
      <c r="AH2768" s="508">
        <v>3.9969999999999999</v>
      </c>
      <c r="AI2768" s="492">
        <v>3.9969999999999999</v>
      </c>
      <c r="AJ2768" s="485"/>
    </row>
    <row r="2769" spans="2:36">
      <c r="B2769" s="136" t="s">
        <v>480</v>
      </c>
      <c r="C2769" s="132" t="s">
        <v>1362</v>
      </c>
      <c r="D2769" s="132" t="s">
        <v>283</v>
      </c>
      <c r="E2769" s="508">
        <v>43.514000000000003</v>
      </c>
      <c r="F2769" s="508">
        <v>43.509</v>
      </c>
      <c r="G2769" s="508">
        <v>43.533000000000001</v>
      </c>
      <c r="H2769" s="508">
        <v>43.545000000000002</v>
      </c>
      <c r="I2769" s="508">
        <v>43.502000000000002</v>
      </c>
      <c r="J2769" s="508">
        <v>34.182000000000002</v>
      </c>
      <c r="K2769" s="508">
        <v>35.224000000000004</v>
      </c>
      <c r="L2769" s="508">
        <v>35.234999999999999</v>
      </c>
      <c r="M2769" s="508">
        <v>35.055999999999997</v>
      </c>
      <c r="N2769" s="508">
        <v>35.206000000000003</v>
      </c>
      <c r="O2769" s="508">
        <v>35.195</v>
      </c>
      <c r="P2769" s="508">
        <v>35.238999999999997</v>
      </c>
      <c r="Q2769" s="508">
        <v>35.299999999999997</v>
      </c>
      <c r="R2769" s="508">
        <v>32.908000000000001</v>
      </c>
      <c r="S2769" s="508">
        <v>26.297999999999998</v>
      </c>
      <c r="T2769" s="508">
        <v>26.343</v>
      </c>
      <c r="U2769" s="508">
        <v>26.152999999999999</v>
      </c>
      <c r="V2769" s="508">
        <v>26.042000000000002</v>
      </c>
      <c r="W2769" s="508">
        <v>15.909000000000001</v>
      </c>
      <c r="X2769" s="508">
        <v>15.853999999999999</v>
      </c>
      <c r="Y2769" s="508">
        <v>15.885</v>
      </c>
      <c r="Z2769" s="508">
        <v>15.902000000000001</v>
      </c>
      <c r="AA2769" s="508">
        <v>12.189</v>
      </c>
      <c r="AB2769" s="508">
        <v>12.125</v>
      </c>
      <c r="AC2769" s="508">
        <v>12.257999999999999</v>
      </c>
      <c r="AD2769" s="508">
        <v>5.7720000000000002</v>
      </c>
      <c r="AE2769" s="508">
        <v>5.75</v>
      </c>
      <c r="AF2769" s="508">
        <v>5.19</v>
      </c>
      <c r="AG2769" s="508">
        <v>5.1450000000000005</v>
      </c>
      <c r="AH2769" s="508">
        <v>5.0780000000000003</v>
      </c>
      <c r="AI2769" s="492">
        <v>5.0780000000000003</v>
      </c>
      <c r="AJ2769" s="485"/>
    </row>
    <row r="2770" spans="2:36">
      <c r="B2770" s="136" t="s">
        <v>481</v>
      </c>
      <c r="C2770" s="132" t="s">
        <v>1362</v>
      </c>
      <c r="D2770" s="132" t="s">
        <v>283</v>
      </c>
      <c r="E2770" s="508">
        <v>41.167999999999999</v>
      </c>
      <c r="F2770" s="508">
        <v>41.164999999999999</v>
      </c>
      <c r="G2770" s="508">
        <v>41.18</v>
      </c>
      <c r="H2770" s="508">
        <v>41.187999999999995</v>
      </c>
      <c r="I2770" s="508">
        <v>41.16</v>
      </c>
      <c r="J2770" s="508">
        <v>32.165999999999997</v>
      </c>
      <c r="K2770" s="508">
        <v>32.093000000000004</v>
      </c>
      <c r="L2770" s="508">
        <v>32.1</v>
      </c>
      <c r="M2770" s="508">
        <v>31.984999999999999</v>
      </c>
      <c r="N2770" s="508">
        <v>32.082000000000001</v>
      </c>
      <c r="O2770" s="508">
        <v>32.073999999999998</v>
      </c>
      <c r="P2770" s="508">
        <v>32.138000000000005</v>
      </c>
      <c r="Q2770" s="508">
        <v>32.177</v>
      </c>
      <c r="R2770" s="508">
        <v>29.733000000000001</v>
      </c>
      <c r="S2770" s="508">
        <v>23.414000000000001</v>
      </c>
      <c r="T2770" s="508">
        <v>23.451999999999998</v>
      </c>
      <c r="U2770" s="508">
        <v>23.29</v>
      </c>
      <c r="V2770" s="508">
        <v>23.195</v>
      </c>
      <c r="W2770" s="508">
        <v>13.568999999999999</v>
      </c>
      <c r="X2770" s="508">
        <v>13.533999999999999</v>
      </c>
      <c r="Y2770" s="508">
        <v>13.553000000000001</v>
      </c>
      <c r="Z2770" s="508">
        <v>13.564</v>
      </c>
      <c r="AA2770" s="508">
        <v>10.222</v>
      </c>
      <c r="AB2770" s="508">
        <v>10.17</v>
      </c>
      <c r="AC2770" s="508">
        <v>10.277000000000001</v>
      </c>
      <c r="AD2770" s="508">
        <v>4.3049999999999997</v>
      </c>
      <c r="AE2770" s="508">
        <v>4.2910000000000004</v>
      </c>
      <c r="AF2770" s="508">
        <v>3.7389999999999999</v>
      </c>
      <c r="AG2770" s="508">
        <v>3.694</v>
      </c>
      <c r="AH2770" s="508">
        <v>3.6319999999999997</v>
      </c>
      <c r="AI2770" s="492">
        <v>3.6319999999999997</v>
      </c>
      <c r="AJ2770" s="485"/>
    </row>
    <row r="2771" spans="2:36">
      <c r="B2771" s="136" t="s">
        <v>482</v>
      </c>
      <c r="C2771" s="132" t="s">
        <v>1362</v>
      </c>
      <c r="D2771" s="132" t="s">
        <v>283</v>
      </c>
      <c r="E2771" s="508">
        <v>39.158999999999999</v>
      </c>
      <c r="F2771" s="508">
        <v>39.156999999999996</v>
      </c>
      <c r="G2771" s="508">
        <v>39.167999999999999</v>
      </c>
      <c r="H2771" s="508">
        <v>39.174999999999997</v>
      </c>
      <c r="I2771" s="508">
        <v>39.153999999999996</v>
      </c>
      <c r="J2771" s="508">
        <v>30.508000000000003</v>
      </c>
      <c r="K2771" s="508">
        <v>29.902999999999999</v>
      </c>
      <c r="L2771" s="508">
        <v>29.907999999999998</v>
      </c>
      <c r="M2771" s="508">
        <v>29.826000000000001</v>
      </c>
      <c r="N2771" s="508">
        <v>29.895</v>
      </c>
      <c r="O2771" s="508">
        <v>29.888999999999999</v>
      </c>
      <c r="P2771" s="508">
        <v>29.959</v>
      </c>
      <c r="Q2771" s="508">
        <v>29.986999999999998</v>
      </c>
      <c r="R2771" s="508">
        <v>27.641999999999999</v>
      </c>
      <c r="S2771" s="508">
        <v>21.535</v>
      </c>
      <c r="T2771" s="508">
        <v>21.568999999999999</v>
      </c>
      <c r="U2771" s="508">
        <v>21.423999999999999</v>
      </c>
      <c r="V2771" s="508">
        <v>21.34</v>
      </c>
      <c r="W2771" s="508">
        <v>12.08</v>
      </c>
      <c r="X2771" s="508">
        <v>12.055999999999999</v>
      </c>
      <c r="Y2771" s="508">
        <v>12.069000000000001</v>
      </c>
      <c r="Z2771" s="508">
        <v>12.078000000000001</v>
      </c>
      <c r="AA2771" s="508">
        <v>8.9830000000000005</v>
      </c>
      <c r="AB2771" s="508">
        <v>8.9390000000000001</v>
      </c>
      <c r="AC2771" s="508">
        <v>9.0299999999999994</v>
      </c>
      <c r="AD2771" s="508">
        <v>3.49</v>
      </c>
      <c r="AE2771" s="508">
        <v>3.4800000000000004</v>
      </c>
      <c r="AF2771" s="508">
        <v>2.9470000000000001</v>
      </c>
      <c r="AG2771" s="508">
        <v>2.9039999999999999</v>
      </c>
      <c r="AH2771" s="508">
        <v>2.8450000000000002</v>
      </c>
      <c r="AI2771" s="492">
        <v>2.8450000000000002</v>
      </c>
      <c r="AJ2771" s="485"/>
    </row>
    <row r="2772" spans="2:36">
      <c r="B2772" s="136" t="s">
        <v>483</v>
      </c>
      <c r="C2772" s="132" t="s">
        <v>1362</v>
      </c>
      <c r="D2772" s="132" t="s">
        <v>283</v>
      </c>
      <c r="E2772" s="508">
        <v>42.915999999999997</v>
      </c>
      <c r="F2772" s="508">
        <v>42.913999999999994</v>
      </c>
      <c r="G2772" s="508">
        <v>42.924999999999997</v>
      </c>
      <c r="H2772" s="508">
        <v>42.930999999999997</v>
      </c>
      <c r="I2772" s="508">
        <v>42.91</v>
      </c>
      <c r="J2772" s="508">
        <v>33.421999999999997</v>
      </c>
      <c r="K2772" s="508">
        <v>32.677999999999997</v>
      </c>
      <c r="L2772" s="508">
        <v>32.683</v>
      </c>
      <c r="M2772" s="508">
        <v>32.597000000000001</v>
      </c>
      <c r="N2772" s="508">
        <v>32.67</v>
      </c>
      <c r="O2772" s="508">
        <v>32.664000000000001</v>
      </c>
      <c r="P2772" s="508">
        <v>32.744</v>
      </c>
      <c r="Q2772" s="508">
        <v>32.772999999999996</v>
      </c>
      <c r="R2772" s="508">
        <v>30.104000000000003</v>
      </c>
      <c r="S2772" s="508">
        <v>23.475000000000001</v>
      </c>
      <c r="T2772" s="508">
        <v>23.512</v>
      </c>
      <c r="U2772" s="508">
        <v>23.354000000000003</v>
      </c>
      <c r="V2772" s="508">
        <v>23.262999999999998</v>
      </c>
      <c r="W2772" s="508">
        <v>13.204000000000001</v>
      </c>
      <c r="X2772" s="508">
        <v>13.179</v>
      </c>
      <c r="Y2772" s="508">
        <v>13.193000000000001</v>
      </c>
      <c r="Z2772" s="508">
        <v>13.201000000000001</v>
      </c>
      <c r="AA2772" s="508">
        <v>9.8239999999999998</v>
      </c>
      <c r="AB2772" s="508">
        <v>9.777000000000001</v>
      </c>
      <c r="AC2772" s="508">
        <v>9.875</v>
      </c>
      <c r="AD2772" s="508">
        <v>3.7560000000000002</v>
      </c>
      <c r="AE2772" s="508">
        <v>3.7450000000000001</v>
      </c>
      <c r="AF2772" s="508">
        <v>3.1550000000000002</v>
      </c>
      <c r="AG2772" s="508">
        <v>3.1079999999999997</v>
      </c>
      <c r="AH2772" s="508">
        <v>3.044</v>
      </c>
      <c r="AI2772" s="492">
        <v>3.044</v>
      </c>
      <c r="AJ2772" s="485"/>
    </row>
    <row r="2773" spans="2:36">
      <c r="B2773" s="136" t="s">
        <v>484</v>
      </c>
      <c r="C2773" s="132" t="s">
        <v>1362</v>
      </c>
      <c r="D2773" s="132" t="s">
        <v>283</v>
      </c>
      <c r="E2773" s="508">
        <v>43.201999999999998</v>
      </c>
      <c r="F2773" s="508">
        <v>43.198</v>
      </c>
      <c r="G2773" s="508">
        <v>43.219000000000001</v>
      </c>
      <c r="H2773" s="508">
        <v>43.228999999999999</v>
      </c>
      <c r="I2773" s="508">
        <v>43.192</v>
      </c>
      <c r="J2773" s="508">
        <v>33.853999999999999</v>
      </c>
      <c r="K2773" s="508">
        <v>34.378999999999998</v>
      </c>
      <c r="L2773" s="508">
        <v>34.387</v>
      </c>
      <c r="M2773" s="508">
        <v>34.235999999999997</v>
      </c>
      <c r="N2773" s="508">
        <v>34.363</v>
      </c>
      <c r="O2773" s="508">
        <v>34.353999999999999</v>
      </c>
      <c r="P2773" s="508">
        <v>34.406999999999996</v>
      </c>
      <c r="Q2773" s="508">
        <v>34.46</v>
      </c>
      <c r="R2773" s="508">
        <v>32.06</v>
      </c>
      <c r="S2773" s="508">
        <v>25.419</v>
      </c>
      <c r="T2773" s="508">
        <v>25.460999999999999</v>
      </c>
      <c r="U2773" s="508">
        <v>25.280999999999999</v>
      </c>
      <c r="V2773" s="508">
        <v>25.176000000000002</v>
      </c>
      <c r="W2773" s="508">
        <v>15.033999999999999</v>
      </c>
      <c r="X2773" s="508">
        <v>14.988</v>
      </c>
      <c r="Y2773" s="508">
        <v>15.013000000000002</v>
      </c>
      <c r="Z2773" s="508">
        <v>15.026999999999999</v>
      </c>
      <c r="AA2773" s="508">
        <v>11.422000000000001</v>
      </c>
      <c r="AB2773" s="508">
        <v>11.364000000000001</v>
      </c>
      <c r="AC2773" s="508">
        <v>11.486000000000001</v>
      </c>
      <c r="AD2773" s="508">
        <v>5.1639999999999997</v>
      </c>
      <c r="AE2773" s="508">
        <v>5.1449999999999996</v>
      </c>
      <c r="AF2773" s="508">
        <v>4.58</v>
      </c>
      <c r="AG2773" s="508">
        <v>4.5350000000000001</v>
      </c>
      <c r="AH2773" s="508">
        <v>4.4670000000000005</v>
      </c>
      <c r="AI2773" s="492">
        <v>4.4670000000000005</v>
      </c>
      <c r="AJ2773" s="485"/>
    </row>
    <row r="2774" spans="2:36">
      <c r="B2774" s="136" t="s">
        <v>486</v>
      </c>
      <c r="C2774" s="132" t="s">
        <v>1362</v>
      </c>
      <c r="D2774" s="132" t="s">
        <v>283</v>
      </c>
      <c r="E2774" s="508">
        <v>41.472000000000001</v>
      </c>
      <c r="F2774" s="508">
        <v>41.469000000000001</v>
      </c>
      <c r="G2774" s="508">
        <v>41.484000000000002</v>
      </c>
      <c r="H2774" s="508">
        <v>41.491</v>
      </c>
      <c r="I2774" s="508">
        <v>41.465000000000003</v>
      </c>
      <c r="J2774" s="508">
        <v>32.375999999999998</v>
      </c>
      <c r="K2774" s="508">
        <v>32.137</v>
      </c>
      <c r="L2774" s="508">
        <v>32.143000000000001</v>
      </c>
      <c r="M2774" s="508">
        <v>32.036000000000001</v>
      </c>
      <c r="N2774" s="508">
        <v>32.125999999999998</v>
      </c>
      <c r="O2774" s="508">
        <v>32.119</v>
      </c>
      <c r="P2774" s="508">
        <v>32.186</v>
      </c>
      <c r="Q2774" s="508">
        <v>32.222999999999999</v>
      </c>
      <c r="R2774" s="508">
        <v>29.745999999999999</v>
      </c>
      <c r="S2774" s="508">
        <v>23.356000000000002</v>
      </c>
      <c r="T2774" s="508">
        <v>23.393000000000001</v>
      </c>
      <c r="U2774" s="508">
        <v>23.233000000000001</v>
      </c>
      <c r="V2774" s="508">
        <v>23.139999999999997</v>
      </c>
      <c r="W2774" s="508">
        <v>13.418000000000001</v>
      </c>
      <c r="X2774" s="508">
        <v>13.385000000000002</v>
      </c>
      <c r="Y2774" s="508">
        <v>13.403</v>
      </c>
      <c r="Z2774" s="508">
        <v>13.413</v>
      </c>
      <c r="AA2774" s="508">
        <v>10.073</v>
      </c>
      <c r="AB2774" s="508">
        <v>10.023</v>
      </c>
      <c r="AC2774" s="508">
        <v>10.126999999999999</v>
      </c>
      <c r="AD2774" s="508">
        <v>4.1500000000000004</v>
      </c>
      <c r="AE2774" s="508">
        <v>4.1360000000000001</v>
      </c>
      <c r="AF2774" s="508">
        <v>3.577</v>
      </c>
      <c r="AG2774" s="508">
        <v>3.532</v>
      </c>
      <c r="AH2774" s="508">
        <v>3.4699999999999998</v>
      </c>
      <c r="AI2774" s="492">
        <v>3.4699999999999998</v>
      </c>
      <c r="AJ2774" s="485"/>
    </row>
    <row r="2775" spans="2:36">
      <c r="B2775" s="136" t="s">
        <v>487</v>
      </c>
      <c r="C2775" s="132" t="s">
        <v>1362</v>
      </c>
      <c r="D2775" s="132" t="s">
        <v>283</v>
      </c>
      <c r="E2775" s="508">
        <v>42.214999999999996</v>
      </c>
      <c r="F2775" s="508">
        <v>42.211999999999996</v>
      </c>
      <c r="G2775" s="508">
        <v>42.226999999999997</v>
      </c>
      <c r="H2775" s="508">
        <v>42.233999999999995</v>
      </c>
      <c r="I2775" s="508">
        <v>42.207999999999998</v>
      </c>
      <c r="J2775" s="508">
        <v>32.957999999999998</v>
      </c>
      <c r="K2775" s="508">
        <v>32.731000000000002</v>
      </c>
      <c r="L2775" s="508">
        <v>32.737000000000002</v>
      </c>
      <c r="M2775" s="508">
        <v>32.627000000000002</v>
      </c>
      <c r="N2775" s="508">
        <v>32.719000000000001</v>
      </c>
      <c r="O2775" s="508">
        <v>32.712000000000003</v>
      </c>
      <c r="P2775" s="508">
        <v>32.778999999999996</v>
      </c>
      <c r="Q2775" s="508">
        <v>32.817999999999998</v>
      </c>
      <c r="R2775" s="508">
        <v>30.294999999999998</v>
      </c>
      <c r="S2775" s="508">
        <v>23.789000000000001</v>
      </c>
      <c r="T2775" s="508">
        <v>23.826999999999998</v>
      </c>
      <c r="U2775" s="508">
        <v>23.663999999999998</v>
      </c>
      <c r="V2775" s="508">
        <v>23.569000000000003</v>
      </c>
      <c r="W2775" s="508">
        <v>13.672999999999998</v>
      </c>
      <c r="X2775" s="508">
        <v>13.639999999999999</v>
      </c>
      <c r="Y2775" s="508">
        <v>13.658000000000001</v>
      </c>
      <c r="Z2775" s="508">
        <v>13.667999999999999</v>
      </c>
      <c r="AA2775" s="508">
        <v>10.265000000000001</v>
      </c>
      <c r="AB2775" s="508">
        <v>10.214</v>
      </c>
      <c r="AC2775" s="508">
        <v>10.32</v>
      </c>
      <c r="AD2775" s="508">
        <v>4.2389999999999999</v>
      </c>
      <c r="AE2775" s="508">
        <v>4.226</v>
      </c>
      <c r="AF2775" s="508">
        <v>3.6579999999999999</v>
      </c>
      <c r="AG2775" s="508">
        <v>3.6120000000000001</v>
      </c>
      <c r="AH2775" s="508">
        <v>3.548</v>
      </c>
      <c r="AI2775" s="492">
        <v>3.548</v>
      </c>
      <c r="AJ2775" s="485"/>
    </row>
    <row r="2776" spans="2:36">
      <c r="B2776" s="136" t="s">
        <v>488</v>
      </c>
      <c r="C2776" s="132" t="s">
        <v>1362</v>
      </c>
      <c r="D2776" s="132" t="s">
        <v>283</v>
      </c>
      <c r="E2776" s="508">
        <v>41.817</v>
      </c>
      <c r="F2776" s="508">
        <v>41.813000000000002</v>
      </c>
      <c r="G2776" s="508">
        <v>41.832000000000001</v>
      </c>
      <c r="H2776" s="508">
        <v>41.84</v>
      </c>
      <c r="I2776" s="508">
        <v>41.808</v>
      </c>
      <c r="J2776" s="508">
        <v>32.727000000000004</v>
      </c>
      <c r="K2776" s="508">
        <v>32.989000000000004</v>
      </c>
      <c r="L2776" s="508">
        <v>32.997</v>
      </c>
      <c r="M2776" s="508">
        <v>32.863</v>
      </c>
      <c r="N2776" s="508">
        <v>32.975000000000001</v>
      </c>
      <c r="O2776" s="508">
        <v>32.966999999999999</v>
      </c>
      <c r="P2776" s="508">
        <v>33.024000000000001</v>
      </c>
      <c r="Q2776" s="508">
        <v>33.07</v>
      </c>
      <c r="R2776" s="508">
        <v>30.704999999999998</v>
      </c>
      <c r="S2776" s="508">
        <v>24.258000000000003</v>
      </c>
      <c r="T2776" s="508">
        <v>24.296999999999997</v>
      </c>
      <c r="U2776" s="508">
        <v>24.128</v>
      </c>
      <c r="V2776" s="508">
        <v>24.027999999999999</v>
      </c>
      <c r="W2776" s="508">
        <v>14.196999999999999</v>
      </c>
      <c r="X2776" s="508">
        <v>14.157</v>
      </c>
      <c r="Y2776" s="508">
        <v>14.18</v>
      </c>
      <c r="Z2776" s="508">
        <v>14.193</v>
      </c>
      <c r="AA2776" s="508">
        <v>10.742000000000001</v>
      </c>
      <c r="AB2776" s="508">
        <v>10.687000000000001</v>
      </c>
      <c r="AC2776" s="508">
        <v>10.8</v>
      </c>
      <c r="AD2776" s="508">
        <v>4.726</v>
      </c>
      <c r="AE2776" s="508">
        <v>4.7089999999999996</v>
      </c>
      <c r="AF2776" s="508">
        <v>4.1579999999999995</v>
      </c>
      <c r="AG2776" s="508">
        <v>4.1139999999999999</v>
      </c>
      <c r="AH2776" s="508">
        <v>4.0489999999999995</v>
      </c>
      <c r="AI2776" s="492">
        <v>4.0489999999999995</v>
      </c>
      <c r="AJ2776" s="485"/>
    </row>
    <row r="2777" spans="2:36">
      <c r="B2777" s="136" t="s">
        <v>489</v>
      </c>
      <c r="C2777" s="132" t="s">
        <v>1362</v>
      </c>
      <c r="D2777" s="132" t="s">
        <v>283</v>
      </c>
      <c r="E2777" s="508">
        <v>42.597999999999999</v>
      </c>
      <c r="F2777" s="508">
        <v>42.594999999999999</v>
      </c>
      <c r="G2777" s="508">
        <v>42.61</v>
      </c>
      <c r="H2777" s="508">
        <v>42.618000000000002</v>
      </c>
      <c r="I2777" s="508">
        <v>42.591000000000001</v>
      </c>
      <c r="J2777" s="508">
        <v>33.260999999999996</v>
      </c>
      <c r="K2777" s="508">
        <v>33.058</v>
      </c>
      <c r="L2777" s="508">
        <v>33.064</v>
      </c>
      <c r="M2777" s="508">
        <v>32.951999999999998</v>
      </c>
      <c r="N2777" s="508">
        <v>33.045999999999999</v>
      </c>
      <c r="O2777" s="508">
        <v>33.039000000000001</v>
      </c>
      <c r="P2777" s="508">
        <v>33.106000000000002</v>
      </c>
      <c r="Q2777" s="508">
        <v>33.145000000000003</v>
      </c>
      <c r="R2777" s="508">
        <v>30.667000000000002</v>
      </c>
      <c r="S2777" s="508">
        <v>24.062999999999999</v>
      </c>
      <c r="T2777" s="508">
        <v>24.100999999999999</v>
      </c>
      <c r="U2777" s="508">
        <v>23.936</v>
      </c>
      <c r="V2777" s="508">
        <v>23.839000000000002</v>
      </c>
      <c r="W2777" s="508">
        <v>13.796999999999999</v>
      </c>
      <c r="X2777" s="508">
        <v>13.763999999999999</v>
      </c>
      <c r="Y2777" s="508">
        <v>13.782</v>
      </c>
      <c r="Z2777" s="508">
        <v>13.792999999999999</v>
      </c>
      <c r="AA2777" s="508">
        <v>10.353999999999999</v>
      </c>
      <c r="AB2777" s="508">
        <v>10.303000000000001</v>
      </c>
      <c r="AC2777" s="508">
        <v>10.409000000000001</v>
      </c>
      <c r="AD2777" s="508">
        <v>4.2990000000000004</v>
      </c>
      <c r="AE2777" s="508">
        <v>4.2850000000000001</v>
      </c>
      <c r="AF2777" s="508">
        <v>3.7140000000000004</v>
      </c>
      <c r="AG2777" s="508">
        <v>3.6680000000000001</v>
      </c>
      <c r="AH2777" s="508">
        <v>3.6020000000000003</v>
      </c>
      <c r="AI2777" s="492">
        <v>3.6020000000000003</v>
      </c>
      <c r="AJ2777" s="485"/>
    </row>
    <row r="2778" spans="2:36">
      <c r="B2778" s="136" t="s">
        <v>490</v>
      </c>
      <c r="C2778" s="132" t="s">
        <v>1362</v>
      </c>
      <c r="D2778" s="132" t="s">
        <v>283</v>
      </c>
      <c r="E2778" s="508">
        <v>44.529999999999994</v>
      </c>
      <c r="F2778" s="508">
        <v>44.523999999999994</v>
      </c>
      <c r="G2778" s="508">
        <v>44.552</v>
      </c>
      <c r="H2778" s="508">
        <v>44.564999999999998</v>
      </c>
      <c r="I2778" s="508">
        <v>44.515999999999998</v>
      </c>
      <c r="J2778" s="508">
        <v>35.043999999999997</v>
      </c>
      <c r="K2778" s="508">
        <v>36.492000000000004</v>
      </c>
      <c r="L2778" s="508">
        <v>36.505000000000003</v>
      </c>
      <c r="M2778" s="508">
        <v>36.302</v>
      </c>
      <c r="N2778" s="508">
        <v>36.472000000000001</v>
      </c>
      <c r="O2778" s="508">
        <v>36.46</v>
      </c>
      <c r="P2778" s="508">
        <v>36.497999999999998</v>
      </c>
      <c r="Q2778" s="508">
        <v>36.567</v>
      </c>
      <c r="R2778" s="508">
        <v>34.119</v>
      </c>
      <c r="S2778" s="508">
        <v>27.430999999999997</v>
      </c>
      <c r="T2778" s="508">
        <v>27.478000000000002</v>
      </c>
      <c r="U2778" s="508">
        <v>27.277000000000001</v>
      </c>
      <c r="V2778" s="508">
        <v>27.16</v>
      </c>
      <c r="W2778" s="508">
        <v>16.873999999999999</v>
      </c>
      <c r="X2778" s="508">
        <v>16.811</v>
      </c>
      <c r="Y2778" s="508">
        <v>16.846</v>
      </c>
      <c r="Z2778" s="508">
        <v>16.866</v>
      </c>
      <c r="AA2778" s="508">
        <v>13.004999999999999</v>
      </c>
      <c r="AB2778" s="508">
        <v>12.934999999999999</v>
      </c>
      <c r="AC2778" s="508">
        <v>13.08</v>
      </c>
      <c r="AD2778" s="508">
        <v>6.3380000000000001</v>
      </c>
      <c r="AE2778" s="508">
        <v>6.3140000000000001</v>
      </c>
      <c r="AF2778" s="508">
        <v>5.7460000000000004</v>
      </c>
      <c r="AG2778" s="508">
        <v>5.7010000000000005</v>
      </c>
      <c r="AH2778" s="508">
        <v>5.6320000000000006</v>
      </c>
      <c r="AI2778" s="492">
        <v>5.6320000000000006</v>
      </c>
      <c r="AJ2778" s="485"/>
    </row>
    <row r="2779" spans="2:36">
      <c r="B2779" s="136" t="s">
        <v>435</v>
      </c>
      <c r="C2779" s="132" t="s">
        <v>1363</v>
      </c>
      <c r="D2779" s="132" t="s">
        <v>283</v>
      </c>
      <c r="E2779" s="508">
        <v>36.835999999999999</v>
      </c>
      <c r="F2779" s="508">
        <v>36.835999999999999</v>
      </c>
      <c r="G2779" s="508">
        <v>36.835999999999999</v>
      </c>
      <c r="H2779" s="508">
        <v>36.835999999999999</v>
      </c>
      <c r="I2779" s="508">
        <v>36.835999999999999</v>
      </c>
      <c r="J2779" s="508">
        <v>28.448</v>
      </c>
      <c r="K2779" s="508">
        <v>26.379000000000001</v>
      </c>
      <c r="L2779" s="508">
        <v>26.379000000000001</v>
      </c>
      <c r="M2779" s="508">
        <v>26.379000000000001</v>
      </c>
      <c r="N2779" s="508">
        <v>26.379000000000001</v>
      </c>
      <c r="O2779" s="508">
        <v>26.379000000000001</v>
      </c>
      <c r="P2779" s="508">
        <v>26.471</v>
      </c>
      <c r="Q2779" s="508">
        <v>26.471</v>
      </c>
      <c r="R2779" s="508">
        <v>24.312999999999999</v>
      </c>
      <c r="S2779" s="508">
        <v>17.721</v>
      </c>
      <c r="T2779" s="508">
        <v>17.640999999999998</v>
      </c>
      <c r="U2779" s="508">
        <v>17.754000000000001</v>
      </c>
      <c r="V2779" s="508">
        <v>16.943000000000001</v>
      </c>
      <c r="W2779" s="508">
        <v>9.1460000000000008</v>
      </c>
      <c r="X2779" s="508">
        <v>9.16</v>
      </c>
      <c r="Y2779" s="508">
        <v>9.1519999999999992</v>
      </c>
      <c r="Z2779" s="508">
        <v>9.1479999999999997</v>
      </c>
      <c r="AA2779" s="508">
        <v>6.0629999999999997</v>
      </c>
      <c r="AB2779" s="508">
        <v>5.9509999999999996</v>
      </c>
      <c r="AC2779" s="508">
        <v>6.2030000000000003</v>
      </c>
      <c r="AD2779" s="508">
        <v>1.59</v>
      </c>
      <c r="AE2779" s="508">
        <v>1.585</v>
      </c>
      <c r="AF2779" s="508">
        <v>1.0569999999999999</v>
      </c>
      <c r="AG2779" s="508">
        <v>1.02</v>
      </c>
      <c r="AH2779" s="508">
        <v>0.98599999999999999</v>
      </c>
      <c r="AI2779" s="492">
        <v>0.98599999999999999</v>
      </c>
      <c r="AJ2779" s="485"/>
    </row>
    <row r="2780" spans="2:36">
      <c r="B2780" s="136" t="s">
        <v>436</v>
      </c>
      <c r="C2780" s="132" t="s">
        <v>1363</v>
      </c>
      <c r="D2780" s="132" t="s">
        <v>283</v>
      </c>
      <c r="E2780" s="508">
        <v>40.298000000000002</v>
      </c>
      <c r="F2780" s="508">
        <v>40.298000000000002</v>
      </c>
      <c r="G2780" s="508">
        <v>40.298000000000002</v>
      </c>
      <c r="H2780" s="508">
        <v>40.298000000000002</v>
      </c>
      <c r="I2780" s="508">
        <v>40.298000000000002</v>
      </c>
      <c r="J2780" s="508">
        <v>31.120999999999999</v>
      </c>
      <c r="K2780" s="508">
        <v>28.870999999999999</v>
      </c>
      <c r="L2780" s="508">
        <v>28.87</v>
      </c>
      <c r="M2780" s="508">
        <v>28.870999999999999</v>
      </c>
      <c r="N2780" s="508">
        <v>28.870999999999999</v>
      </c>
      <c r="O2780" s="508">
        <v>28.870999999999999</v>
      </c>
      <c r="P2780" s="508">
        <v>28.968</v>
      </c>
      <c r="Q2780" s="508">
        <v>28.968</v>
      </c>
      <c r="R2780" s="508">
        <v>26.675000000000001</v>
      </c>
      <c r="S2780" s="508">
        <v>19.399999999999999</v>
      </c>
      <c r="T2780" s="508">
        <v>19.312999999999999</v>
      </c>
      <c r="U2780" s="508">
        <v>19.434999999999999</v>
      </c>
      <c r="V2780" s="508">
        <v>18.553999999999998</v>
      </c>
      <c r="W2780" s="508">
        <v>9.8930000000000007</v>
      </c>
      <c r="X2780" s="508">
        <v>9.9090000000000007</v>
      </c>
      <c r="Y2780" s="508">
        <v>9.9009999999999998</v>
      </c>
      <c r="Z2780" s="508">
        <v>9.8960000000000008</v>
      </c>
      <c r="AA2780" s="508">
        <v>6.5229999999999997</v>
      </c>
      <c r="AB2780" s="508">
        <v>6.4050000000000002</v>
      </c>
      <c r="AC2780" s="508">
        <v>6.67</v>
      </c>
      <c r="AD2780" s="508">
        <v>1.72</v>
      </c>
      <c r="AE2780" s="508">
        <v>1.7150000000000001</v>
      </c>
      <c r="AF2780" s="508">
        <v>1.143</v>
      </c>
      <c r="AG2780" s="508">
        <v>1.103</v>
      </c>
      <c r="AH2780" s="508">
        <v>1.0649999999999999</v>
      </c>
      <c r="AI2780" s="492">
        <v>1.0649999999999999</v>
      </c>
      <c r="AJ2780" s="485"/>
    </row>
    <row r="2781" spans="2:36">
      <c r="B2781" s="136" t="s">
        <v>437</v>
      </c>
      <c r="C2781" s="132" t="s">
        <v>1363</v>
      </c>
      <c r="D2781" s="132" t="s">
        <v>283</v>
      </c>
      <c r="E2781" s="508">
        <v>39.320999999999998</v>
      </c>
      <c r="F2781" s="508">
        <v>39.320999999999998</v>
      </c>
      <c r="G2781" s="508">
        <v>39.320999999999998</v>
      </c>
      <c r="H2781" s="508">
        <v>39.320999999999998</v>
      </c>
      <c r="I2781" s="508">
        <v>39.320999999999998</v>
      </c>
      <c r="J2781" s="508">
        <v>30.367999999999999</v>
      </c>
      <c r="K2781" s="508">
        <v>28.161000000000001</v>
      </c>
      <c r="L2781" s="508">
        <v>28.161000000000001</v>
      </c>
      <c r="M2781" s="508">
        <v>28.161000000000001</v>
      </c>
      <c r="N2781" s="508">
        <v>28.161000000000001</v>
      </c>
      <c r="O2781" s="508">
        <v>28.161000000000001</v>
      </c>
      <c r="P2781" s="508">
        <v>28.259</v>
      </c>
      <c r="Q2781" s="508">
        <v>28.259</v>
      </c>
      <c r="R2781" s="508">
        <v>25.899000000000001</v>
      </c>
      <c r="S2781" s="508">
        <v>18.896000000000001</v>
      </c>
      <c r="T2781" s="508">
        <v>18.812000000000001</v>
      </c>
      <c r="U2781" s="508">
        <v>18.931000000000001</v>
      </c>
      <c r="V2781" s="508">
        <v>18.071000000000002</v>
      </c>
      <c r="W2781" s="508">
        <v>9.7609999999999992</v>
      </c>
      <c r="X2781" s="508">
        <v>9.7750000000000004</v>
      </c>
      <c r="Y2781" s="508">
        <v>9.7680000000000007</v>
      </c>
      <c r="Z2781" s="508">
        <v>9.7629999999999999</v>
      </c>
      <c r="AA2781" s="508">
        <v>6.468</v>
      </c>
      <c r="AB2781" s="508">
        <v>6.3479999999999999</v>
      </c>
      <c r="AC2781" s="508">
        <v>6.617</v>
      </c>
      <c r="AD2781" s="508">
        <v>1.6970000000000001</v>
      </c>
      <c r="AE2781" s="508">
        <v>1.6919999999999999</v>
      </c>
      <c r="AF2781" s="508">
        <v>1.1279999999999999</v>
      </c>
      <c r="AG2781" s="508">
        <v>1.089</v>
      </c>
      <c r="AH2781" s="508">
        <v>1.0529999999999999</v>
      </c>
      <c r="AI2781" s="492">
        <v>1.0529999999999999</v>
      </c>
      <c r="AJ2781" s="485"/>
    </row>
    <row r="2782" spans="2:36">
      <c r="B2782" s="136" t="s">
        <v>438</v>
      </c>
      <c r="C2782" s="132" t="s">
        <v>1363</v>
      </c>
      <c r="D2782" s="132" t="s">
        <v>283</v>
      </c>
      <c r="E2782" s="508">
        <v>36.965000000000003</v>
      </c>
      <c r="F2782" s="508">
        <v>36.965000000000003</v>
      </c>
      <c r="G2782" s="508">
        <v>36.965000000000003</v>
      </c>
      <c r="H2782" s="508">
        <v>36.965000000000003</v>
      </c>
      <c r="I2782" s="508">
        <v>36.965000000000003</v>
      </c>
      <c r="J2782" s="508">
        <v>28.547999999999998</v>
      </c>
      <c r="K2782" s="508">
        <v>26.484000000000002</v>
      </c>
      <c r="L2782" s="508">
        <v>26.484000000000002</v>
      </c>
      <c r="M2782" s="508">
        <v>26.484000000000002</v>
      </c>
      <c r="N2782" s="508">
        <v>26.484000000000002</v>
      </c>
      <c r="O2782" s="508">
        <v>26.484000000000002</v>
      </c>
      <c r="P2782" s="508">
        <v>26.573</v>
      </c>
      <c r="Q2782" s="508">
        <v>26.573</v>
      </c>
      <c r="R2782" s="508">
        <v>24.510999999999999</v>
      </c>
      <c r="S2782" s="508">
        <v>17.805</v>
      </c>
      <c r="T2782" s="508">
        <v>17.725000000000001</v>
      </c>
      <c r="U2782" s="508">
        <v>17.837</v>
      </c>
      <c r="V2782" s="508">
        <v>17.027999999999999</v>
      </c>
      <c r="W2782" s="508">
        <v>9.0579999999999998</v>
      </c>
      <c r="X2782" s="508">
        <v>9.0730000000000004</v>
      </c>
      <c r="Y2782" s="508">
        <v>9.0649999999999995</v>
      </c>
      <c r="Z2782" s="508">
        <v>9.06</v>
      </c>
      <c r="AA2782" s="508">
        <v>5.9690000000000003</v>
      </c>
      <c r="AB2782" s="508">
        <v>5.8609999999999998</v>
      </c>
      <c r="AC2782" s="508">
        <v>6.1040000000000001</v>
      </c>
      <c r="AD2782" s="508">
        <v>1.5740000000000001</v>
      </c>
      <c r="AE2782" s="508">
        <v>1.57</v>
      </c>
      <c r="AF2782" s="508">
        <v>1.0469999999999999</v>
      </c>
      <c r="AG2782" s="508">
        <v>1.01</v>
      </c>
      <c r="AH2782" s="508">
        <v>0.97499999999999998</v>
      </c>
      <c r="AI2782" s="492">
        <v>0.97499999999999998</v>
      </c>
      <c r="AJ2782" s="485"/>
    </row>
    <row r="2783" spans="2:36">
      <c r="B2783" s="136" t="s">
        <v>439</v>
      </c>
      <c r="C2783" s="132" t="s">
        <v>1363</v>
      </c>
      <c r="D2783" s="132" t="s">
        <v>283</v>
      </c>
      <c r="E2783" s="508">
        <v>38.180999999999997</v>
      </c>
      <c r="F2783" s="508">
        <v>38.180999999999997</v>
      </c>
      <c r="G2783" s="508">
        <v>38.180999999999997</v>
      </c>
      <c r="H2783" s="508">
        <v>38.180999999999997</v>
      </c>
      <c r="I2783" s="508">
        <v>38.180999999999997</v>
      </c>
      <c r="J2783" s="508">
        <v>29.486999999999998</v>
      </c>
      <c r="K2783" s="508">
        <v>27.341000000000001</v>
      </c>
      <c r="L2783" s="508">
        <v>27.341000000000001</v>
      </c>
      <c r="M2783" s="508">
        <v>27.341000000000001</v>
      </c>
      <c r="N2783" s="508">
        <v>27.341000000000001</v>
      </c>
      <c r="O2783" s="508">
        <v>27.341000000000001</v>
      </c>
      <c r="P2783" s="508">
        <v>27.436</v>
      </c>
      <c r="Q2783" s="508">
        <v>27.437000000000001</v>
      </c>
      <c r="R2783" s="508">
        <v>25.143000000000001</v>
      </c>
      <c r="S2783" s="508">
        <v>18.338999999999999</v>
      </c>
      <c r="T2783" s="508">
        <v>18.256</v>
      </c>
      <c r="U2783" s="508">
        <v>18.372</v>
      </c>
      <c r="V2783" s="508">
        <v>17.535</v>
      </c>
      <c r="W2783" s="508">
        <v>9.5109999999999992</v>
      </c>
      <c r="X2783" s="508">
        <v>9.5239999999999991</v>
      </c>
      <c r="Y2783" s="508">
        <v>9.5169999999999995</v>
      </c>
      <c r="Z2783" s="508">
        <v>9.5129999999999999</v>
      </c>
      <c r="AA2783" s="508">
        <v>6.3159999999999998</v>
      </c>
      <c r="AB2783" s="508">
        <v>6.1980000000000004</v>
      </c>
      <c r="AC2783" s="508">
        <v>6.4630000000000001</v>
      </c>
      <c r="AD2783" s="508">
        <v>1.653</v>
      </c>
      <c r="AE2783" s="508">
        <v>1.6479999999999999</v>
      </c>
      <c r="AF2783" s="508">
        <v>1.099</v>
      </c>
      <c r="AG2783" s="508">
        <v>1.0609999999999999</v>
      </c>
      <c r="AH2783" s="508">
        <v>1.026</v>
      </c>
      <c r="AI2783" s="492">
        <v>1.026</v>
      </c>
      <c r="AJ2783" s="485"/>
    </row>
    <row r="2784" spans="2:36">
      <c r="B2784" s="136" t="s">
        <v>440</v>
      </c>
      <c r="C2784" s="132" t="s">
        <v>1363</v>
      </c>
      <c r="D2784" s="132" t="s">
        <v>283</v>
      </c>
      <c r="E2784" s="508">
        <v>39.683999999999997</v>
      </c>
      <c r="F2784" s="508">
        <v>39.683999999999997</v>
      </c>
      <c r="G2784" s="508">
        <v>39.683999999999997</v>
      </c>
      <c r="H2784" s="508">
        <v>39.683999999999997</v>
      </c>
      <c r="I2784" s="508">
        <v>39.683999999999997</v>
      </c>
      <c r="J2784" s="508">
        <v>30.648</v>
      </c>
      <c r="K2784" s="508">
        <v>28.422000000000001</v>
      </c>
      <c r="L2784" s="508">
        <v>28.422000000000001</v>
      </c>
      <c r="M2784" s="508">
        <v>28.422000000000001</v>
      </c>
      <c r="N2784" s="508">
        <v>28.422000000000001</v>
      </c>
      <c r="O2784" s="508">
        <v>28.422999999999998</v>
      </c>
      <c r="P2784" s="508">
        <v>28.521000000000001</v>
      </c>
      <c r="Q2784" s="508">
        <v>28.521000000000001</v>
      </c>
      <c r="R2784" s="508">
        <v>26.186</v>
      </c>
      <c r="S2784" s="508">
        <v>19.079999999999998</v>
      </c>
      <c r="T2784" s="508">
        <v>18.994</v>
      </c>
      <c r="U2784" s="508">
        <v>19.114999999999998</v>
      </c>
      <c r="V2784" s="508">
        <v>18.245000000000001</v>
      </c>
      <c r="W2784" s="508">
        <v>9.83</v>
      </c>
      <c r="X2784" s="508">
        <v>9.8450000000000006</v>
      </c>
      <c r="Y2784" s="508">
        <v>9.8369999999999997</v>
      </c>
      <c r="Z2784" s="508">
        <v>9.8320000000000007</v>
      </c>
      <c r="AA2784" s="508">
        <v>6.51</v>
      </c>
      <c r="AB2784" s="508">
        <v>6.3890000000000002</v>
      </c>
      <c r="AC2784" s="508">
        <v>6.6589999999999998</v>
      </c>
      <c r="AD2784" s="508">
        <v>1.7090000000000001</v>
      </c>
      <c r="AE2784" s="508">
        <v>1.704</v>
      </c>
      <c r="AF2784" s="508">
        <v>1.1359999999999999</v>
      </c>
      <c r="AG2784" s="508">
        <v>1.0960000000000001</v>
      </c>
      <c r="AH2784" s="508">
        <v>1.06</v>
      </c>
      <c r="AI2784" s="492">
        <v>1.06</v>
      </c>
      <c r="AJ2784" s="485"/>
    </row>
    <row r="2785" spans="2:36">
      <c r="B2785" s="136" t="s">
        <v>441</v>
      </c>
      <c r="C2785" s="132" t="s">
        <v>1363</v>
      </c>
      <c r="D2785" s="132" t="s">
        <v>283</v>
      </c>
      <c r="E2785" s="508">
        <v>39.012</v>
      </c>
      <c r="F2785" s="508">
        <v>39.012</v>
      </c>
      <c r="G2785" s="508">
        <v>39.012</v>
      </c>
      <c r="H2785" s="508">
        <v>39.012</v>
      </c>
      <c r="I2785" s="508">
        <v>39.012</v>
      </c>
      <c r="J2785" s="508">
        <v>30.129000000000001</v>
      </c>
      <c r="K2785" s="508">
        <v>27.934000000000001</v>
      </c>
      <c r="L2785" s="508">
        <v>27.934000000000001</v>
      </c>
      <c r="M2785" s="508">
        <v>27.934000000000001</v>
      </c>
      <c r="N2785" s="508">
        <v>27.934000000000001</v>
      </c>
      <c r="O2785" s="508">
        <v>27.934000000000001</v>
      </c>
      <c r="P2785" s="508">
        <v>28.032</v>
      </c>
      <c r="Q2785" s="508">
        <v>28.032</v>
      </c>
      <c r="R2785" s="508">
        <v>25.678000000000001</v>
      </c>
      <c r="S2785" s="508">
        <v>18.731000000000002</v>
      </c>
      <c r="T2785" s="508">
        <v>18.646999999999998</v>
      </c>
      <c r="U2785" s="508">
        <v>18.765000000000001</v>
      </c>
      <c r="V2785" s="508">
        <v>17.908999999999999</v>
      </c>
      <c r="W2785" s="508">
        <v>9.7349999999999994</v>
      </c>
      <c r="X2785" s="508">
        <v>9.7490000000000006</v>
      </c>
      <c r="Y2785" s="508">
        <v>9.7409999999999997</v>
      </c>
      <c r="Z2785" s="508">
        <v>9.7370000000000001</v>
      </c>
      <c r="AA2785" s="508">
        <v>6.4710000000000001</v>
      </c>
      <c r="AB2785" s="508">
        <v>6.35</v>
      </c>
      <c r="AC2785" s="508">
        <v>6.6219999999999999</v>
      </c>
      <c r="AD2785" s="508">
        <v>1.6919999999999999</v>
      </c>
      <c r="AE2785" s="508">
        <v>1.6870000000000001</v>
      </c>
      <c r="AF2785" s="508">
        <v>1.125</v>
      </c>
      <c r="AG2785" s="508">
        <v>1.0860000000000001</v>
      </c>
      <c r="AH2785" s="508">
        <v>1.0509999999999999</v>
      </c>
      <c r="AI2785" s="492">
        <v>1.0509999999999999</v>
      </c>
      <c r="AJ2785" s="485"/>
    </row>
    <row r="2786" spans="2:36">
      <c r="B2786" s="136" t="s">
        <v>443</v>
      </c>
      <c r="C2786" s="132" t="s">
        <v>1363</v>
      </c>
      <c r="D2786" s="132" t="s">
        <v>283</v>
      </c>
      <c r="E2786" s="508">
        <v>38.704000000000001</v>
      </c>
      <c r="F2786" s="508">
        <v>38.704000000000001</v>
      </c>
      <c r="G2786" s="508">
        <v>38.704000000000001</v>
      </c>
      <c r="H2786" s="508">
        <v>38.704000000000001</v>
      </c>
      <c r="I2786" s="508">
        <v>38.704000000000001</v>
      </c>
      <c r="J2786" s="508">
        <v>29.890999999999998</v>
      </c>
      <c r="K2786" s="508">
        <v>27.698</v>
      </c>
      <c r="L2786" s="508">
        <v>27.698</v>
      </c>
      <c r="M2786" s="508">
        <v>27.698</v>
      </c>
      <c r="N2786" s="508">
        <v>27.698</v>
      </c>
      <c r="O2786" s="508">
        <v>27.698</v>
      </c>
      <c r="P2786" s="508">
        <v>27.798999999999999</v>
      </c>
      <c r="Q2786" s="508">
        <v>27.8</v>
      </c>
      <c r="R2786" s="508">
        <v>25.399000000000001</v>
      </c>
      <c r="S2786" s="508">
        <v>18.587</v>
      </c>
      <c r="T2786" s="508">
        <v>18.503</v>
      </c>
      <c r="U2786" s="508">
        <v>18.622</v>
      </c>
      <c r="V2786" s="508">
        <v>17.762</v>
      </c>
      <c r="W2786" s="508">
        <v>9.7899999999999991</v>
      </c>
      <c r="X2786" s="508">
        <v>9.8019999999999996</v>
      </c>
      <c r="Y2786" s="508">
        <v>9.7959999999999994</v>
      </c>
      <c r="Z2786" s="508">
        <v>9.7919999999999998</v>
      </c>
      <c r="AA2786" s="508">
        <v>6.5469999999999997</v>
      </c>
      <c r="AB2786" s="508">
        <v>6.4210000000000003</v>
      </c>
      <c r="AC2786" s="508">
        <v>6.7030000000000003</v>
      </c>
      <c r="AD2786" s="508">
        <v>1.702</v>
      </c>
      <c r="AE2786" s="508">
        <v>1.6970000000000001</v>
      </c>
      <c r="AF2786" s="508">
        <v>1.131</v>
      </c>
      <c r="AG2786" s="508">
        <v>1.0920000000000001</v>
      </c>
      <c r="AH2786" s="508">
        <v>1.0569999999999999</v>
      </c>
      <c r="AI2786" s="492">
        <v>1.0569999999999999</v>
      </c>
      <c r="AJ2786" s="485"/>
    </row>
    <row r="2787" spans="2:36">
      <c r="B2787" s="136" t="s">
        <v>445</v>
      </c>
      <c r="C2787" s="132" t="s">
        <v>1363</v>
      </c>
      <c r="D2787" s="132" t="s">
        <v>283</v>
      </c>
      <c r="E2787" s="508">
        <v>40.033999999999999</v>
      </c>
      <c r="F2787" s="508">
        <v>40.033999999999999</v>
      </c>
      <c r="G2787" s="508">
        <v>40.033999999999999</v>
      </c>
      <c r="H2787" s="508">
        <v>40.033999999999999</v>
      </c>
      <c r="I2787" s="508">
        <v>40.033999999999999</v>
      </c>
      <c r="J2787" s="508">
        <v>30.917999999999999</v>
      </c>
      <c r="K2787" s="508">
        <v>28.632000000000001</v>
      </c>
      <c r="L2787" s="508">
        <v>28.632000000000001</v>
      </c>
      <c r="M2787" s="508">
        <v>28.632000000000001</v>
      </c>
      <c r="N2787" s="508">
        <v>28.632000000000001</v>
      </c>
      <c r="O2787" s="508">
        <v>28.632000000000001</v>
      </c>
      <c r="P2787" s="508">
        <v>28.742000000000001</v>
      </c>
      <c r="Q2787" s="508">
        <v>28.742000000000001</v>
      </c>
      <c r="R2787" s="508">
        <v>25.943999999999999</v>
      </c>
      <c r="S2787" s="508">
        <v>19.146000000000001</v>
      </c>
      <c r="T2787" s="508">
        <v>19.059000000000001</v>
      </c>
      <c r="U2787" s="508">
        <v>19.181000000000001</v>
      </c>
      <c r="V2787" s="508">
        <v>18.297999999999998</v>
      </c>
      <c r="W2787" s="508">
        <v>10.343</v>
      </c>
      <c r="X2787" s="508">
        <v>10.351000000000001</v>
      </c>
      <c r="Y2787" s="508">
        <v>10.346</v>
      </c>
      <c r="Z2787" s="508">
        <v>10.343999999999999</v>
      </c>
      <c r="AA2787" s="508">
        <v>6.9729999999999999</v>
      </c>
      <c r="AB2787" s="508">
        <v>6.8339999999999996</v>
      </c>
      <c r="AC2787" s="508">
        <v>7.1459999999999999</v>
      </c>
      <c r="AD2787" s="508">
        <v>1.7989999999999999</v>
      </c>
      <c r="AE2787" s="508">
        <v>1.7929999999999999</v>
      </c>
      <c r="AF2787" s="508">
        <v>1.1950000000000001</v>
      </c>
      <c r="AG2787" s="508">
        <v>1.1539999999999999</v>
      </c>
      <c r="AH2787" s="508">
        <v>1.121</v>
      </c>
      <c r="AI2787" s="492">
        <v>1.121</v>
      </c>
      <c r="AJ2787" s="485"/>
    </row>
    <row r="2788" spans="2:36">
      <c r="B2788" s="136" t="s">
        <v>446</v>
      </c>
      <c r="C2788" s="132" t="s">
        <v>1363</v>
      </c>
      <c r="D2788" s="132" t="s">
        <v>283</v>
      </c>
      <c r="E2788" s="508">
        <v>35.270000000000003</v>
      </c>
      <c r="F2788" s="508">
        <v>35.270000000000003</v>
      </c>
      <c r="G2788" s="508">
        <v>35.270000000000003</v>
      </c>
      <c r="H2788" s="508">
        <v>35.270000000000003</v>
      </c>
      <c r="I2788" s="508">
        <v>35.270000000000003</v>
      </c>
      <c r="J2788" s="508">
        <v>27.239000000000001</v>
      </c>
      <c r="K2788" s="508">
        <v>25.244</v>
      </c>
      <c r="L2788" s="508">
        <v>25.242999999999999</v>
      </c>
      <c r="M2788" s="508">
        <v>25.242999999999999</v>
      </c>
      <c r="N2788" s="508">
        <v>25.242999999999999</v>
      </c>
      <c r="O2788" s="508">
        <v>25.242999999999999</v>
      </c>
      <c r="P2788" s="508">
        <v>25.335000000000001</v>
      </c>
      <c r="Q2788" s="508">
        <v>25.335000000000001</v>
      </c>
      <c r="R2788" s="508">
        <v>23.062999999999999</v>
      </c>
      <c r="S2788" s="508">
        <v>16.916</v>
      </c>
      <c r="T2788" s="508">
        <v>16.84</v>
      </c>
      <c r="U2788" s="508">
        <v>16.946999999999999</v>
      </c>
      <c r="V2788" s="508">
        <v>16.172000000000001</v>
      </c>
      <c r="W2788" s="508">
        <v>8.9209999999999994</v>
      </c>
      <c r="X2788" s="508">
        <v>8.9309999999999992</v>
      </c>
      <c r="Y2788" s="508">
        <v>8.9260000000000002</v>
      </c>
      <c r="Z2788" s="508">
        <v>8.9220000000000006</v>
      </c>
      <c r="AA2788" s="508">
        <v>5.96</v>
      </c>
      <c r="AB2788" s="508">
        <v>5.8460000000000001</v>
      </c>
      <c r="AC2788" s="508">
        <v>6.1029999999999998</v>
      </c>
      <c r="AD2788" s="508">
        <v>1.5509999999999999</v>
      </c>
      <c r="AE2788" s="508">
        <v>1.546</v>
      </c>
      <c r="AF2788" s="508">
        <v>1.0309999999999999</v>
      </c>
      <c r="AG2788" s="508">
        <v>0.995</v>
      </c>
      <c r="AH2788" s="508">
        <v>0.96399999999999997</v>
      </c>
      <c r="AI2788" s="492">
        <v>0.96399999999999997</v>
      </c>
      <c r="AJ2788" s="485"/>
    </row>
    <row r="2789" spans="2:36">
      <c r="B2789" s="136" t="s">
        <v>448</v>
      </c>
      <c r="C2789" s="132" t="s">
        <v>1363</v>
      </c>
      <c r="D2789" s="132" t="s">
        <v>283</v>
      </c>
      <c r="E2789" s="508">
        <v>36.872</v>
      </c>
      <c r="F2789" s="508">
        <v>36.872</v>
      </c>
      <c r="G2789" s="508">
        <v>36.872</v>
      </c>
      <c r="H2789" s="508">
        <v>36.872</v>
      </c>
      <c r="I2789" s="508">
        <v>36.872</v>
      </c>
      <c r="J2789" s="508">
        <v>28.475999999999999</v>
      </c>
      <c r="K2789" s="508">
        <v>26.411999999999999</v>
      </c>
      <c r="L2789" s="508">
        <v>26.411999999999999</v>
      </c>
      <c r="M2789" s="508">
        <v>26.411999999999999</v>
      </c>
      <c r="N2789" s="508">
        <v>26.411999999999999</v>
      </c>
      <c r="O2789" s="508">
        <v>26.411999999999999</v>
      </c>
      <c r="P2789" s="508">
        <v>26.503</v>
      </c>
      <c r="Q2789" s="508">
        <v>26.503</v>
      </c>
      <c r="R2789" s="508">
        <v>24.4</v>
      </c>
      <c r="S2789" s="508">
        <v>17.748000000000001</v>
      </c>
      <c r="T2789" s="508">
        <v>17.667999999999999</v>
      </c>
      <c r="U2789" s="508">
        <v>17.78</v>
      </c>
      <c r="V2789" s="508">
        <v>16.972000000000001</v>
      </c>
      <c r="W2789" s="508">
        <v>9.0830000000000002</v>
      </c>
      <c r="X2789" s="508">
        <v>9.0980000000000008</v>
      </c>
      <c r="Y2789" s="508">
        <v>9.09</v>
      </c>
      <c r="Z2789" s="508">
        <v>9.0850000000000009</v>
      </c>
      <c r="AA2789" s="508">
        <v>6.0010000000000003</v>
      </c>
      <c r="AB2789" s="508">
        <v>5.891</v>
      </c>
      <c r="AC2789" s="508">
        <v>6.1369999999999996</v>
      </c>
      <c r="AD2789" s="508">
        <v>1.579</v>
      </c>
      <c r="AE2789" s="508">
        <v>1.5740000000000001</v>
      </c>
      <c r="AF2789" s="508">
        <v>1.05</v>
      </c>
      <c r="AG2789" s="508">
        <v>1.0129999999999999</v>
      </c>
      <c r="AH2789" s="508">
        <v>0.97799999999999998</v>
      </c>
      <c r="AI2789" s="492">
        <v>0.97799999999999998</v>
      </c>
      <c r="AJ2789" s="485"/>
    </row>
    <row r="2790" spans="2:36">
      <c r="B2790" s="136" t="s">
        <v>449</v>
      </c>
      <c r="C2790" s="132" t="s">
        <v>1363</v>
      </c>
      <c r="D2790" s="132" t="s">
        <v>283</v>
      </c>
      <c r="E2790" s="508">
        <v>34.914000000000001</v>
      </c>
      <c r="F2790" s="508">
        <v>34.914000000000001</v>
      </c>
      <c r="G2790" s="508">
        <v>34.914000000000001</v>
      </c>
      <c r="H2790" s="508">
        <v>34.914000000000001</v>
      </c>
      <c r="I2790" s="508">
        <v>34.914000000000001</v>
      </c>
      <c r="J2790" s="508">
        <v>26.963999999999999</v>
      </c>
      <c r="K2790" s="508">
        <v>24.986999999999998</v>
      </c>
      <c r="L2790" s="508">
        <v>24.986999999999998</v>
      </c>
      <c r="M2790" s="508">
        <v>24.986999999999998</v>
      </c>
      <c r="N2790" s="508">
        <v>24.986999999999998</v>
      </c>
      <c r="O2790" s="508">
        <v>24.986999999999998</v>
      </c>
      <c r="P2790" s="508">
        <v>25.077999999999999</v>
      </c>
      <c r="Q2790" s="508">
        <v>25.077999999999999</v>
      </c>
      <c r="R2790" s="508">
        <v>22.882999999999999</v>
      </c>
      <c r="S2790" s="508">
        <v>16.757000000000001</v>
      </c>
      <c r="T2790" s="508">
        <v>16.68</v>
      </c>
      <c r="U2790" s="508">
        <v>16.786999999999999</v>
      </c>
      <c r="V2790" s="508">
        <v>16.015000000000001</v>
      </c>
      <c r="W2790" s="508">
        <v>8.8330000000000002</v>
      </c>
      <c r="X2790" s="508">
        <v>8.8439999999999994</v>
      </c>
      <c r="Y2790" s="508">
        <v>8.8379999999999992</v>
      </c>
      <c r="Z2790" s="508">
        <v>8.8350000000000009</v>
      </c>
      <c r="AA2790" s="508">
        <v>5.907</v>
      </c>
      <c r="AB2790" s="508">
        <v>5.7930000000000001</v>
      </c>
      <c r="AC2790" s="508">
        <v>6.048</v>
      </c>
      <c r="AD2790" s="508">
        <v>1.536</v>
      </c>
      <c r="AE2790" s="508">
        <v>1.5309999999999999</v>
      </c>
      <c r="AF2790" s="508">
        <v>1.0209999999999999</v>
      </c>
      <c r="AG2790" s="508">
        <v>0.98499999999999999</v>
      </c>
      <c r="AH2790" s="508">
        <v>0.95399999999999996</v>
      </c>
      <c r="AI2790" s="492">
        <v>0.95399999999999996</v>
      </c>
      <c r="AJ2790" s="485"/>
    </row>
    <row r="2791" spans="2:36">
      <c r="B2791" s="136" t="s">
        <v>450</v>
      </c>
      <c r="C2791" s="132" t="s">
        <v>1363</v>
      </c>
      <c r="D2791" s="132" t="s">
        <v>283</v>
      </c>
      <c r="E2791" s="508">
        <v>39.265000000000001</v>
      </c>
      <c r="F2791" s="508">
        <v>39.265000000000001</v>
      </c>
      <c r="G2791" s="508">
        <v>39.265000000000001</v>
      </c>
      <c r="H2791" s="508">
        <v>39.265000000000001</v>
      </c>
      <c r="I2791" s="508">
        <v>39.265000000000001</v>
      </c>
      <c r="J2791" s="508">
        <v>30.324000000000002</v>
      </c>
      <c r="K2791" s="508">
        <v>28.126999999999999</v>
      </c>
      <c r="L2791" s="508">
        <v>28.126999999999999</v>
      </c>
      <c r="M2791" s="508">
        <v>28.126999999999999</v>
      </c>
      <c r="N2791" s="508">
        <v>28.126999999999999</v>
      </c>
      <c r="O2791" s="508">
        <v>28.126999999999999</v>
      </c>
      <c r="P2791" s="508">
        <v>28.222999999999999</v>
      </c>
      <c r="Q2791" s="508">
        <v>28.222999999999999</v>
      </c>
      <c r="R2791" s="508">
        <v>25.991</v>
      </c>
      <c r="S2791" s="508">
        <v>18.905999999999999</v>
      </c>
      <c r="T2791" s="508">
        <v>18.821000000000002</v>
      </c>
      <c r="U2791" s="508">
        <v>18.940000000000001</v>
      </c>
      <c r="V2791" s="508">
        <v>18.079000000000001</v>
      </c>
      <c r="W2791" s="508">
        <v>9.6639999999999997</v>
      </c>
      <c r="X2791" s="508">
        <v>9.68</v>
      </c>
      <c r="Y2791" s="508">
        <v>9.6720000000000006</v>
      </c>
      <c r="Z2791" s="508">
        <v>9.6660000000000004</v>
      </c>
      <c r="AA2791" s="508">
        <v>6.3810000000000002</v>
      </c>
      <c r="AB2791" s="508">
        <v>6.2640000000000002</v>
      </c>
      <c r="AC2791" s="508">
        <v>6.5259999999999998</v>
      </c>
      <c r="AD2791" s="508">
        <v>1.68</v>
      </c>
      <c r="AE2791" s="508">
        <v>1.675</v>
      </c>
      <c r="AF2791" s="508">
        <v>1.117</v>
      </c>
      <c r="AG2791" s="508">
        <v>1.0780000000000001</v>
      </c>
      <c r="AH2791" s="508">
        <v>1.0409999999999999</v>
      </c>
      <c r="AI2791" s="492">
        <v>1.0409999999999999</v>
      </c>
      <c r="AJ2791" s="485"/>
    </row>
    <row r="2792" spans="2:36">
      <c r="B2792" s="136" t="s">
        <v>451</v>
      </c>
      <c r="C2792" s="132" t="s">
        <v>1363</v>
      </c>
      <c r="D2792" s="132" t="s">
        <v>283</v>
      </c>
      <c r="E2792" s="508">
        <v>39.704000000000001</v>
      </c>
      <c r="F2792" s="508">
        <v>39.704000000000001</v>
      </c>
      <c r="G2792" s="508">
        <v>39.704000000000001</v>
      </c>
      <c r="H2792" s="508">
        <v>39.704000000000001</v>
      </c>
      <c r="I2792" s="508">
        <v>39.704000000000001</v>
      </c>
      <c r="J2792" s="508">
        <v>30.663</v>
      </c>
      <c r="K2792" s="508">
        <v>28.411000000000001</v>
      </c>
      <c r="L2792" s="508">
        <v>28.411000000000001</v>
      </c>
      <c r="M2792" s="508">
        <v>28.411000000000001</v>
      </c>
      <c r="N2792" s="508">
        <v>28.411000000000001</v>
      </c>
      <c r="O2792" s="508">
        <v>28.411000000000001</v>
      </c>
      <c r="P2792" s="508">
        <v>28.515999999999998</v>
      </c>
      <c r="Q2792" s="508">
        <v>28.515999999999998</v>
      </c>
      <c r="R2792" s="508">
        <v>25.902999999999999</v>
      </c>
      <c r="S2792" s="508">
        <v>19.021000000000001</v>
      </c>
      <c r="T2792" s="508">
        <v>18.934999999999999</v>
      </c>
      <c r="U2792" s="508">
        <v>19.056000000000001</v>
      </c>
      <c r="V2792" s="508">
        <v>18.181999999999999</v>
      </c>
      <c r="W2792" s="508">
        <v>10.103</v>
      </c>
      <c r="X2792" s="508">
        <v>10.114000000000001</v>
      </c>
      <c r="Y2792" s="508">
        <v>10.108000000000001</v>
      </c>
      <c r="Z2792" s="508">
        <v>10.105</v>
      </c>
      <c r="AA2792" s="508">
        <v>6.77</v>
      </c>
      <c r="AB2792" s="508">
        <v>6.6390000000000002</v>
      </c>
      <c r="AC2792" s="508">
        <v>6.9340000000000002</v>
      </c>
      <c r="AD2792" s="508">
        <v>1.7569999999999999</v>
      </c>
      <c r="AE2792" s="508">
        <v>1.7509999999999999</v>
      </c>
      <c r="AF2792" s="508">
        <v>1.167</v>
      </c>
      <c r="AG2792" s="508">
        <v>1.127</v>
      </c>
      <c r="AH2792" s="508">
        <v>1.093</v>
      </c>
      <c r="AI2792" s="492">
        <v>1.093</v>
      </c>
      <c r="AJ2792" s="485"/>
    </row>
    <row r="2793" spans="2:36">
      <c r="B2793" s="136" t="s">
        <v>452</v>
      </c>
      <c r="C2793" s="132" t="s">
        <v>1363</v>
      </c>
      <c r="D2793" s="132" t="s">
        <v>283</v>
      </c>
      <c r="E2793" s="508">
        <v>38.843000000000004</v>
      </c>
      <c r="F2793" s="508">
        <v>38.843000000000004</v>
      </c>
      <c r="G2793" s="508">
        <v>38.843000000000004</v>
      </c>
      <c r="H2793" s="508">
        <v>38.843000000000004</v>
      </c>
      <c r="I2793" s="508">
        <v>38.843000000000004</v>
      </c>
      <c r="J2793" s="508">
        <v>29.998000000000001</v>
      </c>
      <c r="K2793" s="508">
        <v>27.814</v>
      </c>
      <c r="L2793" s="508">
        <v>27.814</v>
      </c>
      <c r="M2793" s="508">
        <v>27.814</v>
      </c>
      <c r="N2793" s="508">
        <v>27.812999999999999</v>
      </c>
      <c r="O2793" s="508">
        <v>27.814</v>
      </c>
      <c r="P2793" s="508">
        <v>27.911000000000001</v>
      </c>
      <c r="Q2793" s="508">
        <v>27.911000000000001</v>
      </c>
      <c r="R2793" s="508">
        <v>25.577000000000002</v>
      </c>
      <c r="S2793" s="508">
        <v>18.672000000000001</v>
      </c>
      <c r="T2793" s="508">
        <v>18.588000000000001</v>
      </c>
      <c r="U2793" s="508">
        <v>18.706</v>
      </c>
      <c r="V2793" s="508">
        <v>17.852</v>
      </c>
      <c r="W2793" s="508">
        <v>9.6790000000000003</v>
      </c>
      <c r="X2793" s="508">
        <v>9.6920000000000002</v>
      </c>
      <c r="Y2793" s="508">
        <v>9.6850000000000005</v>
      </c>
      <c r="Z2793" s="508">
        <v>9.6809999999999992</v>
      </c>
      <c r="AA2793" s="508">
        <v>6.4249999999999998</v>
      </c>
      <c r="AB2793" s="508">
        <v>6.3049999999999997</v>
      </c>
      <c r="AC2793" s="508">
        <v>6.5750000000000002</v>
      </c>
      <c r="AD2793" s="508">
        <v>1.6830000000000001</v>
      </c>
      <c r="AE2793" s="508">
        <v>1.6779999999999999</v>
      </c>
      <c r="AF2793" s="508">
        <v>1.1180000000000001</v>
      </c>
      <c r="AG2793" s="508">
        <v>1.08</v>
      </c>
      <c r="AH2793" s="508">
        <v>1.044</v>
      </c>
      <c r="AI2793" s="492">
        <v>1.044</v>
      </c>
      <c r="AJ2793" s="485"/>
    </row>
    <row r="2794" spans="2:36">
      <c r="B2794" s="136" t="s">
        <v>453</v>
      </c>
      <c r="C2794" s="132" t="s">
        <v>1363</v>
      </c>
      <c r="D2794" s="132" t="s">
        <v>283</v>
      </c>
      <c r="E2794" s="508">
        <v>38.673999999999999</v>
      </c>
      <c r="F2794" s="508">
        <v>38.673999999999999</v>
      </c>
      <c r="G2794" s="508">
        <v>38.673999999999999</v>
      </c>
      <c r="H2794" s="508">
        <v>38.673999999999999</v>
      </c>
      <c r="I2794" s="508">
        <v>38.673999999999999</v>
      </c>
      <c r="J2794" s="508">
        <v>29.867999999999999</v>
      </c>
      <c r="K2794" s="508">
        <v>27.707000000000001</v>
      </c>
      <c r="L2794" s="508">
        <v>27.707000000000001</v>
      </c>
      <c r="M2794" s="508">
        <v>27.706</v>
      </c>
      <c r="N2794" s="508">
        <v>27.706</v>
      </c>
      <c r="O2794" s="508">
        <v>27.707000000000001</v>
      </c>
      <c r="P2794" s="508">
        <v>27.8</v>
      </c>
      <c r="Q2794" s="508">
        <v>27.8</v>
      </c>
      <c r="R2794" s="508">
        <v>25.632000000000001</v>
      </c>
      <c r="S2794" s="508">
        <v>18.629000000000001</v>
      </c>
      <c r="T2794" s="508">
        <v>18.545000000000002</v>
      </c>
      <c r="U2794" s="508">
        <v>18.663</v>
      </c>
      <c r="V2794" s="508">
        <v>17.815000000000001</v>
      </c>
      <c r="W2794" s="508">
        <v>9.4909999999999997</v>
      </c>
      <c r="X2794" s="508">
        <v>9.5069999999999997</v>
      </c>
      <c r="Y2794" s="508">
        <v>9.4990000000000006</v>
      </c>
      <c r="Z2794" s="508">
        <v>9.4939999999999998</v>
      </c>
      <c r="AA2794" s="508">
        <v>6.258</v>
      </c>
      <c r="AB2794" s="508">
        <v>6.1449999999999996</v>
      </c>
      <c r="AC2794" s="508">
        <v>6.4</v>
      </c>
      <c r="AD2794" s="508">
        <v>1.65</v>
      </c>
      <c r="AE2794" s="508">
        <v>1.645</v>
      </c>
      <c r="AF2794" s="508">
        <v>1.097</v>
      </c>
      <c r="AG2794" s="508">
        <v>1.0589999999999999</v>
      </c>
      <c r="AH2794" s="508">
        <v>1.0209999999999999</v>
      </c>
      <c r="AI2794" s="492">
        <v>1.0209999999999999</v>
      </c>
      <c r="AJ2794" s="485"/>
    </row>
    <row r="2795" spans="2:36">
      <c r="B2795" s="136" t="s">
        <v>454</v>
      </c>
      <c r="C2795" s="132" t="s">
        <v>1363</v>
      </c>
      <c r="D2795" s="132" t="s">
        <v>283</v>
      </c>
      <c r="E2795" s="508">
        <v>38.116</v>
      </c>
      <c r="F2795" s="508">
        <v>38.116</v>
      </c>
      <c r="G2795" s="508">
        <v>38.116</v>
      </c>
      <c r="H2795" s="508">
        <v>38.116</v>
      </c>
      <c r="I2795" s="508">
        <v>38.116</v>
      </c>
      <c r="J2795" s="508">
        <v>29.437000000000001</v>
      </c>
      <c r="K2795" s="508">
        <v>27.302</v>
      </c>
      <c r="L2795" s="508">
        <v>27.302</v>
      </c>
      <c r="M2795" s="508">
        <v>27.302</v>
      </c>
      <c r="N2795" s="508">
        <v>27.302</v>
      </c>
      <c r="O2795" s="508">
        <v>27.302</v>
      </c>
      <c r="P2795" s="508">
        <v>27.396000000000001</v>
      </c>
      <c r="Q2795" s="508">
        <v>27.396000000000001</v>
      </c>
      <c r="R2795" s="508">
        <v>25.225999999999999</v>
      </c>
      <c r="S2795" s="508">
        <v>18.347999999999999</v>
      </c>
      <c r="T2795" s="508">
        <v>18.265999999999998</v>
      </c>
      <c r="U2795" s="508">
        <v>18.382000000000001</v>
      </c>
      <c r="V2795" s="508">
        <v>17.544</v>
      </c>
      <c r="W2795" s="508">
        <v>9.3989999999999991</v>
      </c>
      <c r="X2795" s="508">
        <v>9.4139999999999997</v>
      </c>
      <c r="Y2795" s="508">
        <v>9.4060000000000006</v>
      </c>
      <c r="Z2795" s="508">
        <v>9.4009999999999998</v>
      </c>
      <c r="AA2795" s="508">
        <v>6.2130000000000001</v>
      </c>
      <c r="AB2795" s="508">
        <v>6.0990000000000002</v>
      </c>
      <c r="AC2795" s="508">
        <v>6.3540000000000001</v>
      </c>
      <c r="AD2795" s="508">
        <v>1.6339999999999999</v>
      </c>
      <c r="AE2795" s="508">
        <v>1.629</v>
      </c>
      <c r="AF2795" s="508">
        <v>1.0860000000000001</v>
      </c>
      <c r="AG2795" s="508">
        <v>1.048</v>
      </c>
      <c r="AH2795" s="508">
        <v>1.012</v>
      </c>
      <c r="AI2795" s="492">
        <v>1.012</v>
      </c>
      <c r="AJ2795" s="485"/>
    </row>
    <row r="2796" spans="2:36">
      <c r="B2796" s="136" t="s">
        <v>455</v>
      </c>
      <c r="C2796" s="132" t="s">
        <v>1363</v>
      </c>
      <c r="D2796" s="132" t="s">
        <v>283</v>
      </c>
      <c r="E2796" s="508">
        <v>37.704000000000001</v>
      </c>
      <c r="F2796" s="508">
        <v>37.704000000000001</v>
      </c>
      <c r="G2796" s="508">
        <v>37.704000000000001</v>
      </c>
      <c r="H2796" s="508">
        <v>37.704000000000001</v>
      </c>
      <c r="I2796" s="508">
        <v>37.704000000000001</v>
      </c>
      <c r="J2796" s="508">
        <v>29.117999999999999</v>
      </c>
      <c r="K2796" s="508">
        <v>27.016999999999999</v>
      </c>
      <c r="L2796" s="508">
        <v>27.016999999999999</v>
      </c>
      <c r="M2796" s="508">
        <v>27.016999999999999</v>
      </c>
      <c r="N2796" s="508">
        <v>27.016999999999999</v>
      </c>
      <c r="O2796" s="508">
        <v>27.016999999999999</v>
      </c>
      <c r="P2796" s="508">
        <v>27.106999999999999</v>
      </c>
      <c r="Q2796" s="508">
        <v>27.106999999999999</v>
      </c>
      <c r="R2796" s="508">
        <v>25.013999999999999</v>
      </c>
      <c r="S2796" s="508">
        <v>18.163</v>
      </c>
      <c r="T2796" s="508">
        <v>18.081</v>
      </c>
      <c r="U2796" s="508">
        <v>18.196000000000002</v>
      </c>
      <c r="V2796" s="508">
        <v>17.372</v>
      </c>
      <c r="W2796" s="508">
        <v>9.2050000000000001</v>
      </c>
      <c r="X2796" s="508">
        <v>9.2210000000000001</v>
      </c>
      <c r="Y2796" s="508">
        <v>9.2119999999999997</v>
      </c>
      <c r="Z2796" s="508">
        <v>9.2070000000000007</v>
      </c>
      <c r="AA2796" s="508">
        <v>6.0540000000000003</v>
      </c>
      <c r="AB2796" s="508">
        <v>5.9450000000000003</v>
      </c>
      <c r="AC2796" s="508">
        <v>6.1890000000000001</v>
      </c>
      <c r="AD2796" s="508">
        <v>1.6</v>
      </c>
      <c r="AE2796" s="508">
        <v>1.595</v>
      </c>
      <c r="AF2796" s="508">
        <v>1.0640000000000001</v>
      </c>
      <c r="AG2796" s="508">
        <v>1.0269999999999999</v>
      </c>
      <c r="AH2796" s="508">
        <v>0.99</v>
      </c>
      <c r="AI2796" s="492">
        <v>0.99</v>
      </c>
      <c r="AJ2796" s="485"/>
    </row>
    <row r="2797" spans="2:36">
      <c r="B2797" s="136" t="s">
        <v>456</v>
      </c>
      <c r="C2797" s="132" t="s">
        <v>1363</v>
      </c>
      <c r="D2797" s="132" t="s">
        <v>283</v>
      </c>
      <c r="E2797" s="508">
        <v>35.691000000000003</v>
      </c>
      <c r="F2797" s="508">
        <v>35.691000000000003</v>
      </c>
      <c r="G2797" s="508">
        <v>35.691000000000003</v>
      </c>
      <c r="H2797" s="508">
        <v>35.691000000000003</v>
      </c>
      <c r="I2797" s="508">
        <v>35.691000000000003</v>
      </c>
      <c r="J2797" s="508">
        <v>27.564</v>
      </c>
      <c r="K2797" s="508">
        <v>25.564</v>
      </c>
      <c r="L2797" s="508">
        <v>25.564</v>
      </c>
      <c r="M2797" s="508">
        <v>25.562999999999999</v>
      </c>
      <c r="N2797" s="508">
        <v>25.564</v>
      </c>
      <c r="O2797" s="508">
        <v>25.564</v>
      </c>
      <c r="P2797" s="508">
        <v>25.651</v>
      </c>
      <c r="Q2797" s="508">
        <v>25.652000000000001</v>
      </c>
      <c r="R2797" s="508">
        <v>23.579000000000001</v>
      </c>
      <c r="S2797" s="508">
        <v>17.170999999999999</v>
      </c>
      <c r="T2797" s="508">
        <v>17.094000000000001</v>
      </c>
      <c r="U2797" s="508">
        <v>17.202999999999999</v>
      </c>
      <c r="V2797" s="508">
        <v>16.420000000000002</v>
      </c>
      <c r="W2797" s="508">
        <v>8.8230000000000004</v>
      </c>
      <c r="X2797" s="508">
        <v>8.8369999999999997</v>
      </c>
      <c r="Y2797" s="508">
        <v>8.83</v>
      </c>
      <c r="Z2797" s="508">
        <v>8.8249999999999993</v>
      </c>
      <c r="AA2797" s="508">
        <v>5.8369999999999997</v>
      </c>
      <c r="AB2797" s="508">
        <v>5.73</v>
      </c>
      <c r="AC2797" s="508">
        <v>5.9710000000000001</v>
      </c>
      <c r="AD2797" s="508">
        <v>1.534</v>
      </c>
      <c r="AE2797" s="508">
        <v>1.5289999999999999</v>
      </c>
      <c r="AF2797" s="508">
        <v>1.0189999999999999</v>
      </c>
      <c r="AG2797" s="508">
        <v>0.98399999999999999</v>
      </c>
      <c r="AH2797" s="508">
        <v>0.95099999999999996</v>
      </c>
      <c r="AI2797" s="492">
        <v>0.95099999999999996</v>
      </c>
      <c r="AJ2797" s="485"/>
    </row>
    <row r="2798" spans="2:36">
      <c r="B2798" s="136" t="s">
        <v>457</v>
      </c>
      <c r="C2798" s="132" t="s">
        <v>1363</v>
      </c>
      <c r="D2798" s="132" t="s">
        <v>283</v>
      </c>
      <c r="E2798" s="508">
        <v>39.045999999999999</v>
      </c>
      <c r="F2798" s="508">
        <v>39.045000000000002</v>
      </c>
      <c r="G2798" s="508">
        <v>39.045000000000002</v>
      </c>
      <c r="H2798" s="508">
        <v>39.045000000000002</v>
      </c>
      <c r="I2798" s="508">
        <v>39.045000000000002</v>
      </c>
      <c r="J2798" s="508">
        <v>30.155000000000001</v>
      </c>
      <c r="K2798" s="508">
        <v>27.977</v>
      </c>
      <c r="L2798" s="508">
        <v>27.977</v>
      </c>
      <c r="M2798" s="508">
        <v>27.977</v>
      </c>
      <c r="N2798" s="508">
        <v>27.977</v>
      </c>
      <c r="O2798" s="508">
        <v>27.977</v>
      </c>
      <c r="P2798" s="508">
        <v>28.071000000000002</v>
      </c>
      <c r="Q2798" s="508">
        <v>28.071000000000002</v>
      </c>
      <c r="R2798" s="508">
        <v>25.954999999999998</v>
      </c>
      <c r="S2798" s="508">
        <v>18.826000000000001</v>
      </c>
      <c r="T2798" s="508">
        <v>18.742000000000001</v>
      </c>
      <c r="U2798" s="508">
        <v>18.86</v>
      </c>
      <c r="V2798" s="508">
        <v>18.004000000000001</v>
      </c>
      <c r="W2798" s="508">
        <v>9.5259999999999998</v>
      </c>
      <c r="X2798" s="508">
        <v>9.5429999999999993</v>
      </c>
      <c r="Y2798" s="508">
        <v>9.5340000000000007</v>
      </c>
      <c r="Z2798" s="508">
        <v>9.5280000000000005</v>
      </c>
      <c r="AA2798" s="508">
        <v>6.2649999999999997</v>
      </c>
      <c r="AB2798" s="508">
        <v>6.1529999999999996</v>
      </c>
      <c r="AC2798" s="508">
        <v>6.4050000000000002</v>
      </c>
      <c r="AD2798" s="508">
        <v>1.6559999999999999</v>
      </c>
      <c r="AE2798" s="508">
        <v>1.651</v>
      </c>
      <c r="AF2798" s="508">
        <v>1.101</v>
      </c>
      <c r="AG2798" s="508">
        <v>1.0620000000000001</v>
      </c>
      <c r="AH2798" s="508">
        <v>1.024</v>
      </c>
      <c r="AI2798" s="492">
        <v>1.024</v>
      </c>
      <c r="AJ2798" s="485"/>
    </row>
    <row r="2799" spans="2:36">
      <c r="B2799" s="136" t="s">
        <v>458</v>
      </c>
      <c r="C2799" s="132" t="s">
        <v>1363</v>
      </c>
      <c r="D2799" s="132" t="s">
        <v>283</v>
      </c>
      <c r="E2799" s="508">
        <v>38.377000000000002</v>
      </c>
      <c r="F2799" s="508">
        <v>38.375999999999998</v>
      </c>
      <c r="G2799" s="508">
        <v>38.377000000000002</v>
      </c>
      <c r="H2799" s="508">
        <v>38.377000000000002</v>
      </c>
      <c r="I2799" s="508">
        <v>38.375999999999998</v>
      </c>
      <c r="J2799" s="508">
        <v>29.638000000000002</v>
      </c>
      <c r="K2799" s="508">
        <v>27.483000000000001</v>
      </c>
      <c r="L2799" s="508">
        <v>27.483000000000001</v>
      </c>
      <c r="M2799" s="508">
        <v>27.483000000000001</v>
      </c>
      <c r="N2799" s="508">
        <v>27.483000000000001</v>
      </c>
      <c r="O2799" s="508">
        <v>27.483000000000001</v>
      </c>
      <c r="P2799" s="508">
        <v>27.579000000000001</v>
      </c>
      <c r="Q2799" s="508">
        <v>27.579000000000001</v>
      </c>
      <c r="R2799" s="508">
        <v>25.312999999999999</v>
      </c>
      <c r="S2799" s="508">
        <v>18.445</v>
      </c>
      <c r="T2799" s="508">
        <v>18.361000000000001</v>
      </c>
      <c r="U2799" s="508">
        <v>18.478000000000002</v>
      </c>
      <c r="V2799" s="508">
        <v>17.635999999999999</v>
      </c>
      <c r="W2799" s="508">
        <v>9.5289999999999999</v>
      </c>
      <c r="X2799" s="508">
        <v>9.5429999999999993</v>
      </c>
      <c r="Y2799" s="508">
        <v>9.5359999999999996</v>
      </c>
      <c r="Z2799" s="508">
        <v>9.5310000000000006</v>
      </c>
      <c r="AA2799" s="508">
        <v>6.319</v>
      </c>
      <c r="AB2799" s="508">
        <v>6.202</v>
      </c>
      <c r="AC2799" s="508">
        <v>6.4649999999999999</v>
      </c>
      <c r="AD2799" s="508">
        <v>1.6559999999999999</v>
      </c>
      <c r="AE2799" s="508">
        <v>1.6519999999999999</v>
      </c>
      <c r="AF2799" s="508">
        <v>1.101</v>
      </c>
      <c r="AG2799" s="508">
        <v>1.0629999999999999</v>
      </c>
      <c r="AH2799" s="508">
        <v>1.028</v>
      </c>
      <c r="AI2799" s="492">
        <v>1.028</v>
      </c>
      <c r="AJ2799" s="485"/>
    </row>
    <row r="2800" spans="2:36">
      <c r="B2800" s="136" t="s">
        <v>459</v>
      </c>
      <c r="C2800" s="132" t="s">
        <v>1363</v>
      </c>
      <c r="D2800" s="132" t="s">
        <v>283</v>
      </c>
      <c r="E2800" s="508">
        <v>39.113999999999997</v>
      </c>
      <c r="F2800" s="508">
        <v>39.113999999999997</v>
      </c>
      <c r="G2800" s="508">
        <v>39.113999999999997</v>
      </c>
      <c r="H2800" s="508">
        <v>39.113999999999997</v>
      </c>
      <c r="I2800" s="508">
        <v>39.113999999999997</v>
      </c>
      <c r="J2800" s="508">
        <v>30.207999999999998</v>
      </c>
      <c r="K2800" s="508">
        <v>28.012</v>
      </c>
      <c r="L2800" s="508">
        <v>28.012</v>
      </c>
      <c r="M2800" s="508">
        <v>28.012</v>
      </c>
      <c r="N2800" s="508">
        <v>28.012</v>
      </c>
      <c r="O2800" s="508">
        <v>28.012</v>
      </c>
      <c r="P2800" s="508">
        <v>28.109000000000002</v>
      </c>
      <c r="Q2800" s="508">
        <v>28.109000000000002</v>
      </c>
      <c r="R2800" s="508">
        <v>25.802</v>
      </c>
      <c r="S2800" s="508">
        <v>18.8</v>
      </c>
      <c r="T2800" s="508">
        <v>18.715</v>
      </c>
      <c r="U2800" s="508">
        <v>18.834</v>
      </c>
      <c r="V2800" s="508">
        <v>17.975999999999999</v>
      </c>
      <c r="W2800" s="508">
        <v>9.7080000000000002</v>
      </c>
      <c r="X2800" s="508">
        <v>9.7230000000000008</v>
      </c>
      <c r="Y2800" s="508">
        <v>9.7149999999999999</v>
      </c>
      <c r="Z2800" s="508">
        <v>9.7100000000000009</v>
      </c>
      <c r="AA2800" s="508">
        <v>6.4370000000000003</v>
      </c>
      <c r="AB2800" s="508">
        <v>6.3179999999999996</v>
      </c>
      <c r="AC2800" s="508">
        <v>6.585</v>
      </c>
      <c r="AD2800" s="508">
        <v>1.6879999999999999</v>
      </c>
      <c r="AE2800" s="508">
        <v>1.6830000000000001</v>
      </c>
      <c r="AF2800" s="508">
        <v>1.1220000000000001</v>
      </c>
      <c r="AG2800" s="508">
        <v>1.083</v>
      </c>
      <c r="AH2800" s="508">
        <v>1.0469999999999999</v>
      </c>
      <c r="AI2800" s="492">
        <v>1.0469999999999999</v>
      </c>
      <c r="AJ2800" s="485"/>
    </row>
    <row r="2801" spans="2:36">
      <c r="B2801" s="136" t="s">
        <v>460</v>
      </c>
      <c r="C2801" s="132" t="s">
        <v>1363</v>
      </c>
      <c r="D2801" s="132" t="s">
        <v>283</v>
      </c>
      <c r="E2801" s="508">
        <v>39.17</v>
      </c>
      <c r="F2801" s="508">
        <v>39.17</v>
      </c>
      <c r="G2801" s="508">
        <v>39.17</v>
      </c>
      <c r="H2801" s="508">
        <v>39.17</v>
      </c>
      <c r="I2801" s="508">
        <v>39.17</v>
      </c>
      <c r="J2801" s="508">
        <v>30.251000000000001</v>
      </c>
      <c r="K2801" s="508">
        <v>28.053000000000001</v>
      </c>
      <c r="L2801" s="508">
        <v>28.053000000000001</v>
      </c>
      <c r="M2801" s="508">
        <v>28.053000000000001</v>
      </c>
      <c r="N2801" s="508">
        <v>28.053000000000001</v>
      </c>
      <c r="O2801" s="508">
        <v>28.053000000000001</v>
      </c>
      <c r="P2801" s="508">
        <v>28.15</v>
      </c>
      <c r="Q2801" s="508">
        <v>28.15</v>
      </c>
      <c r="R2801" s="508">
        <v>25.832000000000001</v>
      </c>
      <c r="S2801" s="508">
        <v>18.832999999999998</v>
      </c>
      <c r="T2801" s="508">
        <v>18.748000000000001</v>
      </c>
      <c r="U2801" s="508">
        <v>18.867000000000001</v>
      </c>
      <c r="V2801" s="508">
        <v>18.009</v>
      </c>
      <c r="W2801" s="508">
        <v>9.7170000000000005</v>
      </c>
      <c r="X2801" s="508">
        <v>9.7309999999999999</v>
      </c>
      <c r="Y2801" s="508">
        <v>9.7240000000000002</v>
      </c>
      <c r="Z2801" s="508">
        <v>9.7189999999999994</v>
      </c>
      <c r="AA2801" s="508">
        <v>6.4379999999999997</v>
      </c>
      <c r="AB2801" s="508">
        <v>6.319</v>
      </c>
      <c r="AC2801" s="508">
        <v>6.5869999999999997</v>
      </c>
      <c r="AD2801" s="508">
        <v>1.6890000000000001</v>
      </c>
      <c r="AE2801" s="508">
        <v>1.6839999999999999</v>
      </c>
      <c r="AF2801" s="508">
        <v>1.123</v>
      </c>
      <c r="AG2801" s="508">
        <v>1.0840000000000001</v>
      </c>
      <c r="AH2801" s="508">
        <v>1.048</v>
      </c>
      <c r="AI2801" s="492">
        <v>1.048</v>
      </c>
      <c r="AJ2801" s="485"/>
    </row>
    <row r="2802" spans="2:36">
      <c r="B2802" s="136" t="s">
        <v>461</v>
      </c>
      <c r="C2802" s="132" t="s">
        <v>1363</v>
      </c>
      <c r="D2802" s="132" t="s">
        <v>283</v>
      </c>
      <c r="E2802" s="508">
        <v>39.344999999999999</v>
      </c>
      <c r="F2802" s="508">
        <v>39.344999999999999</v>
      </c>
      <c r="G2802" s="508">
        <v>39.344999999999999</v>
      </c>
      <c r="H2802" s="508">
        <v>39.344999999999999</v>
      </c>
      <c r="I2802" s="508">
        <v>39.344999999999999</v>
      </c>
      <c r="J2802" s="508">
        <v>30.385999999999999</v>
      </c>
      <c r="K2802" s="508">
        <v>28.178000000000001</v>
      </c>
      <c r="L2802" s="508">
        <v>28.177</v>
      </c>
      <c r="M2802" s="508">
        <v>28.177</v>
      </c>
      <c r="N2802" s="508">
        <v>28.178000000000001</v>
      </c>
      <c r="O2802" s="508">
        <v>28.177</v>
      </c>
      <c r="P2802" s="508">
        <v>28.274999999999999</v>
      </c>
      <c r="Q2802" s="508">
        <v>28.274999999999999</v>
      </c>
      <c r="R2802" s="508">
        <v>26.001000000000001</v>
      </c>
      <c r="S2802" s="508">
        <v>18.931000000000001</v>
      </c>
      <c r="T2802" s="508">
        <v>18.844999999999999</v>
      </c>
      <c r="U2802" s="508">
        <v>18.965</v>
      </c>
      <c r="V2802" s="508">
        <v>18.099</v>
      </c>
      <c r="W2802" s="508">
        <v>9.7520000000000007</v>
      </c>
      <c r="X2802" s="508">
        <v>9.7669999999999995</v>
      </c>
      <c r="Y2802" s="508">
        <v>9.7590000000000003</v>
      </c>
      <c r="Z2802" s="508">
        <v>9.7539999999999996</v>
      </c>
      <c r="AA2802" s="508">
        <v>6.4619999999999997</v>
      </c>
      <c r="AB2802" s="508">
        <v>6.3419999999999996</v>
      </c>
      <c r="AC2802" s="508">
        <v>6.6109999999999998</v>
      </c>
      <c r="AD2802" s="508">
        <v>1.6950000000000001</v>
      </c>
      <c r="AE2802" s="508">
        <v>1.69</v>
      </c>
      <c r="AF2802" s="508">
        <v>1.127</v>
      </c>
      <c r="AG2802" s="508">
        <v>1.0880000000000001</v>
      </c>
      <c r="AH2802" s="508">
        <v>1.0509999999999999</v>
      </c>
      <c r="AI2802" s="492">
        <v>1.0509999999999999</v>
      </c>
      <c r="AJ2802" s="485"/>
    </row>
    <row r="2803" spans="2:36">
      <c r="B2803" s="136" t="s">
        <v>462</v>
      </c>
      <c r="C2803" s="132" t="s">
        <v>1363</v>
      </c>
      <c r="D2803" s="132" t="s">
        <v>283</v>
      </c>
      <c r="E2803" s="508">
        <v>36.246000000000002</v>
      </c>
      <c r="F2803" s="508">
        <v>36.246000000000002</v>
      </c>
      <c r="G2803" s="508">
        <v>36.246000000000002</v>
      </c>
      <c r="H2803" s="508">
        <v>36.246000000000002</v>
      </c>
      <c r="I2803" s="508">
        <v>36.246000000000002</v>
      </c>
      <c r="J2803" s="508">
        <v>27.992000000000001</v>
      </c>
      <c r="K2803" s="508">
        <v>25.96</v>
      </c>
      <c r="L2803" s="508">
        <v>25.96</v>
      </c>
      <c r="M2803" s="508">
        <v>25.96</v>
      </c>
      <c r="N2803" s="508">
        <v>25.96</v>
      </c>
      <c r="O2803" s="508">
        <v>25.96</v>
      </c>
      <c r="P2803" s="508">
        <v>26.05</v>
      </c>
      <c r="Q2803" s="508">
        <v>26.05</v>
      </c>
      <c r="R2803" s="508">
        <v>23.998000000000001</v>
      </c>
      <c r="S2803" s="508">
        <v>17.456</v>
      </c>
      <c r="T2803" s="508">
        <v>17.376999999999999</v>
      </c>
      <c r="U2803" s="508">
        <v>17.488</v>
      </c>
      <c r="V2803" s="508">
        <v>16.689</v>
      </c>
      <c r="W2803" s="508">
        <v>8.9510000000000005</v>
      </c>
      <c r="X2803" s="508">
        <v>8.9659999999999993</v>
      </c>
      <c r="Y2803" s="508">
        <v>8.9580000000000002</v>
      </c>
      <c r="Z2803" s="508">
        <v>8.9529999999999994</v>
      </c>
      <c r="AA2803" s="508">
        <v>5.9210000000000003</v>
      </c>
      <c r="AB2803" s="508">
        <v>5.8129999999999997</v>
      </c>
      <c r="AC2803" s="508">
        <v>6.056</v>
      </c>
      <c r="AD2803" s="508">
        <v>1.556</v>
      </c>
      <c r="AE2803" s="508">
        <v>1.5509999999999999</v>
      </c>
      <c r="AF2803" s="508">
        <v>1.034</v>
      </c>
      <c r="AG2803" s="508">
        <v>0.998</v>
      </c>
      <c r="AH2803" s="508">
        <v>0.96399999999999997</v>
      </c>
      <c r="AI2803" s="492">
        <v>0.96399999999999997</v>
      </c>
      <c r="AJ2803" s="485"/>
    </row>
    <row r="2804" spans="2:36">
      <c r="B2804" s="136" t="s">
        <v>463</v>
      </c>
      <c r="C2804" s="132" t="s">
        <v>1363</v>
      </c>
      <c r="D2804" s="132" t="s">
        <v>283</v>
      </c>
      <c r="E2804" s="508">
        <v>37.619</v>
      </c>
      <c r="F2804" s="508">
        <v>37.619</v>
      </c>
      <c r="G2804" s="508">
        <v>37.619</v>
      </c>
      <c r="H2804" s="508">
        <v>37.619</v>
      </c>
      <c r="I2804" s="508">
        <v>37.619</v>
      </c>
      <c r="J2804" s="508">
        <v>29.053000000000001</v>
      </c>
      <c r="K2804" s="508">
        <v>26.954000000000001</v>
      </c>
      <c r="L2804" s="508">
        <v>26.954000000000001</v>
      </c>
      <c r="M2804" s="508">
        <v>26.954000000000001</v>
      </c>
      <c r="N2804" s="508">
        <v>26.954000000000001</v>
      </c>
      <c r="O2804" s="508">
        <v>26.954000000000001</v>
      </c>
      <c r="P2804" s="508">
        <v>27.044</v>
      </c>
      <c r="Q2804" s="508">
        <v>27.044</v>
      </c>
      <c r="R2804" s="508">
        <v>24.97</v>
      </c>
      <c r="S2804" s="508">
        <v>18.119</v>
      </c>
      <c r="T2804" s="508">
        <v>18.038</v>
      </c>
      <c r="U2804" s="508">
        <v>18.152000000000001</v>
      </c>
      <c r="V2804" s="508">
        <v>17.327999999999999</v>
      </c>
      <c r="W2804" s="508">
        <v>9.202</v>
      </c>
      <c r="X2804" s="508">
        <v>9.2189999999999994</v>
      </c>
      <c r="Y2804" s="508">
        <v>9.2100000000000009</v>
      </c>
      <c r="Z2804" s="508">
        <v>9.2050000000000001</v>
      </c>
      <c r="AA2804" s="508">
        <v>6.0620000000000003</v>
      </c>
      <c r="AB2804" s="508">
        <v>5.9530000000000003</v>
      </c>
      <c r="AC2804" s="508">
        <v>6.1980000000000004</v>
      </c>
      <c r="AD2804" s="508">
        <v>1.599</v>
      </c>
      <c r="AE2804" s="508">
        <v>1.595</v>
      </c>
      <c r="AF2804" s="508">
        <v>1.0629999999999999</v>
      </c>
      <c r="AG2804" s="508">
        <v>1.026</v>
      </c>
      <c r="AH2804" s="508">
        <v>0.99</v>
      </c>
      <c r="AI2804" s="492">
        <v>0.99</v>
      </c>
      <c r="AJ2804" s="485"/>
    </row>
    <row r="2805" spans="2:36">
      <c r="B2805" s="136" t="s">
        <v>464</v>
      </c>
      <c r="C2805" s="132" t="s">
        <v>1363</v>
      </c>
      <c r="D2805" s="132" t="s">
        <v>283</v>
      </c>
      <c r="E2805" s="508">
        <v>39.283000000000001</v>
      </c>
      <c r="F2805" s="508">
        <v>39.283000000000001</v>
      </c>
      <c r="G2805" s="508">
        <v>39.283000000000001</v>
      </c>
      <c r="H2805" s="508">
        <v>39.283000000000001</v>
      </c>
      <c r="I2805" s="508">
        <v>39.283000000000001</v>
      </c>
      <c r="J2805" s="508">
        <v>30.338000000000001</v>
      </c>
      <c r="K2805" s="508">
        <v>28.151</v>
      </c>
      <c r="L2805" s="508">
        <v>28.151</v>
      </c>
      <c r="M2805" s="508">
        <v>28.151</v>
      </c>
      <c r="N2805" s="508">
        <v>28.151</v>
      </c>
      <c r="O2805" s="508">
        <v>28.151</v>
      </c>
      <c r="P2805" s="508">
        <v>28.244</v>
      </c>
      <c r="Q2805" s="508">
        <v>28.244</v>
      </c>
      <c r="R2805" s="508">
        <v>26.113</v>
      </c>
      <c r="S2805" s="508">
        <v>18.940999999999999</v>
      </c>
      <c r="T2805" s="508">
        <v>18.856000000000002</v>
      </c>
      <c r="U2805" s="508">
        <v>18.975000000000001</v>
      </c>
      <c r="V2805" s="508">
        <v>18.116</v>
      </c>
      <c r="W2805" s="508">
        <v>9.5619999999999994</v>
      </c>
      <c r="X2805" s="508">
        <v>9.5790000000000006</v>
      </c>
      <c r="Y2805" s="508">
        <v>9.57</v>
      </c>
      <c r="Z2805" s="508">
        <v>9.5640000000000001</v>
      </c>
      <c r="AA2805" s="508">
        <v>6.28</v>
      </c>
      <c r="AB2805" s="508">
        <v>6.1680000000000001</v>
      </c>
      <c r="AC2805" s="508">
        <v>6.42</v>
      </c>
      <c r="AD2805" s="508">
        <v>1.6619999999999999</v>
      </c>
      <c r="AE2805" s="508">
        <v>1.657</v>
      </c>
      <c r="AF2805" s="508">
        <v>1.105</v>
      </c>
      <c r="AG2805" s="508">
        <v>1.0660000000000001</v>
      </c>
      <c r="AH2805" s="508">
        <v>1.028</v>
      </c>
      <c r="AI2805" s="492">
        <v>1.028</v>
      </c>
      <c r="AJ2805" s="485"/>
    </row>
    <row r="2806" spans="2:36">
      <c r="B2806" s="136" t="s">
        <v>465</v>
      </c>
      <c r="C2806" s="132" t="s">
        <v>1363</v>
      </c>
      <c r="D2806" s="132" t="s">
        <v>283</v>
      </c>
      <c r="E2806" s="508">
        <v>38.651000000000003</v>
      </c>
      <c r="F2806" s="508">
        <v>38.651000000000003</v>
      </c>
      <c r="G2806" s="508">
        <v>38.651000000000003</v>
      </c>
      <c r="H2806" s="508">
        <v>38.651000000000003</v>
      </c>
      <c r="I2806" s="508">
        <v>38.651000000000003</v>
      </c>
      <c r="J2806" s="508">
        <v>29.85</v>
      </c>
      <c r="K2806" s="508">
        <v>27.695</v>
      </c>
      <c r="L2806" s="508">
        <v>27.695</v>
      </c>
      <c r="M2806" s="508">
        <v>27.695</v>
      </c>
      <c r="N2806" s="508">
        <v>27.695</v>
      </c>
      <c r="O2806" s="508">
        <v>27.695</v>
      </c>
      <c r="P2806" s="508">
        <v>27.788</v>
      </c>
      <c r="Q2806" s="508">
        <v>27.788</v>
      </c>
      <c r="R2806" s="508">
        <v>25.637</v>
      </c>
      <c r="S2806" s="508">
        <v>18.619</v>
      </c>
      <c r="T2806" s="508">
        <v>18.536000000000001</v>
      </c>
      <c r="U2806" s="508">
        <v>18.652000000000001</v>
      </c>
      <c r="V2806" s="508">
        <v>17.809000000000001</v>
      </c>
      <c r="W2806" s="508">
        <v>9.4420000000000002</v>
      </c>
      <c r="X2806" s="508">
        <v>9.4580000000000002</v>
      </c>
      <c r="Y2806" s="508">
        <v>9.4489999999999998</v>
      </c>
      <c r="Z2806" s="508">
        <v>9.4440000000000008</v>
      </c>
      <c r="AA2806" s="508">
        <v>6.2110000000000003</v>
      </c>
      <c r="AB2806" s="508">
        <v>6.1</v>
      </c>
      <c r="AC2806" s="508">
        <v>6.35</v>
      </c>
      <c r="AD2806" s="508">
        <v>1.641</v>
      </c>
      <c r="AE2806" s="508">
        <v>1.637</v>
      </c>
      <c r="AF2806" s="508">
        <v>1.091</v>
      </c>
      <c r="AG2806" s="508">
        <v>1.0529999999999999</v>
      </c>
      <c r="AH2806" s="508">
        <v>1.016</v>
      </c>
      <c r="AI2806" s="492">
        <v>1.016</v>
      </c>
      <c r="AJ2806" s="485"/>
    </row>
    <row r="2807" spans="2:36">
      <c r="B2807" s="136" t="s">
        <v>466</v>
      </c>
      <c r="C2807" s="132" t="s">
        <v>1363</v>
      </c>
      <c r="D2807" s="132" t="s">
        <v>283</v>
      </c>
      <c r="E2807" s="508">
        <v>40.238999999999997</v>
      </c>
      <c r="F2807" s="508">
        <v>40.238999999999997</v>
      </c>
      <c r="G2807" s="508">
        <v>40.24</v>
      </c>
      <c r="H2807" s="508">
        <v>40.24</v>
      </c>
      <c r="I2807" s="508">
        <v>40.238999999999997</v>
      </c>
      <c r="J2807" s="508">
        <v>31.077000000000002</v>
      </c>
      <c r="K2807" s="508">
        <v>28.81</v>
      </c>
      <c r="L2807" s="508">
        <v>28.81</v>
      </c>
      <c r="M2807" s="508">
        <v>28.81</v>
      </c>
      <c r="N2807" s="508">
        <v>28.81</v>
      </c>
      <c r="O2807" s="508">
        <v>28.81</v>
      </c>
      <c r="P2807" s="508">
        <v>28.911999999999999</v>
      </c>
      <c r="Q2807" s="508">
        <v>28.911999999999999</v>
      </c>
      <c r="R2807" s="508">
        <v>26.411000000000001</v>
      </c>
      <c r="S2807" s="508">
        <v>19.318999999999999</v>
      </c>
      <c r="T2807" s="508">
        <v>19.231999999999999</v>
      </c>
      <c r="U2807" s="508">
        <v>19.355</v>
      </c>
      <c r="V2807" s="508">
        <v>18.472999999999999</v>
      </c>
      <c r="W2807" s="508">
        <v>10.077999999999999</v>
      </c>
      <c r="X2807" s="508">
        <v>10.09</v>
      </c>
      <c r="Y2807" s="508">
        <v>10.084</v>
      </c>
      <c r="Z2807" s="508">
        <v>10.079000000000001</v>
      </c>
      <c r="AA2807" s="508">
        <v>6.7030000000000003</v>
      </c>
      <c r="AB2807" s="508">
        <v>6.577</v>
      </c>
      <c r="AC2807" s="508">
        <v>6.8609999999999998</v>
      </c>
      <c r="AD2807" s="508">
        <v>1.752</v>
      </c>
      <c r="AE2807" s="508">
        <v>1.7470000000000001</v>
      </c>
      <c r="AF2807" s="508">
        <v>1.1639999999999999</v>
      </c>
      <c r="AG2807" s="508">
        <v>1.1240000000000001</v>
      </c>
      <c r="AH2807" s="508">
        <v>1.0880000000000001</v>
      </c>
      <c r="AI2807" s="492">
        <v>1.0880000000000001</v>
      </c>
      <c r="AJ2807" s="485"/>
    </row>
    <row r="2808" spans="2:36">
      <c r="B2808" s="136" t="s">
        <v>467</v>
      </c>
      <c r="C2808" s="132" t="s">
        <v>1363</v>
      </c>
      <c r="D2808" s="132" t="s">
        <v>283</v>
      </c>
      <c r="E2808" s="508">
        <v>39.207999999999998</v>
      </c>
      <c r="F2808" s="508">
        <v>39.207000000000001</v>
      </c>
      <c r="G2808" s="508">
        <v>39.207000000000001</v>
      </c>
      <c r="H2808" s="508">
        <v>39.207000000000001</v>
      </c>
      <c r="I2808" s="508">
        <v>39.207000000000001</v>
      </c>
      <c r="J2808" s="508">
        <v>30.28</v>
      </c>
      <c r="K2808" s="508">
        <v>28.081</v>
      </c>
      <c r="L2808" s="508">
        <v>28.08</v>
      </c>
      <c r="M2808" s="508">
        <v>28.081</v>
      </c>
      <c r="N2808" s="508">
        <v>28.081</v>
      </c>
      <c r="O2808" s="508">
        <v>28.081</v>
      </c>
      <c r="P2808" s="508">
        <v>28.178000000000001</v>
      </c>
      <c r="Q2808" s="508">
        <v>28.178000000000001</v>
      </c>
      <c r="R2808" s="508">
        <v>25.931000000000001</v>
      </c>
      <c r="S2808" s="508">
        <v>18.870999999999999</v>
      </c>
      <c r="T2808" s="508">
        <v>18.785</v>
      </c>
      <c r="U2808" s="508">
        <v>18.905000000000001</v>
      </c>
      <c r="V2808" s="508">
        <v>18.042000000000002</v>
      </c>
      <c r="W2808" s="508">
        <v>9.6969999999999992</v>
      </c>
      <c r="X2808" s="508">
        <v>9.7129999999999992</v>
      </c>
      <c r="Y2808" s="508">
        <v>9.7050000000000001</v>
      </c>
      <c r="Z2808" s="508">
        <v>9.6999999999999993</v>
      </c>
      <c r="AA2808" s="508">
        <v>6.4189999999999996</v>
      </c>
      <c r="AB2808" s="508">
        <v>6.3010000000000002</v>
      </c>
      <c r="AC2808" s="508">
        <v>6.5670000000000002</v>
      </c>
      <c r="AD2808" s="508">
        <v>1.6859999999999999</v>
      </c>
      <c r="AE2808" s="508">
        <v>1.681</v>
      </c>
      <c r="AF2808" s="508">
        <v>1.1200000000000001</v>
      </c>
      <c r="AG2808" s="508">
        <v>1.0820000000000001</v>
      </c>
      <c r="AH2808" s="508">
        <v>1.0449999999999999</v>
      </c>
      <c r="AI2808" s="492">
        <v>1.0449999999999999</v>
      </c>
      <c r="AJ2808" s="485"/>
    </row>
    <row r="2809" spans="2:36">
      <c r="B2809" s="136" t="s">
        <v>468</v>
      </c>
      <c r="C2809" s="132" t="s">
        <v>1363</v>
      </c>
      <c r="D2809" s="132" t="s">
        <v>283</v>
      </c>
      <c r="E2809" s="508">
        <v>38.244999999999997</v>
      </c>
      <c r="F2809" s="508">
        <v>38.244999999999997</v>
      </c>
      <c r="G2809" s="508">
        <v>38.244999999999997</v>
      </c>
      <c r="H2809" s="508">
        <v>38.244999999999997</v>
      </c>
      <c r="I2809" s="508">
        <v>38.244999999999997</v>
      </c>
      <c r="J2809" s="508">
        <v>29.536999999999999</v>
      </c>
      <c r="K2809" s="508">
        <v>27.411999999999999</v>
      </c>
      <c r="L2809" s="508">
        <v>27.413</v>
      </c>
      <c r="M2809" s="508">
        <v>27.413</v>
      </c>
      <c r="N2809" s="508">
        <v>27.413</v>
      </c>
      <c r="O2809" s="508">
        <v>27.411999999999999</v>
      </c>
      <c r="P2809" s="508">
        <v>27.501999999999999</v>
      </c>
      <c r="Q2809" s="508">
        <v>27.501999999999999</v>
      </c>
      <c r="R2809" s="508">
        <v>25.423999999999999</v>
      </c>
      <c r="S2809" s="508">
        <v>18.434000000000001</v>
      </c>
      <c r="T2809" s="508">
        <v>18.350999999999999</v>
      </c>
      <c r="U2809" s="508">
        <v>18.466999999999999</v>
      </c>
      <c r="V2809" s="508">
        <v>17.635000000000002</v>
      </c>
      <c r="W2809" s="508">
        <v>9.2690000000000001</v>
      </c>
      <c r="X2809" s="508">
        <v>9.2859999999999996</v>
      </c>
      <c r="Y2809" s="508">
        <v>9.2769999999999992</v>
      </c>
      <c r="Z2809" s="508">
        <v>9.2710000000000008</v>
      </c>
      <c r="AA2809" s="508">
        <v>6.0739999999999998</v>
      </c>
      <c r="AB2809" s="508">
        <v>5.9669999999999996</v>
      </c>
      <c r="AC2809" s="508">
        <v>6.2080000000000002</v>
      </c>
      <c r="AD2809" s="508">
        <v>1.611</v>
      </c>
      <c r="AE2809" s="508">
        <v>1.607</v>
      </c>
      <c r="AF2809" s="508">
        <v>1.071</v>
      </c>
      <c r="AG2809" s="508">
        <v>1.034</v>
      </c>
      <c r="AH2809" s="508">
        <v>0.996</v>
      </c>
      <c r="AI2809" s="492">
        <v>0.996</v>
      </c>
      <c r="AJ2809" s="485"/>
    </row>
    <row r="2810" spans="2:36">
      <c r="B2810" s="136" t="s">
        <v>469</v>
      </c>
      <c r="C2810" s="132" t="s">
        <v>1363</v>
      </c>
      <c r="D2810" s="132" t="s">
        <v>283</v>
      </c>
      <c r="E2810" s="508">
        <v>39.253</v>
      </c>
      <c r="F2810" s="508">
        <v>39.253</v>
      </c>
      <c r="G2810" s="508">
        <v>39.253</v>
      </c>
      <c r="H2810" s="508">
        <v>39.253</v>
      </c>
      <c r="I2810" s="508">
        <v>39.253</v>
      </c>
      <c r="J2810" s="508">
        <v>30.315000000000001</v>
      </c>
      <c r="K2810" s="508">
        <v>28.123000000000001</v>
      </c>
      <c r="L2810" s="508">
        <v>28.123000000000001</v>
      </c>
      <c r="M2810" s="508">
        <v>28.123000000000001</v>
      </c>
      <c r="N2810" s="508">
        <v>28.123000000000001</v>
      </c>
      <c r="O2810" s="508">
        <v>28.123000000000001</v>
      </c>
      <c r="P2810" s="508">
        <v>28.218</v>
      </c>
      <c r="Q2810" s="508">
        <v>28.218</v>
      </c>
      <c r="R2810" s="508">
        <v>26.010999999999999</v>
      </c>
      <c r="S2810" s="508">
        <v>18.905000000000001</v>
      </c>
      <c r="T2810" s="508">
        <v>18.82</v>
      </c>
      <c r="U2810" s="508">
        <v>18.939</v>
      </c>
      <c r="V2810" s="508">
        <v>18.081</v>
      </c>
      <c r="W2810" s="508">
        <v>9.6219999999999999</v>
      </c>
      <c r="X2810" s="508">
        <v>9.6379999999999999</v>
      </c>
      <c r="Y2810" s="508">
        <v>9.6289999999999996</v>
      </c>
      <c r="Z2810" s="508">
        <v>9.6240000000000006</v>
      </c>
      <c r="AA2810" s="508">
        <v>6.34</v>
      </c>
      <c r="AB2810" s="508">
        <v>6.2249999999999996</v>
      </c>
      <c r="AC2810" s="508">
        <v>6.4829999999999997</v>
      </c>
      <c r="AD2810" s="508">
        <v>1.6719999999999999</v>
      </c>
      <c r="AE2810" s="508">
        <v>1.6679999999999999</v>
      </c>
      <c r="AF2810" s="508">
        <v>1.1120000000000001</v>
      </c>
      <c r="AG2810" s="508">
        <v>1.073</v>
      </c>
      <c r="AH2810" s="508">
        <v>1.036</v>
      </c>
      <c r="AI2810" s="492">
        <v>1.036</v>
      </c>
      <c r="AJ2810" s="485"/>
    </row>
    <row r="2811" spans="2:36">
      <c r="B2811" s="136" t="s">
        <v>470</v>
      </c>
      <c r="C2811" s="132" t="s">
        <v>1363</v>
      </c>
      <c r="D2811" s="132" t="s">
        <v>283</v>
      </c>
      <c r="E2811" s="508">
        <v>39.204000000000001</v>
      </c>
      <c r="F2811" s="508">
        <v>39.204000000000001</v>
      </c>
      <c r="G2811" s="508">
        <v>39.204000000000001</v>
      </c>
      <c r="H2811" s="508">
        <v>39.204000000000001</v>
      </c>
      <c r="I2811" s="508">
        <v>39.204000000000001</v>
      </c>
      <c r="J2811" s="508">
        <v>30.277000000000001</v>
      </c>
      <c r="K2811" s="508">
        <v>28.068999999999999</v>
      </c>
      <c r="L2811" s="508">
        <v>28.068999999999999</v>
      </c>
      <c r="M2811" s="508">
        <v>28.068999999999999</v>
      </c>
      <c r="N2811" s="508">
        <v>28.068999999999999</v>
      </c>
      <c r="O2811" s="508">
        <v>28.068999999999999</v>
      </c>
      <c r="P2811" s="508">
        <v>28.169</v>
      </c>
      <c r="Q2811" s="508">
        <v>28.169</v>
      </c>
      <c r="R2811" s="508">
        <v>25.797000000000001</v>
      </c>
      <c r="S2811" s="508">
        <v>18.832999999999998</v>
      </c>
      <c r="T2811" s="508">
        <v>18.748000000000001</v>
      </c>
      <c r="U2811" s="508">
        <v>18.867000000000001</v>
      </c>
      <c r="V2811" s="508">
        <v>18.004999999999999</v>
      </c>
      <c r="W2811" s="508">
        <v>9.7959999999999994</v>
      </c>
      <c r="X2811" s="508">
        <v>9.8089999999999993</v>
      </c>
      <c r="Y2811" s="508">
        <v>9.8019999999999996</v>
      </c>
      <c r="Z2811" s="508">
        <v>9.798</v>
      </c>
      <c r="AA2811" s="508">
        <v>6.5140000000000002</v>
      </c>
      <c r="AB2811" s="508">
        <v>6.391</v>
      </c>
      <c r="AC2811" s="508">
        <v>6.6660000000000004</v>
      </c>
      <c r="AD2811" s="508">
        <v>1.7030000000000001</v>
      </c>
      <c r="AE2811" s="508">
        <v>1.698</v>
      </c>
      <c r="AF2811" s="508">
        <v>1.1319999999999999</v>
      </c>
      <c r="AG2811" s="508">
        <v>1.093</v>
      </c>
      <c r="AH2811" s="508">
        <v>1.0569999999999999</v>
      </c>
      <c r="AI2811" s="492">
        <v>1.0569999999999999</v>
      </c>
      <c r="AJ2811" s="485"/>
    </row>
    <row r="2812" spans="2:36">
      <c r="B2812" s="136" t="s">
        <v>471</v>
      </c>
      <c r="C2812" s="132" t="s">
        <v>1363</v>
      </c>
      <c r="D2812" s="132" t="s">
        <v>283</v>
      </c>
      <c r="E2812" s="508">
        <v>37.633000000000003</v>
      </c>
      <c r="F2812" s="508">
        <v>37.633000000000003</v>
      </c>
      <c r="G2812" s="508">
        <v>37.633000000000003</v>
      </c>
      <c r="H2812" s="508">
        <v>37.633000000000003</v>
      </c>
      <c r="I2812" s="508">
        <v>37.633000000000003</v>
      </c>
      <c r="J2812" s="508">
        <v>29.064</v>
      </c>
      <c r="K2812" s="508">
        <v>26.946999999999999</v>
      </c>
      <c r="L2812" s="508">
        <v>26.946999999999999</v>
      </c>
      <c r="M2812" s="508">
        <v>26.946999999999999</v>
      </c>
      <c r="N2812" s="508">
        <v>26.946999999999999</v>
      </c>
      <c r="O2812" s="508">
        <v>26.946999999999999</v>
      </c>
      <c r="P2812" s="508">
        <v>27.042000000000002</v>
      </c>
      <c r="Q2812" s="508">
        <v>27.042000000000002</v>
      </c>
      <c r="R2812" s="508">
        <v>24.824000000000002</v>
      </c>
      <c r="S2812" s="508">
        <v>18.097000000000001</v>
      </c>
      <c r="T2812" s="508">
        <v>18.015000000000001</v>
      </c>
      <c r="U2812" s="508">
        <v>18.13</v>
      </c>
      <c r="V2812" s="508">
        <v>17.300999999999998</v>
      </c>
      <c r="W2812" s="508">
        <v>9.3680000000000003</v>
      </c>
      <c r="X2812" s="508">
        <v>9.3819999999999997</v>
      </c>
      <c r="Y2812" s="508">
        <v>9.3740000000000006</v>
      </c>
      <c r="Z2812" s="508">
        <v>9.3699999999999992</v>
      </c>
      <c r="AA2812" s="508">
        <v>6.2190000000000003</v>
      </c>
      <c r="AB2812" s="508">
        <v>6.1029999999999998</v>
      </c>
      <c r="AC2812" s="508">
        <v>6.3639999999999999</v>
      </c>
      <c r="AD2812" s="508">
        <v>1.6279999999999999</v>
      </c>
      <c r="AE2812" s="508">
        <v>1.6240000000000001</v>
      </c>
      <c r="AF2812" s="508">
        <v>1.0820000000000001</v>
      </c>
      <c r="AG2812" s="508">
        <v>1.0449999999999999</v>
      </c>
      <c r="AH2812" s="508">
        <v>1.01</v>
      </c>
      <c r="AI2812" s="492">
        <v>1.01</v>
      </c>
      <c r="AJ2812" s="485"/>
    </row>
    <row r="2813" spans="2:36">
      <c r="B2813" s="136" t="s">
        <v>472</v>
      </c>
      <c r="C2813" s="132" t="s">
        <v>1363</v>
      </c>
      <c r="D2813" s="132" t="s">
        <v>283</v>
      </c>
      <c r="E2813" s="508">
        <v>39.317</v>
      </c>
      <c r="F2813" s="508">
        <v>39.317</v>
      </c>
      <c r="G2813" s="508">
        <v>39.317</v>
      </c>
      <c r="H2813" s="508">
        <v>39.317</v>
      </c>
      <c r="I2813" s="508">
        <v>39.317</v>
      </c>
      <c r="J2813" s="508">
        <v>30.364000000000001</v>
      </c>
      <c r="K2813" s="508">
        <v>28.172000000000001</v>
      </c>
      <c r="L2813" s="508">
        <v>28.172000000000001</v>
      </c>
      <c r="M2813" s="508">
        <v>28.172000000000001</v>
      </c>
      <c r="N2813" s="508">
        <v>28.172000000000001</v>
      </c>
      <c r="O2813" s="508">
        <v>28.172000000000001</v>
      </c>
      <c r="P2813" s="508">
        <v>28.265999999999998</v>
      </c>
      <c r="Q2813" s="508">
        <v>28.265999999999998</v>
      </c>
      <c r="R2813" s="508">
        <v>26.131</v>
      </c>
      <c r="S2813" s="508">
        <v>18.957000000000001</v>
      </c>
      <c r="T2813" s="508">
        <v>18.870999999999999</v>
      </c>
      <c r="U2813" s="508">
        <v>18.991</v>
      </c>
      <c r="V2813" s="508">
        <v>18.129000000000001</v>
      </c>
      <c r="W2813" s="508">
        <v>9.5920000000000005</v>
      </c>
      <c r="X2813" s="508">
        <v>9.609</v>
      </c>
      <c r="Y2813" s="508">
        <v>9.6</v>
      </c>
      <c r="Z2813" s="508">
        <v>9.5939999999999994</v>
      </c>
      <c r="AA2813" s="508">
        <v>6.3079999999999998</v>
      </c>
      <c r="AB2813" s="508">
        <v>6.1950000000000003</v>
      </c>
      <c r="AC2813" s="508">
        <v>6.4489999999999998</v>
      </c>
      <c r="AD2813" s="508">
        <v>1.667</v>
      </c>
      <c r="AE2813" s="508">
        <v>1.663</v>
      </c>
      <c r="AF2813" s="508">
        <v>1.1080000000000001</v>
      </c>
      <c r="AG2813" s="508">
        <v>1.07</v>
      </c>
      <c r="AH2813" s="508">
        <v>1.0309999999999999</v>
      </c>
      <c r="AI2813" s="492">
        <v>1.0309999999999999</v>
      </c>
      <c r="AJ2813" s="485"/>
    </row>
    <row r="2814" spans="2:36">
      <c r="B2814" s="136" t="s">
        <v>473</v>
      </c>
      <c r="C2814" s="132" t="s">
        <v>1363</v>
      </c>
      <c r="D2814" s="132" t="s">
        <v>283</v>
      </c>
      <c r="E2814" s="508">
        <v>38.933999999999997</v>
      </c>
      <c r="F2814" s="508">
        <v>38.933999999999997</v>
      </c>
      <c r="G2814" s="508">
        <v>38.933999999999997</v>
      </c>
      <c r="H2814" s="508">
        <v>38.933999999999997</v>
      </c>
      <c r="I2814" s="508">
        <v>38.933999999999997</v>
      </c>
      <c r="J2814" s="508">
        <v>30.068000000000001</v>
      </c>
      <c r="K2814" s="508">
        <v>27.876000000000001</v>
      </c>
      <c r="L2814" s="508">
        <v>27.876000000000001</v>
      </c>
      <c r="M2814" s="508">
        <v>27.876000000000001</v>
      </c>
      <c r="N2814" s="508">
        <v>27.876000000000001</v>
      </c>
      <c r="O2814" s="508">
        <v>27.876000000000001</v>
      </c>
      <c r="P2814" s="508">
        <v>27.974</v>
      </c>
      <c r="Q2814" s="508">
        <v>27.974</v>
      </c>
      <c r="R2814" s="508">
        <v>25.611999999999998</v>
      </c>
      <c r="S2814" s="508">
        <v>18.706</v>
      </c>
      <c r="T2814" s="508">
        <v>18.622</v>
      </c>
      <c r="U2814" s="508">
        <v>18.741</v>
      </c>
      <c r="V2814" s="508">
        <v>17.884</v>
      </c>
      <c r="W2814" s="508">
        <v>9.7330000000000005</v>
      </c>
      <c r="X2814" s="508">
        <v>9.7460000000000004</v>
      </c>
      <c r="Y2814" s="508">
        <v>9.7390000000000008</v>
      </c>
      <c r="Z2814" s="508">
        <v>9.7349999999999994</v>
      </c>
      <c r="AA2814" s="508">
        <v>6.4720000000000004</v>
      </c>
      <c r="AB2814" s="508">
        <v>6.35</v>
      </c>
      <c r="AC2814" s="508">
        <v>6.6230000000000002</v>
      </c>
      <c r="AD2814" s="508">
        <v>1.6919999999999999</v>
      </c>
      <c r="AE2814" s="508">
        <v>1.6870000000000001</v>
      </c>
      <c r="AF2814" s="508">
        <v>1.125</v>
      </c>
      <c r="AG2814" s="508">
        <v>1.0860000000000001</v>
      </c>
      <c r="AH2814" s="508">
        <v>1.05</v>
      </c>
      <c r="AI2814" s="492">
        <v>1.05</v>
      </c>
      <c r="AJ2814" s="485"/>
    </row>
    <row r="2815" spans="2:36">
      <c r="B2815" s="136" t="s">
        <v>474</v>
      </c>
      <c r="C2815" s="132" t="s">
        <v>1363</v>
      </c>
      <c r="D2815" s="132" t="s">
        <v>283</v>
      </c>
      <c r="E2815" s="508">
        <v>37.575000000000003</v>
      </c>
      <c r="F2815" s="508">
        <v>37.575000000000003</v>
      </c>
      <c r="G2815" s="508">
        <v>37.575000000000003</v>
      </c>
      <c r="H2815" s="508">
        <v>37.575000000000003</v>
      </c>
      <c r="I2815" s="508">
        <v>37.575000000000003</v>
      </c>
      <c r="J2815" s="508">
        <v>29.018999999999998</v>
      </c>
      <c r="K2815" s="508">
        <v>26.911999999999999</v>
      </c>
      <c r="L2815" s="508">
        <v>26.911999999999999</v>
      </c>
      <c r="M2815" s="508">
        <v>26.911999999999999</v>
      </c>
      <c r="N2815" s="508">
        <v>26.911999999999999</v>
      </c>
      <c r="O2815" s="508">
        <v>26.911999999999999</v>
      </c>
      <c r="P2815" s="508">
        <v>27.004999999999999</v>
      </c>
      <c r="Q2815" s="508">
        <v>27.004999999999999</v>
      </c>
      <c r="R2815" s="508">
        <v>24.826000000000001</v>
      </c>
      <c r="S2815" s="508">
        <v>18.079999999999998</v>
      </c>
      <c r="T2815" s="508">
        <v>17.998000000000001</v>
      </c>
      <c r="U2815" s="508">
        <v>18.113</v>
      </c>
      <c r="V2815" s="508">
        <v>17.286999999999999</v>
      </c>
      <c r="W2815" s="508">
        <v>9.2959999999999994</v>
      </c>
      <c r="X2815" s="508">
        <v>9.31</v>
      </c>
      <c r="Y2815" s="508">
        <v>9.3030000000000008</v>
      </c>
      <c r="Z2815" s="508">
        <v>9.298</v>
      </c>
      <c r="AA2815" s="508">
        <v>6.1529999999999996</v>
      </c>
      <c r="AB2815" s="508">
        <v>6.0389999999999997</v>
      </c>
      <c r="AC2815" s="508">
        <v>6.2939999999999996</v>
      </c>
      <c r="AD2815" s="508">
        <v>1.6160000000000001</v>
      </c>
      <c r="AE2815" s="508">
        <v>1.611</v>
      </c>
      <c r="AF2815" s="508">
        <v>1.0740000000000001</v>
      </c>
      <c r="AG2815" s="508">
        <v>1.0369999999999999</v>
      </c>
      <c r="AH2815" s="508">
        <v>1.002</v>
      </c>
      <c r="AI2815" s="492">
        <v>1.002</v>
      </c>
      <c r="AJ2815" s="485"/>
    </row>
    <row r="2816" spans="2:36">
      <c r="B2816" s="136" t="s">
        <v>475</v>
      </c>
      <c r="C2816" s="132" t="s">
        <v>1363</v>
      </c>
      <c r="D2816" s="132" t="s">
        <v>283</v>
      </c>
      <c r="E2816" s="508">
        <v>38.511000000000003</v>
      </c>
      <c r="F2816" s="508">
        <v>38.511000000000003</v>
      </c>
      <c r="G2816" s="508">
        <v>38.51</v>
      </c>
      <c r="H2816" s="508">
        <v>38.51</v>
      </c>
      <c r="I2816" s="508">
        <v>38.511000000000003</v>
      </c>
      <c r="J2816" s="508">
        <v>29.741</v>
      </c>
      <c r="K2816" s="508">
        <v>27.585000000000001</v>
      </c>
      <c r="L2816" s="508">
        <v>27.585000000000001</v>
      </c>
      <c r="M2816" s="508">
        <v>27.585000000000001</v>
      </c>
      <c r="N2816" s="508">
        <v>27.585000000000001</v>
      </c>
      <c r="O2816" s="508">
        <v>27.585000000000001</v>
      </c>
      <c r="P2816" s="508">
        <v>27.678999999999998</v>
      </c>
      <c r="Q2816" s="508">
        <v>27.678999999999998</v>
      </c>
      <c r="R2816" s="508">
        <v>25.484999999999999</v>
      </c>
      <c r="S2816" s="508">
        <v>18.539000000000001</v>
      </c>
      <c r="T2816" s="508">
        <v>18.454999999999998</v>
      </c>
      <c r="U2816" s="508">
        <v>18.573</v>
      </c>
      <c r="V2816" s="508">
        <v>17.727</v>
      </c>
      <c r="W2816" s="508">
        <v>9.4969999999999999</v>
      </c>
      <c r="X2816" s="508">
        <v>9.5120000000000005</v>
      </c>
      <c r="Y2816" s="508">
        <v>9.5039999999999996</v>
      </c>
      <c r="Z2816" s="508">
        <v>9.4990000000000006</v>
      </c>
      <c r="AA2816" s="508">
        <v>6.2770000000000001</v>
      </c>
      <c r="AB2816" s="508">
        <v>6.1619999999999999</v>
      </c>
      <c r="AC2816" s="508">
        <v>6.42</v>
      </c>
      <c r="AD2816" s="508">
        <v>1.651</v>
      </c>
      <c r="AE2816" s="508">
        <v>1.6459999999999999</v>
      </c>
      <c r="AF2816" s="508">
        <v>1.097</v>
      </c>
      <c r="AG2816" s="508">
        <v>1.0589999999999999</v>
      </c>
      <c r="AH2816" s="508">
        <v>1.0229999999999999</v>
      </c>
      <c r="AI2816" s="492">
        <v>1.0229999999999999</v>
      </c>
      <c r="AJ2816" s="485"/>
    </row>
    <row r="2817" spans="2:36">
      <c r="B2817" s="136" t="s">
        <v>476</v>
      </c>
      <c r="C2817" s="132" t="s">
        <v>1363</v>
      </c>
      <c r="D2817" s="132" t="s">
        <v>283</v>
      </c>
      <c r="E2817" s="508">
        <v>38.914000000000001</v>
      </c>
      <c r="F2817" s="508">
        <v>38.914000000000001</v>
      </c>
      <c r="G2817" s="508">
        <v>38.914000000000001</v>
      </c>
      <c r="H2817" s="508">
        <v>38.914000000000001</v>
      </c>
      <c r="I2817" s="508">
        <v>38.914000000000001</v>
      </c>
      <c r="J2817" s="508">
        <v>30.053000000000001</v>
      </c>
      <c r="K2817" s="508">
        <v>27.87</v>
      </c>
      <c r="L2817" s="508">
        <v>27.87</v>
      </c>
      <c r="M2817" s="508">
        <v>27.87</v>
      </c>
      <c r="N2817" s="508">
        <v>27.87</v>
      </c>
      <c r="O2817" s="508">
        <v>27.87</v>
      </c>
      <c r="P2817" s="508">
        <v>27.966000000000001</v>
      </c>
      <c r="Q2817" s="508">
        <v>27.966000000000001</v>
      </c>
      <c r="R2817" s="508">
        <v>25.661999999999999</v>
      </c>
      <c r="S2817" s="508">
        <v>18.71</v>
      </c>
      <c r="T2817" s="508">
        <v>18.625</v>
      </c>
      <c r="U2817" s="508">
        <v>18.744</v>
      </c>
      <c r="V2817" s="508">
        <v>17.890999999999998</v>
      </c>
      <c r="W2817" s="508">
        <v>9.65</v>
      </c>
      <c r="X2817" s="508">
        <v>9.6639999999999997</v>
      </c>
      <c r="Y2817" s="508">
        <v>9.657</v>
      </c>
      <c r="Z2817" s="508">
        <v>9.6519999999999992</v>
      </c>
      <c r="AA2817" s="508">
        <v>6.3929999999999998</v>
      </c>
      <c r="AB2817" s="508">
        <v>6.274</v>
      </c>
      <c r="AC2817" s="508">
        <v>6.54</v>
      </c>
      <c r="AD2817" s="508">
        <v>1.677</v>
      </c>
      <c r="AE2817" s="508">
        <v>1.673</v>
      </c>
      <c r="AF2817" s="508">
        <v>1.115</v>
      </c>
      <c r="AG2817" s="508">
        <v>1.0760000000000001</v>
      </c>
      <c r="AH2817" s="508">
        <v>1.04</v>
      </c>
      <c r="AI2817" s="492">
        <v>1.04</v>
      </c>
      <c r="AJ2817" s="485"/>
    </row>
    <row r="2818" spans="2:36">
      <c r="B2818" s="136" t="s">
        <v>478</v>
      </c>
      <c r="C2818" s="132" t="s">
        <v>1363</v>
      </c>
      <c r="D2818" s="132" t="s">
        <v>283</v>
      </c>
      <c r="E2818" s="508">
        <v>39.344000000000001</v>
      </c>
      <c r="F2818" s="508">
        <v>39.344999999999999</v>
      </c>
      <c r="G2818" s="508">
        <v>39.344000000000001</v>
      </c>
      <c r="H2818" s="508">
        <v>39.344000000000001</v>
      </c>
      <c r="I2818" s="508">
        <v>39.344000000000001</v>
      </c>
      <c r="J2818" s="508">
        <v>30.385000000000002</v>
      </c>
      <c r="K2818" s="508">
        <v>28.17</v>
      </c>
      <c r="L2818" s="508">
        <v>28.17</v>
      </c>
      <c r="M2818" s="508">
        <v>28.17</v>
      </c>
      <c r="N2818" s="508">
        <v>28.17</v>
      </c>
      <c r="O2818" s="508">
        <v>28.170999999999999</v>
      </c>
      <c r="P2818" s="508">
        <v>28.27</v>
      </c>
      <c r="Q2818" s="508">
        <v>28.27</v>
      </c>
      <c r="R2818" s="508">
        <v>25.850999999999999</v>
      </c>
      <c r="S2818" s="508">
        <v>18.887</v>
      </c>
      <c r="T2818" s="508">
        <v>18.802</v>
      </c>
      <c r="U2818" s="508">
        <v>18.920999999999999</v>
      </c>
      <c r="V2818" s="508">
        <v>18.059000000000001</v>
      </c>
      <c r="W2818" s="508">
        <v>9.8390000000000004</v>
      </c>
      <c r="X2818" s="508">
        <v>9.8520000000000003</v>
      </c>
      <c r="Y2818" s="508">
        <v>9.8450000000000006</v>
      </c>
      <c r="Z2818" s="508">
        <v>9.8409999999999993</v>
      </c>
      <c r="AA2818" s="508">
        <v>6.5439999999999996</v>
      </c>
      <c r="AB2818" s="508">
        <v>6.4210000000000003</v>
      </c>
      <c r="AC2818" s="508">
        <v>6.6970000000000001</v>
      </c>
      <c r="AD2818" s="508">
        <v>1.71</v>
      </c>
      <c r="AE2818" s="508">
        <v>1.7050000000000001</v>
      </c>
      <c r="AF2818" s="508">
        <v>1.137</v>
      </c>
      <c r="AG2818" s="508">
        <v>1.097</v>
      </c>
      <c r="AH2818" s="508">
        <v>1.0620000000000001</v>
      </c>
      <c r="AI2818" s="492">
        <v>1.0620000000000001</v>
      </c>
      <c r="AJ2818" s="485"/>
    </row>
    <row r="2819" spans="2:36">
      <c r="B2819" s="136" t="s">
        <v>479</v>
      </c>
      <c r="C2819" s="132" t="s">
        <v>1363</v>
      </c>
      <c r="D2819" s="132" t="s">
        <v>283</v>
      </c>
      <c r="E2819" s="508">
        <v>36.970999999999997</v>
      </c>
      <c r="F2819" s="508">
        <v>36.970999999999997</v>
      </c>
      <c r="G2819" s="508">
        <v>36.970999999999997</v>
      </c>
      <c r="H2819" s="508">
        <v>36.970999999999997</v>
      </c>
      <c r="I2819" s="508">
        <v>36.970999999999997</v>
      </c>
      <c r="J2819" s="508">
        <v>28.552</v>
      </c>
      <c r="K2819" s="508">
        <v>26.484000000000002</v>
      </c>
      <c r="L2819" s="508">
        <v>26.484000000000002</v>
      </c>
      <c r="M2819" s="508">
        <v>26.484000000000002</v>
      </c>
      <c r="N2819" s="508">
        <v>26.484000000000002</v>
      </c>
      <c r="O2819" s="508">
        <v>26.484000000000002</v>
      </c>
      <c r="P2819" s="508">
        <v>26.574999999999999</v>
      </c>
      <c r="Q2819" s="508">
        <v>26.574000000000002</v>
      </c>
      <c r="R2819" s="508">
        <v>24.452000000000002</v>
      </c>
      <c r="S2819" s="508">
        <v>17.794</v>
      </c>
      <c r="T2819" s="508">
        <v>17.713999999999999</v>
      </c>
      <c r="U2819" s="508">
        <v>17.826000000000001</v>
      </c>
      <c r="V2819" s="508">
        <v>17.016999999999999</v>
      </c>
      <c r="W2819" s="508">
        <v>9.1010000000000009</v>
      </c>
      <c r="X2819" s="508">
        <v>9.1159999999999997</v>
      </c>
      <c r="Y2819" s="508">
        <v>9.1080000000000005</v>
      </c>
      <c r="Z2819" s="508">
        <v>9.1029999999999998</v>
      </c>
      <c r="AA2819" s="508">
        <v>6.0090000000000003</v>
      </c>
      <c r="AB2819" s="508">
        <v>5.899</v>
      </c>
      <c r="AC2819" s="508">
        <v>6.1449999999999996</v>
      </c>
      <c r="AD2819" s="508">
        <v>1.5820000000000001</v>
      </c>
      <c r="AE2819" s="508">
        <v>1.5780000000000001</v>
      </c>
      <c r="AF2819" s="508">
        <v>1.052</v>
      </c>
      <c r="AG2819" s="508">
        <v>1.0149999999999999</v>
      </c>
      <c r="AH2819" s="508">
        <v>0.98</v>
      </c>
      <c r="AI2819" s="492">
        <v>0.98</v>
      </c>
      <c r="AJ2819" s="485"/>
    </row>
    <row r="2820" spans="2:36">
      <c r="B2820" s="136" t="s">
        <v>480</v>
      </c>
      <c r="C2820" s="132" t="s">
        <v>1363</v>
      </c>
      <c r="D2820" s="132" t="s">
        <v>283</v>
      </c>
      <c r="E2820" s="508">
        <v>38.878</v>
      </c>
      <c r="F2820" s="508">
        <v>38.878</v>
      </c>
      <c r="G2820" s="508">
        <v>38.878</v>
      </c>
      <c r="H2820" s="508">
        <v>38.878</v>
      </c>
      <c r="I2820" s="508">
        <v>38.878</v>
      </c>
      <c r="J2820" s="508">
        <v>30.024999999999999</v>
      </c>
      <c r="K2820" s="508">
        <v>27.863</v>
      </c>
      <c r="L2820" s="508">
        <v>27.863</v>
      </c>
      <c r="M2820" s="508">
        <v>27.863</v>
      </c>
      <c r="N2820" s="508">
        <v>27.863</v>
      </c>
      <c r="O2820" s="508">
        <v>27.863</v>
      </c>
      <c r="P2820" s="508">
        <v>27.954999999999998</v>
      </c>
      <c r="Q2820" s="508">
        <v>27.954999999999998</v>
      </c>
      <c r="R2820" s="508">
        <v>25.858000000000001</v>
      </c>
      <c r="S2820" s="508">
        <v>18.745000000000001</v>
      </c>
      <c r="T2820" s="508">
        <v>18.661999999999999</v>
      </c>
      <c r="U2820" s="508">
        <v>18.779</v>
      </c>
      <c r="V2820" s="508">
        <v>17.931000000000001</v>
      </c>
      <c r="W2820" s="508">
        <v>9.4380000000000006</v>
      </c>
      <c r="X2820" s="508">
        <v>9.4559999999999995</v>
      </c>
      <c r="Y2820" s="508">
        <v>9.4459999999999997</v>
      </c>
      <c r="Z2820" s="508">
        <v>9.4410000000000007</v>
      </c>
      <c r="AA2820" s="508">
        <v>6.1920000000000002</v>
      </c>
      <c r="AB2820" s="508">
        <v>6.0819999999999999</v>
      </c>
      <c r="AC2820" s="508">
        <v>6.3280000000000003</v>
      </c>
      <c r="AD2820" s="508">
        <v>1.64</v>
      </c>
      <c r="AE2820" s="508">
        <v>1.6359999999999999</v>
      </c>
      <c r="AF2820" s="508">
        <v>1.091</v>
      </c>
      <c r="AG2820" s="508">
        <v>1.0529999999999999</v>
      </c>
      <c r="AH2820" s="508">
        <v>1.014</v>
      </c>
      <c r="AI2820" s="492">
        <v>1.014</v>
      </c>
      <c r="AJ2820" s="485"/>
    </row>
    <row r="2821" spans="2:36">
      <c r="B2821" s="136" t="s">
        <v>481</v>
      </c>
      <c r="C2821" s="132" t="s">
        <v>1363</v>
      </c>
      <c r="D2821" s="132" t="s">
        <v>283</v>
      </c>
      <c r="E2821" s="508">
        <v>37.686</v>
      </c>
      <c r="F2821" s="508">
        <v>37.686</v>
      </c>
      <c r="G2821" s="508">
        <v>37.686</v>
      </c>
      <c r="H2821" s="508">
        <v>37.686</v>
      </c>
      <c r="I2821" s="508">
        <v>37.686</v>
      </c>
      <c r="J2821" s="508">
        <v>29.105</v>
      </c>
      <c r="K2821" s="508">
        <v>26.992999999999999</v>
      </c>
      <c r="L2821" s="508">
        <v>26.992999999999999</v>
      </c>
      <c r="M2821" s="508">
        <v>26.992999999999999</v>
      </c>
      <c r="N2821" s="508">
        <v>26.992999999999999</v>
      </c>
      <c r="O2821" s="508">
        <v>26.992999999999999</v>
      </c>
      <c r="P2821" s="508">
        <v>27.085999999999999</v>
      </c>
      <c r="Q2821" s="508">
        <v>27.085999999999999</v>
      </c>
      <c r="R2821" s="508">
        <v>24.89</v>
      </c>
      <c r="S2821" s="508">
        <v>18.128</v>
      </c>
      <c r="T2821" s="508">
        <v>18.045999999999999</v>
      </c>
      <c r="U2821" s="508">
        <v>18.161000000000001</v>
      </c>
      <c r="V2821" s="508">
        <v>17.335999999999999</v>
      </c>
      <c r="W2821" s="508">
        <v>9.3130000000000006</v>
      </c>
      <c r="X2821" s="508">
        <v>9.327</v>
      </c>
      <c r="Y2821" s="508">
        <v>9.3190000000000008</v>
      </c>
      <c r="Z2821" s="508">
        <v>9.3149999999999995</v>
      </c>
      <c r="AA2821" s="508">
        <v>6.1589999999999998</v>
      </c>
      <c r="AB2821" s="508">
        <v>6.0460000000000003</v>
      </c>
      <c r="AC2821" s="508">
        <v>6.3</v>
      </c>
      <c r="AD2821" s="508">
        <v>1.619</v>
      </c>
      <c r="AE2821" s="508">
        <v>1.6140000000000001</v>
      </c>
      <c r="AF2821" s="508">
        <v>1.0760000000000001</v>
      </c>
      <c r="AG2821" s="508">
        <v>1.0389999999999999</v>
      </c>
      <c r="AH2821" s="508">
        <v>1.004</v>
      </c>
      <c r="AI2821" s="492">
        <v>1.004</v>
      </c>
      <c r="AJ2821" s="485"/>
    </row>
    <row r="2822" spans="2:36">
      <c r="B2822" s="136" t="s">
        <v>482</v>
      </c>
      <c r="C2822" s="132" t="s">
        <v>1363</v>
      </c>
      <c r="D2822" s="132" t="s">
        <v>283</v>
      </c>
      <c r="E2822" s="508">
        <v>36.286000000000001</v>
      </c>
      <c r="F2822" s="508">
        <v>36.286000000000001</v>
      </c>
      <c r="G2822" s="508">
        <v>36.286000000000001</v>
      </c>
      <c r="H2822" s="508">
        <v>36.286000000000001</v>
      </c>
      <c r="I2822" s="508">
        <v>36.286000000000001</v>
      </c>
      <c r="J2822" s="508">
        <v>28.023</v>
      </c>
      <c r="K2822" s="508">
        <v>25.989000000000001</v>
      </c>
      <c r="L2822" s="508">
        <v>25.988</v>
      </c>
      <c r="M2822" s="508">
        <v>25.988</v>
      </c>
      <c r="N2822" s="508">
        <v>25.989000000000001</v>
      </c>
      <c r="O2822" s="508">
        <v>25.988</v>
      </c>
      <c r="P2822" s="508">
        <v>26.077999999999999</v>
      </c>
      <c r="Q2822" s="508">
        <v>26.077999999999999</v>
      </c>
      <c r="R2822" s="508">
        <v>23.962</v>
      </c>
      <c r="S2822" s="508">
        <v>17.45</v>
      </c>
      <c r="T2822" s="508">
        <v>17.370999999999999</v>
      </c>
      <c r="U2822" s="508">
        <v>17.481999999999999</v>
      </c>
      <c r="V2822" s="508">
        <v>16.686</v>
      </c>
      <c r="W2822" s="508">
        <v>8.9830000000000005</v>
      </c>
      <c r="X2822" s="508">
        <v>8.9969999999999999</v>
      </c>
      <c r="Y2822" s="508">
        <v>8.99</v>
      </c>
      <c r="Z2822" s="508">
        <v>8.9849999999999994</v>
      </c>
      <c r="AA2822" s="508">
        <v>5.9489999999999998</v>
      </c>
      <c r="AB2822" s="508">
        <v>5.8390000000000004</v>
      </c>
      <c r="AC2822" s="508">
        <v>6.0860000000000003</v>
      </c>
      <c r="AD2822" s="508">
        <v>1.5620000000000001</v>
      </c>
      <c r="AE2822" s="508">
        <v>1.5569999999999999</v>
      </c>
      <c r="AF2822" s="508">
        <v>1.038</v>
      </c>
      <c r="AG2822" s="508">
        <v>1.002</v>
      </c>
      <c r="AH2822" s="508">
        <v>0.96799999999999997</v>
      </c>
      <c r="AI2822" s="492">
        <v>0.96799999999999997</v>
      </c>
      <c r="AJ2822" s="485"/>
    </row>
    <row r="2823" spans="2:36">
      <c r="B2823" s="136" t="s">
        <v>483</v>
      </c>
      <c r="C2823" s="132" t="s">
        <v>1363</v>
      </c>
      <c r="D2823" s="132" t="s">
        <v>283</v>
      </c>
      <c r="E2823" s="508">
        <v>39.868000000000002</v>
      </c>
      <c r="F2823" s="508">
        <v>39.868000000000002</v>
      </c>
      <c r="G2823" s="508">
        <v>39.868000000000002</v>
      </c>
      <c r="H2823" s="508">
        <v>39.868000000000002</v>
      </c>
      <c r="I2823" s="508">
        <v>39.868000000000002</v>
      </c>
      <c r="J2823" s="508">
        <v>30.79</v>
      </c>
      <c r="K2823" s="508">
        <v>28.547000000000001</v>
      </c>
      <c r="L2823" s="508">
        <v>28.547000000000001</v>
      </c>
      <c r="M2823" s="508">
        <v>28.547000000000001</v>
      </c>
      <c r="N2823" s="508">
        <v>28.547000000000001</v>
      </c>
      <c r="O2823" s="508">
        <v>28.547000000000001</v>
      </c>
      <c r="P2823" s="508">
        <v>28.648</v>
      </c>
      <c r="Q2823" s="508">
        <v>28.648</v>
      </c>
      <c r="R2823" s="508">
        <v>26.216999999999999</v>
      </c>
      <c r="S2823" s="508">
        <v>19.146999999999998</v>
      </c>
      <c r="T2823" s="508">
        <v>19.059999999999999</v>
      </c>
      <c r="U2823" s="508">
        <v>19.181000000000001</v>
      </c>
      <c r="V2823" s="508">
        <v>18.308</v>
      </c>
      <c r="W2823" s="508">
        <v>9.9480000000000004</v>
      </c>
      <c r="X2823" s="508">
        <v>9.9619999999999997</v>
      </c>
      <c r="Y2823" s="508">
        <v>9.9550000000000001</v>
      </c>
      <c r="Z2823" s="508">
        <v>9.9499999999999993</v>
      </c>
      <c r="AA2823" s="508">
        <v>6.609</v>
      </c>
      <c r="AB2823" s="508">
        <v>6.4850000000000003</v>
      </c>
      <c r="AC2823" s="508">
        <v>6.7629999999999999</v>
      </c>
      <c r="AD2823" s="508">
        <v>1.7290000000000001</v>
      </c>
      <c r="AE2823" s="508">
        <v>1.724</v>
      </c>
      <c r="AF2823" s="508">
        <v>1.149</v>
      </c>
      <c r="AG2823" s="508">
        <v>1.1100000000000001</v>
      </c>
      <c r="AH2823" s="508">
        <v>1.0740000000000001</v>
      </c>
      <c r="AI2823" s="492">
        <v>1.0740000000000001</v>
      </c>
      <c r="AJ2823" s="485"/>
    </row>
    <row r="2824" spans="2:36">
      <c r="B2824" s="136" t="s">
        <v>484</v>
      </c>
      <c r="C2824" s="132" t="s">
        <v>1363</v>
      </c>
      <c r="D2824" s="132" t="s">
        <v>283</v>
      </c>
      <c r="E2824" s="508">
        <v>38.997</v>
      </c>
      <c r="F2824" s="508">
        <v>38.997</v>
      </c>
      <c r="G2824" s="508">
        <v>38.997</v>
      </c>
      <c r="H2824" s="508">
        <v>38.997</v>
      </c>
      <c r="I2824" s="508">
        <v>38.997</v>
      </c>
      <c r="J2824" s="508">
        <v>30.117000000000001</v>
      </c>
      <c r="K2824" s="508">
        <v>27.943999999999999</v>
      </c>
      <c r="L2824" s="508">
        <v>27.943999999999999</v>
      </c>
      <c r="M2824" s="508">
        <v>27.943999999999999</v>
      </c>
      <c r="N2824" s="508">
        <v>27.943999999999999</v>
      </c>
      <c r="O2824" s="508">
        <v>27.943999999999999</v>
      </c>
      <c r="P2824" s="508">
        <v>28.036999999999999</v>
      </c>
      <c r="Q2824" s="508">
        <v>28.036999999999999</v>
      </c>
      <c r="R2824" s="508">
        <v>25.925000000000001</v>
      </c>
      <c r="S2824" s="508">
        <v>18.803000000000001</v>
      </c>
      <c r="T2824" s="508">
        <v>18.718</v>
      </c>
      <c r="U2824" s="508">
        <v>18.837</v>
      </c>
      <c r="V2824" s="508">
        <v>17.981999999999999</v>
      </c>
      <c r="W2824" s="508">
        <v>9.5050000000000008</v>
      </c>
      <c r="X2824" s="508">
        <v>9.5220000000000002</v>
      </c>
      <c r="Y2824" s="508">
        <v>9.5129999999999999</v>
      </c>
      <c r="Z2824" s="508">
        <v>9.5069999999999997</v>
      </c>
      <c r="AA2824" s="508">
        <v>6.2480000000000002</v>
      </c>
      <c r="AB2824" s="508">
        <v>6.1369999999999996</v>
      </c>
      <c r="AC2824" s="508">
        <v>6.3879999999999999</v>
      </c>
      <c r="AD2824" s="508">
        <v>1.6519999999999999</v>
      </c>
      <c r="AE2824" s="508">
        <v>1.647</v>
      </c>
      <c r="AF2824" s="508">
        <v>1.0980000000000001</v>
      </c>
      <c r="AG2824" s="508">
        <v>1.06</v>
      </c>
      <c r="AH2824" s="508">
        <v>1.022</v>
      </c>
      <c r="AI2824" s="492">
        <v>1.022</v>
      </c>
      <c r="AJ2824" s="485"/>
    </row>
    <row r="2825" spans="2:36">
      <c r="B2825" s="136" t="s">
        <v>486</v>
      </c>
      <c r="C2825" s="132" t="s">
        <v>1363</v>
      </c>
      <c r="D2825" s="132" t="s">
        <v>283</v>
      </c>
      <c r="E2825" s="508">
        <v>38.106000000000002</v>
      </c>
      <c r="F2825" s="508">
        <v>38.106000000000002</v>
      </c>
      <c r="G2825" s="508">
        <v>38.106000000000002</v>
      </c>
      <c r="H2825" s="508">
        <v>38.106000000000002</v>
      </c>
      <c r="I2825" s="508">
        <v>38.106000000000002</v>
      </c>
      <c r="J2825" s="508">
        <v>29.428999999999998</v>
      </c>
      <c r="K2825" s="508">
        <v>27.292999999999999</v>
      </c>
      <c r="L2825" s="508">
        <v>27.292999999999999</v>
      </c>
      <c r="M2825" s="508">
        <v>27.292999999999999</v>
      </c>
      <c r="N2825" s="508">
        <v>27.292999999999999</v>
      </c>
      <c r="O2825" s="508">
        <v>27.292999999999999</v>
      </c>
      <c r="P2825" s="508">
        <v>27.387</v>
      </c>
      <c r="Q2825" s="508">
        <v>27.387</v>
      </c>
      <c r="R2825" s="508">
        <v>25.158000000000001</v>
      </c>
      <c r="S2825" s="508">
        <v>18.326000000000001</v>
      </c>
      <c r="T2825" s="508">
        <v>18.244</v>
      </c>
      <c r="U2825" s="508">
        <v>18.359000000000002</v>
      </c>
      <c r="V2825" s="508">
        <v>17.524999999999999</v>
      </c>
      <c r="W2825" s="508">
        <v>9.4260000000000002</v>
      </c>
      <c r="X2825" s="508">
        <v>9.44</v>
      </c>
      <c r="Y2825" s="508">
        <v>9.4320000000000004</v>
      </c>
      <c r="Z2825" s="508">
        <v>9.4280000000000008</v>
      </c>
      <c r="AA2825" s="508">
        <v>6.2370000000000001</v>
      </c>
      <c r="AB2825" s="508">
        <v>6.1230000000000002</v>
      </c>
      <c r="AC2825" s="508">
        <v>6.3810000000000002</v>
      </c>
      <c r="AD2825" s="508">
        <v>1.6379999999999999</v>
      </c>
      <c r="AE2825" s="508">
        <v>1.6339999999999999</v>
      </c>
      <c r="AF2825" s="508">
        <v>1.089</v>
      </c>
      <c r="AG2825" s="508">
        <v>1.0509999999999999</v>
      </c>
      <c r="AH2825" s="508">
        <v>1.016</v>
      </c>
      <c r="AI2825" s="492">
        <v>1.016</v>
      </c>
      <c r="AJ2825" s="485"/>
    </row>
    <row r="2826" spans="2:36">
      <c r="B2826" s="136" t="s">
        <v>487</v>
      </c>
      <c r="C2826" s="132" t="s">
        <v>1363</v>
      </c>
      <c r="D2826" s="132" t="s">
        <v>283</v>
      </c>
      <c r="E2826" s="508">
        <v>38.790999999999997</v>
      </c>
      <c r="F2826" s="508">
        <v>38.790999999999997</v>
      </c>
      <c r="G2826" s="508">
        <v>38.790999999999997</v>
      </c>
      <c r="H2826" s="508">
        <v>38.790999999999997</v>
      </c>
      <c r="I2826" s="508">
        <v>38.790999999999997</v>
      </c>
      <c r="J2826" s="508">
        <v>29.957999999999998</v>
      </c>
      <c r="K2826" s="508">
        <v>27.785</v>
      </c>
      <c r="L2826" s="508">
        <v>27.785</v>
      </c>
      <c r="M2826" s="508">
        <v>27.785</v>
      </c>
      <c r="N2826" s="508">
        <v>27.785</v>
      </c>
      <c r="O2826" s="508">
        <v>27.785</v>
      </c>
      <c r="P2826" s="508">
        <v>27.881</v>
      </c>
      <c r="Q2826" s="508">
        <v>27.881</v>
      </c>
      <c r="R2826" s="508">
        <v>25.606999999999999</v>
      </c>
      <c r="S2826" s="508">
        <v>18.651</v>
      </c>
      <c r="T2826" s="508">
        <v>18.567</v>
      </c>
      <c r="U2826" s="508">
        <v>18.684999999999999</v>
      </c>
      <c r="V2826" s="508">
        <v>17.837</v>
      </c>
      <c r="W2826" s="508">
        <v>9.5879999999999992</v>
      </c>
      <c r="X2826" s="508">
        <v>9.6020000000000003</v>
      </c>
      <c r="Y2826" s="508">
        <v>9.5950000000000006</v>
      </c>
      <c r="Z2826" s="508">
        <v>9.59</v>
      </c>
      <c r="AA2826" s="508">
        <v>6.3419999999999996</v>
      </c>
      <c r="AB2826" s="508">
        <v>6.226</v>
      </c>
      <c r="AC2826" s="508">
        <v>6.4880000000000004</v>
      </c>
      <c r="AD2826" s="508">
        <v>1.667</v>
      </c>
      <c r="AE2826" s="508">
        <v>1.6619999999999999</v>
      </c>
      <c r="AF2826" s="508">
        <v>1.1080000000000001</v>
      </c>
      <c r="AG2826" s="508">
        <v>1.069</v>
      </c>
      <c r="AH2826" s="508">
        <v>1.034</v>
      </c>
      <c r="AI2826" s="492">
        <v>1.034</v>
      </c>
      <c r="AJ2826" s="485"/>
    </row>
    <row r="2827" spans="2:36">
      <c r="B2827" s="136" t="s">
        <v>488</v>
      </c>
      <c r="C2827" s="132" t="s">
        <v>1363</v>
      </c>
      <c r="D2827" s="132" t="s">
        <v>283</v>
      </c>
      <c r="E2827" s="508">
        <v>37.969000000000001</v>
      </c>
      <c r="F2827" s="508">
        <v>37.969000000000001</v>
      </c>
      <c r="G2827" s="508">
        <v>37.969000000000001</v>
      </c>
      <c r="H2827" s="508">
        <v>37.969000000000001</v>
      </c>
      <c r="I2827" s="508">
        <v>37.969000000000001</v>
      </c>
      <c r="J2827" s="508">
        <v>29.323</v>
      </c>
      <c r="K2827" s="508">
        <v>27.204000000000001</v>
      </c>
      <c r="L2827" s="508">
        <v>27.204000000000001</v>
      </c>
      <c r="M2827" s="508">
        <v>27.204000000000001</v>
      </c>
      <c r="N2827" s="508">
        <v>27.204000000000001</v>
      </c>
      <c r="O2827" s="508">
        <v>27.204000000000001</v>
      </c>
      <c r="P2827" s="508">
        <v>27.295999999999999</v>
      </c>
      <c r="Q2827" s="508">
        <v>27.295999999999999</v>
      </c>
      <c r="R2827" s="508">
        <v>25.2</v>
      </c>
      <c r="S2827" s="508">
        <v>18.294</v>
      </c>
      <c r="T2827" s="508">
        <v>18.212</v>
      </c>
      <c r="U2827" s="508">
        <v>18.327000000000002</v>
      </c>
      <c r="V2827" s="508">
        <v>17.495000000000001</v>
      </c>
      <c r="W2827" s="508">
        <v>9.2859999999999996</v>
      </c>
      <c r="X2827" s="508">
        <v>9.3019999999999996</v>
      </c>
      <c r="Y2827" s="508">
        <v>9.2929999999999993</v>
      </c>
      <c r="Z2827" s="508">
        <v>9.2880000000000003</v>
      </c>
      <c r="AA2827" s="508">
        <v>6.1139999999999999</v>
      </c>
      <c r="AB2827" s="508">
        <v>6.0039999999999996</v>
      </c>
      <c r="AC2827" s="508">
        <v>6.2510000000000003</v>
      </c>
      <c r="AD2827" s="508">
        <v>1.6140000000000001</v>
      </c>
      <c r="AE2827" s="508">
        <v>1.609</v>
      </c>
      <c r="AF2827" s="508">
        <v>1.073</v>
      </c>
      <c r="AG2827" s="508">
        <v>1.036</v>
      </c>
      <c r="AH2827" s="508">
        <v>0.999</v>
      </c>
      <c r="AI2827" s="492">
        <v>0.999</v>
      </c>
      <c r="AJ2827" s="485"/>
    </row>
    <row r="2828" spans="2:36">
      <c r="B2828" s="136" t="s">
        <v>489</v>
      </c>
      <c r="C2828" s="132" t="s">
        <v>1363</v>
      </c>
      <c r="D2828" s="132" t="s">
        <v>283</v>
      </c>
      <c r="E2828" s="508">
        <v>39.069000000000003</v>
      </c>
      <c r="F2828" s="508">
        <v>39.067999999999998</v>
      </c>
      <c r="G2828" s="508">
        <v>39.067999999999998</v>
      </c>
      <c r="H2828" s="508">
        <v>39.067999999999998</v>
      </c>
      <c r="I2828" s="508">
        <v>39.067999999999998</v>
      </c>
      <c r="J2828" s="508">
        <v>30.172000000000001</v>
      </c>
      <c r="K2828" s="508">
        <v>27.986000000000001</v>
      </c>
      <c r="L2828" s="508">
        <v>27.986000000000001</v>
      </c>
      <c r="M2828" s="508">
        <v>27.986000000000001</v>
      </c>
      <c r="N2828" s="508">
        <v>27.986000000000001</v>
      </c>
      <c r="O2828" s="508">
        <v>27.986000000000001</v>
      </c>
      <c r="P2828" s="508">
        <v>28.081</v>
      </c>
      <c r="Q2828" s="508">
        <v>28.081</v>
      </c>
      <c r="R2828" s="508">
        <v>25.867000000000001</v>
      </c>
      <c r="S2828" s="508">
        <v>18.809999999999999</v>
      </c>
      <c r="T2828" s="508">
        <v>18.725000000000001</v>
      </c>
      <c r="U2828" s="508">
        <v>18.844000000000001</v>
      </c>
      <c r="V2828" s="508">
        <v>17.986000000000001</v>
      </c>
      <c r="W2828" s="508">
        <v>9.6210000000000004</v>
      </c>
      <c r="X2828" s="508">
        <v>9.6359999999999992</v>
      </c>
      <c r="Y2828" s="508">
        <v>9.6280000000000001</v>
      </c>
      <c r="Z2828" s="508">
        <v>9.6229999999999993</v>
      </c>
      <c r="AA2828" s="508">
        <v>6.3550000000000004</v>
      </c>
      <c r="AB2828" s="508">
        <v>6.2389999999999999</v>
      </c>
      <c r="AC2828" s="508">
        <v>6.4989999999999997</v>
      </c>
      <c r="AD2828" s="508">
        <v>1.6719999999999999</v>
      </c>
      <c r="AE2828" s="508">
        <v>1.667</v>
      </c>
      <c r="AF2828" s="508">
        <v>1.1120000000000001</v>
      </c>
      <c r="AG2828" s="508">
        <v>1.073</v>
      </c>
      <c r="AH2828" s="508">
        <v>1.036</v>
      </c>
      <c r="AI2828" s="492">
        <v>1.036</v>
      </c>
      <c r="AJ2828" s="485"/>
    </row>
    <row r="2829" spans="2:36">
      <c r="B2829" s="136" t="s">
        <v>490</v>
      </c>
      <c r="C2829" s="132" t="s">
        <v>1363</v>
      </c>
      <c r="D2829" s="132" t="s">
        <v>283</v>
      </c>
      <c r="E2829" s="508">
        <v>39.49</v>
      </c>
      <c r="F2829" s="508">
        <v>39.49</v>
      </c>
      <c r="G2829" s="508">
        <v>39.49</v>
      </c>
      <c r="H2829" s="508">
        <v>39.488999999999997</v>
      </c>
      <c r="I2829" s="508">
        <v>39.488999999999997</v>
      </c>
      <c r="J2829" s="508">
        <v>30.498000000000001</v>
      </c>
      <c r="K2829" s="508">
        <v>28.303000000000001</v>
      </c>
      <c r="L2829" s="508">
        <v>28.303000000000001</v>
      </c>
      <c r="M2829" s="508">
        <v>28.303000000000001</v>
      </c>
      <c r="N2829" s="508">
        <v>28.303000000000001</v>
      </c>
      <c r="O2829" s="508">
        <v>28.303000000000001</v>
      </c>
      <c r="P2829" s="508">
        <v>28.396000000000001</v>
      </c>
      <c r="Q2829" s="508">
        <v>28.396000000000001</v>
      </c>
      <c r="R2829" s="508">
        <v>26.253</v>
      </c>
      <c r="S2829" s="508">
        <v>19.036999999999999</v>
      </c>
      <c r="T2829" s="508">
        <v>18.952999999999999</v>
      </c>
      <c r="U2829" s="508">
        <v>19.071999999999999</v>
      </c>
      <c r="V2829" s="508">
        <v>18.212</v>
      </c>
      <c r="W2829" s="508">
        <v>9.577</v>
      </c>
      <c r="X2829" s="508">
        <v>9.5939999999999994</v>
      </c>
      <c r="Y2829" s="508">
        <v>9.5850000000000009</v>
      </c>
      <c r="Z2829" s="508">
        <v>9.5790000000000006</v>
      </c>
      <c r="AA2829" s="508">
        <v>6.2779999999999996</v>
      </c>
      <c r="AB2829" s="508">
        <v>6.1669999999999998</v>
      </c>
      <c r="AC2829" s="508">
        <v>6.4160000000000004</v>
      </c>
      <c r="AD2829" s="508">
        <v>1.6639999999999999</v>
      </c>
      <c r="AE2829" s="508">
        <v>1.66</v>
      </c>
      <c r="AF2829" s="508">
        <v>1.107</v>
      </c>
      <c r="AG2829" s="508">
        <v>1.0680000000000001</v>
      </c>
      <c r="AH2829" s="508">
        <v>1.0289999999999999</v>
      </c>
      <c r="AI2829" s="492">
        <v>1.0289999999999999</v>
      </c>
      <c r="AJ2829" s="485"/>
    </row>
    <row r="2830" spans="2:36">
      <c r="B2830" s="136" t="s">
        <v>435</v>
      </c>
      <c r="C2830" s="132" t="s">
        <v>1364</v>
      </c>
      <c r="D2830" s="132" t="s">
        <v>283</v>
      </c>
      <c r="E2830" s="508">
        <v>5.9420000000000002</v>
      </c>
      <c r="F2830" s="508">
        <v>6.2080000000000002</v>
      </c>
      <c r="G2830" s="508">
        <v>5.8879999999999999</v>
      </c>
      <c r="H2830" s="508">
        <v>5.766</v>
      </c>
      <c r="I2830" s="508">
        <v>5.8150000000000004</v>
      </c>
      <c r="J2830" s="508">
        <v>7.0890000000000004</v>
      </c>
      <c r="K2830" s="508">
        <v>6.45</v>
      </c>
      <c r="L2830" s="508">
        <v>6.0279999999999996</v>
      </c>
      <c r="M2830" s="508">
        <v>6.3869999999999996</v>
      </c>
      <c r="N2830" s="508">
        <v>6.15</v>
      </c>
      <c r="O2830" s="508">
        <v>6.2460000000000004</v>
      </c>
      <c r="P2830" s="508">
        <v>5.1740000000000004</v>
      </c>
      <c r="Q2830" s="508">
        <v>5.5069999999999997</v>
      </c>
      <c r="R2830" s="508">
        <v>3.6909999999999998</v>
      </c>
      <c r="S2830" s="508">
        <v>4.7859999999999996</v>
      </c>
      <c r="T2830" s="508">
        <v>4.1989999999999998</v>
      </c>
      <c r="U2830" s="508">
        <v>4.6100000000000003</v>
      </c>
      <c r="V2830" s="508">
        <v>3.4620000000000002</v>
      </c>
      <c r="W2830" s="508">
        <v>2.597</v>
      </c>
      <c r="X2830" s="508">
        <v>2.2029999999999998</v>
      </c>
      <c r="Y2830" s="508">
        <v>2.29</v>
      </c>
      <c r="Z2830" s="508">
        <v>2.4079999999999999</v>
      </c>
      <c r="AA2830" s="508">
        <v>1.276</v>
      </c>
      <c r="AB2830" s="508">
        <v>1.3029999999999999</v>
      </c>
      <c r="AC2830" s="508">
        <v>0.98599999999999999</v>
      </c>
      <c r="AD2830" s="508">
        <v>0.48</v>
      </c>
      <c r="AE2830" s="508">
        <v>0.61799999999999999</v>
      </c>
      <c r="AF2830" s="508">
        <v>0.43</v>
      </c>
      <c r="AG2830" s="508">
        <v>0.42699999999999999</v>
      </c>
      <c r="AH2830" s="508">
        <v>0.42499999999999999</v>
      </c>
      <c r="AI2830" s="492">
        <v>0.42299999999999999</v>
      </c>
      <c r="AJ2830" s="485"/>
    </row>
    <row r="2831" spans="2:36">
      <c r="B2831" s="136" t="s">
        <v>436</v>
      </c>
      <c r="C2831" s="132" t="s">
        <v>1364</v>
      </c>
      <c r="D2831" s="132" t="s">
        <v>283</v>
      </c>
      <c r="E2831" s="508">
        <v>6.4580000000000002</v>
      </c>
      <c r="F2831" s="508">
        <v>6.6909999999999998</v>
      </c>
      <c r="G2831" s="508">
        <v>6.351</v>
      </c>
      <c r="H2831" s="508">
        <v>6.2210000000000001</v>
      </c>
      <c r="I2831" s="508">
        <v>6.274</v>
      </c>
      <c r="J2831" s="508">
        <v>7.64</v>
      </c>
      <c r="K2831" s="508">
        <v>6.9489999999999998</v>
      </c>
      <c r="L2831" s="508">
        <v>6.5030000000000001</v>
      </c>
      <c r="M2831" s="508">
        <v>6.8840000000000003</v>
      </c>
      <c r="N2831" s="508">
        <v>6.6349999999999998</v>
      </c>
      <c r="O2831" s="508">
        <v>6.7370000000000001</v>
      </c>
      <c r="P2831" s="508">
        <v>5.569</v>
      </c>
      <c r="Q2831" s="508">
        <v>5.9320000000000004</v>
      </c>
      <c r="R2831" s="508">
        <v>3.968</v>
      </c>
      <c r="S2831" s="508">
        <v>5.1550000000000002</v>
      </c>
      <c r="T2831" s="508">
        <v>4.5220000000000002</v>
      </c>
      <c r="U2831" s="508">
        <v>4.9720000000000004</v>
      </c>
      <c r="V2831" s="508">
        <v>3.7410000000000001</v>
      </c>
      <c r="W2831" s="508">
        <v>2.8180000000000001</v>
      </c>
      <c r="X2831" s="508">
        <v>2.387</v>
      </c>
      <c r="Y2831" s="508">
        <v>2.4820000000000002</v>
      </c>
      <c r="Z2831" s="508">
        <v>2.609</v>
      </c>
      <c r="AA2831" s="508">
        <v>1.371</v>
      </c>
      <c r="AB2831" s="508">
        <v>1.399</v>
      </c>
      <c r="AC2831" s="508">
        <v>1.0609999999999999</v>
      </c>
      <c r="AD2831" s="508">
        <v>0.51500000000000001</v>
      </c>
      <c r="AE2831" s="508">
        <v>0.66200000000000003</v>
      </c>
      <c r="AF2831" s="508">
        <v>0.45800000000000002</v>
      </c>
      <c r="AG2831" s="508">
        <v>0.45500000000000002</v>
      </c>
      <c r="AH2831" s="508">
        <v>0.45200000000000001</v>
      </c>
      <c r="AI2831" s="492">
        <v>0.45</v>
      </c>
      <c r="AJ2831" s="485"/>
    </row>
    <row r="2832" spans="2:36">
      <c r="B2832" s="136" t="s">
        <v>437</v>
      </c>
      <c r="C2832" s="132" t="s">
        <v>1364</v>
      </c>
      <c r="D2832" s="132" t="s">
        <v>283</v>
      </c>
      <c r="E2832" s="508">
        <v>6.8780000000000001</v>
      </c>
      <c r="F2832" s="508">
        <v>7.18</v>
      </c>
      <c r="G2832" s="508">
        <v>6.64</v>
      </c>
      <c r="H2832" s="508">
        <v>6.4459999999999997</v>
      </c>
      <c r="I2832" s="508">
        <v>6.5839999999999996</v>
      </c>
      <c r="J2832" s="508">
        <v>8.6129999999999995</v>
      </c>
      <c r="K2832" s="508">
        <v>7.7949999999999999</v>
      </c>
      <c r="L2832" s="508">
        <v>6.8390000000000004</v>
      </c>
      <c r="M2832" s="508">
        <v>7.7510000000000003</v>
      </c>
      <c r="N2832" s="508">
        <v>7.2190000000000003</v>
      </c>
      <c r="O2832" s="508">
        <v>7.5190000000000001</v>
      </c>
      <c r="P2832" s="508">
        <v>6.3239999999999998</v>
      </c>
      <c r="Q2832" s="508">
        <v>6.8040000000000003</v>
      </c>
      <c r="R2832" s="508">
        <v>4.4050000000000002</v>
      </c>
      <c r="S2832" s="508">
        <v>5.9569999999999999</v>
      </c>
      <c r="T2832" s="508">
        <v>5.1420000000000003</v>
      </c>
      <c r="U2832" s="508">
        <v>5.7709999999999999</v>
      </c>
      <c r="V2832" s="508">
        <v>4.266</v>
      </c>
      <c r="W2832" s="508">
        <v>3.044</v>
      </c>
      <c r="X2832" s="508">
        <v>2.5990000000000002</v>
      </c>
      <c r="Y2832" s="508">
        <v>2.7109999999999999</v>
      </c>
      <c r="Z2832" s="508">
        <v>2.86</v>
      </c>
      <c r="AA2832" s="508">
        <v>1.528</v>
      </c>
      <c r="AB2832" s="508">
        <v>1.5660000000000001</v>
      </c>
      <c r="AC2832" s="508">
        <v>1.1819999999999999</v>
      </c>
      <c r="AD2832" s="508">
        <v>0.56499999999999995</v>
      </c>
      <c r="AE2832" s="508">
        <v>0.73199999999999998</v>
      </c>
      <c r="AF2832" s="508">
        <v>0.504</v>
      </c>
      <c r="AG2832" s="508">
        <v>0.501</v>
      </c>
      <c r="AH2832" s="508">
        <v>0.499</v>
      </c>
      <c r="AI2832" s="492">
        <v>0.497</v>
      </c>
      <c r="AJ2832" s="485"/>
    </row>
    <row r="2833" spans="2:36">
      <c r="B2833" s="136" t="s">
        <v>438</v>
      </c>
      <c r="C2833" s="132" t="s">
        <v>1364</v>
      </c>
      <c r="D2833" s="132" t="s">
        <v>283</v>
      </c>
      <c r="E2833" s="508">
        <v>5.8970000000000002</v>
      </c>
      <c r="F2833" s="508">
        <v>6.133</v>
      </c>
      <c r="G2833" s="508">
        <v>5.9119999999999999</v>
      </c>
      <c r="H2833" s="508">
        <v>5.827</v>
      </c>
      <c r="I2833" s="508">
        <v>5.8609999999999998</v>
      </c>
      <c r="J2833" s="508">
        <v>6.9340000000000002</v>
      </c>
      <c r="K2833" s="508">
        <v>6.3239999999999998</v>
      </c>
      <c r="L2833" s="508">
        <v>6.08</v>
      </c>
      <c r="M2833" s="508">
        <v>6.2759999999999998</v>
      </c>
      <c r="N2833" s="508">
        <v>6.1360000000000001</v>
      </c>
      <c r="O2833" s="508">
        <v>6.1779999999999999</v>
      </c>
      <c r="P2833" s="508">
        <v>5.085</v>
      </c>
      <c r="Q2833" s="508">
        <v>5.399</v>
      </c>
      <c r="R2833" s="508">
        <v>3.6659999999999999</v>
      </c>
      <c r="S2833" s="508">
        <v>4.6849999999999996</v>
      </c>
      <c r="T2833" s="508">
        <v>4.1360000000000001</v>
      </c>
      <c r="U2833" s="508">
        <v>4.5090000000000003</v>
      </c>
      <c r="V2833" s="508">
        <v>3.4140000000000001</v>
      </c>
      <c r="W2833" s="508">
        <v>2.5990000000000002</v>
      </c>
      <c r="X2833" s="508">
        <v>2.194</v>
      </c>
      <c r="Y2833" s="508">
        <v>2.2759999999999998</v>
      </c>
      <c r="Z2833" s="508">
        <v>2.3879999999999999</v>
      </c>
      <c r="AA2833" s="508">
        <v>1.2509999999999999</v>
      </c>
      <c r="AB2833" s="508">
        <v>1.2749999999999999</v>
      </c>
      <c r="AC2833" s="508">
        <v>0.96799999999999997</v>
      </c>
      <c r="AD2833" s="508">
        <v>0.47499999999999998</v>
      </c>
      <c r="AE2833" s="508">
        <v>0.60799999999999998</v>
      </c>
      <c r="AF2833" s="508">
        <v>0.42299999999999999</v>
      </c>
      <c r="AG2833" s="508">
        <v>0.42099999999999999</v>
      </c>
      <c r="AH2833" s="508">
        <v>0.41799999999999998</v>
      </c>
      <c r="AI2833" s="492">
        <v>0.41599999999999998</v>
      </c>
      <c r="AJ2833" s="485"/>
    </row>
    <row r="2834" spans="2:36">
      <c r="B2834" s="136" t="s">
        <v>439</v>
      </c>
      <c r="C2834" s="132" t="s">
        <v>1364</v>
      </c>
      <c r="D2834" s="132" t="s">
        <v>283</v>
      </c>
      <c r="E2834" s="508">
        <v>6.1980000000000004</v>
      </c>
      <c r="F2834" s="508">
        <v>6.484</v>
      </c>
      <c r="G2834" s="508">
        <v>6.13</v>
      </c>
      <c r="H2834" s="508">
        <v>5.9950000000000001</v>
      </c>
      <c r="I2834" s="508">
        <v>6.05</v>
      </c>
      <c r="J2834" s="508">
        <v>7.42</v>
      </c>
      <c r="K2834" s="508">
        <v>6.7469999999999999</v>
      </c>
      <c r="L2834" s="508">
        <v>6.2720000000000002</v>
      </c>
      <c r="M2834" s="508">
        <v>6.6779999999999999</v>
      </c>
      <c r="N2834" s="508">
        <v>6.4139999999999997</v>
      </c>
      <c r="O2834" s="508">
        <v>6.524</v>
      </c>
      <c r="P2834" s="508">
        <v>5.4109999999999996</v>
      </c>
      <c r="Q2834" s="508">
        <v>5.7619999999999996</v>
      </c>
      <c r="R2834" s="508">
        <v>3.8530000000000002</v>
      </c>
      <c r="S2834" s="508">
        <v>5.0090000000000003</v>
      </c>
      <c r="T2834" s="508">
        <v>4.3899999999999997</v>
      </c>
      <c r="U2834" s="508">
        <v>4.8289999999999997</v>
      </c>
      <c r="V2834" s="508">
        <v>3.6259999999999999</v>
      </c>
      <c r="W2834" s="508">
        <v>2.7080000000000002</v>
      </c>
      <c r="X2834" s="508">
        <v>2.2949999999999999</v>
      </c>
      <c r="Y2834" s="508">
        <v>2.3849999999999998</v>
      </c>
      <c r="Z2834" s="508">
        <v>2.5070000000000001</v>
      </c>
      <c r="AA2834" s="508">
        <v>1.331</v>
      </c>
      <c r="AB2834" s="508">
        <v>1.359</v>
      </c>
      <c r="AC2834" s="508">
        <v>1.03</v>
      </c>
      <c r="AD2834" s="508">
        <v>0.501</v>
      </c>
      <c r="AE2834" s="508">
        <v>0.64500000000000002</v>
      </c>
      <c r="AF2834" s="508">
        <v>0.44800000000000001</v>
      </c>
      <c r="AG2834" s="508">
        <v>0.44500000000000001</v>
      </c>
      <c r="AH2834" s="508">
        <v>0.443</v>
      </c>
      <c r="AI2834" s="492">
        <v>0.441</v>
      </c>
      <c r="AJ2834" s="485"/>
    </row>
    <row r="2835" spans="2:36">
      <c r="B2835" s="136" t="s">
        <v>440</v>
      </c>
      <c r="C2835" s="132" t="s">
        <v>1364</v>
      </c>
      <c r="D2835" s="132" t="s">
        <v>283</v>
      </c>
      <c r="E2835" s="508">
        <v>6.4080000000000004</v>
      </c>
      <c r="F2835" s="508">
        <v>6.6689999999999996</v>
      </c>
      <c r="G2835" s="508">
        <v>6.2969999999999997</v>
      </c>
      <c r="H2835" s="508">
        <v>6.1550000000000002</v>
      </c>
      <c r="I2835" s="508">
        <v>6.2130000000000001</v>
      </c>
      <c r="J2835" s="508">
        <v>7.6390000000000002</v>
      </c>
      <c r="K2835" s="508">
        <v>6.9429999999999996</v>
      </c>
      <c r="L2835" s="508">
        <v>6.44</v>
      </c>
      <c r="M2835" s="508">
        <v>6.8730000000000002</v>
      </c>
      <c r="N2835" s="508">
        <v>6.5910000000000002</v>
      </c>
      <c r="O2835" s="508">
        <v>6.7110000000000003</v>
      </c>
      <c r="P2835" s="508">
        <v>5.5629999999999997</v>
      </c>
      <c r="Q2835" s="508">
        <v>5.9290000000000003</v>
      </c>
      <c r="R2835" s="508">
        <v>3.952</v>
      </c>
      <c r="S2835" s="508">
        <v>5.1539999999999999</v>
      </c>
      <c r="T2835" s="508">
        <v>4.5129999999999999</v>
      </c>
      <c r="U2835" s="508">
        <v>4.9720000000000004</v>
      </c>
      <c r="V2835" s="508">
        <v>3.7320000000000002</v>
      </c>
      <c r="W2835" s="508">
        <v>2.7919999999999998</v>
      </c>
      <c r="X2835" s="508">
        <v>2.3679999999999999</v>
      </c>
      <c r="Y2835" s="508">
        <v>2.4620000000000002</v>
      </c>
      <c r="Z2835" s="508">
        <v>2.59</v>
      </c>
      <c r="AA2835" s="508">
        <v>1.369</v>
      </c>
      <c r="AB2835" s="508">
        <v>1.399</v>
      </c>
      <c r="AC2835" s="508">
        <v>1.0589999999999999</v>
      </c>
      <c r="AD2835" s="508">
        <v>0.51400000000000001</v>
      </c>
      <c r="AE2835" s="508">
        <v>0.66100000000000003</v>
      </c>
      <c r="AF2835" s="508">
        <v>0.45800000000000002</v>
      </c>
      <c r="AG2835" s="508">
        <v>0.45500000000000002</v>
      </c>
      <c r="AH2835" s="508">
        <v>0.45300000000000001</v>
      </c>
      <c r="AI2835" s="492">
        <v>0.45100000000000001</v>
      </c>
      <c r="AJ2835" s="485"/>
    </row>
    <row r="2836" spans="2:36">
      <c r="B2836" s="136" t="s">
        <v>441</v>
      </c>
      <c r="C2836" s="132" t="s">
        <v>1364</v>
      </c>
      <c r="D2836" s="132" t="s">
        <v>283</v>
      </c>
      <c r="E2836" s="508">
        <v>6.3280000000000003</v>
      </c>
      <c r="F2836" s="508">
        <v>6.61</v>
      </c>
      <c r="G2836" s="508">
        <v>6.2439999999999998</v>
      </c>
      <c r="H2836" s="508">
        <v>6.1040000000000001</v>
      </c>
      <c r="I2836" s="508">
        <v>6.1609999999999996</v>
      </c>
      <c r="J2836" s="508">
        <v>7.569</v>
      </c>
      <c r="K2836" s="508">
        <v>6.8810000000000002</v>
      </c>
      <c r="L2836" s="508">
        <v>6.3879999999999999</v>
      </c>
      <c r="M2836" s="508">
        <v>6.8109999999999999</v>
      </c>
      <c r="N2836" s="508">
        <v>6.5330000000000004</v>
      </c>
      <c r="O2836" s="508">
        <v>6.65</v>
      </c>
      <c r="P2836" s="508">
        <v>5.5149999999999997</v>
      </c>
      <c r="Q2836" s="508">
        <v>5.8760000000000003</v>
      </c>
      <c r="R2836" s="508">
        <v>3.923</v>
      </c>
      <c r="S2836" s="508">
        <v>5.1079999999999997</v>
      </c>
      <c r="T2836" s="508">
        <v>4.4749999999999996</v>
      </c>
      <c r="U2836" s="508">
        <v>4.9260000000000002</v>
      </c>
      <c r="V2836" s="508">
        <v>3.6989999999999998</v>
      </c>
      <c r="W2836" s="508">
        <v>2.762</v>
      </c>
      <c r="X2836" s="508">
        <v>2.3410000000000002</v>
      </c>
      <c r="Y2836" s="508">
        <v>2.4329999999999998</v>
      </c>
      <c r="Z2836" s="508">
        <v>2.5579999999999998</v>
      </c>
      <c r="AA2836" s="508">
        <v>1.357</v>
      </c>
      <c r="AB2836" s="508">
        <v>1.385</v>
      </c>
      <c r="AC2836" s="508">
        <v>1.0489999999999999</v>
      </c>
      <c r="AD2836" s="508">
        <v>0.51</v>
      </c>
      <c r="AE2836" s="508">
        <v>0.65600000000000003</v>
      </c>
      <c r="AF2836" s="508">
        <v>0.45500000000000002</v>
      </c>
      <c r="AG2836" s="508">
        <v>0.45300000000000001</v>
      </c>
      <c r="AH2836" s="508">
        <v>0.45</v>
      </c>
      <c r="AI2836" s="492">
        <v>0.44800000000000001</v>
      </c>
      <c r="AJ2836" s="485"/>
    </row>
    <row r="2837" spans="2:36">
      <c r="B2837" s="136" t="s">
        <v>443</v>
      </c>
      <c r="C2837" s="132" t="s">
        <v>1364</v>
      </c>
      <c r="D2837" s="132" t="s">
        <v>283</v>
      </c>
      <c r="E2837" s="508">
        <v>6.2619999999999996</v>
      </c>
      <c r="F2837" s="508">
        <v>6.5359999999999996</v>
      </c>
      <c r="G2837" s="508">
        <v>6.1079999999999997</v>
      </c>
      <c r="H2837" s="508">
        <v>5.944</v>
      </c>
      <c r="I2837" s="508">
        <v>6.01</v>
      </c>
      <c r="J2837" s="508">
        <v>7.5330000000000004</v>
      </c>
      <c r="K2837" s="508">
        <v>6.8360000000000003</v>
      </c>
      <c r="L2837" s="508">
        <v>6.2290000000000001</v>
      </c>
      <c r="M2837" s="508">
        <v>6.758</v>
      </c>
      <c r="N2837" s="508">
        <v>6.4130000000000003</v>
      </c>
      <c r="O2837" s="508">
        <v>6.5679999999999996</v>
      </c>
      <c r="P2837" s="508">
        <v>5.4690000000000003</v>
      </c>
      <c r="Q2837" s="508">
        <v>5.8369999999999997</v>
      </c>
      <c r="R2837" s="508">
        <v>3.8580000000000001</v>
      </c>
      <c r="S2837" s="508">
        <v>5.0789999999999997</v>
      </c>
      <c r="T2837" s="508">
        <v>4.43</v>
      </c>
      <c r="U2837" s="508">
        <v>4.9000000000000004</v>
      </c>
      <c r="V2837" s="508">
        <v>3.6539999999999999</v>
      </c>
      <c r="W2837" s="508">
        <v>2.7090000000000001</v>
      </c>
      <c r="X2837" s="508">
        <v>2.3079999999999998</v>
      </c>
      <c r="Y2837" s="508">
        <v>2.4049999999999998</v>
      </c>
      <c r="Z2837" s="508">
        <v>2.5329999999999999</v>
      </c>
      <c r="AA2837" s="508">
        <v>1.35</v>
      </c>
      <c r="AB2837" s="508">
        <v>1.3819999999999999</v>
      </c>
      <c r="AC2837" s="508">
        <v>1.0429999999999999</v>
      </c>
      <c r="AD2837" s="508">
        <v>0.502</v>
      </c>
      <c r="AE2837" s="508">
        <v>0.65</v>
      </c>
      <c r="AF2837" s="508">
        <v>0.45100000000000001</v>
      </c>
      <c r="AG2837" s="508">
        <v>0.44800000000000001</v>
      </c>
      <c r="AH2837" s="508">
        <v>0.44600000000000001</v>
      </c>
      <c r="AI2837" s="492">
        <v>0.44400000000000001</v>
      </c>
      <c r="AJ2837" s="485"/>
    </row>
    <row r="2838" spans="2:36">
      <c r="B2838" s="136" t="s">
        <v>445</v>
      </c>
      <c r="C2838" s="132" t="s">
        <v>1364</v>
      </c>
      <c r="D2838" s="132" t="s">
        <v>283</v>
      </c>
      <c r="E2838" s="508">
        <v>6.57</v>
      </c>
      <c r="F2838" s="508">
        <v>6.931</v>
      </c>
      <c r="G2838" s="508">
        <v>6.2919999999999998</v>
      </c>
      <c r="H2838" s="508">
        <v>6.0469999999999997</v>
      </c>
      <c r="I2838" s="508">
        <v>6.1470000000000002</v>
      </c>
      <c r="J2838" s="508">
        <v>8.1219999999999999</v>
      </c>
      <c r="K2838" s="508">
        <v>7.3390000000000004</v>
      </c>
      <c r="L2838" s="508">
        <v>6.359</v>
      </c>
      <c r="M2838" s="508">
        <v>7.2279999999999998</v>
      </c>
      <c r="N2838" s="508">
        <v>6.6959999999999997</v>
      </c>
      <c r="O2838" s="508">
        <v>6.9569999999999999</v>
      </c>
      <c r="P2838" s="508">
        <v>5.8540000000000001</v>
      </c>
      <c r="Q2838" s="508">
        <v>6.274</v>
      </c>
      <c r="R2838" s="508">
        <v>4.0599999999999996</v>
      </c>
      <c r="S2838" s="508">
        <v>5.47</v>
      </c>
      <c r="T2838" s="508">
        <v>4.7249999999999996</v>
      </c>
      <c r="U2838" s="508">
        <v>5.2880000000000003</v>
      </c>
      <c r="V2838" s="508">
        <v>3.899</v>
      </c>
      <c r="W2838" s="508">
        <v>2.81</v>
      </c>
      <c r="X2838" s="508">
        <v>2.41</v>
      </c>
      <c r="Y2838" s="508">
        <v>2.5179999999999998</v>
      </c>
      <c r="Z2838" s="508">
        <v>2.6589999999999998</v>
      </c>
      <c r="AA2838" s="508">
        <v>1.4470000000000001</v>
      </c>
      <c r="AB2838" s="508">
        <v>1.4850000000000001</v>
      </c>
      <c r="AC2838" s="508">
        <v>1.115</v>
      </c>
      <c r="AD2838" s="508">
        <v>0.53100000000000003</v>
      </c>
      <c r="AE2838" s="508">
        <v>0.69399999999999995</v>
      </c>
      <c r="AF2838" s="508">
        <v>0.48</v>
      </c>
      <c r="AG2838" s="508">
        <v>0.47699999999999998</v>
      </c>
      <c r="AH2838" s="508">
        <v>0.47499999999999998</v>
      </c>
      <c r="AI2838" s="492">
        <v>0.47299999999999998</v>
      </c>
      <c r="AJ2838" s="485"/>
    </row>
    <row r="2839" spans="2:36">
      <c r="B2839" s="136" t="s">
        <v>446</v>
      </c>
      <c r="C2839" s="132" t="s">
        <v>1364</v>
      </c>
      <c r="D2839" s="132" t="s">
        <v>283</v>
      </c>
      <c r="E2839" s="508">
        <v>6.3209999999999997</v>
      </c>
      <c r="F2839" s="508">
        <v>6.69</v>
      </c>
      <c r="G2839" s="508">
        <v>6.1139999999999999</v>
      </c>
      <c r="H2839" s="508">
        <v>5.9059999999999997</v>
      </c>
      <c r="I2839" s="508">
        <v>6.0519999999999996</v>
      </c>
      <c r="J2839" s="508">
        <v>8.1180000000000003</v>
      </c>
      <c r="K2839" s="508">
        <v>7.335</v>
      </c>
      <c r="L2839" s="508">
        <v>6.2779999999999996</v>
      </c>
      <c r="M2839" s="508">
        <v>7.2880000000000003</v>
      </c>
      <c r="N2839" s="508">
        <v>6.7089999999999996</v>
      </c>
      <c r="O2839" s="508">
        <v>7.04</v>
      </c>
      <c r="P2839" s="508">
        <v>5.9660000000000002</v>
      </c>
      <c r="Q2839" s="508">
        <v>6.4290000000000003</v>
      </c>
      <c r="R2839" s="508">
        <v>4.13</v>
      </c>
      <c r="S2839" s="508">
        <v>5.6369999999999996</v>
      </c>
      <c r="T2839" s="508">
        <v>4.8449999999999998</v>
      </c>
      <c r="U2839" s="508">
        <v>5.46</v>
      </c>
      <c r="V2839" s="508">
        <v>4.0060000000000002</v>
      </c>
      <c r="W2839" s="508">
        <v>2.7949999999999999</v>
      </c>
      <c r="X2839" s="508">
        <v>2.3940000000000001</v>
      </c>
      <c r="Y2839" s="508">
        <v>2.5019999999999998</v>
      </c>
      <c r="Z2839" s="508">
        <v>2.641</v>
      </c>
      <c r="AA2839" s="508">
        <v>1.4370000000000001</v>
      </c>
      <c r="AB2839" s="508">
        <v>1.476</v>
      </c>
      <c r="AC2839" s="508">
        <v>1.109</v>
      </c>
      <c r="AD2839" s="508">
        <v>0.52900000000000003</v>
      </c>
      <c r="AE2839" s="508">
        <v>0.69</v>
      </c>
      <c r="AF2839" s="508">
        <v>0.47699999999999998</v>
      </c>
      <c r="AG2839" s="508">
        <v>0.47499999999999998</v>
      </c>
      <c r="AH2839" s="508">
        <v>0.47199999999999998</v>
      </c>
      <c r="AI2839" s="492">
        <v>0.47</v>
      </c>
      <c r="AJ2839" s="485"/>
    </row>
    <row r="2840" spans="2:36">
      <c r="B2840" s="136" t="s">
        <v>448</v>
      </c>
      <c r="C2840" s="132" t="s">
        <v>1364</v>
      </c>
      <c r="D2840" s="132" t="s">
        <v>283</v>
      </c>
      <c r="E2840" s="508">
        <v>5.9189999999999996</v>
      </c>
      <c r="F2840" s="508">
        <v>6.1719999999999997</v>
      </c>
      <c r="G2840" s="508">
        <v>5.91</v>
      </c>
      <c r="H2840" s="508">
        <v>5.81</v>
      </c>
      <c r="I2840" s="508">
        <v>5.851</v>
      </c>
      <c r="J2840" s="508">
        <v>7.0069999999999997</v>
      </c>
      <c r="K2840" s="508">
        <v>6.3840000000000003</v>
      </c>
      <c r="L2840" s="508">
        <v>6.0670000000000002</v>
      </c>
      <c r="M2840" s="508">
        <v>6.33</v>
      </c>
      <c r="N2840" s="508">
        <v>6.1509999999999998</v>
      </c>
      <c r="O2840" s="508">
        <v>6.2149999999999999</v>
      </c>
      <c r="P2840" s="508">
        <v>5.1289999999999996</v>
      </c>
      <c r="Q2840" s="508">
        <v>5.4509999999999996</v>
      </c>
      <c r="R2840" s="508">
        <v>3.6829999999999998</v>
      </c>
      <c r="S2840" s="508">
        <v>4.7329999999999997</v>
      </c>
      <c r="T2840" s="508">
        <v>4.1680000000000001</v>
      </c>
      <c r="U2840" s="508">
        <v>4.5570000000000004</v>
      </c>
      <c r="V2840" s="508">
        <v>3.4390000000000001</v>
      </c>
      <c r="W2840" s="508">
        <v>2.601</v>
      </c>
      <c r="X2840" s="508">
        <v>2.2000000000000002</v>
      </c>
      <c r="Y2840" s="508">
        <v>2.2829999999999999</v>
      </c>
      <c r="Z2840" s="508">
        <v>2.3969999999999998</v>
      </c>
      <c r="AA2840" s="508">
        <v>1.2629999999999999</v>
      </c>
      <c r="AB2840" s="508">
        <v>1.288</v>
      </c>
      <c r="AC2840" s="508">
        <v>0.97699999999999998</v>
      </c>
      <c r="AD2840" s="508">
        <v>0.47799999999999998</v>
      </c>
      <c r="AE2840" s="508">
        <v>0.61299999999999999</v>
      </c>
      <c r="AF2840" s="508">
        <v>0.42699999999999999</v>
      </c>
      <c r="AG2840" s="508">
        <v>0.42399999999999999</v>
      </c>
      <c r="AH2840" s="508">
        <v>0.42199999999999999</v>
      </c>
      <c r="AI2840" s="492">
        <v>0.42</v>
      </c>
      <c r="AJ2840" s="485"/>
    </row>
    <row r="2841" spans="2:36">
      <c r="B2841" s="136" t="s">
        <v>449</v>
      </c>
      <c r="C2841" s="132" t="s">
        <v>1364</v>
      </c>
      <c r="D2841" s="132" t="s">
        <v>283</v>
      </c>
      <c r="E2841" s="508">
        <v>6.202</v>
      </c>
      <c r="F2841" s="508">
        <v>6.5380000000000003</v>
      </c>
      <c r="G2841" s="508">
        <v>6.0449999999999999</v>
      </c>
      <c r="H2841" s="508">
        <v>5.8689999999999998</v>
      </c>
      <c r="I2841" s="508">
        <v>6.0010000000000003</v>
      </c>
      <c r="J2841" s="508">
        <v>7.8789999999999996</v>
      </c>
      <c r="K2841" s="508">
        <v>7.1319999999999997</v>
      </c>
      <c r="L2841" s="508">
        <v>6.2359999999999998</v>
      </c>
      <c r="M2841" s="508">
        <v>7.0960000000000001</v>
      </c>
      <c r="N2841" s="508">
        <v>6.5940000000000003</v>
      </c>
      <c r="O2841" s="508">
        <v>6.8789999999999996</v>
      </c>
      <c r="P2841" s="508">
        <v>5.806</v>
      </c>
      <c r="Q2841" s="508">
        <v>6.2460000000000004</v>
      </c>
      <c r="R2841" s="508">
        <v>4.0469999999999997</v>
      </c>
      <c r="S2841" s="508">
        <v>5.4720000000000004</v>
      </c>
      <c r="T2841" s="508">
        <v>4.7210000000000001</v>
      </c>
      <c r="U2841" s="508">
        <v>5.2960000000000003</v>
      </c>
      <c r="V2841" s="508">
        <v>3.903</v>
      </c>
      <c r="W2841" s="508">
        <v>2.7589999999999999</v>
      </c>
      <c r="X2841" s="508">
        <v>2.3580000000000001</v>
      </c>
      <c r="Y2841" s="508">
        <v>2.46</v>
      </c>
      <c r="Z2841" s="508">
        <v>2.5950000000000002</v>
      </c>
      <c r="AA2841" s="508">
        <v>1.4</v>
      </c>
      <c r="AB2841" s="508">
        <v>1.4370000000000001</v>
      </c>
      <c r="AC2841" s="508">
        <v>1.0820000000000001</v>
      </c>
      <c r="AD2841" s="508">
        <v>0.51800000000000002</v>
      </c>
      <c r="AE2841" s="508">
        <v>0.67400000000000004</v>
      </c>
      <c r="AF2841" s="508">
        <v>0.46600000000000003</v>
      </c>
      <c r="AG2841" s="508">
        <v>0.46400000000000002</v>
      </c>
      <c r="AH2841" s="508">
        <v>0.46100000000000002</v>
      </c>
      <c r="AI2841" s="492">
        <v>0.45900000000000002</v>
      </c>
      <c r="AJ2841" s="485"/>
    </row>
    <row r="2842" spans="2:36">
      <c r="B2842" s="136" t="s">
        <v>450</v>
      </c>
      <c r="C2842" s="132" t="s">
        <v>1364</v>
      </c>
      <c r="D2842" s="132" t="s">
        <v>283</v>
      </c>
      <c r="E2842" s="508">
        <v>6.2750000000000004</v>
      </c>
      <c r="F2842" s="508">
        <v>6.5060000000000002</v>
      </c>
      <c r="G2842" s="508">
        <v>6.1909999999999998</v>
      </c>
      <c r="H2842" s="508">
        <v>6.07</v>
      </c>
      <c r="I2842" s="508">
        <v>6.1189999999999998</v>
      </c>
      <c r="J2842" s="508">
        <v>7.4160000000000004</v>
      </c>
      <c r="K2842" s="508">
        <v>6.7489999999999997</v>
      </c>
      <c r="L2842" s="508">
        <v>6.343</v>
      </c>
      <c r="M2842" s="508">
        <v>6.6870000000000003</v>
      </c>
      <c r="N2842" s="508">
        <v>6.4580000000000002</v>
      </c>
      <c r="O2842" s="508">
        <v>6.5490000000000004</v>
      </c>
      <c r="P2842" s="508">
        <v>5.4109999999999996</v>
      </c>
      <c r="Q2842" s="508">
        <v>5.7610000000000001</v>
      </c>
      <c r="R2842" s="508">
        <v>3.8620000000000001</v>
      </c>
      <c r="S2842" s="508">
        <v>5.0049999999999999</v>
      </c>
      <c r="T2842" s="508">
        <v>4.3949999999999996</v>
      </c>
      <c r="U2842" s="508">
        <v>4.8250000000000002</v>
      </c>
      <c r="V2842" s="508">
        <v>3.6309999999999998</v>
      </c>
      <c r="W2842" s="508">
        <v>2.74</v>
      </c>
      <c r="X2842" s="508">
        <v>2.3220000000000001</v>
      </c>
      <c r="Y2842" s="508">
        <v>2.4129999999999998</v>
      </c>
      <c r="Z2842" s="508">
        <v>2.5369999999999999</v>
      </c>
      <c r="AA2842" s="508">
        <v>1.333</v>
      </c>
      <c r="AB2842" s="508">
        <v>1.361</v>
      </c>
      <c r="AC2842" s="508">
        <v>1.0309999999999999</v>
      </c>
      <c r="AD2842" s="508">
        <v>0.501</v>
      </c>
      <c r="AE2842" s="508">
        <v>0.64400000000000002</v>
      </c>
      <c r="AF2842" s="508">
        <v>0.44600000000000001</v>
      </c>
      <c r="AG2842" s="508">
        <v>0.443</v>
      </c>
      <c r="AH2842" s="508">
        <v>0.441</v>
      </c>
      <c r="AI2842" s="492">
        <v>0.439</v>
      </c>
      <c r="AJ2842" s="485"/>
    </row>
    <row r="2843" spans="2:36">
      <c r="B2843" s="136" t="s">
        <v>451</v>
      </c>
      <c r="C2843" s="132" t="s">
        <v>1364</v>
      </c>
      <c r="D2843" s="132" t="s">
        <v>283</v>
      </c>
      <c r="E2843" s="508">
        <v>6.5060000000000002</v>
      </c>
      <c r="F2843" s="508">
        <v>6.8380000000000001</v>
      </c>
      <c r="G2843" s="508">
        <v>6.2930000000000001</v>
      </c>
      <c r="H2843" s="508">
        <v>6.085</v>
      </c>
      <c r="I2843" s="508">
        <v>6.17</v>
      </c>
      <c r="J2843" s="508">
        <v>7.95</v>
      </c>
      <c r="K2843" s="508">
        <v>7.1989999999999998</v>
      </c>
      <c r="L2843" s="508">
        <v>6.3879999999999999</v>
      </c>
      <c r="M2843" s="508">
        <v>7.1020000000000003</v>
      </c>
      <c r="N2843" s="508">
        <v>6.6580000000000004</v>
      </c>
      <c r="O2843" s="508">
        <v>6.8689999999999998</v>
      </c>
      <c r="P2843" s="508">
        <v>5.7510000000000003</v>
      </c>
      <c r="Q2843" s="508">
        <v>6.1509999999999998</v>
      </c>
      <c r="R2843" s="508">
        <v>4.0229999999999997</v>
      </c>
      <c r="S2843" s="508">
        <v>5.3579999999999997</v>
      </c>
      <c r="T2843" s="508">
        <v>4.6509999999999998</v>
      </c>
      <c r="U2843" s="508">
        <v>5.1760000000000002</v>
      </c>
      <c r="V2843" s="508">
        <v>3.84</v>
      </c>
      <c r="W2843" s="508">
        <v>2.802</v>
      </c>
      <c r="X2843" s="508">
        <v>2.3929999999999998</v>
      </c>
      <c r="Y2843" s="508">
        <v>2.496</v>
      </c>
      <c r="Z2843" s="508">
        <v>2.6320000000000001</v>
      </c>
      <c r="AA2843" s="508">
        <v>1.419</v>
      </c>
      <c r="AB2843" s="508">
        <v>1.454</v>
      </c>
      <c r="AC2843" s="508">
        <v>1.095</v>
      </c>
      <c r="AD2843" s="508">
        <v>0.52500000000000002</v>
      </c>
      <c r="AE2843" s="508">
        <v>0.68200000000000005</v>
      </c>
      <c r="AF2843" s="508">
        <v>0.47199999999999998</v>
      </c>
      <c r="AG2843" s="508">
        <v>0.47</v>
      </c>
      <c r="AH2843" s="508">
        <v>0.46700000000000003</v>
      </c>
      <c r="AI2843" s="492">
        <v>0.46500000000000002</v>
      </c>
      <c r="AJ2843" s="485"/>
    </row>
    <row r="2844" spans="2:36">
      <c r="B2844" s="136" t="s">
        <v>452</v>
      </c>
      <c r="C2844" s="132" t="s">
        <v>1364</v>
      </c>
      <c r="D2844" s="132" t="s">
        <v>283</v>
      </c>
      <c r="E2844" s="508">
        <v>6.2969999999999997</v>
      </c>
      <c r="F2844" s="508">
        <v>6.5739999999999998</v>
      </c>
      <c r="G2844" s="508">
        <v>6.16</v>
      </c>
      <c r="H2844" s="508">
        <v>6.0019999999999998</v>
      </c>
      <c r="I2844" s="508">
        <v>6.0659999999999998</v>
      </c>
      <c r="J2844" s="508">
        <v>7.5629999999999997</v>
      </c>
      <c r="K2844" s="508">
        <v>6.8659999999999997</v>
      </c>
      <c r="L2844" s="508">
        <v>6.2839999999999998</v>
      </c>
      <c r="M2844" s="508">
        <v>6.7889999999999997</v>
      </c>
      <c r="N2844" s="508">
        <v>6.468</v>
      </c>
      <c r="O2844" s="508">
        <v>6.6109999999999998</v>
      </c>
      <c r="P2844" s="508">
        <v>5.4969999999999999</v>
      </c>
      <c r="Q2844" s="508">
        <v>5.8639999999999999</v>
      </c>
      <c r="R2844" s="508">
        <v>3.887</v>
      </c>
      <c r="S2844" s="508">
        <v>5.101</v>
      </c>
      <c r="T2844" s="508">
        <v>4.4550000000000001</v>
      </c>
      <c r="U2844" s="508">
        <v>4.9210000000000003</v>
      </c>
      <c r="V2844" s="508">
        <v>3.6779999999999999</v>
      </c>
      <c r="W2844" s="508">
        <v>2.7330000000000001</v>
      </c>
      <c r="X2844" s="508">
        <v>2.3250000000000002</v>
      </c>
      <c r="Y2844" s="508">
        <v>2.42</v>
      </c>
      <c r="Z2844" s="508">
        <v>2.548</v>
      </c>
      <c r="AA2844" s="508">
        <v>1.3560000000000001</v>
      </c>
      <c r="AB2844" s="508">
        <v>1.387</v>
      </c>
      <c r="AC2844" s="508">
        <v>1.0469999999999999</v>
      </c>
      <c r="AD2844" s="508">
        <v>0.50600000000000001</v>
      </c>
      <c r="AE2844" s="508">
        <v>0.65400000000000003</v>
      </c>
      <c r="AF2844" s="508">
        <v>0.45300000000000001</v>
      </c>
      <c r="AG2844" s="508">
        <v>0.45</v>
      </c>
      <c r="AH2844" s="508">
        <v>0.44800000000000001</v>
      </c>
      <c r="AI2844" s="492">
        <v>0.44600000000000001</v>
      </c>
      <c r="AJ2844" s="485"/>
    </row>
    <row r="2845" spans="2:36">
      <c r="B2845" s="136" t="s">
        <v>453</v>
      </c>
      <c r="C2845" s="132" t="s">
        <v>1364</v>
      </c>
      <c r="D2845" s="132" t="s">
        <v>283</v>
      </c>
      <c r="E2845" s="508">
        <v>6.165</v>
      </c>
      <c r="F2845" s="508">
        <v>6.3879999999999999</v>
      </c>
      <c r="G2845" s="508">
        <v>6.1109999999999998</v>
      </c>
      <c r="H2845" s="508">
        <v>6.0060000000000002</v>
      </c>
      <c r="I2845" s="508">
        <v>6.048</v>
      </c>
      <c r="J2845" s="508">
        <v>7.258</v>
      </c>
      <c r="K2845" s="508">
        <v>6.61</v>
      </c>
      <c r="L2845" s="508">
        <v>6.2720000000000002</v>
      </c>
      <c r="M2845" s="508">
        <v>6.5549999999999997</v>
      </c>
      <c r="N2845" s="508">
        <v>6.3609999999999998</v>
      </c>
      <c r="O2845" s="508">
        <v>6.4320000000000004</v>
      </c>
      <c r="P2845" s="508">
        <v>5.3049999999999997</v>
      </c>
      <c r="Q2845" s="508">
        <v>5.6420000000000003</v>
      </c>
      <c r="R2845" s="508">
        <v>3.8</v>
      </c>
      <c r="S2845" s="508">
        <v>4.9000000000000004</v>
      </c>
      <c r="T2845" s="508">
        <v>4.3109999999999999</v>
      </c>
      <c r="U2845" s="508">
        <v>4.7210000000000001</v>
      </c>
      <c r="V2845" s="508">
        <v>3.5609999999999999</v>
      </c>
      <c r="W2845" s="508">
        <v>2.7</v>
      </c>
      <c r="X2845" s="508">
        <v>2.2850000000000001</v>
      </c>
      <c r="Y2845" s="508">
        <v>2.3730000000000002</v>
      </c>
      <c r="Z2845" s="508">
        <v>2.4940000000000002</v>
      </c>
      <c r="AA2845" s="508">
        <v>1.3069999999999999</v>
      </c>
      <c r="AB2845" s="508">
        <v>1.333</v>
      </c>
      <c r="AC2845" s="508">
        <v>1.0109999999999999</v>
      </c>
      <c r="AD2845" s="508">
        <v>0.49299999999999999</v>
      </c>
      <c r="AE2845" s="508">
        <v>0.63200000000000001</v>
      </c>
      <c r="AF2845" s="508">
        <v>0.438</v>
      </c>
      <c r="AG2845" s="508">
        <v>0.436</v>
      </c>
      <c r="AH2845" s="508">
        <v>0.433</v>
      </c>
      <c r="AI2845" s="492">
        <v>0.43099999999999999</v>
      </c>
      <c r="AJ2845" s="485"/>
    </row>
    <row r="2846" spans="2:36">
      <c r="B2846" s="136" t="s">
        <v>454</v>
      </c>
      <c r="C2846" s="132" t="s">
        <v>1364</v>
      </c>
      <c r="D2846" s="132" t="s">
        <v>283</v>
      </c>
      <c r="E2846" s="508">
        <v>6.1</v>
      </c>
      <c r="F2846" s="508">
        <v>6.3369999999999997</v>
      </c>
      <c r="G2846" s="508">
        <v>6.0570000000000004</v>
      </c>
      <c r="H2846" s="508">
        <v>5.9509999999999996</v>
      </c>
      <c r="I2846" s="508">
        <v>5.9939999999999998</v>
      </c>
      <c r="J2846" s="508">
        <v>7.2030000000000003</v>
      </c>
      <c r="K2846" s="508">
        <v>6.56</v>
      </c>
      <c r="L2846" s="508">
        <v>6.2160000000000002</v>
      </c>
      <c r="M2846" s="508">
        <v>6.5039999999999996</v>
      </c>
      <c r="N2846" s="508">
        <v>6.306</v>
      </c>
      <c r="O2846" s="508">
        <v>6.3789999999999996</v>
      </c>
      <c r="P2846" s="508">
        <v>5.2649999999999997</v>
      </c>
      <c r="Q2846" s="508">
        <v>5.6</v>
      </c>
      <c r="R2846" s="508">
        <v>3.7719999999999998</v>
      </c>
      <c r="S2846" s="508">
        <v>4.8639999999999999</v>
      </c>
      <c r="T2846" s="508">
        <v>4.2789999999999999</v>
      </c>
      <c r="U2846" s="508">
        <v>4.6849999999999996</v>
      </c>
      <c r="V2846" s="508">
        <v>3.5329999999999999</v>
      </c>
      <c r="W2846" s="508">
        <v>2.673</v>
      </c>
      <c r="X2846" s="508">
        <v>2.262</v>
      </c>
      <c r="Y2846" s="508">
        <v>2.3490000000000002</v>
      </c>
      <c r="Z2846" s="508">
        <v>2.468</v>
      </c>
      <c r="AA2846" s="508">
        <v>1.2969999999999999</v>
      </c>
      <c r="AB2846" s="508">
        <v>1.323</v>
      </c>
      <c r="AC2846" s="508">
        <v>1.0029999999999999</v>
      </c>
      <c r="AD2846" s="508">
        <v>0.48899999999999999</v>
      </c>
      <c r="AE2846" s="508">
        <v>0.628</v>
      </c>
      <c r="AF2846" s="508">
        <v>0.436</v>
      </c>
      <c r="AG2846" s="508">
        <v>0.433</v>
      </c>
      <c r="AH2846" s="508">
        <v>0.43099999999999999</v>
      </c>
      <c r="AI2846" s="492">
        <v>0.42899999999999999</v>
      </c>
      <c r="AJ2846" s="485"/>
    </row>
    <row r="2847" spans="2:36">
      <c r="B2847" s="136" t="s">
        <v>455</v>
      </c>
      <c r="C2847" s="132" t="s">
        <v>1364</v>
      </c>
      <c r="D2847" s="132" t="s">
        <v>283</v>
      </c>
      <c r="E2847" s="508">
        <v>6.0129999999999999</v>
      </c>
      <c r="F2847" s="508">
        <v>6.2469999999999999</v>
      </c>
      <c r="G2847" s="508">
        <v>6.0179999999999998</v>
      </c>
      <c r="H2847" s="508">
        <v>5.931</v>
      </c>
      <c r="I2847" s="508">
        <v>5.9669999999999996</v>
      </c>
      <c r="J2847" s="508">
        <v>7.0650000000000004</v>
      </c>
      <c r="K2847" s="508">
        <v>6.4429999999999996</v>
      </c>
      <c r="L2847" s="508">
        <v>6.1870000000000003</v>
      </c>
      <c r="M2847" s="508">
        <v>6.3940000000000001</v>
      </c>
      <c r="N2847" s="508">
        <v>6.2510000000000003</v>
      </c>
      <c r="O2847" s="508">
        <v>6.2949999999999999</v>
      </c>
      <c r="P2847" s="508">
        <v>5.18</v>
      </c>
      <c r="Q2847" s="508">
        <v>5.5</v>
      </c>
      <c r="R2847" s="508">
        <v>3.7320000000000002</v>
      </c>
      <c r="S2847" s="508">
        <v>4.774</v>
      </c>
      <c r="T2847" s="508">
        <v>4.2140000000000004</v>
      </c>
      <c r="U2847" s="508">
        <v>4.5960000000000001</v>
      </c>
      <c r="V2847" s="508">
        <v>3.4809999999999999</v>
      </c>
      <c r="W2847" s="508">
        <v>2.65</v>
      </c>
      <c r="X2847" s="508">
        <v>2.2360000000000002</v>
      </c>
      <c r="Y2847" s="508">
        <v>2.319</v>
      </c>
      <c r="Z2847" s="508">
        <v>2.4340000000000002</v>
      </c>
      <c r="AA2847" s="508">
        <v>1.274</v>
      </c>
      <c r="AB2847" s="508">
        <v>1.2969999999999999</v>
      </c>
      <c r="AC2847" s="508">
        <v>0.98599999999999999</v>
      </c>
      <c r="AD2847" s="508">
        <v>0.48399999999999999</v>
      </c>
      <c r="AE2847" s="508">
        <v>0.61899999999999999</v>
      </c>
      <c r="AF2847" s="508">
        <v>0.43</v>
      </c>
      <c r="AG2847" s="508">
        <v>0.42699999999999999</v>
      </c>
      <c r="AH2847" s="508">
        <v>0.42499999999999999</v>
      </c>
      <c r="AI2847" s="492">
        <v>0.42299999999999999</v>
      </c>
      <c r="AJ2847" s="485"/>
    </row>
    <row r="2848" spans="2:36">
      <c r="B2848" s="136" t="s">
        <v>456</v>
      </c>
      <c r="C2848" s="132" t="s">
        <v>1364</v>
      </c>
      <c r="D2848" s="132" t="s">
        <v>283</v>
      </c>
      <c r="E2848" s="508">
        <v>5.9809999999999999</v>
      </c>
      <c r="F2848" s="508">
        <v>6.2629999999999999</v>
      </c>
      <c r="G2848" s="508">
        <v>5.9370000000000003</v>
      </c>
      <c r="H2848" s="508">
        <v>5.819</v>
      </c>
      <c r="I2848" s="508">
        <v>5.8929999999999998</v>
      </c>
      <c r="J2848" s="508">
        <v>7.2779999999999996</v>
      </c>
      <c r="K2848" s="508">
        <v>6.617</v>
      </c>
      <c r="L2848" s="508">
        <v>6.1189999999999998</v>
      </c>
      <c r="M2848" s="508">
        <v>6.5759999999999996</v>
      </c>
      <c r="N2848" s="508">
        <v>6.298</v>
      </c>
      <c r="O2848" s="508">
        <v>6.4340000000000002</v>
      </c>
      <c r="P2848" s="508">
        <v>5.3529999999999998</v>
      </c>
      <c r="Q2848" s="508">
        <v>5.7149999999999999</v>
      </c>
      <c r="R2848" s="508">
        <v>3.8069999999999999</v>
      </c>
      <c r="S2848" s="508">
        <v>4.9809999999999999</v>
      </c>
      <c r="T2848" s="508">
        <v>4.3550000000000004</v>
      </c>
      <c r="U2848" s="508">
        <v>4.8040000000000003</v>
      </c>
      <c r="V2848" s="508">
        <v>3.5960000000000001</v>
      </c>
      <c r="W2848" s="508">
        <v>2.6549999999999998</v>
      </c>
      <c r="X2848" s="508">
        <v>2.2519999999999998</v>
      </c>
      <c r="Y2848" s="508">
        <v>2.3410000000000002</v>
      </c>
      <c r="Z2848" s="508">
        <v>2.4620000000000002</v>
      </c>
      <c r="AA2848" s="508">
        <v>1.3069999999999999</v>
      </c>
      <c r="AB2848" s="508">
        <v>1.335</v>
      </c>
      <c r="AC2848" s="508">
        <v>1.0109999999999999</v>
      </c>
      <c r="AD2848" s="508">
        <v>0.49099999999999999</v>
      </c>
      <c r="AE2848" s="508">
        <v>0.63300000000000001</v>
      </c>
      <c r="AF2848" s="508">
        <v>0.44</v>
      </c>
      <c r="AG2848" s="508">
        <v>0.437</v>
      </c>
      <c r="AH2848" s="508">
        <v>0.434</v>
      </c>
      <c r="AI2848" s="492">
        <v>0.432</v>
      </c>
      <c r="AJ2848" s="485"/>
    </row>
    <row r="2849" spans="2:36">
      <c r="B2849" s="136" t="s">
        <v>457</v>
      </c>
      <c r="C2849" s="132" t="s">
        <v>1364</v>
      </c>
      <c r="D2849" s="132" t="s">
        <v>283</v>
      </c>
      <c r="E2849" s="508">
        <v>6.1440000000000001</v>
      </c>
      <c r="F2849" s="508">
        <v>6.3289999999999997</v>
      </c>
      <c r="G2849" s="508">
        <v>6.1280000000000001</v>
      </c>
      <c r="H2849" s="508">
        <v>6.0510000000000002</v>
      </c>
      <c r="I2849" s="508">
        <v>6.0819999999999999</v>
      </c>
      <c r="J2849" s="508">
        <v>7.1390000000000002</v>
      </c>
      <c r="K2849" s="508">
        <v>6.5140000000000002</v>
      </c>
      <c r="L2849" s="508">
        <v>6.3109999999999999</v>
      </c>
      <c r="M2849" s="508">
        <v>6.47</v>
      </c>
      <c r="N2849" s="508">
        <v>6.3449999999999998</v>
      </c>
      <c r="O2849" s="508">
        <v>6.3780000000000001</v>
      </c>
      <c r="P2849" s="508">
        <v>5.2329999999999997</v>
      </c>
      <c r="Q2849" s="508">
        <v>5.5570000000000004</v>
      </c>
      <c r="R2849" s="508">
        <v>3.7759999999999998</v>
      </c>
      <c r="S2849" s="508">
        <v>4.8220000000000001</v>
      </c>
      <c r="T2849" s="508">
        <v>4.26</v>
      </c>
      <c r="U2849" s="508">
        <v>4.6429999999999998</v>
      </c>
      <c r="V2849" s="508">
        <v>3.5209999999999999</v>
      </c>
      <c r="W2849" s="508">
        <v>2.7029999999999998</v>
      </c>
      <c r="X2849" s="508">
        <v>2.2810000000000001</v>
      </c>
      <c r="Y2849" s="508">
        <v>2.3660000000000001</v>
      </c>
      <c r="Z2849" s="508">
        <v>2.484</v>
      </c>
      <c r="AA2849" s="508">
        <v>1.288</v>
      </c>
      <c r="AB2849" s="508">
        <v>1.3120000000000001</v>
      </c>
      <c r="AC2849" s="508">
        <v>0.998</v>
      </c>
      <c r="AD2849" s="508">
        <v>0.48799999999999999</v>
      </c>
      <c r="AE2849" s="508">
        <v>0.624</v>
      </c>
      <c r="AF2849" s="508">
        <v>0.433</v>
      </c>
      <c r="AG2849" s="508">
        <v>0.43</v>
      </c>
      <c r="AH2849" s="508">
        <v>0.42799999999999999</v>
      </c>
      <c r="AI2849" s="492">
        <v>0.42599999999999999</v>
      </c>
      <c r="AJ2849" s="485"/>
    </row>
    <row r="2850" spans="2:36">
      <c r="B2850" s="136" t="s">
        <v>458</v>
      </c>
      <c r="C2850" s="132" t="s">
        <v>1364</v>
      </c>
      <c r="D2850" s="132" t="s">
        <v>283</v>
      </c>
      <c r="E2850" s="508">
        <v>6.2009999999999996</v>
      </c>
      <c r="F2850" s="508">
        <v>6.4710000000000001</v>
      </c>
      <c r="G2850" s="508">
        <v>6.14</v>
      </c>
      <c r="H2850" s="508">
        <v>6.0140000000000002</v>
      </c>
      <c r="I2850" s="508">
        <v>6.0650000000000004</v>
      </c>
      <c r="J2850" s="508">
        <v>7.3879999999999999</v>
      </c>
      <c r="K2850" s="508">
        <v>6.7220000000000004</v>
      </c>
      <c r="L2850" s="508">
        <v>6.2889999999999997</v>
      </c>
      <c r="M2850" s="508">
        <v>6.657</v>
      </c>
      <c r="N2850" s="508">
        <v>6.4130000000000003</v>
      </c>
      <c r="O2850" s="508">
        <v>6.5119999999999996</v>
      </c>
      <c r="P2850" s="508">
        <v>5.3920000000000003</v>
      </c>
      <c r="Q2850" s="508">
        <v>5.74</v>
      </c>
      <c r="R2850" s="508">
        <v>3.847</v>
      </c>
      <c r="S2850" s="508">
        <v>4.9880000000000004</v>
      </c>
      <c r="T2850" s="508">
        <v>4.3769999999999998</v>
      </c>
      <c r="U2850" s="508">
        <v>4.8079999999999998</v>
      </c>
      <c r="V2850" s="508">
        <v>3.6160000000000001</v>
      </c>
      <c r="W2850" s="508">
        <v>2.7120000000000002</v>
      </c>
      <c r="X2850" s="508">
        <v>2.2970000000000002</v>
      </c>
      <c r="Y2850" s="508">
        <v>2.387</v>
      </c>
      <c r="Z2850" s="508">
        <v>2.508</v>
      </c>
      <c r="AA2850" s="508">
        <v>1.327</v>
      </c>
      <c r="AB2850" s="508">
        <v>1.3540000000000001</v>
      </c>
      <c r="AC2850" s="508">
        <v>1.026</v>
      </c>
      <c r="AD2850" s="508">
        <v>0.5</v>
      </c>
      <c r="AE2850" s="508">
        <v>0.64300000000000002</v>
      </c>
      <c r="AF2850" s="508">
        <v>0.44600000000000001</v>
      </c>
      <c r="AG2850" s="508">
        <v>0.443</v>
      </c>
      <c r="AH2850" s="508">
        <v>0.441</v>
      </c>
      <c r="AI2850" s="492">
        <v>0.439</v>
      </c>
      <c r="AJ2850" s="485"/>
    </row>
    <row r="2851" spans="2:36">
      <c r="B2851" s="136" t="s">
        <v>459</v>
      </c>
      <c r="C2851" s="132" t="s">
        <v>1364</v>
      </c>
      <c r="D2851" s="132" t="s">
        <v>283</v>
      </c>
      <c r="E2851" s="508">
        <v>6.3159999999999998</v>
      </c>
      <c r="F2851" s="508">
        <v>6.58</v>
      </c>
      <c r="G2851" s="508">
        <v>6.2329999999999997</v>
      </c>
      <c r="H2851" s="508">
        <v>6.101</v>
      </c>
      <c r="I2851" s="508">
        <v>6.1550000000000002</v>
      </c>
      <c r="J2851" s="508">
        <v>7.5209999999999999</v>
      </c>
      <c r="K2851" s="508">
        <v>6.84</v>
      </c>
      <c r="L2851" s="508">
        <v>6.3819999999999997</v>
      </c>
      <c r="M2851" s="508">
        <v>6.7729999999999997</v>
      </c>
      <c r="N2851" s="508">
        <v>6.5140000000000002</v>
      </c>
      <c r="O2851" s="508">
        <v>6.6210000000000004</v>
      </c>
      <c r="P2851" s="508">
        <v>5.484</v>
      </c>
      <c r="Q2851" s="508">
        <v>5.84</v>
      </c>
      <c r="R2851" s="508">
        <v>3.9060000000000001</v>
      </c>
      <c r="S2851" s="508">
        <v>5.0759999999999996</v>
      </c>
      <c r="T2851" s="508">
        <v>4.4509999999999996</v>
      </c>
      <c r="U2851" s="508">
        <v>4.8949999999999996</v>
      </c>
      <c r="V2851" s="508">
        <v>3.6789999999999998</v>
      </c>
      <c r="W2851" s="508">
        <v>2.758</v>
      </c>
      <c r="X2851" s="508">
        <v>2.3370000000000002</v>
      </c>
      <c r="Y2851" s="508">
        <v>2.4289999999999998</v>
      </c>
      <c r="Z2851" s="508">
        <v>2.5529999999999999</v>
      </c>
      <c r="AA2851" s="508">
        <v>1.349</v>
      </c>
      <c r="AB2851" s="508">
        <v>1.377</v>
      </c>
      <c r="AC2851" s="508">
        <v>1.044</v>
      </c>
      <c r="AD2851" s="508">
        <v>0.50800000000000001</v>
      </c>
      <c r="AE2851" s="508">
        <v>0.65300000000000002</v>
      </c>
      <c r="AF2851" s="508">
        <v>0.45200000000000001</v>
      </c>
      <c r="AG2851" s="508">
        <v>0.45</v>
      </c>
      <c r="AH2851" s="508">
        <v>0.44700000000000001</v>
      </c>
      <c r="AI2851" s="492">
        <v>0.44500000000000001</v>
      </c>
      <c r="AJ2851" s="485"/>
    </row>
    <row r="2852" spans="2:36">
      <c r="B2852" s="136" t="s">
        <v>460</v>
      </c>
      <c r="C2852" s="132" t="s">
        <v>1364</v>
      </c>
      <c r="D2852" s="132" t="s">
        <v>283</v>
      </c>
      <c r="E2852" s="508">
        <v>6.335</v>
      </c>
      <c r="F2852" s="508">
        <v>6.6029999999999998</v>
      </c>
      <c r="G2852" s="508">
        <v>6.2210000000000001</v>
      </c>
      <c r="H2852" s="508">
        <v>6.0750000000000002</v>
      </c>
      <c r="I2852" s="508">
        <v>6.1340000000000003</v>
      </c>
      <c r="J2852" s="508">
        <v>7.5720000000000001</v>
      </c>
      <c r="K2852" s="508">
        <v>6.88</v>
      </c>
      <c r="L2852" s="508">
        <v>6.3570000000000002</v>
      </c>
      <c r="M2852" s="508">
        <v>6.8079999999999998</v>
      </c>
      <c r="N2852" s="508">
        <v>6.5179999999999998</v>
      </c>
      <c r="O2852" s="508">
        <v>6.6429999999999998</v>
      </c>
      <c r="P2852" s="508">
        <v>5.5119999999999996</v>
      </c>
      <c r="Q2852" s="508">
        <v>5.875</v>
      </c>
      <c r="R2852" s="508">
        <v>3.911</v>
      </c>
      <c r="S2852" s="508">
        <v>5.109</v>
      </c>
      <c r="T2852" s="508">
        <v>4.47</v>
      </c>
      <c r="U2852" s="508">
        <v>4.9279999999999999</v>
      </c>
      <c r="V2852" s="508">
        <v>3.694</v>
      </c>
      <c r="W2852" s="508">
        <v>2.758</v>
      </c>
      <c r="X2852" s="508">
        <v>2.3410000000000002</v>
      </c>
      <c r="Y2852" s="508">
        <v>2.4350000000000001</v>
      </c>
      <c r="Z2852" s="508">
        <v>2.5619999999999998</v>
      </c>
      <c r="AA2852" s="508">
        <v>1.3580000000000001</v>
      </c>
      <c r="AB2852" s="508">
        <v>1.387</v>
      </c>
      <c r="AC2852" s="508">
        <v>1.05</v>
      </c>
      <c r="AD2852" s="508">
        <v>0.50900000000000001</v>
      </c>
      <c r="AE2852" s="508">
        <v>0.65600000000000003</v>
      </c>
      <c r="AF2852" s="508">
        <v>0.45400000000000001</v>
      </c>
      <c r="AG2852" s="508">
        <v>0.45100000000000001</v>
      </c>
      <c r="AH2852" s="508">
        <v>0.44900000000000001</v>
      </c>
      <c r="AI2852" s="492">
        <v>0.44700000000000001</v>
      </c>
      <c r="AJ2852" s="485"/>
    </row>
    <row r="2853" spans="2:36">
      <c r="B2853" s="136" t="s">
        <v>461</v>
      </c>
      <c r="C2853" s="132" t="s">
        <v>1364</v>
      </c>
      <c r="D2853" s="132" t="s">
        <v>283</v>
      </c>
      <c r="E2853" s="508">
        <v>6.3040000000000003</v>
      </c>
      <c r="F2853" s="508">
        <v>6.54</v>
      </c>
      <c r="G2853" s="508">
        <v>6.2119999999999997</v>
      </c>
      <c r="H2853" s="508">
        <v>6.0869999999999997</v>
      </c>
      <c r="I2853" s="508">
        <v>6.1369999999999996</v>
      </c>
      <c r="J2853" s="508">
        <v>7.4630000000000001</v>
      </c>
      <c r="K2853" s="508">
        <v>6.79</v>
      </c>
      <c r="L2853" s="508">
        <v>6.3650000000000002</v>
      </c>
      <c r="M2853" s="508">
        <v>6.726</v>
      </c>
      <c r="N2853" s="508">
        <v>6.4809999999999999</v>
      </c>
      <c r="O2853" s="508">
        <v>6.58</v>
      </c>
      <c r="P2853" s="508">
        <v>5.4409999999999998</v>
      </c>
      <c r="Q2853" s="508">
        <v>5.7949999999999999</v>
      </c>
      <c r="R2853" s="508">
        <v>3.879</v>
      </c>
      <c r="S2853" s="508">
        <v>5.0359999999999996</v>
      </c>
      <c r="T2853" s="508">
        <v>4.4180000000000001</v>
      </c>
      <c r="U2853" s="508">
        <v>4.8550000000000004</v>
      </c>
      <c r="V2853" s="508">
        <v>3.6509999999999998</v>
      </c>
      <c r="W2853" s="508">
        <v>2.75</v>
      </c>
      <c r="X2853" s="508">
        <v>2.331</v>
      </c>
      <c r="Y2853" s="508">
        <v>2.423</v>
      </c>
      <c r="Z2853" s="508">
        <v>2.548</v>
      </c>
      <c r="AA2853" s="508">
        <v>1.341</v>
      </c>
      <c r="AB2853" s="508">
        <v>1.369</v>
      </c>
      <c r="AC2853" s="508">
        <v>1.0369999999999999</v>
      </c>
      <c r="AD2853" s="508">
        <v>0.503</v>
      </c>
      <c r="AE2853" s="508">
        <v>0.64700000000000002</v>
      </c>
      <c r="AF2853" s="508">
        <v>0.44800000000000001</v>
      </c>
      <c r="AG2853" s="508">
        <v>0.44600000000000001</v>
      </c>
      <c r="AH2853" s="508">
        <v>0.443</v>
      </c>
      <c r="AI2853" s="492">
        <v>0.441</v>
      </c>
      <c r="AJ2853" s="485"/>
    </row>
    <row r="2854" spans="2:36">
      <c r="B2854" s="136" t="s">
        <v>462</v>
      </c>
      <c r="C2854" s="132" t="s">
        <v>1364</v>
      </c>
      <c r="D2854" s="132" t="s">
        <v>283</v>
      </c>
      <c r="E2854" s="508">
        <v>5.8330000000000002</v>
      </c>
      <c r="F2854" s="508">
        <v>6.0720000000000001</v>
      </c>
      <c r="G2854" s="508">
        <v>5.8209999999999997</v>
      </c>
      <c r="H2854" s="508">
        <v>5.726</v>
      </c>
      <c r="I2854" s="508">
        <v>5.77</v>
      </c>
      <c r="J2854" s="508">
        <v>6.9130000000000003</v>
      </c>
      <c r="K2854" s="508">
        <v>6.2990000000000004</v>
      </c>
      <c r="L2854" s="508">
        <v>5.9870000000000001</v>
      </c>
      <c r="M2854" s="508">
        <v>6.2510000000000003</v>
      </c>
      <c r="N2854" s="508">
        <v>6.069</v>
      </c>
      <c r="O2854" s="508">
        <v>6.1369999999999996</v>
      </c>
      <c r="P2854" s="508">
        <v>5.0679999999999996</v>
      </c>
      <c r="Q2854" s="508">
        <v>5.3879999999999999</v>
      </c>
      <c r="R2854" s="508">
        <v>3.637</v>
      </c>
      <c r="S2854" s="508">
        <v>4.6820000000000004</v>
      </c>
      <c r="T2854" s="508">
        <v>4.12</v>
      </c>
      <c r="U2854" s="508">
        <v>4.5069999999999997</v>
      </c>
      <c r="V2854" s="508">
        <v>3.3969999999999998</v>
      </c>
      <c r="W2854" s="508">
        <v>2.5680000000000001</v>
      </c>
      <c r="X2854" s="508">
        <v>2.1739999999999999</v>
      </c>
      <c r="Y2854" s="508">
        <v>2.2570000000000001</v>
      </c>
      <c r="Z2854" s="508">
        <v>2.371</v>
      </c>
      <c r="AA2854" s="508">
        <v>1.2470000000000001</v>
      </c>
      <c r="AB2854" s="508">
        <v>1.2729999999999999</v>
      </c>
      <c r="AC2854" s="508">
        <v>0.96399999999999997</v>
      </c>
      <c r="AD2854" s="508">
        <v>0.47099999999999997</v>
      </c>
      <c r="AE2854" s="508">
        <v>0.60499999999999998</v>
      </c>
      <c r="AF2854" s="508">
        <v>0.42099999999999999</v>
      </c>
      <c r="AG2854" s="508">
        <v>0.41799999999999998</v>
      </c>
      <c r="AH2854" s="508">
        <v>0.41599999999999998</v>
      </c>
      <c r="AI2854" s="492">
        <v>0.41399999999999998</v>
      </c>
      <c r="AJ2854" s="485"/>
    </row>
    <row r="2855" spans="2:36">
      <c r="B2855" s="136" t="s">
        <v>463</v>
      </c>
      <c r="C2855" s="132" t="s">
        <v>1364</v>
      </c>
      <c r="D2855" s="132" t="s">
        <v>283</v>
      </c>
      <c r="E2855" s="508">
        <v>5.9729999999999999</v>
      </c>
      <c r="F2855" s="508">
        <v>6.194</v>
      </c>
      <c r="G2855" s="508">
        <v>6.0090000000000003</v>
      </c>
      <c r="H2855" s="508">
        <v>5.9379999999999997</v>
      </c>
      <c r="I2855" s="508">
        <v>5.9669999999999996</v>
      </c>
      <c r="J2855" s="508">
        <v>6.976</v>
      </c>
      <c r="K2855" s="508">
        <v>6.3689999999999998</v>
      </c>
      <c r="L2855" s="508">
        <v>6.1929999999999996</v>
      </c>
      <c r="M2855" s="508">
        <v>6.327</v>
      </c>
      <c r="N2855" s="508">
        <v>6.2190000000000003</v>
      </c>
      <c r="O2855" s="508">
        <v>6.2409999999999997</v>
      </c>
      <c r="P2855" s="508">
        <v>5.1239999999999997</v>
      </c>
      <c r="Q2855" s="508">
        <v>5.4349999999999996</v>
      </c>
      <c r="R2855" s="508">
        <v>3.7090000000000001</v>
      </c>
      <c r="S2855" s="508">
        <v>4.7149999999999999</v>
      </c>
      <c r="T2855" s="508">
        <v>4.1719999999999997</v>
      </c>
      <c r="U2855" s="508">
        <v>4.5369999999999999</v>
      </c>
      <c r="V2855" s="508">
        <v>3.4470000000000001</v>
      </c>
      <c r="W2855" s="508">
        <v>2.64</v>
      </c>
      <c r="X2855" s="508">
        <v>2.2240000000000002</v>
      </c>
      <c r="Y2855" s="508">
        <v>2.3039999999999998</v>
      </c>
      <c r="Z2855" s="508">
        <v>2.4159999999999999</v>
      </c>
      <c r="AA2855" s="508">
        <v>1.2589999999999999</v>
      </c>
      <c r="AB2855" s="508">
        <v>1.2809999999999999</v>
      </c>
      <c r="AC2855" s="508">
        <v>0.97499999999999998</v>
      </c>
      <c r="AD2855" s="508">
        <v>0.48</v>
      </c>
      <c r="AE2855" s="508">
        <v>0.61299999999999999</v>
      </c>
      <c r="AF2855" s="508">
        <v>0.42599999999999999</v>
      </c>
      <c r="AG2855" s="508">
        <v>0.42299999999999999</v>
      </c>
      <c r="AH2855" s="508">
        <v>0.42099999999999999</v>
      </c>
      <c r="AI2855" s="492">
        <v>0.41899999999999998</v>
      </c>
      <c r="AJ2855" s="485"/>
    </row>
    <row r="2856" spans="2:36">
      <c r="B2856" s="136" t="s">
        <v>464</v>
      </c>
      <c r="C2856" s="132" t="s">
        <v>1364</v>
      </c>
      <c r="D2856" s="132" t="s">
        <v>283</v>
      </c>
      <c r="E2856" s="508">
        <v>6.1909999999999998</v>
      </c>
      <c r="F2856" s="508">
        <v>6.3819999999999997</v>
      </c>
      <c r="G2856" s="508">
        <v>6.1689999999999996</v>
      </c>
      <c r="H2856" s="508">
        <v>6.0880000000000001</v>
      </c>
      <c r="I2856" s="508">
        <v>6.1210000000000004</v>
      </c>
      <c r="J2856" s="508">
        <v>7.2050000000000001</v>
      </c>
      <c r="K2856" s="508">
        <v>6.5730000000000004</v>
      </c>
      <c r="L2856" s="508">
        <v>6.3490000000000002</v>
      </c>
      <c r="M2856" s="508">
        <v>6.5270000000000001</v>
      </c>
      <c r="N2856" s="508">
        <v>6.3949999999999996</v>
      </c>
      <c r="O2856" s="508">
        <v>6.4320000000000004</v>
      </c>
      <c r="P2856" s="508">
        <v>5.28</v>
      </c>
      <c r="Q2856" s="508">
        <v>5.6079999999999997</v>
      </c>
      <c r="R2856" s="508">
        <v>3.806</v>
      </c>
      <c r="S2856" s="508">
        <v>4.8659999999999997</v>
      </c>
      <c r="T2856" s="508">
        <v>4.2969999999999997</v>
      </c>
      <c r="U2856" s="508">
        <v>4.6859999999999999</v>
      </c>
      <c r="V2856" s="508">
        <v>3.5529999999999999</v>
      </c>
      <c r="W2856" s="508">
        <v>2.7240000000000002</v>
      </c>
      <c r="X2856" s="508">
        <v>2.2989999999999999</v>
      </c>
      <c r="Y2856" s="508">
        <v>2.3839999999999999</v>
      </c>
      <c r="Z2856" s="508">
        <v>2.5030000000000001</v>
      </c>
      <c r="AA2856" s="508">
        <v>1.2989999999999999</v>
      </c>
      <c r="AB2856" s="508">
        <v>1.323</v>
      </c>
      <c r="AC2856" s="508">
        <v>1.006</v>
      </c>
      <c r="AD2856" s="508">
        <v>0.49199999999999999</v>
      </c>
      <c r="AE2856" s="508">
        <v>0.629</v>
      </c>
      <c r="AF2856" s="508">
        <v>0.436</v>
      </c>
      <c r="AG2856" s="508">
        <v>0.433</v>
      </c>
      <c r="AH2856" s="508">
        <v>0.43099999999999999</v>
      </c>
      <c r="AI2856" s="492">
        <v>0.42899999999999999</v>
      </c>
      <c r="AJ2856" s="485"/>
    </row>
    <row r="2857" spans="2:36">
      <c r="B2857" s="136" t="s">
        <v>465</v>
      </c>
      <c r="C2857" s="132" t="s">
        <v>1364</v>
      </c>
      <c r="D2857" s="132" t="s">
        <v>283</v>
      </c>
      <c r="E2857" s="508">
        <v>6.1609999999999996</v>
      </c>
      <c r="F2857" s="508">
        <v>6.3879999999999999</v>
      </c>
      <c r="G2857" s="508">
        <v>6.133</v>
      </c>
      <c r="H2857" s="508">
        <v>6.0359999999999996</v>
      </c>
      <c r="I2857" s="508">
        <v>6.0750000000000002</v>
      </c>
      <c r="J2857" s="508">
        <v>7.2409999999999997</v>
      </c>
      <c r="K2857" s="508">
        <v>6.5990000000000002</v>
      </c>
      <c r="L2857" s="508">
        <v>6.2990000000000004</v>
      </c>
      <c r="M2857" s="508">
        <v>6.5460000000000003</v>
      </c>
      <c r="N2857" s="508">
        <v>6.3780000000000001</v>
      </c>
      <c r="O2857" s="508">
        <v>6.4359999999999999</v>
      </c>
      <c r="P2857" s="508">
        <v>5.3</v>
      </c>
      <c r="Q2857" s="508">
        <v>5.633</v>
      </c>
      <c r="R2857" s="508">
        <v>3.8079999999999998</v>
      </c>
      <c r="S2857" s="508">
        <v>4.891</v>
      </c>
      <c r="T2857" s="508">
        <v>4.3099999999999996</v>
      </c>
      <c r="U2857" s="508">
        <v>4.7110000000000003</v>
      </c>
      <c r="V2857" s="508">
        <v>3.5619999999999998</v>
      </c>
      <c r="W2857" s="508">
        <v>2.7069999999999999</v>
      </c>
      <c r="X2857" s="508">
        <v>2.2869999999999999</v>
      </c>
      <c r="Y2857" s="508">
        <v>2.3730000000000002</v>
      </c>
      <c r="Z2857" s="508">
        <v>2.492</v>
      </c>
      <c r="AA2857" s="508">
        <v>1.304</v>
      </c>
      <c r="AB2857" s="508">
        <v>1.329</v>
      </c>
      <c r="AC2857" s="508">
        <v>1.01</v>
      </c>
      <c r="AD2857" s="508">
        <v>0.49399999999999999</v>
      </c>
      <c r="AE2857" s="508">
        <v>0.63200000000000001</v>
      </c>
      <c r="AF2857" s="508">
        <v>0.438</v>
      </c>
      <c r="AG2857" s="508">
        <v>0.436</v>
      </c>
      <c r="AH2857" s="508">
        <v>0.433</v>
      </c>
      <c r="AI2857" s="492">
        <v>0.43099999999999999</v>
      </c>
      <c r="AJ2857" s="485"/>
    </row>
    <row r="2858" spans="2:36">
      <c r="B2858" s="136" t="s">
        <v>466</v>
      </c>
      <c r="C2858" s="132" t="s">
        <v>1364</v>
      </c>
      <c r="D2858" s="132" t="s">
        <v>283</v>
      </c>
      <c r="E2858" s="508">
        <v>6.57</v>
      </c>
      <c r="F2858" s="508">
        <v>6.8719999999999999</v>
      </c>
      <c r="G2858" s="508">
        <v>6.3659999999999997</v>
      </c>
      <c r="H2858" s="508">
        <v>6.173</v>
      </c>
      <c r="I2858" s="508">
        <v>6.2519999999999998</v>
      </c>
      <c r="J2858" s="508">
        <v>7.9589999999999996</v>
      </c>
      <c r="K2858" s="508">
        <v>7.2130000000000001</v>
      </c>
      <c r="L2858" s="508">
        <v>6.4729999999999999</v>
      </c>
      <c r="M2858" s="508">
        <v>7.1219999999999999</v>
      </c>
      <c r="N2858" s="508">
        <v>6.7190000000000003</v>
      </c>
      <c r="O2858" s="508">
        <v>6.9080000000000004</v>
      </c>
      <c r="P2858" s="508">
        <v>5.766</v>
      </c>
      <c r="Q2858" s="508">
        <v>6.1619999999999999</v>
      </c>
      <c r="R2858" s="508">
        <v>4.0469999999999997</v>
      </c>
      <c r="S2858" s="508">
        <v>5.3650000000000002</v>
      </c>
      <c r="T2858" s="508">
        <v>4.6669999999999998</v>
      </c>
      <c r="U2858" s="508">
        <v>5.1820000000000004</v>
      </c>
      <c r="V2858" s="508">
        <v>3.8559999999999999</v>
      </c>
      <c r="W2858" s="508">
        <v>2.8359999999999999</v>
      </c>
      <c r="X2858" s="508">
        <v>2.4180000000000001</v>
      </c>
      <c r="Y2858" s="508">
        <v>2.5209999999999999</v>
      </c>
      <c r="Z2858" s="508">
        <v>2.6560000000000001</v>
      </c>
      <c r="AA2858" s="508">
        <v>1.4219999999999999</v>
      </c>
      <c r="AB2858" s="508">
        <v>1.456</v>
      </c>
      <c r="AC2858" s="508">
        <v>1.0980000000000001</v>
      </c>
      <c r="AD2858" s="508">
        <v>0.52800000000000002</v>
      </c>
      <c r="AE2858" s="508">
        <v>0.68400000000000005</v>
      </c>
      <c r="AF2858" s="508">
        <v>0.47299999999999998</v>
      </c>
      <c r="AG2858" s="508">
        <v>0.47</v>
      </c>
      <c r="AH2858" s="508">
        <v>0.46700000000000003</v>
      </c>
      <c r="AI2858" s="492">
        <v>0.46500000000000002</v>
      </c>
      <c r="AJ2858" s="485"/>
    </row>
    <row r="2859" spans="2:36">
      <c r="B2859" s="136" t="s">
        <v>467</v>
      </c>
      <c r="C2859" s="132" t="s">
        <v>1364</v>
      </c>
      <c r="D2859" s="132" t="s">
        <v>283</v>
      </c>
      <c r="E2859" s="508">
        <v>6.27</v>
      </c>
      <c r="F2859" s="508">
        <v>6.5</v>
      </c>
      <c r="G2859" s="508">
        <v>6.1870000000000003</v>
      </c>
      <c r="H2859" s="508">
        <v>6.0679999999999996</v>
      </c>
      <c r="I2859" s="508">
        <v>6.1159999999999997</v>
      </c>
      <c r="J2859" s="508">
        <v>7.4080000000000004</v>
      </c>
      <c r="K2859" s="508">
        <v>6.742</v>
      </c>
      <c r="L2859" s="508">
        <v>6.343</v>
      </c>
      <c r="M2859" s="508">
        <v>6.681</v>
      </c>
      <c r="N2859" s="508">
        <v>6.4489999999999998</v>
      </c>
      <c r="O2859" s="508">
        <v>6.5410000000000004</v>
      </c>
      <c r="P2859" s="508">
        <v>5.4050000000000002</v>
      </c>
      <c r="Q2859" s="508">
        <v>5.7539999999999996</v>
      </c>
      <c r="R2859" s="508">
        <v>3.8580000000000001</v>
      </c>
      <c r="S2859" s="508">
        <v>4.9989999999999997</v>
      </c>
      <c r="T2859" s="508">
        <v>4.3890000000000002</v>
      </c>
      <c r="U2859" s="508">
        <v>4.819</v>
      </c>
      <c r="V2859" s="508">
        <v>3.6269999999999998</v>
      </c>
      <c r="W2859" s="508">
        <v>2.738</v>
      </c>
      <c r="X2859" s="508">
        <v>2.3199999999999998</v>
      </c>
      <c r="Y2859" s="508">
        <v>2.411</v>
      </c>
      <c r="Z2859" s="508">
        <v>2.5350000000000001</v>
      </c>
      <c r="AA2859" s="508">
        <v>1.3320000000000001</v>
      </c>
      <c r="AB2859" s="508">
        <v>1.359</v>
      </c>
      <c r="AC2859" s="508">
        <v>1.03</v>
      </c>
      <c r="AD2859" s="508">
        <v>0.5</v>
      </c>
      <c r="AE2859" s="508">
        <v>0.64300000000000002</v>
      </c>
      <c r="AF2859" s="508">
        <v>0.44600000000000001</v>
      </c>
      <c r="AG2859" s="508">
        <v>0.443</v>
      </c>
      <c r="AH2859" s="508">
        <v>0.441</v>
      </c>
      <c r="AI2859" s="492">
        <v>0.439</v>
      </c>
      <c r="AJ2859" s="485"/>
    </row>
    <row r="2860" spans="2:36">
      <c r="B2860" s="136" t="s">
        <v>468</v>
      </c>
      <c r="C2860" s="132" t="s">
        <v>1364</v>
      </c>
      <c r="D2860" s="132" t="s">
        <v>283</v>
      </c>
      <c r="E2860" s="508">
        <v>6.056</v>
      </c>
      <c r="F2860" s="508">
        <v>6.2640000000000002</v>
      </c>
      <c r="G2860" s="508">
        <v>6.0679999999999996</v>
      </c>
      <c r="H2860" s="508">
        <v>5.9939999999999998</v>
      </c>
      <c r="I2860" s="508">
        <v>6.024</v>
      </c>
      <c r="J2860" s="508">
        <v>7.0609999999999999</v>
      </c>
      <c r="K2860" s="508">
        <v>6.444</v>
      </c>
      <c r="L2860" s="508">
        <v>6.2469999999999999</v>
      </c>
      <c r="M2860" s="508">
        <v>6.4009999999999998</v>
      </c>
      <c r="N2860" s="508">
        <v>6.2919999999999998</v>
      </c>
      <c r="O2860" s="508">
        <v>6.3179999999999996</v>
      </c>
      <c r="P2860" s="508">
        <v>5.1829999999999998</v>
      </c>
      <c r="Q2860" s="508">
        <v>5.5010000000000003</v>
      </c>
      <c r="R2860" s="508">
        <v>3.7469999999999999</v>
      </c>
      <c r="S2860" s="508">
        <v>4.7720000000000002</v>
      </c>
      <c r="T2860" s="508">
        <v>4.22</v>
      </c>
      <c r="U2860" s="508">
        <v>4.5949999999999998</v>
      </c>
      <c r="V2860" s="508">
        <v>3.492</v>
      </c>
      <c r="W2860" s="508">
        <v>2.6760000000000002</v>
      </c>
      <c r="X2860" s="508">
        <v>2.2530000000000001</v>
      </c>
      <c r="Y2860" s="508">
        <v>2.335</v>
      </c>
      <c r="Z2860" s="508">
        <v>2.4489999999999998</v>
      </c>
      <c r="AA2860" s="508">
        <v>1.2729999999999999</v>
      </c>
      <c r="AB2860" s="508">
        <v>1.2949999999999999</v>
      </c>
      <c r="AC2860" s="508">
        <v>0.98699999999999999</v>
      </c>
      <c r="AD2860" s="508">
        <v>0.48499999999999999</v>
      </c>
      <c r="AE2860" s="508">
        <v>0.61799999999999999</v>
      </c>
      <c r="AF2860" s="508">
        <v>0.42899999999999999</v>
      </c>
      <c r="AG2860" s="508">
        <v>0.42599999999999999</v>
      </c>
      <c r="AH2860" s="508">
        <v>0.42399999999999999</v>
      </c>
      <c r="AI2860" s="492">
        <v>0.42199999999999999</v>
      </c>
      <c r="AJ2860" s="485"/>
    </row>
    <row r="2861" spans="2:36">
      <c r="B2861" s="136" t="s">
        <v>469</v>
      </c>
      <c r="C2861" s="132" t="s">
        <v>1364</v>
      </c>
      <c r="D2861" s="132" t="s">
        <v>283</v>
      </c>
      <c r="E2861" s="508">
        <v>6.2679999999999998</v>
      </c>
      <c r="F2861" s="508">
        <v>6.4939999999999998</v>
      </c>
      <c r="G2861" s="508">
        <v>6.2009999999999996</v>
      </c>
      <c r="H2861" s="508">
        <v>6.09</v>
      </c>
      <c r="I2861" s="508">
        <v>6.1349999999999998</v>
      </c>
      <c r="J2861" s="508">
        <v>7.3879999999999999</v>
      </c>
      <c r="K2861" s="508">
        <v>6.726</v>
      </c>
      <c r="L2861" s="508">
        <v>6.36</v>
      </c>
      <c r="M2861" s="508">
        <v>6.6680000000000001</v>
      </c>
      <c r="N2861" s="508">
        <v>6.4619999999999997</v>
      </c>
      <c r="O2861" s="508">
        <v>6.54</v>
      </c>
      <c r="P2861" s="508">
        <v>5.3959999999999999</v>
      </c>
      <c r="Q2861" s="508">
        <v>5.7409999999999997</v>
      </c>
      <c r="R2861" s="508">
        <v>3.8610000000000002</v>
      </c>
      <c r="S2861" s="508">
        <v>4.9870000000000001</v>
      </c>
      <c r="T2861" s="508">
        <v>4.3849999999999998</v>
      </c>
      <c r="U2861" s="508">
        <v>4.8070000000000004</v>
      </c>
      <c r="V2861" s="508">
        <v>3.6240000000000001</v>
      </c>
      <c r="W2861" s="508">
        <v>2.7440000000000002</v>
      </c>
      <c r="X2861" s="508">
        <v>2.3220000000000001</v>
      </c>
      <c r="Y2861" s="508">
        <v>2.4119999999999999</v>
      </c>
      <c r="Z2861" s="508">
        <v>2.5339999999999998</v>
      </c>
      <c r="AA2861" s="508">
        <v>1.3280000000000001</v>
      </c>
      <c r="AB2861" s="508">
        <v>1.355</v>
      </c>
      <c r="AC2861" s="508">
        <v>1.028</v>
      </c>
      <c r="AD2861" s="508">
        <v>0.501</v>
      </c>
      <c r="AE2861" s="508">
        <v>0.64200000000000002</v>
      </c>
      <c r="AF2861" s="508">
        <v>0.44500000000000001</v>
      </c>
      <c r="AG2861" s="508">
        <v>0.442</v>
      </c>
      <c r="AH2861" s="508">
        <v>0.44</v>
      </c>
      <c r="AI2861" s="492">
        <v>0.438</v>
      </c>
      <c r="AJ2861" s="485"/>
    </row>
    <row r="2862" spans="2:36">
      <c r="B2862" s="136" t="s">
        <v>470</v>
      </c>
      <c r="C2862" s="132" t="s">
        <v>1364</v>
      </c>
      <c r="D2862" s="132" t="s">
        <v>283</v>
      </c>
      <c r="E2862" s="508">
        <v>6.3529999999999998</v>
      </c>
      <c r="F2862" s="508">
        <v>6.63</v>
      </c>
      <c r="G2862" s="508">
        <v>6.2279999999999998</v>
      </c>
      <c r="H2862" s="508">
        <v>6.0739999999999998</v>
      </c>
      <c r="I2862" s="508">
        <v>6.1369999999999996</v>
      </c>
      <c r="J2862" s="508">
        <v>7.617</v>
      </c>
      <c r="K2862" s="508">
        <v>6.9180000000000001</v>
      </c>
      <c r="L2862" s="508">
        <v>6.3609999999999998</v>
      </c>
      <c r="M2862" s="508">
        <v>6.843</v>
      </c>
      <c r="N2862" s="508">
        <v>6.5309999999999997</v>
      </c>
      <c r="O2862" s="508">
        <v>6.6680000000000001</v>
      </c>
      <c r="P2862" s="508">
        <v>5.54</v>
      </c>
      <c r="Q2862" s="508">
        <v>5.9080000000000004</v>
      </c>
      <c r="R2862" s="508">
        <v>3.9239999999999999</v>
      </c>
      <c r="S2862" s="508">
        <v>5.1379999999999999</v>
      </c>
      <c r="T2862" s="508">
        <v>4.4909999999999997</v>
      </c>
      <c r="U2862" s="508">
        <v>4.9569999999999999</v>
      </c>
      <c r="V2862" s="508">
        <v>3.71</v>
      </c>
      <c r="W2862" s="508">
        <v>2.7610000000000001</v>
      </c>
      <c r="X2862" s="508">
        <v>2.3460000000000001</v>
      </c>
      <c r="Y2862" s="508">
        <v>2.4409999999999998</v>
      </c>
      <c r="Z2862" s="508">
        <v>2.569</v>
      </c>
      <c r="AA2862" s="508">
        <v>1.365</v>
      </c>
      <c r="AB2862" s="508">
        <v>1.395</v>
      </c>
      <c r="AC2862" s="508">
        <v>1.0549999999999999</v>
      </c>
      <c r="AD2862" s="508">
        <v>0.51100000000000001</v>
      </c>
      <c r="AE2862" s="508">
        <v>0.65900000000000003</v>
      </c>
      <c r="AF2862" s="508">
        <v>0.45600000000000002</v>
      </c>
      <c r="AG2862" s="508">
        <v>0.45400000000000001</v>
      </c>
      <c r="AH2862" s="508">
        <v>0.45100000000000001</v>
      </c>
      <c r="AI2862" s="492">
        <v>0.44900000000000001</v>
      </c>
      <c r="AJ2862" s="485"/>
    </row>
    <row r="2863" spans="2:36">
      <c r="B2863" s="136" t="s">
        <v>471</v>
      </c>
      <c r="C2863" s="132" t="s">
        <v>1364</v>
      </c>
      <c r="D2863" s="132" t="s">
        <v>283</v>
      </c>
      <c r="E2863" s="508">
        <v>6.0679999999999996</v>
      </c>
      <c r="F2863" s="508">
        <v>6.33</v>
      </c>
      <c r="G2863" s="508">
        <v>6</v>
      </c>
      <c r="H2863" s="508">
        <v>5.8730000000000002</v>
      </c>
      <c r="I2863" s="508">
        <v>5.9240000000000004</v>
      </c>
      <c r="J2863" s="508">
        <v>7.2329999999999997</v>
      </c>
      <c r="K2863" s="508">
        <v>6.5789999999999997</v>
      </c>
      <c r="L2863" s="508">
        <v>6.1429999999999998</v>
      </c>
      <c r="M2863" s="508">
        <v>6.5149999999999997</v>
      </c>
      <c r="N2863" s="508">
        <v>6.2670000000000003</v>
      </c>
      <c r="O2863" s="508">
        <v>6.3680000000000003</v>
      </c>
      <c r="P2863" s="508">
        <v>5.2759999999999998</v>
      </c>
      <c r="Q2863" s="508">
        <v>5.617</v>
      </c>
      <c r="R2863" s="508">
        <v>3.76</v>
      </c>
      <c r="S2863" s="508">
        <v>4.8819999999999997</v>
      </c>
      <c r="T2863" s="508">
        <v>4.282</v>
      </c>
      <c r="U2863" s="508">
        <v>4.7039999999999997</v>
      </c>
      <c r="V2863" s="508">
        <v>3.532</v>
      </c>
      <c r="W2863" s="508">
        <v>2.649</v>
      </c>
      <c r="X2863" s="508">
        <v>2.2469999999999999</v>
      </c>
      <c r="Y2863" s="508">
        <v>2.3359999999999999</v>
      </c>
      <c r="Z2863" s="508">
        <v>2.456</v>
      </c>
      <c r="AA2863" s="508">
        <v>1.3009999999999999</v>
      </c>
      <c r="AB2863" s="508">
        <v>1.3280000000000001</v>
      </c>
      <c r="AC2863" s="508">
        <v>1.0049999999999999</v>
      </c>
      <c r="AD2863" s="508">
        <v>0.48799999999999999</v>
      </c>
      <c r="AE2863" s="508">
        <v>0.629</v>
      </c>
      <c r="AF2863" s="508">
        <v>0.437</v>
      </c>
      <c r="AG2863" s="508">
        <v>0.434</v>
      </c>
      <c r="AH2863" s="508">
        <v>0.432</v>
      </c>
      <c r="AI2863" s="492">
        <v>0.43</v>
      </c>
      <c r="AJ2863" s="485"/>
    </row>
    <row r="2864" spans="2:36">
      <c r="B2864" s="136" t="s">
        <v>472</v>
      </c>
      <c r="C2864" s="132" t="s">
        <v>1364</v>
      </c>
      <c r="D2864" s="132" t="s">
        <v>283</v>
      </c>
      <c r="E2864" s="508">
        <v>6.1909999999999998</v>
      </c>
      <c r="F2864" s="508">
        <v>6.3760000000000003</v>
      </c>
      <c r="G2864" s="508">
        <v>6.1630000000000003</v>
      </c>
      <c r="H2864" s="508">
        <v>6.0819999999999999</v>
      </c>
      <c r="I2864" s="508">
        <v>6.1150000000000002</v>
      </c>
      <c r="J2864" s="508">
        <v>7.1989999999999998</v>
      </c>
      <c r="K2864" s="508">
        <v>6.5670000000000002</v>
      </c>
      <c r="L2864" s="508">
        <v>6.3449999999999998</v>
      </c>
      <c r="M2864" s="508">
        <v>6.5209999999999999</v>
      </c>
      <c r="N2864" s="508">
        <v>6.3860000000000001</v>
      </c>
      <c r="O2864" s="508">
        <v>6.4240000000000004</v>
      </c>
      <c r="P2864" s="508">
        <v>5.274</v>
      </c>
      <c r="Q2864" s="508">
        <v>5.6020000000000003</v>
      </c>
      <c r="R2864" s="508">
        <v>3.8010000000000002</v>
      </c>
      <c r="S2864" s="508">
        <v>4.8620000000000001</v>
      </c>
      <c r="T2864" s="508">
        <v>4.2930000000000001</v>
      </c>
      <c r="U2864" s="508">
        <v>4.6820000000000004</v>
      </c>
      <c r="V2864" s="508">
        <v>3.548</v>
      </c>
      <c r="W2864" s="508">
        <v>2.7210000000000001</v>
      </c>
      <c r="X2864" s="508">
        <v>2.2970000000000002</v>
      </c>
      <c r="Y2864" s="508">
        <v>2.383</v>
      </c>
      <c r="Z2864" s="508">
        <v>2.5019999999999998</v>
      </c>
      <c r="AA2864" s="508">
        <v>1.298</v>
      </c>
      <c r="AB2864" s="508">
        <v>1.3220000000000001</v>
      </c>
      <c r="AC2864" s="508">
        <v>1.0049999999999999</v>
      </c>
      <c r="AD2864" s="508">
        <v>0.49199999999999999</v>
      </c>
      <c r="AE2864" s="508">
        <v>0.629</v>
      </c>
      <c r="AF2864" s="508">
        <v>0.435</v>
      </c>
      <c r="AG2864" s="508">
        <v>0.433</v>
      </c>
      <c r="AH2864" s="508">
        <v>0.43099999999999999</v>
      </c>
      <c r="AI2864" s="492">
        <v>0.42899999999999999</v>
      </c>
      <c r="AJ2864" s="485"/>
    </row>
    <row r="2865" spans="2:36">
      <c r="B2865" s="136" t="s">
        <v>473</v>
      </c>
      <c r="C2865" s="132" t="s">
        <v>1364</v>
      </c>
      <c r="D2865" s="132" t="s">
        <v>283</v>
      </c>
      <c r="E2865" s="508">
        <v>6.3159999999999998</v>
      </c>
      <c r="F2865" s="508">
        <v>6.5970000000000004</v>
      </c>
      <c r="G2865" s="508">
        <v>6.1790000000000003</v>
      </c>
      <c r="H2865" s="508">
        <v>6.0190000000000001</v>
      </c>
      <c r="I2865" s="508">
        <v>6.0839999999999996</v>
      </c>
      <c r="J2865" s="508">
        <v>7.5910000000000002</v>
      </c>
      <c r="K2865" s="508">
        <v>6.8920000000000003</v>
      </c>
      <c r="L2865" s="508">
        <v>6.3040000000000003</v>
      </c>
      <c r="M2865" s="508">
        <v>6.8140000000000001</v>
      </c>
      <c r="N2865" s="508">
        <v>6.4880000000000004</v>
      </c>
      <c r="O2865" s="508">
        <v>6.633</v>
      </c>
      <c r="P2865" s="508">
        <v>5.5170000000000003</v>
      </c>
      <c r="Q2865" s="508">
        <v>5.8860000000000001</v>
      </c>
      <c r="R2865" s="508">
        <v>3.9</v>
      </c>
      <c r="S2865" s="508">
        <v>5.12</v>
      </c>
      <c r="T2865" s="508">
        <v>4.4710000000000001</v>
      </c>
      <c r="U2865" s="508">
        <v>4.9400000000000004</v>
      </c>
      <c r="V2865" s="508">
        <v>3.6909999999999998</v>
      </c>
      <c r="W2865" s="508">
        <v>2.7410000000000001</v>
      </c>
      <c r="X2865" s="508">
        <v>2.331</v>
      </c>
      <c r="Y2865" s="508">
        <v>2.427</v>
      </c>
      <c r="Z2865" s="508">
        <v>2.5550000000000002</v>
      </c>
      <c r="AA2865" s="508">
        <v>1.36</v>
      </c>
      <c r="AB2865" s="508">
        <v>1.391</v>
      </c>
      <c r="AC2865" s="508">
        <v>1.0509999999999999</v>
      </c>
      <c r="AD2865" s="508">
        <v>0.50800000000000001</v>
      </c>
      <c r="AE2865" s="508">
        <v>0.65600000000000003</v>
      </c>
      <c r="AF2865" s="508">
        <v>0.45500000000000002</v>
      </c>
      <c r="AG2865" s="508">
        <v>0.45200000000000001</v>
      </c>
      <c r="AH2865" s="508">
        <v>0.44900000000000001</v>
      </c>
      <c r="AI2865" s="492">
        <v>0.44700000000000001</v>
      </c>
      <c r="AJ2865" s="485"/>
    </row>
    <row r="2866" spans="2:36">
      <c r="B2866" s="136" t="s">
        <v>474</v>
      </c>
      <c r="C2866" s="132" t="s">
        <v>1364</v>
      </c>
      <c r="D2866" s="132" t="s">
        <v>283</v>
      </c>
      <c r="E2866" s="508">
        <v>6.0490000000000004</v>
      </c>
      <c r="F2866" s="508">
        <v>6.3070000000000004</v>
      </c>
      <c r="G2866" s="508">
        <v>5.9939999999999998</v>
      </c>
      <c r="H2866" s="508">
        <v>5.875</v>
      </c>
      <c r="I2866" s="508">
        <v>5.9240000000000004</v>
      </c>
      <c r="J2866" s="508">
        <v>7.194</v>
      </c>
      <c r="K2866" s="508">
        <v>6.5460000000000003</v>
      </c>
      <c r="L2866" s="508">
        <v>6.141</v>
      </c>
      <c r="M2866" s="508">
        <v>6.4850000000000003</v>
      </c>
      <c r="N2866" s="508">
        <v>6.2569999999999997</v>
      </c>
      <c r="O2866" s="508">
        <v>6.3470000000000004</v>
      </c>
      <c r="P2866" s="508">
        <v>5.2519999999999998</v>
      </c>
      <c r="Q2866" s="508">
        <v>5.5890000000000004</v>
      </c>
      <c r="R2866" s="508">
        <v>3.75</v>
      </c>
      <c r="S2866" s="508">
        <v>4.8570000000000002</v>
      </c>
      <c r="T2866" s="508">
        <v>4.2640000000000002</v>
      </c>
      <c r="U2866" s="508">
        <v>4.6790000000000003</v>
      </c>
      <c r="V2866" s="508">
        <v>3.5190000000000001</v>
      </c>
      <c r="W2866" s="508">
        <v>2.6459999999999999</v>
      </c>
      <c r="X2866" s="508">
        <v>2.242</v>
      </c>
      <c r="Y2866" s="508">
        <v>2.33</v>
      </c>
      <c r="Z2866" s="508">
        <v>2.4489999999999998</v>
      </c>
      <c r="AA2866" s="508">
        <v>1.294</v>
      </c>
      <c r="AB2866" s="508">
        <v>1.321</v>
      </c>
      <c r="AC2866" s="508">
        <v>1.0009999999999999</v>
      </c>
      <c r="AD2866" s="508">
        <v>0.48699999999999999</v>
      </c>
      <c r="AE2866" s="508">
        <v>0.627</v>
      </c>
      <c r="AF2866" s="508">
        <v>0.435</v>
      </c>
      <c r="AG2866" s="508">
        <v>0.433</v>
      </c>
      <c r="AH2866" s="508">
        <v>0.43</v>
      </c>
      <c r="AI2866" s="492">
        <v>0.42799999999999999</v>
      </c>
      <c r="AJ2866" s="485"/>
    </row>
    <row r="2867" spans="2:36">
      <c r="B2867" s="136" t="s">
        <v>475</v>
      </c>
      <c r="C2867" s="132" t="s">
        <v>1364</v>
      </c>
      <c r="D2867" s="132" t="s">
        <v>283</v>
      </c>
      <c r="E2867" s="508">
        <v>6.1619999999999999</v>
      </c>
      <c r="F2867" s="508">
        <v>6.3979999999999997</v>
      </c>
      <c r="G2867" s="508">
        <v>6.1029999999999998</v>
      </c>
      <c r="H2867" s="508">
        <v>5.9909999999999997</v>
      </c>
      <c r="I2867" s="508">
        <v>6.0369999999999999</v>
      </c>
      <c r="J2867" s="508">
        <v>7.2809999999999997</v>
      </c>
      <c r="K2867" s="508">
        <v>6.6289999999999996</v>
      </c>
      <c r="L2867" s="508">
        <v>6.26</v>
      </c>
      <c r="M2867" s="508">
        <v>6.57</v>
      </c>
      <c r="N2867" s="508">
        <v>6.359</v>
      </c>
      <c r="O2867" s="508">
        <v>6.44</v>
      </c>
      <c r="P2867" s="508">
        <v>5.3179999999999996</v>
      </c>
      <c r="Q2867" s="508">
        <v>5.6580000000000004</v>
      </c>
      <c r="R2867" s="508">
        <v>3.8039999999999998</v>
      </c>
      <c r="S2867" s="508">
        <v>4.915</v>
      </c>
      <c r="T2867" s="508">
        <v>4.32</v>
      </c>
      <c r="U2867" s="508">
        <v>4.7359999999999998</v>
      </c>
      <c r="V2867" s="508">
        <v>3.5680000000000001</v>
      </c>
      <c r="W2867" s="508">
        <v>2.6970000000000001</v>
      </c>
      <c r="X2867" s="508">
        <v>2.2829999999999999</v>
      </c>
      <c r="Y2867" s="508">
        <v>2.3719999999999999</v>
      </c>
      <c r="Z2867" s="508">
        <v>2.4929999999999999</v>
      </c>
      <c r="AA2867" s="508">
        <v>1.31</v>
      </c>
      <c r="AB2867" s="508">
        <v>1.337</v>
      </c>
      <c r="AC2867" s="508">
        <v>1.0129999999999999</v>
      </c>
      <c r="AD2867" s="508">
        <v>0.49299999999999999</v>
      </c>
      <c r="AE2867" s="508">
        <v>0.63400000000000001</v>
      </c>
      <c r="AF2867" s="508">
        <v>0.44</v>
      </c>
      <c r="AG2867" s="508">
        <v>0.437</v>
      </c>
      <c r="AH2867" s="508">
        <v>0.435</v>
      </c>
      <c r="AI2867" s="492">
        <v>0.433</v>
      </c>
      <c r="AJ2867" s="485"/>
    </row>
    <row r="2868" spans="2:36">
      <c r="B2868" s="136" t="s">
        <v>476</v>
      </c>
      <c r="C2868" s="132" t="s">
        <v>1364</v>
      </c>
      <c r="D2868" s="132" t="s">
        <v>283</v>
      </c>
      <c r="E2868" s="508">
        <v>6.2990000000000004</v>
      </c>
      <c r="F2868" s="508">
        <v>6.5709999999999997</v>
      </c>
      <c r="G2868" s="508">
        <v>6.1909999999999998</v>
      </c>
      <c r="H2868" s="508">
        <v>6.0460000000000003</v>
      </c>
      <c r="I2868" s="508">
        <v>6.1050000000000004</v>
      </c>
      <c r="J2868" s="508">
        <v>7.5359999999999996</v>
      </c>
      <c r="K2868" s="508">
        <v>6.8479999999999999</v>
      </c>
      <c r="L2868" s="508">
        <v>6.3259999999999996</v>
      </c>
      <c r="M2868" s="508">
        <v>6.7759999999999998</v>
      </c>
      <c r="N2868" s="508">
        <v>6.4870000000000001</v>
      </c>
      <c r="O2868" s="508">
        <v>6.6120000000000001</v>
      </c>
      <c r="P2868" s="508">
        <v>5.4859999999999998</v>
      </c>
      <c r="Q2868" s="508">
        <v>5.8479999999999999</v>
      </c>
      <c r="R2868" s="508">
        <v>3.8940000000000001</v>
      </c>
      <c r="S2868" s="508">
        <v>5.085</v>
      </c>
      <c r="T2868" s="508">
        <v>4.45</v>
      </c>
      <c r="U2868" s="508">
        <v>4.9039999999999999</v>
      </c>
      <c r="V2868" s="508">
        <v>3.6760000000000002</v>
      </c>
      <c r="W2868" s="508">
        <v>2.7429999999999999</v>
      </c>
      <c r="X2868" s="508">
        <v>2.3290000000000002</v>
      </c>
      <c r="Y2868" s="508">
        <v>2.4220000000000002</v>
      </c>
      <c r="Z2868" s="508">
        <v>2.548</v>
      </c>
      <c r="AA2868" s="508">
        <v>1.3520000000000001</v>
      </c>
      <c r="AB2868" s="508">
        <v>1.381</v>
      </c>
      <c r="AC2868" s="508">
        <v>1.0449999999999999</v>
      </c>
      <c r="AD2868" s="508">
        <v>0.50600000000000001</v>
      </c>
      <c r="AE2868" s="508">
        <v>0.65300000000000002</v>
      </c>
      <c r="AF2868" s="508">
        <v>0.45200000000000001</v>
      </c>
      <c r="AG2868" s="508">
        <v>0.45</v>
      </c>
      <c r="AH2868" s="508">
        <v>0.44700000000000001</v>
      </c>
      <c r="AI2868" s="492">
        <v>0.44500000000000001</v>
      </c>
      <c r="AJ2868" s="485"/>
    </row>
    <row r="2869" spans="2:36">
      <c r="B2869" s="136" t="s">
        <v>478</v>
      </c>
      <c r="C2869" s="132" t="s">
        <v>1364</v>
      </c>
      <c r="D2869" s="132" t="s">
        <v>283</v>
      </c>
      <c r="E2869" s="508">
        <v>6.4109999999999996</v>
      </c>
      <c r="F2869" s="508">
        <v>6.7089999999999996</v>
      </c>
      <c r="G2869" s="508">
        <v>6.2759999999999998</v>
      </c>
      <c r="H2869" s="508">
        <v>6.1109999999999998</v>
      </c>
      <c r="I2869" s="508">
        <v>6.1779999999999999</v>
      </c>
      <c r="J2869" s="508">
        <v>7.7270000000000003</v>
      </c>
      <c r="K2869" s="508">
        <v>7.0140000000000002</v>
      </c>
      <c r="L2869" s="508">
        <v>6.4009999999999998</v>
      </c>
      <c r="M2869" s="508">
        <v>6.9329999999999998</v>
      </c>
      <c r="N2869" s="508">
        <v>6.5960000000000001</v>
      </c>
      <c r="O2869" s="508">
        <v>6.7469999999999999</v>
      </c>
      <c r="P2869" s="508">
        <v>5.6150000000000002</v>
      </c>
      <c r="Q2869" s="508">
        <v>5.9909999999999997</v>
      </c>
      <c r="R2869" s="508">
        <v>3.9689999999999999</v>
      </c>
      <c r="S2869" s="508">
        <v>5.2119999999999997</v>
      </c>
      <c r="T2869" s="508">
        <v>4.55</v>
      </c>
      <c r="U2869" s="508">
        <v>5.03</v>
      </c>
      <c r="V2869" s="508">
        <v>3.76</v>
      </c>
      <c r="W2869" s="508">
        <v>2.7850000000000001</v>
      </c>
      <c r="X2869" s="508">
        <v>2.367</v>
      </c>
      <c r="Y2869" s="508">
        <v>2.4630000000000001</v>
      </c>
      <c r="Z2869" s="508">
        <v>2.5920000000000001</v>
      </c>
      <c r="AA2869" s="508">
        <v>1.383</v>
      </c>
      <c r="AB2869" s="508">
        <v>1.4139999999999999</v>
      </c>
      <c r="AC2869" s="508">
        <v>1.069</v>
      </c>
      <c r="AD2869" s="508">
        <v>0.51700000000000002</v>
      </c>
      <c r="AE2869" s="508">
        <v>0.66700000000000004</v>
      </c>
      <c r="AF2869" s="508">
        <v>0.46200000000000002</v>
      </c>
      <c r="AG2869" s="508">
        <v>0.46</v>
      </c>
      <c r="AH2869" s="508">
        <v>0.45700000000000002</v>
      </c>
      <c r="AI2869" s="492">
        <v>0.45500000000000002</v>
      </c>
      <c r="AJ2869" s="485"/>
    </row>
    <row r="2870" spans="2:36">
      <c r="B2870" s="136" t="s">
        <v>479</v>
      </c>
      <c r="C2870" s="132" t="s">
        <v>1364</v>
      </c>
      <c r="D2870" s="132" t="s">
        <v>283</v>
      </c>
      <c r="E2870" s="508">
        <v>5.9569999999999999</v>
      </c>
      <c r="F2870" s="508">
        <v>6.22</v>
      </c>
      <c r="G2870" s="508">
        <v>5.93</v>
      </c>
      <c r="H2870" s="508">
        <v>5.82</v>
      </c>
      <c r="I2870" s="508">
        <v>5.8650000000000002</v>
      </c>
      <c r="J2870" s="508">
        <v>7.0810000000000004</v>
      </c>
      <c r="K2870" s="508">
        <v>6.4470000000000001</v>
      </c>
      <c r="L2870" s="508">
        <v>6.0789999999999997</v>
      </c>
      <c r="M2870" s="508">
        <v>6.3879999999999999</v>
      </c>
      <c r="N2870" s="508">
        <v>6.1859999999999999</v>
      </c>
      <c r="O2870" s="508">
        <v>6.2629999999999999</v>
      </c>
      <c r="P2870" s="508">
        <v>5.1769999999999996</v>
      </c>
      <c r="Q2870" s="508">
        <v>5.5060000000000002</v>
      </c>
      <c r="R2870" s="508">
        <v>3.7069999999999999</v>
      </c>
      <c r="S2870" s="508">
        <v>4.782</v>
      </c>
      <c r="T2870" s="508">
        <v>4.2050000000000001</v>
      </c>
      <c r="U2870" s="508">
        <v>4.6059999999999999</v>
      </c>
      <c r="V2870" s="508">
        <v>3.4689999999999999</v>
      </c>
      <c r="W2870" s="508">
        <v>2.6139999999999999</v>
      </c>
      <c r="X2870" s="508">
        <v>2.2120000000000002</v>
      </c>
      <c r="Y2870" s="508">
        <v>2.2970000000000002</v>
      </c>
      <c r="Z2870" s="508">
        <v>2.4129999999999998</v>
      </c>
      <c r="AA2870" s="508">
        <v>1.2749999999999999</v>
      </c>
      <c r="AB2870" s="508">
        <v>1.3009999999999999</v>
      </c>
      <c r="AC2870" s="508">
        <v>0.98599999999999999</v>
      </c>
      <c r="AD2870" s="508">
        <v>0.48099999999999998</v>
      </c>
      <c r="AE2870" s="508">
        <v>0.61899999999999999</v>
      </c>
      <c r="AF2870" s="508">
        <v>0.43</v>
      </c>
      <c r="AG2870" s="508">
        <v>0.42799999999999999</v>
      </c>
      <c r="AH2870" s="508">
        <v>0.42499999999999999</v>
      </c>
      <c r="AI2870" s="492">
        <v>0.42299999999999999</v>
      </c>
      <c r="AJ2870" s="485"/>
    </row>
    <row r="2871" spans="2:36">
      <c r="B2871" s="136" t="s">
        <v>480</v>
      </c>
      <c r="C2871" s="132" t="s">
        <v>1364</v>
      </c>
      <c r="D2871" s="132" t="s">
        <v>283</v>
      </c>
      <c r="E2871" s="508">
        <v>6.1230000000000002</v>
      </c>
      <c r="F2871" s="508">
        <v>6.3170000000000002</v>
      </c>
      <c r="G2871" s="508">
        <v>6.1340000000000003</v>
      </c>
      <c r="H2871" s="508">
        <v>6.0640000000000001</v>
      </c>
      <c r="I2871" s="508">
        <v>6.0919999999999996</v>
      </c>
      <c r="J2871" s="508">
        <v>7.1109999999999998</v>
      </c>
      <c r="K2871" s="508">
        <v>6.492</v>
      </c>
      <c r="L2871" s="508">
        <v>6.32</v>
      </c>
      <c r="M2871" s="508">
        <v>6.45</v>
      </c>
      <c r="N2871" s="508">
        <v>6.3490000000000002</v>
      </c>
      <c r="O2871" s="508">
        <v>6.3689999999999998</v>
      </c>
      <c r="P2871" s="508">
        <v>5.22</v>
      </c>
      <c r="Q2871" s="508">
        <v>5.54</v>
      </c>
      <c r="R2871" s="508">
        <v>3.7770000000000001</v>
      </c>
      <c r="S2871" s="508">
        <v>4.8049999999999997</v>
      </c>
      <c r="T2871" s="508">
        <v>4.2519999999999998</v>
      </c>
      <c r="U2871" s="508">
        <v>4.6260000000000003</v>
      </c>
      <c r="V2871" s="508">
        <v>3.516</v>
      </c>
      <c r="W2871" s="508">
        <v>2.7029999999999998</v>
      </c>
      <c r="X2871" s="508">
        <v>2.2770000000000001</v>
      </c>
      <c r="Y2871" s="508">
        <v>2.36</v>
      </c>
      <c r="Z2871" s="508">
        <v>2.476</v>
      </c>
      <c r="AA2871" s="508">
        <v>1.2829999999999999</v>
      </c>
      <c r="AB2871" s="508">
        <v>1.306</v>
      </c>
      <c r="AC2871" s="508">
        <v>0.995</v>
      </c>
      <c r="AD2871" s="508">
        <v>0.48899999999999999</v>
      </c>
      <c r="AE2871" s="508">
        <v>0.623</v>
      </c>
      <c r="AF2871" s="508">
        <v>0.432</v>
      </c>
      <c r="AG2871" s="508">
        <v>0.42899999999999999</v>
      </c>
      <c r="AH2871" s="508">
        <v>0.42699999999999999</v>
      </c>
      <c r="AI2871" s="492">
        <v>0.42499999999999999</v>
      </c>
      <c r="AJ2871" s="485"/>
    </row>
    <row r="2872" spans="2:36">
      <c r="B2872" s="136" t="s">
        <v>481</v>
      </c>
      <c r="C2872" s="132" t="s">
        <v>1364</v>
      </c>
      <c r="D2872" s="132" t="s">
        <v>283</v>
      </c>
      <c r="E2872" s="508">
        <v>6.0869999999999997</v>
      </c>
      <c r="F2872" s="508">
        <v>6.3559999999999999</v>
      </c>
      <c r="G2872" s="508">
        <v>6.0309999999999997</v>
      </c>
      <c r="H2872" s="508">
        <v>5.9080000000000004</v>
      </c>
      <c r="I2872" s="508">
        <v>5.9580000000000002</v>
      </c>
      <c r="J2872" s="508">
        <v>7.2560000000000002</v>
      </c>
      <c r="K2872" s="508">
        <v>6.601</v>
      </c>
      <c r="L2872" s="508">
        <v>6.1749999999999998</v>
      </c>
      <c r="M2872" s="508">
        <v>6.5369999999999999</v>
      </c>
      <c r="N2872" s="508">
        <v>6.3019999999999996</v>
      </c>
      <c r="O2872" s="508">
        <v>6.3970000000000002</v>
      </c>
      <c r="P2872" s="508">
        <v>5.2960000000000003</v>
      </c>
      <c r="Q2872" s="508">
        <v>5.6369999999999996</v>
      </c>
      <c r="R2872" s="508">
        <v>3.78</v>
      </c>
      <c r="S2872" s="508">
        <v>4.899</v>
      </c>
      <c r="T2872" s="508">
        <v>4.2990000000000004</v>
      </c>
      <c r="U2872" s="508">
        <v>4.72</v>
      </c>
      <c r="V2872" s="508">
        <v>3.5489999999999999</v>
      </c>
      <c r="W2872" s="508">
        <v>2.6629999999999998</v>
      </c>
      <c r="X2872" s="508">
        <v>2.2559999999999998</v>
      </c>
      <c r="Y2872" s="508">
        <v>2.3450000000000002</v>
      </c>
      <c r="Z2872" s="508">
        <v>2.464</v>
      </c>
      <c r="AA2872" s="508">
        <v>1.304</v>
      </c>
      <c r="AB2872" s="508">
        <v>1.331</v>
      </c>
      <c r="AC2872" s="508">
        <v>1.0089999999999999</v>
      </c>
      <c r="AD2872" s="508">
        <v>0.49099999999999999</v>
      </c>
      <c r="AE2872" s="508">
        <v>0.63200000000000001</v>
      </c>
      <c r="AF2872" s="508">
        <v>0.439</v>
      </c>
      <c r="AG2872" s="508">
        <v>0.436</v>
      </c>
      <c r="AH2872" s="508">
        <v>0.434</v>
      </c>
      <c r="AI2872" s="492">
        <v>0.432</v>
      </c>
      <c r="AJ2872" s="485"/>
    </row>
    <row r="2873" spans="2:36">
      <c r="B2873" s="136" t="s">
        <v>482</v>
      </c>
      <c r="C2873" s="132" t="s">
        <v>1364</v>
      </c>
      <c r="D2873" s="132" t="s">
        <v>283</v>
      </c>
      <c r="E2873" s="508">
        <v>6.09</v>
      </c>
      <c r="F2873" s="508">
        <v>6.3719999999999999</v>
      </c>
      <c r="G2873" s="508">
        <v>6.0419999999999998</v>
      </c>
      <c r="H2873" s="508">
        <v>5.923</v>
      </c>
      <c r="I2873" s="508">
        <v>6</v>
      </c>
      <c r="J2873" s="508">
        <v>7.41</v>
      </c>
      <c r="K2873" s="508">
        <v>6.7370000000000001</v>
      </c>
      <c r="L2873" s="508">
        <v>6.2320000000000002</v>
      </c>
      <c r="M2873" s="508">
        <v>6.6970000000000001</v>
      </c>
      <c r="N2873" s="508">
        <v>6.4109999999999996</v>
      </c>
      <c r="O2873" s="508">
        <v>6.5519999999999996</v>
      </c>
      <c r="P2873" s="508">
        <v>5.4509999999999996</v>
      </c>
      <c r="Q2873" s="508">
        <v>5.8209999999999997</v>
      </c>
      <c r="R2873" s="508">
        <v>3.8759999999999999</v>
      </c>
      <c r="S2873" s="508">
        <v>5.0739999999999998</v>
      </c>
      <c r="T2873" s="508">
        <v>4.4349999999999996</v>
      </c>
      <c r="U2873" s="508">
        <v>4.8949999999999996</v>
      </c>
      <c r="V2873" s="508">
        <v>3.6659999999999999</v>
      </c>
      <c r="W2873" s="508">
        <v>2.706</v>
      </c>
      <c r="X2873" s="508">
        <v>2.294</v>
      </c>
      <c r="Y2873" s="508">
        <v>2.3849999999999998</v>
      </c>
      <c r="Z2873" s="508">
        <v>2.5070000000000001</v>
      </c>
      <c r="AA2873" s="508">
        <v>1.329</v>
      </c>
      <c r="AB2873" s="508">
        <v>1.3580000000000001</v>
      </c>
      <c r="AC2873" s="508">
        <v>1.0289999999999999</v>
      </c>
      <c r="AD2873" s="508">
        <v>0.5</v>
      </c>
      <c r="AE2873" s="508">
        <v>0.64400000000000002</v>
      </c>
      <c r="AF2873" s="508">
        <v>0.44700000000000001</v>
      </c>
      <c r="AG2873" s="508">
        <v>0.44400000000000001</v>
      </c>
      <c r="AH2873" s="508">
        <v>0.442</v>
      </c>
      <c r="AI2873" s="492">
        <v>0.44</v>
      </c>
      <c r="AJ2873" s="485"/>
    </row>
    <row r="2874" spans="2:36">
      <c r="B2874" s="136" t="s">
        <v>483</v>
      </c>
      <c r="C2874" s="132" t="s">
        <v>1364</v>
      </c>
      <c r="D2874" s="132" t="s">
        <v>283</v>
      </c>
      <c r="E2874" s="508">
        <v>6.4859999999999998</v>
      </c>
      <c r="F2874" s="508">
        <v>6.7750000000000004</v>
      </c>
      <c r="G2874" s="508">
        <v>6.3330000000000002</v>
      </c>
      <c r="H2874" s="508">
        <v>6.1639999999999997</v>
      </c>
      <c r="I2874" s="508">
        <v>6.2329999999999997</v>
      </c>
      <c r="J2874" s="508">
        <v>7.8049999999999997</v>
      </c>
      <c r="K2874" s="508">
        <v>7.0839999999999996</v>
      </c>
      <c r="L2874" s="508">
        <v>6.4569999999999999</v>
      </c>
      <c r="M2874" s="508">
        <v>7.0019999999999998</v>
      </c>
      <c r="N2874" s="508">
        <v>6.657</v>
      </c>
      <c r="O2874" s="508">
        <v>6.8129999999999997</v>
      </c>
      <c r="P2874" s="508">
        <v>5.6689999999999996</v>
      </c>
      <c r="Q2874" s="508">
        <v>6.05</v>
      </c>
      <c r="R2874" s="508">
        <v>4.0030000000000001</v>
      </c>
      <c r="S2874" s="508">
        <v>5.2640000000000002</v>
      </c>
      <c r="T2874" s="508">
        <v>4.5940000000000003</v>
      </c>
      <c r="U2874" s="508">
        <v>5.0810000000000004</v>
      </c>
      <c r="V2874" s="508">
        <v>3.7970000000000002</v>
      </c>
      <c r="W2874" s="508">
        <v>2.8140000000000001</v>
      </c>
      <c r="X2874" s="508">
        <v>2.3919999999999999</v>
      </c>
      <c r="Y2874" s="508">
        <v>2.4900000000000002</v>
      </c>
      <c r="Z2874" s="508">
        <v>2.6219999999999999</v>
      </c>
      <c r="AA2874" s="508">
        <v>1.3959999999999999</v>
      </c>
      <c r="AB2874" s="508">
        <v>1.4279999999999999</v>
      </c>
      <c r="AC2874" s="508">
        <v>1.079</v>
      </c>
      <c r="AD2874" s="508">
        <v>0.52100000000000002</v>
      </c>
      <c r="AE2874" s="508">
        <v>0.67300000000000004</v>
      </c>
      <c r="AF2874" s="508">
        <v>0.46600000000000003</v>
      </c>
      <c r="AG2874" s="508">
        <v>0.46300000000000002</v>
      </c>
      <c r="AH2874" s="508">
        <v>0.46100000000000002</v>
      </c>
      <c r="AI2874" s="492">
        <v>0.45900000000000002</v>
      </c>
      <c r="AJ2874" s="485"/>
    </row>
    <row r="2875" spans="2:36">
      <c r="B2875" s="136" t="s">
        <v>484</v>
      </c>
      <c r="C2875" s="132" t="s">
        <v>1364</v>
      </c>
      <c r="D2875" s="132" t="s">
        <v>283</v>
      </c>
      <c r="E2875" s="508">
        <v>6.1379999999999999</v>
      </c>
      <c r="F2875" s="508">
        <v>6.3250000000000002</v>
      </c>
      <c r="G2875" s="508">
        <v>6.1269999999999998</v>
      </c>
      <c r="H2875" s="508">
        <v>6.0519999999999996</v>
      </c>
      <c r="I2875" s="508">
        <v>6.0819999999999999</v>
      </c>
      <c r="J2875" s="508">
        <v>7.1319999999999997</v>
      </c>
      <c r="K2875" s="508">
        <v>6.508</v>
      </c>
      <c r="L2875" s="508">
        <v>6.3109999999999999</v>
      </c>
      <c r="M2875" s="508">
        <v>6.4649999999999999</v>
      </c>
      <c r="N2875" s="508">
        <v>6.3440000000000003</v>
      </c>
      <c r="O2875" s="508">
        <v>6.3739999999999997</v>
      </c>
      <c r="P2875" s="508">
        <v>5.2290000000000001</v>
      </c>
      <c r="Q2875" s="508">
        <v>5.5519999999999996</v>
      </c>
      <c r="R2875" s="508">
        <v>3.7749999999999999</v>
      </c>
      <c r="S2875" s="508">
        <v>4.8170000000000002</v>
      </c>
      <c r="T2875" s="508">
        <v>4.2569999999999997</v>
      </c>
      <c r="U2875" s="508">
        <v>4.6379999999999999</v>
      </c>
      <c r="V2875" s="508">
        <v>3.5190000000000001</v>
      </c>
      <c r="W2875" s="508">
        <v>2.702</v>
      </c>
      <c r="X2875" s="508">
        <v>2.2799999999999998</v>
      </c>
      <c r="Y2875" s="508">
        <v>2.3639999999999999</v>
      </c>
      <c r="Z2875" s="508">
        <v>2.4820000000000002</v>
      </c>
      <c r="AA2875" s="508">
        <v>1.2869999999999999</v>
      </c>
      <c r="AB2875" s="508">
        <v>1.31</v>
      </c>
      <c r="AC2875" s="508">
        <v>0.997</v>
      </c>
      <c r="AD2875" s="508">
        <v>0.48799999999999999</v>
      </c>
      <c r="AE2875" s="508">
        <v>0.624</v>
      </c>
      <c r="AF2875" s="508">
        <v>0.432</v>
      </c>
      <c r="AG2875" s="508">
        <v>0.43</v>
      </c>
      <c r="AH2875" s="508">
        <v>0.42699999999999999</v>
      </c>
      <c r="AI2875" s="492">
        <v>0.42499999999999999</v>
      </c>
      <c r="AJ2875" s="485"/>
    </row>
    <row r="2876" spans="2:36">
      <c r="B2876" s="136" t="s">
        <v>486</v>
      </c>
      <c r="C2876" s="132" t="s">
        <v>1364</v>
      </c>
      <c r="D2876" s="132" t="s">
        <v>283</v>
      </c>
      <c r="E2876" s="508">
        <v>6.157</v>
      </c>
      <c r="F2876" s="508">
        <v>6.4260000000000002</v>
      </c>
      <c r="G2876" s="508">
        <v>6.0919999999999996</v>
      </c>
      <c r="H2876" s="508">
        <v>5.9640000000000004</v>
      </c>
      <c r="I2876" s="508">
        <v>6.016</v>
      </c>
      <c r="J2876" s="508">
        <v>7.3410000000000002</v>
      </c>
      <c r="K2876" s="508">
        <v>6.6769999999999996</v>
      </c>
      <c r="L2876" s="508">
        <v>6.2359999999999998</v>
      </c>
      <c r="M2876" s="508">
        <v>6.6120000000000001</v>
      </c>
      <c r="N2876" s="508">
        <v>6.3680000000000003</v>
      </c>
      <c r="O2876" s="508">
        <v>6.4669999999999996</v>
      </c>
      <c r="P2876" s="508">
        <v>5.3559999999999999</v>
      </c>
      <c r="Q2876" s="508">
        <v>5.702</v>
      </c>
      <c r="R2876" s="508">
        <v>3.819</v>
      </c>
      <c r="S2876" s="508">
        <v>4.9550000000000001</v>
      </c>
      <c r="T2876" s="508">
        <v>4.3479999999999999</v>
      </c>
      <c r="U2876" s="508">
        <v>4.7759999999999998</v>
      </c>
      <c r="V2876" s="508">
        <v>3.59</v>
      </c>
      <c r="W2876" s="508">
        <v>2.6920000000000002</v>
      </c>
      <c r="X2876" s="508">
        <v>2.2810000000000001</v>
      </c>
      <c r="Y2876" s="508">
        <v>2.37</v>
      </c>
      <c r="Z2876" s="508">
        <v>2.492</v>
      </c>
      <c r="AA2876" s="508">
        <v>1.319</v>
      </c>
      <c r="AB2876" s="508">
        <v>1.3460000000000001</v>
      </c>
      <c r="AC2876" s="508">
        <v>1.02</v>
      </c>
      <c r="AD2876" s="508">
        <v>0.496</v>
      </c>
      <c r="AE2876" s="508">
        <v>0.63900000000000001</v>
      </c>
      <c r="AF2876" s="508">
        <v>0.443</v>
      </c>
      <c r="AG2876" s="508">
        <v>0.441</v>
      </c>
      <c r="AH2876" s="508">
        <v>0.438</v>
      </c>
      <c r="AI2876" s="492">
        <v>0.436</v>
      </c>
      <c r="AJ2876" s="485"/>
    </row>
    <row r="2877" spans="2:36">
      <c r="B2877" s="136" t="s">
        <v>487</v>
      </c>
      <c r="C2877" s="132" t="s">
        <v>1364</v>
      </c>
      <c r="D2877" s="132" t="s">
        <v>283</v>
      </c>
      <c r="E2877" s="508">
        <v>6.2729999999999997</v>
      </c>
      <c r="F2877" s="508">
        <v>6.5430000000000001</v>
      </c>
      <c r="G2877" s="508">
        <v>6.1980000000000004</v>
      </c>
      <c r="H2877" s="508">
        <v>6.0670000000000002</v>
      </c>
      <c r="I2877" s="508">
        <v>6.12</v>
      </c>
      <c r="J2877" s="508">
        <v>7.4779999999999998</v>
      </c>
      <c r="K2877" s="508">
        <v>6.8010000000000002</v>
      </c>
      <c r="L2877" s="508">
        <v>6.3440000000000003</v>
      </c>
      <c r="M2877" s="508">
        <v>6.7350000000000003</v>
      </c>
      <c r="N2877" s="508">
        <v>6.4809999999999999</v>
      </c>
      <c r="O2877" s="508">
        <v>6.5860000000000003</v>
      </c>
      <c r="P2877" s="508">
        <v>5.4539999999999997</v>
      </c>
      <c r="Q2877" s="508">
        <v>5.8079999999999998</v>
      </c>
      <c r="R2877" s="508">
        <v>3.887</v>
      </c>
      <c r="S2877" s="508">
        <v>5.048</v>
      </c>
      <c r="T2877" s="508">
        <v>4.4269999999999996</v>
      </c>
      <c r="U2877" s="508">
        <v>4.867</v>
      </c>
      <c r="V2877" s="508">
        <v>3.6589999999999998</v>
      </c>
      <c r="W2877" s="508">
        <v>2.742</v>
      </c>
      <c r="X2877" s="508">
        <v>2.323</v>
      </c>
      <c r="Y2877" s="508">
        <v>2.4140000000000001</v>
      </c>
      <c r="Z2877" s="508">
        <v>2.5369999999999999</v>
      </c>
      <c r="AA2877" s="508">
        <v>1.3420000000000001</v>
      </c>
      <c r="AB2877" s="508">
        <v>1.37</v>
      </c>
      <c r="AC2877" s="508">
        <v>1.038</v>
      </c>
      <c r="AD2877" s="508">
        <v>0.505</v>
      </c>
      <c r="AE2877" s="508">
        <v>0.65</v>
      </c>
      <c r="AF2877" s="508">
        <v>0.45</v>
      </c>
      <c r="AG2877" s="508">
        <v>0.44800000000000001</v>
      </c>
      <c r="AH2877" s="508">
        <v>0.44500000000000001</v>
      </c>
      <c r="AI2877" s="492">
        <v>0.443</v>
      </c>
      <c r="AJ2877" s="485"/>
    </row>
    <row r="2878" spans="2:36">
      <c r="B2878" s="136" t="s">
        <v>488</v>
      </c>
      <c r="C2878" s="132" t="s">
        <v>1364</v>
      </c>
      <c r="D2878" s="132" t="s">
        <v>283</v>
      </c>
      <c r="E2878" s="508">
        <v>6.0279999999999996</v>
      </c>
      <c r="F2878" s="508">
        <v>6.2450000000000001</v>
      </c>
      <c r="G2878" s="508">
        <v>6.03</v>
      </c>
      <c r="H2878" s="508">
        <v>5.9470000000000001</v>
      </c>
      <c r="I2878" s="508">
        <v>5.9809999999999999</v>
      </c>
      <c r="J2878" s="508">
        <v>7.0549999999999997</v>
      </c>
      <c r="K2878" s="508">
        <v>6.4359999999999999</v>
      </c>
      <c r="L2878" s="508">
        <v>6.2039999999999997</v>
      </c>
      <c r="M2878" s="508">
        <v>6.3890000000000002</v>
      </c>
      <c r="N2878" s="508">
        <v>6.2530000000000001</v>
      </c>
      <c r="O2878" s="508">
        <v>6.2919999999999998</v>
      </c>
      <c r="P2878" s="508">
        <v>5.1719999999999997</v>
      </c>
      <c r="Q2878" s="508">
        <v>5.492</v>
      </c>
      <c r="R2878" s="508">
        <v>3.73</v>
      </c>
      <c r="S2878" s="508">
        <v>4.766</v>
      </c>
      <c r="T2878" s="508">
        <v>4.2089999999999996</v>
      </c>
      <c r="U2878" s="508">
        <v>4.5880000000000001</v>
      </c>
      <c r="V2878" s="508">
        <v>3.4769999999999999</v>
      </c>
      <c r="W2878" s="508">
        <v>2.6549999999999998</v>
      </c>
      <c r="X2878" s="508">
        <v>2.2410000000000001</v>
      </c>
      <c r="Y2878" s="508">
        <v>2.3239999999999998</v>
      </c>
      <c r="Z2878" s="508">
        <v>2.4390000000000001</v>
      </c>
      <c r="AA2878" s="508">
        <v>1.2729999999999999</v>
      </c>
      <c r="AB2878" s="508">
        <v>1.296</v>
      </c>
      <c r="AC2878" s="508">
        <v>0.98499999999999999</v>
      </c>
      <c r="AD2878" s="508">
        <v>0.48299999999999998</v>
      </c>
      <c r="AE2878" s="508">
        <v>0.61799999999999999</v>
      </c>
      <c r="AF2878" s="508">
        <v>0.42899999999999999</v>
      </c>
      <c r="AG2878" s="508">
        <v>0.42599999999999999</v>
      </c>
      <c r="AH2878" s="508">
        <v>0.42399999999999999</v>
      </c>
      <c r="AI2878" s="492">
        <v>0.42199999999999999</v>
      </c>
      <c r="AJ2878" s="485"/>
    </row>
    <row r="2879" spans="2:36">
      <c r="B2879" s="136" t="s">
        <v>489</v>
      </c>
      <c r="C2879" s="132" t="s">
        <v>1364</v>
      </c>
      <c r="D2879" s="132" t="s">
        <v>283</v>
      </c>
      <c r="E2879" s="508">
        <v>6.2409999999999997</v>
      </c>
      <c r="F2879" s="508">
        <v>6.468</v>
      </c>
      <c r="G2879" s="508">
        <v>6.1749999999999998</v>
      </c>
      <c r="H2879" s="508">
        <v>6.0629999999999997</v>
      </c>
      <c r="I2879" s="508">
        <v>6.109</v>
      </c>
      <c r="J2879" s="508">
        <v>7.359</v>
      </c>
      <c r="K2879" s="508">
        <v>6.7</v>
      </c>
      <c r="L2879" s="508">
        <v>6.335</v>
      </c>
      <c r="M2879" s="508">
        <v>6.6420000000000003</v>
      </c>
      <c r="N2879" s="508">
        <v>6.4320000000000004</v>
      </c>
      <c r="O2879" s="508">
        <v>6.5119999999999996</v>
      </c>
      <c r="P2879" s="508">
        <v>5.3739999999999997</v>
      </c>
      <c r="Q2879" s="508">
        <v>5.7190000000000003</v>
      </c>
      <c r="R2879" s="508">
        <v>3.8439999999999999</v>
      </c>
      <c r="S2879" s="508">
        <v>4.9669999999999996</v>
      </c>
      <c r="T2879" s="508">
        <v>4.367</v>
      </c>
      <c r="U2879" s="508">
        <v>4.7869999999999999</v>
      </c>
      <c r="V2879" s="508">
        <v>3.609</v>
      </c>
      <c r="W2879" s="508">
        <v>2.7309999999999999</v>
      </c>
      <c r="X2879" s="508">
        <v>2.3109999999999999</v>
      </c>
      <c r="Y2879" s="508">
        <v>2.4009999999999998</v>
      </c>
      <c r="Z2879" s="508">
        <v>2.5230000000000001</v>
      </c>
      <c r="AA2879" s="508">
        <v>1.3240000000000001</v>
      </c>
      <c r="AB2879" s="508">
        <v>1.35</v>
      </c>
      <c r="AC2879" s="508">
        <v>1.024</v>
      </c>
      <c r="AD2879" s="508">
        <v>0.499</v>
      </c>
      <c r="AE2879" s="508">
        <v>0.64</v>
      </c>
      <c r="AF2879" s="508">
        <v>0.44400000000000001</v>
      </c>
      <c r="AG2879" s="508">
        <v>0.441</v>
      </c>
      <c r="AH2879" s="508">
        <v>0.439</v>
      </c>
      <c r="AI2879" s="492">
        <v>0.437</v>
      </c>
      <c r="AJ2879" s="485"/>
    </row>
    <row r="2880" spans="2:36">
      <c r="B2880" s="136" t="s">
        <v>490</v>
      </c>
      <c r="C2880" s="132" t="s">
        <v>1364</v>
      </c>
      <c r="D2880" s="132" t="s">
        <v>283</v>
      </c>
      <c r="E2880" s="508">
        <v>6.2409999999999997</v>
      </c>
      <c r="F2880" s="508">
        <v>6.4420000000000002</v>
      </c>
      <c r="G2880" s="508">
        <v>6.2279999999999998</v>
      </c>
      <c r="H2880" s="508">
        <v>6.1459999999999999</v>
      </c>
      <c r="I2880" s="508">
        <v>6.1790000000000003</v>
      </c>
      <c r="J2880" s="508">
        <v>7.2729999999999997</v>
      </c>
      <c r="K2880" s="508">
        <v>6.6340000000000003</v>
      </c>
      <c r="L2880" s="508">
        <v>6.407</v>
      </c>
      <c r="M2880" s="508">
        <v>6.5880000000000001</v>
      </c>
      <c r="N2880" s="508">
        <v>6.4610000000000003</v>
      </c>
      <c r="O2880" s="508">
        <v>6.4960000000000004</v>
      </c>
      <c r="P2880" s="508">
        <v>5.3319999999999999</v>
      </c>
      <c r="Q2880" s="508">
        <v>5.6619999999999999</v>
      </c>
      <c r="R2880" s="508">
        <v>3.8460000000000001</v>
      </c>
      <c r="S2880" s="508">
        <v>4.9130000000000003</v>
      </c>
      <c r="T2880" s="508">
        <v>4.34</v>
      </c>
      <c r="U2880" s="508">
        <v>4.7320000000000002</v>
      </c>
      <c r="V2880" s="508">
        <v>3.5910000000000002</v>
      </c>
      <c r="W2880" s="508">
        <v>2.75</v>
      </c>
      <c r="X2880" s="508">
        <v>2.319</v>
      </c>
      <c r="Y2880" s="508">
        <v>2.4039999999999999</v>
      </c>
      <c r="Z2880" s="508">
        <v>2.5230000000000001</v>
      </c>
      <c r="AA2880" s="508">
        <v>1.31</v>
      </c>
      <c r="AB2880" s="508">
        <v>1.3340000000000001</v>
      </c>
      <c r="AC2880" s="508">
        <v>1.016</v>
      </c>
      <c r="AD2880" s="508">
        <v>0.498</v>
      </c>
      <c r="AE2880" s="508">
        <v>0.63500000000000001</v>
      </c>
      <c r="AF2880" s="508">
        <v>0.44</v>
      </c>
      <c r="AG2880" s="508">
        <v>0.438</v>
      </c>
      <c r="AH2880" s="508">
        <v>0.435</v>
      </c>
      <c r="AI2880" s="492">
        <v>0.433</v>
      </c>
      <c r="AJ2880" s="485"/>
    </row>
    <row r="2881" spans="2:36">
      <c r="B2881" s="136" t="s">
        <v>435</v>
      </c>
      <c r="C2881" s="132" t="s">
        <v>1365</v>
      </c>
      <c r="D2881" s="132" t="s">
        <v>283</v>
      </c>
      <c r="E2881" s="508">
        <v>5.8040000000000003</v>
      </c>
      <c r="F2881" s="508">
        <v>6.2640000000000002</v>
      </c>
      <c r="G2881" s="508">
        <v>6.2450000000000001</v>
      </c>
      <c r="H2881" s="508">
        <v>6.2460000000000004</v>
      </c>
      <c r="I2881" s="508">
        <v>6.2510000000000003</v>
      </c>
      <c r="J2881" s="508">
        <v>6.4169999999999998</v>
      </c>
      <c r="K2881" s="508">
        <v>6.4210000000000003</v>
      </c>
      <c r="L2881" s="508">
        <v>6.4249999999999998</v>
      </c>
      <c r="M2881" s="508">
        <v>6.41</v>
      </c>
      <c r="N2881" s="508">
        <v>6.2140000000000004</v>
      </c>
      <c r="O2881" s="508">
        <v>6.101</v>
      </c>
      <c r="P2881" s="508">
        <v>3.1930000000000001</v>
      </c>
      <c r="Q2881" s="508">
        <v>3.1019999999999999</v>
      </c>
      <c r="R2881" s="508">
        <v>2.948</v>
      </c>
      <c r="S2881" s="508">
        <v>2.9470000000000001</v>
      </c>
      <c r="T2881" s="508">
        <v>2.9359999999999999</v>
      </c>
      <c r="U2881" s="508">
        <v>1.921</v>
      </c>
      <c r="V2881" s="508">
        <v>1.772</v>
      </c>
      <c r="W2881" s="508">
        <v>1.85</v>
      </c>
      <c r="X2881" s="508">
        <v>1.07</v>
      </c>
      <c r="Y2881" s="508">
        <v>0.81399999999999995</v>
      </c>
      <c r="Z2881" s="508">
        <v>0.65</v>
      </c>
      <c r="AA2881" s="508">
        <v>0.50900000000000001</v>
      </c>
      <c r="AB2881" s="508">
        <v>0.36499999999999999</v>
      </c>
      <c r="AC2881" s="508">
        <v>0.245</v>
      </c>
      <c r="AD2881" s="508">
        <v>0.17799999999999999</v>
      </c>
      <c r="AE2881" s="508">
        <v>0.185</v>
      </c>
      <c r="AF2881" s="508">
        <v>0.108</v>
      </c>
      <c r="AG2881" s="508">
        <v>0.108</v>
      </c>
      <c r="AH2881" s="508">
        <v>0.107</v>
      </c>
      <c r="AI2881" s="492">
        <v>0.107</v>
      </c>
      <c r="AJ2881" s="485"/>
    </row>
    <row r="2882" spans="2:36">
      <c r="B2882" s="136" t="s">
        <v>436</v>
      </c>
      <c r="C2882" s="132" t="s">
        <v>1365</v>
      </c>
      <c r="D2882" s="132" t="s">
        <v>283</v>
      </c>
      <c r="E2882" s="508">
        <v>6.61</v>
      </c>
      <c r="F2882" s="508">
        <v>6.9329999999999998</v>
      </c>
      <c r="G2882" s="508">
        <v>6.9130000000000003</v>
      </c>
      <c r="H2882" s="508">
        <v>6.9130000000000003</v>
      </c>
      <c r="I2882" s="508">
        <v>6.9189999999999996</v>
      </c>
      <c r="J2882" s="508">
        <v>7.09</v>
      </c>
      <c r="K2882" s="508">
        <v>7.0970000000000004</v>
      </c>
      <c r="L2882" s="508">
        <v>7.1059999999999999</v>
      </c>
      <c r="M2882" s="508">
        <v>7.0940000000000003</v>
      </c>
      <c r="N2882" s="508">
        <v>6.8680000000000003</v>
      </c>
      <c r="O2882" s="508">
        <v>6.7460000000000004</v>
      </c>
      <c r="P2882" s="508">
        <v>3.306</v>
      </c>
      <c r="Q2882" s="508">
        <v>3.2160000000000002</v>
      </c>
      <c r="R2882" s="508">
        <v>3.0369999999999999</v>
      </c>
      <c r="S2882" s="508">
        <v>3.0470000000000002</v>
      </c>
      <c r="T2882" s="508">
        <v>3.044</v>
      </c>
      <c r="U2882" s="508">
        <v>2.1120000000000001</v>
      </c>
      <c r="V2882" s="508">
        <v>1.9430000000000001</v>
      </c>
      <c r="W2882" s="508">
        <v>2.0270000000000001</v>
      </c>
      <c r="X2882" s="508">
        <v>1.194</v>
      </c>
      <c r="Y2882" s="508">
        <v>0.92</v>
      </c>
      <c r="Z2882" s="508">
        <v>0.74199999999999999</v>
      </c>
      <c r="AA2882" s="508">
        <v>0.58499999999999996</v>
      </c>
      <c r="AB2882" s="508">
        <v>0.42699999999999999</v>
      </c>
      <c r="AC2882" s="508">
        <v>0.29099999999999998</v>
      </c>
      <c r="AD2882" s="508">
        <v>0.221</v>
      </c>
      <c r="AE2882" s="508">
        <v>0.22800000000000001</v>
      </c>
      <c r="AF2882" s="508">
        <v>0.14599999999999999</v>
      </c>
      <c r="AG2882" s="508">
        <v>0.14499999999999999</v>
      </c>
      <c r="AH2882" s="508">
        <v>0.14599999999999999</v>
      </c>
      <c r="AI2882" s="492">
        <v>0.14499999999999999</v>
      </c>
      <c r="AJ2882" s="485"/>
    </row>
    <row r="2883" spans="2:36">
      <c r="B2883" s="136" t="s">
        <v>437</v>
      </c>
      <c r="C2883" s="132" t="s">
        <v>1365</v>
      </c>
      <c r="D2883" s="132" t="s">
        <v>283</v>
      </c>
      <c r="E2883" s="508">
        <v>5.4720000000000004</v>
      </c>
      <c r="F2883" s="508">
        <v>5.9859999999999998</v>
      </c>
      <c r="G2883" s="508">
        <v>5.9619999999999997</v>
      </c>
      <c r="H2883" s="508">
        <v>5.984</v>
      </c>
      <c r="I2883" s="508">
        <v>6.0289999999999999</v>
      </c>
      <c r="J2883" s="508">
        <v>6.1719999999999997</v>
      </c>
      <c r="K2883" s="508">
        <v>6.1710000000000003</v>
      </c>
      <c r="L2883" s="508">
        <v>6.1790000000000003</v>
      </c>
      <c r="M2883" s="508">
        <v>6.1669999999999998</v>
      </c>
      <c r="N2883" s="508">
        <v>6.0289999999999999</v>
      </c>
      <c r="O2883" s="508">
        <v>5.9450000000000003</v>
      </c>
      <c r="P2883" s="508">
        <v>3.1509999999999998</v>
      </c>
      <c r="Q2883" s="508">
        <v>3.0619999999999998</v>
      </c>
      <c r="R2883" s="508">
        <v>2.8820000000000001</v>
      </c>
      <c r="S2883" s="508">
        <v>2.903</v>
      </c>
      <c r="T2883" s="508">
        <v>2.9079999999999999</v>
      </c>
      <c r="U2883" s="508">
        <v>1.675</v>
      </c>
      <c r="V2883" s="508">
        <v>1.5289999999999999</v>
      </c>
      <c r="W2883" s="508">
        <v>1.5960000000000001</v>
      </c>
      <c r="X2883" s="508">
        <v>0.93700000000000006</v>
      </c>
      <c r="Y2883" s="508">
        <v>0.71</v>
      </c>
      <c r="Z2883" s="508">
        <v>0.57499999999999996</v>
      </c>
      <c r="AA2883" s="508">
        <v>0.44600000000000001</v>
      </c>
      <c r="AB2883" s="508">
        <v>0.317</v>
      </c>
      <c r="AC2883" s="508">
        <v>0.20499999999999999</v>
      </c>
      <c r="AD2883" s="508">
        <v>0.154</v>
      </c>
      <c r="AE2883" s="508">
        <v>0.161</v>
      </c>
      <c r="AF2883" s="508">
        <v>9.7000000000000003E-2</v>
      </c>
      <c r="AG2883" s="508">
        <v>9.7000000000000003E-2</v>
      </c>
      <c r="AH2883" s="508">
        <v>9.6000000000000002E-2</v>
      </c>
      <c r="AI2883" s="492">
        <v>9.6000000000000002E-2</v>
      </c>
      <c r="AJ2883" s="485"/>
    </row>
    <row r="2884" spans="2:36">
      <c r="B2884" s="136" t="s">
        <v>438</v>
      </c>
      <c r="C2884" s="132" t="s">
        <v>1365</v>
      </c>
      <c r="D2884" s="132" t="s">
        <v>283</v>
      </c>
      <c r="E2884" s="508">
        <v>5.9</v>
      </c>
      <c r="F2884" s="508">
        <v>6.3170000000000002</v>
      </c>
      <c r="G2884" s="508">
        <v>6.2990000000000004</v>
      </c>
      <c r="H2884" s="508">
        <v>6.3</v>
      </c>
      <c r="I2884" s="508">
        <v>6.3049999999999997</v>
      </c>
      <c r="J2884" s="508">
        <v>6.4580000000000002</v>
      </c>
      <c r="K2884" s="508">
        <v>6.4630000000000001</v>
      </c>
      <c r="L2884" s="508">
        <v>6.4690000000000003</v>
      </c>
      <c r="M2884" s="508">
        <v>6.4550000000000001</v>
      </c>
      <c r="N2884" s="508">
        <v>6.27</v>
      </c>
      <c r="O2884" s="508">
        <v>6.1550000000000002</v>
      </c>
      <c r="P2884" s="508">
        <v>3.2069999999999999</v>
      </c>
      <c r="Q2884" s="508">
        <v>3.12</v>
      </c>
      <c r="R2884" s="508">
        <v>2.9689999999999999</v>
      </c>
      <c r="S2884" s="508">
        <v>2.9670000000000001</v>
      </c>
      <c r="T2884" s="508">
        <v>2.9540000000000002</v>
      </c>
      <c r="U2884" s="508">
        <v>2.0150000000000001</v>
      </c>
      <c r="V2884" s="508">
        <v>1.8620000000000001</v>
      </c>
      <c r="W2884" s="508">
        <v>1.9430000000000001</v>
      </c>
      <c r="X2884" s="508">
        <v>1.121</v>
      </c>
      <c r="Y2884" s="508">
        <v>0.85399999999999998</v>
      </c>
      <c r="Z2884" s="508">
        <v>0.68100000000000005</v>
      </c>
      <c r="AA2884" s="508">
        <v>0.53700000000000003</v>
      </c>
      <c r="AB2884" s="508">
        <v>0.38700000000000001</v>
      </c>
      <c r="AC2884" s="508">
        <v>0.26400000000000001</v>
      </c>
      <c r="AD2884" s="508">
        <v>0.193</v>
      </c>
      <c r="AE2884" s="508">
        <v>0.2</v>
      </c>
      <c r="AF2884" s="508">
        <v>0.11799999999999999</v>
      </c>
      <c r="AG2884" s="508">
        <v>0.11700000000000001</v>
      </c>
      <c r="AH2884" s="508">
        <v>0.11700000000000001</v>
      </c>
      <c r="AI2884" s="492">
        <v>0.11600000000000001</v>
      </c>
      <c r="AJ2884" s="485"/>
    </row>
    <row r="2885" spans="2:36">
      <c r="B2885" s="136" t="s">
        <v>439</v>
      </c>
      <c r="C2885" s="132" t="s">
        <v>1365</v>
      </c>
      <c r="D2885" s="132" t="s">
        <v>283</v>
      </c>
      <c r="E2885" s="508">
        <v>4.0720000000000001</v>
      </c>
      <c r="F2885" s="508">
        <v>4.7889999999999997</v>
      </c>
      <c r="G2885" s="508">
        <v>4.7279999999999998</v>
      </c>
      <c r="H2885" s="508">
        <v>4.7290000000000001</v>
      </c>
      <c r="I2885" s="508">
        <v>4.7469999999999999</v>
      </c>
      <c r="J2885" s="508">
        <v>4.8310000000000004</v>
      </c>
      <c r="K2885" s="508">
        <v>4.8140000000000001</v>
      </c>
      <c r="L2885" s="508">
        <v>4.7869999999999999</v>
      </c>
      <c r="M2885" s="508">
        <v>4.7469999999999999</v>
      </c>
      <c r="N2885" s="508">
        <v>4.7220000000000004</v>
      </c>
      <c r="O2885" s="508">
        <v>4.649</v>
      </c>
      <c r="P2885" s="508">
        <v>2.75</v>
      </c>
      <c r="Q2885" s="508">
        <v>2.6749999999999998</v>
      </c>
      <c r="R2885" s="508">
        <v>2.4969999999999999</v>
      </c>
      <c r="S2885" s="508">
        <v>2.5139999999999998</v>
      </c>
      <c r="T2885" s="508">
        <v>2.5179999999999998</v>
      </c>
      <c r="U2885" s="508">
        <v>1.228</v>
      </c>
      <c r="V2885" s="508">
        <v>1.1140000000000001</v>
      </c>
      <c r="W2885" s="508">
        <v>1.1519999999999999</v>
      </c>
      <c r="X2885" s="508">
        <v>0.68799999999999994</v>
      </c>
      <c r="Y2885" s="508">
        <v>0.51600000000000001</v>
      </c>
      <c r="Z2885" s="508">
        <v>0.41399999999999998</v>
      </c>
      <c r="AA2885" s="508">
        <v>0.32200000000000001</v>
      </c>
      <c r="AB2885" s="508">
        <v>0.23</v>
      </c>
      <c r="AC2885" s="508">
        <v>0.153</v>
      </c>
      <c r="AD2885" s="508">
        <v>0.115</v>
      </c>
      <c r="AE2885" s="508">
        <v>0.11899999999999999</v>
      </c>
      <c r="AF2885" s="508">
        <v>7.5999999999999998E-2</v>
      </c>
      <c r="AG2885" s="508">
        <v>7.4999999999999997E-2</v>
      </c>
      <c r="AH2885" s="508">
        <v>7.6999999999999999E-2</v>
      </c>
      <c r="AI2885" s="492">
        <v>7.5999999999999998E-2</v>
      </c>
      <c r="AJ2885" s="485"/>
    </row>
    <row r="2886" spans="2:36">
      <c r="B2886" s="136" t="s">
        <v>440</v>
      </c>
      <c r="C2886" s="132" t="s">
        <v>1365</v>
      </c>
      <c r="D2886" s="132" t="s">
        <v>283</v>
      </c>
      <c r="E2886" s="508">
        <v>5.31</v>
      </c>
      <c r="F2886" s="508">
        <v>5.891</v>
      </c>
      <c r="G2886" s="508">
        <v>5.8419999999999996</v>
      </c>
      <c r="H2886" s="508">
        <v>5.843</v>
      </c>
      <c r="I2886" s="508">
        <v>5.8570000000000002</v>
      </c>
      <c r="J2886" s="508">
        <v>5.9809999999999999</v>
      </c>
      <c r="K2886" s="508">
        <v>5.9729999999999999</v>
      </c>
      <c r="L2886" s="508">
        <v>5.9589999999999996</v>
      </c>
      <c r="M2886" s="508">
        <v>5.9290000000000003</v>
      </c>
      <c r="N2886" s="508">
        <v>5.7960000000000003</v>
      </c>
      <c r="O2886" s="508">
        <v>5.7009999999999996</v>
      </c>
      <c r="P2886" s="508">
        <v>3.2810000000000001</v>
      </c>
      <c r="Q2886" s="508">
        <v>3.19</v>
      </c>
      <c r="R2886" s="508">
        <v>3.0139999999999998</v>
      </c>
      <c r="S2886" s="508">
        <v>3.0190000000000001</v>
      </c>
      <c r="T2886" s="508">
        <v>3.0129999999999999</v>
      </c>
      <c r="U2886" s="508">
        <v>2.0630000000000002</v>
      </c>
      <c r="V2886" s="508">
        <v>1.897</v>
      </c>
      <c r="W2886" s="508">
        <v>1.978</v>
      </c>
      <c r="X2886" s="508">
        <v>1.159</v>
      </c>
      <c r="Y2886" s="508">
        <v>0.88800000000000001</v>
      </c>
      <c r="Z2886" s="508">
        <v>0.71599999999999997</v>
      </c>
      <c r="AA2886" s="508">
        <v>0.56200000000000006</v>
      </c>
      <c r="AB2886" s="508">
        <v>0.40600000000000003</v>
      </c>
      <c r="AC2886" s="508">
        <v>0.27300000000000002</v>
      </c>
      <c r="AD2886" s="508">
        <v>0.20399999999999999</v>
      </c>
      <c r="AE2886" s="508">
        <v>0.21099999999999999</v>
      </c>
      <c r="AF2886" s="508">
        <v>0.13100000000000001</v>
      </c>
      <c r="AG2886" s="508">
        <v>0.13</v>
      </c>
      <c r="AH2886" s="508">
        <v>0.13100000000000001</v>
      </c>
      <c r="AI2886" s="492">
        <v>0.13</v>
      </c>
      <c r="AJ2886" s="485"/>
    </row>
    <row r="2887" spans="2:36">
      <c r="B2887" s="136" t="s">
        <v>441</v>
      </c>
      <c r="C2887" s="132" t="s">
        <v>1365</v>
      </c>
      <c r="D2887" s="132" t="s">
        <v>283</v>
      </c>
      <c r="E2887" s="508">
        <v>6.2060000000000004</v>
      </c>
      <c r="F2887" s="508">
        <v>6.6520000000000001</v>
      </c>
      <c r="G2887" s="508">
        <v>5.2220000000000004</v>
      </c>
      <c r="H2887" s="508">
        <v>5.2229999999999999</v>
      </c>
      <c r="I2887" s="508">
        <v>5.242</v>
      </c>
      <c r="J2887" s="508">
        <v>5.3380000000000001</v>
      </c>
      <c r="K2887" s="508">
        <v>5.3209999999999997</v>
      </c>
      <c r="L2887" s="508">
        <v>5.2930000000000001</v>
      </c>
      <c r="M2887" s="508">
        <v>5.2519999999999998</v>
      </c>
      <c r="N2887" s="508">
        <v>5.1760000000000002</v>
      </c>
      <c r="O2887" s="508">
        <v>5.0960000000000001</v>
      </c>
      <c r="P2887" s="508">
        <v>2.9910000000000001</v>
      </c>
      <c r="Q2887" s="508">
        <v>2.9089999999999998</v>
      </c>
      <c r="R2887" s="508">
        <v>2.7189999999999999</v>
      </c>
      <c r="S2887" s="508">
        <v>2.7370000000000001</v>
      </c>
      <c r="T2887" s="508">
        <v>2.74</v>
      </c>
      <c r="U2887" s="508">
        <v>1.877</v>
      </c>
      <c r="V2887" s="508">
        <v>1.7150000000000001</v>
      </c>
      <c r="W2887" s="508">
        <v>1.7889999999999999</v>
      </c>
      <c r="X2887" s="508">
        <v>1.06</v>
      </c>
      <c r="Y2887" s="508">
        <v>0.81399999999999995</v>
      </c>
      <c r="Z2887" s="508">
        <v>0.66500000000000004</v>
      </c>
      <c r="AA2887" s="508">
        <v>0.51900000000000002</v>
      </c>
      <c r="AB2887" s="508">
        <v>0.375</v>
      </c>
      <c r="AC2887" s="508">
        <v>0.247</v>
      </c>
      <c r="AD2887" s="508">
        <v>0.188</v>
      </c>
      <c r="AE2887" s="508">
        <v>0.19500000000000001</v>
      </c>
      <c r="AF2887" s="508">
        <v>0.125</v>
      </c>
      <c r="AG2887" s="508">
        <v>0.128</v>
      </c>
      <c r="AH2887" s="508">
        <v>0.127</v>
      </c>
      <c r="AI2887" s="492">
        <v>0.126</v>
      </c>
      <c r="AJ2887" s="485"/>
    </row>
    <row r="2888" spans="2:36">
      <c r="B2888" s="136" t="s">
        <v>443</v>
      </c>
      <c r="C2888" s="132" t="s">
        <v>1365</v>
      </c>
      <c r="D2888" s="132" t="s">
        <v>283</v>
      </c>
      <c r="E2888" s="508">
        <v>6.0039999999999996</v>
      </c>
      <c r="F2888" s="508">
        <v>6.4130000000000003</v>
      </c>
      <c r="G2888" s="508">
        <v>6.3940000000000001</v>
      </c>
      <c r="H2888" s="508">
        <v>6.3940000000000001</v>
      </c>
      <c r="I2888" s="508">
        <v>6.4</v>
      </c>
      <c r="J2888" s="508">
        <v>6.5810000000000004</v>
      </c>
      <c r="K2888" s="508">
        <v>6.585</v>
      </c>
      <c r="L2888" s="508">
        <v>6.5910000000000002</v>
      </c>
      <c r="M2888" s="508">
        <v>6.577</v>
      </c>
      <c r="N2888" s="508">
        <v>6.3440000000000003</v>
      </c>
      <c r="O2888" s="508">
        <v>6.2309999999999999</v>
      </c>
      <c r="P2888" s="508">
        <v>2.9790000000000001</v>
      </c>
      <c r="Q2888" s="508">
        <v>2.8940000000000001</v>
      </c>
      <c r="R2888" s="508">
        <v>2.7170000000000001</v>
      </c>
      <c r="S2888" s="508">
        <v>2.7320000000000002</v>
      </c>
      <c r="T2888" s="508">
        <v>2.734</v>
      </c>
      <c r="U2888" s="508">
        <v>1.8440000000000001</v>
      </c>
      <c r="V2888" s="508">
        <v>1.6859999999999999</v>
      </c>
      <c r="W2888" s="508">
        <v>1.7609999999999999</v>
      </c>
      <c r="X2888" s="508">
        <v>1.04</v>
      </c>
      <c r="Y2888" s="508">
        <v>0.79500000000000004</v>
      </c>
      <c r="Z2888" s="508">
        <v>0.64700000000000002</v>
      </c>
      <c r="AA2888" s="508">
        <v>0.502</v>
      </c>
      <c r="AB2888" s="508">
        <v>0.36</v>
      </c>
      <c r="AC2888" s="508">
        <v>0.23300000000000001</v>
      </c>
      <c r="AD2888" s="508">
        <v>0.17399999999999999</v>
      </c>
      <c r="AE2888" s="508">
        <v>0.19400000000000001</v>
      </c>
      <c r="AF2888" s="508">
        <v>0.11600000000000001</v>
      </c>
      <c r="AG2888" s="508">
        <v>0.115</v>
      </c>
      <c r="AH2888" s="508">
        <v>0.114</v>
      </c>
      <c r="AI2888" s="492">
        <v>0.114</v>
      </c>
      <c r="AJ2888" s="485"/>
    </row>
    <row r="2889" spans="2:36">
      <c r="B2889" s="136" t="s">
        <v>445</v>
      </c>
      <c r="C2889" s="132" t="s">
        <v>1365</v>
      </c>
      <c r="D2889" s="132" t="s">
        <v>283</v>
      </c>
      <c r="E2889" s="508">
        <v>4.38</v>
      </c>
      <c r="F2889" s="508">
        <v>5.1719999999999997</v>
      </c>
      <c r="G2889" s="508">
        <v>5.1100000000000003</v>
      </c>
      <c r="H2889" s="508">
        <v>5.1109999999999998</v>
      </c>
      <c r="I2889" s="508">
        <v>5.1289999999999996</v>
      </c>
      <c r="J2889" s="508">
        <v>5.2480000000000002</v>
      </c>
      <c r="K2889" s="508">
        <v>5.23</v>
      </c>
      <c r="L2889" s="508">
        <v>5.2009999999999996</v>
      </c>
      <c r="M2889" s="508">
        <v>5.1589999999999998</v>
      </c>
      <c r="N2889" s="508">
        <v>5.0720000000000001</v>
      </c>
      <c r="O2889" s="508">
        <v>4.9939999999999998</v>
      </c>
      <c r="P2889" s="508">
        <v>2.9350000000000001</v>
      </c>
      <c r="Q2889" s="508">
        <v>2.8450000000000002</v>
      </c>
      <c r="R2889" s="508">
        <v>2.653</v>
      </c>
      <c r="S2889" s="508">
        <v>2.673</v>
      </c>
      <c r="T2889" s="508">
        <v>2.6789999999999998</v>
      </c>
      <c r="U2889" s="508">
        <v>1.8009999999999999</v>
      </c>
      <c r="V2889" s="508">
        <v>1.6379999999999999</v>
      </c>
      <c r="W2889" s="508">
        <v>1.712</v>
      </c>
      <c r="X2889" s="508">
        <v>1.02</v>
      </c>
      <c r="Y2889" s="508">
        <v>0.77900000000000003</v>
      </c>
      <c r="Z2889" s="508">
        <v>0.63800000000000001</v>
      </c>
      <c r="AA2889" s="508">
        <v>0.49099999999999999</v>
      </c>
      <c r="AB2889" s="508">
        <v>0.35099999999999998</v>
      </c>
      <c r="AC2889" s="508">
        <v>0.222</v>
      </c>
      <c r="AD2889" s="508">
        <v>0.183</v>
      </c>
      <c r="AE2889" s="508">
        <v>0.19</v>
      </c>
      <c r="AF2889" s="508">
        <v>0.113</v>
      </c>
      <c r="AG2889" s="508">
        <v>0.112</v>
      </c>
      <c r="AH2889" s="508">
        <v>0.112</v>
      </c>
      <c r="AI2889" s="492">
        <v>0.111</v>
      </c>
      <c r="AJ2889" s="485"/>
    </row>
    <row r="2890" spans="2:36">
      <c r="B2890" s="136" t="s">
        <v>446</v>
      </c>
      <c r="C2890" s="132" t="s">
        <v>1365</v>
      </c>
      <c r="D2890" s="132" t="s">
        <v>283</v>
      </c>
      <c r="E2890" s="508">
        <v>5.5030000000000001</v>
      </c>
      <c r="F2890" s="508">
        <v>6.0990000000000002</v>
      </c>
      <c r="G2890" s="508">
        <v>6.1</v>
      </c>
      <c r="H2890" s="508">
        <v>6.125</v>
      </c>
      <c r="I2890" s="508">
        <v>6.1680000000000001</v>
      </c>
      <c r="J2890" s="508">
        <v>6.3520000000000003</v>
      </c>
      <c r="K2890" s="508">
        <v>6.3570000000000002</v>
      </c>
      <c r="L2890" s="508">
        <v>6.3769999999999998</v>
      </c>
      <c r="M2890" s="508">
        <v>6.3719999999999999</v>
      </c>
      <c r="N2890" s="508">
        <v>6.1829999999999998</v>
      </c>
      <c r="O2890" s="508">
        <v>6.0860000000000003</v>
      </c>
      <c r="P2890" s="508">
        <v>3.2160000000000002</v>
      </c>
      <c r="Q2890" s="508">
        <v>3.1139999999999999</v>
      </c>
      <c r="R2890" s="508">
        <v>2.96</v>
      </c>
      <c r="S2890" s="508">
        <v>2.9620000000000002</v>
      </c>
      <c r="T2890" s="508">
        <v>2.952</v>
      </c>
      <c r="U2890" s="508">
        <v>1.911</v>
      </c>
      <c r="V2890" s="508">
        <v>1.758</v>
      </c>
      <c r="W2890" s="508">
        <v>1.839</v>
      </c>
      <c r="X2890" s="508">
        <v>1.0649999999999999</v>
      </c>
      <c r="Y2890" s="508">
        <v>0.80700000000000005</v>
      </c>
      <c r="Z2890" s="508">
        <v>0.64700000000000002</v>
      </c>
      <c r="AA2890" s="508">
        <v>0.502</v>
      </c>
      <c r="AB2890" s="508">
        <v>0.35699999999999998</v>
      </c>
      <c r="AC2890" s="508">
        <v>0.23300000000000001</v>
      </c>
      <c r="AD2890" s="508">
        <v>0.16700000000000001</v>
      </c>
      <c r="AE2890" s="508">
        <v>0.17399999999999999</v>
      </c>
      <c r="AF2890" s="508">
        <v>0.1</v>
      </c>
      <c r="AG2890" s="508">
        <v>9.9000000000000005E-2</v>
      </c>
      <c r="AH2890" s="508">
        <v>9.9000000000000005E-2</v>
      </c>
      <c r="AI2890" s="492">
        <v>9.9000000000000005E-2</v>
      </c>
      <c r="AJ2890" s="485"/>
    </row>
    <row r="2891" spans="2:36">
      <c r="B2891" s="136" t="s">
        <v>448</v>
      </c>
      <c r="C2891" s="132" t="s">
        <v>1365</v>
      </c>
      <c r="D2891" s="132" t="s">
        <v>283</v>
      </c>
      <c r="E2891" s="508">
        <v>5.8780000000000001</v>
      </c>
      <c r="F2891" s="508">
        <v>6.327</v>
      </c>
      <c r="G2891" s="508">
        <v>5.766</v>
      </c>
      <c r="H2891" s="508">
        <v>5.7670000000000003</v>
      </c>
      <c r="I2891" s="508">
        <v>5.7770000000000001</v>
      </c>
      <c r="J2891" s="508">
        <v>5.907</v>
      </c>
      <c r="K2891" s="508">
        <v>5.9020000000000001</v>
      </c>
      <c r="L2891" s="508">
        <v>5.8940000000000001</v>
      </c>
      <c r="M2891" s="508">
        <v>5.87</v>
      </c>
      <c r="N2891" s="508">
        <v>5.7350000000000003</v>
      </c>
      <c r="O2891" s="508">
        <v>5.6349999999999998</v>
      </c>
      <c r="P2891" s="508">
        <v>3.052</v>
      </c>
      <c r="Q2891" s="508">
        <v>2.968</v>
      </c>
      <c r="R2891" s="508">
        <v>2.8029999999999999</v>
      </c>
      <c r="S2891" s="508">
        <v>2.8090000000000002</v>
      </c>
      <c r="T2891" s="508">
        <v>2.8029999999999999</v>
      </c>
      <c r="U2891" s="508">
        <v>1.861</v>
      </c>
      <c r="V2891" s="508">
        <v>1.71</v>
      </c>
      <c r="W2891" s="508">
        <v>1.7849999999999999</v>
      </c>
      <c r="X2891" s="508">
        <v>1.04</v>
      </c>
      <c r="Y2891" s="508">
        <v>0.79300000000000004</v>
      </c>
      <c r="Z2891" s="508">
        <v>0.63800000000000001</v>
      </c>
      <c r="AA2891" s="508">
        <v>0.499</v>
      </c>
      <c r="AB2891" s="508">
        <v>0.35799999999999998</v>
      </c>
      <c r="AC2891" s="508">
        <v>0.23799999999999999</v>
      </c>
      <c r="AD2891" s="508">
        <v>0.17599999999999999</v>
      </c>
      <c r="AE2891" s="508">
        <v>0.182</v>
      </c>
      <c r="AF2891" s="508">
        <v>0.111</v>
      </c>
      <c r="AG2891" s="508">
        <v>0.112</v>
      </c>
      <c r="AH2891" s="508">
        <v>0.112</v>
      </c>
      <c r="AI2891" s="492">
        <v>0.111</v>
      </c>
      <c r="AJ2891" s="485"/>
    </row>
    <row r="2892" spans="2:36">
      <c r="B2892" s="136" t="s">
        <v>449</v>
      </c>
      <c r="C2892" s="132" t="s">
        <v>1365</v>
      </c>
      <c r="D2892" s="132" t="s">
        <v>283</v>
      </c>
      <c r="E2892" s="508">
        <v>5.4660000000000002</v>
      </c>
      <c r="F2892" s="508">
        <v>6.0119999999999996</v>
      </c>
      <c r="G2892" s="508">
        <v>6.0140000000000002</v>
      </c>
      <c r="H2892" s="508">
        <v>6.0389999999999997</v>
      </c>
      <c r="I2892" s="508">
        <v>6.0819999999999999</v>
      </c>
      <c r="J2892" s="508">
        <v>6.2590000000000003</v>
      </c>
      <c r="K2892" s="508">
        <v>6.2649999999999997</v>
      </c>
      <c r="L2892" s="508">
        <v>6.2859999999999996</v>
      </c>
      <c r="M2892" s="508">
        <v>6.2830000000000004</v>
      </c>
      <c r="N2892" s="508">
        <v>6.0880000000000001</v>
      </c>
      <c r="O2892" s="508">
        <v>5.992</v>
      </c>
      <c r="P2892" s="508">
        <v>3.157</v>
      </c>
      <c r="Q2892" s="508">
        <v>3.0609999999999999</v>
      </c>
      <c r="R2892" s="508">
        <v>2.9119999999999999</v>
      </c>
      <c r="S2892" s="508">
        <v>2.9129999999999998</v>
      </c>
      <c r="T2892" s="508">
        <v>2.9039999999999999</v>
      </c>
      <c r="U2892" s="508">
        <v>1.948</v>
      </c>
      <c r="V2892" s="508">
        <v>1.792</v>
      </c>
      <c r="W2892" s="508">
        <v>1.875</v>
      </c>
      <c r="X2892" s="508">
        <v>1.085</v>
      </c>
      <c r="Y2892" s="508">
        <v>0.82199999999999995</v>
      </c>
      <c r="Z2892" s="508">
        <v>0.65800000000000003</v>
      </c>
      <c r="AA2892" s="508">
        <v>0.51200000000000001</v>
      </c>
      <c r="AB2892" s="508">
        <v>0.36399999999999999</v>
      </c>
      <c r="AC2892" s="508">
        <v>0.23799999999999999</v>
      </c>
      <c r="AD2892" s="508">
        <v>0.17199999999999999</v>
      </c>
      <c r="AE2892" s="508">
        <v>0.17799999999999999</v>
      </c>
      <c r="AF2892" s="508">
        <v>0.10199999999999999</v>
      </c>
      <c r="AG2892" s="508">
        <v>0.10199999999999999</v>
      </c>
      <c r="AH2892" s="508">
        <v>0.10100000000000001</v>
      </c>
      <c r="AI2892" s="492">
        <v>0.10100000000000001</v>
      </c>
      <c r="AJ2892" s="485"/>
    </row>
    <row r="2893" spans="2:36">
      <c r="B2893" s="136" t="s">
        <v>450</v>
      </c>
      <c r="C2893" s="132" t="s">
        <v>1365</v>
      </c>
      <c r="D2893" s="132" t="s">
        <v>283</v>
      </c>
      <c r="E2893" s="508">
        <v>6.3639999999999999</v>
      </c>
      <c r="F2893" s="508">
        <v>6.7030000000000003</v>
      </c>
      <c r="G2893" s="508">
        <v>6.6840000000000002</v>
      </c>
      <c r="H2893" s="508">
        <v>6.6840000000000002</v>
      </c>
      <c r="I2893" s="508">
        <v>6.69</v>
      </c>
      <c r="J2893" s="508">
        <v>6.8559999999999999</v>
      </c>
      <c r="K2893" s="508">
        <v>6.8620000000000001</v>
      </c>
      <c r="L2893" s="508">
        <v>6.87</v>
      </c>
      <c r="M2893" s="508">
        <v>6.859</v>
      </c>
      <c r="N2893" s="508">
        <v>6.6390000000000002</v>
      </c>
      <c r="O2893" s="508">
        <v>6.5209999999999999</v>
      </c>
      <c r="P2893" s="508">
        <v>3.26</v>
      </c>
      <c r="Q2893" s="508">
        <v>3.1709999999999998</v>
      </c>
      <c r="R2893" s="508">
        <v>3.0030000000000001</v>
      </c>
      <c r="S2893" s="508">
        <v>3.0089999999999999</v>
      </c>
      <c r="T2893" s="508">
        <v>3.004</v>
      </c>
      <c r="U2893" s="508">
        <v>2.0569999999999999</v>
      </c>
      <c r="V2893" s="508">
        <v>1.895</v>
      </c>
      <c r="W2893" s="508">
        <v>1.978</v>
      </c>
      <c r="X2893" s="508">
        <v>1.155</v>
      </c>
      <c r="Y2893" s="508">
        <v>0.88500000000000001</v>
      </c>
      <c r="Z2893" s="508">
        <v>0.71199999999999997</v>
      </c>
      <c r="AA2893" s="508">
        <v>0.56000000000000005</v>
      </c>
      <c r="AB2893" s="508">
        <v>0.40500000000000003</v>
      </c>
      <c r="AC2893" s="508">
        <v>0.27400000000000002</v>
      </c>
      <c r="AD2893" s="508">
        <v>0.20399999999999999</v>
      </c>
      <c r="AE2893" s="508">
        <v>0.21299999999999999</v>
      </c>
      <c r="AF2893" s="508">
        <v>0.13100000000000001</v>
      </c>
      <c r="AG2893" s="508">
        <v>0.13100000000000001</v>
      </c>
      <c r="AH2893" s="508">
        <v>0.13</v>
      </c>
      <c r="AI2893" s="492">
        <v>0.129</v>
      </c>
      <c r="AJ2893" s="485"/>
    </row>
    <row r="2894" spans="2:36">
      <c r="B2894" s="136" t="s">
        <v>451</v>
      </c>
      <c r="C2894" s="132" t="s">
        <v>1365</v>
      </c>
      <c r="D2894" s="132" t="s">
        <v>283</v>
      </c>
      <c r="E2894" s="508">
        <v>6.01</v>
      </c>
      <c r="F2894" s="508">
        <v>6.4989999999999997</v>
      </c>
      <c r="G2894" s="508">
        <v>6.4779999999999998</v>
      </c>
      <c r="H2894" s="508">
        <v>6.4779999999999998</v>
      </c>
      <c r="I2894" s="508">
        <v>6.484</v>
      </c>
      <c r="J2894" s="508">
        <v>6.68</v>
      </c>
      <c r="K2894" s="508">
        <v>6.6829999999999998</v>
      </c>
      <c r="L2894" s="508">
        <v>6.6870000000000003</v>
      </c>
      <c r="M2894" s="508">
        <v>6.6719999999999997</v>
      </c>
      <c r="N2894" s="508">
        <v>6.4420000000000002</v>
      </c>
      <c r="O2894" s="508">
        <v>6.3280000000000003</v>
      </c>
      <c r="P2894" s="508">
        <v>3.125</v>
      </c>
      <c r="Q2894" s="508">
        <v>3.032</v>
      </c>
      <c r="R2894" s="508">
        <v>2.8530000000000002</v>
      </c>
      <c r="S2894" s="508">
        <v>2.8639999999999999</v>
      </c>
      <c r="T2894" s="508">
        <v>2.8620000000000001</v>
      </c>
      <c r="U2894" s="508">
        <v>1.9059999999999999</v>
      </c>
      <c r="V2894" s="508">
        <v>1.7470000000000001</v>
      </c>
      <c r="W2894" s="508">
        <v>1.825</v>
      </c>
      <c r="X2894" s="508">
        <v>1.0740000000000001</v>
      </c>
      <c r="Y2894" s="508">
        <v>0.82199999999999995</v>
      </c>
      <c r="Z2894" s="508">
        <v>0.66500000000000004</v>
      </c>
      <c r="AA2894" s="508">
        <v>0.51800000000000002</v>
      </c>
      <c r="AB2894" s="508">
        <v>0.372</v>
      </c>
      <c r="AC2894" s="508">
        <v>0.24399999999999999</v>
      </c>
      <c r="AD2894" s="508">
        <v>0.182</v>
      </c>
      <c r="AE2894" s="508">
        <v>0.189</v>
      </c>
      <c r="AF2894" s="508">
        <v>0.11899999999999999</v>
      </c>
      <c r="AG2894" s="508">
        <v>0.11899999999999999</v>
      </c>
      <c r="AH2894" s="508">
        <v>0.11799999999999999</v>
      </c>
      <c r="AI2894" s="492">
        <v>0.11700000000000001</v>
      </c>
      <c r="AJ2894" s="485"/>
    </row>
    <row r="2895" spans="2:36">
      <c r="B2895" s="136" t="s">
        <v>452</v>
      </c>
      <c r="C2895" s="132" t="s">
        <v>1365</v>
      </c>
      <c r="D2895" s="132" t="s">
        <v>283</v>
      </c>
      <c r="E2895" s="508">
        <v>5.875</v>
      </c>
      <c r="F2895" s="508">
        <v>6.3390000000000004</v>
      </c>
      <c r="G2895" s="508">
        <v>6.3129999999999997</v>
      </c>
      <c r="H2895" s="508">
        <v>6.3129999999999997</v>
      </c>
      <c r="I2895" s="508">
        <v>6.3209999999999997</v>
      </c>
      <c r="J2895" s="508">
        <v>6.4859999999999998</v>
      </c>
      <c r="K2895" s="508">
        <v>6.4880000000000004</v>
      </c>
      <c r="L2895" s="508">
        <v>6.4889999999999999</v>
      </c>
      <c r="M2895" s="508">
        <v>6.4710000000000001</v>
      </c>
      <c r="N2895" s="508">
        <v>6.274</v>
      </c>
      <c r="O2895" s="508">
        <v>6.1639999999999997</v>
      </c>
      <c r="P2895" s="508">
        <v>3.2789999999999999</v>
      </c>
      <c r="Q2895" s="508">
        <v>3.1840000000000002</v>
      </c>
      <c r="R2895" s="508">
        <v>3.0209999999999999</v>
      </c>
      <c r="S2895" s="508">
        <v>3.0230000000000001</v>
      </c>
      <c r="T2895" s="508">
        <v>3.0150000000000001</v>
      </c>
      <c r="U2895" s="508">
        <v>2.0169999999999999</v>
      </c>
      <c r="V2895" s="508">
        <v>1.86</v>
      </c>
      <c r="W2895" s="508">
        <v>1.9419999999999999</v>
      </c>
      <c r="X2895" s="508">
        <v>1.131</v>
      </c>
      <c r="Y2895" s="508">
        <v>0.86399999999999999</v>
      </c>
      <c r="Z2895" s="508">
        <v>0.69199999999999995</v>
      </c>
      <c r="AA2895" s="508">
        <v>0.54300000000000004</v>
      </c>
      <c r="AB2895" s="508">
        <v>0.39100000000000001</v>
      </c>
      <c r="AC2895" s="508">
        <v>0.26300000000000001</v>
      </c>
      <c r="AD2895" s="508">
        <v>0.19400000000000001</v>
      </c>
      <c r="AE2895" s="508">
        <v>0.20100000000000001</v>
      </c>
      <c r="AF2895" s="508">
        <v>0.122</v>
      </c>
      <c r="AG2895" s="508">
        <v>0.121</v>
      </c>
      <c r="AH2895" s="508">
        <v>0.121</v>
      </c>
      <c r="AI2895" s="492">
        <v>0.12</v>
      </c>
      <c r="AJ2895" s="485"/>
    </row>
    <row r="2896" spans="2:36">
      <c r="B2896" s="136" t="s">
        <v>453</v>
      </c>
      <c r="C2896" s="132" t="s">
        <v>1365</v>
      </c>
      <c r="D2896" s="132" t="s">
        <v>283</v>
      </c>
      <c r="E2896" s="508">
        <v>6.2649999999999997</v>
      </c>
      <c r="F2896" s="508">
        <v>6.6079999999999997</v>
      </c>
      <c r="G2896" s="508">
        <v>6.5890000000000004</v>
      </c>
      <c r="H2896" s="508">
        <v>6.5890000000000004</v>
      </c>
      <c r="I2896" s="508">
        <v>6.5949999999999998</v>
      </c>
      <c r="J2896" s="508">
        <v>6.7549999999999999</v>
      </c>
      <c r="K2896" s="508">
        <v>6.7610000000000001</v>
      </c>
      <c r="L2896" s="508">
        <v>6.7690000000000001</v>
      </c>
      <c r="M2896" s="508">
        <v>6.7569999999999997</v>
      </c>
      <c r="N2896" s="508">
        <v>6.5460000000000003</v>
      </c>
      <c r="O2896" s="508">
        <v>6.4290000000000003</v>
      </c>
      <c r="P2896" s="508">
        <v>3.3420000000000001</v>
      </c>
      <c r="Q2896" s="508">
        <v>3.2509999999999999</v>
      </c>
      <c r="R2896" s="508">
        <v>3.0939999999999999</v>
      </c>
      <c r="S2896" s="508">
        <v>3.0939999999999999</v>
      </c>
      <c r="T2896" s="508">
        <v>3.0830000000000002</v>
      </c>
      <c r="U2896" s="508">
        <v>2.1110000000000002</v>
      </c>
      <c r="V2896" s="508">
        <v>1.9510000000000001</v>
      </c>
      <c r="W2896" s="508">
        <v>2.036</v>
      </c>
      <c r="X2896" s="508">
        <v>1.181</v>
      </c>
      <c r="Y2896" s="508">
        <v>0.90400000000000003</v>
      </c>
      <c r="Z2896" s="508">
        <v>0.72199999999999998</v>
      </c>
      <c r="AA2896" s="508">
        <v>0.56999999999999995</v>
      </c>
      <c r="AB2896" s="508">
        <v>0.41299999999999998</v>
      </c>
      <c r="AC2896" s="508">
        <v>0.28299999999999997</v>
      </c>
      <c r="AD2896" s="508">
        <v>0.20899999999999999</v>
      </c>
      <c r="AE2896" s="508">
        <v>0.216</v>
      </c>
      <c r="AF2896" s="508">
        <v>0.13100000000000001</v>
      </c>
      <c r="AG2896" s="508">
        <v>0.13</v>
      </c>
      <c r="AH2896" s="508">
        <v>0.129</v>
      </c>
      <c r="AI2896" s="492">
        <v>0.128</v>
      </c>
      <c r="AJ2896" s="485"/>
    </row>
    <row r="2897" spans="2:36">
      <c r="B2897" s="136" t="s">
        <v>454</v>
      </c>
      <c r="C2897" s="132" t="s">
        <v>1365</v>
      </c>
      <c r="D2897" s="132" t="s">
        <v>283</v>
      </c>
      <c r="E2897" s="508">
        <v>6.1040000000000001</v>
      </c>
      <c r="F2897" s="508">
        <v>6.4870000000000001</v>
      </c>
      <c r="G2897" s="508">
        <v>6.468</v>
      </c>
      <c r="H2897" s="508">
        <v>6.4690000000000003</v>
      </c>
      <c r="I2897" s="508">
        <v>6.4740000000000002</v>
      </c>
      <c r="J2897" s="508">
        <v>6.6369999999999996</v>
      </c>
      <c r="K2897" s="508">
        <v>6.6420000000000003</v>
      </c>
      <c r="L2897" s="508">
        <v>6.649</v>
      </c>
      <c r="M2897" s="508">
        <v>6.6360000000000001</v>
      </c>
      <c r="N2897" s="508">
        <v>6.4279999999999999</v>
      </c>
      <c r="O2897" s="508">
        <v>6.3120000000000003</v>
      </c>
      <c r="P2897" s="508">
        <v>3.2869999999999999</v>
      </c>
      <c r="Q2897" s="508">
        <v>3.1970000000000001</v>
      </c>
      <c r="R2897" s="508">
        <v>3.0419999999999998</v>
      </c>
      <c r="S2897" s="508">
        <v>3.0409999999999999</v>
      </c>
      <c r="T2897" s="508">
        <v>3.03</v>
      </c>
      <c r="U2897" s="508">
        <v>2.073</v>
      </c>
      <c r="V2897" s="508">
        <v>1.9159999999999999</v>
      </c>
      <c r="W2897" s="508">
        <v>1.9990000000000001</v>
      </c>
      <c r="X2897" s="508">
        <v>1.157</v>
      </c>
      <c r="Y2897" s="508">
        <v>0.88300000000000001</v>
      </c>
      <c r="Z2897" s="508">
        <v>0.70499999999999996</v>
      </c>
      <c r="AA2897" s="508">
        <v>0.55500000000000005</v>
      </c>
      <c r="AB2897" s="508">
        <v>0.40100000000000002</v>
      </c>
      <c r="AC2897" s="508">
        <v>0.27300000000000002</v>
      </c>
      <c r="AD2897" s="508">
        <v>0.20100000000000001</v>
      </c>
      <c r="AE2897" s="508">
        <v>0.20799999999999999</v>
      </c>
      <c r="AF2897" s="508">
        <v>0.124</v>
      </c>
      <c r="AG2897" s="508">
        <v>0.123</v>
      </c>
      <c r="AH2897" s="508">
        <v>0.122</v>
      </c>
      <c r="AI2897" s="492">
        <v>0.122</v>
      </c>
      <c r="AJ2897" s="485"/>
    </row>
    <row r="2898" spans="2:36">
      <c r="B2898" s="136" t="s">
        <v>455</v>
      </c>
      <c r="C2898" s="132" t="s">
        <v>1365</v>
      </c>
      <c r="D2898" s="132" t="s">
        <v>283</v>
      </c>
      <c r="E2898" s="508">
        <v>5.83</v>
      </c>
      <c r="F2898" s="508">
        <v>6.2709999999999999</v>
      </c>
      <c r="G2898" s="508">
        <v>6.2469999999999999</v>
      </c>
      <c r="H2898" s="508">
        <v>6.2469999999999999</v>
      </c>
      <c r="I2898" s="508">
        <v>6.2539999999999996</v>
      </c>
      <c r="J2898" s="508">
        <v>6.3979999999999997</v>
      </c>
      <c r="K2898" s="508">
        <v>6.4</v>
      </c>
      <c r="L2898" s="508">
        <v>6.4020000000000001</v>
      </c>
      <c r="M2898" s="508">
        <v>6.3849999999999998</v>
      </c>
      <c r="N2898" s="508">
        <v>6.218</v>
      </c>
      <c r="O2898" s="508">
        <v>6.1070000000000002</v>
      </c>
      <c r="P2898" s="508">
        <v>3.173</v>
      </c>
      <c r="Q2898" s="508">
        <v>3.0880000000000001</v>
      </c>
      <c r="R2898" s="508">
        <v>2.927</v>
      </c>
      <c r="S2898" s="508">
        <v>2.93</v>
      </c>
      <c r="T2898" s="508">
        <v>2.9209999999999998</v>
      </c>
      <c r="U2898" s="508">
        <v>1.968</v>
      </c>
      <c r="V2898" s="508">
        <v>1.8160000000000001</v>
      </c>
      <c r="W2898" s="508">
        <v>1.895</v>
      </c>
      <c r="X2898" s="508">
        <v>1.1000000000000001</v>
      </c>
      <c r="Y2898" s="508">
        <v>0.84199999999999997</v>
      </c>
      <c r="Z2898" s="508">
        <v>0.67500000000000004</v>
      </c>
      <c r="AA2898" s="508">
        <v>0.53200000000000003</v>
      </c>
      <c r="AB2898" s="508">
        <v>0.38400000000000001</v>
      </c>
      <c r="AC2898" s="508">
        <v>0.26100000000000001</v>
      </c>
      <c r="AD2898" s="508">
        <v>0.193</v>
      </c>
      <c r="AE2898" s="508">
        <v>0.2</v>
      </c>
      <c r="AF2898" s="508">
        <v>0.121</v>
      </c>
      <c r="AG2898" s="508">
        <v>0.121</v>
      </c>
      <c r="AH2898" s="508">
        <v>0.121</v>
      </c>
      <c r="AI2898" s="492">
        <v>0.121</v>
      </c>
      <c r="AJ2898" s="485"/>
    </row>
    <row r="2899" spans="2:36">
      <c r="B2899" s="136" t="s">
        <v>456</v>
      </c>
      <c r="C2899" s="132" t="s">
        <v>1365</v>
      </c>
      <c r="D2899" s="132" t="s">
        <v>283</v>
      </c>
      <c r="E2899" s="508">
        <v>5.72</v>
      </c>
      <c r="F2899" s="508">
        <v>6.2169999999999996</v>
      </c>
      <c r="G2899" s="508">
        <v>6.2080000000000002</v>
      </c>
      <c r="H2899" s="508">
        <v>6.22</v>
      </c>
      <c r="I2899" s="508">
        <v>6.2430000000000003</v>
      </c>
      <c r="J2899" s="508">
        <v>6.4089999999999998</v>
      </c>
      <c r="K2899" s="508">
        <v>6.4139999999999997</v>
      </c>
      <c r="L2899" s="508">
        <v>6.4269999999999996</v>
      </c>
      <c r="M2899" s="508">
        <v>6.4180000000000001</v>
      </c>
      <c r="N2899" s="508">
        <v>6.234</v>
      </c>
      <c r="O2899" s="508">
        <v>6.1280000000000001</v>
      </c>
      <c r="P2899" s="508">
        <v>3.1659999999999999</v>
      </c>
      <c r="Q2899" s="508">
        <v>3.0760000000000001</v>
      </c>
      <c r="R2899" s="508">
        <v>2.9220000000000002</v>
      </c>
      <c r="S2899" s="508">
        <v>2.923</v>
      </c>
      <c r="T2899" s="508">
        <v>2.9129999999999998</v>
      </c>
      <c r="U2899" s="508">
        <v>1.911</v>
      </c>
      <c r="V2899" s="508">
        <v>1.762</v>
      </c>
      <c r="W2899" s="508">
        <v>1.841</v>
      </c>
      <c r="X2899" s="508">
        <v>1.0649999999999999</v>
      </c>
      <c r="Y2899" s="508">
        <v>0.80900000000000005</v>
      </c>
      <c r="Z2899" s="508">
        <v>0.64800000000000002</v>
      </c>
      <c r="AA2899" s="508">
        <v>0.50700000000000001</v>
      </c>
      <c r="AB2899" s="508">
        <v>0.36299999999999999</v>
      </c>
      <c r="AC2899" s="508">
        <v>0.24199999999999999</v>
      </c>
      <c r="AD2899" s="508">
        <v>0.17599999999999999</v>
      </c>
      <c r="AE2899" s="508">
        <v>0.183</v>
      </c>
      <c r="AF2899" s="508">
        <v>0.107</v>
      </c>
      <c r="AG2899" s="508">
        <v>0.107</v>
      </c>
      <c r="AH2899" s="508">
        <v>0.107</v>
      </c>
      <c r="AI2899" s="492">
        <v>0.106</v>
      </c>
      <c r="AJ2899" s="485"/>
    </row>
    <row r="2900" spans="2:36">
      <c r="B2900" s="136" t="s">
        <v>457</v>
      </c>
      <c r="C2900" s="132" t="s">
        <v>1365</v>
      </c>
      <c r="D2900" s="132" t="s">
        <v>283</v>
      </c>
      <c r="E2900" s="508">
        <v>6.5129999999999999</v>
      </c>
      <c r="F2900" s="508">
        <v>6.79</v>
      </c>
      <c r="G2900" s="508">
        <v>6.7709999999999999</v>
      </c>
      <c r="H2900" s="508">
        <v>6.7709999999999999</v>
      </c>
      <c r="I2900" s="508">
        <v>6.7770000000000001</v>
      </c>
      <c r="J2900" s="508">
        <v>6.93</v>
      </c>
      <c r="K2900" s="508">
        <v>6.9379999999999997</v>
      </c>
      <c r="L2900" s="508">
        <v>6.9480000000000004</v>
      </c>
      <c r="M2900" s="508">
        <v>6.9370000000000003</v>
      </c>
      <c r="N2900" s="508">
        <v>6.7190000000000003</v>
      </c>
      <c r="O2900" s="508">
        <v>6.5990000000000002</v>
      </c>
      <c r="P2900" s="508">
        <v>3.319</v>
      </c>
      <c r="Q2900" s="508">
        <v>3.2320000000000002</v>
      </c>
      <c r="R2900" s="508">
        <v>3.069</v>
      </c>
      <c r="S2900" s="508">
        <v>3.073</v>
      </c>
      <c r="T2900" s="508">
        <v>3.0659999999999998</v>
      </c>
      <c r="U2900" s="508">
        <v>2.0590000000000002</v>
      </c>
      <c r="V2900" s="508">
        <v>1.901</v>
      </c>
      <c r="W2900" s="508">
        <v>1.984</v>
      </c>
      <c r="X2900" s="508">
        <v>1.1559999999999999</v>
      </c>
      <c r="Y2900" s="508">
        <v>0.88800000000000001</v>
      </c>
      <c r="Z2900" s="508">
        <v>0.71299999999999997</v>
      </c>
      <c r="AA2900" s="508">
        <v>0.56299999999999994</v>
      </c>
      <c r="AB2900" s="508">
        <v>0.40899999999999997</v>
      </c>
      <c r="AC2900" s="508">
        <v>0.27900000000000003</v>
      </c>
      <c r="AD2900" s="508">
        <v>0.20799999999999999</v>
      </c>
      <c r="AE2900" s="508">
        <v>0.215</v>
      </c>
      <c r="AF2900" s="508">
        <v>0.13300000000000001</v>
      </c>
      <c r="AG2900" s="508">
        <v>0.13200000000000001</v>
      </c>
      <c r="AH2900" s="508">
        <v>0.13200000000000001</v>
      </c>
      <c r="AI2900" s="492">
        <v>0.13100000000000001</v>
      </c>
      <c r="AJ2900" s="485"/>
    </row>
    <row r="2901" spans="2:36">
      <c r="B2901" s="136" t="s">
        <v>458</v>
      </c>
      <c r="C2901" s="132" t="s">
        <v>1365</v>
      </c>
      <c r="D2901" s="132" t="s">
        <v>283</v>
      </c>
      <c r="E2901" s="508">
        <v>6.1020000000000003</v>
      </c>
      <c r="F2901" s="508">
        <v>6.54</v>
      </c>
      <c r="G2901" s="508">
        <v>6.5209999999999999</v>
      </c>
      <c r="H2901" s="508">
        <v>6.5209999999999999</v>
      </c>
      <c r="I2901" s="508">
        <v>6.5270000000000001</v>
      </c>
      <c r="J2901" s="508">
        <v>6.7</v>
      </c>
      <c r="K2901" s="508">
        <v>6.7050000000000001</v>
      </c>
      <c r="L2901" s="508">
        <v>6.7110000000000003</v>
      </c>
      <c r="M2901" s="508">
        <v>6.6970000000000001</v>
      </c>
      <c r="N2901" s="508">
        <v>6.484</v>
      </c>
      <c r="O2901" s="508">
        <v>6.367</v>
      </c>
      <c r="P2901" s="508">
        <v>2.9710000000000001</v>
      </c>
      <c r="Q2901" s="508">
        <v>2.89</v>
      </c>
      <c r="R2901" s="508">
        <v>2.706</v>
      </c>
      <c r="S2901" s="508">
        <v>2.722</v>
      </c>
      <c r="T2901" s="508">
        <v>2.7240000000000002</v>
      </c>
      <c r="U2901" s="508">
        <v>1.8380000000000001</v>
      </c>
      <c r="V2901" s="508">
        <v>1.681</v>
      </c>
      <c r="W2901" s="508">
        <v>1.7549999999999999</v>
      </c>
      <c r="X2901" s="508">
        <v>1.036</v>
      </c>
      <c r="Y2901" s="508">
        <v>0.79400000000000004</v>
      </c>
      <c r="Z2901" s="508">
        <v>0.64700000000000002</v>
      </c>
      <c r="AA2901" s="508">
        <v>0.505</v>
      </c>
      <c r="AB2901" s="508">
        <v>0.36399999999999999</v>
      </c>
      <c r="AC2901" s="508">
        <v>0.23899999999999999</v>
      </c>
      <c r="AD2901" s="508">
        <v>0.18099999999999999</v>
      </c>
      <c r="AE2901" s="508">
        <v>0.188</v>
      </c>
      <c r="AF2901" s="508">
        <v>0.11899999999999999</v>
      </c>
      <c r="AG2901" s="508">
        <v>0.11799999999999999</v>
      </c>
      <c r="AH2901" s="508">
        <v>0.12</v>
      </c>
      <c r="AI2901" s="492">
        <v>0.12</v>
      </c>
      <c r="AJ2901" s="485"/>
    </row>
    <row r="2902" spans="2:36">
      <c r="B2902" s="136" t="s">
        <v>459</v>
      </c>
      <c r="C2902" s="132" t="s">
        <v>1365</v>
      </c>
      <c r="D2902" s="132" t="s">
        <v>283</v>
      </c>
      <c r="E2902" s="508">
        <v>6.2629999999999999</v>
      </c>
      <c r="F2902" s="508">
        <v>6.6710000000000003</v>
      </c>
      <c r="G2902" s="508">
        <v>6.6520000000000001</v>
      </c>
      <c r="H2902" s="508">
        <v>6.6520000000000001</v>
      </c>
      <c r="I2902" s="508">
        <v>6.6580000000000004</v>
      </c>
      <c r="J2902" s="508">
        <v>6.8339999999999996</v>
      </c>
      <c r="K2902" s="508">
        <v>6.8390000000000004</v>
      </c>
      <c r="L2902" s="508">
        <v>6.8460000000000001</v>
      </c>
      <c r="M2902" s="508">
        <v>6.8330000000000002</v>
      </c>
      <c r="N2902" s="508">
        <v>6.61</v>
      </c>
      <c r="O2902" s="508">
        <v>6.492</v>
      </c>
      <c r="P2902" s="508">
        <v>3.39</v>
      </c>
      <c r="Q2902" s="508">
        <v>2.9089999999999998</v>
      </c>
      <c r="R2902" s="508">
        <v>2.72</v>
      </c>
      <c r="S2902" s="508">
        <v>2.738</v>
      </c>
      <c r="T2902" s="508">
        <v>2.742</v>
      </c>
      <c r="U2902" s="508">
        <v>1.871</v>
      </c>
      <c r="V2902" s="508">
        <v>1.708</v>
      </c>
      <c r="W2902" s="508">
        <v>1.7829999999999999</v>
      </c>
      <c r="X2902" s="508">
        <v>1.0589999999999999</v>
      </c>
      <c r="Y2902" s="508">
        <v>0.81399999999999995</v>
      </c>
      <c r="Z2902" s="508">
        <v>0.66300000000000003</v>
      </c>
      <c r="AA2902" s="508">
        <v>0.51700000000000002</v>
      </c>
      <c r="AB2902" s="508">
        <v>0.36699999999999999</v>
      </c>
      <c r="AC2902" s="508">
        <v>0.23899999999999999</v>
      </c>
      <c r="AD2902" s="508">
        <v>0.18099999999999999</v>
      </c>
      <c r="AE2902" s="508">
        <v>0.189</v>
      </c>
      <c r="AF2902" s="508">
        <v>0.124</v>
      </c>
      <c r="AG2902" s="508">
        <v>0.123</v>
      </c>
      <c r="AH2902" s="508">
        <v>0.122</v>
      </c>
      <c r="AI2902" s="492">
        <v>0.128</v>
      </c>
      <c r="AJ2902" s="485"/>
    </row>
    <row r="2903" spans="2:36">
      <c r="B2903" s="136" t="s">
        <v>460</v>
      </c>
      <c r="C2903" s="132" t="s">
        <v>1365</v>
      </c>
      <c r="D2903" s="132" t="s">
        <v>283</v>
      </c>
      <c r="E2903" s="508">
        <v>6.2480000000000002</v>
      </c>
      <c r="F2903" s="508">
        <v>6.6539999999999999</v>
      </c>
      <c r="G2903" s="508">
        <v>6.6340000000000003</v>
      </c>
      <c r="H2903" s="508">
        <v>6.6340000000000003</v>
      </c>
      <c r="I2903" s="508">
        <v>6.64</v>
      </c>
      <c r="J2903" s="508">
        <v>6.8159999999999998</v>
      </c>
      <c r="K2903" s="508">
        <v>6.8209999999999997</v>
      </c>
      <c r="L2903" s="508">
        <v>6.8280000000000003</v>
      </c>
      <c r="M2903" s="508">
        <v>6.8150000000000004</v>
      </c>
      <c r="N2903" s="508">
        <v>6.5949999999999998</v>
      </c>
      <c r="O2903" s="508">
        <v>6.4770000000000003</v>
      </c>
      <c r="P2903" s="508">
        <v>3.3839999999999999</v>
      </c>
      <c r="Q2903" s="508">
        <v>3.2879999999999998</v>
      </c>
      <c r="R2903" s="508">
        <v>3.1259999999999999</v>
      </c>
      <c r="S2903" s="508">
        <v>3.1259999999999999</v>
      </c>
      <c r="T2903" s="508">
        <v>3.1150000000000002</v>
      </c>
      <c r="U2903" s="508">
        <v>2.1019999999999999</v>
      </c>
      <c r="V2903" s="508">
        <v>1.9419999999999999</v>
      </c>
      <c r="W2903" s="508">
        <v>2.0270000000000001</v>
      </c>
      <c r="X2903" s="508">
        <v>1.177</v>
      </c>
      <c r="Y2903" s="508">
        <v>0.9</v>
      </c>
      <c r="Z2903" s="508">
        <v>0.71899999999999997</v>
      </c>
      <c r="AA2903" s="508">
        <v>0.56699999999999995</v>
      </c>
      <c r="AB2903" s="508">
        <v>0.41</v>
      </c>
      <c r="AC2903" s="508">
        <v>0.28000000000000003</v>
      </c>
      <c r="AD2903" s="508">
        <v>0.20699999999999999</v>
      </c>
      <c r="AE2903" s="508">
        <v>0.21299999999999999</v>
      </c>
      <c r="AF2903" s="508">
        <v>0.129</v>
      </c>
      <c r="AG2903" s="508">
        <v>0.129</v>
      </c>
      <c r="AH2903" s="508">
        <v>0.128</v>
      </c>
      <c r="AI2903" s="492">
        <v>0.127</v>
      </c>
      <c r="AJ2903" s="485"/>
    </row>
    <row r="2904" spans="2:36">
      <c r="B2904" s="136" t="s">
        <v>461</v>
      </c>
      <c r="C2904" s="132" t="s">
        <v>1365</v>
      </c>
      <c r="D2904" s="132" t="s">
        <v>283</v>
      </c>
      <c r="E2904" s="508">
        <v>5.9589999999999996</v>
      </c>
      <c r="F2904" s="508">
        <v>6.3849999999999998</v>
      </c>
      <c r="G2904" s="508">
        <v>6.3529999999999998</v>
      </c>
      <c r="H2904" s="508">
        <v>6.3540000000000001</v>
      </c>
      <c r="I2904" s="508">
        <v>6.3630000000000004</v>
      </c>
      <c r="J2904" s="508">
        <v>6.5140000000000002</v>
      </c>
      <c r="K2904" s="508">
        <v>6.5140000000000002</v>
      </c>
      <c r="L2904" s="508">
        <v>6.5129999999999999</v>
      </c>
      <c r="M2904" s="508">
        <v>6.4939999999999998</v>
      </c>
      <c r="N2904" s="508">
        <v>6.2990000000000004</v>
      </c>
      <c r="O2904" s="508">
        <v>6.19</v>
      </c>
      <c r="P2904" s="508">
        <v>3.4119999999999999</v>
      </c>
      <c r="Q2904" s="508">
        <v>3.3180000000000001</v>
      </c>
      <c r="R2904" s="508">
        <v>3.1579999999999999</v>
      </c>
      <c r="S2904" s="508">
        <v>3.1579999999999999</v>
      </c>
      <c r="T2904" s="508">
        <v>3.1469999999999998</v>
      </c>
      <c r="U2904" s="508">
        <v>2.085</v>
      </c>
      <c r="V2904" s="508">
        <v>1.9279999999999999</v>
      </c>
      <c r="W2904" s="508">
        <v>2.0129999999999999</v>
      </c>
      <c r="X2904" s="508">
        <v>1.169</v>
      </c>
      <c r="Y2904" s="508">
        <v>0.89600000000000002</v>
      </c>
      <c r="Z2904" s="508">
        <v>0.71699999999999997</v>
      </c>
      <c r="AA2904" s="508">
        <v>0.56499999999999995</v>
      </c>
      <c r="AB2904" s="508">
        <v>0.41</v>
      </c>
      <c r="AC2904" s="508">
        <v>0.28000000000000003</v>
      </c>
      <c r="AD2904" s="508">
        <v>0.20799999999999999</v>
      </c>
      <c r="AE2904" s="508">
        <v>0.214</v>
      </c>
      <c r="AF2904" s="508">
        <v>0.13100000000000001</v>
      </c>
      <c r="AG2904" s="508">
        <v>0.13</v>
      </c>
      <c r="AH2904" s="508">
        <v>0.129</v>
      </c>
      <c r="AI2904" s="492">
        <v>0.128</v>
      </c>
      <c r="AJ2904" s="485"/>
    </row>
    <row r="2905" spans="2:36">
      <c r="B2905" s="136" t="s">
        <v>462</v>
      </c>
      <c r="C2905" s="132" t="s">
        <v>1365</v>
      </c>
      <c r="D2905" s="132" t="s">
        <v>283</v>
      </c>
      <c r="E2905" s="508">
        <v>5.8040000000000003</v>
      </c>
      <c r="F2905" s="508">
        <v>6.2309999999999999</v>
      </c>
      <c r="G2905" s="508">
        <v>6.2149999999999999</v>
      </c>
      <c r="H2905" s="508">
        <v>6.2169999999999996</v>
      </c>
      <c r="I2905" s="508">
        <v>6.226</v>
      </c>
      <c r="J2905" s="508">
        <v>6.3840000000000003</v>
      </c>
      <c r="K2905" s="508">
        <v>6.3879999999999999</v>
      </c>
      <c r="L2905" s="508">
        <v>6.3949999999999996</v>
      </c>
      <c r="M2905" s="508">
        <v>6.383</v>
      </c>
      <c r="N2905" s="508">
        <v>6.1890000000000001</v>
      </c>
      <c r="O2905" s="508">
        <v>6.077</v>
      </c>
      <c r="P2905" s="508">
        <v>3.1720000000000002</v>
      </c>
      <c r="Q2905" s="508">
        <v>3.0840000000000001</v>
      </c>
      <c r="R2905" s="508">
        <v>2.9340000000000002</v>
      </c>
      <c r="S2905" s="508">
        <v>2.9329999999999998</v>
      </c>
      <c r="T2905" s="508">
        <v>2.9209999999999998</v>
      </c>
      <c r="U2905" s="508">
        <v>1.913</v>
      </c>
      <c r="V2905" s="508">
        <v>1.766</v>
      </c>
      <c r="W2905" s="508">
        <v>1.8440000000000001</v>
      </c>
      <c r="X2905" s="508">
        <v>1.0649999999999999</v>
      </c>
      <c r="Y2905" s="508">
        <v>0.81</v>
      </c>
      <c r="Z2905" s="508">
        <v>0.64700000000000002</v>
      </c>
      <c r="AA2905" s="508">
        <v>0.50700000000000001</v>
      </c>
      <c r="AB2905" s="508">
        <v>0.36399999999999999</v>
      </c>
      <c r="AC2905" s="508">
        <v>0.245</v>
      </c>
      <c r="AD2905" s="508">
        <v>0.17799999999999999</v>
      </c>
      <c r="AE2905" s="508">
        <v>0.185</v>
      </c>
      <c r="AF2905" s="508">
        <v>0.108</v>
      </c>
      <c r="AG2905" s="508">
        <v>0.107</v>
      </c>
      <c r="AH2905" s="508">
        <v>0.107</v>
      </c>
      <c r="AI2905" s="492">
        <v>0.107</v>
      </c>
      <c r="AJ2905" s="485"/>
    </row>
    <row r="2906" spans="2:36">
      <c r="B2906" s="136" t="s">
        <v>463</v>
      </c>
      <c r="C2906" s="132" t="s">
        <v>1365</v>
      </c>
      <c r="D2906" s="132" t="s">
        <v>283</v>
      </c>
      <c r="E2906" s="508">
        <v>6.0759999999999996</v>
      </c>
      <c r="F2906" s="508">
        <v>6.46</v>
      </c>
      <c r="G2906" s="508">
        <v>6.4420000000000002</v>
      </c>
      <c r="H2906" s="508">
        <v>6.4429999999999996</v>
      </c>
      <c r="I2906" s="508">
        <v>6.4480000000000004</v>
      </c>
      <c r="J2906" s="508">
        <v>6.601</v>
      </c>
      <c r="K2906" s="508">
        <v>6.6059999999999999</v>
      </c>
      <c r="L2906" s="508">
        <v>6.6130000000000004</v>
      </c>
      <c r="M2906" s="508">
        <v>6.601</v>
      </c>
      <c r="N2906" s="508">
        <v>6.4050000000000002</v>
      </c>
      <c r="O2906" s="508">
        <v>6.2889999999999997</v>
      </c>
      <c r="P2906" s="508">
        <v>3.161</v>
      </c>
      <c r="Q2906" s="508">
        <v>3.0779999999999998</v>
      </c>
      <c r="R2906" s="508">
        <v>2.9180000000000001</v>
      </c>
      <c r="S2906" s="508">
        <v>2.92</v>
      </c>
      <c r="T2906" s="508">
        <v>2.9119999999999999</v>
      </c>
      <c r="U2906" s="508">
        <v>1.9950000000000001</v>
      </c>
      <c r="V2906" s="508">
        <v>1.841</v>
      </c>
      <c r="W2906" s="508">
        <v>1.92</v>
      </c>
      <c r="X2906" s="508">
        <v>1.115</v>
      </c>
      <c r="Y2906" s="508">
        <v>0.85299999999999998</v>
      </c>
      <c r="Z2906" s="508">
        <v>0.68500000000000005</v>
      </c>
      <c r="AA2906" s="508">
        <v>0.54</v>
      </c>
      <c r="AB2906" s="508">
        <v>0.39100000000000001</v>
      </c>
      <c r="AC2906" s="508">
        <v>0.26700000000000002</v>
      </c>
      <c r="AD2906" s="508">
        <v>0.19800000000000001</v>
      </c>
      <c r="AE2906" s="508">
        <v>0.20499999999999999</v>
      </c>
      <c r="AF2906" s="508">
        <v>0.124</v>
      </c>
      <c r="AG2906" s="508">
        <v>0.124</v>
      </c>
      <c r="AH2906" s="508">
        <v>0.124</v>
      </c>
      <c r="AI2906" s="492">
        <v>0.123</v>
      </c>
      <c r="AJ2906" s="485"/>
    </row>
    <row r="2907" spans="2:36">
      <c r="B2907" s="136" t="s">
        <v>464</v>
      </c>
      <c r="C2907" s="132" t="s">
        <v>1365</v>
      </c>
      <c r="D2907" s="132" t="s">
        <v>283</v>
      </c>
      <c r="E2907" s="508">
        <v>6.5090000000000003</v>
      </c>
      <c r="F2907" s="508">
        <v>6.7889999999999997</v>
      </c>
      <c r="G2907" s="508">
        <v>6.7709999999999999</v>
      </c>
      <c r="H2907" s="508">
        <v>6.7709999999999999</v>
      </c>
      <c r="I2907" s="508">
        <v>6.7759999999999998</v>
      </c>
      <c r="J2907" s="508">
        <v>6.9290000000000003</v>
      </c>
      <c r="K2907" s="508">
        <v>6.9359999999999999</v>
      </c>
      <c r="L2907" s="508">
        <v>6.9459999999999997</v>
      </c>
      <c r="M2907" s="508">
        <v>6.9359999999999999</v>
      </c>
      <c r="N2907" s="508">
        <v>6.7249999999999996</v>
      </c>
      <c r="O2907" s="508">
        <v>6.6050000000000004</v>
      </c>
      <c r="P2907" s="508">
        <v>3.4169999999999998</v>
      </c>
      <c r="Q2907" s="508">
        <v>3.327</v>
      </c>
      <c r="R2907" s="508">
        <v>3.17</v>
      </c>
      <c r="S2907" s="508">
        <v>3.17</v>
      </c>
      <c r="T2907" s="508">
        <v>3.1589999999999998</v>
      </c>
      <c r="U2907" s="508">
        <v>2.1659999999999999</v>
      </c>
      <c r="V2907" s="508">
        <v>2.0059999999999998</v>
      </c>
      <c r="W2907" s="508">
        <v>2.093</v>
      </c>
      <c r="X2907" s="508">
        <v>1.2130000000000001</v>
      </c>
      <c r="Y2907" s="508">
        <v>0.93</v>
      </c>
      <c r="Z2907" s="508">
        <v>0.74299999999999999</v>
      </c>
      <c r="AA2907" s="508">
        <v>0.58899999999999997</v>
      </c>
      <c r="AB2907" s="508">
        <v>0.42799999999999999</v>
      </c>
      <c r="AC2907" s="508">
        <v>0.29599999999999999</v>
      </c>
      <c r="AD2907" s="508">
        <v>0.22</v>
      </c>
      <c r="AE2907" s="508">
        <v>0.22700000000000001</v>
      </c>
      <c r="AF2907" s="508">
        <v>0.13800000000000001</v>
      </c>
      <c r="AG2907" s="508">
        <v>0.13700000000000001</v>
      </c>
      <c r="AH2907" s="508">
        <v>0.13600000000000001</v>
      </c>
      <c r="AI2907" s="492">
        <v>0.13500000000000001</v>
      </c>
      <c r="AJ2907" s="485"/>
    </row>
    <row r="2908" spans="2:36">
      <c r="B2908" s="136" t="s">
        <v>465</v>
      </c>
      <c r="C2908" s="132" t="s">
        <v>1365</v>
      </c>
      <c r="D2908" s="132" t="s">
        <v>283</v>
      </c>
      <c r="E2908" s="508">
        <v>6.2850000000000001</v>
      </c>
      <c r="F2908" s="508">
        <v>6.6449999999999996</v>
      </c>
      <c r="G2908" s="508">
        <v>6.6269999999999998</v>
      </c>
      <c r="H2908" s="508">
        <v>6.6269999999999998</v>
      </c>
      <c r="I2908" s="508">
        <v>6.6319999999999997</v>
      </c>
      <c r="J2908" s="508">
        <v>6.7910000000000004</v>
      </c>
      <c r="K2908" s="508">
        <v>6.7969999999999997</v>
      </c>
      <c r="L2908" s="508">
        <v>6.8049999999999997</v>
      </c>
      <c r="M2908" s="508">
        <v>6.7930000000000001</v>
      </c>
      <c r="N2908" s="508">
        <v>6.593</v>
      </c>
      <c r="O2908" s="508">
        <v>6.4740000000000002</v>
      </c>
      <c r="P2908" s="508">
        <v>3.3639999999999999</v>
      </c>
      <c r="Q2908" s="508">
        <v>3.2730000000000001</v>
      </c>
      <c r="R2908" s="508">
        <v>3.1160000000000001</v>
      </c>
      <c r="S2908" s="508">
        <v>3.1150000000000002</v>
      </c>
      <c r="T2908" s="508">
        <v>3.1030000000000002</v>
      </c>
      <c r="U2908" s="508">
        <v>2.129</v>
      </c>
      <c r="V2908" s="508">
        <v>1.97</v>
      </c>
      <c r="W2908" s="508">
        <v>2.0550000000000002</v>
      </c>
      <c r="X2908" s="508">
        <v>1.19</v>
      </c>
      <c r="Y2908" s="508">
        <v>0.91</v>
      </c>
      <c r="Z2908" s="508">
        <v>0.72699999999999998</v>
      </c>
      <c r="AA2908" s="508">
        <v>0.57499999999999996</v>
      </c>
      <c r="AB2908" s="508">
        <v>0.41699999999999998</v>
      </c>
      <c r="AC2908" s="508">
        <v>0.28699999999999998</v>
      </c>
      <c r="AD2908" s="508">
        <v>0.21199999999999999</v>
      </c>
      <c r="AE2908" s="508">
        <v>0.219</v>
      </c>
      <c r="AF2908" s="508">
        <v>0.13200000000000001</v>
      </c>
      <c r="AG2908" s="508">
        <v>0.13100000000000001</v>
      </c>
      <c r="AH2908" s="508">
        <v>0.13</v>
      </c>
      <c r="AI2908" s="492">
        <v>0.13</v>
      </c>
      <c r="AJ2908" s="485"/>
    </row>
    <row r="2909" spans="2:36">
      <c r="B2909" s="136" t="s">
        <v>466</v>
      </c>
      <c r="C2909" s="132" t="s">
        <v>1365</v>
      </c>
      <c r="D2909" s="132" t="s">
        <v>283</v>
      </c>
      <c r="E2909" s="508">
        <v>6.282</v>
      </c>
      <c r="F2909" s="508">
        <v>6.7089999999999996</v>
      </c>
      <c r="G2909" s="508">
        <v>6.6890000000000001</v>
      </c>
      <c r="H2909" s="508">
        <v>6.6890000000000001</v>
      </c>
      <c r="I2909" s="508">
        <v>6.6950000000000003</v>
      </c>
      <c r="J2909" s="508">
        <v>6.8860000000000001</v>
      </c>
      <c r="K2909" s="508">
        <v>6.891</v>
      </c>
      <c r="L2909" s="508">
        <v>6.8979999999999997</v>
      </c>
      <c r="M2909" s="508">
        <v>6.8849999999999998</v>
      </c>
      <c r="N2909" s="508">
        <v>6.6539999999999999</v>
      </c>
      <c r="O2909" s="508">
        <v>6.5380000000000003</v>
      </c>
      <c r="P2909" s="508">
        <v>3.0739999999999998</v>
      </c>
      <c r="Q2909" s="508">
        <v>2.9849999999999999</v>
      </c>
      <c r="R2909" s="508">
        <v>2.7959999999999998</v>
      </c>
      <c r="S2909" s="508">
        <v>2.8149999999999999</v>
      </c>
      <c r="T2909" s="508">
        <v>2.819</v>
      </c>
      <c r="U2909" s="508">
        <v>1.9319999999999999</v>
      </c>
      <c r="V2909" s="508">
        <v>1.764</v>
      </c>
      <c r="W2909" s="508">
        <v>1.843</v>
      </c>
      <c r="X2909" s="508">
        <v>1.087</v>
      </c>
      <c r="Y2909" s="508">
        <v>0.83</v>
      </c>
      <c r="Z2909" s="508">
        <v>0.67500000000000004</v>
      </c>
      <c r="AA2909" s="508">
        <v>0.52300000000000002</v>
      </c>
      <c r="AB2909" s="508">
        <v>0.372</v>
      </c>
      <c r="AC2909" s="508">
        <v>0.23799999999999999</v>
      </c>
      <c r="AD2909" s="508">
        <v>0.17699999999999999</v>
      </c>
      <c r="AE2909" s="508">
        <v>0.185</v>
      </c>
      <c r="AF2909" s="508">
        <v>0.11600000000000001</v>
      </c>
      <c r="AG2909" s="508">
        <v>0.115</v>
      </c>
      <c r="AH2909" s="508">
        <v>0.11899999999999999</v>
      </c>
      <c r="AI2909" s="492">
        <v>0.11799999999999999</v>
      </c>
      <c r="AJ2909" s="485"/>
    </row>
    <row r="2910" spans="2:36">
      <c r="B2910" s="136" t="s">
        <v>467</v>
      </c>
      <c r="C2910" s="132" t="s">
        <v>1365</v>
      </c>
      <c r="D2910" s="132" t="s">
        <v>283</v>
      </c>
      <c r="E2910" s="508">
        <v>6.3639999999999999</v>
      </c>
      <c r="F2910" s="508">
        <v>6.7009999999999996</v>
      </c>
      <c r="G2910" s="508">
        <v>6.6820000000000004</v>
      </c>
      <c r="H2910" s="508">
        <v>6.6820000000000004</v>
      </c>
      <c r="I2910" s="508">
        <v>6.6879999999999997</v>
      </c>
      <c r="J2910" s="508">
        <v>6.8570000000000002</v>
      </c>
      <c r="K2910" s="508">
        <v>6.8630000000000004</v>
      </c>
      <c r="L2910" s="508">
        <v>6.8710000000000004</v>
      </c>
      <c r="M2910" s="508">
        <v>6.86</v>
      </c>
      <c r="N2910" s="508">
        <v>6.63</v>
      </c>
      <c r="O2910" s="508">
        <v>6.5119999999999996</v>
      </c>
      <c r="P2910" s="508">
        <v>2.9830000000000001</v>
      </c>
      <c r="Q2910" s="508">
        <v>2.903</v>
      </c>
      <c r="R2910" s="508">
        <v>2.7160000000000002</v>
      </c>
      <c r="S2910" s="508">
        <v>2.7360000000000002</v>
      </c>
      <c r="T2910" s="508">
        <v>2.7410000000000001</v>
      </c>
      <c r="U2910" s="508">
        <v>1.8620000000000001</v>
      </c>
      <c r="V2910" s="508">
        <v>1.6990000000000001</v>
      </c>
      <c r="W2910" s="508">
        <v>1.7749999999999999</v>
      </c>
      <c r="X2910" s="508">
        <v>1.0549999999999999</v>
      </c>
      <c r="Y2910" s="508">
        <v>0.81200000000000006</v>
      </c>
      <c r="Z2910" s="508">
        <v>0.66200000000000003</v>
      </c>
      <c r="AA2910" s="508">
        <v>0.51600000000000001</v>
      </c>
      <c r="AB2910" s="508">
        <v>0.371</v>
      </c>
      <c r="AC2910" s="508">
        <v>0.24199999999999999</v>
      </c>
      <c r="AD2910" s="508">
        <v>0.183</v>
      </c>
      <c r="AE2910" s="508">
        <v>0.191</v>
      </c>
      <c r="AF2910" s="508">
        <v>0.125</v>
      </c>
      <c r="AG2910" s="508">
        <v>0.124</v>
      </c>
      <c r="AH2910" s="508">
        <v>0.123</v>
      </c>
      <c r="AI2910" s="492">
        <v>0.123</v>
      </c>
      <c r="AJ2910" s="485"/>
    </row>
    <row r="2911" spans="2:36">
      <c r="B2911" s="136" t="s">
        <v>468</v>
      </c>
      <c r="C2911" s="132" t="s">
        <v>1365</v>
      </c>
      <c r="D2911" s="132" t="s">
        <v>283</v>
      </c>
      <c r="E2911" s="508">
        <v>5.2220000000000004</v>
      </c>
      <c r="F2911" s="508">
        <v>5.7519999999999998</v>
      </c>
      <c r="G2911" s="508">
        <v>5.7080000000000002</v>
      </c>
      <c r="H2911" s="508">
        <v>5.7080000000000002</v>
      </c>
      <c r="I2911" s="508">
        <v>5.7210000000000001</v>
      </c>
      <c r="J2911" s="508">
        <v>5.8239999999999998</v>
      </c>
      <c r="K2911" s="508">
        <v>5.8170000000000002</v>
      </c>
      <c r="L2911" s="508">
        <v>5.8049999999999997</v>
      </c>
      <c r="M2911" s="508">
        <v>5.7779999999999996</v>
      </c>
      <c r="N2911" s="508">
        <v>5.6749999999999998</v>
      </c>
      <c r="O2911" s="508">
        <v>5.5810000000000004</v>
      </c>
      <c r="P2911" s="508">
        <v>2.8730000000000002</v>
      </c>
      <c r="Q2911" s="508">
        <v>2.8</v>
      </c>
      <c r="R2911" s="508">
        <v>2.6150000000000002</v>
      </c>
      <c r="S2911" s="508">
        <v>2.6339999999999999</v>
      </c>
      <c r="T2911" s="508">
        <v>2.6389999999999998</v>
      </c>
      <c r="U2911" s="508">
        <v>1.8169999999999999</v>
      </c>
      <c r="V2911" s="508">
        <v>1.66</v>
      </c>
      <c r="W2911" s="508">
        <v>1.732</v>
      </c>
      <c r="X2911" s="508">
        <v>1.026</v>
      </c>
      <c r="Y2911" s="508">
        <v>0.78900000000000003</v>
      </c>
      <c r="Z2911" s="508">
        <v>0.64500000000000002</v>
      </c>
      <c r="AA2911" s="508">
        <v>0.504</v>
      </c>
      <c r="AB2911" s="508">
        <v>0.36199999999999999</v>
      </c>
      <c r="AC2911" s="508">
        <v>0.23799999999999999</v>
      </c>
      <c r="AD2911" s="508">
        <v>0.18099999999999999</v>
      </c>
      <c r="AE2911" s="508">
        <v>0.188</v>
      </c>
      <c r="AF2911" s="508">
        <v>0.123</v>
      </c>
      <c r="AG2911" s="508">
        <v>0.122</v>
      </c>
      <c r="AH2911" s="508">
        <v>0.122</v>
      </c>
      <c r="AI2911" s="492">
        <v>0.121</v>
      </c>
      <c r="AJ2911" s="485"/>
    </row>
    <row r="2912" spans="2:36">
      <c r="B2912" s="136" t="s">
        <v>469</v>
      </c>
      <c r="C2912" s="132" t="s">
        <v>1365</v>
      </c>
      <c r="D2912" s="132" t="s">
        <v>283</v>
      </c>
      <c r="E2912" s="508">
        <v>6.367</v>
      </c>
      <c r="F2912" s="508">
        <v>6.7050000000000001</v>
      </c>
      <c r="G2912" s="508">
        <v>6.6859999999999999</v>
      </c>
      <c r="H2912" s="508">
        <v>6.6859999999999999</v>
      </c>
      <c r="I2912" s="508">
        <v>6.6920000000000002</v>
      </c>
      <c r="J2912" s="508">
        <v>6.8550000000000004</v>
      </c>
      <c r="K2912" s="508">
        <v>6.8620000000000001</v>
      </c>
      <c r="L2912" s="508">
        <v>6.87</v>
      </c>
      <c r="M2912" s="508">
        <v>6.859</v>
      </c>
      <c r="N2912" s="508">
        <v>6.6470000000000002</v>
      </c>
      <c r="O2912" s="508">
        <v>6.5289999999999999</v>
      </c>
      <c r="P2912" s="508">
        <v>3.2869999999999999</v>
      </c>
      <c r="Q2912" s="508">
        <v>3.198</v>
      </c>
      <c r="R2912" s="508">
        <v>3.0329999999999999</v>
      </c>
      <c r="S2912" s="508">
        <v>3.0379999999999998</v>
      </c>
      <c r="T2912" s="508">
        <v>3.032</v>
      </c>
      <c r="U2912" s="508">
        <v>2.0840000000000001</v>
      </c>
      <c r="V2912" s="508">
        <v>1.9219999999999999</v>
      </c>
      <c r="W2912" s="508">
        <v>2.0070000000000001</v>
      </c>
      <c r="X2912" s="508">
        <v>1.165</v>
      </c>
      <c r="Y2912" s="508">
        <v>0.89100000000000001</v>
      </c>
      <c r="Z2912" s="508">
        <v>0.71499999999999997</v>
      </c>
      <c r="AA2912" s="508">
        <v>0.56200000000000006</v>
      </c>
      <c r="AB2912" s="508">
        <v>0.40600000000000003</v>
      </c>
      <c r="AC2912" s="508">
        <v>0.27400000000000002</v>
      </c>
      <c r="AD2912" s="508">
        <v>0.20300000000000001</v>
      </c>
      <c r="AE2912" s="508">
        <v>0.21</v>
      </c>
      <c r="AF2912" s="508">
        <v>0.127</v>
      </c>
      <c r="AG2912" s="508">
        <v>0.126</v>
      </c>
      <c r="AH2912" s="508">
        <v>0.126</v>
      </c>
      <c r="AI2912" s="492">
        <v>0.125</v>
      </c>
      <c r="AJ2912" s="485"/>
    </row>
    <row r="2913" spans="2:36">
      <c r="B2913" s="136" t="s">
        <v>470</v>
      </c>
      <c r="C2913" s="132" t="s">
        <v>1365</v>
      </c>
      <c r="D2913" s="132" t="s">
        <v>283</v>
      </c>
      <c r="E2913" s="508">
        <v>4.085</v>
      </c>
      <c r="F2913" s="508">
        <v>4.8970000000000002</v>
      </c>
      <c r="G2913" s="508">
        <v>4.819</v>
      </c>
      <c r="H2913" s="508">
        <v>4.8209999999999997</v>
      </c>
      <c r="I2913" s="508">
        <v>4.843</v>
      </c>
      <c r="J2913" s="508">
        <v>4.915</v>
      </c>
      <c r="K2913" s="508">
        <v>4.8920000000000003</v>
      </c>
      <c r="L2913" s="508">
        <v>4.8540000000000001</v>
      </c>
      <c r="M2913" s="508">
        <v>4.8049999999999997</v>
      </c>
      <c r="N2913" s="508">
        <v>4.7690000000000001</v>
      </c>
      <c r="O2913" s="508">
        <v>4.7</v>
      </c>
      <c r="P2913" s="508">
        <v>2.9380000000000002</v>
      </c>
      <c r="Q2913" s="508">
        <v>2.8570000000000002</v>
      </c>
      <c r="R2913" s="508">
        <v>2.6619999999999999</v>
      </c>
      <c r="S2913" s="508">
        <v>2.6840000000000002</v>
      </c>
      <c r="T2913" s="508">
        <v>2.6909999999999998</v>
      </c>
      <c r="U2913" s="508">
        <v>1.8149999999999999</v>
      </c>
      <c r="V2913" s="508">
        <v>1.6519999999999999</v>
      </c>
      <c r="W2913" s="508">
        <v>1.7250000000000001</v>
      </c>
      <c r="X2913" s="508">
        <v>1.03</v>
      </c>
      <c r="Y2913" s="508">
        <v>0.79100000000000004</v>
      </c>
      <c r="Z2913" s="508">
        <v>0.64700000000000002</v>
      </c>
      <c r="AA2913" s="508">
        <v>0.502</v>
      </c>
      <c r="AB2913" s="508">
        <v>0.35899999999999999</v>
      </c>
      <c r="AC2913" s="508">
        <v>0.23100000000000001</v>
      </c>
      <c r="AD2913" s="508">
        <v>0.17499999999999999</v>
      </c>
      <c r="AE2913" s="508">
        <v>0.183</v>
      </c>
      <c r="AF2913" s="508">
        <v>0.12</v>
      </c>
      <c r="AG2913" s="508">
        <v>0.125</v>
      </c>
      <c r="AH2913" s="508">
        <v>0.124</v>
      </c>
      <c r="AI2913" s="492">
        <v>0.124</v>
      </c>
      <c r="AJ2913" s="485"/>
    </row>
    <row r="2914" spans="2:36">
      <c r="B2914" s="136" t="s">
        <v>471</v>
      </c>
      <c r="C2914" s="132" t="s">
        <v>1365</v>
      </c>
      <c r="D2914" s="132" t="s">
        <v>283</v>
      </c>
      <c r="E2914" s="508">
        <v>5.9969999999999999</v>
      </c>
      <c r="F2914" s="508">
        <v>6.4349999999999996</v>
      </c>
      <c r="G2914" s="508">
        <v>6.415</v>
      </c>
      <c r="H2914" s="508">
        <v>6.4160000000000004</v>
      </c>
      <c r="I2914" s="508">
        <v>6.4210000000000003</v>
      </c>
      <c r="J2914" s="508">
        <v>6.5919999999999996</v>
      </c>
      <c r="K2914" s="508">
        <v>6.5970000000000004</v>
      </c>
      <c r="L2914" s="508">
        <v>6.6020000000000003</v>
      </c>
      <c r="M2914" s="508">
        <v>6.5880000000000001</v>
      </c>
      <c r="N2914" s="508">
        <v>6.3769999999999998</v>
      </c>
      <c r="O2914" s="508">
        <v>6.2610000000000001</v>
      </c>
      <c r="P2914" s="508">
        <v>3.2290000000000001</v>
      </c>
      <c r="Q2914" s="508">
        <v>3.1379999999999999</v>
      </c>
      <c r="R2914" s="508">
        <v>2.9780000000000002</v>
      </c>
      <c r="S2914" s="508">
        <v>2.9790000000000001</v>
      </c>
      <c r="T2914" s="508">
        <v>2.97</v>
      </c>
      <c r="U2914" s="508">
        <v>1.9510000000000001</v>
      </c>
      <c r="V2914" s="508">
        <v>1.7989999999999999</v>
      </c>
      <c r="W2914" s="508">
        <v>1.8779999999999999</v>
      </c>
      <c r="X2914" s="508">
        <v>1.0900000000000001</v>
      </c>
      <c r="Y2914" s="508">
        <v>0.83</v>
      </c>
      <c r="Z2914" s="508">
        <v>0.66500000000000004</v>
      </c>
      <c r="AA2914" s="508">
        <v>0.52100000000000002</v>
      </c>
      <c r="AB2914" s="508">
        <v>0.374</v>
      </c>
      <c r="AC2914" s="508">
        <v>0.251</v>
      </c>
      <c r="AD2914" s="508">
        <v>0.184</v>
      </c>
      <c r="AE2914" s="508">
        <v>0.19</v>
      </c>
      <c r="AF2914" s="508">
        <v>0.114</v>
      </c>
      <c r="AG2914" s="508">
        <v>0.113</v>
      </c>
      <c r="AH2914" s="508">
        <v>0.112</v>
      </c>
      <c r="AI2914" s="492">
        <v>0.112</v>
      </c>
      <c r="AJ2914" s="485"/>
    </row>
    <row r="2915" spans="2:36">
      <c r="B2915" s="136" t="s">
        <v>472</v>
      </c>
      <c r="C2915" s="132" t="s">
        <v>1365</v>
      </c>
      <c r="D2915" s="132" t="s">
        <v>283</v>
      </c>
      <c r="E2915" s="508">
        <v>6.5389999999999997</v>
      </c>
      <c r="F2915" s="508">
        <v>6.8070000000000004</v>
      </c>
      <c r="G2915" s="508">
        <v>6.7880000000000003</v>
      </c>
      <c r="H2915" s="508">
        <v>6.7889999999999997</v>
      </c>
      <c r="I2915" s="508">
        <v>6.7939999999999996</v>
      </c>
      <c r="J2915" s="508">
        <v>6.9480000000000004</v>
      </c>
      <c r="K2915" s="508">
        <v>6.9550000000000001</v>
      </c>
      <c r="L2915" s="508">
        <v>6.9660000000000002</v>
      </c>
      <c r="M2915" s="508">
        <v>6.9550000000000001</v>
      </c>
      <c r="N2915" s="508">
        <v>6.7359999999999998</v>
      </c>
      <c r="O2915" s="508">
        <v>6.6159999999999997</v>
      </c>
      <c r="P2915" s="508">
        <v>3.4239999999999999</v>
      </c>
      <c r="Q2915" s="508">
        <v>3.3340000000000001</v>
      </c>
      <c r="R2915" s="508">
        <v>3.177</v>
      </c>
      <c r="S2915" s="508">
        <v>3.177</v>
      </c>
      <c r="T2915" s="508">
        <v>3.1659999999999999</v>
      </c>
      <c r="U2915" s="508">
        <v>2.1120000000000001</v>
      </c>
      <c r="V2915" s="508">
        <v>1.9550000000000001</v>
      </c>
      <c r="W2915" s="508">
        <v>2.0419999999999998</v>
      </c>
      <c r="X2915" s="508">
        <v>1.1839999999999999</v>
      </c>
      <c r="Y2915" s="508">
        <v>0.91</v>
      </c>
      <c r="Z2915" s="508">
        <v>0.72699999999999998</v>
      </c>
      <c r="AA2915" s="508">
        <v>0.57599999999999996</v>
      </c>
      <c r="AB2915" s="508">
        <v>0.42</v>
      </c>
      <c r="AC2915" s="508">
        <v>0.28999999999999998</v>
      </c>
      <c r="AD2915" s="508">
        <v>0.216</v>
      </c>
      <c r="AE2915" s="508">
        <v>0.223</v>
      </c>
      <c r="AF2915" s="508">
        <v>0.13600000000000001</v>
      </c>
      <c r="AG2915" s="508">
        <v>0.13500000000000001</v>
      </c>
      <c r="AH2915" s="508">
        <v>0.13400000000000001</v>
      </c>
      <c r="AI2915" s="492">
        <v>0.13400000000000001</v>
      </c>
      <c r="AJ2915" s="485"/>
    </row>
    <row r="2916" spans="2:36">
      <c r="B2916" s="136" t="s">
        <v>473</v>
      </c>
      <c r="C2916" s="132" t="s">
        <v>1365</v>
      </c>
      <c r="D2916" s="132" t="s">
        <v>283</v>
      </c>
      <c r="E2916" s="508">
        <v>5.7080000000000002</v>
      </c>
      <c r="F2916" s="508">
        <v>6.2140000000000004</v>
      </c>
      <c r="G2916" s="508">
        <v>5.8890000000000002</v>
      </c>
      <c r="H2916" s="508">
        <v>5.89</v>
      </c>
      <c r="I2916" s="508">
        <v>5.9009999999999998</v>
      </c>
      <c r="J2916" s="508">
        <v>6.0419999999999998</v>
      </c>
      <c r="K2916" s="508">
        <v>6.0369999999999999</v>
      </c>
      <c r="L2916" s="508">
        <v>6.0259999999999998</v>
      </c>
      <c r="M2916" s="508">
        <v>6</v>
      </c>
      <c r="N2916" s="508">
        <v>5.8460000000000001</v>
      </c>
      <c r="O2916" s="508">
        <v>5.7469999999999999</v>
      </c>
      <c r="P2916" s="508">
        <v>3.173</v>
      </c>
      <c r="Q2916" s="508">
        <v>3.0819999999999999</v>
      </c>
      <c r="R2916" s="508">
        <v>2.9089999999999998</v>
      </c>
      <c r="S2916" s="508">
        <v>2.9180000000000001</v>
      </c>
      <c r="T2916" s="508">
        <v>2.9140000000000001</v>
      </c>
      <c r="U2916" s="508">
        <v>1.964</v>
      </c>
      <c r="V2916" s="508">
        <v>1.804</v>
      </c>
      <c r="W2916" s="508">
        <v>1.8839999999999999</v>
      </c>
      <c r="X2916" s="508">
        <v>1.105</v>
      </c>
      <c r="Y2916" s="508">
        <v>0.84499999999999997</v>
      </c>
      <c r="Z2916" s="508">
        <v>0.68200000000000005</v>
      </c>
      <c r="AA2916" s="508">
        <v>0.53300000000000003</v>
      </c>
      <c r="AB2916" s="508">
        <v>0.38400000000000001</v>
      </c>
      <c r="AC2916" s="508">
        <v>0.255</v>
      </c>
      <c r="AD2916" s="508">
        <v>0.19</v>
      </c>
      <c r="AE2916" s="508">
        <v>0.19700000000000001</v>
      </c>
      <c r="AF2916" s="508">
        <v>0.123</v>
      </c>
      <c r="AG2916" s="508">
        <v>0.122</v>
      </c>
      <c r="AH2916" s="508">
        <v>0.122</v>
      </c>
      <c r="AI2916" s="492">
        <v>0.121</v>
      </c>
      <c r="AJ2916" s="485"/>
    </row>
    <row r="2917" spans="2:36">
      <c r="B2917" s="136" t="s">
        <v>474</v>
      </c>
      <c r="C2917" s="132" t="s">
        <v>1365</v>
      </c>
      <c r="D2917" s="132" t="s">
        <v>283</v>
      </c>
      <c r="E2917" s="508">
        <v>5.9269999999999996</v>
      </c>
      <c r="F2917" s="508">
        <v>6.3550000000000004</v>
      </c>
      <c r="G2917" s="508">
        <v>6.3360000000000003</v>
      </c>
      <c r="H2917" s="508">
        <v>6.3360000000000003</v>
      </c>
      <c r="I2917" s="508">
        <v>6.3419999999999996</v>
      </c>
      <c r="J2917" s="508">
        <v>6.5069999999999997</v>
      </c>
      <c r="K2917" s="508">
        <v>6.5110000000000001</v>
      </c>
      <c r="L2917" s="508">
        <v>6.5170000000000003</v>
      </c>
      <c r="M2917" s="508">
        <v>6.5030000000000001</v>
      </c>
      <c r="N2917" s="508">
        <v>6.3029999999999999</v>
      </c>
      <c r="O2917" s="508">
        <v>6.1890000000000001</v>
      </c>
      <c r="P2917" s="508">
        <v>3.2309999999999999</v>
      </c>
      <c r="Q2917" s="508">
        <v>3.14</v>
      </c>
      <c r="R2917" s="508">
        <v>2.9860000000000002</v>
      </c>
      <c r="S2917" s="508">
        <v>2.9849999999999999</v>
      </c>
      <c r="T2917" s="508">
        <v>2.9740000000000002</v>
      </c>
      <c r="U2917" s="508">
        <v>2.02</v>
      </c>
      <c r="V2917" s="508">
        <v>1.865</v>
      </c>
      <c r="W2917" s="508">
        <v>1.946</v>
      </c>
      <c r="X2917" s="508">
        <v>1.1259999999999999</v>
      </c>
      <c r="Y2917" s="508">
        <v>0.85699999999999998</v>
      </c>
      <c r="Z2917" s="508">
        <v>0.68400000000000005</v>
      </c>
      <c r="AA2917" s="508">
        <v>0.53700000000000003</v>
      </c>
      <c r="AB2917" s="508">
        <v>0.38600000000000001</v>
      </c>
      <c r="AC2917" s="508">
        <v>0.26100000000000001</v>
      </c>
      <c r="AD2917" s="508">
        <v>0.191</v>
      </c>
      <c r="AE2917" s="508">
        <v>0.19700000000000001</v>
      </c>
      <c r="AF2917" s="508">
        <v>0.11700000000000001</v>
      </c>
      <c r="AG2917" s="508">
        <v>0.11600000000000001</v>
      </c>
      <c r="AH2917" s="508">
        <v>0.115</v>
      </c>
      <c r="AI2917" s="492">
        <v>0.115</v>
      </c>
      <c r="AJ2917" s="485"/>
    </row>
    <row r="2918" spans="2:36">
      <c r="B2918" s="136" t="s">
        <v>475</v>
      </c>
      <c r="C2918" s="132" t="s">
        <v>1365</v>
      </c>
      <c r="D2918" s="132" t="s">
        <v>283</v>
      </c>
      <c r="E2918" s="508">
        <v>5.7969999999999997</v>
      </c>
      <c r="F2918" s="508">
        <v>6.2389999999999999</v>
      </c>
      <c r="G2918" s="508">
        <v>6.21</v>
      </c>
      <c r="H2918" s="508">
        <v>6.21</v>
      </c>
      <c r="I2918" s="508">
        <v>6.2190000000000003</v>
      </c>
      <c r="J2918" s="508">
        <v>6.3639999999999999</v>
      </c>
      <c r="K2918" s="508">
        <v>6.32</v>
      </c>
      <c r="L2918" s="508">
        <v>6.3179999999999996</v>
      </c>
      <c r="M2918" s="508">
        <v>6.298</v>
      </c>
      <c r="N2918" s="508">
        <v>6.1230000000000002</v>
      </c>
      <c r="O2918" s="508">
        <v>6.016</v>
      </c>
      <c r="P2918" s="508">
        <v>3.1309999999999998</v>
      </c>
      <c r="Q2918" s="508">
        <v>3.0449999999999999</v>
      </c>
      <c r="R2918" s="508">
        <v>2.875</v>
      </c>
      <c r="S2918" s="508">
        <v>2.8839999999999999</v>
      </c>
      <c r="T2918" s="508">
        <v>2.8809999999999998</v>
      </c>
      <c r="U2918" s="508">
        <v>1.9790000000000001</v>
      </c>
      <c r="V2918" s="508">
        <v>1.819</v>
      </c>
      <c r="W2918" s="508">
        <v>1.8979999999999999</v>
      </c>
      <c r="X2918" s="508">
        <v>1.1120000000000001</v>
      </c>
      <c r="Y2918" s="508">
        <v>0.85199999999999998</v>
      </c>
      <c r="Z2918" s="508">
        <v>0.68799999999999994</v>
      </c>
      <c r="AA2918" s="508">
        <v>0.53900000000000003</v>
      </c>
      <c r="AB2918" s="508">
        <v>0.39</v>
      </c>
      <c r="AC2918" s="508">
        <v>0.26100000000000001</v>
      </c>
      <c r="AD2918" s="508">
        <v>0.19500000000000001</v>
      </c>
      <c r="AE2918" s="508">
        <v>0.20200000000000001</v>
      </c>
      <c r="AF2918" s="508">
        <v>0.127</v>
      </c>
      <c r="AG2918" s="508">
        <v>0.127</v>
      </c>
      <c r="AH2918" s="508">
        <v>0.126</v>
      </c>
      <c r="AI2918" s="492">
        <v>0.125</v>
      </c>
      <c r="AJ2918" s="485"/>
    </row>
    <row r="2919" spans="2:36">
      <c r="B2919" s="136" t="s">
        <v>476</v>
      </c>
      <c r="C2919" s="132" t="s">
        <v>1365</v>
      </c>
      <c r="D2919" s="132" t="s">
        <v>283</v>
      </c>
      <c r="E2919" s="508">
        <v>6.2149999999999999</v>
      </c>
      <c r="F2919" s="508">
        <v>6.327</v>
      </c>
      <c r="G2919" s="508">
        <v>6.2969999999999997</v>
      </c>
      <c r="H2919" s="508">
        <v>6.298</v>
      </c>
      <c r="I2919" s="508">
        <v>6.3070000000000004</v>
      </c>
      <c r="J2919" s="508">
        <v>6.4640000000000004</v>
      </c>
      <c r="K2919" s="508">
        <v>6.4640000000000004</v>
      </c>
      <c r="L2919" s="508">
        <v>6.4630000000000001</v>
      </c>
      <c r="M2919" s="508">
        <v>6.4429999999999996</v>
      </c>
      <c r="N2919" s="508">
        <v>6.26</v>
      </c>
      <c r="O2919" s="508">
        <v>6.1509999999999998</v>
      </c>
      <c r="P2919" s="508">
        <v>3.081</v>
      </c>
      <c r="Q2919" s="508">
        <v>2.9950000000000001</v>
      </c>
      <c r="R2919" s="508">
        <v>2.8130000000000002</v>
      </c>
      <c r="S2919" s="508">
        <v>2.827</v>
      </c>
      <c r="T2919" s="508">
        <v>2.827</v>
      </c>
      <c r="U2919" s="508">
        <v>1.9</v>
      </c>
      <c r="V2919" s="508">
        <v>1.7390000000000001</v>
      </c>
      <c r="W2919" s="508">
        <v>1.8160000000000001</v>
      </c>
      <c r="X2919" s="508">
        <v>1.071</v>
      </c>
      <c r="Y2919" s="508">
        <v>0.82099999999999995</v>
      </c>
      <c r="Z2919" s="508">
        <v>0.66600000000000004</v>
      </c>
      <c r="AA2919" s="508">
        <v>0.51900000000000002</v>
      </c>
      <c r="AB2919" s="508">
        <v>0.373</v>
      </c>
      <c r="AC2919" s="508">
        <v>0.245</v>
      </c>
      <c r="AD2919" s="508">
        <v>0.184</v>
      </c>
      <c r="AE2919" s="508">
        <v>0.191</v>
      </c>
      <c r="AF2919" s="508">
        <v>0.122</v>
      </c>
      <c r="AG2919" s="508">
        <v>0.121</v>
      </c>
      <c r="AH2919" s="508">
        <v>0.121</v>
      </c>
      <c r="AI2919" s="492">
        <v>0.123</v>
      </c>
      <c r="AJ2919" s="485"/>
    </row>
    <row r="2920" spans="2:36">
      <c r="B2920" s="136" t="s">
        <v>478</v>
      </c>
      <c r="C2920" s="132" t="s">
        <v>1365</v>
      </c>
      <c r="D2920" s="132" t="s">
        <v>283</v>
      </c>
      <c r="E2920" s="508">
        <v>2.5139999999999998</v>
      </c>
      <c r="F2920" s="508">
        <v>3.621</v>
      </c>
      <c r="G2920" s="508">
        <v>3.5030000000000001</v>
      </c>
      <c r="H2920" s="508">
        <v>3.5059999999999998</v>
      </c>
      <c r="I2920" s="508">
        <v>3.54</v>
      </c>
      <c r="J2920" s="508">
        <v>3.5350000000000001</v>
      </c>
      <c r="K2920" s="508">
        <v>3.492</v>
      </c>
      <c r="L2920" s="508">
        <v>3.4220000000000002</v>
      </c>
      <c r="M2920" s="508">
        <v>3.347</v>
      </c>
      <c r="N2920" s="508">
        <v>3.452</v>
      </c>
      <c r="O2920" s="508">
        <v>3.4180000000000001</v>
      </c>
      <c r="P2920" s="508">
        <v>2.7480000000000002</v>
      </c>
      <c r="Q2920" s="508">
        <v>2.6709999999999998</v>
      </c>
      <c r="R2920" s="508">
        <v>2.4580000000000002</v>
      </c>
      <c r="S2920" s="508">
        <v>2.4849999999999999</v>
      </c>
      <c r="T2920" s="508">
        <v>2.496</v>
      </c>
      <c r="U2920" s="508">
        <v>1.712</v>
      </c>
      <c r="V2920" s="508">
        <v>1.5449999999999999</v>
      </c>
      <c r="W2920" s="508">
        <v>1.61</v>
      </c>
      <c r="X2920" s="508">
        <v>0.97699999999999998</v>
      </c>
      <c r="Y2920" s="508">
        <v>0.753</v>
      </c>
      <c r="Z2920" s="508">
        <v>0.627</v>
      </c>
      <c r="AA2920" s="508">
        <v>0.48299999999999998</v>
      </c>
      <c r="AB2920" s="508">
        <v>0.34799999999999998</v>
      </c>
      <c r="AC2920" s="508">
        <v>0.22</v>
      </c>
      <c r="AD2920" s="508">
        <v>0.17100000000000001</v>
      </c>
      <c r="AE2920" s="508">
        <v>0.21099999999999999</v>
      </c>
      <c r="AF2920" s="508">
        <v>0.127</v>
      </c>
      <c r="AG2920" s="508">
        <v>0.126</v>
      </c>
      <c r="AH2920" s="508">
        <v>0.126</v>
      </c>
      <c r="AI2920" s="492">
        <v>0.125</v>
      </c>
      <c r="AJ2920" s="485"/>
    </row>
    <row r="2921" spans="2:36">
      <c r="B2921" s="136" t="s">
        <v>479</v>
      </c>
      <c r="C2921" s="132" t="s">
        <v>1365</v>
      </c>
      <c r="D2921" s="132" t="s">
        <v>283</v>
      </c>
      <c r="E2921" s="508">
        <v>5.8920000000000003</v>
      </c>
      <c r="F2921" s="508">
        <v>6.3579999999999997</v>
      </c>
      <c r="G2921" s="508">
        <v>6.3390000000000004</v>
      </c>
      <c r="H2921" s="508">
        <v>6.3390000000000004</v>
      </c>
      <c r="I2921" s="508">
        <v>6.3449999999999998</v>
      </c>
      <c r="J2921" s="508">
        <v>6.508</v>
      </c>
      <c r="K2921" s="508">
        <v>6.5110000000000001</v>
      </c>
      <c r="L2921" s="508">
        <v>6.516</v>
      </c>
      <c r="M2921" s="508">
        <v>6.5010000000000003</v>
      </c>
      <c r="N2921" s="508">
        <v>6.3150000000000004</v>
      </c>
      <c r="O2921" s="508">
        <v>6.2</v>
      </c>
      <c r="P2921" s="508">
        <v>3.2410000000000001</v>
      </c>
      <c r="Q2921" s="508">
        <v>3.15</v>
      </c>
      <c r="R2921" s="508">
        <v>2.9950000000000001</v>
      </c>
      <c r="S2921" s="508">
        <v>2.9929999999999999</v>
      </c>
      <c r="T2921" s="508">
        <v>2.98</v>
      </c>
      <c r="U2921" s="508">
        <v>1.9550000000000001</v>
      </c>
      <c r="V2921" s="508">
        <v>1.806</v>
      </c>
      <c r="W2921" s="508">
        <v>1.885</v>
      </c>
      <c r="X2921" s="508">
        <v>1.0880000000000001</v>
      </c>
      <c r="Y2921" s="508">
        <v>0.82799999999999996</v>
      </c>
      <c r="Z2921" s="508">
        <v>0.66100000000000003</v>
      </c>
      <c r="AA2921" s="508">
        <v>0.52</v>
      </c>
      <c r="AB2921" s="508">
        <v>0.374</v>
      </c>
      <c r="AC2921" s="508">
        <v>0.253</v>
      </c>
      <c r="AD2921" s="508">
        <v>0.185</v>
      </c>
      <c r="AE2921" s="508">
        <v>0.191</v>
      </c>
      <c r="AF2921" s="508">
        <v>0.112</v>
      </c>
      <c r="AG2921" s="508">
        <v>0.112</v>
      </c>
      <c r="AH2921" s="508">
        <v>0.111</v>
      </c>
      <c r="AI2921" s="492">
        <v>0.11</v>
      </c>
      <c r="AJ2921" s="485"/>
    </row>
    <row r="2922" spans="2:36">
      <c r="B2922" s="136" t="s">
        <v>480</v>
      </c>
      <c r="C2922" s="132" t="s">
        <v>1365</v>
      </c>
      <c r="D2922" s="132" t="s">
        <v>283</v>
      </c>
      <c r="E2922" s="508">
        <v>6.4560000000000004</v>
      </c>
      <c r="F2922" s="508">
        <v>6.7629999999999999</v>
      </c>
      <c r="G2922" s="508">
        <v>6.7439999999999998</v>
      </c>
      <c r="H2922" s="508">
        <v>6.7450000000000001</v>
      </c>
      <c r="I2922" s="508">
        <v>6.75</v>
      </c>
      <c r="J2922" s="508">
        <v>6.9</v>
      </c>
      <c r="K2922" s="508">
        <v>6.907</v>
      </c>
      <c r="L2922" s="508">
        <v>6.9160000000000004</v>
      </c>
      <c r="M2922" s="508">
        <v>6.9050000000000002</v>
      </c>
      <c r="N2922" s="508">
        <v>6.7050000000000001</v>
      </c>
      <c r="O2922" s="508">
        <v>6.585</v>
      </c>
      <c r="P2922" s="508">
        <v>3.4089999999999998</v>
      </c>
      <c r="Q2922" s="508">
        <v>3.32</v>
      </c>
      <c r="R2922" s="508">
        <v>3.1640000000000001</v>
      </c>
      <c r="S2922" s="508">
        <v>3.1619999999999999</v>
      </c>
      <c r="T2922" s="508">
        <v>3.15</v>
      </c>
      <c r="U2922" s="508">
        <v>2.1030000000000002</v>
      </c>
      <c r="V2922" s="508">
        <v>1.948</v>
      </c>
      <c r="W2922" s="508">
        <v>2.0339999999999998</v>
      </c>
      <c r="X2922" s="508">
        <v>1.1759999999999999</v>
      </c>
      <c r="Y2922" s="508">
        <v>0.90300000000000002</v>
      </c>
      <c r="Z2922" s="508">
        <v>0.72099999999999997</v>
      </c>
      <c r="AA2922" s="508">
        <v>0.57199999999999995</v>
      </c>
      <c r="AB2922" s="508">
        <v>0.41699999999999998</v>
      </c>
      <c r="AC2922" s="508">
        <v>0.28899999999999998</v>
      </c>
      <c r="AD2922" s="508">
        <v>0.214</v>
      </c>
      <c r="AE2922" s="508">
        <v>0.221</v>
      </c>
      <c r="AF2922" s="508">
        <v>0.13400000000000001</v>
      </c>
      <c r="AG2922" s="508">
        <v>0.13300000000000001</v>
      </c>
      <c r="AH2922" s="508">
        <v>0.13200000000000001</v>
      </c>
      <c r="AI2922" s="492">
        <v>0.13200000000000001</v>
      </c>
      <c r="AJ2922" s="485"/>
    </row>
    <row r="2923" spans="2:36">
      <c r="B2923" s="136" t="s">
        <v>481</v>
      </c>
      <c r="C2923" s="132" t="s">
        <v>1365</v>
      </c>
      <c r="D2923" s="132" t="s">
        <v>283</v>
      </c>
      <c r="E2923" s="508">
        <v>5.9870000000000001</v>
      </c>
      <c r="F2923" s="508">
        <v>6.4390000000000001</v>
      </c>
      <c r="G2923" s="508">
        <v>6.42</v>
      </c>
      <c r="H2923" s="508">
        <v>6.42</v>
      </c>
      <c r="I2923" s="508">
        <v>6.4260000000000002</v>
      </c>
      <c r="J2923" s="508">
        <v>6.5940000000000003</v>
      </c>
      <c r="K2923" s="508">
        <v>6.5979999999999999</v>
      </c>
      <c r="L2923" s="508">
        <v>6.6029999999999998</v>
      </c>
      <c r="M2923" s="508">
        <v>6.5890000000000004</v>
      </c>
      <c r="N2923" s="508">
        <v>6.391</v>
      </c>
      <c r="O2923" s="508">
        <v>6.2759999999999998</v>
      </c>
      <c r="P2923" s="508">
        <v>3.1360000000000001</v>
      </c>
      <c r="Q2923" s="508">
        <v>3.0489999999999999</v>
      </c>
      <c r="R2923" s="508">
        <v>2.8820000000000001</v>
      </c>
      <c r="S2923" s="508">
        <v>2.887</v>
      </c>
      <c r="T2923" s="508">
        <v>2.8809999999999998</v>
      </c>
      <c r="U2923" s="508">
        <v>1.923</v>
      </c>
      <c r="V2923" s="508">
        <v>1.7689999999999999</v>
      </c>
      <c r="W2923" s="508">
        <v>1.8460000000000001</v>
      </c>
      <c r="X2923" s="508">
        <v>1.0760000000000001</v>
      </c>
      <c r="Y2923" s="508">
        <v>0.82199999999999995</v>
      </c>
      <c r="Z2923" s="508">
        <v>0.66</v>
      </c>
      <c r="AA2923" s="508">
        <v>0.51700000000000002</v>
      </c>
      <c r="AB2923" s="508">
        <v>0.371</v>
      </c>
      <c r="AC2923" s="508">
        <v>0.248</v>
      </c>
      <c r="AD2923" s="508">
        <v>0.183</v>
      </c>
      <c r="AE2923" s="508">
        <v>0.19</v>
      </c>
      <c r="AF2923" s="508">
        <v>0.11600000000000001</v>
      </c>
      <c r="AG2923" s="508">
        <v>0.115</v>
      </c>
      <c r="AH2923" s="508">
        <v>0.11600000000000001</v>
      </c>
      <c r="AI2923" s="492">
        <v>0.11600000000000001</v>
      </c>
      <c r="AJ2923" s="485"/>
    </row>
    <row r="2924" spans="2:36">
      <c r="B2924" s="136" t="s">
        <v>482</v>
      </c>
      <c r="C2924" s="132" t="s">
        <v>1365</v>
      </c>
      <c r="D2924" s="132" t="s">
        <v>283</v>
      </c>
      <c r="E2924" s="508">
        <v>5.78</v>
      </c>
      <c r="F2924" s="508">
        <v>6.2569999999999997</v>
      </c>
      <c r="G2924" s="508">
        <v>5.6280000000000001</v>
      </c>
      <c r="H2924" s="508">
        <v>5.6390000000000002</v>
      </c>
      <c r="I2924" s="508">
        <v>5.6669999999999998</v>
      </c>
      <c r="J2924" s="508">
        <v>5.798</v>
      </c>
      <c r="K2924" s="508">
        <v>5.7939999999999996</v>
      </c>
      <c r="L2924" s="508">
        <v>5.7919999999999998</v>
      </c>
      <c r="M2924" s="508">
        <v>5.7709999999999999</v>
      </c>
      <c r="N2924" s="508">
        <v>5.6429999999999998</v>
      </c>
      <c r="O2924" s="508">
        <v>5.5529999999999999</v>
      </c>
      <c r="P2924" s="508">
        <v>3.0169999999999999</v>
      </c>
      <c r="Q2924" s="508">
        <v>2.9329999999999998</v>
      </c>
      <c r="R2924" s="508">
        <v>2.7669999999999999</v>
      </c>
      <c r="S2924" s="508">
        <v>2.7770000000000001</v>
      </c>
      <c r="T2924" s="508">
        <v>2.774</v>
      </c>
      <c r="U2924" s="508">
        <v>1.847</v>
      </c>
      <c r="V2924" s="508">
        <v>1.694</v>
      </c>
      <c r="W2924" s="508">
        <v>1.7709999999999999</v>
      </c>
      <c r="X2924" s="508">
        <v>1.0329999999999999</v>
      </c>
      <c r="Y2924" s="508">
        <v>0.78700000000000003</v>
      </c>
      <c r="Z2924" s="508">
        <v>0.63600000000000001</v>
      </c>
      <c r="AA2924" s="508">
        <v>0.496</v>
      </c>
      <c r="AB2924" s="508">
        <v>0.35399999999999998</v>
      </c>
      <c r="AC2924" s="508">
        <v>0.23200000000000001</v>
      </c>
      <c r="AD2924" s="508">
        <v>0.17100000000000001</v>
      </c>
      <c r="AE2924" s="508">
        <v>0.17799999999999999</v>
      </c>
      <c r="AF2924" s="508">
        <v>0.107</v>
      </c>
      <c r="AG2924" s="508">
        <v>0.107</v>
      </c>
      <c r="AH2924" s="508">
        <v>0.109</v>
      </c>
      <c r="AI2924" s="492">
        <v>0.109</v>
      </c>
      <c r="AJ2924" s="485"/>
    </row>
    <row r="2925" spans="2:36">
      <c r="B2925" s="136" t="s">
        <v>483</v>
      </c>
      <c r="C2925" s="132" t="s">
        <v>1365</v>
      </c>
      <c r="D2925" s="132" t="s">
        <v>283</v>
      </c>
      <c r="E2925" s="508">
        <v>5.7670000000000003</v>
      </c>
      <c r="F2925" s="508">
        <v>6.2910000000000004</v>
      </c>
      <c r="G2925" s="508">
        <v>6.2560000000000002</v>
      </c>
      <c r="H2925" s="508">
        <v>6.2560000000000002</v>
      </c>
      <c r="I2925" s="508">
        <v>6.2670000000000003</v>
      </c>
      <c r="J2925" s="508">
        <v>6.4240000000000004</v>
      </c>
      <c r="K2925" s="508">
        <v>6.4219999999999997</v>
      </c>
      <c r="L2925" s="508">
        <v>6.4169999999999998</v>
      </c>
      <c r="M2925" s="508">
        <v>6.3949999999999996</v>
      </c>
      <c r="N2925" s="508">
        <v>6.2149999999999999</v>
      </c>
      <c r="O2925" s="508">
        <v>6.109</v>
      </c>
      <c r="P2925" s="508">
        <v>3.1819999999999999</v>
      </c>
      <c r="Q2925" s="508">
        <v>3.0920000000000001</v>
      </c>
      <c r="R2925" s="508">
        <v>2.9089999999999998</v>
      </c>
      <c r="S2925" s="508">
        <v>2.9220000000000002</v>
      </c>
      <c r="T2925" s="508">
        <v>2.9209999999999998</v>
      </c>
      <c r="U2925" s="508">
        <v>2</v>
      </c>
      <c r="V2925" s="508">
        <v>1.8340000000000001</v>
      </c>
      <c r="W2925" s="508">
        <v>1.9139999999999999</v>
      </c>
      <c r="X2925" s="508">
        <v>1.127</v>
      </c>
      <c r="Y2925" s="508">
        <v>0.86299999999999999</v>
      </c>
      <c r="Z2925" s="508">
        <v>0.70199999999999996</v>
      </c>
      <c r="AA2925" s="508">
        <v>0.54900000000000004</v>
      </c>
      <c r="AB2925" s="508">
        <v>0.39600000000000002</v>
      </c>
      <c r="AC2925" s="508">
        <v>0.26300000000000001</v>
      </c>
      <c r="AD2925" s="508">
        <v>0.19700000000000001</v>
      </c>
      <c r="AE2925" s="508">
        <v>0.20399999999999999</v>
      </c>
      <c r="AF2925" s="508">
        <v>0.128</v>
      </c>
      <c r="AG2925" s="508">
        <v>0.127</v>
      </c>
      <c r="AH2925" s="508">
        <v>0.126</v>
      </c>
      <c r="AI2925" s="492">
        <v>0.126</v>
      </c>
      <c r="AJ2925" s="485"/>
    </row>
    <row r="2926" spans="2:36">
      <c r="B2926" s="136" t="s">
        <v>484</v>
      </c>
      <c r="C2926" s="132" t="s">
        <v>1365</v>
      </c>
      <c r="D2926" s="132" t="s">
        <v>283</v>
      </c>
      <c r="E2926" s="508">
        <v>6.5419999999999998</v>
      </c>
      <c r="F2926" s="508">
        <v>6.827</v>
      </c>
      <c r="G2926" s="508">
        <v>6.8079999999999998</v>
      </c>
      <c r="H2926" s="508">
        <v>6.8079999999999998</v>
      </c>
      <c r="I2926" s="508">
        <v>6.8140000000000001</v>
      </c>
      <c r="J2926" s="508">
        <v>6.968</v>
      </c>
      <c r="K2926" s="508">
        <v>6.9749999999999996</v>
      </c>
      <c r="L2926" s="508">
        <v>6.9850000000000003</v>
      </c>
      <c r="M2926" s="508">
        <v>6.9740000000000002</v>
      </c>
      <c r="N2926" s="508">
        <v>6.758</v>
      </c>
      <c r="O2926" s="508">
        <v>6.6379999999999999</v>
      </c>
      <c r="P2926" s="508">
        <v>3.0590000000000002</v>
      </c>
      <c r="Q2926" s="508">
        <v>2.9809999999999999</v>
      </c>
      <c r="R2926" s="508">
        <v>2.7970000000000002</v>
      </c>
      <c r="S2926" s="508">
        <v>2.8140000000000001</v>
      </c>
      <c r="T2926" s="508">
        <v>2.8180000000000001</v>
      </c>
      <c r="U2926" s="508">
        <v>1.8959999999999999</v>
      </c>
      <c r="V2926" s="508">
        <v>1.7350000000000001</v>
      </c>
      <c r="W2926" s="508">
        <v>1.8109999999999999</v>
      </c>
      <c r="X2926" s="508">
        <v>1.073</v>
      </c>
      <c r="Y2926" s="508">
        <v>0.82599999999999996</v>
      </c>
      <c r="Z2926" s="508">
        <v>0.67200000000000004</v>
      </c>
      <c r="AA2926" s="508">
        <v>0.52600000000000002</v>
      </c>
      <c r="AB2926" s="508">
        <v>0.38</v>
      </c>
      <c r="AC2926" s="508">
        <v>0.252</v>
      </c>
      <c r="AD2926" s="508">
        <v>0.191</v>
      </c>
      <c r="AE2926" s="508">
        <v>0.19900000000000001</v>
      </c>
      <c r="AF2926" s="508">
        <v>0.13</v>
      </c>
      <c r="AG2926" s="508">
        <v>0.13400000000000001</v>
      </c>
      <c r="AH2926" s="508">
        <v>0.13300000000000001</v>
      </c>
      <c r="AI2926" s="492">
        <v>0.13200000000000001</v>
      </c>
      <c r="AJ2926" s="485"/>
    </row>
    <row r="2927" spans="2:36">
      <c r="B2927" s="136" t="s">
        <v>486</v>
      </c>
      <c r="C2927" s="132" t="s">
        <v>1365</v>
      </c>
      <c r="D2927" s="132" t="s">
        <v>283</v>
      </c>
      <c r="E2927" s="508">
        <v>5.6340000000000003</v>
      </c>
      <c r="F2927" s="508">
        <v>6.1539999999999999</v>
      </c>
      <c r="G2927" s="508">
        <v>6.1239999999999997</v>
      </c>
      <c r="H2927" s="508">
        <v>6.1239999999999997</v>
      </c>
      <c r="I2927" s="508">
        <v>6.133</v>
      </c>
      <c r="J2927" s="508">
        <v>6.282</v>
      </c>
      <c r="K2927" s="508">
        <v>6.2809999999999997</v>
      </c>
      <c r="L2927" s="508">
        <v>6.2779999999999996</v>
      </c>
      <c r="M2927" s="508">
        <v>6.2569999999999997</v>
      </c>
      <c r="N2927" s="508">
        <v>6.09</v>
      </c>
      <c r="O2927" s="508">
        <v>5.984</v>
      </c>
      <c r="P2927" s="508">
        <v>3.2109999999999999</v>
      </c>
      <c r="Q2927" s="508">
        <v>3.1219999999999999</v>
      </c>
      <c r="R2927" s="508">
        <v>2.956</v>
      </c>
      <c r="S2927" s="508">
        <v>2.9590000000000001</v>
      </c>
      <c r="T2927" s="508">
        <v>2.952</v>
      </c>
      <c r="U2927" s="508">
        <v>1.96</v>
      </c>
      <c r="V2927" s="508">
        <v>1.806</v>
      </c>
      <c r="W2927" s="508">
        <v>1.8859999999999999</v>
      </c>
      <c r="X2927" s="508">
        <v>1.097</v>
      </c>
      <c r="Y2927" s="508">
        <v>0.83799999999999997</v>
      </c>
      <c r="Z2927" s="508">
        <v>0.67300000000000004</v>
      </c>
      <c r="AA2927" s="508">
        <v>0.52800000000000002</v>
      </c>
      <c r="AB2927" s="508">
        <v>0.38100000000000001</v>
      </c>
      <c r="AC2927" s="508">
        <v>0.25600000000000001</v>
      </c>
      <c r="AD2927" s="508">
        <v>0.189</v>
      </c>
      <c r="AE2927" s="508">
        <v>0.19600000000000001</v>
      </c>
      <c r="AF2927" s="508">
        <v>0.11899999999999999</v>
      </c>
      <c r="AG2927" s="508">
        <v>0.11799999999999999</v>
      </c>
      <c r="AH2927" s="508">
        <v>0.11799999999999999</v>
      </c>
      <c r="AI2927" s="492">
        <v>0.11799999999999999</v>
      </c>
      <c r="AJ2927" s="485"/>
    </row>
    <row r="2928" spans="2:36">
      <c r="B2928" s="136" t="s">
        <v>487</v>
      </c>
      <c r="C2928" s="132" t="s">
        <v>1365</v>
      </c>
      <c r="D2928" s="132" t="s">
        <v>283</v>
      </c>
      <c r="E2928" s="508">
        <v>5.1580000000000004</v>
      </c>
      <c r="F2928" s="508">
        <v>5.7809999999999997</v>
      </c>
      <c r="G2928" s="508">
        <v>5.7329999999999997</v>
      </c>
      <c r="H2928" s="508">
        <v>5.734</v>
      </c>
      <c r="I2928" s="508">
        <v>5.7480000000000002</v>
      </c>
      <c r="J2928" s="508">
        <v>5.8689999999999998</v>
      </c>
      <c r="K2928" s="508">
        <v>5.86</v>
      </c>
      <c r="L2928" s="508">
        <v>5.8440000000000003</v>
      </c>
      <c r="M2928" s="508">
        <v>5.8129999999999997</v>
      </c>
      <c r="N2928" s="508">
        <v>5.694</v>
      </c>
      <c r="O2928" s="508">
        <v>5.6</v>
      </c>
      <c r="P2928" s="508">
        <v>3.1339999999999999</v>
      </c>
      <c r="Q2928" s="508">
        <v>3.048</v>
      </c>
      <c r="R2928" s="508">
        <v>2.8679999999999999</v>
      </c>
      <c r="S2928" s="508">
        <v>2.879</v>
      </c>
      <c r="T2928" s="508">
        <v>2.8769999999999998</v>
      </c>
      <c r="U2928" s="508">
        <v>1.9770000000000001</v>
      </c>
      <c r="V2928" s="508">
        <v>1.8149999999999999</v>
      </c>
      <c r="W2928" s="508">
        <v>1.893</v>
      </c>
      <c r="X2928" s="508">
        <v>1.113</v>
      </c>
      <c r="Y2928" s="508">
        <v>0.85299999999999998</v>
      </c>
      <c r="Z2928" s="508">
        <v>0.69</v>
      </c>
      <c r="AA2928" s="508">
        <v>0.54100000000000004</v>
      </c>
      <c r="AB2928" s="508">
        <v>0.39200000000000002</v>
      </c>
      <c r="AC2928" s="508">
        <v>0.26300000000000001</v>
      </c>
      <c r="AD2928" s="508">
        <v>0.21</v>
      </c>
      <c r="AE2928" s="508">
        <v>0.216</v>
      </c>
      <c r="AF2928" s="508">
        <v>0.13100000000000001</v>
      </c>
      <c r="AG2928" s="508">
        <v>0.13</v>
      </c>
      <c r="AH2928" s="508">
        <v>0.129</v>
      </c>
      <c r="AI2928" s="492">
        <v>0.128</v>
      </c>
      <c r="AJ2928" s="485"/>
    </row>
    <row r="2929" spans="2:36">
      <c r="B2929" s="136" t="s">
        <v>488</v>
      </c>
      <c r="C2929" s="132" t="s">
        <v>1365</v>
      </c>
      <c r="D2929" s="132" t="s">
        <v>283</v>
      </c>
      <c r="E2929" s="508">
        <v>6.2119999999999997</v>
      </c>
      <c r="F2929" s="508">
        <v>6.5759999999999996</v>
      </c>
      <c r="G2929" s="508">
        <v>6.5579999999999998</v>
      </c>
      <c r="H2929" s="508">
        <v>6.5579999999999998</v>
      </c>
      <c r="I2929" s="508">
        <v>6.5629999999999997</v>
      </c>
      <c r="J2929" s="508">
        <v>6.7190000000000003</v>
      </c>
      <c r="K2929" s="508">
        <v>6.7249999999999996</v>
      </c>
      <c r="L2929" s="508">
        <v>6.7320000000000002</v>
      </c>
      <c r="M2929" s="508">
        <v>6.72</v>
      </c>
      <c r="N2929" s="508">
        <v>6.5190000000000001</v>
      </c>
      <c r="O2929" s="508">
        <v>6.4020000000000001</v>
      </c>
      <c r="P2929" s="508">
        <v>3.3260000000000001</v>
      </c>
      <c r="Q2929" s="508">
        <v>3.238</v>
      </c>
      <c r="R2929" s="508">
        <v>3.0830000000000002</v>
      </c>
      <c r="S2929" s="508">
        <v>3.081</v>
      </c>
      <c r="T2929" s="508">
        <v>3.069</v>
      </c>
      <c r="U2929" s="508">
        <v>2.0579999999999998</v>
      </c>
      <c r="V2929" s="508">
        <v>1.905</v>
      </c>
      <c r="W2929" s="508">
        <v>1.988</v>
      </c>
      <c r="X2929" s="508">
        <v>1.149</v>
      </c>
      <c r="Y2929" s="508">
        <v>0.879</v>
      </c>
      <c r="Z2929" s="508">
        <v>0.70199999999999996</v>
      </c>
      <c r="AA2929" s="508">
        <v>0.55400000000000005</v>
      </c>
      <c r="AB2929" s="508">
        <v>0.40200000000000002</v>
      </c>
      <c r="AC2929" s="508">
        <v>0.27600000000000002</v>
      </c>
      <c r="AD2929" s="508">
        <v>0.20300000000000001</v>
      </c>
      <c r="AE2929" s="508">
        <v>0.21</v>
      </c>
      <c r="AF2929" s="508">
        <v>0.126</v>
      </c>
      <c r="AG2929" s="508">
        <v>0.125</v>
      </c>
      <c r="AH2929" s="508">
        <v>0.124</v>
      </c>
      <c r="AI2929" s="492">
        <v>0.124</v>
      </c>
      <c r="AJ2929" s="485"/>
    </row>
    <row r="2930" spans="2:36">
      <c r="B2930" s="136" t="s">
        <v>489</v>
      </c>
      <c r="C2930" s="132" t="s">
        <v>1365</v>
      </c>
      <c r="D2930" s="132" t="s">
        <v>283</v>
      </c>
      <c r="E2930" s="508">
        <v>6.3319999999999999</v>
      </c>
      <c r="F2930" s="508">
        <v>6.673</v>
      </c>
      <c r="G2930" s="508">
        <v>6.6539999999999999</v>
      </c>
      <c r="H2930" s="508">
        <v>6.6550000000000002</v>
      </c>
      <c r="I2930" s="508">
        <v>6.66</v>
      </c>
      <c r="J2930" s="508">
        <v>6.8250000000000002</v>
      </c>
      <c r="K2930" s="508">
        <v>6.8310000000000004</v>
      </c>
      <c r="L2930" s="508">
        <v>6.8390000000000004</v>
      </c>
      <c r="M2930" s="508">
        <v>6.8280000000000003</v>
      </c>
      <c r="N2930" s="508">
        <v>6.6070000000000002</v>
      </c>
      <c r="O2930" s="508">
        <v>6.4889999999999999</v>
      </c>
      <c r="P2930" s="508">
        <v>3.27</v>
      </c>
      <c r="Q2930" s="508">
        <v>3.181</v>
      </c>
      <c r="R2930" s="508">
        <v>3.016</v>
      </c>
      <c r="S2930" s="508">
        <v>3.0209999999999999</v>
      </c>
      <c r="T2930" s="508">
        <v>3.0139999999999998</v>
      </c>
      <c r="U2930" s="508">
        <v>2.0099999999999998</v>
      </c>
      <c r="V2930" s="508">
        <v>1.8540000000000001</v>
      </c>
      <c r="W2930" s="508">
        <v>1.9359999999999999</v>
      </c>
      <c r="X2930" s="508">
        <v>1.129</v>
      </c>
      <c r="Y2930" s="508">
        <v>0.86599999999999999</v>
      </c>
      <c r="Z2930" s="508">
        <v>0.69699999999999995</v>
      </c>
      <c r="AA2930" s="508">
        <v>0.54700000000000004</v>
      </c>
      <c r="AB2930" s="508">
        <v>0.39700000000000002</v>
      </c>
      <c r="AC2930" s="508">
        <v>0.26900000000000002</v>
      </c>
      <c r="AD2930" s="508">
        <v>0.20100000000000001</v>
      </c>
      <c r="AE2930" s="508">
        <v>0.20799999999999999</v>
      </c>
      <c r="AF2930" s="508">
        <v>0.129</v>
      </c>
      <c r="AG2930" s="508">
        <v>0.129</v>
      </c>
      <c r="AH2930" s="508">
        <v>0.128</v>
      </c>
      <c r="AI2930" s="492">
        <v>0.127</v>
      </c>
      <c r="AJ2930" s="485"/>
    </row>
    <row r="2931" spans="2:36">
      <c r="B2931" s="136" t="s">
        <v>490</v>
      </c>
      <c r="C2931" s="132" t="s">
        <v>1365</v>
      </c>
      <c r="D2931" s="132" t="s">
        <v>283</v>
      </c>
      <c r="E2931" s="508">
        <v>6.556</v>
      </c>
      <c r="F2931" s="508">
        <v>6.8609999999999998</v>
      </c>
      <c r="G2931" s="508">
        <v>6.8419999999999996</v>
      </c>
      <c r="H2931" s="508">
        <v>6.8419999999999996</v>
      </c>
      <c r="I2931" s="508">
        <v>6.8479999999999999</v>
      </c>
      <c r="J2931" s="508">
        <v>7.0010000000000003</v>
      </c>
      <c r="K2931" s="508">
        <v>7.008</v>
      </c>
      <c r="L2931" s="508">
        <v>7.0179999999999998</v>
      </c>
      <c r="M2931" s="508">
        <v>7.0069999999999997</v>
      </c>
      <c r="N2931" s="508">
        <v>6.8079999999999998</v>
      </c>
      <c r="O2931" s="508">
        <v>6.6859999999999999</v>
      </c>
      <c r="P2931" s="508">
        <v>3.4590000000000001</v>
      </c>
      <c r="Q2931" s="508">
        <v>3.3690000000000002</v>
      </c>
      <c r="R2931" s="508">
        <v>3.21</v>
      </c>
      <c r="S2931" s="508">
        <v>3.2080000000000002</v>
      </c>
      <c r="T2931" s="508">
        <v>3.1970000000000001</v>
      </c>
      <c r="U2931" s="508">
        <v>2.1970000000000001</v>
      </c>
      <c r="V2931" s="508">
        <v>2.036</v>
      </c>
      <c r="W2931" s="508">
        <v>2.1240000000000001</v>
      </c>
      <c r="X2931" s="508">
        <v>1.2290000000000001</v>
      </c>
      <c r="Y2931" s="508">
        <v>0.94299999999999995</v>
      </c>
      <c r="Z2931" s="508">
        <v>0.753</v>
      </c>
      <c r="AA2931" s="508">
        <v>0.59799999999999998</v>
      </c>
      <c r="AB2931" s="508">
        <v>0.436</v>
      </c>
      <c r="AC2931" s="508">
        <v>0.30299999999999999</v>
      </c>
      <c r="AD2931" s="508">
        <v>0.22500000000000001</v>
      </c>
      <c r="AE2931" s="508">
        <v>0.23200000000000001</v>
      </c>
      <c r="AF2931" s="508">
        <v>0.14099999999999999</v>
      </c>
      <c r="AG2931" s="508">
        <v>0.14000000000000001</v>
      </c>
      <c r="AH2931" s="508">
        <v>0.13900000000000001</v>
      </c>
      <c r="AI2931" s="492">
        <v>0.13900000000000001</v>
      </c>
      <c r="AJ2931" s="485"/>
    </row>
    <row r="2932" spans="2:36">
      <c r="B2932" s="136" t="s">
        <v>435</v>
      </c>
      <c r="C2932" s="132" t="s">
        <v>1366</v>
      </c>
      <c r="D2932" s="132" t="s">
        <v>283</v>
      </c>
      <c r="E2932" s="508">
        <v>3.1989999999999998</v>
      </c>
      <c r="F2932" s="508">
        <v>3.0430000000000001</v>
      </c>
      <c r="G2932" s="508">
        <v>3.0350000000000001</v>
      </c>
      <c r="H2932" s="508">
        <v>3.0219999999999998</v>
      </c>
      <c r="I2932" s="508">
        <v>3.004</v>
      </c>
      <c r="J2932" s="508">
        <v>2.9470000000000001</v>
      </c>
      <c r="K2932" s="508">
        <v>2.9209999999999998</v>
      </c>
      <c r="L2932" s="508">
        <v>2.8929999999999998</v>
      </c>
      <c r="M2932" s="508">
        <v>2.8650000000000002</v>
      </c>
      <c r="N2932" s="508">
        <v>2.7280000000000002</v>
      </c>
      <c r="O2932" s="508">
        <v>2.698</v>
      </c>
      <c r="P2932" s="508">
        <v>1.7969999999999999</v>
      </c>
      <c r="Q2932" s="508">
        <v>1.7689999999999999</v>
      </c>
      <c r="R2932" s="508">
        <v>1.7430000000000001</v>
      </c>
      <c r="S2932" s="508">
        <v>1.7170000000000001</v>
      </c>
      <c r="T2932" s="508">
        <v>1.694</v>
      </c>
      <c r="U2932" s="508">
        <v>0.76100000000000001</v>
      </c>
      <c r="V2932" s="508">
        <v>0.71399999999999997</v>
      </c>
      <c r="W2932" s="508">
        <v>0.65600000000000003</v>
      </c>
      <c r="X2932" s="508">
        <v>0.39300000000000002</v>
      </c>
      <c r="Y2932" s="508">
        <v>0.308</v>
      </c>
      <c r="Z2932" s="508">
        <v>0.251</v>
      </c>
      <c r="AA2932" s="508">
        <v>0.20599999999999999</v>
      </c>
      <c r="AB2932" s="508">
        <v>0.152</v>
      </c>
      <c r="AC2932" s="508">
        <v>0.14000000000000001</v>
      </c>
      <c r="AD2932" s="508">
        <v>0.10100000000000001</v>
      </c>
      <c r="AE2932" s="508">
        <v>0.1</v>
      </c>
      <c r="AF2932" s="508">
        <v>5.7000000000000002E-2</v>
      </c>
      <c r="AG2932" s="508">
        <v>5.7000000000000002E-2</v>
      </c>
      <c r="AH2932" s="508">
        <v>5.6000000000000001E-2</v>
      </c>
      <c r="AI2932" s="492">
        <v>5.6000000000000001E-2</v>
      </c>
      <c r="AJ2932" s="485"/>
    </row>
    <row r="2933" spans="2:36">
      <c r="B2933" s="136" t="s">
        <v>436</v>
      </c>
      <c r="C2933" s="132" t="s">
        <v>1366</v>
      </c>
      <c r="D2933" s="132" t="s">
        <v>283</v>
      </c>
      <c r="E2933" s="508">
        <v>3.4590000000000001</v>
      </c>
      <c r="F2933" s="508">
        <v>3.2839999999999998</v>
      </c>
      <c r="G2933" s="508">
        <v>3.2759999999999998</v>
      </c>
      <c r="H2933" s="508">
        <v>3.2629999999999999</v>
      </c>
      <c r="I2933" s="508">
        <v>3.2450000000000001</v>
      </c>
      <c r="J2933" s="508">
        <v>3.177</v>
      </c>
      <c r="K2933" s="508">
        <v>3.1509999999999998</v>
      </c>
      <c r="L2933" s="508">
        <v>3.1230000000000002</v>
      </c>
      <c r="M2933" s="508">
        <v>3.0939999999999999</v>
      </c>
      <c r="N2933" s="508">
        <v>2.9420000000000002</v>
      </c>
      <c r="O2933" s="508">
        <v>2.9119999999999999</v>
      </c>
      <c r="P2933" s="508">
        <v>1.9259999999999999</v>
      </c>
      <c r="Q2933" s="508">
        <v>1.8979999999999999</v>
      </c>
      <c r="R2933" s="508">
        <v>1.871</v>
      </c>
      <c r="S2933" s="508">
        <v>1.8460000000000001</v>
      </c>
      <c r="T2933" s="508">
        <v>1.8220000000000001</v>
      </c>
      <c r="U2933" s="508">
        <v>0.80900000000000005</v>
      </c>
      <c r="V2933" s="508">
        <v>0.76</v>
      </c>
      <c r="W2933" s="508">
        <v>0.69899999999999995</v>
      </c>
      <c r="X2933" s="508">
        <v>0.42199999999999999</v>
      </c>
      <c r="Y2933" s="508">
        <v>0.33200000000000002</v>
      </c>
      <c r="Z2933" s="508">
        <v>0.27100000000000002</v>
      </c>
      <c r="AA2933" s="508">
        <v>0.224</v>
      </c>
      <c r="AB2933" s="508">
        <v>0.16600000000000001</v>
      </c>
      <c r="AC2933" s="508">
        <v>0.152</v>
      </c>
      <c r="AD2933" s="508">
        <v>0.11</v>
      </c>
      <c r="AE2933" s="508">
        <v>0.109</v>
      </c>
      <c r="AF2933" s="508">
        <v>6.2E-2</v>
      </c>
      <c r="AG2933" s="508">
        <v>6.2E-2</v>
      </c>
      <c r="AH2933" s="508">
        <v>6.2E-2</v>
      </c>
      <c r="AI2933" s="492">
        <v>6.0999999999999999E-2</v>
      </c>
      <c r="AJ2933" s="485"/>
    </row>
    <row r="2934" spans="2:36">
      <c r="B2934" s="136" t="s">
        <v>437</v>
      </c>
      <c r="C2934" s="132" t="s">
        <v>1366</v>
      </c>
      <c r="D2934" s="132" t="s">
        <v>283</v>
      </c>
      <c r="E2934" s="508">
        <v>3.5720000000000001</v>
      </c>
      <c r="F2934" s="508">
        <v>3.387</v>
      </c>
      <c r="G2934" s="508">
        <v>3.3679999999999999</v>
      </c>
      <c r="H2934" s="508">
        <v>3.3650000000000002</v>
      </c>
      <c r="I2934" s="508">
        <v>3.339</v>
      </c>
      <c r="J2934" s="508">
        <v>3.2959999999999998</v>
      </c>
      <c r="K2934" s="508">
        <v>3.2719999999999998</v>
      </c>
      <c r="L2934" s="508">
        <v>3.2480000000000002</v>
      </c>
      <c r="M2934" s="508">
        <v>3.2240000000000002</v>
      </c>
      <c r="N2934" s="508">
        <v>3.0529999999999999</v>
      </c>
      <c r="O2934" s="508">
        <v>3.0270000000000001</v>
      </c>
      <c r="P2934" s="508">
        <v>1.9850000000000001</v>
      </c>
      <c r="Q2934" s="508">
        <v>1.96</v>
      </c>
      <c r="R2934" s="508">
        <v>1.9370000000000001</v>
      </c>
      <c r="S2934" s="508">
        <v>1.913</v>
      </c>
      <c r="T2934" s="508">
        <v>1.889</v>
      </c>
      <c r="U2934" s="508">
        <v>0.82899999999999996</v>
      </c>
      <c r="V2934" s="508">
        <v>0.77900000000000003</v>
      </c>
      <c r="W2934" s="508">
        <v>0.71799999999999997</v>
      </c>
      <c r="X2934" s="508">
        <v>0.432</v>
      </c>
      <c r="Y2934" s="508">
        <v>0.34</v>
      </c>
      <c r="Z2934" s="508">
        <v>0.27700000000000002</v>
      </c>
      <c r="AA2934" s="508">
        <v>0.22900000000000001</v>
      </c>
      <c r="AB2934" s="508">
        <v>0.16900000000000001</v>
      </c>
      <c r="AC2934" s="508">
        <v>0.156</v>
      </c>
      <c r="AD2934" s="508">
        <v>0.112</v>
      </c>
      <c r="AE2934" s="508">
        <v>0.111</v>
      </c>
      <c r="AF2934" s="508">
        <v>6.4000000000000001E-2</v>
      </c>
      <c r="AG2934" s="508">
        <v>6.3E-2</v>
      </c>
      <c r="AH2934" s="508">
        <v>6.3E-2</v>
      </c>
      <c r="AI2934" s="492">
        <v>6.3E-2</v>
      </c>
      <c r="AJ2934" s="485"/>
    </row>
    <row r="2935" spans="2:36">
      <c r="B2935" s="136" t="s">
        <v>438</v>
      </c>
      <c r="C2935" s="132" t="s">
        <v>1366</v>
      </c>
      <c r="D2935" s="132" t="s">
        <v>283</v>
      </c>
      <c r="E2935" s="508">
        <v>3.2490000000000001</v>
      </c>
      <c r="F2935" s="508">
        <v>3.0960000000000001</v>
      </c>
      <c r="G2935" s="508">
        <v>3.0880000000000001</v>
      </c>
      <c r="H2935" s="508">
        <v>3.0750000000000002</v>
      </c>
      <c r="I2935" s="508">
        <v>3.0569999999999999</v>
      </c>
      <c r="J2935" s="508">
        <v>2.99</v>
      </c>
      <c r="K2935" s="508">
        <v>2.964</v>
      </c>
      <c r="L2935" s="508">
        <v>2.9359999999999999</v>
      </c>
      <c r="M2935" s="508">
        <v>2.907</v>
      </c>
      <c r="N2935" s="508">
        <v>2.7709999999999999</v>
      </c>
      <c r="O2935" s="508">
        <v>2.74</v>
      </c>
      <c r="P2935" s="508">
        <v>1.83</v>
      </c>
      <c r="Q2935" s="508">
        <v>1.802</v>
      </c>
      <c r="R2935" s="508">
        <v>1.7749999999999999</v>
      </c>
      <c r="S2935" s="508">
        <v>1.7490000000000001</v>
      </c>
      <c r="T2935" s="508">
        <v>1.7250000000000001</v>
      </c>
      <c r="U2935" s="508">
        <v>0.77300000000000002</v>
      </c>
      <c r="V2935" s="508">
        <v>0.72599999999999998</v>
      </c>
      <c r="W2935" s="508">
        <v>0.66700000000000004</v>
      </c>
      <c r="X2935" s="508">
        <v>0.40200000000000002</v>
      </c>
      <c r="Y2935" s="508">
        <v>0.317</v>
      </c>
      <c r="Z2935" s="508">
        <v>0.25900000000000001</v>
      </c>
      <c r="AA2935" s="508">
        <v>0.214</v>
      </c>
      <c r="AB2935" s="508">
        <v>0.158</v>
      </c>
      <c r="AC2935" s="508">
        <v>0.14499999999999999</v>
      </c>
      <c r="AD2935" s="508">
        <v>0.105</v>
      </c>
      <c r="AE2935" s="508">
        <v>0.104</v>
      </c>
      <c r="AF2935" s="508">
        <v>0.06</v>
      </c>
      <c r="AG2935" s="508">
        <v>5.8999999999999997E-2</v>
      </c>
      <c r="AH2935" s="508">
        <v>5.8999999999999997E-2</v>
      </c>
      <c r="AI2935" s="492">
        <v>5.8000000000000003E-2</v>
      </c>
      <c r="AJ2935" s="485"/>
    </row>
    <row r="2936" spans="2:36">
      <c r="B2936" s="136" t="s">
        <v>439</v>
      </c>
      <c r="C2936" s="132" t="s">
        <v>1366</v>
      </c>
      <c r="D2936" s="132" t="s">
        <v>283</v>
      </c>
      <c r="E2936" s="508">
        <v>3.274</v>
      </c>
      <c r="F2936" s="508">
        <v>3.1160000000000001</v>
      </c>
      <c r="G2936" s="508">
        <v>3.109</v>
      </c>
      <c r="H2936" s="508">
        <v>3.0960000000000001</v>
      </c>
      <c r="I2936" s="508">
        <v>3.0790000000000002</v>
      </c>
      <c r="J2936" s="508">
        <v>3.032</v>
      </c>
      <c r="K2936" s="508">
        <v>3.0070000000000001</v>
      </c>
      <c r="L2936" s="508">
        <v>2.98</v>
      </c>
      <c r="M2936" s="508">
        <v>2.9529999999999998</v>
      </c>
      <c r="N2936" s="508">
        <v>2.7970000000000002</v>
      </c>
      <c r="O2936" s="508">
        <v>2.7679999999999998</v>
      </c>
      <c r="P2936" s="508">
        <v>1.8320000000000001</v>
      </c>
      <c r="Q2936" s="508">
        <v>1.806</v>
      </c>
      <c r="R2936" s="508">
        <v>1.78</v>
      </c>
      <c r="S2936" s="508">
        <v>1.756</v>
      </c>
      <c r="T2936" s="508">
        <v>1.732</v>
      </c>
      <c r="U2936" s="508">
        <v>0.77100000000000002</v>
      </c>
      <c r="V2936" s="508">
        <v>0.72399999999999998</v>
      </c>
      <c r="W2936" s="508">
        <v>0.66600000000000004</v>
      </c>
      <c r="X2936" s="508">
        <v>0.40100000000000002</v>
      </c>
      <c r="Y2936" s="508">
        <v>0.316</v>
      </c>
      <c r="Z2936" s="508">
        <v>0.25800000000000001</v>
      </c>
      <c r="AA2936" s="508">
        <v>0.21299999999999999</v>
      </c>
      <c r="AB2936" s="508">
        <v>0.157</v>
      </c>
      <c r="AC2936" s="508">
        <v>0.14499999999999999</v>
      </c>
      <c r="AD2936" s="508">
        <v>0.104</v>
      </c>
      <c r="AE2936" s="508">
        <v>0.104</v>
      </c>
      <c r="AF2936" s="508">
        <v>5.8999999999999997E-2</v>
      </c>
      <c r="AG2936" s="508">
        <v>5.8999999999999997E-2</v>
      </c>
      <c r="AH2936" s="508">
        <v>5.8999999999999997E-2</v>
      </c>
      <c r="AI2936" s="492">
        <v>5.8000000000000003E-2</v>
      </c>
      <c r="AJ2936" s="485"/>
    </row>
    <row r="2937" spans="2:36">
      <c r="B2937" s="136" t="s">
        <v>440</v>
      </c>
      <c r="C2937" s="132" t="s">
        <v>1366</v>
      </c>
      <c r="D2937" s="132" t="s">
        <v>283</v>
      </c>
      <c r="E2937" s="508">
        <v>3.39</v>
      </c>
      <c r="F2937" s="508">
        <v>3.22</v>
      </c>
      <c r="G2937" s="508">
        <v>3.2120000000000002</v>
      </c>
      <c r="H2937" s="508">
        <v>3.1989999999999998</v>
      </c>
      <c r="I2937" s="508">
        <v>3.1819999999999999</v>
      </c>
      <c r="J2937" s="508">
        <v>3.125</v>
      </c>
      <c r="K2937" s="508">
        <v>3.1</v>
      </c>
      <c r="L2937" s="508">
        <v>3.073</v>
      </c>
      <c r="M2937" s="508">
        <v>3.044</v>
      </c>
      <c r="N2937" s="508">
        <v>2.8879999999999999</v>
      </c>
      <c r="O2937" s="508">
        <v>2.859</v>
      </c>
      <c r="P2937" s="508">
        <v>1.8879999999999999</v>
      </c>
      <c r="Q2937" s="508">
        <v>1.861</v>
      </c>
      <c r="R2937" s="508">
        <v>1.835</v>
      </c>
      <c r="S2937" s="508">
        <v>1.81</v>
      </c>
      <c r="T2937" s="508">
        <v>1.7869999999999999</v>
      </c>
      <c r="U2937" s="508">
        <v>0.79400000000000004</v>
      </c>
      <c r="V2937" s="508">
        <v>0.746</v>
      </c>
      <c r="W2937" s="508">
        <v>0.68600000000000005</v>
      </c>
      <c r="X2937" s="508">
        <v>0.41299999999999998</v>
      </c>
      <c r="Y2937" s="508">
        <v>0.32500000000000001</v>
      </c>
      <c r="Z2937" s="508">
        <v>0.26500000000000001</v>
      </c>
      <c r="AA2937" s="508">
        <v>0.219</v>
      </c>
      <c r="AB2937" s="508">
        <v>0.16200000000000001</v>
      </c>
      <c r="AC2937" s="508">
        <v>0.14899999999999999</v>
      </c>
      <c r="AD2937" s="508">
        <v>0.107</v>
      </c>
      <c r="AE2937" s="508">
        <v>0.107</v>
      </c>
      <c r="AF2937" s="508">
        <v>6.0999999999999999E-2</v>
      </c>
      <c r="AG2937" s="508">
        <v>6.0999999999999999E-2</v>
      </c>
      <c r="AH2937" s="508">
        <v>0.06</v>
      </c>
      <c r="AI2937" s="492">
        <v>0.06</v>
      </c>
      <c r="AJ2937" s="485"/>
    </row>
    <row r="2938" spans="2:36">
      <c r="B2938" s="136" t="s">
        <v>441</v>
      </c>
      <c r="C2938" s="132" t="s">
        <v>1366</v>
      </c>
      <c r="D2938" s="132" t="s">
        <v>283</v>
      </c>
      <c r="E2938" s="508">
        <v>3.3290000000000002</v>
      </c>
      <c r="F2938" s="508">
        <v>3.1659999999999999</v>
      </c>
      <c r="G2938" s="508">
        <v>3.1579999999999999</v>
      </c>
      <c r="H2938" s="508">
        <v>3.145</v>
      </c>
      <c r="I2938" s="508">
        <v>3.1280000000000001</v>
      </c>
      <c r="J2938" s="508">
        <v>3.081</v>
      </c>
      <c r="K2938" s="508">
        <v>3.0569999999999999</v>
      </c>
      <c r="L2938" s="508">
        <v>3.03</v>
      </c>
      <c r="M2938" s="508">
        <v>3.0019999999999998</v>
      </c>
      <c r="N2938" s="508">
        <v>2.8410000000000002</v>
      </c>
      <c r="O2938" s="508">
        <v>2.8119999999999998</v>
      </c>
      <c r="P2938" s="508">
        <v>1.857</v>
      </c>
      <c r="Q2938" s="508">
        <v>1.831</v>
      </c>
      <c r="R2938" s="508">
        <v>1.8049999999999999</v>
      </c>
      <c r="S2938" s="508">
        <v>1.7809999999999999</v>
      </c>
      <c r="T2938" s="508">
        <v>1.758</v>
      </c>
      <c r="U2938" s="508">
        <v>0.78</v>
      </c>
      <c r="V2938" s="508">
        <v>0.73299999999999998</v>
      </c>
      <c r="W2938" s="508">
        <v>0.67400000000000004</v>
      </c>
      <c r="X2938" s="508">
        <v>0.40699999999999997</v>
      </c>
      <c r="Y2938" s="508">
        <v>0.32100000000000001</v>
      </c>
      <c r="Z2938" s="508">
        <v>0.26200000000000001</v>
      </c>
      <c r="AA2938" s="508">
        <v>0.216</v>
      </c>
      <c r="AB2938" s="508">
        <v>0.16</v>
      </c>
      <c r="AC2938" s="508">
        <v>0.14699999999999999</v>
      </c>
      <c r="AD2938" s="508">
        <v>0.106</v>
      </c>
      <c r="AE2938" s="508">
        <v>0.105</v>
      </c>
      <c r="AF2938" s="508">
        <v>0.06</v>
      </c>
      <c r="AG2938" s="508">
        <v>0.06</v>
      </c>
      <c r="AH2938" s="508">
        <v>0.06</v>
      </c>
      <c r="AI2938" s="492">
        <v>5.8999999999999997E-2</v>
      </c>
      <c r="AJ2938" s="485"/>
    </row>
    <row r="2939" spans="2:36">
      <c r="B2939" s="136" t="s">
        <v>443</v>
      </c>
      <c r="C2939" s="132" t="s">
        <v>1366</v>
      </c>
      <c r="D2939" s="132" t="s">
        <v>283</v>
      </c>
      <c r="E2939" s="508">
        <v>3.282</v>
      </c>
      <c r="F2939" s="508">
        <v>3.11</v>
      </c>
      <c r="G2939" s="508">
        <v>3.1019999999999999</v>
      </c>
      <c r="H2939" s="508">
        <v>3.089</v>
      </c>
      <c r="I2939" s="508">
        <v>3.0720000000000001</v>
      </c>
      <c r="J2939" s="508">
        <v>3.0169999999999999</v>
      </c>
      <c r="K2939" s="508">
        <v>2.992</v>
      </c>
      <c r="L2939" s="508">
        <v>2.9649999999999999</v>
      </c>
      <c r="M2939" s="508">
        <v>2.9369999999999998</v>
      </c>
      <c r="N2939" s="508">
        <v>2.7919999999999998</v>
      </c>
      <c r="O2939" s="508">
        <v>2.762</v>
      </c>
      <c r="P2939" s="508">
        <v>1.825</v>
      </c>
      <c r="Q2939" s="508">
        <v>1.798</v>
      </c>
      <c r="R2939" s="508">
        <v>1.772</v>
      </c>
      <c r="S2939" s="508">
        <v>1.7470000000000001</v>
      </c>
      <c r="T2939" s="508">
        <v>1.724</v>
      </c>
      <c r="U2939" s="508">
        <v>0.77300000000000002</v>
      </c>
      <c r="V2939" s="508">
        <v>0.72499999999999998</v>
      </c>
      <c r="W2939" s="508">
        <v>0.66600000000000004</v>
      </c>
      <c r="X2939" s="508">
        <v>0.39800000000000002</v>
      </c>
      <c r="Y2939" s="508">
        <v>0.311</v>
      </c>
      <c r="Z2939" s="508">
        <v>0.253</v>
      </c>
      <c r="AA2939" s="508">
        <v>0.20799999999999999</v>
      </c>
      <c r="AB2939" s="508">
        <v>0.153</v>
      </c>
      <c r="AC2939" s="508">
        <v>0.14000000000000001</v>
      </c>
      <c r="AD2939" s="508">
        <v>0.10100000000000001</v>
      </c>
      <c r="AE2939" s="508">
        <v>0.1</v>
      </c>
      <c r="AF2939" s="508">
        <v>5.7000000000000002E-2</v>
      </c>
      <c r="AG2939" s="508">
        <v>5.7000000000000002E-2</v>
      </c>
      <c r="AH2939" s="508">
        <v>5.6000000000000001E-2</v>
      </c>
      <c r="AI2939" s="492">
        <v>5.6000000000000001E-2</v>
      </c>
      <c r="AJ2939" s="485"/>
    </row>
    <row r="2940" spans="2:36">
      <c r="B2940" s="136" t="s">
        <v>445</v>
      </c>
      <c r="C2940" s="132" t="s">
        <v>1366</v>
      </c>
      <c r="D2940" s="132" t="s">
        <v>283</v>
      </c>
      <c r="E2940" s="508">
        <v>3.266</v>
      </c>
      <c r="F2940" s="508">
        <v>3.0960000000000001</v>
      </c>
      <c r="G2940" s="508">
        <v>3.089</v>
      </c>
      <c r="H2940" s="508">
        <v>3.0760000000000001</v>
      </c>
      <c r="I2940" s="508">
        <v>3.06</v>
      </c>
      <c r="J2940" s="508">
        <v>3.03</v>
      </c>
      <c r="K2940" s="508">
        <v>3.0049999999999999</v>
      </c>
      <c r="L2940" s="508">
        <v>2.9790000000000001</v>
      </c>
      <c r="M2940" s="508">
        <v>2.952</v>
      </c>
      <c r="N2940" s="508">
        <v>2.7909999999999999</v>
      </c>
      <c r="O2940" s="508">
        <v>2.7629999999999999</v>
      </c>
      <c r="P2940" s="508">
        <v>1.8129999999999999</v>
      </c>
      <c r="Q2940" s="508">
        <v>1.7869999999999999</v>
      </c>
      <c r="R2940" s="508">
        <v>1.762</v>
      </c>
      <c r="S2940" s="508">
        <v>1.738</v>
      </c>
      <c r="T2940" s="508">
        <v>1.7150000000000001</v>
      </c>
      <c r="U2940" s="508">
        <v>0.76500000000000001</v>
      </c>
      <c r="V2940" s="508">
        <v>0.71699999999999997</v>
      </c>
      <c r="W2940" s="508">
        <v>0.65900000000000003</v>
      </c>
      <c r="X2940" s="508">
        <v>0.39200000000000002</v>
      </c>
      <c r="Y2940" s="508">
        <v>0.30599999999999999</v>
      </c>
      <c r="Z2940" s="508">
        <v>0.249</v>
      </c>
      <c r="AA2940" s="508">
        <v>0.20300000000000001</v>
      </c>
      <c r="AB2940" s="508">
        <v>0.15</v>
      </c>
      <c r="AC2940" s="508">
        <v>0.13700000000000001</v>
      </c>
      <c r="AD2940" s="508">
        <v>9.8000000000000004E-2</v>
      </c>
      <c r="AE2940" s="508">
        <v>9.7000000000000003E-2</v>
      </c>
      <c r="AF2940" s="508">
        <v>5.6000000000000001E-2</v>
      </c>
      <c r="AG2940" s="508">
        <v>5.5E-2</v>
      </c>
      <c r="AH2940" s="508">
        <v>5.5E-2</v>
      </c>
      <c r="AI2940" s="492">
        <v>5.5E-2</v>
      </c>
      <c r="AJ2940" s="485"/>
    </row>
    <row r="2941" spans="2:36">
      <c r="B2941" s="136" t="s">
        <v>446</v>
      </c>
      <c r="C2941" s="132" t="s">
        <v>1366</v>
      </c>
      <c r="D2941" s="132" t="s">
        <v>283</v>
      </c>
      <c r="E2941" s="508">
        <v>3.2440000000000002</v>
      </c>
      <c r="F2941" s="508">
        <v>3.085</v>
      </c>
      <c r="G2941" s="508">
        <v>3.0649999999999999</v>
      </c>
      <c r="H2941" s="508">
        <v>3.0619999999999998</v>
      </c>
      <c r="I2941" s="508">
        <v>3.0369999999999999</v>
      </c>
      <c r="J2941" s="508">
        <v>3.01</v>
      </c>
      <c r="K2941" s="508">
        <v>2.9870000000000001</v>
      </c>
      <c r="L2941" s="508">
        <v>2.9630000000000001</v>
      </c>
      <c r="M2941" s="508">
        <v>2.9390000000000001</v>
      </c>
      <c r="N2941" s="508">
        <v>2.7850000000000001</v>
      </c>
      <c r="O2941" s="508">
        <v>2.758</v>
      </c>
      <c r="P2941" s="508">
        <v>1.8220000000000001</v>
      </c>
      <c r="Q2941" s="508">
        <v>1.7969999999999999</v>
      </c>
      <c r="R2941" s="508">
        <v>1.774</v>
      </c>
      <c r="S2941" s="508">
        <v>1.75</v>
      </c>
      <c r="T2941" s="508">
        <v>1.7270000000000001</v>
      </c>
      <c r="U2941" s="508">
        <v>0.76600000000000001</v>
      </c>
      <c r="V2941" s="508">
        <v>0.71899999999999997</v>
      </c>
      <c r="W2941" s="508">
        <v>0.66100000000000003</v>
      </c>
      <c r="X2941" s="508">
        <v>0.39500000000000002</v>
      </c>
      <c r="Y2941" s="508">
        <v>0.309</v>
      </c>
      <c r="Z2941" s="508">
        <v>0.251</v>
      </c>
      <c r="AA2941" s="508">
        <v>0.20599999999999999</v>
      </c>
      <c r="AB2941" s="508">
        <v>0.152</v>
      </c>
      <c r="AC2941" s="508">
        <v>0.13900000000000001</v>
      </c>
      <c r="AD2941" s="508">
        <v>0.1</v>
      </c>
      <c r="AE2941" s="508">
        <v>9.9000000000000005E-2</v>
      </c>
      <c r="AF2941" s="508">
        <v>5.7000000000000002E-2</v>
      </c>
      <c r="AG2941" s="508">
        <v>5.6000000000000001E-2</v>
      </c>
      <c r="AH2941" s="508">
        <v>5.6000000000000001E-2</v>
      </c>
      <c r="AI2941" s="492">
        <v>5.6000000000000001E-2</v>
      </c>
      <c r="AJ2941" s="485"/>
    </row>
    <row r="2942" spans="2:36">
      <c r="B2942" s="136" t="s">
        <v>448</v>
      </c>
      <c r="C2942" s="132" t="s">
        <v>1366</v>
      </c>
      <c r="D2942" s="132" t="s">
        <v>283</v>
      </c>
      <c r="E2942" s="508">
        <v>3.2240000000000002</v>
      </c>
      <c r="F2942" s="508">
        <v>3.0720000000000001</v>
      </c>
      <c r="G2942" s="508">
        <v>3.0640000000000001</v>
      </c>
      <c r="H2942" s="508">
        <v>3.05</v>
      </c>
      <c r="I2942" s="508">
        <v>3.0329999999999999</v>
      </c>
      <c r="J2942" s="508">
        <v>2.972</v>
      </c>
      <c r="K2942" s="508">
        <v>2.9470000000000001</v>
      </c>
      <c r="L2942" s="508">
        <v>2.919</v>
      </c>
      <c r="M2942" s="508">
        <v>2.89</v>
      </c>
      <c r="N2942" s="508">
        <v>2.7509999999999999</v>
      </c>
      <c r="O2942" s="508">
        <v>2.7210000000000001</v>
      </c>
      <c r="P2942" s="508">
        <v>1.8140000000000001</v>
      </c>
      <c r="Q2942" s="508">
        <v>1.7869999999999999</v>
      </c>
      <c r="R2942" s="508">
        <v>1.76</v>
      </c>
      <c r="S2942" s="508">
        <v>1.7350000000000001</v>
      </c>
      <c r="T2942" s="508">
        <v>1.7110000000000001</v>
      </c>
      <c r="U2942" s="508">
        <v>0.76700000000000002</v>
      </c>
      <c r="V2942" s="508">
        <v>0.72</v>
      </c>
      <c r="W2942" s="508">
        <v>0.66200000000000003</v>
      </c>
      <c r="X2942" s="508">
        <v>0.39800000000000002</v>
      </c>
      <c r="Y2942" s="508">
        <v>0.313</v>
      </c>
      <c r="Z2942" s="508">
        <v>0.25600000000000001</v>
      </c>
      <c r="AA2942" s="508">
        <v>0.21099999999999999</v>
      </c>
      <c r="AB2942" s="508">
        <v>0.156</v>
      </c>
      <c r="AC2942" s="508">
        <v>0.14299999999999999</v>
      </c>
      <c r="AD2942" s="508">
        <v>0.10299999999999999</v>
      </c>
      <c r="AE2942" s="508">
        <v>0.10199999999999999</v>
      </c>
      <c r="AF2942" s="508">
        <v>5.8999999999999997E-2</v>
      </c>
      <c r="AG2942" s="508">
        <v>5.8000000000000003E-2</v>
      </c>
      <c r="AH2942" s="508">
        <v>5.8000000000000003E-2</v>
      </c>
      <c r="AI2942" s="492">
        <v>5.7000000000000002E-2</v>
      </c>
      <c r="AJ2942" s="485"/>
    </row>
    <row r="2943" spans="2:36">
      <c r="B2943" s="136" t="s">
        <v>449</v>
      </c>
      <c r="C2943" s="132" t="s">
        <v>1366</v>
      </c>
      <c r="D2943" s="132" t="s">
        <v>283</v>
      </c>
      <c r="E2943" s="508">
        <v>3.2469999999999999</v>
      </c>
      <c r="F2943" s="508">
        <v>3.085</v>
      </c>
      <c r="G2943" s="508">
        <v>3.0659999999999998</v>
      </c>
      <c r="H2943" s="508">
        <v>3.0630000000000002</v>
      </c>
      <c r="I2943" s="508">
        <v>3.0379999999999998</v>
      </c>
      <c r="J2943" s="508">
        <v>3.004</v>
      </c>
      <c r="K2943" s="508">
        <v>2.9809999999999999</v>
      </c>
      <c r="L2943" s="508">
        <v>2.9569999999999999</v>
      </c>
      <c r="M2943" s="508">
        <v>2.9329999999999998</v>
      </c>
      <c r="N2943" s="508">
        <v>2.7829999999999999</v>
      </c>
      <c r="O2943" s="508">
        <v>2.7570000000000001</v>
      </c>
      <c r="P2943" s="508">
        <v>1.8240000000000001</v>
      </c>
      <c r="Q2943" s="508">
        <v>1.7989999999999999</v>
      </c>
      <c r="R2943" s="508">
        <v>1.776</v>
      </c>
      <c r="S2943" s="508">
        <v>1.752</v>
      </c>
      <c r="T2943" s="508">
        <v>1.728</v>
      </c>
      <c r="U2943" s="508">
        <v>0.76900000000000002</v>
      </c>
      <c r="V2943" s="508">
        <v>0.72099999999999997</v>
      </c>
      <c r="W2943" s="508">
        <v>0.66400000000000003</v>
      </c>
      <c r="X2943" s="508">
        <v>0.39700000000000002</v>
      </c>
      <c r="Y2943" s="508">
        <v>0.31</v>
      </c>
      <c r="Z2943" s="508">
        <v>0.253</v>
      </c>
      <c r="AA2943" s="508">
        <v>0.20699999999999999</v>
      </c>
      <c r="AB2943" s="508">
        <v>0.153</v>
      </c>
      <c r="AC2943" s="508">
        <v>0.14000000000000001</v>
      </c>
      <c r="AD2943" s="508">
        <v>0.10100000000000001</v>
      </c>
      <c r="AE2943" s="508">
        <v>0.1</v>
      </c>
      <c r="AF2943" s="508">
        <v>5.7000000000000002E-2</v>
      </c>
      <c r="AG2943" s="508">
        <v>5.7000000000000002E-2</v>
      </c>
      <c r="AH2943" s="508">
        <v>5.6000000000000001E-2</v>
      </c>
      <c r="AI2943" s="492">
        <v>5.6000000000000001E-2</v>
      </c>
      <c r="AJ2943" s="485"/>
    </row>
    <row r="2944" spans="2:36">
      <c r="B2944" s="136" t="s">
        <v>450</v>
      </c>
      <c r="C2944" s="132" t="s">
        <v>1366</v>
      </c>
      <c r="D2944" s="132" t="s">
        <v>283</v>
      </c>
      <c r="E2944" s="508">
        <v>3.3849999999999998</v>
      </c>
      <c r="F2944" s="508">
        <v>3.214</v>
      </c>
      <c r="G2944" s="508">
        <v>3.206</v>
      </c>
      <c r="H2944" s="508">
        <v>3.1920000000000002</v>
      </c>
      <c r="I2944" s="508">
        <v>3.1749999999999998</v>
      </c>
      <c r="J2944" s="508">
        <v>3.105</v>
      </c>
      <c r="K2944" s="508">
        <v>3.0790000000000002</v>
      </c>
      <c r="L2944" s="508">
        <v>3.0510000000000002</v>
      </c>
      <c r="M2944" s="508">
        <v>3.0219999999999998</v>
      </c>
      <c r="N2944" s="508">
        <v>2.8780000000000001</v>
      </c>
      <c r="O2944" s="508">
        <v>2.8479999999999999</v>
      </c>
      <c r="P2944" s="508">
        <v>1.889</v>
      </c>
      <c r="Q2944" s="508">
        <v>1.861</v>
      </c>
      <c r="R2944" s="508">
        <v>1.8340000000000001</v>
      </c>
      <c r="S2944" s="508">
        <v>1.8080000000000001</v>
      </c>
      <c r="T2944" s="508">
        <v>1.784</v>
      </c>
      <c r="U2944" s="508">
        <v>0.79600000000000004</v>
      </c>
      <c r="V2944" s="508">
        <v>0.748</v>
      </c>
      <c r="W2944" s="508">
        <v>0.68700000000000006</v>
      </c>
      <c r="X2944" s="508">
        <v>0.41399999999999998</v>
      </c>
      <c r="Y2944" s="508">
        <v>0.32500000000000001</v>
      </c>
      <c r="Z2944" s="508">
        <v>0.26500000000000001</v>
      </c>
      <c r="AA2944" s="508">
        <v>0.219</v>
      </c>
      <c r="AB2944" s="508">
        <v>0.16200000000000001</v>
      </c>
      <c r="AC2944" s="508">
        <v>0.14899999999999999</v>
      </c>
      <c r="AD2944" s="508">
        <v>0.107</v>
      </c>
      <c r="AE2944" s="508">
        <v>0.106</v>
      </c>
      <c r="AF2944" s="508">
        <v>6.0999999999999999E-2</v>
      </c>
      <c r="AG2944" s="508">
        <v>0.06</v>
      </c>
      <c r="AH2944" s="508">
        <v>0.06</v>
      </c>
      <c r="AI2944" s="492">
        <v>0.06</v>
      </c>
      <c r="AJ2944" s="485"/>
    </row>
    <row r="2945" spans="2:36">
      <c r="B2945" s="136" t="s">
        <v>451</v>
      </c>
      <c r="C2945" s="132" t="s">
        <v>1366</v>
      </c>
      <c r="D2945" s="132" t="s">
        <v>283</v>
      </c>
      <c r="E2945" s="508">
        <v>3.2989999999999999</v>
      </c>
      <c r="F2945" s="508">
        <v>3.1309999999999998</v>
      </c>
      <c r="G2945" s="508">
        <v>3.1230000000000002</v>
      </c>
      <c r="H2945" s="508">
        <v>3.1110000000000002</v>
      </c>
      <c r="I2945" s="508">
        <v>3.0939999999999999</v>
      </c>
      <c r="J2945" s="508">
        <v>3.0569999999999999</v>
      </c>
      <c r="K2945" s="508">
        <v>3.0329999999999999</v>
      </c>
      <c r="L2945" s="508">
        <v>3.0070000000000001</v>
      </c>
      <c r="M2945" s="508">
        <v>2.9790000000000001</v>
      </c>
      <c r="N2945" s="508">
        <v>2.8180000000000001</v>
      </c>
      <c r="O2945" s="508">
        <v>2.7890000000000001</v>
      </c>
      <c r="P2945" s="508">
        <v>1.8340000000000001</v>
      </c>
      <c r="Q2945" s="508">
        <v>1.8080000000000001</v>
      </c>
      <c r="R2945" s="508">
        <v>1.782</v>
      </c>
      <c r="S2945" s="508">
        <v>1.758</v>
      </c>
      <c r="T2945" s="508">
        <v>1.736</v>
      </c>
      <c r="U2945" s="508">
        <v>0.77200000000000002</v>
      </c>
      <c r="V2945" s="508">
        <v>0.72399999999999998</v>
      </c>
      <c r="W2945" s="508">
        <v>0.66600000000000004</v>
      </c>
      <c r="X2945" s="508">
        <v>0.39900000000000002</v>
      </c>
      <c r="Y2945" s="508">
        <v>0.312</v>
      </c>
      <c r="Z2945" s="508">
        <v>0.254</v>
      </c>
      <c r="AA2945" s="508">
        <v>0.20899999999999999</v>
      </c>
      <c r="AB2945" s="508">
        <v>0.154</v>
      </c>
      <c r="AC2945" s="508">
        <v>0.14099999999999999</v>
      </c>
      <c r="AD2945" s="508">
        <v>0.10100000000000001</v>
      </c>
      <c r="AE2945" s="508">
        <v>0.10100000000000001</v>
      </c>
      <c r="AF2945" s="508">
        <v>5.8000000000000003E-2</v>
      </c>
      <c r="AG2945" s="508">
        <v>5.7000000000000002E-2</v>
      </c>
      <c r="AH2945" s="508">
        <v>5.7000000000000002E-2</v>
      </c>
      <c r="AI2945" s="492">
        <v>5.7000000000000002E-2</v>
      </c>
      <c r="AJ2945" s="485"/>
    </row>
    <row r="2946" spans="2:36">
      <c r="B2946" s="136" t="s">
        <v>452</v>
      </c>
      <c r="C2946" s="132" t="s">
        <v>1366</v>
      </c>
      <c r="D2946" s="132" t="s">
        <v>283</v>
      </c>
      <c r="E2946" s="508">
        <v>3.3130000000000002</v>
      </c>
      <c r="F2946" s="508">
        <v>3.145</v>
      </c>
      <c r="G2946" s="508">
        <v>3.137</v>
      </c>
      <c r="H2946" s="508">
        <v>3.1240000000000001</v>
      </c>
      <c r="I2946" s="508">
        <v>3.1070000000000002</v>
      </c>
      <c r="J2946" s="508">
        <v>3.052</v>
      </c>
      <c r="K2946" s="508">
        <v>3.0259999999999998</v>
      </c>
      <c r="L2946" s="508">
        <v>2.9990000000000001</v>
      </c>
      <c r="M2946" s="508">
        <v>2.9710000000000001</v>
      </c>
      <c r="N2946" s="508">
        <v>2.823</v>
      </c>
      <c r="O2946" s="508">
        <v>2.7930000000000001</v>
      </c>
      <c r="P2946" s="508">
        <v>1.8480000000000001</v>
      </c>
      <c r="Q2946" s="508">
        <v>1.82</v>
      </c>
      <c r="R2946" s="508">
        <v>1.794</v>
      </c>
      <c r="S2946" s="508">
        <v>1.7689999999999999</v>
      </c>
      <c r="T2946" s="508">
        <v>1.746</v>
      </c>
      <c r="U2946" s="508">
        <v>0.78</v>
      </c>
      <c r="V2946" s="508">
        <v>0.73199999999999998</v>
      </c>
      <c r="W2946" s="508">
        <v>0.67300000000000004</v>
      </c>
      <c r="X2946" s="508">
        <v>0.40300000000000002</v>
      </c>
      <c r="Y2946" s="508">
        <v>0.316</v>
      </c>
      <c r="Z2946" s="508">
        <v>0.25700000000000001</v>
      </c>
      <c r="AA2946" s="508">
        <v>0.21199999999999999</v>
      </c>
      <c r="AB2946" s="508">
        <v>0.156</v>
      </c>
      <c r="AC2946" s="508">
        <v>0.14299999999999999</v>
      </c>
      <c r="AD2946" s="508">
        <v>0.10299999999999999</v>
      </c>
      <c r="AE2946" s="508">
        <v>0.10199999999999999</v>
      </c>
      <c r="AF2946" s="508">
        <v>5.8999999999999997E-2</v>
      </c>
      <c r="AG2946" s="508">
        <v>5.8000000000000003E-2</v>
      </c>
      <c r="AH2946" s="508">
        <v>5.8000000000000003E-2</v>
      </c>
      <c r="AI2946" s="492">
        <v>5.7000000000000002E-2</v>
      </c>
      <c r="AJ2946" s="485"/>
    </row>
    <row r="2947" spans="2:36">
      <c r="B2947" s="136" t="s">
        <v>453</v>
      </c>
      <c r="C2947" s="132" t="s">
        <v>1366</v>
      </c>
      <c r="D2947" s="132" t="s">
        <v>283</v>
      </c>
      <c r="E2947" s="508">
        <v>3.36</v>
      </c>
      <c r="F2947" s="508">
        <v>3.1930000000000001</v>
      </c>
      <c r="G2947" s="508">
        <v>3.1850000000000001</v>
      </c>
      <c r="H2947" s="508">
        <v>3.1709999999999998</v>
      </c>
      <c r="I2947" s="508">
        <v>3.153</v>
      </c>
      <c r="J2947" s="508">
        <v>3.081</v>
      </c>
      <c r="K2947" s="508">
        <v>3.0550000000000002</v>
      </c>
      <c r="L2947" s="508">
        <v>3.0270000000000001</v>
      </c>
      <c r="M2947" s="508">
        <v>2.9969999999999999</v>
      </c>
      <c r="N2947" s="508">
        <v>2.8580000000000001</v>
      </c>
      <c r="O2947" s="508">
        <v>2.827</v>
      </c>
      <c r="P2947" s="508">
        <v>1.879</v>
      </c>
      <c r="Q2947" s="508">
        <v>1.851</v>
      </c>
      <c r="R2947" s="508">
        <v>1.8240000000000001</v>
      </c>
      <c r="S2947" s="508">
        <v>1.798</v>
      </c>
      <c r="T2947" s="508">
        <v>1.774</v>
      </c>
      <c r="U2947" s="508">
        <v>0.79300000000000004</v>
      </c>
      <c r="V2947" s="508">
        <v>0.745</v>
      </c>
      <c r="W2947" s="508">
        <v>0.68500000000000005</v>
      </c>
      <c r="X2947" s="508">
        <v>0.41199999999999998</v>
      </c>
      <c r="Y2947" s="508">
        <v>0.32400000000000001</v>
      </c>
      <c r="Z2947" s="508">
        <v>0.26500000000000001</v>
      </c>
      <c r="AA2947" s="508">
        <v>0.218</v>
      </c>
      <c r="AB2947" s="508">
        <v>0.161</v>
      </c>
      <c r="AC2947" s="508">
        <v>0.14799999999999999</v>
      </c>
      <c r="AD2947" s="508">
        <v>0.107</v>
      </c>
      <c r="AE2947" s="508">
        <v>0.106</v>
      </c>
      <c r="AF2947" s="508">
        <v>6.0999999999999999E-2</v>
      </c>
      <c r="AG2947" s="508">
        <v>0.06</v>
      </c>
      <c r="AH2947" s="508">
        <v>0.06</v>
      </c>
      <c r="AI2947" s="492">
        <v>0.06</v>
      </c>
      <c r="AJ2947" s="485"/>
    </row>
    <row r="2948" spans="2:36">
      <c r="B2948" s="136" t="s">
        <v>454</v>
      </c>
      <c r="C2948" s="132" t="s">
        <v>1366</v>
      </c>
      <c r="D2948" s="132" t="s">
        <v>283</v>
      </c>
      <c r="E2948" s="508">
        <v>3.31</v>
      </c>
      <c r="F2948" s="508">
        <v>3.1469999999999998</v>
      </c>
      <c r="G2948" s="508">
        <v>3.1389999999999998</v>
      </c>
      <c r="H2948" s="508">
        <v>3.1259999999999999</v>
      </c>
      <c r="I2948" s="508">
        <v>3.1080000000000001</v>
      </c>
      <c r="J2948" s="508">
        <v>3.0430000000000001</v>
      </c>
      <c r="K2948" s="508">
        <v>3.0169999999999999</v>
      </c>
      <c r="L2948" s="508">
        <v>2.9889999999999999</v>
      </c>
      <c r="M2948" s="508">
        <v>2.96</v>
      </c>
      <c r="N2948" s="508">
        <v>2.8180000000000001</v>
      </c>
      <c r="O2948" s="508">
        <v>2.7879999999999998</v>
      </c>
      <c r="P2948" s="508">
        <v>1.853</v>
      </c>
      <c r="Q2948" s="508">
        <v>1.825</v>
      </c>
      <c r="R2948" s="508">
        <v>1.7989999999999999</v>
      </c>
      <c r="S2948" s="508">
        <v>1.7729999999999999</v>
      </c>
      <c r="T2948" s="508">
        <v>1.7490000000000001</v>
      </c>
      <c r="U2948" s="508">
        <v>0.78200000000000003</v>
      </c>
      <c r="V2948" s="508">
        <v>0.73499999999999999</v>
      </c>
      <c r="W2948" s="508">
        <v>0.67500000000000004</v>
      </c>
      <c r="X2948" s="508">
        <v>0.40699999999999997</v>
      </c>
      <c r="Y2948" s="508">
        <v>0.32</v>
      </c>
      <c r="Z2948" s="508">
        <v>0.26100000000000001</v>
      </c>
      <c r="AA2948" s="508">
        <v>0.215</v>
      </c>
      <c r="AB2948" s="508">
        <v>0.159</v>
      </c>
      <c r="AC2948" s="508">
        <v>0.14599999999999999</v>
      </c>
      <c r="AD2948" s="508">
        <v>0.106</v>
      </c>
      <c r="AE2948" s="508">
        <v>0.105</v>
      </c>
      <c r="AF2948" s="508">
        <v>0.06</v>
      </c>
      <c r="AG2948" s="508">
        <v>5.8999999999999997E-2</v>
      </c>
      <c r="AH2948" s="508">
        <v>5.8999999999999997E-2</v>
      </c>
      <c r="AI2948" s="492">
        <v>5.8999999999999997E-2</v>
      </c>
      <c r="AJ2948" s="485"/>
    </row>
    <row r="2949" spans="2:36">
      <c r="B2949" s="136" t="s">
        <v>455</v>
      </c>
      <c r="C2949" s="132" t="s">
        <v>1366</v>
      </c>
      <c r="D2949" s="132" t="s">
        <v>283</v>
      </c>
      <c r="E2949" s="508">
        <v>3.3050000000000002</v>
      </c>
      <c r="F2949" s="508">
        <v>3.15</v>
      </c>
      <c r="G2949" s="508">
        <v>3.1419999999999999</v>
      </c>
      <c r="H2949" s="508">
        <v>3.1280000000000001</v>
      </c>
      <c r="I2949" s="508">
        <v>3.11</v>
      </c>
      <c r="J2949" s="508">
        <v>3.0430000000000001</v>
      </c>
      <c r="K2949" s="508">
        <v>3.0169999999999999</v>
      </c>
      <c r="L2949" s="508">
        <v>2.9889999999999999</v>
      </c>
      <c r="M2949" s="508">
        <v>2.96</v>
      </c>
      <c r="N2949" s="508">
        <v>2.8180000000000001</v>
      </c>
      <c r="O2949" s="508">
        <v>2.7879999999999998</v>
      </c>
      <c r="P2949" s="508">
        <v>1.859</v>
      </c>
      <c r="Q2949" s="508">
        <v>1.831</v>
      </c>
      <c r="R2949" s="508">
        <v>1.804</v>
      </c>
      <c r="S2949" s="508">
        <v>1.778</v>
      </c>
      <c r="T2949" s="508">
        <v>1.754</v>
      </c>
      <c r="U2949" s="508">
        <v>0.78300000000000003</v>
      </c>
      <c r="V2949" s="508">
        <v>0.73599999999999999</v>
      </c>
      <c r="W2949" s="508">
        <v>0.67700000000000005</v>
      </c>
      <c r="X2949" s="508">
        <v>0.40899999999999997</v>
      </c>
      <c r="Y2949" s="508">
        <v>0.32200000000000001</v>
      </c>
      <c r="Z2949" s="508">
        <v>0.26300000000000001</v>
      </c>
      <c r="AA2949" s="508">
        <v>0.218</v>
      </c>
      <c r="AB2949" s="508">
        <v>0.161</v>
      </c>
      <c r="AC2949" s="508">
        <v>0.14799999999999999</v>
      </c>
      <c r="AD2949" s="508">
        <v>0.107</v>
      </c>
      <c r="AE2949" s="508">
        <v>0.106</v>
      </c>
      <c r="AF2949" s="508">
        <v>6.0999999999999999E-2</v>
      </c>
      <c r="AG2949" s="508">
        <v>0.06</v>
      </c>
      <c r="AH2949" s="508">
        <v>0.06</v>
      </c>
      <c r="AI2949" s="492">
        <v>0.06</v>
      </c>
      <c r="AJ2949" s="485"/>
    </row>
    <row r="2950" spans="2:36">
      <c r="B2950" s="136" t="s">
        <v>456</v>
      </c>
      <c r="C2950" s="132" t="s">
        <v>1366</v>
      </c>
      <c r="D2950" s="132" t="s">
        <v>283</v>
      </c>
      <c r="E2950" s="508">
        <v>3.2330000000000001</v>
      </c>
      <c r="F2950" s="508">
        <v>3.08</v>
      </c>
      <c r="G2950" s="508">
        <v>3.0670000000000002</v>
      </c>
      <c r="H2950" s="508">
        <v>3.0579999999999998</v>
      </c>
      <c r="I2950" s="508">
        <v>3.0369999999999999</v>
      </c>
      <c r="J2950" s="508">
        <v>2.9870000000000001</v>
      </c>
      <c r="K2950" s="508">
        <v>2.9620000000000002</v>
      </c>
      <c r="L2950" s="508">
        <v>2.9359999999999999</v>
      </c>
      <c r="M2950" s="508">
        <v>2.9089999999999998</v>
      </c>
      <c r="N2950" s="508">
        <v>2.7669999999999999</v>
      </c>
      <c r="O2950" s="508">
        <v>2.738</v>
      </c>
      <c r="P2950" s="508">
        <v>1.823</v>
      </c>
      <c r="Q2950" s="508">
        <v>1.796</v>
      </c>
      <c r="R2950" s="508">
        <v>1.7709999999999999</v>
      </c>
      <c r="S2950" s="508">
        <v>1.746</v>
      </c>
      <c r="T2950" s="508">
        <v>1.722</v>
      </c>
      <c r="U2950" s="508">
        <v>0.76900000000000002</v>
      </c>
      <c r="V2950" s="508">
        <v>0.72199999999999998</v>
      </c>
      <c r="W2950" s="508">
        <v>0.66400000000000003</v>
      </c>
      <c r="X2950" s="508">
        <v>0.39900000000000002</v>
      </c>
      <c r="Y2950" s="508">
        <v>0.314</v>
      </c>
      <c r="Z2950" s="508">
        <v>0.25600000000000001</v>
      </c>
      <c r="AA2950" s="508">
        <v>0.21099999999999999</v>
      </c>
      <c r="AB2950" s="508">
        <v>0.156</v>
      </c>
      <c r="AC2950" s="508">
        <v>0.14299999999999999</v>
      </c>
      <c r="AD2950" s="508">
        <v>0.10299999999999999</v>
      </c>
      <c r="AE2950" s="508">
        <v>0.10199999999999999</v>
      </c>
      <c r="AF2950" s="508">
        <v>5.8999999999999997E-2</v>
      </c>
      <c r="AG2950" s="508">
        <v>5.8000000000000003E-2</v>
      </c>
      <c r="AH2950" s="508">
        <v>5.8000000000000003E-2</v>
      </c>
      <c r="AI2950" s="492">
        <v>5.7000000000000002E-2</v>
      </c>
      <c r="AJ2950" s="485"/>
    </row>
    <row r="2951" spans="2:36">
      <c r="B2951" s="136" t="s">
        <v>457</v>
      </c>
      <c r="C2951" s="132" t="s">
        <v>1366</v>
      </c>
      <c r="D2951" s="132" t="s">
        <v>283</v>
      </c>
      <c r="E2951" s="508">
        <v>3.4159999999999999</v>
      </c>
      <c r="F2951" s="508">
        <v>3.2440000000000002</v>
      </c>
      <c r="G2951" s="508">
        <v>3.2360000000000002</v>
      </c>
      <c r="H2951" s="508">
        <v>3.222</v>
      </c>
      <c r="I2951" s="508">
        <v>3.2040000000000002</v>
      </c>
      <c r="J2951" s="508">
        <v>3.1179999999999999</v>
      </c>
      <c r="K2951" s="508">
        <v>3.0920000000000001</v>
      </c>
      <c r="L2951" s="508">
        <v>3.0630000000000002</v>
      </c>
      <c r="M2951" s="508">
        <v>3.0329999999999999</v>
      </c>
      <c r="N2951" s="508">
        <v>2.8980000000000001</v>
      </c>
      <c r="O2951" s="508">
        <v>2.867</v>
      </c>
      <c r="P2951" s="508">
        <v>1.909</v>
      </c>
      <c r="Q2951" s="508">
        <v>1.88</v>
      </c>
      <c r="R2951" s="508">
        <v>1.853</v>
      </c>
      <c r="S2951" s="508">
        <v>1.827</v>
      </c>
      <c r="T2951" s="508">
        <v>1.802</v>
      </c>
      <c r="U2951" s="508">
        <v>0.80600000000000005</v>
      </c>
      <c r="V2951" s="508">
        <v>0.75700000000000001</v>
      </c>
      <c r="W2951" s="508">
        <v>0.69599999999999995</v>
      </c>
      <c r="X2951" s="508">
        <v>0.42</v>
      </c>
      <c r="Y2951" s="508">
        <v>0.33100000000000002</v>
      </c>
      <c r="Z2951" s="508">
        <v>0.27</v>
      </c>
      <c r="AA2951" s="508">
        <v>0.224</v>
      </c>
      <c r="AB2951" s="508">
        <v>0.16500000000000001</v>
      </c>
      <c r="AC2951" s="508">
        <v>0.152</v>
      </c>
      <c r="AD2951" s="508">
        <v>0.11</v>
      </c>
      <c r="AE2951" s="508">
        <v>0.109</v>
      </c>
      <c r="AF2951" s="508">
        <v>6.2E-2</v>
      </c>
      <c r="AG2951" s="508">
        <v>6.2E-2</v>
      </c>
      <c r="AH2951" s="508">
        <v>6.2E-2</v>
      </c>
      <c r="AI2951" s="492">
        <v>6.0999999999999999E-2</v>
      </c>
      <c r="AJ2951" s="485"/>
    </row>
    <row r="2952" spans="2:36">
      <c r="B2952" s="136" t="s">
        <v>458</v>
      </c>
      <c r="C2952" s="132" t="s">
        <v>1366</v>
      </c>
      <c r="D2952" s="132" t="s">
        <v>283</v>
      </c>
      <c r="E2952" s="508">
        <v>3.3010000000000002</v>
      </c>
      <c r="F2952" s="508">
        <v>3.14</v>
      </c>
      <c r="G2952" s="508">
        <v>3.1320000000000001</v>
      </c>
      <c r="H2952" s="508">
        <v>3.12</v>
      </c>
      <c r="I2952" s="508">
        <v>3.1019999999999999</v>
      </c>
      <c r="J2952" s="508">
        <v>3.05</v>
      </c>
      <c r="K2952" s="508">
        <v>3.0249999999999999</v>
      </c>
      <c r="L2952" s="508">
        <v>2.9980000000000002</v>
      </c>
      <c r="M2952" s="508">
        <v>2.97</v>
      </c>
      <c r="N2952" s="508">
        <v>2.8159999999999998</v>
      </c>
      <c r="O2952" s="508">
        <v>2.7869999999999999</v>
      </c>
      <c r="P2952" s="508">
        <v>1.8460000000000001</v>
      </c>
      <c r="Q2952" s="508">
        <v>1.819</v>
      </c>
      <c r="R2952" s="508">
        <v>1.7929999999999999</v>
      </c>
      <c r="S2952" s="508">
        <v>1.7689999999999999</v>
      </c>
      <c r="T2952" s="508">
        <v>1.7450000000000001</v>
      </c>
      <c r="U2952" s="508">
        <v>0.77700000000000002</v>
      </c>
      <c r="V2952" s="508">
        <v>0.73</v>
      </c>
      <c r="W2952" s="508">
        <v>0.67100000000000004</v>
      </c>
      <c r="X2952" s="508">
        <v>0.40500000000000003</v>
      </c>
      <c r="Y2952" s="508">
        <v>0.31900000000000001</v>
      </c>
      <c r="Z2952" s="508">
        <v>0.26</v>
      </c>
      <c r="AA2952" s="508">
        <v>0.215</v>
      </c>
      <c r="AB2952" s="508">
        <v>0.159</v>
      </c>
      <c r="AC2952" s="508">
        <v>0.14599999999999999</v>
      </c>
      <c r="AD2952" s="508">
        <v>0.105</v>
      </c>
      <c r="AE2952" s="508">
        <v>0.105</v>
      </c>
      <c r="AF2952" s="508">
        <v>0.06</v>
      </c>
      <c r="AG2952" s="508">
        <v>5.8999999999999997E-2</v>
      </c>
      <c r="AH2952" s="508">
        <v>5.8999999999999997E-2</v>
      </c>
      <c r="AI2952" s="492">
        <v>5.8999999999999997E-2</v>
      </c>
      <c r="AJ2952" s="485"/>
    </row>
    <row r="2953" spans="2:36">
      <c r="B2953" s="136" t="s">
        <v>459</v>
      </c>
      <c r="C2953" s="132" t="s">
        <v>1366</v>
      </c>
      <c r="D2953" s="132" t="s">
        <v>283</v>
      </c>
      <c r="E2953" s="508">
        <v>3.351</v>
      </c>
      <c r="F2953" s="508">
        <v>3.1859999999999999</v>
      </c>
      <c r="G2953" s="508">
        <v>3.1779999999999999</v>
      </c>
      <c r="H2953" s="508">
        <v>3.165</v>
      </c>
      <c r="I2953" s="508">
        <v>3.1480000000000001</v>
      </c>
      <c r="J2953" s="508">
        <v>3.0939999999999999</v>
      </c>
      <c r="K2953" s="508">
        <v>3.0680000000000001</v>
      </c>
      <c r="L2953" s="508">
        <v>3.0419999999999998</v>
      </c>
      <c r="M2953" s="508">
        <v>3.0129999999999999</v>
      </c>
      <c r="N2953" s="508">
        <v>2.8570000000000002</v>
      </c>
      <c r="O2953" s="508">
        <v>2.8279999999999998</v>
      </c>
      <c r="P2953" s="508">
        <v>1.87</v>
      </c>
      <c r="Q2953" s="508">
        <v>1.843</v>
      </c>
      <c r="R2953" s="508">
        <v>1.8169999999999999</v>
      </c>
      <c r="S2953" s="508">
        <v>1.792</v>
      </c>
      <c r="T2953" s="508">
        <v>1.7689999999999999</v>
      </c>
      <c r="U2953" s="508">
        <v>0.78600000000000003</v>
      </c>
      <c r="V2953" s="508">
        <v>0.73799999999999999</v>
      </c>
      <c r="W2953" s="508">
        <v>0.67900000000000005</v>
      </c>
      <c r="X2953" s="508">
        <v>0.41</v>
      </c>
      <c r="Y2953" s="508">
        <v>0.32300000000000001</v>
      </c>
      <c r="Z2953" s="508">
        <v>0.26300000000000001</v>
      </c>
      <c r="AA2953" s="508">
        <v>0.217</v>
      </c>
      <c r="AB2953" s="508">
        <v>0.161</v>
      </c>
      <c r="AC2953" s="508">
        <v>0.14799999999999999</v>
      </c>
      <c r="AD2953" s="508">
        <v>0.107</v>
      </c>
      <c r="AE2953" s="508">
        <v>0.106</v>
      </c>
      <c r="AF2953" s="508">
        <v>6.0999999999999999E-2</v>
      </c>
      <c r="AG2953" s="508">
        <v>0.06</v>
      </c>
      <c r="AH2953" s="508">
        <v>0.06</v>
      </c>
      <c r="AI2953" s="492">
        <v>0.06</v>
      </c>
      <c r="AJ2953" s="485"/>
    </row>
    <row r="2954" spans="2:36">
      <c r="B2954" s="136" t="s">
        <v>460</v>
      </c>
      <c r="C2954" s="132" t="s">
        <v>1366</v>
      </c>
      <c r="D2954" s="132" t="s">
        <v>283</v>
      </c>
      <c r="E2954" s="508">
        <v>3.3490000000000002</v>
      </c>
      <c r="F2954" s="508">
        <v>3.1819999999999999</v>
      </c>
      <c r="G2954" s="508">
        <v>3.1739999999999999</v>
      </c>
      <c r="H2954" s="508">
        <v>3.161</v>
      </c>
      <c r="I2954" s="508">
        <v>3.1429999999999998</v>
      </c>
      <c r="J2954" s="508">
        <v>3.0870000000000002</v>
      </c>
      <c r="K2954" s="508">
        <v>3.0619999999999998</v>
      </c>
      <c r="L2954" s="508">
        <v>3.0350000000000001</v>
      </c>
      <c r="M2954" s="508">
        <v>3.0059999999999998</v>
      </c>
      <c r="N2954" s="508">
        <v>2.8540000000000001</v>
      </c>
      <c r="O2954" s="508">
        <v>2.8250000000000002</v>
      </c>
      <c r="P2954" s="508">
        <v>1.8680000000000001</v>
      </c>
      <c r="Q2954" s="508">
        <v>1.841</v>
      </c>
      <c r="R2954" s="508">
        <v>1.8149999999999999</v>
      </c>
      <c r="S2954" s="508">
        <v>1.79</v>
      </c>
      <c r="T2954" s="508">
        <v>1.766</v>
      </c>
      <c r="U2954" s="508">
        <v>0.78700000000000003</v>
      </c>
      <c r="V2954" s="508">
        <v>0.73899999999999999</v>
      </c>
      <c r="W2954" s="508">
        <v>0.67900000000000005</v>
      </c>
      <c r="X2954" s="508">
        <v>0.40799999999999997</v>
      </c>
      <c r="Y2954" s="508">
        <v>0.32100000000000001</v>
      </c>
      <c r="Z2954" s="508">
        <v>0.26200000000000001</v>
      </c>
      <c r="AA2954" s="508">
        <v>0.216</v>
      </c>
      <c r="AB2954" s="508">
        <v>0.159</v>
      </c>
      <c r="AC2954" s="508">
        <v>0.14599999999999999</v>
      </c>
      <c r="AD2954" s="508">
        <v>0.106</v>
      </c>
      <c r="AE2954" s="508">
        <v>0.105</v>
      </c>
      <c r="AF2954" s="508">
        <v>0.06</v>
      </c>
      <c r="AG2954" s="508">
        <v>0.06</v>
      </c>
      <c r="AH2954" s="508">
        <v>5.8999999999999997E-2</v>
      </c>
      <c r="AI2954" s="492">
        <v>5.8999999999999997E-2</v>
      </c>
      <c r="AJ2954" s="485"/>
    </row>
    <row r="2955" spans="2:36">
      <c r="B2955" s="136" t="s">
        <v>461</v>
      </c>
      <c r="C2955" s="132" t="s">
        <v>1366</v>
      </c>
      <c r="D2955" s="132" t="s">
        <v>283</v>
      </c>
      <c r="E2955" s="508">
        <v>3.3820000000000001</v>
      </c>
      <c r="F2955" s="508">
        <v>3.2080000000000002</v>
      </c>
      <c r="G2955" s="508">
        <v>3.2</v>
      </c>
      <c r="H2955" s="508">
        <v>3.1869999999999998</v>
      </c>
      <c r="I2955" s="508">
        <v>3.169</v>
      </c>
      <c r="J2955" s="508">
        <v>3.1040000000000001</v>
      </c>
      <c r="K2955" s="508">
        <v>3.0779999999999998</v>
      </c>
      <c r="L2955" s="508">
        <v>3.0510000000000002</v>
      </c>
      <c r="M2955" s="508">
        <v>3.0219999999999998</v>
      </c>
      <c r="N2955" s="508">
        <v>2.8740000000000001</v>
      </c>
      <c r="O2955" s="508">
        <v>2.8439999999999999</v>
      </c>
      <c r="P2955" s="508">
        <v>1.8819999999999999</v>
      </c>
      <c r="Q2955" s="508">
        <v>1.855</v>
      </c>
      <c r="R2955" s="508">
        <v>1.8280000000000001</v>
      </c>
      <c r="S2955" s="508">
        <v>1.8029999999999999</v>
      </c>
      <c r="T2955" s="508">
        <v>1.7789999999999999</v>
      </c>
      <c r="U2955" s="508">
        <v>0.79400000000000004</v>
      </c>
      <c r="V2955" s="508">
        <v>0.745</v>
      </c>
      <c r="W2955" s="508">
        <v>0.68500000000000005</v>
      </c>
      <c r="X2955" s="508">
        <v>0.41199999999999998</v>
      </c>
      <c r="Y2955" s="508">
        <v>0.32400000000000001</v>
      </c>
      <c r="Z2955" s="508">
        <v>0.26400000000000001</v>
      </c>
      <c r="AA2955" s="508">
        <v>0.218</v>
      </c>
      <c r="AB2955" s="508">
        <v>0.161</v>
      </c>
      <c r="AC2955" s="508">
        <v>0.14799999999999999</v>
      </c>
      <c r="AD2955" s="508">
        <v>0.107</v>
      </c>
      <c r="AE2955" s="508">
        <v>0.106</v>
      </c>
      <c r="AF2955" s="508">
        <v>6.0999999999999999E-2</v>
      </c>
      <c r="AG2955" s="508">
        <v>0.06</v>
      </c>
      <c r="AH2955" s="508">
        <v>0.06</v>
      </c>
      <c r="AI2955" s="492">
        <v>0.06</v>
      </c>
      <c r="AJ2955" s="485"/>
    </row>
    <row r="2956" spans="2:36">
      <c r="B2956" s="136" t="s">
        <v>462</v>
      </c>
      <c r="C2956" s="132" t="s">
        <v>1366</v>
      </c>
      <c r="D2956" s="132" t="s">
        <v>283</v>
      </c>
      <c r="E2956" s="508">
        <v>3.2080000000000002</v>
      </c>
      <c r="F2956" s="508">
        <v>3.0510000000000002</v>
      </c>
      <c r="G2956" s="508">
        <v>3.0419999999999998</v>
      </c>
      <c r="H2956" s="508">
        <v>3.03</v>
      </c>
      <c r="I2956" s="508">
        <v>3.0110000000000001</v>
      </c>
      <c r="J2956" s="508">
        <v>2.9449999999999998</v>
      </c>
      <c r="K2956" s="508">
        <v>2.919</v>
      </c>
      <c r="L2956" s="508">
        <v>2.891</v>
      </c>
      <c r="M2956" s="508">
        <v>2.863</v>
      </c>
      <c r="N2956" s="508">
        <v>2.7330000000000001</v>
      </c>
      <c r="O2956" s="508">
        <v>2.702</v>
      </c>
      <c r="P2956" s="508">
        <v>1.8049999999999999</v>
      </c>
      <c r="Q2956" s="508">
        <v>1.7769999999999999</v>
      </c>
      <c r="R2956" s="508">
        <v>1.75</v>
      </c>
      <c r="S2956" s="508">
        <v>1.7250000000000001</v>
      </c>
      <c r="T2956" s="508">
        <v>1.7</v>
      </c>
      <c r="U2956" s="508">
        <v>0.76500000000000001</v>
      </c>
      <c r="V2956" s="508">
        <v>0.71899999999999997</v>
      </c>
      <c r="W2956" s="508">
        <v>0.66</v>
      </c>
      <c r="X2956" s="508">
        <v>0.39600000000000002</v>
      </c>
      <c r="Y2956" s="508">
        <v>0.311</v>
      </c>
      <c r="Z2956" s="508">
        <v>0.253</v>
      </c>
      <c r="AA2956" s="508">
        <v>0.20899999999999999</v>
      </c>
      <c r="AB2956" s="508">
        <v>0.154</v>
      </c>
      <c r="AC2956" s="508">
        <v>0.14099999999999999</v>
      </c>
      <c r="AD2956" s="508">
        <v>0.10199999999999999</v>
      </c>
      <c r="AE2956" s="508">
        <v>0.10100000000000001</v>
      </c>
      <c r="AF2956" s="508">
        <v>5.8000000000000003E-2</v>
      </c>
      <c r="AG2956" s="508">
        <v>5.7000000000000002E-2</v>
      </c>
      <c r="AH2956" s="508">
        <v>5.7000000000000002E-2</v>
      </c>
      <c r="AI2956" s="492">
        <v>5.7000000000000002E-2</v>
      </c>
      <c r="AJ2956" s="485"/>
    </row>
    <row r="2957" spans="2:36">
      <c r="B2957" s="136" t="s">
        <v>463</v>
      </c>
      <c r="C2957" s="132" t="s">
        <v>1366</v>
      </c>
      <c r="D2957" s="132" t="s">
        <v>283</v>
      </c>
      <c r="E2957" s="508">
        <v>3.3050000000000002</v>
      </c>
      <c r="F2957" s="508">
        <v>3.149</v>
      </c>
      <c r="G2957" s="508">
        <v>3.141</v>
      </c>
      <c r="H2957" s="508">
        <v>3.1269999999999998</v>
      </c>
      <c r="I2957" s="508">
        <v>3.109</v>
      </c>
      <c r="J2957" s="508">
        <v>3.0409999999999999</v>
      </c>
      <c r="K2957" s="508">
        <v>3.016</v>
      </c>
      <c r="L2957" s="508">
        <v>2.988</v>
      </c>
      <c r="M2957" s="508">
        <v>2.9590000000000001</v>
      </c>
      <c r="N2957" s="508">
        <v>2.8159999999999998</v>
      </c>
      <c r="O2957" s="508">
        <v>2.7850000000000001</v>
      </c>
      <c r="P2957" s="508">
        <v>1.857</v>
      </c>
      <c r="Q2957" s="508">
        <v>1.829</v>
      </c>
      <c r="R2957" s="508">
        <v>1.802</v>
      </c>
      <c r="S2957" s="508">
        <v>1.7769999999999999</v>
      </c>
      <c r="T2957" s="508">
        <v>1.7529999999999999</v>
      </c>
      <c r="U2957" s="508">
        <v>0.78200000000000003</v>
      </c>
      <c r="V2957" s="508">
        <v>0.73599999999999999</v>
      </c>
      <c r="W2957" s="508">
        <v>0.67600000000000005</v>
      </c>
      <c r="X2957" s="508">
        <v>0.40899999999999997</v>
      </c>
      <c r="Y2957" s="508">
        <v>0.32300000000000001</v>
      </c>
      <c r="Z2957" s="508">
        <v>0.26400000000000001</v>
      </c>
      <c r="AA2957" s="508">
        <v>0.219</v>
      </c>
      <c r="AB2957" s="508">
        <v>0.16200000000000001</v>
      </c>
      <c r="AC2957" s="508">
        <v>0.14899999999999999</v>
      </c>
      <c r="AD2957" s="508">
        <v>0.108</v>
      </c>
      <c r="AE2957" s="508">
        <v>0.107</v>
      </c>
      <c r="AF2957" s="508">
        <v>6.0999999999999999E-2</v>
      </c>
      <c r="AG2957" s="508">
        <v>6.0999999999999999E-2</v>
      </c>
      <c r="AH2957" s="508">
        <v>6.0999999999999999E-2</v>
      </c>
      <c r="AI2957" s="492">
        <v>0.06</v>
      </c>
      <c r="AJ2957" s="485"/>
    </row>
    <row r="2958" spans="2:36">
      <c r="B2958" s="136" t="s">
        <v>464</v>
      </c>
      <c r="C2958" s="132" t="s">
        <v>1366</v>
      </c>
      <c r="D2958" s="132" t="s">
        <v>283</v>
      </c>
      <c r="E2958" s="508">
        <v>3.4329999999999998</v>
      </c>
      <c r="F2958" s="508">
        <v>3.262</v>
      </c>
      <c r="G2958" s="508">
        <v>3.254</v>
      </c>
      <c r="H2958" s="508">
        <v>3.24</v>
      </c>
      <c r="I2958" s="508">
        <v>3.222</v>
      </c>
      <c r="J2958" s="508">
        <v>3.137</v>
      </c>
      <c r="K2958" s="508">
        <v>3.1110000000000002</v>
      </c>
      <c r="L2958" s="508">
        <v>3.0819999999999999</v>
      </c>
      <c r="M2958" s="508">
        <v>3.052</v>
      </c>
      <c r="N2958" s="508">
        <v>2.915</v>
      </c>
      <c r="O2958" s="508">
        <v>2.8839999999999999</v>
      </c>
      <c r="P2958" s="508">
        <v>1.92</v>
      </c>
      <c r="Q2958" s="508">
        <v>1.891</v>
      </c>
      <c r="R2958" s="508">
        <v>1.863</v>
      </c>
      <c r="S2958" s="508">
        <v>1.837</v>
      </c>
      <c r="T2958" s="508">
        <v>1.8120000000000001</v>
      </c>
      <c r="U2958" s="508">
        <v>0.80900000000000005</v>
      </c>
      <c r="V2958" s="508">
        <v>0.76</v>
      </c>
      <c r="W2958" s="508">
        <v>0.69899999999999995</v>
      </c>
      <c r="X2958" s="508">
        <v>0.42199999999999999</v>
      </c>
      <c r="Y2958" s="508">
        <v>0.33300000000000002</v>
      </c>
      <c r="Z2958" s="508">
        <v>0.27200000000000002</v>
      </c>
      <c r="AA2958" s="508">
        <v>0.22500000000000001</v>
      </c>
      <c r="AB2958" s="508">
        <v>0.16700000000000001</v>
      </c>
      <c r="AC2958" s="508">
        <v>0.153</v>
      </c>
      <c r="AD2958" s="508">
        <v>0.111</v>
      </c>
      <c r="AE2958" s="508">
        <v>0.11</v>
      </c>
      <c r="AF2958" s="508">
        <v>6.3E-2</v>
      </c>
      <c r="AG2958" s="508">
        <v>6.2E-2</v>
      </c>
      <c r="AH2958" s="508">
        <v>6.2E-2</v>
      </c>
      <c r="AI2958" s="492">
        <v>6.2E-2</v>
      </c>
      <c r="AJ2958" s="485"/>
    </row>
    <row r="2959" spans="2:36">
      <c r="B2959" s="136" t="s">
        <v>465</v>
      </c>
      <c r="C2959" s="132" t="s">
        <v>1366</v>
      </c>
      <c r="D2959" s="132" t="s">
        <v>283</v>
      </c>
      <c r="E2959" s="508">
        <v>3.367</v>
      </c>
      <c r="F2959" s="508">
        <v>3.2050000000000001</v>
      </c>
      <c r="G2959" s="508">
        <v>3.1970000000000001</v>
      </c>
      <c r="H2959" s="508">
        <v>3.1829999999999998</v>
      </c>
      <c r="I2959" s="508">
        <v>3.165</v>
      </c>
      <c r="J2959" s="508">
        <v>3.0950000000000002</v>
      </c>
      <c r="K2959" s="508">
        <v>3.069</v>
      </c>
      <c r="L2959" s="508">
        <v>3.0409999999999999</v>
      </c>
      <c r="M2959" s="508">
        <v>3.012</v>
      </c>
      <c r="N2959" s="508">
        <v>2.8679999999999999</v>
      </c>
      <c r="O2959" s="508">
        <v>2.8370000000000002</v>
      </c>
      <c r="P2959" s="508">
        <v>1.887</v>
      </c>
      <c r="Q2959" s="508">
        <v>1.859</v>
      </c>
      <c r="R2959" s="508">
        <v>1.8320000000000001</v>
      </c>
      <c r="S2959" s="508">
        <v>1.8069999999999999</v>
      </c>
      <c r="T2959" s="508">
        <v>1.782</v>
      </c>
      <c r="U2959" s="508">
        <v>0.79400000000000004</v>
      </c>
      <c r="V2959" s="508">
        <v>0.747</v>
      </c>
      <c r="W2959" s="508">
        <v>0.68600000000000005</v>
      </c>
      <c r="X2959" s="508">
        <v>0.41499999999999998</v>
      </c>
      <c r="Y2959" s="508">
        <v>0.32700000000000001</v>
      </c>
      <c r="Z2959" s="508">
        <v>0.26700000000000002</v>
      </c>
      <c r="AA2959" s="508">
        <v>0.221</v>
      </c>
      <c r="AB2959" s="508">
        <v>0.16300000000000001</v>
      </c>
      <c r="AC2959" s="508">
        <v>0.15</v>
      </c>
      <c r="AD2959" s="508">
        <v>0.109</v>
      </c>
      <c r="AE2959" s="508">
        <v>0.108</v>
      </c>
      <c r="AF2959" s="508">
        <v>6.2E-2</v>
      </c>
      <c r="AG2959" s="508">
        <v>6.0999999999999999E-2</v>
      </c>
      <c r="AH2959" s="508">
        <v>6.0999999999999999E-2</v>
      </c>
      <c r="AI2959" s="492">
        <v>6.0999999999999999E-2</v>
      </c>
      <c r="AJ2959" s="485"/>
    </row>
    <row r="2960" spans="2:36">
      <c r="B2960" s="136" t="s">
        <v>466</v>
      </c>
      <c r="C2960" s="132" t="s">
        <v>1366</v>
      </c>
      <c r="D2960" s="132" t="s">
        <v>283</v>
      </c>
      <c r="E2960" s="508">
        <v>3.3780000000000001</v>
      </c>
      <c r="F2960" s="508">
        <v>3.2050000000000001</v>
      </c>
      <c r="G2960" s="508">
        <v>3.1970000000000001</v>
      </c>
      <c r="H2960" s="508">
        <v>3.1840000000000002</v>
      </c>
      <c r="I2960" s="508">
        <v>3.1669999999999998</v>
      </c>
      <c r="J2960" s="508">
        <v>3.12</v>
      </c>
      <c r="K2960" s="508">
        <v>3.0950000000000002</v>
      </c>
      <c r="L2960" s="508">
        <v>3.0680000000000001</v>
      </c>
      <c r="M2960" s="508">
        <v>3.04</v>
      </c>
      <c r="N2960" s="508">
        <v>2.88</v>
      </c>
      <c r="O2960" s="508">
        <v>2.851</v>
      </c>
      <c r="P2960" s="508">
        <v>1.8759999999999999</v>
      </c>
      <c r="Q2960" s="508">
        <v>1.85</v>
      </c>
      <c r="R2960" s="508">
        <v>1.8240000000000001</v>
      </c>
      <c r="S2960" s="508">
        <v>1.7989999999999999</v>
      </c>
      <c r="T2960" s="508">
        <v>1.776</v>
      </c>
      <c r="U2960" s="508">
        <v>0.78900000000000003</v>
      </c>
      <c r="V2960" s="508">
        <v>0.74099999999999999</v>
      </c>
      <c r="W2960" s="508">
        <v>0.68100000000000005</v>
      </c>
      <c r="X2960" s="508">
        <v>0.40799999999999997</v>
      </c>
      <c r="Y2960" s="508">
        <v>0.32</v>
      </c>
      <c r="Z2960" s="508">
        <v>0.26100000000000001</v>
      </c>
      <c r="AA2960" s="508">
        <v>0.214</v>
      </c>
      <c r="AB2960" s="508">
        <v>0.158</v>
      </c>
      <c r="AC2960" s="508">
        <v>0.14499999999999999</v>
      </c>
      <c r="AD2960" s="508">
        <v>0.105</v>
      </c>
      <c r="AE2960" s="508">
        <v>0.104</v>
      </c>
      <c r="AF2960" s="508">
        <v>5.8999999999999997E-2</v>
      </c>
      <c r="AG2960" s="508">
        <v>5.8999999999999997E-2</v>
      </c>
      <c r="AH2960" s="508">
        <v>5.8999999999999997E-2</v>
      </c>
      <c r="AI2960" s="492">
        <v>5.8000000000000003E-2</v>
      </c>
      <c r="AJ2960" s="485"/>
    </row>
    <row r="2961" spans="2:36">
      <c r="B2961" s="136" t="s">
        <v>467</v>
      </c>
      <c r="C2961" s="132" t="s">
        <v>1366</v>
      </c>
      <c r="D2961" s="132" t="s">
        <v>283</v>
      </c>
      <c r="E2961" s="508">
        <v>3.379</v>
      </c>
      <c r="F2961" s="508">
        <v>3.206</v>
      </c>
      <c r="G2961" s="508">
        <v>3.198</v>
      </c>
      <c r="H2961" s="508">
        <v>3.1850000000000001</v>
      </c>
      <c r="I2961" s="508">
        <v>3.1669999999999998</v>
      </c>
      <c r="J2961" s="508">
        <v>3.0990000000000002</v>
      </c>
      <c r="K2961" s="508">
        <v>3.073</v>
      </c>
      <c r="L2961" s="508">
        <v>3.0459999999999998</v>
      </c>
      <c r="M2961" s="508">
        <v>3.0169999999999999</v>
      </c>
      <c r="N2961" s="508">
        <v>2.871</v>
      </c>
      <c r="O2961" s="508">
        <v>2.8410000000000002</v>
      </c>
      <c r="P2961" s="508">
        <v>1.8819999999999999</v>
      </c>
      <c r="Q2961" s="508">
        <v>1.855</v>
      </c>
      <c r="R2961" s="508">
        <v>1.8280000000000001</v>
      </c>
      <c r="S2961" s="508">
        <v>1.8029999999999999</v>
      </c>
      <c r="T2961" s="508">
        <v>1.7789999999999999</v>
      </c>
      <c r="U2961" s="508">
        <v>0.79400000000000004</v>
      </c>
      <c r="V2961" s="508">
        <v>0.746</v>
      </c>
      <c r="W2961" s="508">
        <v>0.68500000000000005</v>
      </c>
      <c r="X2961" s="508">
        <v>0.41299999999999998</v>
      </c>
      <c r="Y2961" s="508">
        <v>0.32400000000000001</v>
      </c>
      <c r="Z2961" s="508">
        <v>0.26500000000000001</v>
      </c>
      <c r="AA2961" s="508">
        <v>0.218</v>
      </c>
      <c r="AB2961" s="508">
        <v>0.161</v>
      </c>
      <c r="AC2961" s="508">
        <v>0.14799999999999999</v>
      </c>
      <c r="AD2961" s="508">
        <v>0.107</v>
      </c>
      <c r="AE2961" s="508">
        <v>0.106</v>
      </c>
      <c r="AF2961" s="508">
        <v>6.0999999999999999E-2</v>
      </c>
      <c r="AG2961" s="508">
        <v>0.06</v>
      </c>
      <c r="AH2961" s="508">
        <v>0.06</v>
      </c>
      <c r="AI2961" s="492">
        <v>0.06</v>
      </c>
      <c r="AJ2961" s="485"/>
    </row>
    <row r="2962" spans="2:36">
      <c r="B2962" s="136" t="s">
        <v>468</v>
      </c>
      <c r="C2962" s="132" t="s">
        <v>1366</v>
      </c>
      <c r="D2962" s="132" t="s">
        <v>283</v>
      </c>
      <c r="E2962" s="508">
        <v>3.3490000000000002</v>
      </c>
      <c r="F2962" s="508">
        <v>3.1930000000000001</v>
      </c>
      <c r="G2962" s="508">
        <v>3.1850000000000001</v>
      </c>
      <c r="H2962" s="508">
        <v>3.1720000000000002</v>
      </c>
      <c r="I2962" s="508">
        <v>3.1539999999999999</v>
      </c>
      <c r="J2962" s="508">
        <v>3.08</v>
      </c>
      <c r="K2962" s="508">
        <v>3.0539999999999998</v>
      </c>
      <c r="L2962" s="508">
        <v>3.0270000000000001</v>
      </c>
      <c r="M2962" s="508">
        <v>2.9980000000000002</v>
      </c>
      <c r="N2962" s="508">
        <v>2.8540000000000001</v>
      </c>
      <c r="O2962" s="508">
        <v>2.8239999999999998</v>
      </c>
      <c r="P2962" s="508">
        <v>1.881</v>
      </c>
      <c r="Q2962" s="508">
        <v>1.853</v>
      </c>
      <c r="R2962" s="508">
        <v>1.8260000000000001</v>
      </c>
      <c r="S2962" s="508">
        <v>1.8009999999999999</v>
      </c>
      <c r="T2962" s="508">
        <v>1.7769999999999999</v>
      </c>
      <c r="U2962" s="508">
        <v>0.78900000000000003</v>
      </c>
      <c r="V2962" s="508">
        <v>0.74199999999999999</v>
      </c>
      <c r="W2962" s="508">
        <v>0.68300000000000005</v>
      </c>
      <c r="X2962" s="508">
        <v>0.41399999999999998</v>
      </c>
      <c r="Y2962" s="508">
        <v>0.32800000000000001</v>
      </c>
      <c r="Z2962" s="508">
        <v>0.26800000000000002</v>
      </c>
      <c r="AA2962" s="508">
        <v>0.222</v>
      </c>
      <c r="AB2962" s="508">
        <v>0.16500000000000001</v>
      </c>
      <c r="AC2962" s="508">
        <v>0.152</v>
      </c>
      <c r="AD2962" s="508">
        <v>0.11</v>
      </c>
      <c r="AE2962" s="508">
        <v>0.109</v>
      </c>
      <c r="AF2962" s="508">
        <v>6.3E-2</v>
      </c>
      <c r="AG2962" s="508">
        <v>6.2E-2</v>
      </c>
      <c r="AH2962" s="508">
        <v>6.2E-2</v>
      </c>
      <c r="AI2962" s="492">
        <v>6.0999999999999999E-2</v>
      </c>
      <c r="AJ2962" s="485"/>
    </row>
    <row r="2963" spans="2:36">
      <c r="B2963" s="136" t="s">
        <v>469</v>
      </c>
      <c r="C2963" s="132" t="s">
        <v>1366</v>
      </c>
      <c r="D2963" s="132" t="s">
        <v>283</v>
      </c>
      <c r="E2963" s="508">
        <v>3.3980000000000001</v>
      </c>
      <c r="F2963" s="508">
        <v>3.2290000000000001</v>
      </c>
      <c r="G2963" s="508">
        <v>3.2210000000000001</v>
      </c>
      <c r="H2963" s="508">
        <v>3.2080000000000002</v>
      </c>
      <c r="I2963" s="508">
        <v>3.19</v>
      </c>
      <c r="J2963" s="508">
        <v>3.1190000000000002</v>
      </c>
      <c r="K2963" s="508">
        <v>3.093</v>
      </c>
      <c r="L2963" s="508">
        <v>3.0649999999999999</v>
      </c>
      <c r="M2963" s="508">
        <v>3.036</v>
      </c>
      <c r="N2963" s="508">
        <v>2.891</v>
      </c>
      <c r="O2963" s="508">
        <v>2.86</v>
      </c>
      <c r="P2963" s="508">
        <v>1.8979999999999999</v>
      </c>
      <c r="Q2963" s="508">
        <v>1.87</v>
      </c>
      <c r="R2963" s="508">
        <v>1.843</v>
      </c>
      <c r="S2963" s="508">
        <v>1.8180000000000001</v>
      </c>
      <c r="T2963" s="508">
        <v>1.7929999999999999</v>
      </c>
      <c r="U2963" s="508">
        <v>0.79900000000000004</v>
      </c>
      <c r="V2963" s="508">
        <v>0.751</v>
      </c>
      <c r="W2963" s="508">
        <v>0.69</v>
      </c>
      <c r="X2963" s="508">
        <v>0.41599999999999998</v>
      </c>
      <c r="Y2963" s="508">
        <v>0.32800000000000001</v>
      </c>
      <c r="Z2963" s="508">
        <v>0.26800000000000002</v>
      </c>
      <c r="AA2963" s="508">
        <v>0.221</v>
      </c>
      <c r="AB2963" s="508">
        <v>0.16300000000000001</v>
      </c>
      <c r="AC2963" s="508">
        <v>0.15</v>
      </c>
      <c r="AD2963" s="508">
        <v>0.108</v>
      </c>
      <c r="AE2963" s="508">
        <v>0.108</v>
      </c>
      <c r="AF2963" s="508">
        <v>6.2E-2</v>
      </c>
      <c r="AG2963" s="508">
        <v>6.0999999999999999E-2</v>
      </c>
      <c r="AH2963" s="508">
        <v>6.0999999999999999E-2</v>
      </c>
      <c r="AI2963" s="492">
        <v>0.06</v>
      </c>
      <c r="AJ2963" s="485"/>
    </row>
    <row r="2964" spans="2:36">
      <c r="B2964" s="136" t="s">
        <v>470</v>
      </c>
      <c r="C2964" s="132" t="s">
        <v>1366</v>
      </c>
      <c r="D2964" s="132" t="s">
        <v>283</v>
      </c>
      <c r="E2964" s="508">
        <v>3.3359999999999999</v>
      </c>
      <c r="F2964" s="508">
        <v>3.1669999999999998</v>
      </c>
      <c r="G2964" s="508">
        <v>3.1589999999999998</v>
      </c>
      <c r="H2964" s="508">
        <v>3.1459999999999999</v>
      </c>
      <c r="I2964" s="508">
        <v>3.129</v>
      </c>
      <c r="J2964" s="508">
        <v>3.077</v>
      </c>
      <c r="K2964" s="508">
        <v>3.052</v>
      </c>
      <c r="L2964" s="508">
        <v>3.0259999999999998</v>
      </c>
      <c r="M2964" s="508">
        <v>2.9980000000000002</v>
      </c>
      <c r="N2964" s="508">
        <v>2.843</v>
      </c>
      <c r="O2964" s="508">
        <v>2.8130000000000002</v>
      </c>
      <c r="P2964" s="508">
        <v>1.8580000000000001</v>
      </c>
      <c r="Q2964" s="508">
        <v>1.831</v>
      </c>
      <c r="R2964" s="508">
        <v>1.8049999999999999</v>
      </c>
      <c r="S2964" s="508">
        <v>1.7809999999999999</v>
      </c>
      <c r="T2964" s="508">
        <v>1.7569999999999999</v>
      </c>
      <c r="U2964" s="508">
        <v>0.78200000000000003</v>
      </c>
      <c r="V2964" s="508">
        <v>0.73499999999999999</v>
      </c>
      <c r="W2964" s="508">
        <v>0.67600000000000005</v>
      </c>
      <c r="X2964" s="508">
        <v>0.40600000000000003</v>
      </c>
      <c r="Y2964" s="508">
        <v>0.31900000000000001</v>
      </c>
      <c r="Z2964" s="508">
        <v>0.26</v>
      </c>
      <c r="AA2964" s="508">
        <v>0.214</v>
      </c>
      <c r="AB2964" s="508">
        <v>0.158</v>
      </c>
      <c r="AC2964" s="508">
        <v>0.14499999999999999</v>
      </c>
      <c r="AD2964" s="508">
        <v>0.105</v>
      </c>
      <c r="AE2964" s="508">
        <v>0.104</v>
      </c>
      <c r="AF2964" s="508">
        <v>5.8999999999999997E-2</v>
      </c>
      <c r="AG2964" s="508">
        <v>5.8999999999999997E-2</v>
      </c>
      <c r="AH2964" s="508">
        <v>5.8999999999999997E-2</v>
      </c>
      <c r="AI2964" s="492">
        <v>5.8000000000000003E-2</v>
      </c>
      <c r="AJ2964" s="485"/>
    </row>
    <row r="2965" spans="2:36">
      <c r="B2965" s="136" t="s">
        <v>471</v>
      </c>
      <c r="C2965" s="132" t="s">
        <v>1366</v>
      </c>
      <c r="D2965" s="132" t="s">
        <v>283</v>
      </c>
      <c r="E2965" s="508">
        <v>3.2490000000000001</v>
      </c>
      <c r="F2965" s="508">
        <v>3.0880000000000001</v>
      </c>
      <c r="G2965" s="508">
        <v>3.08</v>
      </c>
      <c r="H2965" s="508">
        <v>3.0670000000000002</v>
      </c>
      <c r="I2965" s="508">
        <v>3.05</v>
      </c>
      <c r="J2965" s="508">
        <v>2.9929999999999999</v>
      </c>
      <c r="K2965" s="508">
        <v>2.9670000000000001</v>
      </c>
      <c r="L2965" s="508">
        <v>2.94</v>
      </c>
      <c r="M2965" s="508">
        <v>2.911</v>
      </c>
      <c r="N2965" s="508">
        <v>2.7690000000000001</v>
      </c>
      <c r="O2965" s="508">
        <v>2.7389999999999999</v>
      </c>
      <c r="P2965" s="508">
        <v>1.819</v>
      </c>
      <c r="Q2965" s="508">
        <v>1.792</v>
      </c>
      <c r="R2965" s="508">
        <v>1.7649999999999999</v>
      </c>
      <c r="S2965" s="508">
        <v>1.74</v>
      </c>
      <c r="T2965" s="508">
        <v>1.7170000000000001</v>
      </c>
      <c r="U2965" s="508">
        <v>0.76900000000000002</v>
      </c>
      <c r="V2965" s="508">
        <v>0.72199999999999998</v>
      </c>
      <c r="W2965" s="508">
        <v>0.66300000000000003</v>
      </c>
      <c r="X2965" s="508">
        <v>0.39800000000000002</v>
      </c>
      <c r="Y2965" s="508">
        <v>0.313</v>
      </c>
      <c r="Z2965" s="508">
        <v>0.255</v>
      </c>
      <c r="AA2965" s="508">
        <v>0.21</v>
      </c>
      <c r="AB2965" s="508">
        <v>0.155</v>
      </c>
      <c r="AC2965" s="508">
        <v>0.14199999999999999</v>
      </c>
      <c r="AD2965" s="508">
        <v>0.10199999999999999</v>
      </c>
      <c r="AE2965" s="508">
        <v>0.10100000000000001</v>
      </c>
      <c r="AF2965" s="508">
        <v>5.8000000000000003E-2</v>
      </c>
      <c r="AG2965" s="508">
        <v>5.8000000000000003E-2</v>
      </c>
      <c r="AH2965" s="508">
        <v>5.7000000000000002E-2</v>
      </c>
      <c r="AI2965" s="492">
        <v>5.7000000000000002E-2</v>
      </c>
      <c r="AJ2965" s="485"/>
    </row>
    <row r="2966" spans="2:36">
      <c r="B2966" s="136" t="s">
        <v>472</v>
      </c>
      <c r="C2966" s="132" t="s">
        <v>1366</v>
      </c>
      <c r="D2966" s="132" t="s">
        <v>283</v>
      </c>
      <c r="E2966" s="508">
        <v>3.4329999999999998</v>
      </c>
      <c r="F2966" s="508">
        <v>3.26</v>
      </c>
      <c r="G2966" s="508">
        <v>3.2509999999999999</v>
      </c>
      <c r="H2966" s="508">
        <v>3.238</v>
      </c>
      <c r="I2966" s="508">
        <v>3.2189999999999999</v>
      </c>
      <c r="J2966" s="508">
        <v>3.133</v>
      </c>
      <c r="K2966" s="508">
        <v>3.1070000000000002</v>
      </c>
      <c r="L2966" s="508">
        <v>3.0779999999999998</v>
      </c>
      <c r="M2966" s="508">
        <v>3.048</v>
      </c>
      <c r="N2966" s="508">
        <v>2.9119999999999999</v>
      </c>
      <c r="O2966" s="508">
        <v>2.8809999999999998</v>
      </c>
      <c r="P2966" s="508">
        <v>1.917</v>
      </c>
      <c r="Q2966" s="508">
        <v>1.8879999999999999</v>
      </c>
      <c r="R2966" s="508">
        <v>1.861</v>
      </c>
      <c r="S2966" s="508">
        <v>1.835</v>
      </c>
      <c r="T2966" s="508">
        <v>1.81</v>
      </c>
      <c r="U2966" s="508">
        <v>0.80900000000000005</v>
      </c>
      <c r="V2966" s="508">
        <v>0.76</v>
      </c>
      <c r="W2966" s="508">
        <v>0.69799999999999995</v>
      </c>
      <c r="X2966" s="508">
        <v>0.42199999999999999</v>
      </c>
      <c r="Y2966" s="508">
        <v>0.33200000000000002</v>
      </c>
      <c r="Z2966" s="508">
        <v>0.27100000000000002</v>
      </c>
      <c r="AA2966" s="508">
        <v>0.224</v>
      </c>
      <c r="AB2966" s="508">
        <v>0.16600000000000001</v>
      </c>
      <c r="AC2966" s="508">
        <v>0.153</v>
      </c>
      <c r="AD2966" s="508">
        <v>0.11</v>
      </c>
      <c r="AE2966" s="508">
        <v>0.109</v>
      </c>
      <c r="AF2966" s="508">
        <v>6.3E-2</v>
      </c>
      <c r="AG2966" s="508">
        <v>6.2E-2</v>
      </c>
      <c r="AH2966" s="508">
        <v>6.2E-2</v>
      </c>
      <c r="AI2966" s="492">
        <v>6.0999999999999999E-2</v>
      </c>
      <c r="AJ2966" s="485"/>
    </row>
    <row r="2967" spans="2:36">
      <c r="B2967" s="136" t="s">
        <v>473</v>
      </c>
      <c r="C2967" s="132" t="s">
        <v>1366</v>
      </c>
      <c r="D2967" s="132" t="s">
        <v>283</v>
      </c>
      <c r="E2967" s="508">
        <v>3.3119999999999998</v>
      </c>
      <c r="F2967" s="508">
        <v>3.145</v>
      </c>
      <c r="G2967" s="508">
        <v>3.137</v>
      </c>
      <c r="H2967" s="508">
        <v>3.1240000000000001</v>
      </c>
      <c r="I2967" s="508">
        <v>3.1059999999999999</v>
      </c>
      <c r="J2967" s="508">
        <v>3.0539999999999998</v>
      </c>
      <c r="K2967" s="508">
        <v>3.0289999999999999</v>
      </c>
      <c r="L2967" s="508">
        <v>3.0019999999999998</v>
      </c>
      <c r="M2967" s="508">
        <v>2.9740000000000002</v>
      </c>
      <c r="N2967" s="508">
        <v>2.823</v>
      </c>
      <c r="O2967" s="508">
        <v>2.794</v>
      </c>
      <c r="P2967" s="508">
        <v>1.8460000000000001</v>
      </c>
      <c r="Q2967" s="508">
        <v>1.819</v>
      </c>
      <c r="R2967" s="508">
        <v>1.7929999999999999</v>
      </c>
      <c r="S2967" s="508">
        <v>1.768</v>
      </c>
      <c r="T2967" s="508">
        <v>1.7450000000000001</v>
      </c>
      <c r="U2967" s="508">
        <v>0.77900000000000003</v>
      </c>
      <c r="V2967" s="508">
        <v>0.73099999999999998</v>
      </c>
      <c r="W2967" s="508">
        <v>0.67200000000000004</v>
      </c>
      <c r="X2967" s="508">
        <v>0.40300000000000002</v>
      </c>
      <c r="Y2967" s="508">
        <v>0.316</v>
      </c>
      <c r="Z2967" s="508">
        <v>0.25800000000000001</v>
      </c>
      <c r="AA2967" s="508">
        <v>0.21199999999999999</v>
      </c>
      <c r="AB2967" s="508">
        <v>0.156</v>
      </c>
      <c r="AC2967" s="508">
        <v>0.14299999999999999</v>
      </c>
      <c r="AD2967" s="508">
        <v>0.10299999999999999</v>
      </c>
      <c r="AE2967" s="508">
        <v>0.10199999999999999</v>
      </c>
      <c r="AF2967" s="508">
        <v>5.8999999999999997E-2</v>
      </c>
      <c r="AG2967" s="508">
        <v>5.8000000000000003E-2</v>
      </c>
      <c r="AH2967" s="508">
        <v>5.8000000000000003E-2</v>
      </c>
      <c r="AI2967" s="492">
        <v>5.8000000000000003E-2</v>
      </c>
      <c r="AJ2967" s="485"/>
    </row>
    <row r="2968" spans="2:36">
      <c r="B2968" s="136" t="s">
        <v>474</v>
      </c>
      <c r="C2968" s="132" t="s">
        <v>1366</v>
      </c>
      <c r="D2968" s="132" t="s">
        <v>283</v>
      </c>
      <c r="E2968" s="508">
        <v>3.258</v>
      </c>
      <c r="F2968" s="508">
        <v>3.0990000000000002</v>
      </c>
      <c r="G2968" s="508">
        <v>3.0910000000000002</v>
      </c>
      <c r="H2968" s="508">
        <v>3.0779999999999998</v>
      </c>
      <c r="I2968" s="508">
        <v>3.06</v>
      </c>
      <c r="J2968" s="508">
        <v>3</v>
      </c>
      <c r="K2968" s="508">
        <v>2.9750000000000001</v>
      </c>
      <c r="L2968" s="508">
        <v>2.9470000000000001</v>
      </c>
      <c r="M2968" s="508">
        <v>2.9180000000000001</v>
      </c>
      <c r="N2968" s="508">
        <v>2.7770000000000001</v>
      </c>
      <c r="O2968" s="508">
        <v>2.7469999999999999</v>
      </c>
      <c r="P2968" s="508">
        <v>1.827</v>
      </c>
      <c r="Q2968" s="508">
        <v>1.7989999999999999</v>
      </c>
      <c r="R2968" s="508">
        <v>1.7729999999999999</v>
      </c>
      <c r="S2968" s="508">
        <v>1.7470000000000001</v>
      </c>
      <c r="T2968" s="508">
        <v>1.7230000000000001</v>
      </c>
      <c r="U2968" s="508">
        <v>0.77200000000000002</v>
      </c>
      <c r="V2968" s="508">
        <v>0.72499999999999998</v>
      </c>
      <c r="W2968" s="508">
        <v>0.66600000000000004</v>
      </c>
      <c r="X2968" s="508">
        <v>0.4</v>
      </c>
      <c r="Y2968" s="508">
        <v>0.314</v>
      </c>
      <c r="Z2968" s="508">
        <v>0.25600000000000001</v>
      </c>
      <c r="AA2968" s="508">
        <v>0.21099999999999999</v>
      </c>
      <c r="AB2968" s="508">
        <v>0.156</v>
      </c>
      <c r="AC2968" s="508">
        <v>0.14299999999999999</v>
      </c>
      <c r="AD2968" s="508">
        <v>0.10299999999999999</v>
      </c>
      <c r="AE2968" s="508">
        <v>0.10199999999999999</v>
      </c>
      <c r="AF2968" s="508">
        <v>5.8999999999999997E-2</v>
      </c>
      <c r="AG2968" s="508">
        <v>5.8000000000000003E-2</v>
      </c>
      <c r="AH2968" s="508">
        <v>5.8000000000000003E-2</v>
      </c>
      <c r="AI2968" s="492">
        <v>5.7000000000000002E-2</v>
      </c>
      <c r="AJ2968" s="485"/>
    </row>
    <row r="2969" spans="2:36">
      <c r="B2969" s="136" t="s">
        <v>475</v>
      </c>
      <c r="C2969" s="132" t="s">
        <v>1366</v>
      </c>
      <c r="D2969" s="132" t="s">
        <v>283</v>
      </c>
      <c r="E2969" s="508">
        <v>3.3359999999999999</v>
      </c>
      <c r="F2969" s="508">
        <v>3.17</v>
      </c>
      <c r="G2969" s="508">
        <v>3.1619999999999999</v>
      </c>
      <c r="H2969" s="508">
        <v>3.1480000000000001</v>
      </c>
      <c r="I2969" s="508">
        <v>3.1309999999999998</v>
      </c>
      <c r="J2969" s="508">
        <v>3.0640000000000001</v>
      </c>
      <c r="K2969" s="508">
        <v>3.0379999999999998</v>
      </c>
      <c r="L2969" s="508">
        <v>3.01</v>
      </c>
      <c r="M2969" s="508">
        <v>2.9809999999999999</v>
      </c>
      <c r="N2969" s="508">
        <v>2.839</v>
      </c>
      <c r="O2969" s="508">
        <v>2.8079999999999998</v>
      </c>
      <c r="P2969" s="508">
        <v>1.865</v>
      </c>
      <c r="Q2969" s="508">
        <v>1.837</v>
      </c>
      <c r="R2969" s="508">
        <v>1.81</v>
      </c>
      <c r="S2969" s="508">
        <v>1.7849999999999999</v>
      </c>
      <c r="T2969" s="508">
        <v>1.7609999999999999</v>
      </c>
      <c r="U2969" s="508">
        <v>0.78700000000000003</v>
      </c>
      <c r="V2969" s="508">
        <v>0.73899999999999999</v>
      </c>
      <c r="W2969" s="508">
        <v>0.67900000000000005</v>
      </c>
      <c r="X2969" s="508">
        <v>0.40899999999999997</v>
      </c>
      <c r="Y2969" s="508">
        <v>0.32200000000000001</v>
      </c>
      <c r="Z2969" s="508">
        <v>0.26200000000000001</v>
      </c>
      <c r="AA2969" s="508">
        <v>0.216</v>
      </c>
      <c r="AB2969" s="508">
        <v>0.16</v>
      </c>
      <c r="AC2969" s="508">
        <v>0.14699999999999999</v>
      </c>
      <c r="AD2969" s="508">
        <v>0.106</v>
      </c>
      <c r="AE2969" s="508">
        <v>0.105</v>
      </c>
      <c r="AF2969" s="508">
        <v>0.06</v>
      </c>
      <c r="AG2969" s="508">
        <v>0.06</v>
      </c>
      <c r="AH2969" s="508">
        <v>5.8999999999999997E-2</v>
      </c>
      <c r="AI2969" s="492">
        <v>5.8999999999999997E-2</v>
      </c>
      <c r="AJ2969" s="485"/>
    </row>
    <row r="2970" spans="2:36">
      <c r="B2970" s="136" t="s">
        <v>476</v>
      </c>
      <c r="C2970" s="132" t="s">
        <v>1366</v>
      </c>
      <c r="D2970" s="132" t="s">
        <v>283</v>
      </c>
      <c r="E2970" s="508">
        <v>3.331</v>
      </c>
      <c r="F2970" s="508">
        <v>3.1659999999999999</v>
      </c>
      <c r="G2970" s="508">
        <v>3.1579999999999999</v>
      </c>
      <c r="H2970" s="508">
        <v>3.145</v>
      </c>
      <c r="I2970" s="508">
        <v>3.1280000000000001</v>
      </c>
      <c r="J2970" s="508">
        <v>3.073</v>
      </c>
      <c r="K2970" s="508">
        <v>3.0470000000000002</v>
      </c>
      <c r="L2970" s="508">
        <v>3.02</v>
      </c>
      <c r="M2970" s="508">
        <v>2.992</v>
      </c>
      <c r="N2970" s="508">
        <v>2.84</v>
      </c>
      <c r="O2970" s="508">
        <v>2.8109999999999999</v>
      </c>
      <c r="P2970" s="508">
        <v>1.86</v>
      </c>
      <c r="Q2970" s="508">
        <v>1.833</v>
      </c>
      <c r="R2970" s="508">
        <v>1.8069999999999999</v>
      </c>
      <c r="S2970" s="508">
        <v>1.782</v>
      </c>
      <c r="T2970" s="508">
        <v>1.758</v>
      </c>
      <c r="U2970" s="508">
        <v>0.78300000000000003</v>
      </c>
      <c r="V2970" s="508">
        <v>0.73599999999999999</v>
      </c>
      <c r="W2970" s="508">
        <v>0.67600000000000005</v>
      </c>
      <c r="X2970" s="508">
        <v>0.40699999999999997</v>
      </c>
      <c r="Y2970" s="508">
        <v>0.32</v>
      </c>
      <c r="Z2970" s="508">
        <v>0.26100000000000001</v>
      </c>
      <c r="AA2970" s="508">
        <v>0.215</v>
      </c>
      <c r="AB2970" s="508">
        <v>0.159</v>
      </c>
      <c r="AC2970" s="508">
        <v>0.14599999999999999</v>
      </c>
      <c r="AD2970" s="508">
        <v>0.105</v>
      </c>
      <c r="AE2970" s="508">
        <v>0.104</v>
      </c>
      <c r="AF2970" s="508">
        <v>0.06</v>
      </c>
      <c r="AG2970" s="508">
        <v>5.8999999999999997E-2</v>
      </c>
      <c r="AH2970" s="508">
        <v>5.8999999999999997E-2</v>
      </c>
      <c r="AI2970" s="492">
        <v>5.8999999999999997E-2</v>
      </c>
      <c r="AJ2970" s="485"/>
    </row>
    <row r="2971" spans="2:36">
      <c r="B2971" s="136" t="s">
        <v>478</v>
      </c>
      <c r="C2971" s="132" t="s">
        <v>1366</v>
      </c>
      <c r="D2971" s="132" t="s">
        <v>283</v>
      </c>
      <c r="E2971" s="508">
        <v>3.3319999999999999</v>
      </c>
      <c r="F2971" s="508">
        <v>3.1669999999999998</v>
      </c>
      <c r="G2971" s="508">
        <v>3.1589999999999998</v>
      </c>
      <c r="H2971" s="508">
        <v>3.1459999999999999</v>
      </c>
      <c r="I2971" s="508">
        <v>3.129</v>
      </c>
      <c r="J2971" s="508">
        <v>3.0840000000000001</v>
      </c>
      <c r="K2971" s="508">
        <v>3.0590000000000002</v>
      </c>
      <c r="L2971" s="508">
        <v>3.0329999999999999</v>
      </c>
      <c r="M2971" s="508">
        <v>3.0049999999999999</v>
      </c>
      <c r="N2971" s="508">
        <v>2.8450000000000002</v>
      </c>
      <c r="O2971" s="508">
        <v>2.8149999999999999</v>
      </c>
      <c r="P2971" s="508">
        <v>1.857</v>
      </c>
      <c r="Q2971" s="508">
        <v>1.83</v>
      </c>
      <c r="R2971" s="508">
        <v>1.8049999999999999</v>
      </c>
      <c r="S2971" s="508">
        <v>1.7809999999999999</v>
      </c>
      <c r="T2971" s="508">
        <v>1.758</v>
      </c>
      <c r="U2971" s="508">
        <v>0.78</v>
      </c>
      <c r="V2971" s="508">
        <v>0.73299999999999998</v>
      </c>
      <c r="W2971" s="508">
        <v>0.67400000000000004</v>
      </c>
      <c r="X2971" s="508">
        <v>0.40600000000000003</v>
      </c>
      <c r="Y2971" s="508">
        <v>0.31900000000000001</v>
      </c>
      <c r="Z2971" s="508">
        <v>0.26</v>
      </c>
      <c r="AA2971" s="508">
        <v>0.214</v>
      </c>
      <c r="AB2971" s="508">
        <v>0.158</v>
      </c>
      <c r="AC2971" s="508">
        <v>0.14599999999999999</v>
      </c>
      <c r="AD2971" s="508">
        <v>0.105</v>
      </c>
      <c r="AE2971" s="508">
        <v>0.104</v>
      </c>
      <c r="AF2971" s="508">
        <v>0.06</v>
      </c>
      <c r="AG2971" s="508">
        <v>5.8999999999999997E-2</v>
      </c>
      <c r="AH2971" s="508">
        <v>5.8999999999999997E-2</v>
      </c>
      <c r="AI2971" s="492">
        <v>5.8999999999999997E-2</v>
      </c>
      <c r="AJ2971" s="485"/>
    </row>
    <row r="2972" spans="2:36">
      <c r="B2972" s="136" t="s">
        <v>479</v>
      </c>
      <c r="C2972" s="132" t="s">
        <v>1366</v>
      </c>
      <c r="D2972" s="132" t="s">
        <v>283</v>
      </c>
      <c r="E2972" s="508">
        <v>3.2250000000000001</v>
      </c>
      <c r="F2972" s="508">
        <v>3.073</v>
      </c>
      <c r="G2972" s="508">
        <v>3.0649999999999999</v>
      </c>
      <c r="H2972" s="508">
        <v>3.052</v>
      </c>
      <c r="I2972" s="508">
        <v>3.0339999999999998</v>
      </c>
      <c r="J2972" s="508">
        <v>2.976</v>
      </c>
      <c r="K2972" s="508">
        <v>2.95</v>
      </c>
      <c r="L2972" s="508">
        <v>2.9220000000000002</v>
      </c>
      <c r="M2972" s="508">
        <v>2.8940000000000001</v>
      </c>
      <c r="N2972" s="508">
        <v>2.754</v>
      </c>
      <c r="O2972" s="508">
        <v>2.7240000000000002</v>
      </c>
      <c r="P2972" s="508">
        <v>1.8149999999999999</v>
      </c>
      <c r="Q2972" s="508">
        <v>1.788</v>
      </c>
      <c r="R2972" s="508">
        <v>1.7609999999999999</v>
      </c>
      <c r="S2972" s="508">
        <v>1.736</v>
      </c>
      <c r="T2972" s="508">
        <v>1.712</v>
      </c>
      <c r="U2972" s="508">
        <v>0.76700000000000002</v>
      </c>
      <c r="V2972" s="508">
        <v>0.72</v>
      </c>
      <c r="W2972" s="508">
        <v>0.66200000000000003</v>
      </c>
      <c r="X2972" s="508">
        <v>0.39800000000000002</v>
      </c>
      <c r="Y2972" s="508">
        <v>0.313</v>
      </c>
      <c r="Z2972" s="508">
        <v>0.255</v>
      </c>
      <c r="AA2972" s="508">
        <v>0.21</v>
      </c>
      <c r="AB2972" s="508">
        <v>0.156</v>
      </c>
      <c r="AC2972" s="508">
        <v>0.14299999999999999</v>
      </c>
      <c r="AD2972" s="508">
        <v>0.10299999999999999</v>
      </c>
      <c r="AE2972" s="508">
        <v>0.10199999999999999</v>
      </c>
      <c r="AF2972" s="508">
        <v>5.8000000000000003E-2</v>
      </c>
      <c r="AG2972" s="508">
        <v>5.8000000000000003E-2</v>
      </c>
      <c r="AH2972" s="508">
        <v>5.8000000000000003E-2</v>
      </c>
      <c r="AI2972" s="492">
        <v>5.7000000000000002E-2</v>
      </c>
      <c r="AJ2972" s="485"/>
    </row>
    <row r="2973" spans="2:36">
      <c r="B2973" s="136" t="s">
        <v>480</v>
      </c>
      <c r="C2973" s="132" t="s">
        <v>1366</v>
      </c>
      <c r="D2973" s="132" t="s">
        <v>283</v>
      </c>
      <c r="E2973" s="508">
        <v>3.411</v>
      </c>
      <c r="F2973" s="508">
        <v>3.2469999999999999</v>
      </c>
      <c r="G2973" s="508">
        <v>3.2389999999999999</v>
      </c>
      <c r="H2973" s="508">
        <v>3.2250000000000001</v>
      </c>
      <c r="I2973" s="508">
        <v>3.2069999999999999</v>
      </c>
      <c r="J2973" s="508">
        <v>3.125</v>
      </c>
      <c r="K2973" s="508">
        <v>3.0979999999999999</v>
      </c>
      <c r="L2973" s="508">
        <v>3.07</v>
      </c>
      <c r="M2973" s="508">
        <v>3.04</v>
      </c>
      <c r="N2973" s="508">
        <v>2.9009999999999998</v>
      </c>
      <c r="O2973" s="508">
        <v>2.87</v>
      </c>
      <c r="P2973" s="508">
        <v>1.913</v>
      </c>
      <c r="Q2973" s="508">
        <v>1.885</v>
      </c>
      <c r="R2973" s="508">
        <v>1.857</v>
      </c>
      <c r="S2973" s="508">
        <v>1.831</v>
      </c>
      <c r="T2973" s="508">
        <v>1.806</v>
      </c>
      <c r="U2973" s="508">
        <v>0.80500000000000005</v>
      </c>
      <c r="V2973" s="508">
        <v>0.75700000000000001</v>
      </c>
      <c r="W2973" s="508">
        <v>0.69599999999999995</v>
      </c>
      <c r="X2973" s="508">
        <v>0.42099999999999999</v>
      </c>
      <c r="Y2973" s="508">
        <v>0.33300000000000002</v>
      </c>
      <c r="Z2973" s="508">
        <v>0.27200000000000002</v>
      </c>
      <c r="AA2973" s="508">
        <v>0.22500000000000001</v>
      </c>
      <c r="AB2973" s="508">
        <v>0.16700000000000001</v>
      </c>
      <c r="AC2973" s="508">
        <v>0.154</v>
      </c>
      <c r="AD2973" s="508">
        <v>0.111</v>
      </c>
      <c r="AE2973" s="508">
        <v>0.11</v>
      </c>
      <c r="AF2973" s="508">
        <v>6.3E-2</v>
      </c>
      <c r="AG2973" s="508">
        <v>6.3E-2</v>
      </c>
      <c r="AH2973" s="508">
        <v>6.2E-2</v>
      </c>
      <c r="AI2973" s="492">
        <v>6.2E-2</v>
      </c>
      <c r="AJ2973" s="485"/>
    </row>
    <row r="2974" spans="2:36">
      <c r="B2974" s="136" t="s">
        <v>481</v>
      </c>
      <c r="C2974" s="132" t="s">
        <v>1366</v>
      </c>
      <c r="D2974" s="132" t="s">
        <v>283</v>
      </c>
      <c r="E2974" s="508">
        <v>3.2610000000000001</v>
      </c>
      <c r="F2974" s="508">
        <v>3.105</v>
      </c>
      <c r="G2974" s="508">
        <v>3.097</v>
      </c>
      <c r="H2974" s="508">
        <v>3.0840000000000001</v>
      </c>
      <c r="I2974" s="508">
        <v>3.0659999999999998</v>
      </c>
      <c r="J2974" s="508">
        <v>3.0110000000000001</v>
      </c>
      <c r="K2974" s="508">
        <v>2.9849999999999999</v>
      </c>
      <c r="L2974" s="508">
        <v>2.9580000000000002</v>
      </c>
      <c r="M2974" s="508">
        <v>2.9289999999999998</v>
      </c>
      <c r="N2974" s="508">
        <v>2.7839999999999998</v>
      </c>
      <c r="O2974" s="508">
        <v>2.754</v>
      </c>
      <c r="P2974" s="508">
        <v>1.83</v>
      </c>
      <c r="Q2974" s="508">
        <v>1.802</v>
      </c>
      <c r="R2974" s="508">
        <v>1.776</v>
      </c>
      <c r="S2974" s="508">
        <v>1.7509999999999999</v>
      </c>
      <c r="T2974" s="508">
        <v>1.7270000000000001</v>
      </c>
      <c r="U2974" s="508">
        <v>0.77200000000000002</v>
      </c>
      <c r="V2974" s="508">
        <v>0.72499999999999998</v>
      </c>
      <c r="W2974" s="508">
        <v>0.66600000000000004</v>
      </c>
      <c r="X2974" s="508">
        <v>0.40100000000000002</v>
      </c>
      <c r="Y2974" s="508">
        <v>0.315</v>
      </c>
      <c r="Z2974" s="508">
        <v>0.25700000000000001</v>
      </c>
      <c r="AA2974" s="508">
        <v>0.21199999999999999</v>
      </c>
      <c r="AB2974" s="508">
        <v>0.157</v>
      </c>
      <c r="AC2974" s="508">
        <v>0.14399999999999999</v>
      </c>
      <c r="AD2974" s="508">
        <v>0.104</v>
      </c>
      <c r="AE2974" s="508">
        <v>0.10299999999999999</v>
      </c>
      <c r="AF2974" s="508">
        <v>5.8999999999999997E-2</v>
      </c>
      <c r="AG2974" s="508">
        <v>5.8000000000000003E-2</v>
      </c>
      <c r="AH2974" s="508">
        <v>5.8000000000000003E-2</v>
      </c>
      <c r="AI2974" s="492">
        <v>5.8000000000000003E-2</v>
      </c>
      <c r="AJ2974" s="485"/>
    </row>
    <row r="2975" spans="2:36">
      <c r="B2975" s="136" t="s">
        <v>482</v>
      </c>
      <c r="C2975" s="132" t="s">
        <v>1366</v>
      </c>
      <c r="D2975" s="132" t="s">
        <v>283</v>
      </c>
      <c r="E2975" s="508">
        <v>3.278</v>
      </c>
      <c r="F2975" s="508">
        <v>3.1219999999999999</v>
      </c>
      <c r="G2975" s="508">
        <v>3.1080000000000001</v>
      </c>
      <c r="H2975" s="508">
        <v>3.1</v>
      </c>
      <c r="I2975" s="508">
        <v>3.0779999999999998</v>
      </c>
      <c r="J2975" s="508">
        <v>3.0310000000000001</v>
      </c>
      <c r="K2975" s="508">
        <v>3.0059999999999998</v>
      </c>
      <c r="L2975" s="508">
        <v>2.9809999999999999</v>
      </c>
      <c r="M2975" s="508">
        <v>2.9540000000000002</v>
      </c>
      <c r="N2975" s="508">
        <v>2.8050000000000002</v>
      </c>
      <c r="O2975" s="508">
        <v>2.7770000000000001</v>
      </c>
      <c r="P2975" s="508">
        <v>1.8440000000000001</v>
      </c>
      <c r="Q2975" s="508">
        <v>1.8169999999999999</v>
      </c>
      <c r="R2975" s="508">
        <v>1.7929999999999999</v>
      </c>
      <c r="S2975" s="508">
        <v>1.768</v>
      </c>
      <c r="T2975" s="508">
        <v>1.744</v>
      </c>
      <c r="U2975" s="508">
        <v>0.77600000000000002</v>
      </c>
      <c r="V2975" s="508">
        <v>0.72899999999999998</v>
      </c>
      <c r="W2975" s="508">
        <v>0.67100000000000004</v>
      </c>
      <c r="X2975" s="508">
        <v>0.40400000000000003</v>
      </c>
      <c r="Y2975" s="508">
        <v>0.318</v>
      </c>
      <c r="Z2975" s="508">
        <v>0.25900000000000001</v>
      </c>
      <c r="AA2975" s="508">
        <v>0.214</v>
      </c>
      <c r="AB2975" s="508">
        <v>0.158</v>
      </c>
      <c r="AC2975" s="508">
        <v>0.14599999999999999</v>
      </c>
      <c r="AD2975" s="508">
        <v>0.105</v>
      </c>
      <c r="AE2975" s="508">
        <v>0.104</v>
      </c>
      <c r="AF2975" s="508">
        <v>0.06</v>
      </c>
      <c r="AG2975" s="508">
        <v>5.8999999999999997E-2</v>
      </c>
      <c r="AH2975" s="508">
        <v>5.8999999999999997E-2</v>
      </c>
      <c r="AI2975" s="492">
        <v>5.8999999999999997E-2</v>
      </c>
      <c r="AJ2975" s="485"/>
    </row>
    <row r="2976" spans="2:36">
      <c r="B2976" s="136" t="s">
        <v>483</v>
      </c>
      <c r="C2976" s="132" t="s">
        <v>1366</v>
      </c>
      <c r="D2976" s="132" t="s">
        <v>283</v>
      </c>
      <c r="E2976" s="508">
        <v>3.3719999999999999</v>
      </c>
      <c r="F2976" s="508">
        <v>3.2029999999999998</v>
      </c>
      <c r="G2976" s="508">
        <v>3.1949999999999998</v>
      </c>
      <c r="H2976" s="508">
        <v>3.1819999999999999</v>
      </c>
      <c r="I2976" s="508">
        <v>3.165</v>
      </c>
      <c r="J2976" s="508">
        <v>3.1160000000000001</v>
      </c>
      <c r="K2976" s="508">
        <v>3.0910000000000002</v>
      </c>
      <c r="L2976" s="508">
        <v>3.0649999999999999</v>
      </c>
      <c r="M2976" s="508">
        <v>3.0369999999999999</v>
      </c>
      <c r="N2976" s="508">
        <v>2.8759999999999999</v>
      </c>
      <c r="O2976" s="508">
        <v>2.847</v>
      </c>
      <c r="P2976" s="508">
        <v>1.877</v>
      </c>
      <c r="Q2976" s="508">
        <v>1.85</v>
      </c>
      <c r="R2976" s="508">
        <v>1.8240000000000001</v>
      </c>
      <c r="S2976" s="508">
        <v>1.8</v>
      </c>
      <c r="T2976" s="508">
        <v>1.776</v>
      </c>
      <c r="U2976" s="508">
        <v>0.78900000000000003</v>
      </c>
      <c r="V2976" s="508">
        <v>0.74</v>
      </c>
      <c r="W2976" s="508">
        <v>0.68100000000000005</v>
      </c>
      <c r="X2976" s="508">
        <v>0.41</v>
      </c>
      <c r="Y2976" s="508">
        <v>0.32200000000000001</v>
      </c>
      <c r="Z2976" s="508">
        <v>0.26300000000000001</v>
      </c>
      <c r="AA2976" s="508">
        <v>0.216</v>
      </c>
      <c r="AB2976" s="508">
        <v>0.16</v>
      </c>
      <c r="AC2976" s="508">
        <v>0.14699999999999999</v>
      </c>
      <c r="AD2976" s="508">
        <v>0.106</v>
      </c>
      <c r="AE2976" s="508">
        <v>0.105</v>
      </c>
      <c r="AF2976" s="508">
        <v>0.06</v>
      </c>
      <c r="AG2976" s="508">
        <v>0.06</v>
      </c>
      <c r="AH2976" s="508">
        <v>5.8999999999999997E-2</v>
      </c>
      <c r="AI2976" s="492">
        <v>5.8999999999999997E-2</v>
      </c>
      <c r="AJ2976" s="485"/>
    </row>
    <row r="2977" spans="2:36">
      <c r="B2977" s="136" t="s">
        <v>484</v>
      </c>
      <c r="C2977" s="132" t="s">
        <v>1366</v>
      </c>
      <c r="D2977" s="132" t="s">
        <v>283</v>
      </c>
      <c r="E2977" s="508">
        <v>3.4140000000000001</v>
      </c>
      <c r="F2977" s="508">
        <v>3.2440000000000002</v>
      </c>
      <c r="G2977" s="508">
        <v>3.2349999999999999</v>
      </c>
      <c r="H2977" s="508">
        <v>3.222</v>
      </c>
      <c r="I2977" s="508">
        <v>3.2029999999999998</v>
      </c>
      <c r="J2977" s="508">
        <v>3.1190000000000002</v>
      </c>
      <c r="K2977" s="508">
        <v>3.0920000000000001</v>
      </c>
      <c r="L2977" s="508">
        <v>3.0630000000000002</v>
      </c>
      <c r="M2977" s="508">
        <v>3.0329999999999999</v>
      </c>
      <c r="N2977" s="508">
        <v>2.8980000000000001</v>
      </c>
      <c r="O2977" s="508">
        <v>2.8660000000000001</v>
      </c>
      <c r="P2977" s="508">
        <v>1.909</v>
      </c>
      <c r="Q2977" s="508">
        <v>1.881</v>
      </c>
      <c r="R2977" s="508">
        <v>1.853</v>
      </c>
      <c r="S2977" s="508">
        <v>1.827</v>
      </c>
      <c r="T2977" s="508">
        <v>1.802</v>
      </c>
      <c r="U2977" s="508">
        <v>0.80500000000000005</v>
      </c>
      <c r="V2977" s="508">
        <v>0.75700000000000001</v>
      </c>
      <c r="W2977" s="508">
        <v>0.69599999999999995</v>
      </c>
      <c r="X2977" s="508">
        <v>0.42</v>
      </c>
      <c r="Y2977" s="508">
        <v>0.33100000000000002</v>
      </c>
      <c r="Z2977" s="508">
        <v>0.27100000000000002</v>
      </c>
      <c r="AA2977" s="508">
        <v>0.224</v>
      </c>
      <c r="AB2977" s="508">
        <v>0.16600000000000001</v>
      </c>
      <c r="AC2977" s="508">
        <v>0.152</v>
      </c>
      <c r="AD2977" s="508">
        <v>0.11</v>
      </c>
      <c r="AE2977" s="508">
        <v>0.109</v>
      </c>
      <c r="AF2977" s="508">
        <v>6.3E-2</v>
      </c>
      <c r="AG2977" s="508">
        <v>6.2E-2</v>
      </c>
      <c r="AH2977" s="508">
        <v>6.2E-2</v>
      </c>
      <c r="AI2977" s="492">
        <v>6.0999999999999999E-2</v>
      </c>
      <c r="AJ2977" s="485"/>
    </row>
    <row r="2978" spans="2:36">
      <c r="B2978" s="136" t="s">
        <v>486</v>
      </c>
      <c r="C2978" s="132" t="s">
        <v>1366</v>
      </c>
      <c r="D2978" s="132" t="s">
        <v>283</v>
      </c>
      <c r="E2978" s="508">
        <v>3.2869999999999999</v>
      </c>
      <c r="F2978" s="508">
        <v>3.1280000000000001</v>
      </c>
      <c r="G2978" s="508">
        <v>3.12</v>
      </c>
      <c r="H2978" s="508">
        <v>3.1070000000000002</v>
      </c>
      <c r="I2978" s="508">
        <v>3.09</v>
      </c>
      <c r="J2978" s="508">
        <v>3.0350000000000001</v>
      </c>
      <c r="K2978" s="508">
        <v>3.0089999999999999</v>
      </c>
      <c r="L2978" s="508">
        <v>2.9820000000000002</v>
      </c>
      <c r="M2978" s="508">
        <v>2.9540000000000002</v>
      </c>
      <c r="N2978" s="508">
        <v>2.8050000000000002</v>
      </c>
      <c r="O2978" s="508">
        <v>2.7749999999999999</v>
      </c>
      <c r="P2978" s="508">
        <v>1.841</v>
      </c>
      <c r="Q2978" s="508">
        <v>1.8140000000000001</v>
      </c>
      <c r="R2978" s="508">
        <v>1.788</v>
      </c>
      <c r="S2978" s="508">
        <v>1.7629999999999999</v>
      </c>
      <c r="T2978" s="508">
        <v>1.7390000000000001</v>
      </c>
      <c r="U2978" s="508">
        <v>0.77600000000000002</v>
      </c>
      <c r="V2978" s="508">
        <v>0.72899999999999998</v>
      </c>
      <c r="W2978" s="508">
        <v>0.67</v>
      </c>
      <c r="X2978" s="508">
        <v>0.40300000000000002</v>
      </c>
      <c r="Y2978" s="508">
        <v>0.317</v>
      </c>
      <c r="Z2978" s="508">
        <v>0.25900000000000001</v>
      </c>
      <c r="AA2978" s="508">
        <v>0.21299999999999999</v>
      </c>
      <c r="AB2978" s="508">
        <v>0.158</v>
      </c>
      <c r="AC2978" s="508">
        <v>0.14499999999999999</v>
      </c>
      <c r="AD2978" s="508">
        <v>0.105</v>
      </c>
      <c r="AE2978" s="508">
        <v>0.104</v>
      </c>
      <c r="AF2978" s="508">
        <v>5.8999999999999997E-2</v>
      </c>
      <c r="AG2978" s="508">
        <v>5.8999999999999997E-2</v>
      </c>
      <c r="AH2978" s="508">
        <v>5.8999999999999997E-2</v>
      </c>
      <c r="AI2978" s="492">
        <v>5.8000000000000003E-2</v>
      </c>
      <c r="AJ2978" s="485"/>
    </row>
    <row r="2979" spans="2:36">
      <c r="B2979" s="136" t="s">
        <v>487</v>
      </c>
      <c r="C2979" s="132" t="s">
        <v>1366</v>
      </c>
      <c r="D2979" s="132" t="s">
        <v>283</v>
      </c>
      <c r="E2979" s="508">
        <v>3.3330000000000002</v>
      </c>
      <c r="F2979" s="508">
        <v>3.1720000000000002</v>
      </c>
      <c r="G2979" s="508">
        <v>3.1640000000000001</v>
      </c>
      <c r="H2979" s="508">
        <v>3.1509999999999998</v>
      </c>
      <c r="I2979" s="508">
        <v>3.133</v>
      </c>
      <c r="J2979" s="508">
        <v>3.08</v>
      </c>
      <c r="K2979" s="508">
        <v>3.0550000000000002</v>
      </c>
      <c r="L2979" s="508">
        <v>3.0270000000000001</v>
      </c>
      <c r="M2979" s="508">
        <v>2.9990000000000001</v>
      </c>
      <c r="N2979" s="508">
        <v>2.8439999999999999</v>
      </c>
      <c r="O2979" s="508">
        <v>2.8149999999999999</v>
      </c>
      <c r="P2979" s="508">
        <v>1.8640000000000001</v>
      </c>
      <c r="Q2979" s="508">
        <v>1.837</v>
      </c>
      <c r="R2979" s="508">
        <v>1.8109999999999999</v>
      </c>
      <c r="S2979" s="508">
        <v>1.786</v>
      </c>
      <c r="T2979" s="508">
        <v>1.762</v>
      </c>
      <c r="U2979" s="508">
        <v>0.78300000000000003</v>
      </c>
      <c r="V2979" s="508">
        <v>0.73599999999999999</v>
      </c>
      <c r="W2979" s="508">
        <v>0.67700000000000005</v>
      </c>
      <c r="X2979" s="508">
        <v>0.40799999999999997</v>
      </c>
      <c r="Y2979" s="508">
        <v>0.32200000000000001</v>
      </c>
      <c r="Z2979" s="508">
        <v>0.26300000000000001</v>
      </c>
      <c r="AA2979" s="508">
        <v>0.217</v>
      </c>
      <c r="AB2979" s="508">
        <v>0.16</v>
      </c>
      <c r="AC2979" s="508">
        <v>0.14799999999999999</v>
      </c>
      <c r="AD2979" s="508">
        <v>0.106</v>
      </c>
      <c r="AE2979" s="508">
        <v>0.106</v>
      </c>
      <c r="AF2979" s="508">
        <v>0.06</v>
      </c>
      <c r="AG2979" s="508">
        <v>0.06</v>
      </c>
      <c r="AH2979" s="508">
        <v>0.06</v>
      </c>
      <c r="AI2979" s="492">
        <v>5.8999999999999997E-2</v>
      </c>
      <c r="AJ2979" s="485"/>
    </row>
    <row r="2980" spans="2:36">
      <c r="B2980" s="136" t="s">
        <v>488</v>
      </c>
      <c r="C2980" s="132" t="s">
        <v>1366</v>
      </c>
      <c r="D2980" s="132" t="s">
        <v>283</v>
      </c>
      <c r="E2980" s="508">
        <v>3.327</v>
      </c>
      <c r="F2980" s="508">
        <v>3.1659999999999999</v>
      </c>
      <c r="G2980" s="508">
        <v>3.1579999999999999</v>
      </c>
      <c r="H2980" s="508">
        <v>3.145</v>
      </c>
      <c r="I2980" s="508">
        <v>3.1269999999999998</v>
      </c>
      <c r="J2980" s="508">
        <v>3.0539999999999998</v>
      </c>
      <c r="K2980" s="508">
        <v>3.028</v>
      </c>
      <c r="L2980" s="508">
        <v>3</v>
      </c>
      <c r="M2980" s="508">
        <v>2.9710000000000001</v>
      </c>
      <c r="N2980" s="508">
        <v>2.8319999999999999</v>
      </c>
      <c r="O2980" s="508">
        <v>2.8010000000000002</v>
      </c>
      <c r="P2980" s="508">
        <v>1.867</v>
      </c>
      <c r="Q2980" s="508">
        <v>1.839</v>
      </c>
      <c r="R2980" s="508">
        <v>1.8120000000000001</v>
      </c>
      <c r="S2980" s="508">
        <v>1.786</v>
      </c>
      <c r="T2980" s="508">
        <v>1.762</v>
      </c>
      <c r="U2980" s="508">
        <v>0.78700000000000003</v>
      </c>
      <c r="V2980" s="508">
        <v>0.74</v>
      </c>
      <c r="W2980" s="508">
        <v>0.68</v>
      </c>
      <c r="X2980" s="508">
        <v>0.41099999999999998</v>
      </c>
      <c r="Y2980" s="508">
        <v>0.32400000000000001</v>
      </c>
      <c r="Z2980" s="508">
        <v>0.26400000000000001</v>
      </c>
      <c r="AA2980" s="508">
        <v>0.219</v>
      </c>
      <c r="AB2980" s="508">
        <v>0.16200000000000001</v>
      </c>
      <c r="AC2980" s="508">
        <v>0.14899999999999999</v>
      </c>
      <c r="AD2980" s="508">
        <v>0.107</v>
      </c>
      <c r="AE2980" s="508">
        <v>0.107</v>
      </c>
      <c r="AF2980" s="508">
        <v>6.0999999999999999E-2</v>
      </c>
      <c r="AG2980" s="508">
        <v>6.0999999999999999E-2</v>
      </c>
      <c r="AH2980" s="508">
        <v>0.06</v>
      </c>
      <c r="AI2980" s="492">
        <v>0.06</v>
      </c>
      <c r="AJ2980" s="485"/>
    </row>
    <row r="2981" spans="2:36">
      <c r="B2981" s="136" t="s">
        <v>489</v>
      </c>
      <c r="C2981" s="132" t="s">
        <v>1366</v>
      </c>
      <c r="D2981" s="132" t="s">
        <v>283</v>
      </c>
      <c r="E2981" s="508">
        <v>3.379</v>
      </c>
      <c r="F2981" s="508">
        <v>3.2090000000000001</v>
      </c>
      <c r="G2981" s="508">
        <v>3.2010000000000001</v>
      </c>
      <c r="H2981" s="508">
        <v>3.1869999999999998</v>
      </c>
      <c r="I2981" s="508">
        <v>3.17</v>
      </c>
      <c r="J2981" s="508">
        <v>3.1</v>
      </c>
      <c r="K2981" s="508">
        <v>3.0750000000000002</v>
      </c>
      <c r="L2981" s="508">
        <v>3.0470000000000002</v>
      </c>
      <c r="M2981" s="508">
        <v>3.0179999999999998</v>
      </c>
      <c r="N2981" s="508">
        <v>2.8730000000000002</v>
      </c>
      <c r="O2981" s="508">
        <v>2.843</v>
      </c>
      <c r="P2981" s="508">
        <v>1.885</v>
      </c>
      <c r="Q2981" s="508">
        <v>1.8580000000000001</v>
      </c>
      <c r="R2981" s="508">
        <v>1.831</v>
      </c>
      <c r="S2981" s="508">
        <v>1.8049999999999999</v>
      </c>
      <c r="T2981" s="508">
        <v>1.7809999999999999</v>
      </c>
      <c r="U2981" s="508">
        <v>0.79500000000000004</v>
      </c>
      <c r="V2981" s="508">
        <v>0.747</v>
      </c>
      <c r="W2981" s="508">
        <v>0.68600000000000005</v>
      </c>
      <c r="X2981" s="508">
        <v>0.41399999999999998</v>
      </c>
      <c r="Y2981" s="508">
        <v>0.32600000000000001</v>
      </c>
      <c r="Z2981" s="508">
        <v>0.26600000000000001</v>
      </c>
      <c r="AA2981" s="508">
        <v>0.219</v>
      </c>
      <c r="AB2981" s="508">
        <v>0.16200000000000001</v>
      </c>
      <c r="AC2981" s="508">
        <v>0.14899999999999999</v>
      </c>
      <c r="AD2981" s="508">
        <v>0.108</v>
      </c>
      <c r="AE2981" s="508">
        <v>0.107</v>
      </c>
      <c r="AF2981" s="508">
        <v>6.0999999999999999E-2</v>
      </c>
      <c r="AG2981" s="508">
        <v>6.0999999999999999E-2</v>
      </c>
      <c r="AH2981" s="508">
        <v>0.06</v>
      </c>
      <c r="AI2981" s="492">
        <v>0.06</v>
      </c>
      <c r="AJ2981" s="485"/>
    </row>
    <row r="2982" spans="2:36">
      <c r="B2982" s="136" t="s">
        <v>490</v>
      </c>
      <c r="C2982" s="132" t="s">
        <v>1366</v>
      </c>
      <c r="D2982" s="132" t="s">
        <v>283</v>
      </c>
      <c r="E2982" s="508">
        <v>3.4489999999999998</v>
      </c>
      <c r="F2982" s="508">
        <v>3.2839999999999998</v>
      </c>
      <c r="G2982" s="508">
        <v>3.2759999999999998</v>
      </c>
      <c r="H2982" s="508">
        <v>3.262</v>
      </c>
      <c r="I2982" s="508">
        <v>3.2440000000000002</v>
      </c>
      <c r="J2982" s="508">
        <v>3.1629999999999998</v>
      </c>
      <c r="K2982" s="508">
        <v>3.137</v>
      </c>
      <c r="L2982" s="508">
        <v>3.1080000000000001</v>
      </c>
      <c r="M2982" s="508">
        <v>3.0790000000000002</v>
      </c>
      <c r="N2982" s="508">
        <v>2.9350000000000001</v>
      </c>
      <c r="O2982" s="508">
        <v>2.9039999999999999</v>
      </c>
      <c r="P2982" s="508">
        <v>1.9330000000000001</v>
      </c>
      <c r="Q2982" s="508">
        <v>1.9039999999999999</v>
      </c>
      <c r="R2982" s="508">
        <v>1.877</v>
      </c>
      <c r="S2982" s="508">
        <v>1.851</v>
      </c>
      <c r="T2982" s="508">
        <v>1.8260000000000001</v>
      </c>
      <c r="U2982" s="508">
        <v>0.81200000000000006</v>
      </c>
      <c r="V2982" s="508">
        <v>0.76300000000000001</v>
      </c>
      <c r="W2982" s="508">
        <v>0.70199999999999996</v>
      </c>
      <c r="X2982" s="508">
        <v>0.42499999999999999</v>
      </c>
      <c r="Y2982" s="508">
        <v>0.33600000000000002</v>
      </c>
      <c r="Z2982" s="508">
        <v>0.27500000000000002</v>
      </c>
      <c r="AA2982" s="508">
        <v>0.22800000000000001</v>
      </c>
      <c r="AB2982" s="508">
        <v>0.16900000000000001</v>
      </c>
      <c r="AC2982" s="508">
        <v>0.155</v>
      </c>
      <c r="AD2982" s="508">
        <v>0.112</v>
      </c>
      <c r="AE2982" s="508">
        <v>0.111</v>
      </c>
      <c r="AF2982" s="508">
        <v>6.4000000000000001E-2</v>
      </c>
      <c r="AG2982" s="508">
        <v>6.3E-2</v>
      </c>
      <c r="AH2982" s="508">
        <v>6.3E-2</v>
      </c>
      <c r="AI2982" s="492">
        <v>6.3E-2</v>
      </c>
      <c r="AJ2982" s="485"/>
    </row>
    <row r="2983" spans="2:36">
      <c r="B2983" s="136" t="s">
        <v>435</v>
      </c>
      <c r="C2983" s="132" t="s">
        <v>1367</v>
      </c>
      <c r="D2983" s="132" t="s">
        <v>283</v>
      </c>
      <c r="E2983" s="508">
        <v>3.1019999999999999</v>
      </c>
      <c r="F2983" s="508">
        <v>6.13</v>
      </c>
      <c r="G2983" s="508">
        <v>4.9589999999999996</v>
      </c>
      <c r="H2983" s="508">
        <v>5.2930000000000001</v>
      </c>
      <c r="I2983" s="508">
        <v>4.7919999999999998</v>
      </c>
      <c r="J2983" s="508">
        <v>3.9929999999999999</v>
      </c>
      <c r="K2983" s="508">
        <v>3.76</v>
      </c>
      <c r="L2983" s="508">
        <v>3.6680000000000001</v>
      </c>
      <c r="M2983" s="508">
        <v>3.7269999999999999</v>
      </c>
      <c r="N2983" s="508">
        <v>4.49</v>
      </c>
      <c r="O2983" s="508">
        <v>3.831</v>
      </c>
      <c r="P2983" s="508">
        <v>1.982</v>
      </c>
      <c r="Q2983" s="508">
        <v>2.1040000000000001</v>
      </c>
      <c r="R2983" s="508">
        <v>2.2229999999999999</v>
      </c>
      <c r="S2983" s="508">
        <v>2.169</v>
      </c>
      <c r="T2983" s="508">
        <v>1.897</v>
      </c>
      <c r="U2983" s="508">
        <v>1.2030000000000001</v>
      </c>
      <c r="V2983" s="508">
        <v>1.1890000000000001</v>
      </c>
      <c r="W2983" s="508">
        <v>1.2549999999999999</v>
      </c>
      <c r="X2983" s="508">
        <v>0.749</v>
      </c>
      <c r="Y2983" s="508">
        <v>0.52900000000000003</v>
      </c>
      <c r="Z2983" s="508">
        <v>0.36</v>
      </c>
      <c r="AA2983" s="508">
        <v>0.27900000000000003</v>
      </c>
      <c r="AB2983" s="508">
        <v>0.215</v>
      </c>
      <c r="AC2983" s="508">
        <v>0.13300000000000001</v>
      </c>
      <c r="AD2983" s="508">
        <v>0.12</v>
      </c>
      <c r="AE2983" s="508">
        <v>0.154</v>
      </c>
      <c r="AF2983" s="508">
        <v>8.5999999999999993E-2</v>
      </c>
      <c r="AG2983" s="508">
        <v>8.5999999999999993E-2</v>
      </c>
      <c r="AH2983" s="508">
        <v>8.6999999999999994E-2</v>
      </c>
      <c r="AI2983" s="492">
        <v>8.8999999999999996E-2</v>
      </c>
      <c r="AJ2983" s="485"/>
    </row>
    <row r="2984" spans="2:36">
      <c r="B2984" s="136" t="s">
        <v>436</v>
      </c>
      <c r="C2984" s="132" t="s">
        <v>1367</v>
      </c>
      <c r="D2984" s="132" t="s">
        <v>283</v>
      </c>
      <c r="E2984" s="508">
        <v>3.5329999999999999</v>
      </c>
      <c r="F2984" s="508">
        <v>6.782</v>
      </c>
      <c r="G2984" s="508">
        <v>5.4870000000000001</v>
      </c>
      <c r="H2984" s="508">
        <v>5.8570000000000002</v>
      </c>
      <c r="I2984" s="508">
        <v>5.3029999999999999</v>
      </c>
      <c r="J2984" s="508">
        <v>4.4119999999999999</v>
      </c>
      <c r="K2984" s="508">
        <v>4.1550000000000002</v>
      </c>
      <c r="L2984" s="508">
        <v>4.0549999999999997</v>
      </c>
      <c r="M2984" s="508">
        <v>4.1219999999999999</v>
      </c>
      <c r="N2984" s="508">
        <v>4.9649999999999999</v>
      </c>
      <c r="O2984" s="508">
        <v>4.24</v>
      </c>
      <c r="P2984" s="508">
        <v>2.0390000000000001</v>
      </c>
      <c r="Q2984" s="508">
        <v>2.1669999999999998</v>
      </c>
      <c r="R2984" s="508">
        <v>2.2879999999999998</v>
      </c>
      <c r="S2984" s="508">
        <v>2.2370000000000001</v>
      </c>
      <c r="T2984" s="508">
        <v>1.956</v>
      </c>
      <c r="U2984" s="508">
        <v>1.3109999999999999</v>
      </c>
      <c r="V2984" s="508">
        <v>1.2969999999999999</v>
      </c>
      <c r="W2984" s="508">
        <v>1.367</v>
      </c>
      <c r="X2984" s="508">
        <v>0.83</v>
      </c>
      <c r="Y2984" s="508">
        <v>0.59399999999999997</v>
      </c>
      <c r="Z2984" s="508">
        <v>0.41</v>
      </c>
      <c r="AA2984" s="508">
        <v>0.32100000000000001</v>
      </c>
      <c r="AB2984" s="508">
        <v>0.252</v>
      </c>
      <c r="AC2984" s="508">
        <v>0.157</v>
      </c>
      <c r="AD2984" s="508">
        <v>0.14799999999999999</v>
      </c>
      <c r="AE2984" s="508">
        <v>0.189</v>
      </c>
      <c r="AF2984" s="508">
        <v>0.11600000000000001</v>
      </c>
      <c r="AG2984" s="508">
        <v>0.11600000000000001</v>
      </c>
      <c r="AH2984" s="508">
        <v>0.11799999999999999</v>
      </c>
      <c r="AI2984" s="492">
        <v>0.121</v>
      </c>
      <c r="AJ2984" s="485"/>
    </row>
    <row r="2985" spans="2:36">
      <c r="B2985" s="136" t="s">
        <v>437</v>
      </c>
      <c r="C2985" s="132" t="s">
        <v>1367</v>
      </c>
      <c r="D2985" s="132" t="s">
        <v>283</v>
      </c>
      <c r="E2985" s="508">
        <v>2.758</v>
      </c>
      <c r="F2985" s="508">
        <v>5.5460000000000003</v>
      </c>
      <c r="G2985" s="508">
        <v>4.492</v>
      </c>
      <c r="H2985" s="508">
        <v>4.8109999999999999</v>
      </c>
      <c r="I2985" s="508">
        <v>4.3810000000000002</v>
      </c>
      <c r="J2985" s="508">
        <v>3.6509999999999998</v>
      </c>
      <c r="K2985" s="508">
        <v>3.4409999999999998</v>
      </c>
      <c r="L2985" s="508">
        <v>3.3660000000000001</v>
      </c>
      <c r="M2985" s="508">
        <v>3.4279999999999999</v>
      </c>
      <c r="N2985" s="508">
        <v>4.1500000000000004</v>
      </c>
      <c r="O2985" s="508">
        <v>3.5470000000000002</v>
      </c>
      <c r="P2985" s="508">
        <v>1.857</v>
      </c>
      <c r="Q2985" s="508">
        <v>1.9690000000000001</v>
      </c>
      <c r="R2985" s="508">
        <v>2.0830000000000002</v>
      </c>
      <c r="S2985" s="508">
        <v>2.0409999999999999</v>
      </c>
      <c r="T2985" s="508">
        <v>1.784</v>
      </c>
      <c r="U2985" s="508">
        <v>0.97699999999999998</v>
      </c>
      <c r="V2985" s="508">
        <v>0.96599999999999997</v>
      </c>
      <c r="W2985" s="508">
        <v>1.0189999999999999</v>
      </c>
      <c r="X2985" s="508">
        <v>0.61199999999999999</v>
      </c>
      <c r="Y2985" s="508">
        <v>0.43099999999999999</v>
      </c>
      <c r="Z2985" s="508">
        <v>0.29499999999999998</v>
      </c>
      <c r="AA2985" s="508">
        <v>0.22800000000000001</v>
      </c>
      <c r="AB2985" s="508">
        <v>0.17399999999999999</v>
      </c>
      <c r="AC2985" s="508">
        <v>0.106</v>
      </c>
      <c r="AD2985" s="508">
        <v>9.9000000000000005E-2</v>
      </c>
      <c r="AE2985" s="508">
        <v>0.127</v>
      </c>
      <c r="AF2985" s="508">
        <v>7.3999999999999996E-2</v>
      </c>
      <c r="AG2985" s="508">
        <v>7.3999999999999996E-2</v>
      </c>
      <c r="AH2985" s="508">
        <v>7.4999999999999997E-2</v>
      </c>
      <c r="AI2985" s="492">
        <v>7.6999999999999999E-2</v>
      </c>
      <c r="AJ2985" s="485"/>
    </row>
    <row r="2986" spans="2:36">
      <c r="B2986" s="136" t="s">
        <v>438</v>
      </c>
      <c r="C2986" s="132" t="s">
        <v>1367</v>
      </c>
      <c r="D2986" s="132" t="s">
        <v>283</v>
      </c>
      <c r="E2986" s="508">
        <v>3.194</v>
      </c>
      <c r="F2986" s="508">
        <v>6.2629999999999999</v>
      </c>
      <c r="G2986" s="508">
        <v>5.0670000000000002</v>
      </c>
      <c r="H2986" s="508">
        <v>5.4080000000000004</v>
      </c>
      <c r="I2986" s="508">
        <v>4.8959999999999999</v>
      </c>
      <c r="J2986" s="508">
        <v>4.07</v>
      </c>
      <c r="K2986" s="508">
        <v>3.8330000000000002</v>
      </c>
      <c r="L2986" s="508">
        <v>3.74</v>
      </c>
      <c r="M2986" s="508">
        <v>3.8</v>
      </c>
      <c r="N2986" s="508">
        <v>4.5919999999999996</v>
      </c>
      <c r="O2986" s="508">
        <v>3.919</v>
      </c>
      <c r="P2986" s="508">
        <v>2.0179999999999998</v>
      </c>
      <c r="Q2986" s="508">
        <v>2.1459999999999999</v>
      </c>
      <c r="R2986" s="508">
        <v>2.2679999999999998</v>
      </c>
      <c r="S2986" s="508">
        <v>2.2130000000000001</v>
      </c>
      <c r="T2986" s="508">
        <v>1.9359999999999999</v>
      </c>
      <c r="U2986" s="508">
        <v>1.284</v>
      </c>
      <c r="V2986" s="508">
        <v>1.2689999999999999</v>
      </c>
      <c r="W2986" s="508">
        <v>1.3380000000000001</v>
      </c>
      <c r="X2986" s="508">
        <v>0.79900000000000004</v>
      </c>
      <c r="Y2986" s="508">
        <v>0.56599999999999995</v>
      </c>
      <c r="Z2986" s="508">
        <v>0.38600000000000001</v>
      </c>
      <c r="AA2986" s="508">
        <v>0.30199999999999999</v>
      </c>
      <c r="AB2986" s="508">
        <v>0.23400000000000001</v>
      </c>
      <c r="AC2986" s="508">
        <v>0.14599999999999999</v>
      </c>
      <c r="AD2986" s="508">
        <v>0.13200000000000001</v>
      </c>
      <c r="AE2986" s="508">
        <v>0.17</v>
      </c>
      <c r="AF2986" s="508">
        <v>9.5000000000000001E-2</v>
      </c>
      <c r="AG2986" s="508">
        <v>9.5000000000000001E-2</v>
      </c>
      <c r="AH2986" s="508">
        <v>9.6000000000000002E-2</v>
      </c>
      <c r="AI2986" s="492">
        <v>9.9000000000000005E-2</v>
      </c>
      <c r="AJ2986" s="485"/>
    </row>
    <row r="2987" spans="2:36">
      <c r="B2987" s="136" t="s">
        <v>439</v>
      </c>
      <c r="C2987" s="132" t="s">
        <v>1367</v>
      </c>
      <c r="D2987" s="132" t="s">
        <v>283</v>
      </c>
      <c r="E2987" s="508">
        <v>1.958</v>
      </c>
      <c r="F2987" s="508">
        <v>4.2770000000000001</v>
      </c>
      <c r="G2987" s="508">
        <v>3.4420000000000002</v>
      </c>
      <c r="H2987" s="508">
        <v>3.6720000000000002</v>
      </c>
      <c r="I2987" s="508">
        <v>3.3279999999999998</v>
      </c>
      <c r="J2987" s="508">
        <v>2.7639999999999998</v>
      </c>
      <c r="K2987" s="508">
        <v>2.6030000000000002</v>
      </c>
      <c r="L2987" s="508">
        <v>2.536</v>
      </c>
      <c r="M2987" s="508">
        <v>2.5750000000000002</v>
      </c>
      <c r="N2987" s="508">
        <v>3.1520000000000001</v>
      </c>
      <c r="O2987" s="508">
        <v>2.6779999999999999</v>
      </c>
      <c r="P2987" s="508">
        <v>1.58</v>
      </c>
      <c r="Q2987" s="508">
        <v>1.6779999999999999</v>
      </c>
      <c r="R2987" s="508">
        <v>1.7669999999999999</v>
      </c>
      <c r="S2987" s="508">
        <v>1.73</v>
      </c>
      <c r="T2987" s="508">
        <v>1.5089999999999999</v>
      </c>
      <c r="U2987" s="508">
        <v>0.69199999999999995</v>
      </c>
      <c r="V2987" s="508">
        <v>0.68200000000000005</v>
      </c>
      <c r="W2987" s="508">
        <v>0.71199999999999997</v>
      </c>
      <c r="X2987" s="508">
        <v>0.436</v>
      </c>
      <c r="Y2987" s="508">
        <v>0.308</v>
      </c>
      <c r="Z2987" s="508">
        <v>0.21</v>
      </c>
      <c r="AA2987" s="508">
        <v>0.16200000000000001</v>
      </c>
      <c r="AB2987" s="508">
        <v>0.125</v>
      </c>
      <c r="AC2987" s="508">
        <v>7.6999999999999999E-2</v>
      </c>
      <c r="AD2987" s="508">
        <v>7.1999999999999995E-2</v>
      </c>
      <c r="AE2987" s="508">
        <v>9.1999999999999998E-2</v>
      </c>
      <c r="AF2987" s="508">
        <v>5.6000000000000001E-2</v>
      </c>
      <c r="AG2987" s="508">
        <v>5.6000000000000001E-2</v>
      </c>
      <c r="AH2987" s="508">
        <v>5.8000000000000003E-2</v>
      </c>
      <c r="AI2987" s="492">
        <v>0.06</v>
      </c>
      <c r="AJ2987" s="485"/>
    </row>
    <row r="2988" spans="2:36">
      <c r="B2988" s="136" t="s">
        <v>440</v>
      </c>
      <c r="C2988" s="132" t="s">
        <v>1367</v>
      </c>
      <c r="D2988" s="132" t="s">
        <v>283</v>
      </c>
      <c r="E2988" s="508">
        <v>2.6850000000000001</v>
      </c>
      <c r="F2988" s="508">
        <v>5.4850000000000003</v>
      </c>
      <c r="G2988" s="508">
        <v>4.4260000000000002</v>
      </c>
      <c r="H2988" s="508">
        <v>4.7220000000000004</v>
      </c>
      <c r="I2988" s="508">
        <v>4.2770000000000001</v>
      </c>
      <c r="J2988" s="508">
        <v>3.5569999999999999</v>
      </c>
      <c r="K2988" s="508">
        <v>3.35</v>
      </c>
      <c r="L2988" s="508">
        <v>3.266</v>
      </c>
      <c r="M2988" s="508">
        <v>3.319</v>
      </c>
      <c r="N2988" s="508">
        <v>4.0140000000000002</v>
      </c>
      <c r="O2988" s="508">
        <v>3.419</v>
      </c>
      <c r="P2988" s="508">
        <v>1.9570000000000001</v>
      </c>
      <c r="Q2988" s="508">
        <v>2.0779999999999998</v>
      </c>
      <c r="R2988" s="508">
        <v>2.1930000000000001</v>
      </c>
      <c r="S2988" s="508">
        <v>2.1419999999999999</v>
      </c>
      <c r="T2988" s="508">
        <v>1.8720000000000001</v>
      </c>
      <c r="U2988" s="508">
        <v>1.238</v>
      </c>
      <c r="V2988" s="508">
        <v>1.224</v>
      </c>
      <c r="W2988" s="508">
        <v>1.29</v>
      </c>
      <c r="X2988" s="508">
        <v>0.77800000000000002</v>
      </c>
      <c r="Y2988" s="508">
        <v>0.55400000000000005</v>
      </c>
      <c r="Z2988" s="508">
        <v>0.38</v>
      </c>
      <c r="AA2988" s="508">
        <v>0.29699999999999999</v>
      </c>
      <c r="AB2988" s="508">
        <v>0.23100000000000001</v>
      </c>
      <c r="AC2988" s="508">
        <v>0.14299999999999999</v>
      </c>
      <c r="AD2988" s="508">
        <v>0.13200000000000001</v>
      </c>
      <c r="AE2988" s="508">
        <v>0.17</v>
      </c>
      <c r="AF2988" s="508">
        <v>0.1</v>
      </c>
      <c r="AG2988" s="508">
        <v>0.10100000000000001</v>
      </c>
      <c r="AH2988" s="508">
        <v>0.10299999999999999</v>
      </c>
      <c r="AI2988" s="492">
        <v>0.106</v>
      </c>
      <c r="AJ2988" s="485"/>
    </row>
    <row r="2989" spans="2:36">
      <c r="B2989" s="136" t="s">
        <v>441</v>
      </c>
      <c r="C2989" s="132" t="s">
        <v>1367</v>
      </c>
      <c r="D2989" s="132" t="s">
        <v>283</v>
      </c>
      <c r="E2989" s="508">
        <v>3.089</v>
      </c>
      <c r="F2989" s="508">
        <v>6.0650000000000004</v>
      </c>
      <c r="G2989" s="508">
        <v>3.6960000000000002</v>
      </c>
      <c r="H2989" s="508">
        <v>3.9430000000000001</v>
      </c>
      <c r="I2989" s="508">
        <v>3.573</v>
      </c>
      <c r="J2989" s="508">
        <v>2.9670000000000001</v>
      </c>
      <c r="K2989" s="508">
        <v>2.7949999999999999</v>
      </c>
      <c r="L2989" s="508">
        <v>2.722</v>
      </c>
      <c r="M2989" s="508">
        <v>2.7650000000000001</v>
      </c>
      <c r="N2989" s="508">
        <v>3.36</v>
      </c>
      <c r="O2989" s="508">
        <v>2.8540000000000001</v>
      </c>
      <c r="P2989" s="508">
        <v>1.6870000000000001</v>
      </c>
      <c r="Q2989" s="508">
        <v>1.792</v>
      </c>
      <c r="R2989" s="508">
        <v>1.887</v>
      </c>
      <c r="S2989" s="508">
        <v>1.8480000000000001</v>
      </c>
      <c r="T2989" s="508">
        <v>1.611</v>
      </c>
      <c r="U2989" s="508">
        <v>1.0589999999999999</v>
      </c>
      <c r="V2989" s="508">
        <v>1.048</v>
      </c>
      <c r="W2989" s="508">
        <v>1.105</v>
      </c>
      <c r="X2989" s="508">
        <v>0.67100000000000004</v>
      </c>
      <c r="Y2989" s="508">
        <v>0.47799999999999998</v>
      </c>
      <c r="Z2989" s="508">
        <v>0.33200000000000002</v>
      </c>
      <c r="AA2989" s="508">
        <v>0.25800000000000001</v>
      </c>
      <c r="AB2989" s="508">
        <v>0.20100000000000001</v>
      </c>
      <c r="AC2989" s="508">
        <v>0.123</v>
      </c>
      <c r="AD2989" s="508">
        <v>0.11600000000000001</v>
      </c>
      <c r="AE2989" s="508">
        <v>0.15</v>
      </c>
      <c r="AF2989" s="508">
        <v>9.2999999999999999E-2</v>
      </c>
      <c r="AG2989" s="508">
        <v>9.6000000000000002E-2</v>
      </c>
      <c r="AH2989" s="508">
        <v>9.7000000000000003E-2</v>
      </c>
      <c r="AI2989" s="492">
        <v>9.9000000000000005E-2</v>
      </c>
      <c r="AJ2989" s="485"/>
    </row>
    <row r="2990" spans="2:36">
      <c r="B2990" s="136" t="s">
        <v>443</v>
      </c>
      <c r="C2990" s="132" t="s">
        <v>1367</v>
      </c>
      <c r="D2990" s="132" t="s">
        <v>283</v>
      </c>
      <c r="E2990" s="508">
        <v>3.1469999999999998</v>
      </c>
      <c r="F2990" s="508">
        <v>6.1509999999999998</v>
      </c>
      <c r="G2990" s="508">
        <v>4.976</v>
      </c>
      <c r="H2990" s="508">
        <v>5.3109999999999999</v>
      </c>
      <c r="I2990" s="508">
        <v>4.8090000000000002</v>
      </c>
      <c r="J2990" s="508">
        <v>4.0149999999999997</v>
      </c>
      <c r="K2990" s="508">
        <v>3.782</v>
      </c>
      <c r="L2990" s="508">
        <v>3.69</v>
      </c>
      <c r="M2990" s="508">
        <v>3.75</v>
      </c>
      <c r="N2990" s="508">
        <v>4.49</v>
      </c>
      <c r="O2990" s="508">
        <v>3.8330000000000002</v>
      </c>
      <c r="P2990" s="508">
        <v>1.78</v>
      </c>
      <c r="Q2990" s="508">
        <v>1.8879999999999999</v>
      </c>
      <c r="R2990" s="508">
        <v>1.99</v>
      </c>
      <c r="S2990" s="508">
        <v>1.948</v>
      </c>
      <c r="T2990" s="508">
        <v>1.7</v>
      </c>
      <c r="U2990" s="508">
        <v>1.0960000000000001</v>
      </c>
      <c r="V2990" s="508">
        <v>1.085</v>
      </c>
      <c r="W2990" s="508">
        <v>1.1459999999999999</v>
      </c>
      <c r="X2990" s="508">
        <v>0.69299999999999995</v>
      </c>
      <c r="Y2990" s="508">
        <v>0.49</v>
      </c>
      <c r="Z2990" s="508">
        <v>0.33700000000000002</v>
      </c>
      <c r="AA2990" s="508">
        <v>0.26</v>
      </c>
      <c r="AB2990" s="508">
        <v>0.20100000000000001</v>
      </c>
      <c r="AC2990" s="508">
        <v>0.122</v>
      </c>
      <c r="AD2990" s="508">
        <v>0.113</v>
      </c>
      <c r="AE2990" s="508">
        <v>0.158</v>
      </c>
      <c r="AF2990" s="508">
        <v>0.09</v>
      </c>
      <c r="AG2990" s="508">
        <v>0.09</v>
      </c>
      <c r="AH2990" s="508">
        <v>9.0999999999999998E-2</v>
      </c>
      <c r="AI2990" s="492">
        <v>9.2999999999999999E-2</v>
      </c>
      <c r="AJ2990" s="485"/>
    </row>
    <row r="2991" spans="2:36">
      <c r="B2991" s="136" t="s">
        <v>445</v>
      </c>
      <c r="C2991" s="132" t="s">
        <v>1367</v>
      </c>
      <c r="D2991" s="132" t="s">
        <v>283</v>
      </c>
      <c r="E2991" s="508">
        <v>1.996</v>
      </c>
      <c r="F2991" s="508">
        <v>4.4109999999999996</v>
      </c>
      <c r="G2991" s="508">
        <v>3.5510000000000002</v>
      </c>
      <c r="H2991" s="508">
        <v>3.7879999999999998</v>
      </c>
      <c r="I2991" s="508">
        <v>3.4319999999999999</v>
      </c>
      <c r="J2991" s="508">
        <v>2.863</v>
      </c>
      <c r="K2991" s="508">
        <v>2.6970000000000001</v>
      </c>
      <c r="L2991" s="508">
        <v>2.6269999999999998</v>
      </c>
      <c r="M2991" s="508">
        <v>2.6680000000000001</v>
      </c>
      <c r="N2991" s="508">
        <v>3.2269999999999999</v>
      </c>
      <c r="O2991" s="508">
        <v>2.7410000000000001</v>
      </c>
      <c r="P2991" s="508">
        <v>1.621</v>
      </c>
      <c r="Q2991" s="508">
        <v>1.7150000000000001</v>
      </c>
      <c r="R2991" s="508">
        <v>1.8049999999999999</v>
      </c>
      <c r="S2991" s="508">
        <v>1.768</v>
      </c>
      <c r="T2991" s="508">
        <v>1.54</v>
      </c>
      <c r="U2991" s="508">
        <v>0.98299999999999998</v>
      </c>
      <c r="V2991" s="508">
        <v>0.97399999999999998</v>
      </c>
      <c r="W2991" s="508">
        <v>1.028</v>
      </c>
      <c r="X2991" s="508">
        <v>0.624</v>
      </c>
      <c r="Y2991" s="508">
        <v>0.441</v>
      </c>
      <c r="Z2991" s="508">
        <v>0.30399999999999999</v>
      </c>
      <c r="AA2991" s="508">
        <v>0.23300000000000001</v>
      </c>
      <c r="AB2991" s="508">
        <v>0.17899999999999999</v>
      </c>
      <c r="AC2991" s="508">
        <v>0.107</v>
      </c>
      <c r="AD2991" s="508">
        <v>0.112</v>
      </c>
      <c r="AE2991" s="508">
        <v>0.14399999999999999</v>
      </c>
      <c r="AF2991" s="508">
        <v>8.2000000000000003E-2</v>
      </c>
      <c r="AG2991" s="508">
        <v>8.2000000000000003E-2</v>
      </c>
      <c r="AH2991" s="508">
        <v>8.3000000000000004E-2</v>
      </c>
      <c r="AI2991" s="492">
        <v>8.5000000000000006E-2</v>
      </c>
      <c r="AJ2991" s="485"/>
    </row>
    <row r="2992" spans="2:36">
      <c r="B2992" s="136" t="s">
        <v>446</v>
      </c>
      <c r="C2992" s="132" t="s">
        <v>1367</v>
      </c>
      <c r="D2992" s="132" t="s">
        <v>283</v>
      </c>
      <c r="E2992" s="508">
        <v>2.766</v>
      </c>
      <c r="F2992" s="508">
        <v>5.62</v>
      </c>
      <c r="G2992" s="508">
        <v>4.5620000000000003</v>
      </c>
      <c r="H2992" s="508">
        <v>4.8890000000000002</v>
      </c>
      <c r="I2992" s="508">
        <v>4.4539999999999997</v>
      </c>
      <c r="J2992" s="508">
        <v>3.7229999999999999</v>
      </c>
      <c r="K2992" s="508">
        <v>3.508</v>
      </c>
      <c r="L2992" s="508">
        <v>3.4319999999999999</v>
      </c>
      <c r="M2992" s="508">
        <v>3.4929999999999999</v>
      </c>
      <c r="N2992" s="508">
        <v>4.2060000000000004</v>
      </c>
      <c r="O2992" s="508">
        <v>3.5960000000000001</v>
      </c>
      <c r="P2992" s="508">
        <v>1.88</v>
      </c>
      <c r="Q2992" s="508">
        <v>1.988</v>
      </c>
      <c r="R2992" s="508">
        <v>2.1040000000000001</v>
      </c>
      <c r="S2992" s="508">
        <v>2.0539999999999998</v>
      </c>
      <c r="T2992" s="508">
        <v>1.7949999999999999</v>
      </c>
      <c r="U2992" s="508">
        <v>1.1200000000000001</v>
      </c>
      <c r="V2992" s="508">
        <v>1.1080000000000001</v>
      </c>
      <c r="W2992" s="508">
        <v>1.171</v>
      </c>
      <c r="X2992" s="508">
        <v>0.69799999999999995</v>
      </c>
      <c r="Y2992" s="508">
        <v>0.49</v>
      </c>
      <c r="Z2992" s="508">
        <v>0.33200000000000002</v>
      </c>
      <c r="AA2992" s="508">
        <v>0.25600000000000001</v>
      </c>
      <c r="AB2992" s="508">
        <v>0.19600000000000001</v>
      </c>
      <c r="AC2992" s="508">
        <v>0.11899999999999999</v>
      </c>
      <c r="AD2992" s="508">
        <v>0.106</v>
      </c>
      <c r="AE2992" s="508">
        <v>0.13700000000000001</v>
      </c>
      <c r="AF2992" s="508">
        <v>7.4999999999999997E-2</v>
      </c>
      <c r="AG2992" s="508">
        <v>7.4999999999999997E-2</v>
      </c>
      <c r="AH2992" s="508">
        <v>7.5999999999999998E-2</v>
      </c>
      <c r="AI2992" s="492">
        <v>7.8E-2</v>
      </c>
      <c r="AJ2992" s="485"/>
    </row>
    <row r="2993" spans="2:36">
      <c r="B2993" s="136" t="s">
        <v>448</v>
      </c>
      <c r="C2993" s="132" t="s">
        <v>1367</v>
      </c>
      <c r="D2993" s="132" t="s">
        <v>283</v>
      </c>
      <c r="E2993" s="508">
        <v>3.133</v>
      </c>
      <c r="F2993" s="508">
        <v>6.1760000000000002</v>
      </c>
      <c r="G2993" s="508">
        <v>4.4980000000000002</v>
      </c>
      <c r="H2993" s="508">
        <v>4.8</v>
      </c>
      <c r="I2993" s="508">
        <v>4.3470000000000004</v>
      </c>
      <c r="J2993" s="508">
        <v>3.613</v>
      </c>
      <c r="K2993" s="508">
        <v>3.4020000000000001</v>
      </c>
      <c r="L2993" s="508">
        <v>3.3170000000000002</v>
      </c>
      <c r="M2993" s="508">
        <v>3.37</v>
      </c>
      <c r="N2993" s="508">
        <v>4.0830000000000002</v>
      </c>
      <c r="O2993" s="508">
        <v>3.4790000000000001</v>
      </c>
      <c r="P2993" s="508">
        <v>1.871</v>
      </c>
      <c r="Q2993" s="508">
        <v>1.988</v>
      </c>
      <c r="R2993" s="508">
        <v>2.097</v>
      </c>
      <c r="S2993" s="508">
        <v>2.0489999999999999</v>
      </c>
      <c r="T2993" s="508">
        <v>1.79</v>
      </c>
      <c r="U2993" s="508">
        <v>1.1459999999999999</v>
      </c>
      <c r="V2993" s="508">
        <v>1.1339999999999999</v>
      </c>
      <c r="W2993" s="508">
        <v>1.196</v>
      </c>
      <c r="X2993" s="508">
        <v>0.71699999999999997</v>
      </c>
      <c r="Y2993" s="508">
        <v>0.50800000000000001</v>
      </c>
      <c r="Z2993" s="508">
        <v>0.34799999999999998</v>
      </c>
      <c r="AA2993" s="508">
        <v>0.27</v>
      </c>
      <c r="AB2993" s="508">
        <v>0.20799999999999999</v>
      </c>
      <c r="AC2993" s="508">
        <v>0.128</v>
      </c>
      <c r="AD2993" s="508">
        <v>0.11700000000000001</v>
      </c>
      <c r="AE2993" s="508">
        <v>0.151</v>
      </c>
      <c r="AF2993" s="508">
        <v>8.7999999999999995E-2</v>
      </c>
      <c r="AG2993" s="508">
        <v>0.09</v>
      </c>
      <c r="AH2993" s="508">
        <v>9.0999999999999998E-2</v>
      </c>
      <c r="AI2993" s="492">
        <v>9.2999999999999999E-2</v>
      </c>
      <c r="AJ2993" s="485"/>
    </row>
    <row r="2994" spans="2:36">
      <c r="B2994" s="136" t="s">
        <v>449</v>
      </c>
      <c r="C2994" s="132" t="s">
        <v>1367</v>
      </c>
      <c r="D2994" s="132" t="s">
        <v>283</v>
      </c>
      <c r="E2994" s="508">
        <v>2.7989999999999999</v>
      </c>
      <c r="F2994" s="508">
        <v>5.641</v>
      </c>
      <c r="G2994" s="508">
        <v>4.58</v>
      </c>
      <c r="H2994" s="508">
        <v>4.9080000000000004</v>
      </c>
      <c r="I2994" s="508">
        <v>4.4720000000000004</v>
      </c>
      <c r="J2994" s="508">
        <v>3.7370000000000001</v>
      </c>
      <c r="K2994" s="508">
        <v>3.5209999999999999</v>
      </c>
      <c r="L2994" s="508">
        <v>3.4449999999999998</v>
      </c>
      <c r="M2994" s="508">
        <v>3.5070000000000001</v>
      </c>
      <c r="N2994" s="508">
        <v>4.2169999999999996</v>
      </c>
      <c r="O2994" s="508">
        <v>3.6070000000000002</v>
      </c>
      <c r="P2994" s="508">
        <v>1.88</v>
      </c>
      <c r="Q2994" s="508">
        <v>1.9910000000000001</v>
      </c>
      <c r="R2994" s="508">
        <v>2.1070000000000002</v>
      </c>
      <c r="S2994" s="508">
        <v>2.0569999999999999</v>
      </c>
      <c r="T2994" s="508">
        <v>1.7989999999999999</v>
      </c>
      <c r="U2994" s="508">
        <v>1.163</v>
      </c>
      <c r="V2994" s="508">
        <v>1.1499999999999999</v>
      </c>
      <c r="W2994" s="508">
        <v>1.216</v>
      </c>
      <c r="X2994" s="508">
        <v>0.72399999999999998</v>
      </c>
      <c r="Y2994" s="508">
        <v>0.50900000000000001</v>
      </c>
      <c r="Z2994" s="508">
        <v>0.34499999999999997</v>
      </c>
      <c r="AA2994" s="508">
        <v>0.26600000000000001</v>
      </c>
      <c r="AB2994" s="508">
        <v>0.20399999999999999</v>
      </c>
      <c r="AC2994" s="508">
        <v>0.125</v>
      </c>
      <c r="AD2994" s="508">
        <v>0.111</v>
      </c>
      <c r="AE2994" s="508">
        <v>0.14299999999999999</v>
      </c>
      <c r="AF2994" s="508">
        <v>7.8E-2</v>
      </c>
      <c r="AG2994" s="508">
        <v>7.9000000000000001E-2</v>
      </c>
      <c r="AH2994" s="508">
        <v>7.9000000000000001E-2</v>
      </c>
      <c r="AI2994" s="492">
        <v>8.1000000000000003E-2</v>
      </c>
      <c r="AJ2994" s="485"/>
    </row>
    <row r="2995" spans="2:36">
      <c r="B2995" s="136" t="s">
        <v>450</v>
      </c>
      <c r="C2995" s="132" t="s">
        <v>1367</v>
      </c>
      <c r="D2995" s="132" t="s">
        <v>283</v>
      </c>
      <c r="E2995" s="508">
        <v>3.4470000000000001</v>
      </c>
      <c r="F2995" s="508">
        <v>6.6470000000000002</v>
      </c>
      <c r="G2995" s="508">
        <v>5.3780000000000001</v>
      </c>
      <c r="H2995" s="508">
        <v>5.74</v>
      </c>
      <c r="I2995" s="508">
        <v>5.1970000000000001</v>
      </c>
      <c r="J2995" s="508">
        <v>4.3239999999999998</v>
      </c>
      <c r="K2995" s="508">
        <v>4.0720000000000001</v>
      </c>
      <c r="L2995" s="508">
        <v>3.9740000000000002</v>
      </c>
      <c r="M2995" s="508">
        <v>4.0389999999999997</v>
      </c>
      <c r="N2995" s="508">
        <v>4.8650000000000002</v>
      </c>
      <c r="O2995" s="508">
        <v>4.1539999999999999</v>
      </c>
      <c r="P2995" s="508">
        <v>2.0419999999999998</v>
      </c>
      <c r="Q2995" s="508">
        <v>2.17</v>
      </c>
      <c r="R2995" s="508">
        <v>2.2930000000000001</v>
      </c>
      <c r="S2995" s="508">
        <v>2.2410000000000001</v>
      </c>
      <c r="T2995" s="508">
        <v>1.96</v>
      </c>
      <c r="U2995" s="508">
        <v>1.2969999999999999</v>
      </c>
      <c r="V2995" s="508">
        <v>1.2829999999999999</v>
      </c>
      <c r="W2995" s="508">
        <v>1.353</v>
      </c>
      <c r="X2995" s="508">
        <v>0.81499999999999995</v>
      </c>
      <c r="Y2995" s="508">
        <v>0.57899999999999996</v>
      </c>
      <c r="Z2995" s="508">
        <v>0.39800000000000002</v>
      </c>
      <c r="AA2995" s="508">
        <v>0.31</v>
      </c>
      <c r="AB2995" s="508">
        <v>0.24199999999999999</v>
      </c>
      <c r="AC2995" s="508">
        <v>0.15</v>
      </c>
      <c r="AD2995" s="508">
        <v>0.13800000000000001</v>
      </c>
      <c r="AE2995" s="508">
        <v>0.18</v>
      </c>
      <c r="AF2995" s="508">
        <v>0.105</v>
      </c>
      <c r="AG2995" s="508">
        <v>0.106</v>
      </c>
      <c r="AH2995" s="508">
        <v>0.107</v>
      </c>
      <c r="AI2995" s="492">
        <v>0.11</v>
      </c>
      <c r="AJ2995" s="485"/>
    </row>
    <row r="2996" spans="2:36">
      <c r="B2996" s="136" t="s">
        <v>451</v>
      </c>
      <c r="C2996" s="132" t="s">
        <v>1367</v>
      </c>
      <c r="D2996" s="132" t="s">
        <v>283</v>
      </c>
      <c r="E2996" s="508">
        <v>2.9540000000000002</v>
      </c>
      <c r="F2996" s="508">
        <v>5.8520000000000003</v>
      </c>
      <c r="G2996" s="508">
        <v>4.734</v>
      </c>
      <c r="H2996" s="508">
        <v>5.0529999999999999</v>
      </c>
      <c r="I2996" s="508">
        <v>4.5739999999999998</v>
      </c>
      <c r="J2996" s="508">
        <v>3.827</v>
      </c>
      <c r="K2996" s="508">
        <v>3.605</v>
      </c>
      <c r="L2996" s="508">
        <v>3.5169999999999999</v>
      </c>
      <c r="M2996" s="508">
        <v>3.5739999999999998</v>
      </c>
      <c r="N2996" s="508">
        <v>4.2809999999999997</v>
      </c>
      <c r="O2996" s="508">
        <v>3.6539999999999999</v>
      </c>
      <c r="P2996" s="508">
        <v>1.762</v>
      </c>
      <c r="Q2996" s="508">
        <v>1.867</v>
      </c>
      <c r="R2996" s="508">
        <v>1.9690000000000001</v>
      </c>
      <c r="S2996" s="508">
        <v>1.925</v>
      </c>
      <c r="T2996" s="508">
        <v>1.681</v>
      </c>
      <c r="U2996" s="508">
        <v>1.0760000000000001</v>
      </c>
      <c r="V2996" s="508">
        <v>1.0649999999999999</v>
      </c>
      <c r="W2996" s="508">
        <v>1.1240000000000001</v>
      </c>
      <c r="X2996" s="508">
        <v>0.67900000000000005</v>
      </c>
      <c r="Y2996" s="508">
        <v>0.48099999999999998</v>
      </c>
      <c r="Z2996" s="508">
        <v>0.33</v>
      </c>
      <c r="AA2996" s="508">
        <v>0.25600000000000001</v>
      </c>
      <c r="AB2996" s="508">
        <v>0.19800000000000001</v>
      </c>
      <c r="AC2996" s="508">
        <v>0.121</v>
      </c>
      <c r="AD2996" s="508">
        <v>0.112</v>
      </c>
      <c r="AE2996" s="508">
        <v>0.14399999999999999</v>
      </c>
      <c r="AF2996" s="508">
        <v>8.6999999999999994E-2</v>
      </c>
      <c r="AG2996" s="508">
        <v>8.7999999999999995E-2</v>
      </c>
      <c r="AH2996" s="508">
        <v>8.7999999999999995E-2</v>
      </c>
      <c r="AI2996" s="492">
        <v>9.0999999999999998E-2</v>
      </c>
      <c r="AJ2996" s="485"/>
    </row>
    <row r="2997" spans="2:36">
      <c r="B2997" s="136" t="s">
        <v>452</v>
      </c>
      <c r="C2997" s="132" t="s">
        <v>1367</v>
      </c>
      <c r="D2997" s="132" t="s">
        <v>283</v>
      </c>
      <c r="E2997" s="508">
        <v>3.0649999999999999</v>
      </c>
      <c r="F2997" s="508">
        <v>6.0609999999999999</v>
      </c>
      <c r="G2997" s="508">
        <v>4.9000000000000004</v>
      </c>
      <c r="H2997" s="508">
        <v>5.23</v>
      </c>
      <c r="I2997" s="508">
        <v>4.7350000000000003</v>
      </c>
      <c r="J2997" s="508">
        <v>3.948</v>
      </c>
      <c r="K2997" s="508">
        <v>3.718</v>
      </c>
      <c r="L2997" s="508">
        <v>3.6269999999999998</v>
      </c>
      <c r="M2997" s="508">
        <v>3.6859999999999999</v>
      </c>
      <c r="N2997" s="508">
        <v>4.4359999999999999</v>
      </c>
      <c r="O2997" s="508">
        <v>3.7839999999999998</v>
      </c>
      <c r="P2997" s="508">
        <v>1.992</v>
      </c>
      <c r="Q2997" s="508">
        <v>2.1139999999999999</v>
      </c>
      <c r="R2997" s="508">
        <v>2.2330000000000001</v>
      </c>
      <c r="S2997" s="508">
        <v>2.1800000000000002</v>
      </c>
      <c r="T2997" s="508">
        <v>1.907</v>
      </c>
      <c r="U2997" s="508">
        <v>1.234</v>
      </c>
      <c r="V2997" s="508">
        <v>1.2210000000000001</v>
      </c>
      <c r="W2997" s="508">
        <v>1.288</v>
      </c>
      <c r="X2997" s="508">
        <v>0.77400000000000002</v>
      </c>
      <c r="Y2997" s="508">
        <v>0.54800000000000004</v>
      </c>
      <c r="Z2997" s="508">
        <v>0.374</v>
      </c>
      <c r="AA2997" s="508">
        <v>0.29099999999999998</v>
      </c>
      <c r="AB2997" s="508">
        <v>0.22600000000000001</v>
      </c>
      <c r="AC2997" s="508">
        <v>0.14000000000000001</v>
      </c>
      <c r="AD2997" s="508">
        <v>0.128</v>
      </c>
      <c r="AE2997" s="508">
        <v>0.16400000000000001</v>
      </c>
      <c r="AF2997" s="508">
        <v>9.4E-2</v>
      </c>
      <c r="AG2997" s="508">
        <v>9.5000000000000001E-2</v>
      </c>
      <c r="AH2997" s="508">
        <v>9.6000000000000002E-2</v>
      </c>
      <c r="AI2997" s="492">
        <v>9.8000000000000004E-2</v>
      </c>
      <c r="AJ2997" s="485"/>
    </row>
    <row r="2998" spans="2:36">
      <c r="B2998" s="136" t="s">
        <v>453</v>
      </c>
      <c r="C2998" s="132" t="s">
        <v>1367</v>
      </c>
      <c r="D2998" s="132" t="s">
        <v>283</v>
      </c>
      <c r="E2998" s="508">
        <v>3.4340000000000002</v>
      </c>
      <c r="F2998" s="508">
        <v>6.6289999999999996</v>
      </c>
      <c r="G2998" s="508">
        <v>5.3630000000000004</v>
      </c>
      <c r="H2998" s="508">
        <v>5.7249999999999996</v>
      </c>
      <c r="I2998" s="508">
        <v>5.1829999999999998</v>
      </c>
      <c r="J2998" s="508">
        <v>4.3099999999999996</v>
      </c>
      <c r="K2998" s="508">
        <v>4.0590000000000002</v>
      </c>
      <c r="L2998" s="508">
        <v>3.9609999999999999</v>
      </c>
      <c r="M2998" s="508">
        <v>4.0250000000000004</v>
      </c>
      <c r="N2998" s="508">
        <v>4.8529999999999998</v>
      </c>
      <c r="O2998" s="508">
        <v>4.1440000000000001</v>
      </c>
      <c r="P2998" s="508">
        <v>2.1280000000000001</v>
      </c>
      <c r="Q2998" s="508">
        <v>2.2629999999999999</v>
      </c>
      <c r="R2998" s="508">
        <v>2.3919999999999999</v>
      </c>
      <c r="S2998" s="508">
        <v>2.335</v>
      </c>
      <c r="T2998" s="508">
        <v>2.044</v>
      </c>
      <c r="U2998" s="508">
        <v>1.36</v>
      </c>
      <c r="V2998" s="508">
        <v>1.3440000000000001</v>
      </c>
      <c r="W2998" s="508">
        <v>1.4179999999999999</v>
      </c>
      <c r="X2998" s="508">
        <v>0.85099999999999998</v>
      </c>
      <c r="Y2998" s="508">
        <v>0.60499999999999998</v>
      </c>
      <c r="Z2998" s="508">
        <v>0.41399999999999998</v>
      </c>
      <c r="AA2998" s="508">
        <v>0.32400000000000001</v>
      </c>
      <c r="AB2998" s="508">
        <v>0.252</v>
      </c>
      <c r="AC2998" s="508">
        <v>0.158</v>
      </c>
      <c r="AD2998" s="508">
        <v>0.14399999999999999</v>
      </c>
      <c r="AE2998" s="508">
        <v>0.185</v>
      </c>
      <c r="AF2998" s="508">
        <v>0.106</v>
      </c>
      <c r="AG2998" s="508">
        <v>0.107</v>
      </c>
      <c r="AH2998" s="508">
        <v>0.107</v>
      </c>
      <c r="AI2998" s="492">
        <v>0.11</v>
      </c>
      <c r="AJ2998" s="485"/>
    </row>
    <row r="2999" spans="2:36">
      <c r="B2999" s="136" t="s">
        <v>454</v>
      </c>
      <c r="C2999" s="132" t="s">
        <v>1367</v>
      </c>
      <c r="D2999" s="132" t="s">
        <v>283</v>
      </c>
      <c r="E2999" s="508">
        <v>3.274</v>
      </c>
      <c r="F2999" s="508">
        <v>6.3689999999999998</v>
      </c>
      <c r="G2999" s="508">
        <v>5.1529999999999996</v>
      </c>
      <c r="H2999" s="508">
        <v>5.5</v>
      </c>
      <c r="I2999" s="508">
        <v>4.9800000000000004</v>
      </c>
      <c r="J2999" s="508">
        <v>4.1440000000000001</v>
      </c>
      <c r="K2999" s="508">
        <v>3.903</v>
      </c>
      <c r="L2999" s="508">
        <v>3.8079999999999998</v>
      </c>
      <c r="M2999" s="508">
        <v>3.87</v>
      </c>
      <c r="N2999" s="508">
        <v>4.6619999999999999</v>
      </c>
      <c r="O2999" s="508">
        <v>3.98</v>
      </c>
      <c r="P2999" s="508">
        <v>2.048</v>
      </c>
      <c r="Q2999" s="508">
        <v>2.177</v>
      </c>
      <c r="R2999" s="508">
        <v>2.302</v>
      </c>
      <c r="S2999" s="508">
        <v>2.246</v>
      </c>
      <c r="T2999" s="508">
        <v>1.966</v>
      </c>
      <c r="U2999" s="508">
        <v>1.3069999999999999</v>
      </c>
      <c r="V2999" s="508">
        <v>1.292</v>
      </c>
      <c r="W2999" s="508">
        <v>1.363</v>
      </c>
      <c r="X2999" s="508">
        <v>0.81599999999999995</v>
      </c>
      <c r="Y2999" s="508">
        <v>0.57799999999999996</v>
      </c>
      <c r="Z2999" s="508">
        <v>0.39500000000000002</v>
      </c>
      <c r="AA2999" s="508">
        <v>0.309</v>
      </c>
      <c r="AB2999" s="508">
        <v>0.24</v>
      </c>
      <c r="AC2999" s="508">
        <v>0.14899999999999999</v>
      </c>
      <c r="AD2999" s="508">
        <v>0.13600000000000001</v>
      </c>
      <c r="AE2999" s="508">
        <v>0.17399999999999999</v>
      </c>
      <c r="AF2999" s="508">
        <v>9.9000000000000005E-2</v>
      </c>
      <c r="AG2999" s="508">
        <v>9.9000000000000005E-2</v>
      </c>
      <c r="AH2999" s="508">
        <v>0.1</v>
      </c>
      <c r="AI2999" s="492">
        <v>0.10299999999999999</v>
      </c>
      <c r="AJ2999" s="485"/>
    </row>
    <row r="3000" spans="2:36">
      <c r="B3000" s="136" t="s">
        <v>455</v>
      </c>
      <c r="C3000" s="132" t="s">
        <v>1367</v>
      </c>
      <c r="D3000" s="132" t="s">
        <v>283</v>
      </c>
      <c r="E3000" s="508">
        <v>3.1320000000000001</v>
      </c>
      <c r="F3000" s="508">
        <v>6.1769999999999996</v>
      </c>
      <c r="G3000" s="508">
        <v>4.9950000000000001</v>
      </c>
      <c r="H3000" s="508">
        <v>5.3310000000000004</v>
      </c>
      <c r="I3000" s="508">
        <v>4.827</v>
      </c>
      <c r="J3000" s="508">
        <v>4.01</v>
      </c>
      <c r="K3000" s="508">
        <v>3.7759999999999998</v>
      </c>
      <c r="L3000" s="508">
        <v>3.6840000000000002</v>
      </c>
      <c r="M3000" s="508">
        <v>3.7429999999999999</v>
      </c>
      <c r="N3000" s="508">
        <v>4.5330000000000004</v>
      </c>
      <c r="O3000" s="508">
        <v>3.8679999999999999</v>
      </c>
      <c r="P3000" s="508">
        <v>1.984</v>
      </c>
      <c r="Q3000" s="508">
        <v>2.109</v>
      </c>
      <c r="R3000" s="508">
        <v>2.2280000000000002</v>
      </c>
      <c r="S3000" s="508">
        <v>2.1749999999999998</v>
      </c>
      <c r="T3000" s="508">
        <v>1.9019999999999999</v>
      </c>
      <c r="U3000" s="508">
        <v>1.2450000000000001</v>
      </c>
      <c r="V3000" s="508">
        <v>1.23</v>
      </c>
      <c r="W3000" s="508">
        <v>1.298</v>
      </c>
      <c r="X3000" s="508">
        <v>0.77800000000000002</v>
      </c>
      <c r="Y3000" s="508">
        <v>0.55300000000000005</v>
      </c>
      <c r="Z3000" s="508">
        <v>0.379</v>
      </c>
      <c r="AA3000" s="508">
        <v>0.29599999999999999</v>
      </c>
      <c r="AB3000" s="508">
        <v>0.23</v>
      </c>
      <c r="AC3000" s="508">
        <v>0.14299999999999999</v>
      </c>
      <c r="AD3000" s="508">
        <v>0.13100000000000001</v>
      </c>
      <c r="AE3000" s="508">
        <v>0.16800000000000001</v>
      </c>
      <c r="AF3000" s="508">
        <v>9.7000000000000003E-2</v>
      </c>
      <c r="AG3000" s="508">
        <v>9.8000000000000004E-2</v>
      </c>
      <c r="AH3000" s="508">
        <v>0.1</v>
      </c>
      <c r="AI3000" s="492">
        <v>0.10299999999999999</v>
      </c>
      <c r="AJ3000" s="485"/>
    </row>
    <row r="3001" spans="2:36">
      <c r="B3001" s="136" t="s">
        <v>456</v>
      </c>
      <c r="C3001" s="132" t="s">
        <v>1367</v>
      </c>
      <c r="D3001" s="132" t="s">
        <v>283</v>
      </c>
      <c r="E3001" s="508">
        <v>3.02</v>
      </c>
      <c r="F3001" s="508">
        <v>6.0119999999999996</v>
      </c>
      <c r="G3001" s="508">
        <v>4.8719999999999999</v>
      </c>
      <c r="H3001" s="508">
        <v>5.21</v>
      </c>
      <c r="I3001" s="508">
        <v>4.7309999999999999</v>
      </c>
      <c r="J3001" s="508">
        <v>3.9420000000000002</v>
      </c>
      <c r="K3001" s="508">
        <v>3.7130000000000001</v>
      </c>
      <c r="L3001" s="508">
        <v>3.6269999999999998</v>
      </c>
      <c r="M3001" s="508">
        <v>3.6890000000000001</v>
      </c>
      <c r="N3001" s="508">
        <v>4.4539999999999997</v>
      </c>
      <c r="O3001" s="508">
        <v>3.8050000000000002</v>
      </c>
      <c r="P3001" s="508">
        <v>1.9410000000000001</v>
      </c>
      <c r="Q3001" s="508">
        <v>2.06</v>
      </c>
      <c r="R3001" s="508">
        <v>2.1779999999999999</v>
      </c>
      <c r="S3001" s="508">
        <v>2.1259999999999999</v>
      </c>
      <c r="T3001" s="508">
        <v>1.859</v>
      </c>
      <c r="U3001" s="508">
        <v>1.181</v>
      </c>
      <c r="V3001" s="508">
        <v>1.1679999999999999</v>
      </c>
      <c r="W3001" s="508">
        <v>1.2330000000000001</v>
      </c>
      <c r="X3001" s="508">
        <v>0.73499999999999999</v>
      </c>
      <c r="Y3001" s="508">
        <v>0.51900000000000002</v>
      </c>
      <c r="Z3001" s="508">
        <v>0.35399999999999998</v>
      </c>
      <c r="AA3001" s="508">
        <v>0.27500000000000002</v>
      </c>
      <c r="AB3001" s="508">
        <v>0.21199999999999999</v>
      </c>
      <c r="AC3001" s="508">
        <v>0.13100000000000001</v>
      </c>
      <c r="AD3001" s="508">
        <v>0.11799999999999999</v>
      </c>
      <c r="AE3001" s="508">
        <v>0.151</v>
      </c>
      <c r="AF3001" s="508">
        <v>8.4000000000000005E-2</v>
      </c>
      <c r="AG3001" s="508">
        <v>8.5000000000000006E-2</v>
      </c>
      <c r="AH3001" s="508">
        <v>8.5999999999999993E-2</v>
      </c>
      <c r="AI3001" s="492">
        <v>8.7999999999999995E-2</v>
      </c>
      <c r="AJ3001" s="485"/>
    </row>
    <row r="3002" spans="2:36">
      <c r="B3002" s="136" t="s">
        <v>457</v>
      </c>
      <c r="C3002" s="132" t="s">
        <v>1367</v>
      </c>
      <c r="D3002" s="132" t="s">
        <v>283</v>
      </c>
      <c r="E3002" s="508">
        <v>3.6749999999999998</v>
      </c>
      <c r="F3002" s="508">
        <v>7.008</v>
      </c>
      <c r="G3002" s="508">
        <v>5.67</v>
      </c>
      <c r="H3002" s="508">
        <v>6.0519999999999996</v>
      </c>
      <c r="I3002" s="508">
        <v>5.4790000000000001</v>
      </c>
      <c r="J3002" s="508">
        <v>4.5490000000000004</v>
      </c>
      <c r="K3002" s="508">
        <v>4.2839999999999998</v>
      </c>
      <c r="L3002" s="508">
        <v>4.181</v>
      </c>
      <c r="M3002" s="508">
        <v>4.2489999999999997</v>
      </c>
      <c r="N3002" s="508">
        <v>5.1260000000000003</v>
      </c>
      <c r="O3002" s="508">
        <v>4.3780000000000001</v>
      </c>
      <c r="P3002" s="508">
        <v>2.1680000000000001</v>
      </c>
      <c r="Q3002" s="508">
        <v>2.3079999999999998</v>
      </c>
      <c r="R3002" s="508">
        <v>2.4390000000000001</v>
      </c>
      <c r="S3002" s="508">
        <v>2.383</v>
      </c>
      <c r="T3002" s="508">
        <v>2.085</v>
      </c>
      <c r="U3002" s="508">
        <v>1.359</v>
      </c>
      <c r="V3002" s="508">
        <v>1.3440000000000001</v>
      </c>
      <c r="W3002" s="508">
        <v>1.4179999999999999</v>
      </c>
      <c r="X3002" s="508">
        <v>0.85399999999999998</v>
      </c>
      <c r="Y3002" s="508">
        <v>0.60799999999999998</v>
      </c>
      <c r="Z3002" s="508">
        <v>0.41799999999999998</v>
      </c>
      <c r="AA3002" s="508">
        <v>0.32700000000000001</v>
      </c>
      <c r="AB3002" s="508">
        <v>0.25600000000000001</v>
      </c>
      <c r="AC3002" s="508">
        <v>0.16</v>
      </c>
      <c r="AD3002" s="508">
        <v>0.14699999999999999</v>
      </c>
      <c r="AE3002" s="508">
        <v>0.189</v>
      </c>
      <c r="AF3002" s="508">
        <v>0.111</v>
      </c>
      <c r="AG3002" s="508">
        <v>0.112</v>
      </c>
      <c r="AH3002" s="508">
        <v>0.112</v>
      </c>
      <c r="AI3002" s="492">
        <v>0.115</v>
      </c>
      <c r="AJ3002" s="485"/>
    </row>
    <row r="3003" spans="2:36">
      <c r="B3003" s="136" t="s">
        <v>458</v>
      </c>
      <c r="C3003" s="132" t="s">
        <v>1367</v>
      </c>
      <c r="D3003" s="132" t="s">
        <v>283</v>
      </c>
      <c r="E3003" s="508">
        <v>3.1150000000000002</v>
      </c>
      <c r="F3003" s="508">
        <v>6.1139999999999999</v>
      </c>
      <c r="G3003" s="508">
        <v>4.9470000000000001</v>
      </c>
      <c r="H3003" s="508">
        <v>5.28</v>
      </c>
      <c r="I3003" s="508">
        <v>4.78</v>
      </c>
      <c r="J3003" s="508">
        <v>3.984</v>
      </c>
      <c r="K3003" s="508">
        <v>3.7519999999999998</v>
      </c>
      <c r="L3003" s="508">
        <v>3.661</v>
      </c>
      <c r="M3003" s="508">
        <v>3.72</v>
      </c>
      <c r="N3003" s="508">
        <v>4.4770000000000003</v>
      </c>
      <c r="O3003" s="508">
        <v>3.8210000000000002</v>
      </c>
      <c r="P3003" s="508">
        <v>1.7390000000000001</v>
      </c>
      <c r="Q3003" s="508">
        <v>1.847</v>
      </c>
      <c r="R3003" s="508">
        <v>1.9470000000000001</v>
      </c>
      <c r="S3003" s="508">
        <v>1.905</v>
      </c>
      <c r="T3003" s="508">
        <v>1.6619999999999999</v>
      </c>
      <c r="U3003" s="508">
        <v>1.077</v>
      </c>
      <c r="V3003" s="508">
        <v>1.0660000000000001</v>
      </c>
      <c r="W3003" s="508">
        <v>1.1240000000000001</v>
      </c>
      <c r="X3003" s="508">
        <v>0.67900000000000005</v>
      </c>
      <c r="Y3003" s="508">
        <v>0.48299999999999998</v>
      </c>
      <c r="Z3003" s="508">
        <v>0.33400000000000002</v>
      </c>
      <c r="AA3003" s="508">
        <v>0.25900000000000001</v>
      </c>
      <c r="AB3003" s="508">
        <v>0.20100000000000001</v>
      </c>
      <c r="AC3003" s="508">
        <v>0.124</v>
      </c>
      <c r="AD3003" s="508">
        <v>0.11600000000000001</v>
      </c>
      <c r="AE3003" s="508">
        <v>0.14899999999999999</v>
      </c>
      <c r="AF3003" s="508">
        <v>0.09</v>
      </c>
      <c r="AG3003" s="508">
        <v>9.0999999999999998E-2</v>
      </c>
      <c r="AH3003" s="508">
        <v>9.4E-2</v>
      </c>
      <c r="AI3003" s="492">
        <v>9.7000000000000003E-2</v>
      </c>
      <c r="AJ3003" s="485"/>
    </row>
    <row r="3004" spans="2:36">
      <c r="B3004" s="136" t="s">
        <v>459</v>
      </c>
      <c r="C3004" s="132" t="s">
        <v>1367</v>
      </c>
      <c r="D3004" s="132" t="s">
        <v>283</v>
      </c>
      <c r="E3004" s="508">
        <v>3.2010000000000001</v>
      </c>
      <c r="F3004" s="508">
        <v>6.2439999999999998</v>
      </c>
      <c r="G3004" s="508">
        <v>5.0519999999999996</v>
      </c>
      <c r="H3004" s="508">
        <v>5.3920000000000003</v>
      </c>
      <c r="I3004" s="508">
        <v>4.8819999999999997</v>
      </c>
      <c r="J3004" s="508">
        <v>4.069</v>
      </c>
      <c r="K3004" s="508">
        <v>3.8319999999999999</v>
      </c>
      <c r="L3004" s="508">
        <v>3.7389999999999999</v>
      </c>
      <c r="M3004" s="508">
        <v>3.8</v>
      </c>
      <c r="N3004" s="508">
        <v>4.57</v>
      </c>
      <c r="O3004" s="508">
        <v>3.9009999999999998</v>
      </c>
      <c r="P3004" s="508">
        <v>2.0139999999999998</v>
      </c>
      <c r="Q3004" s="508">
        <v>1.839</v>
      </c>
      <c r="R3004" s="508">
        <v>1.9379999999999999</v>
      </c>
      <c r="S3004" s="508">
        <v>1.897</v>
      </c>
      <c r="T3004" s="508">
        <v>1.655</v>
      </c>
      <c r="U3004" s="508">
        <v>1.08</v>
      </c>
      <c r="V3004" s="508">
        <v>1.07</v>
      </c>
      <c r="W3004" s="508">
        <v>1.1279999999999999</v>
      </c>
      <c r="X3004" s="508">
        <v>0.68600000000000005</v>
      </c>
      <c r="Y3004" s="508">
        <v>0.48899999999999999</v>
      </c>
      <c r="Z3004" s="508">
        <v>0.33700000000000002</v>
      </c>
      <c r="AA3004" s="508">
        <v>0.26200000000000001</v>
      </c>
      <c r="AB3004" s="508">
        <v>0.2</v>
      </c>
      <c r="AC3004" s="508">
        <v>0.122</v>
      </c>
      <c r="AD3004" s="508">
        <v>0.115</v>
      </c>
      <c r="AE3004" s="508">
        <v>0.14799999999999999</v>
      </c>
      <c r="AF3004" s="508">
        <v>9.4E-2</v>
      </c>
      <c r="AG3004" s="508">
        <v>9.4E-2</v>
      </c>
      <c r="AH3004" s="508">
        <v>9.5000000000000001E-2</v>
      </c>
      <c r="AI3004" s="492">
        <v>0.10299999999999999</v>
      </c>
      <c r="AJ3004" s="485"/>
    </row>
    <row r="3005" spans="2:36">
      <c r="B3005" s="136" t="s">
        <v>460</v>
      </c>
      <c r="C3005" s="132" t="s">
        <v>1367</v>
      </c>
      <c r="D3005" s="132" t="s">
        <v>283</v>
      </c>
      <c r="E3005" s="508">
        <v>3.2480000000000002</v>
      </c>
      <c r="F3005" s="508">
        <v>6.3339999999999996</v>
      </c>
      <c r="G3005" s="508">
        <v>5.125</v>
      </c>
      <c r="H3005" s="508">
        <v>5.47</v>
      </c>
      <c r="I3005" s="508">
        <v>4.952</v>
      </c>
      <c r="J3005" s="508">
        <v>4.1280000000000001</v>
      </c>
      <c r="K3005" s="508">
        <v>3.887</v>
      </c>
      <c r="L3005" s="508">
        <v>3.7930000000000001</v>
      </c>
      <c r="M3005" s="508">
        <v>3.855</v>
      </c>
      <c r="N3005" s="508">
        <v>4.6369999999999996</v>
      </c>
      <c r="O3005" s="508">
        <v>3.9590000000000001</v>
      </c>
      <c r="P3005" s="508">
        <v>2.044</v>
      </c>
      <c r="Q3005" s="508">
        <v>2.1709999999999998</v>
      </c>
      <c r="R3005" s="508">
        <v>2.294</v>
      </c>
      <c r="S3005" s="508">
        <v>2.2389999999999999</v>
      </c>
      <c r="T3005" s="508">
        <v>1.96</v>
      </c>
      <c r="U3005" s="508">
        <v>1.2849999999999999</v>
      </c>
      <c r="V3005" s="508">
        <v>1.27</v>
      </c>
      <c r="W3005" s="508">
        <v>1.34</v>
      </c>
      <c r="X3005" s="508">
        <v>0.80500000000000005</v>
      </c>
      <c r="Y3005" s="508">
        <v>0.57099999999999995</v>
      </c>
      <c r="Z3005" s="508">
        <v>0.39100000000000001</v>
      </c>
      <c r="AA3005" s="508">
        <v>0.30499999999999999</v>
      </c>
      <c r="AB3005" s="508">
        <v>0.23799999999999999</v>
      </c>
      <c r="AC3005" s="508">
        <v>0.14799999999999999</v>
      </c>
      <c r="AD3005" s="508">
        <v>0.13500000000000001</v>
      </c>
      <c r="AE3005" s="508">
        <v>0.17399999999999999</v>
      </c>
      <c r="AF3005" s="508">
        <v>0.1</v>
      </c>
      <c r="AG3005" s="508">
        <v>0.1</v>
      </c>
      <c r="AH3005" s="508">
        <v>0.10100000000000001</v>
      </c>
      <c r="AI3005" s="492">
        <v>0.104</v>
      </c>
      <c r="AJ3005" s="485"/>
    </row>
    <row r="3006" spans="2:36">
      <c r="B3006" s="136" t="s">
        <v>461</v>
      </c>
      <c r="C3006" s="132" t="s">
        <v>1367</v>
      </c>
      <c r="D3006" s="132" t="s">
        <v>283</v>
      </c>
      <c r="E3006" s="508">
        <v>3.1320000000000001</v>
      </c>
      <c r="F3006" s="508">
        <v>6.1609999999999996</v>
      </c>
      <c r="G3006" s="508">
        <v>4.9790000000000001</v>
      </c>
      <c r="H3006" s="508">
        <v>5.3129999999999997</v>
      </c>
      <c r="I3006" s="508">
        <v>4.8120000000000003</v>
      </c>
      <c r="J3006" s="508">
        <v>4.0030000000000001</v>
      </c>
      <c r="K3006" s="508">
        <v>3.7709999999999999</v>
      </c>
      <c r="L3006" s="508">
        <v>3.6779999999999999</v>
      </c>
      <c r="M3006" s="508">
        <v>3.738</v>
      </c>
      <c r="N3006" s="508">
        <v>4.5010000000000003</v>
      </c>
      <c r="O3006" s="508">
        <v>3.839</v>
      </c>
      <c r="P3006" s="508">
        <v>2.1110000000000002</v>
      </c>
      <c r="Q3006" s="508">
        <v>2.2429999999999999</v>
      </c>
      <c r="R3006" s="508">
        <v>2.3719999999999999</v>
      </c>
      <c r="S3006" s="508">
        <v>2.3159999999999998</v>
      </c>
      <c r="T3006" s="508">
        <v>2.0270000000000001</v>
      </c>
      <c r="U3006" s="508">
        <v>1.306</v>
      </c>
      <c r="V3006" s="508">
        <v>1.2909999999999999</v>
      </c>
      <c r="W3006" s="508">
        <v>1.363</v>
      </c>
      <c r="X3006" s="508">
        <v>0.81899999999999995</v>
      </c>
      <c r="Y3006" s="508">
        <v>0.58199999999999996</v>
      </c>
      <c r="Z3006" s="508">
        <v>0.39900000000000002</v>
      </c>
      <c r="AA3006" s="508">
        <v>0.312</v>
      </c>
      <c r="AB3006" s="508">
        <v>0.24299999999999999</v>
      </c>
      <c r="AC3006" s="508">
        <v>0.152</v>
      </c>
      <c r="AD3006" s="508">
        <v>0.13900000000000001</v>
      </c>
      <c r="AE3006" s="508">
        <v>0.17799999999999999</v>
      </c>
      <c r="AF3006" s="508">
        <v>0.10299999999999999</v>
      </c>
      <c r="AG3006" s="508">
        <v>0.104</v>
      </c>
      <c r="AH3006" s="508">
        <v>0.104</v>
      </c>
      <c r="AI3006" s="492">
        <v>0.107</v>
      </c>
      <c r="AJ3006" s="485"/>
    </row>
    <row r="3007" spans="2:36">
      <c r="B3007" s="136" t="s">
        <v>462</v>
      </c>
      <c r="C3007" s="132" t="s">
        <v>1367</v>
      </c>
      <c r="D3007" s="132" t="s">
        <v>283</v>
      </c>
      <c r="E3007" s="508">
        <v>3.19</v>
      </c>
      <c r="F3007" s="508">
        <v>6.2690000000000001</v>
      </c>
      <c r="G3007" s="508">
        <v>5.0730000000000004</v>
      </c>
      <c r="H3007" s="508">
        <v>5.4169999999999998</v>
      </c>
      <c r="I3007" s="508">
        <v>4.907</v>
      </c>
      <c r="J3007" s="508">
        <v>4.0839999999999996</v>
      </c>
      <c r="K3007" s="508">
        <v>3.8460000000000001</v>
      </c>
      <c r="L3007" s="508">
        <v>3.7530000000000001</v>
      </c>
      <c r="M3007" s="508">
        <v>3.8140000000000001</v>
      </c>
      <c r="N3007" s="508">
        <v>4.5979999999999999</v>
      </c>
      <c r="O3007" s="508">
        <v>3.9249999999999998</v>
      </c>
      <c r="P3007" s="508">
        <v>2.0249999999999999</v>
      </c>
      <c r="Q3007" s="508">
        <v>2.1520000000000001</v>
      </c>
      <c r="R3007" s="508">
        <v>2.274</v>
      </c>
      <c r="S3007" s="508">
        <v>2.2189999999999999</v>
      </c>
      <c r="T3007" s="508">
        <v>1.9410000000000001</v>
      </c>
      <c r="U3007" s="508">
        <v>1.2330000000000001</v>
      </c>
      <c r="V3007" s="508">
        <v>1.2190000000000001</v>
      </c>
      <c r="W3007" s="508">
        <v>1.286</v>
      </c>
      <c r="X3007" s="508">
        <v>0.76700000000000002</v>
      </c>
      <c r="Y3007" s="508">
        <v>0.54200000000000004</v>
      </c>
      <c r="Z3007" s="508">
        <v>0.36899999999999999</v>
      </c>
      <c r="AA3007" s="508">
        <v>0.28699999999999998</v>
      </c>
      <c r="AB3007" s="508">
        <v>0.221</v>
      </c>
      <c r="AC3007" s="508">
        <v>0.13700000000000001</v>
      </c>
      <c r="AD3007" s="508">
        <v>0.123</v>
      </c>
      <c r="AE3007" s="508">
        <v>0.159</v>
      </c>
      <c r="AF3007" s="508">
        <v>8.7999999999999995E-2</v>
      </c>
      <c r="AG3007" s="508">
        <v>8.8999999999999996E-2</v>
      </c>
      <c r="AH3007" s="508">
        <v>8.8999999999999996E-2</v>
      </c>
      <c r="AI3007" s="492">
        <v>9.1999999999999998E-2</v>
      </c>
      <c r="AJ3007" s="485"/>
    </row>
    <row r="3008" spans="2:36">
      <c r="B3008" s="136" t="s">
        <v>463</v>
      </c>
      <c r="C3008" s="132" t="s">
        <v>1367</v>
      </c>
      <c r="D3008" s="132" t="s">
        <v>283</v>
      </c>
      <c r="E3008" s="508">
        <v>3.2490000000000001</v>
      </c>
      <c r="F3008" s="508">
        <v>6.3239999999999998</v>
      </c>
      <c r="G3008" s="508">
        <v>5.117</v>
      </c>
      <c r="H3008" s="508">
        <v>5.4610000000000003</v>
      </c>
      <c r="I3008" s="508">
        <v>4.944</v>
      </c>
      <c r="J3008" s="508">
        <v>4.109</v>
      </c>
      <c r="K3008" s="508">
        <v>3.8690000000000002</v>
      </c>
      <c r="L3008" s="508">
        <v>3.7749999999999999</v>
      </c>
      <c r="M3008" s="508">
        <v>3.8359999999999999</v>
      </c>
      <c r="N3008" s="508">
        <v>4.633</v>
      </c>
      <c r="O3008" s="508">
        <v>3.956</v>
      </c>
      <c r="P3008" s="508">
        <v>1.952</v>
      </c>
      <c r="Q3008" s="508">
        <v>2.077</v>
      </c>
      <c r="R3008" s="508">
        <v>2.194</v>
      </c>
      <c r="S3008" s="508">
        <v>2.1419999999999999</v>
      </c>
      <c r="T3008" s="508">
        <v>1.8740000000000001</v>
      </c>
      <c r="U3008" s="508">
        <v>1.248</v>
      </c>
      <c r="V3008" s="508">
        <v>1.2330000000000001</v>
      </c>
      <c r="W3008" s="508">
        <v>1.3</v>
      </c>
      <c r="X3008" s="508">
        <v>0.78</v>
      </c>
      <c r="Y3008" s="508">
        <v>0.55500000000000005</v>
      </c>
      <c r="Z3008" s="508">
        <v>0.38100000000000001</v>
      </c>
      <c r="AA3008" s="508">
        <v>0.29899999999999999</v>
      </c>
      <c r="AB3008" s="508">
        <v>0.23200000000000001</v>
      </c>
      <c r="AC3008" s="508">
        <v>0.14499999999999999</v>
      </c>
      <c r="AD3008" s="508">
        <v>0.13300000000000001</v>
      </c>
      <c r="AE3008" s="508">
        <v>0.17100000000000001</v>
      </c>
      <c r="AF3008" s="508">
        <v>9.9000000000000005E-2</v>
      </c>
      <c r="AG3008" s="508">
        <v>0.1</v>
      </c>
      <c r="AH3008" s="508">
        <v>0.10100000000000001</v>
      </c>
      <c r="AI3008" s="492">
        <v>0.104</v>
      </c>
      <c r="AJ3008" s="485"/>
    </row>
    <row r="3009" spans="2:36">
      <c r="B3009" s="136" t="s">
        <v>464</v>
      </c>
      <c r="C3009" s="132" t="s">
        <v>1367</v>
      </c>
      <c r="D3009" s="132" t="s">
        <v>283</v>
      </c>
      <c r="E3009" s="508">
        <v>3.661</v>
      </c>
      <c r="F3009" s="508">
        <v>6.9870000000000001</v>
      </c>
      <c r="G3009" s="508">
        <v>5.6529999999999996</v>
      </c>
      <c r="H3009" s="508">
        <v>6.0330000000000004</v>
      </c>
      <c r="I3009" s="508">
        <v>5.4619999999999997</v>
      </c>
      <c r="J3009" s="508">
        <v>4.5339999999999998</v>
      </c>
      <c r="K3009" s="508">
        <v>4.2699999999999996</v>
      </c>
      <c r="L3009" s="508">
        <v>4.1680000000000001</v>
      </c>
      <c r="M3009" s="508">
        <v>4.2359999999999998</v>
      </c>
      <c r="N3009" s="508">
        <v>5.1159999999999997</v>
      </c>
      <c r="O3009" s="508">
        <v>4.37</v>
      </c>
      <c r="P3009" s="508">
        <v>2.2330000000000001</v>
      </c>
      <c r="Q3009" s="508">
        <v>2.3759999999999999</v>
      </c>
      <c r="R3009" s="508">
        <v>2.5139999999999998</v>
      </c>
      <c r="S3009" s="508">
        <v>2.4540000000000002</v>
      </c>
      <c r="T3009" s="508">
        <v>2.149</v>
      </c>
      <c r="U3009" s="508">
        <v>1.4359999999999999</v>
      </c>
      <c r="V3009" s="508">
        <v>1.419</v>
      </c>
      <c r="W3009" s="508">
        <v>1.4970000000000001</v>
      </c>
      <c r="X3009" s="508">
        <v>0.89900000000000002</v>
      </c>
      <c r="Y3009" s="508">
        <v>0.64</v>
      </c>
      <c r="Z3009" s="508">
        <v>0.439</v>
      </c>
      <c r="AA3009" s="508">
        <v>0.34499999999999997</v>
      </c>
      <c r="AB3009" s="508">
        <v>0.27</v>
      </c>
      <c r="AC3009" s="508">
        <v>0.16900000000000001</v>
      </c>
      <c r="AD3009" s="508">
        <v>0.155</v>
      </c>
      <c r="AE3009" s="508">
        <v>0.19900000000000001</v>
      </c>
      <c r="AF3009" s="508">
        <v>0.115</v>
      </c>
      <c r="AG3009" s="508">
        <v>0.115</v>
      </c>
      <c r="AH3009" s="508">
        <v>0.11600000000000001</v>
      </c>
      <c r="AI3009" s="492">
        <v>0.11899999999999999</v>
      </c>
      <c r="AJ3009" s="485"/>
    </row>
    <row r="3010" spans="2:36">
      <c r="B3010" s="136" t="s">
        <v>465</v>
      </c>
      <c r="C3010" s="132" t="s">
        <v>1367</v>
      </c>
      <c r="D3010" s="132" t="s">
        <v>283</v>
      </c>
      <c r="E3010" s="508">
        <v>3.4049999999999998</v>
      </c>
      <c r="F3010" s="508">
        <v>6.5910000000000002</v>
      </c>
      <c r="G3010" s="508">
        <v>5.3330000000000002</v>
      </c>
      <c r="H3010" s="508">
        <v>5.6920000000000002</v>
      </c>
      <c r="I3010" s="508">
        <v>5.1529999999999996</v>
      </c>
      <c r="J3010" s="508">
        <v>4.2830000000000004</v>
      </c>
      <c r="K3010" s="508">
        <v>4.0339999999999998</v>
      </c>
      <c r="L3010" s="508">
        <v>3.9359999999999999</v>
      </c>
      <c r="M3010" s="508">
        <v>4</v>
      </c>
      <c r="N3010" s="508">
        <v>4.8330000000000002</v>
      </c>
      <c r="O3010" s="508">
        <v>4.1260000000000003</v>
      </c>
      <c r="P3010" s="508">
        <v>2.1179999999999999</v>
      </c>
      <c r="Q3010" s="508">
        <v>2.2530000000000001</v>
      </c>
      <c r="R3010" s="508">
        <v>2.3820000000000001</v>
      </c>
      <c r="S3010" s="508">
        <v>2.3250000000000002</v>
      </c>
      <c r="T3010" s="508">
        <v>2.0350000000000001</v>
      </c>
      <c r="U3010" s="508">
        <v>1.36</v>
      </c>
      <c r="V3010" s="508">
        <v>1.3440000000000001</v>
      </c>
      <c r="W3010" s="508">
        <v>1.417</v>
      </c>
      <c r="X3010" s="508">
        <v>0.85</v>
      </c>
      <c r="Y3010" s="508">
        <v>0.60399999999999998</v>
      </c>
      <c r="Z3010" s="508">
        <v>0.41399999999999998</v>
      </c>
      <c r="AA3010" s="508">
        <v>0.32400000000000001</v>
      </c>
      <c r="AB3010" s="508">
        <v>0.253</v>
      </c>
      <c r="AC3010" s="508">
        <v>0.159</v>
      </c>
      <c r="AD3010" s="508">
        <v>0.14499999999999999</v>
      </c>
      <c r="AE3010" s="508">
        <v>0.186</v>
      </c>
      <c r="AF3010" s="508">
        <v>0.106</v>
      </c>
      <c r="AG3010" s="508">
        <v>0.107</v>
      </c>
      <c r="AH3010" s="508">
        <v>0.107</v>
      </c>
      <c r="AI3010" s="492">
        <v>0.11</v>
      </c>
      <c r="AJ3010" s="485"/>
    </row>
    <row r="3011" spans="2:36">
      <c r="B3011" s="136" t="s">
        <v>466</v>
      </c>
      <c r="C3011" s="132" t="s">
        <v>1367</v>
      </c>
      <c r="D3011" s="132" t="s">
        <v>283</v>
      </c>
      <c r="E3011" s="508">
        <v>3.1869999999999998</v>
      </c>
      <c r="F3011" s="508">
        <v>6.2350000000000003</v>
      </c>
      <c r="G3011" s="508">
        <v>5.0439999999999996</v>
      </c>
      <c r="H3011" s="508">
        <v>5.383</v>
      </c>
      <c r="I3011" s="508">
        <v>4.8739999999999997</v>
      </c>
      <c r="J3011" s="508">
        <v>4.0720000000000001</v>
      </c>
      <c r="K3011" s="508">
        <v>3.835</v>
      </c>
      <c r="L3011" s="508">
        <v>3.742</v>
      </c>
      <c r="M3011" s="508">
        <v>3.8039999999999998</v>
      </c>
      <c r="N3011" s="508">
        <v>4.5659999999999998</v>
      </c>
      <c r="O3011" s="508">
        <v>3.899</v>
      </c>
      <c r="P3011" s="508">
        <v>1.7889999999999999</v>
      </c>
      <c r="Q3011" s="508">
        <v>1.897</v>
      </c>
      <c r="R3011" s="508">
        <v>2.0009999999999999</v>
      </c>
      <c r="S3011" s="508">
        <v>1.9590000000000001</v>
      </c>
      <c r="T3011" s="508">
        <v>1.71</v>
      </c>
      <c r="U3011" s="508">
        <v>1.1180000000000001</v>
      </c>
      <c r="V3011" s="508">
        <v>1.107</v>
      </c>
      <c r="W3011" s="508">
        <v>1.169</v>
      </c>
      <c r="X3011" s="508">
        <v>0.70399999999999996</v>
      </c>
      <c r="Y3011" s="508">
        <v>0.498</v>
      </c>
      <c r="Z3011" s="508">
        <v>0.34100000000000003</v>
      </c>
      <c r="AA3011" s="508">
        <v>0.26300000000000001</v>
      </c>
      <c r="AB3011" s="508">
        <v>0.20100000000000001</v>
      </c>
      <c r="AC3011" s="508">
        <v>0.122</v>
      </c>
      <c r="AD3011" s="508">
        <v>0.112</v>
      </c>
      <c r="AE3011" s="508">
        <v>0.14399999999999999</v>
      </c>
      <c r="AF3011" s="508">
        <v>8.6999999999999994E-2</v>
      </c>
      <c r="AG3011" s="508">
        <v>8.6999999999999994E-2</v>
      </c>
      <c r="AH3011" s="508">
        <v>9.1999999999999998E-2</v>
      </c>
      <c r="AI3011" s="492">
        <v>9.4E-2</v>
      </c>
      <c r="AJ3011" s="485"/>
    </row>
    <row r="3012" spans="2:36">
      <c r="B3012" s="136" t="s">
        <v>467</v>
      </c>
      <c r="C3012" s="132" t="s">
        <v>1367</v>
      </c>
      <c r="D3012" s="132" t="s">
        <v>283</v>
      </c>
      <c r="E3012" s="508">
        <v>3.42</v>
      </c>
      <c r="F3012" s="508">
        <v>6.59</v>
      </c>
      <c r="G3012" s="508">
        <v>5.3310000000000004</v>
      </c>
      <c r="H3012" s="508">
        <v>5.69</v>
      </c>
      <c r="I3012" s="508">
        <v>5.1520000000000001</v>
      </c>
      <c r="J3012" s="508">
        <v>4.2889999999999997</v>
      </c>
      <c r="K3012" s="508">
        <v>4.0389999999999997</v>
      </c>
      <c r="L3012" s="508">
        <v>3.9420000000000002</v>
      </c>
      <c r="M3012" s="508">
        <v>4.0060000000000002</v>
      </c>
      <c r="N3012" s="508">
        <v>4.8159999999999998</v>
      </c>
      <c r="O3012" s="508">
        <v>4.1120000000000001</v>
      </c>
      <c r="P3012" s="508">
        <v>1.8140000000000001</v>
      </c>
      <c r="Q3012" s="508">
        <v>1.9279999999999999</v>
      </c>
      <c r="R3012" s="508">
        <v>2.032</v>
      </c>
      <c r="S3012" s="508">
        <v>1.99</v>
      </c>
      <c r="T3012" s="508">
        <v>1.736</v>
      </c>
      <c r="U3012" s="508">
        <v>1.1259999999999999</v>
      </c>
      <c r="V3012" s="508">
        <v>1.115</v>
      </c>
      <c r="W3012" s="508">
        <v>1.1759999999999999</v>
      </c>
      <c r="X3012" s="508">
        <v>0.71599999999999997</v>
      </c>
      <c r="Y3012" s="508">
        <v>0.51</v>
      </c>
      <c r="Z3012" s="508">
        <v>0.35199999999999998</v>
      </c>
      <c r="AA3012" s="508">
        <v>0.27300000000000002</v>
      </c>
      <c r="AB3012" s="508">
        <v>0.21099999999999999</v>
      </c>
      <c r="AC3012" s="508">
        <v>0.129</v>
      </c>
      <c r="AD3012" s="508">
        <v>0.121</v>
      </c>
      <c r="AE3012" s="508">
        <v>0.156</v>
      </c>
      <c r="AF3012" s="508">
        <v>9.9000000000000005E-2</v>
      </c>
      <c r="AG3012" s="508">
        <v>9.9000000000000005E-2</v>
      </c>
      <c r="AH3012" s="508">
        <v>9.9000000000000005E-2</v>
      </c>
      <c r="AI3012" s="492">
        <v>0.10199999999999999</v>
      </c>
      <c r="AJ3012" s="485"/>
    </row>
    <row r="3013" spans="2:36">
      <c r="B3013" s="136" t="s">
        <v>468</v>
      </c>
      <c r="C3013" s="132" t="s">
        <v>1367</v>
      </c>
      <c r="D3013" s="132" t="s">
        <v>283</v>
      </c>
      <c r="E3013" s="508">
        <v>2.7810000000000001</v>
      </c>
      <c r="F3013" s="508">
        <v>5.6390000000000002</v>
      </c>
      <c r="G3013" s="508">
        <v>4.5510000000000002</v>
      </c>
      <c r="H3013" s="508">
        <v>4.8559999999999999</v>
      </c>
      <c r="I3013" s="508">
        <v>4.3979999999999997</v>
      </c>
      <c r="J3013" s="508">
        <v>3.6429999999999998</v>
      </c>
      <c r="K3013" s="508">
        <v>3.431</v>
      </c>
      <c r="L3013" s="508">
        <v>3.3460000000000001</v>
      </c>
      <c r="M3013" s="508">
        <v>3.4</v>
      </c>
      <c r="N3013" s="508">
        <v>4.1399999999999997</v>
      </c>
      <c r="O3013" s="508">
        <v>3.528</v>
      </c>
      <c r="P3013" s="508">
        <v>1.7949999999999999</v>
      </c>
      <c r="Q3013" s="508">
        <v>1.91</v>
      </c>
      <c r="R3013" s="508">
        <v>2.0129999999999999</v>
      </c>
      <c r="S3013" s="508">
        <v>1.9710000000000001</v>
      </c>
      <c r="T3013" s="508">
        <v>1.72</v>
      </c>
      <c r="U3013" s="508">
        <v>1.143</v>
      </c>
      <c r="V3013" s="508">
        <v>1.131</v>
      </c>
      <c r="W3013" s="508">
        <v>1.1930000000000001</v>
      </c>
      <c r="X3013" s="508">
        <v>0.72199999999999998</v>
      </c>
      <c r="Y3013" s="508">
        <v>0.51500000000000001</v>
      </c>
      <c r="Z3013" s="508">
        <v>0.35899999999999999</v>
      </c>
      <c r="AA3013" s="508">
        <v>0.28000000000000003</v>
      </c>
      <c r="AB3013" s="508">
        <v>0.219</v>
      </c>
      <c r="AC3013" s="508">
        <v>0.13500000000000001</v>
      </c>
      <c r="AD3013" s="508">
        <v>0.128</v>
      </c>
      <c r="AE3013" s="508">
        <v>0.185</v>
      </c>
      <c r="AF3013" s="508">
        <v>0.105</v>
      </c>
      <c r="AG3013" s="508">
        <v>0.105</v>
      </c>
      <c r="AH3013" s="508">
        <v>0.106</v>
      </c>
      <c r="AI3013" s="492">
        <v>0.109</v>
      </c>
      <c r="AJ3013" s="485"/>
    </row>
    <row r="3014" spans="2:36">
      <c r="B3014" s="136" t="s">
        <v>469</v>
      </c>
      <c r="C3014" s="132" t="s">
        <v>1367</v>
      </c>
      <c r="D3014" s="132" t="s">
        <v>283</v>
      </c>
      <c r="E3014" s="508">
        <v>3.4550000000000001</v>
      </c>
      <c r="F3014" s="508">
        <v>6.6589999999999998</v>
      </c>
      <c r="G3014" s="508">
        <v>5.3869999999999996</v>
      </c>
      <c r="H3014" s="508">
        <v>5.75</v>
      </c>
      <c r="I3014" s="508">
        <v>5.2060000000000004</v>
      </c>
      <c r="J3014" s="508">
        <v>4.33</v>
      </c>
      <c r="K3014" s="508">
        <v>4.0780000000000003</v>
      </c>
      <c r="L3014" s="508">
        <v>3.98</v>
      </c>
      <c r="M3014" s="508">
        <v>4.0449999999999999</v>
      </c>
      <c r="N3014" s="508">
        <v>4.8789999999999996</v>
      </c>
      <c r="O3014" s="508">
        <v>4.1660000000000004</v>
      </c>
      <c r="P3014" s="508">
        <v>2.0659999999999998</v>
      </c>
      <c r="Q3014" s="508">
        <v>2.1960000000000002</v>
      </c>
      <c r="R3014" s="508">
        <v>2.3210000000000002</v>
      </c>
      <c r="S3014" s="508">
        <v>2.2679999999999998</v>
      </c>
      <c r="T3014" s="508">
        <v>1.984</v>
      </c>
      <c r="U3014" s="508">
        <v>1.321</v>
      </c>
      <c r="V3014" s="508">
        <v>1.3069999999999999</v>
      </c>
      <c r="W3014" s="508">
        <v>1.379</v>
      </c>
      <c r="X3014" s="508">
        <v>0.82599999999999996</v>
      </c>
      <c r="Y3014" s="508">
        <v>0.58599999999999997</v>
      </c>
      <c r="Z3014" s="508">
        <v>0.40200000000000002</v>
      </c>
      <c r="AA3014" s="508">
        <v>0.314</v>
      </c>
      <c r="AB3014" s="508">
        <v>0.24299999999999999</v>
      </c>
      <c r="AC3014" s="508">
        <v>0.151</v>
      </c>
      <c r="AD3014" s="508">
        <v>0.13800000000000001</v>
      </c>
      <c r="AE3014" s="508">
        <v>0.17799999999999999</v>
      </c>
      <c r="AF3014" s="508">
        <v>0.10199999999999999</v>
      </c>
      <c r="AG3014" s="508">
        <v>0.10199999999999999</v>
      </c>
      <c r="AH3014" s="508">
        <v>0.104</v>
      </c>
      <c r="AI3014" s="492">
        <v>0.107</v>
      </c>
      <c r="AJ3014" s="485"/>
    </row>
    <row r="3015" spans="2:36">
      <c r="B3015" s="136" t="s">
        <v>470</v>
      </c>
      <c r="C3015" s="132" t="s">
        <v>1367</v>
      </c>
      <c r="D3015" s="132" t="s">
        <v>283</v>
      </c>
      <c r="E3015" s="508">
        <v>1.9730000000000001</v>
      </c>
      <c r="F3015" s="508">
        <v>4.4130000000000003</v>
      </c>
      <c r="G3015" s="508">
        <v>3.5470000000000002</v>
      </c>
      <c r="H3015" s="508">
        <v>3.7829999999999999</v>
      </c>
      <c r="I3015" s="508">
        <v>3.4289999999999998</v>
      </c>
      <c r="J3015" s="508">
        <v>2.8439999999999999</v>
      </c>
      <c r="K3015" s="508">
        <v>2.6789999999999998</v>
      </c>
      <c r="L3015" s="508">
        <v>2.6080000000000001</v>
      </c>
      <c r="M3015" s="508">
        <v>2.649</v>
      </c>
      <c r="N3015" s="508">
        <v>3.2269999999999999</v>
      </c>
      <c r="O3015" s="508">
        <v>2.738</v>
      </c>
      <c r="P3015" s="508">
        <v>1.7170000000000001</v>
      </c>
      <c r="Q3015" s="508">
        <v>1.823</v>
      </c>
      <c r="R3015" s="508">
        <v>1.919</v>
      </c>
      <c r="S3015" s="508">
        <v>1.88</v>
      </c>
      <c r="T3015" s="508">
        <v>1.639</v>
      </c>
      <c r="U3015" s="508">
        <v>1.052</v>
      </c>
      <c r="V3015" s="508">
        <v>1.042</v>
      </c>
      <c r="W3015" s="508">
        <v>1.099</v>
      </c>
      <c r="X3015" s="508">
        <v>0.66900000000000004</v>
      </c>
      <c r="Y3015" s="508">
        <v>0.47599999999999998</v>
      </c>
      <c r="Z3015" s="508">
        <v>0.32800000000000001</v>
      </c>
      <c r="AA3015" s="508">
        <v>0.254</v>
      </c>
      <c r="AB3015" s="508">
        <v>0.19500000000000001</v>
      </c>
      <c r="AC3015" s="508">
        <v>0.11799999999999999</v>
      </c>
      <c r="AD3015" s="508">
        <v>0.111</v>
      </c>
      <c r="AE3015" s="508">
        <v>0.14399999999999999</v>
      </c>
      <c r="AF3015" s="508">
        <v>9.0999999999999998E-2</v>
      </c>
      <c r="AG3015" s="508">
        <v>9.6000000000000002E-2</v>
      </c>
      <c r="AH3015" s="508">
        <v>9.7000000000000003E-2</v>
      </c>
      <c r="AI3015" s="492">
        <v>0.1</v>
      </c>
      <c r="AJ3015" s="485"/>
    </row>
    <row r="3016" spans="2:36">
      <c r="B3016" s="136" t="s">
        <v>471</v>
      </c>
      <c r="C3016" s="132" t="s">
        <v>1367</v>
      </c>
      <c r="D3016" s="132" t="s">
        <v>283</v>
      </c>
      <c r="E3016" s="508">
        <v>3.1629999999999998</v>
      </c>
      <c r="F3016" s="508">
        <v>6.2119999999999997</v>
      </c>
      <c r="G3016" s="508">
        <v>5.0259999999999998</v>
      </c>
      <c r="H3016" s="508">
        <v>5.3639999999999999</v>
      </c>
      <c r="I3016" s="508">
        <v>4.8570000000000002</v>
      </c>
      <c r="J3016" s="508">
        <v>4.048</v>
      </c>
      <c r="K3016" s="508">
        <v>3.8119999999999998</v>
      </c>
      <c r="L3016" s="508">
        <v>3.7189999999999999</v>
      </c>
      <c r="M3016" s="508">
        <v>3.7789999999999999</v>
      </c>
      <c r="N3016" s="508">
        <v>4.5449999999999999</v>
      </c>
      <c r="O3016" s="508">
        <v>3.879</v>
      </c>
      <c r="P3016" s="508">
        <v>1.972</v>
      </c>
      <c r="Q3016" s="508">
        <v>2.0950000000000002</v>
      </c>
      <c r="R3016" s="508">
        <v>2.2130000000000001</v>
      </c>
      <c r="S3016" s="508">
        <v>2.16</v>
      </c>
      <c r="T3016" s="508">
        <v>1.889</v>
      </c>
      <c r="U3016" s="508">
        <v>1.202</v>
      </c>
      <c r="V3016" s="508">
        <v>1.1890000000000001</v>
      </c>
      <c r="W3016" s="508">
        <v>1.254</v>
      </c>
      <c r="X3016" s="508">
        <v>0.751</v>
      </c>
      <c r="Y3016" s="508">
        <v>0.53100000000000003</v>
      </c>
      <c r="Z3016" s="508">
        <v>0.36199999999999999</v>
      </c>
      <c r="AA3016" s="508">
        <v>0.28100000000000003</v>
      </c>
      <c r="AB3016" s="508">
        <v>0.217</v>
      </c>
      <c r="AC3016" s="508">
        <v>0.13400000000000001</v>
      </c>
      <c r="AD3016" s="508">
        <v>0.122</v>
      </c>
      <c r="AE3016" s="508">
        <v>0.157</v>
      </c>
      <c r="AF3016" s="508">
        <v>8.8999999999999996E-2</v>
      </c>
      <c r="AG3016" s="508">
        <v>8.8999999999999996E-2</v>
      </c>
      <c r="AH3016" s="508">
        <v>0.09</v>
      </c>
      <c r="AI3016" s="492">
        <v>9.2999999999999999E-2</v>
      </c>
      <c r="AJ3016" s="485"/>
    </row>
    <row r="3017" spans="2:36">
      <c r="B3017" s="136" t="s">
        <v>472</v>
      </c>
      <c r="C3017" s="132" t="s">
        <v>1367</v>
      </c>
      <c r="D3017" s="132" t="s">
        <v>283</v>
      </c>
      <c r="E3017" s="508">
        <v>3.6880000000000002</v>
      </c>
      <c r="F3017" s="508">
        <v>7.0220000000000002</v>
      </c>
      <c r="G3017" s="508">
        <v>5.6820000000000004</v>
      </c>
      <c r="H3017" s="508">
        <v>6.0640000000000001</v>
      </c>
      <c r="I3017" s="508">
        <v>5.49</v>
      </c>
      <c r="J3017" s="508">
        <v>4.5579999999999998</v>
      </c>
      <c r="K3017" s="508">
        <v>4.2930000000000001</v>
      </c>
      <c r="L3017" s="508">
        <v>4.1900000000000004</v>
      </c>
      <c r="M3017" s="508">
        <v>4.2590000000000003</v>
      </c>
      <c r="N3017" s="508">
        <v>5.1360000000000001</v>
      </c>
      <c r="O3017" s="508">
        <v>4.3869999999999996</v>
      </c>
      <c r="P3017" s="508">
        <v>2.2429999999999999</v>
      </c>
      <c r="Q3017" s="508">
        <v>2.387</v>
      </c>
      <c r="R3017" s="508">
        <v>2.5249999999999999</v>
      </c>
      <c r="S3017" s="508">
        <v>2.4660000000000002</v>
      </c>
      <c r="T3017" s="508">
        <v>2.1589999999999998</v>
      </c>
      <c r="U3017" s="508">
        <v>1.403</v>
      </c>
      <c r="V3017" s="508">
        <v>1.387</v>
      </c>
      <c r="W3017" s="508">
        <v>1.464</v>
      </c>
      <c r="X3017" s="508">
        <v>0.88</v>
      </c>
      <c r="Y3017" s="508">
        <v>0.627</v>
      </c>
      <c r="Z3017" s="508">
        <v>0.43</v>
      </c>
      <c r="AA3017" s="508">
        <v>0.33800000000000002</v>
      </c>
      <c r="AB3017" s="508">
        <v>0.26500000000000001</v>
      </c>
      <c r="AC3017" s="508">
        <v>0.16600000000000001</v>
      </c>
      <c r="AD3017" s="508">
        <v>0.153</v>
      </c>
      <c r="AE3017" s="508">
        <v>0.19600000000000001</v>
      </c>
      <c r="AF3017" s="508">
        <v>0.114</v>
      </c>
      <c r="AG3017" s="508">
        <v>0.114</v>
      </c>
      <c r="AH3017" s="508">
        <v>0.115</v>
      </c>
      <c r="AI3017" s="492">
        <v>0.11799999999999999</v>
      </c>
      <c r="AJ3017" s="485"/>
    </row>
    <row r="3018" spans="2:36">
      <c r="B3018" s="136" t="s">
        <v>473</v>
      </c>
      <c r="C3018" s="132" t="s">
        <v>1367</v>
      </c>
      <c r="D3018" s="132" t="s">
        <v>283</v>
      </c>
      <c r="E3018" s="508">
        <v>2.93</v>
      </c>
      <c r="F3018" s="508">
        <v>5.8520000000000003</v>
      </c>
      <c r="G3018" s="508">
        <v>4.4740000000000002</v>
      </c>
      <c r="H3018" s="508">
        <v>4.7750000000000004</v>
      </c>
      <c r="I3018" s="508">
        <v>4.3239999999999998</v>
      </c>
      <c r="J3018" s="508">
        <v>3.6019999999999999</v>
      </c>
      <c r="K3018" s="508">
        <v>3.3919999999999999</v>
      </c>
      <c r="L3018" s="508">
        <v>3.3079999999999998</v>
      </c>
      <c r="M3018" s="508">
        <v>3.3610000000000002</v>
      </c>
      <c r="N3018" s="508">
        <v>4.0540000000000003</v>
      </c>
      <c r="O3018" s="508">
        <v>3.4540000000000002</v>
      </c>
      <c r="P3018" s="508">
        <v>1.8939999999999999</v>
      </c>
      <c r="Q3018" s="508">
        <v>2.0089999999999999</v>
      </c>
      <c r="R3018" s="508">
        <v>2.12</v>
      </c>
      <c r="S3018" s="508">
        <v>2.0720000000000001</v>
      </c>
      <c r="T3018" s="508">
        <v>1.8109999999999999</v>
      </c>
      <c r="U3018" s="508">
        <v>1.1759999999999999</v>
      </c>
      <c r="V3018" s="508">
        <v>1.163</v>
      </c>
      <c r="W3018" s="508">
        <v>1.2270000000000001</v>
      </c>
      <c r="X3018" s="508">
        <v>0.74</v>
      </c>
      <c r="Y3018" s="508">
        <v>0.52500000000000002</v>
      </c>
      <c r="Z3018" s="508">
        <v>0.36</v>
      </c>
      <c r="AA3018" s="508">
        <v>0.28000000000000003</v>
      </c>
      <c r="AB3018" s="508">
        <v>0.217</v>
      </c>
      <c r="AC3018" s="508">
        <v>0.13400000000000001</v>
      </c>
      <c r="AD3018" s="508">
        <v>0.123</v>
      </c>
      <c r="AE3018" s="508">
        <v>0.158</v>
      </c>
      <c r="AF3018" s="508">
        <v>9.4E-2</v>
      </c>
      <c r="AG3018" s="508">
        <v>9.5000000000000001E-2</v>
      </c>
      <c r="AH3018" s="508">
        <v>9.6000000000000002E-2</v>
      </c>
      <c r="AI3018" s="492">
        <v>9.8000000000000004E-2</v>
      </c>
      <c r="AJ3018" s="485"/>
    </row>
    <row r="3019" spans="2:36">
      <c r="B3019" s="136" t="s">
        <v>474</v>
      </c>
      <c r="C3019" s="132" t="s">
        <v>1367</v>
      </c>
      <c r="D3019" s="132" t="s">
        <v>283</v>
      </c>
      <c r="E3019" s="508">
        <v>3.153</v>
      </c>
      <c r="F3019" s="508">
        <v>6.19</v>
      </c>
      <c r="G3019" s="508">
        <v>5.008</v>
      </c>
      <c r="H3019" s="508">
        <v>5.3449999999999998</v>
      </c>
      <c r="I3019" s="508">
        <v>4.8390000000000004</v>
      </c>
      <c r="J3019" s="508">
        <v>4.03</v>
      </c>
      <c r="K3019" s="508">
        <v>3.7949999999999999</v>
      </c>
      <c r="L3019" s="508">
        <v>3.7029999999999998</v>
      </c>
      <c r="M3019" s="508">
        <v>3.7629999999999999</v>
      </c>
      <c r="N3019" s="508">
        <v>4.5339999999999998</v>
      </c>
      <c r="O3019" s="508">
        <v>3.87</v>
      </c>
      <c r="P3019" s="508">
        <v>1.9970000000000001</v>
      </c>
      <c r="Q3019" s="508">
        <v>2.121</v>
      </c>
      <c r="R3019" s="508">
        <v>2.2410000000000001</v>
      </c>
      <c r="S3019" s="508">
        <v>2.1869999999999998</v>
      </c>
      <c r="T3019" s="508">
        <v>1.9139999999999999</v>
      </c>
      <c r="U3019" s="508">
        <v>1.2609999999999999</v>
      </c>
      <c r="V3019" s="508">
        <v>1.246</v>
      </c>
      <c r="W3019" s="508">
        <v>1.3149999999999999</v>
      </c>
      <c r="X3019" s="508">
        <v>0.78600000000000003</v>
      </c>
      <c r="Y3019" s="508">
        <v>0.55500000000000005</v>
      </c>
      <c r="Z3019" s="508">
        <v>0.379</v>
      </c>
      <c r="AA3019" s="508">
        <v>0.29499999999999998</v>
      </c>
      <c r="AB3019" s="508">
        <v>0.22800000000000001</v>
      </c>
      <c r="AC3019" s="508">
        <v>0.14199999999999999</v>
      </c>
      <c r="AD3019" s="508">
        <v>0.128</v>
      </c>
      <c r="AE3019" s="508">
        <v>0.16400000000000001</v>
      </c>
      <c r="AF3019" s="508">
        <v>9.1999999999999998E-2</v>
      </c>
      <c r="AG3019" s="508">
        <v>9.2999999999999999E-2</v>
      </c>
      <c r="AH3019" s="508">
        <v>9.2999999999999999E-2</v>
      </c>
      <c r="AI3019" s="492">
        <v>9.6000000000000002E-2</v>
      </c>
      <c r="AJ3019" s="485"/>
    </row>
    <row r="3020" spans="2:36">
      <c r="B3020" s="136" t="s">
        <v>475</v>
      </c>
      <c r="C3020" s="132" t="s">
        <v>1367</v>
      </c>
      <c r="D3020" s="132" t="s">
        <v>283</v>
      </c>
      <c r="E3020" s="508">
        <v>3.097</v>
      </c>
      <c r="F3020" s="508">
        <v>6.1130000000000004</v>
      </c>
      <c r="G3020" s="508">
        <v>4.9409999999999998</v>
      </c>
      <c r="H3020" s="508">
        <v>5.2729999999999997</v>
      </c>
      <c r="I3020" s="508">
        <v>4.7750000000000004</v>
      </c>
      <c r="J3020" s="508">
        <v>3.9710000000000001</v>
      </c>
      <c r="K3020" s="508">
        <v>3.7120000000000002</v>
      </c>
      <c r="L3020" s="508">
        <v>3.621</v>
      </c>
      <c r="M3020" s="508">
        <v>3.6789999999999998</v>
      </c>
      <c r="N3020" s="508">
        <v>4.4400000000000004</v>
      </c>
      <c r="O3020" s="508">
        <v>3.7869999999999999</v>
      </c>
      <c r="P3020" s="508">
        <v>1.944</v>
      </c>
      <c r="Q3020" s="508">
        <v>2.0659999999999998</v>
      </c>
      <c r="R3020" s="508">
        <v>2.181</v>
      </c>
      <c r="S3020" s="508">
        <v>2.1320000000000001</v>
      </c>
      <c r="T3020" s="508">
        <v>1.863</v>
      </c>
      <c r="U3020" s="508">
        <v>1.234</v>
      </c>
      <c r="V3020" s="508">
        <v>1.2210000000000001</v>
      </c>
      <c r="W3020" s="508">
        <v>1.288</v>
      </c>
      <c r="X3020" s="508">
        <v>0.77600000000000002</v>
      </c>
      <c r="Y3020" s="508">
        <v>0.55200000000000005</v>
      </c>
      <c r="Z3020" s="508">
        <v>0.38</v>
      </c>
      <c r="AA3020" s="508">
        <v>0.29599999999999999</v>
      </c>
      <c r="AB3020" s="508">
        <v>0.23</v>
      </c>
      <c r="AC3020" s="508">
        <v>0.14199999999999999</v>
      </c>
      <c r="AD3020" s="508">
        <v>0.13200000000000001</v>
      </c>
      <c r="AE3020" s="508">
        <v>0.16900000000000001</v>
      </c>
      <c r="AF3020" s="508">
        <v>0.10199999999999999</v>
      </c>
      <c r="AG3020" s="508">
        <v>0.10199999999999999</v>
      </c>
      <c r="AH3020" s="508">
        <v>0.10299999999999999</v>
      </c>
      <c r="AI3020" s="492">
        <v>0.106</v>
      </c>
      <c r="AJ3020" s="485"/>
    </row>
    <row r="3021" spans="2:36">
      <c r="B3021" s="136" t="s">
        <v>476</v>
      </c>
      <c r="C3021" s="132" t="s">
        <v>1367</v>
      </c>
      <c r="D3021" s="132" t="s">
        <v>283</v>
      </c>
      <c r="E3021" s="508">
        <v>3.2269999999999999</v>
      </c>
      <c r="F3021" s="508">
        <v>5.9640000000000004</v>
      </c>
      <c r="G3021" s="508">
        <v>4.82</v>
      </c>
      <c r="H3021" s="508">
        <v>5.1449999999999996</v>
      </c>
      <c r="I3021" s="508">
        <v>4.6580000000000004</v>
      </c>
      <c r="J3021" s="508">
        <v>3.88</v>
      </c>
      <c r="K3021" s="508">
        <v>3.6539999999999999</v>
      </c>
      <c r="L3021" s="508">
        <v>3.5640000000000001</v>
      </c>
      <c r="M3021" s="508">
        <v>3.6219999999999999</v>
      </c>
      <c r="N3021" s="508">
        <v>4.3680000000000003</v>
      </c>
      <c r="O3021" s="508">
        <v>3.7250000000000001</v>
      </c>
      <c r="P3021" s="508">
        <v>1.829</v>
      </c>
      <c r="Q3021" s="508">
        <v>1.9410000000000001</v>
      </c>
      <c r="R3021" s="508">
        <v>2.0470000000000002</v>
      </c>
      <c r="S3021" s="508">
        <v>2.0019999999999998</v>
      </c>
      <c r="T3021" s="508">
        <v>1.748</v>
      </c>
      <c r="U3021" s="508">
        <v>1.1259999999999999</v>
      </c>
      <c r="V3021" s="508">
        <v>1.115</v>
      </c>
      <c r="W3021" s="508">
        <v>1.1759999999999999</v>
      </c>
      <c r="X3021" s="508">
        <v>0.71199999999999997</v>
      </c>
      <c r="Y3021" s="508">
        <v>0.50600000000000001</v>
      </c>
      <c r="Z3021" s="508">
        <v>0.34799999999999998</v>
      </c>
      <c r="AA3021" s="508">
        <v>0.27</v>
      </c>
      <c r="AB3021" s="508">
        <v>0.20799999999999999</v>
      </c>
      <c r="AC3021" s="508">
        <v>0.128</v>
      </c>
      <c r="AD3021" s="508">
        <v>0.11899999999999999</v>
      </c>
      <c r="AE3021" s="508">
        <v>0.153</v>
      </c>
      <c r="AF3021" s="508">
        <v>9.2999999999999999E-2</v>
      </c>
      <c r="AG3021" s="508">
        <v>9.4E-2</v>
      </c>
      <c r="AH3021" s="508">
        <v>9.5000000000000001E-2</v>
      </c>
      <c r="AI3021" s="492">
        <v>0.10100000000000001</v>
      </c>
      <c r="AJ3021" s="485"/>
    </row>
    <row r="3022" spans="2:36">
      <c r="B3022" s="136" t="s">
        <v>478</v>
      </c>
      <c r="C3022" s="132" t="s">
        <v>1367</v>
      </c>
      <c r="D3022" s="132" t="s">
        <v>283</v>
      </c>
      <c r="E3022" s="508">
        <v>0.92</v>
      </c>
      <c r="F3022" s="508">
        <v>2.8090000000000002</v>
      </c>
      <c r="G3022" s="508">
        <v>2.23</v>
      </c>
      <c r="H3022" s="508">
        <v>2.3759999999999999</v>
      </c>
      <c r="I3022" s="508">
        <v>2.1589999999999998</v>
      </c>
      <c r="J3022" s="508">
        <v>1.7709999999999999</v>
      </c>
      <c r="K3022" s="508">
        <v>1.669</v>
      </c>
      <c r="L3022" s="508">
        <v>1.619</v>
      </c>
      <c r="M3022" s="508">
        <v>1.641</v>
      </c>
      <c r="N3022" s="508">
        <v>2.0539999999999998</v>
      </c>
      <c r="O3022" s="508">
        <v>1.724</v>
      </c>
      <c r="P3022" s="508">
        <v>1.5189999999999999</v>
      </c>
      <c r="Q3022" s="508">
        <v>1.611</v>
      </c>
      <c r="R3022" s="508">
        <v>1.6890000000000001</v>
      </c>
      <c r="S3022" s="508">
        <v>1.655</v>
      </c>
      <c r="T3022" s="508">
        <v>1.4370000000000001</v>
      </c>
      <c r="U3022" s="508">
        <v>0.92800000000000005</v>
      </c>
      <c r="V3022" s="508">
        <v>0.91900000000000004</v>
      </c>
      <c r="W3022" s="508">
        <v>0.96699999999999997</v>
      </c>
      <c r="X3022" s="508">
        <v>0.59599999999999997</v>
      </c>
      <c r="Y3022" s="508">
        <v>0.42599999999999999</v>
      </c>
      <c r="Z3022" s="508">
        <v>0.29899999999999999</v>
      </c>
      <c r="AA3022" s="508">
        <v>0.23</v>
      </c>
      <c r="AB3022" s="508">
        <v>0.17799999999999999</v>
      </c>
      <c r="AC3022" s="508">
        <v>0.107</v>
      </c>
      <c r="AD3022" s="508">
        <v>0.104</v>
      </c>
      <c r="AE3022" s="508">
        <v>0.16500000000000001</v>
      </c>
      <c r="AF3022" s="508">
        <v>9.5000000000000001E-2</v>
      </c>
      <c r="AG3022" s="508">
        <v>9.5000000000000001E-2</v>
      </c>
      <c r="AH3022" s="508">
        <v>9.6000000000000002E-2</v>
      </c>
      <c r="AI3022" s="492">
        <v>9.8000000000000004E-2</v>
      </c>
      <c r="AJ3022" s="485"/>
    </row>
    <row r="3023" spans="2:36">
      <c r="B3023" s="136" t="s">
        <v>479</v>
      </c>
      <c r="C3023" s="132" t="s">
        <v>1367</v>
      </c>
      <c r="D3023" s="132" t="s">
        <v>283</v>
      </c>
      <c r="E3023" s="508">
        <v>3.1320000000000001</v>
      </c>
      <c r="F3023" s="508">
        <v>6.1890000000000001</v>
      </c>
      <c r="G3023" s="508">
        <v>5.0069999999999997</v>
      </c>
      <c r="H3023" s="508">
        <v>5.3440000000000003</v>
      </c>
      <c r="I3023" s="508">
        <v>4.8390000000000004</v>
      </c>
      <c r="J3023" s="508">
        <v>4.0279999999999996</v>
      </c>
      <c r="K3023" s="508">
        <v>3.7930000000000001</v>
      </c>
      <c r="L3023" s="508">
        <v>3.7</v>
      </c>
      <c r="M3023" s="508">
        <v>3.76</v>
      </c>
      <c r="N3023" s="508">
        <v>4.5410000000000004</v>
      </c>
      <c r="O3023" s="508">
        <v>3.875</v>
      </c>
      <c r="P3023" s="508">
        <v>2.0019999999999998</v>
      </c>
      <c r="Q3023" s="508">
        <v>2.1269999999999998</v>
      </c>
      <c r="R3023" s="508">
        <v>2.2469999999999999</v>
      </c>
      <c r="S3023" s="508">
        <v>2.1920000000000002</v>
      </c>
      <c r="T3023" s="508">
        <v>1.9179999999999999</v>
      </c>
      <c r="U3023" s="508">
        <v>1.222</v>
      </c>
      <c r="V3023" s="508">
        <v>1.208</v>
      </c>
      <c r="W3023" s="508">
        <v>1.274</v>
      </c>
      <c r="X3023" s="508">
        <v>0.76</v>
      </c>
      <c r="Y3023" s="508">
        <v>0.53800000000000003</v>
      </c>
      <c r="Z3023" s="508">
        <v>0.36699999999999999</v>
      </c>
      <c r="AA3023" s="508">
        <v>0.28599999999999998</v>
      </c>
      <c r="AB3023" s="508">
        <v>0.221</v>
      </c>
      <c r="AC3023" s="508">
        <v>0.13700000000000001</v>
      </c>
      <c r="AD3023" s="508">
        <v>0.124</v>
      </c>
      <c r="AE3023" s="508">
        <v>0.159</v>
      </c>
      <c r="AF3023" s="508">
        <v>8.8999999999999996E-2</v>
      </c>
      <c r="AG3023" s="508">
        <v>8.8999999999999996E-2</v>
      </c>
      <c r="AH3023" s="508">
        <v>0.09</v>
      </c>
      <c r="AI3023" s="492">
        <v>9.1999999999999998E-2</v>
      </c>
      <c r="AJ3023" s="485"/>
    </row>
    <row r="3024" spans="2:36">
      <c r="B3024" s="136" t="s">
        <v>480</v>
      </c>
      <c r="C3024" s="132" t="s">
        <v>1367</v>
      </c>
      <c r="D3024" s="132" t="s">
        <v>283</v>
      </c>
      <c r="E3024" s="508">
        <v>3.597</v>
      </c>
      <c r="F3024" s="508">
        <v>6.8959999999999999</v>
      </c>
      <c r="G3024" s="508">
        <v>5.5789999999999997</v>
      </c>
      <c r="H3024" s="508">
        <v>5.9550000000000001</v>
      </c>
      <c r="I3024" s="508">
        <v>5.391</v>
      </c>
      <c r="J3024" s="508">
        <v>4.4729999999999999</v>
      </c>
      <c r="K3024" s="508">
        <v>4.2130000000000001</v>
      </c>
      <c r="L3024" s="508">
        <v>4.1109999999999998</v>
      </c>
      <c r="M3024" s="508">
        <v>4.1790000000000003</v>
      </c>
      <c r="N3024" s="508">
        <v>5.0549999999999997</v>
      </c>
      <c r="O3024" s="508">
        <v>4.3170000000000002</v>
      </c>
      <c r="P3024" s="508">
        <v>2.2080000000000002</v>
      </c>
      <c r="Q3024" s="508">
        <v>2.35</v>
      </c>
      <c r="R3024" s="508">
        <v>2.4860000000000002</v>
      </c>
      <c r="S3024" s="508">
        <v>2.4260000000000002</v>
      </c>
      <c r="T3024" s="508">
        <v>2.125</v>
      </c>
      <c r="U3024" s="508">
        <v>1.385</v>
      </c>
      <c r="V3024" s="508">
        <v>1.369</v>
      </c>
      <c r="W3024" s="508">
        <v>1.444</v>
      </c>
      <c r="X3024" s="508">
        <v>0.86599999999999999</v>
      </c>
      <c r="Y3024" s="508">
        <v>0.61699999999999999</v>
      </c>
      <c r="Z3024" s="508">
        <v>0.42399999999999999</v>
      </c>
      <c r="AA3024" s="508">
        <v>0.33300000000000002</v>
      </c>
      <c r="AB3024" s="508">
        <v>0.26100000000000001</v>
      </c>
      <c r="AC3024" s="508">
        <v>0.16400000000000001</v>
      </c>
      <c r="AD3024" s="508">
        <v>0.15</v>
      </c>
      <c r="AE3024" s="508">
        <v>0.193</v>
      </c>
      <c r="AF3024" s="508">
        <v>0.111</v>
      </c>
      <c r="AG3024" s="508">
        <v>0.112</v>
      </c>
      <c r="AH3024" s="508">
        <v>0.112</v>
      </c>
      <c r="AI3024" s="492">
        <v>0.115</v>
      </c>
      <c r="AJ3024" s="485"/>
    </row>
    <row r="3025" spans="2:36">
      <c r="B3025" s="136" t="s">
        <v>481</v>
      </c>
      <c r="C3025" s="132" t="s">
        <v>1367</v>
      </c>
      <c r="D3025" s="132" t="s">
        <v>283</v>
      </c>
      <c r="E3025" s="508">
        <v>3.1360000000000001</v>
      </c>
      <c r="F3025" s="508">
        <v>6.1769999999999996</v>
      </c>
      <c r="G3025" s="508">
        <v>4.9969999999999999</v>
      </c>
      <c r="H3025" s="508">
        <v>5.3339999999999996</v>
      </c>
      <c r="I3025" s="508">
        <v>4.8289999999999997</v>
      </c>
      <c r="J3025" s="508">
        <v>4.0220000000000002</v>
      </c>
      <c r="K3025" s="508">
        <v>3.7879999999999998</v>
      </c>
      <c r="L3025" s="508">
        <v>3.6960000000000002</v>
      </c>
      <c r="M3025" s="508">
        <v>3.7549999999999999</v>
      </c>
      <c r="N3025" s="508">
        <v>4.5279999999999996</v>
      </c>
      <c r="O3025" s="508">
        <v>3.8650000000000002</v>
      </c>
      <c r="P3025" s="508">
        <v>1.899</v>
      </c>
      <c r="Q3025" s="508">
        <v>2.0169999999999999</v>
      </c>
      <c r="R3025" s="508">
        <v>2.129</v>
      </c>
      <c r="S3025" s="508">
        <v>2.08</v>
      </c>
      <c r="T3025" s="508">
        <v>1.8169999999999999</v>
      </c>
      <c r="U3025" s="508">
        <v>1.1719999999999999</v>
      </c>
      <c r="V3025" s="508">
        <v>1.159</v>
      </c>
      <c r="W3025" s="508">
        <v>1.222</v>
      </c>
      <c r="X3025" s="508">
        <v>0.73399999999999999</v>
      </c>
      <c r="Y3025" s="508">
        <v>0.52</v>
      </c>
      <c r="Z3025" s="508">
        <v>0.35599999999999998</v>
      </c>
      <c r="AA3025" s="508">
        <v>0.27700000000000002</v>
      </c>
      <c r="AB3025" s="508">
        <v>0.214</v>
      </c>
      <c r="AC3025" s="508">
        <v>0.13200000000000001</v>
      </c>
      <c r="AD3025" s="508">
        <v>0.12</v>
      </c>
      <c r="AE3025" s="508">
        <v>0.155</v>
      </c>
      <c r="AF3025" s="508">
        <v>0.09</v>
      </c>
      <c r="AG3025" s="508">
        <v>0.09</v>
      </c>
      <c r="AH3025" s="508">
        <v>9.2999999999999999E-2</v>
      </c>
      <c r="AI3025" s="492">
        <v>9.5000000000000001E-2</v>
      </c>
      <c r="AJ3025" s="485"/>
    </row>
    <row r="3026" spans="2:36">
      <c r="B3026" s="136" t="s">
        <v>482</v>
      </c>
      <c r="C3026" s="132" t="s">
        <v>1367</v>
      </c>
      <c r="D3026" s="132" t="s">
        <v>283</v>
      </c>
      <c r="E3026" s="508">
        <v>2.996</v>
      </c>
      <c r="F3026" s="508">
        <v>5.9420000000000002</v>
      </c>
      <c r="G3026" s="508">
        <v>4.28</v>
      </c>
      <c r="H3026" s="508">
        <v>4.5759999999999996</v>
      </c>
      <c r="I3026" s="508">
        <v>4.157</v>
      </c>
      <c r="J3026" s="508">
        <v>3.4590000000000001</v>
      </c>
      <c r="K3026" s="508">
        <v>3.258</v>
      </c>
      <c r="L3026" s="508">
        <v>3.181</v>
      </c>
      <c r="M3026" s="508">
        <v>3.2349999999999999</v>
      </c>
      <c r="N3026" s="508">
        <v>3.9180000000000001</v>
      </c>
      <c r="O3026" s="508">
        <v>3.3420000000000001</v>
      </c>
      <c r="P3026" s="508">
        <v>1.8</v>
      </c>
      <c r="Q3026" s="508">
        <v>1.9119999999999999</v>
      </c>
      <c r="R3026" s="508">
        <v>2.0190000000000001</v>
      </c>
      <c r="S3026" s="508">
        <v>1.974</v>
      </c>
      <c r="T3026" s="508">
        <v>1.724</v>
      </c>
      <c r="U3026" s="508">
        <v>1.1060000000000001</v>
      </c>
      <c r="V3026" s="508">
        <v>1.0940000000000001</v>
      </c>
      <c r="W3026" s="508">
        <v>1.155</v>
      </c>
      <c r="X3026" s="508">
        <v>0.69099999999999995</v>
      </c>
      <c r="Y3026" s="508">
        <v>0.48899999999999999</v>
      </c>
      <c r="Z3026" s="508">
        <v>0.33500000000000002</v>
      </c>
      <c r="AA3026" s="508">
        <v>0.26</v>
      </c>
      <c r="AB3026" s="508">
        <v>0.19900000000000001</v>
      </c>
      <c r="AC3026" s="508">
        <v>0.122</v>
      </c>
      <c r="AD3026" s="508">
        <v>0.111</v>
      </c>
      <c r="AE3026" s="508">
        <v>0.14299999999999999</v>
      </c>
      <c r="AF3026" s="508">
        <v>8.3000000000000004E-2</v>
      </c>
      <c r="AG3026" s="508">
        <v>8.3000000000000004E-2</v>
      </c>
      <c r="AH3026" s="508">
        <v>8.5999999999999993E-2</v>
      </c>
      <c r="AI3026" s="492">
        <v>8.8999999999999996E-2</v>
      </c>
      <c r="AJ3026" s="485"/>
    </row>
    <row r="3027" spans="2:36">
      <c r="B3027" s="136" t="s">
        <v>483</v>
      </c>
      <c r="C3027" s="132" t="s">
        <v>1367</v>
      </c>
      <c r="D3027" s="132" t="s">
        <v>283</v>
      </c>
      <c r="E3027" s="508">
        <v>2.863</v>
      </c>
      <c r="F3027" s="508">
        <v>5.7450000000000001</v>
      </c>
      <c r="G3027" s="508">
        <v>4.6420000000000003</v>
      </c>
      <c r="H3027" s="508">
        <v>4.9530000000000003</v>
      </c>
      <c r="I3027" s="508">
        <v>4.4859999999999998</v>
      </c>
      <c r="J3027" s="508">
        <v>3.7389999999999999</v>
      </c>
      <c r="K3027" s="508">
        <v>3.5219999999999998</v>
      </c>
      <c r="L3027" s="508">
        <v>3.4350000000000001</v>
      </c>
      <c r="M3027" s="508">
        <v>3.4910000000000001</v>
      </c>
      <c r="N3027" s="508">
        <v>4.2060000000000004</v>
      </c>
      <c r="O3027" s="508">
        <v>3.5859999999999999</v>
      </c>
      <c r="P3027" s="508">
        <v>1.841</v>
      </c>
      <c r="Q3027" s="508">
        <v>1.954</v>
      </c>
      <c r="R3027" s="508">
        <v>2.0609999999999999</v>
      </c>
      <c r="S3027" s="508">
        <v>2.016</v>
      </c>
      <c r="T3027" s="508">
        <v>1.76</v>
      </c>
      <c r="U3027" s="508">
        <v>1.1579999999999999</v>
      </c>
      <c r="V3027" s="508">
        <v>1.1459999999999999</v>
      </c>
      <c r="W3027" s="508">
        <v>1.2090000000000001</v>
      </c>
      <c r="X3027" s="508">
        <v>0.73099999999999998</v>
      </c>
      <c r="Y3027" s="508">
        <v>0.51900000000000002</v>
      </c>
      <c r="Z3027" s="508">
        <v>0.36</v>
      </c>
      <c r="AA3027" s="508">
        <v>0.28000000000000003</v>
      </c>
      <c r="AB3027" s="508">
        <v>0.217</v>
      </c>
      <c r="AC3027" s="508">
        <v>0.13400000000000001</v>
      </c>
      <c r="AD3027" s="508">
        <v>0.124</v>
      </c>
      <c r="AE3027" s="508">
        <v>0.16</v>
      </c>
      <c r="AF3027" s="508">
        <v>9.6000000000000002E-2</v>
      </c>
      <c r="AG3027" s="508">
        <v>9.6000000000000002E-2</v>
      </c>
      <c r="AH3027" s="508">
        <v>9.7000000000000003E-2</v>
      </c>
      <c r="AI3027" s="492">
        <v>9.9000000000000005E-2</v>
      </c>
      <c r="AJ3027" s="485"/>
    </row>
    <row r="3028" spans="2:36">
      <c r="B3028" s="136" t="s">
        <v>484</v>
      </c>
      <c r="C3028" s="132" t="s">
        <v>1367</v>
      </c>
      <c r="D3028" s="132" t="s">
        <v>283</v>
      </c>
      <c r="E3028" s="508">
        <v>3.681</v>
      </c>
      <c r="F3028" s="508">
        <v>7.0279999999999996</v>
      </c>
      <c r="G3028" s="508">
        <v>5.6859999999999999</v>
      </c>
      <c r="H3028" s="508">
        <v>6.069</v>
      </c>
      <c r="I3028" s="508">
        <v>5.4939999999999998</v>
      </c>
      <c r="J3028" s="508">
        <v>4.5609999999999999</v>
      </c>
      <c r="K3028" s="508">
        <v>4.2960000000000003</v>
      </c>
      <c r="L3028" s="508">
        <v>4.1920000000000002</v>
      </c>
      <c r="M3028" s="508">
        <v>4.2610000000000001</v>
      </c>
      <c r="N3028" s="508">
        <v>5.1429999999999998</v>
      </c>
      <c r="O3028" s="508">
        <v>4.3920000000000003</v>
      </c>
      <c r="P3028" s="508">
        <v>1.954</v>
      </c>
      <c r="Q3028" s="508">
        <v>2.0790000000000002</v>
      </c>
      <c r="R3028" s="508">
        <v>2.1930000000000001</v>
      </c>
      <c r="S3028" s="508">
        <v>2.1469999999999998</v>
      </c>
      <c r="T3028" s="508">
        <v>1.8740000000000001</v>
      </c>
      <c r="U3028" s="508">
        <v>1.2090000000000001</v>
      </c>
      <c r="V3028" s="508">
        <v>1.1970000000000001</v>
      </c>
      <c r="W3028" s="508">
        <v>1.262</v>
      </c>
      <c r="X3028" s="508">
        <v>0.76700000000000002</v>
      </c>
      <c r="Y3028" s="508">
        <v>0.54800000000000004</v>
      </c>
      <c r="Z3028" s="508">
        <v>0.379</v>
      </c>
      <c r="AA3028" s="508">
        <v>0.29499999999999998</v>
      </c>
      <c r="AB3028" s="508">
        <v>0.22900000000000001</v>
      </c>
      <c r="AC3028" s="508">
        <v>0.14099999999999999</v>
      </c>
      <c r="AD3028" s="508">
        <v>0.13300000000000001</v>
      </c>
      <c r="AE3028" s="508">
        <v>0.17100000000000001</v>
      </c>
      <c r="AF3028" s="508">
        <v>0.107</v>
      </c>
      <c r="AG3028" s="508">
        <v>0.113</v>
      </c>
      <c r="AH3028" s="508">
        <v>0.114</v>
      </c>
      <c r="AI3028" s="492">
        <v>0.11700000000000001</v>
      </c>
      <c r="AJ3028" s="485"/>
    </row>
    <row r="3029" spans="2:36">
      <c r="B3029" s="136" t="s">
        <v>486</v>
      </c>
      <c r="C3029" s="132" t="s">
        <v>1367</v>
      </c>
      <c r="D3029" s="132" t="s">
        <v>283</v>
      </c>
      <c r="E3029" s="508">
        <v>2.8940000000000001</v>
      </c>
      <c r="F3029" s="508">
        <v>5.8070000000000004</v>
      </c>
      <c r="G3029" s="508">
        <v>4.6929999999999996</v>
      </c>
      <c r="H3029" s="508">
        <v>5.0090000000000003</v>
      </c>
      <c r="I3029" s="508">
        <v>4.5359999999999996</v>
      </c>
      <c r="J3029" s="508">
        <v>3.7749999999999999</v>
      </c>
      <c r="K3029" s="508">
        <v>3.556</v>
      </c>
      <c r="L3029" s="508">
        <v>3.468</v>
      </c>
      <c r="M3029" s="508">
        <v>3.524</v>
      </c>
      <c r="N3029" s="508">
        <v>4.2560000000000002</v>
      </c>
      <c r="O3029" s="508">
        <v>3.629</v>
      </c>
      <c r="P3029" s="508">
        <v>1.93</v>
      </c>
      <c r="Q3029" s="508">
        <v>2.0499999999999998</v>
      </c>
      <c r="R3029" s="508">
        <v>2.165</v>
      </c>
      <c r="S3029" s="508">
        <v>2.1139999999999999</v>
      </c>
      <c r="T3029" s="508">
        <v>1.8480000000000001</v>
      </c>
      <c r="U3029" s="508">
        <v>1.19</v>
      </c>
      <c r="V3029" s="508">
        <v>1.1759999999999999</v>
      </c>
      <c r="W3029" s="508">
        <v>1.2410000000000001</v>
      </c>
      <c r="X3029" s="508">
        <v>0.74399999999999999</v>
      </c>
      <c r="Y3029" s="508">
        <v>0.52800000000000002</v>
      </c>
      <c r="Z3029" s="508">
        <v>0.36199999999999999</v>
      </c>
      <c r="AA3029" s="508">
        <v>0.28199999999999997</v>
      </c>
      <c r="AB3029" s="508">
        <v>0.219</v>
      </c>
      <c r="AC3029" s="508">
        <v>0.13600000000000001</v>
      </c>
      <c r="AD3029" s="508">
        <v>0.124</v>
      </c>
      <c r="AE3029" s="508">
        <v>0.159</v>
      </c>
      <c r="AF3029" s="508">
        <v>9.1999999999999998E-2</v>
      </c>
      <c r="AG3029" s="508">
        <v>9.1999999999999998E-2</v>
      </c>
      <c r="AH3029" s="508">
        <v>9.4E-2</v>
      </c>
      <c r="AI3029" s="492">
        <v>9.6000000000000002E-2</v>
      </c>
      <c r="AJ3029" s="485"/>
    </row>
    <row r="3030" spans="2:36">
      <c r="B3030" s="136" t="s">
        <v>487</v>
      </c>
      <c r="C3030" s="132" t="s">
        <v>1367</v>
      </c>
      <c r="D3030" s="132" t="s">
        <v>283</v>
      </c>
      <c r="E3030" s="508">
        <v>2.5870000000000002</v>
      </c>
      <c r="F3030" s="508">
        <v>5.343</v>
      </c>
      <c r="G3030" s="508">
        <v>4.3109999999999999</v>
      </c>
      <c r="H3030" s="508">
        <v>4.5999999999999996</v>
      </c>
      <c r="I3030" s="508">
        <v>4.1669999999999998</v>
      </c>
      <c r="J3030" s="508">
        <v>3.4630000000000001</v>
      </c>
      <c r="K3030" s="508">
        <v>3.262</v>
      </c>
      <c r="L3030" s="508">
        <v>3.18</v>
      </c>
      <c r="M3030" s="508">
        <v>3.2309999999999999</v>
      </c>
      <c r="N3030" s="508">
        <v>3.9140000000000001</v>
      </c>
      <c r="O3030" s="508">
        <v>3.3330000000000002</v>
      </c>
      <c r="P3030" s="508">
        <v>1.851</v>
      </c>
      <c r="Q3030" s="508">
        <v>1.9670000000000001</v>
      </c>
      <c r="R3030" s="508">
        <v>2.0739999999999998</v>
      </c>
      <c r="S3030" s="508">
        <v>2.028</v>
      </c>
      <c r="T3030" s="508">
        <v>1.7709999999999999</v>
      </c>
      <c r="U3030" s="508">
        <v>1.1739999999999999</v>
      </c>
      <c r="V3030" s="508">
        <v>1.161</v>
      </c>
      <c r="W3030" s="508">
        <v>1.224</v>
      </c>
      <c r="X3030" s="508">
        <v>0.74</v>
      </c>
      <c r="Y3030" s="508">
        <v>0.52600000000000002</v>
      </c>
      <c r="Z3030" s="508">
        <v>0.36299999999999999</v>
      </c>
      <c r="AA3030" s="508">
        <v>0.28299999999999997</v>
      </c>
      <c r="AB3030" s="508">
        <v>0.221</v>
      </c>
      <c r="AC3030" s="508">
        <v>0.13700000000000001</v>
      </c>
      <c r="AD3030" s="508">
        <v>0.13600000000000001</v>
      </c>
      <c r="AE3030" s="508">
        <v>0.17399999999999999</v>
      </c>
      <c r="AF3030" s="508">
        <v>0.1</v>
      </c>
      <c r="AG3030" s="508">
        <v>0.1</v>
      </c>
      <c r="AH3030" s="508">
        <v>0.10100000000000001</v>
      </c>
      <c r="AI3030" s="492">
        <v>0.104</v>
      </c>
      <c r="AJ3030" s="485"/>
    </row>
    <row r="3031" spans="2:36">
      <c r="B3031" s="136" t="s">
        <v>488</v>
      </c>
      <c r="C3031" s="132" t="s">
        <v>1367</v>
      </c>
      <c r="D3031" s="132" t="s">
        <v>283</v>
      </c>
      <c r="E3031" s="508">
        <v>3.3940000000000001</v>
      </c>
      <c r="F3031" s="508">
        <v>6.5759999999999996</v>
      </c>
      <c r="G3031" s="508">
        <v>5.3209999999999997</v>
      </c>
      <c r="H3031" s="508">
        <v>5.6790000000000003</v>
      </c>
      <c r="I3031" s="508">
        <v>5.1420000000000003</v>
      </c>
      <c r="J3031" s="508">
        <v>4.2720000000000002</v>
      </c>
      <c r="K3031" s="508">
        <v>4.024</v>
      </c>
      <c r="L3031" s="508">
        <v>3.9260000000000002</v>
      </c>
      <c r="M3031" s="508">
        <v>3.99</v>
      </c>
      <c r="N3031" s="508">
        <v>4.8179999999999996</v>
      </c>
      <c r="O3031" s="508">
        <v>4.1130000000000004</v>
      </c>
      <c r="P3031" s="508">
        <v>2.1120000000000001</v>
      </c>
      <c r="Q3031" s="508">
        <v>2.2469999999999999</v>
      </c>
      <c r="R3031" s="508">
        <v>2.375</v>
      </c>
      <c r="S3031" s="508">
        <v>2.3180000000000001</v>
      </c>
      <c r="T3031" s="508">
        <v>2.0289999999999999</v>
      </c>
      <c r="U3031" s="508">
        <v>1.3260000000000001</v>
      </c>
      <c r="V3031" s="508">
        <v>1.31</v>
      </c>
      <c r="W3031" s="508">
        <v>1.3819999999999999</v>
      </c>
      <c r="X3031" s="508">
        <v>0.82699999999999996</v>
      </c>
      <c r="Y3031" s="508">
        <v>0.58799999999999997</v>
      </c>
      <c r="Z3031" s="508">
        <v>0.40200000000000002</v>
      </c>
      <c r="AA3031" s="508">
        <v>0.315</v>
      </c>
      <c r="AB3031" s="508">
        <v>0.246</v>
      </c>
      <c r="AC3031" s="508">
        <v>0.154</v>
      </c>
      <c r="AD3031" s="508">
        <v>0.14000000000000001</v>
      </c>
      <c r="AE3031" s="508">
        <v>0.18</v>
      </c>
      <c r="AF3031" s="508">
        <v>0.10199999999999999</v>
      </c>
      <c r="AG3031" s="508">
        <v>0.10299999999999999</v>
      </c>
      <c r="AH3031" s="508">
        <v>0.10299999999999999</v>
      </c>
      <c r="AI3031" s="492">
        <v>0.106</v>
      </c>
      <c r="AJ3031" s="485"/>
    </row>
    <row r="3032" spans="2:36">
      <c r="B3032" s="136" t="s">
        <v>489</v>
      </c>
      <c r="C3032" s="132" t="s">
        <v>1367</v>
      </c>
      <c r="D3032" s="132" t="s">
        <v>283</v>
      </c>
      <c r="E3032" s="508">
        <v>3.411</v>
      </c>
      <c r="F3032" s="508">
        <v>6.5789999999999997</v>
      </c>
      <c r="G3032" s="508">
        <v>5.3230000000000004</v>
      </c>
      <c r="H3032" s="508">
        <v>5.681</v>
      </c>
      <c r="I3032" s="508">
        <v>5.1429999999999998</v>
      </c>
      <c r="J3032" s="508">
        <v>4.2789999999999999</v>
      </c>
      <c r="K3032" s="508">
        <v>4.03</v>
      </c>
      <c r="L3032" s="508">
        <v>3.9329999999999998</v>
      </c>
      <c r="M3032" s="508">
        <v>3.9969999999999999</v>
      </c>
      <c r="N3032" s="508">
        <v>4.8120000000000003</v>
      </c>
      <c r="O3032" s="508">
        <v>4.109</v>
      </c>
      <c r="P3032" s="508">
        <v>2.0339999999999998</v>
      </c>
      <c r="Q3032" s="508">
        <v>2.1619999999999999</v>
      </c>
      <c r="R3032" s="508">
        <v>2.2839999999999998</v>
      </c>
      <c r="S3032" s="508">
        <v>2.2320000000000002</v>
      </c>
      <c r="T3032" s="508">
        <v>1.952</v>
      </c>
      <c r="U3032" s="508">
        <v>1.2629999999999999</v>
      </c>
      <c r="V3032" s="508">
        <v>1.2490000000000001</v>
      </c>
      <c r="W3032" s="508">
        <v>1.3180000000000001</v>
      </c>
      <c r="X3032" s="508">
        <v>0.79300000000000004</v>
      </c>
      <c r="Y3032" s="508">
        <v>0.56499999999999995</v>
      </c>
      <c r="Z3032" s="508">
        <v>0.38800000000000001</v>
      </c>
      <c r="AA3032" s="508">
        <v>0.30299999999999999</v>
      </c>
      <c r="AB3032" s="508">
        <v>0.23599999999999999</v>
      </c>
      <c r="AC3032" s="508">
        <v>0.14699999999999999</v>
      </c>
      <c r="AD3032" s="508">
        <v>0.13600000000000001</v>
      </c>
      <c r="AE3032" s="508">
        <v>0.17399999999999999</v>
      </c>
      <c r="AF3032" s="508">
        <v>0.10299999999999999</v>
      </c>
      <c r="AG3032" s="508">
        <v>0.104</v>
      </c>
      <c r="AH3032" s="508">
        <v>0.105</v>
      </c>
      <c r="AI3032" s="492">
        <v>0.108</v>
      </c>
      <c r="AJ3032" s="485"/>
    </row>
    <row r="3033" spans="2:36">
      <c r="B3033" s="136" t="s">
        <v>490</v>
      </c>
      <c r="C3033" s="132" t="s">
        <v>1367</v>
      </c>
      <c r="D3033" s="132" t="s">
        <v>283</v>
      </c>
      <c r="E3033" s="508">
        <v>3.625</v>
      </c>
      <c r="F3033" s="508">
        <v>6.9450000000000003</v>
      </c>
      <c r="G3033" s="508">
        <v>5.6189999999999998</v>
      </c>
      <c r="H3033" s="508">
        <v>5.9980000000000002</v>
      </c>
      <c r="I3033" s="508">
        <v>5.43</v>
      </c>
      <c r="J3033" s="508">
        <v>4.5060000000000002</v>
      </c>
      <c r="K3033" s="508">
        <v>4.2439999999999998</v>
      </c>
      <c r="L3033" s="508">
        <v>4.141</v>
      </c>
      <c r="M3033" s="508">
        <v>4.21</v>
      </c>
      <c r="N3033" s="508">
        <v>5.0960000000000001</v>
      </c>
      <c r="O3033" s="508">
        <v>4.3529999999999998</v>
      </c>
      <c r="P3033" s="508">
        <v>2.2240000000000002</v>
      </c>
      <c r="Q3033" s="508">
        <v>2.367</v>
      </c>
      <c r="R3033" s="508">
        <v>2.504</v>
      </c>
      <c r="S3033" s="508">
        <v>2.4449999999999998</v>
      </c>
      <c r="T3033" s="508">
        <v>2.141</v>
      </c>
      <c r="U3033" s="508">
        <v>1.4359999999999999</v>
      </c>
      <c r="V3033" s="508">
        <v>1.419</v>
      </c>
      <c r="W3033" s="508">
        <v>1.4970000000000001</v>
      </c>
      <c r="X3033" s="508">
        <v>0.89800000000000002</v>
      </c>
      <c r="Y3033" s="508">
        <v>0.64100000000000001</v>
      </c>
      <c r="Z3033" s="508">
        <v>0.44</v>
      </c>
      <c r="AA3033" s="508">
        <v>0.34599999999999997</v>
      </c>
      <c r="AB3033" s="508">
        <v>0.27100000000000002</v>
      </c>
      <c r="AC3033" s="508">
        <v>0.17100000000000001</v>
      </c>
      <c r="AD3033" s="508">
        <v>0.157</v>
      </c>
      <c r="AE3033" s="508">
        <v>0.20100000000000001</v>
      </c>
      <c r="AF3033" s="508">
        <v>0.11600000000000001</v>
      </c>
      <c r="AG3033" s="508">
        <v>0.11700000000000001</v>
      </c>
      <c r="AH3033" s="508">
        <v>0.11700000000000001</v>
      </c>
      <c r="AI3033" s="492">
        <v>0.12</v>
      </c>
      <c r="AJ3033" s="485"/>
    </row>
    <row r="3034" spans="2:36">
      <c r="B3034" s="136" t="s">
        <v>435</v>
      </c>
      <c r="C3034" s="132" t="s">
        <v>1368</v>
      </c>
      <c r="D3034" s="132" t="s">
        <v>283</v>
      </c>
      <c r="E3034" s="508">
        <v>5.5359999999999996</v>
      </c>
      <c r="F3034" s="508">
        <v>5.9020000000000001</v>
      </c>
      <c r="G3034" s="508">
        <v>5.7370000000000001</v>
      </c>
      <c r="H3034" s="508">
        <v>5.6260000000000003</v>
      </c>
      <c r="I3034" s="508">
        <v>5.6260000000000003</v>
      </c>
      <c r="J3034" s="508">
        <v>5.9669999999999996</v>
      </c>
      <c r="K3034" s="508">
        <v>5.94</v>
      </c>
      <c r="L3034" s="508">
        <v>6.4020000000000001</v>
      </c>
      <c r="M3034" s="508">
        <v>6.2439999999999998</v>
      </c>
      <c r="N3034" s="508">
        <v>5.9340000000000002</v>
      </c>
      <c r="O3034" s="508">
        <v>5.9429999999999996</v>
      </c>
      <c r="P3034" s="508">
        <v>5.0279999999999996</v>
      </c>
      <c r="Q3034" s="508">
        <v>4.0570000000000004</v>
      </c>
      <c r="R3034" s="508">
        <v>3.96</v>
      </c>
      <c r="S3034" s="508">
        <v>3.9940000000000002</v>
      </c>
      <c r="T3034" s="508">
        <v>3.7959999999999998</v>
      </c>
      <c r="U3034" s="508">
        <v>3.0649999999999999</v>
      </c>
      <c r="V3034" s="508">
        <v>3.93</v>
      </c>
      <c r="W3034" s="508">
        <v>2.8490000000000002</v>
      </c>
      <c r="X3034" s="508">
        <v>2.5489999999999999</v>
      </c>
      <c r="Y3034" s="508">
        <v>2.6419999999999999</v>
      </c>
      <c r="Z3034" s="508">
        <v>2.7509999999999999</v>
      </c>
      <c r="AA3034" s="508">
        <v>1.496</v>
      </c>
      <c r="AB3034" s="508">
        <v>1.5249999999999999</v>
      </c>
      <c r="AC3034" s="508">
        <v>1.224</v>
      </c>
      <c r="AD3034" s="508">
        <v>0.58199999999999996</v>
      </c>
      <c r="AE3034" s="508">
        <v>0.71499999999999997</v>
      </c>
      <c r="AF3034" s="508">
        <v>0.498</v>
      </c>
      <c r="AG3034" s="508">
        <v>0.495</v>
      </c>
      <c r="AH3034" s="508">
        <v>0.49299999999999999</v>
      </c>
      <c r="AI3034" s="492">
        <v>0.49</v>
      </c>
      <c r="AJ3034" s="485"/>
    </row>
    <row r="3035" spans="2:36">
      <c r="B3035" s="136" t="s">
        <v>436</v>
      </c>
      <c r="C3035" s="132" t="s">
        <v>1368</v>
      </c>
      <c r="D3035" s="132" t="s">
        <v>283</v>
      </c>
      <c r="E3035" s="508">
        <v>6.0810000000000004</v>
      </c>
      <c r="F3035" s="508">
        <v>6.3840000000000003</v>
      </c>
      <c r="G3035" s="508">
        <v>6.2089999999999996</v>
      </c>
      <c r="H3035" s="508">
        <v>6.0910000000000002</v>
      </c>
      <c r="I3035" s="508">
        <v>6.0910000000000002</v>
      </c>
      <c r="J3035" s="508">
        <v>6.4539999999999997</v>
      </c>
      <c r="K3035" s="508">
        <v>6.4269999999999996</v>
      </c>
      <c r="L3035" s="508">
        <v>6.915</v>
      </c>
      <c r="M3035" s="508">
        <v>6.7489999999999997</v>
      </c>
      <c r="N3035" s="508">
        <v>6.4290000000000003</v>
      </c>
      <c r="O3035" s="508">
        <v>6.4409999999999998</v>
      </c>
      <c r="P3035" s="508">
        <v>5.423</v>
      </c>
      <c r="Q3035" s="508">
        <v>4.3730000000000002</v>
      </c>
      <c r="R3035" s="508">
        <v>4.2699999999999996</v>
      </c>
      <c r="S3035" s="508">
        <v>4.3090000000000002</v>
      </c>
      <c r="T3035" s="508">
        <v>4.0970000000000004</v>
      </c>
      <c r="U3035" s="508">
        <v>3.323</v>
      </c>
      <c r="V3035" s="508">
        <v>4.2519999999999998</v>
      </c>
      <c r="W3035" s="508">
        <v>3.0950000000000002</v>
      </c>
      <c r="X3035" s="508">
        <v>2.7679999999999998</v>
      </c>
      <c r="Y3035" s="508">
        <v>2.8679999999999999</v>
      </c>
      <c r="Z3035" s="508">
        <v>2.9870000000000001</v>
      </c>
      <c r="AA3035" s="508">
        <v>1.609</v>
      </c>
      <c r="AB3035" s="508">
        <v>1.639</v>
      </c>
      <c r="AC3035" s="508">
        <v>1.3169999999999999</v>
      </c>
      <c r="AD3035" s="508">
        <v>0.625</v>
      </c>
      <c r="AE3035" s="508">
        <v>0.76600000000000001</v>
      </c>
      <c r="AF3035" s="508">
        <v>0.53100000000000003</v>
      </c>
      <c r="AG3035" s="508">
        <v>0.52800000000000002</v>
      </c>
      <c r="AH3035" s="508">
        <v>0.52500000000000002</v>
      </c>
      <c r="AI3035" s="492">
        <v>0.52300000000000002</v>
      </c>
      <c r="AJ3035" s="485"/>
    </row>
    <row r="3036" spans="2:36">
      <c r="B3036" s="136" t="s">
        <v>437</v>
      </c>
      <c r="C3036" s="132" t="s">
        <v>1368</v>
      </c>
      <c r="D3036" s="132" t="s">
        <v>283</v>
      </c>
      <c r="E3036" s="508">
        <v>6.2779999999999996</v>
      </c>
      <c r="F3036" s="508">
        <v>6.6550000000000002</v>
      </c>
      <c r="G3036" s="508">
        <v>6.3979999999999997</v>
      </c>
      <c r="H3036" s="508">
        <v>6.2279999999999998</v>
      </c>
      <c r="I3036" s="508">
        <v>6.2640000000000002</v>
      </c>
      <c r="J3036" s="508">
        <v>6.6619999999999999</v>
      </c>
      <c r="K3036" s="508">
        <v>6.6310000000000002</v>
      </c>
      <c r="L3036" s="508">
        <v>7.7069999999999999</v>
      </c>
      <c r="M3036" s="508">
        <v>7.4050000000000002</v>
      </c>
      <c r="N3036" s="508">
        <v>6.7409999999999997</v>
      </c>
      <c r="O3036" s="508">
        <v>6.8410000000000002</v>
      </c>
      <c r="P3036" s="508">
        <v>6.1360000000000001</v>
      </c>
      <c r="Q3036" s="508">
        <v>4.8470000000000004</v>
      </c>
      <c r="R3036" s="508">
        <v>4.7960000000000003</v>
      </c>
      <c r="S3036" s="508">
        <v>4.8540000000000001</v>
      </c>
      <c r="T3036" s="508">
        <v>4.5880000000000001</v>
      </c>
      <c r="U3036" s="508">
        <v>3.7429999999999999</v>
      </c>
      <c r="V3036" s="508">
        <v>4.8860000000000001</v>
      </c>
      <c r="W3036" s="508">
        <v>3.363</v>
      </c>
      <c r="X3036" s="508">
        <v>3.0230000000000001</v>
      </c>
      <c r="Y3036" s="508">
        <v>3.14</v>
      </c>
      <c r="Z3036" s="508">
        <v>3.2770000000000001</v>
      </c>
      <c r="AA3036" s="508">
        <v>1.7989999999999999</v>
      </c>
      <c r="AB3036" s="508">
        <v>1.839</v>
      </c>
      <c r="AC3036" s="508">
        <v>1.474</v>
      </c>
      <c r="AD3036" s="508">
        <v>0.69</v>
      </c>
      <c r="AE3036" s="508">
        <v>0.85</v>
      </c>
      <c r="AF3036" s="508">
        <v>0.58599999999999997</v>
      </c>
      <c r="AG3036" s="508">
        <v>0.58299999999999996</v>
      </c>
      <c r="AH3036" s="508">
        <v>0.58099999999999996</v>
      </c>
      <c r="AI3036" s="492">
        <v>0.57899999999999996</v>
      </c>
      <c r="AJ3036" s="485"/>
    </row>
    <row r="3037" spans="2:36">
      <c r="B3037" s="136" t="s">
        <v>438</v>
      </c>
      <c r="C3037" s="132" t="s">
        <v>1368</v>
      </c>
      <c r="D3037" s="132" t="s">
        <v>283</v>
      </c>
      <c r="E3037" s="508">
        <v>5.6029999999999998</v>
      </c>
      <c r="F3037" s="508">
        <v>5.9320000000000004</v>
      </c>
      <c r="G3037" s="508">
        <v>5.8120000000000003</v>
      </c>
      <c r="H3037" s="508">
        <v>5.7320000000000002</v>
      </c>
      <c r="I3037" s="508">
        <v>5.7320000000000002</v>
      </c>
      <c r="J3037" s="508">
        <v>6.0650000000000004</v>
      </c>
      <c r="K3037" s="508">
        <v>6.04</v>
      </c>
      <c r="L3037" s="508">
        <v>6.32</v>
      </c>
      <c r="M3037" s="508">
        <v>6.2110000000000003</v>
      </c>
      <c r="N3037" s="508">
        <v>6.0220000000000002</v>
      </c>
      <c r="O3037" s="508">
        <v>6.0090000000000003</v>
      </c>
      <c r="P3037" s="508">
        <v>4.9569999999999999</v>
      </c>
      <c r="Q3037" s="508">
        <v>4.0350000000000001</v>
      </c>
      <c r="R3037" s="508">
        <v>3.9239999999999999</v>
      </c>
      <c r="S3037" s="508">
        <v>3.9550000000000001</v>
      </c>
      <c r="T3037" s="508">
        <v>3.7669999999999999</v>
      </c>
      <c r="U3037" s="508">
        <v>3.0449999999999999</v>
      </c>
      <c r="V3037" s="508">
        <v>3.8679999999999999</v>
      </c>
      <c r="W3037" s="508">
        <v>2.8460000000000001</v>
      </c>
      <c r="X3037" s="508">
        <v>2.5379999999999998</v>
      </c>
      <c r="Y3037" s="508">
        <v>2.6259999999999999</v>
      </c>
      <c r="Z3037" s="508">
        <v>2.7309999999999999</v>
      </c>
      <c r="AA3037" s="508">
        <v>1.4650000000000001</v>
      </c>
      <c r="AB3037" s="508">
        <v>1.4910000000000001</v>
      </c>
      <c r="AC3037" s="508">
        <v>1.2</v>
      </c>
      <c r="AD3037" s="508">
        <v>0.57499999999999996</v>
      </c>
      <c r="AE3037" s="508">
        <v>0.70299999999999996</v>
      </c>
      <c r="AF3037" s="508">
        <v>0.49</v>
      </c>
      <c r="AG3037" s="508">
        <v>0.48699999999999999</v>
      </c>
      <c r="AH3037" s="508">
        <v>0.48399999999999999</v>
      </c>
      <c r="AI3037" s="492">
        <v>0.48199999999999998</v>
      </c>
      <c r="AJ3037" s="485"/>
    </row>
    <row r="3038" spans="2:36">
      <c r="B3038" s="136" t="s">
        <v>439</v>
      </c>
      <c r="C3038" s="132" t="s">
        <v>1368</v>
      </c>
      <c r="D3038" s="132" t="s">
        <v>283</v>
      </c>
      <c r="E3038" s="508">
        <v>5.7619999999999996</v>
      </c>
      <c r="F3038" s="508">
        <v>6.1619999999999999</v>
      </c>
      <c r="G3038" s="508">
        <v>5.98</v>
      </c>
      <c r="H3038" s="508">
        <v>5.8579999999999997</v>
      </c>
      <c r="I3038" s="508">
        <v>5.8579999999999997</v>
      </c>
      <c r="J3038" s="508">
        <v>6.22</v>
      </c>
      <c r="K3038" s="508">
        <v>6.1920000000000002</v>
      </c>
      <c r="L3038" s="508">
        <v>6.7069999999999999</v>
      </c>
      <c r="M3038" s="508">
        <v>6.5330000000000004</v>
      </c>
      <c r="N3038" s="508">
        <v>6.1879999999999997</v>
      </c>
      <c r="O3038" s="508">
        <v>6.202</v>
      </c>
      <c r="P3038" s="508">
        <v>5.27</v>
      </c>
      <c r="Q3038" s="508">
        <v>4.2469999999999999</v>
      </c>
      <c r="R3038" s="508">
        <v>4.1470000000000002</v>
      </c>
      <c r="S3038" s="508">
        <v>4.1840000000000002</v>
      </c>
      <c r="T3038" s="508">
        <v>3.976</v>
      </c>
      <c r="U3038" s="508">
        <v>3.2210000000000001</v>
      </c>
      <c r="V3038" s="508">
        <v>4.1269999999999998</v>
      </c>
      <c r="W3038" s="508">
        <v>2.9769999999999999</v>
      </c>
      <c r="X3038" s="508">
        <v>2.6619999999999999</v>
      </c>
      <c r="Y3038" s="508">
        <v>2.758</v>
      </c>
      <c r="Z3038" s="508">
        <v>2.8719999999999999</v>
      </c>
      <c r="AA3038" s="508">
        <v>1.5629999999999999</v>
      </c>
      <c r="AB3038" s="508">
        <v>1.593</v>
      </c>
      <c r="AC3038" s="508">
        <v>1.28</v>
      </c>
      <c r="AD3038" s="508">
        <v>0.60899999999999999</v>
      </c>
      <c r="AE3038" s="508">
        <v>0.747</v>
      </c>
      <c r="AF3038" s="508">
        <v>0.52</v>
      </c>
      <c r="AG3038" s="508">
        <v>0.51700000000000002</v>
      </c>
      <c r="AH3038" s="508">
        <v>0.51400000000000001</v>
      </c>
      <c r="AI3038" s="492">
        <v>0.51200000000000001</v>
      </c>
      <c r="AJ3038" s="485"/>
    </row>
    <row r="3039" spans="2:36">
      <c r="B3039" s="136" t="s">
        <v>440</v>
      </c>
      <c r="C3039" s="132" t="s">
        <v>1368</v>
      </c>
      <c r="D3039" s="132" t="s">
        <v>283</v>
      </c>
      <c r="E3039" s="508">
        <v>5.9809999999999999</v>
      </c>
      <c r="F3039" s="508">
        <v>6.33</v>
      </c>
      <c r="G3039" s="508">
        <v>6.141</v>
      </c>
      <c r="H3039" s="508">
        <v>6.0129999999999999</v>
      </c>
      <c r="I3039" s="508">
        <v>6.0129999999999999</v>
      </c>
      <c r="J3039" s="508">
        <v>6.3810000000000002</v>
      </c>
      <c r="K3039" s="508">
        <v>6.3529999999999998</v>
      </c>
      <c r="L3039" s="508">
        <v>6.899</v>
      </c>
      <c r="M3039" s="508">
        <v>6.7160000000000002</v>
      </c>
      <c r="N3039" s="508">
        <v>6.3529999999999998</v>
      </c>
      <c r="O3039" s="508">
        <v>6.3719999999999999</v>
      </c>
      <c r="P3039" s="508">
        <v>5.415</v>
      </c>
      <c r="Q3039" s="508">
        <v>4.3570000000000002</v>
      </c>
      <c r="R3039" s="508">
        <v>4.258</v>
      </c>
      <c r="S3039" s="508">
        <v>4.2969999999999997</v>
      </c>
      <c r="T3039" s="508">
        <v>4.0830000000000002</v>
      </c>
      <c r="U3039" s="508">
        <v>3.3109999999999999</v>
      </c>
      <c r="V3039" s="508">
        <v>4.2469999999999999</v>
      </c>
      <c r="W3039" s="508">
        <v>3.07</v>
      </c>
      <c r="X3039" s="508">
        <v>2.7469999999999999</v>
      </c>
      <c r="Y3039" s="508">
        <v>2.847</v>
      </c>
      <c r="Z3039" s="508">
        <v>2.9649999999999999</v>
      </c>
      <c r="AA3039" s="508">
        <v>1.6080000000000001</v>
      </c>
      <c r="AB3039" s="508">
        <v>1.639</v>
      </c>
      <c r="AC3039" s="508">
        <v>1.3169999999999999</v>
      </c>
      <c r="AD3039" s="508">
        <v>0.624</v>
      </c>
      <c r="AE3039" s="508">
        <v>0.76600000000000001</v>
      </c>
      <c r="AF3039" s="508">
        <v>0.53100000000000003</v>
      </c>
      <c r="AG3039" s="508">
        <v>0.52800000000000002</v>
      </c>
      <c r="AH3039" s="508">
        <v>0.52600000000000002</v>
      </c>
      <c r="AI3039" s="492">
        <v>0.52300000000000002</v>
      </c>
      <c r="AJ3039" s="485"/>
    </row>
    <row r="3040" spans="2:36">
      <c r="B3040" s="136" t="s">
        <v>441</v>
      </c>
      <c r="C3040" s="132" t="s">
        <v>1368</v>
      </c>
      <c r="D3040" s="132" t="s">
        <v>283</v>
      </c>
      <c r="E3040" s="508">
        <v>5.8920000000000003</v>
      </c>
      <c r="F3040" s="508">
        <v>6.2809999999999997</v>
      </c>
      <c r="G3040" s="508">
        <v>6.0940000000000003</v>
      </c>
      <c r="H3040" s="508">
        <v>5.9669999999999996</v>
      </c>
      <c r="I3040" s="508">
        <v>5.9669999999999996</v>
      </c>
      <c r="J3040" s="508">
        <v>6.3380000000000001</v>
      </c>
      <c r="K3040" s="508">
        <v>6.31</v>
      </c>
      <c r="L3040" s="508">
        <v>6.843</v>
      </c>
      <c r="M3040" s="508">
        <v>6.6639999999999997</v>
      </c>
      <c r="N3040" s="508">
        <v>6.3019999999999996</v>
      </c>
      <c r="O3040" s="508">
        <v>6.319</v>
      </c>
      <c r="P3040" s="508">
        <v>5.3739999999999997</v>
      </c>
      <c r="Q3040" s="508">
        <v>4.3280000000000003</v>
      </c>
      <c r="R3040" s="508">
        <v>4.2279999999999998</v>
      </c>
      <c r="S3040" s="508">
        <v>4.266</v>
      </c>
      <c r="T3040" s="508">
        <v>4.0529999999999999</v>
      </c>
      <c r="U3040" s="508">
        <v>3.2869999999999999</v>
      </c>
      <c r="V3040" s="508">
        <v>4.2119999999999997</v>
      </c>
      <c r="W3040" s="508">
        <v>3.0390000000000001</v>
      </c>
      <c r="X3040" s="508">
        <v>2.7170000000000001</v>
      </c>
      <c r="Y3040" s="508">
        <v>2.8149999999999999</v>
      </c>
      <c r="Z3040" s="508">
        <v>2.931</v>
      </c>
      <c r="AA3040" s="508">
        <v>1.5940000000000001</v>
      </c>
      <c r="AB3040" s="508">
        <v>1.6240000000000001</v>
      </c>
      <c r="AC3040" s="508">
        <v>1.3049999999999999</v>
      </c>
      <c r="AD3040" s="508">
        <v>0.62</v>
      </c>
      <c r="AE3040" s="508">
        <v>0.76100000000000001</v>
      </c>
      <c r="AF3040" s="508">
        <v>0.52800000000000002</v>
      </c>
      <c r="AG3040" s="508">
        <v>0.52500000000000002</v>
      </c>
      <c r="AH3040" s="508">
        <v>0.52300000000000002</v>
      </c>
      <c r="AI3040" s="492">
        <v>0.52100000000000002</v>
      </c>
      <c r="AJ3040" s="485"/>
    </row>
    <row r="3041" spans="2:36">
      <c r="B3041" s="136" t="s">
        <v>443</v>
      </c>
      <c r="C3041" s="132" t="s">
        <v>1368</v>
      </c>
      <c r="D3041" s="132" t="s">
        <v>283</v>
      </c>
      <c r="E3041" s="508">
        <v>5.7640000000000002</v>
      </c>
      <c r="F3041" s="508">
        <v>6.125</v>
      </c>
      <c r="G3041" s="508">
        <v>5.91</v>
      </c>
      <c r="H3041" s="508">
        <v>5.7649999999999997</v>
      </c>
      <c r="I3041" s="508">
        <v>5.7649999999999997</v>
      </c>
      <c r="J3041" s="508">
        <v>6.1310000000000002</v>
      </c>
      <c r="K3041" s="508">
        <v>6.1020000000000003</v>
      </c>
      <c r="L3041" s="508">
        <v>6.7530000000000001</v>
      </c>
      <c r="M3041" s="508">
        <v>6.5430000000000001</v>
      </c>
      <c r="N3041" s="508">
        <v>6.0960000000000001</v>
      </c>
      <c r="O3041" s="508">
        <v>6.13</v>
      </c>
      <c r="P3041" s="508">
        <v>5.3040000000000003</v>
      </c>
      <c r="Q3041" s="508">
        <v>4.242</v>
      </c>
      <c r="R3041" s="508">
        <v>4.1550000000000002</v>
      </c>
      <c r="S3041" s="508">
        <v>4.1959999999999997</v>
      </c>
      <c r="T3041" s="508">
        <v>3.98</v>
      </c>
      <c r="U3041" s="508">
        <v>3.2170000000000001</v>
      </c>
      <c r="V3041" s="508">
        <v>4.1580000000000004</v>
      </c>
      <c r="W3041" s="508">
        <v>2.98</v>
      </c>
      <c r="X3041" s="508">
        <v>2.6749999999999998</v>
      </c>
      <c r="Y3041" s="508">
        <v>2.7770000000000001</v>
      </c>
      <c r="Z3041" s="508">
        <v>2.895</v>
      </c>
      <c r="AA3041" s="508">
        <v>1.5860000000000001</v>
      </c>
      <c r="AB3041" s="508">
        <v>1.619</v>
      </c>
      <c r="AC3041" s="508">
        <v>1.2969999999999999</v>
      </c>
      <c r="AD3041" s="508">
        <v>0.61099999999999999</v>
      </c>
      <c r="AE3041" s="508">
        <v>0.754</v>
      </c>
      <c r="AF3041" s="508">
        <v>0.52300000000000002</v>
      </c>
      <c r="AG3041" s="508">
        <v>0.52</v>
      </c>
      <c r="AH3041" s="508">
        <v>0.51800000000000002</v>
      </c>
      <c r="AI3041" s="492">
        <v>0.51500000000000001</v>
      </c>
      <c r="AJ3041" s="485"/>
    </row>
    <row r="3042" spans="2:36">
      <c r="B3042" s="136" t="s">
        <v>445</v>
      </c>
      <c r="C3042" s="132" t="s">
        <v>1368</v>
      </c>
      <c r="D3042" s="132" t="s">
        <v>283</v>
      </c>
      <c r="E3042" s="508">
        <v>5.8330000000000002</v>
      </c>
      <c r="F3042" s="508">
        <v>6.3159999999999998</v>
      </c>
      <c r="G3042" s="508">
        <v>6.0030000000000001</v>
      </c>
      <c r="H3042" s="508">
        <v>5.7919999999999998</v>
      </c>
      <c r="I3042" s="508">
        <v>5.7919999999999998</v>
      </c>
      <c r="J3042" s="508">
        <v>6.1859999999999999</v>
      </c>
      <c r="K3042" s="508">
        <v>6.1520000000000001</v>
      </c>
      <c r="L3042" s="508">
        <v>7.1870000000000003</v>
      </c>
      <c r="M3042" s="508">
        <v>6.8689999999999998</v>
      </c>
      <c r="N3042" s="508">
        <v>6.1959999999999997</v>
      </c>
      <c r="O3042" s="508">
        <v>6.2729999999999997</v>
      </c>
      <c r="P3042" s="508">
        <v>5.6630000000000003</v>
      </c>
      <c r="Q3042" s="508">
        <v>4.4649999999999999</v>
      </c>
      <c r="R3042" s="508">
        <v>4.399</v>
      </c>
      <c r="S3042" s="508">
        <v>4.45</v>
      </c>
      <c r="T3042" s="508">
        <v>4.2050000000000001</v>
      </c>
      <c r="U3042" s="508">
        <v>3.4039999999999999</v>
      </c>
      <c r="V3042" s="508">
        <v>4.4569999999999999</v>
      </c>
      <c r="W3042" s="508">
        <v>3.1040000000000001</v>
      </c>
      <c r="X3042" s="508">
        <v>2.8</v>
      </c>
      <c r="Y3042" s="508">
        <v>2.9119999999999999</v>
      </c>
      <c r="Z3042" s="508">
        <v>3.0409999999999999</v>
      </c>
      <c r="AA3042" s="508">
        <v>1.704</v>
      </c>
      <c r="AB3042" s="508">
        <v>1.7430000000000001</v>
      </c>
      <c r="AC3042" s="508">
        <v>1.3919999999999999</v>
      </c>
      <c r="AD3042" s="508">
        <v>0.65100000000000002</v>
      </c>
      <c r="AE3042" s="508">
        <v>0.80700000000000005</v>
      </c>
      <c r="AF3042" s="508">
        <v>0.55900000000000005</v>
      </c>
      <c r="AG3042" s="508">
        <v>0.55600000000000005</v>
      </c>
      <c r="AH3042" s="508">
        <v>0.55300000000000005</v>
      </c>
      <c r="AI3042" s="492">
        <v>0.55100000000000005</v>
      </c>
      <c r="AJ3042" s="485"/>
    </row>
    <row r="3043" spans="2:36">
      <c r="B3043" s="136" t="s">
        <v>446</v>
      </c>
      <c r="C3043" s="132" t="s">
        <v>1368</v>
      </c>
      <c r="D3043" s="132" t="s">
        <v>283</v>
      </c>
      <c r="E3043" s="508">
        <v>5.6130000000000004</v>
      </c>
      <c r="F3043" s="508">
        <v>6.1070000000000002</v>
      </c>
      <c r="G3043" s="508">
        <v>5.8330000000000002</v>
      </c>
      <c r="H3043" s="508">
        <v>5.6509999999999998</v>
      </c>
      <c r="I3043" s="508">
        <v>5.6859999999999999</v>
      </c>
      <c r="J3043" s="508">
        <v>6.0579999999999998</v>
      </c>
      <c r="K3043" s="508">
        <v>6.0259999999999998</v>
      </c>
      <c r="L3043" s="508">
        <v>7.2069999999999999</v>
      </c>
      <c r="M3043" s="508">
        <v>6.8780000000000001</v>
      </c>
      <c r="N3043" s="508">
        <v>6.1529999999999996</v>
      </c>
      <c r="O3043" s="508">
        <v>6.266</v>
      </c>
      <c r="P3043" s="508">
        <v>5.7679999999999998</v>
      </c>
      <c r="Q3043" s="508">
        <v>4.5289999999999999</v>
      </c>
      <c r="R3043" s="508">
        <v>4.4939999999999998</v>
      </c>
      <c r="S3043" s="508">
        <v>4.55</v>
      </c>
      <c r="T3043" s="508">
        <v>4.2910000000000004</v>
      </c>
      <c r="U3043" s="508">
        <v>3.4860000000000002</v>
      </c>
      <c r="V3043" s="508">
        <v>4.59</v>
      </c>
      <c r="W3043" s="508">
        <v>3.0859999999999999</v>
      </c>
      <c r="X3043" s="508">
        <v>2.782</v>
      </c>
      <c r="Y3043" s="508">
        <v>2.8929999999999998</v>
      </c>
      <c r="Z3043" s="508">
        <v>3.0209999999999999</v>
      </c>
      <c r="AA3043" s="508">
        <v>1.6919999999999999</v>
      </c>
      <c r="AB3043" s="508">
        <v>1.732</v>
      </c>
      <c r="AC3043" s="508">
        <v>1.3839999999999999</v>
      </c>
      <c r="AD3043" s="508">
        <v>0.64800000000000002</v>
      </c>
      <c r="AE3043" s="508">
        <v>0.80200000000000005</v>
      </c>
      <c r="AF3043" s="508">
        <v>0.55600000000000005</v>
      </c>
      <c r="AG3043" s="508">
        <v>0.55300000000000005</v>
      </c>
      <c r="AH3043" s="508">
        <v>0.55000000000000004</v>
      </c>
      <c r="AI3043" s="492">
        <v>0.54800000000000004</v>
      </c>
      <c r="AJ3043" s="485"/>
    </row>
    <row r="3044" spans="2:36">
      <c r="B3044" s="136" t="s">
        <v>448</v>
      </c>
      <c r="C3044" s="132" t="s">
        <v>1368</v>
      </c>
      <c r="D3044" s="132" t="s">
        <v>283</v>
      </c>
      <c r="E3044" s="508">
        <v>5.5759999999999996</v>
      </c>
      <c r="F3044" s="508">
        <v>5.93</v>
      </c>
      <c r="G3044" s="508">
        <v>5.7919999999999998</v>
      </c>
      <c r="H3044" s="508">
        <v>5.6989999999999998</v>
      </c>
      <c r="I3044" s="508">
        <v>5.6989999999999998</v>
      </c>
      <c r="J3044" s="508">
        <v>6.0359999999999996</v>
      </c>
      <c r="K3044" s="508">
        <v>6.01</v>
      </c>
      <c r="L3044" s="508">
        <v>6.3650000000000002</v>
      </c>
      <c r="M3044" s="508">
        <v>6.2350000000000003</v>
      </c>
      <c r="N3044" s="508">
        <v>5.9980000000000002</v>
      </c>
      <c r="O3044" s="508">
        <v>5.9930000000000003</v>
      </c>
      <c r="P3044" s="508">
        <v>4.9960000000000004</v>
      </c>
      <c r="Q3044" s="508">
        <v>4.0529999999999999</v>
      </c>
      <c r="R3044" s="508">
        <v>3.9470000000000001</v>
      </c>
      <c r="S3044" s="508">
        <v>3.9790000000000001</v>
      </c>
      <c r="T3044" s="508">
        <v>3.7869999999999999</v>
      </c>
      <c r="U3044" s="508">
        <v>3.06</v>
      </c>
      <c r="V3044" s="508">
        <v>3.9009999999999998</v>
      </c>
      <c r="W3044" s="508">
        <v>2.851</v>
      </c>
      <c r="X3044" s="508">
        <v>2.5449999999999999</v>
      </c>
      <c r="Y3044" s="508">
        <v>2.6349999999999998</v>
      </c>
      <c r="Z3044" s="508">
        <v>2.742</v>
      </c>
      <c r="AA3044" s="508">
        <v>1.48</v>
      </c>
      <c r="AB3044" s="508">
        <v>1.5069999999999999</v>
      </c>
      <c r="AC3044" s="508">
        <v>1.2110000000000001</v>
      </c>
      <c r="AD3044" s="508">
        <v>0.57899999999999996</v>
      </c>
      <c r="AE3044" s="508">
        <v>0.70899999999999996</v>
      </c>
      <c r="AF3044" s="508">
        <v>0.49399999999999999</v>
      </c>
      <c r="AG3044" s="508">
        <v>0.49099999999999999</v>
      </c>
      <c r="AH3044" s="508">
        <v>0.48899999999999999</v>
      </c>
      <c r="AI3044" s="492">
        <v>0.48599999999999999</v>
      </c>
      <c r="AJ3044" s="485"/>
    </row>
    <row r="3045" spans="2:36">
      <c r="B3045" s="136" t="s">
        <v>449</v>
      </c>
      <c r="C3045" s="132" t="s">
        <v>1368</v>
      </c>
      <c r="D3045" s="132" t="s">
        <v>283</v>
      </c>
      <c r="E3045" s="508">
        <v>5.5890000000000004</v>
      </c>
      <c r="F3045" s="508">
        <v>6.0369999999999999</v>
      </c>
      <c r="G3045" s="508">
        <v>5.8019999999999996</v>
      </c>
      <c r="H3045" s="508">
        <v>5.6470000000000002</v>
      </c>
      <c r="I3045" s="508">
        <v>5.6829999999999998</v>
      </c>
      <c r="J3045" s="508">
        <v>6.0490000000000004</v>
      </c>
      <c r="K3045" s="508">
        <v>6.02</v>
      </c>
      <c r="L3045" s="508">
        <v>7.0339999999999998</v>
      </c>
      <c r="M3045" s="508">
        <v>6.75</v>
      </c>
      <c r="N3045" s="508">
        <v>6.1150000000000002</v>
      </c>
      <c r="O3045" s="508">
        <v>6.21</v>
      </c>
      <c r="P3045" s="508">
        <v>5.6189999999999998</v>
      </c>
      <c r="Q3045" s="508">
        <v>4.4379999999999997</v>
      </c>
      <c r="R3045" s="508">
        <v>4.3929999999999998</v>
      </c>
      <c r="S3045" s="508">
        <v>4.4450000000000003</v>
      </c>
      <c r="T3045" s="508">
        <v>4.1989999999999998</v>
      </c>
      <c r="U3045" s="508">
        <v>3.4089999999999998</v>
      </c>
      <c r="V3045" s="508">
        <v>4.4649999999999999</v>
      </c>
      <c r="W3045" s="508">
        <v>3.0419999999999998</v>
      </c>
      <c r="X3045" s="508">
        <v>2.7370000000000001</v>
      </c>
      <c r="Y3045" s="508">
        <v>2.8439999999999999</v>
      </c>
      <c r="Z3045" s="508">
        <v>2.968</v>
      </c>
      <c r="AA3045" s="508">
        <v>1.6479999999999999</v>
      </c>
      <c r="AB3045" s="508">
        <v>1.6850000000000001</v>
      </c>
      <c r="AC3045" s="508">
        <v>1.3480000000000001</v>
      </c>
      <c r="AD3045" s="508">
        <v>0.63300000000000001</v>
      </c>
      <c r="AE3045" s="508">
        <v>0.78200000000000003</v>
      </c>
      <c r="AF3045" s="508">
        <v>0.54200000000000004</v>
      </c>
      <c r="AG3045" s="508">
        <v>0.53900000000000003</v>
      </c>
      <c r="AH3045" s="508">
        <v>0.53700000000000003</v>
      </c>
      <c r="AI3045" s="492">
        <v>0.53500000000000003</v>
      </c>
      <c r="AJ3045" s="485"/>
    </row>
    <row r="3046" spans="2:36">
      <c r="B3046" s="136" t="s">
        <v>450</v>
      </c>
      <c r="C3046" s="132" t="s">
        <v>1368</v>
      </c>
      <c r="D3046" s="132" t="s">
        <v>283</v>
      </c>
      <c r="E3046" s="508">
        <v>5.907</v>
      </c>
      <c r="F3046" s="508">
        <v>6.2089999999999996</v>
      </c>
      <c r="G3046" s="508">
        <v>6.0460000000000003</v>
      </c>
      <c r="H3046" s="508">
        <v>5.9359999999999999</v>
      </c>
      <c r="I3046" s="508">
        <v>5.9359999999999999</v>
      </c>
      <c r="J3046" s="508">
        <v>6.2889999999999997</v>
      </c>
      <c r="K3046" s="508">
        <v>6.2619999999999996</v>
      </c>
      <c r="L3046" s="508">
        <v>6.7089999999999996</v>
      </c>
      <c r="M3046" s="508">
        <v>6.5540000000000003</v>
      </c>
      <c r="N3046" s="508">
        <v>6.2560000000000002</v>
      </c>
      <c r="O3046" s="508">
        <v>6.2629999999999999</v>
      </c>
      <c r="P3046" s="508">
        <v>5.2610000000000001</v>
      </c>
      <c r="Q3046" s="508">
        <v>4.2480000000000002</v>
      </c>
      <c r="R3046" s="508">
        <v>4.1449999999999996</v>
      </c>
      <c r="S3046" s="508">
        <v>4.1820000000000004</v>
      </c>
      <c r="T3046" s="508">
        <v>3.9769999999999999</v>
      </c>
      <c r="U3046" s="508">
        <v>3.22</v>
      </c>
      <c r="V3046" s="508">
        <v>4.12</v>
      </c>
      <c r="W3046" s="508">
        <v>3.004</v>
      </c>
      <c r="X3046" s="508">
        <v>2.6859999999999999</v>
      </c>
      <c r="Y3046" s="508">
        <v>2.7829999999999999</v>
      </c>
      <c r="Z3046" s="508">
        <v>2.8980000000000001</v>
      </c>
      <c r="AA3046" s="508">
        <v>1.5620000000000001</v>
      </c>
      <c r="AB3046" s="508">
        <v>1.591</v>
      </c>
      <c r="AC3046" s="508">
        <v>1.2789999999999999</v>
      </c>
      <c r="AD3046" s="508">
        <v>0.60699999999999998</v>
      </c>
      <c r="AE3046" s="508">
        <v>0.74399999999999999</v>
      </c>
      <c r="AF3046" s="508">
        <v>0.51700000000000002</v>
      </c>
      <c r="AG3046" s="508">
        <v>0.51400000000000001</v>
      </c>
      <c r="AH3046" s="508">
        <v>0.51100000000000001</v>
      </c>
      <c r="AI3046" s="492">
        <v>0.50900000000000001</v>
      </c>
      <c r="AJ3046" s="485"/>
    </row>
    <row r="3047" spans="2:36">
      <c r="B3047" s="136" t="s">
        <v>451</v>
      </c>
      <c r="C3047" s="132" t="s">
        <v>1368</v>
      </c>
      <c r="D3047" s="132" t="s">
        <v>283</v>
      </c>
      <c r="E3047" s="508">
        <v>5.8760000000000003</v>
      </c>
      <c r="F3047" s="508">
        <v>6.3230000000000004</v>
      </c>
      <c r="G3047" s="508">
        <v>6.0529999999999999</v>
      </c>
      <c r="H3047" s="508">
        <v>5.8719999999999999</v>
      </c>
      <c r="I3047" s="508">
        <v>5.8719999999999999</v>
      </c>
      <c r="J3047" s="508">
        <v>6.258</v>
      </c>
      <c r="K3047" s="508">
        <v>6.226</v>
      </c>
      <c r="L3047" s="508">
        <v>7.0869999999999997</v>
      </c>
      <c r="M3047" s="508">
        <v>6.8170000000000002</v>
      </c>
      <c r="N3047" s="508">
        <v>6.2530000000000001</v>
      </c>
      <c r="O3047" s="508">
        <v>6.3090000000000002</v>
      </c>
      <c r="P3047" s="508">
        <v>5.5780000000000003</v>
      </c>
      <c r="Q3047" s="508">
        <v>4.43</v>
      </c>
      <c r="R3047" s="508">
        <v>4.3520000000000003</v>
      </c>
      <c r="S3047" s="508">
        <v>4.3979999999999997</v>
      </c>
      <c r="T3047" s="508">
        <v>4.1639999999999997</v>
      </c>
      <c r="U3047" s="508">
        <v>3.3730000000000002</v>
      </c>
      <c r="V3047" s="508">
        <v>4.3840000000000003</v>
      </c>
      <c r="W3047" s="508">
        <v>3.0910000000000002</v>
      </c>
      <c r="X3047" s="508">
        <v>2.7789999999999999</v>
      </c>
      <c r="Y3047" s="508">
        <v>2.887</v>
      </c>
      <c r="Z3047" s="508">
        <v>3.012</v>
      </c>
      <c r="AA3047" s="508">
        <v>1.67</v>
      </c>
      <c r="AB3047" s="508">
        <v>1.706</v>
      </c>
      <c r="AC3047" s="508">
        <v>1.365</v>
      </c>
      <c r="AD3047" s="508">
        <v>0.64200000000000002</v>
      </c>
      <c r="AE3047" s="508">
        <v>0.79300000000000004</v>
      </c>
      <c r="AF3047" s="508">
        <v>0.54900000000000004</v>
      </c>
      <c r="AG3047" s="508">
        <v>0.54600000000000004</v>
      </c>
      <c r="AH3047" s="508">
        <v>0.54400000000000004</v>
      </c>
      <c r="AI3047" s="492">
        <v>0.54100000000000004</v>
      </c>
      <c r="AJ3047" s="485"/>
    </row>
    <row r="3048" spans="2:36">
      <c r="B3048" s="136" t="s">
        <v>452</v>
      </c>
      <c r="C3048" s="132" t="s">
        <v>1368</v>
      </c>
      <c r="D3048" s="132" t="s">
        <v>283</v>
      </c>
      <c r="E3048" s="508">
        <v>5.8129999999999997</v>
      </c>
      <c r="F3048" s="508">
        <v>6.1820000000000004</v>
      </c>
      <c r="G3048" s="508">
        <v>5.9740000000000002</v>
      </c>
      <c r="H3048" s="508">
        <v>5.8330000000000002</v>
      </c>
      <c r="I3048" s="508">
        <v>5.8330000000000002</v>
      </c>
      <c r="J3048" s="508">
        <v>6.1959999999999997</v>
      </c>
      <c r="K3048" s="508">
        <v>6.1669999999999998</v>
      </c>
      <c r="L3048" s="508">
        <v>6.7939999999999996</v>
      </c>
      <c r="M3048" s="508">
        <v>6.59</v>
      </c>
      <c r="N3048" s="508">
        <v>6.1769999999999996</v>
      </c>
      <c r="O3048" s="508">
        <v>6.2050000000000001</v>
      </c>
      <c r="P3048" s="508">
        <v>5.3380000000000001</v>
      </c>
      <c r="Q3048" s="508">
        <v>4.2770000000000001</v>
      </c>
      <c r="R3048" s="508">
        <v>4.1859999999999999</v>
      </c>
      <c r="S3048" s="508">
        <v>4.2270000000000003</v>
      </c>
      <c r="T3048" s="508">
        <v>4.0110000000000001</v>
      </c>
      <c r="U3048" s="508">
        <v>3.246</v>
      </c>
      <c r="V3048" s="508">
        <v>4.1849999999999996</v>
      </c>
      <c r="W3048" s="508">
        <v>3.0049999999999999</v>
      </c>
      <c r="X3048" s="508">
        <v>2.694</v>
      </c>
      <c r="Y3048" s="508">
        <v>2.7949999999999999</v>
      </c>
      <c r="Z3048" s="508">
        <v>2.9140000000000001</v>
      </c>
      <c r="AA3048" s="508">
        <v>1.5920000000000001</v>
      </c>
      <c r="AB3048" s="508">
        <v>1.6240000000000001</v>
      </c>
      <c r="AC3048" s="508">
        <v>1.302</v>
      </c>
      <c r="AD3048" s="508">
        <v>0.61499999999999999</v>
      </c>
      <c r="AE3048" s="508">
        <v>0.75800000000000001</v>
      </c>
      <c r="AF3048" s="508">
        <v>0.52600000000000002</v>
      </c>
      <c r="AG3048" s="508">
        <v>0.52300000000000002</v>
      </c>
      <c r="AH3048" s="508">
        <v>0.52</v>
      </c>
      <c r="AI3048" s="492">
        <v>0.51800000000000002</v>
      </c>
      <c r="AJ3048" s="485"/>
    </row>
    <row r="3049" spans="2:36">
      <c r="B3049" s="136" t="s">
        <v>453</v>
      </c>
      <c r="C3049" s="132" t="s">
        <v>1368</v>
      </c>
      <c r="D3049" s="132" t="s">
        <v>283</v>
      </c>
      <c r="E3049" s="508">
        <v>5.8390000000000004</v>
      </c>
      <c r="F3049" s="508">
        <v>6.133</v>
      </c>
      <c r="G3049" s="508">
        <v>5.9889999999999999</v>
      </c>
      <c r="H3049" s="508">
        <v>5.891</v>
      </c>
      <c r="I3049" s="508">
        <v>5.891</v>
      </c>
      <c r="J3049" s="508">
        <v>6.2370000000000001</v>
      </c>
      <c r="K3049" s="508">
        <v>6.21</v>
      </c>
      <c r="L3049" s="508">
        <v>6.5880000000000001</v>
      </c>
      <c r="M3049" s="508">
        <v>6.4530000000000003</v>
      </c>
      <c r="N3049" s="508">
        <v>6.1980000000000004</v>
      </c>
      <c r="O3049" s="508">
        <v>6.1980000000000004</v>
      </c>
      <c r="P3049" s="508">
        <v>5.165</v>
      </c>
      <c r="Q3049" s="508">
        <v>4.1829999999999998</v>
      </c>
      <c r="R3049" s="508">
        <v>4.077</v>
      </c>
      <c r="S3049" s="508">
        <v>4.1109999999999998</v>
      </c>
      <c r="T3049" s="508">
        <v>3.9129999999999998</v>
      </c>
      <c r="U3049" s="508">
        <v>3.1659999999999999</v>
      </c>
      <c r="V3049" s="508">
        <v>4.04</v>
      </c>
      <c r="W3049" s="508">
        <v>2.9609999999999999</v>
      </c>
      <c r="X3049" s="508">
        <v>2.645</v>
      </c>
      <c r="Y3049" s="508">
        <v>2.7389999999999999</v>
      </c>
      <c r="Z3049" s="508">
        <v>2.851</v>
      </c>
      <c r="AA3049" s="508">
        <v>1.5309999999999999</v>
      </c>
      <c r="AB3049" s="508">
        <v>1.5589999999999999</v>
      </c>
      <c r="AC3049" s="508">
        <v>1.254</v>
      </c>
      <c r="AD3049" s="508">
        <v>0.59699999999999998</v>
      </c>
      <c r="AE3049" s="508">
        <v>0.73099999999999998</v>
      </c>
      <c r="AF3049" s="508">
        <v>0.50800000000000001</v>
      </c>
      <c r="AG3049" s="508">
        <v>0.505</v>
      </c>
      <c r="AH3049" s="508">
        <v>0.502</v>
      </c>
      <c r="AI3049" s="492">
        <v>0.5</v>
      </c>
      <c r="AJ3049" s="485"/>
    </row>
    <row r="3050" spans="2:36">
      <c r="B3050" s="136" t="s">
        <v>454</v>
      </c>
      <c r="C3050" s="132" t="s">
        <v>1368</v>
      </c>
      <c r="D3050" s="132" t="s">
        <v>283</v>
      </c>
      <c r="E3050" s="508">
        <v>5.76</v>
      </c>
      <c r="F3050" s="508">
        <v>6.08</v>
      </c>
      <c r="G3050" s="508">
        <v>5.9340000000000002</v>
      </c>
      <c r="H3050" s="508">
        <v>5.835</v>
      </c>
      <c r="I3050" s="508">
        <v>5.835</v>
      </c>
      <c r="J3050" s="508">
        <v>6.1820000000000004</v>
      </c>
      <c r="K3050" s="508">
        <v>6.1559999999999997</v>
      </c>
      <c r="L3050" s="508">
        <v>6.5380000000000003</v>
      </c>
      <c r="M3050" s="508">
        <v>6.4009999999999998</v>
      </c>
      <c r="N3050" s="508">
        <v>6.1390000000000002</v>
      </c>
      <c r="O3050" s="508">
        <v>6.1390000000000002</v>
      </c>
      <c r="P3050" s="508">
        <v>5.1280000000000001</v>
      </c>
      <c r="Q3050" s="508">
        <v>4.1529999999999996</v>
      </c>
      <c r="R3050" s="508">
        <v>4.0469999999999997</v>
      </c>
      <c r="S3050" s="508">
        <v>4.0810000000000004</v>
      </c>
      <c r="T3050" s="508">
        <v>3.8839999999999999</v>
      </c>
      <c r="U3050" s="508">
        <v>3.1419999999999999</v>
      </c>
      <c r="V3050" s="508">
        <v>4.0090000000000003</v>
      </c>
      <c r="W3050" s="508">
        <v>2.9319999999999999</v>
      </c>
      <c r="X3050" s="508">
        <v>2.6190000000000002</v>
      </c>
      <c r="Y3050" s="508">
        <v>2.7120000000000002</v>
      </c>
      <c r="Z3050" s="508">
        <v>2.823</v>
      </c>
      <c r="AA3050" s="508">
        <v>1.52</v>
      </c>
      <c r="AB3050" s="508">
        <v>1.548</v>
      </c>
      <c r="AC3050" s="508">
        <v>1.244</v>
      </c>
      <c r="AD3050" s="508">
        <v>0.59299999999999997</v>
      </c>
      <c r="AE3050" s="508">
        <v>0.72599999999999998</v>
      </c>
      <c r="AF3050" s="508">
        <v>0.505</v>
      </c>
      <c r="AG3050" s="508">
        <v>0.502</v>
      </c>
      <c r="AH3050" s="508">
        <v>0.5</v>
      </c>
      <c r="AI3050" s="492">
        <v>0.497</v>
      </c>
      <c r="AJ3050" s="485"/>
    </row>
    <row r="3051" spans="2:36">
      <c r="B3051" s="136" t="s">
        <v>455</v>
      </c>
      <c r="C3051" s="132" t="s">
        <v>1368</v>
      </c>
      <c r="D3051" s="132" t="s">
        <v>283</v>
      </c>
      <c r="E3051" s="508">
        <v>5.7190000000000003</v>
      </c>
      <c r="F3051" s="508">
        <v>6.0430000000000001</v>
      </c>
      <c r="G3051" s="508">
        <v>5.9210000000000003</v>
      </c>
      <c r="H3051" s="508">
        <v>5.8380000000000001</v>
      </c>
      <c r="I3051" s="508">
        <v>5.8380000000000001</v>
      </c>
      <c r="J3051" s="508">
        <v>6.1749999999999998</v>
      </c>
      <c r="K3051" s="508">
        <v>6.15</v>
      </c>
      <c r="L3051" s="508">
        <v>6.4420000000000002</v>
      </c>
      <c r="M3051" s="508">
        <v>6.3289999999999997</v>
      </c>
      <c r="N3051" s="508">
        <v>6.14</v>
      </c>
      <c r="O3051" s="508">
        <v>6.1269999999999998</v>
      </c>
      <c r="P3051" s="508">
        <v>5.0529999999999999</v>
      </c>
      <c r="Q3051" s="508">
        <v>4.1120000000000001</v>
      </c>
      <c r="R3051" s="508">
        <v>3.9990000000000001</v>
      </c>
      <c r="S3051" s="508">
        <v>4.0309999999999997</v>
      </c>
      <c r="T3051" s="508">
        <v>3.84</v>
      </c>
      <c r="U3051" s="508">
        <v>3.1080000000000001</v>
      </c>
      <c r="V3051" s="508">
        <v>3.9460000000000002</v>
      </c>
      <c r="W3051" s="508">
        <v>2.903</v>
      </c>
      <c r="X3051" s="508">
        <v>2.5880000000000001</v>
      </c>
      <c r="Y3051" s="508">
        <v>2.6779999999999999</v>
      </c>
      <c r="Z3051" s="508">
        <v>2.7850000000000001</v>
      </c>
      <c r="AA3051" s="508">
        <v>1.492</v>
      </c>
      <c r="AB3051" s="508">
        <v>1.518</v>
      </c>
      <c r="AC3051" s="508">
        <v>1.222</v>
      </c>
      <c r="AD3051" s="508">
        <v>0.58499999999999996</v>
      </c>
      <c r="AE3051" s="508">
        <v>0.71499999999999997</v>
      </c>
      <c r="AF3051" s="508">
        <v>0.498</v>
      </c>
      <c r="AG3051" s="508">
        <v>0.495</v>
      </c>
      <c r="AH3051" s="508">
        <v>0.49199999999999999</v>
      </c>
      <c r="AI3051" s="492">
        <v>0.49</v>
      </c>
      <c r="AJ3051" s="485"/>
    </row>
    <row r="3052" spans="2:36">
      <c r="B3052" s="136" t="s">
        <v>456</v>
      </c>
      <c r="C3052" s="132" t="s">
        <v>1368</v>
      </c>
      <c r="D3052" s="132" t="s">
        <v>283</v>
      </c>
      <c r="E3052" s="508">
        <v>5.5549999999999997</v>
      </c>
      <c r="F3052" s="508">
        <v>5.944</v>
      </c>
      <c r="G3052" s="508">
        <v>5.7809999999999997</v>
      </c>
      <c r="H3052" s="508">
        <v>5.6740000000000004</v>
      </c>
      <c r="I3052" s="508">
        <v>5.69</v>
      </c>
      <c r="J3052" s="508">
        <v>6.0359999999999996</v>
      </c>
      <c r="K3052" s="508">
        <v>6.0090000000000003</v>
      </c>
      <c r="L3052" s="508">
        <v>6.5780000000000003</v>
      </c>
      <c r="M3052" s="508">
        <v>6.4009999999999998</v>
      </c>
      <c r="N3052" s="508">
        <v>6.0430000000000001</v>
      </c>
      <c r="O3052" s="508">
        <v>6.0720000000000001</v>
      </c>
      <c r="P3052" s="508">
        <v>5.2030000000000003</v>
      </c>
      <c r="Q3052" s="508">
        <v>4.1840000000000002</v>
      </c>
      <c r="R3052" s="508">
        <v>4.0990000000000002</v>
      </c>
      <c r="S3052" s="508">
        <v>4.1379999999999999</v>
      </c>
      <c r="T3052" s="508">
        <v>3.9279999999999999</v>
      </c>
      <c r="U3052" s="508">
        <v>3.18</v>
      </c>
      <c r="V3052" s="508">
        <v>4.0919999999999996</v>
      </c>
      <c r="W3052" s="508">
        <v>2.915</v>
      </c>
      <c r="X3052" s="508">
        <v>2.609</v>
      </c>
      <c r="Y3052" s="508">
        <v>2.7040000000000002</v>
      </c>
      <c r="Z3052" s="508">
        <v>2.8159999999999998</v>
      </c>
      <c r="AA3052" s="508">
        <v>1.5329999999999999</v>
      </c>
      <c r="AB3052" s="508">
        <v>1.5629999999999999</v>
      </c>
      <c r="AC3052" s="508">
        <v>1.2549999999999999</v>
      </c>
      <c r="AD3052" s="508">
        <v>0.59699999999999998</v>
      </c>
      <c r="AE3052" s="508">
        <v>0.73199999999999998</v>
      </c>
      <c r="AF3052" s="508">
        <v>0.51</v>
      </c>
      <c r="AG3052" s="508">
        <v>0.50700000000000001</v>
      </c>
      <c r="AH3052" s="508">
        <v>0.504</v>
      </c>
      <c r="AI3052" s="492">
        <v>0.502</v>
      </c>
      <c r="AJ3052" s="485"/>
    </row>
    <row r="3053" spans="2:36">
      <c r="B3053" s="136" t="s">
        <v>457</v>
      </c>
      <c r="C3053" s="132" t="s">
        <v>1368</v>
      </c>
      <c r="D3053" s="132" t="s">
        <v>283</v>
      </c>
      <c r="E3053" s="508">
        <v>5.9139999999999997</v>
      </c>
      <c r="F3053" s="508">
        <v>6.15</v>
      </c>
      <c r="G3053" s="508">
        <v>6.0410000000000004</v>
      </c>
      <c r="H3053" s="508">
        <v>5.9669999999999996</v>
      </c>
      <c r="I3053" s="508">
        <v>5.9669999999999996</v>
      </c>
      <c r="J3053" s="508">
        <v>6.306</v>
      </c>
      <c r="K3053" s="508">
        <v>6.282</v>
      </c>
      <c r="L3053" s="508">
        <v>6.52</v>
      </c>
      <c r="M3053" s="508">
        <v>6.423</v>
      </c>
      <c r="N3053" s="508">
        <v>6.2519999999999998</v>
      </c>
      <c r="O3053" s="508">
        <v>6.2350000000000003</v>
      </c>
      <c r="P3053" s="508">
        <v>5.1029999999999998</v>
      </c>
      <c r="Q3053" s="508">
        <v>4.157</v>
      </c>
      <c r="R3053" s="508">
        <v>4.0419999999999998</v>
      </c>
      <c r="S3053" s="508">
        <v>4.0739999999999998</v>
      </c>
      <c r="T3053" s="508">
        <v>3.8839999999999999</v>
      </c>
      <c r="U3053" s="508">
        <v>3.1440000000000001</v>
      </c>
      <c r="V3053" s="508">
        <v>3.9870000000000001</v>
      </c>
      <c r="W3053" s="508">
        <v>2.96</v>
      </c>
      <c r="X3053" s="508">
        <v>2.6379999999999999</v>
      </c>
      <c r="Y3053" s="508">
        <v>2.73</v>
      </c>
      <c r="Z3053" s="508">
        <v>2.84</v>
      </c>
      <c r="AA3053" s="508">
        <v>1.508</v>
      </c>
      <c r="AB3053" s="508">
        <v>1.534</v>
      </c>
      <c r="AC3053" s="508">
        <v>1.2350000000000001</v>
      </c>
      <c r="AD3053" s="508">
        <v>0.59</v>
      </c>
      <c r="AE3053" s="508">
        <v>0.72</v>
      </c>
      <c r="AF3053" s="508">
        <v>0.5</v>
      </c>
      <c r="AG3053" s="508">
        <v>0.498</v>
      </c>
      <c r="AH3053" s="508">
        <v>0.495</v>
      </c>
      <c r="AI3053" s="492">
        <v>0.49299999999999999</v>
      </c>
      <c r="AJ3053" s="485"/>
    </row>
    <row r="3054" spans="2:36">
      <c r="B3054" s="136" t="s">
        <v>458</v>
      </c>
      <c r="C3054" s="132" t="s">
        <v>1368</v>
      </c>
      <c r="D3054" s="132" t="s">
        <v>283</v>
      </c>
      <c r="E3054" s="508">
        <v>5.7990000000000004</v>
      </c>
      <c r="F3054" s="508">
        <v>6.1710000000000003</v>
      </c>
      <c r="G3054" s="508">
        <v>6.0010000000000003</v>
      </c>
      <c r="H3054" s="508">
        <v>5.8860000000000001</v>
      </c>
      <c r="I3054" s="508">
        <v>5.8860000000000001</v>
      </c>
      <c r="J3054" s="508">
        <v>6.2460000000000004</v>
      </c>
      <c r="K3054" s="508">
        <v>6.218</v>
      </c>
      <c r="L3054" s="508">
        <v>6.69</v>
      </c>
      <c r="M3054" s="508">
        <v>6.5279999999999996</v>
      </c>
      <c r="N3054" s="508">
        <v>6.2080000000000002</v>
      </c>
      <c r="O3054" s="508">
        <v>6.218</v>
      </c>
      <c r="P3054" s="508">
        <v>5.2519999999999998</v>
      </c>
      <c r="Q3054" s="508">
        <v>4.24</v>
      </c>
      <c r="R3054" s="508">
        <v>4.1379999999999999</v>
      </c>
      <c r="S3054" s="508">
        <v>4.1740000000000004</v>
      </c>
      <c r="T3054" s="508">
        <v>3.968</v>
      </c>
      <c r="U3054" s="508">
        <v>3.214</v>
      </c>
      <c r="V3054" s="508">
        <v>4.1120000000000001</v>
      </c>
      <c r="W3054" s="508">
        <v>2.98</v>
      </c>
      <c r="X3054" s="508">
        <v>2.6629999999999998</v>
      </c>
      <c r="Y3054" s="508">
        <v>2.7589999999999999</v>
      </c>
      <c r="Z3054" s="508">
        <v>2.8719999999999999</v>
      </c>
      <c r="AA3054" s="508">
        <v>1.5569999999999999</v>
      </c>
      <c r="AB3054" s="508">
        <v>1.5860000000000001</v>
      </c>
      <c r="AC3054" s="508">
        <v>1.2749999999999999</v>
      </c>
      <c r="AD3054" s="508">
        <v>0.60699999999999998</v>
      </c>
      <c r="AE3054" s="508">
        <v>0.74399999999999999</v>
      </c>
      <c r="AF3054" s="508">
        <v>0.51700000000000002</v>
      </c>
      <c r="AG3054" s="508">
        <v>0.51400000000000001</v>
      </c>
      <c r="AH3054" s="508">
        <v>0.51200000000000001</v>
      </c>
      <c r="AI3054" s="492">
        <v>0.50900000000000001</v>
      </c>
      <c r="AJ3054" s="485"/>
    </row>
    <row r="3055" spans="2:36">
      <c r="B3055" s="136" t="s">
        <v>459</v>
      </c>
      <c r="C3055" s="132" t="s">
        <v>1368</v>
      </c>
      <c r="D3055" s="132" t="s">
        <v>283</v>
      </c>
      <c r="E3055" s="508">
        <v>5.9080000000000004</v>
      </c>
      <c r="F3055" s="508">
        <v>6.2670000000000003</v>
      </c>
      <c r="G3055" s="508">
        <v>6.0890000000000004</v>
      </c>
      <c r="H3055" s="508">
        <v>5.9690000000000003</v>
      </c>
      <c r="I3055" s="508">
        <v>5.9690000000000003</v>
      </c>
      <c r="J3055" s="508">
        <v>6.335</v>
      </c>
      <c r="K3055" s="508">
        <v>6.3070000000000004</v>
      </c>
      <c r="L3055" s="508">
        <v>6.806</v>
      </c>
      <c r="M3055" s="508">
        <v>6.6360000000000001</v>
      </c>
      <c r="N3055" s="508">
        <v>6.2990000000000004</v>
      </c>
      <c r="O3055" s="508">
        <v>6.3109999999999999</v>
      </c>
      <c r="P3055" s="508">
        <v>5.3419999999999996</v>
      </c>
      <c r="Q3055" s="508">
        <v>4.3070000000000004</v>
      </c>
      <c r="R3055" s="508">
        <v>4.2050000000000001</v>
      </c>
      <c r="S3055" s="508">
        <v>4.2430000000000003</v>
      </c>
      <c r="T3055" s="508">
        <v>4.0330000000000004</v>
      </c>
      <c r="U3055" s="508">
        <v>3.2690000000000001</v>
      </c>
      <c r="V3055" s="508">
        <v>4.1859999999999999</v>
      </c>
      <c r="W3055" s="508">
        <v>3.032</v>
      </c>
      <c r="X3055" s="508">
        <v>2.71</v>
      </c>
      <c r="Y3055" s="508">
        <v>2.8079999999999998</v>
      </c>
      <c r="Z3055" s="508">
        <v>2.9239999999999999</v>
      </c>
      <c r="AA3055" s="508">
        <v>1.5840000000000001</v>
      </c>
      <c r="AB3055" s="508">
        <v>1.6140000000000001</v>
      </c>
      <c r="AC3055" s="508">
        <v>1.2969999999999999</v>
      </c>
      <c r="AD3055" s="508">
        <v>0.61699999999999999</v>
      </c>
      <c r="AE3055" s="508">
        <v>0.75600000000000001</v>
      </c>
      <c r="AF3055" s="508">
        <v>0.52500000000000002</v>
      </c>
      <c r="AG3055" s="508">
        <v>0.52200000000000002</v>
      </c>
      <c r="AH3055" s="508">
        <v>0.51900000000000002</v>
      </c>
      <c r="AI3055" s="492">
        <v>0.51700000000000002</v>
      </c>
      <c r="AJ3055" s="485"/>
    </row>
    <row r="3056" spans="2:36">
      <c r="B3056" s="136" t="s">
        <v>460</v>
      </c>
      <c r="C3056" s="132" t="s">
        <v>1368</v>
      </c>
      <c r="D3056" s="132" t="s">
        <v>283</v>
      </c>
      <c r="E3056" s="508">
        <v>5.89</v>
      </c>
      <c r="F3056" s="508">
        <v>6.2489999999999997</v>
      </c>
      <c r="G3056" s="508">
        <v>6.0549999999999997</v>
      </c>
      <c r="H3056" s="508">
        <v>5.9240000000000004</v>
      </c>
      <c r="I3056" s="508">
        <v>5.9240000000000004</v>
      </c>
      <c r="J3056" s="508">
        <v>6.2889999999999997</v>
      </c>
      <c r="K3056" s="508">
        <v>6.26</v>
      </c>
      <c r="L3056" s="508">
        <v>6.827</v>
      </c>
      <c r="M3056" s="508">
        <v>6.6390000000000002</v>
      </c>
      <c r="N3056" s="508">
        <v>6.2649999999999997</v>
      </c>
      <c r="O3056" s="508">
        <v>6.2859999999999996</v>
      </c>
      <c r="P3056" s="508">
        <v>5.3609999999999998</v>
      </c>
      <c r="Q3056" s="508">
        <v>4.3090000000000002</v>
      </c>
      <c r="R3056" s="508">
        <v>4.2119999999999997</v>
      </c>
      <c r="S3056" s="508">
        <v>4.2519999999999998</v>
      </c>
      <c r="T3056" s="508">
        <v>4.0380000000000003</v>
      </c>
      <c r="U3056" s="508">
        <v>3.2709999999999999</v>
      </c>
      <c r="V3056" s="508">
        <v>4.2030000000000003</v>
      </c>
      <c r="W3056" s="508">
        <v>3.032</v>
      </c>
      <c r="X3056" s="508">
        <v>2.714</v>
      </c>
      <c r="Y3056" s="508">
        <v>2.8140000000000001</v>
      </c>
      <c r="Z3056" s="508">
        <v>2.9319999999999999</v>
      </c>
      <c r="AA3056" s="508">
        <v>1.5940000000000001</v>
      </c>
      <c r="AB3056" s="508">
        <v>1.625</v>
      </c>
      <c r="AC3056" s="508">
        <v>1.3049999999999999</v>
      </c>
      <c r="AD3056" s="508">
        <v>0.61799999999999999</v>
      </c>
      <c r="AE3056" s="508">
        <v>0.75900000000000001</v>
      </c>
      <c r="AF3056" s="508">
        <v>0.52700000000000002</v>
      </c>
      <c r="AG3056" s="508">
        <v>0.52400000000000002</v>
      </c>
      <c r="AH3056" s="508">
        <v>0.52100000000000002</v>
      </c>
      <c r="AI3056" s="492">
        <v>0.51900000000000002</v>
      </c>
      <c r="AJ3056" s="485"/>
    </row>
    <row r="3057" spans="2:36">
      <c r="B3057" s="136" t="s">
        <v>461</v>
      </c>
      <c r="C3057" s="132" t="s">
        <v>1368</v>
      </c>
      <c r="D3057" s="132" t="s">
        <v>283</v>
      </c>
      <c r="E3057" s="508">
        <v>5.9320000000000004</v>
      </c>
      <c r="F3057" s="508">
        <v>6.2380000000000004</v>
      </c>
      <c r="G3057" s="508">
        <v>6.07</v>
      </c>
      <c r="H3057" s="508">
        <v>5.9560000000000004</v>
      </c>
      <c r="I3057" s="508">
        <v>5.9560000000000004</v>
      </c>
      <c r="J3057" s="508">
        <v>6.3170000000000002</v>
      </c>
      <c r="K3057" s="508">
        <v>6.2889999999999997</v>
      </c>
      <c r="L3057" s="508">
        <v>6.7539999999999996</v>
      </c>
      <c r="M3057" s="508">
        <v>6.5940000000000003</v>
      </c>
      <c r="N3057" s="508">
        <v>6.2720000000000002</v>
      </c>
      <c r="O3057" s="508">
        <v>6.282</v>
      </c>
      <c r="P3057" s="508">
        <v>5.2960000000000003</v>
      </c>
      <c r="Q3057" s="508">
        <v>4.2720000000000002</v>
      </c>
      <c r="R3057" s="508">
        <v>4.17</v>
      </c>
      <c r="S3057" s="508">
        <v>4.2080000000000002</v>
      </c>
      <c r="T3057" s="508">
        <v>4</v>
      </c>
      <c r="U3057" s="508">
        <v>3.24</v>
      </c>
      <c r="V3057" s="508">
        <v>4.1479999999999997</v>
      </c>
      <c r="W3057" s="508">
        <v>3.02</v>
      </c>
      <c r="X3057" s="508">
        <v>2.7010000000000001</v>
      </c>
      <c r="Y3057" s="508">
        <v>2.7989999999999999</v>
      </c>
      <c r="Z3057" s="508">
        <v>2.915</v>
      </c>
      <c r="AA3057" s="508">
        <v>1.573</v>
      </c>
      <c r="AB3057" s="508">
        <v>1.603</v>
      </c>
      <c r="AC3057" s="508">
        <v>1.288</v>
      </c>
      <c r="AD3057" s="508">
        <v>0.61099999999999999</v>
      </c>
      <c r="AE3057" s="508">
        <v>0.749</v>
      </c>
      <c r="AF3057" s="508">
        <v>0.52</v>
      </c>
      <c r="AG3057" s="508">
        <v>0.51700000000000002</v>
      </c>
      <c r="AH3057" s="508">
        <v>0.51400000000000001</v>
      </c>
      <c r="AI3057" s="492">
        <v>0.51200000000000001</v>
      </c>
      <c r="AJ3057" s="485"/>
    </row>
    <row r="3058" spans="2:36">
      <c r="B3058" s="136" t="s">
        <v>462</v>
      </c>
      <c r="C3058" s="132" t="s">
        <v>1368</v>
      </c>
      <c r="D3058" s="132" t="s">
        <v>283</v>
      </c>
      <c r="E3058" s="508">
        <v>5.5030000000000001</v>
      </c>
      <c r="F3058" s="508">
        <v>5.8310000000000004</v>
      </c>
      <c r="G3058" s="508">
        <v>5.6989999999999998</v>
      </c>
      <c r="H3058" s="508">
        <v>5.6109999999999998</v>
      </c>
      <c r="I3058" s="508">
        <v>5.6139999999999999</v>
      </c>
      <c r="J3058" s="508">
        <v>5.9459999999999997</v>
      </c>
      <c r="K3058" s="508">
        <v>5.9210000000000003</v>
      </c>
      <c r="L3058" s="508">
        <v>6.2750000000000004</v>
      </c>
      <c r="M3058" s="508">
        <v>6.149</v>
      </c>
      <c r="N3058" s="508">
        <v>5.9050000000000002</v>
      </c>
      <c r="O3058" s="508">
        <v>5.9039999999999999</v>
      </c>
      <c r="P3058" s="508">
        <v>4.9290000000000003</v>
      </c>
      <c r="Q3058" s="508">
        <v>3.996</v>
      </c>
      <c r="R3058" s="508">
        <v>3.8940000000000001</v>
      </c>
      <c r="S3058" s="508">
        <v>3.9260000000000002</v>
      </c>
      <c r="T3058" s="508">
        <v>3.7360000000000002</v>
      </c>
      <c r="U3058" s="508">
        <v>3.0150000000000001</v>
      </c>
      <c r="V3058" s="508">
        <v>3.85</v>
      </c>
      <c r="W3058" s="508">
        <v>2.8130000000000002</v>
      </c>
      <c r="X3058" s="508">
        <v>2.5129999999999999</v>
      </c>
      <c r="Y3058" s="508">
        <v>2.6030000000000002</v>
      </c>
      <c r="Z3058" s="508">
        <v>2.7090000000000001</v>
      </c>
      <c r="AA3058" s="508">
        <v>1.4610000000000001</v>
      </c>
      <c r="AB3058" s="508">
        <v>1.488</v>
      </c>
      <c r="AC3058" s="508">
        <v>1.1950000000000001</v>
      </c>
      <c r="AD3058" s="508">
        <v>0.56999999999999995</v>
      </c>
      <c r="AE3058" s="508">
        <v>0.69899999999999995</v>
      </c>
      <c r="AF3058" s="508">
        <v>0.48699999999999999</v>
      </c>
      <c r="AG3058" s="508">
        <v>0.48399999999999999</v>
      </c>
      <c r="AH3058" s="508">
        <v>0.48199999999999998</v>
      </c>
      <c r="AI3058" s="492">
        <v>0.48</v>
      </c>
      <c r="AJ3058" s="485"/>
    </row>
    <row r="3059" spans="2:36">
      <c r="B3059" s="136" t="s">
        <v>463</v>
      </c>
      <c r="C3059" s="132" t="s">
        <v>1368</v>
      </c>
      <c r="D3059" s="132" t="s">
        <v>283</v>
      </c>
      <c r="E3059" s="508">
        <v>5.7279999999999998</v>
      </c>
      <c r="F3059" s="508">
        <v>6.0359999999999996</v>
      </c>
      <c r="G3059" s="508">
        <v>5.9340000000000002</v>
      </c>
      <c r="H3059" s="508">
        <v>5.8650000000000002</v>
      </c>
      <c r="I3059" s="508">
        <v>5.8650000000000002</v>
      </c>
      <c r="J3059" s="508">
        <v>6.202</v>
      </c>
      <c r="K3059" s="508">
        <v>6.1779999999999999</v>
      </c>
      <c r="L3059" s="508">
        <v>6.3869999999999996</v>
      </c>
      <c r="M3059" s="508">
        <v>6.2969999999999997</v>
      </c>
      <c r="N3059" s="508">
        <v>6.1470000000000002</v>
      </c>
      <c r="O3059" s="508">
        <v>6.125</v>
      </c>
      <c r="P3059" s="508">
        <v>5.0049999999999999</v>
      </c>
      <c r="Q3059" s="508">
        <v>4.0880000000000001</v>
      </c>
      <c r="R3059" s="508">
        <v>3.97</v>
      </c>
      <c r="S3059" s="508">
        <v>4</v>
      </c>
      <c r="T3059" s="508">
        <v>3.8140000000000001</v>
      </c>
      <c r="U3059" s="508">
        <v>3.0880000000000001</v>
      </c>
      <c r="V3059" s="508">
        <v>3.9060000000000001</v>
      </c>
      <c r="W3059" s="508">
        <v>2.891</v>
      </c>
      <c r="X3059" s="508">
        <v>2.573</v>
      </c>
      <c r="Y3059" s="508">
        <v>2.661</v>
      </c>
      <c r="Z3059" s="508">
        <v>2.766</v>
      </c>
      <c r="AA3059" s="508">
        <v>1.474</v>
      </c>
      <c r="AB3059" s="508">
        <v>1.4990000000000001</v>
      </c>
      <c r="AC3059" s="508">
        <v>1.208</v>
      </c>
      <c r="AD3059" s="508">
        <v>0.57999999999999996</v>
      </c>
      <c r="AE3059" s="508">
        <v>0.70699999999999996</v>
      </c>
      <c r="AF3059" s="508">
        <v>0.49299999999999999</v>
      </c>
      <c r="AG3059" s="508">
        <v>0.49</v>
      </c>
      <c r="AH3059" s="508">
        <v>0.48699999999999999</v>
      </c>
      <c r="AI3059" s="492">
        <v>0.48499999999999999</v>
      </c>
      <c r="AJ3059" s="485"/>
    </row>
    <row r="3060" spans="2:36">
      <c r="B3060" s="136" t="s">
        <v>464</v>
      </c>
      <c r="C3060" s="132" t="s">
        <v>1368</v>
      </c>
      <c r="D3060" s="132" t="s">
        <v>283</v>
      </c>
      <c r="E3060" s="508">
        <v>5.9489999999999998</v>
      </c>
      <c r="F3060" s="508">
        <v>6.194</v>
      </c>
      <c r="G3060" s="508">
        <v>6.0789999999999997</v>
      </c>
      <c r="H3060" s="508">
        <v>6.0010000000000003</v>
      </c>
      <c r="I3060" s="508">
        <v>6.0010000000000003</v>
      </c>
      <c r="J3060" s="508">
        <v>6.3410000000000002</v>
      </c>
      <c r="K3060" s="508">
        <v>6.3159999999999998</v>
      </c>
      <c r="L3060" s="508">
        <v>6.5759999999999996</v>
      </c>
      <c r="M3060" s="508">
        <v>6.4740000000000002</v>
      </c>
      <c r="N3060" s="508">
        <v>6.298</v>
      </c>
      <c r="O3060" s="508">
        <v>6.282</v>
      </c>
      <c r="P3060" s="508">
        <v>5.149</v>
      </c>
      <c r="Q3060" s="508">
        <v>4.1920000000000002</v>
      </c>
      <c r="R3060" s="508">
        <v>4.077</v>
      </c>
      <c r="S3060" s="508">
        <v>4.1100000000000003</v>
      </c>
      <c r="T3060" s="508">
        <v>3.9169999999999998</v>
      </c>
      <c r="U3060" s="508">
        <v>3.1720000000000002</v>
      </c>
      <c r="V3060" s="508">
        <v>4.0250000000000004</v>
      </c>
      <c r="W3060" s="508">
        <v>2.9830000000000001</v>
      </c>
      <c r="X3060" s="508">
        <v>2.6589999999999998</v>
      </c>
      <c r="Y3060" s="508">
        <v>2.7519999999999998</v>
      </c>
      <c r="Z3060" s="508">
        <v>2.863</v>
      </c>
      <c r="AA3060" s="508">
        <v>1.5209999999999999</v>
      </c>
      <c r="AB3060" s="508">
        <v>1.5469999999999999</v>
      </c>
      <c r="AC3060" s="508">
        <v>1.246</v>
      </c>
      <c r="AD3060" s="508">
        <v>0.59499999999999997</v>
      </c>
      <c r="AE3060" s="508">
        <v>0.72699999999999998</v>
      </c>
      <c r="AF3060" s="508">
        <v>0.505</v>
      </c>
      <c r="AG3060" s="508">
        <v>0.502</v>
      </c>
      <c r="AH3060" s="508">
        <v>0.499</v>
      </c>
      <c r="AI3060" s="492">
        <v>0.497</v>
      </c>
      <c r="AJ3060" s="485"/>
    </row>
    <row r="3061" spans="2:36">
      <c r="B3061" s="136" t="s">
        <v>465</v>
      </c>
      <c r="C3061" s="132" t="s">
        <v>1368</v>
      </c>
      <c r="D3061" s="132" t="s">
        <v>283</v>
      </c>
      <c r="E3061" s="508">
        <v>5.8540000000000001</v>
      </c>
      <c r="F3061" s="508">
        <v>6.16</v>
      </c>
      <c r="G3061" s="508">
        <v>6.0250000000000004</v>
      </c>
      <c r="H3061" s="508">
        <v>5.9340000000000002</v>
      </c>
      <c r="I3061" s="508">
        <v>5.9340000000000002</v>
      </c>
      <c r="J3061" s="508">
        <v>6.2789999999999999</v>
      </c>
      <c r="K3061" s="508">
        <v>6.2530000000000001</v>
      </c>
      <c r="L3061" s="508">
        <v>6.5910000000000002</v>
      </c>
      <c r="M3061" s="508">
        <v>6.4660000000000002</v>
      </c>
      <c r="N3061" s="508">
        <v>6.2460000000000004</v>
      </c>
      <c r="O3061" s="508">
        <v>6.2380000000000004</v>
      </c>
      <c r="P3061" s="508">
        <v>5.1680000000000001</v>
      </c>
      <c r="Q3061" s="508">
        <v>4.1959999999999997</v>
      </c>
      <c r="R3061" s="508">
        <v>4.085</v>
      </c>
      <c r="S3061" s="508">
        <v>4.1189999999999998</v>
      </c>
      <c r="T3061" s="508">
        <v>3.9220000000000002</v>
      </c>
      <c r="U3061" s="508">
        <v>3.177</v>
      </c>
      <c r="V3061" s="508">
        <v>4.0410000000000004</v>
      </c>
      <c r="W3061" s="508">
        <v>2.968</v>
      </c>
      <c r="X3061" s="508">
        <v>2.6480000000000001</v>
      </c>
      <c r="Y3061" s="508">
        <v>2.7410000000000001</v>
      </c>
      <c r="Z3061" s="508">
        <v>2.8519999999999999</v>
      </c>
      <c r="AA3061" s="508">
        <v>1.528</v>
      </c>
      <c r="AB3061" s="508">
        <v>1.5549999999999999</v>
      </c>
      <c r="AC3061" s="508">
        <v>1.2509999999999999</v>
      </c>
      <c r="AD3061" s="508">
        <v>0.59799999999999998</v>
      </c>
      <c r="AE3061" s="508">
        <v>0.73</v>
      </c>
      <c r="AF3061" s="508">
        <v>0.50800000000000001</v>
      </c>
      <c r="AG3061" s="508">
        <v>0.505</v>
      </c>
      <c r="AH3061" s="508">
        <v>0.502</v>
      </c>
      <c r="AI3061" s="492">
        <v>0.5</v>
      </c>
      <c r="AJ3061" s="485"/>
    </row>
    <row r="3062" spans="2:36">
      <c r="B3062" s="136" t="s">
        <v>466</v>
      </c>
      <c r="C3062" s="132" t="s">
        <v>1368</v>
      </c>
      <c r="D3062" s="132" t="s">
        <v>283</v>
      </c>
      <c r="E3062" s="508">
        <v>5.9989999999999997</v>
      </c>
      <c r="F3062" s="508">
        <v>6.3970000000000002</v>
      </c>
      <c r="G3062" s="508">
        <v>6.1459999999999999</v>
      </c>
      <c r="H3062" s="508">
        <v>5.976</v>
      </c>
      <c r="I3062" s="508">
        <v>5.976</v>
      </c>
      <c r="J3062" s="508">
        <v>6.359</v>
      </c>
      <c r="K3062" s="508">
        <v>6.327</v>
      </c>
      <c r="L3062" s="508">
        <v>7.117</v>
      </c>
      <c r="M3062" s="508">
        <v>6.8680000000000003</v>
      </c>
      <c r="N3062" s="508">
        <v>6.3550000000000004</v>
      </c>
      <c r="O3062" s="508">
        <v>6.4029999999999996</v>
      </c>
      <c r="P3062" s="508">
        <v>5.5960000000000001</v>
      </c>
      <c r="Q3062" s="508">
        <v>4.4580000000000002</v>
      </c>
      <c r="R3062" s="508">
        <v>4.3739999999999997</v>
      </c>
      <c r="S3062" s="508">
        <v>4.42</v>
      </c>
      <c r="T3062" s="508">
        <v>4.1879999999999997</v>
      </c>
      <c r="U3062" s="508">
        <v>3.395</v>
      </c>
      <c r="V3062" s="508">
        <v>4.3979999999999997</v>
      </c>
      <c r="W3062" s="508">
        <v>3.1259999999999999</v>
      </c>
      <c r="X3062" s="508">
        <v>2.8069999999999999</v>
      </c>
      <c r="Y3062" s="508">
        <v>2.915</v>
      </c>
      <c r="Z3062" s="508">
        <v>3.04</v>
      </c>
      <c r="AA3062" s="508">
        <v>1.6719999999999999</v>
      </c>
      <c r="AB3062" s="508">
        <v>1.7070000000000001</v>
      </c>
      <c r="AC3062" s="508">
        <v>1.3680000000000001</v>
      </c>
      <c r="AD3062" s="508">
        <v>0.64400000000000002</v>
      </c>
      <c r="AE3062" s="508">
        <v>0.79300000000000004</v>
      </c>
      <c r="AF3062" s="508">
        <v>0.54900000000000004</v>
      </c>
      <c r="AG3062" s="508">
        <v>0.54600000000000004</v>
      </c>
      <c r="AH3062" s="508">
        <v>0.54400000000000004</v>
      </c>
      <c r="AI3062" s="492">
        <v>0.54200000000000004</v>
      </c>
      <c r="AJ3062" s="485"/>
    </row>
    <row r="3063" spans="2:36">
      <c r="B3063" s="136" t="s">
        <v>467</v>
      </c>
      <c r="C3063" s="132" t="s">
        <v>1368</v>
      </c>
      <c r="D3063" s="132" t="s">
        <v>283</v>
      </c>
      <c r="E3063" s="508">
        <v>5.9139999999999997</v>
      </c>
      <c r="F3063" s="508">
        <v>6.2119999999999997</v>
      </c>
      <c r="G3063" s="508">
        <v>6.0510000000000002</v>
      </c>
      <c r="H3063" s="508">
        <v>5.9420000000000002</v>
      </c>
      <c r="I3063" s="508">
        <v>5.9420000000000002</v>
      </c>
      <c r="J3063" s="508">
        <v>6.2990000000000004</v>
      </c>
      <c r="K3063" s="508">
        <v>6.2720000000000002</v>
      </c>
      <c r="L3063" s="508">
        <v>6.71</v>
      </c>
      <c r="M3063" s="508">
        <v>6.5579999999999998</v>
      </c>
      <c r="N3063" s="508">
        <v>6.2539999999999996</v>
      </c>
      <c r="O3063" s="508">
        <v>6.2610000000000001</v>
      </c>
      <c r="P3063" s="508">
        <v>5.26</v>
      </c>
      <c r="Q3063" s="508">
        <v>4.2480000000000002</v>
      </c>
      <c r="R3063" s="508">
        <v>4.1449999999999996</v>
      </c>
      <c r="S3063" s="508">
        <v>4.1820000000000004</v>
      </c>
      <c r="T3063" s="508">
        <v>3.9769999999999999</v>
      </c>
      <c r="U3063" s="508">
        <v>3.22</v>
      </c>
      <c r="V3063" s="508">
        <v>4.1189999999999998</v>
      </c>
      <c r="W3063" s="508">
        <v>3.0049999999999999</v>
      </c>
      <c r="X3063" s="508">
        <v>2.6869999999999998</v>
      </c>
      <c r="Y3063" s="508">
        <v>2.7839999999999998</v>
      </c>
      <c r="Z3063" s="508">
        <v>2.899</v>
      </c>
      <c r="AA3063" s="508">
        <v>1.5620000000000001</v>
      </c>
      <c r="AB3063" s="508">
        <v>1.591</v>
      </c>
      <c r="AC3063" s="508">
        <v>1.2789999999999999</v>
      </c>
      <c r="AD3063" s="508">
        <v>0.60699999999999998</v>
      </c>
      <c r="AE3063" s="508">
        <v>0.74399999999999999</v>
      </c>
      <c r="AF3063" s="508">
        <v>0.51700000000000002</v>
      </c>
      <c r="AG3063" s="508">
        <v>0.51400000000000001</v>
      </c>
      <c r="AH3063" s="508">
        <v>0.51100000000000001</v>
      </c>
      <c r="AI3063" s="492">
        <v>0.50900000000000001</v>
      </c>
      <c r="AJ3063" s="485"/>
    </row>
    <row r="3064" spans="2:36">
      <c r="B3064" s="136" t="s">
        <v>468</v>
      </c>
      <c r="C3064" s="132" t="s">
        <v>1368</v>
      </c>
      <c r="D3064" s="132" t="s">
        <v>283</v>
      </c>
      <c r="E3064" s="508">
        <v>5.8170000000000002</v>
      </c>
      <c r="F3064" s="508">
        <v>6.101</v>
      </c>
      <c r="G3064" s="508">
        <v>5.9939999999999998</v>
      </c>
      <c r="H3064" s="508">
        <v>5.9210000000000003</v>
      </c>
      <c r="I3064" s="508">
        <v>5.9210000000000003</v>
      </c>
      <c r="J3064" s="508">
        <v>6.2549999999999999</v>
      </c>
      <c r="K3064" s="508">
        <v>6.23</v>
      </c>
      <c r="L3064" s="508">
        <v>6.4630000000000001</v>
      </c>
      <c r="M3064" s="508">
        <v>6.367</v>
      </c>
      <c r="N3064" s="508">
        <v>6.2249999999999996</v>
      </c>
      <c r="O3064" s="508">
        <v>6.2039999999999997</v>
      </c>
      <c r="P3064" s="508">
        <v>5.0650000000000004</v>
      </c>
      <c r="Q3064" s="508">
        <v>4.133</v>
      </c>
      <c r="R3064" s="508">
        <v>4.016</v>
      </c>
      <c r="S3064" s="508">
        <v>4.0469999999999997</v>
      </c>
      <c r="T3064" s="508">
        <v>3.859</v>
      </c>
      <c r="U3064" s="508">
        <v>3.13</v>
      </c>
      <c r="V3064" s="508">
        <v>3.9590000000000001</v>
      </c>
      <c r="W3064" s="508">
        <v>2.931</v>
      </c>
      <c r="X3064" s="508">
        <v>2.6080000000000001</v>
      </c>
      <c r="Y3064" s="508">
        <v>2.6970000000000001</v>
      </c>
      <c r="Z3064" s="508">
        <v>2.8039999999999998</v>
      </c>
      <c r="AA3064" s="508">
        <v>1.49</v>
      </c>
      <c r="AB3064" s="508">
        <v>1.5149999999999999</v>
      </c>
      <c r="AC3064" s="508">
        <v>1.222</v>
      </c>
      <c r="AD3064" s="508">
        <v>0.58599999999999997</v>
      </c>
      <c r="AE3064" s="508">
        <v>0.71399999999999997</v>
      </c>
      <c r="AF3064" s="508">
        <v>0.496</v>
      </c>
      <c r="AG3064" s="508">
        <v>0.49299999999999999</v>
      </c>
      <c r="AH3064" s="508">
        <v>0.49099999999999999</v>
      </c>
      <c r="AI3064" s="492">
        <v>0.48899999999999999</v>
      </c>
      <c r="AJ3064" s="485"/>
    </row>
    <row r="3065" spans="2:36">
      <c r="B3065" s="136" t="s">
        <v>469</v>
      </c>
      <c r="C3065" s="132" t="s">
        <v>1368</v>
      </c>
      <c r="D3065" s="132" t="s">
        <v>283</v>
      </c>
      <c r="E3065" s="508">
        <v>5.93</v>
      </c>
      <c r="F3065" s="508">
        <v>6.2279999999999998</v>
      </c>
      <c r="G3065" s="508">
        <v>6.0759999999999996</v>
      </c>
      <c r="H3065" s="508">
        <v>5.9729999999999999</v>
      </c>
      <c r="I3065" s="508">
        <v>5.9729999999999999</v>
      </c>
      <c r="J3065" s="508">
        <v>6.3239999999999998</v>
      </c>
      <c r="K3065" s="508">
        <v>6.2969999999999997</v>
      </c>
      <c r="L3065" s="508">
        <v>6.7030000000000003</v>
      </c>
      <c r="M3065" s="508">
        <v>6.56</v>
      </c>
      <c r="N3065" s="508">
        <v>6.2919999999999998</v>
      </c>
      <c r="O3065" s="508">
        <v>6.2939999999999996</v>
      </c>
      <c r="P3065" s="508">
        <v>5.2560000000000002</v>
      </c>
      <c r="Q3065" s="508">
        <v>4.2530000000000001</v>
      </c>
      <c r="R3065" s="508">
        <v>4.1459999999999999</v>
      </c>
      <c r="S3065" s="508">
        <v>4.1820000000000004</v>
      </c>
      <c r="T3065" s="508">
        <v>3.9790000000000001</v>
      </c>
      <c r="U3065" s="508">
        <v>3.2240000000000002</v>
      </c>
      <c r="V3065" s="508">
        <v>4.1139999999999999</v>
      </c>
      <c r="W3065" s="508">
        <v>3.01</v>
      </c>
      <c r="X3065" s="508">
        <v>2.6890000000000001</v>
      </c>
      <c r="Y3065" s="508">
        <v>2.7850000000000001</v>
      </c>
      <c r="Z3065" s="508">
        <v>2.899</v>
      </c>
      <c r="AA3065" s="508">
        <v>1.5569999999999999</v>
      </c>
      <c r="AB3065" s="508">
        <v>1.5860000000000001</v>
      </c>
      <c r="AC3065" s="508">
        <v>1.2749999999999999</v>
      </c>
      <c r="AD3065" s="508">
        <v>0.60699999999999998</v>
      </c>
      <c r="AE3065" s="508">
        <v>0.74299999999999999</v>
      </c>
      <c r="AF3065" s="508">
        <v>0.51600000000000001</v>
      </c>
      <c r="AG3065" s="508">
        <v>0.51300000000000001</v>
      </c>
      <c r="AH3065" s="508">
        <v>0.51</v>
      </c>
      <c r="AI3065" s="492">
        <v>0.50800000000000001</v>
      </c>
      <c r="AJ3065" s="485"/>
    </row>
    <row r="3066" spans="2:36">
      <c r="B3066" s="136" t="s">
        <v>470</v>
      </c>
      <c r="C3066" s="132" t="s">
        <v>1368</v>
      </c>
      <c r="D3066" s="132" t="s">
        <v>283</v>
      </c>
      <c r="E3066" s="508">
        <v>5.8860000000000001</v>
      </c>
      <c r="F3066" s="508">
        <v>6.2569999999999997</v>
      </c>
      <c r="G3066" s="508">
        <v>6.0540000000000003</v>
      </c>
      <c r="H3066" s="508">
        <v>5.9169999999999998</v>
      </c>
      <c r="I3066" s="508">
        <v>5.9169999999999998</v>
      </c>
      <c r="J3066" s="508">
        <v>6.2859999999999996</v>
      </c>
      <c r="K3066" s="508">
        <v>6.2569999999999997</v>
      </c>
      <c r="L3066" s="508">
        <v>6.859</v>
      </c>
      <c r="M3066" s="508">
        <v>6.6609999999999996</v>
      </c>
      <c r="N3066" s="508">
        <v>6.2569999999999997</v>
      </c>
      <c r="O3066" s="508">
        <v>6.2830000000000004</v>
      </c>
      <c r="P3066" s="508">
        <v>5.3869999999999996</v>
      </c>
      <c r="Q3066" s="508">
        <v>4.3230000000000004</v>
      </c>
      <c r="R3066" s="508">
        <v>4.2279999999999998</v>
      </c>
      <c r="S3066" s="508">
        <v>4.2690000000000001</v>
      </c>
      <c r="T3066" s="508">
        <v>4.0519999999999996</v>
      </c>
      <c r="U3066" s="508">
        <v>3.2829999999999999</v>
      </c>
      <c r="V3066" s="508">
        <v>4.2240000000000002</v>
      </c>
      <c r="W3066" s="508">
        <v>3.0379999999999998</v>
      </c>
      <c r="X3066" s="508">
        <v>2.7210000000000001</v>
      </c>
      <c r="Y3066" s="508">
        <v>2.8220000000000001</v>
      </c>
      <c r="Z3066" s="508">
        <v>2.94</v>
      </c>
      <c r="AA3066" s="508">
        <v>1.6040000000000001</v>
      </c>
      <c r="AB3066" s="508">
        <v>1.635</v>
      </c>
      <c r="AC3066" s="508">
        <v>1.3120000000000001</v>
      </c>
      <c r="AD3066" s="508">
        <v>0.621</v>
      </c>
      <c r="AE3066" s="508">
        <v>0.76300000000000001</v>
      </c>
      <c r="AF3066" s="508">
        <v>0.53</v>
      </c>
      <c r="AG3066" s="508">
        <v>0.52700000000000002</v>
      </c>
      <c r="AH3066" s="508">
        <v>0.52400000000000002</v>
      </c>
      <c r="AI3066" s="492">
        <v>0.52200000000000002</v>
      </c>
      <c r="AJ3066" s="485"/>
    </row>
    <row r="3067" spans="2:36">
      <c r="B3067" s="136" t="s">
        <v>471</v>
      </c>
      <c r="C3067" s="132" t="s">
        <v>1368</v>
      </c>
      <c r="D3067" s="132" t="s">
        <v>283</v>
      </c>
      <c r="E3067" s="508">
        <v>5.6609999999999996</v>
      </c>
      <c r="F3067" s="508">
        <v>6.0190000000000001</v>
      </c>
      <c r="G3067" s="508">
        <v>5.8490000000000002</v>
      </c>
      <c r="H3067" s="508">
        <v>5.7350000000000003</v>
      </c>
      <c r="I3067" s="508">
        <v>5.7350000000000003</v>
      </c>
      <c r="J3067" s="508">
        <v>6.085</v>
      </c>
      <c r="K3067" s="508">
        <v>6.0579999999999998</v>
      </c>
      <c r="L3067" s="508">
        <v>6.5339999999999998</v>
      </c>
      <c r="M3067" s="508">
        <v>6.3710000000000004</v>
      </c>
      <c r="N3067" s="508">
        <v>6.0460000000000003</v>
      </c>
      <c r="O3067" s="508">
        <v>6.0579999999999998</v>
      </c>
      <c r="P3067" s="508">
        <v>5.13</v>
      </c>
      <c r="Q3067" s="508">
        <v>4.1369999999999996</v>
      </c>
      <c r="R3067" s="508">
        <v>4.0380000000000003</v>
      </c>
      <c r="S3067" s="508">
        <v>4.0739999999999998</v>
      </c>
      <c r="T3067" s="508">
        <v>3.8719999999999999</v>
      </c>
      <c r="U3067" s="508">
        <v>3.13</v>
      </c>
      <c r="V3067" s="508">
        <v>4.0129999999999999</v>
      </c>
      <c r="W3067" s="508">
        <v>2.9079999999999999</v>
      </c>
      <c r="X3067" s="508">
        <v>2.6019999999999999</v>
      </c>
      <c r="Y3067" s="508">
        <v>2.6970000000000001</v>
      </c>
      <c r="Z3067" s="508">
        <v>2.8090000000000002</v>
      </c>
      <c r="AA3067" s="508">
        <v>1.526</v>
      </c>
      <c r="AB3067" s="508">
        <v>1.5549999999999999</v>
      </c>
      <c r="AC3067" s="508">
        <v>1.248</v>
      </c>
      <c r="AD3067" s="508">
        <v>0.59299999999999997</v>
      </c>
      <c r="AE3067" s="508">
        <v>0.72799999999999998</v>
      </c>
      <c r="AF3067" s="508">
        <v>0.50700000000000001</v>
      </c>
      <c r="AG3067" s="508">
        <v>0.504</v>
      </c>
      <c r="AH3067" s="508">
        <v>0.501</v>
      </c>
      <c r="AI3067" s="492">
        <v>0.499</v>
      </c>
      <c r="AJ3067" s="485"/>
    </row>
    <row r="3068" spans="2:36">
      <c r="B3068" s="136" t="s">
        <v>472</v>
      </c>
      <c r="C3068" s="132" t="s">
        <v>1368</v>
      </c>
      <c r="D3068" s="132" t="s">
        <v>283</v>
      </c>
      <c r="E3068" s="508">
        <v>5.952</v>
      </c>
      <c r="F3068" s="508">
        <v>6.1870000000000003</v>
      </c>
      <c r="G3068" s="508">
        <v>6.0720000000000001</v>
      </c>
      <c r="H3068" s="508">
        <v>5.9950000000000001</v>
      </c>
      <c r="I3068" s="508">
        <v>5.9950000000000001</v>
      </c>
      <c r="J3068" s="508">
        <v>6.3360000000000003</v>
      </c>
      <c r="K3068" s="508">
        <v>6.3109999999999999</v>
      </c>
      <c r="L3068" s="508">
        <v>6.569</v>
      </c>
      <c r="M3068" s="508">
        <v>6.4669999999999996</v>
      </c>
      <c r="N3068" s="508">
        <v>6.2850000000000001</v>
      </c>
      <c r="O3068" s="508">
        <v>6.27</v>
      </c>
      <c r="P3068" s="508">
        <v>5.1420000000000003</v>
      </c>
      <c r="Q3068" s="508">
        <v>4.1849999999999996</v>
      </c>
      <c r="R3068" s="508">
        <v>4.0709999999999997</v>
      </c>
      <c r="S3068" s="508">
        <v>4.1040000000000001</v>
      </c>
      <c r="T3068" s="508">
        <v>3.911</v>
      </c>
      <c r="U3068" s="508">
        <v>3.1669999999999998</v>
      </c>
      <c r="V3068" s="508">
        <v>4.0190000000000001</v>
      </c>
      <c r="W3068" s="508">
        <v>2.98</v>
      </c>
      <c r="X3068" s="508">
        <v>2.657</v>
      </c>
      <c r="Y3068" s="508">
        <v>2.75</v>
      </c>
      <c r="Z3068" s="508">
        <v>2.8610000000000002</v>
      </c>
      <c r="AA3068" s="508">
        <v>1.52</v>
      </c>
      <c r="AB3068" s="508">
        <v>1.546</v>
      </c>
      <c r="AC3068" s="508">
        <v>1.2450000000000001</v>
      </c>
      <c r="AD3068" s="508">
        <v>0.59399999999999997</v>
      </c>
      <c r="AE3068" s="508">
        <v>0.72599999999999998</v>
      </c>
      <c r="AF3068" s="508">
        <v>0.504</v>
      </c>
      <c r="AG3068" s="508">
        <v>0.501</v>
      </c>
      <c r="AH3068" s="508">
        <v>0.499</v>
      </c>
      <c r="AI3068" s="492">
        <v>0.496</v>
      </c>
      <c r="AJ3068" s="485"/>
    </row>
    <row r="3069" spans="2:36">
      <c r="B3069" s="136" t="s">
        <v>473</v>
      </c>
      <c r="C3069" s="132" t="s">
        <v>1368</v>
      </c>
      <c r="D3069" s="132" t="s">
        <v>283</v>
      </c>
      <c r="E3069" s="508">
        <v>5.8280000000000003</v>
      </c>
      <c r="F3069" s="508">
        <v>6.2039999999999997</v>
      </c>
      <c r="G3069" s="508">
        <v>5.9930000000000003</v>
      </c>
      <c r="H3069" s="508">
        <v>5.851</v>
      </c>
      <c r="I3069" s="508">
        <v>5.851</v>
      </c>
      <c r="J3069" s="508">
        <v>6.2169999999999996</v>
      </c>
      <c r="K3069" s="508">
        <v>6.1879999999999997</v>
      </c>
      <c r="L3069" s="508">
        <v>6.8209999999999997</v>
      </c>
      <c r="M3069" s="508">
        <v>6.6150000000000002</v>
      </c>
      <c r="N3069" s="508">
        <v>6.194</v>
      </c>
      <c r="O3069" s="508">
        <v>6.2240000000000002</v>
      </c>
      <c r="P3069" s="508">
        <v>5.359</v>
      </c>
      <c r="Q3069" s="508">
        <v>4.2930000000000001</v>
      </c>
      <c r="R3069" s="508">
        <v>4.202</v>
      </c>
      <c r="S3069" s="508">
        <v>4.2430000000000003</v>
      </c>
      <c r="T3069" s="508">
        <v>4.0259999999999998</v>
      </c>
      <c r="U3069" s="508">
        <v>3.2589999999999999</v>
      </c>
      <c r="V3069" s="508">
        <v>4.202</v>
      </c>
      <c r="W3069" s="508">
        <v>3.0150000000000001</v>
      </c>
      <c r="X3069" s="508">
        <v>2.7029999999999998</v>
      </c>
      <c r="Y3069" s="508">
        <v>2.8039999999999998</v>
      </c>
      <c r="Z3069" s="508">
        <v>2.923</v>
      </c>
      <c r="AA3069" s="508">
        <v>1.5980000000000001</v>
      </c>
      <c r="AB3069" s="508">
        <v>1.63</v>
      </c>
      <c r="AC3069" s="508">
        <v>1.3069999999999999</v>
      </c>
      <c r="AD3069" s="508">
        <v>0.61799999999999999</v>
      </c>
      <c r="AE3069" s="508">
        <v>0.76</v>
      </c>
      <c r="AF3069" s="508">
        <v>0.52800000000000002</v>
      </c>
      <c r="AG3069" s="508">
        <v>0.52500000000000002</v>
      </c>
      <c r="AH3069" s="508">
        <v>0.52200000000000002</v>
      </c>
      <c r="AI3069" s="492">
        <v>0.52</v>
      </c>
      <c r="AJ3069" s="485"/>
    </row>
    <row r="3070" spans="2:36">
      <c r="B3070" s="136" t="s">
        <v>474</v>
      </c>
      <c r="C3070" s="132" t="s">
        <v>1368</v>
      </c>
      <c r="D3070" s="132" t="s">
        <v>283</v>
      </c>
      <c r="E3070" s="508">
        <v>5.6609999999999996</v>
      </c>
      <c r="F3070" s="508">
        <v>6.0140000000000002</v>
      </c>
      <c r="G3070" s="508">
        <v>5.8529999999999998</v>
      </c>
      <c r="H3070" s="508">
        <v>5.7439999999999998</v>
      </c>
      <c r="I3070" s="508">
        <v>5.7439999999999998</v>
      </c>
      <c r="J3070" s="508">
        <v>6.09</v>
      </c>
      <c r="K3070" s="508">
        <v>6.0629999999999997</v>
      </c>
      <c r="L3070" s="508">
        <v>6.508</v>
      </c>
      <c r="M3070" s="508">
        <v>6.3540000000000001</v>
      </c>
      <c r="N3070" s="508">
        <v>6.056</v>
      </c>
      <c r="O3070" s="508">
        <v>6.0629999999999997</v>
      </c>
      <c r="P3070" s="508">
        <v>5.109</v>
      </c>
      <c r="Q3070" s="508">
        <v>4.1269999999999998</v>
      </c>
      <c r="R3070" s="508">
        <v>4.0259999999999998</v>
      </c>
      <c r="S3070" s="508">
        <v>4.0609999999999999</v>
      </c>
      <c r="T3070" s="508">
        <v>3.8610000000000002</v>
      </c>
      <c r="U3070" s="508">
        <v>3.121</v>
      </c>
      <c r="V3070" s="508">
        <v>3.9950000000000001</v>
      </c>
      <c r="W3070" s="508">
        <v>2.903</v>
      </c>
      <c r="X3070" s="508">
        <v>2.5960000000000001</v>
      </c>
      <c r="Y3070" s="508">
        <v>2.69</v>
      </c>
      <c r="Z3070" s="508">
        <v>2.8010000000000002</v>
      </c>
      <c r="AA3070" s="508">
        <v>1.518</v>
      </c>
      <c r="AB3070" s="508">
        <v>1.546</v>
      </c>
      <c r="AC3070" s="508">
        <v>1.242</v>
      </c>
      <c r="AD3070" s="508">
        <v>0.59099999999999997</v>
      </c>
      <c r="AE3070" s="508">
        <v>0.72499999999999998</v>
      </c>
      <c r="AF3070" s="508">
        <v>0.505</v>
      </c>
      <c r="AG3070" s="508">
        <v>0.502</v>
      </c>
      <c r="AH3070" s="508">
        <v>0.499</v>
      </c>
      <c r="AI3070" s="492">
        <v>0.497</v>
      </c>
      <c r="AJ3070" s="485"/>
    </row>
    <row r="3071" spans="2:36">
      <c r="B3071" s="136" t="s">
        <v>475</v>
      </c>
      <c r="C3071" s="132" t="s">
        <v>1368</v>
      </c>
      <c r="D3071" s="132" t="s">
        <v>283</v>
      </c>
      <c r="E3071" s="508">
        <v>5.8129999999999997</v>
      </c>
      <c r="F3071" s="508">
        <v>6.1269999999999998</v>
      </c>
      <c r="G3071" s="508">
        <v>5.9740000000000002</v>
      </c>
      <c r="H3071" s="508">
        <v>5.8710000000000004</v>
      </c>
      <c r="I3071" s="508">
        <v>5.8710000000000004</v>
      </c>
      <c r="J3071" s="508">
        <v>6.22</v>
      </c>
      <c r="K3071" s="508">
        <v>6.194</v>
      </c>
      <c r="L3071" s="508">
        <v>6.6020000000000003</v>
      </c>
      <c r="M3071" s="508">
        <v>6.4580000000000002</v>
      </c>
      <c r="N3071" s="508">
        <v>6.1790000000000003</v>
      </c>
      <c r="O3071" s="508">
        <v>6.1820000000000004</v>
      </c>
      <c r="P3071" s="508">
        <v>5.1769999999999996</v>
      </c>
      <c r="Q3071" s="508">
        <v>4.1879999999999997</v>
      </c>
      <c r="R3071" s="508">
        <v>4.0830000000000002</v>
      </c>
      <c r="S3071" s="508">
        <v>4.1189999999999998</v>
      </c>
      <c r="T3071" s="508">
        <v>3.9180000000000001</v>
      </c>
      <c r="U3071" s="508">
        <v>3.1709999999999998</v>
      </c>
      <c r="V3071" s="508">
        <v>4.05</v>
      </c>
      <c r="W3071" s="508">
        <v>2.9580000000000002</v>
      </c>
      <c r="X3071" s="508">
        <v>2.6440000000000001</v>
      </c>
      <c r="Y3071" s="508">
        <v>2.738</v>
      </c>
      <c r="Z3071" s="508">
        <v>2.851</v>
      </c>
      <c r="AA3071" s="508">
        <v>1.536</v>
      </c>
      <c r="AB3071" s="508">
        <v>1.5640000000000001</v>
      </c>
      <c r="AC3071" s="508">
        <v>1.2569999999999999</v>
      </c>
      <c r="AD3071" s="508">
        <v>0.59799999999999998</v>
      </c>
      <c r="AE3071" s="508">
        <v>0.73299999999999998</v>
      </c>
      <c r="AF3071" s="508">
        <v>0.50900000000000001</v>
      </c>
      <c r="AG3071" s="508">
        <v>0.50600000000000001</v>
      </c>
      <c r="AH3071" s="508">
        <v>0.504</v>
      </c>
      <c r="AI3071" s="492">
        <v>0.502</v>
      </c>
      <c r="AJ3071" s="485"/>
    </row>
    <row r="3072" spans="2:36">
      <c r="B3072" s="136" t="s">
        <v>476</v>
      </c>
      <c r="C3072" s="132" t="s">
        <v>1368</v>
      </c>
      <c r="D3072" s="132" t="s">
        <v>283</v>
      </c>
      <c r="E3072" s="508">
        <v>5.8520000000000003</v>
      </c>
      <c r="F3072" s="508">
        <v>6.2190000000000003</v>
      </c>
      <c r="G3072" s="508">
        <v>6.0250000000000004</v>
      </c>
      <c r="H3072" s="508">
        <v>5.8949999999999996</v>
      </c>
      <c r="I3072" s="508">
        <v>5.8949999999999996</v>
      </c>
      <c r="J3072" s="508">
        <v>6.2569999999999997</v>
      </c>
      <c r="K3072" s="508">
        <v>6.2290000000000001</v>
      </c>
      <c r="L3072" s="508">
        <v>6.7939999999999996</v>
      </c>
      <c r="M3072" s="508">
        <v>6.6059999999999999</v>
      </c>
      <c r="N3072" s="508">
        <v>6.2350000000000003</v>
      </c>
      <c r="O3072" s="508">
        <v>6.2560000000000002</v>
      </c>
      <c r="P3072" s="508">
        <v>5.3360000000000003</v>
      </c>
      <c r="Q3072" s="508">
        <v>4.2889999999999997</v>
      </c>
      <c r="R3072" s="508">
        <v>4.1929999999999996</v>
      </c>
      <c r="S3072" s="508">
        <v>4.2320000000000002</v>
      </c>
      <c r="T3072" s="508">
        <v>4.0190000000000001</v>
      </c>
      <c r="U3072" s="508">
        <v>3.2549999999999999</v>
      </c>
      <c r="V3072" s="508">
        <v>4.1820000000000004</v>
      </c>
      <c r="W3072" s="508">
        <v>3.0150000000000001</v>
      </c>
      <c r="X3072" s="508">
        <v>2.7</v>
      </c>
      <c r="Y3072" s="508">
        <v>2.7989999999999999</v>
      </c>
      <c r="Z3072" s="508">
        <v>2.9159999999999999</v>
      </c>
      <c r="AA3072" s="508">
        <v>1.587</v>
      </c>
      <c r="AB3072" s="508">
        <v>1.6180000000000001</v>
      </c>
      <c r="AC3072" s="508">
        <v>1.2989999999999999</v>
      </c>
      <c r="AD3072" s="508">
        <v>0.61599999999999999</v>
      </c>
      <c r="AE3072" s="508">
        <v>0.75600000000000001</v>
      </c>
      <c r="AF3072" s="508">
        <v>0.52500000000000002</v>
      </c>
      <c r="AG3072" s="508">
        <v>0.52200000000000002</v>
      </c>
      <c r="AH3072" s="508">
        <v>0.51900000000000002</v>
      </c>
      <c r="AI3072" s="492">
        <v>0.51700000000000002</v>
      </c>
      <c r="AJ3072" s="485"/>
    </row>
    <row r="3073" spans="2:36">
      <c r="B3073" s="136" t="s">
        <v>478</v>
      </c>
      <c r="C3073" s="132" t="s">
        <v>1368</v>
      </c>
      <c r="D3073" s="132" t="s">
        <v>283</v>
      </c>
      <c r="E3073" s="508">
        <v>5.9039999999999999</v>
      </c>
      <c r="F3073" s="508">
        <v>6.31</v>
      </c>
      <c r="G3073" s="508">
        <v>6.0919999999999996</v>
      </c>
      <c r="H3073" s="508">
        <v>5.9450000000000003</v>
      </c>
      <c r="I3073" s="508">
        <v>5.9450000000000003</v>
      </c>
      <c r="J3073" s="508">
        <v>6.32</v>
      </c>
      <c r="K3073" s="508">
        <v>6.29</v>
      </c>
      <c r="L3073" s="508">
        <v>6.9480000000000004</v>
      </c>
      <c r="M3073" s="508">
        <v>6.734</v>
      </c>
      <c r="N3073" s="508">
        <v>6.3010000000000002</v>
      </c>
      <c r="O3073" s="508">
        <v>6.3330000000000002</v>
      </c>
      <c r="P3073" s="508">
        <v>5.4610000000000003</v>
      </c>
      <c r="Q3073" s="508">
        <v>4.375</v>
      </c>
      <c r="R3073" s="508">
        <v>4.2830000000000004</v>
      </c>
      <c r="S3073" s="508">
        <v>4.3239999999999998</v>
      </c>
      <c r="T3073" s="508">
        <v>4.1029999999999998</v>
      </c>
      <c r="U3073" s="508">
        <v>3.327</v>
      </c>
      <c r="V3073" s="508">
        <v>4.2859999999999996</v>
      </c>
      <c r="W3073" s="508">
        <v>3.0659999999999998</v>
      </c>
      <c r="X3073" s="508">
        <v>2.7469999999999999</v>
      </c>
      <c r="Y3073" s="508">
        <v>2.8490000000000002</v>
      </c>
      <c r="Z3073" s="508">
        <v>2.9689999999999999</v>
      </c>
      <c r="AA3073" s="508">
        <v>1.6259999999999999</v>
      </c>
      <c r="AB3073" s="508">
        <v>1.6579999999999999</v>
      </c>
      <c r="AC3073" s="508">
        <v>1.33</v>
      </c>
      <c r="AD3073" s="508">
        <v>0.63</v>
      </c>
      <c r="AE3073" s="508">
        <v>0.77400000000000002</v>
      </c>
      <c r="AF3073" s="508">
        <v>0.53700000000000003</v>
      </c>
      <c r="AG3073" s="508">
        <v>0.53400000000000003</v>
      </c>
      <c r="AH3073" s="508">
        <v>0.53100000000000003</v>
      </c>
      <c r="AI3073" s="492">
        <v>0.52900000000000003</v>
      </c>
      <c r="AJ3073" s="485"/>
    </row>
    <row r="3074" spans="2:36">
      <c r="B3074" s="136" t="s">
        <v>479</v>
      </c>
      <c r="C3074" s="132" t="s">
        <v>1368</v>
      </c>
      <c r="D3074" s="132" t="s">
        <v>283</v>
      </c>
      <c r="E3074" s="508">
        <v>5.5810000000000004</v>
      </c>
      <c r="F3074" s="508">
        <v>5.95</v>
      </c>
      <c r="G3074" s="508">
        <v>5.7990000000000004</v>
      </c>
      <c r="H3074" s="508">
        <v>5.6970000000000001</v>
      </c>
      <c r="I3074" s="508">
        <v>5.6970000000000001</v>
      </c>
      <c r="J3074" s="508">
        <v>6.0359999999999996</v>
      </c>
      <c r="K3074" s="508">
        <v>6.0090000000000003</v>
      </c>
      <c r="L3074" s="508">
        <v>6.4169999999999998</v>
      </c>
      <c r="M3074" s="508">
        <v>6.2729999999999997</v>
      </c>
      <c r="N3074" s="508">
        <v>6.0090000000000003</v>
      </c>
      <c r="O3074" s="508">
        <v>6.01</v>
      </c>
      <c r="P3074" s="508">
        <v>5.04</v>
      </c>
      <c r="Q3074" s="508">
        <v>4.0789999999999997</v>
      </c>
      <c r="R3074" s="508">
        <v>3.976</v>
      </c>
      <c r="S3074" s="508">
        <v>4.0090000000000003</v>
      </c>
      <c r="T3074" s="508">
        <v>3.8140000000000001</v>
      </c>
      <c r="U3074" s="508">
        <v>3.0819999999999999</v>
      </c>
      <c r="V3074" s="508">
        <v>3.9380000000000002</v>
      </c>
      <c r="W3074" s="508">
        <v>2.8660000000000001</v>
      </c>
      <c r="X3074" s="508">
        <v>2.56</v>
      </c>
      <c r="Y3074" s="508">
        <v>2.6509999999999998</v>
      </c>
      <c r="Z3074" s="508">
        <v>2.76</v>
      </c>
      <c r="AA3074" s="508">
        <v>1.4950000000000001</v>
      </c>
      <c r="AB3074" s="508">
        <v>1.522</v>
      </c>
      <c r="AC3074" s="508">
        <v>1.2230000000000001</v>
      </c>
      <c r="AD3074" s="508">
        <v>0.58399999999999996</v>
      </c>
      <c r="AE3074" s="508">
        <v>0.71499999999999997</v>
      </c>
      <c r="AF3074" s="508">
        <v>0.498</v>
      </c>
      <c r="AG3074" s="508">
        <v>0.495</v>
      </c>
      <c r="AH3074" s="508">
        <v>0.49299999999999999</v>
      </c>
      <c r="AI3074" s="492">
        <v>0.49099999999999999</v>
      </c>
      <c r="AJ3074" s="485"/>
    </row>
    <row r="3075" spans="2:36">
      <c r="B3075" s="136" t="s">
        <v>480</v>
      </c>
      <c r="C3075" s="132" t="s">
        <v>1368</v>
      </c>
      <c r="D3075" s="132" t="s">
        <v>283</v>
      </c>
      <c r="E3075" s="508">
        <v>5.9029999999999996</v>
      </c>
      <c r="F3075" s="508">
        <v>6.1609999999999996</v>
      </c>
      <c r="G3075" s="508">
        <v>6.0590000000000002</v>
      </c>
      <c r="H3075" s="508">
        <v>5.9909999999999997</v>
      </c>
      <c r="I3075" s="508">
        <v>5.9909999999999997</v>
      </c>
      <c r="J3075" s="508">
        <v>6.327</v>
      </c>
      <c r="K3075" s="508">
        <v>6.3019999999999996</v>
      </c>
      <c r="L3075" s="508">
        <v>6.5090000000000003</v>
      </c>
      <c r="M3075" s="508">
        <v>6.4210000000000003</v>
      </c>
      <c r="N3075" s="508">
        <v>6.2830000000000004</v>
      </c>
      <c r="O3075" s="508">
        <v>6.2610000000000001</v>
      </c>
      <c r="P3075" s="508">
        <v>5.0970000000000004</v>
      </c>
      <c r="Q3075" s="508">
        <v>4.1619999999999999</v>
      </c>
      <c r="R3075" s="508">
        <v>4.0430000000000001</v>
      </c>
      <c r="S3075" s="508">
        <v>4.0739999999999998</v>
      </c>
      <c r="T3075" s="508">
        <v>3.8849999999999998</v>
      </c>
      <c r="U3075" s="508">
        <v>3.1480000000000001</v>
      </c>
      <c r="V3075" s="508">
        <v>3.9820000000000002</v>
      </c>
      <c r="W3075" s="508">
        <v>2.9590000000000001</v>
      </c>
      <c r="X3075" s="508">
        <v>2.6339999999999999</v>
      </c>
      <c r="Y3075" s="508">
        <v>2.7240000000000002</v>
      </c>
      <c r="Z3075" s="508">
        <v>2.8330000000000002</v>
      </c>
      <c r="AA3075" s="508">
        <v>1.502</v>
      </c>
      <c r="AB3075" s="508">
        <v>1.5269999999999999</v>
      </c>
      <c r="AC3075" s="508">
        <v>1.2310000000000001</v>
      </c>
      <c r="AD3075" s="508">
        <v>0.59</v>
      </c>
      <c r="AE3075" s="508">
        <v>0.71899999999999997</v>
      </c>
      <c r="AF3075" s="508">
        <v>0.5</v>
      </c>
      <c r="AG3075" s="508">
        <v>0.497</v>
      </c>
      <c r="AH3075" s="508">
        <v>0.49399999999999999</v>
      </c>
      <c r="AI3075" s="492">
        <v>0.49199999999999999</v>
      </c>
      <c r="AJ3075" s="485"/>
    </row>
    <row r="3076" spans="2:36">
      <c r="B3076" s="136" t="s">
        <v>481</v>
      </c>
      <c r="C3076" s="132" t="s">
        <v>1368</v>
      </c>
      <c r="D3076" s="132" t="s">
        <v>283</v>
      </c>
      <c r="E3076" s="508">
        <v>5.6829999999999998</v>
      </c>
      <c r="F3076" s="508">
        <v>6.0549999999999997</v>
      </c>
      <c r="G3076" s="508">
        <v>5.8879999999999999</v>
      </c>
      <c r="H3076" s="508">
        <v>5.7750000000000004</v>
      </c>
      <c r="I3076" s="508">
        <v>5.7750000000000004</v>
      </c>
      <c r="J3076" s="508">
        <v>6.1239999999999997</v>
      </c>
      <c r="K3076" s="508">
        <v>6.0970000000000004</v>
      </c>
      <c r="L3076" s="508">
        <v>6.5629999999999997</v>
      </c>
      <c r="M3076" s="508">
        <v>6.4029999999999996</v>
      </c>
      <c r="N3076" s="508">
        <v>6.0970000000000004</v>
      </c>
      <c r="O3076" s="508">
        <v>6.1050000000000004</v>
      </c>
      <c r="P3076" s="508">
        <v>5.1550000000000002</v>
      </c>
      <c r="Q3076" s="508">
        <v>4.1609999999999996</v>
      </c>
      <c r="R3076" s="508">
        <v>4.0609999999999999</v>
      </c>
      <c r="S3076" s="508">
        <v>4.0960000000000001</v>
      </c>
      <c r="T3076" s="508">
        <v>3.8940000000000001</v>
      </c>
      <c r="U3076" s="508">
        <v>3.15</v>
      </c>
      <c r="V3076" s="508">
        <v>4.032</v>
      </c>
      <c r="W3076" s="508">
        <v>2.923</v>
      </c>
      <c r="X3076" s="508">
        <v>2.6139999999999999</v>
      </c>
      <c r="Y3076" s="508">
        <v>2.7080000000000002</v>
      </c>
      <c r="Z3076" s="508">
        <v>2.819</v>
      </c>
      <c r="AA3076" s="508">
        <v>1.53</v>
      </c>
      <c r="AB3076" s="508">
        <v>1.5589999999999999</v>
      </c>
      <c r="AC3076" s="508">
        <v>1.252</v>
      </c>
      <c r="AD3076" s="508">
        <v>0.59599999999999997</v>
      </c>
      <c r="AE3076" s="508">
        <v>0.73099999999999998</v>
      </c>
      <c r="AF3076" s="508">
        <v>0.50900000000000001</v>
      </c>
      <c r="AG3076" s="508">
        <v>0.50600000000000001</v>
      </c>
      <c r="AH3076" s="508">
        <v>0.503</v>
      </c>
      <c r="AI3076" s="492">
        <v>0.501</v>
      </c>
      <c r="AJ3076" s="485"/>
    </row>
    <row r="3077" spans="2:36">
      <c r="B3077" s="136" t="s">
        <v>482</v>
      </c>
      <c r="C3077" s="132" t="s">
        <v>1368</v>
      </c>
      <c r="D3077" s="132" t="s">
        <v>283</v>
      </c>
      <c r="E3077" s="508">
        <v>5.6680000000000001</v>
      </c>
      <c r="F3077" s="508">
        <v>6.0549999999999997</v>
      </c>
      <c r="G3077" s="508">
        <v>5.891</v>
      </c>
      <c r="H3077" s="508">
        <v>5.782</v>
      </c>
      <c r="I3077" s="508">
        <v>5.7990000000000004</v>
      </c>
      <c r="J3077" s="508">
        <v>6.1539999999999999</v>
      </c>
      <c r="K3077" s="508">
        <v>6.1269999999999998</v>
      </c>
      <c r="L3077" s="508">
        <v>6.7050000000000001</v>
      </c>
      <c r="M3077" s="508">
        <v>6.5259999999999998</v>
      </c>
      <c r="N3077" s="508">
        <v>6.1580000000000004</v>
      </c>
      <c r="O3077" s="508">
        <v>6.1890000000000001</v>
      </c>
      <c r="P3077" s="508">
        <v>5.3029999999999999</v>
      </c>
      <c r="Q3077" s="508">
        <v>4.2640000000000002</v>
      </c>
      <c r="R3077" s="508">
        <v>4.1790000000000003</v>
      </c>
      <c r="S3077" s="508">
        <v>4.218</v>
      </c>
      <c r="T3077" s="508">
        <v>4.0039999999999996</v>
      </c>
      <c r="U3077" s="508">
        <v>3.2469999999999999</v>
      </c>
      <c r="V3077" s="508">
        <v>4.1749999999999998</v>
      </c>
      <c r="W3077" s="508">
        <v>2.9729999999999999</v>
      </c>
      <c r="X3077" s="508">
        <v>2.66</v>
      </c>
      <c r="Y3077" s="508">
        <v>2.7559999999999998</v>
      </c>
      <c r="Z3077" s="508">
        <v>2.87</v>
      </c>
      <c r="AA3077" s="508">
        <v>1.56</v>
      </c>
      <c r="AB3077" s="508">
        <v>1.591</v>
      </c>
      <c r="AC3077" s="508">
        <v>1.278</v>
      </c>
      <c r="AD3077" s="508">
        <v>0.60699999999999998</v>
      </c>
      <c r="AE3077" s="508">
        <v>0.745</v>
      </c>
      <c r="AF3077" s="508">
        <v>0.51800000000000002</v>
      </c>
      <c r="AG3077" s="508">
        <v>0.51500000000000001</v>
      </c>
      <c r="AH3077" s="508">
        <v>0.51300000000000001</v>
      </c>
      <c r="AI3077" s="492">
        <v>0.51</v>
      </c>
      <c r="AJ3077" s="485"/>
    </row>
    <row r="3078" spans="2:36">
      <c r="B3078" s="136" t="s">
        <v>483</v>
      </c>
      <c r="C3078" s="132" t="s">
        <v>1368</v>
      </c>
      <c r="D3078" s="132" t="s">
        <v>283</v>
      </c>
      <c r="E3078" s="508">
        <v>5.98</v>
      </c>
      <c r="F3078" s="508">
        <v>6.367</v>
      </c>
      <c r="G3078" s="508">
        <v>6.1449999999999996</v>
      </c>
      <c r="H3078" s="508">
        <v>5.9960000000000004</v>
      </c>
      <c r="I3078" s="508">
        <v>5.9960000000000004</v>
      </c>
      <c r="J3078" s="508">
        <v>6.3730000000000002</v>
      </c>
      <c r="K3078" s="508">
        <v>6.343</v>
      </c>
      <c r="L3078" s="508">
        <v>7.0149999999999997</v>
      </c>
      <c r="M3078" s="508">
        <v>6.798</v>
      </c>
      <c r="N3078" s="508">
        <v>6.3559999999999999</v>
      </c>
      <c r="O3078" s="508">
        <v>6.3890000000000002</v>
      </c>
      <c r="P3078" s="508">
        <v>5.5119999999999996</v>
      </c>
      <c r="Q3078" s="508">
        <v>4.4119999999999999</v>
      </c>
      <c r="R3078" s="508">
        <v>4.3209999999999997</v>
      </c>
      <c r="S3078" s="508">
        <v>4.3630000000000004</v>
      </c>
      <c r="T3078" s="508">
        <v>4.1399999999999997</v>
      </c>
      <c r="U3078" s="508">
        <v>3.3570000000000002</v>
      </c>
      <c r="V3078" s="508">
        <v>4.3280000000000003</v>
      </c>
      <c r="W3078" s="508">
        <v>3.0979999999999999</v>
      </c>
      <c r="X3078" s="508">
        <v>2.7770000000000001</v>
      </c>
      <c r="Y3078" s="508">
        <v>2.88</v>
      </c>
      <c r="Z3078" s="508">
        <v>3.0019999999999998</v>
      </c>
      <c r="AA3078" s="508">
        <v>1.6419999999999999</v>
      </c>
      <c r="AB3078" s="508">
        <v>1.6739999999999999</v>
      </c>
      <c r="AC3078" s="508">
        <v>1.343</v>
      </c>
      <c r="AD3078" s="508">
        <v>0.63500000000000001</v>
      </c>
      <c r="AE3078" s="508">
        <v>0.78100000000000003</v>
      </c>
      <c r="AF3078" s="508">
        <v>0.54100000000000004</v>
      </c>
      <c r="AG3078" s="508">
        <v>0.53800000000000003</v>
      </c>
      <c r="AH3078" s="508">
        <v>0.53500000000000003</v>
      </c>
      <c r="AI3078" s="492">
        <v>0.53300000000000003</v>
      </c>
      <c r="AJ3078" s="485"/>
    </row>
    <row r="3079" spans="2:36">
      <c r="B3079" s="136" t="s">
        <v>484</v>
      </c>
      <c r="C3079" s="132" t="s">
        <v>1368</v>
      </c>
      <c r="D3079" s="132" t="s">
        <v>283</v>
      </c>
      <c r="E3079" s="508">
        <v>5.9089999999999998</v>
      </c>
      <c r="F3079" s="508">
        <v>6.15</v>
      </c>
      <c r="G3079" s="508">
        <v>6.0419999999999998</v>
      </c>
      <c r="H3079" s="508">
        <v>5.97</v>
      </c>
      <c r="I3079" s="508">
        <v>5.97</v>
      </c>
      <c r="J3079" s="508">
        <v>6.3079999999999998</v>
      </c>
      <c r="K3079" s="508">
        <v>6.2839999999999998</v>
      </c>
      <c r="L3079" s="508">
        <v>6.516</v>
      </c>
      <c r="M3079" s="508">
        <v>6.4210000000000003</v>
      </c>
      <c r="N3079" s="508">
        <v>6.2560000000000002</v>
      </c>
      <c r="O3079" s="508">
        <v>6.2380000000000004</v>
      </c>
      <c r="P3079" s="508">
        <v>5.0999999999999996</v>
      </c>
      <c r="Q3079" s="508">
        <v>4.157</v>
      </c>
      <c r="R3079" s="508">
        <v>4.0410000000000004</v>
      </c>
      <c r="S3079" s="508">
        <v>4.0730000000000004</v>
      </c>
      <c r="T3079" s="508">
        <v>3.883</v>
      </c>
      <c r="U3079" s="508">
        <v>3.1429999999999998</v>
      </c>
      <c r="V3079" s="508">
        <v>3.9849999999999999</v>
      </c>
      <c r="W3079" s="508">
        <v>2.9590000000000001</v>
      </c>
      <c r="X3079" s="508">
        <v>2.637</v>
      </c>
      <c r="Y3079" s="508">
        <v>2.7280000000000002</v>
      </c>
      <c r="Z3079" s="508">
        <v>2.8380000000000001</v>
      </c>
      <c r="AA3079" s="508">
        <v>1.506</v>
      </c>
      <c r="AB3079" s="508">
        <v>1.532</v>
      </c>
      <c r="AC3079" s="508">
        <v>1.234</v>
      </c>
      <c r="AD3079" s="508">
        <v>0.59</v>
      </c>
      <c r="AE3079" s="508">
        <v>0.72</v>
      </c>
      <c r="AF3079" s="508">
        <v>0.5</v>
      </c>
      <c r="AG3079" s="508">
        <v>0.497</v>
      </c>
      <c r="AH3079" s="508">
        <v>0.495</v>
      </c>
      <c r="AI3079" s="492">
        <v>0.49299999999999999</v>
      </c>
      <c r="AJ3079" s="485"/>
    </row>
    <row r="3080" spans="2:36">
      <c r="B3080" s="136" t="s">
        <v>486</v>
      </c>
      <c r="C3080" s="132" t="s">
        <v>1368</v>
      </c>
      <c r="D3080" s="132" t="s">
        <v>283</v>
      </c>
      <c r="E3080" s="508">
        <v>5.7480000000000002</v>
      </c>
      <c r="F3080" s="508">
        <v>6.1180000000000003</v>
      </c>
      <c r="G3080" s="508">
        <v>5.9459999999999997</v>
      </c>
      <c r="H3080" s="508">
        <v>5.8310000000000004</v>
      </c>
      <c r="I3080" s="508">
        <v>5.8310000000000004</v>
      </c>
      <c r="J3080" s="508">
        <v>6.1840000000000002</v>
      </c>
      <c r="K3080" s="508">
        <v>6.157</v>
      </c>
      <c r="L3080" s="508">
        <v>6.6390000000000002</v>
      </c>
      <c r="M3080" s="508">
        <v>6.4740000000000002</v>
      </c>
      <c r="N3080" s="508">
        <v>6.1559999999999997</v>
      </c>
      <c r="O3080" s="508">
        <v>6.1669999999999998</v>
      </c>
      <c r="P3080" s="508">
        <v>5.2140000000000004</v>
      </c>
      <c r="Q3080" s="508">
        <v>4.2069999999999999</v>
      </c>
      <c r="R3080" s="508">
        <v>4.1059999999999999</v>
      </c>
      <c r="S3080" s="508">
        <v>4.1420000000000003</v>
      </c>
      <c r="T3080" s="508">
        <v>3.9369999999999998</v>
      </c>
      <c r="U3080" s="508">
        <v>3.1869999999999998</v>
      </c>
      <c r="V3080" s="508">
        <v>4.0810000000000004</v>
      </c>
      <c r="W3080" s="508">
        <v>2.956</v>
      </c>
      <c r="X3080" s="508">
        <v>2.6429999999999998</v>
      </c>
      <c r="Y3080" s="508">
        <v>2.7389999999999999</v>
      </c>
      <c r="Z3080" s="508">
        <v>2.851</v>
      </c>
      <c r="AA3080" s="508">
        <v>1.5469999999999999</v>
      </c>
      <c r="AB3080" s="508">
        <v>1.577</v>
      </c>
      <c r="AC3080" s="508">
        <v>1.2669999999999999</v>
      </c>
      <c r="AD3080" s="508">
        <v>0.60299999999999998</v>
      </c>
      <c r="AE3080" s="508">
        <v>0.73899999999999999</v>
      </c>
      <c r="AF3080" s="508">
        <v>0.51400000000000001</v>
      </c>
      <c r="AG3080" s="508">
        <v>0.51100000000000001</v>
      </c>
      <c r="AH3080" s="508">
        <v>0.50800000000000001</v>
      </c>
      <c r="AI3080" s="492">
        <v>0.50600000000000001</v>
      </c>
      <c r="AJ3080" s="485"/>
    </row>
    <row r="3081" spans="2:36">
      <c r="B3081" s="136" t="s">
        <v>487</v>
      </c>
      <c r="C3081" s="132" t="s">
        <v>1368</v>
      </c>
      <c r="D3081" s="132" t="s">
        <v>283</v>
      </c>
      <c r="E3081" s="508">
        <v>5.86</v>
      </c>
      <c r="F3081" s="508">
        <v>6.2309999999999999</v>
      </c>
      <c r="G3081" s="508">
        <v>6.0540000000000003</v>
      </c>
      <c r="H3081" s="508">
        <v>5.9340000000000002</v>
      </c>
      <c r="I3081" s="508">
        <v>5.9340000000000002</v>
      </c>
      <c r="J3081" s="508">
        <v>6.2949999999999999</v>
      </c>
      <c r="K3081" s="508">
        <v>6.2670000000000003</v>
      </c>
      <c r="L3081" s="508">
        <v>6.766</v>
      </c>
      <c r="M3081" s="508">
        <v>6.5970000000000004</v>
      </c>
      <c r="N3081" s="508">
        <v>6.2690000000000001</v>
      </c>
      <c r="O3081" s="508">
        <v>6.2809999999999997</v>
      </c>
      <c r="P3081" s="508">
        <v>5.3129999999999997</v>
      </c>
      <c r="Q3081" s="508">
        <v>4.2850000000000001</v>
      </c>
      <c r="R3081" s="508">
        <v>4.1829999999999998</v>
      </c>
      <c r="S3081" s="508">
        <v>4.2210000000000001</v>
      </c>
      <c r="T3081" s="508">
        <v>4.0119999999999996</v>
      </c>
      <c r="U3081" s="508">
        <v>3.2519999999999998</v>
      </c>
      <c r="V3081" s="508">
        <v>4.1619999999999999</v>
      </c>
      <c r="W3081" s="508">
        <v>3.0129999999999999</v>
      </c>
      <c r="X3081" s="508">
        <v>2.6930000000000001</v>
      </c>
      <c r="Y3081" s="508">
        <v>2.79</v>
      </c>
      <c r="Z3081" s="508">
        <v>2.9049999999999998</v>
      </c>
      <c r="AA3081" s="508">
        <v>1.575</v>
      </c>
      <c r="AB3081" s="508">
        <v>1.605</v>
      </c>
      <c r="AC3081" s="508">
        <v>1.29</v>
      </c>
      <c r="AD3081" s="508">
        <v>0.61399999999999999</v>
      </c>
      <c r="AE3081" s="508">
        <v>0.752</v>
      </c>
      <c r="AF3081" s="508">
        <v>0.52300000000000002</v>
      </c>
      <c r="AG3081" s="508">
        <v>0.52</v>
      </c>
      <c r="AH3081" s="508">
        <v>0.51700000000000002</v>
      </c>
      <c r="AI3081" s="492">
        <v>0.51500000000000001</v>
      </c>
      <c r="AJ3081" s="485"/>
    </row>
    <row r="3082" spans="2:36">
      <c r="B3082" s="136" t="s">
        <v>488</v>
      </c>
      <c r="C3082" s="132" t="s">
        <v>1368</v>
      </c>
      <c r="D3082" s="132" t="s">
        <v>283</v>
      </c>
      <c r="E3082" s="508">
        <v>5.758</v>
      </c>
      <c r="F3082" s="508">
        <v>6.0529999999999999</v>
      </c>
      <c r="G3082" s="508">
        <v>5.9370000000000003</v>
      </c>
      <c r="H3082" s="508">
        <v>5.8579999999999997</v>
      </c>
      <c r="I3082" s="508">
        <v>5.8579999999999997</v>
      </c>
      <c r="J3082" s="508">
        <v>6.1959999999999997</v>
      </c>
      <c r="K3082" s="508">
        <v>6.1710000000000003</v>
      </c>
      <c r="L3082" s="508">
        <v>6.4370000000000003</v>
      </c>
      <c r="M3082" s="508">
        <v>6.3319999999999999</v>
      </c>
      <c r="N3082" s="508">
        <v>6.149</v>
      </c>
      <c r="O3082" s="508">
        <v>6.1340000000000003</v>
      </c>
      <c r="P3082" s="508">
        <v>5.0449999999999999</v>
      </c>
      <c r="Q3082" s="508">
        <v>4.1079999999999997</v>
      </c>
      <c r="R3082" s="508">
        <v>3.9950000000000001</v>
      </c>
      <c r="S3082" s="508">
        <v>4.0259999999999998</v>
      </c>
      <c r="T3082" s="508">
        <v>3.8359999999999999</v>
      </c>
      <c r="U3082" s="508">
        <v>3.1040000000000001</v>
      </c>
      <c r="V3082" s="508">
        <v>3.94</v>
      </c>
      <c r="W3082" s="508">
        <v>2.9079999999999999</v>
      </c>
      <c r="X3082" s="508">
        <v>2.5920000000000001</v>
      </c>
      <c r="Y3082" s="508">
        <v>2.6819999999999999</v>
      </c>
      <c r="Z3082" s="508">
        <v>2.79</v>
      </c>
      <c r="AA3082" s="508">
        <v>1.49</v>
      </c>
      <c r="AB3082" s="508">
        <v>1.516</v>
      </c>
      <c r="AC3082" s="508">
        <v>1.2210000000000001</v>
      </c>
      <c r="AD3082" s="508">
        <v>0.58399999999999996</v>
      </c>
      <c r="AE3082" s="508">
        <v>0.71399999999999997</v>
      </c>
      <c r="AF3082" s="508">
        <v>0.497</v>
      </c>
      <c r="AG3082" s="508">
        <v>0.49399999999999999</v>
      </c>
      <c r="AH3082" s="508">
        <v>0.49099999999999999</v>
      </c>
      <c r="AI3082" s="492">
        <v>0.48899999999999999</v>
      </c>
      <c r="AJ3082" s="485"/>
    </row>
    <row r="3083" spans="2:36">
      <c r="B3083" s="136" t="s">
        <v>489</v>
      </c>
      <c r="C3083" s="132" t="s">
        <v>1368</v>
      </c>
      <c r="D3083" s="132" t="s">
        <v>283</v>
      </c>
      <c r="E3083" s="508">
        <v>5.9020000000000001</v>
      </c>
      <c r="F3083" s="508">
        <v>6.2009999999999996</v>
      </c>
      <c r="G3083" s="508">
        <v>6.0490000000000004</v>
      </c>
      <c r="H3083" s="508">
        <v>5.9459999999999997</v>
      </c>
      <c r="I3083" s="508">
        <v>5.9459999999999997</v>
      </c>
      <c r="J3083" s="508">
        <v>6.2990000000000004</v>
      </c>
      <c r="K3083" s="508">
        <v>6.2729999999999997</v>
      </c>
      <c r="L3083" s="508">
        <v>6.6769999999999996</v>
      </c>
      <c r="M3083" s="508">
        <v>6.5339999999999998</v>
      </c>
      <c r="N3083" s="508">
        <v>6.2569999999999997</v>
      </c>
      <c r="O3083" s="508">
        <v>6.26</v>
      </c>
      <c r="P3083" s="508">
        <v>5.234</v>
      </c>
      <c r="Q3083" s="508">
        <v>4.234</v>
      </c>
      <c r="R3083" s="508">
        <v>4.1289999999999996</v>
      </c>
      <c r="S3083" s="508">
        <v>4.165</v>
      </c>
      <c r="T3083" s="508">
        <v>3.9620000000000002</v>
      </c>
      <c r="U3083" s="508">
        <v>3.2090000000000001</v>
      </c>
      <c r="V3083" s="508">
        <v>4.0970000000000004</v>
      </c>
      <c r="W3083" s="508">
        <v>2.996</v>
      </c>
      <c r="X3083" s="508">
        <v>2.677</v>
      </c>
      <c r="Y3083" s="508">
        <v>2.7730000000000001</v>
      </c>
      <c r="Z3083" s="508">
        <v>2.887</v>
      </c>
      <c r="AA3083" s="508">
        <v>1.552</v>
      </c>
      <c r="AB3083" s="508">
        <v>1.58</v>
      </c>
      <c r="AC3083" s="508">
        <v>1.2709999999999999</v>
      </c>
      <c r="AD3083" s="508">
        <v>0.60399999999999998</v>
      </c>
      <c r="AE3083" s="508">
        <v>0.74</v>
      </c>
      <c r="AF3083" s="508">
        <v>0.51400000000000001</v>
      </c>
      <c r="AG3083" s="508">
        <v>0.51100000000000001</v>
      </c>
      <c r="AH3083" s="508">
        <v>0.50900000000000001</v>
      </c>
      <c r="AI3083" s="492">
        <v>0.50600000000000001</v>
      </c>
      <c r="AJ3083" s="485"/>
    </row>
    <row r="3084" spans="2:36">
      <c r="B3084" s="136" t="s">
        <v>490</v>
      </c>
      <c r="C3084" s="132" t="s">
        <v>1368</v>
      </c>
      <c r="D3084" s="132" t="s">
        <v>283</v>
      </c>
      <c r="E3084" s="508">
        <v>5.992</v>
      </c>
      <c r="F3084" s="508">
        <v>6.258</v>
      </c>
      <c r="G3084" s="508">
        <v>6.1420000000000003</v>
      </c>
      <c r="H3084" s="508">
        <v>6.0640000000000001</v>
      </c>
      <c r="I3084" s="508">
        <v>6.0640000000000001</v>
      </c>
      <c r="J3084" s="508">
        <v>6.4050000000000002</v>
      </c>
      <c r="K3084" s="508">
        <v>6.38</v>
      </c>
      <c r="L3084" s="508">
        <v>6.6440000000000001</v>
      </c>
      <c r="M3084" s="508">
        <v>6.54</v>
      </c>
      <c r="N3084" s="508">
        <v>6.3739999999999997</v>
      </c>
      <c r="O3084" s="508">
        <v>6.3579999999999997</v>
      </c>
      <c r="P3084" s="508">
        <v>5.2050000000000001</v>
      </c>
      <c r="Q3084" s="508">
        <v>4.24</v>
      </c>
      <c r="R3084" s="508">
        <v>4.1230000000000002</v>
      </c>
      <c r="S3084" s="508">
        <v>4.1559999999999997</v>
      </c>
      <c r="T3084" s="508">
        <v>3.9609999999999999</v>
      </c>
      <c r="U3084" s="508">
        <v>3.2120000000000002</v>
      </c>
      <c r="V3084" s="508">
        <v>4.0709999999999997</v>
      </c>
      <c r="W3084" s="508">
        <v>3.0129999999999999</v>
      </c>
      <c r="X3084" s="508">
        <v>2.6840000000000002</v>
      </c>
      <c r="Y3084" s="508">
        <v>2.7759999999999998</v>
      </c>
      <c r="Z3084" s="508">
        <v>2.8879999999999999</v>
      </c>
      <c r="AA3084" s="508">
        <v>1.534</v>
      </c>
      <c r="AB3084" s="508">
        <v>1.56</v>
      </c>
      <c r="AC3084" s="508">
        <v>1.258</v>
      </c>
      <c r="AD3084" s="508">
        <v>0.60199999999999998</v>
      </c>
      <c r="AE3084" s="508">
        <v>0.73399999999999999</v>
      </c>
      <c r="AF3084" s="508">
        <v>0.51</v>
      </c>
      <c r="AG3084" s="508">
        <v>0.50700000000000001</v>
      </c>
      <c r="AH3084" s="508">
        <v>0.504</v>
      </c>
      <c r="AI3084" s="492">
        <v>0.502</v>
      </c>
      <c r="AJ3084" s="485"/>
    </row>
    <row r="3085" spans="2:36">
      <c r="B3085" s="136" t="s">
        <v>435</v>
      </c>
      <c r="C3085" s="132" t="s">
        <v>1369</v>
      </c>
      <c r="D3085" s="132" t="s">
        <v>283</v>
      </c>
      <c r="E3085" s="508">
        <v>5.8019999999999996</v>
      </c>
      <c r="F3085" s="508">
        <v>6.1920000000000002</v>
      </c>
      <c r="G3085" s="508">
        <v>6.1840000000000002</v>
      </c>
      <c r="H3085" s="508">
        <v>6.1829999999999998</v>
      </c>
      <c r="I3085" s="508">
        <v>6.1840000000000002</v>
      </c>
      <c r="J3085" s="508">
        <v>6.4960000000000004</v>
      </c>
      <c r="K3085" s="508">
        <v>6.4690000000000003</v>
      </c>
      <c r="L3085" s="508">
        <v>6.4370000000000003</v>
      </c>
      <c r="M3085" s="508">
        <v>6.3840000000000003</v>
      </c>
      <c r="N3085" s="508">
        <v>6.2629999999999999</v>
      </c>
      <c r="O3085" s="508">
        <v>6.2119999999999997</v>
      </c>
      <c r="P3085" s="508">
        <v>3.0670000000000002</v>
      </c>
      <c r="Q3085" s="508">
        <v>2.9740000000000002</v>
      </c>
      <c r="R3085" s="508">
        <v>2.911</v>
      </c>
      <c r="S3085" s="508">
        <v>2.8860000000000001</v>
      </c>
      <c r="T3085" s="508">
        <v>2.8250000000000002</v>
      </c>
      <c r="U3085" s="508">
        <v>1.706</v>
      </c>
      <c r="V3085" s="508">
        <v>1.669</v>
      </c>
      <c r="W3085" s="508">
        <v>1.7450000000000001</v>
      </c>
      <c r="X3085" s="508">
        <v>0.90600000000000003</v>
      </c>
      <c r="Y3085" s="508">
        <v>0.67400000000000004</v>
      </c>
      <c r="Z3085" s="508">
        <v>0.47099999999999997</v>
      </c>
      <c r="AA3085" s="508">
        <v>0.39100000000000001</v>
      </c>
      <c r="AB3085" s="508">
        <v>0.28699999999999998</v>
      </c>
      <c r="AC3085" s="508">
        <v>0.23699999999999999</v>
      </c>
      <c r="AD3085" s="508">
        <v>0.17399999999999999</v>
      </c>
      <c r="AE3085" s="508">
        <v>0.17599999999999999</v>
      </c>
      <c r="AF3085" s="508">
        <v>0.10299999999999999</v>
      </c>
      <c r="AG3085" s="508">
        <v>0.10199999999999999</v>
      </c>
      <c r="AH3085" s="508">
        <v>0.10199999999999999</v>
      </c>
      <c r="AI3085" s="492">
        <v>0.10100000000000001</v>
      </c>
      <c r="AJ3085" s="485"/>
    </row>
    <row r="3086" spans="2:36">
      <c r="B3086" s="136" t="s">
        <v>436</v>
      </c>
      <c r="C3086" s="132" t="s">
        <v>1369</v>
      </c>
      <c r="D3086" s="132" t="s">
        <v>283</v>
      </c>
      <c r="E3086" s="508">
        <v>6.6319999999999997</v>
      </c>
      <c r="F3086" s="508">
        <v>6.8769999999999998</v>
      </c>
      <c r="G3086" s="508">
        <v>6.867</v>
      </c>
      <c r="H3086" s="508">
        <v>6.8659999999999997</v>
      </c>
      <c r="I3086" s="508">
        <v>6.8680000000000003</v>
      </c>
      <c r="J3086" s="508">
        <v>7.2039999999999997</v>
      </c>
      <c r="K3086" s="508">
        <v>7.1749999999999998</v>
      </c>
      <c r="L3086" s="508">
        <v>7.1420000000000003</v>
      </c>
      <c r="M3086" s="508">
        <v>7.0860000000000003</v>
      </c>
      <c r="N3086" s="508">
        <v>6.952</v>
      </c>
      <c r="O3086" s="508">
        <v>6.9009999999999998</v>
      </c>
      <c r="P3086" s="508">
        <v>3.1659999999999999</v>
      </c>
      <c r="Q3086" s="508">
        <v>3.073</v>
      </c>
      <c r="R3086" s="508">
        <v>3.0070000000000001</v>
      </c>
      <c r="S3086" s="508">
        <v>2.9870000000000001</v>
      </c>
      <c r="T3086" s="508">
        <v>2.9220000000000002</v>
      </c>
      <c r="U3086" s="508">
        <v>1.8660000000000001</v>
      </c>
      <c r="V3086" s="508">
        <v>1.827</v>
      </c>
      <c r="W3086" s="508">
        <v>1.909</v>
      </c>
      <c r="X3086" s="508">
        <v>1.008</v>
      </c>
      <c r="Y3086" s="508">
        <v>0.76</v>
      </c>
      <c r="Z3086" s="508">
        <v>0.53900000000000003</v>
      </c>
      <c r="AA3086" s="508">
        <v>0.45100000000000001</v>
      </c>
      <c r="AB3086" s="508">
        <v>0.33800000000000002</v>
      </c>
      <c r="AC3086" s="508">
        <v>0.28100000000000003</v>
      </c>
      <c r="AD3086" s="508">
        <v>0.215</v>
      </c>
      <c r="AE3086" s="508">
        <v>0.216</v>
      </c>
      <c r="AF3086" s="508">
        <v>0.13900000000000001</v>
      </c>
      <c r="AG3086" s="508">
        <v>0.13800000000000001</v>
      </c>
      <c r="AH3086" s="508">
        <v>0.13900000000000001</v>
      </c>
      <c r="AI3086" s="492">
        <v>0.13800000000000001</v>
      </c>
      <c r="AJ3086" s="485"/>
    </row>
    <row r="3087" spans="2:36">
      <c r="B3087" s="136" t="s">
        <v>437</v>
      </c>
      <c r="C3087" s="132" t="s">
        <v>1369</v>
      </c>
      <c r="D3087" s="132" t="s">
        <v>283</v>
      </c>
      <c r="E3087" s="508">
        <v>5.4029999999999996</v>
      </c>
      <c r="F3087" s="508">
        <v>5.8680000000000003</v>
      </c>
      <c r="G3087" s="508">
        <v>5.8659999999999997</v>
      </c>
      <c r="H3087" s="508">
        <v>5.8860000000000001</v>
      </c>
      <c r="I3087" s="508">
        <v>5.9219999999999997</v>
      </c>
      <c r="J3087" s="508">
        <v>6.2220000000000004</v>
      </c>
      <c r="K3087" s="508">
        <v>6.2009999999999996</v>
      </c>
      <c r="L3087" s="508">
        <v>6.1870000000000003</v>
      </c>
      <c r="M3087" s="508">
        <v>6.15</v>
      </c>
      <c r="N3087" s="508">
        <v>6.0640000000000001</v>
      </c>
      <c r="O3087" s="508">
        <v>6.024</v>
      </c>
      <c r="P3087" s="508">
        <v>3.0089999999999999</v>
      </c>
      <c r="Q3087" s="508">
        <v>2.915</v>
      </c>
      <c r="R3087" s="508">
        <v>2.8570000000000002</v>
      </c>
      <c r="S3087" s="508">
        <v>2.8439999999999999</v>
      </c>
      <c r="T3087" s="508">
        <v>2.7810000000000001</v>
      </c>
      <c r="U3087" s="508">
        <v>1.452</v>
      </c>
      <c r="V3087" s="508">
        <v>1.421</v>
      </c>
      <c r="W3087" s="508">
        <v>1.4850000000000001</v>
      </c>
      <c r="X3087" s="508">
        <v>0.77500000000000002</v>
      </c>
      <c r="Y3087" s="508">
        <v>0.57599999999999996</v>
      </c>
      <c r="Z3087" s="508">
        <v>0.40500000000000003</v>
      </c>
      <c r="AA3087" s="508">
        <v>0.33400000000000002</v>
      </c>
      <c r="AB3087" s="508">
        <v>0.24299999999999999</v>
      </c>
      <c r="AC3087" s="508">
        <v>0.19700000000000001</v>
      </c>
      <c r="AD3087" s="508">
        <v>0.151</v>
      </c>
      <c r="AE3087" s="508">
        <v>0.152</v>
      </c>
      <c r="AF3087" s="508">
        <v>9.2999999999999999E-2</v>
      </c>
      <c r="AG3087" s="508">
        <v>9.1999999999999998E-2</v>
      </c>
      <c r="AH3087" s="508">
        <v>9.1999999999999998E-2</v>
      </c>
      <c r="AI3087" s="492">
        <v>9.1999999999999998E-2</v>
      </c>
      <c r="AJ3087" s="485"/>
    </row>
    <row r="3088" spans="2:36">
      <c r="B3088" s="136" t="s">
        <v>438</v>
      </c>
      <c r="C3088" s="132" t="s">
        <v>1369</v>
      </c>
      <c r="D3088" s="132" t="s">
        <v>283</v>
      </c>
      <c r="E3088" s="508">
        <v>5.9119999999999999</v>
      </c>
      <c r="F3088" s="508">
        <v>6.2590000000000003</v>
      </c>
      <c r="G3088" s="508">
        <v>6.2510000000000003</v>
      </c>
      <c r="H3088" s="508">
        <v>6.25</v>
      </c>
      <c r="I3088" s="508">
        <v>6.2510000000000003</v>
      </c>
      <c r="J3088" s="508">
        <v>6.5519999999999996</v>
      </c>
      <c r="K3088" s="508">
        <v>6.5250000000000004</v>
      </c>
      <c r="L3088" s="508">
        <v>6.4930000000000003</v>
      </c>
      <c r="M3088" s="508">
        <v>6.44</v>
      </c>
      <c r="N3088" s="508">
        <v>6.3380000000000001</v>
      </c>
      <c r="O3088" s="508">
        <v>6.2880000000000003</v>
      </c>
      <c r="P3088" s="508">
        <v>3.09</v>
      </c>
      <c r="Q3088" s="508">
        <v>3</v>
      </c>
      <c r="R3088" s="508">
        <v>2.9380000000000002</v>
      </c>
      <c r="S3088" s="508">
        <v>2.9129999999999998</v>
      </c>
      <c r="T3088" s="508">
        <v>2.8519999999999999</v>
      </c>
      <c r="U3088" s="508">
        <v>1.802</v>
      </c>
      <c r="V3088" s="508">
        <v>1.762</v>
      </c>
      <c r="W3088" s="508">
        <v>1.841</v>
      </c>
      <c r="X3088" s="508">
        <v>0.95599999999999996</v>
      </c>
      <c r="Y3088" s="508">
        <v>0.71399999999999997</v>
      </c>
      <c r="Z3088" s="508">
        <v>0.501</v>
      </c>
      <c r="AA3088" s="508">
        <v>0.41799999999999998</v>
      </c>
      <c r="AB3088" s="508">
        <v>0.309</v>
      </c>
      <c r="AC3088" s="508">
        <v>0.25700000000000001</v>
      </c>
      <c r="AD3088" s="508">
        <v>0.19</v>
      </c>
      <c r="AE3088" s="508">
        <v>0.191</v>
      </c>
      <c r="AF3088" s="508">
        <v>0.113</v>
      </c>
      <c r="AG3088" s="508">
        <v>0.112</v>
      </c>
      <c r="AH3088" s="508">
        <v>0.111</v>
      </c>
      <c r="AI3088" s="492">
        <v>0.111</v>
      </c>
      <c r="AJ3088" s="485"/>
    </row>
    <row r="3089" spans="2:36">
      <c r="B3089" s="136" t="s">
        <v>439</v>
      </c>
      <c r="C3089" s="132" t="s">
        <v>1369</v>
      </c>
      <c r="D3089" s="132" t="s">
        <v>283</v>
      </c>
      <c r="E3089" s="508">
        <v>3.907</v>
      </c>
      <c r="F3089" s="508">
        <v>4.609</v>
      </c>
      <c r="G3089" s="508">
        <v>4.5789999999999997</v>
      </c>
      <c r="H3089" s="508">
        <v>4.5759999999999996</v>
      </c>
      <c r="I3089" s="508">
        <v>4.5819999999999999</v>
      </c>
      <c r="J3089" s="508">
        <v>4.7969999999999997</v>
      </c>
      <c r="K3089" s="508">
        <v>4.7779999999999996</v>
      </c>
      <c r="L3089" s="508">
        <v>4.7480000000000002</v>
      </c>
      <c r="M3089" s="508">
        <v>4.7060000000000004</v>
      </c>
      <c r="N3089" s="508">
        <v>4.6909999999999998</v>
      </c>
      <c r="O3089" s="508">
        <v>4.6319999999999997</v>
      </c>
      <c r="P3089" s="508">
        <v>2.6080000000000001</v>
      </c>
      <c r="Q3089" s="508">
        <v>2.5299999999999998</v>
      </c>
      <c r="R3089" s="508">
        <v>2.4689999999999999</v>
      </c>
      <c r="S3089" s="508">
        <v>2.4550000000000001</v>
      </c>
      <c r="T3089" s="508">
        <v>2.3959999999999999</v>
      </c>
      <c r="U3089" s="508">
        <v>1.0469999999999999</v>
      </c>
      <c r="V3089" s="508">
        <v>1.022</v>
      </c>
      <c r="W3089" s="508">
        <v>1.0569999999999999</v>
      </c>
      <c r="X3089" s="508">
        <v>0.56299999999999994</v>
      </c>
      <c r="Y3089" s="508">
        <v>0.41899999999999998</v>
      </c>
      <c r="Z3089" s="508">
        <v>0.29399999999999998</v>
      </c>
      <c r="AA3089" s="508">
        <v>0.24199999999999999</v>
      </c>
      <c r="AB3089" s="508">
        <v>0.17799999999999999</v>
      </c>
      <c r="AC3089" s="508">
        <v>0.14499999999999999</v>
      </c>
      <c r="AD3089" s="508">
        <v>0.111</v>
      </c>
      <c r="AE3089" s="508">
        <v>0.112</v>
      </c>
      <c r="AF3089" s="508">
        <v>7.1999999999999995E-2</v>
      </c>
      <c r="AG3089" s="508">
        <v>7.0999999999999994E-2</v>
      </c>
      <c r="AH3089" s="508">
        <v>7.2999999999999995E-2</v>
      </c>
      <c r="AI3089" s="492">
        <v>7.1999999999999995E-2</v>
      </c>
      <c r="AJ3089" s="485"/>
    </row>
    <row r="3090" spans="2:36">
      <c r="B3090" s="136" t="s">
        <v>440</v>
      </c>
      <c r="C3090" s="132" t="s">
        <v>1369</v>
      </c>
      <c r="D3090" s="132" t="s">
        <v>283</v>
      </c>
      <c r="E3090" s="508">
        <v>5.2110000000000003</v>
      </c>
      <c r="F3090" s="508">
        <v>5.75</v>
      </c>
      <c r="G3090" s="508">
        <v>5.7270000000000003</v>
      </c>
      <c r="H3090" s="508">
        <v>5.7249999999999996</v>
      </c>
      <c r="I3090" s="508">
        <v>5.7290000000000001</v>
      </c>
      <c r="J3090" s="508">
        <v>6.0049999999999999</v>
      </c>
      <c r="K3090" s="508">
        <v>5.9820000000000002</v>
      </c>
      <c r="L3090" s="508">
        <v>5.9489999999999998</v>
      </c>
      <c r="M3090" s="508">
        <v>5.9</v>
      </c>
      <c r="N3090" s="508">
        <v>5.8109999999999999</v>
      </c>
      <c r="O3090" s="508">
        <v>5.7530000000000001</v>
      </c>
      <c r="P3090" s="508">
        <v>3.1419999999999999</v>
      </c>
      <c r="Q3090" s="508">
        <v>3.048</v>
      </c>
      <c r="R3090" s="508">
        <v>2.98</v>
      </c>
      <c r="S3090" s="508">
        <v>2.9569999999999999</v>
      </c>
      <c r="T3090" s="508">
        <v>2.8919999999999999</v>
      </c>
      <c r="U3090" s="508">
        <v>1.8220000000000001</v>
      </c>
      <c r="V3090" s="508">
        <v>1.7829999999999999</v>
      </c>
      <c r="W3090" s="508">
        <v>1.8620000000000001</v>
      </c>
      <c r="X3090" s="508">
        <v>0.97599999999999998</v>
      </c>
      <c r="Y3090" s="508">
        <v>0.73299999999999998</v>
      </c>
      <c r="Z3090" s="508">
        <v>0.51700000000000002</v>
      </c>
      <c r="AA3090" s="508">
        <v>0.43099999999999999</v>
      </c>
      <c r="AB3090" s="508">
        <v>0.31900000000000001</v>
      </c>
      <c r="AC3090" s="508">
        <v>0.26400000000000001</v>
      </c>
      <c r="AD3090" s="508">
        <v>0.19900000000000001</v>
      </c>
      <c r="AE3090" s="508">
        <v>0.20100000000000001</v>
      </c>
      <c r="AF3090" s="508">
        <v>0.125</v>
      </c>
      <c r="AG3090" s="508">
        <v>0.124</v>
      </c>
      <c r="AH3090" s="508">
        <v>0.125</v>
      </c>
      <c r="AI3090" s="492">
        <v>0.125</v>
      </c>
      <c r="AJ3090" s="485"/>
    </row>
    <row r="3091" spans="2:36">
      <c r="B3091" s="136" t="s">
        <v>441</v>
      </c>
      <c r="C3091" s="132" t="s">
        <v>1369</v>
      </c>
      <c r="D3091" s="132" t="s">
        <v>283</v>
      </c>
      <c r="E3091" s="508">
        <v>6.2240000000000002</v>
      </c>
      <c r="F3091" s="508">
        <v>6.6</v>
      </c>
      <c r="G3091" s="508">
        <v>4.9649999999999999</v>
      </c>
      <c r="H3091" s="508">
        <v>4.9619999999999997</v>
      </c>
      <c r="I3091" s="508">
        <v>4.968</v>
      </c>
      <c r="J3091" s="508">
        <v>5.2009999999999996</v>
      </c>
      <c r="K3091" s="508">
        <v>5.18</v>
      </c>
      <c r="L3091" s="508">
        <v>5.1470000000000002</v>
      </c>
      <c r="M3091" s="508">
        <v>5.1020000000000003</v>
      </c>
      <c r="N3091" s="508">
        <v>5.0490000000000004</v>
      </c>
      <c r="O3091" s="508">
        <v>4.9859999999999998</v>
      </c>
      <c r="P3091" s="508">
        <v>2.8119999999999998</v>
      </c>
      <c r="Q3091" s="508">
        <v>2.7280000000000002</v>
      </c>
      <c r="R3091" s="508">
        <v>2.6629999999999998</v>
      </c>
      <c r="S3091" s="508">
        <v>2.6480000000000001</v>
      </c>
      <c r="T3091" s="508">
        <v>2.5840000000000001</v>
      </c>
      <c r="U3091" s="508">
        <v>1.6180000000000001</v>
      </c>
      <c r="V3091" s="508">
        <v>1.585</v>
      </c>
      <c r="W3091" s="508">
        <v>1.6559999999999999</v>
      </c>
      <c r="X3091" s="508">
        <v>0.874</v>
      </c>
      <c r="Y3091" s="508">
        <v>0.65700000000000003</v>
      </c>
      <c r="Z3091" s="508">
        <v>0.46800000000000003</v>
      </c>
      <c r="AA3091" s="508">
        <v>0.38900000000000001</v>
      </c>
      <c r="AB3091" s="508">
        <v>0.28799999999999998</v>
      </c>
      <c r="AC3091" s="508">
        <v>0.23599999999999999</v>
      </c>
      <c r="AD3091" s="508">
        <v>0.182</v>
      </c>
      <c r="AE3091" s="508">
        <v>0.184</v>
      </c>
      <c r="AF3091" s="508">
        <v>0.12</v>
      </c>
      <c r="AG3091" s="508">
        <v>0.123</v>
      </c>
      <c r="AH3091" s="508">
        <v>0.122</v>
      </c>
      <c r="AI3091" s="492">
        <v>0.121</v>
      </c>
      <c r="AJ3091" s="485"/>
    </row>
    <row r="3092" spans="2:36">
      <c r="B3092" s="136" t="s">
        <v>443</v>
      </c>
      <c r="C3092" s="132" t="s">
        <v>1369</v>
      </c>
      <c r="D3092" s="132" t="s">
        <v>283</v>
      </c>
      <c r="E3092" s="508">
        <v>6.0039999999999996</v>
      </c>
      <c r="F3092" s="508">
        <v>6.3390000000000004</v>
      </c>
      <c r="G3092" s="508">
        <v>6.3289999999999997</v>
      </c>
      <c r="H3092" s="508">
        <v>6.3289999999999997</v>
      </c>
      <c r="I3092" s="508">
        <v>6.33</v>
      </c>
      <c r="J3092" s="508">
        <v>6.6639999999999997</v>
      </c>
      <c r="K3092" s="508">
        <v>6.6369999999999996</v>
      </c>
      <c r="L3092" s="508">
        <v>6.6050000000000004</v>
      </c>
      <c r="M3092" s="508">
        <v>6.5519999999999996</v>
      </c>
      <c r="N3092" s="508">
        <v>6.39</v>
      </c>
      <c r="O3092" s="508">
        <v>6.3390000000000004</v>
      </c>
      <c r="P3092" s="508">
        <v>2.8090000000000002</v>
      </c>
      <c r="Q3092" s="508">
        <v>2.7210000000000001</v>
      </c>
      <c r="R3092" s="508">
        <v>2.6589999999999998</v>
      </c>
      <c r="S3092" s="508">
        <v>2.6429999999999998</v>
      </c>
      <c r="T3092" s="508">
        <v>2.581</v>
      </c>
      <c r="U3092" s="508">
        <v>1.585</v>
      </c>
      <c r="V3092" s="508">
        <v>1.554</v>
      </c>
      <c r="W3092" s="508">
        <v>1.6259999999999999</v>
      </c>
      <c r="X3092" s="508">
        <v>0.85399999999999998</v>
      </c>
      <c r="Y3092" s="508">
        <v>0.63800000000000001</v>
      </c>
      <c r="Z3092" s="508">
        <v>0.45100000000000001</v>
      </c>
      <c r="AA3092" s="508">
        <v>0.371</v>
      </c>
      <c r="AB3092" s="508">
        <v>0.27300000000000002</v>
      </c>
      <c r="AC3092" s="508">
        <v>0.221</v>
      </c>
      <c r="AD3092" s="508">
        <v>0.16800000000000001</v>
      </c>
      <c r="AE3092" s="508">
        <v>0.184</v>
      </c>
      <c r="AF3092" s="508">
        <v>0.11</v>
      </c>
      <c r="AG3092" s="508">
        <v>0.109</v>
      </c>
      <c r="AH3092" s="508">
        <v>0.108</v>
      </c>
      <c r="AI3092" s="492">
        <v>0.108</v>
      </c>
      <c r="AJ3092" s="485"/>
    </row>
    <row r="3093" spans="2:36">
      <c r="B3093" s="136" t="s">
        <v>445</v>
      </c>
      <c r="C3093" s="132" t="s">
        <v>1369</v>
      </c>
      <c r="D3093" s="132" t="s">
        <v>283</v>
      </c>
      <c r="E3093" s="508">
        <v>4.0839999999999996</v>
      </c>
      <c r="F3093" s="508">
        <v>4.875</v>
      </c>
      <c r="G3093" s="508">
        <v>4.843</v>
      </c>
      <c r="H3093" s="508">
        <v>4.84</v>
      </c>
      <c r="I3093" s="508">
        <v>4.8460000000000001</v>
      </c>
      <c r="J3093" s="508">
        <v>5.0960000000000001</v>
      </c>
      <c r="K3093" s="508">
        <v>5.0759999999999996</v>
      </c>
      <c r="L3093" s="508">
        <v>5.0430000000000001</v>
      </c>
      <c r="M3093" s="508">
        <v>4.9989999999999997</v>
      </c>
      <c r="N3093" s="508">
        <v>4.9249999999999998</v>
      </c>
      <c r="O3093" s="508">
        <v>4.8630000000000004</v>
      </c>
      <c r="P3093" s="508">
        <v>2.7440000000000002</v>
      </c>
      <c r="Q3093" s="508">
        <v>2.6509999999999998</v>
      </c>
      <c r="R3093" s="508">
        <v>2.5859999999999999</v>
      </c>
      <c r="S3093" s="508">
        <v>2.573</v>
      </c>
      <c r="T3093" s="508">
        <v>2.5089999999999999</v>
      </c>
      <c r="U3093" s="508">
        <v>1.524</v>
      </c>
      <c r="V3093" s="508">
        <v>1.496</v>
      </c>
      <c r="W3093" s="508">
        <v>1.5649999999999999</v>
      </c>
      <c r="X3093" s="508">
        <v>0.82499999999999996</v>
      </c>
      <c r="Y3093" s="508">
        <v>0.61499999999999999</v>
      </c>
      <c r="Z3093" s="508">
        <v>0.435</v>
      </c>
      <c r="AA3093" s="508">
        <v>0.35699999999999998</v>
      </c>
      <c r="AB3093" s="508">
        <v>0.26100000000000001</v>
      </c>
      <c r="AC3093" s="508">
        <v>0.20899999999999999</v>
      </c>
      <c r="AD3093" s="508">
        <v>0.17799999999999999</v>
      </c>
      <c r="AE3093" s="508">
        <v>0.18</v>
      </c>
      <c r="AF3093" s="508">
        <v>0.107</v>
      </c>
      <c r="AG3093" s="508">
        <v>0.106</v>
      </c>
      <c r="AH3093" s="508">
        <v>0.106</v>
      </c>
      <c r="AI3093" s="492">
        <v>0.105</v>
      </c>
      <c r="AJ3093" s="485"/>
    </row>
    <row r="3094" spans="2:36">
      <c r="B3094" s="136" t="s">
        <v>446</v>
      </c>
      <c r="C3094" s="132" t="s">
        <v>1369</v>
      </c>
      <c r="D3094" s="132" t="s">
        <v>283</v>
      </c>
      <c r="E3094" s="508">
        <v>5.484</v>
      </c>
      <c r="F3094" s="508">
        <v>6.0170000000000003</v>
      </c>
      <c r="G3094" s="508">
        <v>6.0289999999999999</v>
      </c>
      <c r="H3094" s="508">
        <v>6.0529999999999999</v>
      </c>
      <c r="I3094" s="508">
        <v>6.0919999999999996</v>
      </c>
      <c r="J3094" s="508">
        <v>6.4210000000000003</v>
      </c>
      <c r="K3094" s="508">
        <v>6.3970000000000002</v>
      </c>
      <c r="L3094" s="508">
        <v>6.3840000000000003</v>
      </c>
      <c r="M3094" s="508">
        <v>6.343</v>
      </c>
      <c r="N3094" s="508">
        <v>6.2190000000000003</v>
      </c>
      <c r="O3094" s="508">
        <v>6.181</v>
      </c>
      <c r="P3094" s="508">
        <v>3.0840000000000001</v>
      </c>
      <c r="Q3094" s="508">
        <v>2.9780000000000002</v>
      </c>
      <c r="R3094" s="508">
        <v>2.9209999999999998</v>
      </c>
      <c r="S3094" s="508">
        <v>2.8959999999999999</v>
      </c>
      <c r="T3094" s="508">
        <v>2.8330000000000002</v>
      </c>
      <c r="U3094" s="508">
        <v>1.6830000000000001</v>
      </c>
      <c r="V3094" s="508">
        <v>1.6479999999999999</v>
      </c>
      <c r="W3094" s="508">
        <v>1.7270000000000001</v>
      </c>
      <c r="X3094" s="508">
        <v>0.89400000000000002</v>
      </c>
      <c r="Y3094" s="508">
        <v>0.66200000000000003</v>
      </c>
      <c r="Z3094" s="508">
        <v>0.46100000000000002</v>
      </c>
      <c r="AA3094" s="508">
        <v>0.38</v>
      </c>
      <c r="AB3094" s="508">
        <v>0.27700000000000002</v>
      </c>
      <c r="AC3094" s="508">
        <v>0.22500000000000001</v>
      </c>
      <c r="AD3094" s="508">
        <v>0.16400000000000001</v>
      </c>
      <c r="AE3094" s="508">
        <v>0.16500000000000001</v>
      </c>
      <c r="AF3094" s="508">
        <v>9.5000000000000001E-2</v>
      </c>
      <c r="AG3094" s="508">
        <v>9.5000000000000001E-2</v>
      </c>
      <c r="AH3094" s="508">
        <v>9.4E-2</v>
      </c>
      <c r="AI3094" s="492">
        <v>9.4E-2</v>
      </c>
      <c r="AJ3094" s="485"/>
    </row>
    <row r="3095" spans="2:36">
      <c r="B3095" s="136" t="s">
        <v>448</v>
      </c>
      <c r="C3095" s="132" t="s">
        <v>1369</v>
      </c>
      <c r="D3095" s="132" t="s">
        <v>283</v>
      </c>
      <c r="E3095" s="508">
        <v>5.8849999999999998</v>
      </c>
      <c r="F3095" s="508">
        <v>6.2649999999999997</v>
      </c>
      <c r="G3095" s="508">
        <v>5.633</v>
      </c>
      <c r="H3095" s="508">
        <v>5.6310000000000002</v>
      </c>
      <c r="I3095" s="508">
        <v>5.6340000000000003</v>
      </c>
      <c r="J3095" s="508">
        <v>5.9029999999999996</v>
      </c>
      <c r="K3095" s="508">
        <v>5.8789999999999996</v>
      </c>
      <c r="L3095" s="508">
        <v>5.8470000000000004</v>
      </c>
      <c r="M3095" s="508">
        <v>5.7969999999999997</v>
      </c>
      <c r="N3095" s="508">
        <v>5.72</v>
      </c>
      <c r="O3095" s="508">
        <v>5.665</v>
      </c>
      <c r="P3095" s="508">
        <v>2.907</v>
      </c>
      <c r="Q3095" s="508">
        <v>2.8210000000000002</v>
      </c>
      <c r="R3095" s="508">
        <v>2.758</v>
      </c>
      <c r="S3095" s="508">
        <v>2.7370000000000001</v>
      </c>
      <c r="T3095" s="508">
        <v>2.6760000000000002</v>
      </c>
      <c r="U3095" s="508">
        <v>1.633</v>
      </c>
      <c r="V3095" s="508">
        <v>1.5980000000000001</v>
      </c>
      <c r="W3095" s="508">
        <v>1.67</v>
      </c>
      <c r="X3095" s="508">
        <v>0.871</v>
      </c>
      <c r="Y3095" s="508">
        <v>0.65100000000000002</v>
      </c>
      <c r="Z3095" s="508">
        <v>0.45700000000000002</v>
      </c>
      <c r="AA3095" s="508">
        <v>0.38</v>
      </c>
      <c r="AB3095" s="508">
        <v>0.27800000000000002</v>
      </c>
      <c r="AC3095" s="508">
        <v>0.22900000000000001</v>
      </c>
      <c r="AD3095" s="508">
        <v>0.17100000000000001</v>
      </c>
      <c r="AE3095" s="508">
        <v>0.17199999999999999</v>
      </c>
      <c r="AF3095" s="508">
        <v>0.105</v>
      </c>
      <c r="AG3095" s="508">
        <v>0.107</v>
      </c>
      <c r="AH3095" s="508">
        <v>0.107</v>
      </c>
      <c r="AI3095" s="492">
        <v>0.106</v>
      </c>
      <c r="AJ3095" s="485"/>
    </row>
    <row r="3096" spans="2:36">
      <c r="B3096" s="136" t="s">
        <v>449</v>
      </c>
      <c r="C3096" s="132" t="s">
        <v>1369</v>
      </c>
      <c r="D3096" s="132" t="s">
        <v>283</v>
      </c>
      <c r="E3096" s="508">
        <v>5.4530000000000003</v>
      </c>
      <c r="F3096" s="508">
        <v>5.9349999999999996</v>
      </c>
      <c r="G3096" s="508">
        <v>5.9470000000000001</v>
      </c>
      <c r="H3096" s="508">
        <v>5.9710000000000001</v>
      </c>
      <c r="I3096" s="508">
        <v>6.0110000000000001</v>
      </c>
      <c r="J3096" s="508">
        <v>6.3319999999999999</v>
      </c>
      <c r="K3096" s="508">
        <v>6.3090000000000002</v>
      </c>
      <c r="L3096" s="508">
        <v>6.2960000000000003</v>
      </c>
      <c r="M3096" s="508">
        <v>6.2569999999999997</v>
      </c>
      <c r="N3096" s="508">
        <v>6.1269999999999998</v>
      </c>
      <c r="O3096" s="508">
        <v>6.0910000000000002</v>
      </c>
      <c r="P3096" s="508">
        <v>3.0289999999999999</v>
      </c>
      <c r="Q3096" s="508">
        <v>2.93</v>
      </c>
      <c r="R3096" s="508">
        <v>2.8740000000000001</v>
      </c>
      <c r="S3096" s="508">
        <v>2.85</v>
      </c>
      <c r="T3096" s="508">
        <v>2.7890000000000001</v>
      </c>
      <c r="U3096" s="508">
        <v>1.718</v>
      </c>
      <c r="V3096" s="508">
        <v>1.6819999999999999</v>
      </c>
      <c r="W3096" s="508">
        <v>1.762</v>
      </c>
      <c r="X3096" s="508">
        <v>0.91200000000000003</v>
      </c>
      <c r="Y3096" s="508">
        <v>0.67600000000000005</v>
      </c>
      <c r="Z3096" s="508">
        <v>0.47099999999999997</v>
      </c>
      <c r="AA3096" s="508">
        <v>0.38900000000000001</v>
      </c>
      <c r="AB3096" s="508">
        <v>0.28299999999999997</v>
      </c>
      <c r="AC3096" s="508">
        <v>0.23100000000000001</v>
      </c>
      <c r="AD3096" s="508">
        <v>0.16800000000000001</v>
      </c>
      <c r="AE3096" s="508">
        <v>0.17</v>
      </c>
      <c r="AF3096" s="508">
        <v>9.7000000000000003E-2</v>
      </c>
      <c r="AG3096" s="508">
        <v>9.7000000000000003E-2</v>
      </c>
      <c r="AH3096" s="508">
        <v>9.7000000000000003E-2</v>
      </c>
      <c r="AI3096" s="492">
        <v>9.6000000000000002E-2</v>
      </c>
      <c r="AJ3096" s="485"/>
    </row>
    <row r="3097" spans="2:36">
      <c r="B3097" s="136" t="s">
        <v>450</v>
      </c>
      <c r="C3097" s="132" t="s">
        <v>1369</v>
      </c>
      <c r="D3097" s="132" t="s">
        <v>283</v>
      </c>
      <c r="E3097" s="508">
        <v>6.3719999999999999</v>
      </c>
      <c r="F3097" s="508">
        <v>6.6349999999999998</v>
      </c>
      <c r="G3097" s="508">
        <v>6.6260000000000003</v>
      </c>
      <c r="H3097" s="508">
        <v>6.625</v>
      </c>
      <c r="I3097" s="508">
        <v>6.6269999999999998</v>
      </c>
      <c r="J3097" s="508">
        <v>6.9509999999999996</v>
      </c>
      <c r="K3097" s="508">
        <v>6.923</v>
      </c>
      <c r="L3097" s="508">
        <v>6.891</v>
      </c>
      <c r="M3097" s="508">
        <v>6.8369999999999997</v>
      </c>
      <c r="N3097" s="508">
        <v>6.7060000000000004</v>
      </c>
      <c r="O3097" s="508">
        <v>6.6559999999999997</v>
      </c>
      <c r="P3097" s="508">
        <v>3.1230000000000002</v>
      </c>
      <c r="Q3097" s="508">
        <v>3.0310000000000001</v>
      </c>
      <c r="R3097" s="508">
        <v>2.9670000000000001</v>
      </c>
      <c r="S3097" s="508">
        <v>2.9460000000000002</v>
      </c>
      <c r="T3097" s="508">
        <v>2.883</v>
      </c>
      <c r="U3097" s="508">
        <v>1.8180000000000001</v>
      </c>
      <c r="V3097" s="508">
        <v>1.7789999999999999</v>
      </c>
      <c r="W3097" s="508">
        <v>1.86</v>
      </c>
      <c r="X3097" s="508">
        <v>0.97399999999999998</v>
      </c>
      <c r="Y3097" s="508">
        <v>0.73</v>
      </c>
      <c r="Z3097" s="508">
        <v>0.51500000000000001</v>
      </c>
      <c r="AA3097" s="508">
        <v>0.43</v>
      </c>
      <c r="AB3097" s="508">
        <v>0.31900000000000001</v>
      </c>
      <c r="AC3097" s="508">
        <v>0.26400000000000001</v>
      </c>
      <c r="AD3097" s="508">
        <v>0.19900000000000001</v>
      </c>
      <c r="AE3097" s="508">
        <v>0.20200000000000001</v>
      </c>
      <c r="AF3097" s="508">
        <v>0.125</v>
      </c>
      <c r="AG3097" s="508">
        <v>0.124</v>
      </c>
      <c r="AH3097" s="508">
        <v>0.123</v>
      </c>
      <c r="AI3097" s="492">
        <v>0.123</v>
      </c>
      <c r="AJ3097" s="485"/>
    </row>
    <row r="3098" spans="2:36">
      <c r="B3098" s="136" t="s">
        <v>451</v>
      </c>
      <c r="C3098" s="132" t="s">
        <v>1369</v>
      </c>
      <c r="D3098" s="132" t="s">
        <v>283</v>
      </c>
      <c r="E3098" s="508">
        <v>6.0069999999999997</v>
      </c>
      <c r="F3098" s="508">
        <v>6.4269999999999996</v>
      </c>
      <c r="G3098" s="508">
        <v>6.4180000000000001</v>
      </c>
      <c r="H3098" s="508">
        <v>6.4169999999999998</v>
      </c>
      <c r="I3098" s="508">
        <v>6.4189999999999996</v>
      </c>
      <c r="J3098" s="508">
        <v>6.7709999999999999</v>
      </c>
      <c r="K3098" s="508">
        <v>6.7430000000000003</v>
      </c>
      <c r="L3098" s="508">
        <v>6.71</v>
      </c>
      <c r="M3098" s="508">
        <v>6.6559999999999997</v>
      </c>
      <c r="N3098" s="508">
        <v>6.4939999999999998</v>
      </c>
      <c r="O3098" s="508">
        <v>6.4409999999999998</v>
      </c>
      <c r="P3098" s="508">
        <v>2.964</v>
      </c>
      <c r="Q3098" s="508">
        <v>2.8679999999999999</v>
      </c>
      <c r="R3098" s="508">
        <v>2.8029999999999999</v>
      </c>
      <c r="S3098" s="508">
        <v>2.7839999999999998</v>
      </c>
      <c r="T3098" s="508">
        <v>2.72</v>
      </c>
      <c r="U3098" s="508">
        <v>1.659</v>
      </c>
      <c r="V3098" s="508">
        <v>1.6259999999999999</v>
      </c>
      <c r="W3098" s="508">
        <v>1.7010000000000001</v>
      </c>
      <c r="X3098" s="508">
        <v>0.89300000000000002</v>
      </c>
      <c r="Y3098" s="508">
        <v>0.66700000000000004</v>
      </c>
      <c r="Z3098" s="508">
        <v>0.47</v>
      </c>
      <c r="AA3098" s="508">
        <v>0.38900000000000001</v>
      </c>
      <c r="AB3098" s="508">
        <v>0.28699999999999998</v>
      </c>
      <c r="AC3098" s="508">
        <v>0.23400000000000001</v>
      </c>
      <c r="AD3098" s="508">
        <v>0.17699999999999999</v>
      </c>
      <c r="AE3098" s="508">
        <v>0.17799999999999999</v>
      </c>
      <c r="AF3098" s="508">
        <v>0.114</v>
      </c>
      <c r="AG3098" s="508">
        <v>0.113</v>
      </c>
      <c r="AH3098" s="508">
        <v>0.112</v>
      </c>
      <c r="AI3098" s="492">
        <v>0.112</v>
      </c>
      <c r="AJ3098" s="485"/>
    </row>
    <row r="3099" spans="2:36">
      <c r="B3099" s="136" t="s">
        <v>452</v>
      </c>
      <c r="C3099" s="132" t="s">
        <v>1369</v>
      </c>
      <c r="D3099" s="132" t="s">
        <v>283</v>
      </c>
      <c r="E3099" s="508">
        <v>5.8520000000000003</v>
      </c>
      <c r="F3099" s="508">
        <v>6.25</v>
      </c>
      <c r="G3099" s="508">
        <v>6.2380000000000004</v>
      </c>
      <c r="H3099" s="508">
        <v>6.2370000000000001</v>
      </c>
      <c r="I3099" s="508">
        <v>6.2389999999999999</v>
      </c>
      <c r="J3099" s="508">
        <v>6.5570000000000004</v>
      </c>
      <c r="K3099" s="508">
        <v>6.5309999999999997</v>
      </c>
      <c r="L3099" s="508">
        <v>6.4980000000000002</v>
      </c>
      <c r="M3099" s="508">
        <v>6.4459999999999997</v>
      </c>
      <c r="N3099" s="508">
        <v>6.3170000000000002</v>
      </c>
      <c r="O3099" s="508">
        <v>6.2640000000000002</v>
      </c>
      <c r="P3099" s="508">
        <v>3.1469999999999998</v>
      </c>
      <c r="Q3099" s="508">
        <v>3.0489999999999999</v>
      </c>
      <c r="R3099" s="508">
        <v>2.9849999999999999</v>
      </c>
      <c r="S3099" s="508">
        <v>2.9609999999999999</v>
      </c>
      <c r="T3099" s="508">
        <v>2.8980000000000001</v>
      </c>
      <c r="U3099" s="508">
        <v>1.7869999999999999</v>
      </c>
      <c r="V3099" s="508">
        <v>1.7490000000000001</v>
      </c>
      <c r="W3099" s="508">
        <v>1.83</v>
      </c>
      <c r="X3099" s="508">
        <v>0.95499999999999996</v>
      </c>
      <c r="Y3099" s="508">
        <v>0.71399999999999997</v>
      </c>
      <c r="Z3099" s="508">
        <v>0.501</v>
      </c>
      <c r="AA3099" s="508">
        <v>0.41599999999999998</v>
      </c>
      <c r="AB3099" s="508">
        <v>0.308</v>
      </c>
      <c r="AC3099" s="508">
        <v>0.254</v>
      </c>
      <c r="AD3099" s="508">
        <v>0.189</v>
      </c>
      <c r="AE3099" s="508">
        <v>0.191</v>
      </c>
      <c r="AF3099" s="508">
        <v>0.11600000000000001</v>
      </c>
      <c r="AG3099" s="508">
        <v>0.115</v>
      </c>
      <c r="AH3099" s="508">
        <v>0.115</v>
      </c>
      <c r="AI3099" s="492">
        <v>0.114</v>
      </c>
      <c r="AJ3099" s="485"/>
    </row>
    <row r="3100" spans="2:36">
      <c r="B3100" s="136" t="s">
        <v>453</v>
      </c>
      <c r="C3100" s="132" t="s">
        <v>1369</v>
      </c>
      <c r="D3100" s="132" t="s">
        <v>283</v>
      </c>
      <c r="E3100" s="508">
        <v>6.2809999999999997</v>
      </c>
      <c r="F3100" s="508">
        <v>6.5469999999999997</v>
      </c>
      <c r="G3100" s="508">
        <v>6.5380000000000003</v>
      </c>
      <c r="H3100" s="508">
        <v>6.5369999999999999</v>
      </c>
      <c r="I3100" s="508">
        <v>6.5389999999999997</v>
      </c>
      <c r="J3100" s="508">
        <v>6.8550000000000004</v>
      </c>
      <c r="K3100" s="508">
        <v>6.827</v>
      </c>
      <c r="L3100" s="508">
        <v>6.7949999999999999</v>
      </c>
      <c r="M3100" s="508">
        <v>6.7409999999999997</v>
      </c>
      <c r="N3100" s="508">
        <v>6.6189999999999998</v>
      </c>
      <c r="O3100" s="508">
        <v>6.569</v>
      </c>
      <c r="P3100" s="508">
        <v>3.22</v>
      </c>
      <c r="Q3100" s="508">
        <v>3.1259999999999999</v>
      </c>
      <c r="R3100" s="508">
        <v>3.0630000000000002</v>
      </c>
      <c r="S3100" s="508">
        <v>3.0369999999999999</v>
      </c>
      <c r="T3100" s="508">
        <v>2.9750000000000001</v>
      </c>
      <c r="U3100" s="508">
        <v>1.8859999999999999</v>
      </c>
      <c r="V3100" s="508">
        <v>1.845</v>
      </c>
      <c r="W3100" s="508">
        <v>1.9279999999999999</v>
      </c>
      <c r="X3100" s="508">
        <v>1.006</v>
      </c>
      <c r="Y3100" s="508">
        <v>0.754</v>
      </c>
      <c r="Z3100" s="508">
        <v>0.53</v>
      </c>
      <c r="AA3100" s="508">
        <v>0.443</v>
      </c>
      <c r="AB3100" s="508">
        <v>0.32900000000000001</v>
      </c>
      <c r="AC3100" s="508">
        <v>0.27400000000000002</v>
      </c>
      <c r="AD3100" s="508">
        <v>0.20399999999999999</v>
      </c>
      <c r="AE3100" s="508">
        <v>0.20599999999999999</v>
      </c>
      <c r="AF3100" s="508">
        <v>0.124</v>
      </c>
      <c r="AG3100" s="508">
        <v>0.124</v>
      </c>
      <c r="AH3100" s="508">
        <v>0.123</v>
      </c>
      <c r="AI3100" s="492">
        <v>0.122</v>
      </c>
      <c r="AJ3100" s="485"/>
    </row>
    <row r="3101" spans="2:36">
      <c r="B3101" s="136" t="s">
        <v>454</v>
      </c>
      <c r="C3101" s="132" t="s">
        <v>1369</v>
      </c>
      <c r="D3101" s="132" t="s">
        <v>283</v>
      </c>
      <c r="E3101" s="508">
        <v>6.1180000000000003</v>
      </c>
      <c r="F3101" s="508">
        <v>6.4279999999999999</v>
      </c>
      <c r="G3101" s="508">
        <v>6.4189999999999996</v>
      </c>
      <c r="H3101" s="508">
        <v>6.4180000000000001</v>
      </c>
      <c r="I3101" s="508">
        <v>6.42</v>
      </c>
      <c r="J3101" s="508">
        <v>6.7359999999999998</v>
      </c>
      <c r="K3101" s="508">
        <v>6.7080000000000002</v>
      </c>
      <c r="L3101" s="508">
        <v>6.6760000000000002</v>
      </c>
      <c r="M3101" s="508">
        <v>6.6230000000000002</v>
      </c>
      <c r="N3101" s="508">
        <v>6.4969999999999999</v>
      </c>
      <c r="O3101" s="508">
        <v>6.4470000000000001</v>
      </c>
      <c r="P3101" s="508">
        <v>3.1659999999999999</v>
      </c>
      <c r="Q3101" s="508">
        <v>3.073</v>
      </c>
      <c r="R3101" s="508">
        <v>3.0110000000000001</v>
      </c>
      <c r="S3101" s="508">
        <v>2.9860000000000002</v>
      </c>
      <c r="T3101" s="508">
        <v>2.9239999999999999</v>
      </c>
      <c r="U3101" s="508">
        <v>1.8520000000000001</v>
      </c>
      <c r="V3101" s="508">
        <v>1.8109999999999999</v>
      </c>
      <c r="W3101" s="508">
        <v>1.8939999999999999</v>
      </c>
      <c r="X3101" s="508">
        <v>0.98499999999999999</v>
      </c>
      <c r="Y3101" s="508">
        <v>0.73699999999999999</v>
      </c>
      <c r="Z3101" s="508">
        <v>0.51700000000000002</v>
      </c>
      <c r="AA3101" s="508">
        <v>0.432</v>
      </c>
      <c r="AB3101" s="508">
        <v>0.31900000000000001</v>
      </c>
      <c r="AC3101" s="508">
        <v>0.26500000000000001</v>
      </c>
      <c r="AD3101" s="508">
        <v>0.19700000000000001</v>
      </c>
      <c r="AE3101" s="508">
        <v>0.19800000000000001</v>
      </c>
      <c r="AF3101" s="508">
        <v>0.11799999999999999</v>
      </c>
      <c r="AG3101" s="508">
        <v>0.11799999999999999</v>
      </c>
      <c r="AH3101" s="508">
        <v>0.11700000000000001</v>
      </c>
      <c r="AI3101" s="492">
        <v>0.11600000000000001</v>
      </c>
      <c r="AJ3101" s="485"/>
    </row>
    <row r="3102" spans="2:36">
      <c r="B3102" s="136" t="s">
        <v>455</v>
      </c>
      <c r="C3102" s="132" t="s">
        <v>1369</v>
      </c>
      <c r="D3102" s="132" t="s">
        <v>283</v>
      </c>
      <c r="E3102" s="508">
        <v>5.8209999999999997</v>
      </c>
      <c r="F3102" s="508">
        <v>6.1989999999999998</v>
      </c>
      <c r="G3102" s="508">
        <v>6.1879999999999997</v>
      </c>
      <c r="H3102" s="508">
        <v>6.1870000000000003</v>
      </c>
      <c r="I3102" s="508">
        <v>6.1890000000000001</v>
      </c>
      <c r="J3102" s="508">
        <v>6.4809999999999999</v>
      </c>
      <c r="K3102" s="508">
        <v>6.4550000000000001</v>
      </c>
      <c r="L3102" s="508">
        <v>6.423</v>
      </c>
      <c r="M3102" s="508">
        <v>6.37</v>
      </c>
      <c r="N3102" s="508">
        <v>6.282</v>
      </c>
      <c r="O3102" s="508">
        <v>6.23</v>
      </c>
      <c r="P3102" s="508">
        <v>3.0489999999999999</v>
      </c>
      <c r="Q3102" s="508">
        <v>2.9609999999999999</v>
      </c>
      <c r="R3102" s="508">
        <v>2.8980000000000001</v>
      </c>
      <c r="S3102" s="508">
        <v>2.875</v>
      </c>
      <c r="T3102" s="508">
        <v>2.8140000000000001</v>
      </c>
      <c r="U3102" s="508">
        <v>1.754</v>
      </c>
      <c r="V3102" s="508">
        <v>1.716</v>
      </c>
      <c r="W3102" s="508">
        <v>1.7929999999999999</v>
      </c>
      <c r="X3102" s="508">
        <v>0.93400000000000005</v>
      </c>
      <c r="Y3102" s="508">
        <v>0.70099999999999996</v>
      </c>
      <c r="Z3102" s="508">
        <v>0.49299999999999999</v>
      </c>
      <c r="AA3102" s="508">
        <v>0.41199999999999998</v>
      </c>
      <c r="AB3102" s="508">
        <v>0.30499999999999999</v>
      </c>
      <c r="AC3102" s="508">
        <v>0.253</v>
      </c>
      <c r="AD3102" s="508">
        <v>0.189</v>
      </c>
      <c r="AE3102" s="508">
        <v>0.191</v>
      </c>
      <c r="AF3102" s="508">
        <v>0.11600000000000001</v>
      </c>
      <c r="AG3102" s="508">
        <v>0.115</v>
      </c>
      <c r="AH3102" s="508">
        <v>0.11600000000000001</v>
      </c>
      <c r="AI3102" s="492">
        <v>0.11600000000000001</v>
      </c>
      <c r="AJ3102" s="485"/>
    </row>
    <row r="3103" spans="2:36">
      <c r="B3103" s="136" t="s">
        <v>456</v>
      </c>
      <c r="C3103" s="132" t="s">
        <v>1369</v>
      </c>
      <c r="D3103" s="132" t="s">
        <v>283</v>
      </c>
      <c r="E3103" s="508">
        <v>5.72</v>
      </c>
      <c r="F3103" s="508">
        <v>6.15</v>
      </c>
      <c r="G3103" s="508">
        <v>6.1520000000000001</v>
      </c>
      <c r="H3103" s="508">
        <v>6.1630000000000003</v>
      </c>
      <c r="I3103" s="508">
        <v>6.1820000000000004</v>
      </c>
      <c r="J3103" s="508">
        <v>6.4939999999999998</v>
      </c>
      <c r="K3103" s="508">
        <v>6.468</v>
      </c>
      <c r="L3103" s="508">
        <v>6.4450000000000003</v>
      </c>
      <c r="M3103" s="508">
        <v>6.3979999999999997</v>
      </c>
      <c r="N3103" s="508">
        <v>6.2910000000000004</v>
      </c>
      <c r="O3103" s="508">
        <v>6.2469999999999999</v>
      </c>
      <c r="P3103" s="508">
        <v>3.0409999999999999</v>
      </c>
      <c r="Q3103" s="508">
        <v>2.948</v>
      </c>
      <c r="R3103" s="508">
        <v>2.8879999999999999</v>
      </c>
      <c r="S3103" s="508">
        <v>2.8639999999999999</v>
      </c>
      <c r="T3103" s="508">
        <v>2.802</v>
      </c>
      <c r="U3103" s="508">
        <v>1.696</v>
      </c>
      <c r="V3103" s="508">
        <v>1.66</v>
      </c>
      <c r="W3103" s="508">
        <v>1.7370000000000001</v>
      </c>
      <c r="X3103" s="508">
        <v>0.9</v>
      </c>
      <c r="Y3103" s="508">
        <v>0.67</v>
      </c>
      <c r="Z3103" s="508">
        <v>0.46899999999999997</v>
      </c>
      <c r="AA3103" s="508">
        <v>0.39</v>
      </c>
      <c r="AB3103" s="508">
        <v>0.28599999999999998</v>
      </c>
      <c r="AC3103" s="508">
        <v>0.23499999999999999</v>
      </c>
      <c r="AD3103" s="508">
        <v>0.17299999999999999</v>
      </c>
      <c r="AE3103" s="508">
        <v>0.17499999999999999</v>
      </c>
      <c r="AF3103" s="508">
        <v>0.10199999999999999</v>
      </c>
      <c r="AG3103" s="508">
        <v>0.10199999999999999</v>
      </c>
      <c r="AH3103" s="508">
        <v>0.10199999999999999</v>
      </c>
      <c r="AI3103" s="492">
        <v>0.10199999999999999</v>
      </c>
      <c r="AJ3103" s="485"/>
    </row>
    <row r="3104" spans="2:36">
      <c r="B3104" s="136" t="s">
        <v>457</v>
      </c>
      <c r="C3104" s="132" t="s">
        <v>1369</v>
      </c>
      <c r="D3104" s="132" t="s">
        <v>283</v>
      </c>
      <c r="E3104" s="508">
        <v>6.5389999999999997</v>
      </c>
      <c r="F3104" s="508">
        <v>6.734</v>
      </c>
      <c r="G3104" s="508">
        <v>6.726</v>
      </c>
      <c r="H3104" s="508">
        <v>6.7249999999999996</v>
      </c>
      <c r="I3104" s="508">
        <v>6.726</v>
      </c>
      <c r="J3104" s="508">
        <v>7.04</v>
      </c>
      <c r="K3104" s="508">
        <v>7.0119999999999996</v>
      </c>
      <c r="L3104" s="508">
        <v>6.98</v>
      </c>
      <c r="M3104" s="508">
        <v>6.9249999999999998</v>
      </c>
      <c r="N3104" s="508">
        <v>6.8029999999999999</v>
      </c>
      <c r="O3104" s="508">
        <v>6.7530000000000001</v>
      </c>
      <c r="P3104" s="508">
        <v>3.1909999999999998</v>
      </c>
      <c r="Q3104" s="508">
        <v>3.1019999999999999</v>
      </c>
      <c r="R3104" s="508">
        <v>3.0390000000000001</v>
      </c>
      <c r="S3104" s="508">
        <v>3.016</v>
      </c>
      <c r="T3104" s="508">
        <v>2.9540000000000002</v>
      </c>
      <c r="U3104" s="508">
        <v>1.8340000000000001</v>
      </c>
      <c r="V3104" s="508">
        <v>1.794</v>
      </c>
      <c r="W3104" s="508">
        <v>1.8759999999999999</v>
      </c>
      <c r="X3104" s="508">
        <v>0.98199999999999998</v>
      </c>
      <c r="Y3104" s="508">
        <v>0.73799999999999999</v>
      </c>
      <c r="Z3104" s="508">
        <v>0.52100000000000002</v>
      </c>
      <c r="AA3104" s="508">
        <v>0.436</v>
      </c>
      <c r="AB3104" s="508">
        <v>0.32400000000000001</v>
      </c>
      <c r="AC3104" s="508">
        <v>0.27</v>
      </c>
      <c r="AD3104" s="508">
        <v>0.20300000000000001</v>
      </c>
      <c r="AE3104" s="508">
        <v>0.20499999999999999</v>
      </c>
      <c r="AF3104" s="508">
        <v>0.127</v>
      </c>
      <c r="AG3104" s="508">
        <v>0.126</v>
      </c>
      <c r="AH3104" s="508">
        <v>0.125</v>
      </c>
      <c r="AI3104" s="492">
        <v>0.125</v>
      </c>
      <c r="AJ3104" s="485"/>
    </row>
    <row r="3105" spans="2:36">
      <c r="B3105" s="136" t="s">
        <v>458</v>
      </c>
      <c r="C3105" s="132" t="s">
        <v>1369</v>
      </c>
      <c r="D3105" s="132" t="s">
        <v>283</v>
      </c>
      <c r="E3105" s="508">
        <v>6.117</v>
      </c>
      <c r="F3105" s="508">
        <v>6.4850000000000003</v>
      </c>
      <c r="G3105" s="508">
        <v>6.4770000000000003</v>
      </c>
      <c r="H3105" s="508">
        <v>6.476</v>
      </c>
      <c r="I3105" s="508">
        <v>6.4770000000000003</v>
      </c>
      <c r="J3105" s="508">
        <v>6.8070000000000004</v>
      </c>
      <c r="K3105" s="508">
        <v>6.7789999999999999</v>
      </c>
      <c r="L3105" s="508">
        <v>6.7460000000000004</v>
      </c>
      <c r="M3105" s="508">
        <v>6.6909999999999998</v>
      </c>
      <c r="N3105" s="508">
        <v>6.5579999999999998</v>
      </c>
      <c r="O3105" s="508">
        <v>6.5060000000000002</v>
      </c>
      <c r="P3105" s="508">
        <v>2.8250000000000002</v>
      </c>
      <c r="Q3105" s="508">
        <v>2.7410000000000001</v>
      </c>
      <c r="R3105" s="508">
        <v>2.677</v>
      </c>
      <c r="S3105" s="508">
        <v>2.661</v>
      </c>
      <c r="T3105" s="508">
        <v>2.5979999999999999</v>
      </c>
      <c r="U3105" s="508">
        <v>1.603</v>
      </c>
      <c r="V3105" s="508">
        <v>1.571</v>
      </c>
      <c r="W3105" s="508">
        <v>1.6419999999999999</v>
      </c>
      <c r="X3105" s="508">
        <v>0.86199999999999999</v>
      </c>
      <c r="Y3105" s="508">
        <v>0.64700000000000002</v>
      </c>
      <c r="Z3105" s="508">
        <v>0.46</v>
      </c>
      <c r="AA3105" s="508">
        <v>0.38200000000000001</v>
      </c>
      <c r="AB3105" s="508">
        <v>0.28199999999999997</v>
      </c>
      <c r="AC3105" s="508">
        <v>0.23100000000000001</v>
      </c>
      <c r="AD3105" s="508">
        <v>0.17599999999999999</v>
      </c>
      <c r="AE3105" s="508">
        <v>0.17799999999999999</v>
      </c>
      <c r="AF3105" s="508">
        <v>0.114</v>
      </c>
      <c r="AG3105" s="508">
        <v>0.113</v>
      </c>
      <c r="AH3105" s="508">
        <v>0.115</v>
      </c>
      <c r="AI3105" s="492">
        <v>0.115</v>
      </c>
      <c r="AJ3105" s="485"/>
    </row>
    <row r="3106" spans="2:36">
      <c r="B3106" s="136" t="s">
        <v>459</v>
      </c>
      <c r="C3106" s="132" t="s">
        <v>1369</v>
      </c>
      <c r="D3106" s="132" t="s">
        <v>283</v>
      </c>
      <c r="E3106" s="508">
        <v>6.2809999999999997</v>
      </c>
      <c r="F3106" s="508">
        <v>6.6180000000000003</v>
      </c>
      <c r="G3106" s="508">
        <v>6.609</v>
      </c>
      <c r="H3106" s="508">
        <v>6.6079999999999997</v>
      </c>
      <c r="I3106" s="508">
        <v>6.609</v>
      </c>
      <c r="J3106" s="508">
        <v>6.9450000000000003</v>
      </c>
      <c r="K3106" s="508">
        <v>6.9169999999999998</v>
      </c>
      <c r="L3106" s="508">
        <v>6.8840000000000003</v>
      </c>
      <c r="M3106" s="508">
        <v>6.8289999999999997</v>
      </c>
      <c r="N3106" s="508">
        <v>6.6879999999999997</v>
      </c>
      <c r="O3106" s="508">
        <v>6.6360000000000001</v>
      </c>
      <c r="P3106" s="508">
        <v>3.2690000000000001</v>
      </c>
      <c r="Q3106" s="508">
        <v>2.7269999999999999</v>
      </c>
      <c r="R3106" s="508">
        <v>2.6619999999999999</v>
      </c>
      <c r="S3106" s="508">
        <v>2.6480000000000001</v>
      </c>
      <c r="T3106" s="508">
        <v>2.5840000000000001</v>
      </c>
      <c r="U3106" s="508">
        <v>1.607</v>
      </c>
      <c r="V3106" s="508">
        <v>1.575</v>
      </c>
      <c r="W3106" s="508">
        <v>1.6459999999999999</v>
      </c>
      <c r="X3106" s="508">
        <v>0.87</v>
      </c>
      <c r="Y3106" s="508">
        <v>0.65400000000000003</v>
      </c>
      <c r="Z3106" s="508">
        <v>0.46400000000000002</v>
      </c>
      <c r="AA3106" s="508">
        <v>0.38500000000000001</v>
      </c>
      <c r="AB3106" s="508">
        <v>0.27900000000000003</v>
      </c>
      <c r="AC3106" s="508">
        <v>0.22700000000000001</v>
      </c>
      <c r="AD3106" s="508">
        <v>0.17499999999999999</v>
      </c>
      <c r="AE3106" s="508">
        <v>0.17699999999999999</v>
      </c>
      <c r="AF3106" s="508">
        <v>0.11799999999999999</v>
      </c>
      <c r="AG3106" s="508">
        <v>0.11700000000000001</v>
      </c>
      <c r="AH3106" s="508">
        <v>0.11600000000000001</v>
      </c>
      <c r="AI3106" s="492">
        <v>0.122</v>
      </c>
      <c r="AJ3106" s="485"/>
    </row>
    <row r="3107" spans="2:36">
      <c r="B3107" s="136" t="s">
        <v>460</v>
      </c>
      <c r="C3107" s="132" t="s">
        <v>1369</v>
      </c>
      <c r="D3107" s="132" t="s">
        <v>283</v>
      </c>
      <c r="E3107" s="508">
        <v>6.2590000000000003</v>
      </c>
      <c r="F3107" s="508">
        <v>6.5919999999999996</v>
      </c>
      <c r="G3107" s="508">
        <v>6.5819999999999999</v>
      </c>
      <c r="H3107" s="508">
        <v>6.5810000000000004</v>
      </c>
      <c r="I3107" s="508">
        <v>6.5830000000000002</v>
      </c>
      <c r="J3107" s="508">
        <v>6.9180000000000001</v>
      </c>
      <c r="K3107" s="508">
        <v>6.89</v>
      </c>
      <c r="L3107" s="508">
        <v>6.8570000000000002</v>
      </c>
      <c r="M3107" s="508">
        <v>6.8019999999999996</v>
      </c>
      <c r="N3107" s="508">
        <v>6.6639999999999997</v>
      </c>
      <c r="O3107" s="508">
        <v>6.6120000000000001</v>
      </c>
      <c r="P3107" s="508">
        <v>3.258</v>
      </c>
      <c r="Q3107" s="508">
        <v>3.16</v>
      </c>
      <c r="R3107" s="508">
        <v>3.0950000000000002</v>
      </c>
      <c r="S3107" s="508">
        <v>3.069</v>
      </c>
      <c r="T3107" s="508">
        <v>3.0059999999999998</v>
      </c>
      <c r="U3107" s="508">
        <v>1.877</v>
      </c>
      <c r="V3107" s="508">
        <v>1.8360000000000001</v>
      </c>
      <c r="W3107" s="508">
        <v>1.92</v>
      </c>
      <c r="X3107" s="508">
        <v>1.002</v>
      </c>
      <c r="Y3107" s="508">
        <v>0.751</v>
      </c>
      <c r="Z3107" s="508">
        <v>0.52700000000000002</v>
      </c>
      <c r="AA3107" s="508">
        <v>0.44</v>
      </c>
      <c r="AB3107" s="508">
        <v>0.32600000000000001</v>
      </c>
      <c r="AC3107" s="508">
        <v>0.27100000000000002</v>
      </c>
      <c r="AD3107" s="508">
        <v>0.20200000000000001</v>
      </c>
      <c r="AE3107" s="508">
        <v>0.20399999999999999</v>
      </c>
      <c r="AF3107" s="508">
        <v>0.123</v>
      </c>
      <c r="AG3107" s="508">
        <v>0.123</v>
      </c>
      <c r="AH3107" s="508">
        <v>0.122</v>
      </c>
      <c r="AI3107" s="492">
        <v>0.121</v>
      </c>
      <c r="AJ3107" s="485"/>
    </row>
    <row r="3108" spans="2:36">
      <c r="B3108" s="136" t="s">
        <v>461</v>
      </c>
      <c r="C3108" s="132" t="s">
        <v>1369</v>
      </c>
      <c r="D3108" s="132" t="s">
        <v>283</v>
      </c>
      <c r="E3108" s="508">
        <v>5.8949999999999996</v>
      </c>
      <c r="F3108" s="508">
        <v>6.2629999999999999</v>
      </c>
      <c r="G3108" s="508">
        <v>6.2480000000000002</v>
      </c>
      <c r="H3108" s="508">
        <v>6.2469999999999999</v>
      </c>
      <c r="I3108" s="508">
        <v>6.2489999999999997</v>
      </c>
      <c r="J3108" s="508">
        <v>6.556</v>
      </c>
      <c r="K3108" s="508">
        <v>6.5289999999999999</v>
      </c>
      <c r="L3108" s="508">
        <v>6.4969999999999999</v>
      </c>
      <c r="M3108" s="508">
        <v>6.444</v>
      </c>
      <c r="N3108" s="508">
        <v>6.319</v>
      </c>
      <c r="O3108" s="508">
        <v>6.2649999999999997</v>
      </c>
      <c r="P3108" s="508">
        <v>3.2869999999999999</v>
      </c>
      <c r="Q3108" s="508">
        <v>3.1909999999999998</v>
      </c>
      <c r="R3108" s="508">
        <v>3.1259999999999999</v>
      </c>
      <c r="S3108" s="508">
        <v>3.101</v>
      </c>
      <c r="T3108" s="508">
        <v>3.0379999999999998</v>
      </c>
      <c r="U3108" s="508">
        <v>1.8640000000000001</v>
      </c>
      <c r="V3108" s="508">
        <v>1.8240000000000001</v>
      </c>
      <c r="W3108" s="508">
        <v>1.9079999999999999</v>
      </c>
      <c r="X3108" s="508">
        <v>0.997</v>
      </c>
      <c r="Y3108" s="508">
        <v>0.748</v>
      </c>
      <c r="Z3108" s="508">
        <v>0.52500000000000002</v>
      </c>
      <c r="AA3108" s="508">
        <v>0.44</v>
      </c>
      <c r="AB3108" s="508">
        <v>0.32700000000000001</v>
      </c>
      <c r="AC3108" s="508">
        <v>0.27200000000000002</v>
      </c>
      <c r="AD3108" s="508">
        <v>0.20300000000000001</v>
      </c>
      <c r="AE3108" s="508">
        <v>0.20499999999999999</v>
      </c>
      <c r="AF3108" s="508">
        <v>0.125</v>
      </c>
      <c r="AG3108" s="508">
        <v>0.124</v>
      </c>
      <c r="AH3108" s="508">
        <v>0.123</v>
      </c>
      <c r="AI3108" s="492">
        <v>0.122</v>
      </c>
      <c r="AJ3108" s="485"/>
    </row>
    <row r="3109" spans="2:36">
      <c r="B3109" s="136" t="s">
        <v>462</v>
      </c>
      <c r="C3109" s="132" t="s">
        <v>1369</v>
      </c>
      <c r="D3109" s="132" t="s">
        <v>283</v>
      </c>
      <c r="E3109" s="508">
        <v>5.806</v>
      </c>
      <c r="F3109" s="508">
        <v>6.1619999999999999</v>
      </c>
      <c r="G3109" s="508">
        <v>6.1550000000000002</v>
      </c>
      <c r="H3109" s="508">
        <v>6.157</v>
      </c>
      <c r="I3109" s="508">
        <v>6.1619999999999999</v>
      </c>
      <c r="J3109" s="508">
        <v>6.4649999999999999</v>
      </c>
      <c r="K3109" s="508">
        <v>6.4379999999999997</v>
      </c>
      <c r="L3109" s="508">
        <v>6.4080000000000004</v>
      </c>
      <c r="M3109" s="508">
        <v>6.3570000000000002</v>
      </c>
      <c r="N3109" s="508">
        <v>6.242</v>
      </c>
      <c r="O3109" s="508">
        <v>6.1929999999999996</v>
      </c>
      <c r="P3109" s="508">
        <v>3.0489999999999999</v>
      </c>
      <c r="Q3109" s="508">
        <v>2.9580000000000002</v>
      </c>
      <c r="R3109" s="508">
        <v>2.8980000000000001</v>
      </c>
      <c r="S3109" s="508">
        <v>2.8719999999999999</v>
      </c>
      <c r="T3109" s="508">
        <v>2.8119999999999998</v>
      </c>
      <c r="U3109" s="508">
        <v>1.7010000000000001</v>
      </c>
      <c r="V3109" s="508">
        <v>1.6639999999999999</v>
      </c>
      <c r="W3109" s="508">
        <v>1.7410000000000001</v>
      </c>
      <c r="X3109" s="508">
        <v>0.90200000000000002</v>
      </c>
      <c r="Y3109" s="508">
        <v>0.67200000000000004</v>
      </c>
      <c r="Z3109" s="508">
        <v>0.47</v>
      </c>
      <c r="AA3109" s="508">
        <v>0.39100000000000001</v>
      </c>
      <c r="AB3109" s="508">
        <v>0.28699999999999998</v>
      </c>
      <c r="AC3109" s="508">
        <v>0.23699999999999999</v>
      </c>
      <c r="AD3109" s="508">
        <v>0.17399999999999999</v>
      </c>
      <c r="AE3109" s="508">
        <v>0.17599999999999999</v>
      </c>
      <c r="AF3109" s="508">
        <v>0.10299999999999999</v>
      </c>
      <c r="AG3109" s="508">
        <v>0.10199999999999999</v>
      </c>
      <c r="AH3109" s="508">
        <v>0.10199999999999999</v>
      </c>
      <c r="AI3109" s="492">
        <v>0.10100000000000001</v>
      </c>
      <c r="AJ3109" s="485"/>
    </row>
    <row r="3110" spans="2:36">
      <c r="B3110" s="136" t="s">
        <v>463</v>
      </c>
      <c r="C3110" s="132" t="s">
        <v>1369</v>
      </c>
      <c r="D3110" s="132" t="s">
        <v>283</v>
      </c>
      <c r="E3110" s="508">
        <v>6.1</v>
      </c>
      <c r="F3110" s="508">
        <v>6.4130000000000003</v>
      </c>
      <c r="G3110" s="508">
        <v>6.4039999999999999</v>
      </c>
      <c r="H3110" s="508">
        <v>6.4039999999999999</v>
      </c>
      <c r="I3110" s="508">
        <v>6.4050000000000002</v>
      </c>
      <c r="J3110" s="508">
        <v>6.71</v>
      </c>
      <c r="K3110" s="508">
        <v>6.6829999999999998</v>
      </c>
      <c r="L3110" s="508">
        <v>6.6509999999999998</v>
      </c>
      <c r="M3110" s="508">
        <v>6.5970000000000004</v>
      </c>
      <c r="N3110" s="508">
        <v>6.4880000000000004</v>
      </c>
      <c r="O3110" s="508">
        <v>6.4379999999999997</v>
      </c>
      <c r="P3110" s="508">
        <v>3.032</v>
      </c>
      <c r="Q3110" s="508">
        <v>2.9470000000000001</v>
      </c>
      <c r="R3110" s="508">
        <v>2.8839999999999999</v>
      </c>
      <c r="S3110" s="508">
        <v>2.8610000000000002</v>
      </c>
      <c r="T3110" s="508">
        <v>2.8</v>
      </c>
      <c r="U3110" s="508">
        <v>1.776</v>
      </c>
      <c r="V3110" s="508">
        <v>1.738</v>
      </c>
      <c r="W3110" s="508">
        <v>1.8160000000000001</v>
      </c>
      <c r="X3110" s="508">
        <v>0.94599999999999995</v>
      </c>
      <c r="Y3110" s="508">
        <v>0.71</v>
      </c>
      <c r="Z3110" s="508">
        <v>0.501</v>
      </c>
      <c r="AA3110" s="508">
        <v>0.42</v>
      </c>
      <c r="AB3110" s="508">
        <v>0.311</v>
      </c>
      <c r="AC3110" s="508">
        <v>0.25900000000000001</v>
      </c>
      <c r="AD3110" s="508">
        <v>0.19400000000000001</v>
      </c>
      <c r="AE3110" s="508">
        <v>0.19600000000000001</v>
      </c>
      <c r="AF3110" s="508">
        <v>0.11899999999999999</v>
      </c>
      <c r="AG3110" s="508">
        <v>0.11899999999999999</v>
      </c>
      <c r="AH3110" s="508">
        <v>0.11899999999999999</v>
      </c>
      <c r="AI3110" s="492">
        <v>0.11899999999999999</v>
      </c>
      <c r="AJ3110" s="485"/>
    </row>
    <row r="3111" spans="2:36">
      <c r="B3111" s="136" t="s">
        <v>464</v>
      </c>
      <c r="C3111" s="132" t="s">
        <v>1369</v>
      </c>
      <c r="D3111" s="132" t="s">
        <v>283</v>
      </c>
      <c r="E3111" s="508">
        <v>6.5350000000000001</v>
      </c>
      <c r="F3111" s="508">
        <v>6.7359999999999998</v>
      </c>
      <c r="G3111" s="508">
        <v>6.7270000000000003</v>
      </c>
      <c r="H3111" s="508">
        <v>6.726</v>
      </c>
      <c r="I3111" s="508">
        <v>6.7279999999999998</v>
      </c>
      <c r="J3111" s="508">
        <v>7.0410000000000004</v>
      </c>
      <c r="K3111" s="508">
        <v>7.0119999999999996</v>
      </c>
      <c r="L3111" s="508">
        <v>6.98</v>
      </c>
      <c r="M3111" s="508">
        <v>6.9249999999999998</v>
      </c>
      <c r="N3111" s="508">
        <v>6.8120000000000003</v>
      </c>
      <c r="O3111" s="508">
        <v>6.7619999999999996</v>
      </c>
      <c r="P3111" s="508">
        <v>3.2970000000000002</v>
      </c>
      <c r="Q3111" s="508">
        <v>3.2050000000000001</v>
      </c>
      <c r="R3111" s="508">
        <v>3.1419999999999999</v>
      </c>
      <c r="S3111" s="508">
        <v>3.1160000000000001</v>
      </c>
      <c r="T3111" s="508">
        <v>3.0539999999999998</v>
      </c>
      <c r="U3111" s="508">
        <v>1.944</v>
      </c>
      <c r="V3111" s="508">
        <v>1.901</v>
      </c>
      <c r="W3111" s="508">
        <v>1.9870000000000001</v>
      </c>
      <c r="X3111" s="508">
        <v>1.0369999999999999</v>
      </c>
      <c r="Y3111" s="508">
        <v>0.78</v>
      </c>
      <c r="Z3111" s="508">
        <v>0.54900000000000004</v>
      </c>
      <c r="AA3111" s="508">
        <v>0.46100000000000002</v>
      </c>
      <c r="AB3111" s="508">
        <v>0.34300000000000003</v>
      </c>
      <c r="AC3111" s="508">
        <v>0.28699999999999998</v>
      </c>
      <c r="AD3111" s="508">
        <v>0.215</v>
      </c>
      <c r="AE3111" s="508">
        <v>0.217</v>
      </c>
      <c r="AF3111" s="508">
        <v>0.13200000000000001</v>
      </c>
      <c r="AG3111" s="508">
        <v>0.13100000000000001</v>
      </c>
      <c r="AH3111" s="508">
        <v>0.13</v>
      </c>
      <c r="AI3111" s="492">
        <v>0.129</v>
      </c>
      <c r="AJ3111" s="485"/>
    </row>
    <row r="3112" spans="2:36">
      <c r="B3112" s="136" t="s">
        <v>465</v>
      </c>
      <c r="C3112" s="132" t="s">
        <v>1369</v>
      </c>
      <c r="D3112" s="132" t="s">
        <v>283</v>
      </c>
      <c r="E3112" s="508">
        <v>6.3049999999999997</v>
      </c>
      <c r="F3112" s="508">
        <v>6.5919999999999996</v>
      </c>
      <c r="G3112" s="508">
        <v>6.5830000000000002</v>
      </c>
      <c r="H3112" s="508">
        <v>6.5819999999999999</v>
      </c>
      <c r="I3112" s="508">
        <v>6.5839999999999996</v>
      </c>
      <c r="J3112" s="508">
        <v>6.899</v>
      </c>
      <c r="K3112" s="508">
        <v>6.87</v>
      </c>
      <c r="L3112" s="508">
        <v>6.8380000000000001</v>
      </c>
      <c r="M3112" s="508">
        <v>6.7839999999999998</v>
      </c>
      <c r="N3112" s="508">
        <v>6.6749999999999998</v>
      </c>
      <c r="O3112" s="508">
        <v>6.6239999999999997</v>
      </c>
      <c r="P3112" s="508">
        <v>3.2450000000000001</v>
      </c>
      <c r="Q3112" s="508">
        <v>3.1520000000000001</v>
      </c>
      <c r="R3112" s="508">
        <v>3.0880000000000001</v>
      </c>
      <c r="S3112" s="508">
        <v>3.0619999999999998</v>
      </c>
      <c r="T3112" s="508">
        <v>3</v>
      </c>
      <c r="U3112" s="508">
        <v>1.91</v>
      </c>
      <c r="V3112" s="508">
        <v>1.8680000000000001</v>
      </c>
      <c r="W3112" s="508">
        <v>1.952</v>
      </c>
      <c r="X3112" s="508">
        <v>1.0169999999999999</v>
      </c>
      <c r="Y3112" s="508">
        <v>0.76300000000000001</v>
      </c>
      <c r="Z3112" s="508">
        <v>0.53700000000000003</v>
      </c>
      <c r="AA3112" s="508">
        <v>0.45</v>
      </c>
      <c r="AB3112" s="508">
        <v>0.33400000000000002</v>
      </c>
      <c r="AC3112" s="508">
        <v>0.27900000000000003</v>
      </c>
      <c r="AD3112" s="508">
        <v>0.20799999999999999</v>
      </c>
      <c r="AE3112" s="508">
        <v>0.21</v>
      </c>
      <c r="AF3112" s="508">
        <v>0.126</v>
      </c>
      <c r="AG3112" s="508">
        <v>0.125</v>
      </c>
      <c r="AH3112" s="508">
        <v>0.125</v>
      </c>
      <c r="AI3112" s="492">
        <v>0.124</v>
      </c>
      <c r="AJ3112" s="485"/>
    </row>
    <row r="3113" spans="2:36">
      <c r="B3113" s="136" t="s">
        <v>466</v>
      </c>
      <c r="C3113" s="132" t="s">
        <v>1369</v>
      </c>
      <c r="D3113" s="132" t="s">
        <v>283</v>
      </c>
      <c r="E3113" s="508">
        <v>6.2889999999999997</v>
      </c>
      <c r="F3113" s="508">
        <v>6.6429999999999998</v>
      </c>
      <c r="G3113" s="508">
        <v>6.6340000000000003</v>
      </c>
      <c r="H3113" s="508">
        <v>6.633</v>
      </c>
      <c r="I3113" s="508">
        <v>6.6349999999999998</v>
      </c>
      <c r="J3113" s="508">
        <v>6.9880000000000004</v>
      </c>
      <c r="K3113" s="508">
        <v>6.96</v>
      </c>
      <c r="L3113" s="508">
        <v>6.9279999999999999</v>
      </c>
      <c r="M3113" s="508">
        <v>6.8730000000000002</v>
      </c>
      <c r="N3113" s="508">
        <v>6.72</v>
      </c>
      <c r="O3113" s="508">
        <v>6.6680000000000001</v>
      </c>
      <c r="P3113" s="508">
        <v>2.9209999999999998</v>
      </c>
      <c r="Q3113" s="508">
        <v>2.8279999999999998</v>
      </c>
      <c r="R3113" s="508">
        <v>2.7629999999999999</v>
      </c>
      <c r="S3113" s="508">
        <v>2.7490000000000001</v>
      </c>
      <c r="T3113" s="508">
        <v>2.6850000000000001</v>
      </c>
      <c r="U3113" s="508">
        <v>1.6719999999999999</v>
      </c>
      <c r="V3113" s="508">
        <v>1.639</v>
      </c>
      <c r="W3113" s="508">
        <v>1.7150000000000001</v>
      </c>
      <c r="X3113" s="508">
        <v>0.89800000000000002</v>
      </c>
      <c r="Y3113" s="508">
        <v>0.67</v>
      </c>
      <c r="Z3113" s="508">
        <v>0.47199999999999998</v>
      </c>
      <c r="AA3113" s="508">
        <v>0.38900000000000001</v>
      </c>
      <c r="AB3113" s="508">
        <v>0.28299999999999997</v>
      </c>
      <c r="AC3113" s="508">
        <v>0.22800000000000001</v>
      </c>
      <c r="AD3113" s="508">
        <v>0.17199999999999999</v>
      </c>
      <c r="AE3113" s="508">
        <v>0.17299999999999999</v>
      </c>
      <c r="AF3113" s="508">
        <v>0.11</v>
      </c>
      <c r="AG3113" s="508">
        <v>0.109</v>
      </c>
      <c r="AH3113" s="508">
        <v>0.113</v>
      </c>
      <c r="AI3113" s="492">
        <v>0.113</v>
      </c>
      <c r="AJ3113" s="485"/>
    </row>
    <row r="3114" spans="2:36">
      <c r="B3114" s="136" t="s">
        <v>467</v>
      </c>
      <c r="C3114" s="132" t="s">
        <v>1369</v>
      </c>
      <c r="D3114" s="132" t="s">
        <v>283</v>
      </c>
      <c r="E3114" s="508">
        <v>6.3819999999999997</v>
      </c>
      <c r="F3114" s="508">
        <v>6.641</v>
      </c>
      <c r="G3114" s="508">
        <v>6.6319999999999997</v>
      </c>
      <c r="H3114" s="508">
        <v>6.6310000000000002</v>
      </c>
      <c r="I3114" s="508">
        <v>6.633</v>
      </c>
      <c r="J3114" s="508">
        <v>6.9619999999999997</v>
      </c>
      <c r="K3114" s="508">
        <v>6.9340000000000002</v>
      </c>
      <c r="L3114" s="508">
        <v>6.9009999999999998</v>
      </c>
      <c r="M3114" s="508">
        <v>6.8470000000000004</v>
      </c>
      <c r="N3114" s="508">
        <v>6.702</v>
      </c>
      <c r="O3114" s="508">
        <v>6.6520000000000001</v>
      </c>
      <c r="P3114" s="508">
        <v>2.8010000000000002</v>
      </c>
      <c r="Q3114" s="508">
        <v>2.718</v>
      </c>
      <c r="R3114" s="508">
        <v>2.6539999999999999</v>
      </c>
      <c r="S3114" s="508">
        <v>2.6419999999999999</v>
      </c>
      <c r="T3114" s="508">
        <v>2.5779999999999998</v>
      </c>
      <c r="U3114" s="508">
        <v>1.593</v>
      </c>
      <c r="V3114" s="508">
        <v>1.5609999999999999</v>
      </c>
      <c r="W3114" s="508">
        <v>1.6319999999999999</v>
      </c>
      <c r="X3114" s="508">
        <v>0.86299999999999999</v>
      </c>
      <c r="Y3114" s="508">
        <v>0.65</v>
      </c>
      <c r="Z3114" s="508">
        <v>0.46100000000000002</v>
      </c>
      <c r="AA3114" s="508">
        <v>0.38200000000000001</v>
      </c>
      <c r="AB3114" s="508">
        <v>0.28000000000000003</v>
      </c>
      <c r="AC3114" s="508">
        <v>0.22800000000000001</v>
      </c>
      <c r="AD3114" s="508">
        <v>0.17499999999999999</v>
      </c>
      <c r="AE3114" s="508">
        <v>0.17699999999999999</v>
      </c>
      <c r="AF3114" s="508">
        <v>0.11799999999999999</v>
      </c>
      <c r="AG3114" s="508">
        <v>0.11700000000000001</v>
      </c>
      <c r="AH3114" s="508">
        <v>0.11600000000000001</v>
      </c>
      <c r="AI3114" s="492">
        <v>0.11600000000000001</v>
      </c>
      <c r="AJ3114" s="485"/>
    </row>
    <row r="3115" spans="2:36">
      <c r="B3115" s="136" t="s">
        <v>468</v>
      </c>
      <c r="C3115" s="132" t="s">
        <v>1369</v>
      </c>
      <c r="D3115" s="132" t="s">
        <v>283</v>
      </c>
      <c r="E3115" s="508">
        <v>5.14</v>
      </c>
      <c r="F3115" s="508">
        <v>5.6289999999999996</v>
      </c>
      <c r="G3115" s="508">
        <v>5.6079999999999997</v>
      </c>
      <c r="H3115" s="508">
        <v>5.6059999999999999</v>
      </c>
      <c r="I3115" s="508">
        <v>5.61</v>
      </c>
      <c r="J3115" s="508">
        <v>5.8579999999999997</v>
      </c>
      <c r="K3115" s="508">
        <v>5.835</v>
      </c>
      <c r="L3115" s="508">
        <v>5.8029999999999999</v>
      </c>
      <c r="M3115" s="508">
        <v>5.7549999999999999</v>
      </c>
      <c r="N3115" s="508">
        <v>5.7089999999999996</v>
      </c>
      <c r="O3115" s="508">
        <v>5.6539999999999999</v>
      </c>
      <c r="P3115" s="508">
        <v>2.7450000000000001</v>
      </c>
      <c r="Q3115" s="508">
        <v>2.6680000000000001</v>
      </c>
      <c r="R3115" s="508">
        <v>2.605</v>
      </c>
      <c r="S3115" s="508">
        <v>2.5910000000000002</v>
      </c>
      <c r="T3115" s="508">
        <v>2.5310000000000001</v>
      </c>
      <c r="U3115" s="508">
        <v>1.603</v>
      </c>
      <c r="V3115" s="508">
        <v>1.57</v>
      </c>
      <c r="W3115" s="508">
        <v>1.64</v>
      </c>
      <c r="X3115" s="508">
        <v>0.86199999999999999</v>
      </c>
      <c r="Y3115" s="508">
        <v>0.65</v>
      </c>
      <c r="Z3115" s="508">
        <v>0.46500000000000002</v>
      </c>
      <c r="AA3115" s="508">
        <v>0.38800000000000001</v>
      </c>
      <c r="AB3115" s="508">
        <v>0.28799999999999998</v>
      </c>
      <c r="AC3115" s="508">
        <v>0.23699999999999999</v>
      </c>
      <c r="AD3115" s="508">
        <v>0.183</v>
      </c>
      <c r="AE3115" s="508">
        <v>0.20799999999999999</v>
      </c>
      <c r="AF3115" s="508">
        <v>0.124</v>
      </c>
      <c r="AG3115" s="508">
        <v>0.124</v>
      </c>
      <c r="AH3115" s="508">
        <v>0.123</v>
      </c>
      <c r="AI3115" s="492">
        <v>0.122</v>
      </c>
      <c r="AJ3115" s="485"/>
    </row>
    <row r="3116" spans="2:36">
      <c r="B3116" s="136" t="s">
        <v>469</v>
      </c>
      <c r="C3116" s="132" t="s">
        <v>1369</v>
      </c>
      <c r="D3116" s="132" t="s">
        <v>283</v>
      </c>
      <c r="E3116" s="508">
        <v>6.3879999999999999</v>
      </c>
      <c r="F3116" s="508">
        <v>6.649</v>
      </c>
      <c r="G3116" s="508">
        <v>6.64</v>
      </c>
      <c r="H3116" s="508">
        <v>6.6390000000000002</v>
      </c>
      <c r="I3116" s="508">
        <v>6.641</v>
      </c>
      <c r="J3116" s="508">
        <v>6.9640000000000004</v>
      </c>
      <c r="K3116" s="508">
        <v>6.9359999999999999</v>
      </c>
      <c r="L3116" s="508">
        <v>6.9039999999999999</v>
      </c>
      <c r="M3116" s="508">
        <v>6.85</v>
      </c>
      <c r="N3116" s="508">
        <v>6.7279999999999998</v>
      </c>
      <c r="O3116" s="508">
        <v>6.6779999999999999</v>
      </c>
      <c r="P3116" s="508">
        <v>3.1589999999999998</v>
      </c>
      <c r="Q3116" s="508">
        <v>3.0680000000000001</v>
      </c>
      <c r="R3116" s="508">
        <v>3.004</v>
      </c>
      <c r="S3116" s="508">
        <v>2.9820000000000002</v>
      </c>
      <c r="T3116" s="508">
        <v>2.92</v>
      </c>
      <c r="U3116" s="508">
        <v>1.8520000000000001</v>
      </c>
      <c r="V3116" s="508">
        <v>1.8129999999999999</v>
      </c>
      <c r="W3116" s="508">
        <v>1.8959999999999999</v>
      </c>
      <c r="X3116" s="508">
        <v>0.98699999999999999</v>
      </c>
      <c r="Y3116" s="508">
        <v>0.73899999999999999</v>
      </c>
      <c r="Z3116" s="508">
        <v>0.52</v>
      </c>
      <c r="AA3116" s="508">
        <v>0.434</v>
      </c>
      <c r="AB3116" s="508">
        <v>0.32100000000000001</v>
      </c>
      <c r="AC3116" s="508">
        <v>0.26600000000000001</v>
      </c>
      <c r="AD3116" s="508">
        <v>0.19800000000000001</v>
      </c>
      <c r="AE3116" s="508">
        <v>0.2</v>
      </c>
      <c r="AF3116" s="508">
        <v>0.121</v>
      </c>
      <c r="AG3116" s="508">
        <v>0.12</v>
      </c>
      <c r="AH3116" s="508">
        <v>0.12</v>
      </c>
      <c r="AI3116" s="492">
        <v>0.12</v>
      </c>
      <c r="AJ3116" s="485"/>
    </row>
    <row r="3117" spans="2:36">
      <c r="B3117" s="136" t="s">
        <v>470</v>
      </c>
      <c r="C3117" s="132" t="s">
        <v>1369</v>
      </c>
      <c r="D3117" s="132" t="s">
        <v>283</v>
      </c>
      <c r="E3117" s="508">
        <v>3.86</v>
      </c>
      <c r="F3117" s="508">
        <v>4.6639999999999997</v>
      </c>
      <c r="G3117" s="508">
        <v>4.6260000000000003</v>
      </c>
      <c r="H3117" s="508">
        <v>4.6230000000000002</v>
      </c>
      <c r="I3117" s="508">
        <v>4.63</v>
      </c>
      <c r="J3117" s="508">
        <v>4.8410000000000002</v>
      </c>
      <c r="K3117" s="508">
        <v>4.8220000000000001</v>
      </c>
      <c r="L3117" s="508">
        <v>4.7889999999999997</v>
      </c>
      <c r="M3117" s="508">
        <v>4.7469999999999999</v>
      </c>
      <c r="N3117" s="508">
        <v>4.7089999999999996</v>
      </c>
      <c r="O3117" s="508">
        <v>4.6440000000000001</v>
      </c>
      <c r="P3117" s="508">
        <v>2.78</v>
      </c>
      <c r="Q3117" s="508">
        <v>2.694</v>
      </c>
      <c r="R3117" s="508">
        <v>2.629</v>
      </c>
      <c r="S3117" s="508">
        <v>2.6160000000000001</v>
      </c>
      <c r="T3117" s="508">
        <v>2.552</v>
      </c>
      <c r="U3117" s="508">
        <v>1.5609999999999999</v>
      </c>
      <c r="V3117" s="508">
        <v>1.53</v>
      </c>
      <c r="W3117" s="508">
        <v>1.6</v>
      </c>
      <c r="X3117" s="508">
        <v>0.84599999999999997</v>
      </c>
      <c r="Y3117" s="508">
        <v>0.63600000000000001</v>
      </c>
      <c r="Z3117" s="508">
        <v>0.45</v>
      </c>
      <c r="AA3117" s="508">
        <v>0.372</v>
      </c>
      <c r="AB3117" s="508">
        <v>0.27200000000000002</v>
      </c>
      <c r="AC3117" s="508">
        <v>0.22</v>
      </c>
      <c r="AD3117" s="508">
        <v>0.16900000000000001</v>
      </c>
      <c r="AE3117" s="508">
        <v>0.17100000000000001</v>
      </c>
      <c r="AF3117" s="508">
        <v>0.114</v>
      </c>
      <c r="AG3117" s="508">
        <v>0.12</v>
      </c>
      <c r="AH3117" s="508">
        <v>0.11899999999999999</v>
      </c>
      <c r="AI3117" s="492">
        <v>0.11799999999999999</v>
      </c>
      <c r="AJ3117" s="485"/>
    </row>
    <row r="3118" spans="2:36">
      <c r="B3118" s="136" t="s">
        <v>471</v>
      </c>
      <c r="C3118" s="132" t="s">
        <v>1369</v>
      </c>
      <c r="D3118" s="132" t="s">
        <v>283</v>
      </c>
      <c r="E3118" s="508">
        <v>6.0019999999999998</v>
      </c>
      <c r="F3118" s="508">
        <v>6.3680000000000003</v>
      </c>
      <c r="G3118" s="508">
        <v>6.359</v>
      </c>
      <c r="H3118" s="508">
        <v>6.3579999999999997</v>
      </c>
      <c r="I3118" s="508">
        <v>6.359</v>
      </c>
      <c r="J3118" s="508">
        <v>6.6820000000000004</v>
      </c>
      <c r="K3118" s="508">
        <v>6.6550000000000002</v>
      </c>
      <c r="L3118" s="508">
        <v>6.6230000000000002</v>
      </c>
      <c r="M3118" s="508">
        <v>6.569</v>
      </c>
      <c r="N3118" s="508">
        <v>6.4340000000000002</v>
      </c>
      <c r="O3118" s="508">
        <v>6.383</v>
      </c>
      <c r="P3118" s="508">
        <v>3.097</v>
      </c>
      <c r="Q3118" s="508">
        <v>3.0030000000000001</v>
      </c>
      <c r="R3118" s="508">
        <v>2.94</v>
      </c>
      <c r="S3118" s="508">
        <v>2.9159999999999999</v>
      </c>
      <c r="T3118" s="508">
        <v>2.8530000000000002</v>
      </c>
      <c r="U3118" s="508">
        <v>1.73</v>
      </c>
      <c r="V3118" s="508">
        <v>1.6930000000000001</v>
      </c>
      <c r="W3118" s="508">
        <v>1.77</v>
      </c>
      <c r="X3118" s="508">
        <v>0.92100000000000004</v>
      </c>
      <c r="Y3118" s="508">
        <v>0.68700000000000006</v>
      </c>
      <c r="Z3118" s="508">
        <v>0.48099999999999998</v>
      </c>
      <c r="AA3118" s="508">
        <v>0.4</v>
      </c>
      <c r="AB3118" s="508">
        <v>0.29399999999999998</v>
      </c>
      <c r="AC3118" s="508">
        <v>0.24199999999999999</v>
      </c>
      <c r="AD3118" s="508">
        <v>0.17899999999999999</v>
      </c>
      <c r="AE3118" s="508">
        <v>0.18099999999999999</v>
      </c>
      <c r="AF3118" s="508">
        <v>0.108</v>
      </c>
      <c r="AG3118" s="508">
        <v>0.107</v>
      </c>
      <c r="AH3118" s="508">
        <v>0.107</v>
      </c>
      <c r="AI3118" s="492">
        <v>0.107</v>
      </c>
      <c r="AJ3118" s="485"/>
    </row>
    <row r="3119" spans="2:36">
      <c r="B3119" s="136" t="s">
        <v>472</v>
      </c>
      <c r="C3119" s="132" t="s">
        <v>1369</v>
      </c>
      <c r="D3119" s="132" t="s">
        <v>283</v>
      </c>
      <c r="E3119" s="508">
        <v>6.5650000000000004</v>
      </c>
      <c r="F3119" s="508">
        <v>6.7519999999999998</v>
      </c>
      <c r="G3119" s="508">
        <v>6.7430000000000003</v>
      </c>
      <c r="H3119" s="508">
        <v>6.742</v>
      </c>
      <c r="I3119" s="508">
        <v>6.7439999999999998</v>
      </c>
      <c r="J3119" s="508">
        <v>7.0590000000000002</v>
      </c>
      <c r="K3119" s="508">
        <v>7.03</v>
      </c>
      <c r="L3119" s="508">
        <v>6.9980000000000002</v>
      </c>
      <c r="M3119" s="508">
        <v>6.9429999999999996</v>
      </c>
      <c r="N3119" s="508">
        <v>6.82</v>
      </c>
      <c r="O3119" s="508">
        <v>6.77</v>
      </c>
      <c r="P3119" s="508">
        <v>3.3029999999999999</v>
      </c>
      <c r="Q3119" s="508">
        <v>3.2109999999999999</v>
      </c>
      <c r="R3119" s="508">
        <v>3.1469999999999998</v>
      </c>
      <c r="S3119" s="508">
        <v>3.1219999999999999</v>
      </c>
      <c r="T3119" s="508">
        <v>3.0590000000000002</v>
      </c>
      <c r="U3119" s="508">
        <v>1.8939999999999999</v>
      </c>
      <c r="V3119" s="508">
        <v>1.853</v>
      </c>
      <c r="W3119" s="508">
        <v>1.9379999999999999</v>
      </c>
      <c r="X3119" s="508">
        <v>1.012</v>
      </c>
      <c r="Y3119" s="508">
        <v>0.76200000000000001</v>
      </c>
      <c r="Z3119" s="508">
        <v>0.53700000000000003</v>
      </c>
      <c r="AA3119" s="508">
        <v>0.45100000000000001</v>
      </c>
      <c r="AB3119" s="508">
        <v>0.33600000000000002</v>
      </c>
      <c r="AC3119" s="508">
        <v>0.28100000000000003</v>
      </c>
      <c r="AD3119" s="508">
        <v>0.21099999999999999</v>
      </c>
      <c r="AE3119" s="508">
        <v>0.21199999999999999</v>
      </c>
      <c r="AF3119" s="508">
        <v>0.13</v>
      </c>
      <c r="AG3119" s="508">
        <v>0.129</v>
      </c>
      <c r="AH3119" s="508">
        <v>0.128</v>
      </c>
      <c r="AI3119" s="492">
        <v>0.127</v>
      </c>
      <c r="AJ3119" s="485"/>
    </row>
    <row r="3120" spans="2:36">
      <c r="B3120" s="136" t="s">
        <v>473</v>
      </c>
      <c r="C3120" s="132" t="s">
        <v>1369</v>
      </c>
      <c r="D3120" s="132" t="s">
        <v>283</v>
      </c>
      <c r="E3120" s="508">
        <v>5.6660000000000004</v>
      </c>
      <c r="F3120" s="508">
        <v>6.1120000000000001</v>
      </c>
      <c r="G3120" s="508">
        <v>5.7679999999999998</v>
      </c>
      <c r="H3120" s="508">
        <v>5.766</v>
      </c>
      <c r="I3120" s="508">
        <v>5.7690000000000001</v>
      </c>
      <c r="J3120" s="508">
        <v>6.0579999999999998</v>
      </c>
      <c r="K3120" s="508">
        <v>6.0339999999999998</v>
      </c>
      <c r="L3120" s="508">
        <v>6.0010000000000003</v>
      </c>
      <c r="M3120" s="508">
        <v>5.952</v>
      </c>
      <c r="N3120" s="508">
        <v>5.8460000000000001</v>
      </c>
      <c r="O3120" s="508">
        <v>5.79</v>
      </c>
      <c r="P3120" s="508">
        <v>3.0289999999999999</v>
      </c>
      <c r="Q3120" s="508">
        <v>2.9350000000000001</v>
      </c>
      <c r="R3120" s="508">
        <v>2.871</v>
      </c>
      <c r="S3120" s="508">
        <v>2.85</v>
      </c>
      <c r="T3120" s="508">
        <v>2.7869999999999999</v>
      </c>
      <c r="U3120" s="508">
        <v>1.724</v>
      </c>
      <c r="V3120" s="508">
        <v>1.6879999999999999</v>
      </c>
      <c r="W3120" s="508">
        <v>1.7649999999999999</v>
      </c>
      <c r="X3120" s="508">
        <v>0.92500000000000004</v>
      </c>
      <c r="Y3120" s="508">
        <v>0.69199999999999995</v>
      </c>
      <c r="Z3120" s="508">
        <v>0.48799999999999999</v>
      </c>
      <c r="AA3120" s="508">
        <v>0.40500000000000003</v>
      </c>
      <c r="AB3120" s="508">
        <v>0.29899999999999999</v>
      </c>
      <c r="AC3120" s="508">
        <v>0.246</v>
      </c>
      <c r="AD3120" s="508">
        <v>0.185</v>
      </c>
      <c r="AE3120" s="508">
        <v>0.187</v>
      </c>
      <c r="AF3120" s="508">
        <v>0.11700000000000001</v>
      </c>
      <c r="AG3120" s="508">
        <v>0.11600000000000001</v>
      </c>
      <c r="AH3120" s="508">
        <v>0.11600000000000001</v>
      </c>
      <c r="AI3120" s="492">
        <v>0.11600000000000001</v>
      </c>
      <c r="AJ3120" s="485"/>
    </row>
    <row r="3121" spans="2:36">
      <c r="B3121" s="136" t="s">
        <v>474</v>
      </c>
      <c r="C3121" s="132" t="s">
        <v>1369</v>
      </c>
      <c r="D3121" s="132" t="s">
        <v>283</v>
      </c>
      <c r="E3121" s="508">
        <v>5.9329999999999998</v>
      </c>
      <c r="F3121" s="508">
        <v>6.29</v>
      </c>
      <c r="G3121" s="508">
        <v>6.282</v>
      </c>
      <c r="H3121" s="508">
        <v>6.2809999999999997</v>
      </c>
      <c r="I3121" s="508">
        <v>6.282</v>
      </c>
      <c r="J3121" s="508">
        <v>6.5970000000000004</v>
      </c>
      <c r="K3121" s="508">
        <v>6.569</v>
      </c>
      <c r="L3121" s="508">
        <v>6.5380000000000003</v>
      </c>
      <c r="M3121" s="508">
        <v>6.484</v>
      </c>
      <c r="N3121" s="508">
        <v>6.3630000000000004</v>
      </c>
      <c r="O3121" s="508">
        <v>6.3120000000000003</v>
      </c>
      <c r="P3121" s="508">
        <v>3.109</v>
      </c>
      <c r="Q3121" s="508">
        <v>3.0150000000000001</v>
      </c>
      <c r="R3121" s="508">
        <v>2.9529999999999998</v>
      </c>
      <c r="S3121" s="508">
        <v>2.9279999999999999</v>
      </c>
      <c r="T3121" s="508">
        <v>2.8660000000000001</v>
      </c>
      <c r="U3121" s="508">
        <v>1.7989999999999999</v>
      </c>
      <c r="V3121" s="508">
        <v>1.76</v>
      </c>
      <c r="W3121" s="508">
        <v>1.84</v>
      </c>
      <c r="X3121" s="508">
        <v>0.95599999999999996</v>
      </c>
      <c r="Y3121" s="508">
        <v>0.71299999999999997</v>
      </c>
      <c r="Z3121" s="508">
        <v>0.499</v>
      </c>
      <c r="AA3121" s="508">
        <v>0.41499999999999998</v>
      </c>
      <c r="AB3121" s="508">
        <v>0.30599999999999999</v>
      </c>
      <c r="AC3121" s="508">
        <v>0.253</v>
      </c>
      <c r="AD3121" s="508">
        <v>0.187</v>
      </c>
      <c r="AE3121" s="508">
        <v>0.188</v>
      </c>
      <c r="AF3121" s="508">
        <v>0.111</v>
      </c>
      <c r="AG3121" s="508">
        <v>0.11</v>
      </c>
      <c r="AH3121" s="508">
        <v>0.11</v>
      </c>
      <c r="AI3121" s="492">
        <v>0.109</v>
      </c>
      <c r="AJ3121" s="485"/>
    </row>
    <row r="3122" spans="2:36">
      <c r="B3122" s="136" t="s">
        <v>475</v>
      </c>
      <c r="C3122" s="132" t="s">
        <v>1369</v>
      </c>
      <c r="D3122" s="132" t="s">
        <v>283</v>
      </c>
      <c r="E3122" s="508">
        <v>5.7679999999999998</v>
      </c>
      <c r="F3122" s="508">
        <v>6.1470000000000002</v>
      </c>
      <c r="G3122" s="508">
        <v>6.133</v>
      </c>
      <c r="H3122" s="508">
        <v>6.1319999999999997</v>
      </c>
      <c r="I3122" s="508">
        <v>6.1340000000000003</v>
      </c>
      <c r="J3122" s="508">
        <v>6.431</v>
      </c>
      <c r="K3122" s="508">
        <v>6.3579999999999997</v>
      </c>
      <c r="L3122" s="508">
        <v>6.3259999999999996</v>
      </c>
      <c r="M3122" s="508">
        <v>6.274</v>
      </c>
      <c r="N3122" s="508">
        <v>6.1660000000000004</v>
      </c>
      <c r="O3122" s="508">
        <v>6.1130000000000004</v>
      </c>
      <c r="P3122" s="508">
        <v>2.9940000000000002</v>
      </c>
      <c r="Q3122" s="508">
        <v>2.9060000000000001</v>
      </c>
      <c r="R3122" s="508">
        <v>2.843</v>
      </c>
      <c r="S3122" s="508">
        <v>2.823</v>
      </c>
      <c r="T3122" s="508">
        <v>2.7610000000000001</v>
      </c>
      <c r="U3122" s="508">
        <v>1.7430000000000001</v>
      </c>
      <c r="V3122" s="508">
        <v>1.706</v>
      </c>
      <c r="W3122" s="508">
        <v>1.7829999999999999</v>
      </c>
      <c r="X3122" s="508">
        <v>0.93400000000000005</v>
      </c>
      <c r="Y3122" s="508">
        <v>0.70099999999999996</v>
      </c>
      <c r="Z3122" s="508">
        <v>0.495</v>
      </c>
      <c r="AA3122" s="508">
        <v>0.41199999999999998</v>
      </c>
      <c r="AB3122" s="508">
        <v>0.30499999999999999</v>
      </c>
      <c r="AC3122" s="508">
        <v>0.252</v>
      </c>
      <c r="AD3122" s="508">
        <v>0.19</v>
      </c>
      <c r="AE3122" s="508">
        <v>0.192</v>
      </c>
      <c r="AF3122" s="508">
        <v>0.121</v>
      </c>
      <c r="AG3122" s="508">
        <v>0.121</v>
      </c>
      <c r="AH3122" s="508">
        <v>0.12</v>
      </c>
      <c r="AI3122" s="492">
        <v>0.11899999999999999</v>
      </c>
      <c r="AJ3122" s="485"/>
    </row>
    <row r="3123" spans="2:36">
      <c r="B3123" s="136" t="s">
        <v>476</v>
      </c>
      <c r="C3123" s="132" t="s">
        <v>1369</v>
      </c>
      <c r="D3123" s="132" t="s">
        <v>283</v>
      </c>
      <c r="E3123" s="508">
        <v>6.2240000000000002</v>
      </c>
      <c r="F3123" s="508">
        <v>6.2119999999999997</v>
      </c>
      <c r="G3123" s="508">
        <v>6.1970000000000001</v>
      </c>
      <c r="H3123" s="508">
        <v>6.1959999999999997</v>
      </c>
      <c r="I3123" s="508">
        <v>6.1980000000000004</v>
      </c>
      <c r="J3123" s="508">
        <v>6.5090000000000003</v>
      </c>
      <c r="K3123" s="508">
        <v>6.4820000000000002</v>
      </c>
      <c r="L3123" s="508">
        <v>6.45</v>
      </c>
      <c r="M3123" s="508">
        <v>6.3970000000000002</v>
      </c>
      <c r="N3123" s="508">
        <v>6.282</v>
      </c>
      <c r="O3123" s="508">
        <v>6.2279999999999998</v>
      </c>
      <c r="P3123" s="508">
        <v>2.9169999999999998</v>
      </c>
      <c r="Q3123" s="508">
        <v>2.8279999999999998</v>
      </c>
      <c r="R3123" s="508">
        <v>2.7629999999999999</v>
      </c>
      <c r="S3123" s="508">
        <v>2.746</v>
      </c>
      <c r="T3123" s="508">
        <v>2.6829999999999998</v>
      </c>
      <c r="U3123" s="508">
        <v>1.647</v>
      </c>
      <c r="V3123" s="508">
        <v>1.613</v>
      </c>
      <c r="W3123" s="508">
        <v>1.6870000000000001</v>
      </c>
      <c r="X3123" s="508">
        <v>0.88700000000000001</v>
      </c>
      <c r="Y3123" s="508">
        <v>0.66600000000000004</v>
      </c>
      <c r="Z3123" s="508">
        <v>0.47</v>
      </c>
      <c r="AA3123" s="508">
        <v>0.39</v>
      </c>
      <c r="AB3123" s="508">
        <v>0.28599999999999998</v>
      </c>
      <c r="AC3123" s="508">
        <v>0.23400000000000001</v>
      </c>
      <c r="AD3123" s="508">
        <v>0.17799999999999999</v>
      </c>
      <c r="AE3123" s="508">
        <v>0.17899999999999999</v>
      </c>
      <c r="AF3123" s="508">
        <v>0.115</v>
      </c>
      <c r="AG3123" s="508">
        <v>0.114</v>
      </c>
      <c r="AH3123" s="508">
        <v>0.115</v>
      </c>
      <c r="AI3123" s="492">
        <v>0.11799999999999999</v>
      </c>
      <c r="AJ3123" s="485"/>
    </row>
    <row r="3124" spans="2:36">
      <c r="B3124" s="136" t="s">
        <v>478</v>
      </c>
      <c r="C3124" s="132" t="s">
        <v>1369</v>
      </c>
      <c r="D3124" s="132" t="s">
        <v>283</v>
      </c>
      <c r="E3124" s="508">
        <v>1.8440000000000001</v>
      </c>
      <c r="F3124" s="508">
        <v>3.0430000000000001</v>
      </c>
      <c r="G3124" s="508">
        <v>2.9820000000000002</v>
      </c>
      <c r="H3124" s="508">
        <v>2.976</v>
      </c>
      <c r="I3124" s="508">
        <v>2.9870000000000001</v>
      </c>
      <c r="J3124" s="508">
        <v>3.09</v>
      </c>
      <c r="K3124" s="508">
        <v>3.0790000000000002</v>
      </c>
      <c r="L3124" s="508">
        <v>3.0459999999999998</v>
      </c>
      <c r="M3124" s="508">
        <v>3.0139999999999998</v>
      </c>
      <c r="N3124" s="508">
        <v>3.073</v>
      </c>
      <c r="O3124" s="508">
        <v>2.9969999999999999</v>
      </c>
      <c r="P3124" s="508">
        <v>2.5209999999999999</v>
      </c>
      <c r="Q3124" s="508">
        <v>2.4409999999999998</v>
      </c>
      <c r="R3124" s="508">
        <v>2.371</v>
      </c>
      <c r="S3124" s="508">
        <v>2.3610000000000002</v>
      </c>
      <c r="T3124" s="508">
        <v>2.2930000000000001</v>
      </c>
      <c r="U3124" s="508">
        <v>1.411</v>
      </c>
      <c r="V3124" s="508">
        <v>1.3839999999999999</v>
      </c>
      <c r="W3124" s="508">
        <v>1.4430000000000001</v>
      </c>
      <c r="X3124" s="508">
        <v>0.77300000000000002</v>
      </c>
      <c r="Y3124" s="508">
        <v>0.58299999999999996</v>
      </c>
      <c r="Z3124" s="508">
        <v>0.42</v>
      </c>
      <c r="AA3124" s="508">
        <v>0.34499999999999997</v>
      </c>
      <c r="AB3124" s="508">
        <v>0.255</v>
      </c>
      <c r="AC3124" s="508">
        <v>0.20399999999999999</v>
      </c>
      <c r="AD3124" s="508">
        <v>0.16200000000000001</v>
      </c>
      <c r="AE3124" s="508">
        <v>0.20200000000000001</v>
      </c>
      <c r="AF3124" s="508">
        <v>0.122</v>
      </c>
      <c r="AG3124" s="508">
        <v>0.121</v>
      </c>
      <c r="AH3124" s="508">
        <v>0.12</v>
      </c>
      <c r="AI3124" s="492">
        <v>0.12</v>
      </c>
      <c r="AJ3124" s="485"/>
    </row>
    <row r="3125" spans="2:36">
      <c r="B3125" s="136" t="s">
        <v>479</v>
      </c>
      <c r="C3125" s="132" t="s">
        <v>1369</v>
      </c>
      <c r="D3125" s="132" t="s">
        <v>283</v>
      </c>
      <c r="E3125" s="508">
        <v>5.8959999999999999</v>
      </c>
      <c r="F3125" s="508">
        <v>6.2930000000000001</v>
      </c>
      <c r="G3125" s="508">
        <v>6.2850000000000001</v>
      </c>
      <c r="H3125" s="508">
        <v>6.2839999999999998</v>
      </c>
      <c r="I3125" s="508">
        <v>6.2850000000000001</v>
      </c>
      <c r="J3125" s="508">
        <v>6.5960000000000001</v>
      </c>
      <c r="K3125" s="508">
        <v>6.569</v>
      </c>
      <c r="L3125" s="508">
        <v>6.5359999999999996</v>
      </c>
      <c r="M3125" s="508">
        <v>6.4829999999999997</v>
      </c>
      <c r="N3125" s="508">
        <v>6.3769999999999998</v>
      </c>
      <c r="O3125" s="508">
        <v>6.3250000000000002</v>
      </c>
      <c r="P3125" s="508">
        <v>3.1179999999999999</v>
      </c>
      <c r="Q3125" s="508">
        <v>3.0249999999999999</v>
      </c>
      <c r="R3125" s="508">
        <v>2.9620000000000002</v>
      </c>
      <c r="S3125" s="508">
        <v>2.9350000000000001</v>
      </c>
      <c r="T3125" s="508">
        <v>2.8740000000000001</v>
      </c>
      <c r="U3125" s="508">
        <v>1.7450000000000001</v>
      </c>
      <c r="V3125" s="508">
        <v>1.7070000000000001</v>
      </c>
      <c r="W3125" s="508">
        <v>1.784</v>
      </c>
      <c r="X3125" s="508">
        <v>0.92500000000000004</v>
      </c>
      <c r="Y3125" s="508">
        <v>0.69</v>
      </c>
      <c r="Z3125" s="508">
        <v>0.48299999999999998</v>
      </c>
      <c r="AA3125" s="508">
        <v>0.40300000000000002</v>
      </c>
      <c r="AB3125" s="508">
        <v>0.29599999999999999</v>
      </c>
      <c r="AC3125" s="508">
        <v>0.246</v>
      </c>
      <c r="AD3125" s="508">
        <v>0.18099999999999999</v>
      </c>
      <c r="AE3125" s="508">
        <v>0.182</v>
      </c>
      <c r="AF3125" s="508">
        <v>0.107</v>
      </c>
      <c r="AG3125" s="508">
        <v>0.106</v>
      </c>
      <c r="AH3125" s="508">
        <v>0.106</v>
      </c>
      <c r="AI3125" s="492">
        <v>0.106</v>
      </c>
      <c r="AJ3125" s="485"/>
    </row>
    <row r="3126" spans="2:36">
      <c r="B3126" s="136" t="s">
        <v>480</v>
      </c>
      <c r="C3126" s="132" t="s">
        <v>1369</v>
      </c>
      <c r="D3126" s="132" t="s">
        <v>283</v>
      </c>
      <c r="E3126" s="508">
        <v>6.484</v>
      </c>
      <c r="F3126" s="508">
        <v>6.7140000000000004</v>
      </c>
      <c r="G3126" s="508">
        <v>6.7050000000000001</v>
      </c>
      <c r="H3126" s="508">
        <v>6.7039999999999997</v>
      </c>
      <c r="I3126" s="508">
        <v>6.7060000000000004</v>
      </c>
      <c r="J3126" s="508">
        <v>7.0149999999999997</v>
      </c>
      <c r="K3126" s="508">
        <v>6.9859999999999998</v>
      </c>
      <c r="L3126" s="508">
        <v>6.9539999999999997</v>
      </c>
      <c r="M3126" s="508">
        <v>6.899</v>
      </c>
      <c r="N3126" s="508">
        <v>6.7969999999999997</v>
      </c>
      <c r="O3126" s="508">
        <v>6.7469999999999999</v>
      </c>
      <c r="P3126" s="508">
        <v>3.2919999999999998</v>
      </c>
      <c r="Q3126" s="508">
        <v>3.2010000000000001</v>
      </c>
      <c r="R3126" s="508">
        <v>3.137</v>
      </c>
      <c r="S3126" s="508">
        <v>3.1110000000000002</v>
      </c>
      <c r="T3126" s="508">
        <v>3.0489999999999999</v>
      </c>
      <c r="U3126" s="508">
        <v>1.8939999999999999</v>
      </c>
      <c r="V3126" s="508">
        <v>1.8520000000000001</v>
      </c>
      <c r="W3126" s="508">
        <v>1.9359999999999999</v>
      </c>
      <c r="X3126" s="508">
        <v>1.0089999999999999</v>
      </c>
      <c r="Y3126" s="508">
        <v>0.75900000000000001</v>
      </c>
      <c r="Z3126" s="508">
        <v>0.53500000000000003</v>
      </c>
      <c r="AA3126" s="508">
        <v>0.45</v>
      </c>
      <c r="AB3126" s="508">
        <v>0.33500000000000002</v>
      </c>
      <c r="AC3126" s="508">
        <v>0.28100000000000003</v>
      </c>
      <c r="AD3126" s="508">
        <v>0.21</v>
      </c>
      <c r="AE3126" s="508">
        <v>0.21199999999999999</v>
      </c>
      <c r="AF3126" s="508">
        <v>0.128</v>
      </c>
      <c r="AG3126" s="508">
        <v>0.127</v>
      </c>
      <c r="AH3126" s="508">
        <v>0.127</v>
      </c>
      <c r="AI3126" s="492">
        <v>0.126</v>
      </c>
      <c r="AJ3126" s="485"/>
    </row>
    <row r="3127" spans="2:36">
      <c r="B3127" s="136" t="s">
        <v>481</v>
      </c>
      <c r="C3127" s="132" t="s">
        <v>1369</v>
      </c>
      <c r="D3127" s="132" t="s">
        <v>283</v>
      </c>
      <c r="E3127" s="508">
        <v>5.9939999999999998</v>
      </c>
      <c r="F3127" s="508">
        <v>6.3760000000000003</v>
      </c>
      <c r="G3127" s="508">
        <v>6.3680000000000003</v>
      </c>
      <c r="H3127" s="508">
        <v>6.367</v>
      </c>
      <c r="I3127" s="508">
        <v>6.3680000000000003</v>
      </c>
      <c r="J3127" s="508">
        <v>6.6879999999999997</v>
      </c>
      <c r="K3127" s="508">
        <v>6.66</v>
      </c>
      <c r="L3127" s="508">
        <v>6.6280000000000001</v>
      </c>
      <c r="M3127" s="508">
        <v>6.5739999999999998</v>
      </c>
      <c r="N3127" s="508">
        <v>6.4560000000000004</v>
      </c>
      <c r="O3127" s="508">
        <v>6.4039999999999999</v>
      </c>
      <c r="P3127" s="508">
        <v>3.0030000000000001</v>
      </c>
      <c r="Q3127" s="508">
        <v>2.9129999999999998</v>
      </c>
      <c r="R3127" s="508">
        <v>2.8490000000000002</v>
      </c>
      <c r="S3127" s="508">
        <v>2.827</v>
      </c>
      <c r="T3127" s="508">
        <v>2.7650000000000001</v>
      </c>
      <c r="U3127" s="508">
        <v>1.698</v>
      </c>
      <c r="V3127" s="508">
        <v>1.6619999999999999</v>
      </c>
      <c r="W3127" s="508">
        <v>1.738</v>
      </c>
      <c r="X3127" s="508">
        <v>0.90600000000000003</v>
      </c>
      <c r="Y3127" s="508">
        <v>0.67800000000000005</v>
      </c>
      <c r="Z3127" s="508">
        <v>0.47599999999999998</v>
      </c>
      <c r="AA3127" s="508">
        <v>0.39600000000000002</v>
      </c>
      <c r="AB3127" s="508">
        <v>0.29099999999999998</v>
      </c>
      <c r="AC3127" s="508">
        <v>0.23899999999999999</v>
      </c>
      <c r="AD3127" s="508">
        <v>0.17899999999999999</v>
      </c>
      <c r="AE3127" s="508">
        <v>0.18</v>
      </c>
      <c r="AF3127" s="508">
        <v>0.11</v>
      </c>
      <c r="AG3127" s="508">
        <v>0.11</v>
      </c>
      <c r="AH3127" s="508">
        <v>0.111</v>
      </c>
      <c r="AI3127" s="492">
        <v>0.111</v>
      </c>
      <c r="AJ3127" s="485"/>
    </row>
    <row r="3128" spans="2:36">
      <c r="B3128" s="136" t="s">
        <v>482</v>
      </c>
      <c r="C3128" s="132" t="s">
        <v>1369</v>
      </c>
      <c r="D3128" s="132" t="s">
        <v>283</v>
      </c>
      <c r="E3128" s="508">
        <v>5.7869999999999999</v>
      </c>
      <c r="F3128" s="508">
        <v>6.1980000000000004</v>
      </c>
      <c r="G3128" s="508">
        <v>5.51</v>
      </c>
      <c r="H3128" s="508">
        <v>5.5190000000000001</v>
      </c>
      <c r="I3128" s="508">
        <v>5.5389999999999997</v>
      </c>
      <c r="J3128" s="508">
        <v>5.81</v>
      </c>
      <c r="K3128" s="508">
        <v>5.7880000000000003</v>
      </c>
      <c r="L3128" s="508">
        <v>5.7640000000000002</v>
      </c>
      <c r="M3128" s="508">
        <v>5.7210000000000001</v>
      </c>
      <c r="N3128" s="508">
        <v>5.6440000000000001</v>
      </c>
      <c r="O3128" s="508">
        <v>5.5949999999999998</v>
      </c>
      <c r="P3128" s="508">
        <v>2.8759999999999999</v>
      </c>
      <c r="Q3128" s="508">
        <v>2.79</v>
      </c>
      <c r="R3128" s="508">
        <v>2.73</v>
      </c>
      <c r="S3128" s="508">
        <v>2.7109999999999999</v>
      </c>
      <c r="T3128" s="508">
        <v>2.65</v>
      </c>
      <c r="U3128" s="508">
        <v>1.619</v>
      </c>
      <c r="V3128" s="508">
        <v>1.585</v>
      </c>
      <c r="W3128" s="508">
        <v>1.659</v>
      </c>
      <c r="X3128" s="508">
        <v>0.86299999999999999</v>
      </c>
      <c r="Y3128" s="508">
        <v>0.64400000000000002</v>
      </c>
      <c r="Z3128" s="508">
        <v>0.45300000000000001</v>
      </c>
      <c r="AA3128" s="508">
        <v>0.375</v>
      </c>
      <c r="AB3128" s="508">
        <v>0.27400000000000002</v>
      </c>
      <c r="AC3128" s="508">
        <v>0.224</v>
      </c>
      <c r="AD3128" s="508">
        <v>0.16700000000000001</v>
      </c>
      <c r="AE3128" s="508">
        <v>0.16800000000000001</v>
      </c>
      <c r="AF3128" s="508">
        <v>0.10299999999999999</v>
      </c>
      <c r="AG3128" s="508">
        <v>0.10199999999999999</v>
      </c>
      <c r="AH3128" s="508">
        <v>0.105</v>
      </c>
      <c r="AI3128" s="492">
        <v>0.104</v>
      </c>
      <c r="AJ3128" s="485"/>
    </row>
    <row r="3129" spans="2:36">
      <c r="B3129" s="136" t="s">
        <v>483</v>
      </c>
      <c r="C3129" s="132" t="s">
        <v>1369</v>
      </c>
      <c r="D3129" s="132" t="s">
        <v>283</v>
      </c>
      <c r="E3129" s="508">
        <v>5.6760000000000002</v>
      </c>
      <c r="F3129" s="508">
        <v>6.1529999999999996</v>
      </c>
      <c r="G3129" s="508">
        <v>6.1349999999999998</v>
      </c>
      <c r="H3129" s="508">
        <v>6.1340000000000003</v>
      </c>
      <c r="I3129" s="508">
        <v>6.1369999999999996</v>
      </c>
      <c r="J3129" s="508">
        <v>6.4489999999999998</v>
      </c>
      <c r="K3129" s="508">
        <v>6.4240000000000004</v>
      </c>
      <c r="L3129" s="508">
        <v>6.391</v>
      </c>
      <c r="M3129" s="508">
        <v>6.3390000000000004</v>
      </c>
      <c r="N3129" s="508">
        <v>6.22</v>
      </c>
      <c r="O3129" s="508">
        <v>6.1639999999999997</v>
      </c>
      <c r="P3129" s="508">
        <v>3.0190000000000001</v>
      </c>
      <c r="Q3129" s="508">
        <v>2.9260000000000002</v>
      </c>
      <c r="R3129" s="508">
        <v>2.8610000000000002</v>
      </c>
      <c r="S3129" s="508">
        <v>2.843</v>
      </c>
      <c r="T3129" s="508">
        <v>2.778</v>
      </c>
      <c r="U3129" s="508">
        <v>1.7410000000000001</v>
      </c>
      <c r="V3129" s="508">
        <v>1.706</v>
      </c>
      <c r="W3129" s="508">
        <v>1.7829999999999999</v>
      </c>
      <c r="X3129" s="508">
        <v>0.93700000000000006</v>
      </c>
      <c r="Y3129" s="508">
        <v>0.70199999999999996</v>
      </c>
      <c r="Z3129" s="508">
        <v>0.5</v>
      </c>
      <c r="AA3129" s="508">
        <v>0.41499999999999998</v>
      </c>
      <c r="AB3129" s="508">
        <v>0.307</v>
      </c>
      <c r="AC3129" s="508">
        <v>0.252</v>
      </c>
      <c r="AD3129" s="508">
        <v>0.191</v>
      </c>
      <c r="AE3129" s="508">
        <v>0.193</v>
      </c>
      <c r="AF3129" s="508">
        <v>0.122</v>
      </c>
      <c r="AG3129" s="508">
        <v>0.121</v>
      </c>
      <c r="AH3129" s="508">
        <v>0.12</v>
      </c>
      <c r="AI3129" s="492">
        <v>0.12</v>
      </c>
      <c r="AJ3129" s="485"/>
    </row>
    <row r="3130" spans="2:36">
      <c r="B3130" s="136" t="s">
        <v>484</v>
      </c>
      <c r="C3130" s="132" t="s">
        <v>1369</v>
      </c>
      <c r="D3130" s="132" t="s">
        <v>283</v>
      </c>
      <c r="E3130" s="508">
        <v>6.5679999999999996</v>
      </c>
      <c r="F3130" s="508">
        <v>6.7720000000000002</v>
      </c>
      <c r="G3130" s="508">
        <v>6.7629999999999999</v>
      </c>
      <c r="H3130" s="508">
        <v>6.7629999999999999</v>
      </c>
      <c r="I3130" s="508">
        <v>6.7640000000000002</v>
      </c>
      <c r="J3130" s="508">
        <v>7.0789999999999997</v>
      </c>
      <c r="K3130" s="508">
        <v>7.0510000000000002</v>
      </c>
      <c r="L3130" s="508">
        <v>7.0179999999999998</v>
      </c>
      <c r="M3130" s="508">
        <v>6.9630000000000001</v>
      </c>
      <c r="N3130" s="508">
        <v>6.8440000000000003</v>
      </c>
      <c r="O3130" s="508">
        <v>6.7939999999999996</v>
      </c>
      <c r="P3130" s="508">
        <v>2.8839999999999999</v>
      </c>
      <c r="Q3130" s="508">
        <v>2.8029999999999999</v>
      </c>
      <c r="R3130" s="508">
        <v>2.7389999999999999</v>
      </c>
      <c r="S3130" s="508">
        <v>2.7250000000000001</v>
      </c>
      <c r="T3130" s="508">
        <v>2.6619999999999999</v>
      </c>
      <c r="U3130" s="508">
        <v>1.6359999999999999</v>
      </c>
      <c r="V3130" s="508">
        <v>1.603</v>
      </c>
      <c r="W3130" s="508">
        <v>1.675</v>
      </c>
      <c r="X3130" s="508">
        <v>0.88500000000000001</v>
      </c>
      <c r="Y3130" s="508">
        <v>0.66700000000000004</v>
      </c>
      <c r="Z3130" s="508">
        <v>0.47399999999999998</v>
      </c>
      <c r="AA3130" s="508">
        <v>0.39500000000000002</v>
      </c>
      <c r="AB3130" s="508">
        <v>0.29099999999999998</v>
      </c>
      <c r="AC3130" s="508">
        <v>0.23899999999999999</v>
      </c>
      <c r="AD3130" s="508">
        <v>0.184</v>
      </c>
      <c r="AE3130" s="508">
        <v>0.185</v>
      </c>
      <c r="AF3130" s="508">
        <v>0.123</v>
      </c>
      <c r="AG3130" s="508">
        <v>0.128</v>
      </c>
      <c r="AH3130" s="508">
        <v>0.127</v>
      </c>
      <c r="AI3130" s="492">
        <v>0.126</v>
      </c>
      <c r="AJ3130" s="485"/>
    </row>
    <row r="3131" spans="2:36">
      <c r="B3131" s="136" t="s">
        <v>486</v>
      </c>
      <c r="C3131" s="132" t="s">
        <v>1369</v>
      </c>
      <c r="D3131" s="132" t="s">
        <v>283</v>
      </c>
      <c r="E3131" s="508">
        <v>5.577</v>
      </c>
      <c r="F3131" s="508">
        <v>6.0430000000000001</v>
      </c>
      <c r="G3131" s="508">
        <v>6.0289999999999999</v>
      </c>
      <c r="H3131" s="508">
        <v>6.0270000000000001</v>
      </c>
      <c r="I3131" s="508">
        <v>6.03</v>
      </c>
      <c r="J3131" s="508">
        <v>6.3280000000000003</v>
      </c>
      <c r="K3131" s="508">
        <v>6.3019999999999996</v>
      </c>
      <c r="L3131" s="508">
        <v>6.27</v>
      </c>
      <c r="M3131" s="508">
        <v>6.218</v>
      </c>
      <c r="N3131" s="508">
        <v>6.1159999999999997</v>
      </c>
      <c r="O3131" s="508">
        <v>6.0620000000000003</v>
      </c>
      <c r="P3131" s="508">
        <v>3.077</v>
      </c>
      <c r="Q3131" s="508">
        <v>2.984</v>
      </c>
      <c r="R3131" s="508">
        <v>2.92</v>
      </c>
      <c r="S3131" s="508">
        <v>2.8969999999999998</v>
      </c>
      <c r="T3131" s="508">
        <v>2.835</v>
      </c>
      <c r="U3131" s="508">
        <v>1.738</v>
      </c>
      <c r="V3131" s="508">
        <v>1.7010000000000001</v>
      </c>
      <c r="W3131" s="508">
        <v>1.778</v>
      </c>
      <c r="X3131" s="508">
        <v>0.92700000000000005</v>
      </c>
      <c r="Y3131" s="508">
        <v>0.69399999999999995</v>
      </c>
      <c r="Z3131" s="508">
        <v>0.48799999999999999</v>
      </c>
      <c r="AA3131" s="508">
        <v>0.40699999999999997</v>
      </c>
      <c r="AB3131" s="508">
        <v>0.3</v>
      </c>
      <c r="AC3131" s="508">
        <v>0.248</v>
      </c>
      <c r="AD3131" s="508">
        <v>0.185</v>
      </c>
      <c r="AE3131" s="508">
        <v>0.187</v>
      </c>
      <c r="AF3131" s="508">
        <v>0.113</v>
      </c>
      <c r="AG3131" s="508">
        <v>0.113</v>
      </c>
      <c r="AH3131" s="508">
        <v>0.113</v>
      </c>
      <c r="AI3131" s="492">
        <v>0.113</v>
      </c>
      <c r="AJ3131" s="485"/>
    </row>
    <row r="3132" spans="2:36">
      <c r="B3132" s="136" t="s">
        <v>487</v>
      </c>
      <c r="C3132" s="132" t="s">
        <v>1369</v>
      </c>
      <c r="D3132" s="132" t="s">
        <v>283</v>
      </c>
      <c r="E3132" s="508">
        <v>5.056</v>
      </c>
      <c r="F3132" s="508">
        <v>5.64</v>
      </c>
      <c r="G3132" s="508">
        <v>5.6180000000000003</v>
      </c>
      <c r="H3132" s="508">
        <v>5.6150000000000002</v>
      </c>
      <c r="I3132" s="508">
        <v>5.6189999999999998</v>
      </c>
      <c r="J3132" s="508">
        <v>5.8890000000000002</v>
      </c>
      <c r="K3132" s="508">
        <v>5.8650000000000002</v>
      </c>
      <c r="L3132" s="508">
        <v>5.8319999999999999</v>
      </c>
      <c r="M3132" s="508">
        <v>5.7830000000000004</v>
      </c>
      <c r="N3132" s="508">
        <v>5.7069999999999999</v>
      </c>
      <c r="O3132" s="508">
        <v>5.6479999999999997</v>
      </c>
      <c r="P3132" s="508">
        <v>2.9940000000000002</v>
      </c>
      <c r="Q3132" s="508">
        <v>2.9039999999999999</v>
      </c>
      <c r="R3132" s="508">
        <v>2.839</v>
      </c>
      <c r="S3132" s="508">
        <v>2.819</v>
      </c>
      <c r="T3132" s="508">
        <v>2.7559999999999998</v>
      </c>
      <c r="U3132" s="508">
        <v>1.74</v>
      </c>
      <c r="V3132" s="508">
        <v>1.7030000000000001</v>
      </c>
      <c r="W3132" s="508">
        <v>1.7789999999999999</v>
      </c>
      <c r="X3132" s="508">
        <v>0.93400000000000005</v>
      </c>
      <c r="Y3132" s="508">
        <v>0.70199999999999996</v>
      </c>
      <c r="Z3132" s="508">
        <v>0.497</v>
      </c>
      <c r="AA3132" s="508">
        <v>0.41399999999999998</v>
      </c>
      <c r="AB3132" s="508">
        <v>0.307</v>
      </c>
      <c r="AC3132" s="508">
        <v>0.254</v>
      </c>
      <c r="AD3132" s="508">
        <v>0.20599999999999999</v>
      </c>
      <c r="AE3132" s="508">
        <v>0.20699999999999999</v>
      </c>
      <c r="AF3132" s="508">
        <v>0.125</v>
      </c>
      <c r="AG3132" s="508">
        <v>0.124</v>
      </c>
      <c r="AH3132" s="508">
        <v>0.124</v>
      </c>
      <c r="AI3132" s="492">
        <v>0.123</v>
      </c>
      <c r="AJ3132" s="485"/>
    </row>
    <row r="3133" spans="2:36">
      <c r="B3133" s="136" t="s">
        <v>488</v>
      </c>
      <c r="C3133" s="132" t="s">
        <v>1369</v>
      </c>
      <c r="D3133" s="132" t="s">
        <v>283</v>
      </c>
      <c r="E3133" s="508">
        <v>6.2320000000000002</v>
      </c>
      <c r="F3133" s="508">
        <v>6.5209999999999999</v>
      </c>
      <c r="G3133" s="508">
        <v>6.5129999999999999</v>
      </c>
      <c r="H3133" s="508">
        <v>6.5119999999999996</v>
      </c>
      <c r="I3133" s="508">
        <v>6.5129999999999999</v>
      </c>
      <c r="J3133" s="508">
        <v>6.8230000000000004</v>
      </c>
      <c r="K3133" s="508">
        <v>6.7949999999999999</v>
      </c>
      <c r="L3133" s="508">
        <v>6.7629999999999999</v>
      </c>
      <c r="M3133" s="508">
        <v>6.7089999999999996</v>
      </c>
      <c r="N3133" s="508">
        <v>6.5970000000000004</v>
      </c>
      <c r="O3133" s="508">
        <v>6.5469999999999997</v>
      </c>
      <c r="P3133" s="508">
        <v>3.2080000000000002</v>
      </c>
      <c r="Q3133" s="508">
        <v>3.117</v>
      </c>
      <c r="R3133" s="508">
        <v>3.0539999999999998</v>
      </c>
      <c r="S3133" s="508">
        <v>3.0270000000000001</v>
      </c>
      <c r="T3133" s="508">
        <v>2.9660000000000002</v>
      </c>
      <c r="U3133" s="508">
        <v>1.8460000000000001</v>
      </c>
      <c r="V3133" s="508">
        <v>1.806</v>
      </c>
      <c r="W3133" s="508">
        <v>1.887</v>
      </c>
      <c r="X3133" s="508">
        <v>0.98199999999999998</v>
      </c>
      <c r="Y3133" s="508">
        <v>0.73599999999999999</v>
      </c>
      <c r="Z3133" s="508">
        <v>0.51800000000000002</v>
      </c>
      <c r="AA3133" s="508">
        <v>0.434</v>
      </c>
      <c r="AB3133" s="508">
        <v>0.32100000000000001</v>
      </c>
      <c r="AC3133" s="508">
        <v>0.26800000000000002</v>
      </c>
      <c r="AD3133" s="508">
        <v>0.2</v>
      </c>
      <c r="AE3133" s="508">
        <v>0.20100000000000001</v>
      </c>
      <c r="AF3133" s="508">
        <v>0.12</v>
      </c>
      <c r="AG3133" s="508">
        <v>0.12</v>
      </c>
      <c r="AH3133" s="508">
        <v>0.11899999999999999</v>
      </c>
      <c r="AI3133" s="492">
        <v>0.11799999999999999</v>
      </c>
      <c r="AJ3133" s="485"/>
    </row>
    <row r="3134" spans="2:36">
      <c r="B3134" s="136" t="s">
        <v>489</v>
      </c>
      <c r="C3134" s="132" t="s">
        <v>1369</v>
      </c>
      <c r="D3134" s="132" t="s">
        <v>283</v>
      </c>
      <c r="E3134" s="508">
        <v>6.351</v>
      </c>
      <c r="F3134" s="508">
        <v>6.6159999999999997</v>
      </c>
      <c r="G3134" s="508">
        <v>6.6070000000000002</v>
      </c>
      <c r="H3134" s="508">
        <v>6.6059999999999999</v>
      </c>
      <c r="I3134" s="508">
        <v>6.6070000000000002</v>
      </c>
      <c r="J3134" s="508">
        <v>6.931</v>
      </c>
      <c r="K3134" s="508">
        <v>6.9029999999999996</v>
      </c>
      <c r="L3134" s="508">
        <v>6.8710000000000004</v>
      </c>
      <c r="M3134" s="508">
        <v>6.8159999999999998</v>
      </c>
      <c r="N3134" s="508">
        <v>6.6829999999999998</v>
      </c>
      <c r="O3134" s="508">
        <v>6.633</v>
      </c>
      <c r="P3134" s="508">
        <v>3.133</v>
      </c>
      <c r="Q3134" s="508">
        <v>3.0409999999999999</v>
      </c>
      <c r="R3134" s="508">
        <v>2.9780000000000002</v>
      </c>
      <c r="S3134" s="508">
        <v>2.956</v>
      </c>
      <c r="T3134" s="508">
        <v>2.8929999999999998</v>
      </c>
      <c r="U3134" s="508">
        <v>1.782</v>
      </c>
      <c r="V3134" s="508">
        <v>1.7450000000000001</v>
      </c>
      <c r="W3134" s="508">
        <v>1.825</v>
      </c>
      <c r="X3134" s="508">
        <v>0.95499999999999996</v>
      </c>
      <c r="Y3134" s="508">
        <v>0.71699999999999997</v>
      </c>
      <c r="Z3134" s="508">
        <v>0.50600000000000001</v>
      </c>
      <c r="AA3134" s="508">
        <v>0.42199999999999999</v>
      </c>
      <c r="AB3134" s="508">
        <v>0.314</v>
      </c>
      <c r="AC3134" s="508">
        <v>0.26</v>
      </c>
      <c r="AD3134" s="508">
        <v>0.19600000000000001</v>
      </c>
      <c r="AE3134" s="508">
        <v>0.19800000000000001</v>
      </c>
      <c r="AF3134" s="508">
        <v>0.123</v>
      </c>
      <c r="AG3134" s="508">
        <v>0.123</v>
      </c>
      <c r="AH3134" s="508">
        <v>0.122</v>
      </c>
      <c r="AI3134" s="492">
        <v>0.122</v>
      </c>
      <c r="AJ3134" s="485"/>
    </row>
    <row r="3135" spans="2:36">
      <c r="B3135" s="136" t="s">
        <v>490</v>
      </c>
      <c r="C3135" s="132" t="s">
        <v>1369</v>
      </c>
      <c r="D3135" s="132" t="s">
        <v>283</v>
      </c>
      <c r="E3135" s="508">
        <v>6.5860000000000003</v>
      </c>
      <c r="F3135" s="508">
        <v>6.8129999999999997</v>
      </c>
      <c r="G3135" s="508">
        <v>6.8040000000000003</v>
      </c>
      <c r="H3135" s="508">
        <v>6.8040000000000003</v>
      </c>
      <c r="I3135" s="508">
        <v>6.8049999999999997</v>
      </c>
      <c r="J3135" s="508">
        <v>7.12</v>
      </c>
      <c r="K3135" s="508">
        <v>7.0910000000000002</v>
      </c>
      <c r="L3135" s="508">
        <v>7.0590000000000002</v>
      </c>
      <c r="M3135" s="508">
        <v>7.0030000000000001</v>
      </c>
      <c r="N3135" s="508">
        <v>6.9039999999999999</v>
      </c>
      <c r="O3135" s="508">
        <v>6.8540000000000001</v>
      </c>
      <c r="P3135" s="508">
        <v>3.343</v>
      </c>
      <c r="Q3135" s="508">
        <v>3.2490000000000001</v>
      </c>
      <c r="R3135" s="508">
        <v>3.1850000000000001</v>
      </c>
      <c r="S3135" s="508">
        <v>3.1579999999999999</v>
      </c>
      <c r="T3135" s="508">
        <v>3.0960000000000001</v>
      </c>
      <c r="U3135" s="508">
        <v>1.978</v>
      </c>
      <c r="V3135" s="508">
        <v>1.9350000000000001</v>
      </c>
      <c r="W3135" s="508">
        <v>2.0219999999999998</v>
      </c>
      <c r="X3135" s="508">
        <v>1.0549999999999999</v>
      </c>
      <c r="Y3135" s="508">
        <v>0.79400000000000004</v>
      </c>
      <c r="Z3135" s="508">
        <v>0.56000000000000005</v>
      </c>
      <c r="AA3135" s="508">
        <v>0.47099999999999997</v>
      </c>
      <c r="AB3135" s="508">
        <v>0.35099999999999998</v>
      </c>
      <c r="AC3135" s="508">
        <v>0.29499999999999998</v>
      </c>
      <c r="AD3135" s="508">
        <v>0.221</v>
      </c>
      <c r="AE3135" s="508">
        <v>0.222</v>
      </c>
      <c r="AF3135" s="508">
        <v>0.13500000000000001</v>
      </c>
      <c r="AG3135" s="508">
        <v>0.13400000000000001</v>
      </c>
      <c r="AH3135" s="508">
        <v>0.13300000000000001</v>
      </c>
      <c r="AI3135" s="492">
        <v>0.13300000000000001</v>
      </c>
      <c r="AJ3135" s="485"/>
    </row>
    <row r="3136" spans="2:36">
      <c r="B3136" s="136" t="s">
        <v>435</v>
      </c>
      <c r="C3136" s="132" t="s">
        <v>1370</v>
      </c>
      <c r="D3136" s="132" t="s">
        <v>283</v>
      </c>
      <c r="E3136" s="508">
        <v>35.988999999999997</v>
      </c>
      <c r="F3136" s="508">
        <v>35.988999999999997</v>
      </c>
      <c r="G3136" s="508">
        <v>35.988</v>
      </c>
      <c r="H3136" s="508">
        <v>35.988999999999997</v>
      </c>
      <c r="I3136" s="508">
        <v>36.06</v>
      </c>
      <c r="J3136" s="508">
        <v>27.806000000000001</v>
      </c>
      <c r="K3136" s="508">
        <v>25.771999999999998</v>
      </c>
      <c r="L3136" s="508">
        <v>25.771999999999998</v>
      </c>
      <c r="M3136" s="508">
        <v>25.771999999999998</v>
      </c>
      <c r="N3136" s="508">
        <v>25.771999999999998</v>
      </c>
      <c r="O3136" s="508">
        <v>25.794</v>
      </c>
      <c r="P3136" s="508">
        <v>25.861999999999998</v>
      </c>
      <c r="Q3136" s="508">
        <v>25.861999999999998</v>
      </c>
      <c r="R3136" s="508">
        <v>23.672999999999998</v>
      </c>
      <c r="S3136" s="508">
        <v>17.382000000000001</v>
      </c>
      <c r="T3136" s="508">
        <v>16.867000000000001</v>
      </c>
      <c r="U3136" s="508">
        <v>17.664000000000001</v>
      </c>
      <c r="V3136" s="508">
        <v>17.803000000000001</v>
      </c>
      <c r="W3136" s="508">
        <v>8.8650000000000002</v>
      </c>
      <c r="X3136" s="508">
        <v>8.8670000000000009</v>
      </c>
      <c r="Y3136" s="508">
        <v>8.8659999999999997</v>
      </c>
      <c r="Z3136" s="508">
        <v>8.8659999999999997</v>
      </c>
      <c r="AA3136" s="508">
        <v>6.29</v>
      </c>
      <c r="AB3136" s="508">
        <v>6.2729999999999997</v>
      </c>
      <c r="AC3136" s="508">
        <v>6.3079999999999998</v>
      </c>
      <c r="AD3136" s="508">
        <v>1.5609999999999999</v>
      </c>
      <c r="AE3136" s="508">
        <v>1.5609999999999999</v>
      </c>
      <c r="AF3136" s="508">
        <v>1.048</v>
      </c>
      <c r="AG3136" s="508">
        <v>1.0069999999999999</v>
      </c>
      <c r="AH3136" s="508">
        <v>0.997</v>
      </c>
      <c r="AI3136" s="492">
        <v>0.997</v>
      </c>
      <c r="AJ3136" s="485"/>
    </row>
    <row r="3137" spans="2:36">
      <c r="B3137" s="136" t="s">
        <v>436</v>
      </c>
      <c r="C3137" s="132" t="s">
        <v>1370</v>
      </c>
      <c r="D3137" s="132" t="s">
        <v>283</v>
      </c>
      <c r="E3137" s="508">
        <v>39.729999999999997</v>
      </c>
      <c r="F3137" s="508">
        <v>39.729999999999997</v>
      </c>
      <c r="G3137" s="508">
        <v>39.729999999999997</v>
      </c>
      <c r="H3137" s="508">
        <v>39.729999999999997</v>
      </c>
      <c r="I3137" s="508">
        <v>39.793999999999997</v>
      </c>
      <c r="J3137" s="508">
        <v>30.693999999999999</v>
      </c>
      <c r="K3137" s="508">
        <v>28.466000000000001</v>
      </c>
      <c r="L3137" s="508">
        <v>28.466000000000001</v>
      </c>
      <c r="M3137" s="508">
        <v>28.466000000000001</v>
      </c>
      <c r="N3137" s="508">
        <v>28.466000000000001</v>
      </c>
      <c r="O3137" s="508">
        <v>28.486000000000001</v>
      </c>
      <c r="P3137" s="508">
        <v>28.562000000000001</v>
      </c>
      <c r="Q3137" s="508">
        <v>28.562000000000001</v>
      </c>
      <c r="R3137" s="508">
        <v>26.157</v>
      </c>
      <c r="S3137" s="508">
        <v>19.170000000000002</v>
      </c>
      <c r="T3137" s="508">
        <v>18.61</v>
      </c>
      <c r="U3137" s="508">
        <v>19.475000000000001</v>
      </c>
      <c r="V3137" s="508">
        <v>19.626999999999999</v>
      </c>
      <c r="W3137" s="508">
        <v>9.641</v>
      </c>
      <c r="X3137" s="508">
        <v>9.6430000000000007</v>
      </c>
      <c r="Y3137" s="508">
        <v>9.6419999999999995</v>
      </c>
      <c r="Z3137" s="508">
        <v>9.641</v>
      </c>
      <c r="AA3137" s="508">
        <v>6.7779999999999996</v>
      </c>
      <c r="AB3137" s="508">
        <v>6.76</v>
      </c>
      <c r="AC3137" s="508">
        <v>6.7960000000000003</v>
      </c>
      <c r="AD3137" s="508">
        <v>1.698</v>
      </c>
      <c r="AE3137" s="508">
        <v>1.6970000000000001</v>
      </c>
      <c r="AF3137" s="508">
        <v>1.1399999999999999</v>
      </c>
      <c r="AG3137" s="508">
        <v>1.095</v>
      </c>
      <c r="AH3137" s="508">
        <v>1.0840000000000001</v>
      </c>
      <c r="AI3137" s="492">
        <v>1.0840000000000001</v>
      </c>
      <c r="AJ3137" s="485"/>
    </row>
    <row r="3138" spans="2:36">
      <c r="B3138" s="136" t="s">
        <v>437</v>
      </c>
      <c r="C3138" s="132" t="s">
        <v>1370</v>
      </c>
      <c r="D3138" s="132" t="s">
        <v>283</v>
      </c>
      <c r="E3138" s="508">
        <v>38.823999999999998</v>
      </c>
      <c r="F3138" s="508">
        <v>38.823999999999998</v>
      </c>
      <c r="G3138" s="508">
        <v>38.823</v>
      </c>
      <c r="H3138" s="508">
        <v>38.823999999999998</v>
      </c>
      <c r="I3138" s="508">
        <v>38.896000000000001</v>
      </c>
      <c r="J3138" s="508">
        <v>29.995999999999999</v>
      </c>
      <c r="K3138" s="508">
        <v>27.808</v>
      </c>
      <c r="L3138" s="508">
        <v>27.808</v>
      </c>
      <c r="M3138" s="508">
        <v>27.808</v>
      </c>
      <c r="N3138" s="508">
        <v>27.808</v>
      </c>
      <c r="O3138" s="508">
        <v>27.83</v>
      </c>
      <c r="P3138" s="508">
        <v>27.902999999999999</v>
      </c>
      <c r="Q3138" s="508">
        <v>27.902999999999999</v>
      </c>
      <c r="R3138" s="508">
        <v>25.437000000000001</v>
      </c>
      <c r="S3138" s="508">
        <v>18.710999999999999</v>
      </c>
      <c r="T3138" s="508">
        <v>18.166</v>
      </c>
      <c r="U3138" s="508">
        <v>19.009</v>
      </c>
      <c r="V3138" s="508">
        <v>19.157</v>
      </c>
      <c r="W3138" s="508">
        <v>9.5139999999999993</v>
      </c>
      <c r="X3138" s="508">
        <v>9.516</v>
      </c>
      <c r="Y3138" s="508">
        <v>9.5150000000000006</v>
      </c>
      <c r="Z3138" s="508">
        <v>9.5139999999999993</v>
      </c>
      <c r="AA3138" s="508">
        <v>6.7210000000000001</v>
      </c>
      <c r="AB3138" s="508">
        <v>6.7030000000000003</v>
      </c>
      <c r="AC3138" s="508">
        <v>6.74</v>
      </c>
      <c r="AD3138" s="508">
        <v>1.675</v>
      </c>
      <c r="AE3138" s="508">
        <v>1.675</v>
      </c>
      <c r="AF3138" s="508">
        <v>1.125</v>
      </c>
      <c r="AG3138" s="508">
        <v>1.081</v>
      </c>
      <c r="AH3138" s="508">
        <v>1.07</v>
      </c>
      <c r="AI3138" s="492">
        <v>1.07</v>
      </c>
      <c r="AJ3138" s="485"/>
    </row>
    <row r="3139" spans="2:36">
      <c r="B3139" s="136" t="s">
        <v>438</v>
      </c>
      <c r="C3139" s="132" t="s">
        <v>1370</v>
      </c>
      <c r="D3139" s="132" t="s">
        <v>283</v>
      </c>
      <c r="E3139" s="508">
        <v>36.369</v>
      </c>
      <c r="F3139" s="508">
        <v>36.369</v>
      </c>
      <c r="G3139" s="508">
        <v>36.369</v>
      </c>
      <c r="H3139" s="508">
        <v>36.369</v>
      </c>
      <c r="I3139" s="508">
        <v>36.432000000000002</v>
      </c>
      <c r="J3139" s="508">
        <v>28.097999999999999</v>
      </c>
      <c r="K3139" s="508">
        <v>26.059000000000001</v>
      </c>
      <c r="L3139" s="508">
        <v>26.059000000000001</v>
      </c>
      <c r="M3139" s="508">
        <v>26.059000000000001</v>
      </c>
      <c r="N3139" s="508">
        <v>26.059000000000001</v>
      </c>
      <c r="O3139" s="508">
        <v>26.077999999999999</v>
      </c>
      <c r="P3139" s="508">
        <v>26.146000000000001</v>
      </c>
      <c r="Q3139" s="508">
        <v>26.146000000000001</v>
      </c>
      <c r="R3139" s="508">
        <v>24</v>
      </c>
      <c r="S3139" s="508">
        <v>17.559000000000001</v>
      </c>
      <c r="T3139" s="508">
        <v>17.044</v>
      </c>
      <c r="U3139" s="508">
        <v>17.84</v>
      </c>
      <c r="V3139" s="508">
        <v>17.978999999999999</v>
      </c>
      <c r="W3139" s="508">
        <v>8.8170000000000002</v>
      </c>
      <c r="X3139" s="508">
        <v>8.8190000000000008</v>
      </c>
      <c r="Y3139" s="508">
        <v>8.8179999999999996</v>
      </c>
      <c r="Z3139" s="508">
        <v>8.8170000000000002</v>
      </c>
      <c r="AA3139" s="508">
        <v>6.2</v>
      </c>
      <c r="AB3139" s="508">
        <v>6.1840000000000002</v>
      </c>
      <c r="AC3139" s="508">
        <v>6.2169999999999996</v>
      </c>
      <c r="AD3139" s="508">
        <v>1.5529999999999999</v>
      </c>
      <c r="AE3139" s="508">
        <v>1.552</v>
      </c>
      <c r="AF3139" s="508">
        <v>1.0429999999999999</v>
      </c>
      <c r="AG3139" s="508">
        <v>1.0009999999999999</v>
      </c>
      <c r="AH3139" s="508">
        <v>0.99099999999999999</v>
      </c>
      <c r="AI3139" s="492">
        <v>0.99099999999999999</v>
      </c>
      <c r="AJ3139" s="485"/>
    </row>
    <row r="3140" spans="2:36">
      <c r="B3140" s="136" t="s">
        <v>439</v>
      </c>
      <c r="C3140" s="132" t="s">
        <v>1370</v>
      </c>
      <c r="D3140" s="132" t="s">
        <v>283</v>
      </c>
      <c r="E3140" s="508">
        <v>37.734000000000002</v>
      </c>
      <c r="F3140" s="508">
        <v>37.734000000000002</v>
      </c>
      <c r="G3140" s="508">
        <v>37.734000000000002</v>
      </c>
      <c r="H3140" s="508">
        <v>37.734000000000002</v>
      </c>
      <c r="I3140" s="508">
        <v>37.811999999999998</v>
      </c>
      <c r="J3140" s="508">
        <v>29.155000000000001</v>
      </c>
      <c r="K3140" s="508">
        <v>27.024999999999999</v>
      </c>
      <c r="L3140" s="508">
        <v>27.024999999999999</v>
      </c>
      <c r="M3140" s="508">
        <v>27.024999999999999</v>
      </c>
      <c r="N3140" s="508">
        <v>27.024999999999999</v>
      </c>
      <c r="O3140" s="508">
        <v>27.048999999999999</v>
      </c>
      <c r="P3140" s="508">
        <v>27.119</v>
      </c>
      <c r="Q3140" s="508">
        <v>27.119</v>
      </c>
      <c r="R3140" s="508">
        <v>24.736999999999998</v>
      </c>
      <c r="S3140" s="508">
        <v>18.18</v>
      </c>
      <c r="T3140" s="508">
        <v>17.648</v>
      </c>
      <c r="U3140" s="508">
        <v>18.472000000000001</v>
      </c>
      <c r="V3140" s="508">
        <v>18.616</v>
      </c>
      <c r="W3140" s="508">
        <v>9.27</v>
      </c>
      <c r="X3140" s="508">
        <v>9.2720000000000002</v>
      </c>
      <c r="Y3140" s="508">
        <v>9.2710000000000008</v>
      </c>
      <c r="Z3140" s="508">
        <v>9.27</v>
      </c>
      <c r="AA3140" s="508">
        <v>6.5620000000000003</v>
      </c>
      <c r="AB3140" s="508">
        <v>6.5449999999999999</v>
      </c>
      <c r="AC3140" s="508">
        <v>6.5810000000000004</v>
      </c>
      <c r="AD3140" s="508">
        <v>1.633</v>
      </c>
      <c r="AE3140" s="508">
        <v>1.6319999999999999</v>
      </c>
      <c r="AF3140" s="508">
        <v>1.0960000000000001</v>
      </c>
      <c r="AG3140" s="508">
        <v>1.0529999999999999</v>
      </c>
      <c r="AH3140" s="508">
        <v>1.0429999999999999</v>
      </c>
      <c r="AI3140" s="492">
        <v>1.0429999999999999</v>
      </c>
      <c r="AJ3140" s="485"/>
    </row>
    <row r="3141" spans="2:36">
      <c r="B3141" s="136" t="s">
        <v>440</v>
      </c>
      <c r="C3141" s="132" t="s">
        <v>1370</v>
      </c>
      <c r="D3141" s="132" t="s">
        <v>283</v>
      </c>
      <c r="E3141" s="508">
        <v>39.131999999999998</v>
      </c>
      <c r="F3141" s="508">
        <v>39.131999999999998</v>
      </c>
      <c r="G3141" s="508">
        <v>39.131999999999998</v>
      </c>
      <c r="H3141" s="508">
        <v>39.131999999999998</v>
      </c>
      <c r="I3141" s="508">
        <v>39.204000000000001</v>
      </c>
      <c r="J3141" s="508">
        <v>30.234000000000002</v>
      </c>
      <c r="K3141" s="508">
        <v>28.03</v>
      </c>
      <c r="L3141" s="508">
        <v>28.03</v>
      </c>
      <c r="M3141" s="508">
        <v>28.03</v>
      </c>
      <c r="N3141" s="508">
        <v>28.03</v>
      </c>
      <c r="O3141" s="508">
        <v>28.052</v>
      </c>
      <c r="P3141" s="508">
        <v>28.126999999999999</v>
      </c>
      <c r="Q3141" s="508">
        <v>28.126000000000001</v>
      </c>
      <c r="R3141" s="508">
        <v>25.7</v>
      </c>
      <c r="S3141" s="508">
        <v>18.869</v>
      </c>
      <c r="T3141" s="508">
        <v>18.317</v>
      </c>
      <c r="U3141" s="508">
        <v>19.170999999999999</v>
      </c>
      <c r="V3141" s="508">
        <v>19.32</v>
      </c>
      <c r="W3141" s="508">
        <v>9.5739999999999998</v>
      </c>
      <c r="X3141" s="508">
        <v>9.5760000000000005</v>
      </c>
      <c r="Y3141" s="508">
        <v>9.5749999999999993</v>
      </c>
      <c r="Z3141" s="508">
        <v>9.5749999999999993</v>
      </c>
      <c r="AA3141" s="508">
        <v>6.7619999999999996</v>
      </c>
      <c r="AB3141" s="508">
        <v>6.7450000000000001</v>
      </c>
      <c r="AC3141" s="508">
        <v>6.7809999999999997</v>
      </c>
      <c r="AD3141" s="508">
        <v>1.6859999999999999</v>
      </c>
      <c r="AE3141" s="508">
        <v>1.6850000000000001</v>
      </c>
      <c r="AF3141" s="508">
        <v>1.1319999999999999</v>
      </c>
      <c r="AG3141" s="508">
        <v>1.087</v>
      </c>
      <c r="AH3141" s="508">
        <v>1.077</v>
      </c>
      <c r="AI3141" s="492">
        <v>1.077</v>
      </c>
      <c r="AJ3141" s="485"/>
    </row>
    <row r="3142" spans="2:36">
      <c r="B3142" s="136" t="s">
        <v>441</v>
      </c>
      <c r="C3142" s="132" t="s">
        <v>1370</v>
      </c>
      <c r="D3142" s="132" t="s">
        <v>283</v>
      </c>
      <c r="E3142" s="508">
        <v>38.594000000000001</v>
      </c>
      <c r="F3142" s="508">
        <v>38.593000000000004</v>
      </c>
      <c r="G3142" s="508">
        <v>38.594000000000001</v>
      </c>
      <c r="H3142" s="508">
        <v>38.594000000000001</v>
      </c>
      <c r="I3142" s="508">
        <v>38.673000000000002</v>
      </c>
      <c r="J3142" s="508">
        <v>29.82</v>
      </c>
      <c r="K3142" s="508">
        <v>27.64</v>
      </c>
      <c r="L3142" s="508">
        <v>27.64</v>
      </c>
      <c r="M3142" s="508">
        <v>27.64</v>
      </c>
      <c r="N3142" s="508">
        <v>27.64</v>
      </c>
      <c r="O3142" s="508">
        <v>27.664000000000001</v>
      </c>
      <c r="P3142" s="508">
        <v>27.736000000000001</v>
      </c>
      <c r="Q3142" s="508">
        <v>27.736000000000001</v>
      </c>
      <c r="R3142" s="508">
        <v>25.294</v>
      </c>
      <c r="S3142" s="508">
        <v>18.588999999999999</v>
      </c>
      <c r="T3142" s="508">
        <v>18.045000000000002</v>
      </c>
      <c r="U3142" s="508">
        <v>18.887</v>
      </c>
      <c r="V3142" s="508">
        <v>19.033999999999999</v>
      </c>
      <c r="W3142" s="508">
        <v>9.4920000000000009</v>
      </c>
      <c r="X3142" s="508">
        <v>9.4939999999999998</v>
      </c>
      <c r="Y3142" s="508">
        <v>9.4930000000000003</v>
      </c>
      <c r="Z3142" s="508">
        <v>9.4920000000000009</v>
      </c>
      <c r="AA3142" s="508">
        <v>6.7240000000000002</v>
      </c>
      <c r="AB3142" s="508">
        <v>6.7060000000000004</v>
      </c>
      <c r="AC3142" s="508">
        <v>6.7430000000000003</v>
      </c>
      <c r="AD3142" s="508">
        <v>1.6719999999999999</v>
      </c>
      <c r="AE3142" s="508">
        <v>1.671</v>
      </c>
      <c r="AF3142" s="508">
        <v>1.123</v>
      </c>
      <c r="AG3142" s="508">
        <v>1.0780000000000001</v>
      </c>
      <c r="AH3142" s="508">
        <v>1.0680000000000001</v>
      </c>
      <c r="AI3142" s="492">
        <v>1.0680000000000001</v>
      </c>
      <c r="AJ3142" s="485"/>
    </row>
    <row r="3143" spans="2:36">
      <c r="B3143" s="136" t="s">
        <v>443</v>
      </c>
      <c r="C3143" s="132" t="s">
        <v>1370</v>
      </c>
      <c r="D3143" s="132" t="s">
        <v>283</v>
      </c>
      <c r="E3143" s="508">
        <v>37.472999999999999</v>
      </c>
      <c r="F3143" s="508">
        <v>37.472999999999999</v>
      </c>
      <c r="G3143" s="508">
        <v>37.472999999999999</v>
      </c>
      <c r="H3143" s="508">
        <v>37.472999999999999</v>
      </c>
      <c r="I3143" s="508">
        <v>37.56</v>
      </c>
      <c r="J3143" s="508">
        <v>28.954999999999998</v>
      </c>
      <c r="K3143" s="508">
        <v>26.814</v>
      </c>
      <c r="L3143" s="508">
        <v>26.814</v>
      </c>
      <c r="M3143" s="508">
        <v>26.814</v>
      </c>
      <c r="N3143" s="508">
        <v>26.814</v>
      </c>
      <c r="O3143" s="508">
        <v>26.841000000000001</v>
      </c>
      <c r="P3143" s="508">
        <v>26.913</v>
      </c>
      <c r="Q3143" s="508">
        <v>26.913</v>
      </c>
      <c r="R3143" s="508">
        <v>24.567</v>
      </c>
      <c r="S3143" s="508">
        <v>18.106999999999999</v>
      </c>
      <c r="T3143" s="508">
        <v>17.561</v>
      </c>
      <c r="U3143" s="508">
        <v>18.405999999999999</v>
      </c>
      <c r="V3143" s="508">
        <v>18.553999999999998</v>
      </c>
      <c r="W3143" s="508">
        <v>9.4380000000000006</v>
      </c>
      <c r="X3143" s="508">
        <v>9.44</v>
      </c>
      <c r="Y3143" s="508">
        <v>9.4390000000000001</v>
      </c>
      <c r="Z3143" s="508">
        <v>9.4380000000000006</v>
      </c>
      <c r="AA3143" s="508">
        <v>6.782</v>
      </c>
      <c r="AB3143" s="508">
        <v>6.7640000000000002</v>
      </c>
      <c r="AC3143" s="508">
        <v>6.8019999999999996</v>
      </c>
      <c r="AD3143" s="508">
        <v>1.6619999999999999</v>
      </c>
      <c r="AE3143" s="508">
        <v>1.661</v>
      </c>
      <c r="AF3143" s="508">
        <v>1.1160000000000001</v>
      </c>
      <c r="AG3143" s="508">
        <v>1.0720000000000001</v>
      </c>
      <c r="AH3143" s="508">
        <v>1.0609999999999999</v>
      </c>
      <c r="AI3143" s="492">
        <v>1.0609999999999999</v>
      </c>
      <c r="AJ3143" s="485"/>
    </row>
    <row r="3144" spans="2:36">
      <c r="B3144" s="136" t="s">
        <v>445</v>
      </c>
      <c r="C3144" s="132" t="s">
        <v>1370</v>
      </c>
      <c r="D3144" s="132" t="s">
        <v>283</v>
      </c>
      <c r="E3144" s="508">
        <v>39.091000000000001</v>
      </c>
      <c r="F3144" s="508">
        <v>39.091000000000001</v>
      </c>
      <c r="G3144" s="508">
        <v>39.091000000000001</v>
      </c>
      <c r="H3144" s="508">
        <v>39.091000000000001</v>
      </c>
      <c r="I3144" s="508">
        <v>39.194000000000003</v>
      </c>
      <c r="J3144" s="508">
        <v>30.207000000000001</v>
      </c>
      <c r="K3144" s="508">
        <v>27.956</v>
      </c>
      <c r="L3144" s="508">
        <v>27.956</v>
      </c>
      <c r="M3144" s="508">
        <v>27.956</v>
      </c>
      <c r="N3144" s="508">
        <v>27.956</v>
      </c>
      <c r="O3144" s="508">
        <v>27.986999999999998</v>
      </c>
      <c r="P3144" s="508">
        <v>28.062999999999999</v>
      </c>
      <c r="Q3144" s="508">
        <v>28.062999999999999</v>
      </c>
      <c r="R3144" s="508">
        <v>25.27</v>
      </c>
      <c r="S3144" s="508">
        <v>18.821000000000002</v>
      </c>
      <c r="T3144" s="508">
        <v>18.262</v>
      </c>
      <c r="U3144" s="508">
        <v>19.128</v>
      </c>
      <c r="V3144" s="508">
        <v>19.28</v>
      </c>
      <c r="W3144" s="508">
        <v>10.007999999999999</v>
      </c>
      <c r="X3144" s="508">
        <v>10.009</v>
      </c>
      <c r="Y3144" s="508">
        <v>10.007999999999999</v>
      </c>
      <c r="Z3144" s="508">
        <v>10.007999999999999</v>
      </c>
      <c r="AA3144" s="508">
        <v>7.2329999999999997</v>
      </c>
      <c r="AB3144" s="508">
        <v>7.2119999999999997</v>
      </c>
      <c r="AC3144" s="508">
        <v>7.2549999999999999</v>
      </c>
      <c r="AD3144" s="508">
        <v>1.7629999999999999</v>
      </c>
      <c r="AE3144" s="508">
        <v>1.762</v>
      </c>
      <c r="AF3144" s="508">
        <v>1.1839999999999999</v>
      </c>
      <c r="AG3144" s="508">
        <v>1.137</v>
      </c>
      <c r="AH3144" s="508">
        <v>1.1259999999999999</v>
      </c>
      <c r="AI3144" s="492">
        <v>1.1259999999999999</v>
      </c>
      <c r="AJ3144" s="485"/>
    </row>
    <row r="3145" spans="2:36">
      <c r="B3145" s="136" t="s">
        <v>446</v>
      </c>
      <c r="C3145" s="132" t="s">
        <v>1370</v>
      </c>
      <c r="D3145" s="132" t="s">
        <v>283</v>
      </c>
      <c r="E3145" s="508">
        <v>34.545000000000002</v>
      </c>
      <c r="F3145" s="508">
        <v>34.545000000000002</v>
      </c>
      <c r="G3145" s="508">
        <v>34.545000000000002</v>
      </c>
      <c r="H3145" s="508">
        <v>34.545000000000002</v>
      </c>
      <c r="I3145" s="508">
        <v>34.631</v>
      </c>
      <c r="J3145" s="508">
        <v>26.693999999999999</v>
      </c>
      <c r="K3145" s="508">
        <v>24.724</v>
      </c>
      <c r="L3145" s="508">
        <v>24.724</v>
      </c>
      <c r="M3145" s="508">
        <v>24.724</v>
      </c>
      <c r="N3145" s="508">
        <v>24.724</v>
      </c>
      <c r="O3145" s="508">
        <v>24.75</v>
      </c>
      <c r="P3145" s="508">
        <v>24.814</v>
      </c>
      <c r="Q3145" s="508">
        <v>24.814</v>
      </c>
      <c r="R3145" s="508">
        <v>22.507000000000001</v>
      </c>
      <c r="S3145" s="508">
        <v>16.649999999999999</v>
      </c>
      <c r="T3145" s="508">
        <v>16.16</v>
      </c>
      <c r="U3145" s="508">
        <v>16.920000000000002</v>
      </c>
      <c r="V3145" s="508">
        <v>17.053000000000001</v>
      </c>
      <c r="W3145" s="508">
        <v>8.6530000000000005</v>
      </c>
      <c r="X3145" s="508">
        <v>8.6539999999999999</v>
      </c>
      <c r="Y3145" s="508">
        <v>8.6530000000000005</v>
      </c>
      <c r="Z3145" s="508">
        <v>8.6530000000000005</v>
      </c>
      <c r="AA3145" s="508">
        <v>6.1849999999999996</v>
      </c>
      <c r="AB3145" s="508">
        <v>6.1680000000000001</v>
      </c>
      <c r="AC3145" s="508">
        <v>6.2030000000000003</v>
      </c>
      <c r="AD3145" s="508">
        <v>1.524</v>
      </c>
      <c r="AE3145" s="508">
        <v>1.5229999999999999</v>
      </c>
      <c r="AF3145" s="508">
        <v>1.0229999999999999</v>
      </c>
      <c r="AG3145" s="508">
        <v>0.98299999999999998</v>
      </c>
      <c r="AH3145" s="508">
        <v>0.97299999999999998</v>
      </c>
      <c r="AI3145" s="492">
        <v>0.97299999999999998</v>
      </c>
      <c r="AJ3145" s="485"/>
    </row>
    <row r="3146" spans="2:36">
      <c r="B3146" s="136" t="s">
        <v>448</v>
      </c>
      <c r="C3146" s="132" t="s">
        <v>1370</v>
      </c>
      <c r="D3146" s="132" t="s">
        <v>283</v>
      </c>
      <c r="E3146" s="508">
        <v>36.244</v>
      </c>
      <c r="F3146" s="508">
        <v>36.244</v>
      </c>
      <c r="G3146" s="508">
        <v>36.244</v>
      </c>
      <c r="H3146" s="508">
        <v>36.244</v>
      </c>
      <c r="I3146" s="508">
        <v>36.311</v>
      </c>
      <c r="J3146" s="508">
        <v>28.001999999999999</v>
      </c>
      <c r="K3146" s="508">
        <v>25.963999999999999</v>
      </c>
      <c r="L3146" s="508">
        <v>25.963999999999999</v>
      </c>
      <c r="M3146" s="508">
        <v>25.963999999999999</v>
      </c>
      <c r="N3146" s="508">
        <v>25.963999999999999</v>
      </c>
      <c r="O3146" s="508">
        <v>25.984999999999999</v>
      </c>
      <c r="P3146" s="508">
        <v>26.052</v>
      </c>
      <c r="Q3146" s="508">
        <v>26.052</v>
      </c>
      <c r="R3146" s="508">
        <v>23.876999999999999</v>
      </c>
      <c r="S3146" s="508">
        <v>17.495000000000001</v>
      </c>
      <c r="T3146" s="508">
        <v>16.981000000000002</v>
      </c>
      <c r="U3146" s="508">
        <v>17.774999999999999</v>
      </c>
      <c r="V3146" s="508">
        <v>17.914000000000001</v>
      </c>
      <c r="W3146" s="508">
        <v>8.8350000000000009</v>
      </c>
      <c r="X3146" s="508">
        <v>8.8369999999999997</v>
      </c>
      <c r="Y3146" s="508">
        <v>8.8360000000000003</v>
      </c>
      <c r="Z3146" s="508">
        <v>8.8350000000000009</v>
      </c>
      <c r="AA3146" s="508">
        <v>6.2309999999999999</v>
      </c>
      <c r="AB3146" s="508">
        <v>6.2149999999999999</v>
      </c>
      <c r="AC3146" s="508">
        <v>6.2480000000000002</v>
      </c>
      <c r="AD3146" s="508">
        <v>1.556</v>
      </c>
      <c r="AE3146" s="508">
        <v>1.5549999999999999</v>
      </c>
      <c r="AF3146" s="508">
        <v>1.0449999999999999</v>
      </c>
      <c r="AG3146" s="508">
        <v>1.0029999999999999</v>
      </c>
      <c r="AH3146" s="508">
        <v>0.99299999999999999</v>
      </c>
      <c r="AI3146" s="492">
        <v>0.99299999999999999</v>
      </c>
      <c r="AJ3146" s="485"/>
    </row>
    <row r="3147" spans="2:36">
      <c r="B3147" s="136" t="s">
        <v>449</v>
      </c>
      <c r="C3147" s="132" t="s">
        <v>1370</v>
      </c>
      <c r="D3147" s="132" t="s">
        <v>283</v>
      </c>
      <c r="E3147" s="508">
        <v>33.993000000000002</v>
      </c>
      <c r="F3147" s="508">
        <v>33.993000000000002</v>
      </c>
      <c r="G3147" s="508">
        <v>33.993000000000002</v>
      </c>
      <c r="H3147" s="508">
        <v>33.993000000000002</v>
      </c>
      <c r="I3147" s="508">
        <v>34.081000000000003</v>
      </c>
      <c r="J3147" s="508">
        <v>26.268000000000001</v>
      </c>
      <c r="K3147" s="508">
        <v>24.327000000000002</v>
      </c>
      <c r="L3147" s="508">
        <v>24.327000000000002</v>
      </c>
      <c r="M3147" s="508">
        <v>24.327000000000002</v>
      </c>
      <c r="N3147" s="508">
        <v>24.326000000000001</v>
      </c>
      <c r="O3147" s="508">
        <v>24.353000000000002</v>
      </c>
      <c r="P3147" s="508">
        <v>24.416</v>
      </c>
      <c r="Q3147" s="508">
        <v>24.416</v>
      </c>
      <c r="R3147" s="508">
        <v>22.236000000000001</v>
      </c>
      <c r="S3147" s="508">
        <v>16.405999999999999</v>
      </c>
      <c r="T3147" s="508">
        <v>15.916</v>
      </c>
      <c r="U3147" s="508">
        <v>16.675000000000001</v>
      </c>
      <c r="V3147" s="508">
        <v>16.808</v>
      </c>
      <c r="W3147" s="508">
        <v>8.5399999999999991</v>
      </c>
      <c r="X3147" s="508">
        <v>8.5419999999999998</v>
      </c>
      <c r="Y3147" s="508">
        <v>8.5410000000000004</v>
      </c>
      <c r="Z3147" s="508">
        <v>8.5399999999999991</v>
      </c>
      <c r="AA3147" s="508">
        <v>6.1239999999999997</v>
      </c>
      <c r="AB3147" s="508">
        <v>6.1070000000000002</v>
      </c>
      <c r="AC3147" s="508">
        <v>6.1420000000000003</v>
      </c>
      <c r="AD3147" s="508">
        <v>1.504</v>
      </c>
      <c r="AE3147" s="508">
        <v>1.5029999999999999</v>
      </c>
      <c r="AF3147" s="508">
        <v>1.01</v>
      </c>
      <c r="AG3147" s="508">
        <v>0.97</v>
      </c>
      <c r="AH3147" s="508">
        <v>0.96</v>
      </c>
      <c r="AI3147" s="492">
        <v>0.96</v>
      </c>
      <c r="AJ3147" s="485"/>
    </row>
    <row r="3148" spans="2:36">
      <c r="B3148" s="136" t="s">
        <v>450</v>
      </c>
      <c r="C3148" s="132" t="s">
        <v>1370</v>
      </c>
      <c r="D3148" s="132" t="s">
        <v>283</v>
      </c>
      <c r="E3148" s="508">
        <v>38.517000000000003</v>
      </c>
      <c r="F3148" s="508">
        <v>38.517000000000003</v>
      </c>
      <c r="G3148" s="508">
        <v>38.517000000000003</v>
      </c>
      <c r="H3148" s="508">
        <v>38.517000000000003</v>
      </c>
      <c r="I3148" s="508">
        <v>38.582000000000001</v>
      </c>
      <c r="J3148" s="508">
        <v>29.757999999999999</v>
      </c>
      <c r="K3148" s="508">
        <v>27.591999999999999</v>
      </c>
      <c r="L3148" s="508">
        <v>27.591999999999999</v>
      </c>
      <c r="M3148" s="508">
        <v>27.591999999999999</v>
      </c>
      <c r="N3148" s="508">
        <v>27.591999999999999</v>
      </c>
      <c r="O3148" s="508">
        <v>27.611999999999998</v>
      </c>
      <c r="P3148" s="508">
        <v>27.686</v>
      </c>
      <c r="Q3148" s="508">
        <v>27.686</v>
      </c>
      <c r="R3148" s="508">
        <v>25.384</v>
      </c>
      <c r="S3148" s="508">
        <v>18.600000000000001</v>
      </c>
      <c r="T3148" s="508">
        <v>18.053000000000001</v>
      </c>
      <c r="U3148" s="508">
        <v>18.899000000000001</v>
      </c>
      <c r="V3148" s="508">
        <v>19.047000000000001</v>
      </c>
      <c r="W3148" s="508">
        <v>9.391</v>
      </c>
      <c r="X3148" s="508">
        <v>9.3940000000000001</v>
      </c>
      <c r="Y3148" s="508">
        <v>9.3919999999999995</v>
      </c>
      <c r="Z3148" s="508">
        <v>9.3919999999999995</v>
      </c>
      <c r="AA3148" s="508">
        <v>6.6239999999999997</v>
      </c>
      <c r="AB3148" s="508">
        <v>6.6070000000000002</v>
      </c>
      <c r="AC3148" s="508">
        <v>6.6429999999999998</v>
      </c>
      <c r="AD3148" s="508">
        <v>1.6539999999999999</v>
      </c>
      <c r="AE3148" s="508">
        <v>1.653</v>
      </c>
      <c r="AF3148" s="508">
        <v>1.111</v>
      </c>
      <c r="AG3148" s="508">
        <v>1.0669999999999999</v>
      </c>
      <c r="AH3148" s="508">
        <v>1.056</v>
      </c>
      <c r="AI3148" s="492">
        <v>1.056</v>
      </c>
      <c r="AJ3148" s="485"/>
    </row>
    <row r="3149" spans="2:36">
      <c r="B3149" s="136" t="s">
        <v>451</v>
      </c>
      <c r="C3149" s="132" t="s">
        <v>1370</v>
      </c>
      <c r="D3149" s="132" t="s">
        <v>283</v>
      </c>
      <c r="E3149" s="508">
        <v>38.994</v>
      </c>
      <c r="F3149" s="508">
        <v>38.994</v>
      </c>
      <c r="G3149" s="508">
        <v>38.994</v>
      </c>
      <c r="H3149" s="508">
        <v>38.994</v>
      </c>
      <c r="I3149" s="508">
        <v>39.085999999999999</v>
      </c>
      <c r="J3149" s="508">
        <v>30.131</v>
      </c>
      <c r="K3149" s="508">
        <v>27.904</v>
      </c>
      <c r="L3149" s="508">
        <v>27.904</v>
      </c>
      <c r="M3149" s="508">
        <v>27.904</v>
      </c>
      <c r="N3149" s="508">
        <v>27.904</v>
      </c>
      <c r="O3149" s="508">
        <v>27.931999999999999</v>
      </c>
      <c r="P3149" s="508">
        <v>28.007000000000001</v>
      </c>
      <c r="Q3149" s="508">
        <v>28.007000000000001</v>
      </c>
      <c r="R3149" s="508">
        <v>25.356000000000002</v>
      </c>
      <c r="S3149" s="508">
        <v>18.777000000000001</v>
      </c>
      <c r="T3149" s="508">
        <v>18.222999999999999</v>
      </c>
      <c r="U3149" s="508">
        <v>19.081</v>
      </c>
      <c r="V3149" s="508">
        <v>19.231000000000002</v>
      </c>
      <c r="W3149" s="508">
        <v>9.8079999999999998</v>
      </c>
      <c r="X3149" s="508">
        <v>9.81</v>
      </c>
      <c r="Y3149" s="508">
        <v>9.8089999999999993</v>
      </c>
      <c r="Z3149" s="508">
        <v>9.8089999999999993</v>
      </c>
      <c r="AA3149" s="508">
        <v>7.0270000000000001</v>
      </c>
      <c r="AB3149" s="508">
        <v>7.008</v>
      </c>
      <c r="AC3149" s="508">
        <v>7.048</v>
      </c>
      <c r="AD3149" s="508">
        <v>1.7270000000000001</v>
      </c>
      <c r="AE3149" s="508">
        <v>1.7270000000000001</v>
      </c>
      <c r="AF3149" s="508">
        <v>1.1599999999999999</v>
      </c>
      <c r="AG3149" s="508">
        <v>1.1140000000000001</v>
      </c>
      <c r="AH3149" s="508">
        <v>1.1040000000000001</v>
      </c>
      <c r="AI3149" s="492">
        <v>1.1040000000000001</v>
      </c>
      <c r="AJ3149" s="485"/>
    </row>
    <row r="3150" spans="2:36">
      <c r="B3150" s="136" t="s">
        <v>452</v>
      </c>
      <c r="C3150" s="132" t="s">
        <v>1370</v>
      </c>
      <c r="D3150" s="132" t="s">
        <v>283</v>
      </c>
      <c r="E3150" s="508">
        <v>38.045000000000002</v>
      </c>
      <c r="F3150" s="508">
        <v>38.045000000000002</v>
      </c>
      <c r="G3150" s="508">
        <v>38.045000000000002</v>
      </c>
      <c r="H3150" s="508">
        <v>38.045000000000002</v>
      </c>
      <c r="I3150" s="508">
        <v>38.119</v>
      </c>
      <c r="J3150" s="508">
        <v>29.395</v>
      </c>
      <c r="K3150" s="508">
        <v>27.242000000000001</v>
      </c>
      <c r="L3150" s="508">
        <v>27.242000000000001</v>
      </c>
      <c r="M3150" s="508">
        <v>27.242000000000001</v>
      </c>
      <c r="N3150" s="508">
        <v>27.242000000000001</v>
      </c>
      <c r="O3150" s="508">
        <v>27.265000000000001</v>
      </c>
      <c r="P3150" s="508">
        <v>27.338000000000001</v>
      </c>
      <c r="Q3150" s="508">
        <v>27.338000000000001</v>
      </c>
      <c r="R3150" s="508">
        <v>24.954000000000001</v>
      </c>
      <c r="S3150" s="508">
        <v>18.36</v>
      </c>
      <c r="T3150" s="508">
        <v>17.818000000000001</v>
      </c>
      <c r="U3150" s="508">
        <v>18.655999999999999</v>
      </c>
      <c r="V3150" s="508">
        <v>18.803000000000001</v>
      </c>
      <c r="W3150" s="508">
        <v>9.3930000000000007</v>
      </c>
      <c r="X3150" s="508">
        <v>9.3949999999999996</v>
      </c>
      <c r="Y3150" s="508">
        <v>9.3940000000000001</v>
      </c>
      <c r="Z3150" s="508">
        <v>9.3940000000000001</v>
      </c>
      <c r="AA3150" s="508">
        <v>6.6680000000000001</v>
      </c>
      <c r="AB3150" s="508">
        <v>6.6509999999999998</v>
      </c>
      <c r="AC3150" s="508">
        <v>6.6870000000000003</v>
      </c>
      <c r="AD3150" s="508">
        <v>1.6539999999999999</v>
      </c>
      <c r="AE3150" s="508">
        <v>1.6539999999999999</v>
      </c>
      <c r="AF3150" s="508">
        <v>1.111</v>
      </c>
      <c r="AG3150" s="508">
        <v>1.0669999999999999</v>
      </c>
      <c r="AH3150" s="508">
        <v>1.056</v>
      </c>
      <c r="AI3150" s="492">
        <v>1.056</v>
      </c>
      <c r="AJ3150" s="485"/>
    </row>
    <row r="3151" spans="2:36">
      <c r="B3151" s="136" t="s">
        <v>453</v>
      </c>
      <c r="C3151" s="132" t="s">
        <v>1370</v>
      </c>
      <c r="D3151" s="132" t="s">
        <v>283</v>
      </c>
      <c r="E3151" s="508">
        <v>37.938000000000002</v>
      </c>
      <c r="F3151" s="508">
        <v>37.938000000000002</v>
      </c>
      <c r="G3151" s="508">
        <v>37.938000000000002</v>
      </c>
      <c r="H3151" s="508">
        <v>37.938000000000002</v>
      </c>
      <c r="I3151" s="508">
        <v>38.000999999999998</v>
      </c>
      <c r="J3151" s="508">
        <v>29.311</v>
      </c>
      <c r="K3151" s="508">
        <v>27.18</v>
      </c>
      <c r="L3151" s="508">
        <v>27.181000000000001</v>
      </c>
      <c r="M3151" s="508">
        <v>27.18</v>
      </c>
      <c r="N3151" s="508">
        <v>27.18</v>
      </c>
      <c r="O3151" s="508">
        <v>27.2</v>
      </c>
      <c r="P3151" s="508">
        <v>27.271999999999998</v>
      </c>
      <c r="Q3151" s="508">
        <v>27.271999999999998</v>
      </c>
      <c r="R3151" s="508">
        <v>25.030999999999999</v>
      </c>
      <c r="S3151" s="508">
        <v>18.324999999999999</v>
      </c>
      <c r="T3151" s="508">
        <v>17.786000000000001</v>
      </c>
      <c r="U3151" s="508">
        <v>18.619</v>
      </c>
      <c r="V3151" s="508">
        <v>18.765000000000001</v>
      </c>
      <c r="W3151" s="508">
        <v>9.2249999999999996</v>
      </c>
      <c r="X3151" s="508">
        <v>9.2270000000000003</v>
      </c>
      <c r="Y3151" s="508">
        <v>9.2260000000000009</v>
      </c>
      <c r="Z3151" s="508">
        <v>9.2249999999999996</v>
      </c>
      <c r="AA3151" s="508">
        <v>6.4969999999999999</v>
      </c>
      <c r="AB3151" s="508">
        <v>6.4809999999999999</v>
      </c>
      <c r="AC3151" s="508">
        <v>6.5149999999999997</v>
      </c>
      <c r="AD3151" s="508">
        <v>1.6240000000000001</v>
      </c>
      <c r="AE3151" s="508">
        <v>1.6240000000000001</v>
      </c>
      <c r="AF3151" s="508">
        <v>1.091</v>
      </c>
      <c r="AG3151" s="508">
        <v>1.048</v>
      </c>
      <c r="AH3151" s="508">
        <v>1.0369999999999999</v>
      </c>
      <c r="AI3151" s="492">
        <v>1.0369999999999999</v>
      </c>
      <c r="AJ3151" s="485"/>
    </row>
    <row r="3152" spans="2:36">
      <c r="B3152" s="136" t="s">
        <v>454</v>
      </c>
      <c r="C3152" s="132" t="s">
        <v>1370</v>
      </c>
      <c r="D3152" s="132" t="s">
        <v>283</v>
      </c>
      <c r="E3152" s="508">
        <v>37.392000000000003</v>
      </c>
      <c r="F3152" s="508">
        <v>37.392000000000003</v>
      </c>
      <c r="G3152" s="508">
        <v>37.392000000000003</v>
      </c>
      <c r="H3152" s="508">
        <v>37.392000000000003</v>
      </c>
      <c r="I3152" s="508">
        <v>37.46</v>
      </c>
      <c r="J3152" s="508">
        <v>28.888999999999999</v>
      </c>
      <c r="K3152" s="508">
        <v>26.785</v>
      </c>
      <c r="L3152" s="508">
        <v>26.785</v>
      </c>
      <c r="M3152" s="508">
        <v>26.785</v>
      </c>
      <c r="N3152" s="508">
        <v>26.785</v>
      </c>
      <c r="O3152" s="508">
        <v>26.806000000000001</v>
      </c>
      <c r="P3152" s="508">
        <v>26.876999999999999</v>
      </c>
      <c r="Q3152" s="508">
        <v>26.876999999999999</v>
      </c>
      <c r="R3152" s="508">
        <v>24.648</v>
      </c>
      <c r="S3152" s="508">
        <v>18.055</v>
      </c>
      <c r="T3152" s="508">
        <v>17.523</v>
      </c>
      <c r="U3152" s="508">
        <v>18.346</v>
      </c>
      <c r="V3152" s="508">
        <v>18.489999999999998</v>
      </c>
      <c r="W3152" s="508">
        <v>9.1319999999999997</v>
      </c>
      <c r="X3152" s="508">
        <v>9.1340000000000003</v>
      </c>
      <c r="Y3152" s="508">
        <v>9.1329999999999991</v>
      </c>
      <c r="Z3152" s="508">
        <v>9.1319999999999997</v>
      </c>
      <c r="AA3152" s="508">
        <v>6.4489999999999998</v>
      </c>
      <c r="AB3152" s="508">
        <v>6.4320000000000004</v>
      </c>
      <c r="AC3152" s="508">
        <v>6.4669999999999996</v>
      </c>
      <c r="AD3152" s="508">
        <v>1.6080000000000001</v>
      </c>
      <c r="AE3152" s="508">
        <v>1.6080000000000001</v>
      </c>
      <c r="AF3152" s="508">
        <v>1.08</v>
      </c>
      <c r="AG3152" s="508">
        <v>1.0369999999999999</v>
      </c>
      <c r="AH3152" s="508">
        <v>1.0269999999999999</v>
      </c>
      <c r="AI3152" s="492">
        <v>1.0269999999999999</v>
      </c>
      <c r="AJ3152" s="485"/>
    </row>
    <row r="3153" spans="2:36">
      <c r="B3153" s="136" t="s">
        <v>455</v>
      </c>
      <c r="C3153" s="132" t="s">
        <v>1370</v>
      </c>
      <c r="D3153" s="132" t="s">
        <v>283</v>
      </c>
      <c r="E3153" s="508">
        <v>37.238999999999997</v>
      </c>
      <c r="F3153" s="508">
        <v>37.24</v>
      </c>
      <c r="G3153" s="508">
        <v>37.238999999999997</v>
      </c>
      <c r="H3153" s="508">
        <v>37.238999999999997</v>
      </c>
      <c r="I3153" s="508">
        <v>37.298999999999999</v>
      </c>
      <c r="J3153" s="508">
        <v>28.77</v>
      </c>
      <c r="K3153" s="508">
        <v>26.687000000000001</v>
      </c>
      <c r="L3153" s="508">
        <v>26.687000000000001</v>
      </c>
      <c r="M3153" s="508">
        <v>26.687000000000001</v>
      </c>
      <c r="N3153" s="508">
        <v>26.687000000000001</v>
      </c>
      <c r="O3153" s="508">
        <v>26.706</v>
      </c>
      <c r="P3153" s="508">
        <v>26.774999999999999</v>
      </c>
      <c r="Q3153" s="508">
        <v>26.776</v>
      </c>
      <c r="R3153" s="508">
        <v>24.564</v>
      </c>
      <c r="S3153" s="508">
        <v>17.97</v>
      </c>
      <c r="T3153" s="508">
        <v>17.446999999999999</v>
      </c>
      <c r="U3153" s="508">
        <v>18.254999999999999</v>
      </c>
      <c r="V3153" s="508">
        <v>18.396999999999998</v>
      </c>
      <c r="W3153" s="508">
        <v>8.98</v>
      </c>
      <c r="X3153" s="508">
        <v>8.9830000000000005</v>
      </c>
      <c r="Y3153" s="508">
        <v>8.9809999999999999</v>
      </c>
      <c r="Z3153" s="508">
        <v>8.9809999999999999</v>
      </c>
      <c r="AA3153" s="508">
        <v>6.2919999999999998</v>
      </c>
      <c r="AB3153" s="508">
        <v>6.2759999999999998</v>
      </c>
      <c r="AC3153" s="508">
        <v>6.3090000000000002</v>
      </c>
      <c r="AD3153" s="508">
        <v>1.5820000000000001</v>
      </c>
      <c r="AE3153" s="508">
        <v>1.581</v>
      </c>
      <c r="AF3153" s="508">
        <v>1.0620000000000001</v>
      </c>
      <c r="AG3153" s="508">
        <v>1.02</v>
      </c>
      <c r="AH3153" s="508">
        <v>1.01</v>
      </c>
      <c r="AI3153" s="492">
        <v>1.01</v>
      </c>
      <c r="AJ3153" s="485"/>
    </row>
    <row r="3154" spans="2:36">
      <c r="B3154" s="136" t="s">
        <v>456</v>
      </c>
      <c r="C3154" s="132" t="s">
        <v>1370</v>
      </c>
      <c r="D3154" s="132" t="s">
        <v>283</v>
      </c>
      <c r="E3154" s="508">
        <v>35.067</v>
      </c>
      <c r="F3154" s="508">
        <v>35.067</v>
      </c>
      <c r="G3154" s="508">
        <v>35.067</v>
      </c>
      <c r="H3154" s="508">
        <v>35.067</v>
      </c>
      <c r="I3154" s="508">
        <v>35.136000000000003</v>
      </c>
      <c r="J3154" s="508">
        <v>27.094000000000001</v>
      </c>
      <c r="K3154" s="508">
        <v>25.117999999999999</v>
      </c>
      <c r="L3154" s="508">
        <v>25.117999999999999</v>
      </c>
      <c r="M3154" s="508">
        <v>25.117999999999999</v>
      </c>
      <c r="N3154" s="508">
        <v>25.117999999999999</v>
      </c>
      <c r="O3154" s="508">
        <v>25.138999999999999</v>
      </c>
      <c r="P3154" s="508">
        <v>25.204000000000001</v>
      </c>
      <c r="Q3154" s="508">
        <v>25.204000000000001</v>
      </c>
      <c r="R3154" s="508">
        <v>23.065000000000001</v>
      </c>
      <c r="S3154" s="508">
        <v>16.922999999999998</v>
      </c>
      <c r="T3154" s="508">
        <v>16.425999999999998</v>
      </c>
      <c r="U3154" s="508">
        <v>17.195</v>
      </c>
      <c r="V3154" s="508">
        <v>17.329999999999998</v>
      </c>
      <c r="W3154" s="508">
        <v>8.5790000000000006</v>
      </c>
      <c r="X3154" s="508">
        <v>8.5809999999999995</v>
      </c>
      <c r="Y3154" s="508">
        <v>8.58</v>
      </c>
      <c r="Z3154" s="508">
        <v>8.5790000000000006</v>
      </c>
      <c r="AA3154" s="508">
        <v>6.0609999999999999</v>
      </c>
      <c r="AB3154" s="508">
        <v>6.0449999999999999</v>
      </c>
      <c r="AC3154" s="508">
        <v>6.0780000000000003</v>
      </c>
      <c r="AD3154" s="508">
        <v>1.5109999999999999</v>
      </c>
      <c r="AE3154" s="508">
        <v>1.51</v>
      </c>
      <c r="AF3154" s="508">
        <v>1.0149999999999999</v>
      </c>
      <c r="AG3154" s="508">
        <v>0.97399999999999998</v>
      </c>
      <c r="AH3154" s="508">
        <v>0.96499999999999997</v>
      </c>
      <c r="AI3154" s="492">
        <v>0.96499999999999997</v>
      </c>
      <c r="AJ3154" s="485"/>
    </row>
    <row r="3155" spans="2:36">
      <c r="B3155" s="136" t="s">
        <v>457</v>
      </c>
      <c r="C3155" s="132" t="s">
        <v>1370</v>
      </c>
      <c r="D3155" s="132" t="s">
        <v>283</v>
      </c>
      <c r="E3155" s="508">
        <v>38.270000000000003</v>
      </c>
      <c r="F3155" s="508">
        <v>38.270000000000003</v>
      </c>
      <c r="G3155" s="508">
        <v>38.270000000000003</v>
      </c>
      <c r="H3155" s="508">
        <v>38.270000000000003</v>
      </c>
      <c r="I3155" s="508">
        <v>38.33</v>
      </c>
      <c r="J3155" s="508">
        <v>29.565999999999999</v>
      </c>
      <c r="K3155" s="508">
        <v>27.422999999999998</v>
      </c>
      <c r="L3155" s="508">
        <v>27.422999999999998</v>
      </c>
      <c r="M3155" s="508">
        <v>27.422999999999998</v>
      </c>
      <c r="N3155" s="508">
        <v>27.422999999999998</v>
      </c>
      <c r="O3155" s="508">
        <v>27.440999999999999</v>
      </c>
      <c r="P3155" s="508">
        <v>27.515000000000001</v>
      </c>
      <c r="Q3155" s="508">
        <v>27.515000000000001</v>
      </c>
      <c r="R3155" s="508">
        <v>25.327999999999999</v>
      </c>
      <c r="S3155" s="508">
        <v>18.497</v>
      </c>
      <c r="T3155" s="508">
        <v>17.952999999999999</v>
      </c>
      <c r="U3155" s="508">
        <v>18.795000000000002</v>
      </c>
      <c r="V3155" s="508">
        <v>18.942</v>
      </c>
      <c r="W3155" s="508">
        <v>9.2560000000000002</v>
      </c>
      <c r="X3155" s="508">
        <v>9.2579999999999991</v>
      </c>
      <c r="Y3155" s="508">
        <v>9.2569999999999997</v>
      </c>
      <c r="Z3155" s="508">
        <v>9.2560000000000002</v>
      </c>
      <c r="AA3155" s="508">
        <v>6.5039999999999996</v>
      </c>
      <c r="AB3155" s="508">
        <v>6.4870000000000001</v>
      </c>
      <c r="AC3155" s="508">
        <v>6.5209999999999999</v>
      </c>
      <c r="AD3155" s="508">
        <v>1.63</v>
      </c>
      <c r="AE3155" s="508">
        <v>1.629</v>
      </c>
      <c r="AF3155" s="508">
        <v>1.095</v>
      </c>
      <c r="AG3155" s="508">
        <v>1.0509999999999999</v>
      </c>
      <c r="AH3155" s="508">
        <v>1.04</v>
      </c>
      <c r="AI3155" s="492">
        <v>1.04</v>
      </c>
      <c r="AJ3155" s="485"/>
    </row>
    <row r="3156" spans="2:36">
      <c r="B3156" s="136" t="s">
        <v>458</v>
      </c>
      <c r="C3156" s="132" t="s">
        <v>1370</v>
      </c>
      <c r="D3156" s="132" t="s">
        <v>283</v>
      </c>
      <c r="E3156" s="508">
        <v>37.86</v>
      </c>
      <c r="F3156" s="508">
        <v>37.86</v>
      </c>
      <c r="G3156" s="508">
        <v>37.86</v>
      </c>
      <c r="H3156" s="508">
        <v>37.86</v>
      </c>
      <c r="I3156" s="508">
        <v>37.933999999999997</v>
      </c>
      <c r="J3156" s="508">
        <v>29.251999999999999</v>
      </c>
      <c r="K3156" s="508">
        <v>27.117000000000001</v>
      </c>
      <c r="L3156" s="508">
        <v>27.117000000000001</v>
      </c>
      <c r="M3156" s="508">
        <v>27.117000000000001</v>
      </c>
      <c r="N3156" s="508">
        <v>27.117000000000001</v>
      </c>
      <c r="O3156" s="508">
        <v>27.14</v>
      </c>
      <c r="P3156" s="508">
        <v>27.210999999999999</v>
      </c>
      <c r="Q3156" s="508">
        <v>27.21</v>
      </c>
      <c r="R3156" s="508">
        <v>24.864999999999998</v>
      </c>
      <c r="S3156" s="508">
        <v>18.251999999999999</v>
      </c>
      <c r="T3156" s="508">
        <v>17.716000000000001</v>
      </c>
      <c r="U3156" s="508">
        <v>18.545000000000002</v>
      </c>
      <c r="V3156" s="508">
        <v>18.689</v>
      </c>
      <c r="W3156" s="508">
        <v>9.2810000000000006</v>
      </c>
      <c r="X3156" s="508">
        <v>9.2829999999999995</v>
      </c>
      <c r="Y3156" s="508">
        <v>9.282</v>
      </c>
      <c r="Z3156" s="508">
        <v>9.2810000000000006</v>
      </c>
      <c r="AA3156" s="508">
        <v>6.5640000000000001</v>
      </c>
      <c r="AB3156" s="508">
        <v>6.5469999999999997</v>
      </c>
      <c r="AC3156" s="508">
        <v>6.5830000000000002</v>
      </c>
      <c r="AD3156" s="508">
        <v>1.6339999999999999</v>
      </c>
      <c r="AE3156" s="508">
        <v>1.6339999999999999</v>
      </c>
      <c r="AF3156" s="508">
        <v>1.0980000000000001</v>
      </c>
      <c r="AG3156" s="508">
        <v>1.054</v>
      </c>
      <c r="AH3156" s="508">
        <v>1.044</v>
      </c>
      <c r="AI3156" s="492">
        <v>1.044</v>
      </c>
      <c r="AJ3156" s="485"/>
    </row>
    <row r="3157" spans="2:36">
      <c r="B3157" s="136" t="s">
        <v>459</v>
      </c>
      <c r="C3157" s="132" t="s">
        <v>1370</v>
      </c>
      <c r="D3157" s="132" t="s">
        <v>283</v>
      </c>
      <c r="E3157" s="508">
        <v>38.591999999999999</v>
      </c>
      <c r="F3157" s="508">
        <v>38.591999999999999</v>
      </c>
      <c r="G3157" s="508">
        <v>38.591999999999999</v>
      </c>
      <c r="H3157" s="508">
        <v>38.591999999999999</v>
      </c>
      <c r="I3157" s="508">
        <v>38.667000000000002</v>
      </c>
      <c r="J3157" s="508">
        <v>29.817</v>
      </c>
      <c r="K3157" s="508">
        <v>27.641999999999999</v>
      </c>
      <c r="L3157" s="508">
        <v>27.641999999999999</v>
      </c>
      <c r="M3157" s="508">
        <v>27.641999999999999</v>
      </c>
      <c r="N3157" s="508">
        <v>27.641999999999999</v>
      </c>
      <c r="O3157" s="508">
        <v>27.664999999999999</v>
      </c>
      <c r="P3157" s="508">
        <v>27.736999999999998</v>
      </c>
      <c r="Q3157" s="508">
        <v>27.736999999999998</v>
      </c>
      <c r="R3157" s="508">
        <v>25.346</v>
      </c>
      <c r="S3157" s="508">
        <v>18.605</v>
      </c>
      <c r="T3157" s="508">
        <v>18.059000000000001</v>
      </c>
      <c r="U3157" s="508">
        <v>18.902999999999999</v>
      </c>
      <c r="V3157" s="508">
        <v>19.050999999999998</v>
      </c>
      <c r="W3157" s="508">
        <v>9.4559999999999995</v>
      </c>
      <c r="X3157" s="508">
        <v>9.4580000000000002</v>
      </c>
      <c r="Y3157" s="508">
        <v>9.4570000000000007</v>
      </c>
      <c r="Z3157" s="508">
        <v>9.4570000000000007</v>
      </c>
      <c r="AA3157" s="508">
        <v>6.6859999999999999</v>
      </c>
      <c r="AB3157" s="508">
        <v>6.6689999999999996</v>
      </c>
      <c r="AC3157" s="508">
        <v>6.7050000000000001</v>
      </c>
      <c r="AD3157" s="508">
        <v>1.665</v>
      </c>
      <c r="AE3157" s="508">
        <v>1.665</v>
      </c>
      <c r="AF3157" s="508">
        <v>1.1180000000000001</v>
      </c>
      <c r="AG3157" s="508">
        <v>1.0740000000000001</v>
      </c>
      <c r="AH3157" s="508">
        <v>1.0629999999999999</v>
      </c>
      <c r="AI3157" s="492">
        <v>1.0629999999999999</v>
      </c>
      <c r="AJ3157" s="485"/>
    </row>
    <row r="3158" spans="2:36">
      <c r="B3158" s="136" t="s">
        <v>460</v>
      </c>
      <c r="C3158" s="132" t="s">
        <v>1370</v>
      </c>
      <c r="D3158" s="132" t="s">
        <v>283</v>
      </c>
      <c r="E3158" s="508">
        <v>38.539000000000001</v>
      </c>
      <c r="F3158" s="508">
        <v>38.539000000000001</v>
      </c>
      <c r="G3158" s="508">
        <v>38.54</v>
      </c>
      <c r="H3158" s="508">
        <v>38.539000000000001</v>
      </c>
      <c r="I3158" s="508">
        <v>38.610999999999997</v>
      </c>
      <c r="J3158" s="508">
        <v>29.776</v>
      </c>
      <c r="K3158" s="508">
        <v>27.603000000000002</v>
      </c>
      <c r="L3158" s="508">
        <v>27.603000000000002</v>
      </c>
      <c r="M3158" s="508">
        <v>27.603000000000002</v>
      </c>
      <c r="N3158" s="508">
        <v>27.603000000000002</v>
      </c>
      <c r="O3158" s="508">
        <v>27.625</v>
      </c>
      <c r="P3158" s="508">
        <v>27.698</v>
      </c>
      <c r="Q3158" s="508">
        <v>27.698</v>
      </c>
      <c r="R3158" s="508">
        <v>25.302</v>
      </c>
      <c r="S3158" s="508">
        <v>18.588999999999999</v>
      </c>
      <c r="T3158" s="508">
        <v>18.044</v>
      </c>
      <c r="U3158" s="508">
        <v>18.887</v>
      </c>
      <c r="V3158" s="508">
        <v>19.035</v>
      </c>
      <c r="W3158" s="508">
        <v>9.4529999999999994</v>
      </c>
      <c r="X3158" s="508">
        <v>9.4550000000000001</v>
      </c>
      <c r="Y3158" s="508">
        <v>9.4540000000000006</v>
      </c>
      <c r="Z3158" s="508">
        <v>9.4540000000000006</v>
      </c>
      <c r="AA3158" s="508">
        <v>6.6859999999999999</v>
      </c>
      <c r="AB3158" s="508">
        <v>6.6689999999999996</v>
      </c>
      <c r="AC3158" s="508">
        <v>6.7050000000000001</v>
      </c>
      <c r="AD3158" s="508">
        <v>1.665</v>
      </c>
      <c r="AE3158" s="508">
        <v>1.6639999999999999</v>
      </c>
      <c r="AF3158" s="508">
        <v>1.1180000000000001</v>
      </c>
      <c r="AG3158" s="508">
        <v>1.0740000000000001</v>
      </c>
      <c r="AH3158" s="508">
        <v>1.0629999999999999</v>
      </c>
      <c r="AI3158" s="492">
        <v>1.0629999999999999</v>
      </c>
      <c r="AJ3158" s="485"/>
    </row>
    <row r="3159" spans="2:36">
      <c r="B3159" s="136" t="s">
        <v>461</v>
      </c>
      <c r="C3159" s="132" t="s">
        <v>1370</v>
      </c>
      <c r="D3159" s="132" t="s">
        <v>283</v>
      </c>
      <c r="E3159" s="508">
        <v>38.508000000000003</v>
      </c>
      <c r="F3159" s="508">
        <v>38.508000000000003</v>
      </c>
      <c r="G3159" s="508">
        <v>38.508000000000003</v>
      </c>
      <c r="H3159" s="508">
        <v>38.508000000000003</v>
      </c>
      <c r="I3159" s="508">
        <v>38.58</v>
      </c>
      <c r="J3159" s="508">
        <v>29.751999999999999</v>
      </c>
      <c r="K3159" s="508">
        <v>27.579000000000001</v>
      </c>
      <c r="L3159" s="508">
        <v>27.579000000000001</v>
      </c>
      <c r="M3159" s="508">
        <v>27.579000000000001</v>
      </c>
      <c r="N3159" s="508">
        <v>27.579000000000001</v>
      </c>
      <c r="O3159" s="508">
        <v>27.600999999999999</v>
      </c>
      <c r="P3159" s="508">
        <v>27.675000000000001</v>
      </c>
      <c r="Q3159" s="508">
        <v>27.675000000000001</v>
      </c>
      <c r="R3159" s="508">
        <v>25.363</v>
      </c>
      <c r="S3159" s="508">
        <v>18.596</v>
      </c>
      <c r="T3159" s="508">
        <v>18.045000000000002</v>
      </c>
      <c r="U3159" s="508">
        <v>18.896999999999998</v>
      </c>
      <c r="V3159" s="508">
        <v>19.045999999999999</v>
      </c>
      <c r="W3159" s="508">
        <v>9.4600000000000009</v>
      </c>
      <c r="X3159" s="508">
        <v>9.4619999999999997</v>
      </c>
      <c r="Y3159" s="508">
        <v>9.4610000000000003</v>
      </c>
      <c r="Z3159" s="508">
        <v>9.4600000000000009</v>
      </c>
      <c r="AA3159" s="508">
        <v>6.7050000000000001</v>
      </c>
      <c r="AB3159" s="508">
        <v>6.6870000000000003</v>
      </c>
      <c r="AC3159" s="508">
        <v>6.7240000000000002</v>
      </c>
      <c r="AD3159" s="508">
        <v>1.6659999999999999</v>
      </c>
      <c r="AE3159" s="508">
        <v>1.665</v>
      </c>
      <c r="AF3159" s="508">
        <v>1.119</v>
      </c>
      <c r="AG3159" s="508">
        <v>1.0740000000000001</v>
      </c>
      <c r="AH3159" s="508">
        <v>1.0640000000000001</v>
      </c>
      <c r="AI3159" s="492">
        <v>1.0640000000000001</v>
      </c>
      <c r="AJ3159" s="485"/>
    </row>
    <row r="3160" spans="2:36">
      <c r="B3160" s="136" t="s">
        <v>462</v>
      </c>
      <c r="C3160" s="132" t="s">
        <v>1370</v>
      </c>
      <c r="D3160" s="132" t="s">
        <v>283</v>
      </c>
      <c r="E3160" s="508">
        <v>35.329000000000001</v>
      </c>
      <c r="F3160" s="508">
        <v>35.33</v>
      </c>
      <c r="G3160" s="508">
        <v>35.329000000000001</v>
      </c>
      <c r="H3160" s="508">
        <v>35.33</v>
      </c>
      <c r="I3160" s="508">
        <v>35.398000000000003</v>
      </c>
      <c r="J3160" s="508">
        <v>27.297000000000001</v>
      </c>
      <c r="K3160" s="508">
        <v>25.303000000000001</v>
      </c>
      <c r="L3160" s="508">
        <v>25.303000000000001</v>
      </c>
      <c r="M3160" s="508">
        <v>25.303000000000001</v>
      </c>
      <c r="N3160" s="508">
        <v>25.303000000000001</v>
      </c>
      <c r="O3160" s="508">
        <v>25.324000000000002</v>
      </c>
      <c r="P3160" s="508">
        <v>25.390999999999998</v>
      </c>
      <c r="Q3160" s="508">
        <v>25.390999999999998</v>
      </c>
      <c r="R3160" s="508">
        <v>23.321999999999999</v>
      </c>
      <c r="S3160" s="508">
        <v>17.079000000000001</v>
      </c>
      <c r="T3160" s="508">
        <v>16.571999999999999</v>
      </c>
      <c r="U3160" s="508">
        <v>17.356999999999999</v>
      </c>
      <c r="V3160" s="508">
        <v>17.494</v>
      </c>
      <c r="W3160" s="508">
        <v>8.6669999999999998</v>
      </c>
      <c r="X3160" s="508">
        <v>8.6690000000000005</v>
      </c>
      <c r="Y3160" s="508">
        <v>8.6679999999999993</v>
      </c>
      <c r="Z3160" s="508">
        <v>8.6669999999999998</v>
      </c>
      <c r="AA3160" s="508">
        <v>6.14</v>
      </c>
      <c r="AB3160" s="508">
        <v>6.1239999999999997</v>
      </c>
      <c r="AC3160" s="508">
        <v>6.1580000000000004</v>
      </c>
      <c r="AD3160" s="508">
        <v>1.526</v>
      </c>
      <c r="AE3160" s="508">
        <v>1.526</v>
      </c>
      <c r="AF3160" s="508">
        <v>1.0249999999999999</v>
      </c>
      <c r="AG3160" s="508">
        <v>0.98399999999999999</v>
      </c>
      <c r="AH3160" s="508">
        <v>0.97399999999999998</v>
      </c>
      <c r="AI3160" s="492">
        <v>0.97399999999999998</v>
      </c>
      <c r="AJ3160" s="485"/>
    </row>
    <row r="3161" spans="2:36">
      <c r="B3161" s="136" t="s">
        <v>463</v>
      </c>
      <c r="C3161" s="132" t="s">
        <v>1370</v>
      </c>
      <c r="D3161" s="132" t="s">
        <v>283</v>
      </c>
      <c r="E3161" s="508">
        <v>37.122999999999998</v>
      </c>
      <c r="F3161" s="508">
        <v>37.122999999999998</v>
      </c>
      <c r="G3161" s="508">
        <v>37.122999999999998</v>
      </c>
      <c r="H3161" s="508">
        <v>37.122999999999998</v>
      </c>
      <c r="I3161" s="508">
        <v>37.186</v>
      </c>
      <c r="J3161" s="508">
        <v>28.681000000000001</v>
      </c>
      <c r="K3161" s="508">
        <v>26.602</v>
      </c>
      <c r="L3161" s="508">
        <v>26.602</v>
      </c>
      <c r="M3161" s="508">
        <v>26.602</v>
      </c>
      <c r="N3161" s="508">
        <v>26.602</v>
      </c>
      <c r="O3161" s="508">
        <v>26.620999999999999</v>
      </c>
      <c r="P3161" s="508">
        <v>26.69</v>
      </c>
      <c r="Q3161" s="508">
        <v>26.69</v>
      </c>
      <c r="R3161" s="508">
        <v>24.52</v>
      </c>
      <c r="S3161" s="508">
        <v>17.916</v>
      </c>
      <c r="T3161" s="508">
        <v>17.391999999999999</v>
      </c>
      <c r="U3161" s="508">
        <v>18.202000000000002</v>
      </c>
      <c r="V3161" s="508">
        <v>18.344000000000001</v>
      </c>
      <c r="W3161" s="508">
        <v>8.9710000000000001</v>
      </c>
      <c r="X3161" s="508">
        <v>8.9730000000000008</v>
      </c>
      <c r="Y3161" s="508">
        <v>8.9719999999999995</v>
      </c>
      <c r="Z3161" s="508">
        <v>8.9710000000000001</v>
      </c>
      <c r="AA3161" s="508">
        <v>6.298</v>
      </c>
      <c r="AB3161" s="508">
        <v>6.282</v>
      </c>
      <c r="AC3161" s="508">
        <v>6.3150000000000004</v>
      </c>
      <c r="AD3161" s="508">
        <v>1.58</v>
      </c>
      <c r="AE3161" s="508">
        <v>1.579</v>
      </c>
      <c r="AF3161" s="508">
        <v>1.0609999999999999</v>
      </c>
      <c r="AG3161" s="508">
        <v>1.0189999999999999</v>
      </c>
      <c r="AH3161" s="508">
        <v>1.008</v>
      </c>
      <c r="AI3161" s="492">
        <v>1.008</v>
      </c>
      <c r="AJ3161" s="485"/>
    </row>
    <row r="3162" spans="2:36">
      <c r="B3162" s="136" t="s">
        <v>464</v>
      </c>
      <c r="C3162" s="132" t="s">
        <v>1370</v>
      </c>
      <c r="D3162" s="132" t="s">
        <v>283</v>
      </c>
      <c r="E3162" s="508">
        <v>38.621000000000002</v>
      </c>
      <c r="F3162" s="508">
        <v>38.621000000000002</v>
      </c>
      <c r="G3162" s="508">
        <v>38.621000000000002</v>
      </c>
      <c r="H3162" s="508">
        <v>38.621000000000002</v>
      </c>
      <c r="I3162" s="508">
        <v>38.677999999999997</v>
      </c>
      <c r="J3162" s="508">
        <v>29.837</v>
      </c>
      <c r="K3162" s="508">
        <v>27.678000000000001</v>
      </c>
      <c r="L3162" s="508">
        <v>27.678000000000001</v>
      </c>
      <c r="M3162" s="508">
        <v>27.678000000000001</v>
      </c>
      <c r="N3162" s="508">
        <v>27.678000000000001</v>
      </c>
      <c r="O3162" s="508">
        <v>27.695</v>
      </c>
      <c r="P3162" s="508">
        <v>27.768999999999998</v>
      </c>
      <c r="Q3162" s="508">
        <v>27.768999999999998</v>
      </c>
      <c r="R3162" s="508">
        <v>25.54</v>
      </c>
      <c r="S3162" s="508">
        <v>18.658000000000001</v>
      </c>
      <c r="T3162" s="508">
        <v>18.111999999999998</v>
      </c>
      <c r="U3162" s="508">
        <v>18.956</v>
      </c>
      <c r="V3162" s="508">
        <v>19.103000000000002</v>
      </c>
      <c r="W3162" s="508">
        <v>9.3070000000000004</v>
      </c>
      <c r="X3162" s="508">
        <v>9.31</v>
      </c>
      <c r="Y3162" s="508">
        <v>9.3089999999999993</v>
      </c>
      <c r="Z3162" s="508">
        <v>9.3079999999999998</v>
      </c>
      <c r="AA3162" s="508">
        <v>6.5229999999999997</v>
      </c>
      <c r="AB3162" s="508">
        <v>6.5060000000000002</v>
      </c>
      <c r="AC3162" s="508">
        <v>6.5410000000000004</v>
      </c>
      <c r="AD3162" s="508">
        <v>1.639</v>
      </c>
      <c r="AE3162" s="508">
        <v>1.6379999999999999</v>
      </c>
      <c r="AF3162" s="508">
        <v>1.101</v>
      </c>
      <c r="AG3162" s="508">
        <v>1.0569999999999999</v>
      </c>
      <c r="AH3162" s="508">
        <v>1.046</v>
      </c>
      <c r="AI3162" s="492">
        <v>1.046</v>
      </c>
      <c r="AJ3162" s="485"/>
    </row>
    <row r="3163" spans="2:36">
      <c r="B3163" s="136" t="s">
        <v>465</v>
      </c>
      <c r="C3163" s="132" t="s">
        <v>1370</v>
      </c>
      <c r="D3163" s="132" t="s">
        <v>283</v>
      </c>
      <c r="E3163" s="508">
        <v>38.139000000000003</v>
      </c>
      <c r="F3163" s="508">
        <v>38.139000000000003</v>
      </c>
      <c r="G3163" s="508">
        <v>38.139000000000003</v>
      </c>
      <c r="H3163" s="508">
        <v>38.139000000000003</v>
      </c>
      <c r="I3163" s="508">
        <v>38.198999999999998</v>
      </c>
      <c r="J3163" s="508">
        <v>29.465</v>
      </c>
      <c r="K3163" s="508">
        <v>27.331</v>
      </c>
      <c r="L3163" s="508">
        <v>27.331</v>
      </c>
      <c r="M3163" s="508">
        <v>27.331</v>
      </c>
      <c r="N3163" s="508">
        <v>27.331</v>
      </c>
      <c r="O3163" s="508">
        <v>27.349</v>
      </c>
      <c r="P3163" s="508">
        <v>27.422000000000001</v>
      </c>
      <c r="Q3163" s="508">
        <v>27.422000000000001</v>
      </c>
      <c r="R3163" s="508">
        <v>25.155000000000001</v>
      </c>
      <c r="S3163" s="508">
        <v>18.405999999999999</v>
      </c>
      <c r="T3163" s="508">
        <v>17.87</v>
      </c>
      <c r="U3163" s="508">
        <v>18.699000000000002</v>
      </c>
      <c r="V3163" s="508">
        <v>18.844000000000001</v>
      </c>
      <c r="W3163" s="508">
        <v>9.2070000000000007</v>
      </c>
      <c r="X3163" s="508">
        <v>9.2089999999999996</v>
      </c>
      <c r="Y3163" s="508">
        <v>9.2080000000000002</v>
      </c>
      <c r="Z3163" s="508">
        <v>9.2070000000000007</v>
      </c>
      <c r="AA3163" s="508">
        <v>6.4550000000000001</v>
      </c>
      <c r="AB3163" s="508">
        <v>6.4390000000000001</v>
      </c>
      <c r="AC3163" s="508">
        <v>6.4729999999999999</v>
      </c>
      <c r="AD3163" s="508">
        <v>1.621</v>
      </c>
      <c r="AE3163" s="508">
        <v>1.621</v>
      </c>
      <c r="AF3163" s="508">
        <v>1.089</v>
      </c>
      <c r="AG3163" s="508">
        <v>1.046</v>
      </c>
      <c r="AH3163" s="508">
        <v>1.0349999999999999</v>
      </c>
      <c r="AI3163" s="492">
        <v>1.0349999999999999</v>
      </c>
      <c r="AJ3163" s="485"/>
    </row>
    <row r="3164" spans="2:36">
      <c r="B3164" s="136" t="s">
        <v>466</v>
      </c>
      <c r="C3164" s="132" t="s">
        <v>1370</v>
      </c>
      <c r="D3164" s="132" t="s">
        <v>283</v>
      </c>
      <c r="E3164" s="508">
        <v>39.591999999999999</v>
      </c>
      <c r="F3164" s="508">
        <v>39.591999999999999</v>
      </c>
      <c r="G3164" s="508">
        <v>39.591999999999999</v>
      </c>
      <c r="H3164" s="508">
        <v>39.591999999999999</v>
      </c>
      <c r="I3164" s="508">
        <v>39.670999999999999</v>
      </c>
      <c r="J3164" s="508">
        <v>30.591000000000001</v>
      </c>
      <c r="K3164" s="508">
        <v>28.347999999999999</v>
      </c>
      <c r="L3164" s="508">
        <v>28.347999999999999</v>
      </c>
      <c r="M3164" s="508">
        <v>28.347999999999999</v>
      </c>
      <c r="N3164" s="508">
        <v>28.347999999999999</v>
      </c>
      <c r="O3164" s="508">
        <v>28.372</v>
      </c>
      <c r="P3164" s="508">
        <v>28.448</v>
      </c>
      <c r="Q3164" s="508">
        <v>28.448</v>
      </c>
      <c r="R3164" s="508">
        <v>25.869</v>
      </c>
      <c r="S3164" s="508">
        <v>19.081</v>
      </c>
      <c r="T3164" s="508">
        <v>18.521999999999998</v>
      </c>
      <c r="U3164" s="508">
        <v>19.387</v>
      </c>
      <c r="V3164" s="508">
        <v>19.539000000000001</v>
      </c>
      <c r="W3164" s="508">
        <v>9.8010000000000002</v>
      </c>
      <c r="X3164" s="508">
        <v>9.8030000000000008</v>
      </c>
      <c r="Y3164" s="508">
        <v>9.8019999999999996</v>
      </c>
      <c r="Z3164" s="508">
        <v>9.8010000000000002</v>
      </c>
      <c r="AA3164" s="508">
        <v>6.9610000000000003</v>
      </c>
      <c r="AB3164" s="508">
        <v>6.9429999999999996</v>
      </c>
      <c r="AC3164" s="508">
        <v>6.9809999999999999</v>
      </c>
      <c r="AD3164" s="508">
        <v>1.726</v>
      </c>
      <c r="AE3164" s="508">
        <v>1.7250000000000001</v>
      </c>
      <c r="AF3164" s="508">
        <v>1.159</v>
      </c>
      <c r="AG3164" s="508">
        <v>1.113</v>
      </c>
      <c r="AH3164" s="508">
        <v>1.1020000000000001</v>
      </c>
      <c r="AI3164" s="492">
        <v>1.1020000000000001</v>
      </c>
      <c r="AJ3164" s="485"/>
    </row>
    <row r="3165" spans="2:36">
      <c r="B3165" s="136" t="s">
        <v>467</v>
      </c>
      <c r="C3165" s="132" t="s">
        <v>1370</v>
      </c>
      <c r="D3165" s="132" t="s">
        <v>283</v>
      </c>
      <c r="E3165" s="508">
        <v>38.362000000000002</v>
      </c>
      <c r="F3165" s="508">
        <v>38.362000000000002</v>
      </c>
      <c r="G3165" s="508">
        <v>38.362000000000002</v>
      </c>
      <c r="H3165" s="508">
        <v>38.362000000000002</v>
      </c>
      <c r="I3165" s="508">
        <v>38.432000000000002</v>
      </c>
      <c r="J3165" s="508">
        <v>29.638999999999999</v>
      </c>
      <c r="K3165" s="508">
        <v>27.475999999999999</v>
      </c>
      <c r="L3165" s="508">
        <v>27.475999999999999</v>
      </c>
      <c r="M3165" s="508">
        <v>27.475999999999999</v>
      </c>
      <c r="N3165" s="508">
        <v>27.475999999999999</v>
      </c>
      <c r="O3165" s="508">
        <v>27.497</v>
      </c>
      <c r="P3165" s="508">
        <v>27.571000000000002</v>
      </c>
      <c r="Q3165" s="508">
        <v>27.571000000000002</v>
      </c>
      <c r="R3165" s="508">
        <v>25.286000000000001</v>
      </c>
      <c r="S3165" s="508">
        <v>18.529</v>
      </c>
      <c r="T3165" s="508">
        <v>17.981000000000002</v>
      </c>
      <c r="U3165" s="508">
        <v>18.829000000000001</v>
      </c>
      <c r="V3165" s="508">
        <v>18.978000000000002</v>
      </c>
      <c r="W3165" s="508">
        <v>9.407</v>
      </c>
      <c r="X3165" s="508">
        <v>9.4090000000000007</v>
      </c>
      <c r="Y3165" s="508">
        <v>9.4079999999999995</v>
      </c>
      <c r="Z3165" s="508">
        <v>9.407</v>
      </c>
      <c r="AA3165" s="508">
        <v>6.6609999999999996</v>
      </c>
      <c r="AB3165" s="508">
        <v>6.6429999999999998</v>
      </c>
      <c r="AC3165" s="508">
        <v>6.6790000000000003</v>
      </c>
      <c r="AD3165" s="508">
        <v>1.657</v>
      </c>
      <c r="AE3165" s="508">
        <v>1.6559999999999999</v>
      </c>
      <c r="AF3165" s="508">
        <v>1.113</v>
      </c>
      <c r="AG3165" s="508">
        <v>1.0680000000000001</v>
      </c>
      <c r="AH3165" s="508">
        <v>1.0580000000000001</v>
      </c>
      <c r="AI3165" s="492">
        <v>1.0580000000000001</v>
      </c>
      <c r="AJ3165" s="485"/>
    </row>
    <row r="3166" spans="2:36">
      <c r="B3166" s="136" t="s">
        <v>468</v>
      </c>
      <c r="C3166" s="132" t="s">
        <v>1370</v>
      </c>
      <c r="D3166" s="132" t="s">
        <v>283</v>
      </c>
      <c r="E3166" s="508">
        <v>37.950000000000003</v>
      </c>
      <c r="F3166" s="508">
        <v>37.950000000000003</v>
      </c>
      <c r="G3166" s="508">
        <v>37.950000000000003</v>
      </c>
      <c r="H3166" s="508">
        <v>37.950000000000003</v>
      </c>
      <c r="I3166" s="508">
        <v>38.003</v>
      </c>
      <c r="J3166" s="508">
        <v>29.318000000000001</v>
      </c>
      <c r="K3166" s="508">
        <v>27.204999999999998</v>
      </c>
      <c r="L3166" s="508">
        <v>27.204999999999998</v>
      </c>
      <c r="M3166" s="508">
        <v>27.204999999999998</v>
      </c>
      <c r="N3166" s="508">
        <v>27.204999999999998</v>
      </c>
      <c r="O3166" s="508">
        <v>27.221</v>
      </c>
      <c r="P3166" s="508">
        <v>27.292999999999999</v>
      </c>
      <c r="Q3166" s="508">
        <v>27.292999999999999</v>
      </c>
      <c r="R3166" s="508">
        <v>25.053000000000001</v>
      </c>
      <c r="S3166" s="508">
        <v>18.305</v>
      </c>
      <c r="T3166" s="508">
        <v>17.777000000000001</v>
      </c>
      <c r="U3166" s="508">
        <v>18.594000000000001</v>
      </c>
      <c r="V3166" s="508">
        <v>18.736000000000001</v>
      </c>
      <c r="W3166" s="508">
        <v>9.07</v>
      </c>
      <c r="X3166" s="508">
        <v>9.0719999999999992</v>
      </c>
      <c r="Y3166" s="508">
        <v>9.0709999999999997</v>
      </c>
      <c r="Z3166" s="508">
        <v>9.07</v>
      </c>
      <c r="AA3166" s="508">
        <v>6.319</v>
      </c>
      <c r="AB3166" s="508">
        <v>6.3029999999999999</v>
      </c>
      <c r="AC3166" s="508">
        <v>6.3360000000000003</v>
      </c>
      <c r="AD3166" s="508">
        <v>1.597</v>
      </c>
      <c r="AE3166" s="508">
        <v>1.597</v>
      </c>
      <c r="AF3166" s="508">
        <v>1.073</v>
      </c>
      <c r="AG3166" s="508">
        <v>1.03</v>
      </c>
      <c r="AH3166" s="508">
        <v>1.02</v>
      </c>
      <c r="AI3166" s="492">
        <v>1.02</v>
      </c>
      <c r="AJ3166" s="485"/>
    </row>
    <row r="3167" spans="2:36">
      <c r="B3167" s="136" t="s">
        <v>469</v>
      </c>
      <c r="C3167" s="132" t="s">
        <v>1370</v>
      </c>
      <c r="D3167" s="132" t="s">
        <v>283</v>
      </c>
      <c r="E3167" s="508">
        <v>38.628</v>
      </c>
      <c r="F3167" s="508">
        <v>38.628</v>
      </c>
      <c r="G3167" s="508">
        <v>38.628</v>
      </c>
      <c r="H3167" s="508">
        <v>38.628</v>
      </c>
      <c r="I3167" s="508">
        <v>38.691000000000003</v>
      </c>
      <c r="J3167" s="508">
        <v>29.843</v>
      </c>
      <c r="K3167" s="508">
        <v>27.677</v>
      </c>
      <c r="L3167" s="508">
        <v>27.677</v>
      </c>
      <c r="M3167" s="508">
        <v>27.677</v>
      </c>
      <c r="N3167" s="508">
        <v>27.677</v>
      </c>
      <c r="O3167" s="508">
        <v>27.696000000000002</v>
      </c>
      <c r="P3167" s="508">
        <v>27.77</v>
      </c>
      <c r="Q3167" s="508">
        <v>27.77</v>
      </c>
      <c r="R3167" s="508">
        <v>25.466000000000001</v>
      </c>
      <c r="S3167" s="508">
        <v>18.648</v>
      </c>
      <c r="T3167" s="508">
        <v>18.102</v>
      </c>
      <c r="U3167" s="508">
        <v>18.946000000000002</v>
      </c>
      <c r="V3167" s="508">
        <v>19.093</v>
      </c>
      <c r="W3167" s="508">
        <v>9.3680000000000003</v>
      </c>
      <c r="X3167" s="508">
        <v>9.3699999999999992</v>
      </c>
      <c r="Y3167" s="508">
        <v>9.3689999999999998</v>
      </c>
      <c r="Z3167" s="508">
        <v>9.3680000000000003</v>
      </c>
      <c r="AA3167" s="508">
        <v>6.5860000000000003</v>
      </c>
      <c r="AB3167" s="508">
        <v>6.569</v>
      </c>
      <c r="AC3167" s="508">
        <v>6.6040000000000001</v>
      </c>
      <c r="AD3167" s="508">
        <v>1.65</v>
      </c>
      <c r="AE3167" s="508">
        <v>1.649</v>
      </c>
      <c r="AF3167" s="508">
        <v>1.1080000000000001</v>
      </c>
      <c r="AG3167" s="508">
        <v>1.0640000000000001</v>
      </c>
      <c r="AH3167" s="508">
        <v>1.0529999999999999</v>
      </c>
      <c r="AI3167" s="492">
        <v>1.0529999999999999</v>
      </c>
      <c r="AJ3167" s="485"/>
    </row>
    <row r="3168" spans="2:36">
      <c r="B3168" s="136" t="s">
        <v>470</v>
      </c>
      <c r="C3168" s="132" t="s">
        <v>1370</v>
      </c>
      <c r="D3168" s="132" t="s">
        <v>283</v>
      </c>
      <c r="E3168" s="508">
        <v>38.509</v>
      </c>
      <c r="F3168" s="508">
        <v>38.509</v>
      </c>
      <c r="G3168" s="508">
        <v>38.509</v>
      </c>
      <c r="H3168" s="508">
        <v>38.51</v>
      </c>
      <c r="I3168" s="508">
        <v>38.588000000000001</v>
      </c>
      <c r="J3168" s="508">
        <v>29.754000000000001</v>
      </c>
      <c r="K3168" s="508">
        <v>27.574000000000002</v>
      </c>
      <c r="L3168" s="508">
        <v>27.574000000000002</v>
      </c>
      <c r="M3168" s="508">
        <v>27.574000000000002</v>
      </c>
      <c r="N3168" s="508">
        <v>27.574000000000002</v>
      </c>
      <c r="O3168" s="508">
        <v>27.597999999999999</v>
      </c>
      <c r="P3168" s="508">
        <v>27.670999999999999</v>
      </c>
      <c r="Q3168" s="508">
        <v>27.670999999999999</v>
      </c>
      <c r="R3168" s="508">
        <v>25.248000000000001</v>
      </c>
      <c r="S3168" s="508">
        <v>18.571000000000002</v>
      </c>
      <c r="T3168" s="508">
        <v>18.023</v>
      </c>
      <c r="U3168" s="508">
        <v>18.870999999999999</v>
      </c>
      <c r="V3168" s="508">
        <v>19.018999999999998</v>
      </c>
      <c r="W3168" s="508">
        <v>9.5180000000000007</v>
      </c>
      <c r="X3168" s="508">
        <v>9.52</v>
      </c>
      <c r="Y3168" s="508">
        <v>9.5180000000000007</v>
      </c>
      <c r="Z3168" s="508">
        <v>9.5180000000000007</v>
      </c>
      <c r="AA3168" s="508">
        <v>6.7619999999999996</v>
      </c>
      <c r="AB3168" s="508">
        <v>6.7439999999999998</v>
      </c>
      <c r="AC3168" s="508">
        <v>6.7809999999999997</v>
      </c>
      <c r="AD3168" s="508">
        <v>1.6759999999999999</v>
      </c>
      <c r="AE3168" s="508">
        <v>1.675</v>
      </c>
      <c r="AF3168" s="508">
        <v>1.1259999999999999</v>
      </c>
      <c r="AG3168" s="508">
        <v>1.081</v>
      </c>
      <c r="AH3168" s="508">
        <v>1.07</v>
      </c>
      <c r="AI3168" s="492">
        <v>1.07</v>
      </c>
      <c r="AJ3168" s="485"/>
    </row>
    <row r="3169" spans="2:36">
      <c r="B3169" s="136" t="s">
        <v>471</v>
      </c>
      <c r="C3169" s="132" t="s">
        <v>1370</v>
      </c>
      <c r="D3169" s="132" t="s">
        <v>283</v>
      </c>
      <c r="E3169" s="508">
        <v>36.795000000000002</v>
      </c>
      <c r="F3169" s="508">
        <v>36.795000000000002</v>
      </c>
      <c r="G3169" s="508">
        <v>36.795000000000002</v>
      </c>
      <c r="H3169" s="508">
        <v>36.795000000000002</v>
      </c>
      <c r="I3169" s="508">
        <v>36.869999999999997</v>
      </c>
      <c r="J3169" s="508">
        <v>28.43</v>
      </c>
      <c r="K3169" s="508">
        <v>26.347999999999999</v>
      </c>
      <c r="L3169" s="508">
        <v>26.347999999999999</v>
      </c>
      <c r="M3169" s="508">
        <v>26.347999999999999</v>
      </c>
      <c r="N3169" s="508">
        <v>26.347999999999999</v>
      </c>
      <c r="O3169" s="508">
        <v>26.370999999999999</v>
      </c>
      <c r="P3169" s="508">
        <v>26.44</v>
      </c>
      <c r="Q3169" s="508">
        <v>26.44</v>
      </c>
      <c r="R3169" s="508">
        <v>24.196000000000002</v>
      </c>
      <c r="S3169" s="508">
        <v>17.765999999999998</v>
      </c>
      <c r="T3169" s="508">
        <v>17.239000000000001</v>
      </c>
      <c r="U3169" s="508">
        <v>18.055</v>
      </c>
      <c r="V3169" s="508">
        <v>18.196999999999999</v>
      </c>
      <c r="W3169" s="508">
        <v>9.0820000000000007</v>
      </c>
      <c r="X3169" s="508">
        <v>9.0839999999999996</v>
      </c>
      <c r="Y3169" s="508">
        <v>9.0830000000000002</v>
      </c>
      <c r="Z3169" s="508">
        <v>9.0820000000000007</v>
      </c>
      <c r="AA3169" s="508">
        <v>6.452</v>
      </c>
      <c r="AB3169" s="508">
        <v>6.4349999999999996</v>
      </c>
      <c r="AC3169" s="508">
        <v>6.47</v>
      </c>
      <c r="AD3169" s="508">
        <v>1.599</v>
      </c>
      <c r="AE3169" s="508">
        <v>1.599</v>
      </c>
      <c r="AF3169" s="508">
        <v>1.0740000000000001</v>
      </c>
      <c r="AG3169" s="508">
        <v>1.0309999999999999</v>
      </c>
      <c r="AH3169" s="508">
        <v>1.0209999999999999</v>
      </c>
      <c r="AI3169" s="492">
        <v>1.0209999999999999</v>
      </c>
      <c r="AJ3169" s="485"/>
    </row>
    <row r="3170" spans="2:36">
      <c r="B3170" s="136" t="s">
        <v>472</v>
      </c>
      <c r="C3170" s="132" t="s">
        <v>1370</v>
      </c>
      <c r="D3170" s="132" t="s">
        <v>283</v>
      </c>
      <c r="E3170" s="508">
        <v>38.545999999999999</v>
      </c>
      <c r="F3170" s="508">
        <v>38.545999999999999</v>
      </c>
      <c r="G3170" s="508">
        <v>38.545999999999999</v>
      </c>
      <c r="H3170" s="508">
        <v>38.545999999999999</v>
      </c>
      <c r="I3170" s="508">
        <v>38.604999999999997</v>
      </c>
      <c r="J3170" s="508">
        <v>29.779</v>
      </c>
      <c r="K3170" s="508">
        <v>27.620999999999999</v>
      </c>
      <c r="L3170" s="508">
        <v>27.620999999999999</v>
      </c>
      <c r="M3170" s="508">
        <v>27.620999999999999</v>
      </c>
      <c r="N3170" s="508">
        <v>27.620999999999999</v>
      </c>
      <c r="O3170" s="508">
        <v>27.638999999999999</v>
      </c>
      <c r="P3170" s="508">
        <v>27.713000000000001</v>
      </c>
      <c r="Q3170" s="508">
        <v>27.713000000000001</v>
      </c>
      <c r="R3170" s="508">
        <v>25.504000000000001</v>
      </c>
      <c r="S3170" s="508">
        <v>18.629000000000001</v>
      </c>
      <c r="T3170" s="508">
        <v>18.081</v>
      </c>
      <c r="U3170" s="508">
        <v>18.928999999999998</v>
      </c>
      <c r="V3170" s="508">
        <v>19.077000000000002</v>
      </c>
      <c r="W3170" s="508">
        <v>9.3209999999999997</v>
      </c>
      <c r="X3170" s="508">
        <v>9.3239999999999998</v>
      </c>
      <c r="Y3170" s="508">
        <v>9.3219999999999992</v>
      </c>
      <c r="Z3170" s="508">
        <v>9.3219999999999992</v>
      </c>
      <c r="AA3170" s="508">
        <v>6.5490000000000004</v>
      </c>
      <c r="AB3170" s="508">
        <v>6.532</v>
      </c>
      <c r="AC3170" s="508">
        <v>6.5670000000000002</v>
      </c>
      <c r="AD3170" s="508">
        <v>1.6419999999999999</v>
      </c>
      <c r="AE3170" s="508">
        <v>1.641</v>
      </c>
      <c r="AF3170" s="508">
        <v>1.1020000000000001</v>
      </c>
      <c r="AG3170" s="508">
        <v>1.0589999999999999</v>
      </c>
      <c r="AH3170" s="508">
        <v>1.048</v>
      </c>
      <c r="AI3170" s="492">
        <v>1.048</v>
      </c>
      <c r="AJ3170" s="485"/>
    </row>
    <row r="3171" spans="2:36">
      <c r="B3171" s="136" t="s">
        <v>473</v>
      </c>
      <c r="C3171" s="132" t="s">
        <v>1370</v>
      </c>
      <c r="D3171" s="132" t="s">
        <v>283</v>
      </c>
      <c r="E3171" s="508">
        <v>38.145000000000003</v>
      </c>
      <c r="F3171" s="508">
        <v>38.145000000000003</v>
      </c>
      <c r="G3171" s="508">
        <v>38.145000000000003</v>
      </c>
      <c r="H3171" s="508">
        <v>38.145000000000003</v>
      </c>
      <c r="I3171" s="508">
        <v>38.222999999999999</v>
      </c>
      <c r="J3171" s="508">
        <v>29.472999999999999</v>
      </c>
      <c r="K3171" s="508">
        <v>27.312000000000001</v>
      </c>
      <c r="L3171" s="508">
        <v>27.312000000000001</v>
      </c>
      <c r="M3171" s="508">
        <v>27.312000000000001</v>
      </c>
      <c r="N3171" s="508">
        <v>27.312000000000001</v>
      </c>
      <c r="O3171" s="508">
        <v>27.335000000000001</v>
      </c>
      <c r="P3171" s="508">
        <v>27.408000000000001</v>
      </c>
      <c r="Q3171" s="508">
        <v>27.408000000000001</v>
      </c>
      <c r="R3171" s="508">
        <v>25.004000000000001</v>
      </c>
      <c r="S3171" s="508">
        <v>18.402999999999999</v>
      </c>
      <c r="T3171" s="508">
        <v>17.86</v>
      </c>
      <c r="U3171" s="508">
        <v>18.701000000000001</v>
      </c>
      <c r="V3171" s="508">
        <v>18.847999999999999</v>
      </c>
      <c r="W3171" s="508">
        <v>9.4450000000000003</v>
      </c>
      <c r="X3171" s="508">
        <v>9.4469999999999992</v>
      </c>
      <c r="Y3171" s="508">
        <v>9.4459999999999997</v>
      </c>
      <c r="Z3171" s="508">
        <v>9.4450000000000003</v>
      </c>
      <c r="AA3171" s="508">
        <v>6.7169999999999996</v>
      </c>
      <c r="AB3171" s="508">
        <v>6.6989999999999998</v>
      </c>
      <c r="AC3171" s="508">
        <v>6.7359999999999998</v>
      </c>
      <c r="AD3171" s="508">
        <v>1.663</v>
      </c>
      <c r="AE3171" s="508">
        <v>1.663</v>
      </c>
      <c r="AF3171" s="508">
        <v>1.117</v>
      </c>
      <c r="AG3171" s="508">
        <v>1.073</v>
      </c>
      <c r="AH3171" s="508">
        <v>1.0620000000000001</v>
      </c>
      <c r="AI3171" s="492">
        <v>1.0620000000000001</v>
      </c>
      <c r="AJ3171" s="485"/>
    </row>
    <row r="3172" spans="2:36">
      <c r="B3172" s="136" t="s">
        <v>474</v>
      </c>
      <c r="C3172" s="132" t="s">
        <v>1370</v>
      </c>
      <c r="D3172" s="132" t="s">
        <v>283</v>
      </c>
      <c r="E3172" s="508">
        <v>36.845999999999997</v>
      </c>
      <c r="F3172" s="508">
        <v>36.845999999999997</v>
      </c>
      <c r="G3172" s="508">
        <v>36.845999999999997</v>
      </c>
      <c r="H3172" s="508">
        <v>36.845999999999997</v>
      </c>
      <c r="I3172" s="508">
        <v>36.915999999999997</v>
      </c>
      <c r="J3172" s="508">
        <v>28.468</v>
      </c>
      <c r="K3172" s="508">
        <v>26.390999999999998</v>
      </c>
      <c r="L3172" s="508">
        <v>26.390999999999998</v>
      </c>
      <c r="M3172" s="508">
        <v>26.390999999999998</v>
      </c>
      <c r="N3172" s="508">
        <v>26.390999999999998</v>
      </c>
      <c r="O3172" s="508">
        <v>26.411999999999999</v>
      </c>
      <c r="P3172" s="508">
        <v>26.481999999999999</v>
      </c>
      <c r="Q3172" s="508">
        <v>26.481999999999999</v>
      </c>
      <c r="R3172" s="508">
        <v>24.245999999999999</v>
      </c>
      <c r="S3172" s="508">
        <v>17.788</v>
      </c>
      <c r="T3172" s="508">
        <v>17.263999999999999</v>
      </c>
      <c r="U3172" s="508">
        <v>18.074999999999999</v>
      </c>
      <c r="V3172" s="508">
        <v>18.216000000000001</v>
      </c>
      <c r="W3172" s="508">
        <v>9.0289999999999999</v>
      </c>
      <c r="X3172" s="508">
        <v>9.0310000000000006</v>
      </c>
      <c r="Y3172" s="508">
        <v>9.0299999999999994</v>
      </c>
      <c r="Z3172" s="508">
        <v>9.0289999999999999</v>
      </c>
      <c r="AA3172" s="508">
        <v>6.3869999999999996</v>
      </c>
      <c r="AB3172" s="508">
        <v>6.37</v>
      </c>
      <c r="AC3172" s="508">
        <v>6.4050000000000002</v>
      </c>
      <c r="AD3172" s="508">
        <v>1.59</v>
      </c>
      <c r="AE3172" s="508">
        <v>1.589</v>
      </c>
      <c r="AF3172" s="508">
        <v>1.0680000000000001</v>
      </c>
      <c r="AG3172" s="508">
        <v>1.026</v>
      </c>
      <c r="AH3172" s="508">
        <v>1.0149999999999999</v>
      </c>
      <c r="AI3172" s="492">
        <v>1.0149999999999999</v>
      </c>
      <c r="AJ3172" s="485"/>
    </row>
    <row r="3173" spans="2:36">
      <c r="B3173" s="136" t="s">
        <v>475</v>
      </c>
      <c r="C3173" s="132" t="s">
        <v>1370</v>
      </c>
      <c r="D3173" s="132" t="s">
        <v>283</v>
      </c>
      <c r="E3173" s="508">
        <v>37.759</v>
      </c>
      <c r="F3173" s="508">
        <v>37.759</v>
      </c>
      <c r="G3173" s="508">
        <v>37.759</v>
      </c>
      <c r="H3173" s="508">
        <v>37.759</v>
      </c>
      <c r="I3173" s="508">
        <v>37.826999999999998</v>
      </c>
      <c r="J3173" s="508">
        <v>29.172999999999998</v>
      </c>
      <c r="K3173" s="508">
        <v>27.047999999999998</v>
      </c>
      <c r="L3173" s="508">
        <v>27.047999999999998</v>
      </c>
      <c r="M3173" s="508">
        <v>27.047999999999998</v>
      </c>
      <c r="N3173" s="508">
        <v>27.047999999999998</v>
      </c>
      <c r="O3173" s="508">
        <v>27.068999999999999</v>
      </c>
      <c r="P3173" s="508">
        <v>27.140999999999998</v>
      </c>
      <c r="Q3173" s="508">
        <v>27.14</v>
      </c>
      <c r="R3173" s="508">
        <v>24.888000000000002</v>
      </c>
      <c r="S3173" s="508">
        <v>18.234000000000002</v>
      </c>
      <c r="T3173" s="508">
        <v>17.696999999999999</v>
      </c>
      <c r="U3173" s="508">
        <v>18.527999999999999</v>
      </c>
      <c r="V3173" s="508">
        <v>18.672999999999998</v>
      </c>
      <c r="W3173" s="508">
        <v>9.2240000000000002</v>
      </c>
      <c r="X3173" s="508">
        <v>9.2270000000000003</v>
      </c>
      <c r="Y3173" s="508">
        <v>9.2249999999999996</v>
      </c>
      <c r="Z3173" s="508">
        <v>9.2249999999999996</v>
      </c>
      <c r="AA3173" s="508">
        <v>6.5149999999999997</v>
      </c>
      <c r="AB3173" s="508">
        <v>6.4980000000000002</v>
      </c>
      <c r="AC3173" s="508">
        <v>6.5330000000000004</v>
      </c>
      <c r="AD3173" s="508">
        <v>1.6240000000000001</v>
      </c>
      <c r="AE3173" s="508">
        <v>1.6240000000000001</v>
      </c>
      <c r="AF3173" s="508">
        <v>1.091</v>
      </c>
      <c r="AG3173" s="508">
        <v>1.048</v>
      </c>
      <c r="AH3173" s="508">
        <v>1.0369999999999999</v>
      </c>
      <c r="AI3173" s="492">
        <v>1.0369999999999999</v>
      </c>
      <c r="AJ3173" s="485"/>
    </row>
    <row r="3174" spans="2:36">
      <c r="B3174" s="136" t="s">
        <v>476</v>
      </c>
      <c r="C3174" s="132" t="s">
        <v>1370</v>
      </c>
      <c r="D3174" s="132" t="s">
        <v>283</v>
      </c>
      <c r="E3174" s="508">
        <v>38.307000000000002</v>
      </c>
      <c r="F3174" s="508">
        <v>38.307000000000002</v>
      </c>
      <c r="G3174" s="508">
        <v>38.307000000000002</v>
      </c>
      <c r="H3174" s="508">
        <v>38.307000000000002</v>
      </c>
      <c r="I3174" s="508">
        <v>38.378</v>
      </c>
      <c r="J3174" s="508">
        <v>29.596</v>
      </c>
      <c r="K3174" s="508">
        <v>27.437000000000001</v>
      </c>
      <c r="L3174" s="508">
        <v>27.437000000000001</v>
      </c>
      <c r="M3174" s="508">
        <v>27.437000000000001</v>
      </c>
      <c r="N3174" s="508">
        <v>27.437000000000001</v>
      </c>
      <c r="O3174" s="508">
        <v>27.459</v>
      </c>
      <c r="P3174" s="508">
        <v>27.530999999999999</v>
      </c>
      <c r="Q3174" s="508">
        <v>27.530999999999999</v>
      </c>
      <c r="R3174" s="508">
        <v>25.143999999999998</v>
      </c>
      <c r="S3174" s="508">
        <v>18.475000000000001</v>
      </c>
      <c r="T3174" s="508">
        <v>17.934000000000001</v>
      </c>
      <c r="U3174" s="508">
        <v>18.771000000000001</v>
      </c>
      <c r="V3174" s="508">
        <v>18.917000000000002</v>
      </c>
      <c r="W3174" s="508">
        <v>9.391</v>
      </c>
      <c r="X3174" s="508">
        <v>9.3930000000000007</v>
      </c>
      <c r="Y3174" s="508">
        <v>9.3919999999999995</v>
      </c>
      <c r="Z3174" s="508">
        <v>9.391</v>
      </c>
      <c r="AA3174" s="508">
        <v>6.64</v>
      </c>
      <c r="AB3174" s="508">
        <v>6.6219999999999999</v>
      </c>
      <c r="AC3174" s="508">
        <v>6.6580000000000004</v>
      </c>
      <c r="AD3174" s="508">
        <v>1.6539999999999999</v>
      </c>
      <c r="AE3174" s="508">
        <v>1.653</v>
      </c>
      <c r="AF3174" s="508">
        <v>1.111</v>
      </c>
      <c r="AG3174" s="508">
        <v>1.0669999999999999</v>
      </c>
      <c r="AH3174" s="508">
        <v>1.056</v>
      </c>
      <c r="AI3174" s="492">
        <v>1.056</v>
      </c>
      <c r="AJ3174" s="485"/>
    </row>
    <row r="3175" spans="2:36">
      <c r="B3175" s="136" t="s">
        <v>478</v>
      </c>
      <c r="C3175" s="132" t="s">
        <v>1370</v>
      </c>
      <c r="D3175" s="132" t="s">
        <v>283</v>
      </c>
      <c r="E3175" s="508">
        <v>38.860999999999997</v>
      </c>
      <c r="F3175" s="508">
        <v>38.860999999999997</v>
      </c>
      <c r="G3175" s="508">
        <v>38.860999999999997</v>
      </c>
      <c r="H3175" s="508">
        <v>38.862000000000002</v>
      </c>
      <c r="I3175" s="508">
        <v>38.941000000000003</v>
      </c>
      <c r="J3175" s="508">
        <v>30.026</v>
      </c>
      <c r="K3175" s="508">
        <v>27.827999999999999</v>
      </c>
      <c r="L3175" s="508">
        <v>27.829000000000001</v>
      </c>
      <c r="M3175" s="508">
        <v>27.829000000000001</v>
      </c>
      <c r="N3175" s="508">
        <v>27.827999999999999</v>
      </c>
      <c r="O3175" s="508">
        <v>27.853000000000002</v>
      </c>
      <c r="P3175" s="508">
        <v>27.925999999999998</v>
      </c>
      <c r="Q3175" s="508">
        <v>27.925999999999998</v>
      </c>
      <c r="R3175" s="508">
        <v>25.417999999999999</v>
      </c>
      <c r="S3175" s="508">
        <v>18.719000000000001</v>
      </c>
      <c r="T3175" s="508">
        <v>18.170999999999999</v>
      </c>
      <c r="U3175" s="508">
        <v>19.018000000000001</v>
      </c>
      <c r="V3175" s="508">
        <v>19.167000000000002</v>
      </c>
      <c r="W3175" s="508">
        <v>9.5869999999999997</v>
      </c>
      <c r="X3175" s="508">
        <v>9.5879999999999992</v>
      </c>
      <c r="Y3175" s="508">
        <v>9.5869999999999997</v>
      </c>
      <c r="Z3175" s="508">
        <v>9.5869999999999997</v>
      </c>
      <c r="AA3175" s="508">
        <v>6.798</v>
      </c>
      <c r="AB3175" s="508">
        <v>6.78</v>
      </c>
      <c r="AC3175" s="508">
        <v>6.8179999999999996</v>
      </c>
      <c r="AD3175" s="508">
        <v>1.6879999999999999</v>
      </c>
      <c r="AE3175" s="508">
        <v>1.6879999999999999</v>
      </c>
      <c r="AF3175" s="508">
        <v>1.1339999999999999</v>
      </c>
      <c r="AG3175" s="508">
        <v>1.089</v>
      </c>
      <c r="AH3175" s="508">
        <v>1.0780000000000001</v>
      </c>
      <c r="AI3175" s="492">
        <v>1.0780000000000001</v>
      </c>
      <c r="AJ3175" s="485"/>
    </row>
    <row r="3176" spans="2:36">
      <c r="B3176" s="136" t="s">
        <v>479</v>
      </c>
      <c r="C3176" s="132" t="s">
        <v>1370</v>
      </c>
      <c r="D3176" s="132" t="s">
        <v>283</v>
      </c>
      <c r="E3176" s="508">
        <v>36.398000000000003</v>
      </c>
      <c r="F3176" s="508">
        <v>36.398000000000003</v>
      </c>
      <c r="G3176" s="508">
        <v>36.398000000000003</v>
      </c>
      <c r="H3176" s="508">
        <v>36.398000000000003</v>
      </c>
      <c r="I3176" s="508">
        <v>36.463999999999999</v>
      </c>
      <c r="J3176" s="508">
        <v>28.120999999999999</v>
      </c>
      <c r="K3176" s="508">
        <v>26.076000000000001</v>
      </c>
      <c r="L3176" s="508">
        <v>26.076000000000001</v>
      </c>
      <c r="M3176" s="508">
        <v>26.076000000000001</v>
      </c>
      <c r="N3176" s="508">
        <v>26.076000000000001</v>
      </c>
      <c r="O3176" s="508">
        <v>26.096</v>
      </c>
      <c r="P3176" s="508">
        <v>26.164000000000001</v>
      </c>
      <c r="Q3176" s="508">
        <v>26.164999999999999</v>
      </c>
      <c r="R3176" s="508">
        <v>23.952000000000002</v>
      </c>
      <c r="S3176" s="508">
        <v>17.564</v>
      </c>
      <c r="T3176" s="508">
        <v>17.05</v>
      </c>
      <c r="U3176" s="508">
        <v>17.844999999999999</v>
      </c>
      <c r="V3176" s="508">
        <v>17.983000000000001</v>
      </c>
      <c r="W3176" s="508">
        <v>8.8610000000000007</v>
      </c>
      <c r="X3176" s="508">
        <v>8.8629999999999995</v>
      </c>
      <c r="Y3176" s="508">
        <v>8.8620000000000001</v>
      </c>
      <c r="Z3176" s="508">
        <v>8.8620000000000001</v>
      </c>
      <c r="AA3176" s="508">
        <v>6.242</v>
      </c>
      <c r="AB3176" s="508">
        <v>6.2249999999999996</v>
      </c>
      <c r="AC3176" s="508">
        <v>6.2590000000000003</v>
      </c>
      <c r="AD3176" s="508">
        <v>1.5609999999999999</v>
      </c>
      <c r="AE3176" s="508">
        <v>1.56</v>
      </c>
      <c r="AF3176" s="508">
        <v>1.048</v>
      </c>
      <c r="AG3176" s="508">
        <v>1.006</v>
      </c>
      <c r="AH3176" s="508">
        <v>0.996</v>
      </c>
      <c r="AI3176" s="492">
        <v>0.996</v>
      </c>
      <c r="AJ3176" s="485"/>
    </row>
    <row r="3177" spans="2:36">
      <c r="B3177" s="136" t="s">
        <v>480</v>
      </c>
      <c r="C3177" s="132" t="s">
        <v>1370</v>
      </c>
      <c r="D3177" s="132" t="s">
        <v>283</v>
      </c>
      <c r="E3177" s="508">
        <v>38.359000000000002</v>
      </c>
      <c r="F3177" s="508">
        <v>38.359000000000002</v>
      </c>
      <c r="G3177" s="508">
        <v>38.359000000000002</v>
      </c>
      <c r="H3177" s="508">
        <v>38.359000000000002</v>
      </c>
      <c r="I3177" s="508">
        <v>38.414999999999999</v>
      </c>
      <c r="J3177" s="508">
        <v>29.634</v>
      </c>
      <c r="K3177" s="508">
        <v>27.494</v>
      </c>
      <c r="L3177" s="508">
        <v>27.494</v>
      </c>
      <c r="M3177" s="508">
        <v>27.494</v>
      </c>
      <c r="N3177" s="508">
        <v>27.494</v>
      </c>
      <c r="O3177" s="508">
        <v>27.510999999999999</v>
      </c>
      <c r="P3177" s="508">
        <v>27.584</v>
      </c>
      <c r="Q3177" s="508">
        <v>27.584</v>
      </c>
      <c r="R3177" s="508">
        <v>25.364999999999998</v>
      </c>
      <c r="S3177" s="508">
        <v>18.521999999999998</v>
      </c>
      <c r="T3177" s="508">
        <v>17.981999999999999</v>
      </c>
      <c r="U3177" s="508">
        <v>18.815999999999999</v>
      </c>
      <c r="V3177" s="508">
        <v>18.962</v>
      </c>
      <c r="W3177" s="508">
        <v>9.2059999999999995</v>
      </c>
      <c r="X3177" s="508">
        <v>9.2089999999999996</v>
      </c>
      <c r="Y3177" s="508">
        <v>9.2070000000000007</v>
      </c>
      <c r="Z3177" s="508">
        <v>9.2059999999999995</v>
      </c>
      <c r="AA3177" s="508">
        <v>6.4349999999999996</v>
      </c>
      <c r="AB3177" s="508">
        <v>6.4189999999999996</v>
      </c>
      <c r="AC3177" s="508">
        <v>6.452</v>
      </c>
      <c r="AD3177" s="508">
        <v>1.621</v>
      </c>
      <c r="AE3177" s="508">
        <v>1.621</v>
      </c>
      <c r="AF3177" s="508">
        <v>1.089</v>
      </c>
      <c r="AG3177" s="508">
        <v>1.046</v>
      </c>
      <c r="AH3177" s="508">
        <v>1.0349999999999999</v>
      </c>
      <c r="AI3177" s="492">
        <v>1.0349999999999999</v>
      </c>
      <c r="AJ3177" s="485"/>
    </row>
    <row r="3178" spans="2:36">
      <c r="B3178" s="136" t="s">
        <v>481</v>
      </c>
      <c r="C3178" s="132" t="s">
        <v>1370</v>
      </c>
      <c r="D3178" s="132" t="s">
        <v>283</v>
      </c>
      <c r="E3178" s="508">
        <v>37.110999999999997</v>
      </c>
      <c r="F3178" s="508">
        <v>37.110999999999997</v>
      </c>
      <c r="G3178" s="508">
        <v>37.110999999999997</v>
      </c>
      <c r="H3178" s="508">
        <v>37.110999999999997</v>
      </c>
      <c r="I3178" s="508">
        <v>37.18</v>
      </c>
      <c r="J3178" s="508">
        <v>28.672999999999998</v>
      </c>
      <c r="K3178" s="508">
        <v>26.584</v>
      </c>
      <c r="L3178" s="508">
        <v>26.584</v>
      </c>
      <c r="M3178" s="508">
        <v>26.584</v>
      </c>
      <c r="N3178" s="508">
        <v>26.584</v>
      </c>
      <c r="O3178" s="508">
        <v>26.605</v>
      </c>
      <c r="P3178" s="508">
        <v>26.675000000000001</v>
      </c>
      <c r="Q3178" s="508">
        <v>26.675000000000001</v>
      </c>
      <c r="R3178" s="508">
        <v>24.393000000000001</v>
      </c>
      <c r="S3178" s="508">
        <v>17.902000000000001</v>
      </c>
      <c r="T3178" s="508">
        <v>17.378</v>
      </c>
      <c r="U3178" s="508">
        <v>18.189</v>
      </c>
      <c r="V3178" s="508">
        <v>18.329999999999998</v>
      </c>
      <c r="W3178" s="508">
        <v>9.0660000000000007</v>
      </c>
      <c r="X3178" s="508">
        <v>9.0679999999999996</v>
      </c>
      <c r="Y3178" s="508">
        <v>9.0670000000000002</v>
      </c>
      <c r="Z3178" s="508">
        <v>9.0660000000000007</v>
      </c>
      <c r="AA3178" s="508">
        <v>6.3979999999999997</v>
      </c>
      <c r="AB3178" s="508">
        <v>6.3810000000000002</v>
      </c>
      <c r="AC3178" s="508">
        <v>6.4160000000000004</v>
      </c>
      <c r="AD3178" s="508">
        <v>1.597</v>
      </c>
      <c r="AE3178" s="508">
        <v>1.5960000000000001</v>
      </c>
      <c r="AF3178" s="508">
        <v>1.0720000000000001</v>
      </c>
      <c r="AG3178" s="508">
        <v>1.03</v>
      </c>
      <c r="AH3178" s="508">
        <v>1.0189999999999999</v>
      </c>
      <c r="AI3178" s="492">
        <v>1.0189999999999999</v>
      </c>
      <c r="AJ3178" s="485"/>
    </row>
    <row r="3179" spans="2:36">
      <c r="B3179" s="136" t="s">
        <v>482</v>
      </c>
      <c r="C3179" s="132" t="s">
        <v>1370</v>
      </c>
      <c r="D3179" s="132" t="s">
        <v>283</v>
      </c>
      <c r="E3179" s="508">
        <v>35.741999999999997</v>
      </c>
      <c r="F3179" s="508">
        <v>35.741999999999997</v>
      </c>
      <c r="G3179" s="508">
        <v>35.741999999999997</v>
      </c>
      <c r="H3179" s="508">
        <v>35.741999999999997</v>
      </c>
      <c r="I3179" s="508">
        <v>35.814</v>
      </c>
      <c r="J3179" s="508">
        <v>27.616</v>
      </c>
      <c r="K3179" s="508">
        <v>25.602</v>
      </c>
      <c r="L3179" s="508">
        <v>25.602</v>
      </c>
      <c r="M3179" s="508">
        <v>25.602</v>
      </c>
      <c r="N3179" s="508">
        <v>25.602</v>
      </c>
      <c r="O3179" s="508">
        <v>25.623999999999999</v>
      </c>
      <c r="P3179" s="508">
        <v>25.69</v>
      </c>
      <c r="Q3179" s="508">
        <v>25.69</v>
      </c>
      <c r="R3179" s="508">
        <v>23.498999999999999</v>
      </c>
      <c r="S3179" s="508">
        <v>17.239000000000001</v>
      </c>
      <c r="T3179" s="508">
        <v>16.734000000000002</v>
      </c>
      <c r="U3179" s="508">
        <v>17.515999999999998</v>
      </c>
      <c r="V3179" s="508">
        <v>17.652999999999999</v>
      </c>
      <c r="W3179" s="508">
        <v>8.7439999999999998</v>
      </c>
      <c r="X3179" s="508">
        <v>8.7469999999999999</v>
      </c>
      <c r="Y3179" s="508">
        <v>8.7449999999999992</v>
      </c>
      <c r="Z3179" s="508">
        <v>8.7449999999999992</v>
      </c>
      <c r="AA3179" s="508">
        <v>6.1779999999999999</v>
      </c>
      <c r="AB3179" s="508">
        <v>6.1619999999999999</v>
      </c>
      <c r="AC3179" s="508">
        <v>6.1959999999999997</v>
      </c>
      <c r="AD3179" s="508">
        <v>1.54</v>
      </c>
      <c r="AE3179" s="508">
        <v>1.5389999999999999</v>
      </c>
      <c r="AF3179" s="508">
        <v>1.034</v>
      </c>
      <c r="AG3179" s="508">
        <v>0.99299999999999999</v>
      </c>
      <c r="AH3179" s="508">
        <v>0.98299999999999998</v>
      </c>
      <c r="AI3179" s="492">
        <v>0.98299999999999998</v>
      </c>
      <c r="AJ3179" s="485"/>
    </row>
    <row r="3180" spans="2:36">
      <c r="B3180" s="136" t="s">
        <v>483</v>
      </c>
      <c r="C3180" s="132" t="s">
        <v>1370</v>
      </c>
      <c r="D3180" s="132" t="s">
        <v>283</v>
      </c>
      <c r="E3180" s="508">
        <v>39.331000000000003</v>
      </c>
      <c r="F3180" s="508">
        <v>39.331000000000003</v>
      </c>
      <c r="G3180" s="508">
        <v>39.331000000000003</v>
      </c>
      <c r="H3180" s="508">
        <v>39.331000000000003</v>
      </c>
      <c r="I3180" s="508">
        <v>39.408000000000001</v>
      </c>
      <c r="J3180" s="508">
        <v>30.388000000000002</v>
      </c>
      <c r="K3180" s="508">
        <v>28.166</v>
      </c>
      <c r="L3180" s="508">
        <v>28.166</v>
      </c>
      <c r="M3180" s="508">
        <v>28.166</v>
      </c>
      <c r="N3180" s="508">
        <v>28.166</v>
      </c>
      <c r="O3180" s="508">
        <v>28.189</v>
      </c>
      <c r="P3180" s="508">
        <v>28.263999999999999</v>
      </c>
      <c r="Q3180" s="508">
        <v>28.263999999999999</v>
      </c>
      <c r="R3180" s="508">
        <v>25.744</v>
      </c>
      <c r="S3180" s="508">
        <v>18.952000000000002</v>
      </c>
      <c r="T3180" s="508">
        <v>18.396999999999998</v>
      </c>
      <c r="U3180" s="508">
        <v>19.254999999999999</v>
      </c>
      <c r="V3180" s="508">
        <v>19.405999999999999</v>
      </c>
      <c r="W3180" s="508">
        <v>9.6890000000000001</v>
      </c>
      <c r="X3180" s="508">
        <v>9.6910000000000007</v>
      </c>
      <c r="Y3180" s="508">
        <v>9.69</v>
      </c>
      <c r="Z3180" s="508">
        <v>9.6890000000000001</v>
      </c>
      <c r="AA3180" s="508">
        <v>6.8659999999999997</v>
      </c>
      <c r="AB3180" s="508">
        <v>6.8470000000000004</v>
      </c>
      <c r="AC3180" s="508">
        <v>6.8849999999999998</v>
      </c>
      <c r="AD3180" s="508">
        <v>1.706</v>
      </c>
      <c r="AE3180" s="508">
        <v>1.706</v>
      </c>
      <c r="AF3180" s="508">
        <v>1.1459999999999999</v>
      </c>
      <c r="AG3180" s="508">
        <v>1.1000000000000001</v>
      </c>
      <c r="AH3180" s="508">
        <v>1.0900000000000001</v>
      </c>
      <c r="AI3180" s="492">
        <v>1.0900000000000001</v>
      </c>
      <c r="AJ3180" s="485"/>
    </row>
    <row r="3181" spans="2:36">
      <c r="B3181" s="136" t="s">
        <v>484</v>
      </c>
      <c r="C3181" s="132" t="s">
        <v>1370</v>
      </c>
      <c r="D3181" s="132" t="s">
        <v>283</v>
      </c>
      <c r="E3181" s="508">
        <v>38.273000000000003</v>
      </c>
      <c r="F3181" s="508">
        <v>38.273000000000003</v>
      </c>
      <c r="G3181" s="508">
        <v>38.274000000000001</v>
      </c>
      <c r="H3181" s="508">
        <v>38.273000000000003</v>
      </c>
      <c r="I3181" s="508">
        <v>38.332000000000001</v>
      </c>
      <c r="J3181" s="508">
        <v>29.568000000000001</v>
      </c>
      <c r="K3181" s="508">
        <v>27.427</v>
      </c>
      <c r="L3181" s="508">
        <v>27.427</v>
      </c>
      <c r="M3181" s="508">
        <v>27.427</v>
      </c>
      <c r="N3181" s="508">
        <v>27.427</v>
      </c>
      <c r="O3181" s="508">
        <v>27.445</v>
      </c>
      <c r="P3181" s="508">
        <v>27.518000000000001</v>
      </c>
      <c r="Q3181" s="508">
        <v>27.518000000000001</v>
      </c>
      <c r="R3181" s="508">
        <v>25.326000000000001</v>
      </c>
      <c r="S3181" s="508">
        <v>18.495000000000001</v>
      </c>
      <c r="T3181" s="508">
        <v>17.952000000000002</v>
      </c>
      <c r="U3181" s="508">
        <v>18.792000000000002</v>
      </c>
      <c r="V3181" s="508">
        <v>18.937999999999999</v>
      </c>
      <c r="W3181" s="508">
        <v>9.2430000000000003</v>
      </c>
      <c r="X3181" s="508">
        <v>9.2449999999999992</v>
      </c>
      <c r="Y3181" s="508">
        <v>9.2439999999999998</v>
      </c>
      <c r="Z3181" s="508">
        <v>9.2430000000000003</v>
      </c>
      <c r="AA3181" s="508">
        <v>6.4880000000000004</v>
      </c>
      <c r="AB3181" s="508">
        <v>6.4710000000000001</v>
      </c>
      <c r="AC3181" s="508">
        <v>6.5049999999999999</v>
      </c>
      <c r="AD3181" s="508">
        <v>1.6279999999999999</v>
      </c>
      <c r="AE3181" s="508">
        <v>1.627</v>
      </c>
      <c r="AF3181" s="508">
        <v>1.093</v>
      </c>
      <c r="AG3181" s="508">
        <v>1.05</v>
      </c>
      <c r="AH3181" s="508">
        <v>1.0389999999999999</v>
      </c>
      <c r="AI3181" s="492">
        <v>1.0389999999999999</v>
      </c>
      <c r="AJ3181" s="485"/>
    </row>
    <row r="3182" spans="2:36">
      <c r="B3182" s="136" t="s">
        <v>486</v>
      </c>
      <c r="C3182" s="132" t="s">
        <v>1370</v>
      </c>
      <c r="D3182" s="132" t="s">
        <v>283</v>
      </c>
      <c r="E3182" s="508">
        <v>37.555999999999997</v>
      </c>
      <c r="F3182" s="508">
        <v>37.557000000000002</v>
      </c>
      <c r="G3182" s="508">
        <v>37.555999999999997</v>
      </c>
      <c r="H3182" s="508">
        <v>37.555999999999997</v>
      </c>
      <c r="I3182" s="508">
        <v>37.627000000000002</v>
      </c>
      <c r="J3182" s="508">
        <v>29.016999999999999</v>
      </c>
      <c r="K3182" s="508">
        <v>26.902000000000001</v>
      </c>
      <c r="L3182" s="508">
        <v>26.902000000000001</v>
      </c>
      <c r="M3182" s="508">
        <v>26.902000000000001</v>
      </c>
      <c r="N3182" s="508">
        <v>26.902000000000001</v>
      </c>
      <c r="O3182" s="508">
        <v>26.923999999999999</v>
      </c>
      <c r="P3182" s="508">
        <v>26.994</v>
      </c>
      <c r="Q3182" s="508">
        <v>26.994</v>
      </c>
      <c r="R3182" s="508">
        <v>24.675999999999998</v>
      </c>
      <c r="S3182" s="508">
        <v>18.113</v>
      </c>
      <c r="T3182" s="508">
        <v>17.582999999999998</v>
      </c>
      <c r="U3182" s="508">
        <v>18.402999999999999</v>
      </c>
      <c r="V3182" s="508">
        <v>18.545999999999999</v>
      </c>
      <c r="W3182" s="508">
        <v>9.1790000000000003</v>
      </c>
      <c r="X3182" s="508">
        <v>9.1809999999999992</v>
      </c>
      <c r="Y3182" s="508">
        <v>9.18</v>
      </c>
      <c r="Z3182" s="508">
        <v>9.1790000000000003</v>
      </c>
      <c r="AA3182" s="508">
        <v>6.4790000000000001</v>
      </c>
      <c r="AB3182" s="508">
        <v>6.4619999999999997</v>
      </c>
      <c r="AC3182" s="508">
        <v>6.4980000000000002</v>
      </c>
      <c r="AD3182" s="508">
        <v>1.617</v>
      </c>
      <c r="AE3182" s="508">
        <v>1.6160000000000001</v>
      </c>
      <c r="AF3182" s="508">
        <v>1.0860000000000001</v>
      </c>
      <c r="AG3182" s="508">
        <v>1.0429999999999999</v>
      </c>
      <c r="AH3182" s="508">
        <v>1.032</v>
      </c>
      <c r="AI3182" s="492">
        <v>1.032</v>
      </c>
      <c r="AJ3182" s="485"/>
    </row>
    <row r="3183" spans="2:36">
      <c r="B3183" s="136" t="s">
        <v>487</v>
      </c>
      <c r="C3183" s="132" t="s">
        <v>1370</v>
      </c>
      <c r="D3183" s="132" t="s">
        <v>283</v>
      </c>
      <c r="E3183" s="508">
        <v>38.360999999999997</v>
      </c>
      <c r="F3183" s="508">
        <v>38.360999999999997</v>
      </c>
      <c r="G3183" s="508">
        <v>38.360999999999997</v>
      </c>
      <c r="H3183" s="508">
        <v>38.360999999999997</v>
      </c>
      <c r="I3183" s="508">
        <v>38.430999999999997</v>
      </c>
      <c r="J3183" s="508">
        <v>29.638000000000002</v>
      </c>
      <c r="K3183" s="508">
        <v>27.481000000000002</v>
      </c>
      <c r="L3183" s="508">
        <v>27.481000000000002</v>
      </c>
      <c r="M3183" s="508">
        <v>27.481000000000002</v>
      </c>
      <c r="N3183" s="508">
        <v>27.481000000000002</v>
      </c>
      <c r="O3183" s="508">
        <v>27.503</v>
      </c>
      <c r="P3183" s="508">
        <v>27.574999999999999</v>
      </c>
      <c r="Q3183" s="508">
        <v>27.574999999999999</v>
      </c>
      <c r="R3183" s="508">
        <v>25.19</v>
      </c>
      <c r="S3183" s="508">
        <v>18.489999999999998</v>
      </c>
      <c r="T3183" s="508">
        <v>17.951000000000001</v>
      </c>
      <c r="U3183" s="508">
        <v>18.783999999999999</v>
      </c>
      <c r="V3183" s="508">
        <v>18.93</v>
      </c>
      <c r="W3183" s="508">
        <v>9.3529999999999998</v>
      </c>
      <c r="X3183" s="508">
        <v>9.3550000000000004</v>
      </c>
      <c r="Y3183" s="508">
        <v>9.3539999999999992</v>
      </c>
      <c r="Z3183" s="508">
        <v>9.3539999999999992</v>
      </c>
      <c r="AA3183" s="508">
        <v>6.5919999999999996</v>
      </c>
      <c r="AB3183" s="508">
        <v>6.5750000000000002</v>
      </c>
      <c r="AC3183" s="508">
        <v>6.61</v>
      </c>
      <c r="AD3183" s="508">
        <v>1.647</v>
      </c>
      <c r="AE3183" s="508">
        <v>1.647</v>
      </c>
      <c r="AF3183" s="508">
        <v>1.1060000000000001</v>
      </c>
      <c r="AG3183" s="508">
        <v>1.0620000000000001</v>
      </c>
      <c r="AH3183" s="508">
        <v>1.052</v>
      </c>
      <c r="AI3183" s="492">
        <v>1.052</v>
      </c>
      <c r="AJ3183" s="485"/>
    </row>
    <row r="3184" spans="2:36">
      <c r="B3184" s="136" t="s">
        <v>488</v>
      </c>
      <c r="C3184" s="132" t="s">
        <v>1370</v>
      </c>
      <c r="D3184" s="132" t="s">
        <v>283</v>
      </c>
      <c r="E3184" s="508">
        <v>37.350999999999999</v>
      </c>
      <c r="F3184" s="508">
        <v>37.350999999999999</v>
      </c>
      <c r="G3184" s="508">
        <v>37.350999999999999</v>
      </c>
      <c r="H3184" s="508">
        <v>37.350999999999999</v>
      </c>
      <c r="I3184" s="508">
        <v>37.412999999999997</v>
      </c>
      <c r="J3184" s="508">
        <v>28.856999999999999</v>
      </c>
      <c r="K3184" s="508">
        <v>26.763999999999999</v>
      </c>
      <c r="L3184" s="508">
        <v>26.763999999999999</v>
      </c>
      <c r="M3184" s="508">
        <v>26.763999999999999</v>
      </c>
      <c r="N3184" s="508">
        <v>26.763999999999999</v>
      </c>
      <c r="O3184" s="508">
        <v>26.783000000000001</v>
      </c>
      <c r="P3184" s="508">
        <v>26.853000000000002</v>
      </c>
      <c r="Q3184" s="508">
        <v>26.853999999999999</v>
      </c>
      <c r="R3184" s="508">
        <v>24.670999999999999</v>
      </c>
      <c r="S3184" s="508">
        <v>18.036000000000001</v>
      </c>
      <c r="T3184" s="508">
        <v>17.507999999999999</v>
      </c>
      <c r="U3184" s="508">
        <v>18.324999999999999</v>
      </c>
      <c r="V3184" s="508">
        <v>18.468</v>
      </c>
      <c r="W3184" s="508">
        <v>9.0389999999999997</v>
      </c>
      <c r="X3184" s="508">
        <v>9.0410000000000004</v>
      </c>
      <c r="Y3184" s="508">
        <v>9.0399999999999991</v>
      </c>
      <c r="Z3184" s="508">
        <v>9.0389999999999997</v>
      </c>
      <c r="AA3184" s="508">
        <v>6.35</v>
      </c>
      <c r="AB3184" s="508">
        <v>6.3339999999999996</v>
      </c>
      <c r="AC3184" s="508">
        <v>6.367</v>
      </c>
      <c r="AD3184" s="508">
        <v>1.5920000000000001</v>
      </c>
      <c r="AE3184" s="508">
        <v>1.591</v>
      </c>
      <c r="AF3184" s="508">
        <v>1.069</v>
      </c>
      <c r="AG3184" s="508">
        <v>1.0269999999999999</v>
      </c>
      <c r="AH3184" s="508">
        <v>1.016</v>
      </c>
      <c r="AI3184" s="492">
        <v>1.016</v>
      </c>
      <c r="AJ3184" s="485"/>
    </row>
    <row r="3185" spans="2:36">
      <c r="B3185" s="136" t="s">
        <v>489</v>
      </c>
      <c r="C3185" s="132" t="s">
        <v>1370</v>
      </c>
      <c r="D3185" s="132" t="s">
        <v>283</v>
      </c>
      <c r="E3185" s="508">
        <v>38.341999999999999</v>
      </c>
      <c r="F3185" s="508">
        <v>38.341999999999999</v>
      </c>
      <c r="G3185" s="508">
        <v>38.341999999999999</v>
      </c>
      <c r="H3185" s="508">
        <v>38.341999999999999</v>
      </c>
      <c r="I3185" s="508">
        <v>38.408000000000001</v>
      </c>
      <c r="J3185" s="508">
        <v>29.623000000000001</v>
      </c>
      <c r="K3185" s="508">
        <v>27.466999999999999</v>
      </c>
      <c r="L3185" s="508">
        <v>27.466999999999999</v>
      </c>
      <c r="M3185" s="508">
        <v>27.466999999999999</v>
      </c>
      <c r="N3185" s="508">
        <v>27.466999999999999</v>
      </c>
      <c r="O3185" s="508">
        <v>27.486999999999998</v>
      </c>
      <c r="P3185" s="508">
        <v>27.56</v>
      </c>
      <c r="Q3185" s="508">
        <v>27.56</v>
      </c>
      <c r="R3185" s="508">
        <v>25.279</v>
      </c>
      <c r="S3185" s="508">
        <v>18.513999999999999</v>
      </c>
      <c r="T3185" s="508">
        <v>17.969000000000001</v>
      </c>
      <c r="U3185" s="508">
        <v>18.812000000000001</v>
      </c>
      <c r="V3185" s="508">
        <v>18.959</v>
      </c>
      <c r="W3185" s="508">
        <v>9.35</v>
      </c>
      <c r="X3185" s="508">
        <v>9.3520000000000003</v>
      </c>
      <c r="Y3185" s="508">
        <v>9.3510000000000009</v>
      </c>
      <c r="Z3185" s="508">
        <v>9.35</v>
      </c>
      <c r="AA3185" s="508">
        <v>6.5970000000000004</v>
      </c>
      <c r="AB3185" s="508">
        <v>6.58</v>
      </c>
      <c r="AC3185" s="508">
        <v>6.6159999999999997</v>
      </c>
      <c r="AD3185" s="508">
        <v>1.647</v>
      </c>
      <c r="AE3185" s="508">
        <v>1.6459999999999999</v>
      </c>
      <c r="AF3185" s="508">
        <v>1.1060000000000001</v>
      </c>
      <c r="AG3185" s="508">
        <v>1.0620000000000001</v>
      </c>
      <c r="AH3185" s="508">
        <v>1.0509999999999999</v>
      </c>
      <c r="AI3185" s="492">
        <v>1.0509999999999999</v>
      </c>
      <c r="AJ3185" s="485"/>
    </row>
    <row r="3186" spans="2:36">
      <c r="B3186" s="136" t="s">
        <v>490</v>
      </c>
      <c r="C3186" s="132" t="s">
        <v>1370</v>
      </c>
      <c r="D3186" s="132" t="s">
        <v>283</v>
      </c>
      <c r="E3186" s="508">
        <v>39.064999999999998</v>
      </c>
      <c r="F3186" s="508">
        <v>39.064999999999998</v>
      </c>
      <c r="G3186" s="508">
        <v>39.064</v>
      </c>
      <c r="H3186" s="508">
        <v>39.064999999999998</v>
      </c>
      <c r="I3186" s="508">
        <v>39.119</v>
      </c>
      <c r="J3186" s="508">
        <v>30.178999999999998</v>
      </c>
      <c r="K3186" s="508">
        <v>28.001999999999999</v>
      </c>
      <c r="L3186" s="508">
        <v>28.001999999999999</v>
      </c>
      <c r="M3186" s="508">
        <v>28.001999999999999</v>
      </c>
      <c r="N3186" s="508">
        <v>28.001999999999999</v>
      </c>
      <c r="O3186" s="508">
        <v>28.018000000000001</v>
      </c>
      <c r="P3186" s="508">
        <v>28.093</v>
      </c>
      <c r="Q3186" s="508">
        <v>28.093</v>
      </c>
      <c r="R3186" s="508">
        <v>25.802</v>
      </c>
      <c r="S3186" s="508">
        <v>18.853000000000002</v>
      </c>
      <c r="T3186" s="508">
        <v>18.306999999999999</v>
      </c>
      <c r="U3186" s="508">
        <v>19.151</v>
      </c>
      <c r="V3186" s="508">
        <v>19.298999999999999</v>
      </c>
      <c r="W3186" s="508">
        <v>9.3559999999999999</v>
      </c>
      <c r="X3186" s="508">
        <v>9.3580000000000005</v>
      </c>
      <c r="Y3186" s="508">
        <v>9.3569999999999993</v>
      </c>
      <c r="Z3186" s="508">
        <v>9.3559999999999999</v>
      </c>
      <c r="AA3186" s="508">
        <v>6.5279999999999996</v>
      </c>
      <c r="AB3186" s="508">
        <v>6.5110000000000001</v>
      </c>
      <c r="AC3186" s="508">
        <v>6.5449999999999999</v>
      </c>
      <c r="AD3186" s="508">
        <v>1.6479999999999999</v>
      </c>
      <c r="AE3186" s="508">
        <v>1.647</v>
      </c>
      <c r="AF3186" s="508">
        <v>1.1060000000000001</v>
      </c>
      <c r="AG3186" s="508">
        <v>1.0629999999999999</v>
      </c>
      <c r="AH3186" s="508">
        <v>1.052</v>
      </c>
      <c r="AI3186" s="492">
        <v>1.052</v>
      </c>
      <c r="AJ3186" s="485"/>
    </row>
    <row r="3187" spans="2:36">
      <c r="B3187" s="136" t="s">
        <v>435</v>
      </c>
      <c r="C3187" s="132" t="s">
        <v>1371</v>
      </c>
      <c r="D3187" s="132" t="s">
        <v>283</v>
      </c>
      <c r="E3187" s="508">
        <v>19.077000000000002</v>
      </c>
      <c r="F3187" s="508">
        <v>19.077000000000002</v>
      </c>
      <c r="G3187" s="508">
        <v>19.077000000000002</v>
      </c>
      <c r="H3187" s="508">
        <v>19.077000000000002</v>
      </c>
      <c r="I3187" s="508">
        <v>19.077000000000002</v>
      </c>
      <c r="J3187" s="508">
        <v>14.734</v>
      </c>
      <c r="K3187" s="508">
        <v>13.678000000000001</v>
      </c>
      <c r="L3187" s="508">
        <v>13.678000000000001</v>
      </c>
      <c r="M3187" s="508">
        <v>13.678000000000001</v>
      </c>
      <c r="N3187" s="508">
        <v>13.678000000000001</v>
      </c>
      <c r="O3187" s="508">
        <v>13.678000000000001</v>
      </c>
      <c r="P3187" s="508">
        <v>13.722</v>
      </c>
      <c r="Q3187" s="508">
        <v>13.722</v>
      </c>
      <c r="R3187" s="508">
        <v>12.77</v>
      </c>
      <c r="S3187" s="508">
        <v>7.1120000000000001</v>
      </c>
      <c r="T3187" s="508">
        <v>7.1120000000000001</v>
      </c>
      <c r="U3187" s="508">
        <v>7.1120000000000001</v>
      </c>
      <c r="V3187" s="508">
        <v>7.1120000000000001</v>
      </c>
      <c r="W3187" s="508">
        <v>5.6</v>
      </c>
      <c r="X3187" s="508">
        <v>5.6</v>
      </c>
      <c r="Y3187" s="508">
        <v>5.6</v>
      </c>
      <c r="Z3187" s="508">
        <v>5.6</v>
      </c>
      <c r="AA3187" s="508">
        <v>2.8490000000000002</v>
      </c>
      <c r="AB3187" s="508">
        <v>2.8490000000000002</v>
      </c>
      <c r="AC3187" s="508">
        <v>2.8490000000000002</v>
      </c>
      <c r="AD3187" s="508">
        <v>0.92100000000000004</v>
      </c>
      <c r="AE3187" s="508">
        <v>0.92100000000000004</v>
      </c>
      <c r="AF3187" s="508">
        <v>0.59699999999999998</v>
      </c>
      <c r="AG3187" s="508">
        <v>0.58799999999999997</v>
      </c>
      <c r="AH3187" s="508">
        <v>0.58399999999999996</v>
      </c>
      <c r="AI3187" s="492">
        <v>0.58399999999999996</v>
      </c>
      <c r="AJ3187" s="485"/>
    </row>
    <row r="3188" spans="2:36">
      <c r="B3188" s="136" t="s">
        <v>436</v>
      </c>
      <c r="C3188" s="132" t="s">
        <v>1371</v>
      </c>
      <c r="D3188" s="132" t="s">
        <v>283</v>
      </c>
      <c r="E3188" s="508">
        <v>21.469000000000001</v>
      </c>
      <c r="F3188" s="508">
        <v>21.469000000000001</v>
      </c>
      <c r="G3188" s="508">
        <v>21.469000000000001</v>
      </c>
      <c r="H3188" s="508">
        <v>21.469000000000001</v>
      </c>
      <c r="I3188" s="508">
        <v>21.469000000000001</v>
      </c>
      <c r="J3188" s="508">
        <v>16.581</v>
      </c>
      <c r="K3188" s="508">
        <v>15.393000000000001</v>
      </c>
      <c r="L3188" s="508">
        <v>15.394</v>
      </c>
      <c r="M3188" s="508">
        <v>15.393000000000001</v>
      </c>
      <c r="N3188" s="508">
        <v>15.393000000000001</v>
      </c>
      <c r="O3188" s="508">
        <v>15.393000000000001</v>
      </c>
      <c r="P3188" s="508">
        <v>15.443</v>
      </c>
      <c r="Q3188" s="508">
        <v>15.443</v>
      </c>
      <c r="R3188" s="508">
        <v>14.446</v>
      </c>
      <c r="S3188" s="508">
        <v>7.9569999999999999</v>
      </c>
      <c r="T3188" s="508">
        <v>7.9569999999999999</v>
      </c>
      <c r="U3188" s="508">
        <v>7.9569999999999999</v>
      </c>
      <c r="V3188" s="508">
        <v>7.9569999999999999</v>
      </c>
      <c r="W3188" s="508">
        <v>6.2110000000000003</v>
      </c>
      <c r="X3188" s="508">
        <v>6.2110000000000003</v>
      </c>
      <c r="Y3188" s="508">
        <v>6.2110000000000003</v>
      </c>
      <c r="Z3188" s="508">
        <v>6.2110000000000003</v>
      </c>
      <c r="AA3188" s="508">
        <v>3.1579999999999999</v>
      </c>
      <c r="AB3188" s="508">
        <v>3.1589999999999998</v>
      </c>
      <c r="AC3188" s="508">
        <v>3.1589999999999998</v>
      </c>
      <c r="AD3188" s="508">
        <v>1.0209999999999999</v>
      </c>
      <c r="AE3188" s="508">
        <v>1.0209999999999999</v>
      </c>
      <c r="AF3188" s="508">
        <v>0.66200000000000003</v>
      </c>
      <c r="AG3188" s="508">
        <v>0.65100000000000002</v>
      </c>
      <c r="AH3188" s="508">
        <v>0.64700000000000002</v>
      </c>
      <c r="AI3188" s="492">
        <v>0.64700000000000002</v>
      </c>
      <c r="AJ3188" s="485"/>
    </row>
    <row r="3189" spans="2:36">
      <c r="B3189" s="136" t="s">
        <v>437</v>
      </c>
      <c r="C3189" s="132" t="s">
        <v>1371</v>
      </c>
      <c r="D3189" s="132" t="s">
        <v>283</v>
      </c>
      <c r="E3189" s="508">
        <v>21.15</v>
      </c>
      <c r="F3189" s="508">
        <v>21.15</v>
      </c>
      <c r="G3189" s="508">
        <v>21.15</v>
      </c>
      <c r="H3189" s="508">
        <v>21.15</v>
      </c>
      <c r="I3189" s="508">
        <v>21.15</v>
      </c>
      <c r="J3189" s="508">
        <v>16.335000000000001</v>
      </c>
      <c r="K3189" s="508">
        <v>15.166</v>
      </c>
      <c r="L3189" s="508">
        <v>15.166</v>
      </c>
      <c r="M3189" s="508">
        <v>15.166</v>
      </c>
      <c r="N3189" s="508">
        <v>15.166</v>
      </c>
      <c r="O3189" s="508">
        <v>15.166</v>
      </c>
      <c r="P3189" s="508">
        <v>15.214</v>
      </c>
      <c r="Q3189" s="508">
        <v>15.214</v>
      </c>
      <c r="R3189" s="508">
        <v>14.093</v>
      </c>
      <c r="S3189" s="508">
        <v>7.8639999999999999</v>
      </c>
      <c r="T3189" s="508">
        <v>7.8639999999999999</v>
      </c>
      <c r="U3189" s="508">
        <v>7.8639999999999999</v>
      </c>
      <c r="V3189" s="508">
        <v>7.8639999999999999</v>
      </c>
      <c r="W3189" s="508">
        <v>6.125</v>
      </c>
      <c r="X3189" s="508">
        <v>6.125</v>
      </c>
      <c r="Y3189" s="508">
        <v>6.125</v>
      </c>
      <c r="Z3189" s="508">
        <v>6.125</v>
      </c>
      <c r="AA3189" s="508">
        <v>3.1150000000000002</v>
      </c>
      <c r="AB3189" s="508">
        <v>3.1150000000000002</v>
      </c>
      <c r="AC3189" s="508">
        <v>3.1150000000000002</v>
      </c>
      <c r="AD3189" s="508">
        <v>1.0069999999999999</v>
      </c>
      <c r="AE3189" s="508">
        <v>1.0069999999999999</v>
      </c>
      <c r="AF3189" s="508">
        <v>0.65300000000000002</v>
      </c>
      <c r="AG3189" s="508">
        <v>0.64300000000000002</v>
      </c>
      <c r="AH3189" s="508">
        <v>0.63900000000000001</v>
      </c>
      <c r="AI3189" s="492">
        <v>0.63900000000000001</v>
      </c>
      <c r="AJ3189" s="485"/>
    </row>
    <row r="3190" spans="2:36">
      <c r="B3190" s="136" t="s">
        <v>438</v>
      </c>
      <c r="C3190" s="132" t="s">
        <v>1371</v>
      </c>
      <c r="D3190" s="132" t="s">
        <v>283</v>
      </c>
      <c r="E3190" s="508">
        <v>19.544</v>
      </c>
      <c r="F3190" s="508">
        <v>19.544</v>
      </c>
      <c r="G3190" s="508">
        <v>19.544</v>
      </c>
      <c r="H3190" s="508">
        <v>19.544</v>
      </c>
      <c r="I3190" s="508">
        <v>19.544</v>
      </c>
      <c r="J3190" s="508">
        <v>15.093999999999999</v>
      </c>
      <c r="K3190" s="508">
        <v>14.012</v>
      </c>
      <c r="L3190" s="508">
        <v>14.012</v>
      </c>
      <c r="M3190" s="508">
        <v>14.012</v>
      </c>
      <c r="N3190" s="508">
        <v>14.012</v>
      </c>
      <c r="O3190" s="508">
        <v>14.012</v>
      </c>
      <c r="P3190" s="508">
        <v>14.057</v>
      </c>
      <c r="Q3190" s="508">
        <v>14.057</v>
      </c>
      <c r="R3190" s="508">
        <v>13.202</v>
      </c>
      <c r="S3190" s="508">
        <v>7.2460000000000004</v>
      </c>
      <c r="T3190" s="508">
        <v>7.2460000000000004</v>
      </c>
      <c r="U3190" s="508">
        <v>7.2450000000000001</v>
      </c>
      <c r="V3190" s="508">
        <v>7.2450000000000001</v>
      </c>
      <c r="W3190" s="508">
        <v>5.6760000000000002</v>
      </c>
      <c r="X3190" s="508">
        <v>5.6760000000000002</v>
      </c>
      <c r="Y3190" s="508">
        <v>5.6760000000000002</v>
      </c>
      <c r="Z3190" s="508">
        <v>5.6760000000000002</v>
      </c>
      <c r="AA3190" s="508">
        <v>2.887</v>
      </c>
      <c r="AB3190" s="508">
        <v>2.887</v>
      </c>
      <c r="AC3190" s="508">
        <v>2.887</v>
      </c>
      <c r="AD3190" s="508">
        <v>0.93400000000000005</v>
      </c>
      <c r="AE3190" s="508">
        <v>0.93400000000000005</v>
      </c>
      <c r="AF3190" s="508">
        <v>0.60499999999999998</v>
      </c>
      <c r="AG3190" s="508">
        <v>0.59499999999999997</v>
      </c>
      <c r="AH3190" s="508">
        <v>0.59199999999999997</v>
      </c>
      <c r="AI3190" s="492">
        <v>0.59199999999999997</v>
      </c>
      <c r="AJ3190" s="485"/>
    </row>
    <row r="3191" spans="2:36">
      <c r="B3191" s="136" t="s">
        <v>439</v>
      </c>
      <c r="C3191" s="132" t="s">
        <v>1371</v>
      </c>
      <c r="D3191" s="132" t="s">
        <v>283</v>
      </c>
      <c r="E3191" s="508">
        <v>20.707999999999998</v>
      </c>
      <c r="F3191" s="508">
        <v>20.707999999999998</v>
      </c>
      <c r="G3191" s="508">
        <v>20.707999999999998</v>
      </c>
      <c r="H3191" s="508">
        <v>20.707999999999998</v>
      </c>
      <c r="I3191" s="508">
        <v>20.707999999999998</v>
      </c>
      <c r="J3191" s="508">
        <v>15.993</v>
      </c>
      <c r="K3191" s="508">
        <v>14.847</v>
      </c>
      <c r="L3191" s="508">
        <v>14.847</v>
      </c>
      <c r="M3191" s="508">
        <v>14.847</v>
      </c>
      <c r="N3191" s="508">
        <v>14.847</v>
      </c>
      <c r="O3191" s="508">
        <v>14.847</v>
      </c>
      <c r="P3191" s="508">
        <v>14.894</v>
      </c>
      <c r="Q3191" s="508">
        <v>14.894</v>
      </c>
      <c r="R3191" s="508">
        <v>13.801</v>
      </c>
      <c r="S3191" s="508">
        <v>7.7110000000000003</v>
      </c>
      <c r="T3191" s="508">
        <v>7.7110000000000003</v>
      </c>
      <c r="U3191" s="508">
        <v>7.7110000000000003</v>
      </c>
      <c r="V3191" s="508">
        <v>7.7110000000000003</v>
      </c>
      <c r="W3191" s="508">
        <v>6.0170000000000003</v>
      </c>
      <c r="X3191" s="508">
        <v>6.0170000000000003</v>
      </c>
      <c r="Y3191" s="508">
        <v>6.0170000000000003</v>
      </c>
      <c r="Z3191" s="508">
        <v>6.0170000000000003</v>
      </c>
      <c r="AA3191" s="508">
        <v>3.0609999999999999</v>
      </c>
      <c r="AB3191" s="508">
        <v>3.0609999999999999</v>
      </c>
      <c r="AC3191" s="508">
        <v>3.0609999999999999</v>
      </c>
      <c r="AD3191" s="508">
        <v>0.99</v>
      </c>
      <c r="AE3191" s="508">
        <v>0.99</v>
      </c>
      <c r="AF3191" s="508">
        <v>0.64200000000000002</v>
      </c>
      <c r="AG3191" s="508">
        <v>0.63100000000000001</v>
      </c>
      <c r="AH3191" s="508">
        <v>0.628</v>
      </c>
      <c r="AI3191" s="492">
        <v>0.628</v>
      </c>
      <c r="AJ3191" s="485"/>
    </row>
    <row r="3192" spans="2:36">
      <c r="B3192" s="136" t="s">
        <v>440</v>
      </c>
      <c r="C3192" s="132" t="s">
        <v>1371</v>
      </c>
      <c r="D3192" s="132" t="s">
        <v>283</v>
      </c>
      <c r="E3192" s="508">
        <v>21.271999999999998</v>
      </c>
      <c r="F3192" s="508">
        <v>21.271999999999998</v>
      </c>
      <c r="G3192" s="508">
        <v>21.271999999999998</v>
      </c>
      <c r="H3192" s="508">
        <v>21.271999999999998</v>
      </c>
      <c r="I3192" s="508">
        <v>21.271999999999998</v>
      </c>
      <c r="J3192" s="508">
        <v>16.428999999999998</v>
      </c>
      <c r="K3192" s="508">
        <v>15.252000000000001</v>
      </c>
      <c r="L3192" s="508">
        <v>15.252000000000001</v>
      </c>
      <c r="M3192" s="508">
        <v>15.252000000000001</v>
      </c>
      <c r="N3192" s="508">
        <v>15.252000000000001</v>
      </c>
      <c r="O3192" s="508">
        <v>15.252000000000001</v>
      </c>
      <c r="P3192" s="508">
        <v>15.301</v>
      </c>
      <c r="Q3192" s="508">
        <v>15.301</v>
      </c>
      <c r="R3192" s="508">
        <v>14.227</v>
      </c>
      <c r="S3192" s="508">
        <v>7.9089999999999998</v>
      </c>
      <c r="T3192" s="508">
        <v>7.9089999999999998</v>
      </c>
      <c r="U3192" s="508">
        <v>7.9089999999999998</v>
      </c>
      <c r="V3192" s="508">
        <v>7.9089999999999998</v>
      </c>
      <c r="W3192" s="508">
        <v>6.1779999999999999</v>
      </c>
      <c r="X3192" s="508">
        <v>6.1779999999999999</v>
      </c>
      <c r="Y3192" s="508">
        <v>6.1779999999999999</v>
      </c>
      <c r="Z3192" s="508">
        <v>6.1779999999999999</v>
      </c>
      <c r="AA3192" s="508">
        <v>3.1419999999999999</v>
      </c>
      <c r="AB3192" s="508">
        <v>3.1419999999999999</v>
      </c>
      <c r="AC3192" s="508">
        <v>3.1419999999999999</v>
      </c>
      <c r="AD3192" s="508">
        <v>1.016</v>
      </c>
      <c r="AE3192" s="508">
        <v>1.016</v>
      </c>
      <c r="AF3192" s="508">
        <v>0.65900000000000003</v>
      </c>
      <c r="AG3192" s="508">
        <v>0.64800000000000002</v>
      </c>
      <c r="AH3192" s="508">
        <v>0.64400000000000002</v>
      </c>
      <c r="AI3192" s="492">
        <v>0.64400000000000002</v>
      </c>
      <c r="AJ3192" s="485"/>
    </row>
    <row r="3193" spans="2:36">
      <c r="B3193" s="136" t="s">
        <v>441</v>
      </c>
      <c r="C3193" s="132" t="s">
        <v>1371</v>
      </c>
      <c r="D3193" s="132" t="s">
        <v>283</v>
      </c>
      <c r="E3193" s="508">
        <v>21.268000000000001</v>
      </c>
      <c r="F3193" s="508">
        <v>21.268999999999998</v>
      </c>
      <c r="G3193" s="508">
        <v>21.268999999999998</v>
      </c>
      <c r="H3193" s="508">
        <v>21.268000000000001</v>
      </c>
      <c r="I3193" s="508">
        <v>21.268000000000001</v>
      </c>
      <c r="J3193" s="508">
        <v>16.425999999999998</v>
      </c>
      <c r="K3193" s="508">
        <v>15.247999999999999</v>
      </c>
      <c r="L3193" s="508">
        <v>15.247999999999999</v>
      </c>
      <c r="M3193" s="508">
        <v>15.247999999999999</v>
      </c>
      <c r="N3193" s="508">
        <v>15.247999999999999</v>
      </c>
      <c r="O3193" s="508">
        <v>15.247999999999999</v>
      </c>
      <c r="P3193" s="508">
        <v>15.297000000000001</v>
      </c>
      <c r="Q3193" s="508">
        <v>15.297000000000001</v>
      </c>
      <c r="R3193" s="508">
        <v>14.164999999999999</v>
      </c>
      <c r="S3193" s="508">
        <v>7.923</v>
      </c>
      <c r="T3193" s="508">
        <v>7.923</v>
      </c>
      <c r="U3193" s="508">
        <v>7.923</v>
      </c>
      <c r="V3193" s="508">
        <v>7.923</v>
      </c>
      <c r="W3193" s="508">
        <v>6.1820000000000004</v>
      </c>
      <c r="X3193" s="508">
        <v>6.1820000000000004</v>
      </c>
      <c r="Y3193" s="508">
        <v>6.1820000000000004</v>
      </c>
      <c r="Z3193" s="508">
        <v>6.1820000000000004</v>
      </c>
      <c r="AA3193" s="508">
        <v>3.145</v>
      </c>
      <c r="AB3193" s="508">
        <v>3.145</v>
      </c>
      <c r="AC3193" s="508">
        <v>3.145</v>
      </c>
      <c r="AD3193" s="508">
        <v>1.0169999999999999</v>
      </c>
      <c r="AE3193" s="508">
        <v>1.0169999999999999</v>
      </c>
      <c r="AF3193" s="508">
        <v>0.65900000000000003</v>
      </c>
      <c r="AG3193" s="508">
        <v>0.64900000000000002</v>
      </c>
      <c r="AH3193" s="508">
        <v>0.64500000000000002</v>
      </c>
      <c r="AI3193" s="492">
        <v>0.64500000000000002</v>
      </c>
      <c r="AJ3193" s="485"/>
    </row>
    <row r="3194" spans="2:36">
      <c r="B3194" s="136" t="s">
        <v>443</v>
      </c>
      <c r="C3194" s="132" t="s">
        <v>1371</v>
      </c>
      <c r="D3194" s="132" t="s">
        <v>283</v>
      </c>
      <c r="E3194" s="508">
        <v>19.649000000000001</v>
      </c>
      <c r="F3194" s="508">
        <v>19.649000000000001</v>
      </c>
      <c r="G3194" s="508">
        <v>19.649000000000001</v>
      </c>
      <c r="H3194" s="508">
        <v>19.649000000000001</v>
      </c>
      <c r="I3194" s="508">
        <v>19.649000000000001</v>
      </c>
      <c r="J3194" s="508">
        <v>15.175000000000001</v>
      </c>
      <c r="K3194" s="508">
        <v>14.087</v>
      </c>
      <c r="L3194" s="508">
        <v>14.087</v>
      </c>
      <c r="M3194" s="508">
        <v>14.087</v>
      </c>
      <c r="N3194" s="508">
        <v>14.087</v>
      </c>
      <c r="O3194" s="508">
        <v>14.087</v>
      </c>
      <c r="P3194" s="508">
        <v>14.132</v>
      </c>
      <c r="Q3194" s="508">
        <v>14.132</v>
      </c>
      <c r="R3194" s="508">
        <v>13.03</v>
      </c>
      <c r="S3194" s="508">
        <v>7.3769999999999998</v>
      </c>
      <c r="T3194" s="508">
        <v>7.3769999999999998</v>
      </c>
      <c r="U3194" s="508">
        <v>7.3760000000000003</v>
      </c>
      <c r="V3194" s="508">
        <v>7.3760000000000003</v>
      </c>
      <c r="W3194" s="508">
        <v>5.8490000000000002</v>
      </c>
      <c r="X3194" s="508">
        <v>5.8490000000000002</v>
      </c>
      <c r="Y3194" s="508">
        <v>5.8490000000000002</v>
      </c>
      <c r="Z3194" s="508">
        <v>5.8490000000000002</v>
      </c>
      <c r="AA3194" s="508">
        <v>2.9769999999999999</v>
      </c>
      <c r="AB3194" s="508">
        <v>2.9769999999999999</v>
      </c>
      <c r="AC3194" s="508">
        <v>2.9769999999999999</v>
      </c>
      <c r="AD3194" s="508">
        <v>0.96199999999999997</v>
      </c>
      <c r="AE3194" s="508">
        <v>0.96199999999999997</v>
      </c>
      <c r="AF3194" s="508">
        <v>0.624</v>
      </c>
      <c r="AG3194" s="508">
        <v>0.61399999999999999</v>
      </c>
      <c r="AH3194" s="508">
        <v>0.61099999999999999</v>
      </c>
      <c r="AI3194" s="492">
        <v>0.61099999999999999</v>
      </c>
      <c r="AJ3194" s="485"/>
    </row>
    <row r="3195" spans="2:36">
      <c r="B3195" s="136" t="s">
        <v>445</v>
      </c>
      <c r="C3195" s="132" t="s">
        <v>1371</v>
      </c>
      <c r="D3195" s="132" t="s">
        <v>283</v>
      </c>
      <c r="E3195" s="508">
        <v>20.818000000000001</v>
      </c>
      <c r="F3195" s="508">
        <v>20.818000000000001</v>
      </c>
      <c r="G3195" s="508">
        <v>20.818000000000001</v>
      </c>
      <c r="H3195" s="508">
        <v>20.818000000000001</v>
      </c>
      <c r="I3195" s="508">
        <v>20.818000000000001</v>
      </c>
      <c r="J3195" s="508">
        <v>16.077999999999999</v>
      </c>
      <c r="K3195" s="508">
        <v>14.93</v>
      </c>
      <c r="L3195" s="508">
        <v>14.93</v>
      </c>
      <c r="M3195" s="508">
        <v>14.93</v>
      </c>
      <c r="N3195" s="508">
        <v>14.93</v>
      </c>
      <c r="O3195" s="508">
        <v>14.93</v>
      </c>
      <c r="P3195" s="508">
        <v>14.977</v>
      </c>
      <c r="Q3195" s="508">
        <v>14.977</v>
      </c>
      <c r="R3195" s="508">
        <v>13.545999999999999</v>
      </c>
      <c r="S3195" s="508">
        <v>7.8310000000000004</v>
      </c>
      <c r="T3195" s="508">
        <v>7.8310000000000004</v>
      </c>
      <c r="U3195" s="508">
        <v>7.8310000000000004</v>
      </c>
      <c r="V3195" s="508">
        <v>7.8310000000000004</v>
      </c>
      <c r="W3195" s="508">
        <v>6.1360000000000001</v>
      </c>
      <c r="X3195" s="508">
        <v>6.1360000000000001</v>
      </c>
      <c r="Y3195" s="508">
        <v>6.1360000000000001</v>
      </c>
      <c r="Z3195" s="508">
        <v>6.1360000000000001</v>
      </c>
      <c r="AA3195" s="508">
        <v>3.1219999999999999</v>
      </c>
      <c r="AB3195" s="508">
        <v>3.1219999999999999</v>
      </c>
      <c r="AC3195" s="508">
        <v>3.1219999999999999</v>
      </c>
      <c r="AD3195" s="508">
        <v>1.01</v>
      </c>
      <c r="AE3195" s="508">
        <v>1.01</v>
      </c>
      <c r="AF3195" s="508">
        <v>0.65500000000000003</v>
      </c>
      <c r="AG3195" s="508">
        <v>0.64400000000000002</v>
      </c>
      <c r="AH3195" s="508">
        <v>0.64100000000000001</v>
      </c>
      <c r="AI3195" s="492">
        <v>0.64100000000000001</v>
      </c>
      <c r="AJ3195" s="485"/>
    </row>
    <row r="3196" spans="2:36">
      <c r="B3196" s="136" t="s">
        <v>446</v>
      </c>
      <c r="C3196" s="132" t="s">
        <v>1371</v>
      </c>
      <c r="D3196" s="132" t="s">
        <v>283</v>
      </c>
      <c r="E3196" s="508">
        <v>18.489000000000001</v>
      </c>
      <c r="F3196" s="508">
        <v>18.489000000000001</v>
      </c>
      <c r="G3196" s="508">
        <v>18.489000000000001</v>
      </c>
      <c r="H3196" s="508">
        <v>18.489000000000001</v>
      </c>
      <c r="I3196" s="508">
        <v>18.489000000000001</v>
      </c>
      <c r="J3196" s="508">
        <v>14.28</v>
      </c>
      <c r="K3196" s="508">
        <v>13.259</v>
      </c>
      <c r="L3196" s="508">
        <v>13.259</v>
      </c>
      <c r="M3196" s="508">
        <v>13.259</v>
      </c>
      <c r="N3196" s="508">
        <v>13.259</v>
      </c>
      <c r="O3196" s="508">
        <v>13.259</v>
      </c>
      <c r="P3196" s="508">
        <v>13.301</v>
      </c>
      <c r="Q3196" s="508">
        <v>13.301</v>
      </c>
      <c r="R3196" s="508">
        <v>12.176</v>
      </c>
      <c r="S3196" s="508">
        <v>6.92</v>
      </c>
      <c r="T3196" s="508">
        <v>6.92</v>
      </c>
      <c r="U3196" s="508">
        <v>6.92</v>
      </c>
      <c r="V3196" s="508">
        <v>6.92</v>
      </c>
      <c r="W3196" s="508">
        <v>5.4180000000000001</v>
      </c>
      <c r="X3196" s="508">
        <v>5.4180000000000001</v>
      </c>
      <c r="Y3196" s="508">
        <v>5.4180000000000001</v>
      </c>
      <c r="Z3196" s="508">
        <v>5.4180000000000001</v>
      </c>
      <c r="AA3196" s="508">
        <v>2.7559999999999998</v>
      </c>
      <c r="AB3196" s="508">
        <v>2.7559999999999998</v>
      </c>
      <c r="AC3196" s="508">
        <v>2.7559999999999998</v>
      </c>
      <c r="AD3196" s="508">
        <v>0.89100000000000001</v>
      </c>
      <c r="AE3196" s="508">
        <v>0.89100000000000001</v>
      </c>
      <c r="AF3196" s="508">
        <v>0.57799999999999996</v>
      </c>
      <c r="AG3196" s="508">
        <v>0.56899999999999995</v>
      </c>
      <c r="AH3196" s="508">
        <v>0.56599999999999995</v>
      </c>
      <c r="AI3196" s="492">
        <v>0.56599999999999995</v>
      </c>
      <c r="AJ3196" s="485"/>
    </row>
    <row r="3197" spans="2:36">
      <c r="B3197" s="136" t="s">
        <v>448</v>
      </c>
      <c r="C3197" s="132" t="s">
        <v>1371</v>
      </c>
      <c r="D3197" s="132" t="s">
        <v>283</v>
      </c>
      <c r="E3197" s="508">
        <v>19.481999999999999</v>
      </c>
      <c r="F3197" s="508">
        <v>19.481999999999999</v>
      </c>
      <c r="G3197" s="508">
        <v>19.481999999999999</v>
      </c>
      <c r="H3197" s="508">
        <v>19.481999999999999</v>
      </c>
      <c r="I3197" s="508">
        <v>19.481999999999999</v>
      </c>
      <c r="J3197" s="508">
        <v>15.045999999999999</v>
      </c>
      <c r="K3197" s="508">
        <v>13.968</v>
      </c>
      <c r="L3197" s="508">
        <v>13.968</v>
      </c>
      <c r="M3197" s="508">
        <v>13.968</v>
      </c>
      <c r="N3197" s="508">
        <v>13.968</v>
      </c>
      <c r="O3197" s="508">
        <v>13.968</v>
      </c>
      <c r="P3197" s="508">
        <v>14.012</v>
      </c>
      <c r="Q3197" s="508">
        <v>14.012</v>
      </c>
      <c r="R3197" s="508">
        <v>13.103999999999999</v>
      </c>
      <c r="S3197" s="508">
        <v>7.2370000000000001</v>
      </c>
      <c r="T3197" s="508">
        <v>7.2370000000000001</v>
      </c>
      <c r="U3197" s="508">
        <v>7.2370000000000001</v>
      </c>
      <c r="V3197" s="508">
        <v>7.2370000000000001</v>
      </c>
      <c r="W3197" s="508">
        <v>5.6719999999999997</v>
      </c>
      <c r="X3197" s="508">
        <v>5.6719999999999997</v>
      </c>
      <c r="Y3197" s="508">
        <v>5.6719999999999997</v>
      </c>
      <c r="Z3197" s="508">
        <v>5.6719999999999997</v>
      </c>
      <c r="AA3197" s="508">
        <v>2.8849999999999998</v>
      </c>
      <c r="AB3197" s="508">
        <v>2.8849999999999998</v>
      </c>
      <c r="AC3197" s="508">
        <v>2.8849999999999998</v>
      </c>
      <c r="AD3197" s="508">
        <v>0.93300000000000005</v>
      </c>
      <c r="AE3197" s="508">
        <v>0.93300000000000005</v>
      </c>
      <c r="AF3197" s="508">
        <v>0.60499999999999998</v>
      </c>
      <c r="AG3197" s="508">
        <v>0.59499999999999997</v>
      </c>
      <c r="AH3197" s="508">
        <v>0.59199999999999997</v>
      </c>
      <c r="AI3197" s="492">
        <v>0.59199999999999997</v>
      </c>
      <c r="AJ3197" s="485"/>
    </row>
    <row r="3198" spans="2:36">
      <c r="B3198" s="136" t="s">
        <v>449</v>
      </c>
      <c r="C3198" s="132" t="s">
        <v>1371</v>
      </c>
      <c r="D3198" s="132" t="s">
        <v>283</v>
      </c>
      <c r="E3198" s="508">
        <v>18.033999999999999</v>
      </c>
      <c r="F3198" s="508">
        <v>18.033999999999999</v>
      </c>
      <c r="G3198" s="508">
        <v>18.033999999999999</v>
      </c>
      <c r="H3198" s="508">
        <v>18.033999999999999</v>
      </c>
      <c r="I3198" s="508">
        <v>18.033999999999999</v>
      </c>
      <c r="J3198" s="508">
        <v>13.928000000000001</v>
      </c>
      <c r="K3198" s="508">
        <v>12.93</v>
      </c>
      <c r="L3198" s="508">
        <v>12.93</v>
      </c>
      <c r="M3198" s="508">
        <v>12.93</v>
      </c>
      <c r="N3198" s="508">
        <v>12.93</v>
      </c>
      <c r="O3198" s="508">
        <v>12.93</v>
      </c>
      <c r="P3198" s="508">
        <v>12.972</v>
      </c>
      <c r="Q3198" s="508">
        <v>12.972</v>
      </c>
      <c r="R3198" s="508">
        <v>11.930999999999999</v>
      </c>
      <c r="S3198" s="508">
        <v>6.7619999999999996</v>
      </c>
      <c r="T3198" s="508">
        <v>6.7619999999999996</v>
      </c>
      <c r="U3198" s="508">
        <v>6.7619999999999996</v>
      </c>
      <c r="V3198" s="508">
        <v>6.7619999999999996</v>
      </c>
      <c r="W3198" s="508">
        <v>5.3339999999999996</v>
      </c>
      <c r="X3198" s="508">
        <v>5.3339999999999996</v>
      </c>
      <c r="Y3198" s="508">
        <v>5.3339999999999996</v>
      </c>
      <c r="Z3198" s="508">
        <v>5.3339999999999996</v>
      </c>
      <c r="AA3198" s="508">
        <v>2.7149999999999999</v>
      </c>
      <c r="AB3198" s="508">
        <v>2.7149999999999999</v>
      </c>
      <c r="AC3198" s="508">
        <v>2.7149999999999999</v>
      </c>
      <c r="AD3198" s="508">
        <v>0.878</v>
      </c>
      <c r="AE3198" s="508">
        <v>0.878</v>
      </c>
      <c r="AF3198" s="508">
        <v>0.56899999999999995</v>
      </c>
      <c r="AG3198" s="508">
        <v>0.56000000000000005</v>
      </c>
      <c r="AH3198" s="508">
        <v>0.55700000000000005</v>
      </c>
      <c r="AI3198" s="492">
        <v>0.55700000000000005</v>
      </c>
      <c r="AJ3198" s="485"/>
    </row>
    <row r="3199" spans="2:36">
      <c r="B3199" s="136" t="s">
        <v>450</v>
      </c>
      <c r="C3199" s="132" t="s">
        <v>1371</v>
      </c>
      <c r="D3199" s="132" t="s">
        <v>283</v>
      </c>
      <c r="E3199" s="508">
        <v>20.542000000000002</v>
      </c>
      <c r="F3199" s="508">
        <v>20.542000000000002</v>
      </c>
      <c r="G3199" s="508">
        <v>20.542000000000002</v>
      </c>
      <c r="H3199" s="508">
        <v>20.542000000000002</v>
      </c>
      <c r="I3199" s="508">
        <v>20.542000000000002</v>
      </c>
      <c r="J3199" s="508">
        <v>15.865</v>
      </c>
      <c r="K3199" s="508">
        <v>14.728</v>
      </c>
      <c r="L3199" s="508">
        <v>14.728</v>
      </c>
      <c r="M3199" s="508">
        <v>14.728</v>
      </c>
      <c r="N3199" s="508">
        <v>14.728</v>
      </c>
      <c r="O3199" s="508">
        <v>14.728</v>
      </c>
      <c r="P3199" s="508">
        <v>14.775</v>
      </c>
      <c r="Q3199" s="508">
        <v>14.776</v>
      </c>
      <c r="R3199" s="508">
        <v>13.827</v>
      </c>
      <c r="S3199" s="508">
        <v>7.6310000000000002</v>
      </c>
      <c r="T3199" s="508">
        <v>7.6310000000000002</v>
      </c>
      <c r="U3199" s="508">
        <v>7.6310000000000002</v>
      </c>
      <c r="V3199" s="508">
        <v>7.63</v>
      </c>
      <c r="W3199" s="508">
        <v>5.9880000000000004</v>
      </c>
      <c r="X3199" s="508">
        <v>5.9880000000000004</v>
      </c>
      <c r="Y3199" s="508">
        <v>5.9880000000000004</v>
      </c>
      <c r="Z3199" s="508">
        <v>5.9880000000000004</v>
      </c>
      <c r="AA3199" s="508">
        <v>3.0459999999999998</v>
      </c>
      <c r="AB3199" s="508">
        <v>3.0459999999999998</v>
      </c>
      <c r="AC3199" s="508">
        <v>3.0459999999999998</v>
      </c>
      <c r="AD3199" s="508">
        <v>0.98499999999999999</v>
      </c>
      <c r="AE3199" s="508">
        <v>0.98499999999999999</v>
      </c>
      <c r="AF3199" s="508">
        <v>0.63800000000000001</v>
      </c>
      <c r="AG3199" s="508">
        <v>0.628</v>
      </c>
      <c r="AH3199" s="508">
        <v>0.624</v>
      </c>
      <c r="AI3199" s="492">
        <v>0.624</v>
      </c>
      <c r="AJ3199" s="485"/>
    </row>
    <row r="3200" spans="2:36">
      <c r="B3200" s="136" t="s">
        <v>451</v>
      </c>
      <c r="C3200" s="132" t="s">
        <v>1371</v>
      </c>
      <c r="D3200" s="132" t="s">
        <v>283</v>
      </c>
      <c r="E3200" s="508">
        <v>21.073</v>
      </c>
      <c r="F3200" s="508">
        <v>21.073</v>
      </c>
      <c r="G3200" s="508">
        <v>21.073</v>
      </c>
      <c r="H3200" s="508">
        <v>21.073</v>
      </c>
      <c r="I3200" s="508">
        <v>21.073</v>
      </c>
      <c r="J3200" s="508">
        <v>16.274999999999999</v>
      </c>
      <c r="K3200" s="508">
        <v>15.111000000000001</v>
      </c>
      <c r="L3200" s="508">
        <v>15.111000000000001</v>
      </c>
      <c r="M3200" s="508">
        <v>15.111000000000001</v>
      </c>
      <c r="N3200" s="508">
        <v>15.111000000000001</v>
      </c>
      <c r="O3200" s="508">
        <v>15.111000000000001</v>
      </c>
      <c r="P3200" s="508">
        <v>15.159000000000001</v>
      </c>
      <c r="Q3200" s="508">
        <v>15.159000000000001</v>
      </c>
      <c r="R3200" s="508">
        <v>13.839</v>
      </c>
      <c r="S3200" s="508">
        <v>7.8959999999999999</v>
      </c>
      <c r="T3200" s="508">
        <v>7.8959999999999999</v>
      </c>
      <c r="U3200" s="508">
        <v>7.8959999999999999</v>
      </c>
      <c r="V3200" s="508">
        <v>7.8959999999999999</v>
      </c>
      <c r="W3200" s="508">
        <v>6.1740000000000004</v>
      </c>
      <c r="X3200" s="508">
        <v>6.1740000000000004</v>
      </c>
      <c r="Y3200" s="508">
        <v>6.1740000000000004</v>
      </c>
      <c r="Z3200" s="508">
        <v>6.1740000000000004</v>
      </c>
      <c r="AA3200" s="508">
        <v>3.141</v>
      </c>
      <c r="AB3200" s="508">
        <v>3.141</v>
      </c>
      <c r="AC3200" s="508">
        <v>3.141</v>
      </c>
      <c r="AD3200" s="508">
        <v>1.016</v>
      </c>
      <c r="AE3200" s="508">
        <v>1.016</v>
      </c>
      <c r="AF3200" s="508">
        <v>0.65900000000000003</v>
      </c>
      <c r="AG3200" s="508">
        <v>0.64800000000000002</v>
      </c>
      <c r="AH3200" s="508">
        <v>0.64500000000000002</v>
      </c>
      <c r="AI3200" s="492">
        <v>0.64500000000000002</v>
      </c>
      <c r="AJ3200" s="485"/>
    </row>
    <row r="3201" spans="2:36">
      <c r="B3201" s="136" t="s">
        <v>452</v>
      </c>
      <c r="C3201" s="132" t="s">
        <v>1371</v>
      </c>
      <c r="D3201" s="132" t="s">
        <v>283</v>
      </c>
      <c r="E3201" s="508">
        <v>20.308</v>
      </c>
      <c r="F3201" s="508">
        <v>20.308</v>
      </c>
      <c r="G3201" s="508">
        <v>20.308</v>
      </c>
      <c r="H3201" s="508">
        <v>20.308</v>
      </c>
      <c r="I3201" s="508">
        <v>20.308</v>
      </c>
      <c r="J3201" s="508">
        <v>15.683999999999999</v>
      </c>
      <c r="K3201" s="508">
        <v>14.561</v>
      </c>
      <c r="L3201" s="508">
        <v>14.561</v>
      </c>
      <c r="M3201" s="508">
        <v>14.561</v>
      </c>
      <c r="N3201" s="508">
        <v>14.561</v>
      </c>
      <c r="O3201" s="508">
        <v>14.561</v>
      </c>
      <c r="P3201" s="508">
        <v>14.608000000000001</v>
      </c>
      <c r="Q3201" s="508">
        <v>14.608000000000001</v>
      </c>
      <c r="R3201" s="508">
        <v>13.531000000000001</v>
      </c>
      <c r="S3201" s="508">
        <v>7.5730000000000004</v>
      </c>
      <c r="T3201" s="508">
        <v>7.5730000000000004</v>
      </c>
      <c r="U3201" s="508">
        <v>7.5730000000000004</v>
      </c>
      <c r="V3201" s="508">
        <v>7.5730000000000004</v>
      </c>
      <c r="W3201" s="508">
        <v>5.9420000000000002</v>
      </c>
      <c r="X3201" s="508">
        <v>5.9420000000000002</v>
      </c>
      <c r="Y3201" s="508">
        <v>5.9420000000000002</v>
      </c>
      <c r="Z3201" s="508">
        <v>5.9420000000000002</v>
      </c>
      <c r="AA3201" s="508">
        <v>3.0219999999999998</v>
      </c>
      <c r="AB3201" s="508">
        <v>3.0219999999999998</v>
      </c>
      <c r="AC3201" s="508">
        <v>3.0230000000000001</v>
      </c>
      <c r="AD3201" s="508">
        <v>0.97699999999999998</v>
      </c>
      <c r="AE3201" s="508">
        <v>0.97699999999999998</v>
      </c>
      <c r="AF3201" s="508">
        <v>0.63400000000000001</v>
      </c>
      <c r="AG3201" s="508">
        <v>0.623</v>
      </c>
      <c r="AH3201" s="508">
        <v>0.62</v>
      </c>
      <c r="AI3201" s="492">
        <v>0.62</v>
      </c>
      <c r="AJ3201" s="485"/>
    </row>
    <row r="3202" spans="2:36">
      <c r="B3202" s="136" t="s">
        <v>453</v>
      </c>
      <c r="C3202" s="132" t="s">
        <v>1371</v>
      </c>
      <c r="D3202" s="132" t="s">
        <v>283</v>
      </c>
      <c r="E3202" s="508">
        <v>20.204000000000001</v>
      </c>
      <c r="F3202" s="508">
        <v>20.204000000000001</v>
      </c>
      <c r="G3202" s="508">
        <v>20.204000000000001</v>
      </c>
      <c r="H3202" s="508">
        <v>20.204000000000001</v>
      </c>
      <c r="I3202" s="508">
        <v>20.204000000000001</v>
      </c>
      <c r="J3202" s="508">
        <v>15.603999999999999</v>
      </c>
      <c r="K3202" s="508">
        <v>14.486000000000001</v>
      </c>
      <c r="L3202" s="508">
        <v>14.486000000000001</v>
      </c>
      <c r="M3202" s="508">
        <v>14.486000000000001</v>
      </c>
      <c r="N3202" s="508">
        <v>14.486000000000001</v>
      </c>
      <c r="O3202" s="508">
        <v>14.486000000000001</v>
      </c>
      <c r="P3202" s="508">
        <v>14.532</v>
      </c>
      <c r="Q3202" s="508">
        <v>14.532</v>
      </c>
      <c r="R3202" s="508">
        <v>13.635</v>
      </c>
      <c r="S3202" s="508">
        <v>7.4980000000000002</v>
      </c>
      <c r="T3202" s="508">
        <v>7.4980000000000002</v>
      </c>
      <c r="U3202" s="508">
        <v>7.4980000000000002</v>
      </c>
      <c r="V3202" s="508">
        <v>7.4980000000000002</v>
      </c>
      <c r="W3202" s="508">
        <v>5.8860000000000001</v>
      </c>
      <c r="X3202" s="508">
        <v>5.8860000000000001</v>
      </c>
      <c r="Y3202" s="508">
        <v>5.8860000000000001</v>
      </c>
      <c r="Z3202" s="508">
        <v>5.8860000000000001</v>
      </c>
      <c r="AA3202" s="508">
        <v>2.9940000000000002</v>
      </c>
      <c r="AB3202" s="508">
        <v>2.9940000000000002</v>
      </c>
      <c r="AC3202" s="508">
        <v>2.9940000000000002</v>
      </c>
      <c r="AD3202" s="508">
        <v>0.96799999999999997</v>
      </c>
      <c r="AE3202" s="508">
        <v>0.96799999999999997</v>
      </c>
      <c r="AF3202" s="508">
        <v>0.627</v>
      </c>
      <c r="AG3202" s="508">
        <v>0.61699999999999999</v>
      </c>
      <c r="AH3202" s="508">
        <v>0.61399999999999999</v>
      </c>
      <c r="AI3202" s="492">
        <v>0.61399999999999999</v>
      </c>
      <c r="AJ3202" s="485"/>
    </row>
    <row r="3203" spans="2:36">
      <c r="B3203" s="136" t="s">
        <v>454</v>
      </c>
      <c r="C3203" s="132" t="s">
        <v>1371</v>
      </c>
      <c r="D3203" s="132" t="s">
        <v>283</v>
      </c>
      <c r="E3203" s="508">
        <v>20.007999999999999</v>
      </c>
      <c r="F3203" s="508">
        <v>20.007999999999999</v>
      </c>
      <c r="G3203" s="508">
        <v>20.007999999999999</v>
      </c>
      <c r="H3203" s="508">
        <v>20.007999999999999</v>
      </c>
      <c r="I3203" s="508">
        <v>20.007999999999999</v>
      </c>
      <c r="J3203" s="508">
        <v>15.452</v>
      </c>
      <c r="K3203" s="508">
        <v>14.343999999999999</v>
      </c>
      <c r="L3203" s="508">
        <v>14.343999999999999</v>
      </c>
      <c r="M3203" s="508">
        <v>14.343999999999999</v>
      </c>
      <c r="N3203" s="508">
        <v>14.343999999999999</v>
      </c>
      <c r="O3203" s="508">
        <v>14.343999999999999</v>
      </c>
      <c r="P3203" s="508">
        <v>14.39</v>
      </c>
      <c r="Q3203" s="508">
        <v>14.39</v>
      </c>
      <c r="R3203" s="508">
        <v>13.462999999999999</v>
      </c>
      <c r="S3203" s="508">
        <v>7.4379999999999997</v>
      </c>
      <c r="T3203" s="508">
        <v>7.4390000000000001</v>
      </c>
      <c r="U3203" s="508">
        <v>7.4379999999999997</v>
      </c>
      <c r="V3203" s="508">
        <v>7.4379999999999997</v>
      </c>
      <c r="W3203" s="508">
        <v>5.8440000000000003</v>
      </c>
      <c r="X3203" s="508">
        <v>5.8440000000000003</v>
      </c>
      <c r="Y3203" s="508">
        <v>5.8440000000000003</v>
      </c>
      <c r="Z3203" s="508">
        <v>5.8440000000000003</v>
      </c>
      <c r="AA3203" s="508">
        <v>2.9729999999999999</v>
      </c>
      <c r="AB3203" s="508">
        <v>2.9729999999999999</v>
      </c>
      <c r="AC3203" s="508">
        <v>2.9729999999999999</v>
      </c>
      <c r="AD3203" s="508">
        <v>0.96099999999999997</v>
      </c>
      <c r="AE3203" s="508">
        <v>0.96099999999999997</v>
      </c>
      <c r="AF3203" s="508">
        <v>0.623</v>
      </c>
      <c r="AG3203" s="508">
        <v>0.61299999999999999</v>
      </c>
      <c r="AH3203" s="508">
        <v>0.60899999999999999</v>
      </c>
      <c r="AI3203" s="492">
        <v>0.60899999999999999</v>
      </c>
      <c r="AJ3203" s="485"/>
    </row>
    <row r="3204" spans="2:36">
      <c r="B3204" s="136" t="s">
        <v>455</v>
      </c>
      <c r="C3204" s="132" t="s">
        <v>1371</v>
      </c>
      <c r="D3204" s="132" t="s">
        <v>283</v>
      </c>
      <c r="E3204" s="508">
        <v>20.190999999999999</v>
      </c>
      <c r="F3204" s="508">
        <v>20.190999999999999</v>
      </c>
      <c r="G3204" s="508">
        <v>20.192</v>
      </c>
      <c r="H3204" s="508">
        <v>20.192</v>
      </c>
      <c r="I3204" s="508">
        <v>20.192</v>
      </c>
      <c r="J3204" s="508">
        <v>15.593999999999999</v>
      </c>
      <c r="K3204" s="508">
        <v>14.477</v>
      </c>
      <c r="L3204" s="508">
        <v>14.477</v>
      </c>
      <c r="M3204" s="508">
        <v>14.477</v>
      </c>
      <c r="N3204" s="508">
        <v>14.477</v>
      </c>
      <c r="O3204" s="508">
        <v>14.477</v>
      </c>
      <c r="P3204" s="508">
        <v>14.523</v>
      </c>
      <c r="Q3204" s="508">
        <v>14.523</v>
      </c>
      <c r="R3204" s="508">
        <v>13.651999999999999</v>
      </c>
      <c r="S3204" s="508">
        <v>7.4669999999999996</v>
      </c>
      <c r="T3204" s="508">
        <v>7.4669999999999996</v>
      </c>
      <c r="U3204" s="508">
        <v>7.4669999999999996</v>
      </c>
      <c r="V3204" s="508">
        <v>7.4669999999999996</v>
      </c>
      <c r="W3204" s="508">
        <v>5.8220000000000001</v>
      </c>
      <c r="X3204" s="508">
        <v>5.8220000000000001</v>
      </c>
      <c r="Y3204" s="508">
        <v>5.8220000000000001</v>
      </c>
      <c r="Z3204" s="508">
        <v>5.8220000000000001</v>
      </c>
      <c r="AA3204" s="508">
        <v>2.9609999999999999</v>
      </c>
      <c r="AB3204" s="508">
        <v>2.9609999999999999</v>
      </c>
      <c r="AC3204" s="508">
        <v>2.9609999999999999</v>
      </c>
      <c r="AD3204" s="508">
        <v>0.95799999999999996</v>
      </c>
      <c r="AE3204" s="508">
        <v>0.95799999999999996</v>
      </c>
      <c r="AF3204" s="508">
        <v>0.621</v>
      </c>
      <c r="AG3204" s="508">
        <v>0.61099999999999999</v>
      </c>
      <c r="AH3204" s="508">
        <v>0.60699999999999998</v>
      </c>
      <c r="AI3204" s="492">
        <v>0.60699999999999998</v>
      </c>
      <c r="AJ3204" s="485"/>
    </row>
    <row r="3205" spans="2:36">
      <c r="B3205" s="136" t="s">
        <v>456</v>
      </c>
      <c r="C3205" s="132" t="s">
        <v>1371</v>
      </c>
      <c r="D3205" s="132" t="s">
        <v>283</v>
      </c>
      <c r="E3205" s="508">
        <v>18.841999999999999</v>
      </c>
      <c r="F3205" s="508">
        <v>18.841999999999999</v>
      </c>
      <c r="G3205" s="508">
        <v>18.841999999999999</v>
      </c>
      <c r="H3205" s="508">
        <v>18.841999999999999</v>
      </c>
      <c r="I3205" s="508">
        <v>18.841999999999999</v>
      </c>
      <c r="J3205" s="508">
        <v>14.552</v>
      </c>
      <c r="K3205" s="508">
        <v>13.509</v>
      </c>
      <c r="L3205" s="508">
        <v>13.509</v>
      </c>
      <c r="M3205" s="508">
        <v>13.509</v>
      </c>
      <c r="N3205" s="508">
        <v>13.509</v>
      </c>
      <c r="O3205" s="508">
        <v>13.509</v>
      </c>
      <c r="P3205" s="508">
        <v>13.553000000000001</v>
      </c>
      <c r="Q3205" s="508">
        <v>13.553000000000001</v>
      </c>
      <c r="R3205" s="508">
        <v>12.632</v>
      </c>
      <c r="S3205" s="508">
        <v>7.0069999999999997</v>
      </c>
      <c r="T3205" s="508">
        <v>7.0069999999999997</v>
      </c>
      <c r="U3205" s="508">
        <v>7.0069999999999997</v>
      </c>
      <c r="V3205" s="508">
        <v>7.0069999999999997</v>
      </c>
      <c r="W3205" s="508">
        <v>5.49</v>
      </c>
      <c r="X3205" s="508">
        <v>5.49</v>
      </c>
      <c r="Y3205" s="508">
        <v>5.49</v>
      </c>
      <c r="Z3205" s="508">
        <v>5.49</v>
      </c>
      <c r="AA3205" s="508">
        <v>2.7930000000000001</v>
      </c>
      <c r="AB3205" s="508">
        <v>2.7930000000000001</v>
      </c>
      <c r="AC3205" s="508">
        <v>2.7930000000000001</v>
      </c>
      <c r="AD3205" s="508">
        <v>0.90300000000000002</v>
      </c>
      <c r="AE3205" s="508">
        <v>0.90300000000000002</v>
      </c>
      <c r="AF3205" s="508">
        <v>0.58499999999999996</v>
      </c>
      <c r="AG3205" s="508">
        <v>0.57599999999999996</v>
      </c>
      <c r="AH3205" s="508">
        <v>0.57299999999999995</v>
      </c>
      <c r="AI3205" s="492">
        <v>0.57299999999999995</v>
      </c>
      <c r="AJ3205" s="485"/>
    </row>
    <row r="3206" spans="2:36">
      <c r="B3206" s="136" t="s">
        <v>457</v>
      </c>
      <c r="C3206" s="132" t="s">
        <v>1371</v>
      </c>
      <c r="D3206" s="132" t="s">
        <v>283</v>
      </c>
      <c r="E3206" s="508">
        <v>20.268999999999998</v>
      </c>
      <c r="F3206" s="508">
        <v>20.268999999999998</v>
      </c>
      <c r="G3206" s="508">
        <v>20.268999999999998</v>
      </c>
      <c r="H3206" s="508">
        <v>20.268999999999998</v>
      </c>
      <c r="I3206" s="508">
        <v>20.268999999999998</v>
      </c>
      <c r="J3206" s="508">
        <v>15.654</v>
      </c>
      <c r="K3206" s="508">
        <v>14.531000000000001</v>
      </c>
      <c r="L3206" s="508">
        <v>14.531000000000001</v>
      </c>
      <c r="M3206" s="508">
        <v>14.531000000000001</v>
      </c>
      <c r="N3206" s="508">
        <v>14.531000000000001</v>
      </c>
      <c r="O3206" s="508">
        <v>14.531000000000001</v>
      </c>
      <c r="P3206" s="508">
        <v>14.577999999999999</v>
      </c>
      <c r="Q3206" s="508">
        <v>14.577999999999999</v>
      </c>
      <c r="R3206" s="508">
        <v>13.771000000000001</v>
      </c>
      <c r="S3206" s="508">
        <v>7.5090000000000003</v>
      </c>
      <c r="T3206" s="508">
        <v>7.5090000000000003</v>
      </c>
      <c r="U3206" s="508">
        <v>7.5090000000000003</v>
      </c>
      <c r="V3206" s="508">
        <v>7.5090000000000003</v>
      </c>
      <c r="W3206" s="508">
        <v>5.9089999999999998</v>
      </c>
      <c r="X3206" s="508">
        <v>5.9089999999999998</v>
      </c>
      <c r="Y3206" s="508">
        <v>5.9089999999999998</v>
      </c>
      <c r="Z3206" s="508">
        <v>5.9089999999999998</v>
      </c>
      <c r="AA3206" s="508">
        <v>3.0059999999999998</v>
      </c>
      <c r="AB3206" s="508">
        <v>3.0059999999999998</v>
      </c>
      <c r="AC3206" s="508">
        <v>3.0059999999999998</v>
      </c>
      <c r="AD3206" s="508">
        <v>0.97199999999999998</v>
      </c>
      <c r="AE3206" s="508">
        <v>0.97199999999999998</v>
      </c>
      <c r="AF3206" s="508">
        <v>0.63</v>
      </c>
      <c r="AG3206" s="508">
        <v>0.62</v>
      </c>
      <c r="AH3206" s="508">
        <v>0.61599999999999999</v>
      </c>
      <c r="AI3206" s="492">
        <v>0.61599999999999999</v>
      </c>
      <c r="AJ3206" s="485"/>
    </row>
    <row r="3207" spans="2:36">
      <c r="B3207" s="136" t="s">
        <v>458</v>
      </c>
      <c r="C3207" s="132" t="s">
        <v>1371</v>
      </c>
      <c r="D3207" s="132" t="s">
        <v>283</v>
      </c>
      <c r="E3207" s="508">
        <v>20.664000000000001</v>
      </c>
      <c r="F3207" s="508">
        <v>20.664000000000001</v>
      </c>
      <c r="G3207" s="508">
        <v>20.664000000000001</v>
      </c>
      <c r="H3207" s="508">
        <v>20.664000000000001</v>
      </c>
      <c r="I3207" s="508">
        <v>20.664000000000001</v>
      </c>
      <c r="J3207" s="508">
        <v>15.959</v>
      </c>
      <c r="K3207" s="508">
        <v>14.815</v>
      </c>
      <c r="L3207" s="508">
        <v>14.815</v>
      </c>
      <c r="M3207" s="508">
        <v>14.815</v>
      </c>
      <c r="N3207" s="508">
        <v>14.815</v>
      </c>
      <c r="O3207" s="508">
        <v>14.815</v>
      </c>
      <c r="P3207" s="508">
        <v>14.862</v>
      </c>
      <c r="Q3207" s="508">
        <v>14.863</v>
      </c>
      <c r="R3207" s="508">
        <v>13.814</v>
      </c>
      <c r="S3207" s="508">
        <v>7.69</v>
      </c>
      <c r="T3207" s="508">
        <v>7.69</v>
      </c>
      <c r="U3207" s="508">
        <v>7.69</v>
      </c>
      <c r="V3207" s="508">
        <v>7.69</v>
      </c>
      <c r="W3207" s="508">
        <v>6.0119999999999996</v>
      </c>
      <c r="X3207" s="508">
        <v>6.0119999999999996</v>
      </c>
      <c r="Y3207" s="508">
        <v>6.0119999999999996</v>
      </c>
      <c r="Z3207" s="508">
        <v>6.0119999999999996</v>
      </c>
      <c r="AA3207" s="508">
        <v>3.0579999999999998</v>
      </c>
      <c r="AB3207" s="508">
        <v>3.0579999999999998</v>
      </c>
      <c r="AC3207" s="508">
        <v>3.0579999999999998</v>
      </c>
      <c r="AD3207" s="508">
        <v>0.98899999999999999</v>
      </c>
      <c r="AE3207" s="508">
        <v>0.98899999999999999</v>
      </c>
      <c r="AF3207" s="508">
        <v>0.64100000000000001</v>
      </c>
      <c r="AG3207" s="508">
        <v>0.63100000000000001</v>
      </c>
      <c r="AH3207" s="508">
        <v>0.627</v>
      </c>
      <c r="AI3207" s="492">
        <v>0.627</v>
      </c>
      <c r="AJ3207" s="485"/>
    </row>
    <row r="3208" spans="2:36">
      <c r="B3208" s="136" t="s">
        <v>459</v>
      </c>
      <c r="C3208" s="132" t="s">
        <v>1371</v>
      </c>
      <c r="D3208" s="132" t="s">
        <v>283</v>
      </c>
      <c r="E3208" s="508">
        <v>21.064</v>
      </c>
      <c r="F3208" s="508">
        <v>21.064</v>
      </c>
      <c r="G3208" s="508">
        <v>21.064</v>
      </c>
      <c r="H3208" s="508">
        <v>21.064</v>
      </c>
      <c r="I3208" s="508">
        <v>21.064</v>
      </c>
      <c r="J3208" s="508">
        <v>16.268000000000001</v>
      </c>
      <c r="K3208" s="508">
        <v>15.102</v>
      </c>
      <c r="L3208" s="508">
        <v>15.102</v>
      </c>
      <c r="M3208" s="508">
        <v>15.102</v>
      </c>
      <c r="N3208" s="508">
        <v>15.102</v>
      </c>
      <c r="O3208" s="508">
        <v>15.102</v>
      </c>
      <c r="P3208" s="508">
        <v>15.15</v>
      </c>
      <c r="Q3208" s="508">
        <v>15.15</v>
      </c>
      <c r="R3208" s="508">
        <v>14.082000000000001</v>
      </c>
      <c r="S3208" s="508">
        <v>7.8380000000000001</v>
      </c>
      <c r="T3208" s="508">
        <v>7.8380000000000001</v>
      </c>
      <c r="U3208" s="508">
        <v>7.8380000000000001</v>
      </c>
      <c r="V3208" s="508">
        <v>7.8380000000000001</v>
      </c>
      <c r="W3208" s="508">
        <v>6.1260000000000003</v>
      </c>
      <c r="X3208" s="508">
        <v>6.1260000000000003</v>
      </c>
      <c r="Y3208" s="508">
        <v>6.1260000000000003</v>
      </c>
      <c r="Z3208" s="508">
        <v>6.1260000000000003</v>
      </c>
      <c r="AA3208" s="508">
        <v>3.1160000000000001</v>
      </c>
      <c r="AB3208" s="508">
        <v>3.1160000000000001</v>
      </c>
      <c r="AC3208" s="508">
        <v>3.1160000000000001</v>
      </c>
      <c r="AD3208" s="508">
        <v>1.008</v>
      </c>
      <c r="AE3208" s="508">
        <v>1.008</v>
      </c>
      <c r="AF3208" s="508">
        <v>0.65300000000000002</v>
      </c>
      <c r="AG3208" s="508">
        <v>0.64300000000000002</v>
      </c>
      <c r="AH3208" s="508">
        <v>0.63900000000000001</v>
      </c>
      <c r="AI3208" s="492">
        <v>0.63900000000000001</v>
      </c>
      <c r="AJ3208" s="485"/>
    </row>
    <row r="3209" spans="2:36">
      <c r="B3209" s="136" t="s">
        <v>460</v>
      </c>
      <c r="C3209" s="132" t="s">
        <v>1371</v>
      </c>
      <c r="D3209" s="132" t="s">
        <v>283</v>
      </c>
      <c r="E3209" s="508">
        <v>20.812999999999999</v>
      </c>
      <c r="F3209" s="508">
        <v>20.812999999999999</v>
      </c>
      <c r="G3209" s="508">
        <v>20.812999999999999</v>
      </c>
      <c r="H3209" s="508">
        <v>20.812999999999999</v>
      </c>
      <c r="I3209" s="508">
        <v>20.812999999999999</v>
      </c>
      <c r="J3209" s="508">
        <v>16.074999999999999</v>
      </c>
      <c r="K3209" s="508">
        <v>14.923</v>
      </c>
      <c r="L3209" s="508">
        <v>14.923</v>
      </c>
      <c r="M3209" s="508">
        <v>14.923999999999999</v>
      </c>
      <c r="N3209" s="508">
        <v>14.923999999999999</v>
      </c>
      <c r="O3209" s="508">
        <v>14.923999999999999</v>
      </c>
      <c r="P3209" s="508">
        <v>14.971</v>
      </c>
      <c r="Q3209" s="508">
        <v>14.971</v>
      </c>
      <c r="R3209" s="508">
        <v>13.906000000000001</v>
      </c>
      <c r="S3209" s="508">
        <v>7.7450000000000001</v>
      </c>
      <c r="T3209" s="508">
        <v>7.7450000000000001</v>
      </c>
      <c r="U3209" s="508">
        <v>7.7450000000000001</v>
      </c>
      <c r="V3209" s="508">
        <v>7.7450000000000001</v>
      </c>
      <c r="W3209" s="508">
        <v>6.0579999999999998</v>
      </c>
      <c r="X3209" s="508">
        <v>6.0579999999999998</v>
      </c>
      <c r="Y3209" s="508">
        <v>6.0579999999999998</v>
      </c>
      <c r="Z3209" s="508">
        <v>6.0579999999999998</v>
      </c>
      <c r="AA3209" s="508">
        <v>3.081</v>
      </c>
      <c r="AB3209" s="508">
        <v>3.081</v>
      </c>
      <c r="AC3209" s="508">
        <v>3.081</v>
      </c>
      <c r="AD3209" s="508">
        <v>0.996</v>
      </c>
      <c r="AE3209" s="508">
        <v>0.996</v>
      </c>
      <c r="AF3209" s="508">
        <v>0.64600000000000002</v>
      </c>
      <c r="AG3209" s="508">
        <v>0.63600000000000001</v>
      </c>
      <c r="AH3209" s="508">
        <v>0.63200000000000001</v>
      </c>
      <c r="AI3209" s="492">
        <v>0.63200000000000001</v>
      </c>
      <c r="AJ3209" s="485"/>
    </row>
    <row r="3210" spans="2:36">
      <c r="B3210" s="136" t="s">
        <v>461</v>
      </c>
      <c r="C3210" s="132" t="s">
        <v>1371</v>
      </c>
      <c r="D3210" s="132" t="s">
        <v>283</v>
      </c>
      <c r="E3210" s="508">
        <v>20.545000000000002</v>
      </c>
      <c r="F3210" s="508">
        <v>20.545000000000002</v>
      </c>
      <c r="G3210" s="508">
        <v>20.545000000000002</v>
      </c>
      <c r="H3210" s="508">
        <v>20.545000000000002</v>
      </c>
      <c r="I3210" s="508">
        <v>20.545000000000002</v>
      </c>
      <c r="J3210" s="508">
        <v>15.867000000000001</v>
      </c>
      <c r="K3210" s="508">
        <v>14.728999999999999</v>
      </c>
      <c r="L3210" s="508">
        <v>14.728999999999999</v>
      </c>
      <c r="M3210" s="508">
        <v>14.728999999999999</v>
      </c>
      <c r="N3210" s="508">
        <v>14.728999999999999</v>
      </c>
      <c r="O3210" s="508">
        <v>14.728999999999999</v>
      </c>
      <c r="P3210" s="508">
        <v>14.776</v>
      </c>
      <c r="Q3210" s="508">
        <v>14.776</v>
      </c>
      <c r="R3210" s="508">
        <v>13.786</v>
      </c>
      <c r="S3210" s="508">
        <v>7.6550000000000002</v>
      </c>
      <c r="T3210" s="508">
        <v>7.6550000000000002</v>
      </c>
      <c r="U3210" s="508">
        <v>7.6550000000000002</v>
      </c>
      <c r="V3210" s="508">
        <v>7.6550000000000002</v>
      </c>
      <c r="W3210" s="508">
        <v>6.0279999999999996</v>
      </c>
      <c r="X3210" s="508">
        <v>6.0279999999999996</v>
      </c>
      <c r="Y3210" s="508">
        <v>6.0279999999999996</v>
      </c>
      <c r="Z3210" s="508">
        <v>6.0279999999999996</v>
      </c>
      <c r="AA3210" s="508">
        <v>3.0670000000000002</v>
      </c>
      <c r="AB3210" s="508">
        <v>3.0670000000000002</v>
      </c>
      <c r="AC3210" s="508">
        <v>3.0670000000000002</v>
      </c>
      <c r="AD3210" s="508">
        <v>0.99099999999999999</v>
      </c>
      <c r="AE3210" s="508">
        <v>0.99099999999999999</v>
      </c>
      <c r="AF3210" s="508">
        <v>0.64300000000000002</v>
      </c>
      <c r="AG3210" s="508">
        <v>0.63200000000000001</v>
      </c>
      <c r="AH3210" s="508">
        <v>0.629</v>
      </c>
      <c r="AI3210" s="492">
        <v>0.629</v>
      </c>
      <c r="AJ3210" s="485"/>
    </row>
    <row r="3211" spans="2:36">
      <c r="B3211" s="136" t="s">
        <v>462</v>
      </c>
      <c r="C3211" s="132" t="s">
        <v>1371</v>
      </c>
      <c r="D3211" s="132" t="s">
        <v>283</v>
      </c>
      <c r="E3211" s="508">
        <v>18.579000000000001</v>
      </c>
      <c r="F3211" s="508">
        <v>18.579000000000001</v>
      </c>
      <c r="G3211" s="508">
        <v>18.579000000000001</v>
      </c>
      <c r="H3211" s="508">
        <v>18.579000000000001</v>
      </c>
      <c r="I3211" s="508">
        <v>18.579000000000001</v>
      </c>
      <c r="J3211" s="508">
        <v>14.349</v>
      </c>
      <c r="K3211" s="508">
        <v>13.319000000000001</v>
      </c>
      <c r="L3211" s="508">
        <v>13.319000000000001</v>
      </c>
      <c r="M3211" s="508">
        <v>13.319000000000001</v>
      </c>
      <c r="N3211" s="508">
        <v>13.319000000000001</v>
      </c>
      <c r="O3211" s="508">
        <v>13.319000000000001</v>
      </c>
      <c r="P3211" s="508">
        <v>13.362</v>
      </c>
      <c r="Q3211" s="508">
        <v>13.362</v>
      </c>
      <c r="R3211" s="508">
        <v>12.516</v>
      </c>
      <c r="S3211" s="508">
        <v>6.9210000000000003</v>
      </c>
      <c r="T3211" s="508">
        <v>6.9210000000000003</v>
      </c>
      <c r="U3211" s="508">
        <v>6.9210000000000003</v>
      </c>
      <c r="V3211" s="508">
        <v>6.9210000000000003</v>
      </c>
      <c r="W3211" s="508">
        <v>5.47</v>
      </c>
      <c r="X3211" s="508">
        <v>5.47</v>
      </c>
      <c r="Y3211" s="508">
        <v>5.47</v>
      </c>
      <c r="Z3211" s="508">
        <v>5.47</v>
      </c>
      <c r="AA3211" s="508">
        <v>2.7829999999999999</v>
      </c>
      <c r="AB3211" s="508">
        <v>2.7829999999999999</v>
      </c>
      <c r="AC3211" s="508">
        <v>2.7829999999999999</v>
      </c>
      <c r="AD3211" s="508">
        <v>0.9</v>
      </c>
      <c r="AE3211" s="508">
        <v>0.9</v>
      </c>
      <c r="AF3211" s="508">
        <v>0.58299999999999996</v>
      </c>
      <c r="AG3211" s="508">
        <v>0.57399999999999995</v>
      </c>
      <c r="AH3211" s="508">
        <v>0.57099999999999995</v>
      </c>
      <c r="AI3211" s="492">
        <v>0.57099999999999995</v>
      </c>
      <c r="AJ3211" s="485"/>
    </row>
    <row r="3212" spans="2:36">
      <c r="B3212" s="136" t="s">
        <v>463</v>
      </c>
      <c r="C3212" s="132" t="s">
        <v>1371</v>
      </c>
      <c r="D3212" s="132" t="s">
        <v>283</v>
      </c>
      <c r="E3212" s="508">
        <v>20.16</v>
      </c>
      <c r="F3212" s="508">
        <v>20.16</v>
      </c>
      <c r="G3212" s="508">
        <v>20.16</v>
      </c>
      <c r="H3212" s="508">
        <v>20.16</v>
      </c>
      <c r="I3212" s="508">
        <v>20.16</v>
      </c>
      <c r="J3212" s="508">
        <v>15.57</v>
      </c>
      <c r="K3212" s="508">
        <v>14.452999999999999</v>
      </c>
      <c r="L3212" s="508">
        <v>14.452999999999999</v>
      </c>
      <c r="M3212" s="508">
        <v>14.452999999999999</v>
      </c>
      <c r="N3212" s="508">
        <v>14.452999999999999</v>
      </c>
      <c r="O3212" s="508">
        <v>14.452999999999999</v>
      </c>
      <c r="P3212" s="508">
        <v>14.499000000000001</v>
      </c>
      <c r="Q3212" s="508">
        <v>14.499000000000001</v>
      </c>
      <c r="R3212" s="508">
        <v>13.646000000000001</v>
      </c>
      <c r="S3212" s="508">
        <v>7.4669999999999996</v>
      </c>
      <c r="T3212" s="508">
        <v>7.4669999999999996</v>
      </c>
      <c r="U3212" s="508">
        <v>7.4669999999999996</v>
      </c>
      <c r="V3212" s="508">
        <v>7.4669999999999996</v>
      </c>
      <c r="W3212" s="508">
        <v>5.843</v>
      </c>
      <c r="X3212" s="508">
        <v>5.843</v>
      </c>
      <c r="Y3212" s="508">
        <v>5.843</v>
      </c>
      <c r="Z3212" s="508">
        <v>5.843</v>
      </c>
      <c r="AA3212" s="508">
        <v>2.972</v>
      </c>
      <c r="AB3212" s="508">
        <v>2.972</v>
      </c>
      <c r="AC3212" s="508">
        <v>2.972</v>
      </c>
      <c r="AD3212" s="508">
        <v>0.96099999999999997</v>
      </c>
      <c r="AE3212" s="508">
        <v>0.96099999999999997</v>
      </c>
      <c r="AF3212" s="508">
        <v>0.623</v>
      </c>
      <c r="AG3212" s="508">
        <v>0.61299999999999999</v>
      </c>
      <c r="AH3212" s="508">
        <v>0.60899999999999999</v>
      </c>
      <c r="AI3212" s="492">
        <v>0.60899999999999999</v>
      </c>
      <c r="AJ3212" s="485"/>
    </row>
    <row r="3213" spans="2:36">
      <c r="B3213" s="136" t="s">
        <v>464</v>
      </c>
      <c r="C3213" s="132" t="s">
        <v>1371</v>
      </c>
      <c r="D3213" s="132" t="s">
        <v>283</v>
      </c>
      <c r="E3213" s="508">
        <v>20.591000000000001</v>
      </c>
      <c r="F3213" s="508">
        <v>20.591000000000001</v>
      </c>
      <c r="G3213" s="508">
        <v>20.591000000000001</v>
      </c>
      <c r="H3213" s="508">
        <v>20.591000000000001</v>
      </c>
      <c r="I3213" s="508">
        <v>20.591000000000001</v>
      </c>
      <c r="J3213" s="508">
        <v>15.903</v>
      </c>
      <c r="K3213" s="508">
        <v>14.763</v>
      </c>
      <c r="L3213" s="508">
        <v>14.763</v>
      </c>
      <c r="M3213" s="508">
        <v>14.763</v>
      </c>
      <c r="N3213" s="508">
        <v>14.763</v>
      </c>
      <c r="O3213" s="508">
        <v>14.763</v>
      </c>
      <c r="P3213" s="508">
        <v>14.81</v>
      </c>
      <c r="Q3213" s="508">
        <v>14.81</v>
      </c>
      <c r="R3213" s="508">
        <v>13.989000000000001</v>
      </c>
      <c r="S3213" s="508">
        <v>7.6139999999999999</v>
      </c>
      <c r="T3213" s="508">
        <v>7.6139999999999999</v>
      </c>
      <c r="U3213" s="508">
        <v>7.6139999999999999</v>
      </c>
      <c r="V3213" s="508">
        <v>7.6139999999999999</v>
      </c>
      <c r="W3213" s="508">
        <v>5.9669999999999996</v>
      </c>
      <c r="X3213" s="508">
        <v>5.9669999999999996</v>
      </c>
      <c r="Y3213" s="508">
        <v>5.9669999999999996</v>
      </c>
      <c r="Z3213" s="508">
        <v>5.9669999999999996</v>
      </c>
      <c r="AA3213" s="508">
        <v>3.0350000000000001</v>
      </c>
      <c r="AB3213" s="508">
        <v>3.0350000000000001</v>
      </c>
      <c r="AC3213" s="508">
        <v>3.0350000000000001</v>
      </c>
      <c r="AD3213" s="508">
        <v>0.98099999999999998</v>
      </c>
      <c r="AE3213" s="508">
        <v>0.98099999999999998</v>
      </c>
      <c r="AF3213" s="508">
        <v>0.63600000000000001</v>
      </c>
      <c r="AG3213" s="508">
        <v>0.626</v>
      </c>
      <c r="AH3213" s="508">
        <v>0.622</v>
      </c>
      <c r="AI3213" s="492">
        <v>0.622</v>
      </c>
      <c r="AJ3213" s="485"/>
    </row>
    <row r="3214" spans="2:36">
      <c r="B3214" s="136" t="s">
        <v>465</v>
      </c>
      <c r="C3214" s="132" t="s">
        <v>1371</v>
      </c>
      <c r="D3214" s="132" t="s">
        <v>283</v>
      </c>
      <c r="E3214" s="508">
        <v>20.619</v>
      </c>
      <c r="F3214" s="508">
        <v>20.619</v>
      </c>
      <c r="G3214" s="508">
        <v>20.619</v>
      </c>
      <c r="H3214" s="508">
        <v>20.619</v>
      </c>
      <c r="I3214" s="508">
        <v>20.619</v>
      </c>
      <c r="J3214" s="508">
        <v>15.923999999999999</v>
      </c>
      <c r="K3214" s="508">
        <v>14.782999999999999</v>
      </c>
      <c r="L3214" s="508">
        <v>14.784000000000001</v>
      </c>
      <c r="M3214" s="508">
        <v>14.784000000000001</v>
      </c>
      <c r="N3214" s="508">
        <v>14.784000000000001</v>
      </c>
      <c r="O3214" s="508">
        <v>14.784000000000001</v>
      </c>
      <c r="P3214" s="508">
        <v>14.831</v>
      </c>
      <c r="Q3214" s="508">
        <v>14.831</v>
      </c>
      <c r="R3214" s="508">
        <v>13.935</v>
      </c>
      <c r="S3214" s="508">
        <v>7.6280000000000001</v>
      </c>
      <c r="T3214" s="508">
        <v>7.6280000000000001</v>
      </c>
      <c r="U3214" s="508">
        <v>7.6280000000000001</v>
      </c>
      <c r="V3214" s="508">
        <v>7.6280000000000001</v>
      </c>
      <c r="W3214" s="508">
        <v>5.952</v>
      </c>
      <c r="X3214" s="508">
        <v>5.952</v>
      </c>
      <c r="Y3214" s="508">
        <v>5.952</v>
      </c>
      <c r="Z3214" s="508">
        <v>5.952</v>
      </c>
      <c r="AA3214" s="508">
        <v>3.0270000000000001</v>
      </c>
      <c r="AB3214" s="508">
        <v>3.0270000000000001</v>
      </c>
      <c r="AC3214" s="508">
        <v>3.0270000000000001</v>
      </c>
      <c r="AD3214" s="508">
        <v>0.97899999999999998</v>
      </c>
      <c r="AE3214" s="508">
        <v>0.97899999999999998</v>
      </c>
      <c r="AF3214" s="508">
        <v>0.63400000000000001</v>
      </c>
      <c r="AG3214" s="508">
        <v>0.624</v>
      </c>
      <c r="AH3214" s="508">
        <v>0.62</v>
      </c>
      <c r="AI3214" s="492">
        <v>0.62</v>
      </c>
      <c r="AJ3214" s="485"/>
    </row>
    <row r="3215" spans="2:36">
      <c r="B3215" s="136" t="s">
        <v>466</v>
      </c>
      <c r="C3215" s="132" t="s">
        <v>1371</v>
      </c>
      <c r="D3215" s="132" t="s">
        <v>283</v>
      </c>
      <c r="E3215" s="508">
        <v>21.399000000000001</v>
      </c>
      <c r="F3215" s="508">
        <v>21.399000000000001</v>
      </c>
      <c r="G3215" s="508">
        <v>21.399000000000001</v>
      </c>
      <c r="H3215" s="508">
        <v>21.399000000000001</v>
      </c>
      <c r="I3215" s="508">
        <v>21.398</v>
      </c>
      <c r="J3215" s="508">
        <v>16.527000000000001</v>
      </c>
      <c r="K3215" s="508">
        <v>15.345000000000001</v>
      </c>
      <c r="L3215" s="508">
        <v>15.345000000000001</v>
      </c>
      <c r="M3215" s="508">
        <v>15.345000000000001</v>
      </c>
      <c r="N3215" s="508">
        <v>15.345000000000001</v>
      </c>
      <c r="O3215" s="508">
        <v>15.345000000000001</v>
      </c>
      <c r="P3215" s="508">
        <v>15.393000000000001</v>
      </c>
      <c r="Q3215" s="508">
        <v>15.393000000000001</v>
      </c>
      <c r="R3215" s="508">
        <v>14.173</v>
      </c>
      <c r="S3215" s="508">
        <v>7.9820000000000002</v>
      </c>
      <c r="T3215" s="508">
        <v>7.9820000000000002</v>
      </c>
      <c r="U3215" s="508">
        <v>7.9820000000000002</v>
      </c>
      <c r="V3215" s="508">
        <v>7.9809999999999999</v>
      </c>
      <c r="W3215" s="508">
        <v>6.23</v>
      </c>
      <c r="X3215" s="508">
        <v>6.23</v>
      </c>
      <c r="Y3215" s="508">
        <v>6.23</v>
      </c>
      <c r="Z3215" s="508">
        <v>6.23</v>
      </c>
      <c r="AA3215" s="508">
        <v>3.169</v>
      </c>
      <c r="AB3215" s="508">
        <v>3.169</v>
      </c>
      <c r="AC3215" s="508">
        <v>3.169</v>
      </c>
      <c r="AD3215" s="508">
        <v>1.0249999999999999</v>
      </c>
      <c r="AE3215" s="508">
        <v>1.0249999999999999</v>
      </c>
      <c r="AF3215" s="508">
        <v>0.66400000000000003</v>
      </c>
      <c r="AG3215" s="508">
        <v>0.65400000000000003</v>
      </c>
      <c r="AH3215" s="508">
        <v>0.65</v>
      </c>
      <c r="AI3215" s="492">
        <v>0.65</v>
      </c>
      <c r="AJ3215" s="485"/>
    </row>
    <row r="3216" spans="2:36">
      <c r="B3216" s="136" t="s">
        <v>467</v>
      </c>
      <c r="C3216" s="132" t="s">
        <v>1371</v>
      </c>
      <c r="D3216" s="132" t="s">
        <v>283</v>
      </c>
      <c r="E3216" s="508">
        <v>20.420999999999999</v>
      </c>
      <c r="F3216" s="508">
        <v>20.420999999999999</v>
      </c>
      <c r="G3216" s="508">
        <v>20.420999999999999</v>
      </c>
      <c r="H3216" s="508">
        <v>20.420999999999999</v>
      </c>
      <c r="I3216" s="508">
        <v>20.420999999999999</v>
      </c>
      <c r="J3216" s="508">
        <v>15.771000000000001</v>
      </c>
      <c r="K3216" s="508">
        <v>14.64</v>
      </c>
      <c r="L3216" s="508">
        <v>14.64</v>
      </c>
      <c r="M3216" s="508">
        <v>14.64</v>
      </c>
      <c r="N3216" s="508">
        <v>14.64</v>
      </c>
      <c r="O3216" s="508">
        <v>14.64</v>
      </c>
      <c r="P3216" s="508">
        <v>14.686999999999999</v>
      </c>
      <c r="Q3216" s="508">
        <v>14.686999999999999</v>
      </c>
      <c r="R3216" s="508">
        <v>13.724</v>
      </c>
      <c r="S3216" s="508">
        <v>7.6040000000000001</v>
      </c>
      <c r="T3216" s="508">
        <v>7.6040000000000001</v>
      </c>
      <c r="U3216" s="508">
        <v>7.6040000000000001</v>
      </c>
      <c r="V3216" s="508">
        <v>7.6040000000000001</v>
      </c>
      <c r="W3216" s="508">
        <v>5.9889999999999999</v>
      </c>
      <c r="X3216" s="508">
        <v>5.9889999999999999</v>
      </c>
      <c r="Y3216" s="508">
        <v>5.9889999999999999</v>
      </c>
      <c r="Z3216" s="508">
        <v>5.9889999999999999</v>
      </c>
      <c r="AA3216" s="508">
        <v>3.0470000000000002</v>
      </c>
      <c r="AB3216" s="508">
        <v>3.0470000000000002</v>
      </c>
      <c r="AC3216" s="508">
        <v>3.0470000000000002</v>
      </c>
      <c r="AD3216" s="508">
        <v>0.98499999999999999</v>
      </c>
      <c r="AE3216" s="508">
        <v>0.98499999999999999</v>
      </c>
      <c r="AF3216" s="508">
        <v>0.63900000000000001</v>
      </c>
      <c r="AG3216" s="508">
        <v>0.628</v>
      </c>
      <c r="AH3216" s="508">
        <v>0.625</v>
      </c>
      <c r="AI3216" s="492">
        <v>0.625</v>
      </c>
      <c r="AJ3216" s="485"/>
    </row>
    <row r="3217" spans="2:36">
      <c r="B3217" s="136" t="s">
        <v>468</v>
      </c>
      <c r="C3217" s="132" t="s">
        <v>1371</v>
      </c>
      <c r="D3217" s="132" t="s">
        <v>283</v>
      </c>
      <c r="E3217" s="508">
        <v>20.802</v>
      </c>
      <c r="F3217" s="508">
        <v>20.802</v>
      </c>
      <c r="G3217" s="508">
        <v>20.802</v>
      </c>
      <c r="H3217" s="508">
        <v>20.802</v>
      </c>
      <c r="I3217" s="508">
        <v>20.802</v>
      </c>
      <c r="J3217" s="508">
        <v>16.065000000000001</v>
      </c>
      <c r="K3217" s="508">
        <v>14.914999999999999</v>
      </c>
      <c r="L3217" s="508">
        <v>14.914999999999999</v>
      </c>
      <c r="M3217" s="508">
        <v>14.914999999999999</v>
      </c>
      <c r="N3217" s="508">
        <v>14.914999999999999</v>
      </c>
      <c r="O3217" s="508">
        <v>14.914999999999999</v>
      </c>
      <c r="P3217" s="508">
        <v>14.962999999999999</v>
      </c>
      <c r="Q3217" s="508">
        <v>14.962999999999999</v>
      </c>
      <c r="R3217" s="508">
        <v>14.125999999999999</v>
      </c>
      <c r="S3217" s="508">
        <v>7.6609999999999996</v>
      </c>
      <c r="T3217" s="508">
        <v>7.6609999999999996</v>
      </c>
      <c r="U3217" s="508">
        <v>7.6609999999999996</v>
      </c>
      <c r="V3217" s="508">
        <v>7.6609999999999996</v>
      </c>
      <c r="W3217" s="508">
        <v>5.9409999999999998</v>
      </c>
      <c r="X3217" s="508">
        <v>5.9409999999999998</v>
      </c>
      <c r="Y3217" s="508">
        <v>5.9409999999999998</v>
      </c>
      <c r="Z3217" s="508">
        <v>5.9409999999999998</v>
      </c>
      <c r="AA3217" s="508">
        <v>3.02</v>
      </c>
      <c r="AB3217" s="508">
        <v>3.02</v>
      </c>
      <c r="AC3217" s="508">
        <v>3.02</v>
      </c>
      <c r="AD3217" s="508">
        <v>0.97699999999999998</v>
      </c>
      <c r="AE3217" s="508">
        <v>0.97699999999999998</v>
      </c>
      <c r="AF3217" s="508">
        <v>0.63300000000000001</v>
      </c>
      <c r="AG3217" s="508">
        <v>0.623</v>
      </c>
      <c r="AH3217" s="508">
        <v>0.61899999999999999</v>
      </c>
      <c r="AI3217" s="492">
        <v>0.61899999999999999</v>
      </c>
      <c r="AJ3217" s="485"/>
    </row>
    <row r="3218" spans="2:36">
      <c r="B3218" s="136" t="s">
        <v>469</v>
      </c>
      <c r="C3218" s="132" t="s">
        <v>1371</v>
      </c>
      <c r="D3218" s="132" t="s">
        <v>283</v>
      </c>
      <c r="E3218" s="508">
        <v>20.745000000000001</v>
      </c>
      <c r="F3218" s="508">
        <v>20.745000000000001</v>
      </c>
      <c r="G3218" s="508">
        <v>20.745000000000001</v>
      </c>
      <c r="H3218" s="508">
        <v>20.745000000000001</v>
      </c>
      <c r="I3218" s="508">
        <v>20.745000000000001</v>
      </c>
      <c r="J3218" s="508">
        <v>16.021999999999998</v>
      </c>
      <c r="K3218" s="508">
        <v>14.874000000000001</v>
      </c>
      <c r="L3218" s="508">
        <v>14.874000000000001</v>
      </c>
      <c r="M3218" s="508">
        <v>14.874000000000001</v>
      </c>
      <c r="N3218" s="508">
        <v>14.874000000000001</v>
      </c>
      <c r="O3218" s="508">
        <v>14.874000000000001</v>
      </c>
      <c r="P3218" s="508">
        <v>14.920999999999999</v>
      </c>
      <c r="Q3218" s="508">
        <v>14.920999999999999</v>
      </c>
      <c r="R3218" s="508">
        <v>13.992000000000001</v>
      </c>
      <c r="S3218" s="508">
        <v>7.6890000000000001</v>
      </c>
      <c r="T3218" s="508">
        <v>7.6890000000000001</v>
      </c>
      <c r="U3218" s="508">
        <v>7.6890000000000001</v>
      </c>
      <c r="V3218" s="508">
        <v>7.6890000000000001</v>
      </c>
      <c r="W3218" s="508">
        <v>6.0149999999999997</v>
      </c>
      <c r="X3218" s="508">
        <v>6.0149999999999997</v>
      </c>
      <c r="Y3218" s="508">
        <v>6.0149999999999997</v>
      </c>
      <c r="Z3218" s="508">
        <v>6.0149999999999997</v>
      </c>
      <c r="AA3218" s="508">
        <v>3.0590000000000002</v>
      </c>
      <c r="AB3218" s="508">
        <v>3.0590000000000002</v>
      </c>
      <c r="AC3218" s="508">
        <v>3.0590000000000002</v>
      </c>
      <c r="AD3218" s="508">
        <v>0.98899999999999999</v>
      </c>
      <c r="AE3218" s="508">
        <v>0.98899999999999999</v>
      </c>
      <c r="AF3218" s="508">
        <v>0.64100000000000001</v>
      </c>
      <c r="AG3218" s="508">
        <v>0.63100000000000001</v>
      </c>
      <c r="AH3218" s="508">
        <v>0.627</v>
      </c>
      <c r="AI3218" s="492">
        <v>0.627</v>
      </c>
      <c r="AJ3218" s="485"/>
    </row>
    <row r="3219" spans="2:36">
      <c r="B3219" s="136" t="s">
        <v>470</v>
      </c>
      <c r="C3219" s="132" t="s">
        <v>1371</v>
      </c>
      <c r="D3219" s="132" t="s">
        <v>283</v>
      </c>
      <c r="E3219" s="508">
        <v>20.795999999999999</v>
      </c>
      <c r="F3219" s="508">
        <v>20.795999999999999</v>
      </c>
      <c r="G3219" s="508">
        <v>20.795999999999999</v>
      </c>
      <c r="H3219" s="508">
        <v>20.795999999999999</v>
      </c>
      <c r="I3219" s="508">
        <v>20.795999999999999</v>
      </c>
      <c r="J3219" s="508">
        <v>16.061</v>
      </c>
      <c r="K3219" s="508">
        <v>14.91</v>
      </c>
      <c r="L3219" s="508">
        <v>14.91</v>
      </c>
      <c r="M3219" s="508">
        <v>14.91</v>
      </c>
      <c r="N3219" s="508">
        <v>14.91</v>
      </c>
      <c r="O3219" s="508">
        <v>14.91</v>
      </c>
      <c r="P3219" s="508">
        <v>14.958</v>
      </c>
      <c r="Q3219" s="508">
        <v>14.958</v>
      </c>
      <c r="R3219" s="508">
        <v>13.843999999999999</v>
      </c>
      <c r="S3219" s="508">
        <v>7.7590000000000003</v>
      </c>
      <c r="T3219" s="508">
        <v>7.7590000000000003</v>
      </c>
      <c r="U3219" s="508">
        <v>7.7590000000000003</v>
      </c>
      <c r="V3219" s="508">
        <v>7.7590000000000003</v>
      </c>
      <c r="W3219" s="508">
        <v>6.0819999999999999</v>
      </c>
      <c r="X3219" s="508">
        <v>6.0819999999999999</v>
      </c>
      <c r="Y3219" s="508">
        <v>6.0819999999999999</v>
      </c>
      <c r="Z3219" s="508">
        <v>6.0819999999999999</v>
      </c>
      <c r="AA3219" s="508">
        <v>3.0939999999999999</v>
      </c>
      <c r="AB3219" s="508">
        <v>3.0939999999999999</v>
      </c>
      <c r="AC3219" s="508">
        <v>3.0939999999999999</v>
      </c>
      <c r="AD3219" s="508">
        <v>1</v>
      </c>
      <c r="AE3219" s="508">
        <v>1</v>
      </c>
      <c r="AF3219" s="508">
        <v>0.64800000000000002</v>
      </c>
      <c r="AG3219" s="508">
        <v>0.63800000000000001</v>
      </c>
      <c r="AH3219" s="508">
        <v>0.63500000000000001</v>
      </c>
      <c r="AI3219" s="492">
        <v>0.63500000000000001</v>
      </c>
      <c r="AJ3219" s="485"/>
    </row>
    <row r="3220" spans="2:36">
      <c r="B3220" s="136" t="s">
        <v>471</v>
      </c>
      <c r="C3220" s="132" t="s">
        <v>1371</v>
      </c>
      <c r="D3220" s="132" t="s">
        <v>283</v>
      </c>
      <c r="E3220" s="508">
        <v>19.608000000000001</v>
      </c>
      <c r="F3220" s="508">
        <v>19.608000000000001</v>
      </c>
      <c r="G3220" s="508">
        <v>19.608000000000001</v>
      </c>
      <c r="H3220" s="508">
        <v>19.608000000000001</v>
      </c>
      <c r="I3220" s="508">
        <v>19.608000000000001</v>
      </c>
      <c r="J3220" s="508">
        <v>15.144</v>
      </c>
      <c r="K3220" s="508">
        <v>14.058</v>
      </c>
      <c r="L3220" s="508">
        <v>14.058</v>
      </c>
      <c r="M3220" s="508">
        <v>14.058</v>
      </c>
      <c r="N3220" s="508">
        <v>14.058</v>
      </c>
      <c r="O3220" s="508">
        <v>14.058</v>
      </c>
      <c r="P3220" s="508">
        <v>14.103</v>
      </c>
      <c r="Q3220" s="508">
        <v>14.103</v>
      </c>
      <c r="R3220" s="508">
        <v>13.112</v>
      </c>
      <c r="S3220" s="508">
        <v>7.3159999999999998</v>
      </c>
      <c r="T3220" s="508">
        <v>7.3159999999999998</v>
      </c>
      <c r="U3220" s="508">
        <v>7.3159999999999998</v>
      </c>
      <c r="V3220" s="508">
        <v>7.3159999999999998</v>
      </c>
      <c r="W3220" s="508">
        <v>5.7610000000000001</v>
      </c>
      <c r="X3220" s="508">
        <v>5.7610000000000001</v>
      </c>
      <c r="Y3220" s="508">
        <v>5.7610000000000001</v>
      </c>
      <c r="Z3220" s="508">
        <v>5.7610000000000001</v>
      </c>
      <c r="AA3220" s="508">
        <v>2.931</v>
      </c>
      <c r="AB3220" s="508">
        <v>2.931</v>
      </c>
      <c r="AC3220" s="508">
        <v>2.931</v>
      </c>
      <c r="AD3220" s="508">
        <v>0.94799999999999995</v>
      </c>
      <c r="AE3220" s="508">
        <v>0.94799999999999995</v>
      </c>
      <c r="AF3220" s="508">
        <v>0.61399999999999999</v>
      </c>
      <c r="AG3220" s="508">
        <v>0.60499999999999998</v>
      </c>
      <c r="AH3220" s="508">
        <v>0.60099999999999998</v>
      </c>
      <c r="AI3220" s="492">
        <v>0.60099999999999998</v>
      </c>
      <c r="AJ3220" s="485"/>
    </row>
    <row r="3221" spans="2:36">
      <c r="B3221" s="136" t="s">
        <v>472</v>
      </c>
      <c r="C3221" s="132" t="s">
        <v>1371</v>
      </c>
      <c r="D3221" s="132" t="s">
        <v>283</v>
      </c>
      <c r="E3221" s="508">
        <v>20.422999999999998</v>
      </c>
      <c r="F3221" s="508">
        <v>20.422999999999998</v>
      </c>
      <c r="G3221" s="508">
        <v>20.422999999999998</v>
      </c>
      <c r="H3221" s="508">
        <v>20.422999999999998</v>
      </c>
      <c r="I3221" s="508">
        <v>20.422999999999998</v>
      </c>
      <c r="J3221" s="508">
        <v>15.773</v>
      </c>
      <c r="K3221" s="508">
        <v>14.641999999999999</v>
      </c>
      <c r="L3221" s="508">
        <v>14.641999999999999</v>
      </c>
      <c r="M3221" s="508">
        <v>14.641999999999999</v>
      </c>
      <c r="N3221" s="508">
        <v>14.641999999999999</v>
      </c>
      <c r="O3221" s="508">
        <v>14.641999999999999</v>
      </c>
      <c r="P3221" s="508">
        <v>14.689</v>
      </c>
      <c r="Q3221" s="508">
        <v>14.689</v>
      </c>
      <c r="R3221" s="508">
        <v>13.871</v>
      </c>
      <c r="S3221" s="508">
        <v>7.5659999999999998</v>
      </c>
      <c r="T3221" s="508">
        <v>7.5659999999999998</v>
      </c>
      <c r="U3221" s="508">
        <v>7.5650000000000004</v>
      </c>
      <c r="V3221" s="508">
        <v>7.5650000000000004</v>
      </c>
      <c r="W3221" s="508">
        <v>5.95</v>
      </c>
      <c r="X3221" s="508">
        <v>5.95</v>
      </c>
      <c r="Y3221" s="508">
        <v>5.95</v>
      </c>
      <c r="Z3221" s="508">
        <v>5.95</v>
      </c>
      <c r="AA3221" s="508">
        <v>3.0259999999999998</v>
      </c>
      <c r="AB3221" s="508">
        <v>3.0259999999999998</v>
      </c>
      <c r="AC3221" s="508">
        <v>3.0259999999999998</v>
      </c>
      <c r="AD3221" s="508">
        <v>0.97799999999999998</v>
      </c>
      <c r="AE3221" s="508">
        <v>0.97799999999999998</v>
      </c>
      <c r="AF3221" s="508">
        <v>0.63400000000000001</v>
      </c>
      <c r="AG3221" s="508">
        <v>0.624</v>
      </c>
      <c r="AH3221" s="508">
        <v>0.62</v>
      </c>
      <c r="AI3221" s="492">
        <v>0.62</v>
      </c>
      <c r="AJ3221" s="485"/>
    </row>
    <row r="3222" spans="2:36">
      <c r="B3222" s="136" t="s">
        <v>473</v>
      </c>
      <c r="C3222" s="132" t="s">
        <v>1371</v>
      </c>
      <c r="D3222" s="132" t="s">
        <v>283</v>
      </c>
      <c r="E3222" s="508">
        <v>20.431000000000001</v>
      </c>
      <c r="F3222" s="508">
        <v>20.431000000000001</v>
      </c>
      <c r="G3222" s="508">
        <v>20.431000000000001</v>
      </c>
      <c r="H3222" s="508">
        <v>20.431000000000001</v>
      </c>
      <c r="I3222" s="508">
        <v>20.431000000000001</v>
      </c>
      <c r="J3222" s="508">
        <v>15.78</v>
      </c>
      <c r="K3222" s="508">
        <v>14.65</v>
      </c>
      <c r="L3222" s="508">
        <v>14.65</v>
      </c>
      <c r="M3222" s="508">
        <v>14.65</v>
      </c>
      <c r="N3222" s="508">
        <v>14.65</v>
      </c>
      <c r="O3222" s="508">
        <v>14.65</v>
      </c>
      <c r="P3222" s="508">
        <v>14.696</v>
      </c>
      <c r="Q3222" s="508">
        <v>14.696</v>
      </c>
      <c r="R3222" s="508">
        <v>13.592000000000001</v>
      </c>
      <c r="S3222" s="508">
        <v>7.6269999999999998</v>
      </c>
      <c r="T3222" s="508">
        <v>7.6269999999999998</v>
      </c>
      <c r="U3222" s="508">
        <v>7.6269999999999998</v>
      </c>
      <c r="V3222" s="508">
        <v>7.6269999999999998</v>
      </c>
      <c r="W3222" s="508">
        <v>5.9859999999999998</v>
      </c>
      <c r="X3222" s="508">
        <v>5.9859999999999998</v>
      </c>
      <c r="Y3222" s="508">
        <v>5.9859999999999998</v>
      </c>
      <c r="Z3222" s="508">
        <v>5.9859999999999998</v>
      </c>
      <c r="AA3222" s="508">
        <v>3.0449999999999999</v>
      </c>
      <c r="AB3222" s="508">
        <v>3.0449999999999999</v>
      </c>
      <c r="AC3222" s="508">
        <v>3.0449999999999999</v>
      </c>
      <c r="AD3222" s="508">
        <v>0.98499999999999999</v>
      </c>
      <c r="AE3222" s="508">
        <v>0.98499999999999999</v>
      </c>
      <c r="AF3222" s="508">
        <v>0.63800000000000001</v>
      </c>
      <c r="AG3222" s="508">
        <v>0.628</v>
      </c>
      <c r="AH3222" s="508">
        <v>0.625</v>
      </c>
      <c r="AI3222" s="492">
        <v>0.625</v>
      </c>
      <c r="AJ3222" s="485"/>
    </row>
    <row r="3223" spans="2:36">
      <c r="B3223" s="136" t="s">
        <v>474</v>
      </c>
      <c r="C3223" s="132" t="s">
        <v>1371</v>
      </c>
      <c r="D3223" s="132" t="s">
        <v>283</v>
      </c>
      <c r="E3223" s="508">
        <v>19.701000000000001</v>
      </c>
      <c r="F3223" s="508">
        <v>19.701000000000001</v>
      </c>
      <c r="G3223" s="508">
        <v>19.701000000000001</v>
      </c>
      <c r="H3223" s="508">
        <v>19.701000000000001</v>
      </c>
      <c r="I3223" s="508">
        <v>19.701000000000001</v>
      </c>
      <c r="J3223" s="508">
        <v>15.215</v>
      </c>
      <c r="K3223" s="508">
        <v>14.125</v>
      </c>
      <c r="L3223" s="508">
        <v>14.125</v>
      </c>
      <c r="M3223" s="508">
        <v>14.125</v>
      </c>
      <c r="N3223" s="508">
        <v>14.125</v>
      </c>
      <c r="O3223" s="508">
        <v>14.125</v>
      </c>
      <c r="P3223" s="508">
        <v>14.17</v>
      </c>
      <c r="Q3223" s="508">
        <v>14.17</v>
      </c>
      <c r="R3223" s="508">
        <v>13.211</v>
      </c>
      <c r="S3223" s="508">
        <v>7.3310000000000004</v>
      </c>
      <c r="T3223" s="508">
        <v>7.3310000000000004</v>
      </c>
      <c r="U3223" s="508">
        <v>7.3310000000000004</v>
      </c>
      <c r="V3223" s="508">
        <v>7.3310000000000004</v>
      </c>
      <c r="W3223" s="508">
        <v>5.7560000000000002</v>
      </c>
      <c r="X3223" s="508">
        <v>5.7560000000000002</v>
      </c>
      <c r="Y3223" s="508">
        <v>5.7560000000000002</v>
      </c>
      <c r="Z3223" s="508">
        <v>5.7560000000000002</v>
      </c>
      <c r="AA3223" s="508">
        <v>2.9279999999999999</v>
      </c>
      <c r="AB3223" s="508">
        <v>2.9279999999999999</v>
      </c>
      <c r="AC3223" s="508">
        <v>2.9279999999999999</v>
      </c>
      <c r="AD3223" s="508">
        <v>0.94699999999999995</v>
      </c>
      <c r="AE3223" s="508">
        <v>0.94699999999999995</v>
      </c>
      <c r="AF3223" s="508">
        <v>0.61399999999999999</v>
      </c>
      <c r="AG3223" s="508">
        <v>0.60399999999999998</v>
      </c>
      <c r="AH3223" s="508">
        <v>0.6</v>
      </c>
      <c r="AI3223" s="492">
        <v>0.6</v>
      </c>
      <c r="AJ3223" s="485"/>
    </row>
    <row r="3224" spans="2:36">
      <c r="B3224" s="136" t="s">
        <v>475</v>
      </c>
      <c r="C3224" s="132" t="s">
        <v>1371</v>
      </c>
      <c r="D3224" s="132" t="s">
        <v>283</v>
      </c>
      <c r="E3224" s="508">
        <v>20.163</v>
      </c>
      <c r="F3224" s="508">
        <v>20.164000000000001</v>
      </c>
      <c r="G3224" s="508">
        <v>20.163</v>
      </c>
      <c r="H3224" s="508">
        <v>20.164000000000001</v>
      </c>
      <c r="I3224" s="508">
        <v>20.163</v>
      </c>
      <c r="J3224" s="508">
        <v>15.573</v>
      </c>
      <c r="K3224" s="508">
        <v>14.456</v>
      </c>
      <c r="L3224" s="508">
        <v>14.456</v>
      </c>
      <c r="M3224" s="508">
        <v>14.456</v>
      </c>
      <c r="N3224" s="508">
        <v>14.456</v>
      </c>
      <c r="O3224" s="508">
        <v>14.456</v>
      </c>
      <c r="P3224" s="508">
        <v>14.503</v>
      </c>
      <c r="Q3224" s="508">
        <v>14.503</v>
      </c>
      <c r="R3224" s="508">
        <v>13.566000000000001</v>
      </c>
      <c r="S3224" s="508">
        <v>7.4969999999999999</v>
      </c>
      <c r="T3224" s="508">
        <v>7.4969999999999999</v>
      </c>
      <c r="U3224" s="508">
        <v>7.4969999999999999</v>
      </c>
      <c r="V3224" s="508">
        <v>7.4969999999999999</v>
      </c>
      <c r="W3224" s="508">
        <v>5.891</v>
      </c>
      <c r="X3224" s="508">
        <v>5.891</v>
      </c>
      <c r="Y3224" s="508">
        <v>5.891</v>
      </c>
      <c r="Z3224" s="508">
        <v>5.891</v>
      </c>
      <c r="AA3224" s="508">
        <v>2.9969999999999999</v>
      </c>
      <c r="AB3224" s="508">
        <v>2.9969999999999999</v>
      </c>
      <c r="AC3224" s="508">
        <v>2.9969999999999999</v>
      </c>
      <c r="AD3224" s="508">
        <v>0.96899999999999997</v>
      </c>
      <c r="AE3224" s="508">
        <v>0.96899999999999997</v>
      </c>
      <c r="AF3224" s="508">
        <v>0.628</v>
      </c>
      <c r="AG3224" s="508">
        <v>0.61799999999999999</v>
      </c>
      <c r="AH3224" s="508">
        <v>0.61399999999999999</v>
      </c>
      <c r="AI3224" s="492">
        <v>0.61399999999999999</v>
      </c>
      <c r="AJ3224" s="485"/>
    </row>
    <row r="3225" spans="2:36">
      <c r="B3225" s="136" t="s">
        <v>476</v>
      </c>
      <c r="C3225" s="132" t="s">
        <v>1371</v>
      </c>
      <c r="D3225" s="132" t="s">
        <v>283</v>
      </c>
      <c r="E3225" s="508">
        <v>20.707000000000001</v>
      </c>
      <c r="F3225" s="508">
        <v>20.707000000000001</v>
      </c>
      <c r="G3225" s="508">
        <v>20.707000000000001</v>
      </c>
      <c r="H3225" s="508">
        <v>20.707000000000001</v>
      </c>
      <c r="I3225" s="508">
        <v>20.707000000000001</v>
      </c>
      <c r="J3225" s="508">
        <v>15.993</v>
      </c>
      <c r="K3225" s="508">
        <v>14.848000000000001</v>
      </c>
      <c r="L3225" s="508">
        <v>14.848000000000001</v>
      </c>
      <c r="M3225" s="508">
        <v>14.848000000000001</v>
      </c>
      <c r="N3225" s="508">
        <v>14.848000000000001</v>
      </c>
      <c r="O3225" s="508">
        <v>14.848000000000001</v>
      </c>
      <c r="P3225" s="508">
        <v>14.895</v>
      </c>
      <c r="Q3225" s="508">
        <v>14.895</v>
      </c>
      <c r="R3225" s="508">
        <v>13.833</v>
      </c>
      <c r="S3225" s="508">
        <v>7.7039999999999997</v>
      </c>
      <c r="T3225" s="508">
        <v>7.7039999999999997</v>
      </c>
      <c r="U3225" s="508">
        <v>7.7030000000000003</v>
      </c>
      <c r="V3225" s="508">
        <v>7.7030000000000003</v>
      </c>
      <c r="W3225" s="508">
        <v>6.0209999999999999</v>
      </c>
      <c r="X3225" s="508">
        <v>6.0209999999999999</v>
      </c>
      <c r="Y3225" s="508">
        <v>6.0209999999999999</v>
      </c>
      <c r="Z3225" s="508">
        <v>6.0209999999999999</v>
      </c>
      <c r="AA3225" s="508">
        <v>3.0630000000000002</v>
      </c>
      <c r="AB3225" s="508">
        <v>3.0630000000000002</v>
      </c>
      <c r="AC3225" s="508">
        <v>3.0630000000000002</v>
      </c>
      <c r="AD3225" s="508">
        <v>0.99</v>
      </c>
      <c r="AE3225" s="508">
        <v>0.99</v>
      </c>
      <c r="AF3225" s="508">
        <v>0.64200000000000002</v>
      </c>
      <c r="AG3225" s="508">
        <v>0.63200000000000001</v>
      </c>
      <c r="AH3225" s="508">
        <v>0.628</v>
      </c>
      <c r="AI3225" s="492">
        <v>0.628</v>
      </c>
      <c r="AJ3225" s="485"/>
    </row>
    <row r="3226" spans="2:36">
      <c r="B3226" s="136" t="s">
        <v>478</v>
      </c>
      <c r="C3226" s="132" t="s">
        <v>1371</v>
      </c>
      <c r="D3226" s="132" t="s">
        <v>283</v>
      </c>
      <c r="E3226" s="508">
        <v>21.273</v>
      </c>
      <c r="F3226" s="508">
        <v>21.273</v>
      </c>
      <c r="G3226" s="508">
        <v>21.273</v>
      </c>
      <c r="H3226" s="508">
        <v>21.273</v>
      </c>
      <c r="I3226" s="508">
        <v>21.273</v>
      </c>
      <c r="J3226" s="508">
        <v>16.43</v>
      </c>
      <c r="K3226" s="508">
        <v>15.253</v>
      </c>
      <c r="L3226" s="508">
        <v>15.253</v>
      </c>
      <c r="M3226" s="508">
        <v>15.253</v>
      </c>
      <c r="N3226" s="508">
        <v>15.253</v>
      </c>
      <c r="O3226" s="508">
        <v>15.253</v>
      </c>
      <c r="P3226" s="508">
        <v>15.302</v>
      </c>
      <c r="Q3226" s="508">
        <v>15.302</v>
      </c>
      <c r="R3226" s="508">
        <v>14.121</v>
      </c>
      <c r="S3226" s="508">
        <v>7.9279999999999999</v>
      </c>
      <c r="T3226" s="508">
        <v>7.9279999999999999</v>
      </c>
      <c r="U3226" s="508">
        <v>7.9279999999999999</v>
      </c>
      <c r="V3226" s="508">
        <v>7.9279999999999999</v>
      </c>
      <c r="W3226" s="508">
        <v>6.181</v>
      </c>
      <c r="X3226" s="508">
        <v>6.181</v>
      </c>
      <c r="Y3226" s="508">
        <v>6.181</v>
      </c>
      <c r="Z3226" s="508">
        <v>6.181</v>
      </c>
      <c r="AA3226" s="508">
        <v>3.1440000000000001</v>
      </c>
      <c r="AB3226" s="508">
        <v>3.1440000000000001</v>
      </c>
      <c r="AC3226" s="508">
        <v>3.1440000000000001</v>
      </c>
      <c r="AD3226" s="508">
        <v>1.0169999999999999</v>
      </c>
      <c r="AE3226" s="508">
        <v>1.0169999999999999</v>
      </c>
      <c r="AF3226" s="508">
        <v>0.65900000000000003</v>
      </c>
      <c r="AG3226" s="508">
        <v>0.64900000000000002</v>
      </c>
      <c r="AH3226" s="508">
        <v>0.64500000000000002</v>
      </c>
      <c r="AI3226" s="492">
        <v>0.64500000000000002</v>
      </c>
      <c r="AJ3226" s="485"/>
    </row>
    <row r="3227" spans="2:36">
      <c r="B3227" s="136" t="s">
        <v>479</v>
      </c>
      <c r="C3227" s="132" t="s">
        <v>1371</v>
      </c>
      <c r="D3227" s="132" t="s">
        <v>283</v>
      </c>
      <c r="E3227" s="508">
        <v>19.614000000000001</v>
      </c>
      <c r="F3227" s="508">
        <v>19.614000000000001</v>
      </c>
      <c r="G3227" s="508">
        <v>19.614000000000001</v>
      </c>
      <c r="H3227" s="508">
        <v>19.614000000000001</v>
      </c>
      <c r="I3227" s="508">
        <v>19.614000000000001</v>
      </c>
      <c r="J3227" s="508">
        <v>15.148999999999999</v>
      </c>
      <c r="K3227" s="508">
        <v>14.064</v>
      </c>
      <c r="L3227" s="508">
        <v>14.064</v>
      </c>
      <c r="M3227" s="508">
        <v>14.064</v>
      </c>
      <c r="N3227" s="508">
        <v>14.064</v>
      </c>
      <c r="O3227" s="508">
        <v>14.064</v>
      </c>
      <c r="P3227" s="508">
        <v>14.109</v>
      </c>
      <c r="Q3227" s="508">
        <v>14.109</v>
      </c>
      <c r="R3227" s="508">
        <v>13.176</v>
      </c>
      <c r="S3227" s="508">
        <v>7.28</v>
      </c>
      <c r="T3227" s="508">
        <v>7.28</v>
      </c>
      <c r="U3227" s="508">
        <v>7.28</v>
      </c>
      <c r="V3227" s="508">
        <v>7.28</v>
      </c>
      <c r="W3227" s="508">
        <v>5.69</v>
      </c>
      <c r="X3227" s="508">
        <v>5.69</v>
      </c>
      <c r="Y3227" s="508">
        <v>5.69</v>
      </c>
      <c r="Z3227" s="508">
        <v>5.69</v>
      </c>
      <c r="AA3227" s="508">
        <v>2.8940000000000001</v>
      </c>
      <c r="AB3227" s="508">
        <v>2.8940000000000001</v>
      </c>
      <c r="AC3227" s="508">
        <v>2.8940000000000001</v>
      </c>
      <c r="AD3227" s="508">
        <v>0.93600000000000005</v>
      </c>
      <c r="AE3227" s="508">
        <v>0.93600000000000005</v>
      </c>
      <c r="AF3227" s="508">
        <v>0.60699999999999998</v>
      </c>
      <c r="AG3227" s="508">
        <v>0.59699999999999998</v>
      </c>
      <c r="AH3227" s="508">
        <v>0.59299999999999997</v>
      </c>
      <c r="AI3227" s="492">
        <v>0.59299999999999997</v>
      </c>
      <c r="AJ3227" s="485"/>
    </row>
    <row r="3228" spans="2:36">
      <c r="B3228" s="136" t="s">
        <v>480</v>
      </c>
      <c r="C3228" s="132" t="s">
        <v>1371</v>
      </c>
      <c r="D3228" s="132" t="s">
        <v>283</v>
      </c>
      <c r="E3228" s="508">
        <v>20.66</v>
      </c>
      <c r="F3228" s="508">
        <v>20.66</v>
      </c>
      <c r="G3228" s="508">
        <v>20.66</v>
      </c>
      <c r="H3228" s="508">
        <v>20.66</v>
      </c>
      <c r="I3228" s="508">
        <v>20.66</v>
      </c>
      <c r="J3228" s="508">
        <v>15.956</v>
      </c>
      <c r="K3228" s="508">
        <v>14.811999999999999</v>
      </c>
      <c r="L3228" s="508">
        <v>14.811999999999999</v>
      </c>
      <c r="M3228" s="508">
        <v>14.811999999999999</v>
      </c>
      <c r="N3228" s="508">
        <v>14.811999999999999</v>
      </c>
      <c r="O3228" s="508">
        <v>14.811999999999999</v>
      </c>
      <c r="P3228" s="508">
        <v>14.86</v>
      </c>
      <c r="Q3228" s="508">
        <v>14.86</v>
      </c>
      <c r="R3228" s="508">
        <v>14.051</v>
      </c>
      <c r="S3228" s="508">
        <v>7.6260000000000003</v>
      </c>
      <c r="T3228" s="508">
        <v>7.6260000000000003</v>
      </c>
      <c r="U3228" s="508">
        <v>7.6260000000000003</v>
      </c>
      <c r="V3228" s="508">
        <v>7.6260000000000003</v>
      </c>
      <c r="W3228" s="508">
        <v>5.9550000000000001</v>
      </c>
      <c r="X3228" s="508">
        <v>5.9550000000000001</v>
      </c>
      <c r="Y3228" s="508">
        <v>5.9550000000000001</v>
      </c>
      <c r="Z3228" s="508">
        <v>5.9550000000000001</v>
      </c>
      <c r="AA3228" s="508">
        <v>3.028</v>
      </c>
      <c r="AB3228" s="508">
        <v>3.028</v>
      </c>
      <c r="AC3228" s="508">
        <v>3.028</v>
      </c>
      <c r="AD3228" s="508">
        <v>0.97899999999999998</v>
      </c>
      <c r="AE3228" s="508">
        <v>0.97899999999999998</v>
      </c>
      <c r="AF3228" s="508">
        <v>0.63500000000000001</v>
      </c>
      <c r="AG3228" s="508">
        <v>0.625</v>
      </c>
      <c r="AH3228" s="508">
        <v>0.62</v>
      </c>
      <c r="AI3228" s="492">
        <v>0.62</v>
      </c>
      <c r="AJ3228" s="485"/>
    </row>
    <row r="3229" spans="2:36">
      <c r="B3229" s="136" t="s">
        <v>481</v>
      </c>
      <c r="C3229" s="132" t="s">
        <v>1371</v>
      </c>
      <c r="D3229" s="132" t="s">
        <v>283</v>
      </c>
      <c r="E3229" s="508">
        <v>20.059000000000001</v>
      </c>
      <c r="F3229" s="508">
        <v>20.059000000000001</v>
      </c>
      <c r="G3229" s="508">
        <v>20.059000000000001</v>
      </c>
      <c r="H3229" s="508">
        <v>20.059000000000001</v>
      </c>
      <c r="I3229" s="508">
        <v>20.059000000000001</v>
      </c>
      <c r="J3229" s="508">
        <v>15.492000000000001</v>
      </c>
      <c r="K3229" s="508">
        <v>14.382999999999999</v>
      </c>
      <c r="L3229" s="508">
        <v>14.382999999999999</v>
      </c>
      <c r="M3229" s="508">
        <v>14.382999999999999</v>
      </c>
      <c r="N3229" s="508">
        <v>14.382999999999999</v>
      </c>
      <c r="O3229" s="508">
        <v>14.382999999999999</v>
      </c>
      <c r="P3229" s="508">
        <v>14.428000000000001</v>
      </c>
      <c r="Q3229" s="508">
        <v>14.428000000000001</v>
      </c>
      <c r="R3229" s="508">
        <v>13.438000000000001</v>
      </c>
      <c r="S3229" s="508">
        <v>7.4539999999999997</v>
      </c>
      <c r="T3229" s="508">
        <v>7.4539999999999997</v>
      </c>
      <c r="U3229" s="508">
        <v>7.4539999999999997</v>
      </c>
      <c r="V3229" s="508">
        <v>7.4539999999999997</v>
      </c>
      <c r="W3229" s="508">
        <v>5.8259999999999996</v>
      </c>
      <c r="X3229" s="508">
        <v>5.8259999999999996</v>
      </c>
      <c r="Y3229" s="508">
        <v>5.8259999999999996</v>
      </c>
      <c r="Z3229" s="508">
        <v>5.8259999999999996</v>
      </c>
      <c r="AA3229" s="508">
        <v>2.9630000000000001</v>
      </c>
      <c r="AB3229" s="508">
        <v>2.9630000000000001</v>
      </c>
      <c r="AC3229" s="508">
        <v>2.9630000000000001</v>
      </c>
      <c r="AD3229" s="508">
        <v>0.95799999999999996</v>
      </c>
      <c r="AE3229" s="508">
        <v>0.95799999999999996</v>
      </c>
      <c r="AF3229" s="508">
        <v>0.621</v>
      </c>
      <c r="AG3229" s="508">
        <v>0.61099999999999999</v>
      </c>
      <c r="AH3229" s="508">
        <v>0.60799999999999998</v>
      </c>
      <c r="AI3229" s="492">
        <v>0.60799999999999998</v>
      </c>
      <c r="AJ3229" s="485"/>
    </row>
    <row r="3230" spans="2:36">
      <c r="B3230" s="136" t="s">
        <v>482</v>
      </c>
      <c r="C3230" s="132" t="s">
        <v>1371</v>
      </c>
      <c r="D3230" s="132" t="s">
        <v>283</v>
      </c>
      <c r="E3230" s="508">
        <v>19.388000000000002</v>
      </c>
      <c r="F3230" s="508">
        <v>19.388000000000002</v>
      </c>
      <c r="G3230" s="508">
        <v>19.388000000000002</v>
      </c>
      <c r="H3230" s="508">
        <v>19.388000000000002</v>
      </c>
      <c r="I3230" s="508">
        <v>19.388000000000002</v>
      </c>
      <c r="J3230" s="508">
        <v>14.974</v>
      </c>
      <c r="K3230" s="508">
        <v>13.9</v>
      </c>
      <c r="L3230" s="508">
        <v>13.9</v>
      </c>
      <c r="M3230" s="508">
        <v>13.9</v>
      </c>
      <c r="N3230" s="508">
        <v>13.9</v>
      </c>
      <c r="O3230" s="508">
        <v>13.9</v>
      </c>
      <c r="P3230" s="508">
        <v>13.945</v>
      </c>
      <c r="Q3230" s="508">
        <v>13.945</v>
      </c>
      <c r="R3230" s="508">
        <v>12.987</v>
      </c>
      <c r="S3230" s="508">
        <v>7.2110000000000003</v>
      </c>
      <c r="T3230" s="508">
        <v>7.2110000000000003</v>
      </c>
      <c r="U3230" s="508">
        <v>7.2110000000000003</v>
      </c>
      <c r="V3230" s="508">
        <v>7.2110000000000003</v>
      </c>
      <c r="W3230" s="508">
        <v>5.6420000000000003</v>
      </c>
      <c r="X3230" s="508">
        <v>5.6420000000000003</v>
      </c>
      <c r="Y3230" s="508">
        <v>5.6420000000000003</v>
      </c>
      <c r="Z3230" s="508">
        <v>5.6420000000000003</v>
      </c>
      <c r="AA3230" s="508">
        <v>2.87</v>
      </c>
      <c r="AB3230" s="508">
        <v>2.87</v>
      </c>
      <c r="AC3230" s="508">
        <v>2.87</v>
      </c>
      <c r="AD3230" s="508">
        <v>0.92800000000000005</v>
      </c>
      <c r="AE3230" s="508">
        <v>0.92800000000000005</v>
      </c>
      <c r="AF3230" s="508">
        <v>0.60199999999999998</v>
      </c>
      <c r="AG3230" s="508">
        <v>0.59199999999999997</v>
      </c>
      <c r="AH3230" s="508">
        <v>0.58899999999999997</v>
      </c>
      <c r="AI3230" s="492">
        <v>0.58899999999999997</v>
      </c>
      <c r="AJ3230" s="485"/>
    </row>
    <row r="3231" spans="2:36">
      <c r="B3231" s="136" t="s">
        <v>483</v>
      </c>
      <c r="C3231" s="132" t="s">
        <v>1371</v>
      </c>
      <c r="D3231" s="132" t="s">
        <v>283</v>
      </c>
      <c r="E3231" s="508">
        <v>21.436</v>
      </c>
      <c r="F3231" s="508">
        <v>21.436</v>
      </c>
      <c r="G3231" s="508">
        <v>21.436</v>
      </c>
      <c r="H3231" s="508">
        <v>21.436</v>
      </c>
      <c r="I3231" s="508">
        <v>21.436</v>
      </c>
      <c r="J3231" s="508">
        <v>16.556000000000001</v>
      </c>
      <c r="K3231" s="508">
        <v>15.371</v>
      </c>
      <c r="L3231" s="508">
        <v>15.371</v>
      </c>
      <c r="M3231" s="508">
        <v>15.371</v>
      </c>
      <c r="N3231" s="508">
        <v>15.37</v>
      </c>
      <c r="O3231" s="508">
        <v>15.37</v>
      </c>
      <c r="P3231" s="508">
        <v>15.419</v>
      </c>
      <c r="Q3231" s="508">
        <v>15.419</v>
      </c>
      <c r="R3231" s="508">
        <v>14.247999999999999</v>
      </c>
      <c r="S3231" s="508">
        <v>7.9859999999999998</v>
      </c>
      <c r="T3231" s="508">
        <v>7.9859999999999998</v>
      </c>
      <c r="U3231" s="508">
        <v>7.9859999999999998</v>
      </c>
      <c r="V3231" s="508">
        <v>7.9859999999999998</v>
      </c>
      <c r="W3231" s="508">
        <v>6.2290000000000001</v>
      </c>
      <c r="X3231" s="508">
        <v>6.2290000000000001</v>
      </c>
      <c r="Y3231" s="508">
        <v>6.2290000000000001</v>
      </c>
      <c r="Z3231" s="508">
        <v>6.2290000000000001</v>
      </c>
      <c r="AA3231" s="508">
        <v>3.169</v>
      </c>
      <c r="AB3231" s="508">
        <v>3.169</v>
      </c>
      <c r="AC3231" s="508">
        <v>3.169</v>
      </c>
      <c r="AD3231" s="508">
        <v>1.0249999999999999</v>
      </c>
      <c r="AE3231" s="508">
        <v>1.0249999999999999</v>
      </c>
      <c r="AF3231" s="508">
        <v>0.66400000000000003</v>
      </c>
      <c r="AG3231" s="508">
        <v>0.65400000000000003</v>
      </c>
      <c r="AH3231" s="508">
        <v>0.65</v>
      </c>
      <c r="AI3231" s="492">
        <v>0.65</v>
      </c>
      <c r="AJ3231" s="485"/>
    </row>
    <row r="3232" spans="2:36">
      <c r="B3232" s="136" t="s">
        <v>484</v>
      </c>
      <c r="C3232" s="132" t="s">
        <v>1371</v>
      </c>
      <c r="D3232" s="132" t="s">
        <v>283</v>
      </c>
      <c r="E3232" s="508">
        <v>20.337</v>
      </c>
      <c r="F3232" s="508">
        <v>20.337</v>
      </c>
      <c r="G3232" s="508">
        <v>20.337</v>
      </c>
      <c r="H3232" s="508">
        <v>20.337</v>
      </c>
      <c r="I3232" s="508">
        <v>20.337</v>
      </c>
      <c r="J3232" s="508">
        <v>15.707000000000001</v>
      </c>
      <c r="K3232" s="508">
        <v>14.58</v>
      </c>
      <c r="L3232" s="508">
        <v>14.58</v>
      </c>
      <c r="M3232" s="508">
        <v>14.58</v>
      </c>
      <c r="N3232" s="508">
        <v>14.58</v>
      </c>
      <c r="O3232" s="508">
        <v>14.58</v>
      </c>
      <c r="P3232" s="508">
        <v>14.627000000000001</v>
      </c>
      <c r="Q3232" s="508">
        <v>14.627000000000001</v>
      </c>
      <c r="R3232" s="508">
        <v>13.819000000000001</v>
      </c>
      <c r="S3232" s="508">
        <v>7.5289999999999999</v>
      </c>
      <c r="T3232" s="508">
        <v>7.5289999999999999</v>
      </c>
      <c r="U3232" s="508">
        <v>7.5289999999999999</v>
      </c>
      <c r="V3232" s="508">
        <v>7.5289999999999999</v>
      </c>
      <c r="W3232" s="508">
        <v>5.9160000000000004</v>
      </c>
      <c r="X3232" s="508">
        <v>5.9160000000000004</v>
      </c>
      <c r="Y3232" s="508">
        <v>5.9160000000000004</v>
      </c>
      <c r="Z3232" s="508">
        <v>5.9160000000000004</v>
      </c>
      <c r="AA3232" s="508">
        <v>3.0089999999999999</v>
      </c>
      <c r="AB3232" s="508">
        <v>3.0089999999999999</v>
      </c>
      <c r="AC3232" s="508">
        <v>3.0089999999999999</v>
      </c>
      <c r="AD3232" s="508">
        <v>0.97299999999999998</v>
      </c>
      <c r="AE3232" s="508">
        <v>0.97299999999999998</v>
      </c>
      <c r="AF3232" s="508">
        <v>0.63100000000000001</v>
      </c>
      <c r="AG3232" s="508">
        <v>0.62</v>
      </c>
      <c r="AH3232" s="508">
        <v>0.61599999999999999</v>
      </c>
      <c r="AI3232" s="492">
        <v>0.61599999999999999</v>
      </c>
      <c r="AJ3232" s="485"/>
    </row>
    <row r="3233" spans="2:36">
      <c r="B3233" s="136" t="s">
        <v>486</v>
      </c>
      <c r="C3233" s="132" t="s">
        <v>1371</v>
      </c>
      <c r="D3233" s="132" t="s">
        <v>283</v>
      </c>
      <c r="E3233" s="508">
        <v>20.367000000000001</v>
      </c>
      <c r="F3233" s="508">
        <v>20.367000000000001</v>
      </c>
      <c r="G3233" s="508">
        <v>20.367000000000001</v>
      </c>
      <c r="H3233" s="508">
        <v>20.367000000000001</v>
      </c>
      <c r="I3233" s="508">
        <v>20.367000000000001</v>
      </c>
      <c r="J3233" s="508">
        <v>15.73</v>
      </c>
      <c r="K3233" s="508">
        <v>14.603</v>
      </c>
      <c r="L3233" s="508">
        <v>14.603</v>
      </c>
      <c r="M3233" s="508">
        <v>14.603</v>
      </c>
      <c r="N3233" s="508">
        <v>14.603</v>
      </c>
      <c r="O3233" s="508">
        <v>14.603</v>
      </c>
      <c r="P3233" s="508">
        <v>14.65</v>
      </c>
      <c r="Q3233" s="508">
        <v>14.65</v>
      </c>
      <c r="R3233" s="508">
        <v>13.635</v>
      </c>
      <c r="S3233" s="508">
        <v>7.57</v>
      </c>
      <c r="T3233" s="508">
        <v>7.57</v>
      </c>
      <c r="U3233" s="508">
        <v>7.57</v>
      </c>
      <c r="V3233" s="508">
        <v>7.57</v>
      </c>
      <c r="W3233" s="508">
        <v>5.9139999999999997</v>
      </c>
      <c r="X3233" s="508">
        <v>5.9139999999999997</v>
      </c>
      <c r="Y3233" s="508">
        <v>5.9139999999999997</v>
      </c>
      <c r="Z3233" s="508">
        <v>5.9139999999999997</v>
      </c>
      <c r="AA3233" s="508">
        <v>3.008</v>
      </c>
      <c r="AB3233" s="508">
        <v>3.008</v>
      </c>
      <c r="AC3233" s="508">
        <v>3.008</v>
      </c>
      <c r="AD3233" s="508">
        <v>0.97299999999999998</v>
      </c>
      <c r="AE3233" s="508">
        <v>0.97299999999999998</v>
      </c>
      <c r="AF3233" s="508">
        <v>0.63100000000000001</v>
      </c>
      <c r="AG3233" s="508">
        <v>0.621</v>
      </c>
      <c r="AH3233" s="508">
        <v>0.61699999999999999</v>
      </c>
      <c r="AI3233" s="492">
        <v>0.61699999999999999</v>
      </c>
      <c r="AJ3233" s="485"/>
    </row>
    <row r="3234" spans="2:36">
      <c r="B3234" s="136" t="s">
        <v>487</v>
      </c>
      <c r="C3234" s="132" t="s">
        <v>1371</v>
      </c>
      <c r="D3234" s="132" t="s">
        <v>283</v>
      </c>
      <c r="E3234" s="508">
        <v>21.004999999999999</v>
      </c>
      <c r="F3234" s="508">
        <v>21.004999999999999</v>
      </c>
      <c r="G3234" s="508">
        <v>21.004999999999999</v>
      </c>
      <c r="H3234" s="508">
        <v>21.004999999999999</v>
      </c>
      <c r="I3234" s="508">
        <v>21.004999999999999</v>
      </c>
      <c r="J3234" s="508">
        <v>16.222000000000001</v>
      </c>
      <c r="K3234" s="508">
        <v>15.06</v>
      </c>
      <c r="L3234" s="508">
        <v>15.06</v>
      </c>
      <c r="M3234" s="508">
        <v>15.06</v>
      </c>
      <c r="N3234" s="508">
        <v>15.06</v>
      </c>
      <c r="O3234" s="508">
        <v>15.06</v>
      </c>
      <c r="P3234" s="508">
        <v>15.108000000000001</v>
      </c>
      <c r="Q3234" s="508">
        <v>15.108000000000001</v>
      </c>
      <c r="R3234" s="508">
        <v>14.057</v>
      </c>
      <c r="S3234" s="508">
        <v>7.7990000000000004</v>
      </c>
      <c r="T3234" s="508">
        <v>7.7990000000000004</v>
      </c>
      <c r="U3234" s="508">
        <v>7.7990000000000004</v>
      </c>
      <c r="V3234" s="508">
        <v>7.7990000000000004</v>
      </c>
      <c r="W3234" s="508">
        <v>6.0759999999999996</v>
      </c>
      <c r="X3234" s="508">
        <v>6.0759999999999996</v>
      </c>
      <c r="Y3234" s="508">
        <v>6.0759999999999996</v>
      </c>
      <c r="Z3234" s="508">
        <v>6.0759999999999996</v>
      </c>
      <c r="AA3234" s="508">
        <v>3.09</v>
      </c>
      <c r="AB3234" s="508">
        <v>3.09</v>
      </c>
      <c r="AC3234" s="508">
        <v>3.09</v>
      </c>
      <c r="AD3234" s="508">
        <v>0.999</v>
      </c>
      <c r="AE3234" s="508">
        <v>0.999</v>
      </c>
      <c r="AF3234" s="508">
        <v>0.64800000000000002</v>
      </c>
      <c r="AG3234" s="508">
        <v>0.63700000000000001</v>
      </c>
      <c r="AH3234" s="508">
        <v>0.63400000000000001</v>
      </c>
      <c r="AI3234" s="492">
        <v>0.63400000000000001</v>
      </c>
      <c r="AJ3234" s="485"/>
    </row>
    <row r="3235" spans="2:36">
      <c r="B3235" s="136" t="s">
        <v>488</v>
      </c>
      <c r="C3235" s="132" t="s">
        <v>1371</v>
      </c>
      <c r="D3235" s="132" t="s">
        <v>283</v>
      </c>
      <c r="E3235" s="508">
        <v>20.047000000000001</v>
      </c>
      <c r="F3235" s="508">
        <v>20.047000000000001</v>
      </c>
      <c r="G3235" s="508">
        <v>20.047000000000001</v>
      </c>
      <c r="H3235" s="508">
        <v>20.047000000000001</v>
      </c>
      <c r="I3235" s="508">
        <v>20.047000000000001</v>
      </c>
      <c r="J3235" s="508">
        <v>15.483000000000001</v>
      </c>
      <c r="K3235" s="508">
        <v>14.372</v>
      </c>
      <c r="L3235" s="508">
        <v>14.372</v>
      </c>
      <c r="M3235" s="508">
        <v>14.372</v>
      </c>
      <c r="N3235" s="508">
        <v>14.372</v>
      </c>
      <c r="O3235" s="508">
        <v>14.372</v>
      </c>
      <c r="P3235" s="508">
        <v>14.417999999999999</v>
      </c>
      <c r="Q3235" s="508">
        <v>14.417999999999999</v>
      </c>
      <c r="R3235" s="508">
        <v>13.569000000000001</v>
      </c>
      <c r="S3235" s="508">
        <v>7.4269999999999996</v>
      </c>
      <c r="T3235" s="508">
        <v>7.4269999999999996</v>
      </c>
      <c r="U3235" s="508">
        <v>7.4269999999999996</v>
      </c>
      <c r="V3235" s="508">
        <v>7.4269999999999996</v>
      </c>
      <c r="W3235" s="508">
        <v>5.8209999999999997</v>
      </c>
      <c r="X3235" s="508">
        <v>5.8209999999999997</v>
      </c>
      <c r="Y3235" s="508">
        <v>5.8209999999999997</v>
      </c>
      <c r="Z3235" s="508">
        <v>5.8209999999999997</v>
      </c>
      <c r="AA3235" s="508">
        <v>2.9609999999999999</v>
      </c>
      <c r="AB3235" s="508">
        <v>2.9609999999999999</v>
      </c>
      <c r="AC3235" s="508">
        <v>2.9609999999999999</v>
      </c>
      <c r="AD3235" s="508">
        <v>0.95699999999999996</v>
      </c>
      <c r="AE3235" s="508">
        <v>0.95699999999999996</v>
      </c>
      <c r="AF3235" s="508">
        <v>0.621</v>
      </c>
      <c r="AG3235" s="508">
        <v>0.61099999999999999</v>
      </c>
      <c r="AH3235" s="508">
        <v>0.60699999999999998</v>
      </c>
      <c r="AI3235" s="492">
        <v>0.60699999999999998</v>
      </c>
      <c r="AJ3235" s="485"/>
    </row>
    <row r="3236" spans="2:36">
      <c r="B3236" s="136" t="s">
        <v>489</v>
      </c>
      <c r="C3236" s="132" t="s">
        <v>1371</v>
      </c>
      <c r="D3236" s="132" t="s">
        <v>283</v>
      </c>
      <c r="E3236" s="508">
        <v>20.515999999999998</v>
      </c>
      <c r="F3236" s="508">
        <v>20.515999999999998</v>
      </c>
      <c r="G3236" s="508">
        <v>20.515999999999998</v>
      </c>
      <c r="H3236" s="508">
        <v>20.515999999999998</v>
      </c>
      <c r="I3236" s="508">
        <v>20.515999999999998</v>
      </c>
      <c r="J3236" s="508">
        <v>15.845000000000001</v>
      </c>
      <c r="K3236" s="508">
        <v>14.709</v>
      </c>
      <c r="L3236" s="508">
        <v>14.709</v>
      </c>
      <c r="M3236" s="508">
        <v>14.709</v>
      </c>
      <c r="N3236" s="508">
        <v>14.709</v>
      </c>
      <c r="O3236" s="508">
        <v>14.709</v>
      </c>
      <c r="P3236" s="508">
        <v>14.756</v>
      </c>
      <c r="Q3236" s="508">
        <v>14.756</v>
      </c>
      <c r="R3236" s="508">
        <v>13.816000000000001</v>
      </c>
      <c r="S3236" s="508">
        <v>7.6230000000000002</v>
      </c>
      <c r="T3236" s="508">
        <v>7.6230000000000002</v>
      </c>
      <c r="U3236" s="508">
        <v>7.6230000000000002</v>
      </c>
      <c r="V3236" s="508">
        <v>7.6230000000000002</v>
      </c>
      <c r="W3236" s="508">
        <v>5.9859999999999998</v>
      </c>
      <c r="X3236" s="508">
        <v>5.9859999999999998</v>
      </c>
      <c r="Y3236" s="508">
        <v>5.9859999999999998</v>
      </c>
      <c r="Z3236" s="508">
        <v>5.9859999999999998</v>
      </c>
      <c r="AA3236" s="508">
        <v>3.0449999999999999</v>
      </c>
      <c r="AB3236" s="508">
        <v>3.0449999999999999</v>
      </c>
      <c r="AC3236" s="508">
        <v>3.0449999999999999</v>
      </c>
      <c r="AD3236" s="508">
        <v>0.98399999999999999</v>
      </c>
      <c r="AE3236" s="508">
        <v>0.98399999999999999</v>
      </c>
      <c r="AF3236" s="508">
        <v>0.63800000000000001</v>
      </c>
      <c r="AG3236" s="508">
        <v>0.628</v>
      </c>
      <c r="AH3236" s="508">
        <v>0.624</v>
      </c>
      <c r="AI3236" s="492">
        <v>0.624</v>
      </c>
      <c r="AJ3236" s="485"/>
    </row>
    <row r="3237" spans="2:36">
      <c r="B3237" s="136" t="s">
        <v>490</v>
      </c>
      <c r="C3237" s="132" t="s">
        <v>1371</v>
      </c>
      <c r="D3237" s="132" t="s">
        <v>283</v>
      </c>
      <c r="E3237" s="508">
        <v>21.187000000000001</v>
      </c>
      <c r="F3237" s="508">
        <v>21.187000000000001</v>
      </c>
      <c r="G3237" s="508">
        <v>21.187000000000001</v>
      </c>
      <c r="H3237" s="508">
        <v>21.187000000000001</v>
      </c>
      <c r="I3237" s="508">
        <v>21.187000000000001</v>
      </c>
      <c r="J3237" s="508">
        <v>16.363</v>
      </c>
      <c r="K3237" s="508">
        <v>15.192</v>
      </c>
      <c r="L3237" s="508">
        <v>15.192</v>
      </c>
      <c r="M3237" s="508">
        <v>15.192</v>
      </c>
      <c r="N3237" s="508">
        <v>15.192</v>
      </c>
      <c r="O3237" s="508">
        <v>15.192</v>
      </c>
      <c r="P3237" s="508">
        <v>15.24</v>
      </c>
      <c r="Q3237" s="508">
        <v>15.24</v>
      </c>
      <c r="R3237" s="508">
        <v>14.394</v>
      </c>
      <c r="S3237" s="508">
        <v>7.81</v>
      </c>
      <c r="T3237" s="508">
        <v>7.81</v>
      </c>
      <c r="U3237" s="508">
        <v>7.81</v>
      </c>
      <c r="V3237" s="508">
        <v>7.81</v>
      </c>
      <c r="W3237" s="508">
        <v>6.0750000000000002</v>
      </c>
      <c r="X3237" s="508">
        <v>6.0750000000000002</v>
      </c>
      <c r="Y3237" s="508">
        <v>6.0750000000000002</v>
      </c>
      <c r="Z3237" s="508">
        <v>6.0750000000000002</v>
      </c>
      <c r="AA3237" s="508">
        <v>3.089</v>
      </c>
      <c r="AB3237" s="508">
        <v>3.089</v>
      </c>
      <c r="AC3237" s="508">
        <v>3.089</v>
      </c>
      <c r="AD3237" s="508">
        <v>0.999</v>
      </c>
      <c r="AE3237" s="508">
        <v>0.999</v>
      </c>
      <c r="AF3237" s="508">
        <v>0.64700000000000002</v>
      </c>
      <c r="AG3237" s="508">
        <v>0.63700000000000001</v>
      </c>
      <c r="AH3237" s="508">
        <v>0.63300000000000001</v>
      </c>
      <c r="AI3237" s="492">
        <v>0.63300000000000001</v>
      </c>
      <c r="AJ3237" s="485"/>
    </row>
    <row r="3238" spans="2:36">
      <c r="B3238" s="136" t="s">
        <v>435</v>
      </c>
      <c r="C3238" s="132" t="s">
        <v>1372</v>
      </c>
      <c r="D3238" s="132" t="s">
        <v>283</v>
      </c>
      <c r="E3238" s="508">
        <v>8.1720000000000006</v>
      </c>
      <c r="F3238" s="508">
        <v>8.1720000000000006</v>
      </c>
      <c r="G3238" s="508">
        <v>8.1720000000000006</v>
      </c>
      <c r="H3238" s="508">
        <v>8.1720000000000006</v>
      </c>
      <c r="I3238" s="508">
        <v>8.1720000000000006</v>
      </c>
      <c r="J3238" s="508">
        <v>5.6920000000000002</v>
      </c>
      <c r="K3238" s="508">
        <v>5.6920000000000002</v>
      </c>
      <c r="L3238" s="508">
        <v>5.6920000000000002</v>
      </c>
      <c r="M3238" s="508">
        <v>5.6920000000000002</v>
      </c>
      <c r="N3238" s="508">
        <v>5.5919999999999996</v>
      </c>
      <c r="O3238" s="508">
        <v>5.5919999999999996</v>
      </c>
      <c r="P3238" s="508">
        <v>5.5919999999999996</v>
      </c>
      <c r="Q3238" s="508">
        <v>5.5919999999999996</v>
      </c>
      <c r="R3238" s="508">
        <v>3.927</v>
      </c>
      <c r="S3238" s="508">
        <v>3.927</v>
      </c>
      <c r="T3238" s="508">
        <v>3.927</v>
      </c>
      <c r="U3238" s="508">
        <v>3.8319999999999999</v>
      </c>
      <c r="V3238" s="508">
        <v>3.8319999999999999</v>
      </c>
      <c r="W3238" s="508">
        <v>3.8319999999999999</v>
      </c>
      <c r="X3238" s="508">
        <v>3.8319999999999999</v>
      </c>
      <c r="Y3238" s="508">
        <v>3.5859999999999999</v>
      </c>
      <c r="Z3238" s="508">
        <v>3.5840000000000001</v>
      </c>
      <c r="AA3238" s="508">
        <v>3.5840000000000001</v>
      </c>
      <c r="AB3238" s="508">
        <v>1</v>
      </c>
      <c r="AC3238" s="508">
        <v>0.999</v>
      </c>
      <c r="AD3238" s="508">
        <v>0.80800000000000005</v>
      </c>
      <c r="AE3238" s="508">
        <v>0.80800000000000005</v>
      </c>
      <c r="AF3238" s="508">
        <v>0.80400000000000005</v>
      </c>
      <c r="AG3238" s="508">
        <v>0.80400000000000005</v>
      </c>
      <c r="AH3238" s="508">
        <v>0.80100000000000005</v>
      </c>
      <c r="AI3238" s="492">
        <v>0.80100000000000005</v>
      </c>
      <c r="AJ3238" s="485"/>
    </row>
    <row r="3239" spans="2:36">
      <c r="B3239" s="136" t="s">
        <v>436</v>
      </c>
      <c r="C3239" s="132" t="s">
        <v>1372</v>
      </c>
      <c r="D3239" s="132" t="s">
        <v>283</v>
      </c>
      <c r="E3239" s="508">
        <v>9.4629999999999992</v>
      </c>
      <c r="F3239" s="508">
        <v>9.4629999999999992</v>
      </c>
      <c r="G3239" s="508">
        <v>9.4629999999999992</v>
      </c>
      <c r="H3239" s="508">
        <v>9.4629999999999992</v>
      </c>
      <c r="I3239" s="508">
        <v>9.4629999999999992</v>
      </c>
      <c r="J3239" s="508">
        <v>6.5289999999999999</v>
      </c>
      <c r="K3239" s="508">
        <v>6.5289999999999999</v>
      </c>
      <c r="L3239" s="508">
        <v>6.5289999999999999</v>
      </c>
      <c r="M3239" s="508">
        <v>6.5289999999999999</v>
      </c>
      <c r="N3239" s="508">
        <v>6.4139999999999997</v>
      </c>
      <c r="O3239" s="508">
        <v>6.4139999999999997</v>
      </c>
      <c r="P3239" s="508">
        <v>6.4139999999999997</v>
      </c>
      <c r="Q3239" s="508">
        <v>6.4139999999999997</v>
      </c>
      <c r="R3239" s="508">
        <v>4.4420000000000002</v>
      </c>
      <c r="S3239" s="508">
        <v>4.4420000000000002</v>
      </c>
      <c r="T3239" s="508">
        <v>4.4420000000000002</v>
      </c>
      <c r="U3239" s="508">
        <v>4.468</v>
      </c>
      <c r="V3239" s="508">
        <v>4.468</v>
      </c>
      <c r="W3239" s="508">
        <v>4.468</v>
      </c>
      <c r="X3239" s="508">
        <v>4.468</v>
      </c>
      <c r="Y3239" s="508">
        <v>4.22</v>
      </c>
      <c r="Z3239" s="508">
        <v>4.2140000000000004</v>
      </c>
      <c r="AA3239" s="508">
        <v>4.2140000000000004</v>
      </c>
      <c r="AB3239" s="508">
        <v>1.2</v>
      </c>
      <c r="AC3239" s="508">
        <v>1.1990000000000001</v>
      </c>
      <c r="AD3239" s="508">
        <v>0.97399999999999998</v>
      </c>
      <c r="AE3239" s="508">
        <v>0.97399999999999998</v>
      </c>
      <c r="AF3239" s="508">
        <v>0.97</v>
      </c>
      <c r="AG3239" s="508">
        <v>0.97</v>
      </c>
      <c r="AH3239" s="508">
        <v>0.96699999999999997</v>
      </c>
      <c r="AI3239" s="492">
        <v>0.96699999999999997</v>
      </c>
      <c r="AJ3239" s="485"/>
    </row>
    <row r="3240" spans="2:36">
      <c r="B3240" s="136" t="s">
        <v>437</v>
      </c>
      <c r="C3240" s="132" t="s">
        <v>1372</v>
      </c>
      <c r="D3240" s="132" t="s">
        <v>283</v>
      </c>
      <c r="E3240" s="508">
        <v>8.6969999999999992</v>
      </c>
      <c r="F3240" s="508">
        <v>8.6969999999999992</v>
      </c>
      <c r="G3240" s="508">
        <v>8.6969999999999992</v>
      </c>
      <c r="H3240" s="508">
        <v>8.6969999999999992</v>
      </c>
      <c r="I3240" s="508">
        <v>8.6969999999999992</v>
      </c>
      <c r="J3240" s="508">
        <v>6.07</v>
      </c>
      <c r="K3240" s="508">
        <v>6.07</v>
      </c>
      <c r="L3240" s="508">
        <v>6.07</v>
      </c>
      <c r="M3240" s="508">
        <v>6.07</v>
      </c>
      <c r="N3240" s="508">
        <v>5.9749999999999996</v>
      </c>
      <c r="O3240" s="508">
        <v>5.9740000000000002</v>
      </c>
      <c r="P3240" s="508">
        <v>5.9749999999999996</v>
      </c>
      <c r="Q3240" s="508">
        <v>5.9749999999999996</v>
      </c>
      <c r="R3240" s="508">
        <v>4.1379999999999999</v>
      </c>
      <c r="S3240" s="508">
        <v>4.1379999999999999</v>
      </c>
      <c r="T3240" s="508">
        <v>4.1379999999999999</v>
      </c>
      <c r="U3240" s="508">
        <v>3.137</v>
      </c>
      <c r="V3240" s="508">
        <v>3.137</v>
      </c>
      <c r="W3240" s="508">
        <v>3.137</v>
      </c>
      <c r="X3240" s="508">
        <v>3.137</v>
      </c>
      <c r="Y3240" s="508">
        <v>2.875</v>
      </c>
      <c r="Z3240" s="508">
        <v>2.875</v>
      </c>
      <c r="AA3240" s="508">
        <v>2.875</v>
      </c>
      <c r="AB3240" s="508">
        <v>0.78</v>
      </c>
      <c r="AC3240" s="508">
        <v>0.77800000000000002</v>
      </c>
      <c r="AD3240" s="508">
        <v>0.63100000000000001</v>
      </c>
      <c r="AE3240" s="508">
        <v>0.63100000000000001</v>
      </c>
      <c r="AF3240" s="508">
        <v>0.627</v>
      </c>
      <c r="AG3240" s="508">
        <v>0.627</v>
      </c>
      <c r="AH3240" s="508">
        <v>0.625</v>
      </c>
      <c r="AI3240" s="492">
        <v>0.625</v>
      </c>
      <c r="AJ3240" s="485"/>
    </row>
    <row r="3241" spans="2:36">
      <c r="B3241" s="136" t="s">
        <v>438</v>
      </c>
      <c r="C3241" s="132" t="s">
        <v>1372</v>
      </c>
      <c r="D3241" s="132" t="s">
        <v>283</v>
      </c>
      <c r="E3241" s="508">
        <v>8.5359999999999996</v>
      </c>
      <c r="F3241" s="508">
        <v>8.5359999999999996</v>
      </c>
      <c r="G3241" s="508">
        <v>8.5359999999999996</v>
      </c>
      <c r="H3241" s="508">
        <v>8.5359999999999996</v>
      </c>
      <c r="I3241" s="508">
        <v>8.5359999999999996</v>
      </c>
      <c r="J3241" s="508">
        <v>5.8760000000000003</v>
      </c>
      <c r="K3241" s="508">
        <v>5.8760000000000003</v>
      </c>
      <c r="L3241" s="508">
        <v>5.8760000000000003</v>
      </c>
      <c r="M3241" s="508">
        <v>5.8760000000000003</v>
      </c>
      <c r="N3241" s="508">
        <v>5.774</v>
      </c>
      <c r="O3241" s="508">
        <v>5.774</v>
      </c>
      <c r="P3241" s="508">
        <v>5.774</v>
      </c>
      <c r="Q3241" s="508">
        <v>5.774</v>
      </c>
      <c r="R3241" s="508">
        <v>4.0259999999999998</v>
      </c>
      <c r="S3241" s="508">
        <v>4.0259999999999998</v>
      </c>
      <c r="T3241" s="508">
        <v>4.0259999999999998</v>
      </c>
      <c r="U3241" s="508">
        <v>4.048</v>
      </c>
      <c r="V3241" s="508">
        <v>4.048</v>
      </c>
      <c r="W3241" s="508">
        <v>4.048</v>
      </c>
      <c r="X3241" s="508">
        <v>4.048</v>
      </c>
      <c r="Y3241" s="508">
        <v>3.802</v>
      </c>
      <c r="Z3241" s="508">
        <v>3.8</v>
      </c>
      <c r="AA3241" s="508">
        <v>3.8</v>
      </c>
      <c r="AB3241" s="508">
        <v>1.0660000000000001</v>
      </c>
      <c r="AC3241" s="508">
        <v>1.0649999999999999</v>
      </c>
      <c r="AD3241" s="508">
        <v>0.86199999999999999</v>
      </c>
      <c r="AE3241" s="508">
        <v>0.86199999999999999</v>
      </c>
      <c r="AF3241" s="508">
        <v>0.85799999999999998</v>
      </c>
      <c r="AG3241" s="508">
        <v>0.85799999999999998</v>
      </c>
      <c r="AH3241" s="508">
        <v>0.85499999999999998</v>
      </c>
      <c r="AI3241" s="492">
        <v>0.85499999999999998</v>
      </c>
      <c r="AJ3241" s="485"/>
    </row>
    <row r="3242" spans="2:36">
      <c r="B3242" s="136" t="s">
        <v>439</v>
      </c>
      <c r="C3242" s="132" t="s">
        <v>1372</v>
      </c>
      <c r="D3242" s="132" t="s">
        <v>283</v>
      </c>
      <c r="E3242" s="508">
        <v>8.3970000000000002</v>
      </c>
      <c r="F3242" s="508">
        <v>8.3970000000000002</v>
      </c>
      <c r="G3242" s="508">
        <v>8.3970000000000002</v>
      </c>
      <c r="H3242" s="508">
        <v>8.3970000000000002</v>
      </c>
      <c r="I3242" s="508">
        <v>8.3970000000000002</v>
      </c>
      <c r="J3242" s="508">
        <v>5.859</v>
      </c>
      <c r="K3242" s="508">
        <v>5.859</v>
      </c>
      <c r="L3242" s="508">
        <v>5.859</v>
      </c>
      <c r="M3242" s="508">
        <v>5.859</v>
      </c>
      <c r="N3242" s="508">
        <v>5.7770000000000001</v>
      </c>
      <c r="O3242" s="508">
        <v>5.7770000000000001</v>
      </c>
      <c r="P3242" s="508">
        <v>5.7770000000000001</v>
      </c>
      <c r="Q3242" s="508">
        <v>5.7770000000000001</v>
      </c>
      <c r="R3242" s="508">
        <v>4.0220000000000002</v>
      </c>
      <c r="S3242" s="508">
        <v>4.0220000000000002</v>
      </c>
      <c r="T3242" s="508">
        <v>4.0220000000000002</v>
      </c>
      <c r="U3242" s="508">
        <v>2.1850000000000001</v>
      </c>
      <c r="V3242" s="508">
        <v>2.1850000000000001</v>
      </c>
      <c r="W3242" s="508">
        <v>2.1850000000000001</v>
      </c>
      <c r="X3242" s="508">
        <v>2.1850000000000001</v>
      </c>
      <c r="Y3242" s="508">
        <v>1.915</v>
      </c>
      <c r="Z3242" s="508">
        <v>1.9139999999999999</v>
      </c>
      <c r="AA3242" s="508">
        <v>1.9139999999999999</v>
      </c>
      <c r="AB3242" s="508">
        <v>0.49299999999999999</v>
      </c>
      <c r="AC3242" s="508">
        <v>0.49099999999999999</v>
      </c>
      <c r="AD3242" s="508">
        <v>0.4</v>
      </c>
      <c r="AE3242" s="508">
        <v>0.4</v>
      </c>
      <c r="AF3242" s="508">
        <v>0.39500000000000002</v>
      </c>
      <c r="AG3242" s="508">
        <v>0.39500000000000002</v>
      </c>
      <c r="AH3242" s="508">
        <v>0.39400000000000002</v>
      </c>
      <c r="AI3242" s="492">
        <v>0.39400000000000002</v>
      </c>
      <c r="AJ3242" s="485"/>
    </row>
    <row r="3243" spans="2:36">
      <c r="B3243" s="136" t="s">
        <v>440</v>
      </c>
      <c r="C3243" s="132" t="s">
        <v>1372</v>
      </c>
      <c r="D3243" s="132" t="s">
        <v>283</v>
      </c>
      <c r="E3243" s="508">
        <v>9.24</v>
      </c>
      <c r="F3243" s="508">
        <v>9.24</v>
      </c>
      <c r="G3243" s="508">
        <v>9.24</v>
      </c>
      <c r="H3243" s="508">
        <v>9.24</v>
      </c>
      <c r="I3243" s="508">
        <v>9.24</v>
      </c>
      <c r="J3243" s="508">
        <v>6.4189999999999996</v>
      </c>
      <c r="K3243" s="508">
        <v>6.4189999999999996</v>
      </c>
      <c r="L3243" s="508">
        <v>6.4189999999999996</v>
      </c>
      <c r="M3243" s="508">
        <v>6.4189999999999996</v>
      </c>
      <c r="N3243" s="508">
        <v>6.3070000000000004</v>
      </c>
      <c r="O3243" s="508">
        <v>6.3070000000000004</v>
      </c>
      <c r="P3243" s="508">
        <v>6.3070000000000004</v>
      </c>
      <c r="Q3243" s="508">
        <v>6.3070000000000004</v>
      </c>
      <c r="R3243" s="508">
        <v>4.38</v>
      </c>
      <c r="S3243" s="508">
        <v>4.38</v>
      </c>
      <c r="T3243" s="508">
        <v>4.38</v>
      </c>
      <c r="U3243" s="508">
        <v>4.4000000000000004</v>
      </c>
      <c r="V3243" s="508">
        <v>4.4000000000000004</v>
      </c>
      <c r="W3243" s="508">
        <v>4.4000000000000004</v>
      </c>
      <c r="X3243" s="508">
        <v>4.4000000000000004</v>
      </c>
      <c r="Y3243" s="508">
        <v>4.1390000000000002</v>
      </c>
      <c r="Z3243" s="508">
        <v>4.1349999999999998</v>
      </c>
      <c r="AA3243" s="508">
        <v>4.1349999999999998</v>
      </c>
      <c r="AB3243" s="508">
        <v>1.167</v>
      </c>
      <c r="AC3243" s="508">
        <v>1.1659999999999999</v>
      </c>
      <c r="AD3243" s="508">
        <v>0.94599999999999995</v>
      </c>
      <c r="AE3243" s="508">
        <v>0.94599999999999995</v>
      </c>
      <c r="AF3243" s="508">
        <v>0.94199999999999995</v>
      </c>
      <c r="AG3243" s="508">
        <v>0.94199999999999995</v>
      </c>
      <c r="AH3243" s="508">
        <v>0.93899999999999995</v>
      </c>
      <c r="AI3243" s="492">
        <v>0.93899999999999995</v>
      </c>
      <c r="AJ3243" s="485"/>
    </row>
    <row r="3244" spans="2:36">
      <c r="B3244" s="136" t="s">
        <v>441</v>
      </c>
      <c r="C3244" s="132" t="s">
        <v>1372</v>
      </c>
      <c r="D3244" s="132" t="s">
        <v>283</v>
      </c>
      <c r="E3244" s="508">
        <v>9.1940000000000008</v>
      </c>
      <c r="F3244" s="508">
        <v>9.1940000000000008</v>
      </c>
      <c r="G3244" s="508">
        <v>9.1950000000000003</v>
      </c>
      <c r="H3244" s="508">
        <v>9.1950000000000003</v>
      </c>
      <c r="I3244" s="508">
        <v>9.1950000000000003</v>
      </c>
      <c r="J3244" s="508">
        <v>6.4180000000000001</v>
      </c>
      <c r="K3244" s="508">
        <v>6.4180000000000001</v>
      </c>
      <c r="L3244" s="508">
        <v>6.4180000000000001</v>
      </c>
      <c r="M3244" s="508">
        <v>6.4180000000000001</v>
      </c>
      <c r="N3244" s="508">
        <v>6.306</v>
      </c>
      <c r="O3244" s="508">
        <v>6.306</v>
      </c>
      <c r="P3244" s="508">
        <v>6.306</v>
      </c>
      <c r="Q3244" s="508">
        <v>6.306</v>
      </c>
      <c r="R3244" s="508">
        <v>4.3890000000000002</v>
      </c>
      <c r="S3244" s="508">
        <v>4.3890000000000002</v>
      </c>
      <c r="T3244" s="508">
        <v>4.3890000000000002</v>
      </c>
      <c r="U3244" s="508">
        <v>4.3659999999999997</v>
      </c>
      <c r="V3244" s="508">
        <v>4.3659999999999997</v>
      </c>
      <c r="W3244" s="508">
        <v>4.3659999999999997</v>
      </c>
      <c r="X3244" s="508">
        <v>4.3659999999999997</v>
      </c>
      <c r="Y3244" s="508">
        <v>4.0990000000000002</v>
      </c>
      <c r="Z3244" s="508">
        <v>4.0949999999999998</v>
      </c>
      <c r="AA3244" s="508">
        <v>4.0949999999999998</v>
      </c>
      <c r="AB3244" s="508">
        <v>1.153</v>
      </c>
      <c r="AC3244" s="508">
        <v>1.151</v>
      </c>
      <c r="AD3244" s="508">
        <v>0.93600000000000005</v>
      </c>
      <c r="AE3244" s="508">
        <v>0.93600000000000005</v>
      </c>
      <c r="AF3244" s="508">
        <v>0.93100000000000005</v>
      </c>
      <c r="AG3244" s="508">
        <v>0.93100000000000005</v>
      </c>
      <c r="AH3244" s="508">
        <v>0.92900000000000005</v>
      </c>
      <c r="AI3244" s="492">
        <v>0.92900000000000005</v>
      </c>
      <c r="AJ3244" s="485"/>
    </row>
    <row r="3245" spans="2:36">
      <c r="B3245" s="136" t="s">
        <v>443</v>
      </c>
      <c r="C3245" s="132" t="s">
        <v>1372</v>
      </c>
      <c r="D3245" s="132" t="s">
        <v>283</v>
      </c>
      <c r="E3245" s="508">
        <v>8.2469999999999999</v>
      </c>
      <c r="F3245" s="508">
        <v>8.2469999999999999</v>
      </c>
      <c r="G3245" s="508">
        <v>8.2469999999999999</v>
      </c>
      <c r="H3245" s="508">
        <v>8.2469999999999999</v>
      </c>
      <c r="I3245" s="508">
        <v>8.2469999999999999</v>
      </c>
      <c r="J3245" s="508">
        <v>5.7969999999999997</v>
      </c>
      <c r="K3245" s="508">
        <v>5.7969999999999997</v>
      </c>
      <c r="L3245" s="508">
        <v>5.7969999999999997</v>
      </c>
      <c r="M3245" s="508">
        <v>5.7969999999999997</v>
      </c>
      <c r="N3245" s="508">
        <v>5.6959999999999997</v>
      </c>
      <c r="O3245" s="508">
        <v>5.6959999999999997</v>
      </c>
      <c r="P3245" s="508">
        <v>5.6959999999999997</v>
      </c>
      <c r="Q3245" s="508">
        <v>5.6959999999999997</v>
      </c>
      <c r="R3245" s="508">
        <v>4.0259999999999998</v>
      </c>
      <c r="S3245" s="508">
        <v>4.0270000000000001</v>
      </c>
      <c r="T3245" s="508">
        <v>4.0259999999999998</v>
      </c>
      <c r="U3245" s="508">
        <v>4.0019999999999998</v>
      </c>
      <c r="V3245" s="508">
        <v>4.0019999999999998</v>
      </c>
      <c r="W3245" s="508">
        <v>4.0019999999999998</v>
      </c>
      <c r="X3245" s="508">
        <v>4.0019999999999998</v>
      </c>
      <c r="Y3245" s="508">
        <v>3.74</v>
      </c>
      <c r="Z3245" s="508">
        <v>3.7370000000000001</v>
      </c>
      <c r="AA3245" s="508">
        <v>3.7370000000000001</v>
      </c>
      <c r="AB3245" s="508">
        <v>1.0449999999999999</v>
      </c>
      <c r="AC3245" s="508">
        <v>1.0429999999999999</v>
      </c>
      <c r="AD3245" s="508">
        <v>0.84399999999999997</v>
      </c>
      <c r="AE3245" s="508">
        <v>0.84399999999999997</v>
      </c>
      <c r="AF3245" s="508">
        <v>0.83899999999999997</v>
      </c>
      <c r="AG3245" s="508">
        <v>0.83899999999999997</v>
      </c>
      <c r="AH3245" s="508">
        <v>0.83699999999999997</v>
      </c>
      <c r="AI3245" s="492">
        <v>0.83699999999999997</v>
      </c>
      <c r="AJ3245" s="485"/>
    </row>
    <row r="3246" spans="2:36">
      <c r="B3246" s="136" t="s">
        <v>445</v>
      </c>
      <c r="C3246" s="132" t="s">
        <v>1372</v>
      </c>
      <c r="D3246" s="132" t="s">
        <v>283</v>
      </c>
      <c r="E3246" s="508">
        <v>8.1470000000000002</v>
      </c>
      <c r="F3246" s="508">
        <v>8.1470000000000002</v>
      </c>
      <c r="G3246" s="508">
        <v>8.1470000000000002</v>
      </c>
      <c r="H3246" s="508">
        <v>8.1470000000000002</v>
      </c>
      <c r="I3246" s="508">
        <v>8.1470000000000002</v>
      </c>
      <c r="J3246" s="508">
        <v>5.8730000000000002</v>
      </c>
      <c r="K3246" s="508">
        <v>5.8730000000000002</v>
      </c>
      <c r="L3246" s="508">
        <v>5.8730000000000002</v>
      </c>
      <c r="M3246" s="508">
        <v>5.8730000000000002</v>
      </c>
      <c r="N3246" s="508">
        <v>5.7709999999999999</v>
      </c>
      <c r="O3246" s="508">
        <v>5.7709999999999999</v>
      </c>
      <c r="P3246" s="508">
        <v>5.7709999999999999</v>
      </c>
      <c r="Q3246" s="508">
        <v>5.7709999999999999</v>
      </c>
      <c r="R3246" s="508">
        <v>4.0460000000000003</v>
      </c>
      <c r="S3246" s="508">
        <v>4.0460000000000003</v>
      </c>
      <c r="T3246" s="508">
        <v>4.0460000000000003</v>
      </c>
      <c r="U3246" s="508">
        <v>4.0170000000000003</v>
      </c>
      <c r="V3246" s="508">
        <v>4.0170000000000003</v>
      </c>
      <c r="W3246" s="508">
        <v>4.0170000000000003</v>
      </c>
      <c r="X3246" s="508">
        <v>4.0170000000000003</v>
      </c>
      <c r="Y3246" s="508">
        <v>3.7320000000000002</v>
      </c>
      <c r="Z3246" s="508">
        <v>3.73</v>
      </c>
      <c r="AA3246" s="508">
        <v>3.73</v>
      </c>
      <c r="AB3246" s="508">
        <v>1.0349999999999999</v>
      </c>
      <c r="AC3246" s="508">
        <v>1.034</v>
      </c>
      <c r="AD3246" s="508">
        <v>0.84</v>
      </c>
      <c r="AE3246" s="508">
        <v>0.84</v>
      </c>
      <c r="AF3246" s="508">
        <v>0.83499999999999996</v>
      </c>
      <c r="AG3246" s="508">
        <v>0.83499999999999996</v>
      </c>
      <c r="AH3246" s="508">
        <v>0.83299999999999996</v>
      </c>
      <c r="AI3246" s="492">
        <v>0.83299999999999996</v>
      </c>
      <c r="AJ3246" s="485"/>
    </row>
    <row r="3247" spans="2:36">
      <c r="B3247" s="136" t="s">
        <v>446</v>
      </c>
      <c r="C3247" s="132" t="s">
        <v>1372</v>
      </c>
      <c r="D3247" s="132" t="s">
        <v>283</v>
      </c>
      <c r="E3247" s="508">
        <v>7.3360000000000003</v>
      </c>
      <c r="F3247" s="508">
        <v>7.3360000000000003</v>
      </c>
      <c r="G3247" s="508">
        <v>7.3360000000000003</v>
      </c>
      <c r="H3247" s="508">
        <v>7.3360000000000003</v>
      </c>
      <c r="I3247" s="508">
        <v>7.3360000000000003</v>
      </c>
      <c r="J3247" s="508">
        <v>5.234</v>
      </c>
      <c r="K3247" s="508">
        <v>5.234</v>
      </c>
      <c r="L3247" s="508">
        <v>5.234</v>
      </c>
      <c r="M3247" s="508">
        <v>5.234</v>
      </c>
      <c r="N3247" s="508">
        <v>5.1429999999999998</v>
      </c>
      <c r="O3247" s="508">
        <v>5.1429999999999998</v>
      </c>
      <c r="P3247" s="508">
        <v>5.1429999999999998</v>
      </c>
      <c r="Q3247" s="508">
        <v>5.1429999999999998</v>
      </c>
      <c r="R3247" s="508">
        <v>3.621</v>
      </c>
      <c r="S3247" s="508">
        <v>3.621</v>
      </c>
      <c r="T3247" s="508">
        <v>3.621</v>
      </c>
      <c r="U3247" s="508">
        <v>3.528</v>
      </c>
      <c r="V3247" s="508">
        <v>3.528</v>
      </c>
      <c r="W3247" s="508">
        <v>3.528</v>
      </c>
      <c r="X3247" s="508">
        <v>3.528</v>
      </c>
      <c r="Y3247" s="508">
        <v>3.2610000000000001</v>
      </c>
      <c r="Z3247" s="508">
        <v>3.2610000000000001</v>
      </c>
      <c r="AA3247" s="508">
        <v>3.2610000000000001</v>
      </c>
      <c r="AB3247" s="508">
        <v>0.89400000000000002</v>
      </c>
      <c r="AC3247" s="508">
        <v>0.89200000000000002</v>
      </c>
      <c r="AD3247" s="508">
        <v>0.72299999999999998</v>
      </c>
      <c r="AE3247" s="508">
        <v>0.72299999999999998</v>
      </c>
      <c r="AF3247" s="508">
        <v>0.71799999999999997</v>
      </c>
      <c r="AG3247" s="508">
        <v>0.71799999999999997</v>
      </c>
      <c r="AH3247" s="508">
        <v>0.71599999999999997</v>
      </c>
      <c r="AI3247" s="492">
        <v>0.71599999999999997</v>
      </c>
      <c r="AJ3247" s="485"/>
    </row>
    <row r="3248" spans="2:36">
      <c r="B3248" s="136" t="s">
        <v>448</v>
      </c>
      <c r="C3248" s="132" t="s">
        <v>1372</v>
      </c>
      <c r="D3248" s="132" t="s">
        <v>283</v>
      </c>
      <c r="E3248" s="508">
        <v>8.4809999999999999</v>
      </c>
      <c r="F3248" s="508">
        <v>8.4809999999999999</v>
      </c>
      <c r="G3248" s="508">
        <v>8.4809999999999999</v>
      </c>
      <c r="H3248" s="508">
        <v>8.4809999999999999</v>
      </c>
      <c r="I3248" s="508">
        <v>8.4809999999999999</v>
      </c>
      <c r="J3248" s="508">
        <v>5.8689999999999998</v>
      </c>
      <c r="K3248" s="508">
        <v>5.8689999999999998</v>
      </c>
      <c r="L3248" s="508">
        <v>5.8689999999999998</v>
      </c>
      <c r="M3248" s="508">
        <v>5.8689999999999998</v>
      </c>
      <c r="N3248" s="508">
        <v>5.7670000000000003</v>
      </c>
      <c r="O3248" s="508">
        <v>5.7670000000000003</v>
      </c>
      <c r="P3248" s="508">
        <v>5.766</v>
      </c>
      <c r="Q3248" s="508">
        <v>5.7670000000000003</v>
      </c>
      <c r="R3248" s="508">
        <v>4.0279999999999996</v>
      </c>
      <c r="S3248" s="508">
        <v>4.0279999999999996</v>
      </c>
      <c r="T3248" s="508">
        <v>4.0279999999999996</v>
      </c>
      <c r="U3248" s="508">
        <v>3.948</v>
      </c>
      <c r="V3248" s="508">
        <v>3.948</v>
      </c>
      <c r="W3248" s="508">
        <v>3.948</v>
      </c>
      <c r="X3248" s="508">
        <v>3.948</v>
      </c>
      <c r="Y3248" s="508">
        <v>3.7050000000000001</v>
      </c>
      <c r="Z3248" s="508">
        <v>3.7040000000000002</v>
      </c>
      <c r="AA3248" s="508">
        <v>3.7040000000000002</v>
      </c>
      <c r="AB3248" s="508">
        <v>1.038</v>
      </c>
      <c r="AC3248" s="508">
        <v>1.036</v>
      </c>
      <c r="AD3248" s="508">
        <v>0.83899999999999997</v>
      </c>
      <c r="AE3248" s="508">
        <v>0.83899999999999997</v>
      </c>
      <c r="AF3248" s="508">
        <v>0.83499999999999996</v>
      </c>
      <c r="AG3248" s="508">
        <v>0.83499999999999996</v>
      </c>
      <c r="AH3248" s="508">
        <v>0.83199999999999996</v>
      </c>
      <c r="AI3248" s="492">
        <v>0.83199999999999996</v>
      </c>
      <c r="AJ3248" s="485"/>
    </row>
    <row r="3249" spans="2:36">
      <c r="B3249" s="136" t="s">
        <v>449</v>
      </c>
      <c r="C3249" s="132" t="s">
        <v>1372</v>
      </c>
      <c r="D3249" s="132" t="s">
        <v>283</v>
      </c>
      <c r="E3249" s="508">
        <v>7.27</v>
      </c>
      <c r="F3249" s="508">
        <v>7.27</v>
      </c>
      <c r="G3249" s="508">
        <v>7.27</v>
      </c>
      <c r="H3249" s="508">
        <v>7.27</v>
      </c>
      <c r="I3249" s="508">
        <v>7.27</v>
      </c>
      <c r="J3249" s="508">
        <v>5.1509999999999998</v>
      </c>
      <c r="K3249" s="508">
        <v>5.1509999999999998</v>
      </c>
      <c r="L3249" s="508">
        <v>5.1509999999999998</v>
      </c>
      <c r="M3249" s="508">
        <v>5.1509999999999998</v>
      </c>
      <c r="N3249" s="508">
        <v>5.0620000000000003</v>
      </c>
      <c r="O3249" s="508">
        <v>5.0620000000000003</v>
      </c>
      <c r="P3249" s="508">
        <v>5.0620000000000003</v>
      </c>
      <c r="Q3249" s="508">
        <v>5.0620000000000003</v>
      </c>
      <c r="R3249" s="508">
        <v>3.589</v>
      </c>
      <c r="S3249" s="508">
        <v>3.589</v>
      </c>
      <c r="T3249" s="508">
        <v>3.589</v>
      </c>
      <c r="U3249" s="508">
        <v>3.6030000000000002</v>
      </c>
      <c r="V3249" s="508">
        <v>3.6030000000000002</v>
      </c>
      <c r="W3249" s="508">
        <v>3.6030000000000002</v>
      </c>
      <c r="X3249" s="508">
        <v>3.6030000000000002</v>
      </c>
      <c r="Y3249" s="508">
        <v>3.3250000000000002</v>
      </c>
      <c r="Z3249" s="508">
        <v>3.3250000000000002</v>
      </c>
      <c r="AA3249" s="508">
        <v>3.3250000000000002</v>
      </c>
      <c r="AB3249" s="508">
        <v>0.91</v>
      </c>
      <c r="AC3249" s="508">
        <v>0.90800000000000003</v>
      </c>
      <c r="AD3249" s="508">
        <v>0.73399999999999999</v>
      </c>
      <c r="AE3249" s="508">
        <v>0.73399999999999999</v>
      </c>
      <c r="AF3249" s="508">
        <v>0.72899999999999998</v>
      </c>
      <c r="AG3249" s="508">
        <v>0.72899999999999998</v>
      </c>
      <c r="AH3249" s="508">
        <v>0.72799999999999998</v>
      </c>
      <c r="AI3249" s="492">
        <v>0.72799999999999998</v>
      </c>
      <c r="AJ3249" s="485"/>
    </row>
    <row r="3250" spans="2:36">
      <c r="B3250" s="136" t="s">
        <v>450</v>
      </c>
      <c r="C3250" s="132" t="s">
        <v>1372</v>
      </c>
      <c r="D3250" s="132" t="s">
        <v>283</v>
      </c>
      <c r="E3250" s="508">
        <v>9.0220000000000002</v>
      </c>
      <c r="F3250" s="508">
        <v>9.0220000000000002</v>
      </c>
      <c r="G3250" s="508">
        <v>9.0220000000000002</v>
      </c>
      <c r="H3250" s="508">
        <v>9.0220000000000002</v>
      </c>
      <c r="I3250" s="508">
        <v>9.0220000000000002</v>
      </c>
      <c r="J3250" s="508">
        <v>6.226</v>
      </c>
      <c r="K3250" s="508">
        <v>6.2249999999999996</v>
      </c>
      <c r="L3250" s="508">
        <v>6.2249999999999996</v>
      </c>
      <c r="M3250" s="508">
        <v>6.2249999999999996</v>
      </c>
      <c r="N3250" s="508">
        <v>6.117</v>
      </c>
      <c r="O3250" s="508">
        <v>6.117</v>
      </c>
      <c r="P3250" s="508">
        <v>6.117</v>
      </c>
      <c r="Q3250" s="508">
        <v>6.117</v>
      </c>
      <c r="R3250" s="508">
        <v>4.2610000000000001</v>
      </c>
      <c r="S3250" s="508">
        <v>4.2610000000000001</v>
      </c>
      <c r="T3250" s="508">
        <v>4.2610000000000001</v>
      </c>
      <c r="U3250" s="508">
        <v>4.2690000000000001</v>
      </c>
      <c r="V3250" s="508">
        <v>4.2690000000000001</v>
      </c>
      <c r="W3250" s="508">
        <v>4.2690000000000001</v>
      </c>
      <c r="X3250" s="508">
        <v>4.2690000000000001</v>
      </c>
      <c r="Y3250" s="508">
        <v>4.0229999999999997</v>
      </c>
      <c r="Z3250" s="508">
        <v>4.0190000000000001</v>
      </c>
      <c r="AA3250" s="508">
        <v>4.0190000000000001</v>
      </c>
      <c r="AB3250" s="508">
        <v>1.137</v>
      </c>
      <c r="AC3250" s="508">
        <v>1.135</v>
      </c>
      <c r="AD3250" s="508">
        <v>0.92</v>
      </c>
      <c r="AE3250" s="508">
        <v>0.92</v>
      </c>
      <c r="AF3250" s="508">
        <v>0.91500000000000004</v>
      </c>
      <c r="AG3250" s="508">
        <v>0.91500000000000004</v>
      </c>
      <c r="AH3250" s="508">
        <v>0.91300000000000003</v>
      </c>
      <c r="AI3250" s="492">
        <v>0.91300000000000003</v>
      </c>
      <c r="AJ3250" s="485"/>
    </row>
    <row r="3251" spans="2:36">
      <c r="B3251" s="136" t="s">
        <v>451</v>
      </c>
      <c r="C3251" s="132" t="s">
        <v>1372</v>
      </c>
      <c r="D3251" s="132" t="s">
        <v>283</v>
      </c>
      <c r="E3251" s="508">
        <v>8.5109999999999992</v>
      </c>
      <c r="F3251" s="508">
        <v>8.5109999999999992</v>
      </c>
      <c r="G3251" s="508">
        <v>8.5109999999999992</v>
      </c>
      <c r="H3251" s="508">
        <v>8.5109999999999992</v>
      </c>
      <c r="I3251" s="508">
        <v>8.5109999999999992</v>
      </c>
      <c r="J3251" s="508">
        <v>6.0549999999999997</v>
      </c>
      <c r="K3251" s="508">
        <v>6.0549999999999997</v>
      </c>
      <c r="L3251" s="508">
        <v>6.0549999999999997</v>
      </c>
      <c r="M3251" s="508">
        <v>6.0549999999999997</v>
      </c>
      <c r="N3251" s="508">
        <v>5.9489999999999998</v>
      </c>
      <c r="O3251" s="508">
        <v>5.9489999999999998</v>
      </c>
      <c r="P3251" s="508">
        <v>5.95</v>
      </c>
      <c r="Q3251" s="508">
        <v>5.95</v>
      </c>
      <c r="R3251" s="508">
        <v>4.157</v>
      </c>
      <c r="S3251" s="508">
        <v>4.157</v>
      </c>
      <c r="T3251" s="508">
        <v>4.157</v>
      </c>
      <c r="U3251" s="508">
        <v>4.1059999999999999</v>
      </c>
      <c r="V3251" s="508">
        <v>4.1059999999999999</v>
      </c>
      <c r="W3251" s="508">
        <v>4.1059999999999999</v>
      </c>
      <c r="X3251" s="508">
        <v>4.1059999999999999</v>
      </c>
      <c r="Y3251" s="508">
        <v>3.8380000000000001</v>
      </c>
      <c r="Z3251" s="508">
        <v>3.835</v>
      </c>
      <c r="AA3251" s="508">
        <v>3.835</v>
      </c>
      <c r="AB3251" s="508">
        <v>1.0740000000000001</v>
      </c>
      <c r="AC3251" s="508">
        <v>1.073</v>
      </c>
      <c r="AD3251" s="508">
        <v>0.872</v>
      </c>
      <c r="AE3251" s="508">
        <v>0.872</v>
      </c>
      <c r="AF3251" s="508">
        <v>0.86699999999999999</v>
      </c>
      <c r="AG3251" s="508">
        <v>0.86699999999999999</v>
      </c>
      <c r="AH3251" s="508">
        <v>0.86499999999999999</v>
      </c>
      <c r="AI3251" s="492">
        <v>0.86499999999999999</v>
      </c>
      <c r="AJ3251" s="485"/>
    </row>
    <row r="3252" spans="2:36">
      <c r="B3252" s="136" t="s">
        <v>452</v>
      </c>
      <c r="C3252" s="132" t="s">
        <v>1372</v>
      </c>
      <c r="D3252" s="132" t="s">
        <v>283</v>
      </c>
      <c r="E3252" s="508">
        <v>8.5890000000000004</v>
      </c>
      <c r="F3252" s="508">
        <v>8.5890000000000004</v>
      </c>
      <c r="G3252" s="508">
        <v>8.5890000000000004</v>
      </c>
      <c r="H3252" s="508">
        <v>8.5890000000000004</v>
      </c>
      <c r="I3252" s="508">
        <v>8.5890000000000004</v>
      </c>
      <c r="J3252" s="508">
        <v>6.0060000000000002</v>
      </c>
      <c r="K3252" s="508">
        <v>6.0060000000000002</v>
      </c>
      <c r="L3252" s="508">
        <v>6.0060000000000002</v>
      </c>
      <c r="M3252" s="508">
        <v>6.0060000000000002</v>
      </c>
      <c r="N3252" s="508">
        <v>5.9009999999999998</v>
      </c>
      <c r="O3252" s="508">
        <v>5.9009999999999998</v>
      </c>
      <c r="P3252" s="508">
        <v>5.9009999999999998</v>
      </c>
      <c r="Q3252" s="508">
        <v>5.9009999999999998</v>
      </c>
      <c r="R3252" s="508">
        <v>4.1219999999999999</v>
      </c>
      <c r="S3252" s="508">
        <v>4.1219999999999999</v>
      </c>
      <c r="T3252" s="508">
        <v>4.1219999999999999</v>
      </c>
      <c r="U3252" s="508">
        <v>4.0890000000000004</v>
      </c>
      <c r="V3252" s="508">
        <v>4.0890000000000004</v>
      </c>
      <c r="W3252" s="508">
        <v>4.0890000000000004</v>
      </c>
      <c r="X3252" s="508">
        <v>4.0890000000000004</v>
      </c>
      <c r="Y3252" s="508">
        <v>3.8359999999999999</v>
      </c>
      <c r="Z3252" s="508">
        <v>3.8330000000000002</v>
      </c>
      <c r="AA3252" s="508">
        <v>3.8330000000000002</v>
      </c>
      <c r="AB3252" s="508">
        <v>1.0780000000000001</v>
      </c>
      <c r="AC3252" s="508">
        <v>1.0760000000000001</v>
      </c>
      <c r="AD3252" s="508">
        <v>0.872</v>
      </c>
      <c r="AE3252" s="508">
        <v>0.872</v>
      </c>
      <c r="AF3252" s="508">
        <v>0.86799999999999999</v>
      </c>
      <c r="AG3252" s="508">
        <v>0.86799999999999999</v>
      </c>
      <c r="AH3252" s="508">
        <v>0.86599999999999999</v>
      </c>
      <c r="AI3252" s="492">
        <v>0.86599999999999999</v>
      </c>
      <c r="AJ3252" s="485"/>
    </row>
    <row r="3253" spans="2:36">
      <c r="B3253" s="136" t="s">
        <v>453</v>
      </c>
      <c r="C3253" s="132" t="s">
        <v>1372</v>
      </c>
      <c r="D3253" s="132" t="s">
        <v>283</v>
      </c>
      <c r="E3253" s="508">
        <v>8.8859999999999992</v>
      </c>
      <c r="F3253" s="508">
        <v>8.8859999999999992</v>
      </c>
      <c r="G3253" s="508">
        <v>8.8859999999999992</v>
      </c>
      <c r="H3253" s="508">
        <v>8.8859999999999992</v>
      </c>
      <c r="I3253" s="508">
        <v>8.8859999999999992</v>
      </c>
      <c r="J3253" s="508">
        <v>6.117</v>
      </c>
      <c r="K3253" s="508">
        <v>6.117</v>
      </c>
      <c r="L3253" s="508">
        <v>6.117</v>
      </c>
      <c r="M3253" s="508">
        <v>6.117</v>
      </c>
      <c r="N3253" s="508">
        <v>6.01</v>
      </c>
      <c r="O3253" s="508">
        <v>6.01</v>
      </c>
      <c r="P3253" s="508">
        <v>6.01</v>
      </c>
      <c r="Q3253" s="508">
        <v>6.01</v>
      </c>
      <c r="R3253" s="508">
        <v>4.1879999999999997</v>
      </c>
      <c r="S3253" s="508">
        <v>4.1879999999999997</v>
      </c>
      <c r="T3253" s="508">
        <v>4.1879999999999997</v>
      </c>
      <c r="U3253" s="508">
        <v>4.2119999999999997</v>
      </c>
      <c r="V3253" s="508">
        <v>4.2119999999999997</v>
      </c>
      <c r="W3253" s="508">
        <v>4.2119999999999997</v>
      </c>
      <c r="X3253" s="508">
        <v>4.2119999999999997</v>
      </c>
      <c r="Y3253" s="508">
        <v>3.968</v>
      </c>
      <c r="Z3253" s="508">
        <v>3.964</v>
      </c>
      <c r="AA3253" s="508">
        <v>3.964</v>
      </c>
      <c r="AB3253" s="508">
        <v>1.121</v>
      </c>
      <c r="AC3253" s="508">
        <v>1.119</v>
      </c>
      <c r="AD3253" s="508">
        <v>0.90700000000000003</v>
      </c>
      <c r="AE3253" s="508">
        <v>0.90700000000000003</v>
      </c>
      <c r="AF3253" s="508">
        <v>0.90200000000000002</v>
      </c>
      <c r="AG3253" s="508">
        <v>0.90200000000000002</v>
      </c>
      <c r="AH3253" s="508">
        <v>0.9</v>
      </c>
      <c r="AI3253" s="492">
        <v>0.9</v>
      </c>
      <c r="AJ3253" s="485"/>
    </row>
    <row r="3254" spans="2:36">
      <c r="B3254" s="136" t="s">
        <v>454</v>
      </c>
      <c r="C3254" s="132" t="s">
        <v>1372</v>
      </c>
      <c r="D3254" s="132" t="s">
        <v>283</v>
      </c>
      <c r="E3254" s="508">
        <v>8.7409999999999997</v>
      </c>
      <c r="F3254" s="508">
        <v>8.7409999999999997</v>
      </c>
      <c r="G3254" s="508">
        <v>8.7409999999999997</v>
      </c>
      <c r="H3254" s="508">
        <v>8.74</v>
      </c>
      <c r="I3254" s="508">
        <v>8.7409999999999997</v>
      </c>
      <c r="J3254" s="508">
        <v>6.0369999999999999</v>
      </c>
      <c r="K3254" s="508">
        <v>6.0369999999999999</v>
      </c>
      <c r="L3254" s="508">
        <v>6.0369999999999999</v>
      </c>
      <c r="M3254" s="508">
        <v>6.0369999999999999</v>
      </c>
      <c r="N3254" s="508">
        <v>5.9320000000000004</v>
      </c>
      <c r="O3254" s="508">
        <v>5.9320000000000004</v>
      </c>
      <c r="P3254" s="508">
        <v>5.931</v>
      </c>
      <c r="Q3254" s="508">
        <v>5.9320000000000004</v>
      </c>
      <c r="R3254" s="508">
        <v>4.1440000000000001</v>
      </c>
      <c r="S3254" s="508">
        <v>4.1440000000000001</v>
      </c>
      <c r="T3254" s="508">
        <v>4.1440000000000001</v>
      </c>
      <c r="U3254" s="508">
        <v>4.1749999999999998</v>
      </c>
      <c r="V3254" s="508">
        <v>4.1749999999999998</v>
      </c>
      <c r="W3254" s="508">
        <v>4.1749999999999998</v>
      </c>
      <c r="X3254" s="508">
        <v>4.1749999999999998</v>
      </c>
      <c r="Y3254" s="508">
        <v>3.9220000000000002</v>
      </c>
      <c r="Z3254" s="508">
        <v>3.92</v>
      </c>
      <c r="AA3254" s="508">
        <v>3.92</v>
      </c>
      <c r="AB3254" s="508">
        <v>1.1020000000000001</v>
      </c>
      <c r="AC3254" s="508">
        <v>1.101</v>
      </c>
      <c r="AD3254" s="508">
        <v>0.89100000000000001</v>
      </c>
      <c r="AE3254" s="508">
        <v>0.89100000000000001</v>
      </c>
      <c r="AF3254" s="508">
        <v>0.88700000000000001</v>
      </c>
      <c r="AG3254" s="508">
        <v>0.88700000000000001</v>
      </c>
      <c r="AH3254" s="508">
        <v>0.88400000000000001</v>
      </c>
      <c r="AI3254" s="492">
        <v>0.88400000000000001</v>
      </c>
      <c r="AJ3254" s="485"/>
    </row>
    <row r="3255" spans="2:36">
      <c r="B3255" s="136" t="s">
        <v>455</v>
      </c>
      <c r="C3255" s="132" t="s">
        <v>1372</v>
      </c>
      <c r="D3255" s="132" t="s">
        <v>283</v>
      </c>
      <c r="E3255" s="508">
        <v>8.8339999999999996</v>
      </c>
      <c r="F3255" s="508">
        <v>8.8339999999999996</v>
      </c>
      <c r="G3255" s="508">
        <v>8.8339999999999996</v>
      </c>
      <c r="H3255" s="508">
        <v>8.8339999999999996</v>
      </c>
      <c r="I3255" s="508">
        <v>8.8339999999999996</v>
      </c>
      <c r="J3255" s="508">
        <v>6.0709999999999997</v>
      </c>
      <c r="K3255" s="508">
        <v>6.0709999999999997</v>
      </c>
      <c r="L3255" s="508">
        <v>6.0709999999999997</v>
      </c>
      <c r="M3255" s="508">
        <v>6.0709999999999997</v>
      </c>
      <c r="N3255" s="508">
        <v>5.9649999999999999</v>
      </c>
      <c r="O3255" s="508">
        <v>5.9649999999999999</v>
      </c>
      <c r="P3255" s="508">
        <v>5.9649999999999999</v>
      </c>
      <c r="Q3255" s="508">
        <v>5.9649999999999999</v>
      </c>
      <c r="R3255" s="508">
        <v>4.1360000000000001</v>
      </c>
      <c r="S3255" s="508">
        <v>4.1360000000000001</v>
      </c>
      <c r="T3255" s="508">
        <v>4.1360000000000001</v>
      </c>
      <c r="U3255" s="508">
        <v>4.1020000000000003</v>
      </c>
      <c r="V3255" s="508">
        <v>4.1020000000000003</v>
      </c>
      <c r="W3255" s="508">
        <v>4.1020000000000003</v>
      </c>
      <c r="X3255" s="508">
        <v>4.1020000000000003</v>
      </c>
      <c r="Y3255" s="508">
        <v>3.8719999999999999</v>
      </c>
      <c r="Z3255" s="508">
        <v>3.8690000000000002</v>
      </c>
      <c r="AA3255" s="508">
        <v>3.8690000000000002</v>
      </c>
      <c r="AB3255" s="508">
        <v>1.093</v>
      </c>
      <c r="AC3255" s="508">
        <v>1.0920000000000001</v>
      </c>
      <c r="AD3255" s="508">
        <v>0.88500000000000001</v>
      </c>
      <c r="AE3255" s="508">
        <v>0.88500000000000001</v>
      </c>
      <c r="AF3255" s="508">
        <v>0.88100000000000001</v>
      </c>
      <c r="AG3255" s="508">
        <v>0.88100000000000001</v>
      </c>
      <c r="AH3255" s="508">
        <v>0.878</v>
      </c>
      <c r="AI3255" s="492">
        <v>0.878</v>
      </c>
      <c r="AJ3255" s="485"/>
    </row>
    <row r="3256" spans="2:36">
      <c r="B3256" s="136" t="s">
        <v>456</v>
      </c>
      <c r="C3256" s="132" t="s">
        <v>1372</v>
      </c>
      <c r="D3256" s="132" t="s">
        <v>283</v>
      </c>
      <c r="E3256" s="508">
        <v>8.0289999999999999</v>
      </c>
      <c r="F3256" s="508">
        <v>8.0289999999999999</v>
      </c>
      <c r="G3256" s="508">
        <v>8.0289999999999999</v>
      </c>
      <c r="H3256" s="508">
        <v>8.0289999999999999</v>
      </c>
      <c r="I3256" s="508">
        <v>8.0289999999999999</v>
      </c>
      <c r="J3256" s="508">
        <v>5.5880000000000001</v>
      </c>
      <c r="K3256" s="508">
        <v>5.5880000000000001</v>
      </c>
      <c r="L3256" s="508">
        <v>5.5880000000000001</v>
      </c>
      <c r="M3256" s="508">
        <v>5.5880000000000001</v>
      </c>
      <c r="N3256" s="508">
        <v>5.4909999999999997</v>
      </c>
      <c r="O3256" s="508">
        <v>5.4909999999999997</v>
      </c>
      <c r="P3256" s="508">
        <v>5.4909999999999997</v>
      </c>
      <c r="Q3256" s="508">
        <v>5.4909999999999997</v>
      </c>
      <c r="R3256" s="508">
        <v>3.8450000000000002</v>
      </c>
      <c r="S3256" s="508">
        <v>3.8450000000000002</v>
      </c>
      <c r="T3256" s="508">
        <v>3.8450000000000002</v>
      </c>
      <c r="U3256" s="508">
        <v>3.7530000000000001</v>
      </c>
      <c r="V3256" s="508">
        <v>3.7530000000000001</v>
      </c>
      <c r="W3256" s="508">
        <v>3.7530000000000001</v>
      </c>
      <c r="X3256" s="508">
        <v>3.7530000000000001</v>
      </c>
      <c r="Y3256" s="508">
        <v>3.5070000000000001</v>
      </c>
      <c r="Z3256" s="508">
        <v>3.5059999999999998</v>
      </c>
      <c r="AA3256" s="508">
        <v>3.5059999999999998</v>
      </c>
      <c r="AB3256" s="508">
        <v>0.97599999999999998</v>
      </c>
      <c r="AC3256" s="508">
        <v>0.97399999999999998</v>
      </c>
      <c r="AD3256" s="508">
        <v>0.78900000000000003</v>
      </c>
      <c r="AE3256" s="508">
        <v>0.78900000000000003</v>
      </c>
      <c r="AF3256" s="508">
        <v>0.78400000000000003</v>
      </c>
      <c r="AG3256" s="508">
        <v>0.78400000000000003</v>
      </c>
      <c r="AH3256" s="508">
        <v>0.78200000000000003</v>
      </c>
      <c r="AI3256" s="492">
        <v>0.78200000000000003</v>
      </c>
      <c r="AJ3256" s="485"/>
    </row>
    <row r="3257" spans="2:36">
      <c r="B3257" s="136" t="s">
        <v>457</v>
      </c>
      <c r="C3257" s="132" t="s">
        <v>1372</v>
      </c>
      <c r="D3257" s="132" t="s">
        <v>283</v>
      </c>
      <c r="E3257" s="508">
        <v>9.2449999999999992</v>
      </c>
      <c r="F3257" s="508">
        <v>9.2449999999999992</v>
      </c>
      <c r="G3257" s="508">
        <v>9.2449999999999992</v>
      </c>
      <c r="H3257" s="508">
        <v>9.2449999999999992</v>
      </c>
      <c r="I3257" s="508">
        <v>9.2449999999999992</v>
      </c>
      <c r="J3257" s="508">
        <v>6.31</v>
      </c>
      <c r="K3257" s="508">
        <v>6.31</v>
      </c>
      <c r="L3257" s="508">
        <v>6.31</v>
      </c>
      <c r="M3257" s="508">
        <v>6.31</v>
      </c>
      <c r="N3257" s="508">
        <v>6.2</v>
      </c>
      <c r="O3257" s="508">
        <v>6.2</v>
      </c>
      <c r="P3257" s="508">
        <v>6.2</v>
      </c>
      <c r="Q3257" s="508">
        <v>6.2</v>
      </c>
      <c r="R3257" s="508">
        <v>4.3220000000000001</v>
      </c>
      <c r="S3257" s="508">
        <v>4.3220000000000001</v>
      </c>
      <c r="T3257" s="508">
        <v>4.3220000000000001</v>
      </c>
      <c r="U3257" s="508">
        <v>4.2430000000000003</v>
      </c>
      <c r="V3257" s="508">
        <v>4.2430000000000003</v>
      </c>
      <c r="W3257" s="508">
        <v>4.2430000000000003</v>
      </c>
      <c r="X3257" s="508">
        <v>4.2430000000000003</v>
      </c>
      <c r="Y3257" s="508">
        <v>4.016</v>
      </c>
      <c r="Z3257" s="508">
        <v>4.0119999999999996</v>
      </c>
      <c r="AA3257" s="508">
        <v>4.0119999999999996</v>
      </c>
      <c r="AB3257" s="508">
        <v>1.141</v>
      </c>
      <c r="AC3257" s="508">
        <v>1.1399999999999999</v>
      </c>
      <c r="AD3257" s="508">
        <v>0.92300000000000004</v>
      </c>
      <c r="AE3257" s="508">
        <v>0.92300000000000004</v>
      </c>
      <c r="AF3257" s="508">
        <v>0.91900000000000004</v>
      </c>
      <c r="AG3257" s="508">
        <v>0.91900000000000004</v>
      </c>
      <c r="AH3257" s="508">
        <v>0.91600000000000004</v>
      </c>
      <c r="AI3257" s="492">
        <v>0.91600000000000004</v>
      </c>
      <c r="AJ3257" s="485"/>
    </row>
    <row r="3258" spans="2:36">
      <c r="B3258" s="136" t="s">
        <v>458</v>
      </c>
      <c r="C3258" s="132" t="s">
        <v>1372</v>
      </c>
      <c r="D3258" s="132" t="s">
        <v>283</v>
      </c>
      <c r="E3258" s="508">
        <v>8.9440000000000008</v>
      </c>
      <c r="F3258" s="508">
        <v>8.9440000000000008</v>
      </c>
      <c r="G3258" s="508">
        <v>8.9440000000000008</v>
      </c>
      <c r="H3258" s="508">
        <v>8.9440000000000008</v>
      </c>
      <c r="I3258" s="508">
        <v>8.9440000000000008</v>
      </c>
      <c r="J3258" s="508">
        <v>6.2210000000000001</v>
      </c>
      <c r="K3258" s="508">
        <v>6.2210000000000001</v>
      </c>
      <c r="L3258" s="508">
        <v>6.2210000000000001</v>
      </c>
      <c r="M3258" s="508">
        <v>6.2210000000000001</v>
      </c>
      <c r="N3258" s="508">
        <v>6.1130000000000004</v>
      </c>
      <c r="O3258" s="508">
        <v>6.1130000000000004</v>
      </c>
      <c r="P3258" s="508">
        <v>6.1130000000000004</v>
      </c>
      <c r="Q3258" s="508">
        <v>6.1130000000000004</v>
      </c>
      <c r="R3258" s="508">
        <v>4.26</v>
      </c>
      <c r="S3258" s="508">
        <v>4.26</v>
      </c>
      <c r="T3258" s="508">
        <v>4.26</v>
      </c>
      <c r="U3258" s="508">
        <v>4.1950000000000003</v>
      </c>
      <c r="V3258" s="508">
        <v>4.1950000000000003</v>
      </c>
      <c r="W3258" s="508">
        <v>4.1950000000000003</v>
      </c>
      <c r="X3258" s="508">
        <v>4.1950000000000003</v>
      </c>
      <c r="Y3258" s="508">
        <v>3.9430000000000001</v>
      </c>
      <c r="Z3258" s="508">
        <v>3.94</v>
      </c>
      <c r="AA3258" s="508">
        <v>3.94</v>
      </c>
      <c r="AB3258" s="508">
        <v>1.1080000000000001</v>
      </c>
      <c r="AC3258" s="508">
        <v>1.107</v>
      </c>
      <c r="AD3258" s="508">
        <v>0.89800000000000002</v>
      </c>
      <c r="AE3258" s="508">
        <v>0.89800000000000002</v>
      </c>
      <c r="AF3258" s="508">
        <v>0.89400000000000002</v>
      </c>
      <c r="AG3258" s="508">
        <v>0.89400000000000002</v>
      </c>
      <c r="AH3258" s="508">
        <v>0.89100000000000001</v>
      </c>
      <c r="AI3258" s="492">
        <v>0.89100000000000001</v>
      </c>
      <c r="AJ3258" s="485"/>
    </row>
    <row r="3259" spans="2:36">
      <c r="B3259" s="136" t="s">
        <v>459</v>
      </c>
      <c r="C3259" s="132" t="s">
        <v>1372</v>
      </c>
      <c r="D3259" s="132" t="s">
        <v>283</v>
      </c>
      <c r="E3259" s="508">
        <v>9.1530000000000005</v>
      </c>
      <c r="F3259" s="508">
        <v>9.1530000000000005</v>
      </c>
      <c r="G3259" s="508">
        <v>9.1530000000000005</v>
      </c>
      <c r="H3259" s="508">
        <v>9.1530000000000005</v>
      </c>
      <c r="I3259" s="508">
        <v>9.1530000000000005</v>
      </c>
      <c r="J3259" s="508">
        <v>6.3620000000000001</v>
      </c>
      <c r="K3259" s="508">
        <v>6.3620000000000001</v>
      </c>
      <c r="L3259" s="508">
        <v>6.3620000000000001</v>
      </c>
      <c r="M3259" s="508">
        <v>6.3620000000000001</v>
      </c>
      <c r="N3259" s="508">
        <v>6.2510000000000003</v>
      </c>
      <c r="O3259" s="508">
        <v>6.2510000000000003</v>
      </c>
      <c r="P3259" s="508">
        <v>6.2510000000000003</v>
      </c>
      <c r="Q3259" s="508">
        <v>6.2510000000000003</v>
      </c>
      <c r="R3259" s="508">
        <v>4.351</v>
      </c>
      <c r="S3259" s="508">
        <v>4.351</v>
      </c>
      <c r="T3259" s="508">
        <v>4.351</v>
      </c>
      <c r="U3259" s="508">
        <v>4.3289999999999997</v>
      </c>
      <c r="V3259" s="508">
        <v>4.3289999999999997</v>
      </c>
      <c r="W3259" s="508">
        <v>4.3289999999999997</v>
      </c>
      <c r="X3259" s="508">
        <v>4.3289999999999997</v>
      </c>
      <c r="Y3259" s="508">
        <v>4.0720000000000001</v>
      </c>
      <c r="Z3259" s="508">
        <v>4.069</v>
      </c>
      <c r="AA3259" s="508">
        <v>4.069</v>
      </c>
      <c r="AB3259" s="508">
        <v>1.1479999999999999</v>
      </c>
      <c r="AC3259" s="508">
        <v>1.147</v>
      </c>
      <c r="AD3259" s="508">
        <v>0.93100000000000005</v>
      </c>
      <c r="AE3259" s="508">
        <v>0.93100000000000005</v>
      </c>
      <c r="AF3259" s="508">
        <v>0.92700000000000005</v>
      </c>
      <c r="AG3259" s="508">
        <v>0.92700000000000005</v>
      </c>
      <c r="AH3259" s="508">
        <v>0.92400000000000004</v>
      </c>
      <c r="AI3259" s="492">
        <v>0.92400000000000004</v>
      </c>
      <c r="AJ3259" s="485"/>
    </row>
    <row r="3260" spans="2:36">
      <c r="B3260" s="136" t="s">
        <v>460</v>
      </c>
      <c r="C3260" s="132" t="s">
        <v>1372</v>
      </c>
      <c r="D3260" s="132" t="s">
        <v>283</v>
      </c>
      <c r="E3260" s="508">
        <v>8.9429999999999996</v>
      </c>
      <c r="F3260" s="508">
        <v>8.9429999999999996</v>
      </c>
      <c r="G3260" s="508">
        <v>8.9429999999999996</v>
      </c>
      <c r="H3260" s="508">
        <v>8.9429999999999996</v>
      </c>
      <c r="I3260" s="508">
        <v>8.9429999999999996</v>
      </c>
      <c r="J3260" s="508">
        <v>6.2270000000000003</v>
      </c>
      <c r="K3260" s="508">
        <v>6.2270000000000003</v>
      </c>
      <c r="L3260" s="508">
        <v>6.2270000000000003</v>
      </c>
      <c r="M3260" s="508">
        <v>6.2270000000000003</v>
      </c>
      <c r="N3260" s="508">
        <v>6.1180000000000003</v>
      </c>
      <c r="O3260" s="508">
        <v>6.1180000000000003</v>
      </c>
      <c r="P3260" s="508">
        <v>6.1180000000000003</v>
      </c>
      <c r="Q3260" s="508">
        <v>6.1180000000000003</v>
      </c>
      <c r="R3260" s="508">
        <v>4.258</v>
      </c>
      <c r="S3260" s="508">
        <v>4.258</v>
      </c>
      <c r="T3260" s="508">
        <v>4.258</v>
      </c>
      <c r="U3260" s="508">
        <v>4.2439999999999998</v>
      </c>
      <c r="V3260" s="508">
        <v>4.2439999999999998</v>
      </c>
      <c r="W3260" s="508">
        <v>4.2439999999999998</v>
      </c>
      <c r="X3260" s="508">
        <v>4.2439999999999998</v>
      </c>
      <c r="Y3260" s="508">
        <v>3.9889999999999999</v>
      </c>
      <c r="Z3260" s="508">
        <v>3.9849999999999999</v>
      </c>
      <c r="AA3260" s="508">
        <v>3.9849999999999999</v>
      </c>
      <c r="AB3260" s="508">
        <v>1.1240000000000001</v>
      </c>
      <c r="AC3260" s="508">
        <v>1.123</v>
      </c>
      <c r="AD3260" s="508">
        <v>0.91200000000000003</v>
      </c>
      <c r="AE3260" s="508">
        <v>0.91200000000000003</v>
      </c>
      <c r="AF3260" s="508">
        <v>0.90700000000000003</v>
      </c>
      <c r="AG3260" s="508">
        <v>0.90700000000000003</v>
      </c>
      <c r="AH3260" s="508">
        <v>0.90500000000000003</v>
      </c>
      <c r="AI3260" s="492">
        <v>0.90500000000000003</v>
      </c>
      <c r="AJ3260" s="485"/>
    </row>
    <row r="3261" spans="2:36">
      <c r="B3261" s="136" t="s">
        <v>461</v>
      </c>
      <c r="C3261" s="132" t="s">
        <v>1372</v>
      </c>
      <c r="D3261" s="132" t="s">
        <v>283</v>
      </c>
      <c r="E3261" s="508">
        <v>9.08</v>
      </c>
      <c r="F3261" s="508">
        <v>9.08</v>
      </c>
      <c r="G3261" s="508">
        <v>9.08</v>
      </c>
      <c r="H3261" s="508">
        <v>9.08</v>
      </c>
      <c r="I3261" s="508">
        <v>9.08</v>
      </c>
      <c r="J3261" s="508">
        <v>6.2850000000000001</v>
      </c>
      <c r="K3261" s="508">
        <v>6.2850000000000001</v>
      </c>
      <c r="L3261" s="508">
        <v>6.2850000000000001</v>
      </c>
      <c r="M3261" s="508">
        <v>6.2850000000000001</v>
      </c>
      <c r="N3261" s="508">
        <v>6.1749999999999998</v>
      </c>
      <c r="O3261" s="508">
        <v>6.1749999999999998</v>
      </c>
      <c r="P3261" s="508">
        <v>6.1749999999999998</v>
      </c>
      <c r="Q3261" s="508">
        <v>6.1749999999999998</v>
      </c>
      <c r="R3261" s="508">
        <v>4.3209999999999997</v>
      </c>
      <c r="S3261" s="508">
        <v>4.3209999999999997</v>
      </c>
      <c r="T3261" s="508">
        <v>4.3209999999999997</v>
      </c>
      <c r="U3261" s="508">
        <v>4.226</v>
      </c>
      <c r="V3261" s="508">
        <v>4.226</v>
      </c>
      <c r="W3261" s="508">
        <v>4.226</v>
      </c>
      <c r="X3261" s="508">
        <v>4.226</v>
      </c>
      <c r="Y3261" s="508">
        <v>3.984</v>
      </c>
      <c r="Z3261" s="508">
        <v>3.98</v>
      </c>
      <c r="AA3261" s="508">
        <v>3.98</v>
      </c>
      <c r="AB3261" s="508">
        <v>1.127</v>
      </c>
      <c r="AC3261" s="508">
        <v>1.1259999999999999</v>
      </c>
      <c r="AD3261" s="508">
        <v>0.91200000000000003</v>
      </c>
      <c r="AE3261" s="508">
        <v>0.91200000000000003</v>
      </c>
      <c r="AF3261" s="508">
        <v>0.90800000000000003</v>
      </c>
      <c r="AG3261" s="508">
        <v>0.90800000000000003</v>
      </c>
      <c r="AH3261" s="508">
        <v>0.90600000000000003</v>
      </c>
      <c r="AI3261" s="492">
        <v>0.90600000000000003</v>
      </c>
      <c r="AJ3261" s="485"/>
    </row>
    <row r="3262" spans="2:36">
      <c r="B3262" s="136" t="s">
        <v>462</v>
      </c>
      <c r="C3262" s="132" t="s">
        <v>1372</v>
      </c>
      <c r="D3262" s="132" t="s">
        <v>283</v>
      </c>
      <c r="E3262" s="508">
        <v>8.1240000000000006</v>
      </c>
      <c r="F3262" s="508">
        <v>8.1240000000000006</v>
      </c>
      <c r="G3262" s="508">
        <v>8.1240000000000006</v>
      </c>
      <c r="H3262" s="508">
        <v>8.1240000000000006</v>
      </c>
      <c r="I3262" s="508">
        <v>8.1240000000000006</v>
      </c>
      <c r="J3262" s="508">
        <v>5.617</v>
      </c>
      <c r="K3262" s="508">
        <v>5.617</v>
      </c>
      <c r="L3262" s="508">
        <v>5.617</v>
      </c>
      <c r="M3262" s="508">
        <v>5.617</v>
      </c>
      <c r="N3262" s="508">
        <v>5.5190000000000001</v>
      </c>
      <c r="O3262" s="508">
        <v>5.5190000000000001</v>
      </c>
      <c r="P3262" s="508">
        <v>5.5190000000000001</v>
      </c>
      <c r="Q3262" s="508">
        <v>5.5190000000000001</v>
      </c>
      <c r="R3262" s="508">
        <v>3.887</v>
      </c>
      <c r="S3262" s="508">
        <v>3.887</v>
      </c>
      <c r="T3262" s="508">
        <v>3.887</v>
      </c>
      <c r="U3262" s="508">
        <v>3.7879999999999998</v>
      </c>
      <c r="V3262" s="508">
        <v>3.7879999999999998</v>
      </c>
      <c r="W3262" s="508">
        <v>3.7879999999999998</v>
      </c>
      <c r="X3262" s="508">
        <v>3.7879999999999998</v>
      </c>
      <c r="Y3262" s="508">
        <v>3.548</v>
      </c>
      <c r="Z3262" s="508">
        <v>3.5470000000000002</v>
      </c>
      <c r="AA3262" s="508">
        <v>3.5470000000000002</v>
      </c>
      <c r="AB3262" s="508">
        <v>0.99099999999999999</v>
      </c>
      <c r="AC3262" s="508">
        <v>0.99</v>
      </c>
      <c r="AD3262" s="508">
        <v>0.79900000000000004</v>
      </c>
      <c r="AE3262" s="508">
        <v>0.79900000000000004</v>
      </c>
      <c r="AF3262" s="508">
        <v>0.79500000000000004</v>
      </c>
      <c r="AG3262" s="508">
        <v>0.79500000000000004</v>
      </c>
      <c r="AH3262" s="508">
        <v>0.79300000000000004</v>
      </c>
      <c r="AI3262" s="492">
        <v>0.79300000000000004</v>
      </c>
      <c r="AJ3262" s="485"/>
    </row>
    <row r="3263" spans="2:36">
      <c r="B3263" s="136" t="s">
        <v>463</v>
      </c>
      <c r="C3263" s="132" t="s">
        <v>1372</v>
      </c>
      <c r="D3263" s="132" t="s">
        <v>283</v>
      </c>
      <c r="E3263" s="508">
        <v>8.9550000000000001</v>
      </c>
      <c r="F3263" s="508">
        <v>8.9550000000000001</v>
      </c>
      <c r="G3263" s="508">
        <v>8.9550000000000001</v>
      </c>
      <c r="H3263" s="508">
        <v>8.9550000000000001</v>
      </c>
      <c r="I3263" s="508">
        <v>8.9550000000000001</v>
      </c>
      <c r="J3263" s="508">
        <v>6.141</v>
      </c>
      <c r="K3263" s="508">
        <v>6.141</v>
      </c>
      <c r="L3263" s="508">
        <v>6.141</v>
      </c>
      <c r="M3263" s="508">
        <v>6.141</v>
      </c>
      <c r="N3263" s="508">
        <v>6.0339999999999998</v>
      </c>
      <c r="O3263" s="508">
        <v>6.0339999999999998</v>
      </c>
      <c r="P3263" s="508">
        <v>6.0339999999999998</v>
      </c>
      <c r="Q3263" s="508">
        <v>6.0339999999999998</v>
      </c>
      <c r="R3263" s="508">
        <v>4.2</v>
      </c>
      <c r="S3263" s="508">
        <v>4.2</v>
      </c>
      <c r="T3263" s="508">
        <v>4.2</v>
      </c>
      <c r="U3263" s="508">
        <v>4.2080000000000002</v>
      </c>
      <c r="V3263" s="508">
        <v>4.2089999999999996</v>
      </c>
      <c r="W3263" s="508">
        <v>4.2080000000000002</v>
      </c>
      <c r="X3263" s="508">
        <v>4.2080000000000002</v>
      </c>
      <c r="Y3263" s="508">
        <v>3.9670000000000001</v>
      </c>
      <c r="Z3263" s="508">
        <v>3.964</v>
      </c>
      <c r="AA3263" s="508">
        <v>3.964</v>
      </c>
      <c r="AB3263" s="508">
        <v>1.119</v>
      </c>
      <c r="AC3263" s="508">
        <v>1.117</v>
      </c>
      <c r="AD3263" s="508">
        <v>0.90600000000000003</v>
      </c>
      <c r="AE3263" s="508">
        <v>0.90600000000000003</v>
      </c>
      <c r="AF3263" s="508">
        <v>0.90100000000000002</v>
      </c>
      <c r="AG3263" s="508">
        <v>0.90100000000000002</v>
      </c>
      <c r="AH3263" s="508">
        <v>0.89800000000000002</v>
      </c>
      <c r="AI3263" s="492">
        <v>0.89800000000000002</v>
      </c>
      <c r="AJ3263" s="485"/>
    </row>
    <row r="3264" spans="2:36">
      <c r="B3264" s="136" t="s">
        <v>464</v>
      </c>
      <c r="C3264" s="132" t="s">
        <v>1372</v>
      </c>
      <c r="D3264" s="132" t="s">
        <v>283</v>
      </c>
      <c r="E3264" s="508">
        <v>9.2859999999999996</v>
      </c>
      <c r="F3264" s="508">
        <v>9.2870000000000008</v>
      </c>
      <c r="G3264" s="508">
        <v>9.2870000000000008</v>
      </c>
      <c r="H3264" s="508">
        <v>9.2870000000000008</v>
      </c>
      <c r="I3264" s="508">
        <v>9.2870000000000008</v>
      </c>
      <c r="J3264" s="508">
        <v>6.3390000000000004</v>
      </c>
      <c r="K3264" s="508">
        <v>6.3390000000000004</v>
      </c>
      <c r="L3264" s="508">
        <v>6.3390000000000004</v>
      </c>
      <c r="M3264" s="508">
        <v>6.3390000000000004</v>
      </c>
      <c r="N3264" s="508">
        <v>6.2279999999999998</v>
      </c>
      <c r="O3264" s="508">
        <v>6.2279999999999998</v>
      </c>
      <c r="P3264" s="508">
        <v>6.2279999999999998</v>
      </c>
      <c r="Q3264" s="508">
        <v>6.2279999999999998</v>
      </c>
      <c r="R3264" s="508">
        <v>4.3230000000000004</v>
      </c>
      <c r="S3264" s="508">
        <v>4.3230000000000004</v>
      </c>
      <c r="T3264" s="508">
        <v>4.3230000000000004</v>
      </c>
      <c r="U3264" s="508">
        <v>4.3330000000000002</v>
      </c>
      <c r="V3264" s="508">
        <v>4.3330000000000002</v>
      </c>
      <c r="W3264" s="508">
        <v>4.3330000000000002</v>
      </c>
      <c r="X3264" s="508">
        <v>4.3330000000000002</v>
      </c>
      <c r="Y3264" s="508">
        <v>4.101</v>
      </c>
      <c r="Z3264" s="508">
        <v>4.0970000000000004</v>
      </c>
      <c r="AA3264" s="508">
        <v>4.0970000000000004</v>
      </c>
      <c r="AB3264" s="508">
        <v>1.1659999999999999</v>
      </c>
      <c r="AC3264" s="508">
        <v>1.1639999999999999</v>
      </c>
      <c r="AD3264" s="508">
        <v>0.94299999999999995</v>
      </c>
      <c r="AE3264" s="508">
        <v>0.94299999999999995</v>
      </c>
      <c r="AF3264" s="508">
        <v>0.93899999999999995</v>
      </c>
      <c r="AG3264" s="508">
        <v>0.93899999999999995</v>
      </c>
      <c r="AH3264" s="508">
        <v>0.93600000000000005</v>
      </c>
      <c r="AI3264" s="492">
        <v>0.93600000000000005</v>
      </c>
      <c r="AJ3264" s="485"/>
    </row>
    <row r="3265" spans="2:36">
      <c r="B3265" s="136" t="s">
        <v>465</v>
      </c>
      <c r="C3265" s="132" t="s">
        <v>1372</v>
      </c>
      <c r="D3265" s="132" t="s">
        <v>283</v>
      </c>
      <c r="E3265" s="508">
        <v>9.0960000000000001</v>
      </c>
      <c r="F3265" s="508">
        <v>9.0960000000000001</v>
      </c>
      <c r="G3265" s="508">
        <v>9.0960000000000001</v>
      </c>
      <c r="H3265" s="508">
        <v>9.0960000000000001</v>
      </c>
      <c r="I3265" s="508">
        <v>9.0960000000000001</v>
      </c>
      <c r="J3265" s="508">
        <v>6.2489999999999997</v>
      </c>
      <c r="K3265" s="508">
        <v>6.2489999999999997</v>
      </c>
      <c r="L3265" s="508">
        <v>6.2489999999999997</v>
      </c>
      <c r="M3265" s="508">
        <v>6.2489999999999997</v>
      </c>
      <c r="N3265" s="508">
        <v>6.14</v>
      </c>
      <c r="O3265" s="508">
        <v>6.14</v>
      </c>
      <c r="P3265" s="508">
        <v>6.14</v>
      </c>
      <c r="Q3265" s="508">
        <v>6.14</v>
      </c>
      <c r="R3265" s="508">
        <v>4.2539999999999996</v>
      </c>
      <c r="S3265" s="508">
        <v>4.2539999999999996</v>
      </c>
      <c r="T3265" s="508">
        <v>4.2539999999999996</v>
      </c>
      <c r="U3265" s="508">
        <v>4.2779999999999996</v>
      </c>
      <c r="V3265" s="508">
        <v>4.2779999999999996</v>
      </c>
      <c r="W3265" s="508">
        <v>4.2779999999999996</v>
      </c>
      <c r="X3265" s="508">
        <v>4.2779999999999996</v>
      </c>
      <c r="Y3265" s="508">
        <v>4.0369999999999999</v>
      </c>
      <c r="Z3265" s="508">
        <v>4.0330000000000004</v>
      </c>
      <c r="AA3265" s="508">
        <v>4.0330000000000004</v>
      </c>
      <c r="AB3265" s="508">
        <v>1.141</v>
      </c>
      <c r="AC3265" s="508">
        <v>1.1399999999999999</v>
      </c>
      <c r="AD3265" s="508">
        <v>0.92400000000000004</v>
      </c>
      <c r="AE3265" s="508">
        <v>0.92500000000000004</v>
      </c>
      <c r="AF3265" s="508">
        <v>0.92</v>
      </c>
      <c r="AG3265" s="508">
        <v>0.92</v>
      </c>
      <c r="AH3265" s="508">
        <v>0.91700000000000004</v>
      </c>
      <c r="AI3265" s="492">
        <v>0.91700000000000004</v>
      </c>
      <c r="AJ3265" s="485"/>
    </row>
    <row r="3266" spans="2:36">
      <c r="B3266" s="136" t="s">
        <v>466</v>
      </c>
      <c r="C3266" s="132" t="s">
        <v>1372</v>
      </c>
      <c r="D3266" s="132" t="s">
        <v>283</v>
      </c>
      <c r="E3266" s="508">
        <v>8.9250000000000007</v>
      </c>
      <c r="F3266" s="508">
        <v>8.9250000000000007</v>
      </c>
      <c r="G3266" s="508">
        <v>8.9250000000000007</v>
      </c>
      <c r="H3266" s="508">
        <v>8.9250000000000007</v>
      </c>
      <c r="I3266" s="508">
        <v>8.9250000000000007</v>
      </c>
      <c r="J3266" s="508">
        <v>6.2759999999999998</v>
      </c>
      <c r="K3266" s="508">
        <v>6.2759999999999998</v>
      </c>
      <c r="L3266" s="508">
        <v>6.2759999999999998</v>
      </c>
      <c r="M3266" s="508">
        <v>6.2759999999999998</v>
      </c>
      <c r="N3266" s="508">
        <v>6.1660000000000004</v>
      </c>
      <c r="O3266" s="508">
        <v>6.1660000000000004</v>
      </c>
      <c r="P3266" s="508">
        <v>6.1660000000000004</v>
      </c>
      <c r="Q3266" s="508">
        <v>6.1660000000000004</v>
      </c>
      <c r="R3266" s="508">
        <v>4.2809999999999997</v>
      </c>
      <c r="S3266" s="508">
        <v>4.2809999999999997</v>
      </c>
      <c r="T3266" s="508">
        <v>4.2809999999999997</v>
      </c>
      <c r="U3266" s="508">
        <v>4.306</v>
      </c>
      <c r="V3266" s="508">
        <v>4.306</v>
      </c>
      <c r="W3266" s="508">
        <v>4.306</v>
      </c>
      <c r="X3266" s="508">
        <v>4.306</v>
      </c>
      <c r="Y3266" s="508">
        <v>4.0350000000000001</v>
      </c>
      <c r="Z3266" s="508">
        <v>4.0339999999999998</v>
      </c>
      <c r="AA3266" s="508">
        <v>4.0339999999999998</v>
      </c>
      <c r="AB3266" s="508">
        <v>1.1279999999999999</v>
      </c>
      <c r="AC3266" s="508">
        <v>1.127</v>
      </c>
      <c r="AD3266" s="508">
        <v>0.91400000000000003</v>
      </c>
      <c r="AE3266" s="508">
        <v>0.91400000000000003</v>
      </c>
      <c r="AF3266" s="508">
        <v>0.90900000000000003</v>
      </c>
      <c r="AG3266" s="508">
        <v>0.90900000000000003</v>
      </c>
      <c r="AH3266" s="508">
        <v>0.90700000000000003</v>
      </c>
      <c r="AI3266" s="492">
        <v>0.90700000000000003</v>
      </c>
      <c r="AJ3266" s="485"/>
    </row>
    <row r="3267" spans="2:36">
      <c r="B3267" s="136" t="s">
        <v>467</v>
      </c>
      <c r="C3267" s="132" t="s">
        <v>1372</v>
      </c>
      <c r="D3267" s="132" t="s">
        <v>283</v>
      </c>
      <c r="E3267" s="508">
        <v>9.0169999999999995</v>
      </c>
      <c r="F3267" s="508">
        <v>9.0169999999999995</v>
      </c>
      <c r="G3267" s="508">
        <v>9.0169999999999995</v>
      </c>
      <c r="H3267" s="508">
        <v>9.0169999999999995</v>
      </c>
      <c r="I3267" s="508">
        <v>9.0169999999999995</v>
      </c>
      <c r="J3267" s="508">
        <v>6.2309999999999999</v>
      </c>
      <c r="K3267" s="508">
        <v>6.2309999999999999</v>
      </c>
      <c r="L3267" s="508">
        <v>6.2309999999999999</v>
      </c>
      <c r="M3267" s="508">
        <v>6.2309999999999999</v>
      </c>
      <c r="N3267" s="508">
        <v>6.1219999999999999</v>
      </c>
      <c r="O3267" s="508">
        <v>6.1219999999999999</v>
      </c>
      <c r="P3267" s="508">
        <v>6.1219999999999999</v>
      </c>
      <c r="Q3267" s="508">
        <v>6.1219999999999999</v>
      </c>
      <c r="R3267" s="508">
        <v>4.2830000000000004</v>
      </c>
      <c r="S3267" s="508">
        <v>4.2830000000000004</v>
      </c>
      <c r="T3267" s="508">
        <v>4.2830000000000004</v>
      </c>
      <c r="U3267" s="508">
        <v>4.2389999999999999</v>
      </c>
      <c r="V3267" s="508">
        <v>4.2389999999999999</v>
      </c>
      <c r="W3267" s="508">
        <v>4.2389999999999999</v>
      </c>
      <c r="X3267" s="508">
        <v>4.2389999999999999</v>
      </c>
      <c r="Y3267" s="508">
        <v>3.9940000000000002</v>
      </c>
      <c r="Z3267" s="508">
        <v>3.99</v>
      </c>
      <c r="AA3267" s="508">
        <v>3.99</v>
      </c>
      <c r="AB3267" s="508">
        <v>1.129</v>
      </c>
      <c r="AC3267" s="508">
        <v>1.1279999999999999</v>
      </c>
      <c r="AD3267" s="508">
        <v>0.91300000000000003</v>
      </c>
      <c r="AE3267" s="508">
        <v>0.91300000000000003</v>
      </c>
      <c r="AF3267" s="508">
        <v>0.90900000000000003</v>
      </c>
      <c r="AG3267" s="508">
        <v>0.90900000000000003</v>
      </c>
      <c r="AH3267" s="508">
        <v>0.90600000000000003</v>
      </c>
      <c r="AI3267" s="492">
        <v>0.90600000000000003</v>
      </c>
      <c r="AJ3267" s="485"/>
    </row>
    <row r="3268" spans="2:36">
      <c r="B3268" s="136" t="s">
        <v>468</v>
      </c>
      <c r="C3268" s="132" t="s">
        <v>1372</v>
      </c>
      <c r="D3268" s="132" t="s">
        <v>283</v>
      </c>
      <c r="E3268" s="508">
        <v>9.2070000000000007</v>
      </c>
      <c r="F3268" s="508">
        <v>9.2070000000000007</v>
      </c>
      <c r="G3268" s="508">
        <v>9.2070000000000007</v>
      </c>
      <c r="H3268" s="508">
        <v>9.2070000000000007</v>
      </c>
      <c r="I3268" s="508">
        <v>9.2070000000000007</v>
      </c>
      <c r="J3268" s="508">
        <v>6.2880000000000003</v>
      </c>
      <c r="K3268" s="508">
        <v>6.2880000000000003</v>
      </c>
      <c r="L3268" s="508">
        <v>6.2880000000000003</v>
      </c>
      <c r="M3268" s="508">
        <v>6.2880000000000003</v>
      </c>
      <c r="N3268" s="508">
        <v>6.1779999999999999</v>
      </c>
      <c r="O3268" s="508">
        <v>6.1779999999999999</v>
      </c>
      <c r="P3268" s="508">
        <v>6.1779999999999999</v>
      </c>
      <c r="Q3268" s="508">
        <v>6.1779999999999999</v>
      </c>
      <c r="R3268" s="508">
        <v>4.25</v>
      </c>
      <c r="S3268" s="508">
        <v>4.25</v>
      </c>
      <c r="T3268" s="508">
        <v>4.25</v>
      </c>
      <c r="U3268" s="508">
        <v>4.2350000000000003</v>
      </c>
      <c r="V3268" s="508">
        <v>4.2350000000000003</v>
      </c>
      <c r="W3268" s="508">
        <v>4.2350000000000003</v>
      </c>
      <c r="X3268" s="508">
        <v>4.2350000000000003</v>
      </c>
      <c r="Y3268" s="508">
        <v>4.0149999999999997</v>
      </c>
      <c r="Z3268" s="508">
        <v>4.0129999999999999</v>
      </c>
      <c r="AA3268" s="508">
        <v>4.0129999999999999</v>
      </c>
      <c r="AB3268" s="508">
        <v>1.1399999999999999</v>
      </c>
      <c r="AC3268" s="508">
        <v>1.139</v>
      </c>
      <c r="AD3268" s="508">
        <v>0.92400000000000004</v>
      </c>
      <c r="AE3268" s="508">
        <v>0.92400000000000004</v>
      </c>
      <c r="AF3268" s="508">
        <v>0.92100000000000004</v>
      </c>
      <c r="AG3268" s="508">
        <v>0.92</v>
      </c>
      <c r="AH3268" s="508">
        <v>0.91700000000000004</v>
      </c>
      <c r="AI3268" s="492">
        <v>0.91700000000000004</v>
      </c>
      <c r="AJ3268" s="485"/>
    </row>
    <row r="3269" spans="2:36">
      <c r="B3269" s="136" t="s">
        <v>469</v>
      </c>
      <c r="C3269" s="132" t="s">
        <v>1372</v>
      </c>
      <c r="D3269" s="132" t="s">
        <v>283</v>
      </c>
      <c r="E3269" s="508">
        <v>9.1300000000000008</v>
      </c>
      <c r="F3269" s="508">
        <v>9.1300000000000008</v>
      </c>
      <c r="G3269" s="508">
        <v>9.1300000000000008</v>
      </c>
      <c r="H3269" s="508">
        <v>9.1300000000000008</v>
      </c>
      <c r="I3269" s="508">
        <v>9.1300000000000008</v>
      </c>
      <c r="J3269" s="508">
        <v>6.2830000000000004</v>
      </c>
      <c r="K3269" s="508">
        <v>6.2830000000000004</v>
      </c>
      <c r="L3269" s="508">
        <v>6.2830000000000004</v>
      </c>
      <c r="M3269" s="508">
        <v>6.2830000000000004</v>
      </c>
      <c r="N3269" s="508">
        <v>6.173</v>
      </c>
      <c r="O3269" s="508">
        <v>6.173</v>
      </c>
      <c r="P3269" s="508">
        <v>6.173</v>
      </c>
      <c r="Q3269" s="508">
        <v>6.173</v>
      </c>
      <c r="R3269" s="508">
        <v>4.2830000000000004</v>
      </c>
      <c r="S3269" s="508">
        <v>4.2830000000000004</v>
      </c>
      <c r="T3269" s="508">
        <v>4.2830000000000004</v>
      </c>
      <c r="U3269" s="508">
        <v>4.3079999999999998</v>
      </c>
      <c r="V3269" s="508">
        <v>4.3079999999999998</v>
      </c>
      <c r="W3269" s="508">
        <v>4.3079999999999998</v>
      </c>
      <c r="X3269" s="508">
        <v>4.3079999999999998</v>
      </c>
      <c r="Y3269" s="508">
        <v>4.0629999999999997</v>
      </c>
      <c r="Z3269" s="508">
        <v>4.0609999999999999</v>
      </c>
      <c r="AA3269" s="508">
        <v>4.0609999999999999</v>
      </c>
      <c r="AB3269" s="508">
        <v>1.147</v>
      </c>
      <c r="AC3269" s="508">
        <v>1.145</v>
      </c>
      <c r="AD3269" s="508">
        <v>0.92700000000000005</v>
      </c>
      <c r="AE3269" s="508">
        <v>0.92700000000000005</v>
      </c>
      <c r="AF3269" s="508">
        <v>0.92300000000000004</v>
      </c>
      <c r="AG3269" s="508">
        <v>0.92300000000000004</v>
      </c>
      <c r="AH3269" s="508">
        <v>0.92</v>
      </c>
      <c r="AI3269" s="492">
        <v>0.92</v>
      </c>
      <c r="AJ3269" s="485"/>
    </row>
    <row r="3270" spans="2:36">
      <c r="B3270" s="136" t="s">
        <v>470</v>
      </c>
      <c r="C3270" s="132" t="s">
        <v>1372</v>
      </c>
      <c r="D3270" s="132" t="s">
        <v>283</v>
      </c>
      <c r="E3270" s="508">
        <v>8.952</v>
      </c>
      <c r="F3270" s="508">
        <v>8.952</v>
      </c>
      <c r="G3270" s="508">
        <v>8.952</v>
      </c>
      <c r="H3270" s="508">
        <v>8.952</v>
      </c>
      <c r="I3270" s="508">
        <v>8.952</v>
      </c>
      <c r="J3270" s="508">
        <v>6.258</v>
      </c>
      <c r="K3270" s="508">
        <v>6.258</v>
      </c>
      <c r="L3270" s="508">
        <v>6.258</v>
      </c>
      <c r="M3270" s="508">
        <v>6.258</v>
      </c>
      <c r="N3270" s="508">
        <v>6.149</v>
      </c>
      <c r="O3270" s="508">
        <v>6.149</v>
      </c>
      <c r="P3270" s="508">
        <v>6.149</v>
      </c>
      <c r="Q3270" s="508">
        <v>6.149</v>
      </c>
      <c r="R3270" s="508">
        <v>4.2930000000000001</v>
      </c>
      <c r="S3270" s="508">
        <v>4.2930000000000001</v>
      </c>
      <c r="T3270" s="508">
        <v>4.2930000000000001</v>
      </c>
      <c r="U3270" s="508">
        <v>4.2300000000000004</v>
      </c>
      <c r="V3270" s="508">
        <v>4.2300000000000004</v>
      </c>
      <c r="W3270" s="508">
        <v>4.2300000000000004</v>
      </c>
      <c r="X3270" s="508">
        <v>4.2300000000000004</v>
      </c>
      <c r="Y3270" s="508">
        <v>3.97</v>
      </c>
      <c r="Z3270" s="508">
        <v>3.9660000000000002</v>
      </c>
      <c r="AA3270" s="508">
        <v>3.9660000000000002</v>
      </c>
      <c r="AB3270" s="508">
        <v>1.1160000000000001</v>
      </c>
      <c r="AC3270" s="508">
        <v>1.115</v>
      </c>
      <c r="AD3270" s="508">
        <v>0.90500000000000003</v>
      </c>
      <c r="AE3270" s="508">
        <v>0.90500000000000003</v>
      </c>
      <c r="AF3270" s="508">
        <v>0.9</v>
      </c>
      <c r="AG3270" s="508">
        <v>0.9</v>
      </c>
      <c r="AH3270" s="508">
        <v>0.89800000000000002</v>
      </c>
      <c r="AI3270" s="492">
        <v>0.89800000000000002</v>
      </c>
      <c r="AJ3270" s="485"/>
    </row>
    <row r="3271" spans="2:36">
      <c r="B3271" s="136" t="s">
        <v>471</v>
      </c>
      <c r="C3271" s="132" t="s">
        <v>1372</v>
      </c>
      <c r="D3271" s="132" t="s">
        <v>283</v>
      </c>
      <c r="E3271" s="508">
        <v>8.51</v>
      </c>
      <c r="F3271" s="508">
        <v>8.5090000000000003</v>
      </c>
      <c r="G3271" s="508">
        <v>8.51</v>
      </c>
      <c r="H3271" s="508">
        <v>8.5090000000000003</v>
      </c>
      <c r="I3271" s="508">
        <v>8.5090000000000003</v>
      </c>
      <c r="J3271" s="508">
        <v>5.9249999999999998</v>
      </c>
      <c r="K3271" s="508">
        <v>5.9249999999999998</v>
      </c>
      <c r="L3271" s="508">
        <v>5.9249999999999998</v>
      </c>
      <c r="M3271" s="508">
        <v>5.9249999999999998</v>
      </c>
      <c r="N3271" s="508">
        <v>5.8220000000000001</v>
      </c>
      <c r="O3271" s="508">
        <v>5.8220000000000001</v>
      </c>
      <c r="P3271" s="508">
        <v>5.8220000000000001</v>
      </c>
      <c r="Q3271" s="508">
        <v>5.8220000000000001</v>
      </c>
      <c r="R3271" s="508">
        <v>4.0860000000000003</v>
      </c>
      <c r="S3271" s="508">
        <v>4.0860000000000003</v>
      </c>
      <c r="T3271" s="508">
        <v>4.0860000000000003</v>
      </c>
      <c r="U3271" s="508">
        <v>3.9860000000000002</v>
      </c>
      <c r="V3271" s="508">
        <v>3.9860000000000002</v>
      </c>
      <c r="W3271" s="508">
        <v>3.9860000000000002</v>
      </c>
      <c r="X3271" s="508">
        <v>3.9860000000000002</v>
      </c>
      <c r="Y3271" s="508">
        <v>3.734</v>
      </c>
      <c r="Z3271" s="508">
        <v>3.7320000000000002</v>
      </c>
      <c r="AA3271" s="508">
        <v>3.7320000000000002</v>
      </c>
      <c r="AB3271" s="508">
        <v>1.044</v>
      </c>
      <c r="AC3271" s="508">
        <v>1.0429999999999999</v>
      </c>
      <c r="AD3271" s="508">
        <v>0.84399999999999997</v>
      </c>
      <c r="AE3271" s="508">
        <v>0.84399999999999997</v>
      </c>
      <c r="AF3271" s="508">
        <v>0.84</v>
      </c>
      <c r="AG3271" s="508">
        <v>0.84</v>
      </c>
      <c r="AH3271" s="508">
        <v>0.83699999999999997</v>
      </c>
      <c r="AI3271" s="492">
        <v>0.83699999999999997</v>
      </c>
      <c r="AJ3271" s="485"/>
    </row>
    <row r="3272" spans="2:36">
      <c r="B3272" s="136" t="s">
        <v>472</v>
      </c>
      <c r="C3272" s="132" t="s">
        <v>1372</v>
      </c>
      <c r="D3272" s="132" t="s">
        <v>283</v>
      </c>
      <c r="E3272" s="508">
        <v>9.2669999999999995</v>
      </c>
      <c r="F3272" s="508">
        <v>9.2669999999999995</v>
      </c>
      <c r="G3272" s="508">
        <v>9.2669999999999995</v>
      </c>
      <c r="H3272" s="508">
        <v>9.2669999999999995</v>
      </c>
      <c r="I3272" s="508">
        <v>9.2669999999999995</v>
      </c>
      <c r="J3272" s="508">
        <v>6.327</v>
      </c>
      <c r="K3272" s="508">
        <v>6.327</v>
      </c>
      <c r="L3272" s="508">
        <v>6.327</v>
      </c>
      <c r="M3272" s="508">
        <v>6.327</v>
      </c>
      <c r="N3272" s="508">
        <v>6.2160000000000002</v>
      </c>
      <c r="O3272" s="508">
        <v>6.2160000000000002</v>
      </c>
      <c r="P3272" s="508">
        <v>6.2160000000000002</v>
      </c>
      <c r="Q3272" s="508">
        <v>6.2160000000000002</v>
      </c>
      <c r="R3272" s="508">
        <v>4.33</v>
      </c>
      <c r="S3272" s="508">
        <v>4.33</v>
      </c>
      <c r="T3272" s="508">
        <v>4.33</v>
      </c>
      <c r="U3272" s="508">
        <v>4.2409999999999997</v>
      </c>
      <c r="V3272" s="508">
        <v>4.2409999999999997</v>
      </c>
      <c r="W3272" s="508">
        <v>4.2409999999999997</v>
      </c>
      <c r="X3272" s="508">
        <v>4.2409999999999997</v>
      </c>
      <c r="Y3272" s="508">
        <v>4.0190000000000001</v>
      </c>
      <c r="Z3272" s="508">
        <v>4.0149999999999997</v>
      </c>
      <c r="AA3272" s="508">
        <v>4.0149999999999997</v>
      </c>
      <c r="AB3272" s="508">
        <v>1.145</v>
      </c>
      <c r="AC3272" s="508">
        <v>1.1439999999999999</v>
      </c>
      <c r="AD3272" s="508">
        <v>0.92600000000000005</v>
      </c>
      <c r="AE3272" s="508">
        <v>0.92600000000000005</v>
      </c>
      <c r="AF3272" s="508">
        <v>0.92200000000000004</v>
      </c>
      <c r="AG3272" s="508">
        <v>0.92200000000000004</v>
      </c>
      <c r="AH3272" s="508">
        <v>0.91900000000000004</v>
      </c>
      <c r="AI3272" s="492">
        <v>0.91900000000000004</v>
      </c>
      <c r="AJ3272" s="485"/>
    </row>
    <row r="3273" spans="2:36">
      <c r="B3273" s="136" t="s">
        <v>473</v>
      </c>
      <c r="C3273" s="132" t="s">
        <v>1372</v>
      </c>
      <c r="D3273" s="132" t="s">
        <v>283</v>
      </c>
      <c r="E3273" s="508">
        <v>8.6739999999999995</v>
      </c>
      <c r="F3273" s="508">
        <v>8.6739999999999995</v>
      </c>
      <c r="G3273" s="508">
        <v>8.6739999999999995</v>
      </c>
      <c r="H3273" s="508">
        <v>8.6739999999999995</v>
      </c>
      <c r="I3273" s="508">
        <v>8.6739999999999995</v>
      </c>
      <c r="J3273" s="508">
        <v>6.0739999999999998</v>
      </c>
      <c r="K3273" s="508">
        <v>6.0739999999999998</v>
      </c>
      <c r="L3273" s="508">
        <v>6.0739999999999998</v>
      </c>
      <c r="M3273" s="508">
        <v>6.0739999999999998</v>
      </c>
      <c r="N3273" s="508">
        <v>5.968</v>
      </c>
      <c r="O3273" s="508">
        <v>5.968</v>
      </c>
      <c r="P3273" s="508">
        <v>5.968</v>
      </c>
      <c r="Q3273" s="508">
        <v>5.968</v>
      </c>
      <c r="R3273" s="508">
        <v>4.173</v>
      </c>
      <c r="S3273" s="508">
        <v>4.173</v>
      </c>
      <c r="T3273" s="508">
        <v>4.173</v>
      </c>
      <c r="U3273" s="508">
        <v>4.1440000000000001</v>
      </c>
      <c r="V3273" s="508">
        <v>4.1440000000000001</v>
      </c>
      <c r="W3273" s="508">
        <v>4.1440000000000001</v>
      </c>
      <c r="X3273" s="508">
        <v>4.1440000000000001</v>
      </c>
      <c r="Y3273" s="508">
        <v>3.8839999999999999</v>
      </c>
      <c r="Z3273" s="508">
        <v>3.8809999999999998</v>
      </c>
      <c r="AA3273" s="508">
        <v>3.8809999999999998</v>
      </c>
      <c r="AB3273" s="508">
        <v>1.0900000000000001</v>
      </c>
      <c r="AC3273" s="508">
        <v>1.089</v>
      </c>
      <c r="AD3273" s="508">
        <v>0.88300000000000001</v>
      </c>
      <c r="AE3273" s="508">
        <v>0.88300000000000001</v>
      </c>
      <c r="AF3273" s="508">
        <v>0.878</v>
      </c>
      <c r="AG3273" s="508">
        <v>0.878</v>
      </c>
      <c r="AH3273" s="508">
        <v>0.876</v>
      </c>
      <c r="AI3273" s="492">
        <v>0.876</v>
      </c>
      <c r="AJ3273" s="485"/>
    </row>
    <row r="3274" spans="2:36">
      <c r="B3274" s="136" t="s">
        <v>474</v>
      </c>
      <c r="C3274" s="132" t="s">
        <v>1372</v>
      </c>
      <c r="D3274" s="132" t="s">
        <v>283</v>
      </c>
      <c r="E3274" s="508">
        <v>8.4480000000000004</v>
      </c>
      <c r="F3274" s="508">
        <v>8.4480000000000004</v>
      </c>
      <c r="G3274" s="508">
        <v>8.4480000000000004</v>
      </c>
      <c r="H3274" s="508">
        <v>8.4480000000000004</v>
      </c>
      <c r="I3274" s="508">
        <v>8.4480000000000004</v>
      </c>
      <c r="J3274" s="508">
        <v>5.8639999999999999</v>
      </c>
      <c r="K3274" s="508">
        <v>5.8639999999999999</v>
      </c>
      <c r="L3274" s="508">
        <v>5.8639999999999999</v>
      </c>
      <c r="M3274" s="508">
        <v>5.8639999999999999</v>
      </c>
      <c r="N3274" s="508">
        <v>5.7619999999999996</v>
      </c>
      <c r="O3274" s="508">
        <v>5.7619999999999996</v>
      </c>
      <c r="P3274" s="508">
        <v>5.7619999999999996</v>
      </c>
      <c r="Q3274" s="508">
        <v>5.7619999999999996</v>
      </c>
      <c r="R3274" s="508">
        <v>4.0289999999999999</v>
      </c>
      <c r="S3274" s="508">
        <v>4.0289999999999999</v>
      </c>
      <c r="T3274" s="508">
        <v>4.0289999999999999</v>
      </c>
      <c r="U3274" s="508">
        <v>4.05</v>
      </c>
      <c r="V3274" s="508">
        <v>4.05</v>
      </c>
      <c r="W3274" s="508">
        <v>4.05</v>
      </c>
      <c r="X3274" s="508">
        <v>4.05</v>
      </c>
      <c r="Y3274" s="508">
        <v>3.794</v>
      </c>
      <c r="Z3274" s="508">
        <v>3.7919999999999998</v>
      </c>
      <c r="AA3274" s="508">
        <v>3.7919999999999998</v>
      </c>
      <c r="AB3274" s="508">
        <v>1.0609999999999999</v>
      </c>
      <c r="AC3274" s="508">
        <v>1.06</v>
      </c>
      <c r="AD3274" s="508">
        <v>0.85799999999999998</v>
      </c>
      <c r="AE3274" s="508">
        <v>0.85799999999999998</v>
      </c>
      <c r="AF3274" s="508">
        <v>0.85299999999999998</v>
      </c>
      <c r="AG3274" s="508">
        <v>0.85299999999999998</v>
      </c>
      <c r="AH3274" s="508">
        <v>0.85099999999999998</v>
      </c>
      <c r="AI3274" s="492">
        <v>0.85099999999999998</v>
      </c>
      <c r="AJ3274" s="485"/>
    </row>
    <row r="3275" spans="2:36">
      <c r="B3275" s="136" t="s">
        <v>475</v>
      </c>
      <c r="C3275" s="132" t="s">
        <v>1372</v>
      </c>
      <c r="D3275" s="132" t="s">
        <v>283</v>
      </c>
      <c r="E3275" s="508">
        <v>8.8320000000000007</v>
      </c>
      <c r="F3275" s="508">
        <v>8.8320000000000007</v>
      </c>
      <c r="G3275" s="508">
        <v>8.8320000000000007</v>
      </c>
      <c r="H3275" s="508">
        <v>8.8320000000000007</v>
      </c>
      <c r="I3275" s="508">
        <v>8.8320000000000007</v>
      </c>
      <c r="J3275" s="508">
        <v>6.101</v>
      </c>
      <c r="K3275" s="508">
        <v>6.101</v>
      </c>
      <c r="L3275" s="508">
        <v>6.101</v>
      </c>
      <c r="M3275" s="508">
        <v>6.101</v>
      </c>
      <c r="N3275" s="508">
        <v>5.9939999999999998</v>
      </c>
      <c r="O3275" s="508">
        <v>5.9939999999999998</v>
      </c>
      <c r="P3275" s="508">
        <v>5.9939999999999998</v>
      </c>
      <c r="Q3275" s="508">
        <v>5.9939999999999998</v>
      </c>
      <c r="R3275" s="508">
        <v>4.1859999999999999</v>
      </c>
      <c r="S3275" s="508">
        <v>4.1859999999999999</v>
      </c>
      <c r="T3275" s="508">
        <v>4.1859999999999999</v>
      </c>
      <c r="U3275" s="508">
        <v>4.202</v>
      </c>
      <c r="V3275" s="508">
        <v>4.202</v>
      </c>
      <c r="W3275" s="508">
        <v>4.202</v>
      </c>
      <c r="X3275" s="508">
        <v>4.202</v>
      </c>
      <c r="Y3275" s="508">
        <v>3.952</v>
      </c>
      <c r="Z3275" s="508">
        <v>3.9489999999999998</v>
      </c>
      <c r="AA3275" s="508">
        <v>3.9489999999999998</v>
      </c>
      <c r="AB3275" s="508">
        <v>1.113</v>
      </c>
      <c r="AC3275" s="508">
        <v>1.1120000000000001</v>
      </c>
      <c r="AD3275" s="508">
        <v>0.90100000000000002</v>
      </c>
      <c r="AE3275" s="508">
        <v>0.90100000000000002</v>
      </c>
      <c r="AF3275" s="508">
        <v>0.89600000000000002</v>
      </c>
      <c r="AG3275" s="508">
        <v>0.89600000000000002</v>
      </c>
      <c r="AH3275" s="508">
        <v>0.89400000000000002</v>
      </c>
      <c r="AI3275" s="492">
        <v>0.89400000000000002</v>
      </c>
      <c r="AJ3275" s="485"/>
    </row>
    <row r="3276" spans="2:36">
      <c r="B3276" s="136" t="s">
        <v>476</v>
      </c>
      <c r="C3276" s="132" t="s">
        <v>1372</v>
      </c>
      <c r="D3276" s="132" t="s">
        <v>283</v>
      </c>
      <c r="E3276" s="508">
        <v>8.9090000000000007</v>
      </c>
      <c r="F3276" s="508">
        <v>8.9090000000000007</v>
      </c>
      <c r="G3276" s="508">
        <v>8.9090000000000007</v>
      </c>
      <c r="H3276" s="508">
        <v>8.9090000000000007</v>
      </c>
      <c r="I3276" s="508">
        <v>8.9090000000000007</v>
      </c>
      <c r="J3276" s="508">
        <v>6.2069999999999999</v>
      </c>
      <c r="K3276" s="508">
        <v>6.2069999999999999</v>
      </c>
      <c r="L3276" s="508">
        <v>6.2069999999999999</v>
      </c>
      <c r="M3276" s="508">
        <v>6.2069999999999999</v>
      </c>
      <c r="N3276" s="508">
        <v>6.0979999999999999</v>
      </c>
      <c r="O3276" s="508">
        <v>6.0979999999999999</v>
      </c>
      <c r="P3276" s="508">
        <v>6.0979999999999999</v>
      </c>
      <c r="Q3276" s="508">
        <v>6.0979999999999999</v>
      </c>
      <c r="R3276" s="508">
        <v>4.2430000000000003</v>
      </c>
      <c r="S3276" s="508">
        <v>4.2430000000000003</v>
      </c>
      <c r="T3276" s="508">
        <v>4.2430000000000003</v>
      </c>
      <c r="U3276" s="508">
        <v>4.1840000000000002</v>
      </c>
      <c r="V3276" s="508">
        <v>4.1840000000000002</v>
      </c>
      <c r="W3276" s="508">
        <v>4.1840000000000002</v>
      </c>
      <c r="X3276" s="508">
        <v>4.1840000000000002</v>
      </c>
      <c r="Y3276" s="508">
        <v>3.9319999999999999</v>
      </c>
      <c r="Z3276" s="508">
        <v>3.9289999999999998</v>
      </c>
      <c r="AA3276" s="508">
        <v>3.9289999999999998</v>
      </c>
      <c r="AB3276" s="508">
        <v>1.107</v>
      </c>
      <c r="AC3276" s="508">
        <v>1.1060000000000001</v>
      </c>
      <c r="AD3276" s="508">
        <v>0.89700000000000002</v>
      </c>
      <c r="AE3276" s="508">
        <v>0.89700000000000002</v>
      </c>
      <c r="AF3276" s="508">
        <v>0.89300000000000002</v>
      </c>
      <c r="AG3276" s="508">
        <v>0.89300000000000002</v>
      </c>
      <c r="AH3276" s="508">
        <v>0.89</v>
      </c>
      <c r="AI3276" s="492">
        <v>0.89</v>
      </c>
      <c r="AJ3276" s="485"/>
    </row>
    <row r="3277" spans="2:36">
      <c r="B3277" s="136" t="s">
        <v>478</v>
      </c>
      <c r="C3277" s="132" t="s">
        <v>1372</v>
      </c>
      <c r="D3277" s="132" t="s">
        <v>283</v>
      </c>
      <c r="E3277" s="508">
        <v>8.9960000000000004</v>
      </c>
      <c r="F3277" s="508">
        <v>8.9960000000000004</v>
      </c>
      <c r="G3277" s="508">
        <v>8.9960000000000004</v>
      </c>
      <c r="H3277" s="508">
        <v>8.9960000000000004</v>
      </c>
      <c r="I3277" s="508">
        <v>8.9960000000000004</v>
      </c>
      <c r="J3277" s="508">
        <v>6.31</v>
      </c>
      <c r="K3277" s="508">
        <v>6.31</v>
      </c>
      <c r="L3277" s="508">
        <v>6.31</v>
      </c>
      <c r="M3277" s="508">
        <v>6.31</v>
      </c>
      <c r="N3277" s="508">
        <v>6.2</v>
      </c>
      <c r="O3277" s="508">
        <v>6.2</v>
      </c>
      <c r="P3277" s="508">
        <v>6.2</v>
      </c>
      <c r="Q3277" s="508">
        <v>6.2</v>
      </c>
      <c r="R3277" s="508">
        <v>4.3099999999999996</v>
      </c>
      <c r="S3277" s="508">
        <v>4.3099999999999996</v>
      </c>
      <c r="T3277" s="508">
        <v>4.3099999999999996</v>
      </c>
      <c r="U3277" s="508">
        <v>4.2869999999999999</v>
      </c>
      <c r="V3277" s="508">
        <v>4.2869999999999999</v>
      </c>
      <c r="W3277" s="508">
        <v>4.2869999999999999</v>
      </c>
      <c r="X3277" s="508">
        <v>4.2869999999999999</v>
      </c>
      <c r="Y3277" s="508">
        <v>4.0220000000000002</v>
      </c>
      <c r="Z3277" s="508">
        <v>4.0190000000000001</v>
      </c>
      <c r="AA3277" s="508">
        <v>4.0190000000000001</v>
      </c>
      <c r="AB3277" s="508">
        <v>1.131</v>
      </c>
      <c r="AC3277" s="508">
        <v>1.129</v>
      </c>
      <c r="AD3277" s="508">
        <v>0.91800000000000004</v>
      </c>
      <c r="AE3277" s="508">
        <v>0.91800000000000004</v>
      </c>
      <c r="AF3277" s="508">
        <v>0.91300000000000003</v>
      </c>
      <c r="AG3277" s="508">
        <v>0.91300000000000003</v>
      </c>
      <c r="AH3277" s="508">
        <v>0.91100000000000003</v>
      </c>
      <c r="AI3277" s="492">
        <v>0.91100000000000003</v>
      </c>
      <c r="AJ3277" s="485"/>
    </row>
    <row r="3278" spans="2:36">
      <c r="B3278" s="136" t="s">
        <v>479</v>
      </c>
      <c r="C3278" s="132" t="s">
        <v>1372</v>
      </c>
      <c r="D3278" s="132" t="s">
        <v>283</v>
      </c>
      <c r="E3278" s="508">
        <v>8.4870000000000001</v>
      </c>
      <c r="F3278" s="508">
        <v>8.4870000000000001</v>
      </c>
      <c r="G3278" s="508">
        <v>8.4870000000000001</v>
      </c>
      <c r="H3278" s="508">
        <v>8.4870000000000001</v>
      </c>
      <c r="I3278" s="508">
        <v>8.4870000000000001</v>
      </c>
      <c r="J3278" s="508">
        <v>5.8840000000000003</v>
      </c>
      <c r="K3278" s="508">
        <v>5.8840000000000003</v>
      </c>
      <c r="L3278" s="508">
        <v>5.8840000000000003</v>
      </c>
      <c r="M3278" s="508">
        <v>5.8840000000000003</v>
      </c>
      <c r="N3278" s="508">
        <v>5.7809999999999997</v>
      </c>
      <c r="O3278" s="508">
        <v>5.7809999999999997</v>
      </c>
      <c r="P3278" s="508">
        <v>5.7809999999999997</v>
      </c>
      <c r="Q3278" s="508">
        <v>5.7809999999999997</v>
      </c>
      <c r="R3278" s="508">
        <v>4.0270000000000001</v>
      </c>
      <c r="S3278" s="508">
        <v>4.0270000000000001</v>
      </c>
      <c r="T3278" s="508">
        <v>4.0270000000000001</v>
      </c>
      <c r="U3278" s="508">
        <v>3.9260000000000002</v>
      </c>
      <c r="V3278" s="508">
        <v>3.9260000000000002</v>
      </c>
      <c r="W3278" s="508">
        <v>3.9260000000000002</v>
      </c>
      <c r="X3278" s="508">
        <v>3.9260000000000002</v>
      </c>
      <c r="Y3278" s="508">
        <v>3.6850000000000001</v>
      </c>
      <c r="Z3278" s="508">
        <v>3.6840000000000002</v>
      </c>
      <c r="AA3278" s="508">
        <v>3.6840000000000002</v>
      </c>
      <c r="AB3278" s="508">
        <v>1.032</v>
      </c>
      <c r="AC3278" s="508">
        <v>1.0309999999999999</v>
      </c>
      <c r="AD3278" s="508">
        <v>0.83499999999999996</v>
      </c>
      <c r="AE3278" s="508">
        <v>0.83499999999999996</v>
      </c>
      <c r="AF3278" s="508">
        <v>0.83099999999999996</v>
      </c>
      <c r="AG3278" s="508">
        <v>0.83099999999999996</v>
      </c>
      <c r="AH3278" s="508">
        <v>0.82799999999999996</v>
      </c>
      <c r="AI3278" s="492">
        <v>0.82799999999999996</v>
      </c>
      <c r="AJ3278" s="485"/>
    </row>
    <row r="3279" spans="2:36">
      <c r="B3279" s="136" t="s">
        <v>480</v>
      </c>
      <c r="C3279" s="132" t="s">
        <v>1372</v>
      </c>
      <c r="D3279" s="132" t="s">
        <v>283</v>
      </c>
      <c r="E3279" s="508">
        <v>9.3490000000000002</v>
      </c>
      <c r="F3279" s="508">
        <v>9.3490000000000002</v>
      </c>
      <c r="G3279" s="508">
        <v>9.3490000000000002</v>
      </c>
      <c r="H3279" s="508">
        <v>9.3490000000000002</v>
      </c>
      <c r="I3279" s="508">
        <v>9.3490000000000002</v>
      </c>
      <c r="J3279" s="508">
        <v>6.375</v>
      </c>
      <c r="K3279" s="508">
        <v>6.375</v>
      </c>
      <c r="L3279" s="508">
        <v>6.375</v>
      </c>
      <c r="M3279" s="508">
        <v>6.375</v>
      </c>
      <c r="N3279" s="508">
        <v>6.2629999999999999</v>
      </c>
      <c r="O3279" s="508">
        <v>6.2629999999999999</v>
      </c>
      <c r="P3279" s="508">
        <v>6.2629999999999999</v>
      </c>
      <c r="Q3279" s="508">
        <v>6.2629999999999999</v>
      </c>
      <c r="R3279" s="508">
        <v>4.335</v>
      </c>
      <c r="S3279" s="508">
        <v>4.335</v>
      </c>
      <c r="T3279" s="508">
        <v>4.335</v>
      </c>
      <c r="U3279" s="508">
        <v>4.2460000000000004</v>
      </c>
      <c r="V3279" s="508">
        <v>4.2460000000000004</v>
      </c>
      <c r="W3279" s="508">
        <v>4.2460000000000004</v>
      </c>
      <c r="X3279" s="508">
        <v>4.2460000000000004</v>
      </c>
      <c r="Y3279" s="508">
        <v>4.0279999999999996</v>
      </c>
      <c r="Z3279" s="508">
        <v>4.0250000000000004</v>
      </c>
      <c r="AA3279" s="508">
        <v>4.0250000000000004</v>
      </c>
      <c r="AB3279" s="508">
        <v>1.147</v>
      </c>
      <c r="AC3279" s="508">
        <v>1.1459999999999999</v>
      </c>
      <c r="AD3279" s="508">
        <v>0.92800000000000005</v>
      </c>
      <c r="AE3279" s="508">
        <v>0.92800000000000005</v>
      </c>
      <c r="AF3279" s="508">
        <v>0.92500000000000004</v>
      </c>
      <c r="AG3279" s="508">
        <v>0.92500000000000004</v>
      </c>
      <c r="AH3279" s="508">
        <v>0.92200000000000004</v>
      </c>
      <c r="AI3279" s="492">
        <v>0.92200000000000004</v>
      </c>
      <c r="AJ3279" s="485"/>
    </row>
    <row r="3280" spans="2:36">
      <c r="B3280" s="136" t="s">
        <v>481</v>
      </c>
      <c r="C3280" s="132" t="s">
        <v>1372</v>
      </c>
      <c r="D3280" s="132" t="s">
        <v>283</v>
      </c>
      <c r="E3280" s="508">
        <v>8.6349999999999998</v>
      </c>
      <c r="F3280" s="508">
        <v>8.6349999999999998</v>
      </c>
      <c r="G3280" s="508">
        <v>8.6349999999999998</v>
      </c>
      <c r="H3280" s="508">
        <v>8.6349999999999998</v>
      </c>
      <c r="I3280" s="508">
        <v>8.6349999999999998</v>
      </c>
      <c r="J3280" s="508">
        <v>6.0010000000000003</v>
      </c>
      <c r="K3280" s="508">
        <v>6.0010000000000003</v>
      </c>
      <c r="L3280" s="508">
        <v>6.0010000000000003</v>
      </c>
      <c r="M3280" s="508">
        <v>6.0010000000000003</v>
      </c>
      <c r="N3280" s="508">
        <v>5.8959999999999999</v>
      </c>
      <c r="O3280" s="508">
        <v>5.8959999999999999</v>
      </c>
      <c r="P3280" s="508">
        <v>5.8959999999999999</v>
      </c>
      <c r="Q3280" s="508">
        <v>5.8959999999999999</v>
      </c>
      <c r="R3280" s="508">
        <v>4.1070000000000002</v>
      </c>
      <c r="S3280" s="508">
        <v>4.1070000000000002</v>
      </c>
      <c r="T3280" s="508">
        <v>4.1070000000000002</v>
      </c>
      <c r="U3280" s="508">
        <v>4.0490000000000004</v>
      </c>
      <c r="V3280" s="508">
        <v>4.0490000000000004</v>
      </c>
      <c r="W3280" s="508">
        <v>4.0490000000000004</v>
      </c>
      <c r="X3280" s="508">
        <v>4.0490000000000004</v>
      </c>
      <c r="Y3280" s="508">
        <v>3.8010000000000002</v>
      </c>
      <c r="Z3280" s="508">
        <v>3.7989999999999999</v>
      </c>
      <c r="AA3280" s="508">
        <v>3.7989999999999999</v>
      </c>
      <c r="AB3280" s="508">
        <v>1.0660000000000001</v>
      </c>
      <c r="AC3280" s="508">
        <v>1.0649999999999999</v>
      </c>
      <c r="AD3280" s="508">
        <v>0.86299999999999999</v>
      </c>
      <c r="AE3280" s="508">
        <v>0.86299999999999999</v>
      </c>
      <c r="AF3280" s="508">
        <v>0.85899999999999999</v>
      </c>
      <c r="AG3280" s="508">
        <v>0.85899999999999999</v>
      </c>
      <c r="AH3280" s="508">
        <v>0.85599999999999998</v>
      </c>
      <c r="AI3280" s="492">
        <v>0.85599999999999998</v>
      </c>
      <c r="AJ3280" s="485"/>
    </row>
    <row r="3281" spans="2:36">
      <c r="B3281" s="136" t="s">
        <v>482</v>
      </c>
      <c r="C3281" s="132" t="s">
        <v>1372</v>
      </c>
      <c r="D3281" s="132" t="s">
        <v>283</v>
      </c>
      <c r="E3281" s="508">
        <v>8.2240000000000002</v>
      </c>
      <c r="F3281" s="508">
        <v>8.2240000000000002</v>
      </c>
      <c r="G3281" s="508">
        <v>8.2240000000000002</v>
      </c>
      <c r="H3281" s="508">
        <v>8.2240000000000002</v>
      </c>
      <c r="I3281" s="508">
        <v>8.2240000000000002</v>
      </c>
      <c r="J3281" s="508">
        <v>5.7210000000000001</v>
      </c>
      <c r="K3281" s="508">
        <v>5.7210000000000001</v>
      </c>
      <c r="L3281" s="508">
        <v>5.7210000000000001</v>
      </c>
      <c r="M3281" s="508">
        <v>5.7210000000000001</v>
      </c>
      <c r="N3281" s="508">
        <v>5.6210000000000004</v>
      </c>
      <c r="O3281" s="508">
        <v>5.6210000000000004</v>
      </c>
      <c r="P3281" s="508">
        <v>5.6210000000000004</v>
      </c>
      <c r="Q3281" s="508">
        <v>5.6210000000000004</v>
      </c>
      <c r="R3281" s="508">
        <v>3.93</v>
      </c>
      <c r="S3281" s="508">
        <v>3.93</v>
      </c>
      <c r="T3281" s="508">
        <v>3.93</v>
      </c>
      <c r="U3281" s="508">
        <v>3.8679999999999999</v>
      </c>
      <c r="V3281" s="508">
        <v>3.8679999999999999</v>
      </c>
      <c r="W3281" s="508">
        <v>3.8679999999999999</v>
      </c>
      <c r="X3281" s="508">
        <v>3.8679999999999999</v>
      </c>
      <c r="Y3281" s="508">
        <v>3.621</v>
      </c>
      <c r="Z3281" s="508">
        <v>3.621</v>
      </c>
      <c r="AA3281" s="508">
        <v>3.621</v>
      </c>
      <c r="AB3281" s="508">
        <v>1.01</v>
      </c>
      <c r="AC3281" s="508">
        <v>1.008</v>
      </c>
      <c r="AD3281" s="508">
        <v>0.81699999999999995</v>
      </c>
      <c r="AE3281" s="508">
        <v>0.81699999999999995</v>
      </c>
      <c r="AF3281" s="508">
        <v>0.81200000000000006</v>
      </c>
      <c r="AG3281" s="508">
        <v>0.81200000000000006</v>
      </c>
      <c r="AH3281" s="508">
        <v>0.81</v>
      </c>
      <c r="AI3281" s="492">
        <v>0.81</v>
      </c>
      <c r="AJ3281" s="485"/>
    </row>
    <row r="3282" spans="2:36">
      <c r="B3282" s="136" t="s">
        <v>483</v>
      </c>
      <c r="C3282" s="132" t="s">
        <v>1372</v>
      </c>
      <c r="D3282" s="132" t="s">
        <v>283</v>
      </c>
      <c r="E3282" s="508">
        <v>9.1349999999999998</v>
      </c>
      <c r="F3282" s="508">
        <v>9.1340000000000003</v>
      </c>
      <c r="G3282" s="508">
        <v>9.1340000000000003</v>
      </c>
      <c r="H3282" s="508">
        <v>9.1340000000000003</v>
      </c>
      <c r="I3282" s="508">
        <v>9.1340000000000003</v>
      </c>
      <c r="J3282" s="508">
        <v>6.3940000000000001</v>
      </c>
      <c r="K3282" s="508">
        <v>6.3940000000000001</v>
      </c>
      <c r="L3282" s="508">
        <v>6.3940000000000001</v>
      </c>
      <c r="M3282" s="508">
        <v>6.3940000000000001</v>
      </c>
      <c r="N3282" s="508">
        <v>6.2830000000000004</v>
      </c>
      <c r="O3282" s="508">
        <v>6.2830000000000004</v>
      </c>
      <c r="P3282" s="508">
        <v>6.2830000000000004</v>
      </c>
      <c r="Q3282" s="508">
        <v>6.2830000000000004</v>
      </c>
      <c r="R3282" s="508">
        <v>4.3630000000000004</v>
      </c>
      <c r="S3282" s="508">
        <v>4.3630000000000004</v>
      </c>
      <c r="T3282" s="508">
        <v>4.3630000000000004</v>
      </c>
      <c r="U3282" s="508">
        <v>4.3780000000000001</v>
      </c>
      <c r="V3282" s="508">
        <v>4.3780000000000001</v>
      </c>
      <c r="W3282" s="508">
        <v>4.3780000000000001</v>
      </c>
      <c r="X3282" s="508">
        <v>4.3780000000000001</v>
      </c>
      <c r="Y3282" s="508">
        <v>4.1079999999999997</v>
      </c>
      <c r="Z3282" s="508">
        <v>4.1050000000000004</v>
      </c>
      <c r="AA3282" s="508">
        <v>4.1050000000000004</v>
      </c>
      <c r="AB3282" s="508">
        <v>1.155</v>
      </c>
      <c r="AC3282" s="508">
        <v>1.153</v>
      </c>
      <c r="AD3282" s="508">
        <v>0.93700000000000006</v>
      </c>
      <c r="AE3282" s="508">
        <v>0.93700000000000006</v>
      </c>
      <c r="AF3282" s="508">
        <v>0.93200000000000005</v>
      </c>
      <c r="AG3282" s="508">
        <v>0.93200000000000005</v>
      </c>
      <c r="AH3282" s="508">
        <v>0.93</v>
      </c>
      <c r="AI3282" s="492">
        <v>0.93</v>
      </c>
      <c r="AJ3282" s="485"/>
    </row>
    <row r="3283" spans="2:36">
      <c r="B3283" s="136" t="s">
        <v>484</v>
      </c>
      <c r="C3283" s="132" t="s">
        <v>1372</v>
      </c>
      <c r="D3283" s="132" t="s">
        <v>283</v>
      </c>
      <c r="E3283" s="508">
        <v>9.3219999999999992</v>
      </c>
      <c r="F3283" s="508">
        <v>9.3219999999999992</v>
      </c>
      <c r="G3283" s="508">
        <v>9.3219999999999992</v>
      </c>
      <c r="H3283" s="508">
        <v>9.3219999999999992</v>
      </c>
      <c r="I3283" s="508">
        <v>9.3219999999999992</v>
      </c>
      <c r="J3283" s="508">
        <v>6.3620000000000001</v>
      </c>
      <c r="K3283" s="508">
        <v>6.3620000000000001</v>
      </c>
      <c r="L3283" s="508">
        <v>6.3620000000000001</v>
      </c>
      <c r="M3283" s="508">
        <v>6.3620000000000001</v>
      </c>
      <c r="N3283" s="508">
        <v>6.2510000000000003</v>
      </c>
      <c r="O3283" s="508">
        <v>6.2510000000000003</v>
      </c>
      <c r="P3283" s="508">
        <v>6.2510000000000003</v>
      </c>
      <c r="Q3283" s="508">
        <v>6.2510000000000003</v>
      </c>
      <c r="R3283" s="508">
        <v>4.3520000000000003</v>
      </c>
      <c r="S3283" s="508">
        <v>4.3520000000000003</v>
      </c>
      <c r="T3283" s="508">
        <v>4.351</v>
      </c>
      <c r="U3283" s="508">
        <v>4.2469999999999999</v>
      </c>
      <c r="V3283" s="508">
        <v>4.2469999999999999</v>
      </c>
      <c r="W3283" s="508">
        <v>4.2469999999999999</v>
      </c>
      <c r="X3283" s="508">
        <v>4.2469999999999999</v>
      </c>
      <c r="Y3283" s="508">
        <v>4.0209999999999999</v>
      </c>
      <c r="Z3283" s="508">
        <v>4.0170000000000003</v>
      </c>
      <c r="AA3283" s="508">
        <v>4.0170000000000003</v>
      </c>
      <c r="AB3283" s="508">
        <v>1.143</v>
      </c>
      <c r="AC3283" s="508">
        <v>1.1419999999999999</v>
      </c>
      <c r="AD3283" s="508">
        <v>0.92400000000000004</v>
      </c>
      <c r="AE3283" s="508">
        <v>0.92400000000000004</v>
      </c>
      <c r="AF3283" s="508">
        <v>0.92</v>
      </c>
      <c r="AG3283" s="508">
        <v>0.92</v>
      </c>
      <c r="AH3283" s="508">
        <v>0.91800000000000004</v>
      </c>
      <c r="AI3283" s="492">
        <v>0.91800000000000004</v>
      </c>
      <c r="AJ3283" s="485"/>
    </row>
    <row r="3284" spans="2:36">
      <c r="B3284" s="136" t="s">
        <v>486</v>
      </c>
      <c r="C3284" s="132" t="s">
        <v>1372</v>
      </c>
      <c r="D3284" s="132" t="s">
        <v>283</v>
      </c>
      <c r="E3284" s="508">
        <v>8.7799999999999994</v>
      </c>
      <c r="F3284" s="508">
        <v>8.7799999999999994</v>
      </c>
      <c r="G3284" s="508">
        <v>8.7799999999999994</v>
      </c>
      <c r="H3284" s="508">
        <v>8.7799999999999994</v>
      </c>
      <c r="I3284" s="508">
        <v>8.7799999999999994</v>
      </c>
      <c r="J3284" s="508">
        <v>6.1029999999999998</v>
      </c>
      <c r="K3284" s="508">
        <v>6.1029999999999998</v>
      </c>
      <c r="L3284" s="508">
        <v>6.1029999999999998</v>
      </c>
      <c r="M3284" s="508">
        <v>6.1029999999999998</v>
      </c>
      <c r="N3284" s="508">
        <v>5.9960000000000004</v>
      </c>
      <c r="O3284" s="508">
        <v>5.9960000000000004</v>
      </c>
      <c r="P3284" s="508">
        <v>5.9960000000000004</v>
      </c>
      <c r="Q3284" s="508">
        <v>5.9960000000000004</v>
      </c>
      <c r="R3284" s="508">
        <v>4.173</v>
      </c>
      <c r="S3284" s="508">
        <v>4.173</v>
      </c>
      <c r="T3284" s="508">
        <v>4.173</v>
      </c>
      <c r="U3284" s="508">
        <v>4.0949999999999998</v>
      </c>
      <c r="V3284" s="508">
        <v>4.0949999999999998</v>
      </c>
      <c r="W3284" s="508">
        <v>4.0949999999999998</v>
      </c>
      <c r="X3284" s="508">
        <v>4.0949999999999998</v>
      </c>
      <c r="Y3284" s="508">
        <v>3.8490000000000002</v>
      </c>
      <c r="Z3284" s="508">
        <v>3.8460000000000001</v>
      </c>
      <c r="AA3284" s="508">
        <v>3.8460000000000001</v>
      </c>
      <c r="AB3284" s="508">
        <v>1.0820000000000001</v>
      </c>
      <c r="AC3284" s="508">
        <v>1.08</v>
      </c>
      <c r="AD3284" s="508">
        <v>0.876</v>
      </c>
      <c r="AE3284" s="508">
        <v>0.876</v>
      </c>
      <c r="AF3284" s="508">
        <v>0.872</v>
      </c>
      <c r="AG3284" s="508">
        <v>0.872</v>
      </c>
      <c r="AH3284" s="508">
        <v>0.86899999999999999</v>
      </c>
      <c r="AI3284" s="492">
        <v>0.86899999999999999</v>
      </c>
      <c r="AJ3284" s="485"/>
    </row>
    <row r="3285" spans="2:36">
      <c r="B3285" s="136" t="s">
        <v>487</v>
      </c>
      <c r="C3285" s="132" t="s">
        <v>1372</v>
      </c>
      <c r="D3285" s="132" t="s">
        <v>283</v>
      </c>
      <c r="E3285" s="508">
        <v>9.1059999999999999</v>
      </c>
      <c r="F3285" s="508">
        <v>9.1059999999999999</v>
      </c>
      <c r="G3285" s="508">
        <v>9.1059999999999999</v>
      </c>
      <c r="H3285" s="508">
        <v>9.1059999999999999</v>
      </c>
      <c r="I3285" s="508">
        <v>9.1059999999999999</v>
      </c>
      <c r="J3285" s="508">
        <v>6.327</v>
      </c>
      <c r="K3285" s="508">
        <v>6.327</v>
      </c>
      <c r="L3285" s="508">
        <v>6.327</v>
      </c>
      <c r="M3285" s="508">
        <v>6.327</v>
      </c>
      <c r="N3285" s="508">
        <v>6.2160000000000002</v>
      </c>
      <c r="O3285" s="508">
        <v>6.2160000000000002</v>
      </c>
      <c r="P3285" s="508">
        <v>6.2160000000000002</v>
      </c>
      <c r="Q3285" s="508">
        <v>6.2160000000000002</v>
      </c>
      <c r="R3285" s="508">
        <v>4.3120000000000003</v>
      </c>
      <c r="S3285" s="508">
        <v>4.3120000000000003</v>
      </c>
      <c r="T3285" s="508">
        <v>4.3120000000000003</v>
      </c>
      <c r="U3285" s="508">
        <v>4.319</v>
      </c>
      <c r="V3285" s="508">
        <v>4.319</v>
      </c>
      <c r="W3285" s="508">
        <v>4.319</v>
      </c>
      <c r="X3285" s="508">
        <v>4.319</v>
      </c>
      <c r="Y3285" s="508">
        <v>4.0590000000000002</v>
      </c>
      <c r="Z3285" s="508">
        <v>4.0549999999999997</v>
      </c>
      <c r="AA3285" s="508">
        <v>4.0549999999999997</v>
      </c>
      <c r="AB3285" s="508">
        <v>1.143</v>
      </c>
      <c r="AC3285" s="508">
        <v>1.1419999999999999</v>
      </c>
      <c r="AD3285" s="508">
        <v>0.92800000000000005</v>
      </c>
      <c r="AE3285" s="508">
        <v>0.92800000000000005</v>
      </c>
      <c r="AF3285" s="508">
        <v>0.92300000000000004</v>
      </c>
      <c r="AG3285" s="508">
        <v>0.92300000000000004</v>
      </c>
      <c r="AH3285" s="508">
        <v>0.92</v>
      </c>
      <c r="AI3285" s="492">
        <v>0.92</v>
      </c>
      <c r="AJ3285" s="485"/>
    </row>
    <row r="3286" spans="2:36">
      <c r="B3286" s="136" t="s">
        <v>488</v>
      </c>
      <c r="C3286" s="132" t="s">
        <v>1372</v>
      </c>
      <c r="D3286" s="132" t="s">
        <v>283</v>
      </c>
      <c r="E3286" s="508">
        <v>8.9670000000000005</v>
      </c>
      <c r="F3286" s="508">
        <v>8.9670000000000005</v>
      </c>
      <c r="G3286" s="508">
        <v>8.9670000000000005</v>
      </c>
      <c r="H3286" s="508">
        <v>8.9670000000000005</v>
      </c>
      <c r="I3286" s="508">
        <v>8.9670000000000005</v>
      </c>
      <c r="J3286" s="508">
        <v>6.1520000000000001</v>
      </c>
      <c r="K3286" s="508">
        <v>6.1520000000000001</v>
      </c>
      <c r="L3286" s="508">
        <v>6.1520000000000001</v>
      </c>
      <c r="M3286" s="508">
        <v>6.1520000000000001</v>
      </c>
      <c r="N3286" s="508">
        <v>6.0449999999999999</v>
      </c>
      <c r="O3286" s="508">
        <v>6.0439999999999996</v>
      </c>
      <c r="P3286" s="508">
        <v>6.0449999999999999</v>
      </c>
      <c r="Q3286" s="508">
        <v>6.0449999999999999</v>
      </c>
      <c r="R3286" s="508">
        <v>4.2089999999999996</v>
      </c>
      <c r="S3286" s="508">
        <v>4.2089999999999996</v>
      </c>
      <c r="T3286" s="508">
        <v>4.2089999999999996</v>
      </c>
      <c r="U3286" s="508">
        <v>4.1539999999999999</v>
      </c>
      <c r="V3286" s="508">
        <v>4.1539999999999999</v>
      </c>
      <c r="W3286" s="508">
        <v>4.1539999999999999</v>
      </c>
      <c r="X3286" s="508">
        <v>4.1539999999999999</v>
      </c>
      <c r="Y3286" s="508">
        <v>3.919</v>
      </c>
      <c r="Z3286" s="508">
        <v>3.9159999999999999</v>
      </c>
      <c r="AA3286" s="508">
        <v>3.9159999999999999</v>
      </c>
      <c r="AB3286" s="508">
        <v>1.107</v>
      </c>
      <c r="AC3286" s="508">
        <v>1.1060000000000001</v>
      </c>
      <c r="AD3286" s="508">
        <v>0.89600000000000002</v>
      </c>
      <c r="AE3286" s="508">
        <v>0.89600000000000002</v>
      </c>
      <c r="AF3286" s="508">
        <v>0.89200000000000002</v>
      </c>
      <c r="AG3286" s="508">
        <v>0.89200000000000002</v>
      </c>
      <c r="AH3286" s="508">
        <v>0.88900000000000001</v>
      </c>
      <c r="AI3286" s="492">
        <v>0.88900000000000001</v>
      </c>
      <c r="AJ3286" s="485"/>
    </row>
    <row r="3287" spans="2:36">
      <c r="B3287" s="136" t="s">
        <v>489</v>
      </c>
      <c r="C3287" s="132" t="s">
        <v>1372</v>
      </c>
      <c r="D3287" s="132" t="s">
        <v>283</v>
      </c>
      <c r="E3287" s="508">
        <v>9.0359999999999996</v>
      </c>
      <c r="F3287" s="508">
        <v>9.0359999999999996</v>
      </c>
      <c r="G3287" s="508">
        <v>9.0359999999999996</v>
      </c>
      <c r="H3287" s="508">
        <v>9.0359999999999996</v>
      </c>
      <c r="I3287" s="508">
        <v>9.0359999999999996</v>
      </c>
      <c r="J3287" s="508">
        <v>6.2309999999999999</v>
      </c>
      <c r="K3287" s="508">
        <v>6.2309999999999999</v>
      </c>
      <c r="L3287" s="508">
        <v>6.2309999999999999</v>
      </c>
      <c r="M3287" s="508">
        <v>6.2309999999999999</v>
      </c>
      <c r="N3287" s="508">
        <v>6.1219999999999999</v>
      </c>
      <c r="O3287" s="508">
        <v>6.1219999999999999</v>
      </c>
      <c r="P3287" s="508">
        <v>6.1219999999999999</v>
      </c>
      <c r="Q3287" s="508">
        <v>6.1219999999999999</v>
      </c>
      <c r="R3287" s="508">
        <v>4.2690000000000001</v>
      </c>
      <c r="S3287" s="508">
        <v>4.2690000000000001</v>
      </c>
      <c r="T3287" s="508">
        <v>4.2690000000000001</v>
      </c>
      <c r="U3287" s="508">
        <v>4.1879999999999997</v>
      </c>
      <c r="V3287" s="508">
        <v>4.1879999999999997</v>
      </c>
      <c r="W3287" s="508">
        <v>4.1879999999999997</v>
      </c>
      <c r="X3287" s="508">
        <v>4.1879999999999997</v>
      </c>
      <c r="Y3287" s="508">
        <v>3.9550000000000001</v>
      </c>
      <c r="Z3287" s="508">
        <v>3.952</v>
      </c>
      <c r="AA3287" s="508">
        <v>3.952</v>
      </c>
      <c r="AB3287" s="508">
        <v>1.121</v>
      </c>
      <c r="AC3287" s="508">
        <v>1.1200000000000001</v>
      </c>
      <c r="AD3287" s="508">
        <v>0.90700000000000003</v>
      </c>
      <c r="AE3287" s="508">
        <v>0.90700000000000003</v>
      </c>
      <c r="AF3287" s="508">
        <v>0.90300000000000002</v>
      </c>
      <c r="AG3287" s="508">
        <v>0.90300000000000002</v>
      </c>
      <c r="AH3287" s="508">
        <v>0.90100000000000002</v>
      </c>
      <c r="AI3287" s="492">
        <v>0.90100000000000002</v>
      </c>
      <c r="AJ3287" s="485"/>
    </row>
    <row r="3288" spans="2:36">
      <c r="B3288" s="136" t="s">
        <v>490</v>
      </c>
      <c r="C3288" s="132" t="s">
        <v>1372</v>
      </c>
      <c r="D3288" s="132" t="s">
        <v>283</v>
      </c>
      <c r="E3288" s="508">
        <v>9.5269999999999992</v>
      </c>
      <c r="F3288" s="508">
        <v>9.5269999999999992</v>
      </c>
      <c r="G3288" s="508">
        <v>9.5269999999999992</v>
      </c>
      <c r="H3288" s="508">
        <v>9.5269999999999992</v>
      </c>
      <c r="I3288" s="508">
        <v>9.5269999999999992</v>
      </c>
      <c r="J3288" s="508">
        <v>6.5019999999999998</v>
      </c>
      <c r="K3288" s="508">
        <v>6.5019999999999998</v>
      </c>
      <c r="L3288" s="508">
        <v>6.5019999999999998</v>
      </c>
      <c r="M3288" s="508">
        <v>6.5019999999999998</v>
      </c>
      <c r="N3288" s="508">
        <v>6.3879999999999999</v>
      </c>
      <c r="O3288" s="508">
        <v>6.3890000000000002</v>
      </c>
      <c r="P3288" s="508">
        <v>6.3879999999999999</v>
      </c>
      <c r="Q3288" s="508">
        <v>6.3879999999999999</v>
      </c>
      <c r="R3288" s="508">
        <v>4.4020000000000001</v>
      </c>
      <c r="S3288" s="508">
        <v>4.4020000000000001</v>
      </c>
      <c r="T3288" s="508">
        <v>4.4020000000000001</v>
      </c>
      <c r="U3288" s="508">
        <v>4.4130000000000003</v>
      </c>
      <c r="V3288" s="508">
        <v>4.4130000000000003</v>
      </c>
      <c r="W3288" s="508">
        <v>4.4130000000000003</v>
      </c>
      <c r="X3288" s="508">
        <v>4.4130000000000003</v>
      </c>
      <c r="Y3288" s="508">
        <v>4.1840000000000002</v>
      </c>
      <c r="Z3288" s="508">
        <v>4.18</v>
      </c>
      <c r="AA3288" s="508">
        <v>4.18</v>
      </c>
      <c r="AB3288" s="508">
        <v>1.1910000000000001</v>
      </c>
      <c r="AC3288" s="508">
        <v>1.19</v>
      </c>
      <c r="AD3288" s="508">
        <v>0.96499999999999997</v>
      </c>
      <c r="AE3288" s="508">
        <v>0.96499999999999997</v>
      </c>
      <c r="AF3288" s="508">
        <v>0.96099999999999997</v>
      </c>
      <c r="AG3288" s="508">
        <v>0.96099999999999997</v>
      </c>
      <c r="AH3288" s="508">
        <v>0.95799999999999996</v>
      </c>
      <c r="AI3288" s="492">
        <v>0.95799999999999996</v>
      </c>
      <c r="AJ3288" s="485"/>
    </row>
    <row r="3289" spans="2:36">
      <c r="B3289" s="136" t="s">
        <v>435</v>
      </c>
      <c r="C3289" s="132" t="s">
        <v>1373</v>
      </c>
      <c r="D3289" s="132" t="s">
        <v>283</v>
      </c>
      <c r="E3289" s="508">
        <v>16.87</v>
      </c>
      <c r="F3289" s="508">
        <v>16.888000000000002</v>
      </c>
      <c r="G3289" s="508">
        <v>16.821999999999999</v>
      </c>
      <c r="H3289" s="508">
        <v>16.873000000000001</v>
      </c>
      <c r="I3289" s="508">
        <v>17.029</v>
      </c>
      <c r="J3289" s="508">
        <v>13.134</v>
      </c>
      <c r="K3289" s="508">
        <v>12.201000000000001</v>
      </c>
      <c r="L3289" s="508">
        <v>12.147</v>
      </c>
      <c r="M3289" s="508">
        <v>12.186999999999999</v>
      </c>
      <c r="N3289" s="508">
        <v>12.151</v>
      </c>
      <c r="O3289" s="508">
        <v>12.077999999999999</v>
      </c>
      <c r="P3289" s="508">
        <v>12.119</v>
      </c>
      <c r="Q3289" s="508">
        <v>12.095000000000001</v>
      </c>
      <c r="R3289" s="508">
        <v>11.278</v>
      </c>
      <c r="S3289" s="508">
        <v>6.7690000000000001</v>
      </c>
      <c r="T3289" s="508">
        <v>7.08</v>
      </c>
      <c r="U3289" s="508">
        <v>6.8419999999999996</v>
      </c>
      <c r="V3289" s="508">
        <v>6.96</v>
      </c>
      <c r="W3289" s="508">
        <v>5.5819999999999999</v>
      </c>
      <c r="X3289" s="508">
        <v>5.5910000000000002</v>
      </c>
      <c r="Y3289" s="508">
        <v>5.56</v>
      </c>
      <c r="Z3289" s="508">
        <v>5.5629999999999997</v>
      </c>
      <c r="AA3289" s="508">
        <v>3.35</v>
      </c>
      <c r="AB3289" s="508">
        <v>3.0990000000000002</v>
      </c>
      <c r="AC3289" s="508">
        <v>3.4260000000000002</v>
      </c>
      <c r="AD3289" s="508">
        <v>0.94899999999999995</v>
      </c>
      <c r="AE3289" s="508">
        <v>0.94799999999999995</v>
      </c>
      <c r="AF3289" s="508">
        <v>0.60699999999999998</v>
      </c>
      <c r="AG3289" s="508">
        <v>0.59799999999999998</v>
      </c>
      <c r="AH3289" s="508">
        <v>0.59599999999999997</v>
      </c>
      <c r="AI3289" s="492">
        <v>0.59599999999999997</v>
      </c>
      <c r="AJ3289" s="485"/>
    </row>
    <row r="3290" spans="2:36">
      <c r="B3290" s="136" t="s">
        <v>436</v>
      </c>
      <c r="C3290" s="132" t="s">
        <v>1373</v>
      </c>
      <c r="D3290" s="132" t="s">
        <v>283</v>
      </c>
      <c r="E3290" s="508">
        <v>18.260000000000002</v>
      </c>
      <c r="F3290" s="508">
        <v>18.276</v>
      </c>
      <c r="G3290" s="508">
        <v>18.213999999999999</v>
      </c>
      <c r="H3290" s="508">
        <v>18.262</v>
      </c>
      <c r="I3290" s="508">
        <v>18.408999999999999</v>
      </c>
      <c r="J3290" s="508">
        <v>14.201000000000001</v>
      </c>
      <c r="K3290" s="508">
        <v>13.19</v>
      </c>
      <c r="L3290" s="508">
        <v>13.138999999999999</v>
      </c>
      <c r="M3290" s="508">
        <v>13.177</v>
      </c>
      <c r="N3290" s="508">
        <v>13.143000000000001</v>
      </c>
      <c r="O3290" s="508">
        <v>13.074</v>
      </c>
      <c r="P3290" s="508">
        <v>13.118</v>
      </c>
      <c r="Q3290" s="508">
        <v>13.095000000000001</v>
      </c>
      <c r="R3290" s="508">
        <v>12.227</v>
      </c>
      <c r="S3290" s="508">
        <v>7.3719999999999999</v>
      </c>
      <c r="T3290" s="508">
        <v>7.7009999999999996</v>
      </c>
      <c r="U3290" s="508">
        <v>7.452</v>
      </c>
      <c r="V3290" s="508">
        <v>7.577</v>
      </c>
      <c r="W3290" s="508">
        <v>5.9939999999999998</v>
      </c>
      <c r="X3290" s="508">
        <v>6.0049999999999999</v>
      </c>
      <c r="Y3290" s="508">
        <v>5.9720000000000004</v>
      </c>
      <c r="Z3290" s="508">
        <v>5.9740000000000002</v>
      </c>
      <c r="AA3290" s="508">
        <v>3.5960000000000001</v>
      </c>
      <c r="AB3290" s="508">
        <v>3.327</v>
      </c>
      <c r="AC3290" s="508">
        <v>3.677</v>
      </c>
      <c r="AD3290" s="508">
        <v>1.0169999999999999</v>
      </c>
      <c r="AE3290" s="508">
        <v>1.0169999999999999</v>
      </c>
      <c r="AF3290" s="508">
        <v>0.65</v>
      </c>
      <c r="AG3290" s="508">
        <v>0.64</v>
      </c>
      <c r="AH3290" s="508">
        <v>0.63800000000000001</v>
      </c>
      <c r="AI3290" s="492">
        <v>0.63800000000000001</v>
      </c>
      <c r="AJ3290" s="485"/>
    </row>
    <row r="3291" spans="2:36">
      <c r="B3291" s="136" t="s">
        <v>437</v>
      </c>
      <c r="C3291" s="132" t="s">
        <v>1373</v>
      </c>
      <c r="D3291" s="132" t="s">
        <v>283</v>
      </c>
      <c r="E3291" s="508">
        <v>18.780999999999999</v>
      </c>
      <c r="F3291" s="508">
        <v>18.8</v>
      </c>
      <c r="G3291" s="508">
        <v>18.731000000000002</v>
      </c>
      <c r="H3291" s="508">
        <v>18.783999999999999</v>
      </c>
      <c r="I3291" s="508">
        <v>18.945</v>
      </c>
      <c r="J3291" s="508">
        <v>14.612</v>
      </c>
      <c r="K3291" s="508">
        <v>13.573</v>
      </c>
      <c r="L3291" s="508">
        <v>13.518000000000001</v>
      </c>
      <c r="M3291" s="508">
        <v>13.558999999999999</v>
      </c>
      <c r="N3291" s="508">
        <v>13.521000000000001</v>
      </c>
      <c r="O3291" s="508">
        <v>13.446</v>
      </c>
      <c r="P3291" s="508">
        <v>13.492000000000001</v>
      </c>
      <c r="Q3291" s="508">
        <v>13.467000000000001</v>
      </c>
      <c r="R3291" s="508">
        <v>12.452</v>
      </c>
      <c r="S3291" s="508">
        <v>7.4880000000000004</v>
      </c>
      <c r="T3291" s="508">
        <v>7.8259999999999996</v>
      </c>
      <c r="U3291" s="508">
        <v>7.5679999999999996</v>
      </c>
      <c r="V3291" s="508">
        <v>7.6970000000000001</v>
      </c>
      <c r="W3291" s="508">
        <v>6.0869999999999997</v>
      </c>
      <c r="X3291" s="508">
        <v>6.0960000000000001</v>
      </c>
      <c r="Y3291" s="508">
        <v>6.0650000000000004</v>
      </c>
      <c r="Z3291" s="508">
        <v>6.0679999999999996</v>
      </c>
      <c r="AA3291" s="508">
        <v>3.6419999999999999</v>
      </c>
      <c r="AB3291" s="508">
        <v>3.37</v>
      </c>
      <c r="AC3291" s="508">
        <v>3.7240000000000002</v>
      </c>
      <c r="AD3291" s="508">
        <v>1.0349999999999999</v>
      </c>
      <c r="AE3291" s="508">
        <v>1.034</v>
      </c>
      <c r="AF3291" s="508">
        <v>0.66100000000000003</v>
      </c>
      <c r="AG3291" s="508">
        <v>0.65100000000000002</v>
      </c>
      <c r="AH3291" s="508">
        <v>0.64900000000000002</v>
      </c>
      <c r="AI3291" s="492">
        <v>0.64900000000000002</v>
      </c>
      <c r="AJ3291" s="485"/>
    </row>
    <row r="3292" spans="2:36">
      <c r="B3292" s="136" t="s">
        <v>438</v>
      </c>
      <c r="C3292" s="132" t="s">
        <v>1373</v>
      </c>
      <c r="D3292" s="132" t="s">
        <v>283</v>
      </c>
      <c r="E3292" s="508">
        <v>16.376999999999999</v>
      </c>
      <c r="F3292" s="508">
        <v>16.393000000000001</v>
      </c>
      <c r="G3292" s="508">
        <v>16.331</v>
      </c>
      <c r="H3292" s="508">
        <v>16.379000000000001</v>
      </c>
      <c r="I3292" s="508">
        <v>16.524000000000001</v>
      </c>
      <c r="J3292" s="508">
        <v>12.744999999999999</v>
      </c>
      <c r="K3292" s="508">
        <v>11.840999999999999</v>
      </c>
      <c r="L3292" s="508">
        <v>11.791</v>
      </c>
      <c r="M3292" s="508">
        <v>11.827999999999999</v>
      </c>
      <c r="N3292" s="508">
        <v>11.794</v>
      </c>
      <c r="O3292" s="508">
        <v>11.726000000000001</v>
      </c>
      <c r="P3292" s="508">
        <v>11.766</v>
      </c>
      <c r="Q3292" s="508">
        <v>11.743</v>
      </c>
      <c r="R3292" s="508">
        <v>11.013</v>
      </c>
      <c r="S3292" s="508">
        <v>6.6609999999999996</v>
      </c>
      <c r="T3292" s="508">
        <v>6.9530000000000003</v>
      </c>
      <c r="U3292" s="508">
        <v>6.73</v>
      </c>
      <c r="V3292" s="508">
        <v>6.84</v>
      </c>
      <c r="W3292" s="508">
        <v>5.4219999999999997</v>
      </c>
      <c r="X3292" s="508">
        <v>5.4329999999999998</v>
      </c>
      <c r="Y3292" s="508">
        <v>5.4</v>
      </c>
      <c r="Z3292" s="508">
        <v>5.4029999999999996</v>
      </c>
      <c r="AA3292" s="508">
        <v>3.258</v>
      </c>
      <c r="AB3292" s="508">
        <v>3.0150000000000001</v>
      </c>
      <c r="AC3292" s="508">
        <v>3.331</v>
      </c>
      <c r="AD3292" s="508">
        <v>0.92</v>
      </c>
      <c r="AE3292" s="508">
        <v>0.92100000000000004</v>
      </c>
      <c r="AF3292" s="508">
        <v>0.58899999999999997</v>
      </c>
      <c r="AG3292" s="508">
        <v>0.57999999999999996</v>
      </c>
      <c r="AH3292" s="508">
        <v>0.57799999999999996</v>
      </c>
      <c r="AI3292" s="492">
        <v>0.57799999999999996</v>
      </c>
      <c r="AJ3292" s="485"/>
    </row>
    <row r="3293" spans="2:36">
      <c r="B3293" s="136" t="s">
        <v>439</v>
      </c>
      <c r="C3293" s="132" t="s">
        <v>1373</v>
      </c>
      <c r="D3293" s="132" t="s">
        <v>283</v>
      </c>
      <c r="E3293" s="508">
        <v>18.306999999999999</v>
      </c>
      <c r="F3293" s="508">
        <v>18.327000000000002</v>
      </c>
      <c r="G3293" s="508">
        <v>18.254999999999999</v>
      </c>
      <c r="H3293" s="508">
        <v>18.311</v>
      </c>
      <c r="I3293" s="508">
        <v>18.478000000000002</v>
      </c>
      <c r="J3293" s="508">
        <v>14.250999999999999</v>
      </c>
      <c r="K3293" s="508">
        <v>13.239000000000001</v>
      </c>
      <c r="L3293" s="508">
        <v>13.180999999999999</v>
      </c>
      <c r="M3293" s="508">
        <v>13.224</v>
      </c>
      <c r="N3293" s="508">
        <v>13.185</v>
      </c>
      <c r="O3293" s="508">
        <v>13.106999999999999</v>
      </c>
      <c r="P3293" s="508">
        <v>13.151</v>
      </c>
      <c r="Q3293" s="508">
        <v>13.125</v>
      </c>
      <c r="R3293" s="508">
        <v>12.12</v>
      </c>
      <c r="S3293" s="508">
        <v>7.3280000000000003</v>
      </c>
      <c r="T3293" s="508">
        <v>7.6509999999999998</v>
      </c>
      <c r="U3293" s="508">
        <v>7.4039999999999999</v>
      </c>
      <c r="V3293" s="508">
        <v>7.5259999999999998</v>
      </c>
      <c r="W3293" s="508">
        <v>5.9359999999999999</v>
      </c>
      <c r="X3293" s="508">
        <v>5.9450000000000003</v>
      </c>
      <c r="Y3293" s="508">
        <v>5.9139999999999997</v>
      </c>
      <c r="Z3293" s="508">
        <v>5.9160000000000004</v>
      </c>
      <c r="AA3293" s="508">
        <v>3.5529999999999999</v>
      </c>
      <c r="AB3293" s="508">
        <v>3.2890000000000001</v>
      </c>
      <c r="AC3293" s="508">
        <v>3.633</v>
      </c>
      <c r="AD3293" s="508">
        <v>1.01</v>
      </c>
      <c r="AE3293" s="508">
        <v>1.0089999999999999</v>
      </c>
      <c r="AF3293" s="508">
        <v>0.64600000000000002</v>
      </c>
      <c r="AG3293" s="508">
        <v>0.63600000000000001</v>
      </c>
      <c r="AH3293" s="508">
        <v>0.63400000000000001</v>
      </c>
      <c r="AI3293" s="492">
        <v>0.63400000000000001</v>
      </c>
      <c r="AJ3293" s="485"/>
    </row>
    <row r="3294" spans="2:36">
      <c r="B3294" s="136" t="s">
        <v>440</v>
      </c>
      <c r="C3294" s="132" t="s">
        <v>1373</v>
      </c>
      <c r="D3294" s="132" t="s">
        <v>283</v>
      </c>
      <c r="E3294" s="508">
        <v>18.582000000000001</v>
      </c>
      <c r="F3294" s="508">
        <v>18.600000000000001</v>
      </c>
      <c r="G3294" s="508">
        <v>18.533000000000001</v>
      </c>
      <c r="H3294" s="508">
        <v>18.585000000000001</v>
      </c>
      <c r="I3294" s="508">
        <v>18.744</v>
      </c>
      <c r="J3294" s="508">
        <v>14.457000000000001</v>
      </c>
      <c r="K3294" s="508">
        <v>13.429</v>
      </c>
      <c r="L3294" s="508">
        <v>13.374000000000001</v>
      </c>
      <c r="M3294" s="508">
        <v>13.414999999999999</v>
      </c>
      <c r="N3294" s="508">
        <v>13.378</v>
      </c>
      <c r="O3294" s="508">
        <v>13.303000000000001</v>
      </c>
      <c r="P3294" s="508">
        <v>13.349</v>
      </c>
      <c r="Q3294" s="508">
        <v>13.324</v>
      </c>
      <c r="R3294" s="508">
        <v>12.361000000000001</v>
      </c>
      <c r="S3294" s="508">
        <v>7.4560000000000004</v>
      </c>
      <c r="T3294" s="508">
        <v>7.7889999999999997</v>
      </c>
      <c r="U3294" s="508">
        <v>7.5350000000000001</v>
      </c>
      <c r="V3294" s="508">
        <v>7.6609999999999996</v>
      </c>
      <c r="W3294" s="508">
        <v>6.0620000000000003</v>
      </c>
      <c r="X3294" s="508">
        <v>6.0720000000000001</v>
      </c>
      <c r="Y3294" s="508">
        <v>6.0389999999999997</v>
      </c>
      <c r="Z3294" s="508">
        <v>6.0419999999999998</v>
      </c>
      <c r="AA3294" s="508">
        <v>3.6320000000000001</v>
      </c>
      <c r="AB3294" s="508">
        <v>3.3610000000000002</v>
      </c>
      <c r="AC3294" s="508">
        <v>3.714</v>
      </c>
      <c r="AD3294" s="508">
        <v>1.03</v>
      </c>
      <c r="AE3294" s="508">
        <v>1.0289999999999999</v>
      </c>
      <c r="AF3294" s="508">
        <v>0.65800000000000003</v>
      </c>
      <c r="AG3294" s="508">
        <v>0.64800000000000002</v>
      </c>
      <c r="AH3294" s="508">
        <v>0.64600000000000002</v>
      </c>
      <c r="AI3294" s="492">
        <v>0.64600000000000002</v>
      </c>
      <c r="AJ3294" s="485"/>
    </row>
    <row r="3295" spans="2:36">
      <c r="B3295" s="136" t="s">
        <v>441</v>
      </c>
      <c r="C3295" s="132" t="s">
        <v>1373</v>
      </c>
      <c r="D3295" s="132" t="s">
        <v>283</v>
      </c>
      <c r="E3295" s="508">
        <v>18.818999999999999</v>
      </c>
      <c r="F3295" s="508">
        <v>18.838000000000001</v>
      </c>
      <c r="G3295" s="508">
        <v>18.765999999999998</v>
      </c>
      <c r="H3295" s="508">
        <v>18.821999999999999</v>
      </c>
      <c r="I3295" s="508">
        <v>18.992000000000001</v>
      </c>
      <c r="J3295" s="508">
        <v>14.648</v>
      </c>
      <c r="K3295" s="508">
        <v>13.606999999999999</v>
      </c>
      <c r="L3295" s="508">
        <v>13.548</v>
      </c>
      <c r="M3295" s="508">
        <v>13.592000000000001</v>
      </c>
      <c r="N3295" s="508">
        <v>13.552</v>
      </c>
      <c r="O3295" s="508">
        <v>13.472</v>
      </c>
      <c r="P3295" s="508">
        <v>13.518000000000001</v>
      </c>
      <c r="Q3295" s="508">
        <v>13.492000000000001</v>
      </c>
      <c r="R3295" s="508">
        <v>12.441000000000001</v>
      </c>
      <c r="S3295" s="508">
        <v>7.5330000000000004</v>
      </c>
      <c r="T3295" s="508">
        <v>7.8639999999999999</v>
      </c>
      <c r="U3295" s="508">
        <v>7.6109999999999998</v>
      </c>
      <c r="V3295" s="508">
        <v>7.7359999999999998</v>
      </c>
      <c r="W3295" s="508">
        <v>6.0919999999999996</v>
      </c>
      <c r="X3295" s="508">
        <v>6.1</v>
      </c>
      <c r="Y3295" s="508">
        <v>6.069</v>
      </c>
      <c r="Z3295" s="508">
        <v>6.0709999999999997</v>
      </c>
      <c r="AA3295" s="508">
        <v>3.645</v>
      </c>
      <c r="AB3295" s="508">
        <v>3.3740000000000001</v>
      </c>
      <c r="AC3295" s="508">
        <v>3.7269999999999999</v>
      </c>
      <c r="AD3295" s="508">
        <v>1.036</v>
      </c>
      <c r="AE3295" s="508">
        <v>1.0349999999999999</v>
      </c>
      <c r="AF3295" s="508">
        <v>0.66300000000000003</v>
      </c>
      <c r="AG3295" s="508">
        <v>0.65200000000000002</v>
      </c>
      <c r="AH3295" s="508">
        <v>0.65</v>
      </c>
      <c r="AI3295" s="492">
        <v>0.65</v>
      </c>
      <c r="AJ3295" s="485"/>
    </row>
    <row r="3296" spans="2:36">
      <c r="B3296" s="136" t="s">
        <v>443</v>
      </c>
      <c r="C3296" s="132" t="s">
        <v>1373</v>
      </c>
      <c r="D3296" s="132" t="s">
        <v>283</v>
      </c>
      <c r="E3296" s="508">
        <v>18.324000000000002</v>
      </c>
      <c r="F3296" s="508">
        <v>18.343</v>
      </c>
      <c r="G3296" s="508">
        <v>18.27</v>
      </c>
      <c r="H3296" s="508">
        <v>18.327000000000002</v>
      </c>
      <c r="I3296" s="508">
        <v>18.498999999999999</v>
      </c>
      <c r="J3296" s="508">
        <v>14.266999999999999</v>
      </c>
      <c r="K3296" s="508">
        <v>13.250999999999999</v>
      </c>
      <c r="L3296" s="508">
        <v>13.191000000000001</v>
      </c>
      <c r="M3296" s="508">
        <v>13.234999999999999</v>
      </c>
      <c r="N3296" s="508">
        <v>13.195</v>
      </c>
      <c r="O3296" s="508">
        <v>13.115</v>
      </c>
      <c r="P3296" s="508">
        <v>13.16</v>
      </c>
      <c r="Q3296" s="508">
        <v>13.134</v>
      </c>
      <c r="R3296" s="508">
        <v>12.167999999999999</v>
      </c>
      <c r="S3296" s="508">
        <v>7.2670000000000003</v>
      </c>
      <c r="T3296" s="508">
        <v>7.6130000000000004</v>
      </c>
      <c r="U3296" s="508">
        <v>7.3490000000000002</v>
      </c>
      <c r="V3296" s="508">
        <v>7.48</v>
      </c>
      <c r="W3296" s="508">
        <v>6.0659999999999998</v>
      </c>
      <c r="X3296" s="508">
        <v>6.0730000000000004</v>
      </c>
      <c r="Y3296" s="508">
        <v>6.0430000000000001</v>
      </c>
      <c r="Z3296" s="508">
        <v>6.0460000000000003</v>
      </c>
      <c r="AA3296" s="508">
        <v>3.6389999999999998</v>
      </c>
      <c r="AB3296" s="508">
        <v>3.363</v>
      </c>
      <c r="AC3296" s="508">
        <v>3.722</v>
      </c>
      <c r="AD3296" s="508">
        <v>1.032</v>
      </c>
      <c r="AE3296" s="508">
        <v>1.0309999999999999</v>
      </c>
      <c r="AF3296" s="508">
        <v>0.66</v>
      </c>
      <c r="AG3296" s="508">
        <v>0.65</v>
      </c>
      <c r="AH3296" s="508">
        <v>0.64800000000000002</v>
      </c>
      <c r="AI3296" s="492">
        <v>0.64800000000000002</v>
      </c>
      <c r="AJ3296" s="485"/>
    </row>
    <row r="3297" spans="2:36">
      <c r="B3297" s="136" t="s">
        <v>445</v>
      </c>
      <c r="C3297" s="132" t="s">
        <v>1373</v>
      </c>
      <c r="D3297" s="132" t="s">
        <v>283</v>
      </c>
      <c r="E3297" s="508">
        <v>20.997</v>
      </c>
      <c r="F3297" s="508">
        <v>21.018999999999998</v>
      </c>
      <c r="G3297" s="508">
        <v>20.936</v>
      </c>
      <c r="H3297" s="508">
        <v>21.001000000000001</v>
      </c>
      <c r="I3297" s="508">
        <v>21.193999999999999</v>
      </c>
      <c r="J3297" s="508">
        <v>16.346</v>
      </c>
      <c r="K3297" s="508">
        <v>15.180999999999999</v>
      </c>
      <c r="L3297" s="508">
        <v>15.113</v>
      </c>
      <c r="M3297" s="508">
        <v>15.163</v>
      </c>
      <c r="N3297" s="508">
        <v>15.118</v>
      </c>
      <c r="O3297" s="508">
        <v>15.026999999999999</v>
      </c>
      <c r="P3297" s="508">
        <v>15.079000000000001</v>
      </c>
      <c r="Q3297" s="508">
        <v>15.048999999999999</v>
      </c>
      <c r="R3297" s="508">
        <v>13.682</v>
      </c>
      <c r="S3297" s="508">
        <v>8.1129999999999995</v>
      </c>
      <c r="T3297" s="508">
        <v>8.5109999999999992</v>
      </c>
      <c r="U3297" s="508">
        <v>8.2070000000000007</v>
      </c>
      <c r="V3297" s="508">
        <v>8.3580000000000005</v>
      </c>
      <c r="W3297" s="508">
        <v>6.7279999999999998</v>
      </c>
      <c r="X3297" s="508">
        <v>6.73</v>
      </c>
      <c r="Y3297" s="508">
        <v>6.7050000000000001</v>
      </c>
      <c r="Z3297" s="508">
        <v>6.7069999999999999</v>
      </c>
      <c r="AA3297" s="508">
        <v>4.01</v>
      </c>
      <c r="AB3297" s="508">
        <v>3.7069999999999999</v>
      </c>
      <c r="AC3297" s="508">
        <v>4.101</v>
      </c>
      <c r="AD3297" s="508">
        <v>1.147</v>
      </c>
      <c r="AE3297" s="508">
        <v>1.1439999999999999</v>
      </c>
      <c r="AF3297" s="508">
        <v>0.73299999999999998</v>
      </c>
      <c r="AG3297" s="508">
        <v>0.72199999999999998</v>
      </c>
      <c r="AH3297" s="508">
        <v>0.72</v>
      </c>
      <c r="AI3297" s="492">
        <v>0.72</v>
      </c>
      <c r="AJ3297" s="485"/>
    </row>
    <row r="3298" spans="2:36">
      <c r="B3298" s="136" t="s">
        <v>446</v>
      </c>
      <c r="C3298" s="132" t="s">
        <v>1373</v>
      </c>
      <c r="D3298" s="132" t="s">
        <v>283</v>
      </c>
      <c r="E3298" s="508">
        <v>17.576000000000001</v>
      </c>
      <c r="F3298" s="508">
        <v>17.596</v>
      </c>
      <c r="G3298" s="508">
        <v>17.521999999999998</v>
      </c>
      <c r="H3298" s="508">
        <v>17.579999999999998</v>
      </c>
      <c r="I3298" s="508">
        <v>17.754999999999999</v>
      </c>
      <c r="J3298" s="508">
        <v>13.692</v>
      </c>
      <c r="K3298" s="508">
        <v>12.721</v>
      </c>
      <c r="L3298" s="508">
        <v>12.66</v>
      </c>
      <c r="M3298" s="508">
        <v>12.705</v>
      </c>
      <c r="N3298" s="508">
        <v>12.664</v>
      </c>
      <c r="O3298" s="508">
        <v>12.582000000000001</v>
      </c>
      <c r="P3298" s="508">
        <v>12.625</v>
      </c>
      <c r="Q3298" s="508">
        <v>12.598000000000001</v>
      </c>
      <c r="R3298" s="508">
        <v>11.568</v>
      </c>
      <c r="S3298" s="508">
        <v>6.899</v>
      </c>
      <c r="T3298" s="508">
        <v>7.2240000000000002</v>
      </c>
      <c r="U3298" s="508">
        <v>6.9749999999999996</v>
      </c>
      <c r="V3298" s="508">
        <v>7.0979999999999999</v>
      </c>
      <c r="W3298" s="508">
        <v>5.6879999999999997</v>
      </c>
      <c r="X3298" s="508">
        <v>5.6920000000000002</v>
      </c>
      <c r="Y3298" s="508">
        <v>5.6660000000000004</v>
      </c>
      <c r="Z3298" s="508">
        <v>5.6680000000000001</v>
      </c>
      <c r="AA3298" s="508">
        <v>3.3969999999999998</v>
      </c>
      <c r="AB3298" s="508">
        <v>3.1429999999999998</v>
      </c>
      <c r="AC3298" s="508">
        <v>3.4740000000000002</v>
      </c>
      <c r="AD3298" s="508">
        <v>0.97</v>
      </c>
      <c r="AE3298" s="508">
        <v>0.96799999999999997</v>
      </c>
      <c r="AF3298" s="508">
        <v>0.62</v>
      </c>
      <c r="AG3298" s="508">
        <v>0.61099999999999999</v>
      </c>
      <c r="AH3298" s="508">
        <v>0.60899999999999999</v>
      </c>
      <c r="AI3298" s="492">
        <v>0.60899999999999999</v>
      </c>
      <c r="AJ3298" s="485"/>
    </row>
    <row r="3299" spans="2:36">
      <c r="B3299" s="136" t="s">
        <v>448</v>
      </c>
      <c r="C3299" s="132" t="s">
        <v>1373</v>
      </c>
      <c r="D3299" s="132" t="s">
        <v>283</v>
      </c>
      <c r="E3299" s="508">
        <v>16.669</v>
      </c>
      <c r="F3299" s="508">
        <v>16.686</v>
      </c>
      <c r="G3299" s="508">
        <v>16.622</v>
      </c>
      <c r="H3299" s="508">
        <v>16.672000000000001</v>
      </c>
      <c r="I3299" s="508">
        <v>16.821999999999999</v>
      </c>
      <c r="J3299" s="508">
        <v>12.974</v>
      </c>
      <c r="K3299" s="508">
        <v>12.054</v>
      </c>
      <c r="L3299" s="508">
        <v>12.002000000000001</v>
      </c>
      <c r="M3299" s="508">
        <v>12.04</v>
      </c>
      <c r="N3299" s="508">
        <v>12.005000000000001</v>
      </c>
      <c r="O3299" s="508">
        <v>11.935</v>
      </c>
      <c r="P3299" s="508">
        <v>11.975</v>
      </c>
      <c r="Q3299" s="508">
        <v>11.952</v>
      </c>
      <c r="R3299" s="508">
        <v>11.166</v>
      </c>
      <c r="S3299" s="508">
        <v>6.7409999999999997</v>
      </c>
      <c r="T3299" s="508">
        <v>7.04</v>
      </c>
      <c r="U3299" s="508">
        <v>6.8109999999999999</v>
      </c>
      <c r="V3299" s="508">
        <v>6.9249999999999998</v>
      </c>
      <c r="W3299" s="508">
        <v>5.5</v>
      </c>
      <c r="X3299" s="508">
        <v>5.51</v>
      </c>
      <c r="Y3299" s="508">
        <v>5.4779999999999998</v>
      </c>
      <c r="Z3299" s="508">
        <v>5.4809999999999999</v>
      </c>
      <c r="AA3299" s="508">
        <v>3.302</v>
      </c>
      <c r="AB3299" s="508">
        <v>3.056</v>
      </c>
      <c r="AC3299" s="508">
        <v>3.3759999999999999</v>
      </c>
      <c r="AD3299" s="508">
        <v>0.93400000000000005</v>
      </c>
      <c r="AE3299" s="508">
        <v>0.93400000000000005</v>
      </c>
      <c r="AF3299" s="508">
        <v>0.59799999999999998</v>
      </c>
      <c r="AG3299" s="508">
        <v>0.58899999999999997</v>
      </c>
      <c r="AH3299" s="508">
        <v>0.58699999999999997</v>
      </c>
      <c r="AI3299" s="492">
        <v>0.58699999999999997</v>
      </c>
      <c r="AJ3299" s="485"/>
    </row>
    <row r="3300" spans="2:36">
      <c r="B3300" s="136" t="s">
        <v>449</v>
      </c>
      <c r="C3300" s="132" t="s">
        <v>1373</v>
      </c>
      <c r="D3300" s="132" t="s">
        <v>283</v>
      </c>
      <c r="E3300" s="508">
        <v>16.882999999999999</v>
      </c>
      <c r="F3300" s="508">
        <v>16.902999999999999</v>
      </c>
      <c r="G3300" s="508">
        <v>16.829000000000001</v>
      </c>
      <c r="H3300" s="508">
        <v>16.887</v>
      </c>
      <c r="I3300" s="508">
        <v>17.061</v>
      </c>
      <c r="J3300" s="508">
        <v>13.156000000000001</v>
      </c>
      <c r="K3300" s="508">
        <v>12.224</v>
      </c>
      <c r="L3300" s="508">
        <v>12.163</v>
      </c>
      <c r="M3300" s="508">
        <v>12.208</v>
      </c>
      <c r="N3300" s="508">
        <v>12.167</v>
      </c>
      <c r="O3300" s="508">
        <v>12.085000000000001</v>
      </c>
      <c r="P3300" s="508">
        <v>12.127000000000001</v>
      </c>
      <c r="Q3300" s="508">
        <v>12.1</v>
      </c>
      <c r="R3300" s="508">
        <v>11.169</v>
      </c>
      <c r="S3300" s="508">
        <v>6.6829999999999998</v>
      </c>
      <c r="T3300" s="508">
        <v>6.9950000000000001</v>
      </c>
      <c r="U3300" s="508">
        <v>6.7539999999999996</v>
      </c>
      <c r="V3300" s="508">
        <v>6.8719999999999999</v>
      </c>
      <c r="W3300" s="508">
        <v>5.5369999999999999</v>
      </c>
      <c r="X3300" s="508">
        <v>5.5430000000000001</v>
      </c>
      <c r="Y3300" s="508">
        <v>5.5149999999999997</v>
      </c>
      <c r="Z3300" s="508">
        <v>5.5170000000000003</v>
      </c>
      <c r="AA3300" s="508">
        <v>3.3149999999999999</v>
      </c>
      <c r="AB3300" s="508">
        <v>3.0670000000000002</v>
      </c>
      <c r="AC3300" s="508">
        <v>3.391</v>
      </c>
      <c r="AD3300" s="508">
        <v>0.94399999999999995</v>
      </c>
      <c r="AE3300" s="508">
        <v>0.94299999999999995</v>
      </c>
      <c r="AF3300" s="508">
        <v>0.60399999999999998</v>
      </c>
      <c r="AG3300" s="508">
        <v>0.59499999999999997</v>
      </c>
      <c r="AH3300" s="508">
        <v>0.59299999999999997</v>
      </c>
      <c r="AI3300" s="492">
        <v>0.59299999999999997</v>
      </c>
      <c r="AJ3300" s="485"/>
    </row>
    <row r="3301" spans="2:36">
      <c r="B3301" s="136" t="s">
        <v>450</v>
      </c>
      <c r="C3301" s="132" t="s">
        <v>1373</v>
      </c>
      <c r="D3301" s="132" t="s">
        <v>283</v>
      </c>
      <c r="E3301" s="508">
        <v>17.600999999999999</v>
      </c>
      <c r="F3301" s="508">
        <v>17.617999999999999</v>
      </c>
      <c r="G3301" s="508">
        <v>17.555</v>
      </c>
      <c r="H3301" s="508">
        <v>17.603999999999999</v>
      </c>
      <c r="I3301" s="508">
        <v>17.751999999999999</v>
      </c>
      <c r="J3301" s="508">
        <v>13.692</v>
      </c>
      <c r="K3301" s="508">
        <v>12.718999999999999</v>
      </c>
      <c r="L3301" s="508">
        <v>12.667999999999999</v>
      </c>
      <c r="M3301" s="508">
        <v>12.705</v>
      </c>
      <c r="N3301" s="508">
        <v>12.670999999999999</v>
      </c>
      <c r="O3301" s="508">
        <v>12.602</v>
      </c>
      <c r="P3301" s="508">
        <v>12.645</v>
      </c>
      <c r="Q3301" s="508">
        <v>12.622</v>
      </c>
      <c r="R3301" s="508">
        <v>11.811999999999999</v>
      </c>
      <c r="S3301" s="508">
        <v>7.1109999999999998</v>
      </c>
      <c r="T3301" s="508">
        <v>7.4320000000000004</v>
      </c>
      <c r="U3301" s="508">
        <v>7.1879999999999997</v>
      </c>
      <c r="V3301" s="508">
        <v>7.31</v>
      </c>
      <c r="W3301" s="508">
        <v>5.8259999999999996</v>
      </c>
      <c r="X3301" s="508">
        <v>5.8369999999999997</v>
      </c>
      <c r="Y3301" s="508">
        <v>5.8040000000000003</v>
      </c>
      <c r="Z3301" s="508">
        <v>5.8070000000000004</v>
      </c>
      <c r="AA3301" s="508">
        <v>3.5</v>
      </c>
      <c r="AB3301" s="508">
        <v>3.2370000000000001</v>
      </c>
      <c r="AC3301" s="508">
        <v>3.5790000000000002</v>
      </c>
      <c r="AD3301" s="508">
        <v>0.98899999999999999</v>
      </c>
      <c r="AE3301" s="508">
        <v>0.98899999999999999</v>
      </c>
      <c r="AF3301" s="508">
        <v>0.63200000000000001</v>
      </c>
      <c r="AG3301" s="508">
        <v>0.622</v>
      </c>
      <c r="AH3301" s="508">
        <v>0.62</v>
      </c>
      <c r="AI3301" s="492">
        <v>0.62</v>
      </c>
      <c r="AJ3301" s="485"/>
    </row>
    <row r="3302" spans="2:36">
      <c r="B3302" s="136" t="s">
        <v>451</v>
      </c>
      <c r="C3302" s="132" t="s">
        <v>1373</v>
      </c>
      <c r="D3302" s="132" t="s">
        <v>283</v>
      </c>
      <c r="E3302" s="508">
        <v>20.187999999999999</v>
      </c>
      <c r="F3302" s="508">
        <v>20.209</v>
      </c>
      <c r="G3302" s="508">
        <v>20.131</v>
      </c>
      <c r="H3302" s="508">
        <v>20.192</v>
      </c>
      <c r="I3302" s="508">
        <v>20.375</v>
      </c>
      <c r="J3302" s="508">
        <v>15.715</v>
      </c>
      <c r="K3302" s="508">
        <v>14.596</v>
      </c>
      <c r="L3302" s="508">
        <v>14.532</v>
      </c>
      <c r="M3302" s="508">
        <v>14.579000000000001</v>
      </c>
      <c r="N3302" s="508">
        <v>14.536</v>
      </c>
      <c r="O3302" s="508">
        <v>14.45</v>
      </c>
      <c r="P3302" s="508">
        <v>14.5</v>
      </c>
      <c r="Q3302" s="508">
        <v>14.471</v>
      </c>
      <c r="R3302" s="508">
        <v>13.227</v>
      </c>
      <c r="S3302" s="508">
        <v>7.9050000000000002</v>
      </c>
      <c r="T3302" s="508">
        <v>8.2769999999999992</v>
      </c>
      <c r="U3302" s="508">
        <v>7.9930000000000003</v>
      </c>
      <c r="V3302" s="508">
        <v>8.1340000000000003</v>
      </c>
      <c r="W3302" s="508">
        <v>6.492</v>
      </c>
      <c r="X3302" s="508">
        <v>6.4960000000000004</v>
      </c>
      <c r="Y3302" s="508">
        <v>6.4690000000000003</v>
      </c>
      <c r="Z3302" s="508">
        <v>6.4710000000000001</v>
      </c>
      <c r="AA3302" s="508">
        <v>3.8740000000000001</v>
      </c>
      <c r="AB3302" s="508">
        <v>3.5840000000000001</v>
      </c>
      <c r="AC3302" s="508">
        <v>3.9620000000000002</v>
      </c>
      <c r="AD3302" s="508">
        <v>1.1060000000000001</v>
      </c>
      <c r="AE3302" s="508">
        <v>1.1040000000000001</v>
      </c>
      <c r="AF3302" s="508">
        <v>0.70699999999999996</v>
      </c>
      <c r="AG3302" s="508">
        <v>0.69599999999999995</v>
      </c>
      <c r="AH3302" s="508">
        <v>0.69399999999999995</v>
      </c>
      <c r="AI3302" s="492">
        <v>0.69399999999999995</v>
      </c>
      <c r="AJ3302" s="485"/>
    </row>
    <row r="3303" spans="2:36">
      <c r="B3303" s="136" t="s">
        <v>452</v>
      </c>
      <c r="C3303" s="132" t="s">
        <v>1373</v>
      </c>
      <c r="D3303" s="132" t="s">
        <v>283</v>
      </c>
      <c r="E3303" s="508">
        <v>18.276</v>
      </c>
      <c r="F3303" s="508">
        <v>18.295000000000002</v>
      </c>
      <c r="G3303" s="508">
        <v>18.225999999999999</v>
      </c>
      <c r="H3303" s="508">
        <v>18.28</v>
      </c>
      <c r="I3303" s="508">
        <v>18.440000000000001</v>
      </c>
      <c r="J3303" s="508">
        <v>14.223000000000001</v>
      </c>
      <c r="K3303" s="508">
        <v>13.211</v>
      </c>
      <c r="L3303" s="508">
        <v>13.154999999999999</v>
      </c>
      <c r="M3303" s="508">
        <v>13.196</v>
      </c>
      <c r="N3303" s="508">
        <v>13.159000000000001</v>
      </c>
      <c r="O3303" s="508">
        <v>13.084</v>
      </c>
      <c r="P3303" s="508">
        <v>13.129</v>
      </c>
      <c r="Q3303" s="508">
        <v>13.103999999999999</v>
      </c>
      <c r="R3303" s="508">
        <v>12.154</v>
      </c>
      <c r="S3303" s="508">
        <v>7.2809999999999997</v>
      </c>
      <c r="T3303" s="508">
        <v>7.6180000000000003</v>
      </c>
      <c r="U3303" s="508">
        <v>7.3609999999999998</v>
      </c>
      <c r="V3303" s="508">
        <v>7.4889999999999999</v>
      </c>
      <c r="W3303" s="508">
        <v>5.9909999999999997</v>
      </c>
      <c r="X3303" s="508">
        <v>5.9989999999999997</v>
      </c>
      <c r="Y3303" s="508">
        <v>5.9690000000000003</v>
      </c>
      <c r="Z3303" s="508">
        <v>5.9710000000000001</v>
      </c>
      <c r="AA3303" s="508">
        <v>3.59</v>
      </c>
      <c r="AB3303" s="508">
        <v>3.32</v>
      </c>
      <c r="AC3303" s="508">
        <v>3.6709999999999998</v>
      </c>
      <c r="AD3303" s="508">
        <v>1.018</v>
      </c>
      <c r="AE3303" s="508">
        <v>1.0169999999999999</v>
      </c>
      <c r="AF3303" s="508">
        <v>0.65100000000000002</v>
      </c>
      <c r="AG3303" s="508">
        <v>0.64100000000000001</v>
      </c>
      <c r="AH3303" s="508">
        <v>0.63900000000000001</v>
      </c>
      <c r="AI3303" s="492">
        <v>0.63900000000000001</v>
      </c>
      <c r="AJ3303" s="485"/>
    </row>
    <row r="3304" spans="2:36">
      <c r="B3304" s="136" t="s">
        <v>453</v>
      </c>
      <c r="C3304" s="132" t="s">
        <v>1373</v>
      </c>
      <c r="D3304" s="132" t="s">
        <v>283</v>
      </c>
      <c r="E3304" s="508">
        <v>17.108000000000001</v>
      </c>
      <c r="F3304" s="508">
        <v>17.123999999999999</v>
      </c>
      <c r="G3304" s="508">
        <v>17.062000000000001</v>
      </c>
      <c r="H3304" s="508">
        <v>17.11</v>
      </c>
      <c r="I3304" s="508">
        <v>17.254999999999999</v>
      </c>
      <c r="J3304" s="508">
        <v>13.308999999999999</v>
      </c>
      <c r="K3304" s="508">
        <v>12.364000000000001</v>
      </c>
      <c r="L3304" s="508">
        <v>12.313000000000001</v>
      </c>
      <c r="M3304" s="508">
        <v>12.35</v>
      </c>
      <c r="N3304" s="508">
        <v>12.317</v>
      </c>
      <c r="O3304" s="508">
        <v>12.249000000000001</v>
      </c>
      <c r="P3304" s="508">
        <v>12.291</v>
      </c>
      <c r="Q3304" s="508">
        <v>12.268000000000001</v>
      </c>
      <c r="R3304" s="508">
        <v>11.510999999999999</v>
      </c>
      <c r="S3304" s="508">
        <v>6.9370000000000003</v>
      </c>
      <c r="T3304" s="508">
        <v>7.2480000000000002</v>
      </c>
      <c r="U3304" s="508">
        <v>7.0119999999999996</v>
      </c>
      <c r="V3304" s="508">
        <v>7.13</v>
      </c>
      <c r="W3304" s="508">
        <v>5.68</v>
      </c>
      <c r="X3304" s="508">
        <v>5.6920000000000002</v>
      </c>
      <c r="Y3304" s="508">
        <v>5.6589999999999998</v>
      </c>
      <c r="Z3304" s="508">
        <v>5.6609999999999996</v>
      </c>
      <c r="AA3304" s="508">
        <v>3.4140000000000001</v>
      </c>
      <c r="AB3304" s="508">
        <v>3.1579999999999999</v>
      </c>
      <c r="AC3304" s="508">
        <v>3.4910000000000001</v>
      </c>
      <c r="AD3304" s="508">
        <v>0.96399999999999997</v>
      </c>
      <c r="AE3304" s="508">
        <v>0.96399999999999997</v>
      </c>
      <c r="AF3304" s="508">
        <v>0.61599999999999999</v>
      </c>
      <c r="AG3304" s="508">
        <v>0.60699999999999998</v>
      </c>
      <c r="AH3304" s="508">
        <v>0.60499999999999998</v>
      </c>
      <c r="AI3304" s="492">
        <v>0.60499999999999998</v>
      </c>
      <c r="AJ3304" s="485"/>
    </row>
    <row r="3305" spans="2:36">
      <c r="B3305" s="136" t="s">
        <v>454</v>
      </c>
      <c r="C3305" s="132" t="s">
        <v>1373</v>
      </c>
      <c r="D3305" s="132" t="s">
        <v>283</v>
      </c>
      <c r="E3305" s="508">
        <v>17.138999999999999</v>
      </c>
      <c r="F3305" s="508">
        <v>17.157</v>
      </c>
      <c r="G3305" s="508">
        <v>17.091999999999999</v>
      </c>
      <c r="H3305" s="508">
        <v>17.141999999999999</v>
      </c>
      <c r="I3305" s="508">
        <v>17.292999999999999</v>
      </c>
      <c r="J3305" s="508">
        <v>13.337999999999999</v>
      </c>
      <c r="K3305" s="508">
        <v>12.391</v>
      </c>
      <c r="L3305" s="508">
        <v>12.337999999999999</v>
      </c>
      <c r="M3305" s="508">
        <v>12.377000000000001</v>
      </c>
      <c r="N3305" s="508">
        <v>12.342000000000001</v>
      </c>
      <c r="O3305" s="508">
        <v>12.271000000000001</v>
      </c>
      <c r="P3305" s="508">
        <v>12.313000000000001</v>
      </c>
      <c r="Q3305" s="508">
        <v>12.289</v>
      </c>
      <c r="R3305" s="508">
        <v>11.492000000000001</v>
      </c>
      <c r="S3305" s="508">
        <v>6.9349999999999996</v>
      </c>
      <c r="T3305" s="508">
        <v>7.2439999999999998</v>
      </c>
      <c r="U3305" s="508">
        <v>7.008</v>
      </c>
      <c r="V3305" s="508">
        <v>7.1260000000000003</v>
      </c>
      <c r="W3305" s="508">
        <v>5.6740000000000004</v>
      </c>
      <c r="X3305" s="508">
        <v>5.6849999999999996</v>
      </c>
      <c r="Y3305" s="508">
        <v>5.6520000000000001</v>
      </c>
      <c r="Z3305" s="508">
        <v>5.6550000000000002</v>
      </c>
      <c r="AA3305" s="508">
        <v>3.4089999999999998</v>
      </c>
      <c r="AB3305" s="508">
        <v>3.1539999999999999</v>
      </c>
      <c r="AC3305" s="508">
        <v>3.4860000000000002</v>
      </c>
      <c r="AD3305" s="508">
        <v>0.96399999999999997</v>
      </c>
      <c r="AE3305" s="508">
        <v>0.96299999999999997</v>
      </c>
      <c r="AF3305" s="508">
        <v>0.61599999999999999</v>
      </c>
      <c r="AG3305" s="508">
        <v>0.60699999999999998</v>
      </c>
      <c r="AH3305" s="508">
        <v>0.60499999999999998</v>
      </c>
      <c r="AI3305" s="492">
        <v>0.60499999999999998</v>
      </c>
      <c r="AJ3305" s="485"/>
    </row>
    <row r="3306" spans="2:36">
      <c r="B3306" s="136" t="s">
        <v>455</v>
      </c>
      <c r="C3306" s="132" t="s">
        <v>1373</v>
      </c>
      <c r="D3306" s="132" t="s">
        <v>283</v>
      </c>
      <c r="E3306" s="508">
        <v>16.731000000000002</v>
      </c>
      <c r="F3306" s="508">
        <v>16.747</v>
      </c>
      <c r="G3306" s="508">
        <v>16.687000000000001</v>
      </c>
      <c r="H3306" s="508">
        <v>16.734000000000002</v>
      </c>
      <c r="I3306" s="508">
        <v>16.875</v>
      </c>
      <c r="J3306" s="508">
        <v>13.016</v>
      </c>
      <c r="K3306" s="508">
        <v>12.093</v>
      </c>
      <c r="L3306" s="508">
        <v>12.044</v>
      </c>
      <c r="M3306" s="508">
        <v>12.08</v>
      </c>
      <c r="N3306" s="508">
        <v>12.047000000000001</v>
      </c>
      <c r="O3306" s="508">
        <v>11.981</v>
      </c>
      <c r="P3306" s="508">
        <v>12.021000000000001</v>
      </c>
      <c r="Q3306" s="508">
        <v>11.999000000000001</v>
      </c>
      <c r="R3306" s="508">
        <v>11.247</v>
      </c>
      <c r="S3306" s="508">
        <v>6.8090000000000002</v>
      </c>
      <c r="T3306" s="508">
        <v>7.1050000000000004</v>
      </c>
      <c r="U3306" s="508">
        <v>6.88</v>
      </c>
      <c r="V3306" s="508">
        <v>6.992</v>
      </c>
      <c r="W3306" s="508">
        <v>5.5090000000000003</v>
      </c>
      <c r="X3306" s="508">
        <v>5.52</v>
      </c>
      <c r="Y3306" s="508">
        <v>5.4870000000000001</v>
      </c>
      <c r="Z3306" s="508">
        <v>5.49</v>
      </c>
      <c r="AA3306" s="508">
        <v>3.3079999999999998</v>
      </c>
      <c r="AB3306" s="508">
        <v>3.0619999999999998</v>
      </c>
      <c r="AC3306" s="508">
        <v>3.3820000000000001</v>
      </c>
      <c r="AD3306" s="508">
        <v>0.93500000000000005</v>
      </c>
      <c r="AE3306" s="508">
        <v>0.93500000000000005</v>
      </c>
      <c r="AF3306" s="508">
        <v>0.59799999999999998</v>
      </c>
      <c r="AG3306" s="508">
        <v>0.58899999999999997</v>
      </c>
      <c r="AH3306" s="508">
        <v>0.58699999999999997</v>
      </c>
      <c r="AI3306" s="492">
        <v>0.58699999999999997</v>
      </c>
      <c r="AJ3306" s="485"/>
    </row>
    <row r="3307" spans="2:36">
      <c r="B3307" s="136" t="s">
        <v>456</v>
      </c>
      <c r="C3307" s="132" t="s">
        <v>1373</v>
      </c>
      <c r="D3307" s="132" t="s">
        <v>283</v>
      </c>
      <c r="E3307" s="508">
        <v>16.390999999999998</v>
      </c>
      <c r="F3307" s="508">
        <v>16.408000000000001</v>
      </c>
      <c r="G3307" s="508">
        <v>16.343</v>
      </c>
      <c r="H3307" s="508">
        <v>16.393999999999998</v>
      </c>
      <c r="I3307" s="508">
        <v>16.547999999999998</v>
      </c>
      <c r="J3307" s="508">
        <v>12.762</v>
      </c>
      <c r="K3307" s="508">
        <v>11.858000000000001</v>
      </c>
      <c r="L3307" s="508">
        <v>11.804</v>
      </c>
      <c r="M3307" s="508">
        <v>11.843</v>
      </c>
      <c r="N3307" s="508">
        <v>11.808</v>
      </c>
      <c r="O3307" s="508">
        <v>11.736000000000001</v>
      </c>
      <c r="P3307" s="508">
        <v>11.775</v>
      </c>
      <c r="Q3307" s="508">
        <v>11.750999999999999</v>
      </c>
      <c r="R3307" s="508">
        <v>10.949</v>
      </c>
      <c r="S3307" s="508">
        <v>6.5970000000000004</v>
      </c>
      <c r="T3307" s="508">
        <v>6.8920000000000003</v>
      </c>
      <c r="U3307" s="508">
        <v>6.6660000000000004</v>
      </c>
      <c r="V3307" s="508">
        <v>6.7770000000000001</v>
      </c>
      <c r="W3307" s="508">
        <v>5.391</v>
      </c>
      <c r="X3307" s="508">
        <v>5.4</v>
      </c>
      <c r="Y3307" s="508">
        <v>5.3689999999999998</v>
      </c>
      <c r="Z3307" s="508">
        <v>5.3719999999999999</v>
      </c>
      <c r="AA3307" s="508">
        <v>3.2330000000000001</v>
      </c>
      <c r="AB3307" s="508">
        <v>2.992</v>
      </c>
      <c r="AC3307" s="508">
        <v>3.306</v>
      </c>
      <c r="AD3307" s="508">
        <v>0.91600000000000004</v>
      </c>
      <c r="AE3307" s="508">
        <v>0.91600000000000004</v>
      </c>
      <c r="AF3307" s="508">
        <v>0.58599999999999997</v>
      </c>
      <c r="AG3307" s="508">
        <v>0.57799999999999996</v>
      </c>
      <c r="AH3307" s="508">
        <v>0.57599999999999996</v>
      </c>
      <c r="AI3307" s="492">
        <v>0.57599999999999996</v>
      </c>
      <c r="AJ3307" s="485"/>
    </row>
    <row r="3308" spans="2:36">
      <c r="B3308" s="136" t="s">
        <v>457</v>
      </c>
      <c r="C3308" s="132" t="s">
        <v>1373</v>
      </c>
      <c r="D3308" s="132" t="s">
        <v>283</v>
      </c>
      <c r="E3308" s="508">
        <v>16.664000000000001</v>
      </c>
      <c r="F3308" s="508">
        <v>16.678999999999998</v>
      </c>
      <c r="G3308" s="508">
        <v>16.62</v>
      </c>
      <c r="H3308" s="508">
        <v>16.666</v>
      </c>
      <c r="I3308" s="508">
        <v>16.803999999999998</v>
      </c>
      <c r="J3308" s="508">
        <v>12.962</v>
      </c>
      <c r="K3308" s="508">
        <v>12.041</v>
      </c>
      <c r="L3308" s="508">
        <v>11.993</v>
      </c>
      <c r="M3308" s="508">
        <v>12.028</v>
      </c>
      <c r="N3308" s="508">
        <v>11.996</v>
      </c>
      <c r="O3308" s="508">
        <v>11.932</v>
      </c>
      <c r="P3308" s="508">
        <v>11.972</v>
      </c>
      <c r="Q3308" s="508">
        <v>11.95</v>
      </c>
      <c r="R3308" s="508">
        <v>11.29</v>
      </c>
      <c r="S3308" s="508">
        <v>6.8250000000000002</v>
      </c>
      <c r="T3308" s="508">
        <v>7.1269999999999998</v>
      </c>
      <c r="U3308" s="508">
        <v>6.8979999999999997</v>
      </c>
      <c r="V3308" s="508">
        <v>7.0119999999999996</v>
      </c>
      <c r="W3308" s="508">
        <v>5.5869999999999997</v>
      </c>
      <c r="X3308" s="508">
        <v>5.6</v>
      </c>
      <c r="Y3308" s="508">
        <v>5.5650000000000004</v>
      </c>
      <c r="Z3308" s="508">
        <v>5.5679999999999996</v>
      </c>
      <c r="AA3308" s="508">
        <v>3.3650000000000002</v>
      </c>
      <c r="AB3308" s="508">
        <v>3.113</v>
      </c>
      <c r="AC3308" s="508">
        <v>3.4409999999999998</v>
      </c>
      <c r="AD3308" s="508">
        <v>0.94699999999999995</v>
      </c>
      <c r="AE3308" s="508">
        <v>0.94799999999999995</v>
      </c>
      <c r="AF3308" s="508">
        <v>0.60599999999999998</v>
      </c>
      <c r="AG3308" s="508">
        <v>0.59599999999999997</v>
      </c>
      <c r="AH3308" s="508">
        <v>0.59399999999999997</v>
      </c>
      <c r="AI3308" s="492">
        <v>0.59399999999999997</v>
      </c>
      <c r="AJ3308" s="485"/>
    </row>
    <row r="3309" spans="2:36">
      <c r="B3309" s="136" t="s">
        <v>458</v>
      </c>
      <c r="C3309" s="132" t="s">
        <v>1373</v>
      </c>
      <c r="D3309" s="132" t="s">
        <v>283</v>
      </c>
      <c r="E3309" s="508">
        <v>18.059000000000001</v>
      </c>
      <c r="F3309" s="508">
        <v>18.077000000000002</v>
      </c>
      <c r="G3309" s="508">
        <v>18.007999999999999</v>
      </c>
      <c r="H3309" s="508">
        <v>18.062000000000001</v>
      </c>
      <c r="I3309" s="508">
        <v>18.225000000000001</v>
      </c>
      <c r="J3309" s="508">
        <v>14.055999999999999</v>
      </c>
      <c r="K3309" s="508">
        <v>13.058</v>
      </c>
      <c r="L3309" s="508">
        <v>13.000999999999999</v>
      </c>
      <c r="M3309" s="508">
        <v>13.042999999999999</v>
      </c>
      <c r="N3309" s="508">
        <v>13.005000000000001</v>
      </c>
      <c r="O3309" s="508">
        <v>12.929</v>
      </c>
      <c r="P3309" s="508">
        <v>12.973000000000001</v>
      </c>
      <c r="Q3309" s="508">
        <v>12.948</v>
      </c>
      <c r="R3309" s="508">
        <v>11.997999999999999</v>
      </c>
      <c r="S3309" s="508">
        <v>7.2560000000000002</v>
      </c>
      <c r="T3309" s="508">
        <v>7.5759999999999996</v>
      </c>
      <c r="U3309" s="508">
        <v>7.3310000000000004</v>
      </c>
      <c r="V3309" s="508">
        <v>7.4530000000000003</v>
      </c>
      <c r="W3309" s="508">
        <v>5.8890000000000002</v>
      </c>
      <c r="X3309" s="508">
        <v>5.8979999999999997</v>
      </c>
      <c r="Y3309" s="508">
        <v>5.867</v>
      </c>
      <c r="Z3309" s="508">
        <v>5.8689999999999998</v>
      </c>
      <c r="AA3309" s="508">
        <v>3.5289999999999999</v>
      </c>
      <c r="AB3309" s="508">
        <v>3.266</v>
      </c>
      <c r="AC3309" s="508">
        <v>3.6080000000000001</v>
      </c>
      <c r="AD3309" s="508">
        <v>1.0009999999999999</v>
      </c>
      <c r="AE3309" s="508">
        <v>1.0009999999999999</v>
      </c>
      <c r="AF3309" s="508">
        <v>0.64</v>
      </c>
      <c r="AG3309" s="508">
        <v>0.63100000000000001</v>
      </c>
      <c r="AH3309" s="508">
        <v>0.629</v>
      </c>
      <c r="AI3309" s="492">
        <v>0.629</v>
      </c>
      <c r="AJ3309" s="485"/>
    </row>
    <row r="3310" spans="2:36">
      <c r="B3310" s="136" t="s">
        <v>459</v>
      </c>
      <c r="C3310" s="132" t="s">
        <v>1373</v>
      </c>
      <c r="D3310" s="132" t="s">
        <v>283</v>
      </c>
      <c r="E3310" s="508">
        <v>18.396000000000001</v>
      </c>
      <c r="F3310" s="508">
        <v>18.414000000000001</v>
      </c>
      <c r="G3310" s="508">
        <v>18.344999999999999</v>
      </c>
      <c r="H3310" s="508">
        <v>18.399000000000001</v>
      </c>
      <c r="I3310" s="508">
        <v>18.561</v>
      </c>
      <c r="J3310" s="508">
        <v>14.316000000000001</v>
      </c>
      <c r="K3310" s="508">
        <v>13.298999999999999</v>
      </c>
      <c r="L3310" s="508">
        <v>13.242000000000001</v>
      </c>
      <c r="M3310" s="508">
        <v>13.284000000000001</v>
      </c>
      <c r="N3310" s="508">
        <v>13.246</v>
      </c>
      <c r="O3310" s="508">
        <v>13.17</v>
      </c>
      <c r="P3310" s="508">
        <v>13.215</v>
      </c>
      <c r="Q3310" s="508">
        <v>13.19</v>
      </c>
      <c r="R3310" s="508">
        <v>12.223000000000001</v>
      </c>
      <c r="S3310" s="508">
        <v>7.39</v>
      </c>
      <c r="T3310" s="508">
        <v>7.7169999999999996</v>
      </c>
      <c r="U3310" s="508">
        <v>7.4669999999999996</v>
      </c>
      <c r="V3310" s="508">
        <v>7.5910000000000002</v>
      </c>
      <c r="W3310" s="508">
        <v>5.9980000000000002</v>
      </c>
      <c r="X3310" s="508">
        <v>6.008</v>
      </c>
      <c r="Y3310" s="508">
        <v>5.9749999999999996</v>
      </c>
      <c r="Z3310" s="508">
        <v>5.9779999999999998</v>
      </c>
      <c r="AA3310" s="508">
        <v>3.5939999999999999</v>
      </c>
      <c r="AB3310" s="508">
        <v>3.3260000000000001</v>
      </c>
      <c r="AC3310" s="508">
        <v>3.6749999999999998</v>
      </c>
      <c r="AD3310" s="508">
        <v>1.0189999999999999</v>
      </c>
      <c r="AE3310" s="508">
        <v>1.0189999999999999</v>
      </c>
      <c r="AF3310" s="508">
        <v>0.65200000000000002</v>
      </c>
      <c r="AG3310" s="508">
        <v>0.64200000000000002</v>
      </c>
      <c r="AH3310" s="508">
        <v>0.64</v>
      </c>
      <c r="AI3310" s="492">
        <v>0.64</v>
      </c>
      <c r="AJ3310" s="485"/>
    </row>
    <row r="3311" spans="2:36">
      <c r="B3311" s="136" t="s">
        <v>460</v>
      </c>
      <c r="C3311" s="132" t="s">
        <v>1373</v>
      </c>
      <c r="D3311" s="132" t="s">
        <v>283</v>
      </c>
      <c r="E3311" s="508">
        <v>18.349</v>
      </c>
      <c r="F3311" s="508">
        <v>18.367000000000001</v>
      </c>
      <c r="G3311" s="508">
        <v>18.298999999999999</v>
      </c>
      <c r="H3311" s="508">
        <v>18.352</v>
      </c>
      <c r="I3311" s="508">
        <v>18.510000000000002</v>
      </c>
      <c r="J3311" s="508">
        <v>14.276999999999999</v>
      </c>
      <c r="K3311" s="508">
        <v>13.262</v>
      </c>
      <c r="L3311" s="508">
        <v>13.207000000000001</v>
      </c>
      <c r="M3311" s="508">
        <v>13.247</v>
      </c>
      <c r="N3311" s="508">
        <v>13.21</v>
      </c>
      <c r="O3311" s="508">
        <v>13.135999999999999</v>
      </c>
      <c r="P3311" s="508">
        <v>13.180999999999999</v>
      </c>
      <c r="Q3311" s="508">
        <v>13.156000000000001</v>
      </c>
      <c r="R3311" s="508">
        <v>12.208</v>
      </c>
      <c r="S3311" s="508">
        <v>7.3449999999999998</v>
      </c>
      <c r="T3311" s="508">
        <v>7.6779999999999999</v>
      </c>
      <c r="U3311" s="508">
        <v>7.4240000000000004</v>
      </c>
      <c r="V3311" s="508">
        <v>7.5510000000000002</v>
      </c>
      <c r="W3311" s="508">
        <v>5.9969999999999999</v>
      </c>
      <c r="X3311" s="508">
        <v>6.0060000000000002</v>
      </c>
      <c r="Y3311" s="508">
        <v>5.9740000000000002</v>
      </c>
      <c r="Z3311" s="508">
        <v>5.9770000000000003</v>
      </c>
      <c r="AA3311" s="508">
        <v>3.593</v>
      </c>
      <c r="AB3311" s="508">
        <v>3.3239999999999998</v>
      </c>
      <c r="AC3311" s="508">
        <v>3.6739999999999999</v>
      </c>
      <c r="AD3311" s="508">
        <v>1.0189999999999999</v>
      </c>
      <c r="AE3311" s="508">
        <v>1.018</v>
      </c>
      <c r="AF3311" s="508">
        <v>0.65100000000000002</v>
      </c>
      <c r="AG3311" s="508">
        <v>0.64100000000000001</v>
      </c>
      <c r="AH3311" s="508">
        <v>0.63900000000000001</v>
      </c>
      <c r="AI3311" s="492">
        <v>0.63900000000000001</v>
      </c>
      <c r="AJ3311" s="485"/>
    </row>
    <row r="3312" spans="2:36">
      <c r="B3312" s="136" t="s">
        <v>461</v>
      </c>
      <c r="C3312" s="132" t="s">
        <v>1373</v>
      </c>
      <c r="D3312" s="132" t="s">
        <v>283</v>
      </c>
      <c r="E3312" s="508">
        <v>17.882999999999999</v>
      </c>
      <c r="F3312" s="508">
        <v>17.901</v>
      </c>
      <c r="G3312" s="508">
        <v>17.834</v>
      </c>
      <c r="H3312" s="508">
        <v>17.885999999999999</v>
      </c>
      <c r="I3312" s="508">
        <v>18.042000000000002</v>
      </c>
      <c r="J3312" s="508">
        <v>13.916</v>
      </c>
      <c r="K3312" s="508">
        <v>12.926</v>
      </c>
      <c r="L3312" s="508">
        <v>12.872</v>
      </c>
      <c r="M3312" s="508">
        <v>12.911</v>
      </c>
      <c r="N3312" s="508">
        <v>12.875</v>
      </c>
      <c r="O3312" s="508">
        <v>12.802</v>
      </c>
      <c r="P3312" s="508">
        <v>12.846</v>
      </c>
      <c r="Q3312" s="508">
        <v>12.821999999999999</v>
      </c>
      <c r="R3312" s="508">
        <v>11.965</v>
      </c>
      <c r="S3312" s="508">
        <v>7.21</v>
      </c>
      <c r="T3312" s="508">
        <v>7.5350000000000001</v>
      </c>
      <c r="U3312" s="508">
        <v>7.2869999999999999</v>
      </c>
      <c r="V3312" s="508">
        <v>7.4109999999999996</v>
      </c>
      <c r="W3312" s="508">
        <v>5.9210000000000003</v>
      </c>
      <c r="X3312" s="508">
        <v>5.9320000000000004</v>
      </c>
      <c r="Y3312" s="508">
        <v>5.899</v>
      </c>
      <c r="Z3312" s="508">
        <v>5.9009999999999998</v>
      </c>
      <c r="AA3312" s="508">
        <v>3.556</v>
      </c>
      <c r="AB3312" s="508">
        <v>3.2890000000000001</v>
      </c>
      <c r="AC3312" s="508">
        <v>3.637</v>
      </c>
      <c r="AD3312" s="508">
        <v>1.006</v>
      </c>
      <c r="AE3312" s="508">
        <v>1.0049999999999999</v>
      </c>
      <c r="AF3312" s="508">
        <v>0.64300000000000002</v>
      </c>
      <c r="AG3312" s="508">
        <v>0.63300000000000001</v>
      </c>
      <c r="AH3312" s="508">
        <v>0.63100000000000001</v>
      </c>
      <c r="AI3312" s="492">
        <v>0.63100000000000001</v>
      </c>
      <c r="AJ3312" s="485"/>
    </row>
    <row r="3313" spans="2:36">
      <c r="B3313" s="136" t="s">
        <v>462</v>
      </c>
      <c r="C3313" s="132" t="s">
        <v>1373</v>
      </c>
      <c r="D3313" s="132" t="s">
        <v>283</v>
      </c>
      <c r="E3313" s="508">
        <v>16.016999999999999</v>
      </c>
      <c r="F3313" s="508">
        <v>16.035</v>
      </c>
      <c r="G3313" s="508">
        <v>15.971</v>
      </c>
      <c r="H3313" s="508">
        <v>16.02</v>
      </c>
      <c r="I3313" s="508">
        <v>16.170000000000002</v>
      </c>
      <c r="J3313" s="508">
        <v>12.471</v>
      </c>
      <c r="K3313" s="508">
        <v>11.586</v>
      </c>
      <c r="L3313" s="508">
        <v>11.534000000000001</v>
      </c>
      <c r="M3313" s="508">
        <v>11.571999999999999</v>
      </c>
      <c r="N3313" s="508">
        <v>11.538</v>
      </c>
      <c r="O3313" s="508">
        <v>11.468</v>
      </c>
      <c r="P3313" s="508">
        <v>11.507</v>
      </c>
      <c r="Q3313" s="508">
        <v>11.483000000000001</v>
      </c>
      <c r="R3313" s="508">
        <v>10.781000000000001</v>
      </c>
      <c r="S3313" s="508">
        <v>6.4880000000000004</v>
      </c>
      <c r="T3313" s="508">
        <v>6.782</v>
      </c>
      <c r="U3313" s="508">
        <v>6.5570000000000004</v>
      </c>
      <c r="V3313" s="508">
        <v>6.6680000000000001</v>
      </c>
      <c r="W3313" s="508">
        <v>5.3609999999999998</v>
      </c>
      <c r="X3313" s="508">
        <v>5.3710000000000004</v>
      </c>
      <c r="Y3313" s="508">
        <v>5.3390000000000004</v>
      </c>
      <c r="Z3313" s="508">
        <v>5.3419999999999996</v>
      </c>
      <c r="AA3313" s="508">
        <v>3.2250000000000001</v>
      </c>
      <c r="AB3313" s="508">
        <v>2.9820000000000002</v>
      </c>
      <c r="AC3313" s="508">
        <v>3.298</v>
      </c>
      <c r="AD3313" s="508">
        <v>0.91100000000000003</v>
      </c>
      <c r="AE3313" s="508">
        <v>0.91100000000000003</v>
      </c>
      <c r="AF3313" s="508">
        <v>0.58299999999999996</v>
      </c>
      <c r="AG3313" s="508">
        <v>0.57399999999999995</v>
      </c>
      <c r="AH3313" s="508">
        <v>0.57199999999999995</v>
      </c>
      <c r="AI3313" s="492">
        <v>0.57199999999999995</v>
      </c>
      <c r="AJ3313" s="485"/>
    </row>
    <row r="3314" spans="2:36">
      <c r="B3314" s="136" t="s">
        <v>463</v>
      </c>
      <c r="C3314" s="132" t="s">
        <v>1373</v>
      </c>
      <c r="D3314" s="132" t="s">
        <v>283</v>
      </c>
      <c r="E3314" s="508">
        <v>16.608000000000001</v>
      </c>
      <c r="F3314" s="508">
        <v>16.625</v>
      </c>
      <c r="G3314" s="508">
        <v>16.562000000000001</v>
      </c>
      <c r="H3314" s="508">
        <v>16.611000000000001</v>
      </c>
      <c r="I3314" s="508">
        <v>16.757000000000001</v>
      </c>
      <c r="J3314" s="508">
        <v>12.925000000000001</v>
      </c>
      <c r="K3314" s="508">
        <v>12.007999999999999</v>
      </c>
      <c r="L3314" s="508">
        <v>11.957000000000001</v>
      </c>
      <c r="M3314" s="508">
        <v>11.994999999999999</v>
      </c>
      <c r="N3314" s="508">
        <v>11.961</v>
      </c>
      <c r="O3314" s="508">
        <v>11.891999999999999</v>
      </c>
      <c r="P3314" s="508">
        <v>11.932</v>
      </c>
      <c r="Q3314" s="508">
        <v>11.91</v>
      </c>
      <c r="R3314" s="508">
        <v>11.169</v>
      </c>
      <c r="S3314" s="508">
        <v>6.7910000000000004</v>
      </c>
      <c r="T3314" s="508">
        <v>7.0810000000000004</v>
      </c>
      <c r="U3314" s="508">
        <v>6.859</v>
      </c>
      <c r="V3314" s="508">
        <v>6.9690000000000003</v>
      </c>
      <c r="W3314" s="508">
        <v>5.4909999999999997</v>
      </c>
      <c r="X3314" s="508">
        <v>5.5030000000000001</v>
      </c>
      <c r="Y3314" s="508">
        <v>5.4690000000000003</v>
      </c>
      <c r="Z3314" s="508">
        <v>5.4710000000000001</v>
      </c>
      <c r="AA3314" s="508">
        <v>3.3</v>
      </c>
      <c r="AB3314" s="508">
        <v>3.0550000000000002</v>
      </c>
      <c r="AC3314" s="508">
        <v>3.3740000000000001</v>
      </c>
      <c r="AD3314" s="508">
        <v>0.93200000000000005</v>
      </c>
      <c r="AE3314" s="508">
        <v>0.93200000000000005</v>
      </c>
      <c r="AF3314" s="508">
        <v>0.59599999999999997</v>
      </c>
      <c r="AG3314" s="508">
        <v>0.58699999999999997</v>
      </c>
      <c r="AH3314" s="508">
        <v>0.58499999999999996</v>
      </c>
      <c r="AI3314" s="492">
        <v>0.58499999999999996</v>
      </c>
      <c r="AJ3314" s="485"/>
    </row>
    <row r="3315" spans="2:36">
      <c r="B3315" s="136" t="s">
        <v>464</v>
      </c>
      <c r="C3315" s="132" t="s">
        <v>1373</v>
      </c>
      <c r="D3315" s="132" t="s">
        <v>283</v>
      </c>
      <c r="E3315" s="508">
        <v>16.850999999999999</v>
      </c>
      <c r="F3315" s="508">
        <v>16.866</v>
      </c>
      <c r="G3315" s="508">
        <v>16.808</v>
      </c>
      <c r="H3315" s="508">
        <v>16.853000000000002</v>
      </c>
      <c r="I3315" s="508">
        <v>16.989000000000001</v>
      </c>
      <c r="J3315" s="508">
        <v>13.105</v>
      </c>
      <c r="K3315" s="508">
        <v>12.173999999999999</v>
      </c>
      <c r="L3315" s="508">
        <v>12.127000000000001</v>
      </c>
      <c r="M3315" s="508">
        <v>12.161</v>
      </c>
      <c r="N3315" s="508">
        <v>12.13</v>
      </c>
      <c r="O3315" s="508">
        <v>12.066000000000001</v>
      </c>
      <c r="P3315" s="508">
        <v>12.106999999999999</v>
      </c>
      <c r="Q3315" s="508">
        <v>12.086</v>
      </c>
      <c r="R3315" s="508">
        <v>11.406000000000001</v>
      </c>
      <c r="S3315" s="508">
        <v>6.8949999999999996</v>
      </c>
      <c r="T3315" s="508">
        <v>7.1980000000000004</v>
      </c>
      <c r="U3315" s="508">
        <v>6.968</v>
      </c>
      <c r="V3315" s="508">
        <v>7.0830000000000002</v>
      </c>
      <c r="W3315" s="508">
        <v>5.6189999999999998</v>
      </c>
      <c r="X3315" s="508">
        <v>5.6319999999999997</v>
      </c>
      <c r="Y3315" s="508">
        <v>5.5970000000000004</v>
      </c>
      <c r="Z3315" s="508">
        <v>5.6</v>
      </c>
      <c r="AA3315" s="508">
        <v>3.3809999999999998</v>
      </c>
      <c r="AB3315" s="508">
        <v>3.1280000000000001</v>
      </c>
      <c r="AC3315" s="508">
        <v>3.4569999999999999</v>
      </c>
      <c r="AD3315" s="508">
        <v>0.95199999999999996</v>
      </c>
      <c r="AE3315" s="508">
        <v>0.95299999999999996</v>
      </c>
      <c r="AF3315" s="508">
        <v>0.60899999999999999</v>
      </c>
      <c r="AG3315" s="508">
        <v>0.6</v>
      </c>
      <c r="AH3315" s="508">
        <v>0.59699999999999998</v>
      </c>
      <c r="AI3315" s="492">
        <v>0.59699999999999998</v>
      </c>
      <c r="AJ3315" s="485"/>
    </row>
    <row r="3316" spans="2:36">
      <c r="B3316" s="136" t="s">
        <v>465</v>
      </c>
      <c r="C3316" s="132" t="s">
        <v>1373</v>
      </c>
      <c r="D3316" s="132" t="s">
        <v>283</v>
      </c>
      <c r="E3316" s="508">
        <v>17.152000000000001</v>
      </c>
      <c r="F3316" s="508">
        <v>17.167999999999999</v>
      </c>
      <c r="G3316" s="508">
        <v>17.108000000000001</v>
      </c>
      <c r="H3316" s="508">
        <v>17.155000000000001</v>
      </c>
      <c r="I3316" s="508">
        <v>17.297000000000001</v>
      </c>
      <c r="J3316" s="508">
        <v>13.342000000000001</v>
      </c>
      <c r="K3316" s="508">
        <v>12.394</v>
      </c>
      <c r="L3316" s="508">
        <v>12.345000000000001</v>
      </c>
      <c r="M3316" s="508">
        <v>12.381</v>
      </c>
      <c r="N3316" s="508">
        <v>12.348000000000001</v>
      </c>
      <c r="O3316" s="508">
        <v>12.282</v>
      </c>
      <c r="P3316" s="508">
        <v>12.324</v>
      </c>
      <c r="Q3316" s="508">
        <v>12.301</v>
      </c>
      <c r="R3316" s="508">
        <v>11.531000000000001</v>
      </c>
      <c r="S3316" s="508">
        <v>6.9720000000000004</v>
      </c>
      <c r="T3316" s="508">
        <v>7.2779999999999996</v>
      </c>
      <c r="U3316" s="508">
        <v>7.0449999999999999</v>
      </c>
      <c r="V3316" s="508">
        <v>7.1609999999999996</v>
      </c>
      <c r="W3316" s="508">
        <v>5.6520000000000001</v>
      </c>
      <c r="X3316" s="508">
        <v>5.6639999999999997</v>
      </c>
      <c r="Y3316" s="508">
        <v>5.63</v>
      </c>
      <c r="Z3316" s="508">
        <v>5.633</v>
      </c>
      <c r="AA3316" s="508">
        <v>3.3940000000000001</v>
      </c>
      <c r="AB3316" s="508">
        <v>3.141</v>
      </c>
      <c r="AC3316" s="508">
        <v>3.47</v>
      </c>
      <c r="AD3316" s="508">
        <v>0.95899999999999996</v>
      </c>
      <c r="AE3316" s="508">
        <v>0.95899999999999996</v>
      </c>
      <c r="AF3316" s="508">
        <v>0.61299999999999999</v>
      </c>
      <c r="AG3316" s="508">
        <v>0.60399999999999998</v>
      </c>
      <c r="AH3316" s="508">
        <v>0.60199999999999998</v>
      </c>
      <c r="AI3316" s="492">
        <v>0.60199999999999998</v>
      </c>
      <c r="AJ3316" s="485"/>
    </row>
    <row r="3317" spans="2:36">
      <c r="B3317" s="136" t="s">
        <v>466</v>
      </c>
      <c r="C3317" s="132" t="s">
        <v>1373</v>
      </c>
      <c r="D3317" s="132" t="s">
        <v>283</v>
      </c>
      <c r="E3317" s="508">
        <v>19.658999999999999</v>
      </c>
      <c r="F3317" s="508">
        <v>19.678000000000001</v>
      </c>
      <c r="G3317" s="508">
        <v>19.606999999999999</v>
      </c>
      <c r="H3317" s="508">
        <v>19.661999999999999</v>
      </c>
      <c r="I3317" s="508">
        <v>19.829999999999998</v>
      </c>
      <c r="J3317" s="508">
        <v>15.295</v>
      </c>
      <c r="K3317" s="508">
        <v>14.206</v>
      </c>
      <c r="L3317" s="508">
        <v>14.148</v>
      </c>
      <c r="M3317" s="508">
        <v>14.19</v>
      </c>
      <c r="N3317" s="508">
        <v>14.151999999999999</v>
      </c>
      <c r="O3317" s="508">
        <v>14.073</v>
      </c>
      <c r="P3317" s="508">
        <v>14.121</v>
      </c>
      <c r="Q3317" s="508">
        <v>14.095000000000001</v>
      </c>
      <c r="R3317" s="508">
        <v>12.981</v>
      </c>
      <c r="S3317" s="508">
        <v>7.7679999999999998</v>
      </c>
      <c r="T3317" s="508">
        <v>8.1300000000000008</v>
      </c>
      <c r="U3317" s="508">
        <v>7.8550000000000004</v>
      </c>
      <c r="V3317" s="508">
        <v>7.992</v>
      </c>
      <c r="W3317" s="508">
        <v>6.36</v>
      </c>
      <c r="X3317" s="508">
        <v>6.3680000000000003</v>
      </c>
      <c r="Y3317" s="508">
        <v>6.3380000000000001</v>
      </c>
      <c r="Z3317" s="508">
        <v>6.34</v>
      </c>
      <c r="AA3317" s="508">
        <v>3.802</v>
      </c>
      <c r="AB3317" s="508">
        <v>3.5169999999999999</v>
      </c>
      <c r="AC3317" s="508">
        <v>3.8879999999999999</v>
      </c>
      <c r="AD3317" s="508">
        <v>1.0820000000000001</v>
      </c>
      <c r="AE3317" s="508">
        <v>1.08</v>
      </c>
      <c r="AF3317" s="508">
        <v>0.69099999999999995</v>
      </c>
      <c r="AG3317" s="508">
        <v>0.68</v>
      </c>
      <c r="AH3317" s="508">
        <v>0.67800000000000005</v>
      </c>
      <c r="AI3317" s="492">
        <v>0.67800000000000005</v>
      </c>
      <c r="AJ3317" s="485"/>
    </row>
    <row r="3318" spans="2:36">
      <c r="B3318" s="136" t="s">
        <v>467</v>
      </c>
      <c r="C3318" s="132" t="s">
        <v>1373</v>
      </c>
      <c r="D3318" s="132" t="s">
        <v>283</v>
      </c>
      <c r="E3318" s="508">
        <v>17.661999999999999</v>
      </c>
      <c r="F3318" s="508">
        <v>17.678999999999998</v>
      </c>
      <c r="G3318" s="508">
        <v>17.614000000000001</v>
      </c>
      <c r="H3318" s="508">
        <v>17.664999999999999</v>
      </c>
      <c r="I3318" s="508">
        <v>17.818000000000001</v>
      </c>
      <c r="J3318" s="508">
        <v>13.743</v>
      </c>
      <c r="K3318" s="508">
        <v>12.766</v>
      </c>
      <c r="L3318" s="508">
        <v>12.712999999999999</v>
      </c>
      <c r="M3318" s="508">
        <v>12.752000000000001</v>
      </c>
      <c r="N3318" s="508">
        <v>12.715999999999999</v>
      </c>
      <c r="O3318" s="508">
        <v>12.644</v>
      </c>
      <c r="P3318" s="508">
        <v>12.686999999999999</v>
      </c>
      <c r="Q3318" s="508">
        <v>12.663</v>
      </c>
      <c r="R3318" s="508">
        <v>11.837999999999999</v>
      </c>
      <c r="S3318" s="508">
        <v>7.1340000000000003</v>
      </c>
      <c r="T3318" s="508">
        <v>7.4560000000000004</v>
      </c>
      <c r="U3318" s="508">
        <v>7.21</v>
      </c>
      <c r="V3318" s="508">
        <v>7.3319999999999999</v>
      </c>
      <c r="W3318" s="508">
        <v>5.8609999999999998</v>
      </c>
      <c r="X3318" s="508">
        <v>5.8719999999999999</v>
      </c>
      <c r="Y3318" s="508">
        <v>5.8390000000000004</v>
      </c>
      <c r="Z3318" s="508">
        <v>5.8410000000000002</v>
      </c>
      <c r="AA3318" s="508">
        <v>3.5219999999999998</v>
      </c>
      <c r="AB3318" s="508">
        <v>3.2570000000000001</v>
      </c>
      <c r="AC3318" s="508">
        <v>3.6019999999999999</v>
      </c>
      <c r="AD3318" s="508">
        <v>0.995</v>
      </c>
      <c r="AE3318" s="508">
        <v>0.995</v>
      </c>
      <c r="AF3318" s="508">
        <v>0.63600000000000001</v>
      </c>
      <c r="AG3318" s="508">
        <v>0.627</v>
      </c>
      <c r="AH3318" s="508">
        <v>0.625</v>
      </c>
      <c r="AI3318" s="492">
        <v>0.625</v>
      </c>
      <c r="AJ3318" s="485"/>
    </row>
    <row r="3319" spans="2:36">
      <c r="B3319" s="136" t="s">
        <v>468</v>
      </c>
      <c r="C3319" s="132" t="s">
        <v>1373</v>
      </c>
      <c r="D3319" s="132" t="s">
        <v>283</v>
      </c>
      <c r="E3319" s="508">
        <v>16.736999999999998</v>
      </c>
      <c r="F3319" s="508">
        <v>16.751999999999999</v>
      </c>
      <c r="G3319" s="508">
        <v>16.696000000000002</v>
      </c>
      <c r="H3319" s="508">
        <v>16.739999999999998</v>
      </c>
      <c r="I3319" s="508">
        <v>16.870999999999999</v>
      </c>
      <c r="J3319" s="508">
        <v>13.013999999999999</v>
      </c>
      <c r="K3319" s="508">
        <v>12.090999999999999</v>
      </c>
      <c r="L3319" s="508">
        <v>12.045</v>
      </c>
      <c r="M3319" s="508">
        <v>12.079000000000001</v>
      </c>
      <c r="N3319" s="508">
        <v>12.048</v>
      </c>
      <c r="O3319" s="508">
        <v>11.987</v>
      </c>
      <c r="P3319" s="508">
        <v>12.026999999999999</v>
      </c>
      <c r="Q3319" s="508">
        <v>12.006</v>
      </c>
      <c r="R3319" s="508">
        <v>11.279</v>
      </c>
      <c r="S3319" s="508">
        <v>6.85</v>
      </c>
      <c r="T3319" s="508">
        <v>7.141</v>
      </c>
      <c r="U3319" s="508">
        <v>6.92</v>
      </c>
      <c r="V3319" s="508">
        <v>7.0309999999999997</v>
      </c>
      <c r="W3319" s="508">
        <v>5.4909999999999997</v>
      </c>
      <c r="X3319" s="508">
        <v>5.5039999999999996</v>
      </c>
      <c r="Y3319" s="508">
        <v>5.47</v>
      </c>
      <c r="Z3319" s="508">
        <v>5.4729999999999999</v>
      </c>
      <c r="AA3319" s="508">
        <v>3.2970000000000002</v>
      </c>
      <c r="AB3319" s="508">
        <v>3.0539999999999998</v>
      </c>
      <c r="AC3319" s="508">
        <v>3.371</v>
      </c>
      <c r="AD3319" s="508">
        <v>0.93100000000000005</v>
      </c>
      <c r="AE3319" s="508">
        <v>0.93100000000000005</v>
      </c>
      <c r="AF3319" s="508">
        <v>0.59499999999999997</v>
      </c>
      <c r="AG3319" s="508">
        <v>0.58599999999999997</v>
      </c>
      <c r="AH3319" s="508">
        <v>0.58399999999999996</v>
      </c>
      <c r="AI3319" s="492">
        <v>0.58399999999999996</v>
      </c>
      <c r="AJ3319" s="485"/>
    </row>
    <row r="3320" spans="2:36">
      <c r="B3320" s="136" t="s">
        <v>469</v>
      </c>
      <c r="C3320" s="132" t="s">
        <v>1373</v>
      </c>
      <c r="D3320" s="132" t="s">
        <v>283</v>
      </c>
      <c r="E3320" s="508">
        <v>17.509</v>
      </c>
      <c r="F3320" s="508">
        <v>17.526</v>
      </c>
      <c r="G3320" s="508">
        <v>17.463999999999999</v>
      </c>
      <c r="H3320" s="508">
        <v>17.512</v>
      </c>
      <c r="I3320" s="508">
        <v>17.655999999999999</v>
      </c>
      <c r="J3320" s="508">
        <v>13.619</v>
      </c>
      <c r="K3320" s="508">
        <v>12.651</v>
      </c>
      <c r="L3320" s="508">
        <v>12.601000000000001</v>
      </c>
      <c r="M3320" s="508">
        <v>12.638</v>
      </c>
      <c r="N3320" s="508">
        <v>12.605</v>
      </c>
      <c r="O3320" s="508">
        <v>12.537000000000001</v>
      </c>
      <c r="P3320" s="508">
        <v>12.579000000000001</v>
      </c>
      <c r="Q3320" s="508">
        <v>12.557</v>
      </c>
      <c r="R3320" s="508">
        <v>11.760999999999999</v>
      </c>
      <c r="S3320" s="508">
        <v>7.0940000000000003</v>
      </c>
      <c r="T3320" s="508">
        <v>7.41</v>
      </c>
      <c r="U3320" s="508">
        <v>7.17</v>
      </c>
      <c r="V3320" s="508">
        <v>7.29</v>
      </c>
      <c r="W3320" s="508">
        <v>5.7809999999999997</v>
      </c>
      <c r="X3320" s="508">
        <v>5.7930000000000001</v>
      </c>
      <c r="Y3320" s="508">
        <v>5.7590000000000003</v>
      </c>
      <c r="Z3320" s="508">
        <v>5.7619999999999996</v>
      </c>
      <c r="AA3320" s="508">
        <v>3.472</v>
      </c>
      <c r="AB3320" s="508">
        <v>3.2120000000000002</v>
      </c>
      <c r="AC3320" s="508">
        <v>3.55</v>
      </c>
      <c r="AD3320" s="508">
        <v>0.98099999999999998</v>
      </c>
      <c r="AE3320" s="508">
        <v>0.98099999999999998</v>
      </c>
      <c r="AF3320" s="508">
        <v>0.627</v>
      </c>
      <c r="AG3320" s="508">
        <v>0.61699999999999999</v>
      </c>
      <c r="AH3320" s="508">
        <v>0.61499999999999999</v>
      </c>
      <c r="AI3320" s="492">
        <v>0.61499999999999999</v>
      </c>
      <c r="AJ3320" s="485"/>
    </row>
    <row r="3321" spans="2:36">
      <c r="B3321" s="136" t="s">
        <v>470</v>
      </c>
      <c r="C3321" s="132" t="s">
        <v>1373</v>
      </c>
      <c r="D3321" s="132" t="s">
        <v>283</v>
      </c>
      <c r="E3321" s="508">
        <v>18.672999999999998</v>
      </c>
      <c r="F3321" s="508">
        <v>18.692</v>
      </c>
      <c r="G3321" s="508">
        <v>18.620999999999999</v>
      </c>
      <c r="H3321" s="508">
        <v>18.675999999999998</v>
      </c>
      <c r="I3321" s="508">
        <v>18.841999999999999</v>
      </c>
      <c r="J3321" s="508">
        <v>14.532999999999999</v>
      </c>
      <c r="K3321" s="508">
        <v>13.499000000000001</v>
      </c>
      <c r="L3321" s="508">
        <v>13.441000000000001</v>
      </c>
      <c r="M3321" s="508">
        <v>13.484</v>
      </c>
      <c r="N3321" s="508">
        <v>13.445</v>
      </c>
      <c r="O3321" s="508">
        <v>13.367000000000001</v>
      </c>
      <c r="P3321" s="508">
        <v>13.413</v>
      </c>
      <c r="Q3321" s="508">
        <v>13.387</v>
      </c>
      <c r="R3321" s="508">
        <v>12.382</v>
      </c>
      <c r="S3321" s="508">
        <v>7.4489999999999998</v>
      </c>
      <c r="T3321" s="508">
        <v>7.7880000000000003</v>
      </c>
      <c r="U3321" s="508">
        <v>7.5289999999999999</v>
      </c>
      <c r="V3321" s="508">
        <v>7.6580000000000004</v>
      </c>
      <c r="W3321" s="508">
        <v>6.0949999999999998</v>
      </c>
      <c r="X3321" s="508">
        <v>6.1029999999999998</v>
      </c>
      <c r="Y3321" s="508">
        <v>6.0720000000000001</v>
      </c>
      <c r="Z3321" s="508">
        <v>6.0750000000000002</v>
      </c>
      <c r="AA3321" s="508">
        <v>3.6509999999999998</v>
      </c>
      <c r="AB3321" s="508">
        <v>3.3769999999999998</v>
      </c>
      <c r="AC3321" s="508">
        <v>3.7330000000000001</v>
      </c>
      <c r="AD3321" s="508">
        <v>1.036</v>
      </c>
      <c r="AE3321" s="508">
        <v>1.0349999999999999</v>
      </c>
      <c r="AF3321" s="508">
        <v>0.66300000000000003</v>
      </c>
      <c r="AG3321" s="508">
        <v>0.65200000000000002</v>
      </c>
      <c r="AH3321" s="508">
        <v>0.65100000000000002</v>
      </c>
      <c r="AI3321" s="492">
        <v>0.65</v>
      </c>
      <c r="AJ3321" s="485"/>
    </row>
    <row r="3322" spans="2:36">
      <c r="B3322" s="136" t="s">
        <v>471</v>
      </c>
      <c r="C3322" s="132" t="s">
        <v>1373</v>
      </c>
      <c r="D3322" s="132" t="s">
        <v>283</v>
      </c>
      <c r="E3322" s="508">
        <v>17.376000000000001</v>
      </c>
      <c r="F3322" s="508">
        <v>17.393999999999998</v>
      </c>
      <c r="G3322" s="508">
        <v>17.326000000000001</v>
      </c>
      <c r="H3322" s="508">
        <v>17.379000000000001</v>
      </c>
      <c r="I3322" s="508">
        <v>17.539000000000001</v>
      </c>
      <c r="J3322" s="508">
        <v>13.526999999999999</v>
      </c>
      <c r="K3322" s="508">
        <v>12.566000000000001</v>
      </c>
      <c r="L3322" s="508">
        <v>12.51</v>
      </c>
      <c r="M3322" s="508">
        <v>12.551</v>
      </c>
      <c r="N3322" s="508">
        <v>12.513999999999999</v>
      </c>
      <c r="O3322" s="508">
        <v>12.439</v>
      </c>
      <c r="P3322" s="508">
        <v>12.481</v>
      </c>
      <c r="Q3322" s="508">
        <v>12.457000000000001</v>
      </c>
      <c r="R3322" s="508">
        <v>11.593</v>
      </c>
      <c r="S3322" s="508">
        <v>6.9720000000000004</v>
      </c>
      <c r="T3322" s="508">
        <v>7.2889999999999997</v>
      </c>
      <c r="U3322" s="508">
        <v>7.0469999999999997</v>
      </c>
      <c r="V3322" s="508">
        <v>7.1669999999999998</v>
      </c>
      <c r="W3322" s="508">
        <v>5.7380000000000004</v>
      </c>
      <c r="X3322" s="508">
        <v>5.7469999999999999</v>
      </c>
      <c r="Y3322" s="508">
        <v>5.7160000000000002</v>
      </c>
      <c r="Z3322" s="508">
        <v>5.718</v>
      </c>
      <c r="AA3322" s="508">
        <v>3.4430000000000001</v>
      </c>
      <c r="AB3322" s="508">
        <v>3.1850000000000001</v>
      </c>
      <c r="AC3322" s="508">
        <v>3.5209999999999999</v>
      </c>
      <c r="AD3322" s="508">
        <v>0.97499999999999998</v>
      </c>
      <c r="AE3322" s="508">
        <v>0.97499999999999998</v>
      </c>
      <c r="AF3322" s="508">
        <v>0.624</v>
      </c>
      <c r="AG3322" s="508">
        <v>0.61399999999999999</v>
      </c>
      <c r="AH3322" s="508">
        <v>0.61299999999999999</v>
      </c>
      <c r="AI3322" s="492">
        <v>0.61299999999999999</v>
      </c>
      <c r="AJ3322" s="485"/>
    </row>
    <row r="3323" spans="2:36">
      <c r="B3323" s="136" t="s">
        <v>472</v>
      </c>
      <c r="C3323" s="132" t="s">
        <v>1373</v>
      </c>
      <c r="D3323" s="132" t="s">
        <v>283</v>
      </c>
      <c r="E3323" s="508">
        <v>16.812999999999999</v>
      </c>
      <c r="F3323" s="508">
        <v>16.829000000000001</v>
      </c>
      <c r="G3323" s="508">
        <v>16.77</v>
      </c>
      <c r="H3323" s="508">
        <v>16.815999999999999</v>
      </c>
      <c r="I3323" s="508">
        <v>16.952999999999999</v>
      </c>
      <c r="J3323" s="508">
        <v>13.077</v>
      </c>
      <c r="K3323" s="508">
        <v>12.148</v>
      </c>
      <c r="L3323" s="508">
        <v>12.1</v>
      </c>
      <c r="M3323" s="508">
        <v>12.135</v>
      </c>
      <c r="N3323" s="508">
        <v>12.103</v>
      </c>
      <c r="O3323" s="508">
        <v>12.039</v>
      </c>
      <c r="P3323" s="508">
        <v>12.079000000000001</v>
      </c>
      <c r="Q3323" s="508">
        <v>12.058</v>
      </c>
      <c r="R3323" s="508">
        <v>11.387</v>
      </c>
      <c r="S3323" s="508">
        <v>6.8810000000000002</v>
      </c>
      <c r="T3323" s="508">
        <v>7.1849999999999996</v>
      </c>
      <c r="U3323" s="508">
        <v>6.9539999999999997</v>
      </c>
      <c r="V3323" s="508">
        <v>7.07</v>
      </c>
      <c r="W3323" s="508">
        <v>5.6310000000000002</v>
      </c>
      <c r="X3323" s="508">
        <v>5.6449999999999996</v>
      </c>
      <c r="Y3323" s="508">
        <v>5.61</v>
      </c>
      <c r="Z3323" s="508">
        <v>5.6130000000000004</v>
      </c>
      <c r="AA3323" s="508">
        <v>3.391</v>
      </c>
      <c r="AB3323" s="508">
        <v>3.137</v>
      </c>
      <c r="AC3323" s="508">
        <v>3.468</v>
      </c>
      <c r="AD3323" s="508">
        <v>0.95399999999999996</v>
      </c>
      <c r="AE3323" s="508">
        <v>0.95499999999999996</v>
      </c>
      <c r="AF3323" s="508">
        <v>0.61</v>
      </c>
      <c r="AG3323" s="508">
        <v>0.60099999999999998</v>
      </c>
      <c r="AH3323" s="508">
        <v>0.59899999999999998</v>
      </c>
      <c r="AI3323" s="492">
        <v>0.59899999999999998</v>
      </c>
      <c r="AJ3323" s="485"/>
    </row>
    <row r="3324" spans="2:36">
      <c r="B3324" s="136" t="s">
        <v>473</v>
      </c>
      <c r="C3324" s="132" t="s">
        <v>1373</v>
      </c>
      <c r="D3324" s="132" t="s">
        <v>283</v>
      </c>
      <c r="E3324" s="508">
        <v>18.494</v>
      </c>
      <c r="F3324" s="508">
        <v>18.513000000000002</v>
      </c>
      <c r="G3324" s="508">
        <v>18.443000000000001</v>
      </c>
      <c r="H3324" s="508">
        <v>18.498000000000001</v>
      </c>
      <c r="I3324" s="508">
        <v>18.661999999999999</v>
      </c>
      <c r="J3324" s="508">
        <v>14.394</v>
      </c>
      <c r="K3324" s="508">
        <v>13.37</v>
      </c>
      <c r="L3324" s="508">
        <v>13.313000000000001</v>
      </c>
      <c r="M3324" s="508">
        <v>13.355</v>
      </c>
      <c r="N3324" s="508">
        <v>13.316000000000001</v>
      </c>
      <c r="O3324" s="508">
        <v>13.239000000000001</v>
      </c>
      <c r="P3324" s="508">
        <v>13.285</v>
      </c>
      <c r="Q3324" s="508">
        <v>13.259</v>
      </c>
      <c r="R3324" s="508">
        <v>12.273999999999999</v>
      </c>
      <c r="S3324" s="508">
        <v>7.3609999999999998</v>
      </c>
      <c r="T3324" s="508">
        <v>7.7009999999999996</v>
      </c>
      <c r="U3324" s="508">
        <v>7.4409999999999998</v>
      </c>
      <c r="V3324" s="508">
        <v>7.57</v>
      </c>
      <c r="W3324" s="508">
        <v>6.0510000000000002</v>
      </c>
      <c r="X3324" s="508">
        <v>6.0590000000000002</v>
      </c>
      <c r="Y3324" s="508">
        <v>6.0289999999999999</v>
      </c>
      <c r="Z3324" s="508">
        <v>6.0309999999999997</v>
      </c>
      <c r="AA3324" s="508">
        <v>3.625</v>
      </c>
      <c r="AB3324" s="508">
        <v>3.3519999999999999</v>
      </c>
      <c r="AC3324" s="508">
        <v>3.7069999999999999</v>
      </c>
      <c r="AD3324" s="508">
        <v>1.0289999999999999</v>
      </c>
      <c r="AE3324" s="508">
        <v>1.028</v>
      </c>
      <c r="AF3324" s="508">
        <v>0.65800000000000003</v>
      </c>
      <c r="AG3324" s="508">
        <v>0.64800000000000002</v>
      </c>
      <c r="AH3324" s="508">
        <v>0.64600000000000002</v>
      </c>
      <c r="AI3324" s="492">
        <v>0.64600000000000002</v>
      </c>
      <c r="AJ3324" s="485"/>
    </row>
    <row r="3325" spans="2:36">
      <c r="B3325" s="136" t="s">
        <v>474</v>
      </c>
      <c r="C3325" s="132" t="s">
        <v>1373</v>
      </c>
      <c r="D3325" s="132" t="s">
        <v>283</v>
      </c>
      <c r="E3325" s="508">
        <v>17.170000000000002</v>
      </c>
      <c r="F3325" s="508">
        <v>17.187999999999999</v>
      </c>
      <c r="G3325" s="508">
        <v>17.122</v>
      </c>
      <c r="H3325" s="508">
        <v>17.172999999999998</v>
      </c>
      <c r="I3325" s="508">
        <v>17.327000000000002</v>
      </c>
      <c r="J3325" s="508">
        <v>13.364000000000001</v>
      </c>
      <c r="K3325" s="508">
        <v>12.414999999999999</v>
      </c>
      <c r="L3325" s="508">
        <v>12.361000000000001</v>
      </c>
      <c r="M3325" s="508">
        <v>12.401</v>
      </c>
      <c r="N3325" s="508">
        <v>12.365</v>
      </c>
      <c r="O3325" s="508">
        <v>12.292999999999999</v>
      </c>
      <c r="P3325" s="508">
        <v>12.335000000000001</v>
      </c>
      <c r="Q3325" s="508">
        <v>12.311</v>
      </c>
      <c r="R3325" s="508">
        <v>11.48</v>
      </c>
      <c r="S3325" s="508">
        <v>6.9089999999999998</v>
      </c>
      <c r="T3325" s="508">
        <v>7.2210000000000001</v>
      </c>
      <c r="U3325" s="508">
        <v>6.9829999999999997</v>
      </c>
      <c r="V3325" s="508">
        <v>7.101</v>
      </c>
      <c r="W3325" s="508">
        <v>5.6639999999999997</v>
      </c>
      <c r="X3325" s="508">
        <v>5.673</v>
      </c>
      <c r="Y3325" s="508">
        <v>5.6420000000000003</v>
      </c>
      <c r="Z3325" s="508">
        <v>5.6449999999999996</v>
      </c>
      <c r="AA3325" s="508">
        <v>3.399</v>
      </c>
      <c r="AB3325" s="508">
        <v>3.145</v>
      </c>
      <c r="AC3325" s="508">
        <v>3.476</v>
      </c>
      <c r="AD3325" s="508">
        <v>0.96199999999999997</v>
      </c>
      <c r="AE3325" s="508">
        <v>0.96199999999999997</v>
      </c>
      <c r="AF3325" s="508">
        <v>0.61499999999999999</v>
      </c>
      <c r="AG3325" s="508">
        <v>0.60599999999999998</v>
      </c>
      <c r="AH3325" s="508">
        <v>0.60399999999999998</v>
      </c>
      <c r="AI3325" s="492">
        <v>0.60399999999999998</v>
      </c>
      <c r="AJ3325" s="485"/>
    </row>
    <row r="3326" spans="2:36">
      <c r="B3326" s="136" t="s">
        <v>475</v>
      </c>
      <c r="C3326" s="132" t="s">
        <v>1373</v>
      </c>
      <c r="D3326" s="132" t="s">
        <v>283</v>
      </c>
      <c r="E3326" s="508">
        <v>17.309000000000001</v>
      </c>
      <c r="F3326" s="508">
        <v>17.327000000000002</v>
      </c>
      <c r="G3326" s="508">
        <v>17.262</v>
      </c>
      <c r="H3326" s="508">
        <v>17.312000000000001</v>
      </c>
      <c r="I3326" s="508">
        <v>17.463000000000001</v>
      </c>
      <c r="J3326" s="508">
        <v>13.468999999999999</v>
      </c>
      <c r="K3326" s="508">
        <v>12.512</v>
      </c>
      <c r="L3326" s="508">
        <v>12.46</v>
      </c>
      <c r="M3326" s="508">
        <v>12.497999999999999</v>
      </c>
      <c r="N3326" s="508">
        <v>12.462999999999999</v>
      </c>
      <c r="O3326" s="508">
        <v>12.393000000000001</v>
      </c>
      <c r="P3326" s="508">
        <v>12.435</v>
      </c>
      <c r="Q3326" s="508">
        <v>12.411</v>
      </c>
      <c r="R3326" s="508">
        <v>11.608000000000001</v>
      </c>
      <c r="S3326" s="508">
        <v>6.9980000000000002</v>
      </c>
      <c r="T3326" s="508">
        <v>7.3120000000000003</v>
      </c>
      <c r="U3326" s="508">
        <v>7.0730000000000004</v>
      </c>
      <c r="V3326" s="508">
        <v>7.1920000000000002</v>
      </c>
      <c r="W3326" s="508">
        <v>5.7329999999999997</v>
      </c>
      <c r="X3326" s="508">
        <v>5.7439999999999998</v>
      </c>
      <c r="Y3326" s="508">
        <v>5.7110000000000003</v>
      </c>
      <c r="Z3326" s="508">
        <v>5.7130000000000001</v>
      </c>
      <c r="AA3326" s="508">
        <v>3.444</v>
      </c>
      <c r="AB3326" s="508">
        <v>3.1859999999999999</v>
      </c>
      <c r="AC3326" s="508">
        <v>3.5219999999999998</v>
      </c>
      <c r="AD3326" s="508">
        <v>0.97299999999999998</v>
      </c>
      <c r="AE3326" s="508">
        <v>0.97299999999999998</v>
      </c>
      <c r="AF3326" s="508">
        <v>0.622</v>
      </c>
      <c r="AG3326" s="508">
        <v>0.61299999999999999</v>
      </c>
      <c r="AH3326" s="508">
        <v>0.61099999999999999</v>
      </c>
      <c r="AI3326" s="492">
        <v>0.61099999999999999</v>
      </c>
      <c r="AJ3326" s="485"/>
    </row>
    <row r="3327" spans="2:36">
      <c r="B3327" s="136" t="s">
        <v>476</v>
      </c>
      <c r="C3327" s="132" t="s">
        <v>1373</v>
      </c>
      <c r="D3327" s="132" t="s">
        <v>283</v>
      </c>
      <c r="E3327" s="508">
        <v>18.257000000000001</v>
      </c>
      <c r="F3327" s="508">
        <v>18.274999999999999</v>
      </c>
      <c r="G3327" s="508">
        <v>18.207999999999998</v>
      </c>
      <c r="H3327" s="508">
        <v>18.260000000000002</v>
      </c>
      <c r="I3327" s="508">
        <v>18.417999999999999</v>
      </c>
      <c r="J3327" s="508">
        <v>14.206</v>
      </c>
      <c r="K3327" s="508">
        <v>13.196</v>
      </c>
      <c r="L3327" s="508">
        <v>13.141</v>
      </c>
      <c r="M3327" s="508">
        <v>13.182</v>
      </c>
      <c r="N3327" s="508">
        <v>13.145</v>
      </c>
      <c r="O3327" s="508">
        <v>13.071</v>
      </c>
      <c r="P3327" s="508">
        <v>13.116</v>
      </c>
      <c r="Q3327" s="508">
        <v>13.090999999999999</v>
      </c>
      <c r="R3327" s="508">
        <v>12.145</v>
      </c>
      <c r="S3327" s="508">
        <v>7.306</v>
      </c>
      <c r="T3327" s="508">
        <v>7.6369999999999996</v>
      </c>
      <c r="U3327" s="508">
        <v>7.3849999999999998</v>
      </c>
      <c r="V3327" s="508">
        <v>7.51</v>
      </c>
      <c r="W3327" s="508">
        <v>5.9610000000000003</v>
      </c>
      <c r="X3327" s="508">
        <v>5.97</v>
      </c>
      <c r="Y3327" s="508">
        <v>5.9390000000000001</v>
      </c>
      <c r="Z3327" s="508">
        <v>5.9409999999999998</v>
      </c>
      <c r="AA3327" s="508">
        <v>3.5710000000000002</v>
      </c>
      <c r="AB3327" s="508">
        <v>3.3039999999999998</v>
      </c>
      <c r="AC3327" s="508">
        <v>3.6520000000000001</v>
      </c>
      <c r="AD3327" s="508">
        <v>1.0129999999999999</v>
      </c>
      <c r="AE3327" s="508">
        <v>1.012</v>
      </c>
      <c r="AF3327" s="508">
        <v>0.64800000000000002</v>
      </c>
      <c r="AG3327" s="508">
        <v>0.63800000000000001</v>
      </c>
      <c r="AH3327" s="508">
        <v>0.63600000000000001</v>
      </c>
      <c r="AI3327" s="492">
        <v>0.63600000000000001</v>
      </c>
      <c r="AJ3327" s="485"/>
    </row>
    <row r="3328" spans="2:36">
      <c r="B3328" s="136" t="s">
        <v>478</v>
      </c>
      <c r="C3328" s="132" t="s">
        <v>1373</v>
      </c>
      <c r="D3328" s="132" t="s">
        <v>283</v>
      </c>
      <c r="E3328" s="508">
        <v>19.201000000000001</v>
      </c>
      <c r="F3328" s="508">
        <v>19.221</v>
      </c>
      <c r="G3328" s="508">
        <v>19.148</v>
      </c>
      <c r="H3328" s="508">
        <v>19.204999999999998</v>
      </c>
      <c r="I3328" s="508">
        <v>19.373999999999999</v>
      </c>
      <c r="J3328" s="508">
        <v>14.943</v>
      </c>
      <c r="K3328" s="508">
        <v>13.88</v>
      </c>
      <c r="L3328" s="508">
        <v>13.821999999999999</v>
      </c>
      <c r="M3328" s="508">
        <v>13.865</v>
      </c>
      <c r="N3328" s="508">
        <v>13.824999999999999</v>
      </c>
      <c r="O3328" s="508">
        <v>13.746</v>
      </c>
      <c r="P3328" s="508">
        <v>13.792999999999999</v>
      </c>
      <c r="Q3328" s="508">
        <v>13.766</v>
      </c>
      <c r="R3328" s="508">
        <v>12.673</v>
      </c>
      <c r="S3328" s="508">
        <v>7.6319999999999997</v>
      </c>
      <c r="T3328" s="508">
        <v>7.976</v>
      </c>
      <c r="U3328" s="508">
        <v>7.7130000000000001</v>
      </c>
      <c r="V3328" s="508">
        <v>7.8440000000000003</v>
      </c>
      <c r="W3328" s="508">
        <v>6.2</v>
      </c>
      <c r="X3328" s="508">
        <v>6.2080000000000002</v>
      </c>
      <c r="Y3328" s="508">
        <v>6.1779999999999999</v>
      </c>
      <c r="Z3328" s="508">
        <v>6.18</v>
      </c>
      <c r="AA3328" s="508">
        <v>3.7069999999999999</v>
      </c>
      <c r="AB3328" s="508">
        <v>3.431</v>
      </c>
      <c r="AC3328" s="508">
        <v>3.7909999999999999</v>
      </c>
      <c r="AD3328" s="508">
        <v>1.0549999999999999</v>
      </c>
      <c r="AE3328" s="508">
        <v>1.0529999999999999</v>
      </c>
      <c r="AF3328" s="508">
        <v>0.67400000000000004</v>
      </c>
      <c r="AG3328" s="508">
        <v>0.66400000000000003</v>
      </c>
      <c r="AH3328" s="508">
        <v>0.66200000000000003</v>
      </c>
      <c r="AI3328" s="492">
        <v>0.66200000000000003</v>
      </c>
      <c r="AJ3328" s="485"/>
    </row>
    <row r="3329" spans="2:36">
      <c r="B3329" s="136" t="s">
        <v>479</v>
      </c>
      <c r="C3329" s="132" t="s">
        <v>1373</v>
      </c>
      <c r="D3329" s="132" t="s">
        <v>283</v>
      </c>
      <c r="E3329" s="508">
        <v>16.856000000000002</v>
      </c>
      <c r="F3329" s="508">
        <v>16.873000000000001</v>
      </c>
      <c r="G3329" s="508">
        <v>16.809000000000001</v>
      </c>
      <c r="H3329" s="508">
        <v>16.859000000000002</v>
      </c>
      <c r="I3329" s="508">
        <v>17.007999999999999</v>
      </c>
      <c r="J3329" s="508">
        <v>13.118</v>
      </c>
      <c r="K3329" s="508">
        <v>12.186999999999999</v>
      </c>
      <c r="L3329" s="508">
        <v>12.135999999999999</v>
      </c>
      <c r="M3329" s="508">
        <v>12.173999999999999</v>
      </c>
      <c r="N3329" s="508">
        <v>12.138999999999999</v>
      </c>
      <c r="O3329" s="508">
        <v>12.069000000000001</v>
      </c>
      <c r="P3329" s="508">
        <v>12.11</v>
      </c>
      <c r="Q3329" s="508">
        <v>12.086</v>
      </c>
      <c r="R3329" s="508">
        <v>11.276</v>
      </c>
      <c r="S3329" s="508">
        <v>6.7949999999999999</v>
      </c>
      <c r="T3329" s="508">
        <v>7.0990000000000002</v>
      </c>
      <c r="U3329" s="508">
        <v>6.867</v>
      </c>
      <c r="V3329" s="508">
        <v>6.9820000000000002</v>
      </c>
      <c r="W3329" s="508">
        <v>5.5369999999999999</v>
      </c>
      <c r="X3329" s="508">
        <v>5.5469999999999997</v>
      </c>
      <c r="Y3329" s="508">
        <v>5.516</v>
      </c>
      <c r="Z3329" s="508">
        <v>5.5179999999999998</v>
      </c>
      <c r="AA3329" s="508">
        <v>3.3210000000000002</v>
      </c>
      <c r="AB3329" s="508">
        <v>3.0739999999999998</v>
      </c>
      <c r="AC3329" s="508">
        <v>3.3959999999999999</v>
      </c>
      <c r="AD3329" s="508">
        <v>0.94099999999999995</v>
      </c>
      <c r="AE3329" s="508">
        <v>0.94</v>
      </c>
      <c r="AF3329" s="508">
        <v>0.60199999999999998</v>
      </c>
      <c r="AG3329" s="508">
        <v>0.59199999999999997</v>
      </c>
      <c r="AH3329" s="508">
        <v>0.59099999999999997</v>
      </c>
      <c r="AI3329" s="492">
        <v>0.59099999999999997</v>
      </c>
      <c r="AJ3329" s="485"/>
    </row>
    <row r="3330" spans="2:36">
      <c r="B3330" s="136" t="s">
        <v>480</v>
      </c>
      <c r="C3330" s="132" t="s">
        <v>1373</v>
      </c>
      <c r="D3330" s="132" t="s">
        <v>283</v>
      </c>
      <c r="E3330" s="508">
        <v>16.696999999999999</v>
      </c>
      <c r="F3330" s="508">
        <v>16.712</v>
      </c>
      <c r="G3330" s="508">
        <v>16.655000000000001</v>
      </c>
      <c r="H3330" s="508">
        <v>16.699000000000002</v>
      </c>
      <c r="I3330" s="508">
        <v>16.834</v>
      </c>
      <c r="J3330" s="508">
        <v>12.984999999999999</v>
      </c>
      <c r="K3330" s="508">
        <v>12.063000000000001</v>
      </c>
      <c r="L3330" s="508">
        <v>12.016999999999999</v>
      </c>
      <c r="M3330" s="508">
        <v>12.051</v>
      </c>
      <c r="N3330" s="508">
        <v>12.02</v>
      </c>
      <c r="O3330" s="508">
        <v>11.957000000000001</v>
      </c>
      <c r="P3330" s="508">
        <v>11.997</v>
      </c>
      <c r="Q3330" s="508">
        <v>11.976000000000001</v>
      </c>
      <c r="R3330" s="508">
        <v>11.295999999999999</v>
      </c>
      <c r="S3330" s="508">
        <v>6.8479999999999999</v>
      </c>
      <c r="T3330" s="508">
        <v>7.1440000000000001</v>
      </c>
      <c r="U3330" s="508">
        <v>6.9189999999999996</v>
      </c>
      <c r="V3330" s="508">
        <v>7.032</v>
      </c>
      <c r="W3330" s="508">
        <v>5.5430000000000001</v>
      </c>
      <c r="X3330" s="508">
        <v>5.556</v>
      </c>
      <c r="Y3330" s="508">
        <v>5.5209999999999999</v>
      </c>
      <c r="Z3330" s="508">
        <v>5.524</v>
      </c>
      <c r="AA3330" s="508">
        <v>3.3340000000000001</v>
      </c>
      <c r="AB3330" s="508">
        <v>3.0859999999999999</v>
      </c>
      <c r="AC3330" s="508">
        <v>3.4089999999999998</v>
      </c>
      <c r="AD3330" s="508">
        <v>0.93899999999999995</v>
      </c>
      <c r="AE3330" s="508">
        <v>0.94</v>
      </c>
      <c r="AF3330" s="508">
        <v>0.60099999999999998</v>
      </c>
      <c r="AG3330" s="508">
        <v>0.59099999999999997</v>
      </c>
      <c r="AH3330" s="508">
        <v>0.58899999999999997</v>
      </c>
      <c r="AI3330" s="492">
        <v>0.58899999999999997</v>
      </c>
      <c r="AJ3330" s="485"/>
    </row>
    <row r="3331" spans="2:36">
      <c r="B3331" s="136" t="s">
        <v>481</v>
      </c>
      <c r="C3331" s="132" t="s">
        <v>1373</v>
      </c>
      <c r="D3331" s="132" t="s">
        <v>283</v>
      </c>
      <c r="E3331" s="508">
        <v>17.439</v>
      </c>
      <c r="F3331" s="508">
        <v>17.457000000000001</v>
      </c>
      <c r="G3331" s="508">
        <v>17.390999999999998</v>
      </c>
      <c r="H3331" s="508">
        <v>17.442</v>
      </c>
      <c r="I3331" s="508">
        <v>17.597000000000001</v>
      </c>
      <c r="J3331" s="508">
        <v>13.571999999999999</v>
      </c>
      <c r="K3331" s="508">
        <v>12.609</v>
      </c>
      <c r="L3331" s="508">
        <v>12.555</v>
      </c>
      <c r="M3331" s="508">
        <v>12.593999999999999</v>
      </c>
      <c r="N3331" s="508">
        <v>12.558</v>
      </c>
      <c r="O3331" s="508">
        <v>12.486000000000001</v>
      </c>
      <c r="P3331" s="508">
        <v>12.528</v>
      </c>
      <c r="Q3331" s="508">
        <v>12.504</v>
      </c>
      <c r="R3331" s="508">
        <v>11.631</v>
      </c>
      <c r="S3331" s="508">
        <v>7.0090000000000003</v>
      </c>
      <c r="T3331" s="508">
        <v>7.3220000000000001</v>
      </c>
      <c r="U3331" s="508">
        <v>7.0830000000000002</v>
      </c>
      <c r="V3331" s="508">
        <v>7.202</v>
      </c>
      <c r="W3331" s="508">
        <v>5.71</v>
      </c>
      <c r="X3331" s="508">
        <v>5.72</v>
      </c>
      <c r="Y3331" s="508">
        <v>5.6879999999999997</v>
      </c>
      <c r="Z3331" s="508">
        <v>5.6909999999999998</v>
      </c>
      <c r="AA3331" s="508">
        <v>3.423</v>
      </c>
      <c r="AB3331" s="508">
        <v>3.1680000000000001</v>
      </c>
      <c r="AC3331" s="508">
        <v>3.5</v>
      </c>
      <c r="AD3331" s="508">
        <v>0.97</v>
      </c>
      <c r="AE3331" s="508">
        <v>0.97</v>
      </c>
      <c r="AF3331" s="508">
        <v>0.62</v>
      </c>
      <c r="AG3331" s="508">
        <v>0.61099999999999999</v>
      </c>
      <c r="AH3331" s="508">
        <v>0.60899999999999999</v>
      </c>
      <c r="AI3331" s="492">
        <v>0.60899999999999999</v>
      </c>
      <c r="AJ3331" s="485"/>
    </row>
    <row r="3332" spans="2:36">
      <c r="B3332" s="136" t="s">
        <v>482</v>
      </c>
      <c r="C3332" s="132" t="s">
        <v>1373</v>
      </c>
      <c r="D3332" s="132" t="s">
        <v>283</v>
      </c>
      <c r="E3332" s="508">
        <v>16.835999999999999</v>
      </c>
      <c r="F3332" s="508">
        <v>16.853999999999999</v>
      </c>
      <c r="G3332" s="508">
        <v>16.786000000000001</v>
      </c>
      <c r="H3332" s="508">
        <v>16.838999999999999</v>
      </c>
      <c r="I3332" s="508">
        <v>16.997</v>
      </c>
      <c r="J3332" s="508">
        <v>13.108000000000001</v>
      </c>
      <c r="K3332" s="508">
        <v>12.179</v>
      </c>
      <c r="L3332" s="508">
        <v>12.124000000000001</v>
      </c>
      <c r="M3332" s="508">
        <v>12.164999999999999</v>
      </c>
      <c r="N3332" s="508">
        <v>12.128</v>
      </c>
      <c r="O3332" s="508">
        <v>12.054</v>
      </c>
      <c r="P3332" s="508">
        <v>12.095000000000001</v>
      </c>
      <c r="Q3332" s="508">
        <v>12.07</v>
      </c>
      <c r="R3332" s="508">
        <v>11.218999999999999</v>
      </c>
      <c r="S3332" s="508">
        <v>6.78</v>
      </c>
      <c r="T3332" s="508">
        <v>7.0789999999999997</v>
      </c>
      <c r="U3332" s="508">
        <v>6.8490000000000002</v>
      </c>
      <c r="V3332" s="508">
        <v>6.9630000000000001</v>
      </c>
      <c r="W3332" s="508">
        <v>5.5140000000000002</v>
      </c>
      <c r="X3332" s="508">
        <v>5.5229999999999997</v>
      </c>
      <c r="Y3332" s="508">
        <v>5.4930000000000003</v>
      </c>
      <c r="Z3332" s="508">
        <v>5.4950000000000001</v>
      </c>
      <c r="AA3332" s="508">
        <v>3.306</v>
      </c>
      <c r="AB3332" s="508">
        <v>3.06</v>
      </c>
      <c r="AC3332" s="508">
        <v>3.38</v>
      </c>
      <c r="AD3332" s="508">
        <v>0.93799999999999994</v>
      </c>
      <c r="AE3332" s="508">
        <v>0.93700000000000006</v>
      </c>
      <c r="AF3332" s="508">
        <v>0.6</v>
      </c>
      <c r="AG3332" s="508">
        <v>0.59099999999999997</v>
      </c>
      <c r="AH3332" s="508">
        <v>0.58899999999999997</v>
      </c>
      <c r="AI3332" s="492">
        <v>0.58899999999999997</v>
      </c>
      <c r="AJ3332" s="485"/>
    </row>
    <row r="3333" spans="2:36">
      <c r="B3333" s="136" t="s">
        <v>483</v>
      </c>
      <c r="C3333" s="132" t="s">
        <v>1373</v>
      </c>
      <c r="D3333" s="132" t="s">
        <v>283</v>
      </c>
      <c r="E3333" s="508">
        <v>19.271000000000001</v>
      </c>
      <c r="F3333" s="508">
        <v>19.29</v>
      </c>
      <c r="G3333" s="508">
        <v>19.219000000000001</v>
      </c>
      <c r="H3333" s="508">
        <v>19.274000000000001</v>
      </c>
      <c r="I3333" s="508">
        <v>19.440999999999999</v>
      </c>
      <c r="J3333" s="508">
        <v>14.994999999999999</v>
      </c>
      <c r="K3333" s="508">
        <v>13.928000000000001</v>
      </c>
      <c r="L3333" s="508">
        <v>13.87</v>
      </c>
      <c r="M3333" s="508">
        <v>13.913</v>
      </c>
      <c r="N3333" s="508">
        <v>13.874000000000001</v>
      </c>
      <c r="O3333" s="508">
        <v>13.795999999999999</v>
      </c>
      <c r="P3333" s="508">
        <v>13.843</v>
      </c>
      <c r="Q3333" s="508">
        <v>13.817</v>
      </c>
      <c r="R3333" s="508">
        <v>12.744</v>
      </c>
      <c r="S3333" s="508">
        <v>7.6660000000000004</v>
      </c>
      <c r="T3333" s="508">
        <v>8.0139999999999993</v>
      </c>
      <c r="U3333" s="508">
        <v>7.7489999999999997</v>
      </c>
      <c r="V3333" s="508">
        <v>7.8810000000000002</v>
      </c>
      <c r="W3333" s="508">
        <v>6.24</v>
      </c>
      <c r="X3333" s="508">
        <v>6.2480000000000002</v>
      </c>
      <c r="Y3333" s="508">
        <v>6.2169999999999996</v>
      </c>
      <c r="Z3333" s="508">
        <v>6.22</v>
      </c>
      <c r="AA3333" s="508">
        <v>3.7320000000000002</v>
      </c>
      <c r="AB3333" s="508">
        <v>3.4540000000000002</v>
      </c>
      <c r="AC3333" s="508">
        <v>3.8170000000000002</v>
      </c>
      <c r="AD3333" s="508">
        <v>1.0609999999999999</v>
      </c>
      <c r="AE3333" s="508">
        <v>1.06</v>
      </c>
      <c r="AF3333" s="508">
        <v>0.67800000000000005</v>
      </c>
      <c r="AG3333" s="508">
        <v>0.66800000000000004</v>
      </c>
      <c r="AH3333" s="508">
        <v>0.66600000000000004</v>
      </c>
      <c r="AI3333" s="492">
        <v>0.66600000000000004</v>
      </c>
      <c r="AJ3333" s="485"/>
    </row>
    <row r="3334" spans="2:36">
      <c r="B3334" s="136" t="s">
        <v>484</v>
      </c>
      <c r="C3334" s="132" t="s">
        <v>1373</v>
      </c>
      <c r="D3334" s="132" t="s">
        <v>283</v>
      </c>
      <c r="E3334" s="508">
        <v>16.667000000000002</v>
      </c>
      <c r="F3334" s="508">
        <v>16.681999999999999</v>
      </c>
      <c r="G3334" s="508">
        <v>16.623999999999999</v>
      </c>
      <c r="H3334" s="508">
        <v>16.669</v>
      </c>
      <c r="I3334" s="508">
        <v>16.806999999999999</v>
      </c>
      <c r="J3334" s="508">
        <v>12.964</v>
      </c>
      <c r="K3334" s="508">
        <v>12.042999999999999</v>
      </c>
      <c r="L3334" s="508">
        <v>11.994999999999999</v>
      </c>
      <c r="M3334" s="508">
        <v>12.03</v>
      </c>
      <c r="N3334" s="508">
        <v>11.997999999999999</v>
      </c>
      <c r="O3334" s="508">
        <v>11.933999999999999</v>
      </c>
      <c r="P3334" s="508">
        <v>11.975</v>
      </c>
      <c r="Q3334" s="508">
        <v>11.952999999999999</v>
      </c>
      <c r="R3334" s="508">
        <v>11.288</v>
      </c>
      <c r="S3334" s="508">
        <v>6.8280000000000003</v>
      </c>
      <c r="T3334" s="508">
        <v>7.1280000000000001</v>
      </c>
      <c r="U3334" s="508">
        <v>6.9</v>
      </c>
      <c r="V3334" s="508">
        <v>7.0140000000000002</v>
      </c>
      <c r="W3334" s="508">
        <v>5.577</v>
      </c>
      <c r="X3334" s="508">
        <v>5.59</v>
      </c>
      <c r="Y3334" s="508">
        <v>5.5549999999999997</v>
      </c>
      <c r="Z3334" s="508">
        <v>5.5579999999999998</v>
      </c>
      <c r="AA3334" s="508">
        <v>3.3580000000000001</v>
      </c>
      <c r="AB3334" s="508">
        <v>3.1070000000000002</v>
      </c>
      <c r="AC3334" s="508">
        <v>3.4340000000000002</v>
      </c>
      <c r="AD3334" s="508">
        <v>0.94499999999999995</v>
      </c>
      <c r="AE3334" s="508">
        <v>0.94599999999999995</v>
      </c>
      <c r="AF3334" s="508">
        <v>0.60399999999999998</v>
      </c>
      <c r="AG3334" s="508">
        <v>0.59499999999999997</v>
      </c>
      <c r="AH3334" s="508">
        <v>0.59299999999999997</v>
      </c>
      <c r="AI3334" s="492">
        <v>0.59299999999999997</v>
      </c>
      <c r="AJ3334" s="485"/>
    </row>
    <row r="3335" spans="2:36">
      <c r="B3335" s="136" t="s">
        <v>486</v>
      </c>
      <c r="C3335" s="132" t="s">
        <v>1373</v>
      </c>
      <c r="D3335" s="132" t="s">
        <v>283</v>
      </c>
      <c r="E3335" s="508">
        <v>17.733000000000001</v>
      </c>
      <c r="F3335" s="508">
        <v>17.751000000000001</v>
      </c>
      <c r="G3335" s="508">
        <v>17.684000000000001</v>
      </c>
      <c r="H3335" s="508">
        <v>17.736000000000001</v>
      </c>
      <c r="I3335" s="508">
        <v>17.891999999999999</v>
      </c>
      <c r="J3335" s="508">
        <v>13.8</v>
      </c>
      <c r="K3335" s="508">
        <v>12.82</v>
      </c>
      <c r="L3335" s="508">
        <v>12.766</v>
      </c>
      <c r="M3335" s="508">
        <v>12.805999999999999</v>
      </c>
      <c r="N3335" s="508">
        <v>12.77</v>
      </c>
      <c r="O3335" s="508">
        <v>12.696</v>
      </c>
      <c r="P3335" s="508">
        <v>12.739000000000001</v>
      </c>
      <c r="Q3335" s="508">
        <v>12.715</v>
      </c>
      <c r="R3335" s="508">
        <v>11.811999999999999</v>
      </c>
      <c r="S3335" s="508">
        <v>7.1230000000000002</v>
      </c>
      <c r="T3335" s="508">
        <v>7.4409999999999998</v>
      </c>
      <c r="U3335" s="508">
        <v>7.1989999999999998</v>
      </c>
      <c r="V3335" s="508">
        <v>7.319</v>
      </c>
      <c r="W3335" s="508">
        <v>5.7949999999999999</v>
      </c>
      <c r="X3335" s="508">
        <v>5.8049999999999997</v>
      </c>
      <c r="Y3335" s="508">
        <v>5.774</v>
      </c>
      <c r="Z3335" s="508">
        <v>5.7759999999999998</v>
      </c>
      <c r="AA3335" s="508">
        <v>3.4729999999999999</v>
      </c>
      <c r="AB3335" s="508">
        <v>3.214</v>
      </c>
      <c r="AC3335" s="508">
        <v>3.5510000000000002</v>
      </c>
      <c r="AD3335" s="508">
        <v>0.98499999999999999</v>
      </c>
      <c r="AE3335" s="508">
        <v>0.98399999999999999</v>
      </c>
      <c r="AF3335" s="508">
        <v>0.63</v>
      </c>
      <c r="AG3335" s="508">
        <v>0.62</v>
      </c>
      <c r="AH3335" s="508">
        <v>0.61799999999999999</v>
      </c>
      <c r="AI3335" s="492">
        <v>0.61799999999999999</v>
      </c>
      <c r="AJ3335" s="485"/>
    </row>
    <row r="3336" spans="2:36">
      <c r="B3336" s="136" t="s">
        <v>487</v>
      </c>
      <c r="C3336" s="132" t="s">
        <v>1373</v>
      </c>
      <c r="D3336" s="132" t="s">
        <v>283</v>
      </c>
      <c r="E3336" s="508">
        <v>18.206</v>
      </c>
      <c r="F3336" s="508">
        <v>18.224</v>
      </c>
      <c r="G3336" s="508">
        <v>18.155999999999999</v>
      </c>
      <c r="H3336" s="508">
        <v>18.209</v>
      </c>
      <c r="I3336" s="508">
        <v>18.366</v>
      </c>
      <c r="J3336" s="508">
        <v>14.166</v>
      </c>
      <c r="K3336" s="508">
        <v>13.16</v>
      </c>
      <c r="L3336" s="508">
        <v>13.105</v>
      </c>
      <c r="M3336" s="508">
        <v>13.145</v>
      </c>
      <c r="N3336" s="508">
        <v>13.109</v>
      </c>
      <c r="O3336" s="508">
        <v>13.035</v>
      </c>
      <c r="P3336" s="508">
        <v>13.079000000000001</v>
      </c>
      <c r="Q3336" s="508">
        <v>13.055</v>
      </c>
      <c r="R3336" s="508">
        <v>12.105</v>
      </c>
      <c r="S3336" s="508">
        <v>7.3140000000000001</v>
      </c>
      <c r="T3336" s="508">
        <v>7.6369999999999996</v>
      </c>
      <c r="U3336" s="508">
        <v>7.391</v>
      </c>
      <c r="V3336" s="508">
        <v>7.5129999999999999</v>
      </c>
      <c r="W3336" s="508">
        <v>5.9189999999999996</v>
      </c>
      <c r="X3336" s="508">
        <v>5.9279999999999999</v>
      </c>
      <c r="Y3336" s="508">
        <v>5.8959999999999999</v>
      </c>
      <c r="Z3336" s="508">
        <v>5.899</v>
      </c>
      <c r="AA3336" s="508">
        <v>3.5449999999999999</v>
      </c>
      <c r="AB3336" s="508">
        <v>3.2810000000000001</v>
      </c>
      <c r="AC3336" s="508">
        <v>3.6240000000000001</v>
      </c>
      <c r="AD3336" s="508">
        <v>1.006</v>
      </c>
      <c r="AE3336" s="508">
        <v>1.0049999999999999</v>
      </c>
      <c r="AF3336" s="508">
        <v>0.64300000000000002</v>
      </c>
      <c r="AG3336" s="508">
        <v>0.63300000000000001</v>
      </c>
      <c r="AH3336" s="508">
        <v>0.63100000000000001</v>
      </c>
      <c r="AI3336" s="492">
        <v>0.63100000000000001</v>
      </c>
      <c r="AJ3336" s="485"/>
    </row>
    <row r="3337" spans="2:36">
      <c r="B3337" s="136" t="s">
        <v>488</v>
      </c>
      <c r="C3337" s="132" t="s">
        <v>1373</v>
      </c>
      <c r="D3337" s="132" t="s">
        <v>283</v>
      </c>
      <c r="E3337" s="508">
        <v>16.64</v>
      </c>
      <c r="F3337" s="508">
        <v>16.657</v>
      </c>
      <c r="G3337" s="508">
        <v>16.596</v>
      </c>
      <c r="H3337" s="508">
        <v>16.643000000000001</v>
      </c>
      <c r="I3337" s="508">
        <v>16.786000000000001</v>
      </c>
      <c r="J3337" s="508">
        <v>12.946999999999999</v>
      </c>
      <c r="K3337" s="508">
        <v>12.028</v>
      </c>
      <c r="L3337" s="508">
        <v>11.978999999999999</v>
      </c>
      <c r="M3337" s="508">
        <v>12.015000000000001</v>
      </c>
      <c r="N3337" s="508">
        <v>11.981999999999999</v>
      </c>
      <c r="O3337" s="508">
        <v>11.914999999999999</v>
      </c>
      <c r="P3337" s="508">
        <v>11.955</v>
      </c>
      <c r="Q3337" s="508">
        <v>11.933</v>
      </c>
      <c r="R3337" s="508">
        <v>11.212999999999999</v>
      </c>
      <c r="S3337" s="508">
        <v>6.7869999999999999</v>
      </c>
      <c r="T3337" s="508">
        <v>7.0839999999999996</v>
      </c>
      <c r="U3337" s="508">
        <v>6.8579999999999997</v>
      </c>
      <c r="V3337" s="508">
        <v>6.97</v>
      </c>
      <c r="W3337" s="508">
        <v>5.5229999999999997</v>
      </c>
      <c r="X3337" s="508">
        <v>5.5350000000000001</v>
      </c>
      <c r="Y3337" s="508">
        <v>5.5019999999999998</v>
      </c>
      <c r="Z3337" s="508">
        <v>5.5039999999999996</v>
      </c>
      <c r="AA3337" s="508">
        <v>3.3210000000000002</v>
      </c>
      <c r="AB3337" s="508">
        <v>3.073</v>
      </c>
      <c r="AC3337" s="508">
        <v>3.3959999999999999</v>
      </c>
      <c r="AD3337" s="508">
        <v>0.93700000000000006</v>
      </c>
      <c r="AE3337" s="508">
        <v>0.93700000000000006</v>
      </c>
      <c r="AF3337" s="508">
        <v>0.59899999999999998</v>
      </c>
      <c r="AG3337" s="508">
        <v>0.59</v>
      </c>
      <c r="AH3337" s="508">
        <v>0.58799999999999997</v>
      </c>
      <c r="AI3337" s="492">
        <v>0.58799999999999997</v>
      </c>
      <c r="AJ3337" s="485"/>
    </row>
    <row r="3338" spans="2:36">
      <c r="B3338" s="136" t="s">
        <v>489</v>
      </c>
      <c r="C3338" s="132" t="s">
        <v>1373</v>
      </c>
      <c r="D3338" s="132" t="s">
        <v>283</v>
      </c>
      <c r="E3338" s="508">
        <v>17.507000000000001</v>
      </c>
      <c r="F3338" s="508">
        <v>17.523</v>
      </c>
      <c r="G3338" s="508">
        <v>17.46</v>
      </c>
      <c r="H3338" s="508">
        <v>17.510000000000002</v>
      </c>
      <c r="I3338" s="508">
        <v>17.658999999999999</v>
      </c>
      <c r="J3338" s="508">
        <v>13.621</v>
      </c>
      <c r="K3338" s="508">
        <v>12.653</v>
      </c>
      <c r="L3338" s="508">
        <v>12.601000000000001</v>
      </c>
      <c r="M3338" s="508">
        <v>12.638999999999999</v>
      </c>
      <c r="N3338" s="508">
        <v>12.603999999999999</v>
      </c>
      <c r="O3338" s="508">
        <v>12.534000000000001</v>
      </c>
      <c r="P3338" s="508">
        <v>12.577</v>
      </c>
      <c r="Q3338" s="508">
        <v>12.553000000000001</v>
      </c>
      <c r="R3338" s="508">
        <v>11.746</v>
      </c>
      <c r="S3338" s="508">
        <v>7.0869999999999997</v>
      </c>
      <c r="T3338" s="508">
        <v>7.4039999999999999</v>
      </c>
      <c r="U3338" s="508">
        <v>7.1630000000000003</v>
      </c>
      <c r="V3338" s="508">
        <v>7.2830000000000004</v>
      </c>
      <c r="W3338" s="508">
        <v>5.7960000000000003</v>
      </c>
      <c r="X3338" s="508">
        <v>5.8079999999999998</v>
      </c>
      <c r="Y3338" s="508">
        <v>5.774</v>
      </c>
      <c r="Z3338" s="508">
        <v>5.7770000000000001</v>
      </c>
      <c r="AA3338" s="508">
        <v>3.4820000000000002</v>
      </c>
      <c r="AB3338" s="508">
        <v>3.2210000000000001</v>
      </c>
      <c r="AC3338" s="508">
        <v>3.5609999999999999</v>
      </c>
      <c r="AD3338" s="508">
        <v>0.98399999999999999</v>
      </c>
      <c r="AE3338" s="508">
        <v>0.98399999999999999</v>
      </c>
      <c r="AF3338" s="508">
        <v>0.629</v>
      </c>
      <c r="AG3338" s="508">
        <v>0.62</v>
      </c>
      <c r="AH3338" s="508">
        <v>0.61799999999999999</v>
      </c>
      <c r="AI3338" s="492">
        <v>0.61799999999999999</v>
      </c>
      <c r="AJ3338" s="485"/>
    </row>
    <row r="3339" spans="2:36">
      <c r="B3339" s="136" t="s">
        <v>490</v>
      </c>
      <c r="C3339" s="132" t="s">
        <v>1373</v>
      </c>
      <c r="D3339" s="132" t="s">
        <v>283</v>
      </c>
      <c r="E3339" s="508">
        <v>17.134</v>
      </c>
      <c r="F3339" s="508">
        <v>17.149999999999999</v>
      </c>
      <c r="G3339" s="508">
        <v>17.093</v>
      </c>
      <c r="H3339" s="508">
        <v>17.137</v>
      </c>
      <c r="I3339" s="508">
        <v>17.27</v>
      </c>
      <c r="J3339" s="508">
        <v>13.321999999999999</v>
      </c>
      <c r="K3339" s="508">
        <v>12.375999999999999</v>
      </c>
      <c r="L3339" s="508">
        <v>12.33</v>
      </c>
      <c r="M3339" s="508">
        <v>12.364000000000001</v>
      </c>
      <c r="N3339" s="508">
        <v>12.333</v>
      </c>
      <c r="O3339" s="508">
        <v>12.271000000000001</v>
      </c>
      <c r="P3339" s="508">
        <v>12.311999999999999</v>
      </c>
      <c r="Q3339" s="508">
        <v>12.291</v>
      </c>
      <c r="R3339" s="508">
        <v>11.57</v>
      </c>
      <c r="S3339" s="508">
        <v>7.0090000000000003</v>
      </c>
      <c r="T3339" s="508">
        <v>7.3120000000000003</v>
      </c>
      <c r="U3339" s="508">
        <v>7.0819999999999999</v>
      </c>
      <c r="V3339" s="508">
        <v>7.1970000000000001</v>
      </c>
      <c r="W3339" s="508">
        <v>5.6520000000000001</v>
      </c>
      <c r="X3339" s="508">
        <v>5.6660000000000004</v>
      </c>
      <c r="Y3339" s="508">
        <v>5.6310000000000002</v>
      </c>
      <c r="Z3339" s="508">
        <v>5.6340000000000003</v>
      </c>
      <c r="AA3339" s="508">
        <v>3.3969999999999998</v>
      </c>
      <c r="AB3339" s="508">
        <v>3.1440000000000001</v>
      </c>
      <c r="AC3339" s="508">
        <v>3.472</v>
      </c>
      <c r="AD3339" s="508">
        <v>0.95799999999999996</v>
      </c>
      <c r="AE3339" s="508">
        <v>0.95799999999999996</v>
      </c>
      <c r="AF3339" s="508">
        <v>0.61199999999999999</v>
      </c>
      <c r="AG3339" s="508">
        <v>0.60299999999999998</v>
      </c>
      <c r="AH3339" s="508">
        <v>0.60099999999999998</v>
      </c>
      <c r="AI3339" s="492">
        <v>0.60099999999999998</v>
      </c>
      <c r="AJ3339" s="485"/>
    </row>
    <row r="3340" spans="2:36">
      <c r="B3340" s="136" t="s">
        <v>435</v>
      </c>
      <c r="C3340" s="132" t="s">
        <v>1374</v>
      </c>
      <c r="D3340" s="132" t="s">
        <v>283</v>
      </c>
      <c r="E3340" s="508">
        <v>9.7449999999999992</v>
      </c>
      <c r="F3340" s="508">
        <v>9.5809999999999995</v>
      </c>
      <c r="G3340" s="508">
        <v>9.4450000000000003</v>
      </c>
      <c r="H3340" s="508">
        <v>9.3290000000000006</v>
      </c>
      <c r="I3340" s="508">
        <v>9.23</v>
      </c>
      <c r="J3340" s="508">
        <v>6.298</v>
      </c>
      <c r="K3340" s="508">
        <v>6.2220000000000004</v>
      </c>
      <c r="L3340" s="508">
        <v>6.1559999999999997</v>
      </c>
      <c r="M3340" s="508">
        <v>6.0970000000000004</v>
      </c>
      <c r="N3340" s="508">
        <v>5.94</v>
      </c>
      <c r="O3340" s="508">
        <v>5.8929999999999998</v>
      </c>
      <c r="P3340" s="508">
        <v>5.851</v>
      </c>
      <c r="Q3340" s="508">
        <v>5.8120000000000003</v>
      </c>
      <c r="R3340" s="508">
        <v>4.4130000000000003</v>
      </c>
      <c r="S3340" s="508">
        <v>4.38</v>
      </c>
      <c r="T3340" s="508">
        <v>4.2389999999999999</v>
      </c>
      <c r="U3340" s="508">
        <v>4.0549999999999997</v>
      </c>
      <c r="V3340" s="508">
        <v>3.9910000000000001</v>
      </c>
      <c r="W3340" s="508"/>
      <c r="X3340" s="508">
        <v>3.9039999999999999</v>
      </c>
      <c r="Y3340" s="508"/>
      <c r="Z3340" s="508"/>
      <c r="AA3340" s="508"/>
      <c r="AB3340" s="508"/>
      <c r="AC3340" s="508"/>
      <c r="AD3340" s="508"/>
      <c r="AE3340" s="508"/>
      <c r="AF3340" s="508"/>
      <c r="AG3340" s="508"/>
      <c r="AH3340" s="508"/>
      <c r="AI3340" s="492"/>
      <c r="AJ3340" s="485"/>
    </row>
    <row r="3341" spans="2:36">
      <c r="B3341" s="136" t="s">
        <v>436</v>
      </c>
      <c r="C3341" s="132" t="s">
        <v>1374</v>
      </c>
      <c r="D3341" s="132" t="s">
        <v>283</v>
      </c>
      <c r="E3341" s="508">
        <v>10.766</v>
      </c>
      <c r="F3341" s="508">
        <v>10.608000000000001</v>
      </c>
      <c r="G3341" s="508">
        <v>10.477</v>
      </c>
      <c r="H3341" s="508">
        <v>10.365</v>
      </c>
      <c r="I3341" s="508">
        <v>10.27</v>
      </c>
      <c r="J3341" s="508">
        <v>6.9329999999999998</v>
      </c>
      <c r="K3341" s="508">
        <v>6.86</v>
      </c>
      <c r="L3341" s="508">
        <v>6.7960000000000003</v>
      </c>
      <c r="M3341" s="508">
        <v>6.74</v>
      </c>
      <c r="N3341" s="508">
        <v>6.5730000000000004</v>
      </c>
      <c r="O3341" s="508">
        <v>6.5279999999999996</v>
      </c>
      <c r="P3341" s="508">
        <v>6.4870000000000001</v>
      </c>
      <c r="Q3341" s="508">
        <v>6.45</v>
      </c>
      <c r="R3341" s="508">
        <v>4.8600000000000003</v>
      </c>
      <c r="S3341" s="508">
        <v>4.8289999999999997</v>
      </c>
      <c r="T3341" s="508">
        <v>4.6929999999999996</v>
      </c>
      <c r="U3341" s="508">
        <v>4.6340000000000003</v>
      </c>
      <c r="V3341" s="508">
        <v>4.569</v>
      </c>
      <c r="W3341" s="508"/>
      <c r="X3341" s="508">
        <v>4.4809999999999999</v>
      </c>
      <c r="Y3341" s="508"/>
      <c r="Z3341" s="508"/>
      <c r="AA3341" s="508"/>
      <c r="AB3341" s="508"/>
      <c r="AC3341" s="508"/>
      <c r="AD3341" s="508"/>
      <c r="AE3341" s="508"/>
      <c r="AF3341" s="508"/>
      <c r="AG3341" s="508"/>
      <c r="AH3341" s="508"/>
      <c r="AI3341" s="492"/>
      <c r="AJ3341" s="485"/>
    </row>
    <row r="3342" spans="2:36">
      <c r="B3342" s="136" t="s">
        <v>437</v>
      </c>
      <c r="C3342" s="132" t="s">
        <v>1374</v>
      </c>
      <c r="D3342" s="132" t="s">
        <v>283</v>
      </c>
      <c r="E3342" s="508">
        <v>10.201000000000001</v>
      </c>
      <c r="F3342" s="508">
        <v>10.042</v>
      </c>
      <c r="G3342" s="508">
        <v>9.91</v>
      </c>
      <c r="H3342" s="508">
        <v>9.798</v>
      </c>
      <c r="I3342" s="508">
        <v>9.702</v>
      </c>
      <c r="J3342" s="508">
        <v>6.6360000000000001</v>
      </c>
      <c r="K3342" s="508">
        <v>6.5629999999999997</v>
      </c>
      <c r="L3342" s="508">
        <v>6.4989999999999997</v>
      </c>
      <c r="M3342" s="508">
        <v>6.4420000000000002</v>
      </c>
      <c r="N3342" s="508">
        <v>6.2930000000000001</v>
      </c>
      <c r="O3342" s="508">
        <v>6.2469999999999999</v>
      </c>
      <c r="P3342" s="508">
        <v>6.2060000000000004</v>
      </c>
      <c r="Q3342" s="508">
        <v>6.1680000000000001</v>
      </c>
      <c r="R3342" s="508">
        <v>4.6150000000000002</v>
      </c>
      <c r="S3342" s="508">
        <v>4.5839999999999996</v>
      </c>
      <c r="T3342" s="508">
        <v>4.4450000000000003</v>
      </c>
      <c r="U3342" s="508">
        <v>3.2490000000000001</v>
      </c>
      <c r="V3342" s="508">
        <v>3.181</v>
      </c>
      <c r="W3342" s="508"/>
      <c r="X3342" s="508">
        <v>3.09</v>
      </c>
      <c r="Y3342" s="508"/>
      <c r="Z3342" s="508"/>
      <c r="AA3342" s="508"/>
      <c r="AB3342" s="508"/>
      <c r="AC3342" s="508"/>
      <c r="AD3342" s="508"/>
      <c r="AE3342" s="508"/>
      <c r="AF3342" s="508"/>
      <c r="AG3342" s="508"/>
      <c r="AH3342" s="508"/>
      <c r="AI3342" s="492"/>
      <c r="AJ3342" s="485"/>
    </row>
    <row r="3343" spans="2:36">
      <c r="B3343" s="136" t="s">
        <v>438</v>
      </c>
      <c r="C3343" s="132" t="s">
        <v>1374</v>
      </c>
      <c r="D3343" s="132" t="s">
        <v>283</v>
      </c>
      <c r="E3343" s="508">
        <v>9.6859999999999999</v>
      </c>
      <c r="F3343" s="508">
        <v>9.5350000000000001</v>
      </c>
      <c r="G3343" s="508">
        <v>9.4090000000000007</v>
      </c>
      <c r="H3343" s="508">
        <v>9.3030000000000008</v>
      </c>
      <c r="I3343" s="508">
        <v>9.2110000000000003</v>
      </c>
      <c r="J3343" s="508">
        <v>6.2140000000000004</v>
      </c>
      <c r="K3343" s="508">
        <v>6.1440000000000001</v>
      </c>
      <c r="L3343" s="508">
        <v>6.0830000000000002</v>
      </c>
      <c r="M3343" s="508">
        <v>6.0289999999999999</v>
      </c>
      <c r="N3343" s="508">
        <v>5.8769999999999998</v>
      </c>
      <c r="O3343" s="508">
        <v>5.8339999999999996</v>
      </c>
      <c r="P3343" s="508">
        <v>5.7949999999999999</v>
      </c>
      <c r="Q3343" s="508">
        <v>5.76</v>
      </c>
      <c r="R3343" s="508">
        <v>4.3730000000000002</v>
      </c>
      <c r="S3343" s="508">
        <v>4.343</v>
      </c>
      <c r="T3343" s="508">
        <v>4.2130000000000001</v>
      </c>
      <c r="U3343" s="508">
        <v>4.1539999999999999</v>
      </c>
      <c r="V3343" s="508">
        <v>4.0919999999999996</v>
      </c>
      <c r="W3343" s="508"/>
      <c r="X3343" s="508">
        <v>4.0069999999999997</v>
      </c>
      <c r="Y3343" s="508"/>
      <c r="Z3343" s="508"/>
      <c r="AA3343" s="508"/>
      <c r="AB3343" s="508"/>
      <c r="AC3343" s="508"/>
      <c r="AD3343" s="508"/>
      <c r="AE3343" s="508"/>
      <c r="AF3343" s="508"/>
      <c r="AG3343" s="508"/>
      <c r="AH3343" s="508"/>
      <c r="AI3343" s="492"/>
      <c r="AJ3343" s="485"/>
    </row>
    <row r="3344" spans="2:36">
      <c r="B3344" s="136" t="s">
        <v>439</v>
      </c>
      <c r="C3344" s="132" t="s">
        <v>1374</v>
      </c>
      <c r="D3344" s="132" t="s">
        <v>283</v>
      </c>
      <c r="E3344" s="508">
        <v>9.8059999999999992</v>
      </c>
      <c r="F3344" s="508">
        <v>9.6440000000000001</v>
      </c>
      <c r="G3344" s="508">
        <v>9.5090000000000003</v>
      </c>
      <c r="H3344" s="508">
        <v>9.3949999999999996</v>
      </c>
      <c r="I3344" s="508">
        <v>9.2970000000000006</v>
      </c>
      <c r="J3344" s="508">
        <v>6.3810000000000002</v>
      </c>
      <c r="K3344" s="508">
        <v>6.3070000000000004</v>
      </c>
      <c r="L3344" s="508">
        <v>6.242</v>
      </c>
      <c r="M3344" s="508">
        <v>6.1829999999999998</v>
      </c>
      <c r="N3344" s="508">
        <v>6.05</v>
      </c>
      <c r="O3344" s="508">
        <v>6.0030000000000001</v>
      </c>
      <c r="P3344" s="508">
        <v>5.96</v>
      </c>
      <c r="Q3344" s="508">
        <v>5.9219999999999997</v>
      </c>
      <c r="R3344" s="508">
        <v>4.4450000000000003</v>
      </c>
      <c r="S3344" s="508">
        <v>4.4119999999999999</v>
      </c>
      <c r="T3344" s="508">
        <v>4.2709999999999999</v>
      </c>
      <c r="U3344" s="508">
        <v>2.17</v>
      </c>
      <c r="V3344" s="508">
        <v>2.1</v>
      </c>
      <c r="W3344" s="508"/>
      <c r="X3344" s="508">
        <v>2.004</v>
      </c>
      <c r="Y3344" s="508"/>
      <c r="Z3344" s="508"/>
      <c r="AA3344" s="508"/>
      <c r="AB3344" s="508"/>
      <c r="AC3344" s="508"/>
      <c r="AD3344" s="508"/>
      <c r="AE3344" s="508"/>
      <c r="AF3344" s="508"/>
      <c r="AG3344" s="508"/>
      <c r="AH3344" s="508"/>
      <c r="AI3344" s="492"/>
      <c r="AJ3344" s="485"/>
    </row>
    <row r="3345" spans="2:36">
      <c r="B3345" s="136" t="s">
        <v>440</v>
      </c>
      <c r="C3345" s="132" t="s">
        <v>1374</v>
      </c>
      <c r="D3345" s="132" t="s">
        <v>283</v>
      </c>
      <c r="E3345" s="508">
        <v>10.709</v>
      </c>
      <c r="F3345" s="508">
        <v>10.542</v>
      </c>
      <c r="G3345" s="508">
        <v>10.403</v>
      </c>
      <c r="H3345" s="508">
        <v>10.285</v>
      </c>
      <c r="I3345" s="508">
        <v>10.183999999999999</v>
      </c>
      <c r="J3345" s="508">
        <v>6.9390000000000001</v>
      </c>
      <c r="K3345" s="508">
        <v>6.8630000000000004</v>
      </c>
      <c r="L3345" s="508">
        <v>6.7949999999999999</v>
      </c>
      <c r="M3345" s="508">
        <v>6.7350000000000003</v>
      </c>
      <c r="N3345" s="508">
        <v>6.5659999999999998</v>
      </c>
      <c r="O3345" s="508">
        <v>6.5179999999999998</v>
      </c>
      <c r="P3345" s="508">
        <v>6.4749999999999996</v>
      </c>
      <c r="Q3345" s="508">
        <v>6.4349999999999996</v>
      </c>
      <c r="R3345" s="508">
        <v>4.8369999999999997</v>
      </c>
      <c r="S3345" s="508">
        <v>4.8040000000000003</v>
      </c>
      <c r="T3345" s="508">
        <v>4.6589999999999998</v>
      </c>
      <c r="U3345" s="508">
        <v>4.59</v>
      </c>
      <c r="V3345" s="508">
        <v>4.5220000000000002</v>
      </c>
      <c r="W3345" s="508"/>
      <c r="X3345" s="508">
        <v>4.4290000000000003</v>
      </c>
      <c r="Y3345" s="508"/>
      <c r="Z3345" s="508"/>
      <c r="AA3345" s="508"/>
      <c r="AB3345" s="508"/>
      <c r="AC3345" s="508"/>
      <c r="AD3345" s="508"/>
      <c r="AE3345" s="508"/>
      <c r="AF3345" s="508"/>
      <c r="AG3345" s="508"/>
      <c r="AH3345" s="508"/>
      <c r="AI3345" s="492"/>
      <c r="AJ3345" s="485"/>
    </row>
    <row r="3346" spans="2:36">
      <c r="B3346" s="136" t="s">
        <v>441</v>
      </c>
      <c r="C3346" s="132" t="s">
        <v>1374</v>
      </c>
      <c r="D3346" s="132" t="s">
        <v>283</v>
      </c>
      <c r="E3346" s="508">
        <v>10.718</v>
      </c>
      <c r="F3346" s="508">
        <v>10.54</v>
      </c>
      <c r="G3346" s="508">
        <v>10.391</v>
      </c>
      <c r="H3346" s="508">
        <v>10.265000000000001</v>
      </c>
      <c r="I3346" s="508">
        <v>10.157</v>
      </c>
      <c r="J3346" s="508">
        <v>6.9820000000000002</v>
      </c>
      <c r="K3346" s="508">
        <v>6.9</v>
      </c>
      <c r="L3346" s="508">
        <v>6.827</v>
      </c>
      <c r="M3346" s="508">
        <v>6.7629999999999999</v>
      </c>
      <c r="N3346" s="508">
        <v>6.59</v>
      </c>
      <c r="O3346" s="508">
        <v>6.5389999999999997</v>
      </c>
      <c r="P3346" s="508">
        <v>6.4930000000000003</v>
      </c>
      <c r="Q3346" s="508">
        <v>6.4509999999999996</v>
      </c>
      <c r="R3346" s="508">
        <v>4.8369999999999997</v>
      </c>
      <c r="S3346" s="508">
        <v>4.8019999999999996</v>
      </c>
      <c r="T3346" s="508">
        <v>4.6479999999999997</v>
      </c>
      <c r="U3346" s="508">
        <v>4.532</v>
      </c>
      <c r="V3346" s="508">
        <v>4.4610000000000003</v>
      </c>
      <c r="W3346" s="508"/>
      <c r="X3346" s="508">
        <v>4.3650000000000002</v>
      </c>
      <c r="Y3346" s="508"/>
      <c r="Z3346" s="508"/>
      <c r="AA3346" s="508"/>
      <c r="AB3346" s="508"/>
      <c r="AC3346" s="508"/>
      <c r="AD3346" s="508"/>
      <c r="AE3346" s="508"/>
      <c r="AF3346" s="508"/>
      <c r="AG3346" s="508"/>
      <c r="AH3346" s="508"/>
      <c r="AI3346" s="492"/>
      <c r="AJ3346" s="485"/>
    </row>
    <row r="3347" spans="2:36">
      <c r="B3347" s="136" t="s">
        <v>443</v>
      </c>
      <c r="C3347" s="132" t="s">
        <v>1374</v>
      </c>
      <c r="D3347" s="132" t="s">
        <v>283</v>
      </c>
      <c r="E3347" s="508">
        <v>10.247</v>
      </c>
      <c r="F3347" s="508">
        <v>10.068</v>
      </c>
      <c r="G3347" s="508">
        <v>9.9179999999999993</v>
      </c>
      <c r="H3347" s="508">
        <v>9.7919999999999998</v>
      </c>
      <c r="I3347" s="508">
        <v>9.6829999999999998</v>
      </c>
      <c r="J3347" s="508">
        <v>6.67</v>
      </c>
      <c r="K3347" s="508">
        <v>6.5880000000000001</v>
      </c>
      <c r="L3347" s="508">
        <v>6.5149999999999997</v>
      </c>
      <c r="M3347" s="508">
        <v>6.4509999999999996</v>
      </c>
      <c r="N3347" s="508">
        <v>6.2830000000000004</v>
      </c>
      <c r="O3347" s="508">
        <v>6.2320000000000002</v>
      </c>
      <c r="P3347" s="508">
        <v>6.1849999999999996</v>
      </c>
      <c r="Q3347" s="508">
        <v>6.1429999999999998</v>
      </c>
      <c r="R3347" s="508">
        <v>4.6589999999999998</v>
      </c>
      <c r="S3347" s="508">
        <v>4.6230000000000002</v>
      </c>
      <c r="T3347" s="508">
        <v>4.4690000000000003</v>
      </c>
      <c r="U3347" s="508">
        <v>4.351</v>
      </c>
      <c r="V3347" s="508">
        <v>4.28</v>
      </c>
      <c r="W3347" s="508"/>
      <c r="X3347" s="508">
        <v>4.1840000000000002</v>
      </c>
      <c r="Y3347" s="508"/>
      <c r="Z3347" s="508"/>
      <c r="AA3347" s="508"/>
      <c r="AB3347" s="508"/>
      <c r="AC3347" s="508"/>
      <c r="AD3347" s="508"/>
      <c r="AE3347" s="508"/>
      <c r="AF3347" s="508"/>
      <c r="AG3347" s="508"/>
      <c r="AH3347" s="508"/>
      <c r="AI3347" s="492"/>
      <c r="AJ3347" s="485"/>
    </row>
    <row r="3348" spans="2:36">
      <c r="B3348" s="136" t="s">
        <v>445</v>
      </c>
      <c r="C3348" s="132" t="s">
        <v>1374</v>
      </c>
      <c r="D3348" s="132" t="s">
        <v>283</v>
      </c>
      <c r="E3348" s="508">
        <v>10.742000000000001</v>
      </c>
      <c r="F3348" s="508">
        <v>10.54</v>
      </c>
      <c r="G3348" s="508">
        <v>10.371</v>
      </c>
      <c r="H3348" s="508">
        <v>10.228999999999999</v>
      </c>
      <c r="I3348" s="508">
        <v>10.106</v>
      </c>
      <c r="J3348" s="508">
        <v>7.1429999999999998</v>
      </c>
      <c r="K3348" s="508">
        <v>7.05</v>
      </c>
      <c r="L3348" s="508">
        <v>6.968</v>
      </c>
      <c r="M3348" s="508">
        <v>6.8949999999999996</v>
      </c>
      <c r="N3348" s="508">
        <v>6.7130000000000001</v>
      </c>
      <c r="O3348" s="508">
        <v>6.6550000000000002</v>
      </c>
      <c r="P3348" s="508">
        <v>6.6029999999999998</v>
      </c>
      <c r="Q3348" s="508">
        <v>6.5549999999999997</v>
      </c>
      <c r="R3348" s="508">
        <v>4.8710000000000004</v>
      </c>
      <c r="S3348" s="508">
        <v>4.8319999999999999</v>
      </c>
      <c r="T3348" s="508">
        <v>4.657</v>
      </c>
      <c r="U3348" s="508">
        <v>4.5220000000000002</v>
      </c>
      <c r="V3348" s="508">
        <v>4.4420000000000002</v>
      </c>
      <c r="W3348" s="508"/>
      <c r="X3348" s="508">
        <v>4.3330000000000002</v>
      </c>
      <c r="Y3348" s="508"/>
      <c r="Z3348" s="508"/>
      <c r="AA3348" s="508"/>
      <c r="AB3348" s="508"/>
      <c r="AC3348" s="508"/>
      <c r="AD3348" s="508"/>
      <c r="AE3348" s="508"/>
      <c r="AF3348" s="508"/>
      <c r="AG3348" s="508"/>
      <c r="AH3348" s="508"/>
      <c r="AI3348" s="492"/>
      <c r="AJ3348" s="485"/>
    </row>
    <row r="3349" spans="2:36">
      <c r="B3349" s="136" t="s">
        <v>446</v>
      </c>
      <c r="C3349" s="132" t="s">
        <v>1374</v>
      </c>
      <c r="D3349" s="132" t="s">
        <v>283</v>
      </c>
      <c r="E3349" s="508">
        <v>9.3439999999999994</v>
      </c>
      <c r="F3349" s="508">
        <v>9.1620000000000008</v>
      </c>
      <c r="G3349" s="508">
        <v>9.0090000000000003</v>
      </c>
      <c r="H3349" s="508">
        <v>8.8810000000000002</v>
      </c>
      <c r="I3349" s="508">
        <v>8.77</v>
      </c>
      <c r="J3349" s="508">
        <v>6.1429999999999998</v>
      </c>
      <c r="K3349" s="508">
        <v>6.0590000000000002</v>
      </c>
      <c r="L3349" s="508">
        <v>5.9859999999999998</v>
      </c>
      <c r="M3349" s="508">
        <v>5.92</v>
      </c>
      <c r="N3349" s="508">
        <v>5.76</v>
      </c>
      <c r="O3349" s="508">
        <v>5.7080000000000002</v>
      </c>
      <c r="P3349" s="508">
        <v>5.6609999999999996</v>
      </c>
      <c r="Q3349" s="508">
        <v>5.6180000000000003</v>
      </c>
      <c r="R3349" s="508">
        <v>4.2249999999999996</v>
      </c>
      <c r="S3349" s="508">
        <v>4.1890000000000001</v>
      </c>
      <c r="T3349" s="508">
        <v>4.0309999999999997</v>
      </c>
      <c r="U3349" s="508">
        <v>3.8370000000000002</v>
      </c>
      <c r="V3349" s="508">
        <v>3.7650000000000001</v>
      </c>
      <c r="W3349" s="508"/>
      <c r="X3349" s="508">
        <v>3.669</v>
      </c>
      <c r="Y3349" s="508"/>
      <c r="Z3349" s="508"/>
      <c r="AA3349" s="508"/>
      <c r="AB3349" s="508"/>
      <c r="AC3349" s="508"/>
      <c r="AD3349" s="508"/>
      <c r="AE3349" s="508"/>
      <c r="AF3349" s="508"/>
      <c r="AG3349" s="508"/>
      <c r="AH3349" s="508"/>
      <c r="AI3349" s="492"/>
      <c r="AJ3349" s="485"/>
    </row>
    <row r="3350" spans="2:36">
      <c r="B3350" s="136" t="s">
        <v>448</v>
      </c>
      <c r="C3350" s="132" t="s">
        <v>1374</v>
      </c>
      <c r="D3350" s="132" t="s">
        <v>283</v>
      </c>
      <c r="E3350" s="508">
        <v>9.7889999999999997</v>
      </c>
      <c r="F3350" s="508">
        <v>9.6310000000000002</v>
      </c>
      <c r="G3350" s="508">
        <v>9.4990000000000006</v>
      </c>
      <c r="H3350" s="508">
        <v>9.3870000000000005</v>
      </c>
      <c r="I3350" s="508">
        <v>9.2919999999999998</v>
      </c>
      <c r="J3350" s="508">
        <v>6.3049999999999997</v>
      </c>
      <c r="K3350" s="508">
        <v>6.2320000000000002</v>
      </c>
      <c r="L3350" s="508">
        <v>6.1680000000000001</v>
      </c>
      <c r="M3350" s="508">
        <v>6.1109999999999998</v>
      </c>
      <c r="N3350" s="508">
        <v>5.9560000000000004</v>
      </c>
      <c r="O3350" s="508">
        <v>5.9109999999999996</v>
      </c>
      <c r="P3350" s="508">
        <v>5.87</v>
      </c>
      <c r="Q3350" s="508">
        <v>5.8330000000000002</v>
      </c>
      <c r="R3350" s="508">
        <v>4.4219999999999997</v>
      </c>
      <c r="S3350" s="508">
        <v>4.391</v>
      </c>
      <c r="T3350" s="508">
        <v>4.2539999999999996</v>
      </c>
      <c r="U3350" s="508">
        <v>4.09</v>
      </c>
      <c r="V3350" s="508">
        <v>4.0279999999999996</v>
      </c>
      <c r="W3350" s="508"/>
      <c r="X3350" s="508">
        <v>3.944</v>
      </c>
      <c r="Y3350" s="508"/>
      <c r="Z3350" s="508"/>
      <c r="AA3350" s="508"/>
      <c r="AB3350" s="508"/>
      <c r="AC3350" s="508"/>
      <c r="AD3350" s="508"/>
      <c r="AE3350" s="508"/>
      <c r="AF3350" s="508"/>
      <c r="AG3350" s="508"/>
      <c r="AH3350" s="508"/>
      <c r="AI3350" s="492"/>
      <c r="AJ3350" s="485"/>
    </row>
    <row r="3351" spans="2:36">
      <c r="B3351" s="136" t="s">
        <v>449</v>
      </c>
      <c r="C3351" s="132" t="s">
        <v>1374</v>
      </c>
      <c r="D3351" s="132" t="s">
        <v>283</v>
      </c>
      <c r="E3351" s="508">
        <v>9.1590000000000007</v>
      </c>
      <c r="F3351" s="508">
        <v>8.9789999999999992</v>
      </c>
      <c r="G3351" s="508">
        <v>8.83</v>
      </c>
      <c r="H3351" s="508">
        <v>8.7029999999999994</v>
      </c>
      <c r="I3351" s="508">
        <v>8.5950000000000006</v>
      </c>
      <c r="J3351" s="508">
        <v>5.9870000000000001</v>
      </c>
      <c r="K3351" s="508">
        <v>5.9039999999999999</v>
      </c>
      <c r="L3351" s="508">
        <v>5.8319999999999999</v>
      </c>
      <c r="M3351" s="508">
        <v>5.7670000000000003</v>
      </c>
      <c r="N3351" s="508">
        <v>5.6120000000000001</v>
      </c>
      <c r="O3351" s="508">
        <v>5.56</v>
      </c>
      <c r="P3351" s="508">
        <v>5.5140000000000002</v>
      </c>
      <c r="Q3351" s="508">
        <v>5.4720000000000004</v>
      </c>
      <c r="R3351" s="508">
        <v>4.1500000000000004</v>
      </c>
      <c r="S3351" s="508">
        <v>4.1139999999999999</v>
      </c>
      <c r="T3351" s="508">
        <v>3.96</v>
      </c>
      <c r="U3351" s="508">
        <v>3.8769999999999998</v>
      </c>
      <c r="V3351" s="508">
        <v>3.8029999999999999</v>
      </c>
      <c r="W3351" s="508"/>
      <c r="X3351" s="508">
        <v>3.7029999999999998</v>
      </c>
      <c r="Y3351" s="508"/>
      <c r="Z3351" s="508"/>
      <c r="AA3351" s="508"/>
      <c r="AB3351" s="508"/>
      <c r="AC3351" s="508"/>
      <c r="AD3351" s="508"/>
      <c r="AE3351" s="508"/>
      <c r="AF3351" s="508"/>
      <c r="AG3351" s="508"/>
      <c r="AH3351" s="508"/>
      <c r="AI3351" s="492"/>
      <c r="AJ3351" s="485"/>
    </row>
    <row r="3352" spans="2:36">
      <c r="B3352" s="136" t="s">
        <v>450</v>
      </c>
      <c r="C3352" s="132" t="s">
        <v>1374</v>
      </c>
      <c r="D3352" s="132" t="s">
        <v>283</v>
      </c>
      <c r="E3352" s="508">
        <v>10.388</v>
      </c>
      <c r="F3352" s="508">
        <v>10.231</v>
      </c>
      <c r="G3352" s="508">
        <v>10.101000000000001</v>
      </c>
      <c r="H3352" s="508">
        <v>9.9909999999999997</v>
      </c>
      <c r="I3352" s="508">
        <v>9.8960000000000008</v>
      </c>
      <c r="J3352" s="508">
        <v>6.6790000000000003</v>
      </c>
      <c r="K3352" s="508">
        <v>6.6079999999999997</v>
      </c>
      <c r="L3352" s="508">
        <v>6.5439999999999996</v>
      </c>
      <c r="M3352" s="508">
        <v>6.4880000000000004</v>
      </c>
      <c r="N3352" s="508">
        <v>6.3259999999999996</v>
      </c>
      <c r="O3352" s="508">
        <v>6.2809999999999997</v>
      </c>
      <c r="P3352" s="508">
        <v>6.2409999999999997</v>
      </c>
      <c r="Q3352" s="508">
        <v>6.2039999999999997</v>
      </c>
      <c r="R3352" s="508">
        <v>4.6989999999999998</v>
      </c>
      <c r="S3352" s="508">
        <v>4.6680000000000001</v>
      </c>
      <c r="T3352" s="508">
        <v>4.5330000000000004</v>
      </c>
      <c r="U3352" s="508">
        <v>4.4580000000000002</v>
      </c>
      <c r="V3352" s="508">
        <v>4.3940000000000001</v>
      </c>
      <c r="W3352" s="508"/>
      <c r="X3352" s="508">
        <v>4.3079999999999998</v>
      </c>
      <c r="Y3352" s="508"/>
      <c r="Z3352" s="508"/>
      <c r="AA3352" s="508"/>
      <c r="AB3352" s="508"/>
      <c r="AC3352" s="508"/>
      <c r="AD3352" s="508"/>
      <c r="AE3352" s="508"/>
      <c r="AF3352" s="508"/>
      <c r="AG3352" s="508"/>
      <c r="AH3352" s="508"/>
      <c r="AI3352" s="492"/>
      <c r="AJ3352" s="485"/>
    </row>
    <row r="3353" spans="2:36">
      <c r="B3353" s="136" t="s">
        <v>451</v>
      </c>
      <c r="C3353" s="132" t="s">
        <v>1374</v>
      </c>
      <c r="D3353" s="132" t="s">
        <v>283</v>
      </c>
      <c r="E3353" s="508">
        <v>10.677</v>
      </c>
      <c r="F3353" s="508">
        <v>10.486000000000001</v>
      </c>
      <c r="G3353" s="508">
        <v>10.327</v>
      </c>
      <c r="H3353" s="508">
        <v>10.192</v>
      </c>
      <c r="I3353" s="508">
        <v>10.076000000000001</v>
      </c>
      <c r="J3353" s="508">
        <v>7.0419999999999998</v>
      </c>
      <c r="K3353" s="508">
        <v>6.9539999999999997</v>
      </c>
      <c r="L3353" s="508">
        <v>6.8769999999999998</v>
      </c>
      <c r="M3353" s="508">
        <v>6.8079999999999998</v>
      </c>
      <c r="N3353" s="508">
        <v>6.63</v>
      </c>
      <c r="O3353" s="508">
        <v>6.5759999999999996</v>
      </c>
      <c r="P3353" s="508">
        <v>6.5259999999999998</v>
      </c>
      <c r="Q3353" s="508">
        <v>6.4809999999999999</v>
      </c>
      <c r="R3353" s="508">
        <v>4.8319999999999999</v>
      </c>
      <c r="S3353" s="508">
        <v>4.7939999999999996</v>
      </c>
      <c r="T3353" s="508">
        <v>4.6289999999999996</v>
      </c>
      <c r="U3353" s="508">
        <v>4.4809999999999999</v>
      </c>
      <c r="V3353" s="508">
        <v>4.407</v>
      </c>
      <c r="W3353" s="508"/>
      <c r="X3353" s="508">
        <v>4.3070000000000004</v>
      </c>
      <c r="Y3353" s="508"/>
      <c r="Z3353" s="508"/>
      <c r="AA3353" s="508"/>
      <c r="AB3353" s="508"/>
      <c r="AC3353" s="508"/>
      <c r="AD3353" s="508"/>
      <c r="AE3353" s="508"/>
      <c r="AF3353" s="508"/>
      <c r="AG3353" s="508"/>
      <c r="AH3353" s="508"/>
      <c r="AI3353" s="492"/>
      <c r="AJ3353" s="485"/>
    </row>
    <row r="3354" spans="2:36">
      <c r="B3354" s="136" t="s">
        <v>452</v>
      </c>
      <c r="C3354" s="132" t="s">
        <v>1374</v>
      </c>
      <c r="D3354" s="132" t="s">
        <v>283</v>
      </c>
      <c r="E3354" s="508">
        <v>10.31</v>
      </c>
      <c r="F3354" s="508">
        <v>10.141</v>
      </c>
      <c r="G3354" s="508">
        <v>10</v>
      </c>
      <c r="H3354" s="508">
        <v>9.8810000000000002</v>
      </c>
      <c r="I3354" s="508">
        <v>9.7789999999999999</v>
      </c>
      <c r="J3354" s="508">
        <v>6.6950000000000003</v>
      </c>
      <c r="K3354" s="508">
        <v>6.6180000000000003</v>
      </c>
      <c r="L3354" s="508">
        <v>6.5490000000000004</v>
      </c>
      <c r="M3354" s="508">
        <v>6.4889999999999999</v>
      </c>
      <c r="N3354" s="508">
        <v>6.3230000000000004</v>
      </c>
      <c r="O3354" s="508">
        <v>6.2750000000000004</v>
      </c>
      <c r="P3354" s="508">
        <v>6.2309999999999999</v>
      </c>
      <c r="Q3354" s="508">
        <v>6.1909999999999998</v>
      </c>
      <c r="R3354" s="508">
        <v>4.6669999999999998</v>
      </c>
      <c r="S3354" s="508">
        <v>4.633</v>
      </c>
      <c r="T3354" s="508">
        <v>4.4880000000000004</v>
      </c>
      <c r="U3354" s="508">
        <v>4.3659999999999997</v>
      </c>
      <c r="V3354" s="508">
        <v>4.298</v>
      </c>
      <c r="W3354" s="508"/>
      <c r="X3354" s="508">
        <v>4.2080000000000002</v>
      </c>
      <c r="Y3354" s="508"/>
      <c r="Z3354" s="508"/>
      <c r="AA3354" s="508"/>
      <c r="AB3354" s="508"/>
      <c r="AC3354" s="508"/>
      <c r="AD3354" s="508"/>
      <c r="AE3354" s="508"/>
      <c r="AF3354" s="508"/>
      <c r="AG3354" s="508"/>
      <c r="AH3354" s="508"/>
      <c r="AI3354" s="492"/>
      <c r="AJ3354" s="485"/>
    </row>
    <row r="3355" spans="2:36">
      <c r="B3355" s="136" t="s">
        <v>453</v>
      </c>
      <c r="C3355" s="132" t="s">
        <v>1374</v>
      </c>
      <c r="D3355" s="132" t="s">
        <v>283</v>
      </c>
      <c r="E3355" s="508">
        <v>10.159000000000001</v>
      </c>
      <c r="F3355" s="508">
        <v>10.006</v>
      </c>
      <c r="G3355" s="508">
        <v>9.8789999999999996</v>
      </c>
      <c r="H3355" s="508">
        <v>9.7710000000000008</v>
      </c>
      <c r="I3355" s="508">
        <v>9.6790000000000003</v>
      </c>
      <c r="J3355" s="508">
        <v>6.516</v>
      </c>
      <c r="K3355" s="508">
        <v>6.4459999999999997</v>
      </c>
      <c r="L3355" s="508">
        <v>6.3840000000000003</v>
      </c>
      <c r="M3355" s="508">
        <v>6.3289999999999997</v>
      </c>
      <c r="N3355" s="508">
        <v>6.1710000000000003</v>
      </c>
      <c r="O3355" s="508">
        <v>6.1280000000000001</v>
      </c>
      <c r="P3355" s="508">
        <v>6.0880000000000001</v>
      </c>
      <c r="Q3355" s="508">
        <v>6.0529999999999999</v>
      </c>
      <c r="R3355" s="508">
        <v>4.5940000000000003</v>
      </c>
      <c r="S3355" s="508">
        <v>4.5640000000000001</v>
      </c>
      <c r="T3355" s="508">
        <v>4.4320000000000004</v>
      </c>
      <c r="U3355" s="508">
        <v>4.3739999999999997</v>
      </c>
      <c r="V3355" s="508">
        <v>4.3109999999999999</v>
      </c>
      <c r="W3355" s="508"/>
      <c r="X3355" s="508">
        <v>4.226</v>
      </c>
      <c r="Y3355" s="508"/>
      <c r="Z3355" s="508"/>
      <c r="AA3355" s="508"/>
      <c r="AB3355" s="508"/>
      <c r="AC3355" s="508"/>
      <c r="AD3355" s="508"/>
      <c r="AE3355" s="508"/>
      <c r="AF3355" s="508"/>
      <c r="AG3355" s="508"/>
      <c r="AH3355" s="508"/>
      <c r="AI3355" s="492"/>
      <c r="AJ3355" s="485"/>
    </row>
    <row r="3356" spans="2:36">
      <c r="B3356" s="136" t="s">
        <v>454</v>
      </c>
      <c r="C3356" s="132" t="s">
        <v>1374</v>
      </c>
      <c r="D3356" s="132" t="s">
        <v>283</v>
      </c>
      <c r="E3356" s="508">
        <v>10.071999999999999</v>
      </c>
      <c r="F3356" s="508">
        <v>9.9139999999999997</v>
      </c>
      <c r="G3356" s="508">
        <v>9.782</v>
      </c>
      <c r="H3356" s="508">
        <v>9.6709999999999994</v>
      </c>
      <c r="I3356" s="508">
        <v>9.5749999999999993</v>
      </c>
      <c r="J3356" s="508">
        <v>6.4809999999999999</v>
      </c>
      <c r="K3356" s="508">
        <v>6.4080000000000004</v>
      </c>
      <c r="L3356" s="508">
        <v>6.3440000000000003</v>
      </c>
      <c r="M3356" s="508">
        <v>6.2869999999999999</v>
      </c>
      <c r="N3356" s="508">
        <v>6.1280000000000001</v>
      </c>
      <c r="O3356" s="508">
        <v>6.0830000000000002</v>
      </c>
      <c r="P3356" s="508">
        <v>6.0419999999999998</v>
      </c>
      <c r="Q3356" s="508">
        <v>6.0049999999999999</v>
      </c>
      <c r="R3356" s="508">
        <v>4.5549999999999997</v>
      </c>
      <c r="S3356" s="508">
        <v>4.524</v>
      </c>
      <c r="T3356" s="508">
        <v>4.3879999999999999</v>
      </c>
      <c r="U3356" s="508">
        <v>4.3339999999999996</v>
      </c>
      <c r="V3356" s="508">
        <v>4.2690000000000001</v>
      </c>
      <c r="W3356" s="508"/>
      <c r="X3356" s="508">
        <v>4.18</v>
      </c>
      <c r="Y3356" s="508"/>
      <c r="Z3356" s="508"/>
      <c r="AA3356" s="508"/>
      <c r="AB3356" s="508"/>
      <c r="AC3356" s="508"/>
      <c r="AD3356" s="508"/>
      <c r="AE3356" s="508"/>
      <c r="AF3356" s="508"/>
      <c r="AG3356" s="508"/>
      <c r="AH3356" s="508"/>
      <c r="AI3356" s="492"/>
      <c r="AJ3356" s="485"/>
    </row>
    <row r="3357" spans="2:36">
      <c r="B3357" s="136" t="s">
        <v>455</v>
      </c>
      <c r="C3357" s="132" t="s">
        <v>1374</v>
      </c>
      <c r="D3357" s="132" t="s">
        <v>283</v>
      </c>
      <c r="E3357" s="508">
        <v>9.8879999999999999</v>
      </c>
      <c r="F3357" s="508">
        <v>9.7409999999999997</v>
      </c>
      <c r="G3357" s="508">
        <v>9.6170000000000009</v>
      </c>
      <c r="H3357" s="508">
        <v>9.5129999999999999</v>
      </c>
      <c r="I3357" s="508">
        <v>9.423</v>
      </c>
      <c r="J3357" s="508">
        <v>6.3419999999999996</v>
      </c>
      <c r="K3357" s="508">
        <v>6.2750000000000004</v>
      </c>
      <c r="L3357" s="508">
        <v>6.2149999999999999</v>
      </c>
      <c r="M3357" s="508">
        <v>6.1619999999999999</v>
      </c>
      <c r="N3357" s="508">
        <v>6.008</v>
      </c>
      <c r="O3357" s="508">
        <v>5.9660000000000002</v>
      </c>
      <c r="P3357" s="508">
        <v>5.9279999999999999</v>
      </c>
      <c r="Q3357" s="508">
        <v>5.8929999999999998</v>
      </c>
      <c r="R3357" s="508">
        <v>4.4569999999999999</v>
      </c>
      <c r="S3357" s="508">
        <v>4.4279999999999999</v>
      </c>
      <c r="T3357" s="508">
        <v>4.3010000000000002</v>
      </c>
      <c r="U3357" s="508">
        <v>4.1920000000000002</v>
      </c>
      <c r="V3357" s="508">
        <v>4.1340000000000003</v>
      </c>
      <c r="W3357" s="508"/>
      <c r="X3357" s="508">
        <v>4.0549999999999997</v>
      </c>
      <c r="Y3357" s="508"/>
      <c r="Z3357" s="508"/>
      <c r="AA3357" s="508"/>
      <c r="AB3357" s="508"/>
      <c r="AC3357" s="508"/>
      <c r="AD3357" s="508"/>
      <c r="AE3357" s="508"/>
      <c r="AF3357" s="508"/>
      <c r="AG3357" s="508"/>
      <c r="AH3357" s="508"/>
      <c r="AI3357" s="492"/>
      <c r="AJ3357" s="485"/>
    </row>
    <row r="3358" spans="2:36">
      <c r="B3358" s="136" t="s">
        <v>456</v>
      </c>
      <c r="C3358" s="132" t="s">
        <v>1374</v>
      </c>
      <c r="D3358" s="132" t="s">
        <v>283</v>
      </c>
      <c r="E3358" s="508">
        <v>9.4380000000000006</v>
      </c>
      <c r="F3358" s="508">
        <v>9.2769999999999992</v>
      </c>
      <c r="G3358" s="508">
        <v>9.1430000000000007</v>
      </c>
      <c r="H3358" s="508">
        <v>9.0289999999999999</v>
      </c>
      <c r="I3358" s="508">
        <v>8.9320000000000004</v>
      </c>
      <c r="J3358" s="508">
        <v>6.1</v>
      </c>
      <c r="K3358" s="508">
        <v>6.0259999999999998</v>
      </c>
      <c r="L3358" s="508">
        <v>5.9610000000000003</v>
      </c>
      <c r="M3358" s="508">
        <v>5.9029999999999996</v>
      </c>
      <c r="N3358" s="508">
        <v>5.75</v>
      </c>
      <c r="O3358" s="508">
        <v>5.7039999999999997</v>
      </c>
      <c r="P3358" s="508">
        <v>5.6619999999999999</v>
      </c>
      <c r="Q3358" s="508">
        <v>5.625</v>
      </c>
      <c r="R3358" s="508">
        <v>4.2629999999999999</v>
      </c>
      <c r="S3358" s="508">
        <v>4.2309999999999999</v>
      </c>
      <c r="T3358" s="508">
        <v>4.0919999999999996</v>
      </c>
      <c r="U3358" s="508">
        <v>3.9140000000000001</v>
      </c>
      <c r="V3358" s="508">
        <v>3.851</v>
      </c>
      <c r="W3358" s="508"/>
      <c r="X3358" s="508">
        <v>3.7650000000000001</v>
      </c>
      <c r="Y3358" s="508"/>
      <c r="Z3358" s="508"/>
      <c r="AA3358" s="508"/>
      <c r="AB3358" s="508"/>
      <c r="AC3358" s="508"/>
      <c r="AD3358" s="508"/>
      <c r="AE3358" s="508"/>
      <c r="AF3358" s="508"/>
      <c r="AG3358" s="508"/>
      <c r="AH3358" s="508"/>
      <c r="AI3358" s="492"/>
      <c r="AJ3358" s="485"/>
    </row>
    <row r="3359" spans="2:36">
      <c r="B3359" s="136" t="s">
        <v>457</v>
      </c>
      <c r="C3359" s="132" t="s">
        <v>1374</v>
      </c>
      <c r="D3359" s="132" t="s">
        <v>283</v>
      </c>
      <c r="E3359" s="508">
        <v>10.33</v>
      </c>
      <c r="F3359" s="508">
        <v>10.182</v>
      </c>
      <c r="G3359" s="508">
        <v>10.058999999999999</v>
      </c>
      <c r="H3359" s="508">
        <v>9.9550000000000001</v>
      </c>
      <c r="I3359" s="508">
        <v>9.8659999999999997</v>
      </c>
      <c r="J3359" s="508">
        <v>6.58</v>
      </c>
      <c r="K3359" s="508">
        <v>6.5129999999999999</v>
      </c>
      <c r="L3359" s="508">
        <v>6.4530000000000003</v>
      </c>
      <c r="M3359" s="508">
        <v>6.4</v>
      </c>
      <c r="N3359" s="508">
        <v>6.242</v>
      </c>
      <c r="O3359" s="508">
        <v>6.2</v>
      </c>
      <c r="P3359" s="508">
        <v>6.1619999999999999</v>
      </c>
      <c r="Q3359" s="508">
        <v>6.1269999999999998</v>
      </c>
      <c r="R3359" s="508">
        <v>4.673</v>
      </c>
      <c r="S3359" s="508">
        <v>4.6440000000000001</v>
      </c>
      <c r="T3359" s="508">
        <v>4.516</v>
      </c>
      <c r="U3359" s="508">
        <v>4.3600000000000003</v>
      </c>
      <c r="V3359" s="508">
        <v>4.3019999999999996</v>
      </c>
      <c r="W3359" s="508"/>
      <c r="X3359" s="508">
        <v>4.2229999999999999</v>
      </c>
      <c r="Y3359" s="508"/>
      <c r="Z3359" s="508"/>
      <c r="AA3359" s="508"/>
      <c r="AB3359" s="508"/>
      <c r="AC3359" s="508"/>
      <c r="AD3359" s="508"/>
      <c r="AE3359" s="508"/>
      <c r="AF3359" s="508"/>
      <c r="AG3359" s="508"/>
      <c r="AH3359" s="508"/>
      <c r="AI3359" s="492"/>
      <c r="AJ3359" s="485"/>
    </row>
    <row r="3360" spans="2:36">
      <c r="B3360" s="136" t="s">
        <v>458</v>
      </c>
      <c r="C3360" s="132" t="s">
        <v>1374</v>
      </c>
      <c r="D3360" s="132" t="s">
        <v>283</v>
      </c>
      <c r="E3360" s="508">
        <v>10.382999999999999</v>
      </c>
      <c r="F3360" s="508">
        <v>10.212999999999999</v>
      </c>
      <c r="G3360" s="508">
        <v>10.071</v>
      </c>
      <c r="H3360" s="508">
        <v>9.9510000000000005</v>
      </c>
      <c r="I3360" s="508">
        <v>9.8490000000000002</v>
      </c>
      <c r="J3360" s="508">
        <v>6.734</v>
      </c>
      <c r="K3360" s="508">
        <v>6.6559999999999997</v>
      </c>
      <c r="L3360" s="508">
        <v>6.5869999999999997</v>
      </c>
      <c r="M3360" s="508">
        <v>6.5259999999999998</v>
      </c>
      <c r="N3360" s="508">
        <v>6.359</v>
      </c>
      <c r="O3360" s="508">
        <v>6.3109999999999999</v>
      </c>
      <c r="P3360" s="508">
        <v>6.2670000000000003</v>
      </c>
      <c r="Q3360" s="508">
        <v>6.2270000000000003</v>
      </c>
      <c r="R3360" s="508">
        <v>4.6879999999999997</v>
      </c>
      <c r="S3360" s="508">
        <v>4.6550000000000002</v>
      </c>
      <c r="T3360" s="508">
        <v>4.508</v>
      </c>
      <c r="U3360" s="508">
        <v>4.3559999999999999</v>
      </c>
      <c r="V3360" s="508">
        <v>4.29</v>
      </c>
      <c r="W3360" s="508"/>
      <c r="X3360" s="508">
        <v>4.2009999999999996</v>
      </c>
      <c r="Y3360" s="508"/>
      <c r="Z3360" s="508"/>
      <c r="AA3360" s="508"/>
      <c r="AB3360" s="508"/>
      <c r="AC3360" s="508"/>
      <c r="AD3360" s="508"/>
      <c r="AE3360" s="508"/>
      <c r="AF3360" s="508"/>
      <c r="AG3360" s="508"/>
      <c r="AH3360" s="508"/>
      <c r="AI3360" s="492"/>
      <c r="AJ3360" s="485"/>
    </row>
    <row r="3361" spans="2:36">
      <c r="B3361" s="136" t="s">
        <v>459</v>
      </c>
      <c r="C3361" s="132" t="s">
        <v>1374</v>
      </c>
      <c r="D3361" s="132" t="s">
        <v>283</v>
      </c>
      <c r="E3361" s="508">
        <v>10.601000000000001</v>
      </c>
      <c r="F3361" s="508">
        <v>10.43</v>
      </c>
      <c r="G3361" s="508">
        <v>10.288</v>
      </c>
      <c r="H3361" s="508">
        <v>10.167999999999999</v>
      </c>
      <c r="I3361" s="508">
        <v>10.065</v>
      </c>
      <c r="J3361" s="508">
        <v>6.8739999999999997</v>
      </c>
      <c r="K3361" s="508">
        <v>6.7960000000000003</v>
      </c>
      <c r="L3361" s="508">
        <v>6.7270000000000003</v>
      </c>
      <c r="M3361" s="508">
        <v>6.665</v>
      </c>
      <c r="N3361" s="508">
        <v>6.4960000000000004</v>
      </c>
      <c r="O3361" s="508">
        <v>6.4470000000000001</v>
      </c>
      <c r="P3361" s="508">
        <v>6.4029999999999996</v>
      </c>
      <c r="Q3361" s="508">
        <v>6.3630000000000004</v>
      </c>
      <c r="R3361" s="508">
        <v>4.7869999999999999</v>
      </c>
      <c r="S3361" s="508">
        <v>4.7530000000000001</v>
      </c>
      <c r="T3361" s="508">
        <v>4.6059999999999999</v>
      </c>
      <c r="U3361" s="508">
        <v>4.4969999999999999</v>
      </c>
      <c r="V3361" s="508">
        <v>4.4290000000000003</v>
      </c>
      <c r="W3361" s="508"/>
      <c r="X3361" s="508">
        <v>4.3369999999999997</v>
      </c>
      <c r="Y3361" s="508"/>
      <c r="Z3361" s="508"/>
      <c r="AA3361" s="508"/>
      <c r="AB3361" s="508"/>
      <c r="AC3361" s="508"/>
      <c r="AD3361" s="508"/>
      <c r="AE3361" s="508"/>
      <c r="AF3361" s="508"/>
      <c r="AG3361" s="508"/>
      <c r="AH3361" s="508"/>
      <c r="AI3361" s="492"/>
      <c r="AJ3361" s="485"/>
    </row>
    <row r="3362" spans="2:36">
      <c r="B3362" s="136" t="s">
        <v>460</v>
      </c>
      <c r="C3362" s="132" t="s">
        <v>1374</v>
      </c>
      <c r="D3362" s="132" t="s">
        <v>283</v>
      </c>
      <c r="E3362" s="508">
        <v>10.493</v>
      </c>
      <c r="F3362" s="508">
        <v>10.326000000000001</v>
      </c>
      <c r="G3362" s="508">
        <v>10.186</v>
      </c>
      <c r="H3362" s="508">
        <v>10.068</v>
      </c>
      <c r="I3362" s="508">
        <v>9.9670000000000005</v>
      </c>
      <c r="J3362" s="508">
        <v>6.8029999999999999</v>
      </c>
      <c r="K3362" s="508">
        <v>6.726</v>
      </c>
      <c r="L3362" s="508">
        <v>6.6589999999999998</v>
      </c>
      <c r="M3362" s="508">
        <v>6.5990000000000002</v>
      </c>
      <c r="N3362" s="508">
        <v>6.431</v>
      </c>
      <c r="O3362" s="508">
        <v>6.383</v>
      </c>
      <c r="P3362" s="508">
        <v>6.34</v>
      </c>
      <c r="Q3362" s="508">
        <v>6.3010000000000002</v>
      </c>
      <c r="R3362" s="508">
        <v>4.742</v>
      </c>
      <c r="S3362" s="508">
        <v>4.7089999999999996</v>
      </c>
      <c r="T3362" s="508">
        <v>4.5650000000000004</v>
      </c>
      <c r="U3362" s="508">
        <v>4.4619999999999997</v>
      </c>
      <c r="V3362" s="508">
        <v>4.3949999999999996</v>
      </c>
      <c r="W3362" s="508"/>
      <c r="X3362" s="508">
        <v>4.3040000000000003</v>
      </c>
      <c r="Y3362" s="508"/>
      <c r="Z3362" s="508"/>
      <c r="AA3362" s="508"/>
      <c r="AB3362" s="508"/>
      <c r="AC3362" s="508"/>
      <c r="AD3362" s="508"/>
      <c r="AE3362" s="508"/>
      <c r="AF3362" s="508"/>
      <c r="AG3362" s="508"/>
      <c r="AH3362" s="508"/>
      <c r="AI3362" s="492"/>
      <c r="AJ3362" s="485"/>
    </row>
    <row r="3363" spans="2:36">
      <c r="B3363" s="136" t="s">
        <v>461</v>
      </c>
      <c r="C3363" s="132" t="s">
        <v>1374</v>
      </c>
      <c r="D3363" s="132" t="s">
        <v>283</v>
      </c>
      <c r="E3363" s="508">
        <v>10.574</v>
      </c>
      <c r="F3363" s="508">
        <v>10.407999999999999</v>
      </c>
      <c r="G3363" s="508">
        <v>10.269</v>
      </c>
      <c r="H3363" s="508">
        <v>10.151999999999999</v>
      </c>
      <c r="I3363" s="508">
        <v>10.051</v>
      </c>
      <c r="J3363" s="508">
        <v>6.8179999999999996</v>
      </c>
      <c r="K3363" s="508">
        <v>6.742</v>
      </c>
      <c r="L3363" s="508">
        <v>6.6740000000000004</v>
      </c>
      <c r="M3363" s="508">
        <v>6.6139999999999999</v>
      </c>
      <c r="N3363" s="508">
        <v>6.4470000000000001</v>
      </c>
      <c r="O3363" s="508">
        <v>6.4</v>
      </c>
      <c r="P3363" s="508">
        <v>6.3570000000000002</v>
      </c>
      <c r="Q3363" s="508">
        <v>6.3179999999999996</v>
      </c>
      <c r="R3363" s="508">
        <v>4.7889999999999997</v>
      </c>
      <c r="S3363" s="508">
        <v>4.7560000000000002</v>
      </c>
      <c r="T3363" s="508">
        <v>4.6130000000000004</v>
      </c>
      <c r="U3363" s="508">
        <v>4.4320000000000004</v>
      </c>
      <c r="V3363" s="508">
        <v>4.3680000000000003</v>
      </c>
      <c r="W3363" s="508"/>
      <c r="X3363" s="508">
        <v>4.2809999999999997</v>
      </c>
      <c r="Y3363" s="508"/>
      <c r="Z3363" s="508"/>
      <c r="AA3363" s="508"/>
      <c r="AB3363" s="508"/>
      <c r="AC3363" s="508"/>
      <c r="AD3363" s="508"/>
      <c r="AE3363" s="508"/>
      <c r="AF3363" s="508"/>
      <c r="AG3363" s="508"/>
      <c r="AH3363" s="508"/>
      <c r="AI3363" s="492"/>
      <c r="AJ3363" s="485"/>
    </row>
    <row r="3364" spans="2:36">
      <c r="B3364" s="136" t="s">
        <v>462</v>
      </c>
      <c r="C3364" s="132" t="s">
        <v>1374</v>
      </c>
      <c r="D3364" s="132" t="s">
        <v>283</v>
      </c>
      <c r="E3364" s="508">
        <v>9.5280000000000005</v>
      </c>
      <c r="F3364" s="508">
        <v>9.3710000000000004</v>
      </c>
      <c r="G3364" s="508">
        <v>9.2390000000000008</v>
      </c>
      <c r="H3364" s="508">
        <v>9.1280000000000001</v>
      </c>
      <c r="I3364" s="508">
        <v>9.0329999999999995</v>
      </c>
      <c r="J3364" s="508">
        <v>6.117</v>
      </c>
      <c r="K3364" s="508">
        <v>6.0439999999999996</v>
      </c>
      <c r="L3364" s="508">
        <v>5.9809999999999999</v>
      </c>
      <c r="M3364" s="508">
        <v>5.9240000000000004</v>
      </c>
      <c r="N3364" s="508">
        <v>5.7720000000000002</v>
      </c>
      <c r="O3364" s="508">
        <v>5.7270000000000003</v>
      </c>
      <c r="P3364" s="508">
        <v>5.6859999999999999</v>
      </c>
      <c r="Q3364" s="508">
        <v>5.65</v>
      </c>
      <c r="R3364" s="508">
        <v>4.3170000000000002</v>
      </c>
      <c r="S3364" s="508">
        <v>4.2859999999999996</v>
      </c>
      <c r="T3364" s="508">
        <v>4.1509999999999998</v>
      </c>
      <c r="U3364" s="508">
        <v>3.9670000000000001</v>
      </c>
      <c r="V3364" s="508">
        <v>3.9049999999999998</v>
      </c>
      <c r="W3364" s="508"/>
      <c r="X3364" s="508">
        <v>3.8220000000000001</v>
      </c>
      <c r="Y3364" s="508"/>
      <c r="Z3364" s="508"/>
      <c r="AA3364" s="508"/>
      <c r="AB3364" s="508"/>
      <c r="AC3364" s="508"/>
      <c r="AD3364" s="508"/>
      <c r="AE3364" s="508"/>
      <c r="AF3364" s="508"/>
      <c r="AG3364" s="508"/>
      <c r="AH3364" s="508"/>
      <c r="AI3364" s="492"/>
      <c r="AJ3364" s="485"/>
    </row>
    <row r="3365" spans="2:36">
      <c r="B3365" s="136" t="s">
        <v>463</v>
      </c>
      <c r="C3365" s="132" t="s">
        <v>1374</v>
      </c>
      <c r="D3365" s="132" t="s">
        <v>283</v>
      </c>
      <c r="E3365" s="508">
        <v>9.9580000000000002</v>
      </c>
      <c r="F3365" s="508">
        <v>9.8059999999999992</v>
      </c>
      <c r="G3365" s="508">
        <v>9.6790000000000003</v>
      </c>
      <c r="H3365" s="508">
        <v>9.5719999999999992</v>
      </c>
      <c r="I3365" s="508">
        <v>9.48</v>
      </c>
      <c r="J3365" s="508">
        <v>6.38</v>
      </c>
      <c r="K3365" s="508">
        <v>6.31</v>
      </c>
      <c r="L3365" s="508">
        <v>6.2489999999999997</v>
      </c>
      <c r="M3365" s="508">
        <v>6.194</v>
      </c>
      <c r="N3365" s="508">
        <v>6.0389999999999997</v>
      </c>
      <c r="O3365" s="508">
        <v>5.9950000000000001</v>
      </c>
      <c r="P3365" s="508">
        <v>5.9560000000000004</v>
      </c>
      <c r="Q3365" s="508">
        <v>5.92</v>
      </c>
      <c r="R3365" s="508">
        <v>4.492</v>
      </c>
      <c r="S3365" s="508">
        <v>4.4619999999999997</v>
      </c>
      <c r="T3365" s="508">
        <v>4.3310000000000004</v>
      </c>
      <c r="U3365" s="508">
        <v>4.26</v>
      </c>
      <c r="V3365" s="508">
        <v>4.1989999999999998</v>
      </c>
      <c r="W3365" s="508"/>
      <c r="X3365" s="508">
        <v>4.1159999999999997</v>
      </c>
      <c r="Y3365" s="508"/>
      <c r="Z3365" s="508"/>
      <c r="AA3365" s="508"/>
      <c r="AB3365" s="508"/>
      <c r="AC3365" s="508"/>
      <c r="AD3365" s="508"/>
      <c r="AE3365" s="508"/>
      <c r="AF3365" s="508"/>
      <c r="AG3365" s="508"/>
      <c r="AH3365" s="508"/>
      <c r="AI3365" s="492"/>
      <c r="AJ3365" s="485"/>
    </row>
    <row r="3366" spans="2:36">
      <c r="B3366" s="136" t="s">
        <v>464</v>
      </c>
      <c r="C3366" s="132" t="s">
        <v>1374</v>
      </c>
      <c r="D3366" s="132" t="s">
        <v>283</v>
      </c>
      <c r="E3366" s="508">
        <v>10.313000000000001</v>
      </c>
      <c r="F3366" s="508">
        <v>10.169</v>
      </c>
      <c r="G3366" s="508">
        <v>10.048999999999999</v>
      </c>
      <c r="H3366" s="508">
        <v>9.9480000000000004</v>
      </c>
      <c r="I3366" s="508">
        <v>9.8610000000000007</v>
      </c>
      <c r="J3366" s="508">
        <v>6.5739999999999998</v>
      </c>
      <c r="K3366" s="508">
        <v>6.508</v>
      </c>
      <c r="L3366" s="508">
        <v>6.45</v>
      </c>
      <c r="M3366" s="508">
        <v>6.3979999999999997</v>
      </c>
      <c r="N3366" s="508">
        <v>6.2409999999999997</v>
      </c>
      <c r="O3366" s="508">
        <v>6.2</v>
      </c>
      <c r="P3366" s="508">
        <v>6.1630000000000003</v>
      </c>
      <c r="Q3366" s="508">
        <v>6.1289999999999996</v>
      </c>
      <c r="R3366" s="508">
        <v>4.6589999999999998</v>
      </c>
      <c r="S3366" s="508">
        <v>4.63</v>
      </c>
      <c r="T3366" s="508">
        <v>4.5060000000000002</v>
      </c>
      <c r="U3366" s="508">
        <v>4.4400000000000004</v>
      </c>
      <c r="V3366" s="508">
        <v>4.3810000000000002</v>
      </c>
      <c r="W3366" s="508"/>
      <c r="X3366" s="508">
        <v>4.3010000000000002</v>
      </c>
      <c r="Y3366" s="508"/>
      <c r="Z3366" s="508"/>
      <c r="AA3366" s="508"/>
      <c r="AB3366" s="508"/>
      <c r="AC3366" s="508"/>
      <c r="AD3366" s="508"/>
      <c r="AE3366" s="508"/>
      <c r="AF3366" s="508"/>
      <c r="AG3366" s="508"/>
      <c r="AH3366" s="508"/>
      <c r="AI3366" s="492"/>
      <c r="AJ3366" s="485"/>
    </row>
    <row r="3367" spans="2:36">
      <c r="B3367" s="136" t="s">
        <v>465</v>
      </c>
      <c r="C3367" s="132" t="s">
        <v>1374</v>
      </c>
      <c r="D3367" s="132" t="s">
        <v>283</v>
      </c>
      <c r="E3367" s="508">
        <v>10.199</v>
      </c>
      <c r="F3367" s="508">
        <v>10.048999999999999</v>
      </c>
      <c r="G3367" s="508">
        <v>9.9250000000000007</v>
      </c>
      <c r="H3367" s="508">
        <v>9.82</v>
      </c>
      <c r="I3367" s="508">
        <v>9.7289999999999992</v>
      </c>
      <c r="J3367" s="508">
        <v>6.5410000000000004</v>
      </c>
      <c r="K3367" s="508">
        <v>6.4729999999999999</v>
      </c>
      <c r="L3367" s="508">
        <v>6.4119999999999999</v>
      </c>
      <c r="M3367" s="508">
        <v>6.359</v>
      </c>
      <c r="N3367" s="508">
        <v>6.2009999999999996</v>
      </c>
      <c r="O3367" s="508">
        <v>6.1580000000000004</v>
      </c>
      <c r="P3367" s="508">
        <v>6.12</v>
      </c>
      <c r="Q3367" s="508">
        <v>6.085</v>
      </c>
      <c r="R3367" s="508">
        <v>4.5999999999999996</v>
      </c>
      <c r="S3367" s="508">
        <v>4.5709999999999997</v>
      </c>
      <c r="T3367" s="508">
        <v>4.4420000000000002</v>
      </c>
      <c r="U3367" s="508">
        <v>4.3860000000000001</v>
      </c>
      <c r="V3367" s="508">
        <v>4.3239999999999998</v>
      </c>
      <c r="W3367" s="508"/>
      <c r="X3367" s="508">
        <v>4.2409999999999997</v>
      </c>
      <c r="Y3367" s="508"/>
      <c r="Z3367" s="508"/>
      <c r="AA3367" s="508"/>
      <c r="AB3367" s="508"/>
      <c r="AC3367" s="508"/>
      <c r="AD3367" s="508"/>
      <c r="AE3367" s="508"/>
      <c r="AF3367" s="508"/>
      <c r="AG3367" s="508"/>
      <c r="AH3367" s="508"/>
      <c r="AI3367" s="492"/>
      <c r="AJ3367" s="485"/>
    </row>
    <row r="3368" spans="2:36">
      <c r="B3368" s="136" t="s">
        <v>466</v>
      </c>
      <c r="C3368" s="132" t="s">
        <v>1374</v>
      </c>
      <c r="D3368" s="132" t="s">
        <v>283</v>
      </c>
      <c r="E3368" s="508">
        <v>10.789</v>
      </c>
      <c r="F3368" s="508">
        <v>10.615</v>
      </c>
      <c r="G3368" s="508">
        <v>10.47</v>
      </c>
      <c r="H3368" s="508">
        <v>10.347</v>
      </c>
      <c r="I3368" s="508">
        <v>10.242000000000001</v>
      </c>
      <c r="J3368" s="508">
        <v>7.0549999999999997</v>
      </c>
      <c r="K3368" s="508">
        <v>6.9749999999999996</v>
      </c>
      <c r="L3368" s="508">
        <v>6.9050000000000002</v>
      </c>
      <c r="M3368" s="508">
        <v>6.8419999999999996</v>
      </c>
      <c r="N3368" s="508">
        <v>6.6689999999999996</v>
      </c>
      <c r="O3368" s="508">
        <v>6.6189999999999998</v>
      </c>
      <c r="P3368" s="508">
        <v>6.5739999999999998</v>
      </c>
      <c r="Q3368" s="508">
        <v>6.5330000000000004</v>
      </c>
      <c r="R3368" s="508">
        <v>4.8789999999999996</v>
      </c>
      <c r="S3368" s="508">
        <v>4.8440000000000003</v>
      </c>
      <c r="T3368" s="508">
        <v>4.694</v>
      </c>
      <c r="U3368" s="508">
        <v>4.6269999999999998</v>
      </c>
      <c r="V3368" s="508">
        <v>4.5549999999999997</v>
      </c>
      <c r="W3368" s="508"/>
      <c r="X3368" s="508">
        <v>4.4580000000000002</v>
      </c>
      <c r="Y3368" s="508"/>
      <c r="Z3368" s="508"/>
      <c r="AA3368" s="508"/>
      <c r="AB3368" s="508"/>
      <c r="AC3368" s="508"/>
      <c r="AD3368" s="508"/>
      <c r="AE3368" s="508"/>
      <c r="AF3368" s="508"/>
      <c r="AG3368" s="508"/>
      <c r="AH3368" s="508"/>
      <c r="AI3368" s="492"/>
      <c r="AJ3368" s="485"/>
    </row>
    <row r="3369" spans="2:36">
      <c r="B3369" s="136" t="s">
        <v>467</v>
      </c>
      <c r="C3369" s="132" t="s">
        <v>1374</v>
      </c>
      <c r="D3369" s="132" t="s">
        <v>283</v>
      </c>
      <c r="E3369" s="508">
        <v>10.46</v>
      </c>
      <c r="F3369" s="508">
        <v>10.297000000000001</v>
      </c>
      <c r="G3369" s="508">
        <v>10.161</v>
      </c>
      <c r="H3369" s="508">
        <v>10.047000000000001</v>
      </c>
      <c r="I3369" s="508">
        <v>9.9480000000000004</v>
      </c>
      <c r="J3369" s="508">
        <v>6.7329999999999997</v>
      </c>
      <c r="K3369" s="508">
        <v>6.6580000000000004</v>
      </c>
      <c r="L3369" s="508">
        <v>6.5919999999999996</v>
      </c>
      <c r="M3369" s="508">
        <v>6.5339999999999998</v>
      </c>
      <c r="N3369" s="508">
        <v>6.3689999999999998</v>
      </c>
      <c r="O3369" s="508">
        <v>6.3230000000000004</v>
      </c>
      <c r="P3369" s="508">
        <v>6.2809999999999997</v>
      </c>
      <c r="Q3369" s="508">
        <v>6.242</v>
      </c>
      <c r="R3369" s="508">
        <v>4.7370000000000001</v>
      </c>
      <c r="S3369" s="508">
        <v>4.7050000000000001</v>
      </c>
      <c r="T3369" s="508">
        <v>4.5650000000000004</v>
      </c>
      <c r="U3369" s="508">
        <v>4.4359999999999999</v>
      </c>
      <c r="V3369" s="508">
        <v>4.3719999999999999</v>
      </c>
      <c r="W3369" s="508"/>
      <c r="X3369" s="508">
        <v>4.2850000000000001</v>
      </c>
      <c r="Y3369" s="508"/>
      <c r="Z3369" s="508"/>
      <c r="AA3369" s="508"/>
      <c r="AB3369" s="508"/>
      <c r="AC3369" s="508"/>
      <c r="AD3369" s="508"/>
      <c r="AE3369" s="508"/>
      <c r="AF3369" s="508"/>
      <c r="AG3369" s="508"/>
      <c r="AH3369" s="508"/>
      <c r="AI3369" s="492"/>
      <c r="AJ3369" s="485"/>
    </row>
    <row r="3370" spans="2:36">
      <c r="B3370" s="136" t="s">
        <v>468</v>
      </c>
      <c r="C3370" s="132" t="s">
        <v>1374</v>
      </c>
      <c r="D3370" s="132" t="s">
        <v>283</v>
      </c>
      <c r="E3370" s="508">
        <v>10.000999999999999</v>
      </c>
      <c r="F3370" s="508">
        <v>9.8640000000000008</v>
      </c>
      <c r="G3370" s="508">
        <v>9.7490000000000006</v>
      </c>
      <c r="H3370" s="508">
        <v>9.6509999999999998</v>
      </c>
      <c r="I3370" s="508">
        <v>9.5679999999999996</v>
      </c>
      <c r="J3370" s="508">
        <v>6.3929999999999998</v>
      </c>
      <c r="K3370" s="508">
        <v>6.33</v>
      </c>
      <c r="L3370" s="508">
        <v>6.274</v>
      </c>
      <c r="M3370" s="508">
        <v>6.2249999999999996</v>
      </c>
      <c r="N3370" s="508">
        <v>6.0730000000000004</v>
      </c>
      <c r="O3370" s="508">
        <v>6.0339999999999998</v>
      </c>
      <c r="P3370" s="508">
        <v>5.9980000000000002</v>
      </c>
      <c r="Q3370" s="508">
        <v>5.9660000000000002</v>
      </c>
      <c r="R3370" s="508">
        <v>4.4989999999999997</v>
      </c>
      <c r="S3370" s="508">
        <v>4.4710000000000001</v>
      </c>
      <c r="T3370" s="508">
        <v>4.3520000000000003</v>
      </c>
      <c r="U3370" s="508">
        <v>4.2679999999999998</v>
      </c>
      <c r="V3370" s="508">
        <v>4.2130000000000001</v>
      </c>
      <c r="W3370" s="508"/>
      <c r="X3370" s="508">
        <v>4.1390000000000002</v>
      </c>
      <c r="Y3370" s="508"/>
      <c r="Z3370" s="508"/>
      <c r="AA3370" s="508"/>
      <c r="AB3370" s="508"/>
      <c r="AC3370" s="508"/>
      <c r="AD3370" s="508"/>
      <c r="AE3370" s="508"/>
      <c r="AF3370" s="508"/>
      <c r="AG3370" s="508"/>
      <c r="AH3370" s="508"/>
      <c r="AI3370" s="492"/>
      <c r="AJ3370" s="485"/>
    </row>
    <row r="3371" spans="2:36">
      <c r="B3371" s="136" t="s">
        <v>469</v>
      </c>
      <c r="C3371" s="132" t="s">
        <v>1374</v>
      </c>
      <c r="D3371" s="132" t="s">
        <v>283</v>
      </c>
      <c r="E3371" s="508">
        <v>10.353999999999999</v>
      </c>
      <c r="F3371" s="508">
        <v>10.202999999999999</v>
      </c>
      <c r="G3371" s="508">
        <v>10.077</v>
      </c>
      <c r="H3371" s="508">
        <v>9.9700000000000006</v>
      </c>
      <c r="I3371" s="508">
        <v>9.8789999999999996</v>
      </c>
      <c r="J3371" s="508">
        <v>6.6479999999999997</v>
      </c>
      <c r="K3371" s="508">
        <v>6.5789999999999997</v>
      </c>
      <c r="L3371" s="508">
        <v>6.5179999999999998</v>
      </c>
      <c r="M3371" s="508">
        <v>6.4640000000000004</v>
      </c>
      <c r="N3371" s="508">
        <v>6.3040000000000003</v>
      </c>
      <c r="O3371" s="508">
        <v>6.2610000000000001</v>
      </c>
      <c r="P3371" s="508">
        <v>6.2220000000000004</v>
      </c>
      <c r="Q3371" s="508">
        <v>6.1859999999999999</v>
      </c>
      <c r="R3371" s="508">
        <v>4.6769999999999996</v>
      </c>
      <c r="S3371" s="508">
        <v>4.6470000000000002</v>
      </c>
      <c r="T3371" s="508">
        <v>4.5170000000000003</v>
      </c>
      <c r="U3371" s="508">
        <v>4.4610000000000003</v>
      </c>
      <c r="V3371" s="508">
        <v>4.399</v>
      </c>
      <c r="W3371" s="508"/>
      <c r="X3371" s="508">
        <v>4.3140000000000001</v>
      </c>
      <c r="Y3371" s="508"/>
      <c r="Z3371" s="508"/>
      <c r="AA3371" s="508"/>
      <c r="AB3371" s="508"/>
      <c r="AC3371" s="508"/>
      <c r="AD3371" s="508"/>
      <c r="AE3371" s="508"/>
      <c r="AF3371" s="508"/>
      <c r="AG3371" s="508"/>
      <c r="AH3371" s="508"/>
      <c r="AI3371" s="492"/>
      <c r="AJ3371" s="485"/>
    </row>
    <row r="3372" spans="2:36">
      <c r="B3372" s="136" t="s">
        <v>470</v>
      </c>
      <c r="C3372" s="132" t="s">
        <v>1374</v>
      </c>
      <c r="D3372" s="132" t="s">
        <v>283</v>
      </c>
      <c r="E3372" s="508">
        <v>10.648999999999999</v>
      </c>
      <c r="F3372" s="508">
        <v>10.473000000000001</v>
      </c>
      <c r="G3372" s="508">
        <v>10.326000000000001</v>
      </c>
      <c r="H3372" s="508">
        <v>10.202</v>
      </c>
      <c r="I3372" s="508">
        <v>10.095000000000001</v>
      </c>
      <c r="J3372" s="508">
        <v>6.9269999999999996</v>
      </c>
      <c r="K3372" s="508">
        <v>6.8470000000000004</v>
      </c>
      <c r="L3372" s="508">
        <v>6.7750000000000004</v>
      </c>
      <c r="M3372" s="508">
        <v>6.7119999999999997</v>
      </c>
      <c r="N3372" s="508">
        <v>6.54</v>
      </c>
      <c r="O3372" s="508">
        <v>6.49</v>
      </c>
      <c r="P3372" s="508">
        <v>6.444</v>
      </c>
      <c r="Q3372" s="508">
        <v>6.4029999999999996</v>
      </c>
      <c r="R3372" s="508">
        <v>4.8170000000000002</v>
      </c>
      <c r="S3372" s="508">
        <v>4.782</v>
      </c>
      <c r="T3372" s="508">
        <v>4.63</v>
      </c>
      <c r="U3372" s="508">
        <v>4.4729999999999999</v>
      </c>
      <c r="V3372" s="508">
        <v>4.4029999999999996</v>
      </c>
      <c r="W3372" s="508"/>
      <c r="X3372" s="508">
        <v>4.3099999999999996</v>
      </c>
      <c r="Y3372" s="508"/>
      <c r="Z3372" s="508"/>
      <c r="AA3372" s="508"/>
      <c r="AB3372" s="508"/>
      <c r="AC3372" s="508"/>
      <c r="AD3372" s="508"/>
      <c r="AE3372" s="508"/>
      <c r="AF3372" s="508"/>
      <c r="AG3372" s="508"/>
      <c r="AH3372" s="508"/>
      <c r="AI3372" s="492"/>
      <c r="AJ3372" s="485"/>
    </row>
    <row r="3373" spans="2:36">
      <c r="B3373" s="136" t="s">
        <v>471</v>
      </c>
      <c r="C3373" s="132" t="s">
        <v>1374</v>
      </c>
      <c r="D3373" s="132" t="s">
        <v>283</v>
      </c>
      <c r="E3373" s="508">
        <v>10.109</v>
      </c>
      <c r="F3373" s="508">
        <v>9.9390000000000001</v>
      </c>
      <c r="G3373" s="508">
        <v>9.798</v>
      </c>
      <c r="H3373" s="508">
        <v>9.6790000000000003</v>
      </c>
      <c r="I3373" s="508">
        <v>9.577</v>
      </c>
      <c r="J3373" s="508">
        <v>6.54</v>
      </c>
      <c r="K3373" s="508">
        <v>6.4630000000000001</v>
      </c>
      <c r="L3373" s="508">
        <v>6.3940000000000001</v>
      </c>
      <c r="M3373" s="508">
        <v>6.3339999999999996</v>
      </c>
      <c r="N3373" s="508">
        <v>6.1710000000000003</v>
      </c>
      <c r="O3373" s="508">
        <v>6.1219999999999999</v>
      </c>
      <c r="P3373" s="508">
        <v>6.0789999999999997</v>
      </c>
      <c r="Q3373" s="508">
        <v>6.0389999999999997</v>
      </c>
      <c r="R3373" s="508">
        <v>4.5780000000000003</v>
      </c>
      <c r="S3373" s="508">
        <v>4.5449999999999999</v>
      </c>
      <c r="T3373" s="508">
        <v>4.399</v>
      </c>
      <c r="U3373" s="508">
        <v>4.2060000000000004</v>
      </c>
      <c r="V3373" s="508">
        <v>4.1399999999999997</v>
      </c>
      <c r="W3373" s="508"/>
      <c r="X3373" s="508">
        <v>4.0510000000000002</v>
      </c>
      <c r="Y3373" s="508"/>
      <c r="Z3373" s="508"/>
      <c r="AA3373" s="508"/>
      <c r="AB3373" s="508"/>
      <c r="AC3373" s="508"/>
      <c r="AD3373" s="508"/>
      <c r="AE3373" s="508"/>
      <c r="AF3373" s="508"/>
      <c r="AG3373" s="508"/>
      <c r="AH3373" s="508"/>
      <c r="AI3373" s="492"/>
      <c r="AJ3373" s="485"/>
    </row>
    <row r="3374" spans="2:36">
      <c r="B3374" s="136" t="s">
        <v>472</v>
      </c>
      <c r="C3374" s="132" t="s">
        <v>1374</v>
      </c>
      <c r="D3374" s="132" t="s">
        <v>283</v>
      </c>
      <c r="E3374" s="508">
        <v>10.361000000000001</v>
      </c>
      <c r="F3374" s="508">
        <v>10.212999999999999</v>
      </c>
      <c r="G3374" s="508">
        <v>10.090999999999999</v>
      </c>
      <c r="H3374" s="508">
        <v>9.9870000000000001</v>
      </c>
      <c r="I3374" s="508">
        <v>9.8979999999999997</v>
      </c>
      <c r="J3374" s="508">
        <v>6.6020000000000003</v>
      </c>
      <c r="K3374" s="508">
        <v>6.5350000000000001</v>
      </c>
      <c r="L3374" s="508">
        <v>6.4749999999999996</v>
      </c>
      <c r="M3374" s="508">
        <v>6.4219999999999997</v>
      </c>
      <c r="N3374" s="508">
        <v>6.2640000000000002</v>
      </c>
      <c r="O3374" s="508">
        <v>6.2220000000000004</v>
      </c>
      <c r="P3374" s="508">
        <v>6.1840000000000002</v>
      </c>
      <c r="Q3374" s="508">
        <v>6.149</v>
      </c>
      <c r="R3374" s="508">
        <v>4.6859999999999999</v>
      </c>
      <c r="S3374" s="508">
        <v>4.657</v>
      </c>
      <c r="T3374" s="508">
        <v>4.53</v>
      </c>
      <c r="U3374" s="508">
        <v>4.3659999999999997</v>
      </c>
      <c r="V3374" s="508">
        <v>4.3090000000000002</v>
      </c>
      <c r="W3374" s="508"/>
      <c r="X3374" s="508">
        <v>4.2329999999999997</v>
      </c>
      <c r="Y3374" s="508"/>
      <c r="Z3374" s="508"/>
      <c r="AA3374" s="508"/>
      <c r="AB3374" s="508"/>
      <c r="AC3374" s="508"/>
      <c r="AD3374" s="508"/>
      <c r="AE3374" s="508"/>
      <c r="AF3374" s="508"/>
      <c r="AG3374" s="508"/>
      <c r="AH3374" s="508"/>
      <c r="AI3374" s="492"/>
      <c r="AJ3374" s="485"/>
    </row>
    <row r="3375" spans="2:36">
      <c r="B3375" s="136" t="s">
        <v>473</v>
      </c>
      <c r="C3375" s="132" t="s">
        <v>1374</v>
      </c>
      <c r="D3375" s="132" t="s">
        <v>283</v>
      </c>
      <c r="E3375" s="508">
        <v>10.436999999999999</v>
      </c>
      <c r="F3375" s="508">
        <v>10.263</v>
      </c>
      <c r="G3375" s="508">
        <v>10.118</v>
      </c>
      <c r="H3375" s="508">
        <v>9.9960000000000004</v>
      </c>
      <c r="I3375" s="508">
        <v>9.891</v>
      </c>
      <c r="J3375" s="508">
        <v>6.79</v>
      </c>
      <c r="K3375" s="508">
        <v>6.71</v>
      </c>
      <c r="L3375" s="508">
        <v>6.64</v>
      </c>
      <c r="M3375" s="508">
        <v>6.577</v>
      </c>
      <c r="N3375" s="508">
        <v>6.4080000000000004</v>
      </c>
      <c r="O3375" s="508">
        <v>6.359</v>
      </c>
      <c r="P3375" s="508">
        <v>6.3140000000000001</v>
      </c>
      <c r="Q3375" s="508">
        <v>6.2729999999999997</v>
      </c>
      <c r="R3375" s="508">
        <v>4.7249999999999996</v>
      </c>
      <c r="S3375" s="508">
        <v>4.6909999999999998</v>
      </c>
      <c r="T3375" s="508">
        <v>4.54</v>
      </c>
      <c r="U3375" s="508">
        <v>4.42</v>
      </c>
      <c r="V3375" s="508">
        <v>4.3499999999999996</v>
      </c>
      <c r="W3375" s="508"/>
      <c r="X3375" s="508">
        <v>4.2560000000000002</v>
      </c>
      <c r="Y3375" s="508"/>
      <c r="Z3375" s="508"/>
      <c r="AA3375" s="508"/>
      <c r="AB3375" s="508"/>
      <c r="AC3375" s="508"/>
      <c r="AD3375" s="508"/>
      <c r="AE3375" s="508"/>
      <c r="AF3375" s="508"/>
      <c r="AG3375" s="508"/>
      <c r="AH3375" s="508"/>
      <c r="AI3375" s="492"/>
      <c r="AJ3375" s="485"/>
    </row>
    <row r="3376" spans="2:36">
      <c r="B3376" s="136" t="s">
        <v>474</v>
      </c>
      <c r="C3376" s="132" t="s">
        <v>1374</v>
      </c>
      <c r="D3376" s="132" t="s">
        <v>283</v>
      </c>
      <c r="E3376" s="508">
        <v>9.8960000000000008</v>
      </c>
      <c r="F3376" s="508">
        <v>9.7360000000000007</v>
      </c>
      <c r="G3376" s="508">
        <v>9.6020000000000003</v>
      </c>
      <c r="H3376" s="508">
        <v>9.4890000000000008</v>
      </c>
      <c r="I3376" s="508">
        <v>9.3919999999999995</v>
      </c>
      <c r="J3376" s="508">
        <v>6.3879999999999999</v>
      </c>
      <c r="K3376" s="508">
        <v>6.3150000000000004</v>
      </c>
      <c r="L3376" s="508">
        <v>6.25</v>
      </c>
      <c r="M3376" s="508">
        <v>6.1920000000000002</v>
      </c>
      <c r="N3376" s="508">
        <v>6.0350000000000001</v>
      </c>
      <c r="O3376" s="508">
        <v>5.9889999999999999</v>
      </c>
      <c r="P3376" s="508">
        <v>5.9470000000000001</v>
      </c>
      <c r="Q3376" s="508">
        <v>5.91</v>
      </c>
      <c r="R3376" s="508">
        <v>4.476</v>
      </c>
      <c r="S3376" s="508">
        <v>4.444</v>
      </c>
      <c r="T3376" s="508">
        <v>4.306</v>
      </c>
      <c r="U3376" s="508">
        <v>4.2409999999999997</v>
      </c>
      <c r="V3376" s="508">
        <v>4.1749999999999998</v>
      </c>
      <c r="W3376" s="508"/>
      <c r="X3376" s="508">
        <v>4.085</v>
      </c>
      <c r="Y3376" s="508"/>
      <c r="Z3376" s="508"/>
      <c r="AA3376" s="508"/>
      <c r="AB3376" s="508"/>
      <c r="AC3376" s="508"/>
      <c r="AD3376" s="508"/>
      <c r="AE3376" s="508"/>
      <c r="AF3376" s="508"/>
      <c r="AG3376" s="508"/>
      <c r="AH3376" s="508"/>
      <c r="AI3376" s="492"/>
      <c r="AJ3376" s="485"/>
    </row>
    <row r="3377" spans="2:36">
      <c r="B3377" s="136" t="s">
        <v>475</v>
      </c>
      <c r="C3377" s="132" t="s">
        <v>1374</v>
      </c>
      <c r="D3377" s="132" t="s">
        <v>283</v>
      </c>
      <c r="E3377" s="508">
        <v>10.196</v>
      </c>
      <c r="F3377" s="508">
        <v>10.037000000000001</v>
      </c>
      <c r="G3377" s="508">
        <v>9.9049999999999994</v>
      </c>
      <c r="H3377" s="508">
        <v>9.7929999999999993</v>
      </c>
      <c r="I3377" s="508">
        <v>9.6980000000000004</v>
      </c>
      <c r="J3377" s="508">
        <v>6.56</v>
      </c>
      <c r="K3377" s="508">
        <v>6.4870000000000001</v>
      </c>
      <c r="L3377" s="508">
        <v>6.423</v>
      </c>
      <c r="M3377" s="508">
        <v>6.3659999999999997</v>
      </c>
      <c r="N3377" s="508">
        <v>6.2060000000000004</v>
      </c>
      <c r="O3377" s="508">
        <v>6.16</v>
      </c>
      <c r="P3377" s="508">
        <v>6.1189999999999998</v>
      </c>
      <c r="Q3377" s="508">
        <v>6.0819999999999999</v>
      </c>
      <c r="R3377" s="508">
        <v>4.6130000000000004</v>
      </c>
      <c r="S3377" s="508">
        <v>4.5810000000000004</v>
      </c>
      <c r="T3377" s="508">
        <v>4.4450000000000003</v>
      </c>
      <c r="U3377" s="508">
        <v>4.3760000000000003</v>
      </c>
      <c r="V3377" s="508">
        <v>4.3109999999999999</v>
      </c>
      <c r="W3377" s="508"/>
      <c r="X3377" s="508">
        <v>4.2229999999999999</v>
      </c>
      <c r="Y3377" s="508"/>
      <c r="Z3377" s="508"/>
      <c r="AA3377" s="508"/>
      <c r="AB3377" s="508"/>
      <c r="AC3377" s="508"/>
      <c r="AD3377" s="508"/>
      <c r="AE3377" s="508"/>
      <c r="AF3377" s="508"/>
      <c r="AG3377" s="508"/>
      <c r="AH3377" s="508"/>
      <c r="AI3377" s="492"/>
      <c r="AJ3377" s="485"/>
    </row>
    <row r="3378" spans="2:36">
      <c r="B3378" s="136" t="s">
        <v>476</v>
      </c>
      <c r="C3378" s="132" t="s">
        <v>1374</v>
      </c>
      <c r="D3378" s="132" t="s">
        <v>283</v>
      </c>
      <c r="E3378" s="508">
        <v>10.459</v>
      </c>
      <c r="F3378" s="508">
        <v>10.292</v>
      </c>
      <c r="G3378" s="508">
        <v>10.151999999999999</v>
      </c>
      <c r="H3378" s="508">
        <v>10.034000000000001</v>
      </c>
      <c r="I3378" s="508">
        <v>9.9329999999999998</v>
      </c>
      <c r="J3378" s="508">
        <v>6.7830000000000004</v>
      </c>
      <c r="K3378" s="508">
        <v>6.7060000000000004</v>
      </c>
      <c r="L3378" s="508">
        <v>6.6390000000000002</v>
      </c>
      <c r="M3378" s="508">
        <v>6.5780000000000003</v>
      </c>
      <c r="N3378" s="508">
        <v>6.4119999999999999</v>
      </c>
      <c r="O3378" s="508">
        <v>6.3639999999999999</v>
      </c>
      <c r="P3378" s="508">
        <v>6.3209999999999997</v>
      </c>
      <c r="Q3378" s="508">
        <v>6.2809999999999997</v>
      </c>
      <c r="R3378" s="508">
        <v>4.7249999999999996</v>
      </c>
      <c r="S3378" s="508">
        <v>4.6920000000000002</v>
      </c>
      <c r="T3378" s="508">
        <v>4.548</v>
      </c>
      <c r="U3378" s="508">
        <v>4.4000000000000004</v>
      </c>
      <c r="V3378" s="508">
        <v>4.3339999999999996</v>
      </c>
      <c r="W3378" s="508"/>
      <c r="X3378" s="508">
        <v>4.2439999999999998</v>
      </c>
      <c r="Y3378" s="508"/>
      <c r="Z3378" s="508"/>
      <c r="AA3378" s="508"/>
      <c r="AB3378" s="508"/>
      <c r="AC3378" s="508"/>
      <c r="AD3378" s="508"/>
      <c r="AE3378" s="508"/>
      <c r="AF3378" s="508"/>
      <c r="AG3378" s="508"/>
      <c r="AH3378" s="508"/>
      <c r="AI3378" s="492"/>
      <c r="AJ3378" s="485"/>
    </row>
    <row r="3379" spans="2:36">
      <c r="B3379" s="136" t="s">
        <v>478</v>
      </c>
      <c r="C3379" s="132" t="s">
        <v>1374</v>
      </c>
      <c r="D3379" s="132" t="s">
        <v>283</v>
      </c>
      <c r="E3379" s="508">
        <v>10.693</v>
      </c>
      <c r="F3379" s="508">
        <v>10.515000000000001</v>
      </c>
      <c r="G3379" s="508">
        <v>10.366</v>
      </c>
      <c r="H3379" s="508">
        <v>10.24</v>
      </c>
      <c r="I3379" s="508">
        <v>10.132</v>
      </c>
      <c r="J3379" s="508">
        <v>6.9850000000000003</v>
      </c>
      <c r="K3379" s="508">
        <v>6.9029999999999996</v>
      </c>
      <c r="L3379" s="508">
        <v>6.8310000000000004</v>
      </c>
      <c r="M3379" s="508">
        <v>6.7670000000000003</v>
      </c>
      <c r="N3379" s="508">
        <v>6.5940000000000003</v>
      </c>
      <c r="O3379" s="508">
        <v>6.5430000000000001</v>
      </c>
      <c r="P3379" s="508">
        <v>6.4969999999999999</v>
      </c>
      <c r="Q3379" s="508">
        <v>6.4550000000000001</v>
      </c>
      <c r="R3379" s="508">
        <v>4.827</v>
      </c>
      <c r="S3379" s="508">
        <v>4.7919999999999998</v>
      </c>
      <c r="T3379" s="508">
        <v>4.6379999999999999</v>
      </c>
      <c r="U3379" s="508">
        <v>4.5229999999999997</v>
      </c>
      <c r="V3379" s="508">
        <v>4.452</v>
      </c>
      <c r="W3379" s="508"/>
      <c r="X3379" s="508">
        <v>4.3559999999999999</v>
      </c>
      <c r="Y3379" s="508"/>
      <c r="Z3379" s="508"/>
      <c r="AA3379" s="508"/>
      <c r="AB3379" s="508"/>
      <c r="AC3379" s="508"/>
      <c r="AD3379" s="508"/>
      <c r="AE3379" s="508"/>
      <c r="AF3379" s="508"/>
      <c r="AG3379" s="508"/>
      <c r="AH3379" s="508"/>
      <c r="AI3379" s="492"/>
      <c r="AJ3379" s="485"/>
    </row>
    <row r="3380" spans="2:36">
      <c r="B3380" s="136" t="s">
        <v>479</v>
      </c>
      <c r="C3380" s="132" t="s">
        <v>1374</v>
      </c>
      <c r="D3380" s="132" t="s">
        <v>283</v>
      </c>
      <c r="E3380" s="508">
        <v>9.827</v>
      </c>
      <c r="F3380" s="508">
        <v>9.6690000000000005</v>
      </c>
      <c r="G3380" s="508">
        <v>9.5380000000000003</v>
      </c>
      <c r="H3380" s="508">
        <v>9.4269999999999996</v>
      </c>
      <c r="I3380" s="508">
        <v>9.3309999999999995</v>
      </c>
      <c r="J3380" s="508">
        <v>6.3390000000000004</v>
      </c>
      <c r="K3380" s="508">
        <v>6.2670000000000003</v>
      </c>
      <c r="L3380" s="508">
        <v>6.2030000000000003</v>
      </c>
      <c r="M3380" s="508">
        <v>6.1459999999999999</v>
      </c>
      <c r="N3380" s="508">
        <v>5.99</v>
      </c>
      <c r="O3380" s="508">
        <v>5.9450000000000003</v>
      </c>
      <c r="P3380" s="508">
        <v>5.9050000000000002</v>
      </c>
      <c r="Q3380" s="508">
        <v>5.8680000000000003</v>
      </c>
      <c r="R3380" s="508">
        <v>4.4359999999999999</v>
      </c>
      <c r="S3380" s="508">
        <v>4.4050000000000002</v>
      </c>
      <c r="T3380" s="508">
        <v>4.2690000000000001</v>
      </c>
      <c r="U3380" s="508">
        <v>4.0830000000000002</v>
      </c>
      <c r="V3380" s="508">
        <v>4.0209999999999999</v>
      </c>
      <c r="W3380" s="508"/>
      <c r="X3380" s="508">
        <v>3.9380000000000002</v>
      </c>
      <c r="Y3380" s="508"/>
      <c r="Z3380" s="508"/>
      <c r="AA3380" s="508"/>
      <c r="AB3380" s="508"/>
      <c r="AC3380" s="508"/>
      <c r="AD3380" s="508"/>
      <c r="AE3380" s="508"/>
      <c r="AF3380" s="508"/>
      <c r="AG3380" s="508"/>
      <c r="AH3380" s="508"/>
      <c r="AI3380" s="492"/>
      <c r="AJ3380" s="485"/>
    </row>
    <row r="3381" spans="2:36">
      <c r="B3381" s="136" t="s">
        <v>480</v>
      </c>
      <c r="C3381" s="132" t="s">
        <v>1374</v>
      </c>
      <c r="D3381" s="132" t="s">
        <v>283</v>
      </c>
      <c r="E3381" s="508">
        <v>10.254</v>
      </c>
      <c r="F3381" s="508">
        <v>10.111000000000001</v>
      </c>
      <c r="G3381" s="508">
        <v>9.9920000000000009</v>
      </c>
      <c r="H3381" s="508">
        <v>9.8919999999999995</v>
      </c>
      <c r="I3381" s="508">
        <v>9.8049999999999997</v>
      </c>
      <c r="J3381" s="508">
        <v>6.5359999999999996</v>
      </c>
      <c r="K3381" s="508">
        <v>6.47</v>
      </c>
      <c r="L3381" s="508">
        <v>6.4130000000000003</v>
      </c>
      <c r="M3381" s="508">
        <v>6.3609999999999998</v>
      </c>
      <c r="N3381" s="508">
        <v>6.2060000000000004</v>
      </c>
      <c r="O3381" s="508">
        <v>6.165</v>
      </c>
      <c r="P3381" s="508">
        <v>6.1280000000000001</v>
      </c>
      <c r="Q3381" s="508">
        <v>6.0940000000000003</v>
      </c>
      <c r="R3381" s="508">
        <v>4.6239999999999997</v>
      </c>
      <c r="S3381" s="508">
        <v>4.5960000000000001</v>
      </c>
      <c r="T3381" s="508">
        <v>4.4729999999999999</v>
      </c>
      <c r="U3381" s="508">
        <v>4.3129999999999997</v>
      </c>
      <c r="V3381" s="508">
        <v>4.258</v>
      </c>
      <c r="W3381" s="508"/>
      <c r="X3381" s="508">
        <v>4.1840000000000002</v>
      </c>
      <c r="Y3381" s="508"/>
      <c r="Z3381" s="508"/>
      <c r="AA3381" s="508"/>
      <c r="AB3381" s="508"/>
      <c r="AC3381" s="508"/>
      <c r="AD3381" s="508"/>
      <c r="AE3381" s="508"/>
      <c r="AF3381" s="508"/>
      <c r="AG3381" s="508"/>
      <c r="AH3381" s="508"/>
      <c r="AI3381" s="492"/>
      <c r="AJ3381" s="485"/>
    </row>
    <row r="3382" spans="2:36">
      <c r="B3382" s="136" t="s">
        <v>481</v>
      </c>
      <c r="C3382" s="132" t="s">
        <v>1374</v>
      </c>
      <c r="D3382" s="132" t="s">
        <v>283</v>
      </c>
      <c r="E3382" s="508">
        <v>10.057</v>
      </c>
      <c r="F3382" s="508">
        <v>9.8940000000000001</v>
      </c>
      <c r="G3382" s="508">
        <v>9.7590000000000003</v>
      </c>
      <c r="H3382" s="508">
        <v>9.6440000000000001</v>
      </c>
      <c r="I3382" s="508">
        <v>9.5459999999999994</v>
      </c>
      <c r="J3382" s="508">
        <v>6.5049999999999999</v>
      </c>
      <c r="K3382" s="508">
        <v>6.431</v>
      </c>
      <c r="L3382" s="508">
        <v>6.3650000000000002</v>
      </c>
      <c r="M3382" s="508">
        <v>6.306</v>
      </c>
      <c r="N3382" s="508">
        <v>6.1459999999999999</v>
      </c>
      <c r="O3382" s="508">
        <v>6.1</v>
      </c>
      <c r="P3382" s="508">
        <v>6.0579999999999998</v>
      </c>
      <c r="Q3382" s="508">
        <v>6.02</v>
      </c>
      <c r="R3382" s="508">
        <v>4.5410000000000004</v>
      </c>
      <c r="S3382" s="508">
        <v>4.5090000000000003</v>
      </c>
      <c r="T3382" s="508">
        <v>4.3689999999999998</v>
      </c>
      <c r="U3382" s="508">
        <v>4.2249999999999996</v>
      </c>
      <c r="V3382" s="508">
        <v>4.1609999999999996</v>
      </c>
      <c r="W3382" s="508"/>
      <c r="X3382" s="508">
        <v>4.0739999999999998</v>
      </c>
      <c r="Y3382" s="508"/>
      <c r="Z3382" s="508"/>
      <c r="AA3382" s="508"/>
      <c r="AB3382" s="508"/>
      <c r="AC3382" s="508"/>
      <c r="AD3382" s="508"/>
      <c r="AE3382" s="508"/>
      <c r="AF3382" s="508"/>
      <c r="AG3382" s="508"/>
      <c r="AH3382" s="508"/>
      <c r="AI3382" s="492"/>
      <c r="AJ3382" s="485"/>
    </row>
    <row r="3383" spans="2:36">
      <c r="B3383" s="136" t="s">
        <v>482</v>
      </c>
      <c r="C3383" s="132" t="s">
        <v>1374</v>
      </c>
      <c r="D3383" s="132" t="s">
        <v>283</v>
      </c>
      <c r="E3383" s="508">
        <v>9.5879999999999992</v>
      </c>
      <c r="F3383" s="508">
        <v>9.4260000000000002</v>
      </c>
      <c r="G3383" s="508">
        <v>9.2899999999999991</v>
      </c>
      <c r="H3383" s="508">
        <v>9.1750000000000007</v>
      </c>
      <c r="I3383" s="508">
        <v>9.077</v>
      </c>
      <c r="J3383" s="508">
        <v>6.2050000000000001</v>
      </c>
      <c r="K3383" s="508">
        <v>6.1310000000000002</v>
      </c>
      <c r="L3383" s="508">
        <v>6.0650000000000004</v>
      </c>
      <c r="M3383" s="508">
        <v>6.0060000000000002</v>
      </c>
      <c r="N3383" s="508">
        <v>5.851</v>
      </c>
      <c r="O3383" s="508">
        <v>5.8049999999999997</v>
      </c>
      <c r="P3383" s="508">
        <v>5.7629999999999999</v>
      </c>
      <c r="Q3383" s="508">
        <v>5.7249999999999996</v>
      </c>
      <c r="R3383" s="508">
        <v>4.3280000000000003</v>
      </c>
      <c r="S3383" s="508">
        <v>4.2960000000000003</v>
      </c>
      <c r="T3383" s="508">
        <v>4.1559999999999997</v>
      </c>
      <c r="U3383" s="508">
        <v>4.0110000000000001</v>
      </c>
      <c r="V3383" s="508">
        <v>3.948</v>
      </c>
      <c r="W3383" s="508"/>
      <c r="X3383" s="508">
        <v>3.8620000000000001</v>
      </c>
      <c r="Y3383" s="508"/>
      <c r="Z3383" s="508"/>
      <c r="AA3383" s="508"/>
      <c r="AB3383" s="508"/>
      <c r="AC3383" s="508"/>
      <c r="AD3383" s="508"/>
      <c r="AE3383" s="508"/>
      <c r="AF3383" s="508"/>
      <c r="AG3383" s="508"/>
      <c r="AH3383" s="508"/>
      <c r="AI3383" s="492"/>
      <c r="AJ3383" s="485"/>
    </row>
    <row r="3384" spans="2:36">
      <c r="B3384" s="136" t="s">
        <v>483</v>
      </c>
      <c r="C3384" s="132" t="s">
        <v>1374</v>
      </c>
      <c r="D3384" s="132" t="s">
        <v>283</v>
      </c>
      <c r="E3384" s="508">
        <v>10.823</v>
      </c>
      <c r="F3384" s="508">
        <v>10.648</v>
      </c>
      <c r="G3384" s="508">
        <v>10.502000000000001</v>
      </c>
      <c r="H3384" s="508">
        <v>10.378</v>
      </c>
      <c r="I3384" s="508">
        <v>10.272</v>
      </c>
      <c r="J3384" s="508">
        <v>7.0579999999999998</v>
      </c>
      <c r="K3384" s="508">
        <v>6.9770000000000003</v>
      </c>
      <c r="L3384" s="508">
        <v>6.907</v>
      </c>
      <c r="M3384" s="508">
        <v>6.843</v>
      </c>
      <c r="N3384" s="508">
        <v>6.67</v>
      </c>
      <c r="O3384" s="508">
        <v>6.62</v>
      </c>
      <c r="P3384" s="508">
        <v>6.5739999999999998</v>
      </c>
      <c r="Q3384" s="508">
        <v>6.5330000000000004</v>
      </c>
      <c r="R3384" s="508">
        <v>4.8879999999999999</v>
      </c>
      <c r="S3384" s="508">
        <v>4.8540000000000001</v>
      </c>
      <c r="T3384" s="508">
        <v>4.7030000000000003</v>
      </c>
      <c r="U3384" s="508">
        <v>4.6239999999999997</v>
      </c>
      <c r="V3384" s="508">
        <v>4.5519999999999996</v>
      </c>
      <c r="W3384" s="508"/>
      <c r="X3384" s="508">
        <v>4.4550000000000001</v>
      </c>
      <c r="Y3384" s="508"/>
      <c r="Z3384" s="508"/>
      <c r="AA3384" s="508"/>
      <c r="AB3384" s="508"/>
      <c r="AC3384" s="508"/>
      <c r="AD3384" s="508"/>
      <c r="AE3384" s="508"/>
      <c r="AF3384" s="508"/>
      <c r="AG3384" s="508"/>
      <c r="AH3384" s="508"/>
      <c r="AI3384" s="492"/>
      <c r="AJ3384" s="485"/>
    </row>
    <row r="3385" spans="2:36">
      <c r="B3385" s="136" t="s">
        <v>484</v>
      </c>
      <c r="C3385" s="132" t="s">
        <v>1374</v>
      </c>
      <c r="D3385" s="132" t="s">
        <v>283</v>
      </c>
      <c r="E3385" s="508">
        <v>10.38</v>
      </c>
      <c r="F3385" s="508">
        <v>10.231999999999999</v>
      </c>
      <c r="G3385" s="508">
        <v>10.109</v>
      </c>
      <c r="H3385" s="508">
        <v>10.005000000000001</v>
      </c>
      <c r="I3385" s="508">
        <v>9.9160000000000004</v>
      </c>
      <c r="J3385" s="508">
        <v>6.6139999999999999</v>
      </c>
      <c r="K3385" s="508">
        <v>6.5460000000000003</v>
      </c>
      <c r="L3385" s="508">
        <v>6.4859999999999998</v>
      </c>
      <c r="M3385" s="508">
        <v>6.4329999999999998</v>
      </c>
      <c r="N3385" s="508">
        <v>6.274</v>
      </c>
      <c r="O3385" s="508">
        <v>6.2320000000000002</v>
      </c>
      <c r="P3385" s="508">
        <v>6.194</v>
      </c>
      <c r="Q3385" s="508">
        <v>6.1589999999999998</v>
      </c>
      <c r="R3385" s="508">
        <v>4.6929999999999996</v>
      </c>
      <c r="S3385" s="508">
        <v>4.6639999999999997</v>
      </c>
      <c r="T3385" s="508">
        <v>4.5359999999999996</v>
      </c>
      <c r="U3385" s="508">
        <v>4.3540000000000001</v>
      </c>
      <c r="V3385" s="508">
        <v>4.2960000000000003</v>
      </c>
      <c r="W3385" s="508"/>
      <c r="X3385" s="508">
        <v>4.218</v>
      </c>
      <c r="Y3385" s="508"/>
      <c r="Z3385" s="508"/>
      <c r="AA3385" s="508"/>
      <c r="AB3385" s="508"/>
      <c r="AC3385" s="508"/>
      <c r="AD3385" s="508"/>
      <c r="AE3385" s="508"/>
      <c r="AF3385" s="508"/>
      <c r="AG3385" s="508"/>
      <c r="AH3385" s="508"/>
      <c r="AI3385" s="492"/>
      <c r="AJ3385" s="485"/>
    </row>
    <row r="3386" spans="2:36">
      <c r="B3386" s="136" t="s">
        <v>486</v>
      </c>
      <c r="C3386" s="132" t="s">
        <v>1374</v>
      </c>
      <c r="D3386" s="132" t="s">
        <v>283</v>
      </c>
      <c r="E3386" s="508">
        <v>10.209</v>
      </c>
      <c r="F3386" s="508">
        <v>10.044</v>
      </c>
      <c r="G3386" s="508">
        <v>9.907</v>
      </c>
      <c r="H3386" s="508">
        <v>9.7910000000000004</v>
      </c>
      <c r="I3386" s="508">
        <v>9.6920000000000002</v>
      </c>
      <c r="J3386" s="508">
        <v>6.609</v>
      </c>
      <c r="K3386" s="508">
        <v>6.5339999999999998</v>
      </c>
      <c r="L3386" s="508">
        <v>6.4669999999999996</v>
      </c>
      <c r="M3386" s="508">
        <v>6.4080000000000004</v>
      </c>
      <c r="N3386" s="508">
        <v>6.2450000000000001</v>
      </c>
      <c r="O3386" s="508">
        <v>6.1980000000000004</v>
      </c>
      <c r="P3386" s="508">
        <v>6.1559999999999997</v>
      </c>
      <c r="Q3386" s="508">
        <v>6.117</v>
      </c>
      <c r="R3386" s="508">
        <v>4.609</v>
      </c>
      <c r="S3386" s="508">
        <v>4.577</v>
      </c>
      <c r="T3386" s="508">
        <v>4.4349999999999996</v>
      </c>
      <c r="U3386" s="508">
        <v>4.2709999999999999</v>
      </c>
      <c r="V3386" s="508">
        <v>4.2069999999999999</v>
      </c>
      <c r="W3386" s="508"/>
      <c r="X3386" s="508">
        <v>4.12</v>
      </c>
      <c r="Y3386" s="508"/>
      <c r="Z3386" s="508"/>
      <c r="AA3386" s="508"/>
      <c r="AB3386" s="508"/>
      <c r="AC3386" s="508"/>
      <c r="AD3386" s="508"/>
      <c r="AE3386" s="508"/>
      <c r="AF3386" s="508"/>
      <c r="AG3386" s="508"/>
      <c r="AH3386" s="508"/>
      <c r="AI3386" s="492"/>
      <c r="AJ3386" s="485"/>
    </row>
    <row r="3387" spans="2:36">
      <c r="B3387" s="136" t="s">
        <v>487</v>
      </c>
      <c r="C3387" s="132" t="s">
        <v>1374</v>
      </c>
      <c r="D3387" s="132" t="s">
        <v>283</v>
      </c>
      <c r="E3387" s="508">
        <v>10.492000000000001</v>
      </c>
      <c r="F3387" s="508">
        <v>10.324999999999999</v>
      </c>
      <c r="G3387" s="508">
        <v>10.186999999999999</v>
      </c>
      <c r="H3387" s="508">
        <v>10.069000000000001</v>
      </c>
      <c r="I3387" s="508">
        <v>9.9689999999999994</v>
      </c>
      <c r="J3387" s="508">
        <v>6.8</v>
      </c>
      <c r="K3387" s="508">
        <v>6.7240000000000002</v>
      </c>
      <c r="L3387" s="508">
        <v>6.6559999999999997</v>
      </c>
      <c r="M3387" s="508">
        <v>6.5970000000000004</v>
      </c>
      <c r="N3387" s="508">
        <v>6.43</v>
      </c>
      <c r="O3387" s="508">
        <v>6.3819999999999997</v>
      </c>
      <c r="P3387" s="508">
        <v>6.3390000000000004</v>
      </c>
      <c r="Q3387" s="508">
        <v>6.3</v>
      </c>
      <c r="R3387" s="508">
        <v>4.7309999999999999</v>
      </c>
      <c r="S3387" s="508">
        <v>4.6989999999999998</v>
      </c>
      <c r="T3387" s="508">
        <v>4.5549999999999997</v>
      </c>
      <c r="U3387" s="508">
        <v>4.4729999999999999</v>
      </c>
      <c r="V3387" s="508">
        <v>4.4039999999999999</v>
      </c>
      <c r="W3387" s="508"/>
      <c r="X3387" s="508">
        <v>4.3129999999999997</v>
      </c>
      <c r="Y3387" s="508"/>
      <c r="Z3387" s="508"/>
      <c r="AA3387" s="508"/>
      <c r="AB3387" s="508"/>
      <c r="AC3387" s="508"/>
      <c r="AD3387" s="508"/>
      <c r="AE3387" s="508"/>
      <c r="AF3387" s="508"/>
      <c r="AG3387" s="508"/>
      <c r="AH3387" s="508"/>
      <c r="AI3387" s="492"/>
      <c r="AJ3387" s="485"/>
    </row>
    <row r="3388" spans="2:36">
      <c r="B3388" s="136" t="s">
        <v>488</v>
      </c>
      <c r="C3388" s="132" t="s">
        <v>1374</v>
      </c>
      <c r="D3388" s="132" t="s">
        <v>283</v>
      </c>
      <c r="E3388" s="508">
        <v>10.074</v>
      </c>
      <c r="F3388" s="508">
        <v>9.923</v>
      </c>
      <c r="G3388" s="508">
        <v>9.7970000000000006</v>
      </c>
      <c r="H3388" s="508">
        <v>9.6910000000000007</v>
      </c>
      <c r="I3388" s="508">
        <v>9.5990000000000002</v>
      </c>
      <c r="J3388" s="508">
        <v>6.4489999999999998</v>
      </c>
      <c r="K3388" s="508">
        <v>6.3789999999999996</v>
      </c>
      <c r="L3388" s="508">
        <v>6.3179999999999996</v>
      </c>
      <c r="M3388" s="508">
        <v>6.2640000000000002</v>
      </c>
      <c r="N3388" s="508">
        <v>6.1070000000000002</v>
      </c>
      <c r="O3388" s="508">
        <v>6.0640000000000001</v>
      </c>
      <c r="P3388" s="508">
        <v>6.0250000000000004</v>
      </c>
      <c r="Q3388" s="508">
        <v>5.99</v>
      </c>
      <c r="R3388" s="508">
        <v>4.55</v>
      </c>
      <c r="S3388" s="508">
        <v>4.5199999999999996</v>
      </c>
      <c r="T3388" s="508">
        <v>4.3899999999999997</v>
      </c>
      <c r="U3388" s="508">
        <v>4.2560000000000002</v>
      </c>
      <c r="V3388" s="508">
        <v>4.1959999999999997</v>
      </c>
      <c r="W3388" s="508"/>
      <c r="X3388" s="508">
        <v>4.1150000000000002</v>
      </c>
      <c r="Y3388" s="508"/>
      <c r="Z3388" s="508"/>
      <c r="AA3388" s="508"/>
      <c r="AB3388" s="508"/>
      <c r="AC3388" s="508"/>
      <c r="AD3388" s="508"/>
      <c r="AE3388" s="508"/>
      <c r="AF3388" s="508"/>
      <c r="AG3388" s="508"/>
      <c r="AH3388" s="508"/>
      <c r="AI3388" s="492"/>
      <c r="AJ3388" s="485"/>
    </row>
    <row r="3389" spans="2:36">
      <c r="B3389" s="136" t="s">
        <v>489</v>
      </c>
      <c r="C3389" s="132" t="s">
        <v>1374</v>
      </c>
      <c r="D3389" s="132" t="s">
        <v>283</v>
      </c>
      <c r="E3389" s="508">
        <v>10.359</v>
      </c>
      <c r="F3389" s="508">
        <v>10.199999999999999</v>
      </c>
      <c r="G3389" s="508">
        <v>10.069000000000001</v>
      </c>
      <c r="H3389" s="508">
        <v>9.9570000000000007</v>
      </c>
      <c r="I3389" s="508">
        <v>9.8620000000000001</v>
      </c>
      <c r="J3389" s="508">
        <v>6.6589999999999998</v>
      </c>
      <c r="K3389" s="508">
        <v>6.5869999999999997</v>
      </c>
      <c r="L3389" s="508">
        <v>6.5229999999999997</v>
      </c>
      <c r="M3389" s="508">
        <v>6.4660000000000002</v>
      </c>
      <c r="N3389" s="508">
        <v>6.3040000000000003</v>
      </c>
      <c r="O3389" s="508">
        <v>6.2590000000000003</v>
      </c>
      <c r="P3389" s="508">
        <v>6.218</v>
      </c>
      <c r="Q3389" s="508">
        <v>6.181</v>
      </c>
      <c r="R3389" s="508">
        <v>4.6849999999999996</v>
      </c>
      <c r="S3389" s="508">
        <v>4.6539999999999999</v>
      </c>
      <c r="T3389" s="508">
        <v>4.5170000000000003</v>
      </c>
      <c r="U3389" s="508">
        <v>4.3570000000000002</v>
      </c>
      <c r="V3389" s="508">
        <v>4.2960000000000003</v>
      </c>
      <c r="W3389" s="508"/>
      <c r="X3389" s="508">
        <v>4.2140000000000004</v>
      </c>
      <c r="Y3389" s="508"/>
      <c r="Z3389" s="508"/>
      <c r="AA3389" s="508"/>
      <c r="AB3389" s="508"/>
      <c r="AC3389" s="508"/>
      <c r="AD3389" s="508"/>
      <c r="AE3389" s="508"/>
      <c r="AF3389" s="508"/>
      <c r="AG3389" s="508"/>
      <c r="AH3389" s="508"/>
      <c r="AI3389" s="492"/>
      <c r="AJ3389" s="485"/>
    </row>
    <row r="3390" spans="2:36">
      <c r="B3390" s="136" t="s">
        <v>490</v>
      </c>
      <c r="C3390" s="132" t="s">
        <v>1374</v>
      </c>
      <c r="D3390" s="132" t="s">
        <v>283</v>
      </c>
      <c r="E3390" s="508">
        <v>10.419</v>
      </c>
      <c r="F3390" s="508">
        <v>10.276999999999999</v>
      </c>
      <c r="G3390" s="508">
        <v>10.159000000000001</v>
      </c>
      <c r="H3390" s="508">
        <v>10.058999999999999</v>
      </c>
      <c r="I3390" s="508">
        <v>9.9740000000000002</v>
      </c>
      <c r="J3390" s="508">
        <v>6.6509999999999998</v>
      </c>
      <c r="K3390" s="508">
        <v>6.5860000000000003</v>
      </c>
      <c r="L3390" s="508">
        <v>6.5289999999999999</v>
      </c>
      <c r="M3390" s="508">
        <v>6.4779999999999998</v>
      </c>
      <c r="N3390" s="508">
        <v>6.3209999999999997</v>
      </c>
      <c r="O3390" s="508">
        <v>6.28</v>
      </c>
      <c r="P3390" s="508">
        <v>6.2439999999999998</v>
      </c>
      <c r="Q3390" s="508">
        <v>6.21</v>
      </c>
      <c r="R3390" s="508">
        <v>4.6929999999999996</v>
      </c>
      <c r="S3390" s="508">
        <v>4.665</v>
      </c>
      <c r="T3390" s="508">
        <v>4.5430000000000001</v>
      </c>
      <c r="U3390" s="508">
        <v>4.4779999999999998</v>
      </c>
      <c r="V3390" s="508">
        <v>4.42</v>
      </c>
      <c r="W3390" s="508"/>
      <c r="X3390" s="508">
        <v>4.3419999999999996</v>
      </c>
      <c r="Y3390" s="508"/>
      <c r="Z3390" s="508"/>
      <c r="AA3390" s="508"/>
      <c r="AB3390" s="508"/>
      <c r="AC3390" s="508"/>
      <c r="AD3390" s="508"/>
      <c r="AE3390" s="508"/>
      <c r="AF3390" s="508"/>
      <c r="AG3390" s="508"/>
      <c r="AH3390" s="508"/>
      <c r="AI3390" s="492"/>
      <c r="AJ3390" s="485"/>
    </row>
    <row r="3391" spans="2:36">
      <c r="B3391" s="136" t="s">
        <v>435</v>
      </c>
      <c r="C3391" s="132" t="s">
        <v>1375</v>
      </c>
      <c r="D3391" s="132" t="s">
        <v>283</v>
      </c>
      <c r="E3391" s="508">
        <v>18.63</v>
      </c>
      <c r="F3391" s="508">
        <v>18.648</v>
      </c>
      <c r="G3391" s="508">
        <v>18.681999999999999</v>
      </c>
      <c r="H3391" s="508">
        <v>18.68</v>
      </c>
      <c r="I3391" s="508">
        <v>18.684000000000001</v>
      </c>
      <c r="J3391" s="508">
        <v>14.458</v>
      </c>
      <c r="K3391" s="508">
        <v>13.347</v>
      </c>
      <c r="L3391" s="508">
        <v>13.385</v>
      </c>
      <c r="M3391" s="508">
        <v>13.381</v>
      </c>
      <c r="N3391" s="508">
        <v>13.407</v>
      </c>
      <c r="O3391" s="508">
        <v>13.38</v>
      </c>
      <c r="P3391" s="508">
        <v>13.428000000000001</v>
      </c>
      <c r="Q3391" s="508">
        <v>13.445</v>
      </c>
      <c r="R3391" s="508">
        <v>12.446</v>
      </c>
      <c r="S3391" s="508">
        <v>7.7110000000000003</v>
      </c>
      <c r="T3391" s="508">
        <v>7.6550000000000002</v>
      </c>
      <c r="U3391" s="508">
        <v>7.6669999999999998</v>
      </c>
      <c r="V3391" s="508">
        <v>7.3579999999999997</v>
      </c>
      <c r="W3391" s="508">
        <v>5.976</v>
      </c>
      <c r="X3391" s="508">
        <v>5.97</v>
      </c>
      <c r="Y3391" s="508">
        <v>5.9409999999999998</v>
      </c>
      <c r="Z3391" s="508">
        <v>5.9459999999999997</v>
      </c>
      <c r="AA3391" s="508">
        <v>3.3740000000000001</v>
      </c>
      <c r="AB3391" s="508">
        <v>3.1779999999999999</v>
      </c>
      <c r="AC3391" s="508">
        <v>3.4289999999999998</v>
      </c>
      <c r="AD3391" s="508">
        <v>1.034</v>
      </c>
      <c r="AE3391" s="508">
        <v>1.032</v>
      </c>
      <c r="AF3391" s="508">
        <v>0.65700000000000003</v>
      </c>
      <c r="AG3391" s="508">
        <v>0.65</v>
      </c>
      <c r="AH3391" s="508">
        <v>0.64800000000000002</v>
      </c>
      <c r="AI3391" s="492">
        <v>0.64800000000000002</v>
      </c>
      <c r="AJ3391" s="485"/>
    </row>
    <row r="3392" spans="2:36">
      <c r="B3392" s="136" t="s">
        <v>436</v>
      </c>
      <c r="C3392" s="132" t="s">
        <v>1375</v>
      </c>
      <c r="D3392" s="132" t="s">
        <v>283</v>
      </c>
      <c r="E3392" s="508">
        <v>20.228000000000002</v>
      </c>
      <c r="F3392" s="508">
        <v>20.244</v>
      </c>
      <c r="G3392" s="508">
        <v>20.277000000000001</v>
      </c>
      <c r="H3392" s="508">
        <v>20.274999999999999</v>
      </c>
      <c r="I3392" s="508">
        <v>20.279</v>
      </c>
      <c r="J3392" s="508">
        <v>15.688000000000001</v>
      </c>
      <c r="K3392" s="508">
        <v>14.493</v>
      </c>
      <c r="L3392" s="508">
        <v>14.529</v>
      </c>
      <c r="M3392" s="508">
        <v>14.525</v>
      </c>
      <c r="N3392" s="508">
        <v>14.548999999999999</v>
      </c>
      <c r="O3392" s="508">
        <v>14.523999999999999</v>
      </c>
      <c r="P3392" s="508">
        <v>14.574999999999999</v>
      </c>
      <c r="Q3392" s="508">
        <v>14.590999999999999</v>
      </c>
      <c r="R3392" s="508">
        <v>13.547000000000001</v>
      </c>
      <c r="S3392" s="508">
        <v>8.39</v>
      </c>
      <c r="T3392" s="508">
        <v>8.3339999999999996</v>
      </c>
      <c r="U3392" s="508">
        <v>8.3490000000000002</v>
      </c>
      <c r="V3392" s="508">
        <v>8.02</v>
      </c>
      <c r="W3392" s="508">
        <v>6.4219999999999997</v>
      </c>
      <c r="X3392" s="508">
        <v>6.4189999999999996</v>
      </c>
      <c r="Y3392" s="508">
        <v>6.3879999999999999</v>
      </c>
      <c r="Z3392" s="508">
        <v>6.3929999999999998</v>
      </c>
      <c r="AA3392" s="508">
        <v>3.6230000000000002</v>
      </c>
      <c r="AB3392" s="508">
        <v>3.4129999999999998</v>
      </c>
      <c r="AC3392" s="508">
        <v>3.681</v>
      </c>
      <c r="AD3392" s="508">
        <v>1.107</v>
      </c>
      <c r="AE3392" s="508">
        <v>1.1040000000000001</v>
      </c>
      <c r="AF3392" s="508">
        <v>0.70099999999999996</v>
      </c>
      <c r="AG3392" s="508">
        <v>0.69399999999999995</v>
      </c>
      <c r="AH3392" s="508">
        <v>0.69099999999999995</v>
      </c>
      <c r="AI3392" s="492">
        <v>0.69099999999999995</v>
      </c>
      <c r="AJ3392" s="485"/>
    </row>
    <row r="3393" spans="2:36">
      <c r="B3393" s="136" t="s">
        <v>437</v>
      </c>
      <c r="C3393" s="132" t="s">
        <v>1375</v>
      </c>
      <c r="D3393" s="132" t="s">
        <v>283</v>
      </c>
      <c r="E3393" s="508">
        <v>20.651</v>
      </c>
      <c r="F3393" s="508">
        <v>20.669</v>
      </c>
      <c r="G3393" s="508">
        <v>20.704000000000001</v>
      </c>
      <c r="H3393" s="508">
        <v>20.702000000000002</v>
      </c>
      <c r="I3393" s="508">
        <v>20.706</v>
      </c>
      <c r="J3393" s="508">
        <v>16.02</v>
      </c>
      <c r="K3393" s="508">
        <v>14.795</v>
      </c>
      <c r="L3393" s="508">
        <v>14.834</v>
      </c>
      <c r="M3393" s="508">
        <v>14.83</v>
      </c>
      <c r="N3393" s="508">
        <v>14.856</v>
      </c>
      <c r="O3393" s="508">
        <v>14.829000000000001</v>
      </c>
      <c r="P3393" s="508">
        <v>14.881</v>
      </c>
      <c r="Q3393" s="508">
        <v>14.898999999999999</v>
      </c>
      <c r="R3393" s="508">
        <v>13.696</v>
      </c>
      <c r="S3393" s="508">
        <v>8.4939999999999998</v>
      </c>
      <c r="T3393" s="508">
        <v>8.4350000000000005</v>
      </c>
      <c r="U3393" s="508">
        <v>8.4489999999999998</v>
      </c>
      <c r="V3393" s="508">
        <v>8.1140000000000008</v>
      </c>
      <c r="W3393" s="508">
        <v>6.5019999999999998</v>
      </c>
      <c r="X3393" s="508">
        <v>6.4960000000000004</v>
      </c>
      <c r="Y3393" s="508">
        <v>6.4669999999999996</v>
      </c>
      <c r="Z3393" s="508">
        <v>6.4720000000000004</v>
      </c>
      <c r="AA3393" s="508">
        <v>3.6640000000000001</v>
      </c>
      <c r="AB3393" s="508">
        <v>3.452</v>
      </c>
      <c r="AC3393" s="508">
        <v>3.7240000000000002</v>
      </c>
      <c r="AD3393" s="508">
        <v>1.1240000000000001</v>
      </c>
      <c r="AE3393" s="508">
        <v>1.121</v>
      </c>
      <c r="AF3393" s="508">
        <v>0.71299999999999997</v>
      </c>
      <c r="AG3393" s="508">
        <v>0.70499999999999996</v>
      </c>
      <c r="AH3393" s="508">
        <v>0.70299999999999996</v>
      </c>
      <c r="AI3393" s="492">
        <v>0.70299999999999996</v>
      </c>
      <c r="AJ3393" s="485"/>
    </row>
    <row r="3394" spans="2:36">
      <c r="B3394" s="136" t="s">
        <v>438</v>
      </c>
      <c r="C3394" s="132" t="s">
        <v>1375</v>
      </c>
      <c r="D3394" s="132" t="s">
        <v>283</v>
      </c>
      <c r="E3394" s="508">
        <v>18.190999999999999</v>
      </c>
      <c r="F3394" s="508">
        <v>18.207999999999998</v>
      </c>
      <c r="G3394" s="508">
        <v>18.239999999999998</v>
      </c>
      <c r="H3394" s="508">
        <v>18.238</v>
      </c>
      <c r="I3394" s="508">
        <v>18.242000000000001</v>
      </c>
      <c r="J3394" s="508">
        <v>14.114000000000001</v>
      </c>
      <c r="K3394" s="508">
        <v>13.036</v>
      </c>
      <c r="L3394" s="508">
        <v>13.071</v>
      </c>
      <c r="M3394" s="508">
        <v>13.067</v>
      </c>
      <c r="N3394" s="508">
        <v>13.090999999999999</v>
      </c>
      <c r="O3394" s="508">
        <v>13.067</v>
      </c>
      <c r="P3394" s="508">
        <v>13.112</v>
      </c>
      <c r="Q3394" s="508">
        <v>13.128</v>
      </c>
      <c r="R3394" s="508">
        <v>12.231999999999999</v>
      </c>
      <c r="S3394" s="508">
        <v>7.5890000000000004</v>
      </c>
      <c r="T3394" s="508">
        <v>7.5369999999999999</v>
      </c>
      <c r="U3394" s="508">
        <v>7.5490000000000004</v>
      </c>
      <c r="V3394" s="508">
        <v>7.2539999999999996</v>
      </c>
      <c r="W3394" s="508">
        <v>5.819</v>
      </c>
      <c r="X3394" s="508">
        <v>5.8159999999999998</v>
      </c>
      <c r="Y3394" s="508">
        <v>5.7850000000000001</v>
      </c>
      <c r="Z3394" s="508">
        <v>5.7910000000000004</v>
      </c>
      <c r="AA3394" s="508">
        <v>3.2850000000000001</v>
      </c>
      <c r="AB3394" s="508">
        <v>3.0960000000000001</v>
      </c>
      <c r="AC3394" s="508">
        <v>3.3380000000000001</v>
      </c>
      <c r="AD3394" s="508">
        <v>1.0049999999999999</v>
      </c>
      <c r="AE3394" s="508">
        <v>1.0029999999999999</v>
      </c>
      <c r="AF3394" s="508">
        <v>0.63800000000000001</v>
      </c>
      <c r="AG3394" s="508">
        <v>0.63100000000000001</v>
      </c>
      <c r="AH3394" s="508">
        <v>0.629</v>
      </c>
      <c r="AI3394" s="492">
        <v>0.629</v>
      </c>
      <c r="AJ3394" s="485"/>
    </row>
    <row r="3395" spans="2:36">
      <c r="B3395" s="136" t="s">
        <v>439</v>
      </c>
      <c r="C3395" s="132" t="s">
        <v>1375</v>
      </c>
      <c r="D3395" s="132" t="s">
        <v>283</v>
      </c>
      <c r="E3395" s="508">
        <v>20.097000000000001</v>
      </c>
      <c r="F3395" s="508">
        <v>20.114999999999998</v>
      </c>
      <c r="G3395" s="508">
        <v>20.152999999999999</v>
      </c>
      <c r="H3395" s="508">
        <v>20.149999999999999</v>
      </c>
      <c r="I3395" s="508">
        <v>20.154</v>
      </c>
      <c r="J3395" s="508">
        <v>15.595000000000001</v>
      </c>
      <c r="K3395" s="508">
        <v>14.398999999999999</v>
      </c>
      <c r="L3395" s="508">
        <v>14.439</v>
      </c>
      <c r="M3395" s="508">
        <v>14.435</v>
      </c>
      <c r="N3395" s="508">
        <v>14.462</v>
      </c>
      <c r="O3395" s="508">
        <v>14.433999999999999</v>
      </c>
      <c r="P3395" s="508">
        <v>14.484999999999999</v>
      </c>
      <c r="Q3395" s="508">
        <v>14.503</v>
      </c>
      <c r="R3395" s="508">
        <v>13.311999999999999</v>
      </c>
      <c r="S3395" s="508">
        <v>8.2940000000000005</v>
      </c>
      <c r="T3395" s="508">
        <v>8.2349999999999994</v>
      </c>
      <c r="U3395" s="508">
        <v>8.2469999999999999</v>
      </c>
      <c r="V3395" s="508">
        <v>7.9260000000000002</v>
      </c>
      <c r="W3395" s="508">
        <v>6.3380000000000001</v>
      </c>
      <c r="X3395" s="508">
        <v>6.3310000000000004</v>
      </c>
      <c r="Y3395" s="508">
        <v>6.3010000000000002</v>
      </c>
      <c r="Z3395" s="508">
        <v>6.306</v>
      </c>
      <c r="AA3395" s="508">
        <v>3.5720000000000001</v>
      </c>
      <c r="AB3395" s="508">
        <v>3.367</v>
      </c>
      <c r="AC3395" s="508">
        <v>3.63</v>
      </c>
      <c r="AD3395" s="508">
        <v>1.097</v>
      </c>
      <c r="AE3395" s="508">
        <v>1.0940000000000001</v>
      </c>
      <c r="AF3395" s="508">
        <v>0.69699999999999995</v>
      </c>
      <c r="AG3395" s="508">
        <v>0.69</v>
      </c>
      <c r="AH3395" s="508">
        <v>0.68700000000000006</v>
      </c>
      <c r="AI3395" s="492">
        <v>0.68700000000000006</v>
      </c>
      <c r="AJ3395" s="485"/>
    </row>
    <row r="3396" spans="2:36">
      <c r="B3396" s="136" t="s">
        <v>440</v>
      </c>
      <c r="C3396" s="132" t="s">
        <v>1375</v>
      </c>
      <c r="D3396" s="132" t="s">
        <v>283</v>
      </c>
      <c r="E3396" s="508">
        <v>20.472000000000001</v>
      </c>
      <c r="F3396" s="508">
        <v>20.49</v>
      </c>
      <c r="G3396" s="508">
        <v>20.526</v>
      </c>
      <c r="H3396" s="508">
        <v>20.523</v>
      </c>
      <c r="I3396" s="508">
        <v>20.527000000000001</v>
      </c>
      <c r="J3396" s="508">
        <v>15.882</v>
      </c>
      <c r="K3396" s="508">
        <v>14.667</v>
      </c>
      <c r="L3396" s="508">
        <v>14.706</v>
      </c>
      <c r="M3396" s="508">
        <v>14.702</v>
      </c>
      <c r="N3396" s="508">
        <v>14.728</v>
      </c>
      <c r="O3396" s="508">
        <v>14.701000000000001</v>
      </c>
      <c r="P3396" s="508">
        <v>14.753</v>
      </c>
      <c r="Q3396" s="508">
        <v>14.77</v>
      </c>
      <c r="R3396" s="508">
        <v>13.622999999999999</v>
      </c>
      <c r="S3396" s="508">
        <v>8.4600000000000009</v>
      </c>
      <c r="T3396" s="508">
        <v>8.4019999999999992</v>
      </c>
      <c r="U3396" s="508">
        <v>8.4160000000000004</v>
      </c>
      <c r="V3396" s="508">
        <v>8.0839999999999996</v>
      </c>
      <c r="W3396" s="508">
        <v>6.48</v>
      </c>
      <c r="X3396" s="508">
        <v>6.4749999999999996</v>
      </c>
      <c r="Y3396" s="508">
        <v>6.444</v>
      </c>
      <c r="Z3396" s="508">
        <v>6.45</v>
      </c>
      <c r="AA3396" s="508">
        <v>3.6539999999999999</v>
      </c>
      <c r="AB3396" s="508">
        <v>3.4430000000000001</v>
      </c>
      <c r="AC3396" s="508">
        <v>3.714</v>
      </c>
      <c r="AD3396" s="508">
        <v>1.119</v>
      </c>
      <c r="AE3396" s="508">
        <v>1.1160000000000001</v>
      </c>
      <c r="AF3396" s="508">
        <v>0.71</v>
      </c>
      <c r="AG3396" s="508">
        <v>0.70299999999999996</v>
      </c>
      <c r="AH3396" s="508">
        <v>0.7</v>
      </c>
      <c r="AI3396" s="492">
        <v>0.7</v>
      </c>
      <c r="AJ3396" s="485"/>
    </row>
    <row r="3397" spans="2:36">
      <c r="B3397" s="136" t="s">
        <v>441</v>
      </c>
      <c r="C3397" s="132" t="s">
        <v>1375</v>
      </c>
      <c r="D3397" s="132" t="s">
        <v>283</v>
      </c>
      <c r="E3397" s="508">
        <v>20.632999999999999</v>
      </c>
      <c r="F3397" s="508">
        <v>20.652000000000001</v>
      </c>
      <c r="G3397" s="508">
        <v>20.69</v>
      </c>
      <c r="H3397" s="508">
        <v>20.687000000000001</v>
      </c>
      <c r="I3397" s="508">
        <v>20.692</v>
      </c>
      <c r="J3397" s="508">
        <v>16.010999999999999</v>
      </c>
      <c r="K3397" s="508">
        <v>14.782</v>
      </c>
      <c r="L3397" s="508">
        <v>14.823</v>
      </c>
      <c r="M3397" s="508">
        <v>14.819000000000001</v>
      </c>
      <c r="N3397" s="508">
        <v>14.847</v>
      </c>
      <c r="O3397" s="508">
        <v>14.818</v>
      </c>
      <c r="P3397" s="508">
        <v>14.871</v>
      </c>
      <c r="Q3397" s="508">
        <v>14.888999999999999</v>
      </c>
      <c r="R3397" s="508">
        <v>13.648999999999999</v>
      </c>
      <c r="S3397" s="508">
        <v>8.516</v>
      </c>
      <c r="T3397" s="508">
        <v>8.4559999999999995</v>
      </c>
      <c r="U3397" s="508">
        <v>8.468</v>
      </c>
      <c r="V3397" s="508">
        <v>8.14</v>
      </c>
      <c r="W3397" s="508">
        <v>6.5</v>
      </c>
      <c r="X3397" s="508">
        <v>6.4930000000000003</v>
      </c>
      <c r="Y3397" s="508">
        <v>6.4619999999999997</v>
      </c>
      <c r="Z3397" s="508">
        <v>6.4669999999999996</v>
      </c>
      <c r="AA3397" s="508">
        <v>3.6629999999999998</v>
      </c>
      <c r="AB3397" s="508">
        <v>3.4529999999999998</v>
      </c>
      <c r="AC3397" s="508">
        <v>3.722</v>
      </c>
      <c r="AD3397" s="508">
        <v>1.125</v>
      </c>
      <c r="AE3397" s="508">
        <v>1.1220000000000001</v>
      </c>
      <c r="AF3397" s="508">
        <v>0.71499999999999997</v>
      </c>
      <c r="AG3397" s="508">
        <v>0.70699999999999996</v>
      </c>
      <c r="AH3397" s="508">
        <v>0.70499999999999996</v>
      </c>
      <c r="AI3397" s="492">
        <v>0.70499999999999996</v>
      </c>
      <c r="AJ3397" s="485"/>
    </row>
    <row r="3398" spans="2:36">
      <c r="B3398" s="136" t="s">
        <v>443</v>
      </c>
      <c r="C3398" s="132" t="s">
        <v>1375</v>
      </c>
      <c r="D3398" s="132" t="s">
        <v>283</v>
      </c>
      <c r="E3398" s="508">
        <v>20.093</v>
      </c>
      <c r="F3398" s="508">
        <v>20.113</v>
      </c>
      <c r="G3398" s="508">
        <v>20.151</v>
      </c>
      <c r="H3398" s="508">
        <v>20.148</v>
      </c>
      <c r="I3398" s="508">
        <v>20.152000000000001</v>
      </c>
      <c r="J3398" s="508">
        <v>15.595000000000001</v>
      </c>
      <c r="K3398" s="508">
        <v>14.391</v>
      </c>
      <c r="L3398" s="508">
        <v>14.433</v>
      </c>
      <c r="M3398" s="508">
        <v>14.429</v>
      </c>
      <c r="N3398" s="508">
        <v>14.457000000000001</v>
      </c>
      <c r="O3398" s="508">
        <v>14.427</v>
      </c>
      <c r="P3398" s="508">
        <v>14.48</v>
      </c>
      <c r="Q3398" s="508">
        <v>14.499000000000001</v>
      </c>
      <c r="R3398" s="508">
        <v>13.329000000000001</v>
      </c>
      <c r="S3398" s="508">
        <v>8.2629999999999999</v>
      </c>
      <c r="T3398" s="508">
        <v>8.202</v>
      </c>
      <c r="U3398" s="508">
        <v>8.2140000000000004</v>
      </c>
      <c r="V3398" s="508">
        <v>7.8760000000000003</v>
      </c>
      <c r="W3398" s="508">
        <v>6.4720000000000004</v>
      </c>
      <c r="X3398" s="508">
        <v>6.4649999999999999</v>
      </c>
      <c r="Y3398" s="508">
        <v>6.4349999999999996</v>
      </c>
      <c r="Z3398" s="508">
        <v>6.44</v>
      </c>
      <c r="AA3398" s="508">
        <v>3.6560000000000001</v>
      </c>
      <c r="AB3398" s="508">
        <v>3.4409999999999998</v>
      </c>
      <c r="AC3398" s="508">
        <v>3.7160000000000002</v>
      </c>
      <c r="AD3398" s="508">
        <v>1.121</v>
      </c>
      <c r="AE3398" s="508">
        <v>1.1180000000000001</v>
      </c>
      <c r="AF3398" s="508">
        <v>0.71199999999999997</v>
      </c>
      <c r="AG3398" s="508">
        <v>0.70499999999999996</v>
      </c>
      <c r="AH3398" s="508">
        <v>0.70199999999999996</v>
      </c>
      <c r="AI3398" s="492">
        <v>0.70199999999999996</v>
      </c>
      <c r="AJ3398" s="485"/>
    </row>
    <row r="3399" spans="2:36">
      <c r="B3399" s="136" t="s">
        <v>445</v>
      </c>
      <c r="C3399" s="132" t="s">
        <v>1375</v>
      </c>
      <c r="D3399" s="132" t="s">
        <v>283</v>
      </c>
      <c r="E3399" s="508">
        <v>22.736999999999998</v>
      </c>
      <c r="F3399" s="508">
        <v>22.759</v>
      </c>
      <c r="G3399" s="508">
        <v>22.802</v>
      </c>
      <c r="H3399" s="508">
        <v>22.798999999999999</v>
      </c>
      <c r="I3399" s="508">
        <v>22.803999999999998</v>
      </c>
      <c r="J3399" s="508">
        <v>17.646999999999998</v>
      </c>
      <c r="K3399" s="508">
        <v>16.283000000000001</v>
      </c>
      <c r="L3399" s="508">
        <v>16.329999999999998</v>
      </c>
      <c r="M3399" s="508">
        <v>16.324999999999999</v>
      </c>
      <c r="N3399" s="508">
        <v>16.356000000000002</v>
      </c>
      <c r="O3399" s="508">
        <v>16.324000000000002</v>
      </c>
      <c r="P3399" s="508">
        <v>16.384</v>
      </c>
      <c r="Q3399" s="508">
        <v>16.405000000000001</v>
      </c>
      <c r="R3399" s="508">
        <v>14.807</v>
      </c>
      <c r="S3399" s="508">
        <v>9.1709999999999994</v>
      </c>
      <c r="T3399" s="508">
        <v>9.1020000000000003</v>
      </c>
      <c r="U3399" s="508">
        <v>9.1159999999999997</v>
      </c>
      <c r="V3399" s="508">
        <v>8.734</v>
      </c>
      <c r="W3399" s="508">
        <v>7.1379999999999999</v>
      </c>
      <c r="X3399" s="508">
        <v>7.1260000000000003</v>
      </c>
      <c r="Y3399" s="508">
        <v>7.0979999999999999</v>
      </c>
      <c r="Z3399" s="508">
        <v>7.1029999999999998</v>
      </c>
      <c r="AA3399" s="508">
        <v>4.0190000000000001</v>
      </c>
      <c r="AB3399" s="508">
        <v>3.7829999999999999</v>
      </c>
      <c r="AC3399" s="508">
        <v>4.0860000000000003</v>
      </c>
      <c r="AD3399" s="508">
        <v>1.2390000000000001</v>
      </c>
      <c r="AE3399" s="508">
        <v>1.234</v>
      </c>
      <c r="AF3399" s="508">
        <v>0.78700000000000003</v>
      </c>
      <c r="AG3399" s="508">
        <v>0.77900000000000003</v>
      </c>
      <c r="AH3399" s="508">
        <v>0.77600000000000002</v>
      </c>
      <c r="AI3399" s="492">
        <v>0.77600000000000002</v>
      </c>
      <c r="AJ3399" s="485"/>
    </row>
    <row r="3400" spans="2:36">
      <c r="B3400" s="136" t="s">
        <v>446</v>
      </c>
      <c r="C3400" s="132" t="s">
        <v>1375</v>
      </c>
      <c r="D3400" s="132" t="s">
        <v>283</v>
      </c>
      <c r="E3400" s="508">
        <v>19.196000000000002</v>
      </c>
      <c r="F3400" s="508">
        <v>19.216000000000001</v>
      </c>
      <c r="G3400" s="508">
        <v>19.254999999999999</v>
      </c>
      <c r="H3400" s="508">
        <v>19.251999999999999</v>
      </c>
      <c r="I3400" s="508">
        <v>19.256</v>
      </c>
      <c r="J3400" s="508">
        <v>14.904</v>
      </c>
      <c r="K3400" s="508">
        <v>13.752000000000001</v>
      </c>
      <c r="L3400" s="508">
        <v>13.794</v>
      </c>
      <c r="M3400" s="508">
        <v>13.79</v>
      </c>
      <c r="N3400" s="508">
        <v>13.818</v>
      </c>
      <c r="O3400" s="508">
        <v>13.788</v>
      </c>
      <c r="P3400" s="508">
        <v>13.837999999999999</v>
      </c>
      <c r="Q3400" s="508">
        <v>13.856999999999999</v>
      </c>
      <c r="R3400" s="508">
        <v>12.628</v>
      </c>
      <c r="S3400" s="508">
        <v>7.827</v>
      </c>
      <c r="T3400" s="508">
        <v>7.7670000000000003</v>
      </c>
      <c r="U3400" s="508">
        <v>7.7770000000000001</v>
      </c>
      <c r="V3400" s="508">
        <v>7.4589999999999996</v>
      </c>
      <c r="W3400" s="508">
        <v>6.0620000000000003</v>
      </c>
      <c r="X3400" s="508">
        <v>6.0529999999999999</v>
      </c>
      <c r="Y3400" s="508">
        <v>6.0259999999999998</v>
      </c>
      <c r="Z3400" s="508">
        <v>6.03</v>
      </c>
      <c r="AA3400" s="508">
        <v>3.415</v>
      </c>
      <c r="AB3400" s="508">
        <v>3.2189999999999999</v>
      </c>
      <c r="AC3400" s="508">
        <v>3.4710000000000001</v>
      </c>
      <c r="AD3400" s="508">
        <v>1.0529999999999999</v>
      </c>
      <c r="AE3400" s="508">
        <v>1.05</v>
      </c>
      <c r="AF3400" s="508">
        <v>0.67</v>
      </c>
      <c r="AG3400" s="508">
        <v>0.66400000000000003</v>
      </c>
      <c r="AH3400" s="508">
        <v>0.66100000000000003</v>
      </c>
      <c r="AI3400" s="492">
        <v>0.66100000000000003</v>
      </c>
      <c r="AJ3400" s="485"/>
    </row>
    <row r="3401" spans="2:36">
      <c r="B3401" s="136" t="s">
        <v>448</v>
      </c>
      <c r="C3401" s="132" t="s">
        <v>1375</v>
      </c>
      <c r="D3401" s="132" t="s">
        <v>283</v>
      </c>
      <c r="E3401" s="508">
        <v>18.456</v>
      </c>
      <c r="F3401" s="508">
        <v>18.472999999999999</v>
      </c>
      <c r="G3401" s="508">
        <v>18.507000000000001</v>
      </c>
      <c r="H3401" s="508">
        <v>18.504000000000001</v>
      </c>
      <c r="I3401" s="508">
        <v>18.507999999999999</v>
      </c>
      <c r="J3401" s="508">
        <v>14.321</v>
      </c>
      <c r="K3401" s="508">
        <v>13.225</v>
      </c>
      <c r="L3401" s="508">
        <v>13.260999999999999</v>
      </c>
      <c r="M3401" s="508">
        <v>13.257999999999999</v>
      </c>
      <c r="N3401" s="508">
        <v>13.282</v>
      </c>
      <c r="O3401" s="508">
        <v>13.256</v>
      </c>
      <c r="P3401" s="508">
        <v>13.303000000000001</v>
      </c>
      <c r="Q3401" s="508">
        <v>13.32</v>
      </c>
      <c r="R3401" s="508">
        <v>12.362</v>
      </c>
      <c r="S3401" s="508">
        <v>7.673</v>
      </c>
      <c r="T3401" s="508">
        <v>7.6189999999999998</v>
      </c>
      <c r="U3401" s="508">
        <v>7.63</v>
      </c>
      <c r="V3401" s="508">
        <v>7.3310000000000004</v>
      </c>
      <c r="W3401" s="508">
        <v>5.8949999999999996</v>
      </c>
      <c r="X3401" s="508">
        <v>5.89</v>
      </c>
      <c r="Y3401" s="508">
        <v>5.86</v>
      </c>
      <c r="Z3401" s="508">
        <v>5.8650000000000002</v>
      </c>
      <c r="AA3401" s="508">
        <v>3.327</v>
      </c>
      <c r="AB3401" s="508">
        <v>3.1360000000000001</v>
      </c>
      <c r="AC3401" s="508">
        <v>3.3809999999999998</v>
      </c>
      <c r="AD3401" s="508">
        <v>1.0189999999999999</v>
      </c>
      <c r="AE3401" s="508">
        <v>1.0169999999999999</v>
      </c>
      <c r="AF3401" s="508">
        <v>0.64700000000000002</v>
      </c>
      <c r="AG3401" s="508">
        <v>0.64100000000000001</v>
      </c>
      <c r="AH3401" s="508">
        <v>0.63800000000000001</v>
      </c>
      <c r="AI3401" s="492">
        <v>0.63800000000000001</v>
      </c>
      <c r="AJ3401" s="485"/>
    </row>
    <row r="3402" spans="2:36">
      <c r="B3402" s="136" t="s">
        <v>449</v>
      </c>
      <c r="C3402" s="132" t="s">
        <v>1375</v>
      </c>
      <c r="D3402" s="132" t="s">
        <v>283</v>
      </c>
      <c r="E3402" s="508">
        <v>18.483000000000001</v>
      </c>
      <c r="F3402" s="508">
        <v>18.501999999999999</v>
      </c>
      <c r="G3402" s="508">
        <v>18.541</v>
      </c>
      <c r="H3402" s="508">
        <v>18.538</v>
      </c>
      <c r="I3402" s="508">
        <v>18.542999999999999</v>
      </c>
      <c r="J3402" s="508">
        <v>14.352</v>
      </c>
      <c r="K3402" s="508">
        <v>13.241</v>
      </c>
      <c r="L3402" s="508">
        <v>13.282999999999999</v>
      </c>
      <c r="M3402" s="508">
        <v>13.278</v>
      </c>
      <c r="N3402" s="508">
        <v>13.307</v>
      </c>
      <c r="O3402" s="508">
        <v>13.276999999999999</v>
      </c>
      <c r="P3402" s="508">
        <v>13.324999999999999</v>
      </c>
      <c r="Q3402" s="508">
        <v>13.343999999999999</v>
      </c>
      <c r="R3402" s="508">
        <v>12.217000000000001</v>
      </c>
      <c r="S3402" s="508">
        <v>7.5880000000000001</v>
      </c>
      <c r="T3402" s="508">
        <v>7.53</v>
      </c>
      <c r="U3402" s="508">
        <v>7.5389999999999997</v>
      </c>
      <c r="V3402" s="508">
        <v>7.2320000000000002</v>
      </c>
      <c r="W3402" s="508">
        <v>5.9089999999999998</v>
      </c>
      <c r="X3402" s="508">
        <v>5.9</v>
      </c>
      <c r="Y3402" s="508">
        <v>5.8710000000000004</v>
      </c>
      <c r="Z3402" s="508">
        <v>5.8760000000000003</v>
      </c>
      <c r="AA3402" s="508">
        <v>3.3330000000000002</v>
      </c>
      <c r="AB3402" s="508">
        <v>3.141</v>
      </c>
      <c r="AC3402" s="508">
        <v>3.3879999999999999</v>
      </c>
      <c r="AD3402" s="508">
        <v>1.0269999999999999</v>
      </c>
      <c r="AE3402" s="508">
        <v>1.024</v>
      </c>
      <c r="AF3402" s="508">
        <v>0.65400000000000003</v>
      </c>
      <c r="AG3402" s="508">
        <v>0.64700000000000002</v>
      </c>
      <c r="AH3402" s="508">
        <v>0.64500000000000002</v>
      </c>
      <c r="AI3402" s="492">
        <v>0.64500000000000002</v>
      </c>
      <c r="AJ3402" s="485"/>
    </row>
    <row r="3403" spans="2:36">
      <c r="B3403" s="136" t="s">
        <v>450</v>
      </c>
      <c r="C3403" s="132" t="s">
        <v>1375</v>
      </c>
      <c r="D3403" s="132" t="s">
        <v>283</v>
      </c>
      <c r="E3403" s="508">
        <v>19.510000000000002</v>
      </c>
      <c r="F3403" s="508">
        <v>19.527000000000001</v>
      </c>
      <c r="G3403" s="508">
        <v>19.559999999999999</v>
      </c>
      <c r="H3403" s="508">
        <v>19.556999999999999</v>
      </c>
      <c r="I3403" s="508">
        <v>19.561</v>
      </c>
      <c r="J3403" s="508">
        <v>15.134</v>
      </c>
      <c r="K3403" s="508">
        <v>13.978</v>
      </c>
      <c r="L3403" s="508">
        <v>14.013999999999999</v>
      </c>
      <c r="M3403" s="508">
        <v>14.010999999999999</v>
      </c>
      <c r="N3403" s="508">
        <v>14.035</v>
      </c>
      <c r="O3403" s="508">
        <v>14.01</v>
      </c>
      <c r="P3403" s="508">
        <v>14.058999999999999</v>
      </c>
      <c r="Q3403" s="508">
        <v>14.074999999999999</v>
      </c>
      <c r="R3403" s="508">
        <v>13.089</v>
      </c>
      <c r="S3403" s="508">
        <v>8.1039999999999992</v>
      </c>
      <c r="T3403" s="508">
        <v>8.0489999999999995</v>
      </c>
      <c r="U3403" s="508">
        <v>8.0630000000000006</v>
      </c>
      <c r="V3403" s="508">
        <v>7.742</v>
      </c>
      <c r="W3403" s="508">
        <v>6.2450000000000001</v>
      </c>
      <c r="X3403" s="508">
        <v>6.2409999999999997</v>
      </c>
      <c r="Y3403" s="508">
        <v>6.21</v>
      </c>
      <c r="Z3403" s="508">
        <v>6.2160000000000002</v>
      </c>
      <c r="AA3403" s="508">
        <v>3.5259999999999998</v>
      </c>
      <c r="AB3403" s="508">
        <v>3.3210000000000002</v>
      </c>
      <c r="AC3403" s="508">
        <v>3.5830000000000002</v>
      </c>
      <c r="AD3403" s="508">
        <v>1.077</v>
      </c>
      <c r="AE3403" s="508">
        <v>1.075</v>
      </c>
      <c r="AF3403" s="508">
        <v>0.68300000000000005</v>
      </c>
      <c r="AG3403" s="508">
        <v>0.67600000000000005</v>
      </c>
      <c r="AH3403" s="508">
        <v>0.67300000000000004</v>
      </c>
      <c r="AI3403" s="492">
        <v>0.67300000000000004</v>
      </c>
      <c r="AJ3403" s="485"/>
    </row>
    <row r="3404" spans="2:36">
      <c r="B3404" s="136" t="s">
        <v>451</v>
      </c>
      <c r="C3404" s="132" t="s">
        <v>1375</v>
      </c>
      <c r="D3404" s="132" t="s">
        <v>283</v>
      </c>
      <c r="E3404" s="508">
        <v>21.966999999999999</v>
      </c>
      <c r="F3404" s="508">
        <v>21.986999999999998</v>
      </c>
      <c r="G3404" s="508">
        <v>22.027999999999999</v>
      </c>
      <c r="H3404" s="508">
        <v>22.024999999999999</v>
      </c>
      <c r="I3404" s="508">
        <v>22.03</v>
      </c>
      <c r="J3404" s="508">
        <v>17.047000000000001</v>
      </c>
      <c r="K3404" s="508">
        <v>15.734</v>
      </c>
      <c r="L3404" s="508">
        <v>15.778</v>
      </c>
      <c r="M3404" s="508">
        <v>15.773999999999999</v>
      </c>
      <c r="N3404" s="508">
        <v>15.803000000000001</v>
      </c>
      <c r="O3404" s="508">
        <v>15.772</v>
      </c>
      <c r="P3404" s="508">
        <v>15.829000000000001</v>
      </c>
      <c r="Q3404" s="508">
        <v>15.85</v>
      </c>
      <c r="R3404" s="508">
        <v>14.391</v>
      </c>
      <c r="S3404" s="508">
        <v>8.9359999999999999</v>
      </c>
      <c r="T3404" s="508">
        <v>8.8710000000000004</v>
      </c>
      <c r="U3404" s="508">
        <v>8.8849999999999998</v>
      </c>
      <c r="V3404" s="508">
        <v>8.5229999999999997</v>
      </c>
      <c r="W3404" s="508">
        <v>6.9020000000000001</v>
      </c>
      <c r="X3404" s="508">
        <v>6.8920000000000003</v>
      </c>
      <c r="Y3404" s="508">
        <v>6.8630000000000004</v>
      </c>
      <c r="Z3404" s="508">
        <v>6.8680000000000003</v>
      </c>
      <c r="AA3404" s="508">
        <v>3.887</v>
      </c>
      <c r="AB3404" s="508">
        <v>3.661</v>
      </c>
      <c r="AC3404" s="508">
        <v>3.952</v>
      </c>
      <c r="AD3404" s="508">
        <v>1.196</v>
      </c>
      <c r="AE3404" s="508">
        <v>1.1919999999999999</v>
      </c>
      <c r="AF3404" s="508">
        <v>0.76</v>
      </c>
      <c r="AG3404" s="508">
        <v>0.752</v>
      </c>
      <c r="AH3404" s="508">
        <v>0.749</v>
      </c>
      <c r="AI3404" s="492">
        <v>0.749</v>
      </c>
      <c r="AJ3404" s="485"/>
    </row>
    <row r="3405" spans="2:36">
      <c r="B3405" s="136" t="s">
        <v>452</v>
      </c>
      <c r="C3405" s="132" t="s">
        <v>1375</v>
      </c>
      <c r="D3405" s="132" t="s">
        <v>283</v>
      </c>
      <c r="E3405" s="508">
        <v>20.114000000000001</v>
      </c>
      <c r="F3405" s="508">
        <v>20.132000000000001</v>
      </c>
      <c r="G3405" s="508">
        <v>20.167000000000002</v>
      </c>
      <c r="H3405" s="508">
        <v>20.164999999999999</v>
      </c>
      <c r="I3405" s="508">
        <v>20.169</v>
      </c>
      <c r="J3405" s="508">
        <v>15.606</v>
      </c>
      <c r="K3405" s="508">
        <v>14.409000000000001</v>
      </c>
      <c r="L3405" s="508">
        <v>14.448</v>
      </c>
      <c r="M3405" s="508">
        <v>14.444000000000001</v>
      </c>
      <c r="N3405" s="508">
        <v>14.47</v>
      </c>
      <c r="O3405" s="508">
        <v>14.443</v>
      </c>
      <c r="P3405" s="508">
        <v>14.494</v>
      </c>
      <c r="Q3405" s="508">
        <v>14.512</v>
      </c>
      <c r="R3405" s="508">
        <v>13.372</v>
      </c>
      <c r="S3405" s="508">
        <v>8.2789999999999999</v>
      </c>
      <c r="T3405" s="508">
        <v>8.2200000000000006</v>
      </c>
      <c r="U3405" s="508">
        <v>8.234</v>
      </c>
      <c r="V3405" s="508">
        <v>7.9009999999999998</v>
      </c>
      <c r="W3405" s="508">
        <v>6.4020000000000001</v>
      </c>
      <c r="X3405" s="508">
        <v>6.3959999999999999</v>
      </c>
      <c r="Y3405" s="508">
        <v>6.3659999999999997</v>
      </c>
      <c r="Z3405" s="508">
        <v>6.3710000000000004</v>
      </c>
      <c r="AA3405" s="508">
        <v>3.6120000000000001</v>
      </c>
      <c r="AB3405" s="508">
        <v>3.4009999999999998</v>
      </c>
      <c r="AC3405" s="508">
        <v>3.6709999999999998</v>
      </c>
      <c r="AD3405" s="508">
        <v>1.107</v>
      </c>
      <c r="AE3405" s="508">
        <v>1.1040000000000001</v>
      </c>
      <c r="AF3405" s="508">
        <v>0.70199999999999996</v>
      </c>
      <c r="AG3405" s="508">
        <v>0.69499999999999995</v>
      </c>
      <c r="AH3405" s="508">
        <v>0.69199999999999995</v>
      </c>
      <c r="AI3405" s="492">
        <v>0.69199999999999995</v>
      </c>
      <c r="AJ3405" s="485"/>
    </row>
    <row r="3406" spans="2:36">
      <c r="B3406" s="136" t="s">
        <v>453</v>
      </c>
      <c r="C3406" s="132" t="s">
        <v>1375</v>
      </c>
      <c r="D3406" s="132" t="s">
        <v>283</v>
      </c>
      <c r="E3406" s="508">
        <v>19.001999999999999</v>
      </c>
      <c r="F3406" s="508">
        <v>19.018000000000001</v>
      </c>
      <c r="G3406" s="508">
        <v>19.050999999999998</v>
      </c>
      <c r="H3406" s="508">
        <v>19.047999999999998</v>
      </c>
      <c r="I3406" s="508">
        <v>19.052</v>
      </c>
      <c r="J3406" s="508">
        <v>14.74</v>
      </c>
      <c r="K3406" s="508">
        <v>13.615</v>
      </c>
      <c r="L3406" s="508">
        <v>13.65</v>
      </c>
      <c r="M3406" s="508">
        <v>13.647</v>
      </c>
      <c r="N3406" s="508">
        <v>13.67</v>
      </c>
      <c r="O3406" s="508">
        <v>13.646000000000001</v>
      </c>
      <c r="P3406" s="508">
        <v>13.694000000000001</v>
      </c>
      <c r="Q3406" s="508">
        <v>13.71</v>
      </c>
      <c r="R3406" s="508">
        <v>12.781000000000001</v>
      </c>
      <c r="S3406" s="508">
        <v>7.9119999999999999</v>
      </c>
      <c r="T3406" s="508">
        <v>7.859</v>
      </c>
      <c r="U3406" s="508">
        <v>7.8719999999999999</v>
      </c>
      <c r="V3406" s="508">
        <v>7.56</v>
      </c>
      <c r="W3406" s="508">
        <v>6.0940000000000003</v>
      </c>
      <c r="X3406" s="508">
        <v>6.0910000000000002</v>
      </c>
      <c r="Y3406" s="508">
        <v>6.06</v>
      </c>
      <c r="Z3406" s="508">
        <v>6.0659999999999998</v>
      </c>
      <c r="AA3406" s="508">
        <v>3.4409999999999998</v>
      </c>
      <c r="AB3406" s="508">
        <v>3.242</v>
      </c>
      <c r="AC3406" s="508">
        <v>3.4969999999999999</v>
      </c>
      <c r="AD3406" s="508">
        <v>1.0509999999999999</v>
      </c>
      <c r="AE3406" s="508">
        <v>1.0489999999999999</v>
      </c>
      <c r="AF3406" s="508">
        <v>0.66700000000000004</v>
      </c>
      <c r="AG3406" s="508">
        <v>0.66</v>
      </c>
      <c r="AH3406" s="508">
        <v>0.65700000000000003</v>
      </c>
      <c r="AI3406" s="492">
        <v>0.65700000000000003</v>
      </c>
      <c r="AJ3406" s="485"/>
    </row>
    <row r="3407" spans="2:36">
      <c r="B3407" s="136" t="s">
        <v>454</v>
      </c>
      <c r="C3407" s="132" t="s">
        <v>1375</v>
      </c>
      <c r="D3407" s="132" t="s">
        <v>283</v>
      </c>
      <c r="E3407" s="508">
        <v>18.98</v>
      </c>
      <c r="F3407" s="508">
        <v>18.997</v>
      </c>
      <c r="G3407" s="508">
        <v>19.030999999999999</v>
      </c>
      <c r="H3407" s="508">
        <v>19.029</v>
      </c>
      <c r="I3407" s="508">
        <v>19.032</v>
      </c>
      <c r="J3407" s="508">
        <v>14.726000000000001</v>
      </c>
      <c r="K3407" s="508">
        <v>13.599</v>
      </c>
      <c r="L3407" s="508">
        <v>13.635999999999999</v>
      </c>
      <c r="M3407" s="508">
        <v>13.632</v>
      </c>
      <c r="N3407" s="508">
        <v>13.657</v>
      </c>
      <c r="O3407" s="508">
        <v>13.631</v>
      </c>
      <c r="P3407" s="508">
        <v>13.679</v>
      </c>
      <c r="Q3407" s="508">
        <v>13.696</v>
      </c>
      <c r="R3407" s="508">
        <v>12.723000000000001</v>
      </c>
      <c r="S3407" s="508">
        <v>7.8949999999999996</v>
      </c>
      <c r="T3407" s="508">
        <v>7.84</v>
      </c>
      <c r="U3407" s="508">
        <v>7.8529999999999998</v>
      </c>
      <c r="V3407" s="508">
        <v>7.5430000000000001</v>
      </c>
      <c r="W3407" s="508">
        <v>6.0810000000000004</v>
      </c>
      <c r="X3407" s="508">
        <v>6.077</v>
      </c>
      <c r="Y3407" s="508">
        <v>6.0460000000000003</v>
      </c>
      <c r="Z3407" s="508">
        <v>6.0510000000000002</v>
      </c>
      <c r="AA3407" s="508">
        <v>3.4329999999999998</v>
      </c>
      <c r="AB3407" s="508">
        <v>3.2349999999999999</v>
      </c>
      <c r="AC3407" s="508">
        <v>3.4889999999999999</v>
      </c>
      <c r="AD3407" s="508">
        <v>1.05</v>
      </c>
      <c r="AE3407" s="508">
        <v>1.048</v>
      </c>
      <c r="AF3407" s="508">
        <v>0.66700000000000004</v>
      </c>
      <c r="AG3407" s="508">
        <v>0.66</v>
      </c>
      <c r="AH3407" s="508">
        <v>0.65700000000000003</v>
      </c>
      <c r="AI3407" s="492">
        <v>0.65700000000000003</v>
      </c>
      <c r="AJ3407" s="485"/>
    </row>
    <row r="3408" spans="2:36">
      <c r="B3408" s="136" t="s">
        <v>455</v>
      </c>
      <c r="C3408" s="132" t="s">
        <v>1375</v>
      </c>
      <c r="D3408" s="132" t="s">
        <v>283</v>
      </c>
      <c r="E3408" s="508">
        <v>18.599</v>
      </c>
      <c r="F3408" s="508">
        <v>18.614999999999998</v>
      </c>
      <c r="G3408" s="508">
        <v>18.646999999999998</v>
      </c>
      <c r="H3408" s="508">
        <v>18.643999999999998</v>
      </c>
      <c r="I3408" s="508">
        <v>18.648</v>
      </c>
      <c r="J3408" s="508">
        <v>14.427</v>
      </c>
      <c r="K3408" s="508">
        <v>13.329000000000001</v>
      </c>
      <c r="L3408" s="508">
        <v>13.363</v>
      </c>
      <c r="M3408" s="508">
        <v>13.36</v>
      </c>
      <c r="N3408" s="508">
        <v>13.382999999999999</v>
      </c>
      <c r="O3408" s="508">
        <v>13.358000000000001</v>
      </c>
      <c r="P3408" s="508">
        <v>13.404999999999999</v>
      </c>
      <c r="Q3408" s="508">
        <v>13.420999999999999</v>
      </c>
      <c r="R3408" s="508">
        <v>12.506</v>
      </c>
      <c r="S3408" s="508">
        <v>7.7560000000000002</v>
      </c>
      <c r="T3408" s="508">
        <v>7.7030000000000003</v>
      </c>
      <c r="U3408" s="508">
        <v>7.7160000000000002</v>
      </c>
      <c r="V3408" s="508">
        <v>7.4169999999999998</v>
      </c>
      <c r="W3408" s="508">
        <v>5.9139999999999997</v>
      </c>
      <c r="X3408" s="508">
        <v>5.9109999999999996</v>
      </c>
      <c r="Y3408" s="508">
        <v>5.88</v>
      </c>
      <c r="Z3408" s="508">
        <v>5.8860000000000001</v>
      </c>
      <c r="AA3408" s="508">
        <v>3.3359999999999999</v>
      </c>
      <c r="AB3408" s="508">
        <v>3.145</v>
      </c>
      <c r="AC3408" s="508">
        <v>3.39</v>
      </c>
      <c r="AD3408" s="508">
        <v>1.02</v>
      </c>
      <c r="AE3408" s="508">
        <v>1.018</v>
      </c>
      <c r="AF3408" s="508">
        <v>0.64700000000000002</v>
      </c>
      <c r="AG3408" s="508">
        <v>0.64</v>
      </c>
      <c r="AH3408" s="508">
        <v>0.63800000000000001</v>
      </c>
      <c r="AI3408" s="492">
        <v>0.63800000000000001</v>
      </c>
      <c r="AJ3408" s="485"/>
    </row>
    <row r="3409" spans="2:36">
      <c r="B3409" s="136" t="s">
        <v>456</v>
      </c>
      <c r="C3409" s="132" t="s">
        <v>1375</v>
      </c>
      <c r="D3409" s="132" t="s">
        <v>283</v>
      </c>
      <c r="E3409" s="508">
        <v>18.111000000000001</v>
      </c>
      <c r="F3409" s="508">
        <v>18.128</v>
      </c>
      <c r="G3409" s="508">
        <v>18.163</v>
      </c>
      <c r="H3409" s="508">
        <v>18.16</v>
      </c>
      <c r="I3409" s="508">
        <v>18.164000000000001</v>
      </c>
      <c r="J3409" s="508">
        <v>14.055999999999999</v>
      </c>
      <c r="K3409" s="508">
        <v>12.978</v>
      </c>
      <c r="L3409" s="508">
        <v>13.015000000000001</v>
      </c>
      <c r="M3409" s="508">
        <v>13.010999999999999</v>
      </c>
      <c r="N3409" s="508">
        <v>13.036</v>
      </c>
      <c r="O3409" s="508">
        <v>13.01</v>
      </c>
      <c r="P3409" s="508">
        <v>13.055999999999999</v>
      </c>
      <c r="Q3409" s="508">
        <v>13.073</v>
      </c>
      <c r="R3409" s="508">
        <v>12.096</v>
      </c>
      <c r="S3409" s="508">
        <v>7.5060000000000002</v>
      </c>
      <c r="T3409" s="508">
        <v>7.4530000000000003</v>
      </c>
      <c r="U3409" s="508">
        <v>7.4630000000000001</v>
      </c>
      <c r="V3409" s="508">
        <v>7.1680000000000001</v>
      </c>
      <c r="W3409" s="508">
        <v>5.774</v>
      </c>
      <c r="X3409" s="508">
        <v>5.7690000000000001</v>
      </c>
      <c r="Y3409" s="508">
        <v>5.74</v>
      </c>
      <c r="Z3409" s="508">
        <v>5.7439999999999998</v>
      </c>
      <c r="AA3409" s="508">
        <v>3.2570000000000001</v>
      </c>
      <c r="AB3409" s="508">
        <v>3.0710000000000002</v>
      </c>
      <c r="AC3409" s="508">
        <v>3.31</v>
      </c>
      <c r="AD3409" s="508">
        <v>0.999</v>
      </c>
      <c r="AE3409" s="508">
        <v>0.997</v>
      </c>
      <c r="AF3409" s="508">
        <v>0.63500000000000001</v>
      </c>
      <c r="AG3409" s="508">
        <v>0.629</v>
      </c>
      <c r="AH3409" s="508">
        <v>0.626</v>
      </c>
      <c r="AI3409" s="492">
        <v>0.626</v>
      </c>
      <c r="AJ3409" s="485"/>
    </row>
    <row r="3410" spans="2:36">
      <c r="B3410" s="136" t="s">
        <v>457</v>
      </c>
      <c r="C3410" s="132" t="s">
        <v>1375</v>
      </c>
      <c r="D3410" s="132" t="s">
        <v>283</v>
      </c>
      <c r="E3410" s="508">
        <v>18.600999999999999</v>
      </c>
      <c r="F3410" s="508">
        <v>18.616</v>
      </c>
      <c r="G3410" s="508">
        <v>18.646999999999998</v>
      </c>
      <c r="H3410" s="508">
        <v>18.645</v>
      </c>
      <c r="I3410" s="508">
        <v>18.648</v>
      </c>
      <c r="J3410" s="508">
        <v>14.427</v>
      </c>
      <c r="K3410" s="508">
        <v>13.329000000000001</v>
      </c>
      <c r="L3410" s="508">
        <v>13.362</v>
      </c>
      <c r="M3410" s="508">
        <v>13.359</v>
      </c>
      <c r="N3410" s="508">
        <v>13.381</v>
      </c>
      <c r="O3410" s="508">
        <v>13.358000000000001</v>
      </c>
      <c r="P3410" s="508">
        <v>13.404</v>
      </c>
      <c r="Q3410" s="508">
        <v>13.419</v>
      </c>
      <c r="R3410" s="508">
        <v>12.593999999999999</v>
      </c>
      <c r="S3410" s="508">
        <v>7.798</v>
      </c>
      <c r="T3410" s="508">
        <v>7.7460000000000004</v>
      </c>
      <c r="U3410" s="508">
        <v>7.76</v>
      </c>
      <c r="V3410" s="508">
        <v>7.4550000000000001</v>
      </c>
      <c r="W3410" s="508">
        <v>6.0060000000000002</v>
      </c>
      <c r="X3410" s="508">
        <v>6.0039999999999996</v>
      </c>
      <c r="Y3410" s="508">
        <v>5.9720000000000004</v>
      </c>
      <c r="Z3410" s="508">
        <v>5.9779999999999998</v>
      </c>
      <c r="AA3410" s="508">
        <v>3.3940000000000001</v>
      </c>
      <c r="AB3410" s="508">
        <v>3.1970000000000001</v>
      </c>
      <c r="AC3410" s="508">
        <v>3.45</v>
      </c>
      <c r="AD3410" s="508">
        <v>1.034</v>
      </c>
      <c r="AE3410" s="508">
        <v>1.0329999999999999</v>
      </c>
      <c r="AF3410" s="508">
        <v>0.65600000000000003</v>
      </c>
      <c r="AG3410" s="508">
        <v>0.64900000000000002</v>
      </c>
      <c r="AH3410" s="508">
        <v>0.64600000000000002</v>
      </c>
      <c r="AI3410" s="492">
        <v>0.64600000000000002</v>
      </c>
      <c r="AJ3410" s="485"/>
    </row>
    <row r="3411" spans="2:36">
      <c r="B3411" s="136" t="s">
        <v>458</v>
      </c>
      <c r="C3411" s="132" t="s">
        <v>1375</v>
      </c>
      <c r="D3411" s="132" t="s">
        <v>283</v>
      </c>
      <c r="E3411" s="508">
        <v>19.872</v>
      </c>
      <c r="F3411" s="508">
        <v>19.89</v>
      </c>
      <c r="G3411" s="508">
        <v>19.927</v>
      </c>
      <c r="H3411" s="508">
        <v>19.923999999999999</v>
      </c>
      <c r="I3411" s="508">
        <v>19.928000000000001</v>
      </c>
      <c r="J3411" s="508">
        <v>15.42</v>
      </c>
      <c r="K3411" s="508">
        <v>14.238</v>
      </c>
      <c r="L3411" s="508">
        <v>14.276999999999999</v>
      </c>
      <c r="M3411" s="508">
        <v>14.273</v>
      </c>
      <c r="N3411" s="508">
        <v>14.3</v>
      </c>
      <c r="O3411" s="508">
        <v>14.272</v>
      </c>
      <c r="P3411" s="508">
        <v>14.323</v>
      </c>
      <c r="Q3411" s="508">
        <v>14.340999999999999</v>
      </c>
      <c r="R3411" s="508">
        <v>13.208</v>
      </c>
      <c r="S3411" s="508">
        <v>8.2240000000000002</v>
      </c>
      <c r="T3411" s="508">
        <v>8.1660000000000004</v>
      </c>
      <c r="U3411" s="508">
        <v>8.1780000000000008</v>
      </c>
      <c r="V3411" s="508">
        <v>7.859</v>
      </c>
      <c r="W3411" s="508">
        <v>6.2939999999999996</v>
      </c>
      <c r="X3411" s="508">
        <v>6.2880000000000003</v>
      </c>
      <c r="Y3411" s="508">
        <v>6.258</v>
      </c>
      <c r="Z3411" s="508">
        <v>6.2629999999999999</v>
      </c>
      <c r="AA3411" s="508">
        <v>3.5489999999999999</v>
      </c>
      <c r="AB3411" s="508">
        <v>3.3450000000000002</v>
      </c>
      <c r="AC3411" s="508">
        <v>3.6070000000000002</v>
      </c>
      <c r="AD3411" s="508">
        <v>1.089</v>
      </c>
      <c r="AE3411" s="508">
        <v>1.0860000000000001</v>
      </c>
      <c r="AF3411" s="508">
        <v>0.69099999999999995</v>
      </c>
      <c r="AG3411" s="508">
        <v>0.68400000000000005</v>
      </c>
      <c r="AH3411" s="508">
        <v>0.68200000000000005</v>
      </c>
      <c r="AI3411" s="492">
        <v>0.68200000000000005</v>
      </c>
      <c r="AJ3411" s="485"/>
    </row>
    <row r="3412" spans="2:36">
      <c r="B3412" s="136" t="s">
        <v>459</v>
      </c>
      <c r="C3412" s="132" t="s">
        <v>1375</v>
      </c>
      <c r="D3412" s="132" t="s">
        <v>283</v>
      </c>
      <c r="E3412" s="508">
        <v>20.245000000000001</v>
      </c>
      <c r="F3412" s="508">
        <v>20.263000000000002</v>
      </c>
      <c r="G3412" s="508">
        <v>20.298999999999999</v>
      </c>
      <c r="H3412" s="508">
        <v>20.297000000000001</v>
      </c>
      <c r="I3412" s="508">
        <v>20.300999999999998</v>
      </c>
      <c r="J3412" s="508">
        <v>15.708</v>
      </c>
      <c r="K3412" s="508">
        <v>14.505000000000001</v>
      </c>
      <c r="L3412" s="508">
        <v>14.544</v>
      </c>
      <c r="M3412" s="508">
        <v>14.54</v>
      </c>
      <c r="N3412" s="508">
        <v>14.566000000000001</v>
      </c>
      <c r="O3412" s="508">
        <v>14.539</v>
      </c>
      <c r="P3412" s="508">
        <v>14.59</v>
      </c>
      <c r="Q3412" s="508">
        <v>14.608000000000001</v>
      </c>
      <c r="R3412" s="508">
        <v>13.457000000000001</v>
      </c>
      <c r="S3412" s="508">
        <v>8.3759999999999994</v>
      </c>
      <c r="T3412" s="508">
        <v>8.3179999999999996</v>
      </c>
      <c r="U3412" s="508">
        <v>8.33</v>
      </c>
      <c r="V3412" s="508">
        <v>8.0050000000000008</v>
      </c>
      <c r="W3412" s="508">
        <v>6.41</v>
      </c>
      <c r="X3412" s="508">
        <v>6.4039999999999999</v>
      </c>
      <c r="Y3412" s="508">
        <v>6.3730000000000002</v>
      </c>
      <c r="Z3412" s="508">
        <v>6.3780000000000001</v>
      </c>
      <c r="AA3412" s="508">
        <v>3.6139999999999999</v>
      </c>
      <c r="AB3412" s="508">
        <v>3.4060000000000001</v>
      </c>
      <c r="AC3412" s="508">
        <v>3.673</v>
      </c>
      <c r="AD3412" s="508">
        <v>1.1080000000000001</v>
      </c>
      <c r="AE3412" s="508">
        <v>1.105</v>
      </c>
      <c r="AF3412" s="508">
        <v>0.70299999999999996</v>
      </c>
      <c r="AG3412" s="508">
        <v>0.69599999999999995</v>
      </c>
      <c r="AH3412" s="508">
        <v>0.69399999999999995</v>
      </c>
      <c r="AI3412" s="492">
        <v>0.69399999999999995</v>
      </c>
      <c r="AJ3412" s="485"/>
    </row>
    <row r="3413" spans="2:36">
      <c r="B3413" s="136" t="s">
        <v>460</v>
      </c>
      <c r="C3413" s="132" t="s">
        <v>1375</v>
      </c>
      <c r="D3413" s="132" t="s">
        <v>283</v>
      </c>
      <c r="E3413" s="508">
        <v>20.213000000000001</v>
      </c>
      <c r="F3413" s="508">
        <v>20.231000000000002</v>
      </c>
      <c r="G3413" s="508">
        <v>20.266999999999999</v>
      </c>
      <c r="H3413" s="508">
        <v>20.263999999999999</v>
      </c>
      <c r="I3413" s="508">
        <v>20.268000000000001</v>
      </c>
      <c r="J3413" s="508">
        <v>15.682</v>
      </c>
      <c r="K3413" s="508">
        <v>14.481999999999999</v>
      </c>
      <c r="L3413" s="508">
        <v>14.52</v>
      </c>
      <c r="M3413" s="508">
        <v>14.516</v>
      </c>
      <c r="N3413" s="508">
        <v>14.542</v>
      </c>
      <c r="O3413" s="508">
        <v>14.515000000000001</v>
      </c>
      <c r="P3413" s="508">
        <v>14.567</v>
      </c>
      <c r="Q3413" s="508">
        <v>14.584</v>
      </c>
      <c r="R3413" s="508">
        <v>13.45</v>
      </c>
      <c r="S3413" s="508">
        <v>8.343</v>
      </c>
      <c r="T3413" s="508">
        <v>8.2850000000000001</v>
      </c>
      <c r="U3413" s="508">
        <v>8.298</v>
      </c>
      <c r="V3413" s="508">
        <v>7.968</v>
      </c>
      <c r="W3413" s="508">
        <v>6.4109999999999996</v>
      </c>
      <c r="X3413" s="508">
        <v>6.4050000000000002</v>
      </c>
      <c r="Y3413" s="508">
        <v>6.375</v>
      </c>
      <c r="Z3413" s="508">
        <v>6.38</v>
      </c>
      <c r="AA3413" s="508">
        <v>3.6150000000000002</v>
      </c>
      <c r="AB3413" s="508">
        <v>3.4060000000000001</v>
      </c>
      <c r="AC3413" s="508">
        <v>3.6739999999999999</v>
      </c>
      <c r="AD3413" s="508">
        <v>1.1080000000000001</v>
      </c>
      <c r="AE3413" s="508">
        <v>1.105</v>
      </c>
      <c r="AF3413" s="508">
        <v>0.70299999999999996</v>
      </c>
      <c r="AG3413" s="508">
        <v>0.69599999999999995</v>
      </c>
      <c r="AH3413" s="508">
        <v>0.69299999999999995</v>
      </c>
      <c r="AI3413" s="492">
        <v>0.69299999999999995</v>
      </c>
      <c r="AJ3413" s="485"/>
    </row>
    <row r="3414" spans="2:36">
      <c r="B3414" s="136" t="s">
        <v>461</v>
      </c>
      <c r="C3414" s="132" t="s">
        <v>1375</v>
      </c>
      <c r="D3414" s="132" t="s">
        <v>283</v>
      </c>
      <c r="E3414" s="508">
        <v>19.757000000000001</v>
      </c>
      <c r="F3414" s="508">
        <v>19.774999999999999</v>
      </c>
      <c r="G3414" s="508">
        <v>19.809999999999999</v>
      </c>
      <c r="H3414" s="508">
        <v>19.806999999999999</v>
      </c>
      <c r="I3414" s="508">
        <v>19.811</v>
      </c>
      <c r="J3414" s="508">
        <v>15.329000000000001</v>
      </c>
      <c r="K3414" s="508">
        <v>14.154</v>
      </c>
      <c r="L3414" s="508">
        <v>14.192</v>
      </c>
      <c r="M3414" s="508">
        <v>14.188000000000001</v>
      </c>
      <c r="N3414" s="508">
        <v>14.214</v>
      </c>
      <c r="O3414" s="508">
        <v>14.186999999999999</v>
      </c>
      <c r="P3414" s="508">
        <v>14.238</v>
      </c>
      <c r="Q3414" s="508">
        <v>14.255000000000001</v>
      </c>
      <c r="R3414" s="508">
        <v>13.214</v>
      </c>
      <c r="S3414" s="508">
        <v>8.2010000000000005</v>
      </c>
      <c r="T3414" s="508">
        <v>8.1440000000000001</v>
      </c>
      <c r="U3414" s="508">
        <v>8.1579999999999995</v>
      </c>
      <c r="V3414" s="508">
        <v>7.8330000000000002</v>
      </c>
      <c r="W3414" s="508">
        <v>6.3380000000000001</v>
      </c>
      <c r="X3414" s="508">
        <v>6.3330000000000002</v>
      </c>
      <c r="Y3414" s="508">
        <v>6.3019999999999996</v>
      </c>
      <c r="Z3414" s="508">
        <v>6.3070000000000004</v>
      </c>
      <c r="AA3414" s="508">
        <v>3.5790000000000002</v>
      </c>
      <c r="AB3414" s="508">
        <v>3.371</v>
      </c>
      <c r="AC3414" s="508">
        <v>3.6379999999999999</v>
      </c>
      <c r="AD3414" s="508">
        <v>1.0940000000000001</v>
      </c>
      <c r="AE3414" s="508">
        <v>1.0920000000000001</v>
      </c>
      <c r="AF3414" s="508">
        <v>0.69499999999999995</v>
      </c>
      <c r="AG3414" s="508">
        <v>0.68700000000000006</v>
      </c>
      <c r="AH3414" s="508">
        <v>0.68500000000000005</v>
      </c>
      <c r="AI3414" s="492">
        <v>0.68500000000000005</v>
      </c>
      <c r="AJ3414" s="485"/>
    </row>
    <row r="3415" spans="2:36">
      <c r="B3415" s="136" t="s">
        <v>462</v>
      </c>
      <c r="C3415" s="132" t="s">
        <v>1375</v>
      </c>
      <c r="D3415" s="132" t="s">
        <v>283</v>
      </c>
      <c r="E3415" s="508">
        <v>17.771000000000001</v>
      </c>
      <c r="F3415" s="508">
        <v>17.786999999999999</v>
      </c>
      <c r="G3415" s="508">
        <v>17.821000000000002</v>
      </c>
      <c r="H3415" s="508">
        <v>17.818000000000001</v>
      </c>
      <c r="I3415" s="508">
        <v>17.821999999999999</v>
      </c>
      <c r="J3415" s="508">
        <v>13.791</v>
      </c>
      <c r="K3415" s="508">
        <v>12.733000000000001</v>
      </c>
      <c r="L3415" s="508">
        <v>12.769</v>
      </c>
      <c r="M3415" s="508">
        <v>12.765000000000001</v>
      </c>
      <c r="N3415" s="508">
        <v>12.789</v>
      </c>
      <c r="O3415" s="508">
        <v>12.763999999999999</v>
      </c>
      <c r="P3415" s="508">
        <v>12.808999999999999</v>
      </c>
      <c r="Q3415" s="508">
        <v>12.826000000000001</v>
      </c>
      <c r="R3415" s="508">
        <v>11.95</v>
      </c>
      <c r="S3415" s="508">
        <v>7.4050000000000002</v>
      </c>
      <c r="T3415" s="508">
        <v>7.3520000000000003</v>
      </c>
      <c r="U3415" s="508">
        <v>7.3630000000000004</v>
      </c>
      <c r="V3415" s="508">
        <v>7.069</v>
      </c>
      <c r="W3415" s="508">
        <v>5.7510000000000003</v>
      </c>
      <c r="X3415" s="508">
        <v>5.7460000000000004</v>
      </c>
      <c r="Y3415" s="508">
        <v>5.7160000000000002</v>
      </c>
      <c r="Z3415" s="508">
        <v>5.7210000000000001</v>
      </c>
      <c r="AA3415" s="508">
        <v>3.25</v>
      </c>
      <c r="AB3415" s="508">
        <v>3.0619999999999998</v>
      </c>
      <c r="AC3415" s="508">
        <v>3.3029999999999999</v>
      </c>
      <c r="AD3415" s="508">
        <v>0.99399999999999999</v>
      </c>
      <c r="AE3415" s="508">
        <v>0.99199999999999999</v>
      </c>
      <c r="AF3415" s="508">
        <v>0.63200000000000001</v>
      </c>
      <c r="AG3415" s="508">
        <v>0.625</v>
      </c>
      <c r="AH3415" s="508">
        <v>0.623</v>
      </c>
      <c r="AI3415" s="492">
        <v>0.623</v>
      </c>
      <c r="AJ3415" s="485"/>
    </row>
    <row r="3416" spans="2:36">
      <c r="B3416" s="136" t="s">
        <v>463</v>
      </c>
      <c r="C3416" s="132" t="s">
        <v>1375</v>
      </c>
      <c r="D3416" s="132" t="s">
        <v>283</v>
      </c>
      <c r="E3416" s="508">
        <v>18.451000000000001</v>
      </c>
      <c r="F3416" s="508">
        <v>18.468</v>
      </c>
      <c r="G3416" s="508">
        <v>18.5</v>
      </c>
      <c r="H3416" s="508">
        <v>18.498000000000001</v>
      </c>
      <c r="I3416" s="508">
        <v>18.501999999999999</v>
      </c>
      <c r="J3416" s="508">
        <v>14.315</v>
      </c>
      <c r="K3416" s="508">
        <v>13.223000000000001</v>
      </c>
      <c r="L3416" s="508">
        <v>13.257999999999999</v>
      </c>
      <c r="M3416" s="508">
        <v>13.255000000000001</v>
      </c>
      <c r="N3416" s="508">
        <v>13.278</v>
      </c>
      <c r="O3416" s="508">
        <v>13.253</v>
      </c>
      <c r="P3416" s="508">
        <v>13.3</v>
      </c>
      <c r="Q3416" s="508">
        <v>13.316000000000001</v>
      </c>
      <c r="R3416" s="508">
        <v>12.412000000000001</v>
      </c>
      <c r="S3416" s="508">
        <v>7.7240000000000002</v>
      </c>
      <c r="T3416" s="508">
        <v>7.6719999999999997</v>
      </c>
      <c r="U3416" s="508">
        <v>7.6829999999999998</v>
      </c>
      <c r="V3416" s="508">
        <v>7.3890000000000002</v>
      </c>
      <c r="W3416" s="508">
        <v>5.8929999999999998</v>
      </c>
      <c r="X3416" s="508">
        <v>5.89</v>
      </c>
      <c r="Y3416" s="508">
        <v>5.8579999999999997</v>
      </c>
      <c r="Z3416" s="508">
        <v>5.8639999999999999</v>
      </c>
      <c r="AA3416" s="508">
        <v>3.3260000000000001</v>
      </c>
      <c r="AB3416" s="508">
        <v>3.1360000000000001</v>
      </c>
      <c r="AC3416" s="508">
        <v>3.38</v>
      </c>
      <c r="AD3416" s="508">
        <v>1.0169999999999999</v>
      </c>
      <c r="AE3416" s="508">
        <v>1.016</v>
      </c>
      <c r="AF3416" s="508">
        <v>0.64600000000000002</v>
      </c>
      <c r="AG3416" s="508">
        <v>0.63900000000000001</v>
      </c>
      <c r="AH3416" s="508">
        <v>0.63700000000000001</v>
      </c>
      <c r="AI3416" s="492">
        <v>0.63700000000000001</v>
      </c>
      <c r="AJ3416" s="485"/>
    </row>
    <row r="3417" spans="2:36">
      <c r="B3417" s="136" t="s">
        <v>464</v>
      </c>
      <c r="C3417" s="132" t="s">
        <v>1375</v>
      </c>
      <c r="D3417" s="132" t="s">
        <v>283</v>
      </c>
      <c r="E3417" s="508">
        <v>18.812999999999999</v>
      </c>
      <c r="F3417" s="508">
        <v>18.827999999999999</v>
      </c>
      <c r="G3417" s="508">
        <v>18.859000000000002</v>
      </c>
      <c r="H3417" s="508">
        <v>18.856000000000002</v>
      </c>
      <c r="I3417" s="508">
        <v>18.86</v>
      </c>
      <c r="J3417" s="508">
        <v>14.59</v>
      </c>
      <c r="K3417" s="508">
        <v>13.481</v>
      </c>
      <c r="L3417" s="508">
        <v>13.513999999999999</v>
      </c>
      <c r="M3417" s="508">
        <v>13.510999999999999</v>
      </c>
      <c r="N3417" s="508">
        <v>13.532999999999999</v>
      </c>
      <c r="O3417" s="508">
        <v>13.51</v>
      </c>
      <c r="P3417" s="508">
        <v>13.557</v>
      </c>
      <c r="Q3417" s="508">
        <v>13.571999999999999</v>
      </c>
      <c r="R3417" s="508">
        <v>12.728999999999999</v>
      </c>
      <c r="S3417" s="508">
        <v>7.8760000000000003</v>
      </c>
      <c r="T3417" s="508">
        <v>7.8239999999999998</v>
      </c>
      <c r="U3417" s="508">
        <v>7.8380000000000001</v>
      </c>
      <c r="V3417" s="508">
        <v>7.5309999999999997</v>
      </c>
      <c r="W3417" s="508">
        <v>6.0410000000000004</v>
      </c>
      <c r="X3417" s="508">
        <v>6.0389999999999997</v>
      </c>
      <c r="Y3417" s="508">
        <v>6.008</v>
      </c>
      <c r="Z3417" s="508">
        <v>6.0129999999999999</v>
      </c>
      <c r="AA3417" s="508">
        <v>3.4119999999999999</v>
      </c>
      <c r="AB3417" s="508">
        <v>3.2149999999999999</v>
      </c>
      <c r="AC3417" s="508">
        <v>3.4670000000000001</v>
      </c>
      <c r="AD3417" s="508">
        <v>1.04</v>
      </c>
      <c r="AE3417" s="508">
        <v>1.038</v>
      </c>
      <c r="AF3417" s="508">
        <v>0.65900000000000003</v>
      </c>
      <c r="AG3417" s="508">
        <v>0.65200000000000002</v>
      </c>
      <c r="AH3417" s="508">
        <v>0.64900000000000002</v>
      </c>
      <c r="AI3417" s="492">
        <v>0.64900000000000002</v>
      </c>
      <c r="AJ3417" s="485"/>
    </row>
    <row r="3418" spans="2:36">
      <c r="B3418" s="136" t="s">
        <v>465</v>
      </c>
      <c r="C3418" s="132" t="s">
        <v>1375</v>
      </c>
      <c r="D3418" s="132" t="s">
        <v>283</v>
      </c>
      <c r="E3418" s="508">
        <v>19.064</v>
      </c>
      <c r="F3418" s="508">
        <v>19.079999999999998</v>
      </c>
      <c r="G3418" s="508">
        <v>19.111999999999998</v>
      </c>
      <c r="H3418" s="508">
        <v>19.11</v>
      </c>
      <c r="I3418" s="508">
        <v>19.113</v>
      </c>
      <c r="J3418" s="508">
        <v>14.787000000000001</v>
      </c>
      <c r="K3418" s="508">
        <v>13.661</v>
      </c>
      <c r="L3418" s="508">
        <v>13.696</v>
      </c>
      <c r="M3418" s="508">
        <v>13.692</v>
      </c>
      <c r="N3418" s="508">
        <v>13.715</v>
      </c>
      <c r="O3418" s="508">
        <v>13.691000000000001</v>
      </c>
      <c r="P3418" s="508">
        <v>13.739000000000001</v>
      </c>
      <c r="Q3418" s="508">
        <v>13.755000000000001</v>
      </c>
      <c r="R3418" s="508">
        <v>12.818</v>
      </c>
      <c r="S3418" s="508">
        <v>7.9429999999999996</v>
      </c>
      <c r="T3418" s="508">
        <v>7.89</v>
      </c>
      <c r="U3418" s="508">
        <v>7.9039999999999999</v>
      </c>
      <c r="V3418" s="508">
        <v>7.5960000000000001</v>
      </c>
      <c r="W3418" s="508">
        <v>6.0659999999999998</v>
      </c>
      <c r="X3418" s="508">
        <v>6.0629999999999997</v>
      </c>
      <c r="Y3418" s="508">
        <v>6.0330000000000004</v>
      </c>
      <c r="Z3418" s="508">
        <v>6.0380000000000003</v>
      </c>
      <c r="AA3418" s="508">
        <v>3.423</v>
      </c>
      <c r="AB3418" s="508">
        <v>3.226</v>
      </c>
      <c r="AC3418" s="508">
        <v>3.4780000000000002</v>
      </c>
      <c r="AD3418" s="508">
        <v>1.046</v>
      </c>
      <c r="AE3418" s="508">
        <v>1.044</v>
      </c>
      <c r="AF3418" s="508">
        <v>0.66300000000000003</v>
      </c>
      <c r="AG3418" s="508">
        <v>0.65600000000000003</v>
      </c>
      <c r="AH3418" s="508">
        <v>0.65300000000000002</v>
      </c>
      <c r="AI3418" s="492">
        <v>0.65300000000000002</v>
      </c>
      <c r="AJ3418" s="485"/>
    </row>
    <row r="3419" spans="2:36">
      <c r="B3419" s="136" t="s">
        <v>466</v>
      </c>
      <c r="C3419" s="132" t="s">
        <v>1375</v>
      </c>
      <c r="D3419" s="132" t="s">
        <v>283</v>
      </c>
      <c r="E3419" s="508">
        <v>21.535</v>
      </c>
      <c r="F3419" s="508">
        <v>21.553999999999998</v>
      </c>
      <c r="G3419" s="508">
        <v>21.591000000000001</v>
      </c>
      <c r="H3419" s="508">
        <v>21.588000000000001</v>
      </c>
      <c r="I3419" s="508">
        <v>21.593</v>
      </c>
      <c r="J3419" s="508">
        <v>16.706</v>
      </c>
      <c r="K3419" s="508">
        <v>15.426</v>
      </c>
      <c r="L3419" s="508">
        <v>15.467000000000001</v>
      </c>
      <c r="M3419" s="508">
        <v>15.462999999999999</v>
      </c>
      <c r="N3419" s="508">
        <v>15.49</v>
      </c>
      <c r="O3419" s="508">
        <v>15.461</v>
      </c>
      <c r="P3419" s="508">
        <v>15.516999999999999</v>
      </c>
      <c r="Q3419" s="508">
        <v>15.535</v>
      </c>
      <c r="R3419" s="508">
        <v>14.221</v>
      </c>
      <c r="S3419" s="508">
        <v>8.8089999999999993</v>
      </c>
      <c r="T3419" s="508">
        <v>8.7469999999999999</v>
      </c>
      <c r="U3419" s="508">
        <v>8.7620000000000005</v>
      </c>
      <c r="V3419" s="508">
        <v>8.407</v>
      </c>
      <c r="W3419" s="508">
        <v>6.782</v>
      </c>
      <c r="X3419" s="508">
        <v>6.7750000000000004</v>
      </c>
      <c r="Y3419" s="508">
        <v>6.7450000000000001</v>
      </c>
      <c r="Z3419" s="508">
        <v>6.75</v>
      </c>
      <c r="AA3419" s="508">
        <v>3.8210000000000002</v>
      </c>
      <c r="AB3419" s="508">
        <v>3.5979999999999999</v>
      </c>
      <c r="AC3419" s="508">
        <v>3.8839999999999999</v>
      </c>
      <c r="AD3419" s="508">
        <v>1.1719999999999999</v>
      </c>
      <c r="AE3419" s="508">
        <v>1.169</v>
      </c>
      <c r="AF3419" s="508">
        <v>0.74399999999999999</v>
      </c>
      <c r="AG3419" s="508">
        <v>0.73599999999999999</v>
      </c>
      <c r="AH3419" s="508">
        <v>0.73299999999999998</v>
      </c>
      <c r="AI3419" s="492">
        <v>0.73299999999999998</v>
      </c>
      <c r="AJ3419" s="485"/>
    </row>
    <row r="3420" spans="2:36">
      <c r="B3420" s="136" t="s">
        <v>467</v>
      </c>
      <c r="C3420" s="132" t="s">
        <v>1375</v>
      </c>
      <c r="D3420" s="132" t="s">
        <v>283</v>
      </c>
      <c r="E3420" s="508">
        <v>19.54</v>
      </c>
      <c r="F3420" s="508">
        <v>19.558</v>
      </c>
      <c r="G3420" s="508">
        <v>19.591999999999999</v>
      </c>
      <c r="H3420" s="508">
        <v>19.59</v>
      </c>
      <c r="I3420" s="508">
        <v>19.594000000000001</v>
      </c>
      <c r="J3420" s="508">
        <v>15.16</v>
      </c>
      <c r="K3420" s="508">
        <v>13.999000000000001</v>
      </c>
      <c r="L3420" s="508">
        <v>14.037000000000001</v>
      </c>
      <c r="M3420" s="508">
        <v>14.032999999999999</v>
      </c>
      <c r="N3420" s="508">
        <v>14.058</v>
      </c>
      <c r="O3420" s="508">
        <v>14.032</v>
      </c>
      <c r="P3420" s="508">
        <v>14.082000000000001</v>
      </c>
      <c r="Q3420" s="508">
        <v>14.098000000000001</v>
      </c>
      <c r="R3420" s="508">
        <v>13.092000000000001</v>
      </c>
      <c r="S3420" s="508">
        <v>8.1210000000000004</v>
      </c>
      <c r="T3420" s="508">
        <v>8.0649999999999995</v>
      </c>
      <c r="U3420" s="508">
        <v>8.0779999999999994</v>
      </c>
      <c r="V3420" s="508">
        <v>7.7569999999999997</v>
      </c>
      <c r="W3420" s="508">
        <v>6.2770000000000001</v>
      </c>
      <c r="X3420" s="508">
        <v>6.2729999999999997</v>
      </c>
      <c r="Y3420" s="508">
        <v>6.242</v>
      </c>
      <c r="Z3420" s="508">
        <v>6.2469999999999999</v>
      </c>
      <c r="AA3420" s="508">
        <v>3.5449999999999999</v>
      </c>
      <c r="AB3420" s="508">
        <v>3.339</v>
      </c>
      <c r="AC3420" s="508">
        <v>3.6030000000000002</v>
      </c>
      <c r="AD3420" s="508">
        <v>1.0840000000000001</v>
      </c>
      <c r="AE3420" s="508">
        <v>1.081</v>
      </c>
      <c r="AF3420" s="508">
        <v>0.68799999999999994</v>
      </c>
      <c r="AG3420" s="508">
        <v>0.68100000000000005</v>
      </c>
      <c r="AH3420" s="508">
        <v>0.67800000000000005</v>
      </c>
      <c r="AI3420" s="492">
        <v>0.67800000000000005</v>
      </c>
      <c r="AJ3420" s="485"/>
    </row>
    <row r="3421" spans="2:36">
      <c r="B3421" s="136" t="s">
        <v>468</v>
      </c>
      <c r="C3421" s="132" t="s">
        <v>1375</v>
      </c>
      <c r="D3421" s="132" t="s">
        <v>283</v>
      </c>
      <c r="E3421" s="508">
        <v>18.664999999999999</v>
      </c>
      <c r="F3421" s="508">
        <v>18.68</v>
      </c>
      <c r="G3421" s="508">
        <v>18.709</v>
      </c>
      <c r="H3421" s="508">
        <v>18.707000000000001</v>
      </c>
      <c r="I3421" s="508">
        <v>18.710999999999999</v>
      </c>
      <c r="J3421" s="508">
        <v>14.474</v>
      </c>
      <c r="K3421" s="508">
        <v>13.377000000000001</v>
      </c>
      <c r="L3421" s="508">
        <v>13.409000000000001</v>
      </c>
      <c r="M3421" s="508">
        <v>13.406000000000001</v>
      </c>
      <c r="N3421" s="508">
        <v>13.427</v>
      </c>
      <c r="O3421" s="508">
        <v>13.404999999999999</v>
      </c>
      <c r="P3421" s="508">
        <v>13.451000000000001</v>
      </c>
      <c r="Q3421" s="508">
        <v>13.465999999999999</v>
      </c>
      <c r="R3421" s="508">
        <v>12.586</v>
      </c>
      <c r="S3421" s="508">
        <v>7.8029999999999999</v>
      </c>
      <c r="T3421" s="508">
        <v>7.7519999999999998</v>
      </c>
      <c r="U3421" s="508">
        <v>7.766</v>
      </c>
      <c r="V3421" s="508">
        <v>7.4690000000000003</v>
      </c>
      <c r="W3421" s="508">
        <v>5.9020000000000001</v>
      </c>
      <c r="X3421" s="508">
        <v>5.9009999999999998</v>
      </c>
      <c r="Y3421" s="508">
        <v>5.87</v>
      </c>
      <c r="Z3421" s="508">
        <v>5.875</v>
      </c>
      <c r="AA3421" s="508">
        <v>3.3279999999999998</v>
      </c>
      <c r="AB3421" s="508">
        <v>3.1379999999999999</v>
      </c>
      <c r="AC3421" s="508">
        <v>3.3809999999999998</v>
      </c>
      <c r="AD3421" s="508">
        <v>1.016</v>
      </c>
      <c r="AE3421" s="508">
        <v>1.014</v>
      </c>
      <c r="AF3421" s="508">
        <v>0.64400000000000002</v>
      </c>
      <c r="AG3421" s="508">
        <v>0.63700000000000001</v>
      </c>
      <c r="AH3421" s="508">
        <v>0.63400000000000001</v>
      </c>
      <c r="AI3421" s="492">
        <v>0.63400000000000001</v>
      </c>
      <c r="AJ3421" s="485"/>
    </row>
    <row r="3422" spans="2:36">
      <c r="B3422" s="136" t="s">
        <v>469</v>
      </c>
      <c r="C3422" s="132" t="s">
        <v>1375</v>
      </c>
      <c r="D3422" s="132" t="s">
        <v>283</v>
      </c>
      <c r="E3422" s="508">
        <v>19.436</v>
      </c>
      <c r="F3422" s="508">
        <v>19.452000000000002</v>
      </c>
      <c r="G3422" s="508">
        <v>19.484999999999999</v>
      </c>
      <c r="H3422" s="508">
        <v>19.481999999999999</v>
      </c>
      <c r="I3422" s="508">
        <v>19.486000000000001</v>
      </c>
      <c r="J3422" s="508">
        <v>15.074999999999999</v>
      </c>
      <c r="K3422" s="508">
        <v>13.927</v>
      </c>
      <c r="L3422" s="508">
        <v>13.961</v>
      </c>
      <c r="M3422" s="508">
        <v>13.958</v>
      </c>
      <c r="N3422" s="508">
        <v>13.981</v>
      </c>
      <c r="O3422" s="508">
        <v>13.957000000000001</v>
      </c>
      <c r="P3422" s="508">
        <v>14.006</v>
      </c>
      <c r="Q3422" s="508">
        <v>14.022</v>
      </c>
      <c r="R3422" s="508">
        <v>13.054</v>
      </c>
      <c r="S3422" s="508">
        <v>8.0839999999999996</v>
      </c>
      <c r="T3422" s="508">
        <v>8.0289999999999999</v>
      </c>
      <c r="U3422" s="508">
        <v>8.0429999999999993</v>
      </c>
      <c r="V3422" s="508">
        <v>7.726</v>
      </c>
      <c r="W3422" s="508">
        <v>6.2</v>
      </c>
      <c r="X3422" s="508">
        <v>6.1970000000000001</v>
      </c>
      <c r="Y3422" s="508">
        <v>6.1660000000000004</v>
      </c>
      <c r="Z3422" s="508">
        <v>6.1710000000000003</v>
      </c>
      <c r="AA3422" s="508">
        <v>3.4990000000000001</v>
      </c>
      <c r="AB3422" s="508">
        <v>3.2970000000000002</v>
      </c>
      <c r="AC3422" s="508">
        <v>3.556</v>
      </c>
      <c r="AD3422" s="508">
        <v>1.069</v>
      </c>
      <c r="AE3422" s="508">
        <v>1.0669999999999999</v>
      </c>
      <c r="AF3422" s="508">
        <v>0.67800000000000005</v>
      </c>
      <c r="AG3422" s="508">
        <v>0.67100000000000004</v>
      </c>
      <c r="AH3422" s="508">
        <v>0.66800000000000004</v>
      </c>
      <c r="AI3422" s="492">
        <v>0.66800000000000004</v>
      </c>
      <c r="AJ3422" s="485"/>
    </row>
    <row r="3423" spans="2:36">
      <c r="B3423" s="136" t="s">
        <v>470</v>
      </c>
      <c r="C3423" s="132" t="s">
        <v>1375</v>
      </c>
      <c r="D3423" s="132" t="s">
        <v>283</v>
      </c>
      <c r="E3423" s="508">
        <v>20.503</v>
      </c>
      <c r="F3423" s="508">
        <v>20.521999999999998</v>
      </c>
      <c r="G3423" s="508">
        <v>20.559000000000001</v>
      </c>
      <c r="H3423" s="508">
        <v>20.556999999999999</v>
      </c>
      <c r="I3423" s="508">
        <v>20.561</v>
      </c>
      <c r="J3423" s="508">
        <v>15.909000000000001</v>
      </c>
      <c r="K3423" s="508">
        <v>14.688000000000001</v>
      </c>
      <c r="L3423" s="508">
        <v>14.728</v>
      </c>
      <c r="M3423" s="508">
        <v>14.724</v>
      </c>
      <c r="N3423" s="508">
        <v>14.750999999999999</v>
      </c>
      <c r="O3423" s="508">
        <v>14.723000000000001</v>
      </c>
      <c r="P3423" s="508">
        <v>14.776</v>
      </c>
      <c r="Q3423" s="508">
        <v>14.794</v>
      </c>
      <c r="R3423" s="508">
        <v>13.596</v>
      </c>
      <c r="S3423" s="508">
        <v>8.4469999999999992</v>
      </c>
      <c r="T3423" s="508">
        <v>8.3879999999999999</v>
      </c>
      <c r="U3423" s="508">
        <v>8.4009999999999998</v>
      </c>
      <c r="V3423" s="508">
        <v>8.0660000000000007</v>
      </c>
      <c r="W3423" s="508">
        <v>6.5069999999999997</v>
      </c>
      <c r="X3423" s="508">
        <v>6.5</v>
      </c>
      <c r="Y3423" s="508">
        <v>6.47</v>
      </c>
      <c r="Z3423" s="508">
        <v>6.4749999999999996</v>
      </c>
      <c r="AA3423" s="508">
        <v>3.67</v>
      </c>
      <c r="AB3423" s="508">
        <v>3.4569999999999999</v>
      </c>
      <c r="AC3423" s="508">
        <v>3.73</v>
      </c>
      <c r="AD3423" s="508">
        <v>1.125</v>
      </c>
      <c r="AE3423" s="508">
        <v>1.123</v>
      </c>
      <c r="AF3423" s="508">
        <v>0.71499999999999997</v>
      </c>
      <c r="AG3423" s="508">
        <v>0.70699999999999996</v>
      </c>
      <c r="AH3423" s="508">
        <v>0.70499999999999996</v>
      </c>
      <c r="AI3423" s="492">
        <v>0.70499999999999996</v>
      </c>
      <c r="AJ3423" s="485"/>
    </row>
    <row r="3424" spans="2:36">
      <c r="B3424" s="136" t="s">
        <v>471</v>
      </c>
      <c r="C3424" s="132" t="s">
        <v>1375</v>
      </c>
      <c r="D3424" s="132" t="s">
        <v>283</v>
      </c>
      <c r="E3424" s="508">
        <v>19.155999999999999</v>
      </c>
      <c r="F3424" s="508">
        <v>19.173999999999999</v>
      </c>
      <c r="G3424" s="508">
        <v>19.209</v>
      </c>
      <c r="H3424" s="508">
        <v>19.207000000000001</v>
      </c>
      <c r="I3424" s="508">
        <v>19.210999999999999</v>
      </c>
      <c r="J3424" s="508">
        <v>14.866</v>
      </c>
      <c r="K3424" s="508">
        <v>13.723000000000001</v>
      </c>
      <c r="L3424" s="508">
        <v>13.762</v>
      </c>
      <c r="M3424" s="508">
        <v>13.757999999999999</v>
      </c>
      <c r="N3424" s="508">
        <v>13.784000000000001</v>
      </c>
      <c r="O3424" s="508">
        <v>13.757</v>
      </c>
      <c r="P3424" s="508">
        <v>13.805999999999999</v>
      </c>
      <c r="Q3424" s="508">
        <v>13.824</v>
      </c>
      <c r="R3424" s="508">
        <v>12.775</v>
      </c>
      <c r="S3424" s="508">
        <v>7.9290000000000003</v>
      </c>
      <c r="T3424" s="508">
        <v>7.8719999999999999</v>
      </c>
      <c r="U3424" s="508">
        <v>7.8840000000000003</v>
      </c>
      <c r="V3424" s="508">
        <v>7.569</v>
      </c>
      <c r="W3424" s="508">
        <v>6.1379999999999999</v>
      </c>
      <c r="X3424" s="508">
        <v>6.1319999999999997</v>
      </c>
      <c r="Y3424" s="508">
        <v>6.1020000000000003</v>
      </c>
      <c r="Z3424" s="508">
        <v>6.1070000000000002</v>
      </c>
      <c r="AA3424" s="508">
        <v>3.4649999999999999</v>
      </c>
      <c r="AB3424" s="508">
        <v>3.2639999999999998</v>
      </c>
      <c r="AC3424" s="508">
        <v>3.5219999999999998</v>
      </c>
      <c r="AD3424" s="508">
        <v>1.0620000000000001</v>
      </c>
      <c r="AE3424" s="508">
        <v>1.0589999999999999</v>
      </c>
      <c r="AF3424" s="508">
        <v>0.67500000000000004</v>
      </c>
      <c r="AG3424" s="508">
        <v>0.66800000000000004</v>
      </c>
      <c r="AH3424" s="508">
        <v>0.66500000000000004</v>
      </c>
      <c r="AI3424" s="492">
        <v>0.66500000000000004</v>
      </c>
      <c r="AJ3424" s="485"/>
    </row>
    <row r="3425" spans="2:36">
      <c r="B3425" s="136" t="s">
        <v>472</v>
      </c>
      <c r="C3425" s="132" t="s">
        <v>1375</v>
      </c>
      <c r="D3425" s="132" t="s">
        <v>283</v>
      </c>
      <c r="E3425" s="508">
        <v>18.763999999999999</v>
      </c>
      <c r="F3425" s="508">
        <v>18.78</v>
      </c>
      <c r="G3425" s="508">
        <v>18.809999999999999</v>
      </c>
      <c r="H3425" s="508">
        <v>18.808</v>
      </c>
      <c r="I3425" s="508">
        <v>18.812000000000001</v>
      </c>
      <c r="J3425" s="508">
        <v>14.553000000000001</v>
      </c>
      <c r="K3425" s="508">
        <v>13.446</v>
      </c>
      <c r="L3425" s="508">
        <v>13.478999999999999</v>
      </c>
      <c r="M3425" s="508">
        <v>13.476000000000001</v>
      </c>
      <c r="N3425" s="508">
        <v>13.497999999999999</v>
      </c>
      <c r="O3425" s="508">
        <v>13.475</v>
      </c>
      <c r="P3425" s="508">
        <v>13.522</v>
      </c>
      <c r="Q3425" s="508">
        <v>13.537000000000001</v>
      </c>
      <c r="R3425" s="508">
        <v>12.701000000000001</v>
      </c>
      <c r="S3425" s="508">
        <v>7.8620000000000001</v>
      </c>
      <c r="T3425" s="508">
        <v>7.8090000000000002</v>
      </c>
      <c r="U3425" s="508">
        <v>7.8230000000000004</v>
      </c>
      <c r="V3425" s="508">
        <v>7.5149999999999997</v>
      </c>
      <c r="W3425" s="508">
        <v>6.0529999999999999</v>
      </c>
      <c r="X3425" s="508">
        <v>6.0519999999999996</v>
      </c>
      <c r="Y3425" s="508">
        <v>6.02</v>
      </c>
      <c r="Z3425" s="508">
        <v>6.0259999999999998</v>
      </c>
      <c r="AA3425" s="508">
        <v>3.4209999999999998</v>
      </c>
      <c r="AB3425" s="508">
        <v>3.222</v>
      </c>
      <c r="AC3425" s="508">
        <v>3.4769999999999999</v>
      </c>
      <c r="AD3425" s="508">
        <v>1.042</v>
      </c>
      <c r="AE3425" s="508">
        <v>1.0409999999999999</v>
      </c>
      <c r="AF3425" s="508">
        <v>0.66100000000000003</v>
      </c>
      <c r="AG3425" s="508">
        <v>0.65400000000000003</v>
      </c>
      <c r="AH3425" s="508">
        <v>0.65100000000000002</v>
      </c>
      <c r="AI3425" s="492">
        <v>0.65100000000000002</v>
      </c>
      <c r="AJ3425" s="485"/>
    </row>
    <row r="3426" spans="2:36">
      <c r="B3426" s="136" t="s">
        <v>473</v>
      </c>
      <c r="C3426" s="132" t="s">
        <v>1375</v>
      </c>
      <c r="D3426" s="132" t="s">
        <v>283</v>
      </c>
      <c r="E3426" s="508">
        <v>20.317</v>
      </c>
      <c r="F3426" s="508">
        <v>20.335999999999999</v>
      </c>
      <c r="G3426" s="508">
        <v>20.373000000000001</v>
      </c>
      <c r="H3426" s="508">
        <v>20.37</v>
      </c>
      <c r="I3426" s="508">
        <v>20.373999999999999</v>
      </c>
      <c r="J3426" s="508">
        <v>15.765000000000001</v>
      </c>
      <c r="K3426" s="508">
        <v>14.554</v>
      </c>
      <c r="L3426" s="508">
        <v>14.593999999999999</v>
      </c>
      <c r="M3426" s="508">
        <v>14.59</v>
      </c>
      <c r="N3426" s="508">
        <v>14.617000000000001</v>
      </c>
      <c r="O3426" s="508">
        <v>14.589</v>
      </c>
      <c r="P3426" s="508">
        <v>14.641</v>
      </c>
      <c r="Q3426" s="508">
        <v>14.659000000000001</v>
      </c>
      <c r="R3426" s="508">
        <v>13.481</v>
      </c>
      <c r="S3426" s="508">
        <v>8.359</v>
      </c>
      <c r="T3426" s="508">
        <v>8.3000000000000007</v>
      </c>
      <c r="U3426" s="508">
        <v>8.3130000000000006</v>
      </c>
      <c r="V3426" s="508">
        <v>7.9779999999999998</v>
      </c>
      <c r="W3426" s="508">
        <v>6.4610000000000003</v>
      </c>
      <c r="X3426" s="508">
        <v>6.4550000000000001</v>
      </c>
      <c r="Y3426" s="508">
        <v>6.4249999999999998</v>
      </c>
      <c r="Z3426" s="508">
        <v>6.43</v>
      </c>
      <c r="AA3426" s="508">
        <v>3.645</v>
      </c>
      <c r="AB3426" s="508">
        <v>3.4329999999999998</v>
      </c>
      <c r="AC3426" s="508">
        <v>3.7050000000000001</v>
      </c>
      <c r="AD3426" s="508">
        <v>1.1180000000000001</v>
      </c>
      <c r="AE3426" s="508">
        <v>1.115</v>
      </c>
      <c r="AF3426" s="508">
        <v>0.70899999999999996</v>
      </c>
      <c r="AG3426" s="508">
        <v>0.70199999999999996</v>
      </c>
      <c r="AH3426" s="508">
        <v>0.7</v>
      </c>
      <c r="AI3426" s="492">
        <v>0.7</v>
      </c>
      <c r="AJ3426" s="485"/>
    </row>
    <row r="3427" spans="2:36">
      <c r="B3427" s="136" t="s">
        <v>474</v>
      </c>
      <c r="C3427" s="132" t="s">
        <v>1375</v>
      </c>
      <c r="D3427" s="132" t="s">
        <v>283</v>
      </c>
      <c r="E3427" s="508">
        <v>18.975000000000001</v>
      </c>
      <c r="F3427" s="508">
        <v>18.992999999999999</v>
      </c>
      <c r="G3427" s="508">
        <v>19.027000000000001</v>
      </c>
      <c r="H3427" s="508">
        <v>19.024000000000001</v>
      </c>
      <c r="I3427" s="508">
        <v>19.029</v>
      </c>
      <c r="J3427" s="508">
        <v>14.724</v>
      </c>
      <c r="K3427" s="508">
        <v>13.595000000000001</v>
      </c>
      <c r="L3427" s="508">
        <v>13.632999999999999</v>
      </c>
      <c r="M3427" s="508">
        <v>13.629</v>
      </c>
      <c r="N3427" s="508">
        <v>13.654</v>
      </c>
      <c r="O3427" s="508">
        <v>13.628</v>
      </c>
      <c r="P3427" s="508">
        <v>13.676</v>
      </c>
      <c r="Q3427" s="508">
        <v>13.693</v>
      </c>
      <c r="R3427" s="508">
        <v>12.683</v>
      </c>
      <c r="S3427" s="508">
        <v>7.8639999999999999</v>
      </c>
      <c r="T3427" s="508">
        <v>7.8090000000000002</v>
      </c>
      <c r="U3427" s="508">
        <v>7.8209999999999997</v>
      </c>
      <c r="V3427" s="508">
        <v>7.51</v>
      </c>
      <c r="W3427" s="508">
        <v>6.0650000000000004</v>
      </c>
      <c r="X3427" s="508">
        <v>6.06</v>
      </c>
      <c r="Y3427" s="508">
        <v>6.03</v>
      </c>
      <c r="Z3427" s="508">
        <v>6.0350000000000001</v>
      </c>
      <c r="AA3427" s="508">
        <v>3.423</v>
      </c>
      <c r="AB3427" s="508">
        <v>3.2250000000000001</v>
      </c>
      <c r="AC3427" s="508">
        <v>3.4790000000000001</v>
      </c>
      <c r="AD3427" s="508">
        <v>1.048</v>
      </c>
      <c r="AE3427" s="508">
        <v>1.046</v>
      </c>
      <c r="AF3427" s="508">
        <v>0.66600000000000004</v>
      </c>
      <c r="AG3427" s="508">
        <v>0.65900000000000003</v>
      </c>
      <c r="AH3427" s="508">
        <v>0.65600000000000003</v>
      </c>
      <c r="AI3427" s="492">
        <v>0.65600000000000003</v>
      </c>
      <c r="AJ3427" s="485"/>
    </row>
    <row r="3428" spans="2:36">
      <c r="B3428" s="136" t="s">
        <v>475</v>
      </c>
      <c r="C3428" s="132" t="s">
        <v>1375</v>
      </c>
      <c r="D3428" s="132" t="s">
        <v>283</v>
      </c>
      <c r="E3428" s="508">
        <v>19.170999999999999</v>
      </c>
      <c r="F3428" s="508">
        <v>19.187999999999999</v>
      </c>
      <c r="G3428" s="508">
        <v>19.221</v>
      </c>
      <c r="H3428" s="508">
        <v>19.219000000000001</v>
      </c>
      <c r="I3428" s="508">
        <v>19.222999999999999</v>
      </c>
      <c r="J3428" s="508">
        <v>14.872999999999999</v>
      </c>
      <c r="K3428" s="508">
        <v>13.734999999999999</v>
      </c>
      <c r="L3428" s="508">
        <v>13.772</v>
      </c>
      <c r="M3428" s="508">
        <v>13.768000000000001</v>
      </c>
      <c r="N3428" s="508">
        <v>13.792999999999999</v>
      </c>
      <c r="O3428" s="508">
        <v>13.766999999999999</v>
      </c>
      <c r="P3428" s="508">
        <v>13.816000000000001</v>
      </c>
      <c r="Q3428" s="508">
        <v>13.832000000000001</v>
      </c>
      <c r="R3428" s="508">
        <v>12.852</v>
      </c>
      <c r="S3428" s="508">
        <v>7.97</v>
      </c>
      <c r="T3428" s="508">
        <v>7.9139999999999997</v>
      </c>
      <c r="U3428" s="508">
        <v>7.9269999999999996</v>
      </c>
      <c r="V3428" s="508">
        <v>7.6130000000000004</v>
      </c>
      <c r="W3428" s="508">
        <v>6.1429999999999998</v>
      </c>
      <c r="X3428" s="508">
        <v>6.1390000000000002</v>
      </c>
      <c r="Y3428" s="508">
        <v>6.1079999999999997</v>
      </c>
      <c r="Z3428" s="508">
        <v>6.1139999999999999</v>
      </c>
      <c r="AA3428" s="508">
        <v>3.4689999999999999</v>
      </c>
      <c r="AB3428" s="508">
        <v>3.2679999999999998</v>
      </c>
      <c r="AC3428" s="508">
        <v>3.5249999999999999</v>
      </c>
      <c r="AD3428" s="508">
        <v>1.0609999999999999</v>
      </c>
      <c r="AE3428" s="508">
        <v>1.0580000000000001</v>
      </c>
      <c r="AF3428" s="508">
        <v>0.67300000000000004</v>
      </c>
      <c r="AG3428" s="508">
        <v>0.66600000000000004</v>
      </c>
      <c r="AH3428" s="508">
        <v>0.66300000000000003</v>
      </c>
      <c r="AI3428" s="492">
        <v>0.66300000000000003</v>
      </c>
      <c r="AJ3428" s="485"/>
    </row>
    <row r="3429" spans="2:36">
      <c r="B3429" s="136" t="s">
        <v>476</v>
      </c>
      <c r="C3429" s="132" t="s">
        <v>1375</v>
      </c>
      <c r="D3429" s="132" t="s">
        <v>283</v>
      </c>
      <c r="E3429" s="508">
        <v>20.111999999999998</v>
      </c>
      <c r="F3429" s="508">
        <v>20.13</v>
      </c>
      <c r="G3429" s="508">
        <v>20.166</v>
      </c>
      <c r="H3429" s="508">
        <v>20.163</v>
      </c>
      <c r="I3429" s="508">
        <v>20.167000000000002</v>
      </c>
      <c r="J3429" s="508">
        <v>15.603999999999999</v>
      </c>
      <c r="K3429" s="508">
        <v>14.409000000000001</v>
      </c>
      <c r="L3429" s="508">
        <v>14.448</v>
      </c>
      <c r="M3429" s="508">
        <v>14.444000000000001</v>
      </c>
      <c r="N3429" s="508">
        <v>14.47</v>
      </c>
      <c r="O3429" s="508">
        <v>14.443</v>
      </c>
      <c r="P3429" s="508">
        <v>14.494</v>
      </c>
      <c r="Q3429" s="508">
        <v>14.510999999999999</v>
      </c>
      <c r="R3429" s="508">
        <v>13.38</v>
      </c>
      <c r="S3429" s="508">
        <v>8.298</v>
      </c>
      <c r="T3429" s="508">
        <v>8.2409999999999997</v>
      </c>
      <c r="U3429" s="508">
        <v>8.2539999999999996</v>
      </c>
      <c r="V3429" s="508">
        <v>7.9260000000000002</v>
      </c>
      <c r="W3429" s="508">
        <v>6.3730000000000002</v>
      </c>
      <c r="X3429" s="508">
        <v>6.367</v>
      </c>
      <c r="Y3429" s="508">
        <v>6.3369999999999997</v>
      </c>
      <c r="Z3429" s="508">
        <v>6.3419999999999996</v>
      </c>
      <c r="AA3429" s="508">
        <v>3.5939999999999999</v>
      </c>
      <c r="AB3429" s="508">
        <v>3.3860000000000001</v>
      </c>
      <c r="AC3429" s="508">
        <v>3.6520000000000001</v>
      </c>
      <c r="AD3429" s="508">
        <v>1.101</v>
      </c>
      <c r="AE3429" s="508">
        <v>1.0980000000000001</v>
      </c>
      <c r="AF3429" s="508">
        <v>0.69899999999999995</v>
      </c>
      <c r="AG3429" s="508">
        <v>0.69199999999999995</v>
      </c>
      <c r="AH3429" s="508">
        <v>0.68899999999999995</v>
      </c>
      <c r="AI3429" s="492">
        <v>0.68899999999999995</v>
      </c>
      <c r="AJ3429" s="485"/>
    </row>
    <row r="3430" spans="2:36">
      <c r="B3430" s="136" t="s">
        <v>478</v>
      </c>
      <c r="C3430" s="132" t="s">
        <v>1375</v>
      </c>
      <c r="D3430" s="132" t="s">
        <v>283</v>
      </c>
      <c r="E3430" s="508">
        <v>21.030999999999999</v>
      </c>
      <c r="F3430" s="508">
        <v>21.05</v>
      </c>
      <c r="G3430" s="508">
        <v>21.088000000000001</v>
      </c>
      <c r="H3430" s="508">
        <v>21.085000000000001</v>
      </c>
      <c r="I3430" s="508">
        <v>21.088999999999999</v>
      </c>
      <c r="J3430" s="508">
        <v>16.318000000000001</v>
      </c>
      <c r="K3430" s="508">
        <v>15.066000000000001</v>
      </c>
      <c r="L3430" s="508">
        <v>15.106999999999999</v>
      </c>
      <c r="M3430" s="508">
        <v>15.103</v>
      </c>
      <c r="N3430" s="508">
        <v>15.131</v>
      </c>
      <c r="O3430" s="508">
        <v>15.102</v>
      </c>
      <c r="P3430" s="508">
        <v>15.156000000000001</v>
      </c>
      <c r="Q3430" s="508">
        <v>15.175000000000001</v>
      </c>
      <c r="R3430" s="508">
        <v>13.887</v>
      </c>
      <c r="S3430" s="508">
        <v>8.6370000000000005</v>
      </c>
      <c r="T3430" s="508">
        <v>8.5760000000000005</v>
      </c>
      <c r="U3430" s="508">
        <v>8.5890000000000004</v>
      </c>
      <c r="V3430" s="508">
        <v>8.2490000000000006</v>
      </c>
      <c r="W3430" s="508">
        <v>6.6120000000000001</v>
      </c>
      <c r="X3430" s="508">
        <v>6.6050000000000004</v>
      </c>
      <c r="Y3430" s="508">
        <v>6.5750000000000002</v>
      </c>
      <c r="Z3430" s="508">
        <v>6.58</v>
      </c>
      <c r="AA3430" s="508">
        <v>3.7250000000000001</v>
      </c>
      <c r="AB3430" s="508">
        <v>3.51</v>
      </c>
      <c r="AC3430" s="508">
        <v>3.786</v>
      </c>
      <c r="AD3430" s="508">
        <v>1.1439999999999999</v>
      </c>
      <c r="AE3430" s="508">
        <v>1.141</v>
      </c>
      <c r="AF3430" s="508">
        <v>0.72599999999999998</v>
      </c>
      <c r="AG3430" s="508">
        <v>0.71899999999999997</v>
      </c>
      <c r="AH3430" s="508">
        <v>0.71599999999999997</v>
      </c>
      <c r="AI3430" s="492">
        <v>0.71599999999999997</v>
      </c>
      <c r="AJ3430" s="485"/>
    </row>
    <row r="3431" spans="2:36">
      <c r="B3431" s="136" t="s">
        <v>479</v>
      </c>
      <c r="C3431" s="132" t="s">
        <v>1375</v>
      </c>
      <c r="D3431" s="132" t="s">
        <v>283</v>
      </c>
      <c r="E3431" s="508">
        <v>18.655000000000001</v>
      </c>
      <c r="F3431" s="508">
        <v>18.672000000000001</v>
      </c>
      <c r="G3431" s="508">
        <v>18.704999999999998</v>
      </c>
      <c r="H3431" s="508">
        <v>18.702999999999999</v>
      </c>
      <c r="I3431" s="508">
        <v>18.707000000000001</v>
      </c>
      <c r="J3431" s="508">
        <v>14.474</v>
      </c>
      <c r="K3431" s="508">
        <v>13.367000000000001</v>
      </c>
      <c r="L3431" s="508">
        <v>13.403</v>
      </c>
      <c r="M3431" s="508">
        <v>13.4</v>
      </c>
      <c r="N3431" s="508">
        <v>13.423999999999999</v>
      </c>
      <c r="O3431" s="508">
        <v>13.398999999999999</v>
      </c>
      <c r="P3431" s="508">
        <v>13.446</v>
      </c>
      <c r="Q3431" s="508">
        <v>13.462</v>
      </c>
      <c r="R3431" s="508">
        <v>12.478999999999999</v>
      </c>
      <c r="S3431" s="508">
        <v>7.7350000000000003</v>
      </c>
      <c r="T3431" s="508">
        <v>7.681</v>
      </c>
      <c r="U3431" s="508">
        <v>7.6929999999999996</v>
      </c>
      <c r="V3431" s="508">
        <v>7.39</v>
      </c>
      <c r="W3431" s="508">
        <v>5.9329999999999998</v>
      </c>
      <c r="X3431" s="508">
        <v>5.9290000000000003</v>
      </c>
      <c r="Y3431" s="508">
        <v>5.899</v>
      </c>
      <c r="Z3431" s="508">
        <v>5.9039999999999999</v>
      </c>
      <c r="AA3431" s="508">
        <v>3.347</v>
      </c>
      <c r="AB3431" s="508">
        <v>3.1539999999999999</v>
      </c>
      <c r="AC3431" s="508">
        <v>3.4009999999999998</v>
      </c>
      <c r="AD3431" s="508">
        <v>1.0249999999999999</v>
      </c>
      <c r="AE3431" s="508">
        <v>1.0229999999999999</v>
      </c>
      <c r="AF3431" s="508">
        <v>0.65100000000000002</v>
      </c>
      <c r="AG3431" s="508">
        <v>0.64400000000000002</v>
      </c>
      <c r="AH3431" s="508">
        <v>0.64200000000000002</v>
      </c>
      <c r="AI3431" s="492">
        <v>0.64200000000000002</v>
      </c>
      <c r="AJ3431" s="485"/>
    </row>
    <row r="3432" spans="2:36">
      <c r="B3432" s="136" t="s">
        <v>480</v>
      </c>
      <c r="C3432" s="132" t="s">
        <v>1375</v>
      </c>
      <c r="D3432" s="132" t="s">
        <v>283</v>
      </c>
      <c r="E3432" s="508">
        <v>18.649000000000001</v>
      </c>
      <c r="F3432" s="508">
        <v>18.664000000000001</v>
      </c>
      <c r="G3432" s="508">
        <v>18.693999999999999</v>
      </c>
      <c r="H3432" s="508">
        <v>18.692</v>
      </c>
      <c r="I3432" s="508">
        <v>18.695</v>
      </c>
      <c r="J3432" s="508">
        <v>14.462999999999999</v>
      </c>
      <c r="K3432" s="508">
        <v>13.365</v>
      </c>
      <c r="L3432" s="508">
        <v>13.397</v>
      </c>
      <c r="M3432" s="508">
        <v>13.394</v>
      </c>
      <c r="N3432" s="508">
        <v>13.416</v>
      </c>
      <c r="O3432" s="508">
        <v>13.393000000000001</v>
      </c>
      <c r="P3432" s="508">
        <v>13.44</v>
      </c>
      <c r="Q3432" s="508">
        <v>13.454000000000001</v>
      </c>
      <c r="R3432" s="508">
        <v>12.617000000000001</v>
      </c>
      <c r="S3432" s="508">
        <v>7.8159999999999998</v>
      </c>
      <c r="T3432" s="508">
        <v>7.7640000000000002</v>
      </c>
      <c r="U3432" s="508">
        <v>7.7779999999999996</v>
      </c>
      <c r="V3432" s="508">
        <v>7.4779999999999998</v>
      </c>
      <c r="W3432" s="508">
        <v>5.9610000000000003</v>
      </c>
      <c r="X3432" s="508">
        <v>5.96</v>
      </c>
      <c r="Y3432" s="508">
        <v>5.9279999999999999</v>
      </c>
      <c r="Z3432" s="508">
        <v>5.9340000000000002</v>
      </c>
      <c r="AA3432" s="508">
        <v>3.3650000000000002</v>
      </c>
      <c r="AB3432" s="508">
        <v>3.1720000000000002</v>
      </c>
      <c r="AC3432" s="508">
        <v>3.42</v>
      </c>
      <c r="AD3432" s="508">
        <v>1.026</v>
      </c>
      <c r="AE3432" s="508">
        <v>1.0249999999999999</v>
      </c>
      <c r="AF3432" s="508">
        <v>0.65</v>
      </c>
      <c r="AG3432" s="508">
        <v>0.64400000000000002</v>
      </c>
      <c r="AH3432" s="508">
        <v>0.64100000000000001</v>
      </c>
      <c r="AI3432" s="492">
        <v>0.64100000000000001</v>
      </c>
      <c r="AJ3432" s="485"/>
    </row>
    <row r="3433" spans="2:36">
      <c r="B3433" s="136" t="s">
        <v>481</v>
      </c>
      <c r="C3433" s="132" t="s">
        <v>1375</v>
      </c>
      <c r="D3433" s="132" t="s">
        <v>283</v>
      </c>
      <c r="E3433" s="508">
        <v>19.253</v>
      </c>
      <c r="F3433" s="508">
        <v>19.27</v>
      </c>
      <c r="G3433" s="508">
        <v>19.305</v>
      </c>
      <c r="H3433" s="508">
        <v>19.302</v>
      </c>
      <c r="I3433" s="508">
        <v>19.306000000000001</v>
      </c>
      <c r="J3433" s="508">
        <v>14.938000000000001</v>
      </c>
      <c r="K3433" s="508">
        <v>13.795</v>
      </c>
      <c r="L3433" s="508">
        <v>13.832000000000001</v>
      </c>
      <c r="M3433" s="508">
        <v>13.827999999999999</v>
      </c>
      <c r="N3433" s="508">
        <v>13.853</v>
      </c>
      <c r="O3433" s="508">
        <v>13.827</v>
      </c>
      <c r="P3433" s="508">
        <v>13.875999999999999</v>
      </c>
      <c r="Q3433" s="508">
        <v>13.893000000000001</v>
      </c>
      <c r="R3433" s="508">
        <v>12.842000000000001</v>
      </c>
      <c r="S3433" s="508">
        <v>7.9669999999999996</v>
      </c>
      <c r="T3433" s="508">
        <v>7.9109999999999996</v>
      </c>
      <c r="U3433" s="508">
        <v>7.9240000000000004</v>
      </c>
      <c r="V3433" s="508">
        <v>7.6109999999999998</v>
      </c>
      <c r="W3433" s="508">
        <v>6.1120000000000001</v>
      </c>
      <c r="X3433" s="508">
        <v>6.1070000000000002</v>
      </c>
      <c r="Y3433" s="508">
        <v>6.077</v>
      </c>
      <c r="Z3433" s="508">
        <v>6.0819999999999999</v>
      </c>
      <c r="AA3433" s="508">
        <v>3.4470000000000001</v>
      </c>
      <c r="AB3433" s="508">
        <v>3.2480000000000002</v>
      </c>
      <c r="AC3433" s="508">
        <v>3.5030000000000001</v>
      </c>
      <c r="AD3433" s="508">
        <v>1.056</v>
      </c>
      <c r="AE3433" s="508">
        <v>1.054</v>
      </c>
      <c r="AF3433" s="508">
        <v>0.67100000000000004</v>
      </c>
      <c r="AG3433" s="508">
        <v>0.66400000000000003</v>
      </c>
      <c r="AH3433" s="508">
        <v>0.66100000000000003</v>
      </c>
      <c r="AI3433" s="492">
        <v>0.66100000000000003</v>
      </c>
      <c r="AJ3433" s="485"/>
    </row>
    <row r="3434" spans="2:36">
      <c r="B3434" s="136" t="s">
        <v>482</v>
      </c>
      <c r="C3434" s="132" t="s">
        <v>1375</v>
      </c>
      <c r="D3434" s="132" t="s">
        <v>283</v>
      </c>
      <c r="E3434" s="508">
        <v>18.57</v>
      </c>
      <c r="F3434" s="508">
        <v>18.588000000000001</v>
      </c>
      <c r="G3434" s="508">
        <v>18.623000000000001</v>
      </c>
      <c r="H3434" s="508">
        <v>18.620999999999999</v>
      </c>
      <c r="I3434" s="508">
        <v>18.625</v>
      </c>
      <c r="J3434" s="508">
        <v>14.413</v>
      </c>
      <c r="K3434" s="508">
        <v>13.305999999999999</v>
      </c>
      <c r="L3434" s="508">
        <v>13.345000000000001</v>
      </c>
      <c r="M3434" s="508">
        <v>13.340999999999999</v>
      </c>
      <c r="N3434" s="508">
        <v>13.367000000000001</v>
      </c>
      <c r="O3434" s="508">
        <v>13.34</v>
      </c>
      <c r="P3434" s="508">
        <v>13.387</v>
      </c>
      <c r="Q3434" s="508">
        <v>13.404</v>
      </c>
      <c r="R3434" s="508">
        <v>12.377000000000001</v>
      </c>
      <c r="S3434" s="508">
        <v>7.6989999999999998</v>
      </c>
      <c r="T3434" s="508">
        <v>7.6440000000000001</v>
      </c>
      <c r="U3434" s="508">
        <v>7.6539999999999999</v>
      </c>
      <c r="V3434" s="508">
        <v>7.3550000000000004</v>
      </c>
      <c r="W3434" s="508">
        <v>5.9020000000000001</v>
      </c>
      <c r="X3434" s="508">
        <v>5.8959999999999999</v>
      </c>
      <c r="Y3434" s="508">
        <v>5.8659999999999997</v>
      </c>
      <c r="Z3434" s="508">
        <v>5.8710000000000004</v>
      </c>
      <c r="AA3434" s="508">
        <v>3.3290000000000002</v>
      </c>
      <c r="AB3434" s="508">
        <v>3.1379999999999999</v>
      </c>
      <c r="AC3434" s="508">
        <v>3.383</v>
      </c>
      <c r="AD3434" s="508">
        <v>1.022</v>
      </c>
      <c r="AE3434" s="508">
        <v>1.0189999999999999</v>
      </c>
      <c r="AF3434" s="508">
        <v>0.65</v>
      </c>
      <c r="AG3434" s="508">
        <v>0.64300000000000002</v>
      </c>
      <c r="AH3434" s="508">
        <v>0.64</v>
      </c>
      <c r="AI3434" s="492">
        <v>0.64</v>
      </c>
      <c r="AJ3434" s="485"/>
    </row>
    <row r="3435" spans="2:36">
      <c r="B3435" s="136" t="s">
        <v>483</v>
      </c>
      <c r="C3435" s="132" t="s">
        <v>1375</v>
      </c>
      <c r="D3435" s="132" t="s">
        <v>283</v>
      </c>
      <c r="E3435" s="508">
        <v>21.137</v>
      </c>
      <c r="F3435" s="508">
        <v>21.155999999999999</v>
      </c>
      <c r="G3435" s="508">
        <v>21.193000000000001</v>
      </c>
      <c r="H3435" s="508">
        <v>21.190999999999999</v>
      </c>
      <c r="I3435" s="508">
        <v>21.195</v>
      </c>
      <c r="J3435" s="508">
        <v>16.399000000000001</v>
      </c>
      <c r="K3435" s="508">
        <v>15.143000000000001</v>
      </c>
      <c r="L3435" s="508">
        <v>15.183</v>
      </c>
      <c r="M3435" s="508">
        <v>15.179</v>
      </c>
      <c r="N3435" s="508">
        <v>15.206</v>
      </c>
      <c r="O3435" s="508">
        <v>15.178000000000001</v>
      </c>
      <c r="P3435" s="508">
        <v>15.231999999999999</v>
      </c>
      <c r="Q3435" s="508">
        <v>15.25</v>
      </c>
      <c r="R3435" s="508">
        <v>13.983000000000001</v>
      </c>
      <c r="S3435" s="508">
        <v>8.6850000000000005</v>
      </c>
      <c r="T3435" s="508">
        <v>8.6240000000000006</v>
      </c>
      <c r="U3435" s="508">
        <v>8.6379999999999999</v>
      </c>
      <c r="V3435" s="508">
        <v>8.2949999999999999</v>
      </c>
      <c r="W3435" s="508">
        <v>6.6580000000000004</v>
      </c>
      <c r="X3435" s="508">
        <v>6.6509999999999998</v>
      </c>
      <c r="Y3435" s="508">
        <v>6.6210000000000004</v>
      </c>
      <c r="Z3435" s="508">
        <v>6.6260000000000003</v>
      </c>
      <c r="AA3435" s="508">
        <v>3.7519999999999998</v>
      </c>
      <c r="AB3435" s="508">
        <v>3.5339999999999998</v>
      </c>
      <c r="AC3435" s="508">
        <v>3.8130000000000002</v>
      </c>
      <c r="AD3435" s="508">
        <v>1.151</v>
      </c>
      <c r="AE3435" s="508">
        <v>1.1479999999999999</v>
      </c>
      <c r="AF3435" s="508">
        <v>0.73</v>
      </c>
      <c r="AG3435" s="508">
        <v>0.72299999999999998</v>
      </c>
      <c r="AH3435" s="508">
        <v>0.72</v>
      </c>
      <c r="AI3435" s="492">
        <v>0.72</v>
      </c>
      <c r="AJ3435" s="485"/>
    </row>
    <row r="3436" spans="2:36">
      <c r="B3436" s="136" t="s">
        <v>484</v>
      </c>
      <c r="C3436" s="132" t="s">
        <v>1375</v>
      </c>
      <c r="D3436" s="132" t="s">
        <v>283</v>
      </c>
      <c r="E3436" s="508">
        <v>18.606000000000002</v>
      </c>
      <c r="F3436" s="508">
        <v>18.620999999999999</v>
      </c>
      <c r="G3436" s="508">
        <v>18.652000000000001</v>
      </c>
      <c r="H3436" s="508">
        <v>18.649999999999999</v>
      </c>
      <c r="I3436" s="508">
        <v>18.652999999999999</v>
      </c>
      <c r="J3436" s="508">
        <v>14.430999999999999</v>
      </c>
      <c r="K3436" s="508">
        <v>13.332000000000001</v>
      </c>
      <c r="L3436" s="508">
        <v>13.366</v>
      </c>
      <c r="M3436" s="508">
        <v>13.362</v>
      </c>
      <c r="N3436" s="508">
        <v>13.385</v>
      </c>
      <c r="O3436" s="508">
        <v>13.361000000000001</v>
      </c>
      <c r="P3436" s="508">
        <v>13.407999999999999</v>
      </c>
      <c r="Q3436" s="508">
        <v>13.423</v>
      </c>
      <c r="R3436" s="508">
        <v>12.595000000000001</v>
      </c>
      <c r="S3436" s="508">
        <v>7.8</v>
      </c>
      <c r="T3436" s="508">
        <v>7.7480000000000002</v>
      </c>
      <c r="U3436" s="508">
        <v>7.7610000000000001</v>
      </c>
      <c r="V3436" s="508">
        <v>7.4580000000000002</v>
      </c>
      <c r="W3436" s="508">
        <v>5.9960000000000004</v>
      </c>
      <c r="X3436" s="508">
        <v>5.9939999999999998</v>
      </c>
      <c r="Y3436" s="508">
        <v>5.9619999999999997</v>
      </c>
      <c r="Z3436" s="508">
        <v>5.968</v>
      </c>
      <c r="AA3436" s="508">
        <v>3.3879999999999999</v>
      </c>
      <c r="AB3436" s="508">
        <v>3.1920000000000002</v>
      </c>
      <c r="AC3436" s="508">
        <v>3.4430000000000001</v>
      </c>
      <c r="AD3436" s="508">
        <v>1.0329999999999999</v>
      </c>
      <c r="AE3436" s="508">
        <v>1.0309999999999999</v>
      </c>
      <c r="AF3436" s="508">
        <v>0.65500000000000003</v>
      </c>
      <c r="AG3436" s="508">
        <v>0.64800000000000002</v>
      </c>
      <c r="AH3436" s="508">
        <v>0.64500000000000002</v>
      </c>
      <c r="AI3436" s="492">
        <v>0.64500000000000002</v>
      </c>
      <c r="AJ3436" s="485"/>
    </row>
    <row r="3437" spans="2:36">
      <c r="B3437" s="136" t="s">
        <v>486</v>
      </c>
      <c r="C3437" s="132" t="s">
        <v>1375</v>
      </c>
      <c r="D3437" s="132" t="s">
        <v>283</v>
      </c>
      <c r="E3437" s="508">
        <v>19.559000000000001</v>
      </c>
      <c r="F3437" s="508">
        <v>19.577000000000002</v>
      </c>
      <c r="G3437" s="508">
        <v>19.611999999999998</v>
      </c>
      <c r="H3437" s="508">
        <v>19.609000000000002</v>
      </c>
      <c r="I3437" s="508">
        <v>19.613</v>
      </c>
      <c r="J3437" s="508">
        <v>15.176</v>
      </c>
      <c r="K3437" s="508">
        <v>14.013999999999999</v>
      </c>
      <c r="L3437" s="508">
        <v>14.052</v>
      </c>
      <c r="M3437" s="508">
        <v>14.048</v>
      </c>
      <c r="N3437" s="508">
        <v>14.074</v>
      </c>
      <c r="O3437" s="508">
        <v>14.047000000000001</v>
      </c>
      <c r="P3437" s="508">
        <v>14.097</v>
      </c>
      <c r="Q3437" s="508">
        <v>14.114000000000001</v>
      </c>
      <c r="R3437" s="508">
        <v>13.031000000000001</v>
      </c>
      <c r="S3437" s="508">
        <v>8.0909999999999993</v>
      </c>
      <c r="T3437" s="508">
        <v>8.0340000000000007</v>
      </c>
      <c r="U3437" s="508">
        <v>8.0470000000000006</v>
      </c>
      <c r="V3437" s="508">
        <v>7.73</v>
      </c>
      <c r="W3437" s="508">
        <v>6.2</v>
      </c>
      <c r="X3437" s="508">
        <v>6.1950000000000003</v>
      </c>
      <c r="Y3437" s="508">
        <v>6.165</v>
      </c>
      <c r="Z3437" s="508">
        <v>6.17</v>
      </c>
      <c r="AA3437" s="508">
        <v>3.496</v>
      </c>
      <c r="AB3437" s="508">
        <v>3.2949999999999999</v>
      </c>
      <c r="AC3437" s="508">
        <v>3.5529999999999999</v>
      </c>
      <c r="AD3437" s="508">
        <v>1.0720000000000001</v>
      </c>
      <c r="AE3437" s="508">
        <v>1.069</v>
      </c>
      <c r="AF3437" s="508">
        <v>0.68</v>
      </c>
      <c r="AG3437" s="508">
        <v>0.67300000000000004</v>
      </c>
      <c r="AH3437" s="508">
        <v>0.67100000000000004</v>
      </c>
      <c r="AI3437" s="492">
        <v>0.67100000000000004</v>
      </c>
      <c r="AJ3437" s="485"/>
    </row>
    <row r="3438" spans="2:36">
      <c r="B3438" s="136" t="s">
        <v>487</v>
      </c>
      <c r="C3438" s="132" t="s">
        <v>1375</v>
      </c>
      <c r="D3438" s="132" t="s">
        <v>283</v>
      </c>
      <c r="E3438" s="508">
        <v>20.062999999999999</v>
      </c>
      <c r="F3438" s="508">
        <v>20.079999999999998</v>
      </c>
      <c r="G3438" s="508">
        <v>20.116</v>
      </c>
      <c r="H3438" s="508">
        <v>20.113</v>
      </c>
      <c r="I3438" s="508">
        <v>20.117000000000001</v>
      </c>
      <c r="J3438" s="508">
        <v>15.565</v>
      </c>
      <c r="K3438" s="508">
        <v>14.375</v>
      </c>
      <c r="L3438" s="508">
        <v>14.413</v>
      </c>
      <c r="M3438" s="508">
        <v>14.409000000000001</v>
      </c>
      <c r="N3438" s="508">
        <v>14.435</v>
      </c>
      <c r="O3438" s="508">
        <v>14.407999999999999</v>
      </c>
      <c r="P3438" s="508">
        <v>14.459</v>
      </c>
      <c r="Q3438" s="508">
        <v>14.476000000000001</v>
      </c>
      <c r="R3438" s="508">
        <v>13.347</v>
      </c>
      <c r="S3438" s="508">
        <v>8.2949999999999999</v>
      </c>
      <c r="T3438" s="508">
        <v>8.2379999999999995</v>
      </c>
      <c r="U3438" s="508">
        <v>8.2509999999999994</v>
      </c>
      <c r="V3438" s="508">
        <v>7.9290000000000003</v>
      </c>
      <c r="W3438" s="508">
        <v>6.3289999999999997</v>
      </c>
      <c r="X3438" s="508">
        <v>6.3239999999999998</v>
      </c>
      <c r="Y3438" s="508">
        <v>6.2930000000000001</v>
      </c>
      <c r="Z3438" s="508">
        <v>6.2990000000000004</v>
      </c>
      <c r="AA3438" s="508">
        <v>3.5670000000000002</v>
      </c>
      <c r="AB3438" s="508">
        <v>3.3620000000000001</v>
      </c>
      <c r="AC3438" s="508">
        <v>3.625</v>
      </c>
      <c r="AD3438" s="508">
        <v>1.0940000000000001</v>
      </c>
      <c r="AE3438" s="508">
        <v>1.091</v>
      </c>
      <c r="AF3438" s="508">
        <v>0.69399999999999995</v>
      </c>
      <c r="AG3438" s="508">
        <v>0.68700000000000006</v>
      </c>
      <c r="AH3438" s="508">
        <v>0.68400000000000005</v>
      </c>
      <c r="AI3438" s="492">
        <v>0.68400000000000005</v>
      </c>
      <c r="AJ3438" s="485"/>
    </row>
    <row r="3439" spans="2:36">
      <c r="B3439" s="136" t="s">
        <v>488</v>
      </c>
      <c r="C3439" s="132" t="s">
        <v>1375</v>
      </c>
      <c r="D3439" s="132" t="s">
        <v>283</v>
      </c>
      <c r="E3439" s="508">
        <v>18.510999999999999</v>
      </c>
      <c r="F3439" s="508">
        <v>18.527000000000001</v>
      </c>
      <c r="G3439" s="508">
        <v>18.559000000000001</v>
      </c>
      <c r="H3439" s="508">
        <v>18.556999999999999</v>
      </c>
      <c r="I3439" s="508">
        <v>18.559999999999999</v>
      </c>
      <c r="J3439" s="508">
        <v>14.36</v>
      </c>
      <c r="K3439" s="508">
        <v>13.265000000000001</v>
      </c>
      <c r="L3439" s="508">
        <v>13.298999999999999</v>
      </c>
      <c r="M3439" s="508">
        <v>13.295999999999999</v>
      </c>
      <c r="N3439" s="508">
        <v>13.319000000000001</v>
      </c>
      <c r="O3439" s="508">
        <v>13.295</v>
      </c>
      <c r="P3439" s="508">
        <v>13.340999999999999</v>
      </c>
      <c r="Q3439" s="508">
        <v>13.356999999999999</v>
      </c>
      <c r="R3439" s="508">
        <v>12.471</v>
      </c>
      <c r="S3439" s="508">
        <v>7.7359999999999998</v>
      </c>
      <c r="T3439" s="508">
        <v>7.6840000000000002</v>
      </c>
      <c r="U3439" s="508">
        <v>7.6959999999999997</v>
      </c>
      <c r="V3439" s="508">
        <v>7.3970000000000002</v>
      </c>
      <c r="W3439" s="508">
        <v>5.931</v>
      </c>
      <c r="X3439" s="508">
        <v>5.9279999999999999</v>
      </c>
      <c r="Y3439" s="508">
        <v>5.8970000000000002</v>
      </c>
      <c r="Z3439" s="508">
        <v>5.9020000000000001</v>
      </c>
      <c r="AA3439" s="508">
        <v>3.3490000000000002</v>
      </c>
      <c r="AB3439" s="508">
        <v>3.1560000000000001</v>
      </c>
      <c r="AC3439" s="508">
        <v>3.403</v>
      </c>
      <c r="AD3439" s="508">
        <v>1.0229999999999999</v>
      </c>
      <c r="AE3439" s="508">
        <v>1.0209999999999999</v>
      </c>
      <c r="AF3439" s="508">
        <v>0.64900000000000002</v>
      </c>
      <c r="AG3439" s="508">
        <v>0.64200000000000002</v>
      </c>
      <c r="AH3439" s="508">
        <v>0.64</v>
      </c>
      <c r="AI3439" s="492">
        <v>0.64</v>
      </c>
      <c r="AJ3439" s="485"/>
    </row>
    <row r="3440" spans="2:36">
      <c r="B3440" s="136" t="s">
        <v>489</v>
      </c>
      <c r="C3440" s="132" t="s">
        <v>1375</v>
      </c>
      <c r="D3440" s="132" t="s">
        <v>283</v>
      </c>
      <c r="E3440" s="508">
        <v>19.399000000000001</v>
      </c>
      <c r="F3440" s="508">
        <v>19.416</v>
      </c>
      <c r="G3440" s="508">
        <v>19.449000000000002</v>
      </c>
      <c r="H3440" s="508">
        <v>19.446999999999999</v>
      </c>
      <c r="I3440" s="508">
        <v>19.451000000000001</v>
      </c>
      <c r="J3440" s="508">
        <v>15.048999999999999</v>
      </c>
      <c r="K3440" s="508">
        <v>13.898999999999999</v>
      </c>
      <c r="L3440" s="508">
        <v>13.935</v>
      </c>
      <c r="M3440" s="508">
        <v>13.932</v>
      </c>
      <c r="N3440" s="508">
        <v>13.956</v>
      </c>
      <c r="O3440" s="508">
        <v>13.93</v>
      </c>
      <c r="P3440" s="508">
        <v>13.98</v>
      </c>
      <c r="Q3440" s="508">
        <v>13.996</v>
      </c>
      <c r="R3440" s="508">
        <v>13.013</v>
      </c>
      <c r="S3440" s="508">
        <v>8.07</v>
      </c>
      <c r="T3440" s="508">
        <v>8.0150000000000006</v>
      </c>
      <c r="U3440" s="508">
        <v>8.0280000000000005</v>
      </c>
      <c r="V3440" s="508">
        <v>7.7110000000000003</v>
      </c>
      <c r="W3440" s="508">
        <v>6.2119999999999997</v>
      </c>
      <c r="X3440" s="508">
        <v>6.2089999999999996</v>
      </c>
      <c r="Y3440" s="508">
        <v>6.1779999999999999</v>
      </c>
      <c r="Z3440" s="508">
        <v>6.1829999999999998</v>
      </c>
      <c r="AA3440" s="508">
        <v>3.508</v>
      </c>
      <c r="AB3440" s="508">
        <v>3.3039999999999998</v>
      </c>
      <c r="AC3440" s="508">
        <v>3.5649999999999999</v>
      </c>
      <c r="AD3440" s="508">
        <v>1.0720000000000001</v>
      </c>
      <c r="AE3440" s="508">
        <v>1.07</v>
      </c>
      <c r="AF3440" s="508">
        <v>0.68</v>
      </c>
      <c r="AG3440" s="508">
        <v>0.67300000000000004</v>
      </c>
      <c r="AH3440" s="508">
        <v>0.67</v>
      </c>
      <c r="AI3440" s="492">
        <v>0.67</v>
      </c>
      <c r="AJ3440" s="485"/>
    </row>
    <row r="3441" spans="2:36">
      <c r="B3441" s="136" t="s">
        <v>490</v>
      </c>
      <c r="C3441" s="132" t="s">
        <v>1375</v>
      </c>
      <c r="D3441" s="132" t="s">
        <v>283</v>
      </c>
      <c r="E3441" s="508">
        <v>19.125</v>
      </c>
      <c r="F3441" s="508">
        <v>19.14</v>
      </c>
      <c r="G3441" s="508">
        <v>19.170000000000002</v>
      </c>
      <c r="H3441" s="508">
        <v>19.167999999999999</v>
      </c>
      <c r="I3441" s="508">
        <v>19.170999999999999</v>
      </c>
      <c r="J3441" s="508">
        <v>14.83</v>
      </c>
      <c r="K3441" s="508">
        <v>13.706</v>
      </c>
      <c r="L3441" s="508">
        <v>13.738</v>
      </c>
      <c r="M3441" s="508">
        <v>13.734999999999999</v>
      </c>
      <c r="N3441" s="508">
        <v>13.757</v>
      </c>
      <c r="O3441" s="508">
        <v>13.734</v>
      </c>
      <c r="P3441" s="508">
        <v>13.782</v>
      </c>
      <c r="Q3441" s="508">
        <v>13.795999999999999</v>
      </c>
      <c r="R3441" s="508">
        <v>12.917</v>
      </c>
      <c r="S3441" s="508">
        <v>7.9950000000000001</v>
      </c>
      <c r="T3441" s="508">
        <v>7.944</v>
      </c>
      <c r="U3441" s="508">
        <v>7.9580000000000002</v>
      </c>
      <c r="V3441" s="508">
        <v>7.6509999999999998</v>
      </c>
      <c r="W3441" s="508">
        <v>6.077</v>
      </c>
      <c r="X3441" s="508">
        <v>6.0750000000000002</v>
      </c>
      <c r="Y3441" s="508">
        <v>6.0439999999999996</v>
      </c>
      <c r="Z3441" s="508">
        <v>6.05</v>
      </c>
      <c r="AA3441" s="508">
        <v>3.4279999999999999</v>
      </c>
      <c r="AB3441" s="508">
        <v>3.2309999999999999</v>
      </c>
      <c r="AC3441" s="508">
        <v>3.4830000000000001</v>
      </c>
      <c r="AD3441" s="508">
        <v>1.0449999999999999</v>
      </c>
      <c r="AE3441" s="508">
        <v>1.044</v>
      </c>
      <c r="AF3441" s="508">
        <v>0.66200000000000003</v>
      </c>
      <c r="AG3441" s="508">
        <v>0.65500000000000003</v>
      </c>
      <c r="AH3441" s="508">
        <v>0.65200000000000002</v>
      </c>
      <c r="AI3441" s="492">
        <v>0.65200000000000002</v>
      </c>
      <c r="AJ3441" s="485"/>
    </row>
    <row r="3442" spans="2:36">
      <c r="B3442" s="136" t="s">
        <v>435</v>
      </c>
      <c r="C3442" s="132" t="s">
        <v>1376</v>
      </c>
      <c r="D3442" s="132" t="s">
        <v>283</v>
      </c>
      <c r="E3442" s="508">
        <v>14.943</v>
      </c>
      <c r="F3442" s="508">
        <v>13.385</v>
      </c>
      <c r="G3442" s="508">
        <v>12.429</v>
      </c>
      <c r="H3442" s="508">
        <v>11.782</v>
      </c>
      <c r="I3442" s="508">
        <v>11.315</v>
      </c>
      <c r="J3442" s="508">
        <v>8.0250000000000004</v>
      </c>
      <c r="K3442" s="508">
        <v>7.7489999999999997</v>
      </c>
      <c r="L3442" s="508">
        <v>7.5270000000000001</v>
      </c>
      <c r="M3442" s="508">
        <v>7.3449999999999998</v>
      </c>
      <c r="N3442" s="508">
        <v>7.0709999999999997</v>
      </c>
      <c r="O3442" s="508">
        <v>6.944</v>
      </c>
      <c r="P3442" s="508">
        <v>6.8339999999999996</v>
      </c>
      <c r="Q3442" s="508">
        <v>6.74</v>
      </c>
      <c r="R3442" s="508">
        <v>5.0350000000000001</v>
      </c>
      <c r="S3442" s="508">
        <v>4.9619999999999997</v>
      </c>
      <c r="T3442" s="508">
        <v>4.7649999999999997</v>
      </c>
      <c r="U3442" s="508">
        <v>4.508</v>
      </c>
      <c r="V3442" s="508">
        <v>4.41</v>
      </c>
      <c r="W3442" s="508">
        <v>4.3339999999999996</v>
      </c>
      <c r="X3442" s="508">
        <v>4.2729999999999997</v>
      </c>
      <c r="Y3442" s="508">
        <v>4.0190000000000001</v>
      </c>
      <c r="Z3442" s="508">
        <v>3.9929999999999999</v>
      </c>
      <c r="AA3442" s="508">
        <v>3.972</v>
      </c>
      <c r="AB3442" s="508">
        <v>1.1819999999999999</v>
      </c>
      <c r="AC3442" s="508">
        <v>1.1499999999999999</v>
      </c>
      <c r="AD3442" s="508">
        <v>0.91600000000000004</v>
      </c>
      <c r="AE3442" s="508">
        <v>0.91200000000000003</v>
      </c>
      <c r="AF3442" s="508">
        <v>0.90400000000000003</v>
      </c>
      <c r="AG3442" s="508">
        <v>0.90400000000000003</v>
      </c>
      <c r="AH3442" s="508">
        <v>0.90200000000000002</v>
      </c>
      <c r="AI3442" s="492">
        <v>0.90200000000000002</v>
      </c>
      <c r="AJ3442" s="485"/>
    </row>
    <row r="3443" spans="2:36">
      <c r="B3443" s="136" t="s">
        <v>436</v>
      </c>
      <c r="C3443" s="132" t="s">
        <v>1376</v>
      </c>
      <c r="D3443" s="132" t="s">
        <v>283</v>
      </c>
      <c r="E3443" s="508">
        <v>15.839</v>
      </c>
      <c r="F3443" s="508">
        <v>14.337999999999999</v>
      </c>
      <c r="G3443" s="508">
        <v>13.417</v>
      </c>
      <c r="H3443" s="508">
        <v>12.794</v>
      </c>
      <c r="I3443" s="508">
        <v>12.343999999999999</v>
      </c>
      <c r="J3443" s="508">
        <v>8.6470000000000002</v>
      </c>
      <c r="K3443" s="508">
        <v>8.3810000000000002</v>
      </c>
      <c r="L3443" s="508">
        <v>8.1679999999999993</v>
      </c>
      <c r="M3443" s="508">
        <v>7.992</v>
      </c>
      <c r="N3443" s="508">
        <v>7.7119999999999997</v>
      </c>
      <c r="O3443" s="508">
        <v>7.5890000000000004</v>
      </c>
      <c r="P3443" s="508">
        <v>7.484</v>
      </c>
      <c r="Q3443" s="508">
        <v>7.3929999999999998</v>
      </c>
      <c r="R3443" s="508">
        <v>5.4740000000000002</v>
      </c>
      <c r="S3443" s="508">
        <v>5.4029999999999996</v>
      </c>
      <c r="T3443" s="508">
        <v>5.2130000000000001</v>
      </c>
      <c r="U3443" s="508">
        <v>5.1040000000000001</v>
      </c>
      <c r="V3443" s="508">
        <v>5.0049999999999999</v>
      </c>
      <c r="W3443" s="508">
        <v>4.9269999999999996</v>
      </c>
      <c r="X3443" s="508">
        <v>4.8659999999999997</v>
      </c>
      <c r="Y3443" s="508">
        <v>4.6139999999999999</v>
      </c>
      <c r="Z3443" s="508">
        <v>4.5839999999999996</v>
      </c>
      <c r="AA3443" s="508">
        <v>4.5629999999999997</v>
      </c>
      <c r="AB3443" s="508">
        <v>1.3660000000000001</v>
      </c>
      <c r="AC3443" s="508">
        <v>1.3340000000000001</v>
      </c>
      <c r="AD3443" s="508">
        <v>1.0660000000000001</v>
      </c>
      <c r="AE3443" s="508">
        <v>1.0609999999999999</v>
      </c>
      <c r="AF3443" s="508">
        <v>1.0529999999999999</v>
      </c>
      <c r="AG3443" s="508">
        <v>1.0529999999999999</v>
      </c>
      <c r="AH3443" s="508">
        <v>1.05</v>
      </c>
      <c r="AI3443" s="492">
        <v>1.05</v>
      </c>
      <c r="AJ3443" s="485"/>
    </row>
    <row r="3444" spans="2:36">
      <c r="B3444" s="136" t="s">
        <v>437</v>
      </c>
      <c r="C3444" s="132" t="s">
        <v>1376</v>
      </c>
      <c r="D3444" s="132" t="s">
        <v>283</v>
      </c>
      <c r="E3444" s="508">
        <v>15.278</v>
      </c>
      <c r="F3444" s="508">
        <v>13.768000000000001</v>
      </c>
      <c r="G3444" s="508">
        <v>12.840999999999999</v>
      </c>
      <c r="H3444" s="508">
        <v>12.214</v>
      </c>
      <c r="I3444" s="508">
        <v>11.760999999999999</v>
      </c>
      <c r="J3444" s="508">
        <v>8.3409999999999993</v>
      </c>
      <c r="K3444" s="508">
        <v>8.0739999999999998</v>
      </c>
      <c r="L3444" s="508">
        <v>7.859</v>
      </c>
      <c r="M3444" s="508">
        <v>7.6820000000000004</v>
      </c>
      <c r="N3444" s="508">
        <v>7.4249999999999998</v>
      </c>
      <c r="O3444" s="508">
        <v>7.3010000000000002</v>
      </c>
      <c r="P3444" s="508">
        <v>7.194</v>
      </c>
      <c r="Q3444" s="508">
        <v>7.1020000000000003</v>
      </c>
      <c r="R3444" s="508">
        <v>5.2320000000000002</v>
      </c>
      <c r="S3444" s="508">
        <v>5.1609999999999996</v>
      </c>
      <c r="T3444" s="508">
        <v>4.9690000000000003</v>
      </c>
      <c r="U3444" s="508">
        <v>3.6869999999999998</v>
      </c>
      <c r="V3444" s="508">
        <v>3.5840000000000001</v>
      </c>
      <c r="W3444" s="508">
        <v>3.504</v>
      </c>
      <c r="X3444" s="508">
        <v>3.4390000000000001</v>
      </c>
      <c r="Y3444" s="508">
        <v>3.17</v>
      </c>
      <c r="Z3444" s="508">
        <v>3.1440000000000001</v>
      </c>
      <c r="AA3444" s="508">
        <v>3.1219999999999999</v>
      </c>
      <c r="AB3444" s="508">
        <v>0.92400000000000004</v>
      </c>
      <c r="AC3444" s="508">
        <v>0.89</v>
      </c>
      <c r="AD3444" s="508">
        <v>0.71199999999999997</v>
      </c>
      <c r="AE3444" s="508">
        <v>0.70799999999999996</v>
      </c>
      <c r="AF3444" s="508">
        <v>0.7</v>
      </c>
      <c r="AG3444" s="508">
        <v>0.7</v>
      </c>
      <c r="AH3444" s="508">
        <v>0.69799999999999995</v>
      </c>
      <c r="AI3444" s="492">
        <v>0.69799999999999995</v>
      </c>
      <c r="AJ3444" s="485"/>
    </row>
    <row r="3445" spans="2:36">
      <c r="B3445" s="136" t="s">
        <v>438</v>
      </c>
      <c r="C3445" s="132" t="s">
        <v>1376</v>
      </c>
      <c r="D3445" s="132" t="s">
        <v>283</v>
      </c>
      <c r="E3445" s="508">
        <v>14.492000000000001</v>
      </c>
      <c r="F3445" s="508">
        <v>13.057</v>
      </c>
      <c r="G3445" s="508">
        <v>12.176</v>
      </c>
      <c r="H3445" s="508">
        <v>11.581</v>
      </c>
      <c r="I3445" s="508">
        <v>11.151</v>
      </c>
      <c r="J3445" s="508">
        <v>7.8170000000000002</v>
      </c>
      <c r="K3445" s="508">
        <v>7.5629999999999997</v>
      </c>
      <c r="L3445" s="508">
        <v>7.359</v>
      </c>
      <c r="M3445" s="508">
        <v>7.1909999999999998</v>
      </c>
      <c r="N3445" s="508">
        <v>6.931</v>
      </c>
      <c r="O3445" s="508">
        <v>6.8140000000000001</v>
      </c>
      <c r="P3445" s="508">
        <v>6.7130000000000001</v>
      </c>
      <c r="Q3445" s="508">
        <v>6.6260000000000003</v>
      </c>
      <c r="R3445" s="508">
        <v>4.9470000000000001</v>
      </c>
      <c r="S3445" s="508">
        <v>4.8789999999999996</v>
      </c>
      <c r="T3445" s="508">
        <v>4.6980000000000004</v>
      </c>
      <c r="U3445" s="508">
        <v>4.59</v>
      </c>
      <c r="V3445" s="508">
        <v>4.4950000000000001</v>
      </c>
      <c r="W3445" s="508">
        <v>4.4219999999999997</v>
      </c>
      <c r="X3445" s="508">
        <v>4.3620000000000001</v>
      </c>
      <c r="Y3445" s="508">
        <v>4.1159999999999997</v>
      </c>
      <c r="Z3445" s="508">
        <v>4.0910000000000002</v>
      </c>
      <c r="AA3445" s="508">
        <v>4.0709999999999997</v>
      </c>
      <c r="AB3445" s="508">
        <v>1.212</v>
      </c>
      <c r="AC3445" s="508">
        <v>1.181</v>
      </c>
      <c r="AD3445" s="508">
        <v>0.94099999999999995</v>
      </c>
      <c r="AE3445" s="508">
        <v>0.93700000000000006</v>
      </c>
      <c r="AF3445" s="508">
        <v>0.92900000000000005</v>
      </c>
      <c r="AG3445" s="508">
        <v>0.92900000000000005</v>
      </c>
      <c r="AH3445" s="508">
        <v>0.92700000000000005</v>
      </c>
      <c r="AI3445" s="492">
        <v>0.92700000000000005</v>
      </c>
      <c r="AJ3445" s="485"/>
    </row>
    <row r="3446" spans="2:36">
      <c r="B3446" s="136" t="s">
        <v>439</v>
      </c>
      <c r="C3446" s="132" t="s">
        <v>1376</v>
      </c>
      <c r="D3446" s="132" t="s">
        <v>283</v>
      </c>
      <c r="E3446" s="508">
        <v>14.927</v>
      </c>
      <c r="F3446" s="508">
        <v>13.388</v>
      </c>
      <c r="G3446" s="508">
        <v>12.443</v>
      </c>
      <c r="H3446" s="508">
        <v>11.804</v>
      </c>
      <c r="I3446" s="508">
        <v>11.343</v>
      </c>
      <c r="J3446" s="508">
        <v>8.0760000000000005</v>
      </c>
      <c r="K3446" s="508">
        <v>7.8029999999999999</v>
      </c>
      <c r="L3446" s="508">
        <v>7.5839999999999996</v>
      </c>
      <c r="M3446" s="508">
        <v>7.4039999999999999</v>
      </c>
      <c r="N3446" s="508">
        <v>7.1669999999999998</v>
      </c>
      <c r="O3446" s="508">
        <v>7.0389999999999997</v>
      </c>
      <c r="P3446" s="508">
        <v>6.9290000000000003</v>
      </c>
      <c r="Q3446" s="508">
        <v>6.8339999999999996</v>
      </c>
      <c r="R3446" s="508">
        <v>5.0620000000000003</v>
      </c>
      <c r="S3446" s="508">
        <v>4.9880000000000004</v>
      </c>
      <c r="T3446" s="508">
        <v>4.7910000000000004</v>
      </c>
      <c r="U3446" s="508">
        <v>2.5819999999999999</v>
      </c>
      <c r="V3446" s="508">
        <v>2.4740000000000002</v>
      </c>
      <c r="W3446" s="508">
        <v>2.39</v>
      </c>
      <c r="X3446" s="508">
        <v>2.323</v>
      </c>
      <c r="Y3446" s="508">
        <v>2.0430000000000001</v>
      </c>
      <c r="Z3446" s="508">
        <v>2.0150000000000001</v>
      </c>
      <c r="AA3446" s="508">
        <v>1.992</v>
      </c>
      <c r="AB3446" s="508">
        <v>0.58699999999999997</v>
      </c>
      <c r="AC3446" s="508">
        <v>0.55200000000000005</v>
      </c>
      <c r="AD3446" s="508">
        <v>0.443</v>
      </c>
      <c r="AE3446" s="508">
        <v>0.438</v>
      </c>
      <c r="AF3446" s="508">
        <v>0.42899999999999999</v>
      </c>
      <c r="AG3446" s="508">
        <v>0.42899999999999999</v>
      </c>
      <c r="AH3446" s="508">
        <v>0.42799999999999999</v>
      </c>
      <c r="AI3446" s="492">
        <v>0.42799999999999999</v>
      </c>
      <c r="AJ3446" s="485"/>
    </row>
    <row r="3447" spans="2:36">
      <c r="B3447" s="136" t="s">
        <v>440</v>
      </c>
      <c r="C3447" s="132" t="s">
        <v>1376</v>
      </c>
      <c r="D3447" s="132" t="s">
        <v>283</v>
      </c>
      <c r="E3447" s="508">
        <v>16.036999999999999</v>
      </c>
      <c r="F3447" s="508">
        <v>14.449</v>
      </c>
      <c r="G3447" s="508">
        <v>13.474</v>
      </c>
      <c r="H3447" s="508">
        <v>12.814</v>
      </c>
      <c r="I3447" s="508">
        <v>12.337999999999999</v>
      </c>
      <c r="J3447" s="508">
        <v>8.7219999999999995</v>
      </c>
      <c r="K3447" s="508">
        <v>8.4410000000000007</v>
      </c>
      <c r="L3447" s="508">
        <v>8.2149999999999999</v>
      </c>
      <c r="M3447" s="508">
        <v>8.0289999999999999</v>
      </c>
      <c r="N3447" s="508">
        <v>7.74</v>
      </c>
      <c r="O3447" s="508">
        <v>7.61</v>
      </c>
      <c r="P3447" s="508">
        <v>7.4989999999999997</v>
      </c>
      <c r="Q3447" s="508">
        <v>7.4020000000000001</v>
      </c>
      <c r="R3447" s="508">
        <v>5.4770000000000003</v>
      </c>
      <c r="S3447" s="508">
        <v>5.4020000000000001</v>
      </c>
      <c r="T3447" s="508">
        <v>5.202</v>
      </c>
      <c r="U3447" s="508">
        <v>5.077</v>
      </c>
      <c r="V3447" s="508">
        <v>4.9720000000000004</v>
      </c>
      <c r="W3447" s="508">
        <v>4.891</v>
      </c>
      <c r="X3447" s="508">
        <v>4.8259999999999996</v>
      </c>
      <c r="Y3447" s="508">
        <v>4.5579999999999998</v>
      </c>
      <c r="Z3447" s="508">
        <v>4.5279999999999996</v>
      </c>
      <c r="AA3447" s="508">
        <v>4.5060000000000002</v>
      </c>
      <c r="AB3447" s="508">
        <v>1.345</v>
      </c>
      <c r="AC3447" s="508">
        <v>1.3109999999999999</v>
      </c>
      <c r="AD3447" s="508">
        <v>1.0489999999999999</v>
      </c>
      <c r="AE3447" s="508">
        <v>1.044</v>
      </c>
      <c r="AF3447" s="508">
        <v>1.0349999999999999</v>
      </c>
      <c r="AG3447" s="508">
        <v>1.0349999999999999</v>
      </c>
      <c r="AH3447" s="508">
        <v>1.0329999999999999</v>
      </c>
      <c r="AI3447" s="492">
        <v>1.0329999999999999</v>
      </c>
      <c r="AJ3447" s="485"/>
    </row>
    <row r="3448" spans="2:36">
      <c r="B3448" s="136" t="s">
        <v>441</v>
      </c>
      <c r="C3448" s="132" t="s">
        <v>1376</v>
      </c>
      <c r="D3448" s="132" t="s">
        <v>283</v>
      </c>
      <c r="E3448" s="508">
        <v>16.352</v>
      </c>
      <c r="F3448" s="508">
        <v>14.656000000000001</v>
      </c>
      <c r="G3448" s="508">
        <v>13.614000000000001</v>
      </c>
      <c r="H3448" s="508">
        <v>12.909000000000001</v>
      </c>
      <c r="I3448" s="508">
        <v>12.401</v>
      </c>
      <c r="J3448" s="508">
        <v>8.84</v>
      </c>
      <c r="K3448" s="508">
        <v>8.5399999999999991</v>
      </c>
      <c r="L3448" s="508">
        <v>8.298</v>
      </c>
      <c r="M3448" s="508">
        <v>8.1</v>
      </c>
      <c r="N3448" s="508">
        <v>7.8</v>
      </c>
      <c r="O3448" s="508">
        <v>7.6609999999999996</v>
      </c>
      <c r="P3448" s="508">
        <v>7.5419999999999998</v>
      </c>
      <c r="Q3448" s="508">
        <v>7.4390000000000001</v>
      </c>
      <c r="R3448" s="508">
        <v>5.5060000000000002</v>
      </c>
      <c r="S3448" s="508">
        <v>5.4260000000000002</v>
      </c>
      <c r="T3448" s="508">
        <v>5.2119999999999997</v>
      </c>
      <c r="U3448" s="508">
        <v>5.024</v>
      </c>
      <c r="V3448" s="508">
        <v>4.9160000000000004</v>
      </c>
      <c r="W3448" s="508">
        <v>4.8319999999999999</v>
      </c>
      <c r="X3448" s="508">
        <v>4.7649999999999997</v>
      </c>
      <c r="Y3448" s="508">
        <v>4.4870000000000001</v>
      </c>
      <c r="Z3448" s="508">
        <v>4.4569999999999999</v>
      </c>
      <c r="AA3448" s="508">
        <v>4.4340000000000002</v>
      </c>
      <c r="AB3448" s="508">
        <v>1.323</v>
      </c>
      <c r="AC3448" s="508">
        <v>1.2869999999999999</v>
      </c>
      <c r="AD3448" s="508">
        <v>1.0329999999999999</v>
      </c>
      <c r="AE3448" s="508">
        <v>1.028</v>
      </c>
      <c r="AF3448" s="508">
        <v>1.0189999999999999</v>
      </c>
      <c r="AG3448" s="508">
        <v>1.0189999999999999</v>
      </c>
      <c r="AH3448" s="508">
        <v>1.0169999999999999</v>
      </c>
      <c r="AI3448" s="492">
        <v>1.0169999999999999</v>
      </c>
      <c r="AJ3448" s="485"/>
    </row>
    <row r="3449" spans="2:36">
      <c r="B3449" s="136" t="s">
        <v>443</v>
      </c>
      <c r="C3449" s="132" t="s">
        <v>1376</v>
      </c>
      <c r="D3449" s="132" t="s">
        <v>283</v>
      </c>
      <c r="E3449" s="508">
        <v>15.922000000000001</v>
      </c>
      <c r="F3449" s="508">
        <v>14.218999999999999</v>
      </c>
      <c r="G3449" s="508">
        <v>13.173</v>
      </c>
      <c r="H3449" s="508">
        <v>12.465</v>
      </c>
      <c r="I3449" s="508">
        <v>11.955</v>
      </c>
      <c r="J3449" s="508">
        <v>8.5549999999999997</v>
      </c>
      <c r="K3449" s="508">
        <v>8.2530000000000001</v>
      </c>
      <c r="L3449" s="508">
        <v>8.0109999999999992</v>
      </c>
      <c r="M3449" s="508">
        <v>7.8120000000000003</v>
      </c>
      <c r="N3449" s="508">
        <v>7.516</v>
      </c>
      <c r="O3449" s="508">
        <v>7.3769999999999998</v>
      </c>
      <c r="P3449" s="508">
        <v>7.2569999999999997</v>
      </c>
      <c r="Q3449" s="508">
        <v>7.1529999999999996</v>
      </c>
      <c r="R3449" s="508">
        <v>5.3419999999999996</v>
      </c>
      <c r="S3449" s="508">
        <v>5.2619999999999996</v>
      </c>
      <c r="T3449" s="508">
        <v>5.0469999999999997</v>
      </c>
      <c r="U3449" s="508">
        <v>4.8570000000000002</v>
      </c>
      <c r="V3449" s="508">
        <v>4.7489999999999997</v>
      </c>
      <c r="W3449" s="508">
        <v>4.665</v>
      </c>
      <c r="X3449" s="508">
        <v>4.5970000000000004</v>
      </c>
      <c r="Y3449" s="508">
        <v>4.3170000000000002</v>
      </c>
      <c r="Z3449" s="508">
        <v>4.2869999999999999</v>
      </c>
      <c r="AA3449" s="508">
        <v>4.2640000000000002</v>
      </c>
      <c r="AB3449" s="508">
        <v>1.2709999999999999</v>
      </c>
      <c r="AC3449" s="508">
        <v>1.2350000000000001</v>
      </c>
      <c r="AD3449" s="508">
        <v>0.98599999999999999</v>
      </c>
      <c r="AE3449" s="508">
        <v>0.98099999999999998</v>
      </c>
      <c r="AF3449" s="508">
        <v>0.97199999999999998</v>
      </c>
      <c r="AG3449" s="508">
        <v>0.97199999999999998</v>
      </c>
      <c r="AH3449" s="508">
        <v>0.97</v>
      </c>
      <c r="AI3449" s="492">
        <v>0.97</v>
      </c>
      <c r="AJ3449" s="485"/>
    </row>
    <row r="3450" spans="2:36">
      <c r="B3450" s="136" t="s">
        <v>445</v>
      </c>
      <c r="C3450" s="132" t="s">
        <v>1376</v>
      </c>
      <c r="D3450" s="132" t="s">
        <v>283</v>
      </c>
      <c r="E3450" s="508">
        <v>17.120999999999999</v>
      </c>
      <c r="F3450" s="508">
        <v>15.199</v>
      </c>
      <c r="G3450" s="508">
        <v>14.02</v>
      </c>
      <c r="H3450" s="508">
        <v>13.222</v>
      </c>
      <c r="I3450" s="508">
        <v>12.646000000000001</v>
      </c>
      <c r="J3450" s="508">
        <v>9.2539999999999996</v>
      </c>
      <c r="K3450" s="508">
        <v>8.9139999999999997</v>
      </c>
      <c r="L3450" s="508">
        <v>8.64</v>
      </c>
      <c r="M3450" s="508">
        <v>8.4160000000000004</v>
      </c>
      <c r="N3450" s="508">
        <v>8.0890000000000004</v>
      </c>
      <c r="O3450" s="508">
        <v>7.9320000000000004</v>
      </c>
      <c r="P3450" s="508">
        <v>7.7969999999999997</v>
      </c>
      <c r="Q3450" s="508">
        <v>7.68</v>
      </c>
      <c r="R3450" s="508">
        <v>5.6429999999999998</v>
      </c>
      <c r="S3450" s="508">
        <v>5.5519999999999996</v>
      </c>
      <c r="T3450" s="508">
        <v>5.31</v>
      </c>
      <c r="U3450" s="508">
        <v>5.0940000000000003</v>
      </c>
      <c r="V3450" s="508">
        <v>4.9710000000000001</v>
      </c>
      <c r="W3450" s="508">
        <v>4.8760000000000003</v>
      </c>
      <c r="X3450" s="508">
        <v>4.8</v>
      </c>
      <c r="Y3450" s="508">
        <v>4.484</v>
      </c>
      <c r="Z3450" s="508">
        <v>4.45</v>
      </c>
      <c r="AA3450" s="508">
        <v>4.4240000000000004</v>
      </c>
      <c r="AB3450" s="508">
        <v>1.3169999999999999</v>
      </c>
      <c r="AC3450" s="508">
        <v>1.2769999999999999</v>
      </c>
      <c r="AD3450" s="508">
        <v>1.0269999999999999</v>
      </c>
      <c r="AE3450" s="508">
        <v>1.022</v>
      </c>
      <c r="AF3450" s="508">
        <v>1.012</v>
      </c>
      <c r="AG3450" s="508">
        <v>1.012</v>
      </c>
      <c r="AH3450" s="508">
        <v>1.01</v>
      </c>
      <c r="AI3450" s="492">
        <v>1.01</v>
      </c>
      <c r="AJ3450" s="485"/>
    </row>
    <row r="3451" spans="2:36">
      <c r="B3451" s="136" t="s">
        <v>446</v>
      </c>
      <c r="C3451" s="132" t="s">
        <v>1376</v>
      </c>
      <c r="D3451" s="132" t="s">
        <v>283</v>
      </c>
      <c r="E3451" s="508">
        <v>15.061</v>
      </c>
      <c r="F3451" s="508">
        <v>13.327</v>
      </c>
      <c r="G3451" s="508">
        <v>12.262</v>
      </c>
      <c r="H3451" s="508">
        <v>11.541</v>
      </c>
      <c r="I3451" s="508">
        <v>11.022</v>
      </c>
      <c r="J3451" s="508">
        <v>8.0120000000000005</v>
      </c>
      <c r="K3451" s="508">
        <v>7.7050000000000001</v>
      </c>
      <c r="L3451" s="508">
        <v>7.4580000000000002</v>
      </c>
      <c r="M3451" s="508">
        <v>7.2560000000000002</v>
      </c>
      <c r="N3451" s="508">
        <v>6.9669999999999996</v>
      </c>
      <c r="O3451" s="508">
        <v>6.8250000000000002</v>
      </c>
      <c r="P3451" s="508">
        <v>6.7030000000000003</v>
      </c>
      <c r="Q3451" s="508">
        <v>6.5979999999999999</v>
      </c>
      <c r="R3451" s="508">
        <v>4.9050000000000002</v>
      </c>
      <c r="S3451" s="508">
        <v>4.8230000000000004</v>
      </c>
      <c r="T3451" s="508">
        <v>4.6040000000000001</v>
      </c>
      <c r="U3451" s="508">
        <v>4.3280000000000003</v>
      </c>
      <c r="V3451" s="508">
        <v>4.2190000000000003</v>
      </c>
      <c r="W3451" s="508">
        <v>4.1349999999999998</v>
      </c>
      <c r="X3451" s="508">
        <v>4.0670000000000002</v>
      </c>
      <c r="Y3451" s="508">
        <v>3.7810000000000001</v>
      </c>
      <c r="Z3451" s="508">
        <v>3.754</v>
      </c>
      <c r="AA3451" s="508">
        <v>3.7309999999999999</v>
      </c>
      <c r="AB3451" s="508">
        <v>1.1060000000000001</v>
      </c>
      <c r="AC3451" s="508">
        <v>1.07</v>
      </c>
      <c r="AD3451" s="508">
        <v>0.85699999999999998</v>
      </c>
      <c r="AE3451" s="508">
        <v>0.85299999999999998</v>
      </c>
      <c r="AF3451" s="508">
        <v>0.84399999999999997</v>
      </c>
      <c r="AG3451" s="508">
        <v>0.84399999999999997</v>
      </c>
      <c r="AH3451" s="508">
        <v>0.84199999999999997</v>
      </c>
      <c r="AI3451" s="492">
        <v>0.84199999999999997</v>
      </c>
      <c r="AJ3451" s="485"/>
    </row>
    <row r="3452" spans="2:36">
      <c r="B3452" s="136" t="s">
        <v>448</v>
      </c>
      <c r="C3452" s="132" t="s">
        <v>1376</v>
      </c>
      <c r="D3452" s="132" t="s">
        <v>283</v>
      </c>
      <c r="E3452" s="508">
        <v>14.808999999999999</v>
      </c>
      <c r="F3452" s="508">
        <v>13.305999999999999</v>
      </c>
      <c r="G3452" s="508">
        <v>12.382999999999999</v>
      </c>
      <c r="H3452" s="508">
        <v>11.759</v>
      </c>
      <c r="I3452" s="508">
        <v>11.308</v>
      </c>
      <c r="J3452" s="508">
        <v>7.9740000000000002</v>
      </c>
      <c r="K3452" s="508">
        <v>7.7069999999999999</v>
      </c>
      <c r="L3452" s="508">
        <v>7.4930000000000003</v>
      </c>
      <c r="M3452" s="508">
        <v>7.3179999999999996</v>
      </c>
      <c r="N3452" s="508">
        <v>7.0490000000000004</v>
      </c>
      <c r="O3452" s="508">
        <v>6.9260000000000002</v>
      </c>
      <c r="P3452" s="508">
        <v>6.8209999999999997</v>
      </c>
      <c r="Q3452" s="508">
        <v>6.7290000000000001</v>
      </c>
      <c r="R3452" s="508">
        <v>5.0209999999999999</v>
      </c>
      <c r="S3452" s="508">
        <v>4.95</v>
      </c>
      <c r="T3452" s="508">
        <v>4.76</v>
      </c>
      <c r="U3452" s="508">
        <v>4.5270000000000001</v>
      </c>
      <c r="V3452" s="508">
        <v>4.4329999999999998</v>
      </c>
      <c r="W3452" s="508">
        <v>4.359</v>
      </c>
      <c r="X3452" s="508">
        <v>4.3</v>
      </c>
      <c r="Y3452" s="508">
        <v>4.0529999999999999</v>
      </c>
      <c r="Z3452" s="508">
        <v>4.0279999999999996</v>
      </c>
      <c r="AA3452" s="508">
        <v>4.008</v>
      </c>
      <c r="AB3452" s="508">
        <v>1.1930000000000001</v>
      </c>
      <c r="AC3452" s="508">
        <v>1.1619999999999999</v>
      </c>
      <c r="AD3452" s="508">
        <v>0.92700000000000005</v>
      </c>
      <c r="AE3452" s="508">
        <v>0.92300000000000004</v>
      </c>
      <c r="AF3452" s="508">
        <v>0.91500000000000004</v>
      </c>
      <c r="AG3452" s="508">
        <v>0.91500000000000004</v>
      </c>
      <c r="AH3452" s="508">
        <v>0.91300000000000003</v>
      </c>
      <c r="AI3452" s="492">
        <v>0.91300000000000003</v>
      </c>
      <c r="AJ3452" s="485"/>
    </row>
    <row r="3453" spans="2:36">
      <c r="B3453" s="136" t="s">
        <v>449</v>
      </c>
      <c r="C3453" s="132" t="s">
        <v>1376</v>
      </c>
      <c r="D3453" s="132" t="s">
        <v>283</v>
      </c>
      <c r="E3453" s="508">
        <v>14.765000000000001</v>
      </c>
      <c r="F3453" s="508">
        <v>13.06</v>
      </c>
      <c r="G3453" s="508">
        <v>12.013999999999999</v>
      </c>
      <c r="H3453" s="508">
        <v>11.305999999999999</v>
      </c>
      <c r="I3453" s="508">
        <v>10.795</v>
      </c>
      <c r="J3453" s="508">
        <v>7.8129999999999997</v>
      </c>
      <c r="K3453" s="508">
        <v>7.5119999999999996</v>
      </c>
      <c r="L3453" s="508">
        <v>7.2690000000000001</v>
      </c>
      <c r="M3453" s="508">
        <v>7.07</v>
      </c>
      <c r="N3453" s="508">
        <v>6.7869999999999999</v>
      </c>
      <c r="O3453" s="508">
        <v>6.6479999999999997</v>
      </c>
      <c r="P3453" s="508">
        <v>6.5279999999999996</v>
      </c>
      <c r="Q3453" s="508">
        <v>6.4240000000000004</v>
      </c>
      <c r="R3453" s="508">
        <v>4.8129999999999997</v>
      </c>
      <c r="S3453" s="508">
        <v>4.7329999999999997</v>
      </c>
      <c r="T3453" s="508">
        <v>4.5179999999999998</v>
      </c>
      <c r="U3453" s="508">
        <v>4.3780000000000001</v>
      </c>
      <c r="V3453" s="508">
        <v>4.2649999999999997</v>
      </c>
      <c r="W3453" s="508">
        <v>4.1769999999999996</v>
      </c>
      <c r="X3453" s="508">
        <v>4.1070000000000002</v>
      </c>
      <c r="Y3453" s="508">
        <v>3.8109999999999999</v>
      </c>
      <c r="Z3453" s="508">
        <v>3.7829999999999999</v>
      </c>
      <c r="AA3453" s="508">
        <v>3.7589999999999999</v>
      </c>
      <c r="AB3453" s="508">
        <v>1.1140000000000001</v>
      </c>
      <c r="AC3453" s="508">
        <v>1.077</v>
      </c>
      <c r="AD3453" s="508">
        <v>0.86099999999999999</v>
      </c>
      <c r="AE3453" s="508">
        <v>0.85599999999999998</v>
      </c>
      <c r="AF3453" s="508">
        <v>0.84699999999999998</v>
      </c>
      <c r="AG3453" s="508">
        <v>0.84699999999999998</v>
      </c>
      <c r="AH3453" s="508">
        <v>0.84499999999999997</v>
      </c>
      <c r="AI3453" s="492">
        <v>0.84499999999999997</v>
      </c>
      <c r="AJ3453" s="485"/>
    </row>
    <row r="3454" spans="2:36">
      <c r="B3454" s="136" t="s">
        <v>450</v>
      </c>
      <c r="C3454" s="132" t="s">
        <v>1376</v>
      </c>
      <c r="D3454" s="132" t="s">
        <v>283</v>
      </c>
      <c r="E3454" s="508">
        <v>15.401999999999999</v>
      </c>
      <c r="F3454" s="508">
        <v>13.916</v>
      </c>
      <c r="G3454" s="508">
        <v>13.003</v>
      </c>
      <c r="H3454" s="508">
        <v>12.385999999999999</v>
      </c>
      <c r="I3454" s="508">
        <v>11.941000000000001</v>
      </c>
      <c r="J3454" s="508">
        <v>8.3699999999999992</v>
      </c>
      <c r="K3454" s="508">
        <v>8.1069999999999993</v>
      </c>
      <c r="L3454" s="508">
        <v>7.8949999999999996</v>
      </c>
      <c r="M3454" s="508">
        <v>7.7220000000000004</v>
      </c>
      <c r="N3454" s="508">
        <v>7.4470000000000001</v>
      </c>
      <c r="O3454" s="508">
        <v>7.3259999999999996</v>
      </c>
      <c r="P3454" s="508">
        <v>7.2210000000000001</v>
      </c>
      <c r="Q3454" s="508">
        <v>7.1310000000000002</v>
      </c>
      <c r="R3454" s="508">
        <v>5.3049999999999997</v>
      </c>
      <c r="S3454" s="508">
        <v>5.2350000000000003</v>
      </c>
      <c r="T3454" s="508">
        <v>5.0469999999999997</v>
      </c>
      <c r="U3454" s="508">
        <v>4.9189999999999996</v>
      </c>
      <c r="V3454" s="508">
        <v>4.8209999999999997</v>
      </c>
      <c r="W3454" s="508">
        <v>4.7450000000000001</v>
      </c>
      <c r="X3454" s="508">
        <v>4.6849999999999996</v>
      </c>
      <c r="Y3454" s="508">
        <v>4.4349999999999996</v>
      </c>
      <c r="Z3454" s="508">
        <v>4.407</v>
      </c>
      <c r="AA3454" s="508">
        <v>4.3860000000000001</v>
      </c>
      <c r="AB3454" s="508">
        <v>1.31</v>
      </c>
      <c r="AC3454" s="508">
        <v>1.278</v>
      </c>
      <c r="AD3454" s="508">
        <v>1.0189999999999999</v>
      </c>
      <c r="AE3454" s="508">
        <v>1.014</v>
      </c>
      <c r="AF3454" s="508">
        <v>1.006</v>
      </c>
      <c r="AG3454" s="508">
        <v>1.006</v>
      </c>
      <c r="AH3454" s="508">
        <v>1.004</v>
      </c>
      <c r="AI3454" s="492">
        <v>1.004</v>
      </c>
      <c r="AJ3454" s="485"/>
    </row>
    <row r="3455" spans="2:36">
      <c r="B3455" s="136" t="s">
        <v>451</v>
      </c>
      <c r="C3455" s="132" t="s">
        <v>1376</v>
      </c>
      <c r="D3455" s="132" t="s">
        <v>283</v>
      </c>
      <c r="E3455" s="508">
        <v>16.71</v>
      </c>
      <c r="F3455" s="508">
        <v>14.894</v>
      </c>
      <c r="G3455" s="508">
        <v>13.779</v>
      </c>
      <c r="H3455" s="508">
        <v>13.025</v>
      </c>
      <c r="I3455" s="508">
        <v>12.48</v>
      </c>
      <c r="J3455" s="508">
        <v>9.0380000000000003</v>
      </c>
      <c r="K3455" s="508">
        <v>8.7159999999999993</v>
      </c>
      <c r="L3455" s="508">
        <v>8.4580000000000002</v>
      </c>
      <c r="M3455" s="508">
        <v>8.2449999999999992</v>
      </c>
      <c r="N3455" s="508">
        <v>7.931</v>
      </c>
      <c r="O3455" s="508">
        <v>7.7830000000000004</v>
      </c>
      <c r="P3455" s="508">
        <v>7.6559999999999997</v>
      </c>
      <c r="Q3455" s="508">
        <v>7.5449999999999999</v>
      </c>
      <c r="R3455" s="508">
        <v>5.5570000000000004</v>
      </c>
      <c r="S3455" s="508">
        <v>5.4720000000000004</v>
      </c>
      <c r="T3455" s="508">
        <v>5.2430000000000003</v>
      </c>
      <c r="U3455" s="508">
        <v>5.0069999999999997</v>
      </c>
      <c r="V3455" s="508">
        <v>4.8940000000000001</v>
      </c>
      <c r="W3455" s="508">
        <v>4.8070000000000004</v>
      </c>
      <c r="X3455" s="508">
        <v>4.7370000000000001</v>
      </c>
      <c r="Y3455" s="508">
        <v>4.4470000000000001</v>
      </c>
      <c r="Z3455" s="508">
        <v>4.4160000000000004</v>
      </c>
      <c r="AA3455" s="508">
        <v>4.3920000000000003</v>
      </c>
      <c r="AB3455" s="508">
        <v>1.31</v>
      </c>
      <c r="AC3455" s="508">
        <v>1.2729999999999999</v>
      </c>
      <c r="AD3455" s="508">
        <v>1.0229999999999999</v>
      </c>
      <c r="AE3455" s="508">
        <v>1.018</v>
      </c>
      <c r="AF3455" s="508">
        <v>1.008</v>
      </c>
      <c r="AG3455" s="508">
        <v>1.008</v>
      </c>
      <c r="AH3455" s="508">
        <v>1.006</v>
      </c>
      <c r="AI3455" s="492">
        <v>1.006</v>
      </c>
      <c r="AJ3455" s="485"/>
    </row>
    <row r="3456" spans="2:36">
      <c r="B3456" s="136" t="s">
        <v>452</v>
      </c>
      <c r="C3456" s="132" t="s">
        <v>1376</v>
      </c>
      <c r="D3456" s="132" t="s">
        <v>283</v>
      </c>
      <c r="E3456" s="508">
        <v>15.689</v>
      </c>
      <c r="F3456" s="508">
        <v>14.084</v>
      </c>
      <c r="G3456" s="508">
        <v>13.098000000000001</v>
      </c>
      <c r="H3456" s="508">
        <v>12.430999999999999</v>
      </c>
      <c r="I3456" s="508">
        <v>11.95</v>
      </c>
      <c r="J3456" s="508">
        <v>8.4939999999999998</v>
      </c>
      <c r="K3456" s="508">
        <v>8.2100000000000009</v>
      </c>
      <c r="L3456" s="508">
        <v>7.9809999999999999</v>
      </c>
      <c r="M3456" s="508">
        <v>7.7939999999999996</v>
      </c>
      <c r="N3456" s="508">
        <v>7.5069999999999997</v>
      </c>
      <c r="O3456" s="508">
        <v>7.3760000000000003</v>
      </c>
      <c r="P3456" s="508">
        <v>7.2629999999999999</v>
      </c>
      <c r="Q3456" s="508">
        <v>7.1660000000000004</v>
      </c>
      <c r="R3456" s="508">
        <v>5.3159999999999998</v>
      </c>
      <c r="S3456" s="508">
        <v>5.24</v>
      </c>
      <c r="T3456" s="508">
        <v>5.0380000000000003</v>
      </c>
      <c r="U3456" s="508">
        <v>4.8470000000000004</v>
      </c>
      <c r="V3456" s="508">
        <v>4.7450000000000001</v>
      </c>
      <c r="W3456" s="508">
        <v>4.6660000000000004</v>
      </c>
      <c r="X3456" s="508">
        <v>4.6020000000000003</v>
      </c>
      <c r="Y3456" s="508">
        <v>4.3380000000000001</v>
      </c>
      <c r="Z3456" s="508">
        <v>4.3099999999999996</v>
      </c>
      <c r="AA3456" s="508">
        <v>4.2880000000000003</v>
      </c>
      <c r="AB3456" s="508">
        <v>1.2789999999999999</v>
      </c>
      <c r="AC3456" s="508">
        <v>1.2450000000000001</v>
      </c>
      <c r="AD3456" s="508">
        <v>0.995</v>
      </c>
      <c r="AE3456" s="508">
        <v>0.99099999999999999</v>
      </c>
      <c r="AF3456" s="508">
        <v>0.98199999999999998</v>
      </c>
      <c r="AG3456" s="508">
        <v>0.98199999999999998</v>
      </c>
      <c r="AH3456" s="508">
        <v>0.98</v>
      </c>
      <c r="AI3456" s="492">
        <v>0.98</v>
      </c>
      <c r="AJ3456" s="485"/>
    </row>
    <row r="3457" spans="2:36">
      <c r="B3457" s="136" t="s">
        <v>453</v>
      </c>
      <c r="C3457" s="132" t="s">
        <v>1376</v>
      </c>
      <c r="D3457" s="132" t="s">
        <v>283</v>
      </c>
      <c r="E3457" s="508">
        <v>15.051</v>
      </c>
      <c r="F3457" s="508">
        <v>13.601000000000001</v>
      </c>
      <c r="G3457" s="508">
        <v>12.71</v>
      </c>
      <c r="H3457" s="508">
        <v>12.106999999999999</v>
      </c>
      <c r="I3457" s="508">
        <v>11.672000000000001</v>
      </c>
      <c r="J3457" s="508">
        <v>8.1639999999999997</v>
      </c>
      <c r="K3457" s="508">
        <v>7.907</v>
      </c>
      <c r="L3457" s="508">
        <v>7.7009999999999996</v>
      </c>
      <c r="M3457" s="508">
        <v>7.5309999999999997</v>
      </c>
      <c r="N3457" s="508">
        <v>7.2629999999999999</v>
      </c>
      <c r="O3457" s="508">
        <v>7.1449999999999996</v>
      </c>
      <c r="P3457" s="508">
        <v>7.0430000000000001</v>
      </c>
      <c r="Q3457" s="508">
        <v>6.9550000000000001</v>
      </c>
      <c r="R3457" s="508">
        <v>5.1840000000000002</v>
      </c>
      <c r="S3457" s="508">
        <v>5.1150000000000002</v>
      </c>
      <c r="T3457" s="508">
        <v>4.9320000000000004</v>
      </c>
      <c r="U3457" s="508">
        <v>4.8250000000000002</v>
      </c>
      <c r="V3457" s="508">
        <v>4.7290000000000001</v>
      </c>
      <c r="W3457" s="508">
        <v>4.6550000000000002</v>
      </c>
      <c r="X3457" s="508">
        <v>4.5949999999999998</v>
      </c>
      <c r="Y3457" s="508">
        <v>4.3479999999999999</v>
      </c>
      <c r="Z3457" s="508">
        <v>4.3209999999999997</v>
      </c>
      <c r="AA3457" s="508">
        <v>4.3010000000000002</v>
      </c>
      <c r="AB3457" s="508">
        <v>1.284</v>
      </c>
      <c r="AC3457" s="508">
        <v>1.2529999999999999</v>
      </c>
      <c r="AD3457" s="508">
        <v>0.998</v>
      </c>
      <c r="AE3457" s="508">
        <v>0.99399999999999999</v>
      </c>
      <c r="AF3457" s="508">
        <v>0.98599999999999999</v>
      </c>
      <c r="AG3457" s="508">
        <v>0.98599999999999999</v>
      </c>
      <c r="AH3457" s="508">
        <v>0.98399999999999999</v>
      </c>
      <c r="AI3457" s="492">
        <v>0.98399999999999999</v>
      </c>
      <c r="AJ3457" s="485"/>
    </row>
    <row r="3458" spans="2:36">
      <c r="B3458" s="136" t="s">
        <v>454</v>
      </c>
      <c r="C3458" s="132" t="s">
        <v>1376</v>
      </c>
      <c r="D3458" s="132" t="s">
        <v>283</v>
      </c>
      <c r="E3458" s="508">
        <v>15.109</v>
      </c>
      <c r="F3458" s="508">
        <v>13.606</v>
      </c>
      <c r="G3458" s="508">
        <v>12.683</v>
      </c>
      <c r="H3458" s="508">
        <v>12.058999999999999</v>
      </c>
      <c r="I3458" s="508">
        <v>11.609</v>
      </c>
      <c r="J3458" s="508">
        <v>8.1630000000000003</v>
      </c>
      <c r="K3458" s="508">
        <v>7.8970000000000002</v>
      </c>
      <c r="L3458" s="508">
        <v>7.6829999999999998</v>
      </c>
      <c r="M3458" s="508">
        <v>7.508</v>
      </c>
      <c r="N3458" s="508">
        <v>7.2350000000000003</v>
      </c>
      <c r="O3458" s="508">
        <v>7.1130000000000004</v>
      </c>
      <c r="P3458" s="508">
        <v>7.0069999999999997</v>
      </c>
      <c r="Q3458" s="508">
        <v>6.9160000000000004</v>
      </c>
      <c r="R3458" s="508">
        <v>5.1589999999999998</v>
      </c>
      <c r="S3458" s="508">
        <v>5.0880000000000001</v>
      </c>
      <c r="T3458" s="508">
        <v>4.899</v>
      </c>
      <c r="U3458" s="508">
        <v>4.7949999999999999</v>
      </c>
      <c r="V3458" s="508">
        <v>4.6959999999999997</v>
      </c>
      <c r="W3458" s="508">
        <v>4.6180000000000003</v>
      </c>
      <c r="X3458" s="508">
        <v>4.556</v>
      </c>
      <c r="Y3458" s="508">
        <v>4.2990000000000004</v>
      </c>
      <c r="Z3458" s="508">
        <v>4.2709999999999999</v>
      </c>
      <c r="AA3458" s="508">
        <v>4.25</v>
      </c>
      <c r="AB3458" s="508">
        <v>1.2669999999999999</v>
      </c>
      <c r="AC3458" s="508">
        <v>1.234</v>
      </c>
      <c r="AD3458" s="508">
        <v>0.98399999999999999</v>
      </c>
      <c r="AE3458" s="508">
        <v>0.98</v>
      </c>
      <c r="AF3458" s="508">
        <v>0.97199999999999998</v>
      </c>
      <c r="AG3458" s="508">
        <v>0.97199999999999998</v>
      </c>
      <c r="AH3458" s="508">
        <v>0.96899999999999997</v>
      </c>
      <c r="AI3458" s="492">
        <v>0.96899999999999997</v>
      </c>
      <c r="AJ3458" s="485"/>
    </row>
    <row r="3459" spans="2:36">
      <c r="B3459" s="136" t="s">
        <v>455</v>
      </c>
      <c r="C3459" s="132" t="s">
        <v>1376</v>
      </c>
      <c r="D3459" s="132" t="s">
        <v>283</v>
      </c>
      <c r="E3459" s="508">
        <v>14.619</v>
      </c>
      <c r="F3459" s="508">
        <v>13.212999999999999</v>
      </c>
      <c r="G3459" s="508">
        <v>12.349</v>
      </c>
      <c r="H3459" s="508">
        <v>11.765000000000001</v>
      </c>
      <c r="I3459" s="508">
        <v>11.343999999999999</v>
      </c>
      <c r="J3459" s="508">
        <v>7.9290000000000003</v>
      </c>
      <c r="K3459" s="508">
        <v>7.68</v>
      </c>
      <c r="L3459" s="508">
        <v>7.48</v>
      </c>
      <c r="M3459" s="508">
        <v>7.3150000000000004</v>
      </c>
      <c r="N3459" s="508">
        <v>7.056</v>
      </c>
      <c r="O3459" s="508">
        <v>6.9409999999999998</v>
      </c>
      <c r="P3459" s="508">
        <v>6.8419999999999996</v>
      </c>
      <c r="Q3459" s="508">
        <v>6.7560000000000002</v>
      </c>
      <c r="R3459" s="508">
        <v>5.024</v>
      </c>
      <c r="S3459" s="508">
        <v>4.9569999999999999</v>
      </c>
      <c r="T3459" s="508">
        <v>4.78</v>
      </c>
      <c r="U3459" s="508">
        <v>4.609</v>
      </c>
      <c r="V3459" s="508">
        <v>4.5199999999999996</v>
      </c>
      <c r="W3459" s="508">
        <v>4.4509999999999996</v>
      </c>
      <c r="X3459" s="508">
        <v>4.3959999999999999</v>
      </c>
      <c r="Y3459" s="508">
        <v>4.1660000000000004</v>
      </c>
      <c r="Z3459" s="508">
        <v>4.1420000000000003</v>
      </c>
      <c r="AA3459" s="508">
        <v>4.1230000000000002</v>
      </c>
      <c r="AB3459" s="508">
        <v>1.23</v>
      </c>
      <c r="AC3459" s="508">
        <v>1.2</v>
      </c>
      <c r="AD3459" s="508">
        <v>0.95699999999999996</v>
      </c>
      <c r="AE3459" s="508">
        <v>0.95299999999999996</v>
      </c>
      <c r="AF3459" s="508">
        <v>0.94599999999999995</v>
      </c>
      <c r="AG3459" s="508">
        <v>0.94599999999999995</v>
      </c>
      <c r="AH3459" s="508">
        <v>0.94399999999999995</v>
      </c>
      <c r="AI3459" s="492">
        <v>0.94399999999999995</v>
      </c>
      <c r="AJ3459" s="485"/>
    </row>
    <row r="3460" spans="2:36">
      <c r="B3460" s="136" t="s">
        <v>456</v>
      </c>
      <c r="C3460" s="132" t="s">
        <v>1376</v>
      </c>
      <c r="D3460" s="132" t="s">
        <v>283</v>
      </c>
      <c r="E3460" s="508">
        <v>14.529</v>
      </c>
      <c r="F3460" s="508">
        <v>12.997</v>
      </c>
      <c r="G3460" s="508">
        <v>12.057</v>
      </c>
      <c r="H3460" s="508">
        <v>11.420999999999999</v>
      </c>
      <c r="I3460" s="508">
        <v>10.962</v>
      </c>
      <c r="J3460" s="508">
        <v>7.7809999999999997</v>
      </c>
      <c r="K3460" s="508">
        <v>7.51</v>
      </c>
      <c r="L3460" s="508">
        <v>7.2919999999999998</v>
      </c>
      <c r="M3460" s="508">
        <v>7.1130000000000004</v>
      </c>
      <c r="N3460" s="508">
        <v>6.8449999999999998</v>
      </c>
      <c r="O3460" s="508">
        <v>6.72</v>
      </c>
      <c r="P3460" s="508">
        <v>6.6130000000000004</v>
      </c>
      <c r="Q3460" s="508">
        <v>6.5190000000000001</v>
      </c>
      <c r="R3460" s="508">
        <v>4.8680000000000003</v>
      </c>
      <c r="S3460" s="508">
        <v>4.7960000000000003</v>
      </c>
      <c r="T3460" s="508">
        <v>4.6020000000000003</v>
      </c>
      <c r="U3460" s="508">
        <v>4.3520000000000003</v>
      </c>
      <c r="V3460" s="508">
        <v>4.2560000000000002</v>
      </c>
      <c r="W3460" s="508">
        <v>4.181</v>
      </c>
      <c r="X3460" s="508">
        <v>4.1210000000000004</v>
      </c>
      <c r="Y3460" s="508">
        <v>3.87</v>
      </c>
      <c r="Z3460" s="508">
        <v>3.8460000000000001</v>
      </c>
      <c r="AA3460" s="508">
        <v>3.8250000000000002</v>
      </c>
      <c r="AB3460" s="508">
        <v>1.137</v>
      </c>
      <c r="AC3460" s="508">
        <v>1.105</v>
      </c>
      <c r="AD3460" s="508">
        <v>0.88200000000000001</v>
      </c>
      <c r="AE3460" s="508">
        <v>0.878</v>
      </c>
      <c r="AF3460" s="508">
        <v>0.87</v>
      </c>
      <c r="AG3460" s="508">
        <v>0.87</v>
      </c>
      <c r="AH3460" s="508">
        <v>0.86799999999999999</v>
      </c>
      <c r="AI3460" s="492">
        <v>0.86799999999999999</v>
      </c>
      <c r="AJ3460" s="485"/>
    </row>
    <row r="3461" spans="2:36">
      <c r="B3461" s="136" t="s">
        <v>457</v>
      </c>
      <c r="C3461" s="132" t="s">
        <v>1376</v>
      </c>
      <c r="D3461" s="132" t="s">
        <v>283</v>
      </c>
      <c r="E3461" s="508">
        <v>15.08</v>
      </c>
      <c r="F3461" s="508">
        <v>13.677</v>
      </c>
      <c r="G3461" s="508">
        <v>12.816000000000001</v>
      </c>
      <c r="H3461" s="508">
        <v>12.233000000000001</v>
      </c>
      <c r="I3461" s="508">
        <v>11.813000000000001</v>
      </c>
      <c r="J3461" s="508">
        <v>8.1880000000000006</v>
      </c>
      <c r="K3461" s="508">
        <v>7.94</v>
      </c>
      <c r="L3461" s="508">
        <v>7.74</v>
      </c>
      <c r="M3461" s="508">
        <v>7.5759999999999996</v>
      </c>
      <c r="N3461" s="508">
        <v>7.3120000000000003</v>
      </c>
      <c r="O3461" s="508">
        <v>7.1970000000000001</v>
      </c>
      <c r="P3461" s="508">
        <v>7.0990000000000002</v>
      </c>
      <c r="Q3461" s="508">
        <v>7.0129999999999999</v>
      </c>
      <c r="R3461" s="508">
        <v>5.2460000000000004</v>
      </c>
      <c r="S3461" s="508">
        <v>5.18</v>
      </c>
      <c r="T3461" s="508">
        <v>5.0030000000000001</v>
      </c>
      <c r="U3461" s="508">
        <v>4.782</v>
      </c>
      <c r="V3461" s="508">
        <v>4.6929999999999996</v>
      </c>
      <c r="W3461" s="508">
        <v>4.625</v>
      </c>
      <c r="X3461" s="508">
        <v>4.569</v>
      </c>
      <c r="Y3461" s="508">
        <v>4.343</v>
      </c>
      <c r="Z3461" s="508">
        <v>4.3179999999999996</v>
      </c>
      <c r="AA3461" s="508">
        <v>4.2990000000000004</v>
      </c>
      <c r="AB3461" s="508">
        <v>1.2849999999999999</v>
      </c>
      <c r="AC3461" s="508">
        <v>1.256</v>
      </c>
      <c r="AD3461" s="508">
        <v>0.999</v>
      </c>
      <c r="AE3461" s="508">
        <v>0.99399999999999999</v>
      </c>
      <c r="AF3461" s="508">
        <v>0.98699999999999999</v>
      </c>
      <c r="AG3461" s="508">
        <v>0.98699999999999999</v>
      </c>
      <c r="AH3461" s="508">
        <v>0.98499999999999999</v>
      </c>
      <c r="AI3461" s="492">
        <v>0.98499999999999999</v>
      </c>
      <c r="AJ3461" s="485"/>
    </row>
    <row r="3462" spans="2:36">
      <c r="B3462" s="136" t="s">
        <v>458</v>
      </c>
      <c r="C3462" s="132" t="s">
        <v>1376</v>
      </c>
      <c r="D3462" s="132" t="s">
        <v>283</v>
      </c>
      <c r="E3462" s="508">
        <v>15.766</v>
      </c>
      <c r="F3462" s="508">
        <v>14.15</v>
      </c>
      <c r="G3462" s="508">
        <v>13.157</v>
      </c>
      <c r="H3462" s="508">
        <v>12.486000000000001</v>
      </c>
      <c r="I3462" s="508">
        <v>12.000999999999999</v>
      </c>
      <c r="J3462" s="508">
        <v>8.5169999999999995</v>
      </c>
      <c r="K3462" s="508">
        <v>8.23</v>
      </c>
      <c r="L3462" s="508">
        <v>8</v>
      </c>
      <c r="M3462" s="508">
        <v>7.8109999999999999</v>
      </c>
      <c r="N3462" s="508">
        <v>7.5229999999999997</v>
      </c>
      <c r="O3462" s="508">
        <v>7.391</v>
      </c>
      <c r="P3462" s="508">
        <v>7.2779999999999996</v>
      </c>
      <c r="Q3462" s="508">
        <v>7.18</v>
      </c>
      <c r="R3462" s="508">
        <v>5.3289999999999997</v>
      </c>
      <c r="S3462" s="508">
        <v>5.2530000000000001</v>
      </c>
      <c r="T3462" s="508">
        <v>5.0490000000000004</v>
      </c>
      <c r="U3462" s="508">
        <v>4.8209999999999997</v>
      </c>
      <c r="V3462" s="508">
        <v>4.72</v>
      </c>
      <c r="W3462" s="508">
        <v>4.641</v>
      </c>
      <c r="X3462" s="508">
        <v>4.5789999999999997</v>
      </c>
      <c r="Y3462" s="508">
        <v>4.3179999999999996</v>
      </c>
      <c r="Z3462" s="508">
        <v>4.2910000000000004</v>
      </c>
      <c r="AA3462" s="508">
        <v>4.2690000000000001</v>
      </c>
      <c r="AB3462" s="508">
        <v>1.2729999999999999</v>
      </c>
      <c r="AC3462" s="508">
        <v>1.2390000000000001</v>
      </c>
      <c r="AD3462" s="508">
        <v>0.99199999999999999</v>
      </c>
      <c r="AE3462" s="508">
        <v>0.98799999999999999</v>
      </c>
      <c r="AF3462" s="508">
        <v>0.97899999999999998</v>
      </c>
      <c r="AG3462" s="508">
        <v>0.97899999999999998</v>
      </c>
      <c r="AH3462" s="508">
        <v>0.97699999999999998</v>
      </c>
      <c r="AI3462" s="492">
        <v>0.97699999999999998</v>
      </c>
      <c r="AJ3462" s="485"/>
    </row>
    <row r="3463" spans="2:36">
      <c r="B3463" s="136" t="s">
        <v>459</v>
      </c>
      <c r="C3463" s="132" t="s">
        <v>1376</v>
      </c>
      <c r="D3463" s="132" t="s">
        <v>283</v>
      </c>
      <c r="E3463" s="508">
        <v>16.009</v>
      </c>
      <c r="F3463" s="508">
        <v>14.388999999999999</v>
      </c>
      <c r="G3463" s="508">
        <v>13.394</v>
      </c>
      <c r="H3463" s="508">
        <v>12.72</v>
      </c>
      <c r="I3463" s="508">
        <v>12.234999999999999</v>
      </c>
      <c r="J3463" s="508">
        <v>8.6709999999999994</v>
      </c>
      <c r="K3463" s="508">
        <v>8.3829999999999991</v>
      </c>
      <c r="L3463" s="508">
        <v>8.1530000000000005</v>
      </c>
      <c r="M3463" s="508">
        <v>7.9630000000000001</v>
      </c>
      <c r="N3463" s="508">
        <v>7.6719999999999997</v>
      </c>
      <c r="O3463" s="508">
        <v>7.54</v>
      </c>
      <c r="P3463" s="508">
        <v>7.4260000000000002</v>
      </c>
      <c r="Q3463" s="508">
        <v>7.3280000000000003</v>
      </c>
      <c r="R3463" s="508">
        <v>5.4329999999999998</v>
      </c>
      <c r="S3463" s="508">
        <v>5.3559999999999999</v>
      </c>
      <c r="T3463" s="508">
        <v>5.1520000000000001</v>
      </c>
      <c r="U3463" s="508">
        <v>4.9729999999999999</v>
      </c>
      <c r="V3463" s="508">
        <v>4.87</v>
      </c>
      <c r="W3463" s="508">
        <v>4.79</v>
      </c>
      <c r="X3463" s="508">
        <v>4.726</v>
      </c>
      <c r="Y3463" s="508">
        <v>4.4610000000000003</v>
      </c>
      <c r="Z3463" s="508">
        <v>4.4320000000000004</v>
      </c>
      <c r="AA3463" s="508">
        <v>4.41</v>
      </c>
      <c r="AB3463" s="508">
        <v>1.3160000000000001</v>
      </c>
      <c r="AC3463" s="508">
        <v>1.282</v>
      </c>
      <c r="AD3463" s="508">
        <v>1.0269999999999999</v>
      </c>
      <c r="AE3463" s="508">
        <v>1.022</v>
      </c>
      <c r="AF3463" s="508">
        <v>1.014</v>
      </c>
      <c r="AG3463" s="508">
        <v>1.014</v>
      </c>
      <c r="AH3463" s="508">
        <v>1.0109999999999999</v>
      </c>
      <c r="AI3463" s="492">
        <v>1.0109999999999999</v>
      </c>
      <c r="AJ3463" s="485"/>
    </row>
    <row r="3464" spans="2:36">
      <c r="B3464" s="136" t="s">
        <v>460</v>
      </c>
      <c r="C3464" s="132" t="s">
        <v>1376</v>
      </c>
      <c r="D3464" s="132" t="s">
        <v>283</v>
      </c>
      <c r="E3464" s="508">
        <v>15.827</v>
      </c>
      <c r="F3464" s="508">
        <v>14.234999999999999</v>
      </c>
      <c r="G3464" s="508">
        <v>13.257999999999999</v>
      </c>
      <c r="H3464" s="508">
        <v>12.597</v>
      </c>
      <c r="I3464" s="508">
        <v>12.12</v>
      </c>
      <c r="J3464" s="508">
        <v>8.5860000000000003</v>
      </c>
      <c r="K3464" s="508">
        <v>8.3040000000000003</v>
      </c>
      <c r="L3464" s="508">
        <v>8.0779999999999994</v>
      </c>
      <c r="M3464" s="508">
        <v>7.8920000000000003</v>
      </c>
      <c r="N3464" s="508">
        <v>7.6050000000000004</v>
      </c>
      <c r="O3464" s="508">
        <v>7.4749999999999996</v>
      </c>
      <c r="P3464" s="508">
        <v>7.3630000000000004</v>
      </c>
      <c r="Q3464" s="508">
        <v>7.266</v>
      </c>
      <c r="R3464" s="508">
        <v>5.3840000000000003</v>
      </c>
      <c r="S3464" s="508">
        <v>5.3090000000000002</v>
      </c>
      <c r="T3464" s="508">
        <v>5.1079999999999997</v>
      </c>
      <c r="U3464" s="508">
        <v>4.9409999999999998</v>
      </c>
      <c r="V3464" s="508">
        <v>4.8390000000000004</v>
      </c>
      <c r="W3464" s="508">
        <v>4.7590000000000003</v>
      </c>
      <c r="X3464" s="508">
        <v>4.6950000000000003</v>
      </c>
      <c r="Y3464" s="508">
        <v>4.4329999999999998</v>
      </c>
      <c r="Z3464" s="508">
        <v>4.4039999999999999</v>
      </c>
      <c r="AA3464" s="508">
        <v>4.3819999999999997</v>
      </c>
      <c r="AB3464" s="508">
        <v>1.3080000000000001</v>
      </c>
      <c r="AC3464" s="508">
        <v>1.2749999999999999</v>
      </c>
      <c r="AD3464" s="508">
        <v>1.0189999999999999</v>
      </c>
      <c r="AE3464" s="508">
        <v>1.0149999999999999</v>
      </c>
      <c r="AF3464" s="508">
        <v>1.006</v>
      </c>
      <c r="AG3464" s="508">
        <v>1.006</v>
      </c>
      <c r="AH3464" s="508">
        <v>1.004</v>
      </c>
      <c r="AI3464" s="492">
        <v>1.004</v>
      </c>
      <c r="AJ3464" s="485"/>
    </row>
    <row r="3465" spans="2:36">
      <c r="B3465" s="136" t="s">
        <v>461</v>
      </c>
      <c r="C3465" s="132" t="s">
        <v>1376</v>
      </c>
      <c r="D3465" s="132" t="s">
        <v>283</v>
      </c>
      <c r="E3465" s="508">
        <v>15.875999999999999</v>
      </c>
      <c r="F3465" s="508">
        <v>14.295</v>
      </c>
      <c r="G3465" s="508">
        <v>13.324</v>
      </c>
      <c r="H3465" s="508">
        <v>12.667999999999999</v>
      </c>
      <c r="I3465" s="508">
        <v>12.194000000000001</v>
      </c>
      <c r="J3465" s="508">
        <v>8.5909999999999993</v>
      </c>
      <c r="K3465" s="508">
        <v>8.3109999999999999</v>
      </c>
      <c r="L3465" s="508">
        <v>8.0860000000000003</v>
      </c>
      <c r="M3465" s="508">
        <v>7.9020000000000001</v>
      </c>
      <c r="N3465" s="508">
        <v>7.6150000000000002</v>
      </c>
      <c r="O3465" s="508">
        <v>7.4859999999999998</v>
      </c>
      <c r="P3465" s="508">
        <v>7.375</v>
      </c>
      <c r="Q3465" s="508">
        <v>7.2789999999999999</v>
      </c>
      <c r="R3465" s="508">
        <v>5.4260000000000002</v>
      </c>
      <c r="S3465" s="508">
        <v>5.3520000000000003</v>
      </c>
      <c r="T3465" s="508">
        <v>5.1520000000000001</v>
      </c>
      <c r="U3465" s="508">
        <v>4.8929999999999998</v>
      </c>
      <c r="V3465" s="508">
        <v>4.7949999999999999</v>
      </c>
      <c r="W3465" s="508">
        <v>4.7190000000000003</v>
      </c>
      <c r="X3465" s="508">
        <v>4.6580000000000004</v>
      </c>
      <c r="Y3465" s="508">
        <v>4.4080000000000004</v>
      </c>
      <c r="Z3465" s="508">
        <v>4.38</v>
      </c>
      <c r="AA3465" s="508">
        <v>4.359</v>
      </c>
      <c r="AB3465" s="508">
        <v>1.3029999999999999</v>
      </c>
      <c r="AC3465" s="508">
        <v>1.2709999999999999</v>
      </c>
      <c r="AD3465" s="508">
        <v>1.014</v>
      </c>
      <c r="AE3465" s="508">
        <v>1.0089999999999999</v>
      </c>
      <c r="AF3465" s="508">
        <v>1.0009999999999999</v>
      </c>
      <c r="AG3465" s="508">
        <v>1.0009999999999999</v>
      </c>
      <c r="AH3465" s="508">
        <v>0.999</v>
      </c>
      <c r="AI3465" s="492">
        <v>0.999</v>
      </c>
      <c r="AJ3465" s="485"/>
    </row>
    <row r="3466" spans="2:36">
      <c r="B3466" s="136" t="s">
        <v>462</v>
      </c>
      <c r="C3466" s="132" t="s">
        <v>1376</v>
      </c>
      <c r="D3466" s="132" t="s">
        <v>283</v>
      </c>
      <c r="E3466" s="508">
        <v>14.521000000000001</v>
      </c>
      <c r="F3466" s="508">
        <v>13.025</v>
      </c>
      <c r="G3466" s="508">
        <v>12.106999999999999</v>
      </c>
      <c r="H3466" s="508">
        <v>11.486000000000001</v>
      </c>
      <c r="I3466" s="508">
        <v>11.038</v>
      </c>
      <c r="J3466" s="508">
        <v>7.7759999999999998</v>
      </c>
      <c r="K3466" s="508">
        <v>7.5110000000000001</v>
      </c>
      <c r="L3466" s="508">
        <v>7.298</v>
      </c>
      <c r="M3466" s="508">
        <v>7.1239999999999997</v>
      </c>
      <c r="N3466" s="508">
        <v>6.859</v>
      </c>
      <c r="O3466" s="508">
        <v>6.7370000000000001</v>
      </c>
      <c r="P3466" s="508">
        <v>6.6319999999999997</v>
      </c>
      <c r="Q3466" s="508">
        <v>6.5410000000000004</v>
      </c>
      <c r="R3466" s="508">
        <v>4.9139999999999997</v>
      </c>
      <c r="S3466" s="508">
        <v>4.843</v>
      </c>
      <c r="T3466" s="508">
        <v>4.6550000000000002</v>
      </c>
      <c r="U3466" s="508">
        <v>4.399</v>
      </c>
      <c r="V3466" s="508">
        <v>4.306</v>
      </c>
      <c r="W3466" s="508">
        <v>4.2329999999999997</v>
      </c>
      <c r="X3466" s="508">
        <v>4.1749999999999998</v>
      </c>
      <c r="Y3466" s="508">
        <v>3.931</v>
      </c>
      <c r="Z3466" s="508">
        <v>3.9060000000000001</v>
      </c>
      <c r="AA3466" s="508">
        <v>3.8860000000000001</v>
      </c>
      <c r="AB3466" s="508">
        <v>1.1559999999999999</v>
      </c>
      <c r="AC3466" s="508">
        <v>1.125</v>
      </c>
      <c r="AD3466" s="508">
        <v>0.89500000000000002</v>
      </c>
      <c r="AE3466" s="508">
        <v>0.89100000000000001</v>
      </c>
      <c r="AF3466" s="508">
        <v>0.88300000000000001</v>
      </c>
      <c r="AG3466" s="508">
        <v>0.88300000000000001</v>
      </c>
      <c r="AH3466" s="508">
        <v>0.88100000000000001</v>
      </c>
      <c r="AI3466" s="492">
        <v>0.88100000000000001</v>
      </c>
      <c r="AJ3466" s="485"/>
    </row>
    <row r="3467" spans="2:36">
      <c r="B3467" s="136" t="s">
        <v>463</v>
      </c>
      <c r="C3467" s="132" t="s">
        <v>1376</v>
      </c>
      <c r="D3467" s="132" t="s">
        <v>283</v>
      </c>
      <c r="E3467" s="508">
        <v>14.792999999999999</v>
      </c>
      <c r="F3467" s="508">
        <v>13.348000000000001</v>
      </c>
      <c r="G3467" s="508">
        <v>12.461</v>
      </c>
      <c r="H3467" s="508">
        <v>11.861000000000001</v>
      </c>
      <c r="I3467" s="508">
        <v>11.428000000000001</v>
      </c>
      <c r="J3467" s="508">
        <v>7.9889999999999999</v>
      </c>
      <c r="K3467" s="508">
        <v>7.734</v>
      </c>
      <c r="L3467" s="508">
        <v>7.5279999999999996</v>
      </c>
      <c r="M3467" s="508">
        <v>7.359</v>
      </c>
      <c r="N3467" s="508">
        <v>7.0949999999999998</v>
      </c>
      <c r="O3467" s="508">
        <v>6.9770000000000003</v>
      </c>
      <c r="P3467" s="508">
        <v>6.8760000000000003</v>
      </c>
      <c r="Q3467" s="508">
        <v>6.7869999999999999</v>
      </c>
      <c r="R3467" s="508">
        <v>5.0670000000000002</v>
      </c>
      <c r="S3467" s="508">
        <v>4.9980000000000002</v>
      </c>
      <c r="T3467" s="508">
        <v>4.8159999999999998</v>
      </c>
      <c r="U3467" s="508">
        <v>4.6900000000000004</v>
      </c>
      <c r="V3467" s="508">
        <v>4.5960000000000001</v>
      </c>
      <c r="W3467" s="508">
        <v>4.5229999999999997</v>
      </c>
      <c r="X3467" s="508">
        <v>4.4649999999999999</v>
      </c>
      <c r="Y3467" s="508">
        <v>4.2229999999999999</v>
      </c>
      <c r="Z3467" s="508">
        <v>4.1980000000000004</v>
      </c>
      <c r="AA3467" s="508">
        <v>4.1779999999999999</v>
      </c>
      <c r="AB3467" s="508">
        <v>1.246</v>
      </c>
      <c r="AC3467" s="508">
        <v>1.2150000000000001</v>
      </c>
      <c r="AD3467" s="508">
        <v>0.96899999999999997</v>
      </c>
      <c r="AE3467" s="508">
        <v>0.96499999999999997</v>
      </c>
      <c r="AF3467" s="508">
        <v>0.95699999999999996</v>
      </c>
      <c r="AG3467" s="508">
        <v>0.95699999999999996</v>
      </c>
      <c r="AH3467" s="508">
        <v>0.95499999999999996</v>
      </c>
      <c r="AI3467" s="492">
        <v>0.95499999999999996</v>
      </c>
      <c r="AJ3467" s="485"/>
    </row>
    <row r="3468" spans="2:36">
      <c r="B3468" s="136" t="s">
        <v>464</v>
      </c>
      <c r="C3468" s="132" t="s">
        <v>1376</v>
      </c>
      <c r="D3468" s="132" t="s">
        <v>283</v>
      </c>
      <c r="E3468" s="508">
        <v>14.965</v>
      </c>
      <c r="F3468" s="508">
        <v>13.595000000000001</v>
      </c>
      <c r="G3468" s="508">
        <v>12.754</v>
      </c>
      <c r="H3468" s="508">
        <v>12.185</v>
      </c>
      <c r="I3468" s="508">
        <v>11.775</v>
      </c>
      <c r="J3468" s="508">
        <v>8.1539999999999999</v>
      </c>
      <c r="K3468" s="508">
        <v>7.9119999999999999</v>
      </c>
      <c r="L3468" s="508">
        <v>7.7169999999999996</v>
      </c>
      <c r="M3468" s="508">
        <v>7.5570000000000004</v>
      </c>
      <c r="N3468" s="508">
        <v>7.2960000000000003</v>
      </c>
      <c r="O3468" s="508">
        <v>7.1840000000000002</v>
      </c>
      <c r="P3468" s="508">
        <v>7.0880000000000001</v>
      </c>
      <c r="Q3468" s="508">
        <v>7.0039999999999996</v>
      </c>
      <c r="R3468" s="508">
        <v>5.2210000000000001</v>
      </c>
      <c r="S3468" s="508">
        <v>5.1559999999999997</v>
      </c>
      <c r="T3468" s="508">
        <v>4.984</v>
      </c>
      <c r="U3468" s="508">
        <v>4.867</v>
      </c>
      <c r="V3468" s="508">
        <v>4.7779999999999996</v>
      </c>
      <c r="W3468" s="508">
        <v>4.7080000000000002</v>
      </c>
      <c r="X3468" s="508">
        <v>4.6520000000000001</v>
      </c>
      <c r="Y3468" s="508">
        <v>4.423</v>
      </c>
      <c r="Z3468" s="508">
        <v>4.3970000000000002</v>
      </c>
      <c r="AA3468" s="508">
        <v>4.3780000000000001</v>
      </c>
      <c r="AB3468" s="508">
        <v>1.3089999999999999</v>
      </c>
      <c r="AC3468" s="508">
        <v>1.2789999999999999</v>
      </c>
      <c r="AD3468" s="508">
        <v>1.018</v>
      </c>
      <c r="AE3468" s="508">
        <v>1.014</v>
      </c>
      <c r="AF3468" s="508">
        <v>1.006</v>
      </c>
      <c r="AG3468" s="508">
        <v>1.006</v>
      </c>
      <c r="AH3468" s="508">
        <v>1.004</v>
      </c>
      <c r="AI3468" s="492">
        <v>1.004</v>
      </c>
      <c r="AJ3468" s="485"/>
    </row>
    <row r="3469" spans="2:36">
      <c r="B3469" s="136" t="s">
        <v>465</v>
      </c>
      <c r="C3469" s="132" t="s">
        <v>1376</v>
      </c>
      <c r="D3469" s="132" t="s">
        <v>283</v>
      </c>
      <c r="E3469" s="508">
        <v>14.992000000000001</v>
      </c>
      <c r="F3469" s="508">
        <v>13.571999999999999</v>
      </c>
      <c r="G3469" s="508">
        <v>12.7</v>
      </c>
      <c r="H3469" s="508">
        <v>12.11</v>
      </c>
      <c r="I3469" s="508">
        <v>11.683999999999999</v>
      </c>
      <c r="J3469" s="508">
        <v>8.1560000000000006</v>
      </c>
      <c r="K3469" s="508">
        <v>7.9050000000000002</v>
      </c>
      <c r="L3469" s="508">
        <v>7.7030000000000003</v>
      </c>
      <c r="M3469" s="508">
        <v>7.5369999999999999</v>
      </c>
      <c r="N3469" s="508">
        <v>7.2720000000000002</v>
      </c>
      <c r="O3469" s="508">
        <v>7.1559999999999997</v>
      </c>
      <c r="P3469" s="508">
        <v>7.056</v>
      </c>
      <c r="Q3469" s="508">
        <v>6.97</v>
      </c>
      <c r="R3469" s="508">
        <v>5.1760000000000002</v>
      </c>
      <c r="S3469" s="508">
        <v>5.109</v>
      </c>
      <c r="T3469" s="508">
        <v>4.93</v>
      </c>
      <c r="U3469" s="508">
        <v>4.827</v>
      </c>
      <c r="V3469" s="508">
        <v>4.7329999999999997</v>
      </c>
      <c r="W3469" s="508">
        <v>4.66</v>
      </c>
      <c r="X3469" s="508">
        <v>4.601</v>
      </c>
      <c r="Y3469" s="508">
        <v>4.359</v>
      </c>
      <c r="Z3469" s="508">
        <v>4.3330000000000002</v>
      </c>
      <c r="AA3469" s="508">
        <v>4.3129999999999997</v>
      </c>
      <c r="AB3469" s="508">
        <v>1.288</v>
      </c>
      <c r="AC3469" s="508">
        <v>1.2569999999999999</v>
      </c>
      <c r="AD3469" s="508">
        <v>1.002</v>
      </c>
      <c r="AE3469" s="508">
        <v>0.998</v>
      </c>
      <c r="AF3469" s="508">
        <v>0.99</v>
      </c>
      <c r="AG3469" s="508">
        <v>0.99</v>
      </c>
      <c r="AH3469" s="508">
        <v>0.98799999999999999</v>
      </c>
      <c r="AI3469" s="492">
        <v>0.98799999999999999</v>
      </c>
      <c r="AJ3469" s="485"/>
    </row>
    <row r="3470" spans="2:36">
      <c r="B3470" s="136" t="s">
        <v>466</v>
      </c>
      <c r="C3470" s="132" t="s">
        <v>1376</v>
      </c>
      <c r="D3470" s="132" t="s">
        <v>283</v>
      </c>
      <c r="E3470" s="508">
        <v>16.344999999999999</v>
      </c>
      <c r="F3470" s="508">
        <v>14.691000000000001</v>
      </c>
      <c r="G3470" s="508">
        <v>13.675000000000001</v>
      </c>
      <c r="H3470" s="508">
        <v>12.988</v>
      </c>
      <c r="I3470" s="508">
        <v>12.493</v>
      </c>
      <c r="J3470" s="508">
        <v>8.9209999999999994</v>
      </c>
      <c r="K3470" s="508">
        <v>8.6280000000000001</v>
      </c>
      <c r="L3470" s="508">
        <v>8.3919999999999995</v>
      </c>
      <c r="M3470" s="508">
        <v>8.1989999999999998</v>
      </c>
      <c r="N3470" s="508">
        <v>7.9009999999999998</v>
      </c>
      <c r="O3470" s="508">
        <v>7.766</v>
      </c>
      <c r="P3470" s="508">
        <v>7.649</v>
      </c>
      <c r="Q3470" s="508">
        <v>7.5490000000000004</v>
      </c>
      <c r="R3470" s="508">
        <v>5.5529999999999999</v>
      </c>
      <c r="S3470" s="508">
        <v>5.4749999999999996</v>
      </c>
      <c r="T3470" s="508">
        <v>5.266</v>
      </c>
      <c r="U3470" s="508">
        <v>5.1440000000000001</v>
      </c>
      <c r="V3470" s="508">
        <v>5.0339999999999998</v>
      </c>
      <c r="W3470" s="508">
        <v>4.9489999999999998</v>
      </c>
      <c r="X3470" s="508">
        <v>4.8810000000000002</v>
      </c>
      <c r="Y3470" s="508">
        <v>4.5960000000000001</v>
      </c>
      <c r="Z3470" s="508">
        <v>4.5670000000000002</v>
      </c>
      <c r="AA3470" s="508">
        <v>4.5439999999999996</v>
      </c>
      <c r="AB3470" s="508">
        <v>1.3520000000000001</v>
      </c>
      <c r="AC3470" s="508">
        <v>1.3160000000000001</v>
      </c>
      <c r="AD3470" s="508">
        <v>1.0549999999999999</v>
      </c>
      <c r="AE3470" s="508">
        <v>1.05</v>
      </c>
      <c r="AF3470" s="508">
        <v>1.0409999999999999</v>
      </c>
      <c r="AG3470" s="508">
        <v>1.0409999999999999</v>
      </c>
      <c r="AH3470" s="508">
        <v>1.0389999999999999</v>
      </c>
      <c r="AI3470" s="492">
        <v>1.0389999999999999</v>
      </c>
      <c r="AJ3470" s="485"/>
    </row>
    <row r="3471" spans="2:36">
      <c r="B3471" s="136" t="s">
        <v>467</v>
      </c>
      <c r="C3471" s="132" t="s">
        <v>1376</v>
      </c>
      <c r="D3471" s="132" t="s">
        <v>283</v>
      </c>
      <c r="E3471" s="508">
        <v>15.651999999999999</v>
      </c>
      <c r="F3471" s="508">
        <v>14.106</v>
      </c>
      <c r="G3471" s="508">
        <v>13.156000000000001</v>
      </c>
      <c r="H3471" s="508">
        <v>12.513999999999999</v>
      </c>
      <c r="I3471" s="508">
        <v>12.051</v>
      </c>
      <c r="J3471" s="508">
        <v>8.4730000000000008</v>
      </c>
      <c r="K3471" s="508">
        <v>8.1989999999999998</v>
      </c>
      <c r="L3471" s="508">
        <v>7.9790000000000001</v>
      </c>
      <c r="M3471" s="508">
        <v>7.798</v>
      </c>
      <c r="N3471" s="508">
        <v>7.5170000000000003</v>
      </c>
      <c r="O3471" s="508">
        <v>7.39</v>
      </c>
      <c r="P3471" s="508">
        <v>7.282</v>
      </c>
      <c r="Q3471" s="508">
        <v>7.1879999999999997</v>
      </c>
      <c r="R3471" s="508">
        <v>5.3620000000000001</v>
      </c>
      <c r="S3471" s="508">
        <v>5.2889999999999997</v>
      </c>
      <c r="T3471" s="508">
        <v>5.0940000000000003</v>
      </c>
      <c r="U3471" s="508">
        <v>4.8970000000000002</v>
      </c>
      <c r="V3471" s="508">
        <v>4.8</v>
      </c>
      <c r="W3471" s="508">
        <v>4.7229999999999999</v>
      </c>
      <c r="X3471" s="508">
        <v>4.6619999999999999</v>
      </c>
      <c r="Y3471" s="508">
        <v>4.4109999999999996</v>
      </c>
      <c r="Z3471" s="508">
        <v>4.383</v>
      </c>
      <c r="AA3471" s="508">
        <v>4.3620000000000001</v>
      </c>
      <c r="AB3471" s="508">
        <v>1.3029999999999999</v>
      </c>
      <c r="AC3471" s="508">
        <v>1.2709999999999999</v>
      </c>
      <c r="AD3471" s="508">
        <v>1.0129999999999999</v>
      </c>
      <c r="AE3471" s="508">
        <v>1.0089999999999999</v>
      </c>
      <c r="AF3471" s="508">
        <v>1.0009999999999999</v>
      </c>
      <c r="AG3471" s="508">
        <v>1.0009999999999999</v>
      </c>
      <c r="AH3471" s="508">
        <v>0.999</v>
      </c>
      <c r="AI3471" s="492">
        <v>0.999</v>
      </c>
      <c r="AJ3471" s="485"/>
    </row>
    <row r="3472" spans="2:36">
      <c r="B3472" s="136" t="s">
        <v>468</v>
      </c>
      <c r="C3472" s="132" t="s">
        <v>1376</v>
      </c>
      <c r="D3472" s="132" t="s">
        <v>283</v>
      </c>
      <c r="E3472" s="508">
        <v>14.446</v>
      </c>
      <c r="F3472" s="508">
        <v>13.135</v>
      </c>
      <c r="G3472" s="508">
        <v>12.33</v>
      </c>
      <c r="H3472" s="508">
        <v>11.786</v>
      </c>
      <c r="I3472" s="508">
        <v>11.393000000000001</v>
      </c>
      <c r="J3472" s="508">
        <v>7.8979999999999997</v>
      </c>
      <c r="K3472" s="508">
        <v>7.6660000000000004</v>
      </c>
      <c r="L3472" s="508">
        <v>7.48</v>
      </c>
      <c r="M3472" s="508">
        <v>7.3259999999999996</v>
      </c>
      <c r="N3472" s="508">
        <v>7.0750000000000002</v>
      </c>
      <c r="O3472" s="508">
        <v>6.968</v>
      </c>
      <c r="P3472" s="508">
        <v>6.8760000000000003</v>
      </c>
      <c r="Q3472" s="508">
        <v>6.7960000000000003</v>
      </c>
      <c r="R3472" s="508">
        <v>5.032</v>
      </c>
      <c r="S3472" s="508">
        <v>4.9710000000000001</v>
      </c>
      <c r="T3472" s="508">
        <v>4.8049999999999997</v>
      </c>
      <c r="U3472" s="508">
        <v>4.665</v>
      </c>
      <c r="V3472" s="508">
        <v>4.5810000000000004</v>
      </c>
      <c r="W3472" s="508">
        <v>4.516</v>
      </c>
      <c r="X3472" s="508">
        <v>4.4640000000000004</v>
      </c>
      <c r="Y3472" s="508">
        <v>4.2489999999999997</v>
      </c>
      <c r="Z3472" s="508">
        <v>4.226</v>
      </c>
      <c r="AA3472" s="508">
        <v>4.2080000000000002</v>
      </c>
      <c r="AB3472" s="508">
        <v>1.256</v>
      </c>
      <c r="AC3472" s="508">
        <v>1.2290000000000001</v>
      </c>
      <c r="AD3472" s="508">
        <v>0.98</v>
      </c>
      <c r="AE3472" s="508">
        <v>0.97599999999999998</v>
      </c>
      <c r="AF3472" s="508">
        <v>0.97</v>
      </c>
      <c r="AG3472" s="508">
        <v>0.97</v>
      </c>
      <c r="AH3472" s="508">
        <v>0.96799999999999997</v>
      </c>
      <c r="AI3472" s="492">
        <v>0.96799999999999997</v>
      </c>
      <c r="AJ3472" s="485"/>
    </row>
    <row r="3473" spans="2:36">
      <c r="B3473" s="136" t="s">
        <v>469</v>
      </c>
      <c r="C3473" s="132" t="s">
        <v>1376</v>
      </c>
      <c r="D3473" s="132" t="s">
        <v>283</v>
      </c>
      <c r="E3473" s="508">
        <v>15.209</v>
      </c>
      <c r="F3473" s="508">
        <v>13.773999999999999</v>
      </c>
      <c r="G3473" s="508">
        <v>12.891999999999999</v>
      </c>
      <c r="H3473" s="508">
        <v>12.295999999999999</v>
      </c>
      <c r="I3473" s="508">
        <v>11.866</v>
      </c>
      <c r="J3473" s="508">
        <v>8.2899999999999991</v>
      </c>
      <c r="K3473" s="508">
        <v>8.0359999999999996</v>
      </c>
      <c r="L3473" s="508">
        <v>7.8319999999999999</v>
      </c>
      <c r="M3473" s="508">
        <v>7.6639999999999997</v>
      </c>
      <c r="N3473" s="508">
        <v>7.3949999999999996</v>
      </c>
      <c r="O3473" s="508">
        <v>7.2779999999999996</v>
      </c>
      <c r="P3473" s="508">
        <v>7.1769999999999996</v>
      </c>
      <c r="Q3473" s="508">
        <v>7.09</v>
      </c>
      <c r="R3473" s="508">
        <v>5.2640000000000002</v>
      </c>
      <c r="S3473" s="508">
        <v>5.1959999999999997</v>
      </c>
      <c r="T3473" s="508">
        <v>5.0149999999999997</v>
      </c>
      <c r="U3473" s="508">
        <v>4.9109999999999996</v>
      </c>
      <c r="V3473" s="508">
        <v>4.8159999999999998</v>
      </c>
      <c r="W3473" s="508">
        <v>4.742</v>
      </c>
      <c r="X3473" s="508">
        <v>4.6829999999999998</v>
      </c>
      <c r="Y3473" s="508">
        <v>4.4370000000000003</v>
      </c>
      <c r="Z3473" s="508">
        <v>4.4109999999999996</v>
      </c>
      <c r="AA3473" s="508">
        <v>4.391</v>
      </c>
      <c r="AB3473" s="508">
        <v>1.3089999999999999</v>
      </c>
      <c r="AC3473" s="508">
        <v>1.278</v>
      </c>
      <c r="AD3473" s="508">
        <v>1.0189999999999999</v>
      </c>
      <c r="AE3473" s="508">
        <v>1.0149999999999999</v>
      </c>
      <c r="AF3473" s="508">
        <v>1.0069999999999999</v>
      </c>
      <c r="AG3473" s="508">
        <v>1.0069999999999999</v>
      </c>
      <c r="AH3473" s="508">
        <v>1.0049999999999999</v>
      </c>
      <c r="AI3473" s="492">
        <v>1.0049999999999999</v>
      </c>
      <c r="AJ3473" s="485"/>
    </row>
    <row r="3474" spans="2:36">
      <c r="B3474" s="136" t="s">
        <v>470</v>
      </c>
      <c r="C3474" s="132" t="s">
        <v>1376</v>
      </c>
      <c r="D3474" s="132" t="s">
        <v>283</v>
      </c>
      <c r="E3474" s="508">
        <v>16.239000000000001</v>
      </c>
      <c r="F3474" s="508">
        <v>14.564</v>
      </c>
      <c r="G3474" s="508">
        <v>13.535</v>
      </c>
      <c r="H3474" s="508">
        <v>12.84</v>
      </c>
      <c r="I3474" s="508">
        <v>12.337999999999999</v>
      </c>
      <c r="J3474" s="508">
        <v>8.7859999999999996</v>
      </c>
      <c r="K3474" s="508">
        <v>8.4890000000000008</v>
      </c>
      <c r="L3474" s="508">
        <v>8.2509999999999994</v>
      </c>
      <c r="M3474" s="508">
        <v>8.0549999999999997</v>
      </c>
      <c r="N3474" s="508">
        <v>7.7569999999999997</v>
      </c>
      <c r="O3474" s="508">
        <v>7.62</v>
      </c>
      <c r="P3474" s="508">
        <v>7.5030000000000001</v>
      </c>
      <c r="Q3474" s="508">
        <v>7.4009999999999998</v>
      </c>
      <c r="R3474" s="508">
        <v>5.4880000000000004</v>
      </c>
      <c r="S3474" s="508">
        <v>5.4089999999999998</v>
      </c>
      <c r="T3474" s="508">
        <v>5.1970000000000001</v>
      </c>
      <c r="U3474" s="508">
        <v>4.9649999999999999</v>
      </c>
      <c r="V3474" s="508">
        <v>4.859</v>
      </c>
      <c r="W3474" s="508">
        <v>4.7770000000000001</v>
      </c>
      <c r="X3474" s="508">
        <v>4.7110000000000003</v>
      </c>
      <c r="Y3474" s="508">
        <v>4.4390000000000001</v>
      </c>
      <c r="Z3474" s="508">
        <v>4.4089999999999998</v>
      </c>
      <c r="AA3474" s="508">
        <v>4.3860000000000001</v>
      </c>
      <c r="AB3474" s="508">
        <v>1.3089999999999999</v>
      </c>
      <c r="AC3474" s="508">
        <v>1.274</v>
      </c>
      <c r="AD3474" s="508">
        <v>1.02</v>
      </c>
      <c r="AE3474" s="508">
        <v>1.0149999999999999</v>
      </c>
      <c r="AF3474" s="508">
        <v>1.006</v>
      </c>
      <c r="AG3474" s="508">
        <v>1.006</v>
      </c>
      <c r="AH3474" s="508">
        <v>1.004</v>
      </c>
      <c r="AI3474" s="492">
        <v>1.004</v>
      </c>
      <c r="AJ3474" s="485"/>
    </row>
    <row r="3475" spans="2:36">
      <c r="B3475" s="136" t="s">
        <v>471</v>
      </c>
      <c r="C3475" s="132" t="s">
        <v>1376</v>
      </c>
      <c r="D3475" s="132" t="s">
        <v>283</v>
      </c>
      <c r="E3475" s="508">
        <v>15.467000000000001</v>
      </c>
      <c r="F3475" s="508">
        <v>13.86</v>
      </c>
      <c r="G3475" s="508">
        <v>12.874000000000001</v>
      </c>
      <c r="H3475" s="508">
        <v>12.206</v>
      </c>
      <c r="I3475" s="508">
        <v>11.724</v>
      </c>
      <c r="J3475" s="508">
        <v>8.3190000000000008</v>
      </c>
      <c r="K3475" s="508">
        <v>8.0350000000000001</v>
      </c>
      <c r="L3475" s="508">
        <v>7.806</v>
      </c>
      <c r="M3475" s="508">
        <v>7.6180000000000003</v>
      </c>
      <c r="N3475" s="508">
        <v>7.335</v>
      </c>
      <c r="O3475" s="508">
        <v>7.2030000000000003</v>
      </c>
      <c r="P3475" s="508">
        <v>7.09</v>
      </c>
      <c r="Q3475" s="508">
        <v>6.9930000000000003</v>
      </c>
      <c r="R3475" s="508">
        <v>5.2190000000000003</v>
      </c>
      <c r="S3475" s="508">
        <v>5.1440000000000001</v>
      </c>
      <c r="T3475" s="508">
        <v>4.9409999999999998</v>
      </c>
      <c r="U3475" s="508">
        <v>4.6719999999999997</v>
      </c>
      <c r="V3475" s="508">
        <v>4.5720000000000001</v>
      </c>
      <c r="W3475" s="508">
        <v>4.4930000000000003</v>
      </c>
      <c r="X3475" s="508">
        <v>4.43</v>
      </c>
      <c r="Y3475" s="508">
        <v>4.1689999999999996</v>
      </c>
      <c r="Z3475" s="508">
        <v>4.1420000000000003</v>
      </c>
      <c r="AA3475" s="508">
        <v>4.1210000000000004</v>
      </c>
      <c r="AB3475" s="508">
        <v>1.2270000000000001</v>
      </c>
      <c r="AC3475" s="508">
        <v>1.194</v>
      </c>
      <c r="AD3475" s="508">
        <v>0.95299999999999996</v>
      </c>
      <c r="AE3475" s="508">
        <v>0.94799999999999995</v>
      </c>
      <c r="AF3475" s="508">
        <v>0.94</v>
      </c>
      <c r="AG3475" s="508">
        <v>0.94</v>
      </c>
      <c r="AH3475" s="508">
        <v>0.93799999999999994</v>
      </c>
      <c r="AI3475" s="492">
        <v>0.93799999999999994</v>
      </c>
      <c r="AJ3475" s="485"/>
    </row>
    <row r="3476" spans="2:36">
      <c r="B3476" s="136" t="s">
        <v>472</v>
      </c>
      <c r="C3476" s="132" t="s">
        <v>1376</v>
      </c>
      <c r="D3476" s="132" t="s">
        <v>283</v>
      </c>
      <c r="E3476" s="508">
        <v>15.105</v>
      </c>
      <c r="F3476" s="508">
        <v>13.705</v>
      </c>
      <c r="G3476" s="508">
        <v>12.846</v>
      </c>
      <c r="H3476" s="508">
        <v>12.263999999999999</v>
      </c>
      <c r="I3476" s="508">
        <v>11.845000000000001</v>
      </c>
      <c r="J3476" s="508">
        <v>8.2100000000000009</v>
      </c>
      <c r="K3476" s="508">
        <v>7.9619999999999997</v>
      </c>
      <c r="L3476" s="508">
        <v>7.7629999999999999</v>
      </c>
      <c r="M3476" s="508">
        <v>7.5990000000000002</v>
      </c>
      <c r="N3476" s="508">
        <v>7.335</v>
      </c>
      <c r="O3476" s="508">
        <v>7.2210000000000001</v>
      </c>
      <c r="P3476" s="508">
        <v>7.1219999999999999</v>
      </c>
      <c r="Q3476" s="508">
        <v>7.0369999999999999</v>
      </c>
      <c r="R3476" s="508">
        <v>5.2590000000000003</v>
      </c>
      <c r="S3476" s="508">
        <v>5.1929999999999996</v>
      </c>
      <c r="T3476" s="508">
        <v>5.0170000000000003</v>
      </c>
      <c r="U3476" s="508">
        <v>4.782</v>
      </c>
      <c r="V3476" s="508">
        <v>4.6959999999999997</v>
      </c>
      <c r="W3476" s="508">
        <v>4.6289999999999996</v>
      </c>
      <c r="X3476" s="508">
        <v>4.5750000000000002</v>
      </c>
      <c r="Y3476" s="508">
        <v>4.3540000000000001</v>
      </c>
      <c r="Z3476" s="508">
        <v>4.3289999999999997</v>
      </c>
      <c r="AA3476" s="508">
        <v>4.3099999999999996</v>
      </c>
      <c r="AB3476" s="508">
        <v>1.2889999999999999</v>
      </c>
      <c r="AC3476" s="508">
        <v>1.2609999999999999</v>
      </c>
      <c r="AD3476" s="508">
        <v>1.0029999999999999</v>
      </c>
      <c r="AE3476" s="508">
        <v>0.999</v>
      </c>
      <c r="AF3476" s="508">
        <v>0.99199999999999999</v>
      </c>
      <c r="AG3476" s="508">
        <v>0.99199999999999999</v>
      </c>
      <c r="AH3476" s="508">
        <v>0.98899999999999999</v>
      </c>
      <c r="AI3476" s="492">
        <v>0.98899999999999999</v>
      </c>
      <c r="AJ3476" s="485"/>
    </row>
    <row r="3477" spans="2:36">
      <c r="B3477" s="136" t="s">
        <v>473</v>
      </c>
      <c r="C3477" s="132" t="s">
        <v>1376</v>
      </c>
      <c r="D3477" s="132" t="s">
        <v>283</v>
      </c>
      <c r="E3477" s="508">
        <v>15.959</v>
      </c>
      <c r="F3477" s="508">
        <v>14.307</v>
      </c>
      <c r="G3477" s="508">
        <v>13.292</v>
      </c>
      <c r="H3477" s="508">
        <v>12.606</v>
      </c>
      <c r="I3477" s="508">
        <v>12.11</v>
      </c>
      <c r="J3477" s="508">
        <v>8.6300000000000008</v>
      </c>
      <c r="K3477" s="508">
        <v>8.3369999999999997</v>
      </c>
      <c r="L3477" s="508">
        <v>8.1020000000000003</v>
      </c>
      <c r="M3477" s="508">
        <v>7.9089999999999998</v>
      </c>
      <c r="N3477" s="508">
        <v>7.6159999999999997</v>
      </c>
      <c r="O3477" s="508">
        <v>7.4809999999999999</v>
      </c>
      <c r="P3477" s="508">
        <v>7.3650000000000002</v>
      </c>
      <c r="Q3477" s="508">
        <v>7.2640000000000002</v>
      </c>
      <c r="R3477" s="508">
        <v>5.3890000000000002</v>
      </c>
      <c r="S3477" s="508">
        <v>5.3109999999999999</v>
      </c>
      <c r="T3477" s="508">
        <v>5.1029999999999998</v>
      </c>
      <c r="U3477" s="508">
        <v>4.9139999999999997</v>
      </c>
      <c r="V3477" s="508">
        <v>4.8079999999999998</v>
      </c>
      <c r="W3477" s="508">
        <v>4.726</v>
      </c>
      <c r="X3477" s="508">
        <v>4.66</v>
      </c>
      <c r="Y3477" s="508">
        <v>4.3869999999999996</v>
      </c>
      <c r="Z3477" s="508">
        <v>4.3579999999999997</v>
      </c>
      <c r="AA3477" s="508">
        <v>4.335</v>
      </c>
      <c r="AB3477" s="508">
        <v>1.2929999999999999</v>
      </c>
      <c r="AC3477" s="508">
        <v>1.258</v>
      </c>
      <c r="AD3477" s="508">
        <v>1.006</v>
      </c>
      <c r="AE3477" s="508">
        <v>1.002</v>
      </c>
      <c r="AF3477" s="508">
        <v>0.99299999999999999</v>
      </c>
      <c r="AG3477" s="508">
        <v>0.99299999999999999</v>
      </c>
      <c r="AH3477" s="508">
        <v>0.99099999999999999</v>
      </c>
      <c r="AI3477" s="492">
        <v>0.99099999999999999</v>
      </c>
      <c r="AJ3477" s="485"/>
    </row>
    <row r="3478" spans="2:36">
      <c r="B3478" s="136" t="s">
        <v>474</v>
      </c>
      <c r="C3478" s="132" t="s">
        <v>1376</v>
      </c>
      <c r="D3478" s="132" t="s">
        <v>283</v>
      </c>
      <c r="E3478" s="508">
        <v>14.993</v>
      </c>
      <c r="F3478" s="508">
        <v>13.47</v>
      </c>
      <c r="G3478" s="508">
        <v>12.534000000000001</v>
      </c>
      <c r="H3478" s="508">
        <v>11.901</v>
      </c>
      <c r="I3478" s="508">
        <v>11.444000000000001</v>
      </c>
      <c r="J3478" s="508">
        <v>8.0879999999999992</v>
      </c>
      <c r="K3478" s="508">
        <v>7.8179999999999996</v>
      </c>
      <c r="L3478" s="508">
        <v>7.601</v>
      </c>
      <c r="M3478" s="508">
        <v>7.423</v>
      </c>
      <c r="N3478" s="508">
        <v>7.15</v>
      </c>
      <c r="O3478" s="508">
        <v>7.0259999999999998</v>
      </c>
      <c r="P3478" s="508">
        <v>6.9189999999999996</v>
      </c>
      <c r="Q3478" s="508">
        <v>6.8259999999999996</v>
      </c>
      <c r="R3478" s="508">
        <v>5.0869999999999997</v>
      </c>
      <c r="S3478" s="508">
        <v>5.0149999999999997</v>
      </c>
      <c r="T3478" s="508">
        <v>4.8230000000000004</v>
      </c>
      <c r="U3478" s="508">
        <v>4.7060000000000004</v>
      </c>
      <c r="V3478" s="508">
        <v>4.6050000000000004</v>
      </c>
      <c r="W3478" s="508">
        <v>4.5270000000000001</v>
      </c>
      <c r="X3478" s="508">
        <v>4.4640000000000004</v>
      </c>
      <c r="Y3478" s="508">
        <v>4.202</v>
      </c>
      <c r="Z3478" s="508">
        <v>4.1760000000000002</v>
      </c>
      <c r="AA3478" s="508">
        <v>4.1539999999999999</v>
      </c>
      <c r="AB3478" s="508">
        <v>1.2370000000000001</v>
      </c>
      <c r="AC3478" s="508">
        <v>1.204</v>
      </c>
      <c r="AD3478" s="508">
        <v>0.96</v>
      </c>
      <c r="AE3478" s="508">
        <v>0.95599999999999996</v>
      </c>
      <c r="AF3478" s="508">
        <v>0.94799999999999995</v>
      </c>
      <c r="AG3478" s="508">
        <v>0.94799999999999995</v>
      </c>
      <c r="AH3478" s="508">
        <v>0.94599999999999995</v>
      </c>
      <c r="AI3478" s="492">
        <v>0.94599999999999995</v>
      </c>
      <c r="AJ3478" s="485"/>
    </row>
    <row r="3479" spans="2:36">
      <c r="B3479" s="136" t="s">
        <v>475</v>
      </c>
      <c r="C3479" s="132" t="s">
        <v>1376</v>
      </c>
      <c r="D3479" s="132" t="s">
        <v>283</v>
      </c>
      <c r="E3479" s="508">
        <v>15.257</v>
      </c>
      <c r="F3479" s="508">
        <v>13.75</v>
      </c>
      <c r="G3479" s="508">
        <v>12.824</v>
      </c>
      <c r="H3479" s="508">
        <v>12.198</v>
      </c>
      <c r="I3479" s="508">
        <v>11.746</v>
      </c>
      <c r="J3479" s="508">
        <v>8.2550000000000008</v>
      </c>
      <c r="K3479" s="508">
        <v>7.9880000000000004</v>
      </c>
      <c r="L3479" s="508">
        <v>7.7729999999999997</v>
      </c>
      <c r="M3479" s="508">
        <v>7.5970000000000004</v>
      </c>
      <c r="N3479" s="508">
        <v>7.3230000000000004</v>
      </c>
      <c r="O3479" s="508">
        <v>7.2</v>
      </c>
      <c r="P3479" s="508">
        <v>7.0940000000000003</v>
      </c>
      <c r="Q3479" s="508">
        <v>7.0019999999999998</v>
      </c>
      <c r="R3479" s="508">
        <v>5.2210000000000001</v>
      </c>
      <c r="S3479" s="508">
        <v>5.15</v>
      </c>
      <c r="T3479" s="508">
        <v>4.9589999999999996</v>
      </c>
      <c r="U3479" s="508">
        <v>4.8369999999999997</v>
      </c>
      <c r="V3479" s="508">
        <v>4.7389999999999999</v>
      </c>
      <c r="W3479" s="508">
        <v>4.6609999999999996</v>
      </c>
      <c r="X3479" s="508">
        <v>4.5999999999999996</v>
      </c>
      <c r="Y3479" s="508">
        <v>4.3449999999999998</v>
      </c>
      <c r="Z3479" s="508">
        <v>4.3170000000000002</v>
      </c>
      <c r="AA3479" s="508">
        <v>4.2960000000000003</v>
      </c>
      <c r="AB3479" s="508">
        <v>1.282</v>
      </c>
      <c r="AC3479" s="508">
        <v>1.2490000000000001</v>
      </c>
      <c r="AD3479" s="508">
        <v>0.996</v>
      </c>
      <c r="AE3479" s="508">
        <v>0.99199999999999999</v>
      </c>
      <c r="AF3479" s="508">
        <v>0.98399999999999999</v>
      </c>
      <c r="AG3479" s="508">
        <v>0.98399999999999999</v>
      </c>
      <c r="AH3479" s="508">
        <v>0.98199999999999998</v>
      </c>
      <c r="AI3479" s="492">
        <v>0.98199999999999998</v>
      </c>
      <c r="AJ3479" s="485"/>
    </row>
    <row r="3480" spans="2:36">
      <c r="B3480" s="136" t="s">
        <v>476</v>
      </c>
      <c r="C3480" s="132" t="s">
        <v>1376</v>
      </c>
      <c r="D3480" s="132" t="s">
        <v>283</v>
      </c>
      <c r="E3480" s="508">
        <v>15.79</v>
      </c>
      <c r="F3480" s="508">
        <v>14.199</v>
      </c>
      <c r="G3480" s="508">
        <v>13.222</v>
      </c>
      <c r="H3480" s="508">
        <v>12.561</v>
      </c>
      <c r="I3480" s="508">
        <v>12.084</v>
      </c>
      <c r="J3480" s="508">
        <v>8.5649999999999995</v>
      </c>
      <c r="K3480" s="508">
        <v>8.2829999999999995</v>
      </c>
      <c r="L3480" s="508">
        <v>8.0559999999999992</v>
      </c>
      <c r="M3480" s="508">
        <v>7.87</v>
      </c>
      <c r="N3480" s="508">
        <v>7.5839999999999996</v>
      </c>
      <c r="O3480" s="508">
        <v>7.4539999999999997</v>
      </c>
      <c r="P3480" s="508">
        <v>7.3419999999999996</v>
      </c>
      <c r="Q3480" s="508">
        <v>7.2450000000000001</v>
      </c>
      <c r="R3480" s="508">
        <v>5.3659999999999997</v>
      </c>
      <c r="S3480" s="508">
        <v>5.2910000000000004</v>
      </c>
      <c r="T3480" s="508">
        <v>5.09</v>
      </c>
      <c r="U3480" s="508">
        <v>4.8719999999999999</v>
      </c>
      <c r="V3480" s="508">
        <v>4.7720000000000002</v>
      </c>
      <c r="W3480" s="508">
        <v>4.6929999999999996</v>
      </c>
      <c r="X3480" s="508">
        <v>4.63</v>
      </c>
      <c r="Y3480" s="508">
        <v>4.3710000000000004</v>
      </c>
      <c r="Z3480" s="508">
        <v>4.3419999999999996</v>
      </c>
      <c r="AA3480" s="508">
        <v>4.3209999999999997</v>
      </c>
      <c r="AB3480" s="508">
        <v>1.2889999999999999</v>
      </c>
      <c r="AC3480" s="508">
        <v>1.256</v>
      </c>
      <c r="AD3480" s="508">
        <v>1.0049999999999999</v>
      </c>
      <c r="AE3480" s="508">
        <v>1</v>
      </c>
      <c r="AF3480" s="508">
        <v>0.99199999999999999</v>
      </c>
      <c r="AG3480" s="508">
        <v>0.99199999999999999</v>
      </c>
      <c r="AH3480" s="508">
        <v>0.99</v>
      </c>
      <c r="AI3480" s="492">
        <v>0.99</v>
      </c>
      <c r="AJ3480" s="485"/>
    </row>
    <row r="3481" spans="2:36">
      <c r="B3481" s="136" t="s">
        <v>478</v>
      </c>
      <c r="C3481" s="132" t="s">
        <v>1376</v>
      </c>
      <c r="D3481" s="132" t="s">
        <v>283</v>
      </c>
      <c r="E3481" s="508">
        <v>16.341000000000001</v>
      </c>
      <c r="F3481" s="508">
        <v>14.646000000000001</v>
      </c>
      <c r="G3481" s="508">
        <v>13.605</v>
      </c>
      <c r="H3481" s="508">
        <v>12.901</v>
      </c>
      <c r="I3481" s="508">
        <v>12.393000000000001</v>
      </c>
      <c r="J3481" s="508">
        <v>8.859</v>
      </c>
      <c r="K3481" s="508">
        <v>8.5579999999999998</v>
      </c>
      <c r="L3481" s="508">
        <v>8.3170000000000002</v>
      </c>
      <c r="M3481" s="508">
        <v>8.1189999999999998</v>
      </c>
      <c r="N3481" s="508">
        <v>7.8179999999999996</v>
      </c>
      <c r="O3481" s="508">
        <v>7.68</v>
      </c>
      <c r="P3481" s="508">
        <v>7.5609999999999999</v>
      </c>
      <c r="Q3481" s="508">
        <v>7.4580000000000002</v>
      </c>
      <c r="R3481" s="508">
        <v>5.5039999999999996</v>
      </c>
      <c r="S3481" s="508">
        <v>5.4240000000000004</v>
      </c>
      <c r="T3481" s="508">
        <v>5.21</v>
      </c>
      <c r="U3481" s="508">
        <v>5.0220000000000002</v>
      </c>
      <c r="V3481" s="508">
        <v>4.9139999999999997</v>
      </c>
      <c r="W3481" s="508">
        <v>4.83</v>
      </c>
      <c r="X3481" s="508">
        <v>4.7629999999999999</v>
      </c>
      <c r="Y3481" s="508">
        <v>4.4850000000000003</v>
      </c>
      <c r="Z3481" s="508">
        <v>4.4550000000000001</v>
      </c>
      <c r="AA3481" s="508">
        <v>4.4320000000000004</v>
      </c>
      <c r="AB3481" s="508">
        <v>1.3220000000000001</v>
      </c>
      <c r="AC3481" s="508">
        <v>1.2869999999999999</v>
      </c>
      <c r="AD3481" s="508">
        <v>1.0329999999999999</v>
      </c>
      <c r="AE3481" s="508">
        <v>1.028</v>
      </c>
      <c r="AF3481" s="508">
        <v>1.0189999999999999</v>
      </c>
      <c r="AG3481" s="508">
        <v>1.0189999999999999</v>
      </c>
      <c r="AH3481" s="508">
        <v>1.0169999999999999</v>
      </c>
      <c r="AI3481" s="492">
        <v>1.0169999999999999</v>
      </c>
      <c r="AJ3481" s="485"/>
    </row>
    <row r="3482" spans="2:36">
      <c r="B3482" s="136" t="s">
        <v>479</v>
      </c>
      <c r="C3482" s="132" t="s">
        <v>1376</v>
      </c>
      <c r="D3482" s="132" t="s">
        <v>283</v>
      </c>
      <c r="E3482" s="508">
        <v>14.842000000000001</v>
      </c>
      <c r="F3482" s="508">
        <v>13.343</v>
      </c>
      <c r="G3482" s="508">
        <v>12.423</v>
      </c>
      <c r="H3482" s="508">
        <v>11.801</v>
      </c>
      <c r="I3482" s="508">
        <v>11.351000000000001</v>
      </c>
      <c r="J3482" s="508">
        <v>8.0109999999999992</v>
      </c>
      <c r="K3482" s="508">
        <v>7.7450000000000001</v>
      </c>
      <c r="L3482" s="508">
        <v>7.532</v>
      </c>
      <c r="M3482" s="508">
        <v>7.3570000000000002</v>
      </c>
      <c r="N3482" s="508">
        <v>7.0880000000000001</v>
      </c>
      <c r="O3482" s="508">
        <v>6.9660000000000002</v>
      </c>
      <c r="P3482" s="508">
        <v>6.86</v>
      </c>
      <c r="Q3482" s="508">
        <v>6.7690000000000001</v>
      </c>
      <c r="R3482" s="508">
        <v>5.0359999999999996</v>
      </c>
      <c r="S3482" s="508">
        <v>4.9649999999999999</v>
      </c>
      <c r="T3482" s="508">
        <v>4.7759999999999998</v>
      </c>
      <c r="U3482" s="508">
        <v>4.5179999999999998</v>
      </c>
      <c r="V3482" s="508">
        <v>4.4249999999999998</v>
      </c>
      <c r="W3482" s="508">
        <v>4.3520000000000003</v>
      </c>
      <c r="X3482" s="508">
        <v>4.2930000000000001</v>
      </c>
      <c r="Y3482" s="508">
        <v>4.0490000000000004</v>
      </c>
      <c r="Z3482" s="508">
        <v>4.0250000000000004</v>
      </c>
      <c r="AA3482" s="508">
        <v>4.0049999999999999</v>
      </c>
      <c r="AB3482" s="508">
        <v>1.1919999999999999</v>
      </c>
      <c r="AC3482" s="508">
        <v>1.161</v>
      </c>
      <c r="AD3482" s="508">
        <v>0.92700000000000005</v>
      </c>
      <c r="AE3482" s="508">
        <v>0.92200000000000004</v>
      </c>
      <c r="AF3482" s="508">
        <v>0.91500000000000004</v>
      </c>
      <c r="AG3482" s="508">
        <v>0.91500000000000004</v>
      </c>
      <c r="AH3482" s="508">
        <v>0.91300000000000003</v>
      </c>
      <c r="AI3482" s="492">
        <v>0.91300000000000003</v>
      </c>
      <c r="AJ3482" s="485"/>
    </row>
    <row r="3483" spans="2:36">
      <c r="B3483" s="136" t="s">
        <v>480</v>
      </c>
      <c r="C3483" s="132" t="s">
        <v>1376</v>
      </c>
      <c r="D3483" s="132" t="s">
        <v>283</v>
      </c>
      <c r="E3483" s="508">
        <v>14.856</v>
      </c>
      <c r="F3483" s="508">
        <v>13.499000000000001</v>
      </c>
      <c r="G3483" s="508">
        <v>12.664999999999999</v>
      </c>
      <c r="H3483" s="508">
        <v>12.102</v>
      </c>
      <c r="I3483" s="508">
        <v>11.695</v>
      </c>
      <c r="J3483" s="508">
        <v>8.0950000000000006</v>
      </c>
      <c r="K3483" s="508">
        <v>7.8540000000000001</v>
      </c>
      <c r="L3483" s="508">
        <v>7.6609999999999996</v>
      </c>
      <c r="M3483" s="508">
        <v>7.5030000000000001</v>
      </c>
      <c r="N3483" s="508">
        <v>7.2439999999999998</v>
      </c>
      <c r="O3483" s="508">
        <v>7.133</v>
      </c>
      <c r="P3483" s="508">
        <v>7.0380000000000003</v>
      </c>
      <c r="Q3483" s="508">
        <v>6.9550000000000001</v>
      </c>
      <c r="R3483" s="508">
        <v>5.1779999999999999</v>
      </c>
      <c r="S3483" s="508">
        <v>5.1139999999999999</v>
      </c>
      <c r="T3483" s="508">
        <v>4.9429999999999996</v>
      </c>
      <c r="U3483" s="508">
        <v>4.7149999999999999</v>
      </c>
      <c r="V3483" s="508">
        <v>4.6310000000000002</v>
      </c>
      <c r="W3483" s="508">
        <v>4.5659999999999998</v>
      </c>
      <c r="X3483" s="508">
        <v>4.5129999999999999</v>
      </c>
      <c r="Y3483" s="508">
        <v>4.2990000000000004</v>
      </c>
      <c r="Z3483" s="508">
        <v>4.2750000000000004</v>
      </c>
      <c r="AA3483" s="508">
        <v>4.2569999999999997</v>
      </c>
      <c r="AB3483" s="508">
        <v>1.272</v>
      </c>
      <c r="AC3483" s="508">
        <v>1.2450000000000001</v>
      </c>
      <c r="AD3483" s="508">
        <v>0.99099999999999999</v>
      </c>
      <c r="AE3483" s="508">
        <v>0.98699999999999999</v>
      </c>
      <c r="AF3483" s="508">
        <v>0.98</v>
      </c>
      <c r="AG3483" s="508">
        <v>0.98</v>
      </c>
      <c r="AH3483" s="508">
        <v>0.97799999999999998</v>
      </c>
      <c r="AI3483" s="492">
        <v>0.97799999999999998</v>
      </c>
      <c r="AJ3483" s="485"/>
    </row>
    <row r="3484" spans="2:36">
      <c r="B3484" s="136" t="s">
        <v>481</v>
      </c>
      <c r="C3484" s="132" t="s">
        <v>1376</v>
      </c>
      <c r="D3484" s="132" t="s">
        <v>283</v>
      </c>
      <c r="E3484" s="508">
        <v>15.218999999999999</v>
      </c>
      <c r="F3484" s="508">
        <v>13.675000000000001</v>
      </c>
      <c r="G3484" s="508">
        <v>12.727</v>
      </c>
      <c r="H3484" s="508">
        <v>12.086</v>
      </c>
      <c r="I3484" s="508">
        <v>11.622999999999999</v>
      </c>
      <c r="J3484" s="508">
        <v>8.2240000000000002</v>
      </c>
      <c r="K3484" s="508">
        <v>7.9509999999999996</v>
      </c>
      <c r="L3484" s="508">
        <v>7.7309999999999999</v>
      </c>
      <c r="M3484" s="508">
        <v>7.5510000000000002</v>
      </c>
      <c r="N3484" s="508">
        <v>7.274</v>
      </c>
      <c r="O3484" s="508">
        <v>7.1479999999999997</v>
      </c>
      <c r="P3484" s="508">
        <v>7.04</v>
      </c>
      <c r="Q3484" s="508">
        <v>6.9459999999999997</v>
      </c>
      <c r="R3484" s="508">
        <v>5.1589999999999998</v>
      </c>
      <c r="S3484" s="508">
        <v>5.0860000000000003</v>
      </c>
      <c r="T3484" s="508">
        <v>4.891</v>
      </c>
      <c r="U3484" s="508">
        <v>4.68</v>
      </c>
      <c r="V3484" s="508">
        <v>4.5819999999999999</v>
      </c>
      <c r="W3484" s="508">
        <v>4.5060000000000002</v>
      </c>
      <c r="X3484" s="508">
        <v>4.444</v>
      </c>
      <c r="Y3484" s="508">
        <v>4.1900000000000004</v>
      </c>
      <c r="Z3484" s="508">
        <v>4.1639999999999997</v>
      </c>
      <c r="AA3484" s="508">
        <v>4.1429999999999998</v>
      </c>
      <c r="AB3484" s="508">
        <v>1.234</v>
      </c>
      <c r="AC3484" s="508">
        <v>1.202</v>
      </c>
      <c r="AD3484" s="508">
        <v>0.96</v>
      </c>
      <c r="AE3484" s="508">
        <v>0.95599999999999996</v>
      </c>
      <c r="AF3484" s="508">
        <v>0.94799999999999995</v>
      </c>
      <c r="AG3484" s="508">
        <v>0.94799999999999995</v>
      </c>
      <c r="AH3484" s="508">
        <v>0.94599999999999995</v>
      </c>
      <c r="AI3484" s="492">
        <v>0.94599999999999995</v>
      </c>
      <c r="AJ3484" s="485"/>
    </row>
    <row r="3485" spans="2:36">
      <c r="B3485" s="136" t="s">
        <v>482</v>
      </c>
      <c r="C3485" s="132" t="s">
        <v>1376</v>
      </c>
      <c r="D3485" s="132" t="s">
        <v>283</v>
      </c>
      <c r="E3485" s="508">
        <v>14.718</v>
      </c>
      <c r="F3485" s="508">
        <v>13.173</v>
      </c>
      <c r="G3485" s="508">
        <v>12.224</v>
      </c>
      <c r="H3485" s="508">
        <v>11.583</v>
      </c>
      <c r="I3485" s="508">
        <v>11.12</v>
      </c>
      <c r="J3485" s="508">
        <v>7.8959999999999999</v>
      </c>
      <c r="K3485" s="508">
        <v>7.6230000000000002</v>
      </c>
      <c r="L3485" s="508">
        <v>7.4029999999999996</v>
      </c>
      <c r="M3485" s="508">
        <v>7.2220000000000004</v>
      </c>
      <c r="N3485" s="508">
        <v>6.9509999999999996</v>
      </c>
      <c r="O3485" s="508">
        <v>6.8250000000000002</v>
      </c>
      <c r="P3485" s="508">
        <v>6.7169999999999996</v>
      </c>
      <c r="Q3485" s="508">
        <v>6.6230000000000002</v>
      </c>
      <c r="R3485" s="508">
        <v>4.9370000000000003</v>
      </c>
      <c r="S3485" s="508">
        <v>4.8639999999999999</v>
      </c>
      <c r="T3485" s="508">
        <v>4.6689999999999996</v>
      </c>
      <c r="U3485" s="508">
        <v>4.4509999999999996</v>
      </c>
      <c r="V3485" s="508">
        <v>4.3550000000000004</v>
      </c>
      <c r="W3485" s="508">
        <v>4.2789999999999999</v>
      </c>
      <c r="X3485" s="508">
        <v>4.2190000000000003</v>
      </c>
      <c r="Y3485" s="508">
        <v>3.9670000000000001</v>
      </c>
      <c r="Z3485" s="508">
        <v>3.9420000000000002</v>
      </c>
      <c r="AA3485" s="508">
        <v>3.9220000000000002</v>
      </c>
      <c r="AB3485" s="508">
        <v>1.1659999999999999</v>
      </c>
      <c r="AC3485" s="508">
        <v>1.1339999999999999</v>
      </c>
      <c r="AD3485" s="508">
        <v>0.90600000000000003</v>
      </c>
      <c r="AE3485" s="508">
        <v>0.90200000000000002</v>
      </c>
      <c r="AF3485" s="508">
        <v>0.89400000000000002</v>
      </c>
      <c r="AG3485" s="508">
        <v>0.89400000000000002</v>
      </c>
      <c r="AH3485" s="508">
        <v>0.89200000000000002</v>
      </c>
      <c r="AI3485" s="492">
        <v>0.89200000000000002</v>
      </c>
      <c r="AJ3485" s="485"/>
    </row>
    <row r="3486" spans="2:36">
      <c r="B3486" s="136" t="s">
        <v>483</v>
      </c>
      <c r="C3486" s="132" t="s">
        <v>1376</v>
      </c>
      <c r="D3486" s="132" t="s">
        <v>283</v>
      </c>
      <c r="E3486" s="508">
        <v>16.396000000000001</v>
      </c>
      <c r="F3486" s="508">
        <v>14.73</v>
      </c>
      <c r="G3486" s="508">
        <v>13.707000000000001</v>
      </c>
      <c r="H3486" s="508">
        <v>13.016</v>
      </c>
      <c r="I3486" s="508">
        <v>12.516</v>
      </c>
      <c r="J3486" s="508">
        <v>8.9169999999999998</v>
      </c>
      <c r="K3486" s="508">
        <v>8.6219999999999999</v>
      </c>
      <c r="L3486" s="508">
        <v>8.3849999999999998</v>
      </c>
      <c r="M3486" s="508">
        <v>8.1910000000000007</v>
      </c>
      <c r="N3486" s="508">
        <v>7.891</v>
      </c>
      <c r="O3486" s="508">
        <v>7.7549999999999999</v>
      </c>
      <c r="P3486" s="508">
        <v>7.6379999999999999</v>
      </c>
      <c r="Q3486" s="508">
        <v>7.5369999999999999</v>
      </c>
      <c r="R3486" s="508">
        <v>5.5590000000000002</v>
      </c>
      <c r="S3486" s="508">
        <v>5.48</v>
      </c>
      <c r="T3486" s="508">
        <v>5.27</v>
      </c>
      <c r="U3486" s="508">
        <v>5.133</v>
      </c>
      <c r="V3486" s="508">
        <v>5.0229999999999997</v>
      </c>
      <c r="W3486" s="508">
        <v>4.9379999999999997</v>
      </c>
      <c r="X3486" s="508">
        <v>4.87</v>
      </c>
      <c r="Y3486" s="508">
        <v>4.5880000000000001</v>
      </c>
      <c r="Z3486" s="508">
        <v>4.5579999999999998</v>
      </c>
      <c r="AA3486" s="508">
        <v>4.5350000000000001</v>
      </c>
      <c r="AB3486" s="508">
        <v>1.353</v>
      </c>
      <c r="AC3486" s="508">
        <v>1.3169999999999999</v>
      </c>
      <c r="AD3486" s="508">
        <v>1.056</v>
      </c>
      <c r="AE3486" s="508">
        <v>1.0509999999999999</v>
      </c>
      <c r="AF3486" s="508">
        <v>1.042</v>
      </c>
      <c r="AG3486" s="508">
        <v>1.042</v>
      </c>
      <c r="AH3486" s="508">
        <v>1.04</v>
      </c>
      <c r="AI3486" s="492">
        <v>1.04</v>
      </c>
      <c r="AJ3486" s="485"/>
    </row>
    <row r="3487" spans="2:36">
      <c r="B3487" s="136" t="s">
        <v>484</v>
      </c>
      <c r="C3487" s="132" t="s">
        <v>1376</v>
      </c>
      <c r="D3487" s="132" t="s">
        <v>283</v>
      </c>
      <c r="E3487" s="508">
        <v>15.137</v>
      </c>
      <c r="F3487" s="508">
        <v>13.731999999999999</v>
      </c>
      <c r="G3487" s="508">
        <v>12.87</v>
      </c>
      <c r="H3487" s="508">
        <v>12.286</v>
      </c>
      <c r="I3487" s="508">
        <v>11.865</v>
      </c>
      <c r="J3487" s="508">
        <v>8.2230000000000008</v>
      </c>
      <c r="K3487" s="508">
        <v>7.9749999999999996</v>
      </c>
      <c r="L3487" s="508">
        <v>7.7750000000000004</v>
      </c>
      <c r="M3487" s="508">
        <v>7.6109999999999998</v>
      </c>
      <c r="N3487" s="508">
        <v>7.3460000000000001</v>
      </c>
      <c r="O3487" s="508">
        <v>7.2309999999999999</v>
      </c>
      <c r="P3487" s="508">
        <v>7.1319999999999997</v>
      </c>
      <c r="Q3487" s="508">
        <v>7.0469999999999997</v>
      </c>
      <c r="R3487" s="508">
        <v>5.266</v>
      </c>
      <c r="S3487" s="508">
        <v>5.2</v>
      </c>
      <c r="T3487" s="508">
        <v>5.0229999999999997</v>
      </c>
      <c r="U3487" s="508">
        <v>4.7729999999999997</v>
      </c>
      <c r="V3487" s="508">
        <v>4.6849999999999996</v>
      </c>
      <c r="W3487" s="508">
        <v>4.617</v>
      </c>
      <c r="X3487" s="508">
        <v>4.5620000000000003</v>
      </c>
      <c r="Y3487" s="508">
        <v>4.3369999999999997</v>
      </c>
      <c r="Z3487" s="508">
        <v>4.3120000000000003</v>
      </c>
      <c r="AA3487" s="508">
        <v>4.2930000000000001</v>
      </c>
      <c r="AB3487" s="508">
        <v>1.2829999999999999</v>
      </c>
      <c r="AC3487" s="508">
        <v>1.254</v>
      </c>
      <c r="AD3487" s="508">
        <v>0.998</v>
      </c>
      <c r="AE3487" s="508">
        <v>0.99399999999999999</v>
      </c>
      <c r="AF3487" s="508">
        <v>0.98599999999999999</v>
      </c>
      <c r="AG3487" s="508">
        <v>0.98599999999999999</v>
      </c>
      <c r="AH3487" s="508">
        <v>0.98399999999999999</v>
      </c>
      <c r="AI3487" s="492">
        <v>0.98399999999999999</v>
      </c>
      <c r="AJ3487" s="485"/>
    </row>
    <row r="3488" spans="2:36">
      <c r="B3488" s="136" t="s">
        <v>486</v>
      </c>
      <c r="C3488" s="132" t="s">
        <v>1376</v>
      </c>
      <c r="D3488" s="132" t="s">
        <v>283</v>
      </c>
      <c r="E3488" s="508">
        <v>15.43</v>
      </c>
      <c r="F3488" s="508">
        <v>13.868</v>
      </c>
      <c r="G3488" s="508">
        <v>12.909000000000001</v>
      </c>
      <c r="H3488" s="508">
        <v>12.260999999999999</v>
      </c>
      <c r="I3488" s="508">
        <v>11.792999999999999</v>
      </c>
      <c r="J3488" s="508">
        <v>8.3480000000000008</v>
      </c>
      <c r="K3488" s="508">
        <v>8.0709999999999997</v>
      </c>
      <c r="L3488" s="508">
        <v>7.8490000000000002</v>
      </c>
      <c r="M3488" s="508">
        <v>7.6660000000000004</v>
      </c>
      <c r="N3488" s="508">
        <v>7.3860000000000001</v>
      </c>
      <c r="O3488" s="508">
        <v>7.258</v>
      </c>
      <c r="P3488" s="508">
        <v>7.149</v>
      </c>
      <c r="Q3488" s="508">
        <v>7.0540000000000003</v>
      </c>
      <c r="R3488" s="508">
        <v>5.234</v>
      </c>
      <c r="S3488" s="508">
        <v>5.16</v>
      </c>
      <c r="T3488" s="508">
        <v>4.9630000000000001</v>
      </c>
      <c r="U3488" s="508">
        <v>4.7249999999999996</v>
      </c>
      <c r="V3488" s="508">
        <v>4.6269999999999998</v>
      </c>
      <c r="W3488" s="508">
        <v>4.5510000000000002</v>
      </c>
      <c r="X3488" s="508">
        <v>4.49</v>
      </c>
      <c r="Y3488" s="508">
        <v>4.2380000000000004</v>
      </c>
      <c r="Z3488" s="508">
        <v>4.2119999999999997</v>
      </c>
      <c r="AA3488" s="508">
        <v>4.1909999999999998</v>
      </c>
      <c r="AB3488" s="508">
        <v>1.2490000000000001</v>
      </c>
      <c r="AC3488" s="508">
        <v>1.2170000000000001</v>
      </c>
      <c r="AD3488" s="508">
        <v>0.97299999999999998</v>
      </c>
      <c r="AE3488" s="508">
        <v>0.96899999999999997</v>
      </c>
      <c r="AF3488" s="508">
        <v>0.96099999999999997</v>
      </c>
      <c r="AG3488" s="508">
        <v>0.96099999999999997</v>
      </c>
      <c r="AH3488" s="508">
        <v>0.95899999999999996</v>
      </c>
      <c r="AI3488" s="492">
        <v>0.95899999999999996</v>
      </c>
      <c r="AJ3488" s="485"/>
    </row>
    <row r="3489" spans="2:36">
      <c r="B3489" s="136" t="s">
        <v>487</v>
      </c>
      <c r="C3489" s="132" t="s">
        <v>1376</v>
      </c>
      <c r="D3489" s="132" t="s">
        <v>283</v>
      </c>
      <c r="E3489" s="508">
        <v>15.784000000000001</v>
      </c>
      <c r="F3489" s="508">
        <v>14.201000000000001</v>
      </c>
      <c r="G3489" s="508">
        <v>13.23</v>
      </c>
      <c r="H3489" s="508">
        <v>12.571999999999999</v>
      </c>
      <c r="I3489" s="508">
        <v>12.098000000000001</v>
      </c>
      <c r="J3489" s="508">
        <v>8.5619999999999994</v>
      </c>
      <c r="K3489" s="508">
        <v>8.282</v>
      </c>
      <c r="L3489" s="508">
        <v>8.0570000000000004</v>
      </c>
      <c r="M3489" s="508">
        <v>7.8719999999999999</v>
      </c>
      <c r="N3489" s="508">
        <v>7.5860000000000003</v>
      </c>
      <c r="O3489" s="508">
        <v>7.4569999999999999</v>
      </c>
      <c r="P3489" s="508">
        <v>7.3460000000000001</v>
      </c>
      <c r="Q3489" s="508">
        <v>7.2489999999999997</v>
      </c>
      <c r="R3489" s="508">
        <v>5.3639999999999999</v>
      </c>
      <c r="S3489" s="508">
        <v>5.29</v>
      </c>
      <c r="T3489" s="508">
        <v>5.09</v>
      </c>
      <c r="U3489" s="508">
        <v>4.95</v>
      </c>
      <c r="V3489" s="508">
        <v>4.8460000000000001</v>
      </c>
      <c r="W3489" s="508">
        <v>4.766</v>
      </c>
      <c r="X3489" s="508">
        <v>4.7009999999999996</v>
      </c>
      <c r="Y3489" s="508">
        <v>4.4349999999999996</v>
      </c>
      <c r="Z3489" s="508">
        <v>4.4059999999999997</v>
      </c>
      <c r="AA3489" s="508">
        <v>4.3840000000000003</v>
      </c>
      <c r="AB3489" s="508">
        <v>1.3080000000000001</v>
      </c>
      <c r="AC3489" s="508">
        <v>1.274</v>
      </c>
      <c r="AD3489" s="508">
        <v>1.02</v>
      </c>
      <c r="AE3489" s="508">
        <v>1.016</v>
      </c>
      <c r="AF3489" s="508">
        <v>1.0069999999999999</v>
      </c>
      <c r="AG3489" s="508">
        <v>1.0069999999999999</v>
      </c>
      <c r="AH3489" s="508">
        <v>1.0049999999999999</v>
      </c>
      <c r="AI3489" s="492">
        <v>1.0049999999999999</v>
      </c>
      <c r="AJ3489" s="485"/>
    </row>
    <row r="3490" spans="2:36">
      <c r="B3490" s="136" t="s">
        <v>488</v>
      </c>
      <c r="C3490" s="132" t="s">
        <v>1376</v>
      </c>
      <c r="D3490" s="132" t="s">
        <v>283</v>
      </c>
      <c r="E3490" s="508">
        <v>14.904999999999999</v>
      </c>
      <c r="F3490" s="508">
        <v>13.468999999999999</v>
      </c>
      <c r="G3490" s="508">
        <v>12.587</v>
      </c>
      <c r="H3490" s="508">
        <v>11.99</v>
      </c>
      <c r="I3490" s="508">
        <v>11.56</v>
      </c>
      <c r="J3490" s="508">
        <v>8.0690000000000008</v>
      </c>
      <c r="K3490" s="508">
        <v>7.8140000000000001</v>
      </c>
      <c r="L3490" s="508">
        <v>7.61</v>
      </c>
      <c r="M3490" s="508">
        <v>7.4420000000000002</v>
      </c>
      <c r="N3490" s="508">
        <v>7.1769999999999996</v>
      </c>
      <c r="O3490" s="508">
        <v>7.06</v>
      </c>
      <c r="P3490" s="508">
        <v>6.9589999999999996</v>
      </c>
      <c r="Q3490" s="508">
        <v>6.8710000000000004</v>
      </c>
      <c r="R3490" s="508">
        <v>5.1280000000000001</v>
      </c>
      <c r="S3490" s="508">
        <v>5.0609999999999999</v>
      </c>
      <c r="T3490" s="508">
        <v>4.8789999999999996</v>
      </c>
      <c r="U3490" s="508">
        <v>4.6829999999999998</v>
      </c>
      <c r="V3490" s="508">
        <v>4.5919999999999996</v>
      </c>
      <c r="W3490" s="508">
        <v>4.5209999999999999</v>
      </c>
      <c r="X3490" s="508">
        <v>4.4640000000000004</v>
      </c>
      <c r="Y3490" s="508">
        <v>4.2290000000000001</v>
      </c>
      <c r="Z3490" s="508">
        <v>4.2030000000000003</v>
      </c>
      <c r="AA3490" s="508">
        <v>4.1840000000000002</v>
      </c>
      <c r="AB3490" s="508">
        <v>1.248</v>
      </c>
      <c r="AC3490" s="508">
        <v>1.218</v>
      </c>
      <c r="AD3490" s="508">
        <v>0.97099999999999997</v>
      </c>
      <c r="AE3490" s="508">
        <v>0.96599999999999997</v>
      </c>
      <c r="AF3490" s="508">
        <v>0.95899999999999996</v>
      </c>
      <c r="AG3490" s="508">
        <v>0.95899999999999996</v>
      </c>
      <c r="AH3490" s="508">
        <v>0.95699999999999996</v>
      </c>
      <c r="AI3490" s="492">
        <v>0.95699999999999996</v>
      </c>
      <c r="AJ3490" s="485"/>
    </row>
    <row r="3491" spans="2:36">
      <c r="B3491" s="136" t="s">
        <v>489</v>
      </c>
      <c r="C3491" s="132" t="s">
        <v>1376</v>
      </c>
      <c r="D3491" s="132" t="s">
        <v>283</v>
      </c>
      <c r="E3491" s="508">
        <v>15.411</v>
      </c>
      <c r="F3491" s="508">
        <v>13.909000000000001</v>
      </c>
      <c r="G3491" s="508">
        <v>12.986000000000001</v>
      </c>
      <c r="H3491" s="508">
        <v>12.362</v>
      </c>
      <c r="I3491" s="508">
        <v>11.912000000000001</v>
      </c>
      <c r="J3491" s="508">
        <v>8.3550000000000004</v>
      </c>
      <c r="K3491" s="508">
        <v>8.0890000000000004</v>
      </c>
      <c r="L3491" s="508">
        <v>7.875</v>
      </c>
      <c r="M3491" s="508">
        <v>7.7</v>
      </c>
      <c r="N3491" s="508">
        <v>7.4240000000000004</v>
      </c>
      <c r="O3491" s="508">
        <v>7.3010000000000002</v>
      </c>
      <c r="P3491" s="508">
        <v>7.1959999999999997</v>
      </c>
      <c r="Q3491" s="508">
        <v>7.1040000000000001</v>
      </c>
      <c r="R3491" s="508">
        <v>5.2930000000000001</v>
      </c>
      <c r="S3491" s="508">
        <v>5.2220000000000004</v>
      </c>
      <c r="T3491" s="508">
        <v>5.032</v>
      </c>
      <c r="U3491" s="508">
        <v>4.7949999999999999</v>
      </c>
      <c r="V3491" s="508">
        <v>4.7030000000000003</v>
      </c>
      <c r="W3491" s="508">
        <v>4.6310000000000002</v>
      </c>
      <c r="X3491" s="508">
        <v>4.5739999999999998</v>
      </c>
      <c r="Y3491" s="508">
        <v>4.3369999999999997</v>
      </c>
      <c r="Z3491" s="508">
        <v>4.3099999999999996</v>
      </c>
      <c r="AA3491" s="508">
        <v>4.2910000000000004</v>
      </c>
      <c r="AB3491" s="508">
        <v>1.282</v>
      </c>
      <c r="AC3491" s="508">
        <v>1.252</v>
      </c>
      <c r="AD3491" s="508">
        <v>0.998</v>
      </c>
      <c r="AE3491" s="508">
        <v>0.99399999999999999</v>
      </c>
      <c r="AF3491" s="508">
        <v>0.98599999999999999</v>
      </c>
      <c r="AG3491" s="508">
        <v>0.98599999999999999</v>
      </c>
      <c r="AH3491" s="508">
        <v>0.98399999999999999</v>
      </c>
      <c r="AI3491" s="492">
        <v>0.98399999999999999</v>
      </c>
      <c r="AJ3491" s="485"/>
    </row>
    <row r="3492" spans="2:36">
      <c r="B3492" s="136" t="s">
        <v>490</v>
      </c>
      <c r="C3492" s="132" t="s">
        <v>1376</v>
      </c>
      <c r="D3492" s="132" t="s">
        <v>283</v>
      </c>
      <c r="E3492" s="508">
        <v>15.002000000000001</v>
      </c>
      <c r="F3492" s="508">
        <v>13.654999999999999</v>
      </c>
      <c r="G3492" s="508">
        <v>12.827999999999999</v>
      </c>
      <c r="H3492" s="508">
        <v>12.268000000000001</v>
      </c>
      <c r="I3492" s="508">
        <v>11.865</v>
      </c>
      <c r="J3492" s="508">
        <v>8.2110000000000003</v>
      </c>
      <c r="K3492" s="508">
        <v>7.9720000000000004</v>
      </c>
      <c r="L3492" s="508">
        <v>7.7809999999999997</v>
      </c>
      <c r="M3492" s="508">
        <v>7.6230000000000002</v>
      </c>
      <c r="N3492" s="508">
        <v>7.3630000000000004</v>
      </c>
      <c r="O3492" s="508">
        <v>7.2530000000000001</v>
      </c>
      <c r="P3492" s="508">
        <v>7.1589999999999998</v>
      </c>
      <c r="Q3492" s="508">
        <v>7.077</v>
      </c>
      <c r="R3492" s="508">
        <v>5.2469999999999999</v>
      </c>
      <c r="S3492" s="508">
        <v>5.1829999999999998</v>
      </c>
      <c r="T3492" s="508">
        <v>5.0129999999999999</v>
      </c>
      <c r="U3492" s="508">
        <v>4.9000000000000004</v>
      </c>
      <c r="V3492" s="508">
        <v>4.8120000000000003</v>
      </c>
      <c r="W3492" s="508">
        <v>4.7430000000000003</v>
      </c>
      <c r="X3492" s="508">
        <v>4.6879999999999997</v>
      </c>
      <c r="Y3492" s="508">
        <v>4.4619999999999997</v>
      </c>
      <c r="Z3492" s="508">
        <v>4.4370000000000003</v>
      </c>
      <c r="AA3492" s="508">
        <v>4.4180000000000001</v>
      </c>
      <c r="AB3492" s="508">
        <v>1.321</v>
      </c>
      <c r="AC3492" s="508">
        <v>1.292</v>
      </c>
      <c r="AD3492" s="508">
        <v>1.03</v>
      </c>
      <c r="AE3492" s="508">
        <v>1.026</v>
      </c>
      <c r="AF3492" s="508">
        <v>1.018</v>
      </c>
      <c r="AG3492" s="508">
        <v>1.018</v>
      </c>
      <c r="AH3492" s="508">
        <v>1.016</v>
      </c>
      <c r="AI3492" s="492">
        <v>1.016</v>
      </c>
      <c r="AJ3492" s="485"/>
    </row>
    <row r="3493" spans="2:36">
      <c r="B3493" s="136" t="s">
        <v>435</v>
      </c>
      <c r="C3493" s="132" t="s">
        <v>1377</v>
      </c>
      <c r="D3493" s="132" t="s">
        <v>283</v>
      </c>
      <c r="E3493" s="508"/>
      <c r="F3493" s="508"/>
      <c r="G3493" s="508"/>
      <c r="H3493" s="508"/>
      <c r="I3493" s="508"/>
      <c r="J3493" s="508">
        <v>13.872</v>
      </c>
      <c r="K3493" s="508">
        <v>13.872</v>
      </c>
      <c r="L3493" s="508">
        <v>13.872</v>
      </c>
      <c r="M3493" s="508">
        <v>13.872</v>
      </c>
      <c r="N3493" s="508">
        <v>13.872</v>
      </c>
      <c r="O3493" s="508">
        <v>13.872</v>
      </c>
      <c r="P3493" s="508">
        <v>13.872</v>
      </c>
      <c r="Q3493" s="508">
        <v>13.872</v>
      </c>
      <c r="R3493" s="508">
        <v>13.872</v>
      </c>
      <c r="S3493" s="508">
        <v>13.872</v>
      </c>
      <c r="T3493" s="508">
        <v>13.872</v>
      </c>
      <c r="U3493" s="508">
        <v>13.872</v>
      </c>
      <c r="V3493" s="508">
        <v>6.3380000000000001</v>
      </c>
      <c r="W3493" s="508">
        <v>6.3380000000000001</v>
      </c>
      <c r="X3493" s="508">
        <v>6.3380000000000001</v>
      </c>
      <c r="Y3493" s="508">
        <v>6.3380000000000001</v>
      </c>
      <c r="Z3493" s="508">
        <v>6.3380000000000001</v>
      </c>
      <c r="AA3493" s="508">
        <v>1.522</v>
      </c>
      <c r="AB3493" s="508">
        <v>1.522</v>
      </c>
      <c r="AC3493" s="508">
        <v>1.522</v>
      </c>
      <c r="AD3493" s="508">
        <v>1.2769999999999999</v>
      </c>
      <c r="AE3493" s="508">
        <v>1.2769999999999999</v>
      </c>
      <c r="AF3493" s="508">
        <v>1.2769999999999999</v>
      </c>
      <c r="AG3493" s="508">
        <v>1.2769999999999999</v>
      </c>
      <c r="AH3493" s="508">
        <v>1.2709999999999999</v>
      </c>
      <c r="AI3493" s="492">
        <v>1.2709999999999999</v>
      </c>
      <c r="AJ3493" s="485"/>
    </row>
    <row r="3494" spans="2:36">
      <c r="B3494" s="136" t="s">
        <v>436</v>
      </c>
      <c r="C3494" s="132" t="s">
        <v>1377</v>
      </c>
      <c r="D3494" s="132" t="s">
        <v>283</v>
      </c>
      <c r="E3494" s="508"/>
      <c r="F3494" s="508"/>
      <c r="G3494" s="508"/>
      <c r="H3494" s="508"/>
      <c r="I3494" s="508"/>
      <c r="J3494" s="508">
        <v>14.256</v>
      </c>
      <c r="K3494" s="508">
        <v>14.256</v>
      </c>
      <c r="L3494" s="508">
        <v>14.256</v>
      </c>
      <c r="M3494" s="508">
        <v>14.256</v>
      </c>
      <c r="N3494" s="508">
        <v>14.256</v>
      </c>
      <c r="O3494" s="508">
        <v>14.256</v>
      </c>
      <c r="P3494" s="508">
        <v>14.256</v>
      </c>
      <c r="Q3494" s="508">
        <v>14.256</v>
      </c>
      <c r="R3494" s="508">
        <v>14.256</v>
      </c>
      <c r="S3494" s="508">
        <v>14.256</v>
      </c>
      <c r="T3494" s="508">
        <v>14.256</v>
      </c>
      <c r="U3494" s="508">
        <v>14.256</v>
      </c>
      <c r="V3494" s="508">
        <v>6.47</v>
      </c>
      <c r="W3494" s="508">
        <v>6.47</v>
      </c>
      <c r="X3494" s="508">
        <v>6.47</v>
      </c>
      <c r="Y3494" s="508">
        <v>6.47</v>
      </c>
      <c r="Z3494" s="508">
        <v>6.47</v>
      </c>
      <c r="AA3494" s="508">
        <v>1.5529999999999999</v>
      </c>
      <c r="AB3494" s="508">
        <v>1.5529999999999999</v>
      </c>
      <c r="AC3494" s="508">
        <v>1.5529999999999999</v>
      </c>
      <c r="AD3494" s="508">
        <v>1.302</v>
      </c>
      <c r="AE3494" s="508">
        <v>1.302</v>
      </c>
      <c r="AF3494" s="508">
        <v>1.302</v>
      </c>
      <c r="AG3494" s="508">
        <v>1.302</v>
      </c>
      <c r="AH3494" s="508">
        <v>1.2969999999999999</v>
      </c>
      <c r="AI3494" s="492">
        <v>1.2969999999999999</v>
      </c>
      <c r="AJ3494" s="485"/>
    </row>
    <row r="3495" spans="2:36">
      <c r="B3495" s="136" t="s">
        <v>437</v>
      </c>
      <c r="C3495" s="132" t="s">
        <v>1377</v>
      </c>
      <c r="D3495" s="132" t="s">
        <v>283</v>
      </c>
      <c r="E3495" s="508"/>
      <c r="F3495" s="508"/>
      <c r="G3495" s="508"/>
      <c r="H3495" s="508"/>
      <c r="I3495" s="508"/>
      <c r="J3495" s="508">
        <v>14.22</v>
      </c>
      <c r="K3495" s="508">
        <v>14.22</v>
      </c>
      <c r="L3495" s="508">
        <v>14.22</v>
      </c>
      <c r="M3495" s="508">
        <v>14.22</v>
      </c>
      <c r="N3495" s="508">
        <v>14.22</v>
      </c>
      <c r="O3495" s="508">
        <v>14.22</v>
      </c>
      <c r="P3495" s="508">
        <v>14.22</v>
      </c>
      <c r="Q3495" s="508">
        <v>14.22</v>
      </c>
      <c r="R3495" s="508">
        <v>14.22</v>
      </c>
      <c r="S3495" s="508">
        <v>14.22</v>
      </c>
      <c r="T3495" s="508">
        <v>14.22</v>
      </c>
      <c r="U3495" s="508">
        <v>14.22</v>
      </c>
      <c r="V3495" s="508">
        <v>6.4669999999999996</v>
      </c>
      <c r="W3495" s="508">
        <v>6.4669999999999996</v>
      </c>
      <c r="X3495" s="508">
        <v>6.4669999999999996</v>
      </c>
      <c r="Y3495" s="508">
        <v>6.4669999999999996</v>
      </c>
      <c r="Z3495" s="508">
        <v>6.4669999999999996</v>
      </c>
      <c r="AA3495" s="508">
        <v>1.5529999999999999</v>
      </c>
      <c r="AB3495" s="508">
        <v>1.5529999999999999</v>
      </c>
      <c r="AC3495" s="508">
        <v>1.5529999999999999</v>
      </c>
      <c r="AD3495" s="508">
        <v>1.304</v>
      </c>
      <c r="AE3495" s="508">
        <v>1.304</v>
      </c>
      <c r="AF3495" s="508">
        <v>1.304</v>
      </c>
      <c r="AG3495" s="508">
        <v>1.304</v>
      </c>
      <c r="AH3495" s="508">
        <v>1.2989999999999999</v>
      </c>
      <c r="AI3495" s="492">
        <v>1.2989999999999999</v>
      </c>
      <c r="AJ3495" s="485"/>
    </row>
    <row r="3496" spans="2:36">
      <c r="B3496" s="136" t="s">
        <v>438</v>
      </c>
      <c r="C3496" s="132" t="s">
        <v>1377</v>
      </c>
      <c r="D3496" s="132" t="s">
        <v>283</v>
      </c>
      <c r="E3496" s="508"/>
      <c r="F3496" s="508"/>
      <c r="G3496" s="508"/>
      <c r="H3496" s="508"/>
      <c r="I3496" s="508"/>
      <c r="J3496" s="508">
        <v>14.265000000000001</v>
      </c>
      <c r="K3496" s="508">
        <v>14.265000000000001</v>
      </c>
      <c r="L3496" s="508">
        <v>14.265000000000001</v>
      </c>
      <c r="M3496" s="508">
        <v>14.265000000000001</v>
      </c>
      <c r="N3496" s="508">
        <v>14.265000000000001</v>
      </c>
      <c r="O3496" s="508">
        <v>14.265000000000001</v>
      </c>
      <c r="P3496" s="508">
        <v>14.265000000000001</v>
      </c>
      <c r="Q3496" s="508">
        <v>14.265000000000001</v>
      </c>
      <c r="R3496" s="508">
        <v>14.265000000000001</v>
      </c>
      <c r="S3496" s="508">
        <v>14.265000000000001</v>
      </c>
      <c r="T3496" s="508">
        <v>14.265000000000001</v>
      </c>
      <c r="U3496" s="508">
        <v>14.265000000000001</v>
      </c>
      <c r="V3496" s="508">
        <v>6.4770000000000003</v>
      </c>
      <c r="W3496" s="508">
        <v>6.4770000000000003</v>
      </c>
      <c r="X3496" s="508">
        <v>6.4770000000000003</v>
      </c>
      <c r="Y3496" s="508">
        <v>6.4770000000000003</v>
      </c>
      <c r="Z3496" s="508">
        <v>6.4770000000000003</v>
      </c>
      <c r="AA3496" s="508">
        <v>1.5549999999999999</v>
      </c>
      <c r="AB3496" s="508">
        <v>1.5549999999999999</v>
      </c>
      <c r="AC3496" s="508">
        <v>1.5549999999999999</v>
      </c>
      <c r="AD3496" s="508">
        <v>1.3029999999999999</v>
      </c>
      <c r="AE3496" s="508">
        <v>1.3029999999999999</v>
      </c>
      <c r="AF3496" s="508">
        <v>1.3029999999999999</v>
      </c>
      <c r="AG3496" s="508">
        <v>1.3029999999999999</v>
      </c>
      <c r="AH3496" s="508">
        <v>1.2969999999999999</v>
      </c>
      <c r="AI3496" s="492">
        <v>1.2969999999999999</v>
      </c>
      <c r="AJ3496" s="485"/>
    </row>
    <row r="3497" spans="2:36">
      <c r="B3497" s="136" t="s">
        <v>439</v>
      </c>
      <c r="C3497" s="132" t="s">
        <v>1377</v>
      </c>
      <c r="D3497" s="132" t="s">
        <v>283</v>
      </c>
      <c r="E3497" s="508"/>
      <c r="F3497" s="508"/>
      <c r="G3497" s="508"/>
      <c r="H3497" s="508"/>
      <c r="I3497" s="508"/>
      <c r="J3497" s="508">
        <v>14.403</v>
      </c>
      <c r="K3497" s="508">
        <v>14.403</v>
      </c>
      <c r="L3497" s="508">
        <v>14.403</v>
      </c>
      <c r="M3497" s="508">
        <v>14.403</v>
      </c>
      <c r="N3497" s="508">
        <v>14.403</v>
      </c>
      <c r="O3497" s="508">
        <v>14.403</v>
      </c>
      <c r="P3497" s="508">
        <v>14.403</v>
      </c>
      <c r="Q3497" s="508">
        <v>14.403</v>
      </c>
      <c r="R3497" s="508">
        <v>14.403</v>
      </c>
      <c r="S3497" s="508">
        <v>14.403</v>
      </c>
      <c r="T3497" s="508">
        <v>14.403</v>
      </c>
      <c r="U3497" s="508">
        <v>14.403</v>
      </c>
      <c r="V3497" s="508">
        <v>6.5540000000000003</v>
      </c>
      <c r="W3497" s="508">
        <v>6.5540000000000003</v>
      </c>
      <c r="X3497" s="508">
        <v>6.5540000000000003</v>
      </c>
      <c r="Y3497" s="508">
        <v>6.5540000000000003</v>
      </c>
      <c r="Z3497" s="508">
        <v>6.5540000000000003</v>
      </c>
      <c r="AA3497" s="508">
        <v>1.5740000000000001</v>
      </c>
      <c r="AB3497" s="508">
        <v>1.5740000000000001</v>
      </c>
      <c r="AC3497" s="508">
        <v>1.5740000000000001</v>
      </c>
      <c r="AD3497" s="508">
        <v>1.321</v>
      </c>
      <c r="AE3497" s="508">
        <v>1.321</v>
      </c>
      <c r="AF3497" s="508">
        <v>1.321</v>
      </c>
      <c r="AG3497" s="508">
        <v>1.321</v>
      </c>
      <c r="AH3497" s="508">
        <v>1.3160000000000001</v>
      </c>
      <c r="AI3497" s="492">
        <v>1.3160000000000001</v>
      </c>
      <c r="AJ3497" s="485"/>
    </row>
    <row r="3498" spans="2:36">
      <c r="B3498" s="136" t="s">
        <v>440</v>
      </c>
      <c r="C3498" s="132" t="s">
        <v>1377</v>
      </c>
      <c r="D3498" s="132" t="s">
        <v>283</v>
      </c>
      <c r="E3498" s="508"/>
      <c r="F3498" s="508"/>
      <c r="G3498" s="508"/>
      <c r="H3498" s="508"/>
      <c r="I3498" s="508"/>
      <c r="J3498" s="508">
        <v>14.275</v>
      </c>
      <c r="K3498" s="508">
        <v>14.275</v>
      </c>
      <c r="L3498" s="508">
        <v>14.275</v>
      </c>
      <c r="M3498" s="508">
        <v>14.275</v>
      </c>
      <c r="N3498" s="508">
        <v>14.275</v>
      </c>
      <c r="O3498" s="508">
        <v>14.275</v>
      </c>
      <c r="P3498" s="508">
        <v>14.275</v>
      </c>
      <c r="Q3498" s="508">
        <v>14.275</v>
      </c>
      <c r="R3498" s="508">
        <v>14.275</v>
      </c>
      <c r="S3498" s="508">
        <v>14.275</v>
      </c>
      <c r="T3498" s="508">
        <v>14.275</v>
      </c>
      <c r="U3498" s="508">
        <v>14.275</v>
      </c>
      <c r="V3498" s="508">
        <v>6.4930000000000003</v>
      </c>
      <c r="W3498" s="508">
        <v>6.4930000000000003</v>
      </c>
      <c r="X3498" s="508">
        <v>6.4930000000000003</v>
      </c>
      <c r="Y3498" s="508">
        <v>6.4930000000000003</v>
      </c>
      <c r="Z3498" s="508">
        <v>6.4930000000000003</v>
      </c>
      <c r="AA3498" s="508">
        <v>1.5589999999999999</v>
      </c>
      <c r="AB3498" s="508">
        <v>1.5589999999999999</v>
      </c>
      <c r="AC3498" s="508">
        <v>1.5589999999999999</v>
      </c>
      <c r="AD3498" s="508">
        <v>1.3080000000000001</v>
      </c>
      <c r="AE3498" s="508">
        <v>1.3080000000000001</v>
      </c>
      <c r="AF3498" s="508">
        <v>1.3080000000000001</v>
      </c>
      <c r="AG3498" s="508">
        <v>1.3080000000000001</v>
      </c>
      <c r="AH3498" s="508">
        <v>1.3029999999999999</v>
      </c>
      <c r="AI3498" s="492">
        <v>1.3029999999999999</v>
      </c>
      <c r="AJ3498" s="485"/>
    </row>
    <row r="3499" spans="2:36">
      <c r="B3499" s="136" t="s">
        <v>441</v>
      </c>
      <c r="C3499" s="132" t="s">
        <v>1377</v>
      </c>
      <c r="D3499" s="132" t="s">
        <v>283</v>
      </c>
      <c r="E3499" s="508"/>
      <c r="F3499" s="508"/>
      <c r="G3499" s="508"/>
      <c r="H3499" s="508"/>
      <c r="I3499" s="508"/>
      <c r="J3499" s="508">
        <v>14.48</v>
      </c>
      <c r="K3499" s="508">
        <v>14.48</v>
      </c>
      <c r="L3499" s="508">
        <v>14.48</v>
      </c>
      <c r="M3499" s="508">
        <v>14.48</v>
      </c>
      <c r="N3499" s="508">
        <v>14.48</v>
      </c>
      <c r="O3499" s="508">
        <v>14.48</v>
      </c>
      <c r="P3499" s="508">
        <v>14.48</v>
      </c>
      <c r="Q3499" s="508">
        <v>14.48</v>
      </c>
      <c r="R3499" s="508">
        <v>14.48</v>
      </c>
      <c r="S3499" s="508">
        <v>14.48</v>
      </c>
      <c r="T3499" s="508">
        <v>14.48</v>
      </c>
      <c r="U3499" s="508">
        <v>14.48</v>
      </c>
      <c r="V3499" s="508">
        <v>6.5890000000000004</v>
      </c>
      <c r="W3499" s="508">
        <v>6.5890000000000004</v>
      </c>
      <c r="X3499" s="508">
        <v>6.5890000000000004</v>
      </c>
      <c r="Y3499" s="508">
        <v>6.5890000000000004</v>
      </c>
      <c r="Z3499" s="508">
        <v>6.5890000000000004</v>
      </c>
      <c r="AA3499" s="508">
        <v>1.5820000000000001</v>
      </c>
      <c r="AB3499" s="508">
        <v>1.5820000000000001</v>
      </c>
      <c r="AC3499" s="508">
        <v>1.5820000000000001</v>
      </c>
      <c r="AD3499" s="508">
        <v>1.3280000000000001</v>
      </c>
      <c r="AE3499" s="508">
        <v>1.3280000000000001</v>
      </c>
      <c r="AF3499" s="508">
        <v>1.3280000000000001</v>
      </c>
      <c r="AG3499" s="508">
        <v>1.3280000000000001</v>
      </c>
      <c r="AH3499" s="508">
        <v>1.323</v>
      </c>
      <c r="AI3499" s="492">
        <v>1.323</v>
      </c>
      <c r="AJ3499" s="485"/>
    </row>
    <row r="3500" spans="2:36">
      <c r="B3500" s="136" t="s">
        <v>443</v>
      </c>
      <c r="C3500" s="132" t="s">
        <v>1377</v>
      </c>
      <c r="D3500" s="132" t="s">
        <v>283</v>
      </c>
      <c r="E3500" s="508"/>
      <c r="F3500" s="508"/>
      <c r="G3500" s="508"/>
      <c r="H3500" s="508"/>
      <c r="I3500" s="508"/>
      <c r="J3500" s="508">
        <v>13.561999999999999</v>
      </c>
      <c r="K3500" s="508">
        <v>13.561999999999999</v>
      </c>
      <c r="L3500" s="508">
        <v>13.561999999999999</v>
      </c>
      <c r="M3500" s="508">
        <v>13.561999999999999</v>
      </c>
      <c r="N3500" s="508">
        <v>13.561999999999999</v>
      </c>
      <c r="O3500" s="508">
        <v>13.561999999999999</v>
      </c>
      <c r="P3500" s="508">
        <v>13.561999999999999</v>
      </c>
      <c r="Q3500" s="508">
        <v>13.561999999999999</v>
      </c>
      <c r="R3500" s="508">
        <v>13.561999999999999</v>
      </c>
      <c r="S3500" s="508">
        <v>13.561999999999999</v>
      </c>
      <c r="T3500" s="508">
        <v>13.561999999999999</v>
      </c>
      <c r="U3500" s="508">
        <v>13.561999999999999</v>
      </c>
      <c r="V3500" s="508">
        <v>6.2409999999999997</v>
      </c>
      <c r="W3500" s="508">
        <v>6.2409999999999997</v>
      </c>
      <c r="X3500" s="508">
        <v>6.2409999999999997</v>
      </c>
      <c r="Y3500" s="508">
        <v>6.2409999999999997</v>
      </c>
      <c r="Z3500" s="508">
        <v>6.2409999999999997</v>
      </c>
      <c r="AA3500" s="508">
        <v>1.498</v>
      </c>
      <c r="AB3500" s="508">
        <v>1.498</v>
      </c>
      <c r="AC3500" s="508">
        <v>1.498</v>
      </c>
      <c r="AD3500" s="508">
        <v>1.2589999999999999</v>
      </c>
      <c r="AE3500" s="508">
        <v>1.2589999999999999</v>
      </c>
      <c r="AF3500" s="508">
        <v>1.2589999999999999</v>
      </c>
      <c r="AG3500" s="508">
        <v>1.2589999999999999</v>
      </c>
      <c r="AH3500" s="508">
        <v>1.254</v>
      </c>
      <c r="AI3500" s="492">
        <v>1.254</v>
      </c>
      <c r="AJ3500" s="485"/>
    </row>
    <row r="3501" spans="2:36">
      <c r="B3501" s="136" t="s">
        <v>445</v>
      </c>
      <c r="C3501" s="132" t="s">
        <v>1377</v>
      </c>
      <c r="D3501" s="132" t="s">
        <v>283</v>
      </c>
      <c r="E3501" s="508"/>
      <c r="F3501" s="508"/>
      <c r="G3501" s="508"/>
      <c r="H3501" s="508"/>
      <c r="I3501" s="508"/>
      <c r="J3501" s="508">
        <v>13.548</v>
      </c>
      <c r="K3501" s="508">
        <v>13.548</v>
      </c>
      <c r="L3501" s="508">
        <v>13.548</v>
      </c>
      <c r="M3501" s="508">
        <v>13.548</v>
      </c>
      <c r="N3501" s="508">
        <v>13.548</v>
      </c>
      <c r="O3501" s="508">
        <v>13.548</v>
      </c>
      <c r="P3501" s="508">
        <v>13.548</v>
      </c>
      <c r="Q3501" s="508">
        <v>13.548</v>
      </c>
      <c r="R3501" s="508">
        <v>13.548</v>
      </c>
      <c r="S3501" s="508">
        <v>13.548</v>
      </c>
      <c r="T3501" s="508">
        <v>13.548</v>
      </c>
      <c r="U3501" s="508">
        <v>13.548</v>
      </c>
      <c r="V3501" s="508">
        <v>6.24</v>
      </c>
      <c r="W3501" s="508">
        <v>6.24</v>
      </c>
      <c r="X3501" s="508">
        <v>6.24</v>
      </c>
      <c r="Y3501" s="508">
        <v>6.24</v>
      </c>
      <c r="Z3501" s="508">
        <v>6.24</v>
      </c>
      <c r="AA3501" s="508">
        <v>1.498</v>
      </c>
      <c r="AB3501" s="508">
        <v>1.498</v>
      </c>
      <c r="AC3501" s="508">
        <v>1.498</v>
      </c>
      <c r="AD3501" s="508">
        <v>1.2629999999999999</v>
      </c>
      <c r="AE3501" s="508">
        <v>1.2629999999999999</v>
      </c>
      <c r="AF3501" s="508">
        <v>1.2629999999999999</v>
      </c>
      <c r="AG3501" s="508">
        <v>1.2629999999999999</v>
      </c>
      <c r="AH3501" s="508">
        <v>1.2589999999999999</v>
      </c>
      <c r="AI3501" s="492">
        <v>1.2589999999999999</v>
      </c>
      <c r="AJ3501" s="485"/>
    </row>
    <row r="3502" spans="2:36">
      <c r="B3502" s="136" t="s">
        <v>446</v>
      </c>
      <c r="C3502" s="132" t="s">
        <v>1377</v>
      </c>
      <c r="D3502" s="132" t="s">
        <v>283</v>
      </c>
      <c r="E3502" s="508"/>
      <c r="F3502" s="508"/>
      <c r="G3502" s="508"/>
      <c r="H3502" s="508"/>
      <c r="I3502" s="508"/>
      <c r="J3502" s="508">
        <v>13.747999999999999</v>
      </c>
      <c r="K3502" s="508">
        <v>13.747999999999999</v>
      </c>
      <c r="L3502" s="508">
        <v>13.747999999999999</v>
      </c>
      <c r="M3502" s="508">
        <v>13.747999999999999</v>
      </c>
      <c r="N3502" s="508">
        <v>13.747999999999999</v>
      </c>
      <c r="O3502" s="508">
        <v>13.747999999999999</v>
      </c>
      <c r="P3502" s="508">
        <v>13.747999999999999</v>
      </c>
      <c r="Q3502" s="508">
        <v>13.747999999999999</v>
      </c>
      <c r="R3502" s="508">
        <v>13.747999999999999</v>
      </c>
      <c r="S3502" s="508">
        <v>13.747999999999999</v>
      </c>
      <c r="T3502" s="508">
        <v>13.747999999999999</v>
      </c>
      <c r="U3502" s="508">
        <v>13.747999999999999</v>
      </c>
      <c r="V3502" s="508">
        <v>6.3</v>
      </c>
      <c r="W3502" s="508">
        <v>6.3</v>
      </c>
      <c r="X3502" s="508">
        <v>6.3</v>
      </c>
      <c r="Y3502" s="508">
        <v>6.3</v>
      </c>
      <c r="Z3502" s="508">
        <v>6.3</v>
      </c>
      <c r="AA3502" s="508">
        <v>1.5129999999999999</v>
      </c>
      <c r="AB3502" s="508">
        <v>1.5129999999999999</v>
      </c>
      <c r="AC3502" s="508">
        <v>1.5129999999999999</v>
      </c>
      <c r="AD3502" s="508">
        <v>1.2729999999999999</v>
      </c>
      <c r="AE3502" s="508">
        <v>1.2729999999999999</v>
      </c>
      <c r="AF3502" s="508">
        <v>1.2729999999999999</v>
      </c>
      <c r="AG3502" s="508">
        <v>1.2729999999999999</v>
      </c>
      <c r="AH3502" s="508">
        <v>1.268</v>
      </c>
      <c r="AI3502" s="492">
        <v>1.268</v>
      </c>
      <c r="AJ3502" s="485"/>
    </row>
    <row r="3503" spans="2:36">
      <c r="B3503" s="136" t="s">
        <v>448</v>
      </c>
      <c r="C3503" s="132" t="s">
        <v>1377</v>
      </c>
      <c r="D3503" s="132" t="s">
        <v>283</v>
      </c>
      <c r="E3503" s="508"/>
      <c r="F3503" s="508"/>
      <c r="G3503" s="508"/>
      <c r="H3503" s="508"/>
      <c r="I3503" s="508"/>
      <c r="J3503" s="508">
        <v>14.192</v>
      </c>
      <c r="K3503" s="508">
        <v>14.193</v>
      </c>
      <c r="L3503" s="508">
        <v>14.193</v>
      </c>
      <c r="M3503" s="508">
        <v>14.193</v>
      </c>
      <c r="N3503" s="508">
        <v>14.193</v>
      </c>
      <c r="O3503" s="508">
        <v>14.192</v>
      </c>
      <c r="P3503" s="508">
        <v>14.192</v>
      </c>
      <c r="Q3503" s="508">
        <v>14.192</v>
      </c>
      <c r="R3503" s="508">
        <v>14.193</v>
      </c>
      <c r="S3503" s="508">
        <v>14.192</v>
      </c>
      <c r="T3503" s="508">
        <v>14.193</v>
      </c>
      <c r="U3503" s="508">
        <v>14.193</v>
      </c>
      <c r="V3503" s="508">
        <v>6.4560000000000004</v>
      </c>
      <c r="W3503" s="508">
        <v>6.4560000000000004</v>
      </c>
      <c r="X3503" s="508">
        <v>6.4560000000000004</v>
      </c>
      <c r="Y3503" s="508">
        <v>6.4560000000000004</v>
      </c>
      <c r="Z3503" s="508">
        <v>6.4560000000000004</v>
      </c>
      <c r="AA3503" s="508">
        <v>1.55</v>
      </c>
      <c r="AB3503" s="508">
        <v>1.55</v>
      </c>
      <c r="AC3503" s="508">
        <v>1.55</v>
      </c>
      <c r="AD3503" s="508">
        <v>1.2989999999999999</v>
      </c>
      <c r="AE3503" s="508">
        <v>1.2989999999999999</v>
      </c>
      <c r="AF3503" s="508">
        <v>1.2989999999999999</v>
      </c>
      <c r="AG3503" s="508">
        <v>1.2989999999999999</v>
      </c>
      <c r="AH3503" s="508">
        <v>1.294</v>
      </c>
      <c r="AI3503" s="492">
        <v>1.294</v>
      </c>
      <c r="AJ3503" s="485"/>
    </row>
    <row r="3504" spans="2:36">
      <c r="B3504" s="136" t="s">
        <v>449</v>
      </c>
      <c r="C3504" s="132" t="s">
        <v>1377</v>
      </c>
      <c r="D3504" s="132" t="s">
        <v>283</v>
      </c>
      <c r="E3504" s="508"/>
      <c r="F3504" s="508"/>
      <c r="G3504" s="508"/>
      <c r="H3504" s="508"/>
      <c r="I3504" s="508"/>
      <c r="J3504" s="508">
        <v>13.714</v>
      </c>
      <c r="K3504" s="508">
        <v>13.714</v>
      </c>
      <c r="L3504" s="508">
        <v>13.714</v>
      </c>
      <c r="M3504" s="508">
        <v>13.714</v>
      </c>
      <c r="N3504" s="508">
        <v>13.714</v>
      </c>
      <c r="O3504" s="508">
        <v>13.714</v>
      </c>
      <c r="P3504" s="508">
        <v>13.714</v>
      </c>
      <c r="Q3504" s="508">
        <v>13.714</v>
      </c>
      <c r="R3504" s="508">
        <v>13.714</v>
      </c>
      <c r="S3504" s="508">
        <v>13.714</v>
      </c>
      <c r="T3504" s="508">
        <v>13.714</v>
      </c>
      <c r="U3504" s="508">
        <v>13.714</v>
      </c>
      <c r="V3504" s="508">
        <v>6.298</v>
      </c>
      <c r="W3504" s="508">
        <v>6.298</v>
      </c>
      <c r="X3504" s="508">
        <v>6.298</v>
      </c>
      <c r="Y3504" s="508">
        <v>6.298</v>
      </c>
      <c r="Z3504" s="508">
        <v>6.298</v>
      </c>
      <c r="AA3504" s="508">
        <v>1.512</v>
      </c>
      <c r="AB3504" s="508">
        <v>1.512</v>
      </c>
      <c r="AC3504" s="508">
        <v>1.512</v>
      </c>
      <c r="AD3504" s="508">
        <v>1.2709999999999999</v>
      </c>
      <c r="AE3504" s="508">
        <v>1.2709999999999999</v>
      </c>
      <c r="AF3504" s="508">
        <v>1.2709999999999999</v>
      </c>
      <c r="AG3504" s="508">
        <v>1.2709999999999999</v>
      </c>
      <c r="AH3504" s="508">
        <v>1.266</v>
      </c>
      <c r="AI3504" s="492">
        <v>1.266</v>
      </c>
      <c r="AJ3504" s="485"/>
    </row>
    <row r="3505" spans="2:36">
      <c r="B3505" s="136" t="s">
        <v>450</v>
      </c>
      <c r="C3505" s="132" t="s">
        <v>1377</v>
      </c>
      <c r="D3505" s="132" t="s">
        <v>283</v>
      </c>
      <c r="E3505" s="508"/>
      <c r="F3505" s="508"/>
      <c r="G3505" s="508"/>
      <c r="H3505" s="508"/>
      <c r="I3505" s="508"/>
      <c r="J3505" s="508">
        <v>14.063000000000001</v>
      </c>
      <c r="K3505" s="508">
        <v>14.063000000000001</v>
      </c>
      <c r="L3505" s="508">
        <v>14.063000000000001</v>
      </c>
      <c r="M3505" s="508">
        <v>14.063000000000001</v>
      </c>
      <c r="N3505" s="508">
        <v>14.063000000000001</v>
      </c>
      <c r="O3505" s="508">
        <v>14.063000000000001</v>
      </c>
      <c r="P3505" s="508">
        <v>14.063000000000001</v>
      </c>
      <c r="Q3505" s="508">
        <v>14.063000000000001</v>
      </c>
      <c r="R3505" s="508">
        <v>14.063000000000001</v>
      </c>
      <c r="S3505" s="508">
        <v>14.063000000000001</v>
      </c>
      <c r="T3505" s="508">
        <v>14.063000000000001</v>
      </c>
      <c r="U3505" s="508">
        <v>14.063000000000001</v>
      </c>
      <c r="V3505" s="508">
        <v>6.4009999999999998</v>
      </c>
      <c r="W3505" s="508">
        <v>6.4009999999999998</v>
      </c>
      <c r="X3505" s="508">
        <v>6.4009999999999998</v>
      </c>
      <c r="Y3505" s="508">
        <v>6.4009999999999998</v>
      </c>
      <c r="Z3505" s="508">
        <v>6.4009999999999998</v>
      </c>
      <c r="AA3505" s="508">
        <v>1.5369999999999999</v>
      </c>
      <c r="AB3505" s="508">
        <v>1.5369999999999999</v>
      </c>
      <c r="AC3505" s="508">
        <v>1.5369999999999999</v>
      </c>
      <c r="AD3505" s="508">
        <v>1.288</v>
      </c>
      <c r="AE3505" s="508">
        <v>1.288</v>
      </c>
      <c r="AF3505" s="508">
        <v>1.288</v>
      </c>
      <c r="AG3505" s="508">
        <v>1.288</v>
      </c>
      <c r="AH3505" s="508">
        <v>1.2829999999999999</v>
      </c>
      <c r="AI3505" s="492">
        <v>1.2829999999999999</v>
      </c>
      <c r="AJ3505" s="485"/>
    </row>
    <row r="3506" spans="2:36">
      <c r="B3506" s="136" t="s">
        <v>451</v>
      </c>
      <c r="C3506" s="132" t="s">
        <v>1377</v>
      </c>
      <c r="D3506" s="132" t="s">
        <v>283</v>
      </c>
      <c r="E3506" s="508"/>
      <c r="F3506" s="508"/>
      <c r="G3506" s="508"/>
      <c r="H3506" s="508"/>
      <c r="I3506" s="508"/>
      <c r="J3506" s="508">
        <v>13.91</v>
      </c>
      <c r="K3506" s="508">
        <v>13.91</v>
      </c>
      <c r="L3506" s="508">
        <v>13.91</v>
      </c>
      <c r="M3506" s="508">
        <v>13.91</v>
      </c>
      <c r="N3506" s="508">
        <v>13.91</v>
      </c>
      <c r="O3506" s="508">
        <v>13.91</v>
      </c>
      <c r="P3506" s="508">
        <v>13.91</v>
      </c>
      <c r="Q3506" s="508">
        <v>13.91</v>
      </c>
      <c r="R3506" s="508">
        <v>13.91</v>
      </c>
      <c r="S3506" s="508">
        <v>13.91</v>
      </c>
      <c r="T3506" s="508">
        <v>13.91</v>
      </c>
      <c r="U3506" s="508">
        <v>13.91</v>
      </c>
      <c r="V3506" s="508">
        <v>6.3739999999999997</v>
      </c>
      <c r="W3506" s="508">
        <v>6.3739999999999997</v>
      </c>
      <c r="X3506" s="508">
        <v>6.3739999999999997</v>
      </c>
      <c r="Y3506" s="508">
        <v>6.3739999999999997</v>
      </c>
      <c r="Z3506" s="508">
        <v>6.3739999999999997</v>
      </c>
      <c r="AA3506" s="508">
        <v>1.53</v>
      </c>
      <c r="AB3506" s="508">
        <v>1.53</v>
      </c>
      <c r="AC3506" s="508">
        <v>1.53</v>
      </c>
      <c r="AD3506" s="508">
        <v>1.288</v>
      </c>
      <c r="AE3506" s="508">
        <v>1.288</v>
      </c>
      <c r="AF3506" s="508">
        <v>1.288</v>
      </c>
      <c r="AG3506" s="508">
        <v>1.288</v>
      </c>
      <c r="AH3506" s="508">
        <v>1.2829999999999999</v>
      </c>
      <c r="AI3506" s="492">
        <v>1.2829999999999999</v>
      </c>
      <c r="AJ3506" s="485"/>
    </row>
    <row r="3507" spans="2:36">
      <c r="B3507" s="136" t="s">
        <v>452</v>
      </c>
      <c r="C3507" s="132" t="s">
        <v>1377</v>
      </c>
      <c r="D3507" s="132" t="s">
        <v>283</v>
      </c>
      <c r="E3507" s="508"/>
      <c r="F3507" s="508"/>
      <c r="G3507" s="508"/>
      <c r="H3507" s="508"/>
      <c r="I3507" s="508"/>
      <c r="J3507" s="508">
        <v>13.891</v>
      </c>
      <c r="K3507" s="508">
        <v>13.891</v>
      </c>
      <c r="L3507" s="508">
        <v>13.891</v>
      </c>
      <c r="M3507" s="508">
        <v>13.891</v>
      </c>
      <c r="N3507" s="508">
        <v>13.891</v>
      </c>
      <c r="O3507" s="508">
        <v>13.891</v>
      </c>
      <c r="P3507" s="508">
        <v>13.891</v>
      </c>
      <c r="Q3507" s="508">
        <v>13.891</v>
      </c>
      <c r="R3507" s="508">
        <v>13.891</v>
      </c>
      <c r="S3507" s="508">
        <v>13.891</v>
      </c>
      <c r="T3507" s="508">
        <v>13.891</v>
      </c>
      <c r="U3507" s="508">
        <v>13.891</v>
      </c>
      <c r="V3507" s="508">
        <v>6.3449999999999998</v>
      </c>
      <c r="W3507" s="508">
        <v>6.3449999999999998</v>
      </c>
      <c r="X3507" s="508">
        <v>6.3449999999999998</v>
      </c>
      <c r="Y3507" s="508">
        <v>6.3449999999999998</v>
      </c>
      <c r="Z3507" s="508">
        <v>6.3449999999999998</v>
      </c>
      <c r="AA3507" s="508">
        <v>1.5229999999999999</v>
      </c>
      <c r="AB3507" s="508">
        <v>1.5229999999999999</v>
      </c>
      <c r="AC3507" s="508">
        <v>1.5229999999999999</v>
      </c>
      <c r="AD3507" s="508">
        <v>1.2789999999999999</v>
      </c>
      <c r="AE3507" s="508">
        <v>1.2789999999999999</v>
      </c>
      <c r="AF3507" s="508">
        <v>1.2789999999999999</v>
      </c>
      <c r="AG3507" s="508">
        <v>1.2789999999999999</v>
      </c>
      <c r="AH3507" s="508">
        <v>1.274</v>
      </c>
      <c r="AI3507" s="492">
        <v>1.274</v>
      </c>
      <c r="AJ3507" s="485"/>
    </row>
    <row r="3508" spans="2:36">
      <c r="B3508" s="136" t="s">
        <v>453</v>
      </c>
      <c r="C3508" s="132" t="s">
        <v>1377</v>
      </c>
      <c r="D3508" s="132" t="s">
        <v>283</v>
      </c>
      <c r="E3508" s="508"/>
      <c r="F3508" s="508"/>
      <c r="G3508" s="508"/>
      <c r="H3508" s="508"/>
      <c r="I3508" s="508"/>
      <c r="J3508" s="508">
        <v>14.089</v>
      </c>
      <c r="K3508" s="508">
        <v>14.089</v>
      </c>
      <c r="L3508" s="508">
        <v>14.089</v>
      </c>
      <c r="M3508" s="508">
        <v>14.089</v>
      </c>
      <c r="N3508" s="508">
        <v>14.089</v>
      </c>
      <c r="O3508" s="508">
        <v>14.089</v>
      </c>
      <c r="P3508" s="508">
        <v>14.089</v>
      </c>
      <c r="Q3508" s="508">
        <v>14.089</v>
      </c>
      <c r="R3508" s="508">
        <v>14.089</v>
      </c>
      <c r="S3508" s="508">
        <v>14.089</v>
      </c>
      <c r="T3508" s="508">
        <v>14.089</v>
      </c>
      <c r="U3508" s="508">
        <v>14.089</v>
      </c>
      <c r="V3508" s="508">
        <v>6.4080000000000004</v>
      </c>
      <c r="W3508" s="508">
        <v>6.4080000000000004</v>
      </c>
      <c r="X3508" s="508">
        <v>6.4080000000000004</v>
      </c>
      <c r="Y3508" s="508">
        <v>6.4080000000000004</v>
      </c>
      <c r="Z3508" s="508">
        <v>6.4080000000000004</v>
      </c>
      <c r="AA3508" s="508">
        <v>1.538</v>
      </c>
      <c r="AB3508" s="508">
        <v>1.538</v>
      </c>
      <c r="AC3508" s="508">
        <v>1.538</v>
      </c>
      <c r="AD3508" s="508">
        <v>1.2889999999999999</v>
      </c>
      <c r="AE3508" s="508">
        <v>1.2889999999999999</v>
      </c>
      <c r="AF3508" s="508">
        <v>1.2889999999999999</v>
      </c>
      <c r="AG3508" s="508">
        <v>1.2889999999999999</v>
      </c>
      <c r="AH3508" s="508">
        <v>1.2829999999999999</v>
      </c>
      <c r="AI3508" s="492">
        <v>1.2829999999999999</v>
      </c>
      <c r="AJ3508" s="485"/>
    </row>
    <row r="3509" spans="2:36">
      <c r="B3509" s="136" t="s">
        <v>454</v>
      </c>
      <c r="C3509" s="132" t="s">
        <v>1377</v>
      </c>
      <c r="D3509" s="132" t="s">
        <v>283</v>
      </c>
      <c r="E3509" s="508"/>
      <c r="F3509" s="508"/>
      <c r="G3509" s="508"/>
      <c r="H3509" s="508"/>
      <c r="I3509" s="508"/>
      <c r="J3509" s="508">
        <v>14.134</v>
      </c>
      <c r="K3509" s="508">
        <v>14.134</v>
      </c>
      <c r="L3509" s="508">
        <v>14.134</v>
      </c>
      <c r="M3509" s="508">
        <v>14.134</v>
      </c>
      <c r="N3509" s="508">
        <v>14.134</v>
      </c>
      <c r="O3509" s="508">
        <v>14.134</v>
      </c>
      <c r="P3509" s="508">
        <v>14.134</v>
      </c>
      <c r="Q3509" s="508">
        <v>14.134</v>
      </c>
      <c r="R3509" s="508">
        <v>14.134</v>
      </c>
      <c r="S3509" s="508">
        <v>14.134</v>
      </c>
      <c r="T3509" s="508">
        <v>14.134</v>
      </c>
      <c r="U3509" s="508">
        <v>14.134</v>
      </c>
      <c r="V3509" s="508">
        <v>6.4359999999999999</v>
      </c>
      <c r="W3509" s="508">
        <v>6.4359999999999999</v>
      </c>
      <c r="X3509" s="508">
        <v>6.4359999999999999</v>
      </c>
      <c r="Y3509" s="508">
        <v>6.4359999999999999</v>
      </c>
      <c r="Z3509" s="508">
        <v>6.4359999999999999</v>
      </c>
      <c r="AA3509" s="508">
        <v>1.5449999999999999</v>
      </c>
      <c r="AB3509" s="508">
        <v>1.5449999999999999</v>
      </c>
      <c r="AC3509" s="508">
        <v>1.5449999999999999</v>
      </c>
      <c r="AD3509" s="508">
        <v>1.2949999999999999</v>
      </c>
      <c r="AE3509" s="508">
        <v>1.2949999999999999</v>
      </c>
      <c r="AF3509" s="508">
        <v>1.2949999999999999</v>
      </c>
      <c r="AG3509" s="508">
        <v>1.2949999999999999</v>
      </c>
      <c r="AH3509" s="508">
        <v>1.29</v>
      </c>
      <c r="AI3509" s="492">
        <v>1.29</v>
      </c>
      <c r="AJ3509" s="485"/>
    </row>
    <row r="3510" spans="2:36">
      <c r="B3510" s="136" t="s">
        <v>455</v>
      </c>
      <c r="C3510" s="132" t="s">
        <v>1377</v>
      </c>
      <c r="D3510" s="132" t="s">
        <v>283</v>
      </c>
      <c r="E3510" s="508"/>
      <c r="F3510" s="508"/>
      <c r="G3510" s="508"/>
      <c r="H3510" s="508"/>
      <c r="I3510" s="508"/>
      <c r="J3510" s="508">
        <v>14.41</v>
      </c>
      <c r="K3510" s="508">
        <v>14.41</v>
      </c>
      <c r="L3510" s="508">
        <v>14.41</v>
      </c>
      <c r="M3510" s="508">
        <v>14.41</v>
      </c>
      <c r="N3510" s="508">
        <v>14.41</v>
      </c>
      <c r="O3510" s="508">
        <v>14.41</v>
      </c>
      <c r="P3510" s="508">
        <v>14.41</v>
      </c>
      <c r="Q3510" s="508">
        <v>14.41</v>
      </c>
      <c r="R3510" s="508">
        <v>14.41</v>
      </c>
      <c r="S3510" s="508">
        <v>14.41</v>
      </c>
      <c r="T3510" s="508">
        <v>14.41</v>
      </c>
      <c r="U3510" s="508">
        <v>14.41</v>
      </c>
      <c r="V3510" s="508">
        <v>6.524</v>
      </c>
      <c r="W3510" s="508">
        <v>6.524</v>
      </c>
      <c r="X3510" s="508">
        <v>6.524</v>
      </c>
      <c r="Y3510" s="508">
        <v>6.524</v>
      </c>
      <c r="Z3510" s="508">
        <v>6.524</v>
      </c>
      <c r="AA3510" s="508">
        <v>1.5660000000000001</v>
      </c>
      <c r="AB3510" s="508">
        <v>1.5660000000000001</v>
      </c>
      <c r="AC3510" s="508">
        <v>1.5660000000000001</v>
      </c>
      <c r="AD3510" s="508">
        <v>1.3120000000000001</v>
      </c>
      <c r="AE3510" s="508">
        <v>1.3120000000000001</v>
      </c>
      <c r="AF3510" s="508">
        <v>1.3120000000000001</v>
      </c>
      <c r="AG3510" s="508">
        <v>1.3120000000000001</v>
      </c>
      <c r="AH3510" s="508">
        <v>1.306</v>
      </c>
      <c r="AI3510" s="492">
        <v>1.306</v>
      </c>
      <c r="AJ3510" s="485"/>
    </row>
    <row r="3511" spans="2:36">
      <c r="B3511" s="136" t="s">
        <v>456</v>
      </c>
      <c r="C3511" s="132" t="s">
        <v>1377</v>
      </c>
      <c r="D3511" s="132" t="s">
        <v>283</v>
      </c>
      <c r="E3511" s="508"/>
      <c r="F3511" s="508"/>
      <c r="G3511" s="508"/>
      <c r="H3511" s="508"/>
      <c r="I3511" s="508"/>
      <c r="J3511" s="508">
        <v>14.117000000000001</v>
      </c>
      <c r="K3511" s="508">
        <v>14.117000000000001</v>
      </c>
      <c r="L3511" s="508">
        <v>14.117000000000001</v>
      </c>
      <c r="M3511" s="508">
        <v>14.117000000000001</v>
      </c>
      <c r="N3511" s="508">
        <v>14.117000000000001</v>
      </c>
      <c r="O3511" s="508">
        <v>14.117000000000001</v>
      </c>
      <c r="P3511" s="508">
        <v>14.117000000000001</v>
      </c>
      <c r="Q3511" s="508">
        <v>14.117000000000001</v>
      </c>
      <c r="R3511" s="508">
        <v>14.117000000000001</v>
      </c>
      <c r="S3511" s="508">
        <v>14.117000000000001</v>
      </c>
      <c r="T3511" s="508">
        <v>14.117000000000001</v>
      </c>
      <c r="U3511" s="508">
        <v>14.117000000000001</v>
      </c>
      <c r="V3511" s="508">
        <v>6.4279999999999999</v>
      </c>
      <c r="W3511" s="508">
        <v>6.4279999999999999</v>
      </c>
      <c r="X3511" s="508">
        <v>6.4279999999999999</v>
      </c>
      <c r="Y3511" s="508">
        <v>6.4279999999999999</v>
      </c>
      <c r="Z3511" s="508">
        <v>6.4279999999999999</v>
      </c>
      <c r="AA3511" s="508">
        <v>1.5429999999999999</v>
      </c>
      <c r="AB3511" s="508">
        <v>1.5429999999999999</v>
      </c>
      <c r="AC3511" s="508">
        <v>1.5429999999999999</v>
      </c>
      <c r="AD3511" s="508">
        <v>1.2949999999999999</v>
      </c>
      <c r="AE3511" s="508">
        <v>1.2949999999999999</v>
      </c>
      <c r="AF3511" s="508">
        <v>1.2949999999999999</v>
      </c>
      <c r="AG3511" s="508">
        <v>1.2949999999999999</v>
      </c>
      <c r="AH3511" s="508">
        <v>1.2889999999999999</v>
      </c>
      <c r="AI3511" s="492">
        <v>1.2889999999999999</v>
      </c>
      <c r="AJ3511" s="485"/>
    </row>
    <row r="3512" spans="2:36">
      <c r="B3512" s="136" t="s">
        <v>457</v>
      </c>
      <c r="C3512" s="132" t="s">
        <v>1377</v>
      </c>
      <c r="D3512" s="132" t="s">
        <v>283</v>
      </c>
      <c r="E3512" s="508"/>
      <c r="F3512" s="508"/>
      <c r="G3512" s="508"/>
      <c r="H3512" s="508"/>
      <c r="I3512" s="508"/>
      <c r="J3512" s="508">
        <v>14.146000000000001</v>
      </c>
      <c r="K3512" s="508">
        <v>14.146000000000001</v>
      </c>
      <c r="L3512" s="508">
        <v>14.146000000000001</v>
      </c>
      <c r="M3512" s="508">
        <v>14.146000000000001</v>
      </c>
      <c r="N3512" s="508">
        <v>14.146000000000001</v>
      </c>
      <c r="O3512" s="508">
        <v>14.146000000000001</v>
      </c>
      <c r="P3512" s="508">
        <v>14.146000000000001</v>
      </c>
      <c r="Q3512" s="508">
        <v>14.146000000000001</v>
      </c>
      <c r="R3512" s="508">
        <v>14.146000000000001</v>
      </c>
      <c r="S3512" s="508">
        <v>14.146000000000001</v>
      </c>
      <c r="T3512" s="508">
        <v>14.146000000000001</v>
      </c>
      <c r="U3512" s="508">
        <v>14.146000000000001</v>
      </c>
      <c r="V3512" s="508">
        <v>6.4269999999999996</v>
      </c>
      <c r="W3512" s="508">
        <v>6.4269999999999996</v>
      </c>
      <c r="X3512" s="508">
        <v>6.4269999999999996</v>
      </c>
      <c r="Y3512" s="508">
        <v>6.4269999999999996</v>
      </c>
      <c r="Z3512" s="508">
        <v>6.4269999999999996</v>
      </c>
      <c r="AA3512" s="508">
        <v>1.5429999999999999</v>
      </c>
      <c r="AB3512" s="508">
        <v>1.5429999999999999</v>
      </c>
      <c r="AC3512" s="508">
        <v>1.5429999999999999</v>
      </c>
      <c r="AD3512" s="508">
        <v>1.2909999999999999</v>
      </c>
      <c r="AE3512" s="508">
        <v>1.2909999999999999</v>
      </c>
      <c r="AF3512" s="508">
        <v>1.2909999999999999</v>
      </c>
      <c r="AG3512" s="508">
        <v>1.2909999999999999</v>
      </c>
      <c r="AH3512" s="508">
        <v>1.2849999999999999</v>
      </c>
      <c r="AI3512" s="492">
        <v>1.2849999999999999</v>
      </c>
      <c r="AJ3512" s="485"/>
    </row>
    <row r="3513" spans="2:36">
      <c r="B3513" s="136" t="s">
        <v>458</v>
      </c>
      <c r="C3513" s="132" t="s">
        <v>1377</v>
      </c>
      <c r="D3513" s="132" t="s">
        <v>283</v>
      </c>
      <c r="E3513" s="508"/>
      <c r="F3513" s="508"/>
      <c r="G3513" s="508"/>
      <c r="H3513" s="508"/>
      <c r="I3513" s="508"/>
      <c r="J3513" s="508">
        <v>14.362</v>
      </c>
      <c r="K3513" s="508">
        <v>14.362</v>
      </c>
      <c r="L3513" s="508">
        <v>14.362</v>
      </c>
      <c r="M3513" s="508">
        <v>14.362</v>
      </c>
      <c r="N3513" s="508">
        <v>14.362</v>
      </c>
      <c r="O3513" s="508">
        <v>14.362</v>
      </c>
      <c r="P3513" s="508">
        <v>14.362</v>
      </c>
      <c r="Q3513" s="508">
        <v>14.362</v>
      </c>
      <c r="R3513" s="508">
        <v>14.362</v>
      </c>
      <c r="S3513" s="508">
        <v>14.362</v>
      </c>
      <c r="T3513" s="508">
        <v>14.362</v>
      </c>
      <c r="U3513" s="508">
        <v>14.362</v>
      </c>
      <c r="V3513" s="508">
        <v>6.5350000000000001</v>
      </c>
      <c r="W3513" s="508">
        <v>6.5350000000000001</v>
      </c>
      <c r="X3513" s="508">
        <v>6.5350000000000001</v>
      </c>
      <c r="Y3513" s="508">
        <v>6.5350000000000001</v>
      </c>
      <c r="Z3513" s="508">
        <v>6.5350000000000001</v>
      </c>
      <c r="AA3513" s="508">
        <v>1.569</v>
      </c>
      <c r="AB3513" s="508">
        <v>1.569</v>
      </c>
      <c r="AC3513" s="508">
        <v>1.569</v>
      </c>
      <c r="AD3513" s="508">
        <v>1.3169999999999999</v>
      </c>
      <c r="AE3513" s="508">
        <v>1.3169999999999999</v>
      </c>
      <c r="AF3513" s="508">
        <v>1.3169999999999999</v>
      </c>
      <c r="AG3513" s="508">
        <v>1.3169999999999999</v>
      </c>
      <c r="AH3513" s="508">
        <v>1.3109999999999999</v>
      </c>
      <c r="AI3513" s="492">
        <v>1.3109999999999999</v>
      </c>
      <c r="AJ3513" s="485"/>
    </row>
    <row r="3514" spans="2:36">
      <c r="B3514" s="136" t="s">
        <v>459</v>
      </c>
      <c r="C3514" s="132" t="s">
        <v>1377</v>
      </c>
      <c r="D3514" s="132" t="s">
        <v>283</v>
      </c>
      <c r="E3514" s="508"/>
      <c r="F3514" s="508"/>
      <c r="G3514" s="508"/>
      <c r="H3514" s="508"/>
      <c r="I3514" s="508"/>
      <c r="J3514" s="508">
        <v>14.361000000000001</v>
      </c>
      <c r="K3514" s="508">
        <v>14.361000000000001</v>
      </c>
      <c r="L3514" s="508">
        <v>14.361000000000001</v>
      </c>
      <c r="M3514" s="508">
        <v>14.361000000000001</v>
      </c>
      <c r="N3514" s="508">
        <v>14.361000000000001</v>
      </c>
      <c r="O3514" s="508">
        <v>14.361000000000001</v>
      </c>
      <c r="P3514" s="508">
        <v>14.361000000000001</v>
      </c>
      <c r="Q3514" s="508">
        <v>14.361000000000001</v>
      </c>
      <c r="R3514" s="508">
        <v>14.361000000000001</v>
      </c>
      <c r="S3514" s="508">
        <v>14.361000000000001</v>
      </c>
      <c r="T3514" s="508">
        <v>14.361000000000001</v>
      </c>
      <c r="U3514" s="508">
        <v>14.361000000000001</v>
      </c>
      <c r="V3514" s="508">
        <v>6.5339999999999998</v>
      </c>
      <c r="W3514" s="508">
        <v>6.5339999999999998</v>
      </c>
      <c r="X3514" s="508">
        <v>6.5339999999999998</v>
      </c>
      <c r="Y3514" s="508">
        <v>6.5339999999999998</v>
      </c>
      <c r="Z3514" s="508">
        <v>6.5339999999999998</v>
      </c>
      <c r="AA3514" s="508">
        <v>1.569</v>
      </c>
      <c r="AB3514" s="508">
        <v>1.569</v>
      </c>
      <c r="AC3514" s="508">
        <v>1.569</v>
      </c>
      <c r="AD3514" s="508">
        <v>1.3160000000000001</v>
      </c>
      <c r="AE3514" s="508">
        <v>1.3160000000000001</v>
      </c>
      <c r="AF3514" s="508">
        <v>1.3160000000000001</v>
      </c>
      <c r="AG3514" s="508">
        <v>1.3160000000000001</v>
      </c>
      <c r="AH3514" s="508">
        <v>1.3109999999999999</v>
      </c>
      <c r="AI3514" s="492">
        <v>1.3109999999999999</v>
      </c>
      <c r="AJ3514" s="485"/>
    </row>
    <row r="3515" spans="2:36">
      <c r="B3515" s="136" t="s">
        <v>460</v>
      </c>
      <c r="C3515" s="132" t="s">
        <v>1377</v>
      </c>
      <c r="D3515" s="132" t="s">
        <v>283</v>
      </c>
      <c r="E3515" s="508"/>
      <c r="F3515" s="508"/>
      <c r="G3515" s="508"/>
      <c r="H3515" s="508"/>
      <c r="I3515" s="508"/>
      <c r="J3515" s="508">
        <v>14.138999999999999</v>
      </c>
      <c r="K3515" s="508">
        <v>14.138999999999999</v>
      </c>
      <c r="L3515" s="508">
        <v>14.138999999999999</v>
      </c>
      <c r="M3515" s="508">
        <v>14.138999999999999</v>
      </c>
      <c r="N3515" s="508">
        <v>14.138999999999999</v>
      </c>
      <c r="O3515" s="508">
        <v>14.138999999999999</v>
      </c>
      <c r="P3515" s="508">
        <v>14.138999999999999</v>
      </c>
      <c r="Q3515" s="508">
        <v>14.138999999999999</v>
      </c>
      <c r="R3515" s="508">
        <v>14.138999999999999</v>
      </c>
      <c r="S3515" s="508">
        <v>14.138999999999999</v>
      </c>
      <c r="T3515" s="508">
        <v>14.138999999999999</v>
      </c>
      <c r="U3515" s="508">
        <v>14.138999999999999</v>
      </c>
      <c r="V3515" s="508">
        <v>6.4390000000000001</v>
      </c>
      <c r="W3515" s="508">
        <v>6.4390000000000001</v>
      </c>
      <c r="X3515" s="508">
        <v>6.4390000000000001</v>
      </c>
      <c r="Y3515" s="508">
        <v>6.4390000000000001</v>
      </c>
      <c r="Z3515" s="508">
        <v>6.4390000000000001</v>
      </c>
      <c r="AA3515" s="508">
        <v>1.546</v>
      </c>
      <c r="AB3515" s="508">
        <v>1.546</v>
      </c>
      <c r="AC3515" s="508">
        <v>1.546</v>
      </c>
      <c r="AD3515" s="508">
        <v>1.298</v>
      </c>
      <c r="AE3515" s="508">
        <v>1.298</v>
      </c>
      <c r="AF3515" s="508">
        <v>1.298</v>
      </c>
      <c r="AG3515" s="508">
        <v>1.298</v>
      </c>
      <c r="AH3515" s="508">
        <v>1.292</v>
      </c>
      <c r="AI3515" s="492">
        <v>1.292</v>
      </c>
      <c r="AJ3515" s="485"/>
    </row>
    <row r="3516" spans="2:36">
      <c r="B3516" s="136" t="s">
        <v>461</v>
      </c>
      <c r="C3516" s="132" t="s">
        <v>1377</v>
      </c>
      <c r="D3516" s="132" t="s">
        <v>283</v>
      </c>
      <c r="E3516" s="508"/>
      <c r="F3516" s="508"/>
      <c r="G3516" s="508"/>
      <c r="H3516" s="508"/>
      <c r="I3516" s="508"/>
      <c r="J3516" s="508">
        <v>14.045</v>
      </c>
      <c r="K3516" s="508">
        <v>14.045</v>
      </c>
      <c r="L3516" s="508">
        <v>14.045</v>
      </c>
      <c r="M3516" s="508">
        <v>14.045</v>
      </c>
      <c r="N3516" s="508">
        <v>14.045</v>
      </c>
      <c r="O3516" s="508">
        <v>14.045</v>
      </c>
      <c r="P3516" s="508">
        <v>14.045</v>
      </c>
      <c r="Q3516" s="508">
        <v>14.045</v>
      </c>
      <c r="R3516" s="508">
        <v>14.045</v>
      </c>
      <c r="S3516" s="508">
        <v>14.045</v>
      </c>
      <c r="T3516" s="508">
        <v>14.045</v>
      </c>
      <c r="U3516" s="508">
        <v>14.045</v>
      </c>
      <c r="V3516" s="508">
        <v>6.4089999999999998</v>
      </c>
      <c r="W3516" s="508">
        <v>6.4089999999999998</v>
      </c>
      <c r="X3516" s="508">
        <v>6.4089999999999998</v>
      </c>
      <c r="Y3516" s="508">
        <v>6.4089999999999998</v>
      </c>
      <c r="Z3516" s="508">
        <v>6.4089999999999998</v>
      </c>
      <c r="AA3516" s="508">
        <v>1.5389999999999999</v>
      </c>
      <c r="AB3516" s="508">
        <v>1.5389999999999999</v>
      </c>
      <c r="AC3516" s="508">
        <v>1.5389999999999999</v>
      </c>
      <c r="AD3516" s="508">
        <v>1.29</v>
      </c>
      <c r="AE3516" s="508">
        <v>1.29</v>
      </c>
      <c r="AF3516" s="508">
        <v>1.29</v>
      </c>
      <c r="AG3516" s="508">
        <v>1.29</v>
      </c>
      <c r="AH3516" s="508">
        <v>1.2849999999999999</v>
      </c>
      <c r="AI3516" s="492">
        <v>1.2849999999999999</v>
      </c>
      <c r="AJ3516" s="485"/>
    </row>
    <row r="3517" spans="2:36">
      <c r="B3517" s="136" t="s">
        <v>462</v>
      </c>
      <c r="C3517" s="132" t="s">
        <v>1377</v>
      </c>
      <c r="D3517" s="132" t="s">
        <v>283</v>
      </c>
      <c r="E3517" s="508"/>
      <c r="F3517" s="508"/>
      <c r="G3517" s="508"/>
      <c r="H3517" s="508"/>
      <c r="I3517" s="508"/>
      <c r="J3517" s="508">
        <v>13.874000000000001</v>
      </c>
      <c r="K3517" s="508">
        <v>13.874000000000001</v>
      </c>
      <c r="L3517" s="508">
        <v>13.874000000000001</v>
      </c>
      <c r="M3517" s="508">
        <v>13.874000000000001</v>
      </c>
      <c r="N3517" s="508">
        <v>13.874000000000001</v>
      </c>
      <c r="O3517" s="508">
        <v>13.874000000000001</v>
      </c>
      <c r="P3517" s="508">
        <v>13.874000000000001</v>
      </c>
      <c r="Q3517" s="508">
        <v>13.874000000000001</v>
      </c>
      <c r="R3517" s="508">
        <v>13.874000000000001</v>
      </c>
      <c r="S3517" s="508">
        <v>13.874000000000001</v>
      </c>
      <c r="T3517" s="508">
        <v>13.874000000000001</v>
      </c>
      <c r="U3517" s="508">
        <v>13.874000000000001</v>
      </c>
      <c r="V3517" s="508">
        <v>6.3369999999999997</v>
      </c>
      <c r="W3517" s="508">
        <v>6.3369999999999997</v>
      </c>
      <c r="X3517" s="508">
        <v>6.3369999999999997</v>
      </c>
      <c r="Y3517" s="508">
        <v>6.3369999999999997</v>
      </c>
      <c r="Z3517" s="508">
        <v>6.3369999999999997</v>
      </c>
      <c r="AA3517" s="508">
        <v>1.522</v>
      </c>
      <c r="AB3517" s="508">
        <v>1.522</v>
      </c>
      <c r="AC3517" s="508">
        <v>1.522</v>
      </c>
      <c r="AD3517" s="508">
        <v>1.2749999999999999</v>
      </c>
      <c r="AE3517" s="508">
        <v>1.2749999999999999</v>
      </c>
      <c r="AF3517" s="508">
        <v>1.2749999999999999</v>
      </c>
      <c r="AG3517" s="508">
        <v>1.2749999999999999</v>
      </c>
      <c r="AH3517" s="508">
        <v>1.2689999999999999</v>
      </c>
      <c r="AI3517" s="492">
        <v>1.2689999999999999</v>
      </c>
      <c r="AJ3517" s="485"/>
    </row>
    <row r="3518" spans="2:36">
      <c r="B3518" s="136" t="s">
        <v>463</v>
      </c>
      <c r="C3518" s="132" t="s">
        <v>1377</v>
      </c>
      <c r="D3518" s="132" t="s">
        <v>283</v>
      </c>
      <c r="E3518" s="508"/>
      <c r="F3518" s="508"/>
      <c r="G3518" s="508"/>
      <c r="H3518" s="508"/>
      <c r="I3518" s="508"/>
      <c r="J3518" s="508">
        <v>14.507</v>
      </c>
      <c r="K3518" s="508">
        <v>14.507</v>
      </c>
      <c r="L3518" s="508">
        <v>14.507</v>
      </c>
      <c r="M3518" s="508">
        <v>14.507</v>
      </c>
      <c r="N3518" s="508">
        <v>14.507</v>
      </c>
      <c r="O3518" s="508">
        <v>14.507</v>
      </c>
      <c r="P3518" s="508">
        <v>14.507</v>
      </c>
      <c r="Q3518" s="508">
        <v>14.507</v>
      </c>
      <c r="R3518" s="508">
        <v>14.507</v>
      </c>
      <c r="S3518" s="508">
        <v>14.507</v>
      </c>
      <c r="T3518" s="508">
        <v>14.507</v>
      </c>
      <c r="U3518" s="508">
        <v>14.507</v>
      </c>
      <c r="V3518" s="508">
        <v>6.5759999999999996</v>
      </c>
      <c r="W3518" s="508">
        <v>6.5759999999999996</v>
      </c>
      <c r="X3518" s="508">
        <v>6.5759999999999996</v>
      </c>
      <c r="Y3518" s="508">
        <v>6.5759999999999996</v>
      </c>
      <c r="Z3518" s="508">
        <v>6.5759999999999996</v>
      </c>
      <c r="AA3518" s="508">
        <v>1.579</v>
      </c>
      <c r="AB3518" s="508">
        <v>1.579</v>
      </c>
      <c r="AC3518" s="508">
        <v>1.579</v>
      </c>
      <c r="AD3518" s="508">
        <v>1.3220000000000001</v>
      </c>
      <c r="AE3518" s="508">
        <v>1.3220000000000001</v>
      </c>
      <c r="AF3518" s="508">
        <v>1.3220000000000001</v>
      </c>
      <c r="AG3518" s="508">
        <v>1.3220000000000001</v>
      </c>
      <c r="AH3518" s="508">
        <v>1.3160000000000001</v>
      </c>
      <c r="AI3518" s="492">
        <v>1.3160000000000001</v>
      </c>
      <c r="AJ3518" s="485"/>
    </row>
    <row r="3519" spans="2:36">
      <c r="B3519" s="136" t="s">
        <v>464</v>
      </c>
      <c r="C3519" s="132" t="s">
        <v>1377</v>
      </c>
      <c r="D3519" s="132" t="s">
        <v>283</v>
      </c>
      <c r="E3519" s="508"/>
      <c r="F3519" s="508"/>
      <c r="G3519" s="508"/>
      <c r="H3519" s="508"/>
      <c r="I3519" s="508"/>
      <c r="J3519" s="508">
        <v>14.231</v>
      </c>
      <c r="K3519" s="508">
        <v>14.231</v>
      </c>
      <c r="L3519" s="508">
        <v>14.231</v>
      </c>
      <c r="M3519" s="508">
        <v>14.231</v>
      </c>
      <c r="N3519" s="508">
        <v>14.231</v>
      </c>
      <c r="O3519" s="508">
        <v>14.231</v>
      </c>
      <c r="P3519" s="508">
        <v>14.231</v>
      </c>
      <c r="Q3519" s="508">
        <v>14.231</v>
      </c>
      <c r="R3519" s="508">
        <v>14.231</v>
      </c>
      <c r="S3519" s="508">
        <v>14.231</v>
      </c>
      <c r="T3519" s="508">
        <v>14.231</v>
      </c>
      <c r="U3519" s="508">
        <v>14.231</v>
      </c>
      <c r="V3519" s="508">
        <v>6.452</v>
      </c>
      <c r="W3519" s="508">
        <v>6.452</v>
      </c>
      <c r="X3519" s="508">
        <v>6.452</v>
      </c>
      <c r="Y3519" s="508">
        <v>6.452</v>
      </c>
      <c r="Z3519" s="508">
        <v>6.452</v>
      </c>
      <c r="AA3519" s="508">
        <v>1.5489999999999999</v>
      </c>
      <c r="AB3519" s="508">
        <v>1.5489999999999999</v>
      </c>
      <c r="AC3519" s="508">
        <v>1.5489999999999999</v>
      </c>
      <c r="AD3519" s="508">
        <v>1.2969999999999999</v>
      </c>
      <c r="AE3519" s="508">
        <v>1.2969999999999999</v>
      </c>
      <c r="AF3519" s="508">
        <v>1.2969999999999999</v>
      </c>
      <c r="AG3519" s="508">
        <v>1.2969999999999999</v>
      </c>
      <c r="AH3519" s="508">
        <v>1.2909999999999999</v>
      </c>
      <c r="AI3519" s="492">
        <v>1.2909999999999999</v>
      </c>
      <c r="AJ3519" s="485"/>
    </row>
    <row r="3520" spans="2:36">
      <c r="B3520" s="136" t="s">
        <v>465</v>
      </c>
      <c r="C3520" s="132" t="s">
        <v>1377</v>
      </c>
      <c r="D3520" s="132" t="s">
        <v>283</v>
      </c>
      <c r="E3520" s="508"/>
      <c r="F3520" s="508"/>
      <c r="G3520" s="508"/>
      <c r="H3520" s="508"/>
      <c r="I3520" s="508"/>
      <c r="J3520" s="508">
        <v>14.35</v>
      </c>
      <c r="K3520" s="508">
        <v>14.35</v>
      </c>
      <c r="L3520" s="508">
        <v>14.35</v>
      </c>
      <c r="M3520" s="508">
        <v>14.35</v>
      </c>
      <c r="N3520" s="508">
        <v>14.35</v>
      </c>
      <c r="O3520" s="508">
        <v>14.35</v>
      </c>
      <c r="P3520" s="508">
        <v>14.35</v>
      </c>
      <c r="Q3520" s="508">
        <v>14.35</v>
      </c>
      <c r="R3520" s="508">
        <v>14.35</v>
      </c>
      <c r="S3520" s="508">
        <v>14.35</v>
      </c>
      <c r="T3520" s="508">
        <v>14.35</v>
      </c>
      <c r="U3520" s="508">
        <v>14.35</v>
      </c>
      <c r="V3520" s="508">
        <v>6.5010000000000003</v>
      </c>
      <c r="W3520" s="508">
        <v>6.5010000000000003</v>
      </c>
      <c r="X3520" s="508">
        <v>6.5010000000000003</v>
      </c>
      <c r="Y3520" s="508">
        <v>6.5010000000000003</v>
      </c>
      <c r="Z3520" s="508">
        <v>6.5010000000000003</v>
      </c>
      <c r="AA3520" s="508">
        <v>1.5609999999999999</v>
      </c>
      <c r="AB3520" s="508">
        <v>1.5609999999999999</v>
      </c>
      <c r="AC3520" s="508">
        <v>1.5609999999999999</v>
      </c>
      <c r="AD3520" s="508">
        <v>1.3080000000000001</v>
      </c>
      <c r="AE3520" s="508">
        <v>1.3080000000000001</v>
      </c>
      <c r="AF3520" s="508">
        <v>1.3080000000000001</v>
      </c>
      <c r="AG3520" s="508">
        <v>1.3080000000000001</v>
      </c>
      <c r="AH3520" s="508">
        <v>1.302</v>
      </c>
      <c r="AI3520" s="492">
        <v>1.302</v>
      </c>
      <c r="AJ3520" s="485"/>
    </row>
    <row r="3521" spans="2:36">
      <c r="B3521" s="136" t="s">
        <v>466</v>
      </c>
      <c r="C3521" s="132" t="s">
        <v>1377</v>
      </c>
      <c r="D3521" s="132" t="s">
        <v>283</v>
      </c>
      <c r="E3521" s="508"/>
      <c r="F3521" s="508"/>
      <c r="G3521" s="508"/>
      <c r="H3521" s="508"/>
      <c r="I3521" s="508"/>
      <c r="J3521" s="508">
        <v>13.99</v>
      </c>
      <c r="K3521" s="508">
        <v>13.99</v>
      </c>
      <c r="L3521" s="508">
        <v>13.99</v>
      </c>
      <c r="M3521" s="508">
        <v>13.99</v>
      </c>
      <c r="N3521" s="508">
        <v>13.99</v>
      </c>
      <c r="O3521" s="508">
        <v>13.99</v>
      </c>
      <c r="P3521" s="508">
        <v>13.99</v>
      </c>
      <c r="Q3521" s="508">
        <v>13.99</v>
      </c>
      <c r="R3521" s="508">
        <v>13.99</v>
      </c>
      <c r="S3521" s="508">
        <v>13.99</v>
      </c>
      <c r="T3521" s="508">
        <v>13.99</v>
      </c>
      <c r="U3521" s="508">
        <v>13.99</v>
      </c>
      <c r="V3521" s="508">
        <v>6.3860000000000001</v>
      </c>
      <c r="W3521" s="508">
        <v>6.3860000000000001</v>
      </c>
      <c r="X3521" s="508">
        <v>6.3849999999999998</v>
      </c>
      <c r="Y3521" s="508">
        <v>6.3860000000000001</v>
      </c>
      <c r="Z3521" s="508">
        <v>6.3849999999999998</v>
      </c>
      <c r="AA3521" s="508">
        <v>1.5329999999999999</v>
      </c>
      <c r="AB3521" s="508">
        <v>1.5329999999999999</v>
      </c>
      <c r="AC3521" s="508">
        <v>1.5329999999999999</v>
      </c>
      <c r="AD3521" s="508">
        <v>1.2889999999999999</v>
      </c>
      <c r="AE3521" s="508">
        <v>1.2889999999999999</v>
      </c>
      <c r="AF3521" s="508">
        <v>1.2889999999999999</v>
      </c>
      <c r="AG3521" s="508">
        <v>1.2889999999999999</v>
      </c>
      <c r="AH3521" s="508">
        <v>1.284</v>
      </c>
      <c r="AI3521" s="492">
        <v>1.284</v>
      </c>
      <c r="AJ3521" s="485"/>
    </row>
    <row r="3522" spans="2:36">
      <c r="B3522" s="136" t="s">
        <v>467</v>
      </c>
      <c r="C3522" s="132" t="s">
        <v>1377</v>
      </c>
      <c r="D3522" s="132" t="s">
        <v>283</v>
      </c>
      <c r="E3522" s="508"/>
      <c r="F3522" s="508"/>
      <c r="G3522" s="508"/>
      <c r="H3522" s="508"/>
      <c r="I3522" s="508"/>
      <c r="J3522" s="508">
        <v>14.032999999999999</v>
      </c>
      <c r="K3522" s="508">
        <v>14.032999999999999</v>
      </c>
      <c r="L3522" s="508">
        <v>14.032999999999999</v>
      </c>
      <c r="M3522" s="508">
        <v>14.032999999999999</v>
      </c>
      <c r="N3522" s="508">
        <v>14.032999999999999</v>
      </c>
      <c r="O3522" s="508">
        <v>14.032999999999999</v>
      </c>
      <c r="P3522" s="508">
        <v>14.032999999999999</v>
      </c>
      <c r="Q3522" s="508">
        <v>14.032999999999999</v>
      </c>
      <c r="R3522" s="508">
        <v>14.032999999999999</v>
      </c>
      <c r="S3522" s="508">
        <v>14.032999999999999</v>
      </c>
      <c r="T3522" s="508">
        <v>14.032999999999999</v>
      </c>
      <c r="U3522" s="508">
        <v>14.032999999999999</v>
      </c>
      <c r="V3522" s="508">
        <v>6.4020000000000001</v>
      </c>
      <c r="W3522" s="508">
        <v>6.4020000000000001</v>
      </c>
      <c r="X3522" s="508">
        <v>6.4020000000000001</v>
      </c>
      <c r="Y3522" s="508">
        <v>6.4020000000000001</v>
      </c>
      <c r="Z3522" s="508">
        <v>6.4020000000000001</v>
      </c>
      <c r="AA3522" s="508">
        <v>1.5369999999999999</v>
      </c>
      <c r="AB3522" s="508">
        <v>1.5369999999999999</v>
      </c>
      <c r="AC3522" s="508">
        <v>1.5369999999999999</v>
      </c>
      <c r="AD3522" s="508">
        <v>1.2889999999999999</v>
      </c>
      <c r="AE3522" s="508">
        <v>1.2889999999999999</v>
      </c>
      <c r="AF3522" s="508">
        <v>1.2889999999999999</v>
      </c>
      <c r="AG3522" s="508">
        <v>1.2889999999999999</v>
      </c>
      <c r="AH3522" s="508">
        <v>1.2829999999999999</v>
      </c>
      <c r="AI3522" s="492">
        <v>1.2829999999999999</v>
      </c>
      <c r="AJ3522" s="485"/>
    </row>
    <row r="3523" spans="2:36">
      <c r="B3523" s="136" t="s">
        <v>468</v>
      </c>
      <c r="C3523" s="132" t="s">
        <v>1377</v>
      </c>
      <c r="D3523" s="132" t="s">
        <v>283</v>
      </c>
      <c r="E3523" s="508"/>
      <c r="F3523" s="508"/>
      <c r="G3523" s="508"/>
      <c r="H3523" s="508"/>
      <c r="I3523" s="508"/>
      <c r="J3523" s="508">
        <v>14.651999999999999</v>
      </c>
      <c r="K3523" s="508">
        <v>14.651999999999999</v>
      </c>
      <c r="L3523" s="508">
        <v>14.651999999999999</v>
      </c>
      <c r="M3523" s="508">
        <v>14.651999999999999</v>
      </c>
      <c r="N3523" s="508">
        <v>14.651999999999999</v>
      </c>
      <c r="O3523" s="508">
        <v>14.651999999999999</v>
      </c>
      <c r="P3523" s="508">
        <v>14.651999999999999</v>
      </c>
      <c r="Q3523" s="508">
        <v>14.651999999999999</v>
      </c>
      <c r="R3523" s="508">
        <v>14.651999999999999</v>
      </c>
      <c r="S3523" s="508">
        <v>14.651999999999999</v>
      </c>
      <c r="T3523" s="508">
        <v>14.651999999999999</v>
      </c>
      <c r="U3523" s="508">
        <v>14.651999999999999</v>
      </c>
      <c r="V3523" s="508">
        <v>6.6050000000000004</v>
      </c>
      <c r="W3523" s="508">
        <v>6.6050000000000004</v>
      </c>
      <c r="X3523" s="508">
        <v>6.6050000000000004</v>
      </c>
      <c r="Y3523" s="508">
        <v>6.6050000000000004</v>
      </c>
      <c r="Z3523" s="508">
        <v>6.6050000000000004</v>
      </c>
      <c r="AA3523" s="508">
        <v>1.5860000000000001</v>
      </c>
      <c r="AB3523" s="508">
        <v>1.5860000000000001</v>
      </c>
      <c r="AC3523" s="508">
        <v>1.5860000000000001</v>
      </c>
      <c r="AD3523" s="508">
        <v>1.3280000000000001</v>
      </c>
      <c r="AE3523" s="508">
        <v>1.3280000000000001</v>
      </c>
      <c r="AF3523" s="508">
        <v>1.3280000000000001</v>
      </c>
      <c r="AG3523" s="508">
        <v>1.3280000000000001</v>
      </c>
      <c r="AH3523" s="508">
        <v>1.3220000000000001</v>
      </c>
      <c r="AI3523" s="492">
        <v>1.3220000000000001</v>
      </c>
      <c r="AJ3523" s="485"/>
    </row>
    <row r="3524" spans="2:36">
      <c r="B3524" s="136" t="s">
        <v>469</v>
      </c>
      <c r="C3524" s="132" t="s">
        <v>1377</v>
      </c>
      <c r="D3524" s="132" t="s">
        <v>283</v>
      </c>
      <c r="E3524" s="508"/>
      <c r="F3524" s="508"/>
      <c r="G3524" s="508"/>
      <c r="H3524" s="508"/>
      <c r="I3524" s="508"/>
      <c r="J3524" s="508">
        <v>14.206</v>
      </c>
      <c r="K3524" s="508">
        <v>14.206</v>
      </c>
      <c r="L3524" s="508">
        <v>14.206</v>
      </c>
      <c r="M3524" s="508">
        <v>14.206</v>
      </c>
      <c r="N3524" s="508">
        <v>14.206</v>
      </c>
      <c r="O3524" s="508">
        <v>14.206</v>
      </c>
      <c r="P3524" s="508">
        <v>14.206</v>
      </c>
      <c r="Q3524" s="508">
        <v>14.206</v>
      </c>
      <c r="R3524" s="508">
        <v>14.206</v>
      </c>
      <c r="S3524" s="508">
        <v>14.206</v>
      </c>
      <c r="T3524" s="508">
        <v>14.206</v>
      </c>
      <c r="U3524" s="508">
        <v>14.206</v>
      </c>
      <c r="V3524" s="508">
        <v>6.45</v>
      </c>
      <c r="W3524" s="508">
        <v>6.45</v>
      </c>
      <c r="X3524" s="508">
        <v>6.45</v>
      </c>
      <c r="Y3524" s="508">
        <v>6.45</v>
      </c>
      <c r="Z3524" s="508">
        <v>6.45</v>
      </c>
      <c r="AA3524" s="508">
        <v>1.5489999999999999</v>
      </c>
      <c r="AB3524" s="508">
        <v>1.5489999999999999</v>
      </c>
      <c r="AC3524" s="508">
        <v>1.5489999999999999</v>
      </c>
      <c r="AD3524" s="508">
        <v>1.298</v>
      </c>
      <c r="AE3524" s="508">
        <v>1.298</v>
      </c>
      <c r="AF3524" s="508">
        <v>1.298</v>
      </c>
      <c r="AG3524" s="508">
        <v>1.298</v>
      </c>
      <c r="AH3524" s="508">
        <v>1.292</v>
      </c>
      <c r="AI3524" s="492">
        <v>1.292</v>
      </c>
      <c r="AJ3524" s="485"/>
    </row>
    <row r="3525" spans="2:36">
      <c r="B3525" s="136" t="s">
        <v>470</v>
      </c>
      <c r="C3525" s="132" t="s">
        <v>1377</v>
      </c>
      <c r="D3525" s="132" t="s">
        <v>283</v>
      </c>
      <c r="E3525" s="508"/>
      <c r="F3525" s="508"/>
      <c r="G3525" s="508"/>
      <c r="H3525" s="508"/>
      <c r="I3525" s="508"/>
      <c r="J3525" s="508">
        <v>14.103</v>
      </c>
      <c r="K3525" s="508">
        <v>14.102</v>
      </c>
      <c r="L3525" s="508">
        <v>14.103</v>
      </c>
      <c r="M3525" s="508">
        <v>14.103</v>
      </c>
      <c r="N3525" s="508">
        <v>14.102</v>
      </c>
      <c r="O3525" s="508">
        <v>14.103</v>
      </c>
      <c r="P3525" s="508">
        <v>14.102</v>
      </c>
      <c r="Q3525" s="508">
        <v>14.103</v>
      </c>
      <c r="R3525" s="508">
        <v>14.102</v>
      </c>
      <c r="S3525" s="508">
        <v>14.103</v>
      </c>
      <c r="T3525" s="508">
        <v>14.102</v>
      </c>
      <c r="U3525" s="508">
        <v>14.102</v>
      </c>
      <c r="V3525" s="508">
        <v>6.4379999999999997</v>
      </c>
      <c r="W3525" s="508">
        <v>6.4379999999999997</v>
      </c>
      <c r="X3525" s="508">
        <v>6.4379999999999997</v>
      </c>
      <c r="Y3525" s="508">
        <v>6.4379999999999997</v>
      </c>
      <c r="Z3525" s="508">
        <v>6.4379999999999997</v>
      </c>
      <c r="AA3525" s="508">
        <v>1.546</v>
      </c>
      <c r="AB3525" s="508">
        <v>1.546</v>
      </c>
      <c r="AC3525" s="508">
        <v>1.546</v>
      </c>
      <c r="AD3525" s="508">
        <v>1.298</v>
      </c>
      <c r="AE3525" s="508">
        <v>1.298</v>
      </c>
      <c r="AF3525" s="508">
        <v>1.298</v>
      </c>
      <c r="AG3525" s="508">
        <v>1.298</v>
      </c>
      <c r="AH3525" s="508">
        <v>1.2929999999999999</v>
      </c>
      <c r="AI3525" s="492">
        <v>1.2929999999999999</v>
      </c>
      <c r="AJ3525" s="485"/>
    </row>
    <row r="3526" spans="2:36">
      <c r="B3526" s="136" t="s">
        <v>471</v>
      </c>
      <c r="C3526" s="132" t="s">
        <v>1377</v>
      </c>
      <c r="D3526" s="132" t="s">
        <v>283</v>
      </c>
      <c r="E3526" s="508"/>
      <c r="F3526" s="508"/>
      <c r="G3526" s="508"/>
      <c r="H3526" s="508"/>
      <c r="I3526" s="508"/>
      <c r="J3526" s="508">
        <v>13.959</v>
      </c>
      <c r="K3526" s="508">
        <v>13.959</v>
      </c>
      <c r="L3526" s="508">
        <v>13.959</v>
      </c>
      <c r="M3526" s="508">
        <v>13.959</v>
      </c>
      <c r="N3526" s="508">
        <v>13.959</v>
      </c>
      <c r="O3526" s="508">
        <v>13.959</v>
      </c>
      <c r="P3526" s="508">
        <v>13.959</v>
      </c>
      <c r="Q3526" s="508">
        <v>13.959</v>
      </c>
      <c r="R3526" s="508">
        <v>13.959</v>
      </c>
      <c r="S3526" s="508">
        <v>13.959</v>
      </c>
      <c r="T3526" s="508">
        <v>13.959</v>
      </c>
      <c r="U3526" s="508">
        <v>13.959</v>
      </c>
      <c r="V3526" s="508">
        <v>6.3789999999999996</v>
      </c>
      <c r="W3526" s="508">
        <v>6.3789999999999996</v>
      </c>
      <c r="X3526" s="508">
        <v>6.3789999999999996</v>
      </c>
      <c r="Y3526" s="508">
        <v>6.3789999999999996</v>
      </c>
      <c r="Z3526" s="508">
        <v>6.3789999999999996</v>
      </c>
      <c r="AA3526" s="508">
        <v>1.532</v>
      </c>
      <c r="AB3526" s="508">
        <v>1.532</v>
      </c>
      <c r="AC3526" s="508">
        <v>1.532</v>
      </c>
      <c r="AD3526" s="508">
        <v>1.2849999999999999</v>
      </c>
      <c r="AE3526" s="508">
        <v>1.2849999999999999</v>
      </c>
      <c r="AF3526" s="508">
        <v>1.2849999999999999</v>
      </c>
      <c r="AG3526" s="508">
        <v>1.2849999999999999</v>
      </c>
      <c r="AH3526" s="508">
        <v>1.28</v>
      </c>
      <c r="AI3526" s="492">
        <v>1.28</v>
      </c>
      <c r="AJ3526" s="485"/>
    </row>
    <row r="3527" spans="2:36">
      <c r="B3527" s="136" t="s">
        <v>472</v>
      </c>
      <c r="C3527" s="132" t="s">
        <v>1377</v>
      </c>
      <c r="D3527" s="132" t="s">
        <v>283</v>
      </c>
      <c r="E3527" s="508"/>
      <c r="F3527" s="508"/>
      <c r="G3527" s="508"/>
      <c r="H3527" s="508"/>
      <c r="I3527" s="508"/>
      <c r="J3527" s="508">
        <v>14.141</v>
      </c>
      <c r="K3527" s="508">
        <v>14.141</v>
      </c>
      <c r="L3527" s="508">
        <v>14.141</v>
      </c>
      <c r="M3527" s="508">
        <v>14.141</v>
      </c>
      <c r="N3527" s="508">
        <v>14.141</v>
      </c>
      <c r="O3527" s="508">
        <v>14.141</v>
      </c>
      <c r="P3527" s="508">
        <v>14.141</v>
      </c>
      <c r="Q3527" s="508">
        <v>14.141</v>
      </c>
      <c r="R3527" s="508">
        <v>14.141</v>
      </c>
      <c r="S3527" s="508">
        <v>14.141</v>
      </c>
      <c r="T3527" s="508">
        <v>14.141</v>
      </c>
      <c r="U3527" s="508">
        <v>14.141</v>
      </c>
      <c r="V3527" s="508">
        <v>6.4240000000000004</v>
      </c>
      <c r="W3527" s="508">
        <v>6.4240000000000004</v>
      </c>
      <c r="X3527" s="508">
        <v>6.4240000000000004</v>
      </c>
      <c r="Y3527" s="508">
        <v>6.4240000000000004</v>
      </c>
      <c r="Z3527" s="508">
        <v>6.4240000000000004</v>
      </c>
      <c r="AA3527" s="508">
        <v>1.542</v>
      </c>
      <c r="AB3527" s="508">
        <v>1.542</v>
      </c>
      <c r="AC3527" s="508">
        <v>1.542</v>
      </c>
      <c r="AD3527" s="508">
        <v>1.2909999999999999</v>
      </c>
      <c r="AE3527" s="508">
        <v>1.2909999999999999</v>
      </c>
      <c r="AF3527" s="508">
        <v>1.2909999999999999</v>
      </c>
      <c r="AG3527" s="508">
        <v>1.2909999999999999</v>
      </c>
      <c r="AH3527" s="508">
        <v>1.2849999999999999</v>
      </c>
      <c r="AI3527" s="492">
        <v>1.2849999999999999</v>
      </c>
      <c r="AJ3527" s="485"/>
    </row>
    <row r="3528" spans="2:36">
      <c r="B3528" s="136" t="s">
        <v>473</v>
      </c>
      <c r="C3528" s="132" t="s">
        <v>1377</v>
      </c>
      <c r="D3528" s="132" t="s">
        <v>283</v>
      </c>
      <c r="E3528" s="508"/>
      <c r="F3528" s="508"/>
      <c r="G3528" s="508"/>
      <c r="H3528" s="508"/>
      <c r="I3528" s="508"/>
      <c r="J3528" s="508">
        <v>13.939</v>
      </c>
      <c r="K3528" s="508">
        <v>13.939</v>
      </c>
      <c r="L3528" s="508">
        <v>13.939</v>
      </c>
      <c r="M3528" s="508">
        <v>13.939</v>
      </c>
      <c r="N3528" s="508">
        <v>13.939</v>
      </c>
      <c r="O3528" s="508">
        <v>13.939</v>
      </c>
      <c r="P3528" s="508">
        <v>13.939</v>
      </c>
      <c r="Q3528" s="508">
        <v>13.939</v>
      </c>
      <c r="R3528" s="508">
        <v>13.939</v>
      </c>
      <c r="S3528" s="508">
        <v>13.939</v>
      </c>
      <c r="T3528" s="508">
        <v>13.939</v>
      </c>
      <c r="U3528" s="508">
        <v>13.939</v>
      </c>
      <c r="V3528" s="508">
        <v>6.3710000000000004</v>
      </c>
      <c r="W3528" s="508">
        <v>6.3710000000000004</v>
      </c>
      <c r="X3528" s="508">
        <v>6.3710000000000004</v>
      </c>
      <c r="Y3528" s="508">
        <v>6.3710000000000004</v>
      </c>
      <c r="Z3528" s="508">
        <v>6.3710000000000004</v>
      </c>
      <c r="AA3528" s="508">
        <v>1.53</v>
      </c>
      <c r="AB3528" s="508">
        <v>1.53</v>
      </c>
      <c r="AC3528" s="508">
        <v>1.53</v>
      </c>
      <c r="AD3528" s="508">
        <v>1.2849999999999999</v>
      </c>
      <c r="AE3528" s="508">
        <v>1.2849999999999999</v>
      </c>
      <c r="AF3528" s="508">
        <v>1.2849999999999999</v>
      </c>
      <c r="AG3528" s="508">
        <v>1.2849999999999999</v>
      </c>
      <c r="AH3528" s="508">
        <v>1.2789999999999999</v>
      </c>
      <c r="AI3528" s="492">
        <v>1.2789999999999999</v>
      </c>
      <c r="AJ3528" s="485"/>
    </row>
    <row r="3529" spans="2:36">
      <c r="B3529" s="136" t="s">
        <v>474</v>
      </c>
      <c r="C3529" s="132" t="s">
        <v>1377</v>
      </c>
      <c r="D3529" s="132" t="s">
        <v>283</v>
      </c>
      <c r="E3529" s="508"/>
      <c r="F3529" s="508"/>
      <c r="G3529" s="508"/>
      <c r="H3529" s="508"/>
      <c r="I3529" s="508"/>
      <c r="J3529" s="508">
        <v>14.045999999999999</v>
      </c>
      <c r="K3529" s="508">
        <v>14.045999999999999</v>
      </c>
      <c r="L3529" s="508">
        <v>14.045999999999999</v>
      </c>
      <c r="M3529" s="508">
        <v>14.045999999999999</v>
      </c>
      <c r="N3529" s="508">
        <v>14.045999999999999</v>
      </c>
      <c r="O3529" s="508">
        <v>14.045999999999999</v>
      </c>
      <c r="P3529" s="508">
        <v>14.045999999999999</v>
      </c>
      <c r="Q3529" s="508">
        <v>14.045999999999999</v>
      </c>
      <c r="R3529" s="508">
        <v>14.045999999999999</v>
      </c>
      <c r="S3529" s="508">
        <v>14.045999999999999</v>
      </c>
      <c r="T3529" s="508">
        <v>14.045999999999999</v>
      </c>
      <c r="U3529" s="508">
        <v>14.045999999999999</v>
      </c>
      <c r="V3529" s="508">
        <v>6.4020000000000001</v>
      </c>
      <c r="W3529" s="508">
        <v>6.4020000000000001</v>
      </c>
      <c r="X3529" s="508">
        <v>6.4020000000000001</v>
      </c>
      <c r="Y3529" s="508">
        <v>6.4020000000000001</v>
      </c>
      <c r="Z3529" s="508">
        <v>6.4020000000000001</v>
      </c>
      <c r="AA3529" s="508">
        <v>1.5369999999999999</v>
      </c>
      <c r="AB3529" s="508">
        <v>1.5369999999999999</v>
      </c>
      <c r="AC3529" s="508">
        <v>1.5369999999999999</v>
      </c>
      <c r="AD3529" s="508">
        <v>1.2889999999999999</v>
      </c>
      <c r="AE3529" s="508">
        <v>1.2889999999999999</v>
      </c>
      <c r="AF3529" s="508">
        <v>1.2889999999999999</v>
      </c>
      <c r="AG3529" s="508">
        <v>1.2889999999999999</v>
      </c>
      <c r="AH3529" s="508">
        <v>1.284</v>
      </c>
      <c r="AI3529" s="492">
        <v>1.284</v>
      </c>
      <c r="AJ3529" s="485"/>
    </row>
    <row r="3530" spans="2:36">
      <c r="B3530" s="136" t="s">
        <v>475</v>
      </c>
      <c r="C3530" s="132" t="s">
        <v>1377</v>
      </c>
      <c r="D3530" s="132" t="s">
        <v>283</v>
      </c>
      <c r="E3530" s="508"/>
      <c r="F3530" s="508"/>
      <c r="G3530" s="508"/>
      <c r="H3530" s="508"/>
      <c r="I3530" s="508"/>
      <c r="J3530" s="508">
        <v>14.092000000000001</v>
      </c>
      <c r="K3530" s="508">
        <v>14.092000000000001</v>
      </c>
      <c r="L3530" s="508">
        <v>14.092000000000001</v>
      </c>
      <c r="M3530" s="508">
        <v>14.092000000000001</v>
      </c>
      <c r="N3530" s="508">
        <v>14.092000000000001</v>
      </c>
      <c r="O3530" s="508">
        <v>14.092000000000001</v>
      </c>
      <c r="P3530" s="508">
        <v>14.092000000000001</v>
      </c>
      <c r="Q3530" s="508">
        <v>14.092000000000001</v>
      </c>
      <c r="R3530" s="508">
        <v>14.092000000000001</v>
      </c>
      <c r="S3530" s="508">
        <v>14.092000000000001</v>
      </c>
      <c r="T3530" s="508">
        <v>14.092000000000001</v>
      </c>
      <c r="U3530" s="508">
        <v>14.092000000000001</v>
      </c>
      <c r="V3530" s="508">
        <v>6.4180000000000001</v>
      </c>
      <c r="W3530" s="508">
        <v>6.4180000000000001</v>
      </c>
      <c r="X3530" s="508">
        <v>6.4180000000000001</v>
      </c>
      <c r="Y3530" s="508">
        <v>6.4180000000000001</v>
      </c>
      <c r="Z3530" s="508">
        <v>6.4180000000000001</v>
      </c>
      <c r="AA3530" s="508">
        <v>1.5409999999999999</v>
      </c>
      <c r="AB3530" s="508">
        <v>1.5409999999999999</v>
      </c>
      <c r="AC3530" s="508">
        <v>1.5409999999999999</v>
      </c>
      <c r="AD3530" s="508">
        <v>1.292</v>
      </c>
      <c r="AE3530" s="508">
        <v>1.292</v>
      </c>
      <c r="AF3530" s="508">
        <v>1.292</v>
      </c>
      <c r="AG3530" s="508">
        <v>1.292</v>
      </c>
      <c r="AH3530" s="508">
        <v>1.286</v>
      </c>
      <c r="AI3530" s="492">
        <v>1.286</v>
      </c>
      <c r="AJ3530" s="485"/>
    </row>
    <row r="3531" spans="2:36">
      <c r="B3531" s="136" t="s">
        <v>476</v>
      </c>
      <c r="C3531" s="132" t="s">
        <v>1377</v>
      </c>
      <c r="D3531" s="132" t="s">
        <v>283</v>
      </c>
      <c r="E3531" s="508"/>
      <c r="F3531" s="508"/>
      <c r="G3531" s="508"/>
      <c r="H3531" s="508"/>
      <c r="I3531" s="508"/>
      <c r="J3531" s="508">
        <v>14.147</v>
      </c>
      <c r="K3531" s="508">
        <v>14.147</v>
      </c>
      <c r="L3531" s="508">
        <v>14.147</v>
      </c>
      <c r="M3531" s="508">
        <v>14.147</v>
      </c>
      <c r="N3531" s="508">
        <v>14.147</v>
      </c>
      <c r="O3531" s="508">
        <v>14.147</v>
      </c>
      <c r="P3531" s="508">
        <v>14.147</v>
      </c>
      <c r="Q3531" s="508">
        <v>14.147</v>
      </c>
      <c r="R3531" s="508">
        <v>14.147</v>
      </c>
      <c r="S3531" s="508">
        <v>14.147</v>
      </c>
      <c r="T3531" s="508">
        <v>14.147</v>
      </c>
      <c r="U3531" s="508">
        <v>14.147</v>
      </c>
      <c r="V3531" s="508">
        <v>6.4409999999999998</v>
      </c>
      <c r="W3531" s="508">
        <v>6.4409999999999998</v>
      </c>
      <c r="X3531" s="508">
        <v>6.4409999999999998</v>
      </c>
      <c r="Y3531" s="508">
        <v>6.4409999999999998</v>
      </c>
      <c r="Z3531" s="508">
        <v>6.4409999999999998</v>
      </c>
      <c r="AA3531" s="508">
        <v>1.546</v>
      </c>
      <c r="AB3531" s="508">
        <v>1.546</v>
      </c>
      <c r="AC3531" s="508">
        <v>1.546</v>
      </c>
      <c r="AD3531" s="508">
        <v>1.298</v>
      </c>
      <c r="AE3531" s="508">
        <v>1.298</v>
      </c>
      <c r="AF3531" s="508">
        <v>1.298</v>
      </c>
      <c r="AG3531" s="508">
        <v>1.298</v>
      </c>
      <c r="AH3531" s="508">
        <v>1.2929999999999999</v>
      </c>
      <c r="AI3531" s="492">
        <v>1.2929999999999999</v>
      </c>
      <c r="AJ3531" s="485"/>
    </row>
    <row r="3532" spans="2:36">
      <c r="B3532" s="136" t="s">
        <v>478</v>
      </c>
      <c r="C3532" s="132" t="s">
        <v>1377</v>
      </c>
      <c r="D3532" s="132" t="s">
        <v>283</v>
      </c>
      <c r="E3532" s="508"/>
      <c r="F3532" s="508"/>
      <c r="G3532" s="508"/>
      <c r="H3532" s="508"/>
      <c r="I3532" s="508"/>
      <c r="J3532" s="508">
        <v>14.276</v>
      </c>
      <c r="K3532" s="508">
        <v>14.276</v>
      </c>
      <c r="L3532" s="508">
        <v>14.276</v>
      </c>
      <c r="M3532" s="508">
        <v>14.276</v>
      </c>
      <c r="N3532" s="508">
        <v>14.276</v>
      </c>
      <c r="O3532" s="508">
        <v>14.276</v>
      </c>
      <c r="P3532" s="508">
        <v>14.276</v>
      </c>
      <c r="Q3532" s="508">
        <v>14.276</v>
      </c>
      <c r="R3532" s="508">
        <v>14.276</v>
      </c>
      <c r="S3532" s="508">
        <v>14.276</v>
      </c>
      <c r="T3532" s="508">
        <v>14.276</v>
      </c>
      <c r="U3532" s="508">
        <v>14.276</v>
      </c>
      <c r="V3532" s="508">
        <v>6.5039999999999996</v>
      </c>
      <c r="W3532" s="508">
        <v>6.5039999999999996</v>
      </c>
      <c r="X3532" s="508">
        <v>6.5039999999999996</v>
      </c>
      <c r="Y3532" s="508">
        <v>6.5039999999999996</v>
      </c>
      <c r="Z3532" s="508">
        <v>6.5039999999999996</v>
      </c>
      <c r="AA3532" s="508">
        <v>1.5609999999999999</v>
      </c>
      <c r="AB3532" s="508">
        <v>1.5609999999999999</v>
      </c>
      <c r="AC3532" s="508">
        <v>1.5609999999999999</v>
      </c>
      <c r="AD3532" s="508">
        <v>1.3120000000000001</v>
      </c>
      <c r="AE3532" s="508">
        <v>1.3120000000000001</v>
      </c>
      <c r="AF3532" s="508">
        <v>1.3120000000000001</v>
      </c>
      <c r="AG3532" s="508">
        <v>1.3120000000000001</v>
      </c>
      <c r="AH3532" s="508">
        <v>1.3069999999999999</v>
      </c>
      <c r="AI3532" s="492">
        <v>1.3069999999999999</v>
      </c>
      <c r="AJ3532" s="485"/>
    </row>
    <row r="3533" spans="2:36">
      <c r="B3533" s="136" t="s">
        <v>479</v>
      </c>
      <c r="C3533" s="132" t="s">
        <v>1377</v>
      </c>
      <c r="D3533" s="132" t="s">
        <v>283</v>
      </c>
      <c r="E3533" s="508"/>
      <c r="F3533" s="508"/>
      <c r="G3533" s="508"/>
      <c r="H3533" s="508"/>
      <c r="I3533" s="508"/>
      <c r="J3533" s="508">
        <v>14.185</v>
      </c>
      <c r="K3533" s="508">
        <v>14.185</v>
      </c>
      <c r="L3533" s="508">
        <v>14.185</v>
      </c>
      <c r="M3533" s="508">
        <v>14.185</v>
      </c>
      <c r="N3533" s="508">
        <v>14.185</v>
      </c>
      <c r="O3533" s="508">
        <v>14.185</v>
      </c>
      <c r="P3533" s="508">
        <v>14.185</v>
      </c>
      <c r="Q3533" s="508">
        <v>14.185</v>
      </c>
      <c r="R3533" s="508">
        <v>14.185</v>
      </c>
      <c r="S3533" s="508">
        <v>14.185</v>
      </c>
      <c r="T3533" s="508">
        <v>14.185</v>
      </c>
      <c r="U3533" s="508">
        <v>14.185</v>
      </c>
      <c r="V3533" s="508">
        <v>6.4459999999999997</v>
      </c>
      <c r="W3533" s="508">
        <v>6.4459999999999997</v>
      </c>
      <c r="X3533" s="508">
        <v>6.4459999999999997</v>
      </c>
      <c r="Y3533" s="508">
        <v>6.4459999999999997</v>
      </c>
      <c r="Z3533" s="508">
        <v>6.4459999999999997</v>
      </c>
      <c r="AA3533" s="508">
        <v>1.548</v>
      </c>
      <c r="AB3533" s="508">
        <v>1.548</v>
      </c>
      <c r="AC3533" s="508">
        <v>1.548</v>
      </c>
      <c r="AD3533" s="508">
        <v>1.298</v>
      </c>
      <c r="AE3533" s="508">
        <v>1.298</v>
      </c>
      <c r="AF3533" s="508">
        <v>1.298</v>
      </c>
      <c r="AG3533" s="508">
        <v>1.298</v>
      </c>
      <c r="AH3533" s="508">
        <v>1.292</v>
      </c>
      <c r="AI3533" s="492">
        <v>1.292</v>
      </c>
      <c r="AJ3533" s="485"/>
    </row>
    <row r="3534" spans="2:36">
      <c r="B3534" s="136" t="s">
        <v>480</v>
      </c>
      <c r="C3534" s="132" t="s">
        <v>1377</v>
      </c>
      <c r="D3534" s="132" t="s">
        <v>283</v>
      </c>
      <c r="E3534" s="508"/>
      <c r="F3534" s="508"/>
      <c r="G3534" s="508"/>
      <c r="H3534" s="508"/>
      <c r="I3534" s="508"/>
      <c r="J3534" s="508">
        <v>14.417</v>
      </c>
      <c r="K3534" s="508">
        <v>14.417</v>
      </c>
      <c r="L3534" s="508">
        <v>14.417</v>
      </c>
      <c r="M3534" s="508">
        <v>14.417</v>
      </c>
      <c r="N3534" s="508">
        <v>14.417</v>
      </c>
      <c r="O3534" s="508">
        <v>14.417</v>
      </c>
      <c r="P3534" s="508">
        <v>14.417</v>
      </c>
      <c r="Q3534" s="508">
        <v>14.417</v>
      </c>
      <c r="R3534" s="508">
        <v>14.417</v>
      </c>
      <c r="S3534" s="508">
        <v>14.417</v>
      </c>
      <c r="T3534" s="508">
        <v>14.417</v>
      </c>
      <c r="U3534" s="508">
        <v>14.417</v>
      </c>
      <c r="V3534" s="508">
        <v>6.52</v>
      </c>
      <c r="W3534" s="508">
        <v>6.52</v>
      </c>
      <c r="X3534" s="508">
        <v>6.52</v>
      </c>
      <c r="Y3534" s="508">
        <v>6.52</v>
      </c>
      <c r="Z3534" s="508">
        <v>6.52</v>
      </c>
      <c r="AA3534" s="508">
        <v>1.5649999999999999</v>
      </c>
      <c r="AB3534" s="508">
        <v>1.5649999999999999</v>
      </c>
      <c r="AC3534" s="508">
        <v>1.5649999999999999</v>
      </c>
      <c r="AD3534" s="508">
        <v>1.31</v>
      </c>
      <c r="AE3534" s="508">
        <v>1.31</v>
      </c>
      <c r="AF3534" s="508">
        <v>1.31</v>
      </c>
      <c r="AG3534" s="508">
        <v>1.31</v>
      </c>
      <c r="AH3534" s="508">
        <v>1.304</v>
      </c>
      <c r="AI3534" s="492">
        <v>1.304</v>
      </c>
      <c r="AJ3534" s="485"/>
    </row>
    <row r="3535" spans="2:36">
      <c r="B3535" s="136" t="s">
        <v>481</v>
      </c>
      <c r="C3535" s="132" t="s">
        <v>1377</v>
      </c>
      <c r="D3535" s="132" t="s">
        <v>283</v>
      </c>
      <c r="E3535" s="508"/>
      <c r="F3535" s="508"/>
      <c r="G3535" s="508"/>
      <c r="H3535" s="508"/>
      <c r="I3535" s="508"/>
      <c r="J3535" s="508">
        <v>14.196999999999999</v>
      </c>
      <c r="K3535" s="508">
        <v>14.196999999999999</v>
      </c>
      <c r="L3535" s="508">
        <v>14.196999999999999</v>
      </c>
      <c r="M3535" s="508">
        <v>14.196999999999999</v>
      </c>
      <c r="N3535" s="508">
        <v>14.196999999999999</v>
      </c>
      <c r="O3535" s="508">
        <v>14.196999999999999</v>
      </c>
      <c r="P3535" s="508">
        <v>14.196999999999999</v>
      </c>
      <c r="Q3535" s="508">
        <v>14.196999999999999</v>
      </c>
      <c r="R3535" s="508">
        <v>14.196999999999999</v>
      </c>
      <c r="S3535" s="508">
        <v>14.196999999999999</v>
      </c>
      <c r="T3535" s="508">
        <v>14.196999999999999</v>
      </c>
      <c r="U3535" s="508">
        <v>14.196999999999999</v>
      </c>
      <c r="V3535" s="508">
        <v>6.4569999999999999</v>
      </c>
      <c r="W3535" s="508">
        <v>6.4569999999999999</v>
      </c>
      <c r="X3535" s="508">
        <v>6.4569999999999999</v>
      </c>
      <c r="Y3535" s="508">
        <v>6.4569999999999999</v>
      </c>
      <c r="Z3535" s="508">
        <v>6.4569999999999999</v>
      </c>
      <c r="AA3535" s="508">
        <v>1.55</v>
      </c>
      <c r="AB3535" s="508">
        <v>1.55</v>
      </c>
      <c r="AC3535" s="508">
        <v>1.55</v>
      </c>
      <c r="AD3535" s="508">
        <v>1.3009999999999999</v>
      </c>
      <c r="AE3535" s="508">
        <v>1.3009999999999999</v>
      </c>
      <c r="AF3535" s="508">
        <v>1.3009999999999999</v>
      </c>
      <c r="AG3535" s="508">
        <v>1.3009999999999999</v>
      </c>
      <c r="AH3535" s="508">
        <v>1.2949999999999999</v>
      </c>
      <c r="AI3535" s="492">
        <v>1.2949999999999999</v>
      </c>
      <c r="AJ3535" s="485"/>
    </row>
    <row r="3536" spans="2:36">
      <c r="B3536" s="136" t="s">
        <v>482</v>
      </c>
      <c r="C3536" s="132" t="s">
        <v>1377</v>
      </c>
      <c r="D3536" s="132" t="s">
        <v>283</v>
      </c>
      <c r="E3536" s="508"/>
      <c r="F3536" s="508"/>
      <c r="G3536" s="508"/>
      <c r="H3536" s="508"/>
      <c r="I3536" s="508"/>
      <c r="J3536" s="508">
        <v>14.281000000000001</v>
      </c>
      <c r="K3536" s="508">
        <v>14.281000000000001</v>
      </c>
      <c r="L3536" s="508">
        <v>14.281000000000001</v>
      </c>
      <c r="M3536" s="508">
        <v>14.281000000000001</v>
      </c>
      <c r="N3536" s="508">
        <v>14.281000000000001</v>
      </c>
      <c r="O3536" s="508">
        <v>14.281000000000001</v>
      </c>
      <c r="P3536" s="508">
        <v>14.281000000000001</v>
      </c>
      <c r="Q3536" s="508">
        <v>14.281000000000001</v>
      </c>
      <c r="R3536" s="508">
        <v>14.281000000000001</v>
      </c>
      <c r="S3536" s="508">
        <v>14.281000000000001</v>
      </c>
      <c r="T3536" s="508">
        <v>14.281000000000001</v>
      </c>
      <c r="U3536" s="508">
        <v>14.281000000000001</v>
      </c>
      <c r="V3536" s="508">
        <v>6.4980000000000002</v>
      </c>
      <c r="W3536" s="508">
        <v>6.4980000000000002</v>
      </c>
      <c r="X3536" s="508">
        <v>6.4980000000000002</v>
      </c>
      <c r="Y3536" s="508">
        <v>6.4980000000000002</v>
      </c>
      <c r="Z3536" s="508">
        <v>6.4980000000000002</v>
      </c>
      <c r="AA3536" s="508">
        <v>1.56</v>
      </c>
      <c r="AB3536" s="508">
        <v>1.56</v>
      </c>
      <c r="AC3536" s="508">
        <v>1.56</v>
      </c>
      <c r="AD3536" s="508">
        <v>1.3089999999999999</v>
      </c>
      <c r="AE3536" s="508">
        <v>1.3089999999999999</v>
      </c>
      <c r="AF3536" s="508">
        <v>1.3089999999999999</v>
      </c>
      <c r="AG3536" s="508">
        <v>1.3089999999999999</v>
      </c>
      <c r="AH3536" s="508">
        <v>1.3029999999999999</v>
      </c>
      <c r="AI3536" s="492">
        <v>1.3029999999999999</v>
      </c>
      <c r="AJ3536" s="485"/>
    </row>
    <row r="3537" spans="2:36">
      <c r="B3537" s="136" t="s">
        <v>483</v>
      </c>
      <c r="C3537" s="132" t="s">
        <v>1377</v>
      </c>
      <c r="D3537" s="132" t="s">
        <v>283</v>
      </c>
      <c r="E3537" s="508"/>
      <c r="F3537" s="508"/>
      <c r="G3537" s="508"/>
      <c r="H3537" s="508"/>
      <c r="I3537" s="508"/>
      <c r="J3537" s="508">
        <v>14.212</v>
      </c>
      <c r="K3537" s="508">
        <v>14.212</v>
      </c>
      <c r="L3537" s="508">
        <v>14.212</v>
      </c>
      <c r="M3537" s="508">
        <v>14.212</v>
      </c>
      <c r="N3537" s="508">
        <v>14.212</v>
      </c>
      <c r="O3537" s="508">
        <v>14.212</v>
      </c>
      <c r="P3537" s="508">
        <v>14.212</v>
      </c>
      <c r="Q3537" s="508">
        <v>14.212</v>
      </c>
      <c r="R3537" s="508">
        <v>14.212</v>
      </c>
      <c r="S3537" s="508">
        <v>14.212</v>
      </c>
      <c r="T3537" s="508">
        <v>14.212</v>
      </c>
      <c r="U3537" s="508">
        <v>14.212</v>
      </c>
      <c r="V3537" s="508">
        <v>6.4740000000000002</v>
      </c>
      <c r="W3537" s="508">
        <v>6.4740000000000002</v>
      </c>
      <c r="X3537" s="508">
        <v>6.4740000000000002</v>
      </c>
      <c r="Y3537" s="508">
        <v>6.4740000000000002</v>
      </c>
      <c r="Z3537" s="508">
        <v>6.4740000000000002</v>
      </c>
      <c r="AA3537" s="508">
        <v>1.554</v>
      </c>
      <c r="AB3537" s="508">
        <v>1.554</v>
      </c>
      <c r="AC3537" s="508">
        <v>1.554</v>
      </c>
      <c r="AD3537" s="508">
        <v>1.306</v>
      </c>
      <c r="AE3537" s="508">
        <v>1.306</v>
      </c>
      <c r="AF3537" s="508">
        <v>1.306</v>
      </c>
      <c r="AG3537" s="508">
        <v>1.306</v>
      </c>
      <c r="AH3537" s="508">
        <v>1.3</v>
      </c>
      <c r="AI3537" s="492">
        <v>1.3</v>
      </c>
      <c r="AJ3537" s="485"/>
    </row>
    <row r="3538" spans="2:36">
      <c r="B3538" s="136" t="s">
        <v>484</v>
      </c>
      <c r="C3538" s="132" t="s">
        <v>1377</v>
      </c>
      <c r="D3538" s="132" t="s">
        <v>283</v>
      </c>
      <c r="E3538" s="508"/>
      <c r="F3538" s="508"/>
      <c r="G3538" s="508"/>
      <c r="H3538" s="508"/>
      <c r="I3538" s="508"/>
      <c r="J3538" s="508">
        <v>14.199</v>
      </c>
      <c r="K3538" s="508">
        <v>14.199</v>
      </c>
      <c r="L3538" s="508">
        <v>14.199</v>
      </c>
      <c r="M3538" s="508">
        <v>14.199</v>
      </c>
      <c r="N3538" s="508">
        <v>14.199</v>
      </c>
      <c r="O3538" s="508">
        <v>14.199</v>
      </c>
      <c r="P3538" s="508">
        <v>14.199</v>
      </c>
      <c r="Q3538" s="508">
        <v>14.199</v>
      </c>
      <c r="R3538" s="508">
        <v>14.199</v>
      </c>
      <c r="S3538" s="508">
        <v>14.199</v>
      </c>
      <c r="T3538" s="508">
        <v>14.199</v>
      </c>
      <c r="U3538" s="508">
        <v>14.199</v>
      </c>
      <c r="V3538" s="508">
        <v>6.4450000000000003</v>
      </c>
      <c r="W3538" s="508">
        <v>6.4450000000000003</v>
      </c>
      <c r="X3538" s="508">
        <v>6.4450000000000003</v>
      </c>
      <c r="Y3538" s="508">
        <v>6.4450000000000003</v>
      </c>
      <c r="Z3538" s="508">
        <v>6.4450000000000003</v>
      </c>
      <c r="AA3538" s="508">
        <v>1.5469999999999999</v>
      </c>
      <c r="AB3538" s="508">
        <v>1.5469999999999999</v>
      </c>
      <c r="AC3538" s="508">
        <v>1.5469999999999999</v>
      </c>
      <c r="AD3538" s="508">
        <v>1.2949999999999999</v>
      </c>
      <c r="AE3538" s="508">
        <v>1.2949999999999999</v>
      </c>
      <c r="AF3538" s="508">
        <v>1.2949999999999999</v>
      </c>
      <c r="AG3538" s="508">
        <v>1.2949999999999999</v>
      </c>
      <c r="AH3538" s="508">
        <v>1.2889999999999999</v>
      </c>
      <c r="AI3538" s="492">
        <v>1.2889999999999999</v>
      </c>
      <c r="AJ3538" s="485"/>
    </row>
    <row r="3539" spans="2:36">
      <c r="B3539" s="136" t="s">
        <v>486</v>
      </c>
      <c r="C3539" s="132" t="s">
        <v>1377</v>
      </c>
      <c r="D3539" s="132" t="s">
        <v>283</v>
      </c>
      <c r="E3539" s="508"/>
      <c r="F3539" s="508"/>
      <c r="G3539" s="508"/>
      <c r="H3539" s="508"/>
      <c r="I3539" s="508"/>
      <c r="J3539" s="508">
        <v>14.246</v>
      </c>
      <c r="K3539" s="508">
        <v>14.246</v>
      </c>
      <c r="L3539" s="508">
        <v>14.246</v>
      </c>
      <c r="M3539" s="508">
        <v>14.246</v>
      </c>
      <c r="N3539" s="508">
        <v>14.246</v>
      </c>
      <c r="O3539" s="508">
        <v>14.246</v>
      </c>
      <c r="P3539" s="508">
        <v>14.246</v>
      </c>
      <c r="Q3539" s="508">
        <v>14.246</v>
      </c>
      <c r="R3539" s="508">
        <v>14.246</v>
      </c>
      <c r="S3539" s="508">
        <v>14.246</v>
      </c>
      <c r="T3539" s="508">
        <v>14.246</v>
      </c>
      <c r="U3539" s="508">
        <v>14.246</v>
      </c>
      <c r="V3539" s="508">
        <v>6.4790000000000001</v>
      </c>
      <c r="W3539" s="508">
        <v>6.4790000000000001</v>
      </c>
      <c r="X3539" s="508">
        <v>6.4790000000000001</v>
      </c>
      <c r="Y3539" s="508">
        <v>6.4790000000000001</v>
      </c>
      <c r="Z3539" s="508">
        <v>6.4790000000000001</v>
      </c>
      <c r="AA3539" s="508">
        <v>1.556</v>
      </c>
      <c r="AB3539" s="508">
        <v>1.556</v>
      </c>
      <c r="AC3539" s="508">
        <v>1.556</v>
      </c>
      <c r="AD3539" s="508">
        <v>1.3049999999999999</v>
      </c>
      <c r="AE3539" s="508">
        <v>1.3049999999999999</v>
      </c>
      <c r="AF3539" s="508">
        <v>1.3049999999999999</v>
      </c>
      <c r="AG3539" s="508">
        <v>1.3049999999999999</v>
      </c>
      <c r="AH3539" s="508">
        <v>1.3</v>
      </c>
      <c r="AI3539" s="492">
        <v>1.3</v>
      </c>
      <c r="AJ3539" s="485"/>
    </row>
    <row r="3540" spans="2:36">
      <c r="B3540" s="136" t="s">
        <v>487</v>
      </c>
      <c r="C3540" s="132" t="s">
        <v>1377</v>
      </c>
      <c r="D3540" s="132" t="s">
        <v>283</v>
      </c>
      <c r="E3540" s="508"/>
      <c r="F3540" s="508"/>
      <c r="G3540" s="508"/>
      <c r="H3540" s="508"/>
      <c r="I3540" s="508"/>
      <c r="J3540" s="508">
        <v>14.403</v>
      </c>
      <c r="K3540" s="508">
        <v>14.403</v>
      </c>
      <c r="L3540" s="508">
        <v>14.403</v>
      </c>
      <c r="M3540" s="508">
        <v>14.403</v>
      </c>
      <c r="N3540" s="508">
        <v>14.403</v>
      </c>
      <c r="O3540" s="508">
        <v>14.403</v>
      </c>
      <c r="P3540" s="508">
        <v>14.403</v>
      </c>
      <c r="Q3540" s="508">
        <v>14.403</v>
      </c>
      <c r="R3540" s="508">
        <v>14.403</v>
      </c>
      <c r="S3540" s="508">
        <v>14.403</v>
      </c>
      <c r="T3540" s="508">
        <v>14.403</v>
      </c>
      <c r="U3540" s="508">
        <v>14.403</v>
      </c>
      <c r="V3540" s="508">
        <v>6.5389999999999997</v>
      </c>
      <c r="W3540" s="508">
        <v>6.54</v>
      </c>
      <c r="X3540" s="508">
        <v>6.5389999999999997</v>
      </c>
      <c r="Y3540" s="508">
        <v>6.5389999999999997</v>
      </c>
      <c r="Z3540" s="508">
        <v>6.5389999999999997</v>
      </c>
      <c r="AA3540" s="508">
        <v>1.57</v>
      </c>
      <c r="AB3540" s="508">
        <v>1.57</v>
      </c>
      <c r="AC3540" s="508">
        <v>1.57</v>
      </c>
      <c r="AD3540" s="508">
        <v>1.3180000000000001</v>
      </c>
      <c r="AE3540" s="508">
        <v>1.3180000000000001</v>
      </c>
      <c r="AF3540" s="508">
        <v>1.3180000000000001</v>
      </c>
      <c r="AG3540" s="508">
        <v>1.3180000000000001</v>
      </c>
      <c r="AH3540" s="508">
        <v>1.3120000000000001</v>
      </c>
      <c r="AI3540" s="492">
        <v>1.3120000000000001</v>
      </c>
      <c r="AJ3540" s="485"/>
    </row>
    <row r="3541" spans="2:36">
      <c r="B3541" s="136" t="s">
        <v>488</v>
      </c>
      <c r="C3541" s="132" t="s">
        <v>1377</v>
      </c>
      <c r="D3541" s="132" t="s">
        <v>283</v>
      </c>
      <c r="E3541" s="508"/>
      <c r="F3541" s="508"/>
      <c r="G3541" s="508"/>
      <c r="H3541" s="508"/>
      <c r="I3541" s="508"/>
      <c r="J3541" s="508">
        <v>14.287000000000001</v>
      </c>
      <c r="K3541" s="508">
        <v>14.287000000000001</v>
      </c>
      <c r="L3541" s="508">
        <v>14.287000000000001</v>
      </c>
      <c r="M3541" s="508">
        <v>14.287000000000001</v>
      </c>
      <c r="N3541" s="508">
        <v>14.287000000000001</v>
      </c>
      <c r="O3541" s="508">
        <v>14.287000000000001</v>
      </c>
      <c r="P3541" s="508">
        <v>14.287000000000001</v>
      </c>
      <c r="Q3541" s="508">
        <v>14.287000000000001</v>
      </c>
      <c r="R3541" s="508">
        <v>14.287000000000001</v>
      </c>
      <c r="S3541" s="508">
        <v>14.287000000000001</v>
      </c>
      <c r="T3541" s="508">
        <v>14.287000000000001</v>
      </c>
      <c r="U3541" s="508">
        <v>14.287000000000001</v>
      </c>
      <c r="V3541" s="508">
        <v>6.484</v>
      </c>
      <c r="W3541" s="508">
        <v>6.484</v>
      </c>
      <c r="X3541" s="508">
        <v>6.484</v>
      </c>
      <c r="Y3541" s="508">
        <v>6.484</v>
      </c>
      <c r="Z3541" s="508">
        <v>6.484</v>
      </c>
      <c r="AA3541" s="508">
        <v>1.5569999999999999</v>
      </c>
      <c r="AB3541" s="508">
        <v>1.5569999999999999</v>
      </c>
      <c r="AC3541" s="508">
        <v>1.5569999999999999</v>
      </c>
      <c r="AD3541" s="508">
        <v>1.304</v>
      </c>
      <c r="AE3541" s="508">
        <v>1.304</v>
      </c>
      <c r="AF3541" s="508">
        <v>1.304</v>
      </c>
      <c r="AG3541" s="508">
        <v>1.304</v>
      </c>
      <c r="AH3541" s="508">
        <v>1.298</v>
      </c>
      <c r="AI3541" s="492">
        <v>1.298</v>
      </c>
      <c r="AJ3541" s="485"/>
    </row>
    <row r="3542" spans="2:36">
      <c r="B3542" s="136" t="s">
        <v>489</v>
      </c>
      <c r="C3542" s="132" t="s">
        <v>1377</v>
      </c>
      <c r="D3542" s="132" t="s">
        <v>283</v>
      </c>
      <c r="E3542" s="508"/>
      <c r="F3542" s="508"/>
      <c r="G3542" s="508"/>
      <c r="H3542" s="508"/>
      <c r="I3542" s="508"/>
      <c r="J3542" s="508">
        <v>14.143000000000001</v>
      </c>
      <c r="K3542" s="508">
        <v>14.144</v>
      </c>
      <c r="L3542" s="508">
        <v>14.143000000000001</v>
      </c>
      <c r="M3542" s="508">
        <v>14.143000000000001</v>
      </c>
      <c r="N3542" s="508">
        <v>14.143000000000001</v>
      </c>
      <c r="O3542" s="508">
        <v>14.143000000000001</v>
      </c>
      <c r="P3542" s="508">
        <v>14.143000000000001</v>
      </c>
      <c r="Q3542" s="508">
        <v>14.143000000000001</v>
      </c>
      <c r="R3542" s="508">
        <v>14.143000000000001</v>
      </c>
      <c r="S3542" s="508">
        <v>14.143000000000001</v>
      </c>
      <c r="T3542" s="508">
        <v>14.143000000000001</v>
      </c>
      <c r="U3542" s="508">
        <v>14.143000000000001</v>
      </c>
      <c r="V3542" s="508">
        <v>6.4370000000000003</v>
      </c>
      <c r="W3542" s="508">
        <v>6.4370000000000003</v>
      </c>
      <c r="X3542" s="508">
        <v>6.4370000000000003</v>
      </c>
      <c r="Y3542" s="508">
        <v>6.4370000000000003</v>
      </c>
      <c r="Z3542" s="508">
        <v>6.4370000000000003</v>
      </c>
      <c r="AA3542" s="508">
        <v>1.5449999999999999</v>
      </c>
      <c r="AB3542" s="508">
        <v>1.5449999999999999</v>
      </c>
      <c r="AC3542" s="508">
        <v>1.5449999999999999</v>
      </c>
      <c r="AD3542" s="508">
        <v>1.2949999999999999</v>
      </c>
      <c r="AE3542" s="508">
        <v>1.2949999999999999</v>
      </c>
      <c r="AF3542" s="508">
        <v>1.2949999999999999</v>
      </c>
      <c r="AG3542" s="508">
        <v>1.2949999999999999</v>
      </c>
      <c r="AH3542" s="508">
        <v>1.29</v>
      </c>
      <c r="AI3542" s="492">
        <v>1.29</v>
      </c>
      <c r="AJ3542" s="485"/>
    </row>
    <row r="3543" spans="2:36">
      <c r="B3543" s="136" t="s">
        <v>490</v>
      </c>
      <c r="C3543" s="132" t="s">
        <v>1377</v>
      </c>
      <c r="D3543" s="132" t="s">
        <v>283</v>
      </c>
      <c r="E3543" s="508"/>
      <c r="F3543" s="508"/>
      <c r="G3543" s="508"/>
      <c r="H3543" s="508"/>
      <c r="I3543" s="508"/>
      <c r="J3543" s="508">
        <v>14.483000000000001</v>
      </c>
      <c r="K3543" s="508">
        <v>14.483000000000001</v>
      </c>
      <c r="L3543" s="508">
        <v>14.483000000000001</v>
      </c>
      <c r="M3543" s="508">
        <v>14.483000000000001</v>
      </c>
      <c r="N3543" s="508">
        <v>14.483000000000001</v>
      </c>
      <c r="O3543" s="508">
        <v>14.483000000000001</v>
      </c>
      <c r="P3543" s="508">
        <v>14.483000000000001</v>
      </c>
      <c r="Q3543" s="508">
        <v>14.483000000000001</v>
      </c>
      <c r="R3543" s="508">
        <v>14.483000000000001</v>
      </c>
      <c r="S3543" s="508">
        <v>14.483000000000001</v>
      </c>
      <c r="T3543" s="508">
        <v>14.483000000000001</v>
      </c>
      <c r="U3543" s="508">
        <v>14.483000000000001</v>
      </c>
      <c r="V3543" s="508">
        <v>6.5389999999999997</v>
      </c>
      <c r="W3543" s="508">
        <v>6.5389999999999997</v>
      </c>
      <c r="X3543" s="508">
        <v>6.5389999999999997</v>
      </c>
      <c r="Y3543" s="508">
        <v>6.5389999999999997</v>
      </c>
      <c r="Z3543" s="508">
        <v>6.5389999999999997</v>
      </c>
      <c r="AA3543" s="508">
        <v>1.57</v>
      </c>
      <c r="AB3543" s="508">
        <v>1.57</v>
      </c>
      <c r="AC3543" s="508">
        <v>1.57</v>
      </c>
      <c r="AD3543" s="508">
        <v>1.3149999999999999</v>
      </c>
      <c r="AE3543" s="508">
        <v>1.3149999999999999</v>
      </c>
      <c r="AF3543" s="508">
        <v>1.3149999999999999</v>
      </c>
      <c r="AG3543" s="508">
        <v>1.3149999999999999</v>
      </c>
      <c r="AH3543" s="508">
        <v>1.3080000000000001</v>
      </c>
      <c r="AI3543" s="492">
        <v>1.3080000000000001</v>
      </c>
      <c r="AJ3543" s="485"/>
    </row>
    <row r="3544" spans="2:36">
      <c r="B3544" s="136" t="s">
        <v>435</v>
      </c>
      <c r="C3544" s="132" t="s">
        <v>1378</v>
      </c>
      <c r="D3544" s="132" t="s">
        <v>283</v>
      </c>
      <c r="E3544" s="508">
        <v>32.369999999999997</v>
      </c>
      <c r="F3544" s="508">
        <v>32.369999999999997</v>
      </c>
      <c r="G3544" s="508">
        <v>32.369999999999997</v>
      </c>
      <c r="H3544" s="508">
        <v>32.369999999999997</v>
      </c>
      <c r="I3544" s="508">
        <v>32.369999999999997</v>
      </c>
      <c r="J3544" s="508">
        <v>24.998999999999999</v>
      </c>
      <c r="K3544" s="508">
        <v>23.504999999999999</v>
      </c>
      <c r="L3544" s="508">
        <v>23.504000000000001</v>
      </c>
      <c r="M3544" s="508">
        <v>23.504000000000001</v>
      </c>
      <c r="N3544" s="508">
        <v>23.504999999999999</v>
      </c>
      <c r="O3544" s="508">
        <v>23.504999999999999</v>
      </c>
      <c r="P3544" s="508">
        <v>23.504000000000001</v>
      </c>
      <c r="Q3544" s="508">
        <v>23.504999999999999</v>
      </c>
      <c r="R3544" s="508">
        <v>20.009</v>
      </c>
      <c r="S3544" s="508">
        <v>15.388999999999999</v>
      </c>
      <c r="T3544" s="508">
        <v>15.388999999999999</v>
      </c>
      <c r="U3544" s="508">
        <v>15.388999999999999</v>
      </c>
      <c r="V3544" s="508">
        <v>15.388999999999999</v>
      </c>
      <c r="W3544" s="508">
        <v>8.6159999999999997</v>
      </c>
      <c r="X3544" s="508">
        <v>8.6159999999999997</v>
      </c>
      <c r="Y3544" s="508">
        <v>8.6159999999999997</v>
      </c>
      <c r="Z3544" s="508">
        <v>8.6159999999999997</v>
      </c>
      <c r="AA3544" s="508">
        <v>4.28</v>
      </c>
      <c r="AB3544" s="508">
        <v>4.28</v>
      </c>
      <c r="AC3544" s="508">
        <v>4.28</v>
      </c>
      <c r="AD3544" s="508">
        <v>1.0629999999999999</v>
      </c>
      <c r="AE3544" s="508">
        <v>1.0629999999999999</v>
      </c>
      <c r="AF3544" s="508">
        <v>0.877</v>
      </c>
      <c r="AG3544" s="508">
        <v>0.872</v>
      </c>
      <c r="AH3544" s="508">
        <v>0.86799999999999999</v>
      </c>
      <c r="AI3544" s="492">
        <v>0.86799999999999999</v>
      </c>
      <c r="AJ3544" s="485"/>
    </row>
    <row r="3545" spans="2:36">
      <c r="B3545" s="136" t="s">
        <v>436</v>
      </c>
      <c r="C3545" s="132" t="s">
        <v>1378</v>
      </c>
      <c r="D3545" s="132" t="s">
        <v>283</v>
      </c>
      <c r="E3545" s="508">
        <v>36.033000000000001</v>
      </c>
      <c r="F3545" s="508">
        <v>36.033000000000001</v>
      </c>
      <c r="G3545" s="508">
        <v>36.033000000000001</v>
      </c>
      <c r="H3545" s="508">
        <v>36.033000000000001</v>
      </c>
      <c r="I3545" s="508">
        <v>36.033000000000001</v>
      </c>
      <c r="J3545" s="508">
        <v>27.827999999999999</v>
      </c>
      <c r="K3545" s="508">
        <v>26.164000000000001</v>
      </c>
      <c r="L3545" s="508">
        <v>26.164000000000001</v>
      </c>
      <c r="M3545" s="508">
        <v>26.164000000000001</v>
      </c>
      <c r="N3545" s="508">
        <v>26.164000000000001</v>
      </c>
      <c r="O3545" s="508">
        <v>26.164000000000001</v>
      </c>
      <c r="P3545" s="508">
        <v>26.164000000000001</v>
      </c>
      <c r="Q3545" s="508">
        <v>26.164000000000001</v>
      </c>
      <c r="R3545" s="508">
        <v>22.582000000000001</v>
      </c>
      <c r="S3545" s="508">
        <v>17.212</v>
      </c>
      <c r="T3545" s="508">
        <v>17.212</v>
      </c>
      <c r="U3545" s="508">
        <v>17.212</v>
      </c>
      <c r="V3545" s="508">
        <v>17.212</v>
      </c>
      <c r="W3545" s="508">
        <v>9.5470000000000006</v>
      </c>
      <c r="X3545" s="508">
        <v>9.5470000000000006</v>
      </c>
      <c r="Y3545" s="508">
        <v>9.5470000000000006</v>
      </c>
      <c r="Z3545" s="508">
        <v>9.5470000000000006</v>
      </c>
      <c r="AA3545" s="508">
        <v>4.7430000000000003</v>
      </c>
      <c r="AB3545" s="508">
        <v>4.7430000000000003</v>
      </c>
      <c r="AC3545" s="508">
        <v>4.7430000000000003</v>
      </c>
      <c r="AD3545" s="508">
        <v>1.1779999999999999</v>
      </c>
      <c r="AE3545" s="508">
        <v>1.1779999999999999</v>
      </c>
      <c r="AF3545" s="508">
        <v>0.97199999999999998</v>
      </c>
      <c r="AG3545" s="508">
        <v>0.96599999999999997</v>
      </c>
      <c r="AH3545" s="508">
        <v>0.96099999999999997</v>
      </c>
      <c r="AI3545" s="492">
        <v>0.96099999999999997</v>
      </c>
      <c r="AJ3545" s="485"/>
    </row>
    <row r="3546" spans="2:36">
      <c r="B3546" s="136" t="s">
        <v>437</v>
      </c>
      <c r="C3546" s="132" t="s">
        <v>1378</v>
      </c>
      <c r="D3546" s="132" t="s">
        <v>283</v>
      </c>
      <c r="E3546" s="508">
        <v>35.207999999999998</v>
      </c>
      <c r="F3546" s="508">
        <v>35.207999999999998</v>
      </c>
      <c r="G3546" s="508">
        <v>35.207999999999998</v>
      </c>
      <c r="H3546" s="508">
        <v>35.207999999999998</v>
      </c>
      <c r="I3546" s="508">
        <v>35.207999999999998</v>
      </c>
      <c r="J3546" s="508">
        <v>27.190999999999999</v>
      </c>
      <c r="K3546" s="508">
        <v>25.565000000000001</v>
      </c>
      <c r="L3546" s="508">
        <v>25.565000000000001</v>
      </c>
      <c r="M3546" s="508">
        <v>25.565000000000001</v>
      </c>
      <c r="N3546" s="508">
        <v>25.565000000000001</v>
      </c>
      <c r="O3546" s="508">
        <v>25.565000000000001</v>
      </c>
      <c r="P3546" s="508">
        <v>25.565000000000001</v>
      </c>
      <c r="Q3546" s="508">
        <v>25.565000000000001</v>
      </c>
      <c r="R3546" s="508">
        <v>21.853999999999999</v>
      </c>
      <c r="S3546" s="508">
        <v>16.861000000000001</v>
      </c>
      <c r="T3546" s="508">
        <v>16.861000000000001</v>
      </c>
      <c r="U3546" s="508">
        <v>16.861000000000001</v>
      </c>
      <c r="V3546" s="508">
        <v>16.861000000000001</v>
      </c>
      <c r="W3546" s="508">
        <v>9.3729999999999993</v>
      </c>
      <c r="X3546" s="508">
        <v>9.3729999999999993</v>
      </c>
      <c r="Y3546" s="508">
        <v>9.3729999999999993</v>
      </c>
      <c r="Z3546" s="508">
        <v>9.3729999999999993</v>
      </c>
      <c r="AA3546" s="508">
        <v>4.6559999999999997</v>
      </c>
      <c r="AB3546" s="508">
        <v>4.6559999999999997</v>
      </c>
      <c r="AC3546" s="508">
        <v>4.6559999999999997</v>
      </c>
      <c r="AD3546" s="508">
        <v>1.157</v>
      </c>
      <c r="AE3546" s="508">
        <v>1.157</v>
      </c>
      <c r="AF3546" s="508">
        <v>0.95399999999999996</v>
      </c>
      <c r="AG3546" s="508">
        <v>0.94799999999999995</v>
      </c>
      <c r="AH3546" s="508">
        <v>0.94399999999999995</v>
      </c>
      <c r="AI3546" s="492">
        <v>0.94399999999999995</v>
      </c>
      <c r="AJ3546" s="485"/>
    </row>
    <row r="3547" spans="2:36">
      <c r="B3547" s="136" t="s">
        <v>438</v>
      </c>
      <c r="C3547" s="132" t="s">
        <v>1378</v>
      </c>
      <c r="D3547" s="132" t="s">
        <v>283</v>
      </c>
      <c r="E3547" s="508">
        <v>33.027000000000001</v>
      </c>
      <c r="F3547" s="508">
        <v>33.027000000000001</v>
      </c>
      <c r="G3547" s="508">
        <v>33.027000000000001</v>
      </c>
      <c r="H3547" s="508">
        <v>33.027000000000001</v>
      </c>
      <c r="I3547" s="508">
        <v>33.027000000000001</v>
      </c>
      <c r="J3547" s="508">
        <v>25.507000000000001</v>
      </c>
      <c r="K3547" s="508">
        <v>23.981999999999999</v>
      </c>
      <c r="L3547" s="508">
        <v>23.981999999999999</v>
      </c>
      <c r="M3547" s="508">
        <v>23.981999999999999</v>
      </c>
      <c r="N3547" s="508">
        <v>23.981999999999999</v>
      </c>
      <c r="O3547" s="508">
        <v>23.981999999999999</v>
      </c>
      <c r="P3547" s="508">
        <v>23.981999999999999</v>
      </c>
      <c r="Q3547" s="508">
        <v>23.981999999999999</v>
      </c>
      <c r="R3547" s="508">
        <v>20.756</v>
      </c>
      <c r="S3547" s="508">
        <v>15.728999999999999</v>
      </c>
      <c r="T3547" s="508">
        <v>15.728999999999999</v>
      </c>
      <c r="U3547" s="508">
        <v>15.728999999999999</v>
      </c>
      <c r="V3547" s="508">
        <v>15.728999999999999</v>
      </c>
      <c r="W3547" s="508">
        <v>8.7390000000000008</v>
      </c>
      <c r="X3547" s="508">
        <v>8.7390000000000008</v>
      </c>
      <c r="Y3547" s="508">
        <v>8.7390000000000008</v>
      </c>
      <c r="Z3547" s="508">
        <v>8.7390000000000008</v>
      </c>
      <c r="AA3547" s="508">
        <v>4.3410000000000002</v>
      </c>
      <c r="AB3547" s="508">
        <v>4.3410000000000002</v>
      </c>
      <c r="AC3547" s="508">
        <v>4.3410000000000002</v>
      </c>
      <c r="AD3547" s="508">
        <v>1.079</v>
      </c>
      <c r="AE3547" s="508">
        <v>1.079</v>
      </c>
      <c r="AF3547" s="508">
        <v>0.88900000000000001</v>
      </c>
      <c r="AG3547" s="508">
        <v>0.88400000000000001</v>
      </c>
      <c r="AH3547" s="508">
        <v>0.88</v>
      </c>
      <c r="AI3547" s="492">
        <v>0.88</v>
      </c>
      <c r="AJ3547" s="485"/>
    </row>
    <row r="3548" spans="2:36">
      <c r="B3548" s="136" t="s">
        <v>439</v>
      </c>
      <c r="C3548" s="132" t="s">
        <v>1378</v>
      </c>
      <c r="D3548" s="132" t="s">
        <v>283</v>
      </c>
      <c r="E3548" s="508">
        <v>34.517000000000003</v>
      </c>
      <c r="F3548" s="508">
        <v>34.517000000000003</v>
      </c>
      <c r="G3548" s="508">
        <v>34.517000000000003</v>
      </c>
      <c r="H3548" s="508">
        <v>34.517000000000003</v>
      </c>
      <c r="I3548" s="508">
        <v>34.517000000000003</v>
      </c>
      <c r="J3548" s="508">
        <v>26.657</v>
      </c>
      <c r="K3548" s="508">
        <v>25.062999999999999</v>
      </c>
      <c r="L3548" s="508">
        <v>25.062999999999999</v>
      </c>
      <c r="M3548" s="508">
        <v>25.062999999999999</v>
      </c>
      <c r="N3548" s="508">
        <v>25.062999999999999</v>
      </c>
      <c r="O3548" s="508">
        <v>25.062999999999999</v>
      </c>
      <c r="P3548" s="508">
        <v>25.062999999999999</v>
      </c>
      <c r="Q3548" s="508">
        <v>25.062999999999999</v>
      </c>
      <c r="R3548" s="508">
        <v>21.472000000000001</v>
      </c>
      <c r="S3548" s="508">
        <v>16.498000000000001</v>
      </c>
      <c r="T3548" s="508">
        <v>16.498000000000001</v>
      </c>
      <c r="U3548" s="508">
        <v>16.498000000000001</v>
      </c>
      <c r="V3548" s="508">
        <v>16.497</v>
      </c>
      <c r="W3548" s="508">
        <v>9.1890000000000001</v>
      </c>
      <c r="X3548" s="508">
        <v>9.1890000000000001</v>
      </c>
      <c r="Y3548" s="508">
        <v>9.1890000000000001</v>
      </c>
      <c r="Z3548" s="508">
        <v>9.1890000000000001</v>
      </c>
      <c r="AA3548" s="508">
        <v>4.5650000000000004</v>
      </c>
      <c r="AB3548" s="508">
        <v>4.5650000000000004</v>
      </c>
      <c r="AC3548" s="508">
        <v>4.5650000000000004</v>
      </c>
      <c r="AD3548" s="508">
        <v>1.1339999999999999</v>
      </c>
      <c r="AE3548" s="508">
        <v>1.1339999999999999</v>
      </c>
      <c r="AF3548" s="508">
        <v>0.93500000000000005</v>
      </c>
      <c r="AG3548" s="508">
        <v>0.93</v>
      </c>
      <c r="AH3548" s="508">
        <v>0.92600000000000005</v>
      </c>
      <c r="AI3548" s="492">
        <v>0.92600000000000005</v>
      </c>
      <c r="AJ3548" s="485"/>
    </row>
    <row r="3549" spans="2:36">
      <c r="B3549" s="136" t="s">
        <v>440</v>
      </c>
      <c r="C3549" s="132" t="s">
        <v>1378</v>
      </c>
      <c r="D3549" s="132" t="s">
        <v>283</v>
      </c>
      <c r="E3549" s="508">
        <v>35.603000000000002</v>
      </c>
      <c r="F3549" s="508">
        <v>35.603000000000002</v>
      </c>
      <c r="G3549" s="508">
        <v>35.603000000000002</v>
      </c>
      <c r="H3549" s="508">
        <v>35.603000000000002</v>
      </c>
      <c r="I3549" s="508">
        <v>35.603000000000002</v>
      </c>
      <c r="J3549" s="508">
        <v>27.495999999999999</v>
      </c>
      <c r="K3549" s="508">
        <v>25.852</v>
      </c>
      <c r="L3549" s="508">
        <v>25.852</v>
      </c>
      <c r="M3549" s="508">
        <v>25.852</v>
      </c>
      <c r="N3549" s="508">
        <v>25.852</v>
      </c>
      <c r="O3549" s="508">
        <v>25.852</v>
      </c>
      <c r="P3549" s="508">
        <v>25.852</v>
      </c>
      <c r="Q3549" s="508">
        <v>25.852</v>
      </c>
      <c r="R3549" s="508">
        <v>22.178999999999998</v>
      </c>
      <c r="S3549" s="508">
        <v>17.006</v>
      </c>
      <c r="T3549" s="508">
        <v>17.006</v>
      </c>
      <c r="U3549" s="508">
        <v>17.006</v>
      </c>
      <c r="V3549" s="508">
        <v>17.006</v>
      </c>
      <c r="W3549" s="508">
        <v>9.4640000000000004</v>
      </c>
      <c r="X3549" s="508">
        <v>9.4640000000000004</v>
      </c>
      <c r="Y3549" s="508">
        <v>9.4640000000000004</v>
      </c>
      <c r="Z3549" s="508">
        <v>9.4640000000000004</v>
      </c>
      <c r="AA3549" s="508">
        <v>4.7009999999999996</v>
      </c>
      <c r="AB3549" s="508">
        <v>4.7009999999999996</v>
      </c>
      <c r="AC3549" s="508">
        <v>4.7009999999999996</v>
      </c>
      <c r="AD3549" s="508">
        <v>1.1679999999999999</v>
      </c>
      <c r="AE3549" s="508">
        <v>1.1679999999999999</v>
      </c>
      <c r="AF3549" s="508">
        <v>0.96299999999999997</v>
      </c>
      <c r="AG3549" s="508">
        <v>0.95699999999999996</v>
      </c>
      <c r="AH3549" s="508">
        <v>0.95299999999999996</v>
      </c>
      <c r="AI3549" s="492">
        <v>0.95299999999999996</v>
      </c>
      <c r="AJ3549" s="485"/>
    </row>
    <row r="3550" spans="2:36">
      <c r="B3550" s="136" t="s">
        <v>441</v>
      </c>
      <c r="C3550" s="132" t="s">
        <v>1378</v>
      </c>
      <c r="D3550" s="132" t="s">
        <v>283</v>
      </c>
      <c r="E3550" s="508">
        <v>35.417000000000002</v>
      </c>
      <c r="F3550" s="508">
        <v>35.417000000000002</v>
      </c>
      <c r="G3550" s="508">
        <v>35.417000000000002</v>
      </c>
      <c r="H3550" s="508">
        <v>35.417000000000002</v>
      </c>
      <c r="I3550" s="508">
        <v>35.417000000000002</v>
      </c>
      <c r="J3550" s="508">
        <v>27.352</v>
      </c>
      <c r="K3550" s="508">
        <v>25.716999999999999</v>
      </c>
      <c r="L3550" s="508">
        <v>25.716999999999999</v>
      </c>
      <c r="M3550" s="508">
        <v>25.716999999999999</v>
      </c>
      <c r="N3550" s="508">
        <v>25.716999999999999</v>
      </c>
      <c r="O3550" s="508">
        <v>25.716999999999999</v>
      </c>
      <c r="P3550" s="508">
        <v>25.716999999999999</v>
      </c>
      <c r="Q3550" s="508">
        <v>25.716999999999999</v>
      </c>
      <c r="R3550" s="508">
        <v>22.042000000000002</v>
      </c>
      <c r="S3550" s="508">
        <v>16.925999999999998</v>
      </c>
      <c r="T3550" s="508">
        <v>16.925000000000001</v>
      </c>
      <c r="U3550" s="508">
        <v>16.925000000000001</v>
      </c>
      <c r="V3550" s="508">
        <v>16.925000000000001</v>
      </c>
      <c r="W3550" s="508">
        <v>9.4309999999999992</v>
      </c>
      <c r="X3550" s="508">
        <v>9.4309999999999992</v>
      </c>
      <c r="Y3550" s="508">
        <v>9.4309999999999992</v>
      </c>
      <c r="Z3550" s="508">
        <v>9.4309999999999992</v>
      </c>
      <c r="AA3550" s="508">
        <v>4.6849999999999996</v>
      </c>
      <c r="AB3550" s="508">
        <v>4.6849999999999996</v>
      </c>
      <c r="AC3550" s="508">
        <v>4.6849999999999996</v>
      </c>
      <c r="AD3550" s="508">
        <v>1.1639999999999999</v>
      </c>
      <c r="AE3550" s="508">
        <v>1.1639999999999999</v>
      </c>
      <c r="AF3550" s="508">
        <v>0.96</v>
      </c>
      <c r="AG3550" s="508">
        <v>0.95399999999999996</v>
      </c>
      <c r="AH3550" s="508">
        <v>0.95</v>
      </c>
      <c r="AI3550" s="492">
        <v>0.95</v>
      </c>
      <c r="AJ3550" s="485"/>
    </row>
    <row r="3551" spans="2:36">
      <c r="B3551" s="136" t="s">
        <v>443</v>
      </c>
      <c r="C3551" s="132" t="s">
        <v>1378</v>
      </c>
      <c r="D3551" s="132" t="s">
        <v>283</v>
      </c>
      <c r="E3551" s="508">
        <v>33.543999999999997</v>
      </c>
      <c r="F3551" s="508">
        <v>33.543999999999997</v>
      </c>
      <c r="G3551" s="508">
        <v>33.543999999999997</v>
      </c>
      <c r="H3551" s="508">
        <v>33.543999999999997</v>
      </c>
      <c r="I3551" s="508">
        <v>33.543999999999997</v>
      </c>
      <c r="J3551" s="508">
        <v>25.905999999999999</v>
      </c>
      <c r="K3551" s="508">
        <v>24.356999999999999</v>
      </c>
      <c r="L3551" s="508">
        <v>24.356999999999999</v>
      </c>
      <c r="M3551" s="508">
        <v>24.356999999999999</v>
      </c>
      <c r="N3551" s="508">
        <v>24.356999999999999</v>
      </c>
      <c r="O3551" s="508">
        <v>24.356999999999999</v>
      </c>
      <c r="P3551" s="508">
        <v>24.356999999999999</v>
      </c>
      <c r="Q3551" s="508">
        <v>24.356999999999999</v>
      </c>
      <c r="R3551" s="508">
        <v>20.398</v>
      </c>
      <c r="S3551" s="508">
        <v>15.891</v>
      </c>
      <c r="T3551" s="508">
        <v>15.891</v>
      </c>
      <c r="U3551" s="508">
        <v>15.891</v>
      </c>
      <c r="V3551" s="508">
        <v>15.891</v>
      </c>
      <c r="W3551" s="508">
        <v>8.984</v>
      </c>
      <c r="X3551" s="508">
        <v>8.984</v>
      </c>
      <c r="Y3551" s="508">
        <v>8.984</v>
      </c>
      <c r="Z3551" s="508">
        <v>8.984</v>
      </c>
      <c r="AA3551" s="508">
        <v>4.4630000000000001</v>
      </c>
      <c r="AB3551" s="508">
        <v>4.4630000000000001</v>
      </c>
      <c r="AC3551" s="508">
        <v>4.4630000000000001</v>
      </c>
      <c r="AD3551" s="508">
        <v>1.109</v>
      </c>
      <c r="AE3551" s="508">
        <v>1.109</v>
      </c>
      <c r="AF3551" s="508">
        <v>0.91400000000000003</v>
      </c>
      <c r="AG3551" s="508">
        <v>0.90900000000000003</v>
      </c>
      <c r="AH3551" s="508">
        <v>0.90500000000000003</v>
      </c>
      <c r="AI3551" s="492">
        <v>0.90500000000000003</v>
      </c>
      <c r="AJ3551" s="485"/>
    </row>
    <row r="3552" spans="2:36">
      <c r="B3552" s="136" t="s">
        <v>445</v>
      </c>
      <c r="C3552" s="132" t="s">
        <v>1378</v>
      </c>
      <c r="D3552" s="132" t="s">
        <v>283</v>
      </c>
      <c r="E3552" s="508">
        <v>34.610999999999997</v>
      </c>
      <c r="F3552" s="508">
        <v>34.610999999999997</v>
      </c>
      <c r="G3552" s="508">
        <v>34.610999999999997</v>
      </c>
      <c r="H3552" s="508">
        <v>34.610999999999997</v>
      </c>
      <c r="I3552" s="508">
        <v>34.610999999999997</v>
      </c>
      <c r="J3552" s="508">
        <v>26.73</v>
      </c>
      <c r="K3552" s="508">
        <v>25.131</v>
      </c>
      <c r="L3552" s="508">
        <v>25.131</v>
      </c>
      <c r="M3552" s="508">
        <v>25.131</v>
      </c>
      <c r="N3552" s="508">
        <v>25.131</v>
      </c>
      <c r="O3552" s="508">
        <v>25.131</v>
      </c>
      <c r="P3552" s="508">
        <v>25.131</v>
      </c>
      <c r="Q3552" s="508">
        <v>25.131</v>
      </c>
      <c r="R3552" s="508">
        <v>20.721</v>
      </c>
      <c r="S3552" s="508">
        <v>16.568000000000001</v>
      </c>
      <c r="T3552" s="508">
        <v>16.568999999999999</v>
      </c>
      <c r="U3552" s="508">
        <v>16.568999999999999</v>
      </c>
      <c r="V3552" s="508">
        <v>16.568000000000001</v>
      </c>
      <c r="W3552" s="508">
        <v>9.3420000000000005</v>
      </c>
      <c r="X3552" s="508">
        <v>9.3420000000000005</v>
      </c>
      <c r="Y3552" s="508">
        <v>9.3420000000000005</v>
      </c>
      <c r="Z3552" s="508">
        <v>9.3420000000000005</v>
      </c>
      <c r="AA3552" s="508">
        <v>4.641</v>
      </c>
      <c r="AB3552" s="508">
        <v>4.641</v>
      </c>
      <c r="AC3552" s="508">
        <v>4.641</v>
      </c>
      <c r="AD3552" s="508">
        <v>1.153</v>
      </c>
      <c r="AE3552" s="508">
        <v>1.153</v>
      </c>
      <c r="AF3552" s="508">
        <v>0.95099999999999996</v>
      </c>
      <c r="AG3552" s="508">
        <v>0.94499999999999995</v>
      </c>
      <c r="AH3552" s="508">
        <v>0.94199999999999995</v>
      </c>
      <c r="AI3552" s="492">
        <v>0.94199999999999995</v>
      </c>
      <c r="AJ3552" s="485"/>
    </row>
    <row r="3553" spans="2:36">
      <c r="B3553" s="136" t="s">
        <v>446</v>
      </c>
      <c r="C3553" s="132" t="s">
        <v>1378</v>
      </c>
      <c r="D3553" s="132" t="s">
        <v>283</v>
      </c>
      <c r="E3553" s="508">
        <v>30.873999999999999</v>
      </c>
      <c r="F3553" s="508">
        <v>30.873999999999999</v>
      </c>
      <c r="G3553" s="508">
        <v>30.873999999999999</v>
      </c>
      <c r="H3553" s="508">
        <v>30.873999999999999</v>
      </c>
      <c r="I3553" s="508">
        <v>30.873999999999999</v>
      </c>
      <c r="J3553" s="508">
        <v>23.844000000000001</v>
      </c>
      <c r="K3553" s="508">
        <v>22.417999999999999</v>
      </c>
      <c r="L3553" s="508">
        <v>22.417999999999999</v>
      </c>
      <c r="M3553" s="508">
        <v>22.417999999999999</v>
      </c>
      <c r="N3553" s="508">
        <v>22.417999999999999</v>
      </c>
      <c r="O3553" s="508">
        <v>22.417999999999999</v>
      </c>
      <c r="P3553" s="508">
        <v>22.417999999999999</v>
      </c>
      <c r="Q3553" s="508">
        <v>22.417999999999999</v>
      </c>
      <c r="R3553" s="508">
        <v>18.774000000000001</v>
      </c>
      <c r="S3553" s="508">
        <v>14.765000000000001</v>
      </c>
      <c r="T3553" s="508">
        <v>14.765000000000001</v>
      </c>
      <c r="U3553" s="508">
        <v>14.765000000000001</v>
      </c>
      <c r="V3553" s="508">
        <v>14.765000000000001</v>
      </c>
      <c r="W3553" s="508">
        <v>8.2799999999999994</v>
      </c>
      <c r="X3553" s="508">
        <v>8.2799999999999994</v>
      </c>
      <c r="Y3553" s="508">
        <v>8.2799999999999994</v>
      </c>
      <c r="Z3553" s="508">
        <v>8.2799999999999994</v>
      </c>
      <c r="AA3553" s="508">
        <v>4.1130000000000004</v>
      </c>
      <c r="AB3553" s="508">
        <v>4.1130000000000004</v>
      </c>
      <c r="AC3553" s="508">
        <v>4.1130000000000004</v>
      </c>
      <c r="AD3553" s="508">
        <v>1.022</v>
      </c>
      <c r="AE3553" s="508">
        <v>1.022</v>
      </c>
      <c r="AF3553" s="508">
        <v>0.84299999999999997</v>
      </c>
      <c r="AG3553" s="508">
        <v>0.83799999999999997</v>
      </c>
      <c r="AH3553" s="508">
        <v>0.83399999999999996</v>
      </c>
      <c r="AI3553" s="492">
        <v>0.83399999999999996</v>
      </c>
      <c r="AJ3553" s="485"/>
    </row>
    <row r="3554" spans="2:36">
      <c r="B3554" s="136" t="s">
        <v>448</v>
      </c>
      <c r="C3554" s="132" t="s">
        <v>1378</v>
      </c>
      <c r="D3554" s="132" t="s">
        <v>283</v>
      </c>
      <c r="E3554" s="508">
        <v>32.881999999999998</v>
      </c>
      <c r="F3554" s="508">
        <v>32.881999999999998</v>
      </c>
      <c r="G3554" s="508">
        <v>32.881999999999998</v>
      </c>
      <c r="H3554" s="508">
        <v>32.881999999999998</v>
      </c>
      <c r="I3554" s="508">
        <v>32.881999999999998</v>
      </c>
      <c r="J3554" s="508">
        <v>25.393999999999998</v>
      </c>
      <c r="K3554" s="508">
        <v>23.876000000000001</v>
      </c>
      <c r="L3554" s="508">
        <v>23.876000000000001</v>
      </c>
      <c r="M3554" s="508">
        <v>23.876000000000001</v>
      </c>
      <c r="N3554" s="508">
        <v>23.876000000000001</v>
      </c>
      <c r="O3554" s="508">
        <v>23.876000000000001</v>
      </c>
      <c r="P3554" s="508">
        <v>23.876000000000001</v>
      </c>
      <c r="Q3554" s="508">
        <v>23.876000000000001</v>
      </c>
      <c r="R3554" s="508">
        <v>20.552</v>
      </c>
      <c r="S3554" s="508">
        <v>15.662000000000001</v>
      </c>
      <c r="T3554" s="508">
        <v>15.662000000000001</v>
      </c>
      <c r="U3554" s="508">
        <v>15.662000000000001</v>
      </c>
      <c r="V3554" s="508">
        <v>15.662000000000001</v>
      </c>
      <c r="W3554" s="508">
        <v>8.7210000000000001</v>
      </c>
      <c r="X3554" s="508">
        <v>8.7210000000000001</v>
      </c>
      <c r="Y3554" s="508">
        <v>8.7210000000000001</v>
      </c>
      <c r="Z3554" s="508">
        <v>8.7210000000000001</v>
      </c>
      <c r="AA3554" s="508">
        <v>4.3319999999999999</v>
      </c>
      <c r="AB3554" s="508">
        <v>4.3319999999999999</v>
      </c>
      <c r="AC3554" s="508">
        <v>4.3319999999999999</v>
      </c>
      <c r="AD3554" s="508">
        <v>1.0760000000000001</v>
      </c>
      <c r="AE3554" s="508">
        <v>1.0760000000000001</v>
      </c>
      <c r="AF3554" s="508">
        <v>0.88700000000000001</v>
      </c>
      <c r="AG3554" s="508">
        <v>0.88200000000000001</v>
      </c>
      <c r="AH3554" s="508">
        <v>0.878</v>
      </c>
      <c r="AI3554" s="492">
        <v>0.878</v>
      </c>
      <c r="AJ3554" s="485"/>
    </row>
    <row r="3555" spans="2:36">
      <c r="B3555" s="136" t="s">
        <v>449</v>
      </c>
      <c r="C3555" s="132" t="s">
        <v>1378</v>
      </c>
      <c r="D3555" s="132" t="s">
        <v>283</v>
      </c>
      <c r="E3555" s="508">
        <v>30.503</v>
      </c>
      <c r="F3555" s="508">
        <v>30.503</v>
      </c>
      <c r="G3555" s="508">
        <v>30.503</v>
      </c>
      <c r="H3555" s="508">
        <v>30.503</v>
      </c>
      <c r="I3555" s="508">
        <v>30.503</v>
      </c>
      <c r="J3555" s="508">
        <v>23.558</v>
      </c>
      <c r="K3555" s="508">
        <v>22.149000000000001</v>
      </c>
      <c r="L3555" s="508">
        <v>22.149000000000001</v>
      </c>
      <c r="M3555" s="508">
        <v>22.149000000000001</v>
      </c>
      <c r="N3555" s="508">
        <v>22.149000000000001</v>
      </c>
      <c r="O3555" s="508">
        <v>22.149000000000001</v>
      </c>
      <c r="P3555" s="508">
        <v>22.149000000000001</v>
      </c>
      <c r="Q3555" s="508">
        <v>22.149000000000001</v>
      </c>
      <c r="R3555" s="508">
        <v>18.579000000000001</v>
      </c>
      <c r="S3555" s="508">
        <v>14.502000000000001</v>
      </c>
      <c r="T3555" s="508">
        <v>14.502000000000001</v>
      </c>
      <c r="U3555" s="508">
        <v>14.502000000000001</v>
      </c>
      <c r="V3555" s="508">
        <v>14.502000000000001</v>
      </c>
      <c r="W3555" s="508">
        <v>8.1720000000000006</v>
      </c>
      <c r="X3555" s="508">
        <v>8.1709999999999994</v>
      </c>
      <c r="Y3555" s="508">
        <v>8.1720000000000006</v>
      </c>
      <c r="Z3555" s="508">
        <v>8.1720000000000006</v>
      </c>
      <c r="AA3555" s="508">
        <v>4.0590000000000002</v>
      </c>
      <c r="AB3555" s="508">
        <v>4.0590000000000002</v>
      </c>
      <c r="AC3555" s="508">
        <v>4.0590000000000002</v>
      </c>
      <c r="AD3555" s="508">
        <v>1.0089999999999999</v>
      </c>
      <c r="AE3555" s="508">
        <v>1.0089999999999999</v>
      </c>
      <c r="AF3555" s="508">
        <v>0.83199999999999996</v>
      </c>
      <c r="AG3555" s="508">
        <v>0.82699999999999996</v>
      </c>
      <c r="AH3555" s="508">
        <v>0.82299999999999995</v>
      </c>
      <c r="AI3555" s="492">
        <v>0.82299999999999995</v>
      </c>
      <c r="AJ3555" s="485"/>
    </row>
    <row r="3556" spans="2:36">
      <c r="B3556" s="136" t="s">
        <v>450</v>
      </c>
      <c r="C3556" s="132" t="s">
        <v>1378</v>
      </c>
      <c r="D3556" s="132" t="s">
        <v>283</v>
      </c>
      <c r="E3556" s="508">
        <v>34.774000000000001</v>
      </c>
      <c r="F3556" s="508">
        <v>34.773000000000003</v>
      </c>
      <c r="G3556" s="508">
        <v>34.774000000000001</v>
      </c>
      <c r="H3556" s="508">
        <v>34.774000000000001</v>
      </c>
      <c r="I3556" s="508">
        <v>34.773000000000003</v>
      </c>
      <c r="J3556" s="508">
        <v>26.855</v>
      </c>
      <c r="K3556" s="508">
        <v>25.25</v>
      </c>
      <c r="L3556" s="508">
        <v>25.25</v>
      </c>
      <c r="M3556" s="508">
        <v>25.25</v>
      </c>
      <c r="N3556" s="508">
        <v>25.25</v>
      </c>
      <c r="O3556" s="508">
        <v>25.25</v>
      </c>
      <c r="P3556" s="508">
        <v>25.25</v>
      </c>
      <c r="Q3556" s="508">
        <v>25.25</v>
      </c>
      <c r="R3556" s="508">
        <v>21.698</v>
      </c>
      <c r="S3556" s="508">
        <v>16.553000000000001</v>
      </c>
      <c r="T3556" s="508">
        <v>16.553000000000001</v>
      </c>
      <c r="U3556" s="508">
        <v>16.553000000000001</v>
      </c>
      <c r="V3556" s="508">
        <v>16.553000000000001</v>
      </c>
      <c r="W3556" s="508">
        <v>9.2230000000000008</v>
      </c>
      <c r="X3556" s="508">
        <v>9.2230000000000008</v>
      </c>
      <c r="Y3556" s="508">
        <v>9.2230000000000008</v>
      </c>
      <c r="Z3556" s="508">
        <v>9.2230000000000008</v>
      </c>
      <c r="AA3556" s="508">
        <v>4.5819999999999999</v>
      </c>
      <c r="AB3556" s="508">
        <v>4.5819999999999999</v>
      </c>
      <c r="AC3556" s="508">
        <v>4.5819999999999999</v>
      </c>
      <c r="AD3556" s="508">
        <v>1.1379999999999999</v>
      </c>
      <c r="AE3556" s="508">
        <v>1.1379999999999999</v>
      </c>
      <c r="AF3556" s="508">
        <v>0.93899999999999995</v>
      </c>
      <c r="AG3556" s="508">
        <v>0.93300000000000005</v>
      </c>
      <c r="AH3556" s="508">
        <v>0.92900000000000005</v>
      </c>
      <c r="AI3556" s="492">
        <v>0.92900000000000005</v>
      </c>
      <c r="AJ3556" s="485"/>
    </row>
    <row r="3557" spans="2:36">
      <c r="B3557" s="136" t="s">
        <v>451</v>
      </c>
      <c r="C3557" s="132" t="s">
        <v>1378</v>
      </c>
      <c r="D3557" s="132" t="s">
        <v>283</v>
      </c>
      <c r="E3557" s="508">
        <v>35.042000000000002</v>
      </c>
      <c r="F3557" s="508">
        <v>35.042000000000002</v>
      </c>
      <c r="G3557" s="508">
        <v>35.042000000000002</v>
      </c>
      <c r="H3557" s="508">
        <v>35.042000000000002</v>
      </c>
      <c r="I3557" s="508">
        <v>35.042000000000002</v>
      </c>
      <c r="J3557" s="508">
        <v>27.062999999999999</v>
      </c>
      <c r="K3557" s="508">
        <v>25.445</v>
      </c>
      <c r="L3557" s="508">
        <v>25.445</v>
      </c>
      <c r="M3557" s="508">
        <v>25.445</v>
      </c>
      <c r="N3557" s="508">
        <v>25.445</v>
      </c>
      <c r="O3557" s="508">
        <v>25.445</v>
      </c>
      <c r="P3557" s="508">
        <v>25.445</v>
      </c>
      <c r="Q3557" s="508">
        <v>25.445</v>
      </c>
      <c r="R3557" s="508">
        <v>21.306999999999999</v>
      </c>
      <c r="S3557" s="508">
        <v>16.768000000000001</v>
      </c>
      <c r="T3557" s="508">
        <v>16.768000000000001</v>
      </c>
      <c r="U3557" s="508">
        <v>16.768000000000001</v>
      </c>
      <c r="V3557" s="508">
        <v>16.768000000000001</v>
      </c>
      <c r="W3557" s="508">
        <v>9.4079999999999995</v>
      </c>
      <c r="X3557" s="508">
        <v>9.4079999999999995</v>
      </c>
      <c r="Y3557" s="508">
        <v>9.4079999999999995</v>
      </c>
      <c r="Z3557" s="508">
        <v>9.4079999999999995</v>
      </c>
      <c r="AA3557" s="508">
        <v>4.6740000000000004</v>
      </c>
      <c r="AB3557" s="508">
        <v>4.673</v>
      </c>
      <c r="AC3557" s="508">
        <v>4.6740000000000004</v>
      </c>
      <c r="AD3557" s="508">
        <v>1.161</v>
      </c>
      <c r="AE3557" s="508">
        <v>1.161</v>
      </c>
      <c r="AF3557" s="508">
        <v>0.95699999999999996</v>
      </c>
      <c r="AG3557" s="508">
        <v>0.95199999999999996</v>
      </c>
      <c r="AH3557" s="508">
        <v>0.94799999999999995</v>
      </c>
      <c r="AI3557" s="492">
        <v>0.94799999999999995</v>
      </c>
      <c r="AJ3557" s="485"/>
    </row>
    <row r="3558" spans="2:36">
      <c r="B3558" s="136" t="s">
        <v>452</v>
      </c>
      <c r="C3558" s="132" t="s">
        <v>1378</v>
      </c>
      <c r="D3558" s="132" t="s">
        <v>283</v>
      </c>
      <c r="E3558" s="508">
        <v>34.204000000000001</v>
      </c>
      <c r="F3558" s="508">
        <v>34.204000000000001</v>
      </c>
      <c r="G3558" s="508">
        <v>34.204000000000001</v>
      </c>
      <c r="H3558" s="508">
        <v>34.204000000000001</v>
      </c>
      <c r="I3558" s="508">
        <v>34.204000000000001</v>
      </c>
      <c r="J3558" s="508">
        <v>26.416</v>
      </c>
      <c r="K3558" s="508">
        <v>24.835999999999999</v>
      </c>
      <c r="L3558" s="508">
        <v>24.835999999999999</v>
      </c>
      <c r="M3558" s="508">
        <v>24.835999999999999</v>
      </c>
      <c r="N3558" s="508">
        <v>24.835999999999999</v>
      </c>
      <c r="O3558" s="508">
        <v>24.835999999999999</v>
      </c>
      <c r="P3558" s="508">
        <v>24.835999999999999</v>
      </c>
      <c r="Q3558" s="508">
        <v>24.835999999999999</v>
      </c>
      <c r="R3558" s="508">
        <v>21.076000000000001</v>
      </c>
      <c r="S3558" s="508">
        <v>16.308</v>
      </c>
      <c r="T3558" s="508">
        <v>16.308</v>
      </c>
      <c r="U3558" s="508">
        <v>16.308</v>
      </c>
      <c r="V3558" s="508">
        <v>16.308</v>
      </c>
      <c r="W3558" s="508">
        <v>9.1199999999999992</v>
      </c>
      <c r="X3558" s="508">
        <v>9.1199999999999992</v>
      </c>
      <c r="Y3558" s="508">
        <v>9.1199999999999992</v>
      </c>
      <c r="Z3558" s="508">
        <v>9.1199999999999992</v>
      </c>
      <c r="AA3558" s="508">
        <v>4.5309999999999997</v>
      </c>
      <c r="AB3558" s="508">
        <v>4.5309999999999997</v>
      </c>
      <c r="AC3558" s="508">
        <v>4.5309999999999997</v>
      </c>
      <c r="AD3558" s="508">
        <v>1.1259999999999999</v>
      </c>
      <c r="AE3558" s="508">
        <v>1.1259999999999999</v>
      </c>
      <c r="AF3558" s="508">
        <v>0.92800000000000005</v>
      </c>
      <c r="AG3558" s="508">
        <v>0.92300000000000004</v>
      </c>
      <c r="AH3558" s="508">
        <v>0.91900000000000004</v>
      </c>
      <c r="AI3558" s="492">
        <v>0.91900000000000004</v>
      </c>
      <c r="AJ3558" s="485"/>
    </row>
    <row r="3559" spans="2:36">
      <c r="B3559" s="136" t="s">
        <v>453</v>
      </c>
      <c r="C3559" s="132" t="s">
        <v>1378</v>
      </c>
      <c r="D3559" s="132" t="s">
        <v>283</v>
      </c>
      <c r="E3559" s="508">
        <v>34.259</v>
      </c>
      <c r="F3559" s="508">
        <v>34.26</v>
      </c>
      <c r="G3559" s="508">
        <v>34.259</v>
      </c>
      <c r="H3559" s="508">
        <v>34.26</v>
      </c>
      <c r="I3559" s="508">
        <v>34.259</v>
      </c>
      <c r="J3559" s="508">
        <v>26.457999999999998</v>
      </c>
      <c r="K3559" s="508">
        <v>24.876000000000001</v>
      </c>
      <c r="L3559" s="508">
        <v>24.876000000000001</v>
      </c>
      <c r="M3559" s="508">
        <v>24.876000000000001</v>
      </c>
      <c r="N3559" s="508">
        <v>24.876000000000001</v>
      </c>
      <c r="O3559" s="508">
        <v>24.876000000000001</v>
      </c>
      <c r="P3559" s="508">
        <v>24.876000000000001</v>
      </c>
      <c r="Q3559" s="508">
        <v>24.876000000000001</v>
      </c>
      <c r="R3559" s="508">
        <v>21.439</v>
      </c>
      <c r="S3559" s="508">
        <v>16.3</v>
      </c>
      <c r="T3559" s="508">
        <v>16.3</v>
      </c>
      <c r="U3559" s="508">
        <v>16.3</v>
      </c>
      <c r="V3559" s="508">
        <v>16.3</v>
      </c>
      <c r="W3559" s="508">
        <v>9.0739999999999998</v>
      </c>
      <c r="X3559" s="508">
        <v>9.0739999999999998</v>
      </c>
      <c r="Y3559" s="508">
        <v>9.0739999999999998</v>
      </c>
      <c r="Z3559" s="508">
        <v>9.0739999999999998</v>
      </c>
      <c r="AA3559" s="508">
        <v>4.508</v>
      </c>
      <c r="AB3559" s="508">
        <v>4.508</v>
      </c>
      <c r="AC3559" s="508">
        <v>4.508</v>
      </c>
      <c r="AD3559" s="508">
        <v>1.1200000000000001</v>
      </c>
      <c r="AE3559" s="508">
        <v>1.1200000000000001</v>
      </c>
      <c r="AF3559" s="508">
        <v>0.92300000000000004</v>
      </c>
      <c r="AG3559" s="508">
        <v>0.91800000000000004</v>
      </c>
      <c r="AH3559" s="508">
        <v>0.91400000000000003</v>
      </c>
      <c r="AI3559" s="492">
        <v>0.91400000000000003</v>
      </c>
      <c r="AJ3559" s="485"/>
    </row>
    <row r="3560" spans="2:36">
      <c r="B3560" s="136" t="s">
        <v>454</v>
      </c>
      <c r="C3560" s="132" t="s">
        <v>1378</v>
      </c>
      <c r="D3560" s="132" t="s">
        <v>283</v>
      </c>
      <c r="E3560" s="508">
        <v>33.890999999999998</v>
      </c>
      <c r="F3560" s="508">
        <v>33.890999999999998</v>
      </c>
      <c r="G3560" s="508">
        <v>33.890999999999998</v>
      </c>
      <c r="H3560" s="508">
        <v>33.890999999999998</v>
      </c>
      <c r="I3560" s="508">
        <v>33.890999999999998</v>
      </c>
      <c r="J3560" s="508">
        <v>26.173999999999999</v>
      </c>
      <c r="K3560" s="508">
        <v>24.609000000000002</v>
      </c>
      <c r="L3560" s="508">
        <v>24.609000000000002</v>
      </c>
      <c r="M3560" s="508">
        <v>24.609000000000002</v>
      </c>
      <c r="N3560" s="508">
        <v>24.609000000000002</v>
      </c>
      <c r="O3560" s="508">
        <v>24.609000000000002</v>
      </c>
      <c r="P3560" s="508">
        <v>24.609000000000002</v>
      </c>
      <c r="Q3560" s="508">
        <v>24.609000000000002</v>
      </c>
      <c r="R3560" s="508">
        <v>21.157</v>
      </c>
      <c r="S3560" s="508">
        <v>16.117999999999999</v>
      </c>
      <c r="T3560" s="508">
        <v>16.117999999999999</v>
      </c>
      <c r="U3560" s="508">
        <v>16.117999999999999</v>
      </c>
      <c r="V3560" s="508">
        <v>16.117999999999999</v>
      </c>
      <c r="W3560" s="508">
        <v>8.9909999999999997</v>
      </c>
      <c r="X3560" s="508">
        <v>8.9909999999999997</v>
      </c>
      <c r="Y3560" s="508">
        <v>8.9909999999999997</v>
      </c>
      <c r="Z3560" s="508">
        <v>8.9909999999999997</v>
      </c>
      <c r="AA3560" s="508">
        <v>4.4660000000000002</v>
      </c>
      <c r="AB3560" s="508">
        <v>4.4660000000000002</v>
      </c>
      <c r="AC3560" s="508">
        <v>4.4660000000000002</v>
      </c>
      <c r="AD3560" s="508">
        <v>1.1100000000000001</v>
      </c>
      <c r="AE3560" s="508">
        <v>1.1100000000000001</v>
      </c>
      <c r="AF3560" s="508">
        <v>0.91500000000000004</v>
      </c>
      <c r="AG3560" s="508">
        <v>0.91</v>
      </c>
      <c r="AH3560" s="508">
        <v>0.90500000000000003</v>
      </c>
      <c r="AI3560" s="492">
        <v>0.90500000000000003</v>
      </c>
      <c r="AJ3560" s="485"/>
    </row>
    <row r="3561" spans="2:36">
      <c r="B3561" s="136" t="s">
        <v>455</v>
      </c>
      <c r="C3561" s="132" t="s">
        <v>1378</v>
      </c>
      <c r="D3561" s="132" t="s">
        <v>283</v>
      </c>
      <c r="E3561" s="508">
        <v>33.905000000000001</v>
      </c>
      <c r="F3561" s="508">
        <v>33.905000000000001</v>
      </c>
      <c r="G3561" s="508">
        <v>33.905000000000001</v>
      </c>
      <c r="H3561" s="508">
        <v>33.905000000000001</v>
      </c>
      <c r="I3561" s="508">
        <v>33.905000000000001</v>
      </c>
      <c r="J3561" s="508">
        <v>26.184999999999999</v>
      </c>
      <c r="K3561" s="508">
        <v>24.619</v>
      </c>
      <c r="L3561" s="508">
        <v>24.619</v>
      </c>
      <c r="M3561" s="508">
        <v>24.619</v>
      </c>
      <c r="N3561" s="508">
        <v>24.619</v>
      </c>
      <c r="O3561" s="508">
        <v>24.619</v>
      </c>
      <c r="P3561" s="508">
        <v>24.619</v>
      </c>
      <c r="Q3561" s="508">
        <v>24.619</v>
      </c>
      <c r="R3561" s="508">
        <v>21.405999999999999</v>
      </c>
      <c r="S3561" s="508">
        <v>16.193000000000001</v>
      </c>
      <c r="T3561" s="508">
        <v>16.193000000000001</v>
      </c>
      <c r="U3561" s="508">
        <v>16.193000000000001</v>
      </c>
      <c r="V3561" s="508">
        <v>16.193000000000001</v>
      </c>
      <c r="W3561" s="508">
        <v>8.9580000000000002</v>
      </c>
      <c r="X3561" s="508">
        <v>8.9580000000000002</v>
      </c>
      <c r="Y3561" s="508">
        <v>8.9580000000000002</v>
      </c>
      <c r="Z3561" s="508">
        <v>8.9580000000000002</v>
      </c>
      <c r="AA3561" s="508">
        <v>4.45</v>
      </c>
      <c r="AB3561" s="508">
        <v>4.45</v>
      </c>
      <c r="AC3561" s="508">
        <v>4.45</v>
      </c>
      <c r="AD3561" s="508">
        <v>1.1060000000000001</v>
      </c>
      <c r="AE3561" s="508">
        <v>1.1060000000000001</v>
      </c>
      <c r="AF3561" s="508">
        <v>0.91200000000000003</v>
      </c>
      <c r="AG3561" s="508">
        <v>0.90600000000000003</v>
      </c>
      <c r="AH3561" s="508">
        <v>0.90200000000000002</v>
      </c>
      <c r="AI3561" s="492">
        <v>0.90200000000000002</v>
      </c>
      <c r="AJ3561" s="485"/>
    </row>
    <row r="3562" spans="2:36">
      <c r="B3562" s="136" t="s">
        <v>456</v>
      </c>
      <c r="C3562" s="132" t="s">
        <v>1378</v>
      </c>
      <c r="D3562" s="132" t="s">
        <v>283</v>
      </c>
      <c r="E3562" s="508">
        <v>31.741</v>
      </c>
      <c r="F3562" s="508">
        <v>31.742000000000001</v>
      </c>
      <c r="G3562" s="508">
        <v>31.741</v>
      </c>
      <c r="H3562" s="508">
        <v>31.742000000000001</v>
      </c>
      <c r="I3562" s="508">
        <v>31.742000000000001</v>
      </c>
      <c r="J3562" s="508">
        <v>24.513999999999999</v>
      </c>
      <c r="K3562" s="508">
        <v>23.047999999999998</v>
      </c>
      <c r="L3562" s="508">
        <v>23.047999999999998</v>
      </c>
      <c r="M3562" s="508">
        <v>23.047999999999998</v>
      </c>
      <c r="N3562" s="508">
        <v>23.047999999999998</v>
      </c>
      <c r="O3562" s="508">
        <v>23.047999999999998</v>
      </c>
      <c r="P3562" s="508">
        <v>23.047999999999998</v>
      </c>
      <c r="Q3562" s="508">
        <v>23.047999999999998</v>
      </c>
      <c r="R3562" s="508">
        <v>19.754999999999999</v>
      </c>
      <c r="S3562" s="508">
        <v>15.131</v>
      </c>
      <c r="T3562" s="508">
        <v>15.131</v>
      </c>
      <c r="U3562" s="508">
        <v>15.131</v>
      </c>
      <c r="V3562" s="508">
        <v>15.131</v>
      </c>
      <c r="W3562" s="508">
        <v>8.4329999999999998</v>
      </c>
      <c r="X3562" s="508">
        <v>8.4329999999999998</v>
      </c>
      <c r="Y3562" s="508">
        <v>8.4329999999999998</v>
      </c>
      <c r="Z3562" s="508">
        <v>8.4329999999999998</v>
      </c>
      <c r="AA3562" s="508">
        <v>4.1890000000000001</v>
      </c>
      <c r="AB3562" s="508">
        <v>4.1890000000000001</v>
      </c>
      <c r="AC3562" s="508">
        <v>4.1890000000000001</v>
      </c>
      <c r="AD3562" s="508">
        <v>1.0409999999999999</v>
      </c>
      <c r="AE3562" s="508">
        <v>1.0409999999999999</v>
      </c>
      <c r="AF3562" s="508">
        <v>0.85799999999999998</v>
      </c>
      <c r="AG3562" s="508">
        <v>0.85299999999999998</v>
      </c>
      <c r="AH3562" s="508">
        <v>0.84899999999999998</v>
      </c>
      <c r="AI3562" s="492">
        <v>0.84899999999999998</v>
      </c>
      <c r="AJ3562" s="485"/>
    </row>
    <row r="3563" spans="2:36">
      <c r="B3563" s="136" t="s">
        <v>457</v>
      </c>
      <c r="C3563" s="132" t="s">
        <v>1378</v>
      </c>
      <c r="D3563" s="132" t="s">
        <v>283</v>
      </c>
      <c r="E3563" s="508">
        <v>34.591999999999999</v>
      </c>
      <c r="F3563" s="508">
        <v>34.591999999999999</v>
      </c>
      <c r="G3563" s="508">
        <v>34.591999999999999</v>
      </c>
      <c r="H3563" s="508">
        <v>34.591999999999999</v>
      </c>
      <c r="I3563" s="508">
        <v>34.591999999999999</v>
      </c>
      <c r="J3563" s="508">
        <v>26.715</v>
      </c>
      <c r="K3563" s="508">
        <v>25.117999999999999</v>
      </c>
      <c r="L3563" s="508">
        <v>25.117999999999999</v>
      </c>
      <c r="M3563" s="508">
        <v>25.117999999999999</v>
      </c>
      <c r="N3563" s="508">
        <v>25.117999999999999</v>
      </c>
      <c r="O3563" s="508">
        <v>25.117999999999999</v>
      </c>
      <c r="P3563" s="508">
        <v>25.117999999999999</v>
      </c>
      <c r="Q3563" s="508">
        <v>25.117999999999999</v>
      </c>
      <c r="R3563" s="508">
        <v>21.792000000000002</v>
      </c>
      <c r="S3563" s="508">
        <v>16.419</v>
      </c>
      <c r="T3563" s="508">
        <v>16.419</v>
      </c>
      <c r="U3563" s="508">
        <v>16.419</v>
      </c>
      <c r="V3563" s="508">
        <v>16.419</v>
      </c>
      <c r="W3563" s="508">
        <v>9.1340000000000003</v>
      </c>
      <c r="X3563" s="508">
        <v>9.1340000000000003</v>
      </c>
      <c r="Y3563" s="508">
        <v>9.1340000000000003</v>
      </c>
      <c r="Z3563" s="508">
        <v>9.1340000000000003</v>
      </c>
      <c r="AA3563" s="508">
        <v>4.5380000000000003</v>
      </c>
      <c r="AB3563" s="508">
        <v>4.5380000000000003</v>
      </c>
      <c r="AC3563" s="508">
        <v>4.5380000000000003</v>
      </c>
      <c r="AD3563" s="508">
        <v>1.127</v>
      </c>
      <c r="AE3563" s="508">
        <v>1.127</v>
      </c>
      <c r="AF3563" s="508">
        <v>0.92900000000000005</v>
      </c>
      <c r="AG3563" s="508">
        <v>0.92400000000000004</v>
      </c>
      <c r="AH3563" s="508">
        <v>0.92</v>
      </c>
      <c r="AI3563" s="492">
        <v>0.92</v>
      </c>
      <c r="AJ3563" s="485"/>
    </row>
    <row r="3564" spans="2:36">
      <c r="B3564" s="136" t="s">
        <v>458</v>
      </c>
      <c r="C3564" s="132" t="s">
        <v>1378</v>
      </c>
      <c r="D3564" s="132" t="s">
        <v>283</v>
      </c>
      <c r="E3564" s="508">
        <v>34.595999999999997</v>
      </c>
      <c r="F3564" s="508">
        <v>34.595999999999997</v>
      </c>
      <c r="G3564" s="508">
        <v>34.595999999999997</v>
      </c>
      <c r="H3564" s="508">
        <v>34.595999999999997</v>
      </c>
      <c r="I3564" s="508">
        <v>34.595999999999997</v>
      </c>
      <c r="J3564" s="508">
        <v>26.718</v>
      </c>
      <c r="K3564" s="508">
        <v>25.120999999999999</v>
      </c>
      <c r="L3564" s="508">
        <v>25.120999999999999</v>
      </c>
      <c r="M3564" s="508">
        <v>25.120999999999999</v>
      </c>
      <c r="N3564" s="508">
        <v>25.120999999999999</v>
      </c>
      <c r="O3564" s="508">
        <v>25.120999999999999</v>
      </c>
      <c r="P3564" s="508">
        <v>25.120999999999999</v>
      </c>
      <c r="Q3564" s="508">
        <v>25.120999999999999</v>
      </c>
      <c r="R3564" s="508">
        <v>21.562000000000001</v>
      </c>
      <c r="S3564" s="508">
        <v>16.510000000000002</v>
      </c>
      <c r="T3564" s="508">
        <v>16.510000000000002</v>
      </c>
      <c r="U3564" s="508">
        <v>16.510000000000002</v>
      </c>
      <c r="V3564" s="508">
        <v>16.510000000000002</v>
      </c>
      <c r="W3564" s="508">
        <v>9.1989999999999998</v>
      </c>
      <c r="X3564" s="508">
        <v>9.1989999999999998</v>
      </c>
      <c r="Y3564" s="508">
        <v>9.1989999999999998</v>
      </c>
      <c r="Z3564" s="508">
        <v>9.1989999999999998</v>
      </c>
      <c r="AA3564" s="508">
        <v>4.57</v>
      </c>
      <c r="AB3564" s="508">
        <v>4.57</v>
      </c>
      <c r="AC3564" s="508">
        <v>4.57</v>
      </c>
      <c r="AD3564" s="508">
        <v>1.135</v>
      </c>
      <c r="AE3564" s="508">
        <v>1.135</v>
      </c>
      <c r="AF3564" s="508">
        <v>0.93600000000000005</v>
      </c>
      <c r="AG3564" s="508">
        <v>0.93100000000000005</v>
      </c>
      <c r="AH3564" s="508">
        <v>0.92700000000000005</v>
      </c>
      <c r="AI3564" s="492">
        <v>0.92700000000000005</v>
      </c>
      <c r="AJ3564" s="485"/>
    </row>
    <row r="3565" spans="2:36">
      <c r="B3565" s="136" t="s">
        <v>459</v>
      </c>
      <c r="C3565" s="132" t="s">
        <v>1378</v>
      </c>
      <c r="D3565" s="132" t="s">
        <v>283</v>
      </c>
      <c r="E3565" s="508">
        <v>35.256999999999998</v>
      </c>
      <c r="F3565" s="508">
        <v>35.256999999999998</v>
      </c>
      <c r="G3565" s="508">
        <v>35.256999999999998</v>
      </c>
      <c r="H3565" s="508">
        <v>35.256999999999998</v>
      </c>
      <c r="I3565" s="508">
        <v>35.256999999999998</v>
      </c>
      <c r="J3565" s="508">
        <v>27.228999999999999</v>
      </c>
      <c r="K3565" s="508">
        <v>25.600999999999999</v>
      </c>
      <c r="L3565" s="508">
        <v>25.600999999999999</v>
      </c>
      <c r="M3565" s="508">
        <v>25.600999999999999</v>
      </c>
      <c r="N3565" s="508">
        <v>25.600999999999999</v>
      </c>
      <c r="O3565" s="508">
        <v>25.600999999999999</v>
      </c>
      <c r="P3565" s="508">
        <v>25.600999999999999</v>
      </c>
      <c r="Q3565" s="508">
        <v>25.600999999999999</v>
      </c>
      <c r="R3565" s="508">
        <v>21.978000000000002</v>
      </c>
      <c r="S3565" s="508">
        <v>16.829000000000001</v>
      </c>
      <c r="T3565" s="508">
        <v>16.829000000000001</v>
      </c>
      <c r="U3565" s="508">
        <v>16.829000000000001</v>
      </c>
      <c r="V3565" s="508">
        <v>16.829000000000001</v>
      </c>
      <c r="W3565" s="508">
        <v>9.3740000000000006</v>
      </c>
      <c r="X3565" s="508">
        <v>9.3740000000000006</v>
      </c>
      <c r="Y3565" s="508">
        <v>9.3740000000000006</v>
      </c>
      <c r="Z3565" s="508">
        <v>9.3740000000000006</v>
      </c>
      <c r="AA3565" s="508">
        <v>4.657</v>
      </c>
      <c r="AB3565" s="508">
        <v>4.657</v>
      </c>
      <c r="AC3565" s="508">
        <v>4.657</v>
      </c>
      <c r="AD3565" s="508">
        <v>1.157</v>
      </c>
      <c r="AE3565" s="508">
        <v>1.157</v>
      </c>
      <c r="AF3565" s="508">
        <v>0.95399999999999996</v>
      </c>
      <c r="AG3565" s="508">
        <v>0.94799999999999995</v>
      </c>
      <c r="AH3565" s="508">
        <v>0.94399999999999995</v>
      </c>
      <c r="AI3565" s="492">
        <v>0.94399999999999995</v>
      </c>
      <c r="AJ3565" s="485"/>
    </row>
    <row r="3566" spans="2:36">
      <c r="B3566" s="136" t="s">
        <v>460</v>
      </c>
      <c r="C3566" s="132" t="s">
        <v>1378</v>
      </c>
      <c r="D3566" s="132" t="s">
        <v>283</v>
      </c>
      <c r="E3566" s="508">
        <v>34.909999999999997</v>
      </c>
      <c r="F3566" s="508">
        <v>34.908999999999999</v>
      </c>
      <c r="G3566" s="508">
        <v>34.908999999999999</v>
      </c>
      <c r="H3566" s="508">
        <v>34.908999999999999</v>
      </c>
      <c r="I3566" s="508">
        <v>34.908999999999999</v>
      </c>
      <c r="J3566" s="508">
        <v>26.96</v>
      </c>
      <c r="K3566" s="508">
        <v>25.347999999999999</v>
      </c>
      <c r="L3566" s="508">
        <v>25.347999999999999</v>
      </c>
      <c r="M3566" s="508">
        <v>25.347999999999999</v>
      </c>
      <c r="N3566" s="508">
        <v>25.347999999999999</v>
      </c>
      <c r="O3566" s="508">
        <v>25.347999999999999</v>
      </c>
      <c r="P3566" s="508">
        <v>25.347999999999999</v>
      </c>
      <c r="Q3566" s="508">
        <v>25.347999999999999</v>
      </c>
      <c r="R3566" s="508">
        <v>21.670999999999999</v>
      </c>
      <c r="S3566" s="508">
        <v>16.666</v>
      </c>
      <c r="T3566" s="508">
        <v>16.666</v>
      </c>
      <c r="U3566" s="508">
        <v>16.666</v>
      </c>
      <c r="V3566" s="508">
        <v>16.666</v>
      </c>
      <c r="W3566" s="508">
        <v>9.2880000000000003</v>
      </c>
      <c r="X3566" s="508">
        <v>9.2880000000000003</v>
      </c>
      <c r="Y3566" s="508">
        <v>9.2880000000000003</v>
      </c>
      <c r="Z3566" s="508">
        <v>9.2880000000000003</v>
      </c>
      <c r="AA3566" s="508">
        <v>4.6139999999999999</v>
      </c>
      <c r="AB3566" s="508">
        <v>4.6139999999999999</v>
      </c>
      <c r="AC3566" s="508">
        <v>4.6139999999999999</v>
      </c>
      <c r="AD3566" s="508">
        <v>1.1459999999999999</v>
      </c>
      <c r="AE3566" s="508">
        <v>1.1459999999999999</v>
      </c>
      <c r="AF3566" s="508">
        <v>0.94499999999999995</v>
      </c>
      <c r="AG3566" s="508">
        <v>0.94</v>
      </c>
      <c r="AH3566" s="508">
        <v>0.93600000000000005</v>
      </c>
      <c r="AI3566" s="492">
        <v>0.93600000000000005</v>
      </c>
      <c r="AJ3566" s="485"/>
    </row>
    <row r="3567" spans="2:36">
      <c r="B3567" s="136" t="s">
        <v>461</v>
      </c>
      <c r="C3567" s="132" t="s">
        <v>1378</v>
      </c>
      <c r="D3567" s="132" t="s">
        <v>283</v>
      </c>
      <c r="E3567" s="508">
        <v>34.868000000000002</v>
      </c>
      <c r="F3567" s="508">
        <v>34.869</v>
      </c>
      <c r="G3567" s="508">
        <v>34.868000000000002</v>
      </c>
      <c r="H3567" s="508">
        <v>34.869</v>
      </c>
      <c r="I3567" s="508">
        <v>34.868000000000002</v>
      </c>
      <c r="J3567" s="508">
        <v>26.928999999999998</v>
      </c>
      <c r="K3567" s="508">
        <v>25.318000000000001</v>
      </c>
      <c r="L3567" s="508">
        <v>25.318000000000001</v>
      </c>
      <c r="M3567" s="508">
        <v>25.318000000000001</v>
      </c>
      <c r="N3567" s="508">
        <v>25.318000000000001</v>
      </c>
      <c r="O3567" s="508">
        <v>25.318000000000001</v>
      </c>
      <c r="P3567" s="508">
        <v>25.318999999999999</v>
      </c>
      <c r="Q3567" s="508">
        <v>25.318000000000001</v>
      </c>
      <c r="R3567" s="508">
        <v>21.661000000000001</v>
      </c>
      <c r="S3567" s="508">
        <v>16.562999999999999</v>
      </c>
      <c r="T3567" s="508">
        <v>16.562999999999999</v>
      </c>
      <c r="U3567" s="508">
        <v>16.562999999999999</v>
      </c>
      <c r="V3567" s="508">
        <v>16.562999999999999</v>
      </c>
      <c r="W3567" s="508">
        <v>9.2680000000000007</v>
      </c>
      <c r="X3567" s="508">
        <v>9.2680000000000007</v>
      </c>
      <c r="Y3567" s="508">
        <v>9.2680000000000007</v>
      </c>
      <c r="Z3567" s="508">
        <v>9.2680000000000007</v>
      </c>
      <c r="AA3567" s="508">
        <v>4.6040000000000001</v>
      </c>
      <c r="AB3567" s="508">
        <v>4.6040000000000001</v>
      </c>
      <c r="AC3567" s="508">
        <v>4.6040000000000001</v>
      </c>
      <c r="AD3567" s="508">
        <v>1.1439999999999999</v>
      </c>
      <c r="AE3567" s="508">
        <v>1.1439999999999999</v>
      </c>
      <c r="AF3567" s="508">
        <v>0.94299999999999995</v>
      </c>
      <c r="AG3567" s="508">
        <v>0.93799999999999994</v>
      </c>
      <c r="AH3567" s="508">
        <v>0.93300000000000005</v>
      </c>
      <c r="AI3567" s="492">
        <v>0.93300000000000005</v>
      </c>
      <c r="AJ3567" s="485"/>
    </row>
    <row r="3568" spans="2:36">
      <c r="B3568" s="136" t="s">
        <v>462</v>
      </c>
      <c r="C3568" s="132" t="s">
        <v>1378</v>
      </c>
      <c r="D3568" s="132" t="s">
        <v>283</v>
      </c>
      <c r="E3568" s="508">
        <v>31.797000000000001</v>
      </c>
      <c r="F3568" s="508">
        <v>31.797000000000001</v>
      </c>
      <c r="G3568" s="508">
        <v>31.797000000000001</v>
      </c>
      <c r="H3568" s="508">
        <v>31.797000000000001</v>
      </c>
      <c r="I3568" s="508">
        <v>31.797000000000001</v>
      </c>
      <c r="J3568" s="508">
        <v>24.556999999999999</v>
      </c>
      <c r="K3568" s="508">
        <v>23.088000000000001</v>
      </c>
      <c r="L3568" s="508">
        <v>23.088000000000001</v>
      </c>
      <c r="M3568" s="508">
        <v>23.088000000000001</v>
      </c>
      <c r="N3568" s="508">
        <v>23.088000000000001</v>
      </c>
      <c r="O3568" s="508">
        <v>23.088000000000001</v>
      </c>
      <c r="P3568" s="508">
        <v>23.088000000000001</v>
      </c>
      <c r="Q3568" s="508">
        <v>23.088000000000001</v>
      </c>
      <c r="R3568" s="508">
        <v>19.753</v>
      </c>
      <c r="S3568" s="508">
        <v>15.066000000000001</v>
      </c>
      <c r="T3568" s="508">
        <v>15.066000000000001</v>
      </c>
      <c r="U3568" s="508">
        <v>15.066000000000001</v>
      </c>
      <c r="V3568" s="508">
        <v>15.066000000000001</v>
      </c>
      <c r="W3568" s="508">
        <v>8.4420000000000002</v>
      </c>
      <c r="X3568" s="508">
        <v>8.4420000000000002</v>
      </c>
      <c r="Y3568" s="508">
        <v>8.4420000000000002</v>
      </c>
      <c r="Z3568" s="508">
        <v>8.4420000000000002</v>
      </c>
      <c r="AA3568" s="508">
        <v>4.194</v>
      </c>
      <c r="AB3568" s="508">
        <v>4.194</v>
      </c>
      <c r="AC3568" s="508">
        <v>4.194</v>
      </c>
      <c r="AD3568" s="508">
        <v>1.042</v>
      </c>
      <c r="AE3568" s="508">
        <v>1.042</v>
      </c>
      <c r="AF3568" s="508">
        <v>0.85899999999999999</v>
      </c>
      <c r="AG3568" s="508">
        <v>0.85399999999999998</v>
      </c>
      <c r="AH3568" s="508">
        <v>0.85</v>
      </c>
      <c r="AI3568" s="492">
        <v>0.85</v>
      </c>
      <c r="AJ3568" s="485"/>
    </row>
    <row r="3569" spans="2:36">
      <c r="B3569" s="136" t="s">
        <v>463</v>
      </c>
      <c r="C3569" s="132" t="s">
        <v>1378</v>
      </c>
      <c r="D3569" s="132" t="s">
        <v>283</v>
      </c>
      <c r="E3569" s="508">
        <v>34.003</v>
      </c>
      <c r="F3569" s="508">
        <v>34.003</v>
      </c>
      <c r="G3569" s="508">
        <v>34.003</v>
      </c>
      <c r="H3569" s="508">
        <v>34.003</v>
      </c>
      <c r="I3569" s="508">
        <v>34.003</v>
      </c>
      <c r="J3569" s="508">
        <v>26.26</v>
      </c>
      <c r="K3569" s="508">
        <v>24.69</v>
      </c>
      <c r="L3569" s="508">
        <v>24.69</v>
      </c>
      <c r="M3569" s="508">
        <v>24.69</v>
      </c>
      <c r="N3569" s="508">
        <v>24.69</v>
      </c>
      <c r="O3569" s="508">
        <v>24.69</v>
      </c>
      <c r="P3569" s="508">
        <v>24.69</v>
      </c>
      <c r="Q3569" s="508">
        <v>24.69</v>
      </c>
      <c r="R3569" s="508">
        <v>21.495999999999999</v>
      </c>
      <c r="S3569" s="508">
        <v>16.192</v>
      </c>
      <c r="T3569" s="508">
        <v>16.192</v>
      </c>
      <c r="U3569" s="508">
        <v>16.192</v>
      </c>
      <c r="V3569" s="508">
        <v>16.192</v>
      </c>
      <c r="W3569" s="508">
        <v>8.9830000000000005</v>
      </c>
      <c r="X3569" s="508">
        <v>8.9830000000000005</v>
      </c>
      <c r="Y3569" s="508">
        <v>8.9830000000000005</v>
      </c>
      <c r="Z3569" s="508">
        <v>8.9830000000000005</v>
      </c>
      <c r="AA3569" s="508">
        <v>4.4619999999999997</v>
      </c>
      <c r="AB3569" s="508">
        <v>4.4619999999999997</v>
      </c>
      <c r="AC3569" s="508">
        <v>4.4619999999999997</v>
      </c>
      <c r="AD3569" s="508">
        <v>1.109</v>
      </c>
      <c r="AE3569" s="508">
        <v>1.109</v>
      </c>
      <c r="AF3569" s="508">
        <v>0.91400000000000003</v>
      </c>
      <c r="AG3569" s="508">
        <v>0.90900000000000003</v>
      </c>
      <c r="AH3569" s="508">
        <v>0.90400000000000003</v>
      </c>
      <c r="AI3569" s="492">
        <v>0.90400000000000003</v>
      </c>
      <c r="AJ3569" s="485"/>
    </row>
    <row r="3570" spans="2:36">
      <c r="B3570" s="136" t="s">
        <v>464</v>
      </c>
      <c r="C3570" s="132" t="s">
        <v>1378</v>
      </c>
      <c r="D3570" s="132" t="s">
        <v>283</v>
      </c>
      <c r="E3570" s="508">
        <v>34.936999999999998</v>
      </c>
      <c r="F3570" s="508">
        <v>34.936999999999998</v>
      </c>
      <c r="G3570" s="508">
        <v>34.936999999999998</v>
      </c>
      <c r="H3570" s="508">
        <v>34.936999999999998</v>
      </c>
      <c r="I3570" s="508">
        <v>34.936999999999998</v>
      </c>
      <c r="J3570" s="508">
        <v>26.981999999999999</v>
      </c>
      <c r="K3570" s="508">
        <v>25.367999999999999</v>
      </c>
      <c r="L3570" s="508">
        <v>25.369</v>
      </c>
      <c r="M3570" s="508">
        <v>25.369</v>
      </c>
      <c r="N3570" s="508">
        <v>25.367999999999999</v>
      </c>
      <c r="O3570" s="508">
        <v>25.367999999999999</v>
      </c>
      <c r="P3570" s="508">
        <v>25.369</v>
      </c>
      <c r="Q3570" s="508">
        <v>25.369</v>
      </c>
      <c r="R3570" s="508">
        <v>22.067</v>
      </c>
      <c r="S3570" s="508">
        <v>16.626999999999999</v>
      </c>
      <c r="T3570" s="508">
        <v>16.626999999999999</v>
      </c>
      <c r="U3570" s="508">
        <v>16.626999999999999</v>
      </c>
      <c r="V3570" s="508">
        <v>16.626999999999999</v>
      </c>
      <c r="W3570" s="508">
        <v>9.218</v>
      </c>
      <c r="X3570" s="508">
        <v>9.218</v>
      </c>
      <c r="Y3570" s="508">
        <v>9.218</v>
      </c>
      <c r="Z3570" s="508">
        <v>9.218</v>
      </c>
      <c r="AA3570" s="508">
        <v>4.5789999999999997</v>
      </c>
      <c r="AB3570" s="508">
        <v>4.5789999999999997</v>
      </c>
      <c r="AC3570" s="508">
        <v>4.5789999999999997</v>
      </c>
      <c r="AD3570" s="508">
        <v>1.1379999999999999</v>
      </c>
      <c r="AE3570" s="508">
        <v>1.1379999999999999</v>
      </c>
      <c r="AF3570" s="508">
        <v>0.93799999999999994</v>
      </c>
      <c r="AG3570" s="508">
        <v>0.93300000000000005</v>
      </c>
      <c r="AH3570" s="508">
        <v>0.92800000000000005</v>
      </c>
      <c r="AI3570" s="492">
        <v>0.92800000000000005</v>
      </c>
      <c r="AJ3570" s="485"/>
    </row>
    <row r="3571" spans="2:36">
      <c r="B3571" s="136" t="s">
        <v>465</v>
      </c>
      <c r="C3571" s="132" t="s">
        <v>1378</v>
      </c>
      <c r="D3571" s="132" t="s">
        <v>283</v>
      </c>
      <c r="E3571" s="508">
        <v>34.659999999999997</v>
      </c>
      <c r="F3571" s="508">
        <v>34.659999999999997</v>
      </c>
      <c r="G3571" s="508">
        <v>34.659999999999997</v>
      </c>
      <c r="H3571" s="508">
        <v>34.659999999999997</v>
      </c>
      <c r="I3571" s="508">
        <v>34.659999999999997</v>
      </c>
      <c r="J3571" s="508">
        <v>26.768000000000001</v>
      </c>
      <c r="K3571" s="508">
        <v>25.167000000000002</v>
      </c>
      <c r="L3571" s="508">
        <v>25.167000000000002</v>
      </c>
      <c r="M3571" s="508">
        <v>25.167000000000002</v>
      </c>
      <c r="N3571" s="508">
        <v>25.167000000000002</v>
      </c>
      <c r="O3571" s="508">
        <v>25.167000000000002</v>
      </c>
      <c r="P3571" s="508">
        <v>25.167000000000002</v>
      </c>
      <c r="Q3571" s="508">
        <v>25.167000000000002</v>
      </c>
      <c r="R3571" s="508">
        <v>21.85</v>
      </c>
      <c r="S3571" s="508">
        <v>16.547999999999998</v>
      </c>
      <c r="T3571" s="508">
        <v>16.547999999999998</v>
      </c>
      <c r="U3571" s="508">
        <v>16.547999999999998</v>
      </c>
      <c r="V3571" s="508">
        <v>16.547999999999998</v>
      </c>
      <c r="W3571" s="508">
        <v>9.1609999999999996</v>
      </c>
      <c r="X3571" s="508">
        <v>9.1609999999999996</v>
      </c>
      <c r="Y3571" s="508">
        <v>9.1609999999999996</v>
      </c>
      <c r="Z3571" s="508">
        <v>9.1609999999999996</v>
      </c>
      <c r="AA3571" s="508">
        <v>4.5510000000000002</v>
      </c>
      <c r="AB3571" s="508">
        <v>4.5510000000000002</v>
      </c>
      <c r="AC3571" s="508">
        <v>4.5510000000000002</v>
      </c>
      <c r="AD3571" s="508">
        <v>1.131</v>
      </c>
      <c r="AE3571" s="508">
        <v>1.131</v>
      </c>
      <c r="AF3571" s="508">
        <v>0.93200000000000005</v>
      </c>
      <c r="AG3571" s="508">
        <v>0.92700000000000005</v>
      </c>
      <c r="AH3571" s="508">
        <v>0.92200000000000004</v>
      </c>
      <c r="AI3571" s="492">
        <v>0.92200000000000004</v>
      </c>
      <c r="AJ3571" s="485"/>
    </row>
    <row r="3572" spans="2:36">
      <c r="B3572" s="136" t="s">
        <v>466</v>
      </c>
      <c r="C3572" s="132" t="s">
        <v>1378</v>
      </c>
      <c r="D3572" s="132" t="s">
        <v>283</v>
      </c>
      <c r="E3572" s="508">
        <v>35.652999999999999</v>
      </c>
      <c r="F3572" s="508">
        <v>35.652999999999999</v>
      </c>
      <c r="G3572" s="508">
        <v>35.652999999999999</v>
      </c>
      <c r="H3572" s="508">
        <v>35.652999999999999</v>
      </c>
      <c r="I3572" s="508">
        <v>35.652999999999999</v>
      </c>
      <c r="J3572" s="508">
        <v>27.535</v>
      </c>
      <c r="K3572" s="508">
        <v>25.888000000000002</v>
      </c>
      <c r="L3572" s="508">
        <v>25.888000000000002</v>
      </c>
      <c r="M3572" s="508">
        <v>25.888000000000002</v>
      </c>
      <c r="N3572" s="508">
        <v>25.888000000000002</v>
      </c>
      <c r="O3572" s="508">
        <v>25.888000000000002</v>
      </c>
      <c r="P3572" s="508">
        <v>25.888000000000002</v>
      </c>
      <c r="Q3572" s="508">
        <v>25.888000000000002</v>
      </c>
      <c r="R3572" s="508">
        <v>21.907</v>
      </c>
      <c r="S3572" s="508">
        <v>17.068000000000001</v>
      </c>
      <c r="T3572" s="508">
        <v>17.068000000000001</v>
      </c>
      <c r="U3572" s="508">
        <v>17.068000000000001</v>
      </c>
      <c r="V3572" s="508">
        <v>17.068000000000001</v>
      </c>
      <c r="W3572" s="508">
        <v>9.5269999999999992</v>
      </c>
      <c r="X3572" s="508">
        <v>9.5269999999999992</v>
      </c>
      <c r="Y3572" s="508">
        <v>9.5269999999999992</v>
      </c>
      <c r="Z3572" s="508">
        <v>9.5269999999999992</v>
      </c>
      <c r="AA3572" s="508">
        <v>4.7320000000000002</v>
      </c>
      <c r="AB3572" s="508">
        <v>4.7320000000000002</v>
      </c>
      <c r="AC3572" s="508">
        <v>4.7320000000000002</v>
      </c>
      <c r="AD3572" s="508">
        <v>1.1759999999999999</v>
      </c>
      <c r="AE3572" s="508">
        <v>1.1759999999999999</v>
      </c>
      <c r="AF3572" s="508">
        <v>0.96899999999999997</v>
      </c>
      <c r="AG3572" s="508">
        <v>0.96399999999999997</v>
      </c>
      <c r="AH3572" s="508">
        <v>0.96</v>
      </c>
      <c r="AI3572" s="492">
        <v>0.96</v>
      </c>
      <c r="AJ3572" s="485"/>
    </row>
    <row r="3573" spans="2:36">
      <c r="B3573" s="136" t="s">
        <v>467</v>
      </c>
      <c r="C3573" s="132" t="s">
        <v>1378</v>
      </c>
      <c r="D3573" s="132" t="s">
        <v>283</v>
      </c>
      <c r="E3573" s="508">
        <v>34.704999999999998</v>
      </c>
      <c r="F3573" s="508">
        <v>34.704999999999998</v>
      </c>
      <c r="G3573" s="508">
        <v>34.704999999999998</v>
      </c>
      <c r="H3573" s="508">
        <v>34.704999999999998</v>
      </c>
      <c r="I3573" s="508">
        <v>34.704999999999998</v>
      </c>
      <c r="J3573" s="508">
        <v>26.803000000000001</v>
      </c>
      <c r="K3573" s="508">
        <v>25.2</v>
      </c>
      <c r="L3573" s="508">
        <v>25.2</v>
      </c>
      <c r="M3573" s="508">
        <v>25.2</v>
      </c>
      <c r="N3573" s="508">
        <v>25.2</v>
      </c>
      <c r="O3573" s="508">
        <v>25.2</v>
      </c>
      <c r="P3573" s="508">
        <v>25.2</v>
      </c>
      <c r="Q3573" s="508">
        <v>25.2</v>
      </c>
      <c r="R3573" s="508">
        <v>21.588000000000001</v>
      </c>
      <c r="S3573" s="508">
        <v>16.481000000000002</v>
      </c>
      <c r="T3573" s="508">
        <v>16.481000000000002</v>
      </c>
      <c r="U3573" s="508">
        <v>16.481000000000002</v>
      </c>
      <c r="V3573" s="508">
        <v>16.481000000000002</v>
      </c>
      <c r="W3573" s="508">
        <v>9.218</v>
      </c>
      <c r="X3573" s="508">
        <v>9.218</v>
      </c>
      <c r="Y3573" s="508">
        <v>9.218</v>
      </c>
      <c r="Z3573" s="508">
        <v>9.218</v>
      </c>
      <c r="AA3573" s="508">
        <v>4.5789999999999997</v>
      </c>
      <c r="AB3573" s="508">
        <v>4.5789999999999997</v>
      </c>
      <c r="AC3573" s="508">
        <v>4.5789999999999997</v>
      </c>
      <c r="AD3573" s="508">
        <v>1.1379999999999999</v>
      </c>
      <c r="AE3573" s="508">
        <v>1.1379999999999999</v>
      </c>
      <c r="AF3573" s="508">
        <v>0.93799999999999994</v>
      </c>
      <c r="AG3573" s="508">
        <v>0.93200000000000005</v>
      </c>
      <c r="AH3573" s="508">
        <v>0.92800000000000005</v>
      </c>
      <c r="AI3573" s="492">
        <v>0.92800000000000005</v>
      </c>
      <c r="AJ3573" s="485"/>
    </row>
    <row r="3574" spans="2:36">
      <c r="B3574" s="136" t="s">
        <v>468</v>
      </c>
      <c r="C3574" s="132" t="s">
        <v>1378</v>
      </c>
      <c r="D3574" s="132" t="s">
        <v>283</v>
      </c>
      <c r="E3574" s="508">
        <v>34.720999999999997</v>
      </c>
      <c r="F3574" s="508">
        <v>34.720999999999997</v>
      </c>
      <c r="G3574" s="508">
        <v>34.720999999999997</v>
      </c>
      <c r="H3574" s="508">
        <v>34.720999999999997</v>
      </c>
      <c r="I3574" s="508">
        <v>34.720999999999997</v>
      </c>
      <c r="J3574" s="508">
        <v>26.815000000000001</v>
      </c>
      <c r="K3574" s="508">
        <v>25.212</v>
      </c>
      <c r="L3574" s="508">
        <v>25.212</v>
      </c>
      <c r="M3574" s="508">
        <v>25.212</v>
      </c>
      <c r="N3574" s="508">
        <v>25.212</v>
      </c>
      <c r="O3574" s="508">
        <v>25.212</v>
      </c>
      <c r="P3574" s="508">
        <v>25.212</v>
      </c>
      <c r="Q3574" s="508">
        <v>25.212</v>
      </c>
      <c r="R3574" s="508">
        <v>22.132999999999999</v>
      </c>
      <c r="S3574" s="508">
        <v>16.63</v>
      </c>
      <c r="T3574" s="508">
        <v>16.63</v>
      </c>
      <c r="U3574" s="508">
        <v>16.63</v>
      </c>
      <c r="V3574" s="508">
        <v>16.63</v>
      </c>
      <c r="W3574" s="508">
        <v>9.141</v>
      </c>
      <c r="X3574" s="508">
        <v>9.141</v>
      </c>
      <c r="Y3574" s="508">
        <v>9.141</v>
      </c>
      <c r="Z3574" s="508">
        <v>9.141</v>
      </c>
      <c r="AA3574" s="508">
        <v>4.5410000000000004</v>
      </c>
      <c r="AB3574" s="508">
        <v>4.5410000000000004</v>
      </c>
      <c r="AC3574" s="508">
        <v>4.5410000000000004</v>
      </c>
      <c r="AD3574" s="508">
        <v>1.1279999999999999</v>
      </c>
      <c r="AE3574" s="508">
        <v>1.1279999999999999</v>
      </c>
      <c r="AF3574" s="508">
        <v>0.93</v>
      </c>
      <c r="AG3574" s="508">
        <v>0.92500000000000004</v>
      </c>
      <c r="AH3574" s="508">
        <v>0.92</v>
      </c>
      <c r="AI3574" s="492">
        <v>0.92</v>
      </c>
      <c r="AJ3574" s="485"/>
    </row>
    <row r="3575" spans="2:36">
      <c r="B3575" s="136" t="s">
        <v>469</v>
      </c>
      <c r="C3575" s="132" t="s">
        <v>1378</v>
      </c>
      <c r="D3575" s="132" t="s">
        <v>283</v>
      </c>
      <c r="E3575" s="508">
        <v>34.979999999999997</v>
      </c>
      <c r="F3575" s="508">
        <v>34.979999999999997</v>
      </c>
      <c r="G3575" s="508">
        <v>34.979999999999997</v>
      </c>
      <c r="H3575" s="508">
        <v>34.979999999999997</v>
      </c>
      <c r="I3575" s="508">
        <v>34.979999999999997</v>
      </c>
      <c r="J3575" s="508">
        <v>27.015000000000001</v>
      </c>
      <c r="K3575" s="508">
        <v>25.4</v>
      </c>
      <c r="L3575" s="508">
        <v>25.4</v>
      </c>
      <c r="M3575" s="508">
        <v>25.4</v>
      </c>
      <c r="N3575" s="508">
        <v>25.4</v>
      </c>
      <c r="O3575" s="508">
        <v>25.4</v>
      </c>
      <c r="P3575" s="508">
        <v>25.4</v>
      </c>
      <c r="Q3575" s="508">
        <v>25.4</v>
      </c>
      <c r="R3575" s="508">
        <v>21.942</v>
      </c>
      <c r="S3575" s="508">
        <v>16.68</v>
      </c>
      <c r="T3575" s="508">
        <v>16.68</v>
      </c>
      <c r="U3575" s="508">
        <v>16.68</v>
      </c>
      <c r="V3575" s="508">
        <v>16.68</v>
      </c>
      <c r="W3575" s="508">
        <v>9.2609999999999992</v>
      </c>
      <c r="X3575" s="508">
        <v>9.2609999999999992</v>
      </c>
      <c r="Y3575" s="508">
        <v>9.2609999999999992</v>
      </c>
      <c r="Z3575" s="508">
        <v>9.2609999999999992</v>
      </c>
      <c r="AA3575" s="508">
        <v>4.601</v>
      </c>
      <c r="AB3575" s="508">
        <v>4.601</v>
      </c>
      <c r="AC3575" s="508">
        <v>4.601</v>
      </c>
      <c r="AD3575" s="508">
        <v>1.143</v>
      </c>
      <c r="AE3575" s="508">
        <v>1.143</v>
      </c>
      <c r="AF3575" s="508">
        <v>0.94199999999999995</v>
      </c>
      <c r="AG3575" s="508">
        <v>0.93700000000000006</v>
      </c>
      <c r="AH3575" s="508">
        <v>0.93300000000000005</v>
      </c>
      <c r="AI3575" s="492">
        <v>0.93300000000000005</v>
      </c>
      <c r="AJ3575" s="485"/>
    </row>
    <row r="3576" spans="2:36">
      <c r="B3576" s="136" t="s">
        <v>470</v>
      </c>
      <c r="C3576" s="132" t="s">
        <v>1378</v>
      </c>
      <c r="D3576" s="132" t="s">
        <v>283</v>
      </c>
      <c r="E3576" s="508">
        <v>34.914000000000001</v>
      </c>
      <c r="F3576" s="508">
        <v>34.912999999999997</v>
      </c>
      <c r="G3576" s="508">
        <v>34.914000000000001</v>
      </c>
      <c r="H3576" s="508">
        <v>34.914000000000001</v>
      </c>
      <c r="I3576" s="508">
        <v>34.912999999999997</v>
      </c>
      <c r="J3576" s="508">
        <v>26.963999999999999</v>
      </c>
      <c r="K3576" s="508">
        <v>25.350999999999999</v>
      </c>
      <c r="L3576" s="508">
        <v>25.350999999999999</v>
      </c>
      <c r="M3576" s="508">
        <v>25.350999999999999</v>
      </c>
      <c r="N3576" s="508">
        <v>25.350999999999999</v>
      </c>
      <c r="O3576" s="508">
        <v>25.350999999999999</v>
      </c>
      <c r="P3576" s="508">
        <v>25.350999999999999</v>
      </c>
      <c r="Q3576" s="508">
        <v>25.350999999999999</v>
      </c>
      <c r="R3576" s="508">
        <v>21.568000000000001</v>
      </c>
      <c r="S3576" s="508">
        <v>16.648</v>
      </c>
      <c r="T3576" s="508">
        <v>16.648</v>
      </c>
      <c r="U3576" s="508">
        <v>16.648</v>
      </c>
      <c r="V3576" s="508">
        <v>16.648</v>
      </c>
      <c r="W3576" s="508">
        <v>9.31</v>
      </c>
      <c r="X3576" s="508">
        <v>9.31</v>
      </c>
      <c r="Y3576" s="508">
        <v>9.31</v>
      </c>
      <c r="Z3576" s="508">
        <v>9.31</v>
      </c>
      <c r="AA3576" s="508">
        <v>4.625</v>
      </c>
      <c r="AB3576" s="508">
        <v>4.625</v>
      </c>
      <c r="AC3576" s="508">
        <v>4.625</v>
      </c>
      <c r="AD3576" s="508">
        <v>1.149</v>
      </c>
      <c r="AE3576" s="508">
        <v>1.149</v>
      </c>
      <c r="AF3576" s="508">
        <v>0.94699999999999995</v>
      </c>
      <c r="AG3576" s="508">
        <v>0.94199999999999995</v>
      </c>
      <c r="AH3576" s="508">
        <v>0.93799999999999994</v>
      </c>
      <c r="AI3576" s="492">
        <v>0.93799999999999994</v>
      </c>
      <c r="AJ3576" s="485"/>
    </row>
    <row r="3577" spans="2:36">
      <c r="B3577" s="136" t="s">
        <v>471</v>
      </c>
      <c r="C3577" s="132" t="s">
        <v>1378</v>
      </c>
      <c r="D3577" s="132" t="s">
        <v>283</v>
      </c>
      <c r="E3577" s="508">
        <v>33.237000000000002</v>
      </c>
      <c r="F3577" s="508">
        <v>33.237000000000002</v>
      </c>
      <c r="G3577" s="508">
        <v>33.237000000000002</v>
      </c>
      <c r="H3577" s="508">
        <v>33.237000000000002</v>
      </c>
      <c r="I3577" s="508">
        <v>33.237000000000002</v>
      </c>
      <c r="J3577" s="508">
        <v>25.669</v>
      </c>
      <c r="K3577" s="508">
        <v>24.134</v>
      </c>
      <c r="L3577" s="508">
        <v>24.134</v>
      </c>
      <c r="M3577" s="508">
        <v>24.134</v>
      </c>
      <c r="N3577" s="508">
        <v>24.134</v>
      </c>
      <c r="O3577" s="508">
        <v>24.134</v>
      </c>
      <c r="P3577" s="508">
        <v>24.134</v>
      </c>
      <c r="Q3577" s="508">
        <v>24.134</v>
      </c>
      <c r="R3577" s="508">
        <v>20.548999999999999</v>
      </c>
      <c r="S3577" s="508">
        <v>15.795999999999999</v>
      </c>
      <c r="T3577" s="508">
        <v>15.795999999999999</v>
      </c>
      <c r="U3577" s="508">
        <v>15.795999999999999</v>
      </c>
      <c r="V3577" s="508">
        <v>15.795999999999999</v>
      </c>
      <c r="W3577" s="508">
        <v>8.8510000000000009</v>
      </c>
      <c r="X3577" s="508">
        <v>8.8510000000000009</v>
      </c>
      <c r="Y3577" s="508">
        <v>8.8510000000000009</v>
      </c>
      <c r="Z3577" s="508">
        <v>8.8510000000000009</v>
      </c>
      <c r="AA3577" s="508">
        <v>4.3970000000000002</v>
      </c>
      <c r="AB3577" s="508">
        <v>4.3970000000000002</v>
      </c>
      <c r="AC3577" s="508">
        <v>4.3970000000000002</v>
      </c>
      <c r="AD3577" s="508">
        <v>1.0920000000000001</v>
      </c>
      <c r="AE3577" s="508">
        <v>1.0920000000000001</v>
      </c>
      <c r="AF3577" s="508">
        <v>0.90100000000000002</v>
      </c>
      <c r="AG3577" s="508">
        <v>0.89500000000000002</v>
      </c>
      <c r="AH3577" s="508">
        <v>0.89200000000000002</v>
      </c>
      <c r="AI3577" s="492">
        <v>0.89200000000000002</v>
      </c>
      <c r="AJ3577" s="485"/>
    </row>
    <row r="3578" spans="2:36">
      <c r="B3578" s="136" t="s">
        <v>472</v>
      </c>
      <c r="C3578" s="132" t="s">
        <v>1378</v>
      </c>
      <c r="D3578" s="132" t="s">
        <v>283</v>
      </c>
      <c r="E3578" s="508">
        <v>34.826999999999998</v>
      </c>
      <c r="F3578" s="508">
        <v>34.826999999999998</v>
      </c>
      <c r="G3578" s="508">
        <v>34.826999999999998</v>
      </c>
      <c r="H3578" s="508">
        <v>34.826999999999998</v>
      </c>
      <c r="I3578" s="508">
        <v>34.826000000000001</v>
      </c>
      <c r="J3578" s="508">
        <v>26.896000000000001</v>
      </c>
      <c r="K3578" s="508">
        <v>25.288</v>
      </c>
      <c r="L3578" s="508">
        <v>25.288</v>
      </c>
      <c r="M3578" s="508">
        <v>25.288</v>
      </c>
      <c r="N3578" s="508">
        <v>25.288</v>
      </c>
      <c r="O3578" s="508">
        <v>25.288</v>
      </c>
      <c r="P3578" s="508">
        <v>25.288</v>
      </c>
      <c r="Q3578" s="508">
        <v>25.288</v>
      </c>
      <c r="R3578" s="508">
        <v>21.934000000000001</v>
      </c>
      <c r="S3578" s="508">
        <v>16.536999999999999</v>
      </c>
      <c r="T3578" s="508">
        <v>16.536999999999999</v>
      </c>
      <c r="U3578" s="508">
        <v>16.536999999999999</v>
      </c>
      <c r="V3578" s="508">
        <v>16.536999999999999</v>
      </c>
      <c r="W3578" s="508">
        <v>9.1969999999999992</v>
      </c>
      <c r="X3578" s="508">
        <v>9.1969999999999992</v>
      </c>
      <c r="Y3578" s="508">
        <v>9.1969999999999992</v>
      </c>
      <c r="Z3578" s="508">
        <v>9.1969999999999992</v>
      </c>
      <c r="AA3578" s="508">
        <v>4.569</v>
      </c>
      <c r="AB3578" s="508">
        <v>4.569</v>
      </c>
      <c r="AC3578" s="508">
        <v>4.569</v>
      </c>
      <c r="AD3578" s="508">
        <v>1.135</v>
      </c>
      <c r="AE3578" s="508">
        <v>1.135</v>
      </c>
      <c r="AF3578" s="508">
        <v>0.93600000000000005</v>
      </c>
      <c r="AG3578" s="508">
        <v>0.93</v>
      </c>
      <c r="AH3578" s="508">
        <v>0.92600000000000005</v>
      </c>
      <c r="AI3578" s="492">
        <v>0.92600000000000005</v>
      </c>
      <c r="AJ3578" s="485"/>
    </row>
    <row r="3579" spans="2:36">
      <c r="B3579" s="136" t="s">
        <v>473</v>
      </c>
      <c r="C3579" s="132" t="s">
        <v>1378</v>
      </c>
      <c r="D3579" s="132" t="s">
        <v>283</v>
      </c>
      <c r="E3579" s="508">
        <v>34.384</v>
      </c>
      <c r="F3579" s="508">
        <v>34.384</v>
      </c>
      <c r="G3579" s="508">
        <v>34.384</v>
      </c>
      <c r="H3579" s="508">
        <v>34.384</v>
      </c>
      <c r="I3579" s="508">
        <v>34.384</v>
      </c>
      <c r="J3579" s="508">
        <v>26.555</v>
      </c>
      <c r="K3579" s="508">
        <v>24.966999999999999</v>
      </c>
      <c r="L3579" s="508">
        <v>24.966999999999999</v>
      </c>
      <c r="M3579" s="508">
        <v>24.966999999999999</v>
      </c>
      <c r="N3579" s="508">
        <v>24.966999999999999</v>
      </c>
      <c r="O3579" s="508">
        <v>24.966999999999999</v>
      </c>
      <c r="P3579" s="508">
        <v>24.966999999999999</v>
      </c>
      <c r="Q3579" s="508">
        <v>24.966999999999999</v>
      </c>
      <c r="R3579" s="508">
        <v>21.167000000000002</v>
      </c>
      <c r="S3579" s="508">
        <v>16.39</v>
      </c>
      <c r="T3579" s="508">
        <v>16.39</v>
      </c>
      <c r="U3579" s="508">
        <v>16.39</v>
      </c>
      <c r="V3579" s="508">
        <v>16.39</v>
      </c>
      <c r="W3579" s="508">
        <v>9.1760000000000002</v>
      </c>
      <c r="X3579" s="508">
        <v>9.1760000000000002</v>
      </c>
      <c r="Y3579" s="508">
        <v>9.1760000000000002</v>
      </c>
      <c r="Z3579" s="508">
        <v>9.1760000000000002</v>
      </c>
      <c r="AA3579" s="508">
        <v>4.5579999999999998</v>
      </c>
      <c r="AB3579" s="508">
        <v>4.5579999999999998</v>
      </c>
      <c r="AC3579" s="508">
        <v>4.5579999999999998</v>
      </c>
      <c r="AD3579" s="508">
        <v>1.1319999999999999</v>
      </c>
      <c r="AE3579" s="508">
        <v>1.1319999999999999</v>
      </c>
      <c r="AF3579" s="508">
        <v>0.93400000000000005</v>
      </c>
      <c r="AG3579" s="508">
        <v>0.92800000000000005</v>
      </c>
      <c r="AH3579" s="508">
        <v>0.92400000000000004</v>
      </c>
      <c r="AI3579" s="492">
        <v>0.92400000000000004</v>
      </c>
      <c r="AJ3579" s="485"/>
    </row>
    <row r="3580" spans="2:36">
      <c r="B3580" s="136" t="s">
        <v>474</v>
      </c>
      <c r="C3580" s="132" t="s">
        <v>1378</v>
      </c>
      <c r="D3580" s="132" t="s">
        <v>283</v>
      </c>
      <c r="E3580" s="508">
        <v>33.295999999999999</v>
      </c>
      <c r="F3580" s="508">
        <v>33.295999999999999</v>
      </c>
      <c r="G3580" s="508">
        <v>33.295999999999999</v>
      </c>
      <c r="H3580" s="508">
        <v>33.295999999999999</v>
      </c>
      <c r="I3580" s="508">
        <v>33.295999999999999</v>
      </c>
      <c r="J3580" s="508">
        <v>25.713999999999999</v>
      </c>
      <c r="K3580" s="508">
        <v>24.175999999999998</v>
      </c>
      <c r="L3580" s="508">
        <v>24.175999999999998</v>
      </c>
      <c r="M3580" s="508">
        <v>24.175999999999998</v>
      </c>
      <c r="N3580" s="508">
        <v>24.175999999999998</v>
      </c>
      <c r="O3580" s="508">
        <v>24.175999999999998</v>
      </c>
      <c r="P3580" s="508">
        <v>24.175999999999998</v>
      </c>
      <c r="Q3580" s="508">
        <v>24.175999999999998</v>
      </c>
      <c r="R3580" s="508">
        <v>20.692</v>
      </c>
      <c r="S3580" s="508">
        <v>15.852</v>
      </c>
      <c r="T3580" s="508">
        <v>15.852</v>
      </c>
      <c r="U3580" s="508">
        <v>15.852</v>
      </c>
      <c r="V3580" s="508">
        <v>15.852</v>
      </c>
      <c r="W3580" s="508">
        <v>8.8480000000000008</v>
      </c>
      <c r="X3580" s="508">
        <v>8.8480000000000008</v>
      </c>
      <c r="Y3580" s="508">
        <v>8.8480000000000008</v>
      </c>
      <c r="Z3580" s="508">
        <v>8.8480000000000008</v>
      </c>
      <c r="AA3580" s="508">
        <v>4.3959999999999999</v>
      </c>
      <c r="AB3580" s="508">
        <v>4.3959999999999999</v>
      </c>
      <c r="AC3580" s="508">
        <v>4.3959999999999999</v>
      </c>
      <c r="AD3580" s="508">
        <v>1.0920000000000001</v>
      </c>
      <c r="AE3580" s="508">
        <v>1.0920000000000001</v>
      </c>
      <c r="AF3580" s="508">
        <v>0.9</v>
      </c>
      <c r="AG3580" s="508">
        <v>0.89500000000000002</v>
      </c>
      <c r="AH3580" s="508">
        <v>0.89100000000000001</v>
      </c>
      <c r="AI3580" s="492">
        <v>0.89100000000000001</v>
      </c>
      <c r="AJ3580" s="485"/>
    </row>
    <row r="3581" spans="2:36">
      <c r="B3581" s="136" t="s">
        <v>475</v>
      </c>
      <c r="C3581" s="132" t="s">
        <v>1378</v>
      </c>
      <c r="D3581" s="132" t="s">
        <v>283</v>
      </c>
      <c r="E3581" s="508">
        <v>34.168999999999997</v>
      </c>
      <c r="F3581" s="508">
        <v>34.168999999999997</v>
      </c>
      <c r="G3581" s="508">
        <v>34.168999999999997</v>
      </c>
      <c r="H3581" s="508">
        <v>34.168999999999997</v>
      </c>
      <c r="I3581" s="508">
        <v>34.168999999999997</v>
      </c>
      <c r="J3581" s="508">
        <v>26.388999999999999</v>
      </c>
      <c r="K3581" s="508">
        <v>24.811</v>
      </c>
      <c r="L3581" s="508">
        <v>24.811</v>
      </c>
      <c r="M3581" s="508">
        <v>24.811</v>
      </c>
      <c r="N3581" s="508">
        <v>24.811</v>
      </c>
      <c r="O3581" s="508">
        <v>24.811</v>
      </c>
      <c r="P3581" s="508">
        <v>24.811</v>
      </c>
      <c r="Q3581" s="508">
        <v>24.811</v>
      </c>
      <c r="R3581" s="508">
        <v>21.312000000000001</v>
      </c>
      <c r="S3581" s="508">
        <v>16.25</v>
      </c>
      <c r="T3581" s="508">
        <v>16.25</v>
      </c>
      <c r="U3581" s="508">
        <v>16.25</v>
      </c>
      <c r="V3581" s="508">
        <v>16.25</v>
      </c>
      <c r="W3581" s="508">
        <v>9.0660000000000007</v>
      </c>
      <c r="X3581" s="508">
        <v>9.0660000000000007</v>
      </c>
      <c r="Y3581" s="508">
        <v>9.0660000000000007</v>
      </c>
      <c r="Z3581" s="508">
        <v>9.0660000000000007</v>
      </c>
      <c r="AA3581" s="508">
        <v>4.5039999999999996</v>
      </c>
      <c r="AB3581" s="508">
        <v>4.5039999999999996</v>
      </c>
      <c r="AC3581" s="508">
        <v>4.5039999999999996</v>
      </c>
      <c r="AD3581" s="508">
        <v>1.119</v>
      </c>
      <c r="AE3581" s="508">
        <v>1.119</v>
      </c>
      <c r="AF3581" s="508">
        <v>0.92300000000000004</v>
      </c>
      <c r="AG3581" s="508">
        <v>0.91700000000000004</v>
      </c>
      <c r="AH3581" s="508">
        <v>0.91300000000000003</v>
      </c>
      <c r="AI3581" s="492">
        <v>0.91300000000000003</v>
      </c>
      <c r="AJ3581" s="485"/>
    </row>
    <row r="3582" spans="2:36">
      <c r="B3582" s="136" t="s">
        <v>476</v>
      </c>
      <c r="C3582" s="132" t="s">
        <v>1378</v>
      </c>
      <c r="D3582" s="132" t="s">
        <v>283</v>
      </c>
      <c r="E3582" s="508">
        <v>34.695999999999998</v>
      </c>
      <c r="F3582" s="508">
        <v>34.695999999999998</v>
      </c>
      <c r="G3582" s="508">
        <v>34.695999999999998</v>
      </c>
      <c r="H3582" s="508">
        <v>34.695999999999998</v>
      </c>
      <c r="I3582" s="508">
        <v>34.695999999999998</v>
      </c>
      <c r="J3582" s="508">
        <v>26.795000000000002</v>
      </c>
      <c r="K3582" s="508">
        <v>25.193000000000001</v>
      </c>
      <c r="L3582" s="508">
        <v>25.193000000000001</v>
      </c>
      <c r="M3582" s="508">
        <v>25.193000000000001</v>
      </c>
      <c r="N3582" s="508">
        <v>25.193000000000001</v>
      </c>
      <c r="O3582" s="508">
        <v>25.193000000000001</v>
      </c>
      <c r="P3582" s="508">
        <v>25.193000000000001</v>
      </c>
      <c r="Q3582" s="508">
        <v>25.193000000000001</v>
      </c>
      <c r="R3582" s="508">
        <v>21.542999999999999</v>
      </c>
      <c r="S3582" s="508">
        <v>16.571999999999999</v>
      </c>
      <c r="T3582" s="508">
        <v>16.571999999999999</v>
      </c>
      <c r="U3582" s="508">
        <v>16.571999999999999</v>
      </c>
      <c r="V3582" s="508">
        <v>16.571999999999999</v>
      </c>
      <c r="W3582" s="508">
        <v>9.2309999999999999</v>
      </c>
      <c r="X3582" s="508">
        <v>9.2309999999999999</v>
      </c>
      <c r="Y3582" s="508">
        <v>9.2309999999999999</v>
      </c>
      <c r="Z3582" s="508">
        <v>9.2309999999999999</v>
      </c>
      <c r="AA3582" s="508">
        <v>4.5860000000000003</v>
      </c>
      <c r="AB3582" s="508">
        <v>4.5860000000000003</v>
      </c>
      <c r="AC3582" s="508">
        <v>4.5860000000000003</v>
      </c>
      <c r="AD3582" s="508">
        <v>1.139</v>
      </c>
      <c r="AE3582" s="508">
        <v>1.139</v>
      </c>
      <c r="AF3582" s="508">
        <v>0.93899999999999995</v>
      </c>
      <c r="AG3582" s="508">
        <v>0.93400000000000005</v>
      </c>
      <c r="AH3582" s="508">
        <v>0.93</v>
      </c>
      <c r="AI3582" s="492">
        <v>0.93</v>
      </c>
      <c r="AJ3582" s="485"/>
    </row>
    <row r="3583" spans="2:36">
      <c r="B3583" s="136" t="s">
        <v>478</v>
      </c>
      <c r="C3583" s="132" t="s">
        <v>1378</v>
      </c>
      <c r="D3583" s="132" t="s">
        <v>283</v>
      </c>
      <c r="E3583" s="508">
        <v>35.365000000000002</v>
      </c>
      <c r="F3583" s="508">
        <v>35.365000000000002</v>
      </c>
      <c r="G3583" s="508">
        <v>35.365000000000002</v>
      </c>
      <c r="H3583" s="508">
        <v>35.365000000000002</v>
      </c>
      <c r="I3583" s="508">
        <v>35.365000000000002</v>
      </c>
      <c r="J3583" s="508">
        <v>27.312000000000001</v>
      </c>
      <c r="K3583" s="508">
        <v>25.678999999999998</v>
      </c>
      <c r="L3583" s="508">
        <v>25.678999999999998</v>
      </c>
      <c r="M3583" s="508">
        <v>25.678999999999998</v>
      </c>
      <c r="N3583" s="508">
        <v>25.678999999999998</v>
      </c>
      <c r="O3583" s="508">
        <v>25.678999999999998</v>
      </c>
      <c r="P3583" s="508">
        <v>25.678999999999998</v>
      </c>
      <c r="Q3583" s="508">
        <v>25.678999999999998</v>
      </c>
      <c r="R3583" s="508">
        <v>21.876999999999999</v>
      </c>
      <c r="S3583" s="508">
        <v>16.927</v>
      </c>
      <c r="T3583" s="508">
        <v>16.927</v>
      </c>
      <c r="U3583" s="508">
        <v>16.927</v>
      </c>
      <c r="V3583" s="508">
        <v>16.927</v>
      </c>
      <c r="W3583" s="508">
        <v>9.4339999999999993</v>
      </c>
      <c r="X3583" s="508">
        <v>9.4339999999999993</v>
      </c>
      <c r="Y3583" s="508">
        <v>9.4339999999999993</v>
      </c>
      <c r="Z3583" s="508">
        <v>9.4339999999999993</v>
      </c>
      <c r="AA3583" s="508">
        <v>4.6859999999999999</v>
      </c>
      <c r="AB3583" s="508">
        <v>4.6859999999999999</v>
      </c>
      <c r="AC3583" s="508">
        <v>4.6859999999999999</v>
      </c>
      <c r="AD3583" s="508">
        <v>1.1639999999999999</v>
      </c>
      <c r="AE3583" s="508">
        <v>1.1639999999999999</v>
      </c>
      <c r="AF3583" s="508">
        <v>0.96</v>
      </c>
      <c r="AG3583" s="508">
        <v>0.95399999999999996</v>
      </c>
      <c r="AH3583" s="508">
        <v>0.95</v>
      </c>
      <c r="AI3583" s="492">
        <v>0.95</v>
      </c>
      <c r="AJ3583" s="485"/>
    </row>
    <row r="3584" spans="2:36">
      <c r="B3584" s="136" t="s">
        <v>479</v>
      </c>
      <c r="C3584" s="132" t="s">
        <v>1378</v>
      </c>
      <c r="D3584" s="132" t="s">
        <v>283</v>
      </c>
      <c r="E3584" s="508">
        <v>32.963999999999999</v>
      </c>
      <c r="F3584" s="508">
        <v>32.963999999999999</v>
      </c>
      <c r="G3584" s="508">
        <v>32.963999999999999</v>
      </c>
      <c r="H3584" s="508">
        <v>32.963999999999999</v>
      </c>
      <c r="I3584" s="508">
        <v>32.963999999999999</v>
      </c>
      <c r="J3584" s="508">
        <v>25.457999999999998</v>
      </c>
      <c r="K3584" s="508">
        <v>23.936</v>
      </c>
      <c r="L3584" s="508">
        <v>23.936</v>
      </c>
      <c r="M3584" s="508">
        <v>23.936</v>
      </c>
      <c r="N3584" s="508">
        <v>23.936</v>
      </c>
      <c r="O3584" s="508">
        <v>23.936</v>
      </c>
      <c r="P3584" s="508">
        <v>23.936</v>
      </c>
      <c r="Q3584" s="508">
        <v>23.936</v>
      </c>
      <c r="R3584" s="508">
        <v>20.594000000000001</v>
      </c>
      <c r="S3584" s="508">
        <v>15.734999999999999</v>
      </c>
      <c r="T3584" s="508">
        <v>15.734999999999999</v>
      </c>
      <c r="U3584" s="508">
        <v>15.734999999999999</v>
      </c>
      <c r="V3584" s="508">
        <v>15.734999999999999</v>
      </c>
      <c r="W3584" s="508">
        <v>8.7439999999999998</v>
      </c>
      <c r="X3584" s="508">
        <v>8.7439999999999998</v>
      </c>
      <c r="Y3584" s="508">
        <v>8.7439999999999998</v>
      </c>
      <c r="Z3584" s="508">
        <v>8.7439999999999998</v>
      </c>
      <c r="AA3584" s="508">
        <v>4.3440000000000003</v>
      </c>
      <c r="AB3584" s="508">
        <v>4.3440000000000003</v>
      </c>
      <c r="AC3584" s="508">
        <v>4.3440000000000003</v>
      </c>
      <c r="AD3584" s="508">
        <v>1.079</v>
      </c>
      <c r="AE3584" s="508">
        <v>1.079</v>
      </c>
      <c r="AF3584" s="508">
        <v>0.89</v>
      </c>
      <c r="AG3584" s="508">
        <v>0.88500000000000001</v>
      </c>
      <c r="AH3584" s="508">
        <v>0.88100000000000001</v>
      </c>
      <c r="AI3584" s="492">
        <v>0.88100000000000001</v>
      </c>
      <c r="AJ3584" s="485"/>
    </row>
    <row r="3585" spans="2:36">
      <c r="B3585" s="136" t="s">
        <v>480</v>
      </c>
      <c r="C3585" s="132" t="s">
        <v>1378</v>
      </c>
      <c r="D3585" s="132" t="s">
        <v>283</v>
      </c>
      <c r="E3585" s="508">
        <v>34.875</v>
      </c>
      <c r="F3585" s="508">
        <v>34.875</v>
      </c>
      <c r="G3585" s="508">
        <v>34.875</v>
      </c>
      <c r="H3585" s="508">
        <v>34.875</v>
      </c>
      <c r="I3585" s="508">
        <v>34.875</v>
      </c>
      <c r="J3585" s="508">
        <v>26.934000000000001</v>
      </c>
      <c r="K3585" s="508">
        <v>25.323</v>
      </c>
      <c r="L3585" s="508">
        <v>25.323</v>
      </c>
      <c r="M3585" s="508">
        <v>25.323</v>
      </c>
      <c r="N3585" s="508">
        <v>25.323</v>
      </c>
      <c r="O3585" s="508">
        <v>25.323</v>
      </c>
      <c r="P3585" s="508">
        <v>25.323</v>
      </c>
      <c r="Q3585" s="508">
        <v>25.323</v>
      </c>
      <c r="R3585" s="508">
        <v>22.138000000000002</v>
      </c>
      <c r="S3585" s="508">
        <v>16.629000000000001</v>
      </c>
      <c r="T3585" s="508">
        <v>16.629000000000001</v>
      </c>
      <c r="U3585" s="508">
        <v>16.629000000000001</v>
      </c>
      <c r="V3585" s="508">
        <v>16.629000000000001</v>
      </c>
      <c r="W3585" s="508">
        <v>9.1880000000000006</v>
      </c>
      <c r="X3585" s="508">
        <v>9.1880000000000006</v>
      </c>
      <c r="Y3585" s="508">
        <v>9.1880000000000006</v>
      </c>
      <c r="Z3585" s="508">
        <v>9.1880000000000006</v>
      </c>
      <c r="AA3585" s="508">
        <v>4.5640000000000001</v>
      </c>
      <c r="AB3585" s="508">
        <v>4.5640000000000001</v>
      </c>
      <c r="AC3585" s="508">
        <v>4.5640000000000001</v>
      </c>
      <c r="AD3585" s="508">
        <v>1.1339999999999999</v>
      </c>
      <c r="AE3585" s="508">
        <v>1.1339999999999999</v>
      </c>
      <c r="AF3585" s="508">
        <v>0.93500000000000005</v>
      </c>
      <c r="AG3585" s="508">
        <v>0.93</v>
      </c>
      <c r="AH3585" s="508">
        <v>0.92500000000000004</v>
      </c>
      <c r="AI3585" s="492">
        <v>0.92500000000000004</v>
      </c>
      <c r="AJ3585" s="485"/>
    </row>
    <row r="3586" spans="2:36">
      <c r="B3586" s="136" t="s">
        <v>481</v>
      </c>
      <c r="C3586" s="132" t="s">
        <v>1378</v>
      </c>
      <c r="D3586" s="132" t="s">
        <v>283</v>
      </c>
      <c r="E3586" s="508">
        <v>33.655999999999999</v>
      </c>
      <c r="F3586" s="508">
        <v>33.655999999999999</v>
      </c>
      <c r="G3586" s="508">
        <v>33.655999999999999</v>
      </c>
      <c r="H3586" s="508">
        <v>33.655999999999999</v>
      </c>
      <c r="I3586" s="508">
        <v>33.655999999999999</v>
      </c>
      <c r="J3586" s="508">
        <v>25.992999999999999</v>
      </c>
      <c r="K3586" s="508">
        <v>24.437999999999999</v>
      </c>
      <c r="L3586" s="508">
        <v>24.437999999999999</v>
      </c>
      <c r="M3586" s="508">
        <v>24.437999999999999</v>
      </c>
      <c r="N3586" s="508">
        <v>24.437999999999999</v>
      </c>
      <c r="O3586" s="508">
        <v>24.437999999999999</v>
      </c>
      <c r="P3586" s="508">
        <v>24.437999999999999</v>
      </c>
      <c r="Q3586" s="508">
        <v>24.437999999999999</v>
      </c>
      <c r="R3586" s="508">
        <v>20.972999999999999</v>
      </c>
      <c r="S3586" s="508">
        <v>16.068999999999999</v>
      </c>
      <c r="T3586" s="508">
        <v>16.068999999999999</v>
      </c>
      <c r="U3586" s="508">
        <v>16.068999999999999</v>
      </c>
      <c r="V3586" s="508">
        <v>16.068999999999999</v>
      </c>
      <c r="W3586" s="508">
        <v>8.9410000000000007</v>
      </c>
      <c r="X3586" s="508">
        <v>8.9410000000000007</v>
      </c>
      <c r="Y3586" s="508">
        <v>8.9410000000000007</v>
      </c>
      <c r="Z3586" s="508">
        <v>8.9410000000000007</v>
      </c>
      <c r="AA3586" s="508">
        <v>4.4409999999999998</v>
      </c>
      <c r="AB3586" s="508">
        <v>4.4409999999999998</v>
      </c>
      <c r="AC3586" s="508">
        <v>4.4409999999999998</v>
      </c>
      <c r="AD3586" s="508">
        <v>1.103</v>
      </c>
      <c r="AE3586" s="508">
        <v>1.103</v>
      </c>
      <c r="AF3586" s="508">
        <v>0.91</v>
      </c>
      <c r="AG3586" s="508">
        <v>0.90400000000000003</v>
      </c>
      <c r="AH3586" s="508">
        <v>0.9</v>
      </c>
      <c r="AI3586" s="492">
        <v>0.9</v>
      </c>
      <c r="AJ3586" s="485"/>
    </row>
    <row r="3587" spans="2:36">
      <c r="B3587" s="136" t="s">
        <v>482</v>
      </c>
      <c r="C3587" s="132" t="s">
        <v>1378</v>
      </c>
      <c r="D3587" s="132" t="s">
        <v>283</v>
      </c>
      <c r="E3587" s="508">
        <v>32.554000000000002</v>
      </c>
      <c r="F3587" s="508">
        <v>32.555</v>
      </c>
      <c r="G3587" s="508">
        <v>32.554000000000002</v>
      </c>
      <c r="H3587" s="508">
        <v>32.554000000000002</v>
      </c>
      <c r="I3587" s="508">
        <v>32.554000000000002</v>
      </c>
      <c r="J3587" s="508">
        <v>25.141999999999999</v>
      </c>
      <c r="K3587" s="508">
        <v>23.638000000000002</v>
      </c>
      <c r="L3587" s="508">
        <v>23.638000000000002</v>
      </c>
      <c r="M3587" s="508">
        <v>23.638000000000002</v>
      </c>
      <c r="N3587" s="508">
        <v>23.638000000000002</v>
      </c>
      <c r="O3587" s="508">
        <v>23.638000000000002</v>
      </c>
      <c r="P3587" s="508">
        <v>23.638000000000002</v>
      </c>
      <c r="Q3587" s="508">
        <v>23.638000000000002</v>
      </c>
      <c r="R3587" s="508">
        <v>20.302</v>
      </c>
      <c r="S3587" s="508">
        <v>15.526999999999999</v>
      </c>
      <c r="T3587" s="508">
        <v>15.526999999999999</v>
      </c>
      <c r="U3587" s="508">
        <v>15.526999999999999</v>
      </c>
      <c r="V3587" s="508">
        <v>15.526</v>
      </c>
      <c r="W3587" s="508">
        <v>8.6489999999999991</v>
      </c>
      <c r="X3587" s="508">
        <v>8.6489999999999991</v>
      </c>
      <c r="Y3587" s="508">
        <v>8.6489999999999991</v>
      </c>
      <c r="Z3587" s="508">
        <v>8.6489999999999991</v>
      </c>
      <c r="AA3587" s="508">
        <v>4.2960000000000003</v>
      </c>
      <c r="AB3587" s="508">
        <v>4.2960000000000003</v>
      </c>
      <c r="AC3587" s="508">
        <v>4.2960000000000003</v>
      </c>
      <c r="AD3587" s="508">
        <v>1.0669999999999999</v>
      </c>
      <c r="AE3587" s="508">
        <v>1.0669999999999999</v>
      </c>
      <c r="AF3587" s="508">
        <v>0.88</v>
      </c>
      <c r="AG3587" s="508">
        <v>0.875</v>
      </c>
      <c r="AH3587" s="508">
        <v>0.871</v>
      </c>
      <c r="AI3587" s="492">
        <v>0.871</v>
      </c>
      <c r="AJ3587" s="485"/>
    </row>
    <row r="3588" spans="2:36">
      <c r="B3588" s="136" t="s">
        <v>483</v>
      </c>
      <c r="C3588" s="132" t="s">
        <v>1378</v>
      </c>
      <c r="D3588" s="132" t="s">
        <v>283</v>
      </c>
      <c r="E3588" s="508">
        <v>35.707000000000001</v>
      </c>
      <c r="F3588" s="508">
        <v>35.707000000000001</v>
      </c>
      <c r="G3588" s="508">
        <v>35.707000000000001</v>
      </c>
      <c r="H3588" s="508">
        <v>35.707000000000001</v>
      </c>
      <c r="I3588" s="508">
        <v>35.707000000000001</v>
      </c>
      <c r="J3588" s="508">
        <v>27.576000000000001</v>
      </c>
      <c r="K3588" s="508">
        <v>25.927</v>
      </c>
      <c r="L3588" s="508">
        <v>25.927</v>
      </c>
      <c r="M3588" s="508">
        <v>25.927</v>
      </c>
      <c r="N3588" s="508">
        <v>25.927</v>
      </c>
      <c r="O3588" s="508">
        <v>25.928000000000001</v>
      </c>
      <c r="P3588" s="508">
        <v>25.927</v>
      </c>
      <c r="Q3588" s="508">
        <v>25.927</v>
      </c>
      <c r="R3588" s="508">
        <v>22.094000000000001</v>
      </c>
      <c r="S3588" s="508">
        <v>17.084</v>
      </c>
      <c r="T3588" s="508">
        <v>17.084</v>
      </c>
      <c r="U3588" s="508">
        <v>17.084</v>
      </c>
      <c r="V3588" s="508">
        <v>17.084</v>
      </c>
      <c r="W3588" s="508">
        <v>9.52</v>
      </c>
      <c r="X3588" s="508">
        <v>9.52</v>
      </c>
      <c r="Y3588" s="508">
        <v>9.52</v>
      </c>
      <c r="Z3588" s="508">
        <v>9.52</v>
      </c>
      <c r="AA3588" s="508">
        <v>4.7290000000000001</v>
      </c>
      <c r="AB3588" s="508">
        <v>4.7290000000000001</v>
      </c>
      <c r="AC3588" s="508">
        <v>4.7290000000000001</v>
      </c>
      <c r="AD3588" s="508">
        <v>1.175</v>
      </c>
      <c r="AE3588" s="508">
        <v>1.175</v>
      </c>
      <c r="AF3588" s="508">
        <v>0.96899999999999997</v>
      </c>
      <c r="AG3588" s="508">
        <v>0.96299999999999997</v>
      </c>
      <c r="AH3588" s="508">
        <v>0.95899999999999996</v>
      </c>
      <c r="AI3588" s="492">
        <v>0.95899999999999996</v>
      </c>
      <c r="AJ3588" s="485"/>
    </row>
    <row r="3589" spans="2:36">
      <c r="B3589" s="136" t="s">
        <v>484</v>
      </c>
      <c r="C3589" s="132" t="s">
        <v>1378</v>
      </c>
      <c r="D3589" s="132" t="s">
        <v>283</v>
      </c>
      <c r="E3589" s="508">
        <v>34.634</v>
      </c>
      <c r="F3589" s="508">
        <v>34.634</v>
      </c>
      <c r="G3589" s="508">
        <v>34.634</v>
      </c>
      <c r="H3589" s="508">
        <v>34.634</v>
      </c>
      <c r="I3589" s="508">
        <v>34.634</v>
      </c>
      <c r="J3589" s="508">
        <v>26.747</v>
      </c>
      <c r="K3589" s="508">
        <v>25.148</v>
      </c>
      <c r="L3589" s="508">
        <v>25.148</v>
      </c>
      <c r="M3589" s="508">
        <v>25.148</v>
      </c>
      <c r="N3589" s="508">
        <v>25.148</v>
      </c>
      <c r="O3589" s="508">
        <v>25.148</v>
      </c>
      <c r="P3589" s="508">
        <v>25.148</v>
      </c>
      <c r="Q3589" s="508">
        <v>25.148</v>
      </c>
      <c r="R3589" s="508">
        <v>21.85</v>
      </c>
      <c r="S3589" s="508">
        <v>16.452999999999999</v>
      </c>
      <c r="T3589" s="508">
        <v>16.452999999999999</v>
      </c>
      <c r="U3589" s="508">
        <v>16.452999999999999</v>
      </c>
      <c r="V3589" s="508">
        <v>16.452999999999999</v>
      </c>
      <c r="W3589" s="508">
        <v>9.141</v>
      </c>
      <c r="X3589" s="508">
        <v>9.141</v>
      </c>
      <c r="Y3589" s="508">
        <v>9.141</v>
      </c>
      <c r="Z3589" s="508">
        <v>9.141</v>
      </c>
      <c r="AA3589" s="508">
        <v>4.5410000000000004</v>
      </c>
      <c r="AB3589" s="508">
        <v>4.5410000000000004</v>
      </c>
      <c r="AC3589" s="508">
        <v>4.5410000000000004</v>
      </c>
      <c r="AD3589" s="508">
        <v>1.1279999999999999</v>
      </c>
      <c r="AE3589" s="508">
        <v>1.1279999999999999</v>
      </c>
      <c r="AF3589" s="508">
        <v>0.93</v>
      </c>
      <c r="AG3589" s="508">
        <v>0.92500000000000004</v>
      </c>
      <c r="AH3589" s="508">
        <v>0.92</v>
      </c>
      <c r="AI3589" s="492">
        <v>0.92</v>
      </c>
      <c r="AJ3589" s="485"/>
    </row>
    <row r="3590" spans="2:36">
      <c r="B3590" s="136" t="s">
        <v>486</v>
      </c>
      <c r="C3590" s="132" t="s">
        <v>1378</v>
      </c>
      <c r="D3590" s="132" t="s">
        <v>283</v>
      </c>
      <c r="E3590" s="508">
        <v>34.125999999999998</v>
      </c>
      <c r="F3590" s="508">
        <v>34.125999999999998</v>
      </c>
      <c r="G3590" s="508">
        <v>34.125999999999998</v>
      </c>
      <c r="H3590" s="508">
        <v>34.125999999999998</v>
      </c>
      <c r="I3590" s="508">
        <v>34.125999999999998</v>
      </c>
      <c r="J3590" s="508">
        <v>26.355</v>
      </c>
      <c r="K3590" s="508">
        <v>24.779</v>
      </c>
      <c r="L3590" s="508">
        <v>24.779</v>
      </c>
      <c r="M3590" s="508">
        <v>24.779</v>
      </c>
      <c r="N3590" s="508">
        <v>24.779</v>
      </c>
      <c r="O3590" s="508">
        <v>24.779</v>
      </c>
      <c r="P3590" s="508">
        <v>24.779</v>
      </c>
      <c r="Q3590" s="508">
        <v>24.779</v>
      </c>
      <c r="R3590" s="508">
        <v>21.268999999999998</v>
      </c>
      <c r="S3590" s="508">
        <v>16.297999999999998</v>
      </c>
      <c r="T3590" s="508">
        <v>16.297999999999998</v>
      </c>
      <c r="U3590" s="508">
        <v>16.297999999999998</v>
      </c>
      <c r="V3590" s="508">
        <v>16.297000000000001</v>
      </c>
      <c r="W3590" s="508">
        <v>9.0670000000000002</v>
      </c>
      <c r="X3590" s="508">
        <v>9.0670000000000002</v>
      </c>
      <c r="Y3590" s="508">
        <v>9.0670000000000002</v>
      </c>
      <c r="Z3590" s="508">
        <v>9.0670000000000002</v>
      </c>
      <c r="AA3590" s="508">
        <v>4.5039999999999996</v>
      </c>
      <c r="AB3590" s="508">
        <v>4.5039999999999996</v>
      </c>
      <c r="AC3590" s="508">
        <v>4.5039999999999996</v>
      </c>
      <c r="AD3590" s="508">
        <v>1.119</v>
      </c>
      <c r="AE3590" s="508">
        <v>1.119</v>
      </c>
      <c r="AF3590" s="508">
        <v>0.92300000000000004</v>
      </c>
      <c r="AG3590" s="508">
        <v>0.91700000000000004</v>
      </c>
      <c r="AH3590" s="508">
        <v>0.91300000000000003</v>
      </c>
      <c r="AI3590" s="492">
        <v>0.91300000000000003</v>
      </c>
      <c r="AJ3590" s="485"/>
    </row>
    <row r="3591" spans="2:36">
      <c r="B3591" s="136" t="s">
        <v>487</v>
      </c>
      <c r="C3591" s="132" t="s">
        <v>1378</v>
      </c>
      <c r="D3591" s="132" t="s">
        <v>283</v>
      </c>
      <c r="E3591" s="508">
        <v>35.017000000000003</v>
      </c>
      <c r="F3591" s="508">
        <v>35.017000000000003</v>
      </c>
      <c r="G3591" s="508">
        <v>35.017000000000003</v>
      </c>
      <c r="H3591" s="508">
        <v>35.017000000000003</v>
      </c>
      <c r="I3591" s="508">
        <v>35.017000000000003</v>
      </c>
      <c r="J3591" s="508">
        <v>27.044</v>
      </c>
      <c r="K3591" s="508">
        <v>25.425999999999998</v>
      </c>
      <c r="L3591" s="508">
        <v>25.425999999999998</v>
      </c>
      <c r="M3591" s="508">
        <v>25.425999999999998</v>
      </c>
      <c r="N3591" s="508">
        <v>25.425999999999998</v>
      </c>
      <c r="O3591" s="508">
        <v>25.425999999999998</v>
      </c>
      <c r="P3591" s="508">
        <v>25.425999999999998</v>
      </c>
      <c r="Q3591" s="508">
        <v>25.425999999999998</v>
      </c>
      <c r="R3591" s="508">
        <v>21.888000000000002</v>
      </c>
      <c r="S3591" s="508">
        <v>16.751999999999999</v>
      </c>
      <c r="T3591" s="508">
        <v>16.751999999999999</v>
      </c>
      <c r="U3591" s="508">
        <v>16.751999999999999</v>
      </c>
      <c r="V3591" s="508">
        <v>16.751999999999999</v>
      </c>
      <c r="W3591" s="508">
        <v>9.2989999999999995</v>
      </c>
      <c r="X3591" s="508">
        <v>9.2989999999999995</v>
      </c>
      <c r="Y3591" s="508">
        <v>9.2989999999999995</v>
      </c>
      <c r="Z3591" s="508">
        <v>9.2989999999999995</v>
      </c>
      <c r="AA3591" s="508">
        <v>4.62</v>
      </c>
      <c r="AB3591" s="508">
        <v>4.62</v>
      </c>
      <c r="AC3591" s="508">
        <v>4.62</v>
      </c>
      <c r="AD3591" s="508">
        <v>1.1479999999999999</v>
      </c>
      <c r="AE3591" s="508">
        <v>1.1479999999999999</v>
      </c>
      <c r="AF3591" s="508">
        <v>0.94599999999999995</v>
      </c>
      <c r="AG3591" s="508">
        <v>0.94099999999999995</v>
      </c>
      <c r="AH3591" s="508">
        <v>0.93700000000000006</v>
      </c>
      <c r="AI3591" s="492">
        <v>0.93700000000000006</v>
      </c>
      <c r="AJ3591" s="485"/>
    </row>
    <row r="3592" spans="2:36">
      <c r="B3592" s="136" t="s">
        <v>488</v>
      </c>
      <c r="C3592" s="132" t="s">
        <v>1378</v>
      </c>
      <c r="D3592" s="132" t="s">
        <v>283</v>
      </c>
      <c r="E3592" s="508">
        <v>33.933</v>
      </c>
      <c r="F3592" s="508">
        <v>33.933</v>
      </c>
      <c r="G3592" s="508">
        <v>33.933</v>
      </c>
      <c r="H3592" s="508">
        <v>33.933</v>
      </c>
      <c r="I3592" s="508">
        <v>33.933</v>
      </c>
      <c r="J3592" s="508">
        <v>26.206</v>
      </c>
      <c r="K3592" s="508">
        <v>24.638999999999999</v>
      </c>
      <c r="L3592" s="508">
        <v>24.638999999999999</v>
      </c>
      <c r="M3592" s="508">
        <v>24.638999999999999</v>
      </c>
      <c r="N3592" s="508">
        <v>24.638999999999999</v>
      </c>
      <c r="O3592" s="508">
        <v>24.638999999999999</v>
      </c>
      <c r="P3592" s="508">
        <v>24.638999999999999</v>
      </c>
      <c r="Q3592" s="508">
        <v>24.638999999999999</v>
      </c>
      <c r="R3592" s="508">
        <v>21.372</v>
      </c>
      <c r="S3592" s="508">
        <v>16.149999999999999</v>
      </c>
      <c r="T3592" s="508">
        <v>16.149999999999999</v>
      </c>
      <c r="U3592" s="508">
        <v>16.149999999999999</v>
      </c>
      <c r="V3592" s="508">
        <v>16.149999999999999</v>
      </c>
      <c r="W3592" s="508">
        <v>8.9689999999999994</v>
      </c>
      <c r="X3592" s="508">
        <v>8.9689999999999994</v>
      </c>
      <c r="Y3592" s="508">
        <v>8.9689999999999994</v>
      </c>
      <c r="Z3592" s="508">
        <v>8.9689999999999994</v>
      </c>
      <c r="AA3592" s="508">
        <v>4.4560000000000004</v>
      </c>
      <c r="AB3592" s="508">
        <v>4.4560000000000004</v>
      </c>
      <c r="AC3592" s="508">
        <v>4.4560000000000004</v>
      </c>
      <c r="AD3592" s="508">
        <v>1.107</v>
      </c>
      <c r="AE3592" s="508">
        <v>1.107</v>
      </c>
      <c r="AF3592" s="508">
        <v>0.91300000000000003</v>
      </c>
      <c r="AG3592" s="508">
        <v>0.90700000000000003</v>
      </c>
      <c r="AH3592" s="508">
        <v>0.90300000000000002</v>
      </c>
      <c r="AI3592" s="492">
        <v>0.90300000000000002</v>
      </c>
      <c r="AJ3592" s="485"/>
    </row>
    <row r="3593" spans="2:36">
      <c r="B3593" s="136" t="s">
        <v>489</v>
      </c>
      <c r="C3593" s="132" t="s">
        <v>1378</v>
      </c>
      <c r="D3593" s="132" t="s">
        <v>283</v>
      </c>
      <c r="E3593" s="508">
        <v>34.743000000000002</v>
      </c>
      <c r="F3593" s="508">
        <v>34.743000000000002</v>
      </c>
      <c r="G3593" s="508">
        <v>34.743000000000002</v>
      </c>
      <c r="H3593" s="508">
        <v>34.743000000000002</v>
      </c>
      <c r="I3593" s="508">
        <v>34.743000000000002</v>
      </c>
      <c r="J3593" s="508">
        <v>26.831</v>
      </c>
      <c r="K3593" s="508">
        <v>25.227</v>
      </c>
      <c r="L3593" s="508">
        <v>25.227</v>
      </c>
      <c r="M3593" s="508">
        <v>25.227</v>
      </c>
      <c r="N3593" s="508">
        <v>25.227</v>
      </c>
      <c r="O3593" s="508">
        <v>25.227</v>
      </c>
      <c r="P3593" s="508">
        <v>25.227</v>
      </c>
      <c r="Q3593" s="508">
        <v>25.227</v>
      </c>
      <c r="R3593" s="508">
        <v>21.710999999999999</v>
      </c>
      <c r="S3593" s="508">
        <v>16.527000000000001</v>
      </c>
      <c r="T3593" s="508">
        <v>16.527000000000001</v>
      </c>
      <c r="U3593" s="508">
        <v>16.527000000000001</v>
      </c>
      <c r="V3593" s="508">
        <v>16.527000000000001</v>
      </c>
      <c r="W3593" s="508">
        <v>9.2119999999999997</v>
      </c>
      <c r="X3593" s="508">
        <v>9.2119999999999997</v>
      </c>
      <c r="Y3593" s="508">
        <v>9.2119999999999997</v>
      </c>
      <c r="Z3593" s="508">
        <v>9.2119999999999997</v>
      </c>
      <c r="AA3593" s="508">
        <v>4.5759999999999996</v>
      </c>
      <c r="AB3593" s="508">
        <v>4.5759999999999996</v>
      </c>
      <c r="AC3593" s="508">
        <v>4.5759999999999996</v>
      </c>
      <c r="AD3593" s="508">
        <v>1.137</v>
      </c>
      <c r="AE3593" s="508">
        <v>1.137</v>
      </c>
      <c r="AF3593" s="508">
        <v>0.93700000000000006</v>
      </c>
      <c r="AG3593" s="508">
        <v>0.93200000000000005</v>
      </c>
      <c r="AH3593" s="508">
        <v>0.92800000000000005</v>
      </c>
      <c r="AI3593" s="492">
        <v>0.92800000000000005</v>
      </c>
      <c r="AJ3593" s="485"/>
    </row>
    <row r="3594" spans="2:36">
      <c r="B3594" s="136" t="s">
        <v>490</v>
      </c>
      <c r="C3594" s="132" t="s">
        <v>1378</v>
      </c>
      <c r="D3594" s="132" t="s">
        <v>283</v>
      </c>
      <c r="E3594" s="508">
        <v>35.548999999999999</v>
      </c>
      <c r="F3594" s="508">
        <v>35.548999999999999</v>
      </c>
      <c r="G3594" s="508">
        <v>35.548000000000002</v>
      </c>
      <c r="H3594" s="508">
        <v>35.548000000000002</v>
      </c>
      <c r="I3594" s="508">
        <v>35.548999999999999</v>
      </c>
      <c r="J3594" s="508">
        <v>27.454000000000001</v>
      </c>
      <c r="K3594" s="508">
        <v>25.812000000000001</v>
      </c>
      <c r="L3594" s="508">
        <v>25.812000000000001</v>
      </c>
      <c r="M3594" s="508">
        <v>25.812000000000001</v>
      </c>
      <c r="N3594" s="508">
        <v>25.812000000000001</v>
      </c>
      <c r="O3594" s="508">
        <v>25.812000000000001</v>
      </c>
      <c r="P3594" s="508">
        <v>25.812000000000001</v>
      </c>
      <c r="Q3594" s="508">
        <v>25.812000000000001</v>
      </c>
      <c r="R3594" s="508">
        <v>22.591999999999999</v>
      </c>
      <c r="S3594" s="508">
        <v>16.997</v>
      </c>
      <c r="T3594" s="508">
        <v>16.997</v>
      </c>
      <c r="U3594" s="508">
        <v>16.997</v>
      </c>
      <c r="V3594" s="508">
        <v>16.997</v>
      </c>
      <c r="W3594" s="508">
        <v>9.3640000000000008</v>
      </c>
      <c r="X3594" s="508">
        <v>9.3640000000000008</v>
      </c>
      <c r="Y3594" s="508">
        <v>9.3640000000000008</v>
      </c>
      <c r="Z3594" s="508">
        <v>9.3640000000000008</v>
      </c>
      <c r="AA3594" s="508">
        <v>4.6520000000000001</v>
      </c>
      <c r="AB3594" s="508">
        <v>4.6520000000000001</v>
      </c>
      <c r="AC3594" s="508">
        <v>4.6520000000000001</v>
      </c>
      <c r="AD3594" s="508">
        <v>1.1559999999999999</v>
      </c>
      <c r="AE3594" s="508">
        <v>1.1559999999999999</v>
      </c>
      <c r="AF3594" s="508">
        <v>0.95299999999999996</v>
      </c>
      <c r="AG3594" s="508">
        <v>0.94699999999999995</v>
      </c>
      <c r="AH3594" s="508">
        <v>0.94299999999999995</v>
      </c>
      <c r="AI3594" s="492">
        <v>0.94299999999999995</v>
      </c>
      <c r="AJ3594" s="485"/>
    </row>
    <row r="3595" spans="2:36">
      <c r="B3595" s="136" t="s">
        <v>435</v>
      </c>
      <c r="C3595" s="132" t="s">
        <v>1362</v>
      </c>
      <c r="D3595" s="132" t="s">
        <v>284</v>
      </c>
      <c r="E3595" s="508">
        <v>3.2610000000000001</v>
      </c>
      <c r="F3595" s="508">
        <v>3.254</v>
      </c>
      <c r="G3595" s="508">
        <v>3.2810000000000001</v>
      </c>
      <c r="H3595" s="508">
        <v>1.218</v>
      </c>
      <c r="I3595" s="508">
        <v>1.2270000000000001</v>
      </c>
      <c r="J3595" s="508">
        <v>1.2490000000000001</v>
      </c>
      <c r="K3595" s="508">
        <v>1.32</v>
      </c>
      <c r="L3595" s="508">
        <v>1.321</v>
      </c>
      <c r="M3595" s="508">
        <v>1.3050000000000002</v>
      </c>
      <c r="N3595" s="508">
        <v>1.304</v>
      </c>
      <c r="O3595" s="508">
        <v>1.3050000000000002</v>
      </c>
      <c r="P3595" s="508">
        <v>1.3109999999999999</v>
      </c>
      <c r="Q3595" s="508">
        <v>1.304</v>
      </c>
      <c r="R3595" s="508">
        <v>0.92199999999999993</v>
      </c>
      <c r="S3595" s="508">
        <v>0.92999999999999994</v>
      </c>
      <c r="T3595" s="508">
        <v>0.93199999999999994</v>
      </c>
      <c r="U3595" s="508">
        <v>0.92599999999999993</v>
      </c>
      <c r="V3595" s="508">
        <v>0.92299999999999993</v>
      </c>
      <c r="W3595" s="508">
        <v>0.83699999999999997</v>
      </c>
      <c r="X3595" s="508">
        <v>0.83199999999999996</v>
      </c>
      <c r="Y3595" s="508">
        <v>0.83499999999999996</v>
      </c>
      <c r="Z3595" s="508">
        <v>0.83599999999999997</v>
      </c>
      <c r="AA3595" s="508">
        <v>4.5999999999999999E-2</v>
      </c>
      <c r="AB3595" s="508">
        <v>4.5999999999999999E-2</v>
      </c>
      <c r="AC3595" s="508">
        <v>4.5999999999999999E-2</v>
      </c>
      <c r="AD3595" s="508">
        <v>4.9000000000000002E-2</v>
      </c>
      <c r="AE3595" s="508">
        <v>4.9000000000000002E-2</v>
      </c>
      <c r="AF3595" s="508">
        <v>3.6000000000000004E-2</v>
      </c>
      <c r="AG3595" s="508">
        <v>3.5000000000000003E-2</v>
      </c>
      <c r="AH3595" s="508">
        <v>3.4000000000000002E-2</v>
      </c>
      <c r="AI3595" s="492">
        <v>3.4000000000000002E-2</v>
      </c>
      <c r="AJ3595" s="485"/>
    </row>
    <row r="3596" spans="2:36">
      <c r="B3596" s="136" t="s">
        <v>436</v>
      </c>
      <c r="C3596" s="132" t="s">
        <v>1362</v>
      </c>
      <c r="D3596" s="132" t="s">
        <v>284</v>
      </c>
      <c r="E3596" s="508">
        <v>3.23</v>
      </c>
      <c r="F3596" s="508">
        <v>3.2230000000000003</v>
      </c>
      <c r="G3596" s="508">
        <v>3.25</v>
      </c>
      <c r="H3596" s="508">
        <v>1.2230000000000001</v>
      </c>
      <c r="I3596" s="508">
        <v>1.2310000000000001</v>
      </c>
      <c r="J3596" s="508">
        <v>1.2510000000000001</v>
      </c>
      <c r="K3596" s="508">
        <v>1.3310000000000002</v>
      </c>
      <c r="L3596" s="508">
        <v>1.3320000000000001</v>
      </c>
      <c r="M3596" s="508">
        <v>1.3150000000000002</v>
      </c>
      <c r="N3596" s="508">
        <v>1.3299999999999998</v>
      </c>
      <c r="O3596" s="508">
        <v>1.331</v>
      </c>
      <c r="P3596" s="508">
        <v>1.3359999999999999</v>
      </c>
      <c r="Q3596" s="508">
        <v>1.3299999999999998</v>
      </c>
      <c r="R3596" s="508">
        <v>0.94700000000000006</v>
      </c>
      <c r="S3596" s="508">
        <v>0.95400000000000007</v>
      </c>
      <c r="T3596" s="508">
        <v>0.95500000000000007</v>
      </c>
      <c r="U3596" s="508">
        <v>0.95000000000000007</v>
      </c>
      <c r="V3596" s="508">
        <v>0.94800000000000006</v>
      </c>
      <c r="W3596" s="508">
        <v>0.85899999999999999</v>
      </c>
      <c r="X3596" s="508">
        <v>0.85399999999999998</v>
      </c>
      <c r="Y3596" s="508">
        <v>0.85699999999999998</v>
      </c>
      <c r="Z3596" s="508">
        <v>0.85799999999999998</v>
      </c>
      <c r="AA3596" s="508">
        <v>4.8000000000000001E-2</v>
      </c>
      <c r="AB3596" s="508">
        <v>4.8000000000000001E-2</v>
      </c>
      <c r="AC3596" s="508">
        <v>4.8000000000000001E-2</v>
      </c>
      <c r="AD3596" s="508">
        <v>5.4999999999999993E-2</v>
      </c>
      <c r="AE3596" s="508">
        <v>5.4999999999999993E-2</v>
      </c>
      <c r="AF3596" s="508">
        <v>4.1999999999999996E-2</v>
      </c>
      <c r="AG3596" s="508">
        <v>4.0999999999999995E-2</v>
      </c>
      <c r="AH3596" s="508">
        <v>3.9999999999999994E-2</v>
      </c>
      <c r="AI3596" s="492">
        <v>3.9999999999999994E-2</v>
      </c>
      <c r="AJ3596" s="485"/>
    </row>
    <row r="3597" spans="2:36">
      <c r="B3597" s="136" t="s">
        <v>437</v>
      </c>
      <c r="C3597" s="132" t="s">
        <v>1362</v>
      </c>
      <c r="D3597" s="132" t="s">
        <v>284</v>
      </c>
      <c r="E3597" s="508">
        <v>3.2879999999999998</v>
      </c>
      <c r="F3597" s="508">
        <v>3.2809999999999997</v>
      </c>
      <c r="G3597" s="508">
        <v>3.3079999999999998</v>
      </c>
      <c r="H3597" s="508">
        <v>1.25</v>
      </c>
      <c r="I3597" s="508">
        <v>1.258</v>
      </c>
      <c r="J3597" s="508">
        <v>1.28</v>
      </c>
      <c r="K3597" s="508">
        <v>1.35</v>
      </c>
      <c r="L3597" s="508">
        <v>1.351</v>
      </c>
      <c r="M3597" s="508">
        <v>1.3350000000000002</v>
      </c>
      <c r="N3597" s="508">
        <v>1.3559999999999999</v>
      </c>
      <c r="O3597" s="508">
        <v>1.3570000000000002</v>
      </c>
      <c r="P3597" s="508">
        <v>1.363</v>
      </c>
      <c r="Q3597" s="508">
        <v>1.3559999999999999</v>
      </c>
      <c r="R3597" s="508">
        <v>0.95599999999999996</v>
      </c>
      <c r="S3597" s="508">
        <v>0.96299999999999997</v>
      </c>
      <c r="T3597" s="508">
        <v>0.96399999999999997</v>
      </c>
      <c r="U3597" s="508">
        <v>0.96</v>
      </c>
      <c r="V3597" s="508">
        <v>0.95599999999999996</v>
      </c>
      <c r="W3597" s="508">
        <v>0.86699999999999999</v>
      </c>
      <c r="X3597" s="508">
        <v>0.86299999999999999</v>
      </c>
      <c r="Y3597" s="508">
        <v>0.86499999999999999</v>
      </c>
      <c r="Z3597" s="508">
        <v>0.86599999999999999</v>
      </c>
      <c r="AA3597" s="508">
        <v>4.8000000000000001E-2</v>
      </c>
      <c r="AB3597" s="508">
        <v>4.7E-2</v>
      </c>
      <c r="AC3597" s="508">
        <v>4.8000000000000001E-2</v>
      </c>
      <c r="AD3597" s="508">
        <v>5.1999999999999998E-2</v>
      </c>
      <c r="AE3597" s="508">
        <v>5.1999999999999998E-2</v>
      </c>
      <c r="AF3597" s="508">
        <v>3.9E-2</v>
      </c>
      <c r="AG3597" s="508">
        <v>3.7999999999999999E-2</v>
      </c>
      <c r="AH3597" s="508">
        <v>3.6999999999999998E-2</v>
      </c>
      <c r="AI3597" s="492">
        <v>3.6999999999999998E-2</v>
      </c>
      <c r="AJ3597" s="485"/>
    </row>
    <row r="3598" spans="2:36">
      <c r="B3598" s="136" t="s">
        <v>438</v>
      </c>
      <c r="C3598" s="132" t="s">
        <v>1362</v>
      </c>
      <c r="D3598" s="132" t="s">
        <v>284</v>
      </c>
      <c r="E3598" s="508">
        <v>3.1990000000000003</v>
      </c>
      <c r="F3598" s="508">
        <v>3.1920000000000002</v>
      </c>
      <c r="G3598" s="508">
        <v>3.2190000000000003</v>
      </c>
      <c r="H3598" s="508">
        <v>1.1970000000000001</v>
      </c>
      <c r="I3598" s="508">
        <v>1.2050000000000001</v>
      </c>
      <c r="J3598" s="508">
        <v>1.2249999999999999</v>
      </c>
      <c r="K3598" s="508">
        <v>1.3069999999999999</v>
      </c>
      <c r="L3598" s="508">
        <v>1.3069999999999999</v>
      </c>
      <c r="M3598" s="508">
        <v>1.2909999999999999</v>
      </c>
      <c r="N3598" s="508">
        <v>1.2929999999999999</v>
      </c>
      <c r="O3598" s="508">
        <v>1.2939999999999998</v>
      </c>
      <c r="P3598" s="508">
        <v>1.2989999999999999</v>
      </c>
      <c r="Q3598" s="508">
        <v>1.2929999999999999</v>
      </c>
      <c r="R3598" s="508">
        <v>0.91800000000000004</v>
      </c>
      <c r="S3598" s="508">
        <v>0.92500000000000004</v>
      </c>
      <c r="T3598" s="508">
        <v>0.92600000000000005</v>
      </c>
      <c r="U3598" s="508">
        <v>0.92100000000000004</v>
      </c>
      <c r="V3598" s="508">
        <v>0.91800000000000004</v>
      </c>
      <c r="W3598" s="508">
        <v>0.83299999999999996</v>
      </c>
      <c r="X3598" s="508">
        <v>0.82799999999999996</v>
      </c>
      <c r="Y3598" s="508">
        <v>0.83099999999999996</v>
      </c>
      <c r="Z3598" s="508">
        <v>0.83199999999999996</v>
      </c>
      <c r="AA3598" s="508">
        <v>4.5999999999999999E-2</v>
      </c>
      <c r="AB3598" s="508">
        <v>4.5999999999999999E-2</v>
      </c>
      <c r="AC3598" s="508">
        <v>4.7E-2</v>
      </c>
      <c r="AD3598" s="508">
        <v>5.1999999999999998E-2</v>
      </c>
      <c r="AE3598" s="508">
        <v>5.1999999999999998E-2</v>
      </c>
      <c r="AF3598" s="508">
        <v>0.04</v>
      </c>
      <c r="AG3598" s="508">
        <v>3.9E-2</v>
      </c>
      <c r="AH3598" s="508">
        <v>3.7000000000000005E-2</v>
      </c>
      <c r="AI3598" s="492">
        <v>3.7000000000000005E-2</v>
      </c>
      <c r="AJ3598" s="485"/>
    </row>
    <row r="3599" spans="2:36">
      <c r="B3599" s="136" t="s">
        <v>439</v>
      </c>
      <c r="C3599" s="132" t="s">
        <v>1362</v>
      </c>
      <c r="D3599" s="132" t="s">
        <v>284</v>
      </c>
      <c r="E3599" s="508">
        <v>3.26</v>
      </c>
      <c r="F3599" s="508">
        <v>3.2519999999999998</v>
      </c>
      <c r="G3599" s="508">
        <v>3.28</v>
      </c>
      <c r="H3599" s="508">
        <v>1.2150000000000001</v>
      </c>
      <c r="I3599" s="508">
        <v>1.2229999999999999</v>
      </c>
      <c r="J3599" s="508">
        <v>1.2449999999999999</v>
      </c>
      <c r="K3599" s="508">
        <v>1.3120000000000001</v>
      </c>
      <c r="L3599" s="508">
        <v>1.3129999999999999</v>
      </c>
      <c r="M3599" s="508">
        <v>1.2959999999999998</v>
      </c>
      <c r="N3599" s="508">
        <v>1.2990000000000002</v>
      </c>
      <c r="O3599" s="508">
        <v>1.3</v>
      </c>
      <c r="P3599" s="508">
        <v>1.306</v>
      </c>
      <c r="Q3599" s="508">
        <v>1.2990000000000002</v>
      </c>
      <c r="R3599" s="508">
        <v>0.89700000000000002</v>
      </c>
      <c r="S3599" s="508">
        <v>0.90599999999999992</v>
      </c>
      <c r="T3599" s="508">
        <v>0.90700000000000003</v>
      </c>
      <c r="U3599" s="508">
        <v>0.90100000000000002</v>
      </c>
      <c r="V3599" s="508">
        <v>0.89799999999999991</v>
      </c>
      <c r="W3599" s="508">
        <v>0.81400000000000006</v>
      </c>
      <c r="X3599" s="508">
        <v>0.81</v>
      </c>
      <c r="Y3599" s="508">
        <v>0.81200000000000006</v>
      </c>
      <c r="Z3599" s="508">
        <v>0.81400000000000006</v>
      </c>
      <c r="AA3599" s="508">
        <v>4.4000000000000004E-2</v>
      </c>
      <c r="AB3599" s="508">
        <v>4.4000000000000004E-2</v>
      </c>
      <c r="AC3599" s="508">
        <v>4.4000000000000004E-2</v>
      </c>
      <c r="AD3599" s="508">
        <v>4.5999999999999999E-2</v>
      </c>
      <c r="AE3599" s="508">
        <v>4.5999999999999999E-2</v>
      </c>
      <c r="AF3599" s="508">
        <v>3.2000000000000001E-2</v>
      </c>
      <c r="AG3599" s="508">
        <v>3.1E-2</v>
      </c>
      <c r="AH3599" s="508">
        <v>0.03</v>
      </c>
      <c r="AI3599" s="492">
        <v>0.03</v>
      </c>
      <c r="AJ3599" s="485"/>
    </row>
    <row r="3600" spans="2:36">
      <c r="B3600" s="136" t="s">
        <v>440</v>
      </c>
      <c r="C3600" s="132" t="s">
        <v>1362</v>
      </c>
      <c r="D3600" s="132" t="s">
        <v>284</v>
      </c>
      <c r="E3600" s="508">
        <v>3.2530000000000001</v>
      </c>
      <c r="F3600" s="508">
        <v>3.246</v>
      </c>
      <c r="G3600" s="508">
        <v>3.2730000000000001</v>
      </c>
      <c r="H3600" s="508">
        <v>1.222</v>
      </c>
      <c r="I3600" s="508">
        <v>1.23</v>
      </c>
      <c r="J3600" s="508">
        <v>1.2509999999999999</v>
      </c>
      <c r="K3600" s="508">
        <v>1.323</v>
      </c>
      <c r="L3600" s="508">
        <v>1.3240000000000001</v>
      </c>
      <c r="M3600" s="508">
        <v>1.3069999999999999</v>
      </c>
      <c r="N3600" s="508">
        <v>1.3160000000000001</v>
      </c>
      <c r="O3600" s="508">
        <v>1.3170000000000002</v>
      </c>
      <c r="P3600" s="508">
        <v>1.3220000000000001</v>
      </c>
      <c r="Q3600" s="508">
        <v>1.3160000000000001</v>
      </c>
      <c r="R3600" s="508">
        <v>0.92299999999999993</v>
      </c>
      <c r="S3600" s="508">
        <v>0.93099999999999994</v>
      </c>
      <c r="T3600" s="508">
        <v>0.93199999999999994</v>
      </c>
      <c r="U3600" s="508">
        <v>0.92599999999999993</v>
      </c>
      <c r="V3600" s="508">
        <v>0.92299999999999993</v>
      </c>
      <c r="W3600" s="508">
        <v>0.83699999999999997</v>
      </c>
      <c r="X3600" s="508">
        <v>0.83299999999999996</v>
      </c>
      <c r="Y3600" s="508">
        <v>0.83499999999999996</v>
      </c>
      <c r="Z3600" s="508">
        <v>0.83699999999999997</v>
      </c>
      <c r="AA3600" s="508">
        <v>4.5999999999999999E-2</v>
      </c>
      <c r="AB3600" s="508">
        <v>4.5999999999999999E-2</v>
      </c>
      <c r="AC3600" s="508">
        <v>4.5999999999999999E-2</v>
      </c>
      <c r="AD3600" s="508">
        <v>0.05</v>
      </c>
      <c r="AE3600" s="508">
        <v>0.05</v>
      </c>
      <c r="AF3600" s="508">
        <v>3.7000000000000005E-2</v>
      </c>
      <c r="AG3600" s="508">
        <v>3.5000000000000003E-2</v>
      </c>
      <c r="AH3600" s="508">
        <v>3.4000000000000002E-2</v>
      </c>
      <c r="AI3600" s="492">
        <v>3.4000000000000002E-2</v>
      </c>
      <c r="AJ3600" s="485"/>
    </row>
    <row r="3601" spans="2:36">
      <c r="B3601" s="136" t="s">
        <v>441</v>
      </c>
      <c r="C3601" s="132" t="s">
        <v>1362</v>
      </c>
      <c r="D3601" s="132" t="s">
        <v>284</v>
      </c>
      <c r="E3601" s="508">
        <v>3.254</v>
      </c>
      <c r="F3601" s="508">
        <v>3.2469999999999999</v>
      </c>
      <c r="G3601" s="508">
        <v>3.274</v>
      </c>
      <c r="H3601" s="508">
        <v>1.206</v>
      </c>
      <c r="I3601" s="508">
        <v>1.214</v>
      </c>
      <c r="J3601" s="508">
        <v>1.2370000000000001</v>
      </c>
      <c r="K3601" s="508">
        <v>1.3009999999999999</v>
      </c>
      <c r="L3601" s="508">
        <v>1.302</v>
      </c>
      <c r="M3601" s="508">
        <v>1.286</v>
      </c>
      <c r="N3601" s="508">
        <v>1.2830000000000001</v>
      </c>
      <c r="O3601" s="508">
        <v>1.2850000000000001</v>
      </c>
      <c r="P3601" s="508">
        <v>1.29</v>
      </c>
      <c r="Q3601" s="508">
        <v>1.2830000000000001</v>
      </c>
      <c r="R3601" s="508">
        <v>0.88</v>
      </c>
      <c r="S3601" s="508">
        <v>0.88800000000000001</v>
      </c>
      <c r="T3601" s="508">
        <v>0.88900000000000001</v>
      </c>
      <c r="U3601" s="508">
        <v>0.88400000000000001</v>
      </c>
      <c r="V3601" s="508">
        <v>0.88</v>
      </c>
      <c r="W3601" s="508">
        <v>0.79800000000000004</v>
      </c>
      <c r="X3601" s="508">
        <v>0.79400000000000004</v>
      </c>
      <c r="Y3601" s="508">
        <v>0.79600000000000004</v>
      </c>
      <c r="Z3601" s="508">
        <v>0.79800000000000004</v>
      </c>
      <c r="AA3601" s="508">
        <v>4.3000000000000003E-2</v>
      </c>
      <c r="AB3601" s="508">
        <v>4.3000000000000003E-2</v>
      </c>
      <c r="AC3601" s="508">
        <v>4.3000000000000003E-2</v>
      </c>
      <c r="AD3601" s="508">
        <v>4.2999999999999997E-2</v>
      </c>
      <c r="AE3601" s="508">
        <v>4.2999999999999997E-2</v>
      </c>
      <c r="AF3601" s="508">
        <v>2.9000000000000001E-2</v>
      </c>
      <c r="AG3601" s="508">
        <v>2.8000000000000001E-2</v>
      </c>
      <c r="AH3601" s="508">
        <v>2.7E-2</v>
      </c>
      <c r="AI3601" s="492">
        <v>2.7E-2</v>
      </c>
      <c r="AJ3601" s="485"/>
    </row>
    <row r="3602" spans="2:36">
      <c r="B3602" s="136" t="s">
        <v>443</v>
      </c>
      <c r="C3602" s="132" t="s">
        <v>1362</v>
      </c>
      <c r="D3602" s="132" t="s">
        <v>284</v>
      </c>
      <c r="E3602" s="508">
        <v>3.32</v>
      </c>
      <c r="F3602" s="508">
        <v>3.3130000000000002</v>
      </c>
      <c r="G3602" s="508">
        <v>3.34</v>
      </c>
      <c r="H3602" s="508">
        <v>1.218</v>
      </c>
      <c r="I3602" s="508">
        <v>1.228</v>
      </c>
      <c r="J3602" s="508">
        <v>1.2529999999999999</v>
      </c>
      <c r="K3602" s="508">
        <v>1.3080000000000001</v>
      </c>
      <c r="L3602" s="508">
        <v>1.3089999999999999</v>
      </c>
      <c r="M3602" s="508">
        <v>1.294</v>
      </c>
      <c r="N3602" s="508">
        <v>1.274</v>
      </c>
      <c r="O3602" s="508">
        <v>1.2749999999999999</v>
      </c>
      <c r="P3602" s="508">
        <v>1.282</v>
      </c>
      <c r="Q3602" s="508">
        <v>1.274</v>
      </c>
      <c r="R3602" s="508">
        <v>0.88500000000000001</v>
      </c>
      <c r="S3602" s="508">
        <v>0.89300000000000002</v>
      </c>
      <c r="T3602" s="508">
        <v>0.89500000000000002</v>
      </c>
      <c r="U3602" s="508">
        <v>0.88900000000000001</v>
      </c>
      <c r="V3602" s="508">
        <v>0.88500000000000001</v>
      </c>
      <c r="W3602" s="508">
        <v>0.80300000000000005</v>
      </c>
      <c r="X3602" s="508">
        <v>0.79900000000000004</v>
      </c>
      <c r="Y3602" s="508">
        <v>0.80100000000000005</v>
      </c>
      <c r="Z3602" s="508">
        <v>0.80200000000000005</v>
      </c>
      <c r="AA3602" s="508">
        <v>4.2999999999999997E-2</v>
      </c>
      <c r="AB3602" s="508">
        <v>4.2000000000000003E-2</v>
      </c>
      <c r="AC3602" s="508">
        <v>4.2999999999999997E-2</v>
      </c>
      <c r="AD3602" s="508">
        <v>4.1000000000000002E-2</v>
      </c>
      <c r="AE3602" s="508">
        <v>0.04</v>
      </c>
      <c r="AF3602" s="508">
        <v>2.5999999999999999E-2</v>
      </c>
      <c r="AG3602" s="508">
        <v>2.5000000000000001E-2</v>
      </c>
      <c r="AH3602" s="508">
        <v>2.4E-2</v>
      </c>
      <c r="AI3602" s="492">
        <v>2.4E-2</v>
      </c>
      <c r="AJ3602" s="485"/>
    </row>
    <row r="3603" spans="2:36">
      <c r="B3603" s="136" t="s">
        <v>445</v>
      </c>
      <c r="C3603" s="132" t="s">
        <v>1362</v>
      </c>
      <c r="D3603" s="132" t="s">
        <v>284</v>
      </c>
      <c r="E3603" s="508">
        <v>3.5110000000000001</v>
      </c>
      <c r="F3603" s="508">
        <v>3.504</v>
      </c>
      <c r="G3603" s="508">
        <v>3.5310000000000001</v>
      </c>
      <c r="H3603" s="508">
        <v>1.34</v>
      </c>
      <c r="I3603" s="508">
        <v>1.35</v>
      </c>
      <c r="J3603" s="508">
        <v>1.379</v>
      </c>
      <c r="K3603" s="508">
        <v>1.411</v>
      </c>
      <c r="L3603" s="508">
        <v>1.4119999999999999</v>
      </c>
      <c r="M3603" s="508">
        <v>1.399</v>
      </c>
      <c r="N3603" s="508">
        <v>1.425</v>
      </c>
      <c r="O3603" s="508">
        <v>1.427</v>
      </c>
      <c r="P3603" s="508">
        <v>1.4350000000000001</v>
      </c>
      <c r="Q3603" s="508">
        <v>1.425</v>
      </c>
      <c r="R3603" s="508">
        <v>0.98299999999999998</v>
      </c>
      <c r="S3603" s="508">
        <v>0.99299999999999999</v>
      </c>
      <c r="T3603" s="508">
        <v>0.995</v>
      </c>
      <c r="U3603" s="508">
        <v>0.98799999999999999</v>
      </c>
      <c r="V3603" s="508">
        <v>0.98399999999999999</v>
      </c>
      <c r="W3603" s="508">
        <v>0.89300000000000002</v>
      </c>
      <c r="X3603" s="508">
        <v>0.88800000000000001</v>
      </c>
      <c r="Y3603" s="508">
        <v>0.89100000000000001</v>
      </c>
      <c r="Z3603" s="508">
        <v>0.89200000000000002</v>
      </c>
      <c r="AA3603" s="508">
        <v>4.7E-2</v>
      </c>
      <c r="AB3603" s="508">
        <v>4.7E-2</v>
      </c>
      <c r="AC3603" s="508">
        <v>4.7E-2</v>
      </c>
      <c r="AD3603" s="508">
        <v>4.3999999999999997E-2</v>
      </c>
      <c r="AE3603" s="508">
        <v>4.3999999999999997E-2</v>
      </c>
      <c r="AF3603" s="508">
        <v>2.9000000000000001E-2</v>
      </c>
      <c r="AG3603" s="508">
        <v>2.7E-2</v>
      </c>
      <c r="AH3603" s="508">
        <v>2.5999999999999999E-2</v>
      </c>
      <c r="AI3603" s="492">
        <v>2.5999999999999999E-2</v>
      </c>
      <c r="AJ3603" s="485"/>
    </row>
    <row r="3604" spans="2:36">
      <c r="B3604" s="136" t="s">
        <v>446</v>
      </c>
      <c r="C3604" s="132" t="s">
        <v>1362</v>
      </c>
      <c r="D3604" s="132" t="s">
        <v>284</v>
      </c>
      <c r="E3604" s="508">
        <v>3.3920000000000003</v>
      </c>
      <c r="F3604" s="508">
        <v>3.3850000000000002</v>
      </c>
      <c r="G3604" s="508">
        <v>3.4130000000000003</v>
      </c>
      <c r="H3604" s="508">
        <v>1.2930000000000001</v>
      </c>
      <c r="I3604" s="508">
        <v>1.3009999999999999</v>
      </c>
      <c r="J3604" s="508">
        <v>1.3259999999999998</v>
      </c>
      <c r="K3604" s="508">
        <v>1.379</v>
      </c>
      <c r="L3604" s="508">
        <v>1.38</v>
      </c>
      <c r="M3604" s="508">
        <v>1.365</v>
      </c>
      <c r="N3604" s="508">
        <v>1.3879999999999999</v>
      </c>
      <c r="O3604" s="508">
        <v>1.39</v>
      </c>
      <c r="P3604" s="508">
        <v>1.397</v>
      </c>
      <c r="Q3604" s="508">
        <v>1.3879999999999999</v>
      </c>
      <c r="R3604" s="508">
        <v>0.97399999999999998</v>
      </c>
      <c r="S3604" s="508">
        <v>0.98199999999999998</v>
      </c>
      <c r="T3604" s="508">
        <v>0.98299999999999998</v>
      </c>
      <c r="U3604" s="508">
        <v>0.97799999999999998</v>
      </c>
      <c r="V3604" s="508">
        <v>0.97399999999999998</v>
      </c>
      <c r="W3604" s="508">
        <v>0.88300000000000001</v>
      </c>
      <c r="X3604" s="508">
        <v>0.87800000000000011</v>
      </c>
      <c r="Y3604" s="508">
        <v>0.88100000000000001</v>
      </c>
      <c r="Z3604" s="508">
        <v>0.8819999999999999</v>
      </c>
      <c r="AA3604" s="508">
        <v>4.7E-2</v>
      </c>
      <c r="AB3604" s="508">
        <v>4.7E-2</v>
      </c>
      <c r="AC3604" s="508">
        <v>4.8000000000000001E-2</v>
      </c>
      <c r="AD3604" s="508">
        <v>0.05</v>
      </c>
      <c r="AE3604" s="508">
        <v>0.05</v>
      </c>
      <c r="AF3604" s="508">
        <v>3.5999999999999997E-2</v>
      </c>
      <c r="AG3604" s="508">
        <v>3.3000000000000002E-2</v>
      </c>
      <c r="AH3604" s="508">
        <v>3.2000000000000001E-2</v>
      </c>
      <c r="AI3604" s="492">
        <v>3.2000000000000001E-2</v>
      </c>
      <c r="AJ3604" s="485"/>
    </row>
    <row r="3605" spans="2:36">
      <c r="B3605" s="136" t="s">
        <v>448</v>
      </c>
      <c r="C3605" s="132" t="s">
        <v>1362</v>
      </c>
      <c r="D3605" s="132" t="s">
        <v>284</v>
      </c>
      <c r="E3605" s="508">
        <v>3.222</v>
      </c>
      <c r="F3605" s="508">
        <v>3.2149999999999999</v>
      </c>
      <c r="G3605" s="508">
        <v>3.242</v>
      </c>
      <c r="H3605" s="508">
        <v>1.2050000000000001</v>
      </c>
      <c r="I3605" s="508">
        <v>1.2130000000000001</v>
      </c>
      <c r="J3605" s="508">
        <v>1.2329999999999999</v>
      </c>
      <c r="K3605" s="508">
        <v>1.3110000000000002</v>
      </c>
      <c r="L3605" s="508">
        <v>1.3120000000000001</v>
      </c>
      <c r="M3605" s="508">
        <v>1.294</v>
      </c>
      <c r="N3605" s="508">
        <v>1.296</v>
      </c>
      <c r="O3605" s="508">
        <v>1.2969999999999999</v>
      </c>
      <c r="P3605" s="508">
        <v>1.302</v>
      </c>
      <c r="Q3605" s="508">
        <v>1.296</v>
      </c>
      <c r="R3605" s="508">
        <v>0.91600000000000004</v>
      </c>
      <c r="S3605" s="508">
        <v>0.92400000000000004</v>
      </c>
      <c r="T3605" s="508">
        <v>0.92400000000000004</v>
      </c>
      <c r="U3605" s="508">
        <v>0.92</v>
      </c>
      <c r="V3605" s="508">
        <v>0.91700000000000004</v>
      </c>
      <c r="W3605" s="508">
        <v>0.83099999999999996</v>
      </c>
      <c r="X3605" s="508">
        <v>0.82699999999999996</v>
      </c>
      <c r="Y3605" s="508">
        <v>0.82899999999999996</v>
      </c>
      <c r="Z3605" s="508">
        <v>0.83</v>
      </c>
      <c r="AA3605" s="508">
        <v>4.5999999999999999E-2</v>
      </c>
      <c r="AB3605" s="508">
        <v>4.5999999999999999E-2</v>
      </c>
      <c r="AC3605" s="508">
        <v>4.5999999999999999E-2</v>
      </c>
      <c r="AD3605" s="508">
        <v>4.9999999999999996E-2</v>
      </c>
      <c r="AE3605" s="508">
        <v>4.9999999999999996E-2</v>
      </c>
      <c r="AF3605" s="508">
        <v>3.6999999999999998E-2</v>
      </c>
      <c r="AG3605" s="508">
        <v>3.5999999999999997E-2</v>
      </c>
      <c r="AH3605" s="508">
        <v>3.4999999999999996E-2</v>
      </c>
      <c r="AI3605" s="492">
        <v>3.4999999999999996E-2</v>
      </c>
      <c r="AJ3605" s="485"/>
    </row>
    <row r="3606" spans="2:36">
      <c r="B3606" s="136" t="s">
        <v>449</v>
      </c>
      <c r="C3606" s="132" t="s">
        <v>1362</v>
      </c>
      <c r="D3606" s="132" t="s">
        <v>284</v>
      </c>
      <c r="E3606" s="508">
        <v>3.3369999999999997</v>
      </c>
      <c r="F3606" s="508">
        <v>3.33</v>
      </c>
      <c r="G3606" s="508">
        <v>3.3569999999999998</v>
      </c>
      <c r="H3606" s="508">
        <v>1.236</v>
      </c>
      <c r="I3606" s="508">
        <v>1.246</v>
      </c>
      <c r="J3606" s="508">
        <v>1.2709999999999999</v>
      </c>
      <c r="K3606" s="508">
        <v>1.325</v>
      </c>
      <c r="L3606" s="508">
        <v>1.3259999999999998</v>
      </c>
      <c r="M3606" s="508">
        <v>1.3109999999999999</v>
      </c>
      <c r="N3606" s="508">
        <v>1.3029999999999999</v>
      </c>
      <c r="O3606" s="508">
        <v>1.304</v>
      </c>
      <c r="P3606" s="508">
        <v>1.3119999999999998</v>
      </c>
      <c r="Q3606" s="508">
        <v>1.3029999999999999</v>
      </c>
      <c r="R3606" s="508">
        <v>0.90400000000000003</v>
      </c>
      <c r="S3606" s="508">
        <v>0.91200000000000003</v>
      </c>
      <c r="T3606" s="508">
        <v>0.91400000000000003</v>
      </c>
      <c r="U3606" s="508">
        <v>0.90800000000000003</v>
      </c>
      <c r="V3606" s="508">
        <v>0.90400000000000003</v>
      </c>
      <c r="W3606" s="508">
        <v>0.82100000000000006</v>
      </c>
      <c r="X3606" s="508">
        <v>0.81600000000000006</v>
      </c>
      <c r="Y3606" s="508">
        <v>0.81900000000000006</v>
      </c>
      <c r="Z3606" s="508">
        <v>0.82000000000000006</v>
      </c>
      <c r="AA3606" s="508">
        <v>4.3999999999999997E-2</v>
      </c>
      <c r="AB3606" s="508">
        <v>4.3999999999999997E-2</v>
      </c>
      <c r="AC3606" s="508">
        <v>4.3999999999999997E-2</v>
      </c>
      <c r="AD3606" s="508">
        <v>4.3000000000000003E-2</v>
      </c>
      <c r="AE3606" s="508">
        <v>4.3000000000000003E-2</v>
      </c>
      <c r="AF3606" s="508">
        <v>2.7999999999999997E-2</v>
      </c>
      <c r="AG3606" s="508">
        <v>2.7000000000000003E-2</v>
      </c>
      <c r="AH3606" s="508">
        <v>2.6000000000000002E-2</v>
      </c>
      <c r="AI3606" s="492">
        <v>2.6000000000000002E-2</v>
      </c>
      <c r="AJ3606" s="485"/>
    </row>
    <row r="3607" spans="2:36">
      <c r="B3607" s="136" t="s">
        <v>450</v>
      </c>
      <c r="C3607" s="132" t="s">
        <v>1362</v>
      </c>
      <c r="D3607" s="132" t="s">
        <v>284</v>
      </c>
      <c r="E3607" s="508">
        <v>3.2279999999999998</v>
      </c>
      <c r="F3607" s="508">
        <v>3.2210000000000001</v>
      </c>
      <c r="G3607" s="508">
        <v>3.2479999999999998</v>
      </c>
      <c r="H3607" s="508">
        <v>1.212</v>
      </c>
      <c r="I3607" s="508">
        <v>1.22</v>
      </c>
      <c r="J3607" s="508">
        <v>1.2409999999999999</v>
      </c>
      <c r="K3607" s="508">
        <v>1.319</v>
      </c>
      <c r="L3607" s="508">
        <v>1.319</v>
      </c>
      <c r="M3607" s="508">
        <v>1.3029999999999999</v>
      </c>
      <c r="N3607" s="508">
        <v>1.3080000000000001</v>
      </c>
      <c r="O3607" s="508">
        <v>1.3089999999999999</v>
      </c>
      <c r="P3607" s="508">
        <v>1.3140000000000001</v>
      </c>
      <c r="Q3607" s="508">
        <v>1.3080000000000001</v>
      </c>
      <c r="R3607" s="508">
        <v>0.93</v>
      </c>
      <c r="S3607" s="508">
        <v>0.93700000000000006</v>
      </c>
      <c r="T3607" s="508">
        <v>0.93900000000000006</v>
      </c>
      <c r="U3607" s="508">
        <v>0.93400000000000005</v>
      </c>
      <c r="V3607" s="508">
        <v>0.93100000000000005</v>
      </c>
      <c r="W3607" s="508">
        <v>0.84399999999999997</v>
      </c>
      <c r="X3607" s="508">
        <v>0.84</v>
      </c>
      <c r="Y3607" s="508">
        <v>0.84299999999999997</v>
      </c>
      <c r="Z3607" s="508">
        <v>0.84399999999999997</v>
      </c>
      <c r="AA3607" s="508">
        <v>4.7E-2</v>
      </c>
      <c r="AB3607" s="508">
        <v>4.7E-2</v>
      </c>
      <c r="AC3607" s="508">
        <v>4.7E-2</v>
      </c>
      <c r="AD3607" s="508">
        <v>5.1999999999999998E-2</v>
      </c>
      <c r="AE3607" s="508">
        <v>5.1999999999999998E-2</v>
      </c>
      <c r="AF3607" s="508">
        <v>3.9E-2</v>
      </c>
      <c r="AG3607" s="508">
        <v>3.7999999999999999E-2</v>
      </c>
      <c r="AH3607" s="508">
        <v>3.6999999999999998E-2</v>
      </c>
      <c r="AI3607" s="492">
        <v>3.6999999999999998E-2</v>
      </c>
      <c r="AJ3607" s="485"/>
    </row>
    <row r="3608" spans="2:36">
      <c r="B3608" s="136" t="s">
        <v>451</v>
      </c>
      <c r="C3608" s="132" t="s">
        <v>1362</v>
      </c>
      <c r="D3608" s="132" t="s">
        <v>284</v>
      </c>
      <c r="E3608" s="508">
        <v>3.4</v>
      </c>
      <c r="F3608" s="508">
        <v>3.3919999999999999</v>
      </c>
      <c r="G3608" s="508">
        <v>3.42</v>
      </c>
      <c r="H3608" s="508">
        <v>1.284</v>
      </c>
      <c r="I3608" s="508">
        <v>1.2929999999999999</v>
      </c>
      <c r="J3608" s="508">
        <v>1.319</v>
      </c>
      <c r="K3608" s="508">
        <v>1.3660000000000001</v>
      </c>
      <c r="L3608" s="508">
        <v>1.367</v>
      </c>
      <c r="M3608" s="508">
        <v>1.353</v>
      </c>
      <c r="N3608" s="508">
        <v>1.367</v>
      </c>
      <c r="O3608" s="508">
        <v>1.369</v>
      </c>
      <c r="P3608" s="508">
        <v>1.3760000000000001</v>
      </c>
      <c r="Q3608" s="508">
        <v>1.367</v>
      </c>
      <c r="R3608" s="508">
        <v>0.94300000000000006</v>
      </c>
      <c r="S3608" s="508">
        <v>0.95200000000000007</v>
      </c>
      <c r="T3608" s="508">
        <v>0.95300000000000007</v>
      </c>
      <c r="U3608" s="508">
        <v>0.94700000000000006</v>
      </c>
      <c r="V3608" s="508">
        <v>0.94300000000000006</v>
      </c>
      <c r="W3608" s="508">
        <v>0.85599999999999998</v>
      </c>
      <c r="X3608" s="508">
        <v>0.85099999999999998</v>
      </c>
      <c r="Y3608" s="508">
        <v>0.85399999999999998</v>
      </c>
      <c r="Z3608" s="508">
        <v>0.85499999999999998</v>
      </c>
      <c r="AA3608" s="508">
        <v>4.4999999999999998E-2</v>
      </c>
      <c r="AB3608" s="508">
        <v>4.4999999999999998E-2</v>
      </c>
      <c r="AC3608" s="508">
        <v>4.5999999999999999E-2</v>
      </c>
      <c r="AD3608" s="508">
        <v>4.5000000000000005E-2</v>
      </c>
      <c r="AE3608" s="508">
        <v>4.5000000000000005E-2</v>
      </c>
      <c r="AF3608" s="508">
        <v>0.03</v>
      </c>
      <c r="AG3608" s="508">
        <v>2.8999999999999998E-2</v>
      </c>
      <c r="AH3608" s="508">
        <v>2.8000000000000001E-2</v>
      </c>
      <c r="AI3608" s="492">
        <v>2.8000000000000001E-2</v>
      </c>
      <c r="AJ3608" s="485"/>
    </row>
    <row r="3609" spans="2:36">
      <c r="B3609" s="136" t="s">
        <v>452</v>
      </c>
      <c r="C3609" s="132" t="s">
        <v>1362</v>
      </c>
      <c r="D3609" s="132" t="s">
        <v>284</v>
      </c>
      <c r="E3609" s="508">
        <v>3.2960000000000003</v>
      </c>
      <c r="F3609" s="508">
        <v>3.2890000000000001</v>
      </c>
      <c r="G3609" s="508">
        <v>3.3160000000000003</v>
      </c>
      <c r="H3609" s="508">
        <v>1.2430000000000001</v>
      </c>
      <c r="I3609" s="508">
        <v>1.2510000000000001</v>
      </c>
      <c r="J3609" s="508">
        <v>1.274</v>
      </c>
      <c r="K3609" s="508">
        <v>1.341</v>
      </c>
      <c r="L3609" s="508">
        <v>1.3420000000000001</v>
      </c>
      <c r="M3609" s="508">
        <v>1.327</v>
      </c>
      <c r="N3609" s="508">
        <v>1.337</v>
      </c>
      <c r="O3609" s="508">
        <v>1.3380000000000001</v>
      </c>
      <c r="P3609" s="508">
        <v>1.3440000000000001</v>
      </c>
      <c r="Q3609" s="508">
        <v>1.337</v>
      </c>
      <c r="R3609" s="508">
        <v>0.94399999999999995</v>
      </c>
      <c r="S3609" s="508">
        <v>0.95299999999999996</v>
      </c>
      <c r="T3609" s="508">
        <v>0.95399999999999996</v>
      </c>
      <c r="U3609" s="508">
        <v>0.94799999999999995</v>
      </c>
      <c r="V3609" s="508">
        <v>0.94499999999999995</v>
      </c>
      <c r="W3609" s="508">
        <v>0.85699999999999998</v>
      </c>
      <c r="X3609" s="508">
        <v>0.85299999999999998</v>
      </c>
      <c r="Y3609" s="508">
        <v>0.85499999999999998</v>
      </c>
      <c r="Z3609" s="508">
        <v>0.85699999999999998</v>
      </c>
      <c r="AA3609" s="508">
        <v>4.7E-2</v>
      </c>
      <c r="AB3609" s="508">
        <v>4.7E-2</v>
      </c>
      <c r="AC3609" s="508">
        <v>4.7E-2</v>
      </c>
      <c r="AD3609" s="508">
        <v>5.1000000000000004E-2</v>
      </c>
      <c r="AE3609" s="508">
        <v>5.1000000000000004E-2</v>
      </c>
      <c r="AF3609" s="508">
        <v>3.7000000000000005E-2</v>
      </c>
      <c r="AG3609" s="508">
        <v>3.6000000000000004E-2</v>
      </c>
      <c r="AH3609" s="508">
        <v>3.5000000000000003E-2</v>
      </c>
      <c r="AI3609" s="492">
        <v>3.5000000000000003E-2</v>
      </c>
      <c r="AJ3609" s="485"/>
    </row>
    <row r="3610" spans="2:36">
      <c r="B3610" s="136" t="s">
        <v>453</v>
      </c>
      <c r="C3610" s="132" t="s">
        <v>1362</v>
      </c>
      <c r="D3610" s="132" t="s">
        <v>284</v>
      </c>
      <c r="E3610" s="508">
        <v>3.2130000000000001</v>
      </c>
      <c r="F3610" s="508">
        <v>3.2070000000000003</v>
      </c>
      <c r="G3610" s="508">
        <v>3.234</v>
      </c>
      <c r="H3610" s="508">
        <v>1.206</v>
      </c>
      <c r="I3610" s="508">
        <v>1.214</v>
      </c>
      <c r="J3610" s="508">
        <v>1.2330000000000001</v>
      </c>
      <c r="K3610" s="508">
        <v>1.3149999999999999</v>
      </c>
      <c r="L3610" s="508">
        <v>1.3149999999999999</v>
      </c>
      <c r="M3610" s="508">
        <v>1.2989999999999999</v>
      </c>
      <c r="N3610" s="508">
        <v>1.302</v>
      </c>
      <c r="O3610" s="508">
        <v>1.3039999999999998</v>
      </c>
      <c r="P3610" s="508">
        <v>1.3079999999999998</v>
      </c>
      <c r="Q3610" s="508">
        <v>1.302</v>
      </c>
      <c r="R3610" s="508">
        <v>0.92800000000000005</v>
      </c>
      <c r="S3610" s="508">
        <v>0.93600000000000005</v>
      </c>
      <c r="T3610" s="508">
        <v>0.93700000000000006</v>
      </c>
      <c r="U3610" s="508">
        <v>0.93200000000000005</v>
      </c>
      <c r="V3610" s="508">
        <v>0.92900000000000005</v>
      </c>
      <c r="W3610" s="508">
        <v>0.84199999999999997</v>
      </c>
      <c r="X3610" s="508">
        <v>0.83799999999999997</v>
      </c>
      <c r="Y3610" s="508">
        <v>0.84</v>
      </c>
      <c r="Z3610" s="508">
        <v>0.84199999999999997</v>
      </c>
      <c r="AA3610" s="508">
        <v>4.7E-2</v>
      </c>
      <c r="AB3610" s="508">
        <v>4.5999999999999999E-2</v>
      </c>
      <c r="AC3610" s="508">
        <v>4.7E-2</v>
      </c>
      <c r="AD3610" s="508">
        <v>5.2999999999999999E-2</v>
      </c>
      <c r="AE3610" s="508">
        <v>5.1999999999999998E-2</v>
      </c>
      <c r="AF3610" s="508">
        <v>0.04</v>
      </c>
      <c r="AG3610" s="508">
        <v>3.9E-2</v>
      </c>
      <c r="AH3610" s="508">
        <v>3.7999999999999999E-2</v>
      </c>
      <c r="AI3610" s="492">
        <v>3.7999999999999999E-2</v>
      </c>
      <c r="AJ3610" s="485"/>
    </row>
    <row r="3611" spans="2:36">
      <c r="B3611" s="136" t="s">
        <v>454</v>
      </c>
      <c r="C3611" s="132" t="s">
        <v>1362</v>
      </c>
      <c r="D3611" s="132" t="s">
        <v>284</v>
      </c>
      <c r="E3611" s="508">
        <v>3.2170000000000001</v>
      </c>
      <c r="F3611" s="508">
        <v>3.21</v>
      </c>
      <c r="G3611" s="508">
        <v>3.2370000000000001</v>
      </c>
      <c r="H3611" s="508">
        <v>1.1970000000000001</v>
      </c>
      <c r="I3611" s="508">
        <v>1.2049999999999998</v>
      </c>
      <c r="J3611" s="508">
        <v>1.226</v>
      </c>
      <c r="K3611" s="508">
        <v>1.302</v>
      </c>
      <c r="L3611" s="508">
        <v>1.3029999999999999</v>
      </c>
      <c r="M3611" s="508">
        <v>1.2869999999999999</v>
      </c>
      <c r="N3611" s="508">
        <v>1.2830000000000001</v>
      </c>
      <c r="O3611" s="508">
        <v>1.284</v>
      </c>
      <c r="P3611" s="508">
        <v>1.2890000000000001</v>
      </c>
      <c r="Q3611" s="508">
        <v>1.2830000000000001</v>
      </c>
      <c r="R3611" s="508">
        <v>0.90500000000000003</v>
      </c>
      <c r="S3611" s="508">
        <v>0.91300000000000003</v>
      </c>
      <c r="T3611" s="508">
        <v>0.91400000000000003</v>
      </c>
      <c r="U3611" s="508">
        <v>0.90800000000000003</v>
      </c>
      <c r="V3611" s="508">
        <v>0.90500000000000003</v>
      </c>
      <c r="W3611" s="508">
        <v>0.82099999999999995</v>
      </c>
      <c r="X3611" s="508">
        <v>0.81699999999999995</v>
      </c>
      <c r="Y3611" s="508">
        <v>0.81899999999999995</v>
      </c>
      <c r="Z3611" s="508">
        <v>0.82099999999999995</v>
      </c>
      <c r="AA3611" s="508">
        <v>4.4999999999999998E-2</v>
      </c>
      <c r="AB3611" s="508">
        <v>4.4999999999999998E-2</v>
      </c>
      <c r="AC3611" s="508">
        <v>4.4999999999999998E-2</v>
      </c>
      <c r="AD3611" s="508">
        <v>4.9000000000000002E-2</v>
      </c>
      <c r="AE3611" s="508">
        <v>4.9000000000000002E-2</v>
      </c>
      <c r="AF3611" s="508">
        <v>3.6000000000000004E-2</v>
      </c>
      <c r="AG3611" s="508">
        <v>3.5000000000000003E-2</v>
      </c>
      <c r="AH3611" s="508">
        <v>3.4000000000000002E-2</v>
      </c>
      <c r="AI3611" s="492">
        <v>3.4000000000000002E-2</v>
      </c>
      <c r="AJ3611" s="485"/>
    </row>
    <row r="3612" spans="2:36">
      <c r="B3612" s="136" t="s">
        <v>455</v>
      </c>
      <c r="C3612" s="132" t="s">
        <v>1362</v>
      </c>
      <c r="D3612" s="132" t="s">
        <v>284</v>
      </c>
      <c r="E3612" s="508">
        <v>3.1980000000000004</v>
      </c>
      <c r="F3612" s="508">
        <v>3.1920000000000002</v>
      </c>
      <c r="G3612" s="508">
        <v>3.2180000000000004</v>
      </c>
      <c r="H3612" s="508">
        <v>1.208</v>
      </c>
      <c r="I3612" s="508">
        <v>1.216</v>
      </c>
      <c r="J3612" s="508">
        <v>1.2350000000000001</v>
      </c>
      <c r="K3612" s="508">
        <v>1.319</v>
      </c>
      <c r="L3612" s="508">
        <v>1.32</v>
      </c>
      <c r="M3612" s="508">
        <v>1.3029999999999999</v>
      </c>
      <c r="N3612" s="508">
        <v>1.3149999999999999</v>
      </c>
      <c r="O3612" s="508">
        <v>1.3169999999999999</v>
      </c>
      <c r="P3612" s="508">
        <v>1.3220000000000001</v>
      </c>
      <c r="Q3612" s="508">
        <v>1.3149999999999999</v>
      </c>
      <c r="R3612" s="508">
        <v>0.93800000000000006</v>
      </c>
      <c r="S3612" s="508">
        <v>0.94400000000000006</v>
      </c>
      <c r="T3612" s="508">
        <v>0.94500000000000006</v>
      </c>
      <c r="U3612" s="508">
        <v>0.94100000000000006</v>
      </c>
      <c r="V3612" s="508">
        <v>0.93800000000000006</v>
      </c>
      <c r="W3612" s="508">
        <v>0.85</v>
      </c>
      <c r="X3612" s="508">
        <v>0.84699999999999998</v>
      </c>
      <c r="Y3612" s="508">
        <v>0.84899999999999998</v>
      </c>
      <c r="Z3612" s="508">
        <v>0.85</v>
      </c>
      <c r="AA3612" s="508">
        <v>4.8000000000000001E-2</v>
      </c>
      <c r="AB3612" s="508">
        <v>4.8000000000000001E-2</v>
      </c>
      <c r="AC3612" s="508">
        <v>4.8000000000000001E-2</v>
      </c>
      <c r="AD3612" s="508">
        <v>5.4999999999999993E-2</v>
      </c>
      <c r="AE3612" s="508">
        <v>5.4999999999999993E-2</v>
      </c>
      <c r="AF3612" s="508">
        <v>4.1999999999999996E-2</v>
      </c>
      <c r="AG3612" s="508">
        <v>4.0999999999999995E-2</v>
      </c>
      <c r="AH3612" s="508">
        <v>0.04</v>
      </c>
      <c r="AI3612" s="492">
        <v>0.04</v>
      </c>
      <c r="AJ3612" s="485"/>
    </row>
    <row r="3613" spans="2:36">
      <c r="B3613" s="136" t="s">
        <v>456</v>
      </c>
      <c r="C3613" s="132" t="s">
        <v>1362</v>
      </c>
      <c r="D3613" s="132" t="s">
        <v>284</v>
      </c>
      <c r="E3613" s="508">
        <v>3.246</v>
      </c>
      <c r="F3613" s="508">
        <v>3.2389999999999999</v>
      </c>
      <c r="G3613" s="508">
        <v>3.266</v>
      </c>
      <c r="H3613" s="508">
        <v>1.218</v>
      </c>
      <c r="I3613" s="508">
        <v>1.226</v>
      </c>
      <c r="J3613" s="508">
        <v>1.248</v>
      </c>
      <c r="K3613" s="508">
        <v>1.3220000000000001</v>
      </c>
      <c r="L3613" s="508">
        <v>1.3230000000000002</v>
      </c>
      <c r="M3613" s="508">
        <v>1.306</v>
      </c>
      <c r="N3613" s="508">
        <v>1.3120000000000001</v>
      </c>
      <c r="O3613" s="508">
        <v>1.3129999999999999</v>
      </c>
      <c r="P3613" s="508">
        <v>1.319</v>
      </c>
      <c r="Q3613" s="508">
        <v>1.3120000000000001</v>
      </c>
      <c r="R3613" s="508">
        <v>0.92700000000000005</v>
      </c>
      <c r="S3613" s="508">
        <v>0.93499999999999994</v>
      </c>
      <c r="T3613" s="508">
        <v>0.93599999999999994</v>
      </c>
      <c r="U3613" s="508">
        <v>0.93099999999999994</v>
      </c>
      <c r="V3613" s="508">
        <v>0.92800000000000005</v>
      </c>
      <c r="W3613" s="508">
        <v>0.84099999999999997</v>
      </c>
      <c r="X3613" s="508">
        <v>0.83799999999999997</v>
      </c>
      <c r="Y3613" s="508">
        <v>0.83899999999999997</v>
      </c>
      <c r="Z3613" s="508">
        <v>0.84</v>
      </c>
      <c r="AA3613" s="508">
        <v>4.7E-2</v>
      </c>
      <c r="AB3613" s="508">
        <v>4.7E-2</v>
      </c>
      <c r="AC3613" s="508">
        <v>4.7E-2</v>
      </c>
      <c r="AD3613" s="508">
        <v>5.0999999999999997E-2</v>
      </c>
      <c r="AE3613" s="508">
        <v>4.9999999999999996E-2</v>
      </c>
      <c r="AF3613" s="508">
        <v>3.6999999999999998E-2</v>
      </c>
      <c r="AG3613" s="508">
        <v>3.5999999999999997E-2</v>
      </c>
      <c r="AH3613" s="508">
        <v>3.4999999999999996E-2</v>
      </c>
      <c r="AI3613" s="492">
        <v>3.4999999999999996E-2</v>
      </c>
      <c r="AJ3613" s="485"/>
    </row>
    <row r="3614" spans="2:36">
      <c r="B3614" s="136" t="s">
        <v>457</v>
      </c>
      <c r="C3614" s="132" t="s">
        <v>1362</v>
      </c>
      <c r="D3614" s="132" t="s">
        <v>284</v>
      </c>
      <c r="E3614" s="508">
        <v>3.173</v>
      </c>
      <c r="F3614" s="508">
        <v>3.1659999999999999</v>
      </c>
      <c r="G3614" s="508">
        <v>3.1930000000000001</v>
      </c>
      <c r="H3614" s="508">
        <v>1.1820000000000002</v>
      </c>
      <c r="I3614" s="508">
        <v>1.1890000000000001</v>
      </c>
      <c r="J3614" s="508">
        <v>1.208</v>
      </c>
      <c r="K3614" s="508">
        <v>1.2950000000000002</v>
      </c>
      <c r="L3614" s="508">
        <v>1.296</v>
      </c>
      <c r="M3614" s="508">
        <v>1.2790000000000001</v>
      </c>
      <c r="N3614" s="508">
        <v>1.274</v>
      </c>
      <c r="O3614" s="508">
        <v>1.2749999999999999</v>
      </c>
      <c r="P3614" s="508">
        <v>1.2789999999999999</v>
      </c>
      <c r="Q3614" s="508">
        <v>1.274</v>
      </c>
      <c r="R3614" s="508">
        <v>0.91</v>
      </c>
      <c r="S3614" s="508">
        <v>0.91700000000000004</v>
      </c>
      <c r="T3614" s="508">
        <v>0.91900000000000004</v>
      </c>
      <c r="U3614" s="508">
        <v>0.91300000000000003</v>
      </c>
      <c r="V3614" s="508">
        <v>0.91</v>
      </c>
      <c r="W3614" s="508">
        <v>0.82599999999999996</v>
      </c>
      <c r="X3614" s="508">
        <v>0.82200000000000006</v>
      </c>
      <c r="Y3614" s="508">
        <v>0.82399999999999995</v>
      </c>
      <c r="Z3614" s="508">
        <v>0.82499999999999996</v>
      </c>
      <c r="AA3614" s="508">
        <v>4.5999999999999999E-2</v>
      </c>
      <c r="AB3614" s="508">
        <v>4.5999999999999999E-2</v>
      </c>
      <c r="AC3614" s="508">
        <v>4.5999999999999999E-2</v>
      </c>
      <c r="AD3614" s="508">
        <v>5.2999999999999999E-2</v>
      </c>
      <c r="AE3614" s="508">
        <v>5.2999999999999999E-2</v>
      </c>
      <c r="AF3614" s="508">
        <v>0.04</v>
      </c>
      <c r="AG3614" s="508">
        <v>3.9E-2</v>
      </c>
      <c r="AH3614" s="508">
        <v>3.8000000000000006E-2</v>
      </c>
      <c r="AI3614" s="492">
        <v>3.8000000000000006E-2</v>
      </c>
      <c r="AJ3614" s="485"/>
    </row>
    <row r="3615" spans="2:36">
      <c r="B3615" s="136" t="s">
        <v>458</v>
      </c>
      <c r="C3615" s="132" t="s">
        <v>1362</v>
      </c>
      <c r="D3615" s="132" t="s">
        <v>284</v>
      </c>
      <c r="E3615" s="508">
        <v>3.24</v>
      </c>
      <c r="F3615" s="508">
        <v>3.234</v>
      </c>
      <c r="G3615" s="508">
        <v>3.2610000000000001</v>
      </c>
      <c r="H3615" s="508">
        <v>1.204</v>
      </c>
      <c r="I3615" s="508">
        <v>1.2129999999999999</v>
      </c>
      <c r="J3615" s="508">
        <v>1.234</v>
      </c>
      <c r="K3615" s="508">
        <v>1.3039999999999998</v>
      </c>
      <c r="L3615" s="508">
        <v>1.3049999999999999</v>
      </c>
      <c r="M3615" s="508">
        <v>1.2889999999999999</v>
      </c>
      <c r="N3615" s="508">
        <v>1.288</v>
      </c>
      <c r="O3615" s="508">
        <v>1.2889999999999999</v>
      </c>
      <c r="P3615" s="508">
        <v>1.294</v>
      </c>
      <c r="Q3615" s="508">
        <v>1.288</v>
      </c>
      <c r="R3615" s="508">
        <v>0.89399999999999991</v>
      </c>
      <c r="S3615" s="508">
        <v>0.90199999999999991</v>
      </c>
      <c r="T3615" s="508">
        <v>0.90300000000000002</v>
      </c>
      <c r="U3615" s="508">
        <v>0.89799999999999991</v>
      </c>
      <c r="V3615" s="508">
        <v>0.89399999999999991</v>
      </c>
      <c r="W3615" s="508">
        <v>0.81099999999999994</v>
      </c>
      <c r="X3615" s="508">
        <v>0.80699999999999994</v>
      </c>
      <c r="Y3615" s="508">
        <v>0.80899999999999994</v>
      </c>
      <c r="Z3615" s="508">
        <v>0.81</v>
      </c>
      <c r="AA3615" s="508">
        <v>4.3999999999999997E-2</v>
      </c>
      <c r="AB3615" s="508">
        <v>4.3999999999999997E-2</v>
      </c>
      <c r="AC3615" s="508">
        <v>4.4999999999999998E-2</v>
      </c>
      <c r="AD3615" s="508">
        <v>4.5999999999999999E-2</v>
      </c>
      <c r="AE3615" s="508">
        <v>4.5999999999999999E-2</v>
      </c>
      <c r="AF3615" s="508">
        <v>3.3000000000000002E-2</v>
      </c>
      <c r="AG3615" s="508">
        <v>3.2000000000000001E-2</v>
      </c>
      <c r="AH3615" s="508">
        <v>3.1E-2</v>
      </c>
      <c r="AI3615" s="492">
        <v>3.1E-2</v>
      </c>
      <c r="AJ3615" s="485"/>
    </row>
    <row r="3616" spans="2:36">
      <c r="B3616" s="136" t="s">
        <v>459</v>
      </c>
      <c r="C3616" s="132" t="s">
        <v>1362</v>
      </c>
      <c r="D3616" s="132" t="s">
        <v>284</v>
      </c>
      <c r="E3616" s="508">
        <v>3.2409999999999997</v>
      </c>
      <c r="F3616" s="508">
        <v>3.234</v>
      </c>
      <c r="G3616" s="508">
        <v>3.2609999999999997</v>
      </c>
      <c r="H3616" s="508">
        <v>1.206</v>
      </c>
      <c r="I3616" s="508">
        <v>1.214</v>
      </c>
      <c r="J3616" s="508">
        <v>1.236</v>
      </c>
      <c r="K3616" s="508">
        <v>1.306</v>
      </c>
      <c r="L3616" s="508">
        <v>1.3069999999999999</v>
      </c>
      <c r="M3616" s="508">
        <v>1.2910000000000001</v>
      </c>
      <c r="N3616" s="508">
        <v>1.29</v>
      </c>
      <c r="O3616" s="508">
        <v>1.2909999999999999</v>
      </c>
      <c r="P3616" s="508">
        <v>1.298</v>
      </c>
      <c r="Q3616" s="508">
        <v>1.29</v>
      </c>
      <c r="R3616" s="508">
        <v>0.89699999999999991</v>
      </c>
      <c r="S3616" s="508">
        <v>0.90499999999999992</v>
      </c>
      <c r="T3616" s="508">
        <v>0.90599999999999992</v>
      </c>
      <c r="U3616" s="508">
        <v>0.89999999999999991</v>
      </c>
      <c r="V3616" s="508">
        <v>0.89699999999999991</v>
      </c>
      <c r="W3616" s="508">
        <v>0.81400000000000006</v>
      </c>
      <c r="X3616" s="508">
        <v>0.81</v>
      </c>
      <c r="Y3616" s="508">
        <v>0.81200000000000006</v>
      </c>
      <c r="Z3616" s="508">
        <v>0.81299999999999994</v>
      </c>
      <c r="AA3616" s="508">
        <v>4.3999999999999997E-2</v>
      </c>
      <c r="AB3616" s="508">
        <v>4.3999999999999997E-2</v>
      </c>
      <c r="AC3616" s="508">
        <v>4.4999999999999998E-2</v>
      </c>
      <c r="AD3616" s="508">
        <v>4.5999999999999999E-2</v>
      </c>
      <c r="AE3616" s="508">
        <v>4.5999999999999999E-2</v>
      </c>
      <c r="AF3616" s="508">
        <v>3.3000000000000002E-2</v>
      </c>
      <c r="AG3616" s="508">
        <v>3.2000000000000001E-2</v>
      </c>
      <c r="AH3616" s="508">
        <v>3.1E-2</v>
      </c>
      <c r="AI3616" s="492">
        <v>3.1E-2</v>
      </c>
      <c r="AJ3616" s="485"/>
    </row>
    <row r="3617" spans="2:36">
      <c r="B3617" s="136" t="s">
        <v>460</v>
      </c>
      <c r="C3617" s="132" t="s">
        <v>1362</v>
      </c>
      <c r="D3617" s="132" t="s">
        <v>284</v>
      </c>
      <c r="E3617" s="508">
        <v>3.2670000000000003</v>
      </c>
      <c r="F3617" s="508">
        <v>3.2600000000000002</v>
      </c>
      <c r="G3617" s="508">
        <v>3.2870000000000004</v>
      </c>
      <c r="H3617" s="508">
        <v>1.23</v>
      </c>
      <c r="I3617" s="508">
        <v>1.238</v>
      </c>
      <c r="J3617" s="508">
        <v>1.26</v>
      </c>
      <c r="K3617" s="508">
        <v>1.331</v>
      </c>
      <c r="L3617" s="508">
        <v>1.3319999999999999</v>
      </c>
      <c r="M3617" s="508">
        <v>1.3160000000000001</v>
      </c>
      <c r="N3617" s="508">
        <v>1.325</v>
      </c>
      <c r="O3617" s="508">
        <v>1.3260000000000001</v>
      </c>
      <c r="P3617" s="508">
        <v>1.3320000000000001</v>
      </c>
      <c r="Q3617" s="508">
        <v>1.325</v>
      </c>
      <c r="R3617" s="508">
        <v>0.93299999999999994</v>
      </c>
      <c r="S3617" s="508">
        <v>0.94099999999999995</v>
      </c>
      <c r="T3617" s="508">
        <v>0.94199999999999995</v>
      </c>
      <c r="U3617" s="508">
        <v>0.93699999999999994</v>
      </c>
      <c r="V3617" s="508">
        <v>0.93299999999999994</v>
      </c>
      <c r="W3617" s="508">
        <v>0.84699999999999998</v>
      </c>
      <c r="X3617" s="508">
        <v>0.84299999999999997</v>
      </c>
      <c r="Y3617" s="508">
        <v>0.84499999999999997</v>
      </c>
      <c r="Z3617" s="508">
        <v>0.84699999999999998</v>
      </c>
      <c r="AA3617" s="508">
        <v>4.5999999999999999E-2</v>
      </c>
      <c r="AB3617" s="508">
        <v>4.5999999999999999E-2</v>
      </c>
      <c r="AC3617" s="508">
        <v>4.7E-2</v>
      </c>
      <c r="AD3617" s="508">
        <v>0.05</v>
      </c>
      <c r="AE3617" s="508">
        <v>0.05</v>
      </c>
      <c r="AF3617" s="508">
        <v>3.7000000000000005E-2</v>
      </c>
      <c r="AG3617" s="508">
        <v>3.6000000000000004E-2</v>
      </c>
      <c r="AH3617" s="508">
        <v>3.5000000000000003E-2</v>
      </c>
      <c r="AI3617" s="492">
        <v>3.5000000000000003E-2</v>
      </c>
      <c r="AJ3617" s="485"/>
    </row>
    <row r="3618" spans="2:36">
      <c r="B3618" s="136" t="s">
        <v>461</v>
      </c>
      <c r="C3618" s="132" t="s">
        <v>1362</v>
      </c>
      <c r="D3618" s="132" t="s">
        <v>284</v>
      </c>
      <c r="E3618" s="508">
        <v>3.2290000000000001</v>
      </c>
      <c r="F3618" s="508">
        <v>3.2229999999999999</v>
      </c>
      <c r="G3618" s="508">
        <v>3.25</v>
      </c>
      <c r="H3618" s="508">
        <v>1.194</v>
      </c>
      <c r="I3618" s="508">
        <v>1.202</v>
      </c>
      <c r="J3618" s="508">
        <v>1.224</v>
      </c>
      <c r="K3618" s="508">
        <v>1.2969999999999999</v>
      </c>
      <c r="L3618" s="508">
        <v>1.2969999999999999</v>
      </c>
      <c r="M3618" s="508">
        <v>1.2809999999999999</v>
      </c>
      <c r="N3618" s="508">
        <v>1.272</v>
      </c>
      <c r="O3618" s="508">
        <v>1.2730000000000001</v>
      </c>
      <c r="P3618" s="508">
        <v>1.278</v>
      </c>
      <c r="Q3618" s="508">
        <v>1.272</v>
      </c>
      <c r="R3618" s="508">
        <v>0.8919999999999999</v>
      </c>
      <c r="S3618" s="508">
        <v>0.89999999999999991</v>
      </c>
      <c r="T3618" s="508">
        <v>0.90099999999999991</v>
      </c>
      <c r="U3618" s="508">
        <v>0.89599999999999991</v>
      </c>
      <c r="V3618" s="508">
        <v>0.8919999999999999</v>
      </c>
      <c r="W3618" s="508">
        <v>0.80899999999999994</v>
      </c>
      <c r="X3618" s="508">
        <v>0.80599999999999994</v>
      </c>
      <c r="Y3618" s="508">
        <v>0.80799999999999994</v>
      </c>
      <c r="Z3618" s="508">
        <v>0.80800000000000005</v>
      </c>
      <c r="AA3618" s="508">
        <v>4.3999999999999997E-2</v>
      </c>
      <c r="AB3618" s="508">
        <v>4.3999999999999997E-2</v>
      </c>
      <c r="AC3618" s="508">
        <v>4.3999999999999997E-2</v>
      </c>
      <c r="AD3618" s="508">
        <v>4.7E-2</v>
      </c>
      <c r="AE3618" s="508">
        <v>4.7E-2</v>
      </c>
      <c r="AF3618" s="508">
        <v>3.3000000000000002E-2</v>
      </c>
      <c r="AG3618" s="508">
        <v>3.2000000000000001E-2</v>
      </c>
      <c r="AH3618" s="508">
        <v>3.1E-2</v>
      </c>
      <c r="AI3618" s="492">
        <v>3.1E-2</v>
      </c>
      <c r="AJ3618" s="485"/>
    </row>
    <row r="3619" spans="2:36">
      <c r="B3619" s="136" t="s">
        <v>462</v>
      </c>
      <c r="C3619" s="132" t="s">
        <v>1362</v>
      </c>
      <c r="D3619" s="132" t="s">
        <v>284</v>
      </c>
      <c r="E3619" s="508">
        <v>3.2170000000000001</v>
      </c>
      <c r="F3619" s="508">
        <v>3.21</v>
      </c>
      <c r="G3619" s="508">
        <v>3.2370000000000001</v>
      </c>
      <c r="H3619" s="508">
        <v>1.19</v>
      </c>
      <c r="I3619" s="508">
        <v>1.198</v>
      </c>
      <c r="J3619" s="508">
        <v>1.2189999999999999</v>
      </c>
      <c r="K3619" s="508">
        <v>1.2949999999999999</v>
      </c>
      <c r="L3619" s="508">
        <v>1.296</v>
      </c>
      <c r="M3619" s="508">
        <v>1.28</v>
      </c>
      <c r="N3619" s="508">
        <v>1.268</v>
      </c>
      <c r="O3619" s="508">
        <v>1.2689999999999999</v>
      </c>
      <c r="P3619" s="508">
        <v>1.274</v>
      </c>
      <c r="Q3619" s="508">
        <v>1.268</v>
      </c>
      <c r="R3619" s="508">
        <v>0.89800000000000002</v>
      </c>
      <c r="S3619" s="508">
        <v>0.90600000000000003</v>
      </c>
      <c r="T3619" s="508">
        <v>0.90700000000000003</v>
      </c>
      <c r="U3619" s="508">
        <v>0.90200000000000002</v>
      </c>
      <c r="V3619" s="508">
        <v>0.89800000000000002</v>
      </c>
      <c r="W3619" s="508">
        <v>0.81499999999999995</v>
      </c>
      <c r="X3619" s="508">
        <v>0.81099999999999994</v>
      </c>
      <c r="Y3619" s="508">
        <v>0.81299999999999994</v>
      </c>
      <c r="Z3619" s="508">
        <v>0.81499999999999995</v>
      </c>
      <c r="AA3619" s="508">
        <v>4.4999999999999998E-2</v>
      </c>
      <c r="AB3619" s="508">
        <v>4.4999999999999998E-2</v>
      </c>
      <c r="AC3619" s="508">
        <v>4.5999999999999999E-2</v>
      </c>
      <c r="AD3619" s="508">
        <v>4.8000000000000001E-2</v>
      </c>
      <c r="AE3619" s="508">
        <v>4.8000000000000001E-2</v>
      </c>
      <c r="AF3619" s="508">
        <v>3.5000000000000003E-2</v>
      </c>
      <c r="AG3619" s="508">
        <v>3.4000000000000002E-2</v>
      </c>
      <c r="AH3619" s="508">
        <v>3.3000000000000002E-2</v>
      </c>
      <c r="AI3619" s="492">
        <v>3.3000000000000002E-2</v>
      </c>
      <c r="AJ3619" s="485"/>
    </row>
    <row r="3620" spans="2:36">
      <c r="B3620" s="136" t="s">
        <v>463</v>
      </c>
      <c r="C3620" s="132" t="s">
        <v>1362</v>
      </c>
      <c r="D3620" s="132" t="s">
        <v>284</v>
      </c>
      <c r="E3620" s="508">
        <v>3.169</v>
      </c>
      <c r="F3620" s="508">
        <v>3.1619999999999999</v>
      </c>
      <c r="G3620" s="508">
        <v>3.1890000000000001</v>
      </c>
      <c r="H3620" s="508">
        <v>1.175</v>
      </c>
      <c r="I3620" s="508">
        <v>1.1830000000000001</v>
      </c>
      <c r="J3620" s="508">
        <v>1.2010000000000001</v>
      </c>
      <c r="K3620" s="508">
        <v>1.2850000000000001</v>
      </c>
      <c r="L3620" s="508">
        <v>1.286</v>
      </c>
      <c r="M3620" s="508">
        <v>1.268</v>
      </c>
      <c r="N3620" s="508">
        <v>1.2629999999999999</v>
      </c>
      <c r="O3620" s="508">
        <v>1.2639999999999998</v>
      </c>
      <c r="P3620" s="508">
        <v>1.2679999999999998</v>
      </c>
      <c r="Q3620" s="508">
        <v>1.2629999999999999</v>
      </c>
      <c r="R3620" s="508">
        <v>0.88800000000000001</v>
      </c>
      <c r="S3620" s="508">
        <v>0.89600000000000002</v>
      </c>
      <c r="T3620" s="508">
        <v>0.89700000000000002</v>
      </c>
      <c r="U3620" s="508">
        <v>0.89100000000000001</v>
      </c>
      <c r="V3620" s="508">
        <v>0.88800000000000001</v>
      </c>
      <c r="W3620" s="508">
        <v>0.80599999999999994</v>
      </c>
      <c r="X3620" s="508">
        <v>0.80199999999999994</v>
      </c>
      <c r="Y3620" s="508">
        <v>0.80399999999999994</v>
      </c>
      <c r="Z3620" s="508">
        <v>0.80499999999999994</v>
      </c>
      <c r="AA3620" s="508">
        <v>4.4999999999999998E-2</v>
      </c>
      <c r="AB3620" s="508">
        <v>4.4999999999999998E-2</v>
      </c>
      <c r="AC3620" s="508">
        <v>4.4999999999999998E-2</v>
      </c>
      <c r="AD3620" s="508">
        <v>4.8999999999999995E-2</v>
      </c>
      <c r="AE3620" s="508">
        <v>4.8999999999999995E-2</v>
      </c>
      <c r="AF3620" s="508">
        <v>3.5999999999999997E-2</v>
      </c>
      <c r="AG3620" s="508">
        <v>3.4999999999999996E-2</v>
      </c>
      <c r="AH3620" s="508">
        <v>3.4000000000000002E-2</v>
      </c>
      <c r="AI3620" s="492">
        <v>3.4000000000000002E-2</v>
      </c>
      <c r="AJ3620" s="485"/>
    </row>
    <row r="3621" spans="2:36">
      <c r="B3621" s="136" t="s">
        <v>464</v>
      </c>
      <c r="C3621" s="132" t="s">
        <v>1362</v>
      </c>
      <c r="D3621" s="132" t="s">
        <v>284</v>
      </c>
      <c r="E3621" s="508">
        <v>3.18</v>
      </c>
      <c r="F3621" s="508">
        <v>3.1739999999999999</v>
      </c>
      <c r="G3621" s="508">
        <v>3.2</v>
      </c>
      <c r="H3621" s="508">
        <v>1.1960000000000002</v>
      </c>
      <c r="I3621" s="508">
        <v>1.2029999999999998</v>
      </c>
      <c r="J3621" s="508">
        <v>1.2229999999999999</v>
      </c>
      <c r="K3621" s="508">
        <v>1.31</v>
      </c>
      <c r="L3621" s="508">
        <v>1.3109999999999999</v>
      </c>
      <c r="M3621" s="508">
        <v>1.294</v>
      </c>
      <c r="N3621" s="508">
        <v>1.3</v>
      </c>
      <c r="O3621" s="508">
        <v>1.3009999999999999</v>
      </c>
      <c r="P3621" s="508">
        <v>1.3049999999999999</v>
      </c>
      <c r="Q3621" s="508">
        <v>1.3</v>
      </c>
      <c r="R3621" s="508">
        <v>0.93199999999999994</v>
      </c>
      <c r="S3621" s="508">
        <v>0.94</v>
      </c>
      <c r="T3621" s="508">
        <v>0.94100000000000006</v>
      </c>
      <c r="U3621" s="508">
        <v>0.93599999999999994</v>
      </c>
      <c r="V3621" s="508">
        <v>0.93300000000000005</v>
      </c>
      <c r="W3621" s="508">
        <v>0.84600000000000009</v>
      </c>
      <c r="X3621" s="508">
        <v>0.84200000000000008</v>
      </c>
      <c r="Y3621" s="508">
        <v>0.84400000000000008</v>
      </c>
      <c r="Z3621" s="508">
        <v>0.84500000000000008</v>
      </c>
      <c r="AA3621" s="508">
        <v>4.8000000000000001E-2</v>
      </c>
      <c r="AB3621" s="508">
        <v>4.7E-2</v>
      </c>
      <c r="AC3621" s="508">
        <v>4.8000000000000001E-2</v>
      </c>
      <c r="AD3621" s="508">
        <v>5.5999999999999994E-2</v>
      </c>
      <c r="AE3621" s="508">
        <v>5.5000000000000007E-2</v>
      </c>
      <c r="AF3621" s="508">
        <v>4.2999999999999997E-2</v>
      </c>
      <c r="AG3621" s="508">
        <v>4.1999999999999996E-2</v>
      </c>
      <c r="AH3621" s="508">
        <v>4.1000000000000002E-2</v>
      </c>
      <c r="AI3621" s="492">
        <v>4.1000000000000002E-2</v>
      </c>
      <c r="AJ3621" s="485"/>
    </row>
    <row r="3622" spans="2:36">
      <c r="B3622" s="136" t="s">
        <v>465</v>
      </c>
      <c r="C3622" s="132" t="s">
        <v>1362</v>
      </c>
      <c r="D3622" s="132" t="s">
        <v>284</v>
      </c>
      <c r="E3622" s="508">
        <v>3.2030000000000003</v>
      </c>
      <c r="F3622" s="508">
        <v>3.1970000000000001</v>
      </c>
      <c r="G3622" s="508">
        <v>3.2240000000000002</v>
      </c>
      <c r="H3622" s="508">
        <v>1.2110000000000001</v>
      </c>
      <c r="I3622" s="508">
        <v>1.2190000000000001</v>
      </c>
      <c r="J3622" s="508">
        <v>1.2370000000000001</v>
      </c>
      <c r="K3622" s="508">
        <v>1.3220000000000001</v>
      </c>
      <c r="L3622" s="508">
        <v>1.3230000000000002</v>
      </c>
      <c r="M3622" s="508">
        <v>1.306</v>
      </c>
      <c r="N3622" s="508">
        <v>1.319</v>
      </c>
      <c r="O3622" s="508">
        <v>1.3199999999999998</v>
      </c>
      <c r="P3622" s="508">
        <v>1.3239999999999998</v>
      </c>
      <c r="Q3622" s="508">
        <v>1.319</v>
      </c>
      <c r="R3622" s="508">
        <v>0.94100000000000006</v>
      </c>
      <c r="S3622" s="508">
        <v>0.94800000000000006</v>
      </c>
      <c r="T3622" s="508">
        <v>0.95000000000000007</v>
      </c>
      <c r="U3622" s="508">
        <v>0.94400000000000006</v>
      </c>
      <c r="V3622" s="508">
        <v>0.94100000000000006</v>
      </c>
      <c r="W3622" s="508">
        <v>0.85299999999999998</v>
      </c>
      <c r="X3622" s="508">
        <v>0.85</v>
      </c>
      <c r="Y3622" s="508">
        <v>0.85199999999999998</v>
      </c>
      <c r="Z3622" s="508">
        <v>0.85299999999999998</v>
      </c>
      <c r="AA3622" s="508">
        <v>4.8000000000000001E-2</v>
      </c>
      <c r="AB3622" s="508">
        <v>4.8000000000000001E-2</v>
      </c>
      <c r="AC3622" s="508">
        <v>4.8000000000000001E-2</v>
      </c>
      <c r="AD3622" s="508">
        <v>5.4999999999999993E-2</v>
      </c>
      <c r="AE3622" s="508">
        <v>5.4999999999999993E-2</v>
      </c>
      <c r="AF3622" s="508">
        <v>4.1999999999999996E-2</v>
      </c>
      <c r="AG3622" s="508">
        <v>4.0999999999999995E-2</v>
      </c>
      <c r="AH3622" s="508">
        <v>0.04</v>
      </c>
      <c r="AI3622" s="492">
        <v>0.04</v>
      </c>
      <c r="AJ3622" s="485"/>
    </row>
    <row r="3623" spans="2:36">
      <c r="B3623" s="136" t="s">
        <v>466</v>
      </c>
      <c r="C3623" s="132" t="s">
        <v>1362</v>
      </c>
      <c r="D3623" s="132" t="s">
        <v>284</v>
      </c>
      <c r="E3623" s="508">
        <v>3.339</v>
      </c>
      <c r="F3623" s="508">
        <v>3.3319999999999999</v>
      </c>
      <c r="G3623" s="508">
        <v>3.359</v>
      </c>
      <c r="H3623" s="508">
        <v>1.272</v>
      </c>
      <c r="I3623" s="508">
        <v>1.2810000000000001</v>
      </c>
      <c r="J3623" s="508">
        <v>1.304</v>
      </c>
      <c r="K3623" s="508">
        <v>1.3660000000000001</v>
      </c>
      <c r="L3623" s="508">
        <v>1.367</v>
      </c>
      <c r="M3623" s="508">
        <v>1.3520000000000001</v>
      </c>
      <c r="N3623" s="508">
        <v>1.375</v>
      </c>
      <c r="O3623" s="508">
        <v>1.377</v>
      </c>
      <c r="P3623" s="508">
        <v>1.383</v>
      </c>
      <c r="Q3623" s="508">
        <v>1.375</v>
      </c>
      <c r="R3623" s="508">
        <v>0.96699999999999997</v>
      </c>
      <c r="S3623" s="508">
        <v>0.97599999999999998</v>
      </c>
      <c r="T3623" s="508">
        <v>0.97599999999999998</v>
      </c>
      <c r="U3623" s="508">
        <v>0.97099999999999997</v>
      </c>
      <c r="V3623" s="508">
        <v>0.96799999999999997</v>
      </c>
      <c r="W3623" s="508">
        <v>0.878</v>
      </c>
      <c r="X3623" s="508">
        <v>0.873</v>
      </c>
      <c r="Y3623" s="508">
        <v>0.876</v>
      </c>
      <c r="Z3623" s="508">
        <v>0.877</v>
      </c>
      <c r="AA3623" s="508">
        <v>4.8000000000000001E-2</v>
      </c>
      <c r="AB3623" s="508">
        <v>4.8000000000000001E-2</v>
      </c>
      <c r="AC3623" s="508">
        <v>4.8000000000000001E-2</v>
      </c>
      <c r="AD3623" s="508">
        <v>5.2000000000000005E-2</v>
      </c>
      <c r="AE3623" s="508">
        <v>5.2000000000000005E-2</v>
      </c>
      <c r="AF3623" s="508">
        <v>3.7999999999999999E-2</v>
      </c>
      <c r="AG3623" s="508">
        <v>3.7000000000000005E-2</v>
      </c>
      <c r="AH3623" s="508">
        <v>3.6000000000000004E-2</v>
      </c>
      <c r="AI3623" s="492">
        <v>3.6000000000000004E-2</v>
      </c>
      <c r="AJ3623" s="485"/>
    </row>
    <row r="3624" spans="2:36">
      <c r="B3624" s="136" t="s">
        <v>467</v>
      </c>
      <c r="C3624" s="132" t="s">
        <v>1362</v>
      </c>
      <c r="D3624" s="132" t="s">
        <v>284</v>
      </c>
      <c r="E3624" s="508">
        <v>3.222</v>
      </c>
      <c r="F3624" s="508">
        <v>3.2160000000000002</v>
      </c>
      <c r="G3624" s="508">
        <v>3.2429999999999999</v>
      </c>
      <c r="H3624" s="508">
        <v>1.194</v>
      </c>
      <c r="I3624" s="508">
        <v>1.2010000000000001</v>
      </c>
      <c r="J3624" s="508">
        <v>1.222</v>
      </c>
      <c r="K3624" s="508">
        <v>1.2970000000000002</v>
      </c>
      <c r="L3624" s="508">
        <v>1.2970000000000002</v>
      </c>
      <c r="M3624" s="508">
        <v>1.2810000000000001</v>
      </c>
      <c r="N3624" s="508">
        <v>1.272</v>
      </c>
      <c r="O3624" s="508">
        <v>1.274</v>
      </c>
      <c r="P3624" s="508">
        <v>1.2789999999999999</v>
      </c>
      <c r="Q3624" s="508">
        <v>1.272</v>
      </c>
      <c r="R3624" s="508">
        <v>0.89600000000000002</v>
      </c>
      <c r="S3624" s="508">
        <v>0.90399999999999991</v>
      </c>
      <c r="T3624" s="508">
        <v>0.90499999999999992</v>
      </c>
      <c r="U3624" s="508">
        <v>0.89900000000000002</v>
      </c>
      <c r="V3624" s="508">
        <v>0.89600000000000002</v>
      </c>
      <c r="W3624" s="508">
        <v>0.81199999999999994</v>
      </c>
      <c r="X3624" s="508">
        <v>0.80799999999999994</v>
      </c>
      <c r="Y3624" s="508">
        <v>0.80999999999999994</v>
      </c>
      <c r="Z3624" s="508">
        <v>0.81199999999999994</v>
      </c>
      <c r="AA3624" s="508">
        <v>4.4999999999999998E-2</v>
      </c>
      <c r="AB3624" s="508">
        <v>4.3999999999999997E-2</v>
      </c>
      <c r="AC3624" s="508">
        <v>4.4999999999999998E-2</v>
      </c>
      <c r="AD3624" s="508">
        <v>4.8000000000000001E-2</v>
      </c>
      <c r="AE3624" s="508">
        <v>4.7E-2</v>
      </c>
      <c r="AF3624" s="508">
        <v>3.4000000000000002E-2</v>
      </c>
      <c r="AG3624" s="508">
        <v>3.3000000000000002E-2</v>
      </c>
      <c r="AH3624" s="508">
        <v>3.2000000000000001E-2</v>
      </c>
      <c r="AI3624" s="492">
        <v>3.2000000000000001E-2</v>
      </c>
      <c r="AJ3624" s="485"/>
    </row>
    <row r="3625" spans="2:36">
      <c r="B3625" s="136" t="s">
        <v>468</v>
      </c>
      <c r="C3625" s="132" t="s">
        <v>1362</v>
      </c>
      <c r="D3625" s="132" t="s">
        <v>284</v>
      </c>
      <c r="E3625" s="508">
        <v>3.1790000000000003</v>
      </c>
      <c r="F3625" s="508">
        <v>3.1720000000000002</v>
      </c>
      <c r="G3625" s="508">
        <v>3.1990000000000003</v>
      </c>
      <c r="H3625" s="508">
        <v>1.2109999999999999</v>
      </c>
      <c r="I3625" s="508">
        <v>1.218</v>
      </c>
      <c r="J3625" s="508">
        <v>1.2360000000000002</v>
      </c>
      <c r="K3625" s="508">
        <v>1.3260000000000001</v>
      </c>
      <c r="L3625" s="508">
        <v>1.327</v>
      </c>
      <c r="M3625" s="508">
        <v>1.3090000000000002</v>
      </c>
      <c r="N3625" s="508">
        <v>1.3310000000000002</v>
      </c>
      <c r="O3625" s="508">
        <v>1.3310000000000002</v>
      </c>
      <c r="P3625" s="508">
        <v>1.3360000000000001</v>
      </c>
      <c r="Q3625" s="508">
        <v>1.3310000000000002</v>
      </c>
      <c r="R3625" s="508">
        <v>0.95299999999999996</v>
      </c>
      <c r="S3625" s="508">
        <v>0.96</v>
      </c>
      <c r="T3625" s="508">
        <v>0.96099999999999997</v>
      </c>
      <c r="U3625" s="508">
        <v>0.95699999999999996</v>
      </c>
      <c r="V3625" s="508">
        <v>0.95399999999999996</v>
      </c>
      <c r="W3625" s="508">
        <v>0.8640000000000001</v>
      </c>
      <c r="X3625" s="508">
        <v>0.8600000000000001</v>
      </c>
      <c r="Y3625" s="508">
        <v>0.86299999999999999</v>
      </c>
      <c r="Z3625" s="508">
        <v>0.8640000000000001</v>
      </c>
      <c r="AA3625" s="508">
        <v>4.9000000000000002E-2</v>
      </c>
      <c r="AB3625" s="508">
        <v>4.9000000000000002E-2</v>
      </c>
      <c r="AC3625" s="508">
        <v>4.9000000000000002E-2</v>
      </c>
      <c r="AD3625" s="508">
        <v>5.8000000000000003E-2</v>
      </c>
      <c r="AE3625" s="508">
        <v>5.8000000000000003E-2</v>
      </c>
      <c r="AF3625" s="508">
        <v>4.5999999999999999E-2</v>
      </c>
      <c r="AG3625" s="508">
        <v>4.4999999999999998E-2</v>
      </c>
      <c r="AH3625" s="508">
        <v>4.3999999999999997E-2</v>
      </c>
      <c r="AI3625" s="492">
        <v>4.3999999999999997E-2</v>
      </c>
      <c r="AJ3625" s="485"/>
    </row>
    <row r="3626" spans="2:36">
      <c r="B3626" s="136" t="s">
        <v>469</v>
      </c>
      <c r="C3626" s="132" t="s">
        <v>1362</v>
      </c>
      <c r="D3626" s="132" t="s">
        <v>284</v>
      </c>
      <c r="E3626" s="508">
        <v>3.2160000000000002</v>
      </c>
      <c r="F3626" s="508">
        <v>3.2100000000000004</v>
      </c>
      <c r="G3626" s="508">
        <v>3.2360000000000002</v>
      </c>
      <c r="H3626" s="508">
        <v>1.2130000000000001</v>
      </c>
      <c r="I3626" s="508">
        <v>1.2210000000000001</v>
      </c>
      <c r="J3626" s="508">
        <v>1.2409999999999999</v>
      </c>
      <c r="K3626" s="508">
        <v>1.3220000000000001</v>
      </c>
      <c r="L3626" s="508">
        <v>1.323</v>
      </c>
      <c r="M3626" s="508">
        <v>1.306</v>
      </c>
      <c r="N3626" s="508">
        <v>1.3169999999999999</v>
      </c>
      <c r="O3626" s="508">
        <v>1.3180000000000001</v>
      </c>
      <c r="P3626" s="508">
        <v>1.323</v>
      </c>
      <c r="Q3626" s="508">
        <v>1.3169999999999999</v>
      </c>
      <c r="R3626" s="508">
        <v>0.93900000000000006</v>
      </c>
      <c r="S3626" s="508">
        <v>0.94600000000000006</v>
      </c>
      <c r="T3626" s="508">
        <v>0.94700000000000006</v>
      </c>
      <c r="U3626" s="508">
        <v>0.94200000000000006</v>
      </c>
      <c r="V3626" s="508">
        <v>0.94000000000000006</v>
      </c>
      <c r="W3626" s="508">
        <v>0.85099999999999998</v>
      </c>
      <c r="X3626" s="508">
        <v>0.84699999999999998</v>
      </c>
      <c r="Y3626" s="508">
        <v>0.84899999999999998</v>
      </c>
      <c r="Z3626" s="508">
        <v>0.85099999999999998</v>
      </c>
      <c r="AA3626" s="508">
        <v>4.8000000000000001E-2</v>
      </c>
      <c r="AB3626" s="508">
        <v>4.7E-2</v>
      </c>
      <c r="AC3626" s="508">
        <v>4.8000000000000001E-2</v>
      </c>
      <c r="AD3626" s="508">
        <v>5.4999999999999993E-2</v>
      </c>
      <c r="AE3626" s="508">
        <v>5.3999999999999992E-2</v>
      </c>
      <c r="AF3626" s="508">
        <v>4.1999999999999996E-2</v>
      </c>
      <c r="AG3626" s="508">
        <v>4.0999999999999995E-2</v>
      </c>
      <c r="AH3626" s="508">
        <v>3.9999999999999994E-2</v>
      </c>
      <c r="AI3626" s="492">
        <v>3.9999999999999994E-2</v>
      </c>
      <c r="AJ3626" s="485"/>
    </row>
    <row r="3627" spans="2:36">
      <c r="B3627" s="136" t="s">
        <v>470</v>
      </c>
      <c r="C3627" s="132" t="s">
        <v>1362</v>
      </c>
      <c r="D3627" s="132" t="s">
        <v>284</v>
      </c>
      <c r="E3627" s="508">
        <v>3.2809999999999997</v>
      </c>
      <c r="F3627" s="508">
        <v>3.274</v>
      </c>
      <c r="G3627" s="508">
        <v>3.3009999999999997</v>
      </c>
      <c r="H3627" s="508">
        <v>1.2230000000000001</v>
      </c>
      <c r="I3627" s="508">
        <v>1.232</v>
      </c>
      <c r="J3627" s="508">
        <v>1.2550000000000001</v>
      </c>
      <c r="K3627" s="508">
        <v>1.319</v>
      </c>
      <c r="L3627" s="508">
        <v>1.32</v>
      </c>
      <c r="M3627" s="508">
        <v>1.3049999999999999</v>
      </c>
      <c r="N3627" s="508">
        <v>1.3050000000000002</v>
      </c>
      <c r="O3627" s="508">
        <v>1.306</v>
      </c>
      <c r="P3627" s="508">
        <v>1.3120000000000001</v>
      </c>
      <c r="Q3627" s="508">
        <v>1.304</v>
      </c>
      <c r="R3627" s="508">
        <v>0.90700000000000003</v>
      </c>
      <c r="S3627" s="508">
        <v>0.91599999999999993</v>
      </c>
      <c r="T3627" s="508">
        <v>0.91700000000000004</v>
      </c>
      <c r="U3627" s="508">
        <v>0.91100000000000003</v>
      </c>
      <c r="V3627" s="508">
        <v>0.90799999999999992</v>
      </c>
      <c r="W3627" s="508">
        <v>0.82300000000000006</v>
      </c>
      <c r="X3627" s="508">
        <v>0.81900000000000006</v>
      </c>
      <c r="Y3627" s="508">
        <v>0.82100000000000006</v>
      </c>
      <c r="Z3627" s="508">
        <v>0.82300000000000006</v>
      </c>
      <c r="AA3627" s="508">
        <v>4.4000000000000004E-2</v>
      </c>
      <c r="AB3627" s="508">
        <v>4.4000000000000004E-2</v>
      </c>
      <c r="AC3627" s="508">
        <v>4.5000000000000005E-2</v>
      </c>
      <c r="AD3627" s="508">
        <v>4.5999999999999999E-2</v>
      </c>
      <c r="AE3627" s="508">
        <v>4.5999999999999999E-2</v>
      </c>
      <c r="AF3627" s="508">
        <v>3.2000000000000001E-2</v>
      </c>
      <c r="AG3627" s="508">
        <v>3.1E-2</v>
      </c>
      <c r="AH3627" s="508">
        <v>0.03</v>
      </c>
      <c r="AI3627" s="492">
        <v>0.03</v>
      </c>
      <c r="AJ3627" s="485"/>
    </row>
    <row r="3628" spans="2:36">
      <c r="B3628" s="136" t="s">
        <v>471</v>
      </c>
      <c r="C3628" s="132" t="s">
        <v>1362</v>
      </c>
      <c r="D3628" s="132" t="s">
        <v>284</v>
      </c>
      <c r="E3628" s="508">
        <v>3.2550000000000003</v>
      </c>
      <c r="F3628" s="508">
        <v>3.2480000000000002</v>
      </c>
      <c r="G3628" s="508">
        <v>3.2750000000000004</v>
      </c>
      <c r="H3628" s="508">
        <v>1.206</v>
      </c>
      <c r="I3628" s="508">
        <v>1.2149999999999999</v>
      </c>
      <c r="J3628" s="508">
        <v>1.2369999999999999</v>
      </c>
      <c r="K3628" s="508">
        <v>1.3059999999999998</v>
      </c>
      <c r="L3628" s="508">
        <v>1.3069999999999999</v>
      </c>
      <c r="M3628" s="508">
        <v>1.2909999999999999</v>
      </c>
      <c r="N3628" s="508">
        <v>1.2830000000000001</v>
      </c>
      <c r="O3628" s="508">
        <v>1.284</v>
      </c>
      <c r="P3628" s="508">
        <v>1.29</v>
      </c>
      <c r="Q3628" s="508">
        <v>1.2830000000000001</v>
      </c>
      <c r="R3628" s="508">
        <v>0.89900000000000002</v>
      </c>
      <c r="S3628" s="508">
        <v>0.90700000000000003</v>
      </c>
      <c r="T3628" s="508">
        <v>0.90799999999999992</v>
      </c>
      <c r="U3628" s="508">
        <v>0.90300000000000002</v>
      </c>
      <c r="V3628" s="508">
        <v>0.89900000000000002</v>
      </c>
      <c r="W3628" s="508">
        <v>0.81499999999999995</v>
      </c>
      <c r="X3628" s="508">
        <v>0.81200000000000006</v>
      </c>
      <c r="Y3628" s="508">
        <v>0.81400000000000006</v>
      </c>
      <c r="Z3628" s="508">
        <v>0.81499999999999995</v>
      </c>
      <c r="AA3628" s="508">
        <v>4.4999999999999998E-2</v>
      </c>
      <c r="AB3628" s="508">
        <v>4.3999999999999997E-2</v>
      </c>
      <c r="AC3628" s="508">
        <v>4.4999999999999998E-2</v>
      </c>
      <c r="AD3628" s="508">
        <v>4.5999999999999999E-2</v>
      </c>
      <c r="AE3628" s="508">
        <v>4.5999999999999999E-2</v>
      </c>
      <c r="AF3628" s="508">
        <v>3.3000000000000002E-2</v>
      </c>
      <c r="AG3628" s="508">
        <v>3.2000000000000001E-2</v>
      </c>
      <c r="AH3628" s="508">
        <v>3.1E-2</v>
      </c>
      <c r="AI3628" s="492">
        <v>3.1E-2</v>
      </c>
      <c r="AJ3628" s="485"/>
    </row>
    <row r="3629" spans="2:36">
      <c r="B3629" s="136" t="s">
        <v>472</v>
      </c>
      <c r="C3629" s="132" t="s">
        <v>1362</v>
      </c>
      <c r="D3629" s="132" t="s">
        <v>284</v>
      </c>
      <c r="E3629" s="508">
        <v>3.177</v>
      </c>
      <c r="F3629" s="508">
        <v>3.17</v>
      </c>
      <c r="G3629" s="508">
        <v>3.1970000000000001</v>
      </c>
      <c r="H3629" s="508">
        <v>1.1859999999999999</v>
      </c>
      <c r="I3629" s="508">
        <v>1.1930000000000001</v>
      </c>
      <c r="J3629" s="508">
        <v>1.2120000000000002</v>
      </c>
      <c r="K3629" s="508">
        <v>1.2989999999999999</v>
      </c>
      <c r="L3629" s="508">
        <v>1.2989999999999999</v>
      </c>
      <c r="M3629" s="508">
        <v>1.2810000000000001</v>
      </c>
      <c r="N3629" s="508">
        <v>1.28</v>
      </c>
      <c r="O3629" s="508">
        <v>1.2810000000000001</v>
      </c>
      <c r="P3629" s="508">
        <v>1.2850000000000001</v>
      </c>
      <c r="Q3629" s="508">
        <v>1.28</v>
      </c>
      <c r="R3629" s="508">
        <v>0.91500000000000004</v>
      </c>
      <c r="S3629" s="508">
        <v>0.92200000000000004</v>
      </c>
      <c r="T3629" s="508">
        <v>0.92300000000000004</v>
      </c>
      <c r="U3629" s="508">
        <v>0.91900000000000004</v>
      </c>
      <c r="V3629" s="508">
        <v>0.91600000000000004</v>
      </c>
      <c r="W3629" s="508">
        <v>0.83</v>
      </c>
      <c r="X3629" s="508">
        <v>0.82600000000000007</v>
      </c>
      <c r="Y3629" s="508">
        <v>0.82899999999999996</v>
      </c>
      <c r="Z3629" s="508">
        <v>0.83</v>
      </c>
      <c r="AA3629" s="508">
        <v>4.7E-2</v>
      </c>
      <c r="AB3629" s="508">
        <v>4.7E-2</v>
      </c>
      <c r="AC3629" s="508">
        <v>4.7E-2</v>
      </c>
      <c r="AD3629" s="508">
        <v>5.2999999999999999E-2</v>
      </c>
      <c r="AE3629" s="508">
        <v>5.2999999999999999E-2</v>
      </c>
      <c r="AF3629" s="508">
        <v>0.04</v>
      </c>
      <c r="AG3629" s="508">
        <v>3.9E-2</v>
      </c>
      <c r="AH3629" s="508">
        <v>3.8000000000000006E-2</v>
      </c>
      <c r="AI3629" s="492">
        <v>3.8000000000000006E-2</v>
      </c>
      <c r="AJ3629" s="485"/>
    </row>
    <row r="3630" spans="2:36">
      <c r="B3630" s="136" t="s">
        <v>473</v>
      </c>
      <c r="C3630" s="132" t="s">
        <v>1362</v>
      </c>
      <c r="D3630" s="132" t="s">
        <v>284</v>
      </c>
      <c r="E3630" s="508">
        <v>3.298</v>
      </c>
      <c r="F3630" s="508">
        <v>3.2909999999999999</v>
      </c>
      <c r="G3630" s="508">
        <v>3.3180000000000001</v>
      </c>
      <c r="H3630" s="508">
        <v>1.236</v>
      </c>
      <c r="I3630" s="508">
        <v>1.2449999999999999</v>
      </c>
      <c r="J3630" s="508">
        <v>1.268</v>
      </c>
      <c r="K3630" s="508">
        <v>1.3319999999999999</v>
      </c>
      <c r="L3630" s="508">
        <v>1.333</v>
      </c>
      <c r="M3630" s="508">
        <v>1.3179999999999998</v>
      </c>
      <c r="N3630" s="508">
        <v>1.3230000000000002</v>
      </c>
      <c r="O3630" s="508">
        <v>1.3240000000000001</v>
      </c>
      <c r="P3630" s="508">
        <v>1.33</v>
      </c>
      <c r="Q3630" s="508">
        <v>1.3230000000000002</v>
      </c>
      <c r="R3630" s="508">
        <v>0.92699999999999994</v>
      </c>
      <c r="S3630" s="508">
        <v>0.93499999999999994</v>
      </c>
      <c r="T3630" s="508">
        <v>0.93699999999999994</v>
      </c>
      <c r="U3630" s="508">
        <v>0.93099999999999994</v>
      </c>
      <c r="V3630" s="508">
        <v>0.92699999999999994</v>
      </c>
      <c r="W3630" s="508">
        <v>0.84199999999999997</v>
      </c>
      <c r="X3630" s="508">
        <v>0.83699999999999997</v>
      </c>
      <c r="Y3630" s="508">
        <v>0.84</v>
      </c>
      <c r="Z3630" s="508">
        <v>0.84099999999999997</v>
      </c>
      <c r="AA3630" s="508">
        <v>4.4999999999999998E-2</v>
      </c>
      <c r="AB3630" s="508">
        <v>4.4999999999999998E-2</v>
      </c>
      <c r="AC3630" s="508">
        <v>4.5999999999999999E-2</v>
      </c>
      <c r="AD3630" s="508">
        <v>4.8000000000000001E-2</v>
      </c>
      <c r="AE3630" s="508">
        <v>4.8000000000000001E-2</v>
      </c>
      <c r="AF3630" s="508">
        <v>3.4000000000000002E-2</v>
      </c>
      <c r="AG3630" s="508">
        <v>3.3000000000000002E-2</v>
      </c>
      <c r="AH3630" s="508">
        <v>3.2000000000000001E-2</v>
      </c>
      <c r="AI3630" s="492">
        <v>3.2000000000000001E-2</v>
      </c>
      <c r="AJ3630" s="485"/>
    </row>
    <row r="3631" spans="2:36">
      <c r="B3631" s="136" t="s">
        <v>474</v>
      </c>
      <c r="C3631" s="132" t="s">
        <v>1362</v>
      </c>
      <c r="D3631" s="132" t="s">
        <v>284</v>
      </c>
      <c r="E3631" s="508">
        <v>3.2440000000000002</v>
      </c>
      <c r="F3631" s="508">
        <v>3.238</v>
      </c>
      <c r="G3631" s="508">
        <v>3.2650000000000001</v>
      </c>
      <c r="H3631" s="508">
        <v>1.214</v>
      </c>
      <c r="I3631" s="508">
        <v>1.222</v>
      </c>
      <c r="J3631" s="508">
        <v>1.244</v>
      </c>
      <c r="K3631" s="508">
        <v>1.3169999999999999</v>
      </c>
      <c r="L3631" s="508">
        <v>1.3180000000000001</v>
      </c>
      <c r="M3631" s="508">
        <v>1.302</v>
      </c>
      <c r="N3631" s="508">
        <v>1.3050000000000002</v>
      </c>
      <c r="O3631" s="508">
        <v>1.306</v>
      </c>
      <c r="P3631" s="508">
        <v>1.3110000000000002</v>
      </c>
      <c r="Q3631" s="508">
        <v>1.3050000000000002</v>
      </c>
      <c r="R3631" s="508">
        <v>0.92200000000000004</v>
      </c>
      <c r="S3631" s="508">
        <v>0.92999999999999994</v>
      </c>
      <c r="T3631" s="508">
        <v>0.92999999999999994</v>
      </c>
      <c r="U3631" s="508">
        <v>0.92599999999999993</v>
      </c>
      <c r="V3631" s="508">
        <v>0.92200000000000004</v>
      </c>
      <c r="W3631" s="508">
        <v>0.83599999999999997</v>
      </c>
      <c r="X3631" s="508">
        <v>0.83199999999999996</v>
      </c>
      <c r="Y3631" s="508">
        <v>0.83399999999999996</v>
      </c>
      <c r="Z3631" s="508">
        <v>0.83599999999999997</v>
      </c>
      <c r="AA3631" s="508">
        <v>4.5999999999999999E-2</v>
      </c>
      <c r="AB3631" s="508">
        <v>4.5999999999999999E-2</v>
      </c>
      <c r="AC3631" s="508">
        <v>4.5999999999999999E-2</v>
      </c>
      <c r="AD3631" s="508">
        <v>0.05</v>
      </c>
      <c r="AE3631" s="508">
        <v>0.05</v>
      </c>
      <c r="AF3631" s="508">
        <v>3.6000000000000004E-2</v>
      </c>
      <c r="AG3631" s="508">
        <v>3.5000000000000003E-2</v>
      </c>
      <c r="AH3631" s="508">
        <v>3.4000000000000002E-2</v>
      </c>
      <c r="AI3631" s="492">
        <v>3.4000000000000002E-2</v>
      </c>
      <c r="AJ3631" s="485"/>
    </row>
    <row r="3632" spans="2:36">
      <c r="B3632" s="136" t="s">
        <v>475</v>
      </c>
      <c r="C3632" s="132" t="s">
        <v>1362</v>
      </c>
      <c r="D3632" s="132" t="s">
        <v>284</v>
      </c>
      <c r="E3632" s="508">
        <v>3.222</v>
      </c>
      <c r="F3632" s="508">
        <v>3.2149999999999999</v>
      </c>
      <c r="G3632" s="508">
        <v>3.242</v>
      </c>
      <c r="H3632" s="508">
        <v>1.2010000000000001</v>
      </c>
      <c r="I3632" s="508">
        <v>1.2089999999999999</v>
      </c>
      <c r="J3632" s="508">
        <v>1.23</v>
      </c>
      <c r="K3632" s="508">
        <v>1.3069999999999999</v>
      </c>
      <c r="L3632" s="508">
        <v>1.3069999999999999</v>
      </c>
      <c r="M3632" s="508">
        <v>1.2909999999999999</v>
      </c>
      <c r="N3632" s="508">
        <v>1.2890000000000001</v>
      </c>
      <c r="O3632" s="508">
        <v>1.29</v>
      </c>
      <c r="P3632" s="508">
        <v>1.2949999999999999</v>
      </c>
      <c r="Q3632" s="508">
        <v>1.2890000000000001</v>
      </c>
      <c r="R3632" s="508">
        <v>0.91100000000000003</v>
      </c>
      <c r="S3632" s="508">
        <v>0.91900000000000004</v>
      </c>
      <c r="T3632" s="508">
        <v>0.92</v>
      </c>
      <c r="U3632" s="508">
        <v>0.91500000000000004</v>
      </c>
      <c r="V3632" s="508">
        <v>0.91200000000000003</v>
      </c>
      <c r="W3632" s="508">
        <v>0.82699999999999996</v>
      </c>
      <c r="X3632" s="508">
        <v>0.82299999999999995</v>
      </c>
      <c r="Y3632" s="508">
        <v>0.82499999999999996</v>
      </c>
      <c r="Z3632" s="508">
        <v>0.82599999999999996</v>
      </c>
      <c r="AA3632" s="508">
        <v>4.4999999999999998E-2</v>
      </c>
      <c r="AB3632" s="508">
        <v>4.4999999999999998E-2</v>
      </c>
      <c r="AC3632" s="508">
        <v>4.5999999999999999E-2</v>
      </c>
      <c r="AD3632" s="508">
        <v>4.9999999999999996E-2</v>
      </c>
      <c r="AE3632" s="508">
        <v>4.9999999999999996E-2</v>
      </c>
      <c r="AF3632" s="508">
        <v>3.6999999999999998E-2</v>
      </c>
      <c r="AG3632" s="508">
        <v>3.5999999999999997E-2</v>
      </c>
      <c r="AH3632" s="508">
        <v>3.4999999999999996E-2</v>
      </c>
      <c r="AI3632" s="492">
        <v>3.4999999999999996E-2</v>
      </c>
      <c r="AJ3632" s="485"/>
    </row>
    <row r="3633" spans="2:36">
      <c r="B3633" s="136" t="s">
        <v>476</v>
      </c>
      <c r="C3633" s="132" t="s">
        <v>1362</v>
      </c>
      <c r="D3633" s="132" t="s">
        <v>284</v>
      </c>
      <c r="E3633" s="508">
        <v>3.27</v>
      </c>
      <c r="F3633" s="508">
        <v>3.2630000000000003</v>
      </c>
      <c r="G3633" s="508">
        <v>3.29</v>
      </c>
      <c r="H3633" s="508">
        <v>1.234</v>
      </c>
      <c r="I3633" s="508">
        <v>1.242</v>
      </c>
      <c r="J3633" s="508">
        <v>1.264</v>
      </c>
      <c r="K3633" s="508">
        <v>1.335</v>
      </c>
      <c r="L3633" s="508">
        <v>1.3359999999999999</v>
      </c>
      <c r="M3633" s="508">
        <v>1.32</v>
      </c>
      <c r="N3633" s="508">
        <v>1.331</v>
      </c>
      <c r="O3633" s="508">
        <v>1.3320000000000001</v>
      </c>
      <c r="P3633" s="508">
        <v>1.3380000000000001</v>
      </c>
      <c r="Q3633" s="508">
        <v>1.331</v>
      </c>
      <c r="R3633" s="508">
        <v>0.93799999999999994</v>
      </c>
      <c r="S3633" s="508">
        <v>0.94699999999999995</v>
      </c>
      <c r="T3633" s="508">
        <v>0.94799999999999995</v>
      </c>
      <c r="U3633" s="508">
        <v>0.94199999999999995</v>
      </c>
      <c r="V3633" s="508">
        <v>0.93899999999999995</v>
      </c>
      <c r="W3633" s="508">
        <v>0.85199999999999998</v>
      </c>
      <c r="X3633" s="508">
        <v>0.84699999999999998</v>
      </c>
      <c r="Y3633" s="508">
        <v>0.85</v>
      </c>
      <c r="Z3633" s="508">
        <v>0.85099999999999998</v>
      </c>
      <c r="AA3633" s="508">
        <v>4.7E-2</v>
      </c>
      <c r="AB3633" s="508">
        <v>4.7E-2</v>
      </c>
      <c r="AC3633" s="508">
        <v>4.8000000000000001E-2</v>
      </c>
      <c r="AD3633" s="508">
        <v>5.0999999999999997E-2</v>
      </c>
      <c r="AE3633" s="508">
        <v>5.0999999999999997E-2</v>
      </c>
      <c r="AF3633" s="508">
        <v>3.7999999999999999E-2</v>
      </c>
      <c r="AG3633" s="508">
        <v>3.6999999999999998E-2</v>
      </c>
      <c r="AH3633" s="508">
        <v>3.5999999999999997E-2</v>
      </c>
      <c r="AI3633" s="492">
        <v>3.5999999999999997E-2</v>
      </c>
      <c r="AJ3633" s="485"/>
    </row>
    <row r="3634" spans="2:36">
      <c r="B3634" s="136" t="s">
        <v>478</v>
      </c>
      <c r="C3634" s="132" t="s">
        <v>1362</v>
      </c>
      <c r="D3634" s="132" t="s">
        <v>284</v>
      </c>
      <c r="E3634" s="508">
        <v>3.3</v>
      </c>
      <c r="F3634" s="508">
        <v>3.2930000000000001</v>
      </c>
      <c r="G3634" s="508">
        <v>3.32</v>
      </c>
      <c r="H3634" s="508">
        <v>1.242</v>
      </c>
      <c r="I3634" s="508">
        <v>1.25</v>
      </c>
      <c r="J3634" s="508">
        <v>1.272</v>
      </c>
      <c r="K3634" s="508">
        <v>1.3359999999999999</v>
      </c>
      <c r="L3634" s="508">
        <v>1.337</v>
      </c>
      <c r="M3634" s="508">
        <v>1.321</v>
      </c>
      <c r="N3634" s="508">
        <v>1.333</v>
      </c>
      <c r="O3634" s="508">
        <v>1.3339999999999999</v>
      </c>
      <c r="P3634" s="508">
        <v>1.3399999999999999</v>
      </c>
      <c r="Q3634" s="508">
        <v>1.333</v>
      </c>
      <c r="R3634" s="508">
        <v>0.92399999999999993</v>
      </c>
      <c r="S3634" s="508">
        <v>0.93299999999999994</v>
      </c>
      <c r="T3634" s="508">
        <v>0.93399999999999994</v>
      </c>
      <c r="U3634" s="508">
        <v>0.92799999999999994</v>
      </c>
      <c r="V3634" s="508">
        <v>0.92499999999999993</v>
      </c>
      <c r="W3634" s="508">
        <v>0.83899999999999997</v>
      </c>
      <c r="X3634" s="508">
        <v>0.83499999999999996</v>
      </c>
      <c r="Y3634" s="508">
        <v>0.83699999999999997</v>
      </c>
      <c r="Z3634" s="508">
        <v>0.83800000000000008</v>
      </c>
      <c r="AA3634" s="508">
        <v>4.5999999999999999E-2</v>
      </c>
      <c r="AB3634" s="508">
        <v>4.4999999999999998E-2</v>
      </c>
      <c r="AC3634" s="508">
        <v>4.5999999999999999E-2</v>
      </c>
      <c r="AD3634" s="508">
        <v>4.7E-2</v>
      </c>
      <c r="AE3634" s="508">
        <v>4.7E-2</v>
      </c>
      <c r="AF3634" s="508">
        <v>3.4000000000000002E-2</v>
      </c>
      <c r="AG3634" s="508">
        <v>3.2000000000000001E-2</v>
      </c>
      <c r="AH3634" s="508">
        <v>3.1E-2</v>
      </c>
      <c r="AI3634" s="492">
        <v>3.1E-2</v>
      </c>
      <c r="AJ3634" s="485"/>
    </row>
    <row r="3635" spans="2:36">
      <c r="B3635" s="136" t="s">
        <v>479</v>
      </c>
      <c r="C3635" s="132" t="s">
        <v>1362</v>
      </c>
      <c r="D3635" s="132" t="s">
        <v>284</v>
      </c>
      <c r="E3635" s="508">
        <v>3.2390000000000003</v>
      </c>
      <c r="F3635" s="508">
        <v>3.2320000000000002</v>
      </c>
      <c r="G3635" s="508">
        <v>3.2590000000000003</v>
      </c>
      <c r="H3635" s="508">
        <v>1.224</v>
      </c>
      <c r="I3635" s="508">
        <v>1.232</v>
      </c>
      <c r="J3635" s="508">
        <v>1.252</v>
      </c>
      <c r="K3635" s="508">
        <v>1.33</v>
      </c>
      <c r="L3635" s="508">
        <v>1.331</v>
      </c>
      <c r="M3635" s="508">
        <v>1.3140000000000001</v>
      </c>
      <c r="N3635" s="508">
        <v>1.327</v>
      </c>
      <c r="O3635" s="508">
        <v>1.3279999999999998</v>
      </c>
      <c r="P3635" s="508">
        <v>1.3340000000000001</v>
      </c>
      <c r="Q3635" s="508">
        <v>1.3259999999999998</v>
      </c>
      <c r="R3635" s="508">
        <v>0.94300000000000006</v>
      </c>
      <c r="S3635" s="508">
        <v>0.95100000000000007</v>
      </c>
      <c r="T3635" s="508">
        <v>0.95100000000000007</v>
      </c>
      <c r="U3635" s="508">
        <v>0.94600000000000006</v>
      </c>
      <c r="V3635" s="508">
        <v>0.94300000000000006</v>
      </c>
      <c r="W3635" s="508">
        <v>0.85499999999999998</v>
      </c>
      <c r="X3635" s="508">
        <v>0.85099999999999998</v>
      </c>
      <c r="Y3635" s="508">
        <v>0.85399999999999998</v>
      </c>
      <c r="Z3635" s="508">
        <v>0.85499999999999998</v>
      </c>
      <c r="AA3635" s="508">
        <v>4.7E-2</v>
      </c>
      <c r="AB3635" s="508">
        <v>4.7E-2</v>
      </c>
      <c r="AC3635" s="508">
        <v>4.7E-2</v>
      </c>
      <c r="AD3635" s="508">
        <v>5.2999999999999999E-2</v>
      </c>
      <c r="AE3635" s="508">
        <v>5.2999999999999999E-2</v>
      </c>
      <c r="AF3635" s="508">
        <v>0.04</v>
      </c>
      <c r="AG3635" s="508">
        <v>3.9E-2</v>
      </c>
      <c r="AH3635" s="508">
        <v>3.7999999999999999E-2</v>
      </c>
      <c r="AI3635" s="492">
        <v>3.7999999999999999E-2</v>
      </c>
      <c r="AJ3635" s="485"/>
    </row>
    <row r="3636" spans="2:36">
      <c r="B3636" s="136" t="s">
        <v>480</v>
      </c>
      <c r="C3636" s="132" t="s">
        <v>1362</v>
      </c>
      <c r="D3636" s="132" t="s">
        <v>284</v>
      </c>
      <c r="E3636" s="508">
        <v>3.1709999999999998</v>
      </c>
      <c r="F3636" s="508">
        <v>3.1639999999999997</v>
      </c>
      <c r="G3636" s="508">
        <v>3.1909999999999998</v>
      </c>
      <c r="H3636" s="508">
        <v>1.1960000000000002</v>
      </c>
      <c r="I3636" s="508">
        <v>1.2029999999999998</v>
      </c>
      <c r="J3636" s="508">
        <v>1.222</v>
      </c>
      <c r="K3636" s="508">
        <v>1.3109999999999999</v>
      </c>
      <c r="L3636" s="508">
        <v>1.3109999999999999</v>
      </c>
      <c r="M3636" s="508">
        <v>1.294</v>
      </c>
      <c r="N3636" s="508">
        <v>1.3030000000000002</v>
      </c>
      <c r="O3636" s="508">
        <v>1.304</v>
      </c>
      <c r="P3636" s="508">
        <v>1.3089999999999999</v>
      </c>
      <c r="Q3636" s="508">
        <v>1.3030000000000002</v>
      </c>
      <c r="R3636" s="508">
        <v>0.93399999999999994</v>
      </c>
      <c r="S3636" s="508">
        <v>0.94</v>
      </c>
      <c r="T3636" s="508">
        <v>0.94199999999999995</v>
      </c>
      <c r="U3636" s="508">
        <v>0.93700000000000006</v>
      </c>
      <c r="V3636" s="508">
        <v>0.93399999999999994</v>
      </c>
      <c r="W3636" s="508">
        <v>0.84700000000000009</v>
      </c>
      <c r="X3636" s="508">
        <v>0.84300000000000008</v>
      </c>
      <c r="Y3636" s="508">
        <v>0.84500000000000008</v>
      </c>
      <c r="Z3636" s="508">
        <v>0.84600000000000009</v>
      </c>
      <c r="AA3636" s="508">
        <v>4.7E-2</v>
      </c>
      <c r="AB3636" s="508">
        <v>4.7E-2</v>
      </c>
      <c r="AC3636" s="508">
        <v>4.9000000000000002E-2</v>
      </c>
      <c r="AD3636" s="508">
        <v>5.6000000000000008E-2</v>
      </c>
      <c r="AE3636" s="508">
        <v>5.6000000000000008E-2</v>
      </c>
      <c r="AF3636" s="508">
        <v>4.3999999999999997E-2</v>
      </c>
      <c r="AG3636" s="508">
        <v>4.2999999999999997E-2</v>
      </c>
      <c r="AH3636" s="508">
        <v>4.2000000000000003E-2</v>
      </c>
      <c r="AI3636" s="492">
        <v>4.2000000000000003E-2</v>
      </c>
      <c r="AJ3636" s="485"/>
    </row>
    <row r="3637" spans="2:36">
      <c r="B3637" s="136" t="s">
        <v>481</v>
      </c>
      <c r="C3637" s="132" t="s">
        <v>1362</v>
      </c>
      <c r="D3637" s="132" t="s">
        <v>284</v>
      </c>
      <c r="E3637" s="508">
        <v>3.25</v>
      </c>
      <c r="F3637" s="508">
        <v>3.2429999999999999</v>
      </c>
      <c r="G3637" s="508">
        <v>3.27</v>
      </c>
      <c r="H3637" s="508">
        <v>1.2249999999999999</v>
      </c>
      <c r="I3637" s="508">
        <v>1.2329999999999999</v>
      </c>
      <c r="J3637" s="508">
        <v>1.254</v>
      </c>
      <c r="K3637" s="508">
        <v>1.3280000000000001</v>
      </c>
      <c r="L3637" s="508">
        <v>1.329</v>
      </c>
      <c r="M3637" s="508">
        <v>1.3129999999999999</v>
      </c>
      <c r="N3637" s="508">
        <v>1.323</v>
      </c>
      <c r="O3637" s="508">
        <v>1.3239999999999998</v>
      </c>
      <c r="P3637" s="508">
        <v>1.33</v>
      </c>
      <c r="Q3637" s="508">
        <v>1.323</v>
      </c>
      <c r="R3637" s="508">
        <v>0.93400000000000005</v>
      </c>
      <c r="S3637" s="508">
        <v>0.94299999999999995</v>
      </c>
      <c r="T3637" s="508">
        <v>0.94299999999999995</v>
      </c>
      <c r="U3637" s="508">
        <v>0.93799999999999994</v>
      </c>
      <c r="V3637" s="508">
        <v>0.93500000000000005</v>
      </c>
      <c r="W3637" s="508">
        <v>0.84799999999999998</v>
      </c>
      <c r="X3637" s="508">
        <v>0.84399999999999997</v>
      </c>
      <c r="Y3637" s="508">
        <v>0.84599999999999997</v>
      </c>
      <c r="Z3637" s="508">
        <v>0.84699999999999998</v>
      </c>
      <c r="AA3637" s="508">
        <v>4.7E-2</v>
      </c>
      <c r="AB3637" s="508">
        <v>4.7E-2</v>
      </c>
      <c r="AC3637" s="508">
        <v>4.7E-2</v>
      </c>
      <c r="AD3637" s="508">
        <v>5.1999999999999998E-2</v>
      </c>
      <c r="AE3637" s="508">
        <v>5.1999999999999998E-2</v>
      </c>
      <c r="AF3637" s="508">
        <v>3.7999999999999999E-2</v>
      </c>
      <c r="AG3637" s="508">
        <v>3.6999999999999998E-2</v>
      </c>
      <c r="AH3637" s="508">
        <v>3.5999999999999997E-2</v>
      </c>
      <c r="AI3637" s="492">
        <v>3.5999999999999997E-2</v>
      </c>
      <c r="AJ3637" s="485"/>
    </row>
    <row r="3638" spans="2:36">
      <c r="B3638" s="136" t="s">
        <v>482</v>
      </c>
      <c r="C3638" s="132" t="s">
        <v>1362</v>
      </c>
      <c r="D3638" s="132" t="s">
        <v>284</v>
      </c>
      <c r="E3638" s="508">
        <v>3.2370000000000001</v>
      </c>
      <c r="F3638" s="508">
        <v>3.23</v>
      </c>
      <c r="G3638" s="508">
        <v>3.2570000000000001</v>
      </c>
      <c r="H3638" s="508">
        <v>1.208</v>
      </c>
      <c r="I3638" s="508">
        <v>1.216</v>
      </c>
      <c r="J3638" s="508">
        <v>1.2369999999999999</v>
      </c>
      <c r="K3638" s="508">
        <v>1.31</v>
      </c>
      <c r="L3638" s="508">
        <v>1.31</v>
      </c>
      <c r="M3638" s="508">
        <v>1.294</v>
      </c>
      <c r="N3638" s="508">
        <v>1.2950000000000002</v>
      </c>
      <c r="O3638" s="508">
        <v>1.296</v>
      </c>
      <c r="P3638" s="508">
        <v>1.3010000000000002</v>
      </c>
      <c r="Q3638" s="508">
        <v>1.294</v>
      </c>
      <c r="R3638" s="508">
        <v>0.90599999999999992</v>
      </c>
      <c r="S3638" s="508">
        <v>0.91399999999999992</v>
      </c>
      <c r="T3638" s="508">
        <v>0.91499999999999992</v>
      </c>
      <c r="U3638" s="508">
        <v>0.90899999999999992</v>
      </c>
      <c r="V3638" s="508">
        <v>0.90599999999999992</v>
      </c>
      <c r="W3638" s="508">
        <v>0.82199999999999995</v>
      </c>
      <c r="X3638" s="508">
        <v>0.81799999999999995</v>
      </c>
      <c r="Y3638" s="508">
        <v>0.82</v>
      </c>
      <c r="Z3638" s="508">
        <v>0.82099999999999995</v>
      </c>
      <c r="AA3638" s="508">
        <v>4.4999999999999998E-2</v>
      </c>
      <c r="AB3638" s="508">
        <v>4.4999999999999998E-2</v>
      </c>
      <c r="AC3638" s="508">
        <v>4.4999999999999998E-2</v>
      </c>
      <c r="AD3638" s="508">
        <v>4.8000000000000001E-2</v>
      </c>
      <c r="AE3638" s="508">
        <v>4.8000000000000001E-2</v>
      </c>
      <c r="AF3638" s="508">
        <v>3.5000000000000003E-2</v>
      </c>
      <c r="AG3638" s="508">
        <v>3.3000000000000002E-2</v>
      </c>
      <c r="AH3638" s="508">
        <v>3.2000000000000001E-2</v>
      </c>
      <c r="AI3638" s="492">
        <v>3.2000000000000001E-2</v>
      </c>
      <c r="AJ3638" s="485"/>
    </row>
    <row r="3639" spans="2:36">
      <c r="B3639" s="136" t="s">
        <v>483</v>
      </c>
      <c r="C3639" s="132" t="s">
        <v>1362</v>
      </c>
      <c r="D3639" s="132" t="s">
        <v>284</v>
      </c>
      <c r="E3639" s="508">
        <v>3.2970000000000002</v>
      </c>
      <c r="F3639" s="508">
        <v>3.2890000000000001</v>
      </c>
      <c r="G3639" s="508">
        <v>3.3169999999999997</v>
      </c>
      <c r="H3639" s="508">
        <v>1.244</v>
      </c>
      <c r="I3639" s="508">
        <v>1.252</v>
      </c>
      <c r="J3639" s="508">
        <v>1.2750000000000001</v>
      </c>
      <c r="K3639" s="508">
        <v>1.3399999999999999</v>
      </c>
      <c r="L3639" s="508">
        <v>1.341</v>
      </c>
      <c r="M3639" s="508">
        <v>1.325</v>
      </c>
      <c r="N3639" s="508">
        <v>1.339</v>
      </c>
      <c r="O3639" s="508">
        <v>1.34</v>
      </c>
      <c r="P3639" s="508">
        <v>1.3459999999999999</v>
      </c>
      <c r="Q3639" s="508">
        <v>1.339</v>
      </c>
      <c r="R3639" s="508">
        <v>0.93499999999999994</v>
      </c>
      <c r="S3639" s="508">
        <v>0.94299999999999995</v>
      </c>
      <c r="T3639" s="508">
        <v>0.94399999999999995</v>
      </c>
      <c r="U3639" s="508">
        <v>0.93899999999999995</v>
      </c>
      <c r="V3639" s="508">
        <v>0.93499999999999994</v>
      </c>
      <c r="W3639" s="508">
        <v>0.84799999999999998</v>
      </c>
      <c r="X3639" s="508">
        <v>0.84299999999999997</v>
      </c>
      <c r="Y3639" s="508">
        <v>0.84599999999999997</v>
      </c>
      <c r="Z3639" s="508">
        <v>0.84699999999999998</v>
      </c>
      <c r="AA3639" s="508">
        <v>4.5999999999999999E-2</v>
      </c>
      <c r="AB3639" s="508">
        <v>4.5999999999999999E-2</v>
      </c>
      <c r="AC3639" s="508">
        <v>4.7E-2</v>
      </c>
      <c r="AD3639" s="508">
        <v>4.9000000000000002E-2</v>
      </c>
      <c r="AE3639" s="508">
        <v>4.9000000000000002E-2</v>
      </c>
      <c r="AF3639" s="508">
        <v>3.5000000000000003E-2</v>
      </c>
      <c r="AG3639" s="508">
        <v>3.4000000000000002E-2</v>
      </c>
      <c r="AH3639" s="508">
        <v>3.3000000000000002E-2</v>
      </c>
      <c r="AI3639" s="492">
        <v>3.3000000000000002E-2</v>
      </c>
      <c r="AJ3639" s="485"/>
    </row>
    <row r="3640" spans="2:36">
      <c r="B3640" s="136" t="s">
        <v>484</v>
      </c>
      <c r="C3640" s="132" t="s">
        <v>1362</v>
      </c>
      <c r="D3640" s="132" t="s">
        <v>284</v>
      </c>
      <c r="E3640" s="508">
        <v>3.1719999999999997</v>
      </c>
      <c r="F3640" s="508">
        <v>3.165</v>
      </c>
      <c r="G3640" s="508">
        <v>3.1919999999999997</v>
      </c>
      <c r="H3640" s="508">
        <v>1.1840000000000002</v>
      </c>
      <c r="I3640" s="508">
        <v>1.1910000000000001</v>
      </c>
      <c r="J3640" s="508">
        <v>1.2110000000000001</v>
      </c>
      <c r="K3640" s="508">
        <v>1.2970000000000002</v>
      </c>
      <c r="L3640" s="508">
        <v>1.298</v>
      </c>
      <c r="M3640" s="508">
        <v>1.2810000000000001</v>
      </c>
      <c r="N3640" s="508">
        <v>1.28</v>
      </c>
      <c r="O3640" s="508">
        <v>1.2810000000000001</v>
      </c>
      <c r="P3640" s="508">
        <v>1.2850000000000001</v>
      </c>
      <c r="Q3640" s="508">
        <v>1.28</v>
      </c>
      <c r="R3640" s="508">
        <v>0.91500000000000004</v>
      </c>
      <c r="S3640" s="508">
        <v>0.92200000000000004</v>
      </c>
      <c r="T3640" s="508">
        <v>0.92300000000000004</v>
      </c>
      <c r="U3640" s="508">
        <v>0.91800000000000004</v>
      </c>
      <c r="V3640" s="508">
        <v>0.91500000000000004</v>
      </c>
      <c r="W3640" s="508">
        <v>0.83</v>
      </c>
      <c r="X3640" s="508">
        <v>0.82600000000000007</v>
      </c>
      <c r="Y3640" s="508">
        <v>0.82800000000000007</v>
      </c>
      <c r="Z3640" s="508">
        <v>0.82899999999999996</v>
      </c>
      <c r="AA3640" s="508">
        <v>4.7E-2</v>
      </c>
      <c r="AB3640" s="508">
        <v>4.5999999999999999E-2</v>
      </c>
      <c r="AC3640" s="508">
        <v>4.7E-2</v>
      </c>
      <c r="AD3640" s="508">
        <v>5.3999999999999992E-2</v>
      </c>
      <c r="AE3640" s="508">
        <v>5.3000000000000005E-2</v>
      </c>
      <c r="AF3640" s="508">
        <v>4.0999999999999995E-2</v>
      </c>
      <c r="AG3640" s="508">
        <v>3.9E-2</v>
      </c>
      <c r="AH3640" s="508">
        <v>3.8000000000000006E-2</v>
      </c>
      <c r="AI3640" s="492">
        <v>3.8000000000000006E-2</v>
      </c>
      <c r="AJ3640" s="485"/>
    </row>
    <row r="3641" spans="2:36">
      <c r="B3641" s="136" t="s">
        <v>486</v>
      </c>
      <c r="C3641" s="132" t="s">
        <v>1362</v>
      </c>
      <c r="D3641" s="132" t="s">
        <v>284</v>
      </c>
      <c r="E3641" s="508">
        <v>3.2489999999999997</v>
      </c>
      <c r="F3641" s="508">
        <v>3.2429999999999999</v>
      </c>
      <c r="G3641" s="508">
        <v>3.27</v>
      </c>
      <c r="H3641" s="508">
        <v>1.222</v>
      </c>
      <c r="I3641" s="508">
        <v>1.23</v>
      </c>
      <c r="J3641" s="508">
        <v>1.252</v>
      </c>
      <c r="K3641" s="508">
        <v>1.3250000000000002</v>
      </c>
      <c r="L3641" s="508">
        <v>1.3250000000000002</v>
      </c>
      <c r="M3641" s="508">
        <v>1.3090000000000002</v>
      </c>
      <c r="N3641" s="508">
        <v>1.3180000000000001</v>
      </c>
      <c r="O3641" s="508">
        <v>1.319</v>
      </c>
      <c r="P3641" s="508">
        <v>1.3260000000000001</v>
      </c>
      <c r="Q3641" s="508">
        <v>1.3180000000000001</v>
      </c>
      <c r="R3641" s="508">
        <v>0.92799999999999994</v>
      </c>
      <c r="S3641" s="508">
        <v>0.93599999999999994</v>
      </c>
      <c r="T3641" s="508">
        <v>0.93699999999999994</v>
      </c>
      <c r="U3641" s="508">
        <v>0.93199999999999994</v>
      </c>
      <c r="V3641" s="508">
        <v>0.92799999999999994</v>
      </c>
      <c r="W3641" s="508">
        <v>0.84199999999999997</v>
      </c>
      <c r="X3641" s="508">
        <v>0.83799999999999997</v>
      </c>
      <c r="Y3641" s="508">
        <v>0.84</v>
      </c>
      <c r="Z3641" s="508">
        <v>0.84099999999999997</v>
      </c>
      <c r="AA3641" s="508">
        <v>4.7E-2</v>
      </c>
      <c r="AB3641" s="508">
        <v>4.7E-2</v>
      </c>
      <c r="AC3641" s="508">
        <v>4.7E-2</v>
      </c>
      <c r="AD3641" s="508">
        <v>5.0999999999999997E-2</v>
      </c>
      <c r="AE3641" s="508">
        <v>5.0999999999999997E-2</v>
      </c>
      <c r="AF3641" s="508">
        <v>3.6999999999999998E-2</v>
      </c>
      <c r="AG3641" s="508">
        <v>3.5999999999999997E-2</v>
      </c>
      <c r="AH3641" s="508">
        <v>3.4999999999999996E-2</v>
      </c>
      <c r="AI3641" s="492">
        <v>3.4999999999999996E-2</v>
      </c>
      <c r="AJ3641" s="485"/>
    </row>
    <row r="3642" spans="2:36">
      <c r="B3642" s="136" t="s">
        <v>487</v>
      </c>
      <c r="C3642" s="132" t="s">
        <v>1362</v>
      </c>
      <c r="D3642" s="132" t="s">
        <v>284</v>
      </c>
      <c r="E3642" s="508">
        <v>3.246</v>
      </c>
      <c r="F3642" s="508">
        <v>3.24</v>
      </c>
      <c r="G3642" s="508">
        <v>3.2670000000000003</v>
      </c>
      <c r="H3642" s="508">
        <v>1.2229999999999999</v>
      </c>
      <c r="I3642" s="508">
        <v>1.2309999999999999</v>
      </c>
      <c r="J3642" s="508">
        <v>1.252</v>
      </c>
      <c r="K3642" s="508">
        <v>1.3260000000000001</v>
      </c>
      <c r="L3642" s="508">
        <v>1.3260000000000001</v>
      </c>
      <c r="M3642" s="508">
        <v>1.31</v>
      </c>
      <c r="N3642" s="508">
        <v>1.3220000000000001</v>
      </c>
      <c r="O3642" s="508">
        <v>1.323</v>
      </c>
      <c r="P3642" s="508">
        <v>1.3280000000000001</v>
      </c>
      <c r="Q3642" s="508">
        <v>1.3220000000000001</v>
      </c>
      <c r="R3642" s="508">
        <v>0.92700000000000005</v>
      </c>
      <c r="S3642" s="508">
        <v>0.93499999999999994</v>
      </c>
      <c r="T3642" s="508">
        <v>0.93699999999999994</v>
      </c>
      <c r="U3642" s="508">
        <v>0.93099999999999994</v>
      </c>
      <c r="V3642" s="508">
        <v>0.92800000000000005</v>
      </c>
      <c r="W3642" s="508">
        <v>0.84199999999999997</v>
      </c>
      <c r="X3642" s="508">
        <v>0.83699999999999997</v>
      </c>
      <c r="Y3642" s="508">
        <v>0.84</v>
      </c>
      <c r="Z3642" s="508">
        <v>0.84099999999999997</v>
      </c>
      <c r="AA3642" s="508">
        <v>4.7E-2</v>
      </c>
      <c r="AB3642" s="508">
        <v>4.7E-2</v>
      </c>
      <c r="AC3642" s="508">
        <v>4.7E-2</v>
      </c>
      <c r="AD3642" s="508">
        <v>5.0999999999999997E-2</v>
      </c>
      <c r="AE3642" s="508">
        <v>5.0999999999999997E-2</v>
      </c>
      <c r="AF3642" s="508">
        <v>3.6999999999999998E-2</v>
      </c>
      <c r="AG3642" s="508">
        <v>3.5999999999999997E-2</v>
      </c>
      <c r="AH3642" s="508">
        <v>3.4999999999999996E-2</v>
      </c>
      <c r="AI3642" s="492">
        <v>3.4999999999999996E-2</v>
      </c>
      <c r="AJ3642" s="485"/>
    </row>
    <row r="3643" spans="2:36">
      <c r="B3643" s="136" t="s">
        <v>488</v>
      </c>
      <c r="C3643" s="132" t="s">
        <v>1362</v>
      </c>
      <c r="D3643" s="132" t="s">
        <v>284</v>
      </c>
      <c r="E3643" s="508">
        <v>3.1859999999999999</v>
      </c>
      <c r="F3643" s="508">
        <v>3.18</v>
      </c>
      <c r="G3643" s="508">
        <v>3.2069999999999999</v>
      </c>
      <c r="H3643" s="508">
        <v>1.1910000000000001</v>
      </c>
      <c r="I3643" s="508">
        <v>1.198</v>
      </c>
      <c r="J3643" s="508">
        <v>1.218</v>
      </c>
      <c r="K3643" s="508">
        <v>1.3009999999999999</v>
      </c>
      <c r="L3643" s="508">
        <v>1.302</v>
      </c>
      <c r="M3643" s="508">
        <v>1.2849999999999999</v>
      </c>
      <c r="N3643" s="508">
        <v>1.286</v>
      </c>
      <c r="O3643" s="508">
        <v>1.2869999999999999</v>
      </c>
      <c r="P3643" s="508">
        <v>1.2909999999999999</v>
      </c>
      <c r="Q3643" s="508">
        <v>1.286</v>
      </c>
      <c r="R3643" s="508">
        <v>0.91300000000000003</v>
      </c>
      <c r="S3643" s="508">
        <v>0.92100000000000004</v>
      </c>
      <c r="T3643" s="508">
        <v>0.92200000000000004</v>
      </c>
      <c r="U3643" s="508">
        <v>0.91600000000000004</v>
      </c>
      <c r="V3643" s="508">
        <v>0.91300000000000003</v>
      </c>
      <c r="W3643" s="508">
        <v>0.82799999999999996</v>
      </c>
      <c r="X3643" s="508">
        <v>0.82499999999999996</v>
      </c>
      <c r="Y3643" s="508">
        <v>0.82699999999999996</v>
      </c>
      <c r="Z3643" s="508">
        <v>0.82699999999999996</v>
      </c>
      <c r="AA3643" s="508">
        <v>4.5999999999999999E-2</v>
      </c>
      <c r="AB3643" s="508">
        <v>4.5999999999999999E-2</v>
      </c>
      <c r="AC3643" s="508">
        <v>4.5999999999999999E-2</v>
      </c>
      <c r="AD3643" s="508">
        <v>5.1999999999999998E-2</v>
      </c>
      <c r="AE3643" s="508">
        <v>5.1999999999999998E-2</v>
      </c>
      <c r="AF3643" s="508">
        <v>3.9E-2</v>
      </c>
      <c r="AG3643" s="508">
        <v>3.7999999999999999E-2</v>
      </c>
      <c r="AH3643" s="508">
        <v>3.7000000000000005E-2</v>
      </c>
      <c r="AI3643" s="492">
        <v>3.7000000000000005E-2</v>
      </c>
      <c r="AJ3643" s="485"/>
    </row>
    <row r="3644" spans="2:36">
      <c r="B3644" s="136" t="s">
        <v>489</v>
      </c>
      <c r="C3644" s="132" t="s">
        <v>1362</v>
      </c>
      <c r="D3644" s="132" t="s">
        <v>284</v>
      </c>
      <c r="E3644" s="508">
        <v>3.214</v>
      </c>
      <c r="F3644" s="508">
        <v>3.2080000000000002</v>
      </c>
      <c r="G3644" s="508">
        <v>3.234</v>
      </c>
      <c r="H3644" s="508">
        <v>1.198</v>
      </c>
      <c r="I3644" s="508">
        <v>1.206</v>
      </c>
      <c r="J3644" s="508">
        <v>1.2269999999999999</v>
      </c>
      <c r="K3644" s="508">
        <v>1.304</v>
      </c>
      <c r="L3644" s="508">
        <v>1.3049999999999999</v>
      </c>
      <c r="M3644" s="508">
        <v>1.2889999999999999</v>
      </c>
      <c r="N3644" s="508">
        <v>1.2869999999999999</v>
      </c>
      <c r="O3644" s="508">
        <v>1.2890000000000001</v>
      </c>
      <c r="P3644" s="508">
        <v>1.294</v>
      </c>
      <c r="Q3644" s="508">
        <v>1.2869999999999999</v>
      </c>
      <c r="R3644" s="508">
        <v>0.91100000000000003</v>
      </c>
      <c r="S3644" s="508">
        <v>0.91800000000000004</v>
      </c>
      <c r="T3644" s="508">
        <v>0.91900000000000004</v>
      </c>
      <c r="U3644" s="508">
        <v>0.91400000000000003</v>
      </c>
      <c r="V3644" s="508">
        <v>0.91100000000000003</v>
      </c>
      <c r="W3644" s="508">
        <v>0.82599999999999996</v>
      </c>
      <c r="X3644" s="508">
        <v>0.82199999999999995</v>
      </c>
      <c r="Y3644" s="508">
        <v>0.82399999999999995</v>
      </c>
      <c r="Z3644" s="508">
        <v>0.82499999999999996</v>
      </c>
      <c r="AA3644" s="508">
        <v>4.5999999999999999E-2</v>
      </c>
      <c r="AB3644" s="508">
        <v>4.5999999999999999E-2</v>
      </c>
      <c r="AC3644" s="508">
        <v>4.5999999999999999E-2</v>
      </c>
      <c r="AD3644" s="508">
        <v>4.9999999999999996E-2</v>
      </c>
      <c r="AE3644" s="508">
        <v>4.9999999999999996E-2</v>
      </c>
      <c r="AF3644" s="508">
        <v>3.6999999999999998E-2</v>
      </c>
      <c r="AG3644" s="508">
        <v>3.5999999999999997E-2</v>
      </c>
      <c r="AH3644" s="508">
        <v>3.4999999999999996E-2</v>
      </c>
      <c r="AI3644" s="492">
        <v>3.4999999999999996E-2</v>
      </c>
      <c r="AJ3644" s="485"/>
    </row>
    <row r="3645" spans="2:36">
      <c r="B3645" s="136" t="s">
        <v>490</v>
      </c>
      <c r="C3645" s="132" t="s">
        <v>1362</v>
      </c>
      <c r="D3645" s="132" t="s">
        <v>284</v>
      </c>
      <c r="E3645" s="508">
        <v>3.1829999999999998</v>
      </c>
      <c r="F3645" s="508">
        <v>3.177</v>
      </c>
      <c r="G3645" s="508">
        <v>3.2040000000000002</v>
      </c>
      <c r="H3645" s="508">
        <v>1.2110000000000001</v>
      </c>
      <c r="I3645" s="508">
        <v>1.2190000000000001</v>
      </c>
      <c r="J3645" s="508">
        <v>1.2360000000000002</v>
      </c>
      <c r="K3645" s="508">
        <v>1.327</v>
      </c>
      <c r="L3645" s="508">
        <v>1.327</v>
      </c>
      <c r="M3645" s="508">
        <v>1.31</v>
      </c>
      <c r="N3645" s="508">
        <v>1.329</v>
      </c>
      <c r="O3645" s="508">
        <v>1.33</v>
      </c>
      <c r="P3645" s="508">
        <v>1.3350000000000002</v>
      </c>
      <c r="Q3645" s="508">
        <v>1.329</v>
      </c>
      <c r="R3645" s="508">
        <v>0.95499999999999996</v>
      </c>
      <c r="S3645" s="508">
        <v>0.96199999999999997</v>
      </c>
      <c r="T3645" s="508">
        <v>0.96299999999999997</v>
      </c>
      <c r="U3645" s="508">
        <v>0.95899999999999996</v>
      </c>
      <c r="V3645" s="508">
        <v>0.95599999999999996</v>
      </c>
      <c r="W3645" s="508">
        <v>0.8660000000000001</v>
      </c>
      <c r="X3645" s="508">
        <v>0.86299999999999999</v>
      </c>
      <c r="Y3645" s="508">
        <v>0.86499999999999999</v>
      </c>
      <c r="Z3645" s="508">
        <v>0.8660000000000001</v>
      </c>
      <c r="AA3645" s="508">
        <v>4.9000000000000002E-2</v>
      </c>
      <c r="AB3645" s="508">
        <v>4.9000000000000002E-2</v>
      </c>
      <c r="AC3645" s="508">
        <v>4.9000000000000002E-2</v>
      </c>
      <c r="AD3645" s="508">
        <v>5.8000000000000003E-2</v>
      </c>
      <c r="AE3645" s="508">
        <v>5.8000000000000003E-2</v>
      </c>
      <c r="AF3645" s="508">
        <v>4.5999999999999999E-2</v>
      </c>
      <c r="AG3645" s="508">
        <v>4.4999999999999998E-2</v>
      </c>
      <c r="AH3645" s="508">
        <v>4.3999999999999997E-2</v>
      </c>
      <c r="AI3645" s="492">
        <v>4.3999999999999997E-2</v>
      </c>
      <c r="AJ3645" s="485"/>
    </row>
    <row r="3646" spans="2:36">
      <c r="B3646" s="136" t="s">
        <v>435</v>
      </c>
      <c r="C3646" s="132" t="s">
        <v>1363</v>
      </c>
      <c r="D3646" s="132" t="s">
        <v>284</v>
      </c>
      <c r="E3646" s="508">
        <v>2.9649999999999999</v>
      </c>
      <c r="F3646" s="508">
        <v>2.9409999999999998</v>
      </c>
      <c r="G3646" s="508">
        <v>2.8450000000000002</v>
      </c>
      <c r="H3646" s="508">
        <v>1.161</v>
      </c>
      <c r="I3646" s="508">
        <v>1.163</v>
      </c>
      <c r="J3646" s="508">
        <v>1.1759999999999999</v>
      </c>
      <c r="K3646" s="508">
        <v>1.196</v>
      </c>
      <c r="L3646" s="508">
        <v>1.18</v>
      </c>
      <c r="M3646" s="508">
        <v>1.1990000000000001</v>
      </c>
      <c r="N3646" s="508">
        <v>1.206</v>
      </c>
      <c r="O3646" s="508">
        <v>1.196</v>
      </c>
      <c r="P3646" s="508">
        <v>1.1970000000000001</v>
      </c>
      <c r="Q3646" s="508">
        <v>1.1739999999999999</v>
      </c>
      <c r="R3646" s="508">
        <v>0.79400000000000004</v>
      </c>
      <c r="S3646" s="508">
        <v>0.79100000000000004</v>
      </c>
      <c r="T3646" s="508">
        <v>0.78600000000000003</v>
      </c>
      <c r="U3646" s="508">
        <v>0.79100000000000004</v>
      </c>
      <c r="V3646" s="508">
        <v>0.754</v>
      </c>
      <c r="W3646" s="508">
        <v>0.69399999999999995</v>
      </c>
      <c r="X3646" s="508">
        <v>0.67600000000000005</v>
      </c>
      <c r="Y3646" s="508">
        <v>0.68500000000000005</v>
      </c>
      <c r="Z3646" s="508">
        <v>0.69099999999999995</v>
      </c>
      <c r="AA3646" s="508">
        <v>3.5999999999999997E-2</v>
      </c>
      <c r="AB3646" s="508">
        <v>3.5000000000000003E-2</v>
      </c>
      <c r="AC3646" s="508">
        <v>3.6999999999999998E-2</v>
      </c>
      <c r="AD3646" s="508">
        <v>3.4000000000000002E-2</v>
      </c>
      <c r="AE3646" s="508">
        <v>3.4000000000000002E-2</v>
      </c>
      <c r="AF3646" s="508">
        <v>2.1999999999999999E-2</v>
      </c>
      <c r="AG3646" s="508">
        <v>2.1000000000000001E-2</v>
      </c>
      <c r="AH3646" s="508">
        <v>0.02</v>
      </c>
      <c r="AI3646" s="492">
        <v>0.02</v>
      </c>
      <c r="AJ3646" s="485"/>
    </row>
    <row r="3647" spans="2:36">
      <c r="B3647" s="136" t="s">
        <v>436</v>
      </c>
      <c r="C3647" s="132" t="s">
        <v>1363</v>
      </c>
      <c r="D3647" s="132" t="s">
        <v>284</v>
      </c>
      <c r="E3647" s="508">
        <v>2.8969999999999998</v>
      </c>
      <c r="F3647" s="508">
        <v>2.8740000000000001</v>
      </c>
      <c r="G3647" s="508">
        <v>2.7770000000000001</v>
      </c>
      <c r="H3647" s="508">
        <v>1.125</v>
      </c>
      <c r="I3647" s="508">
        <v>1.1259999999999999</v>
      </c>
      <c r="J3647" s="508">
        <v>1.139</v>
      </c>
      <c r="K3647" s="508">
        <v>1.167</v>
      </c>
      <c r="L3647" s="508">
        <v>1.1499999999999999</v>
      </c>
      <c r="M3647" s="508">
        <v>1.17</v>
      </c>
      <c r="N3647" s="508">
        <v>1.167</v>
      </c>
      <c r="O3647" s="508">
        <v>1.159</v>
      </c>
      <c r="P3647" s="508">
        <v>1.159</v>
      </c>
      <c r="Q3647" s="508">
        <v>1.1399999999999999</v>
      </c>
      <c r="R3647" s="508">
        <v>0.76100000000000001</v>
      </c>
      <c r="S3647" s="508">
        <v>0.75800000000000001</v>
      </c>
      <c r="T3647" s="508">
        <v>0.754</v>
      </c>
      <c r="U3647" s="508">
        <v>0.75900000000000001</v>
      </c>
      <c r="V3647" s="508">
        <v>0.72299999999999998</v>
      </c>
      <c r="W3647" s="508">
        <v>0.66500000000000004</v>
      </c>
      <c r="X3647" s="508">
        <v>0.64800000000000002</v>
      </c>
      <c r="Y3647" s="508">
        <v>0.65700000000000003</v>
      </c>
      <c r="Z3647" s="508">
        <v>0.66200000000000003</v>
      </c>
      <c r="AA3647" s="508">
        <v>3.5000000000000003E-2</v>
      </c>
      <c r="AB3647" s="508">
        <v>3.4000000000000002E-2</v>
      </c>
      <c r="AC3647" s="508">
        <v>3.5999999999999997E-2</v>
      </c>
      <c r="AD3647" s="508">
        <v>3.3000000000000002E-2</v>
      </c>
      <c r="AE3647" s="508">
        <v>3.2000000000000001E-2</v>
      </c>
      <c r="AF3647" s="508">
        <v>2.1000000000000001E-2</v>
      </c>
      <c r="AG3647" s="508">
        <v>0.02</v>
      </c>
      <c r="AH3647" s="508">
        <v>0.02</v>
      </c>
      <c r="AI3647" s="492">
        <v>0.02</v>
      </c>
      <c r="AJ3647" s="485"/>
    </row>
    <row r="3648" spans="2:36">
      <c r="B3648" s="136" t="s">
        <v>437</v>
      </c>
      <c r="C3648" s="132" t="s">
        <v>1363</v>
      </c>
      <c r="D3648" s="132" t="s">
        <v>284</v>
      </c>
      <c r="E3648" s="508">
        <v>2.9780000000000002</v>
      </c>
      <c r="F3648" s="508">
        <v>2.9540000000000002</v>
      </c>
      <c r="G3648" s="508">
        <v>2.8570000000000002</v>
      </c>
      <c r="H3648" s="508">
        <v>1.177</v>
      </c>
      <c r="I3648" s="508">
        <v>1.179</v>
      </c>
      <c r="J3648" s="508">
        <v>1.1919999999999999</v>
      </c>
      <c r="K3648" s="508">
        <v>1.21</v>
      </c>
      <c r="L3648" s="508">
        <v>1.194</v>
      </c>
      <c r="M3648" s="508">
        <v>1.2130000000000001</v>
      </c>
      <c r="N3648" s="508">
        <v>1.232</v>
      </c>
      <c r="O3648" s="508">
        <v>1.2230000000000001</v>
      </c>
      <c r="P3648" s="508">
        <v>1.2230000000000001</v>
      </c>
      <c r="Q3648" s="508">
        <v>1.2010000000000001</v>
      </c>
      <c r="R3648" s="508">
        <v>0.80200000000000005</v>
      </c>
      <c r="S3648" s="508">
        <v>0.79900000000000004</v>
      </c>
      <c r="T3648" s="508">
        <v>0.79400000000000004</v>
      </c>
      <c r="U3648" s="508">
        <v>0.79900000000000004</v>
      </c>
      <c r="V3648" s="508">
        <v>0.76100000000000001</v>
      </c>
      <c r="W3648" s="508">
        <v>0.7</v>
      </c>
      <c r="X3648" s="508">
        <v>0.68200000000000005</v>
      </c>
      <c r="Y3648" s="508">
        <v>0.69199999999999995</v>
      </c>
      <c r="Z3648" s="508">
        <v>0.69799999999999995</v>
      </c>
      <c r="AA3648" s="508">
        <v>3.5999999999999997E-2</v>
      </c>
      <c r="AB3648" s="508">
        <v>3.5000000000000003E-2</v>
      </c>
      <c r="AC3648" s="508">
        <v>3.7999999999999999E-2</v>
      </c>
      <c r="AD3648" s="508">
        <v>3.5000000000000003E-2</v>
      </c>
      <c r="AE3648" s="508">
        <v>3.4000000000000002E-2</v>
      </c>
      <c r="AF3648" s="508">
        <v>2.1999999999999999E-2</v>
      </c>
      <c r="AG3648" s="508">
        <v>2.1000000000000001E-2</v>
      </c>
      <c r="AH3648" s="508">
        <v>0.02</v>
      </c>
      <c r="AI3648" s="492">
        <v>0.02</v>
      </c>
      <c r="AJ3648" s="485"/>
    </row>
    <row r="3649" spans="2:36">
      <c r="B3649" s="136" t="s">
        <v>438</v>
      </c>
      <c r="C3649" s="132" t="s">
        <v>1363</v>
      </c>
      <c r="D3649" s="132" t="s">
        <v>284</v>
      </c>
      <c r="E3649" s="508">
        <v>2.8769999999999998</v>
      </c>
      <c r="F3649" s="508">
        <v>2.8540000000000001</v>
      </c>
      <c r="G3649" s="508">
        <v>2.758</v>
      </c>
      <c r="H3649" s="508">
        <v>1.1100000000000001</v>
      </c>
      <c r="I3649" s="508">
        <v>1.111</v>
      </c>
      <c r="J3649" s="508">
        <v>1.1240000000000001</v>
      </c>
      <c r="K3649" s="508">
        <v>1.1539999999999999</v>
      </c>
      <c r="L3649" s="508">
        <v>1.137</v>
      </c>
      <c r="M3649" s="508">
        <v>1.1579999999999999</v>
      </c>
      <c r="N3649" s="508">
        <v>1.1479999999999999</v>
      </c>
      <c r="O3649" s="508">
        <v>1.1399999999999999</v>
      </c>
      <c r="P3649" s="508">
        <v>1.1399999999999999</v>
      </c>
      <c r="Q3649" s="508">
        <v>1.121</v>
      </c>
      <c r="R3649" s="508">
        <v>0.751</v>
      </c>
      <c r="S3649" s="508">
        <v>0.748</v>
      </c>
      <c r="T3649" s="508">
        <v>0.74399999999999999</v>
      </c>
      <c r="U3649" s="508">
        <v>0.749</v>
      </c>
      <c r="V3649" s="508">
        <v>0.71299999999999997</v>
      </c>
      <c r="W3649" s="508">
        <v>0.65600000000000003</v>
      </c>
      <c r="X3649" s="508">
        <v>0.64</v>
      </c>
      <c r="Y3649" s="508">
        <v>0.64800000000000002</v>
      </c>
      <c r="Z3649" s="508">
        <v>0.65400000000000003</v>
      </c>
      <c r="AA3649" s="508">
        <v>3.4000000000000002E-2</v>
      </c>
      <c r="AB3649" s="508">
        <v>3.3000000000000002E-2</v>
      </c>
      <c r="AC3649" s="508">
        <v>3.5000000000000003E-2</v>
      </c>
      <c r="AD3649" s="508">
        <v>3.3000000000000002E-2</v>
      </c>
      <c r="AE3649" s="508">
        <v>3.2000000000000001E-2</v>
      </c>
      <c r="AF3649" s="508">
        <v>2.1000000000000001E-2</v>
      </c>
      <c r="AG3649" s="508">
        <v>0.02</v>
      </c>
      <c r="AH3649" s="508">
        <v>1.9E-2</v>
      </c>
      <c r="AI3649" s="492">
        <v>1.9E-2</v>
      </c>
      <c r="AJ3649" s="485"/>
    </row>
    <row r="3650" spans="2:36">
      <c r="B3650" s="136" t="s">
        <v>439</v>
      </c>
      <c r="C3650" s="132" t="s">
        <v>1363</v>
      </c>
      <c r="D3650" s="132" t="s">
        <v>284</v>
      </c>
      <c r="E3650" s="508">
        <v>2.9929999999999999</v>
      </c>
      <c r="F3650" s="508">
        <v>2.9689999999999999</v>
      </c>
      <c r="G3650" s="508">
        <v>2.8719999999999999</v>
      </c>
      <c r="H3650" s="508">
        <v>1.1859999999999999</v>
      </c>
      <c r="I3650" s="508">
        <v>1.1879999999999999</v>
      </c>
      <c r="J3650" s="508">
        <v>1.2010000000000001</v>
      </c>
      <c r="K3650" s="508">
        <v>1.216</v>
      </c>
      <c r="L3650" s="508">
        <v>1.2</v>
      </c>
      <c r="M3650" s="508">
        <v>1.2190000000000001</v>
      </c>
      <c r="N3650" s="508">
        <v>1.2430000000000001</v>
      </c>
      <c r="O3650" s="508">
        <v>1.2330000000000001</v>
      </c>
      <c r="P3650" s="508">
        <v>1.234</v>
      </c>
      <c r="Q3650" s="508">
        <v>1.212</v>
      </c>
      <c r="R3650" s="508">
        <v>0.80800000000000005</v>
      </c>
      <c r="S3650" s="508">
        <v>0.80500000000000005</v>
      </c>
      <c r="T3650" s="508">
        <v>0.80100000000000005</v>
      </c>
      <c r="U3650" s="508">
        <v>0.80600000000000005</v>
      </c>
      <c r="V3650" s="508">
        <v>0.76700000000000002</v>
      </c>
      <c r="W3650" s="508">
        <v>0.70599999999999996</v>
      </c>
      <c r="X3650" s="508">
        <v>0.68799999999999994</v>
      </c>
      <c r="Y3650" s="508">
        <v>0.69699999999999995</v>
      </c>
      <c r="Z3650" s="508">
        <v>0.70299999999999996</v>
      </c>
      <c r="AA3650" s="508">
        <v>3.6999999999999998E-2</v>
      </c>
      <c r="AB3650" s="508">
        <v>3.5999999999999997E-2</v>
      </c>
      <c r="AC3650" s="508">
        <v>3.7999999999999999E-2</v>
      </c>
      <c r="AD3650" s="508">
        <v>3.5000000000000003E-2</v>
      </c>
      <c r="AE3650" s="508">
        <v>3.4000000000000002E-2</v>
      </c>
      <c r="AF3650" s="508">
        <v>2.1999999999999999E-2</v>
      </c>
      <c r="AG3650" s="508">
        <v>2.1000000000000001E-2</v>
      </c>
      <c r="AH3650" s="508">
        <v>2.1000000000000001E-2</v>
      </c>
      <c r="AI3650" s="492">
        <v>2.1000000000000001E-2</v>
      </c>
      <c r="AJ3650" s="485"/>
    </row>
    <row r="3651" spans="2:36">
      <c r="B3651" s="136" t="s">
        <v>440</v>
      </c>
      <c r="C3651" s="132" t="s">
        <v>1363</v>
      </c>
      <c r="D3651" s="132" t="s">
        <v>284</v>
      </c>
      <c r="E3651" s="508">
        <v>2.956</v>
      </c>
      <c r="F3651" s="508">
        <v>2.9319999999999999</v>
      </c>
      <c r="G3651" s="508">
        <v>2.835</v>
      </c>
      <c r="H3651" s="508">
        <v>1.1619999999999999</v>
      </c>
      <c r="I3651" s="508">
        <v>1.163</v>
      </c>
      <c r="J3651" s="508">
        <v>1.1759999999999999</v>
      </c>
      <c r="K3651" s="508">
        <v>1.196</v>
      </c>
      <c r="L3651" s="508">
        <v>1.18</v>
      </c>
      <c r="M3651" s="508">
        <v>1.2</v>
      </c>
      <c r="N3651" s="508">
        <v>1.212</v>
      </c>
      <c r="O3651" s="508">
        <v>1.2030000000000001</v>
      </c>
      <c r="P3651" s="508">
        <v>1.2030000000000001</v>
      </c>
      <c r="Q3651" s="508">
        <v>1.1819999999999999</v>
      </c>
      <c r="R3651" s="508">
        <v>0.79</v>
      </c>
      <c r="S3651" s="508">
        <v>0.78700000000000003</v>
      </c>
      <c r="T3651" s="508">
        <v>0.78300000000000003</v>
      </c>
      <c r="U3651" s="508">
        <v>0.78800000000000003</v>
      </c>
      <c r="V3651" s="508">
        <v>0.75</v>
      </c>
      <c r="W3651" s="508">
        <v>0.69</v>
      </c>
      <c r="X3651" s="508">
        <v>0.67200000000000004</v>
      </c>
      <c r="Y3651" s="508">
        <v>0.68200000000000005</v>
      </c>
      <c r="Z3651" s="508">
        <v>0.68700000000000006</v>
      </c>
      <c r="AA3651" s="508">
        <v>3.5999999999999997E-2</v>
      </c>
      <c r="AB3651" s="508">
        <v>3.5000000000000003E-2</v>
      </c>
      <c r="AC3651" s="508">
        <v>3.6999999999999998E-2</v>
      </c>
      <c r="AD3651" s="508">
        <v>3.4000000000000002E-2</v>
      </c>
      <c r="AE3651" s="508">
        <v>3.3000000000000002E-2</v>
      </c>
      <c r="AF3651" s="508">
        <v>2.1999999999999999E-2</v>
      </c>
      <c r="AG3651" s="508">
        <v>2.1000000000000001E-2</v>
      </c>
      <c r="AH3651" s="508">
        <v>0.02</v>
      </c>
      <c r="AI3651" s="492">
        <v>0.02</v>
      </c>
      <c r="AJ3651" s="485"/>
    </row>
    <row r="3652" spans="2:36">
      <c r="B3652" s="136" t="s">
        <v>441</v>
      </c>
      <c r="C3652" s="132" t="s">
        <v>1363</v>
      </c>
      <c r="D3652" s="132" t="s">
        <v>284</v>
      </c>
      <c r="E3652" s="508">
        <v>3.004</v>
      </c>
      <c r="F3652" s="508">
        <v>2.9790000000000001</v>
      </c>
      <c r="G3652" s="508">
        <v>2.8820000000000001</v>
      </c>
      <c r="H3652" s="508">
        <v>1.1930000000000001</v>
      </c>
      <c r="I3652" s="508">
        <v>1.1950000000000001</v>
      </c>
      <c r="J3652" s="508">
        <v>1.208</v>
      </c>
      <c r="K3652" s="508">
        <v>1.2210000000000001</v>
      </c>
      <c r="L3652" s="508">
        <v>1.2050000000000001</v>
      </c>
      <c r="M3652" s="508">
        <v>1.224</v>
      </c>
      <c r="N3652" s="508">
        <v>1.252</v>
      </c>
      <c r="O3652" s="508">
        <v>1.242</v>
      </c>
      <c r="P3652" s="508">
        <v>1.2430000000000001</v>
      </c>
      <c r="Q3652" s="508">
        <v>1.22</v>
      </c>
      <c r="R3652" s="508">
        <v>0.81299999999999994</v>
      </c>
      <c r="S3652" s="508">
        <v>0.81</v>
      </c>
      <c r="T3652" s="508">
        <v>0.80600000000000005</v>
      </c>
      <c r="U3652" s="508">
        <v>0.81100000000000005</v>
      </c>
      <c r="V3652" s="508">
        <v>0.77200000000000002</v>
      </c>
      <c r="W3652" s="508">
        <v>0.71</v>
      </c>
      <c r="X3652" s="508">
        <v>0.69199999999999995</v>
      </c>
      <c r="Y3652" s="508">
        <v>0.70199999999999996</v>
      </c>
      <c r="Z3652" s="508">
        <v>0.70699999999999996</v>
      </c>
      <c r="AA3652" s="508">
        <v>3.6999999999999998E-2</v>
      </c>
      <c r="AB3652" s="508">
        <v>3.5999999999999997E-2</v>
      </c>
      <c r="AC3652" s="508">
        <v>3.7999999999999999E-2</v>
      </c>
      <c r="AD3652" s="508">
        <v>3.5000000000000003E-2</v>
      </c>
      <c r="AE3652" s="508">
        <v>3.4000000000000002E-2</v>
      </c>
      <c r="AF3652" s="508">
        <v>2.1999999999999999E-2</v>
      </c>
      <c r="AG3652" s="508">
        <v>2.1000000000000001E-2</v>
      </c>
      <c r="AH3652" s="508">
        <v>2.1000000000000001E-2</v>
      </c>
      <c r="AI3652" s="492">
        <v>2.1000000000000001E-2</v>
      </c>
      <c r="AJ3652" s="485"/>
    </row>
    <row r="3653" spans="2:36">
      <c r="B3653" s="136" t="s">
        <v>443</v>
      </c>
      <c r="C3653" s="132" t="s">
        <v>1363</v>
      </c>
      <c r="D3653" s="132" t="s">
        <v>284</v>
      </c>
      <c r="E3653" s="508">
        <v>3.0870000000000002</v>
      </c>
      <c r="F3653" s="508">
        <v>3.0619999999999998</v>
      </c>
      <c r="G3653" s="508">
        <v>2.964</v>
      </c>
      <c r="H3653" s="508">
        <v>1.2310000000000001</v>
      </c>
      <c r="I3653" s="508">
        <v>1.2330000000000001</v>
      </c>
      <c r="J3653" s="508">
        <v>1.248</v>
      </c>
      <c r="K3653" s="508">
        <v>1.252</v>
      </c>
      <c r="L3653" s="508">
        <v>1.2370000000000001</v>
      </c>
      <c r="M3653" s="508">
        <v>1.2549999999999999</v>
      </c>
      <c r="N3653" s="508">
        <v>1.2849999999999999</v>
      </c>
      <c r="O3653" s="508">
        <v>1.274</v>
      </c>
      <c r="P3653" s="508">
        <v>1.274</v>
      </c>
      <c r="Q3653" s="508">
        <v>1.2470000000000001</v>
      </c>
      <c r="R3653" s="508">
        <v>0.85199999999999998</v>
      </c>
      <c r="S3653" s="508">
        <v>0.84899999999999998</v>
      </c>
      <c r="T3653" s="508">
        <v>0.84499999999999997</v>
      </c>
      <c r="U3653" s="508">
        <v>0.85</v>
      </c>
      <c r="V3653" s="508">
        <v>0.81</v>
      </c>
      <c r="W3653" s="508">
        <v>0.745</v>
      </c>
      <c r="X3653" s="508">
        <v>0.72599999999999998</v>
      </c>
      <c r="Y3653" s="508">
        <v>0.73599999999999999</v>
      </c>
      <c r="Z3653" s="508">
        <v>0.74199999999999999</v>
      </c>
      <c r="AA3653" s="508">
        <v>3.7999999999999999E-2</v>
      </c>
      <c r="AB3653" s="508">
        <v>3.6999999999999998E-2</v>
      </c>
      <c r="AC3653" s="508">
        <v>3.9E-2</v>
      </c>
      <c r="AD3653" s="508">
        <v>3.5999999999999997E-2</v>
      </c>
      <c r="AE3653" s="508">
        <v>3.5999999999999997E-2</v>
      </c>
      <c r="AF3653" s="508">
        <v>2.3E-2</v>
      </c>
      <c r="AG3653" s="508">
        <v>2.1999999999999999E-2</v>
      </c>
      <c r="AH3653" s="508">
        <v>2.1000000000000001E-2</v>
      </c>
      <c r="AI3653" s="492">
        <v>2.1000000000000001E-2</v>
      </c>
      <c r="AJ3653" s="485"/>
    </row>
    <row r="3654" spans="2:36">
      <c r="B3654" s="136" t="s">
        <v>445</v>
      </c>
      <c r="C3654" s="132" t="s">
        <v>1363</v>
      </c>
      <c r="D3654" s="132" t="s">
        <v>284</v>
      </c>
      <c r="E3654" s="508">
        <v>3.278</v>
      </c>
      <c r="F3654" s="508">
        <v>3.2519999999999998</v>
      </c>
      <c r="G3654" s="508">
        <v>3.1509999999999998</v>
      </c>
      <c r="H3654" s="508">
        <v>1.36</v>
      </c>
      <c r="I3654" s="508">
        <v>1.3620000000000001</v>
      </c>
      <c r="J3654" s="508">
        <v>1.379</v>
      </c>
      <c r="K3654" s="508">
        <v>1.359</v>
      </c>
      <c r="L3654" s="508">
        <v>1.3460000000000001</v>
      </c>
      <c r="M3654" s="508">
        <v>1.361</v>
      </c>
      <c r="N3654" s="508">
        <v>1.4470000000000001</v>
      </c>
      <c r="O3654" s="508">
        <v>1.4330000000000001</v>
      </c>
      <c r="P3654" s="508">
        <v>1.4339999999999999</v>
      </c>
      <c r="Q3654" s="508">
        <v>1.4019999999999999</v>
      </c>
      <c r="R3654" s="508">
        <v>0.95</v>
      </c>
      <c r="S3654" s="508">
        <v>0.94599999999999995</v>
      </c>
      <c r="T3654" s="508">
        <v>0.94099999999999995</v>
      </c>
      <c r="U3654" s="508">
        <v>0.94699999999999995</v>
      </c>
      <c r="V3654" s="508">
        <v>0.90100000000000002</v>
      </c>
      <c r="W3654" s="508">
        <v>0.82899999999999996</v>
      </c>
      <c r="X3654" s="508">
        <v>0.80700000000000005</v>
      </c>
      <c r="Y3654" s="508">
        <v>0.81899999999999995</v>
      </c>
      <c r="Z3654" s="508">
        <v>0.82599999999999996</v>
      </c>
      <c r="AA3654" s="508">
        <v>4.2000000000000003E-2</v>
      </c>
      <c r="AB3654" s="508">
        <v>4.1000000000000002E-2</v>
      </c>
      <c r="AC3654" s="508">
        <v>4.2999999999999997E-2</v>
      </c>
      <c r="AD3654" s="508">
        <v>0.04</v>
      </c>
      <c r="AE3654" s="508">
        <v>3.9E-2</v>
      </c>
      <c r="AF3654" s="508">
        <v>2.5000000000000001E-2</v>
      </c>
      <c r="AG3654" s="508">
        <v>2.4E-2</v>
      </c>
      <c r="AH3654" s="508">
        <v>2.4E-2</v>
      </c>
      <c r="AI3654" s="492">
        <v>2.4E-2</v>
      </c>
      <c r="AJ3654" s="485"/>
    </row>
    <row r="3655" spans="2:36">
      <c r="B3655" s="136" t="s">
        <v>446</v>
      </c>
      <c r="C3655" s="132" t="s">
        <v>1363</v>
      </c>
      <c r="D3655" s="132" t="s">
        <v>284</v>
      </c>
      <c r="E3655" s="508">
        <v>3.113</v>
      </c>
      <c r="F3655" s="508">
        <v>3.0880000000000001</v>
      </c>
      <c r="G3655" s="508">
        <v>2.99</v>
      </c>
      <c r="H3655" s="508">
        <v>1.258</v>
      </c>
      <c r="I3655" s="508">
        <v>1.2589999999999999</v>
      </c>
      <c r="J3655" s="508">
        <v>1.2749999999999999</v>
      </c>
      <c r="K3655" s="508">
        <v>1.276</v>
      </c>
      <c r="L3655" s="508">
        <v>1.2609999999999999</v>
      </c>
      <c r="M3655" s="508">
        <v>1.278</v>
      </c>
      <c r="N3655" s="508">
        <v>1.325</v>
      </c>
      <c r="O3655" s="508">
        <v>1.3129999999999999</v>
      </c>
      <c r="P3655" s="508">
        <v>1.3140000000000001</v>
      </c>
      <c r="Q3655" s="508">
        <v>1.2869999999999999</v>
      </c>
      <c r="R3655" s="508">
        <v>0.86799999999999999</v>
      </c>
      <c r="S3655" s="508">
        <v>0.86499999999999999</v>
      </c>
      <c r="T3655" s="508">
        <v>0.86</v>
      </c>
      <c r="U3655" s="508">
        <v>0.86599999999999999</v>
      </c>
      <c r="V3655" s="508">
        <v>0.82399999999999995</v>
      </c>
      <c r="W3655" s="508">
        <v>0.75800000000000001</v>
      </c>
      <c r="X3655" s="508">
        <v>0.73899999999999999</v>
      </c>
      <c r="Y3655" s="508">
        <v>0.749</v>
      </c>
      <c r="Z3655" s="508">
        <v>0.755</v>
      </c>
      <c r="AA3655" s="508">
        <v>3.9E-2</v>
      </c>
      <c r="AB3655" s="508">
        <v>3.7999999999999999E-2</v>
      </c>
      <c r="AC3655" s="508">
        <v>0.04</v>
      </c>
      <c r="AD3655" s="508">
        <v>3.6999999999999998E-2</v>
      </c>
      <c r="AE3655" s="508">
        <v>3.5999999999999997E-2</v>
      </c>
      <c r="AF3655" s="508">
        <v>2.3E-2</v>
      </c>
      <c r="AG3655" s="508">
        <v>2.1999999999999999E-2</v>
      </c>
      <c r="AH3655" s="508">
        <v>2.1999999999999999E-2</v>
      </c>
      <c r="AI3655" s="492">
        <v>2.1999999999999999E-2</v>
      </c>
      <c r="AJ3655" s="485"/>
    </row>
    <row r="3656" spans="2:36">
      <c r="B3656" s="136" t="s">
        <v>448</v>
      </c>
      <c r="C3656" s="132" t="s">
        <v>1363</v>
      </c>
      <c r="D3656" s="132" t="s">
        <v>284</v>
      </c>
      <c r="E3656" s="508">
        <v>2.9129999999999998</v>
      </c>
      <c r="F3656" s="508">
        <v>2.89</v>
      </c>
      <c r="G3656" s="508">
        <v>2.794</v>
      </c>
      <c r="H3656" s="508">
        <v>1.1319999999999999</v>
      </c>
      <c r="I3656" s="508">
        <v>1.1339999999999999</v>
      </c>
      <c r="J3656" s="508">
        <v>1.147</v>
      </c>
      <c r="K3656" s="508">
        <v>1.1719999999999999</v>
      </c>
      <c r="L3656" s="508">
        <v>1.155</v>
      </c>
      <c r="M3656" s="508">
        <v>1.1759999999999999</v>
      </c>
      <c r="N3656" s="508">
        <v>1.175</v>
      </c>
      <c r="O3656" s="508">
        <v>1.1659999999999999</v>
      </c>
      <c r="P3656" s="508">
        <v>1.1659999999999999</v>
      </c>
      <c r="Q3656" s="508">
        <v>1.1459999999999999</v>
      </c>
      <c r="R3656" s="508">
        <v>0.76800000000000002</v>
      </c>
      <c r="S3656" s="508">
        <v>0.76600000000000001</v>
      </c>
      <c r="T3656" s="508">
        <v>0.76100000000000001</v>
      </c>
      <c r="U3656" s="508">
        <v>0.76600000000000001</v>
      </c>
      <c r="V3656" s="508">
        <v>0.73</v>
      </c>
      <c r="W3656" s="508">
        <v>0.67200000000000004</v>
      </c>
      <c r="X3656" s="508">
        <v>0.65500000000000003</v>
      </c>
      <c r="Y3656" s="508">
        <v>0.66300000000000003</v>
      </c>
      <c r="Z3656" s="508">
        <v>0.66900000000000004</v>
      </c>
      <c r="AA3656" s="508">
        <v>3.5000000000000003E-2</v>
      </c>
      <c r="AB3656" s="508">
        <v>3.4000000000000002E-2</v>
      </c>
      <c r="AC3656" s="508">
        <v>3.5999999999999997E-2</v>
      </c>
      <c r="AD3656" s="508">
        <v>3.4000000000000002E-2</v>
      </c>
      <c r="AE3656" s="508">
        <v>3.3000000000000002E-2</v>
      </c>
      <c r="AF3656" s="508">
        <v>2.1000000000000001E-2</v>
      </c>
      <c r="AG3656" s="508">
        <v>0.02</v>
      </c>
      <c r="AH3656" s="508">
        <v>0.02</v>
      </c>
      <c r="AI3656" s="492">
        <v>0.02</v>
      </c>
      <c r="AJ3656" s="485"/>
    </row>
    <row r="3657" spans="2:36">
      <c r="B3657" s="136" t="s">
        <v>449</v>
      </c>
      <c r="C3657" s="132" t="s">
        <v>1363</v>
      </c>
      <c r="D3657" s="132" t="s">
        <v>284</v>
      </c>
      <c r="E3657" s="508">
        <v>3.097</v>
      </c>
      <c r="F3657" s="508">
        <v>3.0720000000000001</v>
      </c>
      <c r="G3657" s="508">
        <v>2.9740000000000002</v>
      </c>
      <c r="H3657" s="508">
        <v>1.242</v>
      </c>
      <c r="I3657" s="508">
        <v>1.2430000000000001</v>
      </c>
      <c r="J3657" s="508">
        <v>1.2589999999999999</v>
      </c>
      <c r="K3657" s="508">
        <v>1.2609999999999999</v>
      </c>
      <c r="L3657" s="508">
        <v>1.246</v>
      </c>
      <c r="M3657" s="508">
        <v>1.264</v>
      </c>
      <c r="N3657" s="508">
        <v>1.3009999999999999</v>
      </c>
      <c r="O3657" s="508">
        <v>1.29</v>
      </c>
      <c r="P3657" s="508">
        <v>1.29</v>
      </c>
      <c r="Q3657" s="508">
        <v>1.2629999999999999</v>
      </c>
      <c r="R3657" s="508">
        <v>0.85799999999999998</v>
      </c>
      <c r="S3657" s="508">
        <v>0.85499999999999998</v>
      </c>
      <c r="T3657" s="508">
        <v>0.85</v>
      </c>
      <c r="U3657" s="508">
        <v>0.85599999999999998</v>
      </c>
      <c r="V3657" s="508">
        <v>0.81499999999999995</v>
      </c>
      <c r="W3657" s="508">
        <v>0.75</v>
      </c>
      <c r="X3657" s="508">
        <v>0.73099999999999998</v>
      </c>
      <c r="Y3657" s="508">
        <v>0.74099999999999999</v>
      </c>
      <c r="Z3657" s="508">
        <v>0.747</v>
      </c>
      <c r="AA3657" s="508">
        <v>3.7999999999999999E-2</v>
      </c>
      <c r="AB3657" s="508">
        <v>3.6999999999999998E-2</v>
      </c>
      <c r="AC3657" s="508">
        <v>0.04</v>
      </c>
      <c r="AD3657" s="508">
        <v>3.6999999999999998E-2</v>
      </c>
      <c r="AE3657" s="508">
        <v>3.5999999999999997E-2</v>
      </c>
      <c r="AF3657" s="508">
        <v>2.3E-2</v>
      </c>
      <c r="AG3657" s="508">
        <v>2.1999999999999999E-2</v>
      </c>
      <c r="AH3657" s="508">
        <v>2.1999999999999999E-2</v>
      </c>
      <c r="AI3657" s="492">
        <v>2.1999999999999999E-2</v>
      </c>
      <c r="AJ3657" s="485"/>
    </row>
    <row r="3658" spans="2:36">
      <c r="B3658" s="136" t="s">
        <v>450</v>
      </c>
      <c r="C3658" s="132" t="s">
        <v>1363</v>
      </c>
      <c r="D3658" s="132" t="s">
        <v>284</v>
      </c>
      <c r="E3658" s="508">
        <v>2.9079999999999999</v>
      </c>
      <c r="F3658" s="508">
        <v>2.8849999999999998</v>
      </c>
      <c r="G3658" s="508">
        <v>2.7879999999999998</v>
      </c>
      <c r="H3658" s="508">
        <v>1.1279999999999999</v>
      </c>
      <c r="I3658" s="508">
        <v>1.129</v>
      </c>
      <c r="J3658" s="508">
        <v>1.1419999999999999</v>
      </c>
      <c r="K3658" s="508">
        <v>1.169</v>
      </c>
      <c r="L3658" s="508">
        <v>1.1519999999999999</v>
      </c>
      <c r="M3658" s="508">
        <v>1.1719999999999999</v>
      </c>
      <c r="N3658" s="508">
        <v>1.1679999999999999</v>
      </c>
      <c r="O3658" s="508">
        <v>1.159</v>
      </c>
      <c r="P3658" s="508">
        <v>1.1599999999999999</v>
      </c>
      <c r="Q3658" s="508">
        <v>1.139</v>
      </c>
      <c r="R3658" s="508">
        <v>0.76600000000000001</v>
      </c>
      <c r="S3658" s="508">
        <v>0.76300000000000001</v>
      </c>
      <c r="T3658" s="508">
        <v>0.75900000000000001</v>
      </c>
      <c r="U3658" s="508">
        <v>0.76400000000000001</v>
      </c>
      <c r="V3658" s="508">
        <v>0.72699999999999998</v>
      </c>
      <c r="W3658" s="508">
        <v>0.66900000000000004</v>
      </c>
      <c r="X3658" s="508">
        <v>0.65200000000000002</v>
      </c>
      <c r="Y3658" s="508">
        <v>0.66100000000000003</v>
      </c>
      <c r="Z3658" s="508">
        <v>0.66700000000000004</v>
      </c>
      <c r="AA3658" s="508">
        <v>3.5000000000000003E-2</v>
      </c>
      <c r="AB3658" s="508">
        <v>3.4000000000000002E-2</v>
      </c>
      <c r="AC3658" s="508">
        <v>3.5999999999999997E-2</v>
      </c>
      <c r="AD3658" s="508">
        <v>3.3000000000000002E-2</v>
      </c>
      <c r="AE3658" s="508">
        <v>3.3000000000000002E-2</v>
      </c>
      <c r="AF3658" s="508">
        <v>2.1000000000000001E-2</v>
      </c>
      <c r="AG3658" s="508">
        <v>0.02</v>
      </c>
      <c r="AH3658" s="508">
        <v>0.02</v>
      </c>
      <c r="AI3658" s="492">
        <v>0.02</v>
      </c>
      <c r="AJ3658" s="485"/>
    </row>
    <row r="3659" spans="2:36">
      <c r="B3659" s="136" t="s">
        <v>451</v>
      </c>
      <c r="C3659" s="132" t="s">
        <v>1363</v>
      </c>
      <c r="D3659" s="132" t="s">
        <v>284</v>
      </c>
      <c r="E3659" s="508">
        <v>3.1549999999999998</v>
      </c>
      <c r="F3659" s="508">
        <v>3.13</v>
      </c>
      <c r="G3659" s="508">
        <v>3.0310000000000001</v>
      </c>
      <c r="H3659" s="508">
        <v>1.286</v>
      </c>
      <c r="I3659" s="508">
        <v>1.2869999999999999</v>
      </c>
      <c r="J3659" s="508">
        <v>1.3029999999999999</v>
      </c>
      <c r="K3659" s="508">
        <v>1.298</v>
      </c>
      <c r="L3659" s="508">
        <v>1.2829999999999999</v>
      </c>
      <c r="M3659" s="508">
        <v>1.3009999999999999</v>
      </c>
      <c r="N3659" s="508">
        <v>1.36</v>
      </c>
      <c r="O3659" s="508">
        <v>1.3480000000000001</v>
      </c>
      <c r="P3659" s="508">
        <v>1.349</v>
      </c>
      <c r="Q3659" s="508">
        <v>1.321</v>
      </c>
      <c r="R3659" s="508">
        <v>0.88900000000000001</v>
      </c>
      <c r="S3659" s="508">
        <v>0.88600000000000001</v>
      </c>
      <c r="T3659" s="508">
        <v>0.88100000000000001</v>
      </c>
      <c r="U3659" s="508">
        <v>0.88600000000000001</v>
      </c>
      <c r="V3659" s="508">
        <v>0.84299999999999997</v>
      </c>
      <c r="W3659" s="508">
        <v>0.77600000000000002</v>
      </c>
      <c r="X3659" s="508">
        <v>0.75600000000000001</v>
      </c>
      <c r="Y3659" s="508">
        <v>0.76700000000000002</v>
      </c>
      <c r="Z3659" s="508">
        <v>0.77300000000000002</v>
      </c>
      <c r="AA3659" s="508">
        <v>0.04</v>
      </c>
      <c r="AB3659" s="508">
        <v>3.9E-2</v>
      </c>
      <c r="AC3659" s="508">
        <v>4.1000000000000002E-2</v>
      </c>
      <c r="AD3659" s="508">
        <v>3.7999999999999999E-2</v>
      </c>
      <c r="AE3659" s="508">
        <v>3.6999999999999998E-2</v>
      </c>
      <c r="AF3659" s="508">
        <v>2.4E-2</v>
      </c>
      <c r="AG3659" s="508">
        <v>2.3E-2</v>
      </c>
      <c r="AH3659" s="508">
        <v>2.1999999999999999E-2</v>
      </c>
      <c r="AI3659" s="492">
        <v>2.1999999999999999E-2</v>
      </c>
      <c r="AJ3659" s="485"/>
    </row>
    <row r="3660" spans="2:36">
      <c r="B3660" s="136" t="s">
        <v>452</v>
      </c>
      <c r="C3660" s="132" t="s">
        <v>1363</v>
      </c>
      <c r="D3660" s="132" t="s">
        <v>284</v>
      </c>
      <c r="E3660" s="508">
        <v>2.9969999999999999</v>
      </c>
      <c r="F3660" s="508">
        <v>2.9729999999999999</v>
      </c>
      <c r="G3660" s="508">
        <v>2.8759999999999999</v>
      </c>
      <c r="H3660" s="508">
        <v>1.1839999999999999</v>
      </c>
      <c r="I3660" s="508">
        <v>1.1850000000000001</v>
      </c>
      <c r="J3660" s="508">
        <v>1.1990000000000001</v>
      </c>
      <c r="K3660" s="508">
        <v>1.2150000000000001</v>
      </c>
      <c r="L3660" s="508">
        <v>1.1990000000000001</v>
      </c>
      <c r="M3660" s="508">
        <v>1.218</v>
      </c>
      <c r="N3660" s="508">
        <v>1.2350000000000001</v>
      </c>
      <c r="O3660" s="508">
        <v>1.2250000000000001</v>
      </c>
      <c r="P3660" s="508">
        <v>1.2250000000000001</v>
      </c>
      <c r="Q3660" s="508">
        <v>1.202</v>
      </c>
      <c r="R3660" s="508">
        <v>0.81</v>
      </c>
      <c r="S3660" s="508">
        <v>0.80700000000000005</v>
      </c>
      <c r="T3660" s="508">
        <v>0.80300000000000005</v>
      </c>
      <c r="U3660" s="508">
        <v>0.80800000000000005</v>
      </c>
      <c r="V3660" s="508">
        <v>0.76900000000000002</v>
      </c>
      <c r="W3660" s="508">
        <v>0.70799999999999996</v>
      </c>
      <c r="X3660" s="508">
        <v>0.69</v>
      </c>
      <c r="Y3660" s="508">
        <v>0.69899999999999995</v>
      </c>
      <c r="Z3660" s="508">
        <v>0.70499999999999996</v>
      </c>
      <c r="AA3660" s="508">
        <v>3.6999999999999998E-2</v>
      </c>
      <c r="AB3660" s="508">
        <v>3.5999999999999997E-2</v>
      </c>
      <c r="AC3660" s="508">
        <v>3.7999999999999999E-2</v>
      </c>
      <c r="AD3660" s="508">
        <v>3.5000000000000003E-2</v>
      </c>
      <c r="AE3660" s="508">
        <v>3.4000000000000002E-2</v>
      </c>
      <c r="AF3660" s="508">
        <v>2.1999999999999999E-2</v>
      </c>
      <c r="AG3660" s="508">
        <v>2.1000000000000001E-2</v>
      </c>
      <c r="AH3660" s="508">
        <v>2.1000000000000001E-2</v>
      </c>
      <c r="AI3660" s="492">
        <v>2.1000000000000001E-2</v>
      </c>
      <c r="AJ3660" s="485"/>
    </row>
    <row r="3661" spans="2:36">
      <c r="B3661" s="136" t="s">
        <v>453</v>
      </c>
      <c r="C3661" s="132" t="s">
        <v>1363</v>
      </c>
      <c r="D3661" s="132" t="s">
        <v>284</v>
      </c>
      <c r="E3661" s="508">
        <v>2.8879999999999999</v>
      </c>
      <c r="F3661" s="508">
        <v>2.8639999999999999</v>
      </c>
      <c r="G3661" s="508">
        <v>2.7679999999999998</v>
      </c>
      <c r="H3661" s="508">
        <v>1.115</v>
      </c>
      <c r="I3661" s="508">
        <v>1.1160000000000001</v>
      </c>
      <c r="J3661" s="508">
        <v>1.129</v>
      </c>
      <c r="K3661" s="508">
        <v>1.1579999999999999</v>
      </c>
      <c r="L3661" s="508">
        <v>1.141</v>
      </c>
      <c r="M3661" s="508">
        <v>1.1619999999999999</v>
      </c>
      <c r="N3661" s="508">
        <v>1.1519999999999999</v>
      </c>
      <c r="O3661" s="508">
        <v>1.1439999999999999</v>
      </c>
      <c r="P3661" s="508">
        <v>1.1439999999999999</v>
      </c>
      <c r="Q3661" s="508">
        <v>1.1240000000000001</v>
      </c>
      <c r="R3661" s="508">
        <v>0.75600000000000001</v>
      </c>
      <c r="S3661" s="508">
        <v>0.753</v>
      </c>
      <c r="T3661" s="508">
        <v>0.749</v>
      </c>
      <c r="U3661" s="508">
        <v>0.753</v>
      </c>
      <c r="V3661" s="508">
        <v>0.71799999999999997</v>
      </c>
      <c r="W3661" s="508">
        <v>0.66100000000000003</v>
      </c>
      <c r="X3661" s="508">
        <v>0.64400000000000002</v>
      </c>
      <c r="Y3661" s="508">
        <v>0.65300000000000002</v>
      </c>
      <c r="Z3661" s="508">
        <v>0.65800000000000003</v>
      </c>
      <c r="AA3661" s="508">
        <v>3.5000000000000003E-2</v>
      </c>
      <c r="AB3661" s="508">
        <v>3.4000000000000002E-2</v>
      </c>
      <c r="AC3661" s="508">
        <v>3.5999999999999997E-2</v>
      </c>
      <c r="AD3661" s="508">
        <v>3.3000000000000002E-2</v>
      </c>
      <c r="AE3661" s="508">
        <v>3.2000000000000001E-2</v>
      </c>
      <c r="AF3661" s="508">
        <v>2.1000000000000001E-2</v>
      </c>
      <c r="AG3661" s="508">
        <v>0.02</v>
      </c>
      <c r="AH3661" s="508">
        <v>1.9E-2</v>
      </c>
      <c r="AI3661" s="492">
        <v>1.9E-2</v>
      </c>
      <c r="AJ3661" s="485"/>
    </row>
    <row r="3662" spans="2:36">
      <c r="B3662" s="136" t="s">
        <v>454</v>
      </c>
      <c r="C3662" s="132" t="s">
        <v>1363</v>
      </c>
      <c r="D3662" s="132" t="s">
        <v>284</v>
      </c>
      <c r="E3662" s="508">
        <v>2.9169999999999998</v>
      </c>
      <c r="F3662" s="508">
        <v>2.8929999999999998</v>
      </c>
      <c r="G3662" s="508">
        <v>2.7970000000000002</v>
      </c>
      <c r="H3662" s="508">
        <v>1.133</v>
      </c>
      <c r="I3662" s="508">
        <v>1.1339999999999999</v>
      </c>
      <c r="J3662" s="508">
        <v>1.147</v>
      </c>
      <c r="K3662" s="508">
        <v>1.1719999999999999</v>
      </c>
      <c r="L3662" s="508">
        <v>1.1559999999999999</v>
      </c>
      <c r="M3662" s="508">
        <v>1.1759999999999999</v>
      </c>
      <c r="N3662" s="508">
        <v>1.1739999999999999</v>
      </c>
      <c r="O3662" s="508">
        <v>1.165</v>
      </c>
      <c r="P3662" s="508">
        <v>1.1659999999999999</v>
      </c>
      <c r="Q3662" s="508">
        <v>1.145</v>
      </c>
      <c r="R3662" s="508">
        <v>0.77</v>
      </c>
      <c r="S3662" s="508">
        <v>0.76700000000000002</v>
      </c>
      <c r="T3662" s="508">
        <v>0.76300000000000001</v>
      </c>
      <c r="U3662" s="508">
        <v>0.76700000000000002</v>
      </c>
      <c r="V3662" s="508">
        <v>0.73099999999999998</v>
      </c>
      <c r="W3662" s="508">
        <v>0.67300000000000004</v>
      </c>
      <c r="X3662" s="508">
        <v>0.65600000000000003</v>
      </c>
      <c r="Y3662" s="508">
        <v>0.66500000000000004</v>
      </c>
      <c r="Z3662" s="508">
        <v>0.67</v>
      </c>
      <c r="AA3662" s="508">
        <v>3.5000000000000003E-2</v>
      </c>
      <c r="AB3662" s="508">
        <v>3.4000000000000002E-2</v>
      </c>
      <c r="AC3662" s="508">
        <v>3.5999999999999997E-2</v>
      </c>
      <c r="AD3662" s="508">
        <v>3.4000000000000002E-2</v>
      </c>
      <c r="AE3662" s="508">
        <v>3.3000000000000002E-2</v>
      </c>
      <c r="AF3662" s="508">
        <v>2.1000000000000001E-2</v>
      </c>
      <c r="AG3662" s="508">
        <v>0.02</v>
      </c>
      <c r="AH3662" s="508">
        <v>0.02</v>
      </c>
      <c r="AI3662" s="492">
        <v>0.02</v>
      </c>
      <c r="AJ3662" s="485"/>
    </row>
    <row r="3663" spans="2:36">
      <c r="B3663" s="136" t="s">
        <v>455</v>
      </c>
      <c r="C3663" s="132" t="s">
        <v>1363</v>
      </c>
      <c r="D3663" s="132" t="s">
        <v>284</v>
      </c>
      <c r="E3663" s="508">
        <v>2.8580000000000001</v>
      </c>
      <c r="F3663" s="508">
        <v>2.835</v>
      </c>
      <c r="G3663" s="508">
        <v>2.7389999999999999</v>
      </c>
      <c r="H3663" s="508">
        <v>1.101</v>
      </c>
      <c r="I3663" s="508">
        <v>1.1020000000000001</v>
      </c>
      <c r="J3663" s="508">
        <v>1.1140000000000001</v>
      </c>
      <c r="K3663" s="508">
        <v>1.147</v>
      </c>
      <c r="L3663" s="508">
        <v>1.1299999999999999</v>
      </c>
      <c r="M3663" s="508">
        <v>1.151</v>
      </c>
      <c r="N3663" s="508">
        <v>1.139</v>
      </c>
      <c r="O3663" s="508">
        <v>1.1319999999999999</v>
      </c>
      <c r="P3663" s="508">
        <v>1.1319999999999999</v>
      </c>
      <c r="Q3663" s="508">
        <v>1.1140000000000001</v>
      </c>
      <c r="R3663" s="508">
        <v>0.74199999999999999</v>
      </c>
      <c r="S3663" s="508">
        <v>0.73899999999999999</v>
      </c>
      <c r="T3663" s="508">
        <v>0.73499999999999999</v>
      </c>
      <c r="U3663" s="508">
        <v>0.74</v>
      </c>
      <c r="V3663" s="508">
        <v>0.70399999999999996</v>
      </c>
      <c r="W3663" s="508">
        <v>0.64800000000000002</v>
      </c>
      <c r="X3663" s="508">
        <v>0.63200000000000001</v>
      </c>
      <c r="Y3663" s="508">
        <v>0.64</v>
      </c>
      <c r="Z3663" s="508">
        <v>0.64600000000000002</v>
      </c>
      <c r="AA3663" s="508">
        <v>3.4000000000000002E-2</v>
      </c>
      <c r="AB3663" s="508">
        <v>3.3000000000000002E-2</v>
      </c>
      <c r="AC3663" s="508">
        <v>3.5000000000000003E-2</v>
      </c>
      <c r="AD3663" s="508">
        <v>3.3000000000000002E-2</v>
      </c>
      <c r="AE3663" s="508">
        <v>3.2000000000000001E-2</v>
      </c>
      <c r="AF3663" s="508">
        <v>2.1000000000000001E-2</v>
      </c>
      <c r="AG3663" s="508">
        <v>0.02</v>
      </c>
      <c r="AH3663" s="508">
        <v>1.9E-2</v>
      </c>
      <c r="AI3663" s="492">
        <v>1.9E-2</v>
      </c>
      <c r="AJ3663" s="485"/>
    </row>
    <row r="3664" spans="2:36">
      <c r="B3664" s="136" t="s">
        <v>456</v>
      </c>
      <c r="C3664" s="132" t="s">
        <v>1363</v>
      </c>
      <c r="D3664" s="132" t="s">
        <v>284</v>
      </c>
      <c r="E3664" s="508">
        <v>2.94</v>
      </c>
      <c r="F3664" s="508">
        <v>2.9159999999999999</v>
      </c>
      <c r="G3664" s="508">
        <v>2.819</v>
      </c>
      <c r="H3664" s="508">
        <v>1.149</v>
      </c>
      <c r="I3664" s="508">
        <v>1.1499999999999999</v>
      </c>
      <c r="J3664" s="508">
        <v>1.1639999999999999</v>
      </c>
      <c r="K3664" s="508">
        <v>1.1859999999999999</v>
      </c>
      <c r="L3664" s="508">
        <v>1.169</v>
      </c>
      <c r="M3664" s="508">
        <v>1.1890000000000001</v>
      </c>
      <c r="N3664" s="508">
        <v>1.194</v>
      </c>
      <c r="O3664" s="508">
        <v>1.1850000000000001</v>
      </c>
      <c r="P3664" s="508">
        <v>1.1859999999999999</v>
      </c>
      <c r="Q3664" s="508">
        <v>1.165</v>
      </c>
      <c r="R3664" s="508">
        <v>0.78200000000000003</v>
      </c>
      <c r="S3664" s="508">
        <v>0.77900000000000003</v>
      </c>
      <c r="T3664" s="508">
        <v>0.77500000000000002</v>
      </c>
      <c r="U3664" s="508">
        <v>0.77900000000000003</v>
      </c>
      <c r="V3664" s="508">
        <v>0.74199999999999999</v>
      </c>
      <c r="W3664" s="508">
        <v>0.68300000000000005</v>
      </c>
      <c r="X3664" s="508">
        <v>0.66600000000000004</v>
      </c>
      <c r="Y3664" s="508">
        <v>0.67500000000000004</v>
      </c>
      <c r="Z3664" s="508">
        <v>0.68</v>
      </c>
      <c r="AA3664" s="508">
        <v>3.5999999999999997E-2</v>
      </c>
      <c r="AB3664" s="508">
        <v>3.5000000000000003E-2</v>
      </c>
      <c r="AC3664" s="508">
        <v>3.6999999999999998E-2</v>
      </c>
      <c r="AD3664" s="508">
        <v>3.4000000000000002E-2</v>
      </c>
      <c r="AE3664" s="508">
        <v>3.3000000000000002E-2</v>
      </c>
      <c r="AF3664" s="508">
        <v>2.1000000000000001E-2</v>
      </c>
      <c r="AG3664" s="508">
        <v>2.1000000000000001E-2</v>
      </c>
      <c r="AH3664" s="508">
        <v>0.02</v>
      </c>
      <c r="AI3664" s="492">
        <v>0.02</v>
      </c>
      <c r="AJ3664" s="485"/>
    </row>
    <row r="3665" spans="2:36">
      <c r="B3665" s="136" t="s">
        <v>457</v>
      </c>
      <c r="C3665" s="132" t="s">
        <v>1363</v>
      </c>
      <c r="D3665" s="132" t="s">
        <v>284</v>
      </c>
      <c r="E3665" s="508">
        <v>2.843</v>
      </c>
      <c r="F3665" s="508">
        <v>2.82</v>
      </c>
      <c r="G3665" s="508">
        <v>2.7250000000000001</v>
      </c>
      <c r="H3665" s="508">
        <v>1.0860000000000001</v>
      </c>
      <c r="I3665" s="508">
        <v>1.087</v>
      </c>
      <c r="J3665" s="508">
        <v>1.099</v>
      </c>
      <c r="K3665" s="508">
        <v>1.1339999999999999</v>
      </c>
      <c r="L3665" s="508">
        <v>1.117</v>
      </c>
      <c r="M3665" s="508">
        <v>1.1379999999999999</v>
      </c>
      <c r="N3665" s="508">
        <v>1.1160000000000001</v>
      </c>
      <c r="O3665" s="508">
        <v>1.1080000000000001</v>
      </c>
      <c r="P3665" s="508">
        <v>1.109</v>
      </c>
      <c r="Q3665" s="508">
        <v>1.0900000000000001</v>
      </c>
      <c r="R3665" s="508">
        <v>0.73299999999999998</v>
      </c>
      <c r="S3665" s="508">
        <v>0.73</v>
      </c>
      <c r="T3665" s="508">
        <v>0.72699999999999998</v>
      </c>
      <c r="U3665" s="508">
        <v>0.73099999999999998</v>
      </c>
      <c r="V3665" s="508">
        <v>0.69699999999999995</v>
      </c>
      <c r="W3665" s="508">
        <v>0.64100000000000001</v>
      </c>
      <c r="X3665" s="508">
        <v>0.625</v>
      </c>
      <c r="Y3665" s="508">
        <v>0.63300000000000001</v>
      </c>
      <c r="Z3665" s="508">
        <v>0.63900000000000001</v>
      </c>
      <c r="AA3665" s="508">
        <v>3.4000000000000002E-2</v>
      </c>
      <c r="AB3665" s="508">
        <v>3.3000000000000002E-2</v>
      </c>
      <c r="AC3665" s="508">
        <v>3.5000000000000003E-2</v>
      </c>
      <c r="AD3665" s="508">
        <v>3.2000000000000001E-2</v>
      </c>
      <c r="AE3665" s="508">
        <v>3.1E-2</v>
      </c>
      <c r="AF3665" s="508">
        <v>0.02</v>
      </c>
      <c r="AG3665" s="508">
        <v>1.9E-2</v>
      </c>
      <c r="AH3665" s="508">
        <v>1.9E-2</v>
      </c>
      <c r="AI3665" s="492">
        <v>1.9E-2</v>
      </c>
      <c r="AJ3665" s="485"/>
    </row>
    <row r="3666" spans="2:36">
      <c r="B3666" s="136" t="s">
        <v>458</v>
      </c>
      <c r="C3666" s="132" t="s">
        <v>1363</v>
      </c>
      <c r="D3666" s="132" t="s">
        <v>284</v>
      </c>
      <c r="E3666" s="508">
        <v>2.968</v>
      </c>
      <c r="F3666" s="508">
        <v>2.944</v>
      </c>
      <c r="G3666" s="508">
        <v>2.847</v>
      </c>
      <c r="H3666" s="508">
        <v>1.169</v>
      </c>
      <c r="I3666" s="508">
        <v>1.17</v>
      </c>
      <c r="J3666" s="508">
        <v>1.1839999999999999</v>
      </c>
      <c r="K3666" s="508">
        <v>1.202</v>
      </c>
      <c r="L3666" s="508">
        <v>1.1850000000000001</v>
      </c>
      <c r="M3666" s="508">
        <v>1.2050000000000001</v>
      </c>
      <c r="N3666" s="508">
        <v>1.2210000000000001</v>
      </c>
      <c r="O3666" s="508">
        <v>1.212</v>
      </c>
      <c r="P3666" s="508">
        <v>1.212</v>
      </c>
      <c r="Q3666" s="508">
        <v>1.1910000000000001</v>
      </c>
      <c r="R3666" s="508">
        <v>0.79600000000000004</v>
      </c>
      <c r="S3666" s="508">
        <v>0.79300000000000004</v>
      </c>
      <c r="T3666" s="508">
        <v>0.78800000000000003</v>
      </c>
      <c r="U3666" s="508">
        <v>0.79300000000000004</v>
      </c>
      <c r="V3666" s="508">
        <v>0.755</v>
      </c>
      <c r="W3666" s="508">
        <v>0.69499999999999995</v>
      </c>
      <c r="X3666" s="508">
        <v>0.67700000000000005</v>
      </c>
      <c r="Y3666" s="508">
        <v>0.68700000000000006</v>
      </c>
      <c r="Z3666" s="508">
        <v>0.69199999999999995</v>
      </c>
      <c r="AA3666" s="508">
        <v>3.5999999999999997E-2</v>
      </c>
      <c r="AB3666" s="508">
        <v>3.5000000000000003E-2</v>
      </c>
      <c r="AC3666" s="508">
        <v>3.6999999999999998E-2</v>
      </c>
      <c r="AD3666" s="508">
        <v>3.5000000000000003E-2</v>
      </c>
      <c r="AE3666" s="508">
        <v>3.4000000000000002E-2</v>
      </c>
      <c r="AF3666" s="508">
        <v>2.1999999999999999E-2</v>
      </c>
      <c r="AG3666" s="508">
        <v>2.1000000000000001E-2</v>
      </c>
      <c r="AH3666" s="508">
        <v>0.02</v>
      </c>
      <c r="AI3666" s="492">
        <v>0.02</v>
      </c>
      <c r="AJ3666" s="485"/>
    </row>
    <row r="3667" spans="2:36">
      <c r="B3667" s="136" t="s">
        <v>459</v>
      </c>
      <c r="C3667" s="132" t="s">
        <v>1363</v>
      </c>
      <c r="D3667" s="132" t="s">
        <v>284</v>
      </c>
      <c r="E3667" s="508">
        <v>2.9660000000000002</v>
      </c>
      <c r="F3667" s="508">
        <v>2.9420000000000002</v>
      </c>
      <c r="G3667" s="508">
        <v>2.8450000000000002</v>
      </c>
      <c r="H3667" s="508">
        <v>1.1679999999999999</v>
      </c>
      <c r="I3667" s="508">
        <v>1.169</v>
      </c>
      <c r="J3667" s="508">
        <v>1.1830000000000001</v>
      </c>
      <c r="K3667" s="508">
        <v>1.2010000000000001</v>
      </c>
      <c r="L3667" s="508">
        <v>1.1839999999999999</v>
      </c>
      <c r="M3667" s="508">
        <v>1.204</v>
      </c>
      <c r="N3667" s="508">
        <v>1.2190000000000001</v>
      </c>
      <c r="O3667" s="508">
        <v>1.21</v>
      </c>
      <c r="P3667" s="508">
        <v>1.2110000000000001</v>
      </c>
      <c r="Q3667" s="508">
        <v>1.1890000000000001</v>
      </c>
      <c r="R3667" s="508">
        <v>0.79500000000000004</v>
      </c>
      <c r="S3667" s="508">
        <v>0.79200000000000004</v>
      </c>
      <c r="T3667" s="508">
        <v>0.78700000000000003</v>
      </c>
      <c r="U3667" s="508">
        <v>0.79200000000000004</v>
      </c>
      <c r="V3667" s="508">
        <v>0.754</v>
      </c>
      <c r="W3667" s="508">
        <v>0.69399999999999995</v>
      </c>
      <c r="X3667" s="508">
        <v>0.67600000000000005</v>
      </c>
      <c r="Y3667" s="508">
        <v>0.68600000000000005</v>
      </c>
      <c r="Z3667" s="508">
        <v>0.69099999999999995</v>
      </c>
      <c r="AA3667" s="508">
        <v>3.5999999999999997E-2</v>
      </c>
      <c r="AB3667" s="508">
        <v>3.5000000000000003E-2</v>
      </c>
      <c r="AC3667" s="508">
        <v>3.6999999999999998E-2</v>
      </c>
      <c r="AD3667" s="508">
        <v>3.5000000000000003E-2</v>
      </c>
      <c r="AE3667" s="508">
        <v>3.4000000000000002E-2</v>
      </c>
      <c r="AF3667" s="508">
        <v>2.1999999999999999E-2</v>
      </c>
      <c r="AG3667" s="508">
        <v>2.1000000000000001E-2</v>
      </c>
      <c r="AH3667" s="508">
        <v>0.02</v>
      </c>
      <c r="AI3667" s="492">
        <v>0.02</v>
      </c>
      <c r="AJ3667" s="485"/>
    </row>
    <row r="3668" spans="2:36">
      <c r="B3668" s="136" t="s">
        <v>460</v>
      </c>
      <c r="C3668" s="132" t="s">
        <v>1363</v>
      </c>
      <c r="D3668" s="132" t="s">
        <v>284</v>
      </c>
      <c r="E3668" s="508">
        <v>2.9660000000000002</v>
      </c>
      <c r="F3668" s="508">
        <v>2.9430000000000001</v>
      </c>
      <c r="G3668" s="508">
        <v>2.8460000000000001</v>
      </c>
      <c r="H3668" s="508">
        <v>1.167</v>
      </c>
      <c r="I3668" s="508">
        <v>1.1679999999999999</v>
      </c>
      <c r="J3668" s="508">
        <v>1.1819999999999999</v>
      </c>
      <c r="K3668" s="508">
        <v>1.2010000000000001</v>
      </c>
      <c r="L3668" s="508">
        <v>1.1850000000000001</v>
      </c>
      <c r="M3668" s="508">
        <v>1.204</v>
      </c>
      <c r="N3668" s="508">
        <v>1.2170000000000001</v>
      </c>
      <c r="O3668" s="508">
        <v>1.208</v>
      </c>
      <c r="P3668" s="508">
        <v>1.208</v>
      </c>
      <c r="Q3668" s="508">
        <v>1.1859999999999999</v>
      </c>
      <c r="R3668" s="508">
        <v>0.79500000000000004</v>
      </c>
      <c r="S3668" s="508">
        <v>0.79200000000000004</v>
      </c>
      <c r="T3668" s="508">
        <v>0.78800000000000003</v>
      </c>
      <c r="U3668" s="508">
        <v>0.79300000000000004</v>
      </c>
      <c r="V3668" s="508">
        <v>0.755</v>
      </c>
      <c r="W3668" s="508">
        <v>0.69499999999999995</v>
      </c>
      <c r="X3668" s="508">
        <v>0.67700000000000005</v>
      </c>
      <c r="Y3668" s="508">
        <v>0.68600000000000005</v>
      </c>
      <c r="Z3668" s="508">
        <v>0.69199999999999995</v>
      </c>
      <c r="AA3668" s="508">
        <v>3.5999999999999997E-2</v>
      </c>
      <c r="AB3668" s="508">
        <v>3.5000000000000003E-2</v>
      </c>
      <c r="AC3668" s="508">
        <v>3.6999999999999998E-2</v>
      </c>
      <c r="AD3668" s="508">
        <v>3.5000000000000003E-2</v>
      </c>
      <c r="AE3668" s="508">
        <v>3.4000000000000002E-2</v>
      </c>
      <c r="AF3668" s="508">
        <v>2.1999999999999999E-2</v>
      </c>
      <c r="AG3668" s="508">
        <v>2.1000000000000001E-2</v>
      </c>
      <c r="AH3668" s="508">
        <v>0.02</v>
      </c>
      <c r="AI3668" s="492">
        <v>0.02</v>
      </c>
      <c r="AJ3668" s="485"/>
    </row>
    <row r="3669" spans="2:36">
      <c r="B3669" s="136" t="s">
        <v>461</v>
      </c>
      <c r="C3669" s="132" t="s">
        <v>1363</v>
      </c>
      <c r="D3669" s="132" t="s">
        <v>284</v>
      </c>
      <c r="E3669" s="508">
        <v>2.9489999999999998</v>
      </c>
      <c r="F3669" s="508">
        <v>2.9249999999999998</v>
      </c>
      <c r="G3669" s="508">
        <v>2.8279999999999998</v>
      </c>
      <c r="H3669" s="508">
        <v>1.151</v>
      </c>
      <c r="I3669" s="508">
        <v>1.153</v>
      </c>
      <c r="J3669" s="508">
        <v>1.1659999999999999</v>
      </c>
      <c r="K3669" s="508">
        <v>1.1870000000000001</v>
      </c>
      <c r="L3669" s="508">
        <v>1.171</v>
      </c>
      <c r="M3669" s="508">
        <v>1.19</v>
      </c>
      <c r="N3669" s="508">
        <v>1.1950000000000001</v>
      </c>
      <c r="O3669" s="508">
        <v>1.1850000000000001</v>
      </c>
      <c r="P3669" s="508">
        <v>1.1859999999999999</v>
      </c>
      <c r="Q3669" s="508">
        <v>1.1639999999999999</v>
      </c>
      <c r="R3669" s="508">
        <v>0.78500000000000003</v>
      </c>
      <c r="S3669" s="508">
        <v>0.78200000000000003</v>
      </c>
      <c r="T3669" s="508">
        <v>0.77800000000000002</v>
      </c>
      <c r="U3669" s="508">
        <v>0.78300000000000003</v>
      </c>
      <c r="V3669" s="508">
        <v>0.746</v>
      </c>
      <c r="W3669" s="508">
        <v>0.68600000000000005</v>
      </c>
      <c r="X3669" s="508">
        <v>0.66900000000000004</v>
      </c>
      <c r="Y3669" s="508">
        <v>0.67800000000000005</v>
      </c>
      <c r="Z3669" s="508">
        <v>0.68300000000000005</v>
      </c>
      <c r="AA3669" s="508">
        <v>3.5999999999999997E-2</v>
      </c>
      <c r="AB3669" s="508">
        <v>3.5000000000000003E-2</v>
      </c>
      <c r="AC3669" s="508">
        <v>3.6999999999999998E-2</v>
      </c>
      <c r="AD3669" s="508">
        <v>3.4000000000000002E-2</v>
      </c>
      <c r="AE3669" s="508">
        <v>3.3000000000000002E-2</v>
      </c>
      <c r="AF3669" s="508">
        <v>2.1000000000000001E-2</v>
      </c>
      <c r="AG3669" s="508">
        <v>2.1000000000000001E-2</v>
      </c>
      <c r="AH3669" s="508">
        <v>0.02</v>
      </c>
      <c r="AI3669" s="492">
        <v>0.02</v>
      </c>
      <c r="AJ3669" s="485"/>
    </row>
    <row r="3670" spans="2:36">
      <c r="B3670" s="136" t="s">
        <v>462</v>
      </c>
      <c r="C3670" s="132" t="s">
        <v>1363</v>
      </c>
      <c r="D3670" s="132" t="s">
        <v>284</v>
      </c>
      <c r="E3670" s="508">
        <v>2.9209999999999998</v>
      </c>
      <c r="F3670" s="508">
        <v>2.8980000000000001</v>
      </c>
      <c r="G3670" s="508">
        <v>2.8010000000000002</v>
      </c>
      <c r="H3670" s="508">
        <v>1.131</v>
      </c>
      <c r="I3670" s="508">
        <v>1.133</v>
      </c>
      <c r="J3670" s="508">
        <v>1.1459999999999999</v>
      </c>
      <c r="K3670" s="508">
        <v>1.171</v>
      </c>
      <c r="L3670" s="508">
        <v>1.1539999999999999</v>
      </c>
      <c r="M3670" s="508">
        <v>1.1739999999999999</v>
      </c>
      <c r="N3670" s="508">
        <v>1.1679999999999999</v>
      </c>
      <c r="O3670" s="508">
        <v>1.159</v>
      </c>
      <c r="P3670" s="508">
        <v>1.1599999999999999</v>
      </c>
      <c r="Q3670" s="508">
        <v>1.1379999999999999</v>
      </c>
      <c r="R3670" s="508">
        <v>0.77100000000000002</v>
      </c>
      <c r="S3670" s="508">
        <v>0.76800000000000002</v>
      </c>
      <c r="T3670" s="508">
        <v>0.76400000000000001</v>
      </c>
      <c r="U3670" s="508">
        <v>0.76900000000000002</v>
      </c>
      <c r="V3670" s="508">
        <v>0.73299999999999998</v>
      </c>
      <c r="W3670" s="508">
        <v>0.67400000000000004</v>
      </c>
      <c r="X3670" s="508">
        <v>0.65700000000000003</v>
      </c>
      <c r="Y3670" s="508">
        <v>0.66600000000000004</v>
      </c>
      <c r="Z3670" s="508">
        <v>0.67200000000000004</v>
      </c>
      <c r="AA3670" s="508">
        <v>3.5000000000000003E-2</v>
      </c>
      <c r="AB3670" s="508">
        <v>3.4000000000000002E-2</v>
      </c>
      <c r="AC3670" s="508">
        <v>3.5999999999999997E-2</v>
      </c>
      <c r="AD3670" s="508">
        <v>3.4000000000000002E-2</v>
      </c>
      <c r="AE3670" s="508">
        <v>3.3000000000000002E-2</v>
      </c>
      <c r="AF3670" s="508">
        <v>2.1000000000000001E-2</v>
      </c>
      <c r="AG3670" s="508">
        <v>0.02</v>
      </c>
      <c r="AH3670" s="508">
        <v>0.02</v>
      </c>
      <c r="AI3670" s="492">
        <v>0.02</v>
      </c>
      <c r="AJ3670" s="485"/>
    </row>
    <row r="3671" spans="2:36">
      <c r="B3671" s="136" t="s">
        <v>463</v>
      </c>
      <c r="C3671" s="132" t="s">
        <v>1363</v>
      </c>
      <c r="D3671" s="132" t="s">
        <v>284</v>
      </c>
      <c r="E3671" s="508">
        <v>2.863</v>
      </c>
      <c r="F3671" s="508">
        <v>2.84</v>
      </c>
      <c r="G3671" s="508">
        <v>2.7440000000000002</v>
      </c>
      <c r="H3671" s="508">
        <v>1.1020000000000001</v>
      </c>
      <c r="I3671" s="508">
        <v>1.1040000000000001</v>
      </c>
      <c r="J3671" s="508">
        <v>1.1160000000000001</v>
      </c>
      <c r="K3671" s="508">
        <v>1.147</v>
      </c>
      <c r="L3671" s="508">
        <v>1.1299999999999999</v>
      </c>
      <c r="M3671" s="508">
        <v>1.151</v>
      </c>
      <c r="N3671" s="508">
        <v>1.1399999999999999</v>
      </c>
      <c r="O3671" s="508">
        <v>1.1319999999999999</v>
      </c>
      <c r="P3671" s="508">
        <v>1.133</v>
      </c>
      <c r="Q3671" s="508">
        <v>1.1140000000000001</v>
      </c>
      <c r="R3671" s="508">
        <v>0.74299999999999999</v>
      </c>
      <c r="S3671" s="508">
        <v>0.74</v>
      </c>
      <c r="T3671" s="508">
        <v>0.73699999999999999</v>
      </c>
      <c r="U3671" s="508">
        <v>0.74099999999999999</v>
      </c>
      <c r="V3671" s="508">
        <v>0.70599999999999996</v>
      </c>
      <c r="W3671" s="508">
        <v>0.65</v>
      </c>
      <c r="X3671" s="508">
        <v>0.63300000000000001</v>
      </c>
      <c r="Y3671" s="508">
        <v>0.64200000000000002</v>
      </c>
      <c r="Z3671" s="508">
        <v>0.64700000000000002</v>
      </c>
      <c r="AA3671" s="508">
        <v>3.4000000000000002E-2</v>
      </c>
      <c r="AB3671" s="508">
        <v>3.3000000000000002E-2</v>
      </c>
      <c r="AC3671" s="508">
        <v>3.5000000000000003E-2</v>
      </c>
      <c r="AD3671" s="508">
        <v>3.3000000000000002E-2</v>
      </c>
      <c r="AE3671" s="508">
        <v>3.2000000000000001E-2</v>
      </c>
      <c r="AF3671" s="508">
        <v>2.1000000000000001E-2</v>
      </c>
      <c r="AG3671" s="508">
        <v>0.02</v>
      </c>
      <c r="AH3671" s="508">
        <v>1.9E-2</v>
      </c>
      <c r="AI3671" s="492">
        <v>1.9E-2</v>
      </c>
      <c r="AJ3671" s="485"/>
    </row>
    <row r="3672" spans="2:36">
      <c r="B3672" s="136" t="s">
        <v>464</v>
      </c>
      <c r="C3672" s="132" t="s">
        <v>1363</v>
      </c>
      <c r="D3672" s="132" t="s">
        <v>284</v>
      </c>
      <c r="E3672" s="508">
        <v>2.8330000000000002</v>
      </c>
      <c r="F3672" s="508">
        <v>2.81</v>
      </c>
      <c r="G3672" s="508">
        <v>2.7149999999999999</v>
      </c>
      <c r="H3672" s="508">
        <v>1.0820000000000001</v>
      </c>
      <c r="I3672" s="508">
        <v>1.083</v>
      </c>
      <c r="J3672" s="508">
        <v>1.095</v>
      </c>
      <c r="K3672" s="508">
        <v>1.131</v>
      </c>
      <c r="L3672" s="508">
        <v>1.1140000000000001</v>
      </c>
      <c r="M3672" s="508">
        <v>1.135</v>
      </c>
      <c r="N3672" s="508">
        <v>1.1140000000000001</v>
      </c>
      <c r="O3672" s="508">
        <v>1.1060000000000001</v>
      </c>
      <c r="P3672" s="508">
        <v>1.1060000000000001</v>
      </c>
      <c r="Q3672" s="508">
        <v>1.0880000000000001</v>
      </c>
      <c r="R3672" s="508">
        <v>0.72899999999999998</v>
      </c>
      <c r="S3672" s="508">
        <v>0.72599999999999998</v>
      </c>
      <c r="T3672" s="508">
        <v>0.72199999999999998</v>
      </c>
      <c r="U3672" s="508">
        <v>0.72699999999999998</v>
      </c>
      <c r="V3672" s="508">
        <v>0.69299999999999995</v>
      </c>
      <c r="W3672" s="508">
        <v>0.63700000000000001</v>
      </c>
      <c r="X3672" s="508">
        <v>0.621</v>
      </c>
      <c r="Y3672" s="508">
        <v>0.63</v>
      </c>
      <c r="Z3672" s="508">
        <v>0.63500000000000001</v>
      </c>
      <c r="AA3672" s="508">
        <v>3.4000000000000002E-2</v>
      </c>
      <c r="AB3672" s="508">
        <v>3.3000000000000002E-2</v>
      </c>
      <c r="AC3672" s="508">
        <v>3.5000000000000003E-2</v>
      </c>
      <c r="AD3672" s="508">
        <v>3.2000000000000001E-2</v>
      </c>
      <c r="AE3672" s="508">
        <v>3.1E-2</v>
      </c>
      <c r="AF3672" s="508">
        <v>0.02</v>
      </c>
      <c r="AG3672" s="508">
        <v>1.9E-2</v>
      </c>
      <c r="AH3672" s="508">
        <v>1.9E-2</v>
      </c>
      <c r="AI3672" s="492">
        <v>1.9E-2</v>
      </c>
      <c r="AJ3672" s="485"/>
    </row>
    <row r="3673" spans="2:36">
      <c r="B3673" s="136" t="s">
        <v>465</v>
      </c>
      <c r="C3673" s="132" t="s">
        <v>1363</v>
      </c>
      <c r="D3673" s="132" t="s">
        <v>284</v>
      </c>
      <c r="E3673" s="508">
        <v>2.8620000000000001</v>
      </c>
      <c r="F3673" s="508">
        <v>2.839</v>
      </c>
      <c r="G3673" s="508">
        <v>2.7429999999999999</v>
      </c>
      <c r="H3673" s="508">
        <v>1.103</v>
      </c>
      <c r="I3673" s="508">
        <v>1.1040000000000001</v>
      </c>
      <c r="J3673" s="508">
        <v>1.117</v>
      </c>
      <c r="K3673" s="508">
        <v>1.149</v>
      </c>
      <c r="L3673" s="508">
        <v>1.131</v>
      </c>
      <c r="M3673" s="508">
        <v>1.1519999999999999</v>
      </c>
      <c r="N3673" s="508">
        <v>1.141</v>
      </c>
      <c r="O3673" s="508">
        <v>1.133</v>
      </c>
      <c r="P3673" s="508">
        <v>1.1339999999999999</v>
      </c>
      <c r="Q3673" s="508">
        <v>1.115</v>
      </c>
      <c r="R3673" s="508">
        <v>0.74399999999999999</v>
      </c>
      <c r="S3673" s="508">
        <v>0.74099999999999999</v>
      </c>
      <c r="T3673" s="508">
        <v>0.73699999999999999</v>
      </c>
      <c r="U3673" s="508">
        <v>0.74199999999999999</v>
      </c>
      <c r="V3673" s="508">
        <v>0.70599999999999996</v>
      </c>
      <c r="W3673" s="508">
        <v>0.65</v>
      </c>
      <c r="X3673" s="508">
        <v>0.63400000000000001</v>
      </c>
      <c r="Y3673" s="508">
        <v>0.64200000000000002</v>
      </c>
      <c r="Z3673" s="508">
        <v>0.64800000000000002</v>
      </c>
      <c r="AA3673" s="508">
        <v>3.4000000000000002E-2</v>
      </c>
      <c r="AB3673" s="508">
        <v>3.3000000000000002E-2</v>
      </c>
      <c r="AC3673" s="508">
        <v>3.5000000000000003E-2</v>
      </c>
      <c r="AD3673" s="508">
        <v>3.3000000000000002E-2</v>
      </c>
      <c r="AE3673" s="508">
        <v>3.2000000000000001E-2</v>
      </c>
      <c r="AF3673" s="508">
        <v>2.1000000000000001E-2</v>
      </c>
      <c r="AG3673" s="508">
        <v>0.02</v>
      </c>
      <c r="AH3673" s="508">
        <v>1.9E-2</v>
      </c>
      <c r="AI3673" s="492">
        <v>1.9E-2</v>
      </c>
      <c r="AJ3673" s="485"/>
    </row>
    <row r="3674" spans="2:36">
      <c r="B3674" s="136" t="s">
        <v>466</v>
      </c>
      <c r="C3674" s="132" t="s">
        <v>1363</v>
      </c>
      <c r="D3674" s="132" t="s">
        <v>284</v>
      </c>
      <c r="E3674" s="508">
        <v>3.0419999999999998</v>
      </c>
      <c r="F3674" s="508">
        <v>3.0169999999999999</v>
      </c>
      <c r="G3674" s="508">
        <v>2.92</v>
      </c>
      <c r="H3674" s="508">
        <v>1.2150000000000001</v>
      </c>
      <c r="I3674" s="508">
        <v>1.2170000000000001</v>
      </c>
      <c r="J3674" s="508">
        <v>1.2310000000000001</v>
      </c>
      <c r="K3674" s="508">
        <v>1.2410000000000001</v>
      </c>
      <c r="L3674" s="508">
        <v>1.2250000000000001</v>
      </c>
      <c r="M3674" s="508">
        <v>1.244</v>
      </c>
      <c r="N3674" s="508">
        <v>1.276</v>
      </c>
      <c r="O3674" s="508">
        <v>1.266</v>
      </c>
      <c r="P3674" s="508">
        <v>1.266</v>
      </c>
      <c r="Q3674" s="508">
        <v>1.242</v>
      </c>
      <c r="R3674" s="508">
        <v>0.83299999999999996</v>
      </c>
      <c r="S3674" s="508">
        <v>0.83</v>
      </c>
      <c r="T3674" s="508">
        <v>0.82499999999999996</v>
      </c>
      <c r="U3674" s="508">
        <v>0.83099999999999996</v>
      </c>
      <c r="V3674" s="508">
        <v>0.79</v>
      </c>
      <c r="W3674" s="508">
        <v>0.72799999999999998</v>
      </c>
      <c r="X3674" s="508">
        <v>0.70899999999999996</v>
      </c>
      <c r="Y3674" s="508">
        <v>0.71899999999999997</v>
      </c>
      <c r="Z3674" s="508">
        <v>0.72499999999999998</v>
      </c>
      <c r="AA3674" s="508">
        <v>3.6999999999999998E-2</v>
      </c>
      <c r="AB3674" s="508">
        <v>3.5999999999999997E-2</v>
      </c>
      <c r="AC3674" s="508">
        <v>3.9E-2</v>
      </c>
      <c r="AD3674" s="508">
        <v>3.5999999999999997E-2</v>
      </c>
      <c r="AE3674" s="508">
        <v>3.5000000000000003E-2</v>
      </c>
      <c r="AF3674" s="508">
        <v>2.3E-2</v>
      </c>
      <c r="AG3674" s="508">
        <v>2.1999999999999999E-2</v>
      </c>
      <c r="AH3674" s="508">
        <v>2.1000000000000001E-2</v>
      </c>
      <c r="AI3674" s="492">
        <v>2.1000000000000001E-2</v>
      </c>
      <c r="AJ3674" s="485"/>
    </row>
    <row r="3675" spans="2:36">
      <c r="B3675" s="136" t="s">
        <v>467</v>
      </c>
      <c r="C3675" s="132" t="s">
        <v>1363</v>
      </c>
      <c r="D3675" s="132" t="s">
        <v>284</v>
      </c>
      <c r="E3675" s="508">
        <v>2.9340000000000002</v>
      </c>
      <c r="F3675" s="508">
        <v>2.911</v>
      </c>
      <c r="G3675" s="508">
        <v>2.8140000000000001</v>
      </c>
      <c r="H3675" s="508">
        <v>1.1419999999999999</v>
      </c>
      <c r="I3675" s="508">
        <v>1.1439999999999999</v>
      </c>
      <c r="J3675" s="508">
        <v>1.157</v>
      </c>
      <c r="K3675" s="508">
        <v>1.18</v>
      </c>
      <c r="L3675" s="508">
        <v>1.163</v>
      </c>
      <c r="M3675" s="508">
        <v>1.1830000000000001</v>
      </c>
      <c r="N3675" s="508">
        <v>1.1830000000000001</v>
      </c>
      <c r="O3675" s="508">
        <v>1.1739999999999999</v>
      </c>
      <c r="P3675" s="508">
        <v>1.175</v>
      </c>
      <c r="Q3675" s="508">
        <v>1.153</v>
      </c>
      <c r="R3675" s="508">
        <v>0.77800000000000002</v>
      </c>
      <c r="S3675" s="508">
        <v>0.77500000000000002</v>
      </c>
      <c r="T3675" s="508">
        <v>0.77100000000000002</v>
      </c>
      <c r="U3675" s="508">
        <v>0.77600000000000002</v>
      </c>
      <c r="V3675" s="508">
        <v>0.73899999999999999</v>
      </c>
      <c r="W3675" s="508">
        <v>0.68</v>
      </c>
      <c r="X3675" s="508">
        <v>0.66300000000000003</v>
      </c>
      <c r="Y3675" s="508">
        <v>0.67200000000000004</v>
      </c>
      <c r="Z3675" s="508">
        <v>0.67700000000000005</v>
      </c>
      <c r="AA3675" s="508">
        <v>3.5000000000000003E-2</v>
      </c>
      <c r="AB3675" s="508">
        <v>3.4000000000000002E-2</v>
      </c>
      <c r="AC3675" s="508">
        <v>3.6999999999999998E-2</v>
      </c>
      <c r="AD3675" s="508">
        <v>3.4000000000000002E-2</v>
      </c>
      <c r="AE3675" s="508">
        <v>3.3000000000000002E-2</v>
      </c>
      <c r="AF3675" s="508">
        <v>2.1000000000000001E-2</v>
      </c>
      <c r="AG3675" s="508">
        <v>0.02</v>
      </c>
      <c r="AH3675" s="508">
        <v>0.02</v>
      </c>
      <c r="AI3675" s="492">
        <v>0.02</v>
      </c>
      <c r="AJ3675" s="485"/>
    </row>
    <row r="3676" spans="2:36">
      <c r="B3676" s="136" t="s">
        <v>468</v>
      </c>
      <c r="C3676" s="132" t="s">
        <v>1363</v>
      </c>
      <c r="D3676" s="132" t="s">
        <v>284</v>
      </c>
      <c r="E3676" s="508">
        <v>2.8140000000000001</v>
      </c>
      <c r="F3676" s="508">
        <v>2.7909999999999999</v>
      </c>
      <c r="G3676" s="508">
        <v>2.6960000000000002</v>
      </c>
      <c r="H3676" s="508">
        <v>1.0760000000000001</v>
      </c>
      <c r="I3676" s="508">
        <v>1.0780000000000001</v>
      </c>
      <c r="J3676" s="508">
        <v>1.089</v>
      </c>
      <c r="K3676" s="508">
        <v>1.1279999999999999</v>
      </c>
      <c r="L3676" s="508">
        <v>1.1100000000000001</v>
      </c>
      <c r="M3676" s="508">
        <v>1.1319999999999999</v>
      </c>
      <c r="N3676" s="508">
        <v>1.113</v>
      </c>
      <c r="O3676" s="508">
        <v>1.1060000000000001</v>
      </c>
      <c r="P3676" s="508">
        <v>1.1060000000000001</v>
      </c>
      <c r="Q3676" s="508">
        <v>1.0900000000000001</v>
      </c>
      <c r="R3676" s="508">
        <v>0.72099999999999997</v>
      </c>
      <c r="S3676" s="508">
        <v>0.71799999999999997</v>
      </c>
      <c r="T3676" s="508">
        <v>0.71399999999999997</v>
      </c>
      <c r="U3676" s="508">
        <v>0.71899999999999997</v>
      </c>
      <c r="V3676" s="508">
        <v>0.68400000000000005</v>
      </c>
      <c r="W3676" s="508">
        <v>0.63</v>
      </c>
      <c r="X3676" s="508">
        <v>0.61399999999999999</v>
      </c>
      <c r="Y3676" s="508">
        <v>0.622</v>
      </c>
      <c r="Z3676" s="508">
        <v>0.627</v>
      </c>
      <c r="AA3676" s="508">
        <v>3.3000000000000002E-2</v>
      </c>
      <c r="AB3676" s="508">
        <v>3.2000000000000001E-2</v>
      </c>
      <c r="AC3676" s="508">
        <v>3.4000000000000002E-2</v>
      </c>
      <c r="AD3676" s="508">
        <v>3.2000000000000001E-2</v>
      </c>
      <c r="AE3676" s="508">
        <v>3.1E-2</v>
      </c>
      <c r="AF3676" s="508">
        <v>0.02</v>
      </c>
      <c r="AG3676" s="508">
        <v>1.9E-2</v>
      </c>
      <c r="AH3676" s="508">
        <v>1.9E-2</v>
      </c>
      <c r="AI3676" s="492">
        <v>1.9E-2</v>
      </c>
      <c r="AJ3676" s="485"/>
    </row>
    <row r="3677" spans="2:36">
      <c r="B3677" s="136" t="s">
        <v>469</v>
      </c>
      <c r="C3677" s="132" t="s">
        <v>1363</v>
      </c>
      <c r="D3677" s="132" t="s">
        <v>284</v>
      </c>
      <c r="E3677" s="508">
        <v>2.883</v>
      </c>
      <c r="F3677" s="508">
        <v>2.86</v>
      </c>
      <c r="G3677" s="508">
        <v>2.7639999999999998</v>
      </c>
      <c r="H3677" s="508">
        <v>1.1140000000000001</v>
      </c>
      <c r="I3677" s="508">
        <v>1.1160000000000001</v>
      </c>
      <c r="J3677" s="508">
        <v>1.1279999999999999</v>
      </c>
      <c r="K3677" s="508">
        <v>1.1579999999999999</v>
      </c>
      <c r="L3677" s="508">
        <v>1.141</v>
      </c>
      <c r="M3677" s="508">
        <v>1.1619999999999999</v>
      </c>
      <c r="N3677" s="508">
        <v>1.1539999999999999</v>
      </c>
      <c r="O3677" s="508">
        <v>1.1459999999999999</v>
      </c>
      <c r="P3677" s="508">
        <v>1.1459999999999999</v>
      </c>
      <c r="Q3677" s="508">
        <v>1.127</v>
      </c>
      <c r="R3677" s="508">
        <v>0.754</v>
      </c>
      <c r="S3677" s="508">
        <v>0.751</v>
      </c>
      <c r="T3677" s="508">
        <v>0.747</v>
      </c>
      <c r="U3677" s="508">
        <v>0.752</v>
      </c>
      <c r="V3677" s="508">
        <v>0.71599999999999997</v>
      </c>
      <c r="W3677" s="508">
        <v>0.65900000000000003</v>
      </c>
      <c r="X3677" s="508">
        <v>0.64200000000000002</v>
      </c>
      <c r="Y3677" s="508">
        <v>0.65100000000000002</v>
      </c>
      <c r="Z3677" s="508">
        <v>0.65600000000000003</v>
      </c>
      <c r="AA3677" s="508">
        <v>3.5000000000000003E-2</v>
      </c>
      <c r="AB3677" s="508">
        <v>3.4000000000000002E-2</v>
      </c>
      <c r="AC3677" s="508">
        <v>3.5999999999999997E-2</v>
      </c>
      <c r="AD3677" s="508">
        <v>3.3000000000000002E-2</v>
      </c>
      <c r="AE3677" s="508">
        <v>3.2000000000000001E-2</v>
      </c>
      <c r="AF3677" s="508">
        <v>2.1000000000000001E-2</v>
      </c>
      <c r="AG3677" s="508">
        <v>0.02</v>
      </c>
      <c r="AH3677" s="508">
        <v>1.9E-2</v>
      </c>
      <c r="AI3677" s="492">
        <v>1.9E-2</v>
      </c>
      <c r="AJ3677" s="485"/>
    </row>
    <row r="3678" spans="2:36">
      <c r="B3678" s="136" t="s">
        <v>470</v>
      </c>
      <c r="C3678" s="132" t="s">
        <v>1363</v>
      </c>
      <c r="D3678" s="132" t="s">
        <v>284</v>
      </c>
      <c r="E3678" s="508">
        <v>3.0129999999999999</v>
      </c>
      <c r="F3678" s="508">
        <v>2.988</v>
      </c>
      <c r="G3678" s="508">
        <v>2.891</v>
      </c>
      <c r="H3678" s="508">
        <v>1.1950000000000001</v>
      </c>
      <c r="I3678" s="508">
        <v>1.196</v>
      </c>
      <c r="J3678" s="508">
        <v>1.21</v>
      </c>
      <c r="K3678" s="508">
        <v>1.2230000000000001</v>
      </c>
      <c r="L3678" s="508">
        <v>1.2070000000000001</v>
      </c>
      <c r="M3678" s="508">
        <v>1.226</v>
      </c>
      <c r="N3678" s="508">
        <v>1.2490000000000001</v>
      </c>
      <c r="O3678" s="508">
        <v>1.2390000000000001</v>
      </c>
      <c r="P3678" s="508">
        <v>1.24</v>
      </c>
      <c r="Q3678" s="508">
        <v>1.2170000000000001</v>
      </c>
      <c r="R3678" s="508">
        <v>0.81699999999999995</v>
      </c>
      <c r="S3678" s="508">
        <v>0.81399999999999995</v>
      </c>
      <c r="T3678" s="508">
        <v>0.81</v>
      </c>
      <c r="U3678" s="508">
        <v>0.81499999999999995</v>
      </c>
      <c r="V3678" s="508">
        <v>0.77600000000000002</v>
      </c>
      <c r="W3678" s="508">
        <v>0.71399999999999997</v>
      </c>
      <c r="X3678" s="508">
        <v>0.69599999999999995</v>
      </c>
      <c r="Y3678" s="508">
        <v>0.70499999999999996</v>
      </c>
      <c r="Z3678" s="508">
        <v>0.71099999999999997</v>
      </c>
      <c r="AA3678" s="508">
        <v>3.6999999999999998E-2</v>
      </c>
      <c r="AB3678" s="508">
        <v>3.5999999999999997E-2</v>
      </c>
      <c r="AC3678" s="508">
        <v>3.7999999999999999E-2</v>
      </c>
      <c r="AD3678" s="508">
        <v>3.5000000000000003E-2</v>
      </c>
      <c r="AE3678" s="508">
        <v>3.4000000000000002E-2</v>
      </c>
      <c r="AF3678" s="508">
        <v>2.1999999999999999E-2</v>
      </c>
      <c r="AG3678" s="508">
        <v>2.1000000000000001E-2</v>
      </c>
      <c r="AH3678" s="508">
        <v>2.1000000000000001E-2</v>
      </c>
      <c r="AI3678" s="492">
        <v>2.1000000000000001E-2</v>
      </c>
      <c r="AJ3678" s="485"/>
    </row>
    <row r="3679" spans="2:36">
      <c r="B3679" s="136" t="s">
        <v>471</v>
      </c>
      <c r="C3679" s="132" t="s">
        <v>1363</v>
      </c>
      <c r="D3679" s="132" t="s">
        <v>284</v>
      </c>
      <c r="E3679" s="508">
        <v>2.98</v>
      </c>
      <c r="F3679" s="508">
        <v>2.956</v>
      </c>
      <c r="G3679" s="508">
        <v>2.859</v>
      </c>
      <c r="H3679" s="508">
        <v>1.171</v>
      </c>
      <c r="I3679" s="508">
        <v>1.1719999999999999</v>
      </c>
      <c r="J3679" s="508">
        <v>1.1859999999999999</v>
      </c>
      <c r="K3679" s="508">
        <v>1.2030000000000001</v>
      </c>
      <c r="L3679" s="508">
        <v>1.1870000000000001</v>
      </c>
      <c r="M3679" s="508">
        <v>1.206</v>
      </c>
      <c r="N3679" s="508">
        <v>1.218</v>
      </c>
      <c r="O3679" s="508">
        <v>1.208</v>
      </c>
      <c r="P3679" s="508">
        <v>1.208</v>
      </c>
      <c r="Q3679" s="508">
        <v>1.1850000000000001</v>
      </c>
      <c r="R3679" s="508">
        <v>0.80100000000000005</v>
      </c>
      <c r="S3679" s="508">
        <v>0.79800000000000004</v>
      </c>
      <c r="T3679" s="508">
        <v>0.79300000000000004</v>
      </c>
      <c r="U3679" s="508">
        <v>0.79800000000000004</v>
      </c>
      <c r="V3679" s="508">
        <v>0.76</v>
      </c>
      <c r="W3679" s="508">
        <v>0.7</v>
      </c>
      <c r="X3679" s="508">
        <v>0.68200000000000005</v>
      </c>
      <c r="Y3679" s="508">
        <v>0.69099999999999995</v>
      </c>
      <c r="Z3679" s="508">
        <v>0.69699999999999995</v>
      </c>
      <c r="AA3679" s="508">
        <v>3.5999999999999997E-2</v>
      </c>
      <c r="AB3679" s="508">
        <v>3.5000000000000003E-2</v>
      </c>
      <c r="AC3679" s="508">
        <v>3.6999999999999998E-2</v>
      </c>
      <c r="AD3679" s="508">
        <v>3.5000000000000003E-2</v>
      </c>
      <c r="AE3679" s="508">
        <v>3.4000000000000002E-2</v>
      </c>
      <c r="AF3679" s="508">
        <v>2.1999999999999999E-2</v>
      </c>
      <c r="AG3679" s="508">
        <v>2.1000000000000001E-2</v>
      </c>
      <c r="AH3679" s="508">
        <v>0.02</v>
      </c>
      <c r="AI3679" s="492">
        <v>0.02</v>
      </c>
      <c r="AJ3679" s="485"/>
    </row>
    <row r="3680" spans="2:36">
      <c r="B3680" s="136" t="s">
        <v>472</v>
      </c>
      <c r="C3680" s="132" t="s">
        <v>1363</v>
      </c>
      <c r="D3680" s="132" t="s">
        <v>284</v>
      </c>
      <c r="E3680" s="508">
        <v>2.8439999999999999</v>
      </c>
      <c r="F3680" s="508">
        <v>2.8210000000000002</v>
      </c>
      <c r="G3680" s="508">
        <v>2.726</v>
      </c>
      <c r="H3680" s="508">
        <v>1.087</v>
      </c>
      <c r="I3680" s="508">
        <v>1.0880000000000001</v>
      </c>
      <c r="J3680" s="508">
        <v>1.1000000000000001</v>
      </c>
      <c r="K3680" s="508">
        <v>1.135</v>
      </c>
      <c r="L3680" s="508">
        <v>1.117</v>
      </c>
      <c r="M3680" s="508">
        <v>1.1379999999999999</v>
      </c>
      <c r="N3680" s="508">
        <v>1.1180000000000001</v>
      </c>
      <c r="O3680" s="508">
        <v>1.1100000000000001</v>
      </c>
      <c r="P3680" s="508">
        <v>1.1100000000000001</v>
      </c>
      <c r="Q3680" s="508">
        <v>1.091</v>
      </c>
      <c r="R3680" s="508">
        <v>0.73399999999999999</v>
      </c>
      <c r="S3680" s="508">
        <v>0.73099999999999998</v>
      </c>
      <c r="T3680" s="508">
        <v>0.72699999999999998</v>
      </c>
      <c r="U3680" s="508">
        <v>0.73199999999999998</v>
      </c>
      <c r="V3680" s="508">
        <v>0.69699999999999995</v>
      </c>
      <c r="W3680" s="508">
        <v>0.64200000000000002</v>
      </c>
      <c r="X3680" s="508">
        <v>0.625</v>
      </c>
      <c r="Y3680" s="508">
        <v>0.63400000000000001</v>
      </c>
      <c r="Z3680" s="508">
        <v>0.63900000000000001</v>
      </c>
      <c r="AA3680" s="508">
        <v>3.4000000000000002E-2</v>
      </c>
      <c r="AB3680" s="508">
        <v>3.3000000000000002E-2</v>
      </c>
      <c r="AC3680" s="508">
        <v>3.5000000000000003E-2</v>
      </c>
      <c r="AD3680" s="508">
        <v>3.2000000000000001E-2</v>
      </c>
      <c r="AE3680" s="508">
        <v>3.1E-2</v>
      </c>
      <c r="AF3680" s="508">
        <v>0.02</v>
      </c>
      <c r="AG3680" s="508">
        <v>1.9E-2</v>
      </c>
      <c r="AH3680" s="508">
        <v>1.9E-2</v>
      </c>
      <c r="AI3680" s="492">
        <v>1.9E-2</v>
      </c>
      <c r="AJ3680" s="485"/>
    </row>
    <row r="3681" spans="2:36">
      <c r="B3681" s="136" t="s">
        <v>473</v>
      </c>
      <c r="C3681" s="132" t="s">
        <v>1363</v>
      </c>
      <c r="D3681" s="132" t="s">
        <v>284</v>
      </c>
      <c r="E3681" s="508">
        <v>3.0179999999999998</v>
      </c>
      <c r="F3681" s="508">
        <v>2.9940000000000002</v>
      </c>
      <c r="G3681" s="508">
        <v>2.8959999999999999</v>
      </c>
      <c r="H3681" s="508">
        <v>1.196</v>
      </c>
      <c r="I3681" s="508">
        <v>1.198</v>
      </c>
      <c r="J3681" s="508">
        <v>1.212</v>
      </c>
      <c r="K3681" s="508">
        <v>1.2250000000000001</v>
      </c>
      <c r="L3681" s="508">
        <v>1.2090000000000001</v>
      </c>
      <c r="M3681" s="508">
        <v>1.228</v>
      </c>
      <c r="N3681" s="508">
        <v>1.25</v>
      </c>
      <c r="O3681" s="508">
        <v>1.24</v>
      </c>
      <c r="P3681" s="508">
        <v>1.2410000000000001</v>
      </c>
      <c r="Q3681" s="508">
        <v>1.2170000000000001</v>
      </c>
      <c r="R3681" s="508">
        <v>0.82</v>
      </c>
      <c r="S3681" s="508">
        <v>0.81699999999999995</v>
      </c>
      <c r="T3681" s="508">
        <v>0.81299999999999994</v>
      </c>
      <c r="U3681" s="508">
        <v>0.81799999999999995</v>
      </c>
      <c r="V3681" s="508">
        <v>0.77900000000000003</v>
      </c>
      <c r="W3681" s="508">
        <v>0.71599999999999997</v>
      </c>
      <c r="X3681" s="508">
        <v>0.69799999999999995</v>
      </c>
      <c r="Y3681" s="508">
        <v>0.70799999999999996</v>
      </c>
      <c r="Z3681" s="508">
        <v>0.71399999999999997</v>
      </c>
      <c r="AA3681" s="508">
        <v>3.6999999999999998E-2</v>
      </c>
      <c r="AB3681" s="508">
        <v>3.5999999999999997E-2</v>
      </c>
      <c r="AC3681" s="508">
        <v>3.7999999999999999E-2</v>
      </c>
      <c r="AD3681" s="508">
        <v>3.5000000000000003E-2</v>
      </c>
      <c r="AE3681" s="508">
        <v>3.5000000000000003E-2</v>
      </c>
      <c r="AF3681" s="508">
        <v>2.1999999999999999E-2</v>
      </c>
      <c r="AG3681" s="508">
        <v>2.1000000000000001E-2</v>
      </c>
      <c r="AH3681" s="508">
        <v>2.1000000000000001E-2</v>
      </c>
      <c r="AI3681" s="492">
        <v>2.1000000000000001E-2</v>
      </c>
      <c r="AJ3681" s="485"/>
    </row>
    <row r="3682" spans="2:36">
      <c r="B3682" s="136" t="s">
        <v>474</v>
      </c>
      <c r="C3682" s="132" t="s">
        <v>1363</v>
      </c>
      <c r="D3682" s="132" t="s">
        <v>284</v>
      </c>
      <c r="E3682" s="508">
        <v>2.9430000000000001</v>
      </c>
      <c r="F3682" s="508">
        <v>2.919</v>
      </c>
      <c r="G3682" s="508">
        <v>2.8220000000000001</v>
      </c>
      <c r="H3682" s="508">
        <v>1.149</v>
      </c>
      <c r="I3682" s="508">
        <v>1.151</v>
      </c>
      <c r="J3682" s="508">
        <v>1.1639999999999999</v>
      </c>
      <c r="K3682" s="508">
        <v>1.1859999999999999</v>
      </c>
      <c r="L3682" s="508">
        <v>1.17</v>
      </c>
      <c r="M3682" s="508">
        <v>1.1890000000000001</v>
      </c>
      <c r="N3682" s="508">
        <v>1.194</v>
      </c>
      <c r="O3682" s="508">
        <v>1.1850000000000001</v>
      </c>
      <c r="P3682" s="508">
        <v>1.1850000000000001</v>
      </c>
      <c r="Q3682" s="508">
        <v>1.163</v>
      </c>
      <c r="R3682" s="508">
        <v>0.78300000000000003</v>
      </c>
      <c r="S3682" s="508">
        <v>0.78</v>
      </c>
      <c r="T3682" s="508">
        <v>0.77600000000000002</v>
      </c>
      <c r="U3682" s="508">
        <v>0.78</v>
      </c>
      <c r="V3682" s="508">
        <v>0.74299999999999999</v>
      </c>
      <c r="W3682" s="508">
        <v>0.68400000000000005</v>
      </c>
      <c r="X3682" s="508">
        <v>0.66700000000000004</v>
      </c>
      <c r="Y3682" s="508">
        <v>0.67600000000000005</v>
      </c>
      <c r="Z3682" s="508">
        <v>0.68100000000000005</v>
      </c>
      <c r="AA3682" s="508">
        <v>3.5999999999999997E-2</v>
      </c>
      <c r="AB3682" s="508">
        <v>3.5000000000000003E-2</v>
      </c>
      <c r="AC3682" s="508">
        <v>3.6999999999999998E-2</v>
      </c>
      <c r="AD3682" s="508">
        <v>3.4000000000000002E-2</v>
      </c>
      <c r="AE3682" s="508">
        <v>3.3000000000000002E-2</v>
      </c>
      <c r="AF3682" s="508">
        <v>2.1000000000000001E-2</v>
      </c>
      <c r="AG3682" s="508">
        <v>2.1000000000000001E-2</v>
      </c>
      <c r="AH3682" s="508">
        <v>0.02</v>
      </c>
      <c r="AI3682" s="492">
        <v>0.02</v>
      </c>
      <c r="AJ3682" s="485"/>
    </row>
    <row r="3683" spans="2:36">
      <c r="B3683" s="136" t="s">
        <v>475</v>
      </c>
      <c r="C3683" s="132" t="s">
        <v>1363</v>
      </c>
      <c r="D3683" s="132" t="s">
        <v>284</v>
      </c>
      <c r="E3683" s="508">
        <v>2.9180000000000001</v>
      </c>
      <c r="F3683" s="508">
        <v>2.8940000000000001</v>
      </c>
      <c r="G3683" s="508">
        <v>2.798</v>
      </c>
      <c r="H3683" s="508">
        <v>1.133</v>
      </c>
      <c r="I3683" s="508">
        <v>1.135</v>
      </c>
      <c r="J3683" s="508">
        <v>1.1479999999999999</v>
      </c>
      <c r="K3683" s="508">
        <v>1.173</v>
      </c>
      <c r="L3683" s="508">
        <v>1.1559999999999999</v>
      </c>
      <c r="M3683" s="508">
        <v>1.1759999999999999</v>
      </c>
      <c r="N3683" s="508">
        <v>1.1739999999999999</v>
      </c>
      <c r="O3683" s="508">
        <v>1.165</v>
      </c>
      <c r="P3683" s="508">
        <v>1.1659999999999999</v>
      </c>
      <c r="Q3683" s="508">
        <v>1.145</v>
      </c>
      <c r="R3683" s="508">
        <v>0.77</v>
      </c>
      <c r="S3683" s="508">
        <v>0.76700000000000002</v>
      </c>
      <c r="T3683" s="508">
        <v>0.76300000000000001</v>
      </c>
      <c r="U3683" s="508">
        <v>0.76800000000000002</v>
      </c>
      <c r="V3683" s="508">
        <v>0.73199999999999998</v>
      </c>
      <c r="W3683" s="508">
        <v>0.67300000000000004</v>
      </c>
      <c r="X3683" s="508">
        <v>0.65600000000000003</v>
      </c>
      <c r="Y3683" s="508">
        <v>0.66500000000000004</v>
      </c>
      <c r="Z3683" s="508">
        <v>0.67100000000000004</v>
      </c>
      <c r="AA3683" s="508">
        <v>3.5000000000000003E-2</v>
      </c>
      <c r="AB3683" s="508">
        <v>3.4000000000000002E-2</v>
      </c>
      <c r="AC3683" s="508">
        <v>3.5999999999999997E-2</v>
      </c>
      <c r="AD3683" s="508">
        <v>3.4000000000000002E-2</v>
      </c>
      <c r="AE3683" s="508">
        <v>3.3000000000000002E-2</v>
      </c>
      <c r="AF3683" s="508">
        <v>2.1000000000000001E-2</v>
      </c>
      <c r="AG3683" s="508">
        <v>0.02</v>
      </c>
      <c r="AH3683" s="508">
        <v>0.02</v>
      </c>
      <c r="AI3683" s="492">
        <v>0.02</v>
      </c>
      <c r="AJ3683" s="485"/>
    </row>
    <row r="3684" spans="2:36">
      <c r="B3684" s="136" t="s">
        <v>476</v>
      </c>
      <c r="C3684" s="132" t="s">
        <v>1363</v>
      </c>
      <c r="D3684" s="132" t="s">
        <v>284</v>
      </c>
      <c r="E3684" s="508">
        <v>2.9649999999999999</v>
      </c>
      <c r="F3684" s="508">
        <v>2.9420000000000002</v>
      </c>
      <c r="G3684" s="508">
        <v>2.8450000000000002</v>
      </c>
      <c r="H3684" s="508">
        <v>1.167</v>
      </c>
      <c r="I3684" s="508">
        <v>1.1679999999999999</v>
      </c>
      <c r="J3684" s="508">
        <v>1.1819999999999999</v>
      </c>
      <c r="K3684" s="508">
        <v>1.2010000000000001</v>
      </c>
      <c r="L3684" s="508">
        <v>1.1839999999999999</v>
      </c>
      <c r="M3684" s="508">
        <v>1.204</v>
      </c>
      <c r="N3684" s="508">
        <v>1.2170000000000001</v>
      </c>
      <c r="O3684" s="508">
        <v>1.208</v>
      </c>
      <c r="P3684" s="508">
        <v>1.2090000000000001</v>
      </c>
      <c r="Q3684" s="508">
        <v>1.1870000000000001</v>
      </c>
      <c r="R3684" s="508">
        <v>0.79500000000000004</v>
      </c>
      <c r="S3684" s="508">
        <v>0.79200000000000004</v>
      </c>
      <c r="T3684" s="508">
        <v>0.78800000000000003</v>
      </c>
      <c r="U3684" s="508">
        <v>0.79200000000000004</v>
      </c>
      <c r="V3684" s="508">
        <v>0.754</v>
      </c>
      <c r="W3684" s="508">
        <v>0.69399999999999995</v>
      </c>
      <c r="X3684" s="508">
        <v>0.67700000000000005</v>
      </c>
      <c r="Y3684" s="508">
        <v>0.68600000000000005</v>
      </c>
      <c r="Z3684" s="508">
        <v>0.69199999999999995</v>
      </c>
      <c r="AA3684" s="508">
        <v>3.5999999999999997E-2</v>
      </c>
      <c r="AB3684" s="508">
        <v>3.5000000000000003E-2</v>
      </c>
      <c r="AC3684" s="508">
        <v>3.6999999999999998E-2</v>
      </c>
      <c r="AD3684" s="508">
        <v>3.5000000000000003E-2</v>
      </c>
      <c r="AE3684" s="508">
        <v>3.4000000000000002E-2</v>
      </c>
      <c r="AF3684" s="508">
        <v>2.1999999999999999E-2</v>
      </c>
      <c r="AG3684" s="508">
        <v>2.1000000000000001E-2</v>
      </c>
      <c r="AH3684" s="508">
        <v>0.02</v>
      </c>
      <c r="AI3684" s="492">
        <v>0.02</v>
      </c>
      <c r="AJ3684" s="485"/>
    </row>
    <row r="3685" spans="2:36">
      <c r="B3685" s="136" t="s">
        <v>478</v>
      </c>
      <c r="C3685" s="132" t="s">
        <v>1363</v>
      </c>
      <c r="D3685" s="132" t="s">
        <v>284</v>
      </c>
      <c r="E3685" s="508">
        <v>3.0259999999999998</v>
      </c>
      <c r="F3685" s="508">
        <v>3.0019999999999998</v>
      </c>
      <c r="G3685" s="508">
        <v>2.9039999999999999</v>
      </c>
      <c r="H3685" s="508">
        <v>1.2070000000000001</v>
      </c>
      <c r="I3685" s="508">
        <v>1.2090000000000001</v>
      </c>
      <c r="J3685" s="508">
        <v>1.2230000000000001</v>
      </c>
      <c r="K3685" s="508">
        <v>1.234</v>
      </c>
      <c r="L3685" s="508">
        <v>1.218</v>
      </c>
      <c r="M3685" s="508">
        <v>1.2370000000000001</v>
      </c>
      <c r="N3685" s="508">
        <v>1.268</v>
      </c>
      <c r="O3685" s="508">
        <v>1.2589999999999999</v>
      </c>
      <c r="P3685" s="508">
        <v>1.2589999999999999</v>
      </c>
      <c r="Q3685" s="508">
        <v>1.236</v>
      </c>
      <c r="R3685" s="508">
        <v>0.82499999999999996</v>
      </c>
      <c r="S3685" s="508">
        <v>0.82199999999999995</v>
      </c>
      <c r="T3685" s="508">
        <v>0.81799999999999995</v>
      </c>
      <c r="U3685" s="508">
        <v>0.82299999999999995</v>
      </c>
      <c r="V3685" s="508">
        <v>0.78300000000000003</v>
      </c>
      <c r="W3685" s="508">
        <v>0.72099999999999997</v>
      </c>
      <c r="X3685" s="508">
        <v>0.70199999999999996</v>
      </c>
      <c r="Y3685" s="508">
        <v>0.71199999999999997</v>
      </c>
      <c r="Z3685" s="508">
        <v>0.71799999999999997</v>
      </c>
      <c r="AA3685" s="508">
        <v>3.6999999999999998E-2</v>
      </c>
      <c r="AB3685" s="508">
        <v>3.5999999999999997E-2</v>
      </c>
      <c r="AC3685" s="508">
        <v>3.7999999999999999E-2</v>
      </c>
      <c r="AD3685" s="508">
        <v>3.5999999999999997E-2</v>
      </c>
      <c r="AE3685" s="508">
        <v>3.5000000000000003E-2</v>
      </c>
      <c r="AF3685" s="508">
        <v>2.1999999999999999E-2</v>
      </c>
      <c r="AG3685" s="508">
        <v>2.1000000000000001E-2</v>
      </c>
      <c r="AH3685" s="508">
        <v>2.1000000000000001E-2</v>
      </c>
      <c r="AI3685" s="492">
        <v>2.1000000000000001E-2</v>
      </c>
      <c r="AJ3685" s="485"/>
    </row>
    <row r="3686" spans="2:36">
      <c r="B3686" s="136" t="s">
        <v>479</v>
      </c>
      <c r="C3686" s="132" t="s">
        <v>1363</v>
      </c>
      <c r="D3686" s="132" t="s">
        <v>284</v>
      </c>
      <c r="E3686" s="508">
        <v>2.9140000000000001</v>
      </c>
      <c r="F3686" s="508">
        <v>2.891</v>
      </c>
      <c r="G3686" s="508">
        <v>2.7949999999999999</v>
      </c>
      <c r="H3686" s="508">
        <v>1.135</v>
      </c>
      <c r="I3686" s="508">
        <v>1.1359999999999999</v>
      </c>
      <c r="J3686" s="508">
        <v>1.149</v>
      </c>
      <c r="K3686" s="508">
        <v>1.175</v>
      </c>
      <c r="L3686" s="508">
        <v>1.1579999999999999</v>
      </c>
      <c r="M3686" s="508">
        <v>1.1779999999999999</v>
      </c>
      <c r="N3686" s="508">
        <v>1.1779999999999999</v>
      </c>
      <c r="O3686" s="508">
        <v>1.17</v>
      </c>
      <c r="P3686" s="508">
        <v>1.17</v>
      </c>
      <c r="Q3686" s="508">
        <v>1.1499999999999999</v>
      </c>
      <c r="R3686" s="508">
        <v>0.77</v>
      </c>
      <c r="S3686" s="508">
        <v>0.76700000000000002</v>
      </c>
      <c r="T3686" s="508">
        <v>0.76300000000000001</v>
      </c>
      <c r="U3686" s="508">
        <v>0.76700000000000002</v>
      </c>
      <c r="V3686" s="508">
        <v>0.73099999999999998</v>
      </c>
      <c r="W3686" s="508">
        <v>0.67200000000000004</v>
      </c>
      <c r="X3686" s="508">
        <v>0.65500000000000003</v>
      </c>
      <c r="Y3686" s="508">
        <v>0.66400000000000003</v>
      </c>
      <c r="Z3686" s="508">
        <v>0.67</v>
      </c>
      <c r="AA3686" s="508">
        <v>3.5000000000000003E-2</v>
      </c>
      <c r="AB3686" s="508">
        <v>3.4000000000000002E-2</v>
      </c>
      <c r="AC3686" s="508">
        <v>3.5999999999999997E-2</v>
      </c>
      <c r="AD3686" s="508">
        <v>3.4000000000000002E-2</v>
      </c>
      <c r="AE3686" s="508">
        <v>3.3000000000000002E-2</v>
      </c>
      <c r="AF3686" s="508">
        <v>2.1000000000000001E-2</v>
      </c>
      <c r="AG3686" s="508">
        <v>0.02</v>
      </c>
      <c r="AH3686" s="508">
        <v>0.02</v>
      </c>
      <c r="AI3686" s="492">
        <v>0.02</v>
      </c>
      <c r="AJ3686" s="485"/>
    </row>
    <row r="3687" spans="2:36">
      <c r="B3687" s="136" t="s">
        <v>480</v>
      </c>
      <c r="C3687" s="132" t="s">
        <v>1363</v>
      </c>
      <c r="D3687" s="132" t="s">
        <v>284</v>
      </c>
      <c r="E3687" s="508">
        <v>2.8180000000000001</v>
      </c>
      <c r="F3687" s="508">
        <v>2.7959999999999998</v>
      </c>
      <c r="G3687" s="508">
        <v>2.7</v>
      </c>
      <c r="H3687" s="508">
        <v>1.075</v>
      </c>
      <c r="I3687" s="508">
        <v>1.0760000000000001</v>
      </c>
      <c r="J3687" s="508">
        <v>1.0880000000000001</v>
      </c>
      <c r="K3687" s="508">
        <v>1.1259999999999999</v>
      </c>
      <c r="L3687" s="508">
        <v>1.1080000000000001</v>
      </c>
      <c r="M3687" s="508">
        <v>1.1299999999999999</v>
      </c>
      <c r="N3687" s="508">
        <v>1.107</v>
      </c>
      <c r="O3687" s="508">
        <v>1.1000000000000001</v>
      </c>
      <c r="P3687" s="508">
        <v>1.1000000000000001</v>
      </c>
      <c r="Q3687" s="508">
        <v>1.083</v>
      </c>
      <c r="R3687" s="508">
        <v>0.72199999999999998</v>
      </c>
      <c r="S3687" s="508">
        <v>0.71899999999999997</v>
      </c>
      <c r="T3687" s="508">
        <v>0.71599999999999997</v>
      </c>
      <c r="U3687" s="508">
        <v>0.72</v>
      </c>
      <c r="V3687" s="508">
        <v>0.68600000000000005</v>
      </c>
      <c r="W3687" s="508">
        <v>0.63100000000000001</v>
      </c>
      <c r="X3687" s="508">
        <v>0.61499999999999999</v>
      </c>
      <c r="Y3687" s="508">
        <v>0.624</v>
      </c>
      <c r="Z3687" s="508">
        <v>0.629</v>
      </c>
      <c r="AA3687" s="508">
        <v>3.3000000000000002E-2</v>
      </c>
      <c r="AB3687" s="508">
        <v>3.2000000000000001E-2</v>
      </c>
      <c r="AC3687" s="508">
        <v>3.4000000000000002E-2</v>
      </c>
      <c r="AD3687" s="508">
        <v>3.2000000000000001E-2</v>
      </c>
      <c r="AE3687" s="508">
        <v>3.1E-2</v>
      </c>
      <c r="AF3687" s="508">
        <v>0.02</v>
      </c>
      <c r="AG3687" s="508">
        <v>1.9E-2</v>
      </c>
      <c r="AH3687" s="508">
        <v>1.9E-2</v>
      </c>
      <c r="AI3687" s="492">
        <v>1.9E-2</v>
      </c>
      <c r="AJ3687" s="485"/>
    </row>
    <row r="3688" spans="2:36">
      <c r="B3688" s="136" t="s">
        <v>481</v>
      </c>
      <c r="C3688" s="132" t="s">
        <v>1363</v>
      </c>
      <c r="D3688" s="132" t="s">
        <v>284</v>
      </c>
      <c r="E3688" s="508">
        <v>2.94</v>
      </c>
      <c r="F3688" s="508">
        <v>2.9159999999999999</v>
      </c>
      <c r="G3688" s="508">
        <v>2.819</v>
      </c>
      <c r="H3688" s="508">
        <v>1.151</v>
      </c>
      <c r="I3688" s="508">
        <v>1.1519999999999999</v>
      </c>
      <c r="J3688" s="508">
        <v>1.165</v>
      </c>
      <c r="K3688" s="508">
        <v>1.1879999999999999</v>
      </c>
      <c r="L3688" s="508">
        <v>1.171</v>
      </c>
      <c r="M3688" s="508">
        <v>1.1910000000000001</v>
      </c>
      <c r="N3688" s="508">
        <v>1.198</v>
      </c>
      <c r="O3688" s="508">
        <v>1.1890000000000001</v>
      </c>
      <c r="P3688" s="508">
        <v>1.1890000000000001</v>
      </c>
      <c r="Q3688" s="508">
        <v>1.1679999999999999</v>
      </c>
      <c r="R3688" s="508">
        <v>0.78200000000000003</v>
      </c>
      <c r="S3688" s="508">
        <v>0.77900000000000003</v>
      </c>
      <c r="T3688" s="508">
        <v>0.77500000000000002</v>
      </c>
      <c r="U3688" s="508">
        <v>0.78</v>
      </c>
      <c r="V3688" s="508">
        <v>0.74199999999999999</v>
      </c>
      <c r="W3688" s="508">
        <v>0.68300000000000005</v>
      </c>
      <c r="X3688" s="508">
        <v>0.66600000000000004</v>
      </c>
      <c r="Y3688" s="508">
        <v>0.67500000000000004</v>
      </c>
      <c r="Z3688" s="508">
        <v>0.68100000000000005</v>
      </c>
      <c r="AA3688" s="508">
        <v>3.5999999999999997E-2</v>
      </c>
      <c r="AB3688" s="508">
        <v>3.5000000000000003E-2</v>
      </c>
      <c r="AC3688" s="508">
        <v>3.6999999999999998E-2</v>
      </c>
      <c r="AD3688" s="508">
        <v>3.4000000000000002E-2</v>
      </c>
      <c r="AE3688" s="508">
        <v>3.3000000000000002E-2</v>
      </c>
      <c r="AF3688" s="508">
        <v>2.1000000000000001E-2</v>
      </c>
      <c r="AG3688" s="508">
        <v>2.1000000000000001E-2</v>
      </c>
      <c r="AH3688" s="508">
        <v>0.02</v>
      </c>
      <c r="AI3688" s="492">
        <v>0.02</v>
      </c>
      <c r="AJ3688" s="485"/>
    </row>
    <row r="3689" spans="2:36">
      <c r="B3689" s="136" t="s">
        <v>482</v>
      </c>
      <c r="C3689" s="132" t="s">
        <v>1363</v>
      </c>
      <c r="D3689" s="132" t="s">
        <v>284</v>
      </c>
      <c r="E3689" s="508">
        <v>2.948</v>
      </c>
      <c r="F3689" s="508">
        <v>2.9249999999999998</v>
      </c>
      <c r="G3689" s="508">
        <v>2.8279999999999998</v>
      </c>
      <c r="H3689" s="508">
        <v>1.1559999999999999</v>
      </c>
      <c r="I3689" s="508">
        <v>1.157</v>
      </c>
      <c r="J3689" s="508">
        <v>1.17</v>
      </c>
      <c r="K3689" s="508">
        <v>1.1910000000000001</v>
      </c>
      <c r="L3689" s="508">
        <v>1.175</v>
      </c>
      <c r="M3689" s="508">
        <v>1.194</v>
      </c>
      <c r="N3689" s="508">
        <v>1.204</v>
      </c>
      <c r="O3689" s="508">
        <v>1.1950000000000001</v>
      </c>
      <c r="P3689" s="508">
        <v>1.1950000000000001</v>
      </c>
      <c r="Q3689" s="508">
        <v>1.1739999999999999</v>
      </c>
      <c r="R3689" s="508">
        <v>0.78600000000000003</v>
      </c>
      <c r="S3689" s="508">
        <v>0.78300000000000003</v>
      </c>
      <c r="T3689" s="508">
        <v>0.77900000000000003</v>
      </c>
      <c r="U3689" s="508">
        <v>0.78300000000000003</v>
      </c>
      <c r="V3689" s="508">
        <v>0.746</v>
      </c>
      <c r="W3689" s="508">
        <v>0.68700000000000006</v>
      </c>
      <c r="X3689" s="508">
        <v>0.66900000000000004</v>
      </c>
      <c r="Y3689" s="508">
        <v>0.67800000000000005</v>
      </c>
      <c r="Z3689" s="508">
        <v>0.68400000000000005</v>
      </c>
      <c r="AA3689" s="508">
        <v>3.5999999999999997E-2</v>
      </c>
      <c r="AB3689" s="508">
        <v>3.5000000000000003E-2</v>
      </c>
      <c r="AC3689" s="508">
        <v>3.6999999999999998E-2</v>
      </c>
      <c r="AD3689" s="508">
        <v>3.4000000000000002E-2</v>
      </c>
      <c r="AE3689" s="508">
        <v>3.3000000000000002E-2</v>
      </c>
      <c r="AF3689" s="508">
        <v>2.1999999999999999E-2</v>
      </c>
      <c r="AG3689" s="508">
        <v>2.1000000000000001E-2</v>
      </c>
      <c r="AH3689" s="508">
        <v>0.02</v>
      </c>
      <c r="AI3689" s="492">
        <v>0.02</v>
      </c>
      <c r="AJ3689" s="485"/>
    </row>
    <row r="3690" spans="2:36">
      <c r="B3690" s="136" t="s">
        <v>483</v>
      </c>
      <c r="C3690" s="132" t="s">
        <v>1363</v>
      </c>
      <c r="D3690" s="132" t="s">
        <v>284</v>
      </c>
      <c r="E3690" s="508">
        <v>3.0110000000000001</v>
      </c>
      <c r="F3690" s="508">
        <v>2.9870000000000001</v>
      </c>
      <c r="G3690" s="508">
        <v>2.89</v>
      </c>
      <c r="H3690" s="508">
        <v>1.1970000000000001</v>
      </c>
      <c r="I3690" s="508">
        <v>1.1990000000000001</v>
      </c>
      <c r="J3690" s="508">
        <v>1.2130000000000001</v>
      </c>
      <c r="K3690" s="508">
        <v>1.226</v>
      </c>
      <c r="L3690" s="508">
        <v>1.21</v>
      </c>
      <c r="M3690" s="508">
        <v>1.2290000000000001</v>
      </c>
      <c r="N3690" s="508">
        <v>1.256</v>
      </c>
      <c r="O3690" s="508">
        <v>1.246</v>
      </c>
      <c r="P3690" s="508">
        <v>1.246</v>
      </c>
      <c r="Q3690" s="508">
        <v>1.2230000000000001</v>
      </c>
      <c r="R3690" s="508">
        <v>0.81799999999999995</v>
      </c>
      <c r="S3690" s="508">
        <v>0.81499999999999995</v>
      </c>
      <c r="T3690" s="508">
        <v>0.81</v>
      </c>
      <c r="U3690" s="508">
        <v>0.81499999999999995</v>
      </c>
      <c r="V3690" s="508">
        <v>0.77600000000000002</v>
      </c>
      <c r="W3690" s="508">
        <v>0.71399999999999997</v>
      </c>
      <c r="X3690" s="508">
        <v>0.69599999999999995</v>
      </c>
      <c r="Y3690" s="508">
        <v>0.70499999999999996</v>
      </c>
      <c r="Z3690" s="508">
        <v>0.71099999999999997</v>
      </c>
      <c r="AA3690" s="508">
        <v>3.6999999999999998E-2</v>
      </c>
      <c r="AB3690" s="508">
        <v>3.5999999999999997E-2</v>
      </c>
      <c r="AC3690" s="508">
        <v>3.7999999999999999E-2</v>
      </c>
      <c r="AD3690" s="508">
        <v>3.5000000000000003E-2</v>
      </c>
      <c r="AE3690" s="508">
        <v>3.4000000000000002E-2</v>
      </c>
      <c r="AF3690" s="508">
        <v>2.1999999999999999E-2</v>
      </c>
      <c r="AG3690" s="508">
        <v>2.1000000000000001E-2</v>
      </c>
      <c r="AH3690" s="508">
        <v>2.1000000000000001E-2</v>
      </c>
      <c r="AI3690" s="492">
        <v>2.1000000000000001E-2</v>
      </c>
      <c r="AJ3690" s="485"/>
    </row>
    <row r="3691" spans="2:36">
      <c r="B3691" s="136" t="s">
        <v>484</v>
      </c>
      <c r="C3691" s="132" t="s">
        <v>1363</v>
      </c>
      <c r="D3691" s="132" t="s">
        <v>284</v>
      </c>
      <c r="E3691" s="508">
        <v>2.839</v>
      </c>
      <c r="F3691" s="508">
        <v>2.8159999999999998</v>
      </c>
      <c r="G3691" s="508">
        <v>2.72</v>
      </c>
      <c r="H3691" s="508">
        <v>1.0840000000000001</v>
      </c>
      <c r="I3691" s="508">
        <v>1.085</v>
      </c>
      <c r="J3691" s="508">
        <v>1.097</v>
      </c>
      <c r="K3691" s="508">
        <v>1.133</v>
      </c>
      <c r="L3691" s="508">
        <v>1.115</v>
      </c>
      <c r="M3691" s="508">
        <v>1.1359999999999999</v>
      </c>
      <c r="N3691" s="508">
        <v>1.115</v>
      </c>
      <c r="O3691" s="508">
        <v>1.107</v>
      </c>
      <c r="P3691" s="508">
        <v>1.107</v>
      </c>
      <c r="Q3691" s="508">
        <v>1.089</v>
      </c>
      <c r="R3691" s="508">
        <v>0.73099999999999998</v>
      </c>
      <c r="S3691" s="508">
        <v>0.72799999999999998</v>
      </c>
      <c r="T3691" s="508">
        <v>0.72499999999999998</v>
      </c>
      <c r="U3691" s="508">
        <v>0.72899999999999998</v>
      </c>
      <c r="V3691" s="508">
        <v>0.69499999999999995</v>
      </c>
      <c r="W3691" s="508">
        <v>0.63900000000000001</v>
      </c>
      <c r="X3691" s="508">
        <v>0.623</v>
      </c>
      <c r="Y3691" s="508">
        <v>0.63200000000000001</v>
      </c>
      <c r="Z3691" s="508">
        <v>0.63700000000000001</v>
      </c>
      <c r="AA3691" s="508">
        <v>3.4000000000000002E-2</v>
      </c>
      <c r="AB3691" s="508">
        <v>3.3000000000000002E-2</v>
      </c>
      <c r="AC3691" s="508">
        <v>3.5000000000000003E-2</v>
      </c>
      <c r="AD3691" s="508">
        <v>3.2000000000000001E-2</v>
      </c>
      <c r="AE3691" s="508">
        <v>3.1E-2</v>
      </c>
      <c r="AF3691" s="508">
        <v>0.02</v>
      </c>
      <c r="AG3691" s="508">
        <v>1.9E-2</v>
      </c>
      <c r="AH3691" s="508">
        <v>1.9E-2</v>
      </c>
      <c r="AI3691" s="492">
        <v>1.9E-2</v>
      </c>
      <c r="AJ3691" s="485"/>
    </row>
    <row r="3692" spans="2:36">
      <c r="B3692" s="136" t="s">
        <v>486</v>
      </c>
      <c r="C3692" s="132" t="s">
        <v>1363</v>
      </c>
      <c r="D3692" s="132" t="s">
        <v>284</v>
      </c>
      <c r="E3692" s="508">
        <v>2.9460000000000002</v>
      </c>
      <c r="F3692" s="508">
        <v>2.923</v>
      </c>
      <c r="G3692" s="508">
        <v>2.8260000000000001</v>
      </c>
      <c r="H3692" s="508">
        <v>1.155</v>
      </c>
      <c r="I3692" s="508">
        <v>1.157</v>
      </c>
      <c r="J3692" s="508">
        <v>1.17</v>
      </c>
      <c r="K3692" s="508">
        <v>1.1910000000000001</v>
      </c>
      <c r="L3692" s="508">
        <v>1.175</v>
      </c>
      <c r="M3692" s="508">
        <v>1.1950000000000001</v>
      </c>
      <c r="N3692" s="508">
        <v>1.204</v>
      </c>
      <c r="O3692" s="508">
        <v>1.1950000000000001</v>
      </c>
      <c r="P3692" s="508">
        <v>1.1950000000000001</v>
      </c>
      <c r="Q3692" s="508">
        <v>1.1739999999999999</v>
      </c>
      <c r="R3692" s="508">
        <v>0.78500000000000003</v>
      </c>
      <c r="S3692" s="508">
        <v>0.78200000000000003</v>
      </c>
      <c r="T3692" s="508">
        <v>0.77800000000000002</v>
      </c>
      <c r="U3692" s="508">
        <v>0.78300000000000003</v>
      </c>
      <c r="V3692" s="508">
        <v>0.745</v>
      </c>
      <c r="W3692" s="508">
        <v>0.68600000000000005</v>
      </c>
      <c r="X3692" s="508">
        <v>0.66900000000000004</v>
      </c>
      <c r="Y3692" s="508">
        <v>0.67800000000000005</v>
      </c>
      <c r="Z3692" s="508">
        <v>0.68300000000000005</v>
      </c>
      <c r="AA3692" s="508">
        <v>3.5999999999999997E-2</v>
      </c>
      <c r="AB3692" s="508">
        <v>3.5000000000000003E-2</v>
      </c>
      <c r="AC3692" s="508">
        <v>3.6999999999999998E-2</v>
      </c>
      <c r="AD3692" s="508">
        <v>3.4000000000000002E-2</v>
      </c>
      <c r="AE3692" s="508">
        <v>3.3000000000000002E-2</v>
      </c>
      <c r="AF3692" s="508">
        <v>2.1999999999999999E-2</v>
      </c>
      <c r="AG3692" s="508">
        <v>2.1000000000000001E-2</v>
      </c>
      <c r="AH3692" s="508">
        <v>0.02</v>
      </c>
      <c r="AI3692" s="492">
        <v>0.02</v>
      </c>
      <c r="AJ3692" s="485"/>
    </row>
    <row r="3693" spans="2:36">
      <c r="B3693" s="136" t="s">
        <v>487</v>
      </c>
      <c r="C3693" s="132" t="s">
        <v>1363</v>
      </c>
      <c r="D3693" s="132" t="s">
        <v>284</v>
      </c>
      <c r="E3693" s="508">
        <v>2.9430000000000001</v>
      </c>
      <c r="F3693" s="508">
        <v>2.92</v>
      </c>
      <c r="G3693" s="508">
        <v>2.823</v>
      </c>
      <c r="H3693" s="508">
        <v>1.1559999999999999</v>
      </c>
      <c r="I3693" s="508">
        <v>1.157</v>
      </c>
      <c r="J3693" s="508">
        <v>1.17</v>
      </c>
      <c r="K3693" s="508">
        <v>1.1919999999999999</v>
      </c>
      <c r="L3693" s="508">
        <v>1.175</v>
      </c>
      <c r="M3693" s="508">
        <v>1.1950000000000001</v>
      </c>
      <c r="N3693" s="508">
        <v>1.206</v>
      </c>
      <c r="O3693" s="508">
        <v>1.198</v>
      </c>
      <c r="P3693" s="508">
        <v>1.198</v>
      </c>
      <c r="Q3693" s="508">
        <v>1.177</v>
      </c>
      <c r="R3693" s="508">
        <v>0.78400000000000003</v>
      </c>
      <c r="S3693" s="508">
        <v>0.78100000000000003</v>
      </c>
      <c r="T3693" s="508">
        <v>0.77700000000000002</v>
      </c>
      <c r="U3693" s="508">
        <v>0.78200000000000003</v>
      </c>
      <c r="V3693" s="508">
        <v>0.74399999999999999</v>
      </c>
      <c r="W3693" s="508">
        <v>0.68500000000000005</v>
      </c>
      <c r="X3693" s="508">
        <v>0.66700000000000004</v>
      </c>
      <c r="Y3693" s="508">
        <v>0.67700000000000005</v>
      </c>
      <c r="Z3693" s="508">
        <v>0.68200000000000005</v>
      </c>
      <c r="AA3693" s="508">
        <v>3.5999999999999997E-2</v>
      </c>
      <c r="AB3693" s="508">
        <v>3.5000000000000003E-2</v>
      </c>
      <c r="AC3693" s="508">
        <v>3.6999999999999998E-2</v>
      </c>
      <c r="AD3693" s="508">
        <v>3.4000000000000002E-2</v>
      </c>
      <c r="AE3693" s="508">
        <v>3.3000000000000002E-2</v>
      </c>
      <c r="AF3693" s="508">
        <v>2.1999999999999999E-2</v>
      </c>
      <c r="AG3693" s="508">
        <v>2.1000000000000001E-2</v>
      </c>
      <c r="AH3693" s="508">
        <v>0.02</v>
      </c>
      <c r="AI3693" s="492">
        <v>0.02</v>
      </c>
      <c r="AJ3693" s="485"/>
    </row>
    <row r="3694" spans="2:36">
      <c r="B3694" s="136" t="s">
        <v>488</v>
      </c>
      <c r="C3694" s="132" t="s">
        <v>1363</v>
      </c>
      <c r="D3694" s="132" t="s">
        <v>284</v>
      </c>
      <c r="E3694" s="508">
        <v>2.863</v>
      </c>
      <c r="F3694" s="508">
        <v>2.84</v>
      </c>
      <c r="G3694" s="508">
        <v>2.7440000000000002</v>
      </c>
      <c r="H3694" s="508">
        <v>1.101</v>
      </c>
      <c r="I3694" s="508">
        <v>1.1020000000000001</v>
      </c>
      <c r="J3694" s="508">
        <v>1.115</v>
      </c>
      <c r="K3694" s="508">
        <v>1.147</v>
      </c>
      <c r="L3694" s="508">
        <v>1.129</v>
      </c>
      <c r="M3694" s="508">
        <v>1.1499999999999999</v>
      </c>
      <c r="N3694" s="508">
        <v>1.137</v>
      </c>
      <c r="O3694" s="508">
        <v>1.129</v>
      </c>
      <c r="P3694" s="508">
        <v>1.129</v>
      </c>
      <c r="Q3694" s="508">
        <v>1.1100000000000001</v>
      </c>
      <c r="R3694" s="508">
        <v>0.74299999999999999</v>
      </c>
      <c r="S3694" s="508">
        <v>0.74099999999999999</v>
      </c>
      <c r="T3694" s="508">
        <v>0.73699999999999999</v>
      </c>
      <c r="U3694" s="508">
        <v>0.74099999999999999</v>
      </c>
      <c r="V3694" s="508">
        <v>0.70599999999999996</v>
      </c>
      <c r="W3694" s="508">
        <v>0.65</v>
      </c>
      <c r="X3694" s="508">
        <v>0.63300000000000001</v>
      </c>
      <c r="Y3694" s="508">
        <v>0.64200000000000002</v>
      </c>
      <c r="Z3694" s="508">
        <v>0.64700000000000002</v>
      </c>
      <c r="AA3694" s="508">
        <v>3.4000000000000002E-2</v>
      </c>
      <c r="AB3694" s="508">
        <v>3.3000000000000002E-2</v>
      </c>
      <c r="AC3694" s="508">
        <v>3.5000000000000003E-2</v>
      </c>
      <c r="AD3694" s="508">
        <v>3.3000000000000002E-2</v>
      </c>
      <c r="AE3694" s="508">
        <v>3.2000000000000001E-2</v>
      </c>
      <c r="AF3694" s="508">
        <v>2.1000000000000001E-2</v>
      </c>
      <c r="AG3694" s="508">
        <v>0.02</v>
      </c>
      <c r="AH3694" s="508">
        <v>1.9E-2</v>
      </c>
      <c r="AI3694" s="492">
        <v>1.9E-2</v>
      </c>
      <c r="AJ3694" s="485"/>
    </row>
    <row r="3695" spans="2:36">
      <c r="B3695" s="136" t="s">
        <v>489</v>
      </c>
      <c r="C3695" s="132" t="s">
        <v>1363</v>
      </c>
      <c r="D3695" s="132" t="s">
        <v>284</v>
      </c>
      <c r="E3695" s="508">
        <v>2.9079999999999999</v>
      </c>
      <c r="F3695" s="508">
        <v>2.8849999999999998</v>
      </c>
      <c r="G3695" s="508">
        <v>2.7890000000000001</v>
      </c>
      <c r="H3695" s="508">
        <v>1.1279999999999999</v>
      </c>
      <c r="I3695" s="508">
        <v>1.129</v>
      </c>
      <c r="J3695" s="508">
        <v>1.1419999999999999</v>
      </c>
      <c r="K3695" s="508">
        <v>1.169</v>
      </c>
      <c r="L3695" s="508">
        <v>1.1519999999999999</v>
      </c>
      <c r="M3695" s="508">
        <v>1.1719999999999999</v>
      </c>
      <c r="N3695" s="508">
        <v>1.1679999999999999</v>
      </c>
      <c r="O3695" s="508">
        <v>1.1599999999999999</v>
      </c>
      <c r="P3695" s="508">
        <v>1.1599999999999999</v>
      </c>
      <c r="Q3695" s="508">
        <v>1.1399999999999999</v>
      </c>
      <c r="R3695" s="508">
        <v>0.76600000000000001</v>
      </c>
      <c r="S3695" s="508">
        <v>0.76300000000000001</v>
      </c>
      <c r="T3695" s="508">
        <v>0.75900000000000001</v>
      </c>
      <c r="U3695" s="508">
        <v>0.76300000000000001</v>
      </c>
      <c r="V3695" s="508">
        <v>0.72699999999999998</v>
      </c>
      <c r="W3695" s="508">
        <v>0.66900000000000004</v>
      </c>
      <c r="X3695" s="508">
        <v>0.65200000000000002</v>
      </c>
      <c r="Y3695" s="508">
        <v>0.66100000000000003</v>
      </c>
      <c r="Z3695" s="508">
        <v>0.66700000000000004</v>
      </c>
      <c r="AA3695" s="508">
        <v>3.5000000000000003E-2</v>
      </c>
      <c r="AB3695" s="508">
        <v>3.4000000000000002E-2</v>
      </c>
      <c r="AC3695" s="508">
        <v>3.5999999999999997E-2</v>
      </c>
      <c r="AD3695" s="508">
        <v>3.3000000000000002E-2</v>
      </c>
      <c r="AE3695" s="508">
        <v>3.3000000000000002E-2</v>
      </c>
      <c r="AF3695" s="508">
        <v>2.1000000000000001E-2</v>
      </c>
      <c r="AG3695" s="508">
        <v>0.02</v>
      </c>
      <c r="AH3695" s="508">
        <v>0.02</v>
      </c>
      <c r="AI3695" s="492">
        <v>0.02</v>
      </c>
      <c r="AJ3695" s="485"/>
    </row>
    <row r="3696" spans="2:36">
      <c r="B3696" s="136" t="s">
        <v>490</v>
      </c>
      <c r="C3696" s="132" t="s">
        <v>1363</v>
      </c>
      <c r="D3696" s="132" t="s">
        <v>284</v>
      </c>
      <c r="E3696" s="508">
        <v>2.8170000000000002</v>
      </c>
      <c r="F3696" s="508">
        <v>2.794</v>
      </c>
      <c r="G3696" s="508">
        <v>2.6989999999999998</v>
      </c>
      <c r="H3696" s="508">
        <v>1.0760000000000001</v>
      </c>
      <c r="I3696" s="508">
        <v>1.077</v>
      </c>
      <c r="J3696" s="508">
        <v>1.089</v>
      </c>
      <c r="K3696" s="508">
        <v>1.127</v>
      </c>
      <c r="L3696" s="508">
        <v>1.1100000000000001</v>
      </c>
      <c r="M3696" s="508">
        <v>1.131</v>
      </c>
      <c r="N3696" s="508">
        <v>1.111</v>
      </c>
      <c r="O3696" s="508">
        <v>1.103</v>
      </c>
      <c r="P3696" s="508">
        <v>1.1040000000000001</v>
      </c>
      <c r="Q3696" s="508">
        <v>1.087</v>
      </c>
      <c r="R3696" s="508">
        <v>0.72199999999999998</v>
      </c>
      <c r="S3696" s="508">
        <v>0.71899999999999997</v>
      </c>
      <c r="T3696" s="508">
        <v>0.71499999999999997</v>
      </c>
      <c r="U3696" s="508">
        <v>0.72</v>
      </c>
      <c r="V3696" s="508">
        <v>0.68600000000000005</v>
      </c>
      <c r="W3696" s="508">
        <v>0.63100000000000001</v>
      </c>
      <c r="X3696" s="508">
        <v>0.61499999999999999</v>
      </c>
      <c r="Y3696" s="508">
        <v>0.623</v>
      </c>
      <c r="Z3696" s="508">
        <v>0.628</v>
      </c>
      <c r="AA3696" s="508">
        <v>3.3000000000000002E-2</v>
      </c>
      <c r="AB3696" s="508">
        <v>3.2000000000000001E-2</v>
      </c>
      <c r="AC3696" s="508">
        <v>3.4000000000000002E-2</v>
      </c>
      <c r="AD3696" s="508">
        <v>3.2000000000000001E-2</v>
      </c>
      <c r="AE3696" s="508">
        <v>3.1E-2</v>
      </c>
      <c r="AF3696" s="508">
        <v>0.02</v>
      </c>
      <c r="AG3696" s="508">
        <v>1.9E-2</v>
      </c>
      <c r="AH3696" s="508">
        <v>1.9E-2</v>
      </c>
      <c r="AI3696" s="492">
        <v>1.9E-2</v>
      </c>
      <c r="AJ3696" s="485"/>
    </row>
    <row r="3697" spans="2:36">
      <c r="B3697" s="136" t="s">
        <v>435</v>
      </c>
      <c r="C3697" s="132" t="s">
        <v>1364</v>
      </c>
      <c r="D3697" s="132" t="s">
        <v>284</v>
      </c>
      <c r="E3697" s="508">
        <v>0.68899999999999995</v>
      </c>
      <c r="F3697" s="508">
        <v>0.75700000000000001</v>
      </c>
      <c r="G3697" s="508">
        <v>0.35699999999999998</v>
      </c>
      <c r="H3697" s="508">
        <v>0.16300000000000001</v>
      </c>
      <c r="I3697" s="508">
        <v>0.21099999999999999</v>
      </c>
      <c r="J3697" s="508">
        <v>0.77900000000000003</v>
      </c>
      <c r="K3697" s="508">
        <v>0.40600000000000003</v>
      </c>
      <c r="L3697" s="508">
        <v>0.10100000000000001</v>
      </c>
      <c r="M3697" s="508">
        <v>0.38</v>
      </c>
      <c r="N3697" s="508">
        <v>0.36799999999999999</v>
      </c>
      <c r="O3697" s="508">
        <v>0.51500000000000001</v>
      </c>
      <c r="P3697" s="508">
        <v>0.50600000000000001</v>
      </c>
      <c r="Q3697" s="508">
        <v>0.58299999999999996</v>
      </c>
      <c r="R3697" s="508">
        <v>0.157</v>
      </c>
      <c r="S3697" s="508">
        <v>0.314</v>
      </c>
      <c r="T3697" s="508">
        <v>0.23499999999999999</v>
      </c>
      <c r="U3697" s="508">
        <v>0.26500000000000001</v>
      </c>
      <c r="V3697" s="508">
        <v>0.17</v>
      </c>
      <c r="W3697" s="508">
        <v>0.14099999999999999</v>
      </c>
      <c r="X3697" s="508">
        <v>0.14199999999999999</v>
      </c>
      <c r="Y3697" s="508">
        <v>0.159</v>
      </c>
      <c r="Z3697" s="508">
        <v>0.17599999999999999</v>
      </c>
      <c r="AA3697" s="508">
        <v>1.2E-2</v>
      </c>
      <c r="AB3697" s="508">
        <v>1.2E-2</v>
      </c>
      <c r="AC3697" s="508">
        <v>1.0999999999999999E-2</v>
      </c>
      <c r="AD3697" s="508">
        <v>8.9999999999999993E-3</v>
      </c>
      <c r="AE3697" s="508">
        <v>0.01</v>
      </c>
      <c r="AF3697" s="508">
        <v>6.0000000000000001E-3</v>
      </c>
      <c r="AG3697" s="508">
        <v>6.0000000000000001E-3</v>
      </c>
      <c r="AH3697" s="508">
        <v>6.0000000000000001E-3</v>
      </c>
      <c r="AI3697" s="492">
        <v>6.0000000000000001E-3</v>
      </c>
      <c r="AJ3697" s="485"/>
    </row>
    <row r="3698" spans="2:36">
      <c r="B3698" s="136" t="s">
        <v>436</v>
      </c>
      <c r="C3698" s="132" t="s">
        <v>1364</v>
      </c>
      <c r="D3698" s="132" t="s">
        <v>284</v>
      </c>
      <c r="E3698" s="508">
        <v>0.68200000000000005</v>
      </c>
      <c r="F3698" s="508">
        <v>0.75</v>
      </c>
      <c r="G3698" s="508">
        <v>0.35599999999999998</v>
      </c>
      <c r="H3698" s="508">
        <v>0.161</v>
      </c>
      <c r="I3698" s="508">
        <v>0.20799999999999999</v>
      </c>
      <c r="J3698" s="508">
        <v>0.76300000000000001</v>
      </c>
      <c r="K3698" s="508">
        <v>0.4</v>
      </c>
      <c r="L3698" s="508">
        <v>0.1</v>
      </c>
      <c r="M3698" s="508">
        <v>0.374</v>
      </c>
      <c r="N3698" s="508">
        <v>0.35699999999999998</v>
      </c>
      <c r="O3698" s="508">
        <v>0.5</v>
      </c>
      <c r="P3698" s="508">
        <v>0.49099999999999999</v>
      </c>
      <c r="Q3698" s="508">
        <v>0.56499999999999995</v>
      </c>
      <c r="R3698" s="508">
        <v>0.155</v>
      </c>
      <c r="S3698" s="508">
        <v>0.309</v>
      </c>
      <c r="T3698" s="508">
        <v>0.23200000000000001</v>
      </c>
      <c r="U3698" s="508">
        <v>0.26100000000000001</v>
      </c>
      <c r="V3698" s="508">
        <v>0.16800000000000001</v>
      </c>
      <c r="W3698" s="508">
        <v>0.13900000000000001</v>
      </c>
      <c r="X3698" s="508">
        <v>0.14000000000000001</v>
      </c>
      <c r="Y3698" s="508">
        <v>0.156</v>
      </c>
      <c r="Z3698" s="508">
        <v>0.17299999999999999</v>
      </c>
      <c r="AA3698" s="508">
        <v>1.2E-2</v>
      </c>
      <c r="AB3698" s="508">
        <v>1.2E-2</v>
      </c>
      <c r="AC3698" s="508">
        <v>1.0999999999999999E-2</v>
      </c>
      <c r="AD3698" s="508">
        <v>8.9999999999999993E-3</v>
      </c>
      <c r="AE3698" s="508">
        <v>0.01</v>
      </c>
      <c r="AF3698" s="508">
        <v>6.0000000000000001E-3</v>
      </c>
      <c r="AG3698" s="508">
        <v>6.0000000000000001E-3</v>
      </c>
      <c r="AH3698" s="508">
        <v>6.0000000000000001E-3</v>
      </c>
      <c r="AI3698" s="492">
        <v>6.0000000000000001E-3</v>
      </c>
      <c r="AJ3698" s="485"/>
    </row>
    <row r="3699" spans="2:36">
      <c r="B3699" s="136" t="s">
        <v>437</v>
      </c>
      <c r="C3699" s="132" t="s">
        <v>1364</v>
      </c>
      <c r="D3699" s="132" t="s">
        <v>284</v>
      </c>
      <c r="E3699" s="508">
        <v>0.69299999999999995</v>
      </c>
      <c r="F3699" s="508">
        <v>0.76100000000000001</v>
      </c>
      <c r="G3699" s="508">
        <v>0.36099999999999999</v>
      </c>
      <c r="H3699" s="508">
        <v>0.16700000000000001</v>
      </c>
      <c r="I3699" s="508">
        <v>0.215</v>
      </c>
      <c r="J3699" s="508">
        <v>0.79500000000000004</v>
      </c>
      <c r="K3699" s="508">
        <v>0.41</v>
      </c>
      <c r="L3699" s="508">
        <v>0.10299999999999999</v>
      </c>
      <c r="M3699" s="508">
        <v>0.38300000000000001</v>
      </c>
      <c r="N3699" s="508">
        <v>0.38200000000000001</v>
      </c>
      <c r="O3699" s="508">
        <v>0.53600000000000003</v>
      </c>
      <c r="P3699" s="508">
        <v>0.52700000000000002</v>
      </c>
      <c r="Q3699" s="508">
        <v>0.60699999999999998</v>
      </c>
      <c r="R3699" s="508">
        <v>0.161</v>
      </c>
      <c r="S3699" s="508">
        <v>0.32</v>
      </c>
      <c r="T3699" s="508">
        <v>0.24</v>
      </c>
      <c r="U3699" s="508">
        <v>0.27</v>
      </c>
      <c r="V3699" s="508">
        <v>0.17299999999999999</v>
      </c>
      <c r="W3699" s="508">
        <v>0.14399999999999999</v>
      </c>
      <c r="X3699" s="508">
        <v>0.14499999999999999</v>
      </c>
      <c r="Y3699" s="508">
        <v>0.16200000000000001</v>
      </c>
      <c r="Z3699" s="508">
        <v>0.17899999999999999</v>
      </c>
      <c r="AA3699" s="508">
        <v>1.2999999999999999E-2</v>
      </c>
      <c r="AB3699" s="508">
        <v>1.2999999999999999E-2</v>
      </c>
      <c r="AC3699" s="508">
        <v>1.0999999999999999E-2</v>
      </c>
      <c r="AD3699" s="508">
        <v>8.9999999999999993E-3</v>
      </c>
      <c r="AE3699" s="508">
        <v>1.0999999999999999E-2</v>
      </c>
      <c r="AF3699" s="508">
        <v>6.0000000000000001E-3</v>
      </c>
      <c r="AG3699" s="508">
        <v>6.0000000000000001E-3</v>
      </c>
      <c r="AH3699" s="508">
        <v>6.0000000000000001E-3</v>
      </c>
      <c r="AI3699" s="492">
        <v>6.0000000000000001E-3</v>
      </c>
      <c r="AJ3699" s="485"/>
    </row>
    <row r="3700" spans="2:36">
      <c r="B3700" s="136" t="s">
        <v>438</v>
      </c>
      <c r="C3700" s="132" t="s">
        <v>1364</v>
      </c>
      <c r="D3700" s="132" t="s">
        <v>284</v>
      </c>
      <c r="E3700" s="508">
        <v>0.67700000000000005</v>
      </c>
      <c r="F3700" s="508">
        <v>0.74399999999999999</v>
      </c>
      <c r="G3700" s="508">
        <v>0.35299999999999998</v>
      </c>
      <c r="H3700" s="508">
        <v>0.159</v>
      </c>
      <c r="I3700" s="508">
        <v>0.20399999999999999</v>
      </c>
      <c r="J3700" s="508">
        <v>0.746</v>
      </c>
      <c r="K3700" s="508">
        <v>0.39500000000000002</v>
      </c>
      <c r="L3700" s="508">
        <v>9.9000000000000005E-2</v>
      </c>
      <c r="M3700" s="508">
        <v>0.36899999999999999</v>
      </c>
      <c r="N3700" s="508">
        <v>0.34399999999999997</v>
      </c>
      <c r="O3700" s="508">
        <v>0.48</v>
      </c>
      <c r="P3700" s="508">
        <v>0.47099999999999997</v>
      </c>
      <c r="Q3700" s="508">
        <v>0.54300000000000004</v>
      </c>
      <c r="R3700" s="508">
        <v>0.152</v>
      </c>
      <c r="S3700" s="508">
        <v>0.30399999999999999</v>
      </c>
      <c r="T3700" s="508">
        <v>0.22800000000000001</v>
      </c>
      <c r="U3700" s="508">
        <v>0.25600000000000001</v>
      </c>
      <c r="V3700" s="508">
        <v>0.16400000000000001</v>
      </c>
      <c r="W3700" s="508">
        <v>0.13700000000000001</v>
      </c>
      <c r="X3700" s="508">
        <v>0.13700000000000001</v>
      </c>
      <c r="Y3700" s="508">
        <v>0.154</v>
      </c>
      <c r="Z3700" s="508">
        <v>0.17</v>
      </c>
      <c r="AA3700" s="508">
        <v>1.2E-2</v>
      </c>
      <c r="AB3700" s="508">
        <v>1.2E-2</v>
      </c>
      <c r="AC3700" s="508">
        <v>0.01</v>
      </c>
      <c r="AD3700" s="508">
        <v>8.9999999999999993E-3</v>
      </c>
      <c r="AE3700" s="508">
        <v>0.01</v>
      </c>
      <c r="AF3700" s="508">
        <v>6.0000000000000001E-3</v>
      </c>
      <c r="AG3700" s="508">
        <v>6.0000000000000001E-3</v>
      </c>
      <c r="AH3700" s="508">
        <v>6.0000000000000001E-3</v>
      </c>
      <c r="AI3700" s="492">
        <v>6.0000000000000001E-3</v>
      </c>
      <c r="AJ3700" s="485"/>
    </row>
    <row r="3701" spans="2:36">
      <c r="B3701" s="136" t="s">
        <v>439</v>
      </c>
      <c r="C3701" s="132" t="s">
        <v>1364</v>
      </c>
      <c r="D3701" s="132" t="s">
        <v>284</v>
      </c>
      <c r="E3701" s="508">
        <v>0.68899999999999995</v>
      </c>
      <c r="F3701" s="508">
        <v>0.75700000000000001</v>
      </c>
      <c r="G3701" s="508">
        <v>0.36</v>
      </c>
      <c r="H3701" s="508">
        <v>0.16600000000000001</v>
      </c>
      <c r="I3701" s="508">
        <v>0.21299999999999999</v>
      </c>
      <c r="J3701" s="508">
        <v>0.78400000000000003</v>
      </c>
      <c r="K3701" s="508">
        <v>0.40600000000000003</v>
      </c>
      <c r="L3701" s="508">
        <v>0.10299999999999999</v>
      </c>
      <c r="M3701" s="508">
        <v>0.38</v>
      </c>
      <c r="N3701" s="508">
        <v>0.375</v>
      </c>
      <c r="O3701" s="508">
        <v>0.52500000000000002</v>
      </c>
      <c r="P3701" s="508">
        <v>0.51600000000000001</v>
      </c>
      <c r="Q3701" s="508">
        <v>0.59399999999999997</v>
      </c>
      <c r="R3701" s="508">
        <v>0.159</v>
      </c>
      <c r="S3701" s="508">
        <v>0.317</v>
      </c>
      <c r="T3701" s="508">
        <v>0.23799999999999999</v>
      </c>
      <c r="U3701" s="508">
        <v>0.26700000000000002</v>
      </c>
      <c r="V3701" s="508">
        <v>0.17100000000000001</v>
      </c>
      <c r="W3701" s="508">
        <v>0.14299999999999999</v>
      </c>
      <c r="X3701" s="508">
        <v>0.14299999999999999</v>
      </c>
      <c r="Y3701" s="508">
        <v>0.16</v>
      </c>
      <c r="Z3701" s="508">
        <v>0.17699999999999999</v>
      </c>
      <c r="AA3701" s="508">
        <v>1.2999999999999999E-2</v>
      </c>
      <c r="AB3701" s="508">
        <v>1.2999999999999999E-2</v>
      </c>
      <c r="AC3701" s="508">
        <v>1.0999999999999999E-2</v>
      </c>
      <c r="AD3701" s="508">
        <v>8.9999999999999993E-3</v>
      </c>
      <c r="AE3701" s="508">
        <v>0.01</v>
      </c>
      <c r="AF3701" s="508">
        <v>6.0000000000000001E-3</v>
      </c>
      <c r="AG3701" s="508">
        <v>6.0000000000000001E-3</v>
      </c>
      <c r="AH3701" s="508">
        <v>6.0000000000000001E-3</v>
      </c>
      <c r="AI3701" s="492">
        <v>6.0000000000000001E-3</v>
      </c>
      <c r="AJ3701" s="485"/>
    </row>
    <row r="3702" spans="2:36">
      <c r="B3702" s="136" t="s">
        <v>440</v>
      </c>
      <c r="C3702" s="132" t="s">
        <v>1364</v>
      </c>
      <c r="D3702" s="132" t="s">
        <v>284</v>
      </c>
      <c r="E3702" s="508">
        <v>0.68700000000000006</v>
      </c>
      <c r="F3702" s="508">
        <v>0.755</v>
      </c>
      <c r="G3702" s="508">
        <v>0.35799999999999998</v>
      </c>
      <c r="H3702" s="508">
        <v>0.16400000000000001</v>
      </c>
      <c r="I3702" s="508">
        <v>0.21199999999999999</v>
      </c>
      <c r="J3702" s="508">
        <v>0.77800000000000002</v>
      </c>
      <c r="K3702" s="508">
        <v>0.40500000000000003</v>
      </c>
      <c r="L3702" s="508">
        <v>0.10199999999999999</v>
      </c>
      <c r="M3702" s="508">
        <v>0.378</v>
      </c>
      <c r="N3702" s="508">
        <v>0.36899999999999999</v>
      </c>
      <c r="O3702" s="508">
        <v>0.51700000000000002</v>
      </c>
      <c r="P3702" s="508">
        <v>0.50800000000000001</v>
      </c>
      <c r="Q3702" s="508">
        <v>0.58499999999999996</v>
      </c>
      <c r="R3702" s="508">
        <v>0.158</v>
      </c>
      <c r="S3702" s="508">
        <v>0.315</v>
      </c>
      <c r="T3702" s="508">
        <v>0.23599999999999999</v>
      </c>
      <c r="U3702" s="508">
        <v>0.26500000000000001</v>
      </c>
      <c r="V3702" s="508">
        <v>0.17</v>
      </c>
      <c r="W3702" s="508">
        <v>0.14199999999999999</v>
      </c>
      <c r="X3702" s="508">
        <v>0.14199999999999999</v>
      </c>
      <c r="Y3702" s="508">
        <v>0.159</v>
      </c>
      <c r="Z3702" s="508">
        <v>0.17599999999999999</v>
      </c>
      <c r="AA3702" s="508">
        <v>1.2E-2</v>
      </c>
      <c r="AB3702" s="508">
        <v>1.2E-2</v>
      </c>
      <c r="AC3702" s="508">
        <v>1.0999999999999999E-2</v>
      </c>
      <c r="AD3702" s="508">
        <v>8.9999999999999993E-3</v>
      </c>
      <c r="AE3702" s="508">
        <v>0.01</v>
      </c>
      <c r="AF3702" s="508">
        <v>6.0000000000000001E-3</v>
      </c>
      <c r="AG3702" s="508">
        <v>6.0000000000000001E-3</v>
      </c>
      <c r="AH3702" s="508">
        <v>6.0000000000000001E-3</v>
      </c>
      <c r="AI3702" s="492">
        <v>6.0000000000000001E-3</v>
      </c>
      <c r="AJ3702" s="485"/>
    </row>
    <row r="3703" spans="2:36">
      <c r="B3703" s="136" t="s">
        <v>441</v>
      </c>
      <c r="C3703" s="132" t="s">
        <v>1364</v>
      </c>
      <c r="D3703" s="132" t="s">
        <v>284</v>
      </c>
      <c r="E3703" s="508">
        <v>0.68799999999999994</v>
      </c>
      <c r="F3703" s="508">
        <v>0.75700000000000001</v>
      </c>
      <c r="G3703" s="508">
        <v>0.36</v>
      </c>
      <c r="H3703" s="508">
        <v>0.16600000000000001</v>
      </c>
      <c r="I3703" s="508">
        <v>0.21299999999999999</v>
      </c>
      <c r="J3703" s="508">
        <v>0.78200000000000003</v>
      </c>
      <c r="K3703" s="508">
        <v>0.40500000000000003</v>
      </c>
      <c r="L3703" s="508">
        <v>0.10299999999999999</v>
      </c>
      <c r="M3703" s="508">
        <v>0.379</v>
      </c>
      <c r="N3703" s="508">
        <v>0.374</v>
      </c>
      <c r="O3703" s="508">
        <v>0.52400000000000002</v>
      </c>
      <c r="P3703" s="508">
        <v>0.51500000000000001</v>
      </c>
      <c r="Q3703" s="508">
        <v>0.59299999999999997</v>
      </c>
      <c r="R3703" s="508">
        <v>0.159</v>
      </c>
      <c r="S3703" s="508">
        <v>0.317</v>
      </c>
      <c r="T3703" s="508">
        <v>0.23799999999999999</v>
      </c>
      <c r="U3703" s="508">
        <v>0.26700000000000002</v>
      </c>
      <c r="V3703" s="508">
        <v>0.17100000000000001</v>
      </c>
      <c r="W3703" s="508">
        <v>0.14299999999999999</v>
      </c>
      <c r="X3703" s="508">
        <v>0.14299999999999999</v>
      </c>
      <c r="Y3703" s="508">
        <v>0.16</v>
      </c>
      <c r="Z3703" s="508">
        <v>0.17699999999999999</v>
      </c>
      <c r="AA3703" s="508">
        <v>1.2999999999999999E-2</v>
      </c>
      <c r="AB3703" s="508">
        <v>1.2999999999999999E-2</v>
      </c>
      <c r="AC3703" s="508">
        <v>1.0999999999999999E-2</v>
      </c>
      <c r="AD3703" s="508">
        <v>8.9999999999999993E-3</v>
      </c>
      <c r="AE3703" s="508">
        <v>0.01</v>
      </c>
      <c r="AF3703" s="508">
        <v>6.0000000000000001E-3</v>
      </c>
      <c r="AG3703" s="508">
        <v>6.0000000000000001E-3</v>
      </c>
      <c r="AH3703" s="508">
        <v>6.0000000000000001E-3</v>
      </c>
      <c r="AI3703" s="492">
        <v>6.0000000000000001E-3</v>
      </c>
      <c r="AJ3703" s="485"/>
    </row>
    <row r="3704" spans="2:36">
      <c r="B3704" s="136" t="s">
        <v>443</v>
      </c>
      <c r="C3704" s="132" t="s">
        <v>1364</v>
      </c>
      <c r="D3704" s="132" t="s">
        <v>284</v>
      </c>
      <c r="E3704" s="508">
        <v>0.69699999999999995</v>
      </c>
      <c r="F3704" s="508">
        <v>0.76600000000000001</v>
      </c>
      <c r="G3704" s="508">
        <v>0.36</v>
      </c>
      <c r="H3704" s="508">
        <v>0.16600000000000001</v>
      </c>
      <c r="I3704" s="508">
        <v>0.216</v>
      </c>
      <c r="J3704" s="508">
        <v>0.80300000000000005</v>
      </c>
      <c r="K3704" s="508">
        <v>0.41399999999999998</v>
      </c>
      <c r="L3704" s="508">
        <v>0.10199999999999999</v>
      </c>
      <c r="M3704" s="508">
        <v>0.38700000000000001</v>
      </c>
      <c r="N3704" s="508">
        <v>0.38500000000000001</v>
      </c>
      <c r="O3704" s="508">
        <v>0.54</v>
      </c>
      <c r="P3704" s="508">
        <v>0.53100000000000003</v>
      </c>
      <c r="Q3704" s="508">
        <v>0.61099999999999999</v>
      </c>
      <c r="R3704" s="508">
        <v>0.16</v>
      </c>
      <c r="S3704" s="508">
        <v>0.32100000000000001</v>
      </c>
      <c r="T3704" s="508">
        <v>0.24</v>
      </c>
      <c r="U3704" s="508">
        <v>0.27100000000000002</v>
      </c>
      <c r="V3704" s="508">
        <v>0.17399999999999999</v>
      </c>
      <c r="W3704" s="508">
        <v>0.14499999999999999</v>
      </c>
      <c r="X3704" s="508">
        <v>0.14499999999999999</v>
      </c>
      <c r="Y3704" s="508">
        <v>0.16200000000000001</v>
      </c>
      <c r="Z3704" s="508">
        <v>0.18</v>
      </c>
      <c r="AA3704" s="508">
        <v>1.2999999999999999E-2</v>
      </c>
      <c r="AB3704" s="508">
        <v>1.2999999999999999E-2</v>
      </c>
      <c r="AC3704" s="508">
        <v>1.0999999999999999E-2</v>
      </c>
      <c r="AD3704" s="508">
        <v>8.9999999999999993E-3</v>
      </c>
      <c r="AE3704" s="508">
        <v>0.01</v>
      </c>
      <c r="AF3704" s="508">
        <v>6.0000000000000001E-3</v>
      </c>
      <c r="AG3704" s="508">
        <v>6.0000000000000001E-3</v>
      </c>
      <c r="AH3704" s="508">
        <v>6.0000000000000001E-3</v>
      </c>
      <c r="AI3704" s="492">
        <v>6.0000000000000001E-3</v>
      </c>
      <c r="AJ3704" s="485"/>
    </row>
    <row r="3705" spans="2:36">
      <c r="B3705" s="136" t="s">
        <v>445</v>
      </c>
      <c r="C3705" s="132" t="s">
        <v>1364</v>
      </c>
      <c r="D3705" s="132" t="s">
        <v>284</v>
      </c>
      <c r="E3705" s="508">
        <v>0.71599999999999997</v>
      </c>
      <c r="F3705" s="508">
        <v>0.78700000000000003</v>
      </c>
      <c r="G3705" s="508">
        <v>0.37</v>
      </c>
      <c r="H3705" s="508">
        <v>0.17699999999999999</v>
      </c>
      <c r="I3705" s="508">
        <v>0.23</v>
      </c>
      <c r="J3705" s="508">
        <v>0.86599999999999999</v>
      </c>
      <c r="K3705" s="508">
        <v>0.433</v>
      </c>
      <c r="L3705" s="508">
        <v>0.108</v>
      </c>
      <c r="M3705" s="508">
        <v>0.40500000000000003</v>
      </c>
      <c r="N3705" s="508">
        <v>0.433</v>
      </c>
      <c r="O3705" s="508">
        <v>0.61199999999999999</v>
      </c>
      <c r="P3705" s="508">
        <v>0.60199999999999998</v>
      </c>
      <c r="Q3705" s="508">
        <v>0.69399999999999995</v>
      </c>
      <c r="R3705" s="508">
        <v>0.17100000000000001</v>
      </c>
      <c r="S3705" s="508">
        <v>0.34300000000000003</v>
      </c>
      <c r="T3705" s="508">
        <v>0.25600000000000001</v>
      </c>
      <c r="U3705" s="508">
        <v>0.28999999999999998</v>
      </c>
      <c r="V3705" s="508">
        <v>0.186</v>
      </c>
      <c r="W3705" s="508">
        <v>0.154</v>
      </c>
      <c r="X3705" s="508">
        <v>0.155</v>
      </c>
      <c r="Y3705" s="508">
        <v>0.17299999999999999</v>
      </c>
      <c r="Z3705" s="508">
        <v>0.192</v>
      </c>
      <c r="AA3705" s="508">
        <v>1.2999999999999999E-2</v>
      </c>
      <c r="AB3705" s="508">
        <v>1.2999999999999999E-2</v>
      </c>
      <c r="AC3705" s="508">
        <v>1.2E-2</v>
      </c>
      <c r="AD3705" s="508">
        <v>0.01</v>
      </c>
      <c r="AE3705" s="508">
        <v>1.0999999999999999E-2</v>
      </c>
      <c r="AF3705" s="508">
        <v>7.0000000000000001E-3</v>
      </c>
      <c r="AG3705" s="508">
        <v>7.0000000000000001E-3</v>
      </c>
      <c r="AH3705" s="508">
        <v>7.0000000000000001E-3</v>
      </c>
      <c r="AI3705" s="492">
        <v>7.0000000000000001E-3</v>
      </c>
      <c r="AJ3705" s="485"/>
    </row>
    <row r="3706" spans="2:36">
      <c r="B3706" s="136" t="s">
        <v>446</v>
      </c>
      <c r="C3706" s="132" t="s">
        <v>1364</v>
      </c>
      <c r="D3706" s="132" t="s">
        <v>284</v>
      </c>
      <c r="E3706" s="508">
        <v>0.70599999999999996</v>
      </c>
      <c r="F3706" s="508">
        <v>0.77500000000000002</v>
      </c>
      <c r="G3706" s="508">
        <v>0.36599999999999999</v>
      </c>
      <c r="H3706" s="508">
        <v>0.17199999999999999</v>
      </c>
      <c r="I3706" s="508">
        <v>0.223</v>
      </c>
      <c r="J3706" s="508">
        <v>0.83399999999999996</v>
      </c>
      <c r="K3706" s="508">
        <v>0.42299999999999999</v>
      </c>
      <c r="L3706" s="508">
        <v>0.105</v>
      </c>
      <c r="M3706" s="508">
        <v>0.39600000000000002</v>
      </c>
      <c r="N3706" s="508">
        <v>0.41</v>
      </c>
      <c r="O3706" s="508">
        <v>0.57699999999999996</v>
      </c>
      <c r="P3706" s="508">
        <v>0.56699999999999995</v>
      </c>
      <c r="Q3706" s="508">
        <v>0.65300000000000002</v>
      </c>
      <c r="R3706" s="508">
        <v>0.16600000000000001</v>
      </c>
      <c r="S3706" s="508">
        <v>0.33300000000000002</v>
      </c>
      <c r="T3706" s="508">
        <v>0.249</v>
      </c>
      <c r="U3706" s="508">
        <v>0.28100000000000003</v>
      </c>
      <c r="V3706" s="508">
        <v>0.18</v>
      </c>
      <c r="W3706" s="508">
        <v>0.15</v>
      </c>
      <c r="X3706" s="508">
        <v>0.15</v>
      </c>
      <c r="Y3706" s="508">
        <v>0.16800000000000001</v>
      </c>
      <c r="Z3706" s="508">
        <v>0.186</v>
      </c>
      <c r="AA3706" s="508">
        <v>1.2999999999999999E-2</v>
      </c>
      <c r="AB3706" s="508">
        <v>1.2999999999999999E-2</v>
      </c>
      <c r="AC3706" s="508">
        <v>1.0999999999999999E-2</v>
      </c>
      <c r="AD3706" s="508">
        <v>8.9999999999999993E-3</v>
      </c>
      <c r="AE3706" s="508">
        <v>1.0999999999999999E-2</v>
      </c>
      <c r="AF3706" s="508">
        <v>7.0000000000000001E-3</v>
      </c>
      <c r="AG3706" s="508">
        <v>7.0000000000000001E-3</v>
      </c>
      <c r="AH3706" s="508">
        <v>7.0000000000000001E-3</v>
      </c>
      <c r="AI3706" s="492">
        <v>7.0000000000000001E-3</v>
      </c>
      <c r="AJ3706" s="485"/>
    </row>
    <row r="3707" spans="2:36">
      <c r="B3707" s="136" t="s">
        <v>448</v>
      </c>
      <c r="C3707" s="132" t="s">
        <v>1364</v>
      </c>
      <c r="D3707" s="132" t="s">
        <v>284</v>
      </c>
      <c r="E3707" s="508">
        <v>0.68200000000000005</v>
      </c>
      <c r="F3707" s="508">
        <v>0.75</v>
      </c>
      <c r="G3707" s="508">
        <v>0.35499999999999998</v>
      </c>
      <c r="H3707" s="508">
        <v>0.161</v>
      </c>
      <c r="I3707" s="508">
        <v>0.20699999999999999</v>
      </c>
      <c r="J3707" s="508">
        <v>0.76</v>
      </c>
      <c r="K3707" s="508">
        <v>0.39900000000000002</v>
      </c>
      <c r="L3707" s="508">
        <v>0.1</v>
      </c>
      <c r="M3707" s="508">
        <v>0.374</v>
      </c>
      <c r="N3707" s="508">
        <v>0.35499999999999998</v>
      </c>
      <c r="O3707" s="508">
        <v>0.496</v>
      </c>
      <c r="P3707" s="508">
        <v>0.48699999999999999</v>
      </c>
      <c r="Q3707" s="508">
        <v>0.56100000000000005</v>
      </c>
      <c r="R3707" s="508">
        <v>0.155</v>
      </c>
      <c r="S3707" s="508">
        <v>0.308</v>
      </c>
      <c r="T3707" s="508">
        <v>0.23100000000000001</v>
      </c>
      <c r="U3707" s="508">
        <v>0.26</v>
      </c>
      <c r="V3707" s="508">
        <v>0.16700000000000001</v>
      </c>
      <c r="W3707" s="508">
        <v>0.13900000000000001</v>
      </c>
      <c r="X3707" s="508">
        <v>0.13900000000000001</v>
      </c>
      <c r="Y3707" s="508">
        <v>0.156</v>
      </c>
      <c r="Z3707" s="508">
        <v>0.17199999999999999</v>
      </c>
      <c r="AA3707" s="508">
        <v>1.2E-2</v>
      </c>
      <c r="AB3707" s="508">
        <v>1.2E-2</v>
      </c>
      <c r="AC3707" s="508">
        <v>1.0999999999999999E-2</v>
      </c>
      <c r="AD3707" s="508">
        <v>8.9999999999999993E-3</v>
      </c>
      <c r="AE3707" s="508">
        <v>0.01</v>
      </c>
      <c r="AF3707" s="508">
        <v>6.0000000000000001E-3</v>
      </c>
      <c r="AG3707" s="508">
        <v>6.0000000000000001E-3</v>
      </c>
      <c r="AH3707" s="508">
        <v>6.0000000000000001E-3</v>
      </c>
      <c r="AI3707" s="492">
        <v>6.0000000000000001E-3</v>
      </c>
      <c r="AJ3707" s="485"/>
    </row>
    <row r="3708" spans="2:36">
      <c r="B3708" s="136" t="s">
        <v>449</v>
      </c>
      <c r="C3708" s="132" t="s">
        <v>1364</v>
      </c>
      <c r="D3708" s="132" t="s">
        <v>284</v>
      </c>
      <c r="E3708" s="508">
        <v>0.69899999999999995</v>
      </c>
      <c r="F3708" s="508">
        <v>0.76800000000000002</v>
      </c>
      <c r="G3708" s="508">
        <v>0.36199999999999999</v>
      </c>
      <c r="H3708" s="508">
        <v>0.16800000000000001</v>
      </c>
      <c r="I3708" s="508">
        <v>0.218</v>
      </c>
      <c r="J3708" s="508">
        <v>0.81100000000000005</v>
      </c>
      <c r="K3708" s="508">
        <v>0.41599999999999998</v>
      </c>
      <c r="L3708" s="508">
        <v>0.10299999999999999</v>
      </c>
      <c r="M3708" s="508">
        <v>0.38900000000000001</v>
      </c>
      <c r="N3708" s="508">
        <v>0.39200000000000002</v>
      </c>
      <c r="O3708" s="508">
        <v>0.55000000000000004</v>
      </c>
      <c r="P3708" s="508">
        <v>0.54100000000000004</v>
      </c>
      <c r="Q3708" s="508">
        <v>0.623</v>
      </c>
      <c r="R3708" s="508">
        <v>0.16200000000000001</v>
      </c>
      <c r="S3708" s="508">
        <v>0.32400000000000001</v>
      </c>
      <c r="T3708" s="508">
        <v>0.24299999999999999</v>
      </c>
      <c r="U3708" s="508">
        <v>0.27400000000000002</v>
      </c>
      <c r="V3708" s="508">
        <v>0.17499999999999999</v>
      </c>
      <c r="W3708" s="508">
        <v>0.14599999999999999</v>
      </c>
      <c r="X3708" s="508">
        <v>0.14699999999999999</v>
      </c>
      <c r="Y3708" s="508">
        <v>0.16400000000000001</v>
      </c>
      <c r="Z3708" s="508">
        <v>0.18099999999999999</v>
      </c>
      <c r="AA3708" s="508">
        <v>1.2999999999999999E-2</v>
      </c>
      <c r="AB3708" s="508">
        <v>1.2999999999999999E-2</v>
      </c>
      <c r="AC3708" s="508">
        <v>1.0999999999999999E-2</v>
      </c>
      <c r="AD3708" s="508">
        <v>8.9999999999999993E-3</v>
      </c>
      <c r="AE3708" s="508">
        <v>1.0999999999999999E-2</v>
      </c>
      <c r="AF3708" s="508">
        <v>7.0000000000000001E-3</v>
      </c>
      <c r="AG3708" s="508">
        <v>7.0000000000000001E-3</v>
      </c>
      <c r="AH3708" s="508">
        <v>6.0000000000000001E-3</v>
      </c>
      <c r="AI3708" s="492">
        <v>6.0000000000000001E-3</v>
      </c>
      <c r="AJ3708" s="485"/>
    </row>
    <row r="3709" spans="2:36">
      <c r="B3709" s="136" t="s">
        <v>450</v>
      </c>
      <c r="C3709" s="132" t="s">
        <v>1364</v>
      </c>
      <c r="D3709" s="132" t="s">
        <v>284</v>
      </c>
      <c r="E3709" s="508">
        <v>0.68200000000000005</v>
      </c>
      <c r="F3709" s="508">
        <v>0.749</v>
      </c>
      <c r="G3709" s="508">
        <v>0.35399999999999998</v>
      </c>
      <c r="H3709" s="508">
        <v>0.16</v>
      </c>
      <c r="I3709" s="508">
        <v>0.20699999999999999</v>
      </c>
      <c r="J3709" s="508">
        <v>0.76</v>
      </c>
      <c r="K3709" s="508">
        <v>0.4</v>
      </c>
      <c r="L3709" s="508">
        <v>0.1</v>
      </c>
      <c r="M3709" s="508">
        <v>0.374</v>
      </c>
      <c r="N3709" s="508">
        <v>0.35499999999999998</v>
      </c>
      <c r="O3709" s="508">
        <v>0.496</v>
      </c>
      <c r="P3709" s="508">
        <v>0.48699999999999999</v>
      </c>
      <c r="Q3709" s="508">
        <v>0.56100000000000005</v>
      </c>
      <c r="R3709" s="508">
        <v>0.154</v>
      </c>
      <c r="S3709" s="508">
        <v>0.308</v>
      </c>
      <c r="T3709" s="508">
        <v>0.23100000000000001</v>
      </c>
      <c r="U3709" s="508">
        <v>0.26</v>
      </c>
      <c r="V3709" s="508">
        <v>0.16700000000000001</v>
      </c>
      <c r="W3709" s="508">
        <v>0.13900000000000001</v>
      </c>
      <c r="X3709" s="508">
        <v>0.13900000000000001</v>
      </c>
      <c r="Y3709" s="508">
        <v>0.156</v>
      </c>
      <c r="Z3709" s="508">
        <v>0.17199999999999999</v>
      </c>
      <c r="AA3709" s="508">
        <v>1.2E-2</v>
      </c>
      <c r="AB3709" s="508">
        <v>1.2E-2</v>
      </c>
      <c r="AC3709" s="508">
        <v>1.0999999999999999E-2</v>
      </c>
      <c r="AD3709" s="508">
        <v>8.9999999999999993E-3</v>
      </c>
      <c r="AE3709" s="508">
        <v>0.01</v>
      </c>
      <c r="AF3709" s="508">
        <v>6.0000000000000001E-3</v>
      </c>
      <c r="AG3709" s="508">
        <v>6.0000000000000001E-3</v>
      </c>
      <c r="AH3709" s="508">
        <v>6.0000000000000001E-3</v>
      </c>
      <c r="AI3709" s="492">
        <v>6.0000000000000001E-3</v>
      </c>
      <c r="AJ3709" s="485"/>
    </row>
    <row r="3710" spans="2:36">
      <c r="B3710" s="136" t="s">
        <v>451</v>
      </c>
      <c r="C3710" s="132" t="s">
        <v>1364</v>
      </c>
      <c r="D3710" s="132" t="s">
        <v>284</v>
      </c>
      <c r="E3710" s="508">
        <v>0.70599999999999996</v>
      </c>
      <c r="F3710" s="508">
        <v>0.77600000000000002</v>
      </c>
      <c r="G3710" s="508">
        <v>0.36699999999999999</v>
      </c>
      <c r="H3710" s="508">
        <v>0.17299999999999999</v>
      </c>
      <c r="I3710" s="508">
        <v>0.224</v>
      </c>
      <c r="J3710" s="508">
        <v>0.83499999999999996</v>
      </c>
      <c r="K3710" s="508">
        <v>0.42299999999999999</v>
      </c>
      <c r="L3710" s="508">
        <v>0.106</v>
      </c>
      <c r="M3710" s="508">
        <v>0.39500000000000002</v>
      </c>
      <c r="N3710" s="508">
        <v>0.41199999999999998</v>
      </c>
      <c r="O3710" s="508">
        <v>0.57999999999999996</v>
      </c>
      <c r="P3710" s="508">
        <v>0.56999999999999995</v>
      </c>
      <c r="Q3710" s="508">
        <v>0.65700000000000003</v>
      </c>
      <c r="R3710" s="508">
        <v>0.16700000000000001</v>
      </c>
      <c r="S3710" s="508">
        <v>0.33300000000000002</v>
      </c>
      <c r="T3710" s="508">
        <v>0.25</v>
      </c>
      <c r="U3710" s="508">
        <v>0.28100000000000003</v>
      </c>
      <c r="V3710" s="508">
        <v>0.18</v>
      </c>
      <c r="W3710" s="508">
        <v>0.15</v>
      </c>
      <c r="X3710" s="508">
        <v>0.151</v>
      </c>
      <c r="Y3710" s="508">
        <v>0.16800000000000001</v>
      </c>
      <c r="Z3710" s="508">
        <v>0.186</v>
      </c>
      <c r="AA3710" s="508">
        <v>1.2999999999999999E-2</v>
      </c>
      <c r="AB3710" s="508">
        <v>1.2999999999999999E-2</v>
      </c>
      <c r="AC3710" s="508">
        <v>1.0999999999999999E-2</v>
      </c>
      <c r="AD3710" s="508">
        <v>0.01</v>
      </c>
      <c r="AE3710" s="508">
        <v>1.0999999999999999E-2</v>
      </c>
      <c r="AF3710" s="508">
        <v>7.0000000000000001E-3</v>
      </c>
      <c r="AG3710" s="508">
        <v>7.0000000000000001E-3</v>
      </c>
      <c r="AH3710" s="508">
        <v>7.0000000000000001E-3</v>
      </c>
      <c r="AI3710" s="492">
        <v>7.0000000000000001E-3</v>
      </c>
      <c r="AJ3710" s="485"/>
    </row>
    <row r="3711" spans="2:36">
      <c r="B3711" s="136" t="s">
        <v>452</v>
      </c>
      <c r="C3711" s="132" t="s">
        <v>1364</v>
      </c>
      <c r="D3711" s="132" t="s">
        <v>284</v>
      </c>
      <c r="E3711" s="508">
        <v>0.69399999999999995</v>
      </c>
      <c r="F3711" s="508">
        <v>0.76200000000000001</v>
      </c>
      <c r="G3711" s="508">
        <v>0.36</v>
      </c>
      <c r="H3711" s="508">
        <v>0.16600000000000001</v>
      </c>
      <c r="I3711" s="508">
        <v>0.215</v>
      </c>
      <c r="J3711" s="508">
        <v>0.79600000000000004</v>
      </c>
      <c r="K3711" s="508">
        <v>0.41099999999999998</v>
      </c>
      <c r="L3711" s="508">
        <v>0.10199999999999999</v>
      </c>
      <c r="M3711" s="508">
        <v>0.38500000000000001</v>
      </c>
      <c r="N3711" s="508">
        <v>0.38100000000000001</v>
      </c>
      <c r="O3711" s="508">
        <v>0.53400000000000003</v>
      </c>
      <c r="P3711" s="508">
        <v>0.52500000000000002</v>
      </c>
      <c r="Q3711" s="508">
        <v>0.60499999999999998</v>
      </c>
      <c r="R3711" s="508">
        <v>0.16</v>
      </c>
      <c r="S3711" s="508">
        <v>0.32</v>
      </c>
      <c r="T3711" s="508">
        <v>0.23899999999999999</v>
      </c>
      <c r="U3711" s="508">
        <v>0.27</v>
      </c>
      <c r="V3711" s="508">
        <v>0.17299999999999999</v>
      </c>
      <c r="W3711" s="508">
        <v>0.14399999999999999</v>
      </c>
      <c r="X3711" s="508">
        <v>0.14499999999999999</v>
      </c>
      <c r="Y3711" s="508">
        <v>0.16200000000000001</v>
      </c>
      <c r="Z3711" s="508">
        <v>0.17899999999999999</v>
      </c>
      <c r="AA3711" s="508">
        <v>1.2999999999999999E-2</v>
      </c>
      <c r="AB3711" s="508">
        <v>1.2999999999999999E-2</v>
      </c>
      <c r="AC3711" s="508">
        <v>1.0999999999999999E-2</v>
      </c>
      <c r="AD3711" s="508">
        <v>8.9999999999999993E-3</v>
      </c>
      <c r="AE3711" s="508">
        <v>0.01</v>
      </c>
      <c r="AF3711" s="508">
        <v>6.0000000000000001E-3</v>
      </c>
      <c r="AG3711" s="508">
        <v>6.0000000000000001E-3</v>
      </c>
      <c r="AH3711" s="508">
        <v>6.0000000000000001E-3</v>
      </c>
      <c r="AI3711" s="492">
        <v>6.0000000000000001E-3</v>
      </c>
      <c r="AJ3711" s="485"/>
    </row>
    <row r="3712" spans="2:36">
      <c r="B3712" s="136" t="s">
        <v>453</v>
      </c>
      <c r="C3712" s="132" t="s">
        <v>1364</v>
      </c>
      <c r="D3712" s="132" t="s">
        <v>284</v>
      </c>
      <c r="E3712" s="508">
        <v>0.68</v>
      </c>
      <c r="F3712" s="508">
        <v>0.747</v>
      </c>
      <c r="G3712" s="508">
        <v>0.35299999999999998</v>
      </c>
      <c r="H3712" s="508">
        <v>0.159</v>
      </c>
      <c r="I3712" s="508">
        <v>0.20499999999999999</v>
      </c>
      <c r="J3712" s="508">
        <v>0.752</v>
      </c>
      <c r="K3712" s="508">
        <v>0.39800000000000002</v>
      </c>
      <c r="L3712" s="508">
        <v>9.9000000000000005E-2</v>
      </c>
      <c r="M3712" s="508">
        <v>0.372</v>
      </c>
      <c r="N3712" s="508">
        <v>0.34899999999999998</v>
      </c>
      <c r="O3712" s="508">
        <v>0.48599999999999999</v>
      </c>
      <c r="P3712" s="508">
        <v>0.47699999999999998</v>
      </c>
      <c r="Q3712" s="508">
        <v>0.55000000000000004</v>
      </c>
      <c r="R3712" s="508">
        <v>0.153</v>
      </c>
      <c r="S3712" s="508">
        <v>0.30499999999999999</v>
      </c>
      <c r="T3712" s="508">
        <v>0.22900000000000001</v>
      </c>
      <c r="U3712" s="508">
        <v>0.25800000000000001</v>
      </c>
      <c r="V3712" s="508">
        <v>0.16500000000000001</v>
      </c>
      <c r="W3712" s="508">
        <v>0.13800000000000001</v>
      </c>
      <c r="X3712" s="508">
        <v>0.13800000000000001</v>
      </c>
      <c r="Y3712" s="508">
        <v>0.154</v>
      </c>
      <c r="Z3712" s="508">
        <v>0.17100000000000001</v>
      </c>
      <c r="AA3712" s="508">
        <v>1.2E-2</v>
      </c>
      <c r="AB3712" s="508">
        <v>1.2E-2</v>
      </c>
      <c r="AC3712" s="508">
        <v>0.01</v>
      </c>
      <c r="AD3712" s="508">
        <v>8.9999999999999993E-3</v>
      </c>
      <c r="AE3712" s="508">
        <v>0.01</v>
      </c>
      <c r="AF3712" s="508">
        <v>6.0000000000000001E-3</v>
      </c>
      <c r="AG3712" s="508">
        <v>6.0000000000000001E-3</v>
      </c>
      <c r="AH3712" s="508">
        <v>6.0000000000000001E-3</v>
      </c>
      <c r="AI3712" s="492">
        <v>6.0000000000000001E-3</v>
      </c>
      <c r="AJ3712" s="485"/>
    </row>
    <row r="3713" spans="2:36">
      <c r="B3713" s="136" t="s">
        <v>454</v>
      </c>
      <c r="C3713" s="132" t="s">
        <v>1364</v>
      </c>
      <c r="D3713" s="132" t="s">
        <v>284</v>
      </c>
      <c r="E3713" s="508">
        <v>0.68100000000000005</v>
      </c>
      <c r="F3713" s="508">
        <v>0.749</v>
      </c>
      <c r="G3713" s="508">
        <v>0.35499999999999998</v>
      </c>
      <c r="H3713" s="508">
        <v>0.16</v>
      </c>
      <c r="I3713" s="508">
        <v>0.20599999999999999</v>
      </c>
      <c r="J3713" s="508">
        <v>0.75800000000000001</v>
      </c>
      <c r="K3713" s="508">
        <v>0.39900000000000002</v>
      </c>
      <c r="L3713" s="508">
        <v>0.1</v>
      </c>
      <c r="M3713" s="508">
        <v>0.373</v>
      </c>
      <c r="N3713" s="508">
        <v>0.35299999999999998</v>
      </c>
      <c r="O3713" s="508">
        <v>0.49299999999999999</v>
      </c>
      <c r="P3713" s="508">
        <v>0.48399999999999999</v>
      </c>
      <c r="Q3713" s="508">
        <v>0.55800000000000005</v>
      </c>
      <c r="R3713" s="508">
        <v>0.154</v>
      </c>
      <c r="S3713" s="508">
        <v>0.307</v>
      </c>
      <c r="T3713" s="508">
        <v>0.23</v>
      </c>
      <c r="U3713" s="508">
        <v>0.25900000000000001</v>
      </c>
      <c r="V3713" s="508">
        <v>0.16600000000000001</v>
      </c>
      <c r="W3713" s="508">
        <v>0.13800000000000001</v>
      </c>
      <c r="X3713" s="508">
        <v>0.13900000000000001</v>
      </c>
      <c r="Y3713" s="508">
        <v>0.155</v>
      </c>
      <c r="Z3713" s="508">
        <v>0.17199999999999999</v>
      </c>
      <c r="AA3713" s="508">
        <v>1.2E-2</v>
      </c>
      <c r="AB3713" s="508">
        <v>1.2E-2</v>
      </c>
      <c r="AC3713" s="508">
        <v>1.0999999999999999E-2</v>
      </c>
      <c r="AD3713" s="508">
        <v>8.9999999999999993E-3</v>
      </c>
      <c r="AE3713" s="508">
        <v>0.01</v>
      </c>
      <c r="AF3713" s="508">
        <v>6.0000000000000001E-3</v>
      </c>
      <c r="AG3713" s="508">
        <v>6.0000000000000001E-3</v>
      </c>
      <c r="AH3713" s="508">
        <v>6.0000000000000001E-3</v>
      </c>
      <c r="AI3713" s="492">
        <v>6.0000000000000001E-3</v>
      </c>
      <c r="AJ3713" s="485"/>
    </row>
    <row r="3714" spans="2:36">
      <c r="B3714" s="136" t="s">
        <v>455</v>
      </c>
      <c r="C3714" s="132" t="s">
        <v>1364</v>
      </c>
      <c r="D3714" s="132" t="s">
        <v>284</v>
      </c>
      <c r="E3714" s="508">
        <v>0.67600000000000005</v>
      </c>
      <c r="F3714" s="508">
        <v>0.74299999999999999</v>
      </c>
      <c r="G3714" s="508">
        <v>0.35299999999999998</v>
      </c>
      <c r="H3714" s="508">
        <v>0.159</v>
      </c>
      <c r="I3714" s="508">
        <v>0.20399999999999999</v>
      </c>
      <c r="J3714" s="508">
        <v>0.74299999999999999</v>
      </c>
      <c r="K3714" s="508">
        <v>0.39400000000000002</v>
      </c>
      <c r="L3714" s="508">
        <v>9.9000000000000005E-2</v>
      </c>
      <c r="M3714" s="508">
        <v>0.36899999999999999</v>
      </c>
      <c r="N3714" s="508">
        <v>0.34399999999999997</v>
      </c>
      <c r="O3714" s="508">
        <v>0.47899999999999998</v>
      </c>
      <c r="P3714" s="508">
        <v>0.47</v>
      </c>
      <c r="Q3714" s="508">
        <v>0.54100000000000004</v>
      </c>
      <c r="R3714" s="508">
        <v>0.152</v>
      </c>
      <c r="S3714" s="508">
        <v>0.30299999999999999</v>
      </c>
      <c r="T3714" s="508">
        <v>0.22800000000000001</v>
      </c>
      <c r="U3714" s="508">
        <v>0.25600000000000001</v>
      </c>
      <c r="V3714" s="508">
        <v>0.16400000000000001</v>
      </c>
      <c r="W3714" s="508">
        <v>0.13700000000000001</v>
      </c>
      <c r="X3714" s="508">
        <v>0.13700000000000001</v>
      </c>
      <c r="Y3714" s="508">
        <v>0.153</v>
      </c>
      <c r="Z3714" s="508">
        <v>0.16900000000000001</v>
      </c>
      <c r="AA3714" s="508">
        <v>1.2E-2</v>
      </c>
      <c r="AB3714" s="508">
        <v>1.2E-2</v>
      </c>
      <c r="AC3714" s="508">
        <v>0.01</v>
      </c>
      <c r="AD3714" s="508">
        <v>8.9999999999999993E-3</v>
      </c>
      <c r="AE3714" s="508">
        <v>0.01</v>
      </c>
      <c r="AF3714" s="508">
        <v>6.0000000000000001E-3</v>
      </c>
      <c r="AG3714" s="508">
        <v>6.0000000000000001E-3</v>
      </c>
      <c r="AH3714" s="508">
        <v>6.0000000000000001E-3</v>
      </c>
      <c r="AI3714" s="492">
        <v>6.0000000000000001E-3</v>
      </c>
      <c r="AJ3714" s="485"/>
    </row>
    <row r="3715" spans="2:36">
      <c r="B3715" s="136" t="s">
        <v>456</v>
      </c>
      <c r="C3715" s="132" t="s">
        <v>1364</v>
      </c>
      <c r="D3715" s="132" t="s">
        <v>284</v>
      </c>
      <c r="E3715" s="508">
        <v>0.68600000000000005</v>
      </c>
      <c r="F3715" s="508">
        <v>0.754</v>
      </c>
      <c r="G3715" s="508">
        <v>0.35699999999999998</v>
      </c>
      <c r="H3715" s="508">
        <v>0.16300000000000001</v>
      </c>
      <c r="I3715" s="508">
        <v>0.21</v>
      </c>
      <c r="J3715" s="508">
        <v>0.77300000000000002</v>
      </c>
      <c r="K3715" s="508">
        <v>0.40400000000000003</v>
      </c>
      <c r="L3715" s="508">
        <v>0.10100000000000001</v>
      </c>
      <c r="M3715" s="508">
        <v>0.377</v>
      </c>
      <c r="N3715" s="508">
        <v>0.36399999999999999</v>
      </c>
      <c r="O3715" s="508">
        <v>0.51</v>
      </c>
      <c r="P3715" s="508">
        <v>0.501</v>
      </c>
      <c r="Q3715" s="508">
        <v>0.57699999999999996</v>
      </c>
      <c r="R3715" s="508">
        <v>0.157</v>
      </c>
      <c r="S3715" s="508">
        <v>0.312</v>
      </c>
      <c r="T3715" s="508">
        <v>0.23400000000000001</v>
      </c>
      <c r="U3715" s="508">
        <v>0.26400000000000001</v>
      </c>
      <c r="V3715" s="508">
        <v>0.16900000000000001</v>
      </c>
      <c r="W3715" s="508">
        <v>0.14099999999999999</v>
      </c>
      <c r="X3715" s="508">
        <v>0.14099999999999999</v>
      </c>
      <c r="Y3715" s="508">
        <v>0.158</v>
      </c>
      <c r="Z3715" s="508">
        <v>0.17499999999999999</v>
      </c>
      <c r="AA3715" s="508">
        <v>1.2E-2</v>
      </c>
      <c r="AB3715" s="508">
        <v>1.2E-2</v>
      </c>
      <c r="AC3715" s="508">
        <v>1.0999999999999999E-2</v>
      </c>
      <c r="AD3715" s="508">
        <v>8.9999999999999993E-3</v>
      </c>
      <c r="AE3715" s="508">
        <v>0.01</v>
      </c>
      <c r="AF3715" s="508">
        <v>6.0000000000000001E-3</v>
      </c>
      <c r="AG3715" s="508">
        <v>6.0000000000000001E-3</v>
      </c>
      <c r="AH3715" s="508">
        <v>6.0000000000000001E-3</v>
      </c>
      <c r="AI3715" s="492">
        <v>6.0000000000000001E-3</v>
      </c>
      <c r="AJ3715" s="485"/>
    </row>
    <row r="3716" spans="2:36">
      <c r="B3716" s="136" t="s">
        <v>457</v>
      </c>
      <c r="C3716" s="132" t="s">
        <v>1364</v>
      </c>
      <c r="D3716" s="132" t="s">
        <v>284</v>
      </c>
      <c r="E3716" s="508">
        <v>0.67200000000000004</v>
      </c>
      <c r="F3716" s="508">
        <v>0.73799999999999999</v>
      </c>
      <c r="G3716" s="508">
        <v>0.34899999999999998</v>
      </c>
      <c r="H3716" s="508">
        <v>0.155</v>
      </c>
      <c r="I3716" s="508">
        <v>0.19900000000000001</v>
      </c>
      <c r="J3716" s="508">
        <v>0.72699999999999998</v>
      </c>
      <c r="K3716" s="508">
        <v>0.39</v>
      </c>
      <c r="L3716" s="508">
        <v>9.7000000000000003E-2</v>
      </c>
      <c r="M3716" s="508">
        <v>0.36499999999999999</v>
      </c>
      <c r="N3716" s="508">
        <v>0.32900000000000001</v>
      </c>
      <c r="O3716" s="508">
        <v>0.45800000000000002</v>
      </c>
      <c r="P3716" s="508">
        <v>0.44900000000000001</v>
      </c>
      <c r="Q3716" s="508">
        <v>0.51800000000000002</v>
      </c>
      <c r="R3716" s="508">
        <v>0.14899999999999999</v>
      </c>
      <c r="S3716" s="508">
        <v>0.29699999999999999</v>
      </c>
      <c r="T3716" s="508">
        <v>0.223</v>
      </c>
      <c r="U3716" s="508">
        <v>0.25</v>
      </c>
      <c r="V3716" s="508">
        <v>0.161</v>
      </c>
      <c r="W3716" s="508">
        <v>0.13400000000000001</v>
      </c>
      <c r="X3716" s="508">
        <v>0.13400000000000001</v>
      </c>
      <c r="Y3716" s="508">
        <v>0.15</v>
      </c>
      <c r="Z3716" s="508">
        <v>0.16600000000000001</v>
      </c>
      <c r="AA3716" s="508">
        <v>1.2E-2</v>
      </c>
      <c r="AB3716" s="508">
        <v>1.2E-2</v>
      </c>
      <c r="AC3716" s="508">
        <v>0.01</v>
      </c>
      <c r="AD3716" s="508">
        <v>8.9999999999999993E-3</v>
      </c>
      <c r="AE3716" s="508">
        <v>0.01</v>
      </c>
      <c r="AF3716" s="508">
        <v>6.0000000000000001E-3</v>
      </c>
      <c r="AG3716" s="508">
        <v>6.0000000000000001E-3</v>
      </c>
      <c r="AH3716" s="508">
        <v>6.0000000000000001E-3</v>
      </c>
      <c r="AI3716" s="492">
        <v>6.0000000000000001E-3</v>
      </c>
      <c r="AJ3716" s="485"/>
    </row>
    <row r="3717" spans="2:36">
      <c r="B3717" s="136" t="s">
        <v>458</v>
      </c>
      <c r="C3717" s="132" t="s">
        <v>1364</v>
      </c>
      <c r="D3717" s="132" t="s">
        <v>284</v>
      </c>
      <c r="E3717" s="508">
        <v>0.68600000000000005</v>
      </c>
      <c r="F3717" s="508">
        <v>0.754</v>
      </c>
      <c r="G3717" s="508">
        <v>0.35799999999999998</v>
      </c>
      <c r="H3717" s="508">
        <v>0.16400000000000001</v>
      </c>
      <c r="I3717" s="508">
        <v>0.21099999999999999</v>
      </c>
      <c r="J3717" s="508">
        <v>0.77400000000000002</v>
      </c>
      <c r="K3717" s="508">
        <v>0.40300000000000002</v>
      </c>
      <c r="L3717" s="508">
        <v>0.10199999999999999</v>
      </c>
      <c r="M3717" s="508">
        <v>0.377</v>
      </c>
      <c r="N3717" s="508">
        <v>0.36699999999999999</v>
      </c>
      <c r="O3717" s="508">
        <v>0.51400000000000001</v>
      </c>
      <c r="P3717" s="508">
        <v>0.505</v>
      </c>
      <c r="Q3717" s="508">
        <v>0.58099999999999996</v>
      </c>
      <c r="R3717" s="508">
        <v>0.157</v>
      </c>
      <c r="S3717" s="508">
        <v>0.313</v>
      </c>
      <c r="T3717" s="508">
        <v>0.23499999999999999</v>
      </c>
      <c r="U3717" s="508">
        <v>0.26400000000000001</v>
      </c>
      <c r="V3717" s="508">
        <v>0.17</v>
      </c>
      <c r="W3717" s="508">
        <v>0.14099999999999999</v>
      </c>
      <c r="X3717" s="508">
        <v>0.14199999999999999</v>
      </c>
      <c r="Y3717" s="508">
        <v>0.158</v>
      </c>
      <c r="Z3717" s="508">
        <v>0.17499999999999999</v>
      </c>
      <c r="AA3717" s="508">
        <v>1.2E-2</v>
      </c>
      <c r="AB3717" s="508">
        <v>1.2E-2</v>
      </c>
      <c r="AC3717" s="508">
        <v>1.0999999999999999E-2</v>
      </c>
      <c r="AD3717" s="508">
        <v>8.9999999999999993E-3</v>
      </c>
      <c r="AE3717" s="508">
        <v>0.01</v>
      </c>
      <c r="AF3717" s="508">
        <v>6.0000000000000001E-3</v>
      </c>
      <c r="AG3717" s="508">
        <v>6.0000000000000001E-3</v>
      </c>
      <c r="AH3717" s="508">
        <v>6.0000000000000001E-3</v>
      </c>
      <c r="AI3717" s="492">
        <v>6.0000000000000001E-3</v>
      </c>
      <c r="AJ3717" s="485"/>
    </row>
    <row r="3718" spans="2:36">
      <c r="B3718" s="136" t="s">
        <v>459</v>
      </c>
      <c r="C3718" s="132" t="s">
        <v>1364</v>
      </c>
      <c r="D3718" s="132" t="s">
        <v>284</v>
      </c>
      <c r="E3718" s="508">
        <v>0.68600000000000005</v>
      </c>
      <c r="F3718" s="508">
        <v>0.754</v>
      </c>
      <c r="G3718" s="508">
        <v>0.35799999999999998</v>
      </c>
      <c r="H3718" s="508">
        <v>0.16400000000000001</v>
      </c>
      <c r="I3718" s="508">
        <v>0.21099999999999999</v>
      </c>
      <c r="J3718" s="508">
        <v>0.77400000000000002</v>
      </c>
      <c r="K3718" s="508">
        <v>0.40300000000000002</v>
      </c>
      <c r="L3718" s="508">
        <v>0.10199999999999999</v>
      </c>
      <c r="M3718" s="508">
        <v>0.377</v>
      </c>
      <c r="N3718" s="508">
        <v>0.36699999999999999</v>
      </c>
      <c r="O3718" s="508">
        <v>0.51400000000000001</v>
      </c>
      <c r="P3718" s="508">
        <v>0.505</v>
      </c>
      <c r="Q3718" s="508">
        <v>0.58099999999999996</v>
      </c>
      <c r="R3718" s="508">
        <v>0.157</v>
      </c>
      <c r="S3718" s="508">
        <v>0.314</v>
      </c>
      <c r="T3718" s="508">
        <v>0.23499999999999999</v>
      </c>
      <c r="U3718" s="508">
        <v>0.26400000000000001</v>
      </c>
      <c r="V3718" s="508">
        <v>0.17</v>
      </c>
      <c r="W3718" s="508">
        <v>0.14099999999999999</v>
      </c>
      <c r="X3718" s="508">
        <v>0.14199999999999999</v>
      </c>
      <c r="Y3718" s="508">
        <v>0.158</v>
      </c>
      <c r="Z3718" s="508">
        <v>0.17499999999999999</v>
      </c>
      <c r="AA3718" s="508">
        <v>1.2E-2</v>
      </c>
      <c r="AB3718" s="508">
        <v>1.2E-2</v>
      </c>
      <c r="AC3718" s="508">
        <v>1.0999999999999999E-2</v>
      </c>
      <c r="AD3718" s="508">
        <v>8.9999999999999993E-3</v>
      </c>
      <c r="AE3718" s="508">
        <v>0.01</v>
      </c>
      <c r="AF3718" s="508">
        <v>6.0000000000000001E-3</v>
      </c>
      <c r="AG3718" s="508">
        <v>6.0000000000000001E-3</v>
      </c>
      <c r="AH3718" s="508">
        <v>6.0000000000000001E-3</v>
      </c>
      <c r="AI3718" s="492">
        <v>6.0000000000000001E-3</v>
      </c>
      <c r="AJ3718" s="485"/>
    </row>
    <row r="3719" spans="2:36">
      <c r="B3719" s="136" t="s">
        <v>460</v>
      </c>
      <c r="C3719" s="132" t="s">
        <v>1364</v>
      </c>
      <c r="D3719" s="132" t="s">
        <v>284</v>
      </c>
      <c r="E3719" s="508">
        <v>0.68899999999999995</v>
      </c>
      <c r="F3719" s="508">
        <v>0.75800000000000001</v>
      </c>
      <c r="G3719" s="508">
        <v>0.35899999999999999</v>
      </c>
      <c r="H3719" s="508">
        <v>0.16500000000000001</v>
      </c>
      <c r="I3719" s="508">
        <v>0.21199999999999999</v>
      </c>
      <c r="J3719" s="508">
        <v>0.78400000000000003</v>
      </c>
      <c r="K3719" s="508">
        <v>0.40699999999999997</v>
      </c>
      <c r="L3719" s="508">
        <v>0.10199999999999999</v>
      </c>
      <c r="M3719" s="508">
        <v>0.38100000000000001</v>
      </c>
      <c r="N3719" s="508">
        <v>0.373</v>
      </c>
      <c r="O3719" s="508">
        <v>0.52300000000000002</v>
      </c>
      <c r="P3719" s="508">
        <v>0.51400000000000001</v>
      </c>
      <c r="Q3719" s="508">
        <v>0.59199999999999997</v>
      </c>
      <c r="R3719" s="508">
        <v>0.159</v>
      </c>
      <c r="S3719" s="508">
        <v>0.316</v>
      </c>
      <c r="T3719" s="508">
        <v>0.23699999999999999</v>
      </c>
      <c r="U3719" s="508">
        <v>0.26700000000000002</v>
      </c>
      <c r="V3719" s="508">
        <v>0.17100000000000001</v>
      </c>
      <c r="W3719" s="508">
        <v>0.14199999999999999</v>
      </c>
      <c r="X3719" s="508">
        <v>0.14299999999999999</v>
      </c>
      <c r="Y3719" s="508">
        <v>0.16</v>
      </c>
      <c r="Z3719" s="508">
        <v>0.17699999999999999</v>
      </c>
      <c r="AA3719" s="508">
        <v>1.2999999999999999E-2</v>
      </c>
      <c r="AB3719" s="508">
        <v>1.2E-2</v>
      </c>
      <c r="AC3719" s="508">
        <v>1.0999999999999999E-2</v>
      </c>
      <c r="AD3719" s="508">
        <v>8.9999999999999993E-3</v>
      </c>
      <c r="AE3719" s="508">
        <v>0.01</v>
      </c>
      <c r="AF3719" s="508">
        <v>6.0000000000000001E-3</v>
      </c>
      <c r="AG3719" s="508">
        <v>6.0000000000000001E-3</v>
      </c>
      <c r="AH3719" s="508">
        <v>6.0000000000000001E-3</v>
      </c>
      <c r="AI3719" s="492">
        <v>6.0000000000000001E-3</v>
      </c>
      <c r="AJ3719" s="485"/>
    </row>
    <row r="3720" spans="2:36">
      <c r="B3720" s="136" t="s">
        <v>461</v>
      </c>
      <c r="C3720" s="132" t="s">
        <v>1364</v>
      </c>
      <c r="D3720" s="132" t="s">
        <v>284</v>
      </c>
      <c r="E3720" s="508">
        <v>0.68400000000000005</v>
      </c>
      <c r="F3720" s="508">
        <v>0.752</v>
      </c>
      <c r="G3720" s="508">
        <v>0.35599999999999998</v>
      </c>
      <c r="H3720" s="508">
        <v>0.16200000000000001</v>
      </c>
      <c r="I3720" s="508">
        <v>0.20799999999999999</v>
      </c>
      <c r="J3720" s="508">
        <v>0.76500000000000001</v>
      </c>
      <c r="K3720" s="508">
        <v>0.40200000000000002</v>
      </c>
      <c r="L3720" s="508">
        <v>0.1</v>
      </c>
      <c r="M3720" s="508">
        <v>0.375</v>
      </c>
      <c r="N3720" s="508">
        <v>0.35899999999999999</v>
      </c>
      <c r="O3720" s="508">
        <v>0.501</v>
      </c>
      <c r="P3720" s="508">
        <v>0.49199999999999999</v>
      </c>
      <c r="Q3720" s="508">
        <v>0.56699999999999995</v>
      </c>
      <c r="R3720" s="508">
        <v>0.155</v>
      </c>
      <c r="S3720" s="508">
        <v>0.31</v>
      </c>
      <c r="T3720" s="508">
        <v>0.23200000000000001</v>
      </c>
      <c r="U3720" s="508">
        <v>0.26100000000000001</v>
      </c>
      <c r="V3720" s="508">
        <v>0.16800000000000001</v>
      </c>
      <c r="W3720" s="508">
        <v>0.13900000000000001</v>
      </c>
      <c r="X3720" s="508">
        <v>0.14000000000000001</v>
      </c>
      <c r="Y3720" s="508">
        <v>0.157</v>
      </c>
      <c r="Z3720" s="508">
        <v>0.17299999999999999</v>
      </c>
      <c r="AA3720" s="508">
        <v>1.2E-2</v>
      </c>
      <c r="AB3720" s="508">
        <v>1.2E-2</v>
      </c>
      <c r="AC3720" s="508">
        <v>1.0999999999999999E-2</v>
      </c>
      <c r="AD3720" s="508">
        <v>8.9999999999999993E-3</v>
      </c>
      <c r="AE3720" s="508">
        <v>0.01</v>
      </c>
      <c r="AF3720" s="508">
        <v>6.0000000000000001E-3</v>
      </c>
      <c r="AG3720" s="508">
        <v>6.0000000000000001E-3</v>
      </c>
      <c r="AH3720" s="508">
        <v>6.0000000000000001E-3</v>
      </c>
      <c r="AI3720" s="492">
        <v>6.0000000000000001E-3</v>
      </c>
      <c r="AJ3720" s="485"/>
    </row>
    <row r="3721" spans="2:36">
      <c r="B3721" s="136" t="s">
        <v>462</v>
      </c>
      <c r="C3721" s="132" t="s">
        <v>1364</v>
      </c>
      <c r="D3721" s="132" t="s">
        <v>284</v>
      </c>
      <c r="E3721" s="508">
        <v>0.68100000000000005</v>
      </c>
      <c r="F3721" s="508">
        <v>0.749</v>
      </c>
      <c r="G3721" s="508">
        <v>0.35299999999999998</v>
      </c>
      <c r="H3721" s="508">
        <v>0.159</v>
      </c>
      <c r="I3721" s="508">
        <v>0.20499999999999999</v>
      </c>
      <c r="J3721" s="508">
        <v>0.75600000000000001</v>
      </c>
      <c r="K3721" s="508">
        <v>0.39900000000000002</v>
      </c>
      <c r="L3721" s="508">
        <v>9.9000000000000005E-2</v>
      </c>
      <c r="M3721" s="508">
        <v>0.373</v>
      </c>
      <c r="N3721" s="508">
        <v>0.35</v>
      </c>
      <c r="O3721" s="508">
        <v>0.48899999999999999</v>
      </c>
      <c r="P3721" s="508">
        <v>0.48</v>
      </c>
      <c r="Q3721" s="508">
        <v>0.55300000000000005</v>
      </c>
      <c r="R3721" s="508">
        <v>0.153</v>
      </c>
      <c r="S3721" s="508">
        <v>0.30599999999999999</v>
      </c>
      <c r="T3721" s="508">
        <v>0.22900000000000001</v>
      </c>
      <c r="U3721" s="508">
        <v>0.25800000000000001</v>
      </c>
      <c r="V3721" s="508">
        <v>0.16600000000000001</v>
      </c>
      <c r="W3721" s="508">
        <v>0.13800000000000001</v>
      </c>
      <c r="X3721" s="508">
        <v>0.13800000000000001</v>
      </c>
      <c r="Y3721" s="508">
        <v>0.155</v>
      </c>
      <c r="Z3721" s="508">
        <v>0.17100000000000001</v>
      </c>
      <c r="AA3721" s="508">
        <v>1.2E-2</v>
      </c>
      <c r="AB3721" s="508">
        <v>1.2E-2</v>
      </c>
      <c r="AC3721" s="508">
        <v>0.01</v>
      </c>
      <c r="AD3721" s="508">
        <v>8.9999999999999993E-3</v>
      </c>
      <c r="AE3721" s="508">
        <v>0.01</v>
      </c>
      <c r="AF3721" s="508">
        <v>6.0000000000000001E-3</v>
      </c>
      <c r="AG3721" s="508">
        <v>6.0000000000000001E-3</v>
      </c>
      <c r="AH3721" s="508">
        <v>6.0000000000000001E-3</v>
      </c>
      <c r="AI3721" s="492">
        <v>6.0000000000000001E-3</v>
      </c>
      <c r="AJ3721" s="485"/>
    </row>
    <row r="3722" spans="2:36">
      <c r="B3722" s="136" t="s">
        <v>463</v>
      </c>
      <c r="C3722" s="132" t="s">
        <v>1364</v>
      </c>
      <c r="D3722" s="132" t="s">
        <v>284</v>
      </c>
      <c r="E3722" s="508">
        <v>0.67200000000000004</v>
      </c>
      <c r="F3722" s="508">
        <v>0.73899999999999999</v>
      </c>
      <c r="G3722" s="508">
        <v>0.35199999999999998</v>
      </c>
      <c r="H3722" s="508">
        <v>0.157</v>
      </c>
      <c r="I3722" s="508">
        <v>0.20100000000000001</v>
      </c>
      <c r="J3722" s="508">
        <v>0.73099999999999998</v>
      </c>
      <c r="K3722" s="508">
        <v>0.39</v>
      </c>
      <c r="L3722" s="508">
        <v>9.8000000000000004E-2</v>
      </c>
      <c r="M3722" s="508">
        <v>0.36499999999999999</v>
      </c>
      <c r="N3722" s="508">
        <v>0.33500000000000002</v>
      </c>
      <c r="O3722" s="508">
        <v>0.46600000000000003</v>
      </c>
      <c r="P3722" s="508">
        <v>0.45800000000000002</v>
      </c>
      <c r="Q3722" s="508">
        <v>0.52700000000000002</v>
      </c>
      <c r="R3722" s="508">
        <v>0.151</v>
      </c>
      <c r="S3722" s="508">
        <v>0.29899999999999999</v>
      </c>
      <c r="T3722" s="508">
        <v>0.22500000000000001</v>
      </c>
      <c r="U3722" s="508">
        <v>0.252</v>
      </c>
      <c r="V3722" s="508">
        <v>0.16200000000000001</v>
      </c>
      <c r="W3722" s="508">
        <v>0.13500000000000001</v>
      </c>
      <c r="X3722" s="508">
        <v>0.13500000000000001</v>
      </c>
      <c r="Y3722" s="508">
        <v>0.151</v>
      </c>
      <c r="Z3722" s="508">
        <v>0.16700000000000001</v>
      </c>
      <c r="AA3722" s="508">
        <v>1.2E-2</v>
      </c>
      <c r="AB3722" s="508">
        <v>1.2E-2</v>
      </c>
      <c r="AC3722" s="508">
        <v>0.01</v>
      </c>
      <c r="AD3722" s="508">
        <v>8.9999999999999993E-3</v>
      </c>
      <c r="AE3722" s="508">
        <v>0.01</v>
      </c>
      <c r="AF3722" s="508">
        <v>6.0000000000000001E-3</v>
      </c>
      <c r="AG3722" s="508">
        <v>6.0000000000000001E-3</v>
      </c>
      <c r="AH3722" s="508">
        <v>6.0000000000000001E-3</v>
      </c>
      <c r="AI3722" s="492">
        <v>6.0000000000000001E-3</v>
      </c>
      <c r="AJ3722" s="485"/>
    </row>
    <row r="3723" spans="2:36">
      <c r="B3723" s="136" t="s">
        <v>464</v>
      </c>
      <c r="C3723" s="132" t="s">
        <v>1364</v>
      </c>
      <c r="D3723" s="132" t="s">
        <v>284</v>
      </c>
      <c r="E3723" s="508">
        <v>0.67200000000000004</v>
      </c>
      <c r="F3723" s="508">
        <v>0.73899999999999999</v>
      </c>
      <c r="G3723" s="508">
        <v>0.35</v>
      </c>
      <c r="H3723" s="508">
        <v>0.156</v>
      </c>
      <c r="I3723" s="508">
        <v>0.2</v>
      </c>
      <c r="J3723" s="508">
        <v>0.72899999999999998</v>
      </c>
      <c r="K3723" s="508">
        <v>0.39</v>
      </c>
      <c r="L3723" s="508">
        <v>9.7000000000000003E-2</v>
      </c>
      <c r="M3723" s="508">
        <v>0.36499999999999999</v>
      </c>
      <c r="N3723" s="508">
        <v>0.33100000000000002</v>
      </c>
      <c r="O3723" s="508">
        <v>0.46100000000000002</v>
      </c>
      <c r="P3723" s="508">
        <v>0.45200000000000001</v>
      </c>
      <c r="Q3723" s="508">
        <v>0.52100000000000002</v>
      </c>
      <c r="R3723" s="508">
        <v>0.15</v>
      </c>
      <c r="S3723" s="508">
        <v>0.29799999999999999</v>
      </c>
      <c r="T3723" s="508">
        <v>0.223</v>
      </c>
      <c r="U3723" s="508">
        <v>0.251</v>
      </c>
      <c r="V3723" s="508">
        <v>0.161</v>
      </c>
      <c r="W3723" s="508">
        <v>0.13400000000000001</v>
      </c>
      <c r="X3723" s="508">
        <v>0.13500000000000001</v>
      </c>
      <c r="Y3723" s="508">
        <v>0.151</v>
      </c>
      <c r="Z3723" s="508">
        <v>0.16700000000000001</v>
      </c>
      <c r="AA3723" s="508">
        <v>1.2E-2</v>
      </c>
      <c r="AB3723" s="508">
        <v>1.2E-2</v>
      </c>
      <c r="AC3723" s="508">
        <v>0.01</v>
      </c>
      <c r="AD3723" s="508">
        <v>8.9999999999999993E-3</v>
      </c>
      <c r="AE3723" s="508">
        <v>0.01</v>
      </c>
      <c r="AF3723" s="508">
        <v>6.0000000000000001E-3</v>
      </c>
      <c r="AG3723" s="508">
        <v>6.0000000000000001E-3</v>
      </c>
      <c r="AH3723" s="508">
        <v>6.0000000000000001E-3</v>
      </c>
      <c r="AI3723" s="492">
        <v>6.0000000000000001E-3</v>
      </c>
      <c r="AJ3723" s="485"/>
    </row>
    <row r="3724" spans="2:36">
      <c r="B3724" s="136" t="s">
        <v>465</v>
      </c>
      <c r="C3724" s="132" t="s">
        <v>1364</v>
      </c>
      <c r="D3724" s="132" t="s">
        <v>284</v>
      </c>
      <c r="E3724" s="508">
        <v>0.67700000000000005</v>
      </c>
      <c r="F3724" s="508">
        <v>0.74399999999999999</v>
      </c>
      <c r="G3724" s="508">
        <v>0.35299999999999998</v>
      </c>
      <c r="H3724" s="508">
        <v>0.159</v>
      </c>
      <c r="I3724" s="508">
        <v>0.20399999999999999</v>
      </c>
      <c r="J3724" s="508">
        <v>0.746</v>
      </c>
      <c r="K3724" s="508">
        <v>0.39500000000000002</v>
      </c>
      <c r="L3724" s="508">
        <v>9.9000000000000005E-2</v>
      </c>
      <c r="M3724" s="508">
        <v>0.36899999999999999</v>
      </c>
      <c r="N3724" s="508">
        <v>0.34499999999999997</v>
      </c>
      <c r="O3724" s="508">
        <v>0.48199999999999998</v>
      </c>
      <c r="P3724" s="508">
        <v>0.47299999999999998</v>
      </c>
      <c r="Q3724" s="508">
        <v>0.54400000000000004</v>
      </c>
      <c r="R3724" s="508">
        <v>0.153</v>
      </c>
      <c r="S3724" s="508">
        <v>0.30399999999999999</v>
      </c>
      <c r="T3724" s="508">
        <v>0.22800000000000001</v>
      </c>
      <c r="U3724" s="508">
        <v>0.25700000000000001</v>
      </c>
      <c r="V3724" s="508">
        <v>0.16500000000000001</v>
      </c>
      <c r="W3724" s="508">
        <v>0.13700000000000001</v>
      </c>
      <c r="X3724" s="508">
        <v>0.13800000000000001</v>
      </c>
      <c r="Y3724" s="508">
        <v>0.154</v>
      </c>
      <c r="Z3724" s="508">
        <v>0.17</v>
      </c>
      <c r="AA3724" s="508">
        <v>1.2E-2</v>
      </c>
      <c r="AB3724" s="508">
        <v>1.2E-2</v>
      </c>
      <c r="AC3724" s="508">
        <v>0.01</v>
      </c>
      <c r="AD3724" s="508">
        <v>8.9999999999999993E-3</v>
      </c>
      <c r="AE3724" s="508">
        <v>0.01</v>
      </c>
      <c r="AF3724" s="508">
        <v>6.0000000000000001E-3</v>
      </c>
      <c r="AG3724" s="508">
        <v>6.0000000000000001E-3</v>
      </c>
      <c r="AH3724" s="508">
        <v>6.0000000000000001E-3</v>
      </c>
      <c r="AI3724" s="492">
        <v>6.0000000000000001E-3</v>
      </c>
      <c r="AJ3724" s="485"/>
    </row>
    <row r="3725" spans="2:36">
      <c r="B3725" s="136" t="s">
        <v>466</v>
      </c>
      <c r="C3725" s="132" t="s">
        <v>1364</v>
      </c>
      <c r="D3725" s="132" t="s">
        <v>284</v>
      </c>
      <c r="E3725" s="508">
        <v>0.7</v>
      </c>
      <c r="F3725" s="508">
        <v>0.76900000000000002</v>
      </c>
      <c r="G3725" s="508">
        <v>0.36299999999999999</v>
      </c>
      <c r="H3725" s="508">
        <v>0.17</v>
      </c>
      <c r="I3725" s="508">
        <v>0.219</v>
      </c>
      <c r="J3725" s="508">
        <v>0.81599999999999995</v>
      </c>
      <c r="K3725" s="508">
        <v>0.41699999999999998</v>
      </c>
      <c r="L3725" s="508">
        <v>0.104</v>
      </c>
      <c r="M3725" s="508">
        <v>0.39</v>
      </c>
      <c r="N3725" s="508">
        <v>0.39700000000000002</v>
      </c>
      <c r="O3725" s="508">
        <v>0.55800000000000005</v>
      </c>
      <c r="P3725" s="508">
        <v>0.54900000000000004</v>
      </c>
      <c r="Q3725" s="508">
        <v>0.63200000000000001</v>
      </c>
      <c r="R3725" s="508">
        <v>0.16400000000000001</v>
      </c>
      <c r="S3725" s="508">
        <v>0.32700000000000001</v>
      </c>
      <c r="T3725" s="508">
        <v>0.245</v>
      </c>
      <c r="U3725" s="508">
        <v>0.27600000000000002</v>
      </c>
      <c r="V3725" s="508">
        <v>0.17699999999999999</v>
      </c>
      <c r="W3725" s="508">
        <v>0.14699999999999999</v>
      </c>
      <c r="X3725" s="508">
        <v>0.14799999999999999</v>
      </c>
      <c r="Y3725" s="508">
        <v>0.16500000000000001</v>
      </c>
      <c r="Z3725" s="508">
        <v>0.183</v>
      </c>
      <c r="AA3725" s="508">
        <v>1.2999999999999999E-2</v>
      </c>
      <c r="AB3725" s="508">
        <v>1.2999999999999999E-2</v>
      </c>
      <c r="AC3725" s="508">
        <v>1.0999999999999999E-2</v>
      </c>
      <c r="AD3725" s="508">
        <v>8.9999999999999993E-3</v>
      </c>
      <c r="AE3725" s="508">
        <v>1.0999999999999999E-2</v>
      </c>
      <c r="AF3725" s="508">
        <v>7.0000000000000001E-3</v>
      </c>
      <c r="AG3725" s="508">
        <v>7.0000000000000001E-3</v>
      </c>
      <c r="AH3725" s="508">
        <v>7.0000000000000001E-3</v>
      </c>
      <c r="AI3725" s="492">
        <v>7.0000000000000001E-3</v>
      </c>
      <c r="AJ3725" s="485"/>
    </row>
    <row r="3726" spans="2:36">
      <c r="B3726" s="136" t="s">
        <v>467</v>
      </c>
      <c r="C3726" s="132" t="s">
        <v>1364</v>
      </c>
      <c r="D3726" s="132" t="s">
        <v>284</v>
      </c>
      <c r="E3726" s="508">
        <v>0.68300000000000005</v>
      </c>
      <c r="F3726" s="508">
        <v>0.75</v>
      </c>
      <c r="G3726" s="508">
        <v>0.35499999999999998</v>
      </c>
      <c r="H3726" s="508">
        <v>0.161</v>
      </c>
      <c r="I3726" s="508">
        <v>0.20699999999999999</v>
      </c>
      <c r="J3726" s="508">
        <v>0.76100000000000001</v>
      </c>
      <c r="K3726" s="508">
        <v>0.4</v>
      </c>
      <c r="L3726" s="508">
        <v>0.1</v>
      </c>
      <c r="M3726" s="508">
        <v>0.374</v>
      </c>
      <c r="N3726" s="508">
        <v>0.35499999999999998</v>
      </c>
      <c r="O3726" s="508">
        <v>0.496</v>
      </c>
      <c r="P3726" s="508">
        <v>0.48699999999999999</v>
      </c>
      <c r="Q3726" s="508">
        <v>0.56100000000000005</v>
      </c>
      <c r="R3726" s="508">
        <v>0.155</v>
      </c>
      <c r="S3726" s="508">
        <v>0.308</v>
      </c>
      <c r="T3726" s="508">
        <v>0.23100000000000001</v>
      </c>
      <c r="U3726" s="508">
        <v>0.26</v>
      </c>
      <c r="V3726" s="508">
        <v>0.16700000000000001</v>
      </c>
      <c r="W3726" s="508">
        <v>0.13900000000000001</v>
      </c>
      <c r="X3726" s="508">
        <v>0.13900000000000001</v>
      </c>
      <c r="Y3726" s="508">
        <v>0.156</v>
      </c>
      <c r="Z3726" s="508">
        <v>0.17199999999999999</v>
      </c>
      <c r="AA3726" s="508">
        <v>1.2E-2</v>
      </c>
      <c r="AB3726" s="508">
        <v>1.2E-2</v>
      </c>
      <c r="AC3726" s="508">
        <v>1.0999999999999999E-2</v>
      </c>
      <c r="AD3726" s="508">
        <v>8.9999999999999993E-3</v>
      </c>
      <c r="AE3726" s="508">
        <v>0.01</v>
      </c>
      <c r="AF3726" s="508">
        <v>6.0000000000000001E-3</v>
      </c>
      <c r="AG3726" s="508">
        <v>6.0000000000000001E-3</v>
      </c>
      <c r="AH3726" s="508">
        <v>6.0000000000000001E-3</v>
      </c>
      <c r="AI3726" s="492">
        <v>6.0000000000000001E-3</v>
      </c>
      <c r="AJ3726" s="485"/>
    </row>
    <row r="3727" spans="2:36">
      <c r="B3727" s="136" t="s">
        <v>468</v>
      </c>
      <c r="C3727" s="132" t="s">
        <v>1364</v>
      </c>
      <c r="D3727" s="132" t="s">
        <v>284</v>
      </c>
      <c r="E3727" s="508">
        <v>0.67</v>
      </c>
      <c r="F3727" s="508">
        <v>0.73699999999999999</v>
      </c>
      <c r="G3727" s="508">
        <v>0.35099999999999998</v>
      </c>
      <c r="H3727" s="508">
        <v>0.156</v>
      </c>
      <c r="I3727" s="508">
        <v>0.2</v>
      </c>
      <c r="J3727" s="508">
        <v>0.72699999999999998</v>
      </c>
      <c r="K3727" s="508">
        <v>0.38800000000000001</v>
      </c>
      <c r="L3727" s="508">
        <v>9.8000000000000004E-2</v>
      </c>
      <c r="M3727" s="508">
        <v>0.36299999999999999</v>
      </c>
      <c r="N3727" s="508">
        <v>0.33200000000000002</v>
      </c>
      <c r="O3727" s="508">
        <v>0.46300000000000002</v>
      </c>
      <c r="P3727" s="508">
        <v>0.45400000000000001</v>
      </c>
      <c r="Q3727" s="508">
        <v>0.52300000000000002</v>
      </c>
      <c r="R3727" s="508">
        <v>0.15</v>
      </c>
      <c r="S3727" s="508">
        <v>0.29799999999999999</v>
      </c>
      <c r="T3727" s="508">
        <v>0.224</v>
      </c>
      <c r="U3727" s="508">
        <v>0.252</v>
      </c>
      <c r="V3727" s="508">
        <v>0.16200000000000001</v>
      </c>
      <c r="W3727" s="508">
        <v>0.13500000000000001</v>
      </c>
      <c r="X3727" s="508">
        <v>0.13500000000000001</v>
      </c>
      <c r="Y3727" s="508">
        <v>0.151</v>
      </c>
      <c r="Z3727" s="508">
        <v>0.16700000000000001</v>
      </c>
      <c r="AA3727" s="508">
        <v>1.2E-2</v>
      </c>
      <c r="AB3727" s="508">
        <v>1.2E-2</v>
      </c>
      <c r="AC3727" s="508">
        <v>0.01</v>
      </c>
      <c r="AD3727" s="508">
        <v>8.9999999999999993E-3</v>
      </c>
      <c r="AE3727" s="508">
        <v>0.01</v>
      </c>
      <c r="AF3727" s="508">
        <v>6.0000000000000001E-3</v>
      </c>
      <c r="AG3727" s="508">
        <v>6.0000000000000001E-3</v>
      </c>
      <c r="AH3727" s="508">
        <v>6.0000000000000001E-3</v>
      </c>
      <c r="AI3727" s="492">
        <v>6.0000000000000001E-3</v>
      </c>
      <c r="AJ3727" s="485"/>
    </row>
    <row r="3728" spans="2:36">
      <c r="B3728" s="136" t="s">
        <v>469</v>
      </c>
      <c r="C3728" s="132" t="s">
        <v>1364</v>
      </c>
      <c r="D3728" s="132" t="s">
        <v>284</v>
      </c>
      <c r="E3728" s="508">
        <v>0.68</v>
      </c>
      <c r="F3728" s="508">
        <v>0.747</v>
      </c>
      <c r="G3728" s="508">
        <v>0.35399999999999998</v>
      </c>
      <c r="H3728" s="508">
        <v>0.16</v>
      </c>
      <c r="I3728" s="508">
        <v>0.20599999999999999</v>
      </c>
      <c r="J3728" s="508">
        <v>0.754</v>
      </c>
      <c r="K3728" s="508">
        <v>0.39800000000000002</v>
      </c>
      <c r="L3728" s="508">
        <v>9.9000000000000005E-2</v>
      </c>
      <c r="M3728" s="508">
        <v>0.372</v>
      </c>
      <c r="N3728" s="508">
        <v>0.35099999999999998</v>
      </c>
      <c r="O3728" s="508">
        <v>0.49</v>
      </c>
      <c r="P3728" s="508">
        <v>0.48099999999999998</v>
      </c>
      <c r="Q3728" s="508">
        <v>0.55400000000000005</v>
      </c>
      <c r="R3728" s="508">
        <v>0.154</v>
      </c>
      <c r="S3728" s="508">
        <v>0.30599999999999999</v>
      </c>
      <c r="T3728" s="508">
        <v>0.23</v>
      </c>
      <c r="U3728" s="508">
        <v>0.25900000000000001</v>
      </c>
      <c r="V3728" s="508">
        <v>0.16600000000000001</v>
      </c>
      <c r="W3728" s="508">
        <v>0.13800000000000001</v>
      </c>
      <c r="X3728" s="508">
        <v>0.13900000000000001</v>
      </c>
      <c r="Y3728" s="508">
        <v>0.155</v>
      </c>
      <c r="Z3728" s="508">
        <v>0.17100000000000001</v>
      </c>
      <c r="AA3728" s="508">
        <v>1.2E-2</v>
      </c>
      <c r="AB3728" s="508">
        <v>1.2E-2</v>
      </c>
      <c r="AC3728" s="508">
        <v>1.0999999999999999E-2</v>
      </c>
      <c r="AD3728" s="508">
        <v>8.9999999999999993E-3</v>
      </c>
      <c r="AE3728" s="508">
        <v>0.01</v>
      </c>
      <c r="AF3728" s="508">
        <v>6.0000000000000001E-3</v>
      </c>
      <c r="AG3728" s="508">
        <v>6.0000000000000001E-3</v>
      </c>
      <c r="AH3728" s="508">
        <v>6.0000000000000001E-3</v>
      </c>
      <c r="AI3728" s="492">
        <v>6.0000000000000001E-3</v>
      </c>
      <c r="AJ3728" s="485"/>
    </row>
    <row r="3729" spans="2:36">
      <c r="B3729" s="136" t="s">
        <v>470</v>
      </c>
      <c r="C3729" s="132" t="s">
        <v>1364</v>
      </c>
      <c r="D3729" s="132" t="s">
        <v>284</v>
      </c>
      <c r="E3729" s="508">
        <v>0.69199999999999995</v>
      </c>
      <c r="F3729" s="508">
        <v>0.76</v>
      </c>
      <c r="G3729" s="508">
        <v>0.36</v>
      </c>
      <c r="H3729" s="508">
        <v>0.16600000000000001</v>
      </c>
      <c r="I3729" s="508">
        <v>0.214</v>
      </c>
      <c r="J3729" s="508">
        <v>0.79100000000000004</v>
      </c>
      <c r="K3729" s="508">
        <v>0.40899999999999997</v>
      </c>
      <c r="L3729" s="508">
        <v>0.10199999999999999</v>
      </c>
      <c r="M3729" s="508">
        <v>0.38200000000000001</v>
      </c>
      <c r="N3729" s="508">
        <v>0.379</v>
      </c>
      <c r="O3729" s="508">
        <v>0.53100000000000003</v>
      </c>
      <c r="P3729" s="508">
        <v>0.52200000000000002</v>
      </c>
      <c r="Q3729" s="508">
        <v>0.60099999999999998</v>
      </c>
      <c r="R3729" s="508">
        <v>0.16</v>
      </c>
      <c r="S3729" s="508">
        <v>0.31900000000000001</v>
      </c>
      <c r="T3729" s="508">
        <v>0.23899999999999999</v>
      </c>
      <c r="U3729" s="508">
        <v>0.26900000000000002</v>
      </c>
      <c r="V3729" s="508">
        <v>0.17199999999999999</v>
      </c>
      <c r="W3729" s="508">
        <v>0.14399999999999999</v>
      </c>
      <c r="X3729" s="508">
        <v>0.14399999999999999</v>
      </c>
      <c r="Y3729" s="508">
        <v>0.161</v>
      </c>
      <c r="Z3729" s="508">
        <v>0.17799999999999999</v>
      </c>
      <c r="AA3729" s="508">
        <v>1.2999999999999999E-2</v>
      </c>
      <c r="AB3729" s="508">
        <v>1.2999999999999999E-2</v>
      </c>
      <c r="AC3729" s="508">
        <v>1.0999999999999999E-2</v>
      </c>
      <c r="AD3729" s="508">
        <v>8.9999999999999993E-3</v>
      </c>
      <c r="AE3729" s="508">
        <v>0.01</v>
      </c>
      <c r="AF3729" s="508">
        <v>6.0000000000000001E-3</v>
      </c>
      <c r="AG3729" s="508">
        <v>6.0000000000000001E-3</v>
      </c>
      <c r="AH3729" s="508">
        <v>6.0000000000000001E-3</v>
      </c>
      <c r="AI3729" s="492">
        <v>6.0000000000000001E-3</v>
      </c>
      <c r="AJ3729" s="485"/>
    </row>
    <row r="3730" spans="2:36">
      <c r="B3730" s="136" t="s">
        <v>471</v>
      </c>
      <c r="C3730" s="132" t="s">
        <v>1364</v>
      </c>
      <c r="D3730" s="132" t="s">
        <v>284</v>
      </c>
      <c r="E3730" s="508">
        <v>0.68799999999999994</v>
      </c>
      <c r="F3730" s="508">
        <v>0.75600000000000001</v>
      </c>
      <c r="G3730" s="508">
        <v>0.35699999999999998</v>
      </c>
      <c r="H3730" s="508">
        <v>0.16300000000000001</v>
      </c>
      <c r="I3730" s="508">
        <v>0.21099999999999999</v>
      </c>
      <c r="J3730" s="508">
        <v>0.77800000000000002</v>
      </c>
      <c r="K3730" s="508">
        <v>0.40500000000000003</v>
      </c>
      <c r="L3730" s="508">
        <v>0.10100000000000001</v>
      </c>
      <c r="M3730" s="508">
        <v>0.379</v>
      </c>
      <c r="N3730" s="508">
        <v>0.36799999999999999</v>
      </c>
      <c r="O3730" s="508">
        <v>0.51500000000000001</v>
      </c>
      <c r="P3730" s="508">
        <v>0.50600000000000001</v>
      </c>
      <c r="Q3730" s="508">
        <v>0.58199999999999996</v>
      </c>
      <c r="R3730" s="508">
        <v>0.157</v>
      </c>
      <c r="S3730" s="508">
        <v>0.314</v>
      </c>
      <c r="T3730" s="508">
        <v>0.23499999999999999</v>
      </c>
      <c r="U3730" s="508">
        <v>0.26500000000000001</v>
      </c>
      <c r="V3730" s="508">
        <v>0.17</v>
      </c>
      <c r="W3730" s="508">
        <v>0.14099999999999999</v>
      </c>
      <c r="X3730" s="508">
        <v>0.14199999999999999</v>
      </c>
      <c r="Y3730" s="508">
        <v>0.159</v>
      </c>
      <c r="Z3730" s="508">
        <v>0.17499999999999999</v>
      </c>
      <c r="AA3730" s="508">
        <v>1.2E-2</v>
      </c>
      <c r="AB3730" s="508">
        <v>1.2E-2</v>
      </c>
      <c r="AC3730" s="508">
        <v>1.0999999999999999E-2</v>
      </c>
      <c r="AD3730" s="508">
        <v>8.9999999999999993E-3</v>
      </c>
      <c r="AE3730" s="508">
        <v>0.01</v>
      </c>
      <c r="AF3730" s="508">
        <v>6.0000000000000001E-3</v>
      </c>
      <c r="AG3730" s="508">
        <v>6.0000000000000001E-3</v>
      </c>
      <c r="AH3730" s="508">
        <v>6.0000000000000001E-3</v>
      </c>
      <c r="AI3730" s="492">
        <v>6.0000000000000001E-3</v>
      </c>
      <c r="AJ3730" s="485"/>
    </row>
    <row r="3731" spans="2:36">
      <c r="B3731" s="136" t="s">
        <v>472</v>
      </c>
      <c r="C3731" s="132" t="s">
        <v>1364</v>
      </c>
      <c r="D3731" s="132" t="s">
        <v>284</v>
      </c>
      <c r="E3731" s="508">
        <v>0.67200000000000004</v>
      </c>
      <c r="F3731" s="508">
        <v>0.73899999999999999</v>
      </c>
      <c r="G3731" s="508">
        <v>0.35</v>
      </c>
      <c r="H3731" s="508">
        <v>0.155</v>
      </c>
      <c r="I3731" s="508">
        <v>0.2</v>
      </c>
      <c r="J3731" s="508">
        <v>0.72899999999999998</v>
      </c>
      <c r="K3731" s="508">
        <v>0.39100000000000001</v>
      </c>
      <c r="L3731" s="508">
        <v>9.7000000000000003E-2</v>
      </c>
      <c r="M3731" s="508">
        <v>0.36499999999999999</v>
      </c>
      <c r="N3731" s="508">
        <v>0.33100000000000002</v>
      </c>
      <c r="O3731" s="508">
        <v>0.46</v>
      </c>
      <c r="P3731" s="508">
        <v>0.45100000000000001</v>
      </c>
      <c r="Q3731" s="508">
        <v>0.52</v>
      </c>
      <c r="R3731" s="508">
        <v>0.14899999999999999</v>
      </c>
      <c r="S3731" s="508">
        <v>0.29699999999999999</v>
      </c>
      <c r="T3731" s="508">
        <v>0.223</v>
      </c>
      <c r="U3731" s="508">
        <v>0.251</v>
      </c>
      <c r="V3731" s="508">
        <v>0.161</v>
      </c>
      <c r="W3731" s="508">
        <v>0.13400000000000001</v>
      </c>
      <c r="X3731" s="508">
        <v>0.13500000000000001</v>
      </c>
      <c r="Y3731" s="508">
        <v>0.15</v>
      </c>
      <c r="Z3731" s="508">
        <v>0.16600000000000001</v>
      </c>
      <c r="AA3731" s="508">
        <v>1.2E-2</v>
      </c>
      <c r="AB3731" s="508">
        <v>1.2E-2</v>
      </c>
      <c r="AC3731" s="508">
        <v>0.01</v>
      </c>
      <c r="AD3731" s="508">
        <v>8.9999999999999993E-3</v>
      </c>
      <c r="AE3731" s="508">
        <v>0.01</v>
      </c>
      <c r="AF3731" s="508">
        <v>6.0000000000000001E-3</v>
      </c>
      <c r="AG3731" s="508">
        <v>6.0000000000000001E-3</v>
      </c>
      <c r="AH3731" s="508">
        <v>6.0000000000000001E-3</v>
      </c>
      <c r="AI3731" s="492">
        <v>6.0000000000000001E-3</v>
      </c>
      <c r="AJ3731" s="485"/>
    </row>
    <row r="3732" spans="2:36">
      <c r="B3732" s="136" t="s">
        <v>473</v>
      </c>
      <c r="C3732" s="132" t="s">
        <v>1364</v>
      </c>
      <c r="D3732" s="132" t="s">
        <v>284</v>
      </c>
      <c r="E3732" s="508">
        <v>0.69399999999999995</v>
      </c>
      <c r="F3732" s="508">
        <v>0.76300000000000001</v>
      </c>
      <c r="G3732" s="508">
        <v>0.36</v>
      </c>
      <c r="H3732" s="508">
        <v>0.16600000000000001</v>
      </c>
      <c r="I3732" s="508">
        <v>0.215</v>
      </c>
      <c r="J3732" s="508">
        <v>0.79700000000000004</v>
      </c>
      <c r="K3732" s="508">
        <v>0.41099999999999998</v>
      </c>
      <c r="L3732" s="508">
        <v>0.10299999999999999</v>
      </c>
      <c r="M3732" s="508">
        <v>0.38500000000000001</v>
      </c>
      <c r="N3732" s="508">
        <v>0.38200000000000001</v>
      </c>
      <c r="O3732" s="508">
        <v>0.53600000000000003</v>
      </c>
      <c r="P3732" s="508">
        <v>0.52700000000000002</v>
      </c>
      <c r="Q3732" s="508">
        <v>0.60699999999999998</v>
      </c>
      <c r="R3732" s="508">
        <v>0.16</v>
      </c>
      <c r="S3732" s="508">
        <v>0.32</v>
      </c>
      <c r="T3732" s="508">
        <v>0.24</v>
      </c>
      <c r="U3732" s="508">
        <v>0.27</v>
      </c>
      <c r="V3732" s="508">
        <v>0.17299999999999999</v>
      </c>
      <c r="W3732" s="508">
        <v>0.14399999999999999</v>
      </c>
      <c r="X3732" s="508">
        <v>0.14499999999999999</v>
      </c>
      <c r="Y3732" s="508">
        <v>0.16200000000000001</v>
      </c>
      <c r="Z3732" s="508">
        <v>0.17899999999999999</v>
      </c>
      <c r="AA3732" s="508">
        <v>1.2999999999999999E-2</v>
      </c>
      <c r="AB3732" s="508">
        <v>1.2999999999999999E-2</v>
      </c>
      <c r="AC3732" s="508">
        <v>1.0999999999999999E-2</v>
      </c>
      <c r="AD3732" s="508">
        <v>8.9999999999999993E-3</v>
      </c>
      <c r="AE3732" s="508">
        <v>0.01</v>
      </c>
      <c r="AF3732" s="508">
        <v>6.0000000000000001E-3</v>
      </c>
      <c r="AG3732" s="508">
        <v>6.0000000000000001E-3</v>
      </c>
      <c r="AH3732" s="508">
        <v>6.0000000000000001E-3</v>
      </c>
      <c r="AI3732" s="492">
        <v>6.0000000000000001E-3</v>
      </c>
      <c r="AJ3732" s="485"/>
    </row>
    <row r="3733" spans="2:36">
      <c r="B3733" s="136" t="s">
        <v>474</v>
      </c>
      <c r="C3733" s="132" t="s">
        <v>1364</v>
      </c>
      <c r="D3733" s="132" t="s">
        <v>284</v>
      </c>
      <c r="E3733" s="508">
        <v>0.68600000000000005</v>
      </c>
      <c r="F3733" s="508">
        <v>0.754</v>
      </c>
      <c r="G3733" s="508">
        <v>0.35599999999999998</v>
      </c>
      <c r="H3733" s="508">
        <v>0.16200000000000001</v>
      </c>
      <c r="I3733" s="508">
        <v>0.20899999999999999</v>
      </c>
      <c r="J3733" s="508">
        <v>0.77200000000000002</v>
      </c>
      <c r="K3733" s="508">
        <v>0.40400000000000003</v>
      </c>
      <c r="L3733" s="508">
        <v>0.10100000000000001</v>
      </c>
      <c r="M3733" s="508">
        <v>0.377</v>
      </c>
      <c r="N3733" s="508">
        <v>0.36299999999999999</v>
      </c>
      <c r="O3733" s="508">
        <v>0.50800000000000001</v>
      </c>
      <c r="P3733" s="508">
        <v>0.499</v>
      </c>
      <c r="Q3733" s="508">
        <v>0.57499999999999996</v>
      </c>
      <c r="R3733" s="508">
        <v>0.156</v>
      </c>
      <c r="S3733" s="508">
        <v>0.312</v>
      </c>
      <c r="T3733" s="508">
        <v>0.23400000000000001</v>
      </c>
      <c r="U3733" s="508">
        <v>0.26300000000000001</v>
      </c>
      <c r="V3733" s="508">
        <v>0.16900000000000001</v>
      </c>
      <c r="W3733" s="508">
        <v>0.14000000000000001</v>
      </c>
      <c r="X3733" s="508">
        <v>0.14099999999999999</v>
      </c>
      <c r="Y3733" s="508">
        <v>0.158</v>
      </c>
      <c r="Z3733" s="508">
        <v>0.17399999999999999</v>
      </c>
      <c r="AA3733" s="508">
        <v>1.2E-2</v>
      </c>
      <c r="AB3733" s="508">
        <v>1.2E-2</v>
      </c>
      <c r="AC3733" s="508">
        <v>1.0999999999999999E-2</v>
      </c>
      <c r="AD3733" s="508">
        <v>8.9999999999999993E-3</v>
      </c>
      <c r="AE3733" s="508">
        <v>0.01</v>
      </c>
      <c r="AF3733" s="508">
        <v>6.0000000000000001E-3</v>
      </c>
      <c r="AG3733" s="508">
        <v>6.0000000000000001E-3</v>
      </c>
      <c r="AH3733" s="508">
        <v>6.0000000000000001E-3</v>
      </c>
      <c r="AI3733" s="492">
        <v>6.0000000000000001E-3</v>
      </c>
      <c r="AJ3733" s="485"/>
    </row>
    <row r="3734" spans="2:36">
      <c r="B3734" s="136" t="s">
        <v>475</v>
      </c>
      <c r="C3734" s="132" t="s">
        <v>1364</v>
      </c>
      <c r="D3734" s="132" t="s">
        <v>284</v>
      </c>
      <c r="E3734" s="508">
        <v>0.68200000000000005</v>
      </c>
      <c r="F3734" s="508">
        <v>0.75</v>
      </c>
      <c r="G3734" s="508">
        <v>0.35499999999999998</v>
      </c>
      <c r="H3734" s="508">
        <v>0.161</v>
      </c>
      <c r="I3734" s="508">
        <v>0.20699999999999999</v>
      </c>
      <c r="J3734" s="508">
        <v>0.76</v>
      </c>
      <c r="K3734" s="508">
        <v>0.4</v>
      </c>
      <c r="L3734" s="508">
        <v>0.1</v>
      </c>
      <c r="M3734" s="508">
        <v>0.374</v>
      </c>
      <c r="N3734" s="508">
        <v>0.35399999999999998</v>
      </c>
      <c r="O3734" s="508">
        <v>0.495</v>
      </c>
      <c r="P3734" s="508">
        <v>0.48599999999999999</v>
      </c>
      <c r="Q3734" s="508">
        <v>0.56000000000000005</v>
      </c>
      <c r="R3734" s="508">
        <v>0.154</v>
      </c>
      <c r="S3734" s="508">
        <v>0.308</v>
      </c>
      <c r="T3734" s="508">
        <v>0.23100000000000001</v>
      </c>
      <c r="U3734" s="508">
        <v>0.26</v>
      </c>
      <c r="V3734" s="508">
        <v>0.16700000000000001</v>
      </c>
      <c r="W3734" s="508">
        <v>0.13900000000000001</v>
      </c>
      <c r="X3734" s="508">
        <v>0.13900000000000001</v>
      </c>
      <c r="Y3734" s="508">
        <v>0.156</v>
      </c>
      <c r="Z3734" s="508">
        <v>0.17199999999999999</v>
      </c>
      <c r="AA3734" s="508">
        <v>1.2E-2</v>
      </c>
      <c r="AB3734" s="508">
        <v>1.2E-2</v>
      </c>
      <c r="AC3734" s="508">
        <v>1.0999999999999999E-2</v>
      </c>
      <c r="AD3734" s="508">
        <v>8.9999999999999993E-3</v>
      </c>
      <c r="AE3734" s="508">
        <v>0.01</v>
      </c>
      <c r="AF3734" s="508">
        <v>6.0000000000000001E-3</v>
      </c>
      <c r="AG3734" s="508">
        <v>6.0000000000000001E-3</v>
      </c>
      <c r="AH3734" s="508">
        <v>6.0000000000000001E-3</v>
      </c>
      <c r="AI3734" s="492">
        <v>6.0000000000000001E-3</v>
      </c>
      <c r="AJ3734" s="485"/>
    </row>
    <row r="3735" spans="2:36">
      <c r="B3735" s="136" t="s">
        <v>476</v>
      </c>
      <c r="C3735" s="132" t="s">
        <v>1364</v>
      </c>
      <c r="D3735" s="132" t="s">
        <v>284</v>
      </c>
      <c r="E3735" s="508">
        <v>0.69</v>
      </c>
      <c r="F3735" s="508">
        <v>0.75800000000000001</v>
      </c>
      <c r="G3735" s="508">
        <v>0.35899999999999999</v>
      </c>
      <c r="H3735" s="508">
        <v>0.16500000000000001</v>
      </c>
      <c r="I3735" s="508">
        <v>0.21299999999999999</v>
      </c>
      <c r="J3735" s="508">
        <v>0.78500000000000003</v>
      </c>
      <c r="K3735" s="508">
        <v>0.40699999999999997</v>
      </c>
      <c r="L3735" s="508">
        <v>0.10199999999999999</v>
      </c>
      <c r="M3735" s="508">
        <v>0.38100000000000001</v>
      </c>
      <c r="N3735" s="508">
        <v>0.374</v>
      </c>
      <c r="O3735" s="508">
        <v>0.52400000000000002</v>
      </c>
      <c r="P3735" s="508">
        <v>0.51500000000000001</v>
      </c>
      <c r="Q3735" s="508">
        <v>0.59299999999999997</v>
      </c>
      <c r="R3735" s="508">
        <v>0.159</v>
      </c>
      <c r="S3735" s="508">
        <v>0.317</v>
      </c>
      <c r="T3735" s="508">
        <v>0.23699999999999999</v>
      </c>
      <c r="U3735" s="508">
        <v>0.26700000000000002</v>
      </c>
      <c r="V3735" s="508">
        <v>0.17100000000000001</v>
      </c>
      <c r="W3735" s="508">
        <v>0.14299999999999999</v>
      </c>
      <c r="X3735" s="508">
        <v>0.14299999999999999</v>
      </c>
      <c r="Y3735" s="508">
        <v>0.16</v>
      </c>
      <c r="Z3735" s="508">
        <v>0.17699999999999999</v>
      </c>
      <c r="AA3735" s="508">
        <v>1.2999999999999999E-2</v>
      </c>
      <c r="AB3735" s="508">
        <v>1.2E-2</v>
      </c>
      <c r="AC3735" s="508">
        <v>1.0999999999999999E-2</v>
      </c>
      <c r="AD3735" s="508">
        <v>8.9999999999999993E-3</v>
      </c>
      <c r="AE3735" s="508">
        <v>0.01</v>
      </c>
      <c r="AF3735" s="508">
        <v>6.0000000000000001E-3</v>
      </c>
      <c r="AG3735" s="508">
        <v>6.0000000000000001E-3</v>
      </c>
      <c r="AH3735" s="508">
        <v>6.0000000000000001E-3</v>
      </c>
      <c r="AI3735" s="492">
        <v>6.0000000000000001E-3</v>
      </c>
      <c r="AJ3735" s="485"/>
    </row>
    <row r="3736" spans="2:36">
      <c r="B3736" s="136" t="s">
        <v>478</v>
      </c>
      <c r="C3736" s="132" t="s">
        <v>1364</v>
      </c>
      <c r="D3736" s="132" t="s">
        <v>284</v>
      </c>
      <c r="E3736" s="508">
        <v>0.69399999999999995</v>
      </c>
      <c r="F3736" s="508">
        <v>0.76300000000000001</v>
      </c>
      <c r="G3736" s="508">
        <v>0.36199999999999999</v>
      </c>
      <c r="H3736" s="508">
        <v>0.16800000000000001</v>
      </c>
      <c r="I3736" s="508">
        <v>0.217</v>
      </c>
      <c r="J3736" s="508">
        <v>0.80100000000000005</v>
      </c>
      <c r="K3736" s="508">
        <v>0.41099999999999998</v>
      </c>
      <c r="L3736" s="508">
        <v>0.104</v>
      </c>
      <c r="M3736" s="508">
        <v>0.38500000000000001</v>
      </c>
      <c r="N3736" s="508">
        <v>0.38700000000000001</v>
      </c>
      <c r="O3736" s="508">
        <v>0.54300000000000004</v>
      </c>
      <c r="P3736" s="508">
        <v>0.53400000000000003</v>
      </c>
      <c r="Q3736" s="508">
        <v>0.61499999999999999</v>
      </c>
      <c r="R3736" s="508">
        <v>0.16200000000000001</v>
      </c>
      <c r="S3736" s="508">
        <v>0.32200000000000001</v>
      </c>
      <c r="T3736" s="508">
        <v>0.24199999999999999</v>
      </c>
      <c r="U3736" s="508">
        <v>0.27200000000000002</v>
      </c>
      <c r="V3736" s="508">
        <v>0.17399999999999999</v>
      </c>
      <c r="W3736" s="508">
        <v>0.14499999999999999</v>
      </c>
      <c r="X3736" s="508">
        <v>0.14599999999999999</v>
      </c>
      <c r="Y3736" s="508">
        <v>0.16300000000000001</v>
      </c>
      <c r="Z3736" s="508">
        <v>0.18</v>
      </c>
      <c r="AA3736" s="508">
        <v>1.2999999999999999E-2</v>
      </c>
      <c r="AB3736" s="508">
        <v>1.2999999999999999E-2</v>
      </c>
      <c r="AC3736" s="508">
        <v>1.0999999999999999E-2</v>
      </c>
      <c r="AD3736" s="508">
        <v>8.9999999999999993E-3</v>
      </c>
      <c r="AE3736" s="508">
        <v>1.0999999999999999E-2</v>
      </c>
      <c r="AF3736" s="508">
        <v>7.0000000000000001E-3</v>
      </c>
      <c r="AG3736" s="508">
        <v>7.0000000000000001E-3</v>
      </c>
      <c r="AH3736" s="508">
        <v>7.0000000000000001E-3</v>
      </c>
      <c r="AI3736" s="492">
        <v>7.0000000000000001E-3</v>
      </c>
      <c r="AJ3736" s="485"/>
    </row>
    <row r="3737" spans="2:36">
      <c r="B3737" s="136" t="s">
        <v>479</v>
      </c>
      <c r="C3737" s="132" t="s">
        <v>1364</v>
      </c>
      <c r="D3737" s="132" t="s">
        <v>284</v>
      </c>
      <c r="E3737" s="508">
        <v>0.68400000000000005</v>
      </c>
      <c r="F3737" s="508">
        <v>0.752</v>
      </c>
      <c r="G3737" s="508">
        <v>0.35599999999999998</v>
      </c>
      <c r="H3737" s="508">
        <v>0.16200000000000001</v>
      </c>
      <c r="I3737" s="508">
        <v>0.20899999999999999</v>
      </c>
      <c r="J3737" s="508">
        <v>0.76800000000000002</v>
      </c>
      <c r="K3737" s="508">
        <v>0.40200000000000002</v>
      </c>
      <c r="L3737" s="508">
        <v>0.10100000000000001</v>
      </c>
      <c r="M3737" s="508">
        <v>0.376</v>
      </c>
      <c r="N3737" s="508">
        <v>0.36099999999999999</v>
      </c>
      <c r="O3737" s="508">
        <v>0.505</v>
      </c>
      <c r="P3737" s="508">
        <v>0.496</v>
      </c>
      <c r="Q3737" s="508">
        <v>0.57199999999999995</v>
      </c>
      <c r="R3737" s="508">
        <v>0.156</v>
      </c>
      <c r="S3737" s="508">
        <v>0.311</v>
      </c>
      <c r="T3737" s="508">
        <v>0.23300000000000001</v>
      </c>
      <c r="U3737" s="508">
        <v>0.26300000000000001</v>
      </c>
      <c r="V3737" s="508">
        <v>0.16800000000000001</v>
      </c>
      <c r="W3737" s="508">
        <v>0.14000000000000001</v>
      </c>
      <c r="X3737" s="508">
        <v>0.14099999999999999</v>
      </c>
      <c r="Y3737" s="508">
        <v>0.157</v>
      </c>
      <c r="Z3737" s="508">
        <v>0.17399999999999999</v>
      </c>
      <c r="AA3737" s="508">
        <v>1.2E-2</v>
      </c>
      <c r="AB3737" s="508">
        <v>1.2E-2</v>
      </c>
      <c r="AC3737" s="508">
        <v>1.0999999999999999E-2</v>
      </c>
      <c r="AD3737" s="508">
        <v>8.9999999999999993E-3</v>
      </c>
      <c r="AE3737" s="508">
        <v>0.01</v>
      </c>
      <c r="AF3737" s="508">
        <v>6.0000000000000001E-3</v>
      </c>
      <c r="AG3737" s="508">
        <v>6.0000000000000001E-3</v>
      </c>
      <c r="AH3737" s="508">
        <v>6.0000000000000001E-3</v>
      </c>
      <c r="AI3737" s="492">
        <v>6.0000000000000001E-3</v>
      </c>
      <c r="AJ3737" s="485"/>
    </row>
    <row r="3738" spans="2:36">
      <c r="B3738" s="136" t="s">
        <v>480</v>
      </c>
      <c r="C3738" s="132" t="s">
        <v>1364</v>
      </c>
      <c r="D3738" s="132" t="s">
        <v>284</v>
      </c>
      <c r="E3738" s="508">
        <v>0.66900000000000004</v>
      </c>
      <c r="F3738" s="508">
        <v>0.73599999999999999</v>
      </c>
      <c r="G3738" s="508">
        <v>0.35</v>
      </c>
      <c r="H3738" s="508">
        <v>0.155</v>
      </c>
      <c r="I3738" s="508">
        <v>0.19900000000000001</v>
      </c>
      <c r="J3738" s="508">
        <v>0.72299999999999998</v>
      </c>
      <c r="K3738" s="508">
        <v>0.38800000000000001</v>
      </c>
      <c r="L3738" s="508">
        <v>9.7000000000000003E-2</v>
      </c>
      <c r="M3738" s="508">
        <v>0.36299999999999999</v>
      </c>
      <c r="N3738" s="508">
        <v>0.32700000000000001</v>
      </c>
      <c r="O3738" s="508">
        <v>0.45500000000000002</v>
      </c>
      <c r="P3738" s="508">
        <v>0.44700000000000001</v>
      </c>
      <c r="Q3738" s="508">
        <v>0.51400000000000001</v>
      </c>
      <c r="R3738" s="508">
        <v>0.14899999999999999</v>
      </c>
      <c r="S3738" s="508">
        <v>0.29599999999999999</v>
      </c>
      <c r="T3738" s="508">
        <v>0.222</v>
      </c>
      <c r="U3738" s="508">
        <v>0.25</v>
      </c>
      <c r="V3738" s="508">
        <v>0.16</v>
      </c>
      <c r="W3738" s="508">
        <v>0.13300000000000001</v>
      </c>
      <c r="X3738" s="508">
        <v>0.13400000000000001</v>
      </c>
      <c r="Y3738" s="508">
        <v>0.15</v>
      </c>
      <c r="Z3738" s="508">
        <v>0.16600000000000001</v>
      </c>
      <c r="AA3738" s="508">
        <v>1.2E-2</v>
      </c>
      <c r="AB3738" s="508">
        <v>1.2E-2</v>
      </c>
      <c r="AC3738" s="508">
        <v>0.01</v>
      </c>
      <c r="AD3738" s="508">
        <v>8.9999999999999993E-3</v>
      </c>
      <c r="AE3738" s="508">
        <v>0.01</v>
      </c>
      <c r="AF3738" s="508">
        <v>6.0000000000000001E-3</v>
      </c>
      <c r="AG3738" s="508">
        <v>6.0000000000000001E-3</v>
      </c>
      <c r="AH3738" s="508">
        <v>6.0000000000000001E-3</v>
      </c>
      <c r="AI3738" s="492">
        <v>6.0000000000000001E-3</v>
      </c>
      <c r="AJ3738" s="485"/>
    </row>
    <row r="3739" spans="2:36">
      <c r="B3739" s="136" t="s">
        <v>481</v>
      </c>
      <c r="C3739" s="132" t="s">
        <v>1364</v>
      </c>
      <c r="D3739" s="132" t="s">
        <v>284</v>
      </c>
      <c r="E3739" s="508">
        <v>0.68600000000000005</v>
      </c>
      <c r="F3739" s="508">
        <v>0.755</v>
      </c>
      <c r="G3739" s="508">
        <v>0.35799999999999998</v>
      </c>
      <c r="H3739" s="508">
        <v>0.16300000000000001</v>
      </c>
      <c r="I3739" s="508">
        <v>0.21099999999999999</v>
      </c>
      <c r="J3739" s="508">
        <v>0.77500000000000002</v>
      </c>
      <c r="K3739" s="508">
        <v>0.40400000000000003</v>
      </c>
      <c r="L3739" s="508">
        <v>0.10100000000000001</v>
      </c>
      <c r="M3739" s="508">
        <v>0.378</v>
      </c>
      <c r="N3739" s="508">
        <v>0.36699999999999999</v>
      </c>
      <c r="O3739" s="508">
        <v>0.51300000000000001</v>
      </c>
      <c r="P3739" s="508">
        <v>0.504</v>
      </c>
      <c r="Q3739" s="508">
        <v>0.58099999999999996</v>
      </c>
      <c r="R3739" s="508">
        <v>0.157</v>
      </c>
      <c r="S3739" s="508">
        <v>0.314</v>
      </c>
      <c r="T3739" s="508">
        <v>0.23499999999999999</v>
      </c>
      <c r="U3739" s="508">
        <v>0.26500000000000001</v>
      </c>
      <c r="V3739" s="508">
        <v>0.17</v>
      </c>
      <c r="W3739" s="508">
        <v>0.14099999999999999</v>
      </c>
      <c r="X3739" s="508">
        <v>0.14199999999999999</v>
      </c>
      <c r="Y3739" s="508">
        <v>0.159</v>
      </c>
      <c r="Z3739" s="508">
        <v>0.17499999999999999</v>
      </c>
      <c r="AA3739" s="508">
        <v>1.2E-2</v>
      </c>
      <c r="AB3739" s="508">
        <v>1.2E-2</v>
      </c>
      <c r="AC3739" s="508">
        <v>1.0999999999999999E-2</v>
      </c>
      <c r="AD3739" s="508">
        <v>8.9999999999999993E-3</v>
      </c>
      <c r="AE3739" s="508">
        <v>0.01</v>
      </c>
      <c r="AF3739" s="508">
        <v>6.0000000000000001E-3</v>
      </c>
      <c r="AG3739" s="508">
        <v>6.0000000000000001E-3</v>
      </c>
      <c r="AH3739" s="508">
        <v>6.0000000000000001E-3</v>
      </c>
      <c r="AI3739" s="492">
        <v>6.0000000000000001E-3</v>
      </c>
      <c r="AJ3739" s="485"/>
    </row>
    <row r="3740" spans="2:36">
      <c r="B3740" s="136" t="s">
        <v>482</v>
      </c>
      <c r="C3740" s="132" t="s">
        <v>1364</v>
      </c>
      <c r="D3740" s="132" t="s">
        <v>284</v>
      </c>
      <c r="E3740" s="508">
        <v>0.68500000000000005</v>
      </c>
      <c r="F3740" s="508">
        <v>0.753</v>
      </c>
      <c r="G3740" s="508">
        <v>0.35699999999999998</v>
      </c>
      <c r="H3740" s="508">
        <v>0.16300000000000001</v>
      </c>
      <c r="I3740" s="508">
        <v>0.21</v>
      </c>
      <c r="J3740" s="508">
        <v>0.77</v>
      </c>
      <c r="K3740" s="508">
        <v>0.40200000000000002</v>
      </c>
      <c r="L3740" s="508">
        <v>0.10100000000000001</v>
      </c>
      <c r="M3740" s="508">
        <v>0.376</v>
      </c>
      <c r="N3740" s="508">
        <v>0.36399999999999999</v>
      </c>
      <c r="O3740" s="508">
        <v>0.50900000000000001</v>
      </c>
      <c r="P3740" s="508">
        <v>0.5</v>
      </c>
      <c r="Q3740" s="508">
        <v>0.57499999999999996</v>
      </c>
      <c r="R3740" s="508">
        <v>0.157</v>
      </c>
      <c r="S3740" s="508">
        <v>0.312</v>
      </c>
      <c r="T3740" s="508">
        <v>0.23400000000000001</v>
      </c>
      <c r="U3740" s="508">
        <v>0.26300000000000001</v>
      </c>
      <c r="V3740" s="508">
        <v>0.16900000000000001</v>
      </c>
      <c r="W3740" s="508">
        <v>0.14099999999999999</v>
      </c>
      <c r="X3740" s="508">
        <v>0.14099999999999999</v>
      </c>
      <c r="Y3740" s="508">
        <v>0.158</v>
      </c>
      <c r="Z3740" s="508">
        <v>0.17399999999999999</v>
      </c>
      <c r="AA3740" s="508">
        <v>1.2E-2</v>
      </c>
      <c r="AB3740" s="508">
        <v>1.2E-2</v>
      </c>
      <c r="AC3740" s="508">
        <v>1.0999999999999999E-2</v>
      </c>
      <c r="AD3740" s="508">
        <v>8.9999999999999993E-3</v>
      </c>
      <c r="AE3740" s="508">
        <v>0.01</v>
      </c>
      <c r="AF3740" s="508">
        <v>6.0000000000000001E-3</v>
      </c>
      <c r="AG3740" s="508">
        <v>6.0000000000000001E-3</v>
      </c>
      <c r="AH3740" s="508">
        <v>6.0000000000000001E-3</v>
      </c>
      <c r="AI3740" s="492">
        <v>6.0000000000000001E-3</v>
      </c>
      <c r="AJ3740" s="485"/>
    </row>
    <row r="3741" spans="2:36">
      <c r="B3741" s="136" t="s">
        <v>483</v>
      </c>
      <c r="C3741" s="132" t="s">
        <v>1364</v>
      </c>
      <c r="D3741" s="132" t="s">
        <v>284</v>
      </c>
      <c r="E3741" s="508">
        <v>0.69399999999999995</v>
      </c>
      <c r="F3741" s="508">
        <v>0.76300000000000001</v>
      </c>
      <c r="G3741" s="508">
        <v>0.36199999999999999</v>
      </c>
      <c r="H3741" s="508">
        <v>0.16800000000000001</v>
      </c>
      <c r="I3741" s="508">
        <v>0.216</v>
      </c>
      <c r="J3741" s="508">
        <v>0.79900000000000004</v>
      </c>
      <c r="K3741" s="508">
        <v>0.41099999999999998</v>
      </c>
      <c r="L3741" s="508">
        <v>0.10299999999999999</v>
      </c>
      <c r="M3741" s="508">
        <v>0.38400000000000001</v>
      </c>
      <c r="N3741" s="508">
        <v>0.38500000000000001</v>
      </c>
      <c r="O3741" s="508">
        <v>0.54100000000000004</v>
      </c>
      <c r="P3741" s="508">
        <v>0.53100000000000003</v>
      </c>
      <c r="Q3741" s="508">
        <v>0.61199999999999999</v>
      </c>
      <c r="R3741" s="508">
        <v>0.161</v>
      </c>
      <c r="S3741" s="508">
        <v>0.32200000000000001</v>
      </c>
      <c r="T3741" s="508">
        <v>0.24099999999999999</v>
      </c>
      <c r="U3741" s="508">
        <v>0.27100000000000002</v>
      </c>
      <c r="V3741" s="508">
        <v>0.17399999999999999</v>
      </c>
      <c r="W3741" s="508">
        <v>0.14499999999999999</v>
      </c>
      <c r="X3741" s="508">
        <v>0.14499999999999999</v>
      </c>
      <c r="Y3741" s="508">
        <v>0.16300000000000001</v>
      </c>
      <c r="Z3741" s="508">
        <v>0.18</v>
      </c>
      <c r="AA3741" s="508">
        <v>1.2999999999999999E-2</v>
      </c>
      <c r="AB3741" s="508">
        <v>1.2999999999999999E-2</v>
      </c>
      <c r="AC3741" s="508">
        <v>1.0999999999999999E-2</v>
      </c>
      <c r="AD3741" s="508">
        <v>8.9999999999999993E-3</v>
      </c>
      <c r="AE3741" s="508">
        <v>1.0999999999999999E-2</v>
      </c>
      <c r="AF3741" s="508">
        <v>7.0000000000000001E-3</v>
      </c>
      <c r="AG3741" s="508">
        <v>7.0000000000000001E-3</v>
      </c>
      <c r="AH3741" s="508">
        <v>6.0000000000000001E-3</v>
      </c>
      <c r="AI3741" s="492">
        <v>6.0000000000000001E-3</v>
      </c>
      <c r="AJ3741" s="485"/>
    </row>
    <row r="3742" spans="2:36">
      <c r="B3742" s="136" t="s">
        <v>484</v>
      </c>
      <c r="C3742" s="132" t="s">
        <v>1364</v>
      </c>
      <c r="D3742" s="132" t="s">
        <v>284</v>
      </c>
      <c r="E3742" s="508">
        <v>0.67100000000000004</v>
      </c>
      <c r="F3742" s="508">
        <v>0.73799999999999999</v>
      </c>
      <c r="G3742" s="508">
        <v>0.34899999999999998</v>
      </c>
      <c r="H3742" s="508">
        <v>0.155</v>
      </c>
      <c r="I3742" s="508">
        <v>0.19900000000000001</v>
      </c>
      <c r="J3742" s="508">
        <v>0.72599999999999998</v>
      </c>
      <c r="K3742" s="508">
        <v>0.39</v>
      </c>
      <c r="L3742" s="508">
        <v>9.7000000000000003E-2</v>
      </c>
      <c r="M3742" s="508">
        <v>0.36399999999999999</v>
      </c>
      <c r="N3742" s="508">
        <v>0.32900000000000001</v>
      </c>
      <c r="O3742" s="508">
        <v>0.45800000000000002</v>
      </c>
      <c r="P3742" s="508">
        <v>0.44900000000000001</v>
      </c>
      <c r="Q3742" s="508">
        <v>0.51700000000000002</v>
      </c>
      <c r="R3742" s="508">
        <v>0.14899999999999999</v>
      </c>
      <c r="S3742" s="508">
        <v>0.29699999999999999</v>
      </c>
      <c r="T3742" s="508">
        <v>0.223</v>
      </c>
      <c r="U3742" s="508">
        <v>0.25</v>
      </c>
      <c r="V3742" s="508">
        <v>0.161</v>
      </c>
      <c r="W3742" s="508">
        <v>0.13400000000000001</v>
      </c>
      <c r="X3742" s="508">
        <v>0.13400000000000001</v>
      </c>
      <c r="Y3742" s="508">
        <v>0.15</v>
      </c>
      <c r="Z3742" s="508">
        <v>0.16600000000000001</v>
      </c>
      <c r="AA3742" s="508">
        <v>1.2E-2</v>
      </c>
      <c r="AB3742" s="508">
        <v>1.2E-2</v>
      </c>
      <c r="AC3742" s="508">
        <v>0.01</v>
      </c>
      <c r="AD3742" s="508">
        <v>8.9999999999999993E-3</v>
      </c>
      <c r="AE3742" s="508">
        <v>0.01</v>
      </c>
      <c r="AF3742" s="508">
        <v>6.0000000000000001E-3</v>
      </c>
      <c r="AG3742" s="508">
        <v>6.0000000000000001E-3</v>
      </c>
      <c r="AH3742" s="508">
        <v>6.0000000000000001E-3</v>
      </c>
      <c r="AI3742" s="492">
        <v>6.0000000000000001E-3</v>
      </c>
      <c r="AJ3742" s="485"/>
    </row>
    <row r="3743" spans="2:36">
      <c r="B3743" s="136" t="s">
        <v>486</v>
      </c>
      <c r="C3743" s="132" t="s">
        <v>1364</v>
      </c>
      <c r="D3743" s="132" t="s">
        <v>284</v>
      </c>
      <c r="E3743" s="508">
        <v>0.68700000000000006</v>
      </c>
      <c r="F3743" s="508">
        <v>0.755</v>
      </c>
      <c r="G3743" s="508">
        <v>0.35799999999999998</v>
      </c>
      <c r="H3743" s="508">
        <v>0.16400000000000001</v>
      </c>
      <c r="I3743" s="508">
        <v>0.21099999999999999</v>
      </c>
      <c r="J3743" s="508">
        <v>0.77600000000000002</v>
      </c>
      <c r="K3743" s="508">
        <v>0.40400000000000003</v>
      </c>
      <c r="L3743" s="508">
        <v>0.10100000000000001</v>
      </c>
      <c r="M3743" s="508">
        <v>0.378</v>
      </c>
      <c r="N3743" s="508">
        <v>0.36799999999999999</v>
      </c>
      <c r="O3743" s="508">
        <v>0.51500000000000001</v>
      </c>
      <c r="P3743" s="508">
        <v>0.50600000000000001</v>
      </c>
      <c r="Q3743" s="508">
        <v>0.58199999999999996</v>
      </c>
      <c r="R3743" s="508">
        <v>0.157</v>
      </c>
      <c r="S3743" s="508">
        <v>0.314</v>
      </c>
      <c r="T3743" s="508">
        <v>0.23499999999999999</v>
      </c>
      <c r="U3743" s="508">
        <v>0.26500000000000001</v>
      </c>
      <c r="V3743" s="508">
        <v>0.17</v>
      </c>
      <c r="W3743" s="508">
        <v>0.14099999999999999</v>
      </c>
      <c r="X3743" s="508">
        <v>0.14199999999999999</v>
      </c>
      <c r="Y3743" s="508">
        <v>0.159</v>
      </c>
      <c r="Z3743" s="508">
        <v>0.17499999999999999</v>
      </c>
      <c r="AA3743" s="508">
        <v>1.2E-2</v>
      </c>
      <c r="AB3743" s="508">
        <v>1.2E-2</v>
      </c>
      <c r="AC3743" s="508">
        <v>1.0999999999999999E-2</v>
      </c>
      <c r="AD3743" s="508">
        <v>8.9999999999999993E-3</v>
      </c>
      <c r="AE3743" s="508">
        <v>0.01</v>
      </c>
      <c r="AF3743" s="508">
        <v>6.0000000000000001E-3</v>
      </c>
      <c r="AG3743" s="508">
        <v>6.0000000000000001E-3</v>
      </c>
      <c r="AH3743" s="508">
        <v>6.0000000000000001E-3</v>
      </c>
      <c r="AI3743" s="492">
        <v>6.0000000000000001E-3</v>
      </c>
      <c r="AJ3743" s="485"/>
    </row>
    <row r="3744" spans="2:36">
      <c r="B3744" s="136" t="s">
        <v>487</v>
      </c>
      <c r="C3744" s="132" t="s">
        <v>1364</v>
      </c>
      <c r="D3744" s="132" t="s">
        <v>284</v>
      </c>
      <c r="E3744" s="508">
        <v>0.68600000000000005</v>
      </c>
      <c r="F3744" s="508">
        <v>0.754</v>
      </c>
      <c r="G3744" s="508">
        <v>0.35899999999999999</v>
      </c>
      <c r="H3744" s="508">
        <v>0.16400000000000001</v>
      </c>
      <c r="I3744" s="508">
        <v>0.21099999999999999</v>
      </c>
      <c r="J3744" s="508">
        <v>0.77500000000000002</v>
      </c>
      <c r="K3744" s="508">
        <v>0.40300000000000002</v>
      </c>
      <c r="L3744" s="508">
        <v>0.10199999999999999</v>
      </c>
      <c r="M3744" s="508">
        <v>0.377</v>
      </c>
      <c r="N3744" s="508">
        <v>0.36799999999999999</v>
      </c>
      <c r="O3744" s="508">
        <v>0.51600000000000001</v>
      </c>
      <c r="P3744" s="508">
        <v>0.50600000000000001</v>
      </c>
      <c r="Q3744" s="508">
        <v>0.58299999999999996</v>
      </c>
      <c r="R3744" s="508">
        <v>0.158</v>
      </c>
      <c r="S3744" s="508">
        <v>0.314</v>
      </c>
      <c r="T3744" s="508">
        <v>0.23599999999999999</v>
      </c>
      <c r="U3744" s="508">
        <v>0.26500000000000001</v>
      </c>
      <c r="V3744" s="508">
        <v>0.17</v>
      </c>
      <c r="W3744" s="508">
        <v>0.14199999999999999</v>
      </c>
      <c r="X3744" s="508">
        <v>0.14199999999999999</v>
      </c>
      <c r="Y3744" s="508">
        <v>0.159</v>
      </c>
      <c r="Z3744" s="508">
        <v>0.17499999999999999</v>
      </c>
      <c r="AA3744" s="508">
        <v>1.2E-2</v>
      </c>
      <c r="AB3744" s="508">
        <v>1.2E-2</v>
      </c>
      <c r="AC3744" s="508">
        <v>1.0999999999999999E-2</v>
      </c>
      <c r="AD3744" s="508">
        <v>8.9999999999999993E-3</v>
      </c>
      <c r="AE3744" s="508">
        <v>0.01</v>
      </c>
      <c r="AF3744" s="508">
        <v>6.0000000000000001E-3</v>
      </c>
      <c r="AG3744" s="508">
        <v>6.0000000000000001E-3</v>
      </c>
      <c r="AH3744" s="508">
        <v>6.0000000000000001E-3</v>
      </c>
      <c r="AI3744" s="492">
        <v>6.0000000000000001E-3</v>
      </c>
      <c r="AJ3744" s="485"/>
    </row>
    <row r="3745" spans="2:36">
      <c r="B3745" s="136" t="s">
        <v>488</v>
      </c>
      <c r="C3745" s="132" t="s">
        <v>1364</v>
      </c>
      <c r="D3745" s="132" t="s">
        <v>284</v>
      </c>
      <c r="E3745" s="508">
        <v>0.67500000000000004</v>
      </c>
      <c r="F3745" s="508">
        <v>0.74199999999999999</v>
      </c>
      <c r="G3745" s="508">
        <v>0.35199999999999998</v>
      </c>
      <c r="H3745" s="508">
        <v>0.157</v>
      </c>
      <c r="I3745" s="508">
        <v>0.20200000000000001</v>
      </c>
      <c r="J3745" s="508">
        <v>0.73799999999999999</v>
      </c>
      <c r="K3745" s="508">
        <v>0.39300000000000002</v>
      </c>
      <c r="L3745" s="508">
        <v>9.8000000000000004E-2</v>
      </c>
      <c r="M3745" s="508">
        <v>0.36699999999999999</v>
      </c>
      <c r="N3745" s="508">
        <v>0.33900000000000002</v>
      </c>
      <c r="O3745" s="508">
        <v>0.47199999999999998</v>
      </c>
      <c r="P3745" s="508">
        <v>0.46300000000000002</v>
      </c>
      <c r="Q3745" s="508">
        <v>0.53300000000000003</v>
      </c>
      <c r="R3745" s="508">
        <v>0.151</v>
      </c>
      <c r="S3745" s="508">
        <v>0.30099999999999999</v>
      </c>
      <c r="T3745" s="508">
        <v>0.22600000000000001</v>
      </c>
      <c r="U3745" s="508">
        <v>0.254</v>
      </c>
      <c r="V3745" s="508">
        <v>0.16300000000000001</v>
      </c>
      <c r="W3745" s="508">
        <v>0.13600000000000001</v>
      </c>
      <c r="X3745" s="508">
        <v>0.13600000000000001</v>
      </c>
      <c r="Y3745" s="508">
        <v>0.152</v>
      </c>
      <c r="Z3745" s="508">
        <v>0.16800000000000001</v>
      </c>
      <c r="AA3745" s="508">
        <v>1.2E-2</v>
      </c>
      <c r="AB3745" s="508">
        <v>1.2E-2</v>
      </c>
      <c r="AC3745" s="508">
        <v>0.01</v>
      </c>
      <c r="AD3745" s="508">
        <v>8.9999999999999993E-3</v>
      </c>
      <c r="AE3745" s="508">
        <v>0.01</v>
      </c>
      <c r="AF3745" s="508">
        <v>6.0000000000000001E-3</v>
      </c>
      <c r="AG3745" s="508">
        <v>6.0000000000000001E-3</v>
      </c>
      <c r="AH3745" s="508">
        <v>6.0000000000000001E-3</v>
      </c>
      <c r="AI3745" s="492">
        <v>6.0000000000000001E-3</v>
      </c>
      <c r="AJ3745" s="485"/>
    </row>
    <row r="3746" spans="2:36">
      <c r="B3746" s="136" t="s">
        <v>489</v>
      </c>
      <c r="C3746" s="132" t="s">
        <v>1364</v>
      </c>
      <c r="D3746" s="132" t="s">
        <v>284</v>
      </c>
      <c r="E3746" s="508">
        <v>0.68100000000000005</v>
      </c>
      <c r="F3746" s="508">
        <v>0.748</v>
      </c>
      <c r="G3746" s="508">
        <v>0.35399999999999998</v>
      </c>
      <c r="H3746" s="508">
        <v>0.16</v>
      </c>
      <c r="I3746" s="508">
        <v>0.20599999999999999</v>
      </c>
      <c r="J3746" s="508">
        <v>0.75600000000000001</v>
      </c>
      <c r="K3746" s="508">
        <v>0.39800000000000002</v>
      </c>
      <c r="L3746" s="508">
        <v>9.9000000000000005E-2</v>
      </c>
      <c r="M3746" s="508">
        <v>0.373</v>
      </c>
      <c r="N3746" s="508">
        <v>0.35199999999999998</v>
      </c>
      <c r="O3746" s="508">
        <v>0.49099999999999999</v>
      </c>
      <c r="P3746" s="508">
        <v>0.48199999999999998</v>
      </c>
      <c r="Q3746" s="508">
        <v>0.55500000000000005</v>
      </c>
      <c r="R3746" s="508">
        <v>0.154</v>
      </c>
      <c r="S3746" s="508">
        <v>0.307</v>
      </c>
      <c r="T3746" s="508">
        <v>0.23</v>
      </c>
      <c r="U3746" s="508">
        <v>0.25900000000000001</v>
      </c>
      <c r="V3746" s="508">
        <v>0.16600000000000001</v>
      </c>
      <c r="W3746" s="508">
        <v>0.13800000000000001</v>
      </c>
      <c r="X3746" s="508">
        <v>0.13900000000000001</v>
      </c>
      <c r="Y3746" s="508">
        <v>0.155</v>
      </c>
      <c r="Z3746" s="508">
        <v>0.17100000000000001</v>
      </c>
      <c r="AA3746" s="508">
        <v>1.2E-2</v>
      </c>
      <c r="AB3746" s="508">
        <v>1.2E-2</v>
      </c>
      <c r="AC3746" s="508">
        <v>1.0999999999999999E-2</v>
      </c>
      <c r="AD3746" s="508">
        <v>8.9999999999999993E-3</v>
      </c>
      <c r="AE3746" s="508">
        <v>0.01</v>
      </c>
      <c r="AF3746" s="508">
        <v>6.0000000000000001E-3</v>
      </c>
      <c r="AG3746" s="508">
        <v>6.0000000000000001E-3</v>
      </c>
      <c r="AH3746" s="508">
        <v>6.0000000000000001E-3</v>
      </c>
      <c r="AI3746" s="492">
        <v>6.0000000000000001E-3</v>
      </c>
      <c r="AJ3746" s="485"/>
    </row>
    <row r="3747" spans="2:36">
      <c r="B3747" s="136" t="s">
        <v>490</v>
      </c>
      <c r="C3747" s="132" t="s">
        <v>1364</v>
      </c>
      <c r="D3747" s="132" t="s">
        <v>284</v>
      </c>
      <c r="E3747" s="508">
        <v>0.67100000000000004</v>
      </c>
      <c r="F3747" s="508">
        <v>0.73799999999999999</v>
      </c>
      <c r="G3747" s="508">
        <v>0.35099999999999998</v>
      </c>
      <c r="H3747" s="508">
        <v>0.156</v>
      </c>
      <c r="I3747" s="508">
        <v>0.2</v>
      </c>
      <c r="J3747" s="508">
        <v>0.72899999999999998</v>
      </c>
      <c r="K3747" s="508">
        <v>0.39</v>
      </c>
      <c r="L3747" s="508">
        <v>9.8000000000000004E-2</v>
      </c>
      <c r="M3747" s="508">
        <v>0.36399999999999999</v>
      </c>
      <c r="N3747" s="508">
        <v>0.33300000000000002</v>
      </c>
      <c r="O3747" s="508">
        <v>0.46300000000000002</v>
      </c>
      <c r="P3747" s="508">
        <v>0.45400000000000001</v>
      </c>
      <c r="Q3747" s="508">
        <v>0.52300000000000002</v>
      </c>
      <c r="R3747" s="508">
        <v>0.15</v>
      </c>
      <c r="S3747" s="508">
        <v>0.29899999999999999</v>
      </c>
      <c r="T3747" s="508">
        <v>0.224</v>
      </c>
      <c r="U3747" s="508">
        <v>0.252</v>
      </c>
      <c r="V3747" s="508">
        <v>0.16200000000000001</v>
      </c>
      <c r="W3747" s="508">
        <v>0.13500000000000001</v>
      </c>
      <c r="X3747" s="508">
        <v>0.13500000000000001</v>
      </c>
      <c r="Y3747" s="508">
        <v>0.151</v>
      </c>
      <c r="Z3747" s="508">
        <v>0.16700000000000001</v>
      </c>
      <c r="AA3747" s="508">
        <v>1.2E-2</v>
      </c>
      <c r="AB3747" s="508">
        <v>1.2E-2</v>
      </c>
      <c r="AC3747" s="508">
        <v>0.01</v>
      </c>
      <c r="AD3747" s="508">
        <v>8.9999999999999993E-3</v>
      </c>
      <c r="AE3747" s="508">
        <v>0.01</v>
      </c>
      <c r="AF3747" s="508">
        <v>6.0000000000000001E-3</v>
      </c>
      <c r="AG3747" s="508">
        <v>6.0000000000000001E-3</v>
      </c>
      <c r="AH3747" s="508">
        <v>6.0000000000000001E-3</v>
      </c>
      <c r="AI3747" s="492">
        <v>6.0000000000000001E-3</v>
      </c>
      <c r="AJ3747" s="485"/>
    </row>
    <row r="3748" spans="2:36">
      <c r="B3748" s="136" t="s">
        <v>435</v>
      </c>
      <c r="C3748" s="132" t="s">
        <v>1365</v>
      </c>
      <c r="D3748" s="132" t="s">
        <v>284</v>
      </c>
      <c r="E3748" s="508">
        <v>8.4000000000000005E-2</v>
      </c>
      <c r="F3748" s="508">
        <v>7.6999999999999999E-2</v>
      </c>
      <c r="G3748" s="508">
        <v>7.5999999999999998E-2</v>
      </c>
      <c r="H3748" s="508">
        <v>6.5000000000000002E-2</v>
      </c>
      <c r="I3748" s="508">
        <v>6.6000000000000003E-2</v>
      </c>
      <c r="J3748" s="508">
        <v>6.8000000000000005E-2</v>
      </c>
      <c r="K3748" s="508">
        <v>4.1000000000000002E-2</v>
      </c>
      <c r="L3748" s="508">
        <v>0.04</v>
      </c>
      <c r="M3748" s="508">
        <v>3.9E-2</v>
      </c>
      <c r="N3748" s="508">
        <v>4.3999999999999997E-2</v>
      </c>
      <c r="O3748" s="508">
        <v>3.5000000000000003E-2</v>
      </c>
      <c r="P3748" s="508">
        <v>2.4E-2</v>
      </c>
      <c r="Q3748" s="508">
        <v>2.5999999999999999E-2</v>
      </c>
      <c r="R3748" s="508">
        <v>2.1000000000000001E-2</v>
      </c>
      <c r="S3748" s="508">
        <v>1.7999999999999999E-2</v>
      </c>
      <c r="T3748" s="508">
        <v>1.7999999999999999E-2</v>
      </c>
      <c r="U3748" s="508">
        <v>1.2E-2</v>
      </c>
      <c r="V3748" s="508">
        <v>1.0999999999999999E-2</v>
      </c>
      <c r="W3748" s="508">
        <v>1.0999999999999999E-2</v>
      </c>
      <c r="X3748" s="508">
        <v>0.01</v>
      </c>
      <c r="Y3748" s="508">
        <v>0.01</v>
      </c>
      <c r="Z3748" s="508">
        <v>8.0000000000000002E-3</v>
      </c>
      <c r="AA3748" s="508">
        <v>8.0000000000000002E-3</v>
      </c>
      <c r="AB3748" s="508">
        <v>7.0000000000000001E-3</v>
      </c>
      <c r="AC3748" s="508">
        <v>7.0000000000000001E-3</v>
      </c>
      <c r="AD3748" s="508">
        <v>6.0000000000000001E-3</v>
      </c>
      <c r="AE3748" s="508">
        <v>6.0000000000000001E-3</v>
      </c>
      <c r="AF3748" s="508">
        <v>4.0000000000000001E-3</v>
      </c>
      <c r="AG3748" s="508">
        <v>4.0000000000000001E-3</v>
      </c>
      <c r="AH3748" s="508">
        <v>4.0000000000000001E-3</v>
      </c>
      <c r="AI3748" s="492">
        <v>4.0000000000000001E-3</v>
      </c>
      <c r="AJ3748" s="485"/>
    </row>
    <row r="3749" spans="2:36">
      <c r="B3749" s="136" t="s">
        <v>436</v>
      </c>
      <c r="C3749" s="132" t="s">
        <v>1365</v>
      </c>
      <c r="D3749" s="132" t="s">
        <v>284</v>
      </c>
      <c r="E3749" s="508">
        <v>0.25800000000000001</v>
      </c>
      <c r="F3749" s="508">
        <v>0.23899999999999999</v>
      </c>
      <c r="G3749" s="508">
        <v>0.23499999999999999</v>
      </c>
      <c r="H3749" s="508">
        <v>0.19900000000000001</v>
      </c>
      <c r="I3749" s="508">
        <v>0.2</v>
      </c>
      <c r="J3749" s="508">
        <v>0.20499999999999999</v>
      </c>
      <c r="K3749" s="508">
        <v>0.13</v>
      </c>
      <c r="L3749" s="508">
        <v>0.127</v>
      </c>
      <c r="M3749" s="508">
        <v>0.123</v>
      </c>
      <c r="N3749" s="508">
        <v>0.13</v>
      </c>
      <c r="O3749" s="508">
        <v>0.108</v>
      </c>
      <c r="P3749" s="508">
        <v>7.2999999999999995E-2</v>
      </c>
      <c r="Q3749" s="508">
        <v>7.6999999999999999E-2</v>
      </c>
      <c r="R3749" s="508">
        <v>6.2E-2</v>
      </c>
      <c r="S3749" s="508">
        <v>5.6000000000000001E-2</v>
      </c>
      <c r="T3749" s="508">
        <v>5.6000000000000001E-2</v>
      </c>
      <c r="U3749" s="508">
        <v>3.3000000000000002E-2</v>
      </c>
      <c r="V3749" s="508">
        <v>2.9000000000000001E-2</v>
      </c>
      <c r="W3749" s="508">
        <v>2.9000000000000001E-2</v>
      </c>
      <c r="X3749" s="508">
        <v>1.6E-2</v>
      </c>
      <c r="Y3749" s="508">
        <v>1.4999999999999999E-2</v>
      </c>
      <c r="Z3749" s="508">
        <v>1.2E-2</v>
      </c>
      <c r="AA3749" s="508">
        <v>1.2E-2</v>
      </c>
      <c r="AB3749" s="508">
        <v>1.0999999999999999E-2</v>
      </c>
      <c r="AC3749" s="508">
        <v>0.01</v>
      </c>
      <c r="AD3749" s="508">
        <v>8.9999999999999993E-3</v>
      </c>
      <c r="AE3749" s="508">
        <v>8.0000000000000002E-3</v>
      </c>
      <c r="AF3749" s="508">
        <v>5.0000000000000001E-3</v>
      </c>
      <c r="AG3749" s="508">
        <v>5.0000000000000001E-3</v>
      </c>
      <c r="AH3749" s="508">
        <v>5.0000000000000001E-3</v>
      </c>
      <c r="AI3749" s="492">
        <v>5.0000000000000001E-3</v>
      </c>
      <c r="AJ3749" s="485"/>
    </row>
    <row r="3750" spans="2:36">
      <c r="B3750" s="136" t="s">
        <v>437</v>
      </c>
      <c r="C3750" s="132" t="s">
        <v>1365</v>
      </c>
      <c r="D3750" s="132" t="s">
        <v>284</v>
      </c>
      <c r="E3750" s="508">
        <v>7.1999999999999995E-2</v>
      </c>
      <c r="F3750" s="508">
        <v>6.8000000000000005E-2</v>
      </c>
      <c r="G3750" s="508">
        <v>6.6000000000000003E-2</v>
      </c>
      <c r="H3750" s="508">
        <v>5.6000000000000001E-2</v>
      </c>
      <c r="I3750" s="508">
        <v>5.6000000000000001E-2</v>
      </c>
      <c r="J3750" s="508">
        <v>5.8999999999999997E-2</v>
      </c>
      <c r="K3750" s="508">
        <v>3.5999999999999997E-2</v>
      </c>
      <c r="L3750" s="508">
        <v>3.5000000000000003E-2</v>
      </c>
      <c r="M3750" s="508">
        <v>3.4000000000000002E-2</v>
      </c>
      <c r="N3750" s="508">
        <v>3.5999999999999997E-2</v>
      </c>
      <c r="O3750" s="508">
        <v>3.1E-2</v>
      </c>
      <c r="P3750" s="508">
        <v>2.1000000000000001E-2</v>
      </c>
      <c r="Q3750" s="508">
        <v>2.1999999999999999E-2</v>
      </c>
      <c r="R3750" s="508">
        <v>1.7999999999999999E-2</v>
      </c>
      <c r="S3750" s="508">
        <v>1.7000000000000001E-2</v>
      </c>
      <c r="T3750" s="508">
        <v>1.7000000000000001E-2</v>
      </c>
      <c r="U3750" s="508">
        <v>0.01</v>
      </c>
      <c r="V3750" s="508">
        <v>8.0000000000000002E-3</v>
      </c>
      <c r="W3750" s="508">
        <v>8.0000000000000002E-3</v>
      </c>
      <c r="X3750" s="508">
        <v>8.0000000000000002E-3</v>
      </c>
      <c r="Y3750" s="508">
        <v>8.0000000000000002E-3</v>
      </c>
      <c r="Z3750" s="508">
        <v>7.0000000000000001E-3</v>
      </c>
      <c r="AA3750" s="508">
        <v>7.0000000000000001E-3</v>
      </c>
      <c r="AB3750" s="508">
        <v>6.0000000000000001E-3</v>
      </c>
      <c r="AC3750" s="508">
        <v>6.0000000000000001E-3</v>
      </c>
      <c r="AD3750" s="508">
        <v>5.0000000000000001E-3</v>
      </c>
      <c r="AE3750" s="508">
        <v>5.0000000000000001E-3</v>
      </c>
      <c r="AF3750" s="508">
        <v>3.0000000000000001E-3</v>
      </c>
      <c r="AG3750" s="508">
        <v>3.0000000000000001E-3</v>
      </c>
      <c r="AH3750" s="508">
        <v>3.0000000000000001E-3</v>
      </c>
      <c r="AI3750" s="492">
        <v>3.0000000000000001E-3</v>
      </c>
      <c r="AJ3750" s="485"/>
    </row>
    <row r="3751" spans="2:36">
      <c r="B3751" s="136" t="s">
        <v>438</v>
      </c>
      <c r="C3751" s="132" t="s">
        <v>1365</v>
      </c>
      <c r="D3751" s="132" t="s">
        <v>284</v>
      </c>
      <c r="E3751" s="508">
        <v>9.1999999999999998E-2</v>
      </c>
      <c r="F3751" s="508">
        <v>8.6999999999999994E-2</v>
      </c>
      <c r="G3751" s="508">
        <v>8.5000000000000006E-2</v>
      </c>
      <c r="H3751" s="508">
        <v>7.1999999999999995E-2</v>
      </c>
      <c r="I3751" s="508">
        <v>7.2999999999999995E-2</v>
      </c>
      <c r="J3751" s="508">
        <v>7.6999999999999999E-2</v>
      </c>
      <c r="K3751" s="508">
        <v>4.4999999999999998E-2</v>
      </c>
      <c r="L3751" s="508">
        <v>4.3999999999999997E-2</v>
      </c>
      <c r="M3751" s="508">
        <v>4.2999999999999997E-2</v>
      </c>
      <c r="N3751" s="508">
        <v>4.9000000000000002E-2</v>
      </c>
      <c r="O3751" s="508">
        <v>3.9E-2</v>
      </c>
      <c r="P3751" s="508">
        <v>2.5999999999999999E-2</v>
      </c>
      <c r="Q3751" s="508">
        <v>2.9000000000000001E-2</v>
      </c>
      <c r="R3751" s="508">
        <v>2.3E-2</v>
      </c>
      <c r="S3751" s="508">
        <v>2.1000000000000001E-2</v>
      </c>
      <c r="T3751" s="508">
        <v>2.1000000000000001E-2</v>
      </c>
      <c r="U3751" s="508">
        <v>1.2999999999999999E-2</v>
      </c>
      <c r="V3751" s="508">
        <v>1.0999999999999999E-2</v>
      </c>
      <c r="W3751" s="508">
        <v>1.0999999999999999E-2</v>
      </c>
      <c r="X3751" s="508">
        <v>0.01</v>
      </c>
      <c r="Y3751" s="508">
        <v>8.9999999999999993E-3</v>
      </c>
      <c r="Z3751" s="508">
        <v>8.0000000000000002E-3</v>
      </c>
      <c r="AA3751" s="508">
        <v>8.0000000000000002E-3</v>
      </c>
      <c r="AB3751" s="508">
        <v>7.0000000000000001E-3</v>
      </c>
      <c r="AC3751" s="508">
        <v>7.0000000000000001E-3</v>
      </c>
      <c r="AD3751" s="508">
        <v>6.0000000000000001E-3</v>
      </c>
      <c r="AE3751" s="508">
        <v>6.0000000000000001E-3</v>
      </c>
      <c r="AF3751" s="508">
        <v>4.0000000000000001E-3</v>
      </c>
      <c r="AG3751" s="508">
        <v>4.0000000000000001E-3</v>
      </c>
      <c r="AH3751" s="508">
        <v>4.0000000000000001E-3</v>
      </c>
      <c r="AI3751" s="492">
        <v>4.0000000000000001E-3</v>
      </c>
      <c r="AJ3751" s="485"/>
    </row>
    <row r="3752" spans="2:36">
      <c r="B3752" s="136" t="s">
        <v>439</v>
      </c>
      <c r="C3752" s="132" t="s">
        <v>1365</v>
      </c>
      <c r="D3752" s="132" t="s">
        <v>284</v>
      </c>
      <c r="E3752" s="508">
        <v>9.2999999999999999E-2</v>
      </c>
      <c r="F3752" s="508">
        <v>8.7999999999999995E-2</v>
      </c>
      <c r="G3752" s="508">
        <v>8.6999999999999994E-2</v>
      </c>
      <c r="H3752" s="508">
        <v>7.1999999999999995E-2</v>
      </c>
      <c r="I3752" s="508">
        <v>7.2999999999999995E-2</v>
      </c>
      <c r="J3752" s="508">
        <v>7.5999999999999998E-2</v>
      </c>
      <c r="K3752" s="508">
        <v>4.7E-2</v>
      </c>
      <c r="L3752" s="508">
        <v>4.5999999999999999E-2</v>
      </c>
      <c r="M3752" s="508">
        <v>4.4999999999999998E-2</v>
      </c>
      <c r="N3752" s="508">
        <v>4.7E-2</v>
      </c>
      <c r="O3752" s="508">
        <v>0.04</v>
      </c>
      <c r="P3752" s="508">
        <v>2.8000000000000001E-2</v>
      </c>
      <c r="Q3752" s="508">
        <v>2.9000000000000001E-2</v>
      </c>
      <c r="R3752" s="508">
        <v>2.4E-2</v>
      </c>
      <c r="S3752" s="508">
        <v>2.1999999999999999E-2</v>
      </c>
      <c r="T3752" s="508">
        <v>2.1999999999999999E-2</v>
      </c>
      <c r="U3752" s="508">
        <v>1.2E-2</v>
      </c>
      <c r="V3752" s="508">
        <v>0.01</v>
      </c>
      <c r="W3752" s="508">
        <v>0.01</v>
      </c>
      <c r="X3752" s="508">
        <v>8.0000000000000002E-3</v>
      </c>
      <c r="Y3752" s="508">
        <v>8.0000000000000002E-3</v>
      </c>
      <c r="Z3752" s="508">
        <v>7.0000000000000001E-3</v>
      </c>
      <c r="AA3752" s="508">
        <v>7.0000000000000001E-3</v>
      </c>
      <c r="AB3752" s="508">
        <v>6.0000000000000001E-3</v>
      </c>
      <c r="AC3752" s="508">
        <v>6.0000000000000001E-3</v>
      </c>
      <c r="AD3752" s="508">
        <v>5.0000000000000001E-3</v>
      </c>
      <c r="AE3752" s="508">
        <v>5.0000000000000001E-3</v>
      </c>
      <c r="AF3752" s="508">
        <v>3.0000000000000001E-3</v>
      </c>
      <c r="AG3752" s="508">
        <v>3.0000000000000001E-3</v>
      </c>
      <c r="AH3752" s="508">
        <v>3.0000000000000001E-3</v>
      </c>
      <c r="AI3752" s="492">
        <v>3.0000000000000001E-3</v>
      </c>
      <c r="AJ3752" s="485"/>
    </row>
    <row r="3753" spans="2:36">
      <c r="B3753" s="136" t="s">
        <v>440</v>
      </c>
      <c r="C3753" s="132" t="s">
        <v>1365</v>
      </c>
      <c r="D3753" s="132" t="s">
        <v>284</v>
      </c>
      <c r="E3753" s="508">
        <v>0.14299999999999999</v>
      </c>
      <c r="F3753" s="508">
        <v>0.13400000000000001</v>
      </c>
      <c r="G3753" s="508">
        <v>0.13100000000000001</v>
      </c>
      <c r="H3753" s="508">
        <v>0.111</v>
      </c>
      <c r="I3753" s="508">
        <v>0.112</v>
      </c>
      <c r="J3753" s="508">
        <v>0.115</v>
      </c>
      <c r="K3753" s="508">
        <v>7.1999999999999995E-2</v>
      </c>
      <c r="L3753" s="508">
        <v>7.0000000000000007E-2</v>
      </c>
      <c r="M3753" s="508">
        <v>6.8000000000000005E-2</v>
      </c>
      <c r="N3753" s="508">
        <v>7.1999999999999995E-2</v>
      </c>
      <c r="O3753" s="508">
        <v>6.0999999999999999E-2</v>
      </c>
      <c r="P3753" s="508">
        <v>4.1000000000000002E-2</v>
      </c>
      <c r="Q3753" s="508">
        <v>4.2999999999999997E-2</v>
      </c>
      <c r="R3753" s="508">
        <v>3.5000000000000003E-2</v>
      </c>
      <c r="S3753" s="508">
        <v>3.2000000000000001E-2</v>
      </c>
      <c r="T3753" s="508">
        <v>3.2000000000000001E-2</v>
      </c>
      <c r="U3753" s="508">
        <v>1.9E-2</v>
      </c>
      <c r="V3753" s="508">
        <v>1.7000000000000001E-2</v>
      </c>
      <c r="W3753" s="508">
        <v>1.7000000000000001E-2</v>
      </c>
      <c r="X3753" s="508">
        <v>1.0999999999999999E-2</v>
      </c>
      <c r="Y3753" s="508">
        <v>1.0999999999999999E-2</v>
      </c>
      <c r="Z3753" s="508">
        <v>8.9999999999999993E-3</v>
      </c>
      <c r="AA3753" s="508">
        <v>8.9999999999999993E-3</v>
      </c>
      <c r="AB3753" s="508">
        <v>8.0000000000000002E-3</v>
      </c>
      <c r="AC3753" s="508">
        <v>8.0000000000000002E-3</v>
      </c>
      <c r="AD3753" s="508">
        <v>7.0000000000000001E-3</v>
      </c>
      <c r="AE3753" s="508">
        <v>7.0000000000000001E-3</v>
      </c>
      <c r="AF3753" s="508">
        <v>4.0000000000000001E-3</v>
      </c>
      <c r="AG3753" s="508">
        <v>4.0000000000000001E-3</v>
      </c>
      <c r="AH3753" s="508">
        <v>4.0000000000000001E-3</v>
      </c>
      <c r="AI3753" s="492">
        <v>4.0000000000000001E-3</v>
      </c>
      <c r="AJ3753" s="485"/>
    </row>
    <row r="3754" spans="2:36">
      <c r="B3754" s="136" t="s">
        <v>441</v>
      </c>
      <c r="C3754" s="132" t="s">
        <v>1365</v>
      </c>
      <c r="D3754" s="132" t="s">
        <v>284</v>
      </c>
      <c r="E3754" s="508">
        <v>0.13900000000000001</v>
      </c>
      <c r="F3754" s="508">
        <v>0.13200000000000001</v>
      </c>
      <c r="G3754" s="508">
        <v>0.13</v>
      </c>
      <c r="H3754" s="508">
        <v>0.108</v>
      </c>
      <c r="I3754" s="508">
        <v>0.109</v>
      </c>
      <c r="J3754" s="508">
        <v>0.113</v>
      </c>
      <c r="K3754" s="508">
        <v>7.0999999999999994E-2</v>
      </c>
      <c r="L3754" s="508">
        <v>6.9000000000000006E-2</v>
      </c>
      <c r="M3754" s="508">
        <v>6.7000000000000004E-2</v>
      </c>
      <c r="N3754" s="508">
        <v>6.9000000000000006E-2</v>
      </c>
      <c r="O3754" s="508">
        <v>0.06</v>
      </c>
      <c r="P3754" s="508">
        <v>4.1000000000000002E-2</v>
      </c>
      <c r="Q3754" s="508">
        <v>4.2000000000000003E-2</v>
      </c>
      <c r="R3754" s="508">
        <v>3.5000000000000003E-2</v>
      </c>
      <c r="S3754" s="508">
        <v>3.3000000000000002E-2</v>
      </c>
      <c r="T3754" s="508">
        <v>3.3000000000000002E-2</v>
      </c>
      <c r="U3754" s="508">
        <v>0.02</v>
      </c>
      <c r="V3754" s="508">
        <v>1.6E-2</v>
      </c>
      <c r="W3754" s="508">
        <v>1.7000000000000001E-2</v>
      </c>
      <c r="X3754" s="508">
        <v>1.0999999999999999E-2</v>
      </c>
      <c r="Y3754" s="508">
        <v>1.0999999999999999E-2</v>
      </c>
      <c r="Z3754" s="508">
        <v>8.9999999999999993E-3</v>
      </c>
      <c r="AA3754" s="508">
        <v>8.9999999999999993E-3</v>
      </c>
      <c r="AB3754" s="508">
        <v>8.0000000000000002E-3</v>
      </c>
      <c r="AC3754" s="508">
        <v>8.0000000000000002E-3</v>
      </c>
      <c r="AD3754" s="508">
        <v>7.0000000000000001E-3</v>
      </c>
      <c r="AE3754" s="508">
        <v>7.0000000000000001E-3</v>
      </c>
      <c r="AF3754" s="508">
        <v>4.0000000000000001E-3</v>
      </c>
      <c r="AG3754" s="508">
        <v>4.0000000000000001E-3</v>
      </c>
      <c r="AH3754" s="508">
        <v>4.0000000000000001E-3</v>
      </c>
      <c r="AI3754" s="492">
        <v>4.0000000000000001E-3</v>
      </c>
      <c r="AJ3754" s="485"/>
    </row>
    <row r="3755" spans="2:36">
      <c r="B3755" s="136" t="s">
        <v>443</v>
      </c>
      <c r="C3755" s="132" t="s">
        <v>1365</v>
      </c>
      <c r="D3755" s="132" t="s">
        <v>284</v>
      </c>
      <c r="E3755" s="508">
        <v>0.112</v>
      </c>
      <c r="F3755" s="508">
        <v>0.10199999999999999</v>
      </c>
      <c r="G3755" s="508">
        <v>0.1</v>
      </c>
      <c r="H3755" s="508">
        <v>8.6999999999999994E-2</v>
      </c>
      <c r="I3755" s="508">
        <v>8.7999999999999995E-2</v>
      </c>
      <c r="J3755" s="508">
        <v>8.7999999999999995E-2</v>
      </c>
      <c r="K3755" s="508">
        <v>5.6000000000000001E-2</v>
      </c>
      <c r="L3755" s="508">
        <v>5.5E-2</v>
      </c>
      <c r="M3755" s="508">
        <v>5.2999999999999999E-2</v>
      </c>
      <c r="N3755" s="508">
        <v>5.7000000000000002E-2</v>
      </c>
      <c r="O3755" s="508">
        <v>4.5999999999999999E-2</v>
      </c>
      <c r="P3755" s="508">
        <v>3.2000000000000001E-2</v>
      </c>
      <c r="Q3755" s="508">
        <v>3.4000000000000002E-2</v>
      </c>
      <c r="R3755" s="508">
        <v>2.7E-2</v>
      </c>
      <c r="S3755" s="508">
        <v>2.4E-2</v>
      </c>
      <c r="T3755" s="508">
        <v>2.4E-2</v>
      </c>
      <c r="U3755" s="508">
        <v>1.4E-2</v>
      </c>
      <c r="V3755" s="508">
        <v>1.2999999999999999E-2</v>
      </c>
      <c r="W3755" s="508">
        <v>1.2999999999999999E-2</v>
      </c>
      <c r="X3755" s="508">
        <v>0.01</v>
      </c>
      <c r="Y3755" s="508">
        <v>0.01</v>
      </c>
      <c r="Z3755" s="508">
        <v>8.0000000000000002E-3</v>
      </c>
      <c r="AA3755" s="508">
        <v>8.0000000000000002E-3</v>
      </c>
      <c r="AB3755" s="508">
        <v>7.0000000000000001E-3</v>
      </c>
      <c r="AC3755" s="508">
        <v>7.0000000000000001E-3</v>
      </c>
      <c r="AD3755" s="508">
        <v>6.0000000000000001E-3</v>
      </c>
      <c r="AE3755" s="508">
        <v>6.0000000000000001E-3</v>
      </c>
      <c r="AF3755" s="508">
        <v>4.0000000000000001E-3</v>
      </c>
      <c r="AG3755" s="508">
        <v>4.0000000000000001E-3</v>
      </c>
      <c r="AH3755" s="508">
        <v>4.0000000000000001E-3</v>
      </c>
      <c r="AI3755" s="492">
        <v>4.0000000000000001E-3</v>
      </c>
      <c r="AJ3755" s="485"/>
    </row>
    <row r="3756" spans="2:36">
      <c r="B3756" s="136" t="s">
        <v>445</v>
      </c>
      <c r="C3756" s="132" t="s">
        <v>1365</v>
      </c>
      <c r="D3756" s="132" t="s">
        <v>284</v>
      </c>
      <c r="E3756" s="508">
        <v>0.112</v>
      </c>
      <c r="F3756" s="508">
        <v>0.10100000000000001</v>
      </c>
      <c r="G3756" s="508">
        <v>9.9000000000000005E-2</v>
      </c>
      <c r="H3756" s="508">
        <v>8.5999999999999993E-2</v>
      </c>
      <c r="I3756" s="508">
        <v>8.5999999999999993E-2</v>
      </c>
      <c r="J3756" s="508">
        <v>8.4000000000000005E-2</v>
      </c>
      <c r="K3756" s="508">
        <v>5.7000000000000002E-2</v>
      </c>
      <c r="L3756" s="508">
        <v>5.6000000000000001E-2</v>
      </c>
      <c r="M3756" s="508">
        <v>5.3999999999999999E-2</v>
      </c>
      <c r="N3756" s="508">
        <v>5.2999999999999999E-2</v>
      </c>
      <c r="O3756" s="508">
        <v>4.4999999999999998E-2</v>
      </c>
      <c r="P3756" s="508">
        <v>3.3000000000000002E-2</v>
      </c>
      <c r="Q3756" s="508">
        <v>3.3000000000000002E-2</v>
      </c>
      <c r="R3756" s="508">
        <v>2.7E-2</v>
      </c>
      <c r="S3756" s="508">
        <v>2.4E-2</v>
      </c>
      <c r="T3756" s="508">
        <v>2.4E-2</v>
      </c>
      <c r="U3756" s="508">
        <v>1.4999999999999999E-2</v>
      </c>
      <c r="V3756" s="508">
        <v>1.2999999999999999E-2</v>
      </c>
      <c r="W3756" s="508">
        <v>1.2999999999999999E-2</v>
      </c>
      <c r="X3756" s="508">
        <v>0.01</v>
      </c>
      <c r="Y3756" s="508">
        <v>0.01</v>
      </c>
      <c r="Z3756" s="508">
        <v>8.0000000000000002E-3</v>
      </c>
      <c r="AA3756" s="508">
        <v>8.0000000000000002E-3</v>
      </c>
      <c r="AB3756" s="508">
        <v>7.0000000000000001E-3</v>
      </c>
      <c r="AC3756" s="508">
        <v>7.0000000000000001E-3</v>
      </c>
      <c r="AD3756" s="508">
        <v>6.0000000000000001E-3</v>
      </c>
      <c r="AE3756" s="508">
        <v>6.0000000000000001E-3</v>
      </c>
      <c r="AF3756" s="508">
        <v>4.0000000000000001E-3</v>
      </c>
      <c r="AG3756" s="508">
        <v>4.0000000000000001E-3</v>
      </c>
      <c r="AH3756" s="508">
        <v>4.0000000000000001E-3</v>
      </c>
      <c r="AI3756" s="492">
        <v>4.0000000000000001E-3</v>
      </c>
      <c r="AJ3756" s="485"/>
    </row>
    <row r="3757" spans="2:36">
      <c r="B3757" s="136" t="s">
        <v>446</v>
      </c>
      <c r="C3757" s="132" t="s">
        <v>1365</v>
      </c>
      <c r="D3757" s="132" t="s">
        <v>284</v>
      </c>
      <c r="E3757" s="508">
        <v>7.1999999999999995E-2</v>
      </c>
      <c r="F3757" s="508">
        <v>6.6000000000000003E-2</v>
      </c>
      <c r="G3757" s="508">
        <v>6.4000000000000001E-2</v>
      </c>
      <c r="H3757" s="508">
        <v>5.6000000000000001E-2</v>
      </c>
      <c r="I3757" s="508">
        <v>5.6000000000000001E-2</v>
      </c>
      <c r="J3757" s="508">
        <v>5.6000000000000001E-2</v>
      </c>
      <c r="K3757" s="508">
        <v>3.5999999999999997E-2</v>
      </c>
      <c r="L3757" s="508">
        <v>3.5000000000000003E-2</v>
      </c>
      <c r="M3757" s="508">
        <v>3.5000000000000003E-2</v>
      </c>
      <c r="N3757" s="508">
        <v>3.5999999999999997E-2</v>
      </c>
      <c r="O3757" s="508">
        <v>2.9000000000000001E-2</v>
      </c>
      <c r="P3757" s="508">
        <v>2.1000000000000001E-2</v>
      </c>
      <c r="Q3757" s="508">
        <v>2.1999999999999999E-2</v>
      </c>
      <c r="R3757" s="508">
        <v>1.7999999999999999E-2</v>
      </c>
      <c r="S3757" s="508">
        <v>1.6E-2</v>
      </c>
      <c r="T3757" s="508">
        <v>1.6E-2</v>
      </c>
      <c r="U3757" s="508">
        <v>1.0999999999999999E-2</v>
      </c>
      <c r="V3757" s="508">
        <v>0.01</v>
      </c>
      <c r="W3757" s="508">
        <v>0.01</v>
      </c>
      <c r="X3757" s="508">
        <v>0.01</v>
      </c>
      <c r="Y3757" s="508">
        <v>0.01</v>
      </c>
      <c r="Z3757" s="508">
        <v>8.0000000000000002E-3</v>
      </c>
      <c r="AA3757" s="508">
        <v>8.0000000000000002E-3</v>
      </c>
      <c r="AB3757" s="508">
        <v>7.0000000000000001E-3</v>
      </c>
      <c r="AC3757" s="508">
        <v>7.0000000000000001E-3</v>
      </c>
      <c r="AD3757" s="508">
        <v>6.0000000000000001E-3</v>
      </c>
      <c r="AE3757" s="508">
        <v>6.0000000000000001E-3</v>
      </c>
      <c r="AF3757" s="508">
        <v>4.0000000000000001E-3</v>
      </c>
      <c r="AG3757" s="508">
        <v>4.0000000000000001E-3</v>
      </c>
      <c r="AH3757" s="508">
        <v>4.0000000000000001E-3</v>
      </c>
      <c r="AI3757" s="492">
        <v>4.0000000000000001E-3</v>
      </c>
      <c r="AJ3757" s="485"/>
    </row>
    <row r="3758" spans="2:36">
      <c r="B3758" s="136" t="s">
        <v>448</v>
      </c>
      <c r="C3758" s="132" t="s">
        <v>1365</v>
      </c>
      <c r="D3758" s="132" t="s">
        <v>284</v>
      </c>
      <c r="E3758" s="508">
        <v>8.7999999999999995E-2</v>
      </c>
      <c r="F3758" s="508">
        <v>8.3000000000000004E-2</v>
      </c>
      <c r="G3758" s="508">
        <v>8.1000000000000003E-2</v>
      </c>
      <c r="H3758" s="508">
        <v>6.9000000000000006E-2</v>
      </c>
      <c r="I3758" s="508">
        <v>6.9000000000000006E-2</v>
      </c>
      <c r="J3758" s="508">
        <v>7.2999999999999995E-2</v>
      </c>
      <c r="K3758" s="508">
        <v>4.3999999999999997E-2</v>
      </c>
      <c r="L3758" s="508">
        <v>4.2000000000000003E-2</v>
      </c>
      <c r="M3758" s="508">
        <v>4.1000000000000002E-2</v>
      </c>
      <c r="N3758" s="508">
        <v>4.5999999999999999E-2</v>
      </c>
      <c r="O3758" s="508">
        <v>3.7999999999999999E-2</v>
      </c>
      <c r="P3758" s="508">
        <v>2.5000000000000001E-2</v>
      </c>
      <c r="Q3758" s="508">
        <v>2.7E-2</v>
      </c>
      <c r="R3758" s="508">
        <v>2.1999999999999999E-2</v>
      </c>
      <c r="S3758" s="508">
        <v>0.02</v>
      </c>
      <c r="T3758" s="508">
        <v>0.02</v>
      </c>
      <c r="U3758" s="508">
        <v>1.2999999999999999E-2</v>
      </c>
      <c r="V3758" s="508">
        <v>1.2E-2</v>
      </c>
      <c r="W3758" s="508">
        <v>1.2E-2</v>
      </c>
      <c r="X3758" s="508">
        <v>0.01</v>
      </c>
      <c r="Y3758" s="508">
        <v>0.01</v>
      </c>
      <c r="Z3758" s="508">
        <v>8.0000000000000002E-3</v>
      </c>
      <c r="AA3758" s="508">
        <v>8.0000000000000002E-3</v>
      </c>
      <c r="AB3758" s="508">
        <v>7.0000000000000001E-3</v>
      </c>
      <c r="AC3758" s="508">
        <v>7.0000000000000001E-3</v>
      </c>
      <c r="AD3758" s="508">
        <v>6.0000000000000001E-3</v>
      </c>
      <c r="AE3758" s="508">
        <v>6.0000000000000001E-3</v>
      </c>
      <c r="AF3758" s="508">
        <v>4.0000000000000001E-3</v>
      </c>
      <c r="AG3758" s="508">
        <v>4.0000000000000001E-3</v>
      </c>
      <c r="AH3758" s="508">
        <v>4.0000000000000001E-3</v>
      </c>
      <c r="AI3758" s="492">
        <v>4.0000000000000001E-3</v>
      </c>
      <c r="AJ3758" s="485"/>
    </row>
    <row r="3759" spans="2:36">
      <c r="B3759" s="136" t="s">
        <v>449</v>
      </c>
      <c r="C3759" s="132" t="s">
        <v>1365</v>
      </c>
      <c r="D3759" s="132" t="s">
        <v>284</v>
      </c>
      <c r="E3759" s="508">
        <v>7.0999999999999994E-2</v>
      </c>
      <c r="F3759" s="508">
        <v>6.5000000000000002E-2</v>
      </c>
      <c r="G3759" s="508">
        <v>6.4000000000000001E-2</v>
      </c>
      <c r="H3759" s="508">
        <v>5.5E-2</v>
      </c>
      <c r="I3759" s="508">
        <v>5.6000000000000001E-2</v>
      </c>
      <c r="J3759" s="508">
        <v>5.6000000000000001E-2</v>
      </c>
      <c r="K3759" s="508">
        <v>3.5000000000000003E-2</v>
      </c>
      <c r="L3759" s="508">
        <v>3.5000000000000003E-2</v>
      </c>
      <c r="M3759" s="508">
        <v>3.4000000000000002E-2</v>
      </c>
      <c r="N3759" s="508">
        <v>3.5999999999999997E-2</v>
      </c>
      <c r="O3759" s="508">
        <v>2.9000000000000001E-2</v>
      </c>
      <c r="P3759" s="508">
        <v>2.1000000000000001E-2</v>
      </c>
      <c r="Q3759" s="508">
        <v>2.1999999999999999E-2</v>
      </c>
      <c r="R3759" s="508">
        <v>1.7999999999999999E-2</v>
      </c>
      <c r="S3759" s="508">
        <v>1.6E-2</v>
      </c>
      <c r="T3759" s="508">
        <v>1.6E-2</v>
      </c>
      <c r="U3759" s="508">
        <v>0.01</v>
      </c>
      <c r="V3759" s="508">
        <v>8.9999999999999993E-3</v>
      </c>
      <c r="W3759" s="508">
        <v>8.9999999999999993E-3</v>
      </c>
      <c r="X3759" s="508">
        <v>8.9999999999999993E-3</v>
      </c>
      <c r="Y3759" s="508">
        <v>8.9999999999999993E-3</v>
      </c>
      <c r="Z3759" s="508">
        <v>7.0000000000000001E-3</v>
      </c>
      <c r="AA3759" s="508">
        <v>7.0000000000000001E-3</v>
      </c>
      <c r="AB3759" s="508">
        <v>6.0000000000000001E-3</v>
      </c>
      <c r="AC3759" s="508">
        <v>6.0000000000000001E-3</v>
      </c>
      <c r="AD3759" s="508">
        <v>5.0000000000000001E-3</v>
      </c>
      <c r="AE3759" s="508">
        <v>6.0000000000000001E-3</v>
      </c>
      <c r="AF3759" s="508">
        <v>3.0000000000000001E-3</v>
      </c>
      <c r="AG3759" s="508">
        <v>3.0000000000000001E-3</v>
      </c>
      <c r="AH3759" s="508">
        <v>3.0000000000000001E-3</v>
      </c>
      <c r="AI3759" s="492">
        <v>3.0000000000000001E-3</v>
      </c>
      <c r="AJ3759" s="485"/>
    </row>
    <row r="3760" spans="2:36">
      <c r="B3760" s="136" t="s">
        <v>450</v>
      </c>
      <c r="C3760" s="132" t="s">
        <v>1365</v>
      </c>
      <c r="D3760" s="132" t="s">
        <v>284</v>
      </c>
      <c r="E3760" s="508">
        <v>0.14499999999999999</v>
      </c>
      <c r="F3760" s="508">
        <v>0.13400000000000001</v>
      </c>
      <c r="G3760" s="508">
        <v>0.13100000000000001</v>
      </c>
      <c r="H3760" s="508">
        <v>0.113</v>
      </c>
      <c r="I3760" s="508">
        <v>0.113</v>
      </c>
      <c r="J3760" s="508">
        <v>0.11700000000000001</v>
      </c>
      <c r="K3760" s="508">
        <v>7.1999999999999995E-2</v>
      </c>
      <c r="L3760" s="508">
        <v>7.0000000000000007E-2</v>
      </c>
      <c r="M3760" s="508">
        <v>6.8000000000000005E-2</v>
      </c>
      <c r="N3760" s="508">
        <v>7.4999999999999997E-2</v>
      </c>
      <c r="O3760" s="508">
        <v>6.0999999999999999E-2</v>
      </c>
      <c r="P3760" s="508">
        <v>4.1000000000000002E-2</v>
      </c>
      <c r="Q3760" s="508">
        <v>4.3999999999999997E-2</v>
      </c>
      <c r="R3760" s="508">
        <v>3.5000000000000003E-2</v>
      </c>
      <c r="S3760" s="508">
        <v>3.1E-2</v>
      </c>
      <c r="T3760" s="508">
        <v>3.2000000000000001E-2</v>
      </c>
      <c r="U3760" s="508">
        <v>1.7999999999999999E-2</v>
      </c>
      <c r="V3760" s="508">
        <v>1.7000000000000001E-2</v>
      </c>
      <c r="W3760" s="508">
        <v>1.6E-2</v>
      </c>
      <c r="X3760" s="508">
        <v>1.0999999999999999E-2</v>
      </c>
      <c r="Y3760" s="508">
        <v>1.0999999999999999E-2</v>
      </c>
      <c r="Z3760" s="508">
        <v>8.9999999999999993E-3</v>
      </c>
      <c r="AA3760" s="508">
        <v>8.0000000000000002E-3</v>
      </c>
      <c r="AB3760" s="508">
        <v>8.0000000000000002E-3</v>
      </c>
      <c r="AC3760" s="508">
        <v>7.0000000000000001E-3</v>
      </c>
      <c r="AD3760" s="508">
        <v>6.0000000000000001E-3</v>
      </c>
      <c r="AE3760" s="508">
        <v>6.0000000000000001E-3</v>
      </c>
      <c r="AF3760" s="508">
        <v>4.0000000000000001E-3</v>
      </c>
      <c r="AG3760" s="508">
        <v>4.0000000000000001E-3</v>
      </c>
      <c r="AH3760" s="508">
        <v>4.0000000000000001E-3</v>
      </c>
      <c r="AI3760" s="492">
        <v>4.0000000000000001E-3</v>
      </c>
      <c r="AJ3760" s="485"/>
    </row>
    <row r="3761" spans="2:36">
      <c r="B3761" s="136" t="s">
        <v>451</v>
      </c>
      <c r="C3761" s="132" t="s">
        <v>1365</v>
      </c>
      <c r="D3761" s="132" t="s">
        <v>284</v>
      </c>
      <c r="E3761" s="508">
        <v>0.13700000000000001</v>
      </c>
      <c r="F3761" s="508">
        <v>0.125</v>
      </c>
      <c r="G3761" s="508">
        <v>0.123</v>
      </c>
      <c r="H3761" s="508">
        <v>0.105</v>
      </c>
      <c r="I3761" s="508">
        <v>0.106</v>
      </c>
      <c r="J3761" s="508">
        <v>0.105</v>
      </c>
      <c r="K3761" s="508">
        <v>7.0000000000000007E-2</v>
      </c>
      <c r="L3761" s="508">
        <v>6.8000000000000005E-2</v>
      </c>
      <c r="M3761" s="508">
        <v>6.6000000000000003E-2</v>
      </c>
      <c r="N3761" s="508">
        <v>6.6000000000000003E-2</v>
      </c>
      <c r="O3761" s="508">
        <v>5.6000000000000001E-2</v>
      </c>
      <c r="P3761" s="508">
        <v>0.04</v>
      </c>
      <c r="Q3761" s="508">
        <v>0.04</v>
      </c>
      <c r="R3761" s="508">
        <v>3.3000000000000002E-2</v>
      </c>
      <c r="S3761" s="508">
        <v>3.1E-2</v>
      </c>
      <c r="T3761" s="508">
        <v>0.03</v>
      </c>
      <c r="U3761" s="508">
        <v>1.7000000000000001E-2</v>
      </c>
      <c r="V3761" s="508">
        <v>1.4999999999999999E-2</v>
      </c>
      <c r="W3761" s="508">
        <v>1.4999999999999999E-2</v>
      </c>
      <c r="X3761" s="508">
        <v>0.01</v>
      </c>
      <c r="Y3761" s="508">
        <v>0.01</v>
      </c>
      <c r="Z3761" s="508">
        <v>8.0000000000000002E-3</v>
      </c>
      <c r="AA3761" s="508">
        <v>8.0000000000000002E-3</v>
      </c>
      <c r="AB3761" s="508">
        <v>7.0000000000000001E-3</v>
      </c>
      <c r="AC3761" s="508">
        <v>7.0000000000000001E-3</v>
      </c>
      <c r="AD3761" s="508">
        <v>6.0000000000000001E-3</v>
      </c>
      <c r="AE3761" s="508">
        <v>6.0000000000000001E-3</v>
      </c>
      <c r="AF3761" s="508">
        <v>4.0000000000000001E-3</v>
      </c>
      <c r="AG3761" s="508">
        <v>4.0000000000000001E-3</v>
      </c>
      <c r="AH3761" s="508">
        <v>4.0000000000000001E-3</v>
      </c>
      <c r="AI3761" s="492">
        <v>4.0000000000000001E-3</v>
      </c>
      <c r="AJ3761" s="485"/>
    </row>
    <row r="3762" spans="2:36">
      <c r="B3762" s="136" t="s">
        <v>452</v>
      </c>
      <c r="C3762" s="132" t="s">
        <v>1365</v>
      </c>
      <c r="D3762" s="132" t="s">
        <v>284</v>
      </c>
      <c r="E3762" s="508">
        <v>0.129</v>
      </c>
      <c r="F3762" s="508">
        <v>0.11899999999999999</v>
      </c>
      <c r="G3762" s="508">
        <v>0.11600000000000001</v>
      </c>
      <c r="H3762" s="508">
        <v>0.1</v>
      </c>
      <c r="I3762" s="508">
        <v>0.10100000000000001</v>
      </c>
      <c r="J3762" s="508">
        <v>0.10199999999999999</v>
      </c>
      <c r="K3762" s="508">
        <v>6.5000000000000002E-2</v>
      </c>
      <c r="L3762" s="508">
        <v>6.3E-2</v>
      </c>
      <c r="M3762" s="508">
        <v>6.2E-2</v>
      </c>
      <c r="N3762" s="508">
        <v>6.5000000000000002E-2</v>
      </c>
      <c r="O3762" s="508">
        <v>5.2999999999999999E-2</v>
      </c>
      <c r="P3762" s="508">
        <v>3.6999999999999998E-2</v>
      </c>
      <c r="Q3762" s="508">
        <v>3.9E-2</v>
      </c>
      <c r="R3762" s="508">
        <v>3.1E-2</v>
      </c>
      <c r="S3762" s="508">
        <v>2.8000000000000001E-2</v>
      </c>
      <c r="T3762" s="508">
        <v>2.8000000000000001E-2</v>
      </c>
      <c r="U3762" s="508">
        <v>1.6E-2</v>
      </c>
      <c r="V3762" s="508">
        <v>1.4E-2</v>
      </c>
      <c r="W3762" s="508">
        <v>1.4E-2</v>
      </c>
      <c r="X3762" s="508">
        <v>0.01</v>
      </c>
      <c r="Y3762" s="508">
        <v>0.01</v>
      </c>
      <c r="Z3762" s="508">
        <v>8.0000000000000002E-3</v>
      </c>
      <c r="AA3762" s="508">
        <v>8.0000000000000002E-3</v>
      </c>
      <c r="AB3762" s="508">
        <v>7.0000000000000001E-3</v>
      </c>
      <c r="AC3762" s="508">
        <v>7.0000000000000001E-3</v>
      </c>
      <c r="AD3762" s="508">
        <v>6.0000000000000001E-3</v>
      </c>
      <c r="AE3762" s="508">
        <v>6.0000000000000001E-3</v>
      </c>
      <c r="AF3762" s="508">
        <v>4.0000000000000001E-3</v>
      </c>
      <c r="AG3762" s="508">
        <v>4.0000000000000001E-3</v>
      </c>
      <c r="AH3762" s="508">
        <v>4.0000000000000001E-3</v>
      </c>
      <c r="AI3762" s="492">
        <v>4.0000000000000001E-3</v>
      </c>
      <c r="AJ3762" s="485"/>
    </row>
    <row r="3763" spans="2:36">
      <c r="B3763" s="136" t="s">
        <v>453</v>
      </c>
      <c r="C3763" s="132" t="s">
        <v>1365</v>
      </c>
      <c r="D3763" s="132" t="s">
        <v>284</v>
      </c>
      <c r="E3763" s="508">
        <v>0.14399999999999999</v>
      </c>
      <c r="F3763" s="508">
        <v>0.13300000000000001</v>
      </c>
      <c r="G3763" s="508">
        <v>0.13100000000000001</v>
      </c>
      <c r="H3763" s="508">
        <v>0.112</v>
      </c>
      <c r="I3763" s="508">
        <v>0.113</v>
      </c>
      <c r="J3763" s="508">
        <v>0.11700000000000001</v>
      </c>
      <c r="K3763" s="508">
        <v>7.0999999999999994E-2</v>
      </c>
      <c r="L3763" s="508">
        <v>6.9000000000000006E-2</v>
      </c>
      <c r="M3763" s="508">
        <v>6.8000000000000005E-2</v>
      </c>
      <c r="N3763" s="508">
        <v>7.4999999999999997E-2</v>
      </c>
      <c r="O3763" s="508">
        <v>6.0999999999999999E-2</v>
      </c>
      <c r="P3763" s="508">
        <v>0.04</v>
      </c>
      <c r="Q3763" s="508">
        <v>4.3999999999999997E-2</v>
      </c>
      <c r="R3763" s="508">
        <v>3.5000000000000003E-2</v>
      </c>
      <c r="S3763" s="508">
        <v>3.1E-2</v>
      </c>
      <c r="T3763" s="508">
        <v>3.1E-2</v>
      </c>
      <c r="U3763" s="508">
        <v>1.7999999999999999E-2</v>
      </c>
      <c r="V3763" s="508">
        <v>1.7000000000000001E-2</v>
      </c>
      <c r="W3763" s="508">
        <v>1.7000000000000001E-2</v>
      </c>
      <c r="X3763" s="508">
        <v>1.0999999999999999E-2</v>
      </c>
      <c r="Y3763" s="508">
        <v>1.0999999999999999E-2</v>
      </c>
      <c r="Z3763" s="508">
        <v>8.9999999999999993E-3</v>
      </c>
      <c r="AA3763" s="508">
        <v>8.9999999999999993E-3</v>
      </c>
      <c r="AB3763" s="508">
        <v>8.0000000000000002E-3</v>
      </c>
      <c r="AC3763" s="508">
        <v>8.0000000000000002E-3</v>
      </c>
      <c r="AD3763" s="508">
        <v>7.0000000000000001E-3</v>
      </c>
      <c r="AE3763" s="508">
        <v>7.0000000000000001E-3</v>
      </c>
      <c r="AF3763" s="508">
        <v>4.0000000000000001E-3</v>
      </c>
      <c r="AG3763" s="508">
        <v>4.0000000000000001E-3</v>
      </c>
      <c r="AH3763" s="508">
        <v>4.0000000000000001E-3</v>
      </c>
      <c r="AI3763" s="492">
        <v>4.0000000000000001E-3</v>
      </c>
      <c r="AJ3763" s="485"/>
    </row>
    <row r="3764" spans="2:36">
      <c r="B3764" s="136" t="s">
        <v>454</v>
      </c>
      <c r="C3764" s="132" t="s">
        <v>1365</v>
      </c>
      <c r="D3764" s="132" t="s">
        <v>284</v>
      </c>
      <c r="E3764" s="508">
        <v>0.113</v>
      </c>
      <c r="F3764" s="508">
        <v>0.105</v>
      </c>
      <c r="G3764" s="508">
        <v>0.10299999999999999</v>
      </c>
      <c r="H3764" s="508">
        <v>8.7999999999999995E-2</v>
      </c>
      <c r="I3764" s="508">
        <v>8.8999999999999996E-2</v>
      </c>
      <c r="J3764" s="508">
        <v>9.1999999999999998E-2</v>
      </c>
      <c r="K3764" s="508">
        <v>5.6000000000000001E-2</v>
      </c>
      <c r="L3764" s="508">
        <v>5.5E-2</v>
      </c>
      <c r="M3764" s="508">
        <v>5.2999999999999999E-2</v>
      </c>
      <c r="N3764" s="508">
        <v>5.8999999999999997E-2</v>
      </c>
      <c r="O3764" s="508">
        <v>4.8000000000000001E-2</v>
      </c>
      <c r="P3764" s="508">
        <v>3.2000000000000001E-2</v>
      </c>
      <c r="Q3764" s="508">
        <v>3.5000000000000003E-2</v>
      </c>
      <c r="R3764" s="508">
        <v>2.8000000000000001E-2</v>
      </c>
      <c r="S3764" s="508">
        <v>2.5000000000000001E-2</v>
      </c>
      <c r="T3764" s="508">
        <v>2.5000000000000001E-2</v>
      </c>
      <c r="U3764" s="508">
        <v>1.4999999999999999E-2</v>
      </c>
      <c r="V3764" s="508">
        <v>1.4E-2</v>
      </c>
      <c r="W3764" s="508">
        <v>1.4E-2</v>
      </c>
      <c r="X3764" s="508">
        <v>0.01</v>
      </c>
      <c r="Y3764" s="508">
        <v>0.01</v>
      </c>
      <c r="Z3764" s="508">
        <v>8.0000000000000002E-3</v>
      </c>
      <c r="AA3764" s="508">
        <v>8.0000000000000002E-3</v>
      </c>
      <c r="AB3764" s="508">
        <v>7.0000000000000001E-3</v>
      </c>
      <c r="AC3764" s="508">
        <v>7.0000000000000001E-3</v>
      </c>
      <c r="AD3764" s="508">
        <v>6.0000000000000001E-3</v>
      </c>
      <c r="AE3764" s="508">
        <v>6.0000000000000001E-3</v>
      </c>
      <c r="AF3764" s="508">
        <v>4.0000000000000001E-3</v>
      </c>
      <c r="AG3764" s="508">
        <v>4.0000000000000001E-3</v>
      </c>
      <c r="AH3764" s="508">
        <v>4.0000000000000001E-3</v>
      </c>
      <c r="AI3764" s="492">
        <v>4.0000000000000001E-3</v>
      </c>
      <c r="AJ3764" s="485"/>
    </row>
    <row r="3765" spans="2:36">
      <c r="B3765" s="136" t="s">
        <v>455</v>
      </c>
      <c r="C3765" s="132" t="s">
        <v>1365</v>
      </c>
      <c r="D3765" s="132" t="s">
        <v>284</v>
      </c>
      <c r="E3765" s="508">
        <v>0.111</v>
      </c>
      <c r="F3765" s="508">
        <v>0.105</v>
      </c>
      <c r="G3765" s="508">
        <v>0.10299999999999999</v>
      </c>
      <c r="H3765" s="508">
        <v>8.6999999999999994E-2</v>
      </c>
      <c r="I3765" s="508">
        <v>8.6999999999999994E-2</v>
      </c>
      <c r="J3765" s="508">
        <v>9.1999999999999998E-2</v>
      </c>
      <c r="K3765" s="508">
        <v>5.5E-2</v>
      </c>
      <c r="L3765" s="508">
        <v>5.2999999999999999E-2</v>
      </c>
      <c r="M3765" s="508">
        <v>5.1999999999999998E-2</v>
      </c>
      <c r="N3765" s="508">
        <v>5.8000000000000003E-2</v>
      </c>
      <c r="O3765" s="508">
        <v>4.8000000000000001E-2</v>
      </c>
      <c r="P3765" s="508">
        <v>3.2000000000000001E-2</v>
      </c>
      <c r="Q3765" s="508">
        <v>3.4000000000000002E-2</v>
      </c>
      <c r="R3765" s="508">
        <v>2.8000000000000001E-2</v>
      </c>
      <c r="S3765" s="508">
        <v>2.5000000000000001E-2</v>
      </c>
      <c r="T3765" s="508">
        <v>2.5999999999999999E-2</v>
      </c>
      <c r="U3765" s="508">
        <v>1.4E-2</v>
      </c>
      <c r="V3765" s="508">
        <v>1.2999999999999999E-2</v>
      </c>
      <c r="W3765" s="508">
        <v>1.2999999999999999E-2</v>
      </c>
      <c r="X3765" s="508">
        <v>0.01</v>
      </c>
      <c r="Y3765" s="508">
        <v>8.9999999999999993E-3</v>
      </c>
      <c r="Z3765" s="508">
        <v>8.0000000000000002E-3</v>
      </c>
      <c r="AA3765" s="508">
        <v>7.0000000000000001E-3</v>
      </c>
      <c r="AB3765" s="508">
        <v>7.0000000000000001E-3</v>
      </c>
      <c r="AC3765" s="508">
        <v>7.0000000000000001E-3</v>
      </c>
      <c r="AD3765" s="508">
        <v>6.0000000000000001E-3</v>
      </c>
      <c r="AE3765" s="508">
        <v>6.0000000000000001E-3</v>
      </c>
      <c r="AF3765" s="508">
        <v>4.0000000000000001E-3</v>
      </c>
      <c r="AG3765" s="508">
        <v>4.0000000000000001E-3</v>
      </c>
      <c r="AH3765" s="508">
        <v>4.0000000000000001E-3</v>
      </c>
      <c r="AI3765" s="492">
        <v>4.0000000000000001E-3</v>
      </c>
      <c r="AJ3765" s="485"/>
    </row>
    <row r="3766" spans="2:36">
      <c r="B3766" s="136" t="s">
        <v>456</v>
      </c>
      <c r="C3766" s="132" t="s">
        <v>1365</v>
      </c>
      <c r="D3766" s="132" t="s">
        <v>284</v>
      </c>
      <c r="E3766" s="508">
        <v>7.2999999999999995E-2</v>
      </c>
      <c r="F3766" s="508">
        <v>6.8000000000000005E-2</v>
      </c>
      <c r="G3766" s="508">
        <v>6.7000000000000004E-2</v>
      </c>
      <c r="H3766" s="508">
        <v>5.7000000000000002E-2</v>
      </c>
      <c r="I3766" s="508">
        <v>5.8000000000000003E-2</v>
      </c>
      <c r="J3766" s="508">
        <v>0.06</v>
      </c>
      <c r="K3766" s="508">
        <v>3.5999999999999997E-2</v>
      </c>
      <c r="L3766" s="508">
        <v>3.5000000000000003E-2</v>
      </c>
      <c r="M3766" s="508">
        <v>3.5000000000000003E-2</v>
      </c>
      <c r="N3766" s="508">
        <v>3.7999999999999999E-2</v>
      </c>
      <c r="O3766" s="508">
        <v>3.1E-2</v>
      </c>
      <c r="P3766" s="508">
        <v>2.1000000000000001E-2</v>
      </c>
      <c r="Q3766" s="508">
        <v>2.3E-2</v>
      </c>
      <c r="R3766" s="508">
        <v>1.7999999999999999E-2</v>
      </c>
      <c r="S3766" s="508">
        <v>1.6E-2</v>
      </c>
      <c r="T3766" s="508">
        <v>1.7000000000000001E-2</v>
      </c>
      <c r="U3766" s="508">
        <v>1.0999999999999999E-2</v>
      </c>
      <c r="V3766" s="508">
        <v>0.01</v>
      </c>
      <c r="W3766" s="508">
        <v>0.01</v>
      </c>
      <c r="X3766" s="508">
        <v>0.01</v>
      </c>
      <c r="Y3766" s="508">
        <v>0.01</v>
      </c>
      <c r="Z3766" s="508">
        <v>8.0000000000000002E-3</v>
      </c>
      <c r="AA3766" s="508">
        <v>8.0000000000000002E-3</v>
      </c>
      <c r="AB3766" s="508">
        <v>7.0000000000000001E-3</v>
      </c>
      <c r="AC3766" s="508">
        <v>7.0000000000000001E-3</v>
      </c>
      <c r="AD3766" s="508">
        <v>6.0000000000000001E-3</v>
      </c>
      <c r="AE3766" s="508">
        <v>6.0000000000000001E-3</v>
      </c>
      <c r="AF3766" s="508">
        <v>4.0000000000000001E-3</v>
      </c>
      <c r="AG3766" s="508">
        <v>4.0000000000000001E-3</v>
      </c>
      <c r="AH3766" s="508">
        <v>4.0000000000000001E-3</v>
      </c>
      <c r="AI3766" s="492">
        <v>4.0000000000000001E-3</v>
      </c>
      <c r="AJ3766" s="485"/>
    </row>
    <row r="3767" spans="2:36">
      <c r="B3767" s="136" t="s">
        <v>457</v>
      </c>
      <c r="C3767" s="132" t="s">
        <v>1365</v>
      </c>
      <c r="D3767" s="132" t="s">
        <v>284</v>
      </c>
      <c r="E3767" s="508">
        <v>0.16700000000000001</v>
      </c>
      <c r="F3767" s="508">
        <v>0.155</v>
      </c>
      <c r="G3767" s="508">
        <v>0.152</v>
      </c>
      <c r="H3767" s="508">
        <v>0.13100000000000001</v>
      </c>
      <c r="I3767" s="508">
        <v>0.13200000000000001</v>
      </c>
      <c r="J3767" s="508">
        <v>0.13800000000000001</v>
      </c>
      <c r="K3767" s="508">
        <v>8.2000000000000003E-2</v>
      </c>
      <c r="L3767" s="508">
        <v>0.08</v>
      </c>
      <c r="M3767" s="508">
        <v>7.8E-2</v>
      </c>
      <c r="N3767" s="508">
        <v>8.8999999999999996E-2</v>
      </c>
      <c r="O3767" s="508">
        <v>7.0999999999999994E-2</v>
      </c>
      <c r="P3767" s="508">
        <v>4.5999999999999999E-2</v>
      </c>
      <c r="Q3767" s="508">
        <v>5.0999999999999997E-2</v>
      </c>
      <c r="R3767" s="508">
        <v>4.1000000000000002E-2</v>
      </c>
      <c r="S3767" s="508">
        <v>3.5000000000000003E-2</v>
      </c>
      <c r="T3767" s="508">
        <v>3.5999999999999997E-2</v>
      </c>
      <c r="U3767" s="508">
        <v>2.3E-2</v>
      </c>
      <c r="V3767" s="508">
        <v>2.1000000000000001E-2</v>
      </c>
      <c r="W3767" s="508">
        <v>2.1000000000000001E-2</v>
      </c>
      <c r="X3767" s="508">
        <v>1.4E-2</v>
      </c>
      <c r="Y3767" s="508">
        <v>1.2999999999999999E-2</v>
      </c>
      <c r="Z3767" s="508">
        <v>1.0999999999999999E-2</v>
      </c>
      <c r="AA3767" s="508">
        <v>0.01</v>
      </c>
      <c r="AB3767" s="508">
        <v>8.9999999999999993E-3</v>
      </c>
      <c r="AC3767" s="508">
        <v>8.9999999999999993E-3</v>
      </c>
      <c r="AD3767" s="508">
        <v>8.0000000000000002E-3</v>
      </c>
      <c r="AE3767" s="508">
        <v>8.0000000000000002E-3</v>
      </c>
      <c r="AF3767" s="508">
        <v>5.0000000000000001E-3</v>
      </c>
      <c r="AG3767" s="508">
        <v>5.0000000000000001E-3</v>
      </c>
      <c r="AH3767" s="508">
        <v>5.0000000000000001E-3</v>
      </c>
      <c r="AI3767" s="492">
        <v>5.0000000000000001E-3</v>
      </c>
      <c r="AJ3767" s="485"/>
    </row>
    <row r="3768" spans="2:36">
      <c r="B3768" s="136" t="s">
        <v>458</v>
      </c>
      <c r="C3768" s="132" t="s">
        <v>1365</v>
      </c>
      <c r="D3768" s="132" t="s">
        <v>284</v>
      </c>
      <c r="E3768" s="508">
        <v>0.115</v>
      </c>
      <c r="F3768" s="508">
        <v>0.109</v>
      </c>
      <c r="G3768" s="508">
        <v>0.107</v>
      </c>
      <c r="H3768" s="508">
        <v>0.09</v>
      </c>
      <c r="I3768" s="508">
        <v>0.09</v>
      </c>
      <c r="J3768" s="508">
        <v>9.4E-2</v>
      </c>
      <c r="K3768" s="508">
        <v>5.8000000000000003E-2</v>
      </c>
      <c r="L3768" s="508">
        <v>5.7000000000000002E-2</v>
      </c>
      <c r="M3768" s="508">
        <v>5.5E-2</v>
      </c>
      <c r="N3768" s="508">
        <v>5.8999999999999997E-2</v>
      </c>
      <c r="O3768" s="508">
        <v>4.9000000000000002E-2</v>
      </c>
      <c r="P3768" s="508">
        <v>3.4000000000000002E-2</v>
      </c>
      <c r="Q3768" s="508">
        <v>3.5000000000000003E-2</v>
      </c>
      <c r="R3768" s="508">
        <v>2.9000000000000001E-2</v>
      </c>
      <c r="S3768" s="508">
        <v>2.7E-2</v>
      </c>
      <c r="T3768" s="508">
        <v>2.7E-2</v>
      </c>
      <c r="U3768" s="508">
        <v>1.7000000000000001E-2</v>
      </c>
      <c r="V3768" s="508">
        <v>1.4E-2</v>
      </c>
      <c r="W3768" s="508">
        <v>1.4999999999999999E-2</v>
      </c>
      <c r="X3768" s="508">
        <v>1.0999999999999999E-2</v>
      </c>
      <c r="Y3768" s="508">
        <v>1.0999999999999999E-2</v>
      </c>
      <c r="Z3768" s="508">
        <v>8.9999999999999993E-3</v>
      </c>
      <c r="AA3768" s="508">
        <v>8.0000000000000002E-3</v>
      </c>
      <c r="AB3768" s="508">
        <v>7.0000000000000001E-3</v>
      </c>
      <c r="AC3768" s="508">
        <v>7.0000000000000001E-3</v>
      </c>
      <c r="AD3768" s="508">
        <v>6.0000000000000001E-3</v>
      </c>
      <c r="AE3768" s="508">
        <v>6.0000000000000001E-3</v>
      </c>
      <c r="AF3768" s="508">
        <v>4.0000000000000001E-3</v>
      </c>
      <c r="AG3768" s="508">
        <v>4.0000000000000001E-3</v>
      </c>
      <c r="AH3768" s="508">
        <v>4.0000000000000001E-3</v>
      </c>
      <c r="AI3768" s="492">
        <v>4.0000000000000001E-3</v>
      </c>
      <c r="AJ3768" s="485"/>
    </row>
    <row r="3769" spans="2:36">
      <c r="B3769" s="136" t="s">
        <v>459</v>
      </c>
      <c r="C3769" s="132" t="s">
        <v>1365</v>
      </c>
      <c r="D3769" s="132" t="s">
        <v>284</v>
      </c>
      <c r="E3769" s="508">
        <v>0.14699999999999999</v>
      </c>
      <c r="F3769" s="508">
        <v>0.13800000000000001</v>
      </c>
      <c r="G3769" s="508">
        <v>0.13600000000000001</v>
      </c>
      <c r="H3769" s="508">
        <v>0.114</v>
      </c>
      <c r="I3769" s="508">
        <v>0.115</v>
      </c>
      <c r="J3769" s="508">
        <v>0.11899999999999999</v>
      </c>
      <c r="K3769" s="508">
        <v>7.3999999999999996E-2</v>
      </c>
      <c r="L3769" s="508">
        <v>7.1999999999999995E-2</v>
      </c>
      <c r="M3769" s="508">
        <v>7.0000000000000007E-2</v>
      </c>
      <c r="N3769" s="508">
        <v>7.3999999999999996E-2</v>
      </c>
      <c r="O3769" s="508">
        <v>6.3E-2</v>
      </c>
      <c r="P3769" s="508">
        <v>4.2999999999999997E-2</v>
      </c>
      <c r="Q3769" s="508">
        <v>4.4999999999999998E-2</v>
      </c>
      <c r="R3769" s="508">
        <v>3.5999999999999997E-2</v>
      </c>
      <c r="S3769" s="508">
        <v>3.4000000000000002E-2</v>
      </c>
      <c r="T3769" s="508">
        <v>3.4000000000000002E-2</v>
      </c>
      <c r="U3769" s="508">
        <v>0.02</v>
      </c>
      <c r="V3769" s="508">
        <v>1.7000000000000001E-2</v>
      </c>
      <c r="W3769" s="508">
        <v>1.7999999999999999E-2</v>
      </c>
      <c r="X3769" s="508">
        <v>1.0999999999999999E-2</v>
      </c>
      <c r="Y3769" s="508">
        <v>1.0999999999999999E-2</v>
      </c>
      <c r="Z3769" s="508">
        <v>8.9999999999999993E-3</v>
      </c>
      <c r="AA3769" s="508">
        <v>8.9999999999999993E-3</v>
      </c>
      <c r="AB3769" s="508">
        <v>8.0000000000000002E-3</v>
      </c>
      <c r="AC3769" s="508">
        <v>8.0000000000000002E-3</v>
      </c>
      <c r="AD3769" s="508">
        <v>7.0000000000000001E-3</v>
      </c>
      <c r="AE3769" s="508">
        <v>7.0000000000000001E-3</v>
      </c>
      <c r="AF3769" s="508">
        <v>4.0000000000000001E-3</v>
      </c>
      <c r="AG3769" s="508">
        <v>4.0000000000000001E-3</v>
      </c>
      <c r="AH3769" s="508">
        <v>4.0000000000000001E-3</v>
      </c>
      <c r="AI3769" s="492">
        <v>4.0000000000000001E-3</v>
      </c>
      <c r="AJ3769" s="485"/>
    </row>
    <row r="3770" spans="2:36">
      <c r="B3770" s="136" t="s">
        <v>460</v>
      </c>
      <c r="C3770" s="132" t="s">
        <v>1365</v>
      </c>
      <c r="D3770" s="132" t="s">
        <v>284</v>
      </c>
      <c r="E3770" s="508">
        <v>0.152</v>
      </c>
      <c r="F3770" s="508">
        <v>0.14099999999999999</v>
      </c>
      <c r="G3770" s="508">
        <v>0.13800000000000001</v>
      </c>
      <c r="H3770" s="508">
        <v>0.11799999999999999</v>
      </c>
      <c r="I3770" s="508">
        <v>0.11799999999999999</v>
      </c>
      <c r="J3770" s="508">
        <v>0.121</v>
      </c>
      <c r="K3770" s="508">
        <v>7.5999999999999998E-2</v>
      </c>
      <c r="L3770" s="508">
        <v>7.3999999999999996E-2</v>
      </c>
      <c r="M3770" s="508">
        <v>7.2999999999999995E-2</v>
      </c>
      <c r="N3770" s="508">
        <v>7.5999999999999998E-2</v>
      </c>
      <c r="O3770" s="508">
        <v>6.4000000000000001E-2</v>
      </c>
      <c r="P3770" s="508">
        <v>4.3999999999999997E-2</v>
      </c>
      <c r="Q3770" s="508">
        <v>4.5999999999999999E-2</v>
      </c>
      <c r="R3770" s="508">
        <v>3.6999999999999998E-2</v>
      </c>
      <c r="S3770" s="508">
        <v>3.4000000000000002E-2</v>
      </c>
      <c r="T3770" s="508">
        <v>3.3000000000000002E-2</v>
      </c>
      <c r="U3770" s="508">
        <v>1.9E-2</v>
      </c>
      <c r="V3770" s="508">
        <v>1.7000000000000001E-2</v>
      </c>
      <c r="W3770" s="508">
        <v>1.7000000000000001E-2</v>
      </c>
      <c r="X3770" s="508">
        <v>1.0999999999999999E-2</v>
      </c>
      <c r="Y3770" s="508">
        <v>1.0999999999999999E-2</v>
      </c>
      <c r="Z3770" s="508">
        <v>8.9999999999999993E-3</v>
      </c>
      <c r="AA3770" s="508">
        <v>8.9999999999999993E-3</v>
      </c>
      <c r="AB3770" s="508">
        <v>8.0000000000000002E-3</v>
      </c>
      <c r="AC3770" s="508">
        <v>7.0000000000000001E-3</v>
      </c>
      <c r="AD3770" s="508">
        <v>7.0000000000000001E-3</v>
      </c>
      <c r="AE3770" s="508">
        <v>6.0000000000000001E-3</v>
      </c>
      <c r="AF3770" s="508">
        <v>4.0000000000000001E-3</v>
      </c>
      <c r="AG3770" s="508">
        <v>4.0000000000000001E-3</v>
      </c>
      <c r="AH3770" s="508">
        <v>4.0000000000000001E-3</v>
      </c>
      <c r="AI3770" s="492">
        <v>4.0000000000000001E-3</v>
      </c>
      <c r="AJ3770" s="485"/>
    </row>
    <row r="3771" spans="2:36">
      <c r="B3771" s="136" t="s">
        <v>461</v>
      </c>
      <c r="C3771" s="132" t="s">
        <v>1365</v>
      </c>
      <c r="D3771" s="132" t="s">
        <v>284</v>
      </c>
      <c r="E3771" s="508">
        <v>0.17</v>
      </c>
      <c r="F3771" s="508">
        <v>0.158</v>
      </c>
      <c r="G3771" s="508">
        <v>0.155</v>
      </c>
      <c r="H3771" s="508">
        <v>0.13300000000000001</v>
      </c>
      <c r="I3771" s="508">
        <v>0.13300000000000001</v>
      </c>
      <c r="J3771" s="508">
        <v>0.13700000000000001</v>
      </c>
      <c r="K3771" s="508">
        <v>8.5000000000000006E-2</v>
      </c>
      <c r="L3771" s="508">
        <v>8.3000000000000004E-2</v>
      </c>
      <c r="M3771" s="508">
        <v>8.1000000000000003E-2</v>
      </c>
      <c r="N3771" s="508">
        <v>8.7999999999999995E-2</v>
      </c>
      <c r="O3771" s="508">
        <v>7.0999999999999994E-2</v>
      </c>
      <c r="P3771" s="508">
        <v>4.8000000000000001E-2</v>
      </c>
      <c r="Q3771" s="508">
        <v>5.1999999999999998E-2</v>
      </c>
      <c r="R3771" s="508">
        <v>4.1000000000000002E-2</v>
      </c>
      <c r="S3771" s="508">
        <v>3.6999999999999998E-2</v>
      </c>
      <c r="T3771" s="508">
        <v>3.6999999999999998E-2</v>
      </c>
      <c r="U3771" s="508">
        <v>2.3E-2</v>
      </c>
      <c r="V3771" s="508">
        <v>0.02</v>
      </c>
      <c r="W3771" s="508">
        <v>2.1000000000000001E-2</v>
      </c>
      <c r="X3771" s="508">
        <v>1.2999999999999999E-2</v>
      </c>
      <c r="Y3771" s="508">
        <v>1.2E-2</v>
      </c>
      <c r="Z3771" s="508">
        <v>0.01</v>
      </c>
      <c r="AA3771" s="508">
        <v>0.01</v>
      </c>
      <c r="AB3771" s="508">
        <v>8.9999999999999993E-3</v>
      </c>
      <c r="AC3771" s="508">
        <v>8.0000000000000002E-3</v>
      </c>
      <c r="AD3771" s="508">
        <v>7.0000000000000001E-3</v>
      </c>
      <c r="AE3771" s="508">
        <v>7.0000000000000001E-3</v>
      </c>
      <c r="AF3771" s="508">
        <v>5.0000000000000001E-3</v>
      </c>
      <c r="AG3771" s="508">
        <v>4.0000000000000001E-3</v>
      </c>
      <c r="AH3771" s="508">
        <v>4.0000000000000001E-3</v>
      </c>
      <c r="AI3771" s="492">
        <v>4.0000000000000001E-3</v>
      </c>
      <c r="AJ3771" s="485"/>
    </row>
    <row r="3772" spans="2:36">
      <c r="B3772" s="136" t="s">
        <v>462</v>
      </c>
      <c r="C3772" s="132" t="s">
        <v>1365</v>
      </c>
      <c r="D3772" s="132" t="s">
        <v>284</v>
      </c>
      <c r="E3772" s="508">
        <v>7.9000000000000001E-2</v>
      </c>
      <c r="F3772" s="508">
        <v>7.3999999999999996E-2</v>
      </c>
      <c r="G3772" s="508">
        <v>7.1999999999999995E-2</v>
      </c>
      <c r="H3772" s="508">
        <v>6.3E-2</v>
      </c>
      <c r="I3772" s="508">
        <v>6.3E-2</v>
      </c>
      <c r="J3772" s="508">
        <v>6.5000000000000002E-2</v>
      </c>
      <c r="K3772" s="508">
        <v>3.9E-2</v>
      </c>
      <c r="L3772" s="508">
        <v>3.7999999999999999E-2</v>
      </c>
      <c r="M3772" s="508">
        <v>3.6999999999999998E-2</v>
      </c>
      <c r="N3772" s="508">
        <v>4.2999999999999997E-2</v>
      </c>
      <c r="O3772" s="508">
        <v>3.3000000000000002E-2</v>
      </c>
      <c r="P3772" s="508">
        <v>2.1999999999999999E-2</v>
      </c>
      <c r="Q3772" s="508">
        <v>2.5000000000000001E-2</v>
      </c>
      <c r="R3772" s="508">
        <v>0.02</v>
      </c>
      <c r="S3772" s="508">
        <v>1.7000000000000001E-2</v>
      </c>
      <c r="T3772" s="508">
        <v>1.7999999999999999E-2</v>
      </c>
      <c r="U3772" s="508">
        <v>1.0999999999999999E-2</v>
      </c>
      <c r="V3772" s="508">
        <v>0.01</v>
      </c>
      <c r="W3772" s="508">
        <v>0.01</v>
      </c>
      <c r="X3772" s="508">
        <v>0.01</v>
      </c>
      <c r="Y3772" s="508">
        <v>0.01</v>
      </c>
      <c r="Z3772" s="508">
        <v>8.0000000000000002E-3</v>
      </c>
      <c r="AA3772" s="508">
        <v>8.0000000000000002E-3</v>
      </c>
      <c r="AB3772" s="508">
        <v>7.0000000000000001E-3</v>
      </c>
      <c r="AC3772" s="508">
        <v>7.0000000000000001E-3</v>
      </c>
      <c r="AD3772" s="508">
        <v>6.0000000000000001E-3</v>
      </c>
      <c r="AE3772" s="508">
        <v>6.0000000000000001E-3</v>
      </c>
      <c r="AF3772" s="508">
        <v>4.0000000000000001E-3</v>
      </c>
      <c r="AG3772" s="508">
        <v>4.0000000000000001E-3</v>
      </c>
      <c r="AH3772" s="508">
        <v>4.0000000000000001E-3</v>
      </c>
      <c r="AI3772" s="492">
        <v>4.0000000000000001E-3</v>
      </c>
      <c r="AJ3772" s="485"/>
    </row>
    <row r="3773" spans="2:36">
      <c r="B3773" s="136" t="s">
        <v>463</v>
      </c>
      <c r="C3773" s="132" t="s">
        <v>1365</v>
      </c>
      <c r="D3773" s="132" t="s">
        <v>284</v>
      </c>
      <c r="E3773" s="508">
        <v>0.113</v>
      </c>
      <c r="F3773" s="508">
        <v>0.108</v>
      </c>
      <c r="G3773" s="508">
        <v>0.106</v>
      </c>
      <c r="H3773" s="508">
        <v>8.8999999999999996E-2</v>
      </c>
      <c r="I3773" s="508">
        <v>8.8999999999999996E-2</v>
      </c>
      <c r="J3773" s="508">
        <v>9.6000000000000002E-2</v>
      </c>
      <c r="K3773" s="508">
        <v>5.6000000000000001E-2</v>
      </c>
      <c r="L3773" s="508">
        <v>5.5E-2</v>
      </c>
      <c r="M3773" s="508">
        <v>5.2999999999999999E-2</v>
      </c>
      <c r="N3773" s="508">
        <v>0.06</v>
      </c>
      <c r="O3773" s="508">
        <v>4.9000000000000002E-2</v>
      </c>
      <c r="P3773" s="508">
        <v>3.3000000000000002E-2</v>
      </c>
      <c r="Q3773" s="508">
        <v>3.5999999999999997E-2</v>
      </c>
      <c r="R3773" s="508">
        <v>2.9000000000000001E-2</v>
      </c>
      <c r="S3773" s="508">
        <v>2.5999999999999999E-2</v>
      </c>
      <c r="T3773" s="508">
        <v>2.7E-2</v>
      </c>
      <c r="U3773" s="508">
        <v>1.6E-2</v>
      </c>
      <c r="V3773" s="508">
        <v>1.4E-2</v>
      </c>
      <c r="W3773" s="508">
        <v>1.4E-2</v>
      </c>
      <c r="X3773" s="508">
        <v>0.01</v>
      </c>
      <c r="Y3773" s="508">
        <v>0.01</v>
      </c>
      <c r="Z3773" s="508">
        <v>8.0000000000000002E-3</v>
      </c>
      <c r="AA3773" s="508">
        <v>8.0000000000000002E-3</v>
      </c>
      <c r="AB3773" s="508">
        <v>7.0000000000000001E-3</v>
      </c>
      <c r="AC3773" s="508">
        <v>7.0000000000000001E-3</v>
      </c>
      <c r="AD3773" s="508">
        <v>6.0000000000000001E-3</v>
      </c>
      <c r="AE3773" s="508">
        <v>6.0000000000000001E-3</v>
      </c>
      <c r="AF3773" s="508">
        <v>4.0000000000000001E-3</v>
      </c>
      <c r="AG3773" s="508">
        <v>4.0000000000000001E-3</v>
      </c>
      <c r="AH3773" s="508">
        <v>4.0000000000000001E-3</v>
      </c>
      <c r="AI3773" s="492">
        <v>4.0000000000000001E-3</v>
      </c>
      <c r="AJ3773" s="485"/>
    </row>
    <row r="3774" spans="2:36">
      <c r="B3774" s="136" t="s">
        <v>464</v>
      </c>
      <c r="C3774" s="132" t="s">
        <v>1365</v>
      </c>
      <c r="D3774" s="132" t="s">
        <v>284</v>
      </c>
      <c r="E3774" s="508">
        <v>0.16400000000000001</v>
      </c>
      <c r="F3774" s="508">
        <v>0.153</v>
      </c>
      <c r="G3774" s="508">
        <v>0.151</v>
      </c>
      <c r="H3774" s="508">
        <v>0.129</v>
      </c>
      <c r="I3774" s="508">
        <v>0.13</v>
      </c>
      <c r="J3774" s="508">
        <v>0.13600000000000001</v>
      </c>
      <c r="K3774" s="508">
        <v>8.1000000000000003E-2</v>
      </c>
      <c r="L3774" s="508">
        <v>7.9000000000000001E-2</v>
      </c>
      <c r="M3774" s="508">
        <v>7.6999999999999999E-2</v>
      </c>
      <c r="N3774" s="508">
        <v>8.6999999999999994E-2</v>
      </c>
      <c r="O3774" s="508">
        <v>7.0000000000000007E-2</v>
      </c>
      <c r="P3774" s="508">
        <v>4.5999999999999999E-2</v>
      </c>
      <c r="Q3774" s="508">
        <v>5.0999999999999997E-2</v>
      </c>
      <c r="R3774" s="508">
        <v>0.04</v>
      </c>
      <c r="S3774" s="508">
        <v>3.5000000000000003E-2</v>
      </c>
      <c r="T3774" s="508">
        <v>3.5999999999999997E-2</v>
      </c>
      <c r="U3774" s="508">
        <v>0.02</v>
      </c>
      <c r="V3774" s="508">
        <v>1.9E-2</v>
      </c>
      <c r="W3774" s="508">
        <v>1.7999999999999999E-2</v>
      </c>
      <c r="X3774" s="508">
        <v>1.2E-2</v>
      </c>
      <c r="Y3774" s="508">
        <v>1.0999999999999999E-2</v>
      </c>
      <c r="Z3774" s="508">
        <v>8.9999999999999993E-3</v>
      </c>
      <c r="AA3774" s="508">
        <v>8.9999999999999993E-3</v>
      </c>
      <c r="AB3774" s="508">
        <v>8.0000000000000002E-3</v>
      </c>
      <c r="AC3774" s="508">
        <v>8.0000000000000002E-3</v>
      </c>
      <c r="AD3774" s="508">
        <v>7.0000000000000001E-3</v>
      </c>
      <c r="AE3774" s="508">
        <v>7.0000000000000001E-3</v>
      </c>
      <c r="AF3774" s="508">
        <v>4.0000000000000001E-3</v>
      </c>
      <c r="AG3774" s="508">
        <v>4.0000000000000001E-3</v>
      </c>
      <c r="AH3774" s="508">
        <v>4.0000000000000001E-3</v>
      </c>
      <c r="AI3774" s="492">
        <v>4.0000000000000001E-3</v>
      </c>
      <c r="AJ3774" s="485"/>
    </row>
    <row r="3775" spans="2:36">
      <c r="B3775" s="136" t="s">
        <v>465</v>
      </c>
      <c r="C3775" s="132" t="s">
        <v>1365</v>
      </c>
      <c r="D3775" s="132" t="s">
        <v>284</v>
      </c>
      <c r="E3775" s="508">
        <v>0.13600000000000001</v>
      </c>
      <c r="F3775" s="508">
        <v>0.128</v>
      </c>
      <c r="G3775" s="508">
        <v>0.126</v>
      </c>
      <c r="H3775" s="508">
        <v>0.106</v>
      </c>
      <c r="I3775" s="508">
        <v>0.107</v>
      </c>
      <c r="J3775" s="508">
        <v>0.112</v>
      </c>
      <c r="K3775" s="508">
        <v>6.8000000000000005E-2</v>
      </c>
      <c r="L3775" s="508">
        <v>6.6000000000000003E-2</v>
      </c>
      <c r="M3775" s="508">
        <v>6.4000000000000001E-2</v>
      </c>
      <c r="N3775" s="508">
        <v>7.0999999999999994E-2</v>
      </c>
      <c r="O3775" s="508">
        <v>5.8000000000000003E-2</v>
      </c>
      <c r="P3775" s="508">
        <v>3.9E-2</v>
      </c>
      <c r="Q3775" s="508">
        <v>4.2000000000000003E-2</v>
      </c>
      <c r="R3775" s="508">
        <v>3.4000000000000002E-2</v>
      </c>
      <c r="S3775" s="508">
        <v>0.03</v>
      </c>
      <c r="T3775" s="508">
        <v>3.1E-2</v>
      </c>
      <c r="U3775" s="508">
        <v>1.7999999999999999E-2</v>
      </c>
      <c r="V3775" s="508">
        <v>1.6E-2</v>
      </c>
      <c r="W3775" s="508">
        <v>1.6E-2</v>
      </c>
      <c r="X3775" s="508">
        <v>1.0999999999999999E-2</v>
      </c>
      <c r="Y3775" s="508">
        <v>1.0999999999999999E-2</v>
      </c>
      <c r="Z3775" s="508">
        <v>8.9999999999999993E-3</v>
      </c>
      <c r="AA3775" s="508">
        <v>8.9999999999999993E-3</v>
      </c>
      <c r="AB3775" s="508">
        <v>8.0000000000000002E-3</v>
      </c>
      <c r="AC3775" s="508">
        <v>8.0000000000000002E-3</v>
      </c>
      <c r="AD3775" s="508">
        <v>7.0000000000000001E-3</v>
      </c>
      <c r="AE3775" s="508">
        <v>7.0000000000000001E-3</v>
      </c>
      <c r="AF3775" s="508">
        <v>4.0000000000000001E-3</v>
      </c>
      <c r="AG3775" s="508">
        <v>4.0000000000000001E-3</v>
      </c>
      <c r="AH3775" s="508">
        <v>4.0000000000000001E-3</v>
      </c>
      <c r="AI3775" s="492">
        <v>4.0000000000000001E-3</v>
      </c>
      <c r="AJ3775" s="485"/>
    </row>
    <row r="3776" spans="2:36">
      <c r="B3776" s="136" t="s">
        <v>466</v>
      </c>
      <c r="C3776" s="132" t="s">
        <v>1365</v>
      </c>
      <c r="D3776" s="132" t="s">
        <v>284</v>
      </c>
      <c r="E3776" s="508">
        <v>0.09</v>
      </c>
      <c r="F3776" s="508">
        <v>8.3000000000000004E-2</v>
      </c>
      <c r="G3776" s="508">
        <v>8.1000000000000003E-2</v>
      </c>
      <c r="H3776" s="508">
        <v>6.9000000000000006E-2</v>
      </c>
      <c r="I3776" s="508">
        <v>7.0000000000000007E-2</v>
      </c>
      <c r="J3776" s="508">
        <v>7.0999999999999994E-2</v>
      </c>
      <c r="K3776" s="508">
        <v>4.4999999999999998E-2</v>
      </c>
      <c r="L3776" s="508">
        <v>4.3999999999999997E-2</v>
      </c>
      <c r="M3776" s="508">
        <v>4.2999999999999997E-2</v>
      </c>
      <c r="N3776" s="508">
        <v>4.4999999999999998E-2</v>
      </c>
      <c r="O3776" s="508">
        <v>3.6999999999999998E-2</v>
      </c>
      <c r="P3776" s="508">
        <v>2.5999999999999999E-2</v>
      </c>
      <c r="Q3776" s="508">
        <v>2.7E-2</v>
      </c>
      <c r="R3776" s="508">
        <v>2.1999999999999999E-2</v>
      </c>
      <c r="S3776" s="508">
        <v>0.02</v>
      </c>
      <c r="T3776" s="508">
        <v>0.02</v>
      </c>
      <c r="U3776" s="508">
        <v>1.2E-2</v>
      </c>
      <c r="V3776" s="508">
        <v>1.0999999999999999E-2</v>
      </c>
      <c r="W3776" s="508">
        <v>1.0999999999999999E-2</v>
      </c>
      <c r="X3776" s="508">
        <v>0.01</v>
      </c>
      <c r="Y3776" s="508">
        <v>8.9999999999999993E-3</v>
      </c>
      <c r="Z3776" s="508">
        <v>8.0000000000000002E-3</v>
      </c>
      <c r="AA3776" s="508">
        <v>8.0000000000000002E-3</v>
      </c>
      <c r="AB3776" s="508">
        <v>7.0000000000000001E-3</v>
      </c>
      <c r="AC3776" s="508">
        <v>7.0000000000000001E-3</v>
      </c>
      <c r="AD3776" s="508">
        <v>6.0000000000000001E-3</v>
      </c>
      <c r="AE3776" s="508">
        <v>6.0000000000000001E-3</v>
      </c>
      <c r="AF3776" s="508">
        <v>4.0000000000000001E-3</v>
      </c>
      <c r="AG3776" s="508">
        <v>4.0000000000000001E-3</v>
      </c>
      <c r="AH3776" s="508">
        <v>4.0000000000000001E-3</v>
      </c>
      <c r="AI3776" s="492">
        <v>4.0000000000000001E-3</v>
      </c>
      <c r="AJ3776" s="485"/>
    </row>
    <row r="3777" spans="2:36">
      <c r="B3777" s="136" t="s">
        <v>467</v>
      </c>
      <c r="C3777" s="132" t="s">
        <v>1365</v>
      </c>
      <c r="D3777" s="132" t="s">
        <v>284</v>
      </c>
      <c r="E3777" s="508">
        <v>0.155</v>
      </c>
      <c r="F3777" s="508">
        <v>0.14399999999999999</v>
      </c>
      <c r="G3777" s="508">
        <v>0.14099999999999999</v>
      </c>
      <c r="H3777" s="508">
        <v>0.121</v>
      </c>
      <c r="I3777" s="508">
        <v>0.122</v>
      </c>
      <c r="J3777" s="508">
        <v>0.125</v>
      </c>
      <c r="K3777" s="508">
        <v>7.6999999999999999E-2</v>
      </c>
      <c r="L3777" s="508">
        <v>7.4999999999999997E-2</v>
      </c>
      <c r="M3777" s="508">
        <v>7.3999999999999996E-2</v>
      </c>
      <c r="N3777" s="508">
        <v>8.1000000000000003E-2</v>
      </c>
      <c r="O3777" s="508">
        <v>6.5000000000000002E-2</v>
      </c>
      <c r="P3777" s="508">
        <v>4.3999999999999997E-2</v>
      </c>
      <c r="Q3777" s="508">
        <v>4.7E-2</v>
      </c>
      <c r="R3777" s="508">
        <v>3.7999999999999999E-2</v>
      </c>
      <c r="S3777" s="508">
        <v>3.4000000000000002E-2</v>
      </c>
      <c r="T3777" s="508">
        <v>3.4000000000000002E-2</v>
      </c>
      <c r="U3777" s="508">
        <v>0.02</v>
      </c>
      <c r="V3777" s="508">
        <v>1.7999999999999999E-2</v>
      </c>
      <c r="W3777" s="508">
        <v>1.7999999999999999E-2</v>
      </c>
      <c r="X3777" s="508">
        <v>1.2E-2</v>
      </c>
      <c r="Y3777" s="508">
        <v>1.0999999999999999E-2</v>
      </c>
      <c r="Z3777" s="508">
        <v>8.9999999999999993E-3</v>
      </c>
      <c r="AA3777" s="508">
        <v>8.9999999999999993E-3</v>
      </c>
      <c r="AB3777" s="508">
        <v>8.0000000000000002E-3</v>
      </c>
      <c r="AC3777" s="508">
        <v>8.0000000000000002E-3</v>
      </c>
      <c r="AD3777" s="508">
        <v>7.0000000000000001E-3</v>
      </c>
      <c r="AE3777" s="508">
        <v>7.0000000000000001E-3</v>
      </c>
      <c r="AF3777" s="508">
        <v>4.0000000000000001E-3</v>
      </c>
      <c r="AG3777" s="508">
        <v>4.0000000000000001E-3</v>
      </c>
      <c r="AH3777" s="508">
        <v>4.0000000000000001E-3</v>
      </c>
      <c r="AI3777" s="492">
        <v>4.0000000000000001E-3</v>
      </c>
      <c r="AJ3777" s="485"/>
    </row>
    <row r="3778" spans="2:36">
      <c r="B3778" s="136" t="s">
        <v>468</v>
      </c>
      <c r="C3778" s="132" t="s">
        <v>1365</v>
      </c>
      <c r="D3778" s="132" t="s">
        <v>284</v>
      </c>
      <c r="E3778" s="508">
        <v>0.121</v>
      </c>
      <c r="F3778" s="508">
        <v>0.11600000000000001</v>
      </c>
      <c r="G3778" s="508">
        <v>0.114</v>
      </c>
      <c r="H3778" s="508">
        <v>9.5000000000000001E-2</v>
      </c>
      <c r="I3778" s="508">
        <v>9.5000000000000001E-2</v>
      </c>
      <c r="J3778" s="508">
        <v>0.10299999999999999</v>
      </c>
      <c r="K3778" s="508">
        <v>0.06</v>
      </c>
      <c r="L3778" s="508">
        <v>5.8000000000000003E-2</v>
      </c>
      <c r="M3778" s="508">
        <v>5.7000000000000002E-2</v>
      </c>
      <c r="N3778" s="508">
        <v>6.4000000000000001E-2</v>
      </c>
      <c r="O3778" s="508">
        <v>5.2999999999999999E-2</v>
      </c>
      <c r="P3778" s="508">
        <v>3.5000000000000003E-2</v>
      </c>
      <c r="Q3778" s="508">
        <v>3.7999999999999999E-2</v>
      </c>
      <c r="R3778" s="508">
        <v>3.1E-2</v>
      </c>
      <c r="S3778" s="508">
        <v>2.8000000000000001E-2</v>
      </c>
      <c r="T3778" s="508">
        <v>2.9000000000000001E-2</v>
      </c>
      <c r="U3778" s="508">
        <v>1.6E-2</v>
      </c>
      <c r="V3778" s="508">
        <v>1.4E-2</v>
      </c>
      <c r="W3778" s="508">
        <v>1.4999999999999999E-2</v>
      </c>
      <c r="X3778" s="508">
        <v>0.01</v>
      </c>
      <c r="Y3778" s="508">
        <v>0.01</v>
      </c>
      <c r="Z3778" s="508">
        <v>8.0000000000000002E-3</v>
      </c>
      <c r="AA3778" s="508">
        <v>8.0000000000000002E-3</v>
      </c>
      <c r="AB3778" s="508">
        <v>7.0000000000000001E-3</v>
      </c>
      <c r="AC3778" s="508">
        <v>7.0000000000000001E-3</v>
      </c>
      <c r="AD3778" s="508">
        <v>6.0000000000000001E-3</v>
      </c>
      <c r="AE3778" s="508">
        <v>6.0000000000000001E-3</v>
      </c>
      <c r="AF3778" s="508">
        <v>4.0000000000000001E-3</v>
      </c>
      <c r="AG3778" s="508">
        <v>4.0000000000000001E-3</v>
      </c>
      <c r="AH3778" s="508">
        <v>4.0000000000000001E-3</v>
      </c>
      <c r="AI3778" s="492">
        <v>4.0000000000000001E-3</v>
      </c>
      <c r="AJ3778" s="485"/>
    </row>
    <row r="3779" spans="2:36">
      <c r="B3779" s="136" t="s">
        <v>469</v>
      </c>
      <c r="C3779" s="132" t="s">
        <v>1365</v>
      </c>
      <c r="D3779" s="132" t="s">
        <v>284</v>
      </c>
      <c r="E3779" s="508">
        <v>0.106</v>
      </c>
      <c r="F3779" s="508">
        <v>9.9000000000000005E-2</v>
      </c>
      <c r="G3779" s="508">
        <v>9.7000000000000003E-2</v>
      </c>
      <c r="H3779" s="508">
        <v>8.3000000000000004E-2</v>
      </c>
      <c r="I3779" s="508">
        <v>8.3000000000000004E-2</v>
      </c>
      <c r="J3779" s="508">
        <v>8.6999999999999994E-2</v>
      </c>
      <c r="K3779" s="508">
        <v>5.1999999999999998E-2</v>
      </c>
      <c r="L3779" s="508">
        <v>5.0999999999999997E-2</v>
      </c>
      <c r="M3779" s="508">
        <v>0.05</v>
      </c>
      <c r="N3779" s="508">
        <v>5.6000000000000001E-2</v>
      </c>
      <c r="O3779" s="508">
        <v>4.4999999999999998E-2</v>
      </c>
      <c r="P3779" s="508">
        <v>0.03</v>
      </c>
      <c r="Q3779" s="508">
        <v>3.3000000000000002E-2</v>
      </c>
      <c r="R3779" s="508">
        <v>2.5999999999999999E-2</v>
      </c>
      <c r="S3779" s="508">
        <v>2.3E-2</v>
      </c>
      <c r="T3779" s="508">
        <v>2.4E-2</v>
      </c>
      <c r="U3779" s="508">
        <v>1.4E-2</v>
      </c>
      <c r="V3779" s="508">
        <v>1.2999999999999999E-2</v>
      </c>
      <c r="W3779" s="508">
        <v>1.2999999999999999E-2</v>
      </c>
      <c r="X3779" s="508">
        <v>0.01</v>
      </c>
      <c r="Y3779" s="508">
        <v>0.01</v>
      </c>
      <c r="Z3779" s="508">
        <v>8.0000000000000002E-3</v>
      </c>
      <c r="AA3779" s="508">
        <v>8.0000000000000002E-3</v>
      </c>
      <c r="AB3779" s="508">
        <v>7.0000000000000001E-3</v>
      </c>
      <c r="AC3779" s="508">
        <v>7.0000000000000001E-3</v>
      </c>
      <c r="AD3779" s="508">
        <v>6.0000000000000001E-3</v>
      </c>
      <c r="AE3779" s="508">
        <v>6.0000000000000001E-3</v>
      </c>
      <c r="AF3779" s="508">
        <v>4.0000000000000001E-3</v>
      </c>
      <c r="AG3779" s="508">
        <v>4.0000000000000001E-3</v>
      </c>
      <c r="AH3779" s="508">
        <v>4.0000000000000001E-3</v>
      </c>
      <c r="AI3779" s="492">
        <v>4.0000000000000001E-3</v>
      </c>
      <c r="AJ3779" s="485"/>
    </row>
    <row r="3780" spans="2:36">
      <c r="B3780" s="136" t="s">
        <v>470</v>
      </c>
      <c r="C3780" s="132" t="s">
        <v>1365</v>
      </c>
      <c r="D3780" s="132" t="s">
        <v>284</v>
      </c>
      <c r="E3780" s="508">
        <v>0.14000000000000001</v>
      </c>
      <c r="F3780" s="508">
        <v>0.13100000000000001</v>
      </c>
      <c r="G3780" s="508">
        <v>0.128</v>
      </c>
      <c r="H3780" s="508">
        <v>0.109</v>
      </c>
      <c r="I3780" s="508">
        <v>0.11</v>
      </c>
      <c r="J3780" s="508">
        <v>0.112</v>
      </c>
      <c r="K3780" s="508">
        <v>7.0999999999999994E-2</v>
      </c>
      <c r="L3780" s="508">
        <v>6.9000000000000006E-2</v>
      </c>
      <c r="M3780" s="508">
        <v>6.7000000000000004E-2</v>
      </c>
      <c r="N3780" s="508">
        <v>7.0999999999999994E-2</v>
      </c>
      <c r="O3780" s="508">
        <v>5.8999999999999997E-2</v>
      </c>
      <c r="P3780" s="508">
        <v>4.1000000000000002E-2</v>
      </c>
      <c r="Q3780" s="508">
        <v>4.2000000000000003E-2</v>
      </c>
      <c r="R3780" s="508">
        <v>3.4000000000000002E-2</v>
      </c>
      <c r="S3780" s="508">
        <v>3.1E-2</v>
      </c>
      <c r="T3780" s="508">
        <v>3.1E-2</v>
      </c>
      <c r="U3780" s="508">
        <v>0.02</v>
      </c>
      <c r="V3780" s="508">
        <v>1.7000000000000001E-2</v>
      </c>
      <c r="W3780" s="508">
        <v>1.7000000000000001E-2</v>
      </c>
      <c r="X3780" s="508">
        <v>1.2E-2</v>
      </c>
      <c r="Y3780" s="508">
        <v>1.0999999999999999E-2</v>
      </c>
      <c r="Z3780" s="508">
        <v>8.9999999999999993E-3</v>
      </c>
      <c r="AA3780" s="508">
        <v>8.9999999999999993E-3</v>
      </c>
      <c r="AB3780" s="508">
        <v>8.0000000000000002E-3</v>
      </c>
      <c r="AC3780" s="508">
        <v>8.0000000000000002E-3</v>
      </c>
      <c r="AD3780" s="508">
        <v>7.0000000000000001E-3</v>
      </c>
      <c r="AE3780" s="508">
        <v>7.0000000000000001E-3</v>
      </c>
      <c r="AF3780" s="508">
        <v>4.0000000000000001E-3</v>
      </c>
      <c r="AG3780" s="508">
        <v>4.0000000000000001E-3</v>
      </c>
      <c r="AH3780" s="508">
        <v>4.0000000000000001E-3</v>
      </c>
      <c r="AI3780" s="492">
        <v>4.0000000000000001E-3</v>
      </c>
      <c r="AJ3780" s="485"/>
    </row>
    <row r="3781" spans="2:36">
      <c r="B3781" s="136" t="s">
        <v>471</v>
      </c>
      <c r="C3781" s="132" t="s">
        <v>1365</v>
      </c>
      <c r="D3781" s="132" t="s">
        <v>284</v>
      </c>
      <c r="E3781" s="508">
        <v>9.6000000000000002E-2</v>
      </c>
      <c r="F3781" s="508">
        <v>8.8999999999999996E-2</v>
      </c>
      <c r="G3781" s="508">
        <v>8.7999999999999995E-2</v>
      </c>
      <c r="H3781" s="508">
        <v>7.4999999999999997E-2</v>
      </c>
      <c r="I3781" s="508">
        <v>7.5999999999999998E-2</v>
      </c>
      <c r="J3781" s="508">
        <v>7.8E-2</v>
      </c>
      <c r="K3781" s="508">
        <v>4.8000000000000001E-2</v>
      </c>
      <c r="L3781" s="508">
        <v>4.7E-2</v>
      </c>
      <c r="M3781" s="508">
        <v>4.5999999999999999E-2</v>
      </c>
      <c r="N3781" s="508">
        <v>0.05</v>
      </c>
      <c r="O3781" s="508">
        <v>0.04</v>
      </c>
      <c r="P3781" s="508">
        <v>2.8000000000000001E-2</v>
      </c>
      <c r="Q3781" s="508">
        <v>0.03</v>
      </c>
      <c r="R3781" s="508">
        <v>2.4E-2</v>
      </c>
      <c r="S3781" s="508">
        <v>2.1000000000000001E-2</v>
      </c>
      <c r="T3781" s="508">
        <v>2.1000000000000001E-2</v>
      </c>
      <c r="U3781" s="508">
        <v>1.4E-2</v>
      </c>
      <c r="V3781" s="508">
        <v>1.2999999999999999E-2</v>
      </c>
      <c r="W3781" s="508">
        <v>1.2999999999999999E-2</v>
      </c>
      <c r="X3781" s="508">
        <v>1.0999999999999999E-2</v>
      </c>
      <c r="Y3781" s="508">
        <v>0.01</v>
      </c>
      <c r="Z3781" s="508">
        <v>8.9999999999999993E-3</v>
      </c>
      <c r="AA3781" s="508">
        <v>8.0000000000000002E-3</v>
      </c>
      <c r="AB3781" s="508">
        <v>7.0000000000000001E-3</v>
      </c>
      <c r="AC3781" s="508">
        <v>7.0000000000000001E-3</v>
      </c>
      <c r="AD3781" s="508">
        <v>6.0000000000000001E-3</v>
      </c>
      <c r="AE3781" s="508">
        <v>6.0000000000000001E-3</v>
      </c>
      <c r="AF3781" s="508">
        <v>4.0000000000000001E-3</v>
      </c>
      <c r="AG3781" s="508">
        <v>4.0000000000000001E-3</v>
      </c>
      <c r="AH3781" s="508">
        <v>4.0000000000000001E-3</v>
      </c>
      <c r="AI3781" s="492">
        <v>4.0000000000000001E-3</v>
      </c>
      <c r="AJ3781" s="485"/>
    </row>
    <row r="3782" spans="2:36">
      <c r="B3782" s="136" t="s">
        <v>472</v>
      </c>
      <c r="C3782" s="132" t="s">
        <v>1365</v>
      </c>
      <c r="D3782" s="132" t="s">
        <v>284</v>
      </c>
      <c r="E3782" s="508">
        <v>0.188</v>
      </c>
      <c r="F3782" s="508">
        <v>0.17499999999999999</v>
      </c>
      <c r="G3782" s="508">
        <v>0.17199999999999999</v>
      </c>
      <c r="H3782" s="508">
        <v>0.14799999999999999</v>
      </c>
      <c r="I3782" s="508">
        <v>0.14799999999999999</v>
      </c>
      <c r="J3782" s="508">
        <v>0.154</v>
      </c>
      <c r="K3782" s="508">
        <v>9.2999999999999999E-2</v>
      </c>
      <c r="L3782" s="508">
        <v>9.0999999999999998E-2</v>
      </c>
      <c r="M3782" s="508">
        <v>8.7999999999999995E-2</v>
      </c>
      <c r="N3782" s="508">
        <v>0.1</v>
      </c>
      <c r="O3782" s="508">
        <v>0.08</v>
      </c>
      <c r="P3782" s="508">
        <v>5.1999999999999998E-2</v>
      </c>
      <c r="Q3782" s="508">
        <v>5.8000000000000003E-2</v>
      </c>
      <c r="R3782" s="508">
        <v>4.5999999999999999E-2</v>
      </c>
      <c r="S3782" s="508">
        <v>0.04</v>
      </c>
      <c r="T3782" s="508">
        <v>4.1000000000000002E-2</v>
      </c>
      <c r="U3782" s="508">
        <v>2.4E-2</v>
      </c>
      <c r="V3782" s="508">
        <v>2.1999999999999999E-2</v>
      </c>
      <c r="W3782" s="508">
        <v>2.1999999999999999E-2</v>
      </c>
      <c r="X3782" s="508">
        <v>1.2999999999999999E-2</v>
      </c>
      <c r="Y3782" s="508">
        <v>1.2999999999999999E-2</v>
      </c>
      <c r="Z3782" s="508">
        <v>1.0999999999999999E-2</v>
      </c>
      <c r="AA3782" s="508">
        <v>0.01</v>
      </c>
      <c r="AB3782" s="508">
        <v>8.9999999999999993E-3</v>
      </c>
      <c r="AC3782" s="508">
        <v>8.9999999999999993E-3</v>
      </c>
      <c r="AD3782" s="508">
        <v>8.0000000000000002E-3</v>
      </c>
      <c r="AE3782" s="508">
        <v>7.0000000000000001E-3</v>
      </c>
      <c r="AF3782" s="508">
        <v>5.0000000000000001E-3</v>
      </c>
      <c r="AG3782" s="508">
        <v>5.0000000000000001E-3</v>
      </c>
      <c r="AH3782" s="508">
        <v>4.0000000000000001E-3</v>
      </c>
      <c r="AI3782" s="492">
        <v>4.0000000000000001E-3</v>
      </c>
      <c r="AJ3782" s="485"/>
    </row>
    <row r="3783" spans="2:36">
      <c r="B3783" s="136" t="s">
        <v>473</v>
      </c>
      <c r="C3783" s="132" t="s">
        <v>1365</v>
      </c>
      <c r="D3783" s="132" t="s">
        <v>284</v>
      </c>
      <c r="E3783" s="508">
        <v>0.13300000000000001</v>
      </c>
      <c r="F3783" s="508">
        <v>0.123</v>
      </c>
      <c r="G3783" s="508">
        <v>0.121</v>
      </c>
      <c r="H3783" s="508">
        <v>0.104</v>
      </c>
      <c r="I3783" s="508">
        <v>0.104</v>
      </c>
      <c r="J3783" s="508">
        <v>0.105</v>
      </c>
      <c r="K3783" s="508">
        <v>6.7000000000000004E-2</v>
      </c>
      <c r="L3783" s="508">
        <v>6.5000000000000002E-2</v>
      </c>
      <c r="M3783" s="508">
        <v>6.4000000000000001E-2</v>
      </c>
      <c r="N3783" s="508">
        <v>6.7000000000000004E-2</v>
      </c>
      <c r="O3783" s="508">
        <v>5.5E-2</v>
      </c>
      <c r="P3783" s="508">
        <v>3.7999999999999999E-2</v>
      </c>
      <c r="Q3783" s="508">
        <v>0.04</v>
      </c>
      <c r="R3783" s="508">
        <v>3.3000000000000002E-2</v>
      </c>
      <c r="S3783" s="508">
        <v>2.9000000000000001E-2</v>
      </c>
      <c r="T3783" s="508">
        <v>2.9000000000000001E-2</v>
      </c>
      <c r="U3783" s="508">
        <v>1.7000000000000001E-2</v>
      </c>
      <c r="V3783" s="508">
        <v>1.4999999999999999E-2</v>
      </c>
      <c r="W3783" s="508">
        <v>1.4999999999999999E-2</v>
      </c>
      <c r="X3783" s="508">
        <v>0.01</v>
      </c>
      <c r="Y3783" s="508">
        <v>0.01</v>
      </c>
      <c r="Z3783" s="508">
        <v>8.0000000000000002E-3</v>
      </c>
      <c r="AA3783" s="508">
        <v>8.0000000000000002E-3</v>
      </c>
      <c r="AB3783" s="508">
        <v>7.0000000000000001E-3</v>
      </c>
      <c r="AC3783" s="508">
        <v>7.0000000000000001E-3</v>
      </c>
      <c r="AD3783" s="508">
        <v>6.0000000000000001E-3</v>
      </c>
      <c r="AE3783" s="508">
        <v>6.0000000000000001E-3</v>
      </c>
      <c r="AF3783" s="508">
        <v>4.0000000000000001E-3</v>
      </c>
      <c r="AG3783" s="508">
        <v>4.0000000000000001E-3</v>
      </c>
      <c r="AH3783" s="508">
        <v>4.0000000000000001E-3</v>
      </c>
      <c r="AI3783" s="492">
        <v>4.0000000000000001E-3</v>
      </c>
      <c r="AJ3783" s="485"/>
    </row>
    <row r="3784" spans="2:36">
      <c r="B3784" s="136" t="s">
        <v>474</v>
      </c>
      <c r="C3784" s="132" t="s">
        <v>1365</v>
      </c>
      <c r="D3784" s="132" t="s">
        <v>284</v>
      </c>
      <c r="E3784" s="508">
        <v>9.2999999999999999E-2</v>
      </c>
      <c r="F3784" s="508">
        <v>8.5999999999999993E-2</v>
      </c>
      <c r="G3784" s="508">
        <v>8.5000000000000006E-2</v>
      </c>
      <c r="H3784" s="508">
        <v>7.2999999999999995E-2</v>
      </c>
      <c r="I3784" s="508">
        <v>7.2999999999999995E-2</v>
      </c>
      <c r="J3784" s="508">
        <v>7.5999999999999998E-2</v>
      </c>
      <c r="K3784" s="508">
        <v>4.5999999999999999E-2</v>
      </c>
      <c r="L3784" s="508">
        <v>4.4999999999999998E-2</v>
      </c>
      <c r="M3784" s="508">
        <v>4.3999999999999997E-2</v>
      </c>
      <c r="N3784" s="508">
        <v>4.8000000000000001E-2</v>
      </c>
      <c r="O3784" s="508">
        <v>3.9E-2</v>
      </c>
      <c r="P3784" s="508">
        <v>2.7E-2</v>
      </c>
      <c r="Q3784" s="508">
        <v>2.9000000000000001E-2</v>
      </c>
      <c r="R3784" s="508">
        <v>2.3E-2</v>
      </c>
      <c r="S3784" s="508">
        <v>0.02</v>
      </c>
      <c r="T3784" s="508">
        <v>2.1000000000000001E-2</v>
      </c>
      <c r="U3784" s="508">
        <v>1.2999999999999999E-2</v>
      </c>
      <c r="V3784" s="508">
        <v>1.0999999999999999E-2</v>
      </c>
      <c r="W3784" s="508">
        <v>1.0999999999999999E-2</v>
      </c>
      <c r="X3784" s="508">
        <v>0.01</v>
      </c>
      <c r="Y3784" s="508">
        <v>8.9999999999999993E-3</v>
      </c>
      <c r="Z3784" s="508">
        <v>8.0000000000000002E-3</v>
      </c>
      <c r="AA3784" s="508">
        <v>8.0000000000000002E-3</v>
      </c>
      <c r="AB3784" s="508">
        <v>7.0000000000000001E-3</v>
      </c>
      <c r="AC3784" s="508">
        <v>7.0000000000000001E-3</v>
      </c>
      <c r="AD3784" s="508">
        <v>6.0000000000000001E-3</v>
      </c>
      <c r="AE3784" s="508">
        <v>6.0000000000000001E-3</v>
      </c>
      <c r="AF3784" s="508">
        <v>4.0000000000000001E-3</v>
      </c>
      <c r="AG3784" s="508">
        <v>4.0000000000000001E-3</v>
      </c>
      <c r="AH3784" s="508">
        <v>4.0000000000000001E-3</v>
      </c>
      <c r="AI3784" s="492">
        <v>4.0000000000000001E-3</v>
      </c>
      <c r="AJ3784" s="485"/>
    </row>
    <row r="3785" spans="2:36">
      <c r="B3785" s="136" t="s">
        <v>475</v>
      </c>
      <c r="C3785" s="132" t="s">
        <v>1365</v>
      </c>
      <c r="D3785" s="132" t="s">
        <v>284</v>
      </c>
      <c r="E3785" s="508">
        <v>0.13100000000000001</v>
      </c>
      <c r="F3785" s="508">
        <v>0.122</v>
      </c>
      <c r="G3785" s="508">
        <v>0.11899999999999999</v>
      </c>
      <c r="H3785" s="508">
        <v>0.10199999999999999</v>
      </c>
      <c r="I3785" s="508">
        <v>0.10299999999999999</v>
      </c>
      <c r="J3785" s="508">
        <v>0.106</v>
      </c>
      <c r="K3785" s="508">
        <v>6.5000000000000002E-2</v>
      </c>
      <c r="L3785" s="508">
        <v>6.3E-2</v>
      </c>
      <c r="M3785" s="508">
        <v>6.2E-2</v>
      </c>
      <c r="N3785" s="508">
        <v>6.8000000000000005E-2</v>
      </c>
      <c r="O3785" s="508">
        <v>5.5E-2</v>
      </c>
      <c r="P3785" s="508">
        <v>3.6999999999999998E-2</v>
      </c>
      <c r="Q3785" s="508">
        <v>0.04</v>
      </c>
      <c r="R3785" s="508">
        <v>3.2000000000000001E-2</v>
      </c>
      <c r="S3785" s="508">
        <v>2.8000000000000001E-2</v>
      </c>
      <c r="T3785" s="508">
        <v>2.9000000000000001E-2</v>
      </c>
      <c r="U3785" s="508">
        <v>1.7000000000000001E-2</v>
      </c>
      <c r="V3785" s="508">
        <v>1.4999999999999999E-2</v>
      </c>
      <c r="W3785" s="508">
        <v>1.4999999999999999E-2</v>
      </c>
      <c r="X3785" s="508">
        <v>1.0999999999999999E-2</v>
      </c>
      <c r="Y3785" s="508">
        <v>0.01</v>
      </c>
      <c r="Z3785" s="508">
        <v>8.0000000000000002E-3</v>
      </c>
      <c r="AA3785" s="508">
        <v>8.0000000000000002E-3</v>
      </c>
      <c r="AB3785" s="508">
        <v>7.0000000000000001E-3</v>
      </c>
      <c r="AC3785" s="508">
        <v>7.0000000000000001E-3</v>
      </c>
      <c r="AD3785" s="508">
        <v>6.0000000000000001E-3</v>
      </c>
      <c r="AE3785" s="508">
        <v>6.0000000000000001E-3</v>
      </c>
      <c r="AF3785" s="508">
        <v>4.0000000000000001E-3</v>
      </c>
      <c r="AG3785" s="508">
        <v>4.0000000000000001E-3</v>
      </c>
      <c r="AH3785" s="508">
        <v>4.0000000000000001E-3</v>
      </c>
      <c r="AI3785" s="492">
        <v>4.0000000000000001E-3</v>
      </c>
      <c r="AJ3785" s="485"/>
    </row>
    <row r="3786" spans="2:36">
      <c r="B3786" s="136" t="s">
        <v>476</v>
      </c>
      <c r="C3786" s="132" t="s">
        <v>1365</v>
      </c>
      <c r="D3786" s="132" t="s">
        <v>284</v>
      </c>
      <c r="E3786" s="508">
        <v>0.13300000000000001</v>
      </c>
      <c r="F3786" s="508">
        <v>0.124</v>
      </c>
      <c r="G3786" s="508">
        <v>0.122</v>
      </c>
      <c r="H3786" s="508">
        <v>0.104</v>
      </c>
      <c r="I3786" s="508">
        <v>0.104</v>
      </c>
      <c r="J3786" s="508">
        <v>0.107</v>
      </c>
      <c r="K3786" s="508">
        <v>6.7000000000000004E-2</v>
      </c>
      <c r="L3786" s="508">
        <v>6.5000000000000002E-2</v>
      </c>
      <c r="M3786" s="508">
        <v>6.4000000000000001E-2</v>
      </c>
      <c r="N3786" s="508">
        <v>6.7000000000000004E-2</v>
      </c>
      <c r="O3786" s="508">
        <v>5.6000000000000001E-2</v>
      </c>
      <c r="P3786" s="508">
        <v>3.7999999999999999E-2</v>
      </c>
      <c r="Q3786" s="508">
        <v>0.04</v>
      </c>
      <c r="R3786" s="508">
        <v>3.3000000000000002E-2</v>
      </c>
      <c r="S3786" s="508">
        <v>0.03</v>
      </c>
      <c r="T3786" s="508">
        <v>0.03</v>
      </c>
      <c r="U3786" s="508">
        <v>1.9E-2</v>
      </c>
      <c r="V3786" s="508">
        <v>1.6E-2</v>
      </c>
      <c r="W3786" s="508">
        <v>1.6E-2</v>
      </c>
      <c r="X3786" s="508">
        <v>1.0999999999999999E-2</v>
      </c>
      <c r="Y3786" s="508">
        <v>1.0999999999999999E-2</v>
      </c>
      <c r="Z3786" s="508">
        <v>8.9999999999999993E-3</v>
      </c>
      <c r="AA3786" s="508">
        <v>8.9999999999999993E-3</v>
      </c>
      <c r="AB3786" s="508">
        <v>8.0000000000000002E-3</v>
      </c>
      <c r="AC3786" s="508">
        <v>8.0000000000000002E-3</v>
      </c>
      <c r="AD3786" s="508">
        <v>7.0000000000000001E-3</v>
      </c>
      <c r="AE3786" s="508">
        <v>7.0000000000000001E-3</v>
      </c>
      <c r="AF3786" s="508">
        <v>4.0000000000000001E-3</v>
      </c>
      <c r="AG3786" s="508">
        <v>4.0000000000000001E-3</v>
      </c>
      <c r="AH3786" s="508">
        <v>4.0000000000000001E-3</v>
      </c>
      <c r="AI3786" s="492">
        <v>4.0000000000000001E-3</v>
      </c>
      <c r="AJ3786" s="485"/>
    </row>
    <row r="3787" spans="2:36">
      <c r="B3787" s="136" t="s">
        <v>478</v>
      </c>
      <c r="C3787" s="132" t="s">
        <v>1365</v>
      </c>
      <c r="D3787" s="132" t="s">
        <v>284</v>
      </c>
      <c r="E3787" s="508">
        <v>0.14199999999999999</v>
      </c>
      <c r="F3787" s="508">
        <v>0.13300000000000001</v>
      </c>
      <c r="G3787" s="508">
        <v>0.13100000000000001</v>
      </c>
      <c r="H3787" s="508">
        <v>0.11</v>
      </c>
      <c r="I3787" s="508">
        <v>0.111</v>
      </c>
      <c r="J3787" s="508">
        <v>0.113</v>
      </c>
      <c r="K3787" s="508">
        <v>7.1999999999999995E-2</v>
      </c>
      <c r="L3787" s="508">
        <v>7.0999999999999994E-2</v>
      </c>
      <c r="M3787" s="508">
        <v>6.9000000000000006E-2</v>
      </c>
      <c r="N3787" s="508">
        <v>7.0000000000000007E-2</v>
      </c>
      <c r="O3787" s="508">
        <v>0.06</v>
      </c>
      <c r="P3787" s="508">
        <v>4.2000000000000003E-2</v>
      </c>
      <c r="Q3787" s="508">
        <v>4.2999999999999997E-2</v>
      </c>
      <c r="R3787" s="508">
        <v>3.5000000000000003E-2</v>
      </c>
      <c r="S3787" s="508">
        <v>3.3000000000000002E-2</v>
      </c>
      <c r="T3787" s="508">
        <v>3.2000000000000001E-2</v>
      </c>
      <c r="U3787" s="508">
        <v>0.02</v>
      </c>
      <c r="V3787" s="508">
        <v>1.7000000000000001E-2</v>
      </c>
      <c r="W3787" s="508">
        <v>1.7000000000000001E-2</v>
      </c>
      <c r="X3787" s="508">
        <v>1.0999999999999999E-2</v>
      </c>
      <c r="Y3787" s="508">
        <v>1.0999999999999999E-2</v>
      </c>
      <c r="Z3787" s="508">
        <v>8.9999999999999993E-3</v>
      </c>
      <c r="AA3787" s="508">
        <v>8.9999999999999993E-3</v>
      </c>
      <c r="AB3787" s="508">
        <v>8.0000000000000002E-3</v>
      </c>
      <c r="AC3787" s="508">
        <v>8.0000000000000002E-3</v>
      </c>
      <c r="AD3787" s="508">
        <v>7.0000000000000001E-3</v>
      </c>
      <c r="AE3787" s="508">
        <v>7.0000000000000001E-3</v>
      </c>
      <c r="AF3787" s="508">
        <v>4.0000000000000001E-3</v>
      </c>
      <c r="AG3787" s="508">
        <v>4.0000000000000001E-3</v>
      </c>
      <c r="AH3787" s="508">
        <v>4.0000000000000001E-3</v>
      </c>
      <c r="AI3787" s="492">
        <v>4.0000000000000001E-3</v>
      </c>
      <c r="AJ3787" s="485"/>
    </row>
    <row r="3788" spans="2:36">
      <c r="B3788" s="136" t="s">
        <v>479</v>
      </c>
      <c r="C3788" s="132" t="s">
        <v>1365</v>
      </c>
      <c r="D3788" s="132" t="s">
        <v>284</v>
      </c>
      <c r="E3788" s="508">
        <v>8.5999999999999993E-2</v>
      </c>
      <c r="F3788" s="508">
        <v>8.1000000000000003E-2</v>
      </c>
      <c r="G3788" s="508">
        <v>7.9000000000000001E-2</v>
      </c>
      <c r="H3788" s="508">
        <v>6.7000000000000004E-2</v>
      </c>
      <c r="I3788" s="508">
        <v>6.8000000000000005E-2</v>
      </c>
      <c r="J3788" s="508">
        <v>7.0999999999999994E-2</v>
      </c>
      <c r="K3788" s="508">
        <v>4.2999999999999997E-2</v>
      </c>
      <c r="L3788" s="508">
        <v>4.2000000000000003E-2</v>
      </c>
      <c r="M3788" s="508">
        <v>4.1000000000000002E-2</v>
      </c>
      <c r="N3788" s="508">
        <v>4.4999999999999998E-2</v>
      </c>
      <c r="O3788" s="508">
        <v>3.6999999999999998E-2</v>
      </c>
      <c r="P3788" s="508">
        <v>2.5000000000000001E-2</v>
      </c>
      <c r="Q3788" s="508">
        <v>2.7E-2</v>
      </c>
      <c r="R3788" s="508">
        <v>2.1999999999999999E-2</v>
      </c>
      <c r="S3788" s="508">
        <v>1.9E-2</v>
      </c>
      <c r="T3788" s="508">
        <v>0.02</v>
      </c>
      <c r="U3788" s="508">
        <v>1.2999999999999999E-2</v>
      </c>
      <c r="V3788" s="508">
        <v>1.0999999999999999E-2</v>
      </c>
      <c r="W3788" s="508">
        <v>1.0999999999999999E-2</v>
      </c>
      <c r="X3788" s="508">
        <v>0.01</v>
      </c>
      <c r="Y3788" s="508">
        <v>0.01</v>
      </c>
      <c r="Z3788" s="508">
        <v>8.0000000000000002E-3</v>
      </c>
      <c r="AA3788" s="508">
        <v>8.0000000000000002E-3</v>
      </c>
      <c r="AB3788" s="508">
        <v>7.0000000000000001E-3</v>
      </c>
      <c r="AC3788" s="508">
        <v>7.0000000000000001E-3</v>
      </c>
      <c r="AD3788" s="508">
        <v>6.0000000000000001E-3</v>
      </c>
      <c r="AE3788" s="508">
        <v>6.0000000000000001E-3</v>
      </c>
      <c r="AF3788" s="508">
        <v>4.0000000000000001E-3</v>
      </c>
      <c r="AG3788" s="508">
        <v>4.0000000000000001E-3</v>
      </c>
      <c r="AH3788" s="508">
        <v>4.0000000000000001E-3</v>
      </c>
      <c r="AI3788" s="492">
        <v>4.0000000000000001E-3</v>
      </c>
      <c r="AJ3788" s="485"/>
    </row>
    <row r="3789" spans="2:36">
      <c r="B3789" s="136" t="s">
        <v>480</v>
      </c>
      <c r="C3789" s="132" t="s">
        <v>1365</v>
      </c>
      <c r="D3789" s="132" t="s">
        <v>284</v>
      </c>
      <c r="E3789" s="508">
        <v>0.157</v>
      </c>
      <c r="F3789" s="508">
        <v>0.14899999999999999</v>
      </c>
      <c r="G3789" s="508">
        <v>0.14599999999999999</v>
      </c>
      <c r="H3789" s="508">
        <v>0.123</v>
      </c>
      <c r="I3789" s="508">
        <v>0.124</v>
      </c>
      <c r="J3789" s="508">
        <v>0.13100000000000001</v>
      </c>
      <c r="K3789" s="508">
        <v>7.8E-2</v>
      </c>
      <c r="L3789" s="508">
        <v>7.5999999999999998E-2</v>
      </c>
      <c r="M3789" s="508">
        <v>7.3999999999999996E-2</v>
      </c>
      <c r="N3789" s="508">
        <v>8.3000000000000004E-2</v>
      </c>
      <c r="O3789" s="508">
        <v>6.8000000000000005E-2</v>
      </c>
      <c r="P3789" s="508">
        <v>4.3999999999999997E-2</v>
      </c>
      <c r="Q3789" s="508">
        <v>4.9000000000000002E-2</v>
      </c>
      <c r="R3789" s="508">
        <v>3.9E-2</v>
      </c>
      <c r="S3789" s="508">
        <v>3.5000000000000003E-2</v>
      </c>
      <c r="T3789" s="508">
        <v>3.5999999999999997E-2</v>
      </c>
      <c r="U3789" s="508">
        <v>2.1000000000000001E-2</v>
      </c>
      <c r="V3789" s="508">
        <v>1.9E-2</v>
      </c>
      <c r="W3789" s="508">
        <v>1.9E-2</v>
      </c>
      <c r="X3789" s="508">
        <v>1.2E-2</v>
      </c>
      <c r="Y3789" s="508">
        <v>1.2E-2</v>
      </c>
      <c r="Z3789" s="508">
        <v>0.01</v>
      </c>
      <c r="AA3789" s="508">
        <v>8.9999999999999993E-3</v>
      </c>
      <c r="AB3789" s="508">
        <v>8.0000000000000002E-3</v>
      </c>
      <c r="AC3789" s="508">
        <v>8.0000000000000002E-3</v>
      </c>
      <c r="AD3789" s="508">
        <v>7.0000000000000001E-3</v>
      </c>
      <c r="AE3789" s="508">
        <v>7.0000000000000001E-3</v>
      </c>
      <c r="AF3789" s="508">
        <v>4.0000000000000001E-3</v>
      </c>
      <c r="AG3789" s="508">
        <v>4.0000000000000001E-3</v>
      </c>
      <c r="AH3789" s="508">
        <v>4.0000000000000001E-3</v>
      </c>
      <c r="AI3789" s="492">
        <v>4.0000000000000001E-3</v>
      </c>
      <c r="AJ3789" s="485"/>
    </row>
    <row r="3790" spans="2:36">
      <c r="B3790" s="136" t="s">
        <v>481</v>
      </c>
      <c r="C3790" s="132" t="s">
        <v>1365</v>
      </c>
      <c r="D3790" s="132" t="s">
        <v>284</v>
      </c>
      <c r="E3790" s="508">
        <v>0.10100000000000001</v>
      </c>
      <c r="F3790" s="508">
        <v>9.5000000000000001E-2</v>
      </c>
      <c r="G3790" s="508">
        <v>9.2999999999999999E-2</v>
      </c>
      <c r="H3790" s="508">
        <v>7.9000000000000001E-2</v>
      </c>
      <c r="I3790" s="508">
        <v>7.9000000000000001E-2</v>
      </c>
      <c r="J3790" s="508">
        <v>8.2000000000000003E-2</v>
      </c>
      <c r="K3790" s="508">
        <v>0.05</v>
      </c>
      <c r="L3790" s="508">
        <v>4.9000000000000002E-2</v>
      </c>
      <c r="M3790" s="508">
        <v>4.8000000000000001E-2</v>
      </c>
      <c r="N3790" s="508">
        <v>5.1999999999999998E-2</v>
      </c>
      <c r="O3790" s="508">
        <v>4.2999999999999997E-2</v>
      </c>
      <c r="P3790" s="508">
        <v>2.9000000000000001E-2</v>
      </c>
      <c r="Q3790" s="508">
        <v>3.1E-2</v>
      </c>
      <c r="R3790" s="508">
        <v>2.5000000000000001E-2</v>
      </c>
      <c r="S3790" s="508">
        <v>2.3E-2</v>
      </c>
      <c r="T3790" s="508">
        <v>2.3E-2</v>
      </c>
      <c r="U3790" s="508">
        <v>1.4E-2</v>
      </c>
      <c r="V3790" s="508">
        <v>1.2E-2</v>
      </c>
      <c r="W3790" s="508">
        <v>1.2999999999999999E-2</v>
      </c>
      <c r="X3790" s="508">
        <v>0.01</v>
      </c>
      <c r="Y3790" s="508">
        <v>0.01</v>
      </c>
      <c r="Z3790" s="508">
        <v>8.0000000000000002E-3</v>
      </c>
      <c r="AA3790" s="508">
        <v>8.0000000000000002E-3</v>
      </c>
      <c r="AB3790" s="508">
        <v>7.0000000000000001E-3</v>
      </c>
      <c r="AC3790" s="508">
        <v>7.0000000000000001E-3</v>
      </c>
      <c r="AD3790" s="508">
        <v>6.0000000000000001E-3</v>
      </c>
      <c r="AE3790" s="508">
        <v>6.0000000000000001E-3</v>
      </c>
      <c r="AF3790" s="508">
        <v>4.0000000000000001E-3</v>
      </c>
      <c r="AG3790" s="508">
        <v>4.0000000000000001E-3</v>
      </c>
      <c r="AH3790" s="508">
        <v>4.0000000000000001E-3</v>
      </c>
      <c r="AI3790" s="492">
        <v>4.0000000000000001E-3</v>
      </c>
      <c r="AJ3790" s="485"/>
    </row>
    <row r="3791" spans="2:36">
      <c r="B3791" s="136" t="s">
        <v>482</v>
      </c>
      <c r="C3791" s="132" t="s">
        <v>1365</v>
      </c>
      <c r="D3791" s="132" t="s">
        <v>284</v>
      </c>
      <c r="E3791" s="508">
        <v>7.3999999999999996E-2</v>
      </c>
      <c r="F3791" s="508">
        <v>7.0000000000000007E-2</v>
      </c>
      <c r="G3791" s="508">
        <v>6.8000000000000005E-2</v>
      </c>
      <c r="H3791" s="508">
        <v>5.8000000000000003E-2</v>
      </c>
      <c r="I3791" s="508">
        <v>5.8000000000000003E-2</v>
      </c>
      <c r="J3791" s="508">
        <v>6.0999999999999999E-2</v>
      </c>
      <c r="K3791" s="508">
        <v>3.6999999999999998E-2</v>
      </c>
      <c r="L3791" s="508">
        <v>3.5999999999999997E-2</v>
      </c>
      <c r="M3791" s="508">
        <v>3.5000000000000003E-2</v>
      </c>
      <c r="N3791" s="508">
        <v>3.7999999999999999E-2</v>
      </c>
      <c r="O3791" s="508">
        <v>3.2000000000000001E-2</v>
      </c>
      <c r="P3791" s="508">
        <v>2.1999999999999999E-2</v>
      </c>
      <c r="Q3791" s="508">
        <v>2.3E-2</v>
      </c>
      <c r="R3791" s="508">
        <v>1.9E-2</v>
      </c>
      <c r="S3791" s="508">
        <v>1.7000000000000001E-2</v>
      </c>
      <c r="T3791" s="508">
        <v>1.7000000000000001E-2</v>
      </c>
      <c r="U3791" s="508">
        <v>1.0999999999999999E-2</v>
      </c>
      <c r="V3791" s="508">
        <v>8.9999999999999993E-3</v>
      </c>
      <c r="W3791" s="508">
        <v>0.01</v>
      </c>
      <c r="X3791" s="508">
        <v>8.9999999999999993E-3</v>
      </c>
      <c r="Y3791" s="508">
        <v>8.9999999999999993E-3</v>
      </c>
      <c r="Z3791" s="508">
        <v>7.0000000000000001E-3</v>
      </c>
      <c r="AA3791" s="508">
        <v>7.0000000000000001E-3</v>
      </c>
      <c r="AB3791" s="508">
        <v>7.0000000000000001E-3</v>
      </c>
      <c r="AC3791" s="508">
        <v>6.0000000000000001E-3</v>
      </c>
      <c r="AD3791" s="508">
        <v>6.0000000000000001E-3</v>
      </c>
      <c r="AE3791" s="508">
        <v>6.0000000000000001E-3</v>
      </c>
      <c r="AF3791" s="508">
        <v>4.0000000000000001E-3</v>
      </c>
      <c r="AG3791" s="508">
        <v>4.0000000000000001E-3</v>
      </c>
      <c r="AH3791" s="508">
        <v>4.0000000000000001E-3</v>
      </c>
      <c r="AI3791" s="492">
        <v>4.0000000000000001E-3</v>
      </c>
      <c r="AJ3791" s="485"/>
    </row>
    <row r="3792" spans="2:36">
      <c r="B3792" s="136" t="s">
        <v>483</v>
      </c>
      <c r="C3792" s="132" t="s">
        <v>1365</v>
      </c>
      <c r="D3792" s="132" t="s">
        <v>284</v>
      </c>
      <c r="E3792" s="508">
        <v>0.13600000000000001</v>
      </c>
      <c r="F3792" s="508">
        <v>0.126</v>
      </c>
      <c r="G3792" s="508">
        <v>0.124</v>
      </c>
      <c r="H3792" s="508">
        <v>0.105</v>
      </c>
      <c r="I3792" s="508">
        <v>0.105</v>
      </c>
      <c r="J3792" s="508">
        <v>0.108</v>
      </c>
      <c r="K3792" s="508">
        <v>6.9000000000000006E-2</v>
      </c>
      <c r="L3792" s="508">
        <v>6.7000000000000004E-2</v>
      </c>
      <c r="M3792" s="508">
        <v>6.5000000000000002E-2</v>
      </c>
      <c r="N3792" s="508">
        <v>6.7000000000000004E-2</v>
      </c>
      <c r="O3792" s="508">
        <v>5.7000000000000002E-2</v>
      </c>
      <c r="P3792" s="508">
        <v>0.04</v>
      </c>
      <c r="Q3792" s="508">
        <v>4.1000000000000002E-2</v>
      </c>
      <c r="R3792" s="508">
        <v>3.3000000000000002E-2</v>
      </c>
      <c r="S3792" s="508">
        <v>3.1E-2</v>
      </c>
      <c r="T3792" s="508">
        <v>3.1E-2</v>
      </c>
      <c r="U3792" s="508">
        <v>1.7999999999999999E-2</v>
      </c>
      <c r="V3792" s="508">
        <v>1.6E-2</v>
      </c>
      <c r="W3792" s="508">
        <v>1.6E-2</v>
      </c>
      <c r="X3792" s="508">
        <v>1.0999999999999999E-2</v>
      </c>
      <c r="Y3792" s="508">
        <v>1.0999999999999999E-2</v>
      </c>
      <c r="Z3792" s="508">
        <v>8.9999999999999993E-3</v>
      </c>
      <c r="AA3792" s="508">
        <v>8.0000000000000002E-3</v>
      </c>
      <c r="AB3792" s="508">
        <v>8.0000000000000002E-3</v>
      </c>
      <c r="AC3792" s="508">
        <v>7.0000000000000001E-3</v>
      </c>
      <c r="AD3792" s="508">
        <v>6.0000000000000001E-3</v>
      </c>
      <c r="AE3792" s="508">
        <v>6.0000000000000001E-3</v>
      </c>
      <c r="AF3792" s="508">
        <v>4.0000000000000001E-3</v>
      </c>
      <c r="AG3792" s="508">
        <v>4.0000000000000001E-3</v>
      </c>
      <c r="AH3792" s="508">
        <v>4.0000000000000001E-3</v>
      </c>
      <c r="AI3792" s="492">
        <v>4.0000000000000001E-3</v>
      </c>
      <c r="AJ3792" s="485"/>
    </row>
    <row r="3793" spans="2:36">
      <c r="B3793" s="136" t="s">
        <v>484</v>
      </c>
      <c r="C3793" s="132" t="s">
        <v>1365</v>
      </c>
      <c r="D3793" s="132" t="s">
        <v>284</v>
      </c>
      <c r="E3793" s="508">
        <v>0.16700000000000001</v>
      </c>
      <c r="F3793" s="508">
        <v>0.156</v>
      </c>
      <c r="G3793" s="508">
        <v>0.153</v>
      </c>
      <c r="H3793" s="508">
        <v>0.13100000000000001</v>
      </c>
      <c r="I3793" s="508">
        <v>0.13200000000000001</v>
      </c>
      <c r="J3793" s="508">
        <v>0.13800000000000001</v>
      </c>
      <c r="K3793" s="508">
        <v>8.2000000000000003E-2</v>
      </c>
      <c r="L3793" s="508">
        <v>0.08</v>
      </c>
      <c r="M3793" s="508">
        <v>7.8E-2</v>
      </c>
      <c r="N3793" s="508">
        <v>8.8999999999999996E-2</v>
      </c>
      <c r="O3793" s="508">
        <v>7.0999999999999994E-2</v>
      </c>
      <c r="P3793" s="508">
        <v>4.5999999999999999E-2</v>
      </c>
      <c r="Q3793" s="508">
        <v>5.0999999999999997E-2</v>
      </c>
      <c r="R3793" s="508">
        <v>4.1000000000000002E-2</v>
      </c>
      <c r="S3793" s="508">
        <v>3.5999999999999997E-2</v>
      </c>
      <c r="T3793" s="508">
        <v>3.6999999999999998E-2</v>
      </c>
      <c r="U3793" s="508">
        <v>2.3E-2</v>
      </c>
      <c r="V3793" s="508">
        <v>2.1000000000000001E-2</v>
      </c>
      <c r="W3793" s="508">
        <v>2.1000000000000001E-2</v>
      </c>
      <c r="X3793" s="508">
        <v>1.2999999999999999E-2</v>
      </c>
      <c r="Y3793" s="508">
        <v>1.2999999999999999E-2</v>
      </c>
      <c r="Z3793" s="508">
        <v>1.0999999999999999E-2</v>
      </c>
      <c r="AA3793" s="508">
        <v>0.01</v>
      </c>
      <c r="AB3793" s="508">
        <v>8.9999999999999993E-3</v>
      </c>
      <c r="AC3793" s="508">
        <v>8.9999999999999993E-3</v>
      </c>
      <c r="AD3793" s="508">
        <v>8.0000000000000002E-3</v>
      </c>
      <c r="AE3793" s="508">
        <v>8.0000000000000002E-3</v>
      </c>
      <c r="AF3793" s="508">
        <v>5.0000000000000001E-3</v>
      </c>
      <c r="AG3793" s="508">
        <v>5.0000000000000001E-3</v>
      </c>
      <c r="AH3793" s="508">
        <v>5.0000000000000001E-3</v>
      </c>
      <c r="AI3793" s="492">
        <v>5.0000000000000001E-3</v>
      </c>
      <c r="AJ3793" s="485"/>
    </row>
    <row r="3794" spans="2:36">
      <c r="B3794" s="136" t="s">
        <v>486</v>
      </c>
      <c r="C3794" s="132" t="s">
        <v>1365</v>
      </c>
      <c r="D3794" s="132" t="s">
        <v>284</v>
      </c>
      <c r="E3794" s="508">
        <v>0.11</v>
      </c>
      <c r="F3794" s="508">
        <v>0.10299999999999999</v>
      </c>
      <c r="G3794" s="508">
        <v>0.10100000000000001</v>
      </c>
      <c r="H3794" s="508">
        <v>8.5999999999999993E-2</v>
      </c>
      <c r="I3794" s="508">
        <v>8.5999999999999993E-2</v>
      </c>
      <c r="J3794" s="508">
        <v>8.8999999999999996E-2</v>
      </c>
      <c r="K3794" s="508">
        <v>5.5E-2</v>
      </c>
      <c r="L3794" s="508">
        <v>5.3999999999999999E-2</v>
      </c>
      <c r="M3794" s="508">
        <v>5.1999999999999998E-2</v>
      </c>
      <c r="N3794" s="508">
        <v>5.6000000000000001E-2</v>
      </c>
      <c r="O3794" s="508">
        <v>4.7E-2</v>
      </c>
      <c r="P3794" s="508">
        <v>3.2000000000000001E-2</v>
      </c>
      <c r="Q3794" s="508">
        <v>3.4000000000000002E-2</v>
      </c>
      <c r="R3794" s="508">
        <v>2.7E-2</v>
      </c>
      <c r="S3794" s="508">
        <v>2.5000000000000001E-2</v>
      </c>
      <c r="T3794" s="508">
        <v>2.5000000000000001E-2</v>
      </c>
      <c r="U3794" s="508">
        <v>1.6E-2</v>
      </c>
      <c r="V3794" s="508">
        <v>1.4E-2</v>
      </c>
      <c r="W3794" s="508">
        <v>1.4E-2</v>
      </c>
      <c r="X3794" s="508">
        <v>1.0999999999999999E-2</v>
      </c>
      <c r="Y3794" s="508">
        <v>1.0999999999999999E-2</v>
      </c>
      <c r="Z3794" s="508">
        <v>8.9999999999999993E-3</v>
      </c>
      <c r="AA3794" s="508">
        <v>8.0000000000000002E-3</v>
      </c>
      <c r="AB3794" s="508">
        <v>7.0000000000000001E-3</v>
      </c>
      <c r="AC3794" s="508">
        <v>7.0000000000000001E-3</v>
      </c>
      <c r="AD3794" s="508">
        <v>6.0000000000000001E-3</v>
      </c>
      <c r="AE3794" s="508">
        <v>6.0000000000000001E-3</v>
      </c>
      <c r="AF3794" s="508">
        <v>4.0000000000000001E-3</v>
      </c>
      <c r="AG3794" s="508">
        <v>4.0000000000000001E-3</v>
      </c>
      <c r="AH3794" s="508">
        <v>4.0000000000000001E-3</v>
      </c>
      <c r="AI3794" s="492">
        <v>4.0000000000000001E-3</v>
      </c>
      <c r="AJ3794" s="485"/>
    </row>
    <row r="3795" spans="2:36">
      <c r="B3795" s="136" t="s">
        <v>487</v>
      </c>
      <c r="C3795" s="132" t="s">
        <v>1365</v>
      </c>
      <c r="D3795" s="132" t="s">
        <v>284</v>
      </c>
      <c r="E3795" s="508">
        <v>0.14199999999999999</v>
      </c>
      <c r="F3795" s="508">
        <v>0.13400000000000001</v>
      </c>
      <c r="G3795" s="508">
        <v>0.13200000000000001</v>
      </c>
      <c r="H3795" s="508">
        <v>0.111</v>
      </c>
      <c r="I3795" s="508">
        <v>0.111</v>
      </c>
      <c r="J3795" s="508">
        <v>0.11600000000000001</v>
      </c>
      <c r="K3795" s="508">
        <v>7.1999999999999995E-2</v>
      </c>
      <c r="L3795" s="508">
        <v>7.0000000000000007E-2</v>
      </c>
      <c r="M3795" s="508">
        <v>6.8000000000000005E-2</v>
      </c>
      <c r="N3795" s="508">
        <v>7.1999999999999995E-2</v>
      </c>
      <c r="O3795" s="508">
        <v>6.0999999999999999E-2</v>
      </c>
      <c r="P3795" s="508">
        <v>4.2000000000000003E-2</v>
      </c>
      <c r="Q3795" s="508">
        <v>4.2999999999999997E-2</v>
      </c>
      <c r="R3795" s="508">
        <v>3.5000000000000003E-2</v>
      </c>
      <c r="S3795" s="508">
        <v>3.3000000000000002E-2</v>
      </c>
      <c r="T3795" s="508">
        <v>3.3000000000000002E-2</v>
      </c>
      <c r="U3795" s="508">
        <v>1.9E-2</v>
      </c>
      <c r="V3795" s="508">
        <v>1.7000000000000001E-2</v>
      </c>
      <c r="W3795" s="508">
        <v>1.7000000000000001E-2</v>
      </c>
      <c r="X3795" s="508">
        <v>1.0999999999999999E-2</v>
      </c>
      <c r="Y3795" s="508">
        <v>1.0999999999999999E-2</v>
      </c>
      <c r="Z3795" s="508">
        <v>8.9999999999999993E-3</v>
      </c>
      <c r="AA3795" s="508">
        <v>8.9999999999999993E-3</v>
      </c>
      <c r="AB3795" s="508">
        <v>8.0000000000000002E-3</v>
      </c>
      <c r="AC3795" s="508">
        <v>8.0000000000000002E-3</v>
      </c>
      <c r="AD3795" s="508">
        <v>7.0000000000000001E-3</v>
      </c>
      <c r="AE3795" s="508">
        <v>7.0000000000000001E-3</v>
      </c>
      <c r="AF3795" s="508">
        <v>4.0000000000000001E-3</v>
      </c>
      <c r="AG3795" s="508">
        <v>4.0000000000000001E-3</v>
      </c>
      <c r="AH3795" s="508">
        <v>4.0000000000000001E-3</v>
      </c>
      <c r="AI3795" s="492">
        <v>4.0000000000000001E-3</v>
      </c>
      <c r="AJ3795" s="485"/>
    </row>
    <row r="3796" spans="2:36">
      <c r="B3796" s="136" t="s">
        <v>488</v>
      </c>
      <c r="C3796" s="132" t="s">
        <v>1365</v>
      </c>
      <c r="D3796" s="132" t="s">
        <v>284</v>
      </c>
      <c r="E3796" s="508">
        <v>0.122</v>
      </c>
      <c r="F3796" s="508">
        <v>0.115</v>
      </c>
      <c r="G3796" s="508">
        <v>0.113</v>
      </c>
      <c r="H3796" s="508">
        <v>9.6000000000000002E-2</v>
      </c>
      <c r="I3796" s="508">
        <v>9.6000000000000002E-2</v>
      </c>
      <c r="J3796" s="508">
        <v>0.10199999999999999</v>
      </c>
      <c r="K3796" s="508">
        <v>0.06</v>
      </c>
      <c r="L3796" s="508">
        <v>5.8999999999999997E-2</v>
      </c>
      <c r="M3796" s="508">
        <v>5.7000000000000002E-2</v>
      </c>
      <c r="N3796" s="508">
        <v>6.5000000000000002E-2</v>
      </c>
      <c r="O3796" s="508">
        <v>5.2999999999999999E-2</v>
      </c>
      <c r="P3796" s="508">
        <v>3.5000000000000003E-2</v>
      </c>
      <c r="Q3796" s="508">
        <v>3.7999999999999999E-2</v>
      </c>
      <c r="R3796" s="508">
        <v>0.03</v>
      </c>
      <c r="S3796" s="508">
        <v>2.7E-2</v>
      </c>
      <c r="T3796" s="508">
        <v>2.8000000000000001E-2</v>
      </c>
      <c r="U3796" s="508">
        <v>1.6E-2</v>
      </c>
      <c r="V3796" s="508">
        <v>1.4999999999999999E-2</v>
      </c>
      <c r="W3796" s="508">
        <v>1.4999999999999999E-2</v>
      </c>
      <c r="X3796" s="508">
        <v>0.01</v>
      </c>
      <c r="Y3796" s="508">
        <v>0.01</v>
      </c>
      <c r="Z3796" s="508">
        <v>8.0000000000000002E-3</v>
      </c>
      <c r="AA3796" s="508">
        <v>8.0000000000000002E-3</v>
      </c>
      <c r="AB3796" s="508">
        <v>7.0000000000000001E-3</v>
      </c>
      <c r="AC3796" s="508">
        <v>7.0000000000000001E-3</v>
      </c>
      <c r="AD3796" s="508">
        <v>6.0000000000000001E-3</v>
      </c>
      <c r="AE3796" s="508">
        <v>6.0000000000000001E-3</v>
      </c>
      <c r="AF3796" s="508">
        <v>4.0000000000000001E-3</v>
      </c>
      <c r="AG3796" s="508">
        <v>4.0000000000000001E-3</v>
      </c>
      <c r="AH3796" s="508">
        <v>4.0000000000000001E-3</v>
      </c>
      <c r="AI3796" s="492">
        <v>4.0000000000000001E-3</v>
      </c>
      <c r="AJ3796" s="485"/>
    </row>
    <row r="3797" spans="2:36">
      <c r="B3797" s="136" t="s">
        <v>489</v>
      </c>
      <c r="C3797" s="132" t="s">
        <v>1365</v>
      </c>
      <c r="D3797" s="132" t="s">
        <v>284</v>
      </c>
      <c r="E3797" s="508">
        <v>0.161</v>
      </c>
      <c r="F3797" s="508">
        <v>0.15</v>
      </c>
      <c r="G3797" s="508">
        <v>0.14799999999999999</v>
      </c>
      <c r="H3797" s="508">
        <v>0.126</v>
      </c>
      <c r="I3797" s="508">
        <v>0.127</v>
      </c>
      <c r="J3797" s="508">
        <v>0.13100000000000001</v>
      </c>
      <c r="K3797" s="508">
        <v>8.1000000000000003E-2</v>
      </c>
      <c r="L3797" s="508">
        <v>7.9000000000000001E-2</v>
      </c>
      <c r="M3797" s="508">
        <v>7.6999999999999999E-2</v>
      </c>
      <c r="N3797" s="508">
        <v>8.4000000000000005E-2</v>
      </c>
      <c r="O3797" s="508">
        <v>6.8000000000000005E-2</v>
      </c>
      <c r="P3797" s="508">
        <v>4.5999999999999999E-2</v>
      </c>
      <c r="Q3797" s="508">
        <v>4.9000000000000002E-2</v>
      </c>
      <c r="R3797" s="508">
        <v>0.04</v>
      </c>
      <c r="S3797" s="508">
        <v>3.5000000000000003E-2</v>
      </c>
      <c r="T3797" s="508">
        <v>3.5999999999999997E-2</v>
      </c>
      <c r="U3797" s="508">
        <v>2.1000000000000001E-2</v>
      </c>
      <c r="V3797" s="508">
        <v>1.9E-2</v>
      </c>
      <c r="W3797" s="508">
        <v>1.9E-2</v>
      </c>
      <c r="X3797" s="508">
        <v>1.2E-2</v>
      </c>
      <c r="Y3797" s="508">
        <v>1.2E-2</v>
      </c>
      <c r="Z3797" s="508">
        <v>0.01</v>
      </c>
      <c r="AA3797" s="508">
        <v>8.9999999999999993E-3</v>
      </c>
      <c r="AB3797" s="508">
        <v>8.0000000000000002E-3</v>
      </c>
      <c r="AC3797" s="508">
        <v>8.0000000000000002E-3</v>
      </c>
      <c r="AD3797" s="508">
        <v>7.0000000000000001E-3</v>
      </c>
      <c r="AE3797" s="508">
        <v>7.0000000000000001E-3</v>
      </c>
      <c r="AF3797" s="508">
        <v>4.0000000000000001E-3</v>
      </c>
      <c r="AG3797" s="508">
        <v>4.0000000000000001E-3</v>
      </c>
      <c r="AH3797" s="508">
        <v>4.0000000000000001E-3</v>
      </c>
      <c r="AI3797" s="492">
        <v>4.0000000000000001E-3</v>
      </c>
      <c r="AJ3797" s="485"/>
    </row>
    <row r="3798" spans="2:36">
      <c r="B3798" s="136" t="s">
        <v>490</v>
      </c>
      <c r="C3798" s="132" t="s">
        <v>1365</v>
      </c>
      <c r="D3798" s="132" t="s">
        <v>284</v>
      </c>
      <c r="E3798" s="508">
        <v>0.16800000000000001</v>
      </c>
      <c r="F3798" s="508">
        <v>0.158</v>
      </c>
      <c r="G3798" s="508">
        <v>0.155</v>
      </c>
      <c r="H3798" s="508">
        <v>0.13100000000000001</v>
      </c>
      <c r="I3798" s="508">
        <v>0.13200000000000001</v>
      </c>
      <c r="J3798" s="508">
        <v>0.13900000000000001</v>
      </c>
      <c r="K3798" s="508">
        <v>8.3000000000000004E-2</v>
      </c>
      <c r="L3798" s="508">
        <v>8.1000000000000003E-2</v>
      </c>
      <c r="M3798" s="508">
        <v>7.9000000000000001E-2</v>
      </c>
      <c r="N3798" s="508">
        <v>8.7999999999999995E-2</v>
      </c>
      <c r="O3798" s="508">
        <v>7.1999999999999995E-2</v>
      </c>
      <c r="P3798" s="508">
        <v>4.7E-2</v>
      </c>
      <c r="Q3798" s="508">
        <v>5.1999999999999998E-2</v>
      </c>
      <c r="R3798" s="508">
        <v>4.2000000000000003E-2</v>
      </c>
      <c r="S3798" s="508">
        <v>3.6999999999999998E-2</v>
      </c>
      <c r="T3798" s="508">
        <v>3.7999999999999999E-2</v>
      </c>
      <c r="U3798" s="508">
        <v>2.1000000000000001E-2</v>
      </c>
      <c r="V3798" s="508">
        <v>1.9E-2</v>
      </c>
      <c r="W3798" s="508">
        <v>1.9E-2</v>
      </c>
      <c r="X3798" s="508">
        <v>1.2E-2</v>
      </c>
      <c r="Y3798" s="508">
        <v>1.2E-2</v>
      </c>
      <c r="Z3798" s="508">
        <v>8.9999999999999993E-3</v>
      </c>
      <c r="AA3798" s="508">
        <v>8.9999999999999993E-3</v>
      </c>
      <c r="AB3798" s="508">
        <v>8.0000000000000002E-3</v>
      </c>
      <c r="AC3798" s="508">
        <v>8.0000000000000002E-3</v>
      </c>
      <c r="AD3798" s="508">
        <v>7.0000000000000001E-3</v>
      </c>
      <c r="AE3798" s="508">
        <v>7.0000000000000001E-3</v>
      </c>
      <c r="AF3798" s="508">
        <v>4.0000000000000001E-3</v>
      </c>
      <c r="AG3798" s="508">
        <v>4.0000000000000001E-3</v>
      </c>
      <c r="AH3798" s="508">
        <v>4.0000000000000001E-3</v>
      </c>
      <c r="AI3798" s="492">
        <v>4.0000000000000001E-3</v>
      </c>
      <c r="AJ3798" s="485"/>
    </row>
    <row r="3799" spans="2:36">
      <c r="B3799" s="136" t="s">
        <v>435</v>
      </c>
      <c r="C3799" s="132" t="s">
        <v>1366</v>
      </c>
      <c r="D3799" s="132" t="s">
        <v>284</v>
      </c>
      <c r="E3799" s="508">
        <v>7.8E-2</v>
      </c>
      <c r="F3799" s="508">
        <v>8.8999999999999996E-2</v>
      </c>
      <c r="G3799" s="508">
        <v>8.8999999999999996E-2</v>
      </c>
      <c r="H3799" s="508">
        <v>6.2E-2</v>
      </c>
      <c r="I3799" s="508">
        <v>6.2E-2</v>
      </c>
      <c r="J3799" s="508">
        <v>0.06</v>
      </c>
      <c r="K3799" s="508">
        <v>4.3999999999999997E-2</v>
      </c>
      <c r="L3799" s="508">
        <v>4.2999999999999997E-2</v>
      </c>
      <c r="M3799" s="508">
        <v>4.2999999999999997E-2</v>
      </c>
      <c r="N3799" s="508">
        <v>3.7999999999999999E-2</v>
      </c>
      <c r="O3799" s="508">
        <v>3.2000000000000001E-2</v>
      </c>
      <c r="P3799" s="508">
        <v>1.9E-2</v>
      </c>
      <c r="Q3799" s="508">
        <v>1.7000000000000001E-2</v>
      </c>
      <c r="R3799" s="508">
        <v>1.6E-2</v>
      </c>
      <c r="S3799" s="508">
        <v>1.4E-2</v>
      </c>
      <c r="T3799" s="508">
        <v>1.2999999999999999E-2</v>
      </c>
      <c r="U3799" s="508">
        <v>7.0000000000000001E-3</v>
      </c>
      <c r="V3799" s="508">
        <v>6.0000000000000001E-3</v>
      </c>
      <c r="W3799" s="508">
        <v>6.0000000000000001E-3</v>
      </c>
      <c r="X3799" s="508">
        <v>6.0000000000000001E-3</v>
      </c>
      <c r="Y3799" s="508">
        <v>6.0000000000000001E-3</v>
      </c>
      <c r="Z3799" s="508">
        <v>5.0000000000000001E-3</v>
      </c>
      <c r="AA3799" s="508">
        <v>5.0000000000000001E-3</v>
      </c>
      <c r="AB3799" s="508">
        <v>5.0000000000000001E-3</v>
      </c>
      <c r="AC3799" s="508">
        <v>5.0000000000000001E-3</v>
      </c>
      <c r="AD3799" s="508">
        <v>4.0000000000000001E-3</v>
      </c>
      <c r="AE3799" s="508">
        <v>4.0000000000000001E-3</v>
      </c>
      <c r="AF3799" s="508">
        <v>3.0000000000000001E-3</v>
      </c>
      <c r="AG3799" s="508">
        <v>3.0000000000000001E-3</v>
      </c>
      <c r="AH3799" s="508">
        <v>3.0000000000000001E-3</v>
      </c>
      <c r="AI3799" s="492">
        <v>3.0000000000000001E-3</v>
      </c>
      <c r="AJ3799" s="485"/>
    </row>
    <row r="3800" spans="2:36">
      <c r="B3800" s="136" t="s">
        <v>436</v>
      </c>
      <c r="C3800" s="132" t="s">
        <v>1366</v>
      </c>
      <c r="D3800" s="132" t="s">
        <v>284</v>
      </c>
      <c r="E3800" s="508">
        <v>7.8E-2</v>
      </c>
      <c r="F3800" s="508">
        <v>9.2999999999999999E-2</v>
      </c>
      <c r="G3800" s="508">
        <v>9.2999999999999999E-2</v>
      </c>
      <c r="H3800" s="508">
        <v>6.3E-2</v>
      </c>
      <c r="I3800" s="508">
        <v>6.3E-2</v>
      </c>
      <c r="J3800" s="508">
        <v>6.4000000000000001E-2</v>
      </c>
      <c r="K3800" s="508">
        <v>4.4999999999999998E-2</v>
      </c>
      <c r="L3800" s="508">
        <v>4.3999999999999997E-2</v>
      </c>
      <c r="M3800" s="508">
        <v>4.3999999999999997E-2</v>
      </c>
      <c r="N3800" s="508">
        <v>3.9E-2</v>
      </c>
      <c r="O3800" s="508">
        <v>3.3000000000000002E-2</v>
      </c>
      <c r="P3800" s="508">
        <v>1.9E-2</v>
      </c>
      <c r="Q3800" s="508">
        <v>1.7999999999999999E-2</v>
      </c>
      <c r="R3800" s="508">
        <v>1.7000000000000001E-2</v>
      </c>
      <c r="S3800" s="508">
        <v>1.4E-2</v>
      </c>
      <c r="T3800" s="508">
        <v>1.4E-2</v>
      </c>
      <c r="U3800" s="508">
        <v>7.0000000000000001E-3</v>
      </c>
      <c r="V3800" s="508">
        <v>6.0000000000000001E-3</v>
      </c>
      <c r="W3800" s="508">
        <v>6.0000000000000001E-3</v>
      </c>
      <c r="X3800" s="508">
        <v>6.0000000000000001E-3</v>
      </c>
      <c r="Y3800" s="508">
        <v>6.0000000000000001E-3</v>
      </c>
      <c r="Z3800" s="508">
        <v>5.0000000000000001E-3</v>
      </c>
      <c r="AA3800" s="508">
        <v>5.0000000000000001E-3</v>
      </c>
      <c r="AB3800" s="508">
        <v>5.0000000000000001E-3</v>
      </c>
      <c r="AC3800" s="508">
        <v>5.0000000000000001E-3</v>
      </c>
      <c r="AD3800" s="508">
        <v>4.0000000000000001E-3</v>
      </c>
      <c r="AE3800" s="508">
        <v>4.0000000000000001E-3</v>
      </c>
      <c r="AF3800" s="508">
        <v>3.0000000000000001E-3</v>
      </c>
      <c r="AG3800" s="508">
        <v>3.0000000000000001E-3</v>
      </c>
      <c r="AH3800" s="508">
        <v>3.0000000000000001E-3</v>
      </c>
      <c r="AI3800" s="492">
        <v>3.0000000000000001E-3</v>
      </c>
      <c r="AJ3800" s="485"/>
    </row>
    <row r="3801" spans="2:36">
      <c r="B3801" s="136" t="s">
        <v>437</v>
      </c>
      <c r="C3801" s="132" t="s">
        <v>1366</v>
      </c>
      <c r="D3801" s="132" t="s">
        <v>284</v>
      </c>
      <c r="E3801" s="508">
        <v>7.8E-2</v>
      </c>
      <c r="F3801" s="508">
        <v>9.0999999999999998E-2</v>
      </c>
      <c r="G3801" s="508">
        <v>9.0999999999999998E-2</v>
      </c>
      <c r="H3801" s="508">
        <v>6.3E-2</v>
      </c>
      <c r="I3801" s="508">
        <v>6.3E-2</v>
      </c>
      <c r="J3801" s="508">
        <v>6.3E-2</v>
      </c>
      <c r="K3801" s="508">
        <v>4.4999999999999998E-2</v>
      </c>
      <c r="L3801" s="508">
        <v>4.4999999999999998E-2</v>
      </c>
      <c r="M3801" s="508">
        <v>4.3999999999999997E-2</v>
      </c>
      <c r="N3801" s="508">
        <v>3.9E-2</v>
      </c>
      <c r="O3801" s="508">
        <v>3.3000000000000002E-2</v>
      </c>
      <c r="P3801" s="508">
        <v>0.02</v>
      </c>
      <c r="Q3801" s="508">
        <v>1.7999999999999999E-2</v>
      </c>
      <c r="R3801" s="508">
        <v>1.7000000000000001E-2</v>
      </c>
      <c r="S3801" s="508">
        <v>1.4E-2</v>
      </c>
      <c r="T3801" s="508">
        <v>1.4999999999999999E-2</v>
      </c>
      <c r="U3801" s="508">
        <v>7.0000000000000001E-3</v>
      </c>
      <c r="V3801" s="508">
        <v>6.0000000000000001E-3</v>
      </c>
      <c r="W3801" s="508">
        <v>6.0000000000000001E-3</v>
      </c>
      <c r="X3801" s="508">
        <v>6.0000000000000001E-3</v>
      </c>
      <c r="Y3801" s="508">
        <v>6.0000000000000001E-3</v>
      </c>
      <c r="Z3801" s="508">
        <v>5.0000000000000001E-3</v>
      </c>
      <c r="AA3801" s="508">
        <v>6.0000000000000001E-3</v>
      </c>
      <c r="AB3801" s="508">
        <v>5.0000000000000001E-3</v>
      </c>
      <c r="AC3801" s="508">
        <v>5.0000000000000001E-3</v>
      </c>
      <c r="AD3801" s="508">
        <v>4.0000000000000001E-3</v>
      </c>
      <c r="AE3801" s="508">
        <v>4.0000000000000001E-3</v>
      </c>
      <c r="AF3801" s="508">
        <v>3.0000000000000001E-3</v>
      </c>
      <c r="AG3801" s="508">
        <v>3.0000000000000001E-3</v>
      </c>
      <c r="AH3801" s="508">
        <v>3.0000000000000001E-3</v>
      </c>
      <c r="AI3801" s="492">
        <v>3.0000000000000001E-3</v>
      </c>
      <c r="AJ3801" s="485"/>
    </row>
    <row r="3802" spans="2:36">
      <c r="B3802" s="136" t="s">
        <v>438</v>
      </c>
      <c r="C3802" s="132" t="s">
        <v>1366</v>
      </c>
      <c r="D3802" s="132" t="s">
        <v>284</v>
      </c>
      <c r="E3802" s="508">
        <v>7.6999999999999999E-2</v>
      </c>
      <c r="F3802" s="508">
        <v>9.5000000000000001E-2</v>
      </c>
      <c r="G3802" s="508">
        <v>9.4E-2</v>
      </c>
      <c r="H3802" s="508">
        <v>6.3E-2</v>
      </c>
      <c r="I3802" s="508">
        <v>6.3E-2</v>
      </c>
      <c r="J3802" s="508">
        <v>6.4000000000000001E-2</v>
      </c>
      <c r="K3802" s="508">
        <v>4.4999999999999998E-2</v>
      </c>
      <c r="L3802" s="508">
        <v>4.4999999999999998E-2</v>
      </c>
      <c r="M3802" s="508">
        <v>4.3999999999999997E-2</v>
      </c>
      <c r="N3802" s="508">
        <v>3.9E-2</v>
      </c>
      <c r="O3802" s="508">
        <v>3.3000000000000002E-2</v>
      </c>
      <c r="P3802" s="508">
        <v>1.9E-2</v>
      </c>
      <c r="Q3802" s="508">
        <v>1.7999999999999999E-2</v>
      </c>
      <c r="R3802" s="508">
        <v>1.7000000000000001E-2</v>
      </c>
      <c r="S3802" s="508">
        <v>1.4E-2</v>
      </c>
      <c r="T3802" s="508">
        <v>1.4E-2</v>
      </c>
      <c r="U3802" s="508">
        <v>7.0000000000000001E-3</v>
      </c>
      <c r="V3802" s="508">
        <v>6.0000000000000001E-3</v>
      </c>
      <c r="W3802" s="508">
        <v>6.0000000000000001E-3</v>
      </c>
      <c r="X3802" s="508">
        <v>6.0000000000000001E-3</v>
      </c>
      <c r="Y3802" s="508">
        <v>6.0000000000000001E-3</v>
      </c>
      <c r="Z3802" s="508">
        <v>5.0000000000000001E-3</v>
      </c>
      <c r="AA3802" s="508">
        <v>5.0000000000000001E-3</v>
      </c>
      <c r="AB3802" s="508">
        <v>5.0000000000000001E-3</v>
      </c>
      <c r="AC3802" s="508">
        <v>5.0000000000000001E-3</v>
      </c>
      <c r="AD3802" s="508">
        <v>4.0000000000000001E-3</v>
      </c>
      <c r="AE3802" s="508">
        <v>4.0000000000000001E-3</v>
      </c>
      <c r="AF3802" s="508">
        <v>3.0000000000000001E-3</v>
      </c>
      <c r="AG3802" s="508">
        <v>3.0000000000000001E-3</v>
      </c>
      <c r="AH3802" s="508">
        <v>3.0000000000000001E-3</v>
      </c>
      <c r="AI3802" s="492">
        <v>3.0000000000000001E-3</v>
      </c>
      <c r="AJ3802" s="485"/>
    </row>
    <row r="3803" spans="2:36">
      <c r="B3803" s="136" t="s">
        <v>439</v>
      </c>
      <c r="C3803" s="132" t="s">
        <v>1366</v>
      </c>
      <c r="D3803" s="132" t="s">
        <v>284</v>
      </c>
      <c r="E3803" s="508">
        <v>7.6999999999999999E-2</v>
      </c>
      <c r="F3803" s="508">
        <v>9.4E-2</v>
      </c>
      <c r="G3803" s="508">
        <v>9.4E-2</v>
      </c>
      <c r="H3803" s="508">
        <v>6.4000000000000001E-2</v>
      </c>
      <c r="I3803" s="508">
        <v>6.3E-2</v>
      </c>
      <c r="J3803" s="508">
        <v>6.6000000000000003E-2</v>
      </c>
      <c r="K3803" s="508">
        <v>4.5999999999999999E-2</v>
      </c>
      <c r="L3803" s="508">
        <v>4.5999999999999999E-2</v>
      </c>
      <c r="M3803" s="508">
        <v>4.4999999999999998E-2</v>
      </c>
      <c r="N3803" s="508">
        <v>3.9E-2</v>
      </c>
      <c r="O3803" s="508">
        <v>3.3000000000000002E-2</v>
      </c>
      <c r="P3803" s="508">
        <v>0.02</v>
      </c>
      <c r="Q3803" s="508">
        <v>1.9E-2</v>
      </c>
      <c r="R3803" s="508">
        <v>1.7999999999999999E-2</v>
      </c>
      <c r="S3803" s="508">
        <v>1.4999999999999999E-2</v>
      </c>
      <c r="T3803" s="508">
        <v>1.6E-2</v>
      </c>
      <c r="U3803" s="508">
        <v>7.0000000000000001E-3</v>
      </c>
      <c r="V3803" s="508">
        <v>6.0000000000000001E-3</v>
      </c>
      <c r="W3803" s="508">
        <v>6.0000000000000001E-3</v>
      </c>
      <c r="X3803" s="508">
        <v>6.0000000000000001E-3</v>
      </c>
      <c r="Y3803" s="508">
        <v>6.0000000000000001E-3</v>
      </c>
      <c r="Z3803" s="508">
        <v>5.0000000000000001E-3</v>
      </c>
      <c r="AA3803" s="508">
        <v>6.0000000000000001E-3</v>
      </c>
      <c r="AB3803" s="508">
        <v>5.0000000000000001E-3</v>
      </c>
      <c r="AC3803" s="508">
        <v>5.0000000000000001E-3</v>
      </c>
      <c r="AD3803" s="508">
        <v>4.0000000000000001E-3</v>
      </c>
      <c r="AE3803" s="508">
        <v>4.0000000000000001E-3</v>
      </c>
      <c r="AF3803" s="508">
        <v>3.0000000000000001E-3</v>
      </c>
      <c r="AG3803" s="508">
        <v>3.0000000000000001E-3</v>
      </c>
      <c r="AH3803" s="508">
        <v>3.0000000000000001E-3</v>
      </c>
      <c r="AI3803" s="492">
        <v>3.0000000000000001E-3</v>
      </c>
      <c r="AJ3803" s="485"/>
    </row>
    <row r="3804" spans="2:36">
      <c r="B3804" s="136" t="s">
        <v>440</v>
      </c>
      <c r="C3804" s="132" t="s">
        <v>1366</v>
      </c>
      <c r="D3804" s="132" t="s">
        <v>284</v>
      </c>
      <c r="E3804" s="508">
        <v>7.6999999999999999E-2</v>
      </c>
      <c r="F3804" s="508">
        <v>9.2999999999999999E-2</v>
      </c>
      <c r="G3804" s="508">
        <v>9.2999999999999999E-2</v>
      </c>
      <c r="H3804" s="508">
        <v>6.3E-2</v>
      </c>
      <c r="I3804" s="508">
        <v>6.3E-2</v>
      </c>
      <c r="J3804" s="508">
        <v>6.5000000000000002E-2</v>
      </c>
      <c r="K3804" s="508">
        <v>4.5999999999999999E-2</v>
      </c>
      <c r="L3804" s="508">
        <v>4.4999999999999998E-2</v>
      </c>
      <c r="M3804" s="508">
        <v>4.4999999999999998E-2</v>
      </c>
      <c r="N3804" s="508">
        <v>3.9E-2</v>
      </c>
      <c r="O3804" s="508">
        <v>3.3000000000000002E-2</v>
      </c>
      <c r="P3804" s="508">
        <v>0.02</v>
      </c>
      <c r="Q3804" s="508">
        <v>1.9E-2</v>
      </c>
      <c r="R3804" s="508">
        <v>1.7000000000000001E-2</v>
      </c>
      <c r="S3804" s="508">
        <v>1.4E-2</v>
      </c>
      <c r="T3804" s="508">
        <v>1.4999999999999999E-2</v>
      </c>
      <c r="U3804" s="508">
        <v>7.0000000000000001E-3</v>
      </c>
      <c r="V3804" s="508">
        <v>6.0000000000000001E-3</v>
      </c>
      <c r="W3804" s="508">
        <v>6.0000000000000001E-3</v>
      </c>
      <c r="X3804" s="508">
        <v>6.0000000000000001E-3</v>
      </c>
      <c r="Y3804" s="508">
        <v>6.0000000000000001E-3</v>
      </c>
      <c r="Z3804" s="508">
        <v>5.0000000000000001E-3</v>
      </c>
      <c r="AA3804" s="508">
        <v>6.0000000000000001E-3</v>
      </c>
      <c r="AB3804" s="508">
        <v>5.0000000000000001E-3</v>
      </c>
      <c r="AC3804" s="508">
        <v>5.0000000000000001E-3</v>
      </c>
      <c r="AD3804" s="508">
        <v>4.0000000000000001E-3</v>
      </c>
      <c r="AE3804" s="508">
        <v>4.0000000000000001E-3</v>
      </c>
      <c r="AF3804" s="508">
        <v>3.0000000000000001E-3</v>
      </c>
      <c r="AG3804" s="508">
        <v>3.0000000000000001E-3</v>
      </c>
      <c r="AH3804" s="508">
        <v>3.0000000000000001E-3</v>
      </c>
      <c r="AI3804" s="492">
        <v>3.0000000000000001E-3</v>
      </c>
      <c r="AJ3804" s="485"/>
    </row>
    <row r="3805" spans="2:36">
      <c r="B3805" s="136" t="s">
        <v>441</v>
      </c>
      <c r="C3805" s="132" t="s">
        <v>1366</v>
      </c>
      <c r="D3805" s="132" t="s">
        <v>284</v>
      </c>
      <c r="E3805" s="508">
        <v>7.5999999999999998E-2</v>
      </c>
      <c r="F3805" s="508">
        <v>9.5000000000000001E-2</v>
      </c>
      <c r="G3805" s="508">
        <v>9.5000000000000001E-2</v>
      </c>
      <c r="H3805" s="508">
        <v>6.4000000000000001E-2</v>
      </c>
      <c r="I3805" s="508">
        <v>6.3E-2</v>
      </c>
      <c r="J3805" s="508">
        <v>6.7000000000000004E-2</v>
      </c>
      <c r="K3805" s="508">
        <v>4.7E-2</v>
      </c>
      <c r="L3805" s="508">
        <v>4.5999999999999999E-2</v>
      </c>
      <c r="M3805" s="508">
        <v>4.5999999999999999E-2</v>
      </c>
      <c r="N3805" s="508">
        <v>0.04</v>
      </c>
      <c r="O3805" s="508">
        <v>3.3000000000000002E-2</v>
      </c>
      <c r="P3805" s="508">
        <v>0.02</v>
      </c>
      <c r="Q3805" s="508">
        <v>0.02</v>
      </c>
      <c r="R3805" s="508">
        <v>1.7999999999999999E-2</v>
      </c>
      <c r="S3805" s="508">
        <v>1.4999999999999999E-2</v>
      </c>
      <c r="T3805" s="508">
        <v>1.6E-2</v>
      </c>
      <c r="U3805" s="508">
        <v>7.0000000000000001E-3</v>
      </c>
      <c r="V3805" s="508">
        <v>6.0000000000000001E-3</v>
      </c>
      <c r="W3805" s="508">
        <v>6.0000000000000001E-3</v>
      </c>
      <c r="X3805" s="508">
        <v>6.0000000000000001E-3</v>
      </c>
      <c r="Y3805" s="508">
        <v>6.0000000000000001E-3</v>
      </c>
      <c r="Z3805" s="508">
        <v>5.0000000000000001E-3</v>
      </c>
      <c r="AA3805" s="508">
        <v>6.0000000000000001E-3</v>
      </c>
      <c r="AB3805" s="508">
        <v>5.0000000000000001E-3</v>
      </c>
      <c r="AC3805" s="508">
        <v>5.0000000000000001E-3</v>
      </c>
      <c r="AD3805" s="508">
        <v>4.0000000000000001E-3</v>
      </c>
      <c r="AE3805" s="508">
        <v>4.0000000000000001E-3</v>
      </c>
      <c r="AF3805" s="508">
        <v>3.0000000000000001E-3</v>
      </c>
      <c r="AG3805" s="508">
        <v>3.0000000000000001E-3</v>
      </c>
      <c r="AH3805" s="508">
        <v>3.0000000000000001E-3</v>
      </c>
      <c r="AI3805" s="492">
        <v>3.0000000000000001E-3</v>
      </c>
      <c r="AJ3805" s="485"/>
    </row>
    <row r="3806" spans="2:36">
      <c r="B3806" s="136" t="s">
        <v>443</v>
      </c>
      <c r="C3806" s="132" t="s">
        <v>1366</v>
      </c>
      <c r="D3806" s="132" t="s">
        <v>284</v>
      </c>
      <c r="E3806" s="508">
        <v>7.8E-2</v>
      </c>
      <c r="F3806" s="508">
        <v>8.5999999999999993E-2</v>
      </c>
      <c r="G3806" s="508">
        <v>8.5999999999999993E-2</v>
      </c>
      <c r="H3806" s="508">
        <v>6.2E-2</v>
      </c>
      <c r="I3806" s="508">
        <v>6.0999999999999999E-2</v>
      </c>
      <c r="J3806" s="508">
        <v>5.8999999999999997E-2</v>
      </c>
      <c r="K3806" s="508">
        <v>4.3999999999999997E-2</v>
      </c>
      <c r="L3806" s="508">
        <v>4.2999999999999997E-2</v>
      </c>
      <c r="M3806" s="508">
        <v>4.2999999999999997E-2</v>
      </c>
      <c r="N3806" s="508">
        <v>3.7999999999999999E-2</v>
      </c>
      <c r="O3806" s="508">
        <v>3.2000000000000001E-2</v>
      </c>
      <c r="P3806" s="508">
        <v>1.9E-2</v>
      </c>
      <c r="Q3806" s="508">
        <v>1.7000000000000001E-2</v>
      </c>
      <c r="R3806" s="508">
        <v>1.6E-2</v>
      </c>
      <c r="S3806" s="508">
        <v>1.4E-2</v>
      </c>
      <c r="T3806" s="508">
        <v>1.2999999999999999E-2</v>
      </c>
      <c r="U3806" s="508">
        <v>7.0000000000000001E-3</v>
      </c>
      <c r="V3806" s="508">
        <v>6.0000000000000001E-3</v>
      </c>
      <c r="W3806" s="508">
        <v>6.0000000000000001E-3</v>
      </c>
      <c r="X3806" s="508">
        <v>6.0000000000000001E-3</v>
      </c>
      <c r="Y3806" s="508">
        <v>6.0000000000000001E-3</v>
      </c>
      <c r="Z3806" s="508">
        <v>5.0000000000000001E-3</v>
      </c>
      <c r="AA3806" s="508">
        <v>5.0000000000000001E-3</v>
      </c>
      <c r="AB3806" s="508">
        <v>5.0000000000000001E-3</v>
      </c>
      <c r="AC3806" s="508">
        <v>5.0000000000000001E-3</v>
      </c>
      <c r="AD3806" s="508">
        <v>4.0000000000000001E-3</v>
      </c>
      <c r="AE3806" s="508">
        <v>4.0000000000000001E-3</v>
      </c>
      <c r="AF3806" s="508">
        <v>3.0000000000000001E-3</v>
      </c>
      <c r="AG3806" s="508">
        <v>3.0000000000000001E-3</v>
      </c>
      <c r="AH3806" s="508">
        <v>3.0000000000000001E-3</v>
      </c>
      <c r="AI3806" s="492">
        <v>3.0000000000000001E-3</v>
      </c>
      <c r="AJ3806" s="485"/>
    </row>
    <row r="3807" spans="2:36">
      <c r="B3807" s="136" t="s">
        <v>445</v>
      </c>
      <c r="C3807" s="132" t="s">
        <v>1366</v>
      </c>
      <c r="D3807" s="132" t="s">
        <v>284</v>
      </c>
      <c r="E3807" s="508">
        <v>7.9000000000000001E-2</v>
      </c>
      <c r="F3807" s="508">
        <v>8.3000000000000004E-2</v>
      </c>
      <c r="G3807" s="508">
        <v>8.3000000000000004E-2</v>
      </c>
      <c r="H3807" s="508">
        <v>6.2E-2</v>
      </c>
      <c r="I3807" s="508">
        <v>6.0999999999999999E-2</v>
      </c>
      <c r="J3807" s="508">
        <v>5.8000000000000003E-2</v>
      </c>
      <c r="K3807" s="508">
        <v>4.3999999999999997E-2</v>
      </c>
      <c r="L3807" s="508">
        <v>4.3999999999999997E-2</v>
      </c>
      <c r="M3807" s="508">
        <v>4.2999999999999997E-2</v>
      </c>
      <c r="N3807" s="508">
        <v>3.6999999999999998E-2</v>
      </c>
      <c r="O3807" s="508">
        <v>3.3000000000000002E-2</v>
      </c>
      <c r="P3807" s="508">
        <v>0.02</v>
      </c>
      <c r="Q3807" s="508">
        <v>1.7999999999999999E-2</v>
      </c>
      <c r="R3807" s="508">
        <v>1.6E-2</v>
      </c>
      <c r="S3807" s="508">
        <v>1.4999999999999999E-2</v>
      </c>
      <c r="T3807" s="508">
        <v>1.4E-2</v>
      </c>
      <c r="U3807" s="508">
        <v>7.0000000000000001E-3</v>
      </c>
      <c r="V3807" s="508">
        <v>6.0000000000000001E-3</v>
      </c>
      <c r="W3807" s="508">
        <v>6.0000000000000001E-3</v>
      </c>
      <c r="X3807" s="508">
        <v>6.0000000000000001E-3</v>
      </c>
      <c r="Y3807" s="508">
        <v>6.0000000000000001E-3</v>
      </c>
      <c r="Z3807" s="508">
        <v>5.0000000000000001E-3</v>
      </c>
      <c r="AA3807" s="508">
        <v>6.0000000000000001E-3</v>
      </c>
      <c r="AB3807" s="508">
        <v>5.0000000000000001E-3</v>
      </c>
      <c r="AC3807" s="508">
        <v>5.0000000000000001E-3</v>
      </c>
      <c r="AD3807" s="508">
        <v>4.0000000000000001E-3</v>
      </c>
      <c r="AE3807" s="508">
        <v>4.0000000000000001E-3</v>
      </c>
      <c r="AF3807" s="508">
        <v>3.0000000000000001E-3</v>
      </c>
      <c r="AG3807" s="508">
        <v>3.0000000000000001E-3</v>
      </c>
      <c r="AH3807" s="508">
        <v>3.0000000000000001E-3</v>
      </c>
      <c r="AI3807" s="492">
        <v>3.0000000000000001E-3</v>
      </c>
      <c r="AJ3807" s="485"/>
    </row>
    <row r="3808" spans="2:36">
      <c r="B3808" s="136" t="s">
        <v>446</v>
      </c>
      <c r="C3808" s="132" t="s">
        <v>1366</v>
      </c>
      <c r="D3808" s="132" t="s">
        <v>284</v>
      </c>
      <c r="E3808" s="508">
        <v>7.8E-2</v>
      </c>
      <c r="F3808" s="508">
        <v>8.5000000000000006E-2</v>
      </c>
      <c r="G3808" s="508">
        <v>8.5000000000000006E-2</v>
      </c>
      <c r="H3808" s="508">
        <v>6.2E-2</v>
      </c>
      <c r="I3808" s="508">
        <v>6.2E-2</v>
      </c>
      <c r="J3808" s="508">
        <v>5.8999999999999997E-2</v>
      </c>
      <c r="K3808" s="508">
        <v>4.3999999999999997E-2</v>
      </c>
      <c r="L3808" s="508">
        <v>4.3999999999999997E-2</v>
      </c>
      <c r="M3808" s="508">
        <v>4.2999999999999997E-2</v>
      </c>
      <c r="N3808" s="508">
        <v>3.7999999999999999E-2</v>
      </c>
      <c r="O3808" s="508">
        <v>3.3000000000000002E-2</v>
      </c>
      <c r="P3808" s="508">
        <v>0.02</v>
      </c>
      <c r="Q3808" s="508">
        <v>1.7000000000000001E-2</v>
      </c>
      <c r="R3808" s="508">
        <v>1.6E-2</v>
      </c>
      <c r="S3808" s="508">
        <v>1.4E-2</v>
      </c>
      <c r="T3808" s="508">
        <v>1.4E-2</v>
      </c>
      <c r="U3808" s="508">
        <v>7.0000000000000001E-3</v>
      </c>
      <c r="V3808" s="508">
        <v>6.0000000000000001E-3</v>
      </c>
      <c r="W3808" s="508">
        <v>6.0000000000000001E-3</v>
      </c>
      <c r="X3808" s="508">
        <v>6.0000000000000001E-3</v>
      </c>
      <c r="Y3808" s="508">
        <v>6.0000000000000001E-3</v>
      </c>
      <c r="Z3808" s="508">
        <v>5.0000000000000001E-3</v>
      </c>
      <c r="AA3808" s="508">
        <v>5.0000000000000001E-3</v>
      </c>
      <c r="AB3808" s="508">
        <v>5.0000000000000001E-3</v>
      </c>
      <c r="AC3808" s="508">
        <v>5.0000000000000001E-3</v>
      </c>
      <c r="AD3808" s="508">
        <v>4.0000000000000001E-3</v>
      </c>
      <c r="AE3808" s="508">
        <v>4.0000000000000001E-3</v>
      </c>
      <c r="AF3808" s="508">
        <v>3.0000000000000001E-3</v>
      </c>
      <c r="AG3808" s="508">
        <v>3.0000000000000001E-3</v>
      </c>
      <c r="AH3808" s="508">
        <v>3.0000000000000001E-3</v>
      </c>
      <c r="AI3808" s="492">
        <v>3.0000000000000001E-3</v>
      </c>
      <c r="AJ3808" s="485"/>
    </row>
    <row r="3809" spans="2:36">
      <c r="B3809" s="136" t="s">
        <v>448</v>
      </c>
      <c r="C3809" s="132" t="s">
        <v>1366</v>
      </c>
      <c r="D3809" s="132" t="s">
        <v>284</v>
      </c>
      <c r="E3809" s="508">
        <v>7.6999999999999999E-2</v>
      </c>
      <c r="F3809" s="508">
        <v>9.2999999999999999E-2</v>
      </c>
      <c r="G3809" s="508">
        <v>9.2999999999999999E-2</v>
      </c>
      <c r="H3809" s="508">
        <v>6.3E-2</v>
      </c>
      <c r="I3809" s="508">
        <v>6.3E-2</v>
      </c>
      <c r="J3809" s="508">
        <v>6.4000000000000001E-2</v>
      </c>
      <c r="K3809" s="508">
        <v>4.4999999999999998E-2</v>
      </c>
      <c r="L3809" s="508">
        <v>4.4999999999999998E-2</v>
      </c>
      <c r="M3809" s="508">
        <v>4.3999999999999997E-2</v>
      </c>
      <c r="N3809" s="508">
        <v>3.9E-2</v>
      </c>
      <c r="O3809" s="508">
        <v>3.3000000000000002E-2</v>
      </c>
      <c r="P3809" s="508">
        <v>1.9E-2</v>
      </c>
      <c r="Q3809" s="508">
        <v>1.7999999999999999E-2</v>
      </c>
      <c r="R3809" s="508">
        <v>1.7000000000000001E-2</v>
      </c>
      <c r="S3809" s="508">
        <v>1.4E-2</v>
      </c>
      <c r="T3809" s="508">
        <v>1.4E-2</v>
      </c>
      <c r="U3809" s="508">
        <v>7.0000000000000001E-3</v>
      </c>
      <c r="V3809" s="508">
        <v>6.0000000000000001E-3</v>
      </c>
      <c r="W3809" s="508">
        <v>6.0000000000000001E-3</v>
      </c>
      <c r="X3809" s="508">
        <v>6.0000000000000001E-3</v>
      </c>
      <c r="Y3809" s="508">
        <v>6.0000000000000001E-3</v>
      </c>
      <c r="Z3809" s="508">
        <v>5.0000000000000001E-3</v>
      </c>
      <c r="AA3809" s="508">
        <v>5.0000000000000001E-3</v>
      </c>
      <c r="AB3809" s="508">
        <v>5.0000000000000001E-3</v>
      </c>
      <c r="AC3809" s="508">
        <v>5.0000000000000001E-3</v>
      </c>
      <c r="AD3809" s="508">
        <v>4.0000000000000001E-3</v>
      </c>
      <c r="AE3809" s="508">
        <v>4.0000000000000001E-3</v>
      </c>
      <c r="AF3809" s="508">
        <v>3.0000000000000001E-3</v>
      </c>
      <c r="AG3809" s="508">
        <v>3.0000000000000001E-3</v>
      </c>
      <c r="AH3809" s="508">
        <v>3.0000000000000001E-3</v>
      </c>
      <c r="AI3809" s="492">
        <v>3.0000000000000001E-3</v>
      </c>
      <c r="AJ3809" s="485"/>
    </row>
    <row r="3810" spans="2:36">
      <c r="B3810" s="136" t="s">
        <v>449</v>
      </c>
      <c r="C3810" s="132" t="s">
        <v>1366</v>
      </c>
      <c r="D3810" s="132" t="s">
        <v>284</v>
      </c>
      <c r="E3810" s="508">
        <v>7.8E-2</v>
      </c>
      <c r="F3810" s="508">
        <v>8.6999999999999994E-2</v>
      </c>
      <c r="G3810" s="508">
        <v>8.6999999999999994E-2</v>
      </c>
      <c r="H3810" s="508">
        <v>6.2E-2</v>
      </c>
      <c r="I3810" s="508">
        <v>6.2E-2</v>
      </c>
      <c r="J3810" s="508">
        <v>0.06</v>
      </c>
      <c r="K3810" s="508">
        <v>4.3999999999999997E-2</v>
      </c>
      <c r="L3810" s="508">
        <v>4.3999999999999997E-2</v>
      </c>
      <c r="M3810" s="508">
        <v>4.2999999999999997E-2</v>
      </c>
      <c r="N3810" s="508">
        <v>3.7999999999999999E-2</v>
      </c>
      <c r="O3810" s="508">
        <v>3.3000000000000002E-2</v>
      </c>
      <c r="P3810" s="508">
        <v>1.9E-2</v>
      </c>
      <c r="Q3810" s="508">
        <v>1.7000000000000001E-2</v>
      </c>
      <c r="R3810" s="508">
        <v>1.6E-2</v>
      </c>
      <c r="S3810" s="508">
        <v>1.4E-2</v>
      </c>
      <c r="T3810" s="508">
        <v>1.4E-2</v>
      </c>
      <c r="U3810" s="508">
        <v>7.0000000000000001E-3</v>
      </c>
      <c r="V3810" s="508">
        <v>6.0000000000000001E-3</v>
      </c>
      <c r="W3810" s="508">
        <v>6.0000000000000001E-3</v>
      </c>
      <c r="X3810" s="508">
        <v>6.0000000000000001E-3</v>
      </c>
      <c r="Y3810" s="508">
        <v>6.0000000000000001E-3</v>
      </c>
      <c r="Z3810" s="508">
        <v>5.0000000000000001E-3</v>
      </c>
      <c r="AA3810" s="508">
        <v>5.0000000000000001E-3</v>
      </c>
      <c r="AB3810" s="508">
        <v>5.0000000000000001E-3</v>
      </c>
      <c r="AC3810" s="508">
        <v>5.0000000000000001E-3</v>
      </c>
      <c r="AD3810" s="508">
        <v>4.0000000000000001E-3</v>
      </c>
      <c r="AE3810" s="508">
        <v>4.0000000000000001E-3</v>
      </c>
      <c r="AF3810" s="508">
        <v>3.0000000000000001E-3</v>
      </c>
      <c r="AG3810" s="508">
        <v>3.0000000000000001E-3</v>
      </c>
      <c r="AH3810" s="508">
        <v>3.0000000000000001E-3</v>
      </c>
      <c r="AI3810" s="492">
        <v>3.0000000000000001E-3</v>
      </c>
      <c r="AJ3810" s="485"/>
    </row>
    <row r="3811" spans="2:36">
      <c r="B3811" s="136" t="s">
        <v>450</v>
      </c>
      <c r="C3811" s="132" t="s">
        <v>1366</v>
      </c>
      <c r="D3811" s="132" t="s">
        <v>284</v>
      </c>
      <c r="E3811" s="508">
        <v>7.8E-2</v>
      </c>
      <c r="F3811" s="508">
        <v>9.1999999999999998E-2</v>
      </c>
      <c r="G3811" s="508">
        <v>9.0999999999999998E-2</v>
      </c>
      <c r="H3811" s="508">
        <v>6.3E-2</v>
      </c>
      <c r="I3811" s="508">
        <v>6.2E-2</v>
      </c>
      <c r="J3811" s="508">
        <v>6.2E-2</v>
      </c>
      <c r="K3811" s="508">
        <v>4.3999999999999997E-2</v>
      </c>
      <c r="L3811" s="508">
        <v>4.3999999999999997E-2</v>
      </c>
      <c r="M3811" s="508">
        <v>4.2999999999999997E-2</v>
      </c>
      <c r="N3811" s="508">
        <v>3.9E-2</v>
      </c>
      <c r="O3811" s="508">
        <v>3.2000000000000001E-2</v>
      </c>
      <c r="P3811" s="508">
        <v>1.9E-2</v>
      </c>
      <c r="Q3811" s="508">
        <v>1.7000000000000001E-2</v>
      </c>
      <c r="R3811" s="508">
        <v>1.6E-2</v>
      </c>
      <c r="S3811" s="508">
        <v>1.4E-2</v>
      </c>
      <c r="T3811" s="508">
        <v>1.2999999999999999E-2</v>
      </c>
      <c r="U3811" s="508">
        <v>7.0000000000000001E-3</v>
      </c>
      <c r="V3811" s="508">
        <v>6.0000000000000001E-3</v>
      </c>
      <c r="W3811" s="508">
        <v>6.0000000000000001E-3</v>
      </c>
      <c r="X3811" s="508">
        <v>6.0000000000000001E-3</v>
      </c>
      <c r="Y3811" s="508">
        <v>6.0000000000000001E-3</v>
      </c>
      <c r="Z3811" s="508">
        <v>5.0000000000000001E-3</v>
      </c>
      <c r="AA3811" s="508">
        <v>5.0000000000000001E-3</v>
      </c>
      <c r="AB3811" s="508">
        <v>5.0000000000000001E-3</v>
      </c>
      <c r="AC3811" s="508">
        <v>5.0000000000000001E-3</v>
      </c>
      <c r="AD3811" s="508">
        <v>4.0000000000000001E-3</v>
      </c>
      <c r="AE3811" s="508">
        <v>4.0000000000000001E-3</v>
      </c>
      <c r="AF3811" s="508">
        <v>3.0000000000000001E-3</v>
      </c>
      <c r="AG3811" s="508">
        <v>3.0000000000000001E-3</v>
      </c>
      <c r="AH3811" s="508">
        <v>3.0000000000000001E-3</v>
      </c>
      <c r="AI3811" s="492">
        <v>3.0000000000000001E-3</v>
      </c>
      <c r="AJ3811" s="485"/>
    </row>
    <row r="3812" spans="2:36">
      <c r="B3812" s="136" t="s">
        <v>451</v>
      </c>
      <c r="C3812" s="132" t="s">
        <v>1366</v>
      </c>
      <c r="D3812" s="132" t="s">
        <v>284</v>
      </c>
      <c r="E3812" s="508">
        <v>7.8E-2</v>
      </c>
      <c r="F3812" s="508">
        <v>8.6999999999999994E-2</v>
      </c>
      <c r="G3812" s="508">
        <v>8.6999999999999994E-2</v>
      </c>
      <c r="H3812" s="508">
        <v>6.2E-2</v>
      </c>
      <c r="I3812" s="508">
        <v>6.2E-2</v>
      </c>
      <c r="J3812" s="508">
        <v>6.2E-2</v>
      </c>
      <c r="K3812" s="508">
        <v>4.4999999999999998E-2</v>
      </c>
      <c r="L3812" s="508">
        <v>4.4999999999999998E-2</v>
      </c>
      <c r="M3812" s="508">
        <v>4.3999999999999997E-2</v>
      </c>
      <c r="N3812" s="508">
        <v>3.7999999999999999E-2</v>
      </c>
      <c r="O3812" s="508">
        <v>3.3000000000000002E-2</v>
      </c>
      <c r="P3812" s="508">
        <v>0.02</v>
      </c>
      <c r="Q3812" s="508">
        <v>1.9E-2</v>
      </c>
      <c r="R3812" s="508">
        <v>1.7000000000000001E-2</v>
      </c>
      <c r="S3812" s="508">
        <v>1.4999999999999999E-2</v>
      </c>
      <c r="T3812" s="508">
        <v>1.4999999999999999E-2</v>
      </c>
      <c r="U3812" s="508">
        <v>7.0000000000000001E-3</v>
      </c>
      <c r="V3812" s="508">
        <v>6.0000000000000001E-3</v>
      </c>
      <c r="W3812" s="508">
        <v>6.0000000000000001E-3</v>
      </c>
      <c r="X3812" s="508">
        <v>6.0000000000000001E-3</v>
      </c>
      <c r="Y3812" s="508">
        <v>6.0000000000000001E-3</v>
      </c>
      <c r="Z3812" s="508">
        <v>5.0000000000000001E-3</v>
      </c>
      <c r="AA3812" s="508">
        <v>6.0000000000000001E-3</v>
      </c>
      <c r="AB3812" s="508">
        <v>5.0000000000000001E-3</v>
      </c>
      <c r="AC3812" s="508">
        <v>5.0000000000000001E-3</v>
      </c>
      <c r="AD3812" s="508">
        <v>4.0000000000000001E-3</v>
      </c>
      <c r="AE3812" s="508">
        <v>4.0000000000000001E-3</v>
      </c>
      <c r="AF3812" s="508">
        <v>3.0000000000000001E-3</v>
      </c>
      <c r="AG3812" s="508">
        <v>3.0000000000000001E-3</v>
      </c>
      <c r="AH3812" s="508">
        <v>3.0000000000000001E-3</v>
      </c>
      <c r="AI3812" s="492">
        <v>3.0000000000000001E-3</v>
      </c>
      <c r="AJ3812" s="485"/>
    </row>
    <row r="3813" spans="2:36">
      <c r="B3813" s="136" t="s">
        <v>452</v>
      </c>
      <c r="C3813" s="132" t="s">
        <v>1366</v>
      </c>
      <c r="D3813" s="132" t="s">
        <v>284</v>
      </c>
      <c r="E3813" s="508">
        <v>7.8E-2</v>
      </c>
      <c r="F3813" s="508">
        <v>8.7999999999999995E-2</v>
      </c>
      <c r="G3813" s="508">
        <v>8.7999999999999995E-2</v>
      </c>
      <c r="H3813" s="508">
        <v>6.2E-2</v>
      </c>
      <c r="I3813" s="508">
        <v>6.2E-2</v>
      </c>
      <c r="J3813" s="508">
        <v>0.06</v>
      </c>
      <c r="K3813" s="508">
        <v>4.3999999999999997E-2</v>
      </c>
      <c r="L3813" s="508">
        <v>4.3999999999999997E-2</v>
      </c>
      <c r="M3813" s="508">
        <v>4.2999999999999997E-2</v>
      </c>
      <c r="N3813" s="508">
        <v>3.7999999999999999E-2</v>
      </c>
      <c r="O3813" s="508">
        <v>3.3000000000000002E-2</v>
      </c>
      <c r="P3813" s="508">
        <v>1.9E-2</v>
      </c>
      <c r="Q3813" s="508">
        <v>1.7000000000000001E-2</v>
      </c>
      <c r="R3813" s="508">
        <v>1.6E-2</v>
      </c>
      <c r="S3813" s="508">
        <v>1.4E-2</v>
      </c>
      <c r="T3813" s="508">
        <v>1.4E-2</v>
      </c>
      <c r="U3813" s="508">
        <v>7.0000000000000001E-3</v>
      </c>
      <c r="V3813" s="508">
        <v>6.0000000000000001E-3</v>
      </c>
      <c r="W3813" s="508">
        <v>6.0000000000000001E-3</v>
      </c>
      <c r="X3813" s="508">
        <v>6.0000000000000001E-3</v>
      </c>
      <c r="Y3813" s="508">
        <v>6.0000000000000001E-3</v>
      </c>
      <c r="Z3813" s="508">
        <v>5.0000000000000001E-3</v>
      </c>
      <c r="AA3813" s="508">
        <v>5.0000000000000001E-3</v>
      </c>
      <c r="AB3813" s="508">
        <v>5.0000000000000001E-3</v>
      </c>
      <c r="AC3813" s="508">
        <v>5.0000000000000001E-3</v>
      </c>
      <c r="AD3813" s="508">
        <v>4.0000000000000001E-3</v>
      </c>
      <c r="AE3813" s="508">
        <v>4.0000000000000001E-3</v>
      </c>
      <c r="AF3813" s="508">
        <v>3.0000000000000001E-3</v>
      </c>
      <c r="AG3813" s="508">
        <v>3.0000000000000001E-3</v>
      </c>
      <c r="AH3813" s="508">
        <v>3.0000000000000001E-3</v>
      </c>
      <c r="AI3813" s="492">
        <v>3.0000000000000001E-3</v>
      </c>
      <c r="AJ3813" s="485"/>
    </row>
    <row r="3814" spans="2:36">
      <c r="B3814" s="136" t="s">
        <v>453</v>
      </c>
      <c r="C3814" s="132" t="s">
        <v>1366</v>
      </c>
      <c r="D3814" s="132" t="s">
        <v>284</v>
      </c>
      <c r="E3814" s="508">
        <v>7.8E-2</v>
      </c>
      <c r="F3814" s="508">
        <v>9.1999999999999998E-2</v>
      </c>
      <c r="G3814" s="508">
        <v>9.1999999999999998E-2</v>
      </c>
      <c r="H3814" s="508">
        <v>6.3E-2</v>
      </c>
      <c r="I3814" s="508">
        <v>6.2E-2</v>
      </c>
      <c r="J3814" s="508">
        <v>6.2E-2</v>
      </c>
      <c r="K3814" s="508">
        <v>4.3999999999999997E-2</v>
      </c>
      <c r="L3814" s="508">
        <v>4.3999999999999997E-2</v>
      </c>
      <c r="M3814" s="508">
        <v>4.2999999999999997E-2</v>
      </c>
      <c r="N3814" s="508">
        <v>3.9E-2</v>
      </c>
      <c r="O3814" s="508">
        <v>3.2000000000000001E-2</v>
      </c>
      <c r="P3814" s="508">
        <v>1.9E-2</v>
      </c>
      <c r="Q3814" s="508">
        <v>1.7000000000000001E-2</v>
      </c>
      <c r="R3814" s="508">
        <v>1.6E-2</v>
      </c>
      <c r="S3814" s="508">
        <v>1.4E-2</v>
      </c>
      <c r="T3814" s="508">
        <v>1.2999999999999999E-2</v>
      </c>
      <c r="U3814" s="508">
        <v>7.0000000000000001E-3</v>
      </c>
      <c r="V3814" s="508">
        <v>6.0000000000000001E-3</v>
      </c>
      <c r="W3814" s="508">
        <v>6.0000000000000001E-3</v>
      </c>
      <c r="X3814" s="508">
        <v>6.0000000000000001E-3</v>
      </c>
      <c r="Y3814" s="508">
        <v>6.0000000000000001E-3</v>
      </c>
      <c r="Z3814" s="508">
        <v>5.0000000000000001E-3</v>
      </c>
      <c r="AA3814" s="508">
        <v>5.0000000000000001E-3</v>
      </c>
      <c r="AB3814" s="508">
        <v>5.0000000000000001E-3</v>
      </c>
      <c r="AC3814" s="508">
        <v>5.0000000000000001E-3</v>
      </c>
      <c r="AD3814" s="508">
        <v>4.0000000000000001E-3</v>
      </c>
      <c r="AE3814" s="508">
        <v>4.0000000000000001E-3</v>
      </c>
      <c r="AF3814" s="508">
        <v>3.0000000000000001E-3</v>
      </c>
      <c r="AG3814" s="508">
        <v>3.0000000000000001E-3</v>
      </c>
      <c r="AH3814" s="508">
        <v>3.0000000000000001E-3</v>
      </c>
      <c r="AI3814" s="492">
        <v>3.0000000000000001E-3</v>
      </c>
      <c r="AJ3814" s="485"/>
    </row>
    <row r="3815" spans="2:36">
      <c r="B3815" s="136" t="s">
        <v>454</v>
      </c>
      <c r="C3815" s="132" t="s">
        <v>1366</v>
      </c>
      <c r="D3815" s="132" t="s">
        <v>284</v>
      </c>
      <c r="E3815" s="508">
        <v>7.6999999999999999E-2</v>
      </c>
      <c r="F3815" s="508">
        <v>9.2999999999999999E-2</v>
      </c>
      <c r="G3815" s="508">
        <v>9.2999999999999999E-2</v>
      </c>
      <c r="H3815" s="508">
        <v>6.3E-2</v>
      </c>
      <c r="I3815" s="508">
        <v>6.2E-2</v>
      </c>
      <c r="J3815" s="508">
        <v>6.3E-2</v>
      </c>
      <c r="K3815" s="508">
        <v>4.4999999999999998E-2</v>
      </c>
      <c r="L3815" s="508">
        <v>4.3999999999999997E-2</v>
      </c>
      <c r="M3815" s="508">
        <v>4.3999999999999997E-2</v>
      </c>
      <c r="N3815" s="508">
        <v>3.9E-2</v>
      </c>
      <c r="O3815" s="508">
        <v>3.3000000000000002E-2</v>
      </c>
      <c r="P3815" s="508">
        <v>1.9E-2</v>
      </c>
      <c r="Q3815" s="508">
        <v>1.7999999999999999E-2</v>
      </c>
      <c r="R3815" s="508">
        <v>1.6E-2</v>
      </c>
      <c r="S3815" s="508">
        <v>1.4E-2</v>
      </c>
      <c r="T3815" s="508">
        <v>1.4E-2</v>
      </c>
      <c r="U3815" s="508">
        <v>7.0000000000000001E-3</v>
      </c>
      <c r="V3815" s="508">
        <v>6.0000000000000001E-3</v>
      </c>
      <c r="W3815" s="508">
        <v>6.0000000000000001E-3</v>
      </c>
      <c r="X3815" s="508">
        <v>6.0000000000000001E-3</v>
      </c>
      <c r="Y3815" s="508">
        <v>6.0000000000000001E-3</v>
      </c>
      <c r="Z3815" s="508">
        <v>5.0000000000000001E-3</v>
      </c>
      <c r="AA3815" s="508">
        <v>5.0000000000000001E-3</v>
      </c>
      <c r="AB3815" s="508">
        <v>5.0000000000000001E-3</v>
      </c>
      <c r="AC3815" s="508">
        <v>5.0000000000000001E-3</v>
      </c>
      <c r="AD3815" s="508">
        <v>4.0000000000000001E-3</v>
      </c>
      <c r="AE3815" s="508">
        <v>4.0000000000000001E-3</v>
      </c>
      <c r="AF3815" s="508">
        <v>3.0000000000000001E-3</v>
      </c>
      <c r="AG3815" s="508">
        <v>3.0000000000000001E-3</v>
      </c>
      <c r="AH3815" s="508">
        <v>3.0000000000000001E-3</v>
      </c>
      <c r="AI3815" s="492">
        <v>3.0000000000000001E-3</v>
      </c>
      <c r="AJ3815" s="485"/>
    </row>
    <row r="3816" spans="2:36">
      <c r="B3816" s="136" t="s">
        <v>455</v>
      </c>
      <c r="C3816" s="132" t="s">
        <v>1366</v>
      </c>
      <c r="D3816" s="132" t="s">
        <v>284</v>
      </c>
      <c r="E3816" s="508">
        <v>7.6999999999999999E-2</v>
      </c>
      <c r="F3816" s="508">
        <v>9.6000000000000002E-2</v>
      </c>
      <c r="G3816" s="508">
        <v>9.6000000000000002E-2</v>
      </c>
      <c r="H3816" s="508">
        <v>6.4000000000000001E-2</v>
      </c>
      <c r="I3816" s="508">
        <v>6.3E-2</v>
      </c>
      <c r="J3816" s="508">
        <v>6.5000000000000002E-2</v>
      </c>
      <c r="K3816" s="508">
        <v>4.4999999999999998E-2</v>
      </c>
      <c r="L3816" s="508">
        <v>4.4999999999999998E-2</v>
      </c>
      <c r="M3816" s="508">
        <v>4.3999999999999997E-2</v>
      </c>
      <c r="N3816" s="508">
        <v>3.9E-2</v>
      </c>
      <c r="O3816" s="508">
        <v>3.3000000000000002E-2</v>
      </c>
      <c r="P3816" s="508">
        <v>1.9E-2</v>
      </c>
      <c r="Q3816" s="508">
        <v>1.7999999999999999E-2</v>
      </c>
      <c r="R3816" s="508">
        <v>1.7000000000000001E-2</v>
      </c>
      <c r="S3816" s="508">
        <v>1.4E-2</v>
      </c>
      <c r="T3816" s="508">
        <v>1.4E-2</v>
      </c>
      <c r="U3816" s="508">
        <v>7.0000000000000001E-3</v>
      </c>
      <c r="V3816" s="508">
        <v>6.0000000000000001E-3</v>
      </c>
      <c r="W3816" s="508">
        <v>6.0000000000000001E-3</v>
      </c>
      <c r="X3816" s="508">
        <v>6.0000000000000001E-3</v>
      </c>
      <c r="Y3816" s="508">
        <v>6.0000000000000001E-3</v>
      </c>
      <c r="Z3816" s="508">
        <v>5.0000000000000001E-3</v>
      </c>
      <c r="AA3816" s="508">
        <v>5.0000000000000001E-3</v>
      </c>
      <c r="AB3816" s="508">
        <v>5.0000000000000001E-3</v>
      </c>
      <c r="AC3816" s="508">
        <v>5.0000000000000001E-3</v>
      </c>
      <c r="AD3816" s="508">
        <v>4.0000000000000001E-3</v>
      </c>
      <c r="AE3816" s="508">
        <v>4.0000000000000001E-3</v>
      </c>
      <c r="AF3816" s="508">
        <v>3.0000000000000001E-3</v>
      </c>
      <c r="AG3816" s="508">
        <v>3.0000000000000001E-3</v>
      </c>
      <c r="AH3816" s="508">
        <v>3.0000000000000001E-3</v>
      </c>
      <c r="AI3816" s="492">
        <v>3.0000000000000001E-3</v>
      </c>
      <c r="AJ3816" s="485"/>
    </row>
    <row r="3817" spans="2:36">
      <c r="B3817" s="136" t="s">
        <v>456</v>
      </c>
      <c r="C3817" s="132" t="s">
        <v>1366</v>
      </c>
      <c r="D3817" s="132" t="s">
        <v>284</v>
      </c>
      <c r="E3817" s="508">
        <v>7.8E-2</v>
      </c>
      <c r="F3817" s="508">
        <v>9.1999999999999998E-2</v>
      </c>
      <c r="G3817" s="508">
        <v>9.1999999999999998E-2</v>
      </c>
      <c r="H3817" s="508">
        <v>6.3E-2</v>
      </c>
      <c r="I3817" s="508">
        <v>6.2E-2</v>
      </c>
      <c r="J3817" s="508">
        <v>6.3E-2</v>
      </c>
      <c r="K3817" s="508">
        <v>4.4999999999999998E-2</v>
      </c>
      <c r="L3817" s="508">
        <v>4.3999999999999997E-2</v>
      </c>
      <c r="M3817" s="508">
        <v>4.3999999999999997E-2</v>
      </c>
      <c r="N3817" s="508">
        <v>3.9E-2</v>
      </c>
      <c r="O3817" s="508">
        <v>3.3000000000000002E-2</v>
      </c>
      <c r="P3817" s="508">
        <v>1.9E-2</v>
      </c>
      <c r="Q3817" s="508">
        <v>1.7999999999999999E-2</v>
      </c>
      <c r="R3817" s="508">
        <v>1.7000000000000001E-2</v>
      </c>
      <c r="S3817" s="508">
        <v>1.4E-2</v>
      </c>
      <c r="T3817" s="508">
        <v>1.4E-2</v>
      </c>
      <c r="U3817" s="508">
        <v>7.0000000000000001E-3</v>
      </c>
      <c r="V3817" s="508">
        <v>6.0000000000000001E-3</v>
      </c>
      <c r="W3817" s="508">
        <v>6.0000000000000001E-3</v>
      </c>
      <c r="X3817" s="508">
        <v>6.0000000000000001E-3</v>
      </c>
      <c r="Y3817" s="508">
        <v>6.0000000000000001E-3</v>
      </c>
      <c r="Z3817" s="508">
        <v>5.0000000000000001E-3</v>
      </c>
      <c r="AA3817" s="508">
        <v>5.0000000000000001E-3</v>
      </c>
      <c r="AB3817" s="508">
        <v>5.0000000000000001E-3</v>
      </c>
      <c r="AC3817" s="508">
        <v>5.0000000000000001E-3</v>
      </c>
      <c r="AD3817" s="508">
        <v>4.0000000000000001E-3</v>
      </c>
      <c r="AE3817" s="508">
        <v>4.0000000000000001E-3</v>
      </c>
      <c r="AF3817" s="508">
        <v>3.0000000000000001E-3</v>
      </c>
      <c r="AG3817" s="508">
        <v>3.0000000000000001E-3</v>
      </c>
      <c r="AH3817" s="508">
        <v>3.0000000000000001E-3</v>
      </c>
      <c r="AI3817" s="492">
        <v>3.0000000000000001E-3</v>
      </c>
      <c r="AJ3817" s="485"/>
    </row>
    <row r="3818" spans="2:36">
      <c r="B3818" s="136" t="s">
        <v>457</v>
      </c>
      <c r="C3818" s="132" t="s">
        <v>1366</v>
      </c>
      <c r="D3818" s="132" t="s">
        <v>284</v>
      </c>
      <c r="E3818" s="508">
        <v>7.6999999999999999E-2</v>
      </c>
      <c r="F3818" s="508">
        <v>9.5000000000000001E-2</v>
      </c>
      <c r="G3818" s="508">
        <v>9.4E-2</v>
      </c>
      <c r="H3818" s="508">
        <v>6.3E-2</v>
      </c>
      <c r="I3818" s="508">
        <v>6.2E-2</v>
      </c>
      <c r="J3818" s="508">
        <v>6.3E-2</v>
      </c>
      <c r="K3818" s="508">
        <v>4.3999999999999997E-2</v>
      </c>
      <c r="L3818" s="508">
        <v>4.3999999999999997E-2</v>
      </c>
      <c r="M3818" s="508">
        <v>4.2999999999999997E-2</v>
      </c>
      <c r="N3818" s="508">
        <v>3.9E-2</v>
      </c>
      <c r="O3818" s="508">
        <v>3.2000000000000001E-2</v>
      </c>
      <c r="P3818" s="508">
        <v>1.9E-2</v>
      </c>
      <c r="Q3818" s="508">
        <v>1.7000000000000001E-2</v>
      </c>
      <c r="R3818" s="508">
        <v>1.6E-2</v>
      </c>
      <c r="S3818" s="508">
        <v>1.2999999999999999E-2</v>
      </c>
      <c r="T3818" s="508">
        <v>1.2999999999999999E-2</v>
      </c>
      <c r="U3818" s="508">
        <v>7.0000000000000001E-3</v>
      </c>
      <c r="V3818" s="508">
        <v>6.0000000000000001E-3</v>
      </c>
      <c r="W3818" s="508">
        <v>6.0000000000000001E-3</v>
      </c>
      <c r="X3818" s="508">
        <v>6.0000000000000001E-3</v>
      </c>
      <c r="Y3818" s="508">
        <v>6.0000000000000001E-3</v>
      </c>
      <c r="Z3818" s="508">
        <v>5.0000000000000001E-3</v>
      </c>
      <c r="AA3818" s="508">
        <v>5.0000000000000001E-3</v>
      </c>
      <c r="AB3818" s="508">
        <v>5.0000000000000001E-3</v>
      </c>
      <c r="AC3818" s="508">
        <v>4.0000000000000001E-3</v>
      </c>
      <c r="AD3818" s="508">
        <v>4.0000000000000001E-3</v>
      </c>
      <c r="AE3818" s="508">
        <v>4.0000000000000001E-3</v>
      </c>
      <c r="AF3818" s="508">
        <v>3.0000000000000001E-3</v>
      </c>
      <c r="AG3818" s="508">
        <v>3.0000000000000001E-3</v>
      </c>
      <c r="AH3818" s="508">
        <v>3.0000000000000001E-3</v>
      </c>
      <c r="AI3818" s="492">
        <v>3.0000000000000001E-3</v>
      </c>
      <c r="AJ3818" s="485"/>
    </row>
    <row r="3819" spans="2:36">
      <c r="B3819" s="136" t="s">
        <v>458</v>
      </c>
      <c r="C3819" s="132" t="s">
        <v>1366</v>
      </c>
      <c r="D3819" s="132" t="s">
        <v>284</v>
      </c>
      <c r="E3819" s="508">
        <v>7.6999999999999999E-2</v>
      </c>
      <c r="F3819" s="508">
        <v>9.4E-2</v>
      </c>
      <c r="G3819" s="508">
        <v>9.4E-2</v>
      </c>
      <c r="H3819" s="508">
        <v>6.4000000000000001E-2</v>
      </c>
      <c r="I3819" s="508">
        <v>6.3E-2</v>
      </c>
      <c r="J3819" s="508">
        <v>6.6000000000000003E-2</v>
      </c>
      <c r="K3819" s="508">
        <v>4.5999999999999999E-2</v>
      </c>
      <c r="L3819" s="508">
        <v>4.5999999999999999E-2</v>
      </c>
      <c r="M3819" s="508">
        <v>4.4999999999999998E-2</v>
      </c>
      <c r="N3819" s="508">
        <v>3.9E-2</v>
      </c>
      <c r="O3819" s="508">
        <v>3.3000000000000002E-2</v>
      </c>
      <c r="P3819" s="508">
        <v>0.02</v>
      </c>
      <c r="Q3819" s="508">
        <v>1.9E-2</v>
      </c>
      <c r="R3819" s="508">
        <v>1.7000000000000001E-2</v>
      </c>
      <c r="S3819" s="508">
        <v>1.4999999999999999E-2</v>
      </c>
      <c r="T3819" s="508">
        <v>1.4999999999999999E-2</v>
      </c>
      <c r="U3819" s="508">
        <v>7.0000000000000001E-3</v>
      </c>
      <c r="V3819" s="508">
        <v>6.0000000000000001E-3</v>
      </c>
      <c r="W3819" s="508">
        <v>6.0000000000000001E-3</v>
      </c>
      <c r="X3819" s="508">
        <v>6.0000000000000001E-3</v>
      </c>
      <c r="Y3819" s="508">
        <v>6.0000000000000001E-3</v>
      </c>
      <c r="Z3819" s="508">
        <v>5.0000000000000001E-3</v>
      </c>
      <c r="AA3819" s="508">
        <v>6.0000000000000001E-3</v>
      </c>
      <c r="AB3819" s="508">
        <v>5.0000000000000001E-3</v>
      </c>
      <c r="AC3819" s="508">
        <v>5.0000000000000001E-3</v>
      </c>
      <c r="AD3819" s="508">
        <v>4.0000000000000001E-3</v>
      </c>
      <c r="AE3819" s="508">
        <v>4.0000000000000001E-3</v>
      </c>
      <c r="AF3819" s="508">
        <v>3.0000000000000001E-3</v>
      </c>
      <c r="AG3819" s="508">
        <v>3.0000000000000001E-3</v>
      </c>
      <c r="AH3819" s="508">
        <v>3.0000000000000001E-3</v>
      </c>
      <c r="AI3819" s="492">
        <v>3.0000000000000001E-3</v>
      </c>
      <c r="AJ3819" s="485"/>
    </row>
    <row r="3820" spans="2:36">
      <c r="B3820" s="136" t="s">
        <v>459</v>
      </c>
      <c r="C3820" s="132" t="s">
        <v>1366</v>
      </c>
      <c r="D3820" s="132" t="s">
        <v>284</v>
      </c>
      <c r="E3820" s="508">
        <v>7.6999999999999999E-2</v>
      </c>
      <c r="F3820" s="508">
        <v>9.4E-2</v>
      </c>
      <c r="G3820" s="508">
        <v>9.4E-2</v>
      </c>
      <c r="H3820" s="508">
        <v>6.4000000000000001E-2</v>
      </c>
      <c r="I3820" s="508">
        <v>6.3E-2</v>
      </c>
      <c r="J3820" s="508">
        <v>6.6000000000000003E-2</v>
      </c>
      <c r="K3820" s="508">
        <v>4.5999999999999999E-2</v>
      </c>
      <c r="L3820" s="508">
        <v>4.5999999999999999E-2</v>
      </c>
      <c r="M3820" s="508">
        <v>4.4999999999999998E-2</v>
      </c>
      <c r="N3820" s="508">
        <v>3.9E-2</v>
      </c>
      <c r="O3820" s="508">
        <v>3.3000000000000002E-2</v>
      </c>
      <c r="P3820" s="508">
        <v>0.02</v>
      </c>
      <c r="Q3820" s="508">
        <v>1.9E-2</v>
      </c>
      <c r="R3820" s="508">
        <v>1.7000000000000001E-2</v>
      </c>
      <c r="S3820" s="508">
        <v>1.4999999999999999E-2</v>
      </c>
      <c r="T3820" s="508">
        <v>1.4999999999999999E-2</v>
      </c>
      <c r="U3820" s="508">
        <v>7.0000000000000001E-3</v>
      </c>
      <c r="V3820" s="508">
        <v>6.0000000000000001E-3</v>
      </c>
      <c r="W3820" s="508">
        <v>6.0000000000000001E-3</v>
      </c>
      <c r="X3820" s="508">
        <v>6.0000000000000001E-3</v>
      </c>
      <c r="Y3820" s="508">
        <v>6.0000000000000001E-3</v>
      </c>
      <c r="Z3820" s="508">
        <v>5.0000000000000001E-3</v>
      </c>
      <c r="AA3820" s="508">
        <v>6.0000000000000001E-3</v>
      </c>
      <c r="AB3820" s="508">
        <v>5.0000000000000001E-3</v>
      </c>
      <c r="AC3820" s="508">
        <v>5.0000000000000001E-3</v>
      </c>
      <c r="AD3820" s="508">
        <v>4.0000000000000001E-3</v>
      </c>
      <c r="AE3820" s="508">
        <v>4.0000000000000001E-3</v>
      </c>
      <c r="AF3820" s="508">
        <v>3.0000000000000001E-3</v>
      </c>
      <c r="AG3820" s="508">
        <v>3.0000000000000001E-3</v>
      </c>
      <c r="AH3820" s="508">
        <v>3.0000000000000001E-3</v>
      </c>
      <c r="AI3820" s="492">
        <v>3.0000000000000001E-3</v>
      </c>
      <c r="AJ3820" s="485"/>
    </row>
    <row r="3821" spans="2:36">
      <c r="B3821" s="136" t="s">
        <v>460</v>
      </c>
      <c r="C3821" s="132" t="s">
        <v>1366</v>
      </c>
      <c r="D3821" s="132" t="s">
        <v>284</v>
      </c>
      <c r="E3821" s="508">
        <v>7.8E-2</v>
      </c>
      <c r="F3821" s="508">
        <v>9.0999999999999998E-2</v>
      </c>
      <c r="G3821" s="508">
        <v>9.0999999999999998E-2</v>
      </c>
      <c r="H3821" s="508">
        <v>6.3E-2</v>
      </c>
      <c r="I3821" s="508">
        <v>6.2E-2</v>
      </c>
      <c r="J3821" s="508">
        <v>6.3E-2</v>
      </c>
      <c r="K3821" s="508">
        <v>4.4999999999999998E-2</v>
      </c>
      <c r="L3821" s="508">
        <v>4.4999999999999998E-2</v>
      </c>
      <c r="M3821" s="508">
        <v>4.3999999999999997E-2</v>
      </c>
      <c r="N3821" s="508">
        <v>3.9E-2</v>
      </c>
      <c r="O3821" s="508">
        <v>3.3000000000000002E-2</v>
      </c>
      <c r="P3821" s="508">
        <v>0.02</v>
      </c>
      <c r="Q3821" s="508">
        <v>1.7999999999999999E-2</v>
      </c>
      <c r="R3821" s="508">
        <v>1.7000000000000001E-2</v>
      </c>
      <c r="S3821" s="508">
        <v>1.4E-2</v>
      </c>
      <c r="T3821" s="508">
        <v>1.4E-2</v>
      </c>
      <c r="U3821" s="508">
        <v>7.0000000000000001E-3</v>
      </c>
      <c r="V3821" s="508">
        <v>6.0000000000000001E-3</v>
      </c>
      <c r="W3821" s="508">
        <v>6.0000000000000001E-3</v>
      </c>
      <c r="X3821" s="508">
        <v>6.0000000000000001E-3</v>
      </c>
      <c r="Y3821" s="508">
        <v>6.0000000000000001E-3</v>
      </c>
      <c r="Z3821" s="508">
        <v>5.0000000000000001E-3</v>
      </c>
      <c r="AA3821" s="508">
        <v>5.0000000000000001E-3</v>
      </c>
      <c r="AB3821" s="508">
        <v>5.0000000000000001E-3</v>
      </c>
      <c r="AC3821" s="508">
        <v>5.0000000000000001E-3</v>
      </c>
      <c r="AD3821" s="508">
        <v>4.0000000000000001E-3</v>
      </c>
      <c r="AE3821" s="508">
        <v>4.0000000000000001E-3</v>
      </c>
      <c r="AF3821" s="508">
        <v>3.0000000000000001E-3</v>
      </c>
      <c r="AG3821" s="508">
        <v>3.0000000000000001E-3</v>
      </c>
      <c r="AH3821" s="508">
        <v>3.0000000000000001E-3</v>
      </c>
      <c r="AI3821" s="492">
        <v>3.0000000000000001E-3</v>
      </c>
      <c r="AJ3821" s="485"/>
    </row>
    <row r="3822" spans="2:36">
      <c r="B3822" s="136" t="s">
        <v>461</v>
      </c>
      <c r="C3822" s="132" t="s">
        <v>1366</v>
      </c>
      <c r="D3822" s="132" t="s">
        <v>284</v>
      </c>
      <c r="E3822" s="508">
        <v>7.6999999999999999E-2</v>
      </c>
      <c r="F3822" s="508">
        <v>9.1999999999999998E-2</v>
      </c>
      <c r="G3822" s="508">
        <v>9.1999999999999998E-2</v>
      </c>
      <c r="H3822" s="508">
        <v>6.3E-2</v>
      </c>
      <c r="I3822" s="508">
        <v>6.2E-2</v>
      </c>
      <c r="J3822" s="508">
        <v>6.3E-2</v>
      </c>
      <c r="K3822" s="508">
        <v>4.4999999999999998E-2</v>
      </c>
      <c r="L3822" s="508">
        <v>4.3999999999999997E-2</v>
      </c>
      <c r="M3822" s="508">
        <v>4.3999999999999997E-2</v>
      </c>
      <c r="N3822" s="508">
        <v>3.9E-2</v>
      </c>
      <c r="O3822" s="508">
        <v>3.3000000000000002E-2</v>
      </c>
      <c r="P3822" s="508">
        <v>1.9E-2</v>
      </c>
      <c r="Q3822" s="508">
        <v>1.7999999999999999E-2</v>
      </c>
      <c r="R3822" s="508">
        <v>1.6E-2</v>
      </c>
      <c r="S3822" s="508">
        <v>1.4E-2</v>
      </c>
      <c r="T3822" s="508">
        <v>1.4E-2</v>
      </c>
      <c r="U3822" s="508">
        <v>7.0000000000000001E-3</v>
      </c>
      <c r="V3822" s="508">
        <v>6.0000000000000001E-3</v>
      </c>
      <c r="W3822" s="508">
        <v>6.0000000000000001E-3</v>
      </c>
      <c r="X3822" s="508">
        <v>6.0000000000000001E-3</v>
      </c>
      <c r="Y3822" s="508">
        <v>6.0000000000000001E-3</v>
      </c>
      <c r="Z3822" s="508">
        <v>5.0000000000000001E-3</v>
      </c>
      <c r="AA3822" s="508">
        <v>5.0000000000000001E-3</v>
      </c>
      <c r="AB3822" s="508">
        <v>5.0000000000000001E-3</v>
      </c>
      <c r="AC3822" s="508">
        <v>5.0000000000000001E-3</v>
      </c>
      <c r="AD3822" s="508">
        <v>4.0000000000000001E-3</v>
      </c>
      <c r="AE3822" s="508">
        <v>4.0000000000000001E-3</v>
      </c>
      <c r="AF3822" s="508">
        <v>3.0000000000000001E-3</v>
      </c>
      <c r="AG3822" s="508">
        <v>3.0000000000000001E-3</v>
      </c>
      <c r="AH3822" s="508">
        <v>3.0000000000000001E-3</v>
      </c>
      <c r="AI3822" s="492">
        <v>3.0000000000000001E-3</v>
      </c>
      <c r="AJ3822" s="485"/>
    </row>
    <row r="3823" spans="2:36">
      <c r="B3823" s="136" t="s">
        <v>462</v>
      </c>
      <c r="C3823" s="132" t="s">
        <v>1366</v>
      </c>
      <c r="D3823" s="132" t="s">
        <v>284</v>
      </c>
      <c r="E3823" s="508">
        <v>7.8E-2</v>
      </c>
      <c r="F3823" s="508">
        <v>0.09</v>
      </c>
      <c r="G3823" s="508">
        <v>0.09</v>
      </c>
      <c r="H3823" s="508">
        <v>6.2E-2</v>
      </c>
      <c r="I3823" s="508">
        <v>6.2E-2</v>
      </c>
      <c r="J3823" s="508">
        <v>0.06</v>
      </c>
      <c r="K3823" s="508">
        <v>4.3999999999999997E-2</v>
      </c>
      <c r="L3823" s="508">
        <v>4.2999999999999997E-2</v>
      </c>
      <c r="M3823" s="508">
        <v>4.2999999999999997E-2</v>
      </c>
      <c r="N3823" s="508">
        <v>3.7999999999999999E-2</v>
      </c>
      <c r="O3823" s="508">
        <v>3.2000000000000001E-2</v>
      </c>
      <c r="P3823" s="508">
        <v>1.9E-2</v>
      </c>
      <c r="Q3823" s="508">
        <v>1.6E-2</v>
      </c>
      <c r="R3823" s="508">
        <v>1.6E-2</v>
      </c>
      <c r="S3823" s="508">
        <v>1.2999999999999999E-2</v>
      </c>
      <c r="T3823" s="508">
        <v>1.2999999999999999E-2</v>
      </c>
      <c r="U3823" s="508">
        <v>7.0000000000000001E-3</v>
      </c>
      <c r="V3823" s="508">
        <v>6.0000000000000001E-3</v>
      </c>
      <c r="W3823" s="508">
        <v>6.0000000000000001E-3</v>
      </c>
      <c r="X3823" s="508">
        <v>6.0000000000000001E-3</v>
      </c>
      <c r="Y3823" s="508">
        <v>6.0000000000000001E-3</v>
      </c>
      <c r="Z3823" s="508">
        <v>5.0000000000000001E-3</v>
      </c>
      <c r="AA3823" s="508">
        <v>5.0000000000000001E-3</v>
      </c>
      <c r="AB3823" s="508">
        <v>5.0000000000000001E-3</v>
      </c>
      <c r="AC3823" s="508">
        <v>4.0000000000000001E-3</v>
      </c>
      <c r="AD3823" s="508">
        <v>4.0000000000000001E-3</v>
      </c>
      <c r="AE3823" s="508">
        <v>4.0000000000000001E-3</v>
      </c>
      <c r="AF3823" s="508">
        <v>3.0000000000000001E-3</v>
      </c>
      <c r="AG3823" s="508">
        <v>3.0000000000000001E-3</v>
      </c>
      <c r="AH3823" s="508">
        <v>3.0000000000000001E-3</v>
      </c>
      <c r="AI3823" s="492">
        <v>3.0000000000000001E-3</v>
      </c>
      <c r="AJ3823" s="485"/>
    </row>
    <row r="3824" spans="2:36">
      <c r="B3824" s="136" t="s">
        <v>463</v>
      </c>
      <c r="C3824" s="132" t="s">
        <v>1366</v>
      </c>
      <c r="D3824" s="132" t="s">
        <v>284</v>
      </c>
      <c r="E3824" s="508">
        <v>7.5999999999999998E-2</v>
      </c>
      <c r="F3824" s="508">
        <v>9.8000000000000004E-2</v>
      </c>
      <c r="G3824" s="508">
        <v>9.8000000000000004E-2</v>
      </c>
      <c r="H3824" s="508">
        <v>6.4000000000000001E-2</v>
      </c>
      <c r="I3824" s="508">
        <v>6.4000000000000001E-2</v>
      </c>
      <c r="J3824" s="508">
        <v>6.7000000000000004E-2</v>
      </c>
      <c r="K3824" s="508">
        <v>4.5999999999999999E-2</v>
      </c>
      <c r="L3824" s="508">
        <v>4.5999999999999999E-2</v>
      </c>
      <c r="M3824" s="508">
        <v>4.4999999999999998E-2</v>
      </c>
      <c r="N3824" s="508">
        <v>0.04</v>
      </c>
      <c r="O3824" s="508">
        <v>3.3000000000000002E-2</v>
      </c>
      <c r="P3824" s="508">
        <v>1.9E-2</v>
      </c>
      <c r="Q3824" s="508">
        <v>1.9E-2</v>
      </c>
      <c r="R3824" s="508">
        <v>1.7000000000000001E-2</v>
      </c>
      <c r="S3824" s="508">
        <v>1.4E-2</v>
      </c>
      <c r="T3824" s="508">
        <v>1.4999999999999999E-2</v>
      </c>
      <c r="U3824" s="508">
        <v>7.0000000000000001E-3</v>
      </c>
      <c r="V3824" s="508">
        <v>6.0000000000000001E-3</v>
      </c>
      <c r="W3824" s="508">
        <v>6.0000000000000001E-3</v>
      </c>
      <c r="X3824" s="508">
        <v>6.0000000000000001E-3</v>
      </c>
      <c r="Y3824" s="508">
        <v>6.0000000000000001E-3</v>
      </c>
      <c r="Z3824" s="508">
        <v>5.0000000000000001E-3</v>
      </c>
      <c r="AA3824" s="508">
        <v>5.0000000000000001E-3</v>
      </c>
      <c r="AB3824" s="508">
        <v>5.0000000000000001E-3</v>
      </c>
      <c r="AC3824" s="508">
        <v>5.0000000000000001E-3</v>
      </c>
      <c r="AD3824" s="508">
        <v>4.0000000000000001E-3</v>
      </c>
      <c r="AE3824" s="508">
        <v>4.0000000000000001E-3</v>
      </c>
      <c r="AF3824" s="508">
        <v>3.0000000000000001E-3</v>
      </c>
      <c r="AG3824" s="508">
        <v>3.0000000000000001E-3</v>
      </c>
      <c r="AH3824" s="508">
        <v>3.0000000000000001E-3</v>
      </c>
      <c r="AI3824" s="492">
        <v>3.0000000000000001E-3</v>
      </c>
      <c r="AJ3824" s="485"/>
    </row>
    <row r="3825" spans="2:36">
      <c r="B3825" s="136" t="s">
        <v>464</v>
      </c>
      <c r="C3825" s="132" t="s">
        <v>1366</v>
      </c>
      <c r="D3825" s="132" t="s">
        <v>284</v>
      </c>
      <c r="E3825" s="508">
        <v>7.6999999999999999E-2</v>
      </c>
      <c r="F3825" s="508">
        <v>9.5000000000000001E-2</v>
      </c>
      <c r="G3825" s="508">
        <v>9.5000000000000001E-2</v>
      </c>
      <c r="H3825" s="508">
        <v>6.3E-2</v>
      </c>
      <c r="I3825" s="508">
        <v>6.3E-2</v>
      </c>
      <c r="J3825" s="508">
        <v>6.3E-2</v>
      </c>
      <c r="K3825" s="508">
        <v>4.3999999999999997E-2</v>
      </c>
      <c r="L3825" s="508">
        <v>4.3999999999999997E-2</v>
      </c>
      <c r="M3825" s="508">
        <v>4.2999999999999997E-2</v>
      </c>
      <c r="N3825" s="508">
        <v>3.9E-2</v>
      </c>
      <c r="O3825" s="508">
        <v>3.2000000000000001E-2</v>
      </c>
      <c r="P3825" s="508">
        <v>1.9E-2</v>
      </c>
      <c r="Q3825" s="508">
        <v>1.7000000000000001E-2</v>
      </c>
      <c r="R3825" s="508">
        <v>1.6E-2</v>
      </c>
      <c r="S3825" s="508">
        <v>1.2999999999999999E-2</v>
      </c>
      <c r="T3825" s="508">
        <v>1.2999999999999999E-2</v>
      </c>
      <c r="U3825" s="508">
        <v>7.0000000000000001E-3</v>
      </c>
      <c r="V3825" s="508">
        <v>6.0000000000000001E-3</v>
      </c>
      <c r="W3825" s="508">
        <v>6.0000000000000001E-3</v>
      </c>
      <c r="X3825" s="508">
        <v>6.0000000000000001E-3</v>
      </c>
      <c r="Y3825" s="508">
        <v>6.0000000000000001E-3</v>
      </c>
      <c r="Z3825" s="508">
        <v>5.0000000000000001E-3</v>
      </c>
      <c r="AA3825" s="508">
        <v>5.0000000000000001E-3</v>
      </c>
      <c r="AB3825" s="508">
        <v>5.0000000000000001E-3</v>
      </c>
      <c r="AC3825" s="508">
        <v>5.0000000000000001E-3</v>
      </c>
      <c r="AD3825" s="508">
        <v>4.0000000000000001E-3</v>
      </c>
      <c r="AE3825" s="508">
        <v>4.0000000000000001E-3</v>
      </c>
      <c r="AF3825" s="508">
        <v>3.0000000000000001E-3</v>
      </c>
      <c r="AG3825" s="508">
        <v>3.0000000000000001E-3</v>
      </c>
      <c r="AH3825" s="508">
        <v>3.0000000000000001E-3</v>
      </c>
      <c r="AI3825" s="492">
        <v>3.0000000000000001E-3</v>
      </c>
      <c r="AJ3825" s="485"/>
    </row>
    <row r="3826" spans="2:36">
      <c r="B3826" s="136" t="s">
        <v>465</v>
      </c>
      <c r="C3826" s="132" t="s">
        <v>1366</v>
      </c>
      <c r="D3826" s="132" t="s">
        <v>284</v>
      </c>
      <c r="E3826" s="508">
        <v>7.6999999999999999E-2</v>
      </c>
      <c r="F3826" s="508">
        <v>9.5000000000000001E-2</v>
      </c>
      <c r="G3826" s="508">
        <v>9.5000000000000001E-2</v>
      </c>
      <c r="H3826" s="508">
        <v>6.3E-2</v>
      </c>
      <c r="I3826" s="508">
        <v>6.3E-2</v>
      </c>
      <c r="J3826" s="508">
        <v>6.5000000000000002E-2</v>
      </c>
      <c r="K3826" s="508">
        <v>4.4999999999999998E-2</v>
      </c>
      <c r="L3826" s="508">
        <v>4.4999999999999998E-2</v>
      </c>
      <c r="M3826" s="508">
        <v>4.3999999999999997E-2</v>
      </c>
      <c r="N3826" s="508">
        <v>3.9E-2</v>
      </c>
      <c r="O3826" s="508">
        <v>3.3000000000000002E-2</v>
      </c>
      <c r="P3826" s="508">
        <v>1.9E-2</v>
      </c>
      <c r="Q3826" s="508">
        <v>1.7999999999999999E-2</v>
      </c>
      <c r="R3826" s="508">
        <v>1.7000000000000001E-2</v>
      </c>
      <c r="S3826" s="508">
        <v>1.4E-2</v>
      </c>
      <c r="T3826" s="508">
        <v>1.4E-2</v>
      </c>
      <c r="U3826" s="508">
        <v>7.0000000000000001E-3</v>
      </c>
      <c r="V3826" s="508">
        <v>6.0000000000000001E-3</v>
      </c>
      <c r="W3826" s="508">
        <v>6.0000000000000001E-3</v>
      </c>
      <c r="X3826" s="508">
        <v>6.0000000000000001E-3</v>
      </c>
      <c r="Y3826" s="508">
        <v>6.0000000000000001E-3</v>
      </c>
      <c r="Z3826" s="508">
        <v>5.0000000000000001E-3</v>
      </c>
      <c r="AA3826" s="508">
        <v>5.0000000000000001E-3</v>
      </c>
      <c r="AB3826" s="508">
        <v>5.0000000000000001E-3</v>
      </c>
      <c r="AC3826" s="508">
        <v>5.0000000000000001E-3</v>
      </c>
      <c r="AD3826" s="508">
        <v>4.0000000000000001E-3</v>
      </c>
      <c r="AE3826" s="508">
        <v>4.0000000000000001E-3</v>
      </c>
      <c r="AF3826" s="508">
        <v>3.0000000000000001E-3</v>
      </c>
      <c r="AG3826" s="508">
        <v>3.0000000000000001E-3</v>
      </c>
      <c r="AH3826" s="508">
        <v>3.0000000000000001E-3</v>
      </c>
      <c r="AI3826" s="492">
        <v>3.0000000000000001E-3</v>
      </c>
      <c r="AJ3826" s="485"/>
    </row>
    <row r="3827" spans="2:36">
      <c r="B3827" s="136" t="s">
        <v>466</v>
      </c>
      <c r="C3827" s="132" t="s">
        <v>1366</v>
      </c>
      <c r="D3827" s="132" t="s">
        <v>284</v>
      </c>
      <c r="E3827" s="508">
        <v>7.8E-2</v>
      </c>
      <c r="F3827" s="508">
        <v>8.7999999999999995E-2</v>
      </c>
      <c r="G3827" s="508">
        <v>8.7999999999999995E-2</v>
      </c>
      <c r="H3827" s="508">
        <v>6.2E-2</v>
      </c>
      <c r="I3827" s="508">
        <v>6.2E-2</v>
      </c>
      <c r="J3827" s="508">
        <v>6.0999999999999999E-2</v>
      </c>
      <c r="K3827" s="508">
        <v>4.4999999999999998E-2</v>
      </c>
      <c r="L3827" s="508">
        <v>4.3999999999999997E-2</v>
      </c>
      <c r="M3827" s="508">
        <v>4.3999999999999997E-2</v>
      </c>
      <c r="N3827" s="508">
        <v>3.7999999999999999E-2</v>
      </c>
      <c r="O3827" s="508">
        <v>3.3000000000000002E-2</v>
      </c>
      <c r="P3827" s="508">
        <v>0.02</v>
      </c>
      <c r="Q3827" s="508">
        <v>1.7999999999999999E-2</v>
      </c>
      <c r="R3827" s="508">
        <v>1.7000000000000001E-2</v>
      </c>
      <c r="S3827" s="508">
        <v>1.4E-2</v>
      </c>
      <c r="T3827" s="508">
        <v>1.4E-2</v>
      </c>
      <c r="U3827" s="508">
        <v>7.0000000000000001E-3</v>
      </c>
      <c r="V3827" s="508">
        <v>6.0000000000000001E-3</v>
      </c>
      <c r="W3827" s="508">
        <v>6.0000000000000001E-3</v>
      </c>
      <c r="X3827" s="508">
        <v>6.0000000000000001E-3</v>
      </c>
      <c r="Y3827" s="508">
        <v>6.0000000000000001E-3</v>
      </c>
      <c r="Z3827" s="508">
        <v>5.0000000000000001E-3</v>
      </c>
      <c r="AA3827" s="508">
        <v>6.0000000000000001E-3</v>
      </c>
      <c r="AB3827" s="508">
        <v>5.0000000000000001E-3</v>
      </c>
      <c r="AC3827" s="508">
        <v>5.0000000000000001E-3</v>
      </c>
      <c r="AD3827" s="508">
        <v>4.0000000000000001E-3</v>
      </c>
      <c r="AE3827" s="508">
        <v>4.0000000000000001E-3</v>
      </c>
      <c r="AF3827" s="508">
        <v>3.0000000000000001E-3</v>
      </c>
      <c r="AG3827" s="508">
        <v>3.0000000000000001E-3</v>
      </c>
      <c r="AH3827" s="508">
        <v>3.0000000000000001E-3</v>
      </c>
      <c r="AI3827" s="492">
        <v>3.0000000000000001E-3</v>
      </c>
      <c r="AJ3827" s="485"/>
    </row>
    <row r="3828" spans="2:36">
      <c r="B3828" s="136" t="s">
        <v>467</v>
      </c>
      <c r="C3828" s="132" t="s">
        <v>1366</v>
      </c>
      <c r="D3828" s="132" t="s">
        <v>284</v>
      </c>
      <c r="E3828" s="508">
        <v>7.6999999999999999E-2</v>
      </c>
      <c r="F3828" s="508">
        <v>9.1999999999999998E-2</v>
      </c>
      <c r="G3828" s="508">
        <v>9.1999999999999998E-2</v>
      </c>
      <c r="H3828" s="508">
        <v>6.3E-2</v>
      </c>
      <c r="I3828" s="508">
        <v>6.2E-2</v>
      </c>
      <c r="J3828" s="508">
        <v>6.2E-2</v>
      </c>
      <c r="K3828" s="508">
        <v>4.4999999999999998E-2</v>
      </c>
      <c r="L3828" s="508">
        <v>4.3999999999999997E-2</v>
      </c>
      <c r="M3828" s="508">
        <v>4.3999999999999997E-2</v>
      </c>
      <c r="N3828" s="508">
        <v>3.9E-2</v>
      </c>
      <c r="O3828" s="508">
        <v>3.3000000000000002E-2</v>
      </c>
      <c r="P3828" s="508">
        <v>1.9E-2</v>
      </c>
      <c r="Q3828" s="508">
        <v>1.7000000000000001E-2</v>
      </c>
      <c r="R3828" s="508">
        <v>1.6E-2</v>
      </c>
      <c r="S3828" s="508">
        <v>1.4E-2</v>
      </c>
      <c r="T3828" s="508">
        <v>1.4E-2</v>
      </c>
      <c r="U3828" s="508">
        <v>7.0000000000000001E-3</v>
      </c>
      <c r="V3828" s="508">
        <v>6.0000000000000001E-3</v>
      </c>
      <c r="W3828" s="508">
        <v>6.0000000000000001E-3</v>
      </c>
      <c r="X3828" s="508">
        <v>6.0000000000000001E-3</v>
      </c>
      <c r="Y3828" s="508">
        <v>6.0000000000000001E-3</v>
      </c>
      <c r="Z3828" s="508">
        <v>5.0000000000000001E-3</v>
      </c>
      <c r="AA3828" s="508">
        <v>5.0000000000000001E-3</v>
      </c>
      <c r="AB3828" s="508">
        <v>5.0000000000000001E-3</v>
      </c>
      <c r="AC3828" s="508">
        <v>5.0000000000000001E-3</v>
      </c>
      <c r="AD3828" s="508">
        <v>4.0000000000000001E-3</v>
      </c>
      <c r="AE3828" s="508">
        <v>4.0000000000000001E-3</v>
      </c>
      <c r="AF3828" s="508">
        <v>3.0000000000000001E-3</v>
      </c>
      <c r="AG3828" s="508">
        <v>3.0000000000000001E-3</v>
      </c>
      <c r="AH3828" s="508">
        <v>3.0000000000000001E-3</v>
      </c>
      <c r="AI3828" s="492">
        <v>3.0000000000000001E-3</v>
      </c>
      <c r="AJ3828" s="485"/>
    </row>
    <row r="3829" spans="2:36">
      <c r="B3829" s="136" t="s">
        <v>468</v>
      </c>
      <c r="C3829" s="132" t="s">
        <v>1366</v>
      </c>
      <c r="D3829" s="132" t="s">
        <v>284</v>
      </c>
      <c r="E3829" s="508">
        <v>7.5999999999999998E-2</v>
      </c>
      <c r="F3829" s="508">
        <v>9.9000000000000005E-2</v>
      </c>
      <c r="G3829" s="508">
        <v>9.9000000000000005E-2</v>
      </c>
      <c r="H3829" s="508">
        <v>6.4000000000000001E-2</v>
      </c>
      <c r="I3829" s="508">
        <v>6.3E-2</v>
      </c>
      <c r="J3829" s="508">
        <v>6.7000000000000004E-2</v>
      </c>
      <c r="K3829" s="508">
        <v>4.5999999999999999E-2</v>
      </c>
      <c r="L3829" s="508">
        <v>4.4999999999999998E-2</v>
      </c>
      <c r="M3829" s="508">
        <v>4.4999999999999998E-2</v>
      </c>
      <c r="N3829" s="508">
        <v>0.04</v>
      </c>
      <c r="O3829" s="508">
        <v>3.3000000000000002E-2</v>
      </c>
      <c r="P3829" s="508">
        <v>1.9E-2</v>
      </c>
      <c r="Q3829" s="508">
        <v>1.7999999999999999E-2</v>
      </c>
      <c r="R3829" s="508">
        <v>1.7000000000000001E-2</v>
      </c>
      <c r="S3829" s="508">
        <v>1.4E-2</v>
      </c>
      <c r="T3829" s="508">
        <v>1.4999999999999999E-2</v>
      </c>
      <c r="U3829" s="508">
        <v>7.0000000000000001E-3</v>
      </c>
      <c r="V3829" s="508">
        <v>6.0000000000000001E-3</v>
      </c>
      <c r="W3829" s="508">
        <v>6.0000000000000001E-3</v>
      </c>
      <c r="X3829" s="508">
        <v>6.0000000000000001E-3</v>
      </c>
      <c r="Y3829" s="508">
        <v>6.0000000000000001E-3</v>
      </c>
      <c r="Z3829" s="508">
        <v>5.0000000000000001E-3</v>
      </c>
      <c r="AA3829" s="508">
        <v>5.0000000000000001E-3</v>
      </c>
      <c r="AB3829" s="508">
        <v>5.0000000000000001E-3</v>
      </c>
      <c r="AC3829" s="508">
        <v>5.0000000000000001E-3</v>
      </c>
      <c r="AD3829" s="508">
        <v>4.0000000000000001E-3</v>
      </c>
      <c r="AE3829" s="508">
        <v>4.0000000000000001E-3</v>
      </c>
      <c r="AF3829" s="508">
        <v>3.0000000000000001E-3</v>
      </c>
      <c r="AG3829" s="508">
        <v>3.0000000000000001E-3</v>
      </c>
      <c r="AH3829" s="508">
        <v>3.0000000000000001E-3</v>
      </c>
      <c r="AI3829" s="492">
        <v>3.0000000000000001E-3</v>
      </c>
      <c r="AJ3829" s="485"/>
    </row>
    <row r="3830" spans="2:36">
      <c r="B3830" s="136" t="s">
        <v>469</v>
      </c>
      <c r="C3830" s="132" t="s">
        <v>1366</v>
      </c>
      <c r="D3830" s="132" t="s">
        <v>284</v>
      </c>
      <c r="E3830" s="508">
        <v>7.8E-2</v>
      </c>
      <c r="F3830" s="508">
        <v>9.2999999999999999E-2</v>
      </c>
      <c r="G3830" s="508">
        <v>9.2999999999999999E-2</v>
      </c>
      <c r="H3830" s="508">
        <v>6.3E-2</v>
      </c>
      <c r="I3830" s="508">
        <v>6.3E-2</v>
      </c>
      <c r="J3830" s="508">
        <v>6.3E-2</v>
      </c>
      <c r="K3830" s="508">
        <v>4.4999999999999998E-2</v>
      </c>
      <c r="L3830" s="508">
        <v>4.3999999999999997E-2</v>
      </c>
      <c r="M3830" s="508">
        <v>4.3999999999999997E-2</v>
      </c>
      <c r="N3830" s="508">
        <v>3.9E-2</v>
      </c>
      <c r="O3830" s="508">
        <v>3.3000000000000002E-2</v>
      </c>
      <c r="P3830" s="508">
        <v>1.9E-2</v>
      </c>
      <c r="Q3830" s="508">
        <v>1.7000000000000001E-2</v>
      </c>
      <c r="R3830" s="508">
        <v>1.6E-2</v>
      </c>
      <c r="S3830" s="508">
        <v>1.4E-2</v>
      </c>
      <c r="T3830" s="508">
        <v>1.4E-2</v>
      </c>
      <c r="U3830" s="508">
        <v>7.0000000000000001E-3</v>
      </c>
      <c r="V3830" s="508">
        <v>6.0000000000000001E-3</v>
      </c>
      <c r="W3830" s="508">
        <v>6.0000000000000001E-3</v>
      </c>
      <c r="X3830" s="508">
        <v>6.0000000000000001E-3</v>
      </c>
      <c r="Y3830" s="508">
        <v>6.0000000000000001E-3</v>
      </c>
      <c r="Z3830" s="508">
        <v>5.0000000000000001E-3</v>
      </c>
      <c r="AA3830" s="508">
        <v>5.0000000000000001E-3</v>
      </c>
      <c r="AB3830" s="508">
        <v>5.0000000000000001E-3</v>
      </c>
      <c r="AC3830" s="508">
        <v>5.0000000000000001E-3</v>
      </c>
      <c r="AD3830" s="508">
        <v>4.0000000000000001E-3</v>
      </c>
      <c r="AE3830" s="508">
        <v>4.0000000000000001E-3</v>
      </c>
      <c r="AF3830" s="508">
        <v>3.0000000000000001E-3</v>
      </c>
      <c r="AG3830" s="508">
        <v>3.0000000000000001E-3</v>
      </c>
      <c r="AH3830" s="508">
        <v>3.0000000000000001E-3</v>
      </c>
      <c r="AI3830" s="492">
        <v>3.0000000000000001E-3</v>
      </c>
      <c r="AJ3830" s="485"/>
    </row>
    <row r="3831" spans="2:36">
      <c r="B3831" s="136" t="s">
        <v>470</v>
      </c>
      <c r="C3831" s="132" t="s">
        <v>1366</v>
      </c>
      <c r="D3831" s="132" t="s">
        <v>284</v>
      </c>
      <c r="E3831" s="508">
        <v>7.6999999999999999E-2</v>
      </c>
      <c r="F3831" s="508">
        <v>9.0999999999999998E-2</v>
      </c>
      <c r="G3831" s="508">
        <v>9.0999999999999998E-2</v>
      </c>
      <c r="H3831" s="508">
        <v>6.3E-2</v>
      </c>
      <c r="I3831" s="508">
        <v>6.2E-2</v>
      </c>
      <c r="J3831" s="508">
        <v>6.3E-2</v>
      </c>
      <c r="K3831" s="508">
        <v>4.4999999999999998E-2</v>
      </c>
      <c r="L3831" s="508">
        <v>4.4999999999999998E-2</v>
      </c>
      <c r="M3831" s="508">
        <v>4.3999999999999997E-2</v>
      </c>
      <c r="N3831" s="508">
        <v>3.9E-2</v>
      </c>
      <c r="O3831" s="508">
        <v>3.3000000000000002E-2</v>
      </c>
      <c r="P3831" s="508">
        <v>0.02</v>
      </c>
      <c r="Q3831" s="508">
        <v>1.7999999999999999E-2</v>
      </c>
      <c r="R3831" s="508">
        <v>1.7000000000000001E-2</v>
      </c>
      <c r="S3831" s="508">
        <v>1.4E-2</v>
      </c>
      <c r="T3831" s="508">
        <v>1.4999999999999999E-2</v>
      </c>
      <c r="U3831" s="508">
        <v>7.0000000000000001E-3</v>
      </c>
      <c r="V3831" s="508">
        <v>6.0000000000000001E-3</v>
      </c>
      <c r="W3831" s="508">
        <v>6.0000000000000001E-3</v>
      </c>
      <c r="X3831" s="508">
        <v>6.0000000000000001E-3</v>
      </c>
      <c r="Y3831" s="508">
        <v>6.0000000000000001E-3</v>
      </c>
      <c r="Z3831" s="508">
        <v>5.0000000000000001E-3</v>
      </c>
      <c r="AA3831" s="508">
        <v>5.0000000000000001E-3</v>
      </c>
      <c r="AB3831" s="508">
        <v>5.0000000000000001E-3</v>
      </c>
      <c r="AC3831" s="508">
        <v>5.0000000000000001E-3</v>
      </c>
      <c r="AD3831" s="508">
        <v>4.0000000000000001E-3</v>
      </c>
      <c r="AE3831" s="508">
        <v>4.0000000000000001E-3</v>
      </c>
      <c r="AF3831" s="508">
        <v>3.0000000000000001E-3</v>
      </c>
      <c r="AG3831" s="508">
        <v>3.0000000000000001E-3</v>
      </c>
      <c r="AH3831" s="508">
        <v>3.0000000000000001E-3</v>
      </c>
      <c r="AI3831" s="492">
        <v>3.0000000000000001E-3</v>
      </c>
      <c r="AJ3831" s="485"/>
    </row>
    <row r="3832" spans="2:36">
      <c r="B3832" s="136" t="s">
        <v>471</v>
      </c>
      <c r="C3832" s="132" t="s">
        <v>1366</v>
      </c>
      <c r="D3832" s="132" t="s">
        <v>284</v>
      </c>
      <c r="E3832" s="508">
        <v>7.8E-2</v>
      </c>
      <c r="F3832" s="508">
        <v>0.09</v>
      </c>
      <c r="G3832" s="508">
        <v>0.09</v>
      </c>
      <c r="H3832" s="508">
        <v>6.3E-2</v>
      </c>
      <c r="I3832" s="508">
        <v>6.2E-2</v>
      </c>
      <c r="J3832" s="508">
        <v>6.2E-2</v>
      </c>
      <c r="K3832" s="508">
        <v>4.4999999999999998E-2</v>
      </c>
      <c r="L3832" s="508">
        <v>4.3999999999999997E-2</v>
      </c>
      <c r="M3832" s="508">
        <v>4.3999999999999997E-2</v>
      </c>
      <c r="N3832" s="508">
        <v>3.9E-2</v>
      </c>
      <c r="O3832" s="508">
        <v>3.3000000000000002E-2</v>
      </c>
      <c r="P3832" s="508">
        <v>1.9E-2</v>
      </c>
      <c r="Q3832" s="508">
        <v>1.7000000000000001E-2</v>
      </c>
      <c r="R3832" s="508">
        <v>1.6E-2</v>
      </c>
      <c r="S3832" s="508">
        <v>1.4E-2</v>
      </c>
      <c r="T3832" s="508">
        <v>1.4E-2</v>
      </c>
      <c r="U3832" s="508">
        <v>7.0000000000000001E-3</v>
      </c>
      <c r="V3832" s="508">
        <v>6.0000000000000001E-3</v>
      </c>
      <c r="W3832" s="508">
        <v>6.0000000000000001E-3</v>
      </c>
      <c r="X3832" s="508">
        <v>6.0000000000000001E-3</v>
      </c>
      <c r="Y3832" s="508">
        <v>6.0000000000000001E-3</v>
      </c>
      <c r="Z3832" s="508">
        <v>5.0000000000000001E-3</v>
      </c>
      <c r="AA3832" s="508">
        <v>5.0000000000000001E-3</v>
      </c>
      <c r="AB3832" s="508">
        <v>5.0000000000000001E-3</v>
      </c>
      <c r="AC3832" s="508">
        <v>5.0000000000000001E-3</v>
      </c>
      <c r="AD3832" s="508">
        <v>4.0000000000000001E-3</v>
      </c>
      <c r="AE3832" s="508">
        <v>4.0000000000000001E-3</v>
      </c>
      <c r="AF3832" s="508">
        <v>3.0000000000000001E-3</v>
      </c>
      <c r="AG3832" s="508">
        <v>3.0000000000000001E-3</v>
      </c>
      <c r="AH3832" s="508">
        <v>3.0000000000000001E-3</v>
      </c>
      <c r="AI3832" s="492">
        <v>3.0000000000000001E-3</v>
      </c>
      <c r="AJ3832" s="485"/>
    </row>
    <row r="3833" spans="2:36">
      <c r="B3833" s="136" t="s">
        <v>472</v>
      </c>
      <c r="C3833" s="132" t="s">
        <v>1366</v>
      </c>
      <c r="D3833" s="132" t="s">
        <v>284</v>
      </c>
      <c r="E3833" s="508">
        <v>7.6999999999999999E-2</v>
      </c>
      <c r="F3833" s="508">
        <v>9.4E-2</v>
      </c>
      <c r="G3833" s="508">
        <v>9.4E-2</v>
      </c>
      <c r="H3833" s="508">
        <v>6.3E-2</v>
      </c>
      <c r="I3833" s="508">
        <v>6.2E-2</v>
      </c>
      <c r="J3833" s="508">
        <v>6.3E-2</v>
      </c>
      <c r="K3833" s="508">
        <v>4.3999999999999997E-2</v>
      </c>
      <c r="L3833" s="508">
        <v>4.3999999999999997E-2</v>
      </c>
      <c r="M3833" s="508">
        <v>4.2999999999999997E-2</v>
      </c>
      <c r="N3833" s="508">
        <v>3.9E-2</v>
      </c>
      <c r="O3833" s="508">
        <v>3.2000000000000001E-2</v>
      </c>
      <c r="P3833" s="508">
        <v>1.9E-2</v>
      </c>
      <c r="Q3833" s="508">
        <v>1.7000000000000001E-2</v>
      </c>
      <c r="R3833" s="508">
        <v>1.6E-2</v>
      </c>
      <c r="S3833" s="508">
        <v>1.2999999999999999E-2</v>
      </c>
      <c r="T3833" s="508">
        <v>1.2999999999999999E-2</v>
      </c>
      <c r="U3833" s="508">
        <v>7.0000000000000001E-3</v>
      </c>
      <c r="V3833" s="508">
        <v>6.0000000000000001E-3</v>
      </c>
      <c r="W3833" s="508">
        <v>6.0000000000000001E-3</v>
      </c>
      <c r="X3833" s="508">
        <v>6.0000000000000001E-3</v>
      </c>
      <c r="Y3833" s="508">
        <v>6.0000000000000001E-3</v>
      </c>
      <c r="Z3833" s="508">
        <v>5.0000000000000001E-3</v>
      </c>
      <c r="AA3833" s="508">
        <v>5.0000000000000001E-3</v>
      </c>
      <c r="AB3833" s="508">
        <v>5.0000000000000001E-3</v>
      </c>
      <c r="AC3833" s="508">
        <v>4.0000000000000001E-3</v>
      </c>
      <c r="AD3833" s="508">
        <v>4.0000000000000001E-3</v>
      </c>
      <c r="AE3833" s="508">
        <v>4.0000000000000001E-3</v>
      </c>
      <c r="AF3833" s="508">
        <v>3.0000000000000001E-3</v>
      </c>
      <c r="AG3833" s="508">
        <v>3.0000000000000001E-3</v>
      </c>
      <c r="AH3833" s="508">
        <v>3.0000000000000001E-3</v>
      </c>
      <c r="AI3833" s="492">
        <v>3.0000000000000001E-3</v>
      </c>
      <c r="AJ3833" s="485"/>
    </row>
    <row r="3834" spans="2:36">
      <c r="B3834" s="136" t="s">
        <v>473</v>
      </c>
      <c r="C3834" s="132" t="s">
        <v>1366</v>
      </c>
      <c r="D3834" s="132" t="s">
        <v>284</v>
      </c>
      <c r="E3834" s="508">
        <v>7.8E-2</v>
      </c>
      <c r="F3834" s="508">
        <v>8.8999999999999996E-2</v>
      </c>
      <c r="G3834" s="508">
        <v>8.8999999999999996E-2</v>
      </c>
      <c r="H3834" s="508">
        <v>6.2E-2</v>
      </c>
      <c r="I3834" s="508">
        <v>6.2E-2</v>
      </c>
      <c r="J3834" s="508">
        <v>6.0999999999999999E-2</v>
      </c>
      <c r="K3834" s="508">
        <v>4.4999999999999998E-2</v>
      </c>
      <c r="L3834" s="508">
        <v>4.3999999999999997E-2</v>
      </c>
      <c r="M3834" s="508">
        <v>4.3999999999999997E-2</v>
      </c>
      <c r="N3834" s="508">
        <v>3.7999999999999999E-2</v>
      </c>
      <c r="O3834" s="508">
        <v>3.3000000000000002E-2</v>
      </c>
      <c r="P3834" s="508">
        <v>1.9E-2</v>
      </c>
      <c r="Q3834" s="508">
        <v>1.7999999999999999E-2</v>
      </c>
      <c r="R3834" s="508">
        <v>1.6E-2</v>
      </c>
      <c r="S3834" s="508">
        <v>1.4E-2</v>
      </c>
      <c r="T3834" s="508">
        <v>1.4E-2</v>
      </c>
      <c r="U3834" s="508">
        <v>7.0000000000000001E-3</v>
      </c>
      <c r="V3834" s="508">
        <v>6.0000000000000001E-3</v>
      </c>
      <c r="W3834" s="508">
        <v>6.0000000000000001E-3</v>
      </c>
      <c r="X3834" s="508">
        <v>6.0000000000000001E-3</v>
      </c>
      <c r="Y3834" s="508">
        <v>6.0000000000000001E-3</v>
      </c>
      <c r="Z3834" s="508">
        <v>5.0000000000000001E-3</v>
      </c>
      <c r="AA3834" s="508">
        <v>5.0000000000000001E-3</v>
      </c>
      <c r="AB3834" s="508">
        <v>5.0000000000000001E-3</v>
      </c>
      <c r="AC3834" s="508">
        <v>5.0000000000000001E-3</v>
      </c>
      <c r="AD3834" s="508">
        <v>4.0000000000000001E-3</v>
      </c>
      <c r="AE3834" s="508">
        <v>4.0000000000000001E-3</v>
      </c>
      <c r="AF3834" s="508">
        <v>3.0000000000000001E-3</v>
      </c>
      <c r="AG3834" s="508">
        <v>3.0000000000000001E-3</v>
      </c>
      <c r="AH3834" s="508">
        <v>3.0000000000000001E-3</v>
      </c>
      <c r="AI3834" s="492">
        <v>3.0000000000000001E-3</v>
      </c>
      <c r="AJ3834" s="485"/>
    </row>
    <row r="3835" spans="2:36">
      <c r="B3835" s="136" t="s">
        <v>474</v>
      </c>
      <c r="C3835" s="132" t="s">
        <v>1366</v>
      </c>
      <c r="D3835" s="132" t="s">
        <v>284</v>
      </c>
      <c r="E3835" s="508">
        <v>7.8E-2</v>
      </c>
      <c r="F3835" s="508">
        <v>9.0999999999999998E-2</v>
      </c>
      <c r="G3835" s="508">
        <v>9.0999999999999998E-2</v>
      </c>
      <c r="H3835" s="508">
        <v>6.3E-2</v>
      </c>
      <c r="I3835" s="508">
        <v>6.2E-2</v>
      </c>
      <c r="J3835" s="508">
        <v>6.2E-2</v>
      </c>
      <c r="K3835" s="508">
        <v>4.4999999999999998E-2</v>
      </c>
      <c r="L3835" s="508">
        <v>4.3999999999999997E-2</v>
      </c>
      <c r="M3835" s="508">
        <v>4.3999999999999997E-2</v>
      </c>
      <c r="N3835" s="508">
        <v>3.9E-2</v>
      </c>
      <c r="O3835" s="508">
        <v>3.3000000000000002E-2</v>
      </c>
      <c r="P3835" s="508">
        <v>1.9E-2</v>
      </c>
      <c r="Q3835" s="508">
        <v>1.7000000000000001E-2</v>
      </c>
      <c r="R3835" s="508">
        <v>1.6E-2</v>
      </c>
      <c r="S3835" s="508">
        <v>1.4E-2</v>
      </c>
      <c r="T3835" s="508">
        <v>1.4E-2</v>
      </c>
      <c r="U3835" s="508">
        <v>7.0000000000000001E-3</v>
      </c>
      <c r="V3835" s="508">
        <v>6.0000000000000001E-3</v>
      </c>
      <c r="W3835" s="508">
        <v>6.0000000000000001E-3</v>
      </c>
      <c r="X3835" s="508">
        <v>6.0000000000000001E-3</v>
      </c>
      <c r="Y3835" s="508">
        <v>6.0000000000000001E-3</v>
      </c>
      <c r="Z3835" s="508">
        <v>5.0000000000000001E-3</v>
      </c>
      <c r="AA3835" s="508">
        <v>5.0000000000000001E-3</v>
      </c>
      <c r="AB3835" s="508">
        <v>5.0000000000000001E-3</v>
      </c>
      <c r="AC3835" s="508">
        <v>5.0000000000000001E-3</v>
      </c>
      <c r="AD3835" s="508">
        <v>4.0000000000000001E-3</v>
      </c>
      <c r="AE3835" s="508">
        <v>4.0000000000000001E-3</v>
      </c>
      <c r="AF3835" s="508">
        <v>3.0000000000000001E-3</v>
      </c>
      <c r="AG3835" s="508">
        <v>3.0000000000000001E-3</v>
      </c>
      <c r="AH3835" s="508">
        <v>3.0000000000000001E-3</v>
      </c>
      <c r="AI3835" s="492">
        <v>3.0000000000000001E-3</v>
      </c>
      <c r="AJ3835" s="485"/>
    </row>
    <row r="3836" spans="2:36">
      <c r="B3836" s="136" t="s">
        <v>475</v>
      </c>
      <c r="C3836" s="132" t="s">
        <v>1366</v>
      </c>
      <c r="D3836" s="132" t="s">
        <v>284</v>
      </c>
      <c r="E3836" s="508">
        <v>7.6999999999999999E-2</v>
      </c>
      <c r="F3836" s="508">
        <v>9.1999999999999998E-2</v>
      </c>
      <c r="G3836" s="508">
        <v>9.1999999999999998E-2</v>
      </c>
      <c r="H3836" s="508">
        <v>6.3E-2</v>
      </c>
      <c r="I3836" s="508">
        <v>6.2E-2</v>
      </c>
      <c r="J3836" s="508">
        <v>6.3E-2</v>
      </c>
      <c r="K3836" s="508">
        <v>4.4999999999999998E-2</v>
      </c>
      <c r="L3836" s="508">
        <v>4.3999999999999997E-2</v>
      </c>
      <c r="M3836" s="508">
        <v>4.3999999999999997E-2</v>
      </c>
      <c r="N3836" s="508">
        <v>3.9E-2</v>
      </c>
      <c r="O3836" s="508">
        <v>3.3000000000000002E-2</v>
      </c>
      <c r="P3836" s="508">
        <v>1.9E-2</v>
      </c>
      <c r="Q3836" s="508">
        <v>1.7000000000000001E-2</v>
      </c>
      <c r="R3836" s="508">
        <v>1.6E-2</v>
      </c>
      <c r="S3836" s="508">
        <v>1.4E-2</v>
      </c>
      <c r="T3836" s="508">
        <v>1.4E-2</v>
      </c>
      <c r="U3836" s="508">
        <v>7.0000000000000001E-3</v>
      </c>
      <c r="V3836" s="508">
        <v>6.0000000000000001E-3</v>
      </c>
      <c r="W3836" s="508">
        <v>6.0000000000000001E-3</v>
      </c>
      <c r="X3836" s="508">
        <v>6.0000000000000001E-3</v>
      </c>
      <c r="Y3836" s="508">
        <v>6.0000000000000001E-3</v>
      </c>
      <c r="Z3836" s="508">
        <v>5.0000000000000001E-3</v>
      </c>
      <c r="AA3836" s="508">
        <v>5.0000000000000001E-3</v>
      </c>
      <c r="AB3836" s="508">
        <v>5.0000000000000001E-3</v>
      </c>
      <c r="AC3836" s="508">
        <v>5.0000000000000001E-3</v>
      </c>
      <c r="AD3836" s="508">
        <v>4.0000000000000001E-3</v>
      </c>
      <c r="AE3836" s="508">
        <v>4.0000000000000001E-3</v>
      </c>
      <c r="AF3836" s="508">
        <v>3.0000000000000001E-3</v>
      </c>
      <c r="AG3836" s="508">
        <v>3.0000000000000001E-3</v>
      </c>
      <c r="AH3836" s="508">
        <v>3.0000000000000001E-3</v>
      </c>
      <c r="AI3836" s="492">
        <v>3.0000000000000001E-3</v>
      </c>
      <c r="AJ3836" s="485"/>
    </row>
    <row r="3837" spans="2:36">
      <c r="B3837" s="136" t="s">
        <v>476</v>
      </c>
      <c r="C3837" s="132" t="s">
        <v>1366</v>
      </c>
      <c r="D3837" s="132" t="s">
        <v>284</v>
      </c>
      <c r="E3837" s="508">
        <v>7.8E-2</v>
      </c>
      <c r="F3837" s="508">
        <v>9.0999999999999998E-2</v>
      </c>
      <c r="G3837" s="508">
        <v>9.0999999999999998E-2</v>
      </c>
      <c r="H3837" s="508">
        <v>6.3E-2</v>
      </c>
      <c r="I3837" s="508">
        <v>6.2E-2</v>
      </c>
      <c r="J3837" s="508">
        <v>6.3E-2</v>
      </c>
      <c r="K3837" s="508">
        <v>4.4999999999999998E-2</v>
      </c>
      <c r="L3837" s="508">
        <v>4.4999999999999998E-2</v>
      </c>
      <c r="M3837" s="508">
        <v>4.3999999999999997E-2</v>
      </c>
      <c r="N3837" s="508">
        <v>3.9E-2</v>
      </c>
      <c r="O3837" s="508">
        <v>3.3000000000000002E-2</v>
      </c>
      <c r="P3837" s="508">
        <v>0.02</v>
      </c>
      <c r="Q3837" s="508">
        <v>1.7999999999999999E-2</v>
      </c>
      <c r="R3837" s="508">
        <v>1.7000000000000001E-2</v>
      </c>
      <c r="S3837" s="508">
        <v>1.4E-2</v>
      </c>
      <c r="T3837" s="508">
        <v>1.4E-2</v>
      </c>
      <c r="U3837" s="508">
        <v>7.0000000000000001E-3</v>
      </c>
      <c r="V3837" s="508">
        <v>6.0000000000000001E-3</v>
      </c>
      <c r="W3837" s="508">
        <v>6.0000000000000001E-3</v>
      </c>
      <c r="X3837" s="508">
        <v>6.0000000000000001E-3</v>
      </c>
      <c r="Y3837" s="508">
        <v>6.0000000000000001E-3</v>
      </c>
      <c r="Z3837" s="508">
        <v>5.0000000000000001E-3</v>
      </c>
      <c r="AA3837" s="508">
        <v>5.0000000000000001E-3</v>
      </c>
      <c r="AB3837" s="508">
        <v>5.0000000000000001E-3</v>
      </c>
      <c r="AC3837" s="508">
        <v>5.0000000000000001E-3</v>
      </c>
      <c r="AD3837" s="508">
        <v>4.0000000000000001E-3</v>
      </c>
      <c r="AE3837" s="508">
        <v>4.0000000000000001E-3</v>
      </c>
      <c r="AF3837" s="508">
        <v>3.0000000000000001E-3</v>
      </c>
      <c r="AG3837" s="508">
        <v>3.0000000000000001E-3</v>
      </c>
      <c r="AH3837" s="508">
        <v>3.0000000000000001E-3</v>
      </c>
      <c r="AI3837" s="492">
        <v>3.0000000000000001E-3</v>
      </c>
      <c r="AJ3837" s="485"/>
    </row>
    <row r="3838" spans="2:36">
      <c r="B3838" s="136" t="s">
        <v>478</v>
      </c>
      <c r="C3838" s="132" t="s">
        <v>1366</v>
      </c>
      <c r="D3838" s="132" t="s">
        <v>284</v>
      </c>
      <c r="E3838" s="508">
        <v>7.6999999999999999E-2</v>
      </c>
      <c r="F3838" s="508">
        <v>9.1999999999999998E-2</v>
      </c>
      <c r="G3838" s="508">
        <v>9.1999999999999998E-2</v>
      </c>
      <c r="H3838" s="508">
        <v>6.3E-2</v>
      </c>
      <c r="I3838" s="508">
        <v>6.3E-2</v>
      </c>
      <c r="J3838" s="508">
        <v>6.5000000000000002E-2</v>
      </c>
      <c r="K3838" s="508">
        <v>4.5999999999999999E-2</v>
      </c>
      <c r="L3838" s="508">
        <v>4.4999999999999998E-2</v>
      </c>
      <c r="M3838" s="508">
        <v>4.4999999999999998E-2</v>
      </c>
      <c r="N3838" s="508">
        <v>3.9E-2</v>
      </c>
      <c r="O3838" s="508">
        <v>3.3000000000000002E-2</v>
      </c>
      <c r="P3838" s="508">
        <v>0.02</v>
      </c>
      <c r="Q3838" s="508">
        <v>1.9E-2</v>
      </c>
      <c r="R3838" s="508">
        <v>1.7000000000000001E-2</v>
      </c>
      <c r="S3838" s="508">
        <v>1.4999999999999999E-2</v>
      </c>
      <c r="T3838" s="508">
        <v>1.4999999999999999E-2</v>
      </c>
      <c r="U3838" s="508">
        <v>7.0000000000000001E-3</v>
      </c>
      <c r="V3838" s="508">
        <v>6.0000000000000001E-3</v>
      </c>
      <c r="W3838" s="508">
        <v>6.0000000000000001E-3</v>
      </c>
      <c r="X3838" s="508">
        <v>6.0000000000000001E-3</v>
      </c>
      <c r="Y3838" s="508">
        <v>6.0000000000000001E-3</v>
      </c>
      <c r="Z3838" s="508">
        <v>5.0000000000000001E-3</v>
      </c>
      <c r="AA3838" s="508">
        <v>6.0000000000000001E-3</v>
      </c>
      <c r="AB3838" s="508">
        <v>5.0000000000000001E-3</v>
      </c>
      <c r="AC3838" s="508">
        <v>5.0000000000000001E-3</v>
      </c>
      <c r="AD3838" s="508">
        <v>4.0000000000000001E-3</v>
      </c>
      <c r="AE3838" s="508">
        <v>4.0000000000000001E-3</v>
      </c>
      <c r="AF3838" s="508">
        <v>3.0000000000000001E-3</v>
      </c>
      <c r="AG3838" s="508">
        <v>3.0000000000000001E-3</v>
      </c>
      <c r="AH3838" s="508">
        <v>3.0000000000000001E-3</v>
      </c>
      <c r="AI3838" s="492">
        <v>3.0000000000000001E-3</v>
      </c>
      <c r="AJ3838" s="485"/>
    </row>
    <row r="3839" spans="2:36">
      <c r="B3839" s="136" t="s">
        <v>479</v>
      </c>
      <c r="C3839" s="132" t="s">
        <v>1366</v>
      </c>
      <c r="D3839" s="132" t="s">
        <v>284</v>
      </c>
      <c r="E3839" s="508">
        <v>7.8E-2</v>
      </c>
      <c r="F3839" s="508">
        <v>9.1999999999999998E-2</v>
      </c>
      <c r="G3839" s="508">
        <v>9.1999999999999998E-2</v>
      </c>
      <c r="H3839" s="508">
        <v>6.3E-2</v>
      </c>
      <c r="I3839" s="508">
        <v>6.2E-2</v>
      </c>
      <c r="J3839" s="508">
        <v>6.3E-2</v>
      </c>
      <c r="K3839" s="508">
        <v>4.4999999999999998E-2</v>
      </c>
      <c r="L3839" s="508">
        <v>4.3999999999999997E-2</v>
      </c>
      <c r="M3839" s="508">
        <v>4.3999999999999997E-2</v>
      </c>
      <c r="N3839" s="508">
        <v>3.9E-2</v>
      </c>
      <c r="O3839" s="508">
        <v>3.3000000000000002E-2</v>
      </c>
      <c r="P3839" s="508">
        <v>1.9E-2</v>
      </c>
      <c r="Q3839" s="508">
        <v>1.7999999999999999E-2</v>
      </c>
      <c r="R3839" s="508">
        <v>1.7000000000000001E-2</v>
      </c>
      <c r="S3839" s="508">
        <v>1.4E-2</v>
      </c>
      <c r="T3839" s="508">
        <v>1.4E-2</v>
      </c>
      <c r="U3839" s="508">
        <v>7.0000000000000001E-3</v>
      </c>
      <c r="V3839" s="508">
        <v>6.0000000000000001E-3</v>
      </c>
      <c r="W3839" s="508">
        <v>6.0000000000000001E-3</v>
      </c>
      <c r="X3839" s="508">
        <v>6.0000000000000001E-3</v>
      </c>
      <c r="Y3839" s="508">
        <v>6.0000000000000001E-3</v>
      </c>
      <c r="Z3839" s="508">
        <v>5.0000000000000001E-3</v>
      </c>
      <c r="AA3839" s="508">
        <v>5.0000000000000001E-3</v>
      </c>
      <c r="AB3839" s="508">
        <v>5.0000000000000001E-3</v>
      </c>
      <c r="AC3839" s="508">
        <v>5.0000000000000001E-3</v>
      </c>
      <c r="AD3839" s="508">
        <v>4.0000000000000001E-3</v>
      </c>
      <c r="AE3839" s="508">
        <v>4.0000000000000001E-3</v>
      </c>
      <c r="AF3839" s="508">
        <v>3.0000000000000001E-3</v>
      </c>
      <c r="AG3839" s="508">
        <v>3.0000000000000001E-3</v>
      </c>
      <c r="AH3839" s="508">
        <v>3.0000000000000001E-3</v>
      </c>
      <c r="AI3839" s="492">
        <v>3.0000000000000001E-3</v>
      </c>
      <c r="AJ3839" s="485"/>
    </row>
    <row r="3840" spans="2:36">
      <c r="B3840" s="136" t="s">
        <v>480</v>
      </c>
      <c r="C3840" s="132" t="s">
        <v>1366</v>
      </c>
      <c r="D3840" s="132" t="s">
        <v>284</v>
      </c>
      <c r="E3840" s="508">
        <v>7.6999999999999999E-2</v>
      </c>
      <c r="F3840" s="508">
        <v>9.7000000000000003E-2</v>
      </c>
      <c r="G3840" s="508">
        <v>9.7000000000000003E-2</v>
      </c>
      <c r="H3840" s="508">
        <v>6.4000000000000001E-2</v>
      </c>
      <c r="I3840" s="508">
        <v>6.3E-2</v>
      </c>
      <c r="J3840" s="508">
        <v>6.5000000000000002E-2</v>
      </c>
      <c r="K3840" s="508">
        <v>4.4999999999999998E-2</v>
      </c>
      <c r="L3840" s="508">
        <v>4.4999999999999998E-2</v>
      </c>
      <c r="M3840" s="508">
        <v>4.3999999999999997E-2</v>
      </c>
      <c r="N3840" s="508">
        <v>0.04</v>
      </c>
      <c r="O3840" s="508">
        <v>3.3000000000000002E-2</v>
      </c>
      <c r="P3840" s="508">
        <v>1.9E-2</v>
      </c>
      <c r="Q3840" s="508">
        <v>1.7000000000000001E-2</v>
      </c>
      <c r="R3840" s="508">
        <v>1.6E-2</v>
      </c>
      <c r="S3840" s="508">
        <v>1.4E-2</v>
      </c>
      <c r="T3840" s="508">
        <v>1.4E-2</v>
      </c>
      <c r="U3840" s="508">
        <v>7.0000000000000001E-3</v>
      </c>
      <c r="V3840" s="508">
        <v>6.0000000000000001E-3</v>
      </c>
      <c r="W3840" s="508">
        <v>6.0000000000000001E-3</v>
      </c>
      <c r="X3840" s="508">
        <v>6.0000000000000001E-3</v>
      </c>
      <c r="Y3840" s="508">
        <v>6.0000000000000001E-3</v>
      </c>
      <c r="Z3840" s="508">
        <v>5.0000000000000001E-3</v>
      </c>
      <c r="AA3840" s="508">
        <v>5.0000000000000001E-3</v>
      </c>
      <c r="AB3840" s="508">
        <v>5.0000000000000001E-3</v>
      </c>
      <c r="AC3840" s="508">
        <v>5.0000000000000001E-3</v>
      </c>
      <c r="AD3840" s="508">
        <v>4.0000000000000001E-3</v>
      </c>
      <c r="AE3840" s="508">
        <v>4.0000000000000001E-3</v>
      </c>
      <c r="AF3840" s="508">
        <v>3.0000000000000001E-3</v>
      </c>
      <c r="AG3840" s="508">
        <v>3.0000000000000001E-3</v>
      </c>
      <c r="AH3840" s="508">
        <v>3.0000000000000001E-3</v>
      </c>
      <c r="AI3840" s="492">
        <v>3.0000000000000001E-3</v>
      </c>
      <c r="AJ3840" s="485"/>
    </row>
    <row r="3841" spans="2:36">
      <c r="B3841" s="136" t="s">
        <v>481</v>
      </c>
      <c r="C3841" s="132" t="s">
        <v>1366</v>
      </c>
      <c r="D3841" s="132" t="s">
        <v>284</v>
      </c>
      <c r="E3841" s="508">
        <v>7.6999999999999999E-2</v>
      </c>
      <c r="F3841" s="508">
        <v>9.1999999999999998E-2</v>
      </c>
      <c r="G3841" s="508">
        <v>9.1999999999999998E-2</v>
      </c>
      <c r="H3841" s="508">
        <v>6.3E-2</v>
      </c>
      <c r="I3841" s="508">
        <v>6.3E-2</v>
      </c>
      <c r="J3841" s="508">
        <v>6.3E-2</v>
      </c>
      <c r="K3841" s="508">
        <v>4.4999999999999998E-2</v>
      </c>
      <c r="L3841" s="508">
        <v>4.4999999999999998E-2</v>
      </c>
      <c r="M3841" s="508">
        <v>4.3999999999999997E-2</v>
      </c>
      <c r="N3841" s="508">
        <v>3.9E-2</v>
      </c>
      <c r="O3841" s="508">
        <v>3.3000000000000002E-2</v>
      </c>
      <c r="P3841" s="508">
        <v>1.9E-2</v>
      </c>
      <c r="Q3841" s="508">
        <v>1.7999999999999999E-2</v>
      </c>
      <c r="R3841" s="508">
        <v>1.7000000000000001E-2</v>
      </c>
      <c r="S3841" s="508">
        <v>1.4E-2</v>
      </c>
      <c r="T3841" s="508">
        <v>1.4E-2</v>
      </c>
      <c r="U3841" s="508">
        <v>7.0000000000000001E-3</v>
      </c>
      <c r="V3841" s="508">
        <v>6.0000000000000001E-3</v>
      </c>
      <c r="W3841" s="508">
        <v>6.0000000000000001E-3</v>
      </c>
      <c r="X3841" s="508">
        <v>6.0000000000000001E-3</v>
      </c>
      <c r="Y3841" s="508">
        <v>6.0000000000000001E-3</v>
      </c>
      <c r="Z3841" s="508">
        <v>5.0000000000000001E-3</v>
      </c>
      <c r="AA3841" s="508">
        <v>5.0000000000000001E-3</v>
      </c>
      <c r="AB3841" s="508">
        <v>5.0000000000000001E-3</v>
      </c>
      <c r="AC3841" s="508">
        <v>5.0000000000000001E-3</v>
      </c>
      <c r="AD3841" s="508">
        <v>4.0000000000000001E-3</v>
      </c>
      <c r="AE3841" s="508">
        <v>4.0000000000000001E-3</v>
      </c>
      <c r="AF3841" s="508">
        <v>3.0000000000000001E-3</v>
      </c>
      <c r="AG3841" s="508">
        <v>3.0000000000000001E-3</v>
      </c>
      <c r="AH3841" s="508">
        <v>3.0000000000000001E-3</v>
      </c>
      <c r="AI3841" s="492">
        <v>3.0000000000000001E-3</v>
      </c>
      <c r="AJ3841" s="485"/>
    </row>
    <row r="3842" spans="2:36">
      <c r="B3842" s="136" t="s">
        <v>482</v>
      </c>
      <c r="C3842" s="132" t="s">
        <v>1366</v>
      </c>
      <c r="D3842" s="132" t="s">
        <v>284</v>
      </c>
      <c r="E3842" s="508">
        <v>7.6999999999999999E-2</v>
      </c>
      <c r="F3842" s="508">
        <v>9.4E-2</v>
      </c>
      <c r="G3842" s="508">
        <v>9.2999999999999999E-2</v>
      </c>
      <c r="H3842" s="508">
        <v>6.3E-2</v>
      </c>
      <c r="I3842" s="508">
        <v>6.3E-2</v>
      </c>
      <c r="J3842" s="508">
        <v>6.5000000000000002E-2</v>
      </c>
      <c r="K3842" s="508">
        <v>4.5999999999999999E-2</v>
      </c>
      <c r="L3842" s="508">
        <v>4.4999999999999998E-2</v>
      </c>
      <c r="M3842" s="508">
        <v>4.4999999999999998E-2</v>
      </c>
      <c r="N3842" s="508">
        <v>3.9E-2</v>
      </c>
      <c r="O3842" s="508">
        <v>3.3000000000000002E-2</v>
      </c>
      <c r="P3842" s="508">
        <v>1.9E-2</v>
      </c>
      <c r="Q3842" s="508">
        <v>1.9E-2</v>
      </c>
      <c r="R3842" s="508">
        <v>1.7000000000000001E-2</v>
      </c>
      <c r="S3842" s="508">
        <v>1.4E-2</v>
      </c>
      <c r="T3842" s="508">
        <v>1.4999999999999999E-2</v>
      </c>
      <c r="U3842" s="508">
        <v>7.0000000000000001E-3</v>
      </c>
      <c r="V3842" s="508">
        <v>6.0000000000000001E-3</v>
      </c>
      <c r="W3842" s="508">
        <v>6.0000000000000001E-3</v>
      </c>
      <c r="X3842" s="508">
        <v>6.0000000000000001E-3</v>
      </c>
      <c r="Y3842" s="508">
        <v>6.0000000000000001E-3</v>
      </c>
      <c r="Z3842" s="508">
        <v>5.0000000000000001E-3</v>
      </c>
      <c r="AA3842" s="508">
        <v>5.0000000000000001E-3</v>
      </c>
      <c r="AB3842" s="508">
        <v>5.0000000000000001E-3</v>
      </c>
      <c r="AC3842" s="508">
        <v>5.0000000000000001E-3</v>
      </c>
      <c r="AD3842" s="508">
        <v>4.0000000000000001E-3</v>
      </c>
      <c r="AE3842" s="508">
        <v>4.0000000000000001E-3</v>
      </c>
      <c r="AF3842" s="508">
        <v>3.0000000000000001E-3</v>
      </c>
      <c r="AG3842" s="508">
        <v>3.0000000000000001E-3</v>
      </c>
      <c r="AH3842" s="508">
        <v>3.0000000000000001E-3</v>
      </c>
      <c r="AI3842" s="492">
        <v>3.0000000000000001E-3</v>
      </c>
      <c r="AJ3842" s="485"/>
    </row>
    <row r="3843" spans="2:36">
      <c r="B3843" s="136" t="s">
        <v>483</v>
      </c>
      <c r="C3843" s="132" t="s">
        <v>1366</v>
      </c>
      <c r="D3843" s="132" t="s">
        <v>284</v>
      </c>
      <c r="E3843" s="508">
        <v>7.6999999999999999E-2</v>
      </c>
      <c r="F3843" s="508">
        <v>9.0999999999999998E-2</v>
      </c>
      <c r="G3843" s="508">
        <v>9.0999999999999998E-2</v>
      </c>
      <c r="H3843" s="508">
        <v>6.3E-2</v>
      </c>
      <c r="I3843" s="508">
        <v>6.3E-2</v>
      </c>
      <c r="J3843" s="508">
        <v>6.4000000000000001E-2</v>
      </c>
      <c r="K3843" s="508">
        <v>4.5999999999999999E-2</v>
      </c>
      <c r="L3843" s="508">
        <v>4.4999999999999998E-2</v>
      </c>
      <c r="M3843" s="508">
        <v>4.4999999999999998E-2</v>
      </c>
      <c r="N3843" s="508">
        <v>3.9E-2</v>
      </c>
      <c r="O3843" s="508">
        <v>3.3000000000000002E-2</v>
      </c>
      <c r="P3843" s="508">
        <v>0.02</v>
      </c>
      <c r="Q3843" s="508">
        <v>1.9E-2</v>
      </c>
      <c r="R3843" s="508">
        <v>1.7000000000000001E-2</v>
      </c>
      <c r="S3843" s="508">
        <v>1.4999999999999999E-2</v>
      </c>
      <c r="T3843" s="508">
        <v>1.4999999999999999E-2</v>
      </c>
      <c r="U3843" s="508">
        <v>7.0000000000000001E-3</v>
      </c>
      <c r="V3843" s="508">
        <v>6.0000000000000001E-3</v>
      </c>
      <c r="W3843" s="508">
        <v>6.0000000000000001E-3</v>
      </c>
      <c r="X3843" s="508">
        <v>6.0000000000000001E-3</v>
      </c>
      <c r="Y3843" s="508">
        <v>6.0000000000000001E-3</v>
      </c>
      <c r="Z3843" s="508">
        <v>5.0000000000000001E-3</v>
      </c>
      <c r="AA3843" s="508">
        <v>6.0000000000000001E-3</v>
      </c>
      <c r="AB3843" s="508">
        <v>5.0000000000000001E-3</v>
      </c>
      <c r="AC3843" s="508">
        <v>5.0000000000000001E-3</v>
      </c>
      <c r="AD3843" s="508">
        <v>4.0000000000000001E-3</v>
      </c>
      <c r="AE3843" s="508">
        <v>4.0000000000000001E-3</v>
      </c>
      <c r="AF3843" s="508">
        <v>3.0000000000000001E-3</v>
      </c>
      <c r="AG3843" s="508">
        <v>3.0000000000000001E-3</v>
      </c>
      <c r="AH3843" s="508">
        <v>3.0000000000000001E-3</v>
      </c>
      <c r="AI3843" s="492">
        <v>3.0000000000000001E-3</v>
      </c>
      <c r="AJ3843" s="485"/>
    </row>
    <row r="3844" spans="2:36">
      <c r="B3844" s="136" t="s">
        <v>484</v>
      </c>
      <c r="C3844" s="132" t="s">
        <v>1366</v>
      </c>
      <c r="D3844" s="132" t="s">
        <v>284</v>
      </c>
      <c r="E3844" s="508">
        <v>7.6999999999999999E-2</v>
      </c>
      <c r="F3844" s="508">
        <v>9.5000000000000001E-2</v>
      </c>
      <c r="G3844" s="508">
        <v>9.5000000000000001E-2</v>
      </c>
      <c r="H3844" s="508">
        <v>6.3E-2</v>
      </c>
      <c r="I3844" s="508">
        <v>6.3E-2</v>
      </c>
      <c r="J3844" s="508">
        <v>6.3E-2</v>
      </c>
      <c r="K3844" s="508">
        <v>4.3999999999999997E-2</v>
      </c>
      <c r="L3844" s="508">
        <v>4.3999999999999997E-2</v>
      </c>
      <c r="M3844" s="508">
        <v>4.2999999999999997E-2</v>
      </c>
      <c r="N3844" s="508">
        <v>3.9E-2</v>
      </c>
      <c r="O3844" s="508">
        <v>3.2000000000000001E-2</v>
      </c>
      <c r="P3844" s="508">
        <v>1.9E-2</v>
      </c>
      <c r="Q3844" s="508">
        <v>1.7000000000000001E-2</v>
      </c>
      <c r="R3844" s="508">
        <v>1.6E-2</v>
      </c>
      <c r="S3844" s="508">
        <v>1.2999999999999999E-2</v>
      </c>
      <c r="T3844" s="508">
        <v>1.2999999999999999E-2</v>
      </c>
      <c r="U3844" s="508">
        <v>7.0000000000000001E-3</v>
      </c>
      <c r="V3844" s="508">
        <v>6.0000000000000001E-3</v>
      </c>
      <c r="W3844" s="508">
        <v>6.0000000000000001E-3</v>
      </c>
      <c r="X3844" s="508">
        <v>6.0000000000000001E-3</v>
      </c>
      <c r="Y3844" s="508">
        <v>6.0000000000000001E-3</v>
      </c>
      <c r="Z3844" s="508">
        <v>5.0000000000000001E-3</v>
      </c>
      <c r="AA3844" s="508">
        <v>5.0000000000000001E-3</v>
      </c>
      <c r="AB3844" s="508">
        <v>5.0000000000000001E-3</v>
      </c>
      <c r="AC3844" s="508">
        <v>5.0000000000000001E-3</v>
      </c>
      <c r="AD3844" s="508">
        <v>4.0000000000000001E-3</v>
      </c>
      <c r="AE3844" s="508">
        <v>4.0000000000000001E-3</v>
      </c>
      <c r="AF3844" s="508">
        <v>3.0000000000000001E-3</v>
      </c>
      <c r="AG3844" s="508">
        <v>3.0000000000000001E-3</v>
      </c>
      <c r="AH3844" s="508">
        <v>3.0000000000000001E-3</v>
      </c>
      <c r="AI3844" s="492">
        <v>3.0000000000000001E-3</v>
      </c>
      <c r="AJ3844" s="485"/>
    </row>
    <row r="3845" spans="2:36">
      <c r="B3845" s="136" t="s">
        <v>486</v>
      </c>
      <c r="C3845" s="132" t="s">
        <v>1366</v>
      </c>
      <c r="D3845" s="132" t="s">
        <v>284</v>
      </c>
      <c r="E3845" s="508">
        <v>7.6999999999999999E-2</v>
      </c>
      <c r="F3845" s="508">
        <v>9.2999999999999999E-2</v>
      </c>
      <c r="G3845" s="508">
        <v>9.2999999999999999E-2</v>
      </c>
      <c r="H3845" s="508">
        <v>6.3E-2</v>
      </c>
      <c r="I3845" s="508">
        <v>6.3E-2</v>
      </c>
      <c r="J3845" s="508">
        <v>6.4000000000000001E-2</v>
      </c>
      <c r="K3845" s="508">
        <v>4.4999999999999998E-2</v>
      </c>
      <c r="L3845" s="508">
        <v>4.4999999999999998E-2</v>
      </c>
      <c r="M3845" s="508">
        <v>4.3999999999999997E-2</v>
      </c>
      <c r="N3845" s="508">
        <v>3.9E-2</v>
      </c>
      <c r="O3845" s="508">
        <v>3.3000000000000002E-2</v>
      </c>
      <c r="P3845" s="508">
        <v>0.02</v>
      </c>
      <c r="Q3845" s="508">
        <v>1.7999999999999999E-2</v>
      </c>
      <c r="R3845" s="508">
        <v>1.7000000000000001E-2</v>
      </c>
      <c r="S3845" s="508">
        <v>1.4E-2</v>
      </c>
      <c r="T3845" s="508">
        <v>1.4999999999999999E-2</v>
      </c>
      <c r="U3845" s="508">
        <v>7.0000000000000001E-3</v>
      </c>
      <c r="V3845" s="508">
        <v>6.0000000000000001E-3</v>
      </c>
      <c r="W3845" s="508">
        <v>6.0000000000000001E-3</v>
      </c>
      <c r="X3845" s="508">
        <v>6.0000000000000001E-3</v>
      </c>
      <c r="Y3845" s="508">
        <v>6.0000000000000001E-3</v>
      </c>
      <c r="Z3845" s="508">
        <v>5.0000000000000001E-3</v>
      </c>
      <c r="AA3845" s="508">
        <v>5.0000000000000001E-3</v>
      </c>
      <c r="AB3845" s="508">
        <v>5.0000000000000001E-3</v>
      </c>
      <c r="AC3845" s="508">
        <v>5.0000000000000001E-3</v>
      </c>
      <c r="AD3845" s="508">
        <v>4.0000000000000001E-3</v>
      </c>
      <c r="AE3845" s="508">
        <v>4.0000000000000001E-3</v>
      </c>
      <c r="AF3845" s="508">
        <v>3.0000000000000001E-3</v>
      </c>
      <c r="AG3845" s="508">
        <v>3.0000000000000001E-3</v>
      </c>
      <c r="AH3845" s="508">
        <v>3.0000000000000001E-3</v>
      </c>
      <c r="AI3845" s="492">
        <v>3.0000000000000001E-3</v>
      </c>
      <c r="AJ3845" s="485"/>
    </row>
    <row r="3846" spans="2:36">
      <c r="B3846" s="136" t="s">
        <v>487</v>
      </c>
      <c r="C3846" s="132" t="s">
        <v>1366</v>
      </c>
      <c r="D3846" s="132" t="s">
        <v>284</v>
      </c>
      <c r="E3846" s="508">
        <v>7.6999999999999999E-2</v>
      </c>
      <c r="F3846" s="508">
        <v>9.4E-2</v>
      </c>
      <c r="G3846" s="508">
        <v>9.4E-2</v>
      </c>
      <c r="H3846" s="508">
        <v>6.4000000000000001E-2</v>
      </c>
      <c r="I3846" s="508">
        <v>6.3E-2</v>
      </c>
      <c r="J3846" s="508">
        <v>6.6000000000000003E-2</v>
      </c>
      <c r="K3846" s="508">
        <v>4.5999999999999999E-2</v>
      </c>
      <c r="L3846" s="508">
        <v>4.5999999999999999E-2</v>
      </c>
      <c r="M3846" s="508">
        <v>4.4999999999999998E-2</v>
      </c>
      <c r="N3846" s="508">
        <v>3.9E-2</v>
      </c>
      <c r="O3846" s="508">
        <v>3.3000000000000002E-2</v>
      </c>
      <c r="P3846" s="508">
        <v>0.02</v>
      </c>
      <c r="Q3846" s="508">
        <v>1.9E-2</v>
      </c>
      <c r="R3846" s="508">
        <v>1.7000000000000001E-2</v>
      </c>
      <c r="S3846" s="508">
        <v>1.4999999999999999E-2</v>
      </c>
      <c r="T3846" s="508">
        <v>1.4999999999999999E-2</v>
      </c>
      <c r="U3846" s="508">
        <v>7.0000000000000001E-3</v>
      </c>
      <c r="V3846" s="508">
        <v>6.0000000000000001E-3</v>
      </c>
      <c r="W3846" s="508">
        <v>6.0000000000000001E-3</v>
      </c>
      <c r="X3846" s="508">
        <v>6.0000000000000001E-3</v>
      </c>
      <c r="Y3846" s="508">
        <v>6.0000000000000001E-3</v>
      </c>
      <c r="Z3846" s="508">
        <v>5.0000000000000001E-3</v>
      </c>
      <c r="AA3846" s="508">
        <v>6.0000000000000001E-3</v>
      </c>
      <c r="AB3846" s="508">
        <v>5.0000000000000001E-3</v>
      </c>
      <c r="AC3846" s="508">
        <v>5.0000000000000001E-3</v>
      </c>
      <c r="AD3846" s="508">
        <v>4.0000000000000001E-3</v>
      </c>
      <c r="AE3846" s="508">
        <v>4.0000000000000001E-3</v>
      </c>
      <c r="AF3846" s="508">
        <v>3.0000000000000001E-3</v>
      </c>
      <c r="AG3846" s="508">
        <v>3.0000000000000001E-3</v>
      </c>
      <c r="AH3846" s="508">
        <v>3.0000000000000001E-3</v>
      </c>
      <c r="AI3846" s="492">
        <v>3.0000000000000001E-3</v>
      </c>
      <c r="AJ3846" s="485"/>
    </row>
    <row r="3847" spans="2:36">
      <c r="B3847" s="136" t="s">
        <v>488</v>
      </c>
      <c r="C3847" s="132" t="s">
        <v>1366</v>
      </c>
      <c r="D3847" s="132" t="s">
        <v>284</v>
      </c>
      <c r="E3847" s="508">
        <v>7.6999999999999999E-2</v>
      </c>
      <c r="F3847" s="508">
        <v>9.5000000000000001E-2</v>
      </c>
      <c r="G3847" s="508">
        <v>9.5000000000000001E-2</v>
      </c>
      <c r="H3847" s="508">
        <v>6.3E-2</v>
      </c>
      <c r="I3847" s="508">
        <v>6.3E-2</v>
      </c>
      <c r="J3847" s="508">
        <v>6.4000000000000001E-2</v>
      </c>
      <c r="K3847" s="508">
        <v>4.4999999999999998E-2</v>
      </c>
      <c r="L3847" s="508">
        <v>4.4999999999999998E-2</v>
      </c>
      <c r="M3847" s="508">
        <v>4.3999999999999997E-2</v>
      </c>
      <c r="N3847" s="508">
        <v>3.9E-2</v>
      </c>
      <c r="O3847" s="508">
        <v>3.3000000000000002E-2</v>
      </c>
      <c r="P3847" s="508">
        <v>1.9E-2</v>
      </c>
      <c r="Q3847" s="508">
        <v>1.7999999999999999E-2</v>
      </c>
      <c r="R3847" s="508">
        <v>1.7000000000000001E-2</v>
      </c>
      <c r="S3847" s="508">
        <v>1.4E-2</v>
      </c>
      <c r="T3847" s="508">
        <v>1.4E-2</v>
      </c>
      <c r="U3847" s="508">
        <v>7.0000000000000001E-3</v>
      </c>
      <c r="V3847" s="508">
        <v>6.0000000000000001E-3</v>
      </c>
      <c r="W3847" s="508">
        <v>6.0000000000000001E-3</v>
      </c>
      <c r="X3847" s="508">
        <v>6.0000000000000001E-3</v>
      </c>
      <c r="Y3847" s="508">
        <v>6.0000000000000001E-3</v>
      </c>
      <c r="Z3847" s="508">
        <v>5.0000000000000001E-3</v>
      </c>
      <c r="AA3847" s="508">
        <v>5.0000000000000001E-3</v>
      </c>
      <c r="AB3847" s="508">
        <v>5.0000000000000001E-3</v>
      </c>
      <c r="AC3847" s="508">
        <v>5.0000000000000001E-3</v>
      </c>
      <c r="AD3847" s="508">
        <v>4.0000000000000001E-3</v>
      </c>
      <c r="AE3847" s="508">
        <v>4.0000000000000001E-3</v>
      </c>
      <c r="AF3847" s="508">
        <v>3.0000000000000001E-3</v>
      </c>
      <c r="AG3847" s="508">
        <v>3.0000000000000001E-3</v>
      </c>
      <c r="AH3847" s="508">
        <v>3.0000000000000001E-3</v>
      </c>
      <c r="AI3847" s="492">
        <v>3.0000000000000001E-3</v>
      </c>
      <c r="AJ3847" s="485"/>
    </row>
    <row r="3848" spans="2:36">
      <c r="B3848" s="136" t="s">
        <v>489</v>
      </c>
      <c r="C3848" s="132" t="s">
        <v>1366</v>
      </c>
      <c r="D3848" s="132" t="s">
        <v>284</v>
      </c>
      <c r="E3848" s="508">
        <v>7.6999999999999999E-2</v>
      </c>
      <c r="F3848" s="508">
        <v>9.2999999999999999E-2</v>
      </c>
      <c r="G3848" s="508">
        <v>9.2999999999999999E-2</v>
      </c>
      <c r="H3848" s="508">
        <v>6.3E-2</v>
      </c>
      <c r="I3848" s="508">
        <v>6.2E-2</v>
      </c>
      <c r="J3848" s="508">
        <v>6.3E-2</v>
      </c>
      <c r="K3848" s="508">
        <v>4.4999999999999998E-2</v>
      </c>
      <c r="L3848" s="508">
        <v>4.3999999999999997E-2</v>
      </c>
      <c r="M3848" s="508">
        <v>4.3999999999999997E-2</v>
      </c>
      <c r="N3848" s="508">
        <v>3.9E-2</v>
      </c>
      <c r="O3848" s="508">
        <v>3.3000000000000002E-2</v>
      </c>
      <c r="P3848" s="508">
        <v>1.9E-2</v>
      </c>
      <c r="Q3848" s="508">
        <v>1.7000000000000001E-2</v>
      </c>
      <c r="R3848" s="508">
        <v>1.6E-2</v>
      </c>
      <c r="S3848" s="508">
        <v>1.4E-2</v>
      </c>
      <c r="T3848" s="508">
        <v>1.4E-2</v>
      </c>
      <c r="U3848" s="508">
        <v>7.0000000000000001E-3</v>
      </c>
      <c r="V3848" s="508">
        <v>6.0000000000000001E-3</v>
      </c>
      <c r="W3848" s="508">
        <v>6.0000000000000001E-3</v>
      </c>
      <c r="X3848" s="508">
        <v>6.0000000000000001E-3</v>
      </c>
      <c r="Y3848" s="508">
        <v>6.0000000000000001E-3</v>
      </c>
      <c r="Z3848" s="508">
        <v>5.0000000000000001E-3</v>
      </c>
      <c r="AA3848" s="508">
        <v>5.0000000000000001E-3</v>
      </c>
      <c r="AB3848" s="508">
        <v>5.0000000000000001E-3</v>
      </c>
      <c r="AC3848" s="508">
        <v>5.0000000000000001E-3</v>
      </c>
      <c r="AD3848" s="508">
        <v>4.0000000000000001E-3</v>
      </c>
      <c r="AE3848" s="508">
        <v>4.0000000000000001E-3</v>
      </c>
      <c r="AF3848" s="508">
        <v>3.0000000000000001E-3</v>
      </c>
      <c r="AG3848" s="508">
        <v>3.0000000000000001E-3</v>
      </c>
      <c r="AH3848" s="508">
        <v>3.0000000000000001E-3</v>
      </c>
      <c r="AI3848" s="492">
        <v>3.0000000000000001E-3</v>
      </c>
      <c r="AJ3848" s="485"/>
    </row>
    <row r="3849" spans="2:36">
      <c r="B3849" s="136" t="s">
        <v>490</v>
      </c>
      <c r="C3849" s="132" t="s">
        <v>1366</v>
      </c>
      <c r="D3849" s="132" t="s">
        <v>284</v>
      </c>
      <c r="E3849" s="508">
        <v>7.6999999999999999E-2</v>
      </c>
      <c r="F3849" s="508">
        <v>9.7000000000000003E-2</v>
      </c>
      <c r="G3849" s="508">
        <v>9.7000000000000003E-2</v>
      </c>
      <c r="H3849" s="508">
        <v>6.4000000000000001E-2</v>
      </c>
      <c r="I3849" s="508">
        <v>6.3E-2</v>
      </c>
      <c r="J3849" s="508">
        <v>6.5000000000000002E-2</v>
      </c>
      <c r="K3849" s="508">
        <v>4.4999999999999998E-2</v>
      </c>
      <c r="L3849" s="508">
        <v>4.4999999999999998E-2</v>
      </c>
      <c r="M3849" s="508">
        <v>4.3999999999999997E-2</v>
      </c>
      <c r="N3849" s="508">
        <v>0.04</v>
      </c>
      <c r="O3849" s="508">
        <v>3.3000000000000002E-2</v>
      </c>
      <c r="P3849" s="508">
        <v>1.9E-2</v>
      </c>
      <c r="Q3849" s="508">
        <v>1.7999999999999999E-2</v>
      </c>
      <c r="R3849" s="508">
        <v>1.7000000000000001E-2</v>
      </c>
      <c r="S3849" s="508">
        <v>1.4E-2</v>
      </c>
      <c r="T3849" s="508">
        <v>1.4E-2</v>
      </c>
      <c r="U3849" s="508">
        <v>7.0000000000000001E-3</v>
      </c>
      <c r="V3849" s="508">
        <v>6.0000000000000001E-3</v>
      </c>
      <c r="W3849" s="508">
        <v>6.0000000000000001E-3</v>
      </c>
      <c r="X3849" s="508">
        <v>6.0000000000000001E-3</v>
      </c>
      <c r="Y3849" s="508">
        <v>6.0000000000000001E-3</v>
      </c>
      <c r="Z3849" s="508">
        <v>5.0000000000000001E-3</v>
      </c>
      <c r="AA3849" s="508">
        <v>5.0000000000000001E-3</v>
      </c>
      <c r="AB3849" s="508">
        <v>5.0000000000000001E-3</v>
      </c>
      <c r="AC3849" s="508">
        <v>5.0000000000000001E-3</v>
      </c>
      <c r="AD3849" s="508">
        <v>4.0000000000000001E-3</v>
      </c>
      <c r="AE3849" s="508">
        <v>4.0000000000000001E-3</v>
      </c>
      <c r="AF3849" s="508">
        <v>3.0000000000000001E-3</v>
      </c>
      <c r="AG3849" s="508">
        <v>3.0000000000000001E-3</v>
      </c>
      <c r="AH3849" s="508">
        <v>3.0000000000000001E-3</v>
      </c>
      <c r="AI3849" s="492">
        <v>3.0000000000000001E-3</v>
      </c>
      <c r="AJ3849" s="485"/>
    </row>
    <row r="3850" spans="2:36">
      <c r="B3850" s="136" t="s">
        <v>435</v>
      </c>
      <c r="C3850" s="132" t="s">
        <v>1367</v>
      </c>
      <c r="D3850" s="132" t="s">
        <v>284</v>
      </c>
      <c r="E3850" s="508">
        <v>4.2000000000000003E-2</v>
      </c>
      <c r="F3850" s="508">
        <v>7.2999999999999995E-2</v>
      </c>
      <c r="G3850" s="508">
        <v>5.8999999999999997E-2</v>
      </c>
      <c r="H3850" s="508">
        <v>5.3999999999999999E-2</v>
      </c>
      <c r="I3850" s="508">
        <v>4.9000000000000002E-2</v>
      </c>
      <c r="J3850" s="508">
        <v>0.04</v>
      </c>
      <c r="K3850" s="508">
        <v>2.3E-2</v>
      </c>
      <c r="L3850" s="508">
        <v>2.1999999999999999E-2</v>
      </c>
      <c r="M3850" s="508">
        <v>2.3E-2</v>
      </c>
      <c r="N3850" s="508">
        <v>0.03</v>
      </c>
      <c r="O3850" s="508">
        <v>2.1000000000000001E-2</v>
      </c>
      <c r="P3850" s="508">
        <v>1.4999999999999999E-2</v>
      </c>
      <c r="Q3850" s="508">
        <v>1.7999999999999999E-2</v>
      </c>
      <c r="R3850" s="508">
        <v>1.6E-2</v>
      </c>
      <c r="S3850" s="508">
        <v>1.4E-2</v>
      </c>
      <c r="T3850" s="508">
        <v>1.2E-2</v>
      </c>
      <c r="U3850" s="508">
        <v>8.0000000000000002E-3</v>
      </c>
      <c r="V3850" s="508">
        <v>8.0000000000000002E-3</v>
      </c>
      <c r="W3850" s="508">
        <v>8.0000000000000002E-3</v>
      </c>
      <c r="X3850" s="508">
        <v>8.0000000000000002E-3</v>
      </c>
      <c r="Y3850" s="508">
        <v>8.0000000000000002E-3</v>
      </c>
      <c r="Z3850" s="508">
        <v>6.0000000000000001E-3</v>
      </c>
      <c r="AA3850" s="508">
        <v>6.0000000000000001E-3</v>
      </c>
      <c r="AB3850" s="508">
        <v>5.0000000000000001E-3</v>
      </c>
      <c r="AC3850" s="508">
        <v>4.0000000000000001E-3</v>
      </c>
      <c r="AD3850" s="508">
        <v>4.0000000000000001E-3</v>
      </c>
      <c r="AE3850" s="508">
        <v>5.0000000000000001E-3</v>
      </c>
      <c r="AF3850" s="508">
        <v>3.0000000000000001E-3</v>
      </c>
      <c r="AG3850" s="508">
        <v>3.0000000000000001E-3</v>
      </c>
      <c r="AH3850" s="508">
        <v>3.0000000000000001E-3</v>
      </c>
      <c r="AI3850" s="492">
        <v>3.0000000000000001E-3</v>
      </c>
      <c r="AJ3850" s="485"/>
    </row>
    <row r="3851" spans="2:36">
      <c r="B3851" s="136" t="s">
        <v>436</v>
      </c>
      <c r="C3851" s="132" t="s">
        <v>1367</v>
      </c>
      <c r="D3851" s="132" t="s">
        <v>284</v>
      </c>
      <c r="E3851" s="508">
        <v>0.129</v>
      </c>
      <c r="F3851" s="508">
        <v>0.22600000000000001</v>
      </c>
      <c r="G3851" s="508">
        <v>0.18099999999999999</v>
      </c>
      <c r="H3851" s="508">
        <v>0.16200000000000001</v>
      </c>
      <c r="I3851" s="508">
        <v>0.14599999999999999</v>
      </c>
      <c r="J3851" s="508">
        <v>0.121</v>
      </c>
      <c r="K3851" s="508">
        <v>7.0999999999999994E-2</v>
      </c>
      <c r="L3851" s="508">
        <v>6.9000000000000006E-2</v>
      </c>
      <c r="M3851" s="508">
        <v>7.0000000000000007E-2</v>
      </c>
      <c r="N3851" s="508">
        <v>8.7999999999999995E-2</v>
      </c>
      <c r="O3851" s="508">
        <v>6.3E-2</v>
      </c>
      <c r="P3851" s="508">
        <v>4.4999999999999998E-2</v>
      </c>
      <c r="Q3851" s="508">
        <v>5.0999999999999997E-2</v>
      </c>
      <c r="R3851" s="508">
        <v>4.7E-2</v>
      </c>
      <c r="S3851" s="508">
        <v>4.2000000000000003E-2</v>
      </c>
      <c r="T3851" s="508">
        <v>3.6999999999999998E-2</v>
      </c>
      <c r="U3851" s="508">
        <v>2.3E-2</v>
      </c>
      <c r="V3851" s="508">
        <v>2.1000000000000001E-2</v>
      </c>
      <c r="W3851" s="508">
        <v>2.1000000000000001E-2</v>
      </c>
      <c r="X3851" s="508">
        <v>1.2E-2</v>
      </c>
      <c r="Y3851" s="508">
        <v>1.0999999999999999E-2</v>
      </c>
      <c r="Z3851" s="508">
        <v>8.9999999999999993E-3</v>
      </c>
      <c r="AA3851" s="508">
        <v>8.0000000000000002E-3</v>
      </c>
      <c r="AB3851" s="508">
        <v>8.0000000000000002E-3</v>
      </c>
      <c r="AC3851" s="508">
        <v>6.0000000000000001E-3</v>
      </c>
      <c r="AD3851" s="508">
        <v>6.0000000000000001E-3</v>
      </c>
      <c r="AE3851" s="508">
        <v>7.0000000000000001E-3</v>
      </c>
      <c r="AF3851" s="508">
        <v>4.0000000000000001E-3</v>
      </c>
      <c r="AG3851" s="508">
        <v>4.0000000000000001E-3</v>
      </c>
      <c r="AH3851" s="508">
        <v>4.0000000000000001E-3</v>
      </c>
      <c r="AI3851" s="492">
        <v>4.0000000000000001E-3</v>
      </c>
      <c r="AJ3851" s="485"/>
    </row>
    <row r="3852" spans="2:36">
      <c r="B3852" s="136" t="s">
        <v>437</v>
      </c>
      <c r="C3852" s="132" t="s">
        <v>1367</v>
      </c>
      <c r="D3852" s="132" t="s">
        <v>284</v>
      </c>
      <c r="E3852" s="508">
        <v>3.5000000000000003E-2</v>
      </c>
      <c r="F3852" s="508">
        <v>6.2E-2</v>
      </c>
      <c r="G3852" s="508">
        <v>0.05</v>
      </c>
      <c r="H3852" s="508">
        <v>4.3999999999999997E-2</v>
      </c>
      <c r="I3852" s="508">
        <v>0.04</v>
      </c>
      <c r="J3852" s="508">
        <v>3.3000000000000002E-2</v>
      </c>
      <c r="K3852" s="508">
        <v>1.9E-2</v>
      </c>
      <c r="L3852" s="508">
        <v>1.9E-2</v>
      </c>
      <c r="M3852" s="508">
        <v>1.9E-2</v>
      </c>
      <c r="N3852" s="508">
        <v>2.4E-2</v>
      </c>
      <c r="O3852" s="508">
        <v>1.7000000000000001E-2</v>
      </c>
      <c r="P3852" s="508">
        <v>1.2999999999999999E-2</v>
      </c>
      <c r="Q3852" s="508">
        <v>1.4999999999999999E-2</v>
      </c>
      <c r="R3852" s="508">
        <v>1.2999999999999999E-2</v>
      </c>
      <c r="S3852" s="508">
        <v>1.2999999999999999E-2</v>
      </c>
      <c r="T3852" s="508">
        <v>1.0999999999999999E-2</v>
      </c>
      <c r="U3852" s="508">
        <v>6.0000000000000001E-3</v>
      </c>
      <c r="V3852" s="508">
        <v>6.0000000000000001E-3</v>
      </c>
      <c r="W3852" s="508">
        <v>6.0000000000000001E-3</v>
      </c>
      <c r="X3852" s="508">
        <v>7.0000000000000001E-3</v>
      </c>
      <c r="Y3852" s="508">
        <v>6.0000000000000001E-3</v>
      </c>
      <c r="Z3852" s="508">
        <v>5.0000000000000001E-3</v>
      </c>
      <c r="AA3852" s="508">
        <v>5.0000000000000001E-3</v>
      </c>
      <c r="AB3852" s="508">
        <v>4.0000000000000001E-3</v>
      </c>
      <c r="AC3852" s="508">
        <v>3.0000000000000001E-3</v>
      </c>
      <c r="AD3852" s="508">
        <v>3.0000000000000001E-3</v>
      </c>
      <c r="AE3852" s="508">
        <v>4.0000000000000001E-3</v>
      </c>
      <c r="AF3852" s="508">
        <v>3.0000000000000001E-3</v>
      </c>
      <c r="AG3852" s="508">
        <v>3.0000000000000001E-3</v>
      </c>
      <c r="AH3852" s="508">
        <v>3.0000000000000001E-3</v>
      </c>
      <c r="AI3852" s="492">
        <v>3.0000000000000001E-3</v>
      </c>
      <c r="AJ3852" s="485"/>
    </row>
    <row r="3853" spans="2:36">
      <c r="B3853" s="136" t="s">
        <v>438</v>
      </c>
      <c r="C3853" s="132" t="s">
        <v>1367</v>
      </c>
      <c r="D3853" s="132" t="s">
        <v>284</v>
      </c>
      <c r="E3853" s="508">
        <v>4.7E-2</v>
      </c>
      <c r="F3853" s="508">
        <v>8.4000000000000005E-2</v>
      </c>
      <c r="G3853" s="508">
        <v>6.7000000000000004E-2</v>
      </c>
      <c r="H3853" s="508">
        <v>0.06</v>
      </c>
      <c r="I3853" s="508">
        <v>5.3999999999999999E-2</v>
      </c>
      <c r="J3853" s="508">
        <v>4.5999999999999999E-2</v>
      </c>
      <c r="K3853" s="508">
        <v>2.5000000000000001E-2</v>
      </c>
      <c r="L3853" s="508">
        <v>2.5000000000000001E-2</v>
      </c>
      <c r="M3853" s="508">
        <v>2.5000000000000001E-2</v>
      </c>
      <c r="N3853" s="508">
        <v>3.3000000000000002E-2</v>
      </c>
      <c r="O3853" s="508">
        <v>2.4E-2</v>
      </c>
      <c r="P3853" s="508">
        <v>1.7000000000000001E-2</v>
      </c>
      <c r="Q3853" s="508">
        <v>0.02</v>
      </c>
      <c r="R3853" s="508">
        <v>1.7999999999999999E-2</v>
      </c>
      <c r="S3853" s="508">
        <v>1.6E-2</v>
      </c>
      <c r="T3853" s="508">
        <v>1.4E-2</v>
      </c>
      <c r="U3853" s="508">
        <v>8.9999999999999993E-3</v>
      </c>
      <c r="V3853" s="508">
        <v>8.0000000000000002E-3</v>
      </c>
      <c r="W3853" s="508">
        <v>8.0000000000000002E-3</v>
      </c>
      <c r="X3853" s="508">
        <v>8.0000000000000002E-3</v>
      </c>
      <c r="Y3853" s="508">
        <v>7.0000000000000001E-3</v>
      </c>
      <c r="Z3853" s="508">
        <v>6.0000000000000001E-3</v>
      </c>
      <c r="AA3853" s="508">
        <v>5.0000000000000001E-3</v>
      </c>
      <c r="AB3853" s="508">
        <v>5.0000000000000001E-3</v>
      </c>
      <c r="AC3853" s="508">
        <v>4.0000000000000001E-3</v>
      </c>
      <c r="AD3853" s="508">
        <v>4.0000000000000001E-3</v>
      </c>
      <c r="AE3853" s="508">
        <v>5.0000000000000001E-3</v>
      </c>
      <c r="AF3853" s="508">
        <v>3.0000000000000001E-3</v>
      </c>
      <c r="AG3853" s="508">
        <v>3.0000000000000001E-3</v>
      </c>
      <c r="AH3853" s="508">
        <v>3.0000000000000001E-3</v>
      </c>
      <c r="AI3853" s="492">
        <v>3.0000000000000001E-3</v>
      </c>
      <c r="AJ3853" s="485"/>
    </row>
    <row r="3854" spans="2:36">
      <c r="B3854" s="136" t="s">
        <v>439</v>
      </c>
      <c r="C3854" s="132" t="s">
        <v>1367</v>
      </c>
      <c r="D3854" s="132" t="s">
        <v>284</v>
      </c>
      <c r="E3854" s="508">
        <v>4.4999999999999998E-2</v>
      </c>
      <c r="F3854" s="508">
        <v>0.08</v>
      </c>
      <c r="G3854" s="508">
        <v>6.4000000000000001E-2</v>
      </c>
      <c r="H3854" s="508">
        <v>5.6000000000000001E-2</v>
      </c>
      <c r="I3854" s="508">
        <v>5.0999999999999997E-2</v>
      </c>
      <c r="J3854" s="508">
        <v>4.2999999999999997E-2</v>
      </c>
      <c r="K3854" s="508">
        <v>2.5000000000000001E-2</v>
      </c>
      <c r="L3854" s="508">
        <v>2.4E-2</v>
      </c>
      <c r="M3854" s="508">
        <v>2.4E-2</v>
      </c>
      <c r="N3854" s="508">
        <v>0.03</v>
      </c>
      <c r="O3854" s="508">
        <v>2.1999999999999999E-2</v>
      </c>
      <c r="P3854" s="508">
        <v>1.7000000000000001E-2</v>
      </c>
      <c r="Q3854" s="508">
        <v>1.7999999999999999E-2</v>
      </c>
      <c r="R3854" s="508">
        <v>1.7000000000000001E-2</v>
      </c>
      <c r="S3854" s="508">
        <v>1.7000000000000001E-2</v>
      </c>
      <c r="T3854" s="508">
        <v>1.4E-2</v>
      </c>
      <c r="U3854" s="508">
        <v>8.0000000000000002E-3</v>
      </c>
      <c r="V3854" s="508">
        <v>7.0000000000000001E-3</v>
      </c>
      <c r="W3854" s="508">
        <v>7.0000000000000001E-3</v>
      </c>
      <c r="X3854" s="508">
        <v>6.0000000000000001E-3</v>
      </c>
      <c r="Y3854" s="508">
        <v>6.0000000000000001E-3</v>
      </c>
      <c r="Z3854" s="508">
        <v>5.0000000000000001E-3</v>
      </c>
      <c r="AA3854" s="508">
        <v>4.0000000000000001E-3</v>
      </c>
      <c r="AB3854" s="508">
        <v>4.0000000000000001E-3</v>
      </c>
      <c r="AC3854" s="508">
        <v>3.0000000000000001E-3</v>
      </c>
      <c r="AD3854" s="508">
        <v>3.0000000000000001E-3</v>
      </c>
      <c r="AE3854" s="508">
        <v>4.0000000000000001E-3</v>
      </c>
      <c r="AF3854" s="508">
        <v>3.0000000000000001E-3</v>
      </c>
      <c r="AG3854" s="508">
        <v>3.0000000000000001E-3</v>
      </c>
      <c r="AH3854" s="508">
        <v>3.0000000000000001E-3</v>
      </c>
      <c r="AI3854" s="492">
        <v>3.0000000000000001E-3</v>
      </c>
      <c r="AJ3854" s="485"/>
    </row>
    <row r="3855" spans="2:36">
      <c r="B3855" s="136" t="s">
        <v>440</v>
      </c>
      <c r="C3855" s="132" t="s">
        <v>1367</v>
      </c>
      <c r="D3855" s="132" t="s">
        <v>284</v>
      </c>
      <c r="E3855" s="508">
        <v>7.0000000000000007E-2</v>
      </c>
      <c r="F3855" s="508">
        <v>0.124</v>
      </c>
      <c r="G3855" s="508">
        <v>9.9000000000000005E-2</v>
      </c>
      <c r="H3855" s="508">
        <v>8.7999999999999995E-2</v>
      </c>
      <c r="I3855" s="508">
        <v>7.9000000000000001E-2</v>
      </c>
      <c r="J3855" s="508">
        <v>6.6000000000000003E-2</v>
      </c>
      <c r="K3855" s="508">
        <v>3.9E-2</v>
      </c>
      <c r="L3855" s="508">
        <v>3.6999999999999998E-2</v>
      </c>
      <c r="M3855" s="508">
        <v>3.7999999999999999E-2</v>
      </c>
      <c r="N3855" s="508">
        <v>4.7E-2</v>
      </c>
      <c r="O3855" s="508">
        <v>3.5000000000000003E-2</v>
      </c>
      <c r="P3855" s="508">
        <v>2.5000000000000001E-2</v>
      </c>
      <c r="Q3855" s="508">
        <v>2.8000000000000001E-2</v>
      </c>
      <c r="R3855" s="508">
        <v>2.5999999999999999E-2</v>
      </c>
      <c r="S3855" s="508">
        <v>2.4E-2</v>
      </c>
      <c r="T3855" s="508">
        <v>2.1000000000000001E-2</v>
      </c>
      <c r="U3855" s="508">
        <v>1.2999999999999999E-2</v>
      </c>
      <c r="V3855" s="508">
        <v>1.0999999999999999E-2</v>
      </c>
      <c r="W3855" s="508">
        <v>1.2E-2</v>
      </c>
      <c r="X3855" s="508">
        <v>8.9999999999999993E-3</v>
      </c>
      <c r="Y3855" s="508">
        <v>8.0000000000000002E-3</v>
      </c>
      <c r="Z3855" s="508">
        <v>6.0000000000000001E-3</v>
      </c>
      <c r="AA3855" s="508">
        <v>6.0000000000000001E-3</v>
      </c>
      <c r="AB3855" s="508">
        <v>5.0000000000000001E-3</v>
      </c>
      <c r="AC3855" s="508">
        <v>4.0000000000000001E-3</v>
      </c>
      <c r="AD3855" s="508">
        <v>4.0000000000000001E-3</v>
      </c>
      <c r="AE3855" s="508">
        <v>5.0000000000000001E-3</v>
      </c>
      <c r="AF3855" s="508">
        <v>3.0000000000000001E-3</v>
      </c>
      <c r="AG3855" s="508">
        <v>3.0000000000000001E-3</v>
      </c>
      <c r="AH3855" s="508">
        <v>3.0000000000000001E-3</v>
      </c>
      <c r="AI3855" s="492">
        <v>3.0000000000000001E-3</v>
      </c>
      <c r="AJ3855" s="485"/>
    </row>
    <row r="3856" spans="2:36">
      <c r="B3856" s="136" t="s">
        <v>441</v>
      </c>
      <c r="C3856" s="132" t="s">
        <v>1367</v>
      </c>
      <c r="D3856" s="132" t="s">
        <v>284</v>
      </c>
      <c r="E3856" s="508">
        <v>6.6000000000000003E-2</v>
      </c>
      <c r="F3856" s="508">
        <v>0.11899999999999999</v>
      </c>
      <c r="G3856" s="508">
        <v>9.5000000000000001E-2</v>
      </c>
      <c r="H3856" s="508">
        <v>8.2000000000000003E-2</v>
      </c>
      <c r="I3856" s="508">
        <v>7.4999999999999997E-2</v>
      </c>
      <c r="J3856" s="508">
        <v>6.3E-2</v>
      </c>
      <c r="K3856" s="508">
        <v>3.6999999999999998E-2</v>
      </c>
      <c r="L3856" s="508">
        <v>3.5999999999999997E-2</v>
      </c>
      <c r="M3856" s="508">
        <v>3.5999999999999997E-2</v>
      </c>
      <c r="N3856" s="508">
        <v>4.3999999999999997E-2</v>
      </c>
      <c r="O3856" s="508">
        <v>3.3000000000000002E-2</v>
      </c>
      <c r="P3856" s="508">
        <v>2.5000000000000001E-2</v>
      </c>
      <c r="Q3856" s="508">
        <v>2.7E-2</v>
      </c>
      <c r="R3856" s="508">
        <v>2.5000000000000001E-2</v>
      </c>
      <c r="S3856" s="508">
        <v>2.4E-2</v>
      </c>
      <c r="T3856" s="508">
        <v>2.1000000000000001E-2</v>
      </c>
      <c r="U3856" s="508">
        <v>1.2999999999999999E-2</v>
      </c>
      <c r="V3856" s="508">
        <v>1.0999999999999999E-2</v>
      </c>
      <c r="W3856" s="508">
        <v>1.2E-2</v>
      </c>
      <c r="X3856" s="508">
        <v>8.0000000000000002E-3</v>
      </c>
      <c r="Y3856" s="508">
        <v>8.0000000000000002E-3</v>
      </c>
      <c r="Z3856" s="508">
        <v>6.0000000000000001E-3</v>
      </c>
      <c r="AA3856" s="508">
        <v>6.0000000000000001E-3</v>
      </c>
      <c r="AB3856" s="508">
        <v>5.0000000000000001E-3</v>
      </c>
      <c r="AC3856" s="508">
        <v>4.0000000000000001E-3</v>
      </c>
      <c r="AD3856" s="508">
        <v>4.0000000000000001E-3</v>
      </c>
      <c r="AE3856" s="508">
        <v>5.0000000000000001E-3</v>
      </c>
      <c r="AF3856" s="508">
        <v>3.0000000000000001E-3</v>
      </c>
      <c r="AG3856" s="508">
        <v>3.0000000000000001E-3</v>
      </c>
      <c r="AH3856" s="508">
        <v>3.0000000000000001E-3</v>
      </c>
      <c r="AI3856" s="492">
        <v>3.0000000000000001E-3</v>
      </c>
      <c r="AJ3856" s="485"/>
    </row>
    <row r="3857" spans="2:36">
      <c r="B3857" s="136" t="s">
        <v>443</v>
      </c>
      <c r="C3857" s="132" t="s">
        <v>1367</v>
      </c>
      <c r="D3857" s="132" t="s">
        <v>284</v>
      </c>
      <c r="E3857" s="508">
        <v>5.5E-2</v>
      </c>
      <c r="F3857" s="508">
        <v>9.5000000000000001E-2</v>
      </c>
      <c r="G3857" s="508">
        <v>7.5999999999999998E-2</v>
      </c>
      <c r="H3857" s="508">
        <v>7.0000000000000007E-2</v>
      </c>
      <c r="I3857" s="508">
        <v>6.3E-2</v>
      </c>
      <c r="J3857" s="508">
        <v>5.0999999999999997E-2</v>
      </c>
      <c r="K3857" s="508">
        <v>0.03</v>
      </c>
      <c r="L3857" s="508">
        <v>0.03</v>
      </c>
      <c r="M3857" s="508">
        <v>0.03</v>
      </c>
      <c r="N3857" s="508">
        <v>3.7999999999999999E-2</v>
      </c>
      <c r="O3857" s="508">
        <v>2.5999999999999999E-2</v>
      </c>
      <c r="P3857" s="508">
        <v>0.02</v>
      </c>
      <c r="Q3857" s="508">
        <v>2.1999999999999999E-2</v>
      </c>
      <c r="R3857" s="508">
        <v>0.02</v>
      </c>
      <c r="S3857" s="508">
        <v>1.7999999999999999E-2</v>
      </c>
      <c r="T3857" s="508">
        <v>1.6E-2</v>
      </c>
      <c r="U3857" s="508">
        <v>0.01</v>
      </c>
      <c r="V3857" s="508">
        <v>8.9999999999999993E-3</v>
      </c>
      <c r="W3857" s="508">
        <v>8.9999999999999993E-3</v>
      </c>
      <c r="X3857" s="508">
        <v>8.0000000000000002E-3</v>
      </c>
      <c r="Y3857" s="508">
        <v>7.0000000000000001E-3</v>
      </c>
      <c r="Z3857" s="508">
        <v>6.0000000000000001E-3</v>
      </c>
      <c r="AA3857" s="508">
        <v>5.0000000000000001E-3</v>
      </c>
      <c r="AB3857" s="508">
        <v>5.0000000000000001E-3</v>
      </c>
      <c r="AC3857" s="508">
        <v>4.0000000000000001E-3</v>
      </c>
      <c r="AD3857" s="508">
        <v>4.0000000000000001E-3</v>
      </c>
      <c r="AE3857" s="508">
        <v>5.0000000000000001E-3</v>
      </c>
      <c r="AF3857" s="508">
        <v>3.0000000000000001E-3</v>
      </c>
      <c r="AG3857" s="508">
        <v>3.0000000000000001E-3</v>
      </c>
      <c r="AH3857" s="508">
        <v>3.0000000000000001E-3</v>
      </c>
      <c r="AI3857" s="492">
        <v>3.0000000000000001E-3</v>
      </c>
      <c r="AJ3857" s="485"/>
    </row>
    <row r="3858" spans="2:36">
      <c r="B3858" s="136" t="s">
        <v>445</v>
      </c>
      <c r="C3858" s="132" t="s">
        <v>1367</v>
      </c>
      <c r="D3858" s="132" t="s">
        <v>284</v>
      </c>
      <c r="E3858" s="508">
        <v>5.1999999999999998E-2</v>
      </c>
      <c r="F3858" s="508">
        <v>8.7999999999999995E-2</v>
      </c>
      <c r="G3858" s="508">
        <v>7.0999999999999994E-2</v>
      </c>
      <c r="H3858" s="508">
        <v>6.4000000000000001E-2</v>
      </c>
      <c r="I3858" s="508">
        <v>5.8000000000000003E-2</v>
      </c>
      <c r="J3858" s="508">
        <v>4.4999999999999998E-2</v>
      </c>
      <c r="K3858" s="508">
        <v>2.9000000000000001E-2</v>
      </c>
      <c r="L3858" s="508">
        <v>2.8000000000000001E-2</v>
      </c>
      <c r="M3858" s="508">
        <v>2.9000000000000001E-2</v>
      </c>
      <c r="N3858" s="508">
        <v>3.3000000000000002E-2</v>
      </c>
      <c r="O3858" s="508">
        <v>2.4E-2</v>
      </c>
      <c r="P3858" s="508">
        <v>1.9E-2</v>
      </c>
      <c r="Q3858" s="508">
        <v>0.02</v>
      </c>
      <c r="R3858" s="508">
        <v>1.9E-2</v>
      </c>
      <c r="S3858" s="508">
        <v>1.7000000000000001E-2</v>
      </c>
      <c r="T3858" s="508">
        <v>1.4999999999999999E-2</v>
      </c>
      <c r="U3858" s="508">
        <v>8.9999999999999993E-3</v>
      </c>
      <c r="V3858" s="508">
        <v>8.0000000000000002E-3</v>
      </c>
      <c r="W3858" s="508">
        <v>8.9999999999999993E-3</v>
      </c>
      <c r="X3858" s="508">
        <v>7.0000000000000001E-3</v>
      </c>
      <c r="Y3858" s="508">
        <v>7.0000000000000001E-3</v>
      </c>
      <c r="Z3858" s="508">
        <v>5.0000000000000001E-3</v>
      </c>
      <c r="AA3858" s="508">
        <v>5.0000000000000001E-3</v>
      </c>
      <c r="AB3858" s="508">
        <v>5.0000000000000001E-3</v>
      </c>
      <c r="AC3858" s="508">
        <v>3.0000000000000001E-3</v>
      </c>
      <c r="AD3858" s="508">
        <v>4.0000000000000001E-3</v>
      </c>
      <c r="AE3858" s="508">
        <v>5.0000000000000001E-3</v>
      </c>
      <c r="AF3858" s="508">
        <v>3.0000000000000001E-3</v>
      </c>
      <c r="AG3858" s="508">
        <v>3.0000000000000001E-3</v>
      </c>
      <c r="AH3858" s="508">
        <v>3.0000000000000001E-3</v>
      </c>
      <c r="AI3858" s="492">
        <v>3.0000000000000001E-3</v>
      </c>
      <c r="AJ3858" s="485"/>
    </row>
    <row r="3859" spans="2:36">
      <c r="B3859" s="136" t="s">
        <v>446</v>
      </c>
      <c r="C3859" s="132" t="s">
        <v>1367</v>
      </c>
      <c r="D3859" s="132" t="s">
        <v>284</v>
      </c>
      <c r="E3859" s="508">
        <v>3.5000000000000003E-2</v>
      </c>
      <c r="F3859" s="508">
        <v>5.8999999999999997E-2</v>
      </c>
      <c r="G3859" s="508">
        <v>4.8000000000000001E-2</v>
      </c>
      <c r="H3859" s="508">
        <v>4.2999999999999997E-2</v>
      </c>
      <c r="I3859" s="508">
        <v>3.9E-2</v>
      </c>
      <c r="J3859" s="508">
        <v>3.1E-2</v>
      </c>
      <c r="K3859" s="508">
        <v>1.9E-2</v>
      </c>
      <c r="L3859" s="508">
        <v>1.9E-2</v>
      </c>
      <c r="M3859" s="508">
        <v>1.9E-2</v>
      </c>
      <c r="N3859" s="508">
        <v>2.3E-2</v>
      </c>
      <c r="O3859" s="508">
        <v>1.6E-2</v>
      </c>
      <c r="P3859" s="508">
        <v>1.2999999999999999E-2</v>
      </c>
      <c r="Q3859" s="508">
        <v>1.4E-2</v>
      </c>
      <c r="R3859" s="508">
        <v>1.2999999999999999E-2</v>
      </c>
      <c r="S3859" s="508">
        <v>1.2E-2</v>
      </c>
      <c r="T3859" s="508">
        <v>0.01</v>
      </c>
      <c r="U3859" s="508">
        <v>7.0000000000000001E-3</v>
      </c>
      <c r="V3859" s="508">
        <v>6.0000000000000001E-3</v>
      </c>
      <c r="W3859" s="508">
        <v>7.0000000000000001E-3</v>
      </c>
      <c r="X3859" s="508">
        <v>7.0000000000000001E-3</v>
      </c>
      <c r="Y3859" s="508">
        <v>7.0000000000000001E-3</v>
      </c>
      <c r="Z3859" s="508">
        <v>6.0000000000000001E-3</v>
      </c>
      <c r="AA3859" s="508">
        <v>5.0000000000000001E-3</v>
      </c>
      <c r="AB3859" s="508">
        <v>5.0000000000000001E-3</v>
      </c>
      <c r="AC3859" s="508">
        <v>4.0000000000000001E-3</v>
      </c>
      <c r="AD3859" s="508">
        <v>4.0000000000000001E-3</v>
      </c>
      <c r="AE3859" s="508">
        <v>5.0000000000000001E-3</v>
      </c>
      <c r="AF3859" s="508">
        <v>3.0000000000000001E-3</v>
      </c>
      <c r="AG3859" s="508">
        <v>3.0000000000000001E-3</v>
      </c>
      <c r="AH3859" s="508">
        <v>3.0000000000000001E-3</v>
      </c>
      <c r="AI3859" s="492">
        <v>3.0000000000000001E-3</v>
      </c>
      <c r="AJ3859" s="485"/>
    </row>
    <row r="3860" spans="2:36">
      <c r="B3860" s="136" t="s">
        <v>448</v>
      </c>
      <c r="C3860" s="132" t="s">
        <v>1367</v>
      </c>
      <c r="D3860" s="132" t="s">
        <v>284</v>
      </c>
      <c r="E3860" s="508">
        <v>4.3999999999999997E-2</v>
      </c>
      <c r="F3860" s="508">
        <v>7.9000000000000001E-2</v>
      </c>
      <c r="G3860" s="508">
        <v>6.3E-2</v>
      </c>
      <c r="H3860" s="508">
        <v>5.6000000000000001E-2</v>
      </c>
      <c r="I3860" s="508">
        <v>5.0999999999999997E-2</v>
      </c>
      <c r="J3860" s="508">
        <v>4.2999999999999997E-2</v>
      </c>
      <c r="K3860" s="508">
        <v>2.4E-2</v>
      </c>
      <c r="L3860" s="508">
        <v>2.3E-2</v>
      </c>
      <c r="M3860" s="508">
        <v>2.4E-2</v>
      </c>
      <c r="N3860" s="508">
        <v>3.1E-2</v>
      </c>
      <c r="O3860" s="508">
        <v>2.1999999999999999E-2</v>
      </c>
      <c r="P3860" s="508">
        <v>1.6E-2</v>
      </c>
      <c r="Q3860" s="508">
        <v>1.9E-2</v>
      </c>
      <c r="R3860" s="508">
        <v>1.7000000000000001E-2</v>
      </c>
      <c r="S3860" s="508">
        <v>1.4999999999999999E-2</v>
      </c>
      <c r="T3860" s="508">
        <v>1.4E-2</v>
      </c>
      <c r="U3860" s="508">
        <v>8.9999999999999993E-3</v>
      </c>
      <c r="V3860" s="508">
        <v>8.0000000000000002E-3</v>
      </c>
      <c r="W3860" s="508">
        <v>8.9999999999999993E-3</v>
      </c>
      <c r="X3860" s="508">
        <v>8.0000000000000002E-3</v>
      </c>
      <c r="Y3860" s="508">
        <v>8.0000000000000002E-3</v>
      </c>
      <c r="Z3860" s="508">
        <v>6.0000000000000001E-3</v>
      </c>
      <c r="AA3860" s="508">
        <v>6.0000000000000001E-3</v>
      </c>
      <c r="AB3860" s="508">
        <v>5.0000000000000001E-3</v>
      </c>
      <c r="AC3860" s="508">
        <v>4.0000000000000001E-3</v>
      </c>
      <c r="AD3860" s="508">
        <v>4.0000000000000001E-3</v>
      </c>
      <c r="AE3860" s="508">
        <v>5.0000000000000001E-3</v>
      </c>
      <c r="AF3860" s="508">
        <v>3.0000000000000001E-3</v>
      </c>
      <c r="AG3860" s="508">
        <v>3.0000000000000001E-3</v>
      </c>
      <c r="AH3860" s="508">
        <v>3.0000000000000001E-3</v>
      </c>
      <c r="AI3860" s="492">
        <v>3.0000000000000001E-3</v>
      </c>
      <c r="AJ3860" s="485"/>
    </row>
    <row r="3861" spans="2:36">
      <c r="B3861" s="136" t="s">
        <v>449</v>
      </c>
      <c r="C3861" s="132" t="s">
        <v>1367</v>
      </c>
      <c r="D3861" s="132" t="s">
        <v>284</v>
      </c>
      <c r="E3861" s="508">
        <v>3.5000000000000003E-2</v>
      </c>
      <c r="F3861" s="508">
        <v>0.06</v>
      </c>
      <c r="G3861" s="508">
        <v>4.8000000000000001E-2</v>
      </c>
      <c r="H3861" s="508">
        <v>4.3999999999999997E-2</v>
      </c>
      <c r="I3861" s="508">
        <v>0.04</v>
      </c>
      <c r="J3861" s="508">
        <v>3.2000000000000001E-2</v>
      </c>
      <c r="K3861" s="508">
        <v>1.9E-2</v>
      </c>
      <c r="L3861" s="508">
        <v>1.7999999999999999E-2</v>
      </c>
      <c r="M3861" s="508">
        <v>1.9E-2</v>
      </c>
      <c r="N3861" s="508">
        <v>2.4E-2</v>
      </c>
      <c r="O3861" s="508">
        <v>1.7000000000000001E-2</v>
      </c>
      <c r="P3861" s="508">
        <v>1.2999999999999999E-2</v>
      </c>
      <c r="Q3861" s="508">
        <v>1.4E-2</v>
      </c>
      <c r="R3861" s="508">
        <v>1.2999999999999999E-2</v>
      </c>
      <c r="S3861" s="508">
        <v>1.2E-2</v>
      </c>
      <c r="T3861" s="508">
        <v>0.01</v>
      </c>
      <c r="U3861" s="508">
        <v>7.0000000000000001E-3</v>
      </c>
      <c r="V3861" s="508">
        <v>6.0000000000000001E-3</v>
      </c>
      <c r="W3861" s="508">
        <v>6.0000000000000001E-3</v>
      </c>
      <c r="X3861" s="508">
        <v>7.0000000000000001E-3</v>
      </c>
      <c r="Y3861" s="508">
        <v>6.0000000000000001E-3</v>
      </c>
      <c r="Z3861" s="508">
        <v>5.0000000000000001E-3</v>
      </c>
      <c r="AA3861" s="508">
        <v>5.0000000000000001E-3</v>
      </c>
      <c r="AB3861" s="508">
        <v>4.0000000000000001E-3</v>
      </c>
      <c r="AC3861" s="508">
        <v>3.0000000000000001E-3</v>
      </c>
      <c r="AD3861" s="508">
        <v>4.0000000000000001E-3</v>
      </c>
      <c r="AE3861" s="508">
        <v>5.0000000000000001E-3</v>
      </c>
      <c r="AF3861" s="508">
        <v>3.0000000000000001E-3</v>
      </c>
      <c r="AG3861" s="508">
        <v>3.0000000000000001E-3</v>
      </c>
      <c r="AH3861" s="508">
        <v>3.0000000000000001E-3</v>
      </c>
      <c r="AI3861" s="492">
        <v>3.0000000000000001E-3</v>
      </c>
      <c r="AJ3861" s="485"/>
    </row>
    <row r="3862" spans="2:36">
      <c r="B3862" s="136" t="s">
        <v>450</v>
      </c>
      <c r="C3862" s="132" t="s">
        <v>1367</v>
      </c>
      <c r="D3862" s="132" t="s">
        <v>284</v>
      </c>
      <c r="E3862" s="508">
        <v>7.3999999999999996E-2</v>
      </c>
      <c r="F3862" s="508">
        <v>0.129</v>
      </c>
      <c r="G3862" s="508">
        <v>0.10299999999999999</v>
      </c>
      <c r="H3862" s="508">
        <v>9.2999999999999999E-2</v>
      </c>
      <c r="I3862" s="508">
        <v>8.4000000000000005E-2</v>
      </c>
      <c r="J3862" s="508">
        <v>7.0000000000000007E-2</v>
      </c>
      <c r="K3862" s="508">
        <v>0.04</v>
      </c>
      <c r="L3862" s="508">
        <v>3.9E-2</v>
      </c>
      <c r="M3862" s="508">
        <v>0.04</v>
      </c>
      <c r="N3862" s="508">
        <v>5.0999999999999997E-2</v>
      </c>
      <c r="O3862" s="508">
        <v>3.5999999999999997E-2</v>
      </c>
      <c r="P3862" s="508">
        <v>2.5999999999999999E-2</v>
      </c>
      <c r="Q3862" s="508">
        <v>0.03</v>
      </c>
      <c r="R3862" s="508">
        <v>2.7E-2</v>
      </c>
      <c r="S3862" s="508">
        <v>2.4E-2</v>
      </c>
      <c r="T3862" s="508">
        <v>2.1000000000000001E-2</v>
      </c>
      <c r="U3862" s="508">
        <v>1.2999999999999999E-2</v>
      </c>
      <c r="V3862" s="508">
        <v>1.2E-2</v>
      </c>
      <c r="W3862" s="508">
        <v>1.2E-2</v>
      </c>
      <c r="X3862" s="508">
        <v>8.9999999999999993E-3</v>
      </c>
      <c r="Y3862" s="508">
        <v>8.0000000000000002E-3</v>
      </c>
      <c r="Z3862" s="508">
        <v>6.0000000000000001E-3</v>
      </c>
      <c r="AA3862" s="508">
        <v>6.0000000000000001E-3</v>
      </c>
      <c r="AB3862" s="508">
        <v>6.0000000000000001E-3</v>
      </c>
      <c r="AC3862" s="508">
        <v>4.0000000000000001E-3</v>
      </c>
      <c r="AD3862" s="508">
        <v>4.0000000000000001E-3</v>
      </c>
      <c r="AE3862" s="508">
        <v>6.0000000000000001E-3</v>
      </c>
      <c r="AF3862" s="508">
        <v>3.0000000000000001E-3</v>
      </c>
      <c r="AG3862" s="508">
        <v>3.0000000000000001E-3</v>
      </c>
      <c r="AH3862" s="508">
        <v>3.0000000000000001E-3</v>
      </c>
      <c r="AI3862" s="492">
        <v>3.0000000000000001E-3</v>
      </c>
      <c r="AJ3862" s="485"/>
    </row>
    <row r="3863" spans="2:36">
      <c r="B3863" s="136" t="s">
        <v>451</v>
      </c>
      <c r="C3863" s="132" t="s">
        <v>1367</v>
      </c>
      <c r="D3863" s="132" t="s">
        <v>284</v>
      </c>
      <c r="E3863" s="508">
        <v>6.4000000000000001E-2</v>
      </c>
      <c r="F3863" s="508">
        <v>0.111</v>
      </c>
      <c r="G3863" s="508">
        <v>8.8999999999999996E-2</v>
      </c>
      <c r="H3863" s="508">
        <v>7.9000000000000001E-2</v>
      </c>
      <c r="I3863" s="508">
        <v>7.1999999999999995E-2</v>
      </c>
      <c r="J3863" s="508">
        <v>5.7000000000000002E-2</v>
      </c>
      <c r="K3863" s="508">
        <v>3.5999999999999997E-2</v>
      </c>
      <c r="L3863" s="508">
        <v>3.5000000000000003E-2</v>
      </c>
      <c r="M3863" s="508">
        <v>3.5000000000000003E-2</v>
      </c>
      <c r="N3863" s="508">
        <v>4.1000000000000002E-2</v>
      </c>
      <c r="O3863" s="508">
        <v>3.1E-2</v>
      </c>
      <c r="P3863" s="508">
        <v>2.3E-2</v>
      </c>
      <c r="Q3863" s="508">
        <v>2.5000000000000001E-2</v>
      </c>
      <c r="R3863" s="508">
        <v>2.4E-2</v>
      </c>
      <c r="S3863" s="508">
        <v>2.1999999999999999E-2</v>
      </c>
      <c r="T3863" s="508">
        <v>1.9E-2</v>
      </c>
      <c r="U3863" s="508">
        <v>1.0999999999999999E-2</v>
      </c>
      <c r="V3863" s="508">
        <v>0.01</v>
      </c>
      <c r="W3863" s="508">
        <v>0.01</v>
      </c>
      <c r="X3863" s="508">
        <v>8.0000000000000002E-3</v>
      </c>
      <c r="Y3863" s="508">
        <v>7.0000000000000001E-3</v>
      </c>
      <c r="Z3863" s="508">
        <v>6.0000000000000001E-3</v>
      </c>
      <c r="AA3863" s="508">
        <v>5.0000000000000001E-3</v>
      </c>
      <c r="AB3863" s="508">
        <v>5.0000000000000001E-3</v>
      </c>
      <c r="AC3863" s="508">
        <v>4.0000000000000001E-3</v>
      </c>
      <c r="AD3863" s="508">
        <v>4.0000000000000001E-3</v>
      </c>
      <c r="AE3863" s="508">
        <v>5.0000000000000001E-3</v>
      </c>
      <c r="AF3863" s="508">
        <v>3.0000000000000001E-3</v>
      </c>
      <c r="AG3863" s="508">
        <v>3.0000000000000001E-3</v>
      </c>
      <c r="AH3863" s="508">
        <v>3.0000000000000001E-3</v>
      </c>
      <c r="AI3863" s="492">
        <v>3.0000000000000001E-3</v>
      </c>
      <c r="AJ3863" s="485"/>
    </row>
    <row r="3864" spans="2:36">
      <c r="B3864" s="136" t="s">
        <v>452</v>
      </c>
      <c r="C3864" s="132" t="s">
        <v>1367</v>
      </c>
      <c r="D3864" s="132" t="s">
        <v>284</v>
      </c>
      <c r="E3864" s="508">
        <v>6.4000000000000001E-2</v>
      </c>
      <c r="F3864" s="508">
        <v>0.111</v>
      </c>
      <c r="G3864" s="508">
        <v>8.8999999999999996E-2</v>
      </c>
      <c r="H3864" s="508">
        <v>0.08</v>
      </c>
      <c r="I3864" s="508">
        <v>7.2999999999999995E-2</v>
      </c>
      <c r="J3864" s="508">
        <v>5.8999999999999997E-2</v>
      </c>
      <c r="K3864" s="508">
        <v>3.5000000000000003E-2</v>
      </c>
      <c r="L3864" s="508">
        <v>3.4000000000000002E-2</v>
      </c>
      <c r="M3864" s="508">
        <v>3.5000000000000003E-2</v>
      </c>
      <c r="N3864" s="508">
        <v>4.2999999999999997E-2</v>
      </c>
      <c r="O3864" s="508">
        <v>3.1E-2</v>
      </c>
      <c r="P3864" s="508">
        <v>2.3E-2</v>
      </c>
      <c r="Q3864" s="508">
        <v>2.5999999999999999E-2</v>
      </c>
      <c r="R3864" s="508">
        <v>2.4E-2</v>
      </c>
      <c r="S3864" s="508">
        <v>2.1000000000000001E-2</v>
      </c>
      <c r="T3864" s="508">
        <v>1.7999999999999999E-2</v>
      </c>
      <c r="U3864" s="508">
        <v>1.0999999999999999E-2</v>
      </c>
      <c r="V3864" s="508">
        <v>0.01</v>
      </c>
      <c r="W3864" s="508">
        <v>0.01</v>
      </c>
      <c r="X3864" s="508">
        <v>8.0000000000000002E-3</v>
      </c>
      <c r="Y3864" s="508">
        <v>7.0000000000000001E-3</v>
      </c>
      <c r="Z3864" s="508">
        <v>6.0000000000000001E-3</v>
      </c>
      <c r="AA3864" s="508">
        <v>5.0000000000000001E-3</v>
      </c>
      <c r="AB3864" s="508">
        <v>5.0000000000000001E-3</v>
      </c>
      <c r="AC3864" s="508">
        <v>4.0000000000000001E-3</v>
      </c>
      <c r="AD3864" s="508">
        <v>4.0000000000000001E-3</v>
      </c>
      <c r="AE3864" s="508">
        <v>5.0000000000000001E-3</v>
      </c>
      <c r="AF3864" s="508">
        <v>3.0000000000000001E-3</v>
      </c>
      <c r="AG3864" s="508">
        <v>3.0000000000000001E-3</v>
      </c>
      <c r="AH3864" s="508">
        <v>3.0000000000000001E-3</v>
      </c>
      <c r="AI3864" s="492">
        <v>3.0000000000000001E-3</v>
      </c>
      <c r="AJ3864" s="485"/>
    </row>
    <row r="3865" spans="2:36">
      <c r="B3865" s="136" t="s">
        <v>453</v>
      </c>
      <c r="C3865" s="132" t="s">
        <v>1367</v>
      </c>
      <c r="D3865" s="132" t="s">
        <v>284</v>
      </c>
      <c r="E3865" s="508">
        <v>7.3999999999999996E-2</v>
      </c>
      <c r="F3865" s="508">
        <v>0.129</v>
      </c>
      <c r="G3865" s="508">
        <v>0.104</v>
      </c>
      <c r="H3865" s="508">
        <v>9.4E-2</v>
      </c>
      <c r="I3865" s="508">
        <v>8.5000000000000006E-2</v>
      </c>
      <c r="J3865" s="508">
        <v>7.0999999999999994E-2</v>
      </c>
      <c r="K3865" s="508">
        <v>0.04</v>
      </c>
      <c r="L3865" s="508">
        <v>3.9E-2</v>
      </c>
      <c r="M3865" s="508">
        <v>0.04</v>
      </c>
      <c r="N3865" s="508">
        <v>5.1999999999999998E-2</v>
      </c>
      <c r="O3865" s="508">
        <v>3.5999999999999997E-2</v>
      </c>
      <c r="P3865" s="508">
        <v>2.5999999999999999E-2</v>
      </c>
      <c r="Q3865" s="508">
        <v>0.03</v>
      </c>
      <c r="R3865" s="508">
        <v>2.8000000000000001E-2</v>
      </c>
      <c r="S3865" s="508">
        <v>2.4E-2</v>
      </c>
      <c r="T3865" s="508">
        <v>2.1000000000000001E-2</v>
      </c>
      <c r="U3865" s="508">
        <v>1.2999999999999999E-2</v>
      </c>
      <c r="V3865" s="508">
        <v>1.2E-2</v>
      </c>
      <c r="W3865" s="508">
        <v>1.2E-2</v>
      </c>
      <c r="X3865" s="508">
        <v>8.9999999999999993E-3</v>
      </c>
      <c r="Y3865" s="508">
        <v>8.9999999999999993E-3</v>
      </c>
      <c r="Z3865" s="508">
        <v>7.0000000000000001E-3</v>
      </c>
      <c r="AA3865" s="508">
        <v>6.0000000000000001E-3</v>
      </c>
      <c r="AB3865" s="508">
        <v>6.0000000000000001E-3</v>
      </c>
      <c r="AC3865" s="508">
        <v>4.0000000000000001E-3</v>
      </c>
      <c r="AD3865" s="508">
        <v>5.0000000000000001E-3</v>
      </c>
      <c r="AE3865" s="508">
        <v>6.0000000000000001E-3</v>
      </c>
      <c r="AF3865" s="508">
        <v>3.0000000000000001E-3</v>
      </c>
      <c r="AG3865" s="508">
        <v>3.0000000000000001E-3</v>
      </c>
      <c r="AH3865" s="508">
        <v>3.0000000000000001E-3</v>
      </c>
      <c r="AI3865" s="492">
        <v>4.0000000000000001E-3</v>
      </c>
      <c r="AJ3865" s="485"/>
    </row>
    <row r="3866" spans="2:36">
      <c r="B3866" s="136" t="s">
        <v>454</v>
      </c>
      <c r="C3866" s="132" t="s">
        <v>1367</v>
      </c>
      <c r="D3866" s="132" t="s">
        <v>284</v>
      </c>
      <c r="E3866" s="508">
        <v>5.7000000000000002E-2</v>
      </c>
      <c r="F3866" s="508">
        <v>0.10100000000000001</v>
      </c>
      <c r="G3866" s="508">
        <v>8.1000000000000003E-2</v>
      </c>
      <c r="H3866" s="508">
        <v>7.1999999999999995E-2</v>
      </c>
      <c r="I3866" s="508">
        <v>6.5000000000000002E-2</v>
      </c>
      <c r="J3866" s="508">
        <v>5.5E-2</v>
      </c>
      <c r="K3866" s="508">
        <v>3.1E-2</v>
      </c>
      <c r="L3866" s="508">
        <v>0.03</v>
      </c>
      <c r="M3866" s="508">
        <v>3.1E-2</v>
      </c>
      <c r="N3866" s="508">
        <v>0.04</v>
      </c>
      <c r="O3866" s="508">
        <v>2.8000000000000001E-2</v>
      </c>
      <c r="P3866" s="508">
        <v>0.02</v>
      </c>
      <c r="Q3866" s="508">
        <v>2.4E-2</v>
      </c>
      <c r="R3866" s="508">
        <v>2.1999999999999999E-2</v>
      </c>
      <c r="S3866" s="508">
        <v>1.9E-2</v>
      </c>
      <c r="T3866" s="508">
        <v>1.7000000000000001E-2</v>
      </c>
      <c r="U3866" s="508">
        <v>1.0999999999999999E-2</v>
      </c>
      <c r="V3866" s="508">
        <v>0.01</v>
      </c>
      <c r="W3866" s="508">
        <v>0.01</v>
      </c>
      <c r="X3866" s="508">
        <v>8.0000000000000002E-3</v>
      </c>
      <c r="Y3866" s="508">
        <v>8.0000000000000002E-3</v>
      </c>
      <c r="Z3866" s="508">
        <v>6.0000000000000001E-3</v>
      </c>
      <c r="AA3866" s="508">
        <v>6.0000000000000001E-3</v>
      </c>
      <c r="AB3866" s="508">
        <v>5.0000000000000001E-3</v>
      </c>
      <c r="AC3866" s="508">
        <v>4.0000000000000001E-3</v>
      </c>
      <c r="AD3866" s="508">
        <v>4.0000000000000001E-3</v>
      </c>
      <c r="AE3866" s="508">
        <v>5.0000000000000001E-3</v>
      </c>
      <c r="AF3866" s="508">
        <v>3.0000000000000001E-3</v>
      </c>
      <c r="AG3866" s="508">
        <v>3.0000000000000001E-3</v>
      </c>
      <c r="AH3866" s="508">
        <v>3.0000000000000001E-3</v>
      </c>
      <c r="AI3866" s="492">
        <v>3.0000000000000001E-3</v>
      </c>
      <c r="AJ3866" s="485"/>
    </row>
    <row r="3867" spans="2:36">
      <c r="B3867" s="136" t="s">
        <v>455</v>
      </c>
      <c r="C3867" s="132" t="s">
        <v>1367</v>
      </c>
      <c r="D3867" s="132" t="s">
        <v>284</v>
      </c>
      <c r="E3867" s="508">
        <v>5.7000000000000002E-2</v>
      </c>
      <c r="F3867" s="508">
        <v>0.10100000000000001</v>
      </c>
      <c r="G3867" s="508">
        <v>8.1000000000000003E-2</v>
      </c>
      <c r="H3867" s="508">
        <v>7.0999999999999994E-2</v>
      </c>
      <c r="I3867" s="508">
        <v>6.5000000000000002E-2</v>
      </c>
      <c r="J3867" s="508">
        <v>5.5E-2</v>
      </c>
      <c r="K3867" s="508">
        <v>3.1E-2</v>
      </c>
      <c r="L3867" s="508">
        <v>0.03</v>
      </c>
      <c r="M3867" s="508">
        <v>0.03</v>
      </c>
      <c r="N3867" s="508">
        <v>0.04</v>
      </c>
      <c r="O3867" s="508">
        <v>2.8000000000000001E-2</v>
      </c>
      <c r="P3867" s="508">
        <v>0.02</v>
      </c>
      <c r="Q3867" s="508">
        <v>2.4E-2</v>
      </c>
      <c r="R3867" s="508">
        <v>2.1999999999999999E-2</v>
      </c>
      <c r="S3867" s="508">
        <v>0.02</v>
      </c>
      <c r="T3867" s="508">
        <v>1.7000000000000001E-2</v>
      </c>
      <c r="U3867" s="508">
        <v>0.01</v>
      </c>
      <c r="V3867" s="508">
        <v>8.9999999999999993E-3</v>
      </c>
      <c r="W3867" s="508">
        <v>8.9999999999999993E-3</v>
      </c>
      <c r="X3867" s="508">
        <v>8.0000000000000002E-3</v>
      </c>
      <c r="Y3867" s="508">
        <v>7.0000000000000001E-3</v>
      </c>
      <c r="Z3867" s="508">
        <v>6.0000000000000001E-3</v>
      </c>
      <c r="AA3867" s="508">
        <v>5.0000000000000001E-3</v>
      </c>
      <c r="AB3867" s="508">
        <v>5.0000000000000001E-3</v>
      </c>
      <c r="AC3867" s="508">
        <v>4.0000000000000001E-3</v>
      </c>
      <c r="AD3867" s="508">
        <v>4.0000000000000001E-3</v>
      </c>
      <c r="AE3867" s="508">
        <v>5.0000000000000001E-3</v>
      </c>
      <c r="AF3867" s="508">
        <v>3.0000000000000001E-3</v>
      </c>
      <c r="AG3867" s="508">
        <v>3.0000000000000001E-3</v>
      </c>
      <c r="AH3867" s="508">
        <v>3.0000000000000001E-3</v>
      </c>
      <c r="AI3867" s="492">
        <v>3.0000000000000001E-3</v>
      </c>
      <c r="AJ3867" s="485"/>
    </row>
    <row r="3868" spans="2:36">
      <c r="B3868" s="136" t="s">
        <v>456</v>
      </c>
      <c r="C3868" s="132" t="s">
        <v>1367</v>
      </c>
      <c r="D3868" s="132" t="s">
        <v>284</v>
      </c>
      <c r="E3868" s="508">
        <v>3.6999999999999998E-2</v>
      </c>
      <c r="F3868" s="508">
        <v>6.5000000000000002E-2</v>
      </c>
      <c r="G3868" s="508">
        <v>5.1999999999999998E-2</v>
      </c>
      <c r="H3868" s="508">
        <v>4.5999999999999999E-2</v>
      </c>
      <c r="I3868" s="508">
        <v>4.2000000000000003E-2</v>
      </c>
      <c r="J3868" s="508">
        <v>3.5000000000000003E-2</v>
      </c>
      <c r="K3868" s="508">
        <v>0.02</v>
      </c>
      <c r="L3868" s="508">
        <v>1.9E-2</v>
      </c>
      <c r="M3868" s="508">
        <v>0.02</v>
      </c>
      <c r="N3868" s="508">
        <v>2.5999999999999999E-2</v>
      </c>
      <c r="O3868" s="508">
        <v>1.7999999999999999E-2</v>
      </c>
      <c r="P3868" s="508">
        <v>1.2999999999999999E-2</v>
      </c>
      <c r="Q3868" s="508">
        <v>1.4999999999999999E-2</v>
      </c>
      <c r="R3868" s="508">
        <v>1.4E-2</v>
      </c>
      <c r="S3868" s="508">
        <v>1.2999999999999999E-2</v>
      </c>
      <c r="T3868" s="508">
        <v>1.0999999999999999E-2</v>
      </c>
      <c r="U3868" s="508">
        <v>8.0000000000000002E-3</v>
      </c>
      <c r="V3868" s="508">
        <v>7.0000000000000001E-3</v>
      </c>
      <c r="W3868" s="508">
        <v>7.0000000000000001E-3</v>
      </c>
      <c r="X3868" s="508">
        <v>8.0000000000000002E-3</v>
      </c>
      <c r="Y3868" s="508">
        <v>7.0000000000000001E-3</v>
      </c>
      <c r="Z3868" s="508">
        <v>6.0000000000000001E-3</v>
      </c>
      <c r="AA3868" s="508">
        <v>5.0000000000000001E-3</v>
      </c>
      <c r="AB3868" s="508">
        <v>5.0000000000000001E-3</v>
      </c>
      <c r="AC3868" s="508">
        <v>4.0000000000000001E-3</v>
      </c>
      <c r="AD3868" s="508">
        <v>4.0000000000000001E-3</v>
      </c>
      <c r="AE3868" s="508">
        <v>5.0000000000000001E-3</v>
      </c>
      <c r="AF3868" s="508">
        <v>3.0000000000000001E-3</v>
      </c>
      <c r="AG3868" s="508">
        <v>3.0000000000000001E-3</v>
      </c>
      <c r="AH3868" s="508">
        <v>3.0000000000000001E-3</v>
      </c>
      <c r="AI3868" s="492">
        <v>3.0000000000000001E-3</v>
      </c>
      <c r="AJ3868" s="485"/>
    </row>
    <row r="3869" spans="2:36">
      <c r="B3869" s="136" t="s">
        <v>457</v>
      </c>
      <c r="C3869" s="132" t="s">
        <v>1367</v>
      </c>
      <c r="D3869" s="132" t="s">
        <v>284</v>
      </c>
      <c r="E3869" s="508">
        <v>8.7999999999999995E-2</v>
      </c>
      <c r="F3869" s="508">
        <v>0.155</v>
      </c>
      <c r="G3869" s="508">
        <v>0.124</v>
      </c>
      <c r="H3869" s="508">
        <v>0.112</v>
      </c>
      <c r="I3869" s="508">
        <v>0.10100000000000001</v>
      </c>
      <c r="J3869" s="508">
        <v>8.5000000000000006E-2</v>
      </c>
      <c r="K3869" s="508">
        <v>4.8000000000000001E-2</v>
      </c>
      <c r="L3869" s="508">
        <v>4.5999999999999999E-2</v>
      </c>
      <c r="M3869" s="508">
        <v>4.7E-2</v>
      </c>
      <c r="N3869" s="508">
        <v>6.3E-2</v>
      </c>
      <c r="O3869" s="508">
        <v>4.3999999999999997E-2</v>
      </c>
      <c r="P3869" s="508">
        <v>0.03</v>
      </c>
      <c r="Q3869" s="508">
        <v>3.5999999999999997E-2</v>
      </c>
      <c r="R3869" s="508">
        <v>3.3000000000000002E-2</v>
      </c>
      <c r="S3869" s="508">
        <v>2.8000000000000001E-2</v>
      </c>
      <c r="T3869" s="508">
        <v>2.5000000000000001E-2</v>
      </c>
      <c r="U3869" s="508">
        <v>1.7000000000000001E-2</v>
      </c>
      <c r="V3869" s="508">
        <v>1.6E-2</v>
      </c>
      <c r="W3869" s="508">
        <v>1.6E-2</v>
      </c>
      <c r="X3869" s="508">
        <v>1.0999999999999999E-2</v>
      </c>
      <c r="Y3869" s="508">
        <v>0.01</v>
      </c>
      <c r="Z3869" s="508">
        <v>8.0000000000000002E-3</v>
      </c>
      <c r="AA3869" s="508">
        <v>8.0000000000000002E-3</v>
      </c>
      <c r="AB3869" s="508">
        <v>7.0000000000000001E-3</v>
      </c>
      <c r="AC3869" s="508">
        <v>5.0000000000000001E-3</v>
      </c>
      <c r="AD3869" s="508">
        <v>6.0000000000000001E-3</v>
      </c>
      <c r="AE3869" s="508">
        <v>7.0000000000000001E-3</v>
      </c>
      <c r="AF3869" s="508">
        <v>4.0000000000000001E-3</v>
      </c>
      <c r="AG3869" s="508">
        <v>4.0000000000000001E-3</v>
      </c>
      <c r="AH3869" s="508">
        <v>4.0000000000000001E-3</v>
      </c>
      <c r="AI3869" s="492">
        <v>4.0000000000000001E-3</v>
      </c>
      <c r="AJ3869" s="485"/>
    </row>
    <row r="3870" spans="2:36">
      <c r="B3870" s="136" t="s">
        <v>458</v>
      </c>
      <c r="C3870" s="132" t="s">
        <v>1367</v>
      </c>
      <c r="D3870" s="132" t="s">
        <v>284</v>
      </c>
      <c r="E3870" s="508">
        <v>5.6000000000000001E-2</v>
      </c>
      <c r="F3870" s="508">
        <v>0.1</v>
      </c>
      <c r="G3870" s="508">
        <v>0.08</v>
      </c>
      <c r="H3870" s="508">
        <v>7.0000000000000007E-2</v>
      </c>
      <c r="I3870" s="508">
        <v>6.4000000000000001E-2</v>
      </c>
      <c r="J3870" s="508">
        <v>5.3999999999999999E-2</v>
      </c>
      <c r="K3870" s="508">
        <v>3.1E-2</v>
      </c>
      <c r="L3870" s="508">
        <v>0.03</v>
      </c>
      <c r="M3870" s="508">
        <v>3.1E-2</v>
      </c>
      <c r="N3870" s="508">
        <v>3.7999999999999999E-2</v>
      </c>
      <c r="O3870" s="508">
        <v>2.8000000000000001E-2</v>
      </c>
      <c r="P3870" s="508">
        <v>2.1000000000000001E-2</v>
      </c>
      <c r="Q3870" s="508">
        <v>2.3E-2</v>
      </c>
      <c r="R3870" s="508">
        <v>2.1000000000000001E-2</v>
      </c>
      <c r="S3870" s="508">
        <v>0.02</v>
      </c>
      <c r="T3870" s="508">
        <v>1.7000000000000001E-2</v>
      </c>
      <c r="U3870" s="508">
        <v>1.0999999999999999E-2</v>
      </c>
      <c r="V3870" s="508">
        <v>0.01</v>
      </c>
      <c r="W3870" s="508">
        <v>0.01</v>
      </c>
      <c r="X3870" s="508">
        <v>8.0000000000000002E-3</v>
      </c>
      <c r="Y3870" s="508">
        <v>8.0000000000000002E-3</v>
      </c>
      <c r="Z3870" s="508">
        <v>6.0000000000000001E-3</v>
      </c>
      <c r="AA3870" s="508">
        <v>6.0000000000000001E-3</v>
      </c>
      <c r="AB3870" s="508">
        <v>5.0000000000000001E-3</v>
      </c>
      <c r="AC3870" s="508">
        <v>4.0000000000000001E-3</v>
      </c>
      <c r="AD3870" s="508">
        <v>4.0000000000000001E-3</v>
      </c>
      <c r="AE3870" s="508">
        <v>5.0000000000000001E-3</v>
      </c>
      <c r="AF3870" s="508">
        <v>3.0000000000000001E-3</v>
      </c>
      <c r="AG3870" s="508">
        <v>3.0000000000000001E-3</v>
      </c>
      <c r="AH3870" s="508">
        <v>3.0000000000000001E-3</v>
      </c>
      <c r="AI3870" s="492">
        <v>3.0000000000000001E-3</v>
      </c>
      <c r="AJ3870" s="485"/>
    </row>
    <row r="3871" spans="2:36">
      <c r="B3871" s="136" t="s">
        <v>459</v>
      </c>
      <c r="C3871" s="132" t="s">
        <v>1367</v>
      </c>
      <c r="D3871" s="132" t="s">
        <v>284</v>
      </c>
      <c r="E3871" s="508">
        <v>7.0999999999999994E-2</v>
      </c>
      <c r="F3871" s="508">
        <v>0.127</v>
      </c>
      <c r="G3871" s="508">
        <v>0.10199999999999999</v>
      </c>
      <c r="H3871" s="508">
        <v>8.8999999999999996E-2</v>
      </c>
      <c r="I3871" s="508">
        <v>8.1000000000000003E-2</v>
      </c>
      <c r="J3871" s="508">
        <v>6.8000000000000005E-2</v>
      </c>
      <c r="K3871" s="508">
        <v>3.9E-2</v>
      </c>
      <c r="L3871" s="508">
        <v>3.7999999999999999E-2</v>
      </c>
      <c r="M3871" s="508">
        <v>3.9E-2</v>
      </c>
      <c r="N3871" s="508">
        <v>4.8000000000000001E-2</v>
      </c>
      <c r="O3871" s="508">
        <v>3.5000000000000003E-2</v>
      </c>
      <c r="P3871" s="508">
        <v>2.5999999999999999E-2</v>
      </c>
      <c r="Q3871" s="508">
        <v>2.9000000000000001E-2</v>
      </c>
      <c r="R3871" s="508">
        <v>2.7E-2</v>
      </c>
      <c r="S3871" s="508">
        <v>2.5000000000000001E-2</v>
      </c>
      <c r="T3871" s="508">
        <v>2.1999999999999999E-2</v>
      </c>
      <c r="U3871" s="508">
        <v>1.4E-2</v>
      </c>
      <c r="V3871" s="508">
        <v>1.2E-2</v>
      </c>
      <c r="W3871" s="508">
        <v>1.2E-2</v>
      </c>
      <c r="X3871" s="508">
        <v>8.9999999999999993E-3</v>
      </c>
      <c r="Y3871" s="508">
        <v>8.0000000000000002E-3</v>
      </c>
      <c r="Z3871" s="508">
        <v>6.0000000000000001E-3</v>
      </c>
      <c r="AA3871" s="508">
        <v>6.0000000000000001E-3</v>
      </c>
      <c r="AB3871" s="508">
        <v>5.0000000000000001E-3</v>
      </c>
      <c r="AC3871" s="508">
        <v>4.0000000000000001E-3</v>
      </c>
      <c r="AD3871" s="508">
        <v>4.0000000000000001E-3</v>
      </c>
      <c r="AE3871" s="508">
        <v>5.0000000000000001E-3</v>
      </c>
      <c r="AF3871" s="508">
        <v>3.0000000000000001E-3</v>
      </c>
      <c r="AG3871" s="508">
        <v>3.0000000000000001E-3</v>
      </c>
      <c r="AH3871" s="508">
        <v>3.0000000000000001E-3</v>
      </c>
      <c r="AI3871" s="492">
        <v>3.0000000000000001E-3</v>
      </c>
      <c r="AJ3871" s="485"/>
    </row>
    <row r="3872" spans="2:36">
      <c r="B3872" s="136" t="s">
        <v>460</v>
      </c>
      <c r="C3872" s="132" t="s">
        <v>1367</v>
      </c>
      <c r="D3872" s="132" t="s">
        <v>284</v>
      </c>
      <c r="E3872" s="508">
        <v>7.3999999999999996E-2</v>
      </c>
      <c r="F3872" s="508">
        <v>0.13</v>
      </c>
      <c r="G3872" s="508">
        <v>0.105</v>
      </c>
      <c r="H3872" s="508">
        <v>9.2999999999999999E-2</v>
      </c>
      <c r="I3872" s="508">
        <v>8.5000000000000006E-2</v>
      </c>
      <c r="J3872" s="508">
        <v>7.0000000000000007E-2</v>
      </c>
      <c r="K3872" s="508">
        <v>4.1000000000000002E-2</v>
      </c>
      <c r="L3872" s="508">
        <v>0.04</v>
      </c>
      <c r="M3872" s="508">
        <v>4.1000000000000002E-2</v>
      </c>
      <c r="N3872" s="508">
        <v>0.05</v>
      </c>
      <c r="O3872" s="508">
        <v>3.5999999999999997E-2</v>
      </c>
      <c r="P3872" s="508">
        <v>2.7E-2</v>
      </c>
      <c r="Q3872" s="508">
        <v>0.03</v>
      </c>
      <c r="R3872" s="508">
        <v>2.8000000000000001E-2</v>
      </c>
      <c r="S3872" s="508">
        <v>2.5000000000000001E-2</v>
      </c>
      <c r="T3872" s="508">
        <v>2.1999999999999999E-2</v>
      </c>
      <c r="U3872" s="508">
        <v>1.2999999999999999E-2</v>
      </c>
      <c r="V3872" s="508">
        <v>1.2E-2</v>
      </c>
      <c r="W3872" s="508">
        <v>1.2E-2</v>
      </c>
      <c r="X3872" s="508">
        <v>8.9999999999999993E-3</v>
      </c>
      <c r="Y3872" s="508">
        <v>8.0000000000000002E-3</v>
      </c>
      <c r="Z3872" s="508">
        <v>6.0000000000000001E-3</v>
      </c>
      <c r="AA3872" s="508">
        <v>6.0000000000000001E-3</v>
      </c>
      <c r="AB3872" s="508">
        <v>5.0000000000000001E-3</v>
      </c>
      <c r="AC3872" s="508">
        <v>4.0000000000000001E-3</v>
      </c>
      <c r="AD3872" s="508">
        <v>4.0000000000000001E-3</v>
      </c>
      <c r="AE3872" s="508">
        <v>5.0000000000000001E-3</v>
      </c>
      <c r="AF3872" s="508">
        <v>3.0000000000000001E-3</v>
      </c>
      <c r="AG3872" s="508">
        <v>3.0000000000000001E-3</v>
      </c>
      <c r="AH3872" s="508">
        <v>3.0000000000000001E-3</v>
      </c>
      <c r="AI3872" s="492">
        <v>3.0000000000000001E-3</v>
      </c>
      <c r="AJ3872" s="485"/>
    </row>
    <row r="3873" spans="2:36">
      <c r="B3873" s="136" t="s">
        <v>461</v>
      </c>
      <c r="C3873" s="132" t="s">
        <v>1367</v>
      </c>
      <c r="D3873" s="132" t="s">
        <v>284</v>
      </c>
      <c r="E3873" s="508">
        <v>8.5000000000000006E-2</v>
      </c>
      <c r="F3873" s="508">
        <v>0.14899999999999999</v>
      </c>
      <c r="G3873" s="508">
        <v>0.12</v>
      </c>
      <c r="H3873" s="508">
        <v>0.107</v>
      </c>
      <c r="I3873" s="508">
        <v>9.7000000000000003E-2</v>
      </c>
      <c r="J3873" s="508">
        <v>8.1000000000000003E-2</v>
      </c>
      <c r="K3873" s="508">
        <v>4.7E-2</v>
      </c>
      <c r="L3873" s="508">
        <v>4.5999999999999999E-2</v>
      </c>
      <c r="M3873" s="508">
        <v>4.5999999999999999E-2</v>
      </c>
      <c r="N3873" s="508">
        <v>5.8999999999999997E-2</v>
      </c>
      <c r="O3873" s="508">
        <v>4.2000000000000003E-2</v>
      </c>
      <c r="P3873" s="508">
        <v>0.03</v>
      </c>
      <c r="Q3873" s="508">
        <v>3.5000000000000003E-2</v>
      </c>
      <c r="R3873" s="508">
        <v>3.2000000000000001E-2</v>
      </c>
      <c r="S3873" s="508">
        <v>2.8000000000000001E-2</v>
      </c>
      <c r="T3873" s="508">
        <v>2.5000000000000001E-2</v>
      </c>
      <c r="U3873" s="508">
        <v>1.6E-2</v>
      </c>
      <c r="V3873" s="508">
        <v>1.4E-2</v>
      </c>
      <c r="W3873" s="508">
        <v>1.4999999999999999E-2</v>
      </c>
      <c r="X3873" s="508">
        <v>0.01</v>
      </c>
      <c r="Y3873" s="508">
        <v>8.9999999999999993E-3</v>
      </c>
      <c r="Z3873" s="508">
        <v>7.0000000000000001E-3</v>
      </c>
      <c r="AA3873" s="508">
        <v>7.0000000000000001E-3</v>
      </c>
      <c r="AB3873" s="508">
        <v>6.0000000000000001E-3</v>
      </c>
      <c r="AC3873" s="508">
        <v>5.0000000000000001E-3</v>
      </c>
      <c r="AD3873" s="508">
        <v>5.0000000000000001E-3</v>
      </c>
      <c r="AE3873" s="508">
        <v>6.0000000000000001E-3</v>
      </c>
      <c r="AF3873" s="508">
        <v>4.0000000000000001E-3</v>
      </c>
      <c r="AG3873" s="508">
        <v>4.0000000000000001E-3</v>
      </c>
      <c r="AH3873" s="508">
        <v>4.0000000000000001E-3</v>
      </c>
      <c r="AI3873" s="492">
        <v>4.0000000000000001E-3</v>
      </c>
      <c r="AJ3873" s="485"/>
    </row>
    <row r="3874" spans="2:36">
      <c r="B3874" s="136" t="s">
        <v>462</v>
      </c>
      <c r="C3874" s="132" t="s">
        <v>1367</v>
      </c>
      <c r="D3874" s="132" t="s">
        <v>284</v>
      </c>
      <c r="E3874" s="508">
        <v>4.1000000000000002E-2</v>
      </c>
      <c r="F3874" s="508">
        <v>7.1999999999999995E-2</v>
      </c>
      <c r="G3874" s="508">
        <v>5.8000000000000003E-2</v>
      </c>
      <c r="H3874" s="508">
        <v>5.2999999999999999E-2</v>
      </c>
      <c r="I3874" s="508">
        <v>4.8000000000000001E-2</v>
      </c>
      <c r="J3874" s="508">
        <v>0.04</v>
      </c>
      <c r="K3874" s="508">
        <v>2.1999999999999999E-2</v>
      </c>
      <c r="L3874" s="508">
        <v>2.1999999999999999E-2</v>
      </c>
      <c r="M3874" s="508">
        <v>2.1999999999999999E-2</v>
      </c>
      <c r="N3874" s="508">
        <v>0.03</v>
      </c>
      <c r="O3874" s="508">
        <v>0.02</v>
      </c>
      <c r="P3874" s="508">
        <v>1.4E-2</v>
      </c>
      <c r="Q3874" s="508">
        <v>1.7000000000000001E-2</v>
      </c>
      <c r="R3874" s="508">
        <v>1.6E-2</v>
      </c>
      <c r="S3874" s="508">
        <v>1.2999999999999999E-2</v>
      </c>
      <c r="T3874" s="508">
        <v>1.2E-2</v>
      </c>
      <c r="U3874" s="508">
        <v>8.0000000000000002E-3</v>
      </c>
      <c r="V3874" s="508">
        <v>8.0000000000000002E-3</v>
      </c>
      <c r="W3874" s="508">
        <v>8.0000000000000002E-3</v>
      </c>
      <c r="X3874" s="508">
        <v>8.0000000000000002E-3</v>
      </c>
      <c r="Y3874" s="508">
        <v>8.0000000000000002E-3</v>
      </c>
      <c r="Z3874" s="508">
        <v>6.0000000000000001E-3</v>
      </c>
      <c r="AA3874" s="508">
        <v>6.0000000000000001E-3</v>
      </c>
      <c r="AB3874" s="508">
        <v>5.0000000000000001E-3</v>
      </c>
      <c r="AC3874" s="508">
        <v>4.0000000000000001E-3</v>
      </c>
      <c r="AD3874" s="508">
        <v>4.0000000000000001E-3</v>
      </c>
      <c r="AE3874" s="508">
        <v>5.0000000000000001E-3</v>
      </c>
      <c r="AF3874" s="508">
        <v>3.0000000000000001E-3</v>
      </c>
      <c r="AG3874" s="508">
        <v>3.0000000000000001E-3</v>
      </c>
      <c r="AH3874" s="508">
        <v>3.0000000000000001E-3</v>
      </c>
      <c r="AI3874" s="492">
        <v>3.0000000000000001E-3</v>
      </c>
      <c r="AJ3874" s="485"/>
    </row>
    <row r="3875" spans="2:36">
      <c r="B3875" s="136" t="s">
        <v>463</v>
      </c>
      <c r="C3875" s="132" t="s">
        <v>1367</v>
      </c>
      <c r="D3875" s="132" t="s">
        <v>284</v>
      </c>
      <c r="E3875" s="508">
        <v>5.7000000000000002E-2</v>
      </c>
      <c r="F3875" s="508">
        <v>0.104</v>
      </c>
      <c r="G3875" s="508">
        <v>8.3000000000000004E-2</v>
      </c>
      <c r="H3875" s="508">
        <v>7.2999999999999995E-2</v>
      </c>
      <c r="I3875" s="508">
        <v>6.6000000000000003E-2</v>
      </c>
      <c r="J3875" s="508">
        <v>5.7000000000000002E-2</v>
      </c>
      <c r="K3875" s="508">
        <v>3.1E-2</v>
      </c>
      <c r="L3875" s="508">
        <v>0.03</v>
      </c>
      <c r="M3875" s="508">
        <v>3.1E-2</v>
      </c>
      <c r="N3875" s="508">
        <v>4.1000000000000002E-2</v>
      </c>
      <c r="O3875" s="508">
        <v>2.9000000000000001E-2</v>
      </c>
      <c r="P3875" s="508">
        <v>2.1000000000000001E-2</v>
      </c>
      <c r="Q3875" s="508">
        <v>2.4E-2</v>
      </c>
      <c r="R3875" s="508">
        <v>2.1999999999999999E-2</v>
      </c>
      <c r="S3875" s="508">
        <v>2.1000000000000001E-2</v>
      </c>
      <c r="T3875" s="508">
        <v>1.7999999999999999E-2</v>
      </c>
      <c r="U3875" s="508">
        <v>1.0999999999999999E-2</v>
      </c>
      <c r="V3875" s="508">
        <v>0.01</v>
      </c>
      <c r="W3875" s="508">
        <v>0.01</v>
      </c>
      <c r="X3875" s="508">
        <v>8.0000000000000002E-3</v>
      </c>
      <c r="Y3875" s="508">
        <v>8.0000000000000002E-3</v>
      </c>
      <c r="Z3875" s="508">
        <v>6.0000000000000001E-3</v>
      </c>
      <c r="AA3875" s="508">
        <v>6.0000000000000001E-3</v>
      </c>
      <c r="AB3875" s="508">
        <v>5.0000000000000001E-3</v>
      </c>
      <c r="AC3875" s="508">
        <v>4.0000000000000001E-3</v>
      </c>
      <c r="AD3875" s="508">
        <v>4.0000000000000001E-3</v>
      </c>
      <c r="AE3875" s="508">
        <v>5.0000000000000001E-3</v>
      </c>
      <c r="AF3875" s="508">
        <v>3.0000000000000001E-3</v>
      </c>
      <c r="AG3875" s="508">
        <v>3.0000000000000001E-3</v>
      </c>
      <c r="AH3875" s="508">
        <v>3.0000000000000001E-3</v>
      </c>
      <c r="AI3875" s="492">
        <v>3.0000000000000001E-3</v>
      </c>
      <c r="AJ3875" s="485"/>
    </row>
    <row r="3876" spans="2:36">
      <c r="B3876" s="136" t="s">
        <v>464</v>
      </c>
      <c r="C3876" s="132" t="s">
        <v>1367</v>
      </c>
      <c r="D3876" s="132" t="s">
        <v>284</v>
      </c>
      <c r="E3876" s="508">
        <v>8.6999999999999994E-2</v>
      </c>
      <c r="F3876" s="508">
        <v>0.152</v>
      </c>
      <c r="G3876" s="508">
        <v>0.122</v>
      </c>
      <c r="H3876" s="508">
        <v>0.11</v>
      </c>
      <c r="I3876" s="508">
        <v>0.1</v>
      </c>
      <c r="J3876" s="508">
        <v>8.4000000000000005E-2</v>
      </c>
      <c r="K3876" s="508">
        <v>4.7E-2</v>
      </c>
      <c r="L3876" s="508">
        <v>4.5999999999999999E-2</v>
      </c>
      <c r="M3876" s="508">
        <v>4.5999999999999999E-2</v>
      </c>
      <c r="N3876" s="508">
        <v>6.2E-2</v>
      </c>
      <c r="O3876" s="508">
        <v>4.2999999999999997E-2</v>
      </c>
      <c r="P3876" s="508">
        <v>0.03</v>
      </c>
      <c r="Q3876" s="508">
        <v>3.5999999999999997E-2</v>
      </c>
      <c r="R3876" s="508">
        <v>3.2000000000000001E-2</v>
      </c>
      <c r="S3876" s="508">
        <v>2.8000000000000001E-2</v>
      </c>
      <c r="T3876" s="508">
        <v>2.5000000000000001E-2</v>
      </c>
      <c r="U3876" s="508">
        <v>1.4E-2</v>
      </c>
      <c r="V3876" s="508">
        <v>1.4E-2</v>
      </c>
      <c r="W3876" s="508">
        <v>1.4E-2</v>
      </c>
      <c r="X3876" s="508">
        <v>0.01</v>
      </c>
      <c r="Y3876" s="508">
        <v>8.9999999999999993E-3</v>
      </c>
      <c r="Z3876" s="508">
        <v>7.0000000000000001E-3</v>
      </c>
      <c r="AA3876" s="508">
        <v>6.0000000000000001E-3</v>
      </c>
      <c r="AB3876" s="508">
        <v>6.0000000000000001E-3</v>
      </c>
      <c r="AC3876" s="508">
        <v>4.0000000000000001E-3</v>
      </c>
      <c r="AD3876" s="508">
        <v>5.0000000000000001E-3</v>
      </c>
      <c r="AE3876" s="508">
        <v>6.0000000000000001E-3</v>
      </c>
      <c r="AF3876" s="508">
        <v>4.0000000000000001E-3</v>
      </c>
      <c r="AG3876" s="508">
        <v>4.0000000000000001E-3</v>
      </c>
      <c r="AH3876" s="508">
        <v>4.0000000000000001E-3</v>
      </c>
      <c r="AI3876" s="492">
        <v>4.0000000000000001E-3</v>
      </c>
      <c r="AJ3876" s="485"/>
    </row>
    <row r="3877" spans="2:36">
      <c r="B3877" s="136" t="s">
        <v>465</v>
      </c>
      <c r="C3877" s="132" t="s">
        <v>1367</v>
      </c>
      <c r="D3877" s="132" t="s">
        <v>284</v>
      </c>
      <c r="E3877" s="508">
        <v>7.0000000000000007E-2</v>
      </c>
      <c r="F3877" s="508">
        <v>0.123</v>
      </c>
      <c r="G3877" s="508">
        <v>9.9000000000000005E-2</v>
      </c>
      <c r="H3877" s="508">
        <v>8.7999999999999995E-2</v>
      </c>
      <c r="I3877" s="508">
        <v>0.08</v>
      </c>
      <c r="J3877" s="508">
        <v>6.7000000000000004E-2</v>
      </c>
      <c r="K3877" s="508">
        <v>3.7999999999999999E-2</v>
      </c>
      <c r="L3877" s="508">
        <v>3.6999999999999998E-2</v>
      </c>
      <c r="M3877" s="508">
        <v>3.7999999999999999E-2</v>
      </c>
      <c r="N3877" s="508">
        <v>4.9000000000000002E-2</v>
      </c>
      <c r="O3877" s="508">
        <v>3.5000000000000003E-2</v>
      </c>
      <c r="P3877" s="508">
        <v>2.5000000000000001E-2</v>
      </c>
      <c r="Q3877" s="508">
        <v>2.9000000000000001E-2</v>
      </c>
      <c r="R3877" s="508">
        <v>2.5999999999999999E-2</v>
      </c>
      <c r="S3877" s="508">
        <v>2.4E-2</v>
      </c>
      <c r="T3877" s="508">
        <v>2.1000000000000001E-2</v>
      </c>
      <c r="U3877" s="508">
        <v>1.2999999999999999E-2</v>
      </c>
      <c r="V3877" s="508">
        <v>1.2E-2</v>
      </c>
      <c r="W3877" s="508">
        <v>1.2E-2</v>
      </c>
      <c r="X3877" s="508">
        <v>8.9999999999999993E-3</v>
      </c>
      <c r="Y3877" s="508">
        <v>8.0000000000000002E-3</v>
      </c>
      <c r="Z3877" s="508">
        <v>7.0000000000000001E-3</v>
      </c>
      <c r="AA3877" s="508">
        <v>6.0000000000000001E-3</v>
      </c>
      <c r="AB3877" s="508">
        <v>6.0000000000000001E-3</v>
      </c>
      <c r="AC3877" s="508">
        <v>4.0000000000000001E-3</v>
      </c>
      <c r="AD3877" s="508">
        <v>5.0000000000000001E-3</v>
      </c>
      <c r="AE3877" s="508">
        <v>6.0000000000000001E-3</v>
      </c>
      <c r="AF3877" s="508">
        <v>3.0000000000000001E-3</v>
      </c>
      <c r="AG3877" s="508">
        <v>3.0000000000000001E-3</v>
      </c>
      <c r="AH3877" s="508">
        <v>3.0000000000000001E-3</v>
      </c>
      <c r="AI3877" s="492">
        <v>4.0000000000000001E-3</v>
      </c>
      <c r="AJ3877" s="485"/>
    </row>
    <row r="3878" spans="2:36">
      <c r="B3878" s="136" t="s">
        <v>466</v>
      </c>
      <c r="C3878" s="132" t="s">
        <v>1367</v>
      </c>
      <c r="D3878" s="132" t="s">
        <v>284</v>
      </c>
      <c r="E3878" s="508">
        <v>4.2999999999999997E-2</v>
      </c>
      <c r="F3878" s="508">
        <v>7.4999999999999997E-2</v>
      </c>
      <c r="G3878" s="508">
        <v>0.06</v>
      </c>
      <c r="H3878" s="508">
        <v>5.3999999999999999E-2</v>
      </c>
      <c r="I3878" s="508">
        <v>4.9000000000000002E-2</v>
      </c>
      <c r="J3878" s="508">
        <v>0.04</v>
      </c>
      <c r="K3878" s="508">
        <v>2.4E-2</v>
      </c>
      <c r="L3878" s="508">
        <v>2.3E-2</v>
      </c>
      <c r="M3878" s="508">
        <v>2.4E-2</v>
      </c>
      <c r="N3878" s="508">
        <v>2.9000000000000001E-2</v>
      </c>
      <c r="O3878" s="508">
        <v>2.1000000000000001E-2</v>
      </c>
      <c r="P3878" s="508">
        <v>1.6E-2</v>
      </c>
      <c r="Q3878" s="508">
        <v>1.7000000000000001E-2</v>
      </c>
      <c r="R3878" s="508">
        <v>1.6E-2</v>
      </c>
      <c r="S3878" s="508">
        <v>1.4999999999999999E-2</v>
      </c>
      <c r="T3878" s="508">
        <v>1.2999999999999999E-2</v>
      </c>
      <c r="U3878" s="508">
        <v>8.0000000000000002E-3</v>
      </c>
      <c r="V3878" s="508">
        <v>7.0000000000000001E-3</v>
      </c>
      <c r="W3878" s="508">
        <v>8.0000000000000002E-3</v>
      </c>
      <c r="X3878" s="508">
        <v>7.0000000000000001E-3</v>
      </c>
      <c r="Y3878" s="508">
        <v>7.0000000000000001E-3</v>
      </c>
      <c r="Z3878" s="508">
        <v>5.0000000000000001E-3</v>
      </c>
      <c r="AA3878" s="508">
        <v>5.0000000000000001E-3</v>
      </c>
      <c r="AB3878" s="508">
        <v>5.0000000000000001E-3</v>
      </c>
      <c r="AC3878" s="508">
        <v>4.0000000000000001E-3</v>
      </c>
      <c r="AD3878" s="508">
        <v>4.0000000000000001E-3</v>
      </c>
      <c r="AE3878" s="508">
        <v>5.0000000000000001E-3</v>
      </c>
      <c r="AF3878" s="508">
        <v>3.0000000000000001E-3</v>
      </c>
      <c r="AG3878" s="508">
        <v>3.0000000000000001E-3</v>
      </c>
      <c r="AH3878" s="508">
        <v>3.0000000000000001E-3</v>
      </c>
      <c r="AI3878" s="492">
        <v>3.0000000000000001E-3</v>
      </c>
      <c r="AJ3878" s="485"/>
    </row>
    <row r="3879" spans="2:36">
      <c r="B3879" s="136" t="s">
        <v>467</v>
      </c>
      <c r="C3879" s="132" t="s">
        <v>1367</v>
      </c>
      <c r="D3879" s="132" t="s">
        <v>284</v>
      </c>
      <c r="E3879" s="508">
        <v>7.9000000000000001E-2</v>
      </c>
      <c r="F3879" s="508">
        <v>0.13700000000000001</v>
      </c>
      <c r="G3879" s="508">
        <v>0.11</v>
      </c>
      <c r="H3879" s="508">
        <v>9.9000000000000005E-2</v>
      </c>
      <c r="I3879" s="508">
        <v>0.09</v>
      </c>
      <c r="J3879" s="508">
        <v>7.3999999999999996E-2</v>
      </c>
      <c r="K3879" s="508">
        <v>4.2999999999999997E-2</v>
      </c>
      <c r="L3879" s="508">
        <v>4.2000000000000003E-2</v>
      </c>
      <c r="M3879" s="508">
        <v>4.2000000000000003E-2</v>
      </c>
      <c r="N3879" s="508">
        <v>5.5E-2</v>
      </c>
      <c r="O3879" s="508">
        <v>3.7999999999999999E-2</v>
      </c>
      <c r="P3879" s="508">
        <v>2.8000000000000001E-2</v>
      </c>
      <c r="Q3879" s="508">
        <v>3.2000000000000001E-2</v>
      </c>
      <c r="R3879" s="508">
        <v>2.9000000000000001E-2</v>
      </c>
      <c r="S3879" s="508">
        <v>2.5999999999999999E-2</v>
      </c>
      <c r="T3879" s="508">
        <v>2.3E-2</v>
      </c>
      <c r="U3879" s="508">
        <v>1.4E-2</v>
      </c>
      <c r="V3879" s="508">
        <v>1.2999999999999999E-2</v>
      </c>
      <c r="W3879" s="508">
        <v>1.2999999999999999E-2</v>
      </c>
      <c r="X3879" s="508">
        <v>8.9999999999999993E-3</v>
      </c>
      <c r="Y3879" s="508">
        <v>8.9999999999999993E-3</v>
      </c>
      <c r="Z3879" s="508">
        <v>7.0000000000000001E-3</v>
      </c>
      <c r="AA3879" s="508">
        <v>6.0000000000000001E-3</v>
      </c>
      <c r="AB3879" s="508">
        <v>6.0000000000000001E-3</v>
      </c>
      <c r="AC3879" s="508">
        <v>4.0000000000000001E-3</v>
      </c>
      <c r="AD3879" s="508">
        <v>5.0000000000000001E-3</v>
      </c>
      <c r="AE3879" s="508">
        <v>6.0000000000000001E-3</v>
      </c>
      <c r="AF3879" s="508">
        <v>3.0000000000000001E-3</v>
      </c>
      <c r="AG3879" s="508">
        <v>3.0000000000000001E-3</v>
      </c>
      <c r="AH3879" s="508">
        <v>3.0000000000000001E-3</v>
      </c>
      <c r="AI3879" s="492">
        <v>4.0000000000000001E-3</v>
      </c>
      <c r="AJ3879" s="485"/>
    </row>
    <row r="3880" spans="2:36">
      <c r="B3880" s="136" t="s">
        <v>468</v>
      </c>
      <c r="C3880" s="132" t="s">
        <v>1367</v>
      </c>
      <c r="D3880" s="132" t="s">
        <v>284</v>
      </c>
      <c r="E3880" s="508">
        <v>6.2E-2</v>
      </c>
      <c r="F3880" s="508">
        <v>0.112</v>
      </c>
      <c r="G3880" s="508">
        <v>0.09</v>
      </c>
      <c r="H3880" s="508">
        <v>7.9000000000000001E-2</v>
      </c>
      <c r="I3880" s="508">
        <v>7.0999999999999994E-2</v>
      </c>
      <c r="J3880" s="508">
        <v>6.2E-2</v>
      </c>
      <c r="K3880" s="508">
        <v>3.4000000000000002E-2</v>
      </c>
      <c r="L3880" s="508">
        <v>3.3000000000000002E-2</v>
      </c>
      <c r="M3880" s="508">
        <v>3.3000000000000002E-2</v>
      </c>
      <c r="N3880" s="508">
        <v>4.3999999999999997E-2</v>
      </c>
      <c r="O3880" s="508">
        <v>3.2000000000000001E-2</v>
      </c>
      <c r="P3880" s="508">
        <v>2.1999999999999999E-2</v>
      </c>
      <c r="Q3880" s="508">
        <v>2.5999999999999999E-2</v>
      </c>
      <c r="R3880" s="508">
        <v>2.4E-2</v>
      </c>
      <c r="S3880" s="508">
        <v>2.1999999999999999E-2</v>
      </c>
      <c r="T3880" s="508">
        <v>0.02</v>
      </c>
      <c r="U3880" s="508">
        <v>1.2E-2</v>
      </c>
      <c r="V3880" s="508">
        <v>0.01</v>
      </c>
      <c r="W3880" s="508">
        <v>1.0999999999999999E-2</v>
      </c>
      <c r="X3880" s="508">
        <v>8.0000000000000002E-3</v>
      </c>
      <c r="Y3880" s="508">
        <v>8.0000000000000002E-3</v>
      </c>
      <c r="Z3880" s="508">
        <v>6.0000000000000001E-3</v>
      </c>
      <c r="AA3880" s="508">
        <v>6.0000000000000001E-3</v>
      </c>
      <c r="AB3880" s="508">
        <v>5.0000000000000001E-3</v>
      </c>
      <c r="AC3880" s="508">
        <v>4.0000000000000001E-3</v>
      </c>
      <c r="AD3880" s="508">
        <v>4.0000000000000001E-3</v>
      </c>
      <c r="AE3880" s="508">
        <v>5.0000000000000001E-3</v>
      </c>
      <c r="AF3880" s="508">
        <v>3.0000000000000001E-3</v>
      </c>
      <c r="AG3880" s="508">
        <v>3.0000000000000001E-3</v>
      </c>
      <c r="AH3880" s="508">
        <v>3.0000000000000001E-3</v>
      </c>
      <c r="AI3880" s="492">
        <v>3.0000000000000001E-3</v>
      </c>
      <c r="AJ3880" s="485"/>
    </row>
    <row r="3881" spans="2:36">
      <c r="B3881" s="136" t="s">
        <v>469</v>
      </c>
      <c r="C3881" s="132" t="s">
        <v>1367</v>
      </c>
      <c r="D3881" s="132" t="s">
        <v>284</v>
      </c>
      <c r="E3881" s="508">
        <v>5.3999999999999999E-2</v>
      </c>
      <c r="F3881" s="508">
        <v>9.6000000000000002E-2</v>
      </c>
      <c r="G3881" s="508">
        <v>7.6999999999999999E-2</v>
      </c>
      <c r="H3881" s="508">
        <v>6.9000000000000006E-2</v>
      </c>
      <c r="I3881" s="508">
        <v>6.2E-2</v>
      </c>
      <c r="J3881" s="508">
        <v>5.1999999999999998E-2</v>
      </c>
      <c r="K3881" s="508">
        <v>2.9000000000000001E-2</v>
      </c>
      <c r="L3881" s="508">
        <v>2.9000000000000001E-2</v>
      </c>
      <c r="M3881" s="508">
        <v>2.9000000000000001E-2</v>
      </c>
      <c r="N3881" s="508">
        <v>3.7999999999999999E-2</v>
      </c>
      <c r="O3881" s="508">
        <v>2.7E-2</v>
      </c>
      <c r="P3881" s="508">
        <v>1.9E-2</v>
      </c>
      <c r="Q3881" s="508">
        <v>2.3E-2</v>
      </c>
      <c r="R3881" s="508">
        <v>2.1000000000000001E-2</v>
      </c>
      <c r="S3881" s="508">
        <v>1.7999999999999999E-2</v>
      </c>
      <c r="T3881" s="508">
        <v>1.6E-2</v>
      </c>
      <c r="U3881" s="508">
        <v>0.01</v>
      </c>
      <c r="V3881" s="508">
        <v>8.9999999999999993E-3</v>
      </c>
      <c r="W3881" s="508">
        <v>8.9999999999999993E-3</v>
      </c>
      <c r="X3881" s="508">
        <v>8.0000000000000002E-3</v>
      </c>
      <c r="Y3881" s="508">
        <v>8.0000000000000002E-3</v>
      </c>
      <c r="Z3881" s="508">
        <v>6.0000000000000001E-3</v>
      </c>
      <c r="AA3881" s="508">
        <v>6.0000000000000001E-3</v>
      </c>
      <c r="AB3881" s="508">
        <v>5.0000000000000001E-3</v>
      </c>
      <c r="AC3881" s="508">
        <v>4.0000000000000001E-3</v>
      </c>
      <c r="AD3881" s="508">
        <v>4.0000000000000001E-3</v>
      </c>
      <c r="AE3881" s="508">
        <v>5.0000000000000001E-3</v>
      </c>
      <c r="AF3881" s="508">
        <v>3.0000000000000001E-3</v>
      </c>
      <c r="AG3881" s="508">
        <v>3.0000000000000001E-3</v>
      </c>
      <c r="AH3881" s="508">
        <v>3.0000000000000001E-3</v>
      </c>
      <c r="AI3881" s="492">
        <v>3.0000000000000001E-3</v>
      </c>
      <c r="AJ3881" s="485"/>
    </row>
    <row r="3882" spans="2:36">
      <c r="B3882" s="136" t="s">
        <v>470</v>
      </c>
      <c r="C3882" s="132" t="s">
        <v>1367</v>
      </c>
      <c r="D3882" s="132" t="s">
        <v>284</v>
      </c>
      <c r="E3882" s="508">
        <v>6.8000000000000005E-2</v>
      </c>
      <c r="F3882" s="508">
        <v>0.12</v>
      </c>
      <c r="G3882" s="508">
        <v>9.6000000000000002E-2</v>
      </c>
      <c r="H3882" s="508">
        <v>8.5000000000000006E-2</v>
      </c>
      <c r="I3882" s="508">
        <v>7.6999999999999999E-2</v>
      </c>
      <c r="J3882" s="508">
        <v>6.4000000000000001E-2</v>
      </c>
      <c r="K3882" s="508">
        <v>3.7999999999999999E-2</v>
      </c>
      <c r="L3882" s="508">
        <v>3.6999999999999998E-2</v>
      </c>
      <c r="M3882" s="508">
        <v>3.6999999999999998E-2</v>
      </c>
      <c r="N3882" s="508">
        <v>4.5999999999999999E-2</v>
      </c>
      <c r="O3882" s="508">
        <v>3.3000000000000002E-2</v>
      </c>
      <c r="P3882" s="508">
        <v>2.5000000000000001E-2</v>
      </c>
      <c r="Q3882" s="508">
        <v>2.8000000000000001E-2</v>
      </c>
      <c r="R3882" s="508">
        <v>2.5999999999999999E-2</v>
      </c>
      <c r="S3882" s="508">
        <v>2.4E-2</v>
      </c>
      <c r="T3882" s="508">
        <v>0.02</v>
      </c>
      <c r="U3882" s="508">
        <v>1.2999999999999999E-2</v>
      </c>
      <c r="V3882" s="508">
        <v>1.2E-2</v>
      </c>
      <c r="W3882" s="508">
        <v>1.2E-2</v>
      </c>
      <c r="X3882" s="508">
        <v>8.9999999999999993E-3</v>
      </c>
      <c r="Y3882" s="508">
        <v>8.0000000000000002E-3</v>
      </c>
      <c r="Z3882" s="508">
        <v>7.0000000000000001E-3</v>
      </c>
      <c r="AA3882" s="508">
        <v>6.0000000000000001E-3</v>
      </c>
      <c r="AB3882" s="508">
        <v>6.0000000000000001E-3</v>
      </c>
      <c r="AC3882" s="508">
        <v>4.0000000000000001E-3</v>
      </c>
      <c r="AD3882" s="508">
        <v>4.0000000000000001E-3</v>
      </c>
      <c r="AE3882" s="508">
        <v>6.0000000000000001E-3</v>
      </c>
      <c r="AF3882" s="508">
        <v>3.0000000000000001E-3</v>
      </c>
      <c r="AG3882" s="508">
        <v>3.0000000000000001E-3</v>
      </c>
      <c r="AH3882" s="508">
        <v>3.0000000000000001E-3</v>
      </c>
      <c r="AI3882" s="492">
        <v>3.0000000000000001E-3</v>
      </c>
      <c r="AJ3882" s="485"/>
    </row>
    <row r="3883" spans="2:36">
      <c r="B3883" s="136" t="s">
        <v>471</v>
      </c>
      <c r="C3883" s="132" t="s">
        <v>1367</v>
      </c>
      <c r="D3883" s="132" t="s">
        <v>284</v>
      </c>
      <c r="E3883" s="508">
        <v>4.8000000000000001E-2</v>
      </c>
      <c r="F3883" s="508">
        <v>8.4000000000000005E-2</v>
      </c>
      <c r="G3883" s="508">
        <v>6.7000000000000004E-2</v>
      </c>
      <c r="H3883" s="508">
        <v>6.0999999999999999E-2</v>
      </c>
      <c r="I3883" s="508">
        <v>5.5E-2</v>
      </c>
      <c r="J3883" s="508">
        <v>4.5999999999999999E-2</v>
      </c>
      <c r="K3883" s="508">
        <v>2.5999999999999999E-2</v>
      </c>
      <c r="L3883" s="508">
        <v>2.5999999999999999E-2</v>
      </c>
      <c r="M3883" s="508">
        <v>2.5999999999999999E-2</v>
      </c>
      <c r="N3883" s="508">
        <v>3.3000000000000002E-2</v>
      </c>
      <c r="O3883" s="508">
        <v>2.3E-2</v>
      </c>
      <c r="P3883" s="508">
        <v>1.7000000000000001E-2</v>
      </c>
      <c r="Q3883" s="508">
        <v>0.02</v>
      </c>
      <c r="R3883" s="508">
        <v>1.7999999999999999E-2</v>
      </c>
      <c r="S3883" s="508">
        <v>1.6E-2</v>
      </c>
      <c r="T3883" s="508">
        <v>1.4E-2</v>
      </c>
      <c r="U3883" s="508">
        <v>0.01</v>
      </c>
      <c r="V3883" s="508">
        <v>8.9999999999999993E-3</v>
      </c>
      <c r="W3883" s="508">
        <v>8.9999999999999993E-3</v>
      </c>
      <c r="X3883" s="508">
        <v>8.0000000000000002E-3</v>
      </c>
      <c r="Y3883" s="508">
        <v>8.0000000000000002E-3</v>
      </c>
      <c r="Z3883" s="508">
        <v>6.0000000000000001E-3</v>
      </c>
      <c r="AA3883" s="508">
        <v>6.0000000000000001E-3</v>
      </c>
      <c r="AB3883" s="508">
        <v>5.0000000000000001E-3</v>
      </c>
      <c r="AC3883" s="508">
        <v>4.0000000000000001E-3</v>
      </c>
      <c r="AD3883" s="508">
        <v>4.0000000000000001E-3</v>
      </c>
      <c r="AE3883" s="508">
        <v>5.0000000000000001E-3</v>
      </c>
      <c r="AF3883" s="508">
        <v>3.0000000000000001E-3</v>
      </c>
      <c r="AG3883" s="508">
        <v>3.0000000000000001E-3</v>
      </c>
      <c r="AH3883" s="508">
        <v>3.0000000000000001E-3</v>
      </c>
      <c r="AI3883" s="492">
        <v>3.0000000000000001E-3</v>
      </c>
      <c r="AJ3883" s="485"/>
    </row>
    <row r="3884" spans="2:36">
      <c r="B3884" s="136" t="s">
        <v>472</v>
      </c>
      <c r="C3884" s="132" t="s">
        <v>1367</v>
      </c>
      <c r="D3884" s="132" t="s">
        <v>284</v>
      </c>
      <c r="E3884" s="508">
        <v>0.1</v>
      </c>
      <c r="F3884" s="508">
        <v>0.17399999999999999</v>
      </c>
      <c r="G3884" s="508">
        <v>0.14000000000000001</v>
      </c>
      <c r="H3884" s="508">
        <v>0.126</v>
      </c>
      <c r="I3884" s="508">
        <v>0.114</v>
      </c>
      <c r="J3884" s="508">
        <v>9.6000000000000002E-2</v>
      </c>
      <c r="K3884" s="508">
        <v>5.3999999999999999E-2</v>
      </c>
      <c r="L3884" s="508">
        <v>5.1999999999999998E-2</v>
      </c>
      <c r="M3884" s="508">
        <v>5.2999999999999999E-2</v>
      </c>
      <c r="N3884" s="508">
        <v>7.0999999999999994E-2</v>
      </c>
      <c r="O3884" s="508">
        <v>4.9000000000000002E-2</v>
      </c>
      <c r="P3884" s="508">
        <v>3.4000000000000002E-2</v>
      </c>
      <c r="Q3884" s="508">
        <v>4.1000000000000002E-2</v>
      </c>
      <c r="R3884" s="508">
        <v>3.6999999999999998E-2</v>
      </c>
      <c r="S3884" s="508">
        <v>3.2000000000000001E-2</v>
      </c>
      <c r="T3884" s="508">
        <v>2.8000000000000001E-2</v>
      </c>
      <c r="U3884" s="508">
        <v>1.7000000000000001E-2</v>
      </c>
      <c r="V3884" s="508">
        <v>1.7000000000000001E-2</v>
      </c>
      <c r="W3884" s="508">
        <v>1.6E-2</v>
      </c>
      <c r="X3884" s="508">
        <v>1.0999999999999999E-2</v>
      </c>
      <c r="Y3884" s="508">
        <v>0.01</v>
      </c>
      <c r="Z3884" s="508">
        <v>8.0000000000000002E-3</v>
      </c>
      <c r="AA3884" s="508">
        <v>7.0000000000000001E-3</v>
      </c>
      <c r="AB3884" s="508">
        <v>7.0000000000000001E-3</v>
      </c>
      <c r="AC3884" s="508">
        <v>5.0000000000000001E-3</v>
      </c>
      <c r="AD3884" s="508">
        <v>5.0000000000000001E-3</v>
      </c>
      <c r="AE3884" s="508">
        <v>7.0000000000000001E-3</v>
      </c>
      <c r="AF3884" s="508">
        <v>4.0000000000000001E-3</v>
      </c>
      <c r="AG3884" s="508">
        <v>4.0000000000000001E-3</v>
      </c>
      <c r="AH3884" s="508">
        <v>4.0000000000000001E-3</v>
      </c>
      <c r="AI3884" s="492">
        <v>4.0000000000000001E-3</v>
      </c>
      <c r="AJ3884" s="485"/>
    </row>
    <row r="3885" spans="2:36">
      <c r="B3885" s="136" t="s">
        <v>473</v>
      </c>
      <c r="C3885" s="132" t="s">
        <v>1367</v>
      </c>
      <c r="D3885" s="132" t="s">
        <v>284</v>
      </c>
      <c r="E3885" s="508">
        <v>6.5000000000000002E-2</v>
      </c>
      <c r="F3885" s="508">
        <v>0.113</v>
      </c>
      <c r="G3885" s="508">
        <v>9.0999999999999998E-2</v>
      </c>
      <c r="H3885" s="508">
        <v>8.2000000000000003E-2</v>
      </c>
      <c r="I3885" s="508">
        <v>7.3999999999999996E-2</v>
      </c>
      <c r="J3885" s="508">
        <v>0.06</v>
      </c>
      <c r="K3885" s="508">
        <v>3.5999999999999997E-2</v>
      </c>
      <c r="L3885" s="508">
        <v>3.5000000000000003E-2</v>
      </c>
      <c r="M3885" s="508">
        <v>3.5999999999999997E-2</v>
      </c>
      <c r="N3885" s="508">
        <v>4.3999999999999997E-2</v>
      </c>
      <c r="O3885" s="508">
        <v>3.2000000000000001E-2</v>
      </c>
      <c r="P3885" s="508">
        <v>2.3E-2</v>
      </c>
      <c r="Q3885" s="508">
        <v>2.5999999999999999E-2</v>
      </c>
      <c r="R3885" s="508">
        <v>2.4E-2</v>
      </c>
      <c r="S3885" s="508">
        <v>2.1999999999999999E-2</v>
      </c>
      <c r="T3885" s="508">
        <v>1.9E-2</v>
      </c>
      <c r="U3885" s="508">
        <v>1.0999999999999999E-2</v>
      </c>
      <c r="V3885" s="508">
        <v>0.01</v>
      </c>
      <c r="W3885" s="508">
        <v>0.01</v>
      </c>
      <c r="X3885" s="508">
        <v>8.0000000000000002E-3</v>
      </c>
      <c r="Y3885" s="508">
        <v>7.0000000000000001E-3</v>
      </c>
      <c r="Z3885" s="508">
        <v>6.0000000000000001E-3</v>
      </c>
      <c r="AA3885" s="508">
        <v>5.0000000000000001E-3</v>
      </c>
      <c r="AB3885" s="508">
        <v>5.0000000000000001E-3</v>
      </c>
      <c r="AC3885" s="508">
        <v>4.0000000000000001E-3</v>
      </c>
      <c r="AD3885" s="508">
        <v>4.0000000000000001E-3</v>
      </c>
      <c r="AE3885" s="508">
        <v>5.0000000000000001E-3</v>
      </c>
      <c r="AF3885" s="508">
        <v>3.0000000000000001E-3</v>
      </c>
      <c r="AG3885" s="508">
        <v>3.0000000000000001E-3</v>
      </c>
      <c r="AH3885" s="508">
        <v>3.0000000000000001E-3</v>
      </c>
      <c r="AI3885" s="492">
        <v>3.0000000000000001E-3</v>
      </c>
      <c r="AJ3885" s="485"/>
    </row>
    <row r="3886" spans="2:36">
      <c r="B3886" s="136" t="s">
        <v>474</v>
      </c>
      <c r="C3886" s="132" t="s">
        <v>1367</v>
      </c>
      <c r="D3886" s="132" t="s">
        <v>284</v>
      </c>
      <c r="E3886" s="508">
        <v>4.7E-2</v>
      </c>
      <c r="F3886" s="508">
        <v>8.2000000000000003E-2</v>
      </c>
      <c r="G3886" s="508">
        <v>6.6000000000000003E-2</v>
      </c>
      <c r="H3886" s="508">
        <v>5.8999999999999997E-2</v>
      </c>
      <c r="I3886" s="508">
        <v>5.3999999999999999E-2</v>
      </c>
      <c r="J3886" s="508">
        <v>4.4999999999999998E-2</v>
      </c>
      <c r="K3886" s="508">
        <v>2.5999999999999999E-2</v>
      </c>
      <c r="L3886" s="508">
        <v>2.5000000000000001E-2</v>
      </c>
      <c r="M3886" s="508">
        <v>2.5000000000000001E-2</v>
      </c>
      <c r="N3886" s="508">
        <v>3.3000000000000002E-2</v>
      </c>
      <c r="O3886" s="508">
        <v>2.3E-2</v>
      </c>
      <c r="P3886" s="508">
        <v>1.7000000000000001E-2</v>
      </c>
      <c r="Q3886" s="508">
        <v>1.9E-2</v>
      </c>
      <c r="R3886" s="508">
        <v>1.7999999999999999E-2</v>
      </c>
      <c r="S3886" s="508">
        <v>1.6E-2</v>
      </c>
      <c r="T3886" s="508">
        <v>1.4E-2</v>
      </c>
      <c r="U3886" s="508">
        <v>8.9999999999999993E-3</v>
      </c>
      <c r="V3886" s="508">
        <v>8.0000000000000002E-3</v>
      </c>
      <c r="W3886" s="508">
        <v>8.0000000000000002E-3</v>
      </c>
      <c r="X3886" s="508">
        <v>8.0000000000000002E-3</v>
      </c>
      <c r="Y3886" s="508">
        <v>7.0000000000000001E-3</v>
      </c>
      <c r="Z3886" s="508">
        <v>6.0000000000000001E-3</v>
      </c>
      <c r="AA3886" s="508">
        <v>5.0000000000000001E-3</v>
      </c>
      <c r="AB3886" s="508">
        <v>5.0000000000000001E-3</v>
      </c>
      <c r="AC3886" s="508">
        <v>4.0000000000000001E-3</v>
      </c>
      <c r="AD3886" s="508">
        <v>4.0000000000000001E-3</v>
      </c>
      <c r="AE3886" s="508">
        <v>5.0000000000000001E-3</v>
      </c>
      <c r="AF3886" s="508">
        <v>3.0000000000000001E-3</v>
      </c>
      <c r="AG3886" s="508">
        <v>3.0000000000000001E-3</v>
      </c>
      <c r="AH3886" s="508">
        <v>3.0000000000000001E-3</v>
      </c>
      <c r="AI3886" s="492">
        <v>3.0000000000000001E-3</v>
      </c>
      <c r="AJ3886" s="485"/>
    </row>
    <row r="3887" spans="2:36">
      <c r="B3887" s="136" t="s">
        <v>475</v>
      </c>
      <c r="C3887" s="132" t="s">
        <v>1367</v>
      </c>
      <c r="D3887" s="132" t="s">
        <v>284</v>
      </c>
      <c r="E3887" s="508">
        <v>6.6000000000000003E-2</v>
      </c>
      <c r="F3887" s="508">
        <v>0.11600000000000001</v>
      </c>
      <c r="G3887" s="508">
        <v>9.2999999999999999E-2</v>
      </c>
      <c r="H3887" s="508">
        <v>8.4000000000000005E-2</v>
      </c>
      <c r="I3887" s="508">
        <v>7.5999999999999998E-2</v>
      </c>
      <c r="J3887" s="508">
        <v>6.3E-2</v>
      </c>
      <c r="K3887" s="508">
        <v>3.5999999999999997E-2</v>
      </c>
      <c r="L3887" s="508">
        <v>3.5000000000000003E-2</v>
      </c>
      <c r="M3887" s="508">
        <v>3.5999999999999997E-2</v>
      </c>
      <c r="N3887" s="508">
        <v>4.5999999999999999E-2</v>
      </c>
      <c r="O3887" s="508">
        <v>3.3000000000000002E-2</v>
      </c>
      <c r="P3887" s="508">
        <v>2.3E-2</v>
      </c>
      <c r="Q3887" s="508">
        <v>2.7E-2</v>
      </c>
      <c r="R3887" s="508">
        <v>2.5000000000000001E-2</v>
      </c>
      <c r="S3887" s="508">
        <v>2.1999999999999999E-2</v>
      </c>
      <c r="T3887" s="508">
        <v>1.9E-2</v>
      </c>
      <c r="U3887" s="508">
        <v>1.2E-2</v>
      </c>
      <c r="V3887" s="508">
        <v>1.0999999999999999E-2</v>
      </c>
      <c r="W3887" s="508">
        <v>1.0999999999999999E-2</v>
      </c>
      <c r="X3887" s="508">
        <v>8.0000000000000002E-3</v>
      </c>
      <c r="Y3887" s="508">
        <v>8.0000000000000002E-3</v>
      </c>
      <c r="Z3887" s="508">
        <v>6.0000000000000001E-3</v>
      </c>
      <c r="AA3887" s="508">
        <v>6.0000000000000001E-3</v>
      </c>
      <c r="AB3887" s="508">
        <v>5.0000000000000001E-3</v>
      </c>
      <c r="AC3887" s="508">
        <v>4.0000000000000001E-3</v>
      </c>
      <c r="AD3887" s="508">
        <v>4.0000000000000001E-3</v>
      </c>
      <c r="AE3887" s="508">
        <v>5.0000000000000001E-3</v>
      </c>
      <c r="AF3887" s="508">
        <v>3.0000000000000001E-3</v>
      </c>
      <c r="AG3887" s="508">
        <v>3.0000000000000001E-3</v>
      </c>
      <c r="AH3887" s="508">
        <v>3.0000000000000001E-3</v>
      </c>
      <c r="AI3887" s="492">
        <v>3.0000000000000001E-3</v>
      </c>
      <c r="AJ3887" s="485"/>
    </row>
    <row r="3888" spans="2:36">
      <c r="B3888" s="136" t="s">
        <v>476</v>
      </c>
      <c r="C3888" s="132" t="s">
        <v>1367</v>
      </c>
      <c r="D3888" s="132" t="s">
        <v>284</v>
      </c>
      <c r="E3888" s="508">
        <v>6.6000000000000003E-2</v>
      </c>
      <c r="F3888" s="508">
        <v>0.115</v>
      </c>
      <c r="G3888" s="508">
        <v>9.1999999999999998E-2</v>
      </c>
      <c r="H3888" s="508">
        <v>8.2000000000000003E-2</v>
      </c>
      <c r="I3888" s="508">
        <v>7.3999999999999996E-2</v>
      </c>
      <c r="J3888" s="508">
        <v>6.0999999999999999E-2</v>
      </c>
      <c r="K3888" s="508">
        <v>3.5999999999999997E-2</v>
      </c>
      <c r="L3888" s="508">
        <v>3.5000000000000003E-2</v>
      </c>
      <c r="M3888" s="508">
        <v>3.5999999999999997E-2</v>
      </c>
      <c r="N3888" s="508">
        <v>4.3999999999999997E-2</v>
      </c>
      <c r="O3888" s="508">
        <v>3.2000000000000001E-2</v>
      </c>
      <c r="P3888" s="508">
        <v>2.4E-2</v>
      </c>
      <c r="Q3888" s="508">
        <v>2.7E-2</v>
      </c>
      <c r="R3888" s="508">
        <v>2.5000000000000001E-2</v>
      </c>
      <c r="S3888" s="508">
        <v>2.1999999999999999E-2</v>
      </c>
      <c r="T3888" s="508">
        <v>1.9E-2</v>
      </c>
      <c r="U3888" s="508">
        <v>1.2E-2</v>
      </c>
      <c r="V3888" s="508">
        <v>1.0999999999999999E-2</v>
      </c>
      <c r="W3888" s="508">
        <v>1.0999999999999999E-2</v>
      </c>
      <c r="X3888" s="508">
        <v>8.9999999999999993E-3</v>
      </c>
      <c r="Y3888" s="508">
        <v>8.0000000000000002E-3</v>
      </c>
      <c r="Z3888" s="508">
        <v>7.0000000000000001E-3</v>
      </c>
      <c r="AA3888" s="508">
        <v>6.0000000000000001E-3</v>
      </c>
      <c r="AB3888" s="508">
        <v>6.0000000000000001E-3</v>
      </c>
      <c r="AC3888" s="508">
        <v>4.0000000000000001E-3</v>
      </c>
      <c r="AD3888" s="508">
        <v>4.0000000000000001E-3</v>
      </c>
      <c r="AE3888" s="508">
        <v>6.0000000000000001E-3</v>
      </c>
      <c r="AF3888" s="508">
        <v>3.0000000000000001E-3</v>
      </c>
      <c r="AG3888" s="508">
        <v>3.0000000000000001E-3</v>
      </c>
      <c r="AH3888" s="508">
        <v>3.0000000000000001E-3</v>
      </c>
      <c r="AI3888" s="492">
        <v>3.0000000000000001E-3</v>
      </c>
      <c r="AJ3888" s="485"/>
    </row>
    <row r="3889" spans="2:36">
      <c r="B3889" s="136" t="s">
        <v>478</v>
      </c>
      <c r="C3889" s="132" t="s">
        <v>1367</v>
      </c>
      <c r="D3889" s="132" t="s">
        <v>284</v>
      </c>
      <c r="E3889" s="508">
        <v>6.7000000000000004E-2</v>
      </c>
      <c r="F3889" s="508">
        <v>0.12</v>
      </c>
      <c r="G3889" s="508">
        <v>9.6000000000000002E-2</v>
      </c>
      <c r="H3889" s="508">
        <v>8.4000000000000005E-2</v>
      </c>
      <c r="I3889" s="508">
        <v>7.5999999999999998E-2</v>
      </c>
      <c r="J3889" s="508">
        <v>6.3E-2</v>
      </c>
      <c r="K3889" s="508">
        <v>3.7999999999999999E-2</v>
      </c>
      <c r="L3889" s="508">
        <v>3.6999999999999998E-2</v>
      </c>
      <c r="M3889" s="508">
        <v>3.6999999999999998E-2</v>
      </c>
      <c r="N3889" s="508">
        <v>4.3999999999999997E-2</v>
      </c>
      <c r="O3889" s="508">
        <v>3.3000000000000002E-2</v>
      </c>
      <c r="P3889" s="508">
        <v>2.5000000000000001E-2</v>
      </c>
      <c r="Q3889" s="508">
        <v>2.7E-2</v>
      </c>
      <c r="R3889" s="508">
        <v>2.5000000000000001E-2</v>
      </c>
      <c r="S3889" s="508">
        <v>2.4E-2</v>
      </c>
      <c r="T3889" s="508">
        <v>0.02</v>
      </c>
      <c r="U3889" s="508">
        <v>1.2999999999999999E-2</v>
      </c>
      <c r="V3889" s="508">
        <v>1.0999999999999999E-2</v>
      </c>
      <c r="W3889" s="508">
        <v>1.2E-2</v>
      </c>
      <c r="X3889" s="508">
        <v>8.0000000000000002E-3</v>
      </c>
      <c r="Y3889" s="508">
        <v>8.0000000000000002E-3</v>
      </c>
      <c r="Z3889" s="508">
        <v>6.0000000000000001E-3</v>
      </c>
      <c r="AA3889" s="508">
        <v>6.0000000000000001E-3</v>
      </c>
      <c r="AB3889" s="508">
        <v>5.0000000000000001E-3</v>
      </c>
      <c r="AC3889" s="508">
        <v>4.0000000000000001E-3</v>
      </c>
      <c r="AD3889" s="508">
        <v>4.0000000000000001E-3</v>
      </c>
      <c r="AE3889" s="508">
        <v>5.0000000000000001E-3</v>
      </c>
      <c r="AF3889" s="508">
        <v>3.0000000000000001E-3</v>
      </c>
      <c r="AG3889" s="508">
        <v>3.0000000000000001E-3</v>
      </c>
      <c r="AH3889" s="508">
        <v>3.0000000000000001E-3</v>
      </c>
      <c r="AI3889" s="492">
        <v>3.0000000000000001E-3</v>
      </c>
      <c r="AJ3889" s="485"/>
    </row>
    <row r="3890" spans="2:36">
      <c r="B3890" s="136" t="s">
        <v>479</v>
      </c>
      <c r="C3890" s="132" t="s">
        <v>1367</v>
      </c>
      <c r="D3890" s="132" t="s">
        <v>284</v>
      </c>
      <c r="E3890" s="508">
        <v>4.3999999999999997E-2</v>
      </c>
      <c r="F3890" s="508">
        <v>7.6999999999999999E-2</v>
      </c>
      <c r="G3890" s="508">
        <v>6.2E-2</v>
      </c>
      <c r="H3890" s="508">
        <v>5.5E-2</v>
      </c>
      <c r="I3890" s="508">
        <v>0.05</v>
      </c>
      <c r="J3890" s="508">
        <v>4.2000000000000003E-2</v>
      </c>
      <c r="K3890" s="508">
        <v>2.4E-2</v>
      </c>
      <c r="L3890" s="508">
        <v>2.3E-2</v>
      </c>
      <c r="M3890" s="508">
        <v>2.3E-2</v>
      </c>
      <c r="N3890" s="508">
        <v>0.03</v>
      </c>
      <c r="O3890" s="508">
        <v>2.1999999999999999E-2</v>
      </c>
      <c r="P3890" s="508">
        <v>1.6E-2</v>
      </c>
      <c r="Q3890" s="508">
        <v>1.7999999999999999E-2</v>
      </c>
      <c r="R3890" s="508">
        <v>1.7000000000000001E-2</v>
      </c>
      <c r="S3890" s="508">
        <v>1.4999999999999999E-2</v>
      </c>
      <c r="T3890" s="508">
        <v>1.2999999999999999E-2</v>
      </c>
      <c r="U3890" s="508">
        <v>8.9999999999999993E-3</v>
      </c>
      <c r="V3890" s="508">
        <v>8.0000000000000002E-3</v>
      </c>
      <c r="W3890" s="508">
        <v>8.0000000000000002E-3</v>
      </c>
      <c r="X3890" s="508">
        <v>8.0000000000000002E-3</v>
      </c>
      <c r="Y3890" s="508">
        <v>8.0000000000000002E-3</v>
      </c>
      <c r="Z3890" s="508">
        <v>6.0000000000000001E-3</v>
      </c>
      <c r="AA3890" s="508">
        <v>6.0000000000000001E-3</v>
      </c>
      <c r="AB3890" s="508">
        <v>5.0000000000000001E-3</v>
      </c>
      <c r="AC3890" s="508">
        <v>4.0000000000000001E-3</v>
      </c>
      <c r="AD3890" s="508">
        <v>4.0000000000000001E-3</v>
      </c>
      <c r="AE3890" s="508">
        <v>5.0000000000000001E-3</v>
      </c>
      <c r="AF3890" s="508">
        <v>3.0000000000000001E-3</v>
      </c>
      <c r="AG3890" s="508">
        <v>3.0000000000000001E-3</v>
      </c>
      <c r="AH3890" s="508">
        <v>3.0000000000000001E-3</v>
      </c>
      <c r="AI3890" s="492">
        <v>3.0000000000000001E-3</v>
      </c>
      <c r="AJ3890" s="485"/>
    </row>
    <row r="3891" spans="2:36">
      <c r="B3891" s="136" t="s">
        <v>480</v>
      </c>
      <c r="C3891" s="132" t="s">
        <v>1367</v>
      </c>
      <c r="D3891" s="132" t="s">
        <v>284</v>
      </c>
      <c r="E3891" s="508">
        <v>8.3000000000000004E-2</v>
      </c>
      <c r="F3891" s="508">
        <v>0.14699999999999999</v>
      </c>
      <c r="G3891" s="508">
        <v>0.11799999999999999</v>
      </c>
      <c r="H3891" s="508">
        <v>0.104</v>
      </c>
      <c r="I3891" s="508">
        <v>9.5000000000000001E-2</v>
      </c>
      <c r="J3891" s="508">
        <v>8.1000000000000003E-2</v>
      </c>
      <c r="K3891" s="508">
        <v>4.4999999999999998E-2</v>
      </c>
      <c r="L3891" s="508">
        <v>4.2999999999999997E-2</v>
      </c>
      <c r="M3891" s="508">
        <v>4.3999999999999997E-2</v>
      </c>
      <c r="N3891" s="508">
        <v>5.8999999999999997E-2</v>
      </c>
      <c r="O3891" s="508">
        <v>4.1000000000000002E-2</v>
      </c>
      <c r="P3891" s="508">
        <v>2.9000000000000001E-2</v>
      </c>
      <c r="Q3891" s="508">
        <v>3.4000000000000002E-2</v>
      </c>
      <c r="R3891" s="508">
        <v>3.1E-2</v>
      </c>
      <c r="S3891" s="508">
        <v>2.8000000000000001E-2</v>
      </c>
      <c r="T3891" s="508">
        <v>2.5000000000000001E-2</v>
      </c>
      <c r="U3891" s="508">
        <v>1.4999999999999999E-2</v>
      </c>
      <c r="V3891" s="508">
        <v>1.4E-2</v>
      </c>
      <c r="W3891" s="508">
        <v>1.4E-2</v>
      </c>
      <c r="X3891" s="508">
        <v>0.01</v>
      </c>
      <c r="Y3891" s="508">
        <v>8.9999999999999993E-3</v>
      </c>
      <c r="Z3891" s="508">
        <v>7.0000000000000001E-3</v>
      </c>
      <c r="AA3891" s="508">
        <v>7.0000000000000001E-3</v>
      </c>
      <c r="AB3891" s="508">
        <v>6.0000000000000001E-3</v>
      </c>
      <c r="AC3891" s="508">
        <v>5.0000000000000001E-3</v>
      </c>
      <c r="AD3891" s="508">
        <v>5.0000000000000001E-3</v>
      </c>
      <c r="AE3891" s="508">
        <v>6.0000000000000001E-3</v>
      </c>
      <c r="AF3891" s="508">
        <v>4.0000000000000001E-3</v>
      </c>
      <c r="AG3891" s="508">
        <v>4.0000000000000001E-3</v>
      </c>
      <c r="AH3891" s="508">
        <v>4.0000000000000001E-3</v>
      </c>
      <c r="AI3891" s="492">
        <v>4.0000000000000001E-3</v>
      </c>
      <c r="AJ3891" s="485"/>
    </row>
    <row r="3892" spans="2:36">
      <c r="B3892" s="136" t="s">
        <v>481</v>
      </c>
      <c r="C3892" s="132" t="s">
        <v>1367</v>
      </c>
      <c r="D3892" s="132" t="s">
        <v>284</v>
      </c>
      <c r="E3892" s="508">
        <v>0.05</v>
      </c>
      <c r="F3892" s="508">
        <v>8.8999999999999996E-2</v>
      </c>
      <c r="G3892" s="508">
        <v>7.0999999999999994E-2</v>
      </c>
      <c r="H3892" s="508">
        <v>6.3E-2</v>
      </c>
      <c r="I3892" s="508">
        <v>5.7000000000000002E-2</v>
      </c>
      <c r="J3892" s="508">
        <v>4.8000000000000001E-2</v>
      </c>
      <c r="K3892" s="508">
        <v>2.8000000000000001E-2</v>
      </c>
      <c r="L3892" s="508">
        <v>2.7E-2</v>
      </c>
      <c r="M3892" s="508">
        <v>2.7E-2</v>
      </c>
      <c r="N3892" s="508">
        <v>3.5000000000000003E-2</v>
      </c>
      <c r="O3892" s="508">
        <v>2.5000000000000001E-2</v>
      </c>
      <c r="P3892" s="508">
        <v>1.7999999999999999E-2</v>
      </c>
      <c r="Q3892" s="508">
        <v>2.1000000000000001E-2</v>
      </c>
      <c r="R3892" s="508">
        <v>1.9E-2</v>
      </c>
      <c r="S3892" s="508">
        <v>1.7000000000000001E-2</v>
      </c>
      <c r="T3892" s="508">
        <v>1.4999999999999999E-2</v>
      </c>
      <c r="U3892" s="508">
        <v>0.01</v>
      </c>
      <c r="V3892" s="508">
        <v>8.9999999999999993E-3</v>
      </c>
      <c r="W3892" s="508">
        <v>8.9999999999999993E-3</v>
      </c>
      <c r="X3892" s="508">
        <v>8.0000000000000002E-3</v>
      </c>
      <c r="Y3892" s="508">
        <v>7.0000000000000001E-3</v>
      </c>
      <c r="Z3892" s="508">
        <v>6.0000000000000001E-3</v>
      </c>
      <c r="AA3892" s="508">
        <v>5.0000000000000001E-3</v>
      </c>
      <c r="AB3892" s="508">
        <v>5.0000000000000001E-3</v>
      </c>
      <c r="AC3892" s="508">
        <v>4.0000000000000001E-3</v>
      </c>
      <c r="AD3892" s="508">
        <v>4.0000000000000001E-3</v>
      </c>
      <c r="AE3892" s="508">
        <v>5.0000000000000001E-3</v>
      </c>
      <c r="AF3892" s="508">
        <v>3.0000000000000001E-3</v>
      </c>
      <c r="AG3892" s="508">
        <v>3.0000000000000001E-3</v>
      </c>
      <c r="AH3892" s="508">
        <v>3.0000000000000001E-3</v>
      </c>
      <c r="AI3892" s="492">
        <v>3.0000000000000001E-3</v>
      </c>
      <c r="AJ3892" s="485"/>
    </row>
    <row r="3893" spans="2:36">
      <c r="B3893" s="136" t="s">
        <v>482</v>
      </c>
      <c r="C3893" s="132" t="s">
        <v>1367</v>
      </c>
      <c r="D3893" s="132" t="s">
        <v>284</v>
      </c>
      <c r="E3893" s="508">
        <v>3.5999999999999997E-2</v>
      </c>
      <c r="F3893" s="508">
        <v>6.5000000000000002E-2</v>
      </c>
      <c r="G3893" s="508">
        <v>5.1999999999999998E-2</v>
      </c>
      <c r="H3893" s="508">
        <v>4.5999999999999999E-2</v>
      </c>
      <c r="I3893" s="508">
        <v>4.2000000000000003E-2</v>
      </c>
      <c r="J3893" s="508">
        <v>3.5000000000000003E-2</v>
      </c>
      <c r="K3893" s="508">
        <v>0.02</v>
      </c>
      <c r="L3893" s="508">
        <v>1.9E-2</v>
      </c>
      <c r="M3893" s="508">
        <v>0.02</v>
      </c>
      <c r="N3893" s="508">
        <v>2.5000000000000001E-2</v>
      </c>
      <c r="O3893" s="508">
        <v>1.7999999999999999E-2</v>
      </c>
      <c r="P3893" s="508">
        <v>1.2999999999999999E-2</v>
      </c>
      <c r="Q3893" s="508">
        <v>1.4999999999999999E-2</v>
      </c>
      <c r="R3893" s="508">
        <v>1.4E-2</v>
      </c>
      <c r="S3893" s="508">
        <v>1.2999999999999999E-2</v>
      </c>
      <c r="T3893" s="508">
        <v>1.0999999999999999E-2</v>
      </c>
      <c r="U3893" s="508">
        <v>7.0000000000000001E-3</v>
      </c>
      <c r="V3893" s="508">
        <v>6.0000000000000001E-3</v>
      </c>
      <c r="W3893" s="508">
        <v>7.0000000000000001E-3</v>
      </c>
      <c r="X3893" s="508">
        <v>7.0000000000000001E-3</v>
      </c>
      <c r="Y3893" s="508">
        <v>7.0000000000000001E-3</v>
      </c>
      <c r="Z3893" s="508">
        <v>5.0000000000000001E-3</v>
      </c>
      <c r="AA3893" s="508">
        <v>5.0000000000000001E-3</v>
      </c>
      <c r="AB3893" s="508">
        <v>5.0000000000000001E-3</v>
      </c>
      <c r="AC3893" s="508">
        <v>3.0000000000000001E-3</v>
      </c>
      <c r="AD3893" s="508">
        <v>4.0000000000000001E-3</v>
      </c>
      <c r="AE3893" s="508">
        <v>5.0000000000000001E-3</v>
      </c>
      <c r="AF3893" s="508">
        <v>3.0000000000000001E-3</v>
      </c>
      <c r="AG3893" s="508">
        <v>3.0000000000000001E-3</v>
      </c>
      <c r="AH3893" s="508">
        <v>3.0000000000000001E-3</v>
      </c>
      <c r="AI3893" s="492">
        <v>3.0000000000000001E-3</v>
      </c>
      <c r="AJ3893" s="485"/>
    </row>
    <row r="3894" spans="2:36">
      <c r="B3894" s="136" t="s">
        <v>483</v>
      </c>
      <c r="C3894" s="132" t="s">
        <v>1367</v>
      </c>
      <c r="D3894" s="132" t="s">
        <v>284</v>
      </c>
      <c r="E3894" s="508">
        <v>6.5000000000000002E-2</v>
      </c>
      <c r="F3894" s="508">
        <v>0.114</v>
      </c>
      <c r="G3894" s="508">
        <v>9.1999999999999998E-2</v>
      </c>
      <c r="H3894" s="508">
        <v>8.1000000000000003E-2</v>
      </c>
      <c r="I3894" s="508">
        <v>7.2999999999999995E-2</v>
      </c>
      <c r="J3894" s="508">
        <v>6.0999999999999999E-2</v>
      </c>
      <c r="K3894" s="508">
        <v>3.5999999999999997E-2</v>
      </c>
      <c r="L3894" s="508">
        <v>3.5000000000000003E-2</v>
      </c>
      <c r="M3894" s="508">
        <v>3.5999999999999997E-2</v>
      </c>
      <c r="N3894" s="508">
        <v>4.2999999999999997E-2</v>
      </c>
      <c r="O3894" s="508">
        <v>3.2000000000000001E-2</v>
      </c>
      <c r="P3894" s="508">
        <v>2.4E-2</v>
      </c>
      <c r="Q3894" s="508">
        <v>2.5999999999999999E-2</v>
      </c>
      <c r="R3894" s="508">
        <v>2.4E-2</v>
      </c>
      <c r="S3894" s="508">
        <v>2.3E-2</v>
      </c>
      <c r="T3894" s="508">
        <v>0.02</v>
      </c>
      <c r="U3894" s="508">
        <v>1.2E-2</v>
      </c>
      <c r="V3894" s="508">
        <v>1.0999999999999999E-2</v>
      </c>
      <c r="W3894" s="508">
        <v>1.0999999999999999E-2</v>
      </c>
      <c r="X3894" s="508">
        <v>8.0000000000000002E-3</v>
      </c>
      <c r="Y3894" s="508">
        <v>8.0000000000000002E-3</v>
      </c>
      <c r="Z3894" s="508">
        <v>6.0000000000000001E-3</v>
      </c>
      <c r="AA3894" s="508">
        <v>6.0000000000000001E-3</v>
      </c>
      <c r="AB3894" s="508">
        <v>5.0000000000000001E-3</v>
      </c>
      <c r="AC3894" s="508">
        <v>4.0000000000000001E-3</v>
      </c>
      <c r="AD3894" s="508">
        <v>4.0000000000000001E-3</v>
      </c>
      <c r="AE3894" s="508">
        <v>5.0000000000000001E-3</v>
      </c>
      <c r="AF3894" s="508">
        <v>3.0000000000000001E-3</v>
      </c>
      <c r="AG3894" s="508">
        <v>3.0000000000000001E-3</v>
      </c>
      <c r="AH3894" s="508">
        <v>3.0000000000000001E-3</v>
      </c>
      <c r="AI3894" s="492">
        <v>3.0000000000000001E-3</v>
      </c>
      <c r="AJ3894" s="485"/>
    </row>
    <row r="3895" spans="2:36">
      <c r="B3895" s="136" t="s">
        <v>484</v>
      </c>
      <c r="C3895" s="132" t="s">
        <v>1367</v>
      </c>
      <c r="D3895" s="132" t="s">
        <v>284</v>
      </c>
      <c r="E3895" s="508">
        <v>8.7999999999999995E-2</v>
      </c>
      <c r="F3895" s="508">
        <v>0.155</v>
      </c>
      <c r="G3895" s="508">
        <v>0.124</v>
      </c>
      <c r="H3895" s="508">
        <v>0.112</v>
      </c>
      <c r="I3895" s="508">
        <v>0.10100000000000001</v>
      </c>
      <c r="J3895" s="508">
        <v>8.5999999999999993E-2</v>
      </c>
      <c r="K3895" s="508">
        <v>4.8000000000000001E-2</v>
      </c>
      <c r="L3895" s="508">
        <v>4.5999999999999999E-2</v>
      </c>
      <c r="M3895" s="508">
        <v>4.7E-2</v>
      </c>
      <c r="N3895" s="508">
        <v>6.3E-2</v>
      </c>
      <c r="O3895" s="508">
        <v>4.3999999999999997E-2</v>
      </c>
      <c r="P3895" s="508">
        <v>0.03</v>
      </c>
      <c r="Q3895" s="508">
        <v>3.5999999999999997E-2</v>
      </c>
      <c r="R3895" s="508">
        <v>3.3000000000000002E-2</v>
      </c>
      <c r="S3895" s="508">
        <v>2.8000000000000001E-2</v>
      </c>
      <c r="T3895" s="508">
        <v>2.5999999999999999E-2</v>
      </c>
      <c r="U3895" s="508">
        <v>1.6E-2</v>
      </c>
      <c r="V3895" s="508">
        <v>1.6E-2</v>
      </c>
      <c r="W3895" s="508">
        <v>1.6E-2</v>
      </c>
      <c r="X3895" s="508">
        <v>1.0999999999999999E-2</v>
      </c>
      <c r="Y3895" s="508">
        <v>0.01</v>
      </c>
      <c r="Z3895" s="508">
        <v>8.0000000000000002E-3</v>
      </c>
      <c r="AA3895" s="508">
        <v>7.0000000000000001E-3</v>
      </c>
      <c r="AB3895" s="508">
        <v>7.0000000000000001E-3</v>
      </c>
      <c r="AC3895" s="508">
        <v>5.0000000000000001E-3</v>
      </c>
      <c r="AD3895" s="508">
        <v>5.0000000000000001E-3</v>
      </c>
      <c r="AE3895" s="508">
        <v>7.0000000000000001E-3</v>
      </c>
      <c r="AF3895" s="508">
        <v>4.0000000000000001E-3</v>
      </c>
      <c r="AG3895" s="508">
        <v>4.0000000000000001E-3</v>
      </c>
      <c r="AH3895" s="508">
        <v>4.0000000000000001E-3</v>
      </c>
      <c r="AI3895" s="492">
        <v>4.0000000000000001E-3</v>
      </c>
      <c r="AJ3895" s="485"/>
    </row>
    <row r="3896" spans="2:36">
      <c r="B3896" s="136" t="s">
        <v>486</v>
      </c>
      <c r="C3896" s="132" t="s">
        <v>1367</v>
      </c>
      <c r="D3896" s="132" t="s">
        <v>284</v>
      </c>
      <c r="E3896" s="508">
        <v>5.3999999999999999E-2</v>
      </c>
      <c r="F3896" s="508">
        <v>9.6000000000000002E-2</v>
      </c>
      <c r="G3896" s="508">
        <v>7.6999999999999999E-2</v>
      </c>
      <c r="H3896" s="508">
        <v>6.8000000000000005E-2</v>
      </c>
      <c r="I3896" s="508">
        <v>6.2E-2</v>
      </c>
      <c r="J3896" s="508">
        <v>5.1999999999999998E-2</v>
      </c>
      <c r="K3896" s="508">
        <v>0.03</v>
      </c>
      <c r="L3896" s="508">
        <v>2.9000000000000001E-2</v>
      </c>
      <c r="M3896" s="508">
        <v>2.9000000000000001E-2</v>
      </c>
      <c r="N3896" s="508">
        <v>3.6999999999999998E-2</v>
      </c>
      <c r="O3896" s="508">
        <v>2.7E-2</v>
      </c>
      <c r="P3896" s="508">
        <v>0.02</v>
      </c>
      <c r="Q3896" s="508">
        <v>2.1999999999999999E-2</v>
      </c>
      <c r="R3896" s="508">
        <v>2.1000000000000001E-2</v>
      </c>
      <c r="S3896" s="508">
        <v>1.9E-2</v>
      </c>
      <c r="T3896" s="508">
        <v>1.6E-2</v>
      </c>
      <c r="U3896" s="508">
        <v>1.0999999999999999E-2</v>
      </c>
      <c r="V3896" s="508">
        <v>0.01</v>
      </c>
      <c r="W3896" s="508">
        <v>0.01</v>
      </c>
      <c r="X3896" s="508">
        <v>8.0000000000000002E-3</v>
      </c>
      <c r="Y3896" s="508">
        <v>8.0000000000000002E-3</v>
      </c>
      <c r="Z3896" s="508">
        <v>6.0000000000000001E-3</v>
      </c>
      <c r="AA3896" s="508">
        <v>6.0000000000000001E-3</v>
      </c>
      <c r="AB3896" s="508">
        <v>5.0000000000000001E-3</v>
      </c>
      <c r="AC3896" s="508">
        <v>4.0000000000000001E-3</v>
      </c>
      <c r="AD3896" s="508">
        <v>4.0000000000000001E-3</v>
      </c>
      <c r="AE3896" s="508">
        <v>5.0000000000000001E-3</v>
      </c>
      <c r="AF3896" s="508">
        <v>3.0000000000000001E-3</v>
      </c>
      <c r="AG3896" s="508">
        <v>3.0000000000000001E-3</v>
      </c>
      <c r="AH3896" s="508">
        <v>3.0000000000000001E-3</v>
      </c>
      <c r="AI3896" s="492">
        <v>3.0000000000000001E-3</v>
      </c>
      <c r="AJ3896" s="485"/>
    </row>
    <row r="3897" spans="2:36">
      <c r="B3897" s="136" t="s">
        <v>487</v>
      </c>
      <c r="C3897" s="132" t="s">
        <v>1367</v>
      </c>
      <c r="D3897" s="132" t="s">
        <v>284</v>
      </c>
      <c r="E3897" s="508">
        <v>6.9000000000000006E-2</v>
      </c>
      <c r="F3897" s="508">
        <v>0.123</v>
      </c>
      <c r="G3897" s="508">
        <v>9.9000000000000005E-2</v>
      </c>
      <c r="H3897" s="508">
        <v>8.6999999999999994E-2</v>
      </c>
      <c r="I3897" s="508">
        <v>7.9000000000000001E-2</v>
      </c>
      <c r="J3897" s="508">
        <v>6.6000000000000003E-2</v>
      </c>
      <c r="K3897" s="508">
        <v>3.7999999999999999E-2</v>
      </c>
      <c r="L3897" s="508">
        <v>3.6999999999999998E-2</v>
      </c>
      <c r="M3897" s="508">
        <v>3.7999999999999999E-2</v>
      </c>
      <c r="N3897" s="508">
        <v>4.7E-2</v>
      </c>
      <c r="O3897" s="508">
        <v>3.4000000000000002E-2</v>
      </c>
      <c r="P3897" s="508">
        <v>2.5000000000000001E-2</v>
      </c>
      <c r="Q3897" s="508">
        <v>2.8000000000000001E-2</v>
      </c>
      <c r="R3897" s="508">
        <v>2.5999999999999999E-2</v>
      </c>
      <c r="S3897" s="508">
        <v>2.5000000000000001E-2</v>
      </c>
      <c r="T3897" s="508">
        <v>2.1000000000000001E-2</v>
      </c>
      <c r="U3897" s="508">
        <v>1.2999999999999999E-2</v>
      </c>
      <c r="V3897" s="508">
        <v>1.0999999999999999E-2</v>
      </c>
      <c r="W3897" s="508">
        <v>1.2E-2</v>
      </c>
      <c r="X3897" s="508">
        <v>8.9999999999999993E-3</v>
      </c>
      <c r="Y3897" s="508">
        <v>8.0000000000000002E-3</v>
      </c>
      <c r="Z3897" s="508">
        <v>6.0000000000000001E-3</v>
      </c>
      <c r="AA3897" s="508">
        <v>6.0000000000000001E-3</v>
      </c>
      <c r="AB3897" s="508">
        <v>5.0000000000000001E-3</v>
      </c>
      <c r="AC3897" s="508">
        <v>4.0000000000000001E-3</v>
      </c>
      <c r="AD3897" s="508">
        <v>4.0000000000000001E-3</v>
      </c>
      <c r="AE3897" s="508">
        <v>5.0000000000000001E-3</v>
      </c>
      <c r="AF3897" s="508">
        <v>3.0000000000000001E-3</v>
      </c>
      <c r="AG3897" s="508">
        <v>3.0000000000000001E-3</v>
      </c>
      <c r="AH3897" s="508">
        <v>3.0000000000000001E-3</v>
      </c>
      <c r="AI3897" s="492">
        <v>3.0000000000000001E-3</v>
      </c>
      <c r="AJ3897" s="485"/>
    </row>
    <row r="3898" spans="2:36">
      <c r="B3898" s="136" t="s">
        <v>488</v>
      </c>
      <c r="C3898" s="132" t="s">
        <v>1367</v>
      </c>
      <c r="D3898" s="132" t="s">
        <v>284</v>
      </c>
      <c r="E3898" s="508">
        <v>6.3E-2</v>
      </c>
      <c r="F3898" s="508">
        <v>0.112</v>
      </c>
      <c r="G3898" s="508">
        <v>0.09</v>
      </c>
      <c r="H3898" s="508">
        <v>0.08</v>
      </c>
      <c r="I3898" s="508">
        <v>7.1999999999999995E-2</v>
      </c>
      <c r="J3898" s="508">
        <v>6.2E-2</v>
      </c>
      <c r="K3898" s="508">
        <v>3.4000000000000002E-2</v>
      </c>
      <c r="L3898" s="508">
        <v>3.3000000000000002E-2</v>
      </c>
      <c r="M3898" s="508">
        <v>3.4000000000000002E-2</v>
      </c>
      <c r="N3898" s="508">
        <v>4.4999999999999998E-2</v>
      </c>
      <c r="O3898" s="508">
        <v>3.2000000000000001E-2</v>
      </c>
      <c r="P3898" s="508">
        <v>2.1999999999999999E-2</v>
      </c>
      <c r="Q3898" s="508">
        <v>2.5999999999999999E-2</v>
      </c>
      <c r="R3898" s="508">
        <v>2.4E-2</v>
      </c>
      <c r="S3898" s="508">
        <v>2.1000000000000001E-2</v>
      </c>
      <c r="T3898" s="508">
        <v>1.9E-2</v>
      </c>
      <c r="U3898" s="508">
        <v>1.0999999999999999E-2</v>
      </c>
      <c r="V3898" s="508">
        <v>1.0999999999999999E-2</v>
      </c>
      <c r="W3898" s="508">
        <v>1.0999999999999999E-2</v>
      </c>
      <c r="X3898" s="508">
        <v>8.9999999999999993E-3</v>
      </c>
      <c r="Y3898" s="508">
        <v>8.0000000000000002E-3</v>
      </c>
      <c r="Z3898" s="508">
        <v>6.0000000000000001E-3</v>
      </c>
      <c r="AA3898" s="508">
        <v>6.0000000000000001E-3</v>
      </c>
      <c r="AB3898" s="508">
        <v>5.0000000000000001E-3</v>
      </c>
      <c r="AC3898" s="508">
        <v>4.0000000000000001E-3</v>
      </c>
      <c r="AD3898" s="508">
        <v>4.0000000000000001E-3</v>
      </c>
      <c r="AE3898" s="508">
        <v>5.0000000000000001E-3</v>
      </c>
      <c r="AF3898" s="508">
        <v>3.0000000000000001E-3</v>
      </c>
      <c r="AG3898" s="508">
        <v>3.0000000000000001E-3</v>
      </c>
      <c r="AH3898" s="508">
        <v>3.0000000000000001E-3</v>
      </c>
      <c r="AI3898" s="492">
        <v>3.0000000000000001E-3</v>
      </c>
      <c r="AJ3898" s="485"/>
    </row>
    <row r="3899" spans="2:36">
      <c r="B3899" s="136" t="s">
        <v>489</v>
      </c>
      <c r="C3899" s="132" t="s">
        <v>1367</v>
      </c>
      <c r="D3899" s="132" t="s">
        <v>284</v>
      </c>
      <c r="E3899" s="508">
        <v>8.2000000000000003E-2</v>
      </c>
      <c r="F3899" s="508">
        <v>0.14399999999999999</v>
      </c>
      <c r="G3899" s="508">
        <v>0.115</v>
      </c>
      <c r="H3899" s="508">
        <v>0.10299999999999999</v>
      </c>
      <c r="I3899" s="508">
        <v>9.4E-2</v>
      </c>
      <c r="J3899" s="508">
        <v>7.8E-2</v>
      </c>
      <c r="K3899" s="508">
        <v>4.4999999999999998E-2</v>
      </c>
      <c r="L3899" s="508">
        <v>4.3999999999999997E-2</v>
      </c>
      <c r="M3899" s="508">
        <v>4.3999999999999997E-2</v>
      </c>
      <c r="N3899" s="508">
        <v>5.7000000000000002E-2</v>
      </c>
      <c r="O3899" s="508">
        <v>0.04</v>
      </c>
      <c r="P3899" s="508">
        <v>2.9000000000000001E-2</v>
      </c>
      <c r="Q3899" s="508">
        <v>3.3000000000000002E-2</v>
      </c>
      <c r="R3899" s="508">
        <v>3.1E-2</v>
      </c>
      <c r="S3899" s="508">
        <v>2.7E-2</v>
      </c>
      <c r="T3899" s="508">
        <v>2.4E-2</v>
      </c>
      <c r="U3899" s="508">
        <v>1.4999999999999999E-2</v>
      </c>
      <c r="V3899" s="508">
        <v>1.2999999999999999E-2</v>
      </c>
      <c r="W3899" s="508">
        <v>1.4E-2</v>
      </c>
      <c r="X3899" s="508">
        <v>0.01</v>
      </c>
      <c r="Y3899" s="508">
        <v>8.9999999999999993E-3</v>
      </c>
      <c r="Z3899" s="508">
        <v>7.0000000000000001E-3</v>
      </c>
      <c r="AA3899" s="508">
        <v>6.0000000000000001E-3</v>
      </c>
      <c r="AB3899" s="508">
        <v>6.0000000000000001E-3</v>
      </c>
      <c r="AC3899" s="508">
        <v>4.0000000000000001E-3</v>
      </c>
      <c r="AD3899" s="508">
        <v>5.0000000000000001E-3</v>
      </c>
      <c r="AE3899" s="508">
        <v>6.0000000000000001E-3</v>
      </c>
      <c r="AF3899" s="508">
        <v>4.0000000000000001E-3</v>
      </c>
      <c r="AG3899" s="508">
        <v>3.0000000000000001E-3</v>
      </c>
      <c r="AH3899" s="508">
        <v>4.0000000000000001E-3</v>
      </c>
      <c r="AI3899" s="492">
        <v>4.0000000000000001E-3</v>
      </c>
      <c r="AJ3899" s="485"/>
    </row>
    <row r="3900" spans="2:36">
      <c r="B3900" s="136" t="s">
        <v>490</v>
      </c>
      <c r="C3900" s="132" t="s">
        <v>1367</v>
      </c>
      <c r="D3900" s="132" t="s">
        <v>284</v>
      </c>
      <c r="E3900" s="508">
        <v>8.6999999999999994E-2</v>
      </c>
      <c r="F3900" s="508">
        <v>0.155</v>
      </c>
      <c r="G3900" s="508">
        <v>0.124</v>
      </c>
      <c r="H3900" s="508">
        <v>0.11</v>
      </c>
      <c r="I3900" s="508">
        <v>0.1</v>
      </c>
      <c r="J3900" s="508">
        <v>8.5000000000000006E-2</v>
      </c>
      <c r="K3900" s="508">
        <v>4.7E-2</v>
      </c>
      <c r="L3900" s="508">
        <v>4.5999999999999999E-2</v>
      </c>
      <c r="M3900" s="508">
        <v>4.7E-2</v>
      </c>
      <c r="N3900" s="508">
        <v>6.0999999999999999E-2</v>
      </c>
      <c r="O3900" s="508">
        <v>4.3999999999999997E-2</v>
      </c>
      <c r="P3900" s="508">
        <v>0.03</v>
      </c>
      <c r="Q3900" s="508">
        <v>3.5999999999999997E-2</v>
      </c>
      <c r="R3900" s="508">
        <v>3.3000000000000002E-2</v>
      </c>
      <c r="S3900" s="508">
        <v>2.9000000000000001E-2</v>
      </c>
      <c r="T3900" s="508">
        <v>2.5999999999999999E-2</v>
      </c>
      <c r="U3900" s="508">
        <v>1.4999999999999999E-2</v>
      </c>
      <c r="V3900" s="508">
        <v>1.4E-2</v>
      </c>
      <c r="W3900" s="508">
        <v>1.4E-2</v>
      </c>
      <c r="X3900" s="508">
        <v>0.01</v>
      </c>
      <c r="Y3900" s="508">
        <v>8.9999999999999993E-3</v>
      </c>
      <c r="Z3900" s="508">
        <v>7.0000000000000001E-3</v>
      </c>
      <c r="AA3900" s="508">
        <v>7.0000000000000001E-3</v>
      </c>
      <c r="AB3900" s="508">
        <v>6.0000000000000001E-3</v>
      </c>
      <c r="AC3900" s="508">
        <v>4.0000000000000001E-3</v>
      </c>
      <c r="AD3900" s="508">
        <v>5.0000000000000001E-3</v>
      </c>
      <c r="AE3900" s="508">
        <v>6.0000000000000001E-3</v>
      </c>
      <c r="AF3900" s="508">
        <v>4.0000000000000001E-3</v>
      </c>
      <c r="AG3900" s="508">
        <v>4.0000000000000001E-3</v>
      </c>
      <c r="AH3900" s="508">
        <v>4.0000000000000001E-3</v>
      </c>
      <c r="AI3900" s="492">
        <v>4.0000000000000001E-3</v>
      </c>
      <c r="AJ3900" s="485"/>
    </row>
    <row r="3901" spans="2:36">
      <c r="B3901" s="136" t="s">
        <v>435</v>
      </c>
      <c r="C3901" s="132" t="s">
        <v>1368</v>
      </c>
      <c r="D3901" s="132" t="s">
        <v>284</v>
      </c>
      <c r="E3901" s="508">
        <v>0.32100000000000001</v>
      </c>
      <c r="F3901" s="508">
        <v>0.379</v>
      </c>
      <c r="G3901" s="508">
        <v>0.192</v>
      </c>
      <c r="H3901" s="508">
        <v>5.7000000000000002E-2</v>
      </c>
      <c r="I3901" s="508">
        <v>5.7000000000000002E-2</v>
      </c>
      <c r="J3901" s="508">
        <v>6.5000000000000002E-2</v>
      </c>
      <c r="K3901" s="508">
        <v>3.5000000000000003E-2</v>
      </c>
      <c r="L3901" s="508">
        <v>0.35099999999999998</v>
      </c>
      <c r="M3901" s="508">
        <v>0.26400000000000001</v>
      </c>
      <c r="N3901" s="508">
        <v>0.122</v>
      </c>
      <c r="O3901" s="508">
        <v>0.17899999999999999</v>
      </c>
      <c r="P3901" s="508">
        <v>0.47299999999999998</v>
      </c>
      <c r="Q3901" s="508">
        <v>0.28799999999999998</v>
      </c>
      <c r="R3901" s="508">
        <v>0.19500000000000001</v>
      </c>
      <c r="S3901" s="508">
        <v>0.20300000000000001</v>
      </c>
      <c r="T3901" s="508">
        <v>0.17899999999999999</v>
      </c>
      <c r="U3901" s="508">
        <v>0.13300000000000001</v>
      </c>
      <c r="V3901" s="508">
        <v>0.20799999999999999</v>
      </c>
      <c r="W3901" s="508">
        <v>0.17399999999999999</v>
      </c>
      <c r="X3901" s="508">
        <v>0.17399999999999999</v>
      </c>
      <c r="Y3901" s="508">
        <v>0.189</v>
      </c>
      <c r="Z3901" s="508">
        <v>0.20399999999999999</v>
      </c>
      <c r="AA3901" s="508">
        <v>1.4E-2</v>
      </c>
      <c r="AB3901" s="508">
        <v>1.4E-2</v>
      </c>
      <c r="AC3901" s="508">
        <v>1.2E-2</v>
      </c>
      <c r="AD3901" s="508">
        <v>0.01</v>
      </c>
      <c r="AE3901" s="508">
        <v>1.0999999999999999E-2</v>
      </c>
      <c r="AF3901" s="508">
        <v>7.0000000000000001E-3</v>
      </c>
      <c r="AG3901" s="508">
        <v>7.0000000000000001E-3</v>
      </c>
      <c r="AH3901" s="508">
        <v>7.0000000000000001E-3</v>
      </c>
      <c r="AI3901" s="492">
        <v>7.0000000000000001E-3</v>
      </c>
      <c r="AJ3901" s="485"/>
    </row>
    <row r="3902" spans="2:36">
      <c r="B3902" s="136" t="s">
        <v>436</v>
      </c>
      <c r="C3902" s="132" t="s">
        <v>1368</v>
      </c>
      <c r="D3902" s="132" t="s">
        <v>284</v>
      </c>
      <c r="E3902" s="508">
        <v>0.32</v>
      </c>
      <c r="F3902" s="508">
        <v>0.377</v>
      </c>
      <c r="G3902" s="508">
        <v>0.193</v>
      </c>
      <c r="H3902" s="508">
        <v>5.8000000000000003E-2</v>
      </c>
      <c r="I3902" s="508">
        <v>5.8000000000000003E-2</v>
      </c>
      <c r="J3902" s="508">
        <v>6.7000000000000004E-2</v>
      </c>
      <c r="K3902" s="508">
        <v>3.5999999999999997E-2</v>
      </c>
      <c r="L3902" s="508">
        <v>0.34699999999999998</v>
      </c>
      <c r="M3902" s="508">
        <v>0.26100000000000001</v>
      </c>
      <c r="N3902" s="508">
        <v>0.12</v>
      </c>
      <c r="O3902" s="508">
        <v>0.17499999999999999</v>
      </c>
      <c r="P3902" s="508">
        <v>0.45900000000000002</v>
      </c>
      <c r="Q3902" s="508">
        <v>0.28000000000000003</v>
      </c>
      <c r="R3902" s="508">
        <v>0.193</v>
      </c>
      <c r="S3902" s="508">
        <v>0.2</v>
      </c>
      <c r="T3902" s="508">
        <v>0.17699999999999999</v>
      </c>
      <c r="U3902" s="508">
        <v>0.13200000000000001</v>
      </c>
      <c r="V3902" s="508">
        <v>0.20499999999999999</v>
      </c>
      <c r="W3902" s="508">
        <v>0.17100000000000001</v>
      </c>
      <c r="X3902" s="508">
        <v>0.17199999999999999</v>
      </c>
      <c r="Y3902" s="508">
        <v>0.187</v>
      </c>
      <c r="Z3902" s="508">
        <v>0.20100000000000001</v>
      </c>
      <c r="AA3902" s="508">
        <v>1.2999999999999999E-2</v>
      </c>
      <c r="AB3902" s="508">
        <v>1.2999999999999999E-2</v>
      </c>
      <c r="AC3902" s="508">
        <v>1.2E-2</v>
      </c>
      <c r="AD3902" s="508">
        <v>0.01</v>
      </c>
      <c r="AE3902" s="508">
        <v>1.0999999999999999E-2</v>
      </c>
      <c r="AF3902" s="508">
        <v>7.0000000000000001E-3</v>
      </c>
      <c r="AG3902" s="508">
        <v>7.0000000000000001E-3</v>
      </c>
      <c r="AH3902" s="508">
        <v>7.0000000000000001E-3</v>
      </c>
      <c r="AI3902" s="492">
        <v>7.0000000000000001E-3</v>
      </c>
      <c r="AJ3902" s="485"/>
    </row>
    <row r="3903" spans="2:36">
      <c r="B3903" s="136" t="s">
        <v>437</v>
      </c>
      <c r="C3903" s="132" t="s">
        <v>1368</v>
      </c>
      <c r="D3903" s="132" t="s">
        <v>284</v>
      </c>
      <c r="E3903" s="508">
        <v>0.32500000000000001</v>
      </c>
      <c r="F3903" s="508">
        <v>0.38300000000000001</v>
      </c>
      <c r="G3903" s="508">
        <v>0.19700000000000001</v>
      </c>
      <c r="H3903" s="508">
        <v>5.8999999999999997E-2</v>
      </c>
      <c r="I3903" s="508">
        <v>5.8999999999999997E-2</v>
      </c>
      <c r="J3903" s="508">
        <v>6.7000000000000004E-2</v>
      </c>
      <c r="K3903" s="508">
        <v>3.6999999999999998E-2</v>
      </c>
      <c r="L3903" s="508">
        <v>0.35499999999999998</v>
      </c>
      <c r="M3903" s="508">
        <v>0.26700000000000002</v>
      </c>
      <c r="N3903" s="508">
        <v>0.126</v>
      </c>
      <c r="O3903" s="508">
        <v>0.186</v>
      </c>
      <c r="P3903" s="508">
        <v>0.49299999999999999</v>
      </c>
      <c r="Q3903" s="508">
        <v>0.3</v>
      </c>
      <c r="R3903" s="508">
        <v>0.2</v>
      </c>
      <c r="S3903" s="508">
        <v>0.20799999999999999</v>
      </c>
      <c r="T3903" s="508">
        <v>0.184</v>
      </c>
      <c r="U3903" s="508">
        <v>0.13700000000000001</v>
      </c>
      <c r="V3903" s="508">
        <v>0.21199999999999999</v>
      </c>
      <c r="W3903" s="508">
        <v>0.17699999999999999</v>
      </c>
      <c r="X3903" s="508">
        <v>0.17799999999999999</v>
      </c>
      <c r="Y3903" s="508">
        <v>0.193</v>
      </c>
      <c r="Z3903" s="508">
        <v>0.20799999999999999</v>
      </c>
      <c r="AA3903" s="508">
        <v>1.4E-2</v>
      </c>
      <c r="AB3903" s="508">
        <v>1.4E-2</v>
      </c>
      <c r="AC3903" s="508">
        <v>1.2E-2</v>
      </c>
      <c r="AD3903" s="508">
        <v>0.01</v>
      </c>
      <c r="AE3903" s="508">
        <v>1.2E-2</v>
      </c>
      <c r="AF3903" s="508">
        <v>7.0000000000000001E-3</v>
      </c>
      <c r="AG3903" s="508">
        <v>7.0000000000000001E-3</v>
      </c>
      <c r="AH3903" s="508">
        <v>7.0000000000000001E-3</v>
      </c>
      <c r="AI3903" s="492">
        <v>7.0000000000000001E-3</v>
      </c>
      <c r="AJ3903" s="485"/>
    </row>
    <row r="3904" spans="2:36">
      <c r="B3904" s="136" t="s">
        <v>438</v>
      </c>
      <c r="C3904" s="132" t="s">
        <v>1368</v>
      </c>
      <c r="D3904" s="132" t="s">
        <v>284</v>
      </c>
      <c r="E3904" s="508">
        <v>0.317</v>
      </c>
      <c r="F3904" s="508">
        <v>0.375</v>
      </c>
      <c r="G3904" s="508">
        <v>0.192</v>
      </c>
      <c r="H3904" s="508">
        <v>5.8000000000000003E-2</v>
      </c>
      <c r="I3904" s="508">
        <v>5.8000000000000003E-2</v>
      </c>
      <c r="J3904" s="508">
        <v>6.8000000000000005E-2</v>
      </c>
      <c r="K3904" s="508">
        <v>3.5000000000000003E-2</v>
      </c>
      <c r="L3904" s="508">
        <v>0.34200000000000003</v>
      </c>
      <c r="M3904" s="508">
        <v>0.25700000000000001</v>
      </c>
      <c r="N3904" s="508">
        <v>0.11700000000000001</v>
      </c>
      <c r="O3904" s="508">
        <v>0.16900000000000001</v>
      </c>
      <c r="P3904" s="508">
        <v>0.441</v>
      </c>
      <c r="Q3904" s="508">
        <v>0.27</v>
      </c>
      <c r="R3904" s="508">
        <v>0.189</v>
      </c>
      <c r="S3904" s="508">
        <v>0.19700000000000001</v>
      </c>
      <c r="T3904" s="508">
        <v>0.17399999999999999</v>
      </c>
      <c r="U3904" s="508">
        <v>0.129</v>
      </c>
      <c r="V3904" s="508">
        <v>0.20100000000000001</v>
      </c>
      <c r="W3904" s="508">
        <v>0.16800000000000001</v>
      </c>
      <c r="X3904" s="508">
        <v>0.16900000000000001</v>
      </c>
      <c r="Y3904" s="508">
        <v>0.183</v>
      </c>
      <c r="Z3904" s="508">
        <v>0.19700000000000001</v>
      </c>
      <c r="AA3904" s="508">
        <v>1.2999999999999999E-2</v>
      </c>
      <c r="AB3904" s="508">
        <v>1.2999999999999999E-2</v>
      </c>
      <c r="AC3904" s="508">
        <v>1.2E-2</v>
      </c>
      <c r="AD3904" s="508">
        <v>0.01</v>
      </c>
      <c r="AE3904" s="508">
        <v>1.0999999999999999E-2</v>
      </c>
      <c r="AF3904" s="508">
        <v>7.0000000000000001E-3</v>
      </c>
      <c r="AG3904" s="508">
        <v>7.0000000000000001E-3</v>
      </c>
      <c r="AH3904" s="508">
        <v>7.0000000000000001E-3</v>
      </c>
      <c r="AI3904" s="492">
        <v>7.0000000000000001E-3</v>
      </c>
      <c r="AJ3904" s="485"/>
    </row>
    <row r="3905" spans="2:36">
      <c r="B3905" s="136" t="s">
        <v>439</v>
      </c>
      <c r="C3905" s="132" t="s">
        <v>1368</v>
      </c>
      <c r="D3905" s="132" t="s">
        <v>284</v>
      </c>
      <c r="E3905" s="508">
        <v>0.32400000000000001</v>
      </c>
      <c r="F3905" s="508">
        <v>0.38300000000000001</v>
      </c>
      <c r="G3905" s="508">
        <v>0.19800000000000001</v>
      </c>
      <c r="H3905" s="508">
        <v>0.06</v>
      </c>
      <c r="I3905" s="508">
        <v>0.06</v>
      </c>
      <c r="J3905" s="508">
        <v>7.0000000000000007E-2</v>
      </c>
      <c r="K3905" s="508">
        <v>3.7999999999999999E-2</v>
      </c>
      <c r="L3905" s="508">
        <v>0.35199999999999998</v>
      </c>
      <c r="M3905" s="508">
        <v>0.26500000000000001</v>
      </c>
      <c r="N3905" s="508">
        <v>0.124</v>
      </c>
      <c r="O3905" s="508">
        <v>0.184</v>
      </c>
      <c r="P3905" s="508">
        <v>0.48299999999999998</v>
      </c>
      <c r="Q3905" s="508">
        <v>0.29399999999999998</v>
      </c>
      <c r="R3905" s="508">
        <v>0.19800000000000001</v>
      </c>
      <c r="S3905" s="508">
        <v>0.20599999999999999</v>
      </c>
      <c r="T3905" s="508">
        <v>0.182</v>
      </c>
      <c r="U3905" s="508">
        <v>0.13600000000000001</v>
      </c>
      <c r="V3905" s="508">
        <v>0.21</v>
      </c>
      <c r="W3905" s="508">
        <v>0.17599999999999999</v>
      </c>
      <c r="X3905" s="508">
        <v>0.17599999999999999</v>
      </c>
      <c r="Y3905" s="508">
        <v>0.191</v>
      </c>
      <c r="Z3905" s="508">
        <v>0.20599999999999999</v>
      </c>
      <c r="AA3905" s="508">
        <v>1.4E-2</v>
      </c>
      <c r="AB3905" s="508">
        <v>1.4E-2</v>
      </c>
      <c r="AC3905" s="508">
        <v>1.2E-2</v>
      </c>
      <c r="AD3905" s="508">
        <v>0.01</v>
      </c>
      <c r="AE3905" s="508">
        <v>1.0999999999999999E-2</v>
      </c>
      <c r="AF3905" s="508">
        <v>7.0000000000000001E-3</v>
      </c>
      <c r="AG3905" s="508">
        <v>7.0000000000000001E-3</v>
      </c>
      <c r="AH3905" s="508">
        <v>7.0000000000000001E-3</v>
      </c>
      <c r="AI3905" s="492">
        <v>7.0000000000000001E-3</v>
      </c>
      <c r="AJ3905" s="485"/>
    </row>
    <row r="3906" spans="2:36">
      <c r="B3906" s="136" t="s">
        <v>440</v>
      </c>
      <c r="C3906" s="132" t="s">
        <v>1368</v>
      </c>
      <c r="D3906" s="132" t="s">
        <v>284</v>
      </c>
      <c r="E3906" s="508">
        <v>0.32200000000000001</v>
      </c>
      <c r="F3906" s="508">
        <v>0.38100000000000001</v>
      </c>
      <c r="G3906" s="508">
        <v>0.19600000000000001</v>
      </c>
      <c r="H3906" s="508">
        <v>5.8999999999999997E-2</v>
      </c>
      <c r="I3906" s="508">
        <v>5.8999999999999997E-2</v>
      </c>
      <c r="J3906" s="508">
        <v>6.8000000000000005E-2</v>
      </c>
      <c r="K3906" s="508">
        <v>3.6999999999999998E-2</v>
      </c>
      <c r="L3906" s="508">
        <v>0.35099999999999998</v>
      </c>
      <c r="M3906" s="508">
        <v>0.26400000000000001</v>
      </c>
      <c r="N3906" s="508">
        <v>0.123</v>
      </c>
      <c r="O3906" s="508">
        <v>0.18099999999999999</v>
      </c>
      <c r="P3906" s="508">
        <v>0.47499999999999998</v>
      </c>
      <c r="Q3906" s="508">
        <v>0.28999999999999998</v>
      </c>
      <c r="R3906" s="508">
        <v>0.19600000000000001</v>
      </c>
      <c r="S3906" s="508">
        <v>0.20399999999999999</v>
      </c>
      <c r="T3906" s="508">
        <v>0.18099999999999999</v>
      </c>
      <c r="U3906" s="508">
        <v>0.13400000000000001</v>
      </c>
      <c r="V3906" s="508">
        <v>0.20799999999999999</v>
      </c>
      <c r="W3906" s="508">
        <v>0.17399999999999999</v>
      </c>
      <c r="X3906" s="508">
        <v>0.17499999999999999</v>
      </c>
      <c r="Y3906" s="508">
        <v>0.19</v>
      </c>
      <c r="Z3906" s="508">
        <v>0.20399999999999999</v>
      </c>
      <c r="AA3906" s="508">
        <v>1.4E-2</v>
      </c>
      <c r="AB3906" s="508">
        <v>1.4E-2</v>
      </c>
      <c r="AC3906" s="508">
        <v>1.2E-2</v>
      </c>
      <c r="AD3906" s="508">
        <v>0.01</v>
      </c>
      <c r="AE3906" s="508">
        <v>1.0999999999999999E-2</v>
      </c>
      <c r="AF3906" s="508">
        <v>7.0000000000000001E-3</v>
      </c>
      <c r="AG3906" s="508">
        <v>7.0000000000000001E-3</v>
      </c>
      <c r="AH3906" s="508">
        <v>7.0000000000000001E-3</v>
      </c>
      <c r="AI3906" s="492">
        <v>7.0000000000000001E-3</v>
      </c>
      <c r="AJ3906" s="485"/>
    </row>
    <row r="3907" spans="2:36">
      <c r="B3907" s="136" t="s">
        <v>441</v>
      </c>
      <c r="C3907" s="132" t="s">
        <v>1368</v>
      </c>
      <c r="D3907" s="132" t="s">
        <v>284</v>
      </c>
      <c r="E3907" s="508">
        <v>0.32400000000000001</v>
      </c>
      <c r="F3907" s="508">
        <v>0.38300000000000001</v>
      </c>
      <c r="G3907" s="508">
        <v>0.19900000000000001</v>
      </c>
      <c r="H3907" s="508">
        <v>0.06</v>
      </c>
      <c r="I3907" s="508">
        <v>0.06</v>
      </c>
      <c r="J3907" s="508">
        <v>7.0000000000000007E-2</v>
      </c>
      <c r="K3907" s="508">
        <v>3.7999999999999999E-2</v>
      </c>
      <c r="L3907" s="508">
        <v>0.35099999999999998</v>
      </c>
      <c r="M3907" s="508">
        <v>0.26500000000000001</v>
      </c>
      <c r="N3907" s="508">
        <v>0.124</v>
      </c>
      <c r="O3907" s="508">
        <v>0.184</v>
      </c>
      <c r="P3907" s="508">
        <v>0.48199999999999998</v>
      </c>
      <c r="Q3907" s="508">
        <v>0.29399999999999998</v>
      </c>
      <c r="R3907" s="508">
        <v>0.19800000000000001</v>
      </c>
      <c r="S3907" s="508">
        <v>0.20599999999999999</v>
      </c>
      <c r="T3907" s="508">
        <v>0.182</v>
      </c>
      <c r="U3907" s="508">
        <v>0.13600000000000001</v>
      </c>
      <c r="V3907" s="508">
        <v>0.21</v>
      </c>
      <c r="W3907" s="508">
        <v>0.17599999999999999</v>
      </c>
      <c r="X3907" s="508">
        <v>0.17599999999999999</v>
      </c>
      <c r="Y3907" s="508">
        <v>0.191</v>
      </c>
      <c r="Z3907" s="508">
        <v>0.20499999999999999</v>
      </c>
      <c r="AA3907" s="508">
        <v>1.4E-2</v>
      </c>
      <c r="AB3907" s="508">
        <v>1.4E-2</v>
      </c>
      <c r="AC3907" s="508">
        <v>1.2E-2</v>
      </c>
      <c r="AD3907" s="508">
        <v>0.01</v>
      </c>
      <c r="AE3907" s="508">
        <v>1.0999999999999999E-2</v>
      </c>
      <c r="AF3907" s="508">
        <v>7.0000000000000001E-3</v>
      </c>
      <c r="AG3907" s="508">
        <v>7.0000000000000001E-3</v>
      </c>
      <c r="AH3907" s="508">
        <v>7.0000000000000001E-3</v>
      </c>
      <c r="AI3907" s="492">
        <v>7.0000000000000001E-3</v>
      </c>
      <c r="AJ3907" s="485"/>
    </row>
    <row r="3908" spans="2:36">
      <c r="B3908" s="136" t="s">
        <v>443</v>
      </c>
      <c r="C3908" s="132" t="s">
        <v>1368</v>
      </c>
      <c r="D3908" s="132" t="s">
        <v>284</v>
      </c>
      <c r="E3908" s="508">
        <v>0.32400000000000001</v>
      </c>
      <c r="F3908" s="508">
        <v>0.38200000000000001</v>
      </c>
      <c r="G3908" s="508">
        <v>0.193</v>
      </c>
      <c r="H3908" s="508">
        <v>5.7000000000000002E-2</v>
      </c>
      <c r="I3908" s="508">
        <v>5.7000000000000002E-2</v>
      </c>
      <c r="J3908" s="508">
        <v>6.4000000000000001E-2</v>
      </c>
      <c r="K3908" s="508">
        <v>3.5999999999999997E-2</v>
      </c>
      <c r="L3908" s="508">
        <v>0.35799999999999998</v>
      </c>
      <c r="M3908" s="508">
        <v>0.26900000000000002</v>
      </c>
      <c r="N3908" s="508">
        <v>0.126</v>
      </c>
      <c r="O3908" s="508">
        <v>0.186</v>
      </c>
      <c r="P3908" s="508">
        <v>0.495</v>
      </c>
      <c r="Q3908" s="508">
        <v>0.30099999999999999</v>
      </c>
      <c r="R3908" s="508">
        <v>0.19900000000000001</v>
      </c>
      <c r="S3908" s="508">
        <v>0.20699999999999999</v>
      </c>
      <c r="T3908" s="508">
        <v>0.183</v>
      </c>
      <c r="U3908" s="508">
        <v>0.13600000000000001</v>
      </c>
      <c r="V3908" s="508">
        <v>0.21199999999999999</v>
      </c>
      <c r="W3908" s="508">
        <v>0.17799999999999999</v>
      </c>
      <c r="X3908" s="508">
        <v>0.17799999999999999</v>
      </c>
      <c r="Y3908" s="508">
        <v>0.19400000000000001</v>
      </c>
      <c r="Z3908" s="508">
        <v>0.20799999999999999</v>
      </c>
      <c r="AA3908" s="508">
        <v>1.4E-2</v>
      </c>
      <c r="AB3908" s="508">
        <v>1.4E-2</v>
      </c>
      <c r="AC3908" s="508">
        <v>1.2E-2</v>
      </c>
      <c r="AD3908" s="508">
        <v>0.01</v>
      </c>
      <c r="AE3908" s="508">
        <v>1.2E-2</v>
      </c>
      <c r="AF3908" s="508">
        <v>7.0000000000000001E-3</v>
      </c>
      <c r="AG3908" s="508">
        <v>7.0000000000000001E-3</v>
      </c>
      <c r="AH3908" s="508">
        <v>7.0000000000000001E-3</v>
      </c>
      <c r="AI3908" s="492">
        <v>7.0000000000000001E-3</v>
      </c>
      <c r="AJ3908" s="485"/>
    </row>
    <row r="3909" spans="2:36">
      <c r="B3909" s="136" t="s">
        <v>445</v>
      </c>
      <c r="C3909" s="132" t="s">
        <v>1368</v>
      </c>
      <c r="D3909" s="132" t="s">
        <v>284</v>
      </c>
      <c r="E3909" s="508">
        <v>0.33400000000000002</v>
      </c>
      <c r="F3909" s="508">
        <v>0.39300000000000002</v>
      </c>
      <c r="G3909" s="508">
        <v>0.19900000000000001</v>
      </c>
      <c r="H3909" s="508">
        <v>5.8000000000000003E-2</v>
      </c>
      <c r="I3909" s="508">
        <v>5.8000000000000003E-2</v>
      </c>
      <c r="J3909" s="508">
        <v>6.4000000000000001E-2</v>
      </c>
      <c r="K3909" s="508">
        <v>3.7999999999999999E-2</v>
      </c>
      <c r="L3909" s="508">
        <v>0.375</v>
      </c>
      <c r="M3909" s="508">
        <v>0.28199999999999997</v>
      </c>
      <c r="N3909" s="508">
        <v>0.13700000000000001</v>
      </c>
      <c r="O3909" s="508">
        <v>0.20799999999999999</v>
      </c>
      <c r="P3909" s="508">
        <v>0.56200000000000006</v>
      </c>
      <c r="Q3909" s="508">
        <v>0.34</v>
      </c>
      <c r="R3909" s="508">
        <v>0.21299999999999999</v>
      </c>
      <c r="S3909" s="508">
        <v>0.221</v>
      </c>
      <c r="T3909" s="508">
        <v>0.19500000000000001</v>
      </c>
      <c r="U3909" s="508">
        <v>0.14599999999999999</v>
      </c>
      <c r="V3909" s="508">
        <v>0.22700000000000001</v>
      </c>
      <c r="W3909" s="508">
        <v>0.19</v>
      </c>
      <c r="X3909" s="508">
        <v>0.19</v>
      </c>
      <c r="Y3909" s="508">
        <v>0.20699999999999999</v>
      </c>
      <c r="Z3909" s="508">
        <v>0.222</v>
      </c>
      <c r="AA3909" s="508">
        <v>1.4999999999999999E-2</v>
      </c>
      <c r="AB3909" s="508">
        <v>1.4999999999999999E-2</v>
      </c>
      <c r="AC3909" s="508">
        <v>1.2999999999999999E-2</v>
      </c>
      <c r="AD3909" s="508">
        <v>1.0999999999999999E-2</v>
      </c>
      <c r="AE3909" s="508">
        <v>1.2E-2</v>
      </c>
      <c r="AF3909" s="508">
        <v>8.0000000000000002E-3</v>
      </c>
      <c r="AG3909" s="508">
        <v>8.0000000000000002E-3</v>
      </c>
      <c r="AH3909" s="508">
        <v>8.0000000000000002E-3</v>
      </c>
      <c r="AI3909" s="492">
        <v>8.0000000000000002E-3</v>
      </c>
      <c r="AJ3909" s="485"/>
    </row>
    <row r="3910" spans="2:36">
      <c r="B3910" s="136" t="s">
        <v>446</v>
      </c>
      <c r="C3910" s="132" t="s">
        <v>1368</v>
      </c>
      <c r="D3910" s="132" t="s">
        <v>284</v>
      </c>
      <c r="E3910" s="508">
        <v>0.32900000000000001</v>
      </c>
      <c r="F3910" s="508">
        <v>0.38800000000000001</v>
      </c>
      <c r="G3910" s="508">
        <v>0.19700000000000001</v>
      </c>
      <c r="H3910" s="508">
        <v>5.8000000000000003E-2</v>
      </c>
      <c r="I3910" s="508">
        <v>5.8000000000000003E-2</v>
      </c>
      <c r="J3910" s="508">
        <v>6.4000000000000001E-2</v>
      </c>
      <c r="K3910" s="508">
        <v>3.6999999999999998E-2</v>
      </c>
      <c r="L3910" s="508">
        <v>0.36599999999999999</v>
      </c>
      <c r="M3910" s="508">
        <v>0.27500000000000002</v>
      </c>
      <c r="N3910" s="508">
        <v>0.13200000000000001</v>
      </c>
      <c r="O3910" s="508">
        <v>0.19800000000000001</v>
      </c>
      <c r="P3910" s="508">
        <v>0.53</v>
      </c>
      <c r="Q3910" s="508">
        <v>0.32100000000000001</v>
      </c>
      <c r="R3910" s="508">
        <v>0.20599999999999999</v>
      </c>
      <c r="S3910" s="508">
        <v>0.215</v>
      </c>
      <c r="T3910" s="508">
        <v>0.19</v>
      </c>
      <c r="U3910" s="508">
        <v>0.14099999999999999</v>
      </c>
      <c r="V3910" s="508">
        <v>0.22</v>
      </c>
      <c r="W3910" s="508">
        <v>0.184</v>
      </c>
      <c r="X3910" s="508">
        <v>0.184</v>
      </c>
      <c r="Y3910" s="508">
        <v>0.20100000000000001</v>
      </c>
      <c r="Z3910" s="508">
        <v>0.216</v>
      </c>
      <c r="AA3910" s="508">
        <v>1.4E-2</v>
      </c>
      <c r="AB3910" s="508">
        <v>1.4E-2</v>
      </c>
      <c r="AC3910" s="508">
        <v>1.2999999999999999E-2</v>
      </c>
      <c r="AD3910" s="508">
        <v>1.0999999999999999E-2</v>
      </c>
      <c r="AE3910" s="508">
        <v>1.2E-2</v>
      </c>
      <c r="AF3910" s="508">
        <v>7.0000000000000001E-3</v>
      </c>
      <c r="AG3910" s="508">
        <v>7.0000000000000001E-3</v>
      </c>
      <c r="AH3910" s="508">
        <v>7.0000000000000001E-3</v>
      </c>
      <c r="AI3910" s="492">
        <v>7.0000000000000001E-3</v>
      </c>
      <c r="AJ3910" s="485"/>
    </row>
    <row r="3911" spans="2:36">
      <c r="B3911" s="136" t="s">
        <v>448</v>
      </c>
      <c r="C3911" s="132" t="s">
        <v>1368</v>
      </c>
      <c r="D3911" s="132" t="s">
        <v>284</v>
      </c>
      <c r="E3911" s="508">
        <v>0.31900000000000001</v>
      </c>
      <c r="F3911" s="508">
        <v>0.377</v>
      </c>
      <c r="G3911" s="508">
        <v>0.193</v>
      </c>
      <c r="H3911" s="508">
        <v>5.8000000000000003E-2</v>
      </c>
      <c r="I3911" s="508">
        <v>5.8000000000000003E-2</v>
      </c>
      <c r="J3911" s="508">
        <v>6.7000000000000004E-2</v>
      </c>
      <c r="K3911" s="508">
        <v>3.5999999999999997E-2</v>
      </c>
      <c r="L3911" s="508">
        <v>0.34599999999999997</v>
      </c>
      <c r="M3911" s="508">
        <v>0.26</v>
      </c>
      <c r="N3911" s="508">
        <v>0.11899999999999999</v>
      </c>
      <c r="O3911" s="508">
        <v>0.17399999999999999</v>
      </c>
      <c r="P3911" s="508">
        <v>0.45500000000000002</v>
      </c>
      <c r="Q3911" s="508">
        <v>0.27800000000000002</v>
      </c>
      <c r="R3911" s="508">
        <v>0.192</v>
      </c>
      <c r="S3911" s="508">
        <v>0.2</v>
      </c>
      <c r="T3911" s="508">
        <v>0.17699999999999999</v>
      </c>
      <c r="U3911" s="508">
        <v>0.13100000000000001</v>
      </c>
      <c r="V3911" s="508">
        <v>0.20399999999999999</v>
      </c>
      <c r="W3911" s="508">
        <v>0.17100000000000001</v>
      </c>
      <c r="X3911" s="508">
        <v>0.17100000000000001</v>
      </c>
      <c r="Y3911" s="508">
        <v>0.186</v>
      </c>
      <c r="Z3911" s="508">
        <v>0.2</v>
      </c>
      <c r="AA3911" s="508">
        <v>1.2999999999999999E-2</v>
      </c>
      <c r="AB3911" s="508">
        <v>1.2999999999999999E-2</v>
      </c>
      <c r="AC3911" s="508">
        <v>1.2E-2</v>
      </c>
      <c r="AD3911" s="508">
        <v>0.01</v>
      </c>
      <c r="AE3911" s="508">
        <v>1.0999999999999999E-2</v>
      </c>
      <c r="AF3911" s="508">
        <v>7.0000000000000001E-3</v>
      </c>
      <c r="AG3911" s="508">
        <v>7.0000000000000001E-3</v>
      </c>
      <c r="AH3911" s="508">
        <v>7.0000000000000001E-3</v>
      </c>
      <c r="AI3911" s="492">
        <v>7.0000000000000001E-3</v>
      </c>
      <c r="AJ3911" s="485"/>
    </row>
    <row r="3912" spans="2:36">
      <c r="B3912" s="136" t="s">
        <v>449</v>
      </c>
      <c r="C3912" s="132" t="s">
        <v>1368</v>
      </c>
      <c r="D3912" s="132" t="s">
        <v>284</v>
      </c>
      <c r="E3912" s="508">
        <v>0.32600000000000001</v>
      </c>
      <c r="F3912" s="508">
        <v>0.38400000000000001</v>
      </c>
      <c r="G3912" s="508">
        <v>0.19500000000000001</v>
      </c>
      <c r="H3912" s="508">
        <v>5.7000000000000002E-2</v>
      </c>
      <c r="I3912" s="508">
        <v>5.7000000000000002E-2</v>
      </c>
      <c r="J3912" s="508">
        <v>6.5000000000000002E-2</v>
      </c>
      <c r="K3912" s="508">
        <v>3.5999999999999997E-2</v>
      </c>
      <c r="L3912" s="508">
        <v>0.36</v>
      </c>
      <c r="M3912" s="508">
        <v>0.27100000000000002</v>
      </c>
      <c r="N3912" s="508">
        <v>0.128</v>
      </c>
      <c r="O3912" s="508">
        <v>0.189</v>
      </c>
      <c r="P3912" s="508">
        <v>0.505</v>
      </c>
      <c r="Q3912" s="508">
        <v>0.307</v>
      </c>
      <c r="R3912" s="508">
        <v>0.20200000000000001</v>
      </c>
      <c r="S3912" s="508">
        <v>0.20899999999999999</v>
      </c>
      <c r="T3912" s="508">
        <v>0.185</v>
      </c>
      <c r="U3912" s="508">
        <v>0.13800000000000001</v>
      </c>
      <c r="V3912" s="508">
        <v>0.215</v>
      </c>
      <c r="W3912" s="508">
        <v>0.17899999999999999</v>
      </c>
      <c r="X3912" s="508">
        <v>0.18</v>
      </c>
      <c r="Y3912" s="508">
        <v>0.19600000000000001</v>
      </c>
      <c r="Z3912" s="508">
        <v>0.21</v>
      </c>
      <c r="AA3912" s="508">
        <v>1.4E-2</v>
      </c>
      <c r="AB3912" s="508">
        <v>1.4E-2</v>
      </c>
      <c r="AC3912" s="508">
        <v>1.2E-2</v>
      </c>
      <c r="AD3912" s="508">
        <v>0.01</v>
      </c>
      <c r="AE3912" s="508">
        <v>1.2E-2</v>
      </c>
      <c r="AF3912" s="508">
        <v>7.0000000000000001E-3</v>
      </c>
      <c r="AG3912" s="508">
        <v>7.0000000000000001E-3</v>
      </c>
      <c r="AH3912" s="508">
        <v>7.0000000000000001E-3</v>
      </c>
      <c r="AI3912" s="492">
        <v>7.0000000000000001E-3</v>
      </c>
      <c r="AJ3912" s="485"/>
    </row>
    <row r="3913" spans="2:36">
      <c r="B3913" s="136" t="s">
        <v>450</v>
      </c>
      <c r="C3913" s="132" t="s">
        <v>1368</v>
      </c>
      <c r="D3913" s="132" t="s">
        <v>284</v>
      </c>
      <c r="E3913" s="508">
        <v>0.318</v>
      </c>
      <c r="F3913" s="508">
        <v>0.375</v>
      </c>
      <c r="G3913" s="508">
        <v>0.191</v>
      </c>
      <c r="H3913" s="508">
        <v>5.7000000000000002E-2</v>
      </c>
      <c r="I3913" s="508">
        <v>5.7000000000000002E-2</v>
      </c>
      <c r="J3913" s="508">
        <v>6.6000000000000003E-2</v>
      </c>
      <c r="K3913" s="508">
        <v>3.5000000000000003E-2</v>
      </c>
      <c r="L3913" s="508">
        <v>0.34599999999999997</v>
      </c>
      <c r="M3913" s="508">
        <v>0.26</v>
      </c>
      <c r="N3913" s="508">
        <v>0.11899999999999999</v>
      </c>
      <c r="O3913" s="508">
        <v>0.17299999999999999</v>
      </c>
      <c r="P3913" s="508">
        <v>0.45500000000000002</v>
      </c>
      <c r="Q3913" s="508">
        <v>0.27800000000000002</v>
      </c>
      <c r="R3913" s="508">
        <v>0.192</v>
      </c>
      <c r="S3913" s="508">
        <v>0.19900000000000001</v>
      </c>
      <c r="T3913" s="508">
        <v>0.17599999999999999</v>
      </c>
      <c r="U3913" s="508">
        <v>0.13100000000000001</v>
      </c>
      <c r="V3913" s="508">
        <v>0.20399999999999999</v>
      </c>
      <c r="W3913" s="508">
        <v>0.17</v>
      </c>
      <c r="X3913" s="508">
        <v>0.17100000000000001</v>
      </c>
      <c r="Y3913" s="508">
        <v>0.186</v>
      </c>
      <c r="Z3913" s="508">
        <v>0.2</v>
      </c>
      <c r="AA3913" s="508">
        <v>1.2999999999999999E-2</v>
      </c>
      <c r="AB3913" s="508">
        <v>1.2999999999999999E-2</v>
      </c>
      <c r="AC3913" s="508">
        <v>1.2E-2</v>
      </c>
      <c r="AD3913" s="508">
        <v>0.01</v>
      </c>
      <c r="AE3913" s="508">
        <v>1.0999999999999999E-2</v>
      </c>
      <c r="AF3913" s="508">
        <v>7.0000000000000001E-3</v>
      </c>
      <c r="AG3913" s="508">
        <v>7.0000000000000001E-3</v>
      </c>
      <c r="AH3913" s="508">
        <v>7.0000000000000001E-3</v>
      </c>
      <c r="AI3913" s="492">
        <v>7.0000000000000001E-3</v>
      </c>
      <c r="AJ3913" s="485"/>
    </row>
    <row r="3914" spans="2:36">
      <c r="B3914" s="136" t="s">
        <v>451</v>
      </c>
      <c r="C3914" s="132" t="s">
        <v>1368</v>
      </c>
      <c r="D3914" s="132" t="s">
        <v>284</v>
      </c>
      <c r="E3914" s="508">
        <v>0.33</v>
      </c>
      <c r="F3914" s="508">
        <v>0.38900000000000001</v>
      </c>
      <c r="G3914" s="508">
        <v>0.19900000000000001</v>
      </c>
      <c r="H3914" s="508">
        <v>5.8999999999999997E-2</v>
      </c>
      <c r="I3914" s="508">
        <v>5.8999999999999997E-2</v>
      </c>
      <c r="J3914" s="508">
        <v>6.6000000000000003E-2</v>
      </c>
      <c r="K3914" s="508">
        <v>3.7999999999999999E-2</v>
      </c>
      <c r="L3914" s="508">
        <v>0.36599999999999999</v>
      </c>
      <c r="M3914" s="508">
        <v>0.27600000000000002</v>
      </c>
      <c r="N3914" s="508">
        <v>0.13300000000000001</v>
      </c>
      <c r="O3914" s="508">
        <v>0.19900000000000001</v>
      </c>
      <c r="P3914" s="508">
        <v>0.53300000000000003</v>
      </c>
      <c r="Q3914" s="508">
        <v>0.32300000000000001</v>
      </c>
      <c r="R3914" s="508">
        <v>0.20699999999999999</v>
      </c>
      <c r="S3914" s="508">
        <v>0.216</v>
      </c>
      <c r="T3914" s="508">
        <v>0.191</v>
      </c>
      <c r="U3914" s="508">
        <v>0.14199999999999999</v>
      </c>
      <c r="V3914" s="508">
        <v>0.221</v>
      </c>
      <c r="W3914" s="508">
        <v>0.185</v>
      </c>
      <c r="X3914" s="508">
        <v>0.185</v>
      </c>
      <c r="Y3914" s="508">
        <v>0.20100000000000001</v>
      </c>
      <c r="Z3914" s="508">
        <v>0.216</v>
      </c>
      <c r="AA3914" s="508">
        <v>1.4E-2</v>
      </c>
      <c r="AB3914" s="508">
        <v>1.4999999999999999E-2</v>
      </c>
      <c r="AC3914" s="508">
        <v>1.2999999999999999E-2</v>
      </c>
      <c r="AD3914" s="508">
        <v>1.0999999999999999E-2</v>
      </c>
      <c r="AE3914" s="508">
        <v>1.2E-2</v>
      </c>
      <c r="AF3914" s="508">
        <v>7.0000000000000001E-3</v>
      </c>
      <c r="AG3914" s="508">
        <v>7.0000000000000001E-3</v>
      </c>
      <c r="AH3914" s="508">
        <v>7.0000000000000001E-3</v>
      </c>
      <c r="AI3914" s="492">
        <v>7.0000000000000001E-3</v>
      </c>
      <c r="AJ3914" s="485"/>
    </row>
    <row r="3915" spans="2:36">
      <c r="B3915" s="136" t="s">
        <v>452</v>
      </c>
      <c r="C3915" s="132" t="s">
        <v>1368</v>
      </c>
      <c r="D3915" s="132" t="s">
        <v>284</v>
      </c>
      <c r="E3915" s="508">
        <v>0.32400000000000001</v>
      </c>
      <c r="F3915" s="508">
        <v>0.38200000000000001</v>
      </c>
      <c r="G3915" s="508">
        <v>0.19400000000000001</v>
      </c>
      <c r="H3915" s="508">
        <v>5.7000000000000002E-2</v>
      </c>
      <c r="I3915" s="508">
        <v>5.7000000000000002E-2</v>
      </c>
      <c r="J3915" s="508">
        <v>6.5000000000000002E-2</v>
      </c>
      <c r="K3915" s="508">
        <v>3.5999999999999997E-2</v>
      </c>
      <c r="L3915" s="508">
        <v>0.35599999999999998</v>
      </c>
      <c r="M3915" s="508">
        <v>0.26800000000000002</v>
      </c>
      <c r="N3915" s="508">
        <v>0.125</v>
      </c>
      <c r="O3915" s="508">
        <v>0.185</v>
      </c>
      <c r="P3915" s="508">
        <v>0.49099999999999999</v>
      </c>
      <c r="Q3915" s="508">
        <v>0.29899999999999999</v>
      </c>
      <c r="R3915" s="508">
        <v>0.19900000000000001</v>
      </c>
      <c r="S3915" s="508">
        <v>0.20699999999999999</v>
      </c>
      <c r="T3915" s="508">
        <v>0.183</v>
      </c>
      <c r="U3915" s="508">
        <v>0.13600000000000001</v>
      </c>
      <c r="V3915" s="508">
        <v>0.21199999999999999</v>
      </c>
      <c r="W3915" s="508">
        <v>0.17699999999999999</v>
      </c>
      <c r="X3915" s="508">
        <v>0.17799999999999999</v>
      </c>
      <c r="Y3915" s="508">
        <v>0.193</v>
      </c>
      <c r="Z3915" s="508">
        <v>0.20699999999999999</v>
      </c>
      <c r="AA3915" s="508">
        <v>1.4E-2</v>
      </c>
      <c r="AB3915" s="508">
        <v>1.4E-2</v>
      </c>
      <c r="AC3915" s="508">
        <v>1.2E-2</v>
      </c>
      <c r="AD3915" s="508">
        <v>0.01</v>
      </c>
      <c r="AE3915" s="508">
        <v>1.2E-2</v>
      </c>
      <c r="AF3915" s="508">
        <v>7.0000000000000001E-3</v>
      </c>
      <c r="AG3915" s="508">
        <v>7.0000000000000001E-3</v>
      </c>
      <c r="AH3915" s="508">
        <v>7.0000000000000001E-3</v>
      </c>
      <c r="AI3915" s="492">
        <v>7.0000000000000001E-3</v>
      </c>
      <c r="AJ3915" s="485"/>
    </row>
    <row r="3916" spans="2:36">
      <c r="B3916" s="136" t="s">
        <v>453</v>
      </c>
      <c r="C3916" s="132" t="s">
        <v>1368</v>
      </c>
      <c r="D3916" s="132" t="s">
        <v>284</v>
      </c>
      <c r="E3916" s="508">
        <v>0.317</v>
      </c>
      <c r="F3916" s="508">
        <v>0.375</v>
      </c>
      <c r="G3916" s="508">
        <v>0.191</v>
      </c>
      <c r="H3916" s="508">
        <v>5.7000000000000002E-2</v>
      </c>
      <c r="I3916" s="508">
        <v>5.7000000000000002E-2</v>
      </c>
      <c r="J3916" s="508">
        <v>6.6000000000000003E-2</v>
      </c>
      <c r="K3916" s="508">
        <v>3.5000000000000003E-2</v>
      </c>
      <c r="L3916" s="508">
        <v>0.34399999999999997</v>
      </c>
      <c r="M3916" s="508">
        <v>0.25900000000000001</v>
      </c>
      <c r="N3916" s="508">
        <v>0.11799999999999999</v>
      </c>
      <c r="O3916" s="508">
        <v>0.17</v>
      </c>
      <c r="P3916" s="508">
        <v>0.44600000000000001</v>
      </c>
      <c r="Q3916" s="508">
        <v>0.27300000000000002</v>
      </c>
      <c r="R3916" s="508">
        <v>0.19</v>
      </c>
      <c r="S3916" s="508">
        <v>0.19700000000000001</v>
      </c>
      <c r="T3916" s="508">
        <v>0.17499999999999999</v>
      </c>
      <c r="U3916" s="508">
        <v>0.13</v>
      </c>
      <c r="V3916" s="508">
        <v>0.20200000000000001</v>
      </c>
      <c r="W3916" s="508">
        <v>0.16900000000000001</v>
      </c>
      <c r="X3916" s="508">
        <v>0.17</v>
      </c>
      <c r="Y3916" s="508">
        <v>0.184</v>
      </c>
      <c r="Z3916" s="508">
        <v>0.19800000000000001</v>
      </c>
      <c r="AA3916" s="508">
        <v>1.2999999999999999E-2</v>
      </c>
      <c r="AB3916" s="508">
        <v>1.2999999999999999E-2</v>
      </c>
      <c r="AC3916" s="508">
        <v>1.2E-2</v>
      </c>
      <c r="AD3916" s="508">
        <v>0.01</v>
      </c>
      <c r="AE3916" s="508">
        <v>1.0999999999999999E-2</v>
      </c>
      <c r="AF3916" s="508">
        <v>7.0000000000000001E-3</v>
      </c>
      <c r="AG3916" s="508">
        <v>7.0000000000000001E-3</v>
      </c>
      <c r="AH3916" s="508">
        <v>7.0000000000000001E-3</v>
      </c>
      <c r="AI3916" s="492">
        <v>7.0000000000000001E-3</v>
      </c>
      <c r="AJ3916" s="485"/>
    </row>
    <row r="3917" spans="2:36">
      <c r="B3917" s="136" t="s">
        <v>454</v>
      </c>
      <c r="C3917" s="132" t="s">
        <v>1368</v>
      </c>
      <c r="D3917" s="132" t="s">
        <v>284</v>
      </c>
      <c r="E3917" s="508">
        <v>0.31900000000000001</v>
      </c>
      <c r="F3917" s="508">
        <v>0.376</v>
      </c>
      <c r="G3917" s="508">
        <v>0.193</v>
      </c>
      <c r="H3917" s="508">
        <v>5.7000000000000002E-2</v>
      </c>
      <c r="I3917" s="508">
        <v>5.7000000000000002E-2</v>
      </c>
      <c r="J3917" s="508">
        <v>6.7000000000000004E-2</v>
      </c>
      <c r="K3917" s="508">
        <v>3.5999999999999997E-2</v>
      </c>
      <c r="L3917" s="508">
        <v>0.34499999999999997</v>
      </c>
      <c r="M3917" s="508">
        <v>0.26</v>
      </c>
      <c r="N3917" s="508">
        <v>0.11899999999999999</v>
      </c>
      <c r="O3917" s="508">
        <v>0.17299999999999999</v>
      </c>
      <c r="P3917" s="508">
        <v>0.45300000000000001</v>
      </c>
      <c r="Q3917" s="508">
        <v>0.27600000000000002</v>
      </c>
      <c r="R3917" s="508">
        <v>0.192</v>
      </c>
      <c r="S3917" s="508">
        <v>0.19900000000000001</v>
      </c>
      <c r="T3917" s="508">
        <v>0.17599999999999999</v>
      </c>
      <c r="U3917" s="508">
        <v>0.13100000000000001</v>
      </c>
      <c r="V3917" s="508">
        <v>0.20300000000000001</v>
      </c>
      <c r="W3917" s="508">
        <v>0.17</v>
      </c>
      <c r="X3917" s="508">
        <v>0.17100000000000001</v>
      </c>
      <c r="Y3917" s="508">
        <v>0.185</v>
      </c>
      <c r="Z3917" s="508">
        <v>0.19900000000000001</v>
      </c>
      <c r="AA3917" s="508">
        <v>1.2999999999999999E-2</v>
      </c>
      <c r="AB3917" s="508">
        <v>1.2999999999999999E-2</v>
      </c>
      <c r="AC3917" s="508">
        <v>1.2E-2</v>
      </c>
      <c r="AD3917" s="508">
        <v>0.01</v>
      </c>
      <c r="AE3917" s="508">
        <v>1.0999999999999999E-2</v>
      </c>
      <c r="AF3917" s="508">
        <v>7.0000000000000001E-3</v>
      </c>
      <c r="AG3917" s="508">
        <v>7.0000000000000001E-3</v>
      </c>
      <c r="AH3917" s="508">
        <v>7.0000000000000001E-3</v>
      </c>
      <c r="AI3917" s="492">
        <v>7.0000000000000001E-3</v>
      </c>
      <c r="AJ3917" s="485"/>
    </row>
    <row r="3918" spans="2:36">
      <c r="B3918" s="136" t="s">
        <v>455</v>
      </c>
      <c r="C3918" s="132" t="s">
        <v>1368</v>
      </c>
      <c r="D3918" s="132" t="s">
        <v>284</v>
      </c>
      <c r="E3918" s="508">
        <v>0.317</v>
      </c>
      <c r="F3918" s="508">
        <v>0.375</v>
      </c>
      <c r="G3918" s="508">
        <v>0.193</v>
      </c>
      <c r="H3918" s="508">
        <v>5.8000000000000003E-2</v>
      </c>
      <c r="I3918" s="508">
        <v>5.8000000000000003E-2</v>
      </c>
      <c r="J3918" s="508">
        <v>6.8000000000000005E-2</v>
      </c>
      <c r="K3918" s="508">
        <v>3.5999999999999997E-2</v>
      </c>
      <c r="L3918" s="508">
        <v>0.34100000000000003</v>
      </c>
      <c r="M3918" s="508">
        <v>0.25700000000000001</v>
      </c>
      <c r="N3918" s="508">
        <v>0.11700000000000001</v>
      </c>
      <c r="O3918" s="508">
        <v>0.16900000000000001</v>
      </c>
      <c r="P3918" s="508">
        <v>0.44</v>
      </c>
      <c r="Q3918" s="508">
        <v>0.26900000000000002</v>
      </c>
      <c r="R3918" s="508">
        <v>0.189</v>
      </c>
      <c r="S3918" s="508">
        <v>0.19700000000000001</v>
      </c>
      <c r="T3918" s="508">
        <v>0.17399999999999999</v>
      </c>
      <c r="U3918" s="508">
        <v>0.129</v>
      </c>
      <c r="V3918" s="508">
        <v>0.20100000000000001</v>
      </c>
      <c r="W3918" s="508">
        <v>0.16800000000000001</v>
      </c>
      <c r="X3918" s="508">
        <v>0.16900000000000001</v>
      </c>
      <c r="Y3918" s="508">
        <v>0.183</v>
      </c>
      <c r="Z3918" s="508">
        <v>0.19700000000000001</v>
      </c>
      <c r="AA3918" s="508">
        <v>1.2999999999999999E-2</v>
      </c>
      <c r="AB3918" s="508">
        <v>1.2999999999999999E-2</v>
      </c>
      <c r="AC3918" s="508">
        <v>1.2E-2</v>
      </c>
      <c r="AD3918" s="508">
        <v>0.01</v>
      </c>
      <c r="AE3918" s="508">
        <v>1.0999999999999999E-2</v>
      </c>
      <c r="AF3918" s="508">
        <v>7.0000000000000001E-3</v>
      </c>
      <c r="AG3918" s="508">
        <v>7.0000000000000001E-3</v>
      </c>
      <c r="AH3918" s="508">
        <v>7.0000000000000001E-3</v>
      </c>
      <c r="AI3918" s="492">
        <v>7.0000000000000001E-3</v>
      </c>
      <c r="AJ3918" s="485"/>
    </row>
    <row r="3919" spans="2:36">
      <c r="B3919" s="136" t="s">
        <v>456</v>
      </c>
      <c r="C3919" s="132" t="s">
        <v>1368</v>
      </c>
      <c r="D3919" s="132" t="s">
        <v>284</v>
      </c>
      <c r="E3919" s="508">
        <v>0.32100000000000001</v>
      </c>
      <c r="F3919" s="508">
        <v>0.379</v>
      </c>
      <c r="G3919" s="508">
        <v>0.19400000000000001</v>
      </c>
      <c r="H3919" s="508">
        <v>5.8000000000000003E-2</v>
      </c>
      <c r="I3919" s="508">
        <v>5.8000000000000003E-2</v>
      </c>
      <c r="J3919" s="508">
        <v>6.7000000000000004E-2</v>
      </c>
      <c r="K3919" s="508">
        <v>3.5999999999999997E-2</v>
      </c>
      <c r="L3919" s="508">
        <v>0.34899999999999998</v>
      </c>
      <c r="M3919" s="508">
        <v>0.26300000000000001</v>
      </c>
      <c r="N3919" s="508">
        <v>0.121</v>
      </c>
      <c r="O3919" s="508">
        <v>0.17799999999999999</v>
      </c>
      <c r="P3919" s="508">
        <v>0.46800000000000003</v>
      </c>
      <c r="Q3919" s="508">
        <v>0.28599999999999998</v>
      </c>
      <c r="R3919" s="508">
        <v>0.19500000000000001</v>
      </c>
      <c r="S3919" s="508">
        <v>0.20200000000000001</v>
      </c>
      <c r="T3919" s="508">
        <v>0.17899999999999999</v>
      </c>
      <c r="U3919" s="508">
        <v>0.13300000000000001</v>
      </c>
      <c r="V3919" s="508">
        <v>0.20699999999999999</v>
      </c>
      <c r="W3919" s="508">
        <v>0.17299999999999999</v>
      </c>
      <c r="X3919" s="508">
        <v>0.17399999999999999</v>
      </c>
      <c r="Y3919" s="508">
        <v>0.189</v>
      </c>
      <c r="Z3919" s="508">
        <v>0.20300000000000001</v>
      </c>
      <c r="AA3919" s="508">
        <v>1.2999999999999999E-2</v>
      </c>
      <c r="AB3919" s="508">
        <v>1.2999999999999999E-2</v>
      </c>
      <c r="AC3919" s="508">
        <v>1.2E-2</v>
      </c>
      <c r="AD3919" s="508">
        <v>0.01</v>
      </c>
      <c r="AE3919" s="508">
        <v>1.0999999999999999E-2</v>
      </c>
      <c r="AF3919" s="508">
        <v>7.0000000000000001E-3</v>
      </c>
      <c r="AG3919" s="508">
        <v>7.0000000000000001E-3</v>
      </c>
      <c r="AH3919" s="508">
        <v>7.0000000000000001E-3</v>
      </c>
      <c r="AI3919" s="492">
        <v>7.0000000000000001E-3</v>
      </c>
      <c r="AJ3919" s="485"/>
    </row>
    <row r="3920" spans="2:36">
      <c r="B3920" s="136" t="s">
        <v>457</v>
      </c>
      <c r="C3920" s="132" t="s">
        <v>1368</v>
      </c>
      <c r="D3920" s="132" t="s">
        <v>284</v>
      </c>
      <c r="E3920" s="508">
        <v>0.314</v>
      </c>
      <c r="F3920" s="508">
        <v>0.371</v>
      </c>
      <c r="G3920" s="508">
        <v>0.189</v>
      </c>
      <c r="H3920" s="508">
        <v>5.6000000000000001E-2</v>
      </c>
      <c r="I3920" s="508">
        <v>5.6000000000000001E-2</v>
      </c>
      <c r="J3920" s="508">
        <v>6.7000000000000004E-2</v>
      </c>
      <c r="K3920" s="508">
        <v>3.4000000000000002E-2</v>
      </c>
      <c r="L3920" s="508">
        <v>0.33700000000000002</v>
      </c>
      <c r="M3920" s="508">
        <v>0.253</v>
      </c>
      <c r="N3920" s="508">
        <v>0.113</v>
      </c>
      <c r="O3920" s="508">
        <v>0.161</v>
      </c>
      <c r="P3920" s="508">
        <v>0.42</v>
      </c>
      <c r="Q3920" s="508">
        <v>0.25700000000000001</v>
      </c>
      <c r="R3920" s="508">
        <v>0.185</v>
      </c>
      <c r="S3920" s="508">
        <v>0.192</v>
      </c>
      <c r="T3920" s="508">
        <v>0.17</v>
      </c>
      <c r="U3920" s="508">
        <v>0.126</v>
      </c>
      <c r="V3920" s="508">
        <v>0.19700000000000001</v>
      </c>
      <c r="W3920" s="508">
        <v>0.16400000000000001</v>
      </c>
      <c r="X3920" s="508">
        <v>0.16500000000000001</v>
      </c>
      <c r="Y3920" s="508">
        <v>0.17899999999999999</v>
      </c>
      <c r="Z3920" s="508">
        <v>0.193</v>
      </c>
      <c r="AA3920" s="508">
        <v>1.2999999999999999E-2</v>
      </c>
      <c r="AB3920" s="508">
        <v>1.2999999999999999E-2</v>
      </c>
      <c r="AC3920" s="508">
        <v>1.0999999999999999E-2</v>
      </c>
      <c r="AD3920" s="508">
        <v>8.9999999999999993E-3</v>
      </c>
      <c r="AE3920" s="508">
        <v>1.0999999999999999E-2</v>
      </c>
      <c r="AF3920" s="508">
        <v>7.0000000000000001E-3</v>
      </c>
      <c r="AG3920" s="508">
        <v>6.0000000000000001E-3</v>
      </c>
      <c r="AH3920" s="508">
        <v>6.0000000000000001E-3</v>
      </c>
      <c r="AI3920" s="492">
        <v>6.0000000000000001E-3</v>
      </c>
      <c r="AJ3920" s="485"/>
    </row>
    <row r="3921" spans="2:36">
      <c r="B3921" s="136" t="s">
        <v>458</v>
      </c>
      <c r="C3921" s="132" t="s">
        <v>1368</v>
      </c>
      <c r="D3921" s="132" t="s">
        <v>284</v>
      </c>
      <c r="E3921" s="508">
        <v>0.32200000000000001</v>
      </c>
      <c r="F3921" s="508">
        <v>0.38100000000000001</v>
      </c>
      <c r="G3921" s="508">
        <v>0.19700000000000001</v>
      </c>
      <c r="H3921" s="508">
        <v>5.8999999999999997E-2</v>
      </c>
      <c r="I3921" s="508">
        <v>5.8999999999999997E-2</v>
      </c>
      <c r="J3921" s="508">
        <v>6.9000000000000006E-2</v>
      </c>
      <c r="K3921" s="508">
        <v>3.6999999999999998E-2</v>
      </c>
      <c r="L3921" s="508">
        <v>0.34899999999999998</v>
      </c>
      <c r="M3921" s="508">
        <v>0.26300000000000001</v>
      </c>
      <c r="N3921" s="508">
        <v>0.122</v>
      </c>
      <c r="O3921" s="508">
        <v>0.18</v>
      </c>
      <c r="P3921" s="508">
        <v>0.47199999999999998</v>
      </c>
      <c r="Q3921" s="508">
        <v>0.28799999999999998</v>
      </c>
      <c r="R3921" s="508">
        <v>0.19600000000000001</v>
      </c>
      <c r="S3921" s="508">
        <v>0.20399999999999999</v>
      </c>
      <c r="T3921" s="508">
        <v>0.18</v>
      </c>
      <c r="U3921" s="508">
        <v>0.13400000000000001</v>
      </c>
      <c r="V3921" s="508">
        <v>0.20799999999999999</v>
      </c>
      <c r="W3921" s="508">
        <v>0.17399999999999999</v>
      </c>
      <c r="X3921" s="508">
        <v>0.17399999999999999</v>
      </c>
      <c r="Y3921" s="508">
        <v>0.189</v>
      </c>
      <c r="Z3921" s="508">
        <v>0.20300000000000001</v>
      </c>
      <c r="AA3921" s="508">
        <v>1.4E-2</v>
      </c>
      <c r="AB3921" s="508">
        <v>1.4E-2</v>
      </c>
      <c r="AC3921" s="508">
        <v>1.2E-2</v>
      </c>
      <c r="AD3921" s="508">
        <v>0.01</v>
      </c>
      <c r="AE3921" s="508">
        <v>1.0999999999999999E-2</v>
      </c>
      <c r="AF3921" s="508">
        <v>7.0000000000000001E-3</v>
      </c>
      <c r="AG3921" s="508">
        <v>7.0000000000000001E-3</v>
      </c>
      <c r="AH3921" s="508">
        <v>7.0000000000000001E-3</v>
      </c>
      <c r="AI3921" s="492">
        <v>7.0000000000000001E-3</v>
      </c>
      <c r="AJ3921" s="485"/>
    </row>
    <row r="3922" spans="2:36">
      <c r="B3922" s="136" t="s">
        <v>459</v>
      </c>
      <c r="C3922" s="132" t="s">
        <v>1368</v>
      </c>
      <c r="D3922" s="132" t="s">
        <v>284</v>
      </c>
      <c r="E3922" s="508">
        <v>0.32200000000000001</v>
      </c>
      <c r="F3922" s="508">
        <v>0.38100000000000001</v>
      </c>
      <c r="G3922" s="508">
        <v>0.19700000000000001</v>
      </c>
      <c r="H3922" s="508">
        <v>5.8999999999999997E-2</v>
      </c>
      <c r="I3922" s="508">
        <v>5.8999999999999997E-2</v>
      </c>
      <c r="J3922" s="508">
        <v>6.9000000000000006E-2</v>
      </c>
      <c r="K3922" s="508">
        <v>3.6999999999999998E-2</v>
      </c>
      <c r="L3922" s="508">
        <v>0.34899999999999998</v>
      </c>
      <c r="M3922" s="508">
        <v>0.26300000000000001</v>
      </c>
      <c r="N3922" s="508">
        <v>0.122</v>
      </c>
      <c r="O3922" s="508">
        <v>0.18</v>
      </c>
      <c r="P3922" s="508">
        <v>0.47199999999999998</v>
      </c>
      <c r="Q3922" s="508">
        <v>0.28799999999999998</v>
      </c>
      <c r="R3922" s="508">
        <v>0.19600000000000001</v>
      </c>
      <c r="S3922" s="508">
        <v>0.20399999999999999</v>
      </c>
      <c r="T3922" s="508">
        <v>0.18</v>
      </c>
      <c r="U3922" s="508">
        <v>0.13400000000000001</v>
      </c>
      <c r="V3922" s="508">
        <v>0.20799999999999999</v>
      </c>
      <c r="W3922" s="508">
        <v>0.17399999999999999</v>
      </c>
      <c r="X3922" s="508">
        <v>0.17399999999999999</v>
      </c>
      <c r="Y3922" s="508">
        <v>0.189</v>
      </c>
      <c r="Z3922" s="508">
        <v>0.20399999999999999</v>
      </c>
      <c r="AA3922" s="508">
        <v>1.4E-2</v>
      </c>
      <c r="AB3922" s="508">
        <v>1.4E-2</v>
      </c>
      <c r="AC3922" s="508">
        <v>1.2E-2</v>
      </c>
      <c r="AD3922" s="508">
        <v>0.01</v>
      </c>
      <c r="AE3922" s="508">
        <v>1.0999999999999999E-2</v>
      </c>
      <c r="AF3922" s="508">
        <v>7.0000000000000001E-3</v>
      </c>
      <c r="AG3922" s="508">
        <v>7.0000000000000001E-3</v>
      </c>
      <c r="AH3922" s="508">
        <v>7.0000000000000001E-3</v>
      </c>
      <c r="AI3922" s="492">
        <v>7.0000000000000001E-3</v>
      </c>
      <c r="AJ3922" s="485"/>
    </row>
    <row r="3923" spans="2:36">
      <c r="B3923" s="136" t="s">
        <v>460</v>
      </c>
      <c r="C3923" s="132" t="s">
        <v>1368</v>
      </c>
      <c r="D3923" s="132" t="s">
        <v>284</v>
      </c>
      <c r="E3923" s="508">
        <v>0.32300000000000001</v>
      </c>
      <c r="F3923" s="508">
        <v>0.38100000000000001</v>
      </c>
      <c r="G3923" s="508">
        <v>0.19500000000000001</v>
      </c>
      <c r="H3923" s="508">
        <v>5.8000000000000003E-2</v>
      </c>
      <c r="I3923" s="508">
        <v>5.8000000000000003E-2</v>
      </c>
      <c r="J3923" s="508">
        <v>6.7000000000000004E-2</v>
      </c>
      <c r="K3923" s="508">
        <v>3.6999999999999998E-2</v>
      </c>
      <c r="L3923" s="508">
        <v>0.35199999999999998</v>
      </c>
      <c r="M3923" s="508">
        <v>0.26500000000000001</v>
      </c>
      <c r="N3923" s="508">
        <v>0.124</v>
      </c>
      <c r="O3923" s="508">
        <v>0.182</v>
      </c>
      <c r="P3923" s="508">
        <v>0.48</v>
      </c>
      <c r="Q3923" s="508">
        <v>0.29299999999999998</v>
      </c>
      <c r="R3923" s="508">
        <v>0.19700000000000001</v>
      </c>
      <c r="S3923" s="508">
        <v>0.20499999999999999</v>
      </c>
      <c r="T3923" s="508">
        <v>0.18099999999999999</v>
      </c>
      <c r="U3923" s="508">
        <v>0.13500000000000001</v>
      </c>
      <c r="V3923" s="508">
        <v>0.20899999999999999</v>
      </c>
      <c r="W3923" s="508">
        <v>0.17499999999999999</v>
      </c>
      <c r="X3923" s="508">
        <v>0.17599999999999999</v>
      </c>
      <c r="Y3923" s="508">
        <v>0.191</v>
      </c>
      <c r="Z3923" s="508">
        <v>0.20499999999999999</v>
      </c>
      <c r="AA3923" s="508">
        <v>1.4E-2</v>
      </c>
      <c r="AB3923" s="508">
        <v>1.4E-2</v>
      </c>
      <c r="AC3923" s="508">
        <v>1.2E-2</v>
      </c>
      <c r="AD3923" s="508">
        <v>0.01</v>
      </c>
      <c r="AE3923" s="508">
        <v>1.0999999999999999E-2</v>
      </c>
      <c r="AF3923" s="508">
        <v>7.0000000000000001E-3</v>
      </c>
      <c r="AG3923" s="508">
        <v>7.0000000000000001E-3</v>
      </c>
      <c r="AH3923" s="508">
        <v>7.0000000000000001E-3</v>
      </c>
      <c r="AI3923" s="492">
        <v>7.0000000000000001E-3</v>
      </c>
      <c r="AJ3923" s="485"/>
    </row>
    <row r="3924" spans="2:36">
      <c r="B3924" s="136" t="s">
        <v>461</v>
      </c>
      <c r="C3924" s="132" t="s">
        <v>1368</v>
      </c>
      <c r="D3924" s="132" t="s">
        <v>284</v>
      </c>
      <c r="E3924" s="508">
        <v>0.32</v>
      </c>
      <c r="F3924" s="508">
        <v>0.378</v>
      </c>
      <c r="G3924" s="508">
        <v>0.193</v>
      </c>
      <c r="H3924" s="508">
        <v>5.7000000000000002E-2</v>
      </c>
      <c r="I3924" s="508">
        <v>5.7000000000000002E-2</v>
      </c>
      <c r="J3924" s="508">
        <v>6.7000000000000004E-2</v>
      </c>
      <c r="K3924" s="508">
        <v>3.5999999999999997E-2</v>
      </c>
      <c r="L3924" s="508">
        <v>0.34699999999999998</v>
      </c>
      <c r="M3924" s="508">
        <v>0.26100000000000001</v>
      </c>
      <c r="N3924" s="508">
        <v>0.12</v>
      </c>
      <c r="O3924" s="508">
        <v>0.17499999999999999</v>
      </c>
      <c r="P3924" s="508">
        <v>0.46</v>
      </c>
      <c r="Q3924" s="508">
        <v>0.28100000000000003</v>
      </c>
      <c r="R3924" s="508">
        <v>0.193</v>
      </c>
      <c r="S3924" s="508">
        <v>0.2</v>
      </c>
      <c r="T3924" s="508">
        <v>0.17699999999999999</v>
      </c>
      <c r="U3924" s="508">
        <v>0.13200000000000001</v>
      </c>
      <c r="V3924" s="508">
        <v>0.20499999999999999</v>
      </c>
      <c r="W3924" s="508">
        <v>0.17100000000000001</v>
      </c>
      <c r="X3924" s="508">
        <v>0.17199999999999999</v>
      </c>
      <c r="Y3924" s="508">
        <v>0.187</v>
      </c>
      <c r="Z3924" s="508">
        <v>0.20100000000000001</v>
      </c>
      <c r="AA3924" s="508">
        <v>1.2999999999999999E-2</v>
      </c>
      <c r="AB3924" s="508">
        <v>1.2999999999999999E-2</v>
      </c>
      <c r="AC3924" s="508">
        <v>1.2E-2</v>
      </c>
      <c r="AD3924" s="508">
        <v>0.01</v>
      </c>
      <c r="AE3924" s="508">
        <v>1.0999999999999999E-2</v>
      </c>
      <c r="AF3924" s="508">
        <v>7.0000000000000001E-3</v>
      </c>
      <c r="AG3924" s="508">
        <v>7.0000000000000001E-3</v>
      </c>
      <c r="AH3924" s="508">
        <v>7.0000000000000001E-3</v>
      </c>
      <c r="AI3924" s="492">
        <v>7.0000000000000001E-3</v>
      </c>
      <c r="AJ3924" s="485"/>
    </row>
    <row r="3925" spans="2:36">
      <c r="B3925" s="136" t="s">
        <v>462</v>
      </c>
      <c r="C3925" s="132" t="s">
        <v>1368</v>
      </c>
      <c r="D3925" s="132" t="s">
        <v>284</v>
      </c>
      <c r="E3925" s="508">
        <v>0.318</v>
      </c>
      <c r="F3925" s="508">
        <v>0.375</v>
      </c>
      <c r="G3925" s="508">
        <v>0.19</v>
      </c>
      <c r="H3925" s="508">
        <v>5.6000000000000001E-2</v>
      </c>
      <c r="I3925" s="508">
        <v>5.6000000000000001E-2</v>
      </c>
      <c r="J3925" s="508">
        <v>6.5000000000000002E-2</v>
      </c>
      <c r="K3925" s="508">
        <v>3.4000000000000002E-2</v>
      </c>
      <c r="L3925" s="508">
        <v>0.34499999999999997</v>
      </c>
      <c r="M3925" s="508">
        <v>0.25900000000000001</v>
      </c>
      <c r="N3925" s="508">
        <v>0.11799999999999999</v>
      </c>
      <c r="O3925" s="508">
        <v>0.17</v>
      </c>
      <c r="P3925" s="508">
        <v>0.44900000000000001</v>
      </c>
      <c r="Q3925" s="508">
        <v>0.27400000000000002</v>
      </c>
      <c r="R3925" s="508">
        <v>0.19</v>
      </c>
      <c r="S3925" s="508">
        <v>0.19700000000000001</v>
      </c>
      <c r="T3925" s="508">
        <v>0.17499999999999999</v>
      </c>
      <c r="U3925" s="508">
        <v>0.13</v>
      </c>
      <c r="V3925" s="508">
        <v>0.20300000000000001</v>
      </c>
      <c r="W3925" s="508">
        <v>0.16900000000000001</v>
      </c>
      <c r="X3925" s="508">
        <v>0.17</v>
      </c>
      <c r="Y3925" s="508">
        <v>0.185</v>
      </c>
      <c r="Z3925" s="508">
        <v>0.19900000000000001</v>
      </c>
      <c r="AA3925" s="508">
        <v>1.2999999999999999E-2</v>
      </c>
      <c r="AB3925" s="508">
        <v>1.2999999999999999E-2</v>
      </c>
      <c r="AC3925" s="508">
        <v>1.2E-2</v>
      </c>
      <c r="AD3925" s="508">
        <v>0.01</v>
      </c>
      <c r="AE3925" s="508">
        <v>1.0999999999999999E-2</v>
      </c>
      <c r="AF3925" s="508">
        <v>7.0000000000000001E-3</v>
      </c>
      <c r="AG3925" s="508">
        <v>7.0000000000000001E-3</v>
      </c>
      <c r="AH3925" s="508">
        <v>7.0000000000000001E-3</v>
      </c>
      <c r="AI3925" s="492">
        <v>7.0000000000000001E-3</v>
      </c>
      <c r="AJ3925" s="485"/>
    </row>
    <row r="3926" spans="2:36">
      <c r="B3926" s="136" t="s">
        <v>463</v>
      </c>
      <c r="C3926" s="132" t="s">
        <v>1368</v>
      </c>
      <c r="D3926" s="132" t="s">
        <v>284</v>
      </c>
      <c r="E3926" s="508">
        <v>0.316</v>
      </c>
      <c r="F3926" s="508">
        <v>0.374</v>
      </c>
      <c r="G3926" s="508">
        <v>0.193</v>
      </c>
      <c r="H3926" s="508">
        <v>5.8000000000000003E-2</v>
      </c>
      <c r="I3926" s="508">
        <v>5.8000000000000003E-2</v>
      </c>
      <c r="J3926" s="508">
        <v>7.0000000000000007E-2</v>
      </c>
      <c r="K3926" s="508">
        <v>3.5999999999999997E-2</v>
      </c>
      <c r="L3926" s="508">
        <v>0.33800000000000002</v>
      </c>
      <c r="M3926" s="508">
        <v>0.254</v>
      </c>
      <c r="N3926" s="508">
        <v>0.115</v>
      </c>
      <c r="O3926" s="508">
        <v>0.16600000000000001</v>
      </c>
      <c r="P3926" s="508">
        <v>0.42799999999999999</v>
      </c>
      <c r="Q3926" s="508">
        <v>0.26300000000000001</v>
      </c>
      <c r="R3926" s="508">
        <v>0.187</v>
      </c>
      <c r="S3926" s="508">
        <v>0.19500000000000001</v>
      </c>
      <c r="T3926" s="508">
        <v>0.17299999999999999</v>
      </c>
      <c r="U3926" s="508">
        <v>0.128</v>
      </c>
      <c r="V3926" s="508">
        <v>0.19800000000000001</v>
      </c>
      <c r="W3926" s="508">
        <v>0.16600000000000001</v>
      </c>
      <c r="X3926" s="508">
        <v>0.16600000000000001</v>
      </c>
      <c r="Y3926" s="508">
        <v>0.18099999999999999</v>
      </c>
      <c r="Z3926" s="508">
        <v>0.19400000000000001</v>
      </c>
      <c r="AA3926" s="508">
        <v>1.2999999999999999E-2</v>
      </c>
      <c r="AB3926" s="508">
        <v>1.2999999999999999E-2</v>
      </c>
      <c r="AC3926" s="508">
        <v>1.2E-2</v>
      </c>
      <c r="AD3926" s="508">
        <v>0.01</v>
      </c>
      <c r="AE3926" s="508">
        <v>1.0999999999999999E-2</v>
      </c>
      <c r="AF3926" s="508">
        <v>7.0000000000000001E-3</v>
      </c>
      <c r="AG3926" s="508">
        <v>7.0000000000000001E-3</v>
      </c>
      <c r="AH3926" s="508">
        <v>7.0000000000000001E-3</v>
      </c>
      <c r="AI3926" s="492">
        <v>7.0000000000000001E-3</v>
      </c>
      <c r="AJ3926" s="485"/>
    </row>
    <row r="3927" spans="2:36">
      <c r="B3927" s="136" t="s">
        <v>464</v>
      </c>
      <c r="C3927" s="132" t="s">
        <v>1368</v>
      </c>
      <c r="D3927" s="132" t="s">
        <v>284</v>
      </c>
      <c r="E3927" s="508">
        <v>0.314</v>
      </c>
      <c r="F3927" s="508">
        <v>0.371</v>
      </c>
      <c r="G3927" s="508">
        <v>0.19</v>
      </c>
      <c r="H3927" s="508">
        <v>5.7000000000000002E-2</v>
      </c>
      <c r="I3927" s="508">
        <v>5.7000000000000002E-2</v>
      </c>
      <c r="J3927" s="508">
        <v>6.7000000000000004E-2</v>
      </c>
      <c r="K3927" s="508">
        <v>3.4000000000000002E-2</v>
      </c>
      <c r="L3927" s="508">
        <v>0.33800000000000002</v>
      </c>
      <c r="M3927" s="508">
        <v>0.254</v>
      </c>
      <c r="N3927" s="508">
        <v>0.114</v>
      </c>
      <c r="O3927" s="508">
        <v>0.16300000000000001</v>
      </c>
      <c r="P3927" s="508">
        <v>0.42299999999999999</v>
      </c>
      <c r="Q3927" s="508">
        <v>0.25900000000000001</v>
      </c>
      <c r="R3927" s="508">
        <v>0.186</v>
      </c>
      <c r="S3927" s="508">
        <v>0.193</v>
      </c>
      <c r="T3927" s="508">
        <v>0.17100000000000001</v>
      </c>
      <c r="U3927" s="508">
        <v>0.127</v>
      </c>
      <c r="V3927" s="508">
        <v>0.19700000000000001</v>
      </c>
      <c r="W3927" s="508">
        <v>0.16500000000000001</v>
      </c>
      <c r="X3927" s="508">
        <v>0.16500000000000001</v>
      </c>
      <c r="Y3927" s="508">
        <v>0.18</v>
      </c>
      <c r="Z3927" s="508">
        <v>0.193</v>
      </c>
      <c r="AA3927" s="508">
        <v>1.2999999999999999E-2</v>
      </c>
      <c r="AB3927" s="508">
        <v>1.2999999999999999E-2</v>
      </c>
      <c r="AC3927" s="508">
        <v>1.0999999999999999E-2</v>
      </c>
      <c r="AD3927" s="508">
        <v>0.01</v>
      </c>
      <c r="AE3927" s="508">
        <v>1.0999999999999999E-2</v>
      </c>
      <c r="AF3927" s="508">
        <v>7.0000000000000001E-3</v>
      </c>
      <c r="AG3927" s="508">
        <v>7.0000000000000001E-3</v>
      </c>
      <c r="AH3927" s="508">
        <v>7.0000000000000001E-3</v>
      </c>
      <c r="AI3927" s="492">
        <v>7.0000000000000001E-3</v>
      </c>
      <c r="AJ3927" s="485"/>
    </row>
    <row r="3928" spans="2:36">
      <c r="B3928" s="136" t="s">
        <v>465</v>
      </c>
      <c r="C3928" s="132" t="s">
        <v>1368</v>
      </c>
      <c r="D3928" s="132" t="s">
        <v>284</v>
      </c>
      <c r="E3928" s="508">
        <v>0.317</v>
      </c>
      <c r="F3928" s="508">
        <v>0.375</v>
      </c>
      <c r="G3928" s="508">
        <v>0.193</v>
      </c>
      <c r="H3928" s="508">
        <v>5.8000000000000003E-2</v>
      </c>
      <c r="I3928" s="508">
        <v>5.8000000000000003E-2</v>
      </c>
      <c r="J3928" s="508">
        <v>6.8000000000000005E-2</v>
      </c>
      <c r="K3928" s="508">
        <v>3.5999999999999997E-2</v>
      </c>
      <c r="L3928" s="508">
        <v>0.34200000000000003</v>
      </c>
      <c r="M3928" s="508">
        <v>0.25700000000000001</v>
      </c>
      <c r="N3928" s="508">
        <v>0.11700000000000001</v>
      </c>
      <c r="O3928" s="508">
        <v>0.17</v>
      </c>
      <c r="P3928" s="508">
        <v>0.442</v>
      </c>
      <c r="Q3928" s="508">
        <v>0.27</v>
      </c>
      <c r="R3928" s="508">
        <v>0.19</v>
      </c>
      <c r="S3928" s="508">
        <v>0.19700000000000001</v>
      </c>
      <c r="T3928" s="508">
        <v>0.17499999999999999</v>
      </c>
      <c r="U3928" s="508">
        <v>0.13</v>
      </c>
      <c r="V3928" s="508">
        <v>0.20100000000000001</v>
      </c>
      <c r="W3928" s="508">
        <v>0.16800000000000001</v>
      </c>
      <c r="X3928" s="508">
        <v>0.16900000000000001</v>
      </c>
      <c r="Y3928" s="508">
        <v>0.184</v>
      </c>
      <c r="Z3928" s="508">
        <v>0.19700000000000001</v>
      </c>
      <c r="AA3928" s="508">
        <v>1.2999999999999999E-2</v>
      </c>
      <c r="AB3928" s="508">
        <v>1.2999999999999999E-2</v>
      </c>
      <c r="AC3928" s="508">
        <v>1.2E-2</v>
      </c>
      <c r="AD3928" s="508">
        <v>0.01</v>
      </c>
      <c r="AE3928" s="508">
        <v>1.0999999999999999E-2</v>
      </c>
      <c r="AF3928" s="508">
        <v>7.0000000000000001E-3</v>
      </c>
      <c r="AG3928" s="508">
        <v>7.0000000000000001E-3</v>
      </c>
      <c r="AH3928" s="508">
        <v>7.0000000000000001E-3</v>
      </c>
      <c r="AI3928" s="492">
        <v>7.0000000000000001E-3</v>
      </c>
      <c r="AJ3928" s="485"/>
    </row>
    <row r="3929" spans="2:36">
      <c r="B3929" s="136" t="s">
        <v>466</v>
      </c>
      <c r="C3929" s="132" t="s">
        <v>1368</v>
      </c>
      <c r="D3929" s="132" t="s">
        <v>284</v>
      </c>
      <c r="E3929" s="508">
        <v>0.32700000000000001</v>
      </c>
      <c r="F3929" s="508">
        <v>0.38600000000000001</v>
      </c>
      <c r="G3929" s="508">
        <v>0.19700000000000001</v>
      </c>
      <c r="H3929" s="508">
        <v>5.8000000000000003E-2</v>
      </c>
      <c r="I3929" s="508">
        <v>5.8000000000000003E-2</v>
      </c>
      <c r="J3929" s="508">
        <v>6.6000000000000003E-2</v>
      </c>
      <c r="K3929" s="508">
        <v>3.6999999999999998E-2</v>
      </c>
      <c r="L3929" s="508">
        <v>0.36099999999999999</v>
      </c>
      <c r="M3929" s="508">
        <v>0.27200000000000002</v>
      </c>
      <c r="N3929" s="508">
        <v>0.129</v>
      </c>
      <c r="O3929" s="508">
        <v>0.192</v>
      </c>
      <c r="P3929" s="508">
        <v>0.51300000000000001</v>
      </c>
      <c r="Q3929" s="508">
        <v>0.311</v>
      </c>
      <c r="R3929" s="508">
        <v>0.20300000000000001</v>
      </c>
      <c r="S3929" s="508">
        <v>0.21099999999999999</v>
      </c>
      <c r="T3929" s="508">
        <v>0.187</v>
      </c>
      <c r="U3929" s="508">
        <v>0.13900000000000001</v>
      </c>
      <c r="V3929" s="508">
        <v>0.216</v>
      </c>
      <c r="W3929" s="508">
        <v>0.18099999999999999</v>
      </c>
      <c r="X3929" s="508">
        <v>0.18099999999999999</v>
      </c>
      <c r="Y3929" s="508">
        <v>0.19700000000000001</v>
      </c>
      <c r="Z3929" s="508">
        <v>0.21199999999999999</v>
      </c>
      <c r="AA3929" s="508">
        <v>1.4E-2</v>
      </c>
      <c r="AB3929" s="508">
        <v>1.4E-2</v>
      </c>
      <c r="AC3929" s="508">
        <v>1.2999999999999999E-2</v>
      </c>
      <c r="AD3929" s="508">
        <v>0.01</v>
      </c>
      <c r="AE3929" s="508">
        <v>1.2E-2</v>
      </c>
      <c r="AF3929" s="508">
        <v>7.0000000000000001E-3</v>
      </c>
      <c r="AG3929" s="508">
        <v>7.0000000000000001E-3</v>
      </c>
      <c r="AH3929" s="508">
        <v>7.0000000000000001E-3</v>
      </c>
      <c r="AI3929" s="492">
        <v>7.0000000000000001E-3</v>
      </c>
      <c r="AJ3929" s="485"/>
    </row>
    <row r="3930" spans="2:36">
      <c r="B3930" s="136" t="s">
        <v>467</v>
      </c>
      <c r="C3930" s="132" t="s">
        <v>1368</v>
      </c>
      <c r="D3930" s="132" t="s">
        <v>284</v>
      </c>
      <c r="E3930" s="508">
        <v>0.31900000000000001</v>
      </c>
      <c r="F3930" s="508">
        <v>0.377</v>
      </c>
      <c r="G3930" s="508">
        <v>0.192</v>
      </c>
      <c r="H3930" s="508">
        <v>5.7000000000000002E-2</v>
      </c>
      <c r="I3930" s="508">
        <v>5.7000000000000002E-2</v>
      </c>
      <c r="J3930" s="508">
        <v>6.6000000000000003E-2</v>
      </c>
      <c r="K3930" s="508">
        <v>3.5000000000000003E-2</v>
      </c>
      <c r="L3930" s="508">
        <v>0.34599999999999997</v>
      </c>
      <c r="M3930" s="508">
        <v>0.26</v>
      </c>
      <c r="N3930" s="508">
        <v>0.11899999999999999</v>
      </c>
      <c r="O3930" s="508">
        <v>0.17299999999999999</v>
      </c>
      <c r="P3930" s="508">
        <v>0.45500000000000002</v>
      </c>
      <c r="Q3930" s="508">
        <v>0.27800000000000002</v>
      </c>
      <c r="R3930" s="508">
        <v>0.192</v>
      </c>
      <c r="S3930" s="508">
        <v>0.19900000000000001</v>
      </c>
      <c r="T3930" s="508">
        <v>0.17599999999999999</v>
      </c>
      <c r="U3930" s="508">
        <v>0.13100000000000001</v>
      </c>
      <c r="V3930" s="508">
        <v>0.20399999999999999</v>
      </c>
      <c r="W3930" s="508">
        <v>0.17100000000000001</v>
      </c>
      <c r="X3930" s="508">
        <v>0.17100000000000001</v>
      </c>
      <c r="Y3930" s="508">
        <v>0.186</v>
      </c>
      <c r="Z3930" s="508">
        <v>0.2</v>
      </c>
      <c r="AA3930" s="508">
        <v>1.2999999999999999E-2</v>
      </c>
      <c r="AB3930" s="508">
        <v>1.2999999999999999E-2</v>
      </c>
      <c r="AC3930" s="508">
        <v>1.2E-2</v>
      </c>
      <c r="AD3930" s="508">
        <v>0.01</v>
      </c>
      <c r="AE3930" s="508">
        <v>1.0999999999999999E-2</v>
      </c>
      <c r="AF3930" s="508">
        <v>7.0000000000000001E-3</v>
      </c>
      <c r="AG3930" s="508">
        <v>7.0000000000000001E-3</v>
      </c>
      <c r="AH3930" s="508">
        <v>7.0000000000000001E-3</v>
      </c>
      <c r="AI3930" s="492">
        <v>7.0000000000000001E-3</v>
      </c>
      <c r="AJ3930" s="485"/>
    </row>
    <row r="3931" spans="2:36">
      <c r="B3931" s="136" t="s">
        <v>468</v>
      </c>
      <c r="C3931" s="132" t="s">
        <v>1368</v>
      </c>
      <c r="D3931" s="132" t="s">
        <v>284</v>
      </c>
      <c r="E3931" s="508">
        <v>0.315</v>
      </c>
      <c r="F3931" s="508">
        <v>0.373</v>
      </c>
      <c r="G3931" s="508">
        <v>0.193</v>
      </c>
      <c r="H3931" s="508">
        <v>5.8000000000000003E-2</v>
      </c>
      <c r="I3931" s="508">
        <v>5.8000000000000003E-2</v>
      </c>
      <c r="J3931" s="508">
        <v>7.0000000000000007E-2</v>
      </c>
      <c r="K3931" s="508">
        <v>3.5999999999999997E-2</v>
      </c>
      <c r="L3931" s="508">
        <v>0.33700000000000002</v>
      </c>
      <c r="M3931" s="508">
        <v>0.253</v>
      </c>
      <c r="N3931" s="508">
        <v>0.114</v>
      </c>
      <c r="O3931" s="508">
        <v>0.16500000000000001</v>
      </c>
      <c r="P3931" s="508">
        <v>0.42499999999999999</v>
      </c>
      <c r="Q3931" s="508">
        <v>0.26100000000000001</v>
      </c>
      <c r="R3931" s="508">
        <v>0.187</v>
      </c>
      <c r="S3931" s="508">
        <v>0.19400000000000001</v>
      </c>
      <c r="T3931" s="508">
        <v>0.17199999999999999</v>
      </c>
      <c r="U3931" s="508">
        <v>0.128</v>
      </c>
      <c r="V3931" s="508">
        <v>0.19800000000000001</v>
      </c>
      <c r="W3931" s="508">
        <v>0.16600000000000001</v>
      </c>
      <c r="X3931" s="508">
        <v>0.16600000000000001</v>
      </c>
      <c r="Y3931" s="508">
        <v>0.18</v>
      </c>
      <c r="Z3931" s="508">
        <v>0.19400000000000001</v>
      </c>
      <c r="AA3931" s="508">
        <v>1.2999999999999999E-2</v>
      </c>
      <c r="AB3931" s="508">
        <v>1.2999999999999999E-2</v>
      </c>
      <c r="AC3931" s="508">
        <v>1.2E-2</v>
      </c>
      <c r="AD3931" s="508">
        <v>0.01</v>
      </c>
      <c r="AE3931" s="508">
        <v>1.0999999999999999E-2</v>
      </c>
      <c r="AF3931" s="508">
        <v>7.0000000000000001E-3</v>
      </c>
      <c r="AG3931" s="508">
        <v>7.0000000000000001E-3</v>
      </c>
      <c r="AH3931" s="508">
        <v>7.0000000000000001E-3</v>
      </c>
      <c r="AI3931" s="492">
        <v>7.0000000000000001E-3</v>
      </c>
      <c r="AJ3931" s="485"/>
    </row>
    <row r="3932" spans="2:36">
      <c r="B3932" s="136" t="s">
        <v>469</v>
      </c>
      <c r="C3932" s="132" t="s">
        <v>1368</v>
      </c>
      <c r="D3932" s="132" t="s">
        <v>284</v>
      </c>
      <c r="E3932" s="508">
        <v>0.318</v>
      </c>
      <c r="F3932" s="508">
        <v>0.376</v>
      </c>
      <c r="G3932" s="508">
        <v>0.192</v>
      </c>
      <c r="H3932" s="508">
        <v>5.7000000000000002E-2</v>
      </c>
      <c r="I3932" s="508">
        <v>5.7000000000000002E-2</v>
      </c>
      <c r="J3932" s="508">
        <v>6.7000000000000004E-2</v>
      </c>
      <c r="K3932" s="508">
        <v>3.5000000000000003E-2</v>
      </c>
      <c r="L3932" s="508">
        <v>0.34399999999999997</v>
      </c>
      <c r="M3932" s="508">
        <v>0.25900000000000001</v>
      </c>
      <c r="N3932" s="508">
        <v>0.11799999999999999</v>
      </c>
      <c r="O3932" s="508">
        <v>0.17199999999999999</v>
      </c>
      <c r="P3932" s="508">
        <v>0.44900000000000001</v>
      </c>
      <c r="Q3932" s="508">
        <v>0.27500000000000002</v>
      </c>
      <c r="R3932" s="508">
        <v>0.191</v>
      </c>
      <c r="S3932" s="508">
        <v>0.19800000000000001</v>
      </c>
      <c r="T3932" s="508">
        <v>0.17599999999999999</v>
      </c>
      <c r="U3932" s="508">
        <v>0.13</v>
      </c>
      <c r="V3932" s="508">
        <v>0.20300000000000001</v>
      </c>
      <c r="W3932" s="508">
        <v>0.17</v>
      </c>
      <c r="X3932" s="508">
        <v>0.17</v>
      </c>
      <c r="Y3932" s="508">
        <v>0.185</v>
      </c>
      <c r="Z3932" s="508">
        <v>0.19900000000000001</v>
      </c>
      <c r="AA3932" s="508">
        <v>1.2999999999999999E-2</v>
      </c>
      <c r="AB3932" s="508">
        <v>1.2999999999999999E-2</v>
      </c>
      <c r="AC3932" s="508">
        <v>1.2E-2</v>
      </c>
      <c r="AD3932" s="508">
        <v>0.01</v>
      </c>
      <c r="AE3932" s="508">
        <v>1.0999999999999999E-2</v>
      </c>
      <c r="AF3932" s="508">
        <v>7.0000000000000001E-3</v>
      </c>
      <c r="AG3932" s="508">
        <v>7.0000000000000001E-3</v>
      </c>
      <c r="AH3932" s="508">
        <v>7.0000000000000001E-3</v>
      </c>
      <c r="AI3932" s="492">
        <v>7.0000000000000001E-3</v>
      </c>
      <c r="AJ3932" s="485"/>
    </row>
    <row r="3933" spans="2:36">
      <c r="B3933" s="136" t="s">
        <v>470</v>
      </c>
      <c r="C3933" s="132" t="s">
        <v>1368</v>
      </c>
      <c r="D3933" s="132" t="s">
        <v>284</v>
      </c>
      <c r="E3933" s="508">
        <v>0.32400000000000001</v>
      </c>
      <c r="F3933" s="508">
        <v>0.38300000000000001</v>
      </c>
      <c r="G3933" s="508">
        <v>0.19600000000000001</v>
      </c>
      <c r="H3933" s="508">
        <v>5.8000000000000003E-2</v>
      </c>
      <c r="I3933" s="508">
        <v>5.8000000000000003E-2</v>
      </c>
      <c r="J3933" s="508">
        <v>6.7000000000000004E-2</v>
      </c>
      <c r="K3933" s="508">
        <v>3.6999999999999998E-2</v>
      </c>
      <c r="L3933" s="508">
        <v>0.35399999999999998</v>
      </c>
      <c r="M3933" s="508">
        <v>0.26700000000000002</v>
      </c>
      <c r="N3933" s="508">
        <v>0.125</v>
      </c>
      <c r="O3933" s="508">
        <v>0.185</v>
      </c>
      <c r="P3933" s="508">
        <v>0.48799999999999999</v>
      </c>
      <c r="Q3933" s="508">
        <v>0.29699999999999999</v>
      </c>
      <c r="R3933" s="508">
        <v>0.19900000000000001</v>
      </c>
      <c r="S3933" s="508">
        <v>0.20599999999999999</v>
      </c>
      <c r="T3933" s="508">
        <v>0.183</v>
      </c>
      <c r="U3933" s="508">
        <v>0.13600000000000001</v>
      </c>
      <c r="V3933" s="508">
        <v>0.21099999999999999</v>
      </c>
      <c r="W3933" s="508">
        <v>0.17699999999999999</v>
      </c>
      <c r="X3933" s="508">
        <v>0.17699999999999999</v>
      </c>
      <c r="Y3933" s="508">
        <v>0.192</v>
      </c>
      <c r="Z3933" s="508">
        <v>0.20699999999999999</v>
      </c>
      <c r="AA3933" s="508">
        <v>1.4E-2</v>
      </c>
      <c r="AB3933" s="508">
        <v>1.4E-2</v>
      </c>
      <c r="AC3933" s="508">
        <v>1.2E-2</v>
      </c>
      <c r="AD3933" s="508">
        <v>0.01</v>
      </c>
      <c r="AE3933" s="508">
        <v>1.2E-2</v>
      </c>
      <c r="AF3933" s="508">
        <v>7.0000000000000001E-3</v>
      </c>
      <c r="AG3933" s="508">
        <v>7.0000000000000001E-3</v>
      </c>
      <c r="AH3933" s="508">
        <v>7.0000000000000001E-3</v>
      </c>
      <c r="AI3933" s="492">
        <v>7.0000000000000001E-3</v>
      </c>
      <c r="AJ3933" s="485"/>
    </row>
    <row r="3934" spans="2:36">
      <c r="B3934" s="136" t="s">
        <v>471</v>
      </c>
      <c r="C3934" s="132" t="s">
        <v>1368</v>
      </c>
      <c r="D3934" s="132" t="s">
        <v>284</v>
      </c>
      <c r="E3934" s="508">
        <v>0.32100000000000001</v>
      </c>
      <c r="F3934" s="508">
        <v>0.379</v>
      </c>
      <c r="G3934" s="508">
        <v>0.193</v>
      </c>
      <c r="H3934" s="508">
        <v>5.7000000000000002E-2</v>
      </c>
      <c r="I3934" s="508">
        <v>5.7000000000000002E-2</v>
      </c>
      <c r="J3934" s="508">
        <v>6.6000000000000003E-2</v>
      </c>
      <c r="K3934" s="508">
        <v>3.5999999999999997E-2</v>
      </c>
      <c r="L3934" s="508">
        <v>0.35099999999999998</v>
      </c>
      <c r="M3934" s="508">
        <v>0.26400000000000001</v>
      </c>
      <c r="N3934" s="508">
        <v>0.122</v>
      </c>
      <c r="O3934" s="508">
        <v>0.17899999999999999</v>
      </c>
      <c r="P3934" s="508">
        <v>0.47199999999999998</v>
      </c>
      <c r="Q3934" s="508">
        <v>0.28799999999999998</v>
      </c>
      <c r="R3934" s="508">
        <v>0.19500000000000001</v>
      </c>
      <c r="S3934" s="508">
        <v>0.20300000000000001</v>
      </c>
      <c r="T3934" s="508">
        <v>0.17899999999999999</v>
      </c>
      <c r="U3934" s="508">
        <v>0.13300000000000001</v>
      </c>
      <c r="V3934" s="508">
        <v>0.20799999999999999</v>
      </c>
      <c r="W3934" s="508">
        <v>0.17399999999999999</v>
      </c>
      <c r="X3934" s="508">
        <v>0.17399999999999999</v>
      </c>
      <c r="Y3934" s="508">
        <v>0.189</v>
      </c>
      <c r="Z3934" s="508">
        <v>0.20399999999999999</v>
      </c>
      <c r="AA3934" s="508">
        <v>1.4E-2</v>
      </c>
      <c r="AB3934" s="508">
        <v>1.4E-2</v>
      </c>
      <c r="AC3934" s="508">
        <v>1.2E-2</v>
      </c>
      <c r="AD3934" s="508">
        <v>0.01</v>
      </c>
      <c r="AE3934" s="508">
        <v>1.0999999999999999E-2</v>
      </c>
      <c r="AF3934" s="508">
        <v>7.0000000000000001E-3</v>
      </c>
      <c r="AG3934" s="508">
        <v>7.0000000000000001E-3</v>
      </c>
      <c r="AH3934" s="508">
        <v>7.0000000000000001E-3</v>
      </c>
      <c r="AI3934" s="492">
        <v>7.0000000000000001E-3</v>
      </c>
      <c r="AJ3934" s="485"/>
    </row>
    <row r="3935" spans="2:36">
      <c r="B3935" s="136" t="s">
        <v>472</v>
      </c>
      <c r="C3935" s="132" t="s">
        <v>1368</v>
      </c>
      <c r="D3935" s="132" t="s">
        <v>284</v>
      </c>
      <c r="E3935" s="508">
        <v>0.314</v>
      </c>
      <c r="F3935" s="508">
        <v>0.371</v>
      </c>
      <c r="G3935" s="508">
        <v>0.189</v>
      </c>
      <c r="H3935" s="508">
        <v>5.6000000000000001E-2</v>
      </c>
      <c r="I3935" s="508">
        <v>5.6000000000000001E-2</v>
      </c>
      <c r="J3935" s="508">
        <v>6.6000000000000003E-2</v>
      </c>
      <c r="K3935" s="508">
        <v>3.4000000000000002E-2</v>
      </c>
      <c r="L3935" s="508">
        <v>0.33800000000000002</v>
      </c>
      <c r="M3935" s="508">
        <v>0.254</v>
      </c>
      <c r="N3935" s="508">
        <v>0.113</v>
      </c>
      <c r="O3935" s="508">
        <v>0.16200000000000001</v>
      </c>
      <c r="P3935" s="508">
        <v>0.42199999999999999</v>
      </c>
      <c r="Q3935" s="508">
        <v>0.25900000000000001</v>
      </c>
      <c r="R3935" s="508">
        <v>0.186</v>
      </c>
      <c r="S3935" s="508">
        <v>0.192</v>
      </c>
      <c r="T3935" s="508">
        <v>0.17</v>
      </c>
      <c r="U3935" s="508">
        <v>0.126</v>
      </c>
      <c r="V3935" s="508">
        <v>0.19700000000000001</v>
      </c>
      <c r="W3935" s="508">
        <v>0.16500000000000001</v>
      </c>
      <c r="X3935" s="508">
        <v>0.16500000000000001</v>
      </c>
      <c r="Y3935" s="508">
        <v>0.18</v>
      </c>
      <c r="Z3935" s="508">
        <v>0.193</v>
      </c>
      <c r="AA3935" s="508">
        <v>1.2999999999999999E-2</v>
      </c>
      <c r="AB3935" s="508">
        <v>1.2999999999999999E-2</v>
      </c>
      <c r="AC3935" s="508">
        <v>1.0999999999999999E-2</v>
      </c>
      <c r="AD3935" s="508">
        <v>8.9999999999999993E-3</v>
      </c>
      <c r="AE3935" s="508">
        <v>1.0999999999999999E-2</v>
      </c>
      <c r="AF3935" s="508">
        <v>7.0000000000000001E-3</v>
      </c>
      <c r="AG3935" s="508">
        <v>7.0000000000000001E-3</v>
      </c>
      <c r="AH3935" s="508">
        <v>6.0000000000000001E-3</v>
      </c>
      <c r="AI3935" s="492">
        <v>6.0000000000000001E-3</v>
      </c>
      <c r="AJ3935" s="485"/>
    </row>
    <row r="3936" spans="2:36">
      <c r="B3936" s="136" t="s">
        <v>473</v>
      </c>
      <c r="C3936" s="132" t="s">
        <v>1368</v>
      </c>
      <c r="D3936" s="132" t="s">
        <v>284</v>
      </c>
      <c r="E3936" s="508">
        <v>0.32400000000000001</v>
      </c>
      <c r="F3936" s="508">
        <v>0.38200000000000001</v>
      </c>
      <c r="G3936" s="508">
        <v>0.19500000000000001</v>
      </c>
      <c r="H3936" s="508">
        <v>5.8000000000000003E-2</v>
      </c>
      <c r="I3936" s="508">
        <v>5.8000000000000003E-2</v>
      </c>
      <c r="J3936" s="508">
        <v>6.6000000000000003E-2</v>
      </c>
      <c r="K3936" s="508">
        <v>3.6999999999999998E-2</v>
      </c>
      <c r="L3936" s="508">
        <v>0.35599999999999998</v>
      </c>
      <c r="M3936" s="508">
        <v>0.26800000000000002</v>
      </c>
      <c r="N3936" s="508">
        <v>0.126</v>
      </c>
      <c r="O3936" s="508">
        <v>0.186</v>
      </c>
      <c r="P3936" s="508">
        <v>0.49299999999999999</v>
      </c>
      <c r="Q3936" s="508">
        <v>0.3</v>
      </c>
      <c r="R3936" s="508">
        <v>0.19900000000000001</v>
      </c>
      <c r="S3936" s="508">
        <v>0.20699999999999999</v>
      </c>
      <c r="T3936" s="508">
        <v>0.183</v>
      </c>
      <c r="U3936" s="508">
        <v>0.13600000000000001</v>
      </c>
      <c r="V3936" s="508">
        <v>0.21199999999999999</v>
      </c>
      <c r="W3936" s="508">
        <v>0.17699999999999999</v>
      </c>
      <c r="X3936" s="508">
        <v>0.17799999999999999</v>
      </c>
      <c r="Y3936" s="508">
        <v>0.193</v>
      </c>
      <c r="Z3936" s="508">
        <v>0.20799999999999999</v>
      </c>
      <c r="AA3936" s="508">
        <v>1.4E-2</v>
      </c>
      <c r="AB3936" s="508">
        <v>1.4E-2</v>
      </c>
      <c r="AC3936" s="508">
        <v>1.2E-2</v>
      </c>
      <c r="AD3936" s="508">
        <v>0.01</v>
      </c>
      <c r="AE3936" s="508">
        <v>1.2E-2</v>
      </c>
      <c r="AF3936" s="508">
        <v>7.0000000000000001E-3</v>
      </c>
      <c r="AG3936" s="508">
        <v>7.0000000000000001E-3</v>
      </c>
      <c r="AH3936" s="508">
        <v>7.0000000000000001E-3</v>
      </c>
      <c r="AI3936" s="492">
        <v>7.0000000000000001E-3</v>
      </c>
      <c r="AJ3936" s="485"/>
    </row>
    <row r="3937" spans="2:36">
      <c r="B3937" s="136" t="s">
        <v>474</v>
      </c>
      <c r="C3937" s="132" t="s">
        <v>1368</v>
      </c>
      <c r="D3937" s="132" t="s">
        <v>284</v>
      </c>
      <c r="E3937" s="508">
        <v>0.32100000000000001</v>
      </c>
      <c r="F3937" s="508">
        <v>0.378</v>
      </c>
      <c r="G3937" s="508">
        <v>0.193</v>
      </c>
      <c r="H3937" s="508">
        <v>5.7000000000000002E-2</v>
      </c>
      <c r="I3937" s="508">
        <v>5.7000000000000002E-2</v>
      </c>
      <c r="J3937" s="508">
        <v>6.6000000000000003E-2</v>
      </c>
      <c r="K3937" s="508">
        <v>3.5999999999999997E-2</v>
      </c>
      <c r="L3937" s="508">
        <v>0.34899999999999998</v>
      </c>
      <c r="M3937" s="508">
        <v>0.26300000000000001</v>
      </c>
      <c r="N3937" s="508">
        <v>0.121</v>
      </c>
      <c r="O3937" s="508">
        <v>0.17699999999999999</v>
      </c>
      <c r="P3937" s="508">
        <v>0.46700000000000003</v>
      </c>
      <c r="Q3937" s="508">
        <v>0.28499999999999998</v>
      </c>
      <c r="R3937" s="508">
        <v>0.19400000000000001</v>
      </c>
      <c r="S3937" s="508">
        <v>0.20200000000000001</v>
      </c>
      <c r="T3937" s="508">
        <v>0.17799999999999999</v>
      </c>
      <c r="U3937" s="508">
        <v>0.13300000000000001</v>
      </c>
      <c r="V3937" s="508">
        <v>0.20599999999999999</v>
      </c>
      <c r="W3937" s="508">
        <v>0.17299999999999999</v>
      </c>
      <c r="X3937" s="508">
        <v>0.17299999999999999</v>
      </c>
      <c r="Y3937" s="508">
        <v>0.188</v>
      </c>
      <c r="Z3937" s="508">
        <v>0.20200000000000001</v>
      </c>
      <c r="AA3937" s="508">
        <v>1.2999999999999999E-2</v>
      </c>
      <c r="AB3937" s="508">
        <v>1.2999999999999999E-2</v>
      </c>
      <c r="AC3937" s="508">
        <v>1.2E-2</v>
      </c>
      <c r="AD3937" s="508">
        <v>0.01</v>
      </c>
      <c r="AE3937" s="508">
        <v>1.0999999999999999E-2</v>
      </c>
      <c r="AF3937" s="508">
        <v>7.0000000000000001E-3</v>
      </c>
      <c r="AG3937" s="508">
        <v>7.0000000000000001E-3</v>
      </c>
      <c r="AH3937" s="508">
        <v>7.0000000000000001E-3</v>
      </c>
      <c r="AI3937" s="492">
        <v>7.0000000000000001E-3</v>
      </c>
      <c r="AJ3937" s="485"/>
    </row>
    <row r="3938" spans="2:36">
      <c r="B3938" s="136" t="s">
        <v>475</v>
      </c>
      <c r="C3938" s="132" t="s">
        <v>1368</v>
      </c>
      <c r="D3938" s="132" t="s">
        <v>284</v>
      </c>
      <c r="E3938" s="508">
        <v>0.31900000000000001</v>
      </c>
      <c r="F3938" s="508">
        <v>0.376</v>
      </c>
      <c r="G3938" s="508">
        <v>0.192</v>
      </c>
      <c r="H3938" s="508">
        <v>5.7000000000000002E-2</v>
      </c>
      <c r="I3938" s="508">
        <v>5.7000000000000002E-2</v>
      </c>
      <c r="J3938" s="508">
        <v>6.7000000000000004E-2</v>
      </c>
      <c r="K3938" s="508">
        <v>3.5000000000000003E-2</v>
      </c>
      <c r="L3938" s="508">
        <v>0.34599999999999997</v>
      </c>
      <c r="M3938" s="508">
        <v>0.26</v>
      </c>
      <c r="N3938" s="508">
        <v>0.11899999999999999</v>
      </c>
      <c r="O3938" s="508">
        <v>0.17299999999999999</v>
      </c>
      <c r="P3938" s="508">
        <v>0.45400000000000001</v>
      </c>
      <c r="Q3938" s="508">
        <v>0.27700000000000002</v>
      </c>
      <c r="R3938" s="508">
        <v>0.192</v>
      </c>
      <c r="S3938" s="508">
        <v>0.19900000000000001</v>
      </c>
      <c r="T3938" s="508">
        <v>0.17599999999999999</v>
      </c>
      <c r="U3938" s="508">
        <v>0.13100000000000001</v>
      </c>
      <c r="V3938" s="508">
        <v>0.20399999999999999</v>
      </c>
      <c r="W3938" s="508">
        <v>0.17</v>
      </c>
      <c r="X3938" s="508">
        <v>0.17100000000000001</v>
      </c>
      <c r="Y3938" s="508">
        <v>0.186</v>
      </c>
      <c r="Z3938" s="508">
        <v>0.2</v>
      </c>
      <c r="AA3938" s="508">
        <v>1.2999999999999999E-2</v>
      </c>
      <c r="AB3938" s="508">
        <v>1.2999999999999999E-2</v>
      </c>
      <c r="AC3938" s="508">
        <v>1.2E-2</v>
      </c>
      <c r="AD3938" s="508">
        <v>0.01</v>
      </c>
      <c r="AE3938" s="508">
        <v>1.0999999999999999E-2</v>
      </c>
      <c r="AF3938" s="508">
        <v>7.0000000000000001E-3</v>
      </c>
      <c r="AG3938" s="508">
        <v>7.0000000000000001E-3</v>
      </c>
      <c r="AH3938" s="508">
        <v>7.0000000000000001E-3</v>
      </c>
      <c r="AI3938" s="492">
        <v>7.0000000000000001E-3</v>
      </c>
      <c r="AJ3938" s="485"/>
    </row>
    <row r="3939" spans="2:36">
      <c r="B3939" s="136" t="s">
        <v>476</v>
      </c>
      <c r="C3939" s="132" t="s">
        <v>1368</v>
      </c>
      <c r="D3939" s="132" t="s">
        <v>284</v>
      </c>
      <c r="E3939" s="508">
        <v>0.32300000000000001</v>
      </c>
      <c r="F3939" s="508">
        <v>0.38100000000000001</v>
      </c>
      <c r="G3939" s="508">
        <v>0.19500000000000001</v>
      </c>
      <c r="H3939" s="508">
        <v>5.8000000000000003E-2</v>
      </c>
      <c r="I3939" s="508">
        <v>5.8000000000000003E-2</v>
      </c>
      <c r="J3939" s="508">
        <v>6.7000000000000004E-2</v>
      </c>
      <c r="K3939" s="508">
        <v>3.6999999999999998E-2</v>
      </c>
      <c r="L3939" s="508">
        <v>0.35299999999999998</v>
      </c>
      <c r="M3939" s="508">
        <v>0.26500000000000001</v>
      </c>
      <c r="N3939" s="508">
        <v>0.124</v>
      </c>
      <c r="O3939" s="508">
        <v>0.182</v>
      </c>
      <c r="P3939" s="508">
        <v>0.48199999999999998</v>
      </c>
      <c r="Q3939" s="508">
        <v>0.29299999999999998</v>
      </c>
      <c r="R3939" s="508">
        <v>0.19700000000000001</v>
      </c>
      <c r="S3939" s="508">
        <v>0.20499999999999999</v>
      </c>
      <c r="T3939" s="508">
        <v>0.18099999999999999</v>
      </c>
      <c r="U3939" s="508">
        <v>0.13500000000000001</v>
      </c>
      <c r="V3939" s="508">
        <v>0.21</v>
      </c>
      <c r="W3939" s="508">
        <v>0.17499999999999999</v>
      </c>
      <c r="X3939" s="508">
        <v>0.17599999999999999</v>
      </c>
      <c r="Y3939" s="508">
        <v>0.191</v>
      </c>
      <c r="Z3939" s="508">
        <v>0.20599999999999999</v>
      </c>
      <c r="AA3939" s="508">
        <v>1.4E-2</v>
      </c>
      <c r="AB3939" s="508">
        <v>1.4E-2</v>
      </c>
      <c r="AC3939" s="508">
        <v>1.2E-2</v>
      </c>
      <c r="AD3939" s="508">
        <v>0.01</v>
      </c>
      <c r="AE3939" s="508">
        <v>1.0999999999999999E-2</v>
      </c>
      <c r="AF3939" s="508">
        <v>7.0000000000000001E-3</v>
      </c>
      <c r="AG3939" s="508">
        <v>7.0000000000000001E-3</v>
      </c>
      <c r="AH3939" s="508">
        <v>7.0000000000000001E-3</v>
      </c>
      <c r="AI3939" s="492">
        <v>7.0000000000000001E-3</v>
      </c>
      <c r="AJ3939" s="485"/>
    </row>
    <row r="3940" spans="2:36">
      <c r="B3940" s="136" t="s">
        <v>478</v>
      </c>
      <c r="C3940" s="132" t="s">
        <v>1368</v>
      </c>
      <c r="D3940" s="132" t="s">
        <v>284</v>
      </c>
      <c r="E3940" s="508">
        <v>0.32600000000000001</v>
      </c>
      <c r="F3940" s="508">
        <v>0.38500000000000001</v>
      </c>
      <c r="G3940" s="508">
        <v>0.19800000000000001</v>
      </c>
      <c r="H3940" s="508">
        <v>5.8999999999999997E-2</v>
      </c>
      <c r="I3940" s="508">
        <v>5.8999999999999997E-2</v>
      </c>
      <c r="J3940" s="508">
        <v>6.8000000000000005E-2</v>
      </c>
      <c r="K3940" s="508">
        <v>3.7999999999999999E-2</v>
      </c>
      <c r="L3940" s="508">
        <v>0.35699999999999998</v>
      </c>
      <c r="M3940" s="508">
        <v>0.26900000000000002</v>
      </c>
      <c r="N3940" s="508">
        <v>0.127</v>
      </c>
      <c r="O3940" s="508">
        <v>0.189</v>
      </c>
      <c r="P3940" s="508">
        <v>0.499</v>
      </c>
      <c r="Q3940" s="508">
        <v>0.30399999999999999</v>
      </c>
      <c r="R3940" s="508">
        <v>0.20100000000000001</v>
      </c>
      <c r="S3940" s="508">
        <v>0.20899999999999999</v>
      </c>
      <c r="T3940" s="508">
        <v>0.185</v>
      </c>
      <c r="U3940" s="508">
        <v>0.13800000000000001</v>
      </c>
      <c r="V3940" s="508">
        <v>0.214</v>
      </c>
      <c r="W3940" s="508">
        <v>0.17899999999999999</v>
      </c>
      <c r="X3940" s="508">
        <v>0.17899999999999999</v>
      </c>
      <c r="Y3940" s="508">
        <v>0.19500000000000001</v>
      </c>
      <c r="Z3940" s="508">
        <v>0.20899999999999999</v>
      </c>
      <c r="AA3940" s="508">
        <v>1.4E-2</v>
      </c>
      <c r="AB3940" s="508">
        <v>1.4E-2</v>
      </c>
      <c r="AC3940" s="508">
        <v>1.2E-2</v>
      </c>
      <c r="AD3940" s="508">
        <v>0.01</v>
      </c>
      <c r="AE3940" s="508">
        <v>1.2E-2</v>
      </c>
      <c r="AF3940" s="508">
        <v>7.0000000000000001E-3</v>
      </c>
      <c r="AG3940" s="508">
        <v>7.0000000000000001E-3</v>
      </c>
      <c r="AH3940" s="508">
        <v>7.0000000000000001E-3</v>
      </c>
      <c r="AI3940" s="492">
        <v>7.0000000000000001E-3</v>
      </c>
      <c r="AJ3940" s="485"/>
    </row>
    <row r="3941" spans="2:36">
      <c r="B3941" s="136" t="s">
        <v>479</v>
      </c>
      <c r="C3941" s="132" t="s">
        <v>1368</v>
      </c>
      <c r="D3941" s="132" t="s">
        <v>284</v>
      </c>
      <c r="E3941" s="508">
        <v>0.32</v>
      </c>
      <c r="F3941" s="508">
        <v>0.378</v>
      </c>
      <c r="G3941" s="508">
        <v>0.193</v>
      </c>
      <c r="H3941" s="508">
        <v>5.8000000000000003E-2</v>
      </c>
      <c r="I3941" s="508">
        <v>5.8000000000000003E-2</v>
      </c>
      <c r="J3941" s="508">
        <v>6.7000000000000004E-2</v>
      </c>
      <c r="K3941" s="508">
        <v>3.5999999999999997E-2</v>
      </c>
      <c r="L3941" s="508">
        <v>0.34799999999999998</v>
      </c>
      <c r="M3941" s="508">
        <v>0.26200000000000001</v>
      </c>
      <c r="N3941" s="508">
        <v>0.121</v>
      </c>
      <c r="O3941" s="508">
        <v>0.17599999999999999</v>
      </c>
      <c r="P3941" s="508">
        <v>0.46400000000000002</v>
      </c>
      <c r="Q3941" s="508">
        <v>0.28299999999999997</v>
      </c>
      <c r="R3941" s="508">
        <v>0.19400000000000001</v>
      </c>
      <c r="S3941" s="508">
        <v>0.20100000000000001</v>
      </c>
      <c r="T3941" s="508">
        <v>0.17799999999999999</v>
      </c>
      <c r="U3941" s="508">
        <v>0.13200000000000001</v>
      </c>
      <c r="V3941" s="508">
        <v>0.20599999999999999</v>
      </c>
      <c r="W3941" s="508">
        <v>0.17199999999999999</v>
      </c>
      <c r="X3941" s="508">
        <v>0.17299999999999999</v>
      </c>
      <c r="Y3941" s="508">
        <v>0.188</v>
      </c>
      <c r="Z3941" s="508">
        <v>0.20200000000000001</v>
      </c>
      <c r="AA3941" s="508">
        <v>1.2999999999999999E-2</v>
      </c>
      <c r="AB3941" s="508">
        <v>1.2999999999999999E-2</v>
      </c>
      <c r="AC3941" s="508">
        <v>1.2E-2</v>
      </c>
      <c r="AD3941" s="508">
        <v>0.01</v>
      </c>
      <c r="AE3941" s="508">
        <v>1.0999999999999999E-2</v>
      </c>
      <c r="AF3941" s="508">
        <v>7.0000000000000001E-3</v>
      </c>
      <c r="AG3941" s="508">
        <v>7.0000000000000001E-3</v>
      </c>
      <c r="AH3941" s="508">
        <v>7.0000000000000001E-3</v>
      </c>
      <c r="AI3941" s="492">
        <v>7.0000000000000001E-3</v>
      </c>
      <c r="AJ3941" s="485"/>
    </row>
    <row r="3942" spans="2:36">
      <c r="B3942" s="136" t="s">
        <v>480</v>
      </c>
      <c r="C3942" s="132" t="s">
        <v>1368</v>
      </c>
      <c r="D3942" s="132" t="s">
        <v>284</v>
      </c>
      <c r="E3942" s="508">
        <v>0.314</v>
      </c>
      <c r="F3942" s="508">
        <v>0.371</v>
      </c>
      <c r="G3942" s="508">
        <v>0.191</v>
      </c>
      <c r="H3942" s="508">
        <v>5.7000000000000002E-2</v>
      </c>
      <c r="I3942" s="508">
        <v>5.7000000000000002E-2</v>
      </c>
      <c r="J3942" s="508">
        <v>6.8000000000000005E-2</v>
      </c>
      <c r="K3942" s="508">
        <v>3.5000000000000003E-2</v>
      </c>
      <c r="L3942" s="508">
        <v>0.33600000000000002</v>
      </c>
      <c r="M3942" s="508">
        <v>0.253</v>
      </c>
      <c r="N3942" s="508">
        <v>0.113</v>
      </c>
      <c r="O3942" s="508">
        <v>0.16200000000000001</v>
      </c>
      <c r="P3942" s="508">
        <v>0.41799999999999998</v>
      </c>
      <c r="Q3942" s="508">
        <v>0.25600000000000001</v>
      </c>
      <c r="R3942" s="508">
        <v>0.185</v>
      </c>
      <c r="S3942" s="508">
        <v>0.192</v>
      </c>
      <c r="T3942" s="508">
        <v>0.17</v>
      </c>
      <c r="U3942" s="508">
        <v>0.126</v>
      </c>
      <c r="V3942" s="508">
        <v>0.19600000000000001</v>
      </c>
      <c r="W3942" s="508">
        <v>0.16400000000000001</v>
      </c>
      <c r="X3942" s="508">
        <v>0.16500000000000001</v>
      </c>
      <c r="Y3942" s="508">
        <v>0.17899999999999999</v>
      </c>
      <c r="Z3942" s="508">
        <v>0.192</v>
      </c>
      <c r="AA3942" s="508">
        <v>1.2999999999999999E-2</v>
      </c>
      <c r="AB3942" s="508">
        <v>1.2999999999999999E-2</v>
      </c>
      <c r="AC3942" s="508">
        <v>1.0999999999999999E-2</v>
      </c>
      <c r="AD3942" s="508">
        <v>0.01</v>
      </c>
      <c r="AE3942" s="508">
        <v>1.0999999999999999E-2</v>
      </c>
      <c r="AF3942" s="508">
        <v>7.0000000000000001E-3</v>
      </c>
      <c r="AG3942" s="508">
        <v>7.0000000000000001E-3</v>
      </c>
      <c r="AH3942" s="508">
        <v>6.0000000000000001E-3</v>
      </c>
      <c r="AI3942" s="492">
        <v>6.0000000000000001E-3</v>
      </c>
      <c r="AJ3942" s="485"/>
    </row>
    <row r="3943" spans="2:36">
      <c r="B3943" s="136" t="s">
        <v>481</v>
      </c>
      <c r="C3943" s="132" t="s">
        <v>1368</v>
      </c>
      <c r="D3943" s="132" t="s">
        <v>284</v>
      </c>
      <c r="E3943" s="508">
        <v>0.32200000000000001</v>
      </c>
      <c r="F3943" s="508">
        <v>0.38</v>
      </c>
      <c r="G3943" s="508">
        <v>0.19500000000000001</v>
      </c>
      <c r="H3943" s="508">
        <v>5.8000000000000003E-2</v>
      </c>
      <c r="I3943" s="508">
        <v>5.8000000000000003E-2</v>
      </c>
      <c r="J3943" s="508">
        <v>6.7000000000000004E-2</v>
      </c>
      <c r="K3943" s="508">
        <v>3.5999999999999997E-2</v>
      </c>
      <c r="L3943" s="508">
        <v>0.35</v>
      </c>
      <c r="M3943" s="508">
        <v>0.26300000000000001</v>
      </c>
      <c r="N3943" s="508">
        <v>0.122</v>
      </c>
      <c r="O3943" s="508">
        <v>0.17899999999999999</v>
      </c>
      <c r="P3943" s="508">
        <v>0.47199999999999998</v>
      </c>
      <c r="Q3943" s="508">
        <v>0.28799999999999998</v>
      </c>
      <c r="R3943" s="508">
        <v>0.19500000000000001</v>
      </c>
      <c r="S3943" s="508">
        <v>0.20300000000000001</v>
      </c>
      <c r="T3943" s="508">
        <v>0.18</v>
      </c>
      <c r="U3943" s="508">
        <v>0.13400000000000001</v>
      </c>
      <c r="V3943" s="508">
        <v>0.20799999999999999</v>
      </c>
      <c r="W3943" s="508">
        <v>0.17399999999999999</v>
      </c>
      <c r="X3943" s="508">
        <v>0.17399999999999999</v>
      </c>
      <c r="Y3943" s="508">
        <v>0.189</v>
      </c>
      <c r="Z3943" s="508">
        <v>0.20300000000000001</v>
      </c>
      <c r="AA3943" s="508">
        <v>1.4E-2</v>
      </c>
      <c r="AB3943" s="508">
        <v>1.4E-2</v>
      </c>
      <c r="AC3943" s="508">
        <v>1.2E-2</v>
      </c>
      <c r="AD3943" s="508">
        <v>0.01</v>
      </c>
      <c r="AE3943" s="508">
        <v>1.0999999999999999E-2</v>
      </c>
      <c r="AF3943" s="508">
        <v>7.0000000000000001E-3</v>
      </c>
      <c r="AG3943" s="508">
        <v>7.0000000000000001E-3</v>
      </c>
      <c r="AH3943" s="508">
        <v>7.0000000000000001E-3</v>
      </c>
      <c r="AI3943" s="492">
        <v>7.0000000000000001E-3</v>
      </c>
      <c r="AJ3943" s="485"/>
    </row>
    <row r="3944" spans="2:36">
      <c r="B3944" s="136" t="s">
        <v>482</v>
      </c>
      <c r="C3944" s="132" t="s">
        <v>1368</v>
      </c>
      <c r="D3944" s="132" t="s">
        <v>284</v>
      </c>
      <c r="E3944" s="508">
        <v>0.32100000000000001</v>
      </c>
      <c r="F3944" s="508">
        <v>0.38</v>
      </c>
      <c r="G3944" s="508">
        <v>0.19500000000000001</v>
      </c>
      <c r="H3944" s="508">
        <v>5.8999999999999997E-2</v>
      </c>
      <c r="I3944" s="508">
        <v>5.8999999999999997E-2</v>
      </c>
      <c r="J3944" s="508">
        <v>6.8000000000000005E-2</v>
      </c>
      <c r="K3944" s="508">
        <v>3.6999999999999998E-2</v>
      </c>
      <c r="L3944" s="508">
        <v>0.34899999999999998</v>
      </c>
      <c r="M3944" s="508">
        <v>0.26200000000000001</v>
      </c>
      <c r="N3944" s="508">
        <v>0.121</v>
      </c>
      <c r="O3944" s="508">
        <v>0.17799999999999999</v>
      </c>
      <c r="P3944" s="508">
        <v>0.46700000000000003</v>
      </c>
      <c r="Q3944" s="508">
        <v>0.28499999999999998</v>
      </c>
      <c r="R3944" s="508">
        <v>0.19500000000000001</v>
      </c>
      <c r="S3944" s="508">
        <v>0.20200000000000001</v>
      </c>
      <c r="T3944" s="508">
        <v>0.17899999999999999</v>
      </c>
      <c r="U3944" s="508">
        <v>0.13300000000000001</v>
      </c>
      <c r="V3944" s="508">
        <v>0.20699999999999999</v>
      </c>
      <c r="W3944" s="508">
        <v>0.17299999999999999</v>
      </c>
      <c r="X3944" s="508">
        <v>0.17299999999999999</v>
      </c>
      <c r="Y3944" s="508">
        <v>0.188</v>
      </c>
      <c r="Z3944" s="508">
        <v>0.20200000000000001</v>
      </c>
      <c r="AA3944" s="508">
        <v>1.4E-2</v>
      </c>
      <c r="AB3944" s="508">
        <v>1.4E-2</v>
      </c>
      <c r="AC3944" s="508">
        <v>1.2E-2</v>
      </c>
      <c r="AD3944" s="508">
        <v>0.01</v>
      </c>
      <c r="AE3944" s="508">
        <v>1.0999999999999999E-2</v>
      </c>
      <c r="AF3944" s="508">
        <v>7.0000000000000001E-3</v>
      </c>
      <c r="AG3944" s="508">
        <v>7.0000000000000001E-3</v>
      </c>
      <c r="AH3944" s="508">
        <v>7.0000000000000001E-3</v>
      </c>
      <c r="AI3944" s="492">
        <v>7.0000000000000001E-3</v>
      </c>
      <c r="AJ3944" s="485"/>
    </row>
    <row r="3945" spans="2:36">
      <c r="B3945" s="136" t="s">
        <v>483</v>
      </c>
      <c r="C3945" s="132" t="s">
        <v>1368</v>
      </c>
      <c r="D3945" s="132" t="s">
        <v>284</v>
      </c>
      <c r="E3945" s="508">
        <v>0.32500000000000001</v>
      </c>
      <c r="F3945" s="508">
        <v>0.38400000000000001</v>
      </c>
      <c r="G3945" s="508">
        <v>0.19700000000000001</v>
      </c>
      <c r="H3945" s="508">
        <v>5.8999999999999997E-2</v>
      </c>
      <c r="I3945" s="508">
        <v>5.8999999999999997E-2</v>
      </c>
      <c r="J3945" s="508">
        <v>6.8000000000000005E-2</v>
      </c>
      <c r="K3945" s="508">
        <v>3.7999999999999999E-2</v>
      </c>
      <c r="L3945" s="508">
        <v>0.35599999999999998</v>
      </c>
      <c r="M3945" s="508">
        <v>0.26800000000000002</v>
      </c>
      <c r="N3945" s="508">
        <v>0.127</v>
      </c>
      <c r="O3945" s="508">
        <v>0.188</v>
      </c>
      <c r="P3945" s="508">
        <v>0.497</v>
      </c>
      <c r="Q3945" s="508">
        <v>0.30199999999999999</v>
      </c>
      <c r="R3945" s="508">
        <v>0.2</v>
      </c>
      <c r="S3945" s="508">
        <v>0.20899999999999999</v>
      </c>
      <c r="T3945" s="508">
        <v>0.184</v>
      </c>
      <c r="U3945" s="508">
        <v>0.13700000000000001</v>
      </c>
      <c r="V3945" s="508">
        <v>0.21299999999999999</v>
      </c>
      <c r="W3945" s="508">
        <v>0.17799999999999999</v>
      </c>
      <c r="X3945" s="508">
        <v>0.17899999999999999</v>
      </c>
      <c r="Y3945" s="508">
        <v>0.19400000000000001</v>
      </c>
      <c r="Z3945" s="508">
        <v>0.20899999999999999</v>
      </c>
      <c r="AA3945" s="508">
        <v>1.4E-2</v>
      </c>
      <c r="AB3945" s="508">
        <v>1.4E-2</v>
      </c>
      <c r="AC3945" s="508">
        <v>1.2E-2</v>
      </c>
      <c r="AD3945" s="508">
        <v>0.01</v>
      </c>
      <c r="AE3945" s="508">
        <v>1.2E-2</v>
      </c>
      <c r="AF3945" s="508">
        <v>7.0000000000000001E-3</v>
      </c>
      <c r="AG3945" s="508">
        <v>7.0000000000000001E-3</v>
      </c>
      <c r="AH3945" s="508">
        <v>7.0000000000000001E-3</v>
      </c>
      <c r="AI3945" s="492">
        <v>7.0000000000000001E-3</v>
      </c>
      <c r="AJ3945" s="485"/>
    </row>
    <row r="3946" spans="2:36">
      <c r="B3946" s="136" t="s">
        <v>484</v>
      </c>
      <c r="C3946" s="132" t="s">
        <v>1368</v>
      </c>
      <c r="D3946" s="132" t="s">
        <v>284</v>
      </c>
      <c r="E3946" s="508">
        <v>0.314</v>
      </c>
      <c r="F3946" s="508">
        <v>0.371</v>
      </c>
      <c r="G3946" s="508">
        <v>0.189</v>
      </c>
      <c r="H3946" s="508">
        <v>5.7000000000000002E-2</v>
      </c>
      <c r="I3946" s="508">
        <v>5.7000000000000002E-2</v>
      </c>
      <c r="J3946" s="508">
        <v>6.7000000000000004E-2</v>
      </c>
      <c r="K3946" s="508">
        <v>3.4000000000000002E-2</v>
      </c>
      <c r="L3946" s="508">
        <v>0.33700000000000002</v>
      </c>
      <c r="M3946" s="508">
        <v>0.253</v>
      </c>
      <c r="N3946" s="508">
        <v>0.113</v>
      </c>
      <c r="O3946" s="508">
        <v>0.161</v>
      </c>
      <c r="P3946" s="508">
        <v>0.42</v>
      </c>
      <c r="Q3946" s="508">
        <v>0.25700000000000001</v>
      </c>
      <c r="R3946" s="508">
        <v>0.185</v>
      </c>
      <c r="S3946" s="508">
        <v>0.192</v>
      </c>
      <c r="T3946" s="508">
        <v>0.17</v>
      </c>
      <c r="U3946" s="508">
        <v>0.126</v>
      </c>
      <c r="V3946" s="508">
        <v>0.19600000000000001</v>
      </c>
      <c r="W3946" s="508">
        <v>0.16400000000000001</v>
      </c>
      <c r="X3946" s="508">
        <v>0.16500000000000001</v>
      </c>
      <c r="Y3946" s="508">
        <v>0.17899999999999999</v>
      </c>
      <c r="Z3946" s="508">
        <v>0.193</v>
      </c>
      <c r="AA3946" s="508">
        <v>1.2999999999999999E-2</v>
      </c>
      <c r="AB3946" s="508">
        <v>1.2999999999999999E-2</v>
      </c>
      <c r="AC3946" s="508">
        <v>1.0999999999999999E-2</v>
      </c>
      <c r="AD3946" s="508">
        <v>8.9999999999999993E-3</v>
      </c>
      <c r="AE3946" s="508">
        <v>1.0999999999999999E-2</v>
      </c>
      <c r="AF3946" s="508">
        <v>7.0000000000000001E-3</v>
      </c>
      <c r="AG3946" s="508">
        <v>6.0000000000000001E-3</v>
      </c>
      <c r="AH3946" s="508">
        <v>6.0000000000000001E-3</v>
      </c>
      <c r="AI3946" s="492">
        <v>6.0000000000000001E-3</v>
      </c>
      <c r="AJ3946" s="485"/>
    </row>
    <row r="3947" spans="2:36">
      <c r="B3947" s="136" t="s">
        <v>486</v>
      </c>
      <c r="C3947" s="132" t="s">
        <v>1368</v>
      </c>
      <c r="D3947" s="132" t="s">
        <v>284</v>
      </c>
      <c r="E3947" s="508">
        <v>0.32200000000000001</v>
      </c>
      <c r="F3947" s="508">
        <v>0.38</v>
      </c>
      <c r="G3947" s="508">
        <v>0.19500000000000001</v>
      </c>
      <c r="H3947" s="508">
        <v>5.8000000000000003E-2</v>
      </c>
      <c r="I3947" s="508">
        <v>5.8000000000000003E-2</v>
      </c>
      <c r="J3947" s="508">
        <v>6.8000000000000005E-2</v>
      </c>
      <c r="K3947" s="508">
        <v>3.6999999999999998E-2</v>
      </c>
      <c r="L3947" s="508">
        <v>0.35</v>
      </c>
      <c r="M3947" s="508">
        <v>0.26400000000000001</v>
      </c>
      <c r="N3947" s="508">
        <v>0.122</v>
      </c>
      <c r="O3947" s="508">
        <v>0.18</v>
      </c>
      <c r="P3947" s="508">
        <v>0.47299999999999998</v>
      </c>
      <c r="Q3947" s="508">
        <v>0.28799999999999998</v>
      </c>
      <c r="R3947" s="508">
        <v>0.19600000000000001</v>
      </c>
      <c r="S3947" s="508">
        <v>0.20399999999999999</v>
      </c>
      <c r="T3947" s="508">
        <v>0.18</v>
      </c>
      <c r="U3947" s="508">
        <v>0.13400000000000001</v>
      </c>
      <c r="V3947" s="508">
        <v>0.20799999999999999</v>
      </c>
      <c r="W3947" s="508">
        <v>0.17399999999999999</v>
      </c>
      <c r="X3947" s="508">
        <v>0.17399999999999999</v>
      </c>
      <c r="Y3947" s="508">
        <v>0.189</v>
      </c>
      <c r="Z3947" s="508">
        <v>0.20399999999999999</v>
      </c>
      <c r="AA3947" s="508">
        <v>1.4E-2</v>
      </c>
      <c r="AB3947" s="508">
        <v>1.4E-2</v>
      </c>
      <c r="AC3947" s="508">
        <v>1.2E-2</v>
      </c>
      <c r="AD3947" s="508">
        <v>0.01</v>
      </c>
      <c r="AE3947" s="508">
        <v>1.0999999999999999E-2</v>
      </c>
      <c r="AF3947" s="508">
        <v>7.0000000000000001E-3</v>
      </c>
      <c r="AG3947" s="508">
        <v>7.0000000000000001E-3</v>
      </c>
      <c r="AH3947" s="508">
        <v>7.0000000000000001E-3</v>
      </c>
      <c r="AI3947" s="492">
        <v>7.0000000000000001E-3</v>
      </c>
      <c r="AJ3947" s="485"/>
    </row>
    <row r="3948" spans="2:36">
      <c r="B3948" s="136" t="s">
        <v>487</v>
      </c>
      <c r="C3948" s="132" t="s">
        <v>1368</v>
      </c>
      <c r="D3948" s="132" t="s">
        <v>284</v>
      </c>
      <c r="E3948" s="508">
        <v>0.32200000000000001</v>
      </c>
      <c r="F3948" s="508">
        <v>0.38100000000000001</v>
      </c>
      <c r="G3948" s="508">
        <v>0.19700000000000001</v>
      </c>
      <c r="H3948" s="508">
        <v>5.8999999999999997E-2</v>
      </c>
      <c r="I3948" s="508">
        <v>5.8999999999999997E-2</v>
      </c>
      <c r="J3948" s="508">
        <v>6.9000000000000006E-2</v>
      </c>
      <c r="K3948" s="508">
        <v>3.6999999999999998E-2</v>
      </c>
      <c r="L3948" s="508">
        <v>0.35</v>
      </c>
      <c r="M3948" s="508">
        <v>0.26300000000000001</v>
      </c>
      <c r="N3948" s="508">
        <v>0.123</v>
      </c>
      <c r="O3948" s="508">
        <v>0.18099999999999999</v>
      </c>
      <c r="P3948" s="508">
        <v>0.47399999999999998</v>
      </c>
      <c r="Q3948" s="508">
        <v>0.28899999999999998</v>
      </c>
      <c r="R3948" s="508">
        <v>0.19600000000000001</v>
      </c>
      <c r="S3948" s="508">
        <v>0.20399999999999999</v>
      </c>
      <c r="T3948" s="508">
        <v>0.18099999999999999</v>
      </c>
      <c r="U3948" s="508">
        <v>0.13400000000000001</v>
      </c>
      <c r="V3948" s="508">
        <v>0.20799999999999999</v>
      </c>
      <c r="W3948" s="508">
        <v>0.17399999999999999</v>
      </c>
      <c r="X3948" s="508">
        <v>0.17499999999999999</v>
      </c>
      <c r="Y3948" s="508">
        <v>0.19</v>
      </c>
      <c r="Z3948" s="508">
        <v>0.20399999999999999</v>
      </c>
      <c r="AA3948" s="508">
        <v>1.4E-2</v>
      </c>
      <c r="AB3948" s="508">
        <v>1.4E-2</v>
      </c>
      <c r="AC3948" s="508">
        <v>1.2E-2</v>
      </c>
      <c r="AD3948" s="508">
        <v>0.01</v>
      </c>
      <c r="AE3948" s="508">
        <v>1.0999999999999999E-2</v>
      </c>
      <c r="AF3948" s="508">
        <v>7.0000000000000001E-3</v>
      </c>
      <c r="AG3948" s="508">
        <v>7.0000000000000001E-3</v>
      </c>
      <c r="AH3948" s="508">
        <v>7.0000000000000001E-3</v>
      </c>
      <c r="AI3948" s="492">
        <v>7.0000000000000001E-3</v>
      </c>
      <c r="AJ3948" s="485"/>
    </row>
    <row r="3949" spans="2:36">
      <c r="B3949" s="136" t="s">
        <v>488</v>
      </c>
      <c r="C3949" s="132" t="s">
        <v>1368</v>
      </c>
      <c r="D3949" s="132" t="s">
        <v>284</v>
      </c>
      <c r="E3949" s="508">
        <v>0.316</v>
      </c>
      <c r="F3949" s="508">
        <v>0.373</v>
      </c>
      <c r="G3949" s="508">
        <v>0.192</v>
      </c>
      <c r="H3949" s="508">
        <v>5.7000000000000002E-2</v>
      </c>
      <c r="I3949" s="508">
        <v>5.7000000000000002E-2</v>
      </c>
      <c r="J3949" s="508">
        <v>6.8000000000000005E-2</v>
      </c>
      <c r="K3949" s="508">
        <v>3.5000000000000003E-2</v>
      </c>
      <c r="L3949" s="508">
        <v>0.34</v>
      </c>
      <c r="M3949" s="508">
        <v>0.25600000000000001</v>
      </c>
      <c r="N3949" s="508">
        <v>0.115</v>
      </c>
      <c r="O3949" s="508">
        <v>0.16600000000000001</v>
      </c>
      <c r="P3949" s="508">
        <v>0.433</v>
      </c>
      <c r="Q3949" s="508">
        <v>0.26500000000000001</v>
      </c>
      <c r="R3949" s="508">
        <v>0.188</v>
      </c>
      <c r="S3949" s="508">
        <v>0.19500000000000001</v>
      </c>
      <c r="T3949" s="508">
        <v>0.17299999999999999</v>
      </c>
      <c r="U3949" s="508">
        <v>0.128</v>
      </c>
      <c r="V3949" s="508">
        <v>0.19900000000000001</v>
      </c>
      <c r="W3949" s="508">
        <v>0.16700000000000001</v>
      </c>
      <c r="X3949" s="508">
        <v>0.16700000000000001</v>
      </c>
      <c r="Y3949" s="508">
        <v>0.182</v>
      </c>
      <c r="Z3949" s="508">
        <v>0.19500000000000001</v>
      </c>
      <c r="AA3949" s="508">
        <v>1.2999999999999999E-2</v>
      </c>
      <c r="AB3949" s="508">
        <v>1.2999999999999999E-2</v>
      </c>
      <c r="AC3949" s="508">
        <v>1.2E-2</v>
      </c>
      <c r="AD3949" s="508">
        <v>0.01</v>
      </c>
      <c r="AE3949" s="508">
        <v>1.0999999999999999E-2</v>
      </c>
      <c r="AF3949" s="508">
        <v>7.0000000000000001E-3</v>
      </c>
      <c r="AG3949" s="508">
        <v>7.0000000000000001E-3</v>
      </c>
      <c r="AH3949" s="508">
        <v>7.0000000000000001E-3</v>
      </c>
      <c r="AI3949" s="492">
        <v>7.0000000000000001E-3</v>
      </c>
      <c r="AJ3949" s="485"/>
    </row>
    <row r="3950" spans="2:36">
      <c r="B3950" s="136" t="s">
        <v>489</v>
      </c>
      <c r="C3950" s="132" t="s">
        <v>1368</v>
      </c>
      <c r="D3950" s="132" t="s">
        <v>284</v>
      </c>
      <c r="E3950" s="508">
        <v>0.318</v>
      </c>
      <c r="F3950" s="508">
        <v>0.376</v>
      </c>
      <c r="G3950" s="508">
        <v>0.192</v>
      </c>
      <c r="H3950" s="508">
        <v>5.7000000000000002E-2</v>
      </c>
      <c r="I3950" s="508">
        <v>5.7000000000000002E-2</v>
      </c>
      <c r="J3950" s="508">
        <v>6.7000000000000004E-2</v>
      </c>
      <c r="K3950" s="508">
        <v>3.5000000000000003E-2</v>
      </c>
      <c r="L3950" s="508">
        <v>0.34499999999999997</v>
      </c>
      <c r="M3950" s="508">
        <v>0.25900000000000001</v>
      </c>
      <c r="N3950" s="508">
        <v>0.11799999999999999</v>
      </c>
      <c r="O3950" s="508">
        <v>0.17199999999999999</v>
      </c>
      <c r="P3950" s="508">
        <v>0.45100000000000001</v>
      </c>
      <c r="Q3950" s="508">
        <v>0.27500000000000002</v>
      </c>
      <c r="R3950" s="508">
        <v>0.191</v>
      </c>
      <c r="S3950" s="508">
        <v>0.19900000000000001</v>
      </c>
      <c r="T3950" s="508">
        <v>0.17599999999999999</v>
      </c>
      <c r="U3950" s="508">
        <v>0.13100000000000001</v>
      </c>
      <c r="V3950" s="508">
        <v>0.20300000000000001</v>
      </c>
      <c r="W3950" s="508">
        <v>0.17</v>
      </c>
      <c r="X3950" s="508">
        <v>0.17</v>
      </c>
      <c r="Y3950" s="508">
        <v>0.185</v>
      </c>
      <c r="Z3950" s="508">
        <v>0.19900000000000001</v>
      </c>
      <c r="AA3950" s="508">
        <v>1.2999999999999999E-2</v>
      </c>
      <c r="AB3950" s="508">
        <v>1.2999999999999999E-2</v>
      </c>
      <c r="AC3950" s="508">
        <v>1.2E-2</v>
      </c>
      <c r="AD3950" s="508">
        <v>0.01</v>
      </c>
      <c r="AE3950" s="508">
        <v>1.0999999999999999E-2</v>
      </c>
      <c r="AF3950" s="508">
        <v>7.0000000000000001E-3</v>
      </c>
      <c r="AG3950" s="508">
        <v>7.0000000000000001E-3</v>
      </c>
      <c r="AH3950" s="508">
        <v>7.0000000000000001E-3</v>
      </c>
      <c r="AI3950" s="492">
        <v>7.0000000000000001E-3</v>
      </c>
      <c r="AJ3950" s="485"/>
    </row>
    <row r="3951" spans="2:36">
      <c r="B3951" s="136" t="s">
        <v>490</v>
      </c>
      <c r="C3951" s="132" t="s">
        <v>1368</v>
      </c>
      <c r="D3951" s="132" t="s">
        <v>284</v>
      </c>
      <c r="E3951" s="508">
        <v>0.315</v>
      </c>
      <c r="F3951" s="508">
        <v>0.372</v>
      </c>
      <c r="G3951" s="508">
        <v>0.192</v>
      </c>
      <c r="H3951" s="508">
        <v>5.8000000000000003E-2</v>
      </c>
      <c r="I3951" s="508">
        <v>5.8000000000000003E-2</v>
      </c>
      <c r="J3951" s="508">
        <v>6.9000000000000006E-2</v>
      </c>
      <c r="K3951" s="508">
        <v>3.5000000000000003E-2</v>
      </c>
      <c r="L3951" s="508">
        <v>0.33700000000000002</v>
      </c>
      <c r="M3951" s="508">
        <v>0.254</v>
      </c>
      <c r="N3951" s="508">
        <v>0.114</v>
      </c>
      <c r="O3951" s="508">
        <v>0.16400000000000001</v>
      </c>
      <c r="P3951" s="508">
        <v>0.42499999999999999</v>
      </c>
      <c r="Q3951" s="508">
        <v>0.26</v>
      </c>
      <c r="R3951" s="508">
        <v>0.187</v>
      </c>
      <c r="S3951" s="508">
        <v>0.19400000000000001</v>
      </c>
      <c r="T3951" s="508">
        <v>0.17199999999999999</v>
      </c>
      <c r="U3951" s="508">
        <v>0.127</v>
      </c>
      <c r="V3951" s="508">
        <v>0.19800000000000001</v>
      </c>
      <c r="W3951" s="508">
        <v>0.16600000000000001</v>
      </c>
      <c r="X3951" s="508">
        <v>0.16600000000000001</v>
      </c>
      <c r="Y3951" s="508">
        <v>0.18</v>
      </c>
      <c r="Z3951" s="508">
        <v>0.19400000000000001</v>
      </c>
      <c r="AA3951" s="508">
        <v>1.2999999999999999E-2</v>
      </c>
      <c r="AB3951" s="508">
        <v>1.2999999999999999E-2</v>
      </c>
      <c r="AC3951" s="508">
        <v>1.0999999999999999E-2</v>
      </c>
      <c r="AD3951" s="508">
        <v>0.01</v>
      </c>
      <c r="AE3951" s="508">
        <v>1.0999999999999999E-2</v>
      </c>
      <c r="AF3951" s="508">
        <v>7.0000000000000001E-3</v>
      </c>
      <c r="AG3951" s="508">
        <v>7.0000000000000001E-3</v>
      </c>
      <c r="AH3951" s="508">
        <v>7.0000000000000001E-3</v>
      </c>
      <c r="AI3951" s="492">
        <v>7.0000000000000001E-3</v>
      </c>
      <c r="AJ3951" s="485"/>
    </row>
    <row r="3952" spans="2:36">
      <c r="B3952" s="136" t="s">
        <v>435</v>
      </c>
      <c r="C3952" s="132" t="s">
        <v>1369</v>
      </c>
      <c r="D3952" s="132" t="s">
        <v>284</v>
      </c>
      <c r="E3952" s="508">
        <v>7.9000000000000001E-2</v>
      </c>
      <c r="F3952" s="508">
        <v>7.3999999999999996E-2</v>
      </c>
      <c r="G3952" s="508">
        <v>7.3999999999999996E-2</v>
      </c>
      <c r="H3952" s="508">
        <v>6.3E-2</v>
      </c>
      <c r="I3952" s="508">
        <v>6.3E-2</v>
      </c>
      <c r="J3952" s="508">
        <v>6.5000000000000002E-2</v>
      </c>
      <c r="K3952" s="508">
        <v>0.04</v>
      </c>
      <c r="L3952" s="508">
        <v>3.9E-2</v>
      </c>
      <c r="M3952" s="508">
        <v>3.9E-2</v>
      </c>
      <c r="N3952" s="508">
        <v>4.1000000000000002E-2</v>
      </c>
      <c r="O3952" s="508">
        <v>3.3000000000000002E-2</v>
      </c>
      <c r="P3952" s="508">
        <v>2.3E-2</v>
      </c>
      <c r="Q3952" s="508">
        <v>2.5000000000000001E-2</v>
      </c>
      <c r="R3952" s="508">
        <v>2.1000000000000001E-2</v>
      </c>
      <c r="S3952" s="508">
        <v>1.9E-2</v>
      </c>
      <c r="T3952" s="508">
        <v>1.7999999999999999E-2</v>
      </c>
      <c r="U3952" s="508">
        <v>1.2E-2</v>
      </c>
      <c r="V3952" s="508">
        <v>1.0999999999999999E-2</v>
      </c>
      <c r="W3952" s="508">
        <v>1.0999999999999999E-2</v>
      </c>
      <c r="X3952" s="508">
        <v>0.01</v>
      </c>
      <c r="Y3952" s="508">
        <v>0.01</v>
      </c>
      <c r="Z3952" s="508">
        <v>8.0000000000000002E-3</v>
      </c>
      <c r="AA3952" s="508">
        <v>8.0000000000000002E-3</v>
      </c>
      <c r="AB3952" s="508">
        <v>7.0000000000000001E-3</v>
      </c>
      <c r="AC3952" s="508">
        <v>7.0000000000000001E-3</v>
      </c>
      <c r="AD3952" s="508">
        <v>6.0000000000000001E-3</v>
      </c>
      <c r="AE3952" s="508">
        <v>6.0000000000000001E-3</v>
      </c>
      <c r="AF3952" s="508">
        <v>4.0000000000000001E-3</v>
      </c>
      <c r="AG3952" s="508">
        <v>4.0000000000000001E-3</v>
      </c>
      <c r="AH3952" s="508">
        <v>4.0000000000000001E-3</v>
      </c>
      <c r="AI3952" s="492">
        <v>4.0000000000000001E-3</v>
      </c>
      <c r="AJ3952" s="485"/>
    </row>
    <row r="3953" spans="2:36">
      <c r="B3953" s="136" t="s">
        <v>436</v>
      </c>
      <c r="C3953" s="132" t="s">
        <v>1369</v>
      </c>
      <c r="D3953" s="132" t="s">
        <v>284</v>
      </c>
      <c r="E3953" s="508">
        <v>0.24299999999999999</v>
      </c>
      <c r="F3953" s="508">
        <v>0.22900000000000001</v>
      </c>
      <c r="G3953" s="508">
        <v>0.22700000000000001</v>
      </c>
      <c r="H3953" s="508">
        <v>0.189</v>
      </c>
      <c r="I3953" s="508">
        <v>0.19</v>
      </c>
      <c r="J3953" s="508">
        <v>0.19700000000000001</v>
      </c>
      <c r="K3953" s="508">
        <v>0.123</v>
      </c>
      <c r="L3953" s="508">
        <v>0.122</v>
      </c>
      <c r="M3953" s="508">
        <v>0.121</v>
      </c>
      <c r="N3953" s="508">
        <v>0.123</v>
      </c>
      <c r="O3953" s="508">
        <v>0.10299999999999999</v>
      </c>
      <c r="P3953" s="508">
        <v>7.0000000000000007E-2</v>
      </c>
      <c r="Q3953" s="508">
        <v>7.2999999999999995E-2</v>
      </c>
      <c r="R3953" s="508">
        <v>6.2E-2</v>
      </c>
      <c r="S3953" s="508">
        <v>5.7000000000000002E-2</v>
      </c>
      <c r="T3953" s="508">
        <v>5.5E-2</v>
      </c>
      <c r="U3953" s="508">
        <v>3.2000000000000001E-2</v>
      </c>
      <c r="V3953" s="508">
        <v>2.9000000000000001E-2</v>
      </c>
      <c r="W3953" s="508">
        <v>2.9000000000000001E-2</v>
      </c>
      <c r="X3953" s="508">
        <v>1.4999999999999999E-2</v>
      </c>
      <c r="Y3953" s="508">
        <v>1.4999999999999999E-2</v>
      </c>
      <c r="Z3953" s="508">
        <v>1.2E-2</v>
      </c>
      <c r="AA3953" s="508">
        <v>1.0999999999999999E-2</v>
      </c>
      <c r="AB3953" s="508">
        <v>0.01</v>
      </c>
      <c r="AC3953" s="508">
        <v>0.01</v>
      </c>
      <c r="AD3953" s="508">
        <v>8.0000000000000002E-3</v>
      </c>
      <c r="AE3953" s="508">
        <v>8.0000000000000002E-3</v>
      </c>
      <c r="AF3953" s="508">
        <v>5.0000000000000001E-3</v>
      </c>
      <c r="AG3953" s="508">
        <v>5.0000000000000001E-3</v>
      </c>
      <c r="AH3953" s="508">
        <v>5.0000000000000001E-3</v>
      </c>
      <c r="AI3953" s="492">
        <v>5.0000000000000001E-3</v>
      </c>
      <c r="AJ3953" s="485"/>
    </row>
    <row r="3954" spans="2:36">
      <c r="B3954" s="136" t="s">
        <v>437</v>
      </c>
      <c r="C3954" s="132" t="s">
        <v>1369</v>
      </c>
      <c r="D3954" s="132" t="s">
        <v>284</v>
      </c>
      <c r="E3954" s="508">
        <v>6.9000000000000006E-2</v>
      </c>
      <c r="F3954" s="508">
        <v>6.6000000000000003E-2</v>
      </c>
      <c r="G3954" s="508">
        <v>6.5000000000000002E-2</v>
      </c>
      <c r="H3954" s="508">
        <v>5.3999999999999999E-2</v>
      </c>
      <c r="I3954" s="508">
        <v>5.3999999999999999E-2</v>
      </c>
      <c r="J3954" s="508">
        <v>5.7000000000000002E-2</v>
      </c>
      <c r="K3954" s="508">
        <v>3.5000000000000003E-2</v>
      </c>
      <c r="L3954" s="508">
        <v>3.5000000000000003E-2</v>
      </c>
      <c r="M3954" s="508">
        <v>3.4000000000000002E-2</v>
      </c>
      <c r="N3954" s="508">
        <v>3.5000000000000003E-2</v>
      </c>
      <c r="O3954" s="508">
        <v>2.9000000000000001E-2</v>
      </c>
      <c r="P3954" s="508">
        <v>2.1000000000000001E-2</v>
      </c>
      <c r="Q3954" s="508">
        <v>2.1999999999999999E-2</v>
      </c>
      <c r="R3954" s="508">
        <v>1.9E-2</v>
      </c>
      <c r="S3954" s="508">
        <v>1.7000000000000001E-2</v>
      </c>
      <c r="T3954" s="508">
        <v>1.7000000000000001E-2</v>
      </c>
      <c r="U3954" s="508">
        <v>0.01</v>
      </c>
      <c r="V3954" s="508">
        <v>8.0000000000000002E-3</v>
      </c>
      <c r="W3954" s="508">
        <v>8.9999999999999993E-3</v>
      </c>
      <c r="X3954" s="508">
        <v>8.0000000000000002E-3</v>
      </c>
      <c r="Y3954" s="508">
        <v>8.0000000000000002E-3</v>
      </c>
      <c r="Z3954" s="508">
        <v>7.0000000000000001E-3</v>
      </c>
      <c r="AA3954" s="508">
        <v>7.0000000000000001E-3</v>
      </c>
      <c r="AB3954" s="508">
        <v>6.0000000000000001E-3</v>
      </c>
      <c r="AC3954" s="508">
        <v>6.0000000000000001E-3</v>
      </c>
      <c r="AD3954" s="508">
        <v>5.0000000000000001E-3</v>
      </c>
      <c r="AE3954" s="508">
        <v>5.0000000000000001E-3</v>
      </c>
      <c r="AF3954" s="508">
        <v>3.0000000000000001E-3</v>
      </c>
      <c r="AG3954" s="508">
        <v>3.0000000000000001E-3</v>
      </c>
      <c r="AH3954" s="508">
        <v>3.0000000000000001E-3</v>
      </c>
      <c r="AI3954" s="492">
        <v>3.0000000000000001E-3</v>
      </c>
      <c r="AJ3954" s="485"/>
    </row>
    <row r="3955" spans="2:36">
      <c r="B3955" s="136" t="s">
        <v>438</v>
      </c>
      <c r="C3955" s="132" t="s">
        <v>1369</v>
      </c>
      <c r="D3955" s="132" t="s">
        <v>284</v>
      </c>
      <c r="E3955" s="508">
        <v>8.6999999999999994E-2</v>
      </c>
      <c r="F3955" s="508">
        <v>8.4000000000000005E-2</v>
      </c>
      <c r="G3955" s="508">
        <v>8.3000000000000004E-2</v>
      </c>
      <c r="H3955" s="508">
        <v>6.9000000000000006E-2</v>
      </c>
      <c r="I3955" s="508">
        <v>6.9000000000000006E-2</v>
      </c>
      <c r="J3955" s="508">
        <v>7.3999999999999996E-2</v>
      </c>
      <c r="K3955" s="508">
        <v>4.2999999999999997E-2</v>
      </c>
      <c r="L3955" s="508">
        <v>4.2999999999999997E-2</v>
      </c>
      <c r="M3955" s="508">
        <v>4.2999999999999997E-2</v>
      </c>
      <c r="N3955" s="508">
        <v>4.5999999999999999E-2</v>
      </c>
      <c r="O3955" s="508">
        <v>3.7999999999999999E-2</v>
      </c>
      <c r="P3955" s="508">
        <v>2.5999999999999999E-2</v>
      </c>
      <c r="Q3955" s="508">
        <v>2.8000000000000001E-2</v>
      </c>
      <c r="R3955" s="508">
        <v>2.3E-2</v>
      </c>
      <c r="S3955" s="508">
        <v>2.1000000000000001E-2</v>
      </c>
      <c r="T3955" s="508">
        <v>2.1000000000000001E-2</v>
      </c>
      <c r="U3955" s="508">
        <v>1.2E-2</v>
      </c>
      <c r="V3955" s="508">
        <v>1.0999999999999999E-2</v>
      </c>
      <c r="W3955" s="508">
        <v>1.0999999999999999E-2</v>
      </c>
      <c r="X3955" s="508">
        <v>8.9999999999999993E-3</v>
      </c>
      <c r="Y3955" s="508">
        <v>8.9999999999999993E-3</v>
      </c>
      <c r="Z3955" s="508">
        <v>8.0000000000000002E-3</v>
      </c>
      <c r="AA3955" s="508">
        <v>7.0000000000000001E-3</v>
      </c>
      <c r="AB3955" s="508">
        <v>7.0000000000000001E-3</v>
      </c>
      <c r="AC3955" s="508">
        <v>7.0000000000000001E-3</v>
      </c>
      <c r="AD3955" s="508">
        <v>6.0000000000000001E-3</v>
      </c>
      <c r="AE3955" s="508">
        <v>6.0000000000000001E-3</v>
      </c>
      <c r="AF3955" s="508">
        <v>4.0000000000000001E-3</v>
      </c>
      <c r="AG3955" s="508">
        <v>4.0000000000000001E-3</v>
      </c>
      <c r="AH3955" s="508">
        <v>4.0000000000000001E-3</v>
      </c>
      <c r="AI3955" s="492">
        <v>4.0000000000000001E-3</v>
      </c>
      <c r="AJ3955" s="485"/>
    </row>
    <row r="3956" spans="2:36">
      <c r="B3956" s="136" t="s">
        <v>439</v>
      </c>
      <c r="C3956" s="132" t="s">
        <v>1369</v>
      </c>
      <c r="D3956" s="132" t="s">
        <v>284</v>
      </c>
      <c r="E3956" s="508">
        <v>8.8999999999999996E-2</v>
      </c>
      <c r="F3956" s="508">
        <v>8.5999999999999993E-2</v>
      </c>
      <c r="G3956" s="508">
        <v>8.5999999999999993E-2</v>
      </c>
      <c r="H3956" s="508">
        <v>7.0000000000000007E-2</v>
      </c>
      <c r="I3956" s="508">
        <v>7.0000000000000007E-2</v>
      </c>
      <c r="J3956" s="508">
        <v>7.3999999999999996E-2</v>
      </c>
      <c r="K3956" s="508">
        <v>4.4999999999999998E-2</v>
      </c>
      <c r="L3956" s="508">
        <v>4.4999999999999998E-2</v>
      </c>
      <c r="M3956" s="508">
        <v>4.4999999999999998E-2</v>
      </c>
      <c r="N3956" s="508">
        <v>4.4999999999999998E-2</v>
      </c>
      <c r="O3956" s="508">
        <v>3.9E-2</v>
      </c>
      <c r="P3956" s="508">
        <v>2.8000000000000001E-2</v>
      </c>
      <c r="Q3956" s="508">
        <v>2.8000000000000001E-2</v>
      </c>
      <c r="R3956" s="508">
        <v>2.4E-2</v>
      </c>
      <c r="S3956" s="508">
        <v>2.4E-2</v>
      </c>
      <c r="T3956" s="508">
        <v>2.1999999999999999E-2</v>
      </c>
      <c r="U3956" s="508">
        <v>1.2E-2</v>
      </c>
      <c r="V3956" s="508">
        <v>0.01</v>
      </c>
      <c r="W3956" s="508">
        <v>1.0999999999999999E-2</v>
      </c>
      <c r="X3956" s="508">
        <v>8.0000000000000002E-3</v>
      </c>
      <c r="Y3956" s="508">
        <v>8.0000000000000002E-3</v>
      </c>
      <c r="Z3956" s="508">
        <v>7.0000000000000001E-3</v>
      </c>
      <c r="AA3956" s="508">
        <v>7.0000000000000001E-3</v>
      </c>
      <c r="AB3956" s="508">
        <v>6.0000000000000001E-3</v>
      </c>
      <c r="AC3956" s="508">
        <v>6.0000000000000001E-3</v>
      </c>
      <c r="AD3956" s="508">
        <v>5.0000000000000001E-3</v>
      </c>
      <c r="AE3956" s="508">
        <v>5.0000000000000001E-3</v>
      </c>
      <c r="AF3956" s="508">
        <v>3.0000000000000001E-3</v>
      </c>
      <c r="AG3956" s="508">
        <v>3.0000000000000001E-3</v>
      </c>
      <c r="AH3956" s="508">
        <v>3.0000000000000001E-3</v>
      </c>
      <c r="AI3956" s="492">
        <v>3.0000000000000001E-3</v>
      </c>
      <c r="AJ3956" s="485"/>
    </row>
    <row r="3957" spans="2:36">
      <c r="B3957" s="136" t="s">
        <v>440</v>
      </c>
      <c r="C3957" s="132" t="s">
        <v>1369</v>
      </c>
      <c r="D3957" s="132" t="s">
        <v>284</v>
      </c>
      <c r="E3957" s="508">
        <v>0.13600000000000001</v>
      </c>
      <c r="F3957" s="508">
        <v>0.13</v>
      </c>
      <c r="G3957" s="508">
        <v>0.128</v>
      </c>
      <c r="H3957" s="508">
        <v>0.106</v>
      </c>
      <c r="I3957" s="508">
        <v>0.106</v>
      </c>
      <c r="J3957" s="508">
        <v>0.112</v>
      </c>
      <c r="K3957" s="508">
        <v>6.9000000000000006E-2</v>
      </c>
      <c r="L3957" s="508">
        <v>6.8000000000000005E-2</v>
      </c>
      <c r="M3957" s="508">
        <v>6.8000000000000005E-2</v>
      </c>
      <c r="N3957" s="508">
        <v>6.8000000000000005E-2</v>
      </c>
      <c r="O3957" s="508">
        <v>5.8000000000000003E-2</v>
      </c>
      <c r="P3957" s="508">
        <v>4.1000000000000002E-2</v>
      </c>
      <c r="Q3957" s="508">
        <v>4.2000000000000003E-2</v>
      </c>
      <c r="R3957" s="508">
        <v>3.5999999999999997E-2</v>
      </c>
      <c r="S3957" s="508">
        <v>3.4000000000000002E-2</v>
      </c>
      <c r="T3957" s="508">
        <v>3.3000000000000002E-2</v>
      </c>
      <c r="U3957" s="508">
        <v>1.9E-2</v>
      </c>
      <c r="V3957" s="508">
        <v>1.7000000000000001E-2</v>
      </c>
      <c r="W3957" s="508">
        <v>1.7000000000000001E-2</v>
      </c>
      <c r="X3957" s="508">
        <v>1.0999999999999999E-2</v>
      </c>
      <c r="Y3957" s="508">
        <v>1.0999999999999999E-2</v>
      </c>
      <c r="Z3957" s="508">
        <v>8.9999999999999993E-3</v>
      </c>
      <c r="AA3957" s="508">
        <v>8.9999999999999993E-3</v>
      </c>
      <c r="AB3957" s="508">
        <v>8.0000000000000002E-3</v>
      </c>
      <c r="AC3957" s="508">
        <v>7.0000000000000001E-3</v>
      </c>
      <c r="AD3957" s="508">
        <v>7.0000000000000001E-3</v>
      </c>
      <c r="AE3957" s="508">
        <v>6.0000000000000001E-3</v>
      </c>
      <c r="AF3957" s="508">
        <v>4.0000000000000001E-3</v>
      </c>
      <c r="AG3957" s="508">
        <v>4.0000000000000001E-3</v>
      </c>
      <c r="AH3957" s="508">
        <v>4.0000000000000001E-3</v>
      </c>
      <c r="AI3957" s="492">
        <v>4.0000000000000001E-3</v>
      </c>
      <c r="AJ3957" s="485"/>
    </row>
    <row r="3958" spans="2:36">
      <c r="B3958" s="136" t="s">
        <v>441</v>
      </c>
      <c r="C3958" s="132" t="s">
        <v>1369</v>
      </c>
      <c r="D3958" s="132" t="s">
        <v>284</v>
      </c>
      <c r="E3958" s="508">
        <v>0.13200000000000001</v>
      </c>
      <c r="F3958" s="508">
        <v>0.129</v>
      </c>
      <c r="G3958" s="508">
        <v>0.128</v>
      </c>
      <c r="H3958" s="508">
        <v>0.104</v>
      </c>
      <c r="I3958" s="508">
        <v>0.104</v>
      </c>
      <c r="J3958" s="508">
        <v>0.11</v>
      </c>
      <c r="K3958" s="508">
        <v>6.8000000000000005E-2</v>
      </c>
      <c r="L3958" s="508">
        <v>6.7000000000000004E-2</v>
      </c>
      <c r="M3958" s="508">
        <v>6.7000000000000004E-2</v>
      </c>
      <c r="N3958" s="508">
        <v>6.6000000000000003E-2</v>
      </c>
      <c r="O3958" s="508">
        <v>5.8000000000000003E-2</v>
      </c>
      <c r="P3958" s="508">
        <v>4.1000000000000002E-2</v>
      </c>
      <c r="Q3958" s="508">
        <v>4.1000000000000002E-2</v>
      </c>
      <c r="R3958" s="508">
        <v>3.5999999999999997E-2</v>
      </c>
      <c r="S3958" s="508">
        <v>3.5000000000000003E-2</v>
      </c>
      <c r="T3958" s="508">
        <v>3.3000000000000002E-2</v>
      </c>
      <c r="U3958" s="508">
        <v>0.02</v>
      </c>
      <c r="V3958" s="508">
        <v>1.7000000000000001E-2</v>
      </c>
      <c r="W3958" s="508">
        <v>1.7999999999999999E-2</v>
      </c>
      <c r="X3958" s="508">
        <v>1.0999999999999999E-2</v>
      </c>
      <c r="Y3958" s="508">
        <v>1.0999999999999999E-2</v>
      </c>
      <c r="Z3958" s="508">
        <v>8.9999999999999993E-3</v>
      </c>
      <c r="AA3958" s="508">
        <v>8.9999999999999993E-3</v>
      </c>
      <c r="AB3958" s="508">
        <v>8.0000000000000002E-3</v>
      </c>
      <c r="AC3958" s="508">
        <v>8.0000000000000002E-3</v>
      </c>
      <c r="AD3958" s="508">
        <v>7.0000000000000001E-3</v>
      </c>
      <c r="AE3958" s="508">
        <v>7.0000000000000001E-3</v>
      </c>
      <c r="AF3958" s="508">
        <v>4.0000000000000001E-3</v>
      </c>
      <c r="AG3958" s="508">
        <v>4.0000000000000001E-3</v>
      </c>
      <c r="AH3958" s="508">
        <v>4.0000000000000001E-3</v>
      </c>
      <c r="AI3958" s="492">
        <v>4.0000000000000001E-3</v>
      </c>
      <c r="AJ3958" s="485"/>
    </row>
    <row r="3959" spans="2:36">
      <c r="B3959" s="136" t="s">
        <v>443</v>
      </c>
      <c r="C3959" s="132" t="s">
        <v>1369</v>
      </c>
      <c r="D3959" s="132" t="s">
        <v>284</v>
      </c>
      <c r="E3959" s="508">
        <v>0.106</v>
      </c>
      <c r="F3959" s="508">
        <v>9.8000000000000004E-2</v>
      </c>
      <c r="G3959" s="508">
        <v>9.7000000000000003E-2</v>
      </c>
      <c r="H3959" s="508">
        <v>8.3000000000000004E-2</v>
      </c>
      <c r="I3959" s="508">
        <v>8.3000000000000004E-2</v>
      </c>
      <c r="J3959" s="508">
        <v>8.5000000000000006E-2</v>
      </c>
      <c r="K3959" s="508">
        <v>5.2999999999999999E-2</v>
      </c>
      <c r="L3959" s="508">
        <v>5.2999999999999999E-2</v>
      </c>
      <c r="M3959" s="508">
        <v>5.2999999999999999E-2</v>
      </c>
      <c r="N3959" s="508">
        <v>5.3999999999999999E-2</v>
      </c>
      <c r="O3959" s="508">
        <v>4.3999999999999997E-2</v>
      </c>
      <c r="P3959" s="508">
        <v>3.1E-2</v>
      </c>
      <c r="Q3959" s="508">
        <v>3.2000000000000001E-2</v>
      </c>
      <c r="R3959" s="508">
        <v>2.7E-2</v>
      </c>
      <c r="S3959" s="508">
        <v>2.4E-2</v>
      </c>
      <c r="T3959" s="508">
        <v>2.4E-2</v>
      </c>
      <c r="U3959" s="508">
        <v>1.4E-2</v>
      </c>
      <c r="V3959" s="508">
        <v>1.2999999999999999E-2</v>
      </c>
      <c r="W3959" s="508">
        <v>1.2999999999999999E-2</v>
      </c>
      <c r="X3959" s="508">
        <v>8.9999999999999993E-3</v>
      </c>
      <c r="Y3959" s="508">
        <v>8.9999999999999993E-3</v>
      </c>
      <c r="Z3959" s="508">
        <v>8.0000000000000002E-3</v>
      </c>
      <c r="AA3959" s="508">
        <v>8.0000000000000002E-3</v>
      </c>
      <c r="AB3959" s="508">
        <v>7.0000000000000001E-3</v>
      </c>
      <c r="AC3959" s="508">
        <v>7.0000000000000001E-3</v>
      </c>
      <c r="AD3959" s="508">
        <v>6.0000000000000001E-3</v>
      </c>
      <c r="AE3959" s="508">
        <v>6.0000000000000001E-3</v>
      </c>
      <c r="AF3959" s="508">
        <v>4.0000000000000001E-3</v>
      </c>
      <c r="AG3959" s="508">
        <v>4.0000000000000001E-3</v>
      </c>
      <c r="AH3959" s="508">
        <v>4.0000000000000001E-3</v>
      </c>
      <c r="AI3959" s="492">
        <v>4.0000000000000001E-3</v>
      </c>
      <c r="AJ3959" s="485"/>
    </row>
    <row r="3960" spans="2:36">
      <c r="B3960" s="136" t="s">
        <v>445</v>
      </c>
      <c r="C3960" s="132" t="s">
        <v>1369</v>
      </c>
      <c r="D3960" s="132" t="s">
        <v>284</v>
      </c>
      <c r="E3960" s="508">
        <v>0.106</v>
      </c>
      <c r="F3960" s="508">
        <v>9.7000000000000003E-2</v>
      </c>
      <c r="G3960" s="508">
        <v>9.6000000000000002E-2</v>
      </c>
      <c r="H3960" s="508">
        <v>8.2000000000000003E-2</v>
      </c>
      <c r="I3960" s="508">
        <v>8.2000000000000003E-2</v>
      </c>
      <c r="J3960" s="508">
        <v>8.1000000000000003E-2</v>
      </c>
      <c r="K3960" s="508">
        <v>5.5E-2</v>
      </c>
      <c r="L3960" s="508">
        <v>5.3999999999999999E-2</v>
      </c>
      <c r="M3960" s="508">
        <v>5.3999999999999999E-2</v>
      </c>
      <c r="N3960" s="508">
        <v>0.05</v>
      </c>
      <c r="O3960" s="508">
        <v>4.2999999999999997E-2</v>
      </c>
      <c r="P3960" s="508">
        <v>3.2000000000000001E-2</v>
      </c>
      <c r="Q3960" s="508">
        <v>3.1E-2</v>
      </c>
      <c r="R3960" s="508">
        <v>2.7E-2</v>
      </c>
      <c r="S3960" s="508">
        <v>2.5000000000000001E-2</v>
      </c>
      <c r="T3960" s="508">
        <v>2.4E-2</v>
      </c>
      <c r="U3960" s="508">
        <v>1.4999999999999999E-2</v>
      </c>
      <c r="V3960" s="508">
        <v>1.2999999999999999E-2</v>
      </c>
      <c r="W3960" s="508">
        <v>1.2999999999999999E-2</v>
      </c>
      <c r="X3960" s="508">
        <v>0.01</v>
      </c>
      <c r="Y3960" s="508">
        <v>0.01</v>
      </c>
      <c r="Z3960" s="508">
        <v>8.0000000000000002E-3</v>
      </c>
      <c r="AA3960" s="508">
        <v>8.0000000000000002E-3</v>
      </c>
      <c r="AB3960" s="508">
        <v>7.0000000000000001E-3</v>
      </c>
      <c r="AC3960" s="508">
        <v>7.0000000000000001E-3</v>
      </c>
      <c r="AD3960" s="508">
        <v>6.0000000000000001E-3</v>
      </c>
      <c r="AE3960" s="508">
        <v>6.0000000000000001E-3</v>
      </c>
      <c r="AF3960" s="508">
        <v>4.0000000000000001E-3</v>
      </c>
      <c r="AG3960" s="508">
        <v>4.0000000000000001E-3</v>
      </c>
      <c r="AH3960" s="508">
        <v>4.0000000000000001E-3</v>
      </c>
      <c r="AI3960" s="492">
        <v>4.0000000000000001E-3</v>
      </c>
      <c r="AJ3960" s="485"/>
    </row>
    <row r="3961" spans="2:36">
      <c r="B3961" s="136" t="s">
        <v>446</v>
      </c>
      <c r="C3961" s="132" t="s">
        <v>1369</v>
      </c>
      <c r="D3961" s="132" t="s">
        <v>284</v>
      </c>
      <c r="E3961" s="508">
        <v>6.8000000000000005E-2</v>
      </c>
      <c r="F3961" s="508">
        <v>6.4000000000000001E-2</v>
      </c>
      <c r="G3961" s="508">
        <v>6.3E-2</v>
      </c>
      <c r="H3961" s="508">
        <v>5.2999999999999999E-2</v>
      </c>
      <c r="I3961" s="508">
        <v>5.2999999999999999E-2</v>
      </c>
      <c r="J3961" s="508">
        <v>5.3999999999999999E-2</v>
      </c>
      <c r="K3961" s="508">
        <v>3.5000000000000003E-2</v>
      </c>
      <c r="L3961" s="508">
        <v>3.5000000000000003E-2</v>
      </c>
      <c r="M3961" s="508">
        <v>3.4000000000000002E-2</v>
      </c>
      <c r="N3961" s="508">
        <v>3.4000000000000002E-2</v>
      </c>
      <c r="O3961" s="508">
        <v>2.8000000000000001E-2</v>
      </c>
      <c r="P3961" s="508">
        <v>2.1000000000000001E-2</v>
      </c>
      <c r="Q3961" s="508">
        <v>2.1000000000000001E-2</v>
      </c>
      <c r="R3961" s="508">
        <v>1.7999999999999999E-2</v>
      </c>
      <c r="S3961" s="508">
        <v>1.7000000000000001E-2</v>
      </c>
      <c r="T3961" s="508">
        <v>1.6E-2</v>
      </c>
      <c r="U3961" s="508">
        <v>1.0999999999999999E-2</v>
      </c>
      <c r="V3961" s="508">
        <v>0.01</v>
      </c>
      <c r="W3961" s="508">
        <v>0.01</v>
      </c>
      <c r="X3961" s="508">
        <v>8.9999999999999993E-3</v>
      </c>
      <c r="Y3961" s="508">
        <v>8.9999999999999993E-3</v>
      </c>
      <c r="Z3961" s="508">
        <v>8.0000000000000002E-3</v>
      </c>
      <c r="AA3961" s="508">
        <v>8.0000000000000002E-3</v>
      </c>
      <c r="AB3961" s="508">
        <v>7.0000000000000001E-3</v>
      </c>
      <c r="AC3961" s="508">
        <v>7.0000000000000001E-3</v>
      </c>
      <c r="AD3961" s="508">
        <v>6.0000000000000001E-3</v>
      </c>
      <c r="AE3961" s="508">
        <v>6.0000000000000001E-3</v>
      </c>
      <c r="AF3961" s="508">
        <v>4.0000000000000001E-3</v>
      </c>
      <c r="AG3961" s="508">
        <v>4.0000000000000001E-3</v>
      </c>
      <c r="AH3961" s="508">
        <v>4.0000000000000001E-3</v>
      </c>
      <c r="AI3961" s="492">
        <v>4.0000000000000001E-3</v>
      </c>
      <c r="AJ3961" s="485"/>
    </row>
    <row r="3962" spans="2:36">
      <c r="B3962" s="136" t="s">
        <v>448</v>
      </c>
      <c r="C3962" s="132" t="s">
        <v>1369</v>
      </c>
      <c r="D3962" s="132" t="s">
        <v>284</v>
      </c>
      <c r="E3962" s="508">
        <v>8.4000000000000005E-2</v>
      </c>
      <c r="F3962" s="508">
        <v>0.08</v>
      </c>
      <c r="G3962" s="508">
        <v>7.9000000000000001E-2</v>
      </c>
      <c r="H3962" s="508">
        <v>6.6000000000000003E-2</v>
      </c>
      <c r="I3962" s="508">
        <v>6.6000000000000003E-2</v>
      </c>
      <c r="J3962" s="508">
        <v>7.0999999999999994E-2</v>
      </c>
      <c r="K3962" s="508">
        <v>4.2000000000000003E-2</v>
      </c>
      <c r="L3962" s="508">
        <v>4.1000000000000002E-2</v>
      </c>
      <c r="M3962" s="508">
        <v>4.1000000000000002E-2</v>
      </c>
      <c r="N3962" s="508">
        <v>4.3999999999999997E-2</v>
      </c>
      <c r="O3962" s="508">
        <v>3.5999999999999997E-2</v>
      </c>
      <c r="P3962" s="508">
        <v>2.5000000000000001E-2</v>
      </c>
      <c r="Q3962" s="508">
        <v>2.5999999999999999E-2</v>
      </c>
      <c r="R3962" s="508">
        <v>2.1999999999999999E-2</v>
      </c>
      <c r="S3962" s="508">
        <v>0.02</v>
      </c>
      <c r="T3962" s="508">
        <v>0.02</v>
      </c>
      <c r="U3962" s="508">
        <v>1.2999999999999999E-2</v>
      </c>
      <c r="V3962" s="508">
        <v>1.2E-2</v>
      </c>
      <c r="W3962" s="508">
        <v>1.2E-2</v>
      </c>
      <c r="X3962" s="508">
        <v>0.01</v>
      </c>
      <c r="Y3962" s="508">
        <v>0.01</v>
      </c>
      <c r="Z3962" s="508">
        <v>8.0000000000000002E-3</v>
      </c>
      <c r="AA3962" s="508">
        <v>8.0000000000000002E-3</v>
      </c>
      <c r="AB3962" s="508">
        <v>7.0000000000000001E-3</v>
      </c>
      <c r="AC3962" s="508">
        <v>7.0000000000000001E-3</v>
      </c>
      <c r="AD3962" s="508">
        <v>6.0000000000000001E-3</v>
      </c>
      <c r="AE3962" s="508">
        <v>6.0000000000000001E-3</v>
      </c>
      <c r="AF3962" s="508">
        <v>4.0000000000000001E-3</v>
      </c>
      <c r="AG3962" s="508">
        <v>4.0000000000000001E-3</v>
      </c>
      <c r="AH3962" s="508">
        <v>4.0000000000000001E-3</v>
      </c>
      <c r="AI3962" s="492">
        <v>4.0000000000000001E-3</v>
      </c>
      <c r="AJ3962" s="485"/>
    </row>
    <row r="3963" spans="2:36">
      <c r="B3963" s="136" t="s">
        <v>449</v>
      </c>
      <c r="C3963" s="132" t="s">
        <v>1369</v>
      </c>
      <c r="D3963" s="132" t="s">
        <v>284</v>
      </c>
      <c r="E3963" s="508">
        <v>6.7000000000000004E-2</v>
      </c>
      <c r="F3963" s="508">
        <v>6.3E-2</v>
      </c>
      <c r="G3963" s="508">
        <v>6.2E-2</v>
      </c>
      <c r="H3963" s="508">
        <v>5.2999999999999999E-2</v>
      </c>
      <c r="I3963" s="508">
        <v>5.2999999999999999E-2</v>
      </c>
      <c r="J3963" s="508">
        <v>5.3999999999999999E-2</v>
      </c>
      <c r="K3963" s="508">
        <v>3.4000000000000002E-2</v>
      </c>
      <c r="L3963" s="508">
        <v>3.4000000000000002E-2</v>
      </c>
      <c r="M3963" s="508">
        <v>3.4000000000000002E-2</v>
      </c>
      <c r="N3963" s="508">
        <v>3.4000000000000002E-2</v>
      </c>
      <c r="O3963" s="508">
        <v>2.8000000000000001E-2</v>
      </c>
      <c r="P3963" s="508">
        <v>0.02</v>
      </c>
      <c r="Q3963" s="508">
        <v>2.1000000000000001E-2</v>
      </c>
      <c r="R3963" s="508">
        <v>1.7999999999999999E-2</v>
      </c>
      <c r="S3963" s="508">
        <v>1.6E-2</v>
      </c>
      <c r="T3963" s="508">
        <v>1.6E-2</v>
      </c>
      <c r="U3963" s="508">
        <v>0.01</v>
      </c>
      <c r="V3963" s="508">
        <v>8.9999999999999993E-3</v>
      </c>
      <c r="W3963" s="508">
        <v>8.9999999999999993E-3</v>
      </c>
      <c r="X3963" s="508">
        <v>8.9999999999999993E-3</v>
      </c>
      <c r="Y3963" s="508">
        <v>8.9999999999999993E-3</v>
      </c>
      <c r="Z3963" s="508">
        <v>7.0000000000000001E-3</v>
      </c>
      <c r="AA3963" s="508">
        <v>7.0000000000000001E-3</v>
      </c>
      <c r="AB3963" s="508">
        <v>6.0000000000000001E-3</v>
      </c>
      <c r="AC3963" s="508">
        <v>6.0000000000000001E-3</v>
      </c>
      <c r="AD3963" s="508">
        <v>5.0000000000000001E-3</v>
      </c>
      <c r="AE3963" s="508">
        <v>5.0000000000000001E-3</v>
      </c>
      <c r="AF3963" s="508">
        <v>3.0000000000000001E-3</v>
      </c>
      <c r="AG3963" s="508">
        <v>3.0000000000000001E-3</v>
      </c>
      <c r="AH3963" s="508">
        <v>3.0000000000000001E-3</v>
      </c>
      <c r="AI3963" s="492">
        <v>3.0000000000000001E-3</v>
      </c>
      <c r="AJ3963" s="485"/>
    </row>
    <row r="3964" spans="2:36">
      <c r="B3964" s="136" t="s">
        <v>450</v>
      </c>
      <c r="C3964" s="132" t="s">
        <v>1369</v>
      </c>
      <c r="D3964" s="132" t="s">
        <v>284</v>
      </c>
      <c r="E3964" s="508">
        <v>0.13600000000000001</v>
      </c>
      <c r="F3964" s="508">
        <v>0.128</v>
      </c>
      <c r="G3964" s="508">
        <v>0.127</v>
      </c>
      <c r="H3964" s="508">
        <v>0.107</v>
      </c>
      <c r="I3964" s="508">
        <v>0.107</v>
      </c>
      <c r="J3964" s="508">
        <v>0.112</v>
      </c>
      <c r="K3964" s="508">
        <v>6.8000000000000005E-2</v>
      </c>
      <c r="L3964" s="508">
        <v>6.8000000000000005E-2</v>
      </c>
      <c r="M3964" s="508">
        <v>6.7000000000000004E-2</v>
      </c>
      <c r="N3964" s="508">
        <v>7.0999999999999994E-2</v>
      </c>
      <c r="O3964" s="508">
        <v>5.8000000000000003E-2</v>
      </c>
      <c r="P3964" s="508">
        <v>3.9E-2</v>
      </c>
      <c r="Q3964" s="508">
        <v>4.2000000000000003E-2</v>
      </c>
      <c r="R3964" s="508">
        <v>3.5000000000000003E-2</v>
      </c>
      <c r="S3964" s="508">
        <v>3.2000000000000001E-2</v>
      </c>
      <c r="T3964" s="508">
        <v>3.1E-2</v>
      </c>
      <c r="U3964" s="508">
        <v>1.7999999999999999E-2</v>
      </c>
      <c r="V3964" s="508">
        <v>1.6E-2</v>
      </c>
      <c r="W3964" s="508">
        <v>1.6E-2</v>
      </c>
      <c r="X3964" s="508">
        <v>0.01</v>
      </c>
      <c r="Y3964" s="508">
        <v>0.01</v>
      </c>
      <c r="Z3964" s="508">
        <v>8.0000000000000002E-3</v>
      </c>
      <c r="AA3964" s="508">
        <v>8.0000000000000002E-3</v>
      </c>
      <c r="AB3964" s="508">
        <v>7.0000000000000001E-3</v>
      </c>
      <c r="AC3964" s="508">
        <v>7.0000000000000001E-3</v>
      </c>
      <c r="AD3964" s="508">
        <v>6.0000000000000001E-3</v>
      </c>
      <c r="AE3964" s="508">
        <v>6.0000000000000001E-3</v>
      </c>
      <c r="AF3964" s="508">
        <v>4.0000000000000001E-3</v>
      </c>
      <c r="AG3964" s="508">
        <v>4.0000000000000001E-3</v>
      </c>
      <c r="AH3964" s="508">
        <v>4.0000000000000001E-3</v>
      </c>
      <c r="AI3964" s="492">
        <v>4.0000000000000001E-3</v>
      </c>
      <c r="AJ3964" s="485"/>
    </row>
    <row r="3965" spans="2:36">
      <c r="B3965" s="136" t="s">
        <v>451</v>
      </c>
      <c r="C3965" s="132" t="s">
        <v>1369</v>
      </c>
      <c r="D3965" s="132" t="s">
        <v>284</v>
      </c>
      <c r="E3965" s="508">
        <v>0.129</v>
      </c>
      <c r="F3965" s="508">
        <v>0.121</v>
      </c>
      <c r="G3965" s="508">
        <v>0.12</v>
      </c>
      <c r="H3965" s="508">
        <v>0.1</v>
      </c>
      <c r="I3965" s="508">
        <v>0.10100000000000001</v>
      </c>
      <c r="J3965" s="508">
        <v>0.10199999999999999</v>
      </c>
      <c r="K3965" s="508">
        <v>6.7000000000000004E-2</v>
      </c>
      <c r="L3965" s="508">
        <v>6.6000000000000003E-2</v>
      </c>
      <c r="M3965" s="508">
        <v>6.6000000000000003E-2</v>
      </c>
      <c r="N3965" s="508">
        <v>6.2E-2</v>
      </c>
      <c r="O3965" s="508">
        <v>5.3999999999999999E-2</v>
      </c>
      <c r="P3965" s="508">
        <v>3.9E-2</v>
      </c>
      <c r="Q3965" s="508">
        <v>3.9E-2</v>
      </c>
      <c r="R3965" s="508">
        <v>3.4000000000000002E-2</v>
      </c>
      <c r="S3965" s="508">
        <v>3.2000000000000001E-2</v>
      </c>
      <c r="T3965" s="508">
        <v>0.03</v>
      </c>
      <c r="U3965" s="508">
        <v>1.7000000000000001E-2</v>
      </c>
      <c r="V3965" s="508">
        <v>1.4999999999999999E-2</v>
      </c>
      <c r="W3965" s="508">
        <v>1.4999999999999999E-2</v>
      </c>
      <c r="X3965" s="508">
        <v>0.01</v>
      </c>
      <c r="Y3965" s="508">
        <v>0.01</v>
      </c>
      <c r="Z3965" s="508">
        <v>8.0000000000000002E-3</v>
      </c>
      <c r="AA3965" s="508">
        <v>8.0000000000000002E-3</v>
      </c>
      <c r="AB3965" s="508">
        <v>7.0000000000000001E-3</v>
      </c>
      <c r="AC3965" s="508">
        <v>7.0000000000000001E-3</v>
      </c>
      <c r="AD3965" s="508">
        <v>6.0000000000000001E-3</v>
      </c>
      <c r="AE3965" s="508">
        <v>6.0000000000000001E-3</v>
      </c>
      <c r="AF3965" s="508">
        <v>4.0000000000000001E-3</v>
      </c>
      <c r="AG3965" s="508">
        <v>4.0000000000000001E-3</v>
      </c>
      <c r="AH3965" s="508">
        <v>4.0000000000000001E-3</v>
      </c>
      <c r="AI3965" s="492">
        <v>4.0000000000000001E-3</v>
      </c>
      <c r="AJ3965" s="485"/>
    </row>
    <row r="3966" spans="2:36">
      <c r="B3966" s="136" t="s">
        <v>452</v>
      </c>
      <c r="C3966" s="132" t="s">
        <v>1369</v>
      </c>
      <c r="D3966" s="132" t="s">
        <v>284</v>
      </c>
      <c r="E3966" s="508">
        <v>0.122</v>
      </c>
      <c r="F3966" s="508">
        <v>0.114</v>
      </c>
      <c r="G3966" s="508">
        <v>0.113</v>
      </c>
      <c r="H3966" s="508">
        <v>9.6000000000000002E-2</v>
      </c>
      <c r="I3966" s="508">
        <v>9.6000000000000002E-2</v>
      </c>
      <c r="J3966" s="508">
        <v>9.8000000000000004E-2</v>
      </c>
      <c r="K3966" s="508">
        <v>6.2E-2</v>
      </c>
      <c r="L3966" s="508">
        <v>6.0999999999999999E-2</v>
      </c>
      <c r="M3966" s="508">
        <v>6.0999999999999999E-2</v>
      </c>
      <c r="N3966" s="508">
        <v>6.2E-2</v>
      </c>
      <c r="O3966" s="508">
        <v>5.0999999999999997E-2</v>
      </c>
      <c r="P3966" s="508">
        <v>3.5999999999999997E-2</v>
      </c>
      <c r="Q3966" s="508">
        <v>3.6999999999999998E-2</v>
      </c>
      <c r="R3966" s="508">
        <v>3.2000000000000001E-2</v>
      </c>
      <c r="S3966" s="508">
        <v>2.9000000000000001E-2</v>
      </c>
      <c r="T3966" s="508">
        <v>2.8000000000000001E-2</v>
      </c>
      <c r="U3966" s="508">
        <v>1.6E-2</v>
      </c>
      <c r="V3966" s="508">
        <v>1.4E-2</v>
      </c>
      <c r="W3966" s="508">
        <v>1.4E-2</v>
      </c>
      <c r="X3966" s="508">
        <v>0.01</v>
      </c>
      <c r="Y3966" s="508">
        <v>0.01</v>
      </c>
      <c r="Z3966" s="508">
        <v>8.0000000000000002E-3</v>
      </c>
      <c r="AA3966" s="508">
        <v>8.0000000000000002E-3</v>
      </c>
      <c r="AB3966" s="508">
        <v>7.0000000000000001E-3</v>
      </c>
      <c r="AC3966" s="508">
        <v>7.0000000000000001E-3</v>
      </c>
      <c r="AD3966" s="508">
        <v>6.0000000000000001E-3</v>
      </c>
      <c r="AE3966" s="508">
        <v>6.0000000000000001E-3</v>
      </c>
      <c r="AF3966" s="508">
        <v>4.0000000000000001E-3</v>
      </c>
      <c r="AG3966" s="508">
        <v>4.0000000000000001E-3</v>
      </c>
      <c r="AH3966" s="508">
        <v>4.0000000000000001E-3</v>
      </c>
      <c r="AI3966" s="492">
        <v>4.0000000000000001E-3</v>
      </c>
      <c r="AJ3966" s="485"/>
    </row>
    <row r="3967" spans="2:36">
      <c r="B3967" s="136" t="s">
        <v>453</v>
      </c>
      <c r="C3967" s="132" t="s">
        <v>1369</v>
      </c>
      <c r="D3967" s="132" t="s">
        <v>284</v>
      </c>
      <c r="E3967" s="508">
        <v>0.13600000000000001</v>
      </c>
      <c r="F3967" s="508">
        <v>0.128</v>
      </c>
      <c r="G3967" s="508">
        <v>0.127</v>
      </c>
      <c r="H3967" s="508">
        <v>0.107</v>
      </c>
      <c r="I3967" s="508">
        <v>0.107</v>
      </c>
      <c r="J3967" s="508">
        <v>0.113</v>
      </c>
      <c r="K3967" s="508">
        <v>6.8000000000000005E-2</v>
      </c>
      <c r="L3967" s="508">
        <v>6.7000000000000004E-2</v>
      </c>
      <c r="M3967" s="508">
        <v>6.7000000000000004E-2</v>
      </c>
      <c r="N3967" s="508">
        <v>7.0999999999999994E-2</v>
      </c>
      <c r="O3967" s="508">
        <v>5.8000000000000003E-2</v>
      </c>
      <c r="P3967" s="508">
        <v>3.9E-2</v>
      </c>
      <c r="Q3967" s="508">
        <v>4.2000000000000003E-2</v>
      </c>
      <c r="R3967" s="508">
        <v>3.5000000000000003E-2</v>
      </c>
      <c r="S3967" s="508">
        <v>3.1E-2</v>
      </c>
      <c r="T3967" s="508">
        <v>3.1E-2</v>
      </c>
      <c r="U3967" s="508">
        <v>1.7999999999999999E-2</v>
      </c>
      <c r="V3967" s="508">
        <v>1.7000000000000001E-2</v>
      </c>
      <c r="W3967" s="508">
        <v>1.7000000000000001E-2</v>
      </c>
      <c r="X3967" s="508">
        <v>1.0999999999999999E-2</v>
      </c>
      <c r="Y3967" s="508">
        <v>1.0999999999999999E-2</v>
      </c>
      <c r="Z3967" s="508">
        <v>8.9999999999999993E-3</v>
      </c>
      <c r="AA3967" s="508">
        <v>8.9999999999999993E-3</v>
      </c>
      <c r="AB3967" s="508">
        <v>8.0000000000000002E-3</v>
      </c>
      <c r="AC3967" s="508">
        <v>7.0000000000000001E-3</v>
      </c>
      <c r="AD3967" s="508">
        <v>7.0000000000000001E-3</v>
      </c>
      <c r="AE3967" s="508">
        <v>6.0000000000000001E-3</v>
      </c>
      <c r="AF3967" s="508">
        <v>4.0000000000000001E-3</v>
      </c>
      <c r="AG3967" s="508">
        <v>4.0000000000000001E-3</v>
      </c>
      <c r="AH3967" s="508">
        <v>4.0000000000000001E-3</v>
      </c>
      <c r="AI3967" s="492">
        <v>4.0000000000000001E-3</v>
      </c>
      <c r="AJ3967" s="485"/>
    </row>
    <row r="3968" spans="2:36">
      <c r="B3968" s="136" t="s">
        <v>454</v>
      </c>
      <c r="C3968" s="132" t="s">
        <v>1369</v>
      </c>
      <c r="D3968" s="132" t="s">
        <v>284</v>
      </c>
      <c r="E3968" s="508">
        <v>0.107</v>
      </c>
      <c r="F3968" s="508">
        <v>0.10199999999999999</v>
      </c>
      <c r="G3968" s="508">
        <v>0.10100000000000001</v>
      </c>
      <c r="H3968" s="508">
        <v>8.4000000000000005E-2</v>
      </c>
      <c r="I3968" s="508">
        <v>8.4000000000000005E-2</v>
      </c>
      <c r="J3968" s="508">
        <v>8.8999999999999996E-2</v>
      </c>
      <c r="K3968" s="508">
        <v>5.2999999999999999E-2</v>
      </c>
      <c r="L3968" s="508">
        <v>5.2999999999999999E-2</v>
      </c>
      <c r="M3968" s="508">
        <v>5.2999999999999999E-2</v>
      </c>
      <c r="N3968" s="508">
        <v>5.6000000000000001E-2</v>
      </c>
      <c r="O3968" s="508">
        <v>4.5999999999999999E-2</v>
      </c>
      <c r="P3968" s="508">
        <v>3.1E-2</v>
      </c>
      <c r="Q3968" s="508">
        <v>3.3000000000000002E-2</v>
      </c>
      <c r="R3968" s="508">
        <v>2.8000000000000001E-2</v>
      </c>
      <c r="S3968" s="508">
        <v>2.5999999999999999E-2</v>
      </c>
      <c r="T3968" s="508">
        <v>2.5000000000000001E-2</v>
      </c>
      <c r="U3968" s="508">
        <v>1.4999999999999999E-2</v>
      </c>
      <c r="V3968" s="508">
        <v>1.4E-2</v>
      </c>
      <c r="W3968" s="508">
        <v>1.4E-2</v>
      </c>
      <c r="X3968" s="508">
        <v>0.01</v>
      </c>
      <c r="Y3968" s="508">
        <v>0.01</v>
      </c>
      <c r="Z3968" s="508">
        <v>8.0000000000000002E-3</v>
      </c>
      <c r="AA3968" s="508">
        <v>8.0000000000000002E-3</v>
      </c>
      <c r="AB3968" s="508">
        <v>7.0000000000000001E-3</v>
      </c>
      <c r="AC3968" s="508">
        <v>7.0000000000000001E-3</v>
      </c>
      <c r="AD3968" s="508">
        <v>6.0000000000000001E-3</v>
      </c>
      <c r="AE3968" s="508">
        <v>6.0000000000000001E-3</v>
      </c>
      <c r="AF3968" s="508">
        <v>4.0000000000000001E-3</v>
      </c>
      <c r="AG3968" s="508">
        <v>4.0000000000000001E-3</v>
      </c>
      <c r="AH3968" s="508">
        <v>4.0000000000000001E-3</v>
      </c>
      <c r="AI3968" s="492">
        <v>4.0000000000000001E-3</v>
      </c>
      <c r="AJ3968" s="485"/>
    </row>
    <row r="3969" spans="2:36">
      <c r="B3969" s="136" t="s">
        <v>455</v>
      </c>
      <c r="C3969" s="132" t="s">
        <v>1369</v>
      </c>
      <c r="D3969" s="132" t="s">
        <v>284</v>
      </c>
      <c r="E3969" s="508">
        <v>0.105</v>
      </c>
      <c r="F3969" s="508">
        <v>0.10100000000000001</v>
      </c>
      <c r="G3969" s="508">
        <v>0.1</v>
      </c>
      <c r="H3969" s="508">
        <v>8.3000000000000004E-2</v>
      </c>
      <c r="I3969" s="508">
        <v>8.3000000000000004E-2</v>
      </c>
      <c r="J3969" s="508">
        <v>8.8999999999999996E-2</v>
      </c>
      <c r="K3969" s="508">
        <v>5.1999999999999998E-2</v>
      </c>
      <c r="L3969" s="508">
        <v>5.1999999999999998E-2</v>
      </c>
      <c r="M3969" s="508">
        <v>5.1999999999999998E-2</v>
      </c>
      <c r="N3969" s="508">
        <v>5.5E-2</v>
      </c>
      <c r="O3969" s="508">
        <v>4.5999999999999999E-2</v>
      </c>
      <c r="P3969" s="508">
        <v>3.1E-2</v>
      </c>
      <c r="Q3969" s="508">
        <v>3.3000000000000002E-2</v>
      </c>
      <c r="R3969" s="508">
        <v>2.8000000000000001E-2</v>
      </c>
      <c r="S3969" s="508">
        <v>2.5999999999999999E-2</v>
      </c>
      <c r="T3969" s="508">
        <v>2.5999999999999999E-2</v>
      </c>
      <c r="U3969" s="508">
        <v>1.4E-2</v>
      </c>
      <c r="V3969" s="508">
        <v>1.2999999999999999E-2</v>
      </c>
      <c r="W3969" s="508">
        <v>1.2999999999999999E-2</v>
      </c>
      <c r="X3969" s="508">
        <v>8.9999999999999993E-3</v>
      </c>
      <c r="Y3969" s="508">
        <v>8.9999999999999993E-3</v>
      </c>
      <c r="Z3969" s="508">
        <v>8.0000000000000002E-3</v>
      </c>
      <c r="AA3969" s="508">
        <v>7.0000000000000001E-3</v>
      </c>
      <c r="AB3969" s="508">
        <v>7.0000000000000001E-3</v>
      </c>
      <c r="AC3969" s="508">
        <v>6.0000000000000001E-3</v>
      </c>
      <c r="AD3969" s="508">
        <v>6.0000000000000001E-3</v>
      </c>
      <c r="AE3969" s="508">
        <v>6.0000000000000001E-3</v>
      </c>
      <c r="AF3969" s="508">
        <v>4.0000000000000001E-3</v>
      </c>
      <c r="AG3969" s="508">
        <v>4.0000000000000001E-3</v>
      </c>
      <c r="AH3969" s="508">
        <v>4.0000000000000001E-3</v>
      </c>
      <c r="AI3969" s="492">
        <v>4.0000000000000001E-3</v>
      </c>
      <c r="AJ3969" s="485"/>
    </row>
    <row r="3970" spans="2:36">
      <c r="B3970" s="136" t="s">
        <v>456</v>
      </c>
      <c r="C3970" s="132" t="s">
        <v>1369</v>
      </c>
      <c r="D3970" s="132" t="s">
        <v>284</v>
      </c>
      <c r="E3970" s="508">
        <v>7.0000000000000007E-2</v>
      </c>
      <c r="F3970" s="508">
        <v>6.6000000000000003E-2</v>
      </c>
      <c r="G3970" s="508">
        <v>6.6000000000000003E-2</v>
      </c>
      <c r="H3970" s="508">
        <v>5.5E-2</v>
      </c>
      <c r="I3970" s="508">
        <v>5.5E-2</v>
      </c>
      <c r="J3970" s="508">
        <v>5.8000000000000003E-2</v>
      </c>
      <c r="K3970" s="508">
        <v>3.5000000000000003E-2</v>
      </c>
      <c r="L3970" s="508">
        <v>3.5000000000000003E-2</v>
      </c>
      <c r="M3970" s="508">
        <v>3.4000000000000002E-2</v>
      </c>
      <c r="N3970" s="508">
        <v>3.5999999999999997E-2</v>
      </c>
      <c r="O3970" s="508">
        <v>0.03</v>
      </c>
      <c r="P3970" s="508">
        <v>2.1000000000000001E-2</v>
      </c>
      <c r="Q3970" s="508">
        <v>2.1999999999999999E-2</v>
      </c>
      <c r="R3970" s="508">
        <v>1.9E-2</v>
      </c>
      <c r="S3970" s="508">
        <v>1.7000000000000001E-2</v>
      </c>
      <c r="T3970" s="508">
        <v>1.7000000000000001E-2</v>
      </c>
      <c r="U3970" s="508">
        <v>1.0999999999999999E-2</v>
      </c>
      <c r="V3970" s="508">
        <v>0.01</v>
      </c>
      <c r="W3970" s="508">
        <v>0.01</v>
      </c>
      <c r="X3970" s="508">
        <v>0.01</v>
      </c>
      <c r="Y3970" s="508">
        <v>8.9999999999999993E-3</v>
      </c>
      <c r="Z3970" s="508">
        <v>8.0000000000000002E-3</v>
      </c>
      <c r="AA3970" s="508">
        <v>8.0000000000000002E-3</v>
      </c>
      <c r="AB3970" s="508">
        <v>7.0000000000000001E-3</v>
      </c>
      <c r="AC3970" s="508">
        <v>7.0000000000000001E-3</v>
      </c>
      <c r="AD3970" s="508">
        <v>6.0000000000000001E-3</v>
      </c>
      <c r="AE3970" s="508">
        <v>6.0000000000000001E-3</v>
      </c>
      <c r="AF3970" s="508">
        <v>4.0000000000000001E-3</v>
      </c>
      <c r="AG3970" s="508">
        <v>4.0000000000000001E-3</v>
      </c>
      <c r="AH3970" s="508">
        <v>4.0000000000000001E-3</v>
      </c>
      <c r="AI3970" s="492">
        <v>4.0000000000000001E-3</v>
      </c>
      <c r="AJ3970" s="485"/>
    </row>
    <row r="3971" spans="2:36">
      <c r="B3971" s="136" t="s">
        <v>457</v>
      </c>
      <c r="C3971" s="132" t="s">
        <v>1369</v>
      </c>
      <c r="D3971" s="132" t="s">
        <v>284</v>
      </c>
      <c r="E3971" s="508">
        <v>0.157</v>
      </c>
      <c r="F3971" s="508">
        <v>0.14899999999999999</v>
      </c>
      <c r="G3971" s="508">
        <v>0.14699999999999999</v>
      </c>
      <c r="H3971" s="508">
        <v>0.124</v>
      </c>
      <c r="I3971" s="508">
        <v>0.125</v>
      </c>
      <c r="J3971" s="508">
        <v>0.13200000000000001</v>
      </c>
      <c r="K3971" s="508">
        <v>7.8E-2</v>
      </c>
      <c r="L3971" s="508">
        <v>7.6999999999999999E-2</v>
      </c>
      <c r="M3971" s="508">
        <v>7.6999999999999999E-2</v>
      </c>
      <c r="N3971" s="508">
        <v>8.4000000000000005E-2</v>
      </c>
      <c r="O3971" s="508">
        <v>6.7000000000000004E-2</v>
      </c>
      <c r="P3971" s="508">
        <v>4.3999999999999997E-2</v>
      </c>
      <c r="Q3971" s="508">
        <v>4.9000000000000002E-2</v>
      </c>
      <c r="R3971" s="508">
        <v>4.1000000000000002E-2</v>
      </c>
      <c r="S3971" s="508">
        <v>3.5999999999999997E-2</v>
      </c>
      <c r="T3971" s="508">
        <v>3.5999999999999997E-2</v>
      </c>
      <c r="U3971" s="508">
        <v>2.1999999999999999E-2</v>
      </c>
      <c r="V3971" s="508">
        <v>2.1000000000000001E-2</v>
      </c>
      <c r="W3971" s="508">
        <v>2.1000000000000001E-2</v>
      </c>
      <c r="X3971" s="508">
        <v>1.2999999999999999E-2</v>
      </c>
      <c r="Y3971" s="508">
        <v>1.2999999999999999E-2</v>
      </c>
      <c r="Z3971" s="508">
        <v>0.01</v>
      </c>
      <c r="AA3971" s="508">
        <v>0.01</v>
      </c>
      <c r="AB3971" s="508">
        <v>8.9999999999999993E-3</v>
      </c>
      <c r="AC3971" s="508">
        <v>8.9999999999999993E-3</v>
      </c>
      <c r="AD3971" s="508">
        <v>8.0000000000000002E-3</v>
      </c>
      <c r="AE3971" s="508">
        <v>7.0000000000000001E-3</v>
      </c>
      <c r="AF3971" s="508">
        <v>5.0000000000000001E-3</v>
      </c>
      <c r="AG3971" s="508">
        <v>5.0000000000000001E-3</v>
      </c>
      <c r="AH3971" s="508">
        <v>5.0000000000000001E-3</v>
      </c>
      <c r="AI3971" s="492">
        <v>4.0000000000000001E-3</v>
      </c>
      <c r="AJ3971" s="485"/>
    </row>
    <row r="3972" spans="2:36">
      <c r="B3972" s="136" t="s">
        <v>458</v>
      </c>
      <c r="C3972" s="132" t="s">
        <v>1369</v>
      </c>
      <c r="D3972" s="132" t="s">
        <v>284</v>
      </c>
      <c r="E3972" s="508">
        <v>0.11</v>
      </c>
      <c r="F3972" s="508">
        <v>0.106</v>
      </c>
      <c r="G3972" s="508">
        <v>0.105</v>
      </c>
      <c r="H3972" s="508">
        <v>8.5999999999999993E-2</v>
      </c>
      <c r="I3972" s="508">
        <v>8.5999999999999993E-2</v>
      </c>
      <c r="J3972" s="508">
        <v>9.1999999999999998E-2</v>
      </c>
      <c r="K3972" s="508">
        <v>5.6000000000000001E-2</v>
      </c>
      <c r="L3972" s="508">
        <v>5.5E-2</v>
      </c>
      <c r="M3972" s="508">
        <v>5.5E-2</v>
      </c>
      <c r="N3972" s="508">
        <v>5.6000000000000001E-2</v>
      </c>
      <c r="O3972" s="508">
        <v>4.8000000000000001E-2</v>
      </c>
      <c r="P3972" s="508">
        <v>3.4000000000000002E-2</v>
      </c>
      <c r="Q3972" s="508">
        <v>3.4000000000000002E-2</v>
      </c>
      <c r="R3972" s="508">
        <v>0.03</v>
      </c>
      <c r="S3972" s="508">
        <v>2.8000000000000001E-2</v>
      </c>
      <c r="T3972" s="508">
        <v>2.7E-2</v>
      </c>
      <c r="U3972" s="508">
        <v>1.7000000000000001E-2</v>
      </c>
      <c r="V3972" s="508">
        <v>1.4E-2</v>
      </c>
      <c r="W3972" s="508">
        <v>1.4999999999999999E-2</v>
      </c>
      <c r="X3972" s="508">
        <v>0.01</v>
      </c>
      <c r="Y3972" s="508">
        <v>0.01</v>
      </c>
      <c r="Z3972" s="508">
        <v>8.0000000000000002E-3</v>
      </c>
      <c r="AA3972" s="508">
        <v>8.0000000000000002E-3</v>
      </c>
      <c r="AB3972" s="508">
        <v>7.0000000000000001E-3</v>
      </c>
      <c r="AC3972" s="508">
        <v>7.0000000000000001E-3</v>
      </c>
      <c r="AD3972" s="508">
        <v>6.0000000000000001E-3</v>
      </c>
      <c r="AE3972" s="508">
        <v>6.0000000000000001E-3</v>
      </c>
      <c r="AF3972" s="508">
        <v>4.0000000000000001E-3</v>
      </c>
      <c r="AG3972" s="508">
        <v>4.0000000000000001E-3</v>
      </c>
      <c r="AH3972" s="508">
        <v>4.0000000000000001E-3</v>
      </c>
      <c r="AI3972" s="492">
        <v>4.0000000000000001E-3</v>
      </c>
      <c r="AJ3972" s="485"/>
    </row>
    <row r="3973" spans="2:36">
      <c r="B3973" s="136" t="s">
        <v>459</v>
      </c>
      <c r="C3973" s="132" t="s">
        <v>1369</v>
      </c>
      <c r="D3973" s="132" t="s">
        <v>284</v>
      </c>
      <c r="E3973" s="508">
        <v>0.13900000000000001</v>
      </c>
      <c r="F3973" s="508">
        <v>0.13400000000000001</v>
      </c>
      <c r="G3973" s="508">
        <v>0.13300000000000001</v>
      </c>
      <c r="H3973" s="508">
        <v>0.109</v>
      </c>
      <c r="I3973" s="508">
        <v>0.109</v>
      </c>
      <c r="J3973" s="508">
        <v>0.11600000000000001</v>
      </c>
      <c r="K3973" s="508">
        <v>7.0999999999999994E-2</v>
      </c>
      <c r="L3973" s="508">
        <v>7.0000000000000007E-2</v>
      </c>
      <c r="M3973" s="508">
        <v>7.0000000000000007E-2</v>
      </c>
      <c r="N3973" s="508">
        <v>7.0000000000000007E-2</v>
      </c>
      <c r="O3973" s="508">
        <v>0.06</v>
      </c>
      <c r="P3973" s="508">
        <v>4.2000000000000003E-2</v>
      </c>
      <c r="Q3973" s="508">
        <v>4.2999999999999997E-2</v>
      </c>
      <c r="R3973" s="508">
        <v>3.6999999999999998E-2</v>
      </c>
      <c r="S3973" s="508">
        <v>3.5999999999999997E-2</v>
      </c>
      <c r="T3973" s="508">
        <v>3.4000000000000002E-2</v>
      </c>
      <c r="U3973" s="508">
        <v>0.02</v>
      </c>
      <c r="V3973" s="508">
        <v>1.7000000000000001E-2</v>
      </c>
      <c r="W3973" s="508">
        <v>1.7999999999999999E-2</v>
      </c>
      <c r="X3973" s="508">
        <v>1.0999999999999999E-2</v>
      </c>
      <c r="Y3973" s="508">
        <v>1.0999999999999999E-2</v>
      </c>
      <c r="Z3973" s="508">
        <v>8.9999999999999993E-3</v>
      </c>
      <c r="AA3973" s="508">
        <v>8.9999999999999993E-3</v>
      </c>
      <c r="AB3973" s="508">
        <v>8.0000000000000002E-3</v>
      </c>
      <c r="AC3973" s="508">
        <v>8.0000000000000002E-3</v>
      </c>
      <c r="AD3973" s="508">
        <v>7.0000000000000001E-3</v>
      </c>
      <c r="AE3973" s="508">
        <v>7.0000000000000001E-3</v>
      </c>
      <c r="AF3973" s="508">
        <v>4.0000000000000001E-3</v>
      </c>
      <c r="AG3973" s="508">
        <v>4.0000000000000001E-3</v>
      </c>
      <c r="AH3973" s="508">
        <v>4.0000000000000001E-3</v>
      </c>
      <c r="AI3973" s="492">
        <v>4.0000000000000001E-3</v>
      </c>
      <c r="AJ3973" s="485"/>
    </row>
    <row r="3974" spans="2:36">
      <c r="B3974" s="136" t="s">
        <v>460</v>
      </c>
      <c r="C3974" s="132" t="s">
        <v>1369</v>
      </c>
      <c r="D3974" s="132" t="s">
        <v>284</v>
      </c>
      <c r="E3974" s="508">
        <v>0.14299999999999999</v>
      </c>
      <c r="F3974" s="508">
        <v>0.13600000000000001</v>
      </c>
      <c r="G3974" s="508">
        <v>0.13400000000000001</v>
      </c>
      <c r="H3974" s="508">
        <v>0.112</v>
      </c>
      <c r="I3974" s="508">
        <v>0.112</v>
      </c>
      <c r="J3974" s="508">
        <v>0.11700000000000001</v>
      </c>
      <c r="K3974" s="508">
        <v>7.2999999999999995E-2</v>
      </c>
      <c r="L3974" s="508">
        <v>7.1999999999999995E-2</v>
      </c>
      <c r="M3974" s="508">
        <v>7.1999999999999995E-2</v>
      </c>
      <c r="N3974" s="508">
        <v>7.1999999999999995E-2</v>
      </c>
      <c r="O3974" s="508">
        <v>6.0999999999999999E-2</v>
      </c>
      <c r="P3974" s="508">
        <v>4.2000000000000003E-2</v>
      </c>
      <c r="Q3974" s="508">
        <v>4.3999999999999997E-2</v>
      </c>
      <c r="R3974" s="508">
        <v>3.6999999999999998E-2</v>
      </c>
      <c r="S3974" s="508">
        <v>3.5000000000000003E-2</v>
      </c>
      <c r="T3974" s="508">
        <v>3.4000000000000002E-2</v>
      </c>
      <c r="U3974" s="508">
        <v>1.9E-2</v>
      </c>
      <c r="V3974" s="508">
        <v>1.7000000000000001E-2</v>
      </c>
      <c r="W3974" s="508">
        <v>1.7000000000000001E-2</v>
      </c>
      <c r="X3974" s="508">
        <v>1.0999999999999999E-2</v>
      </c>
      <c r="Y3974" s="508">
        <v>1.0999999999999999E-2</v>
      </c>
      <c r="Z3974" s="508">
        <v>8.9999999999999993E-3</v>
      </c>
      <c r="AA3974" s="508">
        <v>8.0000000000000002E-3</v>
      </c>
      <c r="AB3974" s="508">
        <v>7.0000000000000001E-3</v>
      </c>
      <c r="AC3974" s="508">
        <v>7.0000000000000001E-3</v>
      </c>
      <c r="AD3974" s="508">
        <v>6.0000000000000001E-3</v>
      </c>
      <c r="AE3974" s="508">
        <v>6.0000000000000001E-3</v>
      </c>
      <c r="AF3974" s="508">
        <v>4.0000000000000001E-3</v>
      </c>
      <c r="AG3974" s="508">
        <v>4.0000000000000001E-3</v>
      </c>
      <c r="AH3974" s="508">
        <v>4.0000000000000001E-3</v>
      </c>
      <c r="AI3974" s="492">
        <v>4.0000000000000001E-3</v>
      </c>
      <c r="AJ3974" s="485"/>
    </row>
    <row r="3975" spans="2:36">
      <c r="B3975" s="136" t="s">
        <v>461</v>
      </c>
      <c r="C3975" s="132" t="s">
        <v>1369</v>
      </c>
      <c r="D3975" s="132" t="s">
        <v>284</v>
      </c>
      <c r="E3975" s="508">
        <v>0.161</v>
      </c>
      <c r="F3975" s="508">
        <v>0.152</v>
      </c>
      <c r="G3975" s="508">
        <v>0.15</v>
      </c>
      <c r="H3975" s="508">
        <v>0.126</v>
      </c>
      <c r="I3975" s="508">
        <v>0.127</v>
      </c>
      <c r="J3975" s="508">
        <v>0.13200000000000001</v>
      </c>
      <c r="K3975" s="508">
        <v>8.1000000000000003E-2</v>
      </c>
      <c r="L3975" s="508">
        <v>0.08</v>
      </c>
      <c r="M3975" s="508">
        <v>0.08</v>
      </c>
      <c r="N3975" s="508">
        <v>8.3000000000000004E-2</v>
      </c>
      <c r="O3975" s="508">
        <v>6.8000000000000005E-2</v>
      </c>
      <c r="P3975" s="508">
        <v>4.7E-2</v>
      </c>
      <c r="Q3975" s="508">
        <v>4.9000000000000002E-2</v>
      </c>
      <c r="R3975" s="508">
        <v>4.2000000000000003E-2</v>
      </c>
      <c r="S3975" s="508">
        <v>3.7999999999999999E-2</v>
      </c>
      <c r="T3975" s="508">
        <v>3.6999999999999998E-2</v>
      </c>
      <c r="U3975" s="508">
        <v>2.3E-2</v>
      </c>
      <c r="V3975" s="508">
        <v>0.02</v>
      </c>
      <c r="W3975" s="508">
        <v>0.02</v>
      </c>
      <c r="X3975" s="508">
        <v>1.2E-2</v>
      </c>
      <c r="Y3975" s="508">
        <v>1.2E-2</v>
      </c>
      <c r="Z3975" s="508">
        <v>0.01</v>
      </c>
      <c r="AA3975" s="508">
        <v>0.01</v>
      </c>
      <c r="AB3975" s="508">
        <v>8.0000000000000002E-3</v>
      </c>
      <c r="AC3975" s="508">
        <v>8.0000000000000002E-3</v>
      </c>
      <c r="AD3975" s="508">
        <v>7.0000000000000001E-3</v>
      </c>
      <c r="AE3975" s="508">
        <v>7.0000000000000001E-3</v>
      </c>
      <c r="AF3975" s="508">
        <v>4.0000000000000001E-3</v>
      </c>
      <c r="AG3975" s="508">
        <v>4.0000000000000001E-3</v>
      </c>
      <c r="AH3975" s="508">
        <v>4.0000000000000001E-3</v>
      </c>
      <c r="AI3975" s="492">
        <v>4.0000000000000001E-3</v>
      </c>
      <c r="AJ3975" s="485"/>
    </row>
    <row r="3976" spans="2:36">
      <c r="B3976" s="136" t="s">
        <v>462</v>
      </c>
      <c r="C3976" s="132" t="s">
        <v>1369</v>
      </c>
      <c r="D3976" s="132" t="s">
        <v>284</v>
      </c>
      <c r="E3976" s="508">
        <v>7.4999999999999997E-2</v>
      </c>
      <c r="F3976" s="508">
        <v>7.0999999999999994E-2</v>
      </c>
      <c r="G3976" s="508">
        <v>7.0000000000000007E-2</v>
      </c>
      <c r="H3976" s="508">
        <v>0.06</v>
      </c>
      <c r="I3976" s="508">
        <v>0.06</v>
      </c>
      <c r="J3976" s="508">
        <v>6.3E-2</v>
      </c>
      <c r="K3976" s="508">
        <v>3.6999999999999998E-2</v>
      </c>
      <c r="L3976" s="508">
        <v>3.6999999999999998E-2</v>
      </c>
      <c r="M3976" s="508">
        <v>3.6999999999999998E-2</v>
      </c>
      <c r="N3976" s="508">
        <v>4.1000000000000002E-2</v>
      </c>
      <c r="O3976" s="508">
        <v>3.2000000000000001E-2</v>
      </c>
      <c r="P3976" s="508">
        <v>2.1999999999999999E-2</v>
      </c>
      <c r="Q3976" s="508">
        <v>2.4E-2</v>
      </c>
      <c r="R3976" s="508">
        <v>0.02</v>
      </c>
      <c r="S3976" s="508">
        <v>1.7000000000000001E-2</v>
      </c>
      <c r="T3976" s="508">
        <v>1.7000000000000001E-2</v>
      </c>
      <c r="U3976" s="508">
        <v>1.0999999999999999E-2</v>
      </c>
      <c r="V3976" s="508">
        <v>0.01</v>
      </c>
      <c r="W3976" s="508">
        <v>0.01</v>
      </c>
      <c r="X3976" s="508">
        <v>8.9999999999999993E-3</v>
      </c>
      <c r="Y3976" s="508">
        <v>8.9999999999999993E-3</v>
      </c>
      <c r="Z3976" s="508">
        <v>8.0000000000000002E-3</v>
      </c>
      <c r="AA3976" s="508">
        <v>8.0000000000000002E-3</v>
      </c>
      <c r="AB3976" s="508">
        <v>7.0000000000000001E-3</v>
      </c>
      <c r="AC3976" s="508">
        <v>7.0000000000000001E-3</v>
      </c>
      <c r="AD3976" s="508">
        <v>6.0000000000000001E-3</v>
      </c>
      <c r="AE3976" s="508">
        <v>6.0000000000000001E-3</v>
      </c>
      <c r="AF3976" s="508">
        <v>4.0000000000000001E-3</v>
      </c>
      <c r="AG3976" s="508">
        <v>4.0000000000000001E-3</v>
      </c>
      <c r="AH3976" s="508">
        <v>4.0000000000000001E-3</v>
      </c>
      <c r="AI3976" s="492">
        <v>4.0000000000000001E-3</v>
      </c>
      <c r="AJ3976" s="485"/>
    </row>
    <row r="3977" spans="2:36">
      <c r="B3977" s="136" t="s">
        <v>463</v>
      </c>
      <c r="C3977" s="132" t="s">
        <v>1369</v>
      </c>
      <c r="D3977" s="132" t="s">
        <v>284</v>
      </c>
      <c r="E3977" s="508">
        <v>0.108</v>
      </c>
      <c r="F3977" s="508">
        <v>0.105</v>
      </c>
      <c r="G3977" s="508">
        <v>0.104</v>
      </c>
      <c r="H3977" s="508">
        <v>8.5000000000000006E-2</v>
      </c>
      <c r="I3977" s="508">
        <v>8.5000000000000006E-2</v>
      </c>
      <c r="J3977" s="508">
        <v>9.2999999999999999E-2</v>
      </c>
      <c r="K3977" s="508">
        <v>5.3999999999999999E-2</v>
      </c>
      <c r="L3977" s="508">
        <v>5.2999999999999999E-2</v>
      </c>
      <c r="M3977" s="508">
        <v>5.2999999999999999E-2</v>
      </c>
      <c r="N3977" s="508">
        <v>5.7000000000000002E-2</v>
      </c>
      <c r="O3977" s="508">
        <v>4.8000000000000001E-2</v>
      </c>
      <c r="P3977" s="508">
        <v>3.2000000000000001E-2</v>
      </c>
      <c r="Q3977" s="508">
        <v>3.4000000000000002E-2</v>
      </c>
      <c r="R3977" s="508">
        <v>2.9000000000000001E-2</v>
      </c>
      <c r="S3977" s="508">
        <v>2.8000000000000001E-2</v>
      </c>
      <c r="T3977" s="508">
        <v>2.7E-2</v>
      </c>
      <c r="U3977" s="508">
        <v>1.6E-2</v>
      </c>
      <c r="V3977" s="508">
        <v>1.4E-2</v>
      </c>
      <c r="W3977" s="508">
        <v>1.4E-2</v>
      </c>
      <c r="X3977" s="508">
        <v>0.01</v>
      </c>
      <c r="Y3977" s="508">
        <v>0.01</v>
      </c>
      <c r="Z3977" s="508">
        <v>8.0000000000000002E-3</v>
      </c>
      <c r="AA3977" s="508">
        <v>8.0000000000000002E-3</v>
      </c>
      <c r="AB3977" s="508">
        <v>7.0000000000000001E-3</v>
      </c>
      <c r="AC3977" s="508">
        <v>7.0000000000000001E-3</v>
      </c>
      <c r="AD3977" s="508">
        <v>6.0000000000000001E-3</v>
      </c>
      <c r="AE3977" s="508">
        <v>6.0000000000000001E-3</v>
      </c>
      <c r="AF3977" s="508">
        <v>4.0000000000000001E-3</v>
      </c>
      <c r="AG3977" s="508">
        <v>4.0000000000000001E-3</v>
      </c>
      <c r="AH3977" s="508">
        <v>4.0000000000000001E-3</v>
      </c>
      <c r="AI3977" s="492">
        <v>4.0000000000000001E-3</v>
      </c>
      <c r="AJ3977" s="485"/>
    </row>
    <row r="3978" spans="2:36">
      <c r="B3978" s="136" t="s">
        <v>464</v>
      </c>
      <c r="C3978" s="132" t="s">
        <v>1369</v>
      </c>
      <c r="D3978" s="132" t="s">
        <v>284</v>
      </c>
      <c r="E3978" s="508">
        <v>0.155</v>
      </c>
      <c r="F3978" s="508">
        <v>0.14699999999999999</v>
      </c>
      <c r="G3978" s="508">
        <v>0.14599999999999999</v>
      </c>
      <c r="H3978" s="508">
        <v>0.122</v>
      </c>
      <c r="I3978" s="508">
        <v>0.123</v>
      </c>
      <c r="J3978" s="508">
        <v>0.13</v>
      </c>
      <c r="K3978" s="508">
        <v>7.6999999999999999E-2</v>
      </c>
      <c r="L3978" s="508">
        <v>7.5999999999999998E-2</v>
      </c>
      <c r="M3978" s="508">
        <v>7.5999999999999998E-2</v>
      </c>
      <c r="N3978" s="508">
        <v>8.2000000000000003E-2</v>
      </c>
      <c r="O3978" s="508">
        <v>6.6000000000000003E-2</v>
      </c>
      <c r="P3978" s="508">
        <v>4.3999999999999997E-2</v>
      </c>
      <c r="Q3978" s="508">
        <v>4.8000000000000001E-2</v>
      </c>
      <c r="R3978" s="508">
        <v>0.04</v>
      </c>
      <c r="S3978" s="508">
        <v>3.5999999999999997E-2</v>
      </c>
      <c r="T3978" s="508">
        <v>3.5999999999999997E-2</v>
      </c>
      <c r="U3978" s="508">
        <v>0.02</v>
      </c>
      <c r="V3978" s="508">
        <v>1.7999999999999999E-2</v>
      </c>
      <c r="W3978" s="508">
        <v>1.7999999999999999E-2</v>
      </c>
      <c r="X3978" s="508">
        <v>1.0999999999999999E-2</v>
      </c>
      <c r="Y3978" s="508">
        <v>1.0999999999999999E-2</v>
      </c>
      <c r="Z3978" s="508">
        <v>8.9999999999999993E-3</v>
      </c>
      <c r="AA3978" s="508">
        <v>8.9999999999999993E-3</v>
      </c>
      <c r="AB3978" s="508">
        <v>8.0000000000000002E-3</v>
      </c>
      <c r="AC3978" s="508">
        <v>8.0000000000000002E-3</v>
      </c>
      <c r="AD3978" s="508">
        <v>7.0000000000000001E-3</v>
      </c>
      <c r="AE3978" s="508">
        <v>6.0000000000000001E-3</v>
      </c>
      <c r="AF3978" s="508">
        <v>4.0000000000000001E-3</v>
      </c>
      <c r="AG3978" s="508">
        <v>4.0000000000000001E-3</v>
      </c>
      <c r="AH3978" s="508">
        <v>4.0000000000000001E-3</v>
      </c>
      <c r="AI3978" s="492">
        <v>4.0000000000000001E-3</v>
      </c>
      <c r="AJ3978" s="485"/>
    </row>
    <row r="3979" spans="2:36">
      <c r="B3979" s="136" t="s">
        <v>465</v>
      </c>
      <c r="C3979" s="132" t="s">
        <v>1369</v>
      </c>
      <c r="D3979" s="132" t="s">
        <v>284</v>
      </c>
      <c r="E3979" s="508">
        <v>0.129</v>
      </c>
      <c r="F3979" s="508">
        <v>0.123</v>
      </c>
      <c r="G3979" s="508">
        <v>0.122</v>
      </c>
      <c r="H3979" s="508">
        <v>0.10199999999999999</v>
      </c>
      <c r="I3979" s="508">
        <v>0.10199999999999999</v>
      </c>
      <c r="J3979" s="508">
        <v>0.109</v>
      </c>
      <c r="K3979" s="508">
        <v>6.5000000000000002E-2</v>
      </c>
      <c r="L3979" s="508">
        <v>6.4000000000000001E-2</v>
      </c>
      <c r="M3979" s="508">
        <v>6.4000000000000001E-2</v>
      </c>
      <c r="N3979" s="508">
        <v>6.7000000000000004E-2</v>
      </c>
      <c r="O3979" s="508">
        <v>5.6000000000000001E-2</v>
      </c>
      <c r="P3979" s="508">
        <v>3.7999999999999999E-2</v>
      </c>
      <c r="Q3979" s="508">
        <v>0.04</v>
      </c>
      <c r="R3979" s="508">
        <v>3.4000000000000002E-2</v>
      </c>
      <c r="S3979" s="508">
        <v>3.1E-2</v>
      </c>
      <c r="T3979" s="508">
        <v>3.1E-2</v>
      </c>
      <c r="U3979" s="508">
        <v>1.7999999999999999E-2</v>
      </c>
      <c r="V3979" s="508">
        <v>1.6E-2</v>
      </c>
      <c r="W3979" s="508">
        <v>1.6E-2</v>
      </c>
      <c r="X3979" s="508">
        <v>1.0999999999999999E-2</v>
      </c>
      <c r="Y3979" s="508">
        <v>1.0999999999999999E-2</v>
      </c>
      <c r="Z3979" s="508">
        <v>8.9999999999999993E-3</v>
      </c>
      <c r="AA3979" s="508">
        <v>8.0000000000000002E-3</v>
      </c>
      <c r="AB3979" s="508">
        <v>8.0000000000000002E-3</v>
      </c>
      <c r="AC3979" s="508">
        <v>7.0000000000000001E-3</v>
      </c>
      <c r="AD3979" s="508">
        <v>6.0000000000000001E-3</v>
      </c>
      <c r="AE3979" s="508">
        <v>6.0000000000000001E-3</v>
      </c>
      <c r="AF3979" s="508">
        <v>4.0000000000000001E-3</v>
      </c>
      <c r="AG3979" s="508">
        <v>4.0000000000000001E-3</v>
      </c>
      <c r="AH3979" s="508">
        <v>4.0000000000000001E-3</v>
      </c>
      <c r="AI3979" s="492">
        <v>4.0000000000000001E-3</v>
      </c>
      <c r="AJ3979" s="485"/>
    </row>
    <row r="3980" spans="2:36">
      <c r="B3980" s="136" t="s">
        <v>466</v>
      </c>
      <c r="C3980" s="132" t="s">
        <v>1369</v>
      </c>
      <c r="D3980" s="132" t="s">
        <v>284</v>
      </c>
      <c r="E3980" s="508">
        <v>8.5000000000000006E-2</v>
      </c>
      <c r="F3980" s="508">
        <v>0.08</v>
      </c>
      <c r="G3980" s="508">
        <v>7.9000000000000001E-2</v>
      </c>
      <c r="H3980" s="508">
        <v>6.6000000000000003E-2</v>
      </c>
      <c r="I3980" s="508">
        <v>6.7000000000000004E-2</v>
      </c>
      <c r="J3980" s="508">
        <v>6.8000000000000005E-2</v>
      </c>
      <c r="K3980" s="508">
        <v>4.2999999999999997E-2</v>
      </c>
      <c r="L3980" s="508">
        <v>4.2999999999999997E-2</v>
      </c>
      <c r="M3980" s="508">
        <v>4.2999999999999997E-2</v>
      </c>
      <c r="N3980" s="508">
        <v>4.2000000000000003E-2</v>
      </c>
      <c r="O3980" s="508">
        <v>3.5999999999999997E-2</v>
      </c>
      <c r="P3980" s="508">
        <v>2.5999999999999999E-2</v>
      </c>
      <c r="Q3980" s="508">
        <v>2.5999999999999999E-2</v>
      </c>
      <c r="R3980" s="508">
        <v>2.1999999999999999E-2</v>
      </c>
      <c r="S3980" s="508">
        <v>2.1000000000000001E-2</v>
      </c>
      <c r="T3980" s="508">
        <v>0.02</v>
      </c>
      <c r="U3980" s="508">
        <v>1.2E-2</v>
      </c>
      <c r="V3980" s="508">
        <v>1.0999999999999999E-2</v>
      </c>
      <c r="W3980" s="508">
        <v>1.0999999999999999E-2</v>
      </c>
      <c r="X3980" s="508">
        <v>8.9999999999999993E-3</v>
      </c>
      <c r="Y3980" s="508">
        <v>8.9999999999999993E-3</v>
      </c>
      <c r="Z3980" s="508">
        <v>8.0000000000000002E-3</v>
      </c>
      <c r="AA3980" s="508">
        <v>7.0000000000000001E-3</v>
      </c>
      <c r="AB3980" s="508">
        <v>7.0000000000000001E-3</v>
      </c>
      <c r="AC3980" s="508">
        <v>7.0000000000000001E-3</v>
      </c>
      <c r="AD3980" s="508">
        <v>6.0000000000000001E-3</v>
      </c>
      <c r="AE3980" s="508">
        <v>6.0000000000000001E-3</v>
      </c>
      <c r="AF3980" s="508">
        <v>4.0000000000000001E-3</v>
      </c>
      <c r="AG3980" s="508">
        <v>4.0000000000000001E-3</v>
      </c>
      <c r="AH3980" s="508">
        <v>4.0000000000000001E-3</v>
      </c>
      <c r="AI3980" s="492">
        <v>4.0000000000000001E-3</v>
      </c>
      <c r="AJ3980" s="485"/>
    </row>
    <row r="3981" spans="2:36">
      <c r="B3981" s="136" t="s">
        <v>467</v>
      </c>
      <c r="C3981" s="132" t="s">
        <v>1369</v>
      </c>
      <c r="D3981" s="132" t="s">
        <v>284</v>
      </c>
      <c r="E3981" s="508">
        <v>0.14699999999999999</v>
      </c>
      <c r="F3981" s="508">
        <v>0.13800000000000001</v>
      </c>
      <c r="G3981" s="508">
        <v>0.13700000000000001</v>
      </c>
      <c r="H3981" s="508">
        <v>0.115</v>
      </c>
      <c r="I3981" s="508">
        <v>0.11600000000000001</v>
      </c>
      <c r="J3981" s="508">
        <v>0.121</v>
      </c>
      <c r="K3981" s="508">
        <v>7.3999999999999996E-2</v>
      </c>
      <c r="L3981" s="508">
        <v>7.2999999999999995E-2</v>
      </c>
      <c r="M3981" s="508">
        <v>7.2999999999999995E-2</v>
      </c>
      <c r="N3981" s="508">
        <v>7.5999999999999998E-2</v>
      </c>
      <c r="O3981" s="508">
        <v>6.2E-2</v>
      </c>
      <c r="P3981" s="508">
        <v>4.2999999999999997E-2</v>
      </c>
      <c r="Q3981" s="508">
        <v>4.4999999999999998E-2</v>
      </c>
      <c r="R3981" s="508">
        <v>3.7999999999999999E-2</v>
      </c>
      <c r="S3981" s="508">
        <v>3.4000000000000002E-2</v>
      </c>
      <c r="T3981" s="508">
        <v>3.4000000000000002E-2</v>
      </c>
      <c r="U3981" s="508">
        <v>0.02</v>
      </c>
      <c r="V3981" s="508">
        <v>1.7999999999999999E-2</v>
      </c>
      <c r="W3981" s="508">
        <v>1.7999999999999999E-2</v>
      </c>
      <c r="X3981" s="508">
        <v>1.0999999999999999E-2</v>
      </c>
      <c r="Y3981" s="508">
        <v>1.0999999999999999E-2</v>
      </c>
      <c r="Z3981" s="508">
        <v>8.9999999999999993E-3</v>
      </c>
      <c r="AA3981" s="508">
        <v>8.9999999999999993E-3</v>
      </c>
      <c r="AB3981" s="508">
        <v>8.0000000000000002E-3</v>
      </c>
      <c r="AC3981" s="508">
        <v>8.0000000000000002E-3</v>
      </c>
      <c r="AD3981" s="508">
        <v>7.0000000000000001E-3</v>
      </c>
      <c r="AE3981" s="508">
        <v>7.0000000000000001E-3</v>
      </c>
      <c r="AF3981" s="508">
        <v>4.0000000000000001E-3</v>
      </c>
      <c r="AG3981" s="508">
        <v>4.0000000000000001E-3</v>
      </c>
      <c r="AH3981" s="508">
        <v>4.0000000000000001E-3</v>
      </c>
      <c r="AI3981" s="492">
        <v>4.0000000000000001E-3</v>
      </c>
      <c r="AJ3981" s="485"/>
    </row>
    <row r="3982" spans="2:36">
      <c r="B3982" s="136" t="s">
        <v>468</v>
      </c>
      <c r="C3982" s="132" t="s">
        <v>1369</v>
      </c>
      <c r="D3982" s="132" t="s">
        <v>284</v>
      </c>
      <c r="E3982" s="508">
        <v>0.115</v>
      </c>
      <c r="F3982" s="508">
        <v>0.112</v>
      </c>
      <c r="G3982" s="508">
        <v>0.111</v>
      </c>
      <c r="H3982" s="508">
        <v>9.0999999999999998E-2</v>
      </c>
      <c r="I3982" s="508">
        <v>9.0999999999999998E-2</v>
      </c>
      <c r="J3982" s="508">
        <v>9.9000000000000005E-2</v>
      </c>
      <c r="K3982" s="508">
        <v>5.7000000000000002E-2</v>
      </c>
      <c r="L3982" s="508">
        <v>5.7000000000000002E-2</v>
      </c>
      <c r="M3982" s="508">
        <v>5.7000000000000002E-2</v>
      </c>
      <c r="N3982" s="508">
        <v>0.06</v>
      </c>
      <c r="O3982" s="508">
        <v>5.0999999999999997E-2</v>
      </c>
      <c r="P3982" s="508">
        <v>3.4000000000000002E-2</v>
      </c>
      <c r="Q3982" s="508">
        <v>3.5999999999999997E-2</v>
      </c>
      <c r="R3982" s="508">
        <v>3.1E-2</v>
      </c>
      <c r="S3982" s="508">
        <v>2.9000000000000001E-2</v>
      </c>
      <c r="T3982" s="508">
        <v>2.9000000000000001E-2</v>
      </c>
      <c r="U3982" s="508">
        <v>1.6E-2</v>
      </c>
      <c r="V3982" s="508">
        <v>1.4E-2</v>
      </c>
      <c r="W3982" s="508">
        <v>1.4999999999999999E-2</v>
      </c>
      <c r="X3982" s="508">
        <v>0.01</v>
      </c>
      <c r="Y3982" s="508">
        <v>0.01</v>
      </c>
      <c r="Z3982" s="508">
        <v>8.0000000000000002E-3</v>
      </c>
      <c r="AA3982" s="508">
        <v>8.0000000000000002E-3</v>
      </c>
      <c r="AB3982" s="508">
        <v>7.0000000000000001E-3</v>
      </c>
      <c r="AC3982" s="508">
        <v>7.0000000000000001E-3</v>
      </c>
      <c r="AD3982" s="508">
        <v>6.0000000000000001E-3</v>
      </c>
      <c r="AE3982" s="508">
        <v>6.0000000000000001E-3</v>
      </c>
      <c r="AF3982" s="508">
        <v>4.0000000000000001E-3</v>
      </c>
      <c r="AG3982" s="508">
        <v>4.0000000000000001E-3</v>
      </c>
      <c r="AH3982" s="508">
        <v>4.0000000000000001E-3</v>
      </c>
      <c r="AI3982" s="492">
        <v>4.0000000000000001E-3</v>
      </c>
      <c r="AJ3982" s="485"/>
    </row>
    <row r="3983" spans="2:36">
      <c r="B3983" s="136" t="s">
        <v>469</v>
      </c>
      <c r="C3983" s="132" t="s">
        <v>1369</v>
      </c>
      <c r="D3983" s="132" t="s">
        <v>284</v>
      </c>
      <c r="E3983" s="508">
        <v>0.10100000000000001</v>
      </c>
      <c r="F3983" s="508">
        <v>9.6000000000000002E-2</v>
      </c>
      <c r="G3983" s="508">
        <v>9.5000000000000001E-2</v>
      </c>
      <c r="H3983" s="508">
        <v>7.9000000000000001E-2</v>
      </c>
      <c r="I3983" s="508">
        <v>7.9000000000000001E-2</v>
      </c>
      <c r="J3983" s="508">
        <v>8.4000000000000005E-2</v>
      </c>
      <c r="K3983" s="508">
        <v>0.05</v>
      </c>
      <c r="L3983" s="508">
        <v>0.05</v>
      </c>
      <c r="M3983" s="508">
        <v>4.9000000000000002E-2</v>
      </c>
      <c r="N3983" s="508">
        <v>5.2999999999999999E-2</v>
      </c>
      <c r="O3983" s="508">
        <v>4.2999999999999997E-2</v>
      </c>
      <c r="P3983" s="508">
        <v>2.9000000000000001E-2</v>
      </c>
      <c r="Q3983" s="508">
        <v>3.1E-2</v>
      </c>
      <c r="R3983" s="508">
        <v>2.7E-2</v>
      </c>
      <c r="S3983" s="508">
        <v>2.4E-2</v>
      </c>
      <c r="T3983" s="508">
        <v>2.4E-2</v>
      </c>
      <c r="U3983" s="508">
        <v>1.4E-2</v>
      </c>
      <c r="V3983" s="508">
        <v>1.2999999999999999E-2</v>
      </c>
      <c r="W3983" s="508">
        <v>1.2999999999999999E-2</v>
      </c>
      <c r="X3983" s="508">
        <v>0.01</v>
      </c>
      <c r="Y3983" s="508">
        <v>0.01</v>
      </c>
      <c r="Z3983" s="508">
        <v>8.0000000000000002E-3</v>
      </c>
      <c r="AA3983" s="508">
        <v>8.0000000000000002E-3</v>
      </c>
      <c r="AB3983" s="508">
        <v>7.0000000000000001E-3</v>
      </c>
      <c r="AC3983" s="508">
        <v>7.0000000000000001E-3</v>
      </c>
      <c r="AD3983" s="508">
        <v>6.0000000000000001E-3</v>
      </c>
      <c r="AE3983" s="508">
        <v>6.0000000000000001E-3</v>
      </c>
      <c r="AF3983" s="508">
        <v>4.0000000000000001E-3</v>
      </c>
      <c r="AG3983" s="508">
        <v>4.0000000000000001E-3</v>
      </c>
      <c r="AH3983" s="508">
        <v>4.0000000000000001E-3</v>
      </c>
      <c r="AI3983" s="492">
        <v>4.0000000000000001E-3</v>
      </c>
      <c r="AJ3983" s="485"/>
    </row>
    <row r="3984" spans="2:36">
      <c r="B3984" s="136" t="s">
        <v>470</v>
      </c>
      <c r="C3984" s="132" t="s">
        <v>1369</v>
      </c>
      <c r="D3984" s="132" t="s">
        <v>284</v>
      </c>
      <c r="E3984" s="508">
        <v>0.13300000000000001</v>
      </c>
      <c r="F3984" s="508">
        <v>0.126</v>
      </c>
      <c r="G3984" s="508">
        <v>0.125</v>
      </c>
      <c r="H3984" s="508">
        <v>0.104</v>
      </c>
      <c r="I3984" s="508">
        <v>0.104</v>
      </c>
      <c r="J3984" s="508">
        <v>0.108</v>
      </c>
      <c r="K3984" s="508">
        <v>6.8000000000000005E-2</v>
      </c>
      <c r="L3984" s="508">
        <v>6.7000000000000004E-2</v>
      </c>
      <c r="M3984" s="508">
        <v>6.7000000000000004E-2</v>
      </c>
      <c r="N3984" s="508">
        <v>6.7000000000000004E-2</v>
      </c>
      <c r="O3984" s="508">
        <v>5.6000000000000001E-2</v>
      </c>
      <c r="P3984" s="508">
        <v>0.04</v>
      </c>
      <c r="Q3984" s="508">
        <v>4.1000000000000002E-2</v>
      </c>
      <c r="R3984" s="508">
        <v>3.5000000000000003E-2</v>
      </c>
      <c r="S3984" s="508">
        <v>3.3000000000000002E-2</v>
      </c>
      <c r="T3984" s="508">
        <v>3.1E-2</v>
      </c>
      <c r="U3984" s="508">
        <v>0.02</v>
      </c>
      <c r="V3984" s="508">
        <v>1.7000000000000001E-2</v>
      </c>
      <c r="W3984" s="508">
        <v>1.7999999999999999E-2</v>
      </c>
      <c r="X3984" s="508">
        <v>1.0999999999999999E-2</v>
      </c>
      <c r="Y3984" s="508">
        <v>1.0999999999999999E-2</v>
      </c>
      <c r="Z3984" s="508">
        <v>8.9999999999999993E-3</v>
      </c>
      <c r="AA3984" s="508">
        <v>8.9999999999999993E-3</v>
      </c>
      <c r="AB3984" s="508">
        <v>8.0000000000000002E-3</v>
      </c>
      <c r="AC3984" s="508">
        <v>8.0000000000000002E-3</v>
      </c>
      <c r="AD3984" s="508">
        <v>7.0000000000000001E-3</v>
      </c>
      <c r="AE3984" s="508">
        <v>7.0000000000000001E-3</v>
      </c>
      <c r="AF3984" s="508">
        <v>4.0000000000000001E-3</v>
      </c>
      <c r="AG3984" s="508">
        <v>4.0000000000000001E-3</v>
      </c>
      <c r="AH3984" s="508">
        <v>4.0000000000000001E-3</v>
      </c>
      <c r="AI3984" s="492">
        <v>4.0000000000000001E-3</v>
      </c>
      <c r="AJ3984" s="485"/>
    </row>
    <row r="3985" spans="2:36">
      <c r="B3985" s="136" t="s">
        <v>471</v>
      </c>
      <c r="C3985" s="132" t="s">
        <v>1369</v>
      </c>
      <c r="D3985" s="132" t="s">
        <v>284</v>
      </c>
      <c r="E3985" s="508">
        <v>9.0999999999999998E-2</v>
      </c>
      <c r="F3985" s="508">
        <v>8.5999999999999993E-2</v>
      </c>
      <c r="G3985" s="508">
        <v>8.5000000000000006E-2</v>
      </c>
      <c r="H3985" s="508">
        <v>7.1999999999999995E-2</v>
      </c>
      <c r="I3985" s="508">
        <v>7.1999999999999995E-2</v>
      </c>
      <c r="J3985" s="508">
        <v>7.4999999999999997E-2</v>
      </c>
      <c r="K3985" s="508">
        <v>4.5999999999999999E-2</v>
      </c>
      <c r="L3985" s="508">
        <v>4.4999999999999998E-2</v>
      </c>
      <c r="M3985" s="508">
        <v>4.4999999999999998E-2</v>
      </c>
      <c r="N3985" s="508">
        <v>4.7E-2</v>
      </c>
      <c r="O3985" s="508">
        <v>3.9E-2</v>
      </c>
      <c r="P3985" s="508">
        <v>2.7E-2</v>
      </c>
      <c r="Q3985" s="508">
        <v>2.8000000000000001E-2</v>
      </c>
      <c r="R3985" s="508">
        <v>2.4E-2</v>
      </c>
      <c r="S3985" s="508">
        <v>2.1999999999999999E-2</v>
      </c>
      <c r="T3985" s="508">
        <v>2.1000000000000001E-2</v>
      </c>
      <c r="U3985" s="508">
        <v>1.4E-2</v>
      </c>
      <c r="V3985" s="508">
        <v>1.2999999999999999E-2</v>
      </c>
      <c r="W3985" s="508">
        <v>1.2999999999999999E-2</v>
      </c>
      <c r="X3985" s="508">
        <v>0.01</v>
      </c>
      <c r="Y3985" s="508">
        <v>0.01</v>
      </c>
      <c r="Z3985" s="508">
        <v>8.0000000000000002E-3</v>
      </c>
      <c r="AA3985" s="508">
        <v>8.0000000000000002E-3</v>
      </c>
      <c r="AB3985" s="508">
        <v>7.0000000000000001E-3</v>
      </c>
      <c r="AC3985" s="508">
        <v>7.0000000000000001E-3</v>
      </c>
      <c r="AD3985" s="508">
        <v>6.0000000000000001E-3</v>
      </c>
      <c r="AE3985" s="508">
        <v>6.0000000000000001E-3</v>
      </c>
      <c r="AF3985" s="508">
        <v>4.0000000000000001E-3</v>
      </c>
      <c r="AG3985" s="508">
        <v>4.0000000000000001E-3</v>
      </c>
      <c r="AH3985" s="508">
        <v>4.0000000000000001E-3</v>
      </c>
      <c r="AI3985" s="492">
        <v>4.0000000000000001E-3</v>
      </c>
      <c r="AJ3985" s="485"/>
    </row>
    <row r="3986" spans="2:36">
      <c r="B3986" s="136" t="s">
        <v>472</v>
      </c>
      <c r="C3986" s="132" t="s">
        <v>1369</v>
      </c>
      <c r="D3986" s="132" t="s">
        <v>284</v>
      </c>
      <c r="E3986" s="508">
        <v>0.17699999999999999</v>
      </c>
      <c r="F3986" s="508">
        <v>0.16700000000000001</v>
      </c>
      <c r="G3986" s="508">
        <v>0.16600000000000001</v>
      </c>
      <c r="H3986" s="508">
        <v>0.14000000000000001</v>
      </c>
      <c r="I3986" s="508">
        <v>0.14000000000000001</v>
      </c>
      <c r="J3986" s="508">
        <v>0.14799999999999999</v>
      </c>
      <c r="K3986" s="508">
        <v>8.7999999999999995E-2</v>
      </c>
      <c r="L3986" s="508">
        <v>8.7999999999999995E-2</v>
      </c>
      <c r="M3986" s="508">
        <v>8.6999999999999994E-2</v>
      </c>
      <c r="N3986" s="508">
        <v>9.4E-2</v>
      </c>
      <c r="O3986" s="508">
        <v>7.5999999999999998E-2</v>
      </c>
      <c r="P3986" s="508">
        <v>0.05</v>
      </c>
      <c r="Q3986" s="508">
        <v>5.5E-2</v>
      </c>
      <c r="R3986" s="508">
        <v>4.5999999999999999E-2</v>
      </c>
      <c r="S3986" s="508">
        <v>0.04</v>
      </c>
      <c r="T3986" s="508">
        <v>0.04</v>
      </c>
      <c r="U3986" s="508">
        <v>2.3E-2</v>
      </c>
      <c r="V3986" s="508">
        <v>2.1999999999999999E-2</v>
      </c>
      <c r="W3986" s="508">
        <v>2.1999999999999999E-2</v>
      </c>
      <c r="X3986" s="508">
        <v>1.2999999999999999E-2</v>
      </c>
      <c r="Y3986" s="508">
        <v>1.2E-2</v>
      </c>
      <c r="Z3986" s="508">
        <v>0.01</v>
      </c>
      <c r="AA3986" s="508">
        <v>0.01</v>
      </c>
      <c r="AB3986" s="508">
        <v>8.9999999999999993E-3</v>
      </c>
      <c r="AC3986" s="508">
        <v>8.9999999999999993E-3</v>
      </c>
      <c r="AD3986" s="508">
        <v>7.0000000000000001E-3</v>
      </c>
      <c r="AE3986" s="508">
        <v>7.0000000000000001E-3</v>
      </c>
      <c r="AF3986" s="508">
        <v>5.0000000000000001E-3</v>
      </c>
      <c r="AG3986" s="508">
        <v>4.0000000000000001E-3</v>
      </c>
      <c r="AH3986" s="508">
        <v>4.0000000000000001E-3</v>
      </c>
      <c r="AI3986" s="492">
        <v>4.0000000000000001E-3</v>
      </c>
      <c r="AJ3986" s="485"/>
    </row>
    <row r="3987" spans="2:36">
      <c r="B3987" s="136" t="s">
        <v>473</v>
      </c>
      <c r="C3987" s="132" t="s">
        <v>1369</v>
      </c>
      <c r="D3987" s="132" t="s">
        <v>284</v>
      </c>
      <c r="E3987" s="508">
        <v>0.126</v>
      </c>
      <c r="F3987" s="508">
        <v>0.11799999999999999</v>
      </c>
      <c r="G3987" s="508">
        <v>0.11700000000000001</v>
      </c>
      <c r="H3987" s="508">
        <v>9.9000000000000005E-2</v>
      </c>
      <c r="I3987" s="508">
        <v>9.9000000000000005E-2</v>
      </c>
      <c r="J3987" s="508">
        <v>0.10199999999999999</v>
      </c>
      <c r="K3987" s="508">
        <v>6.4000000000000001E-2</v>
      </c>
      <c r="L3987" s="508">
        <v>6.4000000000000001E-2</v>
      </c>
      <c r="M3987" s="508">
        <v>6.3E-2</v>
      </c>
      <c r="N3987" s="508">
        <v>6.4000000000000001E-2</v>
      </c>
      <c r="O3987" s="508">
        <v>5.2999999999999999E-2</v>
      </c>
      <c r="P3987" s="508">
        <v>3.6999999999999998E-2</v>
      </c>
      <c r="Q3987" s="508">
        <v>3.7999999999999999E-2</v>
      </c>
      <c r="R3987" s="508">
        <v>3.3000000000000002E-2</v>
      </c>
      <c r="S3987" s="508">
        <v>0.03</v>
      </c>
      <c r="T3987" s="508">
        <v>2.9000000000000001E-2</v>
      </c>
      <c r="U3987" s="508">
        <v>1.7000000000000001E-2</v>
      </c>
      <c r="V3987" s="508">
        <v>1.4999999999999999E-2</v>
      </c>
      <c r="W3987" s="508">
        <v>1.4999999999999999E-2</v>
      </c>
      <c r="X3987" s="508">
        <v>0.01</v>
      </c>
      <c r="Y3987" s="508">
        <v>0.01</v>
      </c>
      <c r="Z3987" s="508">
        <v>8.0000000000000002E-3</v>
      </c>
      <c r="AA3987" s="508">
        <v>8.0000000000000002E-3</v>
      </c>
      <c r="AB3987" s="508">
        <v>7.0000000000000001E-3</v>
      </c>
      <c r="AC3987" s="508">
        <v>7.0000000000000001E-3</v>
      </c>
      <c r="AD3987" s="508">
        <v>6.0000000000000001E-3</v>
      </c>
      <c r="AE3987" s="508">
        <v>6.0000000000000001E-3</v>
      </c>
      <c r="AF3987" s="508">
        <v>4.0000000000000001E-3</v>
      </c>
      <c r="AG3987" s="508">
        <v>4.0000000000000001E-3</v>
      </c>
      <c r="AH3987" s="508">
        <v>4.0000000000000001E-3</v>
      </c>
      <c r="AI3987" s="492">
        <v>4.0000000000000001E-3</v>
      </c>
      <c r="AJ3987" s="485"/>
    </row>
    <row r="3988" spans="2:36">
      <c r="B3988" s="136" t="s">
        <v>474</v>
      </c>
      <c r="C3988" s="132" t="s">
        <v>1369</v>
      </c>
      <c r="D3988" s="132" t="s">
        <v>284</v>
      </c>
      <c r="E3988" s="508">
        <v>8.7999999999999995E-2</v>
      </c>
      <c r="F3988" s="508">
        <v>8.3000000000000004E-2</v>
      </c>
      <c r="G3988" s="508">
        <v>8.3000000000000004E-2</v>
      </c>
      <c r="H3988" s="508">
        <v>7.0000000000000007E-2</v>
      </c>
      <c r="I3988" s="508">
        <v>7.0000000000000007E-2</v>
      </c>
      <c r="J3988" s="508">
        <v>7.2999999999999995E-2</v>
      </c>
      <c r="K3988" s="508">
        <v>4.3999999999999997E-2</v>
      </c>
      <c r="L3988" s="508">
        <v>4.3999999999999997E-2</v>
      </c>
      <c r="M3988" s="508">
        <v>4.3999999999999997E-2</v>
      </c>
      <c r="N3988" s="508">
        <v>4.5999999999999999E-2</v>
      </c>
      <c r="O3988" s="508">
        <v>3.6999999999999998E-2</v>
      </c>
      <c r="P3988" s="508">
        <v>2.5999999999999999E-2</v>
      </c>
      <c r="Q3988" s="508">
        <v>2.8000000000000001E-2</v>
      </c>
      <c r="R3988" s="508">
        <v>2.3E-2</v>
      </c>
      <c r="S3988" s="508">
        <v>2.1000000000000001E-2</v>
      </c>
      <c r="T3988" s="508">
        <v>2.1000000000000001E-2</v>
      </c>
      <c r="U3988" s="508">
        <v>1.2E-2</v>
      </c>
      <c r="V3988" s="508">
        <v>1.0999999999999999E-2</v>
      </c>
      <c r="W3988" s="508">
        <v>1.0999999999999999E-2</v>
      </c>
      <c r="X3988" s="508">
        <v>8.9999999999999993E-3</v>
      </c>
      <c r="Y3988" s="508">
        <v>8.9999999999999993E-3</v>
      </c>
      <c r="Z3988" s="508">
        <v>8.0000000000000002E-3</v>
      </c>
      <c r="AA3988" s="508">
        <v>7.0000000000000001E-3</v>
      </c>
      <c r="AB3988" s="508">
        <v>7.0000000000000001E-3</v>
      </c>
      <c r="AC3988" s="508">
        <v>7.0000000000000001E-3</v>
      </c>
      <c r="AD3988" s="508">
        <v>6.0000000000000001E-3</v>
      </c>
      <c r="AE3988" s="508">
        <v>6.0000000000000001E-3</v>
      </c>
      <c r="AF3988" s="508">
        <v>4.0000000000000001E-3</v>
      </c>
      <c r="AG3988" s="508">
        <v>4.0000000000000001E-3</v>
      </c>
      <c r="AH3988" s="508">
        <v>4.0000000000000001E-3</v>
      </c>
      <c r="AI3988" s="492">
        <v>4.0000000000000001E-3</v>
      </c>
      <c r="AJ3988" s="485"/>
    </row>
    <row r="3989" spans="2:36">
      <c r="B3989" s="136" t="s">
        <v>475</v>
      </c>
      <c r="C3989" s="132" t="s">
        <v>1369</v>
      </c>
      <c r="D3989" s="132" t="s">
        <v>284</v>
      </c>
      <c r="E3989" s="508">
        <v>0.124</v>
      </c>
      <c r="F3989" s="508">
        <v>0.11700000000000001</v>
      </c>
      <c r="G3989" s="508">
        <v>0.11600000000000001</v>
      </c>
      <c r="H3989" s="508">
        <v>9.7000000000000003E-2</v>
      </c>
      <c r="I3989" s="508">
        <v>9.8000000000000004E-2</v>
      </c>
      <c r="J3989" s="508">
        <v>0.10299999999999999</v>
      </c>
      <c r="K3989" s="508">
        <v>6.2E-2</v>
      </c>
      <c r="L3989" s="508">
        <v>6.0999999999999999E-2</v>
      </c>
      <c r="M3989" s="508">
        <v>6.0999999999999999E-2</v>
      </c>
      <c r="N3989" s="508">
        <v>6.4000000000000001E-2</v>
      </c>
      <c r="O3989" s="508">
        <v>5.2999999999999999E-2</v>
      </c>
      <c r="P3989" s="508">
        <v>3.5999999999999997E-2</v>
      </c>
      <c r="Q3989" s="508">
        <v>3.7999999999999999E-2</v>
      </c>
      <c r="R3989" s="508">
        <v>3.2000000000000001E-2</v>
      </c>
      <c r="S3989" s="508">
        <v>2.9000000000000001E-2</v>
      </c>
      <c r="T3989" s="508">
        <v>2.9000000000000001E-2</v>
      </c>
      <c r="U3989" s="508">
        <v>1.6E-2</v>
      </c>
      <c r="V3989" s="508">
        <v>1.4999999999999999E-2</v>
      </c>
      <c r="W3989" s="508">
        <v>1.4999999999999999E-2</v>
      </c>
      <c r="X3989" s="508">
        <v>0.01</v>
      </c>
      <c r="Y3989" s="508">
        <v>0.01</v>
      </c>
      <c r="Z3989" s="508">
        <v>8.0000000000000002E-3</v>
      </c>
      <c r="AA3989" s="508">
        <v>8.0000000000000002E-3</v>
      </c>
      <c r="AB3989" s="508">
        <v>7.0000000000000001E-3</v>
      </c>
      <c r="AC3989" s="508">
        <v>7.0000000000000001E-3</v>
      </c>
      <c r="AD3989" s="508">
        <v>6.0000000000000001E-3</v>
      </c>
      <c r="AE3989" s="508">
        <v>6.0000000000000001E-3</v>
      </c>
      <c r="AF3989" s="508">
        <v>4.0000000000000001E-3</v>
      </c>
      <c r="AG3989" s="508">
        <v>4.0000000000000001E-3</v>
      </c>
      <c r="AH3989" s="508">
        <v>4.0000000000000001E-3</v>
      </c>
      <c r="AI3989" s="492">
        <v>4.0000000000000001E-3</v>
      </c>
      <c r="AJ3989" s="485"/>
    </row>
    <row r="3990" spans="2:36">
      <c r="B3990" s="136" t="s">
        <v>476</v>
      </c>
      <c r="C3990" s="132" t="s">
        <v>1369</v>
      </c>
      <c r="D3990" s="132" t="s">
        <v>284</v>
      </c>
      <c r="E3990" s="508">
        <v>0.126</v>
      </c>
      <c r="F3990" s="508">
        <v>0.12</v>
      </c>
      <c r="G3990" s="508">
        <v>0.11899999999999999</v>
      </c>
      <c r="H3990" s="508">
        <v>9.9000000000000005E-2</v>
      </c>
      <c r="I3990" s="508">
        <v>9.9000000000000005E-2</v>
      </c>
      <c r="J3990" s="508">
        <v>0.10299999999999999</v>
      </c>
      <c r="K3990" s="508">
        <v>6.4000000000000001E-2</v>
      </c>
      <c r="L3990" s="508">
        <v>6.4000000000000001E-2</v>
      </c>
      <c r="M3990" s="508">
        <v>6.3E-2</v>
      </c>
      <c r="N3990" s="508">
        <v>6.4000000000000001E-2</v>
      </c>
      <c r="O3990" s="508">
        <v>5.3999999999999999E-2</v>
      </c>
      <c r="P3990" s="508">
        <v>3.7999999999999999E-2</v>
      </c>
      <c r="Q3990" s="508">
        <v>3.9E-2</v>
      </c>
      <c r="R3990" s="508">
        <v>3.3000000000000002E-2</v>
      </c>
      <c r="S3990" s="508">
        <v>3.1E-2</v>
      </c>
      <c r="T3990" s="508">
        <v>0.03</v>
      </c>
      <c r="U3990" s="508">
        <v>1.7999999999999999E-2</v>
      </c>
      <c r="V3990" s="508">
        <v>1.6E-2</v>
      </c>
      <c r="W3990" s="508">
        <v>1.6E-2</v>
      </c>
      <c r="X3990" s="508">
        <v>1.0999999999999999E-2</v>
      </c>
      <c r="Y3990" s="508">
        <v>1.0999999999999999E-2</v>
      </c>
      <c r="Z3990" s="508">
        <v>8.9999999999999993E-3</v>
      </c>
      <c r="AA3990" s="508">
        <v>8.9999999999999993E-3</v>
      </c>
      <c r="AB3990" s="508">
        <v>8.0000000000000002E-3</v>
      </c>
      <c r="AC3990" s="508">
        <v>8.0000000000000002E-3</v>
      </c>
      <c r="AD3990" s="508">
        <v>7.0000000000000001E-3</v>
      </c>
      <c r="AE3990" s="508">
        <v>7.0000000000000001E-3</v>
      </c>
      <c r="AF3990" s="508">
        <v>4.0000000000000001E-3</v>
      </c>
      <c r="AG3990" s="508">
        <v>4.0000000000000001E-3</v>
      </c>
      <c r="AH3990" s="508">
        <v>4.0000000000000001E-3</v>
      </c>
      <c r="AI3990" s="492">
        <v>4.0000000000000001E-3</v>
      </c>
      <c r="AJ3990" s="485"/>
    </row>
    <row r="3991" spans="2:36">
      <c r="B3991" s="136" t="s">
        <v>478</v>
      </c>
      <c r="C3991" s="132" t="s">
        <v>1369</v>
      </c>
      <c r="D3991" s="132" t="s">
        <v>284</v>
      </c>
      <c r="E3991" s="508">
        <v>0.13500000000000001</v>
      </c>
      <c r="F3991" s="508">
        <v>0.129</v>
      </c>
      <c r="G3991" s="508">
        <v>0.128</v>
      </c>
      <c r="H3991" s="508">
        <v>0.105</v>
      </c>
      <c r="I3991" s="508">
        <v>0.106</v>
      </c>
      <c r="J3991" s="508">
        <v>0.11</v>
      </c>
      <c r="K3991" s="508">
        <v>6.9000000000000006E-2</v>
      </c>
      <c r="L3991" s="508">
        <v>6.9000000000000006E-2</v>
      </c>
      <c r="M3991" s="508">
        <v>6.8000000000000005E-2</v>
      </c>
      <c r="N3991" s="508">
        <v>6.6000000000000003E-2</v>
      </c>
      <c r="O3991" s="508">
        <v>5.8000000000000003E-2</v>
      </c>
      <c r="P3991" s="508">
        <v>4.1000000000000002E-2</v>
      </c>
      <c r="Q3991" s="508">
        <v>4.1000000000000002E-2</v>
      </c>
      <c r="R3991" s="508">
        <v>3.5999999999999997E-2</v>
      </c>
      <c r="S3991" s="508">
        <v>3.4000000000000002E-2</v>
      </c>
      <c r="T3991" s="508">
        <v>3.3000000000000002E-2</v>
      </c>
      <c r="U3991" s="508">
        <v>0.02</v>
      </c>
      <c r="V3991" s="508">
        <v>1.7000000000000001E-2</v>
      </c>
      <c r="W3991" s="508">
        <v>1.7000000000000001E-2</v>
      </c>
      <c r="X3991" s="508">
        <v>1.0999999999999999E-2</v>
      </c>
      <c r="Y3991" s="508">
        <v>1.0999999999999999E-2</v>
      </c>
      <c r="Z3991" s="508">
        <v>8.9999999999999993E-3</v>
      </c>
      <c r="AA3991" s="508">
        <v>8.9999999999999993E-3</v>
      </c>
      <c r="AB3991" s="508">
        <v>8.0000000000000002E-3</v>
      </c>
      <c r="AC3991" s="508">
        <v>7.0000000000000001E-3</v>
      </c>
      <c r="AD3991" s="508">
        <v>7.0000000000000001E-3</v>
      </c>
      <c r="AE3991" s="508">
        <v>6.0000000000000001E-3</v>
      </c>
      <c r="AF3991" s="508">
        <v>4.0000000000000001E-3</v>
      </c>
      <c r="AG3991" s="508">
        <v>4.0000000000000001E-3</v>
      </c>
      <c r="AH3991" s="508">
        <v>4.0000000000000001E-3</v>
      </c>
      <c r="AI3991" s="492">
        <v>4.0000000000000001E-3</v>
      </c>
      <c r="AJ3991" s="485"/>
    </row>
    <row r="3992" spans="2:36">
      <c r="B3992" s="136" t="s">
        <v>479</v>
      </c>
      <c r="C3992" s="132" t="s">
        <v>1369</v>
      </c>
      <c r="D3992" s="132" t="s">
        <v>284</v>
      </c>
      <c r="E3992" s="508">
        <v>8.2000000000000003E-2</v>
      </c>
      <c r="F3992" s="508">
        <v>7.8E-2</v>
      </c>
      <c r="G3992" s="508">
        <v>7.6999999999999999E-2</v>
      </c>
      <c r="H3992" s="508">
        <v>6.5000000000000002E-2</v>
      </c>
      <c r="I3992" s="508">
        <v>6.5000000000000002E-2</v>
      </c>
      <c r="J3992" s="508">
        <v>6.9000000000000006E-2</v>
      </c>
      <c r="K3992" s="508">
        <v>4.1000000000000002E-2</v>
      </c>
      <c r="L3992" s="508">
        <v>4.1000000000000002E-2</v>
      </c>
      <c r="M3992" s="508">
        <v>0.04</v>
      </c>
      <c r="N3992" s="508">
        <v>4.2999999999999997E-2</v>
      </c>
      <c r="O3992" s="508">
        <v>3.5000000000000003E-2</v>
      </c>
      <c r="P3992" s="508">
        <v>2.4E-2</v>
      </c>
      <c r="Q3992" s="508">
        <v>2.5999999999999999E-2</v>
      </c>
      <c r="R3992" s="508">
        <v>2.1999999999999999E-2</v>
      </c>
      <c r="S3992" s="508">
        <v>0.02</v>
      </c>
      <c r="T3992" s="508">
        <v>0.02</v>
      </c>
      <c r="U3992" s="508">
        <v>1.2999999999999999E-2</v>
      </c>
      <c r="V3992" s="508">
        <v>1.0999999999999999E-2</v>
      </c>
      <c r="W3992" s="508">
        <v>1.0999999999999999E-2</v>
      </c>
      <c r="X3992" s="508">
        <v>0.01</v>
      </c>
      <c r="Y3992" s="508">
        <v>0.01</v>
      </c>
      <c r="Z3992" s="508">
        <v>8.0000000000000002E-3</v>
      </c>
      <c r="AA3992" s="508">
        <v>8.0000000000000002E-3</v>
      </c>
      <c r="AB3992" s="508">
        <v>7.0000000000000001E-3</v>
      </c>
      <c r="AC3992" s="508">
        <v>7.0000000000000001E-3</v>
      </c>
      <c r="AD3992" s="508">
        <v>6.0000000000000001E-3</v>
      </c>
      <c r="AE3992" s="508">
        <v>6.0000000000000001E-3</v>
      </c>
      <c r="AF3992" s="508">
        <v>4.0000000000000001E-3</v>
      </c>
      <c r="AG3992" s="508">
        <v>4.0000000000000001E-3</v>
      </c>
      <c r="AH3992" s="508">
        <v>4.0000000000000001E-3</v>
      </c>
      <c r="AI3992" s="492">
        <v>4.0000000000000001E-3</v>
      </c>
      <c r="AJ3992" s="485"/>
    </row>
    <row r="3993" spans="2:36">
      <c r="B3993" s="136" t="s">
        <v>480</v>
      </c>
      <c r="C3993" s="132" t="s">
        <v>1369</v>
      </c>
      <c r="D3993" s="132" t="s">
        <v>284</v>
      </c>
      <c r="E3993" s="508">
        <v>0.14899999999999999</v>
      </c>
      <c r="F3993" s="508">
        <v>0.14299999999999999</v>
      </c>
      <c r="G3993" s="508">
        <v>0.14099999999999999</v>
      </c>
      <c r="H3993" s="508">
        <v>0.11799999999999999</v>
      </c>
      <c r="I3993" s="508">
        <v>0.11799999999999999</v>
      </c>
      <c r="J3993" s="508">
        <v>0.127</v>
      </c>
      <c r="K3993" s="508">
        <v>7.3999999999999996E-2</v>
      </c>
      <c r="L3993" s="508">
        <v>7.2999999999999995E-2</v>
      </c>
      <c r="M3993" s="508">
        <v>7.2999999999999995E-2</v>
      </c>
      <c r="N3993" s="508">
        <v>7.9000000000000001E-2</v>
      </c>
      <c r="O3993" s="508">
        <v>6.5000000000000002E-2</v>
      </c>
      <c r="P3993" s="508">
        <v>4.2999999999999997E-2</v>
      </c>
      <c r="Q3993" s="508">
        <v>4.7E-2</v>
      </c>
      <c r="R3993" s="508">
        <v>3.9E-2</v>
      </c>
      <c r="S3993" s="508">
        <v>3.5000000000000003E-2</v>
      </c>
      <c r="T3993" s="508">
        <v>3.5000000000000003E-2</v>
      </c>
      <c r="U3993" s="508">
        <v>2.1000000000000001E-2</v>
      </c>
      <c r="V3993" s="508">
        <v>1.9E-2</v>
      </c>
      <c r="W3993" s="508">
        <v>1.9E-2</v>
      </c>
      <c r="X3993" s="508">
        <v>1.2E-2</v>
      </c>
      <c r="Y3993" s="508">
        <v>1.2E-2</v>
      </c>
      <c r="Z3993" s="508">
        <v>8.9999999999999993E-3</v>
      </c>
      <c r="AA3993" s="508">
        <v>8.9999999999999993E-3</v>
      </c>
      <c r="AB3993" s="508">
        <v>8.0000000000000002E-3</v>
      </c>
      <c r="AC3993" s="508">
        <v>8.0000000000000002E-3</v>
      </c>
      <c r="AD3993" s="508">
        <v>7.0000000000000001E-3</v>
      </c>
      <c r="AE3993" s="508">
        <v>7.0000000000000001E-3</v>
      </c>
      <c r="AF3993" s="508">
        <v>4.0000000000000001E-3</v>
      </c>
      <c r="AG3993" s="508">
        <v>4.0000000000000001E-3</v>
      </c>
      <c r="AH3993" s="508">
        <v>4.0000000000000001E-3</v>
      </c>
      <c r="AI3993" s="492">
        <v>4.0000000000000001E-3</v>
      </c>
      <c r="AJ3993" s="485"/>
    </row>
    <row r="3994" spans="2:36">
      <c r="B3994" s="136" t="s">
        <v>481</v>
      </c>
      <c r="C3994" s="132" t="s">
        <v>1369</v>
      </c>
      <c r="D3994" s="132" t="s">
        <v>284</v>
      </c>
      <c r="E3994" s="508">
        <v>9.6000000000000002E-2</v>
      </c>
      <c r="F3994" s="508">
        <v>9.1999999999999998E-2</v>
      </c>
      <c r="G3994" s="508">
        <v>9.0999999999999998E-2</v>
      </c>
      <c r="H3994" s="508">
        <v>7.5999999999999998E-2</v>
      </c>
      <c r="I3994" s="508">
        <v>7.5999999999999998E-2</v>
      </c>
      <c r="J3994" s="508">
        <v>0.08</v>
      </c>
      <c r="K3994" s="508">
        <v>4.8000000000000001E-2</v>
      </c>
      <c r="L3994" s="508">
        <v>4.8000000000000001E-2</v>
      </c>
      <c r="M3994" s="508">
        <v>4.8000000000000001E-2</v>
      </c>
      <c r="N3994" s="508">
        <v>4.9000000000000002E-2</v>
      </c>
      <c r="O3994" s="508">
        <v>4.1000000000000002E-2</v>
      </c>
      <c r="P3994" s="508">
        <v>2.9000000000000001E-2</v>
      </c>
      <c r="Q3994" s="508">
        <v>0.03</v>
      </c>
      <c r="R3994" s="508">
        <v>2.5999999999999999E-2</v>
      </c>
      <c r="S3994" s="508">
        <v>2.4E-2</v>
      </c>
      <c r="T3994" s="508">
        <v>2.3E-2</v>
      </c>
      <c r="U3994" s="508">
        <v>1.4E-2</v>
      </c>
      <c r="V3994" s="508">
        <v>1.2E-2</v>
      </c>
      <c r="W3994" s="508">
        <v>1.2999999999999999E-2</v>
      </c>
      <c r="X3994" s="508">
        <v>0.01</v>
      </c>
      <c r="Y3994" s="508">
        <v>0.01</v>
      </c>
      <c r="Z3994" s="508">
        <v>8.0000000000000002E-3</v>
      </c>
      <c r="AA3994" s="508">
        <v>8.0000000000000002E-3</v>
      </c>
      <c r="AB3994" s="508">
        <v>7.0000000000000001E-3</v>
      </c>
      <c r="AC3994" s="508">
        <v>7.0000000000000001E-3</v>
      </c>
      <c r="AD3994" s="508">
        <v>6.0000000000000001E-3</v>
      </c>
      <c r="AE3994" s="508">
        <v>6.0000000000000001E-3</v>
      </c>
      <c r="AF3994" s="508">
        <v>4.0000000000000001E-3</v>
      </c>
      <c r="AG3994" s="508">
        <v>4.0000000000000001E-3</v>
      </c>
      <c r="AH3994" s="508">
        <v>4.0000000000000001E-3</v>
      </c>
      <c r="AI3994" s="492">
        <v>4.0000000000000001E-3</v>
      </c>
      <c r="AJ3994" s="485"/>
    </row>
    <row r="3995" spans="2:36">
      <c r="B3995" s="136" t="s">
        <v>482</v>
      </c>
      <c r="C3995" s="132" t="s">
        <v>1369</v>
      </c>
      <c r="D3995" s="132" t="s">
        <v>284</v>
      </c>
      <c r="E3995" s="508">
        <v>7.0000000000000007E-2</v>
      </c>
      <c r="F3995" s="508">
        <v>6.8000000000000005E-2</v>
      </c>
      <c r="G3995" s="508">
        <v>6.7000000000000004E-2</v>
      </c>
      <c r="H3995" s="508">
        <v>5.5E-2</v>
      </c>
      <c r="I3995" s="508">
        <v>5.5E-2</v>
      </c>
      <c r="J3995" s="508">
        <v>5.8999999999999997E-2</v>
      </c>
      <c r="K3995" s="508">
        <v>3.5000000000000003E-2</v>
      </c>
      <c r="L3995" s="508">
        <v>3.5000000000000003E-2</v>
      </c>
      <c r="M3995" s="508">
        <v>3.5000000000000003E-2</v>
      </c>
      <c r="N3995" s="508">
        <v>3.5999999999999997E-2</v>
      </c>
      <c r="O3995" s="508">
        <v>3.1E-2</v>
      </c>
      <c r="P3995" s="508">
        <v>2.1000000000000001E-2</v>
      </c>
      <c r="Q3995" s="508">
        <v>2.1999999999999999E-2</v>
      </c>
      <c r="R3995" s="508">
        <v>1.9E-2</v>
      </c>
      <c r="S3995" s="508">
        <v>1.7999999999999999E-2</v>
      </c>
      <c r="T3995" s="508">
        <v>1.7999999999999999E-2</v>
      </c>
      <c r="U3995" s="508">
        <v>1.0999999999999999E-2</v>
      </c>
      <c r="V3995" s="508">
        <v>8.9999999999999993E-3</v>
      </c>
      <c r="W3995" s="508">
        <v>0.01</v>
      </c>
      <c r="X3995" s="508">
        <v>8.9999999999999993E-3</v>
      </c>
      <c r="Y3995" s="508">
        <v>8.9999999999999993E-3</v>
      </c>
      <c r="Z3995" s="508">
        <v>7.0000000000000001E-3</v>
      </c>
      <c r="AA3995" s="508">
        <v>7.0000000000000001E-3</v>
      </c>
      <c r="AB3995" s="508">
        <v>6.0000000000000001E-3</v>
      </c>
      <c r="AC3995" s="508">
        <v>6.0000000000000001E-3</v>
      </c>
      <c r="AD3995" s="508">
        <v>6.0000000000000001E-3</v>
      </c>
      <c r="AE3995" s="508">
        <v>6.0000000000000001E-3</v>
      </c>
      <c r="AF3995" s="508">
        <v>4.0000000000000001E-3</v>
      </c>
      <c r="AG3995" s="508">
        <v>4.0000000000000001E-3</v>
      </c>
      <c r="AH3995" s="508">
        <v>4.0000000000000001E-3</v>
      </c>
      <c r="AI3995" s="492">
        <v>4.0000000000000001E-3</v>
      </c>
      <c r="AJ3995" s="485"/>
    </row>
    <row r="3996" spans="2:36">
      <c r="B3996" s="136" t="s">
        <v>483</v>
      </c>
      <c r="C3996" s="132" t="s">
        <v>1369</v>
      </c>
      <c r="D3996" s="132" t="s">
        <v>284</v>
      </c>
      <c r="E3996" s="508">
        <v>0.129</v>
      </c>
      <c r="F3996" s="508">
        <v>0.123</v>
      </c>
      <c r="G3996" s="508">
        <v>0.121</v>
      </c>
      <c r="H3996" s="508">
        <v>0.1</v>
      </c>
      <c r="I3996" s="508">
        <v>0.10100000000000001</v>
      </c>
      <c r="J3996" s="508">
        <v>0.104</v>
      </c>
      <c r="K3996" s="508">
        <v>6.6000000000000003E-2</v>
      </c>
      <c r="L3996" s="508">
        <v>6.5000000000000002E-2</v>
      </c>
      <c r="M3996" s="508">
        <v>6.5000000000000002E-2</v>
      </c>
      <c r="N3996" s="508">
        <v>6.4000000000000001E-2</v>
      </c>
      <c r="O3996" s="508">
        <v>5.5E-2</v>
      </c>
      <c r="P3996" s="508">
        <v>3.9E-2</v>
      </c>
      <c r="Q3996" s="508">
        <v>3.9E-2</v>
      </c>
      <c r="R3996" s="508">
        <v>3.4000000000000002E-2</v>
      </c>
      <c r="S3996" s="508">
        <v>3.2000000000000001E-2</v>
      </c>
      <c r="T3996" s="508">
        <v>3.1E-2</v>
      </c>
      <c r="U3996" s="508">
        <v>1.7999999999999999E-2</v>
      </c>
      <c r="V3996" s="508">
        <v>1.6E-2</v>
      </c>
      <c r="W3996" s="508">
        <v>1.6E-2</v>
      </c>
      <c r="X3996" s="508">
        <v>1.0999999999999999E-2</v>
      </c>
      <c r="Y3996" s="508">
        <v>0.01</v>
      </c>
      <c r="Z3996" s="508">
        <v>8.9999999999999993E-3</v>
      </c>
      <c r="AA3996" s="508">
        <v>8.0000000000000002E-3</v>
      </c>
      <c r="AB3996" s="508">
        <v>7.0000000000000001E-3</v>
      </c>
      <c r="AC3996" s="508">
        <v>7.0000000000000001E-3</v>
      </c>
      <c r="AD3996" s="508">
        <v>6.0000000000000001E-3</v>
      </c>
      <c r="AE3996" s="508">
        <v>6.0000000000000001E-3</v>
      </c>
      <c r="AF3996" s="508">
        <v>4.0000000000000001E-3</v>
      </c>
      <c r="AG3996" s="508">
        <v>4.0000000000000001E-3</v>
      </c>
      <c r="AH3996" s="508">
        <v>4.0000000000000001E-3</v>
      </c>
      <c r="AI3996" s="492">
        <v>4.0000000000000001E-3</v>
      </c>
      <c r="AJ3996" s="485"/>
    </row>
    <row r="3997" spans="2:36">
      <c r="B3997" s="136" t="s">
        <v>484</v>
      </c>
      <c r="C3997" s="132" t="s">
        <v>1369</v>
      </c>
      <c r="D3997" s="132" t="s">
        <v>284</v>
      </c>
      <c r="E3997" s="508">
        <v>0.157</v>
      </c>
      <c r="F3997" s="508">
        <v>0.14899999999999999</v>
      </c>
      <c r="G3997" s="508">
        <v>0.14799999999999999</v>
      </c>
      <c r="H3997" s="508">
        <v>0.124</v>
      </c>
      <c r="I3997" s="508">
        <v>0.125</v>
      </c>
      <c r="J3997" s="508">
        <v>0.13300000000000001</v>
      </c>
      <c r="K3997" s="508">
        <v>7.8E-2</v>
      </c>
      <c r="L3997" s="508">
        <v>7.8E-2</v>
      </c>
      <c r="M3997" s="508">
        <v>7.6999999999999999E-2</v>
      </c>
      <c r="N3997" s="508">
        <v>8.4000000000000005E-2</v>
      </c>
      <c r="O3997" s="508">
        <v>6.7000000000000004E-2</v>
      </c>
      <c r="P3997" s="508">
        <v>4.4999999999999998E-2</v>
      </c>
      <c r="Q3997" s="508">
        <v>4.9000000000000002E-2</v>
      </c>
      <c r="R3997" s="508">
        <v>4.1000000000000002E-2</v>
      </c>
      <c r="S3997" s="508">
        <v>3.5999999999999997E-2</v>
      </c>
      <c r="T3997" s="508">
        <v>3.5999999999999997E-2</v>
      </c>
      <c r="U3997" s="508">
        <v>2.1999999999999999E-2</v>
      </c>
      <c r="V3997" s="508">
        <v>2.1000000000000001E-2</v>
      </c>
      <c r="W3997" s="508">
        <v>2.1000000000000001E-2</v>
      </c>
      <c r="X3997" s="508">
        <v>1.2999999999999999E-2</v>
      </c>
      <c r="Y3997" s="508">
        <v>1.2999999999999999E-2</v>
      </c>
      <c r="Z3997" s="508">
        <v>0.01</v>
      </c>
      <c r="AA3997" s="508">
        <v>0.01</v>
      </c>
      <c r="AB3997" s="508">
        <v>8.9999999999999993E-3</v>
      </c>
      <c r="AC3997" s="508">
        <v>8.9999999999999993E-3</v>
      </c>
      <c r="AD3997" s="508">
        <v>8.0000000000000002E-3</v>
      </c>
      <c r="AE3997" s="508">
        <v>7.0000000000000001E-3</v>
      </c>
      <c r="AF3997" s="508">
        <v>5.0000000000000001E-3</v>
      </c>
      <c r="AG3997" s="508">
        <v>4.0000000000000001E-3</v>
      </c>
      <c r="AH3997" s="508">
        <v>4.0000000000000001E-3</v>
      </c>
      <c r="AI3997" s="492">
        <v>4.0000000000000001E-3</v>
      </c>
      <c r="AJ3997" s="485"/>
    </row>
    <row r="3998" spans="2:36">
      <c r="B3998" s="136" t="s">
        <v>486</v>
      </c>
      <c r="C3998" s="132" t="s">
        <v>1369</v>
      </c>
      <c r="D3998" s="132" t="s">
        <v>284</v>
      </c>
      <c r="E3998" s="508">
        <v>0.104</v>
      </c>
      <c r="F3998" s="508">
        <v>0.1</v>
      </c>
      <c r="G3998" s="508">
        <v>9.9000000000000005E-2</v>
      </c>
      <c r="H3998" s="508">
        <v>8.2000000000000003E-2</v>
      </c>
      <c r="I3998" s="508">
        <v>8.2000000000000003E-2</v>
      </c>
      <c r="J3998" s="508">
        <v>8.6999999999999994E-2</v>
      </c>
      <c r="K3998" s="508">
        <v>5.2999999999999999E-2</v>
      </c>
      <c r="L3998" s="508">
        <v>5.1999999999999998E-2</v>
      </c>
      <c r="M3998" s="508">
        <v>5.1999999999999998E-2</v>
      </c>
      <c r="N3998" s="508">
        <v>5.2999999999999999E-2</v>
      </c>
      <c r="O3998" s="508">
        <v>4.4999999999999998E-2</v>
      </c>
      <c r="P3998" s="508">
        <v>3.1E-2</v>
      </c>
      <c r="Q3998" s="508">
        <v>3.2000000000000001E-2</v>
      </c>
      <c r="R3998" s="508">
        <v>2.8000000000000001E-2</v>
      </c>
      <c r="S3998" s="508">
        <v>2.5999999999999999E-2</v>
      </c>
      <c r="T3998" s="508">
        <v>2.5000000000000001E-2</v>
      </c>
      <c r="U3998" s="508">
        <v>1.6E-2</v>
      </c>
      <c r="V3998" s="508">
        <v>1.4E-2</v>
      </c>
      <c r="W3998" s="508">
        <v>1.4E-2</v>
      </c>
      <c r="X3998" s="508">
        <v>0.01</v>
      </c>
      <c r="Y3998" s="508">
        <v>0.01</v>
      </c>
      <c r="Z3998" s="508">
        <v>8.0000000000000002E-3</v>
      </c>
      <c r="AA3998" s="508">
        <v>8.0000000000000002E-3</v>
      </c>
      <c r="AB3998" s="508">
        <v>7.0000000000000001E-3</v>
      </c>
      <c r="AC3998" s="508">
        <v>7.0000000000000001E-3</v>
      </c>
      <c r="AD3998" s="508">
        <v>6.0000000000000001E-3</v>
      </c>
      <c r="AE3998" s="508">
        <v>6.0000000000000001E-3</v>
      </c>
      <c r="AF3998" s="508">
        <v>4.0000000000000001E-3</v>
      </c>
      <c r="AG3998" s="508">
        <v>4.0000000000000001E-3</v>
      </c>
      <c r="AH3998" s="508">
        <v>4.0000000000000001E-3</v>
      </c>
      <c r="AI3998" s="492">
        <v>4.0000000000000001E-3</v>
      </c>
      <c r="AJ3998" s="485"/>
    </row>
    <row r="3999" spans="2:36">
      <c r="B3999" s="136" t="s">
        <v>487</v>
      </c>
      <c r="C3999" s="132" t="s">
        <v>1369</v>
      </c>
      <c r="D3999" s="132" t="s">
        <v>284</v>
      </c>
      <c r="E3999" s="508">
        <v>0.13500000000000001</v>
      </c>
      <c r="F3999" s="508">
        <v>0.13</v>
      </c>
      <c r="G3999" s="508">
        <v>0.129</v>
      </c>
      <c r="H3999" s="508">
        <v>0.106</v>
      </c>
      <c r="I3999" s="508">
        <v>0.106</v>
      </c>
      <c r="J3999" s="508">
        <v>0.112</v>
      </c>
      <c r="K3999" s="508">
        <v>6.9000000000000006E-2</v>
      </c>
      <c r="L3999" s="508">
        <v>6.8000000000000005E-2</v>
      </c>
      <c r="M3999" s="508">
        <v>6.8000000000000005E-2</v>
      </c>
      <c r="N3999" s="508">
        <v>6.8000000000000005E-2</v>
      </c>
      <c r="O3999" s="508">
        <v>5.8000000000000003E-2</v>
      </c>
      <c r="P3999" s="508">
        <v>4.1000000000000002E-2</v>
      </c>
      <c r="Q3999" s="508">
        <v>4.2000000000000003E-2</v>
      </c>
      <c r="R3999" s="508">
        <v>3.5999999999999997E-2</v>
      </c>
      <c r="S3999" s="508">
        <v>3.4000000000000002E-2</v>
      </c>
      <c r="T3999" s="508">
        <v>3.3000000000000002E-2</v>
      </c>
      <c r="U3999" s="508">
        <v>1.9E-2</v>
      </c>
      <c r="V3999" s="508">
        <v>1.7000000000000001E-2</v>
      </c>
      <c r="W3999" s="508">
        <v>1.7000000000000001E-2</v>
      </c>
      <c r="X3999" s="508">
        <v>1.0999999999999999E-2</v>
      </c>
      <c r="Y3999" s="508">
        <v>1.0999999999999999E-2</v>
      </c>
      <c r="Z3999" s="508">
        <v>8.9999999999999993E-3</v>
      </c>
      <c r="AA3999" s="508">
        <v>8.9999999999999993E-3</v>
      </c>
      <c r="AB3999" s="508">
        <v>8.0000000000000002E-3</v>
      </c>
      <c r="AC3999" s="508">
        <v>7.0000000000000001E-3</v>
      </c>
      <c r="AD3999" s="508">
        <v>7.0000000000000001E-3</v>
      </c>
      <c r="AE3999" s="508">
        <v>6.0000000000000001E-3</v>
      </c>
      <c r="AF3999" s="508">
        <v>4.0000000000000001E-3</v>
      </c>
      <c r="AG3999" s="508">
        <v>4.0000000000000001E-3</v>
      </c>
      <c r="AH3999" s="508">
        <v>4.0000000000000001E-3</v>
      </c>
      <c r="AI3999" s="492">
        <v>4.0000000000000001E-3</v>
      </c>
      <c r="AJ3999" s="485"/>
    </row>
    <row r="4000" spans="2:36">
      <c r="B4000" s="136" t="s">
        <v>488</v>
      </c>
      <c r="C4000" s="132" t="s">
        <v>1369</v>
      </c>
      <c r="D4000" s="132" t="s">
        <v>284</v>
      </c>
      <c r="E4000" s="508">
        <v>0.11600000000000001</v>
      </c>
      <c r="F4000" s="508">
        <v>0.111</v>
      </c>
      <c r="G4000" s="508">
        <v>0.11</v>
      </c>
      <c r="H4000" s="508">
        <v>9.1999999999999998E-2</v>
      </c>
      <c r="I4000" s="508">
        <v>9.1999999999999998E-2</v>
      </c>
      <c r="J4000" s="508">
        <v>9.9000000000000005E-2</v>
      </c>
      <c r="K4000" s="508">
        <v>5.8000000000000003E-2</v>
      </c>
      <c r="L4000" s="508">
        <v>5.7000000000000002E-2</v>
      </c>
      <c r="M4000" s="508">
        <v>5.7000000000000002E-2</v>
      </c>
      <c r="N4000" s="508">
        <v>6.0999999999999999E-2</v>
      </c>
      <c r="O4000" s="508">
        <v>0.05</v>
      </c>
      <c r="P4000" s="508">
        <v>3.4000000000000002E-2</v>
      </c>
      <c r="Q4000" s="508">
        <v>3.6999999999999998E-2</v>
      </c>
      <c r="R4000" s="508">
        <v>3.1E-2</v>
      </c>
      <c r="S4000" s="508">
        <v>2.8000000000000001E-2</v>
      </c>
      <c r="T4000" s="508">
        <v>2.8000000000000001E-2</v>
      </c>
      <c r="U4000" s="508">
        <v>1.6E-2</v>
      </c>
      <c r="V4000" s="508">
        <v>1.4999999999999999E-2</v>
      </c>
      <c r="W4000" s="508">
        <v>1.4999999999999999E-2</v>
      </c>
      <c r="X4000" s="508">
        <v>0.01</v>
      </c>
      <c r="Y4000" s="508">
        <v>0.01</v>
      </c>
      <c r="Z4000" s="508">
        <v>8.0000000000000002E-3</v>
      </c>
      <c r="AA4000" s="508">
        <v>8.0000000000000002E-3</v>
      </c>
      <c r="AB4000" s="508">
        <v>7.0000000000000001E-3</v>
      </c>
      <c r="AC4000" s="508">
        <v>7.0000000000000001E-3</v>
      </c>
      <c r="AD4000" s="508">
        <v>6.0000000000000001E-3</v>
      </c>
      <c r="AE4000" s="508">
        <v>6.0000000000000001E-3</v>
      </c>
      <c r="AF4000" s="508">
        <v>4.0000000000000001E-3</v>
      </c>
      <c r="AG4000" s="508">
        <v>4.0000000000000001E-3</v>
      </c>
      <c r="AH4000" s="508">
        <v>4.0000000000000001E-3</v>
      </c>
      <c r="AI4000" s="492">
        <v>4.0000000000000001E-3</v>
      </c>
      <c r="AJ4000" s="485"/>
    </row>
    <row r="4001" spans="2:36">
      <c r="B4001" s="136" t="s">
        <v>489</v>
      </c>
      <c r="C4001" s="132" t="s">
        <v>1369</v>
      </c>
      <c r="D4001" s="132" t="s">
        <v>284</v>
      </c>
      <c r="E4001" s="508">
        <v>0.153</v>
      </c>
      <c r="F4001" s="508">
        <v>0.14499999999999999</v>
      </c>
      <c r="G4001" s="508">
        <v>0.14299999999999999</v>
      </c>
      <c r="H4001" s="508">
        <v>0.12</v>
      </c>
      <c r="I4001" s="508">
        <v>0.12</v>
      </c>
      <c r="J4001" s="508">
        <v>0.126</v>
      </c>
      <c r="K4001" s="508">
        <v>7.6999999999999999E-2</v>
      </c>
      <c r="L4001" s="508">
        <v>7.5999999999999998E-2</v>
      </c>
      <c r="M4001" s="508">
        <v>7.4999999999999997E-2</v>
      </c>
      <c r="N4001" s="508">
        <v>7.9000000000000001E-2</v>
      </c>
      <c r="O4001" s="508">
        <v>6.5000000000000002E-2</v>
      </c>
      <c r="P4001" s="508">
        <v>4.3999999999999997E-2</v>
      </c>
      <c r="Q4001" s="508">
        <v>4.7E-2</v>
      </c>
      <c r="R4001" s="508">
        <v>0.04</v>
      </c>
      <c r="S4001" s="508">
        <v>3.5999999999999997E-2</v>
      </c>
      <c r="T4001" s="508">
        <v>3.5000000000000003E-2</v>
      </c>
      <c r="U4001" s="508">
        <v>2.1000000000000001E-2</v>
      </c>
      <c r="V4001" s="508">
        <v>1.9E-2</v>
      </c>
      <c r="W4001" s="508">
        <v>1.9E-2</v>
      </c>
      <c r="X4001" s="508">
        <v>1.0999999999999999E-2</v>
      </c>
      <c r="Y4001" s="508">
        <v>1.0999999999999999E-2</v>
      </c>
      <c r="Z4001" s="508">
        <v>8.9999999999999993E-3</v>
      </c>
      <c r="AA4001" s="508">
        <v>8.9999999999999993E-3</v>
      </c>
      <c r="AB4001" s="508">
        <v>8.0000000000000002E-3</v>
      </c>
      <c r="AC4001" s="508">
        <v>8.0000000000000002E-3</v>
      </c>
      <c r="AD4001" s="508">
        <v>7.0000000000000001E-3</v>
      </c>
      <c r="AE4001" s="508">
        <v>7.0000000000000001E-3</v>
      </c>
      <c r="AF4001" s="508">
        <v>4.0000000000000001E-3</v>
      </c>
      <c r="AG4001" s="508">
        <v>4.0000000000000001E-3</v>
      </c>
      <c r="AH4001" s="508">
        <v>4.0000000000000001E-3</v>
      </c>
      <c r="AI4001" s="492">
        <v>4.0000000000000001E-3</v>
      </c>
      <c r="AJ4001" s="485"/>
    </row>
    <row r="4002" spans="2:36">
      <c r="B4002" s="136" t="s">
        <v>490</v>
      </c>
      <c r="C4002" s="132" t="s">
        <v>1369</v>
      </c>
      <c r="D4002" s="132" t="s">
        <v>284</v>
      </c>
      <c r="E4002" s="508">
        <v>0.159</v>
      </c>
      <c r="F4002" s="508">
        <v>0.152</v>
      </c>
      <c r="G4002" s="508">
        <v>0.151</v>
      </c>
      <c r="H4002" s="508">
        <v>0.125</v>
      </c>
      <c r="I4002" s="508">
        <v>0.125</v>
      </c>
      <c r="J4002" s="508">
        <v>0.13400000000000001</v>
      </c>
      <c r="K4002" s="508">
        <v>7.9000000000000001E-2</v>
      </c>
      <c r="L4002" s="508">
        <v>7.9000000000000001E-2</v>
      </c>
      <c r="M4002" s="508">
        <v>7.8E-2</v>
      </c>
      <c r="N4002" s="508">
        <v>8.3000000000000004E-2</v>
      </c>
      <c r="O4002" s="508">
        <v>6.9000000000000006E-2</v>
      </c>
      <c r="P4002" s="508">
        <v>4.5999999999999999E-2</v>
      </c>
      <c r="Q4002" s="508">
        <v>4.9000000000000002E-2</v>
      </c>
      <c r="R4002" s="508">
        <v>4.2000000000000003E-2</v>
      </c>
      <c r="S4002" s="508">
        <v>3.7999999999999999E-2</v>
      </c>
      <c r="T4002" s="508">
        <v>3.7999999999999999E-2</v>
      </c>
      <c r="U4002" s="508">
        <v>2.1000000000000001E-2</v>
      </c>
      <c r="V4002" s="508">
        <v>1.9E-2</v>
      </c>
      <c r="W4002" s="508">
        <v>1.9E-2</v>
      </c>
      <c r="X4002" s="508">
        <v>1.0999999999999999E-2</v>
      </c>
      <c r="Y4002" s="508">
        <v>1.0999999999999999E-2</v>
      </c>
      <c r="Z4002" s="508">
        <v>8.9999999999999993E-3</v>
      </c>
      <c r="AA4002" s="508">
        <v>8.9999999999999993E-3</v>
      </c>
      <c r="AB4002" s="508">
        <v>8.0000000000000002E-3</v>
      </c>
      <c r="AC4002" s="508">
        <v>8.0000000000000002E-3</v>
      </c>
      <c r="AD4002" s="508">
        <v>7.0000000000000001E-3</v>
      </c>
      <c r="AE4002" s="508">
        <v>7.0000000000000001E-3</v>
      </c>
      <c r="AF4002" s="508">
        <v>4.0000000000000001E-3</v>
      </c>
      <c r="AG4002" s="508">
        <v>4.0000000000000001E-3</v>
      </c>
      <c r="AH4002" s="508">
        <v>4.0000000000000001E-3</v>
      </c>
      <c r="AI4002" s="492">
        <v>4.0000000000000001E-3</v>
      </c>
      <c r="AJ4002" s="485"/>
    </row>
    <row r="4003" spans="2:36">
      <c r="B4003" s="136" t="s">
        <v>435</v>
      </c>
      <c r="C4003" s="132" t="s">
        <v>1370</v>
      </c>
      <c r="D4003" s="132" t="s">
        <v>284</v>
      </c>
      <c r="E4003" s="508">
        <v>2.8759999999999999</v>
      </c>
      <c r="F4003" s="508">
        <v>2.8450000000000002</v>
      </c>
      <c r="G4003" s="508">
        <v>2.7010000000000001</v>
      </c>
      <c r="H4003" s="508">
        <v>1.149</v>
      </c>
      <c r="I4003" s="508">
        <v>1.2090000000000001</v>
      </c>
      <c r="J4003" s="508">
        <v>1.147</v>
      </c>
      <c r="K4003" s="508">
        <v>1.0980000000000001</v>
      </c>
      <c r="L4003" s="508">
        <v>1.1319999999999999</v>
      </c>
      <c r="M4003" s="508">
        <v>1.1559999999999999</v>
      </c>
      <c r="N4003" s="508">
        <v>1.1859999999999999</v>
      </c>
      <c r="O4003" s="508">
        <v>1.1990000000000001</v>
      </c>
      <c r="P4003" s="508">
        <v>1.159</v>
      </c>
      <c r="Q4003" s="508">
        <v>1.1539999999999999</v>
      </c>
      <c r="R4003" s="508">
        <v>0.77600000000000002</v>
      </c>
      <c r="S4003" s="508">
        <v>0.77200000000000002</v>
      </c>
      <c r="T4003" s="508">
        <v>0.748</v>
      </c>
      <c r="U4003" s="508">
        <v>0.78500000000000003</v>
      </c>
      <c r="V4003" s="508">
        <v>0.79100000000000004</v>
      </c>
      <c r="W4003" s="508">
        <v>0.71699999999999997</v>
      </c>
      <c r="X4003" s="508">
        <v>0.71399999999999997</v>
      </c>
      <c r="Y4003" s="508">
        <v>0.71599999999999997</v>
      </c>
      <c r="Z4003" s="508">
        <v>0.71599999999999997</v>
      </c>
      <c r="AA4003" s="508">
        <v>3.7999999999999999E-2</v>
      </c>
      <c r="AB4003" s="508">
        <v>3.7999999999999999E-2</v>
      </c>
      <c r="AC4003" s="508">
        <v>3.9E-2</v>
      </c>
      <c r="AD4003" s="508">
        <v>3.5999999999999997E-2</v>
      </c>
      <c r="AE4003" s="508">
        <v>3.5999999999999997E-2</v>
      </c>
      <c r="AF4003" s="508">
        <v>2.4E-2</v>
      </c>
      <c r="AG4003" s="508">
        <v>2.3E-2</v>
      </c>
      <c r="AH4003" s="508">
        <v>2.1999999999999999E-2</v>
      </c>
      <c r="AI4003" s="492">
        <v>2.1999999999999999E-2</v>
      </c>
      <c r="AJ4003" s="485"/>
    </row>
    <row r="4004" spans="2:36">
      <c r="B4004" s="136" t="s">
        <v>436</v>
      </c>
      <c r="C4004" s="132" t="s">
        <v>1370</v>
      </c>
      <c r="D4004" s="132" t="s">
        <v>284</v>
      </c>
      <c r="E4004" s="508">
        <v>2.81</v>
      </c>
      <c r="F4004" s="508">
        <v>2.78</v>
      </c>
      <c r="G4004" s="508">
        <v>2.637</v>
      </c>
      <c r="H4004" s="508">
        <v>1.115</v>
      </c>
      <c r="I4004" s="508">
        <v>1.17</v>
      </c>
      <c r="J4004" s="508">
        <v>1.113</v>
      </c>
      <c r="K4004" s="508">
        <v>1.07</v>
      </c>
      <c r="L4004" s="508">
        <v>1.107</v>
      </c>
      <c r="M4004" s="508">
        <v>1.1319999999999999</v>
      </c>
      <c r="N4004" s="508">
        <v>1.1519999999999999</v>
      </c>
      <c r="O4004" s="508">
        <v>1.1619999999999999</v>
      </c>
      <c r="P4004" s="508">
        <v>1.129</v>
      </c>
      <c r="Q4004" s="508">
        <v>1.125</v>
      </c>
      <c r="R4004" s="508">
        <v>0.74399999999999999</v>
      </c>
      <c r="S4004" s="508">
        <v>0.74</v>
      </c>
      <c r="T4004" s="508">
        <v>0.71599999999999997</v>
      </c>
      <c r="U4004" s="508">
        <v>0.753</v>
      </c>
      <c r="V4004" s="508">
        <v>0.75900000000000001</v>
      </c>
      <c r="W4004" s="508">
        <v>0.68799999999999994</v>
      </c>
      <c r="X4004" s="508">
        <v>0.68500000000000005</v>
      </c>
      <c r="Y4004" s="508">
        <v>0.68600000000000005</v>
      </c>
      <c r="Z4004" s="508">
        <v>0.68700000000000006</v>
      </c>
      <c r="AA4004" s="508">
        <v>3.6999999999999998E-2</v>
      </c>
      <c r="AB4004" s="508">
        <v>3.6999999999999998E-2</v>
      </c>
      <c r="AC4004" s="508">
        <v>3.6999999999999998E-2</v>
      </c>
      <c r="AD4004" s="508">
        <v>3.5000000000000003E-2</v>
      </c>
      <c r="AE4004" s="508">
        <v>3.5000000000000003E-2</v>
      </c>
      <c r="AF4004" s="508">
        <v>2.3E-2</v>
      </c>
      <c r="AG4004" s="508">
        <v>2.1999999999999999E-2</v>
      </c>
      <c r="AH4004" s="508">
        <v>2.1999999999999999E-2</v>
      </c>
      <c r="AI4004" s="492">
        <v>2.1999999999999999E-2</v>
      </c>
      <c r="AJ4004" s="485"/>
    </row>
    <row r="4005" spans="2:36">
      <c r="B4005" s="136" t="s">
        <v>437</v>
      </c>
      <c r="C4005" s="132" t="s">
        <v>1370</v>
      </c>
      <c r="D4005" s="132" t="s">
        <v>284</v>
      </c>
      <c r="E4005" s="508">
        <v>2.883</v>
      </c>
      <c r="F4005" s="508">
        <v>2.8519999999999999</v>
      </c>
      <c r="G4005" s="508">
        <v>2.7069999999999999</v>
      </c>
      <c r="H4005" s="508">
        <v>1.165</v>
      </c>
      <c r="I4005" s="508">
        <v>1.222</v>
      </c>
      <c r="J4005" s="508">
        <v>1.1619999999999999</v>
      </c>
      <c r="K4005" s="508">
        <v>1.1120000000000001</v>
      </c>
      <c r="L4005" s="508">
        <v>1.1479999999999999</v>
      </c>
      <c r="M4005" s="508">
        <v>1.1719999999999999</v>
      </c>
      <c r="N4005" s="508">
        <v>1.2130000000000001</v>
      </c>
      <c r="O4005" s="508">
        <v>1.2250000000000001</v>
      </c>
      <c r="P4005" s="508">
        <v>1.1890000000000001</v>
      </c>
      <c r="Q4005" s="508">
        <v>1.1839999999999999</v>
      </c>
      <c r="R4005" s="508">
        <v>0.78200000000000003</v>
      </c>
      <c r="S4005" s="508">
        <v>0.77800000000000002</v>
      </c>
      <c r="T4005" s="508">
        <v>0.752</v>
      </c>
      <c r="U4005" s="508">
        <v>0.79100000000000004</v>
      </c>
      <c r="V4005" s="508">
        <v>0.79800000000000004</v>
      </c>
      <c r="W4005" s="508">
        <v>0.72299999999999998</v>
      </c>
      <c r="X4005" s="508">
        <v>0.72</v>
      </c>
      <c r="Y4005" s="508">
        <v>0.72199999999999998</v>
      </c>
      <c r="Z4005" s="508">
        <v>0.72199999999999998</v>
      </c>
      <c r="AA4005" s="508">
        <v>3.9E-2</v>
      </c>
      <c r="AB4005" s="508">
        <v>3.9E-2</v>
      </c>
      <c r="AC4005" s="508">
        <v>3.9E-2</v>
      </c>
      <c r="AD4005" s="508">
        <v>3.6999999999999998E-2</v>
      </c>
      <c r="AE4005" s="508">
        <v>3.6999999999999998E-2</v>
      </c>
      <c r="AF4005" s="508">
        <v>2.4E-2</v>
      </c>
      <c r="AG4005" s="508">
        <v>2.3E-2</v>
      </c>
      <c r="AH4005" s="508">
        <v>2.3E-2</v>
      </c>
      <c r="AI4005" s="492">
        <v>2.3E-2</v>
      </c>
      <c r="AJ4005" s="485"/>
    </row>
    <row r="4006" spans="2:36">
      <c r="B4006" s="136" t="s">
        <v>438</v>
      </c>
      <c r="C4006" s="132" t="s">
        <v>1370</v>
      </c>
      <c r="D4006" s="132" t="s">
        <v>284</v>
      </c>
      <c r="E4006" s="508">
        <v>2.7930000000000001</v>
      </c>
      <c r="F4006" s="508">
        <v>2.7639999999999998</v>
      </c>
      <c r="G4006" s="508">
        <v>2.621</v>
      </c>
      <c r="H4006" s="508">
        <v>1.101</v>
      </c>
      <c r="I4006" s="508">
        <v>1.155</v>
      </c>
      <c r="J4006" s="508">
        <v>1.099</v>
      </c>
      <c r="K4006" s="508">
        <v>1.0580000000000001</v>
      </c>
      <c r="L4006" s="508">
        <v>1.095</v>
      </c>
      <c r="M4006" s="508">
        <v>1.119</v>
      </c>
      <c r="N4006" s="508">
        <v>1.1319999999999999</v>
      </c>
      <c r="O4006" s="508">
        <v>1.143</v>
      </c>
      <c r="P4006" s="508">
        <v>1.1100000000000001</v>
      </c>
      <c r="Q4006" s="508">
        <v>1.1060000000000001</v>
      </c>
      <c r="R4006" s="508">
        <v>0.73399999999999999</v>
      </c>
      <c r="S4006" s="508">
        <v>0.73</v>
      </c>
      <c r="T4006" s="508">
        <v>0.70699999999999996</v>
      </c>
      <c r="U4006" s="508">
        <v>0.74199999999999999</v>
      </c>
      <c r="V4006" s="508">
        <v>0.748</v>
      </c>
      <c r="W4006" s="508">
        <v>0.67800000000000005</v>
      </c>
      <c r="X4006" s="508">
        <v>0.67600000000000005</v>
      </c>
      <c r="Y4006" s="508">
        <v>0.67700000000000005</v>
      </c>
      <c r="Z4006" s="508">
        <v>0.67800000000000005</v>
      </c>
      <c r="AA4006" s="508">
        <v>3.6999999999999998E-2</v>
      </c>
      <c r="AB4006" s="508">
        <v>3.6999999999999998E-2</v>
      </c>
      <c r="AC4006" s="508">
        <v>3.6999999999999998E-2</v>
      </c>
      <c r="AD4006" s="508">
        <v>3.5000000000000003E-2</v>
      </c>
      <c r="AE4006" s="508">
        <v>3.5000000000000003E-2</v>
      </c>
      <c r="AF4006" s="508">
        <v>2.3E-2</v>
      </c>
      <c r="AG4006" s="508">
        <v>2.1999999999999999E-2</v>
      </c>
      <c r="AH4006" s="508">
        <v>2.1000000000000001E-2</v>
      </c>
      <c r="AI4006" s="492">
        <v>2.1000000000000001E-2</v>
      </c>
      <c r="AJ4006" s="485"/>
    </row>
    <row r="4007" spans="2:36">
      <c r="B4007" s="136" t="s">
        <v>439</v>
      </c>
      <c r="C4007" s="132" t="s">
        <v>1370</v>
      </c>
      <c r="D4007" s="132" t="s">
        <v>284</v>
      </c>
      <c r="E4007" s="508">
        <v>2.8959999999999999</v>
      </c>
      <c r="F4007" s="508">
        <v>2.8650000000000002</v>
      </c>
      <c r="G4007" s="508">
        <v>2.7189999999999999</v>
      </c>
      <c r="H4007" s="508">
        <v>1.1719999999999999</v>
      </c>
      <c r="I4007" s="508">
        <v>1.23</v>
      </c>
      <c r="J4007" s="508">
        <v>1.169</v>
      </c>
      <c r="K4007" s="508">
        <v>1.117</v>
      </c>
      <c r="L4007" s="508">
        <v>1.153</v>
      </c>
      <c r="M4007" s="508">
        <v>1.177</v>
      </c>
      <c r="N4007" s="508">
        <v>1.222</v>
      </c>
      <c r="O4007" s="508">
        <v>1.234</v>
      </c>
      <c r="P4007" s="508">
        <v>1.198</v>
      </c>
      <c r="Q4007" s="508">
        <v>1.1930000000000001</v>
      </c>
      <c r="R4007" s="508">
        <v>0.78600000000000003</v>
      </c>
      <c r="S4007" s="508">
        <v>0.78200000000000003</v>
      </c>
      <c r="T4007" s="508">
        <v>0.75700000000000001</v>
      </c>
      <c r="U4007" s="508">
        <v>0.79600000000000004</v>
      </c>
      <c r="V4007" s="508">
        <v>0.80200000000000005</v>
      </c>
      <c r="W4007" s="508">
        <v>0.72699999999999998</v>
      </c>
      <c r="X4007" s="508">
        <v>0.72399999999999998</v>
      </c>
      <c r="Y4007" s="508">
        <v>0.72599999999999998</v>
      </c>
      <c r="Z4007" s="508">
        <v>0.72599999999999998</v>
      </c>
      <c r="AA4007" s="508">
        <v>3.9E-2</v>
      </c>
      <c r="AB4007" s="508">
        <v>3.9E-2</v>
      </c>
      <c r="AC4007" s="508">
        <v>3.9E-2</v>
      </c>
      <c r="AD4007" s="508">
        <v>3.6999999999999998E-2</v>
      </c>
      <c r="AE4007" s="508">
        <v>3.6999999999999998E-2</v>
      </c>
      <c r="AF4007" s="508">
        <v>2.4E-2</v>
      </c>
      <c r="AG4007" s="508">
        <v>2.3E-2</v>
      </c>
      <c r="AH4007" s="508">
        <v>2.3E-2</v>
      </c>
      <c r="AI4007" s="492">
        <v>2.3E-2</v>
      </c>
      <c r="AJ4007" s="485"/>
    </row>
    <row r="4008" spans="2:36">
      <c r="B4008" s="136" t="s">
        <v>440</v>
      </c>
      <c r="C4008" s="132" t="s">
        <v>1370</v>
      </c>
      <c r="D4008" s="132" t="s">
        <v>284</v>
      </c>
      <c r="E4008" s="508">
        <v>2.863</v>
      </c>
      <c r="F4008" s="508">
        <v>2.8330000000000002</v>
      </c>
      <c r="G4008" s="508">
        <v>2.6880000000000002</v>
      </c>
      <c r="H4008" s="508">
        <v>1.149</v>
      </c>
      <c r="I4008" s="508">
        <v>1.206</v>
      </c>
      <c r="J4008" s="508">
        <v>1.147</v>
      </c>
      <c r="K4008" s="508">
        <v>1.0980000000000001</v>
      </c>
      <c r="L4008" s="508">
        <v>1.135</v>
      </c>
      <c r="M4008" s="508">
        <v>1.159</v>
      </c>
      <c r="N4008" s="508">
        <v>1.1930000000000001</v>
      </c>
      <c r="O4008" s="508">
        <v>1.2050000000000001</v>
      </c>
      <c r="P4008" s="508">
        <v>1.169</v>
      </c>
      <c r="Q4008" s="508">
        <v>1.165</v>
      </c>
      <c r="R4008" s="508">
        <v>0.77</v>
      </c>
      <c r="S4008" s="508">
        <v>0.76600000000000001</v>
      </c>
      <c r="T4008" s="508">
        <v>0.74099999999999999</v>
      </c>
      <c r="U4008" s="508">
        <v>0.77900000000000003</v>
      </c>
      <c r="V4008" s="508">
        <v>0.78600000000000003</v>
      </c>
      <c r="W4008" s="508">
        <v>0.71199999999999997</v>
      </c>
      <c r="X4008" s="508">
        <v>0.70899999999999996</v>
      </c>
      <c r="Y4008" s="508">
        <v>0.71099999999999997</v>
      </c>
      <c r="Z4008" s="508">
        <v>0.71199999999999997</v>
      </c>
      <c r="AA4008" s="508">
        <v>3.7999999999999999E-2</v>
      </c>
      <c r="AB4008" s="508">
        <v>3.7999999999999999E-2</v>
      </c>
      <c r="AC4008" s="508">
        <v>3.9E-2</v>
      </c>
      <c r="AD4008" s="508">
        <v>3.5999999999999997E-2</v>
      </c>
      <c r="AE4008" s="508">
        <v>3.5999999999999997E-2</v>
      </c>
      <c r="AF4008" s="508">
        <v>2.4E-2</v>
      </c>
      <c r="AG4008" s="508">
        <v>2.1999999999999999E-2</v>
      </c>
      <c r="AH4008" s="508">
        <v>2.1999999999999999E-2</v>
      </c>
      <c r="AI4008" s="492">
        <v>2.1999999999999999E-2</v>
      </c>
      <c r="AJ4008" s="485"/>
    </row>
    <row r="4009" spans="2:36">
      <c r="B4009" s="136" t="s">
        <v>441</v>
      </c>
      <c r="C4009" s="132" t="s">
        <v>1370</v>
      </c>
      <c r="D4009" s="132" t="s">
        <v>284</v>
      </c>
      <c r="E4009" s="508">
        <v>2.9049999999999998</v>
      </c>
      <c r="F4009" s="508">
        <v>2.8740000000000001</v>
      </c>
      <c r="G4009" s="508">
        <v>2.7280000000000002</v>
      </c>
      <c r="H4009" s="508">
        <v>1.1779999999999999</v>
      </c>
      <c r="I4009" s="508">
        <v>1.236</v>
      </c>
      <c r="J4009" s="508">
        <v>1.1759999999999999</v>
      </c>
      <c r="K4009" s="508">
        <v>1.1220000000000001</v>
      </c>
      <c r="L4009" s="508">
        <v>1.1579999999999999</v>
      </c>
      <c r="M4009" s="508">
        <v>1.1819999999999999</v>
      </c>
      <c r="N4009" s="508">
        <v>1.23</v>
      </c>
      <c r="O4009" s="508">
        <v>1.242</v>
      </c>
      <c r="P4009" s="508">
        <v>1.206</v>
      </c>
      <c r="Q4009" s="508">
        <v>1.2010000000000001</v>
      </c>
      <c r="R4009" s="508">
        <v>0.79</v>
      </c>
      <c r="S4009" s="508">
        <v>0.78600000000000003</v>
      </c>
      <c r="T4009" s="508">
        <v>0.76</v>
      </c>
      <c r="U4009" s="508">
        <v>0.8</v>
      </c>
      <c r="V4009" s="508">
        <v>0.80600000000000005</v>
      </c>
      <c r="W4009" s="508">
        <v>0.73099999999999998</v>
      </c>
      <c r="X4009" s="508">
        <v>0.72799999999999998</v>
      </c>
      <c r="Y4009" s="508">
        <v>0.72899999999999998</v>
      </c>
      <c r="Z4009" s="508">
        <v>0.73</v>
      </c>
      <c r="AA4009" s="508">
        <v>3.9E-2</v>
      </c>
      <c r="AB4009" s="508">
        <v>3.9E-2</v>
      </c>
      <c r="AC4009" s="508">
        <v>3.9E-2</v>
      </c>
      <c r="AD4009" s="508">
        <v>3.6999999999999998E-2</v>
      </c>
      <c r="AE4009" s="508">
        <v>3.6999999999999998E-2</v>
      </c>
      <c r="AF4009" s="508">
        <v>2.4E-2</v>
      </c>
      <c r="AG4009" s="508">
        <v>2.3E-2</v>
      </c>
      <c r="AH4009" s="508">
        <v>2.3E-2</v>
      </c>
      <c r="AI4009" s="492">
        <v>2.3E-2</v>
      </c>
      <c r="AJ4009" s="485"/>
    </row>
    <row r="4010" spans="2:36">
      <c r="B4010" s="136" t="s">
        <v>443</v>
      </c>
      <c r="C4010" s="132" t="s">
        <v>1370</v>
      </c>
      <c r="D4010" s="132" t="s">
        <v>284</v>
      </c>
      <c r="E4010" s="508">
        <v>2.99</v>
      </c>
      <c r="F4010" s="508">
        <v>2.9580000000000002</v>
      </c>
      <c r="G4010" s="508">
        <v>2.8130000000000002</v>
      </c>
      <c r="H4010" s="508">
        <v>1.2150000000000001</v>
      </c>
      <c r="I4010" s="508">
        <v>1.282</v>
      </c>
      <c r="J4010" s="508">
        <v>1.212</v>
      </c>
      <c r="K4010" s="508">
        <v>1.151</v>
      </c>
      <c r="L4010" s="508">
        <v>1.1830000000000001</v>
      </c>
      <c r="M4010" s="508">
        <v>1.2050000000000001</v>
      </c>
      <c r="N4010" s="508">
        <v>1.2589999999999999</v>
      </c>
      <c r="O4010" s="508">
        <v>1.2749999999999999</v>
      </c>
      <c r="P4010" s="508">
        <v>1.2250000000000001</v>
      </c>
      <c r="Q4010" s="508">
        <v>1.2190000000000001</v>
      </c>
      <c r="R4010" s="508">
        <v>0.83299999999999996</v>
      </c>
      <c r="S4010" s="508">
        <v>0.82899999999999996</v>
      </c>
      <c r="T4010" s="508">
        <v>0.80300000000000005</v>
      </c>
      <c r="U4010" s="508">
        <v>0.84199999999999997</v>
      </c>
      <c r="V4010" s="508">
        <v>0.84899999999999998</v>
      </c>
      <c r="W4010" s="508">
        <v>0.76900000000000002</v>
      </c>
      <c r="X4010" s="508">
        <v>0.76600000000000001</v>
      </c>
      <c r="Y4010" s="508">
        <v>0.76800000000000002</v>
      </c>
      <c r="Z4010" s="508">
        <v>0.76800000000000002</v>
      </c>
      <c r="AA4010" s="508">
        <v>4.1000000000000002E-2</v>
      </c>
      <c r="AB4010" s="508">
        <v>4.1000000000000002E-2</v>
      </c>
      <c r="AC4010" s="508">
        <v>4.1000000000000002E-2</v>
      </c>
      <c r="AD4010" s="508">
        <v>3.7999999999999999E-2</v>
      </c>
      <c r="AE4010" s="508">
        <v>3.7999999999999999E-2</v>
      </c>
      <c r="AF4010" s="508">
        <v>2.5000000000000001E-2</v>
      </c>
      <c r="AG4010" s="508">
        <v>2.4E-2</v>
      </c>
      <c r="AH4010" s="508">
        <v>2.4E-2</v>
      </c>
      <c r="AI4010" s="492">
        <v>2.4E-2</v>
      </c>
      <c r="AJ4010" s="485"/>
    </row>
    <row r="4011" spans="2:36">
      <c r="B4011" s="136" t="s">
        <v>445</v>
      </c>
      <c r="C4011" s="132" t="s">
        <v>1370</v>
      </c>
      <c r="D4011" s="132" t="s">
        <v>284</v>
      </c>
      <c r="E4011" s="508">
        <v>3.1589999999999998</v>
      </c>
      <c r="F4011" s="508">
        <v>3.1240000000000001</v>
      </c>
      <c r="G4011" s="508">
        <v>2.9750000000000001</v>
      </c>
      <c r="H4011" s="508">
        <v>1.337</v>
      </c>
      <c r="I4011" s="508">
        <v>1.411</v>
      </c>
      <c r="J4011" s="508">
        <v>1.3340000000000001</v>
      </c>
      <c r="K4011" s="508">
        <v>1.256</v>
      </c>
      <c r="L4011" s="508">
        <v>1.286</v>
      </c>
      <c r="M4011" s="508">
        <v>1.306</v>
      </c>
      <c r="N4011" s="508">
        <v>1.4159999999999999</v>
      </c>
      <c r="O4011" s="508">
        <v>1.4339999999999999</v>
      </c>
      <c r="P4011" s="508">
        <v>1.3779999999999999</v>
      </c>
      <c r="Q4011" s="508">
        <v>1.371</v>
      </c>
      <c r="R4011" s="508">
        <v>0.92500000000000004</v>
      </c>
      <c r="S4011" s="508">
        <v>0.92</v>
      </c>
      <c r="T4011" s="508">
        <v>0.89100000000000001</v>
      </c>
      <c r="U4011" s="508">
        <v>0.93600000000000005</v>
      </c>
      <c r="V4011" s="508">
        <v>0.94399999999999995</v>
      </c>
      <c r="W4011" s="508">
        <v>0.85499999999999998</v>
      </c>
      <c r="X4011" s="508">
        <v>0.85199999999999998</v>
      </c>
      <c r="Y4011" s="508">
        <v>0.85299999999999998</v>
      </c>
      <c r="Z4011" s="508">
        <v>0.85399999999999998</v>
      </c>
      <c r="AA4011" s="508">
        <v>4.4999999999999998E-2</v>
      </c>
      <c r="AB4011" s="508">
        <v>4.4999999999999998E-2</v>
      </c>
      <c r="AC4011" s="508">
        <v>4.4999999999999998E-2</v>
      </c>
      <c r="AD4011" s="508">
        <v>4.2000000000000003E-2</v>
      </c>
      <c r="AE4011" s="508">
        <v>4.2000000000000003E-2</v>
      </c>
      <c r="AF4011" s="508">
        <v>2.8000000000000001E-2</v>
      </c>
      <c r="AG4011" s="508">
        <v>2.5999999999999999E-2</v>
      </c>
      <c r="AH4011" s="508">
        <v>2.5999999999999999E-2</v>
      </c>
      <c r="AI4011" s="492">
        <v>2.5999999999999999E-2</v>
      </c>
      <c r="AJ4011" s="485"/>
    </row>
    <row r="4012" spans="2:36">
      <c r="B4012" s="136" t="s">
        <v>446</v>
      </c>
      <c r="C4012" s="132" t="s">
        <v>1370</v>
      </c>
      <c r="D4012" s="132" t="s">
        <v>284</v>
      </c>
      <c r="E4012" s="508">
        <v>3.008</v>
      </c>
      <c r="F4012" s="508">
        <v>2.976</v>
      </c>
      <c r="G4012" s="508">
        <v>2.8290000000000002</v>
      </c>
      <c r="H4012" s="508">
        <v>1.2410000000000001</v>
      </c>
      <c r="I4012" s="508">
        <v>1.306</v>
      </c>
      <c r="J4012" s="508">
        <v>1.238</v>
      </c>
      <c r="K4012" s="508">
        <v>1.1759999999999999</v>
      </c>
      <c r="L4012" s="508">
        <v>1.208</v>
      </c>
      <c r="M4012" s="508">
        <v>1.23</v>
      </c>
      <c r="N4012" s="508">
        <v>1.3</v>
      </c>
      <c r="O4012" s="508">
        <v>1.3149999999999999</v>
      </c>
      <c r="P4012" s="508">
        <v>1.2689999999999999</v>
      </c>
      <c r="Q4012" s="508">
        <v>1.2629999999999999</v>
      </c>
      <c r="R4012" s="508">
        <v>0.84699999999999998</v>
      </c>
      <c r="S4012" s="508">
        <v>0.84299999999999997</v>
      </c>
      <c r="T4012" s="508">
        <v>0.81599999999999995</v>
      </c>
      <c r="U4012" s="508">
        <v>0.85699999999999998</v>
      </c>
      <c r="V4012" s="508">
        <v>0.86399999999999999</v>
      </c>
      <c r="W4012" s="508">
        <v>0.78300000000000003</v>
      </c>
      <c r="X4012" s="508">
        <v>0.78</v>
      </c>
      <c r="Y4012" s="508">
        <v>0.78100000000000003</v>
      </c>
      <c r="Z4012" s="508">
        <v>0.78200000000000003</v>
      </c>
      <c r="AA4012" s="508">
        <v>4.2000000000000003E-2</v>
      </c>
      <c r="AB4012" s="508">
        <v>4.1000000000000002E-2</v>
      </c>
      <c r="AC4012" s="508">
        <v>4.2000000000000003E-2</v>
      </c>
      <c r="AD4012" s="508">
        <v>3.9E-2</v>
      </c>
      <c r="AE4012" s="508">
        <v>3.9E-2</v>
      </c>
      <c r="AF4012" s="508">
        <v>2.5999999999999999E-2</v>
      </c>
      <c r="AG4012" s="508">
        <v>2.4E-2</v>
      </c>
      <c r="AH4012" s="508">
        <v>2.4E-2</v>
      </c>
      <c r="AI4012" s="492">
        <v>2.4E-2</v>
      </c>
      <c r="AJ4012" s="485"/>
    </row>
    <row r="4013" spans="2:36">
      <c r="B4013" s="136" t="s">
        <v>448</v>
      </c>
      <c r="C4013" s="132" t="s">
        <v>1370</v>
      </c>
      <c r="D4013" s="132" t="s">
        <v>284</v>
      </c>
      <c r="E4013" s="508">
        <v>2.8260000000000001</v>
      </c>
      <c r="F4013" s="508">
        <v>2.7959999999999998</v>
      </c>
      <c r="G4013" s="508">
        <v>2.653</v>
      </c>
      <c r="H4013" s="508">
        <v>1.1220000000000001</v>
      </c>
      <c r="I4013" s="508">
        <v>1.1779999999999999</v>
      </c>
      <c r="J4013" s="508">
        <v>1.1200000000000001</v>
      </c>
      <c r="K4013" s="508">
        <v>1.075</v>
      </c>
      <c r="L4013" s="508">
        <v>1.111</v>
      </c>
      <c r="M4013" s="508">
        <v>1.1359999999999999</v>
      </c>
      <c r="N4013" s="508">
        <v>1.157</v>
      </c>
      <c r="O4013" s="508">
        <v>1.1679999999999999</v>
      </c>
      <c r="P4013" s="508">
        <v>1.133</v>
      </c>
      <c r="Q4013" s="508">
        <v>1.129</v>
      </c>
      <c r="R4013" s="508">
        <v>0.751</v>
      </c>
      <c r="S4013" s="508">
        <v>0.747</v>
      </c>
      <c r="T4013" s="508">
        <v>0.72299999999999998</v>
      </c>
      <c r="U4013" s="508">
        <v>0.75900000000000001</v>
      </c>
      <c r="V4013" s="508">
        <v>0.76600000000000001</v>
      </c>
      <c r="W4013" s="508">
        <v>0.69399999999999995</v>
      </c>
      <c r="X4013" s="508">
        <v>0.69099999999999995</v>
      </c>
      <c r="Y4013" s="508">
        <v>0.69199999999999995</v>
      </c>
      <c r="Z4013" s="508">
        <v>0.69299999999999995</v>
      </c>
      <c r="AA4013" s="508">
        <v>3.6999999999999998E-2</v>
      </c>
      <c r="AB4013" s="508">
        <v>3.6999999999999998E-2</v>
      </c>
      <c r="AC4013" s="508">
        <v>3.7999999999999999E-2</v>
      </c>
      <c r="AD4013" s="508">
        <v>3.5000000000000003E-2</v>
      </c>
      <c r="AE4013" s="508">
        <v>3.5000000000000003E-2</v>
      </c>
      <c r="AF4013" s="508">
        <v>2.3E-2</v>
      </c>
      <c r="AG4013" s="508">
        <v>2.1999999999999999E-2</v>
      </c>
      <c r="AH4013" s="508">
        <v>2.1999999999999999E-2</v>
      </c>
      <c r="AI4013" s="492">
        <v>2.1999999999999999E-2</v>
      </c>
      <c r="AJ4013" s="485"/>
    </row>
    <row r="4014" spans="2:36">
      <c r="B4014" s="136" t="s">
        <v>449</v>
      </c>
      <c r="C4014" s="132" t="s">
        <v>1370</v>
      </c>
      <c r="D4014" s="132" t="s">
        <v>284</v>
      </c>
      <c r="E4014" s="508">
        <v>2.9969999999999999</v>
      </c>
      <c r="F4014" s="508">
        <v>2.964</v>
      </c>
      <c r="G4014" s="508">
        <v>2.8180000000000001</v>
      </c>
      <c r="H4014" s="508">
        <v>1.2250000000000001</v>
      </c>
      <c r="I4014" s="508">
        <v>1.2909999999999999</v>
      </c>
      <c r="J4014" s="508">
        <v>1.222</v>
      </c>
      <c r="K4014" s="508">
        <v>1.1599999999999999</v>
      </c>
      <c r="L4014" s="508">
        <v>1.1930000000000001</v>
      </c>
      <c r="M4014" s="508">
        <v>1.2150000000000001</v>
      </c>
      <c r="N4014" s="508">
        <v>1.2749999999999999</v>
      </c>
      <c r="O4014" s="508">
        <v>1.2909999999999999</v>
      </c>
      <c r="P4014" s="508">
        <v>1.2430000000000001</v>
      </c>
      <c r="Q4014" s="508">
        <v>1.2370000000000001</v>
      </c>
      <c r="R4014" s="508">
        <v>0.83699999999999997</v>
      </c>
      <c r="S4014" s="508">
        <v>0.83299999999999996</v>
      </c>
      <c r="T4014" s="508">
        <v>0.80700000000000005</v>
      </c>
      <c r="U4014" s="508">
        <v>0.84699999999999998</v>
      </c>
      <c r="V4014" s="508">
        <v>0.85399999999999998</v>
      </c>
      <c r="W4014" s="508">
        <v>0.77400000000000002</v>
      </c>
      <c r="X4014" s="508">
        <v>0.77100000000000002</v>
      </c>
      <c r="Y4014" s="508">
        <v>0.77200000000000002</v>
      </c>
      <c r="Z4014" s="508">
        <v>0.77300000000000002</v>
      </c>
      <c r="AA4014" s="508">
        <v>4.1000000000000002E-2</v>
      </c>
      <c r="AB4014" s="508">
        <v>4.1000000000000002E-2</v>
      </c>
      <c r="AC4014" s="508">
        <v>4.1000000000000002E-2</v>
      </c>
      <c r="AD4014" s="508">
        <v>3.9E-2</v>
      </c>
      <c r="AE4014" s="508">
        <v>3.9E-2</v>
      </c>
      <c r="AF4014" s="508">
        <v>2.5000000000000001E-2</v>
      </c>
      <c r="AG4014" s="508">
        <v>2.4E-2</v>
      </c>
      <c r="AH4014" s="508">
        <v>2.4E-2</v>
      </c>
      <c r="AI4014" s="492">
        <v>2.4E-2</v>
      </c>
      <c r="AJ4014" s="485"/>
    </row>
    <row r="4015" spans="2:36">
      <c r="B4015" s="136" t="s">
        <v>450</v>
      </c>
      <c r="C4015" s="132" t="s">
        <v>1370</v>
      </c>
      <c r="D4015" s="132" t="s">
        <v>284</v>
      </c>
      <c r="E4015" s="508">
        <v>2.8220000000000001</v>
      </c>
      <c r="F4015" s="508">
        <v>2.7919999999999998</v>
      </c>
      <c r="G4015" s="508">
        <v>2.649</v>
      </c>
      <c r="H4015" s="508">
        <v>1.1180000000000001</v>
      </c>
      <c r="I4015" s="508">
        <v>1.1739999999999999</v>
      </c>
      <c r="J4015" s="508">
        <v>1.1160000000000001</v>
      </c>
      <c r="K4015" s="508">
        <v>1.0720000000000001</v>
      </c>
      <c r="L4015" s="508">
        <v>1.1080000000000001</v>
      </c>
      <c r="M4015" s="508">
        <v>1.1319999999999999</v>
      </c>
      <c r="N4015" s="508">
        <v>1.151</v>
      </c>
      <c r="O4015" s="508">
        <v>1.1619999999999999</v>
      </c>
      <c r="P4015" s="508">
        <v>1.127</v>
      </c>
      <c r="Q4015" s="508">
        <v>1.1220000000000001</v>
      </c>
      <c r="R4015" s="508">
        <v>0.749</v>
      </c>
      <c r="S4015" s="508">
        <v>0.745</v>
      </c>
      <c r="T4015" s="508">
        <v>0.72099999999999997</v>
      </c>
      <c r="U4015" s="508">
        <v>0.75800000000000001</v>
      </c>
      <c r="V4015" s="508">
        <v>0.76400000000000001</v>
      </c>
      <c r="W4015" s="508">
        <v>0.69199999999999995</v>
      </c>
      <c r="X4015" s="508">
        <v>0.69</v>
      </c>
      <c r="Y4015" s="508">
        <v>0.69099999999999995</v>
      </c>
      <c r="Z4015" s="508">
        <v>0.69199999999999995</v>
      </c>
      <c r="AA4015" s="508">
        <v>3.6999999999999998E-2</v>
      </c>
      <c r="AB4015" s="508">
        <v>3.6999999999999998E-2</v>
      </c>
      <c r="AC4015" s="508">
        <v>3.7999999999999999E-2</v>
      </c>
      <c r="AD4015" s="508">
        <v>3.5000000000000003E-2</v>
      </c>
      <c r="AE4015" s="508">
        <v>3.5000000000000003E-2</v>
      </c>
      <c r="AF4015" s="508">
        <v>2.3E-2</v>
      </c>
      <c r="AG4015" s="508">
        <v>2.1999999999999999E-2</v>
      </c>
      <c r="AH4015" s="508">
        <v>2.1999999999999999E-2</v>
      </c>
      <c r="AI4015" s="492">
        <v>2.1999999999999999E-2</v>
      </c>
      <c r="AJ4015" s="485"/>
    </row>
    <row r="4016" spans="2:36">
      <c r="B4016" s="136" t="s">
        <v>451</v>
      </c>
      <c r="C4016" s="132" t="s">
        <v>1370</v>
      </c>
      <c r="D4016" s="132" t="s">
        <v>284</v>
      </c>
      <c r="E4016" s="508">
        <v>3.0459999999999998</v>
      </c>
      <c r="F4016" s="508">
        <v>3.012</v>
      </c>
      <c r="G4016" s="508">
        <v>2.8639999999999999</v>
      </c>
      <c r="H4016" s="508">
        <v>1.266</v>
      </c>
      <c r="I4016" s="508">
        <v>1.333</v>
      </c>
      <c r="J4016" s="508">
        <v>1.2629999999999999</v>
      </c>
      <c r="K4016" s="508">
        <v>1.1970000000000001</v>
      </c>
      <c r="L4016" s="508">
        <v>1.2290000000000001</v>
      </c>
      <c r="M4016" s="508">
        <v>1.2509999999999999</v>
      </c>
      <c r="N4016" s="508">
        <v>1.3340000000000001</v>
      </c>
      <c r="O4016" s="508">
        <v>1.3480000000000001</v>
      </c>
      <c r="P4016" s="508">
        <v>1.302</v>
      </c>
      <c r="Q4016" s="508">
        <v>1.296</v>
      </c>
      <c r="R4016" s="508">
        <v>0.86499999999999999</v>
      </c>
      <c r="S4016" s="508">
        <v>0.86099999999999999</v>
      </c>
      <c r="T4016" s="508">
        <v>0.83299999999999996</v>
      </c>
      <c r="U4016" s="508">
        <v>0.875</v>
      </c>
      <c r="V4016" s="508">
        <v>0.88300000000000001</v>
      </c>
      <c r="W4016" s="508">
        <v>0.8</v>
      </c>
      <c r="X4016" s="508">
        <v>0.79700000000000004</v>
      </c>
      <c r="Y4016" s="508">
        <v>0.79800000000000004</v>
      </c>
      <c r="Z4016" s="508">
        <v>0.79900000000000004</v>
      </c>
      <c r="AA4016" s="508">
        <v>4.2000000000000003E-2</v>
      </c>
      <c r="AB4016" s="508">
        <v>4.2000000000000003E-2</v>
      </c>
      <c r="AC4016" s="508">
        <v>4.2000000000000003E-2</v>
      </c>
      <c r="AD4016" s="508">
        <v>0.04</v>
      </c>
      <c r="AE4016" s="508">
        <v>0.04</v>
      </c>
      <c r="AF4016" s="508">
        <v>2.5999999999999999E-2</v>
      </c>
      <c r="AG4016" s="508">
        <v>2.5000000000000001E-2</v>
      </c>
      <c r="AH4016" s="508">
        <v>2.5000000000000001E-2</v>
      </c>
      <c r="AI4016" s="492">
        <v>2.5000000000000001E-2</v>
      </c>
      <c r="AJ4016" s="485"/>
    </row>
    <row r="4017" spans="2:36">
      <c r="B4017" s="136" t="s">
        <v>452</v>
      </c>
      <c r="C4017" s="132" t="s">
        <v>1370</v>
      </c>
      <c r="D4017" s="132" t="s">
        <v>284</v>
      </c>
      <c r="E4017" s="508">
        <v>2.903</v>
      </c>
      <c r="F4017" s="508">
        <v>2.8719999999999999</v>
      </c>
      <c r="G4017" s="508">
        <v>2.7280000000000002</v>
      </c>
      <c r="H4017" s="508">
        <v>1.171</v>
      </c>
      <c r="I4017" s="508">
        <v>1.2310000000000001</v>
      </c>
      <c r="J4017" s="508">
        <v>1.1679999999999999</v>
      </c>
      <c r="K4017" s="508">
        <v>1.1160000000000001</v>
      </c>
      <c r="L4017" s="508">
        <v>1.151</v>
      </c>
      <c r="M4017" s="508">
        <v>1.1739999999999999</v>
      </c>
      <c r="N4017" s="508">
        <v>1.214</v>
      </c>
      <c r="O4017" s="508">
        <v>1.2270000000000001</v>
      </c>
      <c r="P4017" s="508">
        <v>1.1870000000000001</v>
      </c>
      <c r="Q4017" s="508">
        <v>1.1819999999999999</v>
      </c>
      <c r="R4017" s="508">
        <v>0.79100000000000004</v>
      </c>
      <c r="S4017" s="508">
        <v>0.78800000000000003</v>
      </c>
      <c r="T4017" s="508">
        <v>0.76200000000000001</v>
      </c>
      <c r="U4017" s="508">
        <v>0.80100000000000005</v>
      </c>
      <c r="V4017" s="508">
        <v>0.80700000000000005</v>
      </c>
      <c r="W4017" s="508">
        <v>0.73099999999999998</v>
      </c>
      <c r="X4017" s="508">
        <v>0.72899999999999998</v>
      </c>
      <c r="Y4017" s="508">
        <v>0.73</v>
      </c>
      <c r="Z4017" s="508">
        <v>0.73099999999999998</v>
      </c>
      <c r="AA4017" s="508">
        <v>3.9E-2</v>
      </c>
      <c r="AB4017" s="508">
        <v>3.9E-2</v>
      </c>
      <c r="AC4017" s="508">
        <v>3.9E-2</v>
      </c>
      <c r="AD4017" s="508">
        <v>3.6999999999999998E-2</v>
      </c>
      <c r="AE4017" s="508">
        <v>3.6999999999999998E-2</v>
      </c>
      <c r="AF4017" s="508">
        <v>2.4E-2</v>
      </c>
      <c r="AG4017" s="508">
        <v>2.3E-2</v>
      </c>
      <c r="AH4017" s="508">
        <v>2.3E-2</v>
      </c>
      <c r="AI4017" s="492">
        <v>2.3E-2</v>
      </c>
      <c r="AJ4017" s="485"/>
    </row>
    <row r="4018" spans="2:36">
      <c r="B4018" s="136" t="s">
        <v>453</v>
      </c>
      <c r="C4018" s="132" t="s">
        <v>1370</v>
      </c>
      <c r="D4018" s="132" t="s">
        <v>284</v>
      </c>
      <c r="E4018" s="508">
        <v>2.8039999999999998</v>
      </c>
      <c r="F4018" s="508">
        <v>2.774</v>
      </c>
      <c r="G4018" s="508">
        <v>2.6309999999999998</v>
      </c>
      <c r="H4018" s="508">
        <v>1.1060000000000001</v>
      </c>
      <c r="I4018" s="508">
        <v>1.161</v>
      </c>
      <c r="J4018" s="508">
        <v>1.1040000000000001</v>
      </c>
      <c r="K4018" s="508">
        <v>1.0609999999999999</v>
      </c>
      <c r="L4018" s="508">
        <v>1.0980000000000001</v>
      </c>
      <c r="M4018" s="508">
        <v>1.1220000000000001</v>
      </c>
      <c r="N4018" s="508">
        <v>1.1359999999999999</v>
      </c>
      <c r="O4018" s="508">
        <v>1.147</v>
      </c>
      <c r="P4018" s="508">
        <v>1.1120000000000001</v>
      </c>
      <c r="Q4018" s="508">
        <v>1.1080000000000001</v>
      </c>
      <c r="R4018" s="508">
        <v>0.73899999999999999</v>
      </c>
      <c r="S4018" s="508">
        <v>0.73599999999999999</v>
      </c>
      <c r="T4018" s="508">
        <v>0.71199999999999997</v>
      </c>
      <c r="U4018" s="508">
        <v>0.748</v>
      </c>
      <c r="V4018" s="508">
        <v>0.754</v>
      </c>
      <c r="W4018" s="508">
        <v>0.68300000000000005</v>
      </c>
      <c r="X4018" s="508">
        <v>0.68100000000000005</v>
      </c>
      <c r="Y4018" s="508">
        <v>0.68200000000000005</v>
      </c>
      <c r="Z4018" s="508">
        <v>0.68300000000000005</v>
      </c>
      <c r="AA4018" s="508">
        <v>3.6999999999999998E-2</v>
      </c>
      <c r="AB4018" s="508">
        <v>3.6999999999999998E-2</v>
      </c>
      <c r="AC4018" s="508">
        <v>3.6999999999999998E-2</v>
      </c>
      <c r="AD4018" s="508">
        <v>3.5000000000000003E-2</v>
      </c>
      <c r="AE4018" s="508">
        <v>3.5000000000000003E-2</v>
      </c>
      <c r="AF4018" s="508">
        <v>2.3E-2</v>
      </c>
      <c r="AG4018" s="508">
        <v>2.1999999999999999E-2</v>
      </c>
      <c r="AH4018" s="508">
        <v>2.1000000000000001E-2</v>
      </c>
      <c r="AI4018" s="492">
        <v>2.1000000000000001E-2</v>
      </c>
      <c r="AJ4018" s="485"/>
    </row>
    <row r="4019" spans="2:36">
      <c r="B4019" s="136" t="s">
        <v>454</v>
      </c>
      <c r="C4019" s="132" t="s">
        <v>1370</v>
      </c>
      <c r="D4019" s="132" t="s">
        <v>284</v>
      </c>
      <c r="E4019" s="508">
        <v>2.83</v>
      </c>
      <c r="F4019" s="508">
        <v>2.8</v>
      </c>
      <c r="G4019" s="508">
        <v>2.657</v>
      </c>
      <c r="H4019" s="508">
        <v>1.1220000000000001</v>
      </c>
      <c r="I4019" s="508">
        <v>1.179</v>
      </c>
      <c r="J4019" s="508">
        <v>1.1200000000000001</v>
      </c>
      <c r="K4019" s="508">
        <v>1.075</v>
      </c>
      <c r="L4019" s="508">
        <v>1.111</v>
      </c>
      <c r="M4019" s="508">
        <v>1.135</v>
      </c>
      <c r="N4019" s="508">
        <v>1.1559999999999999</v>
      </c>
      <c r="O4019" s="508">
        <v>1.167</v>
      </c>
      <c r="P4019" s="508">
        <v>1.131</v>
      </c>
      <c r="Q4019" s="508">
        <v>1.127</v>
      </c>
      <c r="R4019" s="508">
        <v>0.752</v>
      </c>
      <c r="S4019" s="508">
        <v>0.748</v>
      </c>
      <c r="T4019" s="508">
        <v>0.72399999999999998</v>
      </c>
      <c r="U4019" s="508">
        <v>0.76100000000000001</v>
      </c>
      <c r="V4019" s="508">
        <v>0.76700000000000002</v>
      </c>
      <c r="W4019" s="508">
        <v>0.69499999999999995</v>
      </c>
      <c r="X4019" s="508">
        <v>0.69199999999999995</v>
      </c>
      <c r="Y4019" s="508">
        <v>0.69399999999999995</v>
      </c>
      <c r="Z4019" s="508">
        <v>0.69399999999999995</v>
      </c>
      <c r="AA4019" s="508">
        <v>3.7999999999999999E-2</v>
      </c>
      <c r="AB4019" s="508">
        <v>3.6999999999999998E-2</v>
      </c>
      <c r="AC4019" s="508">
        <v>3.7999999999999999E-2</v>
      </c>
      <c r="AD4019" s="508">
        <v>3.5999999999999997E-2</v>
      </c>
      <c r="AE4019" s="508">
        <v>3.5000000000000003E-2</v>
      </c>
      <c r="AF4019" s="508">
        <v>2.3E-2</v>
      </c>
      <c r="AG4019" s="508">
        <v>2.1999999999999999E-2</v>
      </c>
      <c r="AH4019" s="508">
        <v>2.1999999999999999E-2</v>
      </c>
      <c r="AI4019" s="492">
        <v>2.1999999999999999E-2</v>
      </c>
      <c r="AJ4019" s="485"/>
    </row>
    <row r="4020" spans="2:36">
      <c r="B4020" s="136" t="s">
        <v>455</v>
      </c>
      <c r="C4020" s="132" t="s">
        <v>1370</v>
      </c>
      <c r="D4020" s="132" t="s">
        <v>284</v>
      </c>
      <c r="E4020" s="508">
        <v>2.774</v>
      </c>
      <c r="F4020" s="508">
        <v>2.7450000000000001</v>
      </c>
      <c r="G4020" s="508">
        <v>2.6019999999999999</v>
      </c>
      <c r="H4020" s="508">
        <v>1.093</v>
      </c>
      <c r="I4020" s="508">
        <v>1.145</v>
      </c>
      <c r="J4020" s="508">
        <v>1.091</v>
      </c>
      <c r="K4020" s="508">
        <v>1.0509999999999999</v>
      </c>
      <c r="L4020" s="508">
        <v>1.089</v>
      </c>
      <c r="M4020" s="508">
        <v>1.1140000000000001</v>
      </c>
      <c r="N4020" s="508">
        <v>1.125</v>
      </c>
      <c r="O4020" s="508">
        <v>1.135</v>
      </c>
      <c r="P4020" s="508">
        <v>1.105</v>
      </c>
      <c r="Q4020" s="508">
        <v>1.101</v>
      </c>
      <c r="R4020" s="508">
        <v>0.72499999999999998</v>
      </c>
      <c r="S4020" s="508">
        <v>0.72099999999999997</v>
      </c>
      <c r="T4020" s="508">
        <v>0.69799999999999995</v>
      </c>
      <c r="U4020" s="508">
        <v>0.73399999999999999</v>
      </c>
      <c r="V4020" s="508">
        <v>0.74</v>
      </c>
      <c r="W4020" s="508">
        <v>0.67</v>
      </c>
      <c r="X4020" s="508">
        <v>0.66800000000000004</v>
      </c>
      <c r="Y4020" s="508">
        <v>0.66900000000000004</v>
      </c>
      <c r="Z4020" s="508">
        <v>0.67</v>
      </c>
      <c r="AA4020" s="508">
        <v>3.6999999999999998E-2</v>
      </c>
      <c r="AB4020" s="508">
        <v>3.5999999999999997E-2</v>
      </c>
      <c r="AC4020" s="508">
        <v>3.6999999999999998E-2</v>
      </c>
      <c r="AD4020" s="508">
        <v>3.5000000000000003E-2</v>
      </c>
      <c r="AE4020" s="508">
        <v>3.4000000000000002E-2</v>
      </c>
      <c r="AF4020" s="508">
        <v>2.1999999999999999E-2</v>
      </c>
      <c r="AG4020" s="508">
        <v>2.1000000000000001E-2</v>
      </c>
      <c r="AH4020" s="508">
        <v>2.1000000000000001E-2</v>
      </c>
      <c r="AI4020" s="492">
        <v>2.1000000000000001E-2</v>
      </c>
      <c r="AJ4020" s="485"/>
    </row>
    <row r="4021" spans="2:36">
      <c r="B4021" s="136" t="s">
        <v>456</v>
      </c>
      <c r="C4021" s="132" t="s">
        <v>1370</v>
      </c>
      <c r="D4021" s="132" t="s">
        <v>284</v>
      </c>
      <c r="E4021" s="508">
        <v>2.85</v>
      </c>
      <c r="F4021" s="508">
        <v>2.82</v>
      </c>
      <c r="G4021" s="508">
        <v>2.6760000000000002</v>
      </c>
      <c r="H4021" s="508">
        <v>1.1379999999999999</v>
      </c>
      <c r="I4021" s="508">
        <v>1.1950000000000001</v>
      </c>
      <c r="J4021" s="508">
        <v>1.135</v>
      </c>
      <c r="K4021" s="508">
        <v>1.0880000000000001</v>
      </c>
      <c r="L4021" s="508">
        <v>1.1240000000000001</v>
      </c>
      <c r="M4021" s="508">
        <v>1.1479999999999999</v>
      </c>
      <c r="N4021" s="508">
        <v>1.1759999999999999</v>
      </c>
      <c r="O4021" s="508">
        <v>1.1879999999999999</v>
      </c>
      <c r="P4021" s="508">
        <v>1.151</v>
      </c>
      <c r="Q4021" s="508">
        <v>1.147</v>
      </c>
      <c r="R4021" s="508">
        <v>0.76300000000000001</v>
      </c>
      <c r="S4021" s="508">
        <v>0.76</v>
      </c>
      <c r="T4021" s="508">
        <v>0.73499999999999999</v>
      </c>
      <c r="U4021" s="508">
        <v>0.77200000000000002</v>
      </c>
      <c r="V4021" s="508">
        <v>0.77900000000000003</v>
      </c>
      <c r="W4021" s="508">
        <v>0.70599999999999996</v>
      </c>
      <c r="X4021" s="508">
        <v>0.70299999999999996</v>
      </c>
      <c r="Y4021" s="508">
        <v>0.70399999999999996</v>
      </c>
      <c r="Z4021" s="508">
        <v>0.70499999999999996</v>
      </c>
      <c r="AA4021" s="508">
        <v>3.7999999999999999E-2</v>
      </c>
      <c r="AB4021" s="508">
        <v>3.7999999999999999E-2</v>
      </c>
      <c r="AC4021" s="508">
        <v>3.7999999999999999E-2</v>
      </c>
      <c r="AD4021" s="508">
        <v>3.5999999999999997E-2</v>
      </c>
      <c r="AE4021" s="508">
        <v>3.5999999999999997E-2</v>
      </c>
      <c r="AF4021" s="508">
        <v>2.3E-2</v>
      </c>
      <c r="AG4021" s="508">
        <v>2.1999999999999999E-2</v>
      </c>
      <c r="AH4021" s="508">
        <v>2.1999999999999999E-2</v>
      </c>
      <c r="AI4021" s="492">
        <v>2.1999999999999999E-2</v>
      </c>
      <c r="AJ4021" s="485"/>
    </row>
    <row r="4022" spans="2:36">
      <c r="B4022" s="136" t="s">
        <v>457</v>
      </c>
      <c r="C4022" s="132" t="s">
        <v>1370</v>
      </c>
      <c r="D4022" s="132" t="s">
        <v>284</v>
      </c>
      <c r="E4022" s="508">
        <v>2.7639999999999998</v>
      </c>
      <c r="F4022" s="508">
        <v>2.7349999999999999</v>
      </c>
      <c r="G4022" s="508">
        <v>2.593</v>
      </c>
      <c r="H4022" s="508">
        <v>1.0780000000000001</v>
      </c>
      <c r="I4022" s="508">
        <v>1.131</v>
      </c>
      <c r="J4022" s="508">
        <v>1.0760000000000001</v>
      </c>
      <c r="K4022" s="508">
        <v>1.038</v>
      </c>
      <c r="L4022" s="508">
        <v>1.075</v>
      </c>
      <c r="M4022" s="508">
        <v>1.1000000000000001</v>
      </c>
      <c r="N4022" s="508">
        <v>1.101</v>
      </c>
      <c r="O4022" s="508">
        <v>1.1120000000000001</v>
      </c>
      <c r="P4022" s="508">
        <v>1.079</v>
      </c>
      <c r="Q4022" s="508">
        <v>1.075</v>
      </c>
      <c r="R4022" s="508">
        <v>0.71799999999999997</v>
      </c>
      <c r="S4022" s="508">
        <v>0.71399999999999997</v>
      </c>
      <c r="T4022" s="508">
        <v>0.69199999999999995</v>
      </c>
      <c r="U4022" s="508">
        <v>0.72599999999999998</v>
      </c>
      <c r="V4022" s="508">
        <v>0.73199999999999998</v>
      </c>
      <c r="W4022" s="508">
        <v>0.66300000000000003</v>
      </c>
      <c r="X4022" s="508">
        <v>0.66100000000000003</v>
      </c>
      <c r="Y4022" s="508">
        <v>0.66200000000000003</v>
      </c>
      <c r="Z4022" s="508">
        <v>0.66300000000000003</v>
      </c>
      <c r="AA4022" s="508">
        <v>3.5999999999999997E-2</v>
      </c>
      <c r="AB4022" s="508">
        <v>3.5999999999999997E-2</v>
      </c>
      <c r="AC4022" s="508">
        <v>3.5999999999999997E-2</v>
      </c>
      <c r="AD4022" s="508">
        <v>3.4000000000000002E-2</v>
      </c>
      <c r="AE4022" s="508">
        <v>3.4000000000000002E-2</v>
      </c>
      <c r="AF4022" s="508">
        <v>2.1999999999999999E-2</v>
      </c>
      <c r="AG4022" s="508">
        <v>2.1000000000000001E-2</v>
      </c>
      <c r="AH4022" s="508">
        <v>2.1000000000000001E-2</v>
      </c>
      <c r="AI4022" s="492">
        <v>2.1000000000000001E-2</v>
      </c>
      <c r="AJ4022" s="485"/>
    </row>
    <row r="4023" spans="2:36">
      <c r="B4023" s="136" t="s">
        <v>458</v>
      </c>
      <c r="C4023" s="132" t="s">
        <v>1370</v>
      </c>
      <c r="D4023" s="132" t="s">
        <v>284</v>
      </c>
      <c r="E4023" s="508">
        <v>2.875</v>
      </c>
      <c r="F4023" s="508">
        <v>2.843</v>
      </c>
      <c r="G4023" s="508">
        <v>2.698</v>
      </c>
      <c r="H4023" s="508">
        <v>1.1559999999999999</v>
      </c>
      <c r="I4023" s="508">
        <v>1.2130000000000001</v>
      </c>
      <c r="J4023" s="508">
        <v>1.153</v>
      </c>
      <c r="K4023" s="508">
        <v>1.103</v>
      </c>
      <c r="L4023" s="508">
        <v>1.1399999999999999</v>
      </c>
      <c r="M4023" s="508">
        <v>1.1639999999999999</v>
      </c>
      <c r="N4023" s="508">
        <v>1.2010000000000001</v>
      </c>
      <c r="O4023" s="508">
        <v>1.2130000000000001</v>
      </c>
      <c r="P4023" s="508">
        <v>1.177</v>
      </c>
      <c r="Q4023" s="508">
        <v>1.1719999999999999</v>
      </c>
      <c r="R4023" s="508">
        <v>0.77500000000000002</v>
      </c>
      <c r="S4023" s="508">
        <v>0.77100000000000002</v>
      </c>
      <c r="T4023" s="508">
        <v>0.746</v>
      </c>
      <c r="U4023" s="508">
        <v>0.78400000000000003</v>
      </c>
      <c r="V4023" s="508">
        <v>0.79</v>
      </c>
      <c r="W4023" s="508">
        <v>0.71599999999999997</v>
      </c>
      <c r="X4023" s="508">
        <v>0.71299999999999997</v>
      </c>
      <c r="Y4023" s="508">
        <v>0.71499999999999997</v>
      </c>
      <c r="Z4023" s="508">
        <v>0.71599999999999997</v>
      </c>
      <c r="AA4023" s="508">
        <v>3.9E-2</v>
      </c>
      <c r="AB4023" s="508">
        <v>3.7999999999999999E-2</v>
      </c>
      <c r="AC4023" s="508">
        <v>3.9E-2</v>
      </c>
      <c r="AD4023" s="508">
        <v>3.6999999999999998E-2</v>
      </c>
      <c r="AE4023" s="508">
        <v>3.5999999999999997E-2</v>
      </c>
      <c r="AF4023" s="508">
        <v>2.4E-2</v>
      </c>
      <c r="AG4023" s="508">
        <v>2.3E-2</v>
      </c>
      <c r="AH4023" s="508">
        <v>2.1999999999999999E-2</v>
      </c>
      <c r="AI4023" s="492">
        <v>2.1999999999999999E-2</v>
      </c>
      <c r="AJ4023" s="485"/>
    </row>
    <row r="4024" spans="2:36">
      <c r="B4024" s="136" t="s">
        <v>459</v>
      </c>
      <c r="C4024" s="132" t="s">
        <v>1370</v>
      </c>
      <c r="D4024" s="132" t="s">
        <v>284</v>
      </c>
      <c r="E4024" s="508">
        <v>2.8719999999999999</v>
      </c>
      <c r="F4024" s="508">
        <v>2.8410000000000002</v>
      </c>
      <c r="G4024" s="508">
        <v>2.6960000000000002</v>
      </c>
      <c r="H4024" s="508">
        <v>1.155</v>
      </c>
      <c r="I4024" s="508">
        <v>1.212</v>
      </c>
      <c r="J4024" s="508">
        <v>1.1519999999999999</v>
      </c>
      <c r="K4024" s="508">
        <v>1.1020000000000001</v>
      </c>
      <c r="L4024" s="508">
        <v>1.139</v>
      </c>
      <c r="M4024" s="508">
        <v>1.163</v>
      </c>
      <c r="N4024" s="508">
        <v>1.2</v>
      </c>
      <c r="O4024" s="508">
        <v>1.2110000000000001</v>
      </c>
      <c r="P4024" s="508">
        <v>1.1759999999999999</v>
      </c>
      <c r="Q4024" s="508">
        <v>1.171</v>
      </c>
      <c r="R4024" s="508">
        <v>0.77400000000000002</v>
      </c>
      <c r="S4024" s="508">
        <v>0.77</v>
      </c>
      <c r="T4024" s="508">
        <v>0.745</v>
      </c>
      <c r="U4024" s="508">
        <v>0.78300000000000003</v>
      </c>
      <c r="V4024" s="508">
        <v>0.78900000000000003</v>
      </c>
      <c r="W4024" s="508">
        <v>0.71499999999999997</v>
      </c>
      <c r="X4024" s="508">
        <v>0.71299999999999997</v>
      </c>
      <c r="Y4024" s="508">
        <v>0.71399999999999997</v>
      </c>
      <c r="Z4024" s="508">
        <v>0.71499999999999997</v>
      </c>
      <c r="AA4024" s="508">
        <v>3.9E-2</v>
      </c>
      <c r="AB4024" s="508">
        <v>3.7999999999999999E-2</v>
      </c>
      <c r="AC4024" s="508">
        <v>3.9E-2</v>
      </c>
      <c r="AD4024" s="508">
        <v>3.5999999999999997E-2</v>
      </c>
      <c r="AE4024" s="508">
        <v>3.5999999999999997E-2</v>
      </c>
      <c r="AF4024" s="508">
        <v>2.4E-2</v>
      </c>
      <c r="AG4024" s="508">
        <v>2.3E-2</v>
      </c>
      <c r="AH4024" s="508">
        <v>2.1999999999999999E-2</v>
      </c>
      <c r="AI4024" s="492">
        <v>2.1999999999999999E-2</v>
      </c>
      <c r="AJ4024" s="485"/>
    </row>
    <row r="4025" spans="2:36">
      <c r="B4025" s="136" t="s">
        <v>460</v>
      </c>
      <c r="C4025" s="132" t="s">
        <v>1370</v>
      </c>
      <c r="D4025" s="132" t="s">
        <v>284</v>
      </c>
      <c r="E4025" s="508">
        <v>2.8740000000000001</v>
      </c>
      <c r="F4025" s="508">
        <v>2.843</v>
      </c>
      <c r="G4025" s="508">
        <v>2.698</v>
      </c>
      <c r="H4025" s="508">
        <v>1.155</v>
      </c>
      <c r="I4025" s="508">
        <v>1.2130000000000001</v>
      </c>
      <c r="J4025" s="508">
        <v>1.1519999999999999</v>
      </c>
      <c r="K4025" s="508">
        <v>1.103</v>
      </c>
      <c r="L4025" s="508">
        <v>1.139</v>
      </c>
      <c r="M4025" s="508">
        <v>1.1619999999999999</v>
      </c>
      <c r="N4025" s="508">
        <v>1.198</v>
      </c>
      <c r="O4025" s="508">
        <v>1.21</v>
      </c>
      <c r="P4025" s="508">
        <v>1.173</v>
      </c>
      <c r="Q4025" s="508">
        <v>1.1679999999999999</v>
      </c>
      <c r="R4025" s="508">
        <v>0.77600000000000002</v>
      </c>
      <c r="S4025" s="508">
        <v>0.77200000000000002</v>
      </c>
      <c r="T4025" s="508">
        <v>0.747</v>
      </c>
      <c r="U4025" s="508">
        <v>0.78500000000000003</v>
      </c>
      <c r="V4025" s="508">
        <v>0.79200000000000004</v>
      </c>
      <c r="W4025" s="508">
        <v>0.71699999999999997</v>
      </c>
      <c r="X4025" s="508">
        <v>0.71499999999999997</v>
      </c>
      <c r="Y4025" s="508">
        <v>0.71599999999999997</v>
      </c>
      <c r="Z4025" s="508">
        <v>0.71699999999999997</v>
      </c>
      <c r="AA4025" s="508">
        <v>3.9E-2</v>
      </c>
      <c r="AB4025" s="508">
        <v>3.7999999999999999E-2</v>
      </c>
      <c r="AC4025" s="508">
        <v>3.9E-2</v>
      </c>
      <c r="AD4025" s="508">
        <v>3.6999999999999998E-2</v>
      </c>
      <c r="AE4025" s="508">
        <v>3.5999999999999997E-2</v>
      </c>
      <c r="AF4025" s="508">
        <v>2.4E-2</v>
      </c>
      <c r="AG4025" s="508">
        <v>2.3E-2</v>
      </c>
      <c r="AH4025" s="508">
        <v>2.1999999999999999E-2</v>
      </c>
      <c r="AI4025" s="492">
        <v>2.1999999999999999E-2</v>
      </c>
      <c r="AJ4025" s="485"/>
    </row>
    <row r="4026" spans="2:36">
      <c r="B4026" s="136" t="s">
        <v>461</v>
      </c>
      <c r="C4026" s="132" t="s">
        <v>1370</v>
      </c>
      <c r="D4026" s="132" t="s">
        <v>284</v>
      </c>
      <c r="E4026" s="508">
        <v>2.86</v>
      </c>
      <c r="F4026" s="508">
        <v>2.8290000000000002</v>
      </c>
      <c r="G4026" s="508">
        <v>2.6859999999999999</v>
      </c>
      <c r="H4026" s="508">
        <v>1.139</v>
      </c>
      <c r="I4026" s="508">
        <v>1.198</v>
      </c>
      <c r="J4026" s="508">
        <v>1.137</v>
      </c>
      <c r="K4026" s="508">
        <v>1.089</v>
      </c>
      <c r="L4026" s="508">
        <v>1.1240000000000001</v>
      </c>
      <c r="M4026" s="508">
        <v>1.1479999999999999</v>
      </c>
      <c r="N4026" s="508">
        <v>1.175</v>
      </c>
      <c r="O4026" s="508">
        <v>1.1870000000000001</v>
      </c>
      <c r="P4026" s="508">
        <v>1.149</v>
      </c>
      <c r="Q4026" s="508">
        <v>1.1439999999999999</v>
      </c>
      <c r="R4026" s="508">
        <v>0.76700000000000002</v>
      </c>
      <c r="S4026" s="508">
        <v>0.76300000000000001</v>
      </c>
      <c r="T4026" s="508">
        <v>0.73899999999999999</v>
      </c>
      <c r="U4026" s="508">
        <v>0.77500000000000002</v>
      </c>
      <c r="V4026" s="508">
        <v>0.78200000000000003</v>
      </c>
      <c r="W4026" s="508">
        <v>0.70799999999999996</v>
      </c>
      <c r="X4026" s="508">
        <v>0.70599999999999996</v>
      </c>
      <c r="Y4026" s="508">
        <v>0.70699999999999996</v>
      </c>
      <c r="Z4026" s="508">
        <v>0.70799999999999996</v>
      </c>
      <c r="AA4026" s="508">
        <v>3.7999999999999999E-2</v>
      </c>
      <c r="AB4026" s="508">
        <v>3.7999999999999999E-2</v>
      </c>
      <c r="AC4026" s="508">
        <v>3.7999999999999999E-2</v>
      </c>
      <c r="AD4026" s="508">
        <v>3.5999999999999997E-2</v>
      </c>
      <c r="AE4026" s="508">
        <v>3.5999999999999997E-2</v>
      </c>
      <c r="AF4026" s="508">
        <v>2.3E-2</v>
      </c>
      <c r="AG4026" s="508">
        <v>2.1999999999999999E-2</v>
      </c>
      <c r="AH4026" s="508">
        <v>2.1999999999999999E-2</v>
      </c>
      <c r="AI4026" s="492">
        <v>2.1999999999999999E-2</v>
      </c>
      <c r="AJ4026" s="485"/>
    </row>
    <row r="4027" spans="2:36">
      <c r="B4027" s="136" t="s">
        <v>462</v>
      </c>
      <c r="C4027" s="132" t="s">
        <v>1370</v>
      </c>
      <c r="D4027" s="132" t="s">
        <v>284</v>
      </c>
      <c r="E4027" s="508">
        <v>2.8370000000000002</v>
      </c>
      <c r="F4027" s="508">
        <v>2.8069999999999999</v>
      </c>
      <c r="G4027" s="508">
        <v>2.6640000000000001</v>
      </c>
      <c r="H4027" s="508">
        <v>1.121</v>
      </c>
      <c r="I4027" s="508">
        <v>1.179</v>
      </c>
      <c r="J4027" s="508">
        <v>1.1180000000000001</v>
      </c>
      <c r="K4027" s="508">
        <v>1.073</v>
      </c>
      <c r="L4027" s="508">
        <v>1.1080000000000001</v>
      </c>
      <c r="M4027" s="508">
        <v>1.1319999999999999</v>
      </c>
      <c r="N4027" s="508">
        <v>1.149</v>
      </c>
      <c r="O4027" s="508">
        <v>1.161</v>
      </c>
      <c r="P4027" s="508">
        <v>1.123</v>
      </c>
      <c r="Q4027" s="508">
        <v>1.1180000000000001</v>
      </c>
      <c r="R4027" s="508">
        <v>0.755</v>
      </c>
      <c r="S4027" s="508">
        <v>0.751</v>
      </c>
      <c r="T4027" s="508">
        <v>0.72799999999999998</v>
      </c>
      <c r="U4027" s="508">
        <v>0.76300000000000001</v>
      </c>
      <c r="V4027" s="508">
        <v>0.76900000000000002</v>
      </c>
      <c r="W4027" s="508">
        <v>0.69699999999999995</v>
      </c>
      <c r="X4027" s="508">
        <v>0.69399999999999995</v>
      </c>
      <c r="Y4027" s="508">
        <v>0.69599999999999995</v>
      </c>
      <c r="Z4027" s="508">
        <v>0.69599999999999995</v>
      </c>
      <c r="AA4027" s="508">
        <v>3.6999999999999998E-2</v>
      </c>
      <c r="AB4027" s="508">
        <v>3.6999999999999998E-2</v>
      </c>
      <c r="AC4027" s="508">
        <v>3.7999999999999999E-2</v>
      </c>
      <c r="AD4027" s="508">
        <v>3.5000000000000003E-2</v>
      </c>
      <c r="AE4027" s="508">
        <v>3.5000000000000003E-2</v>
      </c>
      <c r="AF4027" s="508">
        <v>2.3E-2</v>
      </c>
      <c r="AG4027" s="508">
        <v>2.1999999999999999E-2</v>
      </c>
      <c r="AH4027" s="508">
        <v>2.1999999999999999E-2</v>
      </c>
      <c r="AI4027" s="492">
        <v>2.1999999999999999E-2</v>
      </c>
      <c r="AJ4027" s="485"/>
    </row>
    <row r="4028" spans="2:36">
      <c r="B4028" s="136" t="s">
        <v>463</v>
      </c>
      <c r="C4028" s="132" t="s">
        <v>1370</v>
      </c>
      <c r="D4028" s="132" t="s">
        <v>284</v>
      </c>
      <c r="E4028" s="508">
        <v>2.7789999999999999</v>
      </c>
      <c r="F4028" s="508">
        <v>2.75</v>
      </c>
      <c r="G4028" s="508">
        <v>2.6059999999999999</v>
      </c>
      <c r="H4028" s="508">
        <v>1.093</v>
      </c>
      <c r="I4028" s="508">
        <v>1.1459999999999999</v>
      </c>
      <c r="J4028" s="508">
        <v>1.091</v>
      </c>
      <c r="K4028" s="508">
        <v>1.0509999999999999</v>
      </c>
      <c r="L4028" s="508">
        <v>1.0880000000000001</v>
      </c>
      <c r="M4028" s="508">
        <v>1.1140000000000001</v>
      </c>
      <c r="N4028" s="508">
        <v>1.125</v>
      </c>
      <c r="O4028" s="508">
        <v>1.1339999999999999</v>
      </c>
      <c r="P4028" s="508">
        <v>1.1040000000000001</v>
      </c>
      <c r="Q4028" s="508">
        <v>1.1000000000000001</v>
      </c>
      <c r="R4028" s="508">
        <v>0.72499999999999998</v>
      </c>
      <c r="S4028" s="508">
        <v>0.72099999999999997</v>
      </c>
      <c r="T4028" s="508">
        <v>0.69799999999999995</v>
      </c>
      <c r="U4028" s="508">
        <v>0.73399999999999999</v>
      </c>
      <c r="V4028" s="508">
        <v>0.74</v>
      </c>
      <c r="W4028" s="508">
        <v>0.67</v>
      </c>
      <c r="X4028" s="508">
        <v>0.66800000000000004</v>
      </c>
      <c r="Y4028" s="508">
        <v>0.66900000000000004</v>
      </c>
      <c r="Z4028" s="508">
        <v>0.67</v>
      </c>
      <c r="AA4028" s="508">
        <v>3.5999999999999997E-2</v>
      </c>
      <c r="AB4028" s="508">
        <v>3.5999999999999997E-2</v>
      </c>
      <c r="AC4028" s="508">
        <v>3.6999999999999998E-2</v>
      </c>
      <c r="AD4028" s="508">
        <v>3.5000000000000003E-2</v>
      </c>
      <c r="AE4028" s="508">
        <v>3.4000000000000002E-2</v>
      </c>
      <c r="AF4028" s="508">
        <v>2.1999999999999999E-2</v>
      </c>
      <c r="AG4028" s="508">
        <v>2.1000000000000001E-2</v>
      </c>
      <c r="AH4028" s="508">
        <v>2.1000000000000001E-2</v>
      </c>
      <c r="AI4028" s="492">
        <v>2.1000000000000001E-2</v>
      </c>
      <c r="AJ4028" s="485"/>
    </row>
    <row r="4029" spans="2:36">
      <c r="B4029" s="136" t="s">
        <v>464</v>
      </c>
      <c r="C4029" s="132" t="s">
        <v>1370</v>
      </c>
      <c r="D4029" s="132" t="s">
        <v>284</v>
      </c>
      <c r="E4029" s="508">
        <v>2.7530000000000001</v>
      </c>
      <c r="F4029" s="508">
        <v>2.7250000000000001</v>
      </c>
      <c r="G4029" s="508">
        <v>2.5819999999999999</v>
      </c>
      <c r="H4029" s="508">
        <v>1.075</v>
      </c>
      <c r="I4029" s="508">
        <v>1.127</v>
      </c>
      <c r="J4029" s="508">
        <v>1.073</v>
      </c>
      <c r="K4029" s="508">
        <v>1.036</v>
      </c>
      <c r="L4029" s="508">
        <v>1.073</v>
      </c>
      <c r="M4029" s="508">
        <v>1.099</v>
      </c>
      <c r="N4029" s="508">
        <v>1.1000000000000001</v>
      </c>
      <c r="O4029" s="508">
        <v>1.1100000000000001</v>
      </c>
      <c r="P4029" s="508">
        <v>1.079</v>
      </c>
      <c r="Q4029" s="508">
        <v>1.075</v>
      </c>
      <c r="R4029" s="508">
        <v>0.71399999999999997</v>
      </c>
      <c r="S4029" s="508">
        <v>0.71</v>
      </c>
      <c r="T4029" s="508">
        <v>0.68700000000000006</v>
      </c>
      <c r="U4029" s="508">
        <v>0.72199999999999998</v>
      </c>
      <c r="V4029" s="508">
        <v>0.72799999999999998</v>
      </c>
      <c r="W4029" s="508">
        <v>0.66</v>
      </c>
      <c r="X4029" s="508">
        <v>0.65700000000000003</v>
      </c>
      <c r="Y4029" s="508">
        <v>0.65800000000000003</v>
      </c>
      <c r="Z4029" s="508">
        <v>0.65900000000000003</v>
      </c>
      <c r="AA4029" s="508">
        <v>3.5999999999999997E-2</v>
      </c>
      <c r="AB4029" s="508">
        <v>3.5999999999999997E-2</v>
      </c>
      <c r="AC4029" s="508">
        <v>3.5999999999999997E-2</v>
      </c>
      <c r="AD4029" s="508">
        <v>3.4000000000000002E-2</v>
      </c>
      <c r="AE4029" s="508">
        <v>3.4000000000000002E-2</v>
      </c>
      <c r="AF4029" s="508">
        <v>2.1999999999999999E-2</v>
      </c>
      <c r="AG4029" s="508">
        <v>2.1000000000000001E-2</v>
      </c>
      <c r="AH4029" s="508">
        <v>2.1000000000000001E-2</v>
      </c>
      <c r="AI4029" s="492">
        <v>2.1000000000000001E-2</v>
      </c>
      <c r="AJ4029" s="485"/>
    </row>
    <row r="4030" spans="2:36">
      <c r="B4030" s="136" t="s">
        <v>465</v>
      </c>
      <c r="C4030" s="132" t="s">
        <v>1370</v>
      </c>
      <c r="D4030" s="132" t="s">
        <v>284</v>
      </c>
      <c r="E4030" s="508">
        <v>2.778</v>
      </c>
      <c r="F4030" s="508">
        <v>2.7490000000000001</v>
      </c>
      <c r="G4030" s="508">
        <v>2.6059999999999999</v>
      </c>
      <c r="H4030" s="508">
        <v>1.095</v>
      </c>
      <c r="I4030" s="508">
        <v>1.147</v>
      </c>
      <c r="J4030" s="508">
        <v>1.093</v>
      </c>
      <c r="K4030" s="508">
        <v>1.0529999999999999</v>
      </c>
      <c r="L4030" s="508">
        <v>1.091</v>
      </c>
      <c r="M4030" s="508">
        <v>1.1160000000000001</v>
      </c>
      <c r="N4030" s="508">
        <v>1.127</v>
      </c>
      <c r="O4030" s="508">
        <v>1.137</v>
      </c>
      <c r="P4030" s="508">
        <v>1.1060000000000001</v>
      </c>
      <c r="Q4030" s="508">
        <v>1.1020000000000001</v>
      </c>
      <c r="R4030" s="508">
        <v>0.72699999999999998</v>
      </c>
      <c r="S4030" s="508">
        <v>0.72299999999999998</v>
      </c>
      <c r="T4030" s="508">
        <v>0.7</v>
      </c>
      <c r="U4030" s="508">
        <v>0.73599999999999999</v>
      </c>
      <c r="V4030" s="508">
        <v>0.74199999999999999</v>
      </c>
      <c r="W4030" s="508">
        <v>0.67200000000000004</v>
      </c>
      <c r="X4030" s="508">
        <v>0.67</v>
      </c>
      <c r="Y4030" s="508">
        <v>0.67100000000000004</v>
      </c>
      <c r="Z4030" s="508">
        <v>0.67200000000000004</v>
      </c>
      <c r="AA4030" s="508">
        <v>3.6999999999999998E-2</v>
      </c>
      <c r="AB4030" s="508">
        <v>3.5999999999999997E-2</v>
      </c>
      <c r="AC4030" s="508">
        <v>3.6999999999999998E-2</v>
      </c>
      <c r="AD4030" s="508">
        <v>3.5000000000000003E-2</v>
      </c>
      <c r="AE4030" s="508">
        <v>3.5000000000000003E-2</v>
      </c>
      <c r="AF4030" s="508">
        <v>2.1999999999999999E-2</v>
      </c>
      <c r="AG4030" s="508">
        <v>2.1000000000000001E-2</v>
      </c>
      <c r="AH4030" s="508">
        <v>2.1000000000000001E-2</v>
      </c>
      <c r="AI4030" s="492">
        <v>2.1000000000000001E-2</v>
      </c>
      <c r="AJ4030" s="485"/>
    </row>
    <row r="4031" spans="2:36">
      <c r="B4031" s="136" t="s">
        <v>466</v>
      </c>
      <c r="C4031" s="132" t="s">
        <v>1370</v>
      </c>
      <c r="D4031" s="132" t="s">
        <v>284</v>
      </c>
      <c r="E4031" s="508">
        <v>2.9420000000000002</v>
      </c>
      <c r="F4031" s="508">
        <v>2.91</v>
      </c>
      <c r="G4031" s="508">
        <v>2.7639999999999998</v>
      </c>
      <c r="H4031" s="508">
        <v>1.2010000000000001</v>
      </c>
      <c r="I4031" s="508">
        <v>1.262</v>
      </c>
      <c r="J4031" s="508">
        <v>1.198</v>
      </c>
      <c r="K4031" s="508">
        <v>1.1419999999999999</v>
      </c>
      <c r="L4031" s="508">
        <v>1.177</v>
      </c>
      <c r="M4031" s="508">
        <v>1.2</v>
      </c>
      <c r="N4031" s="508">
        <v>1.2549999999999999</v>
      </c>
      <c r="O4031" s="508">
        <v>1.268</v>
      </c>
      <c r="P4031" s="508">
        <v>1.2270000000000001</v>
      </c>
      <c r="Q4031" s="508">
        <v>1.222</v>
      </c>
      <c r="R4031" s="508">
        <v>0.81299999999999994</v>
      </c>
      <c r="S4031" s="508">
        <v>0.80800000000000005</v>
      </c>
      <c r="T4031" s="508">
        <v>0.78200000000000003</v>
      </c>
      <c r="U4031" s="508">
        <v>0.82199999999999995</v>
      </c>
      <c r="V4031" s="508">
        <v>0.82899999999999996</v>
      </c>
      <c r="W4031" s="508">
        <v>0.751</v>
      </c>
      <c r="X4031" s="508">
        <v>0.748</v>
      </c>
      <c r="Y4031" s="508">
        <v>0.75</v>
      </c>
      <c r="Z4031" s="508">
        <v>0.751</v>
      </c>
      <c r="AA4031" s="508">
        <v>0.04</v>
      </c>
      <c r="AB4031" s="508">
        <v>0.04</v>
      </c>
      <c r="AC4031" s="508">
        <v>0.04</v>
      </c>
      <c r="AD4031" s="508">
        <v>3.7999999999999999E-2</v>
      </c>
      <c r="AE4031" s="508">
        <v>3.7999999999999999E-2</v>
      </c>
      <c r="AF4031" s="508">
        <v>2.5000000000000001E-2</v>
      </c>
      <c r="AG4031" s="508">
        <v>2.4E-2</v>
      </c>
      <c r="AH4031" s="508">
        <v>2.3E-2</v>
      </c>
      <c r="AI4031" s="492">
        <v>2.3E-2</v>
      </c>
      <c r="AJ4031" s="485"/>
    </row>
    <row r="4032" spans="2:36">
      <c r="B4032" s="136" t="s">
        <v>467</v>
      </c>
      <c r="C4032" s="132" t="s">
        <v>1370</v>
      </c>
      <c r="D4032" s="132" t="s">
        <v>284</v>
      </c>
      <c r="E4032" s="508">
        <v>2.847</v>
      </c>
      <c r="F4032" s="508">
        <v>2.8170000000000002</v>
      </c>
      <c r="G4032" s="508">
        <v>2.673</v>
      </c>
      <c r="H4032" s="508">
        <v>1.131</v>
      </c>
      <c r="I4032" s="508">
        <v>1.1890000000000001</v>
      </c>
      <c r="J4032" s="508">
        <v>1.1279999999999999</v>
      </c>
      <c r="K4032" s="508">
        <v>1.0820000000000001</v>
      </c>
      <c r="L4032" s="508">
        <v>1.117</v>
      </c>
      <c r="M4032" s="508">
        <v>1.141</v>
      </c>
      <c r="N4032" s="508">
        <v>1.1639999999999999</v>
      </c>
      <c r="O4032" s="508">
        <v>1.1759999999999999</v>
      </c>
      <c r="P4032" s="508">
        <v>1.1379999999999999</v>
      </c>
      <c r="Q4032" s="508">
        <v>1.1339999999999999</v>
      </c>
      <c r="R4032" s="508">
        <v>0.76</v>
      </c>
      <c r="S4032" s="508">
        <v>0.75600000000000001</v>
      </c>
      <c r="T4032" s="508">
        <v>0.73299999999999998</v>
      </c>
      <c r="U4032" s="508">
        <v>0.76900000000000002</v>
      </c>
      <c r="V4032" s="508">
        <v>0.77500000000000002</v>
      </c>
      <c r="W4032" s="508">
        <v>0.70199999999999996</v>
      </c>
      <c r="X4032" s="508">
        <v>0.7</v>
      </c>
      <c r="Y4032" s="508">
        <v>0.70099999999999996</v>
      </c>
      <c r="Z4032" s="508">
        <v>0.70199999999999996</v>
      </c>
      <c r="AA4032" s="508">
        <v>3.7999999999999999E-2</v>
      </c>
      <c r="AB4032" s="508">
        <v>3.7999999999999999E-2</v>
      </c>
      <c r="AC4032" s="508">
        <v>3.7999999999999999E-2</v>
      </c>
      <c r="AD4032" s="508">
        <v>3.5999999999999997E-2</v>
      </c>
      <c r="AE4032" s="508">
        <v>3.5999999999999997E-2</v>
      </c>
      <c r="AF4032" s="508">
        <v>2.3E-2</v>
      </c>
      <c r="AG4032" s="508">
        <v>2.1999999999999999E-2</v>
      </c>
      <c r="AH4032" s="508">
        <v>2.1999999999999999E-2</v>
      </c>
      <c r="AI4032" s="492">
        <v>2.1999999999999999E-2</v>
      </c>
      <c r="AJ4032" s="485"/>
    </row>
    <row r="4033" spans="2:36">
      <c r="B4033" s="136" t="s">
        <v>468</v>
      </c>
      <c r="C4033" s="132" t="s">
        <v>1370</v>
      </c>
      <c r="D4033" s="132" t="s">
        <v>284</v>
      </c>
      <c r="E4033" s="508">
        <v>2.7320000000000002</v>
      </c>
      <c r="F4033" s="508">
        <v>2.7040000000000002</v>
      </c>
      <c r="G4033" s="508">
        <v>2.5609999999999999</v>
      </c>
      <c r="H4033" s="508">
        <v>1.07</v>
      </c>
      <c r="I4033" s="508">
        <v>1.119</v>
      </c>
      <c r="J4033" s="508">
        <v>1.069</v>
      </c>
      <c r="K4033" s="508">
        <v>1.0329999999999999</v>
      </c>
      <c r="L4033" s="508">
        <v>1.0720000000000001</v>
      </c>
      <c r="M4033" s="508">
        <v>1.0980000000000001</v>
      </c>
      <c r="N4033" s="508">
        <v>1.1020000000000001</v>
      </c>
      <c r="O4033" s="508">
        <v>1.1100000000000001</v>
      </c>
      <c r="P4033" s="508">
        <v>1.0840000000000001</v>
      </c>
      <c r="Q4033" s="508">
        <v>1.08</v>
      </c>
      <c r="R4033" s="508">
        <v>0.70399999999999996</v>
      </c>
      <c r="S4033" s="508">
        <v>0.70099999999999996</v>
      </c>
      <c r="T4033" s="508">
        <v>0.67800000000000005</v>
      </c>
      <c r="U4033" s="508">
        <v>0.71299999999999997</v>
      </c>
      <c r="V4033" s="508">
        <v>0.71899999999999997</v>
      </c>
      <c r="W4033" s="508">
        <v>0.65200000000000002</v>
      </c>
      <c r="X4033" s="508">
        <v>0.64900000000000002</v>
      </c>
      <c r="Y4033" s="508">
        <v>0.65</v>
      </c>
      <c r="Z4033" s="508">
        <v>0.65100000000000002</v>
      </c>
      <c r="AA4033" s="508">
        <v>3.5999999999999997E-2</v>
      </c>
      <c r="AB4033" s="508">
        <v>3.5999999999999997E-2</v>
      </c>
      <c r="AC4033" s="508">
        <v>3.5999999999999997E-2</v>
      </c>
      <c r="AD4033" s="508">
        <v>3.4000000000000002E-2</v>
      </c>
      <c r="AE4033" s="508">
        <v>3.4000000000000002E-2</v>
      </c>
      <c r="AF4033" s="508">
        <v>2.1999999999999999E-2</v>
      </c>
      <c r="AG4033" s="508">
        <v>2.1000000000000001E-2</v>
      </c>
      <c r="AH4033" s="508">
        <v>2.1000000000000001E-2</v>
      </c>
      <c r="AI4033" s="492">
        <v>2.1000000000000001E-2</v>
      </c>
      <c r="AJ4033" s="485"/>
    </row>
    <row r="4034" spans="2:36">
      <c r="B4034" s="136" t="s">
        <v>469</v>
      </c>
      <c r="C4034" s="132" t="s">
        <v>1370</v>
      </c>
      <c r="D4034" s="132" t="s">
        <v>284</v>
      </c>
      <c r="E4034" s="508">
        <v>2.798</v>
      </c>
      <c r="F4034" s="508">
        <v>2.7690000000000001</v>
      </c>
      <c r="G4034" s="508">
        <v>2.6259999999999999</v>
      </c>
      <c r="H4034" s="508">
        <v>1.1060000000000001</v>
      </c>
      <c r="I4034" s="508">
        <v>1.1599999999999999</v>
      </c>
      <c r="J4034" s="508">
        <v>1.1040000000000001</v>
      </c>
      <c r="K4034" s="508">
        <v>1.0620000000000001</v>
      </c>
      <c r="L4034" s="508">
        <v>1.099</v>
      </c>
      <c r="M4034" s="508">
        <v>1.123</v>
      </c>
      <c r="N4034" s="508">
        <v>1.1379999999999999</v>
      </c>
      <c r="O4034" s="508">
        <v>1.149</v>
      </c>
      <c r="P4034" s="508">
        <v>1.1160000000000001</v>
      </c>
      <c r="Q4034" s="508">
        <v>1.1120000000000001</v>
      </c>
      <c r="R4034" s="508">
        <v>0.73699999999999999</v>
      </c>
      <c r="S4034" s="508">
        <v>0.73399999999999999</v>
      </c>
      <c r="T4034" s="508">
        <v>0.71</v>
      </c>
      <c r="U4034" s="508">
        <v>0.746</v>
      </c>
      <c r="V4034" s="508">
        <v>0.752</v>
      </c>
      <c r="W4034" s="508">
        <v>0.68200000000000005</v>
      </c>
      <c r="X4034" s="508">
        <v>0.67900000000000005</v>
      </c>
      <c r="Y4034" s="508">
        <v>0.68</v>
      </c>
      <c r="Z4034" s="508">
        <v>0.68100000000000005</v>
      </c>
      <c r="AA4034" s="508">
        <v>3.6999999999999998E-2</v>
      </c>
      <c r="AB4034" s="508">
        <v>3.6999999999999998E-2</v>
      </c>
      <c r="AC4034" s="508">
        <v>3.6999999999999998E-2</v>
      </c>
      <c r="AD4034" s="508">
        <v>3.5000000000000003E-2</v>
      </c>
      <c r="AE4034" s="508">
        <v>3.5000000000000003E-2</v>
      </c>
      <c r="AF4034" s="508">
        <v>2.3E-2</v>
      </c>
      <c r="AG4034" s="508">
        <v>2.1999999999999999E-2</v>
      </c>
      <c r="AH4034" s="508">
        <v>2.1000000000000001E-2</v>
      </c>
      <c r="AI4034" s="492">
        <v>2.1000000000000001E-2</v>
      </c>
      <c r="AJ4034" s="485"/>
    </row>
    <row r="4035" spans="2:36">
      <c r="B4035" s="136" t="s">
        <v>470</v>
      </c>
      <c r="C4035" s="132" t="s">
        <v>1370</v>
      </c>
      <c r="D4035" s="132" t="s">
        <v>284</v>
      </c>
      <c r="E4035" s="508">
        <v>2.9159999999999999</v>
      </c>
      <c r="F4035" s="508">
        <v>2.8849999999999998</v>
      </c>
      <c r="G4035" s="508">
        <v>2.74</v>
      </c>
      <c r="H4035" s="508">
        <v>1.18</v>
      </c>
      <c r="I4035" s="508">
        <v>1.2410000000000001</v>
      </c>
      <c r="J4035" s="508">
        <v>1.1779999999999999</v>
      </c>
      <c r="K4035" s="508">
        <v>1.1240000000000001</v>
      </c>
      <c r="L4035" s="508">
        <v>1.159</v>
      </c>
      <c r="M4035" s="508">
        <v>1.1819999999999999</v>
      </c>
      <c r="N4035" s="508">
        <v>1.228</v>
      </c>
      <c r="O4035" s="508">
        <v>1.2410000000000001</v>
      </c>
      <c r="P4035" s="508">
        <v>1.2010000000000001</v>
      </c>
      <c r="Q4035" s="508">
        <v>1.196</v>
      </c>
      <c r="R4035" s="508">
        <v>0.79700000000000004</v>
      </c>
      <c r="S4035" s="508">
        <v>0.79300000000000004</v>
      </c>
      <c r="T4035" s="508">
        <v>0.76700000000000002</v>
      </c>
      <c r="U4035" s="508">
        <v>0.80600000000000005</v>
      </c>
      <c r="V4035" s="508">
        <v>0.81299999999999994</v>
      </c>
      <c r="W4035" s="508">
        <v>0.73599999999999999</v>
      </c>
      <c r="X4035" s="508">
        <v>0.73399999999999999</v>
      </c>
      <c r="Y4035" s="508">
        <v>0.73499999999999999</v>
      </c>
      <c r="Z4035" s="508">
        <v>0.73599999999999999</v>
      </c>
      <c r="AA4035" s="508">
        <v>3.9E-2</v>
      </c>
      <c r="AB4035" s="508">
        <v>3.9E-2</v>
      </c>
      <c r="AC4035" s="508">
        <v>0.04</v>
      </c>
      <c r="AD4035" s="508">
        <v>3.6999999999999998E-2</v>
      </c>
      <c r="AE4035" s="508">
        <v>3.6999999999999998E-2</v>
      </c>
      <c r="AF4035" s="508">
        <v>2.4E-2</v>
      </c>
      <c r="AG4035" s="508">
        <v>2.3E-2</v>
      </c>
      <c r="AH4035" s="508">
        <v>2.3E-2</v>
      </c>
      <c r="AI4035" s="492">
        <v>2.3E-2</v>
      </c>
      <c r="AJ4035" s="485"/>
    </row>
    <row r="4036" spans="2:36">
      <c r="B4036" s="136" t="s">
        <v>471</v>
      </c>
      <c r="C4036" s="132" t="s">
        <v>1370</v>
      </c>
      <c r="D4036" s="132" t="s">
        <v>284</v>
      </c>
      <c r="E4036" s="508">
        <v>2.8889999999999998</v>
      </c>
      <c r="F4036" s="508">
        <v>2.8580000000000001</v>
      </c>
      <c r="G4036" s="508">
        <v>2.714</v>
      </c>
      <c r="H4036" s="508">
        <v>1.1579999999999999</v>
      </c>
      <c r="I4036" s="508">
        <v>1.218</v>
      </c>
      <c r="J4036" s="508">
        <v>1.155</v>
      </c>
      <c r="K4036" s="508">
        <v>1.1040000000000001</v>
      </c>
      <c r="L4036" s="508">
        <v>1.139</v>
      </c>
      <c r="M4036" s="508">
        <v>1.1619999999999999</v>
      </c>
      <c r="N4036" s="508">
        <v>1.1970000000000001</v>
      </c>
      <c r="O4036" s="508">
        <v>1.21</v>
      </c>
      <c r="P4036" s="508">
        <v>1.169</v>
      </c>
      <c r="Q4036" s="508">
        <v>1.1639999999999999</v>
      </c>
      <c r="R4036" s="508">
        <v>0.78200000000000003</v>
      </c>
      <c r="S4036" s="508">
        <v>0.77800000000000002</v>
      </c>
      <c r="T4036" s="508">
        <v>0.753</v>
      </c>
      <c r="U4036" s="508">
        <v>0.79100000000000004</v>
      </c>
      <c r="V4036" s="508">
        <v>0.79700000000000004</v>
      </c>
      <c r="W4036" s="508">
        <v>0.72199999999999998</v>
      </c>
      <c r="X4036" s="508">
        <v>0.72</v>
      </c>
      <c r="Y4036" s="508">
        <v>0.72099999999999997</v>
      </c>
      <c r="Z4036" s="508">
        <v>0.72199999999999998</v>
      </c>
      <c r="AA4036" s="508">
        <v>3.9E-2</v>
      </c>
      <c r="AB4036" s="508">
        <v>3.9E-2</v>
      </c>
      <c r="AC4036" s="508">
        <v>3.9E-2</v>
      </c>
      <c r="AD4036" s="508">
        <v>3.6999999999999998E-2</v>
      </c>
      <c r="AE4036" s="508">
        <v>3.6999999999999998E-2</v>
      </c>
      <c r="AF4036" s="508">
        <v>2.4E-2</v>
      </c>
      <c r="AG4036" s="508">
        <v>2.3E-2</v>
      </c>
      <c r="AH4036" s="508">
        <v>2.3E-2</v>
      </c>
      <c r="AI4036" s="492">
        <v>2.3E-2</v>
      </c>
      <c r="AJ4036" s="485"/>
    </row>
    <row r="4037" spans="2:36">
      <c r="B4037" s="136" t="s">
        <v>472</v>
      </c>
      <c r="C4037" s="132" t="s">
        <v>1370</v>
      </c>
      <c r="D4037" s="132" t="s">
        <v>284</v>
      </c>
      <c r="E4037" s="508">
        <v>2.7650000000000001</v>
      </c>
      <c r="F4037" s="508">
        <v>2.7360000000000002</v>
      </c>
      <c r="G4037" s="508">
        <v>2.593</v>
      </c>
      <c r="H4037" s="508">
        <v>1.079</v>
      </c>
      <c r="I4037" s="508">
        <v>1.1319999999999999</v>
      </c>
      <c r="J4037" s="508">
        <v>1.077</v>
      </c>
      <c r="K4037" s="508">
        <v>1.0389999999999999</v>
      </c>
      <c r="L4037" s="508">
        <v>1.0760000000000001</v>
      </c>
      <c r="M4037" s="508">
        <v>1.101</v>
      </c>
      <c r="N4037" s="508">
        <v>1.103</v>
      </c>
      <c r="O4037" s="508">
        <v>1.113</v>
      </c>
      <c r="P4037" s="508">
        <v>1.08</v>
      </c>
      <c r="Q4037" s="508">
        <v>1.0760000000000001</v>
      </c>
      <c r="R4037" s="508">
        <v>0.71799999999999997</v>
      </c>
      <c r="S4037" s="508">
        <v>0.71499999999999997</v>
      </c>
      <c r="T4037" s="508">
        <v>0.69199999999999995</v>
      </c>
      <c r="U4037" s="508">
        <v>0.72699999999999998</v>
      </c>
      <c r="V4037" s="508">
        <v>0.73299999999999998</v>
      </c>
      <c r="W4037" s="508">
        <v>0.66400000000000003</v>
      </c>
      <c r="X4037" s="508">
        <v>0.66100000000000003</v>
      </c>
      <c r="Y4037" s="508">
        <v>0.66300000000000003</v>
      </c>
      <c r="Z4037" s="508">
        <v>0.66300000000000003</v>
      </c>
      <c r="AA4037" s="508">
        <v>3.5999999999999997E-2</v>
      </c>
      <c r="AB4037" s="508">
        <v>3.5999999999999997E-2</v>
      </c>
      <c r="AC4037" s="508">
        <v>3.5999999999999997E-2</v>
      </c>
      <c r="AD4037" s="508">
        <v>3.4000000000000002E-2</v>
      </c>
      <c r="AE4037" s="508">
        <v>3.4000000000000002E-2</v>
      </c>
      <c r="AF4037" s="508">
        <v>2.1999999999999999E-2</v>
      </c>
      <c r="AG4037" s="508">
        <v>2.1000000000000001E-2</v>
      </c>
      <c r="AH4037" s="508">
        <v>2.1000000000000001E-2</v>
      </c>
      <c r="AI4037" s="492">
        <v>2.1000000000000001E-2</v>
      </c>
      <c r="AJ4037" s="485"/>
    </row>
    <row r="4038" spans="2:36">
      <c r="B4038" s="136" t="s">
        <v>473</v>
      </c>
      <c r="C4038" s="132" t="s">
        <v>1370</v>
      </c>
      <c r="D4038" s="132" t="s">
        <v>284</v>
      </c>
      <c r="E4038" s="508">
        <v>2.9220000000000002</v>
      </c>
      <c r="F4038" s="508">
        <v>2.891</v>
      </c>
      <c r="G4038" s="508">
        <v>2.7450000000000001</v>
      </c>
      <c r="H4038" s="508">
        <v>1.1819999999999999</v>
      </c>
      <c r="I4038" s="508">
        <v>1.244</v>
      </c>
      <c r="J4038" s="508">
        <v>1.18</v>
      </c>
      <c r="K4038" s="508">
        <v>1.1259999999999999</v>
      </c>
      <c r="L4038" s="508">
        <v>1.1599999999999999</v>
      </c>
      <c r="M4038" s="508">
        <v>1.1830000000000001</v>
      </c>
      <c r="N4038" s="508">
        <v>1.2290000000000001</v>
      </c>
      <c r="O4038" s="508">
        <v>1.242</v>
      </c>
      <c r="P4038" s="508">
        <v>1.2010000000000001</v>
      </c>
      <c r="Q4038" s="508">
        <v>1.1950000000000001</v>
      </c>
      <c r="R4038" s="508">
        <v>0.8</v>
      </c>
      <c r="S4038" s="508">
        <v>0.79600000000000004</v>
      </c>
      <c r="T4038" s="508">
        <v>0.77100000000000002</v>
      </c>
      <c r="U4038" s="508">
        <v>0.81</v>
      </c>
      <c r="V4038" s="508">
        <v>0.81599999999999995</v>
      </c>
      <c r="W4038" s="508">
        <v>0.74</v>
      </c>
      <c r="X4038" s="508">
        <v>0.73699999999999999</v>
      </c>
      <c r="Y4038" s="508">
        <v>0.73799999999999999</v>
      </c>
      <c r="Z4038" s="508">
        <v>0.73899999999999999</v>
      </c>
      <c r="AA4038" s="508">
        <v>0.04</v>
      </c>
      <c r="AB4038" s="508">
        <v>3.9E-2</v>
      </c>
      <c r="AC4038" s="508">
        <v>0.04</v>
      </c>
      <c r="AD4038" s="508">
        <v>3.6999999999999998E-2</v>
      </c>
      <c r="AE4038" s="508">
        <v>3.6999999999999998E-2</v>
      </c>
      <c r="AF4038" s="508">
        <v>2.4E-2</v>
      </c>
      <c r="AG4038" s="508">
        <v>2.3E-2</v>
      </c>
      <c r="AH4038" s="508">
        <v>2.3E-2</v>
      </c>
      <c r="AI4038" s="492">
        <v>2.3E-2</v>
      </c>
      <c r="AJ4038" s="485"/>
    </row>
    <row r="4039" spans="2:36">
      <c r="B4039" s="136" t="s">
        <v>474</v>
      </c>
      <c r="C4039" s="132" t="s">
        <v>1370</v>
      </c>
      <c r="D4039" s="132" t="s">
        <v>284</v>
      </c>
      <c r="E4039" s="508">
        <v>2.8540000000000001</v>
      </c>
      <c r="F4039" s="508">
        <v>2.823</v>
      </c>
      <c r="G4039" s="508">
        <v>2.6789999999999998</v>
      </c>
      <c r="H4039" s="508">
        <v>1.1379999999999999</v>
      </c>
      <c r="I4039" s="508">
        <v>1.196</v>
      </c>
      <c r="J4039" s="508">
        <v>1.1359999999999999</v>
      </c>
      <c r="K4039" s="508">
        <v>1.0880000000000001</v>
      </c>
      <c r="L4039" s="508">
        <v>1.1240000000000001</v>
      </c>
      <c r="M4039" s="508">
        <v>1.1479999999999999</v>
      </c>
      <c r="N4039" s="508">
        <v>1.175</v>
      </c>
      <c r="O4039" s="508">
        <v>1.1870000000000001</v>
      </c>
      <c r="P4039" s="508">
        <v>1.1499999999999999</v>
      </c>
      <c r="Q4039" s="508">
        <v>1.145</v>
      </c>
      <c r="R4039" s="508">
        <v>0.76500000000000001</v>
      </c>
      <c r="S4039" s="508">
        <v>0.76100000000000001</v>
      </c>
      <c r="T4039" s="508">
        <v>0.73699999999999999</v>
      </c>
      <c r="U4039" s="508">
        <v>0.77400000000000002</v>
      </c>
      <c r="V4039" s="508">
        <v>0.78</v>
      </c>
      <c r="W4039" s="508">
        <v>0.70699999999999996</v>
      </c>
      <c r="X4039" s="508">
        <v>0.70399999999999996</v>
      </c>
      <c r="Y4039" s="508">
        <v>0.70499999999999996</v>
      </c>
      <c r="Z4039" s="508">
        <v>0.70599999999999996</v>
      </c>
      <c r="AA4039" s="508">
        <v>3.7999999999999999E-2</v>
      </c>
      <c r="AB4039" s="508">
        <v>3.7999999999999999E-2</v>
      </c>
      <c r="AC4039" s="508">
        <v>3.7999999999999999E-2</v>
      </c>
      <c r="AD4039" s="508">
        <v>3.5999999999999997E-2</v>
      </c>
      <c r="AE4039" s="508">
        <v>3.5999999999999997E-2</v>
      </c>
      <c r="AF4039" s="508">
        <v>2.3E-2</v>
      </c>
      <c r="AG4039" s="508">
        <v>2.1999999999999999E-2</v>
      </c>
      <c r="AH4039" s="508">
        <v>2.1999999999999999E-2</v>
      </c>
      <c r="AI4039" s="492">
        <v>2.1999999999999999E-2</v>
      </c>
      <c r="AJ4039" s="485"/>
    </row>
    <row r="4040" spans="2:36">
      <c r="B4040" s="136" t="s">
        <v>475</v>
      </c>
      <c r="C4040" s="132" t="s">
        <v>1370</v>
      </c>
      <c r="D4040" s="132" t="s">
        <v>284</v>
      </c>
      <c r="E4040" s="508">
        <v>2.831</v>
      </c>
      <c r="F4040" s="508">
        <v>2.8010000000000002</v>
      </c>
      <c r="G4040" s="508">
        <v>2.6579999999999999</v>
      </c>
      <c r="H4040" s="508">
        <v>1.123</v>
      </c>
      <c r="I4040" s="508">
        <v>1.179</v>
      </c>
      <c r="J4040" s="508">
        <v>1.121</v>
      </c>
      <c r="K4040" s="508">
        <v>1.075</v>
      </c>
      <c r="L4040" s="508">
        <v>1.111</v>
      </c>
      <c r="M4040" s="508">
        <v>1.1359999999999999</v>
      </c>
      <c r="N4040" s="508">
        <v>1.1559999999999999</v>
      </c>
      <c r="O4040" s="508">
        <v>1.1679999999999999</v>
      </c>
      <c r="P4040" s="508">
        <v>1.131</v>
      </c>
      <c r="Q4040" s="508">
        <v>1.127</v>
      </c>
      <c r="R4040" s="508">
        <v>0.753</v>
      </c>
      <c r="S4040" s="508">
        <v>0.749</v>
      </c>
      <c r="T4040" s="508">
        <v>0.72499999999999998</v>
      </c>
      <c r="U4040" s="508">
        <v>0.76100000000000001</v>
      </c>
      <c r="V4040" s="508">
        <v>0.76800000000000002</v>
      </c>
      <c r="W4040" s="508">
        <v>0.69599999999999995</v>
      </c>
      <c r="X4040" s="508">
        <v>0.69299999999999995</v>
      </c>
      <c r="Y4040" s="508">
        <v>0.69399999999999995</v>
      </c>
      <c r="Z4040" s="508">
        <v>0.69499999999999995</v>
      </c>
      <c r="AA4040" s="508">
        <v>3.7999999999999999E-2</v>
      </c>
      <c r="AB4040" s="508">
        <v>3.6999999999999998E-2</v>
      </c>
      <c r="AC4040" s="508">
        <v>3.7999999999999999E-2</v>
      </c>
      <c r="AD4040" s="508">
        <v>3.5999999999999997E-2</v>
      </c>
      <c r="AE4040" s="508">
        <v>3.5000000000000003E-2</v>
      </c>
      <c r="AF4040" s="508">
        <v>2.3E-2</v>
      </c>
      <c r="AG4040" s="508">
        <v>2.1999999999999999E-2</v>
      </c>
      <c r="AH4040" s="508">
        <v>2.1999999999999999E-2</v>
      </c>
      <c r="AI4040" s="492">
        <v>2.1999999999999999E-2</v>
      </c>
      <c r="AJ4040" s="485"/>
    </row>
    <row r="4041" spans="2:36">
      <c r="B4041" s="136" t="s">
        <v>476</v>
      </c>
      <c r="C4041" s="132" t="s">
        <v>1370</v>
      </c>
      <c r="D4041" s="132" t="s">
        <v>284</v>
      </c>
      <c r="E4041" s="508">
        <v>2.8730000000000002</v>
      </c>
      <c r="F4041" s="508">
        <v>2.8420000000000001</v>
      </c>
      <c r="G4041" s="508">
        <v>2.6970000000000001</v>
      </c>
      <c r="H4041" s="508">
        <v>1.155</v>
      </c>
      <c r="I4041" s="508">
        <v>1.212</v>
      </c>
      <c r="J4041" s="508">
        <v>1.1519999999999999</v>
      </c>
      <c r="K4041" s="508">
        <v>1.103</v>
      </c>
      <c r="L4041" s="508">
        <v>1.139</v>
      </c>
      <c r="M4041" s="508">
        <v>1.163</v>
      </c>
      <c r="N4041" s="508">
        <v>1.1990000000000001</v>
      </c>
      <c r="O4041" s="508">
        <v>1.21</v>
      </c>
      <c r="P4041" s="508">
        <v>1.173</v>
      </c>
      <c r="Q4041" s="508">
        <v>1.169</v>
      </c>
      <c r="R4041" s="508">
        <v>0.77600000000000002</v>
      </c>
      <c r="S4041" s="508">
        <v>0.77200000000000002</v>
      </c>
      <c r="T4041" s="508">
        <v>0.747</v>
      </c>
      <c r="U4041" s="508">
        <v>0.78500000000000003</v>
      </c>
      <c r="V4041" s="508">
        <v>0.79100000000000004</v>
      </c>
      <c r="W4041" s="508">
        <v>0.71699999999999997</v>
      </c>
      <c r="X4041" s="508">
        <v>0.71399999999999997</v>
      </c>
      <c r="Y4041" s="508">
        <v>0.71599999999999997</v>
      </c>
      <c r="Z4041" s="508">
        <v>0.71599999999999997</v>
      </c>
      <c r="AA4041" s="508">
        <v>3.9E-2</v>
      </c>
      <c r="AB4041" s="508">
        <v>3.7999999999999999E-2</v>
      </c>
      <c r="AC4041" s="508">
        <v>3.9E-2</v>
      </c>
      <c r="AD4041" s="508">
        <v>3.6999999999999998E-2</v>
      </c>
      <c r="AE4041" s="508">
        <v>3.5999999999999997E-2</v>
      </c>
      <c r="AF4041" s="508">
        <v>2.4E-2</v>
      </c>
      <c r="AG4041" s="508">
        <v>2.3E-2</v>
      </c>
      <c r="AH4041" s="508">
        <v>2.1999999999999999E-2</v>
      </c>
      <c r="AI4041" s="492">
        <v>2.1999999999999999E-2</v>
      </c>
      <c r="AJ4041" s="485"/>
    </row>
    <row r="4042" spans="2:36">
      <c r="B4042" s="136" t="s">
        <v>478</v>
      </c>
      <c r="C4042" s="132" t="s">
        <v>1370</v>
      </c>
      <c r="D4042" s="132" t="s">
        <v>284</v>
      </c>
      <c r="E4042" s="508">
        <v>2.9260000000000002</v>
      </c>
      <c r="F4042" s="508">
        <v>2.8940000000000001</v>
      </c>
      <c r="G4042" s="508">
        <v>2.7480000000000002</v>
      </c>
      <c r="H4042" s="508">
        <v>1.1919999999999999</v>
      </c>
      <c r="I4042" s="508">
        <v>1.252</v>
      </c>
      <c r="J4042" s="508">
        <v>1.19</v>
      </c>
      <c r="K4042" s="508">
        <v>1.135</v>
      </c>
      <c r="L4042" s="508">
        <v>1.17</v>
      </c>
      <c r="M4042" s="508">
        <v>1.194</v>
      </c>
      <c r="N4042" s="508">
        <v>1.2470000000000001</v>
      </c>
      <c r="O4042" s="508">
        <v>1.2589999999999999</v>
      </c>
      <c r="P4042" s="508">
        <v>1.2210000000000001</v>
      </c>
      <c r="Q4042" s="508">
        <v>1.216</v>
      </c>
      <c r="R4042" s="508">
        <v>0.80300000000000005</v>
      </c>
      <c r="S4042" s="508">
        <v>0.79900000000000004</v>
      </c>
      <c r="T4042" s="508">
        <v>0.77300000000000002</v>
      </c>
      <c r="U4042" s="508">
        <v>0.81299999999999994</v>
      </c>
      <c r="V4042" s="508">
        <v>0.81899999999999995</v>
      </c>
      <c r="W4042" s="508">
        <v>0.74199999999999999</v>
      </c>
      <c r="X4042" s="508">
        <v>0.74</v>
      </c>
      <c r="Y4042" s="508">
        <v>0.74099999999999999</v>
      </c>
      <c r="Z4042" s="508">
        <v>0.74199999999999999</v>
      </c>
      <c r="AA4042" s="508">
        <v>0.04</v>
      </c>
      <c r="AB4042" s="508">
        <v>0.04</v>
      </c>
      <c r="AC4042" s="508">
        <v>0.04</v>
      </c>
      <c r="AD4042" s="508">
        <v>3.7999999999999999E-2</v>
      </c>
      <c r="AE4042" s="508">
        <v>3.7999999999999999E-2</v>
      </c>
      <c r="AF4042" s="508">
        <v>2.4E-2</v>
      </c>
      <c r="AG4042" s="508">
        <v>2.3E-2</v>
      </c>
      <c r="AH4042" s="508">
        <v>2.3E-2</v>
      </c>
      <c r="AI4042" s="492">
        <v>2.3E-2</v>
      </c>
      <c r="AJ4042" s="485"/>
    </row>
    <row r="4043" spans="2:36">
      <c r="B4043" s="136" t="s">
        <v>479</v>
      </c>
      <c r="C4043" s="132" t="s">
        <v>1370</v>
      </c>
      <c r="D4043" s="132" t="s">
        <v>284</v>
      </c>
      <c r="E4043" s="508">
        <v>2.8260000000000001</v>
      </c>
      <c r="F4043" s="508">
        <v>2.7959999999999998</v>
      </c>
      <c r="G4043" s="508">
        <v>2.653</v>
      </c>
      <c r="H4043" s="508">
        <v>1.1240000000000001</v>
      </c>
      <c r="I4043" s="508">
        <v>1.18</v>
      </c>
      <c r="J4043" s="508">
        <v>1.1220000000000001</v>
      </c>
      <c r="K4043" s="508">
        <v>1.0780000000000001</v>
      </c>
      <c r="L4043" s="508">
        <v>1.1140000000000001</v>
      </c>
      <c r="M4043" s="508">
        <v>1.139</v>
      </c>
      <c r="N4043" s="508">
        <v>1.1619999999999999</v>
      </c>
      <c r="O4043" s="508">
        <v>1.173</v>
      </c>
      <c r="P4043" s="508">
        <v>1.1379999999999999</v>
      </c>
      <c r="Q4043" s="508">
        <v>1.1339999999999999</v>
      </c>
      <c r="R4043" s="508">
        <v>0.752</v>
      </c>
      <c r="S4043" s="508">
        <v>0.748</v>
      </c>
      <c r="T4043" s="508">
        <v>0.72399999999999998</v>
      </c>
      <c r="U4043" s="508">
        <v>0.76100000000000001</v>
      </c>
      <c r="V4043" s="508">
        <v>0.76700000000000002</v>
      </c>
      <c r="W4043" s="508">
        <v>0.69499999999999995</v>
      </c>
      <c r="X4043" s="508">
        <v>0.69299999999999995</v>
      </c>
      <c r="Y4043" s="508">
        <v>0.69399999999999995</v>
      </c>
      <c r="Z4043" s="508">
        <v>0.69499999999999995</v>
      </c>
      <c r="AA4043" s="508">
        <v>3.7999999999999999E-2</v>
      </c>
      <c r="AB4043" s="508">
        <v>3.6999999999999998E-2</v>
      </c>
      <c r="AC4043" s="508">
        <v>3.7999999999999999E-2</v>
      </c>
      <c r="AD4043" s="508">
        <v>3.5999999999999997E-2</v>
      </c>
      <c r="AE4043" s="508">
        <v>3.5000000000000003E-2</v>
      </c>
      <c r="AF4043" s="508">
        <v>2.3E-2</v>
      </c>
      <c r="AG4043" s="508">
        <v>2.1999999999999999E-2</v>
      </c>
      <c r="AH4043" s="508">
        <v>2.1999999999999999E-2</v>
      </c>
      <c r="AI4043" s="492">
        <v>2.1999999999999999E-2</v>
      </c>
      <c r="AJ4043" s="485"/>
    </row>
    <row r="4044" spans="2:36">
      <c r="B4044" s="136" t="s">
        <v>480</v>
      </c>
      <c r="C4044" s="132" t="s">
        <v>1370</v>
      </c>
      <c r="D4044" s="132" t="s">
        <v>284</v>
      </c>
      <c r="E4044" s="508">
        <v>2.7389999999999999</v>
      </c>
      <c r="F4044" s="508">
        <v>2.71</v>
      </c>
      <c r="G4044" s="508">
        <v>2.5680000000000001</v>
      </c>
      <c r="H4044" s="508">
        <v>1.0680000000000001</v>
      </c>
      <c r="I4044" s="508">
        <v>1.119</v>
      </c>
      <c r="J4044" s="508">
        <v>1.0669999999999999</v>
      </c>
      <c r="K4044" s="508">
        <v>1.0309999999999999</v>
      </c>
      <c r="L4044" s="508">
        <v>1.069</v>
      </c>
      <c r="M4044" s="508">
        <v>1.095</v>
      </c>
      <c r="N4044" s="508">
        <v>1.095</v>
      </c>
      <c r="O4044" s="508">
        <v>1.1040000000000001</v>
      </c>
      <c r="P4044" s="508">
        <v>1.075</v>
      </c>
      <c r="Q4044" s="508">
        <v>1.0720000000000001</v>
      </c>
      <c r="R4044" s="508">
        <v>0.70599999999999996</v>
      </c>
      <c r="S4044" s="508">
        <v>0.70299999999999996</v>
      </c>
      <c r="T4044" s="508">
        <v>0.68</v>
      </c>
      <c r="U4044" s="508">
        <v>0.71499999999999997</v>
      </c>
      <c r="V4044" s="508">
        <v>0.72099999999999997</v>
      </c>
      <c r="W4044" s="508">
        <v>0.65300000000000002</v>
      </c>
      <c r="X4044" s="508">
        <v>0.65100000000000002</v>
      </c>
      <c r="Y4044" s="508">
        <v>0.65200000000000002</v>
      </c>
      <c r="Z4044" s="508">
        <v>0.65300000000000002</v>
      </c>
      <c r="AA4044" s="508">
        <v>3.5999999999999997E-2</v>
      </c>
      <c r="AB4044" s="508">
        <v>3.5999999999999997E-2</v>
      </c>
      <c r="AC4044" s="508">
        <v>3.5999999999999997E-2</v>
      </c>
      <c r="AD4044" s="508">
        <v>3.4000000000000002E-2</v>
      </c>
      <c r="AE4044" s="508">
        <v>3.4000000000000002E-2</v>
      </c>
      <c r="AF4044" s="508">
        <v>2.1999999999999999E-2</v>
      </c>
      <c r="AG4044" s="508">
        <v>2.1000000000000001E-2</v>
      </c>
      <c r="AH4044" s="508">
        <v>2.1000000000000001E-2</v>
      </c>
      <c r="AI4044" s="492">
        <v>2.1000000000000001E-2</v>
      </c>
      <c r="AJ4044" s="485"/>
    </row>
    <row r="4045" spans="2:36">
      <c r="B4045" s="136" t="s">
        <v>481</v>
      </c>
      <c r="C4045" s="132" t="s">
        <v>1370</v>
      </c>
      <c r="D4045" s="132" t="s">
        <v>284</v>
      </c>
      <c r="E4045" s="508">
        <v>2.8490000000000002</v>
      </c>
      <c r="F4045" s="508">
        <v>2.819</v>
      </c>
      <c r="G4045" s="508">
        <v>2.6749999999999998</v>
      </c>
      <c r="H4045" s="508">
        <v>1.139</v>
      </c>
      <c r="I4045" s="508">
        <v>1.196</v>
      </c>
      <c r="J4045" s="508">
        <v>1.137</v>
      </c>
      <c r="K4045" s="508">
        <v>1.0900000000000001</v>
      </c>
      <c r="L4045" s="508">
        <v>1.1259999999999999</v>
      </c>
      <c r="M4045" s="508">
        <v>1.151</v>
      </c>
      <c r="N4045" s="508">
        <v>1.18</v>
      </c>
      <c r="O4045" s="508">
        <v>1.1910000000000001</v>
      </c>
      <c r="P4045" s="508">
        <v>1.1559999999999999</v>
      </c>
      <c r="Q4045" s="508">
        <v>1.1519999999999999</v>
      </c>
      <c r="R4045" s="508">
        <v>0.76300000000000001</v>
      </c>
      <c r="S4045" s="508">
        <v>0.75900000000000001</v>
      </c>
      <c r="T4045" s="508">
        <v>0.73499999999999999</v>
      </c>
      <c r="U4045" s="508">
        <v>0.77200000000000002</v>
      </c>
      <c r="V4045" s="508">
        <v>0.77900000000000003</v>
      </c>
      <c r="W4045" s="508">
        <v>0.70599999999999996</v>
      </c>
      <c r="X4045" s="508">
        <v>0.70299999999999996</v>
      </c>
      <c r="Y4045" s="508">
        <v>0.70399999999999996</v>
      </c>
      <c r="Z4045" s="508">
        <v>0.70499999999999996</v>
      </c>
      <c r="AA4045" s="508">
        <v>3.7999999999999999E-2</v>
      </c>
      <c r="AB4045" s="508">
        <v>3.7999999999999999E-2</v>
      </c>
      <c r="AC4045" s="508">
        <v>3.7999999999999999E-2</v>
      </c>
      <c r="AD4045" s="508">
        <v>3.5999999999999997E-2</v>
      </c>
      <c r="AE4045" s="508">
        <v>3.5999999999999997E-2</v>
      </c>
      <c r="AF4045" s="508">
        <v>2.3E-2</v>
      </c>
      <c r="AG4045" s="508">
        <v>2.1999999999999999E-2</v>
      </c>
      <c r="AH4045" s="508">
        <v>2.1999999999999999E-2</v>
      </c>
      <c r="AI4045" s="492">
        <v>2.1999999999999999E-2</v>
      </c>
      <c r="AJ4045" s="485"/>
    </row>
    <row r="4046" spans="2:36">
      <c r="B4046" s="136" t="s">
        <v>482</v>
      </c>
      <c r="C4046" s="132" t="s">
        <v>1370</v>
      </c>
      <c r="D4046" s="132" t="s">
        <v>284</v>
      </c>
      <c r="E4046" s="508">
        <v>2.8570000000000002</v>
      </c>
      <c r="F4046" s="508">
        <v>2.8260000000000001</v>
      </c>
      <c r="G4046" s="508">
        <v>2.6819999999999999</v>
      </c>
      <c r="H4046" s="508">
        <v>1.143</v>
      </c>
      <c r="I4046" s="508">
        <v>1.2</v>
      </c>
      <c r="J4046" s="508">
        <v>1.141</v>
      </c>
      <c r="K4046" s="508">
        <v>1.093</v>
      </c>
      <c r="L4046" s="508">
        <v>1.129</v>
      </c>
      <c r="M4046" s="508">
        <v>1.1539999999999999</v>
      </c>
      <c r="N4046" s="508">
        <v>1.1850000000000001</v>
      </c>
      <c r="O4046" s="508">
        <v>1.196</v>
      </c>
      <c r="P4046" s="508">
        <v>1.161</v>
      </c>
      <c r="Q4046" s="508">
        <v>1.1559999999999999</v>
      </c>
      <c r="R4046" s="508">
        <v>0.76600000000000001</v>
      </c>
      <c r="S4046" s="508">
        <v>0.76200000000000001</v>
      </c>
      <c r="T4046" s="508">
        <v>0.73799999999999999</v>
      </c>
      <c r="U4046" s="508">
        <v>0.77500000000000002</v>
      </c>
      <c r="V4046" s="508">
        <v>0.78200000000000003</v>
      </c>
      <c r="W4046" s="508">
        <v>0.70799999999999996</v>
      </c>
      <c r="X4046" s="508">
        <v>0.70599999999999996</v>
      </c>
      <c r="Y4046" s="508">
        <v>0.70699999999999996</v>
      </c>
      <c r="Z4046" s="508">
        <v>0.70799999999999996</v>
      </c>
      <c r="AA4046" s="508">
        <v>3.7999999999999999E-2</v>
      </c>
      <c r="AB4046" s="508">
        <v>3.7999999999999999E-2</v>
      </c>
      <c r="AC4046" s="508">
        <v>3.7999999999999999E-2</v>
      </c>
      <c r="AD4046" s="508">
        <v>3.5999999999999997E-2</v>
      </c>
      <c r="AE4046" s="508">
        <v>3.5999999999999997E-2</v>
      </c>
      <c r="AF4046" s="508">
        <v>2.3E-2</v>
      </c>
      <c r="AG4046" s="508">
        <v>2.1999999999999999E-2</v>
      </c>
      <c r="AH4046" s="508">
        <v>2.1999999999999999E-2</v>
      </c>
      <c r="AI4046" s="492">
        <v>2.1999999999999999E-2</v>
      </c>
      <c r="AJ4046" s="485"/>
    </row>
    <row r="4047" spans="2:36">
      <c r="B4047" s="136" t="s">
        <v>483</v>
      </c>
      <c r="C4047" s="132" t="s">
        <v>1370</v>
      </c>
      <c r="D4047" s="132" t="s">
        <v>284</v>
      </c>
      <c r="E4047" s="508">
        <v>2.9129999999999998</v>
      </c>
      <c r="F4047" s="508">
        <v>2.8820000000000001</v>
      </c>
      <c r="G4047" s="508">
        <v>2.7360000000000002</v>
      </c>
      <c r="H4047" s="508">
        <v>1.1830000000000001</v>
      </c>
      <c r="I4047" s="508">
        <v>1.242</v>
      </c>
      <c r="J4047" s="508">
        <v>1.181</v>
      </c>
      <c r="K4047" s="508">
        <v>1.127</v>
      </c>
      <c r="L4047" s="508">
        <v>1.1619999999999999</v>
      </c>
      <c r="M4047" s="508">
        <v>1.1859999999999999</v>
      </c>
      <c r="N4047" s="508">
        <v>1.2350000000000001</v>
      </c>
      <c r="O4047" s="508">
        <v>1.2470000000000001</v>
      </c>
      <c r="P4047" s="508">
        <v>1.2090000000000001</v>
      </c>
      <c r="Q4047" s="508">
        <v>1.204</v>
      </c>
      <c r="R4047" s="508">
        <v>0.79700000000000004</v>
      </c>
      <c r="S4047" s="508">
        <v>0.79300000000000004</v>
      </c>
      <c r="T4047" s="508">
        <v>0.76700000000000002</v>
      </c>
      <c r="U4047" s="508">
        <v>0.80600000000000005</v>
      </c>
      <c r="V4047" s="508">
        <v>0.81299999999999994</v>
      </c>
      <c r="W4047" s="508">
        <v>0.73699999999999999</v>
      </c>
      <c r="X4047" s="508">
        <v>0.73399999999999999</v>
      </c>
      <c r="Y4047" s="508">
        <v>0.73499999999999999</v>
      </c>
      <c r="Z4047" s="508">
        <v>0.73599999999999999</v>
      </c>
      <c r="AA4047" s="508">
        <v>0.04</v>
      </c>
      <c r="AB4047" s="508">
        <v>3.9E-2</v>
      </c>
      <c r="AC4047" s="508">
        <v>0.04</v>
      </c>
      <c r="AD4047" s="508">
        <v>3.6999999999999998E-2</v>
      </c>
      <c r="AE4047" s="508">
        <v>3.6999999999999998E-2</v>
      </c>
      <c r="AF4047" s="508">
        <v>2.4E-2</v>
      </c>
      <c r="AG4047" s="508">
        <v>2.3E-2</v>
      </c>
      <c r="AH4047" s="508">
        <v>2.3E-2</v>
      </c>
      <c r="AI4047" s="492">
        <v>2.3E-2</v>
      </c>
      <c r="AJ4047" s="485"/>
    </row>
    <row r="4048" spans="2:36">
      <c r="B4048" s="136" t="s">
        <v>484</v>
      </c>
      <c r="C4048" s="132" t="s">
        <v>1370</v>
      </c>
      <c r="D4048" s="132" t="s">
        <v>284</v>
      </c>
      <c r="E4048" s="508">
        <v>2.7589999999999999</v>
      </c>
      <c r="F4048" s="508">
        <v>2.73</v>
      </c>
      <c r="G4048" s="508">
        <v>2.5880000000000001</v>
      </c>
      <c r="H4048" s="508">
        <v>1.0760000000000001</v>
      </c>
      <c r="I4048" s="508">
        <v>1.129</v>
      </c>
      <c r="J4048" s="508">
        <v>1.0740000000000001</v>
      </c>
      <c r="K4048" s="508">
        <v>1.0369999999999999</v>
      </c>
      <c r="L4048" s="508">
        <v>1.0740000000000001</v>
      </c>
      <c r="M4048" s="508">
        <v>1.099</v>
      </c>
      <c r="N4048" s="508">
        <v>1.1000000000000001</v>
      </c>
      <c r="O4048" s="508">
        <v>1.1100000000000001</v>
      </c>
      <c r="P4048" s="508">
        <v>1.0780000000000001</v>
      </c>
      <c r="Q4048" s="508">
        <v>1.0740000000000001</v>
      </c>
      <c r="R4048" s="508">
        <v>0.71599999999999997</v>
      </c>
      <c r="S4048" s="508">
        <v>0.71199999999999997</v>
      </c>
      <c r="T4048" s="508">
        <v>0.68899999999999995</v>
      </c>
      <c r="U4048" s="508">
        <v>0.72399999999999998</v>
      </c>
      <c r="V4048" s="508">
        <v>0.73</v>
      </c>
      <c r="W4048" s="508">
        <v>0.66100000000000003</v>
      </c>
      <c r="X4048" s="508">
        <v>0.65900000000000003</v>
      </c>
      <c r="Y4048" s="508">
        <v>0.66</v>
      </c>
      <c r="Z4048" s="508">
        <v>0.66100000000000003</v>
      </c>
      <c r="AA4048" s="508">
        <v>3.5999999999999997E-2</v>
      </c>
      <c r="AB4048" s="508">
        <v>3.5999999999999997E-2</v>
      </c>
      <c r="AC4048" s="508">
        <v>3.5999999999999997E-2</v>
      </c>
      <c r="AD4048" s="508">
        <v>3.4000000000000002E-2</v>
      </c>
      <c r="AE4048" s="508">
        <v>3.4000000000000002E-2</v>
      </c>
      <c r="AF4048" s="508">
        <v>2.1999999999999999E-2</v>
      </c>
      <c r="AG4048" s="508">
        <v>2.1000000000000001E-2</v>
      </c>
      <c r="AH4048" s="508">
        <v>2.1000000000000001E-2</v>
      </c>
      <c r="AI4048" s="492">
        <v>2.1000000000000001E-2</v>
      </c>
      <c r="AJ4048" s="485"/>
    </row>
    <row r="4049" spans="2:36">
      <c r="B4049" s="136" t="s">
        <v>486</v>
      </c>
      <c r="C4049" s="132" t="s">
        <v>1370</v>
      </c>
      <c r="D4049" s="132" t="s">
        <v>284</v>
      </c>
      <c r="E4049" s="508">
        <v>2.855</v>
      </c>
      <c r="F4049" s="508">
        <v>2.8239999999999998</v>
      </c>
      <c r="G4049" s="508">
        <v>2.68</v>
      </c>
      <c r="H4049" s="508">
        <v>1.1439999999999999</v>
      </c>
      <c r="I4049" s="508">
        <v>1.2</v>
      </c>
      <c r="J4049" s="508">
        <v>1.141</v>
      </c>
      <c r="K4049" s="508">
        <v>1.0940000000000001</v>
      </c>
      <c r="L4049" s="508">
        <v>1.1299999999999999</v>
      </c>
      <c r="M4049" s="508">
        <v>1.1539999999999999</v>
      </c>
      <c r="N4049" s="508">
        <v>1.1859999999999999</v>
      </c>
      <c r="O4049" s="508">
        <v>1.1970000000000001</v>
      </c>
      <c r="P4049" s="508">
        <v>1.1619999999999999</v>
      </c>
      <c r="Q4049" s="508">
        <v>1.157</v>
      </c>
      <c r="R4049" s="508">
        <v>0.76600000000000001</v>
      </c>
      <c r="S4049" s="508">
        <v>0.76200000000000001</v>
      </c>
      <c r="T4049" s="508">
        <v>0.73699999999999999</v>
      </c>
      <c r="U4049" s="508">
        <v>0.77500000000000002</v>
      </c>
      <c r="V4049" s="508">
        <v>0.78200000000000003</v>
      </c>
      <c r="W4049" s="508">
        <v>0.70799999999999996</v>
      </c>
      <c r="X4049" s="508">
        <v>0.70599999999999996</v>
      </c>
      <c r="Y4049" s="508">
        <v>0.70699999999999996</v>
      </c>
      <c r="Z4049" s="508">
        <v>0.70799999999999996</v>
      </c>
      <c r="AA4049" s="508">
        <v>3.7999999999999999E-2</v>
      </c>
      <c r="AB4049" s="508">
        <v>3.7999999999999999E-2</v>
      </c>
      <c r="AC4049" s="508">
        <v>3.7999999999999999E-2</v>
      </c>
      <c r="AD4049" s="508">
        <v>3.5999999999999997E-2</v>
      </c>
      <c r="AE4049" s="508">
        <v>3.5999999999999997E-2</v>
      </c>
      <c r="AF4049" s="508">
        <v>2.3E-2</v>
      </c>
      <c r="AG4049" s="508">
        <v>2.1999999999999999E-2</v>
      </c>
      <c r="AH4049" s="508">
        <v>2.1999999999999999E-2</v>
      </c>
      <c r="AI4049" s="492">
        <v>2.1999999999999999E-2</v>
      </c>
      <c r="AJ4049" s="485"/>
    </row>
    <row r="4050" spans="2:36">
      <c r="B4050" s="136" t="s">
        <v>487</v>
      </c>
      <c r="C4050" s="132" t="s">
        <v>1370</v>
      </c>
      <c r="D4050" s="132" t="s">
        <v>284</v>
      </c>
      <c r="E4050" s="508">
        <v>2.851</v>
      </c>
      <c r="F4050" s="508">
        <v>2.82</v>
      </c>
      <c r="G4050" s="508">
        <v>2.6749999999999998</v>
      </c>
      <c r="H4050" s="508">
        <v>1.1439999999999999</v>
      </c>
      <c r="I4050" s="508">
        <v>1.2</v>
      </c>
      <c r="J4050" s="508">
        <v>1.1419999999999999</v>
      </c>
      <c r="K4050" s="508">
        <v>1.0940000000000001</v>
      </c>
      <c r="L4050" s="508">
        <v>1.131</v>
      </c>
      <c r="M4050" s="508">
        <v>1.155</v>
      </c>
      <c r="N4050" s="508">
        <v>1.1890000000000001</v>
      </c>
      <c r="O4050" s="508">
        <v>1.1990000000000001</v>
      </c>
      <c r="P4050" s="508">
        <v>1.1659999999999999</v>
      </c>
      <c r="Q4050" s="508">
        <v>1.1619999999999999</v>
      </c>
      <c r="R4050" s="508">
        <v>0.76400000000000001</v>
      </c>
      <c r="S4050" s="508">
        <v>0.76</v>
      </c>
      <c r="T4050" s="508">
        <v>0.73499999999999999</v>
      </c>
      <c r="U4050" s="508">
        <v>0.77300000000000002</v>
      </c>
      <c r="V4050" s="508">
        <v>0.78</v>
      </c>
      <c r="W4050" s="508">
        <v>0.70699999999999996</v>
      </c>
      <c r="X4050" s="508">
        <v>0.70399999999999996</v>
      </c>
      <c r="Y4050" s="508">
        <v>0.70499999999999996</v>
      </c>
      <c r="Z4050" s="508">
        <v>0.70599999999999996</v>
      </c>
      <c r="AA4050" s="508">
        <v>3.7999999999999999E-2</v>
      </c>
      <c r="AB4050" s="508">
        <v>3.7999999999999999E-2</v>
      </c>
      <c r="AC4050" s="508">
        <v>3.7999999999999999E-2</v>
      </c>
      <c r="AD4050" s="508">
        <v>3.5999999999999997E-2</v>
      </c>
      <c r="AE4050" s="508">
        <v>3.5999999999999997E-2</v>
      </c>
      <c r="AF4050" s="508">
        <v>2.3E-2</v>
      </c>
      <c r="AG4050" s="508">
        <v>2.1999999999999999E-2</v>
      </c>
      <c r="AH4050" s="508">
        <v>2.1999999999999999E-2</v>
      </c>
      <c r="AI4050" s="492">
        <v>2.1999999999999999E-2</v>
      </c>
      <c r="AJ4050" s="485"/>
    </row>
    <row r="4051" spans="2:36">
      <c r="B4051" s="136" t="s">
        <v>488</v>
      </c>
      <c r="C4051" s="132" t="s">
        <v>1370</v>
      </c>
      <c r="D4051" s="132" t="s">
        <v>284</v>
      </c>
      <c r="E4051" s="508">
        <v>2.78</v>
      </c>
      <c r="F4051" s="508">
        <v>2.7509999999999999</v>
      </c>
      <c r="G4051" s="508">
        <v>2.6080000000000001</v>
      </c>
      <c r="H4051" s="508">
        <v>1.0920000000000001</v>
      </c>
      <c r="I4051" s="508">
        <v>1.1459999999999999</v>
      </c>
      <c r="J4051" s="508">
        <v>1.0900000000000001</v>
      </c>
      <c r="K4051" s="508">
        <v>1.05</v>
      </c>
      <c r="L4051" s="508">
        <v>1.087</v>
      </c>
      <c r="M4051" s="508">
        <v>1.1120000000000001</v>
      </c>
      <c r="N4051" s="508">
        <v>1.121</v>
      </c>
      <c r="O4051" s="508">
        <v>1.1319999999999999</v>
      </c>
      <c r="P4051" s="508">
        <v>1.1000000000000001</v>
      </c>
      <c r="Q4051" s="508">
        <v>1.0960000000000001</v>
      </c>
      <c r="R4051" s="508">
        <v>0.72699999999999998</v>
      </c>
      <c r="S4051" s="508">
        <v>0.72299999999999998</v>
      </c>
      <c r="T4051" s="508">
        <v>0.7</v>
      </c>
      <c r="U4051" s="508">
        <v>0.73499999999999999</v>
      </c>
      <c r="V4051" s="508">
        <v>0.74099999999999999</v>
      </c>
      <c r="W4051" s="508">
        <v>0.67200000000000004</v>
      </c>
      <c r="X4051" s="508">
        <v>0.66900000000000004</v>
      </c>
      <c r="Y4051" s="508">
        <v>0.67</v>
      </c>
      <c r="Z4051" s="508">
        <v>0.67100000000000004</v>
      </c>
      <c r="AA4051" s="508">
        <v>3.5999999999999997E-2</v>
      </c>
      <c r="AB4051" s="508">
        <v>3.5999999999999997E-2</v>
      </c>
      <c r="AC4051" s="508">
        <v>3.6999999999999998E-2</v>
      </c>
      <c r="AD4051" s="508">
        <v>3.5000000000000003E-2</v>
      </c>
      <c r="AE4051" s="508">
        <v>3.4000000000000002E-2</v>
      </c>
      <c r="AF4051" s="508">
        <v>2.1999999999999999E-2</v>
      </c>
      <c r="AG4051" s="508">
        <v>2.1000000000000001E-2</v>
      </c>
      <c r="AH4051" s="508">
        <v>2.1000000000000001E-2</v>
      </c>
      <c r="AI4051" s="492">
        <v>2.1000000000000001E-2</v>
      </c>
      <c r="AJ4051" s="485"/>
    </row>
    <row r="4052" spans="2:36">
      <c r="B4052" s="136" t="s">
        <v>489</v>
      </c>
      <c r="C4052" s="132" t="s">
        <v>1370</v>
      </c>
      <c r="D4052" s="132" t="s">
        <v>284</v>
      </c>
      <c r="E4052" s="508">
        <v>2.8220000000000001</v>
      </c>
      <c r="F4052" s="508">
        <v>2.7919999999999998</v>
      </c>
      <c r="G4052" s="508">
        <v>2.649</v>
      </c>
      <c r="H4052" s="508">
        <v>1.1180000000000001</v>
      </c>
      <c r="I4052" s="508">
        <v>1.1739999999999999</v>
      </c>
      <c r="J4052" s="508">
        <v>1.1160000000000001</v>
      </c>
      <c r="K4052" s="508">
        <v>1.071</v>
      </c>
      <c r="L4052" s="508">
        <v>1.1080000000000001</v>
      </c>
      <c r="M4052" s="508">
        <v>1.1319999999999999</v>
      </c>
      <c r="N4052" s="508">
        <v>1.151</v>
      </c>
      <c r="O4052" s="508">
        <v>1.1619999999999999</v>
      </c>
      <c r="P4052" s="508">
        <v>1.127</v>
      </c>
      <c r="Q4052" s="508">
        <v>1.1220000000000001</v>
      </c>
      <c r="R4052" s="508">
        <v>0.748</v>
      </c>
      <c r="S4052" s="508">
        <v>0.74399999999999999</v>
      </c>
      <c r="T4052" s="508">
        <v>0.72099999999999997</v>
      </c>
      <c r="U4052" s="508">
        <v>0.75700000000000001</v>
      </c>
      <c r="V4052" s="508">
        <v>0.76300000000000001</v>
      </c>
      <c r="W4052" s="508">
        <v>0.69099999999999995</v>
      </c>
      <c r="X4052" s="508">
        <v>0.68899999999999995</v>
      </c>
      <c r="Y4052" s="508">
        <v>0.69</v>
      </c>
      <c r="Z4052" s="508">
        <v>0.69099999999999995</v>
      </c>
      <c r="AA4052" s="508">
        <v>3.6999999999999998E-2</v>
      </c>
      <c r="AB4052" s="508">
        <v>3.6999999999999998E-2</v>
      </c>
      <c r="AC4052" s="508">
        <v>3.6999999999999998E-2</v>
      </c>
      <c r="AD4052" s="508">
        <v>3.5000000000000003E-2</v>
      </c>
      <c r="AE4052" s="508">
        <v>3.5000000000000003E-2</v>
      </c>
      <c r="AF4052" s="508">
        <v>2.3E-2</v>
      </c>
      <c r="AG4052" s="508">
        <v>2.1999999999999999E-2</v>
      </c>
      <c r="AH4052" s="508">
        <v>2.1999999999999999E-2</v>
      </c>
      <c r="AI4052" s="492">
        <v>2.1999999999999999E-2</v>
      </c>
      <c r="AJ4052" s="485"/>
    </row>
    <row r="4053" spans="2:36">
      <c r="B4053" s="136" t="s">
        <v>490</v>
      </c>
      <c r="C4053" s="132" t="s">
        <v>1370</v>
      </c>
      <c r="D4053" s="132" t="s">
        <v>284</v>
      </c>
      <c r="E4053" s="508">
        <v>2.7360000000000002</v>
      </c>
      <c r="F4053" s="508">
        <v>2.7080000000000002</v>
      </c>
      <c r="G4053" s="508">
        <v>2.5649999999999999</v>
      </c>
      <c r="H4053" s="508">
        <v>1.07</v>
      </c>
      <c r="I4053" s="508">
        <v>1.1200000000000001</v>
      </c>
      <c r="J4053" s="508">
        <v>1.0680000000000001</v>
      </c>
      <c r="K4053" s="508">
        <v>1.0329999999999999</v>
      </c>
      <c r="L4053" s="508">
        <v>1.071</v>
      </c>
      <c r="M4053" s="508">
        <v>1.097</v>
      </c>
      <c r="N4053" s="508">
        <v>1.099</v>
      </c>
      <c r="O4053" s="508">
        <v>1.1080000000000001</v>
      </c>
      <c r="P4053" s="508">
        <v>1.08</v>
      </c>
      <c r="Q4053" s="508">
        <v>1.077</v>
      </c>
      <c r="R4053" s="508">
        <v>0.70599999999999996</v>
      </c>
      <c r="S4053" s="508">
        <v>0.70299999999999996</v>
      </c>
      <c r="T4053" s="508">
        <v>0.68</v>
      </c>
      <c r="U4053" s="508">
        <v>0.71499999999999997</v>
      </c>
      <c r="V4053" s="508">
        <v>0.72099999999999997</v>
      </c>
      <c r="W4053" s="508">
        <v>0.65300000000000002</v>
      </c>
      <c r="X4053" s="508">
        <v>0.65100000000000002</v>
      </c>
      <c r="Y4053" s="508">
        <v>0.65200000000000002</v>
      </c>
      <c r="Z4053" s="508">
        <v>0.65300000000000002</v>
      </c>
      <c r="AA4053" s="508">
        <v>3.5999999999999997E-2</v>
      </c>
      <c r="AB4053" s="508">
        <v>3.5999999999999997E-2</v>
      </c>
      <c r="AC4053" s="508">
        <v>3.5999999999999997E-2</v>
      </c>
      <c r="AD4053" s="508">
        <v>3.4000000000000002E-2</v>
      </c>
      <c r="AE4053" s="508">
        <v>3.4000000000000002E-2</v>
      </c>
      <c r="AF4053" s="508">
        <v>2.1999999999999999E-2</v>
      </c>
      <c r="AG4053" s="508">
        <v>2.1000000000000001E-2</v>
      </c>
      <c r="AH4053" s="508">
        <v>2.1000000000000001E-2</v>
      </c>
      <c r="AI4053" s="492">
        <v>2.1000000000000001E-2</v>
      </c>
      <c r="AJ4053" s="485"/>
    </row>
    <row r="4054" spans="2:36">
      <c r="B4054" s="136" t="s">
        <v>435</v>
      </c>
      <c r="C4054" s="132" t="s">
        <v>1371</v>
      </c>
      <c r="D4054" s="132" t="s">
        <v>284</v>
      </c>
      <c r="E4054" s="508">
        <v>1.165</v>
      </c>
      <c r="F4054" s="508">
        <v>1.165</v>
      </c>
      <c r="G4054" s="508">
        <v>1.165</v>
      </c>
      <c r="H4054" s="508">
        <v>1.022</v>
      </c>
      <c r="I4054" s="508">
        <v>1.022</v>
      </c>
      <c r="J4054" s="508">
        <v>1.022</v>
      </c>
      <c r="K4054" s="508">
        <v>0.65400000000000003</v>
      </c>
      <c r="L4054" s="508">
        <v>0.65400000000000003</v>
      </c>
      <c r="M4054" s="508">
        <v>0.65400000000000003</v>
      </c>
      <c r="N4054" s="508">
        <v>1.077</v>
      </c>
      <c r="O4054" s="508">
        <v>1.077</v>
      </c>
      <c r="P4054" s="508">
        <v>1.077</v>
      </c>
      <c r="Q4054" s="508">
        <v>1.077</v>
      </c>
      <c r="R4054" s="508">
        <v>0.51400000000000001</v>
      </c>
      <c r="S4054" s="508">
        <v>0.51400000000000001</v>
      </c>
      <c r="T4054" s="508">
        <v>0.51400000000000001</v>
      </c>
      <c r="U4054" s="508">
        <v>0.51400000000000001</v>
      </c>
      <c r="V4054" s="508">
        <v>0.51400000000000001</v>
      </c>
      <c r="W4054" s="508">
        <v>0.46300000000000002</v>
      </c>
      <c r="X4054" s="508">
        <v>0.46300000000000002</v>
      </c>
      <c r="Y4054" s="508">
        <v>0.46300000000000002</v>
      </c>
      <c r="Z4054" s="508">
        <v>0.46300000000000002</v>
      </c>
      <c r="AA4054" s="508">
        <v>1.9E-2</v>
      </c>
      <c r="AB4054" s="508">
        <v>1.9E-2</v>
      </c>
      <c r="AC4054" s="508">
        <v>1.9E-2</v>
      </c>
      <c r="AD4054" s="508">
        <v>1.7000000000000001E-2</v>
      </c>
      <c r="AE4054" s="508">
        <v>1.7000000000000001E-2</v>
      </c>
      <c r="AF4054" s="508">
        <v>0.01</v>
      </c>
      <c r="AG4054" s="508">
        <v>0.01</v>
      </c>
      <c r="AH4054" s="508">
        <v>0.01</v>
      </c>
      <c r="AI4054" s="492">
        <v>0.01</v>
      </c>
      <c r="AJ4054" s="485"/>
    </row>
    <row r="4055" spans="2:36">
      <c r="B4055" s="136" t="s">
        <v>436</v>
      </c>
      <c r="C4055" s="132" t="s">
        <v>1371</v>
      </c>
      <c r="D4055" s="132" t="s">
        <v>284</v>
      </c>
      <c r="E4055" s="508">
        <v>1.161</v>
      </c>
      <c r="F4055" s="508">
        <v>1.161</v>
      </c>
      <c r="G4055" s="508">
        <v>1.161</v>
      </c>
      <c r="H4055" s="508">
        <v>1.0129999999999999</v>
      </c>
      <c r="I4055" s="508">
        <v>1.0129999999999999</v>
      </c>
      <c r="J4055" s="508">
        <v>1.0129999999999999</v>
      </c>
      <c r="K4055" s="508">
        <v>0.64200000000000002</v>
      </c>
      <c r="L4055" s="508">
        <v>0.64200000000000002</v>
      </c>
      <c r="M4055" s="508">
        <v>0.64200000000000002</v>
      </c>
      <c r="N4055" s="508">
        <v>1.0509999999999999</v>
      </c>
      <c r="O4055" s="508">
        <v>1.0509999999999999</v>
      </c>
      <c r="P4055" s="508">
        <v>1.0509999999999999</v>
      </c>
      <c r="Q4055" s="508">
        <v>1.0509999999999999</v>
      </c>
      <c r="R4055" s="508">
        <v>0.501</v>
      </c>
      <c r="S4055" s="508">
        <v>0.501</v>
      </c>
      <c r="T4055" s="508">
        <v>0.501</v>
      </c>
      <c r="U4055" s="508">
        <v>0.501</v>
      </c>
      <c r="V4055" s="508">
        <v>0.501</v>
      </c>
      <c r="W4055" s="508">
        <v>0.45200000000000001</v>
      </c>
      <c r="X4055" s="508">
        <v>0.45200000000000001</v>
      </c>
      <c r="Y4055" s="508">
        <v>0.45200000000000001</v>
      </c>
      <c r="Z4055" s="508">
        <v>0.45200000000000001</v>
      </c>
      <c r="AA4055" s="508">
        <v>1.9E-2</v>
      </c>
      <c r="AB4055" s="508">
        <v>1.9E-2</v>
      </c>
      <c r="AC4055" s="508">
        <v>1.9E-2</v>
      </c>
      <c r="AD4055" s="508">
        <v>1.7000000000000001E-2</v>
      </c>
      <c r="AE4055" s="508">
        <v>1.7000000000000001E-2</v>
      </c>
      <c r="AF4055" s="508">
        <v>0.01</v>
      </c>
      <c r="AG4055" s="508">
        <v>0.01</v>
      </c>
      <c r="AH4055" s="508">
        <v>0.01</v>
      </c>
      <c r="AI4055" s="492">
        <v>0.01</v>
      </c>
      <c r="AJ4055" s="485"/>
    </row>
    <row r="4056" spans="2:36">
      <c r="B4056" s="136" t="s">
        <v>437</v>
      </c>
      <c r="C4056" s="132" t="s">
        <v>1371</v>
      </c>
      <c r="D4056" s="132" t="s">
        <v>284</v>
      </c>
      <c r="E4056" s="508">
        <v>1.1839999999999999</v>
      </c>
      <c r="F4056" s="508">
        <v>1.1839999999999999</v>
      </c>
      <c r="G4056" s="508">
        <v>1.1839999999999999</v>
      </c>
      <c r="H4056" s="508">
        <v>1.0489999999999999</v>
      </c>
      <c r="I4056" s="508">
        <v>1.0489999999999999</v>
      </c>
      <c r="J4056" s="508">
        <v>1.0489999999999999</v>
      </c>
      <c r="K4056" s="508">
        <v>0.68</v>
      </c>
      <c r="L4056" s="508">
        <v>0.68</v>
      </c>
      <c r="M4056" s="508">
        <v>0.68</v>
      </c>
      <c r="N4056" s="508">
        <v>1.115</v>
      </c>
      <c r="O4056" s="508">
        <v>1.115</v>
      </c>
      <c r="P4056" s="508">
        <v>1.115</v>
      </c>
      <c r="Q4056" s="508">
        <v>1.115</v>
      </c>
      <c r="R4056" s="508">
        <v>0.52300000000000002</v>
      </c>
      <c r="S4056" s="508">
        <v>0.52300000000000002</v>
      </c>
      <c r="T4056" s="508">
        <v>0.52300000000000002</v>
      </c>
      <c r="U4056" s="508">
        <v>0.52300000000000002</v>
      </c>
      <c r="V4056" s="508">
        <v>0.52300000000000002</v>
      </c>
      <c r="W4056" s="508">
        <v>0.47199999999999998</v>
      </c>
      <c r="X4056" s="508">
        <v>0.47199999999999998</v>
      </c>
      <c r="Y4056" s="508">
        <v>0.47199999999999998</v>
      </c>
      <c r="Z4056" s="508">
        <v>0.47199999999999998</v>
      </c>
      <c r="AA4056" s="508">
        <v>0.02</v>
      </c>
      <c r="AB4056" s="508">
        <v>0.02</v>
      </c>
      <c r="AC4056" s="508">
        <v>0.02</v>
      </c>
      <c r="AD4056" s="508">
        <v>1.7000000000000001E-2</v>
      </c>
      <c r="AE4056" s="508">
        <v>1.7000000000000001E-2</v>
      </c>
      <c r="AF4056" s="508">
        <v>1.0999999999999999E-2</v>
      </c>
      <c r="AG4056" s="508">
        <v>1.0999999999999999E-2</v>
      </c>
      <c r="AH4056" s="508">
        <v>0.01</v>
      </c>
      <c r="AI4056" s="492">
        <v>0.01</v>
      </c>
      <c r="AJ4056" s="485"/>
    </row>
    <row r="4057" spans="2:36">
      <c r="B4057" s="136" t="s">
        <v>438</v>
      </c>
      <c r="C4057" s="132" t="s">
        <v>1371</v>
      </c>
      <c r="D4057" s="132" t="s">
        <v>284</v>
      </c>
      <c r="E4057" s="508">
        <v>1.1579999999999999</v>
      </c>
      <c r="F4057" s="508">
        <v>1.1579999999999999</v>
      </c>
      <c r="G4057" s="508">
        <v>1.1579999999999999</v>
      </c>
      <c r="H4057" s="508">
        <v>1.004</v>
      </c>
      <c r="I4057" s="508">
        <v>1.004</v>
      </c>
      <c r="J4057" s="508">
        <v>1.004</v>
      </c>
      <c r="K4057" s="508">
        <v>0.627</v>
      </c>
      <c r="L4057" s="508">
        <v>0.627</v>
      </c>
      <c r="M4057" s="508">
        <v>0.627</v>
      </c>
      <c r="N4057" s="508">
        <v>1.0249999999999999</v>
      </c>
      <c r="O4057" s="508">
        <v>1.0249999999999999</v>
      </c>
      <c r="P4057" s="508">
        <v>1.0249999999999999</v>
      </c>
      <c r="Q4057" s="508">
        <v>1.0249999999999999</v>
      </c>
      <c r="R4057" s="508">
        <v>0.49299999999999999</v>
      </c>
      <c r="S4057" s="508">
        <v>0.49299999999999999</v>
      </c>
      <c r="T4057" s="508">
        <v>0.49299999999999999</v>
      </c>
      <c r="U4057" s="508">
        <v>0.49299999999999999</v>
      </c>
      <c r="V4057" s="508">
        <v>0.49299999999999999</v>
      </c>
      <c r="W4057" s="508">
        <v>0.44500000000000001</v>
      </c>
      <c r="X4057" s="508">
        <v>0.44500000000000001</v>
      </c>
      <c r="Y4057" s="508">
        <v>0.44500000000000001</v>
      </c>
      <c r="Z4057" s="508">
        <v>0.44500000000000001</v>
      </c>
      <c r="AA4057" s="508">
        <v>1.9E-2</v>
      </c>
      <c r="AB4057" s="508">
        <v>1.9E-2</v>
      </c>
      <c r="AC4057" s="508">
        <v>1.9E-2</v>
      </c>
      <c r="AD4057" s="508">
        <v>1.6E-2</v>
      </c>
      <c r="AE4057" s="508">
        <v>1.6E-2</v>
      </c>
      <c r="AF4057" s="508">
        <v>0.01</v>
      </c>
      <c r="AG4057" s="508">
        <v>0.01</v>
      </c>
      <c r="AH4057" s="508">
        <v>0.01</v>
      </c>
      <c r="AI4057" s="492">
        <v>0.01</v>
      </c>
      <c r="AJ4057" s="485"/>
    </row>
    <row r="4058" spans="2:36">
      <c r="B4058" s="136" t="s">
        <v>439</v>
      </c>
      <c r="C4058" s="132" t="s">
        <v>1371</v>
      </c>
      <c r="D4058" s="132" t="s">
        <v>284</v>
      </c>
      <c r="E4058" s="508">
        <v>1.2050000000000001</v>
      </c>
      <c r="F4058" s="508">
        <v>1.2050000000000001</v>
      </c>
      <c r="G4058" s="508">
        <v>1.2050000000000001</v>
      </c>
      <c r="H4058" s="508">
        <v>1.0629999999999999</v>
      </c>
      <c r="I4058" s="508">
        <v>1.0629999999999999</v>
      </c>
      <c r="J4058" s="508">
        <v>1.0629999999999999</v>
      </c>
      <c r="K4058" s="508">
        <v>0.68100000000000005</v>
      </c>
      <c r="L4058" s="508">
        <v>0.68200000000000005</v>
      </c>
      <c r="M4058" s="508">
        <v>0.68200000000000005</v>
      </c>
      <c r="N4058" s="508">
        <v>1.1140000000000001</v>
      </c>
      <c r="O4058" s="508">
        <v>1.1140000000000001</v>
      </c>
      <c r="P4058" s="508">
        <v>1.1140000000000001</v>
      </c>
      <c r="Q4058" s="508">
        <v>1.1140000000000001</v>
      </c>
      <c r="R4058" s="508">
        <v>0.52400000000000002</v>
      </c>
      <c r="S4058" s="508">
        <v>0.52400000000000002</v>
      </c>
      <c r="T4058" s="508">
        <v>0.52400000000000002</v>
      </c>
      <c r="U4058" s="508">
        <v>0.52400000000000002</v>
      </c>
      <c r="V4058" s="508">
        <v>0.52400000000000002</v>
      </c>
      <c r="W4058" s="508">
        <v>0.47299999999999998</v>
      </c>
      <c r="X4058" s="508">
        <v>0.47299999999999998</v>
      </c>
      <c r="Y4058" s="508">
        <v>0.47299999999999998</v>
      </c>
      <c r="Z4058" s="508">
        <v>0.47299999999999998</v>
      </c>
      <c r="AA4058" s="508">
        <v>0.02</v>
      </c>
      <c r="AB4058" s="508">
        <v>0.02</v>
      </c>
      <c r="AC4058" s="508">
        <v>0.02</v>
      </c>
      <c r="AD4058" s="508">
        <v>1.7000000000000001E-2</v>
      </c>
      <c r="AE4058" s="508">
        <v>1.7000000000000001E-2</v>
      </c>
      <c r="AF4058" s="508">
        <v>1.0999999999999999E-2</v>
      </c>
      <c r="AG4058" s="508">
        <v>1.0999999999999999E-2</v>
      </c>
      <c r="AH4058" s="508">
        <v>1.0999999999999999E-2</v>
      </c>
      <c r="AI4058" s="492">
        <v>1.0999999999999999E-2</v>
      </c>
      <c r="AJ4058" s="485"/>
    </row>
    <row r="4059" spans="2:36">
      <c r="B4059" s="136" t="s">
        <v>440</v>
      </c>
      <c r="C4059" s="132" t="s">
        <v>1371</v>
      </c>
      <c r="D4059" s="132" t="s">
        <v>284</v>
      </c>
      <c r="E4059" s="508">
        <v>1.1839999999999999</v>
      </c>
      <c r="F4059" s="508">
        <v>1.1839999999999999</v>
      </c>
      <c r="G4059" s="508">
        <v>1.1839999999999999</v>
      </c>
      <c r="H4059" s="508">
        <v>1.0409999999999999</v>
      </c>
      <c r="I4059" s="508">
        <v>1.0409999999999999</v>
      </c>
      <c r="J4059" s="508">
        <v>1.0409999999999999</v>
      </c>
      <c r="K4059" s="508">
        <v>0.66600000000000004</v>
      </c>
      <c r="L4059" s="508">
        <v>0.66600000000000004</v>
      </c>
      <c r="M4059" s="508">
        <v>0.66600000000000004</v>
      </c>
      <c r="N4059" s="508">
        <v>1.089</v>
      </c>
      <c r="O4059" s="508">
        <v>1.089</v>
      </c>
      <c r="P4059" s="508">
        <v>1.089</v>
      </c>
      <c r="Q4059" s="508">
        <v>1.089</v>
      </c>
      <c r="R4059" s="508">
        <v>0.51500000000000001</v>
      </c>
      <c r="S4059" s="508">
        <v>0.51500000000000001</v>
      </c>
      <c r="T4059" s="508">
        <v>0.51500000000000001</v>
      </c>
      <c r="U4059" s="508">
        <v>0.51500000000000001</v>
      </c>
      <c r="V4059" s="508">
        <v>0.51500000000000001</v>
      </c>
      <c r="W4059" s="508">
        <v>0.46500000000000002</v>
      </c>
      <c r="X4059" s="508">
        <v>0.46500000000000002</v>
      </c>
      <c r="Y4059" s="508">
        <v>0.46500000000000002</v>
      </c>
      <c r="Z4059" s="508">
        <v>0.46500000000000002</v>
      </c>
      <c r="AA4059" s="508">
        <v>1.9E-2</v>
      </c>
      <c r="AB4059" s="508">
        <v>1.9E-2</v>
      </c>
      <c r="AC4059" s="508">
        <v>1.9E-2</v>
      </c>
      <c r="AD4059" s="508">
        <v>1.7000000000000001E-2</v>
      </c>
      <c r="AE4059" s="508">
        <v>1.7000000000000001E-2</v>
      </c>
      <c r="AF4059" s="508">
        <v>1.0999999999999999E-2</v>
      </c>
      <c r="AG4059" s="508">
        <v>0.01</v>
      </c>
      <c r="AH4059" s="508">
        <v>0.01</v>
      </c>
      <c r="AI4059" s="492">
        <v>0.01</v>
      </c>
      <c r="AJ4059" s="485"/>
    </row>
    <row r="4060" spans="2:36">
      <c r="B4060" s="136" t="s">
        <v>441</v>
      </c>
      <c r="C4060" s="132" t="s">
        <v>1371</v>
      </c>
      <c r="D4060" s="132" t="s">
        <v>284</v>
      </c>
      <c r="E4060" s="508">
        <v>1.214</v>
      </c>
      <c r="F4060" s="508">
        <v>1.214</v>
      </c>
      <c r="G4060" s="508">
        <v>1.214</v>
      </c>
      <c r="H4060" s="508">
        <v>1.071</v>
      </c>
      <c r="I4060" s="508">
        <v>1.071</v>
      </c>
      <c r="J4060" s="508">
        <v>1.071</v>
      </c>
      <c r="K4060" s="508">
        <v>0.68500000000000005</v>
      </c>
      <c r="L4060" s="508">
        <v>0.68500000000000005</v>
      </c>
      <c r="M4060" s="508">
        <v>0.68500000000000005</v>
      </c>
      <c r="N4060" s="508">
        <v>1.119</v>
      </c>
      <c r="O4060" s="508">
        <v>1.119</v>
      </c>
      <c r="P4060" s="508">
        <v>1.119</v>
      </c>
      <c r="Q4060" s="508">
        <v>1.119</v>
      </c>
      <c r="R4060" s="508">
        <v>0.52600000000000002</v>
      </c>
      <c r="S4060" s="508">
        <v>0.52600000000000002</v>
      </c>
      <c r="T4060" s="508">
        <v>0.52600000000000002</v>
      </c>
      <c r="U4060" s="508">
        <v>0.52600000000000002</v>
      </c>
      <c r="V4060" s="508">
        <v>0.52600000000000002</v>
      </c>
      <c r="W4060" s="508">
        <v>0.47399999999999998</v>
      </c>
      <c r="X4060" s="508">
        <v>0.47399999999999998</v>
      </c>
      <c r="Y4060" s="508">
        <v>0.47399999999999998</v>
      </c>
      <c r="Z4060" s="508">
        <v>0.47399999999999998</v>
      </c>
      <c r="AA4060" s="508">
        <v>0.02</v>
      </c>
      <c r="AB4060" s="508">
        <v>0.02</v>
      </c>
      <c r="AC4060" s="508">
        <v>0.02</v>
      </c>
      <c r="AD4060" s="508">
        <v>1.7000000000000001E-2</v>
      </c>
      <c r="AE4060" s="508">
        <v>1.7000000000000001E-2</v>
      </c>
      <c r="AF4060" s="508">
        <v>1.0999999999999999E-2</v>
      </c>
      <c r="AG4060" s="508">
        <v>1.0999999999999999E-2</v>
      </c>
      <c r="AH4060" s="508">
        <v>1.0999999999999999E-2</v>
      </c>
      <c r="AI4060" s="492">
        <v>1.0999999999999999E-2</v>
      </c>
      <c r="AJ4060" s="485"/>
    </row>
    <row r="4061" spans="2:36">
      <c r="B4061" s="136" t="s">
        <v>443</v>
      </c>
      <c r="C4061" s="132" t="s">
        <v>1371</v>
      </c>
      <c r="D4061" s="132" t="s">
        <v>284</v>
      </c>
      <c r="E4061" s="508">
        <v>1.1839999999999999</v>
      </c>
      <c r="F4061" s="508">
        <v>1.1839999999999999</v>
      </c>
      <c r="G4061" s="508">
        <v>1.1839999999999999</v>
      </c>
      <c r="H4061" s="508">
        <v>1.05</v>
      </c>
      <c r="I4061" s="508">
        <v>1.05</v>
      </c>
      <c r="J4061" s="508">
        <v>1.05</v>
      </c>
      <c r="K4061" s="508">
        <v>0.68100000000000005</v>
      </c>
      <c r="L4061" s="508">
        <v>0.68100000000000005</v>
      </c>
      <c r="M4061" s="508">
        <v>0.68100000000000005</v>
      </c>
      <c r="N4061" s="508">
        <v>1.129</v>
      </c>
      <c r="O4061" s="508">
        <v>1.129</v>
      </c>
      <c r="P4061" s="508">
        <v>1.129</v>
      </c>
      <c r="Q4061" s="508">
        <v>1.129</v>
      </c>
      <c r="R4061" s="508">
        <v>0.53500000000000003</v>
      </c>
      <c r="S4061" s="508">
        <v>0.53500000000000003</v>
      </c>
      <c r="T4061" s="508">
        <v>0.53500000000000003</v>
      </c>
      <c r="U4061" s="508">
        <v>0.53500000000000003</v>
      </c>
      <c r="V4061" s="508">
        <v>0.53500000000000003</v>
      </c>
      <c r="W4061" s="508">
        <v>0.48299999999999998</v>
      </c>
      <c r="X4061" s="508">
        <v>0.48299999999999998</v>
      </c>
      <c r="Y4061" s="508">
        <v>0.48299999999999998</v>
      </c>
      <c r="Z4061" s="508">
        <v>0.48299999999999998</v>
      </c>
      <c r="AA4061" s="508">
        <v>0.02</v>
      </c>
      <c r="AB4061" s="508">
        <v>0.02</v>
      </c>
      <c r="AC4061" s="508">
        <v>0.02</v>
      </c>
      <c r="AD4061" s="508">
        <v>1.7000000000000001E-2</v>
      </c>
      <c r="AE4061" s="508">
        <v>1.7000000000000001E-2</v>
      </c>
      <c r="AF4061" s="508">
        <v>1.0999999999999999E-2</v>
      </c>
      <c r="AG4061" s="508">
        <v>1.0999999999999999E-2</v>
      </c>
      <c r="AH4061" s="508">
        <v>1.0999999999999999E-2</v>
      </c>
      <c r="AI4061" s="492">
        <v>1.0999999999999999E-2</v>
      </c>
      <c r="AJ4061" s="485"/>
    </row>
    <row r="4062" spans="2:36">
      <c r="B4062" s="136" t="s">
        <v>445</v>
      </c>
      <c r="C4062" s="132" t="s">
        <v>1371</v>
      </c>
      <c r="D4062" s="132" t="s">
        <v>284</v>
      </c>
      <c r="E4062" s="508">
        <v>1.218</v>
      </c>
      <c r="F4062" s="508">
        <v>1.2170000000000001</v>
      </c>
      <c r="G4062" s="508">
        <v>1.218</v>
      </c>
      <c r="H4062" s="508">
        <v>1.113</v>
      </c>
      <c r="I4062" s="508">
        <v>1.113</v>
      </c>
      <c r="J4062" s="508">
        <v>1.113</v>
      </c>
      <c r="K4062" s="508">
        <v>0.75900000000000001</v>
      </c>
      <c r="L4062" s="508">
        <v>0.75900000000000001</v>
      </c>
      <c r="M4062" s="508">
        <v>0.75900000000000001</v>
      </c>
      <c r="N4062" s="508">
        <v>1.2609999999999999</v>
      </c>
      <c r="O4062" s="508">
        <v>1.2609999999999999</v>
      </c>
      <c r="P4062" s="508">
        <v>1.2609999999999999</v>
      </c>
      <c r="Q4062" s="508">
        <v>1.2609999999999999</v>
      </c>
      <c r="R4062" s="508">
        <v>0.57799999999999996</v>
      </c>
      <c r="S4062" s="508">
        <v>0.57799999999999996</v>
      </c>
      <c r="T4062" s="508">
        <v>0.57799999999999996</v>
      </c>
      <c r="U4062" s="508">
        <v>0.57799999999999996</v>
      </c>
      <c r="V4062" s="508">
        <v>0.57799999999999996</v>
      </c>
      <c r="W4062" s="508">
        <v>0.52200000000000002</v>
      </c>
      <c r="X4062" s="508">
        <v>0.52200000000000002</v>
      </c>
      <c r="Y4062" s="508">
        <v>0.52200000000000002</v>
      </c>
      <c r="Z4062" s="508">
        <v>0.52200000000000002</v>
      </c>
      <c r="AA4062" s="508">
        <v>2.1000000000000001E-2</v>
      </c>
      <c r="AB4062" s="508">
        <v>2.1000000000000001E-2</v>
      </c>
      <c r="AC4062" s="508">
        <v>2.1000000000000001E-2</v>
      </c>
      <c r="AD4062" s="508">
        <v>1.9E-2</v>
      </c>
      <c r="AE4062" s="508">
        <v>1.9E-2</v>
      </c>
      <c r="AF4062" s="508">
        <v>1.2E-2</v>
      </c>
      <c r="AG4062" s="508">
        <v>1.0999999999999999E-2</v>
      </c>
      <c r="AH4062" s="508">
        <v>1.0999999999999999E-2</v>
      </c>
      <c r="AI4062" s="492">
        <v>1.0999999999999999E-2</v>
      </c>
      <c r="AJ4062" s="485"/>
    </row>
    <row r="4063" spans="2:36">
      <c r="B4063" s="136" t="s">
        <v>446</v>
      </c>
      <c r="C4063" s="132" t="s">
        <v>1371</v>
      </c>
      <c r="D4063" s="132" t="s">
        <v>284</v>
      </c>
      <c r="E4063" s="508">
        <v>1.1930000000000001</v>
      </c>
      <c r="F4063" s="508">
        <v>1.1930000000000001</v>
      </c>
      <c r="G4063" s="508">
        <v>1.1930000000000001</v>
      </c>
      <c r="H4063" s="508">
        <v>1.0740000000000001</v>
      </c>
      <c r="I4063" s="508">
        <v>1.0740000000000001</v>
      </c>
      <c r="J4063" s="508">
        <v>1.0740000000000001</v>
      </c>
      <c r="K4063" s="508">
        <v>0.71599999999999997</v>
      </c>
      <c r="L4063" s="508">
        <v>0.71599999999999997</v>
      </c>
      <c r="M4063" s="508">
        <v>0.71599999999999997</v>
      </c>
      <c r="N4063" s="508">
        <v>1.1850000000000001</v>
      </c>
      <c r="O4063" s="508">
        <v>1.1850000000000001</v>
      </c>
      <c r="P4063" s="508">
        <v>1.1850000000000001</v>
      </c>
      <c r="Q4063" s="508">
        <v>1.1850000000000001</v>
      </c>
      <c r="R4063" s="508">
        <v>0.55000000000000004</v>
      </c>
      <c r="S4063" s="508">
        <v>0.55000000000000004</v>
      </c>
      <c r="T4063" s="508">
        <v>0.55000000000000004</v>
      </c>
      <c r="U4063" s="508">
        <v>0.55000000000000004</v>
      </c>
      <c r="V4063" s="508">
        <v>0.55000000000000004</v>
      </c>
      <c r="W4063" s="508">
        <v>0.497</v>
      </c>
      <c r="X4063" s="508">
        <v>0.497</v>
      </c>
      <c r="Y4063" s="508">
        <v>0.497</v>
      </c>
      <c r="Z4063" s="508">
        <v>0.497</v>
      </c>
      <c r="AA4063" s="508">
        <v>0.02</v>
      </c>
      <c r="AB4063" s="508">
        <v>0.02</v>
      </c>
      <c r="AC4063" s="508">
        <v>0.02</v>
      </c>
      <c r="AD4063" s="508">
        <v>1.7999999999999999E-2</v>
      </c>
      <c r="AE4063" s="508">
        <v>1.7999999999999999E-2</v>
      </c>
      <c r="AF4063" s="508">
        <v>1.0999999999999999E-2</v>
      </c>
      <c r="AG4063" s="508">
        <v>1.0999999999999999E-2</v>
      </c>
      <c r="AH4063" s="508">
        <v>1.0999999999999999E-2</v>
      </c>
      <c r="AI4063" s="492">
        <v>1.0999999999999999E-2</v>
      </c>
      <c r="AJ4063" s="485"/>
    </row>
    <row r="4064" spans="2:36">
      <c r="B4064" s="136" t="s">
        <v>448</v>
      </c>
      <c r="C4064" s="132" t="s">
        <v>1371</v>
      </c>
      <c r="D4064" s="132" t="s">
        <v>284</v>
      </c>
      <c r="E4064" s="508">
        <v>1.167</v>
      </c>
      <c r="F4064" s="508">
        <v>1.167</v>
      </c>
      <c r="G4064" s="508">
        <v>1.167</v>
      </c>
      <c r="H4064" s="508">
        <v>1.0169999999999999</v>
      </c>
      <c r="I4064" s="508">
        <v>1.0169999999999999</v>
      </c>
      <c r="J4064" s="508">
        <v>1.0169999999999999</v>
      </c>
      <c r="K4064" s="508">
        <v>0.64200000000000002</v>
      </c>
      <c r="L4064" s="508">
        <v>0.64200000000000002</v>
      </c>
      <c r="M4064" s="508">
        <v>0.64200000000000002</v>
      </c>
      <c r="N4064" s="508">
        <v>1.0509999999999999</v>
      </c>
      <c r="O4064" s="508">
        <v>1.0509999999999999</v>
      </c>
      <c r="P4064" s="508">
        <v>1.0509999999999999</v>
      </c>
      <c r="Q4064" s="508">
        <v>1.0509999999999999</v>
      </c>
      <c r="R4064" s="508">
        <v>0.503</v>
      </c>
      <c r="S4064" s="508">
        <v>0.503</v>
      </c>
      <c r="T4064" s="508">
        <v>0.503</v>
      </c>
      <c r="U4064" s="508">
        <v>0.503</v>
      </c>
      <c r="V4064" s="508">
        <v>0.503</v>
      </c>
      <c r="W4064" s="508">
        <v>0.45300000000000001</v>
      </c>
      <c r="X4064" s="508">
        <v>0.45300000000000001</v>
      </c>
      <c r="Y4064" s="508">
        <v>0.45300000000000001</v>
      </c>
      <c r="Z4064" s="508">
        <v>0.45300000000000001</v>
      </c>
      <c r="AA4064" s="508">
        <v>1.9E-2</v>
      </c>
      <c r="AB4064" s="508">
        <v>1.9E-2</v>
      </c>
      <c r="AC4064" s="508">
        <v>1.9E-2</v>
      </c>
      <c r="AD4064" s="508">
        <v>1.7000000000000001E-2</v>
      </c>
      <c r="AE4064" s="508">
        <v>1.7000000000000001E-2</v>
      </c>
      <c r="AF4064" s="508">
        <v>0.01</v>
      </c>
      <c r="AG4064" s="508">
        <v>0.01</v>
      </c>
      <c r="AH4064" s="508">
        <v>0.01</v>
      </c>
      <c r="AI4064" s="492">
        <v>0.01</v>
      </c>
      <c r="AJ4064" s="485"/>
    </row>
    <row r="4065" spans="2:36">
      <c r="B4065" s="136" t="s">
        <v>449</v>
      </c>
      <c r="C4065" s="132" t="s">
        <v>1371</v>
      </c>
      <c r="D4065" s="132" t="s">
        <v>284</v>
      </c>
      <c r="E4065" s="508">
        <v>1.1930000000000001</v>
      </c>
      <c r="F4065" s="508">
        <v>1.1930000000000001</v>
      </c>
      <c r="G4065" s="508">
        <v>1.1930000000000001</v>
      </c>
      <c r="H4065" s="508">
        <v>1.0629999999999999</v>
      </c>
      <c r="I4065" s="508">
        <v>1.0629999999999999</v>
      </c>
      <c r="J4065" s="508">
        <v>1.0629999999999999</v>
      </c>
      <c r="K4065" s="508">
        <v>0.69499999999999995</v>
      </c>
      <c r="L4065" s="508">
        <v>0.69499999999999995</v>
      </c>
      <c r="M4065" s="508">
        <v>0.69499999999999995</v>
      </c>
      <c r="N4065" s="508">
        <v>1.149</v>
      </c>
      <c r="O4065" s="508">
        <v>1.149</v>
      </c>
      <c r="P4065" s="508">
        <v>1.149</v>
      </c>
      <c r="Q4065" s="508">
        <v>1.149</v>
      </c>
      <c r="R4065" s="508">
        <v>0.54</v>
      </c>
      <c r="S4065" s="508">
        <v>0.54</v>
      </c>
      <c r="T4065" s="508">
        <v>0.54</v>
      </c>
      <c r="U4065" s="508">
        <v>0.54</v>
      </c>
      <c r="V4065" s="508">
        <v>0.54</v>
      </c>
      <c r="W4065" s="508">
        <v>0.48699999999999999</v>
      </c>
      <c r="X4065" s="508">
        <v>0.48699999999999999</v>
      </c>
      <c r="Y4065" s="508">
        <v>0.48699999999999999</v>
      </c>
      <c r="Z4065" s="508">
        <v>0.48699999999999999</v>
      </c>
      <c r="AA4065" s="508">
        <v>0.02</v>
      </c>
      <c r="AB4065" s="508">
        <v>0.02</v>
      </c>
      <c r="AC4065" s="508">
        <v>0.02</v>
      </c>
      <c r="AD4065" s="508">
        <v>1.7999999999999999E-2</v>
      </c>
      <c r="AE4065" s="508">
        <v>1.7999999999999999E-2</v>
      </c>
      <c r="AF4065" s="508">
        <v>1.0999999999999999E-2</v>
      </c>
      <c r="AG4065" s="508">
        <v>1.0999999999999999E-2</v>
      </c>
      <c r="AH4065" s="508">
        <v>1.0999999999999999E-2</v>
      </c>
      <c r="AI4065" s="492">
        <v>1.0999999999999999E-2</v>
      </c>
      <c r="AJ4065" s="485"/>
    </row>
    <row r="4066" spans="2:36">
      <c r="B4066" s="136" t="s">
        <v>450</v>
      </c>
      <c r="C4066" s="132" t="s">
        <v>1371</v>
      </c>
      <c r="D4066" s="132" t="s">
        <v>284</v>
      </c>
      <c r="E4066" s="508">
        <v>1.1559999999999999</v>
      </c>
      <c r="F4066" s="508">
        <v>1.1559999999999999</v>
      </c>
      <c r="G4066" s="508">
        <v>1.1559999999999999</v>
      </c>
      <c r="H4066" s="508">
        <v>1.008</v>
      </c>
      <c r="I4066" s="508">
        <v>1.008</v>
      </c>
      <c r="J4066" s="508">
        <v>1.008</v>
      </c>
      <c r="K4066" s="508">
        <v>0.63700000000000001</v>
      </c>
      <c r="L4066" s="508">
        <v>0.63700000000000001</v>
      </c>
      <c r="M4066" s="508">
        <v>0.63700000000000001</v>
      </c>
      <c r="N4066" s="508">
        <v>1.0449999999999999</v>
      </c>
      <c r="O4066" s="508">
        <v>1.0449999999999999</v>
      </c>
      <c r="P4066" s="508">
        <v>1.0449999999999999</v>
      </c>
      <c r="Q4066" s="508">
        <v>1.0449999999999999</v>
      </c>
      <c r="R4066" s="508">
        <v>0.501</v>
      </c>
      <c r="S4066" s="508">
        <v>0.501</v>
      </c>
      <c r="T4066" s="508">
        <v>0.501</v>
      </c>
      <c r="U4066" s="508">
        <v>0.501</v>
      </c>
      <c r="V4066" s="508">
        <v>0.501</v>
      </c>
      <c r="W4066" s="508">
        <v>0.45200000000000001</v>
      </c>
      <c r="X4066" s="508">
        <v>0.45200000000000001</v>
      </c>
      <c r="Y4066" s="508">
        <v>0.45200000000000001</v>
      </c>
      <c r="Z4066" s="508">
        <v>0.45200000000000001</v>
      </c>
      <c r="AA4066" s="508">
        <v>1.9E-2</v>
      </c>
      <c r="AB4066" s="508">
        <v>1.9E-2</v>
      </c>
      <c r="AC4066" s="508">
        <v>1.9E-2</v>
      </c>
      <c r="AD4066" s="508">
        <v>1.7000000000000001E-2</v>
      </c>
      <c r="AE4066" s="508">
        <v>1.7000000000000001E-2</v>
      </c>
      <c r="AF4066" s="508">
        <v>0.01</v>
      </c>
      <c r="AG4066" s="508">
        <v>0.01</v>
      </c>
      <c r="AH4066" s="508">
        <v>0.01</v>
      </c>
      <c r="AI4066" s="492">
        <v>0.01</v>
      </c>
      <c r="AJ4066" s="485"/>
    </row>
    <row r="4067" spans="2:36">
      <c r="B4067" s="136" t="s">
        <v>451</v>
      </c>
      <c r="C4067" s="132" t="s">
        <v>1371</v>
      </c>
      <c r="D4067" s="132" t="s">
        <v>284</v>
      </c>
      <c r="E4067" s="508">
        <v>1.2150000000000001</v>
      </c>
      <c r="F4067" s="508">
        <v>1.2150000000000001</v>
      </c>
      <c r="G4067" s="508">
        <v>1.2150000000000001</v>
      </c>
      <c r="H4067" s="508">
        <v>1.0960000000000001</v>
      </c>
      <c r="I4067" s="508">
        <v>1.0960000000000001</v>
      </c>
      <c r="J4067" s="508">
        <v>1.0960000000000001</v>
      </c>
      <c r="K4067" s="508">
        <v>0.73</v>
      </c>
      <c r="L4067" s="508">
        <v>0.73</v>
      </c>
      <c r="M4067" s="508">
        <v>0.73</v>
      </c>
      <c r="N4067" s="508">
        <v>1.206</v>
      </c>
      <c r="O4067" s="508">
        <v>1.206</v>
      </c>
      <c r="P4067" s="508">
        <v>1.206</v>
      </c>
      <c r="Q4067" s="508">
        <v>1.206</v>
      </c>
      <c r="R4067" s="508">
        <v>0.55800000000000005</v>
      </c>
      <c r="S4067" s="508">
        <v>0.55800000000000005</v>
      </c>
      <c r="T4067" s="508">
        <v>0.55800000000000005</v>
      </c>
      <c r="U4067" s="508">
        <v>0.55800000000000005</v>
      </c>
      <c r="V4067" s="508">
        <v>0.55800000000000005</v>
      </c>
      <c r="W4067" s="508">
        <v>0.503</v>
      </c>
      <c r="X4067" s="508">
        <v>0.503</v>
      </c>
      <c r="Y4067" s="508">
        <v>0.503</v>
      </c>
      <c r="Z4067" s="508">
        <v>0.503</v>
      </c>
      <c r="AA4067" s="508">
        <v>2.1000000000000001E-2</v>
      </c>
      <c r="AB4067" s="508">
        <v>2.1000000000000001E-2</v>
      </c>
      <c r="AC4067" s="508">
        <v>2.1000000000000001E-2</v>
      </c>
      <c r="AD4067" s="508">
        <v>1.7999999999999999E-2</v>
      </c>
      <c r="AE4067" s="508">
        <v>1.7999999999999999E-2</v>
      </c>
      <c r="AF4067" s="508">
        <v>1.0999999999999999E-2</v>
      </c>
      <c r="AG4067" s="508">
        <v>1.0999999999999999E-2</v>
      </c>
      <c r="AH4067" s="508">
        <v>1.0999999999999999E-2</v>
      </c>
      <c r="AI4067" s="492">
        <v>1.0999999999999999E-2</v>
      </c>
      <c r="AJ4067" s="485"/>
    </row>
    <row r="4068" spans="2:36">
      <c r="B4068" s="136" t="s">
        <v>452</v>
      </c>
      <c r="C4068" s="132" t="s">
        <v>1371</v>
      </c>
      <c r="D4068" s="132" t="s">
        <v>284</v>
      </c>
      <c r="E4068" s="508">
        <v>1.173</v>
      </c>
      <c r="F4068" s="508">
        <v>1.173</v>
      </c>
      <c r="G4068" s="508">
        <v>1.173</v>
      </c>
      <c r="H4068" s="508">
        <v>1.038</v>
      </c>
      <c r="I4068" s="508">
        <v>1.038</v>
      </c>
      <c r="J4068" s="508">
        <v>1.038</v>
      </c>
      <c r="K4068" s="508">
        <v>0.67300000000000004</v>
      </c>
      <c r="L4068" s="508">
        <v>0.67300000000000004</v>
      </c>
      <c r="M4068" s="508">
        <v>0.67300000000000004</v>
      </c>
      <c r="N4068" s="508">
        <v>1.109</v>
      </c>
      <c r="O4068" s="508">
        <v>1.109</v>
      </c>
      <c r="P4068" s="508">
        <v>1.109</v>
      </c>
      <c r="Q4068" s="508">
        <v>1.109</v>
      </c>
      <c r="R4068" s="508">
        <v>0.52400000000000002</v>
      </c>
      <c r="S4068" s="508">
        <v>0.52400000000000002</v>
      </c>
      <c r="T4068" s="508">
        <v>0.52400000000000002</v>
      </c>
      <c r="U4068" s="508">
        <v>0.52400000000000002</v>
      </c>
      <c r="V4068" s="508">
        <v>0.52400000000000002</v>
      </c>
      <c r="W4068" s="508">
        <v>0.47299999999999998</v>
      </c>
      <c r="X4068" s="508">
        <v>0.47299999999999998</v>
      </c>
      <c r="Y4068" s="508">
        <v>0.47299999999999998</v>
      </c>
      <c r="Z4068" s="508">
        <v>0.47299999999999998</v>
      </c>
      <c r="AA4068" s="508">
        <v>0.02</v>
      </c>
      <c r="AB4068" s="508">
        <v>0.02</v>
      </c>
      <c r="AC4068" s="508">
        <v>0.02</v>
      </c>
      <c r="AD4068" s="508">
        <v>1.7000000000000001E-2</v>
      </c>
      <c r="AE4068" s="508">
        <v>1.7000000000000001E-2</v>
      </c>
      <c r="AF4068" s="508">
        <v>1.0999999999999999E-2</v>
      </c>
      <c r="AG4068" s="508">
        <v>0.01</v>
      </c>
      <c r="AH4068" s="508">
        <v>0.01</v>
      </c>
      <c r="AI4068" s="492">
        <v>0.01</v>
      </c>
      <c r="AJ4068" s="485"/>
    </row>
    <row r="4069" spans="2:36">
      <c r="B4069" s="136" t="s">
        <v>453</v>
      </c>
      <c r="C4069" s="132" t="s">
        <v>1371</v>
      </c>
      <c r="D4069" s="132" t="s">
        <v>284</v>
      </c>
      <c r="E4069" s="508">
        <v>1.151</v>
      </c>
      <c r="F4069" s="508">
        <v>1.151</v>
      </c>
      <c r="G4069" s="508">
        <v>1.151</v>
      </c>
      <c r="H4069" s="508">
        <v>0.999</v>
      </c>
      <c r="I4069" s="508">
        <v>0.999</v>
      </c>
      <c r="J4069" s="508">
        <v>0.999</v>
      </c>
      <c r="K4069" s="508">
        <v>0.628</v>
      </c>
      <c r="L4069" s="508">
        <v>0.628</v>
      </c>
      <c r="M4069" s="508">
        <v>0.628</v>
      </c>
      <c r="N4069" s="508">
        <v>1.0289999999999999</v>
      </c>
      <c r="O4069" s="508">
        <v>1.0289999999999999</v>
      </c>
      <c r="P4069" s="508">
        <v>1.0289999999999999</v>
      </c>
      <c r="Q4069" s="508">
        <v>1.0289999999999999</v>
      </c>
      <c r="R4069" s="508">
        <v>0.495</v>
      </c>
      <c r="S4069" s="508">
        <v>0.495</v>
      </c>
      <c r="T4069" s="508">
        <v>0.495</v>
      </c>
      <c r="U4069" s="508">
        <v>0.495</v>
      </c>
      <c r="V4069" s="508">
        <v>0.495</v>
      </c>
      <c r="W4069" s="508">
        <v>0.44700000000000001</v>
      </c>
      <c r="X4069" s="508">
        <v>0.44700000000000001</v>
      </c>
      <c r="Y4069" s="508">
        <v>0.44700000000000001</v>
      </c>
      <c r="Z4069" s="508">
        <v>0.44700000000000001</v>
      </c>
      <c r="AA4069" s="508">
        <v>1.9E-2</v>
      </c>
      <c r="AB4069" s="508">
        <v>1.9E-2</v>
      </c>
      <c r="AC4069" s="508">
        <v>1.9E-2</v>
      </c>
      <c r="AD4069" s="508">
        <v>1.6E-2</v>
      </c>
      <c r="AE4069" s="508">
        <v>1.6E-2</v>
      </c>
      <c r="AF4069" s="508">
        <v>0.01</v>
      </c>
      <c r="AG4069" s="508">
        <v>0.01</v>
      </c>
      <c r="AH4069" s="508">
        <v>0.01</v>
      </c>
      <c r="AI4069" s="492">
        <v>0.01</v>
      </c>
      <c r="AJ4069" s="485"/>
    </row>
    <row r="4070" spans="2:36">
      <c r="B4070" s="136" t="s">
        <v>454</v>
      </c>
      <c r="C4070" s="132" t="s">
        <v>1371</v>
      </c>
      <c r="D4070" s="132" t="s">
        <v>284</v>
      </c>
      <c r="E4070" s="508">
        <v>1.1659999999999999</v>
      </c>
      <c r="F4070" s="508">
        <v>1.1659999999999999</v>
      </c>
      <c r="G4070" s="508">
        <v>1.1659999999999999</v>
      </c>
      <c r="H4070" s="508">
        <v>1.0149999999999999</v>
      </c>
      <c r="I4070" s="508">
        <v>1.0149999999999999</v>
      </c>
      <c r="J4070" s="508">
        <v>1.0149999999999999</v>
      </c>
      <c r="K4070" s="508">
        <v>0.63900000000000001</v>
      </c>
      <c r="L4070" s="508">
        <v>0.63900000000000001</v>
      </c>
      <c r="M4070" s="508">
        <v>0.63900000000000001</v>
      </c>
      <c r="N4070" s="508">
        <v>1.0469999999999999</v>
      </c>
      <c r="O4070" s="508">
        <v>1.0469999999999999</v>
      </c>
      <c r="P4070" s="508">
        <v>1.0469999999999999</v>
      </c>
      <c r="Q4070" s="508">
        <v>1.0469999999999999</v>
      </c>
      <c r="R4070" s="508">
        <v>0.502</v>
      </c>
      <c r="S4070" s="508">
        <v>0.502</v>
      </c>
      <c r="T4070" s="508">
        <v>0.502</v>
      </c>
      <c r="U4070" s="508">
        <v>0.502</v>
      </c>
      <c r="V4070" s="508">
        <v>0.502</v>
      </c>
      <c r="W4070" s="508">
        <v>0.45300000000000001</v>
      </c>
      <c r="X4070" s="508">
        <v>0.45300000000000001</v>
      </c>
      <c r="Y4070" s="508">
        <v>0.45300000000000001</v>
      </c>
      <c r="Z4070" s="508">
        <v>0.45300000000000001</v>
      </c>
      <c r="AA4070" s="508">
        <v>1.9E-2</v>
      </c>
      <c r="AB4070" s="508">
        <v>1.9E-2</v>
      </c>
      <c r="AC4070" s="508">
        <v>1.9E-2</v>
      </c>
      <c r="AD4070" s="508">
        <v>1.7000000000000001E-2</v>
      </c>
      <c r="AE4070" s="508">
        <v>1.7000000000000001E-2</v>
      </c>
      <c r="AF4070" s="508">
        <v>0.01</v>
      </c>
      <c r="AG4070" s="508">
        <v>0.01</v>
      </c>
      <c r="AH4070" s="508">
        <v>0.01</v>
      </c>
      <c r="AI4070" s="492">
        <v>0.01</v>
      </c>
      <c r="AJ4070" s="485"/>
    </row>
    <row r="4071" spans="2:36">
      <c r="B4071" s="136" t="s">
        <v>455</v>
      </c>
      <c r="C4071" s="132" t="s">
        <v>1371</v>
      </c>
      <c r="D4071" s="132" t="s">
        <v>284</v>
      </c>
      <c r="E4071" s="508">
        <v>1.1559999999999999</v>
      </c>
      <c r="F4071" s="508">
        <v>1.1559999999999999</v>
      </c>
      <c r="G4071" s="508">
        <v>1.1559999999999999</v>
      </c>
      <c r="H4071" s="508">
        <v>1.002</v>
      </c>
      <c r="I4071" s="508">
        <v>1.002</v>
      </c>
      <c r="J4071" s="508">
        <v>1.002</v>
      </c>
      <c r="K4071" s="508">
        <v>0.626</v>
      </c>
      <c r="L4071" s="508">
        <v>0.626</v>
      </c>
      <c r="M4071" s="508">
        <v>0.626</v>
      </c>
      <c r="N4071" s="508">
        <v>1.0209999999999999</v>
      </c>
      <c r="O4071" s="508">
        <v>1.0209999999999999</v>
      </c>
      <c r="P4071" s="508">
        <v>1.0209999999999999</v>
      </c>
      <c r="Q4071" s="508">
        <v>1.0209999999999999</v>
      </c>
      <c r="R4071" s="508">
        <v>0.49</v>
      </c>
      <c r="S4071" s="508">
        <v>0.49</v>
      </c>
      <c r="T4071" s="508">
        <v>0.49</v>
      </c>
      <c r="U4071" s="508">
        <v>0.49</v>
      </c>
      <c r="V4071" s="508">
        <v>0.49</v>
      </c>
      <c r="W4071" s="508">
        <v>0.442</v>
      </c>
      <c r="X4071" s="508">
        <v>0.442</v>
      </c>
      <c r="Y4071" s="508">
        <v>0.442</v>
      </c>
      <c r="Z4071" s="508">
        <v>0.442</v>
      </c>
      <c r="AA4071" s="508">
        <v>1.9E-2</v>
      </c>
      <c r="AB4071" s="508">
        <v>1.9E-2</v>
      </c>
      <c r="AC4071" s="508">
        <v>1.9E-2</v>
      </c>
      <c r="AD4071" s="508">
        <v>1.6E-2</v>
      </c>
      <c r="AE4071" s="508">
        <v>1.6E-2</v>
      </c>
      <c r="AF4071" s="508">
        <v>0.01</v>
      </c>
      <c r="AG4071" s="508">
        <v>0.01</v>
      </c>
      <c r="AH4071" s="508">
        <v>0.01</v>
      </c>
      <c r="AI4071" s="492">
        <v>0.01</v>
      </c>
      <c r="AJ4071" s="485"/>
    </row>
    <row r="4072" spans="2:36">
      <c r="B4072" s="136" t="s">
        <v>456</v>
      </c>
      <c r="C4072" s="132" t="s">
        <v>1371</v>
      </c>
      <c r="D4072" s="132" t="s">
        <v>284</v>
      </c>
      <c r="E4072" s="508">
        <v>1.17</v>
      </c>
      <c r="F4072" s="508">
        <v>1.17</v>
      </c>
      <c r="G4072" s="508">
        <v>1.17</v>
      </c>
      <c r="H4072" s="508">
        <v>1.0249999999999999</v>
      </c>
      <c r="I4072" s="508">
        <v>1.0249999999999999</v>
      </c>
      <c r="J4072" s="508">
        <v>1.0249999999999999</v>
      </c>
      <c r="K4072" s="508">
        <v>0.65300000000000002</v>
      </c>
      <c r="L4072" s="508">
        <v>0.65300000000000002</v>
      </c>
      <c r="M4072" s="508">
        <v>0.65300000000000002</v>
      </c>
      <c r="N4072" s="508">
        <v>1.071</v>
      </c>
      <c r="O4072" s="508">
        <v>1.071</v>
      </c>
      <c r="P4072" s="508">
        <v>1.071</v>
      </c>
      <c r="Q4072" s="508">
        <v>1.0720000000000001</v>
      </c>
      <c r="R4072" s="508">
        <v>0.51</v>
      </c>
      <c r="S4072" s="508">
        <v>0.51</v>
      </c>
      <c r="T4072" s="508">
        <v>0.51</v>
      </c>
      <c r="U4072" s="508">
        <v>0.51</v>
      </c>
      <c r="V4072" s="508">
        <v>0.51</v>
      </c>
      <c r="W4072" s="508">
        <v>0.46</v>
      </c>
      <c r="X4072" s="508">
        <v>0.46</v>
      </c>
      <c r="Y4072" s="508">
        <v>0.46</v>
      </c>
      <c r="Z4072" s="508">
        <v>0.46</v>
      </c>
      <c r="AA4072" s="508">
        <v>1.9E-2</v>
      </c>
      <c r="AB4072" s="508">
        <v>1.9E-2</v>
      </c>
      <c r="AC4072" s="508">
        <v>1.9E-2</v>
      </c>
      <c r="AD4072" s="508">
        <v>1.7000000000000001E-2</v>
      </c>
      <c r="AE4072" s="508">
        <v>1.7000000000000001E-2</v>
      </c>
      <c r="AF4072" s="508">
        <v>0.01</v>
      </c>
      <c r="AG4072" s="508">
        <v>0.01</v>
      </c>
      <c r="AH4072" s="508">
        <v>0.01</v>
      </c>
      <c r="AI4072" s="492">
        <v>0.01</v>
      </c>
      <c r="AJ4072" s="485"/>
    </row>
    <row r="4073" spans="2:36">
      <c r="B4073" s="136" t="s">
        <v>457</v>
      </c>
      <c r="C4073" s="132" t="s">
        <v>1371</v>
      </c>
      <c r="D4073" s="132" t="s">
        <v>284</v>
      </c>
      <c r="E4073" s="508">
        <v>1.1399999999999999</v>
      </c>
      <c r="F4073" s="508">
        <v>1.1399999999999999</v>
      </c>
      <c r="G4073" s="508">
        <v>1.1399999999999999</v>
      </c>
      <c r="H4073" s="508">
        <v>0.97899999999999998</v>
      </c>
      <c r="I4073" s="508">
        <v>0.97899999999999998</v>
      </c>
      <c r="J4073" s="508">
        <v>0.97899999999999998</v>
      </c>
      <c r="K4073" s="508">
        <v>0.60299999999999998</v>
      </c>
      <c r="L4073" s="508">
        <v>0.60299999999999998</v>
      </c>
      <c r="M4073" s="508">
        <v>0.60299999999999998</v>
      </c>
      <c r="N4073" s="508">
        <v>0.98699999999999999</v>
      </c>
      <c r="O4073" s="508">
        <v>0.98699999999999999</v>
      </c>
      <c r="P4073" s="508">
        <v>0.98699999999999999</v>
      </c>
      <c r="Q4073" s="508">
        <v>0.98699999999999999</v>
      </c>
      <c r="R4073" s="508">
        <v>0.48099999999999998</v>
      </c>
      <c r="S4073" s="508">
        <v>0.48099999999999998</v>
      </c>
      <c r="T4073" s="508">
        <v>0.48099999999999998</v>
      </c>
      <c r="U4073" s="508">
        <v>0.48099999999999998</v>
      </c>
      <c r="V4073" s="508">
        <v>0.48099999999999998</v>
      </c>
      <c r="W4073" s="508">
        <v>0.434</v>
      </c>
      <c r="X4073" s="508">
        <v>0.434</v>
      </c>
      <c r="Y4073" s="508">
        <v>0.434</v>
      </c>
      <c r="Z4073" s="508">
        <v>0.434</v>
      </c>
      <c r="AA4073" s="508">
        <v>1.7999999999999999E-2</v>
      </c>
      <c r="AB4073" s="508">
        <v>1.7999999999999999E-2</v>
      </c>
      <c r="AC4073" s="508">
        <v>1.7999999999999999E-2</v>
      </c>
      <c r="AD4073" s="508">
        <v>1.6E-2</v>
      </c>
      <c r="AE4073" s="508">
        <v>1.6E-2</v>
      </c>
      <c r="AF4073" s="508">
        <v>0.01</v>
      </c>
      <c r="AG4073" s="508">
        <v>0.01</v>
      </c>
      <c r="AH4073" s="508">
        <v>0.01</v>
      </c>
      <c r="AI4073" s="492">
        <v>0.01</v>
      </c>
      <c r="AJ4073" s="485"/>
    </row>
    <row r="4074" spans="2:36">
      <c r="B4074" s="136" t="s">
        <v>458</v>
      </c>
      <c r="C4074" s="132" t="s">
        <v>1371</v>
      </c>
      <c r="D4074" s="132" t="s">
        <v>284</v>
      </c>
      <c r="E4074" s="508">
        <v>1.196</v>
      </c>
      <c r="F4074" s="508">
        <v>1.196</v>
      </c>
      <c r="G4074" s="508">
        <v>1.196</v>
      </c>
      <c r="H4074" s="508">
        <v>1.05</v>
      </c>
      <c r="I4074" s="508">
        <v>1.05</v>
      </c>
      <c r="J4074" s="508">
        <v>1.05</v>
      </c>
      <c r="K4074" s="508">
        <v>0.66800000000000004</v>
      </c>
      <c r="L4074" s="508">
        <v>0.66800000000000004</v>
      </c>
      <c r="M4074" s="508">
        <v>0.66800000000000004</v>
      </c>
      <c r="N4074" s="508">
        <v>1.093</v>
      </c>
      <c r="O4074" s="508">
        <v>1.093</v>
      </c>
      <c r="P4074" s="508">
        <v>1.093</v>
      </c>
      <c r="Q4074" s="508">
        <v>1.093</v>
      </c>
      <c r="R4074" s="508">
        <v>0.51700000000000002</v>
      </c>
      <c r="S4074" s="508">
        <v>0.51700000000000002</v>
      </c>
      <c r="T4074" s="508">
        <v>0.51700000000000002</v>
      </c>
      <c r="U4074" s="508">
        <v>0.51700000000000002</v>
      </c>
      <c r="V4074" s="508">
        <v>0.51700000000000002</v>
      </c>
      <c r="W4074" s="508">
        <v>0.46600000000000003</v>
      </c>
      <c r="X4074" s="508">
        <v>0.46600000000000003</v>
      </c>
      <c r="Y4074" s="508">
        <v>0.46600000000000003</v>
      </c>
      <c r="Z4074" s="508">
        <v>0.46600000000000003</v>
      </c>
      <c r="AA4074" s="508">
        <v>1.9E-2</v>
      </c>
      <c r="AB4074" s="508">
        <v>1.9E-2</v>
      </c>
      <c r="AC4074" s="508">
        <v>1.9E-2</v>
      </c>
      <c r="AD4074" s="508">
        <v>1.7000000000000001E-2</v>
      </c>
      <c r="AE4074" s="508">
        <v>1.7000000000000001E-2</v>
      </c>
      <c r="AF4074" s="508">
        <v>1.0999999999999999E-2</v>
      </c>
      <c r="AG4074" s="508">
        <v>0.01</v>
      </c>
      <c r="AH4074" s="508">
        <v>0.01</v>
      </c>
      <c r="AI4074" s="492">
        <v>0.01</v>
      </c>
      <c r="AJ4074" s="485"/>
    </row>
    <row r="4075" spans="2:36">
      <c r="B4075" s="136" t="s">
        <v>459</v>
      </c>
      <c r="C4075" s="132" t="s">
        <v>1371</v>
      </c>
      <c r="D4075" s="132" t="s">
        <v>284</v>
      </c>
      <c r="E4075" s="508">
        <v>1.1950000000000001</v>
      </c>
      <c r="F4075" s="508">
        <v>1.1950000000000001</v>
      </c>
      <c r="G4075" s="508">
        <v>1.1950000000000001</v>
      </c>
      <c r="H4075" s="508">
        <v>1.0489999999999999</v>
      </c>
      <c r="I4075" s="508">
        <v>1.0489999999999999</v>
      </c>
      <c r="J4075" s="508">
        <v>1.0489999999999999</v>
      </c>
      <c r="K4075" s="508">
        <v>0.66800000000000004</v>
      </c>
      <c r="L4075" s="508">
        <v>0.66800000000000004</v>
      </c>
      <c r="M4075" s="508">
        <v>0.66800000000000004</v>
      </c>
      <c r="N4075" s="508">
        <v>1.0920000000000001</v>
      </c>
      <c r="O4075" s="508">
        <v>1.0920000000000001</v>
      </c>
      <c r="P4075" s="508">
        <v>1.0920000000000001</v>
      </c>
      <c r="Q4075" s="508">
        <v>1.0920000000000001</v>
      </c>
      <c r="R4075" s="508">
        <v>0.51600000000000001</v>
      </c>
      <c r="S4075" s="508">
        <v>0.51600000000000001</v>
      </c>
      <c r="T4075" s="508">
        <v>0.51600000000000001</v>
      </c>
      <c r="U4075" s="508">
        <v>0.51600000000000001</v>
      </c>
      <c r="V4075" s="508">
        <v>0.51600000000000001</v>
      </c>
      <c r="W4075" s="508">
        <v>0.46600000000000003</v>
      </c>
      <c r="X4075" s="508">
        <v>0.46600000000000003</v>
      </c>
      <c r="Y4075" s="508">
        <v>0.46600000000000003</v>
      </c>
      <c r="Z4075" s="508">
        <v>0.46600000000000003</v>
      </c>
      <c r="AA4075" s="508">
        <v>1.9E-2</v>
      </c>
      <c r="AB4075" s="508">
        <v>1.9E-2</v>
      </c>
      <c r="AC4075" s="508">
        <v>1.9E-2</v>
      </c>
      <c r="AD4075" s="508">
        <v>1.7000000000000001E-2</v>
      </c>
      <c r="AE4075" s="508">
        <v>1.7000000000000001E-2</v>
      </c>
      <c r="AF4075" s="508">
        <v>1.0999999999999999E-2</v>
      </c>
      <c r="AG4075" s="508">
        <v>0.01</v>
      </c>
      <c r="AH4075" s="508">
        <v>0.01</v>
      </c>
      <c r="AI4075" s="492">
        <v>0.01</v>
      </c>
      <c r="AJ4075" s="485"/>
    </row>
    <row r="4076" spans="2:36">
      <c r="B4076" s="136" t="s">
        <v>460</v>
      </c>
      <c r="C4076" s="132" t="s">
        <v>1371</v>
      </c>
      <c r="D4076" s="132" t="s">
        <v>284</v>
      </c>
      <c r="E4076" s="508">
        <v>1.179</v>
      </c>
      <c r="F4076" s="508">
        <v>1.179</v>
      </c>
      <c r="G4076" s="508">
        <v>1.179</v>
      </c>
      <c r="H4076" s="508">
        <v>1.038</v>
      </c>
      <c r="I4076" s="508">
        <v>1.038</v>
      </c>
      <c r="J4076" s="508">
        <v>1.038</v>
      </c>
      <c r="K4076" s="508">
        <v>0.66700000000000004</v>
      </c>
      <c r="L4076" s="508">
        <v>0.66700000000000004</v>
      </c>
      <c r="M4076" s="508">
        <v>0.66700000000000004</v>
      </c>
      <c r="N4076" s="508">
        <v>1.095</v>
      </c>
      <c r="O4076" s="508">
        <v>1.095</v>
      </c>
      <c r="P4076" s="508">
        <v>1.095</v>
      </c>
      <c r="Q4076" s="508">
        <v>1.095</v>
      </c>
      <c r="R4076" s="508">
        <v>0.51800000000000002</v>
      </c>
      <c r="S4076" s="508">
        <v>0.51800000000000002</v>
      </c>
      <c r="T4076" s="508">
        <v>0.51800000000000002</v>
      </c>
      <c r="U4076" s="508">
        <v>0.51800000000000002</v>
      </c>
      <c r="V4076" s="508">
        <v>0.51800000000000002</v>
      </c>
      <c r="W4076" s="508">
        <v>0.46700000000000003</v>
      </c>
      <c r="X4076" s="508">
        <v>0.46700000000000003</v>
      </c>
      <c r="Y4076" s="508">
        <v>0.46700000000000003</v>
      </c>
      <c r="Z4076" s="508">
        <v>0.46700000000000003</v>
      </c>
      <c r="AA4076" s="508">
        <v>1.9E-2</v>
      </c>
      <c r="AB4076" s="508">
        <v>1.9E-2</v>
      </c>
      <c r="AC4076" s="508">
        <v>1.9E-2</v>
      </c>
      <c r="AD4076" s="508">
        <v>1.7000000000000001E-2</v>
      </c>
      <c r="AE4076" s="508">
        <v>1.7000000000000001E-2</v>
      </c>
      <c r="AF4076" s="508">
        <v>1.0999999999999999E-2</v>
      </c>
      <c r="AG4076" s="508">
        <v>0.01</v>
      </c>
      <c r="AH4076" s="508">
        <v>0.01</v>
      </c>
      <c r="AI4076" s="492">
        <v>0.01</v>
      </c>
      <c r="AJ4076" s="485"/>
    </row>
    <row r="4077" spans="2:36">
      <c r="B4077" s="136" t="s">
        <v>461</v>
      </c>
      <c r="C4077" s="132" t="s">
        <v>1371</v>
      </c>
      <c r="D4077" s="132" t="s">
        <v>284</v>
      </c>
      <c r="E4077" s="508">
        <v>1.173</v>
      </c>
      <c r="F4077" s="508">
        <v>1.1719999999999999</v>
      </c>
      <c r="G4077" s="508">
        <v>1.173</v>
      </c>
      <c r="H4077" s="508">
        <v>1.024</v>
      </c>
      <c r="I4077" s="508">
        <v>1.024</v>
      </c>
      <c r="J4077" s="508">
        <v>1.024</v>
      </c>
      <c r="K4077" s="508">
        <v>0.64700000000000002</v>
      </c>
      <c r="L4077" s="508">
        <v>0.64700000000000002</v>
      </c>
      <c r="M4077" s="508">
        <v>0.64700000000000002</v>
      </c>
      <c r="N4077" s="508">
        <v>1.0629999999999999</v>
      </c>
      <c r="O4077" s="508">
        <v>1.0629999999999999</v>
      </c>
      <c r="P4077" s="508">
        <v>1.0629999999999999</v>
      </c>
      <c r="Q4077" s="508">
        <v>1.0629999999999999</v>
      </c>
      <c r="R4077" s="508">
        <v>0.50900000000000001</v>
      </c>
      <c r="S4077" s="508">
        <v>0.50900000000000001</v>
      </c>
      <c r="T4077" s="508">
        <v>0.50900000000000001</v>
      </c>
      <c r="U4077" s="508">
        <v>0.50900000000000001</v>
      </c>
      <c r="V4077" s="508">
        <v>0.50900000000000001</v>
      </c>
      <c r="W4077" s="508">
        <v>0.45900000000000002</v>
      </c>
      <c r="X4077" s="508">
        <v>0.45900000000000002</v>
      </c>
      <c r="Y4077" s="508">
        <v>0.45900000000000002</v>
      </c>
      <c r="Z4077" s="508">
        <v>0.45900000000000002</v>
      </c>
      <c r="AA4077" s="508">
        <v>1.9E-2</v>
      </c>
      <c r="AB4077" s="508">
        <v>1.9E-2</v>
      </c>
      <c r="AC4077" s="508">
        <v>1.9E-2</v>
      </c>
      <c r="AD4077" s="508">
        <v>1.7000000000000001E-2</v>
      </c>
      <c r="AE4077" s="508">
        <v>1.7000000000000001E-2</v>
      </c>
      <c r="AF4077" s="508">
        <v>0.01</v>
      </c>
      <c r="AG4077" s="508">
        <v>0.01</v>
      </c>
      <c r="AH4077" s="508">
        <v>0.01</v>
      </c>
      <c r="AI4077" s="492">
        <v>0.01</v>
      </c>
      <c r="AJ4077" s="485"/>
    </row>
    <row r="4078" spans="2:36">
      <c r="B4078" s="136" t="s">
        <v>462</v>
      </c>
      <c r="C4078" s="132" t="s">
        <v>1371</v>
      </c>
      <c r="D4078" s="132" t="s">
        <v>284</v>
      </c>
      <c r="E4078" s="508">
        <v>1.1539999999999999</v>
      </c>
      <c r="F4078" s="508">
        <v>1.1539999999999999</v>
      </c>
      <c r="G4078" s="508">
        <v>1.1539999999999999</v>
      </c>
      <c r="H4078" s="508">
        <v>1.0029999999999999</v>
      </c>
      <c r="I4078" s="508">
        <v>1.0029999999999999</v>
      </c>
      <c r="J4078" s="508">
        <v>1.0029999999999999</v>
      </c>
      <c r="K4078" s="508">
        <v>0.63</v>
      </c>
      <c r="L4078" s="508">
        <v>0.63</v>
      </c>
      <c r="M4078" s="508">
        <v>0.63</v>
      </c>
      <c r="N4078" s="508">
        <v>1.036</v>
      </c>
      <c r="O4078" s="508">
        <v>1.036</v>
      </c>
      <c r="P4078" s="508">
        <v>1.036</v>
      </c>
      <c r="Q4078" s="508">
        <v>1.036</v>
      </c>
      <c r="R4078" s="508">
        <v>0.5</v>
      </c>
      <c r="S4078" s="508">
        <v>0.5</v>
      </c>
      <c r="T4078" s="508">
        <v>0.5</v>
      </c>
      <c r="U4078" s="508">
        <v>0.5</v>
      </c>
      <c r="V4078" s="508">
        <v>0.5</v>
      </c>
      <c r="W4078" s="508">
        <v>0.45100000000000001</v>
      </c>
      <c r="X4078" s="508">
        <v>0.45100000000000001</v>
      </c>
      <c r="Y4078" s="508">
        <v>0.45100000000000001</v>
      </c>
      <c r="Z4078" s="508">
        <v>0.45100000000000001</v>
      </c>
      <c r="AA4078" s="508">
        <v>1.9E-2</v>
      </c>
      <c r="AB4078" s="508">
        <v>1.9E-2</v>
      </c>
      <c r="AC4078" s="508">
        <v>1.9E-2</v>
      </c>
      <c r="AD4078" s="508">
        <v>1.6E-2</v>
      </c>
      <c r="AE4078" s="508">
        <v>1.6E-2</v>
      </c>
      <c r="AF4078" s="508">
        <v>0.01</v>
      </c>
      <c r="AG4078" s="508">
        <v>0.01</v>
      </c>
      <c r="AH4078" s="508">
        <v>0.01</v>
      </c>
      <c r="AI4078" s="492">
        <v>0.01</v>
      </c>
      <c r="AJ4078" s="485"/>
    </row>
    <row r="4079" spans="2:36">
      <c r="B4079" s="136" t="s">
        <v>463</v>
      </c>
      <c r="C4079" s="132" t="s">
        <v>1371</v>
      </c>
      <c r="D4079" s="132" t="s">
        <v>284</v>
      </c>
      <c r="E4079" s="508">
        <v>1.17</v>
      </c>
      <c r="F4079" s="508">
        <v>1.17</v>
      </c>
      <c r="G4079" s="508">
        <v>1.17</v>
      </c>
      <c r="H4079" s="508">
        <v>1.0089999999999999</v>
      </c>
      <c r="I4079" s="508">
        <v>1.0089999999999999</v>
      </c>
      <c r="J4079" s="508">
        <v>1.0089999999999999</v>
      </c>
      <c r="K4079" s="508">
        <v>0.623</v>
      </c>
      <c r="L4079" s="508">
        <v>0.623</v>
      </c>
      <c r="M4079" s="508">
        <v>0.623</v>
      </c>
      <c r="N4079" s="508">
        <v>1.0129999999999999</v>
      </c>
      <c r="O4079" s="508">
        <v>1.0129999999999999</v>
      </c>
      <c r="P4079" s="508">
        <v>1.0129999999999999</v>
      </c>
      <c r="Q4079" s="508">
        <v>1.0129999999999999</v>
      </c>
      <c r="R4079" s="508">
        <v>0.48799999999999999</v>
      </c>
      <c r="S4079" s="508">
        <v>0.48799999999999999</v>
      </c>
      <c r="T4079" s="508">
        <v>0.48799999999999999</v>
      </c>
      <c r="U4079" s="508">
        <v>0.48799999999999999</v>
      </c>
      <c r="V4079" s="508">
        <v>0.48799999999999999</v>
      </c>
      <c r="W4079" s="508">
        <v>0.441</v>
      </c>
      <c r="X4079" s="508">
        <v>0.441</v>
      </c>
      <c r="Y4079" s="508">
        <v>0.441</v>
      </c>
      <c r="Z4079" s="508">
        <v>0.441</v>
      </c>
      <c r="AA4079" s="508">
        <v>1.9E-2</v>
      </c>
      <c r="AB4079" s="508">
        <v>1.9E-2</v>
      </c>
      <c r="AC4079" s="508">
        <v>1.9E-2</v>
      </c>
      <c r="AD4079" s="508">
        <v>1.6E-2</v>
      </c>
      <c r="AE4079" s="508">
        <v>1.6E-2</v>
      </c>
      <c r="AF4079" s="508">
        <v>0.01</v>
      </c>
      <c r="AG4079" s="508">
        <v>0.01</v>
      </c>
      <c r="AH4079" s="508">
        <v>0.01</v>
      </c>
      <c r="AI4079" s="492">
        <v>0.01</v>
      </c>
      <c r="AJ4079" s="485"/>
    </row>
    <row r="4080" spans="2:36">
      <c r="B4080" s="136" t="s">
        <v>464</v>
      </c>
      <c r="C4080" s="132" t="s">
        <v>1371</v>
      </c>
      <c r="D4080" s="132" t="s">
        <v>284</v>
      </c>
      <c r="E4080" s="508">
        <v>1.1379999999999999</v>
      </c>
      <c r="F4080" s="508">
        <v>1.1379999999999999</v>
      </c>
      <c r="G4080" s="508">
        <v>1.1379999999999999</v>
      </c>
      <c r="H4080" s="508">
        <v>0.97899999999999998</v>
      </c>
      <c r="I4080" s="508">
        <v>0.97899999999999998</v>
      </c>
      <c r="J4080" s="508">
        <v>0.97899999999999998</v>
      </c>
      <c r="K4080" s="508">
        <v>0.60499999999999998</v>
      </c>
      <c r="L4080" s="508">
        <v>0.60499999999999998</v>
      </c>
      <c r="M4080" s="508">
        <v>0.60499999999999998</v>
      </c>
      <c r="N4080" s="508">
        <v>0.98899999999999999</v>
      </c>
      <c r="O4080" s="508">
        <v>0.98899999999999999</v>
      </c>
      <c r="P4080" s="508">
        <v>0.98899999999999999</v>
      </c>
      <c r="Q4080" s="508">
        <v>0.98899999999999999</v>
      </c>
      <c r="R4080" s="508">
        <v>0.48</v>
      </c>
      <c r="S4080" s="508">
        <v>0.48</v>
      </c>
      <c r="T4080" s="508">
        <v>0.48</v>
      </c>
      <c r="U4080" s="508">
        <v>0.48</v>
      </c>
      <c r="V4080" s="508">
        <v>0.48</v>
      </c>
      <c r="W4080" s="508">
        <v>0.433</v>
      </c>
      <c r="X4080" s="508">
        <v>0.433</v>
      </c>
      <c r="Y4080" s="508">
        <v>0.433</v>
      </c>
      <c r="Z4080" s="508">
        <v>0.433</v>
      </c>
      <c r="AA4080" s="508">
        <v>1.7999999999999999E-2</v>
      </c>
      <c r="AB4080" s="508">
        <v>1.7999999999999999E-2</v>
      </c>
      <c r="AC4080" s="508">
        <v>1.7999999999999999E-2</v>
      </c>
      <c r="AD4080" s="508">
        <v>1.6E-2</v>
      </c>
      <c r="AE4080" s="508">
        <v>1.6E-2</v>
      </c>
      <c r="AF4080" s="508">
        <v>0.01</v>
      </c>
      <c r="AG4080" s="508">
        <v>0.01</v>
      </c>
      <c r="AH4080" s="508">
        <v>0.01</v>
      </c>
      <c r="AI4080" s="492">
        <v>0.01</v>
      </c>
      <c r="AJ4080" s="485"/>
    </row>
    <row r="4081" spans="2:36">
      <c r="B4081" s="136" t="s">
        <v>465</v>
      </c>
      <c r="C4081" s="132" t="s">
        <v>1371</v>
      </c>
      <c r="D4081" s="132" t="s">
        <v>284</v>
      </c>
      <c r="E4081" s="508">
        <v>1.1539999999999999</v>
      </c>
      <c r="F4081" s="508">
        <v>1.1539999999999999</v>
      </c>
      <c r="G4081" s="508">
        <v>1.1539999999999999</v>
      </c>
      <c r="H4081" s="508">
        <v>1.0009999999999999</v>
      </c>
      <c r="I4081" s="508">
        <v>1.0009999999999999</v>
      </c>
      <c r="J4081" s="508">
        <v>1</v>
      </c>
      <c r="K4081" s="508">
        <v>0.627</v>
      </c>
      <c r="L4081" s="508">
        <v>0.627</v>
      </c>
      <c r="M4081" s="508">
        <v>0.627</v>
      </c>
      <c r="N4081" s="508">
        <v>1.0229999999999999</v>
      </c>
      <c r="O4081" s="508">
        <v>1.0229999999999999</v>
      </c>
      <c r="P4081" s="508">
        <v>1.0229999999999999</v>
      </c>
      <c r="Q4081" s="508">
        <v>1.0229999999999999</v>
      </c>
      <c r="R4081" s="508">
        <v>0.49099999999999999</v>
      </c>
      <c r="S4081" s="508">
        <v>0.49099999999999999</v>
      </c>
      <c r="T4081" s="508">
        <v>0.49099999999999999</v>
      </c>
      <c r="U4081" s="508">
        <v>0.49099999999999999</v>
      </c>
      <c r="V4081" s="508">
        <v>0.49099999999999999</v>
      </c>
      <c r="W4081" s="508">
        <v>0.443</v>
      </c>
      <c r="X4081" s="508">
        <v>0.443</v>
      </c>
      <c r="Y4081" s="508">
        <v>0.443</v>
      </c>
      <c r="Z4081" s="508">
        <v>0.443</v>
      </c>
      <c r="AA4081" s="508">
        <v>1.9E-2</v>
      </c>
      <c r="AB4081" s="508">
        <v>1.9E-2</v>
      </c>
      <c r="AC4081" s="508">
        <v>1.9E-2</v>
      </c>
      <c r="AD4081" s="508">
        <v>1.6E-2</v>
      </c>
      <c r="AE4081" s="508">
        <v>1.6E-2</v>
      </c>
      <c r="AF4081" s="508">
        <v>0.01</v>
      </c>
      <c r="AG4081" s="508">
        <v>0.01</v>
      </c>
      <c r="AH4081" s="508">
        <v>0.01</v>
      </c>
      <c r="AI4081" s="492">
        <v>0.01</v>
      </c>
      <c r="AJ4081" s="485"/>
    </row>
    <row r="4082" spans="2:36">
      <c r="B4082" s="136" t="s">
        <v>466</v>
      </c>
      <c r="C4082" s="132" t="s">
        <v>1371</v>
      </c>
      <c r="D4082" s="132" t="s">
        <v>284</v>
      </c>
      <c r="E4082" s="508">
        <v>1.1890000000000001</v>
      </c>
      <c r="F4082" s="508">
        <v>1.1890000000000001</v>
      </c>
      <c r="G4082" s="508">
        <v>1.1890000000000001</v>
      </c>
      <c r="H4082" s="508">
        <v>1.0620000000000001</v>
      </c>
      <c r="I4082" s="508">
        <v>1.0620000000000001</v>
      </c>
      <c r="J4082" s="508">
        <v>1.0620000000000001</v>
      </c>
      <c r="K4082" s="508">
        <v>0.69899999999999995</v>
      </c>
      <c r="L4082" s="508">
        <v>0.69899999999999995</v>
      </c>
      <c r="M4082" s="508">
        <v>0.69899999999999995</v>
      </c>
      <c r="N4082" s="508">
        <v>1.151</v>
      </c>
      <c r="O4082" s="508">
        <v>1.151</v>
      </c>
      <c r="P4082" s="508">
        <v>1.151</v>
      </c>
      <c r="Q4082" s="508">
        <v>1.151</v>
      </c>
      <c r="R4082" s="508">
        <v>0.53700000000000003</v>
      </c>
      <c r="S4082" s="508">
        <v>0.53700000000000003</v>
      </c>
      <c r="T4082" s="508">
        <v>0.53700000000000003</v>
      </c>
      <c r="U4082" s="508">
        <v>0.53700000000000003</v>
      </c>
      <c r="V4082" s="508">
        <v>0.53700000000000003</v>
      </c>
      <c r="W4082" s="508">
        <v>0.48499999999999999</v>
      </c>
      <c r="X4082" s="508">
        <v>0.48499999999999999</v>
      </c>
      <c r="Y4082" s="508">
        <v>0.48499999999999999</v>
      </c>
      <c r="Z4082" s="508">
        <v>0.48499999999999999</v>
      </c>
      <c r="AA4082" s="508">
        <v>0.02</v>
      </c>
      <c r="AB4082" s="508">
        <v>0.02</v>
      </c>
      <c r="AC4082" s="508">
        <v>0.02</v>
      </c>
      <c r="AD4082" s="508">
        <v>1.7999999999999999E-2</v>
      </c>
      <c r="AE4082" s="508">
        <v>1.7999999999999999E-2</v>
      </c>
      <c r="AF4082" s="508">
        <v>1.0999999999999999E-2</v>
      </c>
      <c r="AG4082" s="508">
        <v>1.0999999999999999E-2</v>
      </c>
      <c r="AH4082" s="508">
        <v>1.0999999999999999E-2</v>
      </c>
      <c r="AI4082" s="492">
        <v>1.0999999999999999E-2</v>
      </c>
      <c r="AJ4082" s="485"/>
    </row>
    <row r="4083" spans="2:36">
      <c r="B4083" s="136" t="s">
        <v>467</v>
      </c>
      <c r="C4083" s="132" t="s">
        <v>1371</v>
      </c>
      <c r="D4083" s="132" t="s">
        <v>284</v>
      </c>
      <c r="E4083" s="508">
        <v>1.167</v>
      </c>
      <c r="F4083" s="508">
        <v>1.167</v>
      </c>
      <c r="G4083" s="508">
        <v>1.167</v>
      </c>
      <c r="H4083" s="508">
        <v>1.0169999999999999</v>
      </c>
      <c r="I4083" s="508">
        <v>1.0169999999999999</v>
      </c>
      <c r="J4083" s="508">
        <v>1.0169999999999999</v>
      </c>
      <c r="K4083" s="508">
        <v>0.64100000000000001</v>
      </c>
      <c r="L4083" s="508">
        <v>0.64100000000000001</v>
      </c>
      <c r="M4083" s="508">
        <v>0.64100000000000001</v>
      </c>
      <c r="N4083" s="508">
        <v>1.0529999999999999</v>
      </c>
      <c r="O4083" s="508">
        <v>1.0529999999999999</v>
      </c>
      <c r="P4083" s="508">
        <v>1.0529999999999999</v>
      </c>
      <c r="Q4083" s="508">
        <v>1.0529999999999999</v>
      </c>
      <c r="R4083" s="508">
        <v>0.505</v>
      </c>
      <c r="S4083" s="508">
        <v>0.505</v>
      </c>
      <c r="T4083" s="508">
        <v>0.505</v>
      </c>
      <c r="U4083" s="508">
        <v>0.505</v>
      </c>
      <c r="V4083" s="508">
        <v>0.505</v>
      </c>
      <c r="W4083" s="508">
        <v>0.45600000000000002</v>
      </c>
      <c r="X4083" s="508">
        <v>0.45600000000000002</v>
      </c>
      <c r="Y4083" s="508">
        <v>0.45600000000000002</v>
      </c>
      <c r="Z4083" s="508">
        <v>0.45600000000000002</v>
      </c>
      <c r="AA4083" s="508">
        <v>1.9E-2</v>
      </c>
      <c r="AB4083" s="508">
        <v>1.9E-2</v>
      </c>
      <c r="AC4083" s="508">
        <v>1.9E-2</v>
      </c>
      <c r="AD4083" s="508">
        <v>1.7000000000000001E-2</v>
      </c>
      <c r="AE4083" s="508">
        <v>1.7000000000000001E-2</v>
      </c>
      <c r="AF4083" s="508">
        <v>0.01</v>
      </c>
      <c r="AG4083" s="508">
        <v>0.01</v>
      </c>
      <c r="AH4083" s="508">
        <v>0.01</v>
      </c>
      <c r="AI4083" s="492">
        <v>0.01</v>
      </c>
      <c r="AJ4083" s="485"/>
    </row>
    <row r="4084" spans="2:36">
      <c r="B4084" s="136" t="s">
        <v>468</v>
      </c>
      <c r="C4084" s="132" t="s">
        <v>1371</v>
      </c>
      <c r="D4084" s="132" t="s">
        <v>284</v>
      </c>
      <c r="E4084" s="508">
        <v>1.149</v>
      </c>
      <c r="F4084" s="508">
        <v>1.149</v>
      </c>
      <c r="G4084" s="508">
        <v>1.149</v>
      </c>
      <c r="H4084" s="508">
        <v>0.99</v>
      </c>
      <c r="I4084" s="508">
        <v>0.99</v>
      </c>
      <c r="J4084" s="508">
        <v>0.99</v>
      </c>
      <c r="K4084" s="508">
        <v>0.61399999999999999</v>
      </c>
      <c r="L4084" s="508">
        <v>0.61399999999999999</v>
      </c>
      <c r="M4084" s="508">
        <v>0.61399999999999999</v>
      </c>
      <c r="N4084" s="508">
        <v>0.996</v>
      </c>
      <c r="O4084" s="508">
        <v>0.996</v>
      </c>
      <c r="P4084" s="508">
        <v>0.996</v>
      </c>
      <c r="Q4084" s="508">
        <v>0.996</v>
      </c>
      <c r="R4084" s="508">
        <v>0.47899999999999998</v>
      </c>
      <c r="S4084" s="508">
        <v>0.47899999999999998</v>
      </c>
      <c r="T4084" s="508">
        <v>0.47899999999999998</v>
      </c>
      <c r="U4084" s="508">
        <v>0.47899999999999998</v>
      </c>
      <c r="V4084" s="508">
        <v>0.47899999999999998</v>
      </c>
      <c r="W4084" s="508">
        <v>0.432</v>
      </c>
      <c r="X4084" s="508">
        <v>0.432</v>
      </c>
      <c r="Y4084" s="508">
        <v>0.432</v>
      </c>
      <c r="Z4084" s="508">
        <v>0.432</v>
      </c>
      <c r="AA4084" s="508">
        <v>1.7999999999999999E-2</v>
      </c>
      <c r="AB4084" s="508">
        <v>1.7999999999999999E-2</v>
      </c>
      <c r="AC4084" s="508">
        <v>1.7999999999999999E-2</v>
      </c>
      <c r="AD4084" s="508">
        <v>1.6E-2</v>
      </c>
      <c r="AE4084" s="508">
        <v>1.6E-2</v>
      </c>
      <c r="AF4084" s="508">
        <v>0.01</v>
      </c>
      <c r="AG4084" s="508">
        <v>0.01</v>
      </c>
      <c r="AH4084" s="508">
        <v>0.01</v>
      </c>
      <c r="AI4084" s="492">
        <v>0.01</v>
      </c>
      <c r="AJ4084" s="485"/>
    </row>
    <row r="4085" spans="2:36">
      <c r="B4085" s="136" t="s">
        <v>469</v>
      </c>
      <c r="C4085" s="132" t="s">
        <v>1371</v>
      </c>
      <c r="D4085" s="132" t="s">
        <v>284</v>
      </c>
      <c r="E4085" s="508">
        <v>1.1539999999999999</v>
      </c>
      <c r="F4085" s="508">
        <v>1.1539999999999999</v>
      </c>
      <c r="G4085" s="508">
        <v>1.1539999999999999</v>
      </c>
      <c r="H4085" s="508">
        <v>1.0029999999999999</v>
      </c>
      <c r="I4085" s="508">
        <v>1.0029999999999999</v>
      </c>
      <c r="J4085" s="508">
        <v>1.0029999999999999</v>
      </c>
      <c r="K4085" s="508">
        <v>0.63200000000000001</v>
      </c>
      <c r="L4085" s="508">
        <v>0.63200000000000001</v>
      </c>
      <c r="M4085" s="508">
        <v>0.63200000000000001</v>
      </c>
      <c r="N4085" s="508">
        <v>1.034</v>
      </c>
      <c r="O4085" s="508">
        <v>1.034</v>
      </c>
      <c r="P4085" s="508">
        <v>1.034</v>
      </c>
      <c r="Q4085" s="508">
        <v>1.034</v>
      </c>
      <c r="R4085" s="508">
        <v>0.496</v>
      </c>
      <c r="S4085" s="508">
        <v>0.496</v>
      </c>
      <c r="T4085" s="508">
        <v>0.496</v>
      </c>
      <c r="U4085" s="508">
        <v>0.496</v>
      </c>
      <c r="V4085" s="508">
        <v>0.496</v>
      </c>
      <c r="W4085" s="508">
        <v>0.44700000000000001</v>
      </c>
      <c r="X4085" s="508">
        <v>0.44700000000000001</v>
      </c>
      <c r="Y4085" s="508">
        <v>0.44700000000000001</v>
      </c>
      <c r="Z4085" s="508">
        <v>0.44700000000000001</v>
      </c>
      <c r="AA4085" s="508">
        <v>1.9E-2</v>
      </c>
      <c r="AB4085" s="508">
        <v>1.9E-2</v>
      </c>
      <c r="AC4085" s="508">
        <v>1.9E-2</v>
      </c>
      <c r="AD4085" s="508">
        <v>1.6E-2</v>
      </c>
      <c r="AE4085" s="508">
        <v>1.6E-2</v>
      </c>
      <c r="AF4085" s="508">
        <v>0.01</v>
      </c>
      <c r="AG4085" s="508">
        <v>0.01</v>
      </c>
      <c r="AH4085" s="508">
        <v>0.01</v>
      </c>
      <c r="AI4085" s="492">
        <v>0.01</v>
      </c>
      <c r="AJ4085" s="485"/>
    </row>
    <row r="4086" spans="2:36">
      <c r="B4086" s="136" t="s">
        <v>470</v>
      </c>
      <c r="C4086" s="132" t="s">
        <v>1371</v>
      </c>
      <c r="D4086" s="132" t="s">
        <v>284</v>
      </c>
      <c r="E4086" s="508">
        <v>1.1930000000000001</v>
      </c>
      <c r="F4086" s="508">
        <v>1.1930000000000001</v>
      </c>
      <c r="G4086" s="508">
        <v>1.1930000000000001</v>
      </c>
      <c r="H4086" s="508">
        <v>1.054</v>
      </c>
      <c r="I4086" s="508">
        <v>1.054</v>
      </c>
      <c r="J4086" s="508">
        <v>1.054</v>
      </c>
      <c r="K4086" s="508">
        <v>0.68</v>
      </c>
      <c r="L4086" s="508">
        <v>0.68</v>
      </c>
      <c r="M4086" s="508">
        <v>0.68</v>
      </c>
      <c r="N4086" s="508">
        <v>1.1160000000000001</v>
      </c>
      <c r="O4086" s="508">
        <v>1.1160000000000001</v>
      </c>
      <c r="P4086" s="508">
        <v>1.1160000000000001</v>
      </c>
      <c r="Q4086" s="508">
        <v>1.1160000000000001</v>
      </c>
      <c r="R4086" s="508">
        <v>0.52600000000000002</v>
      </c>
      <c r="S4086" s="508">
        <v>0.52600000000000002</v>
      </c>
      <c r="T4086" s="508">
        <v>0.52600000000000002</v>
      </c>
      <c r="U4086" s="508">
        <v>0.52600000000000002</v>
      </c>
      <c r="V4086" s="508">
        <v>0.52600000000000002</v>
      </c>
      <c r="W4086" s="508">
        <v>0.47499999999999998</v>
      </c>
      <c r="X4086" s="508">
        <v>0.47499999999999998</v>
      </c>
      <c r="Y4086" s="508">
        <v>0.47499999999999998</v>
      </c>
      <c r="Z4086" s="508">
        <v>0.47499999999999998</v>
      </c>
      <c r="AA4086" s="508">
        <v>0.02</v>
      </c>
      <c r="AB4086" s="508">
        <v>0.02</v>
      </c>
      <c r="AC4086" s="508">
        <v>0.02</v>
      </c>
      <c r="AD4086" s="508">
        <v>1.7000000000000001E-2</v>
      </c>
      <c r="AE4086" s="508">
        <v>1.7000000000000001E-2</v>
      </c>
      <c r="AF4086" s="508">
        <v>1.0999999999999999E-2</v>
      </c>
      <c r="AG4086" s="508">
        <v>1.0999999999999999E-2</v>
      </c>
      <c r="AH4086" s="508">
        <v>1.0999999999999999E-2</v>
      </c>
      <c r="AI4086" s="492">
        <v>1.0999999999999999E-2</v>
      </c>
      <c r="AJ4086" s="485"/>
    </row>
    <row r="4087" spans="2:36">
      <c r="B4087" s="136" t="s">
        <v>471</v>
      </c>
      <c r="C4087" s="132" t="s">
        <v>1371</v>
      </c>
      <c r="D4087" s="132" t="s">
        <v>284</v>
      </c>
      <c r="E4087" s="508">
        <v>1.1759999999999999</v>
      </c>
      <c r="F4087" s="508">
        <v>1.1759999999999999</v>
      </c>
      <c r="G4087" s="508">
        <v>1.1759999999999999</v>
      </c>
      <c r="H4087" s="508">
        <v>1.0329999999999999</v>
      </c>
      <c r="I4087" s="508">
        <v>1.0329999999999999</v>
      </c>
      <c r="J4087" s="508">
        <v>1.0329999999999999</v>
      </c>
      <c r="K4087" s="508">
        <v>0.65900000000000003</v>
      </c>
      <c r="L4087" s="508">
        <v>0.65900000000000003</v>
      </c>
      <c r="M4087" s="508">
        <v>0.65900000000000003</v>
      </c>
      <c r="N4087" s="508">
        <v>1.0840000000000001</v>
      </c>
      <c r="O4087" s="508">
        <v>1.0840000000000001</v>
      </c>
      <c r="P4087" s="508">
        <v>1.0840000000000001</v>
      </c>
      <c r="Q4087" s="508">
        <v>1.0840000000000001</v>
      </c>
      <c r="R4087" s="508">
        <v>0.51600000000000001</v>
      </c>
      <c r="S4087" s="508">
        <v>0.51600000000000001</v>
      </c>
      <c r="T4087" s="508">
        <v>0.51600000000000001</v>
      </c>
      <c r="U4087" s="508">
        <v>0.51600000000000001</v>
      </c>
      <c r="V4087" s="508">
        <v>0.51600000000000001</v>
      </c>
      <c r="W4087" s="508">
        <v>0.46600000000000003</v>
      </c>
      <c r="X4087" s="508">
        <v>0.46600000000000003</v>
      </c>
      <c r="Y4087" s="508">
        <v>0.46600000000000003</v>
      </c>
      <c r="Z4087" s="508">
        <v>0.46600000000000003</v>
      </c>
      <c r="AA4087" s="508">
        <v>1.9E-2</v>
      </c>
      <c r="AB4087" s="508">
        <v>1.9E-2</v>
      </c>
      <c r="AC4087" s="508">
        <v>1.9E-2</v>
      </c>
      <c r="AD4087" s="508">
        <v>1.7000000000000001E-2</v>
      </c>
      <c r="AE4087" s="508">
        <v>1.7000000000000001E-2</v>
      </c>
      <c r="AF4087" s="508">
        <v>1.0999999999999999E-2</v>
      </c>
      <c r="AG4087" s="508">
        <v>0.01</v>
      </c>
      <c r="AH4087" s="508">
        <v>0.01</v>
      </c>
      <c r="AI4087" s="492">
        <v>0.01</v>
      </c>
      <c r="AJ4087" s="485"/>
    </row>
    <row r="4088" spans="2:36">
      <c r="B4088" s="136" t="s">
        <v>472</v>
      </c>
      <c r="C4088" s="132" t="s">
        <v>1371</v>
      </c>
      <c r="D4088" s="132" t="s">
        <v>284</v>
      </c>
      <c r="E4088" s="508">
        <v>1.1399999999999999</v>
      </c>
      <c r="F4088" s="508">
        <v>1.1399999999999999</v>
      </c>
      <c r="G4088" s="508">
        <v>1.1399999999999999</v>
      </c>
      <c r="H4088" s="508">
        <v>0.98</v>
      </c>
      <c r="I4088" s="508">
        <v>0.98</v>
      </c>
      <c r="J4088" s="508">
        <v>0.98</v>
      </c>
      <c r="K4088" s="508">
        <v>0.60499999999999998</v>
      </c>
      <c r="L4088" s="508">
        <v>0.60499999999999998</v>
      </c>
      <c r="M4088" s="508">
        <v>0.60499999999999998</v>
      </c>
      <c r="N4088" s="508">
        <v>0.98899999999999999</v>
      </c>
      <c r="O4088" s="508">
        <v>0.98899999999999999</v>
      </c>
      <c r="P4088" s="508">
        <v>0.98899999999999999</v>
      </c>
      <c r="Q4088" s="508">
        <v>0.98899999999999999</v>
      </c>
      <c r="R4088" s="508">
        <v>0.48199999999999998</v>
      </c>
      <c r="S4088" s="508">
        <v>0.48199999999999998</v>
      </c>
      <c r="T4088" s="508">
        <v>0.48199999999999998</v>
      </c>
      <c r="U4088" s="508">
        <v>0.48199999999999998</v>
      </c>
      <c r="V4088" s="508">
        <v>0.48199999999999998</v>
      </c>
      <c r="W4088" s="508">
        <v>0.434</v>
      </c>
      <c r="X4088" s="508">
        <v>0.434</v>
      </c>
      <c r="Y4088" s="508">
        <v>0.434</v>
      </c>
      <c r="Z4088" s="508">
        <v>0.434</v>
      </c>
      <c r="AA4088" s="508">
        <v>1.7999999999999999E-2</v>
      </c>
      <c r="AB4088" s="508">
        <v>1.7999999999999999E-2</v>
      </c>
      <c r="AC4088" s="508">
        <v>1.7999999999999999E-2</v>
      </c>
      <c r="AD4088" s="508">
        <v>1.6E-2</v>
      </c>
      <c r="AE4088" s="508">
        <v>1.6E-2</v>
      </c>
      <c r="AF4088" s="508">
        <v>0.01</v>
      </c>
      <c r="AG4088" s="508">
        <v>0.01</v>
      </c>
      <c r="AH4088" s="508">
        <v>0.01</v>
      </c>
      <c r="AI4088" s="492">
        <v>0.01</v>
      </c>
      <c r="AJ4088" s="485"/>
    </row>
    <row r="4089" spans="2:36">
      <c r="B4089" s="136" t="s">
        <v>473</v>
      </c>
      <c r="C4089" s="132" t="s">
        <v>1371</v>
      </c>
      <c r="D4089" s="132" t="s">
        <v>284</v>
      </c>
      <c r="E4089" s="508">
        <v>1.1830000000000001</v>
      </c>
      <c r="F4089" s="508">
        <v>1.1830000000000001</v>
      </c>
      <c r="G4089" s="508">
        <v>1.1830000000000001</v>
      </c>
      <c r="H4089" s="508">
        <v>1.048</v>
      </c>
      <c r="I4089" s="508">
        <v>1.048</v>
      </c>
      <c r="J4089" s="508">
        <v>1.048</v>
      </c>
      <c r="K4089" s="508">
        <v>0.67900000000000005</v>
      </c>
      <c r="L4089" s="508">
        <v>0.67900000000000005</v>
      </c>
      <c r="M4089" s="508">
        <v>0.67900000000000005</v>
      </c>
      <c r="N4089" s="508">
        <v>1.119</v>
      </c>
      <c r="O4089" s="508">
        <v>1.119</v>
      </c>
      <c r="P4089" s="508">
        <v>1.119</v>
      </c>
      <c r="Q4089" s="508">
        <v>1.119</v>
      </c>
      <c r="R4089" s="508">
        <v>0.52800000000000002</v>
      </c>
      <c r="S4089" s="508">
        <v>0.52800000000000002</v>
      </c>
      <c r="T4089" s="508">
        <v>0.52800000000000002</v>
      </c>
      <c r="U4089" s="508">
        <v>0.52800000000000002</v>
      </c>
      <c r="V4089" s="508">
        <v>0.52800000000000002</v>
      </c>
      <c r="W4089" s="508">
        <v>0.47599999999999998</v>
      </c>
      <c r="X4089" s="508">
        <v>0.47599999999999998</v>
      </c>
      <c r="Y4089" s="508">
        <v>0.47599999999999998</v>
      </c>
      <c r="Z4089" s="508">
        <v>0.47599999999999998</v>
      </c>
      <c r="AA4089" s="508">
        <v>0.02</v>
      </c>
      <c r="AB4089" s="508">
        <v>0.02</v>
      </c>
      <c r="AC4089" s="508">
        <v>0.02</v>
      </c>
      <c r="AD4089" s="508">
        <v>1.7000000000000001E-2</v>
      </c>
      <c r="AE4089" s="508">
        <v>1.7000000000000001E-2</v>
      </c>
      <c r="AF4089" s="508">
        <v>1.0999999999999999E-2</v>
      </c>
      <c r="AG4089" s="508">
        <v>1.0999999999999999E-2</v>
      </c>
      <c r="AH4089" s="508">
        <v>1.0999999999999999E-2</v>
      </c>
      <c r="AI4089" s="492">
        <v>1.0999999999999999E-2</v>
      </c>
      <c r="AJ4089" s="485"/>
    </row>
    <row r="4090" spans="2:36">
      <c r="B4090" s="136" t="s">
        <v>474</v>
      </c>
      <c r="C4090" s="132" t="s">
        <v>1371</v>
      </c>
      <c r="D4090" s="132" t="s">
        <v>284</v>
      </c>
      <c r="E4090" s="508">
        <v>1.167</v>
      </c>
      <c r="F4090" s="508">
        <v>1.167</v>
      </c>
      <c r="G4090" s="508">
        <v>1.167</v>
      </c>
      <c r="H4090" s="508">
        <v>1.022</v>
      </c>
      <c r="I4090" s="508">
        <v>1.022</v>
      </c>
      <c r="J4090" s="508">
        <v>1.022</v>
      </c>
      <c r="K4090" s="508">
        <v>0.65100000000000002</v>
      </c>
      <c r="L4090" s="508">
        <v>0.65100000000000002</v>
      </c>
      <c r="M4090" s="508">
        <v>0.65100000000000002</v>
      </c>
      <c r="N4090" s="508">
        <v>1.0680000000000001</v>
      </c>
      <c r="O4090" s="508">
        <v>1.0680000000000001</v>
      </c>
      <c r="P4090" s="508">
        <v>1.0680000000000001</v>
      </c>
      <c r="Q4090" s="508">
        <v>1.0680000000000001</v>
      </c>
      <c r="R4090" s="508">
        <v>0.51</v>
      </c>
      <c r="S4090" s="508">
        <v>0.51</v>
      </c>
      <c r="T4090" s="508">
        <v>0.51</v>
      </c>
      <c r="U4090" s="508">
        <v>0.51</v>
      </c>
      <c r="V4090" s="508">
        <v>0.51</v>
      </c>
      <c r="W4090" s="508">
        <v>0.46</v>
      </c>
      <c r="X4090" s="508">
        <v>0.46</v>
      </c>
      <c r="Y4090" s="508">
        <v>0.46</v>
      </c>
      <c r="Z4090" s="508">
        <v>0.46</v>
      </c>
      <c r="AA4090" s="508">
        <v>1.9E-2</v>
      </c>
      <c r="AB4090" s="508">
        <v>1.9E-2</v>
      </c>
      <c r="AC4090" s="508">
        <v>1.9E-2</v>
      </c>
      <c r="AD4090" s="508">
        <v>1.7000000000000001E-2</v>
      </c>
      <c r="AE4090" s="508">
        <v>1.7000000000000001E-2</v>
      </c>
      <c r="AF4090" s="508">
        <v>0.01</v>
      </c>
      <c r="AG4090" s="508">
        <v>0.01</v>
      </c>
      <c r="AH4090" s="508">
        <v>0.01</v>
      </c>
      <c r="AI4090" s="492">
        <v>0.01</v>
      </c>
      <c r="AJ4090" s="485"/>
    </row>
    <row r="4091" spans="2:36">
      <c r="B4091" s="136" t="s">
        <v>475</v>
      </c>
      <c r="C4091" s="132" t="s">
        <v>1371</v>
      </c>
      <c r="D4091" s="132" t="s">
        <v>284</v>
      </c>
      <c r="E4091" s="508">
        <v>1.163</v>
      </c>
      <c r="F4091" s="508">
        <v>1.163</v>
      </c>
      <c r="G4091" s="508">
        <v>1.163</v>
      </c>
      <c r="H4091" s="508">
        <v>1.0129999999999999</v>
      </c>
      <c r="I4091" s="508">
        <v>1.0129999999999999</v>
      </c>
      <c r="J4091" s="508">
        <v>1.0129999999999999</v>
      </c>
      <c r="K4091" s="508">
        <v>0.63900000000000001</v>
      </c>
      <c r="L4091" s="508">
        <v>0.63900000000000001</v>
      </c>
      <c r="M4091" s="508">
        <v>0.63900000000000001</v>
      </c>
      <c r="N4091" s="508">
        <v>1.048</v>
      </c>
      <c r="O4091" s="508">
        <v>1.048</v>
      </c>
      <c r="P4091" s="508">
        <v>1.048</v>
      </c>
      <c r="Q4091" s="508">
        <v>1.048</v>
      </c>
      <c r="R4091" s="508">
        <v>0.502</v>
      </c>
      <c r="S4091" s="508">
        <v>0.502</v>
      </c>
      <c r="T4091" s="508">
        <v>0.502</v>
      </c>
      <c r="U4091" s="508">
        <v>0.502</v>
      </c>
      <c r="V4091" s="508">
        <v>0.502</v>
      </c>
      <c r="W4091" s="508">
        <v>0.45300000000000001</v>
      </c>
      <c r="X4091" s="508">
        <v>0.45300000000000001</v>
      </c>
      <c r="Y4091" s="508">
        <v>0.45300000000000001</v>
      </c>
      <c r="Z4091" s="508">
        <v>0.45300000000000001</v>
      </c>
      <c r="AA4091" s="508">
        <v>1.9E-2</v>
      </c>
      <c r="AB4091" s="508">
        <v>1.9E-2</v>
      </c>
      <c r="AC4091" s="508">
        <v>1.9E-2</v>
      </c>
      <c r="AD4091" s="508">
        <v>1.7000000000000001E-2</v>
      </c>
      <c r="AE4091" s="508">
        <v>1.7000000000000001E-2</v>
      </c>
      <c r="AF4091" s="508">
        <v>0.01</v>
      </c>
      <c r="AG4091" s="508">
        <v>0.01</v>
      </c>
      <c r="AH4091" s="508">
        <v>0.01</v>
      </c>
      <c r="AI4091" s="492">
        <v>0.01</v>
      </c>
      <c r="AJ4091" s="485"/>
    </row>
    <row r="4092" spans="2:36">
      <c r="B4092" s="136" t="s">
        <v>476</v>
      </c>
      <c r="C4092" s="132" t="s">
        <v>1371</v>
      </c>
      <c r="D4092" s="132" t="s">
        <v>284</v>
      </c>
      <c r="E4092" s="508">
        <v>1.1779999999999999</v>
      </c>
      <c r="F4092" s="508">
        <v>1.1779999999999999</v>
      </c>
      <c r="G4092" s="508">
        <v>1.1779999999999999</v>
      </c>
      <c r="H4092" s="508">
        <v>1.038</v>
      </c>
      <c r="I4092" s="508">
        <v>1.038</v>
      </c>
      <c r="J4092" s="508">
        <v>1.038</v>
      </c>
      <c r="K4092" s="508">
        <v>0.66800000000000004</v>
      </c>
      <c r="L4092" s="508">
        <v>0.66800000000000004</v>
      </c>
      <c r="M4092" s="508">
        <v>0.66800000000000004</v>
      </c>
      <c r="N4092" s="508">
        <v>1.0960000000000001</v>
      </c>
      <c r="O4092" s="508">
        <v>1.0960000000000001</v>
      </c>
      <c r="P4092" s="508">
        <v>1.0960000000000001</v>
      </c>
      <c r="Q4092" s="508">
        <v>1.0960000000000001</v>
      </c>
      <c r="R4092" s="508">
        <v>0.51800000000000002</v>
      </c>
      <c r="S4092" s="508">
        <v>0.51800000000000002</v>
      </c>
      <c r="T4092" s="508">
        <v>0.51800000000000002</v>
      </c>
      <c r="U4092" s="508">
        <v>0.51800000000000002</v>
      </c>
      <c r="V4092" s="508">
        <v>0.51800000000000002</v>
      </c>
      <c r="W4092" s="508">
        <v>0.46700000000000003</v>
      </c>
      <c r="X4092" s="508">
        <v>0.46700000000000003</v>
      </c>
      <c r="Y4092" s="508">
        <v>0.46700000000000003</v>
      </c>
      <c r="Z4092" s="508">
        <v>0.46700000000000003</v>
      </c>
      <c r="AA4092" s="508">
        <v>1.9E-2</v>
      </c>
      <c r="AB4092" s="508">
        <v>1.9E-2</v>
      </c>
      <c r="AC4092" s="508">
        <v>1.9E-2</v>
      </c>
      <c r="AD4092" s="508">
        <v>1.7000000000000001E-2</v>
      </c>
      <c r="AE4092" s="508">
        <v>1.7000000000000001E-2</v>
      </c>
      <c r="AF4092" s="508">
        <v>1.0999999999999999E-2</v>
      </c>
      <c r="AG4092" s="508">
        <v>0.01</v>
      </c>
      <c r="AH4092" s="508">
        <v>0.01</v>
      </c>
      <c r="AI4092" s="492">
        <v>0.01</v>
      </c>
      <c r="AJ4092" s="485"/>
    </row>
    <row r="4093" spans="2:36">
      <c r="B4093" s="136" t="s">
        <v>478</v>
      </c>
      <c r="C4093" s="132" t="s">
        <v>1371</v>
      </c>
      <c r="D4093" s="132" t="s">
        <v>284</v>
      </c>
      <c r="E4093" s="508">
        <v>1.2050000000000001</v>
      </c>
      <c r="F4093" s="508">
        <v>1.2050000000000001</v>
      </c>
      <c r="G4093" s="508">
        <v>1.2050000000000001</v>
      </c>
      <c r="H4093" s="508">
        <v>1.07</v>
      </c>
      <c r="I4093" s="508">
        <v>1.07</v>
      </c>
      <c r="J4093" s="508">
        <v>1.07</v>
      </c>
      <c r="K4093" s="508">
        <v>0.69599999999999995</v>
      </c>
      <c r="L4093" s="508">
        <v>0.69599999999999995</v>
      </c>
      <c r="M4093" s="508">
        <v>0.69599999999999995</v>
      </c>
      <c r="N4093" s="508">
        <v>1.1399999999999999</v>
      </c>
      <c r="O4093" s="508">
        <v>1.1399999999999999</v>
      </c>
      <c r="P4093" s="508">
        <v>1.1399999999999999</v>
      </c>
      <c r="Q4093" s="508">
        <v>1.1399999999999999</v>
      </c>
      <c r="R4093" s="508">
        <v>0.53300000000000003</v>
      </c>
      <c r="S4093" s="508">
        <v>0.53300000000000003</v>
      </c>
      <c r="T4093" s="508">
        <v>0.53300000000000003</v>
      </c>
      <c r="U4093" s="508">
        <v>0.53300000000000003</v>
      </c>
      <c r="V4093" s="508">
        <v>0.53300000000000003</v>
      </c>
      <c r="W4093" s="508">
        <v>0.48099999999999998</v>
      </c>
      <c r="X4093" s="508">
        <v>0.48099999999999998</v>
      </c>
      <c r="Y4093" s="508">
        <v>0.48099999999999998</v>
      </c>
      <c r="Z4093" s="508">
        <v>0.48099999999999998</v>
      </c>
      <c r="AA4093" s="508">
        <v>0.02</v>
      </c>
      <c r="AB4093" s="508">
        <v>0.02</v>
      </c>
      <c r="AC4093" s="508">
        <v>0.02</v>
      </c>
      <c r="AD4093" s="508">
        <v>1.7000000000000001E-2</v>
      </c>
      <c r="AE4093" s="508">
        <v>1.7000000000000001E-2</v>
      </c>
      <c r="AF4093" s="508">
        <v>1.0999999999999999E-2</v>
      </c>
      <c r="AG4093" s="508">
        <v>1.0999999999999999E-2</v>
      </c>
      <c r="AH4093" s="508">
        <v>1.0999999999999999E-2</v>
      </c>
      <c r="AI4093" s="492">
        <v>1.0999999999999999E-2</v>
      </c>
      <c r="AJ4093" s="485"/>
    </row>
    <row r="4094" spans="2:36">
      <c r="B4094" s="136" t="s">
        <v>479</v>
      </c>
      <c r="C4094" s="132" t="s">
        <v>1371</v>
      </c>
      <c r="D4094" s="132" t="s">
        <v>284</v>
      </c>
      <c r="E4094" s="508">
        <v>1.163</v>
      </c>
      <c r="F4094" s="508">
        <v>1.163</v>
      </c>
      <c r="G4094" s="508">
        <v>1.163</v>
      </c>
      <c r="H4094" s="508">
        <v>1.018</v>
      </c>
      <c r="I4094" s="508">
        <v>1.018</v>
      </c>
      <c r="J4094" s="508">
        <v>1.018</v>
      </c>
      <c r="K4094" s="508">
        <v>0.64700000000000002</v>
      </c>
      <c r="L4094" s="508">
        <v>0.64700000000000002</v>
      </c>
      <c r="M4094" s="508">
        <v>0.64700000000000002</v>
      </c>
      <c r="N4094" s="508">
        <v>1.06</v>
      </c>
      <c r="O4094" s="508">
        <v>1.06</v>
      </c>
      <c r="P4094" s="508">
        <v>1.06</v>
      </c>
      <c r="Q4094" s="508">
        <v>1.06</v>
      </c>
      <c r="R4094" s="508">
        <v>0.505</v>
      </c>
      <c r="S4094" s="508">
        <v>0.505</v>
      </c>
      <c r="T4094" s="508">
        <v>0.505</v>
      </c>
      <c r="U4094" s="508">
        <v>0.505</v>
      </c>
      <c r="V4094" s="508">
        <v>0.505</v>
      </c>
      <c r="W4094" s="508">
        <v>0.45600000000000002</v>
      </c>
      <c r="X4094" s="508">
        <v>0.45600000000000002</v>
      </c>
      <c r="Y4094" s="508">
        <v>0.45600000000000002</v>
      </c>
      <c r="Z4094" s="508">
        <v>0.45600000000000002</v>
      </c>
      <c r="AA4094" s="508">
        <v>1.9E-2</v>
      </c>
      <c r="AB4094" s="508">
        <v>1.9E-2</v>
      </c>
      <c r="AC4094" s="508">
        <v>1.9E-2</v>
      </c>
      <c r="AD4094" s="508">
        <v>1.7000000000000001E-2</v>
      </c>
      <c r="AE4094" s="508">
        <v>1.7000000000000001E-2</v>
      </c>
      <c r="AF4094" s="508">
        <v>0.01</v>
      </c>
      <c r="AG4094" s="508">
        <v>0.01</v>
      </c>
      <c r="AH4094" s="508">
        <v>0.01</v>
      </c>
      <c r="AI4094" s="492">
        <v>0.01</v>
      </c>
      <c r="AJ4094" s="485"/>
    </row>
    <row r="4095" spans="2:36">
      <c r="B4095" s="136" t="s">
        <v>480</v>
      </c>
      <c r="C4095" s="132" t="s">
        <v>1371</v>
      </c>
      <c r="D4095" s="132" t="s">
        <v>284</v>
      </c>
      <c r="E4095" s="508">
        <v>1.1419999999999999</v>
      </c>
      <c r="F4095" s="508">
        <v>1.1419999999999999</v>
      </c>
      <c r="G4095" s="508">
        <v>1.1419999999999999</v>
      </c>
      <c r="H4095" s="508">
        <v>0.98</v>
      </c>
      <c r="I4095" s="508">
        <v>0.98</v>
      </c>
      <c r="J4095" s="508">
        <v>0.98</v>
      </c>
      <c r="K4095" s="508">
        <v>0.60399999999999998</v>
      </c>
      <c r="L4095" s="508">
        <v>0.60399999999999998</v>
      </c>
      <c r="M4095" s="508">
        <v>0.60399999999999998</v>
      </c>
      <c r="N4095" s="508">
        <v>0.98299999999999998</v>
      </c>
      <c r="O4095" s="508">
        <v>0.98299999999999998</v>
      </c>
      <c r="P4095" s="508">
        <v>0.98299999999999998</v>
      </c>
      <c r="Q4095" s="508">
        <v>0.98299999999999998</v>
      </c>
      <c r="R4095" s="508">
        <v>0.47699999999999998</v>
      </c>
      <c r="S4095" s="508">
        <v>0.47699999999999998</v>
      </c>
      <c r="T4095" s="508">
        <v>0.47699999999999998</v>
      </c>
      <c r="U4095" s="508">
        <v>0.47699999999999998</v>
      </c>
      <c r="V4095" s="508">
        <v>0.47699999999999998</v>
      </c>
      <c r="W4095" s="508">
        <v>0.43</v>
      </c>
      <c r="X4095" s="508">
        <v>0.43</v>
      </c>
      <c r="Y4095" s="508">
        <v>0.43</v>
      </c>
      <c r="Z4095" s="508">
        <v>0.43</v>
      </c>
      <c r="AA4095" s="508">
        <v>1.7999999999999999E-2</v>
      </c>
      <c r="AB4095" s="508">
        <v>1.7999999999999999E-2</v>
      </c>
      <c r="AC4095" s="508">
        <v>1.7999999999999999E-2</v>
      </c>
      <c r="AD4095" s="508">
        <v>1.6E-2</v>
      </c>
      <c r="AE4095" s="508">
        <v>1.6E-2</v>
      </c>
      <c r="AF4095" s="508">
        <v>0.01</v>
      </c>
      <c r="AG4095" s="508">
        <v>0.01</v>
      </c>
      <c r="AH4095" s="508">
        <v>0.01</v>
      </c>
      <c r="AI4095" s="492">
        <v>0.01</v>
      </c>
      <c r="AJ4095" s="485"/>
    </row>
    <row r="4096" spans="2:36">
      <c r="B4096" s="136" t="s">
        <v>481</v>
      </c>
      <c r="C4096" s="132" t="s">
        <v>1371</v>
      </c>
      <c r="D4096" s="132" t="s">
        <v>284</v>
      </c>
      <c r="E4096" s="508">
        <v>1.173</v>
      </c>
      <c r="F4096" s="508">
        <v>1.173</v>
      </c>
      <c r="G4096" s="508">
        <v>1.173</v>
      </c>
      <c r="H4096" s="508">
        <v>1.03</v>
      </c>
      <c r="I4096" s="508">
        <v>1.03</v>
      </c>
      <c r="J4096" s="508">
        <v>1.03</v>
      </c>
      <c r="K4096" s="508">
        <v>0.65800000000000003</v>
      </c>
      <c r="L4096" s="508">
        <v>0.65800000000000003</v>
      </c>
      <c r="M4096" s="508">
        <v>0.65800000000000003</v>
      </c>
      <c r="N4096" s="508">
        <v>1.0780000000000001</v>
      </c>
      <c r="O4096" s="508">
        <v>1.0780000000000001</v>
      </c>
      <c r="P4096" s="508">
        <v>1.0780000000000001</v>
      </c>
      <c r="Q4096" s="508">
        <v>1.0780000000000001</v>
      </c>
      <c r="R4096" s="508">
        <v>0.51100000000000001</v>
      </c>
      <c r="S4096" s="508">
        <v>0.51100000000000001</v>
      </c>
      <c r="T4096" s="508">
        <v>0.51100000000000001</v>
      </c>
      <c r="U4096" s="508">
        <v>0.51100000000000001</v>
      </c>
      <c r="V4096" s="508">
        <v>0.51100000000000001</v>
      </c>
      <c r="W4096" s="508">
        <v>0.46100000000000002</v>
      </c>
      <c r="X4096" s="508">
        <v>0.46100000000000002</v>
      </c>
      <c r="Y4096" s="508">
        <v>0.46100000000000002</v>
      </c>
      <c r="Z4096" s="508">
        <v>0.46100000000000002</v>
      </c>
      <c r="AA4096" s="508">
        <v>1.9E-2</v>
      </c>
      <c r="AB4096" s="508">
        <v>1.9E-2</v>
      </c>
      <c r="AC4096" s="508">
        <v>1.9E-2</v>
      </c>
      <c r="AD4096" s="508">
        <v>1.7000000000000001E-2</v>
      </c>
      <c r="AE4096" s="508">
        <v>1.7000000000000001E-2</v>
      </c>
      <c r="AF4096" s="508">
        <v>0.01</v>
      </c>
      <c r="AG4096" s="508">
        <v>0.01</v>
      </c>
      <c r="AH4096" s="508">
        <v>0.01</v>
      </c>
      <c r="AI4096" s="492">
        <v>0.01</v>
      </c>
      <c r="AJ4096" s="485"/>
    </row>
    <row r="4097" spans="2:36">
      <c r="B4097" s="136" t="s">
        <v>482</v>
      </c>
      <c r="C4097" s="132" t="s">
        <v>1371</v>
      </c>
      <c r="D4097" s="132" t="s">
        <v>284</v>
      </c>
      <c r="E4097" s="508">
        <v>1.1839999999999999</v>
      </c>
      <c r="F4097" s="508">
        <v>1.1839999999999999</v>
      </c>
      <c r="G4097" s="508">
        <v>1.1839999999999999</v>
      </c>
      <c r="H4097" s="508">
        <v>1.0369999999999999</v>
      </c>
      <c r="I4097" s="508">
        <v>1.0369999999999999</v>
      </c>
      <c r="J4097" s="508">
        <v>1.0369999999999999</v>
      </c>
      <c r="K4097" s="508">
        <v>0.65900000000000003</v>
      </c>
      <c r="L4097" s="508">
        <v>0.65900000000000003</v>
      </c>
      <c r="M4097" s="508">
        <v>0.65900000000000003</v>
      </c>
      <c r="N4097" s="508">
        <v>1.0780000000000001</v>
      </c>
      <c r="O4097" s="508">
        <v>1.0780000000000001</v>
      </c>
      <c r="P4097" s="508">
        <v>1.0780000000000001</v>
      </c>
      <c r="Q4097" s="508">
        <v>1.0780000000000001</v>
      </c>
      <c r="R4097" s="508">
        <v>0.51200000000000001</v>
      </c>
      <c r="S4097" s="508">
        <v>0.51200000000000001</v>
      </c>
      <c r="T4097" s="508">
        <v>0.51200000000000001</v>
      </c>
      <c r="U4097" s="508">
        <v>0.51200000000000001</v>
      </c>
      <c r="V4097" s="508">
        <v>0.51200000000000001</v>
      </c>
      <c r="W4097" s="508">
        <v>0.46200000000000002</v>
      </c>
      <c r="X4097" s="508">
        <v>0.46200000000000002</v>
      </c>
      <c r="Y4097" s="508">
        <v>0.46200000000000002</v>
      </c>
      <c r="Z4097" s="508">
        <v>0.46200000000000002</v>
      </c>
      <c r="AA4097" s="508">
        <v>1.9E-2</v>
      </c>
      <c r="AB4097" s="508">
        <v>1.9E-2</v>
      </c>
      <c r="AC4097" s="508">
        <v>1.9E-2</v>
      </c>
      <c r="AD4097" s="508">
        <v>1.7000000000000001E-2</v>
      </c>
      <c r="AE4097" s="508">
        <v>1.7000000000000001E-2</v>
      </c>
      <c r="AF4097" s="508">
        <v>1.0999999999999999E-2</v>
      </c>
      <c r="AG4097" s="508">
        <v>0.01</v>
      </c>
      <c r="AH4097" s="508">
        <v>0.01</v>
      </c>
      <c r="AI4097" s="492">
        <v>0.01</v>
      </c>
      <c r="AJ4097" s="485"/>
    </row>
    <row r="4098" spans="2:36">
      <c r="B4098" s="136" t="s">
        <v>483</v>
      </c>
      <c r="C4098" s="132" t="s">
        <v>1371</v>
      </c>
      <c r="D4098" s="132" t="s">
        <v>284</v>
      </c>
      <c r="E4098" s="508">
        <v>1.196</v>
      </c>
      <c r="F4098" s="508">
        <v>1.196</v>
      </c>
      <c r="G4098" s="508">
        <v>1.196</v>
      </c>
      <c r="H4098" s="508">
        <v>1.0609999999999999</v>
      </c>
      <c r="I4098" s="508">
        <v>1.0609999999999999</v>
      </c>
      <c r="J4098" s="508">
        <v>1.0609999999999999</v>
      </c>
      <c r="K4098" s="508">
        <v>0.68899999999999995</v>
      </c>
      <c r="L4098" s="508">
        <v>0.68899999999999995</v>
      </c>
      <c r="M4098" s="508">
        <v>0.68899999999999995</v>
      </c>
      <c r="N4098" s="508">
        <v>1.1299999999999999</v>
      </c>
      <c r="O4098" s="508">
        <v>1.1299999999999999</v>
      </c>
      <c r="P4098" s="508">
        <v>1.1299999999999999</v>
      </c>
      <c r="Q4098" s="508">
        <v>1.1299999999999999</v>
      </c>
      <c r="R4098" s="508">
        <v>0.53</v>
      </c>
      <c r="S4098" s="508">
        <v>0.53</v>
      </c>
      <c r="T4098" s="508">
        <v>0.53</v>
      </c>
      <c r="U4098" s="508">
        <v>0.53</v>
      </c>
      <c r="V4098" s="508">
        <v>0.53</v>
      </c>
      <c r="W4098" s="508">
        <v>0.47799999999999998</v>
      </c>
      <c r="X4098" s="508">
        <v>0.47799999999999998</v>
      </c>
      <c r="Y4098" s="508">
        <v>0.47799999999999998</v>
      </c>
      <c r="Z4098" s="508">
        <v>0.47799999999999998</v>
      </c>
      <c r="AA4098" s="508">
        <v>0.02</v>
      </c>
      <c r="AB4098" s="508">
        <v>0.02</v>
      </c>
      <c r="AC4098" s="508">
        <v>0.02</v>
      </c>
      <c r="AD4098" s="508">
        <v>1.7000000000000001E-2</v>
      </c>
      <c r="AE4098" s="508">
        <v>1.7000000000000001E-2</v>
      </c>
      <c r="AF4098" s="508">
        <v>1.0999999999999999E-2</v>
      </c>
      <c r="AG4098" s="508">
        <v>1.0999999999999999E-2</v>
      </c>
      <c r="AH4098" s="508">
        <v>1.0999999999999999E-2</v>
      </c>
      <c r="AI4098" s="492">
        <v>1.0999999999999999E-2</v>
      </c>
      <c r="AJ4098" s="485"/>
    </row>
    <row r="4099" spans="2:36">
      <c r="B4099" s="136" t="s">
        <v>484</v>
      </c>
      <c r="C4099" s="132" t="s">
        <v>1371</v>
      </c>
      <c r="D4099" s="132" t="s">
        <v>284</v>
      </c>
      <c r="E4099" s="508">
        <v>1.141</v>
      </c>
      <c r="F4099" s="508">
        <v>1.141</v>
      </c>
      <c r="G4099" s="508">
        <v>1.141</v>
      </c>
      <c r="H4099" s="508">
        <v>0.98</v>
      </c>
      <c r="I4099" s="508">
        <v>0.98</v>
      </c>
      <c r="J4099" s="508">
        <v>0.98</v>
      </c>
      <c r="K4099" s="508">
        <v>0.60399999999999998</v>
      </c>
      <c r="L4099" s="508">
        <v>0.60399999999999998</v>
      </c>
      <c r="M4099" s="508">
        <v>0.60399999999999998</v>
      </c>
      <c r="N4099" s="508">
        <v>0.98699999999999999</v>
      </c>
      <c r="O4099" s="508">
        <v>0.98699999999999999</v>
      </c>
      <c r="P4099" s="508">
        <v>0.98699999999999999</v>
      </c>
      <c r="Q4099" s="508">
        <v>0.98699999999999999</v>
      </c>
      <c r="R4099" s="508">
        <v>0.48</v>
      </c>
      <c r="S4099" s="508">
        <v>0.48</v>
      </c>
      <c r="T4099" s="508">
        <v>0.48</v>
      </c>
      <c r="U4099" s="508">
        <v>0.48</v>
      </c>
      <c r="V4099" s="508">
        <v>0.48</v>
      </c>
      <c r="W4099" s="508">
        <v>0.433</v>
      </c>
      <c r="X4099" s="508">
        <v>0.433</v>
      </c>
      <c r="Y4099" s="508">
        <v>0.433</v>
      </c>
      <c r="Z4099" s="508">
        <v>0.433</v>
      </c>
      <c r="AA4099" s="508">
        <v>1.7999999999999999E-2</v>
      </c>
      <c r="AB4099" s="508">
        <v>1.7999999999999999E-2</v>
      </c>
      <c r="AC4099" s="508">
        <v>1.7999999999999999E-2</v>
      </c>
      <c r="AD4099" s="508">
        <v>1.6E-2</v>
      </c>
      <c r="AE4099" s="508">
        <v>1.6E-2</v>
      </c>
      <c r="AF4099" s="508">
        <v>0.01</v>
      </c>
      <c r="AG4099" s="508">
        <v>0.01</v>
      </c>
      <c r="AH4099" s="508">
        <v>0.01</v>
      </c>
      <c r="AI4099" s="492">
        <v>0.01</v>
      </c>
      <c r="AJ4099" s="485"/>
    </row>
    <row r="4100" spans="2:36">
      <c r="B4100" s="136" t="s">
        <v>486</v>
      </c>
      <c r="C4100" s="132" t="s">
        <v>1371</v>
      </c>
      <c r="D4100" s="132" t="s">
        <v>284</v>
      </c>
      <c r="E4100" s="508">
        <v>1.179</v>
      </c>
      <c r="F4100" s="508">
        <v>1.179</v>
      </c>
      <c r="G4100" s="508">
        <v>1.179</v>
      </c>
      <c r="H4100" s="508">
        <v>1.0349999999999999</v>
      </c>
      <c r="I4100" s="508">
        <v>1.0349999999999999</v>
      </c>
      <c r="J4100" s="508">
        <v>1.0349999999999999</v>
      </c>
      <c r="K4100" s="508">
        <v>0.66100000000000003</v>
      </c>
      <c r="L4100" s="508">
        <v>0.66100000000000003</v>
      </c>
      <c r="M4100" s="508">
        <v>0.66100000000000003</v>
      </c>
      <c r="N4100" s="508">
        <v>1.083</v>
      </c>
      <c r="O4100" s="508">
        <v>1.083</v>
      </c>
      <c r="P4100" s="508">
        <v>1.083</v>
      </c>
      <c r="Q4100" s="508">
        <v>1.083</v>
      </c>
      <c r="R4100" s="508">
        <v>0.51300000000000001</v>
      </c>
      <c r="S4100" s="508">
        <v>0.51300000000000001</v>
      </c>
      <c r="T4100" s="508">
        <v>0.51300000000000001</v>
      </c>
      <c r="U4100" s="508">
        <v>0.51300000000000001</v>
      </c>
      <c r="V4100" s="508">
        <v>0.51300000000000001</v>
      </c>
      <c r="W4100" s="508">
        <v>0.46300000000000002</v>
      </c>
      <c r="X4100" s="508">
        <v>0.46300000000000002</v>
      </c>
      <c r="Y4100" s="508">
        <v>0.46300000000000002</v>
      </c>
      <c r="Z4100" s="508">
        <v>0.46300000000000002</v>
      </c>
      <c r="AA4100" s="508">
        <v>1.9E-2</v>
      </c>
      <c r="AB4100" s="508">
        <v>1.9E-2</v>
      </c>
      <c r="AC4100" s="508">
        <v>1.9E-2</v>
      </c>
      <c r="AD4100" s="508">
        <v>1.7000000000000001E-2</v>
      </c>
      <c r="AE4100" s="508">
        <v>1.7000000000000001E-2</v>
      </c>
      <c r="AF4100" s="508">
        <v>1.0999999999999999E-2</v>
      </c>
      <c r="AG4100" s="508">
        <v>0.01</v>
      </c>
      <c r="AH4100" s="508">
        <v>0.01</v>
      </c>
      <c r="AI4100" s="492">
        <v>0.01</v>
      </c>
      <c r="AJ4100" s="485"/>
    </row>
    <row r="4101" spans="2:36">
      <c r="B4101" s="136" t="s">
        <v>487</v>
      </c>
      <c r="C4101" s="132" t="s">
        <v>1371</v>
      </c>
      <c r="D4101" s="132" t="s">
        <v>284</v>
      </c>
      <c r="E4101" s="508">
        <v>1.1859999999999999</v>
      </c>
      <c r="F4101" s="508">
        <v>1.1859999999999999</v>
      </c>
      <c r="G4101" s="508">
        <v>1.1870000000000001</v>
      </c>
      <c r="H4101" s="508">
        <v>1.0429999999999999</v>
      </c>
      <c r="I4101" s="508">
        <v>1.0429999999999999</v>
      </c>
      <c r="J4101" s="508">
        <v>1.0429999999999999</v>
      </c>
      <c r="K4101" s="508">
        <v>0.66600000000000004</v>
      </c>
      <c r="L4101" s="508">
        <v>0.66600000000000004</v>
      </c>
      <c r="M4101" s="508">
        <v>0.66600000000000004</v>
      </c>
      <c r="N4101" s="508">
        <v>1.087</v>
      </c>
      <c r="O4101" s="508">
        <v>1.087</v>
      </c>
      <c r="P4101" s="508">
        <v>1.087</v>
      </c>
      <c r="Q4101" s="508">
        <v>1.087</v>
      </c>
      <c r="R4101" s="508">
        <v>0.51400000000000001</v>
      </c>
      <c r="S4101" s="508">
        <v>0.51400000000000001</v>
      </c>
      <c r="T4101" s="508">
        <v>0.51400000000000001</v>
      </c>
      <c r="U4101" s="508">
        <v>0.51400000000000001</v>
      </c>
      <c r="V4101" s="508">
        <v>0.51400000000000001</v>
      </c>
      <c r="W4101" s="508">
        <v>0.46300000000000002</v>
      </c>
      <c r="X4101" s="508">
        <v>0.46300000000000002</v>
      </c>
      <c r="Y4101" s="508">
        <v>0.46300000000000002</v>
      </c>
      <c r="Z4101" s="508">
        <v>0.46300000000000002</v>
      </c>
      <c r="AA4101" s="508">
        <v>1.9E-2</v>
      </c>
      <c r="AB4101" s="508">
        <v>1.9E-2</v>
      </c>
      <c r="AC4101" s="508">
        <v>1.9E-2</v>
      </c>
      <c r="AD4101" s="508">
        <v>1.7000000000000001E-2</v>
      </c>
      <c r="AE4101" s="508">
        <v>1.7000000000000001E-2</v>
      </c>
      <c r="AF4101" s="508">
        <v>1.0999999999999999E-2</v>
      </c>
      <c r="AG4101" s="508">
        <v>0.01</v>
      </c>
      <c r="AH4101" s="508">
        <v>0.01</v>
      </c>
      <c r="AI4101" s="492">
        <v>0.01</v>
      </c>
      <c r="AJ4101" s="485"/>
    </row>
    <row r="4102" spans="2:36">
      <c r="B4102" s="136" t="s">
        <v>488</v>
      </c>
      <c r="C4102" s="132" t="s">
        <v>1371</v>
      </c>
      <c r="D4102" s="132" t="s">
        <v>284</v>
      </c>
      <c r="E4102" s="508">
        <v>1.155</v>
      </c>
      <c r="F4102" s="508">
        <v>1.155</v>
      </c>
      <c r="G4102" s="508">
        <v>1.155</v>
      </c>
      <c r="H4102" s="508">
        <v>0.997</v>
      </c>
      <c r="I4102" s="508">
        <v>0.997</v>
      </c>
      <c r="J4102" s="508">
        <v>0.997</v>
      </c>
      <c r="K4102" s="508">
        <v>0.62</v>
      </c>
      <c r="L4102" s="508">
        <v>0.62</v>
      </c>
      <c r="M4102" s="508">
        <v>0.62</v>
      </c>
      <c r="N4102" s="508">
        <v>1.012</v>
      </c>
      <c r="O4102" s="508">
        <v>1.012</v>
      </c>
      <c r="P4102" s="508">
        <v>1.012</v>
      </c>
      <c r="Q4102" s="508">
        <v>1.012</v>
      </c>
      <c r="R4102" s="508">
        <v>0.48799999999999999</v>
      </c>
      <c r="S4102" s="508">
        <v>0.48899999999999999</v>
      </c>
      <c r="T4102" s="508">
        <v>0.48799999999999999</v>
      </c>
      <c r="U4102" s="508">
        <v>0.48799999999999999</v>
      </c>
      <c r="V4102" s="508">
        <v>0.48799999999999999</v>
      </c>
      <c r="W4102" s="508">
        <v>0.441</v>
      </c>
      <c r="X4102" s="508">
        <v>0.441</v>
      </c>
      <c r="Y4102" s="508">
        <v>0.441</v>
      </c>
      <c r="Z4102" s="508">
        <v>0.441</v>
      </c>
      <c r="AA4102" s="508">
        <v>1.9E-2</v>
      </c>
      <c r="AB4102" s="508">
        <v>1.9E-2</v>
      </c>
      <c r="AC4102" s="508">
        <v>1.9E-2</v>
      </c>
      <c r="AD4102" s="508">
        <v>1.6E-2</v>
      </c>
      <c r="AE4102" s="508">
        <v>1.6E-2</v>
      </c>
      <c r="AF4102" s="508">
        <v>0.01</v>
      </c>
      <c r="AG4102" s="508">
        <v>0.01</v>
      </c>
      <c r="AH4102" s="508">
        <v>0.01</v>
      </c>
      <c r="AI4102" s="492">
        <v>0.01</v>
      </c>
      <c r="AJ4102" s="485"/>
    </row>
    <row r="4103" spans="2:36">
      <c r="B4103" s="136" t="s">
        <v>489</v>
      </c>
      <c r="C4103" s="132" t="s">
        <v>1371</v>
      </c>
      <c r="D4103" s="132" t="s">
        <v>284</v>
      </c>
      <c r="E4103" s="508">
        <v>1.163</v>
      </c>
      <c r="F4103" s="508">
        <v>1.163</v>
      </c>
      <c r="G4103" s="508">
        <v>1.163</v>
      </c>
      <c r="H4103" s="508">
        <v>1.012</v>
      </c>
      <c r="I4103" s="508">
        <v>1.012</v>
      </c>
      <c r="J4103" s="508">
        <v>1.012</v>
      </c>
      <c r="K4103" s="508">
        <v>0.63600000000000001</v>
      </c>
      <c r="L4103" s="508">
        <v>0.63600000000000001</v>
      </c>
      <c r="M4103" s="508">
        <v>0.63600000000000001</v>
      </c>
      <c r="N4103" s="508">
        <v>1.042</v>
      </c>
      <c r="O4103" s="508">
        <v>1.042</v>
      </c>
      <c r="P4103" s="508">
        <v>1.042</v>
      </c>
      <c r="Q4103" s="508">
        <v>1.042</v>
      </c>
      <c r="R4103" s="508">
        <v>0.5</v>
      </c>
      <c r="S4103" s="508">
        <v>0.5</v>
      </c>
      <c r="T4103" s="508">
        <v>0.5</v>
      </c>
      <c r="U4103" s="508">
        <v>0.5</v>
      </c>
      <c r="V4103" s="508">
        <v>0.5</v>
      </c>
      <c r="W4103" s="508">
        <v>0.45100000000000001</v>
      </c>
      <c r="X4103" s="508">
        <v>0.45100000000000001</v>
      </c>
      <c r="Y4103" s="508">
        <v>0.45100000000000001</v>
      </c>
      <c r="Z4103" s="508">
        <v>0.45100000000000001</v>
      </c>
      <c r="AA4103" s="508">
        <v>1.9E-2</v>
      </c>
      <c r="AB4103" s="508">
        <v>1.9E-2</v>
      </c>
      <c r="AC4103" s="508">
        <v>1.9E-2</v>
      </c>
      <c r="AD4103" s="508">
        <v>1.7000000000000001E-2</v>
      </c>
      <c r="AE4103" s="508">
        <v>1.7000000000000001E-2</v>
      </c>
      <c r="AF4103" s="508">
        <v>0.01</v>
      </c>
      <c r="AG4103" s="508">
        <v>0.01</v>
      </c>
      <c r="AH4103" s="508">
        <v>0.01</v>
      </c>
      <c r="AI4103" s="492">
        <v>0.01</v>
      </c>
      <c r="AJ4103" s="485"/>
    </row>
    <row r="4104" spans="2:36">
      <c r="B4104" s="136" t="s">
        <v>490</v>
      </c>
      <c r="C4104" s="132" t="s">
        <v>1371</v>
      </c>
      <c r="D4104" s="132" t="s">
        <v>284</v>
      </c>
      <c r="E4104" s="508">
        <v>1.141</v>
      </c>
      <c r="F4104" s="508">
        <v>1.141</v>
      </c>
      <c r="G4104" s="508">
        <v>1.141</v>
      </c>
      <c r="H4104" s="508">
        <v>0.98299999999999998</v>
      </c>
      <c r="I4104" s="508">
        <v>0.98299999999999998</v>
      </c>
      <c r="J4104" s="508">
        <v>0.98299999999999998</v>
      </c>
      <c r="K4104" s="508">
        <v>0.61</v>
      </c>
      <c r="L4104" s="508">
        <v>0.61</v>
      </c>
      <c r="M4104" s="508">
        <v>0.61</v>
      </c>
      <c r="N4104" s="508">
        <v>0.99199999999999999</v>
      </c>
      <c r="O4104" s="508">
        <v>0.99199999999999999</v>
      </c>
      <c r="P4104" s="508">
        <v>0.99199999999999999</v>
      </c>
      <c r="Q4104" s="508">
        <v>0.99199999999999999</v>
      </c>
      <c r="R4104" s="508">
        <v>0.47899999999999998</v>
      </c>
      <c r="S4104" s="508">
        <v>0.47899999999999998</v>
      </c>
      <c r="T4104" s="508">
        <v>0.47899999999999998</v>
      </c>
      <c r="U4104" s="508">
        <v>0.47899999999999998</v>
      </c>
      <c r="V4104" s="508">
        <v>0.47899999999999998</v>
      </c>
      <c r="W4104" s="508">
        <v>0.432</v>
      </c>
      <c r="X4104" s="508">
        <v>0.432</v>
      </c>
      <c r="Y4104" s="508">
        <v>0.432</v>
      </c>
      <c r="Z4104" s="508">
        <v>0.432</v>
      </c>
      <c r="AA4104" s="508">
        <v>1.7999999999999999E-2</v>
      </c>
      <c r="AB4104" s="508">
        <v>1.7999999999999999E-2</v>
      </c>
      <c r="AC4104" s="508">
        <v>1.7999999999999999E-2</v>
      </c>
      <c r="AD4104" s="508">
        <v>1.6E-2</v>
      </c>
      <c r="AE4104" s="508">
        <v>1.6E-2</v>
      </c>
      <c r="AF4104" s="508">
        <v>0.01</v>
      </c>
      <c r="AG4104" s="508">
        <v>0.01</v>
      </c>
      <c r="AH4104" s="508">
        <v>0.01</v>
      </c>
      <c r="AI4104" s="492">
        <v>0.01</v>
      </c>
      <c r="AJ4104" s="485"/>
    </row>
    <row r="4105" spans="2:36">
      <c r="B4105" s="136" t="s">
        <v>435</v>
      </c>
      <c r="C4105" s="132" t="s">
        <v>1372</v>
      </c>
      <c r="D4105" s="132" t="s">
        <v>284</v>
      </c>
      <c r="E4105" s="508">
        <v>0.123</v>
      </c>
      <c r="F4105" s="508">
        <v>0.124</v>
      </c>
      <c r="G4105" s="508">
        <v>0.124</v>
      </c>
      <c r="H4105" s="508">
        <v>0.13100000000000001</v>
      </c>
      <c r="I4105" s="508">
        <v>0.13100000000000001</v>
      </c>
      <c r="J4105" s="508">
        <v>0.1</v>
      </c>
      <c r="K4105" s="508">
        <v>7.3999999999999996E-2</v>
      </c>
      <c r="L4105" s="508">
        <v>7.3999999999999996E-2</v>
      </c>
      <c r="M4105" s="508">
        <v>7.3999999999999996E-2</v>
      </c>
      <c r="N4105" s="508">
        <v>0.09</v>
      </c>
      <c r="O4105" s="508">
        <v>6.5000000000000002E-2</v>
      </c>
      <c r="P4105" s="508">
        <v>4.7E-2</v>
      </c>
      <c r="Q4105" s="508">
        <v>4.3999999999999997E-2</v>
      </c>
      <c r="R4105" s="508">
        <v>4.2000000000000003E-2</v>
      </c>
      <c r="S4105" s="508">
        <v>4.4999999999999998E-2</v>
      </c>
      <c r="T4105" s="508">
        <v>3.6999999999999998E-2</v>
      </c>
      <c r="U4105" s="508">
        <v>3.5999999999999997E-2</v>
      </c>
      <c r="V4105" s="508">
        <v>2.1999999999999999E-2</v>
      </c>
      <c r="W4105" s="508">
        <v>2.7E-2</v>
      </c>
      <c r="X4105" s="508">
        <v>2.1999999999999999E-2</v>
      </c>
      <c r="Y4105" s="508">
        <v>2.1999999999999999E-2</v>
      </c>
      <c r="Z4105" s="508">
        <v>1.7999999999999999E-2</v>
      </c>
      <c r="AA4105" s="508">
        <v>1.7999999999999999E-2</v>
      </c>
      <c r="AB4105" s="508">
        <v>1.6E-2</v>
      </c>
      <c r="AC4105" s="508">
        <v>1.6E-2</v>
      </c>
      <c r="AD4105" s="508">
        <v>1.4999999999999999E-2</v>
      </c>
      <c r="AE4105" s="508">
        <v>1.4999999999999999E-2</v>
      </c>
      <c r="AF4105" s="508">
        <v>8.9999999999999993E-3</v>
      </c>
      <c r="AG4105" s="508">
        <v>8.9999999999999993E-3</v>
      </c>
      <c r="AH4105" s="508">
        <v>8.9999999999999993E-3</v>
      </c>
      <c r="AI4105" s="492">
        <v>8.9999999999999993E-3</v>
      </c>
      <c r="AJ4105" s="485"/>
    </row>
    <row r="4106" spans="2:36">
      <c r="B4106" s="136" t="s">
        <v>436</v>
      </c>
      <c r="C4106" s="132" t="s">
        <v>1372</v>
      </c>
      <c r="D4106" s="132" t="s">
        <v>284</v>
      </c>
      <c r="E4106" s="508">
        <v>0.34899999999999998</v>
      </c>
      <c r="F4106" s="508">
        <v>0.378</v>
      </c>
      <c r="G4106" s="508">
        <v>0.378</v>
      </c>
      <c r="H4106" s="508">
        <v>0.372</v>
      </c>
      <c r="I4106" s="508">
        <v>0.372</v>
      </c>
      <c r="J4106" s="508">
        <v>0.31900000000000001</v>
      </c>
      <c r="K4106" s="508">
        <v>0.22</v>
      </c>
      <c r="L4106" s="508">
        <v>0.22</v>
      </c>
      <c r="M4106" s="508">
        <v>0.22</v>
      </c>
      <c r="N4106" s="508">
        <v>0.26</v>
      </c>
      <c r="O4106" s="508">
        <v>0.20699999999999999</v>
      </c>
      <c r="P4106" s="508">
        <v>0.151</v>
      </c>
      <c r="Q4106" s="508">
        <v>0.13400000000000001</v>
      </c>
      <c r="R4106" s="508">
        <v>0.13</v>
      </c>
      <c r="S4106" s="508">
        <v>0.151</v>
      </c>
      <c r="T4106" s="508">
        <v>0.124</v>
      </c>
      <c r="U4106" s="508">
        <v>0.111</v>
      </c>
      <c r="V4106" s="508">
        <v>6.3E-2</v>
      </c>
      <c r="W4106" s="508">
        <v>8.1000000000000003E-2</v>
      </c>
      <c r="X4106" s="508">
        <v>2.8000000000000001E-2</v>
      </c>
      <c r="Y4106" s="508">
        <v>2.8000000000000001E-2</v>
      </c>
      <c r="Z4106" s="508">
        <v>2.3E-2</v>
      </c>
      <c r="AA4106" s="508">
        <v>2.3E-2</v>
      </c>
      <c r="AB4106" s="508">
        <v>2.1000000000000001E-2</v>
      </c>
      <c r="AC4106" s="508">
        <v>2.1000000000000001E-2</v>
      </c>
      <c r="AD4106" s="508">
        <v>1.9E-2</v>
      </c>
      <c r="AE4106" s="508">
        <v>1.7999999999999999E-2</v>
      </c>
      <c r="AF4106" s="508">
        <v>1.2E-2</v>
      </c>
      <c r="AG4106" s="508">
        <v>1.0999999999999999E-2</v>
      </c>
      <c r="AH4106" s="508">
        <v>1.0999999999999999E-2</v>
      </c>
      <c r="AI4106" s="492">
        <v>1.0999999999999999E-2</v>
      </c>
      <c r="AJ4106" s="485"/>
    </row>
    <row r="4107" spans="2:36">
      <c r="B4107" s="136" t="s">
        <v>437</v>
      </c>
      <c r="C4107" s="132" t="s">
        <v>1372</v>
      </c>
      <c r="D4107" s="132" t="s">
        <v>284</v>
      </c>
      <c r="E4107" s="508">
        <v>0.11700000000000001</v>
      </c>
      <c r="F4107" s="508">
        <v>0.127</v>
      </c>
      <c r="G4107" s="508">
        <v>0.127</v>
      </c>
      <c r="H4107" s="508">
        <v>0.123</v>
      </c>
      <c r="I4107" s="508">
        <v>0.123</v>
      </c>
      <c r="J4107" s="508">
        <v>0.108</v>
      </c>
      <c r="K4107" s="508">
        <v>7.6999999999999999E-2</v>
      </c>
      <c r="L4107" s="508">
        <v>7.6999999999999999E-2</v>
      </c>
      <c r="M4107" s="508">
        <v>7.6999999999999999E-2</v>
      </c>
      <c r="N4107" s="508">
        <v>8.2000000000000003E-2</v>
      </c>
      <c r="O4107" s="508">
        <v>7.0999999999999994E-2</v>
      </c>
      <c r="P4107" s="508">
        <v>5.2999999999999999E-2</v>
      </c>
      <c r="Q4107" s="508">
        <v>4.4999999999999998E-2</v>
      </c>
      <c r="R4107" s="508">
        <v>4.3999999999999997E-2</v>
      </c>
      <c r="S4107" s="508">
        <v>5.2999999999999999E-2</v>
      </c>
      <c r="T4107" s="508">
        <v>4.2999999999999997E-2</v>
      </c>
      <c r="U4107" s="508">
        <v>3.5999999999999997E-2</v>
      </c>
      <c r="V4107" s="508">
        <v>0.02</v>
      </c>
      <c r="W4107" s="508">
        <v>2.5999999999999999E-2</v>
      </c>
      <c r="X4107" s="508">
        <v>2.3E-2</v>
      </c>
      <c r="Y4107" s="508">
        <v>2.3E-2</v>
      </c>
      <c r="Z4107" s="508">
        <v>1.9E-2</v>
      </c>
      <c r="AA4107" s="508">
        <v>1.9E-2</v>
      </c>
      <c r="AB4107" s="508">
        <v>1.7000000000000001E-2</v>
      </c>
      <c r="AC4107" s="508">
        <v>1.7000000000000001E-2</v>
      </c>
      <c r="AD4107" s="508">
        <v>1.4999999999999999E-2</v>
      </c>
      <c r="AE4107" s="508">
        <v>1.4999999999999999E-2</v>
      </c>
      <c r="AF4107" s="508">
        <v>8.9999999999999993E-3</v>
      </c>
      <c r="AG4107" s="508">
        <v>8.9999999999999993E-3</v>
      </c>
      <c r="AH4107" s="508">
        <v>8.9999999999999993E-3</v>
      </c>
      <c r="AI4107" s="492">
        <v>8.9999999999999993E-3</v>
      </c>
      <c r="AJ4107" s="485"/>
    </row>
    <row r="4108" spans="2:36">
      <c r="B4108" s="136" t="s">
        <v>438</v>
      </c>
      <c r="C4108" s="132" t="s">
        <v>1372</v>
      </c>
      <c r="D4108" s="132" t="s">
        <v>284</v>
      </c>
      <c r="E4108" s="508">
        <v>0.14000000000000001</v>
      </c>
      <c r="F4108" s="508">
        <v>0.153</v>
      </c>
      <c r="G4108" s="508">
        <v>0.153</v>
      </c>
      <c r="H4108" s="508">
        <v>0.152</v>
      </c>
      <c r="I4108" s="508">
        <v>0.152</v>
      </c>
      <c r="J4108" s="508">
        <v>0.129</v>
      </c>
      <c r="K4108" s="508">
        <v>8.7999999999999995E-2</v>
      </c>
      <c r="L4108" s="508">
        <v>8.7999999999999995E-2</v>
      </c>
      <c r="M4108" s="508">
        <v>8.7999999999999995E-2</v>
      </c>
      <c r="N4108" s="508">
        <v>0.109</v>
      </c>
      <c r="O4108" s="508">
        <v>8.3000000000000004E-2</v>
      </c>
      <c r="P4108" s="508">
        <v>6.0999999999999999E-2</v>
      </c>
      <c r="Q4108" s="508">
        <v>5.5E-2</v>
      </c>
      <c r="R4108" s="508">
        <v>5.2999999999999999E-2</v>
      </c>
      <c r="S4108" s="508">
        <v>6.0999999999999999E-2</v>
      </c>
      <c r="T4108" s="508">
        <v>0.05</v>
      </c>
      <c r="U4108" s="508">
        <v>4.5999999999999999E-2</v>
      </c>
      <c r="V4108" s="508">
        <v>2.5999999999999999E-2</v>
      </c>
      <c r="W4108" s="508">
        <v>3.3000000000000002E-2</v>
      </c>
      <c r="X4108" s="508">
        <v>2.4E-2</v>
      </c>
      <c r="Y4108" s="508">
        <v>2.4E-2</v>
      </c>
      <c r="Z4108" s="508">
        <v>0.02</v>
      </c>
      <c r="AA4108" s="508">
        <v>0.02</v>
      </c>
      <c r="AB4108" s="508">
        <v>1.7999999999999999E-2</v>
      </c>
      <c r="AC4108" s="508">
        <v>1.7999999999999999E-2</v>
      </c>
      <c r="AD4108" s="508">
        <v>1.6E-2</v>
      </c>
      <c r="AE4108" s="508">
        <v>1.6E-2</v>
      </c>
      <c r="AF4108" s="508">
        <v>0.01</v>
      </c>
      <c r="AG4108" s="508">
        <v>0.01</v>
      </c>
      <c r="AH4108" s="508">
        <v>0.01</v>
      </c>
      <c r="AI4108" s="492">
        <v>0.01</v>
      </c>
      <c r="AJ4108" s="485"/>
    </row>
    <row r="4109" spans="2:36">
      <c r="B4109" s="136" t="s">
        <v>439</v>
      </c>
      <c r="C4109" s="132" t="s">
        <v>1372</v>
      </c>
      <c r="D4109" s="132" t="s">
        <v>284</v>
      </c>
      <c r="E4109" s="508">
        <v>0.152</v>
      </c>
      <c r="F4109" s="508">
        <v>0.16900000000000001</v>
      </c>
      <c r="G4109" s="508">
        <v>0.16900000000000001</v>
      </c>
      <c r="H4109" s="508">
        <v>0.157</v>
      </c>
      <c r="I4109" s="508">
        <v>0.157</v>
      </c>
      <c r="J4109" s="508">
        <v>0.14599999999999999</v>
      </c>
      <c r="K4109" s="508">
        <v>0.10199999999999999</v>
      </c>
      <c r="L4109" s="508">
        <v>0.10199999999999999</v>
      </c>
      <c r="M4109" s="508">
        <v>0.10199999999999999</v>
      </c>
      <c r="N4109" s="508">
        <v>0.105</v>
      </c>
      <c r="O4109" s="508">
        <v>9.7000000000000003E-2</v>
      </c>
      <c r="P4109" s="508">
        <v>7.2999999999999995E-2</v>
      </c>
      <c r="Q4109" s="508">
        <v>5.8999999999999997E-2</v>
      </c>
      <c r="R4109" s="508">
        <v>5.8999999999999997E-2</v>
      </c>
      <c r="S4109" s="508">
        <v>7.3999999999999996E-2</v>
      </c>
      <c r="T4109" s="508">
        <v>0.06</v>
      </c>
      <c r="U4109" s="508">
        <v>4.8000000000000001E-2</v>
      </c>
      <c r="V4109" s="508">
        <v>2.5999999999999999E-2</v>
      </c>
      <c r="W4109" s="508">
        <v>3.4000000000000002E-2</v>
      </c>
      <c r="X4109" s="508">
        <v>2.3E-2</v>
      </c>
      <c r="Y4109" s="508">
        <v>2.3E-2</v>
      </c>
      <c r="Z4109" s="508">
        <v>1.9E-2</v>
      </c>
      <c r="AA4109" s="508">
        <v>1.9E-2</v>
      </c>
      <c r="AB4109" s="508">
        <v>1.7000000000000001E-2</v>
      </c>
      <c r="AC4109" s="508">
        <v>1.7000000000000001E-2</v>
      </c>
      <c r="AD4109" s="508">
        <v>1.4999999999999999E-2</v>
      </c>
      <c r="AE4109" s="508">
        <v>1.4999999999999999E-2</v>
      </c>
      <c r="AF4109" s="508">
        <v>0.01</v>
      </c>
      <c r="AG4109" s="508">
        <v>0.01</v>
      </c>
      <c r="AH4109" s="508">
        <v>0.01</v>
      </c>
      <c r="AI4109" s="492">
        <v>0.01</v>
      </c>
      <c r="AJ4109" s="485"/>
    </row>
    <row r="4110" spans="2:36">
      <c r="B4110" s="136" t="s">
        <v>440</v>
      </c>
      <c r="C4110" s="132" t="s">
        <v>1372</v>
      </c>
      <c r="D4110" s="132" t="s">
        <v>284</v>
      </c>
      <c r="E4110" s="508">
        <v>0.214</v>
      </c>
      <c r="F4110" s="508">
        <v>0.23300000000000001</v>
      </c>
      <c r="G4110" s="508">
        <v>0.23300000000000001</v>
      </c>
      <c r="H4110" s="508">
        <v>0.224</v>
      </c>
      <c r="I4110" s="508">
        <v>0.224</v>
      </c>
      <c r="J4110" s="508">
        <v>0.19900000000000001</v>
      </c>
      <c r="K4110" s="508">
        <v>0.13900000000000001</v>
      </c>
      <c r="L4110" s="508">
        <v>0.13900000000000001</v>
      </c>
      <c r="M4110" s="508">
        <v>0.13900000000000001</v>
      </c>
      <c r="N4110" s="508">
        <v>0.153</v>
      </c>
      <c r="O4110" s="508">
        <v>0.13</v>
      </c>
      <c r="P4110" s="508">
        <v>9.7000000000000003E-2</v>
      </c>
      <c r="Q4110" s="508">
        <v>8.2000000000000003E-2</v>
      </c>
      <c r="R4110" s="508">
        <v>8.1000000000000003E-2</v>
      </c>
      <c r="S4110" s="508">
        <v>9.7000000000000003E-2</v>
      </c>
      <c r="T4110" s="508">
        <v>7.9000000000000001E-2</v>
      </c>
      <c r="U4110" s="508">
        <v>7.0000000000000007E-2</v>
      </c>
      <c r="V4110" s="508">
        <v>3.9E-2</v>
      </c>
      <c r="W4110" s="508">
        <v>5.0999999999999997E-2</v>
      </c>
      <c r="X4110" s="508">
        <v>2.5999999999999999E-2</v>
      </c>
      <c r="Y4110" s="508">
        <v>2.5999999999999999E-2</v>
      </c>
      <c r="Z4110" s="508">
        <v>2.1000000000000001E-2</v>
      </c>
      <c r="AA4110" s="508">
        <v>2.1000000000000001E-2</v>
      </c>
      <c r="AB4110" s="508">
        <v>1.9E-2</v>
      </c>
      <c r="AC4110" s="508">
        <v>1.9E-2</v>
      </c>
      <c r="AD4110" s="508">
        <v>1.7000000000000001E-2</v>
      </c>
      <c r="AE4110" s="508">
        <v>1.7000000000000001E-2</v>
      </c>
      <c r="AF4110" s="508">
        <v>1.0999999999999999E-2</v>
      </c>
      <c r="AG4110" s="508">
        <v>1.0999999999999999E-2</v>
      </c>
      <c r="AH4110" s="508">
        <v>1.0999999999999999E-2</v>
      </c>
      <c r="AI4110" s="492">
        <v>1.0999999999999999E-2</v>
      </c>
      <c r="AJ4110" s="485"/>
    </row>
    <row r="4111" spans="2:36">
      <c r="B4111" s="136" t="s">
        <v>441</v>
      </c>
      <c r="C4111" s="132" t="s">
        <v>1372</v>
      </c>
      <c r="D4111" s="132" t="s">
        <v>284</v>
      </c>
      <c r="E4111" s="508">
        <v>0.22</v>
      </c>
      <c r="F4111" s="508">
        <v>0.247</v>
      </c>
      <c r="G4111" s="508">
        <v>0.247</v>
      </c>
      <c r="H4111" s="508">
        <v>0.22600000000000001</v>
      </c>
      <c r="I4111" s="508">
        <v>0.22600000000000001</v>
      </c>
      <c r="J4111" s="508">
        <v>0.215</v>
      </c>
      <c r="K4111" s="508">
        <v>0.14899999999999999</v>
      </c>
      <c r="L4111" s="508">
        <v>0.14899999999999999</v>
      </c>
      <c r="M4111" s="508">
        <v>0.14899999999999999</v>
      </c>
      <c r="N4111" s="508">
        <v>0.15</v>
      </c>
      <c r="O4111" s="508">
        <v>0.14199999999999999</v>
      </c>
      <c r="P4111" s="508">
        <v>0.108</v>
      </c>
      <c r="Q4111" s="508">
        <v>8.6999999999999994E-2</v>
      </c>
      <c r="R4111" s="508">
        <v>8.6999999999999994E-2</v>
      </c>
      <c r="S4111" s="508">
        <v>0.11</v>
      </c>
      <c r="T4111" s="508">
        <v>8.8999999999999996E-2</v>
      </c>
      <c r="U4111" s="508">
        <v>7.8E-2</v>
      </c>
      <c r="V4111" s="508">
        <v>4.2000000000000003E-2</v>
      </c>
      <c r="W4111" s="508">
        <v>5.6000000000000001E-2</v>
      </c>
      <c r="X4111" s="508">
        <v>2.8000000000000001E-2</v>
      </c>
      <c r="Y4111" s="508">
        <v>2.8000000000000001E-2</v>
      </c>
      <c r="Z4111" s="508">
        <v>2.3E-2</v>
      </c>
      <c r="AA4111" s="508">
        <v>2.3E-2</v>
      </c>
      <c r="AB4111" s="508">
        <v>0.02</v>
      </c>
      <c r="AC4111" s="508">
        <v>0.02</v>
      </c>
      <c r="AD4111" s="508">
        <v>1.7999999999999999E-2</v>
      </c>
      <c r="AE4111" s="508">
        <v>1.7999999999999999E-2</v>
      </c>
      <c r="AF4111" s="508">
        <v>1.2E-2</v>
      </c>
      <c r="AG4111" s="508">
        <v>1.2E-2</v>
      </c>
      <c r="AH4111" s="508">
        <v>1.0999999999999999E-2</v>
      </c>
      <c r="AI4111" s="492">
        <v>1.0999999999999999E-2</v>
      </c>
      <c r="AJ4111" s="485"/>
    </row>
    <row r="4112" spans="2:36">
      <c r="B4112" s="136" t="s">
        <v>443</v>
      </c>
      <c r="C4112" s="132" t="s">
        <v>1372</v>
      </c>
      <c r="D4112" s="132" t="s">
        <v>284</v>
      </c>
      <c r="E4112" s="508">
        <v>0.156</v>
      </c>
      <c r="F4112" s="508">
        <v>0.14499999999999999</v>
      </c>
      <c r="G4112" s="508">
        <v>0.14499999999999999</v>
      </c>
      <c r="H4112" s="508">
        <v>0.158</v>
      </c>
      <c r="I4112" s="508">
        <v>0.158</v>
      </c>
      <c r="J4112" s="508">
        <v>0.112</v>
      </c>
      <c r="K4112" s="508">
        <v>9.0999999999999998E-2</v>
      </c>
      <c r="L4112" s="508">
        <v>9.0999999999999998E-2</v>
      </c>
      <c r="M4112" s="508">
        <v>9.0999999999999998E-2</v>
      </c>
      <c r="N4112" s="508">
        <v>0.105</v>
      </c>
      <c r="O4112" s="508">
        <v>7.2999999999999995E-2</v>
      </c>
      <c r="P4112" s="508">
        <v>5.3999999999999999E-2</v>
      </c>
      <c r="Q4112" s="508">
        <v>5.0999999999999997E-2</v>
      </c>
      <c r="R4112" s="508">
        <v>4.9000000000000002E-2</v>
      </c>
      <c r="S4112" s="508">
        <v>4.8000000000000001E-2</v>
      </c>
      <c r="T4112" s="508">
        <v>0.04</v>
      </c>
      <c r="U4112" s="508">
        <v>3.5999999999999997E-2</v>
      </c>
      <c r="V4112" s="508">
        <v>2.3E-2</v>
      </c>
      <c r="W4112" s="508">
        <v>2.7E-2</v>
      </c>
      <c r="X4112" s="508">
        <v>1.9E-2</v>
      </c>
      <c r="Y4112" s="508">
        <v>1.9E-2</v>
      </c>
      <c r="Z4112" s="508">
        <v>1.6E-2</v>
      </c>
      <c r="AA4112" s="508">
        <v>1.6E-2</v>
      </c>
      <c r="AB4112" s="508">
        <v>1.4E-2</v>
      </c>
      <c r="AC4112" s="508">
        <v>1.4E-2</v>
      </c>
      <c r="AD4112" s="508">
        <v>1.2999999999999999E-2</v>
      </c>
      <c r="AE4112" s="508">
        <v>1.2999999999999999E-2</v>
      </c>
      <c r="AF4112" s="508">
        <v>8.0000000000000002E-3</v>
      </c>
      <c r="AG4112" s="508">
        <v>8.0000000000000002E-3</v>
      </c>
      <c r="AH4112" s="508">
        <v>8.0000000000000002E-3</v>
      </c>
      <c r="AI4112" s="492">
        <v>8.0000000000000002E-3</v>
      </c>
      <c r="AJ4112" s="485"/>
    </row>
    <row r="4113" spans="2:36">
      <c r="B4113" s="136" t="s">
        <v>445</v>
      </c>
      <c r="C4113" s="132" t="s">
        <v>1372</v>
      </c>
      <c r="D4113" s="132" t="s">
        <v>284</v>
      </c>
      <c r="E4113" s="508">
        <v>0.16800000000000001</v>
      </c>
      <c r="F4113" s="508">
        <v>0.157</v>
      </c>
      <c r="G4113" s="508">
        <v>0.157</v>
      </c>
      <c r="H4113" s="508">
        <v>0.16</v>
      </c>
      <c r="I4113" s="508">
        <v>0.16</v>
      </c>
      <c r="J4113" s="508">
        <v>0.124</v>
      </c>
      <c r="K4113" s="508">
        <v>0.105</v>
      </c>
      <c r="L4113" s="508">
        <v>0.105</v>
      </c>
      <c r="M4113" s="508">
        <v>0.105</v>
      </c>
      <c r="N4113" s="508">
        <v>9.4E-2</v>
      </c>
      <c r="O4113" s="508">
        <v>8.4000000000000005E-2</v>
      </c>
      <c r="P4113" s="508">
        <v>6.5000000000000002E-2</v>
      </c>
      <c r="Q4113" s="508">
        <v>5.2999999999999999E-2</v>
      </c>
      <c r="R4113" s="508">
        <v>5.1999999999999998E-2</v>
      </c>
      <c r="S4113" s="508">
        <v>5.8999999999999997E-2</v>
      </c>
      <c r="T4113" s="508">
        <v>4.8000000000000001E-2</v>
      </c>
      <c r="U4113" s="508">
        <v>4.2000000000000003E-2</v>
      </c>
      <c r="V4113" s="508">
        <v>2.5999999999999999E-2</v>
      </c>
      <c r="W4113" s="508">
        <v>3.2000000000000001E-2</v>
      </c>
      <c r="X4113" s="508">
        <v>0.02</v>
      </c>
      <c r="Y4113" s="508">
        <v>0.02</v>
      </c>
      <c r="Z4113" s="508">
        <v>1.7000000000000001E-2</v>
      </c>
      <c r="AA4113" s="508">
        <v>1.7000000000000001E-2</v>
      </c>
      <c r="AB4113" s="508">
        <v>1.4999999999999999E-2</v>
      </c>
      <c r="AC4113" s="508">
        <v>1.4999999999999999E-2</v>
      </c>
      <c r="AD4113" s="508">
        <v>1.2999999999999999E-2</v>
      </c>
      <c r="AE4113" s="508">
        <v>1.2999999999999999E-2</v>
      </c>
      <c r="AF4113" s="508">
        <v>8.9999999999999993E-3</v>
      </c>
      <c r="AG4113" s="508">
        <v>8.9999999999999993E-3</v>
      </c>
      <c r="AH4113" s="508">
        <v>8.0000000000000002E-3</v>
      </c>
      <c r="AI4113" s="492">
        <v>8.0000000000000002E-3</v>
      </c>
      <c r="AJ4113" s="485"/>
    </row>
    <row r="4114" spans="2:36">
      <c r="B4114" s="136" t="s">
        <v>446</v>
      </c>
      <c r="C4114" s="132" t="s">
        <v>1372</v>
      </c>
      <c r="D4114" s="132" t="s">
        <v>284</v>
      </c>
      <c r="E4114" s="508">
        <v>0.112</v>
      </c>
      <c r="F4114" s="508">
        <v>0.11</v>
      </c>
      <c r="G4114" s="508">
        <v>0.11</v>
      </c>
      <c r="H4114" s="508">
        <v>0.112</v>
      </c>
      <c r="I4114" s="508">
        <v>0.112</v>
      </c>
      <c r="J4114" s="508">
        <v>8.8999999999999996E-2</v>
      </c>
      <c r="K4114" s="508">
        <v>7.0000000000000007E-2</v>
      </c>
      <c r="L4114" s="508">
        <v>7.0000000000000007E-2</v>
      </c>
      <c r="M4114" s="508">
        <v>7.0000000000000007E-2</v>
      </c>
      <c r="N4114" s="508">
        <v>7.0999999999999994E-2</v>
      </c>
      <c r="O4114" s="508">
        <v>5.8999999999999997E-2</v>
      </c>
      <c r="P4114" s="508">
        <v>4.3999999999999997E-2</v>
      </c>
      <c r="Q4114" s="508">
        <v>3.7999999999999999E-2</v>
      </c>
      <c r="R4114" s="508">
        <v>3.6999999999999998E-2</v>
      </c>
      <c r="S4114" s="508">
        <v>4.2000000000000003E-2</v>
      </c>
      <c r="T4114" s="508">
        <v>3.4000000000000002E-2</v>
      </c>
      <c r="U4114" s="508">
        <v>3.3000000000000002E-2</v>
      </c>
      <c r="V4114" s="508">
        <v>0.02</v>
      </c>
      <c r="W4114" s="508">
        <v>2.4E-2</v>
      </c>
      <c r="X4114" s="508">
        <v>2.1999999999999999E-2</v>
      </c>
      <c r="Y4114" s="508">
        <v>2.1999999999999999E-2</v>
      </c>
      <c r="Z4114" s="508">
        <v>1.7999999999999999E-2</v>
      </c>
      <c r="AA4114" s="508">
        <v>1.7999999999999999E-2</v>
      </c>
      <c r="AB4114" s="508">
        <v>1.6E-2</v>
      </c>
      <c r="AC4114" s="508">
        <v>1.6E-2</v>
      </c>
      <c r="AD4114" s="508">
        <v>1.4999999999999999E-2</v>
      </c>
      <c r="AE4114" s="508">
        <v>1.4999999999999999E-2</v>
      </c>
      <c r="AF4114" s="508">
        <v>8.9999999999999993E-3</v>
      </c>
      <c r="AG4114" s="508">
        <v>8.9999999999999993E-3</v>
      </c>
      <c r="AH4114" s="508">
        <v>8.9999999999999993E-3</v>
      </c>
      <c r="AI4114" s="492">
        <v>8.9999999999999993E-3</v>
      </c>
      <c r="AJ4114" s="485"/>
    </row>
    <row r="4115" spans="2:36">
      <c r="B4115" s="136" t="s">
        <v>448</v>
      </c>
      <c r="C4115" s="132" t="s">
        <v>1372</v>
      </c>
      <c r="D4115" s="132" t="s">
        <v>284</v>
      </c>
      <c r="E4115" s="508">
        <v>0.13500000000000001</v>
      </c>
      <c r="F4115" s="508">
        <v>0.14499999999999999</v>
      </c>
      <c r="G4115" s="508">
        <v>0.14499999999999999</v>
      </c>
      <c r="H4115" s="508">
        <v>0.14499999999999999</v>
      </c>
      <c r="I4115" s="508">
        <v>0.14499999999999999</v>
      </c>
      <c r="J4115" s="508">
        <v>0.122</v>
      </c>
      <c r="K4115" s="508">
        <v>8.5000000000000006E-2</v>
      </c>
      <c r="L4115" s="508">
        <v>8.5000000000000006E-2</v>
      </c>
      <c r="M4115" s="508">
        <v>8.5000000000000006E-2</v>
      </c>
      <c r="N4115" s="508">
        <v>0.10199999999999999</v>
      </c>
      <c r="O4115" s="508">
        <v>7.9000000000000001E-2</v>
      </c>
      <c r="P4115" s="508">
        <v>5.8000000000000003E-2</v>
      </c>
      <c r="Q4115" s="508">
        <v>5.1999999999999998E-2</v>
      </c>
      <c r="R4115" s="508">
        <v>5.0999999999999997E-2</v>
      </c>
      <c r="S4115" s="508">
        <v>5.8000000000000003E-2</v>
      </c>
      <c r="T4115" s="508">
        <v>4.7E-2</v>
      </c>
      <c r="U4115" s="508">
        <v>4.5999999999999999E-2</v>
      </c>
      <c r="V4115" s="508">
        <v>2.5999999999999999E-2</v>
      </c>
      <c r="W4115" s="508">
        <v>3.4000000000000002E-2</v>
      </c>
      <c r="X4115" s="508">
        <v>2.5000000000000001E-2</v>
      </c>
      <c r="Y4115" s="508">
        <v>2.5000000000000001E-2</v>
      </c>
      <c r="Z4115" s="508">
        <v>2.1000000000000001E-2</v>
      </c>
      <c r="AA4115" s="508">
        <v>2.1000000000000001E-2</v>
      </c>
      <c r="AB4115" s="508">
        <v>1.9E-2</v>
      </c>
      <c r="AC4115" s="508">
        <v>1.9E-2</v>
      </c>
      <c r="AD4115" s="508">
        <v>1.7000000000000001E-2</v>
      </c>
      <c r="AE4115" s="508">
        <v>1.7000000000000001E-2</v>
      </c>
      <c r="AF4115" s="508">
        <v>1.0999999999999999E-2</v>
      </c>
      <c r="AG4115" s="508">
        <v>1.0999999999999999E-2</v>
      </c>
      <c r="AH4115" s="508">
        <v>1.0999999999999999E-2</v>
      </c>
      <c r="AI4115" s="492">
        <v>1.0999999999999999E-2</v>
      </c>
      <c r="AJ4115" s="485"/>
    </row>
    <row r="4116" spans="2:36">
      <c r="B4116" s="136" t="s">
        <v>449</v>
      </c>
      <c r="C4116" s="132" t="s">
        <v>1372</v>
      </c>
      <c r="D4116" s="132" t="s">
        <v>284</v>
      </c>
      <c r="E4116" s="508">
        <v>0.108</v>
      </c>
      <c r="F4116" s="508">
        <v>0.105</v>
      </c>
      <c r="G4116" s="508">
        <v>0.105</v>
      </c>
      <c r="H4116" s="508">
        <v>0.109</v>
      </c>
      <c r="I4116" s="508">
        <v>0.109</v>
      </c>
      <c r="J4116" s="508">
        <v>8.4000000000000005E-2</v>
      </c>
      <c r="K4116" s="508">
        <v>6.6000000000000003E-2</v>
      </c>
      <c r="L4116" s="508">
        <v>6.6000000000000003E-2</v>
      </c>
      <c r="M4116" s="508">
        <v>6.6000000000000003E-2</v>
      </c>
      <c r="N4116" s="508">
        <v>7.0999999999999994E-2</v>
      </c>
      <c r="O4116" s="508">
        <v>5.5E-2</v>
      </c>
      <c r="P4116" s="508">
        <v>4.1000000000000002E-2</v>
      </c>
      <c r="Q4116" s="508">
        <v>3.6999999999999998E-2</v>
      </c>
      <c r="R4116" s="508">
        <v>3.5999999999999997E-2</v>
      </c>
      <c r="S4116" s="508">
        <v>3.9E-2</v>
      </c>
      <c r="T4116" s="508">
        <v>3.2000000000000001E-2</v>
      </c>
      <c r="U4116" s="508">
        <v>2.9000000000000001E-2</v>
      </c>
      <c r="V4116" s="508">
        <v>1.7000000000000001E-2</v>
      </c>
      <c r="W4116" s="508">
        <v>2.1999999999999999E-2</v>
      </c>
      <c r="X4116" s="508">
        <v>0.02</v>
      </c>
      <c r="Y4116" s="508">
        <v>0.02</v>
      </c>
      <c r="Z4116" s="508">
        <v>1.7000000000000001E-2</v>
      </c>
      <c r="AA4116" s="508">
        <v>1.7000000000000001E-2</v>
      </c>
      <c r="AB4116" s="508">
        <v>1.4999999999999999E-2</v>
      </c>
      <c r="AC4116" s="508">
        <v>1.4999999999999999E-2</v>
      </c>
      <c r="AD4116" s="508">
        <v>1.2999999999999999E-2</v>
      </c>
      <c r="AE4116" s="508">
        <v>1.2999999999999999E-2</v>
      </c>
      <c r="AF4116" s="508">
        <v>8.0000000000000002E-3</v>
      </c>
      <c r="AG4116" s="508">
        <v>8.0000000000000002E-3</v>
      </c>
      <c r="AH4116" s="508">
        <v>8.0000000000000002E-3</v>
      </c>
      <c r="AI4116" s="492">
        <v>8.0000000000000002E-3</v>
      </c>
      <c r="AJ4116" s="485"/>
    </row>
    <row r="4117" spans="2:36">
      <c r="B4117" s="136" t="s">
        <v>450</v>
      </c>
      <c r="C4117" s="132" t="s">
        <v>1372</v>
      </c>
      <c r="D4117" s="132" t="s">
        <v>284</v>
      </c>
      <c r="E4117" s="508">
        <v>0.20300000000000001</v>
      </c>
      <c r="F4117" s="508">
        <v>0.21299999999999999</v>
      </c>
      <c r="G4117" s="508">
        <v>0.21299999999999999</v>
      </c>
      <c r="H4117" s="508">
        <v>0.219</v>
      </c>
      <c r="I4117" s="508">
        <v>0.219</v>
      </c>
      <c r="J4117" s="508">
        <v>0.17599999999999999</v>
      </c>
      <c r="K4117" s="508">
        <v>0.124</v>
      </c>
      <c r="L4117" s="508">
        <v>0.124</v>
      </c>
      <c r="M4117" s="508">
        <v>0.124</v>
      </c>
      <c r="N4117" s="508">
        <v>0.154</v>
      </c>
      <c r="O4117" s="508">
        <v>0.113</v>
      </c>
      <c r="P4117" s="508">
        <v>8.2000000000000003E-2</v>
      </c>
      <c r="Q4117" s="508">
        <v>7.5999999999999998E-2</v>
      </c>
      <c r="R4117" s="508">
        <v>7.2999999999999995E-2</v>
      </c>
      <c r="S4117" s="508">
        <v>8.1000000000000003E-2</v>
      </c>
      <c r="T4117" s="508">
        <v>6.6000000000000003E-2</v>
      </c>
      <c r="U4117" s="508">
        <v>5.8999999999999997E-2</v>
      </c>
      <c r="V4117" s="508">
        <v>3.4000000000000002E-2</v>
      </c>
      <c r="W4117" s="508">
        <v>4.2999999999999997E-2</v>
      </c>
      <c r="X4117" s="508">
        <v>2.3E-2</v>
      </c>
      <c r="Y4117" s="508">
        <v>2.3E-2</v>
      </c>
      <c r="Z4117" s="508">
        <v>1.9E-2</v>
      </c>
      <c r="AA4117" s="508">
        <v>1.9E-2</v>
      </c>
      <c r="AB4117" s="508">
        <v>1.7000000000000001E-2</v>
      </c>
      <c r="AC4117" s="508">
        <v>1.7000000000000001E-2</v>
      </c>
      <c r="AD4117" s="508">
        <v>1.4999999999999999E-2</v>
      </c>
      <c r="AE4117" s="508">
        <v>1.4999999999999999E-2</v>
      </c>
      <c r="AF4117" s="508">
        <v>0.01</v>
      </c>
      <c r="AG4117" s="508">
        <v>0.01</v>
      </c>
      <c r="AH4117" s="508">
        <v>0.01</v>
      </c>
      <c r="AI4117" s="492">
        <v>0.01</v>
      </c>
      <c r="AJ4117" s="485"/>
    </row>
    <row r="4118" spans="2:36">
      <c r="B4118" s="136" t="s">
        <v>451</v>
      </c>
      <c r="C4118" s="132" t="s">
        <v>1372</v>
      </c>
      <c r="D4118" s="132" t="s">
        <v>284</v>
      </c>
      <c r="E4118" s="508">
        <v>0.20699999999999999</v>
      </c>
      <c r="F4118" s="508">
        <v>0.20899999999999999</v>
      </c>
      <c r="G4118" s="508">
        <v>0.20899999999999999</v>
      </c>
      <c r="H4118" s="508">
        <v>0.20300000000000001</v>
      </c>
      <c r="I4118" s="508">
        <v>0.20300000000000001</v>
      </c>
      <c r="J4118" s="508">
        <v>0.17299999999999999</v>
      </c>
      <c r="K4118" s="508">
        <v>0.13400000000000001</v>
      </c>
      <c r="L4118" s="508">
        <v>0.13400000000000001</v>
      </c>
      <c r="M4118" s="508">
        <v>0.13400000000000001</v>
      </c>
      <c r="N4118" s="508">
        <v>0.126</v>
      </c>
      <c r="O4118" s="508">
        <v>0.115</v>
      </c>
      <c r="P4118" s="508">
        <v>8.8999999999999996E-2</v>
      </c>
      <c r="Q4118" s="508">
        <v>7.1999999999999995E-2</v>
      </c>
      <c r="R4118" s="508">
        <v>7.0999999999999994E-2</v>
      </c>
      <c r="S4118" s="508">
        <v>8.5000000000000006E-2</v>
      </c>
      <c r="T4118" s="508">
        <v>6.9000000000000006E-2</v>
      </c>
      <c r="U4118" s="508">
        <v>5.7000000000000002E-2</v>
      </c>
      <c r="V4118" s="508">
        <v>3.3000000000000002E-2</v>
      </c>
      <c r="W4118" s="508">
        <v>4.2000000000000003E-2</v>
      </c>
      <c r="X4118" s="508">
        <v>2.1999999999999999E-2</v>
      </c>
      <c r="Y4118" s="508">
        <v>2.1999999999999999E-2</v>
      </c>
      <c r="Z4118" s="508">
        <v>1.7999999999999999E-2</v>
      </c>
      <c r="AA4118" s="508">
        <v>1.7999999999999999E-2</v>
      </c>
      <c r="AB4118" s="508">
        <v>1.7000000000000001E-2</v>
      </c>
      <c r="AC4118" s="508">
        <v>1.7000000000000001E-2</v>
      </c>
      <c r="AD4118" s="508">
        <v>1.4999999999999999E-2</v>
      </c>
      <c r="AE4118" s="508">
        <v>1.4999999999999999E-2</v>
      </c>
      <c r="AF4118" s="508">
        <v>8.9999999999999993E-3</v>
      </c>
      <c r="AG4118" s="508">
        <v>8.9999999999999993E-3</v>
      </c>
      <c r="AH4118" s="508">
        <v>8.9999999999999993E-3</v>
      </c>
      <c r="AI4118" s="492">
        <v>8.9999999999999993E-3</v>
      </c>
      <c r="AJ4118" s="485"/>
    </row>
    <row r="4119" spans="2:36">
      <c r="B4119" s="136" t="s">
        <v>452</v>
      </c>
      <c r="C4119" s="132" t="s">
        <v>1372</v>
      </c>
      <c r="D4119" s="132" t="s">
        <v>284</v>
      </c>
      <c r="E4119" s="508">
        <v>0.185</v>
      </c>
      <c r="F4119" s="508">
        <v>0.187</v>
      </c>
      <c r="G4119" s="508">
        <v>0.187</v>
      </c>
      <c r="H4119" s="508">
        <v>0.192</v>
      </c>
      <c r="I4119" s="508">
        <v>0.192</v>
      </c>
      <c r="J4119" s="508">
        <v>0.152</v>
      </c>
      <c r="K4119" s="508">
        <v>0.114</v>
      </c>
      <c r="L4119" s="508">
        <v>0.114</v>
      </c>
      <c r="M4119" s="508">
        <v>0.114</v>
      </c>
      <c r="N4119" s="508">
        <v>0.13</v>
      </c>
      <c r="O4119" s="508">
        <v>9.9000000000000005E-2</v>
      </c>
      <c r="P4119" s="508">
        <v>7.2999999999999995E-2</v>
      </c>
      <c r="Q4119" s="508">
        <v>6.6000000000000003E-2</v>
      </c>
      <c r="R4119" s="508">
        <v>6.4000000000000001E-2</v>
      </c>
      <c r="S4119" s="508">
        <v>7.0000000000000007E-2</v>
      </c>
      <c r="T4119" s="508">
        <v>5.8000000000000003E-2</v>
      </c>
      <c r="U4119" s="508">
        <v>4.9000000000000002E-2</v>
      </c>
      <c r="V4119" s="508">
        <v>2.9000000000000001E-2</v>
      </c>
      <c r="W4119" s="508">
        <v>3.6999999999999998E-2</v>
      </c>
      <c r="X4119" s="508">
        <v>2.1000000000000001E-2</v>
      </c>
      <c r="Y4119" s="508">
        <v>2.1000000000000001E-2</v>
      </c>
      <c r="Z4119" s="508">
        <v>1.7999999999999999E-2</v>
      </c>
      <c r="AA4119" s="508">
        <v>1.7999999999999999E-2</v>
      </c>
      <c r="AB4119" s="508">
        <v>1.6E-2</v>
      </c>
      <c r="AC4119" s="508">
        <v>1.6E-2</v>
      </c>
      <c r="AD4119" s="508">
        <v>1.4E-2</v>
      </c>
      <c r="AE4119" s="508">
        <v>1.4E-2</v>
      </c>
      <c r="AF4119" s="508">
        <v>8.9999999999999993E-3</v>
      </c>
      <c r="AG4119" s="508">
        <v>8.9999999999999993E-3</v>
      </c>
      <c r="AH4119" s="508">
        <v>8.9999999999999993E-3</v>
      </c>
      <c r="AI4119" s="492">
        <v>8.9999999999999993E-3</v>
      </c>
      <c r="AJ4119" s="485"/>
    </row>
    <row r="4120" spans="2:36">
      <c r="B4120" s="136" t="s">
        <v>453</v>
      </c>
      <c r="C4120" s="132" t="s">
        <v>1372</v>
      </c>
      <c r="D4120" s="132" t="s">
        <v>284</v>
      </c>
      <c r="E4120" s="508">
        <v>0.20100000000000001</v>
      </c>
      <c r="F4120" s="508">
        <v>0.21199999999999999</v>
      </c>
      <c r="G4120" s="508">
        <v>0.21199999999999999</v>
      </c>
      <c r="H4120" s="508">
        <v>0.218</v>
      </c>
      <c r="I4120" s="508">
        <v>0.218</v>
      </c>
      <c r="J4120" s="508">
        <v>0.17499999999999999</v>
      </c>
      <c r="K4120" s="508">
        <v>0.122</v>
      </c>
      <c r="L4120" s="508">
        <v>0.122</v>
      </c>
      <c r="M4120" s="508">
        <v>0.122</v>
      </c>
      <c r="N4120" s="508">
        <v>0.156</v>
      </c>
      <c r="O4120" s="508">
        <v>0.113</v>
      </c>
      <c r="P4120" s="508">
        <v>8.1000000000000003E-2</v>
      </c>
      <c r="Q4120" s="508">
        <v>7.5999999999999998E-2</v>
      </c>
      <c r="R4120" s="508">
        <v>7.2999999999999995E-2</v>
      </c>
      <c r="S4120" s="508">
        <v>0.08</v>
      </c>
      <c r="T4120" s="508">
        <v>6.6000000000000003E-2</v>
      </c>
      <c r="U4120" s="508">
        <v>0.06</v>
      </c>
      <c r="V4120" s="508">
        <v>3.5000000000000003E-2</v>
      </c>
      <c r="W4120" s="508">
        <v>4.3999999999999997E-2</v>
      </c>
      <c r="X4120" s="508">
        <v>2.4E-2</v>
      </c>
      <c r="Y4120" s="508">
        <v>2.4E-2</v>
      </c>
      <c r="Z4120" s="508">
        <v>0.02</v>
      </c>
      <c r="AA4120" s="508">
        <v>0.02</v>
      </c>
      <c r="AB4120" s="508">
        <v>1.7999999999999999E-2</v>
      </c>
      <c r="AC4120" s="508">
        <v>1.7999999999999999E-2</v>
      </c>
      <c r="AD4120" s="508">
        <v>1.6E-2</v>
      </c>
      <c r="AE4120" s="508">
        <v>1.6E-2</v>
      </c>
      <c r="AF4120" s="508">
        <v>0.01</v>
      </c>
      <c r="AG4120" s="508">
        <v>0.01</v>
      </c>
      <c r="AH4120" s="508">
        <v>0.01</v>
      </c>
      <c r="AI4120" s="492">
        <v>0.01</v>
      </c>
      <c r="AJ4120" s="485"/>
    </row>
    <row r="4121" spans="2:36">
      <c r="B4121" s="136" t="s">
        <v>454</v>
      </c>
      <c r="C4121" s="132" t="s">
        <v>1372</v>
      </c>
      <c r="D4121" s="132" t="s">
        <v>284</v>
      </c>
      <c r="E4121" s="508">
        <v>0.16600000000000001</v>
      </c>
      <c r="F4121" s="508">
        <v>0.17599999999999999</v>
      </c>
      <c r="G4121" s="508">
        <v>0.17599999999999999</v>
      </c>
      <c r="H4121" s="508">
        <v>0.17699999999999999</v>
      </c>
      <c r="I4121" s="508">
        <v>0.17699999999999999</v>
      </c>
      <c r="J4121" s="508">
        <v>0.14699999999999999</v>
      </c>
      <c r="K4121" s="508">
        <v>0.10299999999999999</v>
      </c>
      <c r="L4121" s="508">
        <v>0.10299999999999999</v>
      </c>
      <c r="M4121" s="508">
        <v>0.10299999999999999</v>
      </c>
      <c r="N4121" s="508">
        <v>0.125</v>
      </c>
      <c r="O4121" s="508">
        <v>9.5000000000000001E-2</v>
      </c>
      <c r="P4121" s="508">
        <v>6.9000000000000006E-2</v>
      </c>
      <c r="Q4121" s="508">
        <v>6.3E-2</v>
      </c>
      <c r="R4121" s="508">
        <v>6.0999999999999999E-2</v>
      </c>
      <c r="S4121" s="508">
        <v>6.9000000000000006E-2</v>
      </c>
      <c r="T4121" s="508">
        <v>5.7000000000000002E-2</v>
      </c>
      <c r="U4121" s="508">
        <v>5.1999999999999998E-2</v>
      </c>
      <c r="V4121" s="508">
        <v>0.03</v>
      </c>
      <c r="W4121" s="508">
        <v>3.7999999999999999E-2</v>
      </c>
      <c r="X4121" s="508">
        <v>2.4E-2</v>
      </c>
      <c r="Y4121" s="508">
        <v>2.4E-2</v>
      </c>
      <c r="Z4121" s="508">
        <v>0.02</v>
      </c>
      <c r="AA4121" s="508">
        <v>0.02</v>
      </c>
      <c r="AB4121" s="508">
        <v>1.7000000000000001E-2</v>
      </c>
      <c r="AC4121" s="508">
        <v>1.7000000000000001E-2</v>
      </c>
      <c r="AD4121" s="508">
        <v>1.6E-2</v>
      </c>
      <c r="AE4121" s="508">
        <v>1.6E-2</v>
      </c>
      <c r="AF4121" s="508">
        <v>0.01</v>
      </c>
      <c r="AG4121" s="508">
        <v>0.01</v>
      </c>
      <c r="AH4121" s="508">
        <v>0.01</v>
      </c>
      <c r="AI4121" s="492">
        <v>0.01</v>
      </c>
      <c r="AJ4121" s="485"/>
    </row>
    <row r="4122" spans="2:36">
      <c r="B4122" s="136" t="s">
        <v>455</v>
      </c>
      <c r="C4122" s="132" t="s">
        <v>1372</v>
      </c>
      <c r="D4122" s="132" t="s">
        <v>284</v>
      </c>
      <c r="E4122" s="508">
        <v>0.16800000000000001</v>
      </c>
      <c r="F4122" s="508">
        <v>0.189</v>
      </c>
      <c r="G4122" s="508">
        <v>0.189</v>
      </c>
      <c r="H4122" s="508">
        <v>0.184</v>
      </c>
      <c r="I4122" s="508">
        <v>0.184</v>
      </c>
      <c r="J4122" s="508">
        <v>0.16200000000000001</v>
      </c>
      <c r="K4122" s="508">
        <v>0.108</v>
      </c>
      <c r="L4122" s="508">
        <v>0.108</v>
      </c>
      <c r="M4122" s="508">
        <v>0.108</v>
      </c>
      <c r="N4122" s="508">
        <v>0.13200000000000001</v>
      </c>
      <c r="O4122" s="508">
        <v>0.105</v>
      </c>
      <c r="P4122" s="508">
        <v>7.5999999999999998E-2</v>
      </c>
      <c r="Q4122" s="508">
        <v>6.7000000000000004E-2</v>
      </c>
      <c r="R4122" s="508">
        <v>6.6000000000000003E-2</v>
      </c>
      <c r="S4122" s="508">
        <v>7.8E-2</v>
      </c>
      <c r="T4122" s="508">
        <v>6.4000000000000001E-2</v>
      </c>
      <c r="U4122" s="508">
        <v>5.3999999999999999E-2</v>
      </c>
      <c r="V4122" s="508">
        <v>0.03</v>
      </c>
      <c r="W4122" s="508">
        <v>3.9E-2</v>
      </c>
      <c r="X4122" s="508">
        <v>2.4E-2</v>
      </c>
      <c r="Y4122" s="508">
        <v>2.4E-2</v>
      </c>
      <c r="Z4122" s="508">
        <v>0.02</v>
      </c>
      <c r="AA4122" s="508">
        <v>0.02</v>
      </c>
      <c r="AB4122" s="508">
        <v>1.7999999999999999E-2</v>
      </c>
      <c r="AC4122" s="508">
        <v>1.7999999999999999E-2</v>
      </c>
      <c r="AD4122" s="508">
        <v>1.6E-2</v>
      </c>
      <c r="AE4122" s="508">
        <v>1.6E-2</v>
      </c>
      <c r="AF4122" s="508">
        <v>0.01</v>
      </c>
      <c r="AG4122" s="508">
        <v>0.01</v>
      </c>
      <c r="AH4122" s="508">
        <v>0.01</v>
      </c>
      <c r="AI4122" s="492">
        <v>0.01</v>
      </c>
      <c r="AJ4122" s="485"/>
    </row>
    <row r="4123" spans="2:36">
      <c r="B4123" s="136" t="s">
        <v>456</v>
      </c>
      <c r="C4123" s="132" t="s">
        <v>1372</v>
      </c>
      <c r="D4123" s="132" t="s">
        <v>284</v>
      </c>
      <c r="E4123" s="508">
        <v>0.114</v>
      </c>
      <c r="F4123" s="508">
        <v>0.121</v>
      </c>
      <c r="G4123" s="508">
        <v>0.121</v>
      </c>
      <c r="H4123" s="508">
        <v>0.122</v>
      </c>
      <c r="I4123" s="508">
        <v>0.122</v>
      </c>
      <c r="J4123" s="508">
        <v>0.10199999999999999</v>
      </c>
      <c r="K4123" s="508">
        <v>7.1999999999999995E-2</v>
      </c>
      <c r="L4123" s="508">
        <v>7.1999999999999995E-2</v>
      </c>
      <c r="M4123" s="508">
        <v>7.1999999999999995E-2</v>
      </c>
      <c r="N4123" s="508">
        <v>8.4000000000000005E-2</v>
      </c>
      <c r="O4123" s="508">
        <v>6.6000000000000003E-2</v>
      </c>
      <c r="P4123" s="508">
        <v>4.8000000000000001E-2</v>
      </c>
      <c r="Q4123" s="508">
        <v>4.2999999999999997E-2</v>
      </c>
      <c r="R4123" s="508">
        <v>4.2000000000000003E-2</v>
      </c>
      <c r="S4123" s="508">
        <v>4.8000000000000001E-2</v>
      </c>
      <c r="T4123" s="508">
        <v>3.9E-2</v>
      </c>
      <c r="U4123" s="508">
        <v>3.7999999999999999E-2</v>
      </c>
      <c r="V4123" s="508">
        <v>2.1999999999999999E-2</v>
      </c>
      <c r="W4123" s="508">
        <v>2.8000000000000001E-2</v>
      </c>
      <c r="X4123" s="508">
        <v>2.4E-2</v>
      </c>
      <c r="Y4123" s="508">
        <v>2.4E-2</v>
      </c>
      <c r="Z4123" s="508">
        <v>0.02</v>
      </c>
      <c r="AA4123" s="508">
        <v>0.02</v>
      </c>
      <c r="AB4123" s="508">
        <v>1.7999999999999999E-2</v>
      </c>
      <c r="AC4123" s="508">
        <v>1.7999999999999999E-2</v>
      </c>
      <c r="AD4123" s="508">
        <v>1.6E-2</v>
      </c>
      <c r="AE4123" s="508">
        <v>1.6E-2</v>
      </c>
      <c r="AF4123" s="508">
        <v>0.01</v>
      </c>
      <c r="AG4123" s="508">
        <v>0.01</v>
      </c>
      <c r="AH4123" s="508">
        <v>0.01</v>
      </c>
      <c r="AI4123" s="492">
        <v>0.01</v>
      </c>
      <c r="AJ4123" s="485"/>
    </row>
    <row r="4124" spans="2:36">
      <c r="B4124" s="136" t="s">
        <v>457</v>
      </c>
      <c r="C4124" s="132" t="s">
        <v>1372</v>
      </c>
      <c r="D4124" s="132" t="s">
        <v>284</v>
      </c>
      <c r="E4124" s="508">
        <v>0.22600000000000001</v>
      </c>
      <c r="F4124" s="508">
        <v>0.24099999999999999</v>
      </c>
      <c r="G4124" s="508">
        <v>0.24099999999999999</v>
      </c>
      <c r="H4124" s="508">
        <v>0.25</v>
      </c>
      <c r="I4124" s="508">
        <v>0.25</v>
      </c>
      <c r="J4124" s="508">
        <v>0.2</v>
      </c>
      <c r="K4124" s="508">
        <v>0.13500000000000001</v>
      </c>
      <c r="L4124" s="508">
        <v>0.13500000000000001</v>
      </c>
      <c r="M4124" s="508">
        <v>0.13500000000000001</v>
      </c>
      <c r="N4124" s="508">
        <v>0.184</v>
      </c>
      <c r="O4124" s="508">
        <v>0.127</v>
      </c>
      <c r="P4124" s="508">
        <v>0.09</v>
      </c>
      <c r="Q4124" s="508">
        <v>8.6999999999999994E-2</v>
      </c>
      <c r="R4124" s="508">
        <v>8.4000000000000005E-2</v>
      </c>
      <c r="S4124" s="508">
        <v>0.09</v>
      </c>
      <c r="T4124" s="508">
        <v>7.3999999999999996E-2</v>
      </c>
      <c r="U4124" s="508">
        <v>7.2999999999999995E-2</v>
      </c>
      <c r="V4124" s="508">
        <v>4.2000000000000003E-2</v>
      </c>
      <c r="W4124" s="508">
        <v>5.2999999999999999E-2</v>
      </c>
      <c r="X4124" s="508">
        <v>2.5999999999999999E-2</v>
      </c>
      <c r="Y4124" s="508">
        <v>2.5999999999999999E-2</v>
      </c>
      <c r="Z4124" s="508">
        <v>2.1999999999999999E-2</v>
      </c>
      <c r="AA4124" s="508">
        <v>2.1999999999999999E-2</v>
      </c>
      <c r="AB4124" s="508">
        <v>1.9E-2</v>
      </c>
      <c r="AC4124" s="508">
        <v>1.9E-2</v>
      </c>
      <c r="AD4124" s="508">
        <v>1.7000000000000001E-2</v>
      </c>
      <c r="AE4124" s="508">
        <v>1.7000000000000001E-2</v>
      </c>
      <c r="AF4124" s="508">
        <v>1.0999999999999999E-2</v>
      </c>
      <c r="AG4124" s="508">
        <v>1.0999999999999999E-2</v>
      </c>
      <c r="AH4124" s="508">
        <v>1.0999999999999999E-2</v>
      </c>
      <c r="AI4124" s="492">
        <v>1.0999999999999999E-2</v>
      </c>
      <c r="AJ4124" s="485"/>
    </row>
    <row r="4125" spans="2:36">
      <c r="B4125" s="136" t="s">
        <v>458</v>
      </c>
      <c r="C4125" s="132" t="s">
        <v>1372</v>
      </c>
      <c r="D4125" s="132" t="s">
        <v>284</v>
      </c>
      <c r="E4125" s="508">
        <v>0.18099999999999999</v>
      </c>
      <c r="F4125" s="508">
        <v>0.2</v>
      </c>
      <c r="G4125" s="508">
        <v>0.2</v>
      </c>
      <c r="H4125" s="508">
        <v>0.188</v>
      </c>
      <c r="I4125" s="508">
        <v>0.188</v>
      </c>
      <c r="J4125" s="508">
        <v>0.17199999999999999</v>
      </c>
      <c r="K4125" s="508">
        <v>0.11899999999999999</v>
      </c>
      <c r="L4125" s="508">
        <v>0.11899999999999999</v>
      </c>
      <c r="M4125" s="508">
        <v>0.11899999999999999</v>
      </c>
      <c r="N4125" s="508">
        <v>0.128</v>
      </c>
      <c r="O4125" s="508">
        <v>0.113</v>
      </c>
      <c r="P4125" s="508">
        <v>8.5000000000000006E-2</v>
      </c>
      <c r="Q4125" s="508">
        <v>7.0000000000000007E-2</v>
      </c>
      <c r="R4125" s="508">
        <v>7.0000000000000007E-2</v>
      </c>
      <c r="S4125" s="508">
        <v>8.5999999999999993E-2</v>
      </c>
      <c r="T4125" s="508">
        <v>7.0000000000000007E-2</v>
      </c>
      <c r="U4125" s="508">
        <v>6.3E-2</v>
      </c>
      <c r="V4125" s="508">
        <v>3.5000000000000003E-2</v>
      </c>
      <c r="W4125" s="508">
        <v>4.5999999999999999E-2</v>
      </c>
      <c r="X4125" s="508">
        <v>2.7E-2</v>
      </c>
      <c r="Y4125" s="508">
        <v>2.7E-2</v>
      </c>
      <c r="Z4125" s="508">
        <v>2.1999999999999999E-2</v>
      </c>
      <c r="AA4125" s="508">
        <v>2.1999999999999999E-2</v>
      </c>
      <c r="AB4125" s="508">
        <v>0.02</v>
      </c>
      <c r="AC4125" s="508">
        <v>0.02</v>
      </c>
      <c r="AD4125" s="508">
        <v>1.7000000000000001E-2</v>
      </c>
      <c r="AE4125" s="508">
        <v>1.7000000000000001E-2</v>
      </c>
      <c r="AF4125" s="508">
        <v>1.0999999999999999E-2</v>
      </c>
      <c r="AG4125" s="508">
        <v>1.0999999999999999E-2</v>
      </c>
      <c r="AH4125" s="508">
        <v>1.0999999999999999E-2</v>
      </c>
      <c r="AI4125" s="492">
        <v>1.0999999999999999E-2</v>
      </c>
      <c r="AJ4125" s="485"/>
    </row>
    <row r="4126" spans="2:36">
      <c r="B4126" s="136" t="s">
        <v>459</v>
      </c>
      <c r="C4126" s="132" t="s">
        <v>1372</v>
      </c>
      <c r="D4126" s="132" t="s">
        <v>284</v>
      </c>
      <c r="E4126" s="508">
        <v>0.223</v>
      </c>
      <c r="F4126" s="508">
        <v>0.246</v>
      </c>
      <c r="G4126" s="508">
        <v>0.246</v>
      </c>
      <c r="H4126" s="508">
        <v>0.23200000000000001</v>
      </c>
      <c r="I4126" s="508">
        <v>0.23200000000000001</v>
      </c>
      <c r="J4126" s="508">
        <v>0.21199999999999999</v>
      </c>
      <c r="K4126" s="508">
        <v>0.14699999999999999</v>
      </c>
      <c r="L4126" s="508">
        <v>0.14699999999999999</v>
      </c>
      <c r="M4126" s="508">
        <v>0.14699999999999999</v>
      </c>
      <c r="N4126" s="508">
        <v>0.158</v>
      </c>
      <c r="O4126" s="508">
        <v>0.13900000000000001</v>
      </c>
      <c r="P4126" s="508">
        <v>0.104</v>
      </c>
      <c r="Q4126" s="508">
        <v>8.6999999999999994E-2</v>
      </c>
      <c r="R4126" s="508">
        <v>8.5999999999999993E-2</v>
      </c>
      <c r="S4126" s="508">
        <v>0.105</v>
      </c>
      <c r="T4126" s="508">
        <v>8.5000000000000006E-2</v>
      </c>
      <c r="U4126" s="508">
        <v>7.4999999999999997E-2</v>
      </c>
      <c r="V4126" s="508">
        <v>4.1000000000000002E-2</v>
      </c>
      <c r="W4126" s="508">
        <v>5.5E-2</v>
      </c>
      <c r="X4126" s="508">
        <v>2.5999999999999999E-2</v>
      </c>
      <c r="Y4126" s="508">
        <v>2.5999999999999999E-2</v>
      </c>
      <c r="Z4126" s="508">
        <v>2.1999999999999999E-2</v>
      </c>
      <c r="AA4126" s="508">
        <v>2.1999999999999999E-2</v>
      </c>
      <c r="AB4126" s="508">
        <v>0.02</v>
      </c>
      <c r="AC4126" s="508">
        <v>0.02</v>
      </c>
      <c r="AD4126" s="508">
        <v>1.7000000000000001E-2</v>
      </c>
      <c r="AE4126" s="508">
        <v>1.7000000000000001E-2</v>
      </c>
      <c r="AF4126" s="508">
        <v>1.0999999999999999E-2</v>
      </c>
      <c r="AG4126" s="508">
        <v>1.0999999999999999E-2</v>
      </c>
      <c r="AH4126" s="508">
        <v>1.0999999999999999E-2</v>
      </c>
      <c r="AI4126" s="492">
        <v>1.0999999999999999E-2</v>
      </c>
      <c r="AJ4126" s="485"/>
    </row>
    <row r="4127" spans="2:36">
      <c r="B4127" s="136" t="s">
        <v>460</v>
      </c>
      <c r="C4127" s="132" t="s">
        <v>1372</v>
      </c>
      <c r="D4127" s="132" t="s">
        <v>284</v>
      </c>
      <c r="E4127" s="508">
        <v>0.221</v>
      </c>
      <c r="F4127" s="508">
        <v>0.23400000000000001</v>
      </c>
      <c r="G4127" s="508">
        <v>0.23400000000000001</v>
      </c>
      <c r="H4127" s="508">
        <v>0.23100000000000001</v>
      </c>
      <c r="I4127" s="508">
        <v>0.23100000000000001</v>
      </c>
      <c r="J4127" s="508">
        <v>0.19700000000000001</v>
      </c>
      <c r="K4127" s="508">
        <v>0.14000000000000001</v>
      </c>
      <c r="L4127" s="508">
        <v>0.14000000000000001</v>
      </c>
      <c r="M4127" s="508">
        <v>0.14000000000000001</v>
      </c>
      <c r="N4127" s="508">
        <v>0.157</v>
      </c>
      <c r="O4127" s="508">
        <v>0.129</v>
      </c>
      <c r="P4127" s="508">
        <v>9.5000000000000001E-2</v>
      </c>
      <c r="Q4127" s="508">
        <v>8.2000000000000003E-2</v>
      </c>
      <c r="R4127" s="508">
        <v>8.1000000000000003E-2</v>
      </c>
      <c r="S4127" s="508">
        <v>9.4E-2</v>
      </c>
      <c r="T4127" s="508">
        <v>7.6999999999999999E-2</v>
      </c>
      <c r="U4127" s="508">
        <v>6.6000000000000003E-2</v>
      </c>
      <c r="V4127" s="508">
        <v>3.7999999999999999E-2</v>
      </c>
      <c r="W4127" s="508">
        <v>4.8000000000000001E-2</v>
      </c>
      <c r="X4127" s="508">
        <v>2.4E-2</v>
      </c>
      <c r="Y4127" s="508">
        <v>2.4E-2</v>
      </c>
      <c r="Z4127" s="508">
        <v>0.02</v>
      </c>
      <c r="AA4127" s="508">
        <v>0.02</v>
      </c>
      <c r="AB4127" s="508">
        <v>1.7999999999999999E-2</v>
      </c>
      <c r="AC4127" s="508">
        <v>1.7999999999999999E-2</v>
      </c>
      <c r="AD4127" s="508">
        <v>1.6E-2</v>
      </c>
      <c r="AE4127" s="508">
        <v>1.6E-2</v>
      </c>
      <c r="AF4127" s="508">
        <v>0.01</v>
      </c>
      <c r="AG4127" s="508">
        <v>0.01</v>
      </c>
      <c r="AH4127" s="508">
        <v>0.01</v>
      </c>
      <c r="AI4127" s="492">
        <v>0.01</v>
      </c>
      <c r="AJ4127" s="485"/>
    </row>
    <row r="4128" spans="2:36">
      <c r="B4128" s="136" t="s">
        <v>461</v>
      </c>
      <c r="C4128" s="132" t="s">
        <v>1372</v>
      </c>
      <c r="D4128" s="132" t="s">
        <v>284</v>
      </c>
      <c r="E4128" s="508">
        <v>0.23699999999999999</v>
      </c>
      <c r="F4128" s="508">
        <v>0.246</v>
      </c>
      <c r="G4128" s="508">
        <v>0.246</v>
      </c>
      <c r="H4128" s="508">
        <v>0.249</v>
      </c>
      <c r="I4128" s="508">
        <v>0.249</v>
      </c>
      <c r="J4128" s="508">
        <v>0.20300000000000001</v>
      </c>
      <c r="K4128" s="508">
        <v>0.14599999999999999</v>
      </c>
      <c r="L4128" s="508">
        <v>0.14599999999999999</v>
      </c>
      <c r="M4128" s="508">
        <v>0.14599999999999999</v>
      </c>
      <c r="N4128" s="508">
        <v>0.17399999999999999</v>
      </c>
      <c r="O4128" s="508">
        <v>0.13200000000000001</v>
      </c>
      <c r="P4128" s="508">
        <v>9.6000000000000002E-2</v>
      </c>
      <c r="Q4128" s="508">
        <v>8.6999999999999994E-2</v>
      </c>
      <c r="R4128" s="508">
        <v>8.5000000000000006E-2</v>
      </c>
      <c r="S4128" s="508">
        <v>9.5000000000000001E-2</v>
      </c>
      <c r="T4128" s="508">
        <v>7.8E-2</v>
      </c>
      <c r="U4128" s="508">
        <v>7.1999999999999995E-2</v>
      </c>
      <c r="V4128" s="508">
        <v>4.2000000000000003E-2</v>
      </c>
      <c r="W4128" s="508">
        <v>5.2999999999999999E-2</v>
      </c>
      <c r="X4128" s="508">
        <v>2.5000000000000001E-2</v>
      </c>
      <c r="Y4128" s="508">
        <v>2.5000000000000001E-2</v>
      </c>
      <c r="Z4128" s="508">
        <v>2.1000000000000001E-2</v>
      </c>
      <c r="AA4128" s="508">
        <v>2.1000000000000001E-2</v>
      </c>
      <c r="AB4128" s="508">
        <v>1.9E-2</v>
      </c>
      <c r="AC4128" s="508">
        <v>1.9E-2</v>
      </c>
      <c r="AD4128" s="508">
        <v>1.7000000000000001E-2</v>
      </c>
      <c r="AE4128" s="508">
        <v>1.6E-2</v>
      </c>
      <c r="AF4128" s="508">
        <v>0.01</v>
      </c>
      <c r="AG4128" s="508">
        <v>0.01</v>
      </c>
      <c r="AH4128" s="508">
        <v>0.01</v>
      </c>
      <c r="AI4128" s="492">
        <v>0.01</v>
      </c>
      <c r="AJ4128" s="485"/>
    </row>
    <row r="4129" spans="2:36">
      <c r="B4129" s="136" t="s">
        <v>462</v>
      </c>
      <c r="C4129" s="132" t="s">
        <v>1372</v>
      </c>
      <c r="D4129" s="132" t="s">
        <v>284</v>
      </c>
      <c r="E4129" s="508">
        <v>0.115</v>
      </c>
      <c r="F4129" s="508">
        <v>0.11600000000000001</v>
      </c>
      <c r="G4129" s="508">
        <v>0.11600000000000001</v>
      </c>
      <c r="H4129" s="508">
        <v>0.125</v>
      </c>
      <c r="I4129" s="508">
        <v>0.125</v>
      </c>
      <c r="J4129" s="508">
        <v>9.2999999999999999E-2</v>
      </c>
      <c r="K4129" s="508">
        <v>6.7000000000000004E-2</v>
      </c>
      <c r="L4129" s="508">
        <v>6.7000000000000004E-2</v>
      </c>
      <c r="M4129" s="508">
        <v>6.7000000000000004E-2</v>
      </c>
      <c r="N4129" s="508">
        <v>8.8999999999999996E-2</v>
      </c>
      <c r="O4129" s="508">
        <v>5.8999999999999997E-2</v>
      </c>
      <c r="P4129" s="508">
        <v>4.2000000000000003E-2</v>
      </c>
      <c r="Q4129" s="508">
        <v>4.1000000000000002E-2</v>
      </c>
      <c r="R4129" s="508">
        <v>0.04</v>
      </c>
      <c r="S4129" s="508">
        <v>4.1000000000000002E-2</v>
      </c>
      <c r="T4129" s="508">
        <v>3.4000000000000002E-2</v>
      </c>
      <c r="U4129" s="508">
        <v>3.3000000000000002E-2</v>
      </c>
      <c r="V4129" s="508">
        <v>0.02</v>
      </c>
      <c r="W4129" s="508">
        <v>2.5000000000000001E-2</v>
      </c>
      <c r="X4129" s="508">
        <v>2.1999999999999999E-2</v>
      </c>
      <c r="Y4129" s="508">
        <v>2.1999999999999999E-2</v>
      </c>
      <c r="Z4129" s="508">
        <v>1.7999999999999999E-2</v>
      </c>
      <c r="AA4129" s="508">
        <v>1.7999999999999999E-2</v>
      </c>
      <c r="AB4129" s="508">
        <v>1.6E-2</v>
      </c>
      <c r="AC4129" s="508">
        <v>1.6E-2</v>
      </c>
      <c r="AD4129" s="508">
        <v>1.4E-2</v>
      </c>
      <c r="AE4129" s="508">
        <v>1.4E-2</v>
      </c>
      <c r="AF4129" s="508">
        <v>8.9999999999999993E-3</v>
      </c>
      <c r="AG4129" s="508">
        <v>8.9999999999999993E-3</v>
      </c>
      <c r="AH4129" s="508">
        <v>8.9999999999999993E-3</v>
      </c>
      <c r="AI4129" s="492">
        <v>8.9999999999999993E-3</v>
      </c>
      <c r="AJ4129" s="485"/>
    </row>
    <row r="4130" spans="2:36">
      <c r="B4130" s="136" t="s">
        <v>463</v>
      </c>
      <c r="C4130" s="132" t="s">
        <v>1372</v>
      </c>
      <c r="D4130" s="132" t="s">
        <v>284</v>
      </c>
      <c r="E4130" s="508">
        <v>0.17399999999999999</v>
      </c>
      <c r="F4130" s="508">
        <v>0.19900000000000001</v>
      </c>
      <c r="G4130" s="508">
        <v>0.19900000000000001</v>
      </c>
      <c r="H4130" s="508">
        <v>0.19</v>
      </c>
      <c r="I4130" s="508">
        <v>0.19</v>
      </c>
      <c r="J4130" s="508">
        <v>0.17199999999999999</v>
      </c>
      <c r="K4130" s="508">
        <v>0.113</v>
      </c>
      <c r="L4130" s="508">
        <v>0.113</v>
      </c>
      <c r="M4130" s="508">
        <v>0.113</v>
      </c>
      <c r="N4130" s="508">
        <v>0.13600000000000001</v>
      </c>
      <c r="O4130" s="508">
        <v>0.112</v>
      </c>
      <c r="P4130" s="508">
        <v>8.2000000000000003E-2</v>
      </c>
      <c r="Q4130" s="508">
        <v>7.0999999999999994E-2</v>
      </c>
      <c r="R4130" s="508">
        <v>7.0000000000000007E-2</v>
      </c>
      <c r="S4130" s="508">
        <v>8.5000000000000006E-2</v>
      </c>
      <c r="T4130" s="508">
        <v>6.9000000000000006E-2</v>
      </c>
      <c r="U4130" s="508">
        <v>6.2E-2</v>
      </c>
      <c r="V4130" s="508">
        <v>3.3000000000000002E-2</v>
      </c>
      <c r="W4130" s="508">
        <v>4.3999999999999997E-2</v>
      </c>
      <c r="X4130" s="508">
        <v>2.5999999999999999E-2</v>
      </c>
      <c r="Y4130" s="508">
        <v>2.5999999999999999E-2</v>
      </c>
      <c r="Z4130" s="508">
        <v>2.1000000000000001E-2</v>
      </c>
      <c r="AA4130" s="508">
        <v>2.1000000000000001E-2</v>
      </c>
      <c r="AB4130" s="508">
        <v>1.9E-2</v>
      </c>
      <c r="AC4130" s="508">
        <v>1.9E-2</v>
      </c>
      <c r="AD4130" s="508">
        <v>1.7000000000000001E-2</v>
      </c>
      <c r="AE4130" s="508">
        <v>1.7000000000000001E-2</v>
      </c>
      <c r="AF4130" s="508">
        <v>1.0999999999999999E-2</v>
      </c>
      <c r="AG4130" s="508">
        <v>1.0999999999999999E-2</v>
      </c>
      <c r="AH4130" s="508">
        <v>1.0999999999999999E-2</v>
      </c>
      <c r="AI4130" s="492">
        <v>1.0999999999999999E-2</v>
      </c>
      <c r="AJ4130" s="485"/>
    </row>
    <row r="4131" spans="2:36">
      <c r="B4131" s="136" t="s">
        <v>464</v>
      </c>
      <c r="C4131" s="132" t="s">
        <v>1372</v>
      </c>
      <c r="D4131" s="132" t="s">
        <v>284</v>
      </c>
      <c r="E4131" s="508">
        <v>0.22700000000000001</v>
      </c>
      <c r="F4131" s="508">
        <v>0.246</v>
      </c>
      <c r="G4131" s="508">
        <v>0.246</v>
      </c>
      <c r="H4131" s="508">
        <v>0.252</v>
      </c>
      <c r="I4131" s="508">
        <v>0.252</v>
      </c>
      <c r="J4131" s="508">
        <v>0.20599999999999999</v>
      </c>
      <c r="K4131" s="508">
        <v>0.13800000000000001</v>
      </c>
      <c r="L4131" s="508">
        <v>0.13800000000000001</v>
      </c>
      <c r="M4131" s="508">
        <v>0.13800000000000001</v>
      </c>
      <c r="N4131" s="508">
        <v>0.185</v>
      </c>
      <c r="O4131" s="508">
        <v>0.13200000000000001</v>
      </c>
      <c r="P4131" s="508">
        <v>9.2999999999999999E-2</v>
      </c>
      <c r="Q4131" s="508">
        <v>8.7999999999999995E-2</v>
      </c>
      <c r="R4131" s="508">
        <v>8.5000000000000006E-2</v>
      </c>
      <c r="S4131" s="508">
        <v>9.4E-2</v>
      </c>
      <c r="T4131" s="508">
        <v>7.8E-2</v>
      </c>
      <c r="U4131" s="508">
        <v>6.9000000000000006E-2</v>
      </c>
      <c r="V4131" s="508">
        <v>0.04</v>
      </c>
      <c r="W4131" s="508">
        <v>5.0999999999999997E-2</v>
      </c>
      <c r="X4131" s="508">
        <v>2.4E-2</v>
      </c>
      <c r="Y4131" s="508">
        <v>2.4E-2</v>
      </c>
      <c r="Z4131" s="508">
        <v>0.02</v>
      </c>
      <c r="AA4131" s="508">
        <v>0.02</v>
      </c>
      <c r="AB4131" s="508">
        <v>1.7999999999999999E-2</v>
      </c>
      <c r="AC4131" s="508">
        <v>1.7999999999999999E-2</v>
      </c>
      <c r="AD4131" s="508">
        <v>1.6E-2</v>
      </c>
      <c r="AE4131" s="508">
        <v>1.6E-2</v>
      </c>
      <c r="AF4131" s="508">
        <v>0.01</v>
      </c>
      <c r="AG4131" s="508">
        <v>0.01</v>
      </c>
      <c r="AH4131" s="508">
        <v>0.01</v>
      </c>
      <c r="AI4131" s="492">
        <v>0.01</v>
      </c>
      <c r="AJ4131" s="485"/>
    </row>
    <row r="4132" spans="2:36">
      <c r="B4132" s="136" t="s">
        <v>465</v>
      </c>
      <c r="C4132" s="132" t="s">
        <v>1372</v>
      </c>
      <c r="D4132" s="132" t="s">
        <v>284</v>
      </c>
      <c r="E4132" s="508">
        <v>0.2</v>
      </c>
      <c r="F4132" s="508">
        <v>0.222</v>
      </c>
      <c r="G4132" s="508">
        <v>0.222</v>
      </c>
      <c r="H4132" s="508">
        <v>0.219</v>
      </c>
      <c r="I4132" s="508">
        <v>0.219</v>
      </c>
      <c r="J4132" s="508">
        <v>0.19</v>
      </c>
      <c r="K4132" s="508">
        <v>0.127</v>
      </c>
      <c r="L4132" s="508">
        <v>0.127</v>
      </c>
      <c r="M4132" s="508">
        <v>0.127</v>
      </c>
      <c r="N4132" s="508">
        <v>0.156</v>
      </c>
      <c r="O4132" s="508">
        <v>0.122</v>
      </c>
      <c r="P4132" s="508">
        <v>8.8999999999999996E-2</v>
      </c>
      <c r="Q4132" s="508">
        <v>7.9000000000000001E-2</v>
      </c>
      <c r="R4132" s="508">
        <v>7.8E-2</v>
      </c>
      <c r="S4132" s="508">
        <v>0.09</v>
      </c>
      <c r="T4132" s="508">
        <v>7.3999999999999996E-2</v>
      </c>
      <c r="U4132" s="508">
        <v>6.7000000000000004E-2</v>
      </c>
      <c r="V4132" s="508">
        <v>3.6999999999999998E-2</v>
      </c>
      <c r="W4132" s="508">
        <v>4.9000000000000002E-2</v>
      </c>
      <c r="X4132" s="508">
        <v>2.5999999999999999E-2</v>
      </c>
      <c r="Y4132" s="508">
        <v>2.5999999999999999E-2</v>
      </c>
      <c r="Z4132" s="508">
        <v>2.1000000000000001E-2</v>
      </c>
      <c r="AA4132" s="508">
        <v>2.1000000000000001E-2</v>
      </c>
      <c r="AB4132" s="508">
        <v>1.9E-2</v>
      </c>
      <c r="AC4132" s="508">
        <v>1.9E-2</v>
      </c>
      <c r="AD4132" s="508">
        <v>1.7000000000000001E-2</v>
      </c>
      <c r="AE4132" s="508">
        <v>1.7000000000000001E-2</v>
      </c>
      <c r="AF4132" s="508">
        <v>1.0999999999999999E-2</v>
      </c>
      <c r="AG4132" s="508">
        <v>1.0999999999999999E-2</v>
      </c>
      <c r="AH4132" s="508">
        <v>1.0999999999999999E-2</v>
      </c>
      <c r="AI4132" s="492">
        <v>1.0999999999999999E-2</v>
      </c>
      <c r="AJ4132" s="485"/>
    </row>
    <row r="4133" spans="2:36">
      <c r="B4133" s="136" t="s">
        <v>466</v>
      </c>
      <c r="C4133" s="132" t="s">
        <v>1372</v>
      </c>
      <c r="D4133" s="132" t="s">
        <v>284</v>
      </c>
      <c r="E4133" s="508">
        <v>0.14000000000000001</v>
      </c>
      <c r="F4133" s="508">
        <v>0.14399999999999999</v>
      </c>
      <c r="G4133" s="508">
        <v>0.14399999999999999</v>
      </c>
      <c r="H4133" s="508">
        <v>0.14299999999999999</v>
      </c>
      <c r="I4133" s="508">
        <v>0.14299999999999999</v>
      </c>
      <c r="J4133" s="508">
        <v>0.12</v>
      </c>
      <c r="K4133" s="508">
        <v>8.8999999999999996E-2</v>
      </c>
      <c r="L4133" s="508">
        <v>8.8999999999999996E-2</v>
      </c>
      <c r="M4133" s="508">
        <v>8.8999999999999996E-2</v>
      </c>
      <c r="N4133" s="508">
        <v>9.2999999999999999E-2</v>
      </c>
      <c r="O4133" s="508">
        <v>7.9000000000000001E-2</v>
      </c>
      <c r="P4133" s="508">
        <v>5.8999999999999997E-2</v>
      </c>
      <c r="Q4133" s="508">
        <v>0.05</v>
      </c>
      <c r="R4133" s="508">
        <v>4.9000000000000002E-2</v>
      </c>
      <c r="S4133" s="508">
        <v>5.8000000000000003E-2</v>
      </c>
      <c r="T4133" s="508">
        <v>4.7E-2</v>
      </c>
      <c r="U4133" s="508">
        <v>4.2000000000000003E-2</v>
      </c>
      <c r="V4133" s="508">
        <v>2.4E-2</v>
      </c>
      <c r="W4133" s="508">
        <v>3.1E-2</v>
      </c>
      <c r="X4133" s="508">
        <v>2.3E-2</v>
      </c>
      <c r="Y4133" s="508">
        <v>2.3E-2</v>
      </c>
      <c r="Z4133" s="508">
        <v>1.9E-2</v>
      </c>
      <c r="AA4133" s="508">
        <v>1.9E-2</v>
      </c>
      <c r="AB4133" s="508">
        <v>1.7000000000000001E-2</v>
      </c>
      <c r="AC4133" s="508">
        <v>1.7000000000000001E-2</v>
      </c>
      <c r="AD4133" s="508">
        <v>1.4999999999999999E-2</v>
      </c>
      <c r="AE4133" s="508">
        <v>1.4999999999999999E-2</v>
      </c>
      <c r="AF4133" s="508">
        <v>0.01</v>
      </c>
      <c r="AG4133" s="508">
        <v>0.01</v>
      </c>
      <c r="AH4133" s="508">
        <v>0.01</v>
      </c>
      <c r="AI4133" s="492">
        <v>0.01</v>
      </c>
      <c r="AJ4133" s="485"/>
    </row>
    <row r="4134" spans="2:36">
      <c r="B4134" s="136" t="s">
        <v>467</v>
      </c>
      <c r="C4134" s="132" t="s">
        <v>1372</v>
      </c>
      <c r="D4134" s="132" t="s">
        <v>284</v>
      </c>
      <c r="E4134" s="508">
        <v>0.217</v>
      </c>
      <c r="F4134" s="508">
        <v>0.22500000000000001</v>
      </c>
      <c r="G4134" s="508">
        <v>0.22500000000000001</v>
      </c>
      <c r="H4134" s="508">
        <v>0.23</v>
      </c>
      <c r="I4134" s="508">
        <v>0.23</v>
      </c>
      <c r="J4134" s="508">
        <v>0.185</v>
      </c>
      <c r="K4134" s="508">
        <v>0.13200000000000001</v>
      </c>
      <c r="L4134" s="508">
        <v>0.13200000000000001</v>
      </c>
      <c r="M4134" s="508">
        <v>0.13200000000000001</v>
      </c>
      <c r="N4134" s="508">
        <v>0.16200000000000001</v>
      </c>
      <c r="O4134" s="508">
        <v>0.12</v>
      </c>
      <c r="P4134" s="508">
        <v>8.6999999999999994E-2</v>
      </c>
      <c r="Q4134" s="508">
        <v>0.08</v>
      </c>
      <c r="R4134" s="508">
        <v>7.8E-2</v>
      </c>
      <c r="S4134" s="508">
        <v>8.5000000000000006E-2</v>
      </c>
      <c r="T4134" s="508">
        <v>7.0000000000000007E-2</v>
      </c>
      <c r="U4134" s="508">
        <v>6.4000000000000001E-2</v>
      </c>
      <c r="V4134" s="508">
        <v>3.6999999999999998E-2</v>
      </c>
      <c r="W4134" s="508">
        <v>4.7E-2</v>
      </c>
      <c r="X4134" s="508">
        <v>2.4E-2</v>
      </c>
      <c r="Y4134" s="508">
        <v>2.4E-2</v>
      </c>
      <c r="Z4134" s="508">
        <v>0.02</v>
      </c>
      <c r="AA4134" s="508">
        <v>0.02</v>
      </c>
      <c r="AB4134" s="508">
        <v>1.7999999999999999E-2</v>
      </c>
      <c r="AC4134" s="508">
        <v>1.7999999999999999E-2</v>
      </c>
      <c r="AD4134" s="508">
        <v>1.6E-2</v>
      </c>
      <c r="AE4134" s="508">
        <v>1.6E-2</v>
      </c>
      <c r="AF4134" s="508">
        <v>0.01</v>
      </c>
      <c r="AG4134" s="508">
        <v>0.01</v>
      </c>
      <c r="AH4134" s="508">
        <v>0.01</v>
      </c>
      <c r="AI4134" s="492">
        <v>0.01</v>
      </c>
      <c r="AJ4134" s="485"/>
    </row>
    <row r="4135" spans="2:36">
      <c r="B4135" s="136" t="s">
        <v>468</v>
      </c>
      <c r="C4135" s="132" t="s">
        <v>1372</v>
      </c>
      <c r="D4135" s="132" t="s">
        <v>284</v>
      </c>
      <c r="E4135" s="508">
        <v>0.188</v>
      </c>
      <c r="F4135" s="508">
        <v>0.22</v>
      </c>
      <c r="G4135" s="508">
        <v>0.22</v>
      </c>
      <c r="H4135" s="508">
        <v>0.20899999999999999</v>
      </c>
      <c r="I4135" s="508">
        <v>0.20899999999999999</v>
      </c>
      <c r="J4135" s="508">
        <v>0.193</v>
      </c>
      <c r="K4135" s="508">
        <v>0.124</v>
      </c>
      <c r="L4135" s="508">
        <v>0.124</v>
      </c>
      <c r="M4135" s="508">
        <v>0.124</v>
      </c>
      <c r="N4135" s="508">
        <v>0.151</v>
      </c>
      <c r="O4135" s="508">
        <v>0.125</v>
      </c>
      <c r="P4135" s="508">
        <v>9.0999999999999998E-2</v>
      </c>
      <c r="Q4135" s="508">
        <v>7.9000000000000001E-2</v>
      </c>
      <c r="R4135" s="508">
        <v>7.8E-2</v>
      </c>
      <c r="S4135" s="508">
        <v>9.5000000000000001E-2</v>
      </c>
      <c r="T4135" s="508">
        <v>7.6999999999999999E-2</v>
      </c>
      <c r="U4135" s="508">
        <v>6.8000000000000005E-2</v>
      </c>
      <c r="V4135" s="508">
        <v>3.6999999999999998E-2</v>
      </c>
      <c r="W4135" s="508">
        <v>4.9000000000000002E-2</v>
      </c>
      <c r="X4135" s="508">
        <v>2.7E-2</v>
      </c>
      <c r="Y4135" s="508">
        <v>2.7E-2</v>
      </c>
      <c r="Z4135" s="508">
        <v>2.1999999999999999E-2</v>
      </c>
      <c r="AA4135" s="508">
        <v>2.1999999999999999E-2</v>
      </c>
      <c r="AB4135" s="508">
        <v>0.02</v>
      </c>
      <c r="AC4135" s="508">
        <v>0.02</v>
      </c>
      <c r="AD4135" s="508">
        <v>1.7999999999999999E-2</v>
      </c>
      <c r="AE4135" s="508">
        <v>1.7999999999999999E-2</v>
      </c>
      <c r="AF4135" s="508">
        <v>1.0999999999999999E-2</v>
      </c>
      <c r="AG4135" s="508">
        <v>1.0999999999999999E-2</v>
      </c>
      <c r="AH4135" s="508">
        <v>1.0999999999999999E-2</v>
      </c>
      <c r="AI4135" s="492">
        <v>1.0999999999999999E-2</v>
      </c>
      <c r="AJ4135" s="485"/>
    </row>
    <row r="4136" spans="2:36">
      <c r="B4136" s="136" t="s">
        <v>469</v>
      </c>
      <c r="C4136" s="132" t="s">
        <v>1372</v>
      </c>
      <c r="D4136" s="132" t="s">
        <v>284</v>
      </c>
      <c r="E4136" s="508">
        <v>0.158</v>
      </c>
      <c r="F4136" s="508">
        <v>0.17</v>
      </c>
      <c r="G4136" s="508">
        <v>0.17</v>
      </c>
      <c r="H4136" s="508">
        <v>0.17100000000000001</v>
      </c>
      <c r="I4136" s="508">
        <v>0.17100000000000001</v>
      </c>
      <c r="J4136" s="508">
        <v>0.14299999999999999</v>
      </c>
      <c r="K4136" s="508">
        <v>9.8000000000000004E-2</v>
      </c>
      <c r="L4136" s="508">
        <v>9.8000000000000004E-2</v>
      </c>
      <c r="M4136" s="508">
        <v>9.8000000000000004E-2</v>
      </c>
      <c r="N4136" s="508">
        <v>0.122</v>
      </c>
      <c r="O4136" s="508">
        <v>9.1999999999999998E-2</v>
      </c>
      <c r="P4136" s="508">
        <v>6.7000000000000004E-2</v>
      </c>
      <c r="Q4136" s="508">
        <v>6.0999999999999999E-2</v>
      </c>
      <c r="R4136" s="508">
        <v>5.8999999999999997E-2</v>
      </c>
      <c r="S4136" s="508">
        <v>6.7000000000000004E-2</v>
      </c>
      <c r="T4136" s="508">
        <v>5.5E-2</v>
      </c>
      <c r="U4136" s="508">
        <v>0.05</v>
      </c>
      <c r="V4136" s="508">
        <v>2.8000000000000001E-2</v>
      </c>
      <c r="W4136" s="508">
        <v>3.6999999999999998E-2</v>
      </c>
      <c r="X4136" s="508">
        <v>2.4E-2</v>
      </c>
      <c r="Y4136" s="508">
        <v>2.4E-2</v>
      </c>
      <c r="Z4136" s="508">
        <v>0.02</v>
      </c>
      <c r="AA4136" s="508">
        <v>0.02</v>
      </c>
      <c r="AB4136" s="508">
        <v>1.7999999999999999E-2</v>
      </c>
      <c r="AC4136" s="508">
        <v>1.7999999999999999E-2</v>
      </c>
      <c r="AD4136" s="508">
        <v>1.6E-2</v>
      </c>
      <c r="AE4136" s="508">
        <v>1.6E-2</v>
      </c>
      <c r="AF4136" s="508">
        <v>0.01</v>
      </c>
      <c r="AG4136" s="508">
        <v>0.01</v>
      </c>
      <c r="AH4136" s="508">
        <v>0.01</v>
      </c>
      <c r="AI4136" s="492">
        <v>0.01</v>
      </c>
      <c r="AJ4136" s="485"/>
    </row>
    <row r="4137" spans="2:36">
      <c r="B4137" s="136" t="s">
        <v>470</v>
      </c>
      <c r="C4137" s="132" t="s">
        <v>1372</v>
      </c>
      <c r="D4137" s="132" t="s">
        <v>284</v>
      </c>
      <c r="E4137" s="508">
        <v>0.20799999999999999</v>
      </c>
      <c r="F4137" s="508">
        <v>0.219</v>
      </c>
      <c r="G4137" s="508">
        <v>0.219</v>
      </c>
      <c r="H4137" s="508">
        <v>0.214</v>
      </c>
      <c r="I4137" s="508">
        <v>0.214</v>
      </c>
      <c r="J4137" s="508">
        <v>0.184</v>
      </c>
      <c r="K4137" s="508">
        <v>0.13300000000000001</v>
      </c>
      <c r="L4137" s="508">
        <v>0.13300000000000001</v>
      </c>
      <c r="M4137" s="508">
        <v>0.13300000000000001</v>
      </c>
      <c r="N4137" s="508">
        <v>0.14299999999999999</v>
      </c>
      <c r="O4137" s="508">
        <v>0.121</v>
      </c>
      <c r="P4137" s="508">
        <v>0.09</v>
      </c>
      <c r="Q4137" s="508">
        <v>7.6999999999999999E-2</v>
      </c>
      <c r="R4137" s="508">
        <v>7.5999999999999998E-2</v>
      </c>
      <c r="S4137" s="508">
        <v>8.8999999999999996E-2</v>
      </c>
      <c r="T4137" s="508">
        <v>7.2999999999999995E-2</v>
      </c>
      <c r="U4137" s="508">
        <v>6.6000000000000003E-2</v>
      </c>
      <c r="V4137" s="508">
        <v>3.7999999999999999E-2</v>
      </c>
      <c r="W4137" s="508">
        <v>4.9000000000000002E-2</v>
      </c>
      <c r="X4137" s="508">
        <v>2.5000000000000001E-2</v>
      </c>
      <c r="Y4137" s="508">
        <v>2.5000000000000001E-2</v>
      </c>
      <c r="Z4137" s="508">
        <v>2.1000000000000001E-2</v>
      </c>
      <c r="AA4137" s="508">
        <v>2.1000000000000001E-2</v>
      </c>
      <c r="AB4137" s="508">
        <v>1.9E-2</v>
      </c>
      <c r="AC4137" s="508">
        <v>1.9E-2</v>
      </c>
      <c r="AD4137" s="508">
        <v>1.7000000000000001E-2</v>
      </c>
      <c r="AE4137" s="508">
        <v>1.7000000000000001E-2</v>
      </c>
      <c r="AF4137" s="508">
        <v>1.0999999999999999E-2</v>
      </c>
      <c r="AG4137" s="508">
        <v>1.0999999999999999E-2</v>
      </c>
      <c r="AH4137" s="508">
        <v>0.01</v>
      </c>
      <c r="AI4137" s="492">
        <v>0.01</v>
      </c>
      <c r="AJ4137" s="485"/>
    </row>
    <row r="4138" spans="2:36">
      <c r="B4138" s="136" t="s">
        <v>471</v>
      </c>
      <c r="C4138" s="132" t="s">
        <v>1372</v>
      </c>
      <c r="D4138" s="132" t="s">
        <v>284</v>
      </c>
      <c r="E4138" s="508">
        <v>0.14299999999999999</v>
      </c>
      <c r="F4138" s="508">
        <v>0.14599999999999999</v>
      </c>
      <c r="G4138" s="508">
        <v>0.14599999999999999</v>
      </c>
      <c r="H4138" s="508">
        <v>0.15</v>
      </c>
      <c r="I4138" s="508">
        <v>0.15</v>
      </c>
      <c r="J4138" s="508">
        <v>0.12</v>
      </c>
      <c r="K4138" s="508">
        <v>8.7999999999999995E-2</v>
      </c>
      <c r="L4138" s="508">
        <v>8.7999999999999995E-2</v>
      </c>
      <c r="M4138" s="508">
        <v>8.7999999999999995E-2</v>
      </c>
      <c r="N4138" s="508">
        <v>0.10299999999999999</v>
      </c>
      <c r="O4138" s="508">
        <v>7.8E-2</v>
      </c>
      <c r="P4138" s="508">
        <v>5.7000000000000002E-2</v>
      </c>
      <c r="Q4138" s="508">
        <v>5.1999999999999998E-2</v>
      </c>
      <c r="R4138" s="508">
        <v>0.05</v>
      </c>
      <c r="S4138" s="508">
        <v>5.6000000000000001E-2</v>
      </c>
      <c r="T4138" s="508">
        <v>4.5999999999999999E-2</v>
      </c>
      <c r="U4138" s="508">
        <v>4.3999999999999997E-2</v>
      </c>
      <c r="V4138" s="508">
        <v>2.5999999999999999E-2</v>
      </c>
      <c r="W4138" s="508">
        <v>3.3000000000000002E-2</v>
      </c>
      <c r="X4138" s="508">
        <v>2.4E-2</v>
      </c>
      <c r="Y4138" s="508">
        <v>2.4E-2</v>
      </c>
      <c r="Z4138" s="508">
        <v>1.9E-2</v>
      </c>
      <c r="AA4138" s="508">
        <v>1.9E-2</v>
      </c>
      <c r="AB4138" s="508">
        <v>1.7000000000000001E-2</v>
      </c>
      <c r="AC4138" s="508">
        <v>1.7000000000000001E-2</v>
      </c>
      <c r="AD4138" s="508">
        <v>1.6E-2</v>
      </c>
      <c r="AE4138" s="508">
        <v>1.6E-2</v>
      </c>
      <c r="AF4138" s="508">
        <v>0.01</v>
      </c>
      <c r="AG4138" s="508">
        <v>0.01</v>
      </c>
      <c r="AH4138" s="508">
        <v>0.01</v>
      </c>
      <c r="AI4138" s="492">
        <v>0.01</v>
      </c>
      <c r="AJ4138" s="485"/>
    </row>
    <row r="4139" spans="2:36">
      <c r="B4139" s="136" t="s">
        <v>472</v>
      </c>
      <c r="C4139" s="132" t="s">
        <v>1372</v>
      </c>
      <c r="D4139" s="132" t="s">
        <v>284</v>
      </c>
      <c r="E4139" s="508">
        <v>0.252</v>
      </c>
      <c r="F4139" s="508">
        <v>0.26800000000000002</v>
      </c>
      <c r="G4139" s="508">
        <v>0.26800000000000002</v>
      </c>
      <c r="H4139" s="508">
        <v>0.27800000000000002</v>
      </c>
      <c r="I4139" s="508">
        <v>0.27800000000000002</v>
      </c>
      <c r="J4139" s="508">
        <v>0.222</v>
      </c>
      <c r="K4139" s="508">
        <v>0.151</v>
      </c>
      <c r="L4139" s="508">
        <v>0.151</v>
      </c>
      <c r="M4139" s="508">
        <v>0.151</v>
      </c>
      <c r="N4139" s="508">
        <v>0.20399999999999999</v>
      </c>
      <c r="O4139" s="508">
        <v>0.14099999999999999</v>
      </c>
      <c r="P4139" s="508">
        <v>0.1</v>
      </c>
      <c r="Q4139" s="508">
        <v>9.6000000000000002E-2</v>
      </c>
      <c r="R4139" s="508">
        <v>9.2999999999999999E-2</v>
      </c>
      <c r="S4139" s="508">
        <v>0.1</v>
      </c>
      <c r="T4139" s="508">
        <v>8.2000000000000003E-2</v>
      </c>
      <c r="U4139" s="508">
        <v>7.6999999999999999E-2</v>
      </c>
      <c r="V4139" s="508">
        <v>4.4999999999999998E-2</v>
      </c>
      <c r="W4139" s="508">
        <v>5.6000000000000001E-2</v>
      </c>
      <c r="X4139" s="508">
        <v>2.5000000000000001E-2</v>
      </c>
      <c r="Y4139" s="508">
        <v>2.5000000000000001E-2</v>
      </c>
      <c r="Z4139" s="508">
        <v>2.1000000000000001E-2</v>
      </c>
      <c r="AA4139" s="508">
        <v>2.1000000000000001E-2</v>
      </c>
      <c r="AB4139" s="508">
        <v>1.9E-2</v>
      </c>
      <c r="AC4139" s="508">
        <v>1.9E-2</v>
      </c>
      <c r="AD4139" s="508">
        <v>1.7000000000000001E-2</v>
      </c>
      <c r="AE4139" s="508">
        <v>1.7000000000000001E-2</v>
      </c>
      <c r="AF4139" s="508">
        <v>1.0999999999999999E-2</v>
      </c>
      <c r="AG4139" s="508">
        <v>0.01</v>
      </c>
      <c r="AH4139" s="508">
        <v>0.01</v>
      </c>
      <c r="AI4139" s="492">
        <v>0.01</v>
      </c>
      <c r="AJ4139" s="485"/>
    </row>
    <row r="4140" spans="2:36">
      <c r="B4140" s="136" t="s">
        <v>473</v>
      </c>
      <c r="C4140" s="132" t="s">
        <v>1372</v>
      </c>
      <c r="D4140" s="132" t="s">
        <v>284</v>
      </c>
      <c r="E4140" s="508">
        <v>0.19400000000000001</v>
      </c>
      <c r="F4140" s="508">
        <v>0.19700000000000001</v>
      </c>
      <c r="G4140" s="508">
        <v>0.19700000000000001</v>
      </c>
      <c r="H4140" s="508">
        <v>0.19900000000000001</v>
      </c>
      <c r="I4140" s="508">
        <v>0.19900000000000001</v>
      </c>
      <c r="J4140" s="508">
        <v>0.16200000000000001</v>
      </c>
      <c r="K4140" s="508">
        <v>0.121</v>
      </c>
      <c r="L4140" s="508">
        <v>0.121</v>
      </c>
      <c r="M4140" s="508">
        <v>0.121</v>
      </c>
      <c r="N4140" s="508">
        <v>0.13300000000000001</v>
      </c>
      <c r="O4140" s="508">
        <v>0.106</v>
      </c>
      <c r="P4140" s="508">
        <v>7.9000000000000001E-2</v>
      </c>
      <c r="Q4140" s="508">
        <v>6.9000000000000006E-2</v>
      </c>
      <c r="R4140" s="508">
        <v>6.7000000000000004E-2</v>
      </c>
      <c r="S4140" s="508">
        <v>7.5999999999999998E-2</v>
      </c>
      <c r="T4140" s="508">
        <v>6.2E-2</v>
      </c>
      <c r="U4140" s="508">
        <v>5.2999999999999999E-2</v>
      </c>
      <c r="V4140" s="508">
        <v>3.1E-2</v>
      </c>
      <c r="W4140" s="508">
        <v>3.9E-2</v>
      </c>
      <c r="X4140" s="508">
        <v>2.1999999999999999E-2</v>
      </c>
      <c r="Y4140" s="508">
        <v>2.1999999999999999E-2</v>
      </c>
      <c r="Z4140" s="508">
        <v>1.7999999999999999E-2</v>
      </c>
      <c r="AA4140" s="508">
        <v>1.7999999999999999E-2</v>
      </c>
      <c r="AB4140" s="508">
        <v>1.6E-2</v>
      </c>
      <c r="AC4140" s="508">
        <v>1.6E-2</v>
      </c>
      <c r="AD4140" s="508">
        <v>1.4E-2</v>
      </c>
      <c r="AE4140" s="508">
        <v>1.4E-2</v>
      </c>
      <c r="AF4140" s="508">
        <v>8.9999999999999993E-3</v>
      </c>
      <c r="AG4140" s="508">
        <v>8.9999999999999993E-3</v>
      </c>
      <c r="AH4140" s="508">
        <v>8.9999999999999993E-3</v>
      </c>
      <c r="AI4140" s="492">
        <v>8.9999999999999993E-3</v>
      </c>
      <c r="AJ4140" s="485"/>
    </row>
    <row r="4141" spans="2:36">
      <c r="B4141" s="136" t="s">
        <v>474</v>
      </c>
      <c r="C4141" s="132" t="s">
        <v>1372</v>
      </c>
      <c r="D4141" s="132" t="s">
        <v>284</v>
      </c>
      <c r="E4141" s="508">
        <v>0.13900000000000001</v>
      </c>
      <c r="F4141" s="508">
        <v>0.14499999999999999</v>
      </c>
      <c r="G4141" s="508">
        <v>0.14499999999999999</v>
      </c>
      <c r="H4141" s="508">
        <v>0.14799999999999999</v>
      </c>
      <c r="I4141" s="508">
        <v>0.14799999999999999</v>
      </c>
      <c r="J4141" s="508">
        <v>0.121</v>
      </c>
      <c r="K4141" s="508">
        <v>8.5999999999999993E-2</v>
      </c>
      <c r="L4141" s="508">
        <v>8.5999999999999993E-2</v>
      </c>
      <c r="M4141" s="508">
        <v>8.5999999999999993E-2</v>
      </c>
      <c r="N4141" s="508">
        <v>0.10299999999999999</v>
      </c>
      <c r="O4141" s="508">
        <v>7.8E-2</v>
      </c>
      <c r="P4141" s="508">
        <v>5.7000000000000002E-2</v>
      </c>
      <c r="Q4141" s="508">
        <v>5.1999999999999998E-2</v>
      </c>
      <c r="R4141" s="508">
        <v>0.05</v>
      </c>
      <c r="S4141" s="508">
        <v>5.6000000000000001E-2</v>
      </c>
      <c r="T4141" s="508">
        <v>4.5999999999999999E-2</v>
      </c>
      <c r="U4141" s="508">
        <v>4.2000000000000003E-2</v>
      </c>
      <c r="V4141" s="508">
        <v>2.4E-2</v>
      </c>
      <c r="W4141" s="508">
        <v>3.1E-2</v>
      </c>
      <c r="X4141" s="508">
        <v>2.3E-2</v>
      </c>
      <c r="Y4141" s="508">
        <v>2.3E-2</v>
      </c>
      <c r="Z4141" s="508">
        <v>1.9E-2</v>
      </c>
      <c r="AA4141" s="508">
        <v>1.9E-2</v>
      </c>
      <c r="AB4141" s="508">
        <v>1.7000000000000001E-2</v>
      </c>
      <c r="AC4141" s="508">
        <v>1.7000000000000001E-2</v>
      </c>
      <c r="AD4141" s="508">
        <v>1.4999999999999999E-2</v>
      </c>
      <c r="AE4141" s="508">
        <v>1.4999999999999999E-2</v>
      </c>
      <c r="AF4141" s="508">
        <v>8.9999999999999993E-3</v>
      </c>
      <c r="AG4141" s="508">
        <v>8.9999999999999993E-3</v>
      </c>
      <c r="AH4141" s="508">
        <v>8.9999999999999993E-3</v>
      </c>
      <c r="AI4141" s="492">
        <v>8.9999999999999993E-3</v>
      </c>
      <c r="AJ4141" s="485"/>
    </row>
    <row r="4142" spans="2:36">
      <c r="B4142" s="136" t="s">
        <v>475</v>
      </c>
      <c r="C4142" s="132" t="s">
        <v>1372</v>
      </c>
      <c r="D4142" s="132" t="s">
        <v>284</v>
      </c>
      <c r="E4142" s="508">
        <v>0.187</v>
      </c>
      <c r="F4142" s="508">
        <v>0.19700000000000001</v>
      </c>
      <c r="G4142" s="508">
        <v>0.19700000000000001</v>
      </c>
      <c r="H4142" s="508">
        <v>0.20100000000000001</v>
      </c>
      <c r="I4142" s="508">
        <v>0.20100000000000001</v>
      </c>
      <c r="J4142" s="508">
        <v>0.16400000000000001</v>
      </c>
      <c r="K4142" s="508">
        <v>0.115</v>
      </c>
      <c r="L4142" s="508">
        <v>0.115</v>
      </c>
      <c r="M4142" s="508">
        <v>0.115</v>
      </c>
      <c r="N4142" s="508">
        <v>0.14099999999999999</v>
      </c>
      <c r="O4142" s="508">
        <v>0.106</v>
      </c>
      <c r="P4142" s="508">
        <v>7.6999999999999999E-2</v>
      </c>
      <c r="Q4142" s="508">
        <v>7.0000000000000007E-2</v>
      </c>
      <c r="R4142" s="508">
        <v>6.8000000000000005E-2</v>
      </c>
      <c r="S4142" s="508">
        <v>7.5999999999999998E-2</v>
      </c>
      <c r="T4142" s="508">
        <v>6.2E-2</v>
      </c>
      <c r="U4142" s="508">
        <v>5.6000000000000001E-2</v>
      </c>
      <c r="V4142" s="508">
        <v>3.2000000000000001E-2</v>
      </c>
      <c r="W4142" s="508">
        <v>4.1000000000000002E-2</v>
      </c>
      <c r="X4142" s="508">
        <v>2.3E-2</v>
      </c>
      <c r="Y4142" s="508">
        <v>2.3E-2</v>
      </c>
      <c r="Z4142" s="508">
        <v>1.9E-2</v>
      </c>
      <c r="AA4142" s="508">
        <v>1.9E-2</v>
      </c>
      <c r="AB4142" s="508">
        <v>1.7000000000000001E-2</v>
      </c>
      <c r="AC4142" s="508">
        <v>1.7000000000000001E-2</v>
      </c>
      <c r="AD4142" s="508">
        <v>1.4999999999999999E-2</v>
      </c>
      <c r="AE4142" s="508">
        <v>1.4999999999999999E-2</v>
      </c>
      <c r="AF4142" s="508">
        <v>0.01</v>
      </c>
      <c r="AG4142" s="508">
        <v>0.01</v>
      </c>
      <c r="AH4142" s="508">
        <v>0.01</v>
      </c>
      <c r="AI4142" s="492">
        <v>0.01</v>
      </c>
      <c r="AJ4142" s="485"/>
    </row>
    <row r="4143" spans="2:36">
      <c r="B4143" s="136" t="s">
        <v>476</v>
      </c>
      <c r="C4143" s="132" t="s">
        <v>1372</v>
      </c>
      <c r="D4143" s="132" t="s">
        <v>284</v>
      </c>
      <c r="E4143" s="508">
        <v>0.19800000000000001</v>
      </c>
      <c r="F4143" s="508">
        <v>0.21</v>
      </c>
      <c r="G4143" s="508">
        <v>0.21</v>
      </c>
      <c r="H4143" s="508">
        <v>0.20699999999999999</v>
      </c>
      <c r="I4143" s="508">
        <v>0.20699999999999999</v>
      </c>
      <c r="J4143" s="508">
        <v>0.17699999999999999</v>
      </c>
      <c r="K4143" s="508">
        <v>0.126</v>
      </c>
      <c r="L4143" s="508">
        <v>0.126</v>
      </c>
      <c r="M4143" s="508">
        <v>0.126</v>
      </c>
      <c r="N4143" s="508">
        <v>0.14000000000000001</v>
      </c>
      <c r="O4143" s="508">
        <v>0.11600000000000001</v>
      </c>
      <c r="P4143" s="508">
        <v>8.5999999999999993E-2</v>
      </c>
      <c r="Q4143" s="508">
        <v>7.3999999999999996E-2</v>
      </c>
      <c r="R4143" s="508">
        <v>7.2999999999999995E-2</v>
      </c>
      <c r="S4143" s="508">
        <v>8.5000000000000006E-2</v>
      </c>
      <c r="T4143" s="508">
        <v>6.9000000000000006E-2</v>
      </c>
      <c r="U4143" s="508">
        <v>6.3E-2</v>
      </c>
      <c r="V4143" s="508">
        <v>3.5999999999999997E-2</v>
      </c>
      <c r="W4143" s="508">
        <v>4.5999999999999999E-2</v>
      </c>
      <c r="X4143" s="508">
        <v>2.5000000000000001E-2</v>
      </c>
      <c r="Y4143" s="508">
        <v>2.5000000000000001E-2</v>
      </c>
      <c r="Z4143" s="508">
        <v>2.1000000000000001E-2</v>
      </c>
      <c r="AA4143" s="508">
        <v>2.1000000000000001E-2</v>
      </c>
      <c r="AB4143" s="508">
        <v>1.9E-2</v>
      </c>
      <c r="AC4143" s="508">
        <v>1.9E-2</v>
      </c>
      <c r="AD4143" s="508">
        <v>1.7000000000000001E-2</v>
      </c>
      <c r="AE4143" s="508">
        <v>1.7000000000000001E-2</v>
      </c>
      <c r="AF4143" s="508">
        <v>1.0999999999999999E-2</v>
      </c>
      <c r="AG4143" s="508">
        <v>0.01</v>
      </c>
      <c r="AH4143" s="508">
        <v>0.01</v>
      </c>
      <c r="AI4143" s="492">
        <v>0.01</v>
      </c>
      <c r="AJ4143" s="485"/>
    </row>
    <row r="4144" spans="2:36">
      <c r="B4144" s="136" t="s">
        <v>478</v>
      </c>
      <c r="C4144" s="132" t="s">
        <v>1372</v>
      </c>
      <c r="D4144" s="132" t="s">
        <v>284</v>
      </c>
      <c r="E4144" s="508">
        <v>0.22</v>
      </c>
      <c r="F4144" s="508">
        <v>0.23799999999999999</v>
      </c>
      <c r="G4144" s="508">
        <v>0.23799999999999999</v>
      </c>
      <c r="H4144" s="508">
        <v>0.224</v>
      </c>
      <c r="I4144" s="508">
        <v>0.224</v>
      </c>
      <c r="J4144" s="508">
        <v>0.20399999999999999</v>
      </c>
      <c r="K4144" s="508">
        <v>0.14599999999999999</v>
      </c>
      <c r="L4144" s="508">
        <v>0.14599999999999999</v>
      </c>
      <c r="M4144" s="508">
        <v>0.14599999999999999</v>
      </c>
      <c r="N4144" s="508">
        <v>0.14699999999999999</v>
      </c>
      <c r="O4144" s="508">
        <v>0.13500000000000001</v>
      </c>
      <c r="P4144" s="508">
        <v>0.10199999999999999</v>
      </c>
      <c r="Q4144" s="508">
        <v>8.3000000000000004E-2</v>
      </c>
      <c r="R4144" s="508">
        <v>8.3000000000000004E-2</v>
      </c>
      <c r="S4144" s="508">
        <v>0.10199999999999999</v>
      </c>
      <c r="T4144" s="508">
        <v>8.3000000000000004E-2</v>
      </c>
      <c r="U4144" s="508">
        <v>7.2999999999999995E-2</v>
      </c>
      <c r="V4144" s="508">
        <v>0.04</v>
      </c>
      <c r="W4144" s="508">
        <v>5.2999999999999999E-2</v>
      </c>
      <c r="X4144" s="508">
        <v>2.5999999999999999E-2</v>
      </c>
      <c r="Y4144" s="508">
        <v>2.5999999999999999E-2</v>
      </c>
      <c r="Z4144" s="508">
        <v>2.1999999999999999E-2</v>
      </c>
      <c r="AA4144" s="508">
        <v>2.1999999999999999E-2</v>
      </c>
      <c r="AB4144" s="508">
        <v>1.9E-2</v>
      </c>
      <c r="AC4144" s="508">
        <v>1.9E-2</v>
      </c>
      <c r="AD4144" s="508">
        <v>1.7000000000000001E-2</v>
      </c>
      <c r="AE4144" s="508">
        <v>1.7000000000000001E-2</v>
      </c>
      <c r="AF4144" s="508">
        <v>1.0999999999999999E-2</v>
      </c>
      <c r="AG4144" s="508">
        <v>1.0999999999999999E-2</v>
      </c>
      <c r="AH4144" s="508">
        <v>1.0999999999999999E-2</v>
      </c>
      <c r="AI4144" s="492">
        <v>1.0999999999999999E-2</v>
      </c>
      <c r="AJ4144" s="485"/>
    </row>
    <row r="4145" spans="2:36">
      <c r="B4145" s="136" t="s">
        <v>479</v>
      </c>
      <c r="C4145" s="132" t="s">
        <v>1372</v>
      </c>
      <c r="D4145" s="132" t="s">
        <v>284</v>
      </c>
      <c r="E4145" s="508">
        <v>0.13300000000000001</v>
      </c>
      <c r="F4145" s="508">
        <v>0.14299999999999999</v>
      </c>
      <c r="G4145" s="508">
        <v>0.14299999999999999</v>
      </c>
      <c r="H4145" s="508">
        <v>0.14299999999999999</v>
      </c>
      <c r="I4145" s="508">
        <v>0.14299999999999999</v>
      </c>
      <c r="J4145" s="508">
        <v>0.121</v>
      </c>
      <c r="K4145" s="508">
        <v>8.4000000000000005E-2</v>
      </c>
      <c r="L4145" s="508">
        <v>8.4000000000000005E-2</v>
      </c>
      <c r="M4145" s="508">
        <v>8.4000000000000005E-2</v>
      </c>
      <c r="N4145" s="508">
        <v>9.9000000000000005E-2</v>
      </c>
      <c r="O4145" s="508">
        <v>7.8E-2</v>
      </c>
      <c r="P4145" s="508">
        <v>5.7000000000000002E-2</v>
      </c>
      <c r="Q4145" s="508">
        <v>5.0999999999999997E-2</v>
      </c>
      <c r="R4145" s="508">
        <v>0.05</v>
      </c>
      <c r="S4145" s="508">
        <v>5.7000000000000002E-2</v>
      </c>
      <c r="T4145" s="508">
        <v>4.7E-2</v>
      </c>
      <c r="U4145" s="508">
        <v>4.4999999999999998E-2</v>
      </c>
      <c r="V4145" s="508">
        <v>2.5000000000000001E-2</v>
      </c>
      <c r="W4145" s="508">
        <v>3.3000000000000002E-2</v>
      </c>
      <c r="X4145" s="508">
        <v>2.5000000000000001E-2</v>
      </c>
      <c r="Y4145" s="508">
        <v>2.5000000000000001E-2</v>
      </c>
      <c r="Z4145" s="508">
        <v>2.1000000000000001E-2</v>
      </c>
      <c r="AA4145" s="508">
        <v>2.1000000000000001E-2</v>
      </c>
      <c r="AB4145" s="508">
        <v>1.7999999999999999E-2</v>
      </c>
      <c r="AC4145" s="508">
        <v>1.7999999999999999E-2</v>
      </c>
      <c r="AD4145" s="508">
        <v>1.6E-2</v>
      </c>
      <c r="AE4145" s="508">
        <v>1.6E-2</v>
      </c>
      <c r="AF4145" s="508">
        <v>1.0999999999999999E-2</v>
      </c>
      <c r="AG4145" s="508">
        <v>0.01</v>
      </c>
      <c r="AH4145" s="508">
        <v>0.01</v>
      </c>
      <c r="AI4145" s="492">
        <v>0.01</v>
      </c>
      <c r="AJ4145" s="485"/>
    </row>
    <row r="4146" spans="2:36">
      <c r="B4146" s="136" t="s">
        <v>480</v>
      </c>
      <c r="C4146" s="132" t="s">
        <v>1372</v>
      </c>
      <c r="D4146" s="132" t="s">
        <v>284</v>
      </c>
      <c r="E4146" s="508">
        <v>0.22500000000000001</v>
      </c>
      <c r="F4146" s="508">
        <v>0.253</v>
      </c>
      <c r="G4146" s="508">
        <v>0.253</v>
      </c>
      <c r="H4146" s="508">
        <v>0.251</v>
      </c>
      <c r="I4146" s="508">
        <v>0.251</v>
      </c>
      <c r="J4146" s="508">
        <v>0.217</v>
      </c>
      <c r="K4146" s="508">
        <v>0.14099999999999999</v>
      </c>
      <c r="L4146" s="508">
        <v>0.14099999999999999</v>
      </c>
      <c r="M4146" s="508">
        <v>0.14099999999999999</v>
      </c>
      <c r="N4146" s="508">
        <v>0.183</v>
      </c>
      <c r="O4146" s="508">
        <v>0.13900000000000001</v>
      </c>
      <c r="P4146" s="508">
        <v>9.9000000000000005E-2</v>
      </c>
      <c r="Q4146" s="508">
        <v>9.0999999999999998E-2</v>
      </c>
      <c r="R4146" s="508">
        <v>8.8999999999999996E-2</v>
      </c>
      <c r="S4146" s="508">
        <v>0.10199999999999999</v>
      </c>
      <c r="T4146" s="508">
        <v>8.3000000000000004E-2</v>
      </c>
      <c r="U4146" s="508">
        <v>7.6999999999999999E-2</v>
      </c>
      <c r="V4146" s="508">
        <v>4.2999999999999997E-2</v>
      </c>
      <c r="W4146" s="508">
        <v>5.6000000000000001E-2</v>
      </c>
      <c r="X4146" s="508">
        <v>2.7E-2</v>
      </c>
      <c r="Y4146" s="508">
        <v>2.7E-2</v>
      </c>
      <c r="Z4146" s="508">
        <v>2.1999999999999999E-2</v>
      </c>
      <c r="AA4146" s="508">
        <v>2.1999999999999999E-2</v>
      </c>
      <c r="AB4146" s="508">
        <v>0.02</v>
      </c>
      <c r="AC4146" s="508">
        <v>0.02</v>
      </c>
      <c r="AD4146" s="508">
        <v>1.7999999999999999E-2</v>
      </c>
      <c r="AE4146" s="508">
        <v>1.7999999999999999E-2</v>
      </c>
      <c r="AF4146" s="508">
        <v>1.0999999999999999E-2</v>
      </c>
      <c r="AG4146" s="508">
        <v>1.0999999999999999E-2</v>
      </c>
      <c r="AH4146" s="508">
        <v>1.0999999999999999E-2</v>
      </c>
      <c r="AI4146" s="492">
        <v>1.0999999999999999E-2</v>
      </c>
      <c r="AJ4146" s="485"/>
    </row>
    <row r="4147" spans="2:36">
      <c r="B4147" s="136" t="s">
        <v>481</v>
      </c>
      <c r="C4147" s="132" t="s">
        <v>1372</v>
      </c>
      <c r="D4147" s="132" t="s">
        <v>284</v>
      </c>
      <c r="E4147" s="508">
        <v>0.155</v>
      </c>
      <c r="F4147" s="508">
        <v>0.16700000000000001</v>
      </c>
      <c r="G4147" s="508">
        <v>0.16700000000000001</v>
      </c>
      <c r="H4147" s="508">
        <v>0.16400000000000001</v>
      </c>
      <c r="I4147" s="508">
        <v>0.16400000000000001</v>
      </c>
      <c r="J4147" s="508">
        <v>0.14099999999999999</v>
      </c>
      <c r="K4147" s="508">
        <v>9.9000000000000005E-2</v>
      </c>
      <c r="L4147" s="508">
        <v>9.9000000000000005E-2</v>
      </c>
      <c r="M4147" s="508">
        <v>9.9000000000000005E-2</v>
      </c>
      <c r="N4147" s="508">
        <v>0.113</v>
      </c>
      <c r="O4147" s="508">
        <v>9.1999999999999998E-2</v>
      </c>
      <c r="P4147" s="508">
        <v>6.8000000000000005E-2</v>
      </c>
      <c r="Q4147" s="508">
        <v>5.8999999999999997E-2</v>
      </c>
      <c r="R4147" s="508">
        <v>5.8000000000000003E-2</v>
      </c>
      <c r="S4147" s="508">
        <v>6.8000000000000005E-2</v>
      </c>
      <c r="T4147" s="508">
        <v>5.5E-2</v>
      </c>
      <c r="U4147" s="508">
        <v>0.05</v>
      </c>
      <c r="V4147" s="508">
        <v>2.8000000000000001E-2</v>
      </c>
      <c r="W4147" s="508">
        <v>3.5999999999999997E-2</v>
      </c>
      <c r="X4147" s="508">
        <v>2.4E-2</v>
      </c>
      <c r="Y4147" s="508">
        <v>2.4E-2</v>
      </c>
      <c r="Z4147" s="508">
        <v>0.02</v>
      </c>
      <c r="AA4147" s="508">
        <v>0.02</v>
      </c>
      <c r="AB4147" s="508">
        <v>1.7999999999999999E-2</v>
      </c>
      <c r="AC4147" s="508">
        <v>1.7999999999999999E-2</v>
      </c>
      <c r="AD4147" s="508">
        <v>1.6E-2</v>
      </c>
      <c r="AE4147" s="508">
        <v>1.6E-2</v>
      </c>
      <c r="AF4147" s="508">
        <v>0.01</v>
      </c>
      <c r="AG4147" s="508">
        <v>0.01</v>
      </c>
      <c r="AH4147" s="508">
        <v>0.01</v>
      </c>
      <c r="AI4147" s="492">
        <v>0.01</v>
      </c>
      <c r="AJ4147" s="485"/>
    </row>
    <row r="4148" spans="2:36">
      <c r="B4148" s="136" t="s">
        <v>482</v>
      </c>
      <c r="C4148" s="132" t="s">
        <v>1372</v>
      </c>
      <c r="D4148" s="132" t="s">
        <v>284</v>
      </c>
      <c r="E4148" s="508">
        <v>0.11899999999999999</v>
      </c>
      <c r="F4148" s="508">
        <v>0.13</v>
      </c>
      <c r="G4148" s="508">
        <v>0.13</v>
      </c>
      <c r="H4148" s="508">
        <v>0.126</v>
      </c>
      <c r="I4148" s="508">
        <v>0.126</v>
      </c>
      <c r="J4148" s="508">
        <v>0.111</v>
      </c>
      <c r="K4148" s="508">
        <v>7.6999999999999999E-2</v>
      </c>
      <c r="L4148" s="508">
        <v>7.6999999999999999E-2</v>
      </c>
      <c r="M4148" s="508">
        <v>7.6999999999999999E-2</v>
      </c>
      <c r="N4148" s="508">
        <v>8.5999999999999993E-2</v>
      </c>
      <c r="O4148" s="508">
        <v>7.2999999999999995E-2</v>
      </c>
      <c r="P4148" s="508">
        <v>5.3999999999999999E-2</v>
      </c>
      <c r="Q4148" s="508">
        <v>4.5999999999999999E-2</v>
      </c>
      <c r="R4148" s="508">
        <v>4.5999999999999999E-2</v>
      </c>
      <c r="S4148" s="508">
        <v>5.3999999999999999E-2</v>
      </c>
      <c r="T4148" s="508">
        <v>4.3999999999999997E-2</v>
      </c>
      <c r="U4148" s="508">
        <v>0.04</v>
      </c>
      <c r="V4148" s="508">
        <v>2.1999999999999999E-2</v>
      </c>
      <c r="W4148" s="508">
        <v>2.9000000000000001E-2</v>
      </c>
      <c r="X4148" s="508">
        <v>2.5000000000000001E-2</v>
      </c>
      <c r="Y4148" s="508">
        <v>2.5000000000000001E-2</v>
      </c>
      <c r="Z4148" s="508">
        <v>0.02</v>
      </c>
      <c r="AA4148" s="508">
        <v>0.02</v>
      </c>
      <c r="AB4148" s="508">
        <v>1.7999999999999999E-2</v>
      </c>
      <c r="AC4148" s="508">
        <v>1.7999999999999999E-2</v>
      </c>
      <c r="AD4148" s="508">
        <v>1.6E-2</v>
      </c>
      <c r="AE4148" s="508">
        <v>1.6E-2</v>
      </c>
      <c r="AF4148" s="508">
        <v>0.01</v>
      </c>
      <c r="AG4148" s="508">
        <v>0.01</v>
      </c>
      <c r="AH4148" s="508">
        <v>0.01</v>
      </c>
      <c r="AI4148" s="492">
        <v>0.01</v>
      </c>
      <c r="AJ4148" s="485"/>
    </row>
    <row r="4149" spans="2:36">
      <c r="B4149" s="136" t="s">
        <v>483</v>
      </c>
      <c r="C4149" s="132" t="s">
        <v>1372</v>
      </c>
      <c r="D4149" s="132" t="s">
        <v>284</v>
      </c>
      <c r="E4149" s="508">
        <v>0.20699999999999999</v>
      </c>
      <c r="F4149" s="508">
        <v>0.222</v>
      </c>
      <c r="G4149" s="508">
        <v>0.222</v>
      </c>
      <c r="H4149" s="508">
        <v>0.21199999999999999</v>
      </c>
      <c r="I4149" s="508">
        <v>0.21199999999999999</v>
      </c>
      <c r="J4149" s="508">
        <v>0.189</v>
      </c>
      <c r="K4149" s="508">
        <v>0.13500000000000001</v>
      </c>
      <c r="L4149" s="508">
        <v>0.13500000000000001</v>
      </c>
      <c r="M4149" s="508">
        <v>0.13500000000000001</v>
      </c>
      <c r="N4149" s="508">
        <v>0.14000000000000001</v>
      </c>
      <c r="O4149" s="508">
        <v>0.124</v>
      </c>
      <c r="P4149" s="508">
        <v>9.4E-2</v>
      </c>
      <c r="Q4149" s="508">
        <v>7.8E-2</v>
      </c>
      <c r="R4149" s="508">
        <v>7.6999999999999999E-2</v>
      </c>
      <c r="S4149" s="508">
        <v>9.2999999999999999E-2</v>
      </c>
      <c r="T4149" s="508">
        <v>7.5999999999999998E-2</v>
      </c>
      <c r="U4149" s="508">
        <v>6.7000000000000004E-2</v>
      </c>
      <c r="V4149" s="508">
        <v>3.6999999999999998E-2</v>
      </c>
      <c r="W4149" s="508">
        <v>4.9000000000000002E-2</v>
      </c>
      <c r="X4149" s="508">
        <v>2.5000000000000001E-2</v>
      </c>
      <c r="Y4149" s="508">
        <v>2.5000000000000001E-2</v>
      </c>
      <c r="Z4149" s="508">
        <v>2.1000000000000001E-2</v>
      </c>
      <c r="AA4149" s="508">
        <v>2.1000000000000001E-2</v>
      </c>
      <c r="AB4149" s="508">
        <v>1.9E-2</v>
      </c>
      <c r="AC4149" s="508">
        <v>1.9E-2</v>
      </c>
      <c r="AD4149" s="508">
        <v>1.7000000000000001E-2</v>
      </c>
      <c r="AE4149" s="508">
        <v>1.7000000000000001E-2</v>
      </c>
      <c r="AF4149" s="508">
        <v>1.0999999999999999E-2</v>
      </c>
      <c r="AG4149" s="508">
        <v>1.0999999999999999E-2</v>
      </c>
      <c r="AH4149" s="508">
        <v>0.01</v>
      </c>
      <c r="AI4149" s="492">
        <v>0.01</v>
      </c>
      <c r="AJ4149" s="485"/>
    </row>
    <row r="4150" spans="2:36">
      <c r="B4150" s="136" t="s">
        <v>484</v>
      </c>
      <c r="C4150" s="132" t="s">
        <v>1372</v>
      </c>
      <c r="D4150" s="132" t="s">
        <v>284</v>
      </c>
      <c r="E4150" s="508">
        <v>0.22800000000000001</v>
      </c>
      <c r="F4150" s="508">
        <v>0.246</v>
      </c>
      <c r="G4150" s="508">
        <v>0.246</v>
      </c>
      <c r="H4150" s="508">
        <v>0.253</v>
      </c>
      <c r="I4150" s="508">
        <v>0.253</v>
      </c>
      <c r="J4150" s="508">
        <v>0.20599999999999999</v>
      </c>
      <c r="K4150" s="508">
        <v>0.13800000000000001</v>
      </c>
      <c r="L4150" s="508">
        <v>0.13800000000000001</v>
      </c>
      <c r="M4150" s="508">
        <v>0.13800000000000001</v>
      </c>
      <c r="N4150" s="508">
        <v>0.186</v>
      </c>
      <c r="O4150" s="508">
        <v>0.13100000000000001</v>
      </c>
      <c r="P4150" s="508">
        <v>9.2999999999999999E-2</v>
      </c>
      <c r="Q4150" s="508">
        <v>8.7999999999999995E-2</v>
      </c>
      <c r="R4150" s="508">
        <v>8.5999999999999993E-2</v>
      </c>
      <c r="S4150" s="508">
        <v>9.2999999999999999E-2</v>
      </c>
      <c r="T4150" s="508">
        <v>7.6999999999999999E-2</v>
      </c>
      <c r="U4150" s="508">
        <v>7.4999999999999997E-2</v>
      </c>
      <c r="V4150" s="508">
        <v>4.2999999999999997E-2</v>
      </c>
      <c r="W4150" s="508">
        <v>5.5E-2</v>
      </c>
      <c r="X4150" s="508">
        <v>2.7E-2</v>
      </c>
      <c r="Y4150" s="508">
        <v>2.7E-2</v>
      </c>
      <c r="Z4150" s="508">
        <v>2.1999999999999999E-2</v>
      </c>
      <c r="AA4150" s="508">
        <v>2.1999999999999999E-2</v>
      </c>
      <c r="AB4150" s="508">
        <v>0.02</v>
      </c>
      <c r="AC4150" s="508">
        <v>0.02</v>
      </c>
      <c r="AD4150" s="508">
        <v>1.7000000000000001E-2</v>
      </c>
      <c r="AE4150" s="508">
        <v>1.7000000000000001E-2</v>
      </c>
      <c r="AF4150" s="508">
        <v>1.0999999999999999E-2</v>
      </c>
      <c r="AG4150" s="508">
        <v>1.0999999999999999E-2</v>
      </c>
      <c r="AH4150" s="508">
        <v>1.0999999999999999E-2</v>
      </c>
      <c r="AI4150" s="492">
        <v>1.0999999999999999E-2</v>
      </c>
      <c r="AJ4150" s="485"/>
    </row>
    <row r="4151" spans="2:36">
      <c r="B4151" s="136" t="s">
        <v>486</v>
      </c>
      <c r="C4151" s="132" t="s">
        <v>1372</v>
      </c>
      <c r="D4151" s="132" t="s">
        <v>284</v>
      </c>
      <c r="E4151" s="508">
        <v>0.16800000000000001</v>
      </c>
      <c r="F4151" s="508">
        <v>0.183</v>
      </c>
      <c r="G4151" s="508">
        <v>0.183</v>
      </c>
      <c r="H4151" s="508">
        <v>0.17799999999999999</v>
      </c>
      <c r="I4151" s="508">
        <v>0.17799999999999999</v>
      </c>
      <c r="J4151" s="508">
        <v>0.155</v>
      </c>
      <c r="K4151" s="508">
        <v>0.108</v>
      </c>
      <c r="L4151" s="508">
        <v>0.108</v>
      </c>
      <c r="M4151" s="508">
        <v>0.108</v>
      </c>
      <c r="N4151" s="508">
        <v>0.121</v>
      </c>
      <c r="O4151" s="508">
        <v>0.10100000000000001</v>
      </c>
      <c r="P4151" s="508">
        <v>7.4999999999999997E-2</v>
      </c>
      <c r="Q4151" s="508">
        <v>6.4000000000000001E-2</v>
      </c>
      <c r="R4151" s="508">
        <v>6.4000000000000001E-2</v>
      </c>
      <c r="S4151" s="508">
        <v>7.5999999999999998E-2</v>
      </c>
      <c r="T4151" s="508">
        <v>6.0999999999999999E-2</v>
      </c>
      <c r="U4151" s="508">
        <v>5.7000000000000002E-2</v>
      </c>
      <c r="V4151" s="508">
        <v>3.2000000000000001E-2</v>
      </c>
      <c r="W4151" s="508">
        <v>4.2000000000000003E-2</v>
      </c>
      <c r="X4151" s="508">
        <v>2.5999999999999999E-2</v>
      </c>
      <c r="Y4151" s="508">
        <v>2.5999999999999999E-2</v>
      </c>
      <c r="Z4151" s="508">
        <v>2.1000000000000001E-2</v>
      </c>
      <c r="AA4151" s="508">
        <v>2.1000000000000001E-2</v>
      </c>
      <c r="AB4151" s="508">
        <v>1.9E-2</v>
      </c>
      <c r="AC4151" s="508">
        <v>1.9E-2</v>
      </c>
      <c r="AD4151" s="508">
        <v>1.7000000000000001E-2</v>
      </c>
      <c r="AE4151" s="508">
        <v>1.7000000000000001E-2</v>
      </c>
      <c r="AF4151" s="508">
        <v>1.0999999999999999E-2</v>
      </c>
      <c r="AG4151" s="508">
        <v>1.0999999999999999E-2</v>
      </c>
      <c r="AH4151" s="508">
        <v>1.0999999999999999E-2</v>
      </c>
      <c r="AI4151" s="492">
        <v>1.0999999999999999E-2</v>
      </c>
      <c r="AJ4151" s="485"/>
    </row>
    <row r="4152" spans="2:36">
      <c r="B4152" s="136" t="s">
        <v>487</v>
      </c>
      <c r="C4152" s="132" t="s">
        <v>1372</v>
      </c>
      <c r="D4152" s="132" t="s">
        <v>284</v>
      </c>
      <c r="E4152" s="508">
        <v>0.218</v>
      </c>
      <c r="F4152" s="508">
        <v>0.24199999999999999</v>
      </c>
      <c r="G4152" s="508">
        <v>0.24199999999999999</v>
      </c>
      <c r="H4152" s="508">
        <v>0.22900000000000001</v>
      </c>
      <c r="I4152" s="508">
        <v>0.22900000000000001</v>
      </c>
      <c r="J4152" s="508">
        <v>0.20899999999999999</v>
      </c>
      <c r="K4152" s="508">
        <v>0.14399999999999999</v>
      </c>
      <c r="L4152" s="508">
        <v>0.14399999999999999</v>
      </c>
      <c r="M4152" s="508">
        <v>0.14399999999999999</v>
      </c>
      <c r="N4152" s="508">
        <v>0.155</v>
      </c>
      <c r="O4152" s="508">
        <v>0.13700000000000001</v>
      </c>
      <c r="P4152" s="508">
        <v>0.10199999999999999</v>
      </c>
      <c r="Q4152" s="508">
        <v>8.5000000000000006E-2</v>
      </c>
      <c r="R4152" s="508">
        <v>8.5000000000000006E-2</v>
      </c>
      <c r="S4152" s="508">
        <v>0.104</v>
      </c>
      <c r="T4152" s="508">
        <v>8.4000000000000005E-2</v>
      </c>
      <c r="U4152" s="508">
        <v>7.3999999999999996E-2</v>
      </c>
      <c r="V4152" s="508">
        <v>4.1000000000000002E-2</v>
      </c>
      <c r="W4152" s="508">
        <v>5.3999999999999999E-2</v>
      </c>
      <c r="X4152" s="508">
        <v>2.7E-2</v>
      </c>
      <c r="Y4152" s="508">
        <v>2.7E-2</v>
      </c>
      <c r="Z4152" s="508">
        <v>2.1999999999999999E-2</v>
      </c>
      <c r="AA4152" s="508">
        <v>2.1999999999999999E-2</v>
      </c>
      <c r="AB4152" s="508">
        <v>0.02</v>
      </c>
      <c r="AC4152" s="508">
        <v>0.02</v>
      </c>
      <c r="AD4152" s="508">
        <v>1.7000000000000001E-2</v>
      </c>
      <c r="AE4152" s="508">
        <v>1.7000000000000001E-2</v>
      </c>
      <c r="AF4152" s="508">
        <v>1.0999999999999999E-2</v>
      </c>
      <c r="AG4152" s="508">
        <v>1.0999999999999999E-2</v>
      </c>
      <c r="AH4152" s="508">
        <v>1.0999999999999999E-2</v>
      </c>
      <c r="AI4152" s="492">
        <v>1.0999999999999999E-2</v>
      </c>
      <c r="AJ4152" s="485"/>
    </row>
    <row r="4153" spans="2:36">
      <c r="B4153" s="136" t="s">
        <v>488</v>
      </c>
      <c r="C4153" s="132" t="s">
        <v>1372</v>
      </c>
      <c r="D4153" s="132" t="s">
        <v>284</v>
      </c>
      <c r="E4153" s="508">
        <v>0.17899999999999999</v>
      </c>
      <c r="F4153" s="508">
        <v>0.19700000000000001</v>
      </c>
      <c r="G4153" s="508">
        <v>0.19700000000000001</v>
      </c>
      <c r="H4153" s="508">
        <v>0.19600000000000001</v>
      </c>
      <c r="I4153" s="508">
        <v>0.19600000000000001</v>
      </c>
      <c r="J4153" s="508">
        <v>0.16700000000000001</v>
      </c>
      <c r="K4153" s="508">
        <v>0.112</v>
      </c>
      <c r="L4153" s="508">
        <v>0.112</v>
      </c>
      <c r="M4153" s="508">
        <v>0.112</v>
      </c>
      <c r="N4153" s="508">
        <v>0.14199999999999999</v>
      </c>
      <c r="O4153" s="508">
        <v>0.107</v>
      </c>
      <c r="P4153" s="508">
        <v>7.6999999999999999E-2</v>
      </c>
      <c r="Q4153" s="508">
        <v>7.0000000000000007E-2</v>
      </c>
      <c r="R4153" s="508">
        <v>6.9000000000000006E-2</v>
      </c>
      <c r="S4153" s="508">
        <v>7.9000000000000001E-2</v>
      </c>
      <c r="T4153" s="508">
        <v>6.4000000000000001E-2</v>
      </c>
      <c r="U4153" s="508">
        <v>5.8000000000000003E-2</v>
      </c>
      <c r="V4153" s="508">
        <v>3.2000000000000001E-2</v>
      </c>
      <c r="W4153" s="508">
        <v>4.2000000000000003E-2</v>
      </c>
      <c r="X4153" s="508">
        <v>2.4E-2</v>
      </c>
      <c r="Y4153" s="508">
        <v>2.4E-2</v>
      </c>
      <c r="Z4153" s="508">
        <v>0.02</v>
      </c>
      <c r="AA4153" s="508">
        <v>0.02</v>
      </c>
      <c r="AB4153" s="508">
        <v>1.7999999999999999E-2</v>
      </c>
      <c r="AC4153" s="508">
        <v>1.7999999999999999E-2</v>
      </c>
      <c r="AD4153" s="508">
        <v>1.6E-2</v>
      </c>
      <c r="AE4153" s="508">
        <v>1.6E-2</v>
      </c>
      <c r="AF4153" s="508">
        <v>0.01</v>
      </c>
      <c r="AG4153" s="508">
        <v>0.01</v>
      </c>
      <c r="AH4153" s="508">
        <v>0.01</v>
      </c>
      <c r="AI4153" s="492">
        <v>0.01</v>
      </c>
      <c r="AJ4153" s="485"/>
    </row>
    <row r="4154" spans="2:36">
      <c r="B4154" s="136" t="s">
        <v>489</v>
      </c>
      <c r="C4154" s="132" t="s">
        <v>1372</v>
      </c>
      <c r="D4154" s="132" t="s">
        <v>284</v>
      </c>
      <c r="E4154" s="508">
        <v>0.22700000000000001</v>
      </c>
      <c r="F4154" s="508">
        <v>0.24199999999999999</v>
      </c>
      <c r="G4154" s="508">
        <v>0.24199999999999999</v>
      </c>
      <c r="H4154" s="508">
        <v>0.24299999999999999</v>
      </c>
      <c r="I4154" s="508">
        <v>0.24299999999999999</v>
      </c>
      <c r="J4154" s="508">
        <v>0.20200000000000001</v>
      </c>
      <c r="K4154" s="508">
        <v>0.14099999999999999</v>
      </c>
      <c r="L4154" s="508">
        <v>0.14099999999999999</v>
      </c>
      <c r="M4154" s="508">
        <v>0.14099999999999999</v>
      </c>
      <c r="N4154" s="508">
        <v>0.17199999999999999</v>
      </c>
      <c r="O4154" s="508">
        <v>0.13</v>
      </c>
      <c r="P4154" s="508">
        <v>9.5000000000000001E-2</v>
      </c>
      <c r="Q4154" s="508">
        <v>8.5999999999999993E-2</v>
      </c>
      <c r="R4154" s="508">
        <v>8.4000000000000005E-2</v>
      </c>
      <c r="S4154" s="508">
        <v>9.4E-2</v>
      </c>
      <c r="T4154" s="508">
        <v>7.6999999999999999E-2</v>
      </c>
      <c r="U4154" s="508">
        <v>7.0000000000000007E-2</v>
      </c>
      <c r="V4154" s="508">
        <v>0.04</v>
      </c>
      <c r="W4154" s="508">
        <v>5.0999999999999997E-2</v>
      </c>
      <c r="X4154" s="508">
        <v>2.5000000000000001E-2</v>
      </c>
      <c r="Y4154" s="508">
        <v>2.5000000000000001E-2</v>
      </c>
      <c r="Z4154" s="508">
        <v>0.02</v>
      </c>
      <c r="AA4154" s="508">
        <v>0.02</v>
      </c>
      <c r="AB4154" s="508">
        <v>1.7999999999999999E-2</v>
      </c>
      <c r="AC4154" s="508">
        <v>1.7999999999999999E-2</v>
      </c>
      <c r="AD4154" s="508">
        <v>1.6E-2</v>
      </c>
      <c r="AE4154" s="508">
        <v>1.6E-2</v>
      </c>
      <c r="AF4154" s="508">
        <v>0.01</v>
      </c>
      <c r="AG4154" s="508">
        <v>0.01</v>
      </c>
      <c r="AH4154" s="508">
        <v>0.01</v>
      </c>
      <c r="AI4154" s="492">
        <v>0.01</v>
      </c>
      <c r="AJ4154" s="485"/>
    </row>
    <row r="4155" spans="2:36">
      <c r="B4155" s="136" t="s">
        <v>490</v>
      </c>
      <c r="C4155" s="132" t="s">
        <v>1372</v>
      </c>
      <c r="D4155" s="132" t="s">
        <v>284</v>
      </c>
      <c r="E4155" s="508">
        <v>0.24099999999999999</v>
      </c>
      <c r="F4155" s="508">
        <v>0.27400000000000002</v>
      </c>
      <c r="G4155" s="508">
        <v>0.27400000000000002</v>
      </c>
      <c r="H4155" s="508">
        <v>0.26800000000000002</v>
      </c>
      <c r="I4155" s="508">
        <v>0.26800000000000002</v>
      </c>
      <c r="J4155" s="508">
        <v>0.23599999999999999</v>
      </c>
      <c r="K4155" s="508">
        <v>0.154</v>
      </c>
      <c r="L4155" s="508">
        <v>0.154</v>
      </c>
      <c r="M4155" s="508">
        <v>0.154</v>
      </c>
      <c r="N4155" s="508">
        <v>0.19500000000000001</v>
      </c>
      <c r="O4155" s="508">
        <v>0.152</v>
      </c>
      <c r="P4155" s="508">
        <v>0.109</v>
      </c>
      <c r="Q4155" s="508">
        <v>9.8000000000000004E-2</v>
      </c>
      <c r="R4155" s="508">
        <v>9.6000000000000002E-2</v>
      </c>
      <c r="S4155" s="508">
        <v>0.113</v>
      </c>
      <c r="T4155" s="508">
        <v>9.1999999999999998E-2</v>
      </c>
      <c r="U4155" s="508">
        <v>8.1000000000000003E-2</v>
      </c>
      <c r="V4155" s="508">
        <v>4.4999999999999998E-2</v>
      </c>
      <c r="W4155" s="508">
        <v>5.8999999999999997E-2</v>
      </c>
      <c r="X4155" s="508">
        <v>2.7E-2</v>
      </c>
      <c r="Y4155" s="508">
        <v>2.7E-2</v>
      </c>
      <c r="Z4155" s="508">
        <v>2.1999999999999999E-2</v>
      </c>
      <c r="AA4155" s="508">
        <v>2.1999999999999999E-2</v>
      </c>
      <c r="AB4155" s="508">
        <v>0.02</v>
      </c>
      <c r="AC4155" s="508">
        <v>0.02</v>
      </c>
      <c r="AD4155" s="508">
        <v>1.7000000000000001E-2</v>
      </c>
      <c r="AE4155" s="508">
        <v>1.7000000000000001E-2</v>
      </c>
      <c r="AF4155" s="508">
        <v>1.0999999999999999E-2</v>
      </c>
      <c r="AG4155" s="508">
        <v>1.0999999999999999E-2</v>
      </c>
      <c r="AH4155" s="508">
        <v>1.0999999999999999E-2</v>
      </c>
      <c r="AI4155" s="492">
        <v>1.0999999999999999E-2</v>
      </c>
      <c r="AJ4155" s="485"/>
    </row>
    <row r="4156" spans="2:36">
      <c r="B4156" s="136" t="s">
        <v>435</v>
      </c>
      <c r="C4156" s="132" t="s">
        <v>1373</v>
      </c>
      <c r="D4156" s="132" t="s">
        <v>284</v>
      </c>
      <c r="E4156" s="508">
        <v>1.9870000000000001</v>
      </c>
      <c r="F4156" s="508">
        <v>1.921</v>
      </c>
      <c r="G4156" s="508">
        <v>2.032</v>
      </c>
      <c r="H4156" s="508">
        <v>1.1679999999999999</v>
      </c>
      <c r="I4156" s="508">
        <v>1.1839999999999999</v>
      </c>
      <c r="J4156" s="508">
        <v>1.125</v>
      </c>
      <c r="K4156" s="508">
        <v>0.67600000000000005</v>
      </c>
      <c r="L4156" s="508">
        <v>0.71799999999999997</v>
      </c>
      <c r="M4156" s="508">
        <v>0.69699999999999995</v>
      </c>
      <c r="N4156" s="508">
        <v>1.034</v>
      </c>
      <c r="O4156" s="508">
        <v>1.0109999999999999</v>
      </c>
      <c r="P4156" s="508">
        <v>0.96299999999999997</v>
      </c>
      <c r="Q4156" s="508">
        <v>0.95099999999999996</v>
      </c>
      <c r="R4156" s="508">
        <v>0.56100000000000005</v>
      </c>
      <c r="S4156" s="508">
        <v>0.54500000000000004</v>
      </c>
      <c r="T4156" s="508">
        <v>0.55700000000000005</v>
      </c>
      <c r="U4156" s="508">
        <v>0.54700000000000004</v>
      </c>
      <c r="V4156" s="508">
        <v>0.55200000000000005</v>
      </c>
      <c r="W4156" s="508">
        <v>0.502</v>
      </c>
      <c r="X4156" s="508">
        <v>0.498</v>
      </c>
      <c r="Y4156" s="508">
        <v>0.504</v>
      </c>
      <c r="Z4156" s="508">
        <v>0.503</v>
      </c>
      <c r="AA4156" s="508">
        <v>2.1000000000000001E-2</v>
      </c>
      <c r="AB4156" s="508">
        <v>0.02</v>
      </c>
      <c r="AC4156" s="508">
        <v>2.1000000000000001E-2</v>
      </c>
      <c r="AD4156" s="508">
        <v>1.9E-2</v>
      </c>
      <c r="AE4156" s="508">
        <v>1.9E-2</v>
      </c>
      <c r="AF4156" s="508">
        <v>1.0999999999999999E-2</v>
      </c>
      <c r="AG4156" s="508">
        <v>1.0999999999999999E-2</v>
      </c>
      <c r="AH4156" s="508">
        <v>1.0999999999999999E-2</v>
      </c>
      <c r="AI4156" s="492">
        <v>1.0999999999999999E-2</v>
      </c>
      <c r="AJ4156" s="485"/>
    </row>
    <row r="4157" spans="2:36">
      <c r="B4157" s="136" t="s">
        <v>436</v>
      </c>
      <c r="C4157" s="132" t="s">
        <v>1373</v>
      </c>
      <c r="D4157" s="132" t="s">
        <v>284</v>
      </c>
      <c r="E4157" s="508">
        <v>1.9390000000000001</v>
      </c>
      <c r="F4157" s="508">
        <v>1.875</v>
      </c>
      <c r="G4157" s="508">
        <v>1.9850000000000001</v>
      </c>
      <c r="H4157" s="508">
        <v>1.1319999999999999</v>
      </c>
      <c r="I4157" s="508">
        <v>1.1479999999999999</v>
      </c>
      <c r="J4157" s="508">
        <v>1.091</v>
      </c>
      <c r="K4157" s="508">
        <v>0.64500000000000002</v>
      </c>
      <c r="L4157" s="508">
        <v>0.69099999999999995</v>
      </c>
      <c r="M4157" s="508">
        <v>0.66900000000000004</v>
      </c>
      <c r="N4157" s="508">
        <v>0.98499999999999999</v>
      </c>
      <c r="O4157" s="508">
        <v>0.96499999999999997</v>
      </c>
      <c r="P4157" s="508">
        <v>0.92400000000000004</v>
      </c>
      <c r="Q4157" s="508">
        <v>0.91300000000000003</v>
      </c>
      <c r="R4157" s="508">
        <v>0.54100000000000004</v>
      </c>
      <c r="S4157" s="508">
        <v>0.52600000000000002</v>
      </c>
      <c r="T4157" s="508">
        <v>0.53700000000000003</v>
      </c>
      <c r="U4157" s="508">
        <v>0.52800000000000002</v>
      </c>
      <c r="V4157" s="508">
        <v>0.53300000000000003</v>
      </c>
      <c r="W4157" s="508">
        <v>0.48399999999999999</v>
      </c>
      <c r="X4157" s="508">
        <v>0.48099999999999998</v>
      </c>
      <c r="Y4157" s="508">
        <v>0.48599999999999999</v>
      </c>
      <c r="Z4157" s="508">
        <v>0.48499999999999999</v>
      </c>
      <c r="AA4157" s="508">
        <v>2.1000000000000001E-2</v>
      </c>
      <c r="AB4157" s="508">
        <v>1.9E-2</v>
      </c>
      <c r="AC4157" s="508">
        <v>2.1000000000000001E-2</v>
      </c>
      <c r="AD4157" s="508">
        <v>1.9E-2</v>
      </c>
      <c r="AE4157" s="508">
        <v>1.7999999999999999E-2</v>
      </c>
      <c r="AF4157" s="508">
        <v>1.0999999999999999E-2</v>
      </c>
      <c r="AG4157" s="508">
        <v>1.0999999999999999E-2</v>
      </c>
      <c r="AH4157" s="508">
        <v>1.0999999999999999E-2</v>
      </c>
      <c r="AI4157" s="492">
        <v>1.0999999999999999E-2</v>
      </c>
      <c r="AJ4157" s="485"/>
    </row>
    <row r="4158" spans="2:36">
      <c r="B4158" s="136" t="s">
        <v>437</v>
      </c>
      <c r="C4158" s="132" t="s">
        <v>1373</v>
      </c>
      <c r="D4158" s="132" t="s">
        <v>284</v>
      </c>
      <c r="E4158" s="508">
        <v>2.0070000000000001</v>
      </c>
      <c r="F4158" s="508">
        <v>1.9410000000000001</v>
      </c>
      <c r="G4158" s="508">
        <v>2.0539999999999998</v>
      </c>
      <c r="H4158" s="508">
        <v>1.1919999999999999</v>
      </c>
      <c r="I4158" s="508">
        <v>1.208</v>
      </c>
      <c r="J4158" s="508">
        <v>1.149</v>
      </c>
      <c r="K4158" s="508">
        <v>0.7</v>
      </c>
      <c r="L4158" s="508">
        <v>0.74299999999999999</v>
      </c>
      <c r="M4158" s="508">
        <v>0.72199999999999998</v>
      </c>
      <c r="N4158" s="508">
        <v>1.07</v>
      </c>
      <c r="O4158" s="508">
        <v>1.0469999999999999</v>
      </c>
      <c r="P4158" s="508">
        <v>1.002</v>
      </c>
      <c r="Q4158" s="508">
        <v>0.99</v>
      </c>
      <c r="R4158" s="508">
        <v>0.56999999999999995</v>
      </c>
      <c r="S4158" s="508">
        <v>0.55100000000000005</v>
      </c>
      <c r="T4158" s="508">
        <v>0.56599999999999995</v>
      </c>
      <c r="U4158" s="508">
        <v>0.55500000000000005</v>
      </c>
      <c r="V4158" s="508">
        <v>0.56000000000000005</v>
      </c>
      <c r="W4158" s="508">
        <v>0.51</v>
      </c>
      <c r="X4158" s="508">
        <v>0.505</v>
      </c>
      <c r="Y4158" s="508">
        <v>0.51200000000000001</v>
      </c>
      <c r="Z4158" s="508">
        <v>0.51100000000000001</v>
      </c>
      <c r="AA4158" s="508">
        <v>2.1999999999999999E-2</v>
      </c>
      <c r="AB4158" s="508">
        <v>0.02</v>
      </c>
      <c r="AC4158" s="508">
        <v>2.1999999999999999E-2</v>
      </c>
      <c r="AD4158" s="508">
        <v>0.02</v>
      </c>
      <c r="AE4158" s="508">
        <v>1.9E-2</v>
      </c>
      <c r="AF4158" s="508">
        <v>1.2E-2</v>
      </c>
      <c r="AG4158" s="508">
        <v>1.0999999999999999E-2</v>
      </c>
      <c r="AH4158" s="508">
        <v>1.0999999999999999E-2</v>
      </c>
      <c r="AI4158" s="492">
        <v>1.0999999999999999E-2</v>
      </c>
      <c r="AJ4158" s="485"/>
    </row>
    <row r="4159" spans="2:36">
      <c r="B4159" s="136" t="s">
        <v>438</v>
      </c>
      <c r="C4159" s="132" t="s">
        <v>1373</v>
      </c>
      <c r="D4159" s="132" t="s">
        <v>284</v>
      </c>
      <c r="E4159" s="508">
        <v>1.9179999999999999</v>
      </c>
      <c r="F4159" s="508">
        <v>1.8540000000000001</v>
      </c>
      <c r="G4159" s="508">
        <v>1.9630000000000001</v>
      </c>
      <c r="H4159" s="508">
        <v>1.1120000000000001</v>
      </c>
      <c r="I4159" s="508">
        <v>1.1279999999999999</v>
      </c>
      <c r="J4159" s="508">
        <v>1.071</v>
      </c>
      <c r="K4159" s="508">
        <v>0.625</v>
      </c>
      <c r="L4159" s="508">
        <v>0.67100000000000004</v>
      </c>
      <c r="M4159" s="508">
        <v>0.64900000000000002</v>
      </c>
      <c r="N4159" s="508">
        <v>0.95299999999999996</v>
      </c>
      <c r="O4159" s="508">
        <v>0.93300000000000005</v>
      </c>
      <c r="P4159" s="508">
        <v>0.89500000000000002</v>
      </c>
      <c r="Q4159" s="508">
        <v>0.88500000000000001</v>
      </c>
      <c r="R4159" s="508">
        <v>0.53100000000000003</v>
      </c>
      <c r="S4159" s="508">
        <v>0.51700000000000002</v>
      </c>
      <c r="T4159" s="508">
        <v>0.52800000000000002</v>
      </c>
      <c r="U4159" s="508">
        <v>0.51900000000000002</v>
      </c>
      <c r="V4159" s="508">
        <v>0.52300000000000002</v>
      </c>
      <c r="W4159" s="508">
        <v>0.47599999999999998</v>
      </c>
      <c r="X4159" s="508">
        <v>0.47199999999999998</v>
      </c>
      <c r="Y4159" s="508">
        <v>0.47699999999999998</v>
      </c>
      <c r="Z4159" s="508">
        <v>0.47599999999999998</v>
      </c>
      <c r="AA4159" s="508">
        <v>0.02</v>
      </c>
      <c r="AB4159" s="508">
        <v>1.9E-2</v>
      </c>
      <c r="AC4159" s="508">
        <v>2.1000000000000001E-2</v>
      </c>
      <c r="AD4159" s="508">
        <v>1.7999999999999999E-2</v>
      </c>
      <c r="AE4159" s="508">
        <v>1.7999999999999999E-2</v>
      </c>
      <c r="AF4159" s="508">
        <v>1.0999999999999999E-2</v>
      </c>
      <c r="AG4159" s="508">
        <v>1.0999999999999999E-2</v>
      </c>
      <c r="AH4159" s="508">
        <v>1.0999999999999999E-2</v>
      </c>
      <c r="AI4159" s="492">
        <v>1.0999999999999999E-2</v>
      </c>
      <c r="AJ4159" s="485"/>
    </row>
    <row r="4160" spans="2:36">
      <c r="B4160" s="136" t="s">
        <v>439</v>
      </c>
      <c r="C4160" s="132" t="s">
        <v>1373</v>
      </c>
      <c r="D4160" s="132" t="s">
        <v>284</v>
      </c>
      <c r="E4160" s="508">
        <v>2.0110000000000001</v>
      </c>
      <c r="F4160" s="508">
        <v>1.9450000000000001</v>
      </c>
      <c r="G4160" s="508">
        <v>2.0579999999999998</v>
      </c>
      <c r="H4160" s="508">
        <v>1.194</v>
      </c>
      <c r="I4160" s="508">
        <v>1.21</v>
      </c>
      <c r="J4160" s="508">
        <v>1.1519999999999999</v>
      </c>
      <c r="K4160" s="508">
        <v>0.69799999999999995</v>
      </c>
      <c r="L4160" s="508">
        <v>0.74199999999999999</v>
      </c>
      <c r="M4160" s="508">
        <v>0.72</v>
      </c>
      <c r="N4160" s="508">
        <v>1.0649999999999999</v>
      </c>
      <c r="O4160" s="508">
        <v>1.044</v>
      </c>
      <c r="P4160" s="508">
        <v>1.0009999999999999</v>
      </c>
      <c r="Q4160" s="508">
        <v>0.99</v>
      </c>
      <c r="R4160" s="508">
        <v>0.56899999999999995</v>
      </c>
      <c r="S4160" s="508">
        <v>0.55000000000000004</v>
      </c>
      <c r="T4160" s="508">
        <v>0.56499999999999995</v>
      </c>
      <c r="U4160" s="508">
        <v>0.55400000000000005</v>
      </c>
      <c r="V4160" s="508">
        <v>0.55900000000000005</v>
      </c>
      <c r="W4160" s="508">
        <v>0.50900000000000001</v>
      </c>
      <c r="X4160" s="508">
        <v>0.504</v>
      </c>
      <c r="Y4160" s="508">
        <v>0.51100000000000001</v>
      </c>
      <c r="Z4160" s="508">
        <v>0.51</v>
      </c>
      <c r="AA4160" s="508">
        <v>2.1999999999999999E-2</v>
      </c>
      <c r="AB4160" s="508">
        <v>0.02</v>
      </c>
      <c r="AC4160" s="508">
        <v>2.1999999999999999E-2</v>
      </c>
      <c r="AD4160" s="508">
        <v>0.02</v>
      </c>
      <c r="AE4160" s="508">
        <v>1.9E-2</v>
      </c>
      <c r="AF4160" s="508">
        <v>1.2E-2</v>
      </c>
      <c r="AG4160" s="508">
        <v>1.0999999999999999E-2</v>
      </c>
      <c r="AH4160" s="508">
        <v>1.0999999999999999E-2</v>
      </c>
      <c r="AI4160" s="492">
        <v>1.0999999999999999E-2</v>
      </c>
      <c r="AJ4160" s="485"/>
    </row>
    <row r="4161" spans="2:36">
      <c r="B4161" s="136" t="s">
        <v>440</v>
      </c>
      <c r="C4161" s="132" t="s">
        <v>1373</v>
      </c>
      <c r="D4161" s="132" t="s">
        <v>284</v>
      </c>
      <c r="E4161" s="508">
        <v>1.9850000000000001</v>
      </c>
      <c r="F4161" s="508">
        <v>1.919</v>
      </c>
      <c r="G4161" s="508">
        <v>2.0310000000000001</v>
      </c>
      <c r="H4161" s="508">
        <v>1.17</v>
      </c>
      <c r="I4161" s="508">
        <v>1.1870000000000001</v>
      </c>
      <c r="J4161" s="508">
        <v>1.1279999999999999</v>
      </c>
      <c r="K4161" s="508">
        <v>0.67800000000000005</v>
      </c>
      <c r="L4161" s="508">
        <v>0.72299999999999998</v>
      </c>
      <c r="M4161" s="508">
        <v>0.70099999999999996</v>
      </c>
      <c r="N4161" s="508">
        <v>1.036</v>
      </c>
      <c r="O4161" s="508">
        <v>1.0149999999999999</v>
      </c>
      <c r="P4161" s="508">
        <v>0.97199999999999998</v>
      </c>
      <c r="Q4161" s="508">
        <v>0.96099999999999997</v>
      </c>
      <c r="R4161" s="508">
        <v>0.55900000000000005</v>
      </c>
      <c r="S4161" s="508">
        <v>0.54200000000000004</v>
      </c>
      <c r="T4161" s="508">
        <v>0.55500000000000005</v>
      </c>
      <c r="U4161" s="508">
        <v>0.54500000000000004</v>
      </c>
      <c r="V4161" s="508">
        <v>0.55000000000000004</v>
      </c>
      <c r="W4161" s="508">
        <v>0.5</v>
      </c>
      <c r="X4161" s="508">
        <v>0.496</v>
      </c>
      <c r="Y4161" s="508">
        <v>0.502</v>
      </c>
      <c r="Z4161" s="508">
        <v>0.501</v>
      </c>
      <c r="AA4161" s="508">
        <v>2.1000000000000001E-2</v>
      </c>
      <c r="AB4161" s="508">
        <v>0.02</v>
      </c>
      <c r="AC4161" s="508">
        <v>2.1999999999999999E-2</v>
      </c>
      <c r="AD4161" s="508">
        <v>1.9E-2</v>
      </c>
      <c r="AE4161" s="508">
        <v>1.9E-2</v>
      </c>
      <c r="AF4161" s="508">
        <v>1.0999999999999999E-2</v>
      </c>
      <c r="AG4161" s="508">
        <v>1.0999999999999999E-2</v>
      </c>
      <c r="AH4161" s="508">
        <v>1.0999999999999999E-2</v>
      </c>
      <c r="AI4161" s="492">
        <v>1.0999999999999999E-2</v>
      </c>
      <c r="AJ4161" s="485"/>
    </row>
    <row r="4162" spans="2:36">
      <c r="B4162" s="136" t="s">
        <v>441</v>
      </c>
      <c r="C4162" s="132" t="s">
        <v>1373</v>
      </c>
      <c r="D4162" s="132" t="s">
        <v>284</v>
      </c>
      <c r="E4162" s="508">
        <v>2.0169999999999999</v>
      </c>
      <c r="F4162" s="508">
        <v>1.95</v>
      </c>
      <c r="G4162" s="508">
        <v>2.0640000000000001</v>
      </c>
      <c r="H4162" s="508">
        <v>1.1990000000000001</v>
      </c>
      <c r="I4162" s="508">
        <v>1.2150000000000001</v>
      </c>
      <c r="J4162" s="508">
        <v>1.157</v>
      </c>
      <c r="K4162" s="508">
        <v>0.70099999999999996</v>
      </c>
      <c r="L4162" s="508">
        <v>0.746</v>
      </c>
      <c r="M4162" s="508">
        <v>0.72399999999999998</v>
      </c>
      <c r="N4162" s="508">
        <v>1.07</v>
      </c>
      <c r="O4162" s="508">
        <v>1.0489999999999999</v>
      </c>
      <c r="P4162" s="508">
        <v>1.0069999999999999</v>
      </c>
      <c r="Q4162" s="508">
        <v>0.996</v>
      </c>
      <c r="R4162" s="508">
        <v>0.57099999999999995</v>
      </c>
      <c r="S4162" s="508">
        <v>0.55200000000000005</v>
      </c>
      <c r="T4162" s="508">
        <v>0.56599999999999995</v>
      </c>
      <c r="U4162" s="508">
        <v>0.55500000000000005</v>
      </c>
      <c r="V4162" s="508">
        <v>0.56100000000000005</v>
      </c>
      <c r="W4162" s="508">
        <v>0.51100000000000001</v>
      </c>
      <c r="X4162" s="508">
        <v>0.50600000000000001</v>
      </c>
      <c r="Y4162" s="508">
        <v>0.51200000000000001</v>
      </c>
      <c r="Z4162" s="508">
        <v>0.51200000000000001</v>
      </c>
      <c r="AA4162" s="508">
        <v>2.1999999999999999E-2</v>
      </c>
      <c r="AB4162" s="508">
        <v>0.02</v>
      </c>
      <c r="AC4162" s="508">
        <v>2.1999999999999999E-2</v>
      </c>
      <c r="AD4162" s="508">
        <v>0.02</v>
      </c>
      <c r="AE4162" s="508">
        <v>1.9E-2</v>
      </c>
      <c r="AF4162" s="508">
        <v>1.2E-2</v>
      </c>
      <c r="AG4162" s="508">
        <v>1.0999999999999999E-2</v>
      </c>
      <c r="AH4162" s="508">
        <v>1.0999999999999999E-2</v>
      </c>
      <c r="AI4162" s="492">
        <v>1.0999999999999999E-2</v>
      </c>
      <c r="AJ4162" s="485"/>
    </row>
    <row r="4163" spans="2:36">
      <c r="B4163" s="136" t="s">
        <v>443</v>
      </c>
      <c r="C4163" s="132" t="s">
        <v>1373</v>
      </c>
      <c r="D4163" s="132" t="s">
        <v>284</v>
      </c>
      <c r="E4163" s="508">
        <v>2.0630000000000002</v>
      </c>
      <c r="F4163" s="508">
        <v>1.996</v>
      </c>
      <c r="G4163" s="508">
        <v>2.11</v>
      </c>
      <c r="H4163" s="508">
        <v>1.2290000000000001</v>
      </c>
      <c r="I4163" s="508">
        <v>1.2470000000000001</v>
      </c>
      <c r="J4163" s="508">
        <v>1.1839999999999999</v>
      </c>
      <c r="K4163" s="508">
        <v>0.72799999999999998</v>
      </c>
      <c r="L4163" s="508">
        <v>0.76700000000000002</v>
      </c>
      <c r="M4163" s="508">
        <v>0.748</v>
      </c>
      <c r="N4163" s="508">
        <v>1.119</v>
      </c>
      <c r="O4163" s="508">
        <v>1.0920000000000001</v>
      </c>
      <c r="P4163" s="508">
        <v>1.036</v>
      </c>
      <c r="Q4163" s="508">
        <v>1.0209999999999999</v>
      </c>
      <c r="R4163" s="508">
        <v>0.59299999999999997</v>
      </c>
      <c r="S4163" s="508">
        <v>0.57399999999999995</v>
      </c>
      <c r="T4163" s="508">
        <v>0.58899999999999997</v>
      </c>
      <c r="U4163" s="508">
        <v>0.57699999999999996</v>
      </c>
      <c r="V4163" s="508">
        <v>0.58299999999999996</v>
      </c>
      <c r="W4163" s="508">
        <v>0.53100000000000003</v>
      </c>
      <c r="X4163" s="508">
        <v>0.52600000000000002</v>
      </c>
      <c r="Y4163" s="508">
        <v>0.53200000000000003</v>
      </c>
      <c r="Z4163" s="508">
        <v>0.53200000000000003</v>
      </c>
      <c r="AA4163" s="508">
        <v>2.1999999999999999E-2</v>
      </c>
      <c r="AB4163" s="508">
        <v>2.1000000000000001E-2</v>
      </c>
      <c r="AC4163" s="508">
        <v>2.3E-2</v>
      </c>
      <c r="AD4163" s="508">
        <v>0.02</v>
      </c>
      <c r="AE4163" s="508">
        <v>1.9E-2</v>
      </c>
      <c r="AF4163" s="508">
        <v>1.2E-2</v>
      </c>
      <c r="AG4163" s="508">
        <v>1.2E-2</v>
      </c>
      <c r="AH4163" s="508">
        <v>1.2E-2</v>
      </c>
      <c r="AI4163" s="492">
        <v>1.2E-2</v>
      </c>
      <c r="AJ4163" s="485"/>
    </row>
    <row r="4164" spans="2:36">
      <c r="B4164" s="136" t="s">
        <v>445</v>
      </c>
      <c r="C4164" s="132" t="s">
        <v>1373</v>
      </c>
      <c r="D4164" s="132" t="s">
        <v>284</v>
      </c>
      <c r="E4164" s="508">
        <v>2.202</v>
      </c>
      <c r="F4164" s="508">
        <v>2.1309999999999998</v>
      </c>
      <c r="G4164" s="508">
        <v>2.2519999999999998</v>
      </c>
      <c r="H4164" s="508">
        <v>1.355</v>
      </c>
      <c r="I4164" s="508">
        <v>1.3740000000000001</v>
      </c>
      <c r="J4164" s="508">
        <v>1.3080000000000001</v>
      </c>
      <c r="K4164" s="508">
        <v>0.85</v>
      </c>
      <c r="L4164" s="508">
        <v>0.88200000000000001</v>
      </c>
      <c r="M4164" s="508">
        <v>0.86599999999999999</v>
      </c>
      <c r="N4164" s="508">
        <v>1.3069999999999999</v>
      </c>
      <c r="O4164" s="508">
        <v>1.274</v>
      </c>
      <c r="P4164" s="508">
        <v>1.2070000000000001</v>
      </c>
      <c r="Q4164" s="508">
        <v>1.19</v>
      </c>
      <c r="R4164" s="508">
        <v>0.65500000000000003</v>
      </c>
      <c r="S4164" s="508">
        <v>0.628</v>
      </c>
      <c r="T4164" s="508">
        <v>0.64900000000000002</v>
      </c>
      <c r="U4164" s="508">
        <v>0.63300000000000001</v>
      </c>
      <c r="V4164" s="508">
        <v>0.64100000000000001</v>
      </c>
      <c r="W4164" s="508">
        <v>0.58499999999999996</v>
      </c>
      <c r="X4164" s="508">
        <v>0.57899999999999996</v>
      </c>
      <c r="Y4164" s="508">
        <v>0.58799999999999997</v>
      </c>
      <c r="Z4164" s="508">
        <v>0.58699999999999997</v>
      </c>
      <c r="AA4164" s="508">
        <v>2.4E-2</v>
      </c>
      <c r="AB4164" s="508">
        <v>2.3E-2</v>
      </c>
      <c r="AC4164" s="508">
        <v>2.5000000000000001E-2</v>
      </c>
      <c r="AD4164" s="508">
        <v>2.1999999999999999E-2</v>
      </c>
      <c r="AE4164" s="508">
        <v>2.1000000000000001E-2</v>
      </c>
      <c r="AF4164" s="508">
        <v>1.2999999999999999E-2</v>
      </c>
      <c r="AG4164" s="508">
        <v>1.2999999999999999E-2</v>
      </c>
      <c r="AH4164" s="508">
        <v>1.2999999999999999E-2</v>
      </c>
      <c r="AI4164" s="492">
        <v>1.2999999999999999E-2</v>
      </c>
      <c r="AJ4164" s="485"/>
    </row>
    <row r="4165" spans="2:36">
      <c r="B4165" s="136" t="s">
        <v>446</v>
      </c>
      <c r="C4165" s="132" t="s">
        <v>1373</v>
      </c>
      <c r="D4165" s="132" t="s">
        <v>284</v>
      </c>
      <c r="E4165" s="508">
        <v>2.1019999999999999</v>
      </c>
      <c r="F4165" s="508">
        <v>2.0339999999999998</v>
      </c>
      <c r="G4165" s="508">
        <v>2.15</v>
      </c>
      <c r="H4165" s="508">
        <v>1.27</v>
      </c>
      <c r="I4165" s="508">
        <v>1.2869999999999999</v>
      </c>
      <c r="J4165" s="508">
        <v>1.2250000000000001</v>
      </c>
      <c r="K4165" s="508">
        <v>0.77200000000000002</v>
      </c>
      <c r="L4165" s="508">
        <v>0.80900000000000005</v>
      </c>
      <c r="M4165" s="508">
        <v>0.79100000000000004</v>
      </c>
      <c r="N4165" s="508">
        <v>1.1850000000000001</v>
      </c>
      <c r="O4165" s="508">
        <v>1.1559999999999999</v>
      </c>
      <c r="P4165" s="508">
        <v>1.099</v>
      </c>
      <c r="Q4165" s="508">
        <v>1.0840000000000001</v>
      </c>
      <c r="R4165" s="508">
        <v>0.61199999999999999</v>
      </c>
      <c r="S4165" s="508">
        <v>0.59</v>
      </c>
      <c r="T4165" s="508">
        <v>0.60699999999999998</v>
      </c>
      <c r="U4165" s="508">
        <v>0.59399999999999997</v>
      </c>
      <c r="V4165" s="508">
        <v>0.6</v>
      </c>
      <c r="W4165" s="508">
        <v>0.54700000000000004</v>
      </c>
      <c r="X4165" s="508">
        <v>0.54200000000000004</v>
      </c>
      <c r="Y4165" s="508">
        <v>0.54900000000000004</v>
      </c>
      <c r="Z4165" s="508">
        <v>0.54900000000000004</v>
      </c>
      <c r="AA4165" s="508">
        <v>2.3E-2</v>
      </c>
      <c r="AB4165" s="508">
        <v>2.1000000000000001E-2</v>
      </c>
      <c r="AC4165" s="508">
        <v>2.3E-2</v>
      </c>
      <c r="AD4165" s="508">
        <v>2.1000000000000001E-2</v>
      </c>
      <c r="AE4165" s="508">
        <v>0.02</v>
      </c>
      <c r="AF4165" s="508">
        <v>1.2E-2</v>
      </c>
      <c r="AG4165" s="508">
        <v>1.2E-2</v>
      </c>
      <c r="AH4165" s="508">
        <v>1.2E-2</v>
      </c>
      <c r="AI4165" s="492">
        <v>1.2E-2</v>
      </c>
      <c r="AJ4165" s="485"/>
    </row>
    <row r="4166" spans="2:36">
      <c r="B4166" s="136" t="s">
        <v>448</v>
      </c>
      <c r="C4166" s="132" t="s">
        <v>1373</v>
      </c>
      <c r="D4166" s="132" t="s">
        <v>284</v>
      </c>
      <c r="E4166" s="508">
        <v>1.948</v>
      </c>
      <c r="F4166" s="508">
        <v>1.883</v>
      </c>
      <c r="G4166" s="508">
        <v>1.9930000000000001</v>
      </c>
      <c r="H4166" s="508">
        <v>1.137</v>
      </c>
      <c r="I4166" s="508">
        <v>1.153</v>
      </c>
      <c r="J4166" s="508">
        <v>1.095</v>
      </c>
      <c r="K4166" s="508">
        <v>0.64700000000000002</v>
      </c>
      <c r="L4166" s="508">
        <v>0.69299999999999995</v>
      </c>
      <c r="M4166" s="508">
        <v>0.67</v>
      </c>
      <c r="N4166" s="508">
        <v>0.98799999999999999</v>
      </c>
      <c r="O4166" s="508">
        <v>0.96799999999999997</v>
      </c>
      <c r="P4166" s="508">
        <v>0.92700000000000005</v>
      </c>
      <c r="Q4166" s="508">
        <v>0.91600000000000004</v>
      </c>
      <c r="R4166" s="508">
        <v>0.54300000000000004</v>
      </c>
      <c r="S4166" s="508">
        <v>0.52800000000000002</v>
      </c>
      <c r="T4166" s="508">
        <v>0.54</v>
      </c>
      <c r="U4166" s="508">
        <v>0.53100000000000003</v>
      </c>
      <c r="V4166" s="508">
        <v>0.53500000000000003</v>
      </c>
      <c r="W4166" s="508">
        <v>0.48699999999999999</v>
      </c>
      <c r="X4166" s="508">
        <v>0.48299999999999998</v>
      </c>
      <c r="Y4166" s="508">
        <v>0.48799999999999999</v>
      </c>
      <c r="Z4166" s="508">
        <v>0.48799999999999999</v>
      </c>
      <c r="AA4166" s="508">
        <v>2.1000000000000001E-2</v>
      </c>
      <c r="AB4166" s="508">
        <v>1.9E-2</v>
      </c>
      <c r="AC4166" s="508">
        <v>2.1000000000000001E-2</v>
      </c>
      <c r="AD4166" s="508">
        <v>1.9E-2</v>
      </c>
      <c r="AE4166" s="508">
        <v>1.7999999999999999E-2</v>
      </c>
      <c r="AF4166" s="508">
        <v>1.0999999999999999E-2</v>
      </c>
      <c r="AG4166" s="508">
        <v>1.0999999999999999E-2</v>
      </c>
      <c r="AH4166" s="508">
        <v>1.0999999999999999E-2</v>
      </c>
      <c r="AI4166" s="492">
        <v>1.0999999999999999E-2</v>
      </c>
      <c r="AJ4166" s="485"/>
    </row>
    <row r="4167" spans="2:36">
      <c r="B4167" s="136" t="s">
        <v>449</v>
      </c>
      <c r="C4167" s="132" t="s">
        <v>1373</v>
      </c>
      <c r="D4167" s="132" t="s">
        <v>284</v>
      </c>
      <c r="E4167" s="508">
        <v>2.0760000000000001</v>
      </c>
      <c r="F4167" s="508">
        <v>2.0089999999999999</v>
      </c>
      <c r="G4167" s="508">
        <v>2.1230000000000002</v>
      </c>
      <c r="H4167" s="508">
        <v>1.2430000000000001</v>
      </c>
      <c r="I4167" s="508">
        <v>1.2609999999999999</v>
      </c>
      <c r="J4167" s="508">
        <v>1.198</v>
      </c>
      <c r="K4167" s="508">
        <v>0.74299999999999999</v>
      </c>
      <c r="L4167" s="508">
        <v>0.78100000000000003</v>
      </c>
      <c r="M4167" s="508">
        <v>0.76200000000000001</v>
      </c>
      <c r="N4167" s="508">
        <v>1.1399999999999999</v>
      </c>
      <c r="O4167" s="508">
        <v>1.113</v>
      </c>
      <c r="P4167" s="508">
        <v>1.0569999999999999</v>
      </c>
      <c r="Q4167" s="508">
        <v>1.0429999999999999</v>
      </c>
      <c r="R4167" s="508">
        <v>0.59899999999999998</v>
      </c>
      <c r="S4167" s="508">
        <v>0.57799999999999996</v>
      </c>
      <c r="T4167" s="508">
        <v>0.59399999999999997</v>
      </c>
      <c r="U4167" s="508">
        <v>0.58199999999999996</v>
      </c>
      <c r="V4167" s="508">
        <v>0.58799999999999997</v>
      </c>
      <c r="W4167" s="508">
        <v>0.53600000000000003</v>
      </c>
      <c r="X4167" s="508">
        <v>0.53</v>
      </c>
      <c r="Y4167" s="508">
        <v>0.53700000000000003</v>
      </c>
      <c r="Z4167" s="508">
        <v>0.53700000000000003</v>
      </c>
      <c r="AA4167" s="508">
        <v>2.1999999999999999E-2</v>
      </c>
      <c r="AB4167" s="508">
        <v>2.1000000000000001E-2</v>
      </c>
      <c r="AC4167" s="508">
        <v>2.3E-2</v>
      </c>
      <c r="AD4167" s="508">
        <v>0.02</v>
      </c>
      <c r="AE4167" s="508">
        <v>0.02</v>
      </c>
      <c r="AF4167" s="508">
        <v>1.2E-2</v>
      </c>
      <c r="AG4167" s="508">
        <v>1.2E-2</v>
      </c>
      <c r="AH4167" s="508">
        <v>1.2E-2</v>
      </c>
      <c r="AI4167" s="492">
        <v>1.2E-2</v>
      </c>
      <c r="AJ4167" s="485"/>
    </row>
    <row r="4168" spans="2:36">
      <c r="B4168" s="136" t="s">
        <v>450</v>
      </c>
      <c r="C4168" s="132" t="s">
        <v>1373</v>
      </c>
      <c r="D4168" s="132" t="s">
        <v>284</v>
      </c>
      <c r="E4168" s="508">
        <v>1.944</v>
      </c>
      <c r="F4168" s="508">
        <v>1.879</v>
      </c>
      <c r="G4168" s="508">
        <v>1.9890000000000001</v>
      </c>
      <c r="H4168" s="508">
        <v>1.133</v>
      </c>
      <c r="I4168" s="508">
        <v>1.149</v>
      </c>
      <c r="J4168" s="508">
        <v>1.091</v>
      </c>
      <c r="K4168" s="508">
        <v>0.64500000000000002</v>
      </c>
      <c r="L4168" s="508">
        <v>0.68899999999999995</v>
      </c>
      <c r="M4168" s="508">
        <v>0.66800000000000004</v>
      </c>
      <c r="N4168" s="508">
        <v>0.98499999999999999</v>
      </c>
      <c r="O4168" s="508">
        <v>0.96399999999999997</v>
      </c>
      <c r="P4168" s="508">
        <v>0.92100000000000004</v>
      </c>
      <c r="Q4168" s="508">
        <v>0.91</v>
      </c>
      <c r="R4168" s="508">
        <v>0.54300000000000004</v>
      </c>
      <c r="S4168" s="508">
        <v>0.52800000000000002</v>
      </c>
      <c r="T4168" s="508">
        <v>0.53900000000000003</v>
      </c>
      <c r="U4168" s="508">
        <v>0.53</v>
      </c>
      <c r="V4168" s="508">
        <v>0.53500000000000003</v>
      </c>
      <c r="W4168" s="508">
        <v>0.48599999999999999</v>
      </c>
      <c r="X4168" s="508">
        <v>0.48199999999999998</v>
      </c>
      <c r="Y4168" s="508">
        <v>0.48799999999999999</v>
      </c>
      <c r="Z4168" s="508">
        <v>0.48699999999999999</v>
      </c>
      <c r="AA4168" s="508">
        <v>2.1000000000000001E-2</v>
      </c>
      <c r="AB4168" s="508">
        <v>1.9E-2</v>
      </c>
      <c r="AC4168" s="508">
        <v>2.1000000000000001E-2</v>
      </c>
      <c r="AD4168" s="508">
        <v>1.9E-2</v>
      </c>
      <c r="AE4168" s="508">
        <v>1.7999999999999999E-2</v>
      </c>
      <c r="AF4168" s="508">
        <v>1.0999999999999999E-2</v>
      </c>
      <c r="AG4168" s="508">
        <v>1.0999999999999999E-2</v>
      </c>
      <c r="AH4168" s="508">
        <v>1.0999999999999999E-2</v>
      </c>
      <c r="AI4168" s="492">
        <v>1.0999999999999999E-2</v>
      </c>
      <c r="AJ4168" s="485"/>
    </row>
    <row r="4169" spans="2:36">
      <c r="B4169" s="136" t="s">
        <v>451</v>
      </c>
      <c r="C4169" s="132" t="s">
        <v>1373</v>
      </c>
      <c r="D4169" s="132" t="s">
        <v>284</v>
      </c>
      <c r="E4169" s="508">
        <v>2.1259999999999999</v>
      </c>
      <c r="F4169" s="508">
        <v>2.0569999999999999</v>
      </c>
      <c r="G4169" s="508">
        <v>2.1749999999999998</v>
      </c>
      <c r="H4169" s="508">
        <v>1.2909999999999999</v>
      </c>
      <c r="I4169" s="508">
        <v>1.3089999999999999</v>
      </c>
      <c r="J4169" s="508">
        <v>1.246</v>
      </c>
      <c r="K4169" s="508">
        <v>0.78900000000000003</v>
      </c>
      <c r="L4169" s="508">
        <v>0.82699999999999996</v>
      </c>
      <c r="M4169" s="508">
        <v>0.80800000000000005</v>
      </c>
      <c r="N4169" s="508">
        <v>1.2110000000000001</v>
      </c>
      <c r="O4169" s="508">
        <v>1.1830000000000001</v>
      </c>
      <c r="P4169" s="508">
        <v>1.1259999999999999</v>
      </c>
      <c r="Q4169" s="508">
        <v>1.111</v>
      </c>
      <c r="R4169" s="508">
        <v>0.62</v>
      </c>
      <c r="S4169" s="508">
        <v>0.59699999999999998</v>
      </c>
      <c r="T4169" s="508">
        <v>0.61599999999999999</v>
      </c>
      <c r="U4169" s="508">
        <v>0.60099999999999998</v>
      </c>
      <c r="V4169" s="508">
        <v>0.60899999999999999</v>
      </c>
      <c r="W4169" s="508">
        <v>0.55500000000000005</v>
      </c>
      <c r="X4169" s="508">
        <v>0.54900000000000004</v>
      </c>
      <c r="Y4169" s="508">
        <v>0.55700000000000005</v>
      </c>
      <c r="Z4169" s="508">
        <v>0.55600000000000005</v>
      </c>
      <c r="AA4169" s="508">
        <v>2.3E-2</v>
      </c>
      <c r="AB4169" s="508">
        <v>2.1999999999999999E-2</v>
      </c>
      <c r="AC4169" s="508">
        <v>2.4E-2</v>
      </c>
      <c r="AD4169" s="508">
        <v>2.1000000000000001E-2</v>
      </c>
      <c r="AE4169" s="508">
        <v>0.02</v>
      </c>
      <c r="AF4169" s="508">
        <v>1.2E-2</v>
      </c>
      <c r="AG4169" s="508">
        <v>1.2E-2</v>
      </c>
      <c r="AH4169" s="508">
        <v>1.2E-2</v>
      </c>
      <c r="AI4169" s="492">
        <v>1.2E-2</v>
      </c>
      <c r="AJ4169" s="485"/>
    </row>
    <row r="4170" spans="2:36">
      <c r="B4170" s="136" t="s">
        <v>452</v>
      </c>
      <c r="C4170" s="132" t="s">
        <v>1373</v>
      </c>
      <c r="D4170" s="132" t="s">
        <v>284</v>
      </c>
      <c r="E4170" s="508">
        <v>2.0150000000000001</v>
      </c>
      <c r="F4170" s="508">
        <v>1.9490000000000001</v>
      </c>
      <c r="G4170" s="508">
        <v>2.0619999999999998</v>
      </c>
      <c r="H4170" s="508">
        <v>1.194</v>
      </c>
      <c r="I4170" s="508">
        <v>1.2110000000000001</v>
      </c>
      <c r="J4170" s="508">
        <v>1.151</v>
      </c>
      <c r="K4170" s="508">
        <v>0.70199999999999996</v>
      </c>
      <c r="L4170" s="508">
        <v>0.74299999999999999</v>
      </c>
      <c r="M4170" s="508">
        <v>0.72199999999999998</v>
      </c>
      <c r="N4170" s="508">
        <v>1.075</v>
      </c>
      <c r="O4170" s="508">
        <v>1.05</v>
      </c>
      <c r="P4170" s="508">
        <v>1</v>
      </c>
      <c r="Q4170" s="508">
        <v>0.98699999999999999</v>
      </c>
      <c r="R4170" s="508">
        <v>0.57399999999999995</v>
      </c>
      <c r="S4170" s="508">
        <v>0.55600000000000005</v>
      </c>
      <c r="T4170" s="508">
        <v>0.56999999999999995</v>
      </c>
      <c r="U4170" s="508">
        <v>0.55900000000000005</v>
      </c>
      <c r="V4170" s="508">
        <v>0.56499999999999995</v>
      </c>
      <c r="W4170" s="508">
        <v>0.51400000000000001</v>
      </c>
      <c r="X4170" s="508">
        <v>0.50900000000000001</v>
      </c>
      <c r="Y4170" s="508">
        <v>0.51500000000000001</v>
      </c>
      <c r="Z4170" s="508">
        <v>0.51500000000000001</v>
      </c>
      <c r="AA4170" s="508">
        <v>2.1999999999999999E-2</v>
      </c>
      <c r="AB4170" s="508">
        <v>0.02</v>
      </c>
      <c r="AC4170" s="508">
        <v>2.1999999999999999E-2</v>
      </c>
      <c r="AD4170" s="508">
        <v>0.02</v>
      </c>
      <c r="AE4170" s="508">
        <v>1.9E-2</v>
      </c>
      <c r="AF4170" s="508">
        <v>1.2E-2</v>
      </c>
      <c r="AG4170" s="508">
        <v>1.0999999999999999E-2</v>
      </c>
      <c r="AH4170" s="508">
        <v>1.0999999999999999E-2</v>
      </c>
      <c r="AI4170" s="492">
        <v>1.0999999999999999E-2</v>
      </c>
      <c r="AJ4170" s="485"/>
    </row>
    <row r="4171" spans="2:36">
      <c r="B4171" s="136" t="s">
        <v>453</v>
      </c>
      <c r="C4171" s="132" t="s">
        <v>1373</v>
      </c>
      <c r="D4171" s="132" t="s">
        <v>284</v>
      </c>
      <c r="E4171" s="508">
        <v>1.927</v>
      </c>
      <c r="F4171" s="508">
        <v>1.863</v>
      </c>
      <c r="G4171" s="508">
        <v>1.9710000000000001</v>
      </c>
      <c r="H4171" s="508">
        <v>1.1180000000000001</v>
      </c>
      <c r="I4171" s="508">
        <v>1.1339999999999999</v>
      </c>
      <c r="J4171" s="508">
        <v>1.0760000000000001</v>
      </c>
      <c r="K4171" s="508">
        <v>0.63100000000000001</v>
      </c>
      <c r="L4171" s="508">
        <v>0.67600000000000005</v>
      </c>
      <c r="M4171" s="508">
        <v>0.65400000000000003</v>
      </c>
      <c r="N4171" s="508">
        <v>0.96399999999999997</v>
      </c>
      <c r="O4171" s="508">
        <v>0.94299999999999995</v>
      </c>
      <c r="P4171" s="508">
        <v>0.90200000000000002</v>
      </c>
      <c r="Q4171" s="508">
        <v>0.89100000000000001</v>
      </c>
      <c r="R4171" s="508">
        <v>0.53500000000000003</v>
      </c>
      <c r="S4171" s="508">
        <v>0.52100000000000002</v>
      </c>
      <c r="T4171" s="508">
        <v>0.53200000000000003</v>
      </c>
      <c r="U4171" s="508">
        <v>0.52400000000000002</v>
      </c>
      <c r="V4171" s="508">
        <v>0.52800000000000002</v>
      </c>
      <c r="W4171" s="508">
        <v>0.48</v>
      </c>
      <c r="X4171" s="508">
        <v>0.47599999999999998</v>
      </c>
      <c r="Y4171" s="508">
        <v>0.48099999999999998</v>
      </c>
      <c r="Z4171" s="508">
        <v>0.48</v>
      </c>
      <c r="AA4171" s="508">
        <v>0.02</v>
      </c>
      <c r="AB4171" s="508">
        <v>1.9E-2</v>
      </c>
      <c r="AC4171" s="508">
        <v>2.1000000000000001E-2</v>
      </c>
      <c r="AD4171" s="508">
        <v>1.7999999999999999E-2</v>
      </c>
      <c r="AE4171" s="508">
        <v>1.7999999999999999E-2</v>
      </c>
      <c r="AF4171" s="508">
        <v>1.0999999999999999E-2</v>
      </c>
      <c r="AG4171" s="508">
        <v>1.0999999999999999E-2</v>
      </c>
      <c r="AH4171" s="508">
        <v>1.0999999999999999E-2</v>
      </c>
      <c r="AI4171" s="492">
        <v>1.0999999999999999E-2</v>
      </c>
      <c r="AJ4171" s="485"/>
    </row>
    <row r="4172" spans="2:36">
      <c r="B4172" s="136" t="s">
        <v>454</v>
      </c>
      <c r="C4172" s="132" t="s">
        <v>1373</v>
      </c>
      <c r="D4172" s="132" t="s">
        <v>284</v>
      </c>
      <c r="E4172" s="508">
        <v>1.948</v>
      </c>
      <c r="F4172" s="508">
        <v>1.8839999999999999</v>
      </c>
      <c r="G4172" s="508">
        <v>1.9930000000000001</v>
      </c>
      <c r="H4172" s="508">
        <v>1.1359999999999999</v>
      </c>
      <c r="I4172" s="508">
        <v>1.1519999999999999</v>
      </c>
      <c r="J4172" s="508">
        <v>1.0940000000000001</v>
      </c>
      <c r="K4172" s="508">
        <v>0.64600000000000002</v>
      </c>
      <c r="L4172" s="508">
        <v>0.69099999999999995</v>
      </c>
      <c r="M4172" s="508">
        <v>0.66900000000000004</v>
      </c>
      <c r="N4172" s="508">
        <v>0.98599999999999999</v>
      </c>
      <c r="O4172" s="508">
        <v>0.96499999999999997</v>
      </c>
      <c r="P4172" s="508">
        <v>0.92300000000000004</v>
      </c>
      <c r="Q4172" s="508">
        <v>0.91300000000000003</v>
      </c>
      <c r="R4172" s="508">
        <v>0.54300000000000004</v>
      </c>
      <c r="S4172" s="508">
        <v>0.52800000000000002</v>
      </c>
      <c r="T4172" s="508">
        <v>0.54</v>
      </c>
      <c r="U4172" s="508">
        <v>0.53100000000000003</v>
      </c>
      <c r="V4172" s="508">
        <v>0.53500000000000003</v>
      </c>
      <c r="W4172" s="508">
        <v>0.48699999999999999</v>
      </c>
      <c r="X4172" s="508">
        <v>0.48299999999999998</v>
      </c>
      <c r="Y4172" s="508">
        <v>0.48799999999999999</v>
      </c>
      <c r="Z4172" s="508">
        <v>0.48799999999999999</v>
      </c>
      <c r="AA4172" s="508">
        <v>2.1000000000000001E-2</v>
      </c>
      <c r="AB4172" s="508">
        <v>1.9E-2</v>
      </c>
      <c r="AC4172" s="508">
        <v>2.1000000000000001E-2</v>
      </c>
      <c r="AD4172" s="508">
        <v>1.9E-2</v>
      </c>
      <c r="AE4172" s="508">
        <v>1.7999999999999999E-2</v>
      </c>
      <c r="AF4172" s="508">
        <v>1.0999999999999999E-2</v>
      </c>
      <c r="AG4172" s="508">
        <v>1.0999999999999999E-2</v>
      </c>
      <c r="AH4172" s="508">
        <v>1.0999999999999999E-2</v>
      </c>
      <c r="AI4172" s="492">
        <v>1.0999999999999999E-2</v>
      </c>
      <c r="AJ4172" s="485"/>
    </row>
    <row r="4173" spans="2:36">
      <c r="B4173" s="136" t="s">
        <v>455</v>
      </c>
      <c r="C4173" s="132" t="s">
        <v>1373</v>
      </c>
      <c r="D4173" s="132" t="s">
        <v>284</v>
      </c>
      <c r="E4173" s="508">
        <v>1.905</v>
      </c>
      <c r="F4173" s="508">
        <v>1.841</v>
      </c>
      <c r="G4173" s="508">
        <v>1.95</v>
      </c>
      <c r="H4173" s="508">
        <v>1.103</v>
      </c>
      <c r="I4173" s="508">
        <v>1.119</v>
      </c>
      <c r="J4173" s="508">
        <v>1.0629999999999999</v>
      </c>
      <c r="K4173" s="508">
        <v>0.61899999999999999</v>
      </c>
      <c r="L4173" s="508">
        <v>0.66600000000000004</v>
      </c>
      <c r="M4173" s="508">
        <v>0.64300000000000002</v>
      </c>
      <c r="N4173" s="508">
        <v>0.94199999999999995</v>
      </c>
      <c r="O4173" s="508">
        <v>0.92400000000000004</v>
      </c>
      <c r="P4173" s="508">
        <v>0.88700000000000001</v>
      </c>
      <c r="Q4173" s="508">
        <v>0.878</v>
      </c>
      <c r="R4173" s="508">
        <v>0.52600000000000002</v>
      </c>
      <c r="S4173" s="508">
        <v>0.51200000000000001</v>
      </c>
      <c r="T4173" s="508">
        <v>0.52300000000000002</v>
      </c>
      <c r="U4173" s="508">
        <v>0.51400000000000001</v>
      </c>
      <c r="V4173" s="508">
        <v>0.51800000000000002</v>
      </c>
      <c r="W4173" s="508">
        <v>0.47099999999999997</v>
      </c>
      <c r="X4173" s="508">
        <v>0.46700000000000003</v>
      </c>
      <c r="Y4173" s="508">
        <v>0.47199999999999998</v>
      </c>
      <c r="Z4173" s="508">
        <v>0.47199999999999998</v>
      </c>
      <c r="AA4173" s="508">
        <v>0.02</v>
      </c>
      <c r="AB4173" s="508">
        <v>1.9E-2</v>
      </c>
      <c r="AC4173" s="508">
        <v>0.02</v>
      </c>
      <c r="AD4173" s="508">
        <v>1.7999999999999999E-2</v>
      </c>
      <c r="AE4173" s="508">
        <v>1.7999999999999999E-2</v>
      </c>
      <c r="AF4173" s="508">
        <v>1.0999999999999999E-2</v>
      </c>
      <c r="AG4173" s="508">
        <v>1.0999999999999999E-2</v>
      </c>
      <c r="AH4173" s="508">
        <v>1.0999999999999999E-2</v>
      </c>
      <c r="AI4173" s="492">
        <v>1.0999999999999999E-2</v>
      </c>
      <c r="AJ4173" s="485"/>
    </row>
    <row r="4174" spans="2:36">
      <c r="B4174" s="136" t="s">
        <v>456</v>
      </c>
      <c r="C4174" s="132" t="s">
        <v>1373</v>
      </c>
      <c r="D4174" s="132" t="s">
        <v>284</v>
      </c>
      <c r="E4174" s="508">
        <v>1.97</v>
      </c>
      <c r="F4174" s="508">
        <v>1.905</v>
      </c>
      <c r="G4174" s="508">
        <v>2.016</v>
      </c>
      <c r="H4174" s="508">
        <v>1.1559999999999999</v>
      </c>
      <c r="I4174" s="508">
        <v>1.173</v>
      </c>
      <c r="J4174" s="508">
        <v>1.1140000000000001</v>
      </c>
      <c r="K4174" s="508">
        <v>0.66600000000000004</v>
      </c>
      <c r="L4174" s="508">
        <v>0.71</v>
      </c>
      <c r="M4174" s="508">
        <v>0.68799999999999994</v>
      </c>
      <c r="N4174" s="508">
        <v>1.018</v>
      </c>
      <c r="O4174" s="508">
        <v>0.996</v>
      </c>
      <c r="P4174" s="508">
        <v>0.95199999999999996</v>
      </c>
      <c r="Q4174" s="508">
        <v>0.94099999999999995</v>
      </c>
      <c r="R4174" s="508">
        <v>0.55400000000000005</v>
      </c>
      <c r="S4174" s="508">
        <v>0.53700000000000003</v>
      </c>
      <c r="T4174" s="508">
        <v>0.55000000000000004</v>
      </c>
      <c r="U4174" s="508">
        <v>0.54</v>
      </c>
      <c r="V4174" s="508">
        <v>0.54500000000000004</v>
      </c>
      <c r="W4174" s="508">
        <v>0.496</v>
      </c>
      <c r="X4174" s="508">
        <v>0.49199999999999999</v>
      </c>
      <c r="Y4174" s="508">
        <v>0.497</v>
      </c>
      <c r="Z4174" s="508">
        <v>0.497</v>
      </c>
      <c r="AA4174" s="508">
        <v>2.1000000000000001E-2</v>
      </c>
      <c r="AB4174" s="508">
        <v>0.02</v>
      </c>
      <c r="AC4174" s="508">
        <v>2.1000000000000001E-2</v>
      </c>
      <c r="AD4174" s="508">
        <v>1.9E-2</v>
      </c>
      <c r="AE4174" s="508">
        <v>1.7999999999999999E-2</v>
      </c>
      <c r="AF4174" s="508">
        <v>1.0999999999999999E-2</v>
      </c>
      <c r="AG4174" s="508">
        <v>1.0999999999999999E-2</v>
      </c>
      <c r="AH4174" s="508">
        <v>1.0999999999999999E-2</v>
      </c>
      <c r="AI4174" s="492">
        <v>1.0999999999999999E-2</v>
      </c>
      <c r="AJ4174" s="485"/>
    </row>
    <row r="4175" spans="2:36">
      <c r="B4175" s="136" t="s">
        <v>457</v>
      </c>
      <c r="C4175" s="132" t="s">
        <v>1373</v>
      </c>
      <c r="D4175" s="132" t="s">
        <v>284</v>
      </c>
      <c r="E4175" s="508">
        <v>1.885</v>
      </c>
      <c r="F4175" s="508">
        <v>1.823</v>
      </c>
      <c r="G4175" s="508">
        <v>1.93</v>
      </c>
      <c r="H4175" s="508">
        <v>1.081</v>
      </c>
      <c r="I4175" s="508">
        <v>1.097</v>
      </c>
      <c r="J4175" s="508">
        <v>1.0409999999999999</v>
      </c>
      <c r="K4175" s="508">
        <v>0.59699999999999998</v>
      </c>
      <c r="L4175" s="508">
        <v>0.64400000000000002</v>
      </c>
      <c r="M4175" s="508">
        <v>0.621</v>
      </c>
      <c r="N4175" s="508">
        <v>0.91</v>
      </c>
      <c r="O4175" s="508">
        <v>0.89100000000000001</v>
      </c>
      <c r="P4175" s="508">
        <v>0.85299999999999998</v>
      </c>
      <c r="Q4175" s="508">
        <v>0.84299999999999997</v>
      </c>
      <c r="R4175" s="508">
        <v>0.51700000000000002</v>
      </c>
      <c r="S4175" s="508">
        <v>0.505</v>
      </c>
      <c r="T4175" s="508">
        <v>0.51400000000000001</v>
      </c>
      <c r="U4175" s="508">
        <v>0.50700000000000001</v>
      </c>
      <c r="V4175" s="508">
        <v>0.51100000000000001</v>
      </c>
      <c r="W4175" s="508">
        <v>0.46400000000000002</v>
      </c>
      <c r="X4175" s="508">
        <v>0.46</v>
      </c>
      <c r="Y4175" s="508">
        <v>0.46500000000000002</v>
      </c>
      <c r="Z4175" s="508">
        <v>0.46400000000000002</v>
      </c>
      <c r="AA4175" s="508">
        <v>0.02</v>
      </c>
      <c r="AB4175" s="508">
        <v>1.9E-2</v>
      </c>
      <c r="AC4175" s="508">
        <v>0.02</v>
      </c>
      <c r="AD4175" s="508">
        <v>1.7999999999999999E-2</v>
      </c>
      <c r="AE4175" s="508">
        <v>1.7000000000000001E-2</v>
      </c>
      <c r="AF4175" s="508">
        <v>1.0999999999999999E-2</v>
      </c>
      <c r="AG4175" s="508">
        <v>0.01</v>
      </c>
      <c r="AH4175" s="508">
        <v>0.01</v>
      </c>
      <c r="AI4175" s="492">
        <v>0.01</v>
      </c>
      <c r="AJ4175" s="485"/>
    </row>
    <row r="4176" spans="2:36">
      <c r="B4176" s="136" t="s">
        <v>458</v>
      </c>
      <c r="C4176" s="132" t="s">
        <v>1373</v>
      </c>
      <c r="D4176" s="132" t="s">
        <v>284</v>
      </c>
      <c r="E4176" s="508">
        <v>1.9910000000000001</v>
      </c>
      <c r="F4176" s="508">
        <v>1.925</v>
      </c>
      <c r="G4176" s="508">
        <v>2.0369999999999999</v>
      </c>
      <c r="H4176" s="508">
        <v>1.175</v>
      </c>
      <c r="I4176" s="508">
        <v>1.1910000000000001</v>
      </c>
      <c r="J4176" s="508">
        <v>1.133</v>
      </c>
      <c r="K4176" s="508">
        <v>0.68</v>
      </c>
      <c r="L4176" s="508">
        <v>0.72499999999999998</v>
      </c>
      <c r="M4176" s="508">
        <v>0.70299999999999996</v>
      </c>
      <c r="N4176" s="508">
        <v>1.0389999999999999</v>
      </c>
      <c r="O4176" s="508">
        <v>1.018</v>
      </c>
      <c r="P4176" s="508">
        <v>0.97599999999999998</v>
      </c>
      <c r="Q4176" s="508">
        <v>0.96499999999999997</v>
      </c>
      <c r="R4176" s="508">
        <v>0.56000000000000005</v>
      </c>
      <c r="S4176" s="508">
        <v>0.54300000000000004</v>
      </c>
      <c r="T4176" s="508">
        <v>0.55600000000000005</v>
      </c>
      <c r="U4176" s="508">
        <v>0.54600000000000004</v>
      </c>
      <c r="V4176" s="508">
        <v>0.55100000000000005</v>
      </c>
      <c r="W4176" s="508">
        <v>0.501</v>
      </c>
      <c r="X4176" s="508">
        <v>0.497</v>
      </c>
      <c r="Y4176" s="508">
        <v>0.503</v>
      </c>
      <c r="Z4176" s="508">
        <v>0.503</v>
      </c>
      <c r="AA4176" s="508">
        <v>2.1000000000000001E-2</v>
      </c>
      <c r="AB4176" s="508">
        <v>0.02</v>
      </c>
      <c r="AC4176" s="508">
        <v>2.1999999999999999E-2</v>
      </c>
      <c r="AD4176" s="508">
        <v>1.9E-2</v>
      </c>
      <c r="AE4176" s="508">
        <v>1.9E-2</v>
      </c>
      <c r="AF4176" s="508">
        <v>1.0999999999999999E-2</v>
      </c>
      <c r="AG4176" s="508">
        <v>1.0999999999999999E-2</v>
      </c>
      <c r="AH4176" s="508">
        <v>1.0999999999999999E-2</v>
      </c>
      <c r="AI4176" s="492">
        <v>1.0999999999999999E-2</v>
      </c>
      <c r="AJ4176" s="485"/>
    </row>
    <row r="4177" spans="2:36">
      <c r="B4177" s="136" t="s">
        <v>459</v>
      </c>
      <c r="C4177" s="132" t="s">
        <v>1373</v>
      </c>
      <c r="D4177" s="132" t="s">
        <v>284</v>
      </c>
      <c r="E4177" s="508">
        <v>1.9890000000000001</v>
      </c>
      <c r="F4177" s="508">
        <v>1.923</v>
      </c>
      <c r="G4177" s="508">
        <v>2.036</v>
      </c>
      <c r="H4177" s="508">
        <v>1.1739999999999999</v>
      </c>
      <c r="I4177" s="508">
        <v>1.19</v>
      </c>
      <c r="J4177" s="508">
        <v>1.1319999999999999</v>
      </c>
      <c r="K4177" s="508">
        <v>0.68</v>
      </c>
      <c r="L4177" s="508">
        <v>0.72499999999999998</v>
      </c>
      <c r="M4177" s="508">
        <v>0.70299999999999996</v>
      </c>
      <c r="N4177" s="508">
        <v>1.038</v>
      </c>
      <c r="O4177" s="508">
        <v>1.0169999999999999</v>
      </c>
      <c r="P4177" s="508">
        <v>0.97499999999999998</v>
      </c>
      <c r="Q4177" s="508">
        <v>0.96399999999999997</v>
      </c>
      <c r="R4177" s="508">
        <v>0.56000000000000005</v>
      </c>
      <c r="S4177" s="508">
        <v>0.54200000000000004</v>
      </c>
      <c r="T4177" s="508">
        <v>0.55600000000000005</v>
      </c>
      <c r="U4177" s="508">
        <v>0.54500000000000004</v>
      </c>
      <c r="V4177" s="508">
        <v>0.55100000000000005</v>
      </c>
      <c r="W4177" s="508">
        <v>0.501</v>
      </c>
      <c r="X4177" s="508">
        <v>0.497</v>
      </c>
      <c r="Y4177" s="508">
        <v>0.503</v>
      </c>
      <c r="Z4177" s="508">
        <v>0.502</v>
      </c>
      <c r="AA4177" s="508">
        <v>2.1000000000000001E-2</v>
      </c>
      <c r="AB4177" s="508">
        <v>0.02</v>
      </c>
      <c r="AC4177" s="508">
        <v>2.1999999999999999E-2</v>
      </c>
      <c r="AD4177" s="508">
        <v>1.9E-2</v>
      </c>
      <c r="AE4177" s="508">
        <v>1.9E-2</v>
      </c>
      <c r="AF4177" s="508">
        <v>1.0999999999999999E-2</v>
      </c>
      <c r="AG4177" s="508">
        <v>1.0999999999999999E-2</v>
      </c>
      <c r="AH4177" s="508">
        <v>1.0999999999999999E-2</v>
      </c>
      <c r="AI4177" s="492">
        <v>1.0999999999999999E-2</v>
      </c>
      <c r="AJ4177" s="485"/>
    </row>
    <row r="4178" spans="2:36">
      <c r="B4178" s="136" t="s">
        <v>460</v>
      </c>
      <c r="C4178" s="132" t="s">
        <v>1373</v>
      </c>
      <c r="D4178" s="132" t="s">
        <v>284</v>
      </c>
      <c r="E4178" s="508">
        <v>1.9930000000000001</v>
      </c>
      <c r="F4178" s="508">
        <v>1.927</v>
      </c>
      <c r="G4178" s="508">
        <v>2.0390000000000001</v>
      </c>
      <c r="H4178" s="508">
        <v>1.177</v>
      </c>
      <c r="I4178" s="508">
        <v>1.1930000000000001</v>
      </c>
      <c r="J4178" s="508">
        <v>1.1339999999999999</v>
      </c>
      <c r="K4178" s="508">
        <v>0.68500000000000005</v>
      </c>
      <c r="L4178" s="508">
        <v>0.72799999999999998</v>
      </c>
      <c r="M4178" s="508">
        <v>0.70699999999999996</v>
      </c>
      <c r="N4178" s="508">
        <v>1.0469999999999999</v>
      </c>
      <c r="O4178" s="508">
        <v>1.0249999999999999</v>
      </c>
      <c r="P4178" s="508">
        <v>0.97899999999999998</v>
      </c>
      <c r="Q4178" s="508">
        <v>0.96799999999999997</v>
      </c>
      <c r="R4178" s="508">
        <v>0.56299999999999994</v>
      </c>
      <c r="S4178" s="508">
        <v>0.54600000000000004</v>
      </c>
      <c r="T4178" s="508">
        <v>0.56000000000000005</v>
      </c>
      <c r="U4178" s="508">
        <v>0.54900000000000004</v>
      </c>
      <c r="V4178" s="508">
        <v>0.55400000000000005</v>
      </c>
      <c r="W4178" s="508">
        <v>0.504</v>
      </c>
      <c r="X4178" s="508">
        <v>0.5</v>
      </c>
      <c r="Y4178" s="508">
        <v>0.50600000000000001</v>
      </c>
      <c r="Z4178" s="508">
        <v>0.505</v>
      </c>
      <c r="AA4178" s="508">
        <v>2.1000000000000001E-2</v>
      </c>
      <c r="AB4178" s="508">
        <v>0.02</v>
      </c>
      <c r="AC4178" s="508">
        <v>2.1999999999999999E-2</v>
      </c>
      <c r="AD4178" s="508">
        <v>1.9E-2</v>
      </c>
      <c r="AE4178" s="508">
        <v>1.9E-2</v>
      </c>
      <c r="AF4178" s="508">
        <v>1.0999999999999999E-2</v>
      </c>
      <c r="AG4178" s="508">
        <v>1.0999999999999999E-2</v>
      </c>
      <c r="AH4178" s="508">
        <v>1.0999999999999999E-2</v>
      </c>
      <c r="AI4178" s="492">
        <v>1.0999999999999999E-2</v>
      </c>
      <c r="AJ4178" s="485"/>
    </row>
    <row r="4179" spans="2:36">
      <c r="B4179" s="136" t="s">
        <v>461</v>
      </c>
      <c r="C4179" s="132" t="s">
        <v>1373</v>
      </c>
      <c r="D4179" s="132" t="s">
        <v>284</v>
      </c>
      <c r="E4179" s="508">
        <v>1.9710000000000001</v>
      </c>
      <c r="F4179" s="508">
        <v>1.9059999999999999</v>
      </c>
      <c r="G4179" s="508">
        <v>2.016</v>
      </c>
      <c r="H4179" s="508">
        <v>1.1539999999999999</v>
      </c>
      <c r="I4179" s="508">
        <v>1.171</v>
      </c>
      <c r="J4179" s="508">
        <v>1.1120000000000001</v>
      </c>
      <c r="K4179" s="508">
        <v>0.66100000000000003</v>
      </c>
      <c r="L4179" s="508">
        <v>0.70499999999999996</v>
      </c>
      <c r="M4179" s="508">
        <v>0.68300000000000005</v>
      </c>
      <c r="N4179" s="508">
        <v>1.0109999999999999</v>
      </c>
      <c r="O4179" s="508">
        <v>0.98899999999999999</v>
      </c>
      <c r="P4179" s="508">
        <v>0.94499999999999995</v>
      </c>
      <c r="Q4179" s="508">
        <v>0.93300000000000005</v>
      </c>
      <c r="R4179" s="508">
        <v>0.55300000000000005</v>
      </c>
      <c r="S4179" s="508">
        <v>0.53700000000000003</v>
      </c>
      <c r="T4179" s="508">
        <v>0.54900000000000004</v>
      </c>
      <c r="U4179" s="508">
        <v>0.54</v>
      </c>
      <c r="V4179" s="508">
        <v>0.54400000000000004</v>
      </c>
      <c r="W4179" s="508">
        <v>0.495</v>
      </c>
      <c r="X4179" s="508">
        <v>0.49099999999999999</v>
      </c>
      <c r="Y4179" s="508">
        <v>0.496</v>
      </c>
      <c r="Z4179" s="508">
        <v>0.496</v>
      </c>
      <c r="AA4179" s="508">
        <v>2.1000000000000001E-2</v>
      </c>
      <c r="AB4179" s="508">
        <v>0.02</v>
      </c>
      <c r="AC4179" s="508">
        <v>2.1000000000000001E-2</v>
      </c>
      <c r="AD4179" s="508">
        <v>1.9E-2</v>
      </c>
      <c r="AE4179" s="508">
        <v>1.7999999999999999E-2</v>
      </c>
      <c r="AF4179" s="508">
        <v>1.0999999999999999E-2</v>
      </c>
      <c r="AG4179" s="508">
        <v>1.0999999999999999E-2</v>
      </c>
      <c r="AH4179" s="508">
        <v>1.0999999999999999E-2</v>
      </c>
      <c r="AI4179" s="492">
        <v>1.0999999999999999E-2</v>
      </c>
      <c r="AJ4179" s="485"/>
    </row>
    <row r="4180" spans="2:36">
      <c r="B4180" s="136" t="s">
        <v>462</v>
      </c>
      <c r="C4180" s="132" t="s">
        <v>1373</v>
      </c>
      <c r="D4180" s="132" t="s">
        <v>284</v>
      </c>
      <c r="E4180" s="508">
        <v>1.948</v>
      </c>
      <c r="F4180" s="508">
        <v>1.883</v>
      </c>
      <c r="G4180" s="508">
        <v>1.9930000000000001</v>
      </c>
      <c r="H4180" s="508">
        <v>1.1319999999999999</v>
      </c>
      <c r="I4180" s="508">
        <v>1.149</v>
      </c>
      <c r="J4180" s="508">
        <v>1.0900000000000001</v>
      </c>
      <c r="K4180" s="508">
        <v>0.64200000000000002</v>
      </c>
      <c r="L4180" s="508">
        <v>0.68500000000000005</v>
      </c>
      <c r="M4180" s="508">
        <v>0.66400000000000003</v>
      </c>
      <c r="N4180" s="508">
        <v>0.98199999999999998</v>
      </c>
      <c r="O4180" s="508">
        <v>0.96</v>
      </c>
      <c r="P4180" s="508">
        <v>0.91500000000000004</v>
      </c>
      <c r="Q4180" s="508">
        <v>0.90300000000000002</v>
      </c>
      <c r="R4180" s="508">
        <v>0.54400000000000004</v>
      </c>
      <c r="S4180" s="508">
        <v>0.52900000000000003</v>
      </c>
      <c r="T4180" s="508">
        <v>0.54100000000000004</v>
      </c>
      <c r="U4180" s="508">
        <v>0.53200000000000003</v>
      </c>
      <c r="V4180" s="508">
        <v>0.53600000000000003</v>
      </c>
      <c r="W4180" s="508">
        <v>0.48699999999999999</v>
      </c>
      <c r="X4180" s="508">
        <v>0.48299999999999998</v>
      </c>
      <c r="Y4180" s="508">
        <v>0.48799999999999999</v>
      </c>
      <c r="Z4180" s="508">
        <v>0.48799999999999999</v>
      </c>
      <c r="AA4180" s="508">
        <v>2.1000000000000001E-2</v>
      </c>
      <c r="AB4180" s="508">
        <v>1.9E-2</v>
      </c>
      <c r="AC4180" s="508">
        <v>2.1000000000000001E-2</v>
      </c>
      <c r="AD4180" s="508">
        <v>1.9E-2</v>
      </c>
      <c r="AE4180" s="508">
        <v>1.7999999999999999E-2</v>
      </c>
      <c r="AF4180" s="508">
        <v>1.0999999999999999E-2</v>
      </c>
      <c r="AG4180" s="508">
        <v>1.0999999999999999E-2</v>
      </c>
      <c r="AH4180" s="508">
        <v>1.0999999999999999E-2</v>
      </c>
      <c r="AI4180" s="492">
        <v>1.0999999999999999E-2</v>
      </c>
      <c r="AJ4180" s="485"/>
    </row>
    <row r="4181" spans="2:36">
      <c r="B4181" s="136" t="s">
        <v>463</v>
      </c>
      <c r="C4181" s="132" t="s">
        <v>1373</v>
      </c>
      <c r="D4181" s="132" t="s">
        <v>284</v>
      </c>
      <c r="E4181" s="508">
        <v>1.9039999999999999</v>
      </c>
      <c r="F4181" s="508">
        <v>1.84</v>
      </c>
      <c r="G4181" s="508">
        <v>1.9490000000000001</v>
      </c>
      <c r="H4181" s="508">
        <v>1.1000000000000001</v>
      </c>
      <c r="I4181" s="508">
        <v>1.1160000000000001</v>
      </c>
      <c r="J4181" s="508">
        <v>1.06</v>
      </c>
      <c r="K4181" s="508">
        <v>0.61199999999999999</v>
      </c>
      <c r="L4181" s="508">
        <v>0.66</v>
      </c>
      <c r="M4181" s="508">
        <v>0.63700000000000001</v>
      </c>
      <c r="N4181" s="508">
        <v>0.93100000000000005</v>
      </c>
      <c r="O4181" s="508">
        <v>0.91400000000000003</v>
      </c>
      <c r="P4181" s="508">
        <v>0.879</v>
      </c>
      <c r="Q4181" s="508">
        <v>0.87</v>
      </c>
      <c r="R4181" s="508">
        <v>0.52300000000000002</v>
      </c>
      <c r="S4181" s="508">
        <v>0.50900000000000001</v>
      </c>
      <c r="T4181" s="508">
        <v>0.52</v>
      </c>
      <c r="U4181" s="508">
        <v>0.51200000000000001</v>
      </c>
      <c r="V4181" s="508">
        <v>0.51600000000000001</v>
      </c>
      <c r="W4181" s="508">
        <v>0.46899999999999997</v>
      </c>
      <c r="X4181" s="508">
        <v>0.46500000000000002</v>
      </c>
      <c r="Y4181" s="508">
        <v>0.47</v>
      </c>
      <c r="Z4181" s="508">
        <v>0.46899999999999997</v>
      </c>
      <c r="AA4181" s="508">
        <v>0.02</v>
      </c>
      <c r="AB4181" s="508">
        <v>1.9E-2</v>
      </c>
      <c r="AC4181" s="508">
        <v>0.02</v>
      </c>
      <c r="AD4181" s="508">
        <v>1.7999999999999999E-2</v>
      </c>
      <c r="AE4181" s="508">
        <v>1.7999999999999999E-2</v>
      </c>
      <c r="AF4181" s="508">
        <v>1.0999999999999999E-2</v>
      </c>
      <c r="AG4181" s="508">
        <v>1.0999999999999999E-2</v>
      </c>
      <c r="AH4181" s="508">
        <v>1.0999999999999999E-2</v>
      </c>
      <c r="AI4181" s="492">
        <v>1.0999999999999999E-2</v>
      </c>
      <c r="AJ4181" s="485"/>
    </row>
    <row r="4182" spans="2:36">
      <c r="B4182" s="136" t="s">
        <v>464</v>
      </c>
      <c r="C4182" s="132" t="s">
        <v>1373</v>
      </c>
      <c r="D4182" s="132" t="s">
        <v>284</v>
      </c>
      <c r="E4182" s="508">
        <v>1.88</v>
      </c>
      <c r="F4182" s="508">
        <v>1.8169999999999999</v>
      </c>
      <c r="G4182" s="508">
        <v>1.9239999999999999</v>
      </c>
      <c r="H4182" s="508">
        <v>1.079</v>
      </c>
      <c r="I4182" s="508">
        <v>1.095</v>
      </c>
      <c r="J4182" s="508">
        <v>1.0389999999999999</v>
      </c>
      <c r="K4182" s="508">
        <v>0.59599999999999997</v>
      </c>
      <c r="L4182" s="508">
        <v>0.64400000000000002</v>
      </c>
      <c r="M4182" s="508">
        <v>0.621</v>
      </c>
      <c r="N4182" s="508">
        <v>0.90900000000000003</v>
      </c>
      <c r="O4182" s="508">
        <v>0.89</v>
      </c>
      <c r="P4182" s="508">
        <v>0.85299999999999998</v>
      </c>
      <c r="Q4182" s="508">
        <v>0.84399999999999997</v>
      </c>
      <c r="R4182" s="508">
        <v>0.51500000000000001</v>
      </c>
      <c r="S4182" s="508">
        <v>0.503</v>
      </c>
      <c r="T4182" s="508">
        <v>0.51300000000000001</v>
      </c>
      <c r="U4182" s="508">
        <v>0.505</v>
      </c>
      <c r="V4182" s="508">
        <v>0.50900000000000001</v>
      </c>
      <c r="W4182" s="508">
        <v>0.46200000000000002</v>
      </c>
      <c r="X4182" s="508">
        <v>0.45900000000000002</v>
      </c>
      <c r="Y4182" s="508">
        <v>0.46300000000000002</v>
      </c>
      <c r="Z4182" s="508">
        <v>0.46300000000000002</v>
      </c>
      <c r="AA4182" s="508">
        <v>0.02</v>
      </c>
      <c r="AB4182" s="508">
        <v>1.9E-2</v>
      </c>
      <c r="AC4182" s="508">
        <v>0.02</v>
      </c>
      <c r="AD4182" s="508">
        <v>1.7999999999999999E-2</v>
      </c>
      <c r="AE4182" s="508">
        <v>1.7000000000000001E-2</v>
      </c>
      <c r="AF4182" s="508">
        <v>1.0999999999999999E-2</v>
      </c>
      <c r="AG4182" s="508">
        <v>0.01</v>
      </c>
      <c r="AH4182" s="508">
        <v>0.01</v>
      </c>
      <c r="AI4182" s="492">
        <v>0.01</v>
      </c>
      <c r="AJ4182" s="485"/>
    </row>
    <row r="4183" spans="2:36">
      <c r="B4183" s="136" t="s">
        <v>465</v>
      </c>
      <c r="C4183" s="132" t="s">
        <v>1373</v>
      </c>
      <c r="D4183" s="132" t="s">
        <v>284</v>
      </c>
      <c r="E4183" s="508">
        <v>1.909</v>
      </c>
      <c r="F4183" s="508">
        <v>1.845</v>
      </c>
      <c r="G4183" s="508">
        <v>1.9530000000000001</v>
      </c>
      <c r="H4183" s="508">
        <v>1.1060000000000001</v>
      </c>
      <c r="I4183" s="508">
        <v>1.1220000000000001</v>
      </c>
      <c r="J4183" s="508">
        <v>1.0649999999999999</v>
      </c>
      <c r="K4183" s="508">
        <v>0.621</v>
      </c>
      <c r="L4183" s="508">
        <v>0.66800000000000004</v>
      </c>
      <c r="M4183" s="508">
        <v>0.64500000000000002</v>
      </c>
      <c r="N4183" s="508">
        <v>0.94699999999999995</v>
      </c>
      <c r="O4183" s="508">
        <v>0.92800000000000005</v>
      </c>
      <c r="P4183" s="508">
        <v>0.89100000000000001</v>
      </c>
      <c r="Q4183" s="508">
        <v>0.88100000000000001</v>
      </c>
      <c r="R4183" s="508">
        <v>0.52700000000000002</v>
      </c>
      <c r="S4183" s="508">
        <v>0.51400000000000001</v>
      </c>
      <c r="T4183" s="508">
        <v>0.52400000000000002</v>
      </c>
      <c r="U4183" s="508">
        <v>0.51600000000000001</v>
      </c>
      <c r="V4183" s="508">
        <v>0.52</v>
      </c>
      <c r="W4183" s="508">
        <v>0.47299999999999998</v>
      </c>
      <c r="X4183" s="508">
        <v>0.46899999999999997</v>
      </c>
      <c r="Y4183" s="508">
        <v>0.47399999999999998</v>
      </c>
      <c r="Z4183" s="508">
        <v>0.47299999999999998</v>
      </c>
      <c r="AA4183" s="508">
        <v>0.02</v>
      </c>
      <c r="AB4183" s="508">
        <v>1.9E-2</v>
      </c>
      <c r="AC4183" s="508">
        <v>0.02</v>
      </c>
      <c r="AD4183" s="508">
        <v>1.7999999999999999E-2</v>
      </c>
      <c r="AE4183" s="508">
        <v>1.7999999999999999E-2</v>
      </c>
      <c r="AF4183" s="508">
        <v>1.0999999999999999E-2</v>
      </c>
      <c r="AG4183" s="508">
        <v>1.0999999999999999E-2</v>
      </c>
      <c r="AH4183" s="508">
        <v>1.0999999999999999E-2</v>
      </c>
      <c r="AI4183" s="492">
        <v>1.0999999999999999E-2</v>
      </c>
      <c r="AJ4183" s="485"/>
    </row>
    <row r="4184" spans="2:36">
      <c r="B4184" s="136" t="s">
        <v>466</v>
      </c>
      <c r="C4184" s="132" t="s">
        <v>1373</v>
      </c>
      <c r="D4184" s="132" t="s">
        <v>284</v>
      </c>
      <c r="E4184" s="508">
        <v>2.0539999999999998</v>
      </c>
      <c r="F4184" s="508">
        <v>1.9870000000000001</v>
      </c>
      <c r="G4184" s="508">
        <v>2.1019999999999999</v>
      </c>
      <c r="H4184" s="508">
        <v>1.2310000000000001</v>
      </c>
      <c r="I4184" s="508">
        <v>1.248</v>
      </c>
      <c r="J4184" s="508">
        <v>1.1870000000000001</v>
      </c>
      <c r="K4184" s="508">
        <v>0.73599999999999999</v>
      </c>
      <c r="L4184" s="508">
        <v>0.77600000000000002</v>
      </c>
      <c r="M4184" s="508">
        <v>0.75700000000000001</v>
      </c>
      <c r="N4184" s="508">
        <v>1.1279999999999999</v>
      </c>
      <c r="O4184" s="508">
        <v>1.1020000000000001</v>
      </c>
      <c r="P4184" s="508">
        <v>1.0509999999999999</v>
      </c>
      <c r="Q4184" s="508">
        <v>1.0369999999999999</v>
      </c>
      <c r="R4184" s="508">
        <v>0.59099999999999997</v>
      </c>
      <c r="S4184" s="508">
        <v>0.56999999999999995</v>
      </c>
      <c r="T4184" s="508">
        <v>0.58599999999999997</v>
      </c>
      <c r="U4184" s="508">
        <v>0.57399999999999995</v>
      </c>
      <c r="V4184" s="508">
        <v>0.57999999999999996</v>
      </c>
      <c r="W4184" s="508">
        <v>0.52900000000000003</v>
      </c>
      <c r="X4184" s="508">
        <v>0.52300000000000002</v>
      </c>
      <c r="Y4184" s="508">
        <v>0.53</v>
      </c>
      <c r="Z4184" s="508">
        <v>0.53</v>
      </c>
      <c r="AA4184" s="508">
        <v>2.1999999999999999E-2</v>
      </c>
      <c r="AB4184" s="508">
        <v>2.1000000000000001E-2</v>
      </c>
      <c r="AC4184" s="508">
        <v>2.3E-2</v>
      </c>
      <c r="AD4184" s="508">
        <v>0.02</v>
      </c>
      <c r="AE4184" s="508">
        <v>0.02</v>
      </c>
      <c r="AF4184" s="508">
        <v>1.2E-2</v>
      </c>
      <c r="AG4184" s="508">
        <v>1.2E-2</v>
      </c>
      <c r="AH4184" s="508">
        <v>1.2E-2</v>
      </c>
      <c r="AI4184" s="492">
        <v>1.2E-2</v>
      </c>
      <c r="AJ4184" s="485"/>
    </row>
    <row r="4185" spans="2:36">
      <c r="B4185" s="136" t="s">
        <v>467</v>
      </c>
      <c r="C4185" s="132" t="s">
        <v>1373</v>
      </c>
      <c r="D4185" s="132" t="s">
        <v>284</v>
      </c>
      <c r="E4185" s="508">
        <v>1.96</v>
      </c>
      <c r="F4185" s="508">
        <v>1.895</v>
      </c>
      <c r="G4185" s="508">
        <v>2.0049999999999999</v>
      </c>
      <c r="H4185" s="508">
        <v>1.145</v>
      </c>
      <c r="I4185" s="508">
        <v>1.161</v>
      </c>
      <c r="J4185" s="508">
        <v>1.1020000000000001</v>
      </c>
      <c r="K4185" s="508">
        <v>0.65300000000000002</v>
      </c>
      <c r="L4185" s="508">
        <v>0.69699999999999995</v>
      </c>
      <c r="M4185" s="508">
        <v>0.67500000000000004</v>
      </c>
      <c r="N4185" s="508">
        <v>0.998</v>
      </c>
      <c r="O4185" s="508">
        <v>0.97599999999999998</v>
      </c>
      <c r="P4185" s="508">
        <v>0.93300000000000005</v>
      </c>
      <c r="Q4185" s="508">
        <v>0.92100000000000004</v>
      </c>
      <c r="R4185" s="508">
        <v>0.54800000000000004</v>
      </c>
      <c r="S4185" s="508">
        <v>0.53300000000000003</v>
      </c>
      <c r="T4185" s="508">
        <v>0.54500000000000004</v>
      </c>
      <c r="U4185" s="508">
        <v>0.53600000000000003</v>
      </c>
      <c r="V4185" s="508">
        <v>0.54</v>
      </c>
      <c r="W4185" s="508">
        <v>0.49099999999999999</v>
      </c>
      <c r="X4185" s="508">
        <v>0.48699999999999999</v>
      </c>
      <c r="Y4185" s="508">
        <v>0.49199999999999999</v>
      </c>
      <c r="Z4185" s="508">
        <v>0.49199999999999999</v>
      </c>
      <c r="AA4185" s="508">
        <v>2.1000000000000001E-2</v>
      </c>
      <c r="AB4185" s="508">
        <v>0.02</v>
      </c>
      <c r="AC4185" s="508">
        <v>2.1000000000000001E-2</v>
      </c>
      <c r="AD4185" s="508">
        <v>1.9E-2</v>
      </c>
      <c r="AE4185" s="508">
        <v>1.7999999999999999E-2</v>
      </c>
      <c r="AF4185" s="508">
        <v>1.0999999999999999E-2</v>
      </c>
      <c r="AG4185" s="508">
        <v>1.0999999999999999E-2</v>
      </c>
      <c r="AH4185" s="508">
        <v>1.0999999999999999E-2</v>
      </c>
      <c r="AI4185" s="492">
        <v>1.0999999999999999E-2</v>
      </c>
      <c r="AJ4185" s="485"/>
    </row>
    <row r="4186" spans="2:36">
      <c r="B4186" s="136" t="s">
        <v>468</v>
      </c>
      <c r="C4186" s="132" t="s">
        <v>1373</v>
      </c>
      <c r="D4186" s="132" t="s">
        <v>284</v>
      </c>
      <c r="E4186" s="508">
        <v>1.8680000000000001</v>
      </c>
      <c r="F4186" s="508">
        <v>1.8049999999999999</v>
      </c>
      <c r="G4186" s="508">
        <v>1.913</v>
      </c>
      <c r="H4186" s="508">
        <v>1.075</v>
      </c>
      <c r="I4186" s="508">
        <v>1.0900000000000001</v>
      </c>
      <c r="J4186" s="508">
        <v>1.036</v>
      </c>
      <c r="K4186" s="508">
        <v>0.59399999999999997</v>
      </c>
      <c r="L4186" s="508">
        <v>0.64400000000000002</v>
      </c>
      <c r="M4186" s="508">
        <v>0.62</v>
      </c>
      <c r="N4186" s="508">
        <v>0.90300000000000002</v>
      </c>
      <c r="O4186" s="508">
        <v>0.88700000000000001</v>
      </c>
      <c r="P4186" s="508">
        <v>0.85499999999999998</v>
      </c>
      <c r="Q4186" s="508">
        <v>0.84699999999999998</v>
      </c>
      <c r="R4186" s="508">
        <v>0.51</v>
      </c>
      <c r="S4186" s="508">
        <v>0.497</v>
      </c>
      <c r="T4186" s="508">
        <v>0.50700000000000001</v>
      </c>
      <c r="U4186" s="508">
        <v>0.5</v>
      </c>
      <c r="V4186" s="508">
        <v>0.503</v>
      </c>
      <c r="W4186" s="508">
        <v>0.45700000000000002</v>
      </c>
      <c r="X4186" s="508">
        <v>0.45400000000000001</v>
      </c>
      <c r="Y4186" s="508">
        <v>0.45800000000000002</v>
      </c>
      <c r="Z4186" s="508">
        <v>0.45800000000000002</v>
      </c>
      <c r="AA4186" s="508">
        <v>0.02</v>
      </c>
      <c r="AB4186" s="508">
        <v>1.9E-2</v>
      </c>
      <c r="AC4186" s="508">
        <v>0.02</v>
      </c>
      <c r="AD4186" s="508">
        <v>1.7999999999999999E-2</v>
      </c>
      <c r="AE4186" s="508">
        <v>1.7000000000000001E-2</v>
      </c>
      <c r="AF4186" s="508">
        <v>1.0999999999999999E-2</v>
      </c>
      <c r="AG4186" s="508">
        <v>0.01</v>
      </c>
      <c r="AH4186" s="508">
        <v>0.01</v>
      </c>
      <c r="AI4186" s="492">
        <v>0.01</v>
      </c>
      <c r="AJ4186" s="485"/>
    </row>
    <row r="4187" spans="2:36">
      <c r="B4187" s="136" t="s">
        <v>469</v>
      </c>
      <c r="C4187" s="132" t="s">
        <v>1373</v>
      </c>
      <c r="D4187" s="132" t="s">
        <v>284</v>
      </c>
      <c r="E4187" s="508">
        <v>1.9259999999999999</v>
      </c>
      <c r="F4187" s="508">
        <v>1.861</v>
      </c>
      <c r="G4187" s="508">
        <v>1.9710000000000001</v>
      </c>
      <c r="H4187" s="508">
        <v>1.119</v>
      </c>
      <c r="I4187" s="508">
        <v>1.135</v>
      </c>
      <c r="J4187" s="508">
        <v>1.0780000000000001</v>
      </c>
      <c r="K4187" s="508">
        <v>0.63300000000000001</v>
      </c>
      <c r="L4187" s="508">
        <v>0.67900000000000005</v>
      </c>
      <c r="M4187" s="508">
        <v>0.65600000000000003</v>
      </c>
      <c r="N4187" s="508">
        <v>0.96599999999999997</v>
      </c>
      <c r="O4187" s="508">
        <v>0.94599999999999995</v>
      </c>
      <c r="P4187" s="508">
        <v>0.90600000000000003</v>
      </c>
      <c r="Q4187" s="508">
        <v>0.89500000000000002</v>
      </c>
      <c r="R4187" s="508">
        <v>0.53500000000000003</v>
      </c>
      <c r="S4187" s="508">
        <v>0.52100000000000002</v>
      </c>
      <c r="T4187" s="508">
        <v>0.53200000000000003</v>
      </c>
      <c r="U4187" s="508">
        <v>0.52300000000000002</v>
      </c>
      <c r="V4187" s="508">
        <v>0.52700000000000002</v>
      </c>
      <c r="W4187" s="508">
        <v>0.47899999999999998</v>
      </c>
      <c r="X4187" s="508">
        <v>0.47599999999999998</v>
      </c>
      <c r="Y4187" s="508">
        <v>0.48099999999999998</v>
      </c>
      <c r="Z4187" s="508">
        <v>0.48</v>
      </c>
      <c r="AA4187" s="508">
        <v>0.02</v>
      </c>
      <c r="AB4187" s="508">
        <v>1.9E-2</v>
      </c>
      <c r="AC4187" s="508">
        <v>2.1000000000000001E-2</v>
      </c>
      <c r="AD4187" s="508">
        <v>1.7999999999999999E-2</v>
      </c>
      <c r="AE4187" s="508">
        <v>1.7999999999999999E-2</v>
      </c>
      <c r="AF4187" s="508">
        <v>1.0999999999999999E-2</v>
      </c>
      <c r="AG4187" s="508">
        <v>1.0999999999999999E-2</v>
      </c>
      <c r="AH4187" s="508">
        <v>1.0999999999999999E-2</v>
      </c>
      <c r="AI4187" s="492">
        <v>1.0999999999999999E-2</v>
      </c>
      <c r="AJ4187" s="485"/>
    </row>
    <row r="4188" spans="2:36">
      <c r="B4188" s="136" t="s">
        <v>470</v>
      </c>
      <c r="C4188" s="132" t="s">
        <v>1373</v>
      </c>
      <c r="D4188" s="132" t="s">
        <v>284</v>
      </c>
      <c r="E4188" s="508">
        <v>2.0230000000000001</v>
      </c>
      <c r="F4188" s="508">
        <v>1.9570000000000001</v>
      </c>
      <c r="G4188" s="508">
        <v>2.0699999999999998</v>
      </c>
      <c r="H4188" s="508">
        <v>1.202</v>
      </c>
      <c r="I4188" s="508">
        <v>1.218</v>
      </c>
      <c r="J4188" s="508">
        <v>1.159</v>
      </c>
      <c r="K4188" s="508">
        <v>0.70499999999999996</v>
      </c>
      <c r="L4188" s="508">
        <v>0.748</v>
      </c>
      <c r="M4188" s="508">
        <v>0.72699999999999998</v>
      </c>
      <c r="N4188" s="508">
        <v>1.079</v>
      </c>
      <c r="O4188" s="508">
        <v>1.056</v>
      </c>
      <c r="P4188" s="508">
        <v>1.0089999999999999</v>
      </c>
      <c r="Q4188" s="508">
        <v>0.997</v>
      </c>
      <c r="R4188" s="508">
        <v>0.57499999999999996</v>
      </c>
      <c r="S4188" s="508">
        <v>0.55700000000000005</v>
      </c>
      <c r="T4188" s="508">
        <v>0.57099999999999995</v>
      </c>
      <c r="U4188" s="508">
        <v>0.56000000000000005</v>
      </c>
      <c r="V4188" s="508">
        <v>0.56599999999999995</v>
      </c>
      <c r="W4188" s="508">
        <v>0.51500000000000001</v>
      </c>
      <c r="X4188" s="508">
        <v>0.51</v>
      </c>
      <c r="Y4188" s="508">
        <v>0.51700000000000002</v>
      </c>
      <c r="Z4188" s="508">
        <v>0.51600000000000001</v>
      </c>
      <c r="AA4188" s="508">
        <v>2.1999999999999999E-2</v>
      </c>
      <c r="AB4188" s="508">
        <v>0.02</v>
      </c>
      <c r="AC4188" s="508">
        <v>2.1999999999999999E-2</v>
      </c>
      <c r="AD4188" s="508">
        <v>0.02</v>
      </c>
      <c r="AE4188" s="508">
        <v>1.9E-2</v>
      </c>
      <c r="AF4188" s="508">
        <v>1.2E-2</v>
      </c>
      <c r="AG4188" s="508">
        <v>1.0999999999999999E-2</v>
      </c>
      <c r="AH4188" s="508">
        <v>1.0999999999999999E-2</v>
      </c>
      <c r="AI4188" s="492">
        <v>1.0999999999999999E-2</v>
      </c>
      <c r="AJ4188" s="485"/>
    </row>
    <row r="4189" spans="2:36">
      <c r="B4189" s="136" t="s">
        <v>471</v>
      </c>
      <c r="C4189" s="132" t="s">
        <v>1373</v>
      </c>
      <c r="D4189" s="132" t="s">
        <v>284</v>
      </c>
      <c r="E4189" s="508">
        <v>1.9950000000000001</v>
      </c>
      <c r="F4189" s="508">
        <v>1.93</v>
      </c>
      <c r="G4189" s="508">
        <v>2.0409999999999999</v>
      </c>
      <c r="H4189" s="508">
        <v>1.175</v>
      </c>
      <c r="I4189" s="508">
        <v>1.1919999999999999</v>
      </c>
      <c r="J4189" s="508">
        <v>1.1319999999999999</v>
      </c>
      <c r="K4189" s="508">
        <v>0.68100000000000005</v>
      </c>
      <c r="L4189" s="508">
        <v>0.72299999999999998</v>
      </c>
      <c r="M4189" s="508">
        <v>0.70199999999999996</v>
      </c>
      <c r="N4189" s="508">
        <v>1.042</v>
      </c>
      <c r="O4189" s="508">
        <v>1.018</v>
      </c>
      <c r="P4189" s="508">
        <v>0.97199999999999998</v>
      </c>
      <c r="Q4189" s="508">
        <v>0.95899999999999996</v>
      </c>
      <c r="R4189" s="508">
        <v>0.56399999999999995</v>
      </c>
      <c r="S4189" s="508">
        <v>0.54700000000000004</v>
      </c>
      <c r="T4189" s="508">
        <v>0.56000000000000005</v>
      </c>
      <c r="U4189" s="508">
        <v>0.55000000000000004</v>
      </c>
      <c r="V4189" s="508">
        <v>0.55500000000000005</v>
      </c>
      <c r="W4189" s="508">
        <v>0.505</v>
      </c>
      <c r="X4189" s="508">
        <v>0.5</v>
      </c>
      <c r="Y4189" s="508">
        <v>0.50600000000000001</v>
      </c>
      <c r="Z4189" s="508">
        <v>0.50600000000000001</v>
      </c>
      <c r="AA4189" s="508">
        <v>2.1000000000000001E-2</v>
      </c>
      <c r="AB4189" s="508">
        <v>0.02</v>
      </c>
      <c r="AC4189" s="508">
        <v>2.1999999999999999E-2</v>
      </c>
      <c r="AD4189" s="508">
        <v>1.9E-2</v>
      </c>
      <c r="AE4189" s="508">
        <v>1.9E-2</v>
      </c>
      <c r="AF4189" s="508">
        <v>1.0999999999999999E-2</v>
      </c>
      <c r="AG4189" s="508">
        <v>1.0999999999999999E-2</v>
      </c>
      <c r="AH4189" s="508">
        <v>1.0999999999999999E-2</v>
      </c>
      <c r="AI4189" s="492">
        <v>1.0999999999999999E-2</v>
      </c>
      <c r="AJ4189" s="485"/>
    </row>
    <row r="4190" spans="2:36">
      <c r="B4190" s="136" t="s">
        <v>472</v>
      </c>
      <c r="C4190" s="132" t="s">
        <v>1373</v>
      </c>
      <c r="D4190" s="132" t="s">
        <v>284</v>
      </c>
      <c r="E4190" s="508">
        <v>1.887</v>
      </c>
      <c r="F4190" s="508">
        <v>1.8240000000000001</v>
      </c>
      <c r="G4190" s="508">
        <v>1.931</v>
      </c>
      <c r="H4190" s="508">
        <v>1.083</v>
      </c>
      <c r="I4190" s="508">
        <v>1.099</v>
      </c>
      <c r="J4190" s="508">
        <v>1.042</v>
      </c>
      <c r="K4190" s="508">
        <v>0.59799999999999998</v>
      </c>
      <c r="L4190" s="508">
        <v>0.64500000000000002</v>
      </c>
      <c r="M4190" s="508">
        <v>0.622</v>
      </c>
      <c r="N4190" s="508">
        <v>0.91300000000000003</v>
      </c>
      <c r="O4190" s="508">
        <v>0.89400000000000002</v>
      </c>
      <c r="P4190" s="508">
        <v>0.85599999999999998</v>
      </c>
      <c r="Q4190" s="508">
        <v>0.84599999999999997</v>
      </c>
      <c r="R4190" s="508">
        <v>0.51800000000000002</v>
      </c>
      <c r="S4190" s="508">
        <v>0.50600000000000001</v>
      </c>
      <c r="T4190" s="508">
        <v>0.51500000000000001</v>
      </c>
      <c r="U4190" s="508">
        <v>0.50800000000000001</v>
      </c>
      <c r="V4190" s="508">
        <v>0.51100000000000001</v>
      </c>
      <c r="W4190" s="508">
        <v>0.46400000000000002</v>
      </c>
      <c r="X4190" s="508">
        <v>0.46100000000000002</v>
      </c>
      <c r="Y4190" s="508">
        <v>0.46500000000000002</v>
      </c>
      <c r="Z4190" s="508">
        <v>0.46500000000000002</v>
      </c>
      <c r="AA4190" s="508">
        <v>0.02</v>
      </c>
      <c r="AB4190" s="508">
        <v>1.9E-2</v>
      </c>
      <c r="AC4190" s="508">
        <v>0.02</v>
      </c>
      <c r="AD4190" s="508">
        <v>1.7999999999999999E-2</v>
      </c>
      <c r="AE4190" s="508">
        <v>1.7000000000000001E-2</v>
      </c>
      <c r="AF4190" s="508">
        <v>1.0999999999999999E-2</v>
      </c>
      <c r="AG4190" s="508">
        <v>0.01</v>
      </c>
      <c r="AH4190" s="508">
        <v>0.01</v>
      </c>
      <c r="AI4190" s="492">
        <v>0.01</v>
      </c>
      <c r="AJ4190" s="485"/>
    </row>
    <row r="4191" spans="2:36">
      <c r="B4191" s="136" t="s">
        <v>473</v>
      </c>
      <c r="C4191" s="132" t="s">
        <v>1373</v>
      </c>
      <c r="D4191" s="132" t="s">
        <v>284</v>
      </c>
      <c r="E4191" s="508">
        <v>2.028</v>
      </c>
      <c r="F4191" s="508">
        <v>1.962</v>
      </c>
      <c r="G4191" s="508">
        <v>2.0750000000000002</v>
      </c>
      <c r="H4191" s="508">
        <v>1.2050000000000001</v>
      </c>
      <c r="I4191" s="508">
        <v>1.222</v>
      </c>
      <c r="J4191" s="508">
        <v>1.1619999999999999</v>
      </c>
      <c r="K4191" s="508">
        <v>0.71</v>
      </c>
      <c r="L4191" s="508">
        <v>0.751</v>
      </c>
      <c r="M4191" s="508">
        <v>0.73099999999999998</v>
      </c>
      <c r="N4191" s="508">
        <v>1.0880000000000001</v>
      </c>
      <c r="O4191" s="508">
        <v>1.0629999999999999</v>
      </c>
      <c r="P4191" s="508">
        <v>1.0129999999999999</v>
      </c>
      <c r="Q4191" s="508">
        <v>1</v>
      </c>
      <c r="R4191" s="508">
        <v>0.57899999999999996</v>
      </c>
      <c r="S4191" s="508">
        <v>0.56000000000000005</v>
      </c>
      <c r="T4191" s="508">
        <v>0.57499999999999996</v>
      </c>
      <c r="U4191" s="508">
        <v>0.56299999999999994</v>
      </c>
      <c r="V4191" s="508">
        <v>0.56899999999999995</v>
      </c>
      <c r="W4191" s="508">
        <v>0.51800000000000002</v>
      </c>
      <c r="X4191" s="508">
        <v>0.51300000000000001</v>
      </c>
      <c r="Y4191" s="508">
        <v>0.52</v>
      </c>
      <c r="Z4191" s="508">
        <v>0.51900000000000002</v>
      </c>
      <c r="AA4191" s="508">
        <v>2.1999999999999999E-2</v>
      </c>
      <c r="AB4191" s="508">
        <v>0.02</v>
      </c>
      <c r="AC4191" s="508">
        <v>2.1999999999999999E-2</v>
      </c>
      <c r="AD4191" s="508">
        <v>0.02</v>
      </c>
      <c r="AE4191" s="508">
        <v>1.9E-2</v>
      </c>
      <c r="AF4191" s="508">
        <v>1.2E-2</v>
      </c>
      <c r="AG4191" s="508">
        <v>1.0999999999999999E-2</v>
      </c>
      <c r="AH4191" s="508">
        <v>1.0999999999999999E-2</v>
      </c>
      <c r="AI4191" s="492">
        <v>1.0999999999999999E-2</v>
      </c>
      <c r="AJ4191" s="485"/>
    </row>
    <row r="4192" spans="2:36">
      <c r="B4192" s="136" t="s">
        <v>474</v>
      </c>
      <c r="C4192" s="132" t="s">
        <v>1373</v>
      </c>
      <c r="D4192" s="132" t="s">
        <v>284</v>
      </c>
      <c r="E4192" s="508">
        <v>1.9710000000000001</v>
      </c>
      <c r="F4192" s="508">
        <v>1.9059999999999999</v>
      </c>
      <c r="G4192" s="508">
        <v>2.016</v>
      </c>
      <c r="H4192" s="508">
        <v>1.1559999999999999</v>
      </c>
      <c r="I4192" s="508">
        <v>1.1719999999999999</v>
      </c>
      <c r="J4192" s="508">
        <v>1.113</v>
      </c>
      <c r="K4192" s="508">
        <v>0.66500000000000004</v>
      </c>
      <c r="L4192" s="508">
        <v>0.70799999999999996</v>
      </c>
      <c r="M4192" s="508">
        <v>0.68700000000000006</v>
      </c>
      <c r="N4192" s="508">
        <v>1.0169999999999999</v>
      </c>
      <c r="O4192" s="508">
        <v>0.99399999999999999</v>
      </c>
      <c r="P4192" s="508">
        <v>0.95</v>
      </c>
      <c r="Q4192" s="508">
        <v>0.93799999999999994</v>
      </c>
      <c r="R4192" s="508">
        <v>0.55400000000000005</v>
      </c>
      <c r="S4192" s="508">
        <v>0.53800000000000003</v>
      </c>
      <c r="T4192" s="508">
        <v>0.55000000000000004</v>
      </c>
      <c r="U4192" s="508">
        <v>0.54100000000000004</v>
      </c>
      <c r="V4192" s="508">
        <v>0.54500000000000004</v>
      </c>
      <c r="W4192" s="508">
        <v>0.496</v>
      </c>
      <c r="X4192" s="508">
        <v>0.49199999999999999</v>
      </c>
      <c r="Y4192" s="508">
        <v>0.497</v>
      </c>
      <c r="Z4192" s="508">
        <v>0.497</v>
      </c>
      <c r="AA4192" s="508">
        <v>2.1000000000000001E-2</v>
      </c>
      <c r="AB4192" s="508">
        <v>0.02</v>
      </c>
      <c r="AC4192" s="508">
        <v>2.1000000000000001E-2</v>
      </c>
      <c r="AD4192" s="508">
        <v>1.9E-2</v>
      </c>
      <c r="AE4192" s="508">
        <v>1.7999999999999999E-2</v>
      </c>
      <c r="AF4192" s="508">
        <v>1.0999999999999999E-2</v>
      </c>
      <c r="AG4192" s="508">
        <v>1.0999999999999999E-2</v>
      </c>
      <c r="AH4192" s="508">
        <v>1.0999999999999999E-2</v>
      </c>
      <c r="AI4192" s="492">
        <v>1.0999999999999999E-2</v>
      </c>
      <c r="AJ4192" s="485"/>
    </row>
    <row r="4193" spans="2:36">
      <c r="B4193" s="136" t="s">
        <v>475</v>
      </c>
      <c r="C4193" s="132" t="s">
        <v>1373</v>
      </c>
      <c r="D4193" s="132" t="s">
        <v>284</v>
      </c>
      <c r="E4193" s="508">
        <v>1.9490000000000001</v>
      </c>
      <c r="F4193" s="508">
        <v>1.885</v>
      </c>
      <c r="G4193" s="508">
        <v>1.9950000000000001</v>
      </c>
      <c r="H4193" s="508">
        <v>1.137</v>
      </c>
      <c r="I4193" s="508">
        <v>1.153</v>
      </c>
      <c r="J4193" s="508">
        <v>1.095</v>
      </c>
      <c r="K4193" s="508">
        <v>0.64700000000000002</v>
      </c>
      <c r="L4193" s="508">
        <v>0.69199999999999995</v>
      </c>
      <c r="M4193" s="508">
        <v>0.67</v>
      </c>
      <c r="N4193" s="508">
        <v>0.98899999999999999</v>
      </c>
      <c r="O4193" s="508">
        <v>0.96699999999999997</v>
      </c>
      <c r="P4193" s="508">
        <v>0.92500000000000004</v>
      </c>
      <c r="Q4193" s="508">
        <v>0.91400000000000003</v>
      </c>
      <c r="R4193" s="508">
        <v>0.54400000000000004</v>
      </c>
      <c r="S4193" s="508">
        <v>0.52900000000000003</v>
      </c>
      <c r="T4193" s="508">
        <v>0.54100000000000004</v>
      </c>
      <c r="U4193" s="508">
        <v>0.53200000000000003</v>
      </c>
      <c r="V4193" s="508">
        <v>0.53600000000000003</v>
      </c>
      <c r="W4193" s="508">
        <v>0.48799999999999999</v>
      </c>
      <c r="X4193" s="508">
        <v>0.48399999999999999</v>
      </c>
      <c r="Y4193" s="508">
        <v>0.48899999999999999</v>
      </c>
      <c r="Z4193" s="508">
        <v>0.48799999999999999</v>
      </c>
      <c r="AA4193" s="508">
        <v>2.1000000000000001E-2</v>
      </c>
      <c r="AB4193" s="508">
        <v>1.9E-2</v>
      </c>
      <c r="AC4193" s="508">
        <v>2.1000000000000001E-2</v>
      </c>
      <c r="AD4193" s="508">
        <v>1.9E-2</v>
      </c>
      <c r="AE4193" s="508">
        <v>1.7999999999999999E-2</v>
      </c>
      <c r="AF4193" s="508">
        <v>1.0999999999999999E-2</v>
      </c>
      <c r="AG4193" s="508">
        <v>1.0999999999999999E-2</v>
      </c>
      <c r="AH4193" s="508">
        <v>1.0999999999999999E-2</v>
      </c>
      <c r="AI4193" s="492">
        <v>1.0999999999999999E-2</v>
      </c>
      <c r="AJ4193" s="485"/>
    </row>
    <row r="4194" spans="2:36">
      <c r="B4194" s="136" t="s">
        <v>476</v>
      </c>
      <c r="C4194" s="132" t="s">
        <v>1373</v>
      </c>
      <c r="D4194" s="132" t="s">
        <v>284</v>
      </c>
      <c r="E4194" s="508">
        <v>1.9930000000000001</v>
      </c>
      <c r="F4194" s="508">
        <v>1.927</v>
      </c>
      <c r="G4194" s="508">
        <v>2.0390000000000001</v>
      </c>
      <c r="H4194" s="508">
        <v>1.177</v>
      </c>
      <c r="I4194" s="508">
        <v>1.194</v>
      </c>
      <c r="J4194" s="508">
        <v>1.135</v>
      </c>
      <c r="K4194" s="508">
        <v>0.68600000000000005</v>
      </c>
      <c r="L4194" s="508">
        <v>0.72899999999999998</v>
      </c>
      <c r="M4194" s="508">
        <v>0.70799999999999996</v>
      </c>
      <c r="N4194" s="508">
        <v>1.048</v>
      </c>
      <c r="O4194" s="508">
        <v>1.026</v>
      </c>
      <c r="P4194" s="508">
        <v>0.98099999999999998</v>
      </c>
      <c r="Q4194" s="508">
        <v>0.96899999999999997</v>
      </c>
      <c r="R4194" s="508">
        <v>0.56299999999999994</v>
      </c>
      <c r="S4194" s="508">
        <v>0.54600000000000004</v>
      </c>
      <c r="T4194" s="508">
        <v>0.56000000000000005</v>
      </c>
      <c r="U4194" s="508">
        <v>0.54900000000000004</v>
      </c>
      <c r="V4194" s="508">
        <v>0.55400000000000005</v>
      </c>
      <c r="W4194" s="508">
        <v>0.504</v>
      </c>
      <c r="X4194" s="508">
        <v>0.5</v>
      </c>
      <c r="Y4194" s="508">
        <v>0.50600000000000001</v>
      </c>
      <c r="Z4194" s="508">
        <v>0.50600000000000001</v>
      </c>
      <c r="AA4194" s="508">
        <v>2.1000000000000001E-2</v>
      </c>
      <c r="AB4194" s="508">
        <v>0.02</v>
      </c>
      <c r="AC4194" s="508">
        <v>2.1999999999999999E-2</v>
      </c>
      <c r="AD4194" s="508">
        <v>1.9E-2</v>
      </c>
      <c r="AE4194" s="508">
        <v>1.9E-2</v>
      </c>
      <c r="AF4194" s="508">
        <v>1.0999999999999999E-2</v>
      </c>
      <c r="AG4194" s="508">
        <v>1.0999999999999999E-2</v>
      </c>
      <c r="AH4194" s="508">
        <v>1.0999999999999999E-2</v>
      </c>
      <c r="AI4194" s="492">
        <v>1.0999999999999999E-2</v>
      </c>
      <c r="AJ4194" s="485"/>
    </row>
    <row r="4195" spans="2:36">
      <c r="B4195" s="136" t="s">
        <v>478</v>
      </c>
      <c r="C4195" s="132" t="s">
        <v>1373</v>
      </c>
      <c r="D4195" s="132" t="s">
        <v>284</v>
      </c>
      <c r="E4195" s="508">
        <v>2.0390000000000001</v>
      </c>
      <c r="F4195" s="508">
        <v>1.972</v>
      </c>
      <c r="G4195" s="508">
        <v>2.0859999999999999</v>
      </c>
      <c r="H4195" s="508">
        <v>1.2190000000000001</v>
      </c>
      <c r="I4195" s="508">
        <v>1.2350000000000001</v>
      </c>
      <c r="J4195" s="508">
        <v>1.1759999999999999</v>
      </c>
      <c r="K4195" s="508">
        <v>0.72199999999999998</v>
      </c>
      <c r="L4195" s="508">
        <v>0.76500000000000001</v>
      </c>
      <c r="M4195" s="508">
        <v>0.74399999999999999</v>
      </c>
      <c r="N4195" s="508">
        <v>1.1040000000000001</v>
      </c>
      <c r="O4195" s="508">
        <v>1.081</v>
      </c>
      <c r="P4195" s="508">
        <v>1.034</v>
      </c>
      <c r="Q4195" s="508">
        <v>1.022</v>
      </c>
      <c r="R4195" s="508">
        <v>0.58199999999999996</v>
      </c>
      <c r="S4195" s="508">
        <v>0.56200000000000006</v>
      </c>
      <c r="T4195" s="508">
        <v>0.57799999999999996</v>
      </c>
      <c r="U4195" s="508">
        <v>0.56599999999999995</v>
      </c>
      <c r="V4195" s="508">
        <v>0.57199999999999995</v>
      </c>
      <c r="W4195" s="508">
        <v>0.52100000000000002</v>
      </c>
      <c r="X4195" s="508">
        <v>0.51600000000000001</v>
      </c>
      <c r="Y4195" s="508">
        <v>0.52300000000000002</v>
      </c>
      <c r="Z4195" s="508">
        <v>0.52200000000000002</v>
      </c>
      <c r="AA4195" s="508">
        <v>2.1999999999999999E-2</v>
      </c>
      <c r="AB4195" s="508">
        <v>2.1000000000000001E-2</v>
      </c>
      <c r="AC4195" s="508">
        <v>2.1999999999999999E-2</v>
      </c>
      <c r="AD4195" s="508">
        <v>0.02</v>
      </c>
      <c r="AE4195" s="508">
        <v>1.9E-2</v>
      </c>
      <c r="AF4195" s="508">
        <v>1.2E-2</v>
      </c>
      <c r="AG4195" s="508">
        <v>1.2E-2</v>
      </c>
      <c r="AH4195" s="508">
        <v>1.2E-2</v>
      </c>
      <c r="AI4195" s="492">
        <v>1.2E-2</v>
      </c>
      <c r="AJ4195" s="485"/>
    </row>
    <row r="4196" spans="2:36">
      <c r="B4196" s="136" t="s">
        <v>479</v>
      </c>
      <c r="C4196" s="132" t="s">
        <v>1373</v>
      </c>
      <c r="D4196" s="132" t="s">
        <v>284</v>
      </c>
      <c r="E4196" s="508">
        <v>1.9530000000000001</v>
      </c>
      <c r="F4196" s="508">
        <v>1.8879999999999999</v>
      </c>
      <c r="G4196" s="508">
        <v>1.998</v>
      </c>
      <c r="H4196" s="508">
        <v>1.143</v>
      </c>
      <c r="I4196" s="508">
        <v>1.159</v>
      </c>
      <c r="J4196" s="508">
        <v>1.101</v>
      </c>
      <c r="K4196" s="508">
        <v>0.65500000000000003</v>
      </c>
      <c r="L4196" s="508">
        <v>0.69899999999999995</v>
      </c>
      <c r="M4196" s="508">
        <v>0.67800000000000005</v>
      </c>
      <c r="N4196" s="508">
        <v>1</v>
      </c>
      <c r="O4196" s="508">
        <v>0.97899999999999998</v>
      </c>
      <c r="P4196" s="508">
        <v>0.93700000000000006</v>
      </c>
      <c r="Q4196" s="508">
        <v>0.92600000000000005</v>
      </c>
      <c r="R4196" s="508">
        <v>0.54600000000000004</v>
      </c>
      <c r="S4196" s="508">
        <v>0.53100000000000003</v>
      </c>
      <c r="T4196" s="508">
        <v>0.54300000000000004</v>
      </c>
      <c r="U4196" s="508">
        <v>0.53400000000000003</v>
      </c>
      <c r="V4196" s="508">
        <v>0.53800000000000003</v>
      </c>
      <c r="W4196" s="508">
        <v>0.48899999999999999</v>
      </c>
      <c r="X4196" s="508">
        <v>0.48499999999999999</v>
      </c>
      <c r="Y4196" s="508">
        <v>0.49099999999999999</v>
      </c>
      <c r="Z4196" s="508">
        <v>0.49</v>
      </c>
      <c r="AA4196" s="508">
        <v>2.1000000000000001E-2</v>
      </c>
      <c r="AB4196" s="508">
        <v>0.02</v>
      </c>
      <c r="AC4196" s="508">
        <v>2.1000000000000001E-2</v>
      </c>
      <c r="AD4196" s="508">
        <v>1.9E-2</v>
      </c>
      <c r="AE4196" s="508">
        <v>1.7999999999999999E-2</v>
      </c>
      <c r="AF4196" s="508">
        <v>1.0999999999999999E-2</v>
      </c>
      <c r="AG4196" s="508">
        <v>1.0999999999999999E-2</v>
      </c>
      <c r="AH4196" s="508">
        <v>1.0999999999999999E-2</v>
      </c>
      <c r="AI4196" s="492">
        <v>1.0999999999999999E-2</v>
      </c>
      <c r="AJ4196" s="485"/>
    </row>
    <row r="4197" spans="2:36">
      <c r="B4197" s="136" t="s">
        <v>480</v>
      </c>
      <c r="C4197" s="132" t="s">
        <v>1373</v>
      </c>
      <c r="D4197" s="132" t="s">
        <v>284</v>
      </c>
      <c r="E4197" s="508">
        <v>1.8680000000000001</v>
      </c>
      <c r="F4197" s="508">
        <v>1.8049999999999999</v>
      </c>
      <c r="G4197" s="508">
        <v>1.9119999999999999</v>
      </c>
      <c r="H4197" s="508">
        <v>1.071</v>
      </c>
      <c r="I4197" s="508">
        <v>1.0860000000000001</v>
      </c>
      <c r="J4197" s="508">
        <v>1.0309999999999999</v>
      </c>
      <c r="K4197" s="508">
        <v>0.58899999999999997</v>
      </c>
      <c r="L4197" s="508">
        <v>0.63800000000000001</v>
      </c>
      <c r="M4197" s="508">
        <v>0.61399999999999999</v>
      </c>
      <c r="N4197" s="508">
        <v>0.89600000000000002</v>
      </c>
      <c r="O4197" s="508">
        <v>0.879</v>
      </c>
      <c r="P4197" s="508">
        <v>0.84499999999999997</v>
      </c>
      <c r="Q4197" s="508">
        <v>0.83599999999999997</v>
      </c>
      <c r="R4197" s="508">
        <v>0.51</v>
      </c>
      <c r="S4197" s="508">
        <v>0.498</v>
      </c>
      <c r="T4197" s="508">
        <v>0.50700000000000001</v>
      </c>
      <c r="U4197" s="508">
        <v>0.5</v>
      </c>
      <c r="V4197" s="508">
        <v>0.503</v>
      </c>
      <c r="W4197" s="508">
        <v>0.45700000000000002</v>
      </c>
      <c r="X4197" s="508">
        <v>0.45400000000000001</v>
      </c>
      <c r="Y4197" s="508">
        <v>0.45800000000000002</v>
      </c>
      <c r="Z4197" s="508">
        <v>0.45800000000000002</v>
      </c>
      <c r="AA4197" s="508">
        <v>0.02</v>
      </c>
      <c r="AB4197" s="508">
        <v>1.7999999999999999E-2</v>
      </c>
      <c r="AC4197" s="508">
        <v>0.02</v>
      </c>
      <c r="AD4197" s="508">
        <v>1.7999999999999999E-2</v>
      </c>
      <c r="AE4197" s="508">
        <v>1.7000000000000001E-2</v>
      </c>
      <c r="AF4197" s="508">
        <v>0.01</v>
      </c>
      <c r="AG4197" s="508">
        <v>0.01</v>
      </c>
      <c r="AH4197" s="508">
        <v>0.01</v>
      </c>
      <c r="AI4197" s="492">
        <v>0.01</v>
      </c>
      <c r="AJ4197" s="485"/>
    </row>
    <row r="4198" spans="2:36">
      <c r="B4198" s="136" t="s">
        <v>481</v>
      </c>
      <c r="C4198" s="132" t="s">
        <v>1373</v>
      </c>
      <c r="D4198" s="132" t="s">
        <v>284</v>
      </c>
      <c r="E4198" s="508">
        <v>1.972</v>
      </c>
      <c r="F4198" s="508">
        <v>1.907</v>
      </c>
      <c r="G4198" s="508">
        <v>2.0179999999999998</v>
      </c>
      <c r="H4198" s="508">
        <v>1.1599999999999999</v>
      </c>
      <c r="I4198" s="508">
        <v>1.1759999999999999</v>
      </c>
      <c r="J4198" s="508">
        <v>1.1180000000000001</v>
      </c>
      <c r="K4198" s="508">
        <v>0.67</v>
      </c>
      <c r="L4198" s="508">
        <v>0.71399999999999997</v>
      </c>
      <c r="M4198" s="508">
        <v>0.69199999999999995</v>
      </c>
      <c r="N4198" s="508">
        <v>1.0229999999999999</v>
      </c>
      <c r="O4198" s="508">
        <v>1.0009999999999999</v>
      </c>
      <c r="P4198" s="508">
        <v>0.95799999999999996</v>
      </c>
      <c r="Q4198" s="508">
        <v>0.94699999999999995</v>
      </c>
      <c r="R4198" s="508">
        <v>0.55400000000000005</v>
      </c>
      <c r="S4198" s="508">
        <v>0.53800000000000003</v>
      </c>
      <c r="T4198" s="508">
        <v>0.55100000000000005</v>
      </c>
      <c r="U4198" s="508">
        <v>0.54100000000000004</v>
      </c>
      <c r="V4198" s="508">
        <v>0.54600000000000004</v>
      </c>
      <c r="W4198" s="508">
        <v>0.497</v>
      </c>
      <c r="X4198" s="508">
        <v>0.49199999999999999</v>
      </c>
      <c r="Y4198" s="508">
        <v>0.498</v>
      </c>
      <c r="Z4198" s="508">
        <v>0.498</v>
      </c>
      <c r="AA4198" s="508">
        <v>2.1000000000000001E-2</v>
      </c>
      <c r="AB4198" s="508">
        <v>0.02</v>
      </c>
      <c r="AC4198" s="508">
        <v>2.1000000000000001E-2</v>
      </c>
      <c r="AD4198" s="508">
        <v>1.9E-2</v>
      </c>
      <c r="AE4198" s="508">
        <v>1.7999999999999999E-2</v>
      </c>
      <c r="AF4198" s="508">
        <v>1.0999999999999999E-2</v>
      </c>
      <c r="AG4198" s="508">
        <v>1.0999999999999999E-2</v>
      </c>
      <c r="AH4198" s="508">
        <v>1.0999999999999999E-2</v>
      </c>
      <c r="AI4198" s="492">
        <v>1.0999999999999999E-2</v>
      </c>
      <c r="AJ4198" s="485"/>
    </row>
    <row r="4199" spans="2:36">
      <c r="B4199" s="136" t="s">
        <v>482</v>
      </c>
      <c r="C4199" s="132" t="s">
        <v>1373</v>
      </c>
      <c r="D4199" s="132" t="s">
        <v>284</v>
      </c>
      <c r="E4199" s="508">
        <v>1.976</v>
      </c>
      <c r="F4199" s="508">
        <v>1.91</v>
      </c>
      <c r="G4199" s="508">
        <v>2.0219999999999998</v>
      </c>
      <c r="H4199" s="508">
        <v>1.1619999999999999</v>
      </c>
      <c r="I4199" s="508">
        <v>1.1779999999999999</v>
      </c>
      <c r="J4199" s="508">
        <v>1.1200000000000001</v>
      </c>
      <c r="K4199" s="508">
        <v>0.66900000000000004</v>
      </c>
      <c r="L4199" s="508">
        <v>0.71399999999999997</v>
      </c>
      <c r="M4199" s="508">
        <v>0.69199999999999995</v>
      </c>
      <c r="N4199" s="508">
        <v>1.022</v>
      </c>
      <c r="O4199" s="508">
        <v>1.0009999999999999</v>
      </c>
      <c r="P4199" s="508">
        <v>0.95899999999999996</v>
      </c>
      <c r="Q4199" s="508">
        <v>0.94799999999999995</v>
      </c>
      <c r="R4199" s="508">
        <v>0.55500000000000005</v>
      </c>
      <c r="S4199" s="508">
        <v>0.53800000000000003</v>
      </c>
      <c r="T4199" s="508">
        <v>0.55100000000000005</v>
      </c>
      <c r="U4199" s="508">
        <v>0.54100000000000004</v>
      </c>
      <c r="V4199" s="508">
        <v>0.54600000000000004</v>
      </c>
      <c r="W4199" s="508">
        <v>0.497</v>
      </c>
      <c r="X4199" s="508">
        <v>0.49199999999999999</v>
      </c>
      <c r="Y4199" s="508">
        <v>0.498</v>
      </c>
      <c r="Z4199" s="508">
        <v>0.498</v>
      </c>
      <c r="AA4199" s="508">
        <v>2.1000000000000001E-2</v>
      </c>
      <c r="AB4199" s="508">
        <v>0.02</v>
      </c>
      <c r="AC4199" s="508">
        <v>2.1000000000000001E-2</v>
      </c>
      <c r="AD4199" s="508">
        <v>1.9E-2</v>
      </c>
      <c r="AE4199" s="508">
        <v>1.9E-2</v>
      </c>
      <c r="AF4199" s="508">
        <v>1.0999999999999999E-2</v>
      </c>
      <c r="AG4199" s="508">
        <v>1.0999999999999999E-2</v>
      </c>
      <c r="AH4199" s="508">
        <v>1.0999999999999999E-2</v>
      </c>
      <c r="AI4199" s="492">
        <v>1.0999999999999999E-2</v>
      </c>
      <c r="AJ4199" s="485"/>
    </row>
    <row r="4200" spans="2:36">
      <c r="B4200" s="136" t="s">
        <v>483</v>
      </c>
      <c r="C4200" s="132" t="s">
        <v>1373</v>
      </c>
      <c r="D4200" s="132" t="s">
        <v>284</v>
      </c>
      <c r="E4200" s="508">
        <v>2.0289999999999999</v>
      </c>
      <c r="F4200" s="508">
        <v>1.962</v>
      </c>
      <c r="G4200" s="508">
        <v>2.0760000000000001</v>
      </c>
      <c r="H4200" s="508">
        <v>1.2090000000000001</v>
      </c>
      <c r="I4200" s="508">
        <v>1.226</v>
      </c>
      <c r="J4200" s="508">
        <v>1.1659999999999999</v>
      </c>
      <c r="K4200" s="508">
        <v>0.71499999999999997</v>
      </c>
      <c r="L4200" s="508">
        <v>0.75700000000000001</v>
      </c>
      <c r="M4200" s="508">
        <v>0.73599999999999999</v>
      </c>
      <c r="N4200" s="508">
        <v>1.093</v>
      </c>
      <c r="O4200" s="508">
        <v>1.069</v>
      </c>
      <c r="P4200" s="508">
        <v>1.0229999999999999</v>
      </c>
      <c r="Q4200" s="508">
        <v>1.0109999999999999</v>
      </c>
      <c r="R4200" s="508">
        <v>0.57799999999999996</v>
      </c>
      <c r="S4200" s="508">
        <v>0.55900000000000005</v>
      </c>
      <c r="T4200" s="508">
        <v>0.57399999999999995</v>
      </c>
      <c r="U4200" s="508">
        <v>0.56200000000000006</v>
      </c>
      <c r="V4200" s="508">
        <v>0.56799999999999995</v>
      </c>
      <c r="W4200" s="508">
        <v>0.51700000000000002</v>
      </c>
      <c r="X4200" s="508">
        <v>0.51300000000000001</v>
      </c>
      <c r="Y4200" s="508">
        <v>0.51900000000000002</v>
      </c>
      <c r="Z4200" s="508">
        <v>0.51900000000000002</v>
      </c>
      <c r="AA4200" s="508">
        <v>2.1999999999999999E-2</v>
      </c>
      <c r="AB4200" s="508">
        <v>0.02</v>
      </c>
      <c r="AC4200" s="508">
        <v>2.1999999999999999E-2</v>
      </c>
      <c r="AD4200" s="508">
        <v>0.02</v>
      </c>
      <c r="AE4200" s="508">
        <v>1.9E-2</v>
      </c>
      <c r="AF4200" s="508">
        <v>1.2E-2</v>
      </c>
      <c r="AG4200" s="508">
        <v>1.0999999999999999E-2</v>
      </c>
      <c r="AH4200" s="508">
        <v>1.0999999999999999E-2</v>
      </c>
      <c r="AI4200" s="492">
        <v>1.0999999999999999E-2</v>
      </c>
      <c r="AJ4200" s="485"/>
    </row>
    <row r="4201" spans="2:36">
      <c r="B4201" s="136" t="s">
        <v>484</v>
      </c>
      <c r="C4201" s="132" t="s">
        <v>1373</v>
      </c>
      <c r="D4201" s="132" t="s">
        <v>284</v>
      </c>
      <c r="E4201" s="508">
        <v>1.8819999999999999</v>
      </c>
      <c r="F4201" s="508">
        <v>1.819</v>
      </c>
      <c r="G4201" s="508">
        <v>1.927</v>
      </c>
      <c r="H4201" s="508">
        <v>1.08</v>
      </c>
      <c r="I4201" s="508">
        <v>1.095</v>
      </c>
      <c r="J4201" s="508">
        <v>1.0389999999999999</v>
      </c>
      <c r="K4201" s="508">
        <v>0.59499999999999997</v>
      </c>
      <c r="L4201" s="508">
        <v>0.64300000000000002</v>
      </c>
      <c r="M4201" s="508">
        <v>0.62</v>
      </c>
      <c r="N4201" s="508">
        <v>0.90700000000000003</v>
      </c>
      <c r="O4201" s="508">
        <v>0.88900000000000001</v>
      </c>
      <c r="P4201" s="508">
        <v>0.85199999999999998</v>
      </c>
      <c r="Q4201" s="508">
        <v>0.84199999999999997</v>
      </c>
      <c r="R4201" s="508">
        <v>0.51600000000000001</v>
      </c>
      <c r="S4201" s="508">
        <v>0.504</v>
      </c>
      <c r="T4201" s="508">
        <v>0.51300000000000001</v>
      </c>
      <c r="U4201" s="508">
        <v>0.50600000000000001</v>
      </c>
      <c r="V4201" s="508">
        <v>0.50900000000000001</v>
      </c>
      <c r="W4201" s="508">
        <v>0.46200000000000002</v>
      </c>
      <c r="X4201" s="508">
        <v>0.45900000000000002</v>
      </c>
      <c r="Y4201" s="508">
        <v>0.46300000000000002</v>
      </c>
      <c r="Z4201" s="508">
        <v>0.46300000000000002</v>
      </c>
      <c r="AA4201" s="508">
        <v>0.02</v>
      </c>
      <c r="AB4201" s="508">
        <v>1.9E-2</v>
      </c>
      <c r="AC4201" s="508">
        <v>0.02</v>
      </c>
      <c r="AD4201" s="508">
        <v>1.7999999999999999E-2</v>
      </c>
      <c r="AE4201" s="508">
        <v>1.7000000000000001E-2</v>
      </c>
      <c r="AF4201" s="508">
        <v>1.0999999999999999E-2</v>
      </c>
      <c r="AG4201" s="508">
        <v>0.01</v>
      </c>
      <c r="AH4201" s="508">
        <v>0.01</v>
      </c>
      <c r="AI4201" s="492">
        <v>0.01</v>
      </c>
      <c r="AJ4201" s="485"/>
    </row>
    <row r="4202" spans="2:36">
      <c r="B4202" s="136" t="s">
        <v>486</v>
      </c>
      <c r="C4202" s="132" t="s">
        <v>1373</v>
      </c>
      <c r="D4202" s="132" t="s">
        <v>284</v>
      </c>
      <c r="E4202" s="508">
        <v>1.9770000000000001</v>
      </c>
      <c r="F4202" s="508">
        <v>1.9119999999999999</v>
      </c>
      <c r="G4202" s="508">
        <v>2.0230000000000001</v>
      </c>
      <c r="H4202" s="508">
        <v>1.1639999999999999</v>
      </c>
      <c r="I4202" s="508">
        <v>1.181</v>
      </c>
      <c r="J4202" s="508">
        <v>1.1220000000000001</v>
      </c>
      <c r="K4202" s="508">
        <v>0.67300000000000004</v>
      </c>
      <c r="L4202" s="508">
        <v>0.71699999999999997</v>
      </c>
      <c r="M4202" s="508">
        <v>0.69599999999999995</v>
      </c>
      <c r="N4202" s="508">
        <v>1.028</v>
      </c>
      <c r="O4202" s="508">
        <v>1.0069999999999999</v>
      </c>
      <c r="P4202" s="508">
        <v>0.96399999999999997</v>
      </c>
      <c r="Q4202" s="508">
        <v>0.95299999999999996</v>
      </c>
      <c r="R4202" s="508">
        <v>0.55600000000000005</v>
      </c>
      <c r="S4202" s="508">
        <v>0.53900000000000003</v>
      </c>
      <c r="T4202" s="508">
        <v>0.55300000000000005</v>
      </c>
      <c r="U4202" s="508">
        <v>0.54200000000000004</v>
      </c>
      <c r="V4202" s="508">
        <v>0.54700000000000004</v>
      </c>
      <c r="W4202" s="508">
        <v>0.498</v>
      </c>
      <c r="X4202" s="508">
        <v>0.49399999999999999</v>
      </c>
      <c r="Y4202" s="508">
        <v>0.5</v>
      </c>
      <c r="Z4202" s="508">
        <v>0.499</v>
      </c>
      <c r="AA4202" s="508">
        <v>2.1000000000000001E-2</v>
      </c>
      <c r="AB4202" s="508">
        <v>0.02</v>
      </c>
      <c r="AC4202" s="508">
        <v>2.1000000000000001E-2</v>
      </c>
      <c r="AD4202" s="508">
        <v>1.9E-2</v>
      </c>
      <c r="AE4202" s="508">
        <v>1.9E-2</v>
      </c>
      <c r="AF4202" s="508">
        <v>1.0999999999999999E-2</v>
      </c>
      <c r="AG4202" s="508">
        <v>1.0999999999999999E-2</v>
      </c>
      <c r="AH4202" s="508">
        <v>1.0999999999999999E-2</v>
      </c>
      <c r="AI4202" s="492">
        <v>1.0999999999999999E-2</v>
      </c>
      <c r="AJ4202" s="485"/>
    </row>
    <row r="4203" spans="2:36">
      <c r="B4203" s="136" t="s">
        <v>487</v>
      </c>
      <c r="C4203" s="132" t="s">
        <v>1373</v>
      </c>
      <c r="D4203" s="132" t="s">
        <v>284</v>
      </c>
      <c r="E4203" s="508">
        <v>1.9770000000000001</v>
      </c>
      <c r="F4203" s="508">
        <v>1.911</v>
      </c>
      <c r="G4203" s="508">
        <v>2.0230000000000001</v>
      </c>
      <c r="H4203" s="508">
        <v>1.165</v>
      </c>
      <c r="I4203" s="508">
        <v>1.1819999999999999</v>
      </c>
      <c r="J4203" s="508">
        <v>1.1240000000000001</v>
      </c>
      <c r="K4203" s="508">
        <v>0.67400000000000004</v>
      </c>
      <c r="L4203" s="508">
        <v>0.71899999999999997</v>
      </c>
      <c r="M4203" s="508">
        <v>0.69699999999999995</v>
      </c>
      <c r="N4203" s="508">
        <v>1.0289999999999999</v>
      </c>
      <c r="O4203" s="508">
        <v>1.008</v>
      </c>
      <c r="P4203" s="508">
        <v>0.96699999999999997</v>
      </c>
      <c r="Q4203" s="508">
        <v>0.95599999999999996</v>
      </c>
      <c r="R4203" s="508">
        <v>0.55500000000000005</v>
      </c>
      <c r="S4203" s="508">
        <v>0.53800000000000003</v>
      </c>
      <c r="T4203" s="508">
        <v>0.55200000000000005</v>
      </c>
      <c r="U4203" s="508">
        <v>0.54100000000000004</v>
      </c>
      <c r="V4203" s="508">
        <v>0.54700000000000004</v>
      </c>
      <c r="W4203" s="508">
        <v>0.497</v>
      </c>
      <c r="X4203" s="508">
        <v>0.49299999999999999</v>
      </c>
      <c r="Y4203" s="508">
        <v>0.499</v>
      </c>
      <c r="Z4203" s="508">
        <v>0.498</v>
      </c>
      <c r="AA4203" s="508">
        <v>2.1000000000000001E-2</v>
      </c>
      <c r="AB4203" s="508">
        <v>0.02</v>
      </c>
      <c r="AC4203" s="508">
        <v>2.1999999999999999E-2</v>
      </c>
      <c r="AD4203" s="508">
        <v>1.9E-2</v>
      </c>
      <c r="AE4203" s="508">
        <v>1.9E-2</v>
      </c>
      <c r="AF4203" s="508">
        <v>1.0999999999999999E-2</v>
      </c>
      <c r="AG4203" s="508">
        <v>1.0999999999999999E-2</v>
      </c>
      <c r="AH4203" s="508">
        <v>1.0999999999999999E-2</v>
      </c>
      <c r="AI4203" s="492">
        <v>1.0999999999999999E-2</v>
      </c>
      <c r="AJ4203" s="485"/>
    </row>
    <row r="4204" spans="2:36">
      <c r="B4204" s="136" t="s">
        <v>488</v>
      </c>
      <c r="C4204" s="132" t="s">
        <v>1373</v>
      </c>
      <c r="D4204" s="132" t="s">
        <v>284</v>
      </c>
      <c r="E4204" s="508">
        <v>1.905</v>
      </c>
      <c r="F4204" s="508">
        <v>1.841</v>
      </c>
      <c r="G4204" s="508">
        <v>1.95</v>
      </c>
      <c r="H4204" s="508">
        <v>1.1000000000000001</v>
      </c>
      <c r="I4204" s="508">
        <v>1.1160000000000001</v>
      </c>
      <c r="J4204" s="508">
        <v>1.06</v>
      </c>
      <c r="K4204" s="508">
        <v>0.61399999999999999</v>
      </c>
      <c r="L4204" s="508">
        <v>0.66100000000000003</v>
      </c>
      <c r="M4204" s="508">
        <v>0.63800000000000001</v>
      </c>
      <c r="N4204" s="508">
        <v>0.93600000000000005</v>
      </c>
      <c r="O4204" s="508">
        <v>0.91700000000000004</v>
      </c>
      <c r="P4204" s="508">
        <v>0.88</v>
      </c>
      <c r="Q4204" s="508">
        <v>0.87</v>
      </c>
      <c r="R4204" s="508">
        <v>0.52500000000000002</v>
      </c>
      <c r="S4204" s="508">
        <v>0.51200000000000001</v>
      </c>
      <c r="T4204" s="508">
        <v>0.52200000000000002</v>
      </c>
      <c r="U4204" s="508">
        <v>0.51400000000000001</v>
      </c>
      <c r="V4204" s="508">
        <v>0.51800000000000002</v>
      </c>
      <c r="W4204" s="508">
        <v>0.47099999999999997</v>
      </c>
      <c r="X4204" s="508">
        <v>0.46700000000000003</v>
      </c>
      <c r="Y4204" s="508">
        <v>0.47199999999999998</v>
      </c>
      <c r="Z4204" s="508">
        <v>0.47099999999999997</v>
      </c>
      <c r="AA4204" s="508">
        <v>0.02</v>
      </c>
      <c r="AB4204" s="508">
        <v>1.9E-2</v>
      </c>
      <c r="AC4204" s="508">
        <v>0.02</v>
      </c>
      <c r="AD4204" s="508">
        <v>1.7999999999999999E-2</v>
      </c>
      <c r="AE4204" s="508">
        <v>1.7999999999999999E-2</v>
      </c>
      <c r="AF4204" s="508">
        <v>1.0999999999999999E-2</v>
      </c>
      <c r="AG4204" s="508">
        <v>1.0999999999999999E-2</v>
      </c>
      <c r="AH4204" s="508">
        <v>0.01</v>
      </c>
      <c r="AI4204" s="492">
        <v>0.01</v>
      </c>
      <c r="AJ4204" s="485"/>
    </row>
    <row r="4205" spans="2:36">
      <c r="B4205" s="136" t="s">
        <v>489</v>
      </c>
      <c r="C4205" s="132" t="s">
        <v>1373</v>
      </c>
      <c r="D4205" s="132" t="s">
        <v>284</v>
      </c>
      <c r="E4205" s="508">
        <v>1.9419999999999999</v>
      </c>
      <c r="F4205" s="508">
        <v>1.8779999999999999</v>
      </c>
      <c r="G4205" s="508">
        <v>1.9870000000000001</v>
      </c>
      <c r="H4205" s="508">
        <v>1.131</v>
      </c>
      <c r="I4205" s="508">
        <v>1.147</v>
      </c>
      <c r="J4205" s="508">
        <v>1.089</v>
      </c>
      <c r="K4205" s="508">
        <v>0.64200000000000002</v>
      </c>
      <c r="L4205" s="508">
        <v>0.68700000000000006</v>
      </c>
      <c r="M4205" s="508">
        <v>0.66500000000000004</v>
      </c>
      <c r="N4205" s="508">
        <v>0.98</v>
      </c>
      <c r="O4205" s="508">
        <v>0.95899999999999996</v>
      </c>
      <c r="P4205" s="508">
        <v>0.91800000000000004</v>
      </c>
      <c r="Q4205" s="508">
        <v>0.90700000000000003</v>
      </c>
      <c r="R4205" s="508">
        <v>0.54100000000000004</v>
      </c>
      <c r="S4205" s="508">
        <v>0.52600000000000002</v>
      </c>
      <c r="T4205" s="508">
        <v>0.53800000000000003</v>
      </c>
      <c r="U4205" s="508">
        <v>0.52900000000000003</v>
      </c>
      <c r="V4205" s="508">
        <v>0.53300000000000003</v>
      </c>
      <c r="W4205" s="508">
        <v>0.48499999999999999</v>
      </c>
      <c r="X4205" s="508">
        <v>0.48099999999999998</v>
      </c>
      <c r="Y4205" s="508">
        <v>0.48599999999999999</v>
      </c>
      <c r="Z4205" s="508">
        <v>0.48599999999999999</v>
      </c>
      <c r="AA4205" s="508">
        <v>2.1000000000000001E-2</v>
      </c>
      <c r="AB4205" s="508">
        <v>1.9E-2</v>
      </c>
      <c r="AC4205" s="508">
        <v>2.1000000000000001E-2</v>
      </c>
      <c r="AD4205" s="508">
        <v>1.9E-2</v>
      </c>
      <c r="AE4205" s="508">
        <v>1.7999999999999999E-2</v>
      </c>
      <c r="AF4205" s="508">
        <v>1.0999999999999999E-2</v>
      </c>
      <c r="AG4205" s="508">
        <v>1.0999999999999999E-2</v>
      </c>
      <c r="AH4205" s="508">
        <v>1.0999999999999999E-2</v>
      </c>
      <c r="AI4205" s="492">
        <v>1.0999999999999999E-2</v>
      </c>
      <c r="AJ4205" s="485"/>
    </row>
    <row r="4206" spans="2:36">
      <c r="B4206" s="136" t="s">
        <v>490</v>
      </c>
      <c r="C4206" s="132" t="s">
        <v>1373</v>
      </c>
      <c r="D4206" s="132" t="s">
        <v>284</v>
      </c>
      <c r="E4206" s="508">
        <v>1.87</v>
      </c>
      <c r="F4206" s="508">
        <v>1.8069999999999999</v>
      </c>
      <c r="G4206" s="508">
        <v>1.9139999999999999</v>
      </c>
      <c r="H4206" s="508">
        <v>1.0740000000000001</v>
      </c>
      <c r="I4206" s="508">
        <v>1.0900000000000001</v>
      </c>
      <c r="J4206" s="508">
        <v>1.0349999999999999</v>
      </c>
      <c r="K4206" s="508">
        <v>0.59399999999999997</v>
      </c>
      <c r="L4206" s="508">
        <v>0.64300000000000002</v>
      </c>
      <c r="M4206" s="508">
        <v>0.61899999999999999</v>
      </c>
      <c r="N4206" s="508">
        <v>0.90300000000000002</v>
      </c>
      <c r="O4206" s="508">
        <v>0.88700000000000001</v>
      </c>
      <c r="P4206" s="508">
        <v>0.85299999999999998</v>
      </c>
      <c r="Q4206" s="508">
        <v>0.84399999999999997</v>
      </c>
      <c r="R4206" s="508">
        <v>0.51100000000000001</v>
      </c>
      <c r="S4206" s="508">
        <v>0.499</v>
      </c>
      <c r="T4206" s="508">
        <v>0.50900000000000001</v>
      </c>
      <c r="U4206" s="508">
        <v>0.501</v>
      </c>
      <c r="V4206" s="508">
        <v>0.505</v>
      </c>
      <c r="W4206" s="508">
        <v>0.45800000000000002</v>
      </c>
      <c r="X4206" s="508">
        <v>0.45500000000000002</v>
      </c>
      <c r="Y4206" s="508">
        <v>0.45900000000000002</v>
      </c>
      <c r="Z4206" s="508">
        <v>0.45900000000000002</v>
      </c>
      <c r="AA4206" s="508">
        <v>0.02</v>
      </c>
      <c r="AB4206" s="508">
        <v>1.9E-2</v>
      </c>
      <c r="AC4206" s="508">
        <v>0.02</v>
      </c>
      <c r="AD4206" s="508">
        <v>1.7999999999999999E-2</v>
      </c>
      <c r="AE4206" s="508">
        <v>1.7000000000000001E-2</v>
      </c>
      <c r="AF4206" s="508">
        <v>1.0999999999999999E-2</v>
      </c>
      <c r="AG4206" s="508">
        <v>0.01</v>
      </c>
      <c r="AH4206" s="508">
        <v>0.01</v>
      </c>
      <c r="AI4206" s="492">
        <v>0.01</v>
      </c>
      <c r="AJ4206" s="485"/>
    </row>
    <row r="4207" spans="2:36">
      <c r="B4207" s="136" t="s">
        <v>435</v>
      </c>
      <c r="C4207" s="132" t="s">
        <v>1374</v>
      </c>
      <c r="D4207" s="132" t="s">
        <v>284</v>
      </c>
      <c r="E4207" s="508">
        <v>0.13900000000000001</v>
      </c>
      <c r="F4207" s="508">
        <v>0.13300000000000001</v>
      </c>
      <c r="G4207" s="508">
        <v>0.13</v>
      </c>
      <c r="H4207" s="508">
        <v>0.111</v>
      </c>
      <c r="I4207" s="508">
        <v>0.11</v>
      </c>
      <c r="J4207" s="508">
        <v>0.10299999999999999</v>
      </c>
      <c r="K4207" s="508">
        <v>7.5999999999999998E-2</v>
      </c>
      <c r="L4207" s="508">
        <v>7.4999999999999997E-2</v>
      </c>
      <c r="M4207" s="508">
        <v>7.3999999999999996E-2</v>
      </c>
      <c r="N4207" s="508">
        <v>8.3000000000000004E-2</v>
      </c>
      <c r="O4207" s="508">
        <v>6.8000000000000005E-2</v>
      </c>
      <c r="P4207" s="508">
        <v>4.9000000000000002E-2</v>
      </c>
      <c r="Q4207" s="508">
        <v>0.04</v>
      </c>
      <c r="R4207" s="508">
        <v>4.4999999999999998E-2</v>
      </c>
      <c r="S4207" s="508">
        <v>4.9000000000000002E-2</v>
      </c>
      <c r="T4207" s="508">
        <v>4.1000000000000002E-2</v>
      </c>
      <c r="U4207" s="508">
        <v>4.2999999999999997E-2</v>
      </c>
      <c r="V4207" s="508">
        <v>2.1999999999999999E-2</v>
      </c>
      <c r="W4207" s="508"/>
      <c r="X4207" s="508">
        <v>2.1000000000000001E-2</v>
      </c>
      <c r="Y4207" s="508"/>
      <c r="Z4207" s="508"/>
      <c r="AA4207" s="508"/>
      <c r="AB4207" s="508"/>
      <c r="AC4207" s="508"/>
      <c r="AD4207" s="508"/>
      <c r="AE4207" s="508"/>
      <c r="AF4207" s="508"/>
      <c r="AG4207" s="508"/>
      <c r="AH4207" s="508"/>
      <c r="AI4207" s="492"/>
      <c r="AJ4207" s="485"/>
    </row>
    <row r="4208" spans="2:36">
      <c r="B4208" s="136" t="s">
        <v>436</v>
      </c>
      <c r="C4208" s="132" t="s">
        <v>1374</v>
      </c>
      <c r="D4208" s="132" t="s">
        <v>284</v>
      </c>
      <c r="E4208" s="508">
        <v>0.41499999999999998</v>
      </c>
      <c r="F4208" s="508">
        <v>0.42</v>
      </c>
      <c r="G4208" s="508">
        <v>0.41</v>
      </c>
      <c r="H4208" s="508">
        <v>0.32900000000000001</v>
      </c>
      <c r="I4208" s="508">
        <v>0.32300000000000001</v>
      </c>
      <c r="J4208" s="508">
        <v>0.33800000000000002</v>
      </c>
      <c r="K4208" s="508">
        <v>0.23400000000000001</v>
      </c>
      <c r="L4208" s="508">
        <v>0.23100000000000001</v>
      </c>
      <c r="M4208" s="508">
        <v>0.22800000000000001</v>
      </c>
      <c r="N4208" s="508">
        <v>0.23499999999999999</v>
      </c>
      <c r="O4208" s="508">
        <v>0.219</v>
      </c>
      <c r="P4208" s="508">
        <v>0.161</v>
      </c>
      <c r="Q4208" s="508">
        <v>0.125</v>
      </c>
      <c r="R4208" s="508">
        <v>0.13900000000000001</v>
      </c>
      <c r="S4208" s="508">
        <v>0.16400000000000001</v>
      </c>
      <c r="T4208" s="508">
        <v>0.13500000000000001</v>
      </c>
      <c r="U4208" s="508">
        <v>0.129</v>
      </c>
      <c r="V4208" s="508">
        <v>6.3E-2</v>
      </c>
      <c r="W4208" s="508"/>
      <c r="X4208" s="508">
        <v>2.5000000000000001E-2</v>
      </c>
      <c r="Y4208" s="508"/>
      <c r="Z4208" s="508"/>
      <c r="AA4208" s="508"/>
      <c r="AB4208" s="508"/>
      <c r="AC4208" s="508"/>
      <c r="AD4208" s="508"/>
      <c r="AE4208" s="508"/>
      <c r="AF4208" s="508"/>
      <c r="AG4208" s="508"/>
      <c r="AH4208" s="508"/>
      <c r="AI4208" s="492"/>
      <c r="AJ4208" s="485"/>
    </row>
    <row r="4209" spans="2:36">
      <c r="B4209" s="136" t="s">
        <v>437</v>
      </c>
      <c r="C4209" s="132" t="s">
        <v>1374</v>
      </c>
      <c r="D4209" s="132" t="s">
        <v>284</v>
      </c>
      <c r="E4209" s="508">
        <v>0.13300000000000001</v>
      </c>
      <c r="F4209" s="508">
        <v>0.13800000000000001</v>
      </c>
      <c r="G4209" s="508">
        <v>0.13600000000000001</v>
      </c>
      <c r="H4209" s="508">
        <v>0.106</v>
      </c>
      <c r="I4209" s="508">
        <v>0.105</v>
      </c>
      <c r="J4209" s="508">
        <v>0.115</v>
      </c>
      <c r="K4209" s="508">
        <v>8.1000000000000003E-2</v>
      </c>
      <c r="L4209" s="508">
        <v>0.08</v>
      </c>
      <c r="M4209" s="508">
        <v>7.9000000000000001E-2</v>
      </c>
      <c r="N4209" s="508">
        <v>7.4999999999999997E-2</v>
      </c>
      <c r="O4209" s="508">
        <v>7.6999999999999999E-2</v>
      </c>
      <c r="P4209" s="508">
        <v>5.8000000000000003E-2</v>
      </c>
      <c r="Q4209" s="508">
        <v>4.2999999999999997E-2</v>
      </c>
      <c r="R4209" s="508">
        <v>4.8000000000000001E-2</v>
      </c>
      <c r="S4209" s="508">
        <v>0.06</v>
      </c>
      <c r="T4209" s="508">
        <v>4.9000000000000002E-2</v>
      </c>
      <c r="U4209" s="508">
        <v>4.2999999999999997E-2</v>
      </c>
      <c r="V4209" s="508">
        <v>2.1000000000000001E-2</v>
      </c>
      <c r="W4209" s="508"/>
      <c r="X4209" s="508">
        <v>2.1999999999999999E-2</v>
      </c>
      <c r="Y4209" s="508"/>
      <c r="Z4209" s="508"/>
      <c r="AA4209" s="508"/>
      <c r="AB4209" s="508"/>
      <c r="AC4209" s="508"/>
      <c r="AD4209" s="508"/>
      <c r="AE4209" s="508"/>
      <c r="AF4209" s="508"/>
      <c r="AG4209" s="508"/>
      <c r="AH4209" s="508"/>
      <c r="AI4209" s="492"/>
      <c r="AJ4209" s="485"/>
    </row>
    <row r="4210" spans="2:36">
      <c r="B4210" s="136" t="s">
        <v>438</v>
      </c>
      <c r="C4210" s="132" t="s">
        <v>1374</v>
      </c>
      <c r="D4210" s="132" t="s">
        <v>284</v>
      </c>
      <c r="E4210" s="508">
        <v>0.154</v>
      </c>
      <c r="F4210" s="508">
        <v>0.159</v>
      </c>
      <c r="G4210" s="508">
        <v>0.157</v>
      </c>
      <c r="H4210" s="508">
        <v>0.127</v>
      </c>
      <c r="I4210" s="508">
        <v>0.125</v>
      </c>
      <c r="J4210" s="508">
        <v>0.13200000000000001</v>
      </c>
      <c r="K4210" s="508">
        <v>0.09</v>
      </c>
      <c r="L4210" s="508">
        <v>8.8999999999999996E-2</v>
      </c>
      <c r="M4210" s="508">
        <v>8.7999999999999995E-2</v>
      </c>
      <c r="N4210" s="508">
        <v>9.5000000000000001E-2</v>
      </c>
      <c r="O4210" s="508">
        <v>8.5999999999999993E-2</v>
      </c>
      <c r="P4210" s="508">
        <v>6.4000000000000001E-2</v>
      </c>
      <c r="Q4210" s="508">
        <v>0.05</v>
      </c>
      <c r="R4210" s="508">
        <v>5.6000000000000001E-2</v>
      </c>
      <c r="S4210" s="508">
        <v>6.6000000000000003E-2</v>
      </c>
      <c r="T4210" s="508">
        <v>5.5E-2</v>
      </c>
      <c r="U4210" s="508">
        <v>5.2999999999999999E-2</v>
      </c>
      <c r="V4210" s="508">
        <v>2.5999999999999999E-2</v>
      </c>
      <c r="W4210" s="508"/>
      <c r="X4210" s="508">
        <v>2.1999999999999999E-2</v>
      </c>
      <c r="Y4210" s="508"/>
      <c r="Z4210" s="508"/>
      <c r="AA4210" s="508"/>
      <c r="AB4210" s="508"/>
      <c r="AC4210" s="508"/>
      <c r="AD4210" s="508"/>
      <c r="AE4210" s="508"/>
      <c r="AF4210" s="508"/>
      <c r="AG4210" s="508"/>
      <c r="AH4210" s="508"/>
      <c r="AI4210" s="492"/>
      <c r="AJ4210" s="485"/>
    </row>
    <row r="4211" spans="2:36">
      <c r="B4211" s="136" t="s">
        <v>439</v>
      </c>
      <c r="C4211" s="132" t="s">
        <v>1374</v>
      </c>
      <c r="D4211" s="132" t="s">
        <v>284</v>
      </c>
      <c r="E4211" s="508">
        <v>0.17599999999999999</v>
      </c>
      <c r="F4211" s="508">
        <v>0.187</v>
      </c>
      <c r="G4211" s="508">
        <v>0.184</v>
      </c>
      <c r="H4211" s="508">
        <v>0.13900000000000001</v>
      </c>
      <c r="I4211" s="508">
        <v>0.13800000000000001</v>
      </c>
      <c r="J4211" s="508">
        <v>0.159</v>
      </c>
      <c r="K4211" s="508">
        <v>0.109</v>
      </c>
      <c r="L4211" s="508">
        <v>0.108</v>
      </c>
      <c r="M4211" s="508">
        <v>0.107</v>
      </c>
      <c r="N4211" s="508">
        <v>9.6000000000000002E-2</v>
      </c>
      <c r="O4211" s="508">
        <v>0.106</v>
      </c>
      <c r="P4211" s="508">
        <v>8.1000000000000003E-2</v>
      </c>
      <c r="Q4211" s="508">
        <v>5.8000000000000003E-2</v>
      </c>
      <c r="R4211" s="508">
        <v>6.5000000000000002E-2</v>
      </c>
      <c r="S4211" s="508">
        <v>8.4000000000000005E-2</v>
      </c>
      <c r="T4211" s="508">
        <v>6.8000000000000005E-2</v>
      </c>
      <c r="U4211" s="508">
        <v>5.7000000000000002E-2</v>
      </c>
      <c r="V4211" s="508">
        <v>2.7E-2</v>
      </c>
      <c r="W4211" s="508"/>
      <c r="X4211" s="508">
        <v>2.1999999999999999E-2</v>
      </c>
      <c r="Y4211" s="508"/>
      <c r="Z4211" s="508"/>
      <c r="AA4211" s="508"/>
      <c r="AB4211" s="508"/>
      <c r="AC4211" s="508"/>
      <c r="AD4211" s="508"/>
      <c r="AE4211" s="508"/>
      <c r="AF4211" s="508"/>
      <c r="AG4211" s="508"/>
      <c r="AH4211" s="508"/>
      <c r="AI4211" s="492"/>
      <c r="AJ4211" s="485"/>
    </row>
    <row r="4212" spans="2:36">
      <c r="B4212" s="136" t="s">
        <v>440</v>
      </c>
      <c r="C4212" s="132" t="s">
        <v>1374</v>
      </c>
      <c r="D4212" s="132" t="s">
        <v>284</v>
      </c>
      <c r="E4212" s="508">
        <v>0.251</v>
      </c>
      <c r="F4212" s="508">
        <v>0.25900000000000001</v>
      </c>
      <c r="G4212" s="508">
        <v>0.254</v>
      </c>
      <c r="H4212" s="508">
        <v>0.19900000000000001</v>
      </c>
      <c r="I4212" s="508">
        <v>0.19600000000000001</v>
      </c>
      <c r="J4212" s="508">
        <v>0.21299999999999999</v>
      </c>
      <c r="K4212" s="508">
        <v>0.14799999999999999</v>
      </c>
      <c r="L4212" s="508">
        <v>0.14599999999999999</v>
      </c>
      <c r="M4212" s="508">
        <v>0.14499999999999999</v>
      </c>
      <c r="N4212" s="508">
        <v>0.14000000000000001</v>
      </c>
      <c r="O4212" s="508">
        <v>0.14000000000000001</v>
      </c>
      <c r="P4212" s="508">
        <v>0.105</v>
      </c>
      <c r="Q4212" s="508">
        <v>7.8E-2</v>
      </c>
      <c r="R4212" s="508">
        <v>8.7999999999999995E-2</v>
      </c>
      <c r="S4212" s="508">
        <v>0.108</v>
      </c>
      <c r="T4212" s="508">
        <v>8.8999999999999996E-2</v>
      </c>
      <c r="U4212" s="508">
        <v>8.3000000000000004E-2</v>
      </c>
      <c r="V4212" s="508">
        <v>0.04</v>
      </c>
      <c r="W4212" s="508"/>
      <c r="X4212" s="508">
        <v>2.4E-2</v>
      </c>
      <c r="Y4212" s="508"/>
      <c r="Z4212" s="508"/>
      <c r="AA4212" s="508"/>
      <c r="AB4212" s="508"/>
      <c r="AC4212" s="508"/>
      <c r="AD4212" s="508"/>
      <c r="AE4212" s="508"/>
      <c r="AF4212" s="508"/>
      <c r="AG4212" s="508"/>
      <c r="AH4212" s="508"/>
      <c r="AI4212" s="492"/>
      <c r="AJ4212" s="485"/>
    </row>
    <row r="4213" spans="2:36">
      <c r="B4213" s="136" t="s">
        <v>441</v>
      </c>
      <c r="C4213" s="132" t="s">
        <v>1374</v>
      </c>
      <c r="D4213" s="132" t="s">
        <v>284</v>
      </c>
      <c r="E4213" s="508">
        <v>0.26300000000000001</v>
      </c>
      <c r="F4213" s="508">
        <v>0.28000000000000003</v>
      </c>
      <c r="G4213" s="508">
        <v>0.27500000000000002</v>
      </c>
      <c r="H4213" s="508">
        <v>0.20599999999999999</v>
      </c>
      <c r="I4213" s="508">
        <v>0.20300000000000001</v>
      </c>
      <c r="J4213" s="508">
        <v>0.23699999999999999</v>
      </c>
      <c r="K4213" s="508">
        <v>0.16300000000000001</v>
      </c>
      <c r="L4213" s="508">
        <v>0.161</v>
      </c>
      <c r="M4213" s="508">
        <v>0.159</v>
      </c>
      <c r="N4213" s="508">
        <v>0.13900000000000001</v>
      </c>
      <c r="O4213" s="508">
        <v>0.158</v>
      </c>
      <c r="P4213" s="508">
        <v>0.12</v>
      </c>
      <c r="Q4213" s="508">
        <v>8.5000000000000006E-2</v>
      </c>
      <c r="R4213" s="508">
        <v>9.6000000000000002E-2</v>
      </c>
      <c r="S4213" s="508">
        <v>0.125</v>
      </c>
      <c r="T4213" s="508">
        <v>0.10199999999999999</v>
      </c>
      <c r="U4213" s="508">
        <v>9.2999999999999999E-2</v>
      </c>
      <c r="V4213" s="508">
        <v>4.3999999999999997E-2</v>
      </c>
      <c r="W4213" s="508"/>
      <c r="X4213" s="508">
        <v>2.7E-2</v>
      </c>
      <c r="Y4213" s="508"/>
      <c r="Z4213" s="508"/>
      <c r="AA4213" s="508"/>
      <c r="AB4213" s="508"/>
      <c r="AC4213" s="508"/>
      <c r="AD4213" s="508"/>
      <c r="AE4213" s="508"/>
      <c r="AF4213" s="508"/>
      <c r="AG4213" s="508"/>
      <c r="AH4213" s="508"/>
      <c r="AI4213" s="492"/>
      <c r="AJ4213" s="485"/>
    </row>
    <row r="4214" spans="2:36">
      <c r="B4214" s="136" t="s">
        <v>443</v>
      </c>
      <c r="C4214" s="132" t="s">
        <v>1374</v>
      </c>
      <c r="D4214" s="132" t="s">
        <v>284</v>
      </c>
      <c r="E4214" s="508">
        <v>0.186</v>
      </c>
      <c r="F4214" s="508">
        <v>0.16400000000000001</v>
      </c>
      <c r="G4214" s="508">
        <v>0.16</v>
      </c>
      <c r="H4214" s="508">
        <v>0.14199999999999999</v>
      </c>
      <c r="I4214" s="508">
        <v>0.14000000000000001</v>
      </c>
      <c r="J4214" s="508">
        <v>0.11799999999999999</v>
      </c>
      <c r="K4214" s="508">
        <v>9.6000000000000002E-2</v>
      </c>
      <c r="L4214" s="508">
        <v>9.4E-2</v>
      </c>
      <c r="M4214" s="508">
        <v>9.2999999999999999E-2</v>
      </c>
      <c r="N4214" s="508">
        <v>0.104</v>
      </c>
      <c r="O4214" s="508">
        <v>7.8E-2</v>
      </c>
      <c r="P4214" s="508">
        <v>5.7000000000000002E-2</v>
      </c>
      <c r="Q4214" s="508">
        <v>4.7E-2</v>
      </c>
      <c r="R4214" s="508">
        <v>5.2999999999999999E-2</v>
      </c>
      <c r="S4214" s="508">
        <v>5.2999999999999999E-2</v>
      </c>
      <c r="T4214" s="508">
        <v>4.3999999999999997E-2</v>
      </c>
      <c r="U4214" s="508">
        <v>4.3999999999999997E-2</v>
      </c>
      <c r="V4214" s="508">
        <v>2.3E-2</v>
      </c>
      <c r="W4214" s="508"/>
      <c r="X4214" s="508">
        <v>1.7999999999999999E-2</v>
      </c>
      <c r="Y4214" s="508"/>
      <c r="Z4214" s="508"/>
      <c r="AA4214" s="508"/>
      <c r="AB4214" s="508"/>
      <c r="AC4214" s="508"/>
      <c r="AD4214" s="508"/>
      <c r="AE4214" s="508"/>
      <c r="AF4214" s="508"/>
      <c r="AG4214" s="508"/>
      <c r="AH4214" s="508"/>
      <c r="AI4214" s="492"/>
      <c r="AJ4214" s="485"/>
    </row>
    <row r="4215" spans="2:36">
      <c r="B4215" s="136" t="s">
        <v>445</v>
      </c>
      <c r="C4215" s="132" t="s">
        <v>1374</v>
      </c>
      <c r="D4215" s="132" t="s">
        <v>284</v>
      </c>
      <c r="E4215" s="508">
        <v>0.21199999999999999</v>
      </c>
      <c r="F4215" s="508">
        <v>0.192</v>
      </c>
      <c r="G4215" s="508">
        <v>0.187</v>
      </c>
      <c r="H4215" s="508">
        <v>0.156</v>
      </c>
      <c r="I4215" s="508">
        <v>0.153</v>
      </c>
      <c r="J4215" s="508">
        <v>0.14399999999999999</v>
      </c>
      <c r="K4215" s="508">
        <v>0.11799999999999999</v>
      </c>
      <c r="L4215" s="508">
        <v>0.11600000000000001</v>
      </c>
      <c r="M4215" s="508">
        <v>0.115</v>
      </c>
      <c r="N4215" s="508">
        <v>0.10100000000000001</v>
      </c>
      <c r="O4215" s="508">
        <v>9.7000000000000003E-2</v>
      </c>
      <c r="P4215" s="508">
        <v>7.2999999999999995E-2</v>
      </c>
      <c r="Q4215" s="508">
        <v>5.3999999999999999E-2</v>
      </c>
      <c r="R4215" s="508">
        <v>6.0999999999999999E-2</v>
      </c>
      <c r="S4215" s="508">
        <v>7.0000000000000007E-2</v>
      </c>
      <c r="T4215" s="508">
        <v>5.7000000000000002E-2</v>
      </c>
      <c r="U4215" s="508">
        <v>5.2999999999999999E-2</v>
      </c>
      <c r="V4215" s="508">
        <v>2.8000000000000001E-2</v>
      </c>
      <c r="W4215" s="508"/>
      <c r="X4215" s="508">
        <v>2.1000000000000001E-2</v>
      </c>
      <c r="Y4215" s="508"/>
      <c r="Z4215" s="508"/>
      <c r="AA4215" s="508"/>
      <c r="AB4215" s="508"/>
      <c r="AC4215" s="508"/>
      <c r="AD4215" s="508"/>
      <c r="AE4215" s="508"/>
      <c r="AF4215" s="508"/>
      <c r="AG4215" s="508"/>
      <c r="AH4215" s="508"/>
      <c r="AI4215" s="492"/>
      <c r="AJ4215" s="485"/>
    </row>
    <row r="4216" spans="2:36">
      <c r="B4216" s="136" t="s">
        <v>446</v>
      </c>
      <c r="C4216" s="132" t="s">
        <v>1374</v>
      </c>
      <c r="D4216" s="132" t="s">
        <v>284</v>
      </c>
      <c r="E4216" s="508">
        <v>0.13100000000000001</v>
      </c>
      <c r="F4216" s="508">
        <v>0.124</v>
      </c>
      <c r="G4216" s="508">
        <v>0.122</v>
      </c>
      <c r="H4216" s="508">
        <v>0.10100000000000001</v>
      </c>
      <c r="I4216" s="508">
        <v>0.1</v>
      </c>
      <c r="J4216" s="508">
        <v>9.7000000000000003E-2</v>
      </c>
      <c r="K4216" s="508">
        <v>7.4999999999999997E-2</v>
      </c>
      <c r="L4216" s="508">
        <v>7.3999999999999996E-2</v>
      </c>
      <c r="M4216" s="508">
        <v>7.2999999999999995E-2</v>
      </c>
      <c r="N4216" s="508">
        <v>7.0999999999999994E-2</v>
      </c>
      <c r="O4216" s="508">
        <v>6.5000000000000002E-2</v>
      </c>
      <c r="P4216" s="508">
        <v>4.9000000000000002E-2</v>
      </c>
      <c r="Q4216" s="508">
        <v>3.6999999999999998E-2</v>
      </c>
      <c r="R4216" s="508">
        <v>4.2000000000000003E-2</v>
      </c>
      <c r="S4216" s="508">
        <v>4.8000000000000001E-2</v>
      </c>
      <c r="T4216" s="508">
        <v>3.9E-2</v>
      </c>
      <c r="U4216" s="508">
        <v>0.04</v>
      </c>
      <c r="V4216" s="508">
        <v>0.02</v>
      </c>
      <c r="W4216" s="508"/>
      <c r="X4216" s="508">
        <v>2.1999999999999999E-2</v>
      </c>
      <c r="Y4216" s="508"/>
      <c r="Z4216" s="508"/>
      <c r="AA4216" s="508"/>
      <c r="AB4216" s="508"/>
      <c r="AC4216" s="508"/>
      <c r="AD4216" s="508"/>
      <c r="AE4216" s="508"/>
      <c r="AF4216" s="508"/>
      <c r="AG4216" s="508"/>
      <c r="AH4216" s="508"/>
      <c r="AI4216" s="492"/>
      <c r="AJ4216" s="485"/>
    </row>
    <row r="4217" spans="2:36">
      <c r="B4217" s="136" t="s">
        <v>448</v>
      </c>
      <c r="C4217" s="132" t="s">
        <v>1374</v>
      </c>
      <c r="D4217" s="132" t="s">
        <v>284</v>
      </c>
      <c r="E4217" s="508">
        <v>0.15</v>
      </c>
      <c r="F4217" s="508">
        <v>0.154</v>
      </c>
      <c r="G4217" s="508">
        <v>0.151</v>
      </c>
      <c r="H4217" s="508">
        <v>0.122</v>
      </c>
      <c r="I4217" s="508">
        <v>0.12</v>
      </c>
      <c r="J4217" s="508">
        <v>0.126</v>
      </c>
      <c r="K4217" s="508">
        <v>8.6999999999999994E-2</v>
      </c>
      <c r="L4217" s="508">
        <v>8.5999999999999993E-2</v>
      </c>
      <c r="M4217" s="508">
        <v>8.5999999999999993E-2</v>
      </c>
      <c r="N4217" s="508">
        <v>9.0999999999999998E-2</v>
      </c>
      <c r="O4217" s="508">
        <v>8.3000000000000004E-2</v>
      </c>
      <c r="P4217" s="508">
        <v>6.0999999999999999E-2</v>
      </c>
      <c r="Q4217" s="508">
        <v>4.8000000000000001E-2</v>
      </c>
      <c r="R4217" s="508">
        <v>5.3999999999999999E-2</v>
      </c>
      <c r="S4217" s="508">
        <v>6.3E-2</v>
      </c>
      <c r="T4217" s="508">
        <v>5.1999999999999998E-2</v>
      </c>
      <c r="U4217" s="508">
        <v>5.3999999999999999E-2</v>
      </c>
      <c r="V4217" s="508">
        <v>2.5999999999999999E-2</v>
      </c>
      <c r="W4217" s="508"/>
      <c r="X4217" s="508">
        <v>2.4E-2</v>
      </c>
      <c r="Y4217" s="508"/>
      <c r="Z4217" s="508"/>
      <c r="AA4217" s="508"/>
      <c r="AB4217" s="508"/>
      <c r="AC4217" s="508"/>
      <c r="AD4217" s="508"/>
      <c r="AE4217" s="508"/>
      <c r="AF4217" s="508"/>
      <c r="AG4217" s="508"/>
      <c r="AH4217" s="508"/>
      <c r="AI4217" s="492"/>
      <c r="AJ4217" s="485"/>
    </row>
    <row r="4218" spans="2:36">
      <c r="B4218" s="136" t="s">
        <v>449</v>
      </c>
      <c r="C4218" s="132" t="s">
        <v>1374</v>
      </c>
      <c r="D4218" s="132" t="s">
        <v>284</v>
      </c>
      <c r="E4218" s="508">
        <v>0.125</v>
      </c>
      <c r="F4218" s="508">
        <v>0.11700000000000001</v>
      </c>
      <c r="G4218" s="508">
        <v>0.114</v>
      </c>
      <c r="H4218" s="508">
        <v>9.7000000000000003E-2</v>
      </c>
      <c r="I4218" s="508">
        <v>9.6000000000000002E-2</v>
      </c>
      <c r="J4218" s="508">
        <v>8.8999999999999996E-2</v>
      </c>
      <c r="K4218" s="508">
        <v>6.9000000000000006E-2</v>
      </c>
      <c r="L4218" s="508">
        <v>6.9000000000000006E-2</v>
      </c>
      <c r="M4218" s="508">
        <v>6.8000000000000005E-2</v>
      </c>
      <c r="N4218" s="508">
        <v>7.0000000000000007E-2</v>
      </c>
      <c r="O4218" s="508">
        <v>0.06</v>
      </c>
      <c r="P4218" s="508">
        <v>4.3999999999999997E-2</v>
      </c>
      <c r="Q4218" s="508">
        <v>3.5000000000000003E-2</v>
      </c>
      <c r="R4218" s="508">
        <v>3.9E-2</v>
      </c>
      <c r="S4218" s="508">
        <v>4.3999999999999997E-2</v>
      </c>
      <c r="T4218" s="508">
        <v>3.5999999999999997E-2</v>
      </c>
      <c r="U4218" s="508">
        <v>3.5000000000000003E-2</v>
      </c>
      <c r="V4218" s="508">
        <v>1.7999999999999999E-2</v>
      </c>
      <c r="W4218" s="508"/>
      <c r="X4218" s="508">
        <v>0.02</v>
      </c>
      <c r="Y4218" s="508"/>
      <c r="Z4218" s="508"/>
      <c r="AA4218" s="508"/>
      <c r="AB4218" s="508"/>
      <c r="AC4218" s="508"/>
      <c r="AD4218" s="508"/>
      <c r="AE4218" s="508"/>
      <c r="AF4218" s="508"/>
      <c r="AG4218" s="508"/>
      <c r="AH4218" s="508"/>
      <c r="AI4218" s="492"/>
      <c r="AJ4218" s="485"/>
    </row>
    <row r="4219" spans="2:36">
      <c r="B4219" s="136" t="s">
        <v>450</v>
      </c>
      <c r="C4219" s="132" t="s">
        <v>1374</v>
      </c>
      <c r="D4219" s="132" t="s">
        <v>284</v>
      </c>
      <c r="E4219" s="508">
        <v>0.23300000000000001</v>
      </c>
      <c r="F4219" s="508">
        <v>0.23</v>
      </c>
      <c r="G4219" s="508">
        <v>0.22500000000000001</v>
      </c>
      <c r="H4219" s="508">
        <v>0.187</v>
      </c>
      <c r="I4219" s="508">
        <v>0.184</v>
      </c>
      <c r="J4219" s="508">
        <v>0.182</v>
      </c>
      <c r="K4219" s="508">
        <v>0.129</v>
      </c>
      <c r="L4219" s="508">
        <v>0.127</v>
      </c>
      <c r="M4219" s="508">
        <v>0.126</v>
      </c>
      <c r="N4219" s="508">
        <v>0.13900000000000001</v>
      </c>
      <c r="O4219" s="508">
        <v>0.11799999999999999</v>
      </c>
      <c r="P4219" s="508">
        <v>8.5999999999999993E-2</v>
      </c>
      <c r="Q4219" s="508">
        <v>6.9000000000000006E-2</v>
      </c>
      <c r="R4219" s="508">
        <v>7.8E-2</v>
      </c>
      <c r="S4219" s="508">
        <v>8.6999999999999994E-2</v>
      </c>
      <c r="T4219" s="508">
        <v>7.1999999999999995E-2</v>
      </c>
      <c r="U4219" s="508">
        <v>6.9000000000000006E-2</v>
      </c>
      <c r="V4219" s="508">
        <v>3.4000000000000002E-2</v>
      </c>
      <c r="W4219" s="508"/>
      <c r="X4219" s="508">
        <v>2.1000000000000001E-2</v>
      </c>
      <c r="Y4219" s="508"/>
      <c r="Z4219" s="508"/>
      <c r="AA4219" s="508"/>
      <c r="AB4219" s="508"/>
      <c r="AC4219" s="508"/>
      <c r="AD4219" s="508"/>
      <c r="AE4219" s="508"/>
      <c r="AF4219" s="508"/>
      <c r="AG4219" s="508"/>
      <c r="AH4219" s="508"/>
      <c r="AI4219" s="492"/>
      <c r="AJ4219" s="485"/>
    </row>
    <row r="4220" spans="2:36">
      <c r="B4220" s="136" t="s">
        <v>451</v>
      </c>
      <c r="C4220" s="132" t="s">
        <v>1374</v>
      </c>
      <c r="D4220" s="132" t="s">
        <v>284</v>
      </c>
      <c r="E4220" s="508">
        <v>0.25700000000000001</v>
      </c>
      <c r="F4220" s="508">
        <v>0.249</v>
      </c>
      <c r="G4220" s="508">
        <v>0.24399999999999999</v>
      </c>
      <c r="H4220" s="508">
        <v>0.193</v>
      </c>
      <c r="I4220" s="508">
        <v>0.19</v>
      </c>
      <c r="J4220" s="508">
        <v>0.19700000000000001</v>
      </c>
      <c r="K4220" s="508">
        <v>0.14899999999999999</v>
      </c>
      <c r="L4220" s="508">
        <v>0.14699999999999999</v>
      </c>
      <c r="M4220" s="508">
        <v>0.14499999999999999</v>
      </c>
      <c r="N4220" s="508">
        <v>0.128</v>
      </c>
      <c r="O4220" s="508">
        <v>0.13100000000000001</v>
      </c>
      <c r="P4220" s="508">
        <v>0.1</v>
      </c>
      <c r="Q4220" s="508">
        <v>7.2999999999999995E-2</v>
      </c>
      <c r="R4220" s="508">
        <v>8.1000000000000003E-2</v>
      </c>
      <c r="S4220" s="508">
        <v>0.1</v>
      </c>
      <c r="T4220" s="508">
        <v>8.1000000000000003E-2</v>
      </c>
      <c r="U4220" s="508">
        <v>7.0999999999999994E-2</v>
      </c>
      <c r="V4220" s="508">
        <v>3.5000000000000003E-2</v>
      </c>
      <c r="W4220" s="508"/>
      <c r="X4220" s="508">
        <v>2.1999999999999999E-2</v>
      </c>
      <c r="Y4220" s="508"/>
      <c r="Z4220" s="508"/>
      <c r="AA4220" s="508"/>
      <c r="AB4220" s="508"/>
      <c r="AC4220" s="508"/>
      <c r="AD4220" s="508"/>
      <c r="AE4220" s="508"/>
      <c r="AF4220" s="508"/>
      <c r="AG4220" s="508"/>
      <c r="AH4220" s="508"/>
      <c r="AI4220" s="492"/>
      <c r="AJ4220" s="485"/>
    </row>
    <row r="4221" spans="2:36">
      <c r="B4221" s="136" t="s">
        <v>452</v>
      </c>
      <c r="C4221" s="132" t="s">
        <v>1374</v>
      </c>
      <c r="D4221" s="132" t="s">
        <v>284</v>
      </c>
      <c r="E4221" s="508">
        <v>0.218</v>
      </c>
      <c r="F4221" s="508">
        <v>0.20899999999999999</v>
      </c>
      <c r="G4221" s="508">
        <v>0.20399999999999999</v>
      </c>
      <c r="H4221" s="508">
        <v>0.17100000000000001</v>
      </c>
      <c r="I4221" s="508">
        <v>0.16800000000000001</v>
      </c>
      <c r="J4221" s="508">
        <v>0.16200000000000001</v>
      </c>
      <c r="K4221" s="508">
        <v>0.12</v>
      </c>
      <c r="L4221" s="508">
        <v>0.11899999999999999</v>
      </c>
      <c r="M4221" s="508">
        <v>0.11700000000000001</v>
      </c>
      <c r="N4221" s="508">
        <v>0.123</v>
      </c>
      <c r="O4221" s="508">
        <v>0.106</v>
      </c>
      <c r="P4221" s="508">
        <v>7.8E-2</v>
      </c>
      <c r="Q4221" s="508">
        <v>6.2E-2</v>
      </c>
      <c r="R4221" s="508">
        <v>6.9000000000000006E-2</v>
      </c>
      <c r="S4221" s="508">
        <v>7.8E-2</v>
      </c>
      <c r="T4221" s="508">
        <v>6.4000000000000001E-2</v>
      </c>
      <c r="U4221" s="508">
        <v>5.8999999999999997E-2</v>
      </c>
      <c r="V4221" s="508">
        <v>0.03</v>
      </c>
      <c r="W4221" s="508"/>
      <c r="X4221" s="508">
        <v>0.02</v>
      </c>
      <c r="Y4221" s="508"/>
      <c r="Z4221" s="508"/>
      <c r="AA4221" s="508"/>
      <c r="AB4221" s="508"/>
      <c r="AC4221" s="508"/>
      <c r="AD4221" s="508"/>
      <c r="AE4221" s="508"/>
      <c r="AF4221" s="508"/>
      <c r="AG4221" s="508"/>
      <c r="AH4221" s="508"/>
      <c r="AI4221" s="492"/>
      <c r="AJ4221" s="485"/>
    </row>
    <row r="4222" spans="2:36">
      <c r="B4222" s="136" t="s">
        <v>453</v>
      </c>
      <c r="C4222" s="132" t="s">
        <v>1374</v>
      </c>
      <c r="D4222" s="132" t="s">
        <v>284</v>
      </c>
      <c r="E4222" s="508">
        <v>0.22800000000000001</v>
      </c>
      <c r="F4222" s="508">
        <v>0.22600000000000001</v>
      </c>
      <c r="G4222" s="508">
        <v>0.221</v>
      </c>
      <c r="H4222" s="508">
        <v>0.185</v>
      </c>
      <c r="I4222" s="508">
        <v>0.182</v>
      </c>
      <c r="J4222" s="508">
        <v>0.17899999999999999</v>
      </c>
      <c r="K4222" s="508">
        <v>0.126</v>
      </c>
      <c r="L4222" s="508">
        <v>0.124</v>
      </c>
      <c r="M4222" s="508">
        <v>0.123</v>
      </c>
      <c r="N4222" s="508">
        <v>0.13900000000000001</v>
      </c>
      <c r="O4222" s="508">
        <v>0.11600000000000001</v>
      </c>
      <c r="P4222" s="508">
        <v>8.4000000000000005E-2</v>
      </c>
      <c r="Q4222" s="508">
        <v>6.8000000000000005E-2</v>
      </c>
      <c r="R4222" s="508">
        <v>7.6999999999999999E-2</v>
      </c>
      <c r="S4222" s="508">
        <v>8.5999999999999993E-2</v>
      </c>
      <c r="T4222" s="508">
        <v>7.0999999999999994E-2</v>
      </c>
      <c r="U4222" s="508">
        <v>7.0000000000000007E-2</v>
      </c>
      <c r="V4222" s="508">
        <v>3.5000000000000003E-2</v>
      </c>
      <c r="W4222" s="508"/>
      <c r="X4222" s="508">
        <v>2.1000000000000001E-2</v>
      </c>
      <c r="Y4222" s="508"/>
      <c r="Z4222" s="508"/>
      <c r="AA4222" s="508"/>
      <c r="AB4222" s="508"/>
      <c r="AC4222" s="508"/>
      <c r="AD4222" s="508"/>
      <c r="AE4222" s="508"/>
      <c r="AF4222" s="508"/>
      <c r="AG4222" s="508"/>
      <c r="AH4222" s="508"/>
      <c r="AI4222" s="492"/>
      <c r="AJ4222" s="485"/>
    </row>
    <row r="4223" spans="2:36">
      <c r="B4223" s="136" t="s">
        <v>454</v>
      </c>
      <c r="C4223" s="132" t="s">
        <v>1374</v>
      </c>
      <c r="D4223" s="132" t="s">
        <v>284</v>
      </c>
      <c r="E4223" s="508">
        <v>0.187</v>
      </c>
      <c r="F4223" s="508">
        <v>0.189</v>
      </c>
      <c r="G4223" s="508">
        <v>0.185</v>
      </c>
      <c r="H4223" s="508">
        <v>0.151</v>
      </c>
      <c r="I4223" s="508">
        <v>0.14899999999999999</v>
      </c>
      <c r="J4223" s="508">
        <v>0.152</v>
      </c>
      <c r="K4223" s="508">
        <v>0.106</v>
      </c>
      <c r="L4223" s="508">
        <v>0.105</v>
      </c>
      <c r="M4223" s="508">
        <v>0.104</v>
      </c>
      <c r="N4223" s="508">
        <v>0.112</v>
      </c>
      <c r="O4223" s="508">
        <v>0.1</v>
      </c>
      <c r="P4223" s="508">
        <v>7.2999999999999995E-2</v>
      </c>
      <c r="Q4223" s="508">
        <v>5.8000000000000003E-2</v>
      </c>
      <c r="R4223" s="508">
        <v>6.5000000000000002E-2</v>
      </c>
      <c r="S4223" s="508">
        <v>7.4999999999999997E-2</v>
      </c>
      <c r="T4223" s="508">
        <v>6.2E-2</v>
      </c>
      <c r="U4223" s="508">
        <v>6.0999999999999999E-2</v>
      </c>
      <c r="V4223" s="508">
        <v>0.03</v>
      </c>
      <c r="W4223" s="508"/>
      <c r="X4223" s="508">
        <v>2.1999999999999999E-2</v>
      </c>
      <c r="Y4223" s="508"/>
      <c r="Z4223" s="508"/>
      <c r="AA4223" s="508"/>
      <c r="AB4223" s="508"/>
      <c r="AC4223" s="508"/>
      <c r="AD4223" s="508"/>
      <c r="AE4223" s="508"/>
      <c r="AF4223" s="508"/>
      <c r="AG4223" s="508"/>
      <c r="AH4223" s="508"/>
      <c r="AI4223" s="492"/>
      <c r="AJ4223" s="485"/>
    </row>
    <row r="4224" spans="2:36">
      <c r="B4224" s="136" t="s">
        <v>455</v>
      </c>
      <c r="C4224" s="132" t="s">
        <v>1374</v>
      </c>
      <c r="D4224" s="132" t="s">
        <v>284</v>
      </c>
      <c r="E4224" s="508">
        <v>0.186</v>
      </c>
      <c r="F4224" s="508">
        <v>0.19800000000000001</v>
      </c>
      <c r="G4224" s="508">
        <v>0.19400000000000001</v>
      </c>
      <c r="H4224" s="508">
        <v>0.154</v>
      </c>
      <c r="I4224" s="508">
        <v>0.152</v>
      </c>
      <c r="J4224" s="508">
        <v>0.16600000000000001</v>
      </c>
      <c r="K4224" s="508">
        <v>0.111</v>
      </c>
      <c r="L4224" s="508">
        <v>0.11</v>
      </c>
      <c r="M4224" s="508">
        <v>0.109</v>
      </c>
      <c r="N4224" s="508">
        <v>0.114</v>
      </c>
      <c r="O4224" s="508">
        <v>0.109</v>
      </c>
      <c r="P4224" s="508">
        <v>0.08</v>
      </c>
      <c r="Q4224" s="508">
        <v>6.2E-2</v>
      </c>
      <c r="R4224" s="508">
        <v>7.0000000000000007E-2</v>
      </c>
      <c r="S4224" s="508">
        <v>8.4000000000000005E-2</v>
      </c>
      <c r="T4224" s="508">
        <v>6.9000000000000006E-2</v>
      </c>
      <c r="U4224" s="508">
        <v>6.3E-2</v>
      </c>
      <c r="V4224" s="508">
        <v>0.03</v>
      </c>
      <c r="W4224" s="508"/>
      <c r="X4224" s="508">
        <v>2.1999999999999999E-2</v>
      </c>
      <c r="Y4224" s="508"/>
      <c r="Z4224" s="508"/>
      <c r="AA4224" s="508"/>
      <c r="AB4224" s="508"/>
      <c r="AC4224" s="508"/>
      <c r="AD4224" s="508"/>
      <c r="AE4224" s="508"/>
      <c r="AF4224" s="508"/>
      <c r="AG4224" s="508"/>
      <c r="AH4224" s="508"/>
      <c r="AI4224" s="492"/>
      <c r="AJ4224" s="485"/>
    </row>
    <row r="4225" spans="2:36">
      <c r="B4225" s="136" t="s">
        <v>456</v>
      </c>
      <c r="C4225" s="132" t="s">
        <v>1374</v>
      </c>
      <c r="D4225" s="132" t="s">
        <v>284</v>
      </c>
      <c r="E4225" s="508">
        <v>0.127</v>
      </c>
      <c r="F4225" s="508">
        <v>0.129</v>
      </c>
      <c r="G4225" s="508">
        <v>0.126</v>
      </c>
      <c r="H4225" s="508">
        <v>0.10299999999999999</v>
      </c>
      <c r="I4225" s="508">
        <v>0.10199999999999999</v>
      </c>
      <c r="J4225" s="508">
        <v>0.105</v>
      </c>
      <c r="K4225" s="508">
        <v>7.3999999999999996E-2</v>
      </c>
      <c r="L4225" s="508">
        <v>7.2999999999999995E-2</v>
      </c>
      <c r="M4225" s="508">
        <v>7.2999999999999995E-2</v>
      </c>
      <c r="N4225" s="508">
        <v>7.5999999999999998E-2</v>
      </c>
      <c r="O4225" s="508">
        <v>7.0000000000000007E-2</v>
      </c>
      <c r="P4225" s="508">
        <v>5.0999999999999997E-2</v>
      </c>
      <c r="Q4225" s="508">
        <v>0.04</v>
      </c>
      <c r="R4225" s="508">
        <v>4.4999999999999998E-2</v>
      </c>
      <c r="S4225" s="508">
        <v>5.2999999999999999E-2</v>
      </c>
      <c r="T4225" s="508">
        <v>4.3999999999999997E-2</v>
      </c>
      <c r="U4225" s="508">
        <v>4.4999999999999998E-2</v>
      </c>
      <c r="V4225" s="508">
        <v>2.1999999999999999E-2</v>
      </c>
      <c r="W4225" s="508"/>
      <c r="X4225" s="508">
        <v>2.3E-2</v>
      </c>
      <c r="Y4225" s="508"/>
      <c r="Z4225" s="508"/>
      <c r="AA4225" s="508"/>
      <c r="AB4225" s="508"/>
      <c r="AC4225" s="508"/>
      <c r="AD4225" s="508"/>
      <c r="AE4225" s="508"/>
      <c r="AF4225" s="508"/>
      <c r="AG4225" s="508"/>
      <c r="AH4225" s="508"/>
      <c r="AI4225" s="492"/>
      <c r="AJ4225" s="485"/>
    </row>
    <row r="4226" spans="2:36">
      <c r="B4226" s="136" t="s">
        <v>457</v>
      </c>
      <c r="C4226" s="132" t="s">
        <v>1374</v>
      </c>
      <c r="D4226" s="132" t="s">
        <v>284</v>
      </c>
      <c r="E4226" s="508">
        <v>0.254</v>
      </c>
      <c r="F4226" s="508">
        <v>0.254</v>
      </c>
      <c r="G4226" s="508">
        <v>0.248</v>
      </c>
      <c r="H4226" s="508">
        <v>0.20899999999999999</v>
      </c>
      <c r="I4226" s="508">
        <v>0.20499999999999999</v>
      </c>
      <c r="J4226" s="508">
        <v>0.20100000000000001</v>
      </c>
      <c r="K4226" s="508">
        <v>0.13800000000000001</v>
      </c>
      <c r="L4226" s="508">
        <v>0.13600000000000001</v>
      </c>
      <c r="M4226" s="508">
        <v>0.13500000000000001</v>
      </c>
      <c r="N4226" s="508">
        <v>0.16</v>
      </c>
      <c r="O4226" s="508">
        <v>0.129</v>
      </c>
      <c r="P4226" s="508">
        <v>9.2999999999999999E-2</v>
      </c>
      <c r="Q4226" s="508">
        <v>7.6999999999999999E-2</v>
      </c>
      <c r="R4226" s="508">
        <v>8.6999999999999994E-2</v>
      </c>
      <c r="S4226" s="508">
        <v>9.4E-2</v>
      </c>
      <c r="T4226" s="508">
        <v>7.9000000000000001E-2</v>
      </c>
      <c r="U4226" s="508">
        <v>8.4000000000000005E-2</v>
      </c>
      <c r="V4226" s="508">
        <v>4.1000000000000002E-2</v>
      </c>
      <c r="W4226" s="508"/>
      <c r="X4226" s="508">
        <v>2.3E-2</v>
      </c>
      <c r="Y4226" s="508"/>
      <c r="Z4226" s="508"/>
      <c r="AA4226" s="508"/>
      <c r="AB4226" s="508"/>
      <c r="AC4226" s="508"/>
      <c r="AD4226" s="508"/>
      <c r="AE4226" s="508"/>
      <c r="AF4226" s="508"/>
      <c r="AG4226" s="508"/>
      <c r="AH4226" s="508"/>
      <c r="AI4226" s="492"/>
      <c r="AJ4226" s="485"/>
    </row>
    <row r="4227" spans="2:36">
      <c r="B4227" s="136" t="s">
        <v>458</v>
      </c>
      <c r="C4227" s="132" t="s">
        <v>1374</v>
      </c>
      <c r="D4227" s="132" t="s">
        <v>284</v>
      </c>
      <c r="E4227" s="508">
        <v>0.21</v>
      </c>
      <c r="F4227" s="508">
        <v>0.221</v>
      </c>
      <c r="G4227" s="508">
        <v>0.217</v>
      </c>
      <c r="H4227" s="508">
        <v>0.16700000000000001</v>
      </c>
      <c r="I4227" s="508">
        <v>0.16400000000000001</v>
      </c>
      <c r="J4227" s="508">
        <v>0.185</v>
      </c>
      <c r="K4227" s="508">
        <v>0.127</v>
      </c>
      <c r="L4227" s="508">
        <v>0.126</v>
      </c>
      <c r="M4227" s="508">
        <v>0.125</v>
      </c>
      <c r="N4227" s="508">
        <v>0.11700000000000001</v>
      </c>
      <c r="O4227" s="508">
        <v>0.123</v>
      </c>
      <c r="P4227" s="508">
        <v>9.2999999999999999E-2</v>
      </c>
      <c r="Q4227" s="508">
        <v>6.8000000000000005E-2</v>
      </c>
      <c r="R4227" s="508">
        <v>7.5999999999999998E-2</v>
      </c>
      <c r="S4227" s="508">
        <v>9.6000000000000002E-2</v>
      </c>
      <c r="T4227" s="508">
        <v>7.8E-2</v>
      </c>
      <c r="U4227" s="508">
        <v>7.4999999999999997E-2</v>
      </c>
      <c r="V4227" s="508">
        <v>3.5999999999999997E-2</v>
      </c>
      <c r="W4227" s="508"/>
      <c r="X4227" s="508">
        <v>2.5000000000000001E-2</v>
      </c>
      <c r="Y4227" s="508"/>
      <c r="Z4227" s="508"/>
      <c r="AA4227" s="508"/>
      <c r="AB4227" s="508"/>
      <c r="AC4227" s="508"/>
      <c r="AD4227" s="508"/>
      <c r="AE4227" s="508"/>
      <c r="AF4227" s="508"/>
      <c r="AG4227" s="508"/>
      <c r="AH4227" s="508"/>
      <c r="AI4227" s="492"/>
      <c r="AJ4227" s="485"/>
    </row>
    <row r="4228" spans="2:36">
      <c r="B4228" s="136" t="s">
        <v>459</v>
      </c>
      <c r="C4228" s="132" t="s">
        <v>1374</v>
      </c>
      <c r="D4228" s="132" t="s">
        <v>284</v>
      </c>
      <c r="E4228" s="508">
        <v>0.26300000000000001</v>
      </c>
      <c r="F4228" s="508">
        <v>0.27500000000000002</v>
      </c>
      <c r="G4228" s="508">
        <v>0.27</v>
      </c>
      <c r="H4228" s="508">
        <v>0.20799999999999999</v>
      </c>
      <c r="I4228" s="508">
        <v>0.20399999999999999</v>
      </c>
      <c r="J4228" s="508">
        <v>0.22900000000000001</v>
      </c>
      <c r="K4228" s="508">
        <v>0.158</v>
      </c>
      <c r="L4228" s="508">
        <v>0.156</v>
      </c>
      <c r="M4228" s="508">
        <v>0.155</v>
      </c>
      <c r="N4228" s="508">
        <v>0.14499999999999999</v>
      </c>
      <c r="O4228" s="508">
        <v>0.151</v>
      </c>
      <c r="P4228" s="508">
        <v>0.114</v>
      </c>
      <c r="Q4228" s="508">
        <v>8.3000000000000004E-2</v>
      </c>
      <c r="R4228" s="508">
        <v>9.4E-2</v>
      </c>
      <c r="S4228" s="508">
        <v>0.11799999999999999</v>
      </c>
      <c r="T4228" s="508">
        <v>9.6000000000000002E-2</v>
      </c>
      <c r="U4228" s="508">
        <v>8.8999999999999996E-2</v>
      </c>
      <c r="V4228" s="508">
        <v>4.2999999999999997E-2</v>
      </c>
      <c r="W4228" s="508"/>
      <c r="X4228" s="508">
        <v>2.5000000000000001E-2</v>
      </c>
      <c r="Y4228" s="508"/>
      <c r="Z4228" s="508"/>
      <c r="AA4228" s="508"/>
      <c r="AB4228" s="508"/>
      <c r="AC4228" s="508"/>
      <c r="AD4228" s="508"/>
      <c r="AE4228" s="508"/>
      <c r="AF4228" s="508"/>
      <c r="AG4228" s="508"/>
      <c r="AH4228" s="508"/>
      <c r="AI4228" s="492"/>
      <c r="AJ4228" s="485"/>
    </row>
    <row r="4229" spans="2:36">
      <c r="B4229" s="136" t="s">
        <v>460</v>
      </c>
      <c r="C4229" s="132" t="s">
        <v>1374</v>
      </c>
      <c r="D4229" s="132" t="s">
        <v>284</v>
      </c>
      <c r="E4229" s="508">
        <v>0.26</v>
      </c>
      <c r="F4229" s="508">
        <v>0.26200000000000001</v>
      </c>
      <c r="G4229" s="508">
        <v>0.25600000000000001</v>
      </c>
      <c r="H4229" s="508">
        <v>0.20499999999999999</v>
      </c>
      <c r="I4229" s="508">
        <v>0.20200000000000001</v>
      </c>
      <c r="J4229" s="508">
        <v>0.21099999999999999</v>
      </c>
      <c r="K4229" s="508">
        <v>0.15</v>
      </c>
      <c r="L4229" s="508">
        <v>0.14799999999999999</v>
      </c>
      <c r="M4229" s="508">
        <v>0.14599999999999999</v>
      </c>
      <c r="N4229" s="508">
        <v>0.14499999999999999</v>
      </c>
      <c r="O4229" s="508">
        <v>0.13800000000000001</v>
      </c>
      <c r="P4229" s="508">
        <v>0.10299999999999999</v>
      </c>
      <c r="Q4229" s="508">
        <v>7.8E-2</v>
      </c>
      <c r="R4229" s="508">
        <v>8.7999999999999995E-2</v>
      </c>
      <c r="S4229" s="508">
        <v>0.105</v>
      </c>
      <c r="T4229" s="508">
        <v>8.5999999999999993E-2</v>
      </c>
      <c r="U4229" s="508">
        <v>7.8E-2</v>
      </c>
      <c r="V4229" s="508">
        <v>3.7999999999999999E-2</v>
      </c>
      <c r="W4229" s="508"/>
      <c r="X4229" s="508">
        <v>2.1999999999999999E-2</v>
      </c>
      <c r="Y4229" s="508"/>
      <c r="Z4229" s="508"/>
      <c r="AA4229" s="508"/>
      <c r="AB4229" s="508"/>
      <c r="AC4229" s="508"/>
      <c r="AD4229" s="508"/>
      <c r="AE4229" s="508"/>
      <c r="AF4229" s="508"/>
      <c r="AG4229" s="508"/>
      <c r="AH4229" s="508"/>
      <c r="AI4229" s="492"/>
      <c r="AJ4229" s="485"/>
    </row>
    <row r="4230" spans="2:36">
      <c r="B4230" s="136" t="s">
        <v>461</v>
      </c>
      <c r="C4230" s="132" t="s">
        <v>1374</v>
      </c>
      <c r="D4230" s="132" t="s">
        <v>284</v>
      </c>
      <c r="E4230" s="508">
        <v>0.27900000000000003</v>
      </c>
      <c r="F4230" s="508">
        <v>0.27400000000000002</v>
      </c>
      <c r="G4230" s="508">
        <v>0.26700000000000002</v>
      </c>
      <c r="H4230" s="508">
        <v>0.22</v>
      </c>
      <c r="I4230" s="508">
        <v>0.216</v>
      </c>
      <c r="J4230" s="508">
        <v>0.215</v>
      </c>
      <c r="K4230" s="508">
        <v>0.154</v>
      </c>
      <c r="L4230" s="508">
        <v>0.152</v>
      </c>
      <c r="M4230" s="508">
        <v>0.15</v>
      </c>
      <c r="N4230" s="508">
        <v>0.16</v>
      </c>
      <c r="O4230" s="508">
        <v>0.14000000000000001</v>
      </c>
      <c r="P4230" s="508">
        <v>0.10299999999999999</v>
      </c>
      <c r="Q4230" s="508">
        <v>8.1000000000000003E-2</v>
      </c>
      <c r="R4230" s="508">
        <v>9.0999999999999998E-2</v>
      </c>
      <c r="S4230" s="508">
        <v>0.10299999999999999</v>
      </c>
      <c r="T4230" s="508">
        <v>8.5000000000000006E-2</v>
      </c>
      <c r="U4230" s="508">
        <v>8.5000000000000006E-2</v>
      </c>
      <c r="V4230" s="508">
        <v>4.2000000000000003E-2</v>
      </c>
      <c r="W4230" s="508"/>
      <c r="X4230" s="508">
        <v>2.3E-2</v>
      </c>
      <c r="Y4230" s="508"/>
      <c r="Z4230" s="508"/>
      <c r="AA4230" s="508"/>
      <c r="AB4230" s="508"/>
      <c r="AC4230" s="508"/>
      <c r="AD4230" s="508"/>
      <c r="AE4230" s="508"/>
      <c r="AF4230" s="508"/>
      <c r="AG4230" s="508"/>
      <c r="AH4230" s="508"/>
      <c r="AI4230" s="492"/>
      <c r="AJ4230" s="485"/>
    </row>
    <row r="4231" spans="2:36">
      <c r="B4231" s="136" t="s">
        <v>462</v>
      </c>
      <c r="C4231" s="132" t="s">
        <v>1374</v>
      </c>
      <c r="D4231" s="132" t="s">
        <v>284</v>
      </c>
      <c r="E4231" s="508">
        <v>0.127</v>
      </c>
      <c r="F4231" s="508">
        <v>0.121</v>
      </c>
      <c r="G4231" s="508">
        <v>0.11799999999999999</v>
      </c>
      <c r="H4231" s="508">
        <v>0.10299999999999999</v>
      </c>
      <c r="I4231" s="508">
        <v>0.10199999999999999</v>
      </c>
      <c r="J4231" s="508">
        <v>9.2999999999999999E-2</v>
      </c>
      <c r="K4231" s="508">
        <v>6.8000000000000005E-2</v>
      </c>
      <c r="L4231" s="508">
        <v>6.7000000000000004E-2</v>
      </c>
      <c r="M4231" s="508">
        <v>6.6000000000000003E-2</v>
      </c>
      <c r="N4231" s="508">
        <v>0.08</v>
      </c>
      <c r="O4231" s="508">
        <v>0.06</v>
      </c>
      <c r="P4231" s="508">
        <v>4.2999999999999997E-2</v>
      </c>
      <c r="Q4231" s="508">
        <v>3.6999999999999998E-2</v>
      </c>
      <c r="R4231" s="508">
        <v>4.2000000000000003E-2</v>
      </c>
      <c r="S4231" s="508">
        <v>4.2999999999999997E-2</v>
      </c>
      <c r="T4231" s="508">
        <v>3.5999999999999997E-2</v>
      </c>
      <c r="U4231" s="508">
        <v>3.9E-2</v>
      </c>
      <c r="V4231" s="508">
        <v>0.02</v>
      </c>
      <c r="W4231" s="508"/>
      <c r="X4231" s="508">
        <v>0.02</v>
      </c>
      <c r="Y4231" s="508"/>
      <c r="Z4231" s="508"/>
      <c r="AA4231" s="508"/>
      <c r="AB4231" s="508"/>
      <c r="AC4231" s="508"/>
      <c r="AD4231" s="508"/>
      <c r="AE4231" s="508"/>
      <c r="AF4231" s="508"/>
      <c r="AG4231" s="508"/>
      <c r="AH4231" s="508"/>
      <c r="AI4231" s="492"/>
      <c r="AJ4231" s="485"/>
    </row>
    <row r="4232" spans="2:36">
      <c r="B4232" s="136" t="s">
        <v>463</v>
      </c>
      <c r="C4232" s="132" t="s">
        <v>1374</v>
      </c>
      <c r="D4232" s="132" t="s">
        <v>284</v>
      </c>
      <c r="E4232" s="508">
        <v>0.19400000000000001</v>
      </c>
      <c r="F4232" s="508">
        <v>0.20899999999999999</v>
      </c>
      <c r="G4232" s="508">
        <v>0.20599999999999999</v>
      </c>
      <c r="H4232" s="508">
        <v>0.16</v>
      </c>
      <c r="I4232" s="508">
        <v>0.158</v>
      </c>
      <c r="J4232" s="508">
        <v>0.17799999999999999</v>
      </c>
      <c r="K4232" s="508">
        <v>0.11700000000000001</v>
      </c>
      <c r="L4232" s="508">
        <v>0.11600000000000001</v>
      </c>
      <c r="M4232" s="508">
        <v>0.115</v>
      </c>
      <c r="N4232" s="508">
        <v>0.11799999999999999</v>
      </c>
      <c r="O4232" s="508">
        <v>0.11700000000000001</v>
      </c>
      <c r="P4232" s="508">
        <v>8.6999999999999994E-2</v>
      </c>
      <c r="Q4232" s="508">
        <v>6.5000000000000002E-2</v>
      </c>
      <c r="R4232" s="508">
        <v>7.3999999999999996E-2</v>
      </c>
      <c r="S4232" s="508">
        <v>9.0999999999999998E-2</v>
      </c>
      <c r="T4232" s="508">
        <v>7.4999999999999997E-2</v>
      </c>
      <c r="U4232" s="508">
        <v>7.0999999999999994E-2</v>
      </c>
      <c r="V4232" s="508">
        <v>3.4000000000000002E-2</v>
      </c>
      <c r="W4232" s="508"/>
      <c r="X4232" s="508">
        <v>2.4E-2</v>
      </c>
      <c r="Y4232" s="508"/>
      <c r="Z4232" s="508"/>
      <c r="AA4232" s="508"/>
      <c r="AB4232" s="508"/>
      <c r="AC4232" s="508"/>
      <c r="AD4232" s="508"/>
      <c r="AE4232" s="508"/>
      <c r="AF4232" s="508"/>
      <c r="AG4232" s="508"/>
      <c r="AH4232" s="508"/>
      <c r="AI4232" s="492"/>
      <c r="AJ4232" s="485"/>
    </row>
    <row r="4233" spans="2:36">
      <c r="B4233" s="136" t="s">
        <v>464</v>
      </c>
      <c r="C4233" s="132" t="s">
        <v>1374</v>
      </c>
      <c r="D4233" s="132" t="s">
        <v>284</v>
      </c>
      <c r="E4233" s="508">
        <v>0.254</v>
      </c>
      <c r="F4233" s="508">
        <v>0.25800000000000001</v>
      </c>
      <c r="G4233" s="508">
        <v>0.252</v>
      </c>
      <c r="H4233" s="508">
        <v>0.20899999999999999</v>
      </c>
      <c r="I4233" s="508">
        <v>0.20599999999999999</v>
      </c>
      <c r="J4233" s="508">
        <v>0.20799999999999999</v>
      </c>
      <c r="K4233" s="508">
        <v>0.14099999999999999</v>
      </c>
      <c r="L4233" s="508">
        <v>0.13900000000000001</v>
      </c>
      <c r="M4233" s="508">
        <v>0.13800000000000001</v>
      </c>
      <c r="N4233" s="508">
        <v>0.16</v>
      </c>
      <c r="O4233" s="508">
        <v>0.13400000000000001</v>
      </c>
      <c r="P4233" s="508">
        <v>9.6000000000000002E-2</v>
      </c>
      <c r="Q4233" s="508">
        <v>7.9000000000000001E-2</v>
      </c>
      <c r="R4233" s="508">
        <v>8.8999999999999996E-2</v>
      </c>
      <c r="S4233" s="508">
        <v>9.9000000000000005E-2</v>
      </c>
      <c r="T4233" s="508">
        <v>8.3000000000000004E-2</v>
      </c>
      <c r="U4233" s="508">
        <v>0.08</v>
      </c>
      <c r="V4233" s="508">
        <v>3.9E-2</v>
      </c>
      <c r="W4233" s="508"/>
      <c r="X4233" s="508">
        <v>2.1999999999999999E-2</v>
      </c>
      <c r="Y4233" s="508"/>
      <c r="Z4233" s="508"/>
      <c r="AA4233" s="508"/>
      <c r="AB4233" s="508"/>
      <c r="AC4233" s="508"/>
      <c r="AD4233" s="508"/>
      <c r="AE4233" s="508"/>
      <c r="AF4233" s="508"/>
      <c r="AG4233" s="508"/>
      <c r="AH4233" s="508"/>
      <c r="AI4233" s="492"/>
      <c r="AJ4233" s="485"/>
    </row>
    <row r="4234" spans="2:36">
      <c r="B4234" s="136" t="s">
        <v>465</v>
      </c>
      <c r="C4234" s="132" t="s">
        <v>1374</v>
      </c>
      <c r="D4234" s="132" t="s">
        <v>284</v>
      </c>
      <c r="E4234" s="508">
        <v>0.22500000000000001</v>
      </c>
      <c r="F4234" s="508">
        <v>0.23499999999999999</v>
      </c>
      <c r="G4234" s="508">
        <v>0.23100000000000001</v>
      </c>
      <c r="H4234" s="508">
        <v>0.184</v>
      </c>
      <c r="I4234" s="508">
        <v>0.18099999999999999</v>
      </c>
      <c r="J4234" s="508">
        <v>0.19500000000000001</v>
      </c>
      <c r="K4234" s="508">
        <v>0.13100000000000001</v>
      </c>
      <c r="L4234" s="508">
        <v>0.13</v>
      </c>
      <c r="M4234" s="508">
        <v>0.129</v>
      </c>
      <c r="N4234" s="508">
        <v>0.13600000000000001</v>
      </c>
      <c r="O4234" s="508">
        <v>0.127</v>
      </c>
      <c r="P4234" s="508">
        <v>9.2999999999999999E-2</v>
      </c>
      <c r="Q4234" s="508">
        <v>7.1999999999999995E-2</v>
      </c>
      <c r="R4234" s="508">
        <v>8.2000000000000003E-2</v>
      </c>
      <c r="S4234" s="508">
        <v>9.7000000000000003E-2</v>
      </c>
      <c r="T4234" s="508">
        <v>0.08</v>
      </c>
      <c r="U4234" s="508">
        <v>7.6999999999999999E-2</v>
      </c>
      <c r="V4234" s="508">
        <v>3.6999999999999998E-2</v>
      </c>
      <c r="W4234" s="508"/>
      <c r="X4234" s="508">
        <v>2.3E-2</v>
      </c>
      <c r="Y4234" s="508"/>
      <c r="Z4234" s="508"/>
      <c r="AA4234" s="508"/>
      <c r="AB4234" s="508"/>
      <c r="AC4234" s="508"/>
      <c r="AD4234" s="508"/>
      <c r="AE4234" s="508"/>
      <c r="AF4234" s="508"/>
      <c r="AG4234" s="508"/>
      <c r="AH4234" s="508"/>
      <c r="AI4234" s="492"/>
      <c r="AJ4234" s="485"/>
    </row>
    <row r="4235" spans="2:36">
      <c r="B4235" s="136" t="s">
        <v>466</v>
      </c>
      <c r="C4235" s="132" t="s">
        <v>1374</v>
      </c>
      <c r="D4235" s="132" t="s">
        <v>284</v>
      </c>
      <c r="E4235" s="508">
        <v>0.16300000000000001</v>
      </c>
      <c r="F4235" s="508">
        <v>0.161</v>
      </c>
      <c r="G4235" s="508">
        <v>0.158</v>
      </c>
      <c r="H4235" s="508">
        <v>0.127</v>
      </c>
      <c r="I4235" s="508">
        <v>0.126</v>
      </c>
      <c r="J4235" s="508">
        <v>0.13</v>
      </c>
      <c r="K4235" s="508">
        <v>9.5000000000000001E-2</v>
      </c>
      <c r="L4235" s="508">
        <v>9.4E-2</v>
      </c>
      <c r="M4235" s="508">
        <v>9.2999999999999999E-2</v>
      </c>
      <c r="N4235" s="508">
        <v>8.8999999999999996E-2</v>
      </c>
      <c r="O4235" s="508">
        <v>8.6999999999999994E-2</v>
      </c>
      <c r="P4235" s="508">
        <v>6.5000000000000002E-2</v>
      </c>
      <c r="Q4235" s="508">
        <v>4.9000000000000002E-2</v>
      </c>
      <c r="R4235" s="508">
        <v>5.5E-2</v>
      </c>
      <c r="S4235" s="508">
        <v>6.6000000000000003E-2</v>
      </c>
      <c r="T4235" s="508">
        <v>5.3999999999999999E-2</v>
      </c>
      <c r="U4235" s="508">
        <v>5.0999999999999997E-2</v>
      </c>
      <c r="V4235" s="508">
        <v>2.5000000000000001E-2</v>
      </c>
      <c r="W4235" s="508"/>
      <c r="X4235" s="508">
        <v>2.1999999999999999E-2</v>
      </c>
      <c r="Y4235" s="508"/>
      <c r="Z4235" s="508"/>
      <c r="AA4235" s="508"/>
      <c r="AB4235" s="508"/>
      <c r="AC4235" s="508"/>
      <c r="AD4235" s="508"/>
      <c r="AE4235" s="508"/>
      <c r="AF4235" s="508"/>
      <c r="AG4235" s="508"/>
      <c r="AH4235" s="508"/>
      <c r="AI4235" s="492"/>
      <c r="AJ4235" s="485"/>
    </row>
    <row r="4236" spans="2:36">
      <c r="B4236" s="136" t="s">
        <v>467</v>
      </c>
      <c r="C4236" s="132" t="s">
        <v>1374</v>
      </c>
      <c r="D4236" s="132" t="s">
        <v>284</v>
      </c>
      <c r="E4236" s="508">
        <v>0.252</v>
      </c>
      <c r="F4236" s="508">
        <v>0.247</v>
      </c>
      <c r="G4236" s="508">
        <v>0.24099999999999999</v>
      </c>
      <c r="H4236" s="508">
        <v>0.20100000000000001</v>
      </c>
      <c r="I4236" s="508">
        <v>0.19700000000000001</v>
      </c>
      <c r="J4236" s="508">
        <v>0.193</v>
      </c>
      <c r="K4236" s="508">
        <v>0.13800000000000001</v>
      </c>
      <c r="L4236" s="508">
        <v>0.13700000000000001</v>
      </c>
      <c r="M4236" s="508">
        <v>0.13500000000000001</v>
      </c>
      <c r="N4236" s="508">
        <v>0.14799999999999999</v>
      </c>
      <c r="O4236" s="508">
        <v>0.126</v>
      </c>
      <c r="P4236" s="508">
        <v>9.1999999999999998E-2</v>
      </c>
      <c r="Q4236" s="508">
        <v>7.3999999999999996E-2</v>
      </c>
      <c r="R4236" s="508">
        <v>8.3000000000000004E-2</v>
      </c>
      <c r="S4236" s="508">
        <v>9.2999999999999999E-2</v>
      </c>
      <c r="T4236" s="508">
        <v>7.6999999999999999E-2</v>
      </c>
      <c r="U4236" s="508">
        <v>7.4999999999999997E-2</v>
      </c>
      <c r="V4236" s="508">
        <v>3.6999999999999998E-2</v>
      </c>
      <c r="W4236" s="508"/>
      <c r="X4236" s="508">
        <v>2.1999999999999999E-2</v>
      </c>
      <c r="Y4236" s="508"/>
      <c r="Z4236" s="508"/>
      <c r="AA4236" s="508"/>
      <c r="AB4236" s="508"/>
      <c r="AC4236" s="508"/>
      <c r="AD4236" s="508"/>
      <c r="AE4236" s="508"/>
      <c r="AF4236" s="508"/>
      <c r="AG4236" s="508"/>
      <c r="AH4236" s="508"/>
      <c r="AI4236" s="492"/>
      <c r="AJ4236" s="485"/>
    </row>
    <row r="4237" spans="2:36">
      <c r="B4237" s="136" t="s">
        <v>468</v>
      </c>
      <c r="C4237" s="132" t="s">
        <v>1374</v>
      </c>
      <c r="D4237" s="132" t="s">
        <v>284</v>
      </c>
      <c r="E4237" s="508">
        <v>0.20399999999999999</v>
      </c>
      <c r="F4237" s="508">
        <v>0.22600000000000001</v>
      </c>
      <c r="G4237" s="508">
        <v>0.223</v>
      </c>
      <c r="H4237" s="508">
        <v>0.17199999999999999</v>
      </c>
      <c r="I4237" s="508">
        <v>0.16900000000000001</v>
      </c>
      <c r="J4237" s="508">
        <v>0.19600000000000001</v>
      </c>
      <c r="K4237" s="508">
        <v>0.126</v>
      </c>
      <c r="L4237" s="508">
        <v>0.125</v>
      </c>
      <c r="M4237" s="508">
        <v>0.124</v>
      </c>
      <c r="N4237" s="508">
        <v>0.127</v>
      </c>
      <c r="O4237" s="508">
        <v>0.128</v>
      </c>
      <c r="P4237" s="508">
        <v>9.5000000000000001E-2</v>
      </c>
      <c r="Q4237" s="508">
        <v>7.1999999999999995E-2</v>
      </c>
      <c r="R4237" s="508">
        <v>8.1000000000000003E-2</v>
      </c>
      <c r="S4237" s="508">
        <v>0.10100000000000001</v>
      </c>
      <c r="T4237" s="508">
        <v>8.3000000000000004E-2</v>
      </c>
      <c r="U4237" s="508">
        <v>7.8E-2</v>
      </c>
      <c r="V4237" s="508">
        <v>3.6999999999999998E-2</v>
      </c>
      <c r="W4237" s="508"/>
      <c r="X4237" s="508">
        <v>2.5000000000000001E-2</v>
      </c>
      <c r="Y4237" s="508"/>
      <c r="Z4237" s="508"/>
      <c r="AA4237" s="508"/>
      <c r="AB4237" s="508"/>
      <c r="AC4237" s="508"/>
      <c r="AD4237" s="508"/>
      <c r="AE4237" s="508"/>
      <c r="AF4237" s="508"/>
      <c r="AG4237" s="508"/>
      <c r="AH4237" s="508"/>
      <c r="AI4237" s="492"/>
      <c r="AJ4237" s="485"/>
    </row>
    <row r="4238" spans="2:36">
      <c r="B4238" s="136" t="s">
        <v>469</v>
      </c>
      <c r="C4238" s="132" t="s">
        <v>1374</v>
      </c>
      <c r="D4238" s="132" t="s">
        <v>284</v>
      </c>
      <c r="E4238" s="508">
        <v>0.17499999999999999</v>
      </c>
      <c r="F4238" s="508">
        <v>0.17899999999999999</v>
      </c>
      <c r="G4238" s="508">
        <v>0.17599999999999999</v>
      </c>
      <c r="H4238" s="508">
        <v>0.14399999999999999</v>
      </c>
      <c r="I4238" s="508">
        <v>0.14199999999999999</v>
      </c>
      <c r="J4238" s="508">
        <v>0.14699999999999999</v>
      </c>
      <c r="K4238" s="508">
        <v>0.10100000000000001</v>
      </c>
      <c r="L4238" s="508">
        <v>0.1</v>
      </c>
      <c r="M4238" s="508">
        <v>9.9000000000000005E-2</v>
      </c>
      <c r="N4238" s="508">
        <v>0.107</v>
      </c>
      <c r="O4238" s="508">
        <v>9.6000000000000002E-2</v>
      </c>
      <c r="P4238" s="508">
        <v>7.0000000000000007E-2</v>
      </c>
      <c r="Q4238" s="508">
        <v>5.5E-2</v>
      </c>
      <c r="R4238" s="508">
        <v>6.2E-2</v>
      </c>
      <c r="S4238" s="508">
        <v>7.1999999999999995E-2</v>
      </c>
      <c r="T4238" s="508">
        <v>0.06</v>
      </c>
      <c r="U4238" s="508">
        <v>5.8000000000000003E-2</v>
      </c>
      <c r="V4238" s="508">
        <v>2.8000000000000001E-2</v>
      </c>
      <c r="W4238" s="508"/>
      <c r="X4238" s="508">
        <v>2.1999999999999999E-2</v>
      </c>
      <c r="Y4238" s="508"/>
      <c r="Z4238" s="508"/>
      <c r="AA4238" s="508"/>
      <c r="AB4238" s="508"/>
      <c r="AC4238" s="508"/>
      <c r="AD4238" s="508"/>
      <c r="AE4238" s="508"/>
      <c r="AF4238" s="508"/>
      <c r="AG4238" s="508"/>
      <c r="AH4238" s="508"/>
      <c r="AI4238" s="492"/>
      <c r="AJ4238" s="485"/>
    </row>
    <row r="4239" spans="2:36">
      <c r="B4239" s="136" t="s">
        <v>470</v>
      </c>
      <c r="C4239" s="132" t="s">
        <v>1374</v>
      </c>
      <c r="D4239" s="132" t="s">
        <v>284</v>
      </c>
      <c r="E4239" s="508">
        <v>0.248</v>
      </c>
      <c r="F4239" s="508">
        <v>0.248</v>
      </c>
      <c r="G4239" s="508">
        <v>0.24299999999999999</v>
      </c>
      <c r="H4239" s="508">
        <v>0.193</v>
      </c>
      <c r="I4239" s="508">
        <v>0.19</v>
      </c>
      <c r="J4239" s="508">
        <v>0.2</v>
      </c>
      <c r="K4239" s="508">
        <v>0.14299999999999999</v>
      </c>
      <c r="L4239" s="508">
        <v>0.14199999999999999</v>
      </c>
      <c r="M4239" s="508">
        <v>0.14000000000000001</v>
      </c>
      <c r="N4239" s="508">
        <v>0.13500000000000001</v>
      </c>
      <c r="O4239" s="508">
        <v>0.13200000000000001</v>
      </c>
      <c r="P4239" s="508">
        <v>9.9000000000000005E-2</v>
      </c>
      <c r="Q4239" s="508">
        <v>7.3999999999999996E-2</v>
      </c>
      <c r="R4239" s="508">
        <v>8.3000000000000004E-2</v>
      </c>
      <c r="S4239" s="508">
        <v>0.1</v>
      </c>
      <c r="T4239" s="508">
        <v>8.2000000000000003E-2</v>
      </c>
      <c r="U4239" s="508">
        <v>7.9000000000000001E-2</v>
      </c>
      <c r="V4239" s="508">
        <v>3.9E-2</v>
      </c>
      <c r="W4239" s="508"/>
      <c r="X4239" s="508">
        <v>2.4E-2</v>
      </c>
      <c r="Y4239" s="508"/>
      <c r="Z4239" s="508"/>
      <c r="AA4239" s="508"/>
      <c r="AB4239" s="508"/>
      <c r="AC4239" s="508"/>
      <c r="AD4239" s="508"/>
      <c r="AE4239" s="508"/>
      <c r="AF4239" s="508"/>
      <c r="AG4239" s="508"/>
      <c r="AH4239" s="508"/>
      <c r="AI4239" s="492"/>
      <c r="AJ4239" s="485"/>
    </row>
    <row r="4240" spans="2:36">
      <c r="B4240" s="136" t="s">
        <v>471</v>
      </c>
      <c r="C4240" s="132" t="s">
        <v>1374</v>
      </c>
      <c r="D4240" s="132" t="s">
        <v>284</v>
      </c>
      <c r="E4240" s="508">
        <v>0.16300000000000001</v>
      </c>
      <c r="F4240" s="508">
        <v>0.159</v>
      </c>
      <c r="G4240" s="508">
        <v>0.156</v>
      </c>
      <c r="H4240" s="508">
        <v>0.13</v>
      </c>
      <c r="I4240" s="508">
        <v>0.128</v>
      </c>
      <c r="J4240" s="508">
        <v>0.125</v>
      </c>
      <c r="K4240" s="508">
        <v>9.0999999999999998E-2</v>
      </c>
      <c r="L4240" s="508">
        <v>0.09</v>
      </c>
      <c r="M4240" s="508">
        <v>8.8999999999999996E-2</v>
      </c>
      <c r="N4240" s="508">
        <v>9.5000000000000001E-2</v>
      </c>
      <c r="O4240" s="508">
        <v>8.3000000000000004E-2</v>
      </c>
      <c r="P4240" s="508">
        <v>6.0999999999999999E-2</v>
      </c>
      <c r="Q4240" s="508">
        <v>4.8000000000000001E-2</v>
      </c>
      <c r="R4240" s="508">
        <v>5.3999999999999999E-2</v>
      </c>
      <c r="S4240" s="508">
        <v>6.0999999999999999E-2</v>
      </c>
      <c r="T4240" s="508">
        <v>5.0999999999999997E-2</v>
      </c>
      <c r="U4240" s="508">
        <v>5.2999999999999999E-2</v>
      </c>
      <c r="V4240" s="508">
        <v>2.5999999999999999E-2</v>
      </c>
      <c r="W4240" s="508"/>
      <c r="X4240" s="508">
        <v>2.1999999999999999E-2</v>
      </c>
      <c r="Y4240" s="508"/>
      <c r="Z4240" s="508"/>
      <c r="AA4240" s="508"/>
      <c r="AB4240" s="508"/>
      <c r="AC4240" s="508"/>
      <c r="AD4240" s="508"/>
      <c r="AE4240" s="508"/>
      <c r="AF4240" s="508"/>
      <c r="AG4240" s="508"/>
      <c r="AH4240" s="508"/>
      <c r="AI4240" s="492"/>
      <c r="AJ4240" s="485"/>
    </row>
    <row r="4241" spans="2:36">
      <c r="B4241" s="136" t="s">
        <v>472</v>
      </c>
      <c r="C4241" s="132" t="s">
        <v>1374</v>
      </c>
      <c r="D4241" s="132" t="s">
        <v>284</v>
      </c>
      <c r="E4241" s="508">
        <v>0.28599999999999998</v>
      </c>
      <c r="F4241" s="508">
        <v>0.28399999999999997</v>
      </c>
      <c r="G4241" s="508">
        <v>0.27700000000000002</v>
      </c>
      <c r="H4241" s="508">
        <v>0.23300000000000001</v>
      </c>
      <c r="I4241" s="508">
        <v>0.22900000000000001</v>
      </c>
      <c r="J4241" s="508">
        <v>0.224</v>
      </c>
      <c r="K4241" s="508">
        <v>0.154</v>
      </c>
      <c r="L4241" s="508">
        <v>0.152</v>
      </c>
      <c r="M4241" s="508">
        <v>0.15</v>
      </c>
      <c r="N4241" s="508">
        <v>0.17799999999999999</v>
      </c>
      <c r="O4241" s="508">
        <v>0.14299999999999999</v>
      </c>
      <c r="P4241" s="508">
        <v>0.10299999999999999</v>
      </c>
      <c r="Q4241" s="508">
        <v>8.5999999999999993E-2</v>
      </c>
      <c r="R4241" s="508">
        <v>9.6000000000000002E-2</v>
      </c>
      <c r="S4241" s="508">
        <v>0.104</v>
      </c>
      <c r="T4241" s="508">
        <v>8.6999999999999994E-2</v>
      </c>
      <c r="U4241" s="508">
        <v>8.7999999999999995E-2</v>
      </c>
      <c r="V4241" s="508">
        <v>4.2999999999999997E-2</v>
      </c>
      <c r="W4241" s="508"/>
      <c r="X4241" s="508">
        <v>2.1999999999999999E-2</v>
      </c>
      <c r="Y4241" s="508"/>
      <c r="Z4241" s="508"/>
      <c r="AA4241" s="508"/>
      <c r="AB4241" s="508"/>
      <c r="AC4241" s="508"/>
      <c r="AD4241" s="508"/>
      <c r="AE4241" s="508"/>
      <c r="AF4241" s="508"/>
      <c r="AG4241" s="508"/>
      <c r="AH4241" s="508"/>
      <c r="AI4241" s="492"/>
      <c r="AJ4241" s="485"/>
    </row>
    <row r="4242" spans="2:36">
      <c r="B4242" s="136" t="s">
        <v>473</v>
      </c>
      <c r="C4242" s="132" t="s">
        <v>1374</v>
      </c>
      <c r="D4242" s="132" t="s">
        <v>284</v>
      </c>
      <c r="E4242" s="508">
        <v>0.23</v>
      </c>
      <c r="F4242" s="508">
        <v>0.223</v>
      </c>
      <c r="G4242" s="508">
        <v>0.218</v>
      </c>
      <c r="H4242" s="508">
        <v>0.17899999999999999</v>
      </c>
      <c r="I4242" s="508">
        <v>0.17599999999999999</v>
      </c>
      <c r="J4242" s="508">
        <v>0.17399999999999999</v>
      </c>
      <c r="K4242" s="508">
        <v>0.129</v>
      </c>
      <c r="L4242" s="508">
        <v>0.127</v>
      </c>
      <c r="M4242" s="508">
        <v>0.126</v>
      </c>
      <c r="N4242" s="508">
        <v>0.127</v>
      </c>
      <c r="O4242" s="508">
        <v>0.115</v>
      </c>
      <c r="P4242" s="508">
        <v>8.5000000000000006E-2</v>
      </c>
      <c r="Q4242" s="508">
        <v>6.6000000000000003E-2</v>
      </c>
      <c r="R4242" s="508">
        <v>7.3999999999999996E-2</v>
      </c>
      <c r="S4242" s="508">
        <v>8.5000000000000006E-2</v>
      </c>
      <c r="T4242" s="508">
        <v>7.0000000000000007E-2</v>
      </c>
      <c r="U4242" s="508">
        <v>6.4000000000000001E-2</v>
      </c>
      <c r="V4242" s="508">
        <v>3.2000000000000001E-2</v>
      </c>
      <c r="W4242" s="508"/>
      <c r="X4242" s="508">
        <v>2.1000000000000001E-2</v>
      </c>
      <c r="Y4242" s="508"/>
      <c r="Z4242" s="508"/>
      <c r="AA4242" s="508"/>
      <c r="AB4242" s="508"/>
      <c r="AC4242" s="508"/>
      <c r="AD4242" s="508"/>
      <c r="AE4242" s="508"/>
      <c r="AF4242" s="508"/>
      <c r="AG4242" s="508"/>
      <c r="AH4242" s="508"/>
      <c r="AI4242" s="492"/>
      <c r="AJ4242" s="485"/>
    </row>
    <row r="4243" spans="2:36">
      <c r="B4243" s="136" t="s">
        <v>474</v>
      </c>
      <c r="C4243" s="132" t="s">
        <v>1374</v>
      </c>
      <c r="D4243" s="132" t="s">
        <v>284</v>
      </c>
      <c r="E4243" s="508">
        <v>0.157</v>
      </c>
      <c r="F4243" s="508">
        <v>0.156</v>
      </c>
      <c r="G4243" s="508">
        <v>0.153</v>
      </c>
      <c r="H4243" s="508">
        <v>0.126</v>
      </c>
      <c r="I4243" s="508">
        <v>0.125</v>
      </c>
      <c r="J4243" s="508">
        <v>0.125</v>
      </c>
      <c r="K4243" s="508">
        <v>8.8999999999999996E-2</v>
      </c>
      <c r="L4243" s="508">
        <v>8.7999999999999995E-2</v>
      </c>
      <c r="M4243" s="508">
        <v>8.6999999999999994E-2</v>
      </c>
      <c r="N4243" s="508">
        <v>9.4E-2</v>
      </c>
      <c r="O4243" s="508">
        <v>8.2000000000000003E-2</v>
      </c>
      <c r="P4243" s="508">
        <v>0.06</v>
      </c>
      <c r="Q4243" s="508">
        <v>4.8000000000000001E-2</v>
      </c>
      <c r="R4243" s="508">
        <v>5.3999999999999999E-2</v>
      </c>
      <c r="S4243" s="508">
        <v>6.0999999999999999E-2</v>
      </c>
      <c r="T4243" s="508">
        <v>5.0999999999999997E-2</v>
      </c>
      <c r="U4243" s="508">
        <v>0.05</v>
      </c>
      <c r="V4243" s="508">
        <v>2.4E-2</v>
      </c>
      <c r="W4243" s="508"/>
      <c r="X4243" s="508">
        <v>2.1000000000000001E-2</v>
      </c>
      <c r="Y4243" s="508"/>
      <c r="Z4243" s="508"/>
      <c r="AA4243" s="508"/>
      <c r="AB4243" s="508"/>
      <c r="AC4243" s="508"/>
      <c r="AD4243" s="508"/>
      <c r="AE4243" s="508"/>
      <c r="AF4243" s="508"/>
      <c r="AG4243" s="508"/>
      <c r="AH4243" s="508"/>
      <c r="AI4243" s="492"/>
      <c r="AJ4243" s="485"/>
    </row>
    <row r="4244" spans="2:36">
      <c r="B4244" s="136" t="s">
        <v>475</v>
      </c>
      <c r="C4244" s="132" t="s">
        <v>1374</v>
      </c>
      <c r="D4244" s="132" t="s">
        <v>284</v>
      </c>
      <c r="E4244" s="508">
        <v>0.214</v>
      </c>
      <c r="F4244" s="508">
        <v>0.21299999999999999</v>
      </c>
      <c r="G4244" s="508">
        <v>0.20799999999999999</v>
      </c>
      <c r="H4244" s="508">
        <v>0.17199999999999999</v>
      </c>
      <c r="I4244" s="508">
        <v>0.16900000000000001</v>
      </c>
      <c r="J4244" s="508">
        <v>0.17</v>
      </c>
      <c r="K4244" s="508">
        <v>0.12</v>
      </c>
      <c r="L4244" s="508">
        <v>0.11799999999999999</v>
      </c>
      <c r="M4244" s="508">
        <v>0.11700000000000001</v>
      </c>
      <c r="N4244" s="508">
        <v>0.128</v>
      </c>
      <c r="O4244" s="508">
        <v>0.111</v>
      </c>
      <c r="P4244" s="508">
        <v>8.1000000000000003E-2</v>
      </c>
      <c r="Q4244" s="508">
        <v>6.4000000000000001E-2</v>
      </c>
      <c r="R4244" s="508">
        <v>7.2999999999999995E-2</v>
      </c>
      <c r="S4244" s="508">
        <v>8.2000000000000003E-2</v>
      </c>
      <c r="T4244" s="508">
        <v>6.8000000000000005E-2</v>
      </c>
      <c r="U4244" s="508">
        <v>6.6000000000000003E-2</v>
      </c>
      <c r="V4244" s="508">
        <v>3.2000000000000001E-2</v>
      </c>
      <c r="W4244" s="508"/>
      <c r="X4244" s="508">
        <v>2.1000000000000001E-2</v>
      </c>
      <c r="Y4244" s="508"/>
      <c r="Z4244" s="508"/>
      <c r="AA4244" s="508"/>
      <c r="AB4244" s="508"/>
      <c r="AC4244" s="508"/>
      <c r="AD4244" s="508"/>
      <c r="AE4244" s="508"/>
      <c r="AF4244" s="508"/>
      <c r="AG4244" s="508"/>
      <c r="AH4244" s="508"/>
      <c r="AI4244" s="492"/>
      <c r="AJ4244" s="485"/>
    </row>
    <row r="4245" spans="2:36">
      <c r="B4245" s="136" t="s">
        <v>476</v>
      </c>
      <c r="C4245" s="132" t="s">
        <v>1374</v>
      </c>
      <c r="D4245" s="132" t="s">
        <v>284</v>
      </c>
      <c r="E4245" s="508">
        <v>0.23100000000000001</v>
      </c>
      <c r="F4245" s="508">
        <v>0.23300000000000001</v>
      </c>
      <c r="G4245" s="508">
        <v>0.22800000000000001</v>
      </c>
      <c r="H4245" s="508">
        <v>0.183</v>
      </c>
      <c r="I4245" s="508">
        <v>0.18</v>
      </c>
      <c r="J4245" s="508">
        <v>0.189</v>
      </c>
      <c r="K4245" s="508">
        <v>0.13400000000000001</v>
      </c>
      <c r="L4245" s="508">
        <v>0.13200000000000001</v>
      </c>
      <c r="M4245" s="508">
        <v>0.13100000000000001</v>
      </c>
      <c r="N4245" s="508">
        <v>0.13</v>
      </c>
      <c r="O4245" s="508">
        <v>0.124</v>
      </c>
      <c r="P4245" s="508">
        <v>9.2999999999999999E-2</v>
      </c>
      <c r="Q4245" s="508">
        <v>7.0000000000000007E-2</v>
      </c>
      <c r="R4245" s="508">
        <v>7.9000000000000001E-2</v>
      </c>
      <c r="S4245" s="508">
        <v>9.4E-2</v>
      </c>
      <c r="T4245" s="508">
        <v>7.6999999999999999E-2</v>
      </c>
      <c r="U4245" s="508">
        <v>7.4999999999999997E-2</v>
      </c>
      <c r="V4245" s="508">
        <v>3.6999999999999998E-2</v>
      </c>
      <c r="W4245" s="508"/>
      <c r="X4245" s="508">
        <v>2.4E-2</v>
      </c>
      <c r="Y4245" s="508"/>
      <c r="Z4245" s="508"/>
      <c r="AA4245" s="508"/>
      <c r="AB4245" s="508"/>
      <c r="AC4245" s="508"/>
      <c r="AD4245" s="508"/>
      <c r="AE4245" s="508"/>
      <c r="AF4245" s="508"/>
      <c r="AG4245" s="508"/>
      <c r="AH4245" s="508"/>
      <c r="AI4245" s="492"/>
      <c r="AJ4245" s="485"/>
    </row>
    <row r="4246" spans="2:36">
      <c r="B4246" s="136" t="s">
        <v>478</v>
      </c>
      <c r="C4246" s="132" t="s">
        <v>1374</v>
      </c>
      <c r="D4246" s="132" t="s">
        <v>284</v>
      </c>
      <c r="E4246" s="508">
        <v>0.26400000000000001</v>
      </c>
      <c r="F4246" s="508">
        <v>0.27300000000000002</v>
      </c>
      <c r="G4246" s="508">
        <v>0.26700000000000002</v>
      </c>
      <c r="H4246" s="508">
        <v>0.20499999999999999</v>
      </c>
      <c r="I4246" s="508">
        <v>0.20200000000000001</v>
      </c>
      <c r="J4246" s="508">
        <v>0.22600000000000001</v>
      </c>
      <c r="K4246" s="508">
        <v>0.159</v>
      </c>
      <c r="L4246" s="508">
        <v>0.157</v>
      </c>
      <c r="M4246" s="508">
        <v>0.156</v>
      </c>
      <c r="N4246" s="508">
        <v>0.13900000000000001</v>
      </c>
      <c r="O4246" s="508">
        <v>0.15</v>
      </c>
      <c r="P4246" s="508">
        <v>0.114</v>
      </c>
      <c r="Q4246" s="508">
        <v>8.2000000000000003E-2</v>
      </c>
      <c r="R4246" s="508">
        <v>9.1999999999999998E-2</v>
      </c>
      <c r="S4246" s="508">
        <v>0.11700000000000001</v>
      </c>
      <c r="T4246" s="508">
        <v>9.5000000000000001E-2</v>
      </c>
      <c r="U4246" s="508">
        <v>8.6999999999999994E-2</v>
      </c>
      <c r="V4246" s="508">
        <v>4.2000000000000003E-2</v>
      </c>
      <c r="W4246" s="508"/>
      <c r="X4246" s="508">
        <v>2.5000000000000001E-2</v>
      </c>
      <c r="Y4246" s="508"/>
      <c r="Z4246" s="508"/>
      <c r="AA4246" s="508"/>
      <c r="AB4246" s="508"/>
      <c r="AC4246" s="508"/>
      <c r="AD4246" s="508"/>
      <c r="AE4246" s="508"/>
      <c r="AF4246" s="508"/>
      <c r="AG4246" s="508"/>
      <c r="AH4246" s="508"/>
      <c r="AI4246" s="492"/>
      <c r="AJ4246" s="485"/>
    </row>
    <row r="4247" spans="2:36">
      <c r="B4247" s="136" t="s">
        <v>479</v>
      </c>
      <c r="C4247" s="132" t="s">
        <v>1374</v>
      </c>
      <c r="D4247" s="132" t="s">
        <v>284</v>
      </c>
      <c r="E4247" s="508">
        <v>0.14799999999999999</v>
      </c>
      <c r="F4247" s="508">
        <v>0.151</v>
      </c>
      <c r="G4247" s="508">
        <v>0.14899999999999999</v>
      </c>
      <c r="H4247" s="508">
        <v>0.12</v>
      </c>
      <c r="I4247" s="508">
        <v>0.11899999999999999</v>
      </c>
      <c r="J4247" s="508">
        <v>0.124</v>
      </c>
      <c r="K4247" s="508">
        <v>8.5999999999999993E-2</v>
      </c>
      <c r="L4247" s="508">
        <v>8.5999999999999993E-2</v>
      </c>
      <c r="M4247" s="508">
        <v>8.5000000000000006E-2</v>
      </c>
      <c r="N4247" s="508">
        <v>8.8999999999999996E-2</v>
      </c>
      <c r="O4247" s="508">
        <v>8.2000000000000003E-2</v>
      </c>
      <c r="P4247" s="508">
        <v>0.06</v>
      </c>
      <c r="Q4247" s="508">
        <v>4.7E-2</v>
      </c>
      <c r="R4247" s="508">
        <v>5.2999999999999999E-2</v>
      </c>
      <c r="S4247" s="508">
        <v>6.2E-2</v>
      </c>
      <c r="T4247" s="508">
        <v>5.0999999999999997E-2</v>
      </c>
      <c r="U4247" s="508">
        <v>5.2999999999999999E-2</v>
      </c>
      <c r="V4247" s="508">
        <v>2.5999999999999999E-2</v>
      </c>
      <c r="W4247" s="508"/>
      <c r="X4247" s="508">
        <v>2.3E-2</v>
      </c>
      <c r="Y4247" s="508"/>
      <c r="Z4247" s="508"/>
      <c r="AA4247" s="508"/>
      <c r="AB4247" s="508"/>
      <c r="AC4247" s="508"/>
      <c r="AD4247" s="508"/>
      <c r="AE4247" s="508"/>
      <c r="AF4247" s="508"/>
      <c r="AG4247" s="508"/>
      <c r="AH4247" s="508"/>
      <c r="AI4247" s="492"/>
      <c r="AJ4247" s="485"/>
    </row>
    <row r="4248" spans="2:36">
      <c r="B4248" s="136" t="s">
        <v>480</v>
      </c>
      <c r="C4248" s="132" t="s">
        <v>1374</v>
      </c>
      <c r="D4248" s="132" t="s">
        <v>284</v>
      </c>
      <c r="E4248" s="508">
        <v>0.25</v>
      </c>
      <c r="F4248" s="508">
        <v>0.26300000000000001</v>
      </c>
      <c r="G4248" s="508">
        <v>0.25800000000000001</v>
      </c>
      <c r="H4248" s="508">
        <v>0.20699999999999999</v>
      </c>
      <c r="I4248" s="508">
        <v>0.20399999999999999</v>
      </c>
      <c r="J4248" s="508">
        <v>0.218</v>
      </c>
      <c r="K4248" s="508">
        <v>0.14399999999999999</v>
      </c>
      <c r="L4248" s="508">
        <v>0.14299999999999999</v>
      </c>
      <c r="M4248" s="508">
        <v>0.14099999999999999</v>
      </c>
      <c r="N4248" s="508">
        <v>0.156</v>
      </c>
      <c r="O4248" s="508">
        <v>0.14199999999999999</v>
      </c>
      <c r="P4248" s="508">
        <v>0.10299999999999999</v>
      </c>
      <c r="Q4248" s="508">
        <v>8.2000000000000003E-2</v>
      </c>
      <c r="R4248" s="508">
        <v>9.1999999999999998E-2</v>
      </c>
      <c r="S4248" s="508">
        <v>0.108</v>
      </c>
      <c r="T4248" s="508">
        <v>8.8999999999999996E-2</v>
      </c>
      <c r="U4248" s="508">
        <v>8.7999999999999995E-2</v>
      </c>
      <c r="V4248" s="508">
        <v>4.2000000000000003E-2</v>
      </c>
      <c r="W4248" s="508"/>
      <c r="X4248" s="508">
        <v>2.4E-2</v>
      </c>
      <c r="Y4248" s="508"/>
      <c r="Z4248" s="508"/>
      <c r="AA4248" s="508"/>
      <c r="AB4248" s="508"/>
      <c r="AC4248" s="508"/>
      <c r="AD4248" s="508"/>
      <c r="AE4248" s="508"/>
      <c r="AF4248" s="508"/>
      <c r="AG4248" s="508"/>
      <c r="AH4248" s="508"/>
      <c r="AI4248" s="492"/>
      <c r="AJ4248" s="485"/>
    </row>
    <row r="4249" spans="2:36">
      <c r="B4249" s="136" t="s">
        <v>481</v>
      </c>
      <c r="C4249" s="132" t="s">
        <v>1374</v>
      </c>
      <c r="D4249" s="132" t="s">
        <v>284</v>
      </c>
      <c r="E4249" s="508">
        <v>0.17599999999999999</v>
      </c>
      <c r="F4249" s="508">
        <v>0.18</v>
      </c>
      <c r="G4249" s="508">
        <v>0.17699999999999999</v>
      </c>
      <c r="H4249" s="508">
        <v>0.14099999999999999</v>
      </c>
      <c r="I4249" s="508">
        <v>0.13900000000000001</v>
      </c>
      <c r="J4249" s="508">
        <v>0.14799999999999999</v>
      </c>
      <c r="K4249" s="508">
        <v>0.10299999999999999</v>
      </c>
      <c r="L4249" s="508">
        <v>0.10199999999999999</v>
      </c>
      <c r="M4249" s="508">
        <v>0.10100000000000001</v>
      </c>
      <c r="N4249" s="508">
        <v>0.10199999999999999</v>
      </c>
      <c r="O4249" s="508">
        <v>9.8000000000000004E-2</v>
      </c>
      <c r="P4249" s="508">
        <v>7.2999999999999995E-2</v>
      </c>
      <c r="Q4249" s="508">
        <v>5.5E-2</v>
      </c>
      <c r="R4249" s="508">
        <v>6.2E-2</v>
      </c>
      <c r="S4249" s="508">
        <v>7.4999999999999997E-2</v>
      </c>
      <c r="T4249" s="508">
        <v>6.0999999999999999E-2</v>
      </c>
      <c r="U4249" s="508">
        <v>5.8999999999999997E-2</v>
      </c>
      <c r="V4249" s="508">
        <v>2.9000000000000001E-2</v>
      </c>
      <c r="W4249" s="508"/>
      <c r="X4249" s="508">
        <v>2.3E-2</v>
      </c>
      <c r="Y4249" s="508"/>
      <c r="Z4249" s="508"/>
      <c r="AA4249" s="508"/>
      <c r="AB4249" s="508"/>
      <c r="AC4249" s="508"/>
      <c r="AD4249" s="508"/>
      <c r="AE4249" s="508"/>
      <c r="AF4249" s="508"/>
      <c r="AG4249" s="508"/>
      <c r="AH4249" s="508"/>
      <c r="AI4249" s="492"/>
      <c r="AJ4249" s="485"/>
    </row>
    <row r="4250" spans="2:36">
      <c r="B4250" s="136" t="s">
        <v>482</v>
      </c>
      <c r="C4250" s="132" t="s">
        <v>1374</v>
      </c>
      <c r="D4250" s="132" t="s">
        <v>284</v>
      </c>
      <c r="E4250" s="508">
        <v>0.13300000000000001</v>
      </c>
      <c r="F4250" s="508">
        <v>0.13900000000000001</v>
      </c>
      <c r="G4250" s="508">
        <v>0.13700000000000001</v>
      </c>
      <c r="H4250" s="508">
        <v>0.107</v>
      </c>
      <c r="I4250" s="508">
        <v>0.106</v>
      </c>
      <c r="J4250" s="508">
        <v>0.11700000000000001</v>
      </c>
      <c r="K4250" s="508">
        <v>0.08</v>
      </c>
      <c r="L4250" s="508">
        <v>0.08</v>
      </c>
      <c r="M4250" s="508">
        <v>7.9000000000000001E-2</v>
      </c>
      <c r="N4250" s="508">
        <v>7.8E-2</v>
      </c>
      <c r="O4250" s="508">
        <v>7.6999999999999999E-2</v>
      </c>
      <c r="P4250" s="508">
        <v>5.8000000000000003E-2</v>
      </c>
      <c r="Q4250" s="508">
        <v>4.2999999999999997E-2</v>
      </c>
      <c r="R4250" s="508">
        <v>4.9000000000000002E-2</v>
      </c>
      <c r="S4250" s="508">
        <v>0.06</v>
      </c>
      <c r="T4250" s="508">
        <v>4.9000000000000002E-2</v>
      </c>
      <c r="U4250" s="508">
        <v>4.8000000000000001E-2</v>
      </c>
      <c r="V4250" s="508">
        <v>2.3E-2</v>
      </c>
      <c r="W4250" s="508"/>
      <c r="X4250" s="508">
        <v>2.3E-2</v>
      </c>
      <c r="Y4250" s="508"/>
      <c r="Z4250" s="508"/>
      <c r="AA4250" s="508"/>
      <c r="AB4250" s="508"/>
      <c r="AC4250" s="508"/>
      <c r="AD4250" s="508"/>
      <c r="AE4250" s="508"/>
      <c r="AF4250" s="508"/>
      <c r="AG4250" s="508"/>
      <c r="AH4250" s="508"/>
      <c r="AI4250" s="492"/>
      <c r="AJ4250" s="485"/>
    </row>
    <row r="4251" spans="2:36">
      <c r="B4251" s="136" t="s">
        <v>483</v>
      </c>
      <c r="C4251" s="132" t="s">
        <v>1374</v>
      </c>
      <c r="D4251" s="132" t="s">
        <v>284</v>
      </c>
      <c r="E4251" s="508">
        <v>0.246</v>
      </c>
      <c r="F4251" s="508">
        <v>0.252</v>
      </c>
      <c r="G4251" s="508">
        <v>0.247</v>
      </c>
      <c r="H4251" s="508">
        <v>0.192</v>
      </c>
      <c r="I4251" s="508">
        <v>0.189</v>
      </c>
      <c r="J4251" s="508">
        <v>0.20699999999999999</v>
      </c>
      <c r="K4251" s="508">
        <v>0.14599999999999999</v>
      </c>
      <c r="L4251" s="508">
        <v>0.14499999999999999</v>
      </c>
      <c r="M4251" s="508">
        <v>0.14299999999999999</v>
      </c>
      <c r="N4251" s="508">
        <v>0.13200000000000001</v>
      </c>
      <c r="O4251" s="508">
        <v>0.13700000000000001</v>
      </c>
      <c r="P4251" s="508">
        <v>0.10299999999999999</v>
      </c>
      <c r="Q4251" s="508">
        <v>7.5999999999999998E-2</v>
      </c>
      <c r="R4251" s="508">
        <v>8.5000000000000006E-2</v>
      </c>
      <c r="S4251" s="508">
        <v>0.106</v>
      </c>
      <c r="T4251" s="508">
        <v>8.5999999999999993E-2</v>
      </c>
      <c r="U4251" s="508">
        <v>0.08</v>
      </c>
      <c r="V4251" s="508">
        <v>3.9E-2</v>
      </c>
      <c r="W4251" s="508"/>
      <c r="X4251" s="508">
        <v>2.4E-2</v>
      </c>
      <c r="Y4251" s="508"/>
      <c r="Z4251" s="508"/>
      <c r="AA4251" s="508"/>
      <c r="AB4251" s="508"/>
      <c r="AC4251" s="508"/>
      <c r="AD4251" s="508"/>
      <c r="AE4251" s="508"/>
      <c r="AF4251" s="508"/>
      <c r="AG4251" s="508"/>
      <c r="AH4251" s="508"/>
      <c r="AI4251" s="492"/>
      <c r="AJ4251" s="485"/>
    </row>
    <row r="4252" spans="2:36">
      <c r="B4252" s="136" t="s">
        <v>484</v>
      </c>
      <c r="C4252" s="132" t="s">
        <v>1374</v>
      </c>
      <c r="D4252" s="132" t="s">
        <v>284</v>
      </c>
      <c r="E4252" s="508">
        <v>0.25700000000000001</v>
      </c>
      <c r="F4252" s="508">
        <v>0.25900000000000001</v>
      </c>
      <c r="G4252" s="508">
        <v>0.253</v>
      </c>
      <c r="H4252" s="508">
        <v>0.21099999999999999</v>
      </c>
      <c r="I4252" s="508">
        <v>0.20799999999999999</v>
      </c>
      <c r="J4252" s="508">
        <v>0.20699999999999999</v>
      </c>
      <c r="K4252" s="508">
        <v>0.14099999999999999</v>
      </c>
      <c r="L4252" s="508">
        <v>0.13900000000000001</v>
      </c>
      <c r="M4252" s="508">
        <v>0.13800000000000001</v>
      </c>
      <c r="N4252" s="508">
        <v>0.161</v>
      </c>
      <c r="O4252" s="508">
        <v>0.13300000000000001</v>
      </c>
      <c r="P4252" s="508">
        <v>9.6000000000000002E-2</v>
      </c>
      <c r="Q4252" s="508">
        <v>7.9000000000000001E-2</v>
      </c>
      <c r="R4252" s="508">
        <v>8.8999999999999996E-2</v>
      </c>
      <c r="S4252" s="508">
        <v>9.8000000000000004E-2</v>
      </c>
      <c r="T4252" s="508">
        <v>8.2000000000000003E-2</v>
      </c>
      <c r="U4252" s="508">
        <v>8.5999999999999993E-2</v>
      </c>
      <c r="V4252" s="508">
        <v>4.2000000000000003E-2</v>
      </c>
      <c r="W4252" s="508"/>
      <c r="X4252" s="508">
        <v>2.3E-2</v>
      </c>
      <c r="Y4252" s="508"/>
      <c r="Z4252" s="508"/>
      <c r="AA4252" s="508"/>
      <c r="AB4252" s="508"/>
      <c r="AC4252" s="508"/>
      <c r="AD4252" s="508"/>
      <c r="AE4252" s="508"/>
      <c r="AF4252" s="508"/>
      <c r="AG4252" s="508"/>
      <c r="AH4252" s="508"/>
      <c r="AI4252" s="492"/>
      <c r="AJ4252" s="485"/>
    </row>
    <row r="4253" spans="2:36">
      <c r="B4253" s="136" t="s">
        <v>486</v>
      </c>
      <c r="C4253" s="132" t="s">
        <v>1374</v>
      </c>
      <c r="D4253" s="132" t="s">
        <v>284</v>
      </c>
      <c r="E4253" s="508">
        <v>0.193</v>
      </c>
      <c r="F4253" s="508">
        <v>0.19900000000000001</v>
      </c>
      <c r="G4253" s="508">
        <v>0.19500000000000001</v>
      </c>
      <c r="H4253" s="508">
        <v>0.154</v>
      </c>
      <c r="I4253" s="508">
        <v>0.152</v>
      </c>
      <c r="J4253" s="508">
        <v>0.16400000000000001</v>
      </c>
      <c r="K4253" s="508">
        <v>0.114</v>
      </c>
      <c r="L4253" s="508">
        <v>0.113</v>
      </c>
      <c r="M4253" s="508">
        <v>0.112</v>
      </c>
      <c r="N4253" s="508">
        <v>0.11</v>
      </c>
      <c r="O4253" s="508">
        <v>0.109</v>
      </c>
      <c r="P4253" s="508">
        <v>8.1000000000000003E-2</v>
      </c>
      <c r="Q4253" s="508">
        <v>6.0999999999999999E-2</v>
      </c>
      <c r="R4253" s="508">
        <v>6.9000000000000006E-2</v>
      </c>
      <c r="S4253" s="508">
        <v>8.4000000000000005E-2</v>
      </c>
      <c r="T4253" s="508">
        <v>6.9000000000000006E-2</v>
      </c>
      <c r="U4253" s="508">
        <v>6.7000000000000004E-2</v>
      </c>
      <c r="V4253" s="508">
        <v>3.3000000000000002E-2</v>
      </c>
      <c r="W4253" s="508"/>
      <c r="X4253" s="508">
        <v>2.4E-2</v>
      </c>
      <c r="Y4253" s="508"/>
      <c r="Z4253" s="508"/>
      <c r="AA4253" s="508"/>
      <c r="AB4253" s="508"/>
      <c r="AC4253" s="508"/>
      <c r="AD4253" s="508"/>
      <c r="AE4253" s="508"/>
      <c r="AF4253" s="508"/>
      <c r="AG4253" s="508"/>
      <c r="AH4253" s="508"/>
      <c r="AI4253" s="492"/>
      <c r="AJ4253" s="485"/>
    </row>
    <row r="4254" spans="2:36">
      <c r="B4254" s="136" t="s">
        <v>487</v>
      </c>
      <c r="C4254" s="132" t="s">
        <v>1374</v>
      </c>
      <c r="D4254" s="132" t="s">
        <v>284</v>
      </c>
      <c r="E4254" s="508">
        <v>0.254</v>
      </c>
      <c r="F4254" s="508">
        <v>0.26800000000000002</v>
      </c>
      <c r="G4254" s="508">
        <v>0.26300000000000001</v>
      </c>
      <c r="H4254" s="508">
        <v>0.20200000000000001</v>
      </c>
      <c r="I4254" s="508">
        <v>0.19900000000000001</v>
      </c>
      <c r="J4254" s="508">
        <v>0.224</v>
      </c>
      <c r="K4254" s="508">
        <v>0.153</v>
      </c>
      <c r="L4254" s="508">
        <v>0.152</v>
      </c>
      <c r="M4254" s="508">
        <v>0.15</v>
      </c>
      <c r="N4254" s="508">
        <v>0.14099999999999999</v>
      </c>
      <c r="O4254" s="508">
        <v>0.14799999999999999</v>
      </c>
      <c r="P4254" s="508">
        <v>0.111</v>
      </c>
      <c r="Q4254" s="508">
        <v>8.2000000000000003E-2</v>
      </c>
      <c r="R4254" s="508">
        <v>9.1999999999999998E-2</v>
      </c>
      <c r="S4254" s="508">
        <v>0.11600000000000001</v>
      </c>
      <c r="T4254" s="508">
        <v>9.5000000000000001E-2</v>
      </c>
      <c r="U4254" s="508">
        <v>8.6999999999999994E-2</v>
      </c>
      <c r="V4254" s="508">
        <v>4.2000000000000003E-2</v>
      </c>
      <c r="W4254" s="508"/>
      <c r="X4254" s="508">
        <v>2.5000000000000001E-2</v>
      </c>
      <c r="Y4254" s="508"/>
      <c r="Z4254" s="508"/>
      <c r="AA4254" s="508"/>
      <c r="AB4254" s="508"/>
      <c r="AC4254" s="508"/>
      <c r="AD4254" s="508"/>
      <c r="AE4254" s="508"/>
      <c r="AF4254" s="508"/>
      <c r="AG4254" s="508"/>
      <c r="AH4254" s="508"/>
      <c r="AI4254" s="492"/>
      <c r="AJ4254" s="485"/>
    </row>
    <row r="4255" spans="2:36">
      <c r="B4255" s="136" t="s">
        <v>488</v>
      </c>
      <c r="C4255" s="132" t="s">
        <v>1374</v>
      </c>
      <c r="D4255" s="132" t="s">
        <v>284</v>
      </c>
      <c r="E4255" s="508">
        <v>0.2</v>
      </c>
      <c r="F4255" s="508">
        <v>0.20699999999999999</v>
      </c>
      <c r="G4255" s="508">
        <v>0.20300000000000001</v>
      </c>
      <c r="H4255" s="508">
        <v>0.16400000000000001</v>
      </c>
      <c r="I4255" s="508">
        <v>0.16200000000000001</v>
      </c>
      <c r="J4255" s="508">
        <v>0.17</v>
      </c>
      <c r="K4255" s="508">
        <v>0.115</v>
      </c>
      <c r="L4255" s="508">
        <v>0.114</v>
      </c>
      <c r="M4255" s="508">
        <v>0.113</v>
      </c>
      <c r="N4255" s="508">
        <v>0.123</v>
      </c>
      <c r="O4255" s="508">
        <v>0.111</v>
      </c>
      <c r="P4255" s="508">
        <v>8.1000000000000003E-2</v>
      </c>
      <c r="Q4255" s="508">
        <v>6.4000000000000001E-2</v>
      </c>
      <c r="R4255" s="508">
        <v>7.1999999999999995E-2</v>
      </c>
      <c r="S4255" s="508">
        <v>8.4000000000000005E-2</v>
      </c>
      <c r="T4255" s="508">
        <v>7.0000000000000007E-2</v>
      </c>
      <c r="U4255" s="508">
        <v>6.7000000000000004E-2</v>
      </c>
      <c r="V4255" s="508">
        <v>3.2000000000000001E-2</v>
      </c>
      <c r="W4255" s="508"/>
      <c r="X4255" s="508">
        <v>2.1999999999999999E-2</v>
      </c>
      <c r="Y4255" s="508"/>
      <c r="Z4255" s="508"/>
      <c r="AA4255" s="508"/>
      <c r="AB4255" s="508"/>
      <c r="AC4255" s="508"/>
      <c r="AD4255" s="508"/>
      <c r="AE4255" s="508"/>
      <c r="AF4255" s="508"/>
      <c r="AG4255" s="508"/>
      <c r="AH4255" s="508"/>
      <c r="AI4255" s="492"/>
      <c r="AJ4255" s="485"/>
    </row>
    <row r="4256" spans="2:36">
      <c r="B4256" s="136" t="s">
        <v>489</v>
      </c>
      <c r="C4256" s="132" t="s">
        <v>1374</v>
      </c>
      <c r="D4256" s="132" t="s">
        <v>284</v>
      </c>
      <c r="E4256" s="508">
        <v>0.26300000000000001</v>
      </c>
      <c r="F4256" s="508">
        <v>0.26300000000000001</v>
      </c>
      <c r="G4256" s="508">
        <v>0.25700000000000001</v>
      </c>
      <c r="H4256" s="508">
        <v>0.21099999999999999</v>
      </c>
      <c r="I4256" s="508">
        <v>0.20699999999999999</v>
      </c>
      <c r="J4256" s="508">
        <v>0.21</v>
      </c>
      <c r="K4256" s="508">
        <v>0.14699999999999999</v>
      </c>
      <c r="L4256" s="508">
        <v>0.14499999999999999</v>
      </c>
      <c r="M4256" s="508">
        <v>0.14399999999999999</v>
      </c>
      <c r="N4256" s="508">
        <v>0.155</v>
      </c>
      <c r="O4256" s="508">
        <v>0.13700000000000001</v>
      </c>
      <c r="P4256" s="508">
        <v>0.1</v>
      </c>
      <c r="Q4256" s="508">
        <v>7.9000000000000001E-2</v>
      </c>
      <c r="R4256" s="508">
        <v>8.8999999999999996E-2</v>
      </c>
      <c r="S4256" s="508">
        <v>0.10199999999999999</v>
      </c>
      <c r="T4256" s="508">
        <v>8.4000000000000005E-2</v>
      </c>
      <c r="U4256" s="508">
        <v>8.2000000000000003E-2</v>
      </c>
      <c r="V4256" s="508">
        <v>0.04</v>
      </c>
      <c r="W4256" s="508"/>
      <c r="X4256" s="508">
        <v>2.1999999999999999E-2</v>
      </c>
      <c r="Y4256" s="508"/>
      <c r="Z4256" s="508"/>
      <c r="AA4256" s="508"/>
      <c r="AB4256" s="508"/>
      <c r="AC4256" s="508"/>
      <c r="AD4256" s="508"/>
      <c r="AE4256" s="508"/>
      <c r="AF4256" s="508"/>
      <c r="AG4256" s="508"/>
      <c r="AH4256" s="508"/>
      <c r="AI4256" s="492"/>
      <c r="AJ4256" s="485"/>
    </row>
    <row r="4257" spans="2:36">
      <c r="B4257" s="136" t="s">
        <v>490</v>
      </c>
      <c r="C4257" s="132" t="s">
        <v>1374</v>
      </c>
      <c r="D4257" s="132" t="s">
        <v>284</v>
      </c>
      <c r="E4257" s="508">
        <v>0.26800000000000002</v>
      </c>
      <c r="F4257" s="508">
        <v>0.28599999999999998</v>
      </c>
      <c r="G4257" s="508">
        <v>0.28100000000000003</v>
      </c>
      <c r="H4257" s="508">
        <v>0.223</v>
      </c>
      <c r="I4257" s="508">
        <v>0.219</v>
      </c>
      <c r="J4257" s="508">
        <v>0.24</v>
      </c>
      <c r="K4257" s="508">
        <v>0.158</v>
      </c>
      <c r="L4257" s="508">
        <v>0.156</v>
      </c>
      <c r="M4257" s="508">
        <v>0.154</v>
      </c>
      <c r="N4257" s="508">
        <v>0.16600000000000001</v>
      </c>
      <c r="O4257" s="508">
        <v>0.156</v>
      </c>
      <c r="P4257" s="508">
        <v>0.114</v>
      </c>
      <c r="Q4257" s="508">
        <v>8.8999999999999996E-2</v>
      </c>
      <c r="R4257" s="508">
        <v>0.1</v>
      </c>
      <c r="S4257" s="508">
        <v>0.11899999999999999</v>
      </c>
      <c r="T4257" s="508">
        <v>9.9000000000000005E-2</v>
      </c>
      <c r="U4257" s="508">
        <v>9.2999999999999999E-2</v>
      </c>
      <c r="V4257" s="508">
        <v>4.3999999999999997E-2</v>
      </c>
      <c r="W4257" s="508"/>
      <c r="X4257" s="508">
        <v>2.4E-2</v>
      </c>
      <c r="Y4257" s="508"/>
      <c r="Z4257" s="508"/>
      <c r="AA4257" s="508"/>
      <c r="AB4257" s="508"/>
      <c r="AC4257" s="508"/>
      <c r="AD4257" s="508"/>
      <c r="AE4257" s="508"/>
      <c r="AF4257" s="508"/>
      <c r="AG4257" s="508"/>
      <c r="AH4257" s="508"/>
      <c r="AI4257" s="492"/>
      <c r="AJ4257" s="485"/>
    </row>
    <row r="4258" spans="2:36">
      <c r="B4258" s="136" t="s">
        <v>435</v>
      </c>
      <c r="C4258" s="132" t="s">
        <v>1375</v>
      </c>
      <c r="D4258" s="132" t="s">
        <v>284</v>
      </c>
      <c r="E4258" s="508">
        <v>2.08</v>
      </c>
      <c r="F4258" s="508">
        <v>2.0179999999999998</v>
      </c>
      <c r="G4258" s="508">
        <v>1.9419999999999999</v>
      </c>
      <c r="H4258" s="508">
        <v>1.0940000000000001</v>
      </c>
      <c r="I4258" s="508">
        <v>1.091</v>
      </c>
      <c r="J4258" s="508">
        <v>1.1160000000000001</v>
      </c>
      <c r="K4258" s="508">
        <v>0.78700000000000003</v>
      </c>
      <c r="L4258" s="508">
        <v>0.78300000000000003</v>
      </c>
      <c r="M4258" s="508">
        <v>0.78700000000000003</v>
      </c>
      <c r="N4258" s="508">
        <v>1.0489999999999999</v>
      </c>
      <c r="O4258" s="508">
        <v>1.0620000000000001</v>
      </c>
      <c r="P4258" s="508">
        <v>1.05</v>
      </c>
      <c r="Q4258" s="508">
        <v>1.069</v>
      </c>
      <c r="R4258" s="508">
        <v>0.57799999999999996</v>
      </c>
      <c r="S4258" s="508">
        <v>0.56999999999999995</v>
      </c>
      <c r="T4258" s="508">
        <v>0.56799999999999995</v>
      </c>
      <c r="U4258" s="508">
        <v>0.56899999999999995</v>
      </c>
      <c r="V4258" s="508">
        <v>0.55600000000000005</v>
      </c>
      <c r="W4258" s="508">
        <v>0.504</v>
      </c>
      <c r="X4258" s="508">
        <v>0.502</v>
      </c>
      <c r="Y4258" s="508">
        <v>0.50600000000000001</v>
      </c>
      <c r="Z4258" s="508">
        <v>0.505</v>
      </c>
      <c r="AA4258" s="508">
        <v>2.1000000000000001E-2</v>
      </c>
      <c r="AB4258" s="508">
        <v>0.02</v>
      </c>
      <c r="AC4258" s="508">
        <v>2.1999999999999999E-2</v>
      </c>
      <c r="AD4258" s="508">
        <v>1.9E-2</v>
      </c>
      <c r="AE4258" s="508">
        <v>1.9E-2</v>
      </c>
      <c r="AF4258" s="508">
        <v>1.0999999999999999E-2</v>
      </c>
      <c r="AG4258" s="508">
        <v>1.0999999999999999E-2</v>
      </c>
      <c r="AH4258" s="508">
        <v>1.0999999999999999E-2</v>
      </c>
      <c r="AI4258" s="492">
        <v>1.0999999999999999E-2</v>
      </c>
      <c r="AJ4258" s="485"/>
    </row>
    <row r="4259" spans="2:36">
      <c r="B4259" s="136" t="s">
        <v>436</v>
      </c>
      <c r="C4259" s="132" t="s">
        <v>1375</v>
      </c>
      <c r="D4259" s="132" t="s">
        <v>284</v>
      </c>
      <c r="E4259" s="508">
        <v>2.0289999999999999</v>
      </c>
      <c r="F4259" s="508">
        <v>1.968</v>
      </c>
      <c r="G4259" s="508">
        <v>1.893</v>
      </c>
      <c r="H4259" s="508">
        <v>1.06</v>
      </c>
      <c r="I4259" s="508">
        <v>1.0569999999999999</v>
      </c>
      <c r="J4259" s="508">
        <v>1.081</v>
      </c>
      <c r="K4259" s="508">
        <v>0.76100000000000001</v>
      </c>
      <c r="L4259" s="508">
        <v>0.75700000000000001</v>
      </c>
      <c r="M4259" s="508">
        <v>0.76200000000000001</v>
      </c>
      <c r="N4259" s="508">
        <v>1.002</v>
      </c>
      <c r="O4259" s="508">
        <v>1.0129999999999999</v>
      </c>
      <c r="P4259" s="508">
        <v>1.0029999999999999</v>
      </c>
      <c r="Q4259" s="508">
        <v>1.0189999999999999</v>
      </c>
      <c r="R4259" s="508">
        <v>0.55700000000000005</v>
      </c>
      <c r="S4259" s="508">
        <v>0.54900000000000004</v>
      </c>
      <c r="T4259" s="508">
        <v>0.54700000000000004</v>
      </c>
      <c r="U4259" s="508">
        <v>0.54700000000000004</v>
      </c>
      <c r="V4259" s="508">
        <v>0.53600000000000003</v>
      </c>
      <c r="W4259" s="508">
        <v>0.48599999999999999</v>
      </c>
      <c r="X4259" s="508">
        <v>0.48299999999999998</v>
      </c>
      <c r="Y4259" s="508">
        <v>0.48699999999999999</v>
      </c>
      <c r="Z4259" s="508">
        <v>0.48599999999999999</v>
      </c>
      <c r="AA4259" s="508">
        <v>2.1000000000000001E-2</v>
      </c>
      <c r="AB4259" s="508">
        <v>0.02</v>
      </c>
      <c r="AC4259" s="508">
        <v>2.1000000000000001E-2</v>
      </c>
      <c r="AD4259" s="508">
        <v>1.9E-2</v>
      </c>
      <c r="AE4259" s="508">
        <v>1.7999999999999999E-2</v>
      </c>
      <c r="AF4259" s="508">
        <v>1.0999999999999999E-2</v>
      </c>
      <c r="AG4259" s="508">
        <v>1.0999999999999999E-2</v>
      </c>
      <c r="AH4259" s="508">
        <v>1.0999999999999999E-2</v>
      </c>
      <c r="AI4259" s="492">
        <v>1.0999999999999999E-2</v>
      </c>
      <c r="AJ4259" s="485"/>
    </row>
    <row r="4260" spans="2:36">
      <c r="B4260" s="136" t="s">
        <v>437</v>
      </c>
      <c r="C4260" s="132" t="s">
        <v>1375</v>
      </c>
      <c r="D4260" s="132" t="s">
        <v>284</v>
      </c>
      <c r="E4260" s="508">
        <v>2.1019999999999999</v>
      </c>
      <c r="F4260" s="508">
        <v>2.04</v>
      </c>
      <c r="G4260" s="508">
        <v>1.962</v>
      </c>
      <c r="H4260" s="508">
        <v>1.119</v>
      </c>
      <c r="I4260" s="508">
        <v>1.117</v>
      </c>
      <c r="J4260" s="508">
        <v>1.1419999999999999</v>
      </c>
      <c r="K4260" s="508">
        <v>0.81299999999999994</v>
      </c>
      <c r="L4260" s="508">
        <v>0.80900000000000005</v>
      </c>
      <c r="M4260" s="508">
        <v>0.81299999999999994</v>
      </c>
      <c r="N4260" s="508">
        <v>1.0860000000000001</v>
      </c>
      <c r="O4260" s="508">
        <v>1.099</v>
      </c>
      <c r="P4260" s="508">
        <v>1.087</v>
      </c>
      <c r="Q4260" s="508">
        <v>1.105</v>
      </c>
      <c r="R4260" s="508">
        <v>0.58799999999999997</v>
      </c>
      <c r="S4260" s="508">
        <v>0.57799999999999996</v>
      </c>
      <c r="T4260" s="508">
        <v>0.57599999999999996</v>
      </c>
      <c r="U4260" s="508">
        <v>0.57699999999999996</v>
      </c>
      <c r="V4260" s="508">
        <v>0.56299999999999994</v>
      </c>
      <c r="W4260" s="508">
        <v>0.51100000000000001</v>
      </c>
      <c r="X4260" s="508">
        <v>0.50800000000000001</v>
      </c>
      <c r="Y4260" s="508">
        <v>0.51200000000000001</v>
      </c>
      <c r="Z4260" s="508">
        <v>0.51100000000000001</v>
      </c>
      <c r="AA4260" s="508">
        <v>2.1999999999999999E-2</v>
      </c>
      <c r="AB4260" s="508">
        <v>0.02</v>
      </c>
      <c r="AC4260" s="508">
        <v>2.1999999999999999E-2</v>
      </c>
      <c r="AD4260" s="508">
        <v>0.02</v>
      </c>
      <c r="AE4260" s="508">
        <v>1.9E-2</v>
      </c>
      <c r="AF4260" s="508">
        <v>1.0999999999999999E-2</v>
      </c>
      <c r="AG4260" s="508">
        <v>1.0999999999999999E-2</v>
      </c>
      <c r="AH4260" s="508">
        <v>1.0999999999999999E-2</v>
      </c>
      <c r="AI4260" s="492">
        <v>1.0999999999999999E-2</v>
      </c>
      <c r="AJ4260" s="485"/>
    </row>
    <row r="4261" spans="2:36">
      <c r="B4261" s="136" t="s">
        <v>438</v>
      </c>
      <c r="C4261" s="132" t="s">
        <v>1375</v>
      </c>
      <c r="D4261" s="132" t="s">
        <v>284</v>
      </c>
      <c r="E4261" s="508">
        <v>2.0059999999999998</v>
      </c>
      <c r="F4261" s="508">
        <v>1.946</v>
      </c>
      <c r="G4261" s="508">
        <v>1.871</v>
      </c>
      <c r="H4261" s="508">
        <v>1.0389999999999999</v>
      </c>
      <c r="I4261" s="508">
        <v>1.0369999999999999</v>
      </c>
      <c r="J4261" s="508">
        <v>1.06</v>
      </c>
      <c r="K4261" s="508">
        <v>0.74099999999999999</v>
      </c>
      <c r="L4261" s="508">
        <v>0.73699999999999999</v>
      </c>
      <c r="M4261" s="508">
        <v>0.74199999999999999</v>
      </c>
      <c r="N4261" s="508">
        <v>0.97</v>
      </c>
      <c r="O4261" s="508">
        <v>0.98099999999999998</v>
      </c>
      <c r="P4261" s="508">
        <v>0.97099999999999997</v>
      </c>
      <c r="Q4261" s="508">
        <v>0.98599999999999999</v>
      </c>
      <c r="R4261" s="508">
        <v>0.54600000000000004</v>
      </c>
      <c r="S4261" s="508">
        <v>0.53800000000000003</v>
      </c>
      <c r="T4261" s="508">
        <v>0.53700000000000003</v>
      </c>
      <c r="U4261" s="508">
        <v>0.53700000000000003</v>
      </c>
      <c r="V4261" s="508">
        <v>0.52700000000000002</v>
      </c>
      <c r="W4261" s="508">
        <v>0.47699999999999998</v>
      </c>
      <c r="X4261" s="508">
        <v>0.47499999999999998</v>
      </c>
      <c r="Y4261" s="508">
        <v>0.47799999999999998</v>
      </c>
      <c r="Z4261" s="508">
        <v>0.47699999999999998</v>
      </c>
      <c r="AA4261" s="508">
        <v>0.02</v>
      </c>
      <c r="AB4261" s="508">
        <v>1.9E-2</v>
      </c>
      <c r="AC4261" s="508">
        <v>2.1000000000000001E-2</v>
      </c>
      <c r="AD4261" s="508">
        <v>1.7999999999999999E-2</v>
      </c>
      <c r="AE4261" s="508">
        <v>1.7999999999999999E-2</v>
      </c>
      <c r="AF4261" s="508">
        <v>1.0999999999999999E-2</v>
      </c>
      <c r="AG4261" s="508">
        <v>1.0999999999999999E-2</v>
      </c>
      <c r="AH4261" s="508">
        <v>0.01</v>
      </c>
      <c r="AI4261" s="492">
        <v>0.01</v>
      </c>
      <c r="AJ4261" s="485"/>
    </row>
    <row r="4262" spans="2:36">
      <c r="B4262" s="136" t="s">
        <v>439</v>
      </c>
      <c r="C4262" s="132" t="s">
        <v>1375</v>
      </c>
      <c r="D4262" s="132" t="s">
        <v>284</v>
      </c>
      <c r="E4262" s="508">
        <v>2.1059999999999999</v>
      </c>
      <c r="F4262" s="508">
        <v>2.0430000000000001</v>
      </c>
      <c r="G4262" s="508">
        <v>1.9650000000000001</v>
      </c>
      <c r="H4262" s="508">
        <v>1.1220000000000001</v>
      </c>
      <c r="I4262" s="508">
        <v>1.119</v>
      </c>
      <c r="J4262" s="508">
        <v>1.1439999999999999</v>
      </c>
      <c r="K4262" s="508">
        <v>0.81200000000000006</v>
      </c>
      <c r="L4262" s="508">
        <v>0.80800000000000005</v>
      </c>
      <c r="M4262" s="508">
        <v>0.81299999999999994</v>
      </c>
      <c r="N4262" s="508">
        <v>1.0820000000000001</v>
      </c>
      <c r="O4262" s="508">
        <v>1.0940000000000001</v>
      </c>
      <c r="P4262" s="508">
        <v>1.083</v>
      </c>
      <c r="Q4262" s="508">
        <v>1.1000000000000001</v>
      </c>
      <c r="R4262" s="508">
        <v>0.58699999999999997</v>
      </c>
      <c r="S4262" s="508">
        <v>0.57699999999999996</v>
      </c>
      <c r="T4262" s="508">
        <v>0.57499999999999996</v>
      </c>
      <c r="U4262" s="508">
        <v>0.57599999999999996</v>
      </c>
      <c r="V4262" s="508">
        <v>0.56200000000000006</v>
      </c>
      <c r="W4262" s="508">
        <v>0.51</v>
      </c>
      <c r="X4262" s="508">
        <v>0.50700000000000001</v>
      </c>
      <c r="Y4262" s="508">
        <v>0.51100000000000001</v>
      </c>
      <c r="Z4262" s="508">
        <v>0.51</v>
      </c>
      <c r="AA4262" s="508">
        <v>2.1999999999999999E-2</v>
      </c>
      <c r="AB4262" s="508">
        <v>0.02</v>
      </c>
      <c r="AC4262" s="508">
        <v>2.1999999999999999E-2</v>
      </c>
      <c r="AD4262" s="508">
        <v>0.02</v>
      </c>
      <c r="AE4262" s="508">
        <v>1.9E-2</v>
      </c>
      <c r="AF4262" s="508">
        <v>1.0999999999999999E-2</v>
      </c>
      <c r="AG4262" s="508">
        <v>1.0999999999999999E-2</v>
      </c>
      <c r="AH4262" s="508">
        <v>1.0999999999999999E-2</v>
      </c>
      <c r="AI4262" s="492">
        <v>1.0999999999999999E-2</v>
      </c>
      <c r="AJ4262" s="485"/>
    </row>
    <row r="4263" spans="2:36">
      <c r="B4263" s="136" t="s">
        <v>440</v>
      </c>
      <c r="C4263" s="132" t="s">
        <v>1375</v>
      </c>
      <c r="D4263" s="132" t="s">
        <v>284</v>
      </c>
      <c r="E4263" s="508">
        <v>2.0779999999999998</v>
      </c>
      <c r="F4263" s="508">
        <v>2.016</v>
      </c>
      <c r="G4263" s="508">
        <v>1.9390000000000001</v>
      </c>
      <c r="H4263" s="508">
        <v>1.0980000000000001</v>
      </c>
      <c r="I4263" s="508">
        <v>1.0960000000000001</v>
      </c>
      <c r="J4263" s="508">
        <v>1.1200000000000001</v>
      </c>
      <c r="K4263" s="508">
        <v>0.79300000000000004</v>
      </c>
      <c r="L4263" s="508">
        <v>0.78800000000000003</v>
      </c>
      <c r="M4263" s="508">
        <v>0.79300000000000004</v>
      </c>
      <c r="N4263" s="508">
        <v>1.0529999999999999</v>
      </c>
      <c r="O4263" s="508">
        <v>1.0649999999999999</v>
      </c>
      <c r="P4263" s="508">
        <v>1.0529999999999999</v>
      </c>
      <c r="Q4263" s="508">
        <v>1.07</v>
      </c>
      <c r="R4263" s="508">
        <v>0.57599999999999996</v>
      </c>
      <c r="S4263" s="508">
        <v>0.56699999999999995</v>
      </c>
      <c r="T4263" s="508">
        <v>0.56499999999999995</v>
      </c>
      <c r="U4263" s="508">
        <v>0.56599999999999995</v>
      </c>
      <c r="V4263" s="508">
        <v>0.55300000000000005</v>
      </c>
      <c r="W4263" s="508">
        <v>0.501</v>
      </c>
      <c r="X4263" s="508">
        <v>0.499</v>
      </c>
      <c r="Y4263" s="508">
        <v>0.503</v>
      </c>
      <c r="Z4263" s="508">
        <v>0.502</v>
      </c>
      <c r="AA4263" s="508">
        <v>2.1000000000000001E-2</v>
      </c>
      <c r="AB4263" s="508">
        <v>0.02</v>
      </c>
      <c r="AC4263" s="508">
        <v>2.1999999999999999E-2</v>
      </c>
      <c r="AD4263" s="508">
        <v>1.9E-2</v>
      </c>
      <c r="AE4263" s="508">
        <v>1.9E-2</v>
      </c>
      <c r="AF4263" s="508">
        <v>1.0999999999999999E-2</v>
      </c>
      <c r="AG4263" s="508">
        <v>1.0999999999999999E-2</v>
      </c>
      <c r="AH4263" s="508">
        <v>1.0999999999999999E-2</v>
      </c>
      <c r="AI4263" s="492">
        <v>1.0999999999999999E-2</v>
      </c>
      <c r="AJ4263" s="485"/>
    </row>
    <row r="4264" spans="2:36">
      <c r="B4264" s="136" t="s">
        <v>441</v>
      </c>
      <c r="C4264" s="132" t="s">
        <v>1375</v>
      </c>
      <c r="D4264" s="132" t="s">
        <v>284</v>
      </c>
      <c r="E4264" s="508">
        <v>2.1120000000000001</v>
      </c>
      <c r="F4264" s="508">
        <v>2.0489999999999999</v>
      </c>
      <c r="G4264" s="508">
        <v>1.9710000000000001</v>
      </c>
      <c r="H4264" s="508">
        <v>1.127</v>
      </c>
      <c r="I4264" s="508">
        <v>1.125</v>
      </c>
      <c r="J4264" s="508">
        <v>1.149</v>
      </c>
      <c r="K4264" s="508">
        <v>0.81599999999999995</v>
      </c>
      <c r="L4264" s="508">
        <v>0.81200000000000006</v>
      </c>
      <c r="M4264" s="508">
        <v>0.81699999999999995</v>
      </c>
      <c r="N4264" s="508">
        <v>1.087</v>
      </c>
      <c r="O4264" s="508">
        <v>1.099</v>
      </c>
      <c r="P4264" s="508">
        <v>1.0880000000000001</v>
      </c>
      <c r="Q4264" s="508">
        <v>1.105</v>
      </c>
      <c r="R4264" s="508">
        <v>0.58799999999999997</v>
      </c>
      <c r="S4264" s="508">
        <v>0.57799999999999996</v>
      </c>
      <c r="T4264" s="508">
        <v>0.57599999999999996</v>
      </c>
      <c r="U4264" s="508">
        <v>0.57699999999999996</v>
      </c>
      <c r="V4264" s="508">
        <v>0.56299999999999994</v>
      </c>
      <c r="W4264" s="508">
        <v>0.51100000000000001</v>
      </c>
      <c r="X4264" s="508">
        <v>0.50800000000000001</v>
      </c>
      <c r="Y4264" s="508">
        <v>0.51200000000000001</v>
      </c>
      <c r="Z4264" s="508">
        <v>0.51100000000000001</v>
      </c>
      <c r="AA4264" s="508">
        <v>2.1999999999999999E-2</v>
      </c>
      <c r="AB4264" s="508">
        <v>2.1000000000000001E-2</v>
      </c>
      <c r="AC4264" s="508">
        <v>2.1999999999999999E-2</v>
      </c>
      <c r="AD4264" s="508">
        <v>0.02</v>
      </c>
      <c r="AE4264" s="508">
        <v>1.9E-2</v>
      </c>
      <c r="AF4264" s="508">
        <v>1.0999999999999999E-2</v>
      </c>
      <c r="AG4264" s="508">
        <v>1.0999999999999999E-2</v>
      </c>
      <c r="AH4264" s="508">
        <v>1.0999999999999999E-2</v>
      </c>
      <c r="AI4264" s="492">
        <v>1.0999999999999999E-2</v>
      </c>
      <c r="AJ4264" s="485"/>
    </row>
    <row r="4265" spans="2:36">
      <c r="B4265" s="136" t="s">
        <v>443</v>
      </c>
      <c r="C4265" s="132" t="s">
        <v>1375</v>
      </c>
      <c r="D4265" s="132" t="s">
        <v>284</v>
      </c>
      <c r="E4265" s="508">
        <v>2.1619999999999999</v>
      </c>
      <c r="F4265" s="508">
        <v>2.0990000000000002</v>
      </c>
      <c r="G4265" s="508">
        <v>2.02</v>
      </c>
      <c r="H4265" s="508">
        <v>1.1539999999999999</v>
      </c>
      <c r="I4265" s="508">
        <v>1.151</v>
      </c>
      <c r="J4265" s="508">
        <v>1.1779999999999999</v>
      </c>
      <c r="K4265" s="508">
        <v>0.83499999999999996</v>
      </c>
      <c r="L4265" s="508">
        <v>0.83099999999999996</v>
      </c>
      <c r="M4265" s="508">
        <v>0.83499999999999996</v>
      </c>
      <c r="N4265" s="508">
        <v>1.131</v>
      </c>
      <c r="O4265" s="508">
        <v>1.1459999999999999</v>
      </c>
      <c r="P4265" s="508">
        <v>1.1319999999999999</v>
      </c>
      <c r="Q4265" s="508">
        <v>1.1539999999999999</v>
      </c>
      <c r="R4265" s="508">
        <v>0.61299999999999999</v>
      </c>
      <c r="S4265" s="508">
        <v>0.60299999999999998</v>
      </c>
      <c r="T4265" s="508">
        <v>0.60099999999999998</v>
      </c>
      <c r="U4265" s="508">
        <v>0.60199999999999998</v>
      </c>
      <c r="V4265" s="508">
        <v>0.58799999999999997</v>
      </c>
      <c r="W4265" s="508">
        <v>0.53300000000000003</v>
      </c>
      <c r="X4265" s="508">
        <v>0.53</v>
      </c>
      <c r="Y4265" s="508">
        <v>0.53500000000000003</v>
      </c>
      <c r="Z4265" s="508">
        <v>0.53300000000000003</v>
      </c>
      <c r="AA4265" s="508">
        <v>2.1999999999999999E-2</v>
      </c>
      <c r="AB4265" s="508">
        <v>2.1000000000000001E-2</v>
      </c>
      <c r="AC4265" s="508">
        <v>2.3E-2</v>
      </c>
      <c r="AD4265" s="508">
        <v>0.02</v>
      </c>
      <c r="AE4265" s="508">
        <v>0.02</v>
      </c>
      <c r="AF4265" s="508">
        <v>1.2E-2</v>
      </c>
      <c r="AG4265" s="508">
        <v>1.2E-2</v>
      </c>
      <c r="AH4265" s="508">
        <v>1.0999999999999999E-2</v>
      </c>
      <c r="AI4265" s="492">
        <v>1.0999999999999999E-2</v>
      </c>
      <c r="AJ4265" s="485"/>
    </row>
    <row r="4266" spans="2:36">
      <c r="B4266" s="136" t="s">
        <v>445</v>
      </c>
      <c r="C4266" s="132" t="s">
        <v>1375</v>
      </c>
      <c r="D4266" s="132" t="s">
        <v>284</v>
      </c>
      <c r="E4266" s="508">
        <v>2.3119999999999998</v>
      </c>
      <c r="F4266" s="508">
        <v>2.2440000000000002</v>
      </c>
      <c r="G4266" s="508">
        <v>2.1619999999999999</v>
      </c>
      <c r="H4266" s="508">
        <v>1.2809999999999999</v>
      </c>
      <c r="I4266" s="508">
        <v>1.278</v>
      </c>
      <c r="J4266" s="508">
        <v>1.306</v>
      </c>
      <c r="K4266" s="508">
        <v>0.94899999999999995</v>
      </c>
      <c r="L4266" s="508">
        <v>0.94599999999999995</v>
      </c>
      <c r="M4266" s="508">
        <v>0.94899999999999995</v>
      </c>
      <c r="N4266" s="508">
        <v>1.3169999999999999</v>
      </c>
      <c r="O4266" s="508">
        <v>1.3360000000000001</v>
      </c>
      <c r="P4266" s="508">
        <v>1.3180000000000001</v>
      </c>
      <c r="Q4266" s="508">
        <v>1.3440000000000001</v>
      </c>
      <c r="R4266" s="508">
        <v>0.67900000000000005</v>
      </c>
      <c r="S4266" s="508">
        <v>0.66600000000000004</v>
      </c>
      <c r="T4266" s="508">
        <v>0.66300000000000003</v>
      </c>
      <c r="U4266" s="508">
        <v>0.66400000000000003</v>
      </c>
      <c r="V4266" s="508">
        <v>0.64500000000000002</v>
      </c>
      <c r="W4266" s="508">
        <v>0.58599999999999997</v>
      </c>
      <c r="X4266" s="508">
        <v>0.58199999999999996</v>
      </c>
      <c r="Y4266" s="508">
        <v>0.58799999999999997</v>
      </c>
      <c r="Z4266" s="508">
        <v>0.58699999999999997</v>
      </c>
      <c r="AA4266" s="508">
        <v>2.4E-2</v>
      </c>
      <c r="AB4266" s="508">
        <v>2.3E-2</v>
      </c>
      <c r="AC4266" s="508">
        <v>2.5000000000000001E-2</v>
      </c>
      <c r="AD4266" s="508">
        <v>2.1999999999999999E-2</v>
      </c>
      <c r="AE4266" s="508">
        <v>2.1000000000000001E-2</v>
      </c>
      <c r="AF4266" s="508">
        <v>1.2999999999999999E-2</v>
      </c>
      <c r="AG4266" s="508">
        <v>1.2999999999999999E-2</v>
      </c>
      <c r="AH4266" s="508">
        <v>1.2999999999999999E-2</v>
      </c>
      <c r="AI4266" s="492">
        <v>1.2999999999999999E-2</v>
      </c>
      <c r="AJ4266" s="485"/>
    </row>
    <row r="4267" spans="2:36">
      <c r="B4267" s="136" t="s">
        <v>446</v>
      </c>
      <c r="C4267" s="132" t="s">
        <v>1375</v>
      </c>
      <c r="D4267" s="132" t="s">
        <v>284</v>
      </c>
      <c r="E4267" s="508">
        <v>2.2040000000000002</v>
      </c>
      <c r="F4267" s="508">
        <v>2.1389999999999998</v>
      </c>
      <c r="G4267" s="508">
        <v>2.0590000000000002</v>
      </c>
      <c r="H4267" s="508">
        <v>1.196</v>
      </c>
      <c r="I4267" s="508">
        <v>1.194</v>
      </c>
      <c r="J4267" s="508">
        <v>1.22</v>
      </c>
      <c r="K4267" s="508">
        <v>0.877</v>
      </c>
      <c r="L4267" s="508">
        <v>0.874</v>
      </c>
      <c r="M4267" s="508">
        <v>0.877</v>
      </c>
      <c r="N4267" s="508">
        <v>1.1970000000000001</v>
      </c>
      <c r="O4267" s="508">
        <v>1.2130000000000001</v>
      </c>
      <c r="P4267" s="508">
        <v>1.198</v>
      </c>
      <c r="Q4267" s="508">
        <v>1.2210000000000001</v>
      </c>
      <c r="R4267" s="508">
        <v>0.63300000000000001</v>
      </c>
      <c r="S4267" s="508">
        <v>0.622</v>
      </c>
      <c r="T4267" s="508">
        <v>0.61899999999999999</v>
      </c>
      <c r="U4267" s="508">
        <v>0.62</v>
      </c>
      <c r="V4267" s="508">
        <v>0.60399999999999998</v>
      </c>
      <c r="W4267" s="508">
        <v>0.54800000000000004</v>
      </c>
      <c r="X4267" s="508">
        <v>0.54500000000000004</v>
      </c>
      <c r="Y4267" s="508">
        <v>0.55000000000000004</v>
      </c>
      <c r="Z4267" s="508">
        <v>0.54900000000000004</v>
      </c>
      <c r="AA4267" s="508">
        <v>2.3E-2</v>
      </c>
      <c r="AB4267" s="508">
        <v>2.1999999999999999E-2</v>
      </c>
      <c r="AC4267" s="508">
        <v>2.3E-2</v>
      </c>
      <c r="AD4267" s="508">
        <v>2.1000000000000001E-2</v>
      </c>
      <c r="AE4267" s="508">
        <v>0.02</v>
      </c>
      <c r="AF4267" s="508">
        <v>1.2E-2</v>
      </c>
      <c r="AG4267" s="508">
        <v>1.2E-2</v>
      </c>
      <c r="AH4267" s="508">
        <v>1.2E-2</v>
      </c>
      <c r="AI4267" s="492">
        <v>1.2E-2</v>
      </c>
      <c r="AJ4267" s="485"/>
    </row>
    <row r="4268" spans="2:36">
      <c r="B4268" s="136" t="s">
        <v>448</v>
      </c>
      <c r="C4268" s="132" t="s">
        <v>1375</v>
      </c>
      <c r="D4268" s="132" t="s">
        <v>284</v>
      </c>
      <c r="E4268" s="508">
        <v>2.0379999999999998</v>
      </c>
      <c r="F4268" s="508">
        <v>1.9770000000000001</v>
      </c>
      <c r="G4268" s="508">
        <v>1.9019999999999999</v>
      </c>
      <c r="H4268" s="508">
        <v>1.0640000000000001</v>
      </c>
      <c r="I4268" s="508">
        <v>1.0620000000000001</v>
      </c>
      <c r="J4268" s="508">
        <v>1.0860000000000001</v>
      </c>
      <c r="K4268" s="508">
        <v>0.76200000000000001</v>
      </c>
      <c r="L4268" s="508">
        <v>0.75800000000000001</v>
      </c>
      <c r="M4268" s="508">
        <v>0.76300000000000001</v>
      </c>
      <c r="N4268" s="508">
        <v>1.0049999999999999</v>
      </c>
      <c r="O4268" s="508">
        <v>1.0169999999999999</v>
      </c>
      <c r="P4268" s="508">
        <v>1.006</v>
      </c>
      <c r="Q4268" s="508">
        <v>1.022</v>
      </c>
      <c r="R4268" s="508">
        <v>0.55900000000000005</v>
      </c>
      <c r="S4268" s="508">
        <v>0.55100000000000005</v>
      </c>
      <c r="T4268" s="508">
        <v>0.55000000000000004</v>
      </c>
      <c r="U4268" s="508">
        <v>0.55000000000000004</v>
      </c>
      <c r="V4268" s="508">
        <v>0.53900000000000003</v>
      </c>
      <c r="W4268" s="508">
        <v>0.48799999999999999</v>
      </c>
      <c r="X4268" s="508">
        <v>0.48599999999999999</v>
      </c>
      <c r="Y4268" s="508">
        <v>0.49</v>
      </c>
      <c r="Z4268" s="508">
        <v>0.48899999999999999</v>
      </c>
      <c r="AA4268" s="508">
        <v>2.1000000000000001E-2</v>
      </c>
      <c r="AB4268" s="508">
        <v>0.02</v>
      </c>
      <c r="AC4268" s="508">
        <v>2.1000000000000001E-2</v>
      </c>
      <c r="AD4268" s="508">
        <v>1.9E-2</v>
      </c>
      <c r="AE4268" s="508">
        <v>1.7999999999999999E-2</v>
      </c>
      <c r="AF4268" s="508">
        <v>1.0999999999999999E-2</v>
      </c>
      <c r="AG4268" s="508">
        <v>1.0999999999999999E-2</v>
      </c>
      <c r="AH4268" s="508">
        <v>1.0999999999999999E-2</v>
      </c>
      <c r="AI4268" s="492">
        <v>1.0999999999999999E-2</v>
      </c>
      <c r="AJ4268" s="485"/>
    </row>
    <row r="4269" spans="2:36">
      <c r="B4269" s="136" t="s">
        <v>449</v>
      </c>
      <c r="C4269" s="132" t="s">
        <v>1375</v>
      </c>
      <c r="D4269" s="132" t="s">
        <v>284</v>
      </c>
      <c r="E4269" s="508">
        <v>2.1760000000000002</v>
      </c>
      <c r="F4269" s="508">
        <v>2.1120000000000001</v>
      </c>
      <c r="G4269" s="508">
        <v>2.0329999999999999</v>
      </c>
      <c r="H4269" s="508">
        <v>1.1679999999999999</v>
      </c>
      <c r="I4269" s="508">
        <v>1.1659999999999999</v>
      </c>
      <c r="J4269" s="508">
        <v>1.1919999999999999</v>
      </c>
      <c r="K4269" s="508">
        <v>0.85</v>
      </c>
      <c r="L4269" s="508">
        <v>0.84599999999999997</v>
      </c>
      <c r="M4269" s="508">
        <v>0.85</v>
      </c>
      <c r="N4269" s="508">
        <v>1.1519999999999999</v>
      </c>
      <c r="O4269" s="508">
        <v>1.1679999999999999</v>
      </c>
      <c r="P4269" s="508">
        <v>1.153</v>
      </c>
      <c r="Q4269" s="508">
        <v>1.175</v>
      </c>
      <c r="R4269" s="508">
        <v>0.61899999999999999</v>
      </c>
      <c r="S4269" s="508">
        <v>0.60799999999999998</v>
      </c>
      <c r="T4269" s="508">
        <v>0.60599999999999998</v>
      </c>
      <c r="U4269" s="508">
        <v>0.60699999999999998</v>
      </c>
      <c r="V4269" s="508">
        <v>0.59199999999999997</v>
      </c>
      <c r="W4269" s="508">
        <v>0.53700000000000003</v>
      </c>
      <c r="X4269" s="508">
        <v>0.53400000000000003</v>
      </c>
      <c r="Y4269" s="508">
        <v>0.53900000000000003</v>
      </c>
      <c r="Z4269" s="508">
        <v>0.53800000000000003</v>
      </c>
      <c r="AA4269" s="508">
        <v>2.3E-2</v>
      </c>
      <c r="AB4269" s="508">
        <v>2.1000000000000001E-2</v>
      </c>
      <c r="AC4269" s="508">
        <v>2.3E-2</v>
      </c>
      <c r="AD4269" s="508">
        <v>0.02</v>
      </c>
      <c r="AE4269" s="508">
        <v>0.02</v>
      </c>
      <c r="AF4269" s="508">
        <v>1.2E-2</v>
      </c>
      <c r="AG4269" s="508">
        <v>1.2E-2</v>
      </c>
      <c r="AH4269" s="508">
        <v>1.2E-2</v>
      </c>
      <c r="AI4269" s="492">
        <v>1.2E-2</v>
      </c>
      <c r="AJ4269" s="485"/>
    </row>
    <row r="4270" spans="2:36">
      <c r="B4270" s="136" t="s">
        <v>450</v>
      </c>
      <c r="C4270" s="132" t="s">
        <v>1375</v>
      </c>
      <c r="D4270" s="132" t="s">
        <v>284</v>
      </c>
      <c r="E4270" s="508">
        <v>2.0339999999999998</v>
      </c>
      <c r="F4270" s="508">
        <v>1.974</v>
      </c>
      <c r="G4270" s="508">
        <v>1.8979999999999999</v>
      </c>
      <c r="H4270" s="508">
        <v>1.06</v>
      </c>
      <c r="I4270" s="508">
        <v>1.0580000000000001</v>
      </c>
      <c r="J4270" s="508">
        <v>1.0820000000000001</v>
      </c>
      <c r="K4270" s="508">
        <v>0.75900000000000001</v>
      </c>
      <c r="L4270" s="508">
        <v>0.755</v>
      </c>
      <c r="M4270" s="508">
        <v>0.76</v>
      </c>
      <c r="N4270" s="508">
        <v>1.0009999999999999</v>
      </c>
      <c r="O4270" s="508">
        <v>1.0129999999999999</v>
      </c>
      <c r="P4270" s="508">
        <v>1.002</v>
      </c>
      <c r="Q4270" s="508">
        <v>1.0189999999999999</v>
      </c>
      <c r="R4270" s="508">
        <v>0.55900000000000005</v>
      </c>
      <c r="S4270" s="508">
        <v>0.55100000000000005</v>
      </c>
      <c r="T4270" s="508">
        <v>0.54900000000000004</v>
      </c>
      <c r="U4270" s="508">
        <v>0.55000000000000004</v>
      </c>
      <c r="V4270" s="508">
        <v>0.53900000000000003</v>
      </c>
      <c r="W4270" s="508">
        <v>0.48799999999999999</v>
      </c>
      <c r="X4270" s="508">
        <v>0.48599999999999999</v>
      </c>
      <c r="Y4270" s="508">
        <v>0.48899999999999999</v>
      </c>
      <c r="Z4270" s="508">
        <v>0.48799999999999999</v>
      </c>
      <c r="AA4270" s="508">
        <v>2.1000000000000001E-2</v>
      </c>
      <c r="AB4270" s="508">
        <v>0.02</v>
      </c>
      <c r="AC4270" s="508">
        <v>2.1000000000000001E-2</v>
      </c>
      <c r="AD4270" s="508">
        <v>1.9E-2</v>
      </c>
      <c r="AE4270" s="508">
        <v>1.7999999999999999E-2</v>
      </c>
      <c r="AF4270" s="508">
        <v>1.0999999999999999E-2</v>
      </c>
      <c r="AG4270" s="508">
        <v>1.0999999999999999E-2</v>
      </c>
      <c r="AH4270" s="508">
        <v>1.0999999999999999E-2</v>
      </c>
      <c r="AI4270" s="492">
        <v>1.0999999999999999E-2</v>
      </c>
      <c r="AJ4270" s="485"/>
    </row>
    <row r="4271" spans="2:36">
      <c r="B4271" s="136" t="s">
        <v>451</v>
      </c>
      <c r="C4271" s="132" t="s">
        <v>1375</v>
      </c>
      <c r="D4271" s="132" t="s">
        <v>284</v>
      </c>
      <c r="E4271" s="508">
        <v>2.23</v>
      </c>
      <c r="F4271" s="508">
        <v>2.1640000000000001</v>
      </c>
      <c r="G4271" s="508">
        <v>2.0830000000000002</v>
      </c>
      <c r="H4271" s="508">
        <v>1.218</v>
      </c>
      <c r="I4271" s="508">
        <v>1.2150000000000001</v>
      </c>
      <c r="J4271" s="508">
        <v>1.242</v>
      </c>
      <c r="K4271" s="508">
        <v>0.89500000000000002</v>
      </c>
      <c r="L4271" s="508">
        <v>0.89200000000000002</v>
      </c>
      <c r="M4271" s="508">
        <v>0.89500000000000002</v>
      </c>
      <c r="N4271" s="508">
        <v>1.224</v>
      </c>
      <c r="O4271" s="508">
        <v>1.24</v>
      </c>
      <c r="P4271" s="508">
        <v>1.2250000000000001</v>
      </c>
      <c r="Q4271" s="508">
        <v>1.2470000000000001</v>
      </c>
      <c r="R4271" s="508">
        <v>0.64200000000000002</v>
      </c>
      <c r="S4271" s="508">
        <v>0.63</v>
      </c>
      <c r="T4271" s="508">
        <v>0.628</v>
      </c>
      <c r="U4271" s="508">
        <v>0.629</v>
      </c>
      <c r="V4271" s="508">
        <v>0.61199999999999999</v>
      </c>
      <c r="W4271" s="508">
        <v>0.55500000000000005</v>
      </c>
      <c r="X4271" s="508">
        <v>0.55200000000000005</v>
      </c>
      <c r="Y4271" s="508">
        <v>0.55700000000000005</v>
      </c>
      <c r="Z4271" s="508">
        <v>0.55600000000000005</v>
      </c>
      <c r="AA4271" s="508">
        <v>2.3E-2</v>
      </c>
      <c r="AB4271" s="508">
        <v>2.1999999999999999E-2</v>
      </c>
      <c r="AC4271" s="508">
        <v>2.4E-2</v>
      </c>
      <c r="AD4271" s="508">
        <v>2.1000000000000001E-2</v>
      </c>
      <c r="AE4271" s="508">
        <v>0.02</v>
      </c>
      <c r="AF4271" s="508">
        <v>1.2E-2</v>
      </c>
      <c r="AG4271" s="508">
        <v>1.2E-2</v>
      </c>
      <c r="AH4271" s="508">
        <v>1.2E-2</v>
      </c>
      <c r="AI4271" s="492">
        <v>1.2E-2</v>
      </c>
      <c r="AJ4271" s="485"/>
    </row>
    <row r="4272" spans="2:36">
      <c r="B4272" s="136" t="s">
        <v>452</v>
      </c>
      <c r="C4272" s="132" t="s">
        <v>1375</v>
      </c>
      <c r="D4272" s="132" t="s">
        <v>284</v>
      </c>
      <c r="E4272" s="508">
        <v>2.1110000000000002</v>
      </c>
      <c r="F4272" s="508">
        <v>2.0489999999999999</v>
      </c>
      <c r="G4272" s="508">
        <v>1.9710000000000001</v>
      </c>
      <c r="H4272" s="508">
        <v>1.121</v>
      </c>
      <c r="I4272" s="508">
        <v>1.1180000000000001</v>
      </c>
      <c r="J4272" s="508">
        <v>1.1439999999999999</v>
      </c>
      <c r="K4272" s="508">
        <v>0.81200000000000006</v>
      </c>
      <c r="L4272" s="508">
        <v>0.80800000000000005</v>
      </c>
      <c r="M4272" s="508">
        <v>0.81200000000000006</v>
      </c>
      <c r="N4272" s="508">
        <v>1.089</v>
      </c>
      <c r="O4272" s="508">
        <v>1.103</v>
      </c>
      <c r="P4272" s="508">
        <v>1.0900000000000001</v>
      </c>
      <c r="Q4272" s="508">
        <v>1.109</v>
      </c>
      <c r="R4272" s="508">
        <v>0.59199999999999997</v>
      </c>
      <c r="S4272" s="508">
        <v>0.58299999999999996</v>
      </c>
      <c r="T4272" s="508">
        <v>0.58099999999999996</v>
      </c>
      <c r="U4272" s="508">
        <v>0.58199999999999996</v>
      </c>
      <c r="V4272" s="508">
        <v>0.56799999999999995</v>
      </c>
      <c r="W4272" s="508">
        <v>0.51500000000000001</v>
      </c>
      <c r="X4272" s="508">
        <v>0.51200000000000001</v>
      </c>
      <c r="Y4272" s="508">
        <v>0.51700000000000002</v>
      </c>
      <c r="Z4272" s="508">
        <v>0.51600000000000001</v>
      </c>
      <c r="AA4272" s="508">
        <v>2.1999999999999999E-2</v>
      </c>
      <c r="AB4272" s="508">
        <v>2.1000000000000001E-2</v>
      </c>
      <c r="AC4272" s="508">
        <v>2.1999999999999999E-2</v>
      </c>
      <c r="AD4272" s="508">
        <v>0.02</v>
      </c>
      <c r="AE4272" s="508">
        <v>1.9E-2</v>
      </c>
      <c r="AF4272" s="508">
        <v>1.0999999999999999E-2</v>
      </c>
      <c r="AG4272" s="508">
        <v>1.0999999999999999E-2</v>
      </c>
      <c r="AH4272" s="508">
        <v>1.0999999999999999E-2</v>
      </c>
      <c r="AI4272" s="492">
        <v>1.0999999999999999E-2</v>
      </c>
      <c r="AJ4272" s="485"/>
    </row>
    <row r="4273" spans="2:36">
      <c r="B4273" s="136" t="s">
        <v>453</v>
      </c>
      <c r="C4273" s="132" t="s">
        <v>1375</v>
      </c>
      <c r="D4273" s="132" t="s">
        <v>284</v>
      </c>
      <c r="E4273" s="508">
        <v>2.016</v>
      </c>
      <c r="F4273" s="508">
        <v>1.9550000000000001</v>
      </c>
      <c r="G4273" s="508">
        <v>1.881</v>
      </c>
      <c r="H4273" s="508">
        <v>1.0449999999999999</v>
      </c>
      <c r="I4273" s="508">
        <v>1.0429999999999999</v>
      </c>
      <c r="J4273" s="508">
        <v>1.0660000000000001</v>
      </c>
      <c r="K4273" s="508">
        <v>0.746</v>
      </c>
      <c r="L4273" s="508">
        <v>0.74199999999999999</v>
      </c>
      <c r="M4273" s="508">
        <v>0.747</v>
      </c>
      <c r="N4273" s="508">
        <v>0.98</v>
      </c>
      <c r="O4273" s="508">
        <v>0.99199999999999999</v>
      </c>
      <c r="P4273" s="508">
        <v>0.98099999999999998</v>
      </c>
      <c r="Q4273" s="508">
        <v>0.997</v>
      </c>
      <c r="R4273" s="508">
        <v>0.55100000000000005</v>
      </c>
      <c r="S4273" s="508">
        <v>0.54300000000000004</v>
      </c>
      <c r="T4273" s="508">
        <v>0.54200000000000004</v>
      </c>
      <c r="U4273" s="508">
        <v>0.54200000000000004</v>
      </c>
      <c r="V4273" s="508">
        <v>0.53100000000000003</v>
      </c>
      <c r="W4273" s="508">
        <v>0.48199999999999998</v>
      </c>
      <c r="X4273" s="508">
        <v>0.47899999999999998</v>
      </c>
      <c r="Y4273" s="508">
        <v>0.48299999999999998</v>
      </c>
      <c r="Z4273" s="508">
        <v>0.48199999999999998</v>
      </c>
      <c r="AA4273" s="508">
        <v>0.02</v>
      </c>
      <c r="AB4273" s="508">
        <v>1.9E-2</v>
      </c>
      <c r="AC4273" s="508">
        <v>2.1000000000000001E-2</v>
      </c>
      <c r="AD4273" s="508">
        <v>1.9E-2</v>
      </c>
      <c r="AE4273" s="508">
        <v>1.7999999999999999E-2</v>
      </c>
      <c r="AF4273" s="508">
        <v>1.0999999999999999E-2</v>
      </c>
      <c r="AG4273" s="508">
        <v>1.0999999999999999E-2</v>
      </c>
      <c r="AH4273" s="508">
        <v>1.0999999999999999E-2</v>
      </c>
      <c r="AI4273" s="492">
        <v>1.0999999999999999E-2</v>
      </c>
      <c r="AJ4273" s="485"/>
    </row>
    <row r="4274" spans="2:36">
      <c r="B4274" s="136" t="s">
        <v>454</v>
      </c>
      <c r="C4274" s="132" t="s">
        <v>1375</v>
      </c>
      <c r="D4274" s="132" t="s">
        <v>284</v>
      </c>
      <c r="E4274" s="508">
        <v>2.0390000000000001</v>
      </c>
      <c r="F4274" s="508">
        <v>1.978</v>
      </c>
      <c r="G4274" s="508">
        <v>1.9019999999999999</v>
      </c>
      <c r="H4274" s="508">
        <v>1.0629999999999999</v>
      </c>
      <c r="I4274" s="508">
        <v>1.0609999999999999</v>
      </c>
      <c r="J4274" s="508">
        <v>1.085</v>
      </c>
      <c r="K4274" s="508">
        <v>0.76</v>
      </c>
      <c r="L4274" s="508">
        <v>0.75600000000000001</v>
      </c>
      <c r="M4274" s="508">
        <v>0.76100000000000001</v>
      </c>
      <c r="N4274" s="508">
        <v>1.002</v>
      </c>
      <c r="O4274" s="508">
        <v>1.014</v>
      </c>
      <c r="P4274" s="508">
        <v>1.0029999999999999</v>
      </c>
      <c r="Q4274" s="508">
        <v>1.02</v>
      </c>
      <c r="R4274" s="508">
        <v>0.55900000000000005</v>
      </c>
      <c r="S4274" s="508">
        <v>0.55100000000000005</v>
      </c>
      <c r="T4274" s="508">
        <v>0.55000000000000004</v>
      </c>
      <c r="U4274" s="508">
        <v>0.55000000000000004</v>
      </c>
      <c r="V4274" s="508">
        <v>0.53900000000000003</v>
      </c>
      <c r="W4274" s="508">
        <v>0.48799999999999999</v>
      </c>
      <c r="X4274" s="508">
        <v>0.48599999999999999</v>
      </c>
      <c r="Y4274" s="508">
        <v>0.49</v>
      </c>
      <c r="Z4274" s="508">
        <v>0.48899999999999999</v>
      </c>
      <c r="AA4274" s="508">
        <v>2.1000000000000001E-2</v>
      </c>
      <c r="AB4274" s="508">
        <v>0.02</v>
      </c>
      <c r="AC4274" s="508">
        <v>2.1000000000000001E-2</v>
      </c>
      <c r="AD4274" s="508">
        <v>1.9E-2</v>
      </c>
      <c r="AE4274" s="508">
        <v>1.7999999999999999E-2</v>
      </c>
      <c r="AF4274" s="508">
        <v>1.0999999999999999E-2</v>
      </c>
      <c r="AG4274" s="508">
        <v>1.0999999999999999E-2</v>
      </c>
      <c r="AH4274" s="508">
        <v>1.0999999999999999E-2</v>
      </c>
      <c r="AI4274" s="492">
        <v>1.0999999999999999E-2</v>
      </c>
      <c r="AJ4274" s="485"/>
    </row>
    <row r="4275" spans="2:36">
      <c r="B4275" s="136" t="s">
        <v>455</v>
      </c>
      <c r="C4275" s="132" t="s">
        <v>1375</v>
      </c>
      <c r="D4275" s="132" t="s">
        <v>284</v>
      </c>
      <c r="E4275" s="508">
        <v>1.992</v>
      </c>
      <c r="F4275" s="508">
        <v>1.9319999999999999</v>
      </c>
      <c r="G4275" s="508">
        <v>1.8580000000000001</v>
      </c>
      <c r="H4275" s="508">
        <v>1.0309999999999999</v>
      </c>
      <c r="I4275" s="508">
        <v>1.0289999999999999</v>
      </c>
      <c r="J4275" s="508">
        <v>1.052</v>
      </c>
      <c r="K4275" s="508">
        <v>0.73599999999999999</v>
      </c>
      <c r="L4275" s="508">
        <v>0.73199999999999998</v>
      </c>
      <c r="M4275" s="508">
        <v>0.73699999999999999</v>
      </c>
      <c r="N4275" s="508">
        <v>0.96099999999999997</v>
      </c>
      <c r="O4275" s="508">
        <v>0.97099999999999997</v>
      </c>
      <c r="P4275" s="508">
        <v>0.96099999999999997</v>
      </c>
      <c r="Q4275" s="508">
        <v>0.97599999999999998</v>
      </c>
      <c r="R4275" s="508">
        <v>0.54</v>
      </c>
      <c r="S4275" s="508">
        <v>0.53300000000000003</v>
      </c>
      <c r="T4275" s="508">
        <v>0.53100000000000003</v>
      </c>
      <c r="U4275" s="508">
        <v>0.53200000000000003</v>
      </c>
      <c r="V4275" s="508">
        <v>0.52100000000000002</v>
      </c>
      <c r="W4275" s="508">
        <v>0.47199999999999998</v>
      </c>
      <c r="X4275" s="508">
        <v>0.47</v>
      </c>
      <c r="Y4275" s="508">
        <v>0.47399999999999998</v>
      </c>
      <c r="Z4275" s="508">
        <v>0.47299999999999998</v>
      </c>
      <c r="AA4275" s="508">
        <v>0.02</v>
      </c>
      <c r="AB4275" s="508">
        <v>1.9E-2</v>
      </c>
      <c r="AC4275" s="508">
        <v>0.02</v>
      </c>
      <c r="AD4275" s="508">
        <v>1.7999999999999999E-2</v>
      </c>
      <c r="AE4275" s="508">
        <v>1.7999999999999999E-2</v>
      </c>
      <c r="AF4275" s="508">
        <v>1.0999999999999999E-2</v>
      </c>
      <c r="AG4275" s="508">
        <v>0.01</v>
      </c>
      <c r="AH4275" s="508">
        <v>0.01</v>
      </c>
      <c r="AI4275" s="492">
        <v>0.01</v>
      </c>
      <c r="AJ4275" s="485"/>
    </row>
    <row r="4276" spans="2:36">
      <c r="B4276" s="136" t="s">
        <v>456</v>
      </c>
      <c r="C4276" s="132" t="s">
        <v>1375</v>
      </c>
      <c r="D4276" s="132" t="s">
        <v>284</v>
      </c>
      <c r="E4276" s="508">
        <v>2.0619999999999998</v>
      </c>
      <c r="F4276" s="508">
        <v>2.0009999999999999</v>
      </c>
      <c r="G4276" s="508">
        <v>1.925</v>
      </c>
      <c r="H4276" s="508">
        <v>1.083</v>
      </c>
      <c r="I4276" s="508">
        <v>1.081</v>
      </c>
      <c r="J4276" s="508">
        <v>1.105</v>
      </c>
      <c r="K4276" s="508">
        <v>0.77900000000000003</v>
      </c>
      <c r="L4276" s="508">
        <v>0.77500000000000002</v>
      </c>
      <c r="M4276" s="508">
        <v>0.78</v>
      </c>
      <c r="N4276" s="508">
        <v>1.034</v>
      </c>
      <c r="O4276" s="508">
        <v>1.046</v>
      </c>
      <c r="P4276" s="508">
        <v>1.034</v>
      </c>
      <c r="Q4276" s="508">
        <v>1.052</v>
      </c>
      <c r="R4276" s="508">
        <v>0.56999999999999995</v>
      </c>
      <c r="S4276" s="508">
        <v>0.56200000000000006</v>
      </c>
      <c r="T4276" s="508">
        <v>0.56000000000000005</v>
      </c>
      <c r="U4276" s="508">
        <v>0.56100000000000005</v>
      </c>
      <c r="V4276" s="508">
        <v>0.54800000000000004</v>
      </c>
      <c r="W4276" s="508">
        <v>0.497</v>
      </c>
      <c r="X4276" s="508">
        <v>0.495</v>
      </c>
      <c r="Y4276" s="508">
        <v>0.499</v>
      </c>
      <c r="Z4276" s="508">
        <v>0.497</v>
      </c>
      <c r="AA4276" s="508">
        <v>2.1000000000000001E-2</v>
      </c>
      <c r="AB4276" s="508">
        <v>0.02</v>
      </c>
      <c r="AC4276" s="508">
        <v>2.1000000000000001E-2</v>
      </c>
      <c r="AD4276" s="508">
        <v>1.9E-2</v>
      </c>
      <c r="AE4276" s="508">
        <v>1.7999999999999999E-2</v>
      </c>
      <c r="AF4276" s="508">
        <v>1.0999999999999999E-2</v>
      </c>
      <c r="AG4276" s="508">
        <v>1.0999999999999999E-2</v>
      </c>
      <c r="AH4276" s="508">
        <v>1.0999999999999999E-2</v>
      </c>
      <c r="AI4276" s="492">
        <v>1.0999999999999999E-2</v>
      </c>
      <c r="AJ4276" s="485"/>
    </row>
    <row r="4277" spans="2:36">
      <c r="B4277" s="136" t="s">
        <v>457</v>
      </c>
      <c r="C4277" s="132" t="s">
        <v>1375</v>
      </c>
      <c r="D4277" s="132" t="s">
        <v>284</v>
      </c>
      <c r="E4277" s="508">
        <v>1.9710000000000001</v>
      </c>
      <c r="F4277" s="508">
        <v>1.9119999999999999</v>
      </c>
      <c r="G4277" s="508">
        <v>1.839</v>
      </c>
      <c r="H4277" s="508">
        <v>1.008</v>
      </c>
      <c r="I4277" s="508">
        <v>1.006</v>
      </c>
      <c r="J4277" s="508">
        <v>1.0289999999999999</v>
      </c>
      <c r="K4277" s="508">
        <v>0.71399999999999997</v>
      </c>
      <c r="L4277" s="508">
        <v>0.70899999999999996</v>
      </c>
      <c r="M4277" s="508">
        <v>0.71499999999999997</v>
      </c>
      <c r="N4277" s="508">
        <v>0.92700000000000005</v>
      </c>
      <c r="O4277" s="508">
        <v>0.93799999999999994</v>
      </c>
      <c r="P4277" s="508">
        <v>0.92700000000000005</v>
      </c>
      <c r="Q4277" s="508">
        <v>0.94299999999999995</v>
      </c>
      <c r="R4277" s="508">
        <v>0.53100000000000003</v>
      </c>
      <c r="S4277" s="508">
        <v>0.52500000000000002</v>
      </c>
      <c r="T4277" s="508">
        <v>0.52300000000000002</v>
      </c>
      <c r="U4277" s="508">
        <v>0.52400000000000002</v>
      </c>
      <c r="V4277" s="508">
        <v>0.51400000000000001</v>
      </c>
      <c r="W4277" s="508">
        <v>0.46600000000000003</v>
      </c>
      <c r="X4277" s="508">
        <v>0.46400000000000002</v>
      </c>
      <c r="Y4277" s="508">
        <v>0.46700000000000003</v>
      </c>
      <c r="Z4277" s="508">
        <v>0.46600000000000003</v>
      </c>
      <c r="AA4277" s="508">
        <v>0.02</v>
      </c>
      <c r="AB4277" s="508">
        <v>1.9E-2</v>
      </c>
      <c r="AC4277" s="508">
        <v>0.02</v>
      </c>
      <c r="AD4277" s="508">
        <v>1.7999999999999999E-2</v>
      </c>
      <c r="AE4277" s="508">
        <v>1.7000000000000001E-2</v>
      </c>
      <c r="AF4277" s="508">
        <v>0.01</v>
      </c>
      <c r="AG4277" s="508">
        <v>0.01</v>
      </c>
      <c r="AH4277" s="508">
        <v>0.01</v>
      </c>
      <c r="AI4277" s="492">
        <v>0.01</v>
      </c>
      <c r="AJ4277" s="485"/>
    </row>
    <row r="4278" spans="2:36">
      <c r="B4278" s="136" t="s">
        <v>458</v>
      </c>
      <c r="C4278" s="132" t="s">
        <v>1375</v>
      </c>
      <c r="D4278" s="132" t="s">
        <v>284</v>
      </c>
      <c r="E4278" s="508">
        <v>2.0840000000000001</v>
      </c>
      <c r="F4278" s="508">
        <v>2.0219999999999998</v>
      </c>
      <c r="G4278" s="508">
        <v>1.944</v>
      </c>
      <c r="H4278" s="508">
        <v>1.103</v>
      </c>
      <c r="I4278" s="508">
        <v>1.1000000000000001</v>
      </c>
      <c r="J4278" s="508">
        <v>1.1240000000000001</v>
      </c>
      <c r="K4278" s="508">
        <v>0.79500000000000004</v>
      </c>
      <c r="L4278" s="508">
        <v>0.79100000000000004</v>
      </c>
      <c r="M4278" s="508">
        <v>0.79600000000000004</v>
      </c>
      <c r="N4278" s="508">
        <v>1.056</v>
      </c>
      <c r="O4278" s="508">
        <v>1.0669999999999999</v>
      </c>
      <c r="P4278" s="508">
        <v>1.056</v>
      </c>
      <c r="Q4278" s="508">
        <v>1.073</v>
      </c>
      <c r="R4278" s="508">
        <v>0.57699999999999996</v>
      </c>
      <c r="S4278" s="508">
        <v>0.56799999999999995</v>
      </c>
      <c r="T4278" s="508">
        <v>0.56599999999999995</v>
      </c>
      <c r="U4278" s="508">
        <v>0.56699999999999995</v>
      </c>
      <c r="V4278" s="508">
        <v>0.55400000000000005</v>
      </c>
      <c r="W4278" s="508">
        <v>0.502</v>
      </c>
      <c r="X4278" s="508">
        <v>0.499</v>
      </c>
      <c r="Y4278" s="508">
        <v>0.504</v>
      </c>
      <c r="Z4278" s="508">
        <v>0.502</v>
      </c>
      <c r="AA4278" s="508">
        <v>2.1000000000000001E-2</v>
      </c>
      <c r="AB4278" s="508">
        <v>0.02</v>
      </c>
      <c r="AC4278" s="508">
        <v>2.1999999999999999E-2</v>
      </c>
      <c r="AD4278" s="508">
        <v>1.9E-2</v>
      </c>
      <c r="AE4278" s="508">
        <v>1.9E-2</v>
      </c>
      <c r="AF4278" s="508">
        <v>1.0999999999999999E-2</v>
      </c>
      <c r="AG4278" s="508">
        <v>1.0999999999999999E-2</v>
      </c>
      <c r="AH4278" s="508">
        <v>1.0999999999999999E-2</v>
      </c>
      <c r="AI4278" s="492">
        <v>1.0999999999999999E-2</v>
      </c>
      <c r="AJ4278" s="485"/>
    </row>
    <row r="4279" spans="2:36">
      <c r="B4279" s="136" t="s">
        <v>459</v>
      </c>
      <c r="C4279" s="132" t="s">
        <v>1375</v>
      </c>
      <c r="D4279" s="132" t="s">
        <v>284</v>
      </c>
      <c r="E4279" s="508">
        <v>2.0830000000000002</v>
      </c>
      <c r="F4279" s="508">
        <v>2.02</v>
      </c>
      <c r="G4279" s="508">
        <v>1.9430000000000001</v>
      </c>
      <c r="H4279" s="508">
        <v>1.1020000000000001</v>
      </c>
      <c r="I4279" s="508">
        <v>1.1000000000000001</v>
      </c>
      <c r="J4279" s="508">
        <v>1.1240000000000001</v>
      </c>
      <c r="K4279" s="508">
        <v>0.79500000000000004</v>
      </c>
      <c r="L4279" s="508">
        <v>0.79100000000000004</v>
      </c>
      <c r="M4279" s="508">
        <v>0.79600000000000004</v>
      </c>
      <c r="N4279" s="508">
        <v>1.0549999999999999</v>
      </c>
      <c r="O4279" s="508">
        <v>1.0669999999999999</v>
      </c>
      <c r="P4279" s="508">
        <v>1.0549999999999999</v>
      </c>
      <c r="Q4279" s="508">
        <v>1.0720000000000001</v>
      </c>
      <c r="R4279" s="508">
        <v>0.57699999999999996</v>
      </c>
      <c r="S4279" s="508">
        <v>0.56799999999999995</v>
      </c>
      <c r="T4279" s="508">
        <v>0.56599999999999995</v>
      </c>
      <c r="U4279" s="508">
        <v>0.56599999999999995</v>
      </c>
      <c r="V4279" s="508">
        <v>0.55300000000000005</v>
      </c>
      <c r="W4279" s="508">
        <v>0.502</v>
      </c>
      <c r="X4279" s="508">
        <v>0.499</v>
      </c>
      <c r="Y4279" s="508">
        <v>0.503</v>
      </c>
      <c r="Z4279" s="508">
        <v>0.502</v>
      </c>
      <c r="AA4279" s="508">
        <v>2.1000000000000001E-2</v>
      </c>
      <c r="AB4279" s="508">
        <v>0.02</v>
      </c>
      <c r="AC4279" s="508">
        <v>2.1999999999999999E-2</v>
      </c>
      <c r="AD4279" s="508">
        <v>1.9E-2</v>
      </c>
      <c r="AE4279" s="508">
        <v>1.9E-2</v>
      </c>
      <c r="AF4279" s="508">
        <v>1.0999999999999999E-2</v>
      </c>
      <c r="AG4279" s="508">
        <v>1.0999999999999999E-2</v>
      </c>
      <c r="AH4279" s="508">
        <v>1.0999999999999999E-2</v>
      </c>
      <c r="AI4279" s="492">
        <v>1.0999999999999999E-2</v>
      </c>
      <c r="AJ4279" s="485"/>
    </row>
    <row r="4280" spans="2:36">
      <c r="B4280" s="136" t="s">
        <v>460</v>
      </c>
      <c r="C4280" s="132" t="s">
        <v>1375</v>
      </c>
      <c r="D4280" s="132" t="s">
        <v>284</v>
      </c>
      <c r="E4280" s="508">
        <v>2.0870000000000002</v>
      </c>
      <c r="F4280" s="508">
        <v>2.0249999999999999</v>
      </c>
      <c r="G4280" s="508">
        <v>1.948</v>
      </c>
      <c r="H4280" s="508">
        <v>1.1040000000000001</v>
      </c>
      <c r="I4280" s="508">
        <v>1.1020000000000001</v>
      </c>
      <c r="J4280" s="508">
        <v>1.1259999999999999</v>
      </c>
      <c r="K4280" s="508">
        <v>0.79800000000000004</v>
      </c>
      <c r="L4280" s="508">
        <v>0.79400000000000004</v>
      </c>
      <c r="M4280" s="508">
        <v>0.79800000000000004</v>
      </c>
      <c r="N4280" s="508">
        <v>1.0629999999999999</v>
      </c>
      <c r="O4280" s="508">
        <v>1.0760000000000001</v>
      </c>
      <c r="P4280" s="508">
        <v>1.0640000000000001</v>
      </c>
      <c r="Q4280" s="508">
        <v>1.0820000000000001</v>
      </c>
      <c r="R4280" s="508">
        <v>0.58099999999999996</v>
      </c>
      <c r="S4280" s="508">
        <v>0.57199999999999995</v>
      </c>
      <c r="T4280" s="508">
        <v>0.56999999999999995</v>
      </c>
      <c r="U4280" s="508">
        <v>0.56999999999999995</v>
      </c>
      <c r="V4280" s="508">
        <v>0.55700000000000005</v>
      </c>
      <c r="W4280" s="508">
        <v>0.505</v>
      </c>
      <c r="X4280" s="508">
        <v>0.503</v>
      </c>
      <c r="Y4280" s="508">
        <v>0.50700000000000001</v>
      </c>
      <c r="Z4280" s="508">
        <v>0.50600000000000001</v>
      </c>
      <c r="AA4280" s="508">
        <v>2.1000000000000001E-2</v>
      </c>
      <c r="AB4280" s="508">
        <v>0.02</v>
      </c>
      <c r="AC4280" s="508">
        <v>2.1999999999999999E-2</v>
      </c>
      <c r="AD4280" s="508">
        <v>1.9E-2</v>
      </c>
      <c r="AE4280" s="508">
        <v>1.9E-2</v>
      </c>
      <c r="AF4280" s="508">
        <v>1.0999999999999999E-2</v>
      </c>
      <c r="AG4280" s="508">
        <v>1.0999999999999999E-2</v>
      </c>
      <c r="AH4280" s="508">
        <v>1.0999999999999999E-2</v>
      </c>
      <c r="AI4280" s="492">
        <v>1.0999999999999999E-2</v>
      </c>
      <c r="AJ4280" s="485"/>
    </row>
    <row r="4281" spans="2:36">
      <c r="B4281" s="136" t="s">
        <v>461</v>
      </c>
      <c r="C4281" s="132" t="s">
        <v>1375</v>
      </c>
      <c r="D4281" s="132" t="s">
        <v>284</v>
      </c>
      <c r="E4281" s="508">
        <v>2.0630000000000002</v>
      </c>
      <c r="F4281" s="508">
        <v>2.0009999999999999</v>
      </c>
      <c r="G4281" s="508">
        <v>1.925</v>
      </c>
      <c r="H4281" s="508">
        <v>1.08</v>
      </c>
      <c r="I4281" s="508">
        <v>1.0780000000000001</v>
      </c>
      <c r="J4281" s="508">
        <v>1.103</v>
      </c>
      <c r="K4281" s="508">
        <v>0.77500000000000002</v>
      </c>
      <c r="L4281" s="508">
        <v>0.77</v>
      </c>
      <c r="M4281" s="508">
        <v>0.77500000000000002</v>
      </c>
      <c r="N4281" s="508">
        <v>1.026</v>
      </c>
      <c r="O4281" s="508">
        <v>1.0389999999999999</v>
      </c>
      <c r="P4281" s="508">
        <v>1.0269999999999999</v>
      </c>
      <c r="Q4281" s="508">
        <v>1.0449999999999999</v>
      </c>
      <c r="R4281" s="508">
        <v>0.56899999999999995</v>
      </c>
      <c r="S4281" s="508">
        <v>0.56100000000000005</v>
      </c>
      <c r="T4281" s="508">
        <v>0.55900000000000005</v>
      </c>
      <c r="U4281" s="508">
        <v>0.56000000000000005</v>
      </c>
      <c r="V4281" s="508">
        <v>0.54800000000000004</v>
      </c>
      <c r="W4281" s="508">
        <v>0.497</v>
      </c>
      <c r="X4281" s="508">
        <v>0.49399999999999999</v>
      </c>
      <c r="Y4281" s="508">
        <v>0.498</v>
      </c>
      <c r="Z4281" s="508">
        <v>0.497</v>
      </c>
      <c r="AA4281" s="508">
        <v>2.1000000000000001E-2</v>
      </c>
      <c r="AB4281" s="508">
        <v>0.02</v>
      </c>
      <c r="AC4281" s="508">
        <v>2.1000000000000001E-2</v>
      </c>
      <c r="AD4281" s="508">
        <v>1.9E-2</v>
      </c>
      <c r="AE4281" s="508">
        <v>1.7999999999999999E-2</v>
      </c>
      <c r="AF4281" s="508">
        <v>1.0999999999999999E-2</v>
      </c>
      <c r="AG4281" s="508">
        <v>1.0999999999999999E-2</v>
      </c>
      <c r="AH4281" s="508">
        <v>1.0999999999999999E-2</v>
      </c>
      <c r="AI4281" s="492">
        <v>1.0999999999999999E-2</v>
      </c>
      <c r="AJ4281" s="485"/>
    </row>
    <row r="4282" spans="2:36">
      <c r="B4282" s="136" t="s">
        <v>462</v>
      </c>
      <c r="C4282" s="132" t="s">
        <v>1375</v>
      </c>
      <c r="D4282" s="132" t="s">
        <v>284</v>
      </c>
      <c r="E4282" s="508">
        <v>2.0379999999999998</v>
      </c>
      <c r="F4282" s="508">
        <v>1.978</v>
      </c>
      <c r="G4282" s="508">
        <v>1.9019999999999999</v>
      </c>
      <c r="H4282" s="508">
        <v>1.0580000000000001</v>
      </c>
      <c r="I4282" s="508">
        <v>1.056</v>
      </c>
      <c r="J4282" s="508">
        <v>1.08</v>
      </c>
      <c r="K4282" s="508">
        <v>0.755</v>
      </c>
      <c r="L4282" s="508">
        <v>0.751</v>
      </c>
      <c r="M4282" s="508">
        <v>0.755</v>
      </c>
      <c r="N4282" s="508">
        <v>0.997</v>
      </c>
      <c r="O4282" s="508">
        <v>1.0089999999999999</v>
      </c>
      <c r="P4282" s="508">
        <v>0.997</v>
      </c>
      <c r="Q4282" s="508">
        <v>1.0149999999999999</v>
      </c>
      <c r="R4282" s="508">
        <v>0.56000000000000005</v>
      </c>
      <c r="S4282" s="508">
        <v>0.55200000000000005</v>
      </c>
      <c r="T4282" s="508">
        <v>0.55000000000000004</v>
      </c>
      <c r="U4282" s="508">
        <v>0.55100000000000005</v>
      </c>
      <c r="V4282" s="508">
        <v>0.54</v>
      </c>
      <c r="W4282" s="508">
        <v>0.49</v>
      </c>
      <c r="X4282" s="508">
        <v>0.48699999999999999</v>
      </c>
      <c r="Y4282" s="508">
        <v>0.49099999999999999</v>
      </c>
      <c r="Z4282" s="508">
        <v>0.49</v>
      </c>
      <c r="AA4282" s="508">
        <v>2.1000000000000001E-2</v>
      </c>
      <c r="AB4282" s="508">
        <v>0.02</v>
      </c>
      <c r="AC4282" s="508">
        <v>2.1000000000000001E-2</v>
      </c>
      <c r="AD4282" s="508">
        <v>1.9E-2</v>
      </c>
      <c r="AE4282" s="508">
        <v>1.7999999999999999E-2</v>
      </c>
      <c r="AF4282" s="508">
        <v>1.0999999999999999E-2</v>
      </c>
      <c r="AG4282" s="508">
        <v>1.0999999999999999E-2</v>
      </c>
      <c r="AH4282" s="508">
        <v>1.0999999999999999E-2</v>
      </c>
      <c r="AI4282" s="492">
        <v>1.0999999999999999E-2</v>
      </c>
      <c r="AJ4282" s="485"/>
    </row>
    <row r="4283" spans="2:36">
      <c r="B4283" s="136" t="s">
        <v>463</v>
      </c>
      <c r="C4283" s="132" t="s">
        <v>1375</v>
      </c>
      <c r="D4283" s="132" t="s">
        <v>284</v>
      </c>
      <c r="E4283" s="508">
        <v>1.9910000000000001</v>
      </c>
      <c r="F4283" s="508">
        <v>1.931</v>
      </c>
      <c r="G4283" s="508">
        <v>1.8560000000000001</v>
      </c>
      <c r="H4283" s="508">
        <v>1.028</v>
      </c>
      <c r="I4283" s="508">
        <v>1.026</v>
      </c>
      <c r="J4283" s="508">
        <v>1.0489999999999999</v>
      </c>
      <c r="K4283" s="508">
        <v>0.73099999999999998</v>
      </c>
      <c r="L4283" s="508">
        <v>0.72699999999999998</v>
      </c>
      <c r="M4283" s="508">
        <v>0.73199999999999998</v>
      </c>
      <c r="N4283" s="508">
        <v>0.95</v>
      </c>
      <c r="O4283" s="508">
        <v>0.96</v>
      </c>
      <c r="P4283" s="508">
        <v>0.95</v>
      </c>
      <c r="Q4283" s="508">
        <v>0.96399999999999997</v>
      </c>
      <c r="R4283" s="508">
        <v>0.53700000000000003</v>
      </c>
      <c r="S4283" s="508">
        <v>0.53</v>
      </c>
      <c r="T4283" s="508">
        <v>0.52800000000000002</v>
      </c>
      <c r="U4283" s="508">
        <v>0.52900000000000003</v>
      </c>
      <c r="V4283" s="508">
        <v>0.51800000000000002</v>
      </c>
      <c r="W4283" s="508">
        <v>0.47</v>
      </c>
      <c r="X4283" s="508">
        <v>0.46700000000000003</v>
      </c>
      <c r="Y4283" s="508">
        <v>0.47099999999999997</v>
      </c>
      <c r="Z4283" s="508">
        <v>0.47</v>
      </c>
      <c r="AA4283" s="508">
        <v>0.02</v>
      </c>
      <c r="AB4283" s="508">
        <v>1.9E-2</v>
      </c>
      <c r="AC4283" s="508">
        <v>0.02</v>
      </c>
      <c r="AD4283" s="508">
        <v>1.7999999999999999E-2</v>
      </c>
      <c r="AE4283" s="508">
        <v>1.7999999999999999E-2</v>
      </c>
      <c r="AF4283" s="508">
        <v>1.0999999999999999E-2</v>
      </c>
      <c r="AG4283" s="508">
        <v>0.01</v>
      </c>
      <c r="AH4283" s="508">
        <v>0.01</v>
      </c>
      <c r="AI4283" s="492">
        <v>0.01</v>
      </c>
      <c r="AJ4283" s="485"/>
    </row>
    <row r="4284" spans="2:36">
      <c r="B4284" s="136" t="s">
        <v>464</v>
      </c>
      <c r="C4284" s="132" t="s">
        <v>1375</v>
      </c>
      <c r="D4284" s="132" t="s">
        <v>284</v>
      </c>
      <c r="E4284" s="508">
        <v>1.966</v>
      </c>
      <c r="F4284" s="508">
        <v>1.907</v>
      </c>
      <c r="G4284" s="508">
        <v>1.833</v>
      </c>
      <c r="H4284" s="508">
        <v>1.006</v>
      </c>
      <c r="I4284" s="508">
        <v>1.004</v>
      </c>
      <c r="J4284" s="508">
        <v>1.0269999999999999</v>
      </c>
      <c r="K4284" s="508">
        <v>0.71399999999999997</v>
      </c>
      <c r="L4284" s="508">
        <v>0.70899999999999996</v>
      </c>
      <c r="M4284" s="508">
        <v>0.71499999999999997</v>
      </c>
      <c r="N4284" s="508">
        <v>0.92600000000000005</v>
      </c>
      <c r="O4284" s="508">
        <v>0.93700000000000006</v>
      </c>
      <c r="P4284" s="508">
        <v>0.92700000000000005</v>
      </c>
      <c r="Q4284" s="508">
        <v>0.94199999999999995</v>
      </c>
      <c r="R4284" s="508">
        <v>0.52900000000000003</v>
      </c>
      <c r="S4284" s="508">
        <v>0.52300000000000002</v>
      </c>
      <c r="T4284" s="508">
        <v>0.52100000000000002</v>
      </c>
      <c r="U4284" s="508">
        <v>0.52200000000000002</v>
      </c>
      <c r="V4284" s="508">
        <v>0.51200000000000001</v>
      </c>
      <c r="W4284" s="508">
        <v>0.46400000000000002</v>
      </c>
      <c r="X4284" s="508">
        <v>0.46200000000000002</v>
      </c>
      <c r="Y4284" s="508">
        <v>0.46500000000000002</v>
      </c>
      <c r="Z4284" s="508">
        <v>0.46400000000000002</v>
      </c>
      <c r="AA4284" s="508">
        <v>0.02</v>
      </c>
      <c r="AB4284" s="508">
        <v>1.9E-2</v>
      </c>
      <c r="AC4284" s="508">
        <v>0.02</v>
      </c>
      <c r="AD4284" s="508">
        <v>1.7999999999999999E-2</v>
      </c>
      <c r="AE4284" s="508">
        <v>1.7000000000000001E-2</v>
      </c>
      <c r="AF4284" s="508">
        <v>0.01</v>
      </c>
      <c r="AG4284" s="508">
        <v>0.01</v>
      </c>
      <c r="AH4284" s="508">
        <v>0.01</v>
      </c>
      <c r="AI4284" s="492">
        <v>0.01</v>
      </c>
      <c r="AJ4284" s="485"/>
    </row>
    <row r="4285" spans="2:36">
      <c r="B4285" s="136" t="s">
        <v>465</v>
      </c>
      <c r="C4285" s="132" t="s">
        <v>1375</v>
      </c>
      <c r="D4285" s="132" t="s">
        <v>284</v>
      </c>
      <c r="E4285" s="508">
        <v>1.996</v>
      </c>
      <c r="F4285" s="508">
        <v>1.9359999999999999</v>
      </c>
      <c r="G4285" s="508">
        <v>1.8620000000000001</v>
      </c>
      <c r="H4285" s="508">
        <v>1.034</v>
      </c>
      <c r="I4285" s="508">
        <v>1.032</v>
      </c>
      <c r="J4285" s="508">
        <v>1.0549999999999999</v>
      </c>
      <c r="K4285" s="508">
        <v>0.73799999999999999</v>
      </c>
      <c r="L4285" s="508">
        <v>0.73399999999999999</v>
      </c>
      <c r="M4285" s="508">
        <v>0.74</v>
      </c>
      <c r="N4285" s="508">
        <v>0.96499999999999997</v>
      </c>
      <c r="O4285" s="508">
        <v>0.97599999999999998</v>
      </c>
      <c r="P4285" s="508">
        <v>0.96499999999999997</v>
      </c>
      <c r="Q4285" s="508">
        <v>0.98</v>
      </c>
      <c r="R4285" s="508">
        <v>0.54200000000000004</v>
      </c>
      <c r="S4285" s="508">
        <v>0.53500000000000003</v>
      </c>
      <c r="T4285" s="508">
        <v>0.53300000000000003</v>
      </c>
      <c r="U4285" s="508">
        <v>0.53400000000000003</v>
      </c>
      <c r="V4285" s="508">
        <v>0.52300000000000002</v>
      </c>
      <c r="W4285" s="508">
        <v>0.47399999999999998</v>
      </c>
      <c r="X4285" s="508">
        <v>0.47199999999999998</v>
      </c>
      <c r="Y4285" s="508">
        <v>0.47499999999999998</v>
      </c>
      <c r="Z4285" s="508">
        <v>0.47399999999999998</v>
      </c>
      <c r="AA4285" s="508">
        <v>0.02</v>
      </c>
      <c r="AB4285" s="508">
        <v>1.9E-2</v>
      </c>
      <c r="AC4285" s="508">
        <v>0.02</v>
      </c>
      <c r="AD4285" s="508">
        <v>1.7999999999999999E-2</v>
      </c>
      <c r="AE4285" s="508">
        <v>1.7999999999999999E-2</v>
      </c>
      <c r="AF4285" s="508">
        <v>1.0999999999999999E-2</v>
      </c>
      <c r="AG4285" s="508">
        <v>0.01</v>
      </c>
      <c r="AH4285" s="508">
        <v>0.01</v>
      </c>
      <c r="AI4285" s="492">
        <v>0.01</v>
      </c>
      <c r="AJ4285" s="485"/>
    </row>
    <row r="4286" spans="2:36">
      <c r="B4286" s="136" t="s">
        <v>466</v>
      </c>
      <c r="C4286" s="132" t="s">
        <v>1375</v>
      </c>
      <c r="D4286" s="132" t="s">
        <v>284</v>
      </c>
      <c r="E4286" s="508">
        <v>2.153</v>
      </c>
      <c r="F4286" s="508">
        <v>2.089</v>
      </c>
      <c r="G4286" s="508">
        <v>2.0099999999999998</v>
      </c>
      <c r="H4286" s="508">
        <v>1.1579999999999999</v>
      </c>
      <c r="I4286" s="508">
        <v>1.1559999999999999</v>
      </c>
      <c r="J4286" s="508">
        <v>1.181</v>
      </c>
      <c r="K4286" s="508">
        <v>0.84499999999999997</v>
      </c>
      <c r="L4286" s="508">
        <v>0.84099999999999997</v>
      </c>
      <c r="M4286" s="508">
        <v>0.84599999999999997</v>
      </c>
      <c r="N4286" s="508">
        <v>1.1419999999999999</v>
      </c>
      <c r="O4286" s="508">
        <v>1.157</v>
      </c>
      <c r="P4286" s="508">
        <v>1.143</v>
      </c>
      <c r="Q4286" s="508">
        <v>1.1639999999999999</v>
      </c>
      <c r="R4286" s="508">
        <v>0.61</v>
      </c>
      <c r="S4286" s="508">
        <v>0.6</v>
      </c>
      <c r="T4286" s="508">
        <v>0.59799999999999998</v>
      </c>
      <c r="U4286" s="508">
        <v>0.59899999999999998</v>
      </c>
      <c r="V4286" s="508">
        <v>0.58399999999999996</v>
      </c>
      <c r="W4286" s="508">
        <v>0.53</v>
      </c>
      <c r="X4286" s="508">
        <v>0.52600000000000002</v>
      </c>
      <c r="Y4286" s="508">
        <v>0.53100000000000003</v>
      </c>
      <c r="Z4286" s="508">
        <v>0.53</v>
      </c>
      <c r="AA4286" s="508">
        <v>2.1999999999999999E-2</v>
      </c>
      <c r="AB4286" s="508">
        <v>2.1000000000000001E-2</v>
      </c>
      <c r="AC4286" s="508">
        <v>2.3E-2</v>
      </c>
      <c r="AD4286" s="508">
        <v>0.02</v>
      </c>
      <c r="AE4286" s="508">
        <v>0.02</v>
      </c>
      <c r="AF4286" s="508">
        <v>1.2E-2</v>
      </c>
      <c r="AG4286" s="508">
        <v>1.2E-2</v>
      </c>
      <c r="AH4286" s="508">
        <v>1.2E-2</v>
      </c>
      <c r="AI4286" s="492">
        <v>1.2E-2</v>
      </c>
      <c r="AJ4286" s="485"/>
    </row>
    <row r="4287" spans="2:36">
      <c r="B4287" s="136" t="s">
        <v>467</v>
      </c>
      <c r="C4287" s="132" t="s">
        <v>1375</v>
      </c>
      <c r="D4287" s="132" t="s">
        <v>284</v>
      </c>
      <c r="E4287" s="508">
        <v>2.0510000000000002</v>
      </c>
      <c r="F4287" s="508">
        <v>1.99</v>
      </c>
      <c r="G4287" s="508">
        <v>1.9139999999999999</v>
      </c>
      <c r="H4287" s="508">
        <v>1.071</v>
      </c>
      <c r="I4287" s="508">
        <v>1.069</v>
      </c>
      <c r="J4287" s="508">
        <v>1.093</v>
      </c>
      <c r="K4287" s="508">
        <v>0.76600000000000001</v>
      </c>
      <c r="L4287" s="508">
        <v>0.76200000000000001</v>
      </c>
      <c r="M4287" s="508">
        <v>0.76700000000000002</v>
      </c>
      <c r="N4287" s="508">
        <v>1.0129999999999999</v>
      </c>
      <c r="O4287" s="508">
        <v>1.026</v>
      </c>
      <c r="P4287" s="508">
        <v>1.014</v>
      </c>
      <c r="Q4287" s="508">
        <v>1.032</v>
      </c>
      <c r="R4287" s="508">
        <v>0.56499999999999995</v>
      </c>
      <c r="S4287" s="508">
        <v>0.55700000000000005</v>
      </c>
      <c r="T4287" s="508">
        <v>0.55500000000000005</v>
      </c>
      <c r="U4287" s="508">
        <v>0.55500000000000005</v>
      </c>
      <c r="V4287" s="508">
        <v>0.54400000000000004</v>
      </c>
      <c r="W4287" s="508">
        <v>0.49299999999999999</v>
      </c>
      <c r="X4287" s="508">
        <v>0.49099999999999999</v>
      </c>
      <c r="Y4287" s="508">
        <v>0.49399999999999999</v>
      </c>
      <c r="Z4287" s="508">
        <v>0.49299999999999999</v>
      </c>
      <c r="AA4287" s="508">
        <v>2.1000000000000001E-2</v>
      </c>
      <c r="AB4287" s="508">
        <v>0.02</v>
      </c>
      <c r="AC4287" s="508">
        <v>2.1000000000000001E-2</v>
      </c>
      <c r="AD4287" s="508">
        <v>1.9E-2</v>
      </c>
      <c r="AE4287" s="508">
        <v>1.7999999999999999E-2</v>
      </c>
      <c r="AF4287" s="508">
        <v>1.0999999999999999E-2</v>
      </c>
      <c r="AG4287" s="508">
        <v>1.0999999999999999E-2</v>
      </c>
      <c r="AH4287" s="508">
        <v>1.0999999999999999E-2</v>
      </c>
      <c r="AI4287" s="492">
        <v>1.0999999999999999E-2</v>
      </c>
      <c r="AJ4287" s="485"/>
    </row>
    <row r="4288" spans="2:36">
      <c r="B4288" s="136" t="s">
        <v>468</v>
      </c>
      <c r="C4288" s="132" t="s">
        <v>1375</v>
      </c>
      <c r="D4288" s="132" t="s">
        <v>284</v>
      </c>
      <c r="E4288" s="508">
        <v>1.9530000000000001</v>
      </c>
      <c r="F4288" s="508">
        <v>1.8939999999999999</v>
      </c>
      <c r="G4288" s="508">
        <v>1.82</v>
      </c>
      <c r="H4288" s="508">
        <v>1.0029999999999999</v>
      </c>
      <c r="I4288" s="508">
        <v>1.0009999999999999</v>
      </c>
      <c r="J4288" s="508">
        <v>1.024</v>
      </c>
      <c r="K4288" s="508">
        <v>0.71499999999999997</v>
      </c>
      <c r="L4288" s="508">
        <v>0.71</v>
      </c>
      <c r="M4288" s="508">
        <v>0.71599999999999997</v>
      </c>
      <c r="N4288" s="508">
        <v>0.92300000000000004</v>
      </c>
      <c r="O4288" s="508">
        <v>0.93200000000000005</v>
      </c>
      <c r="P4288" s="508">
        <v>0.92300000000000004</v>
      </c>
      <c r="Q4288" s="508">
        <v>0.93600000000000005</v>
      </c>
      <c r="R4288" s="508">
        <v>0.52400000000000002</v>
      </c>
      <c r="S4288" s="508">
        <v>0.51700000000000002</v>
      </c>
      <c r="T4288" s="508">
        <v>0.51500000000000001</v>
      </c>
      <c r="U4288" s="508">
        <v>0.51600000000000001</v>
      </c>
      <c r="V4288" s="508">
        <v>0.50600000000000001</v>
      </c>
      <c r="W4288" s="508">
        <v>0.45800000000000002</v>
      </c>
      <c r="X4288" s="508">
        <v>0.45600000000000002</v>
      </c>
      <c r="Y4288" s="508">
        <v>0.45900000000000002</v>
      </c>
      <c r="Z4288" s="508">
        <v>0.45800000000000002</v>
      </c>
      <c r="AA4288" s="508">
        <v>0.02</v>
      </c>
      <c r="AB4288" s="508">
        <v>1.9E-2</v>
      </c>
      <c r="AC4288" s="508">
        <v>0.02</v>
      </c>
      <c r="AD4288" s="508">
        <v>1.7999999999999999E-2</v>
      </c>
      <c r="AE4288" s="508">
        <v>1.7000000000000001E-2</v>
      </c>
      <c r="AF4288" s="508">
        <v>0.01</v>
      </c>
      <c r="AG4288" s="508">
        <v>0.01</v>
      </c>
      <c r="AH4288" s="508">
        <v>0.01</v>
      </c>
      <c r="AI4288" s="492">
        <v>0.01</v>
      </c>
      <c r="AJ4288" s="485"/>
    </row>
    <row r="4289" spans="2:36">
      <c r="B4289" s="136" t="s">
        <v>469</v>
      </c>
      <c r="C4289" s="132" t="s">
        <v>1375</v>
      </c>
      <c r="D4289" s="132" t="s">
        <v>284</v>
      </c>
      <c r="E4289" s="508">
        <v>2.0150000000000001</v>
      </c>
      <c r="F4289" s="508">
        <v>1.954</v>
      </c>
      <c r="G4289" s="508">
        <v>1.879</v>
      </c>
      <c r="H4289" s="508">
        <v>1.046</v>
      </c>
      <c r="I4289" s="508">
        <v>1.044</v>
      </c>
      <c r="J4289" s="508">
        <v>1.0680000000000001</v>
      </c>
      <c r="K4289" s="508">
        <v>0.749</v>
      </c>
      <c r="L4289" s="508">
        <v>0.74399999999999999</v>
      </c>
      <c r="M4289" s="508">
        <v>0.75</v>
      </c>
      <c r="N4289" s="508">
        <v>0.98299999999999998</v>
      </c>
      <c r="O4289" s="508">
        <v>0.99399999999999999</v>
      </c>
      <c r="P4289" s="508">
        <v>0.98399999999999999</v>
      </c>
      <c r="Q4289" s="508">
        <v>1</v>
      </c>
      <c r="R4289" s="508">
        <v>0.55000000000000004</v>
      </c>
      <c r="S4289" s="508">
        <v>0.54300000000000004</v>
      </c>
      <c r="T4289" s="508">
        <v>0.54100000000000004</v>
      </c>
      <c r="U4289" s="508">
        <v>0.54200000000000004</v>
      </c>
      <c r="V4289" s="508">
        <v>0.53100000000000003</v>
      </c>
      <c r="W4289" s="508">
        <v>0.48099999999999998</v>
      </c>
      <c r="X4289" s="508">
        <v>0.47899999999999998</v>
      </c>
      <c r="Y4289" s="508">
        <v>0.48199999999999998</v>
      </c>
      <c r="Z4289" s="508">
        <v>0.48099999999999998</v>
      </c>
      <c r="AA4289" s="508">
        <v>0.02</v>
      </c>
      <c r="AB4289" s="508">
        <v>1.9E-2</v>
      </c>
      <c r="AC4289" s="508">
        <v>2.1000000000000001E-2</v>
      </c>
      <c r="AD4289" s="508">
        <v>1.9E-2</v>
      </c>
      <c r="AE4289" s="508">
        <v>1.7999999999999999E-2</v>
      </c>
      <c r="AF4289" s="508">
        <v>1.0999999999999999E-2</v>
      </c>
      <c r="AG4289" s="508">
        <v>1.0999999999999999E-2</v>
      </c>
      <c r="AH4289" s="508">
        <v>1.0999999999999999E-2</v>
      </c>
      <c r="AI4289" s="492">
        <v>1.0999999999999999E-2</v>
      </c>
      <c r="AJ4289" s="485"/>
    </row>
    <row r="4290" spans="2:36">
      <c r="B4290" s="136" t="s">
        <v>470</v>
      </c>
      <c r="C4290" s="132" t="s">
        <v>1375</v>
      </c>
      <c r="D4290" s="132" t="s">
        <v>284</v>
      </c>
      <c r="E4290" s="508">
        <v>2.1190000000000002</v>
      </c>
      <c r="F4290" s="508">
        <v>2.056</v>
      </c>
      <c r="G4290" s="508">
        <v>1.978</v>
      </c>
      <c r="H4290" s="508">
        <v>1.129</v>
      </c>
      <c r="I4290" s="508">
        <v>1.1259999999999999</v>
      </c>
      <c r="J4290" s="508">
        <v>1.151</v>
      </c>
      <c r="K4290" s="508">
        <v>0.81699999999999995</v>
      </c>
      <c r="L4290" s="508">
        <v>0.81299999999999994</v>
      </c>
      <c r="M4290" s="508">
        <v>0.81799999999999995</v>
      </c>
      <c r="N4290" s="508">
        <v>1.095</v>
      </c>
      <c r="O4290" s="508">
        <v>1.1080000000000001</v>
      </c>
      <c r="P4290" s="508">
        <v>1.095</v>
      </c>
      <c r="Q4290" s="508">
        <v>1.1140000000000001</v>
      </c>
      <c r="R4290" s="508">
        <v>0.59399999999999997</v>
      </c>
      <c r="S4290" s="508">
        <v>0.58399999999999996</v>
      </c>
      <c r="T4290" s="508">
        <v>0.58199999999999996</v>
      </c>
      <c r="U4290" s="508">
        <v>0.58299999999999996</v>
      </c>
      <c r="V4290" s="508">
        <v>0.56899999999999995</v>
      </c>
      <c r="W4290" s="508">
        <v>0.51600000000000001</v>
      </c>
      <c r="X4290" s="508">
        <v>0.51300000000000001</v>
      </c>
      <c r="Y4290" s="508">
        <v>0.51800000000000002</v>
      </c>
      <c r="Z4290" s="508">
        <v>0.51600000000000001</v>
      </c>
      <c r="AA4290" s="508">
        <v>2.1999999999999999E-2</v>
      </c>
      <c r="AB4290" s="508">
        <v>2.1000000000000001E-2</v>
      </c>
      <c r="AC4290" s="508">
        <v>2.1999999999999999E-2</v>
      </c>
      <c r="AD4290" s="508">
        <v>0.02</v>
      </c>
      <c r="AE4290" s="508">
        <v>1.9E-2</v>
      </c>
      <c r="AF4290" s="508">
        <v>1.0999999999999999E-2</v>
      </c>
      <c r="AG4290" s="508">
        <v>1.0999999999999999E-2</v>
      </c>
      <c r="AH4290" s="508">
        <v>1.0999999999999999E-2</v>
      </c>
      <c r="AI4290" s="492">
        <v>1.0999999999999999E-2</v>
      </c>
      <c r="AJ4290" s="485"/>
    </row>
    <row r="4291" spans="2:36">
      <c r="B4291" s="136" t="s">
        <v>471</v>
      </c>
      <c r="C4291" s="132" t="s">
        <v>1375</v>
      </c>
      <c r="D4291" s="132" t="s">
        <v>284</v>
      </c>
      <c r="E4291" s="508">
        <v>2.089</v>
      </c>
      <c r="F4291" s="508">
        <v>2.0270000000000001</v>
      </c>
      <c r="G4291" s="508">
        <v>1.9510000000000001</v>
      </c>
      <c r="H4291" s="508">
        <v>1.101</v>
      </c>
      <c r="I4291" s="508">
        <v>1.099</v>
      </c>
      <c r="J4291" s="508">
        <v>1.1240000000000001</v>
      </c>
      <c r="K4291" s="508">
        <v>0.79200000000000004</v>
      </c>
      <c r="L4291" s="508">
        <v>0.78800000000000003</v>
      </c>
      <c r="M4291" s="508">
        <v>0.79300000000000004</v>
      </c>
      <c r="N4291" s="508">
        <v>1.0569999999999999</v>
      </c>
      <c r="O4291" s="508">
        <v>1.07</v>
      </c>
      <c r="P4291" s="508">
        <v>1.0569999999999999</v>
      </c>
      <c r="Q4291" s="508">
        <v>1.0760000000000001</v>
      </c>
      <c r="R4291" s="508">
        <v>0.58099999999999996</v>
      </c>
      <c r="S4291" s="508">
        <v>0.57199999999999995</v>
      </c>
      <c r="T4291" s="508">
        <v>0.56999999999999995</v>
      </c>
      <c r="U4291" s="508">
        <v>0.57099999999999995</v>
      </c>
      <c r="V4291" s="508">
        <v>0.55900000000000005</v>
      </c>
      <c r="W4291" s="508">
        <v>0.50600000000000001</v>
      </c>
      <c r="X4291" s="508">
        <v>0.504</v>
      </c>
      <c r="Y4291" s="508">
        <v>0.50800000000000001</v>
      </c>
      <c r="Z4291" s="508">
        <v>0.50700000000000001</v>
      </c>
      <c r="AA4291" s="508">
        <v>2.1000000000000001E-2</v>
      </c>
      <c r="AB4291" s="508">
        <v>0.02</v>
      </c>
      <c r="AC4291" s="508">
        <v>2.1999999999999999E-2</v>
      </c>
      <c r="AD4291" s="508">
        <v>1.9E-2</v>
      </c>
      <c r="AE4291" s="508">
        <v>1.9E-2</v>
      </c>
      <c r="AF4291" s="508">
        <v>1.0999999999999999E-2</v>
      </c>
      <c r="AG4291" s="508">
        <v>1.0999999999999999E-2</v>
      </c>
      <c r="AH4291" s="508">
        <v>1.0999999999999999E-2</v>
      </c>
      <c r="AI4291" s="492">
        <v>1.0999999999999999E-2</v>
      </c>
      <c r="AJ4291" s="485"/>
    </row>
    <row r="4292" spans="2:36">
      <c r="B4292" s="136" t="s">
        <v>472</v>
      </c>
      <c r="C4292" s="132" t="s">
        <v>1375</v>
      </c>
      <c r="D4292" s="132" t="s">
        <v>284</v>
      </c>
      <c r="E4292" s="508">
        <v>1.9730000000000001</v>
      </c>
      <c r="F4292" s="508">
        <v>1.9139999999999999</v>
      </c>
      <c r="G4292" s="508">
        <v>1.84</v>
      </c>
      <c r="H4292" s="508">
        <v>1.01</v>
      </c>
      <c r="I4292" s="508">
        <v>1.008</v>
      </c>
      <c r="J4292" s="508">
        <v>1.0309999999999999</v>
      </c>
      <c r="K4292" s="508">
        <v>0.71499999999999997</v>
      </c>
      <c r="L4292" s="508">
        <v>0.71099999999999997</v>
      </c>
      <c r="M4292" s="508">
        <v>0.71599999999999997</v>
      </c>
      <c r="N4292" s="508">
        <v>0.93</v>
      </c>
      <c r="O4292" s="508">
        <v>0.94</v>
      </c>
      <c r="P4292" s="508">
        <v>0.93</v>
      </c>
      <c r="Q4292" s="508">
        <v>0.94599999999999995</v>
      </c>
      <c r="R4292" s="508">
        <v>0.53200000000000003</v>
      </c>
      <c r="S4292" s="508">
        <v>0.52600000000000002</v>
      </c>
      <c r="T4292" s="508">
        <v>0.52400000000000002</v>
      </c>
      <c r="U4292" s="508">
        <v>0.52400000000000002</v>
      </c>
      <c r="V4292" s="508">
        <v>0.51500000000000001</v>
      </c>
      <c r="W4292" s="508">
        <v>0.46700000000000003</v>
      </c>
      <c r="X4292" s="508">
        <v>0.46400000000000002</v>
      </c>
      <c r="Y4292" s="508">
        <v>0.46800000000000003</v>
      </c>
      <c r="Z4292" s="508">
        <v>0.46700000000000003</v>
      </c>
      <c r="AA4292" s="508">
        <v>0.02</v>
      </c>
      <c r="AB4292" s="508">
        <v>1.9E-2</v>
      </c>
      <c r="AC4292" s="508">
        <v>0.02</v>
      </c>
      <c r="AD4292" s="508">
        <v>1.7999999999999999E-2</v>
      </c>
      <c r="AE4292" s="508">
        <v>1.7000000000000001E-2</v>
      </c>
      <c r="AF4292" s="508">
        <v>0.01</v>
      </c>
      <c r="AG4292" s="508">
        <v>0.01</v>
      </c>
      <c r="AH4292" s="508">
        <v>0.01</v>
      </c>
      <c r="AI4292" s="492">
        <v>0.01</v>
      </c>
      <c r="AJ4292" s="485"/>
    </row>
    <row r="4293" spans="2:36">
      <c r="B4293" s="136" t="s">
        <v>473</v>
      </c>
      <c r="C4293" s="132" t="s">
        <v>1375</v>
      </c>
      <c r="D4293" s="132" t="s">
        <v>284</v>
      </c>
      <c r="E4293" s="508">
        <v>2.125</v>
      </c>
      <c r="F4293" s="508">
        <v>2.0619999999999998</v>
      </c>
      <c r="G4293" s="508">
        <v>1.984</v>
      </c>
      <c r="H4293" s="508">
        <v>1.1319999999999999</v>
      </c>
      <c r="I4293" s="508">
        <v>1.129</v>
      </c>
      <c r="J4293" s="508">
        <v>1.155</v>
      </c>
      <c r="K4293" s="508">
        <v>0.82</v>
      </c>
      <c r="L4293" s="508">
        <v>0.81599999999999995</v>
      </c>
      <c r="M4293" s="508">
        <v>0.82099999999999995</v>
      </c>
      <c r="N4293" s="508">
        <v>1.1020000000000001</v>
      </c>
      <c r="O4293" s="508">
        <v>1.1160000000000001</v>
      </c>
      <c r="P4293" s="508">
        <v>1.103</v>
      </c>
      <c r="Q4293" s="508">
        <v>1.1220000000000001</v>
      </c>
      <c r="R4293" s="508">
        <v>0.59699999999999998</v>
      </c>
      <c r="S4293" s="508">
        <v>0.58699999999999997</v>
      </c>
      <c r="T4293" s="508">
        <v>0.58499999999999996</v>
      </c>
      <c r="U4293" s="508">
        <v>0.58599999999999997</v>
      </c>
      <c r="V4293" s="508">
        <v>0.57299999999999995</v>
      </c>
      <c r="W4293" s="508">
        <v>0.51900000000000002</v>
      </c>
      <c r="X4293" s="508">
        <v>0.51600000000000001</v>
      </c>
      <c r="Y4293" s="508">
        <v>0.52100000000000002</v>
      </c>
      <c r="Z4293" s="508">
        <v>0.52</v>
      </c>
      <c r="AA4293" s="508">
        <v>2.1999999999999999E-2</v>
      </c>
      <c r="AB4293" s="508">
        <v>2.1000000000000001E-2</v>
      </c>
      <c r="AC4293" s="508">
        <v>2.1999999999999999E-2</v>
      </c>
      <c r="AD4293" s="508">
        <v>0.02</v>
      </c>
      <c r="AE4293" s="508">
        <v>1.9E-2</v>
      </c>
      <c r="AF4293" s="508">
        <v>1.0999999999999999E-2</v>
      </c>
      <c r="AG4293" s="508">
        <v>1.0999999999999999E-2</v>
      </c>
      <c r="AH4293" s="508">
        <v>1.0999999999999999E-2</v>
      </c>
      <c r="AI4293" s="492">
        <v>1.0999999999999999E-2</v>
      </c>
      <c r="AJ4293" s="485"/>
    </row>
    <row r="4294" spans="2:36">
      <c r="B4294" s="136" t="s">
        <v>474</v>
      </c>
      <c r="C4294" s="132" t="s">
        <v>1375</v>
      </c>
      <c r="D4294" s="132" t="s">
        <v>284</v>
      </c>
      <c r="E4294" s="508">
        <v>2.0630000000000002</v>
      </c>
      <c r="F4294" s="508">
        <v>2.0019999999999998</v>
      </c>
      <c r="G4294" s="508">
        <v>1.925</v>
      </c>
      <c r="H4294" s="508">
        <v>1.0820000000000001</v>
      </c>
      <c r="I4294" s="508">
        <v>1.08</v>
      </c>
      <c r="J4294" s="508">
        <v>1.105</v>
      </c>
      <c r="K4294" s="508">
        <v>0.77800000000000002</v>
      </c>
      <c r="L4294" s="508">
        <v>0.77400000000000002</v>
      </c>
      <c r="M4294" s="508">
        <v>0.77900000000000003</v>
      </c>
      <c r="N4294" s="508">
        <v>1.032</v>
      </c>
      <c r="O4294" s="508">
        <v>1.0449999999999999</v>
      </c>
      <c r="P4294" s="508">
        <v>1.0329999999999999</v>
      </c>
      <c r="Q4294" s="508">
        <v>1.0509999999999999</v>
      </c>
      <c r="R4294" s="508">
        <v>0.57099999999999995</v>
      </c>
      <c r="S4294" s="508">
        <v>0.56200000000000006</v>
      </c>
      <c r="T4294" s="508">
        <v>0.56000000000000005</v>
      </c>
      <c r="U4294" s="508">
        <v>0.56100000000000005</v>
      </c>
      <c r="V4294" s="508">
        <v>0.54900000000000004</v>
      </c>
      <c r="W4294" s="508">
        <v>0.498</v>
      </c>
      <c r="X4294" s="508">
        <v>0.495</v>
      </c>
      <c r="Y4294" s="508">
        <v>0.499</v>
      </c>
      <c r="Z4294" s="508">
        <v>0.498</v>
      </c>
      <c r="AA4294" s="508">
        <v>2.1000000000000001E-2</v>
      </c>
      <c r="AB4294" s="508">
        <v>0.02</v>
      </c>
      <c r="AC4294" s="508">
        <v>2.1000000000000001E-2</v>
      </c>
      <c r="AD4294" s="508">
        <v>1.9E-2</v>
      </c>
      <c r="AE4294" s="508">
        <v>1.7999999999999999E-2</v>
      </c>
      <c r="AF4294" s="508">
        <v>1.0999999999999999E-2</v>
      </c>
      <c r="AG4294" s="508">
        <v>1.0999999999999999E-2</v>
      </c>
      <c r="AH4294" s="508">
        <v>1.0999999999999999E-2</v>
      </c>
      <c r="AI4294" s="492">
        <v>1.0999999999999999E-2</v>
      </c>
      <c r="AJ4294" s="485"/>
    </row>
    <row r="4295" spans="2:36">
      <c r="B4295" s="136" t="s">
        <v>475</v>
      </c>
      <c r="C4295" s="132" t="s">
        <v>1375</v>
      </c>
      <c r="D4295" s="132" t="s">
        <v>284</v>
      </c>
      <c r="E4295" s="508">
        <v>2.04</v>
      </c>
      <c r="F4295" s="508">
        <v>1.9790000000000001</v>
      </c>
      <c r="G4295" s="508">
        <v>1.9039999999999999</v>
      </c>
      <c r="H4295" s="508">
        <v>1.0640000000000001</v>
      </c>
      <c r="I4295" s="508">
        <v>1.0609999999999999</v>
      </c>
      <c r="J4295" s="508">
        <v>1.085</v>
      </c>
      <c r="K4295" s="508">
        <v>0.76100000000000001</v>
      </c>
      <c r="L4295" s="508">
        <v>0.75700000000000001</v>
      </c>
      <c r="M4295" s="508">
        <v>0.76200000000000001</v>
      </c>
      <c r="N4295" s="508">
        <v>1.0049999999999999</v>
      </c>
      <c r="O4295" s="508">
        <v>1.0169999999999999</v>
      </c>
      <c r="P4295" s="508">
        <v>1.0049999999999999</v>
      </c>
      <c r="Q4295" s="508">
        <v>1.022</v>
      </c>
      <c r="R4295" s="508">
        <v>0.56000000000000005</v>
      </c>
      <c r="S4295" s="508">
        <v>0.55200000000000005</v>
      </c>
      <c r="T4295" s="508">
        <v>0.55100000000000005</v>
      </c>
      <c r="U4295" s="508">
        <v>0.55100000000000005</v>
      </c>
      <c r="V4295" s="508">
        <v>0.54</v>
      </c>
      <c r="W4295" s="508">
        <v>0.48899999999999999</v>
      </c>
      <c r="X4295" s="508">
        <v>0.48699999999999999</v>
      </c>
      <c r="Y4295" s="508">
        <v>0.49099999999999999</v>
      </c>
      <c r="Z4295" s="508">
        <v>0.49</v>
      </c>
      <c r="AA4295" s="508">
        <v>2.1000000000000001E-2</v>
      </c>
      <c r="AB4295" s="508">
        <v>0.02</v>
      </c>
      <c r="AC4295" s="508">
        <v>2.1000000000000001E-2</v>
      </c>
      <c r="AD4295" s="508">
        <v>1.9E-2</v>
      </c>
      <c r="AE4295" s="508">
        <v>1.7999999999999999E-2</v>
      </c>
      <c r="AF4295" s="508">
        <v>1.0999999999999999E-2</v>
      </c>
      <c r="AG4295" s="508">
        <v>1.0999999999999999E-2</v>
      </c>
      <c r="AH4295" s="508">
        <v>1.0999999999999999E-2</v>
      </c>
      <c r="AI4295" s="492">
        <v>1.0999999999999999E-2</v>
      </c>
      <c r="AJ4295" s="485"/>
    </row>
    <row r="4296" spans="2:36">
      <c r="B4296" s="136" t="s">
        <v>476</v>
      </c>
      <c r="C4296" s="132" t="s">
        <v>1375</v>
      </c>
      <c r="D4296" s="132" t="s">
        <v>284</v>
      </c>
      <c r="E4296" s="508">
        <v>2.0870000000000002</v>
      </c>
      <c r="F4296" s="508">
        <v>2.0249999999999999</v>
      </c>
      <c r="G4296" s="508">
        <v>1.948</v>
      </c>
      <c r="H4296" s="508">
        <v>1.105</v>
      </c>
      <c r="I4296" s="508">
        <v>1.1020000000000001</v>
      </c>
      <c r="J4296" s="508">
        <v>1.127</v>
      </c>
      <c r="K4296" s="508">
        <v>0.79900000000000004</v>
      </c>
      <c r="L4296" s="508">
        <v>0.79500000000000004</v>
      </c>
      <c r="M4296" s="508">
        <v>0.79900000000000004</v>
      </c>
      <c r="N4296" s="508">
        <v>1.0640000000000001</v>
      </c>
      <c r="O4296" s="508">
        <v>1.077</v>
      </c>
      <c r="P4296" s="508">
        <v>1.0649999999999999</v>
      </c>
      <c r="Q4296" s="508">
        <v>1.083</v>
      </c>
      <c r="R4296" s="508">
        <v>0.58099999999999996</v>
      </c>
      <c r="S4296" s="508">
        <v>0.57199999999999995</v>
      </c>
      <c r="T4296" s="508">
        <v>0.56999999999999995</v>
      </c>
      <c r="U4296" s="508">
        <v>0.57099999999999995</v>
      </c>
      <c r="V4296" s="508">
        <v>0.55800000000000005</v>
      </c>
      <c r="W4296" s="508">
        <v>0.50600000000000001</v>
      </c>
      <c r="X4296" s="508">
        <v>0.503</v>
      </c>
      <c r="Y4296" s="508">
        <v>0.50700000000000001</v>
      </c>
      <c r="Z4296" s="508">
        <v>0.50600000000000001</v>
      </c>
      <c r="AA4296" s="508">
        <v>2.1000000000000001E-2</v>
      </c>
      <c r="AB4296" s="508">
        <v>0.02</v>
      </c>
      <c r="AC4296" s="508">
        <v>2.1999999999999999E-2</v>
      </c>
      <c r="AD4296" s="508">
        <v>1.9E-2</v>
      </c>
      <c r="AE4296" s="508">
        <v>1.9E-2</v>
      </c>
      <c r="AF4296" s="508">
        <v>1.0999999999999999E-2</v>
      </c>
      <c r="AG4296" s="508">
        <v>1.0999999999999999E-2</v>
      </c>
      <c r="AH4296" s="508">
        <v>1.0999999999999999E-2</v>
      </c>
      <c r="AI4296" s="492">
        <v>1.0999999999999999E-2</v>
      </c>
      <c r="AJ4296" s="485"/>
    </row>
    <row r="4297" spans="2:36">
      <c r="B4297" s="136" t="s">
        <v>478</v>
      </c>
      <c r="C4297" s="132" t="s">
        <v>1375</v>
      </c>
      <c r="D4297" s="132" t="s">
        <v>284</v>
      </c>
      <c r="E4297" s="508">
        <v>2.137</v>
      </c>
      <c r="F4297" s="508">
        <v>2.073</v>
      </c>
      <c r="G4297" s="508">
        <v>1.994</v>
      </c>
      <c r="H4297" s="508">
        <v>1.1459999999999999</v>
      </c>
      <c r="I4297" s="508">
        <v>1.1439999999999999</v>
      </c>
      <c r="J4297" s="508">
        <v>1.169</v>
      </c>
      <c r="K4297" s="508">
        <v>0.83399999999999996</v>
      </c>
      <c r="L4297" s="508">
        <v>0.83</v>
      </c>
      <c r="M4297" s="508">
        <v>0.83499999999999996</v>
      </c>
      <c r="N4297" s="508">
        <v>1.1200000000000001</v>
      </c>
      <c r="O4297" s="508">
        <v>1.133</v>
      </c>
      <c r="P4297" s="508">
        <v>1.121</v>
      </c>
      <c r="Q4297" s="508">
        <v>1.139</v>
      </c>
      <c r="R4297" s="508">
        <v>0.60099999999999998</v>
      </c>
      <c r="S4297" s="508">
        <v>0.59</v>
      </c>
      <c r="T4297" s="508">
        <v>0.58799999999999997</v>
      </c>
      <c r="U4297" s="508">
        <v>0.58899999999999997</v>
      </c>
      <c r="V4297" s="508">
        <v>0.57399999999999995</v>
      </c>
      <c r="W4297" s="508">
        <v>0.52100000000000002</v>
      </c>
      <c r="X4297" s="508">
        <v>0.51800000000000002</v>
      </c>
      <c r="Y4297" s="508">
        <v>0.52300000000000002</v>
      </c>
      <c r="Z4297" s="508">
        <v>0.52200000000000002</v>
      </c>
      <c r="AA4297" s="508">
        <v>2.1999999999999999E-2</v>
      </c>
      <c r="AB4297" s="508">
        <v>2.1000000000000001E-2</v>
      </c>
      <c r="AC4297" s="508">
        <v>2.1999999999999999E-2</v>
      </c>
      <c r="AD4297" s="508">
        <v>0.02</v>
      </c>
      <c r="AE4297" s="508">
        <v>1.9E-2</v>
      </c>
      <c r="AF4297" s="508">
        <v>1.2E-2</v>
      </c>
      <c r="AG4297" s="508">
        <v>1.0999999999999999E-2</v>
      </c>
      <c r="AH4297" s="508">
        <v>1.0999999999999999E-2</v>
      </c>
      <c r="AI4297" s="492">
        <v>1.0999999999999999E-2</v>
      </c>
      <c r="AJ4297" s="485"/>
    </row>
    <row r="4298" spans="2:36">
      <c r="B4298" s="136" t="s">
        <v>479</v>
      </c>
      <c r="C4298" s="132" t="s">
        <v>1375</v>
      </c>
      <c r="D4298" s="132" t="s">
        <v>284</v>
      </c>
      <c r="E4298" s="508">
        <v>2.044</v>
      </c>
      <c r="F4298" s="508">
        <v>1.9830000000000001</v>
      </c>
      <c r="G4298" s="508">
        <v>1.907</v>
      </c>
      <c r="H4298" s="508">
        <v>1.07</v>
      </c>
      <c r="I4298" s="508">
        <v>1.0680000000000001</v>
      </c>
      <c r="J4298" s="508">
        <v>1.0920000000000001</v>
      </c>
      <c r="K4298" s="508">
        <v>0.76900000000000002</v>
      </c>
      <c r="L4298" s="508">
        <v>0.76500000000000001</v>
      </c>
      <c r="M4298" s="508">
        <v>0.77</v>
      </c>
      <c r="N4298" s="508">
        <v>1.016</v>
      </c>
      <c r="O4298" s="508">
        <v>1.028</v>
      </c>
      <c r="P4298" s="508">
        <v>1.0169999999999999</v>
      </c>
      <c r="Q4298" s="508">
        <v>1.034</v>
      </c>
      <c r="R4298" s="508">
        <v>0.56299999999999994</v>
      </c>
      <c r="S4298" s="508">
        <v>0.55400000000000005</v>
      </c>
      <c r="T4298" s="508">
        <v>0.55300000000000005</v>
      </c>
      <c r="U4298" s="508">
        <v>0.55300000000000005</v>
      </c>
      <c r="V4298" s="508">
        <v>0.54200000000000004</v>
      </c>
      <c r="W4298" s="508">
        <v>0.49099999999999999</v>
      </c>
      <c r="X4298" s="508">
        <v>0.48799999999999999</v>
      </c>
      <c r="Y4298" s="508">
        <v>0.49199999999999999</v>
      </c>
      <c r="Z4298" s="508">
        <v>0.49099999999999999</v>
      </c>
      <c r="AA4298" s="508">
        <v>2.1000000000000001E-2</v>
      </c>
      <c r="AB4298" s="508">
        <v>0.02</v>
      </c>
      <c r="AC4298" s="508">
        <v>2.1000000000000001E-2</v>
      </c>
      <c r="AD4298" s="508">
        <v>1.9E-2</v>
      </c>
      <c r="AE4298" s="508">
        <v>1.7999999999999999E-2</v>
      </c>
      <c r="AF4298" s="508">
        <v>1.0999999999999999E-2</v>
      </c>
      <c r="AG4298" s="508">
        <v>1.0999999999999999E-2</v>
      </c>
      <c r="AH4298" s="508">
        <v>1.0999999999999999E-2</v>
      </c>
      <c r="AI4298" s="492">
        <v>1.0999999999999999E-2</v>
      </c>
      <c r="AJ4298" s="485"/>
    </row>
    <row r="4299" spans="2:36">
      <c r="B4299" s="136" t="s">
        <v>480</v>
      </c>
      <c r="C4299" s="132" t="s">
        <v>1375</v>
      </c>
      <c r="D4299" s="132" t="s">
        <v>284</v>
      </c>
      <c r="E4299" s="508">
        <v>1.9530000000000001</v>
      </c>
      <c r="F4299" s="508">
        <v>1.8939999999999999</v>
      </c>
      <c r="G4299" s="508">
        <v>1.82</v>
      </c>
      <c r="H4299" s="508">
        <v>0.998</v>
      </c>
      <c r="I4299" s="508">
        <v>0.997</v>
      </c>
      <c r="J4299" s="508">
        <v>1.0189999999999999</v>
      </c>
      <c r="K4299" s="508">
        <v>0.70799999999999996</v>
      </c>
      <c r="L4299" s="508">
        <v>0.70399999999999996</v>
      </c>
      <c r="M4299" s="508">
        <v>0.70899999999999996</v>
      </c>
      <c r="N4299" s="508">
        <v>0.91500000000000004</v>
      </c>
      <c r="O4299" s="508">
        <v>0.92500000000000004</v>
      </c>
      <c r="P4299" s="508">
        <v>0.91500000000000004</v>
      </c>
      <c r="Q4299" s="508">
        <v>0.92900000000000005</v>
      </c>
      <c r="R4299" s="508">
        <v>0.52400000000000002</v>
      </c>
      <c r="S4299" s="508">
        <v>0.51700000000000002</v>
      </c>
      <c r="T4299" s="508">
        <v>0.51500000000000001</v>
      </c>
      <c r="U4299" s="508">
        <v>0.51600000000000001</v>
      </c>
      <c r="V4299" s="508">
        <v>0.50700000000000001</v>
      </c>
      <c r="W4299" s="508">
        <v>0.45900000000000002</v>
      </c>
      <c r="X4299" s="508">
        <v>0.45700000000000002</v>
      </c>
      <c r="Y4299" s="508">
        <v>0.46</v>
      </c>
      <c r="Z4299" s="508">
        <v>0.45900000000000002</v>
      </c>
      <c r="AA4299" s="508">
        <v>0.02</v>
      </c>
      <c r="AB4299" s="508">
        <v>1.9E-2</v>
      </c>
      <c r="AC4299" s="508">
        <v>0.02</v>
      </c>
      <c r="AD4299" s="508">
        <v>1.7999999999999999E-2</v>
      </c>
      <c r="AE4299" s="508">
        <v>1.7000000000000001E-2</v>
      </c>
      <c r="AF4299" s="508">
        <v>0.01</v>
      </c>
      <c r="AG4299" s="508">
        <v>0.01</v>
      </c>
      <c r="AH4299" s="508">
        <v>0.01</v>
      </c>
      <c r="AI4299" s="492">
        <v>0.01</v>
      </c>
      <c r="AJ4299" s="485"/>
    </row>
    <row r="4300" spans="2:36">
      <c r="B4300" s="136" t="s">
        <v>481</v>
      </c>
      <c r="C4300" s="132" t="s">
        <v>1375</v>
      </c>
      <c r="D4300" s="132" t="s">
        <v>284</v>
      </c>
      <c r="E4300" s="508">
        <v>2.0649999999999999</v>
      </c>
      <c r="F4300" s="508">
        <v>2.0030000000000001</v>
      </c>
      <c r="G4300" s="508">
        <v>1.927</v>
      </c>
      <c r="H4300" s="508">
        <v>1.087</v>
      </c>
      <c r="I4300" s="508">
        <v>1.085</v>
      </c>
      <c r="J4300" s="508">
        <v>1.109</v>
      </c>
      <c r="K4300" s="508">
        <v>0.78300000000000003</v>
      </c>
      <c r="L4300" s="508">
        <v>0.77900000000000003</v>
      </c>
      <c r="M4300" s="508">
        <v>0.78400000000000003</v>
      </c>
      <c r="N4300" s="508">
        <v>1.0389999999999999</v>
      </c>
      <c r="O4300" s="508">
        <v>1.0509999999999999</v>
      </c>
      <c r="P4300" s="508">
        <v>1.04</v>
      </c>
      <c r="Q4300" s="508">
        <v>1.0569999999999999</v>
      </c>
      <c r="R4300" s="508">
        <v>0.57099999999999995</v>
      </c>
      <c r="S4300" s="508">
        <v>0.56299999999999994</v>
      </c>
      <c r="T4300" s="508">
        <v>0.56100000000000005</v>
      </c>
      <c r="U4300" s="508">
        <v>0.56100000000000005</v>
      </c>
      <c r="V4300" s="508">
        <v>0.54900000000000004</v>
      </c>
      <c r="W4300" s="508">
        <v>0.498</v>
      </c>
      <c r="X4300" s="508">
        <v>0.495</v>
      </c>
      <c r="Y4300" s="508">
        <v>0.499</v>
      </c>
      <c r="Z4300" s="508">
        <v>0.498</v>
      </c>
      <c r="AA4300" s="508">
        <v>2.1000000000000001E-2</v>
      </c>
      <c r="AB4300" s="508">
        <v>0.02</v>
      </c>
      <c r="AC4300" s="508">
        <v>2.1000000000000001E-2</v>
      </c>
      <c r="AD4300" s="508">
        <v>1.9E-2</v>
      </c>
      <c r="AE4300" s="508">
        <v>1.9E-2</v>
      </c>
      <c r="AF4300" s="508">
        <v>1.0999999999999999E-2</v>
      </c>
      <c r="AG4300" s="508">
        <v>1.0999999999999999E-2</v>
      </c>
      <c r="AH4300" s="508">
        <v>1.0999999999999999E-2</v>
      </c>
      <c r="AI4300" s="492">
        <v>1.0999999999999999E-2</v>
      </c>
      <c r="AJ4300" s="485"/>
    </row>
    <row r="4301" spans="2:36">
      <c r="B4301" s="136" t="s">
        <v>482</v>
      </c>
      <c r="C4301" s="132" t="s">
        <v>1375</v>
      </c>
      <c r="D4301" s="132" t="s">
        <v>284</v>
      </c>
      <c r="E4301" s="508">
        <v>2.0680000000000001</v>
      </c>
      <c r="F4301" s="508">
        <v>2.0059999999999998</v>
      </c>
      <c r="G4301" s="508">
        <v>1.93</v>
      </c>
      <c r="H4301" s="508">
        <v>1.089</v>
      </c>
      <c r="I4301" s="508">
        <v>1.087</v>
      </c>
      <c r="J4301" s="508">
        <v>1.111</v>
      </c>
      <c r="K4301" s="508">
        <v>0.78400000000000003</v>
      </c>
      <c r="L4301" s="508">
        <v>0.78</v>
      </c>
      <c r="M4301" s="508">
        <v>0.78500000000000003</v>
      </c>
      <c r="N4301" s="508">
        <v>1.0389999999999999</v>
      </c>
      <c r="O4301" s="508">
        <v>1.05</v>
      </c>
      <c r="P4301" s="508">
        <v>1.0389999999999999</v>
      </c>
      <c r="Q4301" s="508">
        <v>1.056</v>
      </c>
      <c r="R4301" s="508">
        <v>0.57099999999999995</v>
      </c>
      <c r="S4301" s="508">
        <v>0.56299999999999994</v>
      </c>
      <c r="T4301" s="508">
        <v>0.56100000000000005</v>
      </c>
      <c r="U4301" s="508">
        <v>0.56100000000000005</v>
      </c>
      <c r="V4301" s="508">
        <v>0.54900000000000004</v>
      </c>
      <c r="W4301" s="508">
        <v>0.498</v>
      </c>
      <c r="X4301" s="508">
        <v>0.495</v>
      </c>
      <c r="Y4301" s="508">
        <v>0.499</v>
      </c>
      <c r="Z4301" s="508">
        <v>0.498</v>
      </c>
      <c r="AA4301" s="508">
        <v>2.1000000000000001E-2</v>
      </c>
      <c r="AB4301" s="508">
        <v>0.02</v>
      </c>
      <c r="AC4301" s="508">
        <v>2.1000000000000001E-2</v>
      </c>
      <c r="AD4301" s="508">
        <v>1.9E-2</v>
      </c>
      <c r="AE4301" s="508">
        <v>1.9E-2</v>
      </c>
      <c r="AF4301" s="508">
        <v>1.0999999999999999E-2</v>
      </c>
      <c r="AG4301" s="508">
        <v>1.0999999999999999E-2</v>
      </c>
      <c r="AH4301" s="508">
        <v>1.0999999999999999E-2</v>
      </c>
      <c r="AI4301" s="492">
        <v>1.0999999999999999E-2</v>
      </c>
      <c r="AJ4301" s="485"/>
    </row>
    <row r="4302" spans="2:36">
      <c r="B4302" s="136" t="s">
        <v>483</v>
      </c>
      <c r="C4302" s="132" t="s">
        <v>1375</v>
      </c>
      <c r="D4302" s="132" t="s">
        <v>284</v>
      </c>
      <c r="E4302" s="508">
        <v>2.1259999999999999</v>
      </c>
      <c r="F4302" s="508">
        <v>2.0619999999999998</v>
      </c>
      <c r="G4302" s="508">
        <v>1.984</v>
      </c>
      <c r="H4302" s="508">
        <v>1.137</v>
      </c>
      <c r="I4302" s="508">
        <v>1.135</v>
      </c>
      <c r="J4302" s="508">
        <v>1.159</v>
      </c>
      <c r="K4302" s="508">
        <v>0.82699999999999996</v>
      </c>
      <c r="L4302" s="508">
        <v>0.82299999999999995</v>
      </c>
      <c r="M4302" s="508">
        <v>0.82699999999999996</v>
      </c>
      <c r="N4302" s="508">
        <v>1.1080000000000001</v>
      </c>
      <c r="O4302" s="508">
        <v>1.1220000000000001</v>
      </c>
      <c r="P4302" s="508">
        <v>1.109</v>
      </c>
      <c r="Q4302" s="508">
        <v>1.1279999999999999</v>
      </c>
      <c r="R4302" s="508">
        <v>0.59699999999999998</v>
      </c>
      <c r="S4302" s="508">
        <v>0.58699999999999997</v>
      </c>
      <c r="T4302" s="508">
        <v>0.58499999999999996</v>
      </c>
      <c r="U4302" s="508">
        <v>0.58499999999999996</v>
      </c>
      <c r="V4302" s="508">
        <v>0.57099999999999995</v>
      </c>
      <c r="W4302" s="508">
        <v>0.51800000000000002</v>
      </c>
      <c r="X4302" s="508">
        <v>0.51500000000000001</v>
      </c>
      <c r="Y4302" s="508">
        <v>0.52</v>
      </c>
      <c r="Z4302" s="508">
        <v>0.51800000000000002</v>
      </c>
      <c r="AA4302" s="508">
        <v>2.1999999999999999E-2</v>
      </c>
      <c r="AB4302" s="508">
        <v>2.1000000000000001E-2</v>
      </c>
      <c r="AC4302" s="508">
        <v>2.1999999999999999E-2</v>
      </c>
      <c r="AD4302" s="508">
        <v>0.02</v>
      </c>
      <c r="AE4302" s="508">
        <v>1.9E-2</v>
      </c>
      <c r="AF4302" s="508">
        <v>1.2E-2</v>
      </c>
      <c r="AG4302" s="508">
        <v>1.0999999999999999E-2</v>
      </c>
      <c r="AH4302" s="508">
        <v>1.0999999999999999E-2</v>
      </c>
      <c r="AI4302" s="492">
        <v>1.0999999999999999E-2</v>
      </c>
      <c r="AJ4302" s="485"/>
    </row>
    <row r="4303" spans="2:36">
      <c r="B4303" s="136" t="s">
        <v>484</v>
      </c>
      <c r="C4303" s="132" t="s">
        <v>1375</v>
      </c>
      <c r="D4303" s="132" t="s">
        <v>284</v>
      </c>
      <c r="E4303" s="508">
        <v>1.968</v>
      </c>
      <c r="F4303" s="508">
        <v>1.909</v>
      </c>
      <c r="G4303" s="508">
        <v>1.835</v>
      </c>
      <c r="H4303" s="508">
        <v>1.006</v>
      </c>
      <c r="I4303" s="508">
        <v>1.004</v>
      </c>
      <c r="J4303" s="508">
        <v>1.028</v>
      </c>
      <c r="K4303" s="508">
        <v>0.71299999999999997</v>
      </c>
      <c r="L4303" s="508">
        <v>0.70799999999999996</v>
      </c>
      <c r="M4303" s="508">
        <v>0.71399999999999997</v>
      </c>
      <c r="N4303" s="508">
        <v>0.92500000000000004</v>
      </c>
      <c r="O4303" s="508">
        <v>0.93500000000000005</v>
      </c>
      <c r="P4303" s="508">
        <v>0.92500000000000004</v>
      </c>
      <c r="Q4303" s="508">
        <v>0.94</v>
      </c>
      <c r="R4303" s="508">
        <v>0.53</v>
      </c>
      <c r="S4303" s="508">
        <v>0.52300000000000002</v>
      </c>
      <c r="T4303" s="508">
        <v>0.52200000000000002</v>
      </c>
      <c r="U4303" s="508">
        <v>0.52200000000000002</v>
      </c>
      <c r="V4303" s="508">
        <v>0.51300000000000001</v>
      </c>
      <c r="W4303" s="508">
        <v>0.46500000000000002</v>
      </c>
      <c r="X4303" s="508">
        <v>0.46300000000000002</v>
      </c>
      <c r="Y4303" s="508">
        <v>0.46600000000000003</v>
      </c>
      <c r="Z4303" s="508">
        <v>0.46500000000000002</v>
      </c>
      <c r="AA4303" s="508">
        <v>0.02</v>
      </c>
      <c r="AB4303" s="508">
        <v>1.9E-2</v>
      </c>
      <c r="AC4303" s="508">
        <v>0.02</v>
      </c>
      <c r="AD4303" s="508">
        <v>1.7999999999999999E-2</v>
      </c>
      <c r="AE4303" s="508">
        <v>1.7000000000000001E-2</v>
      </c>
      <c r="AF4303" s="508">
        <v>0.01</v>
      </c>
      <c r="AG4303" s="508">
        <v>0.01</v>
      </c>
      <c r="AH4303" s="508">
        <v>0.01</v>
      </c>
      <c r="AI4303" s="492">
        <v>0.01</v>
      </c>
      <c r="AJ4303" s="485"/>
    </row>
    <row r="4304" spans="2:36">
      <c r="B4304" s="136" t="s">
        <v>486</v>
      </c>
      <c r="C4304" s="132" t="s">
        <v>1375</v>
      </c>
      <c r="D4304" s="132" t="s">
        <v>284</v>
      </c>
      <c r="E4304" s="508">
        <v>2.0699999999999998</v>
      </c>
      <c r="F4304" s="508">
        <v>2.008</v>
      </c>
      <c r="G4304" s="508">
        <v>1.9319999999999999</v>
      </c>
      <c r="H4304" s="508">
        <v>1.0920000000000001</v>
      </c>
      <c r="I4304" s="508">
        <v>1.089</v>
      </c>
      <c r="J4304" s="508">
        <v>1.1140000000000001</v>
      </c>
      <c r="K4304" s="508">
        <v>0.78700000000000003</v>
      </c>
      <c r="L4304" s="508">
        <v>0.78300000000000003</v>
      </c>
      <c r="M4304" s="508">
        <v>0.78800000000000003</v>
      </c>
      <c r="N4304" s="508">
        <v>1.0449999999999999</v>
      </c>
      <c r="O4304" s="508">
        <v>1.0569999999999999</v>
      </c>
      <c r="P4304" s="508">
        <v>1.0449999999999999</v>
      </c>
      <c r="Q4304" s="508">
        <v>1.0620000000000001</v>
      </c>
      <c r="R4304" s="508">
        <v>0.57299999999999995</v>
      </c>
      <c r="S4304" s="508">
        <v>0.56399999999999995</v>
      </c>
      <c r="T4304" s="508">
        <v>0.56200000000000006</v>
      </c>
      <c r="U4304" s="508">
        <v>0.56299999999999994</v>
      </c>
      <c r="V4304" s="508">
        <v>0.55000000000000004</v>
      </c>
      <c r="W4304" s="508">
        <v>0.499</v>
      </c>
      <c r="X4304" s="508">
        <v>0.496</v>
      </c>
      <c r="Y4304" s="508">
        <v>0.501</v>
      </c>
      <c r="Z4304" s="508">
        <v>0.499</v>
      </c>
      <c r="AA4304" s="508">
        <v>2.1000000000000001E-2</v>
      </c>
      <c r="AB4304" s="508">
        <v>0.02</v>
      </c>
      <c r="AC4304" s="508">
        <v>2.1000000000000001E-2</v>
      </c>
      <c r="AD4304" s="508">
        <v>1.9E-2</v>
      </c>
      <c r="AE4304" s="508">
        <v>1.9E-2</v>
      </c>
      <c r="AF4304" s="508">
        <v>1.0999999999999999E-2</v>
      </c>
      <c r="AG4304" s="508">
        <v>1.0999999999999999E-2</v>
      </c>
      <c r="AH4304" s="508">
        <v>1.0999999999999999E-2</v>
      </c>
      <c r="AI4304" s="492">
        <v>1.0999999999999999E-2</v>
      </c>
      <c r="AJ4304" s="485"/>
    </row>
    <row r="4305" spans="2:36">
      <c r="B4305" s="136" t="s">
        <v>487</v>
      </c>
      <c r="C4305" s="132" t="s">
        <v>1375</v>
      </c>
      <c r="D4305" s="132" t="s">
        <v>284</v>
      </c>
      <c r="E4305" s="508">
        <v>2.069</v>
      </c>
      <c r="F4305" s="508">
        <v>2.0070000000000001</v>
      </c>
      <c r="G4305" s="508">
        <v>1.93</v>
      </c>
      <c r="H4305" s="508">
        <v>1.093</v>
      </c>
      <c r="I4305" s="508">
        <v>1.091</v>
      </c>
      <c r="J4305" s="508">
        <v>1.115</v>
      </c>
      <c r="K4305" s="508">
        <v>0.79</v>
      </c>
      <c r="L4305" s="508">
        <v>0.78500000000000003</v>
      </c>
      <c r="M4305" s="508">
        <v>0.79</v>
      </c>
      <c r="N4305" s="508">
        <v>1.046</v>
      </c>
      <c r="O4305" s="508">
        <v>1.0580000000000001</v>
      </c>
      <c r="P4305" s="508">
        <v>1.0469999999999999</v>
      </c>
      <c r="Q4305" s="508">
        <v>1.0629999999999999</v>
      </c>
      <c r="R4305" s="508">
        <v>0.57199999999999995</v>
      </c>
      <c r="S4305" s="508">
        <v>0.56299999999999994</v>
      </c>
      <c r="T4305" s="508">
        <v>0.56100000000000005</v>
      </c>
      <c r="U4305" s="508">
        <v>0.56200000000000006</v>
      </c>
      <c r="V4305" s="508">
        <v>0.54900000000000004</v>
      </c>
      <c r="W4305" s="508">
        <v>0.498</v>
      </c>
      <c r="X4305" s="508">
        <v>0.495</v>
      </c>
      <c r="Y4305" s="508">
        <v>0.499</v>
      </c>
      <c r="Z4305" s="508">
        <v>0.498</v>
      </c>
      <c r="AA4305" s="508">
        <v>2.1000000000000001E-2</v>
      </c>
      <c r="AB4305" s="508">
        <v>0.02</v>
      </c>
      <c r="AC4305" s="508">
        <v>2.1000000000000001E-2</v>
      </c>
      <c r="AD4305" s="508">
        <v>1.9E-2</v>
      </c>
      <c r="AE4305" s="508">
        <v>1.9E-2</v>
      </c>
      <c r="AF4305" s="508">
        <v>1.0999999999999999E-2</v>
      </c>
      <c r="AG4305" s="508">
        <v>1.0999999999999999E-2</v>
      </c>
      <c r="AH4305" s="508">
        <v>1.0999999999999999E-2</v>
      </c>
      <c r="AI4305" s="492">
        <v>1.0999999999999999E-2</v>
      </c>
      <c r="AJ4305" s="485"/>
    </row>
    <row r="4306" spans="2:36">
      <c r="B4306" s="136" t="s">
        <v>488</v>
      </c>
      <c r="C4306" s="132" t="s">
        <v>1375</v>
      </c>
      <c r="D4306" s="132" t="s">
        <v>284</v>
      </c>
      <c r="E4306" s="508">
        <v>1.992</v>
      </c>
      <c r="F4306" s="508">
        <v>1.9319999999999999</v>
      </c>
      <c r="G4306" s="508">
        <v>1.8580000000000001</v>
      </c>
      <c r="H4306" s="508">
        <v>1.028</v>
      </c>
      <c r="I4306" s="508">
        <v>1.0249999999999999</v>
      </c>
      <c r="J4306" s="508">
        <v>1.0489999999999999</v>
      </c>
      <c r="K4306" s="508">
        <v>0.73099999999999998</v>
      </c>
      <c r="L4306" s="508">
        <v>0.72699999999999998</v>
      </c>
      <c r="M4306" s="508">
        <v>0.73199999999999998</v>
      </c>
      <c r="N4306" s="508">
        <v>0.95399999999999996</v>
      </c>
      <c r="O4306" s="508">
        <v>0.96399999999999997</v>
      </c>
      <c r="P4306" s="508">
        <v>0.95399999999999996</v>
      </c>
      <c r="Q4306" s="508">
        <v>0.96899999999999997</v>
      </c>
      <c r="R4306" s="508">
        <v>0.54</v>
      </c>
      <c r="S4306" s="508">
        <v>0.53200000000000003</v>
      </c>
      <c r="T4306" s="508">
        <v>0.53100000000000003</v>
      </c>
      <c r="U4306" s="508">
        <v>0.53100000000000003</v>
      </c>
      <c r="V4306" s="508">
        <v>0.52100000000000002</v>
      </c>
      <c r="W4306" s="508">
        <v>0.47199999999999998</v>
      </c>
      <c r="X4306" s="508">
        <v>0.47</v>
      </c>
      <c r="Y4306" s="508">
        <v>0.47299999999999998</v>
      </c>
      <c r="Z4306" s="508">
        <v>0.47199999999999998</v>
      </c>
      <c r="AA4306" s="508">
        <v>0.02</v>
      </c>
      <c r="AB4306" s="508">
        <v>1.9E-2</v>
      </c>
      <c r="AC4306" s="508">
        <v>0.02</v>
      </c>
      <c r="AD4306" s="508">
        <v>1.7999999999999999E-2</v>
      </c>
      <c r="AE4306" s="508">
        <v>1.7999999999999999E-2</v>
      </c>
      <c r="AF4306" s="508">
        <v>1.0999999999999999E-2</v>
      </c>
      <c r="AG4306" s="508">
        <v>0.01</v>
      </c>
      <c r="AH4306" s="508">
        <v>0.01</v>
      </c>
      <c r="AI4306" s="492">
        <v>0.01</v>
      </c>
      <c r="AJ4306" s="485"/>
    </row>
    <row r="4307" spans="2:36">
      <c r="B4307" s="136" t="s">
        <v>489</v>
      </c>
      <c r="C4307" s="132" t="s">
        <v>1375</v>
      </c>
      <c r="D4307" s="132" t="s">
        <v>284</v>
      </c>
      <c r="E4307" s="508">
        <v>2.032</v>
      </c>
      <c r="F4307" s="508">
        <v>1.972</v>
      </c>
      <c r="G4307" s="508">
        <v>1.8959999999999999</v>
      </c>
      <c r="H4307" s="508">
        <v>1.0580000000000001</v>
      </c>
      <c r="I4307" s="508">
        <v>1.056</v>
      </c>
      <c r="J4307" s="508">
        <v>1.08</v>
      </c>
      <c r="K4307" s="508">
        <v>0.75700000000000001</v>
      </c>
      <c r="L4307" s="508">
        <v>0.752</v>
      </c>
      <c r="M4307" s="508">
        <v>0.75800000000000001</v>
      </c>
      <c r="N4307" s="508">
        <v>0.996</v>
      </c>
      <c r="O4307" s="508">
        <v>1.008</v>
      </c>
      <c r="P4307" s="508">
        <v>0.997</v>
      </c>
      <c r="Q4307" s="508">
        <v>1.014</v>
      </c>
      <c r="R4307" s="508">
        <v>0.55700000000000005</v>
      </c>
      <c r="S4307" s="508">
        <v>0.54900000000000004</v>
      </c>
      <c r="T4307" s="508">
        <v>0.54700000000000004</v>
      </c>
      <c r="U4307" s="508">
        <v>0.54800000000000004</v>
      </c>
      <c r="V4307" s="508">
        <v>0.53700000000000003</v>
      </c>
      <c r="W4307" s="508">
        <v>0.48599999999999999</v>
      </c>
      <c r="X4307" s="508">
        <v>0.48399999999999999</v>
      </c>
      <c r="Y4307" s="508">
        <v>0.48799999999999999</v>
      </c>
      <c r="Z4307" s="508">
        <v>0.48699999999999999</v>
      </c>
      <c r="AA4307" s="508">
        <v>2.1000000000000001E-2</v>
      </c>
      <c r="AB4307" s="508">
        <v>0.02</v>
      </c>
      <c r="AC4307" s="508">
        <v>2.1000000000000001E-2</v>
      </c>
      <c r="AD4307" s="508">
        <v>1.9E-2</v>
      </c>
      <c r="AE4307" s="508">
        <v>1.7999999999999999E-2</v>
      </c>
      <c r="AF4307" s="508">
        <v>1.0999999999999999E-2</v>
      </c>
      <c r="AG4307" s="508">
        <v>1.0999999999999999E-2</v>
      </c>
      <c r="AH4307" s="508">
        <v>1.0999999999999999E-2</v>
      </c>
      <c r="AI4307" s="492">
        <v>1.0999999999999999E-2</v>
      </c>
      <c r="AJ4307" s="485"/>
    </row>
    <row r="4308" spans="2:36">
      <c r="B4308" s="136" t="s">
        <v>490</v>
      </c>
      <c r="C4308" s="132" t="s">
        <v>1375</v>
      </c>
      <c r="D4308" s="132" t="s">
        <v>284</v>
      </c>
      <c r="E4308" s="508">
        <v>1.9550000000000001</v>
      </c>
      <c r="F4308" s="508">
        <v>1.8959999999999999</v>
      </c>
      <c r="G4308" s="508">
        <v>1.8220000000000001</v>
      </c>
      <c r="H4308" s="508">
        <v>1.002</v>
      </c>
      <c r="I4308" s="508">
        <v>1.0009999999999999</v>
      </c>
      <c r="J4308" s="508">
        <v>1.0229999999999999</v>
      </c>
      <c r="K4308" s="508">
        <v>0.71299999999999997</v>
      </c>
      <c r="L4308" s="508">
        <v>0.70899999999999996</v>
      </c>
      <c r="M4308" s="508">
        <v>0.71399999999999997</v>
      </c>
      <c r="N4308" s="508">
        <v>0.92300000000000004</v>
      </c>
      <c r="O4308" s="508">
        <v>0.93200000000000005</v>
      </c>
      <c r="P4308" s="508">
        <v>0.92300000000000004</v>
      </c>
      <c r="Q4308" s="508">
        <v>0.93700000000000006</v>
      </c>
      <c r="R4308" s="508">
        <v>0.52500000000000002</v>
      </c>
      <c r="S4308" s="508">
        <v>0.51800000000000002</v>
      </c>
      <c r="T4308" s="508">
        <v>0.51700000000000002</v>
      </c>
      <c r="U4308" s="508">
        <v>0.51700000000000002</v>
      </c>
      <c r="V4308" s="508">
        <v>0.50700000000000001</v>
      </c>
      <c r="W4308" s="508">
        <v>0.46</v>
      </c>
      <c r="X4308" s="508">
        <v>0.45800000000000002</v>
      </c>
      <c r="Y4308" s="508">
        <v>0.46100000000000002</v>
      </c>
      <c r="Z4308" s="508">
        <v>0.46</v>
      </c>
      <c r="AA4308" s="508">
        <v>0.02</v>
      </c>
      <c r="AB4308" s="508">
        <v>1.9E-2</v>
      </c>
      <c r="AC4308" s="508">
        <v>0.02</v>
      </c>
      <c r="AD4308" s="508">
        <v>1.7999999999999999E-2</v>
      </c>
      <c r="AE4308" s="508">
        <v>1.7000000000000001E-2</v>
      </c>
      <c r="AF4308" s="508">
        <v>0.01</v>
      </c>
      <c r="AG4308" s="508">
        <v>0.01</v>
      </c>
      <c r="AH4308" s="508">
        <v>0.01</v>
      </c>
      <c r="AI4308" s="492">
        <v>0.01</v>
      </c>
      <c r="AJ4308" s="485"/>
    </row>
    <row r="4309" spans="2:36">
      <c r="B4309" s="136" t="s">
        <v>435</v>
      </c>
      <c r="C4309" s="132" t="s">
        <v>1376</v>
      </c>
      <c r="D4309" s="132" t="s">
        <v>284</v>
      </c>
      <c r="E4309" s="508">
        <v>0.251</v>
      </c>
      <c r="F4309" s="508">
        <v>0.20499999999999999</v>
      </c>
      <c r="G4309" s="508">
        <v>0.186</v>
      </c>
      <c r="H4309" s="508">
        <v>0.158</v>
      </c>
      <c r="I4309" s="508">
        <v>0.15</v>
      </c>
      <c r="J4309" s="508">
        <v>0.128</v>
      </c>
      <c r="K4309" s="508">
        <v>9.2999999999999999E-2</v>
      </c>
      <c r="L4309" s="508">
        <v>9.0999999999999998E-2</v>
      </c>
      <c r="M4309" s="508">
        <v>8.7999999999999995E-2</v>
      </c>
      <c r="N4309" s="508">
        <v>0.1</v>
      </c>
      <c r="O4309" s="508">
        <v>7.6999999999999999E-2</v>
      </c>
      <c r="P4309" s="508">
        <v>5.3999999999999999E-2</v>
      </c>
      <c r="Q4309" s="508">
        <v>4.7E-2</v>
      </c>
      <c r="R4309" s="508">
        <v>4.9000000000000002E-2</v>
      </c>
      <c r="S4309" s="508">
        <v>5.1999999999999998E-2</v>
      </c>
      <c r="T4309" s="508">
        <v>4.2999999999999997E-2</v>
      </c>
      <c r="U4309" s="508">
        <v>4.3999999999999997E-2</v>
      </c>
      <c r="V4309" s="508">
        <v>2.3E-2</v>
      </c>
      <c r="W4309" s="508">
        <v>2.9000000000000001E-2</v>
      </c>
      <c r="X4309" s="508">
        <v>2.3E-2</v>
      </c>
      <c r="Y4309" s="508">
        <v>2.3E-2</v>
      </c>
      <c r="Z4309" s="508">
        <v>1.7999999999999999E-2</v>
      </c>
      <c r="AA4309" s="508">
        <v>1.7999999999999999E-2</v>
      </c>
      <c r="AB4309" s="508">
        <v>1.6E-2</v>
      </c>
      <c r="AC4309" s="508">
        <v>1.6E-2</v>
      </c>
      <c r="AD4309" s="508">
        <v>1.4999999999999999E-2</v>
      </c>
      <c r="AE4309" s="508">
        <v>1.4999999999999999E-2</v>
      </c>
      <c r="AF4309" s="508">
        <v>8.9999999999999993E-3</v>
      </c>
      <c r="AG4309" s="508">
        <v>8.9999999999999993E-3</v>
      </c>
      <c r="AH4309" s="508">
        <v>8.9999999999999993E-3</v>
      </c>
      <c r="AI4309" s="492">
        <v>8.9999999999999993E-3</v>
      </c>
      <c r="AJ4309" s="485"/>
    </row>
    <row r="4310" spans="2:36">
      <c r="B4310" s="136" t="s">
        <v>436</v>
      </c>
      <c r="C4310" s="132" t="s">
        <v>1376</v>
      </c>
      <c r="D4310" s="132" t="s">
        <v>284</v>
      </c>
      <c r="E4310" s="508">
        <v>0.80600000000000005</v>
      </c>
      <c r="F4310" s="508">
        <v>0.66900000000000004</v>
      </c>
      <c r="G4310" s="508">
        <v>0.60299999999999998</v>
      </c>
      <c r="H4310" s="508">
        <v>0.48099999999999998</v>
      </c>
      <c r="I4310" s="508">
        <v>0.45400000000000001</v>
      </c>
      <c r="J4310" s="508">
        <v>0.42099999999999999</v>
      </c>
      <c r="K4310" s="508">
        <v>0.29099999999999998</v>
      </c>
      <c r="L4310" s="508">
        <v>0.28100000000000003</v>
      </c>
      <c r="M4310" s="508">
        <v>0.27300000000000002</v>
      </c>
      <c r="N4310" s="508">
        <v>0.28599999999999998</v>
      </c>
      <c r="O4310" s="508">
        <v>0.249</v>
      </c>
      <c r="P4310" s="508">
        <v>0.17699999999999999</v>
      </c>
      <c r="Q4310" s="508">
        <v>0.14499999999999999</v>
      </c>
      <c r="R4310" s="508">
        <v>0.152</v>
      </c>
      <c r="S4310" s="508">
        <v>0.17299999999999999</v>
      </c>
      <c r="T4310" s="508">
        <v>0.14199999999999999</v>
      </c>
      <c r="U4310" s="508">
        <v>0.13</v>
      </c>
      <c r="V4310" s="508">
        <v>6.7000000000000004E-2</v>
      </c>
      <c r="W4310" s="508">
        <v>8.6999999999999994E-2</v>
      </c>
      <c r="X4310" s="508">
        <v>2.8000000000000001E-2</v>
      </c>
      <c r="Y4310" s="508">
        <v>2.8000000000000001E-2</v>
      </c>
      <c r="Z4310" s="508">
        <v>2.3E-2</v>
      </c>
      <c r="AA4310" s="508">
        <v>2.1999999999999999E-2</v>
      </c>
      <c r="AB4310" s="508">
        <v>0.02</v>
      </c>
      <c r="AC4310" s="508">
        <v>1.9E-2</v>
      </c>
      <c r="AD4310" s="508">
        <v>1.7000000000000001E-2</v>
      </c>
      <c r="AE4310" s="508">
        <v>1.7000000000000001E-2</v>
      </c>
      <c r="AF4310" s="508">
        <v>1.0999999999999999E-2</v>
      </c>
      <c r="AG4310" s="508">
        <v>1.0999999999999999E-2</v>
      </c>
      <c r="AH4310" s="508">
        <v>1.0999999999999999E-2</v>
      </c>
      <c r="AI4310" s="492">
        <v>1.0999999999999999E-2</v>
      </c>
      <c r="AJ4310" s="485"/>
    </row>
    <row r="4311" spans="2:36">
      <c r="B4311" s="136" t="s">
        <v>437</v>
      </c>
      <c r="C4311" s="132" t="s">
        <v>1376</v>
      </c>
      <c r="D4311" s="132" t="s">
        <v>284</v>
      </c>
      <c r="E4311" s="508">
        <v>0.22500000000000001</v>
      </c>
      <c r="F4311" s="508">
        <v>0.19700000000000001</v>
      </c>
      <c r="G4311" s="508">
        <v>0.182</v>
      </c>
      <c r="H4311" s="508">
        <v>0.14499999999999999</v>
      </c>
      <c r="I4311" s="508">
        <v>0.13900000000000001</v>
      </c>
      <c r="J4311" s="508">
        <v>0.13500000000000001</v>
      </c>
      <c r="K4311" s="508">
        <v>9.5000000000000001E-2</v>
      </c>
      <c r="L4311" s="508">
        <v>9.1999999999999998E-2</v>
      </c>
      <c r="M4311" s="508">
        <v>9.0999999999999998E-2</v>
      </c>
      <c r="N4311" s="508">
        <v>0.09</v>
      </c>
      <c r="O4311" s="508">
        <v>8.4000000000000005E-2</v>
      </c>
      <c r="P4311" s="508">
        <v>6.0999999999999999E-2</v>
      </c>
      <c r="Q4311" s="508">
        <v>4.8000000000000001E-2</v>
      </c>
      <c r="R4311" s="508">
        <v>5.0999999999999997E-2</v>
      </c>
      <c r="S4311" s="508">
        <v>6.0999999999999999E-2</v>
      </c>
      <c r="T4311" s="508">
        <v>0.05</v>
      </c>
      <c r="U4311" s="508">
        <v>4.2999999999999997E-2</v>
      </c>
      <c r="V4311" s="508">
        <v>2.1999999999999999E-2</v>
      </c>
      <c r="W4311" s="508">
        <v>2.9000000000000001E-2</v>
      </c>
      <c r="X4311" s="508">
        <v>2.3E-2</v>
      </c>
      <c r="Y4311" s="508">
        <v>2.3E-2</v>
      </c>
      <c r="Z4311" s="508">
        <v>1.9E-2</v>
      </c>
      <c r="AA4311" s="508">
        <v>1.9E-2</v>
      </c>
      <c r="AB4311" s="508">
        <v>1.7000000000000001E-2</v>
      </c>
      <c r="AC4311" s="508">
        <v>1.7000000000000001E-2</v>
      </c>
      <c r="AD4311" s="508">
        <v>1.4999999999999999E-2</v>
      </c>
      <c r="AE4311" s="508">
        <v>1.4999999999999999E-2</v>
      </c>
      <c r="AF4311" s="508">
        <v>0.01</v>
      </c>
      <c r="AG4311" s="508">
        <v>0.01</v>
      </c>
      <c r="AH4311" s="508">
        <v>0.01</v>
      </c>
      <c r="AI4311" s="492">
        <v>0.01</v>
      </c>
      <c r="AJ4311" s="485"/>
    </row>
    <row r="4312" spans="2:36">
      <c r="B4312" s="136" t="s">
        <v>438</v>
      </c>
      <c r="C4312" s="132" t="s">
        <v>1376</v>
      </c>
      <c r="D4312" s="132" t="s">
        <v>284</v>
      </c>
      <c r="E4312" s="508">
        <v>0.27</v>
      </c>
      <c r="F4312" s="508">
        <v>0.23400000000000001</v>
      </c>
      <c r="G4312" s="508">
        <v>0.216</v>
      </c>
      <c r="H4312" s="508">
        <v>0.17599999999999999</v>
      </c>
      <c r="I4312" s="508">
        <v>0.16800000000000001</v>
      </c>
      <c r="J4312" s="508">
        <v>0.158</v>
      </c>
      <c r="K4312" s="508">
        <v>0.107</v>
      </c>
      <c r="L4312" s="508">
        <v>0.105</v>
      </c>
      <c r="M4312" s="508">
        <v>0.10199999999999999</v>
      </c>
      <c r="N4312" s="508">
        <v>0.114</v>
      </c>
      <c r="O4312" s="508">
        <v>9.6000000000000002E-2</v>
      </c>
      <c r="P4312" s="508">
        <v>6.9000000000000006E-2</v>
      </c>
      <c r="Q4312" s="508">
        <v>5.7000000000000002E-2</v>
      </c>
      <c r="R4312" s="508">
        <v>0.06</v>
      </c>
      <c r="S4312" s="508">
        <v>6.9000000000000006E-2</v>
      </c>
      <c r="T4312" s="508">
        <v>5.7000000000000002E-2</v>
      </c>
      <c r="U4312" s="508">
        <v>5.2999999999999999E-2</v>
      </c>
      <c r="V4312" s="508">
        <v>2.7E-2</v>
      </c>
      <c r="W4312" s="508">
        <v>3.5000000000000003E-2</v>
      </c>
      <c r="X4312" s="508">
        <v>2.4E-2</v>
      </c>
      <c r="Y4312" s="508">
        <v>2.4E-2</v>
      </c>
      <c r="Z4312" s="508">
        <v>0.02</v>
      </c>
      <c r="AA4312" s="508">
        <v>1.9E-2</v>
      </c>
      <c r="AB4312" s="508">
        <v>1.7000000000000001E-2</v>
      </c>
      <c r="AC4312" s="508">
        <v>1.7000000000000001E-2</v>
      </c>
      <c r="AD4312" s="508">
        <v>1.4999999999999999E-2</v>
      </c>
      <c r="AE4312" s="508">
        <v>1.4999999999999999E-2</v>
      </c>
      <c r="AF4312" s="508">
        <v>0.01</v>
      </c>
      <c r="AG4312" s="508">
        <v>0.01</v>
      </c>
      <c r="AH4312" s="508">
        <v>0.01</v>
      </c>
      <c r="AI4312" s="492">
        <v>0.01</v>
      </c>
      <c r="AJ4312" s="485"/>
    </row>
    <row r="4313" spans="2:36">
      <c r="B4313" s="136" t="s">
        <v>439</v>
      </c>
      <c r="C4313" s="132" t="s">
        <v>1376</v>
      </c>
      <c r="D4313" s="132" t="s">
        <v>284</v>
      </c>
      <c r="E4313" s="508">
        <v>0.30399999999999999</v>
      </c>
      <c r="F4313" s="508">
        <v>0.26900000000000002</v>
      </c>
      <c r="G4313" s="508">
        <v>0.247</v>
      </c>
      <c r="H4313" s="508">
        <v>0.191</v>
      </c>
      <c r="I4313" s="508">
        <v>0.183</v>
      </c>
      <c r="J4313" s="508">
        <v>0.186</v>
      </c>
      <c r="K4313" s="508">
        <v>0.128</v>
      </c>
      <c r="L4313" s="508">
        <v>0.125</v>
      </c>
      <c r="M4313" s="508">
        <v>0.122</v>
      </c>
      <c r="N4313" s="508">
        <v>0.115</v>
      </c>
      <c r="O4313" s="508">
        <v>0.115</v>
      </c>
      <c r="P4313" s="508">
        <v>8.5000000000000006E-2</v>
      </c>
      <c r="Q4313" s="508">
        <v>6.5000000000000002E-2</v>
      </c>
      <c r="R4313" s="508">
        <v>6.9000000000000006E-2</v>
      </c>
      <c r="S4313" s="508">
        <v>8.5999999999999993E-2</v>
      </c>
      <c r="T4313" s="508">
        <v>7.0000000000000007E-2</v>
      </c>
      <c r="U4313" s="508">
        <v>5.6000000000000001E-2</v>
      </c>
      <c r="V4313" s="508">
        <v>2.8000000000000001E-2</v>
      </c>
      <c r="W4313" s="508">
        <v>3.7999999999999999E-2</v>
      </c>
      <c r="X4313" s="508">
        <v>2.4E-2</v>
      </c>
      <c r="Y4313" s="508">
        <v>2.4E-2</v>
      </c>
      <c r="Z4313" s="508">
        <v>1.9E-2</v>
      </c>
      <c r="AA4313" s="508">
        <v>1.9E-2</v>
      </c>
      <c r="AB4313" s="508">
        <v>1.7000000000000001E-2</v>
      </c>
      <c r="AC4313" s="508">
        <v>1.7000000000000001E-2</v>
      </c>
      <c r="AD4313" s="508">
        <v>1.4999999999999999E-2</v>
      </c>
      <c r="AE4313" s="508">
        <v>1.4999999999999999E-2</v>
      </c>
      <c r="AF4313" s="508">
        <v>0.01</v>
      </c>
      <c r="AG4313" s="508">
        <v>0.01</v>
      </c>
      <c r="AH4313" s="508">
        <v>0.01</v>
      </c>
      <c r="AI4313" s="492">
        <v>0.01</v>
      </c>
      <c r="AJ4313" s="485"/>
    </row>
    <row r="4314" spans="2:36">
      <c r="B4314" s="136" t="s">
        <v>440</v>
      </c>
      <c r="C4314" s="132" t="s">
        <v>1376</v>
      </c>
      <c r="D4314" s="132" t="s">
        <v>284</v>
      </c>
      <c r="E4314" s="508">
        <v>0.45800000000000002</v>
      </c>
      <c r="F4314" s="508">
        <v>0.39</v>
      </c>
      <c r="G4314" s="508">
        <v>0.35599999999999998</v>
      </c>
      <c r="H4314" s="508">
        <v>0.28100000000000003</v>
      </c>
      <c r="I4314" s="508">
        <v>0.26700000000000002</v>
      </c>
      <c r="J4314" s="508">
        <v>0.25700000000000001</v>
      </c>
      <c r="K4314" s="508">
        <v>0.17899999999999999</v>
      </c>
      <c r="L4314" s="508">
        <v>0.17399999999999999</v>
      </c>
      <c r="M4314" s="508">
        <v>0.16900000000000001</v>
      </c>
      <c r="N4314" s="508">
        <v>0.16900000000000001</v>
      </c>
      <c r="O4314" s="508">
        <v>0.156</v>
      </c>
      <c r="P4314" s="508">
        <v>0.113</v>
      </c>
      <c r="Q4314" s="508">
        <v>8.8999999999999996E-2</v>
      </c>
      <c r="R4314" s="508">
        <v>9.5000000000000001E-2</v>
      </c>
      <c r="S4314" s="508">
        <v>0.112</v>
      </c>
      <c r="T4314" s="508">
        <v>9.1999999999999998E-2</v>
      </c>
      <c r="U4314" s="508">
        <v>8.3000000000000004E-2</v>
      </c>
      <c r="V4314" s="508">
        <v>4.2000000000000003E-2</v>
      </c>
      <c r="W4314" s="508">
        <v>5.5E-2</v>
      </c>
      <c r="X4314" s="508">
        <v>2.5999999999999999E-2</v>
      </c>
      <c r="Y4314" s="508">
        <v>2.5999999999999999E-2</v>
      </c>
      <c r="Z4314" s="508">
        <v>2.1000000000000001E-2</v>
      </c>
      <c r="AA4314" s="508">
        <v>2.1000000000000001E-2</v>
      </c>
      <c r="AB4314" s="508">
        <v>1.9E-2</v>
      </c>
      <c r="AC4314" s="508">
        <v>1.9E-2</v>
      </c>
      <c r="AD4314" s="508">
        <v>1.7000000000000001E-2</v>
      </c>
      <c r="AE4314" s="508">
        <v>1.6E-2</v>
      </c>
      <c r="AF4314" s="508">
        <v>0.01</v>
      </c>
      <c r="AG4314" s="508">
        <v>0.01</v>
      </c>
      <c r="AH4314" s="508">
        <v>0.01</v>
      </c>
      <c r="AI4314" s="492">
        <v>0.01</v>
      </c>
      <c r="AJ4314" s="485"/>
    </row>
    <row r="4315" spans="2:36">
      <c r="B4315" s="136" t="s">
        <v>441</v>
      </c>
      <c r="C4315" s="132" t="s">
        <v>1376</v>
      </c>
      <c r="D4315" s="132" t="s">
        <v>284</v>
      </c>
      <c r="E4315" s="508">
        <v>0.47099999999999997</v>
      </c>
      <c r="F4315" s="508">
        <v>0.41199999999999998</v>
      </c>
      <c r="G4315" s="508">
        <v>0.377</v>
      </c>
      <c r="H4315" s="508">
        <v>0.28699999999999998</v>
      </c>
      <c r="I4315" s="508">
        <v>0.27300000000000002</v>
      </c>
      <c r="J4315" s="508">
        <v>0.28000000000000003</v>
      </c>
      <c r="K4315" s="508">
        <v>0.192</v>
      </c>
      <c r="L4315" s="508">
        <v>0.187</v>
      </c>
      <c r="M4315" s="508">
        <v>0.183</v>
      </c>
      <c r="N4315" s="508">
        <v>0.16700000000000001</v>
      </c>
      <c r="O4315" s="508">
        <v>0.17199999999999999</v>
      </c>
      <c r="P4315" s="508">
        <v>0.128</v>
      </c>
      <c r="Q4315" s="508">
        <v>9.6000000000000002E-2</v>
      </c>
      <c r="R4315" s="508">
        <v>0.10199999999999999</v>
      </c>
      <c r="S4315" s="508">
        <v>0.129</v>
      </c>
      <c r="T4315" s="508">
        <v>0.104</v>
      </c>
      <c r="U4315" s="508">
        <v>9.2999999999999999E-2</v>
      </c>
      <c r="V4315" s="508">
        <v>4.5999999999999999E-2</v>
      </c>
      <c r="W4315" s="508">
        <v>6.2E-2</v>
      </c>
      <c r="X4315" s="508">
        <v>2.9000000000000001E-2</v>
      </c>
      <c r="Y4315" s="508">
        <v>2.8000000000000001E-2</v>
      </c>
      <c r="Z4315" s="508">
        <v>2.3E-2</v>
      </c>
      <c r="AA4315" s="508">
        <v>2.3E-2</v>
      </c>
      <c r="AB4315" s="508">
        <v>0.02</v>
      </c>
      <c r="AC4315" s="508">
        <v>0.02</v>
      </c>
      <c r="AD4315" s="508">
        <v>1.7999999999999999E-2</v>
      </c>
      <c r="AE4315" s="508">
        <v>1.7999999999999999E-2</v>
      </c>
      <c r="AF4315" s="508">
        <v>1.0999999999999999E-2</v>
      </c>
      <c r="AG4315" s="508">
        <v>1.0999999999999999E-2</v>
      </c>
      <c r="AH4315" s="508">
        <v>1.0999999999999999E-2</v>
      </c>
      <c r="AI4315" s="492">
        <v>1.0999999999999999E-2</v>
      </c>
      <c r="AJ4315" s="485"/>
    </row>
    <row r="4316" spans="2:36">
      <c r="B4316" s="136" t="s">
        <v>443</v>
      </c>
      <c r="C4316" s="132" t="s">
        <v>1376</v>
      </c>
      <c r="D4316" s="132" t="s">
        <v>284</v>
      </c>
      <c r="E4316" s="508">
        <v>0.36</v>
      </c>
      <c r="F4316" s="508">
        <v>0.27500000000000002</v>
      </c>
      <c r="G4316" s="508">
        <v>0.246</v>
      </c>
      <c r="H4316" s="508">
        <v>0.21099999999999999</v>
      </c>
      <c r="I4316" s="508">
        <v>0.19900000000000001</v>
      </c>
      <c r="J4316" s="508">
        <v>0.155</v>
      </c>
      <c r="K4316" s="508">
        <v>0.122</v>
      </c>
      <c r="L4316" s="508">
        <v>0.11799999999999999</v>
      </c>
      <c r="M4316" s="508">
        <v>0.114</v>
      </c>
      <c r="N4316" s="508">
        <v>0.126</v>
      </c>
      <c r="O4316" s="508">
        <v>9.0999999999999998E-2</v>
      </c>
      <c r="P4316" s="508">
        <v>6.4000000000000001E-2</v>
      </c>
      <c r="Q4316" s="508">
        <v>5.6000000000000001E-2</v>
      </c>
      <c r="R4316" s="508">
        <v>5.8999999999999997E-2</v>
      </c>
      <c r="S4316" s="508">
        <v>5.8000000000000003E-2</v>
      </c>
      <c r="T4316" s="508">
        <v>4.8000000000000001E-2</v>
      </c>
      <c r="U4316" s="508">
        <v>4.4999999999999998E-2</v>
      </c>
      <c r="V4316" s="508">
        <v>2.5000000000000001E-2</v>
      </c>
      <c r="W4316" s="508">
        <v>0.03</v>
      </c>
      <c r="X4316" s="508">
        <v>0.02</v>
      </c>
      <c r="Y4316" s="508">
        <v>0.02</v>
      </c>
      <c r="Z4316" s="508">
        <v>1.6E-2</v>
      </c>
      <c r="AA4316" s="508">
        <v>1.6E-2</v>
      </c>
      <c r="AB4316" s="508">
        <v>1.4E-2</v>
      </c>
      <c r="AC4316" s="508">
        <v>1.4E-2</v>
      </c>
      <c r="AD4316" s="508">
        <v>1.2999999999999999E-2</v>
      </c>
      <c r="AE4316" s="508">
        <v>1.2E-2</v>
      </c>
      <c r="AF4316" s="508">
        <v>8.0000000000000002E-3</v>
      </c>
      <c r="AG4316" s="508">
        <v>8.0000000000000002E-3</v>
      </c>
      <c r="AH4316" s="508">
        <v>8.0000000000000002E-3</v>
      </c>
      <c r="AI4316" s="492">
        <v>8.0000000000000002E-3</v>
      </c>
      <c r="AJ4316" s="485"/>
    </row>
    <row r="4317" spans="2:36">
      <c r="B4317" s="136" t="s">
        <v>445</v>
      </c>
      <c r="C4317" s="132" t="s">
        <v>1376</v>
      </c>
      <c r="D4317" s="132" t="s">
        <v>284</v>
      </c>
      <c r="E4317" s="508">
        <v>0.39800000000000002</v>
      </c>
      <c r="F4317" s="508">
        <v>0.308</v>
      </c>
      <c r="G4317" s="508">
        <v>0.27700000000000002</v>
      </c>
      <c r="H4317" s="508">
        <v>0.22700000000000001</v>
      </c>
      <c r="I4317" s="508">
        <v>0.214</v>
      </c>
      <c r="J4317" s="508">
        <v>0.18099999999999999</v>
      </c>
      <c r="K4317" s="508">
        <v>0.14499999999999999</v>
      </c>
      <c r="L4317" s="508">
        <v>0.14099999999999999</v>
      </c>
      <c r="M4317" s="508">
        <v>0.13700000000000001</v>
      </c>
      <c r="N4317" s="508">
        <v>0.124</v>
      </c>
      <c r="O4317" s="508">
        <v>0.11</v>
      </c>
      <c r="P4317" s="508">
        <v>8.1000000000000003E-2</v>
      </c>
      <c r="Q4317" s="508">
        <v>6.3E-2</v>
      </c>
      <c r="R4317" s="508">
        <v>6.7000000000000004E-2</v>
      </c>
      <c r="S4317" s="508">
        <v>7.3999999999999996E-2</v>
      </c>
      <c r="T4317" s="508">
        <v>0.06</v>
      </c>
      <c r="U4317" s="508">
        <v>5.3999999999999999E-2</v>
      </c>
      <c r="V4317" s="508">
        <v>2.9000000000000001E-2</v>
      </c>
      <c r="W4317" s="508">
        <v>3.5999999999999997E-2</v>
      </c>
      <c r="X4317" s="508">
        <v>2.1999999999999999E-2</v>
      </c>
      <c r="Y4317" s="508">
        <v>2.1999999999999999E-2</v>
      </c>
      <c r="Z4317" s="508">
        <v>1.7999999999999999E-2</v>
      </c>
      <c r="AA4317" s="508">
        <v>1.7999999999999999E-2</v>
      </c>
      <c r="AB4317" s="508">
        <v>1.6E-2</v>
      </c>
      <c r="AC4317" s="508">
        <v>1.6E-2</v>
      </c>
      <c r="AD4317" s="508">
        <v>1.4E-2</v>
      </c>
      <c r="AE4317" s="508">
        <v>1.4E-2</v>
      </c>
      <c r="AF4317" s="508">
        <v>8.9999999999999993E-3</v>
      </c>
      <c r="AG4317" s="508">
        <v>8.9999999999999993E-3</v>
      </c>
      <c r="AH4317" s="508">
        <v>8.9999999999999993E-3</v>
      </c>
      <c r="AI4317" s="492">
        <v>8.9999999999999993E-3</v>
      </c>
      <c r="AJ4317" s="485"/>
    </row>
    <row r="4318" spans="2:36">
      <c r="B4318" s="136" t="s">
        <v>446</v>
      </c>
      <c r="C4318" s="132" t="s">
        <v>1376</v>
      </c>
      <c r="D4318" s="132" t="s">
        <v>284</v>
      </c>
      <c r="E4318" s="508">
        <v>0.23300000000000001</v>
      </c>
      <c r="F4318" s="508">
        <v>0.188</v>
      </c>
      <c r="G4318" s="508">
        <v>0.17199999999999999</v>
      </c>
      <c r="H4318" s="508">
        <v>0.14299999999999999</v>
      </c>
      <c r="I4318" s="508">
        <v>0.13600000000000001</v>
      </c>
      <c r="J4318" s="508">
        <v>0.11799999999999999</v>
      </c>
      <c r="K4318" s="508">
        <v>0.09</v>
      </c>
      <c r="L4318" s="508">
        <v>8.7999999999999995E-2</v>
      </c>
      <c r="M4318" s="508">
        <v>8.5999999999999993E-2</v>
      </c>
      <c r="N4318" s="508">
        <v>8.5000000000000006E-2</v>
      </c>
      <c r="O4318" s="508">
        <v>7.2999999999999995E-2</v>
      </c>
      <c r="P4318" s="508">
        <v>5.2999999999999999E-2</v>
      </c>
      <c r="Q4318" s="508">
        <v>4.2999999999999997E-2</v>
      </c>
      <c r="R4318" s="508">
        <v>4.4999999999999998E-2</v>
      </c>
      <c r="S4318" s="508">
        <v>0.05</v>
      </c>
      <c r="T4318" s="508">
        <v>4.1000000000000002E-2</v>
      </c>
      <c r="U4318" s="508">
        <v>4.1000000000000002E-2</v>
      </c>
      <c r="V4318" s="508">
        <v>2.1999999999999999E-2</v>
      </c>
      <c r="W4318" s="508">
        <v>2.7E-2</v>
      </c>
      <c r="X4318" s="508">
        <v>2.4E-2</v>
      </c>
      <c r="Y4318" s="508">
        <v>2.3E-2</v>
      </c>
      <c r="Z4318" s="508">
        <v>1.9E-2</v>
      </c>
      <c r="AA4318" s="508">
        <v>1.9E-2</v>
      </c>
      <c r="AB4318" s="508">
        <v>1.7000000000000001E-2</v>
      </c>
      <c r="AC4318" s="508">
        <v>1.7000000000000001E-2</v>
      </c>
      <c r="AD4318" s="508">
        <v>1.4999999999999999E-2</v>
      </c>
      <c r="AE4318" s="508">
        <v>1.4999999999999999E-2</v>
      </c>
      <c r="AF4318" s="508">
        <v>0.01</v>
      </c>
      <c r="AG4318" s="508">
        <v>0.01</v>
      </c>
      <c r="AH4318" s="508">
        <v>0.01</v>
      </c>
      <c r="AI4318" s="492">
        <v>0.01</v>
      </c>
      <c r="AJ4318" s="485"/>
    </row>
    <row r="4319" spans="2:36">
      <c r="B4319" s="136" t="s">
        <v>448</v>
      </c>
      <c r="C4319" s="132" t="s">
        <v>1376</v>
      </c>
      <c r="D4319" s="132" t="s">
        <v>284</v>
      </c>
      <c r="E4319" s="508">
        <v>0.26300000000000001</v>
      </c>
      <c r="F4319" s="508">
        <v>0.22700000000000001</v>
      </c>
      <c r="G4319" s="508">
        <v>0.20799999999999999</v>
      </c>
      <c r="H4319" s="508">
        <v>0.17</v>
      </c>
      <c r="I4319" s="508">
        <v>0.16200000000000001</v>
      </c>
      <c r="J4319" s="508">
        <v>0.152</v>
      </c>
      <c r="K4319" s="508">
        <v>0.105</v>
      </c>
      <c r="L4319" s="508">
        <v>0.10199999999999999</v>
      </c>
      <c r="M4319" s="508">
        <v>0.1</v>
      </c>
      <c r="N4319" s="508">
        <v>0.108</v>
      </c>
      <c r="O4319" s="508">
        <v>9.1999999999999998E-2</v>
      </c>
      <c r="P4319" s="508">
        <v>6.6000000000000003E-2</v>
      </c>
      <c r="Q4319" s="508">
        <v>5.3999999999999999E-2</v>
      </c>
      <c r="R4319" s="508">
        <v>5.8000000000000003E-2</v>
      </c>
      <c r="S4319" s="508">
        <v>6.6000000000000003E-2</v>
      </c>
      <c r="T4319" s="508">
        <v>5.3999999999999999E-2</v>
      </c>
      <c r="U4319" s="508">
        <v>5.3999999999999999E-2</v>
      </c>
      <c r="V4319" s="508">
        <v>2.8000000000000001E-2</v>
      </c>
      <c r="W4319" s="508">
        <v>3.5999999999999997E-2</v>
      </c>
      <c r="X4319" s="508">
        <v>2.5000000000000001E-2</v>
      </c>
      <c r="Y4319" s="508">
        <v>2.5000000000000001E-2</v>
      </c>
      <c r="Z4319" s="508">
        <v>2.1000000000000001E-2</v>
      </c>
      <c r="AA4319" s="508">
        <v>2.1000000000000001E-2</v>
      </c>
      <c r="AB4319" s="508">
        <v>1.7999999999999999E-2</v>
      </c>
      <c r="AC4319" s="508">
        <v>1.7999999999999999E-2</v>
      </c>
      <c r="AD4319" s="508">
        <v>1.6E-2</v>
      </c>
      <c r="AE4319" s="508">
        <v>1.6E-2</v>
      </c>
      <c r="AF4319" s="508">
        <v>0.01</v>
      </c>
      <c r="AG4319" s="508">
        <v>0.01</v>
      </c>
      <c r="AH4319" s="508">
        <v>0.01</v>
      </c>
      <c r="AI4319" s="492">
        <v>0.01</v>
      </c>
      <c r="AJ4319" s="485"/>
    </row>
    <row r="4320" spans="2:36">
      <c r="B4320" s="136" t="s">
        <v>449</v>
      </c>
      <c r="C4320" s="132" t="s">
        <v>1376</v>
      </c>
      <c r="D4320" s="132" t="s">
        <v>284</v>
      </c>
      <c r="E4320" s="508">
        <v>0.22600000000000001</v>
      </c>
      <c r="F4320" s="508">
        <v>0.18099999999999999</v>
      </c>
      <c r="G4320" s="508">
        <v>0.16400000000000001</v>
      </c>
      <c r="H4320" s="508">
        <v>0.13800000000000001</v>
      </c>
      <c r="I4320" s="508">
        <v>0.13100000000000001</v>
      </c>
      <c r="J4320" s="508">
        <v>0.111</v>
      </c>
      <c r="K4320" s="508">
        <v>8.5000000000000006E-2</v>
      </c>
      <c r="L4320" s="508">
        <v>8.2000000000000003E-2</v>
      </c>
      <c r="M4320" s="508">
        <v>0.08</v>
      </c>
      <c r="N4320" s="508">
        <v>8.4000000000000005E-2</v>
      </c>
      <c r="O4320" s="508">
        <v>6.8000000000000005E-2</v>
      </c>
      <c r="P4320" s="508">
        <v>4.9000000000000002E-2</v>
      </c>
      <c r="Q4320" s="508">
        <v>0.04</v>
      </c>
      <c r="R4320" s="508">
        <v>4.2999999999999997E-2</v>
      </c>
      <c r="S4320" s="508">
        <v>4.5999999999999999E-2</v>
      </c>
      <c r="T4320" s="508">
        <v>3.7999999999999999E-2</v>
      </c>
      <c r="U4320" s="508">
        <v>3.5999999999999997E-2</v>
      </c>
      <c r="V4320" s="508">
        <v>1.9E-2</v>
      </c>
      <c r="W4320" s="508">
        <v>2.4E-2</v>
      </c>
      <c r="X4320" s="508">
        <v>2.1000000000000001E-2</v>
      </c>
      <c r="Y4320" s="508">
        <v>2.1000000000000001E-2</v>
      </c>
      <c r="Z4320" s="508">
        <v>1.7000000000000001E-2</v>
      </c>
      <c r="AA4320" s="508">
        <v>1.7000000000000001E-2</v>
      </c>
      <c r="AB4320" s="508">
        <v>1.4999999999999999E-2</v>
      </c>
      <c r="AC4320" s="508">
        <v>1.4999999999999999E-2</v>
      </c>
      <c r="AD4320" s="508">
        <v>1.4E-2</v>
      </c>
      <c r="AE4320" s="508">
        <v>1.4E-2</v>
      </c>
      <c r="AF4320" s="508">
        <v>8.9999999999999993E-3</v>
      </c>
      <c r="AG4320" s="508">
        <v>8.9999999999999993E-3</v>
      </c>
      <c r="AH4320" s="508">
        <v>8.9999999999999993E-3</v>
      </c>
      <c r="AI4320" s="492">
        <v>8.9999999999999993E-3</v>
      </c>
      <c r="AJ4320" s="485"/>
    </row>
    <row r="4321" spans="2:36">
      <c r="B4321" s="136" t="s">
        <v>450</v>
      </c>
      <c r="C4321" s="132" t="s">
        <v>1376</v>
      </c>
      <c r="D4321" s="132" t="s">
        <v>284</v>
      </c>
      <c r="E4321" s="508">
        <v>0.437</v>
      </c>
      <c r="F4321" s="508">
        <v>0.36099999999999999</v>
      </c>
      <c r="G4321" s="508">
        <v>0.32700000000000001</v>
      </c>
      <c r="H4321" s="508">
        <v>0.27</v>
      </c>
      <c r="I4321" s="508">
        <v>0.25600000000000001</v>
      </c>
      <c r="J4321" s="508">
        <v>0.22700000000000001</v>
      </c>
      <c r="K4321" s="508">
        <v>0.159</v>
      </c>
      <c r="L4321" s="508">
        <v>0.154</v>
      </c>
      <c r="M4321" s="508">
        <v>0.15</v>
      </c>
      <c r="N4321" s="508">
        <v>0.16800000000000001</v>
      </c>
      <c r="O4321" s="508">
        <v>0.13500000000000001</v>
      </c>
      <c r="P4321" s="508">
        <v>9.5000000000000001E-2</v>
      </c>
      <c r="Q4321" s="508">
        <v>8.1000000000000003E-2</v>
      </c>
      <c r="R4321" s="508">
        <v>8.5000000000000006E-2</v>
      </c>
      <c r="S4321" s="508">
        <v>9.1999999999999998E-2</v>
      </c>
      <c r="T4321" s="508">
        <v>7.5999999999999998E-2</v>
      </c>
      <c r="U4321" s="508">
        <v>7.0000000000000007E-2</v>
      </c>
      <c r="V4321" s="508">
        <v>3.6999999999999998E-2</v>
      </c>
      <c r="W4321" s="508">
        <v>4.5999999999999999E-2</v>
      </c>
      <c r="X4321" s="508">
        <v>2.3E-2</v>
      </c>
      <c r="Y4321" s="508">
        <v>2.3E-2</v>
      </c>
      <c r="Z4321" s="508">
        <v>1.9E-2</v>
      </c>
      <c r="AA4321" s="508">
        <v>1.9E-2</v>
      </c>
      <c r="AB4321" s="508">
        <v>1.7000000000000001E-2</v>
      </c>
      <c r="AC4321" s="508">
        <v>1.6E-2</v>
      </c>
      <c r="AD4321" s="508">
        <v>1.4999999999999999E-2</v>
      </c>
      <c r="AE4321" s="508">
        <v>1.4999999999999999E-2</v>
      </c>
      <c r="AF4321" s="508">
        <v>8.9999999999999993E-3</v>
      </c>
      <c r="AG4321" s="508">
        <v>8.9999999999999993E-3</v>
      </c>
      <c r="AH4321" s="508">
        <v>8.9999999999999993E-3</v>
      </c>
      <c r="AI4321" s="492">
        <v>8.9999999999999993E-3</v>
      </c>
      <c r="AJ4321" s="485"/>
    </row>
    <row r="4322" spans="2:36">
      <c r="B4322" s="136" t="s">
        <v>451</v>
      </c>
      <c r="C4322" s="132" t="s">
        <v>1376</v>
      </c>
      <c r="D4322" s="132" t="s">
        <v>284</v>
      </c>
      <c r="E4322" s="508">
        <v>0.47899999999999998</v>
      </c>
      <c r="F4322" s="508">
        <v>0.38800000000000001</v>
      </c>
      <c r="G4322" s="508">
        <v>0.35099999999999998</v>
      </c>
      <c r="H4322" s="508">
        <v>0.27900000000000003</v>
      </c>
      <c r="I4322" s="508">
        <v>0.26300000000000001</v>
      </c>
      <c r="J4322" s="508">
        <v>0.24199999999999999</v>
      </c>
      <c r="K4322" s="508">
        <v>0.18099999999999999</v>
      </c>
      <c r="L4322" s="508">
        <v>0.17599999999999999</v>
      </c>
      <c r="M4322" s="508">
        <v>0.17100000000000001</v>
      </c>
      <c r="N4322" s="508">
        <v>0.155</v>
      </c>
      <c r="O4322" s="508">
        <v>0.14699999999999999</v>
      </c>
      <c r="P4322" s="508">
        <v>0.109</v>
      </c>
      <c r="Q4322" s="508">
        <v>8.3000000000000004E-2</v>
      </c>
      <c r="R4322" s="508">
        <v>8.7999999999999995E-2</v>
      </c>
      <c r="S4322" s="508">
        <v>0.104</v>
      </c>
      <c r="T4322" s="508">
        <v>8.4000000000000005E-2</v>
      </c>
      <c r="U4322" s="508">
        <v>7.0999999999999994E-2</v>
      </c>
      <c r="V4322" s="508">
        <v>3.6999999999999998E-2</v>
      </c>
      <c r="W4322" s="508">
        <v>4.8000000000000001E-2</v>
      </c>
      <c r="X4322" s="508">
        <v>2.4E-2</v>
      </c>
      <c r="Y4322" s="508">
        <v>2.4E-2</v>
      </c>
      <c r="Z4322" s="508">
        <v>1.9E-2</v>
      </c>
      <c r="AA4322" s="508">
        <v>1.9E-2</v>
      </c>
      <c r="AB4322" s="508">
        <v>1.7000000000000001E-2</v>
      </c>
      <c r="AC4322" s="508">
        <v>1.7000000000000001E-2</v>
      </c>
      <c r="AD4322" s="508">
        <v>1.4999999999999999E-2</v>
      </c>
      <c r="AE4322" s="508">
        <v>1.4999999999999999E-2</v>
      </c>
      <c r="AF4322" s="508">
        <v>0.01</v>
      </c>
      <c r="AG4322" s="508">
        <v>0.01</v>
      </c>
      <c r="AH4322" s="508">
        <v>0.01</v>
      </c>
      <c r="AI4322" s="492">
        <v>0.01</v>
      </c>
      <c r="AJ4322" s="485"/>
    </row>
    <row r="4323" spans="2:36">
      <c r="B4323" s="136" t="s">
        <v>452</v>
      </c>
      <c r="C4323" s="132" t="s">
        <v>1376</v>
      </c>
      <c r="D4323" s="132" t="s">
        <v>284</v>
      </c>
      <c r="E4323" s="508">
        <v>0.40799999999999997</v>
      </c>
      <c r="F4323" s="508">
        <v>0.33</v>
      </c>
      <c r="G4323" s="508">
        <v>0.29799999999999999</v>
      </c>
      <c r="H4323" s="508">
        <v>0.247</v>
      </c>
      <c r="I4323" s="508">
        <v>0.23300000000000001</v>
      </c>
      <c r="J4323" s="508">
        <v>0.20300000000000001</v>
      </c>
      <c r="K4323" s="508">
        <v>0.14899999999999999</v>
      </c>
      <c r="L4323" s="508">
        <v>0.14399999999999999</v>
      </c>
      <c r="M4323" s="508">
        <v>0.14000000000000001</v>
      </c>
      <c r="N4323" s="508">
        <v>0.14899999999999999</v>
      </c>
      <c r="O4323" s="508">
        <v>0.121</v>
      </c>
      <c r="P4323" s="508">
        <v>8.5999999999999993E-2</v>
      </c>
      <c r="Q4323" s="508">
        <v>7.1999999999999995E-2</v>
      </c>
      <c r="R4323" s="508">
        <v>7.5999999999999998E-2</v>
      </c>
      <c r="S4323" s="508">
        <v>8.2000000000000003E-2</v>
      </c>
      <c r="T4323" s="508">
        <v>6.8000000000000005E-2</v>
      </c>
      <c r="U4323" s="508">
        <v>0.06</v>
      </c>
      <c r="V4323" s="508">
        <v>3.2000000000000001E-2</v>
      </c>
      <c r="W4323" s="508">
        <v>0.04</v>
      </c>
      <c r="X4323" s="508">
        <v>2.1999999999999999E-2</v>
      </c>
      <c r="Y4323" s="508">
        <v>2.1999999999999999E-2</v>
      </c>
      <c r="Z4323" s="508">
        <v>1.7999999999999999E-2</v>
      </c>
      <c r="AA4323" s="508">
        <v>1.7999999999999999E-2</v>
      </c>
      <c r="AB4323" s="508">
        <v>1.6E-2</v>
      </c>
      <c r="AC4323" s="508">
        <v>1.6E-2</v>
      </c>
      <c r="AD4323" s="508">
        <v>1.4E-2</v>
      </c>
      <c r="AE4323" s="508">
        <v>1.4E-2</v>
      </c>
      <c r="AF4323" s="508">
        <v>8.9999999999999993E-3</v>
      </c>
      <c r="AG4323" s="508">
        <v>8.9999999999999993E-3</v>
      </c>
      <c r="AH4323" s="508">
        <v>8.9999999999999993E-3</v>
      </c>
      <c r="AI4323" s="492">
        <v>8.9999999999999993E-3</v>
      </c>
      <c r="AJ4323" s="485"/>
    </row>
    <row r="4324" spans="2:36">
      <c r="B4324" s="136" t="s">
        <v>453</v>
      </c>
      <c r="C4324" s="132" t="s">
        <v>1376</v>
      </c>
      <c r="D4324" s="132" t="s">
        <v>284</v>
      </c>
      <c r="E4324" s="508">
        <v>0.42799999999999999</v>
      </c>
      <c r="F4324" s="508">
        <v>0.35499999999999998</v>
      </c>
      <c r="G4324" s="508">
        <v>0.32200000000000001</v>
      </c>
      <c r="H4324" s="508">
        <v>0.26600000000000001</v>
      </c>
      <c r="I4324" s="508">
        <v>0.253</v>
      </c>
      <c r="J4324" s="508">
        <v>0.224</v>
      </c>
      <c r="K4324" s="508">
        <v>0.156</v>
      </c>
      <c r="L4324" s="508">
        <v>0.151</v>
      </c>
      <c r="M4324" s="508">
        <v>0.14699999999999999</v>
      </c>
      <c r="N4324" s="508">
        <v>0.16800000000000001</v>
      </c>
      <c r="O4324" s="508">
        <v>0.13300000000000001</v>
      </c>
      <c r="P4324" s="508">
        <v>9.2999999999999999E-2</v>
      </c>
      <c r="Q4324" s="508">
        <v>0.08</v>
      </c>
      <c r="R4324" s="508">
        <v>8.4000000000000005E-2</v>
      </c>
      <c r="S4324" s="508">
        <v>9.0999999999999998E-2</v>
      </c>
      <c r="T4324" s="508">
        <v>7.4999999999999997E-2</v>
      </c>
      <c r="U4324" s="508">
        <v>7.0999999999999994E-2</v>
      </c>
      <c r="V4324" s="508">
        <v>3.6999999999999998E-2</v>
      </c>
      <c r="W4324" s="508">
        <v>4.7E-2</v>
      </c>
      <c r="X4324" s="508">
        <v>2.4E-2</v>
      </c>
      <c r="Y4324" s="508">
        <v>2.3E-2</v>
      </c>
      <c r="Z4324" s="508">
        <v>1.9E-2</v>
      </c>
      <c r="AA4324" s="508">
        <v>1.9E-2</v>
      </c>
      <c r="AB4324" s="508">
        <v>1.7000000000000001E-2</v>
      </c>
      <c r="AC4324" s="508">
        <v>1.7000000000000001E-2</v>
      </c>
      <c r="AD4324" s="508">
        <v>1.4999999999999999E-2</v>
      </c>
      <c r="AE4324" s="508">
        <v>1.4999999999999999E-2</v>
      </c>
      <c r="AF4324" s="508">
        <v>8.9999999999999993E-3</v>
      </c>
      <c r="AG4324" s="508">
        <v>8.9999999999999993E-3</v>
      </c>
      <c r="AH4324" s="508">
        <v>8.9999999999999993E-3</v>
      </c>
      <c r="AI4324" s="492">
        <v>8.9999999999999993E-3</v>
      </c>
      <c r="AJ4324" s="485"/>
    </row>
    <row r="4325" spans="2:36">
      <c r="B4325" s="136" t="s">
        <v>454</v>
      </c>
      <c r="C4325" s="132" t="s">
        <v>1376</v>
      </c>
      <c r="D4325" s="132" t="s">
        <v>284</v>
      </c>
      <c r="E4325" s="508">
        <v>0.34100000000000003</v>
      </c>
      <c r="F4325" s="508">
        <v>0.28699999999999998</v>
      </c>
      <c r="G4325" s="508">
        <v>0.26200000000000001</v>
      </c>
      <c r="H4325" s="508">
        <v>0.215</v>
      </c>
      <c r="I4325" s="508">
        <v>0.20399999999999999</v>
      </c>
      <c r="J4325" s="508">
        <v>0.186</v>
      </c>
      <c r="K4325" s="508">
        <v>0.13</v>
      </c>
      <c r="L4325" s="508">
        <v>0.126</v>
      </c>
      <c r="M4325" s="508">
        <v>0.123</v>
      </c>
      <c r="N4325" s="508">
        <v>0.13500000000000001</v>
      </c>
      <c r="O4325" s="508">
        <v>0.112</v>
      </c>
      <c r="P4325" s="508">
        <v>0.08</v>
      </c>
      <c r="Q4325" s="508">
        <v>6.6000000000000003E-2</v>
      </c>
      <c r="R4325" s="508">
        <v>7.0000000000000007E-2</v>
      </c>
      <c r="S4325" s="508">
        <v>7.8E-2</v>
      </c>
      <c r="T4325" s="508">
        <v>6.5000000000000002E-2</v>
      </c>
      <c r="U4325" s="508">
        <v>6.0999999999999999E-2</v>
      </c>
      <c r="V4325" s="508">
        <v>3.1E-2</v>
      </c>
      <c r="W4325" s="508">
        <v>0.04</v>
      </c>
      <c r="X4325" s="508">
        <v>2.4E-2</v>
      </c>
      <c r="Y4325" s="508">
        <v>2.4E-2</v>
      </c>
      <c r="Z4325" s="508">
        <v>1.9E-2</v>
      </c>
      <c r="AA4325" s="508">
        <v>1.9E-2</v>
      </c>
      <c r="AB4325" s="508">
        <v>1.7000000000000001E-2</v>
      </c>
      <c r="AC4325" s="508">
        <v>1.7000000000000001E-2</v>
      </c>
      <c r="AD4325" s="508">
        <v>1.4999999999999999E-2</v>
      </c>
      <c r="AE4325" s="508">
        <v>1.4999999999999999E-2</v>
      </c>
      <c r="AF4325" s="508">
        <v>0.01</v>
      </c>
      <c r="AG4325" s="508">
        <v>0.01</v>
      </c>
      <c r="AH4325" s="508">
        <v>0.01</v>
      </c>
      <c r="AI4325" s="492">
        <v>0.01</v>
      </c>
      <c r="AJ4325" s="485"/>
    </row>
    <row r="4326" spans="2:36">
      <c r="B4326" s="136" t="s">
        <v>455</v>
      </c>
      <c r="C4326" s="132" t="s">
        <v>1376</v>
      </c>
      <c r="D4326" s="132" t="s">
        <v>284</v>
      </c>
      <c r="E4326" s="508">
        <v>0.32600000000000001</v>
      </c>
      <c r="F4326" s="508">
        <v>0.28899999999999998</v>
      </c>
      <c r="G4326" s="508">
        <v>0.26600000000000001</v>
      </c>
      <c r="H4326" s="508">
        <v>0.21299999999999999</v>
      </c>
      <c r="I4326" s="508">
        <v>0.20300000000000001</v>
      </c>
      <c r="J4326" s="508">
        <v>0.19800000000000001</v>
      </c>
      <c r="K4326" s="508">
        <v>0.13200000000000001</v>
      </c>
      <c r="L4326" s="508">
        <v>0.129</v>
      </c>
      <c r="M4326" s="508">
        <v>0.126</v>
      </c>
      <c r="N4326" s="508">
        <v>0.13600000000000001</v>
      </c>
      <c r="O4326" s="508">
        <v>0.121</v>
      </c>
      <c r="P4326" s="508">
        <v>8.5999999999999993E-2</v>
      </c>
      <c r="Q4326" s="508">
        <v>7.0000000000000007E-2</v>
      </c>
      <c r="R4326" s="508">
        <v>7.4999999999999997E-2</v>
      </c>
      <c r="S4326" s="508">
        <v>8.6999999999999994E-2</v>
      </c>
      <c r="T4326" s="508">
        <v>7.1999999999999995E-2</v>
      </c>
      <c r="U4326" s="508">
        <v>6.3E-2</v>
      </c>
      <c r="V4326" s="508">
        <v>3.2000000000000001E-2</v>
      </c>
      <c r="W4326" s="508">
        <v>4.2000000000000003E-2</v>
      </c>
      <c r="X4326" s="508">
        <v>2.4E-2</v>
      </c>
      <c r="Y4326" s="508">
        <v>2.4E-2</v>
      </c>
      <c r="Z4326" s="508">
        <v>0.02</v>
      </c>
      <c r="AA4326" s="508">
        <v>1.9E-2</v>
      </c>
      <c r="AB4326" s="508">
        <v>1.7000000000000001E-2</v>
      </c>
      <c r="AC4326" s="508">
        <v>1.7000000000000001E-2</v>
      </c>
      <c r="AD4326" s="508">
        <v>1.4999999999999999E-2</v>
      </c>
      <c r="AE4326" s="508">
        <v>1.4999999999999999E-2</v>
      </c>
      <c r="AF4326" s="508">
        <v>0.01</v>
      </c>
      <c r="AG4326" s="508">
        <v>0.01</v>
      </c>
      <c r="AH4326" s="508">
        <v>0.01</v>
      </c>
      <c r="AI4326" s="492">
        <v>0.01</v>
      </c>
      <c r="AJ4326" s="485"/>
    </row>
    <row r="4327" spans="2:36">
      <c r="B4327" s="136" t="s">
        <v>456</v>
      </c>
      <c r="C4327" s="132" t="s">
        <v>1376</v>
      </c>
      <c r="D4327" s="132" t="s">
        <v>284</v>
      </c>
      <c r="E4327" s="508">
        <v>0.22</v>
      </c>
      <c r="F4327" s="508">
        <v>0.189</v>
      </c>
      <c r="G4327" s="508">
        <v>0.17299999999999999</v>
      </c>
      <c r="H4327" s="508">
        <v>0.14199999999999999</v>
      </c>
      <c r="I4327" s="508">
        <v>0.13600000000000001</v>
      </c>
      <c r="J4327" s="508">
        <v>0.126</v>
      </c>
      <c r="K4327" s="508">
        <v>8.7999999999999995E-2</v>
      </c>
      <c r="L4327" s="508">
        <v>8.5999999999999993E-2</v>
      </c>
      <c r="M4327" s="508">
        <v>8.4000000000000005E-2</v>
      </c>
      <c r="N4327" s="508">
        <v>9.0999999999999998E-2</v>
      </c>
      <c r="O4327" s="508">
        <v>7.6999999999999999E-2</v>
      </c>
      <c r="P4327" s="508">
        <v>5.5E-2</v>
      </c>
      <c r="Q4327" s="508">
        <v>4.4999999999999998E-2</v>
      </c>
      <c r="R4327" s="508">
        <v>4.8000000000000001E-2</v>
      </c>
      <c r="S4327" s="508">
        <v>5.5E-2</v>
      </c>
      <c r="T4327" s="508">
        <v>4.4999999999999998E-2</v>
      </c>
      <c r="U4327" s="508">
        <v>4.4999999999999998E-2</v>
      </c>
      <c r="V4327" s="508">
        <v>2.3E-2</v>
      </c>
      <c r="W4327" s="508">
        <v>0.03</v>
      </c>
      <c r="X4327" s="508">
        <v>2.5000000000000001E-2</v>
      </c>
      <c r="Y4327" s="508">
        <v>2.5000000000000001E-2</v>
      </c>
      <c r="Z4327" s="508">
        <v>0.02</v>
      </c>
      <c r="AA4327" s="508">
        <v>0.02</v>
      </c>
      <c r="AB4327" s="508">
        <v>1.7999999999999999E-2</v>
      </c>
      <c r="AC4327" s="508">
        <v>1.7999999999999999E-2</v>
      </c>
      <c r="AD4327" s="508">
        <v>1.6E-2</v>
      </c>
      <c r="AE4327" s="508">
        <v>1.6E-2</v>
      </c>
      <c r="AF4327" s="508">
        <v>0.01</v>
      </c>
      <c r="AG4327" s="508">
        <v>0.01</v>
      </c>
      <c r="AH4327" s="508">
        <v>0.01</v>
      </c>
      <c r="AI4327" s="492">
        <v>0.01</v>
      </c>
      <c r="AJ4327" s="485"/>
    </row>
    <row r="4328" spans="2:36">
      <c r="B4328" s="136" t="s">
        <v>457</v>
      </c>
      <c r="C4328" s="132" t="s">
        <v>1376</v>
      </c>
      <c r="D4328" s="132" t="s">
        <v>284</v>
      </c>
      <c r="E4328" s="508">
        <v>0.48399999999999999</v>
      </c>
      <c r="F4328" s="508">
        <v>0.40200000000000002</v>
      </c>
      <c r="G4328" s="508">
        <v>0.36399999999999999</v>
      </c>
      <c r="H4328" s="508">
        <v>0.30199999999999999</v>
      </c>
      <c r="I4328" s="508">
        <v>0.28699999999999998</v>
      </c>
      <c r="J4328" s="508">
        <v>0.253</v>
      </c>
      <c r="K4328" s="508">
        <v>0.17299999999999999</v>
      </c>
      <c r="L4328" s="508">
        <v>0.16700000000000001</v>
      </c>
      <c r="M4328" s="508">
        <v>0.16200000000000001</v>
      </c>
      <c r="N4328" s="508">
        <v>0.19400000000000001</v>
      </c>
      <c r="O4328" s="508">
        <v>0.14799999999999999</v>
      </c>
      <c r="P4328" s="508">
        <v>0.10299999999999999</v>
      </c>
      <c r="Q4328" s="508">
        <v>0.09</v>
      </c>
      <c r="R4328" s="508">
        <v>9.5000000000000001E-2</v>
      </c>
      <c r="S4328" s="508">
        <v>0.1</v>
      </c>
      <c r="T4328" s="508">
        <v>8.4000000000000005E-2</v>
      </c>
      <c r="U4328" s="508">
        <v>8.5000000000000006E-2</v>
      </c>
      <c r="V4328" s="508">
        <v>4.3999999999999997E-2</v>
      </c>
      <c r="W4328" s="508">
        <v>5.6000000000000001E-2</v>
      </c>
      <c r="X4328" s="508">
        <v>2.5999999999999999E-2</v>
      </c>
      <c r="Y4328" s="508">
        <v>2.5000000000000001E-2</v>
      </c>
      <c r="Z4328" s="508">
        <v>2.1000000000000001E-2</v>
      </c>
      <c r="AA4328" s="508">
        <v>0.02</v>
      </c>
      <c r="AB4328" s="508">
        <v>1.7999999999999999E-2</v>
      </c>
      <c r="AC4328" s="508">
        <v>1.7999999999999999E-2</v>
      </c>
      <c r="AD4328" s="508">
        <v>1.6E-2</v>
      </c>
      <c r="AE4328" s="508">
        <v>1.6E-2</v>
      </c>
      <c r="AF4328" s="508">
        <v>0.01</v>
      </c>
      <c r="AG4328" s="508">
        <v>0.01</v>
      </c>
      <c r="AH4328" s="508">
        <v>0.01</v>
      </c>
      <c r="AI4328" s="492">
        <v>0.01</v>
      </c>
      <c r="AJ4328" s="485"/>
    </row>
    <row r="4329" spans="2:36">
      <c r="B4329" s="136" t="s">
        <v>458</v>
      </c>
      <c r="C4329" s="132" t="s">
        <v>1376</v>
      </c>
      <c r="D4329" s="132" t="s">
        <v>284</v>
      </c>
      <c r="E4329" s="508">
        <v>0.373</v>
      </c>
      <c r="F4329" s="508">
        <v>0.32400000000000001</v>
      </c>
      <c r="G4329" s="508">
        <v>0.29699999999999999</v>
      </c>
      <c r="H4329" s="508">
        <v>0.23200000000000001</v>
      </c>
      <c r="I4329" s="508">
        <v>0.221</v>
      </c>
      <c r="J4329" s="508">
        <v>0.219</v>
      </c>
      <c r="K4329" s="508">
        <v>0.151</v>
      </c>
      <c r="L4329" s="508">
        <v>0.14699999999999999</v>
      </c>
      <c r="M4329" s="508">
        <v>0.14399999999999999</v>
      </c>
      <c r="N4329" s="508">
        <v>0.14000000000000001</v>
      </c>
      <c r="O4329" s="508">
        <v>0.13500000000000001</v>
      </c>
      <c r="P4329" s="508">
        <v>9.9000000000000005E-2</v>
      </c>
      <c r="Q4329" s="508">
        <v>7.5999999999999998E-2</v>
      </c>
      <c r="R4329" s="508">
        <v>8.2000000000000003E-2</v>
      </c>
      <c r="S4329" s="508">
        <v>9.9000000000000005E-2</v>
      </c>
      <c r="T4329" s="508">
        <v>8.1000000000000003E-2</v>
      </c>
      <c r="U4329" s="508">
        <v>7.4999999999999997E-2</v>
      </c>
      <c r="V4329" s="508">
        <v>3.7999999999999999E-2</v>
      </c>
      <c r="W4329" s="508">
        <v>0.05</v>
      </c>
      <c r="X4329" s="508">
        <v>2.7E-2</v>
      </c>
      <c r="Y4329" s="508">
        <v>2.7E-2</v>
      </c>
      <c r="Z4329" s="508">
        <v>2.1999999999999999E-2</v>
      </c>
      <c r="AA4329" s="508">
        <v>2.1999999999999999E-2</v>
      </c>
      <c r="AB4329" s="508">
        <v>0.02</v>
      </c>
      <c r="AC4329" s="508">
        <v>1.9E-2</v>
      </c>
      <c r="AD4329" s="508">
        <v>1.7000000000000001E-2</v>
      </c>
      <c r="AE4329" s="508">
        <v>1.7000000000000001E-2</v>
      </c>
      <c r="AF4329" s="508">
        <v>1.0999999999999999E-2</v>
      </c>
      <c r="AG4329" s="508">
        <v>1.0999999999999999E-2</v>
      </c>
      <c r="AH4329" s="508">
        <v>1.0999999999999999E-2</v>
      </c>
      <c r="AI4329" s="492">
        <v>1.0999999999999999E-2</v>
      </c>
      <c r="AJ4329" s="485"/>
    </row>
    <row r="4330" spans="2:36">
      <c r="B4330" s="136" t="s">
        <v>459</v>
      </c>
      <c r="C4330" s="132" t="s">
        <v>1376</v>
      </c>
      <c r="D4330" s="132" t="s">
        <v>284</v>
      </c>
      <c r="E4330" s="508">
        <v>0.47899999999999998</v>
      </c>
      <c r="F4330" s="508">
        <v>0.41199999999999998</v>
      </c>
      <c r="G4330" s="508">
        <v>0.376</v>
      </c>
      <c r="H4330" s="508">
        <v>0.29299999999999998</v>
      </c>
      <c r="I4330" s="508">
        <v>0.27800000000000002</v>
      </c>
      <c r="J4330" s="508">
        <v>0.27400000000000002</v>
      </c>
      <c r="K4330" s="508">
        <v>0.189</v>
      </c>
      <c r="L4330" s="508">
        <v>0.184</v>
      </c>
      <c r="M4330" s="508">
        <v>0.17899999999999999</v>
      </c>
      <c r="N4330" s="508">
        <v>0.17399999999999999</v>
      </c>
      <c r="O4330" s="508">
        <v>0.16700000000000001</v>
      </c>
      <c r="P4330" s="508">
        <v>0.122</v>
      </c>
      <c r="Q4330" s="508">
        <v>9.5000000000000001E-2</v>
      </c>
      <c r="R4330" s="508">
        <v>0.10100000000000001</v>
      </c>
      <c r="S4330" s="508">
        <v>0.122</v>
      </c>
      <c r="T4330" s="508">
        <v>9.9000000000000005E-2</v>
      </c>
      <c r="U4330" s="508">
        <v>8.8999999999999996E-2</v>
      </c>
      <c r="V4330" s="508">
        <v>4.4999999999999998E-2</v>
      </c>
      <c r="W4330" s="508">
        <v>0.06</v>
      </c>
      <c r="X4330" s="508">
        <v>2.7E-2</v>
      </c>
      <c r="Y4330" s="508">
        <v>2.7E-2</v>
      </c>
      <c r="Z4330" s="508">
        <v>2.1999999999999999E-2</v>
      </c>
      <c r="AA4330" s="508">
        <v>2.1999999999999999E-2</v>
      </c>
      <c r="AB4330" s="508">
        <v>1.9E-2</v>
      </c>
      <c r="AC4330" s="508">
        <v>1.9E-2</v>
      </c>
      <c r="AD4330" s="508">
        <v>1.7000000000000001E-2</v>
      </c>
      <c r="AE4330" s="508">
        <v>1.7000000000000001E-2</v>
      </c>
      <c r="AF4330" s="508">
        <v>1.0999999999999999E-2</v>
      </c>
      <c r="AG4330" s="508">
        <v>1.0999999999999999E-2</v>
      </c>
      <c r="AH4330" s="508">
        <v>1.0999999999999999E-2</v>
      </c>
      <c r="AI4330" s="492">
        <v>1.0999999999999999E-2</v>
      </c>
      <c r="AJ4330" s="485"/>
    </row>
    <row r="4331" spans="2:36">
      <c r="B4331" s="136" t="s">
        <v>460</v>
      </c>
      <c r="C4331" s="132" t="s">
        <v>1376</v>
      </c>
      <c r="D4331" s="132" t="s">
        <v>284</v>
      </c>
      <c r="E4331" s="508">
        <v>0.48399999999999999</v>
      </c>
      <c r="F4331" s="508">
        <v>0.40400000000000003</v>
      </c>
      <c r="G4331" s="508">
        <v>0.36599999999999999</v>
      </c>
      <c r="H4331" s="508">
        <v>0.29399999999999998</v>
      </c>
      <c r="I4331" s="508">
        <v>0.27800000000000002</v>
      </c>
      <c r="J4331" s="508">
        <v>0.25800000000000001</v>
      </c>
      <c r="K4331" s="508">
        <v>0.183</v>
      </c>
      <c r="L4331" s="508">
        <v>0.17699999999999999</v>
      </c>
      <c r="M4331" s="508">
        <v>0.17299999999999999</v>
      </c>
      <c r="N4331" s="508">
        <v>0.17599999999999999</v>
      </c>
      <c r="O4331" s="508">
        <v>0.156</v>
      </c>
      <c r="P4331" s="508">
        <v>0.112</v>
      </c>
      <c r="Q4331" s="508">
        <v>0.09</v>
      </c>
      <c r="R4331" s="508">
        <v>9.5000000000000001E-2</v>
      </c>
      <c r="S4331" s="508">
        <v>0.11</v>
      </c>
      <c r="T4331" s="508">
        <v>0.09</v>
      </c>
      <c r="U4331" s="508">
        <v>7.9000000000000001E-2</v>
      </c>
      <c r="V4331" s="508">
        <v>4.1000000000000002E-2</v>
      </c>
      <c r="W4331" s="508">
        <v>5.2999999999999999E-2</v>
      </c>
      <c r="X4331" s="508">
        <v>2.4E-2</v>
      </c>
      <c r="Y4331" s="508">
        <v>2.4E-2</v>
      </c>
      <c r="Z4331" s="508">
        <v>0.02</v>
      </c>
      <c r="AA4331" s="508">
        <v>0.02</v>
      </c>
      <c r="AB4331" s="508">
        <v>1.7000000000000001E-2</v>
      </c>
      <c r="AC4331" s="508">
        <v>1.7000000000000001E-2</v>
      </c>
      <c r="AD4331" s="508">
        <v>1.4999999999999999E-2</v>
      </c>
      <c r="AE4331" s="508">
        <v>1.4999999999999999E-2</v>
      </c>
      <c r="AF4331" s="508">
        <v>0.01</v>
      </c>
      <c r="AG4331" s="508">
        <v>0.01</v>
      </c>
      <c r="AH4331" s="508">
        <v>0.01</v>
      </c>
      <c r="AI4331" s="492">
        <v>0.01</v>
      </c>
      <c r="AJ4331" s="485"/>
    </row>
    <row r="4332" spans="2:36">
      <c r="B4332" s="136" t="s">
        <v>461</v>
      </c>
      <c r="C4332" s="132" t="s">
        <v>1376</v>
      </c>
      <c r="D4332" s="132" t="s">
        <v>284</v>
      </c>
      <c r="E4332" s="508">
        <v>0.53700000000000003</v>
      </c>
      <c r="F4332" s="508">
        <v>0.438</v>
      </c>
      <c r="G4332" s="508">
        <v>0.39500000000000002</v>
      </c>
      <c r="H4332" s="508">
        <v>0.32100000000000001</v>
      </c>
      <c r="I4332" s="508">
        <v>0.30399999999999999</v>
      </c>
      <c r="J4332" s="508">
        <v>0.27</v>
      </c>
      <c r="K4332" s="508">
        <v>0.192</v>
      </c>
      <c r="L4332" s="508">
        <v>0.186</v>
      </c>
      <c r="M4332" s="508">
        <v>0.18</v>
      </c>
      <c r="N4332" s="508">
        <v>0.19500000000000001</v>
      </c>
      <c r="O4332" s="508">
        <v>0.16</v>
      </c>
      <c r="P4332" s="508">
        <v>0.114</v>
      </c>
      <c r="Q4332" s="508">
        <v>9.5000000000000001E-2</v>
      </c>
      <c r="R4332" s="508">
        <v>0.1</v>
      </c>
      <c r="S4332" s="508">
        <v>0.109</v>
      </c>
      <c r="T4332" s="508">
        <v>0.09</v>
      </c>
      <c r="U4332" s="508">
        <v>8.5999999999999993E-2</v>
      </c>
      <c r="V4332" s="508">
        <v>4.4999999999999998E-2</v>
      </c>
      <c r="W4332" s="508">
        <v>5.7000000000000002E-2</v>
      </c>
      <c r="X4332" s="508">
        <v>2.5000000000000001E-2</v>
      </c>
      <c r="Y4332" s="508">
        <v>2.5000000000000001E-2</v>
      </c>
      <c r="Z4332" s="508">
        <v>0.02</v>
      </c>
      <c r="AA4332" s="508">
        <v>0.02</v>
      </c>
      <c r="AB4332" s="508">
        <v>1.7999999999999999E-2</v>
      </c>
      <c r="AC4332" s="508">
        <v>1.7999999999999999E-2</v>
      </c>
      <c r="AD4332" s="508">
        <v>1.6E-2</v>
      </c>
      <c r="AE4332" s="508">
        <v>1.6E-2</v>
      </c>
      <c r="AF4332" s="508">
        <v>0.01</v>
      </c>
      <c r="AG4332" s="508">
        <v>0.01</v>
      </c>
      <c r="AH4332" s="508">
        <v>0.01</v>
      </c>
      <c r="AI4332" s="492">
        <v>0.01</v>
      </c>
      <c r="AJ4332" s="485"/>
    </row>
    <row r="4333" spans="2:36">
      <c r="B4333" s="136" t="s">
        <v>462</v>
      </c>
      <c r="C4333" s="132" t="s">
        <v>1376</v>
      </c>
      <c r="D4333" s="132" t="s">
        <v>284</v>
      </c>
      <c r="E4333" s="508">
        <v>0.23</v>
      </c>
      <c r="F4333" s="508">
        <v>0.188</v>
      </c>
      <c r="G4333" s="508">
        <v>0.17100000000000001</v>
      </c>
      <c r="H4333" s="508">
        <v>0.14699999999999999</v>
      </c>
      <c r="I4333" s="508">
        <v>0.14000000000000001</v>
      </c>
      <c r="J4333" s="508">
        <v>0.11700000000000001</v>
      </c>
      <c r="K4333" s="508">
        <v>8.4000000000000005E-2</v>
      </c>
      <c r="L4333" s="508">
        <v>8.1000000000000003E-2</v>
      </c>
      <c r="M4333" s="508">
        <v>7.9000000000000001E-2</v>
      </c>
      <c r="N4333" s="508">
        <v>9.7000000000000003E-2</v>
      </c>
      <c r="O4333" s="508">
        <v>6.9000000000000006E-2</v>
      </c>
      <c r="P4333" s="508">
        <v>4.8000000000000001E-2</v>
      </c>
      <c r="Q4333" s="508">
        <v>4.2999999999999997E-2</v>
      </c>
      <c r="R4333" s="508">
        <v>4.5999999999999999E-2</v>
      </c>
      <c r="S4333" s="508">
        <v>4.5999999999999999E-2</v>
      </c>
      <c r="T4333" s="508">
        <v>3.9E-2</v>
      </c>
      <c r="U4333" s="508">
        <v>0.04</v>
      </c>
      <c r="V4333" s="508">
        <v>2.1000000000000001E-2</v>
      </c>
      <c r="W4333" s="508">
        <v>2.5999999999999999E-2</v>
      </c>
      <c r="X4333" s="508">
        <v>2.1999999999999999E-2</v>
      </c>
      <c r="Y4333" s="508">
        <v>2.1999999999999999E-2</v>
      </c>
      <c r="Z4333" s="508">
        <v>1.7999999999999999E-2</v>
      </c>
      <c r="AA4333" s="508">
        <v>1.7999999999999999E-2</v>
      </c>
      <c r="AB4333" s="508">
        <v>1.6E-2</v>
      </c>
      <c r="AC4333" s="508">
        <v>1.6E-2</v>
      </c>
      <c r="AD4333" s="508">
        <v>1.4E-2</v>
      </c>
      <c r="AE4333" s="508">
        <v>1.4E-2</v>
      </c>
      <c r="AF4333" s="508">
        <v>8.9999999999999993E-3</v>
      </c>
      <c r="AG4333" s="508">
        <v>8.9999999999999993E-3</v>
      </c>
      <c r="AH4333" s="508">
        <v>8.9999999999999993E-3</v>
      </c>
      <c r="AI4333" s="492">
        <v>8.9999999999999993E-3</v>
      </c>
      <c r="AJ4333" s="485"/>
    </row>
    <row r="4334" spans="2:36">
      <c r="B4334" s="136" t="s">
        <v>463</v>
      </c>
      <c r="C4334" s="132" t="s">
        <v>1376</v>
      </c>
      <c r="D4334" s="132" t="s">
        <v>284</v>
      </c>
      <c r="E4334" s="508">
        <v>0.34200000000000003</v>
      </c>
      <c r="F4334" s="508">
        <v>0.30399999999999999</v>
      </c>
      <c r="G4334" s="508">
        <v>0.28000000000000003</v>
      </c>
      <c r="H4334" s="508">
        <v>0.221</v>
      </c>
      <c r="I4334" s="508">
        <v>0.21099999999999999</v>
      </c>
      <c r="J4334" s="508">
        <v>0.21</v>
      </c>
      <c r="K4334" s="508">
        <v>0.13900000000000001</v>
      </c>
      <c r="L4334" s="508">
        <v>0.13600000000000001</v>
      </c>
      <c r="M4334" s="508">
        <v>0.13300000000000001</v>
      </c>
      <c r="N4334" s="508">
        <v>0.14000000000000001</v>
      </c>
      <c r="O4334" s="508">
        <v>0.128</v>
      </c>
      <c r="P4334" s="508">
        <v>9.2999999999999999E-2</v>
      </c>
      <c r="Q4334" s="508">
        <v>7.3999999999999996E-2</v>
      </c>
      <c r="R4334" s="508">
        <v>7.9000000000000001E-2</v>
      </c>
      <c r="S4334" s="508">
        <v>9.4E-2</v>
      </c>
      <c r="T4334" s="508">
        <v>7.8E-2</v>
      </c>
      <c r="U4334" s="508">
        <v>7.0999999999999994E-2</v>
      </c>
      <c r="V4334" s="508">
        <v>3.5000000000000003E-2</v>
      </c>
      <c r="W4334" s="508">
        <v>4.7E-2</v>
      </c>
      <c r="X4334" s="508">
        <v>2.5999999999999999E-2</v>
      </c>
      <c r="Y4334" s="508">
        <v>2.5999999999999999E-2</v>
      </c>
      <c r="Z4334" s="508">
        <v>2.1000000000000001E-2</v>
      </c>
      <c r="AA4334" s="508">
        <v>2.1000000000000001E-2</v>
      </c>
      <c r="AB4334" s="508">
        <v>1.9E-2</v>
      </c>
      <c r="AC4334" s="508">
        <v>1.9E-2</v>
      </c>
      <c r="AD4334" s="508">
        <v>1.7000000000000001E-2</v>
      </c>
      <c r="AE4334" s="508">
        <v>1.7000000000000001E-2</v>
      </c>
      <c r="AF4334" s="508">
        <v>1.0999999999999999E-2</v>
      </c>
      <c r="AG4334" s="508">
        <v>0.01</v>
      </c>
      <c r="AH4334" s="508">
        <v>0.01</v>
      </c>
      <c r="AI4334" s="492">
        <v>0.01</v>
      </c>
      <c r="AJ4334" s="485"/>
    </row>
    <row r="4335" spans="2:36">
      <c r="B4335" s="136" t="s">
        <v>464</v>
      </c>
      <c r="C4335" s="132" t="s">
        <v>1376</v>
      </c>
      <c r="D4335" s="132" t="s">
        <v>284</v>
      </c>
      <c r="E4335" s="508">
        <v>0.47499999999999998</v>
      </c>
      <c r="F4335" s="508">
        <v>0.40100000000000002</v>
      </c>
      <c r="G4335" s="508">
        <v>0.36399999999999999</v>
      </c>
      <c r="H4335" s="508">
        <v>0.3</v>
      </c>
      <c r="I4335" s="508">
        <v>0.28499999999999998</v>
      </c>
      <c r="J4335" s="508">
        <v>0.25800000000000001</v>
      </c>
      <c r="K4335" s="508">
        <v>0.17399999999999999</v>
      </c>
      <c r="L4335" s="508">
        <v>0.16900000000000001</v>
      </c>
      <c r="M4335" s="508">
        <v>0.16400000000000001</v>
      </c>
      <c r="N4335" s="508">
        <v>0.193</v>
      </c>
      <c r="O4335" s="508">
        <v>0.152</v>
      </c>
      <c r="P4335" s="508">
        <v>0.106</v>
      </c>
      <c r="Q4335" s="508">
        <v>9.1999999999999998E-2</v>
      </c>
      <c r="R4335" s="508">
        <v>9.7000000000000003E-2</v>
      </c>
      <c r="S4335" s="508">
        <v>0.105</v>
      </c>
      <c r="T4335" s="508">
        <v>8.6999999999999994E-2</v>
      </c>
      <c r="U4335" s="508">
        <v>0.08</v>
      </c>
      <c r="V4335" s="508">
        <v>4.1000000000000002E-2</v>
      </c>
      <c r="W4335" s="508">
        <v>5.2999999999999999E-2</v>
      </c>
      <c r="X4335" s="508">
        <v>2.4E-2</v>
      </c>
      <c r="Y4335" s="508">
        <v>2.4E-2</v>
      </c>
      <c r="Z4335" s="508">
        <v>1.9E-2</v>
      </c>
      <c r="AA4335" s="508">
        <v>1.9E-2</v>
      </c>
      <c r="AB4335" s="508">
        <v>1.7000000000000001E-2</v>
      </c>
      <c r="AC4335" s="508">
        <v>1.7000000000000001E-2</v>
      </c>
      <c r="AD4335" s="508">
        <v>1.4999999999999999E-2</v>
      </c>
      <c r="AE4335" s="508">
        <v>1.4999999999999999E-2</v>
      </c>
      <c r="AF4335" s="508">
        <v>8.9999999999999993E-3</v>
      </c>
      <c r="AG4335" s="508">
        <v>8.9999999999999993E-3</v>
      </c>
      <c r="AH4335" s="508">
        <v>8.9999999999999993E-3</v>
      </c>
      <c r="AI4335" s="492">
        <v>8.9999999999999993E-3</v>
      </c>
      <c r="AJ4335" s="485"/>
    </row>
    <row r="4336" spans="2:36">
      <c r="B4336" s="136" t="s">
        <v>465</v>
      </c>
      <c r="C4336" s="132" t="s">
        <v>1376</v>
      </c>
      <c r="D4336" s="132" t="s">
        <v>284</v>
      </c>
      <c r="E4336" s="508">
        <v>0.40500000000000003</v>
      </c>
      <c r="F4336" s="508">
        <v>0.35099999999999998</v>
      </c>
      <c r="G4336" s="508">
        <v>0.32100000000000001</v>
      </c>
      <c r="H4336" s="508">
        <v>0.25900000000000001</v>
      </c>
      <c r="I4336" s="508">
        <v>0.246</v>
      </c>
      <c r="J4336" s="508">
        <v>0.23499999999999999</v>
      </c>
      <c r="K4336" s="508">
        <v>0.158</v>
      </c>
      <c r="L4336" s="508">
        <v>0.154</v>
      </c>
      <c r="M4336" s="508">
        <v>0.15</v>
      </c>
      <c r="N4336" s="508">
        <v>0.16300000000000001</v>
      </c>
      <c r="O4336" s="508">
        <v>0.14199999999999999</v>
      </c>
      <c r="P4336" s="508">
        <v>0.10100000000000001</v>
      </c>
      <c r="Q4336" s="508">
        <v>8.3000000000000004E-2</v>
      </c>
      <c r="R4336" s="508">
        <v>8.7999999999999995E-2</v>
      </c>
      <c r="S4336" s="508">
        <v>0.10100000000000001</v>
      </c>
      <c r="T4336" s="508">
        <v>8.4000000000000005E-2</v>
      </c>
      <c r="U4336" s="508">
        <v>7.8E-2</v>
      </c>
      <c r="V4336" s="508">
        <v>3.9E-2</v>
      </c>
      <c r="W4336" s="508">
        <v>5.1999999999999998E-2</v>
      </c>
      <c r="X4336" s="508">
        <v>2.5999999999999999E-2</v>
      </c>
      <c r="Y4336" s="508">
        <v>2.5000000000000001E-2</v>
      </c>
      <c r="Z4336" s="508">
        <v>2.1000000000000001E-2</v>
      </c>
      <c r="AA4336" s="508">
        <v>2.1000000000000001E-2</v>
      </c>
      <c r="AB4336" s="508">
        <v>1.7999999999999999E-2</v>
      </c>
      <c r="AC4336" s="508">
        <v>1.7999999999999999E-2</v>
      </c>
      <c r="AD4336" s="508">
        <v>1.6E-2</v>
      </c>
      <c r="AE4336" s="508">
        <v>1.6E-2</v>
      </c>
      <c r="AF4336" s="508">
        <v>0.01</v>
      </c>
      <c r="AG4336" s="508">
        <v>0.01</v>
      </c>
      <c r="AH4336" s="508">
        <v>0.01</v>
      </c>
      <c r="AI4336" s="492">
        <v>0.01</v>
      </c>
      <c r="AJ4336" s="485"/>
    </row>
    <row r="4337" spans="2:36">
      <c r="B4337" s="136" t="s">
        <v>466</v>
      </c>
      <c r="C4337" s="132" t="s">
        <v>1376</v>
      </c>
      <c r="D4337" s="132" t="s">
        <v>284</v>
      </c>
      <c r="E4337" s="508">
        <v>0.28799999999999998</v>
      </c>
      <c r="F4337" s="508">
        <v>0.24099999999999999</v>
      </c>
      <c r="G4337" s="508">
        <v>0.22</v>
      </c>
      <c r="H4337" s="508">
        <v>0.17799999999999999</v>
      </c>
      <c r="I4337" s="508">
        <v>0.17</v>
      </c>
      <c r="J4337" s="508">
        <v>0.157</v>
      </c>
      <c r="K4337" s="508">
        <v>0.114</v>
      </c>
      <c r="L4337" s="508">
        <v>0.111</v>
      </c>
      <c r="M4337" s="508">
        <v>0.109</v>
      </c>
      <c r="N4337" s="508">
        <v>0.107</v>
      </c>
      <c r="O4337" s="508">
        <v>9.6000000000000002E-2</v>
      </c>
      <c r="P4337" s="508">
        <v>7.0000000000000007E-2</v>
      </c>
      <c r="Q4337" s="508">
        <v>5.6000000000000001E-2</v>
      </c>
      <c r="R4337" s="508">
        <v>5.8999999999999997E-2</v>
      </c>
      <c r="S4337" s="508">
        <v>6.8000000000000005E-2</v>
      </c>
      <c r="T4337" s="508">
        <v>5.6000000000000001E-2</v>
      </c>
      <c r="U4337" s="508">
        <v>5.0999999999999997E-2</v>
      </c>
      <c r="V4337" s="508">
        <v>2.7E-2</v>
      </c>
      <c r="W4337" s="508">
        <v>3.5000000000000003E-2</v>
      </c>
      <c r="X4337" s="508">
        <v>2.4E-2</v>
      </c>
      <c r="Y4337" s="508">
        <v>2.4E-2</v>
      </c>
      <c r="Z4337" s="508">
        <v>0.02</v>
      </c>
      <c r="AA4337" s="508">
        <v>0.02</v>
      </c>
      <c r="AB4337" s="508">
        <v>1.7000000000000001E-2</v>
      </c>
      <c r="AC4337" s="508">
        <v>1.7000000000000001E-2</v>
      </c>
      <c r="AD4337" s="508">
        <v>1.4999999999999999E-2</v>
      </c>
      <c r="AE4337" s="508">
        <v>1.4999999999999999E-2</v>
      </c>
      <c r="AF4337" s="508">
        <v>0.01</v>
      </c>
      <c r="AG4337" s="508">
        <v>0.01</v>
      </c>
      <c r="AH4337" s="508">
        <v>0.01</v>
      </c>
      <c r="AI4337" s="492">
        <v>0.01</v>
      </c>
      <c r="AJ4337" s="485"/>
    </row>
    <row r="4338" spans="2:36">
      <c r="B4338" s="136" t="s">
        <v>467</v>
      </c>
      <c r="C4338" s="132" t="s">
        <v>1376</v>
      </c>
      <c r="D4338" s="132" t="s">
        <v>284</v>
      </c>
      <c r="E4338" s="508">
        <v>0.48099999999999998</v>
      </c>
      <c r="F4338" s="508">
        <v>0.39300000000000002</v>
      </c>
      <c r="G4338" s="508">
        <v>0.35499999999999998</v>
      </c>
      <c r="H4338" s="508">
        <v>0.29099999999999998</v>
      </c>
      <c r="I4338" s="508">
        <v>0.27600000000000002</v>
      </c>
      <c r="J4338" s="508">
        <v>0.24299999999999999</v>
      </c>
      <c r="K4338" s="508">
        <v>0.17299999999999999</v>
      </c>
      <c r="L4338" s="508">
        <v>0.16700000000000001</v>
      </c>
      <c r="M4338" s="508">
        <v>0.16200000000000001</v>
      </c>
      <c r="N4338" s="508">
        <v>0.17899999999999999</v>
      </c>
      <c r="O4338" s="508">
        <v>0.14399999999999999</v>
      </c>
      <c r="P4338" s="508">
        <v>0.10199999999999999</v>
      </c>
      <c r="Q4338" s="508">
        <v>8.5999999999999993E-2</v>
      </c>
      <c r="R4338" s="508">
        <v>9.0999999999999998E-2</v>
      </c>
      <c r="S4338" s="508">
        <v>9.8000000000000004E-2</v>
      </c>
      <c r="T4338" s="508">
        <v>8.1000000000000003E-2</v>
      </c>
      <c r="U4338" s="508">
        <v>7.5999999999999998E-2</v>
      </c>
      <c r="V4338" s="508">
        <v>0.04</v>
      </c>
      <c r="W4338" s="508">
        <v>5.0999999999999997E-2</v>
      </c>
      <c r="X4338" s="508">
        <v>2.4E-2</v>
      </c>
      <c r="Y4338" s="508">
        <v>2.4E-2</v>
      </c>
      <c r="Z4338" s="508">
        <v>1.9E-2</v>
      </c>
      <c r="AA4338" s="508">
        <v>1.9E-2</v>
      </c>
      <c r="AB4338" s="508">
        <v>1.7000000000000001E-2</v>
      </c>
      <c r="AC4338" s="508">
        <v>1.7000000000000001E-2</v>
      </c>
      <c r="AD4338" s="508">
        <v>1.4999999999999999E-2</v>
      </c>
      <c r="AE4338" s="508">
        <v>1.4999999999999999E-2</v>
      </c>
      <c r="AF4338" s="508">
        <v>8.9999999999999993E-3</v>
      </c>
      <c r="AG4338" s="508">
        <v>8.9999999999999993E-3</v>
      </c>
      <c r="AH4338" s="508">
        <v>8.9999999999999993E-3</v>
      </c>
      <c r="AI4338" s="492">
        <v>8.9999999999999993E-3</v>
      </c>
      <c r="AJ4338" s="485"/>
    </row>
    <row r="4339" spans="2:36">
      <c r="B4339" s="136" t="s">
        <v>468</v>
      </c>
      <c r="C4339" s="132" t="s">
        <v>1376</v>
      </c>
      <c r="D4339" s="132" t="s">
        <v>284</v>
      </c>
      <c r="E4339" s="508">
        <v>0.35</v>
      </c>
      <c r="F4339" s="508">
        <v>0.32100000000000001</v>
      </c>
      <c r="G4339" s="508">
        <v>0.29699999999999999</v>
      </c>
      <c r="H4339" s="508">
        <v>0.23400000000000001</v>
      </c>
      <c r="I4339" s="508">
        <v>0.224</v>
      </c>
      <c r="J4339" s="508">
        <v>0.22900000000000001</v>
      </c>
      <c r="K4339" s="508">
        <v>0.14799999999999999</v>
      </c>
      <c r="L4339" s="508">
        <v>0.14499999999999999</v>
      </c>
      <c r="M4339" s="508">
        <v>0.14199999999999999</v>
      </c>
      <c r="N4339" s="508">
        <v>0.151</v>
      </c>
      <c r="O4339" s="508">
        <v>0.14000000000000001</v>
      </c>
      <c r="P4339" s="508">
        <v>0.10100000000000001</v>
      </c>
      <c r="Q4339" s="508">
        <v>8.1000000000000003E-2</v>
      </c>
      <c r="R4339" s="508">
        <v>8.5999999999999993E-2</v>
      </c>
      <c r="S4339" s="508">
        <v>0.104</v>
      </c>
      <c r="T4339" s="508">
        <v>8.5999999999999993E-2</v>
      </c>
      <c r="U4339" s="508">
        <v>7.6999999999999999E-2</v>
      </c>
      <c r="V4339" s="508">
        <v>3.7999999999999999E-2</v>
      </c>
      <c r="W4339" s="508">
        <v>5.1999999999999998E-2</v>
      </c>
      <c r="X4339" s="508">
        <v>2.7E-2</v>
      </c>
      <c r="Y4339" s="508">
        <v>2.5999999999999999E-2</v>
      </c>
      <c r="Z4339" s="508">
        <v>2.1999999999999999E-2</v>
      </c>
      <c r="AA4339" s="508">
        <v>2.1999999999999999E-2</v>
      </c>
      <c r="AB4339" s="508">
        <v>1.9E-2</v>
      </c>
      <c r="AC4339" s="508">
        <v>1.9E-2</v>
      </c>
      <c r="AD4339" s="508">
        <v>1.7000000000000001E-2</v>
      </c>
      <c r="AE4339" s="508">
        <v>1.7000000000000001E-2</v>
      </c>
      <c r="AF4339" s="508">
        <v>1.0999999999999999E-2</v>
      </c>
      <c r="AG4339" s="508">
        <v>1.0999999999999999E-2</v>
      </c>
      <c r="AH4339" s="508">
        <v>1.0999999999999999E-2</v>
      </c>
      <c r="AI4339" s="492">
        <v>1.0999999999999999E-2</v>
      </c>
      <c r="AJ4339" s="485"/>
    </row>
    <row r="4340" spans="2:36">
      <c r="B4340" s="136" t="s">
        <v>469</v>
      </c>
      <c r="C4340" s="132" t="s">
        <v>1376</v>
      </c>
      <c r="D4340" s="132" t="s">
        <v>284</v>
      </c>
      <c r="E4340" s="508">
        <v>0.312</v>
      </c>
      <c r="F4340" s="508">
        <v>0.26800000000000002</v>
      </c>
      <c r="G4340" s="508">
        <v>0.245</v>
      </c>
      <c r="H4340" s="508">
        <v>0.20100000000000001</v>
      </c>
      <c r="I4340" s="508">
        <v>0.192</v>
      </c>
      <c r="J4340" s="508">
        <v>0.17799999999999999</v>
      </c>
      <c r="K4340" s="508">
        <v>0.122</v>
      </c>
      <c r="L4340" s="508">
        <v>0.11799999999999999</v>
      </c>
      <c r="M4340" s="508">
        <v>0.11600000000000001</v>
      </c>
      <c r="N4340" s="508">
        <v>0.129</v>
      </c>
      <c r="O4340" s="508">
        <v>0.107</v>
      </c>
      <c r="P4340" s="508">
        <v>7.5999999999999998E-2</v>
      </c>
      <c r="Q4340" s="508">
        <v>6.4000000000000001E-2</v>
      </c>
      <c r="R4340" s="508">
        <v>6.7000000000000004E-2</v>
      </c>
      <c r="S4340" s="508">
        <v>7.5999999999999998E-2</v>
      </c>
      <c r="T4340" s="508">
        <v>6.3E-2</v>
      </c>
      <c r="U4340" s="508">
        <v>5.8999999999999997E-2</v>
      </c>
      <c r="V4340" s="508">
        <v>0.03</v>
      </c>
      <c r="W4340" s="508">
        <v>3.9E-2</v>
      </c>
      <c r="X4340" s="508">
        <v>2.4E-2</v>
      </c>
      <c r="Y4340" s="508">
        <v>2.4E-2</v>
      </c>
      <c r="Z4340" s="508">
        <v>1.9E-2</v>
      </c>
      <c r="AA4340" s="508">
        <v>1.9E-2</v>
      </c>
      <c r="AB4340" s="508">
        <v>1.7000000000000001E-2</v>
      </c>
      <c r="AC4340" s="508">
        <v>1.7000000000000001E-2</v>
      </c>
      <c r="AD4340" s="508">
        <v>1.4999999999999999E-2</v>
      </c>
      <c r="AE4340" s="508">
        <v>1.4999999999999999E-2</v>
      </c>
      <c r="AF4340" s="508">
        <v>0.01</v>
      </c>
      <c r="AG4340" s="508">
        <v>0.01</v>
      </c>
      <c r="AH4340" s="508">
        <v>0.01</v>
      </c>
      <c r="AI4340" s="492">
        <v>0.01</v>
      </c>
      <c r="AJ4340" s="485"/>
    </row>
    <row r="4341" spans="2:36">
      <c r="B4341" s="136" t="s">
        <v>470</v>
      </c>
      <c r="C4341" s="132" t="s">
        <v>1376</v>
      </c>
      <c r="D4341" s="132" t="s">
        <v>284</v>
      </c>
      <c r="E4341" s="508">
        <v>0.46100000000000002</v>
      </c>
      <c r="F4341" s="508">
        <v>0.38300000000000001</v>
      </c>
      <c r="G4341" s="508">
        <v>0.34699999999999998</v>
      </c>
      <c r="H4341" s="508">
        <v>0.27700000000000002</v>
      </c>
      <c r="I4341" s="508">
        <v>0.26200000000000001</v>
      </c>
      <c r="J4341" s="508">
        <v>0.24399999999999999</v>
      </c>
      <c r="K4341" s="508">
        <v>0.17499999999999999</v>
      </c>
      <c r="L4341" s="508">
        <v>0.16900000000000001</v>
      </c>
      <c r="M4341" s="508">
        <v>0.16500000000000001</v>
      </c>
      <c r="N4341" s="508">
        <v>0.16300000000000001</v>
      </c>
      <c r="O4341" s="508">
        <v>0.14799999999999999</v>
      </c>
      <c r="P4341" s="508">
        <v>0.107</v>
      </c>
      <c r="Q4341" s="508">
        <v>8.5000000000000006E-2</v>
      </c>
      <c r="R4341" s="508">
        <v>0.09</v>
      </c>
      <c r="S4341" s="508">
        <v>0.105</v>
      </c>
      <c r="T4341" s="508">
        <v>8.5000000000000006E-2</v>
      </c>
      <c r="U4341" s="508">
        <v>0.08</v>
      </c>
      <c r="V4341" s="508">
        <v>4.1000000000000002E-2</v>
      </c>
      <c r="W4341" s="508">
        <v>5.2999999999999999E-2</v>
      </c>
      <c r="X4341" s="508">
        <v>2.5999999999999999E-2</v>
      </c>
      <c r="Y4341" s="508">
        <v>2.5999999999999999E-2</v>
      </c>
      <c r="Z4341" s="508">
        <v>2.1000000000000001E-2</v>
      </c>
      <c r="AA4341" s="508">
        <v>2.1000000000000001E-2</v>
      </c>
      <c r="AB4341" s="508">
        <v>1.9E-2</v>
      </c>
      <c r="AC4341" s="508">
        <v>1.9E-2</v>
      </c>
      <c r="AD4341" s="508">
        <v>1.6E-2</v>
      </c>
      <c r="AE4341" s="508">
        <v>1.6E-2</v>
      </c>
      <c r="AF4341" s="508">
        <v>0.01</v>
      </c>
      <c r="AG4341" s="508">
        <v>0.01</v>
      </c>
      <c r="AH4341" s="508">
        <v>0.01</v>
      </c>
      <c r="AI4341" s="492">
        <v>0.01</v>
      </c>
      <c r="AJ4341" s="485"/>
    </row>
    <row r="4342" spans="2:36">
      <c r="B4342" s="136" t="s">
        <v>471</v>
      </c>
      <c r="C4342" s="132" t="s">
        <v>1376</v>
      </c>
      <c r="D4342" s="132" t="s">
        <v>284</v>
      </c>
      <c r="E4342" s="508">
        <v>0.29799999999999999</v>
      </c>
      <c r="F4342" s="508">
        <v>0.245</v>
      </c>
      <c r="G4342" s="508">
        <v>0.223</v>
      </c>
      <c r="H4342" s="508">
        <v>0.185</v>
      </c>
      <c r="I4342" s="508">
        <v>0.17499999999999999</v>
      </c>
      <c r="J4342" s="508">
        <v>0.155</v>
      </c>
      <c r="K4342" s="508">
        <v>0.112</v>
      </c>
      <c r="L4342" s="508">
        <v>0.108</v>
      </c>
      <c r="M4342" s="508">
        <v>0.106</v>
      </c>
      <c r="N4342" s="508">
        <v>0.115</v>
      </c>
      <c r="O4342" s="508">
        <v>9.2999999999999999E-2</v>
      </c>
      <c r="P4342" s="508">
        <v>6.7000000000000004E-2</v>
      </c>
      <c r="Q4342" s="508">
        <v>5.6000000000000001E-2</v>
      </c>
      <c r="R4342" s="508">
        <v>5.8999999999999997E-2</v>
      </c>
      <c r="S4342" s="508">
        <v>6.4000000000000001E-2</v>
      </c>
      <c r="T4342" s="508">
        <v>5.2999999999999999E-2</v>
      </c>
      <c r="U4342" s="508">
        <v>5.2999999999999999E-2</v>
      </c>
      <c r="V4342" s="508">
        <v>2.8000000000000001E-2</v>
      </c>
      <c r="W4342" s="508">
        <v>3.5000000000000003E-2</v>
      </c>
      <c r="X4342" s="508">
        <v>2.4E-2</v>
      </c>
      <c r="Y4342" s="508">
        <v>2.4E-2</v>
      </c>
      <c r="Z4342" s="508">
        <v>0.02</v>
      </c>
      <c r="AA4342" s="508">
        <v>1.9E-2</v>
      </c>
      <c r="AB4342" s="508">
        <v>1.7000000000000001E-2</v>
      </c>
      <c r="AC4342" s="508">
        <v>1.7000000000000001E-2</v>
      </c>
      <c r="AD4342" s="508">
        <v>1.4999999999999999E-2</v>
      </c>
      <c r="AE4342" s="508">
        <v>1.4999999999999999E-2</v>
      </c>
      <c r="AF4342" s="508">
        <v>0.01</v>
      </c>
      <c r="AG4342" s="508">
        <v>0.01</v>
      </c>
      <c r="AH4342" s="508">
        <v>0.01</v>
      </c>
      <c r="AI4342" s="492">
        <v>0.01</v>
      </c>
      <c r="AJ4342" s="485"/>
    </row>
    <row r="4343" spans="2:36">
      <c r="B4343" s="136" t="s">
        <v>472</v>
      </c>
      <c r="C4343" s="132" t="s">
        <v>1376</v>
      </c>
      <c r="D4343" s="132" t="s">
        <v>284</v>
      </c>
      <c r="E4343" s="508">
        <v>0.55000000000000004</v>
      </c>
      <c r="F4343" s="508">
        <v>0.45500000000000002</v>
      </c>
      <c r="G4343" s="508">
        <v>0.41</v>
      </c>
      <c r="H4343" s="508">
        <v>0.34</v>
      </c>
      <c r="I4343" s="508">
        <v>0.32200000000000001</v>
      </c>
      <c r="J4343" s="508">
        <v>0.28299999999999997</v>
      </c>
      <c r="K4343" s="508">
        <v>0.19400000000000001</v>
      </c>
      <c r="L4343" s="508">
        <v>0.187</v>
      </c>
      <c r="M4343" s="508">
        <v>0.182</v>
      </c>
      <c r="N4343" s="508">
        <v>0.216</v>
      </c>
      <c r="O4343" s="508">
        <v>0.16500000000000001</v>
      </c>
      <c r="P4343" s="508">
        <v>0.115</v>
      </c>
      <c r="Q4343" s="508">
        <v>0.10100000000000001</v>
      </c>
      <c r="R4343" s="508">
        <v>0.106</v>
      </c>
      <c r="S4343" s="508">
        <v>0.111</v>
      </c>
      <c r="T4343" s="508">
        <v>9.2999999999999999E-2</v>
      </c>
      <c r="U4343" s="508">
        <v>0.09</v>
      </c>
      <c r="V4343" s="508">
        <v>4.7E-2</v>
      </c>
      <c r="W4343" s="508">
        <v>5.8999999999999997E-2</v>
      </c>
      <c r="X4343" s="508">
        <v>2.5000000000000001E-2</v>
      </c>
      <c r="Y4343" s="508">
        <v>2.5000000000000001E-2</v>
      </c>
      <c r="Z4343" s="508">
        <v>0.02</v>
      </c>
      <c r="AA4343" s="508">
        <v>0.02</v>
      </c>
      <c r="AB4343" s="508">
        <v>1.7999999999999999E-2</v>
      </c>
      <c r="AC4343" s="508">
        <v>1.7000000000000001E-2</v>
      </c>
      <c r="AD4343" s="508">
        <v>1.4999999999999999E-2</v>
      </c>
      <c r="AE4343" s="508">
        <v>1.4999999999999999E-2</v>
      </c>
      <c r="AF4343" s="508">
        <v>0.01</v>
      </c>
      <c r="AG4343" s="508">
        <v>0.01</v>
      </c>
      <c r="AH4343" s="508">
        <v>0.01</v>
      </c>
      <c r="AI4343" s="492">
        <v>0.01</v>
      </c>
      <c r="AJ4343" s="485"/>
    </row>
    <row r="4344" spans="2:36">
      <c r="B4344" s="136" t="s">
        <v>473</v>
      </c>
      <c r="C4344" s="132" t="s">
        <v>1376</v>
      </c>
      <c r="D4344" s="132" t="s">
        <v>284</v>
      </c>
      <c r="E4344" s="508">
        <v>0.43099999999999999</v>
      </c>
      <c r="F4344" s="508">
        <v>0.35</v>
      </c>
      <c r="G4344" s="508">
        <v>0.316</v>
      </c>
      <c r="H4344" s="508">
        <v>0.25800000000000001</v>
      </c>
      <c r="I4344" s="508">
        <v>0.24399999999999999</v>
      </c>
      <c r="J4344" s="508">
        <v>0.217</v>
      </c>
      <c r="K4344" s="508">
        <v>0.159</v>
      </c>
      <c r="L4344" s="508">
        <v>0.154</v>
      </c>
      <c r="M4344" s="508">
        <v>0.15</v>
      </c>
      <c r="N4344" s="508">
        <v>0.154</v>
      </c>
      <c r="O4344" s="508">
        <v>0.13</v>
      </c>
      <c r="P4344" s="508">
        <v>9.4E-2</v>
      </c>
      <c r="Q4344" s="508">
        <v>7.5999999999999998E-2</v>
      </c>
      <c r="R4344" s="508">
        <v>8.1000000000000003E-2</v>
      </c>
      <c r="S4344" s="508">
        <v>0.09</v>
      </c>
      <c r="T4344" s="508">
        <v>7.3999999999999996E-2</v>
      </c>
      <c r="U4344" s="508">
        <v>6.5000000000000002E-2</v>
      </c>
      <c r="V4344" s="508">
        <v>3.4000000000000002E-2</v>
      </c>
      <c r="W4344" s="508">
        <v>4.2999999999999997E-2</v>
      </c>
      <c r="X4344" s="508">
        <v>2.3E-2</v>
      </c>
      <c r="Y4344" s="508">
        <v>2.3E-2</v>
      </c>
      <c r="Z4344" s="508">
        <v>1.7999999999999999E-2</v>
      </c>
      <c r="AA4344" s="508">
        <v>1.7999999999999999E-2</v>
      </c>
      <c r="AB4344" s="508">
        <v>1.6E-2</v>
      </c>
      <c r="AC4344" s="508">
        <v>1.6E-2</v>
      </c>
      <c r="AD4344" s="508">
        <v>1.4E-2</v>
      </c>
      <c r="AE4344" s="508">
        <v>1.4E-2</v>
      </c>
      <c r="AF4344" s="508">
        <v>8.9999999999999993E-3</v>
      </c>
      <c r="AG4344" s="508">
        <v>8.9999999999999993E-3</v>
      </c>
      <c r="AH4344" s="508">
        <v>8.9999999999999993E-3</v>
      </c>
      <c r="AI4344" s="492">
        <v>8.9999999999999993E-3</v>
      </c>
      <c r="AJ4344" s="485"/>
    </row>
    <row r="4345" spans="2:36">
      <c r="B4345" s="136" t="s">
        <v>474</v>
      </c>
      <c r="C4345" s="132" t="s">
        <v>1376</v>
      </c>
      <c r="D4345" s="132" t="s">
        <v>284</v>
      </c>
      <c r="E4345" s="508">
        <v>0.28100000000000003</v>
      </c>
      <c r="F4345" s="508">
        <v>0.23599999999999999</v>
      </c>
      <c r="G4345" s="508">
        <v>0.215</v>
      </c>
      <c r="H4345" s="508">
        <v>0.17799999999999999</v>
      </c>
      <c r="I4345" s="508">
        <v>0.17</v>
      </c>
      <c r="J4345" s="508">
        <v>0.153</v>
      </c>
      <c r="K4345" s="508">
        <v>0.108</v>
      </c>
      <c r="L4345" s="508">
        <v>0.105</v>
      </c>
      <c r="M4345" s="508">
        <v>0.10199999999999999</v>
      </c>
      <c r="N4345" s="508">
        <v>0.112</v>
      </c>
      <c r="O4345" s="508">
        <v>9.1999999999999998E-2</v>
      </c>
      <c r="P4345" s="508">
        <v>6.6000000000000003E-2</v>
      </c>
      <c r="Q4345" s="508">
        <v>5.5E-2</v>
      </c>
      <c r="R4345" s="508">
        <v>5.8000000000000003E-2</v>
      </c>
      <c r="S4345" s="508">
        <v>6.4000000000000001E-2</v>
      </c>
      <c r="T4345" s="508">
        <v>5.2999999999999999E-2</v>
      </c>
      <c r="U4345" s="508">
        <v>0.05</v>
      </c>
      <c r="V4345" s="508">
        <v>2.5999999999999999E-2</v>
      </c>
      <c r="W4345" s="508">
        <v>3.3000000000000002E-2</v>
      </c>
      <c r="X4345" s="508">
        <v>2.3E-2</v>
      </c>
      <c r="Y4345" s="508">
        <v>2.3E-2</v>
      </c>
      <c r="Z4345" s="508">
        <v>1.9E-2</v>
      </c>
      <c r="AA4345" s="508">
        <v>1.9E-2</v>
      </c>
      <c r="AB4345" s="508">
        <v>1.7000000000000001E-2</v>
      </c>
      <c r="AC4345" s="508">
        <v>1.7000000000000001E-2</v>
      </c>
      <c r="AD4345" s="508">
        <v>1.4999999999999999E-2</v>
      </c>
      <c r="AE4345" s="508">
        <v>1.4999999999999999E-2</v>
      </c>
      <c r="AF4345" s="508">
        <v>8.9999999999999993E-3</v>
      </c>
      <c r="AG4345" s="508">
        <v>8.9999999999999993E-3</v>
      </c>
      <c r="AH4345" s="508">
        <v>8.9999999999999993E-3</v>
      </c>
      <c r="AI4345" s="492">
        <v>8.9999999999999993E-3</v>
      </c>
      <c r="AJ4345" s="485"/>
    </row>
    <row r="4346" spans="2:36">
      <c r="B4346" s="136" t="s">
        <v>475</v>
      </c>
      <c r="C4346" s="132" t="s">
        <v>1376</v>
      </c>
      <c r="D4346" s="132" t="s">
        <v>284</v>
      </c>
      <c r="E4346" s="508">
        <v>0.39700000000000002</v>
      </c>
      <c r="F4346" s="508">
        <v>0.33</v>
      </c>
      <c r="G4346" s="508">
        <v>0.3</v>
      </c>
      <c r="H4346" s="508">
        <v>0.246</v>
      </c>
      <c r="I4346" s="508">
        <v>0.23400000000000001</v>
      </c>
      <c r="J4346" s="508">
        <v>0.21</v>
      </c>
      <c r="K4346" s="508">
        <v>0.14699999999999999</v>
      </c>
      <c r="L4346" s="508">
        <v>0.14299999999999999</v>
      </c>
      <c r="M4346" s="508">
        <v>0.13900000000000001</v>
      </c>
      <c r="N4346" s="508">
        <v>0.154</v>
      </c>
      <c r="O4346" s="508">
        <v>0.125</v>
      </c>
      <c r="P4346" s="508">
        <v>8.8999999999999996E-2</v>
      </c>
      <c r="Q4346" s="508">
        <v>7.4999999999999997E-2</v>
      </c>
      <c r="R4346" s="508">
        <v>7.9000000000000001E-2</v>
      </c>
      <c r="S4346" s="508">
        <v>8.6999999999999994E-2</v>
      </c>
      <c r="T4346" s="508">
        <v>7.1999999999999995E-2</v>
      </c>
      <c r="U4346" s="508">
        <v>6.6000000000000003E-2</v>
      </c>
      <c r="V4346" s="508">
        <v>3.4000000000000002E-2</v>
      </c>
      <c r="W4346" s="508">
        <v>4.3999999999999997E-2</v>
      </c>
      <c r="X4346" s="508">
        <v>2.3E-2</v>
      </c>
      <c r="Y4346" s="508">
        <v>2.3E-2</v>
      </c>
      <c r="Z4346" s="508">
        <v>1.9E-2</v>
      </c>
      <c r="AA4346" s="508">
        <v>1.9E-2</v>
      </c>
      <c r="AB4346" s="508">
        <v>1.7000000000000001E-2</v>
      </c>
      <c r="AC4346" s="508">
        <v>1.7000000000000001E-2</v>
      </c>
      <c r="AD4346" s="508">
        <v>1.4999999999999999E-2</v>
      </c>
      <c r="AE4346" s="508">
        <v>1.4999999999999999E-2</v>
      </c>
      <c r="AF4346" s="508">
        <v>8.9999999999999993E-3</v>
      </c>
      <c r="AG4346" s="508">
        <v>8.9999999999999993E-3</v>
      </c>
      <c r="AH4346" s="508">
        <v>8.9999999999999993E-3</v>
      </c>
      <c r="AI4346" s="492">
        <v>8.9999999999999993E-3</v>
      </c>
      <c r="AJ4346" s="485"/>
    </row>
    <row r="4347" spans="2:36">
      <c r="B4347" s="136" t="s">
        <v>476</v>
      </c>
      <c r="C4347" s="132" t="s">
        <v>1376</v>
      </c>
      <c r="D4347" s="132" t="s">
        <v>284</v>
      </c>
      <c r="E4347" s="508">
        <v>0.42299999999999999</v>
      </c>
      <c r="F4347" s="508">
        <v>0.35499999999999998</v>
      </c>
      <c r="G4347" s="508">
        <v>0.32300000000000001</v>
      </c>
      <c r="H4347" s="508">
        <v>0.25900000000000001</v>
      </c>
      <c r="I4347" s="508">
        <v>0.246</v>
      </c>
      <c r="J4347" s="508">
        <v>0.23</v>
      </c>
      <c r="K4347" s="508">
        <v>0.16200000000000001</v>
      </c>
      <c r="L4347" s="508">
        <v>0.158</v>
      </c>
      <c r="M4347" s="508">
        <v>0.154</v>
      </c>
      <c r="N4347" s="508">
        <v>0.156</v>
      </c>
      <c r="O4347" s="508">
        <v>0.13900000000000001</v>
      </c>
      <c r="P4347" s="508">
        <v>0.10100000000000001</v>
      </c>
      <c r="Q4347" s="508">
        <v>8.1000000000000003E-2</v>
      </c>
      <c r="R4347" s="508">
        <v>8.5000000000000006E-2</v>
      </c>
      <c r="S4347" s="508">
        <v>9.9000000000000005E-2</v>
      </c>
      <c r="T4347" s="508">
        <v>8.1000000000000003E-2</v>
      </c>
      <c r="U4347" s="508">
        <v>7.4999999999999997E-2</v>
      </c>
      <c r="V4347" s="508">
        <v>3.9E-2</v>
      </c>
      <c r="W4347" s="508">
        <v>0.05</v>
      </c>
      <c r="X4347" s="508">
        <v>2.5999999999999999E-2</v>
      </c>
      <c r="Y4347" s="508">
        <v>2.5000000000000001E-2</v>
      </c>
      <c r="Z4347" s="508">
        <v>2.1000000000000001E-2</v>
      </c>
      <c r="AA4347" s="508">
        <v>2.1000000000000001E-2</v>
      </c>
      <c r="AB4347" s="508">
        <v>1.7999999999999999E-2</v>
      </c>
      <c r="AC4347" s="508">
        <v>1.7999999999999999E-2</v>
      </c>
      <c r="AD4347" s="508">
        <v>1.6E-2</v>
      </c>
      <c r="AE4347" s="508">
        <v>1.6E-2</v>
      </c>
      <c r="AF4347" s="508">
        <v>0.01</v>
      </c>
      <c r="AG4347" s="508">
        <v>0.01</v>
      </c>
      <c r="AH4347" s="508">
        <v>0.01</v>
      </c>
      <c r="AI4347" s="492">
        <v>0.01</v>
      </c>
      <c r="AJ4347" s="485"/>
    </row>
    <row r="4348" spans="2:36">
      <c r="B4348" s="136" t="s">
        <v>478</v>
      </c>
      <c r="C4348" s="132" t="s">
        <v>1376</v>
      </c>
      <c r="D4348" s="132" t="s">
        <v>284</v>
      </c>
      <c r="E4348" s="508">
        <v>0.48</v>
      </c>
      <c r="F4348" s="508">
        <v>0.40899999999999997</v>
      </c>
      <c r="G4348" s="508">
        <v>0.372</v>
      </c>
      <c r="H4348" s="508">
        <v>0.28899999999999998</v>
      </c>
      <c r="I4348" s="508">
        <v>0.27400000000000002</v>
      </c>
      <c r="J4348" s="508">
        <v>0.27</v>
      </c>
      <c r="K4348" s="508">
        <v>0.19</v>
      </c>
      <c r="L4348" s="508">
        <v>0.185</v>
      </c>
      <c r="M4348" s="508">
        <v>0.18</v>
      </c>
      <c r="N4348" s="508">
        <v>0.16700000000000001</v>
      </c>
      <c r="O4348" s="508">
        <v>0.16500000000000001</v>
      </c>
      <c r="P4348" s="508">
        <v>0.122</v>
      </c>
      <c r="Q4348" s="508">
        <v>9.2999999999999999E-2</v>
      </c>
      <c r="R4348" s="508">
        <v>9.9000000000000005E-2</v>
      </c>
      <c r="S4348" s="508">
        <v>0.121</v>
      </c>
      <c r="T4348" s="508">
        <v>9.8000000000000004E-2</v>
      </c>
      <c r="U4348" s="508">
        <v>8.6999999999999994E-2</v>
      </c>
      <c r="V4348" s="508">
        <v>4.3999999999999997E-2</v>
      </c>
      <c r="W4348" s="508">
        <v>5.8999999999999997E-2</v>
      </c>
      <c r="X4348" s="508">
        <v>2.7E-2</v>
      </c>
      <c r="Y4348" s="508">
        <v>2.7E-2</v>
      </c>
      <c r="Z4348" s="508">
        <v>2.1999999999999999E-2</v>
      </c>
      <c r="AA4348" s="508">
        <v>2.1999999999999999E-2</v>
      </c>
      <c r="AB4348" s="508">
        <v>1.9E-2</v>
      </c>
      <c r="AC4348" s="508">
        <v>1.9E-2</v>
      </c>
      <c r="AD4348" s="508">
        <v>1.7000000000000001E-2</v>
      </c>
      <c r="AE4348" s="508">
        <v>1.7000000000000001E-2</v>
      </c>
      <c r="AF4348" s="508">
        <v>1.0999999999999999E-2</v>
      </c>
      <c r="AG4348" s="508">
        <v>1.0999999999999999E-2</v>
      </c>
      <c r="AH4348" s="508">
        <v>1.0999999999999999E-2</v>
      </c>
      <c r="AI4348" s="492">
        <v>1.0999999999999999E-2</v>
      </c>
      <c r="AJ4348" s="485"/>
    </row>
    <row r="4349" spans="2:36">
      <c r="B4349" s="136" t="s">
        <v>479</v>
      </c>
      <c r="C4349" s="132" t="s">
        <v>1376</v>
      </c>
      <c r="D4349" s="132" t="s">
        <v>284</v>
      </c>
      <c r="E4349" s="508">
        <v>0.25800000000000001</v>
      </c>
      <c r="F4349" s="508">
        <v>0.222</v>
      </c>
      <c r="G4349" s="508">
        <v>0.20399999999999999</v>
      </c>
      <c r="H4349" s="508">
        <v>0.16700000000000001</v>
      </c>
      <c r="I4349" s="508">
        <v>0.16</v>
      </c>
      <c r="J4349" s="508">
        <v>0.14899999999999999</v>
      </c>
      <c r="K4349" s="508">
        <v>0.10299999999999999</v>
      </c>
      <c r="L4349" s="508">
        <v>0.10100000000000001</v>
      </c>
      <c r="M4349" s="508">
        <v>9.8000000000000004E-2</v>
      </c>
      <c r="N4349" s="508">
        <v>0.106</v>
      </c>
      <c r="O4349" s="508">
        <v>9.0999999999999998E-2</v>
      </c>
      <c r="P4349" s="508">
        <v>6.5000000000000002E-2</v>
      </c>
      <c r="Q4349" s="508">
        <v>5.2999999999999999E-2</v>
      </c>
      <c r="R4349" s="508">
        <v>5.7000000000000002E-2</v>
      </c>
      <c r="S4349" s="508">
        <v>6.5000000000000002E-2</v>
      </c>
      <c r="T4349" s="508">
        <v>5.3999999999999999E-2</v>
      </c>
      <c r="U4349" s="508">
        <v>5.2999999999999999E-2</v>
      </c>
      <c r="V4349" s="508">
        <v>2.7E-2</v>
      </c>
      <c r="W4349" s="508">
        <v>3.5000000000000003E-2</v>
      </c>
      <c r="X4349" s="508">
        <v>2.5000000000000001E-2</v>
      </c>
      <c r="Y4349" s="508">
        <v>2.5000000000000001E-2</v>
      </c>
      <c r="Z4349" s="508">
        <v>2.1000000000000001E-2</v>
      </c>
      <c r="AA4349" s="508">
        <v>0.02</v>
      </c>
      <c r="AB4349" s="508">
        <v>1.7999999999999999E-2</v>
      </c>
      <c r="AC4349" s="508">
        <v>1.7999999999999999E-2</v>
      </c>
      <c r="AD4349" s="508">
        <v>1.6E-2</v>
      </c>
      <c r="AE4349" s="508">
        <v>1.6E-2</v>
      </c>
      <c r="AF4349" s="508">
        <v>0.01</v>
      </c>
      <c r="AG4349" s="508">
        <v>0.01</v>
      </c>
      <c r="AH4349" s="508">
        <v>0.01</v>
      </c>
      <c r="AI4349" s="492">
        <v>0.01</v>
      </c>
      <c r="AJ4349" s="485"/>
    </row>
    <row r="4350" spans="2:36">
      <c r="B4350" s="136" t="s">
        <v>480</v>
      </c>
      <c r="C4350" s="132" t="s">
        <v>1376</v>
      </c>
      <c r="D4350" s="132" t="s">
        <v>284</v>
      </c>
      <c r="E4350" s="508">
        <v>0.45500000000000002</v>
      </c>
      <c r="F4350" s="508">
        <v>0.39600000000000002</v>
      </c>
      <c r="G4350" s="508">
        <v>0.36199999999999999</v>
      </c>
      <c r="H4350" s="508">
        <v>0.29199999999999998</v>
      </c>
      <c r="I4350" s="508">
        <v>0.27800000000000002</v>
      </c>
      <c r="J4350" s="508">
        <v>0.26500000000000001</v>
      </c>
      <c r="K4350" s="508">
        <v>0.17499999999999999</v>
      </c>
      <c r="L4350" s="508">
        <v>0.17</v>
      </c>
      <c r="M4350" s="508">
        <v>0.16600000000000001</v>
      </c>
      <c r="N4350" s="508">
        <v>0.188</v>
      </c>
      <c r="O4350" s="508">
        <v>0.159</v>
      </c>
      <c r="P4350" s="508">
        <v>0.112</v>
      </c>
      <c r="Q4350" s="508">
        <v>9.4E-2</v>
      </c>
      <c r="R4350" s="508">
        <v>9.9000000000000005E-2</v>
      </c>
      <c r="S4350" s="508">
        <v>0.113</v>
      </c>
      <c r="T4350" s="508">
        <v>9.2999999999999999E-2</v>
      </c>
      <c r="U4350" s="508">
        <v>8.8999999999999996E-2</v>
      </c>
      <c r="V4350" s="508">
        <v>4.4999999999999998E-2</v>
      </c>
      <c r="W4350" s="508">
        <v>5.8999999999999997E-2</v>
      </c>
      <c r="X4350" s="508">
        <v>2.5999999999999999E-2</v>
      </c>
      <c r="Y4350" s="508">
        <v>2.5999999999999999E-2</v>
      </c>
      <c r="Z4350" s="508">
        <v>2.1000000000000001E-2</v>
      </c>
      <c r="AA4350" s="508">
        <v>2.1000000000000001E-2</v>
      </c>
      <c r="AB4350" s="508">
        <v>1.9E-2</v>
      </c>
      <c r="AC4350" s="508">
        <v>1.9E-2</v>
      </c>
      <c r="AD4350" s="508">
        <v>1.7000000000000001E-2</v>
      </c>
      <c r="AE4350" s="508">
        <v>1.6E-2</v>
      </c>
      <c r="AF4350" s="508">
        <v>0.01</v>
      </c>
      <c r="AG4350" s="508">
        <v>0.01</v>
      </c>
      <c r="AH4350" s="508">
        <v>0.01</v>
      </c>
      <c r="AI4350" s="492">
        <v>0.01</v>
      </c>
      <c r="AJ4350" s="485"/>
    </row>
    <row r="4351" spans="2:36">
      <c r="B4351" s="136" t="s">
        <v>481</v>
      </c>
      <c r="C4351" s="132" t="s">
        <v>1376</v>
      </c>
      <c r="D4351" s="132" t="s">
        <v>284</v>
      </c>
      <c r="E4351" s="508">
        <v>0.312</v>
      </c>
      <c r="F4351" s="508">
        <v>0.26700000000000002</v>
      </c>
      <c r="G4351" s="508">
        <v>0.245</v>
      </c>
      <c r="H4351" s="508">
        <v>0.19700000000000001</v>
      </c>
      <c r="I4351" s="508">
        <v>0.188</v>
      </c>
      <c r="J4351" s="508">
        <v>0.17799999999999999</v>
      </c>
      <c r="K4351" s="508">
        <v>0.124</v>
      </c>
      <c r="L4351" s="508">
        <v>0.12</v>
      </c>
      <c r="M4351" s="508">
        <v>0.11799999999999999</v>
      </c>
      <c r="N4351" s="508">
        <v>0.122</v>
      </c>
      <c r="O4351" s="508">
        <v>0.108</v>
      </c>
      <c r="P4351" s="508">
        <v>7.8E-2</v>
      </c>
      <c r="Q4351" s="508">
        <v>6.3E-2</v>
      </c>
      <c r="R4351" s="508">
        <v>6.7000000000000004E-2</v>
      </c>
      <c r="S4351" s="508">
        <v>7.8E-2</v>
      </c>
      <c r="T4351" s="508">
        <v>6.4000000000000001E-2</v>
      </c>
      <c r="U4351" s="508">
        <v>5.8999999999999997E-2</v>
      </c>
      <c r="V4351" s="508">
        <v>0.03</v>
      </c>
      <c r="W4351" s="508">
        <v>3.9E-2</v>
      </c>
      <c r="X4351" s="508">
        <v>2.5000000000000001E-2</v>
      </c>
      <c r="Y4351" s="508">
        <v>2.5000000000000001E-2</v>
      </c>
      <c r="Z4351" s="508">
        <v>0.02</v>
      </c>
      <c r="AA4351" s="508">
        <v>0.02</v>
      </c>
      <c r="AB4351" s="508">
        <v>1.7999999999999999E-2</v>
      </c>
      <c r="AC4351" s="508">
        <v>1.7999999999999999E-2</v>
      </c>
      <c r="AD4351" s="508">
        <v>1.6E-2</v>
      </c>
      <c r="AE4351" s="508">
        <v>1.6E-2</v>
      </c>
      <c r="AF4351" s="508">
        <v>0.01</v>
      </c>
      <c r="AG4351" s="508">
        <v>0.01</v>
      </c>
      <c r="AH4351" s="508">
        <v>0.01</v>
      </c>
      <c r="AI4351" s="492">
        <v>0.01</v>
      </c>
      <c r="AJ4351" s="485"/>
    </row>
    <row r="4352" spans="2:36">
      <c r="B4352" s="136" t="s">
        <v>482</v>
      </c>
      <c r="C4352" s="132" t="s">
        <v>1376</v>
      </c>
      <c r="D4352" s="132" t="s">
        <v>284</v>
      </c>
      <c r="E4352" s="508">
        <v>0.22700000000000001</v>
      </c>
      <c r="F4352" s="508">
        <v>0.19900000000000001</v>
      </c>
      <c r="G4352" s="508">
        <v>0.184</v>
      </c>
      <c r="H4352" s="508">
        <v>0.14699999999999999</v>
      </c>
      <c r="I4352" s="508">
        <v>0.14099999999999999</v>
      </c>
      <c r="J4352" s="508">
        <v>0.13700000000000001</v>
      </c>
      <c r="K4352" s="508">
        <v>9.5000000000000001E-2</v>
      </c>
      <c r="L4352" s="508">
        <v>9.1999999999999998E-2</v>
      </c>
      <c r="M4352" s="508">
        <v>0.09</v>
      </c>
      <c r="N4352" s="508">
        <v>9.1999999999999998E-2</v>
      </c>
      <c r="O4352" s="508">
        <v>8.5000000000000006E-2</v>
      </c>
      <c r="P4352" s="508">
        <v>6.2E-2</v>
      </c>
      <c r="Q4352" s="508">
        <v>4.9000000000000002E-2</v>
      </c>
      <c r="R4352" s="508">
        <v>5.1999999999999998E-2</v>
      </c>
      <c r="S4352" s="508">
        <v>6.2E-2</v>
      </c>
      <c r="T4352" s="508">
        <v>5.0999999999999997E-2</v>
      </c>
      <c r="U4352" s="508">
        <v>4.8000000000000001E-2</v>
      </c>
      <c r="V4352" s="508">
        <v>2.4E-2</v>
      </c>
      <c r="W4352" s="508">
        <v>3.2000000000000001E-2</v>
      </c>
      <c r="X4352" s="508">
        <v>2.5000000000000001E-2</v>
      </c>
      <c r="Y4352" s="508">
        <v>2.5000000000000001E-2</v>
      </c>
      <c r="Z4352" s="508">
        <v>0.02</v>
      </c>
      <c r="AA4352" s="508">
        <v>0.02</v>
      </c>
      <c r="AB4352" s="508">
        <v>1.7999999999999999E-2</v>
      </c>
      <c r="AC4352" s="508">
        <v>1.7999999999999999E-2</v>
      </c>
      <c r="AD4352" s="508">
        <v>1.6E-2</v>
      </c>
      <c r="AE4352" s="508">
        <v>1.6E-2</v>
      </c>
      <c r="AF4352" s="508">
        <v>0.01</v>
      </c>
      <c r="AG4352" s="508">
        <v>0.01</v>
      </c>
      <c r="AH4352" s="508">
        <v>0.01</v>
      </c>
      <c r="AI4352" s="492">
        <v>0.01</v>
      </c>
      <c r="AJ4352" s="485"/>
    </row>
    <row r="4353" spans="2:36">
      <c r="B4353" s="136" t="s">
        <v>483</v>
      </c>
      <c r="C4353" s="132" t="s">
        <v>1376</v>
      </c>
      <c r="D4353" s="132" t="s">
        <v>284</v>
      </c>
      <c r="E4353" s="508">
        <v>0.44800000000000001</v>
      </c>
      <c r="F4353" s="508">
        <v>0.379</v>
      </c>
      <c r="G4353" s="508">
        <v>0.34499999999999997</v>
      </c>
      <c r="H4353" s="508">
        <v>0.27200000000000002</v>
      </c>
      <c r="I4353" s="508">
        <v>0.25800000000000001</v>
      </c>
      <c r="J4353" s="508">
        <v>0.249</v>
      </c>
      <c r="K4353" s="508">
        <v>0.17599999999999999</v>
      </c>
      <c r="L4353" s="508">
        <v>0.17100000000000001</v>
      </c>
      <c r="M4353" s="508">
        <v>0.16700000000000001</v>
      </c>
      <c r="N4353" s="508">
        <v>0.159</v>
      </c>
      <c r="O4353" s="508">
        <v>0.152</v>
      </c>
      <c r="P4353" s="508">
        <v>0.111</v>
      </c>
      <c r="Q4353" s="508">
        <v>8.5999999999999993E-2</v>
      </c>
      <c r="R4353" s="508">
        <v>9.0999999999999998E-2</v>
      </c>
      <c r="S4353" s="508">
        <v>0.11</v>
      </c>
      <c r="T4353" s="508">
        <v>8.8999999999999996E-2</v>
      </c>
      <c r="U4353" s="508">
        <v>0.08</v>
      </c>
      <c r="V4353" s="508">
        <v>4.1000000000000002E-2</v>
      </c>
      <c r="W4353" s="508">
        <v>5.3999999999999999E-2</v>
      </c>
      <c r="X4353" s="508">
        <v>2.5999999999999999E-2</v>
      </c>
      <c r="Y4353" s="508">
        <v>2.5999999999999999E-2</v>
      </c>
      <c r="Z4353" s="508">
        <v>2.1000000000000001E-2</v>
      </c>
      <c r="AA4353" s="508">
        <v>2.1000000000000001E-2</v>
      </c>
      <c r="AB4353" s="508">
        <v>1.9E-2</v>
      </c>
      <c r="AC4353" s="508">
        <v>1.9E-2</v>
      </c>
      <c r="AD4353" s="508">
        <v>1.7000000000000001E-2</v>
      </c>
      <c r="AE4353" s="508">
        <v>1.7000000000000001E-2</v>
      </c>
      <c r="AF4353" s="508">
        <v>1.0999999999999999E-2</v>
      </c>
      <c r="AG4353" s="508">
        <v>0.01</v>
      </c>
      <c r="AH4353" s="508">
        <v>0.01</v>
      </c>
      <c r="AI4353" s="492">
        <v>0.01</v>
      </c>
      <c r="AJ4353" s="485"/>
    </row>
    <row r="4354" spans="2:36">
      <c r="B4354" s="136" t="s">
        <v>484</v>
      </c>
      <c r="C4354" s="132" t="s">
        <v>1376</v>
      </c>
      <c r="D4354" s="132" t="s">
        <v>284</v>
      </c>
      <c r="E4354" s="508">
        <v>0.48499999999999999</v>
      </c>
      <c r="F4354" s="508">
        <v>0.40600000000000003</v>
      </c>
      <c r="G4354" s="508">
        <v>0.36799999999999999</v>
      </c>
      <c r="H4354" s="508">
        <v>0.30399999999999999</v>
      </c>
      <c r="I4354" s="508">
        <v>0.28799999999999998</v>
      </c>
      <c r="J4354" s="508">
        <v>0.25800000000000001</v>
      </c>
      <c r="K4354" s="508">
        <v>0.17499999999999999</v>
      </c>
      <c r="L4354" s="508">
        <v>0.17</v>
      </c>
      <c r="M4354" s="508">
        <v>0.16500000000000001</v>
      </c>
      <c r="N4354" s="508">
        <v>0.19500000000000001</v>
      </c>
      <c r="O4354" s="508">
        <v>0.152</v>
      </c>
      <c r="P4354" s="508">
        <v>0.106</v>
      </c>
      <c r="Q4354" s="508">
        <v>9.1999999999999998E-2</v>
      </c>
      <c r="R4354" s="508">
        <v>9.7000000000000003E-2</v>
      </c>
      <c r="S4354" s="508">
        <v>0.104</v>
      </c>
      <c r="T4354" s="508">
        <v>8.6999999999999994E-2</v>
      </c>
      <c r="U4354" s="508">
        <v>8.6999999999999994E-2</v>
      </c>
      <c r="V4354" s="508">
        <v>4.4999999999999998E-2</v>
      </c>
      <c r="W4354" s="508">
        <v>5.7000000000000002E-2</v>
      </c>
      <c r="X4354" s="508">
        <v>2.5999999999999999E-2</v>
      </c>
      <c r="Y4354" s="508">
        <v>2.5999999999999999E-2</v>
      </c>
      <c r="Z4354" s="508">
        <v>2.1000000000000001E-2</v>
      </c>
      <c r="AA4354" s="508">
        <v>2.1000000000000001E-2</v>
      </c>
      <c r="AB4354" s="508">
        <v>1.7999999999999999E-2</v>
      </c>
      <c r="AC4354" s="508">
        <v>1.7999999999999999E-2</v>
      </c>
      <c r="AD4354" s="508">
        <v>1.6E-2</v>
      </c>
      <c r="AE4354" s="508">
        <v>1.6E-2</v>
      </c>
      <c r="AF4354" s="508">
        <v>0.01</v>
      </c>
      <c r="AG4354" s="508">
        <v>0.01</v>
      </c>
      <c r="AH4354" s="508">
        <v>0.01</v>
      </c>
      <c r="AI4354" s="492">
        <v>0.01</v>
      </c>
      <c r="AJ4354" s="485"/>
    </row>
    <row r="4355" spans="2:36">
      <c r="B4355" s="136" t="s">
        <v>486</v>
      </c>
      <c r="C4355" s="132" t="s">
        <v>1376</v>
      </c>
      <c r="D4355" s="132" t="s">
        <v>284</v>
      </c>
      <c r="E4355" s="508">
        <v>0.34300000000000003</v>
      </c>
      <c r="F4355" s="508">
        <v>0.29499999999999998</v>
      </c>
      <c r="G4355" s="508">
        <v>0.27</v>
      </c>
      <c r="H4355" s="508">
        <v>0.216</v>
      </c>
      <c r="I4355" s="508">
        <v>0.20499999999999999</v>
      </c>
      <c r="J4355" s="508">
        <v>0.19700000000000001</v>
      </c>
      <c r="K4355" s="508">
        <v>0.13700000000000001</v>
      </c>
      <c r="L4355" s="508">
        <v>0.13300000000000001</v>
      </c>
      <c r="M4355" s="508">
        <v>0.13</v>
      </c>
      <c r="N4355" s="508">
        <v>0.13200000000000001</v>
      </c>
      <c r="O4355" s="508">
        <v>0.12</v>
      </c>
      <c r="P4355" s="508">
        <v>8.6999999999999994E-2</v>
      </c>
      <c r="Q4355" s="508">
        <v>6.9000000000000006E-2</v>
      </c>
      <c r="R4355" s="508">
        <v>7.3999999999999996E-2</v>
      </c>
      <c r="S4355" s="508">
        <v>8.6999999999999994E-2</v>
      </c>
      <c r="T4355" s="508">
        <v>7.0999999999999994E-2</v>
      </c>
      <c r="U4355" s="508">
        <v>6.7000000000000004E-2</v>
      </c>
      <c r="V4355" s="508">
        <v>3.4000000000000002E-2</v>
      </c>
      <c r="W4355" s="508">
        <v>4.4999999999999998E-2</v>
      </c>
      <c r="X4355" s="508">
        <v>2.5999999999999999E-2</v>
      </c>
      <c r="Y4355" s="508">
        <v>2.5999999999999999E-2</v>
      </c>
      <c r="Z4355" s="508">
        <v>2.1000000000000001E-2</v>
      </c>
      <c r="AA4355" s="508">
        <v>2.1000000000000001E-2</v>
      </c>
      <c r="AB4355" s="508">
        <v>1.9E-2</v>
      </c>
      <c r="AC4355" s="508">
        <v>1.9E-2</v>
      </c>
      <c r="AD4355" s="508">
        <v>1.7000000000000001E-2</v>
      </c>
      <c r="AE4355" s="508">
        <v>1.7000000000000001E-2</v>
      </c>
      <c r="AF4355" s="508">
        <v>1.0999999999999999E-2</v>
      </c>
      <c r="AG4355" s="508">
        <v>1.0999999999999999E-2</v>
      </c>
      <c r="AH4355" s="508">
        <v>1.0999999999999999E-2</v>
      </c>
      <c r="AI4355" s="492">
        <v>1.0999999999999999E-2</v>
      </c>
      <c r="AJ4355" s="485"/>
    </row>
    <row r="4356" spans="2:36">
      <c r="B4356" s="136" t="s">
        <v>487</v>
      </c>
      <c r="C4356" s="132" t="s">
        <v>1376</v>
      </c>
      <c r="D4356" s="132" t="s">
        <v>284</v>
      </c>
      <c r="E4356" s="508">
        <v>0.45700000000000002</v>
      </c>
      <c r="F4356" s="508">
        <v>0.39700000000000002</v>
      </c>
      <c r="G4356" s="508">
        <v>0.36299999999999999</v>
      </c>
      <c r="H4356" s="508">
        <v>0.28299999999999997</v>
      </c>
      <c r="I4356" s="508">
        <v>0.26900000000000002</v>
      </c>
      <c r="J4356" s="508">
        <v>0.26800000000000002</v>
      </c>
      <c r="K4356" s="508">
        <v>0.183</v>
      </c>
      <c r="L4356" s="508">
        <v>0.17799999999999999</v>
      </c>
      <c r="M4356" s="508">
        <v>0.17399999999999999</v>
      </c>
      <c r="N4356" s="508">
        <v>0.17</v>
      </c>
      <c r="O4356" s="508">
        <v>0.16300000000000001</v>
      </c>
      <c r="P4356" s="508">
        <v>0.11899999999999999</v>
      </c>
      <c r="Q4356" s="508">
        <v>9.2999999999999999E-2</v>
      </c>
      <c r="R4356" s="508">
        <v>9.8000000000000004E-2</v>
      </c>
      <c r="S4356" s="508">
        <v>0.12</v>
      </c>
      <c r="T4356" s="508">
        <v>9.8000000000000004E-2</v>
      </c>
      <c r="U4356" s="508">
        <v>8.6999999999999994E-2</v>
      </c>
      <c r="V4356" s="508">
        <v>4.3999999999999997E-2</v>
      </c>
      <c r="W4356" s="508">
        <v>5.8000000000000003E-2</v>
      </c>
      <c r="X4356" s="508">
        <v>2.7E-2</v>
      </c>
      <c r="Y4356" s="508">
        <v>2.7E-2</v>
      </c>
      <c r="Z4356" s="508">
        <v>2.1999999999999999E-2</v>
      </c>
      <c r="AA4356" s="508">
        <v>2.1999999999999999E-2</v>
      </c>
      <c r="AB4356" s="508">
        <v>1.9E-2</v>
      </c>
      <c r="AC4356" s="508">
        <v>1.9E-2</v>
      </c>
      <c r="AD4356" s="508">
        <v>1.7000000000000001E-2</v>
      </c>
      <c r="AE4356" s="508">
        <v>1.7000000000000001E-2</v>
      </c>
      <c r="AF4356" s="508">
        <v>1.0999999999999999E-2</v>
      </c>
      <c r="AG4356" s="508">
        <v>1.0999999999999999E-2</v>
      </c>
      <c r="AH4356" s="508">
        <v>1.0999999999999999E-2</v>
      </c>
      <c r="AI4356" s="492">
        <v>1.0999999999999999E-2</v>
      </c>
      <c r="AJ4356" s="485"/>
    </row>
    <row r="4357" spans="2:36">
      <c r="B4357" s="136" t="s">
        <v>488</v>
      </c>
      <c r="C4357" s="132" t="s">
        <v>1376</v>
      </c>
      <c r="D4357" s="132" t="s">
        <v>284</v>
      </c>
      <c r="E4357" s="508">
        <v>0.36099999999999999</v>
      </c>
      <c r="F4357" s="508">
        <v>0.311</v>
      </c>
      <c r="G4357" s="508">
        <v>0.28399999999999997</v>
      </c>
      <c r="H4357" s="508">
        <v>0.23100000000000001</v>
      </c>
      <c r="I4357" s="508">
        <v>0.22</v>
      </c>
      <c r="J4357" s="508">
        <v>0.20599999999999999</v>
      </c>
      <c r="K4357" s="508">
        <v>0.13900000000000001</v>
      </c>
      <c r="L4357" s="508">
        <v>0.13500000000000001</v>
      </c>
      <c r="M4357" s="508">
        <v>0.13200000000000001</v>
      </c>
      <c r="N4357" s="508">
        <v>0.14799999999999999</v>
      </c>
      <c r="O4357" s="508">
        <v>0.124</v>
      </c>
      <c r="P4357" s="508">
        <v>8.7999999999999995E-2</v>
      </c>
      <c r="Q4357" s="508">
        <v>7.2999999999999995E-2</v>
      </c>
      <c r="R4357" s="508">
        <v>7.8E-2</v>
      </c>
      <c r="S4357" s="508">
        <v>8.7999999999999995E-2</v>
      </c>
      <c r="T4357" s="508">
        <v>7.2999999999999995E-2</v>
      </c>
      <c r="U4357" s="508">
        <v>6.7000000000000004E-2</v>
      </c>
      <c r="V4357" s="508">
        <v>3.4000000000000002E-2</v>
      </c>
      <c r="W4357" s="508">
        <v>4.3999999999999997E-2</v>
      </c>
      <c r="X4357" s="508">
        <v>2.4E-2</v>
      </c>
      <c r="Y4357" s="508">
        <v>2.4E-2</v>
      </c>
      <c r="Z4357" s="508">
        <v>0.02</v>
      </c>
      <c r="AA4357" s="508">
        <v>0.02</v>
      </c>
      <c r="AB4357" s="508">
        <v>1.7000000000000001E-2</v>
      </c>
      <c r="AC4357" s="508">
        <v>1.7000000000000001E-2</v>
      </c>
      <c r="AD4357" s="508">
        <v>1.4999999999999999E-2</v>
      </c>
      <c r="AE4357" s="508">
        <v>1.4999999999999999E-2</v>
      </c>
      <c r="AF4357" s="508">
        <v>0.01</v>
      </c>
      <c r="AG4357" s="508">
        <v>0.01</v>
      </c>
      <c r="AH4357" s="508">
        <v>0.01</v>
      </c>
      <c r="AI4357" s="492">
        <v>0.01</v>
      </c>
      <c r="AJ4357" s="485"/>
    </row>
    <row r="4358" spans="2:36">
      <c r="B4358" s="136" t="s">
        <v>489</v>
      </c>
      <c r="C4358" s="132" t="s">
        <v>1376</v>
      </c>
      <c r="D4358" s="132" t="s">
        <v>284</v>
      </c>
      <c r="E4358" s="508">
        <v>0.496</v>
      </c>
      <c r="F4358" s="508">
        <v>0.41199999999999998</v>
      </c>
      <c r="G4358" s="508">
        <v>0.373</v>
      </c>
      <c r="H4358" s="508">
        <v>0.30399999999999999</v>
      </c>
      <c r="I4358" s="508">
        <v>0.28799999999999998</v>
      </c>
      <c r="J4358" s="508">
        <v>0.26100000000000001</v>
      </c>
      <c r="K4358" s="508">
        <v>0.182</v>
      </c>
      <c r="L4358" s="508">
        <v>0.17599999999999999</v>
      </c>
      <c r="M4358" s="508">
        <v>0.17100000000000001</v>
      </c>
      <c r="N4358" s="508">
        <v>0.187</v>
      </c>
      <c r="O4358" s="508">
        <v>0.155</v>
      </c>
      <c r="P4358" s="508">
        <v>0.11</v>
      </c>
      <c r="Q4358" s="508">
        <v>9.1999999999999998E-2</v>
      </c>
      <c r="R4358" s="508">
        <v>9.7000000000000003E-2</v>
      </c>
      <c r="S4358" s="508">
        <v>0.107</v>
      </c>
      <c r="T4358" s="508">
        <v>8.8999999999999996E-2</v>
      </c>
      <c r="U4358" s="508">
        <v>8.2000000000000003E-2</v>
      </c>
      <c r="V4358" s="508">
        <v>4.2999999999999997E-2</v>
      </c>
      <c r="W4358" s="508">
        <v>5.5E-2</v>
      </c>
      <c r="X4358" s="508">
        <v>2.5000000000000001E-2</v>
      </c>
      <c r="Y4358" s="508">
        <v>2.5000000000000001E-2</v>
      </c>
      <c r="Z4358" s="508">
        <v>0.02</v>
      </c>
      <c r="AA4358" s="508">
        <v>0.02</v>
      </c>
      <c r="AB4358" s="508">
        <v>1.7999999999999999E-2</v>
      </c>
      <c r="AC4358" s="508">
        <v>1.7000000000000001E-2</v>
      </c>
      <c r="AD4358" s="508">
        <v>1.6E-2</v>
      </c>
      <c r="AE4358" s="508">
        <v>1.4999999999999999E-2</v>
      </c>
      <c r="AF4358" s="508">
        <v>0.01</v>
      </c>
      <c r="AG4358" s="508">
        <v>0.01</v>
      </c>
      <c r="AH4358" s="508">
        <v>0.01</v>
      </c>
      <c r="AI4358" s="492">
        <v>0.01</v>
      </c>
      <c r="AJ4358" s="485"/>
    </row>
    <row r="4359" spans="2:36">
      <c r="B4359" s="136" t="s">
        <v>490</v>
      </c>
      <c r="C4359" s="132" t="s">
        <v>1376</v>
      </c>
      <c r="D4359" s="132" t="s">
        <v>284</v>
      </c>
      <c r="E4359" s="508">
        <v>0.48699999999999999</v>
      </c>
      <c r="F4359" s="508">
        <v>0.42799999999999999</v>
      </c>
      <c r="G4359" s="508">
        <v>0.39100000000000001</v>
      </c>
      <c r="H4359" s="508">
        <v>0.313</v>
      </c>
      <c r="I4359" s="508">
        <v>0.29799999999999999</v>
      </c>
      <c r="J4359" s="508">
        <v>0.28899999999999998</v>
      </c>
      <c r="K4359" s="508">
        <v>0.19</v>
      </c>
      <c r="L4359" s="508">
        <v>0.185</v>
      </c>
      <c r="M4359" s="508">
        <v>0.18099999999999999</v>
      </c>
      <c r="N4359" s="508">
        <v>0.19900000000000001</v>
      </c>
      <c r="O4359" s="508">
        <v>0.17399999999999999</v>
      </c>
      <c r="P4359" s="508">
        <v>0.123</v>
      </c>
      <c r="Q4359" s="508">
        <v>0.10199999999999999</v>
      </c>
      <c r="R4359" s="508">
        <v>0.107</v>
      </c>
      <c r="S4359" s="508">
        <v>0.125</v>
      </c>
      <c r="T4359" s="508">
        <v>0.10299999999999999</v>
      </c>
      <c r="U4359" s="508">
        <v>9.2999999999999999E-2</v>
      </c>
      <c r="V4359" s="508">
        <v>4.7E-2</v>
      </c>
      <c r="W4359" s="508">
        <v>6.2E-2</v>
      </c>
      <c r="X4359" s="508">
        <v>2.5999999999999999E-2</v>
      </c>
      <c r="Y4359" s="508">
        <v>2.5999999999999999E-2</v>
      </c>
      <c r="Z4359" s="508">
        <v>2.1000000000000001E-2</v>
      </c>
      <c r="AA4359" s="508">
        <v>2.1000000000000001E-2</v>
      </c>
      <c r="AB4359" s="508">
        <v>1.9E-2</v>
      </c>
      <c r="AC4359" s="508">
        <v>1.7999999999999999E-2</v>
      </c>
      <c r="AD4359" s="508">
        <v>1.6E-2</v>
      </c>
      <c r="AE4359" s="508">
        <v>1.6E-2</v>
      </c>
      <c r="AF4359" s="508">
        <v>0.01</v>
      </c>
      <c r="AG4359" s="508">
        <v>0.01</v>
      </c>
      <c r="AH4359" s="508">
        <v>0.01</v>
      </c>
      <c r="AI4359" s="492">
        <v>0.01</v>
      </c>
      <c r="AJ4359" s="485"/>
    </row>
    <row r="4360" spans="2:36">
      <c r="B4360" s="136" t="s">
        <v>435</v>
      </c>
      <c r="C4360" s="132" t="s">
        <v>1377</v>
      </c>
      <c r="D4360" s="132" t="s">
        <v>284</v>
      </c>
      <c r="E4360" s="508"/>
      <c r="F4360" s="508"/>
      <c r="G4360" s="508"/>
      <c r="H4360" s="508"/>
      <c r="I4360" s="508"/>
      <c r="J4360" s="508">
        <v>0.35</v>
      </c>
      <c r="K4360" s="508">
        <v>0.35</v>
      </c>
      <c r="L4360" s="508">
        <v>0.35</v>
      </c>
      <c r="M4360" s="508">
        <v>0.35</v>
      </c>
      <c r="N4360" s="508">
        <v>0.35</v>
      </c>
      <c r="O4360" s="508">
        <v>0.35</v>
      </c>
      <c r="P4360" s="508">
        <v>0.26500000000000001</v>
      </c>
      <c r="Q4360" s="508">
        <v>0.26500000000000001</v>
      </c>
      <c r="R4360" s="508">
        <v>0.26500000000000001</v>
      </c>
      <c r="S4360" s="508">
        <v>0.26500000000000001</v>
      </c>
      <c r="T4360" s="508">
        <v>0.26500000000000001</v>
      </c>
      <c r="U4360" s="508">
        <v>0.20100000000000001</v>
      </c>
      <c r="V4360" s="508">
        <v>8.9999999999999993E-3</v>
      </c>
      <c r="W4360" s="508">
        <v>8.9999999999999993E-3</v>
      </c>
      <c r="X4360" s="508">
        <v>8.9999999999999993E-3</v>
      </c>
      <c r="Y4360" s="508">
        <v>8.9999999999999993E-3</v>
      </c>
      <c r="Z4360" s="508">
        <v>8.0000000000000002E-3</v>
      </c>
      <c r="AA4360" s="508">
        <v>3.0000000000000001E-3</v>
      </c>
      <c r="AB4360" s="508">
        <v>3.0000000000000001E-3</v>
      </c>
      <c r="AC4360" s="508">
        <v>3.0000000000000001E-3</v>
      </c>
      <c r="AD4360" s="508">
        <v>2E-3</v>
      </c>
      <c r="AE4360" s="508">
        <v>2E-3</v>
      </c>
      <c r="AF4360" s="508">
        <v>2E-3</v>
      </c>
      <c r="AG4360" s="508">
        <v>2E-3</v>
      </c>
      <c r="AH4360" s="508">
        <v>2E-3</v>
      </c>
      <c r="AI4360" s="492">
        <v>2E-3</v>
      </c>
      <c r="AJ4360" s="485"/>
    </row>
    <row r="4361" spans="2:36">
      <c r="B4361" s="136" t="s">
        <v>436</v>
      </c>
      <c r="C4361" s="132" t="s">
        <v>1377</v>
      </c>
      <c r="D4361" s="132" t="s">
        <v>284</v>
      </c>
      <c r="E4361" s="508"/>
      <c r="F4361" s="508"/>
      <c r="G4361" s="508"/>
      <c r="H4361" s="508"/>
      <c r="I4361" s="508"/>
      <c r="J4361" s="508">
        <v>0.373</v>
      </c>
      <c r="K4361" s="508">
        <v>0.373</v>
      </c>
      <c r="L4361" s="508">
        <v>0.373</v>
      </c>
      <c r="M4361" s="508">
        <v>0.372</v>
      </c>
      <c r="N4361" s="508">
        <v>0.372</v>
      </c>
      <c r="O4361" s="508">
        <v>0.372</v>
      </c>
      <c r="P4361" s="508">
        <v>0.28199999999999997</v>
      </c>
      <c r="Q4361" s="508">
        <v>0.28199999999999997</v>
      </c>
      <c r="R4361" s="508">
        <v>0.28199999999999997</v>
      </c>
      <c r="S4361" s="508">
        <v>0.28199999999999997</v>
      </c>
      <c r="T4361" s="508">
        <v>0.28199999999999997</v>
      </c>
      <c r="U4361" s="508">
        <v>0.214</v>
      </c>
      <c r="V4361" s="508">
        <v>0.01</v>
      </c>
      <c r="W4361" s="508">
        <v>0.01</v>
      </c>
      <c r="X4361" s="508">
        <v>0.01</v>
      </c>
      <c r="Y4361" s="508">
        <v>8.9999999999999993E-3</v>
      </c>
      <c r="Z4361" s="508">
        <v>8.0000000000000002E-3</v>
      </c>
      <c r="AA4361" s="508">
        <v>3.0000000000000001E-3</v>
      </c>
      <c r="AB4361" s="508">
        <v>3.0000000000000001E-3</v>
      </c>
      <c r="AC4361" s="508">
        <v>3.0000000000000001E-3</v>
      </c>
      <c r="AD4361" s="508">
        <v>2E-3</v>
      </c>
      <c r="AE4361" s="508">
        <v>2E-3</v>
      </c>
      <c r="AF4361" s="508">
        <v>2E-3</v>
      </c>
      <c r="AG4361" s="508">
        <v>2E-3</v>
      </c>
      <c r="AH4361" s="508">
        <v>2E-3</v>
      </c>
      <c r="AI4361" s="492">
        <v>2E-3</v>
      </c>
      <c r="AJ4361" s="485"/>
    </row>
    <row r="4362" spans="2:36">
      <c r="B4362" s="136" t="s">
        <v>437</v>
      </c>
      <c r="C4362" s="132" t="s">
        <v>1377</v>
      </c>
      <c r="D4362" s="132" t="s">
        <v>284</v>
      </c>
      <c r="E4362" s="508"/>
      <c r="F4362" s="508"/>
      <c r="G4362" s="508"/>
      <c r="H4362" s="508"/>
      <c r="I4362" s="508"/>
      <c r="J4362" s="508">
        <v>0.36799999999999999</v>
      </c>
      <c r="K4362" s="508">
        <v>0.36799999999999999</v>
      </c>
      <c r="L4362" s="508">
        <v>0.36799999999999999</v>
      </c>
      <c r="M4362" s="508">
        <v>0.36799999999999999</v>
      </c>
      <c r="N4362" s="508">
        <v>0.36799999999999999</v>
      </c>
      <c r="O4362" s="508">
        <v>0.36799999999999999</v>
      </c>
      <c r="P4362" s="508">
        <v>0.27900000000000003</v>
      </c>
      <c r="Q4362" s="508">
        <v>0.27900000000000003</v>
      </c>
      <c r="R4362" s="508">
        <v>0.27900000000000003</v>
      </c>
      <c r="S4362" s="508">
        <v>0.27900000000000003</v>
      </c>
      <c r="T4362" s="508">
        <v>0.27900000000000003</v>
      </c>
      <c r="U4362" s="508">
        <v>0.21099999999999999</v>
      </c>
      <c r="V4362" s="508">
        <v>0.01</v>
      </c>
      <c r="W4362" s="508">
        <v>0.01</v>
      </c>
      <c r="X4362" s="508">
        <v>0.01</v>
      </c>
      <c r="Y4362" s="508">
        <v>0.01</v>
      </c>
      <c r="Z4362" s="508">
        <v>8.0000000000000002E-3</v>
      </c>
      <c r="AA4362" s="508">
        <v>3.0000000000000001E-3</v>
      </c>
      <c r="AB4362" s="508">
        <v>3.0000000000000001E-3</v>
      </c>
      <c r="AC4362" s="508">
        <v>3.0000000000000001E-3</v>
      </c>
      <c r="AD4362" s="508">
        <v>2E-3</v>
      </c>
      <c r="AE4362" s="508">
        <v>2E-3</v>
      </c>
      <c r="AF4362" s="508">
        <v>2E-3</v>
      </c>
      <c r="AG4362" s="508">
        <v>2E-3</v>
      </c>
      <c r="AH4362" s="508">
        <v>2E-3</v>
      </c>
      <c r="AI4362" s="492">
        <v>2E-3</v>
      </c>
      <c r="AJ4362" s="485"/>
    </row>
    <row r="4363" spans="2:36">
      <c r="B4363" s="136" t="s">
        <v>438</v>
      </c>
      <c r="C4363" s="132" t="s">
        <v>1377</v>
      </c>
      <c r="D4363" s="132" t="s">
        <v>284</v>
      </c>
      <c r="E4363" s="508"/>
      <c r="F4363" s="508"/>
      <c r="G4363" s="508"/>
      <c r="H4363" s="508"/>
      <c r="I4363" s="508"/>
      <c r="J4363" s="508">
        <v>0.375</v>
      </c>
      <c r="K4363" s="508">
        <v>0.375</v>
      </c>
      <c r="L4363" s="508">
        <v>0.375</v>
      </c>
      <c r="M4363" s="508">
        <v>0.375</v>
      </c>
      <c r="N4363" s="508">
        <v>0.375</v>
      </c>
      <c r="O4363" s="508">
        <v>0.375</v>
      </c>
      <c r="P4363" s="508">
        <v>0.28399999999999997</v>
      </c>
      <c r="Q4363" s="508">
        <v>0.28399999999999997</v>
      </c>
      <c r="R4363" s="508">
        <v>0.28399999999999997</v>
      </c>
      <c r="S4363" s="508">
        <v>0.28399999999999997</v>
      </c>
      <c r="T4363" s="508">
        <v>0.28399999999999997</v>
      </c>
      <c r="U4363" s="508">
        <v>0.215</v>
      </c>
      <c r="V4363" s="508">
        <v>0.01</v>
      </c>
      <c r="W4363" s="508">
        <v>0.01</v>
      </c>
      <c r="X4363" s="508">
        <v>8.9999999999999993E-3</v>
      </c>
      <c r="Y4363" s="508">
        <v>8.9999999999999993E-3</v>
      </c>
      <c r="Z4363" s="508">
        <v>8.0000000000000002E-3</v>
      </c>
      <c r="AA4363" s="508">
        <v>3.0000000000000001E-3</v>
      </c>
      <c r="AB4363" s="508">
        <v>3.0000000000000001E-3</v>
      </c>
      <c r="AC4363" s="508">
        <v>3.0000000000000001E-3</v>
      </c>
      <c r="AD4363" s="508">
        <v>2E-3</v>
      </c>
      <c r="AE4363" s="508">
        <v>2E-3</v>
      </c>
      <c r="AF4363" s="508">
        <v>2E-3</v>
      </c>
      <c r="AG4363" s="508">
        <v>2E-3</v>
      </c>
      <c r="AH4363" s="508">
        <v>2E-3</v>
      </c>
      <c r="AI4363" s="492">
        <v>2E-3</v>
      </c>
      <c r="AJ4363" s="485"/>
    </row>
    <row r="4364" spans="2:36">
      <c r="B4364" s="136" t="s">
        <v>439</v>
      </c>
      <c r="C4364" s="132" t="s">
        <v>1377</v>
      </c>
      <c r="D4364" s="132" t="s">
        <v>284</v>
      </c>
      <c r="E4364" s="508"/>
      <c r="F4364" s="508"/>
      <c r="G4364" s="508"/>
      <c r="H4364" s="508"/>
      <c r="I4364" s="508"/>
      <c r="J4364" s="508">
        <v>0.38100000000000001</v>
      </c>
      <c r="K4364" s="508">
        <v>0.38100000000000001</v>
      </c>
      <c r="L4364" s="508">
        <v>0.38100000000000001</v>
      </c>
      <c r="M4364" s="508">
        <v>0.38100000000000001</v>
      </c>
      <c r="N4364" s="508">
        <v>0.38100000000000001</v>
      </c>
      <c r="O4364" s="508">
        <v>0.38100000000000001</v>
      </c>
      <c r="P4364" s="508">
        <v>0.28899999999999998</v>
      </c>
      <c r="Q4364" s="508">
        <v>0.28899999999999998</v>
      </c>
      <c r="R4364" s="508">
        <v>0.28899999999999998</v>
      </c>
      <c r="S4364" s="508">
        <v>0.28899999999999998</v>
      </c>
      <c r="T4364" s="508">
        <v>0.28899999999999998</v>
      </c>
      <c r="U4364" s="508">
        <v>0.219</v>
      </c>
      <c r="V4364" s="508">
        <v>0.01</v>
      </c>
      <c r="W4364" s="508">
        <v>0.01</v>
      </c>
      <c r="X4364" s="508">
        <v>0.01</v>
      </c>
      <c r="Y4364" s="508">
        <v>0.01</v>
      </c>
      <c r="Z4364" s="508">
        <v>8.0000000000000002E-3</v>
      </c>
      <c r="AA4364" s="508">
        <v>3.0000000000000001E-3</v>
      </c>
      <c r="AB4364" s="508">
        <v>3.0000000000000001E-3</v>
      </c>
      <c r="AC4364" s="508">
        <v>3.0000000000000001E-3</v>
      </c>
      <c r="AD4364" s="508">
        <v>3.0000000000000001E-3</v>
      </c>
      <c r="AE4364" s="508">
        <v>3.0000000000000001E-3</v>
      </c>
      <c r="AF4364" s="508">
        <v>2E-3</v>
      </c>
      <c r="AG4364" s="508">
        <v>2E-3</v>
      </c>
      <c r="AH4364" s="508">
        <v>2E-3</v>
      </c>
      <c r="AI4364" s="492">
        <v>2E-3</v>
      </c>
      <c r="AJ4364" s="485"/>
    </row>
    <row r="4365" spans="2:36">
      <c r="B4365" s="136" t="s">
        <v>440</v>
      </c>
      <c r="C4365" s="132" t="s">
        <v>1377</v>
      </c>
      <c r="D4365" s="132" t="s">
        <v>284</v>
      </c>
      <c r="E4365" s="508"/>
      <c r="F4365" s="508"/>
      <c r="G4365" s="508"/>
      <c r="H4365" s="508"/>
      <c r="I4365" s="508"/>
      <c r="J4365" s="508">
        <v>0.373</v>
      </c>
      <c r="K4365" s="508">
        <v>0.373</v>
      </c>
      <c r="L4365" s="508">
        <v>0.373</v>
      </c>
      <c r="M4365" s="508">
        <v>0.373</v>
      </c>
      <c r="N4365" s="508">
        <v>0.373</v>
      </c>
      <c r="O4365" s="508">
        <v>0.373</v>
      </c>
      <c r="P4365" s="508">
        <v>0.28299999999999997</v>
      </c>
      <c r="Q4365" s="508">
        <v>0.28299999999999997</v>
      </c>
      <c r="R4365" s="508">
        <v>0.28299999999999997</v>
      </c>
      <c r="S4365" s="508">
        <v>0.28299999999999997</v>
      </c>
      <c r="T4365" s="508">
        <v>0.28299999999999997</v>
      </c>
      <c r="U4365" s="508">
        <v>0.214</v>
      </c>
      <c r="V4365" s="508">
        <v>0.01</v>
      </c>
      <c r="W4365" s="508">
        <v>0.01</v>
      </c>
      <c r="X4365" s="508">
        <v>0.01</v>
      </c>
      <c r="Y4365" s="508">
        <v>0.01</v>
      </c>
      <c r="Z4365" s="508">
        <v>8.0000000000000002E-3</v>
      </c>
      <c r="AA4365" s="508">
        <v>3.0000000000000001E-3</v>
      </c>
      <c r="AB4365" s="508">
        <v>3.0000000000000001E-3</v>
      </c>
      <c r="AC4365" s="508">
        <v>3.0000000000000001E-3</v>
      </c>
      <c r="AD4365" s="508">
        <v>2E-3</v>
      </c>
      <c r="AE4365" s="508">
        <v>2E-3</v>
      </c>
      <c r="AF4365" s="508">
        <v>2E-3</v>
      </c>
      <c r="AG4365" s="508">
        <v>2E-3</v>
      </c>
      <c r="AH4365" s="508">
        <v>2E-3</v>
      </c>
      <c r="AI4365" s="492">
        <v>2E-3</v>
      </c>
      <c r="AJ4365" s="485"/>
    </row>
    <row r="4366" spans="2:36">
      <c r="B4366" s="136" t="s">
        <v>441</v>
      </c>
      <c r="C4366" s="132" t="s">
        <v>1377</v>
      </c>
      <c r="D4366" s="132" t="s">
        <v>284</v>
      </c>
      <c r="E4366" s="508"/>
      <c r="F4366" s="508"/>
      <c r="G4366" s="508"/>
      <c r="H4366" s="508"/>
      <c r="I4366" s="508"/>
      <c r="J4366" s="508">
        <v>0.38600000000000001</v>
      </c>
      <c r="K4366" s="508">
        <v>0.38600000000000001</v>
      </c>
      <c r="L4366" s="508">
        <v>0.38600000000000001</v>
      </c>
      <c r="M4366" s="508">
        <v>0.38600000000000001</v>
      </c>
      <c r="N4366" s="508">
        <v>0.38600000000000001</v>
      </c>
      <c r="O4366" s="508">
        <v>0.38600000000000001</v>
      </c>
      <c r="P4366" s="508">
        <v>0.29299999999999998</v>
      </c>
      <c r="Q4366" s="508">
        <v>0.29299999999999998</v>
      </c>
      <c r="R4366" s="508">
        <v>0.29299999999999998</v>
      </c>
      <c r="S4366" s="508">
        <v>0.29299999999999998</v>
      </c>
      <c r="T4366" s="508">
        <v>0.29299999999999998</v>
      </c>
      <c r="U4366" s="508">
        <v>0.222</v>
      </c>
      <c r="V4366" s="508">
        <v>0.01</v>
      </c>
      <c r="W4366" s="508">
        <v>0.01</v>
      </c>
      <c r="X4366" s="508">
        <v>0.01</v>
      </c>
      <c r="Y4366" s="508">
        <v>0.01</v>
      </c>
      <c r="Z4366" s="508">
        <v>8.0000000000000002E-3</v>
      </c>
      <c r="AA4366" s="508">
        <v>3.0000000000000001E-3</v>
      </c>
      <c r="AB4366" s="508">
        <v>3.0000000000000001E-3</v>
      </c>
      <c r="AC4366" s="508">
        <v>3.0000000000000001E-3</v>
      </c>
      <c r="AD4366" s="508">
        <v>3.0000000000000001E-3</v>
      </c>
      <c r="AE4366" s="508">
        <v>3.0000000000000001E-3</v>
      </c>
      <c r="AF4366" s="508">
        <v>2E-3</v>
      </c>
      <c r="AG4366" s="508">
        <v>2E-3</v>
      </c>
      <c r="AH4366" s="508">
        <v>2E-3</v>
      </c>
      <c r="AI4366" s="492">
        <v>2E-3</v>
      </c>
      <c r="AJ4366" s="485"/>
    </row>
    <row r="4367" spans="2:36">
      <c r="B4367" s="136" t="s">
        <v>443</v>
      </c>
      <c r="C4367" s="132" t="s">
        <v>1377</v>
      </c>
      <c r="D4367" s="132" t="s">
        <v>284</v>
      </c>
      <c r="E4367" s="508"/>
      <c r="F4367" s="508"/>
      <c r="G4367" s="508"/>
      <c r="H4367" s="508"/>
      <c r="I4367" s="508"/>
      <c r="J4367" s="508">
        <v>0.33100000000000002</v>
      </c>
      <c r="K4367" s="508">
        <v>0.33100000000000002</v>
      </c>
      <c r="L4367" s="508">
        <v>0.33100000000000002</v>
      </c>
      <c r="M4367" s="508">
        <v>0.33100000000000002</v>
      </c>
      <c r="N4367" s="508">
        <v>0.33100000000000002</v>
      </c>
      <c r="O4367" s="508">
        <v>0.33100000000000002</v>
      </c>
      <c r="P4367" s="508">
        <v>0.251</v>
      </c>
      <c r="Q4367" s="508">
        <v>0.251</v>
      </c>
      <c r="R4367" s="508">
        <v>0.251</v>
      </c>
      <c r="S4367" s="508">
        <v>0.251</v>
      </c>
      <c r="T4367" s="508">
        <v>0.25</v>
      </c>
      <c r="U4367" s="508">
        <v>0.19</v>
      </c>
      <c r="V4367" s="508">
        <v>8.9999999999999993E-3</v>
      </c>
      <c r="W4367" s="508">
        <v>8.9999999999999993E-3</v>
      </c>
      <c r="X4367" s="508">
        <v>8.9999999999999993E-3</v>
      </c>
      <c r="Y4367" s="508">
        <v>8.9999999999999993E-3</v>
      </c>
      <c r="Z4367" s="508">
        <v>7.0000000000000001E-3</v>
      </c>
      <c r="AA4367" s="508">
        <v>3.0000000000000001E-3</v>
      </c>
      <c r="AB4367" s="508">
        <v>3.0000000000000001E-3</v>
      </c>
      <c r="AC4367" s="508">
        <v>3.0000000000000001E-3</v>
      </c>
      <c r="AD4367" s="508">
        <v>2E-3</v>
      </c>
      <c r="AE4367" s="508">
        <v>2E-3</v>
      </c>
      <c r="AF4367" s="508">
        <v>1E-3</v>
      </c>
      <c r="AG4367" s="508">
        <v>1E-3</v>
      </c>
      <c r="AH4367" s="508">
        <v>1E-3</v>
      </c>
      <c r="AI4367" s="492">
        <v>1E-3</v>
      </c>
      <c r="AJ4367" s="485"/>
    </row>
    <row r="4368" spans="2:36">
      <c r="B4368" s="136" t="s">
        <v>445</v>
      </c>
      <c r="C4368" s="132" t="s">
        <v>1377</v>
      </c>
      <c r="D4368" s="132" t="s">
        <v>284</v>
      </c>
      <c r="E4368" s="508"/>
      <c r="F4368" s="508"/>
      <c r="G4368" s="508"/>
      <c r="H4368" s="508"/>
      <c r="I4368" s="508"/>
      <c r="J4368" s="508">
        <v>0.32200000000000001</v>
      </c>
      <c r="K4368" s="508">
        <v>0.32200000000000001</v>
      </c>
      <c r="L4368" s="508">
        <v>0.32200000000000001</v>
      </c>
      <c r="M4368" s="508">
        <v>0.32200000000000001</v>
      </c>
      <c r="N4368" s="508">
        <v>0.32200000000000001</v>
      </c>
      <c r="O4368" s="508">
        <v>0.32200000000000001</v>
      </c>
      <c r="P4368" s="508">
        <v>0.24399999999999999</v>
      </c>
      <c r="Q4368" s="508">
        <v>0.24399999999999999</v>
      </c>
      <c r="R4368" s="508">
        <v>0.24399999999999999</v>
      </c>
      <c r="S4368" s="508">
        <v>0.24399999999999999</v>
      </c>
      <c r="T4368" s="508">
        <v>0.24399999999999999</v>
      </c>
      <c r="U4368" s="508">
        <v>0.185</v>
      </c>
      <c r="V4368" s="508">
        <v>8.9999999999999993E-3</v>
      </c>
      <c r="W4368" s="508">
        <v>8.9999999999999993E-3</v>
      </c>
      <c r="X4368" s="508">
        <v>8.9999999999999993E-3</v>
      </c>
      <c r="Y4368" s="508">
        <v>8.9999999999999993E-3</v>
      </c>
      <c r="Z4368" s="508">
        <v>8.0000000000000002E-3</v>
      </c>
      <c r="AA4368" s="508">
        <v>3.0000000000000001E-3</v>
      </c>
      <c r="AB4368" s="508">
        <v>3.0000000000000001E-3</v>
      </c>
      <c r="AC4368" s="508">
        <v>3.0000000000000001E-3</v>
      </c>
      <c r="AD4368" s="508">
        <v>2E-3</v>
      </c>
      <c r="AE4368" s="508">
        <v>2E-3</v>
      </c>
      <c r="AF4368" s="508">
        <v>2E-3</v>
      </c>
      <c r="AG4368" s="508">
        <v>2E-3</v>
      </c>
      <c r="AH4368" s="508">
        <v>2E-3</v>
      </c>
      <c r="AI4368" s="492">
        <v>2E-3</v>
      </c>
      <c r="AJ4368" s="485"/>
    </row>
    <row r="4369" spans="2:36">
      <c r="B4369" s="136" t="s">
        <v>446</v>
      </c>
      <c r="C4369" s="132" t="s">
        <v>1377</v>
      </c>
      <c r="D4369" s="132" t="s">
        <v>284</v>
      </c>
      <c r="E4369" s="508"/>
      <c r="F4369" s="508"/>
      <c r="G4369" s="508"/>
      <c r="H4369" s="508"/>
      <c r="I4369" s="508"/>
      <c r="J4369" s="508">
        <v>0.33700000000000002</v>
      </c>
      <c r="K4369" s="508">
        <v>0.33700000000000002</v>
      </c>
      <c r="L4369" s="508">
        <v>0.33700000000000002</v>
      </c>
      <c r="M4369" s="508">
        <v>0.33700000000000002</v>
      </c>
      <c r="N4369" s="508">
        <v>0.33700000000000002</v>
      </c>
      <c r="O4369" s="508">
        <v>0.33700000000000002</v>
      </c>
      <c r="P4369" s="508">
        <v>0.255</v>
      </c>
      <c r="Q4369" s="508">
        <v>0.255</v>
      </c>
      <c r="R4369" s="508">
        <v>0.255</v>
      </c>
      <c r="S4369" s="508">
        <v>0.255</v>
      </c>
      <c r="T4369" s="508">
        <v>0.255</v>
      </c>
      <c r="U4369" s="508">
        <v>0.193</v>
      </c>
      <c r="V4369" s="508">
        <v>8.9999999999999993E-3</v>
      </c>
      <c r="W4369" s="508">
        <v>8.9999999999999993E-3</v>
      </c>
      <c r="X4369" s="508">
        <v>8.9999999999999993E-3</v>
      </c>
      <c r="Y4369" s="508">
        <v>8.9999999999999993E-3</v>
      </c>
      <c r="Z4369" s="508">
        <v>8.0000000000000002E-3</v>
      </c>
      <c r="AA4369" s="508">
        <v>3.0000000000000001E-3</v>
      </c>
      <c r="AB4369" s="508">
        <v>3.0000000000000001E-3</v>
      </c>
      <c r="AC4369" s="508">
        <v>3.0000000000000001E-3</v>
      </c>
      <c r="AD4369" s="508">
        <v>2E-3</v>
      </c>
      <c r="AE4369" s="508">
        <v>2E-3</v>
      </c>
      <c r="AF4369" s="508">
        <v>2E-3</v>
      </c>
      <c r="AG4369" s="508">
        <v>2E-3</v>
      </c>
      <c r="AH4369" s="508">
        <v>2E-3</v>
      </c>
      <c r="AI4369" s="492">
        <v>2E-3</v>
      </c>
      <c r="AJ4369" s="485"/>
    </row>
    <row r="4370" spans="2:36">
      <c r="B4370" s="136" t="s">
        <v>448</v>
      </c>
      <c r="C4370" s="132" t="s">
        <v>1377</v>
      </c>
      <c r="D4370" s="132" t="s">
        <v>284</v>
      </c>
      <c r="E4370" s="508"/>
      <c r="F4370" s="508"/>
      <c r="G4370" s="508"/>
      <c r="H4370" s="508"/>
      <c r="I4370" s="508"/>
      <c r="J4370" s="508">
        <v>0.37</v>
      </c>
      <c r="K4370" s="508">
        <v>0.37</v>
      </c>
      <c r="L4370" s="508">
        <v>0.37</v>
      </c>
      <c r="M4370" s="508">
        <v>0.37</v>
      </c>
      <c r="N4370" s="508">
        <v>0.37</v>
      </c>
      <c r="O4370" s="508">
        <v>0.37</v>
      </c>
      <c r="P4370" s="508">
        <v>0.28000000000000003</v>
      </c>
      <c r="Q4370" s="508">
        <v>0.28000000000000003</v>
      </c>
      <c r="R4370" s="508">
        <v>0.28000000000000003</v>
      </c>
      <c r="S4370" s="508">
        <v>0.28000000000000003</v>
      </c>
      <c r="T4370" s="508">
        <v>0.28000000000000003</v>
      </c>
      <c r="U4370" s="508">
        <v>0.21199999999999999</v>
      </c>
      <c r="V4370" s="508">
        <v>0.01</v>
      </c>
      <c r="W4370" s="508">
        <v>8.9999999999999993E-3</v>
      </c>
      <c r="X4370" s="508">
        <v>8.9999999999999993E-3</v>
      </c>
      <c r="Y4370" s="508">
        <v>8.9999999999999993E-3</v>
      </c>
      <c r="Z4370" s="508">
        <v>8.0000000000000002E-3</v>
      </c>
      <c r="AA4370" s="508">
        <v>3.0000000000000001E-3</v>
      </c>
      <c r="AB4370" s="508">
        <v>3.0000000000000001E-3</v>
      </c>
      <c r="AC4370" s="508">
        <v>3.0000000000000001E-3</v>
      </c>
      <c r="AD4370" s="508">
        <v>2E-3</v>
      </c>
      <c r="AE4370" s="508">
        <v>2E-3</v>
      </c>
      <c r="AF4370" s="508">
        <v>2E-3</v>
      </c>
      <c r="AG4370" s="508">
        <v>2E-3</v>
      </c>
      <c r="AH4370" s="508">
        <v>2E-3</v>
      </c>
      <c r="AI4370" s="492">
        <v>2E-3</v>
      </c>
      <c r="AJ4370" s="485"/>
    </row>
    <row r="4371" spans="2:36">
      <c r="B4371" s="136" t="s">
        <v>449</v>
      </c>
      <c r="C4371" s="132" t="s">
        <v>1377</v>
      </c>
      <c r="D4371" s="132" t="s">
        <v>284</v>
      </c>
      <c r="E4371" s="508"/>
      <c r="F4371" s="508"/>
      <c r="G4371" s="508"/>
      <c r="H4371" s="508"/>
      <c r="I4371" s="508"/>
      <c r="J4371" s="508">
        <v>0.33900000000000002</v>
      </c>
      <c r="K4371" s="508">
        <v>0.33900000000000002</v>
      </c>
      <c r="L4371" s="508">
        <v>0.33800000000000002</v>
      </c>
      <c r="M4371" s="508">
        <v>0.33800000000000002</v>
      </c>
      <c r="N4371" s="508">
        <v>0.33800000000000002</v>
      </c>
      <c r="O4371" s="508">
        <v>0.33800000000000002</v>
      </c>
      <c r="P4371" s="508">
        <v>0.25700000000000001</v>
      </c>
      <c r="Q4371" s="508">
        <v>0.25600000000000001</v>
      </c>
      <c r="R4371" s="508">
        <v>0.25600000000000001</v>
      </c>
      <c r="S4371" s="508">
        <v>0.25600000000000001</v>
      </c>
      <c r="T4371" s="508">
        <v>0.25600000000000001</v>
      </c>
      <c r="U4371" s="508">
        <v>0.19400000000000001</v>
      </c>
      <c r="V4371" s="508">
        <v>8.9999999999999993E-3</v>
      </c>
      <c r="W4371" s="508">
        <v>8.9999999999999993E-3</v>
      </c>
      <c r="X4371" s="508">
        <v>8.9999999999999993E-3</v>
      </c>
      <c r="Y4371" s="508">
        <v>8.9999999999999993E-3</v>
      </c>
      <c r="Z4371" s="508">
        <v>8.0000000000000002E-3</v>
      </c>
      <c r="AA4371" s="508">
        <v>3.0000000000000001E-3</v>
      </c>
      <c r="AB4371" s="508">
        <v>3.0000000000000001E-3</v>
      </c>
      <c r="AC4371" s="508">
        <v>3.0000000000000001E-3</v>
      </c>
      <c r="AD4371" s="508">
        <v>2E-3</v>
      </c>
      <c r="AE4371" s="508">
        <v>2E-3</v>
      </c>
      <c r="AF4371" s="508">
        <v>2E-3</v>
      </c>
      <c r="AG4371" s="508">
        <v>2E-3</v>
      </c>
      <c r="AH4371" s="508">
        <v>2E-3</v>
      </c>
      <c r="AI4371" s="492">
        <v>2E-3</v>
      </c>
      <c r="AJ4371" s="485"/>
    </row>
    <row r="4372" spans="2:36">
      <c r="B4372" s="136" t="s">
        <v>450</v>
      </c>
      <c r="C4372" s="132" t="s">
        <v>1377</v>
      </c>
      <c r="D4372" s="132" t="s">
        <v>284</v>
      </c>
      <c r="E4372" s="508"/>
      <c r="F4372" s="508"/>
      <c r="G4372" s="508"/>
      <c r="H4372" s="508"/>
      <c r="I4372" s="508"/>
      <c r="J4372" s="508">
        <v>0.36199999999999999</v>
      </c>
      <c r="K4372" s="508">
        <v>0.36199999999999999</v>
      </c>
      <c r="L4372" s="508">
        <v>0.36199999999999999</v>
      </c>
      <c r="M4372" s="508">
        <v>0.36199999999999999</v>
      </c>
      <c r="N4372" s="508">
        <v>0.36199999999999999</v>
      </c>
      <c r="O4372" s="508">
        <v>0.36199999999999999</v>
      </c>
      <c r="P4372" s="508">
        <v>0.27400000000000002</v>
      </c>
      <c r="Q4372" s="508">
        <v>0.27400000000000002</v>
      </c>
      <c r="R4372" s="508">
        <v>0.27400000000000002</v>
      </c>
      <c r="S4372" s="508">
        <v>0.27400000000000002</v>
      </c>
      <c r="T4372" s="508">
        <v>0.27400000000000002</v>
      </c>
      <c r="U4372" s="508">
        <v>0.20799999999999999</v>
      </c>
      <c r="V4372" s="508">
        <v>8.9999999999999993E-3</v>
      </c>
      <c r="W4372" s="508">
        <v>8.9999999999999993E-3</v>
      </c>
      <c r="X4372" s="508">
        <v>8.9999999999999993E-3</v>
      </c>
      <c r="Y4372" s="508">
        <v>8.9999999999999993E-3</v>
      </c>
      <c r="Z4372" s="508">
        <v>8.0000000000000002E-3</v>
      </c>
      <c r="AA4372" s="508">
        <v>3.0000000000000001E-3</v>
      </c>
      <c r="AB4372" s="508">
        <v>3.0000000000000001E-3</v>
      </c>
      <c r="AC4372" s="508">
        <v>3.0000000000000001E-3</v>
      </c>
      <c r="AD4372" s="508">
        <v>2E-3</v>
      </c>
      <c r="AE4372" s="508">
        <v>2E-3</v>
      </c>
      <c r="AF4372" s="508">
        <v>2E-3</v>
      </c>
      <c r="AG4372" s="508">
        <v>2E-3</v>
      </c>
      <c r="AH4372" s="508">
        <v>2E-3</v>
      </c>
      <c r="AI4372" s="492">
        <v>2E-3</v>
      </c>
      <c r="AJ4372" s="485"/>
    </row>
    <row r="4373" spans="2:36">
      <c r="B4373" s="136" t="s">
        <v>451</v>
      </c>
      <c r="C4373" s="132" t="s">
        <v>1377</v>
      </c>
      <c r="D4373" s="132" t="s">
        <v>284</v>
      </c>
      <c r="E4373" s="508"/>
      <c r="F4373" s="508"/>
      <c r="G4373" s="508"/>
      <c r="H4373" s="508"/>
      <c r="I4373" s="508"/>
      <c r="J4373" s="508">
        <v>0.34699999999999998</v>
      </c>
      <c r="K4373" s="508">
        <v>0.34699999999999998</v>
      </c>
      <c r="L4373" s="508">
        <v>0.34699999999999998</v>
      </c>
      <c r="M4373" s="508">
        <v>0.34699999999999998</v>
      </c>
      <c r="N4373" s="508">
        <v>0.34699999999999998</v>
      </c>
      <c r="O4373" s="508">
        <v>0.34699999999999998</v>
      </c>
      <c r="P4373" s="508">
        <v>0.26300000000000001</v>
      </c>
      <c r="Q4373" s="508">
        <v>0.26300000000000001</v>
      </c>
      <c r="R4373" s="508">
        <v>0.26300000000000001</v>
      </c>
      <c r="S4373" s="508">
        <v>0.26300000000000001</v>
      </c>
      <c r="T4373" s="508">
        <v>0.26300000000000001</v>
      </c>
      <c r="U4373" s="508">
        <v>0.19900000000000001</v>
      </c>
      <c r="V4373" s="508">
        <v>0.01</v>
      </c>
      <c r="W4373" s="508">
        <v>0.01</v>
      </c>
      <c r="X4373" s="508">
        <v>0.01</v>
      </c>
      <c r="Y4373" s="508">
        <v>0.01</v>
      </c>
      <c r="Z4373" s="508">
        <v>8.0000000000000002E-3</v>
      </c>
      <c r="AA4373" s="508">
        <v>3.0000000000000001E-3</v>
      </c>
      <c r="AB4373" s="508">
        <v>3.0000000000000001E-3</v>
      </c>
      <c r="AC4373" s="508">
        <v>3.0000000000000001E-3</v>
      </c>
      <c r="AD4373" s="508">
        <v>2E-3</v>
      </c>
      <c r="AE4373" s="508">
        <v>2E-3</v>
      </c>
      <c r="AF4373" s="508">
        <v>2E-3</v>
      </c>
      <c r="AG4373" s="508">
        <v>2E-3</v>
      </c>
      <c r="AH4373" s="508">
        <v>2E-3</v>
      </c>
      <c r="AI4373" s="492">
        <v>2E-3</v>
      </c>
      <c r="AJ4373" s="485"/>
    </row>
    <row r="4374" spans="2:36">
      <c r="B4374" s="136" t="s">
        <v>452</v>
      </c>
      <c r="C4374" s="132" t="s">
        <v>1377</v>
      </c>
      <c r="D4374" s="132" t="s">
        <v>284</v>
      </c>
      <c r="E4374" s="508"/>
      <c r="F4374" s="508"/>
      <c r="G4374" s="508"/>
      <c r="H4374" s="508"/>
      <c r="I4374" s="508"/>
      <c r="J4374" s="508">
        <v>0.34899999999999998</v>
      </c>
      <c r="K4374" s="508">
        <v>0.34899999999999998</v>
      </c>
      <c r="L4374" s="508">
        <v>0.34899999999999998</v>
      </c>
      <c r="M4374" s="508">
        <v>0.34899999999999998</v>
      </c>
      <c r="N4374" s="508">
        <v>0.34899999999999998</v>
      </c>
      <c r="O4374" s="508">
        <v>0.34899999999999998</v>
      </c>
      <c r="P4374" s="508">
        <v>0.26400000000000001</v>
      </c>
      <c r="Q4374" s="508">
        <v>0.26400000000000001</v>
      </c>
      <c r="R4374" s="508">
        <v>0.26400000000000001</v>
      </c>
      <c r="S4374" s="508">
        <v>0.26400000000000001</v>
      </c>
      <c r="T4374" s="508">
        <v>0.26400000000000001</v>
      </c>
      <c r="U4374" s="508">
        <v>0.2</v>
      </c>
      <c r="V4374" s="508">
        <v>8.9999999999999993E-3</v>
      </c>
      <c r="W4374" s="508">
        <v>8.9999999999999993E-3</v>
      </c>
      <c r="X4374" s="508">
        <v>8.9999999999999993E-3</v>
      </c>
      <c r="Y4374" s="508">
        <v>8.9999999999999993E-3</v>
      </c>
      <c r="Z4374" s="508">
        <v>8.0000000000000002E-3</v>
      </c>
      <c r="AA4374" s="508">
        <v>3.0000000000000001E-3</v>
      </c>
      <c r="AB4374" s="508">
        <v>3.0000000000000001E-3</v>
      </c>
      <c r="AC4374" s="508">
        <v>3.0000000000000001E-3</v>
      </c>
      <c r="AD4374" s="508">
        <v>2E-3</v>
      </c>
      <c r="AE4374" s="508">
        <v>2E-3</v>
      </c>
      <c r="AF4374" s="508">
        <v>2E-3</v>
      </c>
      <c r="AG4374" s="508">
        <v>2E-3</v>
      </c>
      <c r="AH4374" s="508">
        <v>2E-3</v>
      </c>
      <c r="AI4374" s="492">
        <v>2E-3</v>
      </c>
      <c r="AJ4374" s="485"/>
    </row>
    <row r="4375" spans="2:36">
      <c r="B4375" s="136" t="s">
        <v>453</v>
      </c>
      <c r="C4375" s="132" t="s">
        <v>1377</v>
      </c>
      <c r="D4375" s="132" t="s">
        <v>284</v>
      </c>
      <c r="E4375" s="508"/>
      <c r="F4375" s="508"/>
      <c r="G4375" s="508"/>
      <c r="H4375" s="508"/>
      <c r="I4375" s="508"/>
      <c r="J4375" s="508">
        <v>0.36399999999999999</v>
      </c>
      <c r="K4375" s="508">
        <v>0.36399999999999999</v>
      </c>
      <c r="L4375" s="508">
        <v>0.36399999999999999</v>
      </c>
      <c r="M4375" s="508">
        <v>0.36399999999999999</v>
      </c>
      <c r="N4375" s="508">
        <v>0.36399999999999999</v>
      </c>
      <c r="O4375" s="508">
        <v>0.36399999999999999</v>
      </c>
      <c r="P4375" s="508">
        <v>0.27600000000000002</v>
      </c>
      <c r="Q4375" s="508">
        <v>0.27600000000000002</v>
      </c>
      <c r="R4375" s="508">
        <v>0.27600000000000002</v>
      </c>
      <c r="S4375" s="508">
        <v>0.27600000000000002</v>
      </c>
      <c r="T4375" s="508">
        <v>0.27600000000000002</v>
      </c>
      <c r="U4375" s="508">
        <v>0.20899999999999999</v>
      </c>
      <c r="V4375" s="508">
        <v>8.9999999999999993E-3</v>
      </c>
      <c r="W4375" s="508">
        <v>8.9999999999999993E-3</v>
      </c>
      <c r="X4375" s="508">
        <v>8.9999999999999993E-3</v>
      </c>
      <c r="Y4375" s="508">
        <v>8.9999999999999993E-3</v>
      </c>
      <c r="Z4375" s="508">
        <v>8.0000000000000002E-3</v>
      </c>
      <c r="AA4375" s="508">
        <v>3.0000000000000001E-3</v>
      </c>
      <c r="AB4375" s="508">
        <v>3.0000000000000001E-3</v>
      </c>
      <c r="AC4375" s="508">
        <v>3.0000000000000001E-3</v>
      </c>
      <c r="AD4375" s="508">
        <v>2E-3</v>
      </c>
      <c r="AE4375" s="508">
        <v>2E-3</v>
      </c>
      <c r="AF4375" s="508">
        <v>2E-3</v>
      </c>
      <c r="AG4375" s="508">
        <v>2E-3</v>
      </c>
      <c r="AH4375" s="508">
        <v>2E-3</v>
      </c>
      <c r="AI4375" s="492">
        <v>2E-3</v>
      </c>
      <c r="AJ4375" s="485"/>
    </row>
    <row r="4376" spans="2:36">
      <c r="B4376" s="136" t="s">
        <v>454</v>
      </c>
      <c r="C4376" s="132" t="s">
        <v>1377</v>
      </c>
      <c r="D4376" s="132" t="s">
        <v>284</v>
      </c>
      <c r="E4376" s="508"/>
      <c r="F4376" s="508"/>
      <c r="G4376" s="508"/>
      <c r="H4376" s="508"/>
      <c r="I4376" s="508"/>
      <c r="J4376" s="508">
        <v>0.36699999999999999</v>
      </c>
      <c r="K4376" s="508">
        <v>0.36699999999999999</v>
      </c>
      <c r="L4376" s="508">
        <v>0.36699999999999999</v>
      </c>
      <c r="M4376" s="508">
        <v>0.36699999999999999</v>
      </c>
      <c r="N4376" s="508">
        <v>0.36699999999999999</v>
      </c>
      <c r="O4376" s="508">
        <v>0.36699999999999999</v>
      </c>
      <c r="P4376" s="508">
        <v>0.27800000000000002</v>
      </c>
      <c r="Q4376" s="508">
        <v>0.27800000000000002</v>
      </c>
      <c r="R4376" s="508">
        <v>0.27800000000000002</v>
      </c>
      <c r="S4376" s="508">
        <v>0.27800000000000002</v>
      </c>
      <c r="T4376" s="508">
        <v>0.27800000000000002</v>
      </c>
      <c r="U4376" s="508">
        <v>0.21099999999999999</v>
      </c>
      <c r="V4376" s="508">
        <v>8.9999999999999993E-3</v>
      </c>
      <c r="W4376" s="508">
        <v>8.9999999999999993E-3</v>
      </c>
      <c r="X4376" s="508">
        <v>8.9999999999999993E-3</v>
      </c>
      <c r="Y4376" s="508">
        <v>8.9999999999999993E-3</v>
      </c>
      <c r="Z4376" s="508">
        <v>8.0000000000000002E-3</v>
      </c>
      <c r="AA4376" s="508">
        <v>3.0000000000000001E-3</v>
      </c>
      <c r="AB4376" s="508">
        <v>3.0000000000000001E-3</v>
      </c>
      <c r="AC4376" s="508">
        <v>3.0000000000000001E-3</v>
      </c>
      <c r="AD4376" s="508">
        <v>2E-3</v>
      </c>
      <c r="AE4376" s="508">
        <v>2E-3</v>
      </c>
      <c r="AF4376" s="508">
        <v>2E-3</v>
      </c>
      <c r="AG4376" s="508">
        <v>2E-3</v>
      </c>
      <c r="AH4376" s="508">
        <v>2E-3</v>
      </c>
      <c r="AI4376" s="492">
        <v>2E-3</v>
      </c>
      <c r="AJ4376" s="485"/>
    </row>
    <row r="4377" spans="2:36">
      <c r="B4377" s="136" t="s">
        <v>455</v>
      </c>
      <c r="C4377" s="132" t="s">
        <v>1377</v>
      </c>
      <c r="D4377" s="132" t="s">
        <v>284</v>
      </c>
      <c r="E4377" s="508"/>
      <c r="F4377" s="508"/>
      <c r="G4377" s="508"/>
      <c r="H4377" s="508"/>
      <c r="I4377" s="508"/>
      <c r="J4377" s="508">
        <v>0.38300000000000001</v>
      </c>
      <c r="K4377" s="508">
        <v>0.38300000000000001</v>
      </c>
      <c r="L4377" s="508">
        <v>0.38300000000000001</v>
      </c>
      <c r="M4377" s="508">
        <v>0.38300000000000001</v>
      </c>
      <c r="N4377" s="508">
        <v>0.38300000000000001</v>
      </c>
      <c r="O4377" s="508">
        <v>0.38300000000000001</v>
      </c>
      <c r="P4377" s="508">
        <v>0.28999999999999998</v>
      </c>
      <c r="Q4377" s="508">
        <v>0.28999999999999998</v>
      </c>
      <c r="R4377" s="508">
        <v>0.28999999999999998</v>
      </c>
      <c r="S4377" s="508">
        <v>0.28999999999999998</v>
      </c>
      <c r="T4377" s="508">
        <v>0.28999999999999998</v>
      </c>
      <c r="U4377" s="508">
        <v>0.22</v>
      </c>
      <c r="V4377" s="508">
        <v>0.01</v>
      </c>
      <c r="W4377" s="508">
        <v>0.01</v>
      </c>
      <c r="X4377" s="508">
        <v>0.01</v>
      </c>
      <c r="Y4377" s="508">
        <v>0.01</v>
      </c>
      <c r="Z4377" s="508">
        <v>8.0000000000000002E-3</v>
      </c>
      <c r="AA4377" s="508">
        <v>3.0000000000000001E-3</v>
      </c>
      <c r="AB4377" s="508">
        <v>3.0000000000000001E-3</v>
      </c>
      <c r="AC4377" s="508">
        <v>3.0000000000000001E-3</v>
      </c>
      <c r="AD4377" s="508">
        <v>2E-3</v>
      </c>
      <c r="AE4377" s="508">
        <v>2E-3</v>
      </c>
      <c r="AF4377" s="508">
        <v>2E-3</v>
      </c>
      <c r="AG4377" s="508">
        <v>2E-3</v>
      </c>
      <c r="AH4377" s="508">
        <v>2E-3</v>
      </c>
      <c r="AI4377" s="492">
        <v>2E-3</v>
      </c>
      <c r="AJ4377" s="485"/>
    </row>
    <row r="4378" spans="2:36">
      <c r="B4378" s="136" t="s">
        <v>456</v>
      </c>
      <c r="C4378" s="132" t="s">
        <v>1377</v>
      </c>
      <c r="D4378" s="132" t="s">
        <v>284</v>
      </c>
      <c r="E4378" s="508"/>
      <c r="F4378" s="508"/>
      <c r="G4378" s="508"/>
      <c r="H4378" s="508"/>
      <c r="I4378" s="508"/>
      <c r="J4378" s="508">
        <v>0.36399999999999999</v>
      </c>
      <c r="K4378" s="508">
        <v>0.36399999999999999</v>
      </c>
      <c r="L4378" s="508">
        <v>0.36399999999999999</v>
      </c>
      <c r="M4378" s="508">
        <v>0.36399999999999999</v>
      </c>
      <c r="N4378" s="508">
        <v>0.36399999999999999</v>
      </c>
      <c r="O4378" s="508">
        <v>0.36399999999999999</v>
      </c>
      <c r="P4378" s="508">
        <v>0.27600000000000002</v>
      </c>
      <c r="Q4378" s="508">
        <v>0.27600000000000002</v>
      </c>
      <c r="R4378" s="508">
        <v>0.27600000000000002</v>
      </c>
      <c r="S4378" s="508">
        <v>0.27600000000000002</v>
      </c>
      <c r="T4378" s="508">
        <v>0.27600000000000002</v>
      </c>
      <c r="U4378" s="508">
        <v>0.20899999999999999</v>
      </c>
      <c r="V4378" s="508">
        <v>8.9999999999999993E-3</v>
      </c>
      <c r="W4378" s="508">
        <v>8.9999999999999993E-3</v>
      </c>
      <c r="X4378" s="508">
        <v>8.9999999999999993E-3</v>
      </c>
      <c r="Y4378" s="508">
        <v>8.9999999999999993E-3</v>
      </c>
      <c r="Z4378" s="508">
        <v>8.0000000000000002E-3</v>
      </c>
      <c r="AA4378" s="508">
        <v>3.0000000000000001E-3</v>
      </c>
      <c r="AB4378" s="508">
        <v>3.0000000000000001E-3</v>
      </c>
      <c r="AC4378" s="508">
        <v>3.0000000000000001E-3</v>
      </c>
      <c r="AD4378" s="508">
        <v>2E-3</v>
      </c>
      <c r="AE4378" s="508">
        <v>2E-3</v>
      </c>
      <c r="AF4378" s="508">
        <v>2E-3</v>
      </c>
      <c r="AG4378" s="508">
        <v>2E-3</v>
      </c>
      <c r="AH4378" s="508">
        <v>2E-3</v>
      </c>
      <c r="AI4378" s="492">
        <v>2E-3</v>
      </c>
      <c r="AJ4378" s="485"/>
    </row>
    <row r="4379" spans="2:36">
      <c r="B4379" s="136" t="s">
        <v>457</v>
      </c>
      <c r="C4379" s="132" t="s">
        <v>1377</v>
      </c>
      <c r="D4379" s="132" t="s">
        <v>284</v>
      </c>
      <c r="E4379" s="508"/>
      <c r="F4379" s="508"/>
      <c r="G4379" s="508"/>
      <c r="H4379" s="508"/>
      <c r="I4379" s="508"/>
      <c r="J4379" s="508">
        <v>0.37</v>
      </c>
      <c r="K4379" s="508">
        <v>0.37</v>
      </c>
      <c r="L4379" s="508">
        <v>0.37</v>
      </c>
      <c r="M4379" s="508">
        <v>0.37</v>
      </c>
      <c r="N4379" s="508">
        <v>0.37</v>
      </c>
      <c r="O4379" s="508">
        <v>0.37</v>
      </c>
      <c r="P4379" s="508">
        <v>0.28000000000000003</v>
      </c>
      <c r="Q4379" s="508">
        <v>0.28000000000000003</v>
      </c>
      <c r="R4379" s="508">
        <v>0.28000000000000003</v>
      </c>
      <c r="S4379" s="508">
        <v>0.28000000000000003</v>
      </c>
      <c r="T4379" s="508">
        <v>0.28000000000000003</v>
      </c>
      <c r="U4379" s="508">
        <v>0.21199999999999999</v>
      </c>
      <c r="V4379" s="508">
        <v>8.9999999999999993E-3</v>
      </c>
      <c r="W4379" s="508">
        <v>8.9999999999999993E-3</v>
      </c>
      <c r="X4379" s="508">
        <v>8.9999999999999993E-3</v>
      </c>
      <c r="Y4379" s="508">
        <v>8.9999999999999993E-3</v>
      </c>
      <c r="Z4379" s="508">
        <v>8.0000000000000002E-3</v>
      </c>
      <c r="AA4379" s="508">
        <v>3.0000000000000001E-3</v>
      </c>
      <c r="AB4379" s="508">
        <v>3.0000000000000001E-3</v>
      </c>
      <c r="AC4379" s="508">
        <v>3.0000000000000001E-3</v>
      </c>
      <c r="AD4379" s="508">
        <v>2E-3</v>
      </c>
      <c r="AE4379" s="508">
        <v>2E-3</v>
      </c>
      <c r="AF4379" s="508">
        <v>2E-3</v>
      </c>
      <c r="AG4379" s="508">
        <v>2E-3</v>
      </c>
      <c r="AH4379" s="508">
        <v>2E-3</v>
      </c>
      <c r="AI4379" s="492">
        <v>2E-3</v>
      </c>
      <c r="AJ4379" s="485"/>
    </row>
    <row r="4380" spans="2:36">
      <c r="B4380" s="136" t="s">
        <v>458</v>
      </c>
      <c r="C4380" s="132" t="s">
        <v>1377</v>
      </c>
      <c r="D4380" s="132" t="s">
        <v>284</v>
      </c>
      <c r="E4380" s="508"/>
      <c r="F4380" s="508"/>
      <c r="G4380" s="508"/>
      <c r="H4380" s="508"/>
      <c r="I4380" s="508"/>
      <c r="J4380" s="508">
        <v>0.38</v>
      </c>
      <c r="K4380" s="508">
        <v>0.38</v>
      </c>
      <c r="L4380" s="508">
        <v>0.38</v>
      </c>
      <c r="M4380" s="508">
        <v>0.38</v>
      </c>
      <c r="N4380" s="508">
        <v>0.38</v>
      </c>
      <c r="O4380" s="508">
        <v>0.38</v>
      </c>
      <c r="P4380" s="508">
        <v>0.28799999999999998</v>
      </c>
      <c r="Q4380" s="508">
        <v>0.28799999999999998</v>
      </c>
      <c r="R4380" s="508">
        <v>0.28799999999999998</v>
      </c>
      <c r="S4380" s="508">
        <v>0.28799999999999998</v>
      </c>
      <c r="T4380" s="508">
        <v>0.28799999999999998</v>
      </c>
      <c r="U4380" s="508">
        <v>0.218</v>
      </c>
      <c r="V4380" s="508">
        <v>0.01</v>
      </c>
      <c r="W4380" s="508">
        <v>0.01</v>
      </c>
      <c r="X4380" s="508">
        <v>0.01</v>
      </c>
      <c r="Y4380" s="508">
        <v>0.01</v>
      </c>
      <c r="Z4380" s="508">
        <v>8.0000000000000002E-3</v>
      </c>
      <c r="AA4380" s="508">
        <v>3.0000000000000001E-3</v>
      </c>
      <c r="AB4380" s="508">
        <v>3.0000000000000001E-3</v>
      </c>
      <c r="AC4380" s="508">
        <v>3.0000000000000001E-3</v>
      </c>
      <c r="AD4380" s="508">
        <v>3.0000000000000001E-3</v>
      </c>
      <c r="AE4380" s="508">
        <v>3.0000000000000001E-3</v>
      </c>
      <c r="AF4380" s="508">
        <v>2E-3</v>
      </c>
      <c r="AG4380" s="508">
        <v>2E-3</v>
      </c>
      <c r="AH4380" s="508">
        <v>2E-3</v>
      </c>
      <c r="AI4380" s="492">
        <v>2E-3</v>
      </c>
      <c r="AJ4380" s="485"/>
    </row>
    <row r="4381" spans="2:36">
      <c r="B4381" s="136" t="s">
        <v>459</v>
      </c>
      <c r="C4381" s="132" t="s">
        <v>1377</v>
      </c>
      <c r="D4381" s="132" t="s">
        <v>284</v>
      </c>
      <c r="E4381" s="508"/>
      <c r="F4381" s="508"/>
      <c r="G4381" s="508"/>
      <c r="H4381" s="508"/>
      <c r="I4381" s="508"/>
      <c r="J4381" s="508">
        <v>0.38</v>
      </c>
      <c r="K4381" s="508">
        <v>0.38</v>
      </c>
      <c r="L4381" s="508">
        <v>0.379</v>
      </c>
      <c r="M4381" s="508">
        <v>0.379</v>
      </c>
      <c r="N4381" s="508">
        <v>0.379</v>
      </c>
      <c r="O4381" s="508">
        <v>0.379</v>
      </c>
      <c r="P4381" s="508">
        <v>0.28799999999999998</v>
      </c>
      <c r="Q4381" s="508">
        <v>0.28799999999999998</v>
      </c>
      <c r="R4381" s="508">
        <v>0.28699999999999998</v>
      </c>
      <c r="S4381" s="508">
        <v>0.28699999999999998</v>
      </c>
      <c r="T4381" s="508">
        <v>0.28699999999999998</v>
      </c>
      <c r="U4381" s="508">
        <v>0.218</v>
      </c>
      <c r="V4381" s="508">
        <v>0.01</v>
      </c>
      <c r="W4381" s="508">
        <v>0.01</v>
      </c>
      <c r="X4381" s="508">
        <v>0.01</v>
      </c>
      <c r="Y4381" s="508">
        <v>0.01</v>
      </c>
      <c r="Z4381" s="508">
        <v>8.0000000000000002E-3</v>
      </c>
      <c r="AA4381" s="508">
        <v>3.0000000000000001E-3</v>
      </c>
      <c r="AB4381" s="508">
        <v>3.0000000000000001E-3</v>
      </c>
      <c r="AC4381" s="508">
        <v>3.0000000000000001E-3</v>
      </c>
      <c r="AD4381" s="508">
        <v>3.0000000000000001E-3</v>
      </c>
      <c r="AE4381" s="508">
        <v>3.0000000000000001E-3</v>
      </c>
      <c r="AF4381" s="508">
        <v>2E-3</v>
      </c>
      <c r="AG4381" s="508">
        <v>2E-3</v>
      </c>
      <c r="AH4381" s="508">
        <v>2E-3</v>
      </c>
      <c r="AI4381" s="492">
        <v>2E-3</v>
      </c>
      <c r="AJ4381" s="485"/>
    </row>
    <row r="4382" spans="2:36">
      <c r="B4382" s="136" t="s">
        <v>460</v>
      </c>
      <c r="C4382" s="132" t="s">
        <v>1377</v>
      </c>
      <c r="D4382" s="132" t="s">
        <v>284</v>
      </c>
      <c r="E4382" s="508"/>
      <c r="F4382" s="508"/>
      <c r="G4382" s="508"/>
      <c r="H4382" s="508"/>
      <c r="I4382" s="508"/>
      <c r="J4382" s="508">
        <v>0.36499999999999999</v>
      </c>
      <c r="K4382" s="508">
        <v>0.36499999999999999</v>
      </c>
      <c r="L4382" s="508">
        <v>0.36499999999999999</v>
      </c>
      <c r="M4382" s="508">
        <v>0.36499999999999999</v>
      </c>
      <c r="N4382" s="508">
        <v>0.36499999999999999</v>
      </c>
      <c r="O4382" s="508">
        <v>0.36499999999999999</v>
      </c>
      <c r="P4382" s="508">
        <v>0.27600000000000002</v>
      </c>
      <c r="Q4382" s="508">
        <v>0.27600000000000002</v>
      </c>
      <c r="R4382" s="508">
        <v>0.27600000000000002</v>
      </c>
      <c r="S4382" s="508">
        <v>0.27600000000000002</v>
      </c>
      <c r="T4382" s="508">
        <v>0.27600000000000002</v>
      </c>
      <c r="U4382" s="508">
        <v>0.20899999999999999</v>
      </c>
      <c r="V4382" s="508">
        <v>0.01</v>
      </c>
      <c r="W4382" s="508">
        <v>0.01</v>
      </c>
      <c r="X4382" s="508">
        <v>0.01</v>
      </c>
      <c r="Y4382" s="508">
        <v>0.01</v>
      </c>
      <c r="Z4382" s="508">
        <v>8.0000000000000002E-3</v>
      </c>
      <c r="AA4382" s="508">
        <v>3.0000000000000001E-3</v>
      </c>
      <c r="AB4382" s="508">
        <v>3.0000000000000001E-3</v>
      </c>
      <c r="AC4382" s="508">
        <v>3.0000000000000001E-3</v>
      </c>
      <c r="AD4382" s="508">
        <v>2E-3</v>
      </c>
      <c r="AE4382" s="508">
        <v>2E-3</v>
      </c>
      <c r="AF4382" s="508">
        <v>2E-3</v>
      </c>
      <c r="AG4382" s="508">
        <v>2E-3</v>
      </c>
      <c r="AH4382" s="508">
        <v>2E-3</v>
      </c>
      <c r="AI4382" s="492">
        <v>2E-3</v>
      </c>
      <c r="AJ4382" s="485"/>
    </row>
    <row r="4383" spans="2:36">
      <c r="B4383" s="136" t="s">
        <v>461</v>
      </c>
      <c r="C4383" s="132" t="s">
        <v>1377</v>
      </c>
      <c r="D4383" s="132" t="s">
        <v>284</v>
      </c>
      <c r="E4383" s="508"/>
      <c r="F4383" s="508"/>
      <c r="G4383" s="508"/>
      <c r="H4383" s="508"/>
      <c r="I4383" s="508"/>
      <c r="J4383" s="508">
        <v>0.36199999999999999</v>
      </c>
      <c r="K4383" s="508">
        <v>0.36199999999999999</v>
      </c>
      <c r="L4383" s="508">
        <v>0.36199999999999999</v>
      </c>
      <c r="M4383" s="508">
        <v>0.36199999999999999</v>
      </c>
      <c r="N4383" s="508">
        <v>0.36199999999999999</v>
      </c>
      <c r="O4383" s="508">
        <v>0.36199999999999999</v>
      </c>
      <c r="P4383" s="508">
        <v>0.27400000000000002</v>
      </c>
      <c r="Q4383" s="508">
        <v>0.27400000000000002</v>
      </c>
      <c r="R4383" s="508">
        <v>0.27400000000000002</v>
      </c>
      <c r="S4383" s="508">
        <v>0.27400000000000002</v>
      </c>
      <c r="T4383" s="508">
        <v>0.27400000000000002</v>
      </c>
      <c r="U4383" s="508">
        <v>0.20799999999999999</v>
      </c>
      <c r="V4383" s="508">
        <v>8.9999999999999993E-3</v>
      </c>
      <c r="W4383" s="508">
        <v>8.9999999999999993E-3</v>
      </c>
      <c r="X4383" s="508">
        <v>8.9999999999999993E-3</v>
      </c>
      <c r="Y4383" s="508">
        <v>8.9999999999999993E-3</v>
      </c>
      <c r="Z4383" s="508">
        <v>8.0000000000000002E-3</v>
      </c>
      <c r="AA4383" s="508">
        <v>3.0000000000000001E-3</v>
      </c>
      <c r="AB4383" s="508">
        <v>3.0000000000000001E-3</v>
      </c>
      <c r="AC4383" s="508">
        <v>3.0000000000000001E-3</v>
      </c>
      <c r="AD4383" s="508">
        <v>2E-3</v>
      </c>
      <c r="AE4383" s="508">
        <v>2E-3</v>
      </c>
      <c r="AF4383" s="508">
        <v>2E-3</v>
      </c>
      <c r="AG4383" s="508">
        <v>2E-3</v>
      </c>
      <c r="AH4383" s="508">
        <v>2E-3</v>
      </c>
      <c r="AI4383" s="492">
        <v>2E-3</v>
      </c>
      <c r="AJ4383" s="485"/>
    </row>
    <row r="4384" spans="2:36">
      <c r="B4384" s="136" t="s">
        <v>462</v>
      </c>
      <c r="C4384" s="132" t="s">
        <v>1377</v>
      </c>
      <c r="D4384" s="132" t="s">
        <v>284</v>
      </c>
      <c r="E4384" s="508"/>
      <c r="F4384" s="508"/>
      <c r="G4384" s="508"/>
      <c r="H4384" s="508"/>
      <c r="I4384" s="508"/>
      <c r="J4384" s="508">
        <v>0.35199999999999998</v>
      </c>
      <c r="K4384" s="508">
        <v>0.35199999999999998</v>
      </c>
      <c r="L4384" s="508">
        <v>0.35199999999999998</v>
      </c>
      <c r="M4384" s="508">
        <v>0.35199999999999998</v>
      </c>
      <c r="N4384" s="508">
        <v>0.35199999999999998</v>
      </c>
      <c r="O4384" s="508">
        <v>0.35199999999999998</v>
      </c>
      <c r="P4384" s="508">
        <v>0.26700000000000002</v>
      </c>
      <c r="Q4384" s="508">
        <v>0.26700000000000002</v>
      </c>
      <c r="R4384" s="508">
        <v>0.26700000000000002</v>
      </c>
      <c r="S4384" s="508">
        <v>0.26700000000000002</v>
      </c>
      <c r="T4384" s="508">
        <v>0.26700000000000002</v>
      </c>
      <c r="U4384" s="508">
        <v>0.20200000000000001</v>
      </c>
      <c r="V4384" s="508">
        <v>8.9999999999999993E-3</v>
      </c>
      <c r="W4384" s="508">
        <v>8.9999999999999993E-3</v>
      </c>
      <c r="X4384" s="508">
        <v>8.9999999999999993E-3</v>
      </c>
      <c r="Y4384" s="508">
        <v>8.9999999999999993E-3</v>
      </c>
      <c r="Z4384" s="508">
        <v>8.0000000000000002E-3</v>
      </c>
      <c r="AA4384" s="508">
        <v>3.0000000000000001E-3</v>
      </c>
      <c r="AB4384" s="508">
        <v>3.0000000000000001E-3</v>
      </c>
      <c r="AC4384" s="508">
        <v>3.0000000000000001E-3</v>
      </c>
      <c r="AD4384" s="508">
        <v>2E-3</v>
      </c>
      <c r="AE4384" s="508">
        <v>2E-3</v>
      </c>
      <c r="AF4384" s="508">
        <v>1E-3</v>
      </c>
      <c r="AG4384" s="508">
        <v>1E-3</v>
      </c>
      <c r="AH4384" s="508">
        <v>1E-3</v>
      </c>
      <c r="AI4384" s="492">
        <v>1E-3</v>
      </c>
      <c r="AJ4384" s="485"/>
    </row>
    <row r="4385" spans="2:36">
      <c r="B4385" s="136" t="s">
        <v>463</v>
      </c>
      <c r="C4385" s="132" t="s">
        <v>1377</v>
      </c>
      <c r="D4385" s="132" t="s">
        <v>284</v>
      </c>
      <c r="E4385" s="508"/>
      <c r="F4385" s="508"/>
      <c r="G4385" s="508"/>
      <c r="H4385" s="508"/>
      <c r="I4385" s="508"/>
      <c r="J4385" s="508">
        <v>0.39200000000000002</v>
      </c>
      <c r="K4385" s="508">
        <v>0.39100000000000001</v>
      </c>
      <c r="L4385" s="508">
        <v>0.39100000000000001</v>
      </c>
      <c r="M4385" s="508">
        <v>0.39100000000000001</v>
      </c>
      <c r="N4385" s="508">
        <v>0.39100000000000001</v>
      </c>
      <c r="O4385" s="508">
        <v>0.39100000000000001</v>
      </c>
      <c r="P4385" s="508">
        <v>0.29699999999999999</v>
      </c>
      <c r="Q4385" s="508">
        <v>0.29699999999999999</v>
      </c>
      <c r="R4385" s="508">
        <v>0.29699999999999999</v>
      </c>
      <c r="S4385" s="508">
        <v>0.29699999999999999</v>
      </c>
      <c r="T4385" s="508">
        <v>0.29599999999999999</v>
      </c>
      <c r="U4385" s="508">
        <v>0.22500000000000001</v>
      </c>
      <c r="V4385" s="508">
        <v>0.01</v>
      </c>
      <c r="W4385" s="508">
        <v>0.01</v>
      </c>
      <c r="X4385" s="508">
        <v>0.01</v>
      </c>
      <c r="Y4385" s="508">
        <v>0.01</v>
      </c>
      <c r="Z4385" s="508">
        <v>8.0000000000000002E-3</v>
      </c>
      <c r="AA4385" s="508">
        <v>3.0000000000000001E-3</v>
      </c>
      <c r="AB4385" s="508">
        <v>3.0000000000000001E-3</v>
      </c>
      <c r="AC4385" s="508">
        <v>3.0000000000000001E-3</v>
      </c>
      <c r="AD4385" s="508">
        <v>3.0000000000000001E-3</v>
      </c>
      <c r="AE4385" s="508">
        <v>3.0000000000000001E-3</v>
      </c>
      <c r="AF4385" s="508">
        <v>2E-3</v>
      </c>
      <c r="AG4385" s="508">
        <v>2E-3</v>
      </c>
      <c r="AH4385" s="508">
        <v>2E-3</v>
      </c>
      <c r="AI4385" s="492">
        <v>2E-3</v>
      </c>
      <c r="AJ4385" s="485"/>
    </row>
    <row r="4386" spans="2:36">
      <c r="B4386" s="136" t="s">
        <v>464</v>
      </c>
      <c r="C4386" s="132" t="s">
        <v>1377</v>
      </c>
      <c r="D4386" s="132" t="s">
        <v>284</v>
      </c>
      <c r="E4386" s="508"/>
      <c r="F4386" s="508"/>
      <c r="G4386" s="508"/>
      <c r="H4386" s="508"/>
      <c r="I4386" s="508"/>
      <c r="J4386" s="508">
        <v>0.374</v>
      </c>
      <c r="K4386" s="508">
        <v>0.374</v>
      </c>
      <c r="L4386" s="508">
        <v>0.374</v>
      </c>
      <c r="M4386" s="508">
        <v>0.374</v>
      </c>
      <c r="N4386" s="508">
        <v>0.374</v>
      </c>
      <c r="O4386" s="508">
        <v>0.374</v>
      </c>
      <c r="P4386" s="508">
        <v>0.28299999999999997</v>
      </c>
      <c r="Q4386" s="508">
        <v>0.28299999999999997</v>
      </c>
      <c r="R4386" s="508">
        <v>0.28299999999999997</v>
      </c>
      <c r="S4386" s="508">
        <v>0.28299999999999997</v>
      </c>
      <c r="T4386" s="508">
        <v>0.28299999999999997</v>
      </c>
      <c r="U4386" s="508">
        <v>0.215</v>
      </c>
      <c r="V4386" s="508">
        <v>8.9999999999999993E-3</v>
      </c>
      <c r="W4386" s="508">
        <v>8.9999999999999993E-3</v>
      </c>
      <c r="X4386" s="508">
        <v>8.9999999999999993E-3</v>
      </c>
      <c r="Y4386" s="508">
        <v>8.9999999999999993E-3</v>
      </c>
      <c r="Z4386" s="508">
        <v>8.0000000000000002E-3</v>
      </c>
      <c r="AA4386" s="508">
        <v>3.0000000000000001E-3</v>
      </c>
      <c r="AB4386" s="508">
        <v>3.0000000000000001E-3</v>
      </c>
      <c r="AC4386" s="508">
        <v>3.0000000000000001E-3</v>
      </c>
      <c r="AD4386" s="508">
        <v>2E-3</v>
      </c>
      <c r="AE4386" s="508">
        <v>2E-3</v>
      </c>
      <c r="AF4386" s="508">
        <v>2E-3</v>
      </c>
      <c r="AG4386" s="508">
        <v>2E-3</v>
      </c>
      <c r="AH4386" s="508">
        <v>2E-3</v>
      </c>
      <c r="AI4386" s="492">
        <v>2E-3</v>
      </c>
      <c r="AJ4386" s="485"/>
    </row>
    <row r="4387" spans="2:36">
      <c r="B4387" s="136" t="s">
        <v>465</v>
      </c>
      <c r="C4387" s="132" t="s">
        <v>1377</v>
      </c>
      <c r="D4387" s="132" t="s">
        <v>284</v>
      </c>
      <c r="E4387" s="508"/>
      <c r="F4387" s="508"/>
      <c r="G4387" s="508"/>
      <c r="H4387" s="508"/>
      <c r="I4387" s="508"/>
      <c r="J4387" s="508">
        <v>0.379</v>
      </c>
      <c r="K4387" s="508">
        <v>0.379</v>
      </c>
      <c r="L4387" s="508">
        <v>0.379</v>
      </c>
      <c r="M4387" s="508">
        <v>0.379</v>
      </c>
      <c r="N4387" s="508">
        <v>0.379</v>
      </c>
      <c r="O4387" s="508">
        <v>0.379</v>
      </c>
      <c r="P4387" s="508">
        <v>0.28699999999999998</v>
      </c>
      <c r="Q4387" s="508">
        <v>0.28699999999999998</v>
      </c>
      <c r="R4387" s="508">
        <v>0.28699999999999998</v>
      </c>
      <c r="S4387" s="508">
        <v>0.28699999999999998</v>
      </c>
      <c r="T4387" s="508">
        <v>0.28699999999999998</v>
      </c>
      <c r="U4387" s="508">
        <v>0.218</v>
      </c>
      <c r="V4387" s="508">
        <v>0.01</v>
      </c>
      <c r="W4387" s="508">
        <v>0.01</v>
      </c>
      <c r="X4387" s="508">
        <v>0.01</v>
      </c>
      <c r="Y4387" s="508">
        <v>0.01</v>
      </c>
      <c r="Z4387" s="508">
        <v>8.0000000000000002E-3</v>
      </c>
      <c r="AA4387" s="508">
        <v>3.0000000000000001E-3</v>
      </c>
      <c r="AB4387" s="508">
        <v>3.0000000000000001E-3</v>
      </c>
      <c r="AC4387" s="508">
        <v>3.0000000000000001E-3</v>
      </c>
      <c r="AD4387" s="508">
        <v>2E-3</v>
      </c>
      <c r="AE4387" s="508">
        <v>2E-3</v>
      </c>
      <c r="AF4387" s="508">
        <v>2E-3</v>
      </c>
      <c r="AG4387" s="508">
        <v>2E-3</v>
      </c>
      <c r="AH4387" s="508">
        <v>2E-3</v>
      </c>
      <c r="AI4387" s="492">
        <v>2E-3</v>
      </c>
      <c r="AJ4387" s="485"/>
    </row>
    <row r="4388" spans="2:36">
      <c r="B4388" s="136" t="s">
        <v>466</v>
      </c>
      <c r="C4388" s="132" t="s">
        <v>1377</v>
      </c>
      <c r="D4388" s="132" t="s">
        <v>284</v>
      </c>
      <c r="E4388" s="508"/>
      <c r="F4388" s="508"/>
      <c r="G4388" s="508"/>
      <c r="H4388" s="508"/>
      <c r="I4388" s="508"/>
      <c r="J4388" s="508">
        <v>0.35299999999999998</v>
      </c>
      <c r="K4388" s="508">
        <v>0.35299999999999998</v>
      </c>
      <c r="L4388" s="508">
        <v>0.35299999999999998</v>
      </c>
      <c r="M4388" s="508">
        <v>0.35299999999999998</v>
      </c>
      <c r="N4388" s="508">
        <v>0.35199999999999998</v>
      </c>
      <c r="O4388" s="508">
        <v>0.35199999999999998</v>
      </c>
      <c r="P4388" s="508">
        <v>0.26700000000000002</v>
      </c>
      <c r="Q4388" s="508">
        <v>0.26700000000000002</v>
      </c>
      <c r="R4388" s="508">
        <v>0.26700000000000002</v>
      </c>
      <c r="S4388" s="508">
        <v>0.26700000000000002</v>
      </c>
      <c r="T4388" s="508">
        <v>0.26700000000000002</v>
      </c>
      <c r="U4388" s="508">
        <v>0.20200000000000001</v>
      </c>
      <c r="V4388" s="508">
        <v>0.01</v>
      </c>
      <c r="W4388" s="508">
        <v>0.01</v>
      </c>
      <c r="X4388" s="508">
        <v>0.01</v>
      </c>
      <c r="Y4388" s="508">
        <v>8.9999999999999993E-3</v>
      </c>
      <c r="Z4388" s="508">
        <v>8.0000000000000002E-3</v>
      </c>
      <c r="AA4388" s="508">
        <v>3.0000000000000001E-3</v>
      </c>
      <c r="AB4388" s="508">
        <v>3.0000000000000001E-3</v>
      </c>
      <c r="AC4388" s="508">
        <v>3.0000000000000001E-3</v>
      </c>
      <c r="AD4388" s="508">
        <v>2E-3</v>
      </c>
      <c r="AE4388" s="508">
        <v>2E-3</v>
      </c>
      <c r="AF4388" s="508">
        <v>2E-3</v>
      </c>
      <c r="AG4388" s="508">
        <v>2E-3</v>
      </c>
      <c r="AH4388" s="508">
        <v>2E-3</v>
      </c>
      <c r="AI4388" s="492">
        <v>2E-3</v>
      </c>
      <c r="AJ4388" s="485"/>
    </row>
    <row r="4389" spans="2:36">
      <c r="B4389" s="136" t="s">
        <v>467</v>
      </c>
      <c r="C4389" s="132" t="s">
        <v>1377</v>
      </c>
      <c r="D4389" s="132" t="s">
        <v>284</v>
      </c>
      <c r="E4389" s="508"/>
      <c r="F4389" s="508"/>
      <c r="G4389" s="508"/>
      <c r="H4389" s="508"/>
      <c r="I4389" s="508"/>
      <c r="J4389" s="508">
        <v>0.36099999999999999</v>
      </c>
      <c r="K4389" s="508">
        <v>0.36099999999999999</v>
      </c>
      <c r="L4389" s="508">
        <v>0.36099999999999999</v>
      </c>
      <c r="M4389" s="508">
        <v>0.36099999999999999</v>
      </c>
      <c r="N4389" s="508">
        <v>0.36099999999999999</v>
      </c>
      <c r="O4389" s="508">
        <v>0.36099999999999999</v>
      </c>
      <c r="P4389" s="508">
        <v>0.27400000000000002</v>
      </c>
      <c r="Q4389" s="508">
        <v>0.27400000000000002</v>
      </c>
      <c r="R4389" s="508">
        <v>0.27400000000000002</v>
      </c>
      <c r="S4389" s="508">
        <v>0.27400000000000002</v>
      </c>
      <c r="T4389" s="508">
        <v>0.27400000000000002</v>
      </c>
      <c r="U4389" s="508">
        <v>0.20699999999999999</v>
      </c>
      <c r="V4389" s="508">
        <v>8.9999999999999993E-3</v>
      </c>
      <c r="W4389" s="508">
        <v>8.9999999999999993E-3</v>
      </c>
      <c r="X4389" s="508">
        <v>8.9999999999999993E-3</v>
      </c>
      <c r="Y4389" s="508">
        <v>8.9999999999999993E-3</v>
      </c>
      <c r="Z4389" s="508">
        <v>8.0000000000000002E-3</v>
      </c>
      <c r="AA4389" s="508">
        <v>3.0000000000000001E-3</v>
      </c>
      <c r="AB4389" s="508">
        <v>3.0000000000000001E-3</v>
      </c>
      <c r="AC4389" s="508">
        <v>3.0000000000000001E-3</v>
      </c>
      <c r="AD4389" s="508">
        <v>2E-3</v>
      </c>
      <c r="AE4389" s="508">
        <v>2E-3</v>
      </c>
      <c r="AF4389" s="508">
        <v>2E-3</v>
      </c>
      <c r="AG4389" s="508">
        <v>2E-3</v>
      </c>
      <c r="AH4389" s="508">
        <v>2E-3</v>
      </c>
      <c r="AI4389" s="492">
        <v>2E-3</v>
      </c>
      <c r="AJ4389" s="485"/>
    </row>
    <row r="4390" spans="2:36">
      <c r="B4390" s="136" t="s">
        <v>468</v>
      </c>
      <c r="C4390" s="132" t="s">
        <v>1377</v>
      </c>
      <c r="D4390" s="132" t="s">
        <v>284</v>
      </c>
      <c r="E4390" s="508"/>
      <c r="F4390" s="508"/>
      <c r="G4390" s="508"/>
      <c r="H4390" s="508"/>
      <c r="I4390" s="508"/>
      <c r="J4390" s="508">
        <v>0.39800000000000002</v>
      </c>
      <c r="K4390" s="508">
        <v>0.39800000000000002</v>
      </c>
      <c r="L4390" s="508">
        <v>0.39800000000000002</v>
      </c>
      <c r="M4390" s="508">
        <v>0.39800000000000002</v>
      </c>
      <c r="N4390" s="508">
        <v>0.39800000000000002</v>
      </c>
      <c r="O4390" s="508">
        <v>0.39800000000000002</v>
      </c>
      <c r="P4390" s="508">
        <v>0.30099999999999999</v>
      </c>
      <c r="Q4390" s="508">
        <v>0.30099999999999999</v>
      </c>
      <c r="R4390" s="508">
        <v>0.30099999999999999</v>
      </c>
      <c r="S4390" s="508">
        <v>0.30099999999999999</v>
      </c>
      <c r="T4390" s="508">
        <v>0.30099999999999999</v>
      </c>
      <c r="U4390" s="508">
        <v>0.22800000000000001</v>
      </c>
      <c r="V4390" s="508">
        <v>0.01</v>
      </c>
      <c r="W4390" s="508">
        <v>0.01</v>
      </c>
      <c r="X4390" s="508">
        <v>0.01</v>
      </c>
      <c r="Y4390" s="508">
        <v>0.01</v>
      </c>
      <c r="Z4390" s="508">
        <v>8.0000000000000002E-3</v>
      </c>
      <c r="AA4390" s="508">
        <v>3.0000000000000001E-3</v>
      </c>
      <c r="AB4390" s="508">
        <v>3.0000000000000001E-3</v>
      </c>
      <c r="AC4390" s="508">
        <v>3.0000000000000001E-3</v>
      </c>
      <c r="AD4390" s="508">
        <v>3.0000000000000001E-3</v>
      </c>
      <c r="AE4390" s="508">
        <v>3.0000000000000001E-3</v>
      </c>
      <c r="AF4390" s="508">
        <v>2E-3</v>
      </c>
      <c r="AG4390" s="508">
        <v>2E-3</v>
      </c>
      <c r="AH4390" s="508">
        <v>2E-3</v>
      </c>
      <c r="AI4390" s="492">
        <v>2E-3</v>
      </c>
      <c r="AJ4390" s="485"/>
    </row>
    <row r="4391" spans="2:36">
      <c r="B4391" s="136" t="s">
        <v>469</v>
      </c>
      <c r="C4391" s="132" t="s">
        <v>1377</v>
      </c>
      <c r="D4391" s="132" t="s">
        <v>284</v>
      </c>
      <c r="E4391" s="508"/>
      <c r="F4391" s="508"/>
      <c r="G4391" s="508"/>
      <c r="H4391" s="508"/>
      <c r="I4391" s="508"/>
      <c r="J4391" s="508">
        <v>0.371</v>
      </c>
      <c r="K4391" s="508">
        <v>0.37</v>
      </c>
      <c r="L4391" s="508">
        <v>0.37</v>
      </c>
      <c r="M4391" s="508">
        <v>0.37</v>
      </c>
      <c r="N4391" s="508">
        <v>0.37</v>
      </c>
      <c r="O4391" s="508">
        <v>0.37</v>
      </c>
      <c r="P4391" s="508">
        <v>0.28100000000000003</v>
      </c>
      <c r="Q4391" s="508">
        <v>0.28100000000000003</v>
      </c>
      <c r="R4391" s="508">
        <v>0.28100000000000003</v>
      </c>
      <c r="S4391" s="508">
        <v>0.28100000000000003</v>
      </c>
      <c r="T4391" s="508">
        <v>0.28100000000000003</v>
      </c>
      <c r="U4391" s="508">
        <v>0.21299999999999999</v>
      </c>
      <c r="V4391" s="508">
        <v>8.9999999999999993E-3</v>
      </c>
      <c r="W4391" s="508">
        <v>8.9999999999999993E-3</v>
      </c>
      <c r="X4391" s="508">
        <v>8.9999999999999993E-3</v>
      </c>
      <c r="Y4391" s="508">
        <v>8.9999999999999993E-3</v>
      </c>
      <c r="Z4391" s="508">
        <v>8.0000000000000002E-3</v>
      </c>
      <c r="AA4391" s="508">
        <v>3.0000000000000001E-3</v>
      </c>
      <c r="AB4391" s="508">
        <v>3.0000000000000001E-3</v>
      </c>
      <c r="AC4391" s="508">
        <v>3.0000000000000001E-3</v>
      </c>
      <c r="AD4391" s="508">
        <v>2E-3</v>
      </c>
      <c r="AE4391" s="508">
        <v>2E-3</v>
      </c>
      <c r="AF4391" s="508">
        <v>2E-3</v>
      </c>
      <c r="AG4391" s="508">
        <v>2E-3</v>
      </c>
      <c r="AH4391" s="508">
        <v>2E-3</v>
      </c>
      <c r="AI4391" s="492">
        <v>2E-3</v>
      </c>
      <c r="AJ4391" s="485"/>
    </row>
    <row r="4392" spans="2:36">
      <c r="B4392" s="136" t="s">
        <v>470</v>
      </c>
      <c r="C4392" s="132" t="s">
        <v>1377</v>
      </c>
      <c r="D4392" s="132" t="s">
        <v>284</v>
      </c>
      <c r="E4392" s="508"/>
      <c r="F4392" s="508"/>
      <c r="G4392" s="508"/>
      <c r="H4392" s="508"/>
      <c r="I4392" s="508"/>
      <c r="J4392" s="508">
        <v>0.36299999999999999</v>
      </c>
      <c r="K4392" s="508">
        <v>0.36299999999999999</v>
      </c>
      <c r="L4392" s="508">
        <v>0.36299999999999999</v>
      </c>
      <c r="M4392" s="508">
        <v>0.36299999999999999</v>
      </c>
      <c r="N4392" s="508">
        <v>0.36299999999999999</v>
      </c>
      <c r="O4392" s="508">
        <v>0.36299999999999999</v>
      </c>
      <c r="P4392" s="508">
        <v>0.27500000000000002</v>
      </c>
      <c r="Q4392" s="508">
        <v>0.27500000000000002</v>
      </c>
      <c r="R4392" s="508">
        <v>0.27500000000000002</v>
      </c>
      <c r="S4392" s="508">
        <v>0.27500000000000002</v>
      </c>
      <c r="T4392" s="508">
        <v>0.27500000000000002</v>
      </c>
      <c r="U4392" s="508">
        <v>0.20799999999999999</v>
      </c>
      <c r="V4392" s="508">
        <v>0.01</v>
      </c>
      <c r="W4392" s="508">
        <v>0.01</v>
      </c>
      <c r="X4392" s="508">
        <v>0.01</v>
      </c>
      <c r="Y4392" s="508">
        <v>0.01</v>
      </c>
      <c r="Z4392" s="508">
        <v>8.0000000000000002E-3</v>
      </c>
      <c r="AA4392" s="508">
        <v>3.0000000000000001E-3</v>
      </c>
      <c r="AB4392" s="508">
        <v>3.0000000000000001E-3</v>
      </c>
      <c r="AC4392" s="508">
        <v>3.0000000000000001E-3</v>
      </c>
      <c r="AD4392" s="508">
        <v>2E-3</v>
      </c>
      <c r="AE4392" s="508">
        <v>2E-3</v>
      </c>
      <c r="AF4392" s="508">
        <v>2E-3</v>
      </c>
      <c r="AG4392" s="508">
        <v>2E-3</v>
      </c>
      <c r="AH4392" s="508">
        <v>2E-3</v>
      </c>
      <c r="AI4392" s="492">
        <v>2E-3</v>
      </c>
      <c r="AJ4392" s="485"/>
    </row>
    <row r="4393" spans="2:36">
      <c r="B4393" s="136" t="s">
        <v>471</v>
      </c>
      <c r="C4393" s="132" t="s">
        <v>1377</v>
      </c>
      <c r="D4393" s="132" t="s">
        <v>284</v>
      </c>
      <c r="E4393" s="508"/>
      <c r="F4393" s="508"/>
      <c r="G4393" s="508"/>
      <c r="H4393" s="508"/>
      <c r="I4393" s="508"/>
      <c r="J4393" s="508">
        <v>0.35599999999999998</v>
      </c>
      <c r="K4393" s="508">
        <v>0.35599999999999998</v>
      </c>
      <c r="L4393" s="508">
        <v>0.35599999999999998</v>
      </c>
      <c r="M4393" s="508">
        <v>0.35599999999999998</v>
      </c>
      <c r="N4393" s="508">
        <v>0.35599999999999998</v>
      </c>
      <c r="O4393" s="508">
        <v>0.35499999999999998</v>
      </c>
      <c r="P4393" s="508">
        <v>0.26900000000000002</v>
      </c>
      <c r="Q4393" s="508">
        <v>0.26900000000000002</v>
      </c>
      <c r="R4393" s="508">
        <v>0.26900000000000002</v>
      </c>
      <c r="S4393" s="508">
        <v>0.26900000000000002</v>
      </c>
      <c r="T4393" s="508">
        <v>0.26900000000000002</v>
      </c>
      <c r="U4393" s="508">
        <v>0.20399999999999999</v>
      </c>
      <c r="V4393" s="508">
        <v>8.9999999999999993E-3</v>
      </c>
      <c r="W4393" s="508">
        <v>8.9999999999999993E-3</v>
      </c>
      <c r="X4393" s="508">
        <v>8.9999999999999993E-3</v>
      </c>
      <c r="Y4393" s="508">
        <v>8.9999999999999993E-3</v>
      </c>
      <c r="Z4393" s="508">
        <v>8.0000000000000002E-3</v>
      </c>
      <c r="AA4393" s="508">
        <v>3.0000000000000001E-3</v>
      </c>
      <c r="AB4393" s="508">
        <v>3.0000000000000001E-3</v>
      </c>
      <c r="AC4393" s="508">
        <v>3.0000000000000001E-3</v>
      </c>
      <c r="AD4393" s="508">
        <v>2E-3</v>
      </c>
      <c r="AE4393" s="508">
        <v>2E-3</v>
      </c>
      <c r="AF4393" s="508">
        <v>2E-3</v>
      </c>
      <c r="AG4393" s="508">
        <v>2E-3</v>
      </c>
      <c r="AH4393" s="508">
        <v>2E-3</v>
      </c>
      <c r="AI4393" s="492">
        <v>2E-3</v>
      </c>
      <c r="AJ4393" s="485"/>
    </row>
    <row r="4394" spans="2:36">
      <c r="B4394" s="136" t="s">
        <v>472</v>
      </c>
      <c r="C4394" s="132" t="s">
        <v>1377</v>
      </c>
      <c r="D4394" s="132" t="s">
        <v>284</v>
      </c>
      <c r="E4394" s="508"/>
      <c r="F4394" s="508"/>
      <c r="G4394" s="508"/>
      <c r="H4394" s="508"/>
      <c r="I4394" s="508"/>
      <c r="J4394" s="508">
        <v>0.36899999999999999</v>
      </c>
      <c r="K4394" s="508">
        <v>0.36899999999999999</v>
      </c>
      <c r="L4394" s="508">
        <v>0.36899999999999999</v>
      </c>
      <c r="M4394" s="508">
        <v>0.36899999999999999</v>
      </c>
      <c r="N4394" s="508">
        <v>0.36899999999999999</v>
      </c>
      <c r="O4394" s="508">
        <v>0.36899999999999999</v>
      </c>
      <c r="P4394" s="508">
        <v>0.28000000000000003</v>
      </c>
      <c r="Q4394" s="508">
        <v>0.28000000000000003</v>
      </c>
      <c r="R4394" s="508">
        <v>0.28000000000000003</v>
      </c>
      <c r="S4394" s="508">
        <v>0.28000000000000003</v>
      </c>
      <c r="T4394" s="508">
        <v>0.28000000000000003</v>
      </c>
      <c r="U4394" s="508">
        <v>0.21199999999999999</v>
      </c>
      <c r="V4394" s="508">
        <v>8.9999999999999993E-3</v>
      </c>
      <c r="W4394" s="508">
        <v>8.9999999999999993E-3</v>
      </c>
      <c r="X4394" s="508">
        <v>8.9999999999999993E-3</v>
      </c>
      <c r="Y4394" s="508">
        <v>8.9999999999999993E-3</v>
      </c>
      <c r="Z4394" s="508">
        <v>8.0000000000000002E-3</v>
      </c>
      <c r="AA4394" s="508">
        <v>3.0000000000000001E-3</v>
      </c>
      <c r="AB4394" s="508">
        <v>3.0000000000000001E-3</v>
      </c>
      <c r="AC4394" s="508">
        <v>3.0000000000000001E-3</v>
      </c>
      <c r="AD4394" s="508">
        <v>2E-3</v>
      </c>
      <c r="AE4394" s="508">
        <v>2E-3</v>
      </c>
      <c r="AF4394" s="508">
        <v>2E-3</v>
      </c>
      <c r="AG4394" s="508">
        <v>2E-3</v>
      </c>
      <c r="AH4394" s="508">
        <v>2E-3</v>
      </c>
      <c r="AI4394" s="492">
        <v>2E-3</v>
      </c>
      <c r="AJ4394" s="485"/>
    </row>
    <row r="4395" spans="2:36">
      <c r="B4395" s="136" t="s">
        <v>473</v>
      </c>
      <c r="C4395" s="132" t="s">
        <v>1377</v>
      </c>
      <c r="D4395" s="132" t="s">
        <v>284</v>
      </c>
      <c r="E4395" s="508"/>
      <c r="F4395" s="508"/>
      <c r="G4395" s="508"/>
      <c r="H4395" s="508"/>
      <c r="I4395" s="508"/>
      <c r="J4395" s="508">
        <v>0.35199999999999998</v>
      </c>
      <c r="K4395" s="508">
        <v>0.35199999999999998</v>
      </c>
      <c r="L4395" s="508">
        <v>0.35199999999999998</v>
      </c>
      <c r="M4395" s="508">
        <v>0.35199999999999998</v>
      </c>
      <c r="N4395" s="508">
        <v>0.35199999999999998</v>
      </c>
      <c r="O4395" s="508">
        <v>0.35199999999999998</v>
      </c>
      <c r="P4395" s="508">
        <v>0.26700000000000002</v>
      </c>
      <c r="Q4395" s="508">
        <v>0.26700000000000002</v>
      </c>
      <c r="R4395" s="508">
        <v>0.26700000000000002</v>
      </c>
      <c r="S4395" s="508">
        <v>0.26700000000000002</v>
      </c>
      <c r="T4395" s="508">
        <v>0.26700000000000002</v>
      </c>
      <c r="U4395" s="508">
        <v>0.20200000000000001</v>
      </c>
      <c r="V4395" s="508">
        <v>8.9999999999999993E-3</v>
      </c>
      <c r="W4395" s="508">
        <v>8.9999999999999993E-3</v>
      </c>
      <c r="X4395" s="508">
        <v>8.9999999999999993E-3</v>
      </c>
      <c r="Y4395" s="508">
        <v>8.9999999999999993E-3</v>
      </c>
      <c r="Z4395" s="508">
        <v>8.0000000000000002E-3</v>
      </c>
      <c r="AA4395" s="508">
        <v>3.0000000000000001E-3</v>
      </c>
      <c r="AB4395" s="508">
        <v>3.0000000000000001E-3</v>
      </c>
      <c r="AC4395" s="508">
        <v>3.0000000000000001E-3</v>
      </c>
      <c r="AD4395" s="508">
        <v>2E-3</v>
      </c>
      <c r="AE4395" s="508">
        <v>2E-3</v>
      </c>
      <c r="AF4395" s="508">
        <v>2E-3</v>
      </c>
      <c r="AG4395" s="508">
        <v>2E-3</v>
      </c>
      <c r="AH4395" s="508">
        <v>2E-3</v>
      </c>
      <c r="AI4395" s="492">
        <v>2E-3</v>
      </c>
      <c r="AJ4395" s="485"/>
    </row>
    <row r="4396" spans="2:36">
      <c r="B4396" s="136" t="s">
        <v>474</v>
      </c>
      <c r="C4396" s="132" t="s">
        <v>1377</v>
      </c>
      <c r="D4396" s="132" t="s">
        <v>284</v>
      </c>
      <c r="E4396" s="508"/>
      <c r="F4396" s="508"/>
      <c r="G4396" s="508"/>
      <c r="H4396" s="508"/>
      <c r="I4396" s="508"/>
      <c r="J4396" s="508">
        <v>0.36099999999999999</v>
      </c>
      <c r="K4396" s="508">
        <v>0.36</v>
      </c>
      <c r="L4396" s="508">
        <v>0.36</v>
      </c>
      <c r="M4396" s="508">
        <v>0.36</v>
      </c>
      <c r="N4396" s="508">
        <v>0.36</v>
      </c>
      <c r="O4396" s="508">
        <v>0.36</v>
      </c>
      <c r="P4396" s="508">
        <v>0.27300000000000002</v>
      </c>
      <c r="Q4396" s="508">
        <v>0.27300000000000002</v>
      </c>
      <c r="R4396" s="508">
        <v>0.27300000000000002</v>
      </c>
      <c r="S4396" s="508">
        <v>0.27300000000000002</v>
      </c>
      <c r="T4396" s="508">
        <v>0.27300000000000002</v>
      </c>
      <c r="U4396" s="508">
        <v>0.20699999999999999</v>
      </c>
      <c r="V4396" s="508">
        <v>8.9999999999999993E-3</v>
      </c>
      <c r="W4396" s="508">
        <v>8.9999999999999993E-3</v>
      </c>
      <c r="X4396" s="508">
        <v>8.9999999999999993E-3</v>
      </c>
      <c r="Y4396" s="508">
        <v>8.9999999999999993E-3</v>
      </c>
      <c r="Z4396" s="508">
        <v>8.0000000000000002E-3</v>
      </c>
      <c r="AA4396" s="508">
        <v>3.0000000000000001E-3</v>
      </c>
      <c r="AB4396" s="508">
        <v>3.0000000000000001E-3</v>
      </c>
      <c r="AC4396" s="508">
        <v>3.0000000000000001E-3</v>
      </c>
      <c r="AD4396" s="508">
        <v>2E-3</v>
      </c>
      <c r="AE4396" s="508">
        <v>2E-3</v>
      </c>
      <c r="AF4396" s="508">
        <v>2E-3</v>
      </c>
      <c r="AG4396" s="508">
        <v>2E-3</v>
      </c>
      <c r="AH4396" s="508">
        <v>2E-3</v>
      </c>
      <c r="AI4396" s="492">
        <v>2E-3</v>
      </c>
      <c r="AJ4396" s="485"/>
    </row>
    <row r="4397" spans="2:36">
      <c r="B4397" s="136" t="s">
        <v>475</v>
      </c>
      <c r="C4397" s="132" t="s">
        <v>1377</v>
      </c>
      <c r="D4397" s="132" t="s">
        <v>284</v>
      </c>
      <c r="E4397" s="508"/>
      <c r="F4397" s="508"/>
      <c r="G4397" s="508"/>
      <c r="H4397" s="508"/>
      <c r="I4397" s="508"/>
      <c r="J4397" s="508">
        <v>0.36399999999999999</v>
      </c>
      <c r="K4397" s="508">
        <v>0.36399999999999999</v>
      </c>
      <c r="L4397" s="508">
        <v>0.36399999999999999</v>
      </c>
      <c r="M4397" s="508">
        <v>0.36399999999999999</v>
      </c>
      <c r="N4397" s="508">
        <v>0.36399999999999999</v>
      </c>
      <c r="O4397" s="508">
        <v>0.36399999999999999</v>
      </c>
      <c r="P4397" s="508">
        <v>0.27600000000000002</v>
      </c>
      <c r="Q4397" s="508">
        <v>0.27600000000000002</v>
      </c>
      <c r="R4397" s="508">
        <v>0.27600000000000002</v>
      </c>
      <c r="S4397" s="508">
        <v>0.27600000000000002</v>
      </c>
      <c r="T4397" s="508">
        <v>0.27600000000000002</v>
      </c>
      <c r="U4397" s="508">
        <v>0.20899999999999999</v>
      </c>
      <c r="V4397" s="508">
        <v>8.9999999999999993E-3</v>
      </c>
      <c r="W4397" s="508">
        <v>8.9999999999999993E-3</v>
      </c>
      <c r="X4397" s="508">
        <v>8.9999999999999993E-3</v>
      </c>
      <c r="Y4397" s="508">
        <v>8.9999999999999993E-3</v>
      </c>
      <c r="Z4397" s="508">
        <v>8.0000000000000002E-3</v>
      </c>
      <c r="AA4397" s="508">
        <v>3.0000000000000001E-3</v>
      </c>
      <c r="AB4397" s="508">
        <v>3.0000000000000001E-3</v>
      </c>
      <c r="AC4397" s="508">
        <v>3.0000000000000001E-3</v>
      </c>
      <c r="AD4397" s="508">
        <v>2E-3</v>
      </c>
      <c r="AE4397" s="508">
        <v>2E-3</v>
      </c>
      <c r="AF4397" s="508">
        <v>2E-3</v>
      </c>
      <c r="AG4397" s="508">
        <v>2E-3</v>
      </c>
      <c r="AH4397" s="508">
        <v>2E-3</v>
      </c>
      <c r="AI4397" s="492">
        <v>2E-3</v>
      </c>
      <c r="AJ4397" s="485"/>
    </row>
    <row r="4398" spans="2:36">
      <c r="B4398" s="136" t="s">
        <v>476</v>
      </c>
      <c r="C4398" s="132" t="s">
        <v>1377</v>
      </c>
      <c r="D4398" s="132" t="s">
        <v>284</v>
      </c>
      <c r="E4398" s="508"/>
      <c r="F4398" s="508"/>
      <c r="G4398" s="508"/>
      <c r="H4398" s="508"/>
      <c r="I4398" s="508"/>
      <c r="J4398" s="508">
        <v>0.36499999999999999</v>
      </c>
      <c r="K4398" s="508">
        <v>0.36499999999999999</v>
      </c>
      <c r="L4398" s="508">
        <v>0.36499999999999999</v>
      </c>
      <c r="M4398" s="508">
        <v>0.36499999999999999</v>
      </c>
      <c r="N4398" s="508">
        <v>0.36499999999999999</v>
      </c>
      <c r="O4398" s="508">
        <v>0.36499999999999999</v>
      </c>
      <c r="P4398" s="508">
        <v>0.27700000000000002</v>
      </c>
      <c r="Q4398" s="508">
        <v>0.27600000000000002</v>
      </c>
      <c r="R4398" s="508">
        <v>0.27600000000000002</v>
      </c>
      <c r="S4398" s="508">
        <v>0.27600000000000002</v>
      </c>
      <c r="T4398" s="508">
        <v>0.27600000000000002</v>
      </c>
      <c r="U4398" s="508">
        <v>0.21</v>
      </c>
      <c r="V4398" s="508">
        <v>0.01</v>
      </c>
      <c r="W4398" s="508">
        <v>0.01</v>
      </c>
      <c r="X4398" s="508">
        <v>0.01</v>
      </c>
      <c r="Y4398" s="508">
        <v>0.01</v>
      </c>
      <c r="Z4398" s="508">
        <v>8.0000000000000002E-3</v>
      </c>
      <c r="AA4398" s="508">
        <v>3.0000000000000001E-3</v>
      </c>
      <c r="AB4398" s="508">
        <v>3.0000000000000001E-3</v>
      </c>
      <c r="AC4398" s="508">
        <v>3.0000000000000001E-3</v>
      </c>
      <c r="AD4398" s="508">
        <v>2E-3</v>
      </c>
      <c r="AE4398" s="508">
        <v>2E-3</v>
      </c>
      <c r="AF4398" s="508">
        <v>2E-3</v>
      </c>
      <c r="AG4398" s="508">
        <v>2E-3</v>
      </c>
      <c r="AH4398" s="508">
        <v>2E-3</v>
      </c>
      <c r="AI4398" s="492">
        <v>2E-3</v>
      </c>
      <c r="AJ4398" s="485"/>
    </row>
    <row r="4399" spans="2:36">
      <c r="B4399" s="136" t="s">
        <v>478</v>
      </c>
      <c r="C4399" s="132" t="s">
        <v>1377</v>
      </c>
      <c r="D4399" s="132" t="s">
        <v>284</v>
      </c>
      <c r="E4399" s="508"/>
      <c r="F4399" s="508"/>
      <c r="G4399" s="508"/>
      <c r="H4399" s="508"/>
      <c r="I4399" s="508"/>
      <c r="J4399" s="508">
        <v>0.372</v>
      </c>
      <c r="K4399" s="508">
        <v>0.372</v>
      </c>
      <c r="L4399" s="508">
        <v>0.372</v>
      </c>
      <c r="M4399" s="508">
        <v>0.372</v>
      </c>
      <c r="N4399" s="508">
        <v>0.372</v>
      </c>
      <c r="O4399" s="508">
        <v>0.372</v>
      </c>
      <c r="P4399" s="508">
        <v>0.28199999999999997</v>
      </c>
      <c r="Q4399" s="508">
        <v>0.28199999999999997</v>
      </c>
      <c r="R4399" s="508">
        <v>0.28199999999999997</v>
      </c>
      <c r="S4399" s="508">
        <v>0.28199999999999997</v>
      </c>
      <c r="T4399" s="508">
        <v>0.28100000000000003</v>
      </c>
      <c r="U4399" s="508">
        <v>0.21299999999999999</v>
      </c>
      <c r="V4399" s="508">
        <v>0.01</v>
      </c>
      <c r="W4399" s="508">
        <v>0.01</v>
      </c>
      <c r="X4399" s="508">
        <v>0.01</v>
      </c>
      <c r="Y4399" s="508">
        <v>0.01</v>
      </c>
      <c r="Z4399" s="508">
        <v>8.0000000000000002E-3</v>
      </c>
      <c r="AA4399" s="508">
        <v>3.0000000000000001E-3</v>
      </c>
      <c r="AB4399" s="508">
        <v>3.0000000000000001E-3</v>
      </c>
      <c r="AC4399" s="508">
        <v>3.0000000000000001E-3</v>
      </c>
      <c r="AD4399" s="508">
        <v>3.0000000000000001E-3</v>
      </c>
      <c r="AE4399" s="508">
        <v>3.0000000000000001E-3</v>
      </c>
      <c r="AF4399" s="508">
        <v>2E-3</v>
      </c>
      <c r="AG4399" s="508">
        <v>2E-3</v>
      </c>
      <c r="AH4399" s="508">
        <v>2E-3</v>
      </c>
      <c r="AI4399" s="492">
        <v>2E-3</v>
      </c>
      <c r="AJ4399" s="485"/>
    </row>
    <row r="4400" spans="2:36">
      <c r="B4400" s="136" t="s">
        <v>479</v>
      </c>
      <c r="C4400" s="132" t="s">
        <v>1377</v>
      </c>
      <c r="D4400" s="132" t="s">
        <v>284</v>
      </c>
      <c r="E4400" s="508"/>
      <c r="F4400" s="508"/>
      <c r="G4400" s="508"/>
      <c r="H4400" s="508"/>
      <c r="I4400" s="508"/>
      <c r="J4400" s="508">
        <v>0.36799999999999999</v>
      </c>
      <c r="K4400" s="508">
        <v>0.36799999999999999</v>
      </c>
      <c r="L4400" s="508">
        <v>0.36799999999999999</v>
      </c>
      <c r="M4400" s="508">
        <v>0.36799999999999999</v>
      </c>
      <c r="N4400" s="508">
        <v>0.36799999999999999</v>
      </c>
      <c r="O4400" s="508">
        <v>0.36799999999999999</v>
      </c>
      <c r="P4400" s="508">
        <v>0.27900000000000003</v>
      </c>
      <c r="Q4400" s="508">
        <v>0.27900000000000003</v>
      </c>
      <c r="R4400" s="508">
        <v>0.27900000000000003</v>
      </c>
      <c r="S4400" s="508">
        <v>0.27900000000000003</v>
      </c>
      <c r="T4400" s="508">
        <v>0.27900000000000003</v>
      </c>
      <c r="U4400" s="508">
        <v>0.21099999999999999</v>
      </c>
      <c r="V4400" s="508">
        <v>0.01</v>
      </c>
      <c r="W4400" s="508">
        <v>8.9999999999999993E-3</v>
      </c>
      <c r="X4400" s="508">
        <v>8.9999999999999993E-3</v>
      </c>
      <c r="Y4400" s="508">
        <v>8.9999999999999993E-3</v>
      </c>
      <c r="Z4400" s="508">
        <v>8.0000000000000002E-3</v>
      </c>
      <c r="AA4400" s="508">
        <v>3.0000000000000001E-3</v>
      </c>
      <c r="AB4400" s="508">
        <v>3.0000000000000001E-3</v>
      </c>
      <c r="AC4400" s="508">
        <v>3.0000000000000001E-3</v>
      </c>
      <c r="AD4400" s="508">
        <v>2E-3</v>
      </c>
      <c r="AE4400" s="508">
        <v>2E-3</v>
      </c>
      <c r="AF4400" s="508">
        <v>2E-3</v>
      </c>
      <c r="AG4400" s="508">
        <v>2E-3</v>
      </c>
      <c r="AH4400" s="508">
        <v>2E-3</v>
      </c>
      <c r="AI4400" s="492">
        <v>2E-3</v>
      </c>
      <c r="AJ4400" s="485"/>
    </row>
    <row r="4401" spans="2:36">
      <c r="B4401" s="136" t="s">
        <v>480</v>
      </c>
      <c r="C4401" s="132" t="s">
        <v>1377</v>
      </c>
      <c r="D4401" s="132" t="s">
        <v>284</v>
      </c>
      <c r="E4401" s="508"/>
      <c r="F4401" s="508"/>
      <c r="G4401" s="508"/>
      <c r="H4401" s="508"/>
      <c r="I4401" s="508"/>
      <c r="J4401" s="508">
        <v>0.38500000000000001</v>
      </c>
      <c r="K4401" s="508">
        <v>0.38500000000000001</v>
      </c>
      <c r="L4401" s="508">
        <v>0.38500000000000001</v>
      </c>
      <c r="M4401" s="508">
        <v>0.38500000000000001</v>
      </c>
      <c r="N4401" s="508">
        <v>0.38500000000000001</v>
      </c>
      <c r="O4401" s="508">
        <v>0.38500000000000001</v>
      </c>
      <c r="P4401" s="508">
        <v>0.29199999999999998</v>
      </c>
      <c r="Q4401" s="508">
        <v>0.29199999999999998</v>
      </c>
      <c r="R4401" s="508">
        <v>0.29199999999999998</v>
      </c>
      <c r="S4401" s="508">
        <v>0.29199999999999998</v>
      </c>
      <c r="T4401" s="508">
        <v>0.29199999999999998</v>
      </c>
      <c r="U4401" s="508">
        <v>0.221</v>
      </c>
      <c r="V4401" s="508">
        <v>0.01</v>
      </c>
      <c r="W4401" s="508">
        <v>0.01</v>
      </c>
      <c r="X4401" s="508">
        <v>0.01</v>
      </c>
      <c r="Y4401" s="508">
        <v>8.9999999999999993E-3</v>
      </c>
      <c r="Z4401" s="508">
        <v>8.0000000000000002E-3</v>
      </c>
      <c r="AA4401" s="508">
        <v>3.0000000000000001E-3</v>
      </c>
      <c r="AB4401" s="508">
        <v>3.0000000000000001E-3</v>
      </c>
      <c r="AC4401" s="508">
        <v>3.0000000000000001E-3</v>
      </c>
      <c r="AD4401" s="508">
        <v>2E-3</v>
      </c>
      <c r="AE4401" s="508">
        <v>2E-3</v>
      </c>
      <c r="AF4401" s="508">
        <v>2E-3</v>
      </c>
      <c r="AG4401" s="508">
        <v>2E-3</v>
      </c>
      <c r="AH4401" s="508">
        <v>2E-3</v>
      </c>
      <c r="AI4401" s="492">
        <v>2E-3</v>
      </c>
      <c r="AJ4401" s="485"/>
    </row>
    <row r="4402" spans="2:36">
      <c r="B4402" s="136" t="s">
        <v>481</v>
      </c>
      <c r="C4402" s="132" t="s">
        <v>1377</v>
      </c>
      <c r="D4402" s="132" t="s">
        <v>284</v>
      </c>
      <c r="E4402" s="508"/>
      <c r="F4402" s="508"/>
      <c r="G4402" s="508"/>
      <c r="H4402" s="508"/>
      <c r="I4402" s="508"/>
      <c r="J4402" s="508">
        <v>0.36899999999999999</v>
      </c>
      <c r="K4402" s="508">
        <v>0.36899999999999999</v>
      </c>
      <c r="L4402" s="508">
        <v>0.36899999999999999</v>
      </c>
      <c r="M4402" s="508">
        <v>0.36899999999999999</v>
      </c>
      <c r="N4402" s="508">
        <v>0.36899999999999999</v>
      </c>
      <c r="O4402" s="508">
        <v>0.36899999999999999</v>
      </c>
      <c r="P4402" s="508">
        <v>0.27900000000000003</v>
      </c>
      <c r="Q4402" s="508">
        <v>0.27900000000000003</v>
      </c>
      <c r="R4402" s="508">
        <v>0.27900000000000003</v>
      </c>
      <c r="S4402" s="508">
        <v>0.27900000000000003</v>
      </c>
      <c r="T4402" s="508">
        <v>0.27900000000000003</v>
      </c>
      <c r="U4402" s="508">
        <v>0.21199999999999999</v>
      </c>
      <c r="V4402" s="508">
        <v>0.01</v>
      </c>
      <c r="W4402" s="508">
        <v>0.01</v>
      </c>
      <c r="X4402" s="508">
        <v>0.01</v>
      </c>
      <c r="Y4402" s="508">
        <v>0.01</v>
      </c>
      <c r="Z4402" s="508">
        <v>8.0000000000000002E-3</v>
      </c>
      <c r="AA4402" s="508">
        <v>3.0000000000000001E-3</v>
      </c>
      <c r="AB4402" s="508">
        <v>3.0000000000000001E-3</v>
      </c>
      <c r="AC4402" s="508">
        <v>3.0000000000000001E-3</v>
      </c>
      <c r="AD4402" s="508">
        <v>2E-3</v>
      </c>
      <c r="AE4402" s="508">
        <v>2E-3</v>
      </c>
      <c r="AF4402" s="508">
        <v>2E-3</v>
      </c>
      <c r="AG4402" s="508">
        <v>2E-3</v>
      </c>
      <c r="AH4402" s="508">
        <v>2E-3</v>
      </c>
      <c r="AI4402" s="492">
        <v>2E-3</v>
      </c>
      <c r="AJ4402" s="485"/>
    </row>
    <row r="4403" spans="2:36">
      <c r="B4403" s="136" t="s">
        <v>482</v>
      </c>
      <c r="C4403" s="132" t="s">
        <v>1377</v>
      </c>
      <c r="D4403" s="132" t="s">
        <v>284</v>
      </c>
      <c r="E4403" s="508"/>
      <c r="F4403" s="508"/>
      <c r="G4403" s="508"/>
      <c r="H4403" s="508"/>
      <c r="I4403" s="508"/>
      <c r="J4403" s="508">
        <v>0.375</v>
      </c>
      <c r="K4403" s="508">
        <v>0.375</v>
      </c>
      <c r="L4403" s="508">
        <v>0.375</v>
      </c>
      <c r="M4403" s="508">
        <v>0.375</v>
      </c>
      <c r="N4403" s="508">
        <v>0.375</v>
      </c>
      <c r="O4403" s="508">
        <v>0.375</v>
      </c>
      <c r="P4403" s="508">
        <v>0.28399999999999997</v>
      </c>
      <c r="Q4403" s="508">
        <v>0.28399999999999997</v>
      </c>
      <c r="R4403" s="508">
        <v>0.28399999999999997</v>
      </c>
      <c r="S4403" s="508">
        <v>0.28399999999999997</v>
      </c>
      <c r="T4403" s="508">
        <v>0.28399999999999997</v>
      </c>
      <c r="U4403" s="508">
        <v>0.215</v>
      </c>
      <c r="V4403" s="508">
        <v>0.01</v>
      </c>
      <c r="W4403" s="508">
        <v>0.01</v>
      </c>
      <c r="X4403" s="508">
        <v>0.01</v>
      </c>
      <c r="Y4403" s="508">
        <v>0.01</v>
      </c>
      <c r="Z4403" s="508">
        <v>8.0000000000000002E-3</v>
      </c>
      <c r="AA4403" s="508">
        <v>3.0000000000000001E-3</v>
      </c>
      <c r="AB4403" s="508">
        <v>3.0000000000000001E-3</v>
      </c>
      <c r="AC4403" s="508">
        <v>3.0000000000000001E-3</v>
      </c>
      <c r="AD4403" s="508">
        <v>2E-3</v>
      </c>
      <c r="AE4403" s="508">
        <v>2E-3</v>
      </c>
      <c r="AF4403" s="508">
        <v>2E-3</v>
      </c>
      <c r="AG4403" s="508">
        <v>2E-3</v>
      </c>
      <c r="AH4403" s="508">
        <v>2E-3</v>
      </c>
      <c r="AI4403" s="492">
        <v>2E-3</v>
      </c>
      <c r="AJ4403" s="485"/>
    </row>
    <row r="4404" spans="2:36">
      <c r="B4404" s="136" t="s">
        <v>483</v>
      </c>
      <c r="C4404" s="132" t="s">
        <v>1377</v>
      </c>
      <c r="D4404" s="132" t="s">
        <v>284</v>
      </c>
      <c r="E4404" s="508"/>
      <c r="F4404" s="508"/>
      <c r="G4404" s="508"/>
      <c r="H4404" s="508"/>
      <c r="I4404" s="508"/>
      <c r="J4404" s="508">
        <v>0.36799999999999999</v>
      </c>
      <c r="K4404" s="508">
        <v>0.36799999999999999</v>
      </c>
      <c r="L4404" s="508">
        <v>0.36799999999999999</v>
      </c>
      <c r="M4404" s="508">
        <v>0.36799999999999999</v>
      </c>
      <c r="N4404" s="508">
        <v>0.36799999999999999</v>
      </c>
      <c r="O4404" s="508">
        <v>0.36799999999999999</v>
      </c>
      <c r="P4404" s="508">
        <v>0.27900000000000003</v>
      </c>
      <c r="Q4404" s="508">
        <v>0.27900000000000003</v>
      </c>
      <c r="R4404" s="508">
        <v>0.27900000000000003</v>
      </c>
      <c r="S4404" s="508">
        <v>0.27900000000000003</v>
      </c>
      <c r="T4404" s="508">
        <v>0.27900000000000003</v>
      </c>
      <c r="U4404" s="508">
        <v>0.21099999999999999</v>
      </c>
      <c r="V4404" s="508">
        <v>0.01</v>
      </c>
      <c r="W4404" s="508">
        <v>0.01</v>
      </c>
      <c r="X4404" s="508">
        <v>0.01</v>
      </c>
      <c r="Y4404" s="508">
        <v>0.01</v>
      </c>
      <c r="Z4404" s="508">
        <v>8.0000000000000002E-3</v>
      </c>
      <c r="AA4404" s="508">
        <v>3.0000000000000001E-3</v>
      </c>
      <c r="AB4404" s="508">
        <v>3.0000000000000001E-3</v>
      </c>
      <c r="AC4404" s="508">
        <v>3.0000000000000001E-3</v>
      </c>
      <c r="AD4404" s="508">
        <v>2E-3</v>
      </c>
      <c r="AE4404" s="508">
        <v>2E-3</v>
      </c>
      <c r="AF4404" s="508">
        <v>2E-3</v>
      </c>
      <c r="AG4404" s="508">
        <v>2E-3</v>
      </c>
      <c r="AH4404" s="508">
        <v>2E-3</v>
      </c>
      <c r="AI4404" s="492">
        <v>2E-3</v>
      </c>
      <c r="AJ4404" s="485"/>
    </row>
    <row r="4405" spans="2:36">
      <c r="B4405" s="136" t="s">
        <v>484</v>
      </c>
      <c r="C4405" s="132" t="s">
        <v>1377</v>
      </c>
      <c r="D4405" s="132" t="s">
        <v>284</v>
      </c>
      <c r="E4405" s="508"/>
      <c r="F4405" s="508"/>
      <c r="G4405" s="508"/>
      <c r="H4405" s="508"/>
      <c r="I4405" s="508"/>
      <c r="J4405" s="508">
        <v>0.373</v>
      </c>
      <c r="K4405" s="508">
        <v>0.373</v>
      </c>
      <c r="L4405" s="508">
        <v>0.373</v>
      </c>
      <c r="M4405" s="508">
        <v>0.373</v>
      </c>
      <c r="N4405" s="508">
        <v>0.373</v>
      </c>
      <c r="O4405" s="508">
        <v>0.373</v>
      </c>
      <c r="P4405" s="508">
        <v>0.28199999999999997</v>
      </c>
      <c r="Q4405" s="508">
        <v>0.28199999999999997</v>
      </c>
      <c r="R4405" s="508">
        <v>0.28199999999999997</v>
      </c>
      <c r="S4405" s="508">
        <v>0.28199999999999997</v>
      </c>
      <c r="T4405" s="508">
        <v>0.28199999999999997</v>
      </c>
      <c r="U4405" s="508">
        <v>0.214</v>
      </c>
      <c r="V4405" s="508">
        <v>8.9999999999999993E-3</v>
      </c>
      <c r="W4405" s="508">
        <v>8.9999999999999993E-3</v>
      </c>
      <c r="X4405" s="508">
        <v>8.9999999999999993E-3</v>
      </c>
      <c r="Y4405" s="508">
        <v>8.9999999999999993E-3</v>
      </c>
      <c r="Z4405" s="508">
        <v>8.0000000000000002E-3</v>
      </c>
      <c r="AA4405" s="508">
        <v>3.0000000000000001E-3</v>
      </c>
      <c r="AB4405" s="508">
        <v>3.0000000000000001E-3</v>
      </c>
      <c r="AC4405" s="508">
        <v>3.0000000000000001E-3</v>
      </c>
      <c r="AD4405" s="508">
        <v>2E-3</v>
      </c>
      <c r="AE4405" s="508">
        <v>2E-3</v>
      </c>
      <c r="AF4405" s="508">
        <v>2E-3</v>
      </c>
      <c r="AG4405" s="508">
        <v>2E-3</v>
      </c>
      <c r="AH4405" s="508">
        <v>2E-3</v>
      </c>
      <c r="AI4405" s="492">
        <v>2E-3</v>
      </c>
      <c r="AJ4405" s="485"/>
    </row>
    <row r="4406" spans="2:36">
      <c r="B4406" s="136" t="s">
        <v>486</v>
      </c>
      <c r="C4406" s="132" t="s">
        <v>1377</v>
      </c>
      <c r="D4406" s="132" t="s">
        <v>284</v>
      </c>
      <c r="E4406" s="508"/>
      <c r="F4406" s="508"/>
      <c r="G4406" s="508"/>
      <c r="H4406" s="508"/>
      <c r="I4406" s="508"/>
      <c r="J4406" s="508">
        <v>0.372</v>
      </c>
      <c r="K4406" s="508">
        <v>0.372</v>
      </c>
      <c r="L4406" s="508">
        <v>0.372</v>
      </c>
      <c r="M4406" s="508">
        <v>0.372</v>
      </c>
      <c r="N4406" s="508">
        <v>0.372</v>
      </c>
      <c r="O4406" s="508">
        <v>0.372</v>
      </c>
      <c r="P4406" s="508">
        <v>0.28199999999999997</v>
      </c>
      <c r="Q4406" s="508">
        <v>0.28199999999999997</v>
      </c>
      <c r="R4406" s="508">
        <v>0.28199999999999997</v>
      </c>
      <c r="S4406" s="508">
        <v>0.28199999999999997</v>
      </c>
      <c r="T4406" s="508">
        <v>0.28100000000000003</v>
      </c>
      <c r="U4406" s="508">
        <v>0.21299999999999999</v>
      </c>
      <c r="V4406" s="508">
        <v>0.01</v>
      </c>
      <c r="W4406" s="508">
        <v>0.01</v>
      </c>
      <c r="X4406" s="508">
        <v>0.01</v>
      </c>
      <c r="Y4406" s="508">
        <v>0.01</v>
      </c>
      <c r="Z4406" s="508">
        <v>8.0000000000000002E-3</v>
      </c>
      <c r="AA4406" s="508">
        <v>3.0000000000000001E-3</v>
      </c>
      <c r="AB4406" s="508">
        <v>3.0000000000000001E-3</v>
      </c>
      <c r="AC4406" s="508">
        <v>3.0000000000000001E-3</v>
      </c>
      <c r="AD4406" s="508">
        <v>2E-3</v>
      </c>
      <c r="AE4406" s="508">
        <v>2E-3</v>
      </c>
      <c r="AF4406" s="508">
        <v>2E-3</v>
      </c>
      <c r="AG4406" s="508">
        <v>2E-3</v>
      </c>
      <c r="AH4406" s="508">
        <v>2E-3</v>
      </c>
      <c r="AI4406" s="492">
        <v>2E-3</v>
      </c>
      <c r="AJ4406" s="485"/>
    </row>
    <row r="4407" spans="2:36">
      <c r="B4407" s="136" t="s">
        <v>487</v>
      </c>
      <c r="C4407" s="132" t="s">
        <v>1377</v>
      </c>
      <c r="D4407" s="132" t="s">
        <v>284</v>
      </c>
      <c r="E4407" s="508"/>
      <c r="F4407" s="508"/>
      <c r="G4407" s="508"/>
      <c r="H4407" s="508"/>
      <c r="I4407" s="508"/>
      <c r="J4407" s="508">
        <v>0.38100000000000001</v>
      </c>
      <c r="K4407" s="508">
        <v>0.38100000000000001</v>
      </c>
      <c r="L4407" s="508">
        <v>0.38100000000000001</v>
      </c>
      <c r="M4407" s="508">
        <v>0.38100000000000001</v>
      </c>
      <c r="N4407" s="508">
        <v>0.38100000000000001</v>
      </c>
      <c r="O4407" s="508">
        <v>0.38100000000000001</v>
      </c>
      <c r="P4407" s="508">
        <v>0.28899999999999998</v>
      </c>
      <c r="Q4407" s="508">
        <v>0.28899999999999998</v>
      </c>
      <c r="R4407" s="508">
        <v>0.28899999999999998</v>
      </c>
      <c r="S4407" s="508">
        <v>0.28899999999999998</v>
      </c>
      <c r="T4407" s="508">
        <v>0.28799999999999998</v>
      </c>
      <c r="U4407" s="508">
        <v>0.219</v>
      </c>
      <c r="V4407" s="508">
        <v>0.01</v>
      </c>
      <c r="W4407" s="508">
        <v>0.01</v>
      </c>
      <c r="X4407" s="508">
        <v>0.01</v>
      </c>
      <c r="Y4407" s="508">
        <v>0.01</v>
      </c>
      <c r="Z4407" s="508">
        <v>8.0000000000000002E-3</v>
      </c>
      <c r="AA4407" s="508">
        <v>3.0000000000000001E-3</v>
      </c>
      <c r="AB4407" s="508">
        <v>3.0000000000000001E-3</v>
      </c>
      <c r="AC4407" s="508">
        <v>3.0000000000000001E-3</v>
      </c>
      <c r="AD4407" s="508">
        <v>3.0000000000000001E-3</v>
      </c>
      <c r="AE4407" s="508">
        <v>3.0000000000000001E-3</v>
      </c>
      <c r="AF4407" s="508">
        <v>2E-3</v>
      </c>
      <c r="AG4407" s="508">
        <v>2E-3</v>
      </c>
      <c r="AH4407" s="508">
        <v>2E-3</v>
      </c>
      <c r="AI4407" s="492">
        <v>2E-3</v>
      </c>
      <c r="AJ4407" s="485"/>
    </row>
    <row r="4408" spans="2:36">
      <c r="B4408" s="136" t="s">
        <v>488</v>
      </c>
      <c r="C4408" s="132" t="s">
        <v>1377</v>
      </c>
      <c r="D4408" s="132" t="s">
        <v>284</v>
      </c>
      <c r="E4408" s="508"/>
      <c r="F4408" s="508"/>
      <c r="G4408" s="508"/>
      <c r="H4408" s="508"/>
      <c r="I4408" s="508"/>
      <c r="J4408" s="508">
        <v>0.377</v>
      </c>
      <c r="K4408" s="508">
        <v>0.377</v>
      </c>
      <c r="L4408" s="508">
        <v>0.377</v>
      </c>
      <c r="M4408" s="508">
        <v>0.377</v>
      </c>
      <c r="N4408" s="508">
        <v>0.377</v>
      </c>
      <c r="O4408" s="508">
        <v>0.377</v>
      </c>
      <c r="P4408" s="508">
        <v>0.28599999999999998</v>
      </c>
      <c r="Q4408" s="508">
        <v>0.28599999999999998</v>
      </c>
      <c r="R4408" s="508">
        <v>0.28599999999999998</v>
      </c>
      <c r="S4408" s="508">
        <v>0.28599999999999998</v>
      </c>
      <c r="T4408" s="508">
        <v>0.28599999999999998</v>
      </c>
      <c r="U4408" s="508">
        <v>0.217</v>
      </c>
      <c r="V4408" s="508">
        <v>0.01</v>
      </c>
      <c r="W4408" s="508">
        <v>8.9999999999999993E-3</v>
      </c>
      <c r="X4408" s="508">
        <v>8.9999999999999993E-3</v>
      </c>
      <c r="Y4408" s="508">
        <v>8.9999999999999993E-3</v>
      </c>
      <c r="Z4408" s="508">
        <v>8.0000000000000002E-3</v>
      </c>
      <c r="AA4408" s="508">
        <v>3.0000000000000001E-3</v>
      </c>
      <c r="AB4408" s="508">
        <v>3.0000000000000001E-3</v>
      </c>
      <c r="AC4408" s="508">
        <v>3.0000000000000001E-3</v>
      </c>
      <c r="AD4408" s="508">
        <v>2E-3</v>
      </c>
      <c r="AE4408" s="508">
        <v>2E-3</v>
      </c>
      <c r="AF4408" s="508">
        <v>2E-3</v>
      </c>
      <c r="AG4408" s="508">
        <v>2E-3</v>
      </c>
      <c r="AH4408" s="508">
        <v>2E-3</v>
      </c>
      <c r="AI4408" s="492">
        <v>2E-3</v>
      </c>
      <c r="AJ4408" s="485"/>
    </row>
    <row r="4409" spans="2:36">
      <c r="B4409" s="136" t="s">
        <v>489</v>
      </c>
      <c r="C4409" s="132" t="s">
        <v>1377</v>
      </c>
      <c r="D4409" s="132" t="s">
        <v>284</v>
      </c>
      <c r="E4409" s="508"/>
      <c r="F4409" s="508"/>
      <c r="G4409" s="508"/>
      <c r="H4409" s="508"/>
      <c r="I4409" s="508"/>
      <c r="J4409" s="508">
        <v>0.36799999999999999</v>
      </c>
      <c r="K4409" s="508">
        <v>0.36799999999999999</v>
      </c>
      <c r="L4409" s="508">
        <v>0.36799999999999999</v>
      </c>
      <c r="M4409" s="508">
        <v>0.36799999999999999</v>
      </c>
      <c r="N4409" s="508">
        <v>0.36799999999999999</v>
      </c>
      <c r="O4409" s="508">
        <v>0.36799999999999999</v>
      </c>
      <c r="P4409" s="508">
        <v>0.27900000000000003</v>
      </c>
      <c r="Q4409" s="508">
        <v>0.27900000000000003</v>
      </c>
      <c r="R4409" s="508">
        <v>0.27900000000000003</v>
      </c>
      <c r="S4409" s="508">
        <v>0.27800000000000002</v>
      </c>
      <c r="T4409" s="508">
        <v>0.27800000000000002</v>
      </c>
      <c r="U4409" s="508">
        <v>0.21099999999999999</v>
      </c>
      <c r="V4409" s="508">
        <v>8.9999999999999993E-3</v>
      </c>
      <c r="W4409" s="508">
        <v>8.9999999999999993E-3</v>
      </c>
      <c r="X4409" s="508">
        <v>8.9999999999999993E-3</v>
      </c>
      <c r="Y4409" s="508">
        <v>8.9999999999999993E-3</v>
      </c>
      <c r="Z4409" s="508">
        <v>8.0000000000000002E-3</v>
      </c>
      <c r="AA4409" s="508">
        <v>3.0000000000000001E-3</v>
      </c>
      <c r="AB4409" s="508">
        <v>3.0000000000000001E-3</v>
      </c>
      <c r="AC4409" s="508">
        <v>3.0000000000000001E-3</v>
      </c>
      <c r="AD4409" s="508">
        <v>2E-3</v>
      </c>
      <c r="AE4409" s="508">
        <v>2E-3</v>
      </c>
      <c r="AF4409" s="508">
        <v>2E-3</v>
      </c>
      <c r="AG4409" s="508">
        <v>2E-3</v>
      </c>
      <c r="AH4409" s="508">
        <v>2E-3</v>
      </c>
      <c r="AI4409" s="492">
        <v>2E-3</v>
      </c>
      <c r="AJ4409" s="485"/>
    </row>
    <row r="4410" spans="2:36">
      <c r="B4410" s="136" t="s">
        <v>490</v>
      </c>
      <c r="C4410" s="132" t="s">
        <v>1377</v>
      </c>
      <c r="D4410" s="132" t="s">
        <v>284</v>
      </c>
      <c r="E4410" s="508"/>
      <c r="F4410" s="508"/>
      <c r="G4410" s="508"/>
      <c r="H4410" s="508"/>
      <c r="I4410" s="508"/>
      <c r="J4410" s="508">
        <v>0.38800000000000001</v>
      </c>
      <c r="K4410" s="508">
        <v>0.38800000000000001</v>
      </c>
      <c r="L4410" s="508">
        <v>0.38800000000000001</v>
      </c>
      <c r="M4410" s="508">
        <v>0.38800000000000001</v>
      </c>
      <c r="N4410" s="508">
        <v>0.38800000000000001</v>
      </c>
      <c r="O4410" s="508">
        <v>0.38700000000000001</v>
      </c>
      <c r="P4410" s="508">
        <v>0.29399999999999998</v>
      </c>
      <c r="Q4410" s="508">
        <v>0.29399999999999998</v>
      </c>
      <c r="R4410" s="508">
        <v>0.29399999999999998</v>
      </c>
      <c r="S4410" s="508">
        <v>0.29399999999999998</v>
      </c>
      <c r="T4410" s="508">
        <v>0.29399999999999998</v>
      </c>
      <c r="U4410" s="508">
        <v>0.223</v>
      </c>
      <c r="V4410" s="508">
        <v>0.01</v>
      </c>
      <c r="W4410" s="508">
        <v>0.01</v>
      </c>
      <c r="X4410" s="508">
        <v>0.01</v>
      </c>
      <c r="Y4410" s="508">
        <v>0.01</v>
      </c>
      <c r="Z4410" s="508">
        <v>8.0000000000000002E-3</v>
      </c>
      <c r="AA4410" s="508">
        <v>3.0000000000000001E-3</v>
      </c>
      <c r="AB4410" s="508">
        <v>3.0000000000000001E-3</v>
      </c>
      <c r="AC4410" s="508">
        <v>3.0000000000000001E-3</v>
      </c>
      <c r="AD4410" s="508">
        <v>2E-3</v>
      </c>
      <c r="AE4410" s="508">
        <v>2E-3</v>
      </c>
      <c r="AF4410" s="508">
        <v>2E-3</v>
      </c>
      <c r="AG4410" s="508">
        <v>2E-3</v>
      </c>
      <c r="AH4410" s="508">
        <v>2E-3</v>
      </c>
      <c r="AI4410" s="492">
        <v>2E-3</v>
      </c>
      <c r="AJ4410" s="485"/>
    </row>
    <row r="4411" spans="2:36">
      <c r="B4411" s="136" t="s">
        <v>435</v>
      </c>
      <c r="C4411" s="132" t="s">
        <v>1378</v>
      </c>
      <c r="D4411" s="132" t="s">
        <v>284</v>
      </c>
      <c r="E4411" s="508">
        <v>2.448</v>
      </c>
      <c r="F4411" s="508">
        <v>2.448</v>
      </c>
      <c r="G4411" s="508">
        <v>2.448</v>
      </c>
      <c r="H4411" s="508">
        <v>0.91600000000000004</v>
      </c>
      <c r="I4411" s="508">
        <v>0.91600000000000004</v>
      </c>
      <c r="J4411" s="508">
        <v>0.91600000000000004</v>
      </c>
      <c r="K4411" s="508">
        <v>1.0660000000000001</v>
      </c>
      <c r="L4411" s="508">
        <v>1.0660000000000001</v>
      </c>
      <c r="M4411" s="508">
        <v>1.0660000000000001</v>
      </c>
      <c r="N4411" s="508">
        <v>1.1339999999999999</v>
      </c>
      <c r="O4411" s="508">
        <v>1.1339999999999999</v>
      </c>
      <c r="P4411" s="508">
        <v>1.1339999999999999</v>
      </c>
      <c r="Q4411" s="508">
        <v>1.1339999999999999</v>
      </c>
      <c r="R4411" s="508">
        <v>0.83599999999999997</v>
      </c>
      <c r="S4411" s="508">
        <v>0.83599999999999997</v>
      </c>
      <c r="T4411" s="508">
        <v>0.83599999999999997</v>
      </c>
      <c r="U4411" s="508">
        <v>0.83599999999999997</v>
      </c>
      <c r="V4411" s="508">
        <v>0.83599999999999997</v>
      </c>
      <c r="W4411" s="508">
        <v>0.72499999999999998</v>
      </c>
      <c r="X4411" s="508">
        <v>0.72499999999999998</v>
      </c>
      <c r="Y4411" s="508">
        <v>0.72499999999999998</v>
      </c>
      <c r="Z4411" s="508">
        <v>0.68100000000000005</v>
      </c>
      <c r="AA4411" s="508">
        <v>3.1E-2</v>
      </c>
      <c r="AB4411" s="508">
        <v>2.5999999999999999E-2</v>
      </c>
      <c r="AC4411" s="508">
        <v>2.5999999999999999E-2</v>
      </c>
      <c r="AD4411" s="508">
        <v>2.1999999999999999E-2</v>
      </c>
      <c r="AE4411" s="508">
        <v>2.1999999999999999E-2</v>
      </c>
      <c r="AF4411" s="508">
        <v>1.7000000000000001E-2</v>
      </c>
      <c r="AG4411" s="508">
        <v>1.7000000000000001E-2</v>
      </c>
      <c r="AH4411" s="508">
        <v>1.7000000000000001E-2</v>
      </c>
      <c r="AI4411" s="492">
        <v>1.7000000000000001E-2</v>
      </c>
      <c r="AJ4411" s="485"/>
    </row>
    <row r="4412" spans="2:36">
      <c r="B4412" s="136" t="s">
        <v>436</v>
      </c>
      <c r="C4412" s="132" t="s">
        <v>1378</v>
      </c>
      <c r="D4412" s="132" t="s">
        <v>284</v>
      </c>
      <c r="E4412" s="508">
        <v>2.4740000000000002</v>
      </c>
      <c r="F4412" s="508">
        <v>2.4740000000000002</v>
      </c>
      <c r="G4412" s="508">
        <v>2.4740000000000002</v>
      </c>
      <c r="H4412" s="508">
        <v>0.91200000000000003</v>
      </c>
      <c r="I4412" s="508">
        <v>0.91200000000000003</v>
      </c>
      <c r="J4412" s="508">
        <v>0.91200000000000003</v>
      </c>
      <c r="K4412" s="508">
        <v>1.0720000000000001</v>
      </c>
      <c r="L4412" s="508">
        <v>1.0720000000000001</v>
      </c>
      <c r="M4412" s="508">
        <v>1.0720000000000001</v>
      </c>
      <c r="N4412" s="508">
        <v>1.129</v>
      </c>
      <c r="O4412" s="508">
        <v>1.129</v>
      </c>
      <c r="P4412" s="508">
        <v>1.129</v>
      </c>
      <c r="Q4412" s="508">
        <v>1.129</v>
      </c>
      <c r="R4412" s="508">
        <v>0.81899999999999995</v>
      </c>
      <c r="S4412" s="508">
        <v>0.81899999999999995</v>
      </c>
      <c r="T4412" s="508">
        <v>0.81899999999999995</v>
      </c>
      <c r="U4412" s="508">
        <v>0.81899999999999995</v>
      </c>
      <c r="V4412" s="508">
        <v>0.81899999999999995</v>
      </c>
      <c r="W4412" s="508">
        <v>0.71099999999999997</v>
      </c>
      <c r="X4412" s="508">
        <v>0.71099999999999997</v>
      </c>
      <c r="Y4412" s="508">
        <v>0.71099999999999997</v>
      </c>
      <c r="Z4412" s="508">
        <v>0.66800000000000004</v>
      </c>
      <c r="AA4412" s="508">
        <v>0.03</v>
      </c>
      <c r="AB4412" s="508">
        <v>2.5999999999999999E-2</v>
      </c>
      <c r="AC4412" s="508">
        <v>2.5999999999999999E-2</v>
      </c>
      <c r="AD4412" s="508">
        <v>2.1000000000000001E-2</v>
      </c>
      <c r="AE4412" s="508">
        <v>2.1000000000000001E-2</v>
      </c>
      <c r="AF4412" s="508">
        <v>1.7000000000000001E-2</v>
      </c>
      <c r="AG4412" s="508">
        <v>1.7000000000000001E-2</v>
      </c>
      <c r="AH4412" s="508">
        <v>1.7000000000000001E-2</v>
      </c>
      <c r="AI4412" s="492">
        <v>1.7000000000000001E-2</v>
      </c>
      <c r="AJ4412" s="485"/>
    </row>
    <row r="4413" spans="2:36">
      <c r="B4413" s="136" t="s">
        <v>437</v>
      </c>
      <c r="C4413" s="132" t="s">
        <v>1378</v>
      </c>
      <c r="D4413" s="132" t="s">
        <v>284</v>
      </c>
      <c r="E4413" s="508">
        <v>2.4900000000000002</v>
      </c>
      <c r="F4413" s="508">
        <v>2.4900000000000002</v>
      </c>
      <c r="G4413" s="508">
        <v>2.4900000000000002</v>
      </c>
      <c r="H4413" s="508">
        <v>0.94299999999999995</v>
      </c>
      <c r="I4413" s="508">
        <v>0.94299999999999995</v>
      </c>
      <c r="J4413" s="508">
        <v>0.94299999999999995</v>
      </c>
      <c r="K4413" s="508">
        <v>1.0960000000000001</v>
      </c>
      <c r="L4413" s="508">
        <v>1.0960000000000001</v>
      </c>
      <c r="M4413" s="508">
        <v>1.0960000000000001</v>
      </c>
      <c r="N4413" s="508">
        <v>1.181</v>
      </c>
      <c r="O4413" s="508">
        <v>1.181</v>
      </c>
      <c r="P4413" s="508">
        <v>1.181</v>
      </c>
      <c r="Q4413" s="508">
        <v>1.181</v>
      </c>
      <c r="R4413" s="508">
        <v>0.85799999999999998</v>
      </c>
      <c r="S4413" s="508">
        <v>0.85799999999999998</v>
      </c>
      <c r="T4413" s="508">
        <v>0.85799999999999998</v>
      </c>
      <c r="U4413" s="508">
        <v>0.85799999999999998</v>
      </c>
      <c r="V4413" s="508">
        <v>0.85799999999999998</v>
      </c>
      <c r="W4413" s="508">
        <v>0.74399999999999999</v>
      </c>
      <c r="X4413" s="508">
        <v>0.74399999999999999</v>
      </c>
      <c r="Y4413" s="508">
        <v>0.74399999999999999</v>
      </c>
      <c r="Z4413" s="508">
        <v>0.69899999999999995</v>
      </c>
      <c r="AA4413" s="508">
        <v>3.2000000000000001E-2</v>
      </c>
      <c r="AB4413" s="508">
        <v>2.7E-2</v>
      </c>
      <c r="AC4413" s="508">
        <v>2.7E-2</v>
      </c>
      <c r="AD4413" s="508">
        <v>2.1999999999999999E-2</v>
      </c>
      <c r="AE4413" s="508">
        <v>2.1999999999999999E-2</v>
      </c>
      <c r="AF4413" s="508">
        <v>1.7999999999999999E-2</v>
      </c>
      <c r="AG4413" s="508">
        <v>1.7999999999999999E-2</v>
      </c>
      <c r="AH4413" s="508">
        <v>1.7999999999999999E-2</v>
      </c>
      <c r="AI4413" s="492">
        <v>1.7999999999999999E-2</v>
      </c>
      <c r="AJ4413" s="485"/>
    </row>
    <row r="4414" spans="2:36">
      <c r="B4414" s="136" t="s">
        <v>438</v>
      </c>
      <c r="C4414" s="132" t="s">
        <v>1378</v>
      </c>
      <c r="D4414" s="132" t="s">
        <v>284</v>
      </c>
      <c r="E4414" s="508">
        <v>2.4750000000000001</v>
      </c>
      <c r="F4414" s="508">
        <v>2.4750000000000001</v>
      </c>
      <c r="G4414" s="508">
        <v>2.4750000000000001</v>
      </c>
      <c r="H4414" s="508">
        <v>0.9</v>
      </c>
      <c r="I4414" s="508">
        <v>0.9</v>
      </c>
      <c r="J4414" s="508">
        <v>0.9</v>
      </c>
      <c r="K4414" s="508">
        <v>1.0640000000000001</v>
      </c>
      <c r="L4414" s="508">
        <v>1.0640000000000001</v>
      </c>
      <c r="M4414" s="508">
        <v>1.0640000000000001</v>
      </c>
      <c r="N4414" s="508">
        <v>1.107</v>
      </c>
      <c r="O4414" s="508">
        <v>1.107</v>
      </c>
      <c r="P4414" s="508">
        <v>1.107</v>
      </c>
      <c r="Q4414" s="508">
        <v>1.107</v>
      </c>
      <c r="R4414" s="508">
        <v>0.80400000000000005</v>
      </c>
      <c r="S4414" s="508">
        <v>0.80400000000000005</v>
      </c>
      <c r="T4414" s="508">
        <v>0.80400000000000005</v>
      </c>
      <c r="U4414" s="508">
        <v>0.80400000000000005</v>
      </c>
      <c r="V4414" s="508">
        <v>0.80400000000000005</v>
      </c>
      <c r="W4414" s="508">
        <v>0.69799999999999995</v>
      </c>
      <c r="X4414" s="508">
        <v>0.69799999999999995</v>
      </c>
      <c r="Y4414" s="508">
        <v>0.69799999999999995</v>
      </c>
      <c r="Z4414" s="508">
        <v>0.65500000000000003</v>
      </c>
      <c r="AA4414" s="508">
        <v>0.03</v>
      </c>
      <c r="AB4414" s="508">
        <v>2.5999999999999999E-2</v>
      </c>
      <c r="AC4414" s="508">
        <v>2.5999999999999999E-2</v>
      </c>
      <c r="AD4414" s="508">
        <v>2.1000000000000001E-2</v>
      </c>
      <c r="AE4414" s="508">
        <v>2.1000000000000001E-2</v>
      </c>
      <c r="AF4414" s="508">
        <v>1.7000000000000001E-2</v>
      </c>
      <c r="AG4414" s="508">
        <v>1.7000000000000001E-2</v>
      </c>
      <c r="AH4414" s="508">
        <v>1.7000000000000001E-2</v>
      </c>
      <c r="AI4414" s="492">
        <v>1.7000000000000001E-2</v>
      </c>
      <c r="AJ4414" s="485"/>
    </row>
    <row r="4415" spans="2:36">
      <c r="B4415" s="136" t="s">
        <v>439</v>
      </c>
      <c r="C4415" s="132" t="s">
        <v>1378</v>
      </c>
      <c r="D4415" s="132" t="s">
        <v>284</v>
      </c>
      <c r="E4415" s="508">
        <v>2.5259999999999998</v>
      </c>
      <c r="F4415" s="508">
        <v>2.5259999999999998</v>
      </c>
      <c r="G4415" s="508">
        <v>2.5249999999999999</v>
      </c>
      <c r="H4415" s="508">
        <v>0.95</v>
      </c>
      <c r="I4415" s="508">
        <v>0.95</v>
      </c>
      <c r="J4415" s="508">
        <v>0.94899999999999995</v>
      </c>
      <c r="K4415" s="508">
        <v>1.1080000000000001</v>
      </c>
      <c r="L4415" s="508">
        <v>1.1080000000000001</v>
      </c>
      <c r="M4415" s="508">
        <v>1.1080000000000001</v>
      </c>
      <c r="N4415" s="508">
        <v>1.1870000000000001</v>
      </c>
      <c r="O4415" s="508">
        <v>1.1870000000000001</v>
      </c>
      <c r="P4415" s="508">
        <v>1.1870000000000001</v>
      </c>
      <c r="Q4415" s="508">
        <v>1.1870000000000001</v>
      </c>
      <c r="R4415" s="508">
        <v>0.85799999999999998</v>
      </c>
      <c r="S4415" s="508">
        <v>0.85799999999999998</v>
      </c>
      <c r="T4415" s="508">
        <v>0.85799999999999998</v>
      </c>
      <c r="U4415" s="508">
        <v>0.85799999999999998</v>
      </c>
      <c r="V4415" s="508">
        <v>0.85799999999999998</v>
      </c>
      <c r="W4415" s="508">
        <v>0.74399999999999999</v>
      </c>
      <c r="X4415" s="508">
        <v>0.74399999999999999</v>
      </c>
      <c r="Y4415" s="508">
        <v>0.74399999999999999</v>
      </c>
      <c r="Z4415" s="508">
        <v>0.69899999999999995</v>
      </c>
      <c r="AA4415" s="508">
        <v>3.2000000000000001E-2</v>
      </c>
      <c r="AB4415" s="508">
        <v>2.7E-2</v>
      </c>
      <c r="AC4415" s="508">
        <v>2.7E-2</v>
      </c>
      <c r="AD4415" s="508">
        <v>2.1999999999999999E-2</v>
      </c>
      <c r="AE4415" s="508">
        <v>2.1999999999999999E-2</v>
      </c>
      <c r="AF4415" s="508">
        <v>1.7999999999999999E-2</v>
      </c>
      <c r="AG4415" s="508">
        <v>1.7999999999999999E-2</v>
      </c>
      <c r="AH4415" s="508">
        <v>1.7999999999999999E-2</v>
      </c>
      <c r="AI4415" s="492">
        <v>1.7999999999999999E-2</v>
      </c>
      <c r="AJ4415" s="485"/>
    </row>
    <row r="4416" spans="2:36">
      <c r="B4416" s="136" t="s">
        <v>440</v>
      </c>
      <c r="C4416" s="132" t="s">
        <v>1378</v>
      </c>
      <c r="D4416" s="132" t="s">
        <v>284</v>
      </c>
      <c r="E4416" s="508">
        <v>2.4969999999999999</v>
      </c>
      <c r="F4416" s="508">
        <v>2.496</v>
      </c>
      <c r="G4416" s="508">
        <v>2.496</v>
      </c>
      <c r="H4416" s="508">
        <v>0.93300000000000005</v>
      </c>
      <c r="I4416" s="508">
        <v>0.93300000000000005</v>
      </c>
      <c r="J4416" s="508">
        <v>0.93300000000000005</v>
      </c>
      <c r="K4416" s="508">
        <v>1.0900000000000001</v>
      </c>
      <c r="L4416" s="508">
        <v>1.0900000000000001</v>
      </c>
      <c r="M4416" s="508">
        <v>1.0900000000000001</v>
      </c>
      <c r="N4416" s="508">
        <v>1.161</v>
      </c>
      <c r="O4416" s="508">
        <v>1.161</v>
      </c>
      <c r="P4416" s="508">
        <v>1.161</v>
      </c>
      <c r="Q4416" s="508">
        <v>1.161</v>
      </c>
      <c r="R4416" s="508">
        <v>0.84299999999999997</v>
      </c>
      <c r="S4416" s="508">
        <v>0.84299999999999997</v>
      </c>
      <c r="T4416" s="508">
        <v>0.84299999999999997</v>
      </c>
      <c r="U4416" s="508">
        <v>0.84299999999999997</v>
      </c>
      <c r="V4416" s="508">
        <v>0.84299999999999997</v>
      </c>
      <c r="W4416" s="508">
        <v>0.73099999999999998</v>
      </c>
      <c r="X4416" s="508">
        <v>0.73099999999999998</v>
      </c>
      <c r="Y4416" s="508">
        <v>0.73099999999999998</v>
      </c>
      <c r="Z4416" s="508">
        <v>0.68700000000000006</v>
      </c>
      <c r="AA4416" s="508">
        <v>3.1E-2</v>
      </c>
      <c r="AB4416" s="508">
        <v>2.7E-2</v>
      </c>
      <c r="AC4416" s="508">
        <v>2.7E-2</v>
      </c>
      <c r="AD4416" s="508">
        <v>2.1999999999999999E-2</v>
      </c>
      <c r="AE4416" s="508">
        <v>2.1999999999999999E-2</v>
      </c>
      <c r="AF4416" s="508">
        <v>1.7999999999999999E-2</v>
      </c>
      <c r="AG4416" s="508">
        <v>1.7999999999999999E-2</v>
      </c>
      <c r="AH4416" s="508">
        <v>1.7999999999999999E-2</v>
      </c>
      <c r="AI4416" s="492">
        <v>1.7999999999999999E-2</v>
      </c>
      <c r="AJ4416" s="485"/>
    </row>
    <row r="4417" spans="2:36">
      <c r="B4417" s="136" t="s">
        <v>441</v>
      </c>
      <c r="C4417" s="132" t="s">
        <v>1378</v>
      </c>
      <c r="D4417" s="132" t="s">
        <v>284</v>
      </c>
      <c r="E4417" s="508">
        <v>2.54</v>
      </c>
      <c r="F4417" s="508">
        <v>2.54</v>
      </c>
      <c r="G4417" s="508">
        <v>2.54</v>
      </c>
      <c r="H4417" s="508">
        <v>0.95499999999999996</v>
      </c>
      <c r="I4417" s="508">
        <v>0.95499999999999996</v>
      </c>
      <c r="J4417" s="508">
        <v>0.95499999999999996</v>
      </c>
      <c r="K4417" s="508">
        <v>1.1140000000000001</v>
      </c>
      <c r="L4417" s="508">
        <v>1.1140000000000001</v>
      </c>
      <c r="M4417" s="508">
        <v>1.1140000000000001</v>
      </c>
      <c r="N4417" s="508">
        <v>1.194</v>
      </c>
      <c r="O4417" s="508">
        <v>1.194</v>
      </c>
      <c r="P4417" s="508">
        <v>1.194</v>
      </c>
      <c r="Q4417" s="508">
        <v>1.194</v>
      </c>
      <c r="R4417" s="508">
        <v>0.86099999999999999</v>
      </c>
      <c r="S4417" s="508">
        <v>0.86099999999999999</v>
      </c>
      <c r="T4417" s="508">
        <v>0.86099999999999999</v>
      </c>
      <c r="U4417" s="508">
        <v>0.86099999999999999</v>
      </c>
      <c r="V4417" s="508">
        <v>0.86099999999999999</v>
      </c>
      <c r="W4417" s="508">
        <v>0.747</v>
      </c>
      <c r="X4417" s="508">
        <v>0.747</v>
      </c>
      <c r="Y4417" s="508">
        <v>0.747</v>
      </c>
      <c r="Z4417" s="508">
        <v>0.70099999999999996</v>
      </c>
      <c r="AA4417" s="508">
        <v>3.2000000000000001E-2</v>
      </c>
      <c r="AB4417" s="508">
        <v>2.7E-2</v>
      </c>
      <c r="AC4417" s="508">
        <v>2.7E-2</v>
      </c>
      <c r="AD4417" s="508">
        <v>2.1999999999999999E-2</v>
      </c>
      <c r="AE4417" s="508">
        <v>2.1999999999999999E-2</v>
      </c>
      <c r="AF4417" s="508">
        <v>1.7999999999999999E-2</v>
      </c>
      <c r="AG4417" s="508">
        <v>1.7999999999999999E-2</v>
      </c>
      <c r="AH4417" s="508">
        <v>1.7999999999999999E-2</v>
      </c>
      <c r="AI4417" s="492">
        <v>1.7999999999999999E-2</v>
      </c>
      <c r="AJ4417" s="485"/>
    </row>
    <row r="4418" spans="2:36">
      <c r="B4418" s="136" t="s">
        <v>443</v>
      </c>
      <c r="C4418" s="132" t="s">
        <v>1378</v>
      </c>
      <c r="D4418" s="132" t="s">
        <v>284</v>
      </c>
      <c r="E4418" s="508">
        <v>2.44</v>
      </c>
      <c r="F4418" s="508">
        <v>2.44</v>
      </c>
      <c r="G4418" s="508">
        <v>2.44</v>
      </c>
      <c r="H4418" s="508">
        <v>0.93400000000000005</v>
      </c>
      <c r="I4418" s="508">
        <v>0.93400000000000005</v>
      </c>
      <c r="J4418" s="508">
        <v>0.93400000000000005</v>
      </c>
      <c r="K4418" s="508">
        <v>1.073</v>
      </c>
      <c r="L4418" s="508">
        <v>1.073</v>
      </c>
      <c r="M4418" s="508">
        <v>1.073</v>
      </c>
      <c r="N4418" s="508">
        <v>1.163</v>
      </c>
      <c r="O4418" s="508">
        <v>1.163</v>
      </c>
      <c r="P4418" s="508">
        <v>1.163</v>
      </c>
      <c r="Q4418" s="508">
        <v>1.163</v>
      </c>
      <c r="R4418" s="508">
        <v>0.86699999999999999</v>
      </c>
      <c r="S4418" s="508">
        <v>0.86699999999999999</v>
      </c>
      <c r="T4418" s="508">
        <v>0.86699999999999999</v>
      </c>
      <c r="U4418" s="508">
        <v>0.86699999999999999</v>
      </c>
      <c r="V4418" s="508">
        <v>0.86699999999999999</v>
      </c>
      <c r="W4418" s="508">
        <v>0.753</v>
      </c>
      <c r="X4418" s="508">
        <v>0.753</v>
      </c>
      <c r="Y4418" s="508">
        <v>0.753</v>
      </c>
      <c r="Z4418" s="508">
        <v>0.70699999999999996</v>
      </c>
      <c r="AA4418" s="508">
        <v>3.1E-2</v>
      </c>
      <c r="AB4418" s="508">
        <v>2.7E-2</v>
      </c>
      <c r="AC4418" s="508">
        <v>2.7E-2</v>
      </c>
      <c r="AD4418" s="508">
        <v>2.1999999999999999E-2</v>
      </c>
      <c r="AE4418" s="508">
        <v>2.1999999999999999E-2</v>
      </c>
      <c r="AF4418" s="508">
        <v>1.7999999999999999E-2</v>
      </c>
      <c r="AG4418" s="508">
        <v>1.7999999999999999E-2</v>
      </c>
      <c r="AH4418" s="508">
        <v>1.7999999999999999E-2</v>
      </c>
      <c r="AI4418" s="492">
        <v>1.7999999999999999E-2</v>
      </c>
      <c r="AJ4418" s="485"/>
    </row>
    <row r="4419" spans="2:36">
      <c r="B4419" s="136" t="s">
        <v>445</v>
      </c>
      <c r="C4419" s="132" t="s">
        <v>1378</v>
      </c>
      <c r="D4419" s="132" t="s">
        <v>284</v>
      </c>
      <c r="E4419" s="508">
        <v>2.46</v>
      </c>
      <c r="F4419" s="508">
        <v>2.46</v>
      </c>
      <c r="G4419" s="508">
        <v>2.46</v>
      </c>
      <c r="H4419" s="508">
        <v>0.998</v>
      </c>
      <c r="I4419" s="508">
        <v>0.998</v>
      </c>
      <c r="J4419" s="508">
        <v>0.998</v>
      </c>
      <c r="K4419" s="508">
        <v>1.121</v>
      </c>
      <c r="L4419" s="508">
        <v>1.121</v>
      </c>
      <c r="M4419" s="508">
        <v>1.121</v>
      </c>
      <c r="N4419" s="508">
        <v>1.274</v>
      </c>
      <c r="O4419" s="508">
        <v>1.274</v>
      </c>
      <c r="P4419" s="508">
        <v>1.274</v>
      </c>
      <c r="Q4419" s="508">
        <v>1.274</v>
      </c>
      <c r="R4419" s="508">
        <v>0.94499999999999995</v>
      </c>
      <c r="S4419" s="508">
        <v>0.94499999999999995</v>
      </c>
      <c r="T4419" s="508">
        <v>0.94499999999999995</v>
      </c>
      <c r="U4419" s="508">
        <v>0.94499999999999995</v>
      </c>
      <c r="V4419" s="508">
        <v>0.94499999999999995</v>
      </c>
      <c r="W4419" s="508">
        <v>0.82</v>
      </c>
      <c r="X4419" s="508">
        <v>0.82</v>
      </c>
      <c r="Y4419" s="508">
        <v>0.82</v>
      </c>
      <c r="Z4419" s="508">
        <v>0.77</v>
      </c>
      <c r="AA4419" s="508">
        <v>3.4000000000000002E-2</v>
      </c>
      <c r="AB4419" s="508">
        <v>2.9000000000000001E-2</v>
      </c>
      <c r="AC4419" s="508">
        <v>2.9000000000000001E-2</v>
      </c>
      <c r="AD4419" s="508">
        <v>2.4E-2</v>
      </c>
      <c r="AE4419" s="508">
        <v>2.4E-2</v>
      </c>
      <c r="AF4419" s="508">
        <v>1.9E-2</v>
      </c>
      <c r="AG4419" s="508">
        <v>1.9E-2</v>
      </c>
      <c r="AH4419" s="508">
        <v>1.9E-2</v>
      </c>
      <c r="AI4419" s="492">
        <v>1.9E-2</v>
      </c>
      <c r="AJ4419" s="485"/>
    </row>
    <row r="4420" spans="2:36">
      <c r="B4420" s="136" t="s">
        <v>446</v>
      </c>
      <c r="C4420" s="132" t="s">
        <v>1378</v>
      </c>
      <c r="D4420" s="132" t="s">
        <v>284</v>
      </c>
      <c r="E4420" s="508">
        <v>2.4580000000000002</v>
      </c>
      <c r="F4420" s="508">
        <v>2.4580000000000002</v>
      </c>
      <c r="G4420" s="508">
        <v>2.4569999999999999</v>
      </c>
      <c r="H4420" s="508">
        <v>0.96499999999999997</v>
      </c>
      <c r="I4420" s="508">
        <v>0.96499999999999997</v>
      </c>
      <c r="J4420" s="508">
        <v>0.96499999999999997</v>
      </c>
      <c r="K4420" s="508">
        <v>1.1000000000000001</v>
      </c>
      <c r="L4420" s="508">
        <v>1.1000000000000001</v>
      </c>
      <c r="M4420" s="508">
        <v>1.1000000000000001</v>
      </c>
      <c r="N4420" s="508">
        <v>1.2190000000000001</v>
      </c>
      <c r="O4420" s="508">
        <v>1.2190000000000001</v>
      </c>
      <c r="P4420" s="508">
        <v>1.2190000000000001</v>
      </c>
      <c r="Q4420" s="508">
        <v>1.2190000000000001</v>
      </c>
      <c r="R4420" s="508">
        <v>0.89900000000000002</v>
      </c>
      <c r="S4420" s="508">
        <v>0.89900000000000002</v>
      </c>
      <c r="T4420" s="508">
        <v>0.89900000000000002</v>
      </c>
      <c r="U4420" s="508">
        <v>0.89900000000000002</v>
      </c>
      <c r="V4420" s="508">
        <v>0.89900000000000002</v>
      </c>
      <c r="W4420" s="508">
        <v>0.78</v>
      </c>
      <c r="X4420" s="508">
        <v>0.78</v>
      </c>
      <c r="Y4420" s="508">
        <v>0.78</v>
      </c>
      <c r="Z4420" s="508">
        <v>0.73299999999999998</v>
      </c>
      <c r="AA4420" s="508">
        <v>3.3000000000000002E-2</v>
      </c>
      <c r="AB4420" s="508">
        <v>2.8000000000000001E-2</v>
      </c>
      <c r="AC4420" s="508">
        <v>2.8000000000000001E-2</v>
      </c>
      <c r="AD4420" s="508">
        <v>2.3E-2</v>
      </c>
      <c r="AE4420" s="508">
        <v>2.3E-2</v>
      </c>
      <c r="AF4420" s="508">
        <v>1.9E-2</v>
      </c>
      <c r="AG4420" s="508">
        <v>1.7999999999999999E-2</v>
      </c>
      <c r="AH4420" s="508">
        <v>1.7999999999999999E-2</v>
      </c>
      <c r="AI4420" s="492">
        <v>1.7999999999999999E-2</v>
      </c>
      <c r="AJ4420" s="485"/>
    </row>
    <row r="4421" spans="2:36">
      <c r="B4421" s="136" t="s">
        <v>448</v>
      </c>
      <c r="C4421" s="132" t="s">
        <v>1378</v>
      </c>
      <c r="D4421" s="132" t="s">
        <v>284</v>
      </c>
      <c r="E4421" s="508">
        <v>2.476</v>
      </c>
      <c r="F4421" s="508">
        <v>2.476</v>
      </c>
      <c r="G4421" s="508">
        <v>2.476</v>
      </c>
      <c r="H4421" s="508">
        <v>0.91100000000000003</v>
      </c>
      <c r="I4421" s="508">
        <v>0.91100000000000003</v>
      </c>
      <c r="J4421" s="508">
        <v>0.91100000000000003</v>
      </c>
      <c r="K4421" s="508">
        <v>1.071</v>
      </c>
      <c r="L4421" s="508">
        <v>1.071</v>
      </c>
      <c r="M4421" s="508">
        <v>1.071</v>
      </c>
      <c r="N4421" s="508">
        <v>1.125</v>
      </c>
      <c r="O4421" s="508">
        <v>1.125</v>
      </c>
      <c r="P4421" s="508">
        <v>1.125</v>
      </c>
      <c r="Q4421" s="508">
        <v>1.125</v>
      </c>
      <c r="R4421" s="508">
        <v>0.82</v>
      </c>
      <c r="S4421" s="508">
        <v>0.82</v>
      </c>
      <c r="T4421" s="508">
        <v>0.82</v>
      </c>
      <c r="U4421" s="508">
        <v>0.82</v>
      </c>
      <c r="V4421" s="508">
        <v>0.82</v>
      </c>
      <c r="W4421" s="508">
        <v>0.71099999999999997</v>
      </c>
      <c r="X4421" s="508">
        <v>0.71099999999999997</v>
      </c>
      <c r="Y4421" s="508">
        <v>0.71099999999999997</v>
      </c>
      <c r="Z4421" s="508">
        <v>0.66800000000000004</v>
      </c>
      <c r="AA4421" s="508">
        <v>0.03</v>
      </c>
      <c r="AB4421" s="508">
        <v>2.5999999999999999E-2</v>
      </c>
      <c r="AC4421" s="508">
        <v>2.5999999999999999E-2</v>
      </c>
      <c r="AD4421" s="508">
        <v>2.1000000000000001E-2</v>
      </c>
      <c r="AE4421" s="508">
        <v>2.1000000000000001E-2</v>
      </c>
      <c r="AF4421" s="508">
        <v>1.7000000000000001E-2</v>
      </c>
      <c r="AG4421" s="508">
        <v>1.7000000000000001E-2</v>
      </c>
      <c r="AH4421" s="508">
        <v>1.7000000000000001E-2</v>
      </c>
      <c r="AI4421" s="492">
        <v>1.7000000000000001E-2</v>
      </c>
      <c r="AJ4421" s="485"/>
    </row>
    <row r="4422" spans="2:36">
      <c r="B4422" s="136" t="s">
        <v>449</v>
      </c>
      <c r="C4422" s="132" t="s">
        <v>1378</v>
      </c>
      <c r="D4422" s="132" t="s">
        <v>284</v>
      </c>
      <c r="E4422" s="508">
        <v>2.4590000000000001</v>
      </c>
      <c r="F4422" s="508">
        <v>2.4590000000000001</v>
      </c>
      <c r="G4422" s="508">
        <v>2.4590000000000001</v>
      </c>
      <c r="H4422" s="508">
        <v>0.94799999999999995</v>
      </c>
      <c r="I4422" s="508">
        <v>0.94799999999999995</v>
      </c>
      <c r="J4422" s="508">
        <v>0.94799999999999995</v>
      </c>
      <c r="K4422" s="508">
        <v>1.0880000000000001</v>
      </c>
      <c r="L4422" s="508">
        <v>1.0880000000000001</v>
      </c>
      <c r="M4422" s="508">
        <v>1.0880000000000001</v>
      </c>
      <c r="N4422" s="508">
        <v>1.1870000000000001</v>
      </c>
      <c r="O4422" s="508">
        <v>1.1870000000000001</v>
      </c>
      <c r="P4422" s="508">
        <v>1.1870000000000001</v>
      </c>
      <c r="Q4422" s="508">
        <v>1.1870000000000001</v>
      </c>
      <c r="R4422" s="508">
        <v>0.879</v>
      </c>
      <c r="S4422" s="508">
        <v>0.879</v>
      </c>
      <c r="T4422" s="508">
        <v>0.879</v>
      </c>
      <c r="U4422" s="508">
        <v>0.879</v>
      </c>
      <c r="V4422" s="508">
        <v>0.879</v>
      </c>
      <c r="W4422" s="508">
        <v>0.76300000000000001</v>
      </c>
      <c r="X4422" s="508">
        <v>0.76300000000000001</v>
      </c>
      <c r="Y4422" s="508">
        <v>0.76200000000000001</v>
      </c>
      <c r="Z4422" s="508">
        <v>0.71599999999999997</v>
      </c>
      <c r="AA4422" s="508">
        <v>3.2000000000000001E-2</v>
      </c>
      <c r="AB4422" s="508">
        <v>2.7E-2</v>
      </c>
      <c r="AC4422" s="508">
        <v>2.7E-2</v>
      </c>
      <c r="AD4422" s="508">
        <v>2.3E-2</v>
      </c>
      <c r="AE4422" s="508">
        <v>2.3E-2</v>
      </c>
      <c r="AF4422" s="508">
        <v>1.7999999999999999E-2</v>
      </c>
      <c r="AG4422" s="508">
        <v>1.7999999999999999E-2</v>
      </c>
      <c r="AH4422" s="508">
        <v>1.7999999999999999E-2</v>
      </c>
      <c r="AI4422" s="492">
        <v>1.7999999999999999E-2</v>
      </c>
      <c r="AJ4422" s="485"/>
    </row>
    <row r="4423" spans="2:36">
      <c r="B4423" s="136" t="s">
        <v>450</v>
      </c>
      <c r="C4423" s="132" t="s">
        <v>1378</v>
      </c>
      <c r="D4423" s="132" t="s">
        <v>284</v>
      </c>
      <c r="E4423" s="508">
        <v>2.456</v>
      </c>
      <c r="F4423" s="508">
        <v>2.456</v>
      </c>
      <c r="G4423" s="508">
        <v>2.456</v>
      </c>
      <c r="H4423" s="508">
        <v>0.90400000000000003</v>
      </c>
      <c r="I4423" s="508">
        <v>0.90400000000000003</v>
      </c>
      <c r="J4423" s="508">
        <v>0.90400000000000003</v>
      </c>
      <c r="K4423" s="508">
        <v>0.38900000000000001</v>
      </c>
      <c r="L4423" s="508">
        <v>0.38900000000000001</v>
      </c>
      <c r="M4423" s="508">
        <v>0.38900000000000001</v>
      </c>
      <c r="N4423" s="508">
        <v>0.66500000000000004</v>
      </c>
      <c r="O4423" s="508">
        <v>0.66500000000000004</v>
      </c>
      <c r="P4423" s="508">
        <v>0.47499999999999998</v>
      </c>
      <c r="Q4423" s="508">
        <v>0.47499999999999998</v>
      </c>
      <c r="R4423" s="508">
        <v>0.35099999999999998</v>
      </c>
      <c r="S4423" s="508">
        <v>0.35099999999999998</v>
      </c>
      <c r="T4423" s="508">
        <v>0.35099999999999998</v>
      </c>
      <c r="U4423" s="508">
        <v>0.35099999999999998</v>
      </c>
      <c r="V4423" s="508">
        <v>0.35</v>
      </c>
      <c r="W4423" s="508">
        <v>0.317</v>
      </c>
      <c r="X4423" s="508">
        <v>0.317</v>
      </c>
      <c r="Y4423" s="508">
        <v>0.317</v>
      </c>
      <c r="Z4423" s="508">
        <v>0.29799999999999999</v>
      </c>
      <c r="AA4423" s="508">
        <v>0.03</v>
      </c>
      <c r="AB4423" s="508">
        <v>2.5999999999999999E-2</v>
      </c>
      <c r="AC4423" s="508">
        <v>2.5999999999999999E-2</v>
      </c>
      <c r="AD4423" s="508">
        <v>2.1000000000000001E-2</v>
      </c>
      <c r="AE4423" s="508">
        <v>2.1000000000000001E-2</v>
      </c>
      <c r="AF4423" s="508">
        <v>1.7000000000000001E-2</v>
      </c>
      <c r="AG4423" s="508">
        <v>1.7000000000000001E-2</v>
      </c>
      <c r="AH4423" s="508">
        <v>1.7000000000000001E-2</v>
      </c>
      <c r="AI4423" s="492">
        <v>1.7000000000000001E-2</v>
      </c>
      <c r="AJ4423" s="485"/>
    </row>
    <row r="4424" spans="2:36">
      <c r="B4424" s="136" t="s">
        <v>451</v>
      </c>
      <c r="C4424" s="132" t="s">
        <v>1378</v>
      </c>
      <c r="D4424" s="132" t="s">
        <v>284</v>
      </c>
      <c r="E4424" s="508">
        <v>2.4900000000000002</v>
      </c>
      <c r="F4424" s="508">
        <v>2.4900000000000002</v>
      </c>
      <c r="G4424" s="508">
        <v>2.4900000000000002</v>
      </c>
      <c r="H4424" s="508">
        <v>0.98099999999999998</v>
      </c>
      <c r="I4424" s="508">
        <v>0.98099999999999998</v>
      </c>
      <c r="J4424" s="508">
        <v>0.98099999999999998</v>
      </c>
      <c r="K4424" s="508">
        <v>1.1180000000000001</v>
      </c>
      <c r="L4424" s="508">
        <v>1.1180000000000001</v>
      </c>
      <c r="M4424" s="508">
        <v>1.1180000000000001</v>
      </c>
      <c r="N4424" s="508">
        <v>1.2430000000000001</v>
      </c>
      <c r="O4424" s="508">
        <v>1.2430000000000001</v>
      </c>
      <c r="P4424" s="508">
        <v>1.2430000000000001</v>
      </c>
      <c r="Q4424" s="508">
        <v>1.2430000000000001</v>
      </c>
      <c r="R4424" s="508">
        <v>0.91200000000000003</v>
      </c>
      <c r="S4424" s="508">
        <v>0.91200000000000003</v>
      </c>
      <c r="T4424" s="508">
        <v>0.91200000000000003</v>
      </c>
      <c r="U4424" s="508">
        <v>0.91200000000000003</v>
      </c>
      <c r="V4424" s="508">
        <v>0.91200000000000003</v>
      </c>
      <c r="W4424" s="508">
        <v>0.79100000000000004</v>
      </c>
      <c r="X4424" s="508">
        <v>0.79100000000000004</v>
      </c>
      <c r="Y4424" s="508">
        <v>0.79100000000000004</v>
      </c>
      <c r="Z4424" s="508">
        <v>0.74299999999999999</v>
      </c>
      <c r="AA4424" s="508">
        <v>3.3000000000000002E-2</v>
      </c>
      <c r="AB4424" s="508">
        <v>2.8000000000000001E-2</v>
      </c>
      <c r="AC4424" s="508">
        <v>2.8000000000000001E-2</v>
      </c>
      <c r="AD4424" s="508">
        <v>2.3E-2</v>
      </c>
      <c r="AE4424" s="508">
        <v>2.3E-2</v>
      </c>
      <c r="AF4424" s="508">
        <v>1.9E-2</v>
      </c>
      <c r="AG4424" s="508">
        <v>1.9E-2</v>
      </c>
      <c r="AH4424" s="508">
        <v>1.9E-2</v>
      </c>
      <c r="AI4424" s="492">
        <v>1.9E-2</v>
      </c>
      <c r="AJ4424" s="485"/>
    </row>
    <row r="4425" spans="2:36">
      <c r="B4425" s="136" t="s">
        <v>452</v>
      </c>
      <c r="C4425" s="132" t="s">
        <v>1378</v>
      </c>
      <c r="D4425" s="132" t="s">
        <v>284</v>
      </c>
      <c r="E4425" s="508">
        <v>2.4550000000000001</v>
      </c>
      <c r="F4425" s="508">
        <v>2.4550000000000001</v>
      </c>
      <c r="G4425" s="508">
        <v>2.4540000000000002</v>
      </c>
      <c r="H4425" s="508">
        <v>0.93100000000000005</v>
      </c>
      <c r="I4425" s="508">
        <v>0.93100000000000005</v>
      </c>
      <c r="J4425" s="508">
        <v>0.93100000000000005</v>
      </c>
      <c r="K4425" s="508">
        <v>1.0780000000000001</v>
      </c>
      <c r="L4425" s="508">
        <v>1.0780000000000001</v>
      </c>
      <c r="M4425" s="508">
        <v>1.0780000000000001</v>
      </c>
      <c r="N4425" s="508">
        <v>1.161</v>
      </c>
      <c r="O4425" s="508">
        <v>1.161</v>
      </c>
      <c r="P4425" s="508">
        <v>1.161</v>
      </c>
      <c r="Q4425" s="508">
        <v>1.161</v>
      </c>
      <c r="R4425" s="508">
        <v>0.85399999999999998</v>
      </c>
      <c r="S4425" s="508">
        <v>0.85399999999999998</v>
      </c>
      <c r="T4425" s="508">
        <v>0.85399999999999998</v>
      </c>
      <c r="U4425" s="508">
        <v>0.85399999999999998</v>
      </c>
      <c r="V4425" s="508">
        <v>0.85399999999999998</v>
      </c>
      <c r="W4425" s="508">
        <v>0.74099999999999999</v>
      </c>
      <c r="X4425" s="508">
        <v>0.74099999999999999</v>
      </c>
      <c r="Y4425" s="508">
        <v>0.74099999999999999</v>
      </c>
      <c r="Z4425" s="508">
        <v>0.69599999999999995</v>
      </c>
      <c r="AA4425" s="508">
        <v>3.1E-2</v>
      </c>
      <c r="AB4425" s="508">
        <v>2.7E-2</v>
      </c>
      <c r="AC4425" s="508">
        <v>2.7E-2</v>
      </c>
      <c r="AD4425" s="508">
        <v>2.1999999999999999E-2</v>
      </c>
      <c r="AE4425" s="508">
        <v>2.1999999999999999E-2</v>
      </c>
      <c r="AF4425" s="508">
        <v>1.7999999999999999E-2</v>
      </c>
      <c r="AG4425" s="508">
        <v>1.7999999999999999E-2</v>
      </c>
      <c r="AH4425" s="508">
        <v>1.7999999999999999E-2</v>
      </c>
      <c r="AI4425" s="492">
        <v>1.7999999999999999E-2</v>
      </c>
      <c r="AJ4425" s="485"/>
    </row>
    <row r="4426" spans="2:36">
      <c r="B4426" s="136" t="s">
        <v>453</v>
      </c>
      <c r="C4426" s="132" t="s">
        <v>1378</v>
      </c>
      <c r="D4426" s="132" t="s">
        <v>284</v>
      </c>
      <c r="E4426" s="508">
        <v>2.4540000000000002</v>
      </c>
      <c r="F4426" s="508">
        <v>2.4540000000000002</v>
      </c>
      <c r="G4426" s="508">
        <v>2.4540000000000002</v>
      </c>
      <c r="H4426" s="508">
        <v>0.89700000000000002</v>
      </c>
      <c r="I4426" s="508">
        <v>0.89700000000000002</v>
      </c>
      <c r="J4426" s="508">
        <v>0.89700000000000002</v>
      </c>
      <c r="K4426" s="508">
        <v>1.0569999999999999</v>
      </c>
      <c r="L4426" s="508">
        <v>1.0569999999999999</v>
      </c>
      <c r="M4426" s="508">
        <v>1.056</v>
      </c>
      <c r="N4426" s="508">
        <v>1.103</v>
      </c>
      <c r="O4426" s="508">
        <v>1.103</v>
      </c>
      <c r="P4426" s="508">
        <v>1.103</v>
      </c>
      <c r="Q4426" s="508">
        <v>1.103</v>
      </c>
      <c r="R4426" s="508">
        <v>0.80700000000000005</v>
      </c>
      <c r="S4426" s="508">
        <v>0.80700000000000005</v>
      </c>
      <c r="T4426" s="508">
        <v>0.80700000000000005</v>
      </c>
      <c r="U4426" s="508">
        <v>0.80700000000000005</v>
      </c>
      <c r="V4426" s="508">
        <v>0.80700000000000005</v>
      </c>
      <c r="W4426" s="508">
        <v>0.7</v>
      </c>
      <c r="X4426" s="508">
        <v>0.7</v>
      </c>
      <c r="Y4426" s="508">
        <v>0.7</v>
      </c>
      <c r="Z4426" s="508">
        <v>0.65700000000000003</v>
      </c>
      <c r="AA4426" s="508">
        <v>0.03</v>
      </c>
      <c r="AB4426" s="508">
        <v>2.5999999999999999E-2</v>
      </c>
      <c r="AC4426" s="508">
        <v>2.5999999999999999E-2</v>
      </c>
      <c r="AD4426" s="508">
        <v>2.1000000000000001E-2</v>
      </c>
      <c r="AE4426" s="508">
        <v>2.1000000000000001E-2</v>
      </c>
      <c r="AF4426" s="508">
        <v>1.7000000000000001E-2</v>
      </c>
      <c r="AG4426" s="508">
        <v>1.7000000000000001E-2</v>
      </c>
      <c r="AH4426" s="508">
        <v>1.7000000000000001E-2</v>
      </c>
      <c r="AI4426" s="492">
        <v>1.7000000000000001E-2</v>
      </c>
      <c r="AJ4426" s="485"/>
    </row>
    <row r="4427" spans="2:36">
      <c r="B4427" s="136" t="s">
        <v>454</v>
      </c>
      <c r="C4427" s="132" t="s">
        <v>1378</v>
      </c>
      <c r="D4427" s="132" t="s">
        <v>284</v>
      </c>
      <c r="E4427" s="508">
        <v>2.472</v>
      </c>
      <c r="F4427" s="508">
        <v>2.472</v>
      </c>
      <c r="G4427" s="508">
        <v>2.472</v>
      </c>
      <c r="H4427" s="508">
        <v>0.90800000000000003</v>
      </c>
      <c r="I4427" s="508">
        <v>0.90800000000000003</v>
      </c>
      <c r="J4427" s="508">
        <v>0.90800000000000003</v>
      </c>
      <c r="K4427" s="508">
        <v>1.0669999999999999</v>
      </c>
      <c r="L4427" s="508">
        <v>1.0669999999999999</v>
      </c>
      <c r="M4427" s="508">
        <v>1.0669999999999999</v>
      </c>
      <c r="N4427" s="508">
        <v>1.1200000000000001</v>
      </c>
      <c r="O4427" s="508">
        <v>1.1200000000000001</v>
      </c>
      <c r="P4427" s="508">
        <v>1.1200000000000001</v>
      </c>
      <c r="Q4427" s="508">
        <v>1.119</v>
      </c>
      <c r="R4427" s="508">
        <v>0.81799999999999995</v>
      </c>
      <c r="S4427" s="508">
        <v>0.81799999999999995</v>
      </c>
      <c r="T4427" s="508">
        <v>0.81799999999999995</v>
      </c>
      <c r="U4427" s="508">
        <v>0.81799999999999995</v>
      </c>
      <c r="V4427" s="508">
        <v>0.81799999999999995</v>
      </c>
      <c r="W4427" s="508">
        <v>0.71</v>
      </c>
      <c r="X4427" s="508">
        <v>0.71</v>
      </c>
      <c r="Y4427" s="508">
        <v>0.71</v>
      </c>
      <c r="Z4427" s="508">
        <v>0.66600000000000004</v>
      </c>
      <c r="AA4427" s="508">
        <v>0.03</v>
      </c>
      <c r="AB4427" s="508">
        <v>2.5999999999999999E-2</v>
      </c>
      <c r="AC4427" s="508">
        <v>2.5999999999999999E-2</v>
      </c>
      <c r="AD4427" s="508">
        <v>2.1000000000000001E-2</v>
      </c>
      <c r="AE4427" s="508">
        <v>2.1000000000000001E-2</v>
      </c>
      <c r="AF4427" s="508">
        <v>1.7000000000000001E-2</v>
      </c>
      <c r="AG4427" s="508">
        <v>1.7000000000000001E-2</v>
      </c>
      <c r="AH4427" s="508">
        <v>1.7000000000000001E-2</v>
      </c>
      <c r="AI4427" s="492">
        <v>1.7000000000000001E-2</v>
      </c>
      <c r="AJ4427" s="485"/>
    </row>
    <row r="4428" spans="2:36">
      <c r="B4428" s="136" t="s">
        <v>455</v>
      </c>
      <c r="C4428" s="132" t="s">
        <v>1378</v>
      </c>
      <c r="D4428" s="132" t="s">
        <v>284</v>
      </c>
      <c r="E4428" s="508">
        <v>2.484</v>
      </c>
      <c r="F4428" s="508">
        <v>2.484</v>
      </c>
      <c r="G4428" s="508">
        <v>2.484</v>
      </c>
      <c r="H4428" s="508">
        <v>0.90100000000000002</v>
      </c>
      <c r="I4428" s="508">
        <v>0.90100000000000002</v>
      </c>
      <c r="J4428" s="508">
        <v>0.90100000000000002</v>
      </c>
      <c r="K4428" s="508">
        <v>1.0680000000000001</v>
      </c>
      <c r="L4428" s="508">
        <v>1.0680000000000001</v>
      </c>
      <c r="M4428" s="508">
        <v>1.0680000000000001</v>
      </c>
      <c r="N4428" s="508">
        <v>1.1100000000000001</v>
      </c>
      <c r="O4428" s="508">
        <v>1.1100000000000001</v>
      </c>
      <c r="P4428" s="508">
        <v>1.1100000000000001</v>
      </c>
      <c r="Q4428" s="508">
        <v>1.1100000000000001</v>
      </c>
      <c r="R4428" s="508">
        <v>0.80200000000000005</v>
      </c>
      <c r="S4428" s="508">
        <v>0.80200000000000005</v>
      </c>
      <c r="T4428" s="508">
        <v>0.80200000000000005</v>
      </c>
      <c r="U4428" s="508">
        <v>0.80200000000000005</v>
      </c>
      <c r="V4428" s="508">
        <v>0.80200000000000005</v>
      </c>
      <c r="W4428" s="508">
        <v>0.69599999999999995</v>
      </c>
      <c r="X4428" s="508">
        <v>0.69599999999999995</v>
      </c>
      <c r="Y4428" s="508">
        <v>0.69499999999999995</v>
      </c>
      <c r="Z4428" s="508">
        <v>0.65300000000000002</v>
      </c>
      <c r="AA4428" s="508">
        <v>0.03</v>
      </c>
      <c r="AB4428" s="508">
        <v>2.5999999999999999E-2</v>
      </c>
      <c r="AC4428" s="508">
        <v>2.5999999999999999E-2</v>
      </c>
      <c r="AD4428" s="508">
        <v>2.1000000000000001E-2</v>
      </c>
      <c r="AE4428" s="508">
        <v>2.1000000000000001E-2</v>
      </c>
      <c r="AF4428" s="508">
        <v>1.7000000000000001E-2</v>
      </c>
      <c r="AG4428" s="508">
        <v>1.7000000000000001E-2</v>
      </c>
      <c r="AH4428" s="508">
        <v>1.7000000000000001E-2</v>
      </c>
      <c r="AI4428" s="492">
        <v>1.7000000000000001E-2</v>
      </c>
      <c r="AJ4428" s="485"/>
    </row>
    <row r="4429" spans="2:36">
      <c r="B4429" s="136" t="s">
        <v>456</v>
      </c>
      <c r="C4429" s="132" t="s">
        <v>1378</v>
      </c>
      <c r="D4429" s="132" t="s">
        <v>284</v>
      </c>
      <c r="E4429" s="508">
        <v>2.472</v>
      </c>
      <c r="F4429" s="508">
        <v>2.472</v>
      </c>
      <c r="G4429" s="508">
        <v>2.472</v>
      </c>
      <c r="H4429" s="508">
        <v>0.91900000000000004</v>
      </c>
      <c r="I4429" s="508">
        <v>0.91900000000000004</v>
      </c>
      <c r="J4429" s="508">
        <v>0.91900000000000004</v>
      </c>
      <c r="K4429" s="508">
        <v>1.075</v>
      </c>
      <c r="L4429" s="508">
        <v>1.075</v>
      </c>
      <c r="M4429" s="508">
        <v>1.075</v>
      </c>
      <c r="N4429" s="508">
        <v>1.1399999999999999</v>
      </c>
      <c r="O4429" s="508">
        <v>1.1399999999999999</v>
      </c>
      <c r="P4429" s="508">
        <v>1.1399999999999999</v>
      </c>
      <c r="Q4429" s="508">
        <v>1.1399999999999999</v>
      </c>
      <c r="R4429" s="508">
        <v>0.83199999999999996</v>
      </c>
      <c r="S4429" s="508">
        <v>0.83199999999999996</v>
      </c>
      <c r="T4429" s="508">
        <v>0.83199999999999996</v>
      </c>
      <c r="U4429" s="508">
        <v>0.83199999999999996</v>
      </c>
      <c r="V4429" s="508">
        <v>0.83199999999999996</v>
      </c>
      <c r="W4429" s="508">
        <v>0.72199999999999998</v>
      </c>
      <c r="X4429" s="508">
        <v>0.72199999999999998</v>
      </c>
      <c r="Y4429" s="508">
        <v>0.72199999999999998</v>
      </c>
      <c r="Z4429" s="508">
        <v>0.67800000000000005</v>
      </c>
      <c r="AA4429" s="508">
        <v>3.1E-2</v>
      </c>
      <c r="AB4429" s="508">
        <v>2.5999999999999999E-2</v>
      </c>
      <c r="AC4429" s="508">
        <v>2.5999999999999999E-2</v>
      </c>
      <c r="AD4429" s="508">
        <v>2.1999999999999999E-2</v>
      </c>
      <c r="AE4429" s="508">
        <v>2.1999999999999999E-2</v>
      </c>
      <c r="AF4429" s="508">
        <v>1.7000000000000001E-2</v>
      </c>
      <c r="AG4429" s="508">
        <v>1.7000000000000001E-2</v>
      </c>
      <c r="AH4429" s="508">
        <v>1.7000000000000001E-2</v>
      </c>
      <c r="AI4429" s="492">
        <v>1.7000000000000001E-2</v>
      </c>
      <c r="AJ4429" s="485"/>
    </row>
    <row r="4430" spans="2:36">
      <c r="B4430" s="136" t="s">
        <v>457</v>
      </c>
      <c r="C4430" s="132" t="s">
        <v>1378</v>
      </c>
      <c r="D4430" s="132" t="s">
        <v>284</v>
      </c>
      <c r="E4430" s="508">
        <v>2.452</v>
      </c>
      <c r="F4430" s="508">
        <v>2.452</v>
      </c>
      <c r="G4430" s="508">
        <v>2.452</v>
      </c>
      <c r="H4430" s="508">
        <v>0.878</v>
      </c>
      <c r="I4430" s="508">
        <v>0.878</v>
      </c>
      <c r="J4430" s="508">
        <v>0.878</v>
      </c>
      <c r="K4430" s="508">
        <v>1.0429999999999999</v>
      </c>
      <c r="L4430" s="508">
        <v>1.0429999999999999</v>
      </c>
      <c r="M4430" s="508">
        <v>1.0429999999999999</v>
      </c>
      <c r="N4430" s="508">
        <v>1.07</v>
      </c>
      <c r="O4430" s="508">
        <v>1.07</v>
      </c>
      <c r="P4430" s="508">
        <v>1.07</v>
      </c>
      <c r="Q4430" s="508">
        <v>1.07</v>
      </c>
      <c r="R4430" s="508">
        <v>0.78200000000000003</v>
      </c>
      <c r="S4430" s="508">
        <v>0.78200000000000003</v>
      </c>
      <c r="T4430" s="508">
        <v>0.78200000000000003</v>
      </c>
      <c r="U4430" s="508">
        <v>0.78200000000000003</v>
      </c>
      <c r="V4430" s="508">
        <v>0.78200000000000003</v>
      </c>
      <c r="W4430" s="508">
        <v>0.67800000000000005</v>
      </c>
      <c r="X4430" s="508">
        <v>0.67800000000000005</v>
      </c>
      <c r="Y4430" s="508">
        <v>0.67800000000000005</v>
      </c>
      <c r="Z4430" s="508">
        <v>0.63700000000000001</v>
      </c>
      <c r="AA4430" s="508">
        <v>2.9000000000000001E-2</v>
      </c>
      <c r="AB4430" s="508">
        <v>2.5000000000000001E-2</v>
      </c>
      <c r="AC4430" s="508">
        <v>2.5000000000000001E-2</v>
      </c>
      <c r="AD4430" s="508">
        <v>2.1000000000000001E-2</v>
      </c>
      <c r="AE4430" s="508">
        <v>2.1000000000000001E-2</v>
      </c>
      <c r="AF4430" s="508">
        <v>1.7000000000000001E-2</v>
      </c>
      <c r="AG4430" s="508">
        <v>1.7000000000000001E-2</v>
      </c>
      <c r="AH4430" s="508">
        <v>1.6E-2</v>
      </c>
      <c r="AI4430" s="492">
        <v>1.6E-2</v>
      </c>
      <c r="AJ4430" s="485"/>
    </row>
    <row r="4431" spans="2:36">
      <c r="B4431" s="136" t="s">
        <v>458</v>
      </c>
      <c r="C4431" s="132" t="s">
        <v>1378</v>
      </c>
      <c r="D4431" s="132" t="s">
        <v>284</v>
      </c>
      <c r="E4431" s="508">
        <v>2.5150000000000001</v>
      </c>
      <c r="F4431" s="508">
        <v>2.5150000000000001</v>
      </c>
      <c r="G4431" s="508">
        <v>2.5150000000000001</v>
      </c>
      <c r="H4431" s="508">
        <v>0.93799999999999994</v>
      </c>
      <c r="I4431" s="508">
        <v>0.93799999999999994</v>
      </c>
      <c r="J4431" s="508">
        <v>0.93799999999999994</v>
      </c>
      <c r="K4431" s="508">
        <v>1.097</v>
      </c>
      <c r="L4431" s="508">
        <v>1.097</v>
      </c>
      <c r="M4431" s="508">
        <v>1.097</v>
      </c>
      <c r="N4431" s="508">
        <v>1.1679999999999999</v>
      </c>
      <c r="O4431" s="508">
        <v>1.167</v>
      </c>
      <c r="P4431" s="508">
        <v>1.167</v>
      </c>
      <c r="Q4431" s="508">
        <v>1.167</v>
      </c>
      <c r="R4431" s="508">
        <v>0.84499999999999997</v>
      </c>
      <c r="S4431" s="508">
        <v>0.84499999999999997</v>
      </c>
      <c r="T4431" s="508">
        <v>0.84499999999999997</v>
      </c>
      <c r="U4431" s="508">
        <v>0.84499999999999997</v>
      </c>
      <c r="V4431" s="508">
        <v>0.84499999999999997</v>
      </c>
      <c r="W4431" s="508">
        <v>0.73299999999999998</v>
      </c>
      <c r="X4431" s="508">
        <v>0.73299999999999998</v>
      </c>
      <c r="Y4431" s="508">
        <v>0.73299999999999998</v>
      </c>
      <c r="Z4431" s="508">
        <v>0.68899999999999995</v>
      </c>
      <c r="AA4431" s="508">
        <v>3.1E-2</v>
      </c>
      <c r="AB4431" s="508">
        <v>2.7E-2</v>
      </c>
      <c r="AC4431" s="508">
        <v>2.7E-2</v>
      </c>
      <c r="AD4431" s="508">
        <v>2.1999999999999999E-2</v>
      </c>
      <c r="AE4431" s="508">
        <v>2.1999999999999999E-2</v>
      </c>
      <c r="AF4431" s="508">
        <v>1.7999999999999999E-2</v>
      </c>
      <c r="AG4431" s="508">
        <v>1.7999999999999999E-2</v>
      </c>
      <c r="AH4431" s="508">
        <v>1.7999999999999999E-2</v>
      </c>
      <c r="AI4431" s="492">
        <v>1.7999999999999999E-2</v>
      </c>
      <c r="AJ4431" s="485"/>
    </row>
    <row r="4432" spans="2:36">
      <c r="B4432" s="136" t="s">
        <v>459</v>
      </c>
      <c r="C4432" s="132" t="s">
        <v>1378</v>
      </c>
      <c r="D4432" s="132" t="s">
        <v>284</v>
      </c>
      <c r="E4432" s="508">
        <v>2.5139999999999998</v>
      </c>
      <c r="F4432" s="508">
        <v>2.5139999999999998</v>
      </c>
      <c r="G4432" s="508">
        <v>2.5139999999999998</v>
      </c>
      <c r="H4432" s="508">
        <v>0.93700000000000006</v>
      </c>
      <c r="I4432" s="508">
        <v>0.93700000000000006</v>
      </c>
      <c r="J4432" s="508">
        <v>0.93700000000000006</v>
      </c>
      <c r="K4432" s="508">
        <v>1.097</v>
      </c>
      <c r="L4432" s="508">
        <v>1.097</v>
      </c>
      <c r="M4432" s="508">
        <v>1.097</v>
      </c>
      <c r="N4432" s="508">
        <v>1.167</v>
      </c>
      <c r="O4432" s="508">
        <v>1.167</v>
      </c>
      <c r="P4432" s="508">
        <v>1.167</v>
      </c>
      <c r="Q4432" s="508">
        <v>1.167</v>
      </c>
      <c r="R4432" s="508">
        <v>0.84499999999999997</v>
      </c>
      <c r="S4432" s="508">
        <v>0.84499999999999997</v>
      </c>
      <c r="T4432" s="508">
        <v>0.84499999999999997</v>
      </c>
      <c r="U4432" s="508">
        <v>0.84499999999999997</v>
      </c>
      <c r="V4432" s="508">
        <v>0.84499999999999997</v>
      </c>
      <c r="W4432" s="508">
        <v>0.73299999999999998</v>
      </c>
      <c r="X4432" s="508">
        <v>0.73299999999999998</v>
      </c>
      <c r="Y4432" s="508">
        <v>0.73299999999999998</v>
      </c>
      <c r="Z4432" s="508">
        <v>0.68799999999999994</v>
      </c>
      <c r="AA4432" s="508">
        <v>3.1E-2</v>
      </c>
      <c r="AB4432" s="508">
        <v>2.7E-2</v>
      </c>
      <c r="AC4432" s="508">
        <v>2.7E-2</v>
      </c>
      <c r="AD4432" s="508">
        <v>2.1999999999999999E-2</v>
      </c>
      <c r="AE4432" s="508">
        <v>2.1999999999999999E-2</v>
      </c>
      <c r="AF4432" s="508">
        <v>1.7999999999999999E-2</v>
      </c>
      <c r="AG4432" s="508">
        <v>1.7999999999999999E-2</v>
      </c>
      <c r="AH4432" s="508">
        <v>1.7999999999999999E-2</v>
      </c>
      <c r="AI4432" s="492">
        <v>1.7999999999999999E-2</v>
      </c>
      <c r="AJ4432" s="485"/>
    </row>
    <row r="4433" spans="2:36">
      <c r="B4433" s="136" t="s">
        <v>460</v>
      </c>
      <c r="C4433" s="132" t="s">
        <v>1378</v>
      </c>
      <c r="D4433" s="132" t="s">
        <v>284</v>
      </c>
      <c r="E4433" s="508">
        <v>2.48</v>
      </c>
      <c r="F4433" s="508">
        <v>2.48</v>
      </c>
      <c r="G4433" s="508">
        <v>2.48</v>
      </c>
      <c r="H4433" s="508">
        <v>0.93100000000000005</v>
      </c>
      <c r="I4433" s="508">
        <v>0.93100000000000005</v>
      </c>
      <c r="J4433" s="508">
        <v>0.93100000000000005</v>
      </c>
      <c r="K4433" s="508">
        <v>1.085</v>
      </c>
      <c r="L4433" s="508">
        <v>1.085</v>
      </c>
      <c r="M4433" s="508">
        <v>1.085</v>
      </c>
      <c r="N4433" s="508">
        <v>1.1599999999999999</v>
      </c>
      <c r="O4433" s="508">
        <v>1.1599999999999999</v>
      </c>
      <c r="P4433" s="508">
        <v>1.1599999999999999</v>
      </c>
      <c r="Q4433" s="508">
        <v>1.1599999999999999</v>
      </c>
      <c r="R4433" s="508">
        <v>0.84599999999999997</v>
      </c>
      <c r="S4433" s="508">
        <v>0.84599999999999997</v>
      </c>
      <c r="T4433" s="508">
        <v>0.84599999999999997</v>
      </c>
      <c r="U4433" s="508">
        <v>0.84599999999999997</v>
      </c>
      <c r="V4433" s="508">
        <v>0.84599999999999997</v>
      </c>
      <c r="W4433" s="508">
        <v>0.73399999999999999</v>
      </c>
      <c r="X4433" s="508">
        <v>0.73399999999999999</v>
      </c>
      <c r="Y4433" s="508">
        <v>0.73399999999999999</v>
      </c>
      <c r="Z4433" s="508">
        <v>0.68899999999999995</v>
      </c>
      <c r="AA4433" s="508">
        <v>3.1E-2</v>
      </c>
      <c r="AB4433" s="508">
        <v>2.7E-2</v>
      </c>
      <c r="AC4433" s="508">
        <v>2.7E-2</v>
      </c>
      <c r="AD4433" s="508">
        <v>2.1999999999999999E-2</v>
      </c>
      <c r="AE4433" s="508">
        <v>2.1999999999999999E-2</v>
      </c>
      <c r="AF4433" s="508">
        <v>1.7999999999999999E-2</v>
      </c>
      <c r="AG4433" s="508">
        <v>1.7999999999999999E-2</v>
      </c>
      <c r="AH4433" s="508">
        <v>1.7999999999999999E-2</v>
      </c>
      <c r="AI4433" s="492">
        <v>1.7999999999999999E-2</v>
      </c>
      <c r="AJ4433" s="485"/>
    </row>
    <row r="4434" spans="2:36">
      <c r="B4434" s="136" t="s">
        <v>461</v>
      </c>
      <c r="C4434" s="132" t="s">
        <v>1378</v>
      </c>
      <c r="D4434" s="132" t="s">
        <v>284</v>
      </c>
      <c r="E4434" s="508">
        <v>2.4710000000000001</v>
      </c>
      <c r="F4434" s="508">
        <v>2.4710000000000001</v>
      </c>
      <c r="G4434" s="508">
        <v>2.4710000000000001</v>
      </c>
      <c r="H4434" s="508">
        <v>0.91400000000000003</v>
      </c>
      <c r="I4434" s="508">
        <v>0.91400000000000003</v>
      </c>
      <c r="J4434" s="508">
        <v>0.91400000000000003</v>
      </c>
      <c r="K4434" s="508">
        <v>1.07</v>
      </c>
      <c r="L4434" s="508">
        <v>1.07</v>
      </c>
      <c r="M4434" s="508">
        <v>1.07</v>
      </c>
      <c r="N4434" s="508">
        <v>1.129</v>
      </c>
      <c r="O4434" s="508">
        <v>1.129</v>
      </c>
      <c r="P4434" s="508">
        <v>1.129</v>
      </c>
      <c r="Q4434" s="508">
        <v>1.129</v>
      </c>
      <c r="R4434" s="508">
        <v>0.82799999999999996</v>
      </c>
      <c r="S4434" s="508">
        <v>0.82799999999999996</v>
      </c>
      <c r="T4434" s="508">
        <v>0.82799999999999996</v>
      </c>
      <c r="U4434" s="508">
        <v>0.82799999999999996</v>
      </c>
      <c r="V4434" s="508">
        <v>0.82799999999999996</v>
      </c>
      <c r="W4434" s="508">
        <v>0.71799999999999997</v>
      </c>
      <c r="X4434" s="508">
        <v>0.71799999999999997</v>
      </c>
      <c r="Y4434" s="508">
        <v>0.71799999999999997</v>
      </c>
      <c r="Z4434" s="508">
        <v>0.67400000000000004</v>
      </c>
      <c r="AA4434" s="508">
        <v>3.1E-2</v>
      </c>
      <c r="AB4434" s="508">
        <v>2.5999999999999999E-2</v>
      </c>
      <c r="AC4434" s="508">
        <v>2.5999999999999999E-2</v>
      </c>
      <c r="AD4434" s="508">
        <v>2.1999999999999999E-2</v>
      </c>
      <c r="AE4434" s="508">
        <v>2.1999999999999999E-2</v>
      </c>
      <c r="AF4434" s="508">
        <v>1.7000000000000001E-2</v>
      </c>
      <c r="AG4434" s="508">
        <v>1.7000000000000001E-2</v>
      </c>
      <c r="AH4434" s="508">
        <v>1.7000000000000001E-2</v>
      </c>
      <c r="AI4434" s="492">
        <v>1.7000000000000001E-2</v>
      </c>
      <c r="AJ4434" s="485"/>
    </row>
    <row r="4435" spans="2:36">
      <c r="B4435" s="136" t="s">
        <v>462</v>
      </c>
      <c r="C4435" s="132" t="s">
        <v>1378</v>
      </c>
      <c r="D4435" s="132" t="s">
        <v>284</v>
      </c>
      <c r="E4435" s="508">
        <v>2.4409999999999998</v>
      </c>
      <c r="F4435" s="508">
        <v>2.4409999999999998</v>
      </c>
      <c r="G4435" s="508">
        <v>2.4409999999999998</v>
      </c>
      <c r="H4435" s="508">
        <v>0.89600000000000002</v>
      </c>
      <c r="I4435" s="508">
        <v>0.89600000000000002</v>
      </c>
      <c r="J4435" s="508">
        <v>0.89600000000000002</v>
      </c>
      <c r="K4435" s="508">
        <v>1.0509999999999999</v>
      </c>
      <c r="L4435" s="508">
        <v>1.0509999999999999</v>
      </c>
      <c r="M4435" s="508">
        <v>1.05</v>
      </c>
      <c r="N4435" s="508">
        <v>1.099</v>
      </c>
      <c r="O4435" s="508">
        <v>1.099</v>
      </c>
      <c r="P4435" s="508">
        <v>1.099</v>
      </c>
      <c r="Q4435" s="508">
        <v>1.099</v>
      </c>
      <c r="R4435" s="508">
        <v>0.81200000000000006</v>
      </c>
      <c r="S4435" s="508">
        <v>0.81200000000000006</v>
      </c>
      <c r="T4435" s="508">
        <v>0.81200000000000006</v>
      </c>
      <c r="U4435" s="508">
        <v>0.81200000000000006</v>
      </c>
      <c r="V4435" s="508">
        <v>0.81200000000000006</v>
      </c>
      <c r="W4435" s="508">
        <v>0.70399999999999996</v>
      </c>
      <c r="X4435" s="508">
        <v>0.70399999999999996</v>
      </c>
      <c r="Y4435" s="508">
        <v>0.70399999999999996</v>
      </c>
      <c r="Z4435" s="508">
        <v>0.66100000000000003</v>
      </c>
      <c r="AA4435" s="508">
        <v>0.03</v>
      </c>
      <c r="AB4435" s="508">
        <v>2.5999999999999999E-2</v>
      </c>
      <c r="AC4435" s="508">
        <v>2.5999999999999999E-2</v>
      </c>
      <c r="AD4435" s="508">
        <v>2.1000000000000001E-2</v>
      </c>
      <c r="AE4435" s="508">
        <v>2.1000000000000001E-2</v>
      </c>
      <c r="AF4435" s="508">
        <v>1.7000000000000001E-2</v>
      </c>
      <c r="AG4435" s="508">
        <v>1.7000000000000001E-2</v>
      </c>
      <c r="AH4435" s="508">
        <v>1.7000000000000001E-2</v>
      </c>
      <c r="AI4435" s="492">
        <v>1.7000000000000001E-2</v>
      </c>
      <c r="AJ4435" s="485"/>
    </row>
    <row r="4436" spans="2:36">
      <c r="B4436" s="136" t="s">
        <v>463</v>
      </c>
      <c r="C4436" s="132" t="s">
        <v>1378</v>
      </c>
      <c r="D4436" s="132" t="s">
        <v>284</v>
      </c>
      <c r="E4436" s="508">
        <v>2.5070000000000001</v>
      </c>
      <c r="F4436" s="508">
        <v>2.5070000000000001</v>
      </c>
      <c r="G4436" s="508">
        <v>2.5070000000000001</v>
      </c>
      <c r="H4436" s="508">
        <v>0.90200000000000002</v>
      </c>
      <c r="I4436" s="508">
        <v>0.90200000000000002</v>
      </c>
      <c r="J4436" s="508">
        <v>0.90100000000000002</v>
      </c>
      <c r="K4436" s="508">
        <v>1.073</v>
      </c>
      <c r="L4436" s="508">
        <v>1.073</v>
      </c>
      <c r="M4436" s="508">
        <v>1.073</v>
      </c>
      <c r="N4436" s="508">
        <v>1.107</v>
      </c>
      <c r="O4436" s="508">
        <v>1.107</v>
      </c>
      <c r="P4436" s="508">
        <v>1.107</v>
      </c>
      <c r="Q4436" s="508">
        <v>1.107</v>
      </c>
      <c r="R4436" s="508">
        <v>0.79800000000000004</v>
      </c>
      <c r="S4436" s="508">
        <v>0.79800000000000004</v>
      </c>
      <c r="T4436" s="508">
        <v>0.79800000000000004</v>
      </c>
      <c r="U4436" s="508">
        <v>0.79800000000000004</v>
      </c>
      <c r="V4436" s="508">
        <v>0.79700000000000004</v>
      </c>
      <c r="W4436" s="508">
        <v>0.69199999999999995</v>
      </c>
      <c r="X4436" s="508">
        <v>0.69199999999999995</v>
      </c>
      <c r="Y4436" s="508">
        <v>0.69199999999999995</v>
      </c>
      <c r="Z4436" s="508">
        <v>0.65</v>
      </c>
      <c r="AA4436" s="508">
        <v>0.03</v>
      </c>
      <c r="AB4436" s="508">
        <v>2.5999999999999999E-2</v>
      </c>
      <c r="AC4436" s="508">
        <v>2.5999999999999999E-2</v>
      </c>
      <c r="AD4436" s="508">
        <v>2.1000000000000001E-2</v>
      </c>
      <c r="AE4436" s="508">
        <v>2.1000000000000001E-2</v>
      </c>
      <c r="AF4436" s="508">
        <v>1.7000000000000001E-2</v>
      </c>
      <c r="AG4436" s="508">
        <v>1.7000000000000001E-2</v>
      </c>
      <c r="AH4436" s="508">
        <v>1.7000000000000001E-2</v>
      </c>
      <c r="AI4436" s="492">
        <v>1.7000000000000001E-2</v>
      </c>
      <c r="AJ4436" s="485"/>
    </row>
    <row r="4437" spans="2:36">
      <c r="B4437" s="136" t="s">
        <v>464</v>
      </c>
      <c r="C4437" s="132" t="s">
        <v>1378</v>
      </c>
      <c r="D4437" s="132" t="s">
        <v>284</v>
      </c>
      <c r="E4437" s="508">
        <v>2.4550000000000001</v>
      </c>
      <c r="F4437" s="508">
        <v>2.4550000000000001</v>
      </c>
      <c r="G4437" s="508">
        <v>2.4550000000000001</v>
      </c>
      <c r="H4437" s="508">
        <v>0.88</v>
      </c>
      <c r="I4437" s="508">
        <v>0.88</v>
      </c>
      <c r="J4437" s="508">
        <v>0.88</v>
      </c>
      <c r="K4437" s="508">
        <v>1.0469999999999999</v>
      </c>
      <c r="L4437" s="508">
        <v>1.0469999999999999</v>
      </c>
      <c r="M4437" s="508">
        <v>1.0469999999999999</v>
      </c>
      <c r="N4437" s="508">
        <v>1.0760000000000001</v>
      </c>
      <c r="O4437" s="508">
        <v>1.0760000000000001</v>
      </c>
      <c r="P4437" s="508">
        <v>1.0760000000000001</v>
      </c>
      <c r="Q4437" s="508">
        <v>1.0760000000000001</v>
      </c>
      <c r="R4437" s="508">
        <v>0.78300000000000003</v>
      </c>
      <c r="S4437" s="508">
        <v>0.78300000000000003</v>
      </c>
      <c r="T4437" s="508">
        <v>0.78300000000000003</v>
      </c>
      <c r="U4437" s="508">
        <v>0.78300000000000003</v>
      </c>
      <c r="V4437" s="508">
        <v>0.78300000000000003</v>
      </c>
      <c r="W4437" s="508">
        <v>0.67900000000000005</v>
      </c>
      <c r="X4437" s="508">
        <v>0.67900000000000005</v>
      </c>
      <c r="Y4437" s="508">
        <v>0.67900000000000005</v>
      </c>
      <c r="Z4437" s="508">
        <v>0.63800000000000001</v>
      </c>
      <c r="AA4437" s="508">
        <v>2.9000000000000001E-2</v>
      </c>
      <c r="AB4437" s="508">
        <v>2.5000000000000001E-2</v>
      </c>
      <c r="AC4437" s="508">
        <v>2.5000000000000001E-2</v>
      </c>
      <c r="AD4437" s="508">
        <v>2.1000000000000001E-2</v>
      </c>
      <c r="AE4437" s="508">
        <v>2.1000000000000001E-2</v>
      </c>
      <c r="AF4437" s="508">
        <v>1.7000000000000001E-2</v>
      </c>
      <c r="AG4437" s="508">
        <v>1.7000000000000001E-2</v>
      </c>
      <c r="AH4437" s="508">
        <v>1.6E-2</v>
      </c>
      <c r="AI4437" s="492">
        <v>1.6E-2</v>
      </c>
      <c r="AJ4437" s="485"/>
    </row>
    <row r="4438" spans="2:36">
      <c r="B4438" s="136" t="s">
        <v>465</v>
      </c>
      <c r="C4438" s="132" t="s">
        <v>1378</v>
      </c>
      <c r="D4438" s="132" t="s">
        <v>284</v>
      </c>
      <c r="E4438" s="508">
        <v>2.4769999999999999</v>
      </c>
      <c r="F4438" s="508">
        <v>2.4769999999999999</v>
      </c>
      <c r="G4438" s="508">
        <v>2.4769999999999999</v>
      </c>
      <c r="H4438" s="508">
        <v>0.90100000000000002</v>
      </c>
      <c r="I4438" s="508">
        <v>0.90100000000000002</v>
      </c>
      <c r="J4438" s="508">
        <v>0.9</v>
      </c>
      <c r="K4438" s="508">
        <v>1.0660000000000001</v>
      </c>
      <c r="L4438" s="508">
        <v>1.0660000000000001</v>
      </c>
      <c r="M4438" s="508">
        <v>1.0660000000000001</v>
      </c>
      <c r="N4438" s="508">
        <v>1.1100000000000001</v>
      </c>
      <c r="O4438" s="508">
        <v>1.1100000000000001</v>
      </c>
      <c r="P4438" s="508">
        <v>1.109</v>
      </c>
      <c r="Q4438" s="508">
        <v>1.109</v>
      </c>
      <c r="R4438" s="508">
        <v>0.80300000000000005</v>
      </c>
      <c r="S4438" s="508">
        <v>0.80300000000000005</v>
      </c>
      <c r="T4438" s="508">
        <v>0.80300000000000005</v>
      </c>
      <c r="U4438" s="508">
        <v>0.80300000000000005</v>
      </c>
      <c r="V4438" s="508">
        <v>0.80300000000000005</v>
      </c>
      <c r="W4438" s="508">
        <v>0.69699999999999995</v>
      </c>
      <c r="X4438" s="508">
        <v>0.69699999999999995</v>
      </c>
      <c r="Y4438" s="508">
        <v>0.69699999999999995</v>
      </c>
      <c r="Z4438" s="508">
        <v>0.65400000000000003</v>
      </c>
      <c r="AA4438" s="508">
        <v>0.03</v>
      </c>
      <c r="AB4438" s="508">
        <v>2.5999999999999999E-2</v>
      </c>
      <c r="AC4438" s="508">
        <v>2.5999999999999999E-2</v>
      </c>
      <c r="AD4438" s="508">
        <v>2.1000000000000001E-2</v>
      </c>
      <c r="AE4438" s="508">
        <v>2.1000000000000001E-2</v>
      </c>
      <c r="AF4438" s="508">
        <v>1.7000000000000001E-2</v>
      </c>
      <c r="AG4438" s="508">
        <v>1.7000000000000001E-2</v>
      </c>
      <c r="AH4438" s="508">
        <v>1.7000000000000001E-2</v>
      </c>
      <c r="AI4438" s="492">
        <v>1.7000000000000001E-2</v>
      </c>
      <c r="AJ4438" s="485"/>
    </row>
    <row r="4439" spans="2:36">
      <c r="B4439" s="136" t="s">
        <v>466</v>
      </c>
      <c r="C4439" s="132" t="s">
        <v>1378</v>
      </c>
      <c r="D4439" s="132" t="s">
        <v>284</v>
      </c>
      <c r="E4439" s="508">
        <v>2.4740000000000002</v>
      </c>
      <c r="F4439" s="508">
        <v>2.4740000000000002</v>
      </c>
      <c r="G4439" s="508">
        <v>2.4740000000000002</v>
      </c>
      <c r="H4439" s="508">
        <v>0.95499999999999996</v>
      </c>
      <c r="I4439" s="508">
        <v>0.95499999999999996</v>
      </c>
      <c r="J4439" s="508">
        <v>0.95499999999999996</v>
      </c>
      <c r="K4439" s="508">
        <v>1.099</v>
      </c>
      <c r="L4439" s="508">
        <v>1.099</v>
      </c>
      <c r="M4439" s="508">
        <v>1.099</v>
      </c>
      <c r="N4439" s="508">
        <v>1.2010000000000001</v>
      </c>
      <c r="O4439" s="508">
        <v>1.2010000000000001</v>
      </c>
      <c r="P4439" s="508">
        <v>1.2010000000000001</v>
      </c>
      <c r="Q4439" s="508">
        <v>1.2010000000000001</v>
      </c>
      <c r="R4439" s="508">
        <v>0.879</v>
      </c>
      <c r="S4439" s="508">
        <v>0.879</v>
      </c>
      <c r="T4439" s="508">
        <v>0.879</v>
      </c>
      <c r="U4439" s="508">
        <v>0.879</v>
      </c>
      <c r="V4439" s="508">
        <v>0.879</v>
      </c>
      <c r="W4439" s="508">
        <v>0.76300000000000001</v>
      </c>
      <c r="X4439" s="508">
        <v>0.76300000000000001</v>
      </c>
      <c r="Y4439" s="508">
        <v>0.76300000000000001</v>
      </c>
      <c r="Z4439" s="508">
        <v>0.71599999999999997</v>
      </c>
      <c r="AA4439" s="508">
        <v>3.2000000000000001E-2</v>
      </c>
      <c r="AB4439" s="508">
        <v>2.7E-2</v>
      </c>
      <c r="AC4439" s="508">
        <v>2.7E-2</v>
      </c>
      <c r="AD4439" s="508">
        <v>2.3E-2</v>
      </c>
      <c r="AE4439" s="508">
        <v>2.3E-2</v>
      </c>
      <c r="AF4439" s="508">
        <v>1.7999999999999999E-2</v>
      </c>
      <c r="AG4439" s="508">
        <v>1.7999999999999999E-2</v>
      </c>
      <c r="AH4439" s="508">
        <v>1.7999999999999999E-2</v>
      </c>
      <c r="AI4439" s="492">
        <v>1.7999999999999999E-2</v>
      </c>
      <c r="AJ4439" s="485"/>
    </row>
    <row r="4440" spans="2:36">
      <c r="B4440" s="136" t="s">
        <v>467</v>
      </c>
      <c r="C4440" s="132" t="s">
        <v>1378</v>
      </c>
      <c r="D4440" s="132" t="s">
        <v>284</v>
      </c>
      <c r="E4440" s="508">
        <v>2.4649999999999999</v>
      </c>
      <c r="F4440" s="508">
        <v>2.4649999999999999</v>
      </c>
      <c r="G4440" s="508">
        <v>2.4649999999999999</v>
      </c>
      <c r="H4440" s="508">
        <v>0.90900000000000003</v>
      </c>
      <c r="I4440" s="508">
        <v>0.90800000000000003</v>
      </c>
      <c r="J4440" s="508">
        <v>0.90800000000000003</v>
      </c>
      <c r="K4440" s="508">
        <v>1.0649999999999999</v>
      </c>
      <c r="L4440" s="508">
        <v>1.0649999999999999</v>
      </c>
      <c r="M4440" s="508">
        <v>1.0649999999999999</v>
      </c>
      <c r="N4440" s="508">
        <v>1.1200000000000001</v>
      </c>
      <c r="O4440" s="508">
        <v>1.1200000000000001</v>
      </c>
      <c r="P4440" s="508">
        <v>1.1200000000000001</v>
      </c>
      <c r="Q4440" s="508">
        <v>1.1200000000000001</v>
      </c>
      <c r="R4440" s="508">
        <v>0.82199999999999995</v>
      </c>
      <c r="S4440" s="508">
        <v>0.82199999999999995</v>
      </c>
      <c r="T4440" s="508">
        <v>0.82199999999999995</v>
      </c>
      <c r="U4440" s="508">
        <v>0.82199999999999995</v>
      </c>
      <c r="V4440" s="508">
        <v>0.82099999999999995</v>
      </c>
      <c r="W4440" s="508">
        <v>0.71299999999999997</v>
      </c>
      <c r="X4440" s="508">
        <v>0.71299999999999997</v>
      </c>
      <c r="Y4440" s="508">
        <v>0.71299999999999997</v>
      </c>
      <c r="Z4440" s="508">
        <v>0.66900000000000004</v>
      </c>
      <c r="AA4440" s="508">
        <v>0.03</v>
      </c>
      <c r="AB4440" s="508">
        <v>2.5999999999999999E-2</v>
      </c>
      <c r="AC4440" s="508">
        <v>2.5999999999999999E-2</v>
      </c>
      <c r="AD4440" s="508">
        <v>2.1000000000000001E-2</v>
      </c>
      <c r="AE4440" s="508">
        <v>2.1000000000000001E-2</v>
      </c>
      <c r="AF4440" s="508">
        <v>1.7000000000000001E-2</v>
      </c>
      <c r="AG4440" s="508">
        <v>1.7000000000000001E-2</v>
      </c>
      <c r="AH4440" s="508">
        <v>1.7000000000000001E-2</v>
      </c>
      <c r="AI4440" s="492">
        <v>1.7000000000000001E-2</v>
      </c>
      <c r="AJ4440" s="485"/>
    </row>
    <row r="4441" spans="2:36">
      <c r="B4441" s="136" t="s">
        <v>468</v>
      </c>
      <c r="C4441" s="132" t="s">
        <v>1378</v>
      </c>
      <c r="D4441" s="132" t="s">
        <v>284</v>
      </c>
      <c r="E4441" s="508">
        <v>2.4969999999999999</v>
      </c>
      <c r="F4441" s="508">
        <v>2.4969999999999999</v>
      </c>
      <c r="G4441" s="508">
        <v>2.4969999999999999</v>
      </c>
      <c r="H4441" s="508">
        <v>0.89400000000000002</v>
      </c>
      <c r="I4441" s="508">
        <v>0.89400000000000002</v>
      </c>
      <c r="J4441" s="508">
        <v>0.89400000000000002</v>
      </c>
      <c r="K4441" s="508">
        <v>1.069</v>
      </c>
      <c r="L4441" s="508">
        <v>1.069</v>
      </c>
      <c r="M4441" s="508">
        <v>1.069</v>
      </c>
      <c r="N4441" s="508">
        <v>1.1000000000000001</v>
      </c>
      <c r="O4441" s="508">
        <v>1.1000000000000001</v>
      </c>
      <c r="P4441" s="508">
        <v>1.1000000000000001</v>
      </c>
      <c r="Q4441" s="508">
        <v>1.1000000000000001</v>
      </c>
      <c r="R4441" s="508">
        <v>0.78600000000000003</v>
      </c>
      <c r="S4441" s="508">
        <v>0.78600000000000003</v>
      </c>
      <c r="T4441" s="508">
        <v>0.78600000000000003</v>
      </c>
      <c r="U4441" s="508">
        <v>0.78600000000000003</v>
      </c>
      <c r="V4441" s="508">
        <v>0.78600000000000003</v>
      </c>
      <c r="W4441" s="508">
        <v>0.68200000000000005</v>
      </c>
      <c r="X4441" s="508">
        <v>0.68200000000000005</v>
      </c>
      <c r="Y4441" s="508">
        <v>0.68200000000000005</v>
      </c>
      <c r="Z4441" s="508">
        <v>0.64100000000000001</v>
      </c>
      <c r="AA4441" s="508">
        <v>0.03</v>
      </c>
      <c r="AB4441" s="508">
        <v>2.5000000000000001E-2</v>
      </c>
      <c r="AC4441" s="508">
        <v>2.5000000000000001E-2</v>
      </c>
      <c r="AD4441" s="508">
        <v>2.1000000000000001E-2</v>
      </c>
      <c r="AE4441" s="508">
        <v>2.1000000000000001E-2</v>
      </c>
      <c r="AF4441" s="508">
        <v>1.7000000000000001E-2</v>
      </c>
      <c r="AG4441" s="508">
        <v>1.7000000000000001E-2</v>
      </c>
      <c r="AH4441" s="508">
        <v>1.7000000000000001E-2</v>
      </c>
      <c r="AI4441" s="492">
        <v>1.7000000000000001E-2</v>
      </c>
      <c r="AJ4441" s="485"/>
    </row>
    <row r="4442" spans="2:36">
      <c r="B4442" s="136" t="s">
        <v>469</v>
      </c>
      <c r="C4442" s="132" t="s">
        <v>1378</v>
      </c>
      <c r="D4442" s="132" t="s">
        <v>284</v>
      </c>
      <c r="E4442" s="508">
        <v>2.4660000000000002</v>
      </c>
      <c r="F4442" s="508">
        <v>2.4660000000000002</v>
      </c>
      <c r="G4442" s="508">
        <v>2.4660000000000002</v>
      </c>
      <c r="H4442" s="508">
        <v>0.90200000000000002</v>
      </c>
      <c r="I4442" s="508">
        <v>0.90200000000000002</v>
      </c>
      <c r="J4442" s="508">
        <v>0.90200000000000002</v>
      </c>
      <c r="K4442" s="508">
        <v>1.0640000000000001</v>
      </c>
      <c r="L4442" s="508">
        <v>1.0640000000000001</v>
      </c>
      <c r="M4442" s="508">
        <v>1.0640000000000001</v>
      </c>
      <c r="N4442" s="508">
        <v>1.113</v>
      </c>
      <c r="O4442" s="508">
        <v>1.113</v>
      </c>
      <c r="P4442" s="508">
        <v>1.113</v>
      </c>
      <c r="Q4442" s="508">
        <v>1.113</v>
      </c>
      <c r="R4442" s="508">
        <v>0.81</v>
      </c>
      <c r="S4442" s="508">
        <v>0.81</v>
      </c>
      <c r="T4442" s="508">
        <v>0.81</v>
      </c>
      <c r="U4442" s="508">
        <v>0.81</v>
      </c>
      <c r="V4442" s="508">
        <v>0.81</v>
      </c>
      <c r="W4442" s="508">
        <v>0.70299999999999996</v>
      </c>
      <c r="X4442" s="508">
        <v>0.70299999999999996</v>
      </c>
      <c r="Y4442" s="508">
        <v>0.70299999999999996</v>
      </c>
      <c r="Z4442" s="508">
        <v>0.66</v>
      </c>
      <c r="AA4442" s="508">
        <v>0.03</v>
      </c>
      <c r="AB4442" s="508">
        <v>2.5999999999999999E-2</v>
      </c>
      <c r="AC4442" s="508">
        <v>2.5999999999999999E-2</v>
      </c>
      <c r="AD4442" s="508">
        <v>2.1000000000000001E-2</v>
      </c>
      <c r="AE4442" s="508">
        <v>2.1000000000000001E-2</v>
      </c>
      <c r="AF4442" s="508">
        <v>1.7000000000000001E-2</v>
      </c>
      <c r="AG4442" s="508">
        <v>1.7000000000000001E-2</v>
      </c>
      <c r="AH4442" s="508">
        <v>1.7000000000000001E-2</v>
      </c>
      <c r="AI4442" s="492">
        <v>1.7000000000000001E-2</v>
      </c>
      <c r="AJ4442" s="485"/>
    </row>
    <row r="4443" spans="2:36">
      <c r="B4443" s="136" t="s">
        <v>470</v>
      </c>
      <c r="C4443" s="132" t="s">
        <v>1378</v>
      </c>
      <c r="D4443" s="132" t="s">
        <v>284</v>
      </c>
      <c r="E4443" s="508">
        <v>2.4900000000000002</v>
      </c>
      <c r="F4443" s="508">
        <v>2.4900000000000002</v>
      </c>
      <c r="G4443" s="508">
        <v>2.4900000000000002</v>
      </c>
      <c r="H4443" s="508">
        <v>0.94199999999999995</v>
      </c>
      <c r="I4443" s="508">
        <v>0.94199999999999995</v>
      </c>
      <c r="J4443" s="508">
        <v>0.94199999999999995</v>
      </c>
      <c r="K4443" s="508">
        <v>1.093</v>
      </c>
      <c r="L4443" s="508">
        <v>1.093</v>
      </c>
      <c r="M4443" s="508">
        <v>1.093</v>
      </c>
      <c r="N4443" s="508">
        <v>1.1759999999999999</v>
      </c>
      <c r="O4443" s="508">
        <v>1.1759999999999999</v>
      </c>
      <c r="P4443" s="508">
        <v>1.1759999999999999</v>
      </c>
      <c r="Q4443" s="508">
        <v>1.1759999999999999</v>
      </c>
      <c r="R4443" s="508">
        <v>0.85899999999999999</v>
      </c>
      <c r="S4443" s="508">
        <v>0.85899999999999999</v>
      </c>
      <c r="T4443" s="508">
        <v>0.85899999999999999</v>
      </c>
      <c r="U4443" s="508">
        <v>0.85899999999999999</v>
      </c>
      <c r="V4443" s="508">
        <v>0.85899999999999999</v>
      </c>
      <c r="W4443" s="508">
        <v>0.746</v>
      </c>
      <c r="X4443" s="508">
        <v>0.745</v>
      </c>
      <c r="Y4443" s="508">
        <v>0.745</v>
      </c>
      <c r="Z4443" s="508">
        <v>0.7</v>
      </c>
      <c r="AA4443" s="508">
        <v>3.1E-2</v>
      </c>
      <c r="AB4443" s="508">
        <v>2.7E-2</v>
      </c>
      <c r="AC4443" s="508">
        <v>2.7E-2</v>
      </c>
      <c r="AD4443" s="508">
        <v>2.1999999999999999E-2</v>
      </c>
      <c r="AE4443" s="508">
        <v>2.1999999999999999E-2</v>
      </c>
      <c r="AF4443" s="508">
        <v>1.7999999999999999E-2</v>
      </c>
      <c r="AG4443" s="508">
        <v>1.7999999999999999E-2</v>
      </c>
      <c r="AH4443" s="508">
        <v>1.7999999999999999E-2</v>
      </c>
      <c r="AI4443" s="492">
        <v>1.7999999999999999E-2</v>
      </c>
      <c r="AJ4443" s="485"/>
    </row>
    <row r="4444" spans="2:36">
      <c r="B4444" s="136" t="s">
        <v>471</v>
      </c>
      <c r="C4444" s="132" t="s">
        <v>1378</v>
      </c>
      <c r="D4444" s="132" t="s">
        <v>284</v>
      </c>
      <c r="E4444" s="508">
        <v>2.4660000000000002</v>
      </c>
      <c r="F4444" s="508">
        <v>2.4660000000000002</v>
      </c>
      <c r="G4444" s="508">
        <v>2.4660000000000002</v>
      </c>
      <c r="H4444" s="508">
        <v>0.92200000000000004</v>
      </c>
      <c r="I4444" s="508">
        <v>0.92200000000000004</v>
      </c>
      <c r="J4444" s="508">
        <v>0.92200000000000004</v>
      </c>
      <c r="K4444" s="508">
        <v>1.0740000000000001</v>
      </c>
      <c r="L4444" s="508">
        <v>1.0740000000000001</v>
      </c>
      <c r="M4444" s="508">
        <v>1.0740000000000001</v>
      </c>
      <c r="N4444" s="508">
        <v>1.143</v>
      </c>
      <c r="O4444" s="508">
        <v>1.143</v>
      </c>
      <c r="P4444" s="508">
        <v>1.143</v>
      </c>
      <c r="Q4444" s="508">
        <v>1.143</v>
      </c>
      <c r="R4444" s="508">
        <v>0.84</v>
      </c>
      <c r="S4444" s="508">
        <v>0.84</v>
      </c>
      <c r="T4444" s="508">
        <v>0.84</v>
      </c>
      <c r="U4444" s="508">
        <v>0.84</v>
      </c>
      <c r="V4444" s="508">
        <v>0.84</v>
      </c>
      <c r="W4444" s="508">
        <v>0.72899999999999998</v>
      </c>
      <c r="X4444" s="508">
        <v>0.72899999999999998</v>
      </c>
      <c r="Y4444" s="508">
        <v>0.72899999999999998</v>
      </c>
      <c r="Z4444" s="508">
        <v>0.68500000000000005</v>
      </c>
      <c r="AA4444" s="508">
        <v>3.1E-2</v>
      </c>
      <c r="AB4444" s="508">
        <v>2.5999999999999999E-2</v>
      </c>
      <c r="AC4444" s="508">
        <v>2.5999999999999999E-2</v>
      </c>
      <c r="AD4444" s="508">
        <v>2.1999999999999999E-2</v>
      </c>
      <c r="AE4444" s="508">
        <v>2.1999999999999999E-2</v>
      </c>
      <c r="AF4444" s="508">
        <v>1.7999999999999999E-2</v>
      </c>
      <c r="AG4444" s="508">
        <v>1.7000000000000001E-2</v>
      </c>
      <c r="AH4444" s="508">
        <v>1.7000000000000001E-2</v>
      </c>
      <c r="AI4444" s="492">
        <v>1.7000000000000001E-2</v>
      </c>
      <c r="AJ4444" s="485"/>
    </row>
    <row r="4445" spans="2:36">
      <c r="B4445" s="136" t="s">
        <v>472</v>
      </c>
      <c r="C4445" s="132" t="s">
        <v>1378</v>
      </c>
      <c r="D4445" s="132" t="s">
        <v>284</v>
      </c>
      <c r="E4445" s="508">
        <v>2.4510000000000001</v>
      </c>
      <c r="F4445" s="508">
        <v>2.4510000000000001</v>
      </c>
      <c r="G4445" s="508">
        <v>2.4510000000000001</v>
      </c>
      <c r="H4445" s="508">
        <v>0.879</v>
      </c>
      <c r="I4445" s="508">
        <v>0.879</v>
      </c>
      <c r="J4445" s="508">
        <v>0.878</v>
      </c>
      <c r="K4445" s="508">
        <v>1.044</v>
      </c>
      <c r="L4445" s="508">
        <v>1.044</v>
      </c>
      <c r="M4445" s="508">
        <v>1.044</v>
      </c>
      <c r="N4445" s="508">
        <v>1.0720000000000001</v>
      </c>
      <c r="O4445" s="508">
        <v>1.0720000000000001</v>
      </c>
      <c r="P4445" s="508">
        <v>1.0720000000000001</v>
      </c>
      <c r="Q4445" s="508">
        <v>1.0720000000000001</v>
      </c>
      <c r="R4445" s="508">
        <v>0.78300000000000003</v>
      </c>
      <c r="S4445" s="508">
        <v>0.78300000000000003</v>
      </c>
      <c r="T4445" s="508">
        <v>0.78300000000000003</v>
      </c>
      <c r="U4445" s="508">
        <v>0.78300000000000003</v>
      </c>
      <c r="V4445" s="508">
        <v>0.78300000000000003</v>
      </c>
      <c r="W4445" s="508">
        <v>0.68</v>
      </c>
      <c r="X4445" s="508">
        <v>0.68</v>
      </c>
      <c r="Y4445" s="508">
        <v>0.68</v>
      </c>
      <c r="Z4445" s="508">
        <v>0.63800000000000001</v>
      </c>
      <c r="AA4445" s="508">
        <v>2.9000000000000001E-2</v>
      </c>
      <c r="AB4445" s="508">
        <v>2.5000000000000001E-2</v>
      </c>
      <c r="AC4445" s="508">
        <v>2.5000000000000001E-2</v>
      </c>
      <c r="AD4445" s="508">
        <v>2.1000000000000001E-2</v>
      </c>
      <c r="AE4445" s="508">
        <v>2.1000000000000001E-2</v>
      </c>
      <c r="AF4445" s="508">
        <v>1.7000000000000001E-2</v>
      </c>
      <c r="AG4445" s="508">
        <v>1.7000000000000001E-2</v>
      </c>
      <c r="AH4445" s="508">
        <v>1.6E-2</v>
      </c>
      <c r="AI4445" s="492">
        <v>1.6E-2</v>
      </c>
      <c r="AJ4445" s="485"/>
    </row>
    <row r="4446" spans="2:36">
      <c r="B4446" s="136" t="s">
        <v>473</v>
      </c>
      <c r="C4446" s="132" t="s">
        <v>1378</v>
      </c>
      <c r="D4446" s="132" t="s">
        <v>284</v>
      </c>
      <c r="E4446" s="508">
        <v>2.468</v>
      </c>
      <c r="F4446" s="508">
        <v>2.468</v>
      </c>
      <c r="G4446" s="508">
        <v>2.468</v>
      </c>
      <c r="H4446" s="508">
        <v>0.93799999999999994</v>
      </c>
      <c r="I4446" s="508">
        <v>0.93799999999999994</v>
      </c>
      <c r="J4446" s="508">
        <v>0.93799999999999994</v>
      </c>
      <c r="K4446" s="508">
        <v>1.085</v>
      </c>
      <c r="L4446" s="508">
        <v>1.085</v>
      </c>
      <c r="M4446" s="508">
        <v>1.085</v>
      </c>
      <c r="N4446" s="508">
        <v>1.1719999999999999</v>
      </c>
      <c r="O4446" s="508">
        <v>1.171</v>
      </c>
      <c r="P4446" s="508">
        <v>1.171</v>
      </c>
      <c r="Q4446" s="508">
        <v>1.171</v>
      </c>
      <c r="R4446" s="508">
        <v>0.86099999999999999</v>
      </c>
      <c r="S4446" s="508">
        <v>0.86099999999999999</v>
      </c>
      <c r="T4446" s="508">
        <v>0.86</v>
      </c>
      <c r="U4446" s="508">
        <v>0.86</v>
      </c>
      <c r="V4446" s="508">
        <v>0.86</v>
      </c>
      <c r="W4446" s="508">
        <v>0.747</v>
      </c>
      <c r="X4446" s="508">
        <v>0.747</v>
      </c>
      <c r="Y4446" s="508">
        <v>0.747</v>
      </c>
      <c r="Z4446" s="508">
        <v>0.70099999999999996</v>
      </c>
      <c r="AA4446" s="508">
        <v>3.1E-2</v>
      </c>
      <c r="AB4446" s="508">
        <v>2.7E-2</v>
      </c>
      <c r="AC4446" s="508">
        <v>2.7E-2</v>
      </c>
      <c r="AD4446" s="508">
        <v>2.1999999999999999E-2</v>
      </c>
      <c r="AE4446" s="508">
        <v>2.1999999999999999E-2</v>
      </c>
      <c r="AF4446" s="508">
        <v>1.7999999999999999E-2</v>
      </c>
      <c r="AG4446" s="508">
        <v>1.7999999999999999E-2</v>
      </c>
      <c r="AH4446" s="508">
        <v>1.7999999999999999E-2</v>
      </c>
      <c r="AI4446" s="492">
        <v>1.7999999999999999E-2</v>
      </c>
      <c r="AJ4446" s="485"/>
    </row>
    <row r="4447" spans="2:36">
      <c r="B4447" s="136" t="s">
        <v>474</v>
      </c>
      <c r="C4447" s="132" t="s">
        <v>1378</v>
      </c>
      <c r="D4447" s="132" t="s">
        <v>284</v>
      </c>
      <c r="E4447" s="508">
        <v>2.464</v>
      </c>
      <c r="F4447" s="508">
        <v>2.464</v>
      </c>
      <c r="G4447" s="508">
        <v>2.464</v>
      </c>
      <c r="H4447" s="508">
        <v>0.91600000000000004</v>
      </c>
      <c r="I4447" s="508">
        <v>0.91600000000000004</v>
      </c>
      <c r="J4447" s="508">
        <v>0.91600000000000004</v>
      </c>
      <c r="K4447" s="508">
        <v>1.071</v>
      </c>
      <c r="L4447" s="508">
        <v>1.071</v>
      </c>
      <c r="M4447" s="508">
        <v>1.071</v>
      </c>
      <c r="N4447" s="508">
        <v>1.1339999999999999</v>
      </c>
      <c r="O4447" s="508">
        <v>1.1339999999999999</v>
      </c>
      <c r="P4447" s="508">
        <v>1.1339999999999999</v>
      </c>
      <c r="Q4447" s="508">
        <v>1.1339999999999999</v>
      </c>
      <c r="R4447" s="508">
        <v>0.83099999999999996</v>
      </c>
      <c r="S4447" s="508">
        <v>0.83099999999999996</v>
      </c>
      <c r="T4447" s="508">
        <v>0.83</v>
      </c>
      <c r="U4447" s="508">
        <v>0.83</v>
      </c>
      <c r="V4447" s="508">
        <v>0.83</v>
      </c>
      <c r="W4447" s="508">
        <v>0.72099999999999997</v>
      </c>
      <c r="X4447" s="508">
        <v>0.72099999999999997</v>
      </c>
      <c r="Y4447" s="508">
        <v>0.72099999999999997</v>
      </c>
      <c r="Z4447" s="508">
        <v>0.67700000000000005</v>
      </c>
      <c r="AA4447" s="508">
        <v>3.1E-2</v>
      </c>
      <c r="AB4447" s="508">
        <v>2.5999999999999999E-2</v>
      </c>
      <c r="AC4447" s="508">
        <v>2.5999999999999999E-2</v>
      </c>
      <c r="AD4447" s="508">
        <v>2.1999999999999999E-2</v>
      </c>
      <c r="AE4447" s="508">
        <v>2.1999999999999999E-2</v>
      </c>
      <c r="AF4447" s="508">
        <v>1.7000000000000001E-2</v>
      </c>
      <c r="AG4447" s="508">
        <v>1.7000000000000001E-2</v>
      </c>
      <c r="AH4447" s="508">
        <v>1.7000000000000001E-2</v>
      </c>
      <c r="AI4447" s="492">
        <v>1.7000000000000001E-2</v>
      </c>
      <c r="AJ4447" s="485"/>
    </row>
    <row r="4448" spans="2:36">
      <c r="B4448" s="136" t="s">
        <v>475</v>
      </c>
      <c r="C4448" s="132" t="s">
        <v>1378</v>
      </c>
      <c r="D4448" s="132" t="s">
        <v>284</v>
      </c>
      <c r="E4448" s="508">
        <v>2.4660000000000002</v>
      </c>
      <c r="F4448" s="508">
        <v>2.4660000000000002</v>
      </c>
      <c r="G4448" s="508">
        <v>2.4660000000000002</v>
      </c>
      <c r="H4448" s="508">
        <v>0.90700000000000003</v>
      </c>
      <c r="I4448" s="508">
        <v>0.90700000000000003</v>
      </c>
      <c r="J4448" s="508">
        <v>0.90700000000000003</v>
      </c>
      <c r="K4448" s="508">
        <v>1.0649999999999999</v>
      </c>
      <c r="L4448" s="508">
        <v>1.0649999999999999</v>
      </c>
      <c r="M4448" s="508">
        <v>1.0649999999999999</v>
      </c>
      <c r="N4448" s="508">
        <v>1.119</v>
      </c>
      <c r="O4448" s="508">
        <v>1.119</v>
      </c>
      <c r="P4448" s="508">
        <v>1.119</v>
      </c>
      <c r="Q4448" s="508">
        <v>1.119</v>
      </c>
      <c r="R4448" s="508">
        <v>0.81799999999999995</v>
      </c>
      <c r="S4448" s="508">
        <v>0.81799999999999995</v>
      </c>
      <c r="T4448" s="508">
        <v>0.81799999999999995</v>
      </c>
      <c r="U4448" s="508">
        <v>0.81799999999999995</v>
      </c>
      <c r="V4448" s="508">
        <v>0.81799999999999995</v>
      </c>
      <c r="W4448" s="508">
        <v>0.71</v>
      </c>
      <c r="X4448" s="508">
        <v>0.71</v>
      </c>
      <c r="Y4448" s="508">
        <v>0.71</v>
      </c>
      <c r="Z4448" s="508">
        <v>0.66700000000000004</v>
      </c>
      <c r="AA4448" s="508">
        <v>0.03</v>
      </c>
      <c r="AB4448" s="508">
        <v>2.5999999999999999E-2</v>
      </c>
      <c r="AC4448" s="508">
        <v>2.5999999999999999E-2</v>
      </c>
      <c r="AD4448" s="508">
        <v>2.1000000000000001E-2</v>
      </c>
      <c r="AE4448" s="508">
        <v>2.1000000000000001E-2</v>
      </c>
      <c r="AF4448" s="508">
        <v>1.7000000000000001E-2</v>
      </c>
      <c r="AG4448" s="508">
        <v>1.7000000000000001E-2</v>
      </c>
      <c r="AH4448" s="508">
        <v>1.7000000000000001E-2</v>
      </c>
      <c r="AI4448" s="492">
        <v>1.7000000000000001E-2</v>
      </c>
      <c r="AJ4448" s="485"/>
    </row>
    <row r="4449" spans="2:36">
      <c r="B4449" s="136" t="s">
        <v>476</v>
      </c>
      <c r="C4449" s="132" t="s">
        <v>1378</v>
      </c>
      <c r="D4449" s="132" t="s">
        <v>284</v>
      </c>
      <c r="E4449" s="508">
        <v>2.48</v>
      </c>
      <c r="F4449" s="508">
        <v>2.48</v>
      </c>
      <c r="G4449" s="508">
        <v>2.48</v>
      </c>
      <c r="H4449" s="508">
        <v>0.93200000000000005</v>
      </c>
      <c r="I4449" s="508">
        <v>0.93200000000000005</v>
      </c>
      <c r="J4449" s="508">
        <v>0.93200000000000005</v>
      </c>
      <c r="K4449" s="508">
        <v>1.0860000000000001</v>
      </c>
      <c r="L4449" s="508">
        <v>1.0860000000000001</v>
      </c>
      <c r="M4449" s="508">
        <v>1.0860000000000001</v>
      </c>
      <c r="N4449" s="508">
        <v>1.1619999999999999</v>
      </c>
      <c r="O4449" s="508">
        <v>1.1619999999999999</v>
      </c>
      <c r="P4449" s="508">
        <v>1.1619999999999999</v>
      </c>
      <c r="Q4449" s="508">
        <v>1.1619999999999999</v>
      </c>
      <c r="R4449" s="508">
        <v>0.84699999999999998</v>
      </c>
      <c r="S4449" s="508">
        <v>0.84699999999999998</v>
      </c>
      <c r="T4449" s="508">
        <v>0.84699999999999998</v>
      </c>
      <c r="U4449" s="508">
        <v>0.84699999999999998</v>
      </c>
      <c r="V4449" s="508">
        <v>0.84699999999999998</v>
      </c>
      <c r="W4449" s="508">
        <v>0.73499999999999999</v>
      </c>
      <c r="X4449" s="508">
        <v>0.73499999999999999</v>
      </c>
      <c r="Y4449" s="508">
        <v>0.73499999999999999</v>
      </c>
      <c r="Z4449" s="508">
        <v>0.69</v>
      </c>
      <c r="AA4449" s="508">
        <v>3.1E-2</v>
      </c>
      <c r="AB4449" s="508">
        <v>2.7E-2</v>
      </c>
      <c r="AC4449" s="508">
        <v>2.7E-2</v>
      </c>
      <c r="AD4449" s="508">
        <v>2.1999999999999999E-2</v>
      </c>
      <c r="AE4449" s="508">
        <v>2.1999999999999999E-2</v>
      </c>
      <c r="AF4449" s="508">
        <v>1.7999999999999999E-2</v>
      </c>
      <c r="AG4449" s="508">
        <v>1.7999999999999999E-2</v>
      </c>
      <c r="AH4449" s="508">
        <v>1.7999999999999999E-2</v>
      </c>
      <c r="AI4449" s="492">
        <v>1.7999999999999999E-2</v>
      </c>
      <c r="AJ4449" s="485"/>
    </row>
    <row r="4450" spans="2:36">
      <c r="B4450" s="136" t="s">
        <v>478</v>
      </c>
      <c r="C4450" s="132" t="s">
        <v>1378</v>
      </c>
      <c r="D4450" s="132" t="s">
        <v>284</v>
      </c>
      <c r="E4450" s="508">
        <v>2.5129999999999999</v>
      </c>
      <c r="F4450" s="508">
        <v>2.5129999999999999</v>
      </c>
      <c r="G4450" s="508">
        <v>2.5129999999999999</v>
      </c>
      <c r="H4450" s="508">
        <v>0.95899999999999996</v>
      </c>
      <c r="I4450" s="508">
        <v>0.95799999999999996</v>
      </c>
      <c r="J4450" s="508">
        <v>0.95799999999999996</v>
      </c>
      <c r="K4450" s="508">
        <v>1.111</v>
      </c>
      <c r="L4450" s="508">
        <v>1.111</v>
      </c>
      <c r="M4450" s="508">
        <v>1.1100000000000001</v>
      </c>
      <c r="N4450" s="508">
        <v>1.204</v>
      </c>
      <c r="O4450" s="508">
        <v>1.204</v>
      </c>
      <c r="P4450" s="508">
        <v>1.204</v>
      </c>
      <c r="Q4450" s="508">
        <v>1.204</v>
      </c>
      <c r="R4450" s="508">
        <v>0.873</v>
      </c>
      <c r="S4450" s="508">
        <v>0.873</v>
      </c>
      <c r="T4450" s="508">
        <v>0.873</v>
      </c>
      <c r="U4450" s="508">
        <v>0.873</v>
      </c>
      <c r="V4450" s="508">
        <v>0.873</v>
      </c>
      <c r="W4450" s="508">
        <v>0.75700000000000001</v>
      </c>
      <c r="X4450" s="508">
        <v>0.75700000000000001</v>
      </c>
      <c r="Y4450" s="508">
        <v>0.75700000000000001</v>
      </c>
      <c r="Z4450" s="508">
        <v>0.71099999999999997</v>
      </c>
      <c r="AA4450" s="508">
        <v>3.2000000000000001E-2</v>
      </c>
      <c r="AB4450" s="508">
        <v>2.7E-2</v>
      </c>
      <c r="AC4450" s="508">
        <v>2.7E-2</v>
      </c>
      <c r="AD4450" s="508">
        <v>2.3E-2</v>
      </c>
      <c r="AE4450" s="508">
        <v>2.3E-2</v>
      </c>
      <c r="AF4450" s="508">
        <v>1.7999999999999999E-2</v>
      </c>
      <c r="AG4450" s="508">
        <v>1.7999999999999999E-2</v>
      </c>
      <c r="AH4450" s="508">
        <v>1.7999999999999999E-2</v>
      </c>
      <c r="AI4450" s="492">
        <v>1.7999999999999999E-2</v>
      </c>
      <c r="AJ4450" s="485"/>
    </row>
    <row r="4451" spans="2:36">
      <c r="B4451" s="136" t="s">
        <v>479</v>
      </c>
      <c r="C4451" s="132" t="s">
        <v>1378</v>
      </c>
      <c r="D4451" s="132" t="s">
        <v>284</v>
      </c>
      <c r="E4451" s="508">
        <v>2.4710000000000001</v>
      </c>
      <c r="F4451" s="508">
        <v>2.4710000000000001</v>
      </c>
      <c r="G4451" s="508">
        <v>2.4710000000000001</v>
      </c>
      <c r="H4451" s="508">
        <v>0.91500000000000004</v>
      </c>
      <c r="I4451" s="508">
        <v>0.91500000000000004</v>
      </c>
      <c r="J4451" s="508">
        <v>0.91500000000000004</v>
      </c>
      <c r="K4451" s="508">
        <v>1.073</v>
      </c>
      <c r="L4451" s="508">
        <v>1.073</v>
      </c>
      <c r="M4451" s="508">
        <v>1.073</v>
      </c>
      <c r="N4451" s="508">
        <v>1.1339999999999999</v>
      </c>
      <c r="O4451" s="508">
        <v>1.133</v>
      </c>
      <c r="P4451" s="508">
        <v>1.133</v>
      </c>
      <c r="Q4451" s="508">
        <v>1.133</v>
      </c>
      <c r="R4451" s="508">
        <v>0.82499999999999996</v>
      </c>
      <c r="S4451" s="508">
        <v>0.82499999999999996</v>
      </c>
      <c r="T4451" s="508">
        <v>0.82499999999999996</v>
      </c>
      <c r="U4451" s="508">
        <v>0.82499999999999996</v>
      </c>
      <c r="V4451" s="508">
        <v>0.82499999999999996</v>
      </c>
      <c r="W4451" s="508">
        <v>0.71599999999999997</v>
      </c>
      <c r="X4451" s="508">
        <v>0.71599999999999997</v>
      </c>
      <c r="Y4451" s="508">
        <v>0.71599999999999997</v>
      </c>
      <c r="Z4451" s="508">
        <v>0.67200000000000004</v>
      </c>
      <c r="AA4451" s="508">
        <v>3.1E-2</v>
      </c>
      <c r="AB4451" s="508">
        <v>2.5999999999999999E-2</v>
      </c>
      <c r="AC4451" s="508">
        <v>2.5999999999999999E-2</v>
      </c>
      <c r="AD4451" s="508">
        <v>2.1999999999999999E-2</v>
      </c>
      <c r="AE4451" s="508">
        <v>2.1999999999999999E-2</v>
      </c>
      <c r="AF4451" s="508">
        <v>1.7000000000000001E-2</v>
      </c>
      <c r="AG4451" s="508">
        <v>1.7000000000000001E-2</v>
      </c>
      <c r="AH4451" s="508">
        <v>1.7000000000000001E-2</v>
      </c>
      <c r="AI4451" s="492">
        <v>1.7000000000000001E-2</v>
      </c>
      <c r="AJ4451" s="485"/>
    </row>
    <row r="4452" spans="2:36">
      <c r="B4452" s="136" t="s">
        <v>480</v>
      </c>
      <c r="C4452" s="132" t="s">
        <v>1378</v>
      </c>
      <c r="D4452" s="132" t="s">
        <v>284</v>
      </c>
      <c r="E4452" s="508">
        <v>2.4729999999999999</v>
      </c>
      <c r="F4452" s="508">
        <v>2.4729999999999999</v>
      </c>
      <c r="G4452" s="508">
        <v>2.4729999999999999</v>
      </c>
      <c r="H4452" s="508">
        <v>0.88300000000000001</v>
      </c>
      <c r="I4452" s="508">
        <v>0.88200000000000001</v>
      </c>
      <c r="J4452" s="508">
        <v>0.88200000000000001</v>
      </c>
      <c r="K4452" s="508">
        <v>1.054</v>
      </c>
      <c r="L4452" s="508">
        <v>1.054</v>
      </c>
      <c r="M4452" s="508">
        <v>1.054</v>
      </c>
      <c r="N4452" s="508">
        <v>1.079</v>
      </c>
      <c r="O4452" s="508">
        <v>1.079</v>
      </c>
      <c r="P4452" s="508">
        <v>1.079</v>
      </c>
      <c r="Q4452" s="508">
        <v>1.079</v>
      </c>
      <c r="R4452" s="508">
        <v>0.77900000000000003</v>
      </c>
      <c r="S4452" s="508">
        <v>0.77900000000000003</v>
      </c>
      <c r="T4452" s="508">
        <v>0.77900000000000003</v>
      </c>
      <c r="U4452" s="508">
        <v>0.77900000000000003</v>
      </c>
      <c r="V4452" s="508">
        <v>0.77900000000000003</v>
      </c>
      <c r="W4452" s="508">
        <v>0.67600000000000005</v>
      </c>
      <c r="X4452" s="508">
        <v>0.67600000000000005</v>
      </c>
      <c r="Y4452" s="508">
        <v>0.67600000000000005</v>
      </c>
      <c r="Z4452" s="508">
        <v>0.63500000000000001</v>
      </c>
      <c r="AA4452" s="508">
        <v>2.9000000000000001E-2</v>
      </c>
      <c r="AB4452" s="508">
        <v>2.5000000000000001E-2</v>
      </c>
      <c r="AC4452" s="508">
        <v>2.5000000000000001E-2</v>
      </c>
      <c r="AD4452" s="508">
        <v>2.1000000000000001E-2</v>
      </c>
      <c r="AE4452" s="508">
        <v>2.1000000000000001E-2</v>
      </c>
      <c r="AF4452" s="508">
        <v>1.7000000000000001E-2</v>
      </c>
      <c r="AG4452" s="508">
        <v>1.7000000000000001E-2</v>
      </c>
      <c r="AH4452" s="508">
        <v>1.6E-2</v>
      </c>
      <c r="AI4452" s="492">
        <v>1.6E-2</v>
      </c>
      <c r="AJ4452" s="485"/>
    </row>
    <row r="4453" spans="2:36">
      <c r="B4453" s="136" t="s">
        <v>481</v>
      </c>
      <c r="C4453" s="132" t="s">
        <v>1378</v>
      </c>
      <c r="D4453" s="132" t="s">
        <v>284</v>
      </c>
      <c r="E4453" s="508">
        <v>2.4809999999999999</v>
      </c>
      <c r="F4453" s="508">
        <v>2.4809999999999999</v>
      </c>
      <c r="G4453" s="508">
        <v>2.4809999999999999</v>
      </c>
      <c r="H4453" s="508">
        <v>0.92400000000000004</v>
      </c>
      <c r="I4453" s="508">
        <v>0.92400000000000004</v>
      </c>
      <c r="J4453" s="508">
        <v>0.92400000000000004</v>
      </c>
      <c r="K4453" s="508">
        <v>1.081</v>
      </c>
      <c r="L4453" s="508">
        <v>1.081</v>
      </c>
      <c r="M4453" s="508">
        <v>1.081</v>
      </c>
      <c r="N4453" s="508">
        <v>1.1479999999999999</v>
      </c>
      <c r="O4453" s="508">
        <v>1.1479999999999999</v>
      </c>
      <c r="P4453" s="508">
        <v>1.1479999999999999</v>
      </c>
      <c r="Q4453" s="508">
        <v>1.1479999999999999</v>
      </c>
      <c r="R4453" s="508">
        <v>0.83599999999999997</v>
      </c>
      <c r="S4453" s="508">
        <v>0.83599999999999997</v>
      </c>
      <c r="T4453" s="508">
        <v>0.83599999999999997</v>
      </c>
      <c r="U4453" s="508">
        <v>0.83599999999999997</v>
      </c>
      <c r="V4453" s="508">
        <v>0.83599999999999997</v>
      </c>
      <c r="W4453" s="508">
        <v>0.72499999999999998</v>
      </c>
      <c r="X4453" s="508">
        <v>0.72499999999999998</v>
      </c>
      <c r="Y4453" s="508">
        <v>0.72499999999999998</v>
      </c>
      <c r="Z4453" s="508">
        <v>0.68100000000000005</v>
      </c>
      <c r="AA4453" s="508">
        <v>3.1E-2</v>
      </c>
      <c r="AB4453" s="508">
        <v>2.5999999999999999E-2</v>
      </c>
      <c r="AC4453" s="508">
        <v>2.5999999999999999E-2</v>
      </c>
      <c r="AD4453" s="508">
        <v>2.1999999999999999E-2</v>
      </c>
      <c r="AE4453" s="508">
        <v>2.1999999999999999E-2</v>
      </c>
      <c r="AF4453" s="508">
        <v>1.7999999999999999E-2</v>
      </c>
      <c r="AG4453" s="508">
        <v>1.7000000000000001E-2</v>
      </c>
      <c r="AH4453" s="508">
        <v>1.7000000000000001E-2</v>
      </c>
      <c r="AI4453" s="492">
        <v>1.7000000000000001E-2</v>
      </c>
      <c r="AJ4453" s="485"/>
    </row>
    <row r="4454" spans="2:36">
      <c r="B4454" s="136" t="s">
        <v>482</v>
      </c>
      <c r="C4454" s="132" t="s">
        <v>1378</v>
      </c>
      <c r="D4454" s="132" t="s">
        <v>284</v>
      </c>
      <c r="E4454" s="508">
        <v>2.4980000000000002</v>
      </c>
      <c r="F4454" s="508">
        <v>2.4980000000000002</v>
      </c>
      <c r="G4454" s="508">
        <v>2.4980000000000002</v>
      </c>
      <c r="H4454" s="508">
        <v>0.92800000000000005</v>
      </c>
      <c r="I4454" s="508">
        <v>0.92800000000000005</v>
      </c>
      <c r="J4454" s="508">
        <v>0.92800000000000005</v>
      </c>
      <c r="K4454" s="508">
        <v>1.087</v>
      </c>
      <c r="L4454" s="508">
        <v>1.087</v>
      </c>
      <c r="M4454" s="508">
        <v>1.087</v>
      </c>
      <c r="N4454" s="508">
        <v>1.1519999999999999</v>
      </c>
      <c r="O4454" s="508">
        <v>1.1519999999999999</v>
      </c>
      <c r="P4454" s="508">
        <v>1.1519999999999999</v>
      </c>
      <c r="Q4454" s="508">
        <v>1.1519999999999999</v>
      </c>
      <c r="R4454" s="508">
        <v>0.83699999999999997</v>
      </c>
      <c r="S4454" s="508">
        <v>0.83599999999999997</v>
      </c>
      <c r="T4454" s="508">
        <v>0.83599999999999997</v>
      </c>
      <c r="U4454" s="508">
        <v>0.83599999999999997</v>
      </c>
      <c r="V4454" s="508">
        <v>0.83599999999999997</v>
      </c>
      <c r="W4454" s="508">
        <v>0.72599999999999998</v>
      </c>
      <c r="X4454" s="508">
        <v>0.72599999999999998</v>
      </c>
      <c r="Y4454" s="508">
        <v>0.72599999999999998</v>
      </c>
      <c r="Z4454" s="508">
        <v>0.68200000000000005</v>
      </c>
      <c r="AA4454" s="508">
        <v>3.1E-2</v>
      </c>
      <c r="AB4454" s="508">
        <v>2.7E-2</v>
      </c>
      <c r="AC4454" s="508">
        <v>2.5999999999999999E-2</v>
      </c>
      <c r="AD4454" s="508">
        <v>2.1999999999999999E-2</v>
      </c>
      <c r="AE4454" s="508">
        <v>2.1999999999999999E-2</v>
      </c>
      <c r="AF4454" s="508">
        <v>1.7999999999999999E-2</v>
      </c>
      <c r="AG4454" s="508">
        <v>1.7000000000000001E-2</v>
      </c>
      <c r="AH4454" s="508">
        <v>1.7000000000000001E-2</v>
      </c>
      <c r="AI4454" s="492">
        <v>1.7000000000000001E-2</v>
      </c>
      <c r="AJ4454" s="485"/>
    </row>
    <row r="4455" spans="2:36">
      <c r="B4455" s="136" t="s">
        <v>483</v>
      </c>
      <c r="C4455" s="132" t="s">
        <v>1378</v>
      </c>
      <c r="D4455" s="132" t="s">
        <v>284</v>
      </c>
      <c r="E4455" s="508">
        <v>2.5</v>
      </c>
      <c r="F4455" s="508">
        <v>2.5</v>
      </c>
      <c r="G4455" s="508">
        <v>2.5</v>
      </c>
      <c r="H4455" s="508">
        <v>0.95199999999999996</v>
      </c>
      <c r="I4455" s="508">
        <v>0.95099999999999996</v>
      </c>
      <c r="J4455" s="508">
        <v>0.95099999999999996</v>
      </c>
      <c r="K4455" s="508">
        <v>1.103</v>
      </c>
      <c r="L4455" s="508">
        <v>1.103</v>
      </c>
      <c r="M4455" s="508">
        <v>1.103</v>
      </c>
      <c r="N4455" s="508">
        <v>1.1930000000000001</v>
      </c>
      <c r="O4455" s="508">
        <v>1.1930000000000001</v>
      </c>
      <c r="P4455" s="508">
        <v>1.1930000000000001</v>
      </c>
      <c r="Q4455" s="508">
        <v>1.1930000000000001</v>
      </c>
      <c r="R4455" s="508">
        <v>0.86699999999999999</v>
      </c>
      <c r="S4455" s="508">
        <v>0.86699999999999999</v>
      </c>
      <c r="T4455" s="508">
        <v>0.86699999999999999</v>
      </c>
      <c r="U4455" s="508">
        <v>0.86699999999999999</v>
      </c>
      <c r="V4455" s="508">
        <v>0.86699999999999999</v>
      </c>
      <c r="W4455" s="508">
        <v>0.752</v>
      </c>
      <c r="X4455" s="508">
        <v>0.752</v>
      </c>
      <c r="Y4455" s="508">
        <v>0.752</v>
      </c>
      <c r="Z4455" s="508">
        <v>0.70699999999999996</v>
      </c>
      <c r="AA4455" s="508">
        <v>3.2000000000000001E-2</v>
      </c>
      <c r="AB4455" s="508">
        <v>2.7E-2</v>
      </c>
      <c r="AC4455" s="508">
        <v>2.7E-2</v>
      </c>
      <c r="AD4455" s="508">
        <v>2.1999999999999999E-2</v>
      </c>
      <c r="AE4455" s="508">
        <v>2.1999999999999999E-2</v>
      </c>
      <c r="AF4455" s="508">
        <v>1.7999999999999999E-2</v>
      </c>
      <c r="AG4455" s="508">
        <v>1.7999999999999999E-2</v>
      </c>
      <c r="AH4455" s="508">
        <v>1.7999999999999999E-2</v>
      </c>
      <c r="AI4455" s="492">
        <v>1.7999999999999999E-2</v>
      </c>
      <c r="AJ4455" s="485"/>
    </row>
    <row r="4456" spans="2:36">
      <c r="B4456" s="136" t="s">
        <v>484</v>
      </c>
      <c r="C4456" s="132" t="s">
        <v>1378</v>
      </c>
      <c r="D4456" s="132" t="s">
        <v>284</v>
      </c>
      <c r="E4456" s="508">
        <v>2.456</v>
      </c>
      <c r="F4456" s="508">
        <v>2.456</v>
      </c>
      <c r="G4456" s="508">
        <v>2.456</v>
      </c>
      <c r="H4456" s="508">
        <v>0.879</v>
      </c>
      <c r="I4456" s="508">
        <v>0.879</v>
      </c>
      <c r="J4456" s="508">
        <v>0.879</v>
      </c>
      <c r="K4456" s="508">
        <v>1.046</v>
      </c>
      <c r="L4456" s="508">
        <v>1.046</v>
      </c>
      <c r="M4456" s="508">
        <v>1.0449999999999999</v>
      </c>
      <c r="N4456" s="508">
        <v>1.0720000000000001</v>
      </c>
      <c r="O4456" s="508">
        <v>1.0720000000000001</v>
      </c>
      <c r="P4456" s="508">
        <v>1.0720000000000001</v>
      </c>
      <c r="Q4456" s="508">
        <v>1.0720000000000001</v>
      </c>
      <c r="R4456" s="508">
        <v>0.78200000000000003</v>
      </c>
      <c r="S4456" s="508">
        <v>0.78200000000000003</v>
      </c>
      <c r="T4456" s="508">
        <v>0.78200000000000003</v>
      </c>
      <c r="U4456" s="508">
        <v>0.78200000000000003</v>
      </c>
      <c r="V4456" s="508">
        <v>0.78200000000000003</v>
      </c>
      <c r="W4456" s="508">
        <v>0.67800000000000005</v>
      </c>
      <c r="X4456" s="508">
        <v>0.67800000000000005</v>
      </c>
      <c r="Y4456" s="508">
        <v>0.67800000000000005</v>
      </c>
      <c r="Z4456" s="508">
        <v>0.63700000000000001</v>
      </c>
      <c r="AA4456" s="508">
        <v>2.9000000000000001E-2</v>
      </c>
      <c r="AB4456" s="508">
        <v>2.5000000000000001E-2</v>
      </c>
      <c r="AC4456" s="508">
        <v>2.5000000000000001E-2</v>
      </c>
      <c r="AD4456" s="508">
        <v>2.1000000000000001E-2</v>
      </c>
      <c r="AE4456" s="508">
        <v>2.1000000000000001E-2</v>
      </c>
      <c r="AF4456" s="508">
        <v>1.7000000000000001E-2</v>
      </c>
      <c r="AG4456" s="508">
        <v>1.7000000000000001E-2</v>
      </c>
      <c r="AH4456" s="508">
        <v>1.6E-2</v>
      </c>
      <c r="AI4456" s="492">
        <v>1.6E-2</v>
      </c>
      <c r="AJ4456" s="485"/>
    </row>
    <row r="4457" spans="2:36">
      <c r="B4457" s="136" t="s">
        <v>486</v>
      </c>
      <c r="C4457" s="132" t="s">
        <v>1378</v>
      </c>
      <c r="D4457" s="132" t="s">
        <v>284</v>
      </c>
      <c r="E4457" s="508">
        <v>2.4900000000000002</v>
      </c>
      <c r="F4457" s="508">
        <v>2.4900000000000002</v>
      </c>
      <c r="G4457" s="508">
        <v>2.4900000000000002</v>
      </c>
      <c r="H4457" s="508">
        <v>0.92900000000000005</v>
      </c>
      <c r="I4457" s="508">
        <v>0.92900000000000005</v>
      </c>
      <c r="J4457" s="508">
        <v>0.92800000000000005</v>
      </c>
      <c r="K4457" s="508">
        <v>1.0860000000000001</v>
      </c>
      <c r="L4457" s="508">
        <v>1.0860000000000001</v>
      </c>
      <c r="M4457" s="508">
        <v>1.0860000000000001</v>
      </c>
      <c r="N4457" s="508">
        <v>1.155</v>
      </c>
      <c r="O4457" s="508">
        <v>1.155</v>
      </c>
      <c r="P4457" s="508">
        <v>1.155</v>
      </c>
      <c r="Q4457" s="508">
        <v>1.155</v>
      </c>
      <c r="R4457" s="508">
        <v>0.83899999999999997</v>
      </c>
      <c r="S4457" s="508">
        <v>0.83899999999999997</v>
      </c>
      <c r="T4457" s="508">
        <v>0.83899999999999997</v>
      </c>
      <c r="U4457" s="508">
        <v>0.83899999999999997</v>
      </c>
      <c r="V4457" s="508">
        <v>0.83899999999999997</v>
      </c>
      <c r="W4457" s="508">
        <v>0.72799999999999998</v>
      </c>
      <c r="X4457" s="508">
        <v>0.72799999999999998</v>
      </c>
      <c r="Y4457" s="508">
        <v>0.72799999999999998</v>
      </c>
      <c r="Z4457" s="508">
        <v>0.68400000000000005</v>
      </c>
      <c r="AA4457" s="508">
        <v>3.1E-2</v>
      </c>
      <c r="AB4457" s="508">
        <v>2.7E-2</v>
      </c>
      <c r="AC4457" s="508">
        <v>2.7E-2</v>
      </c>
      <c r="AD4457" s="508">
        <v>2.1999999999999999E-2</v>
      </c>
      <c r="AE4457" s="508">
        <v>2.1999999999999999E-2</v>
      </c>
      <c r="AF4457" s="508">
        <v>1.7999999999999999E-2</v>
      </c>
      <c r="AG4457" s="508">
        <v>1.7000000000000001E-2</v>
      </c>
      <c r="AH4457" s="508">
        <v>1.7000000000000001E-2</v>
      </c>
      <c r="AI4457" s="492">
        <v>1.7000000000000001E-2</v>
      </c>
      <c r="AJ4457" s="485"/>
    </row>
    <row r="4458" spans="2:36">
      <c r="B4458" s="136" t="s">
        <v>487</v>
      </c>
      <c r="C4458" s="132" t="s">
        <v>1378</v>
      </c>
      <c r="D4458" s="132" t="s">
        <v>284</v>
      </c>
      <c r="E4458" s="508">
        <v>2.5089999999999999</v>
      </c>
      <c r="F4458" s="508">
        <v>2.5089999999999999</v>
      </c>
      <c r="G4458" s="508">
        <v>2.5089999999999999</v>
      </c>
      <c r="H4458" s="508">
        <v>0.93500000000000005</v>
      </c>
      <c r="I4458" s="508">
        <v>0.93500000000000005</v>
      </c>
      <c r="J4458" s="508">
        <v>0.93500000000000005</v>
      </c>
      <c r="K4458" s="508">
        <v>1.095</v>
      </c>
      <c r="L4458" s="508">
        <v>1.095</v>
      </c>
      <c r="M4458" s="508">
        <v>1.095</v>
      </c>
      <c r="N4458" s="508">
        <v>1.1659999999999999</v>
      </c>
      <c r="O4458" s="508">
        <v>1.165</v>
      </c>
      <c r="P4458" s="508">
        <v>1.165</v>
      </c>
      <c r="Q4458" s="508">
        <v>1.165</v>
      </c>
      <c r="R4458" s="508">
        <v>0.84199999999999997</v>
      </c>
      <c r="S4458" s="508">
        <v>0.84199999999999997</v>
      </c>
      <c r="T4458" s="508">
        <v>0.84199999999999997</v>
      </c>
      <c r="U4458" s="508">
        <v>0.84199999999999997</v>
      </c>
      <c r="V4458" s="508">
        <v>0.84199999999999997</v>
      </c>
      <c r="W4458" s="508">
        <v>0.73</v>
      </c>
      <c r="X4458" s="508">
        <v>0.73</v>
      </c>
      <c r="Y4458" s="508">
        <v>0.73</v>
      </c>
      <c r="Z4458" s="508">
        <v>0.68600000000000005</v>
      </c>
      <c r="AA4458" s="508">
        <v>3.1E-2</v>
      </c>
      <c r="AB4458" s="508">
        <v>2.7E-2</v>
      </c>
      <c r="AC4458" s="508">
        <v>2.7E-2</v>
      </c>
      <c r="AD4458" s="508">
        <v>2.1999999999999999E-2</v>
      </c>
      <c r="AE4458" s="508">
        <v>2.1999999999999999E-2</v>
      </c>
      <c r="AF4458" s="508">
        <v>1.7999999999999999E-2</v>
      </c>
      <c r="AG4458" s="508">
        <v>1.7999999999999999E-2</v>
      </c>
      <c r="AH4458" s="508">
        <v>1.7999999999999999E-2</v>
      </c>
      <c r="AI4458" s="492">
        <v>1.7999999999999999E-2</v>
      </c>
      <c r="AJ4458" s="485"/>
    </row>
    <row r="4459" spans="2:36">
      <c r="B4459" s="136" t="s">
        <v>488</v>
      </c>
      <c r="C4459" s="132" t="s">
        <v>1378</v>
      </c>
      <c r="D4459" s="132" t="s">
        <v>284</v>
      </c>
      <c r="E4459" s="508">
        <v>2.4750000000000001</v>
      </c>
      <c r="F4459" s="508">
        <v>2.4750000000000001</v>
      </c>
      <c r="G4459" s="508">
        <v>2.4750000000000001</v>
      </c>
      <c r="H4459" s="508">
        <v>0.89400000000000002</v>
      </c>
      <c r="I4459" s="508">
        <v>0.89400000000000002</v>
      </c>
      <c r="J4459" s="508">
        <v>0.89400000000000002</v>
      </c>
      <c r="K4459" s="508">
        <v>1.06</v>
      </c>
      <c r="L4459" s="508">
        <v>1.06</v>
      </c>
      <c r="M4459" s="508">
        <v>1.06</v>
      </c>
      <c r="N4459" s="508">
        <v>1.097</v>
      </c>
      <c r="O4459" s="508">
        <v>1.097</v>
      </c>
      <c r="P4459" s="508">
        <v>1.097</v>
      </c>
      <c r="Q4459" s="508">
        <v>1.097</v>
      </c>
      <c r="R4459" s="508">
        <v>0.79700000000000004</v>
      </c>
      <c r="S4459" s="508">
        <v>0.79700000000000004</v>
      </c>
      <c r="T4459" s="508">
        <v>0.79700000000000004</v>
      </c>
      <c r="U4459" s="508">
        <v>0.79700000000000004</v>
      </c>
      <c r="V4459" s="508">
        <v>0.79700000000000004</v>
      </c>
      <c r="W4459" s="508">
        <v>0.69099999999999995</v>
      </c>
      <c r="X4459" s="508">
        <v>0.69099999999999995</v>
      </c>
      <c r="Y4459" s="508">
        <v>0.69099999999999995</v>
      </c>
      <c r="Z4459" s="508">
        <v>0.64900000000000002</v>
      </c>
      <c r="AA4459" s="508">
        <v>0.03</v>
      </c>
      <c r="AB4459" s="508">
        <v>2.5000000000000001E-2</v>
      </c>
      <c r="AC4459" s="508">
        <v>2.5000000000000001E-2</v>
      </c>
      <c r="AD4459" s="508">
        <v>2.1000000000000001E-2</v>
      </c>
      <c r="AE4459" s="508">
        <v>2.1000000000000001E-2</v>
      </c>
      <c r="AF4459" s="508">
        <v>1.7000000000000001E-2</v>
      </c>
      <c r="AG4459" s="508">
        <v>1.7000000000000001E-2</v>
      </c>
      <c r="AH4459" s="508">
        <v>1.7000000000000001E-2</v>
      </c>
      <c r="AI4459" s="492">
        <v>1.7000000000000001E-2</v>
      </c>
      <c r="AJ4459" s="485"/>
    </row>
    <row r="4460" spans="2:36">
      <c r="B4460" s="136" t="s">
        <v>489</v>
      </c>
      <c r="C4460" s="132" t="s">
        <v>1378</v>
      </c>
      <c r="D4460" s="132" t="s">
        <v>284</v>
      </c>
      <c r="E4460" s="508">
        <v>2.4700000000000002</v>
      </c>
      <c r="F4460" s="508">
        <v>2.4700000000000002</v>
      </c>
      <c r="G4460" s="508">
        <v>2.4700000000000002</v>
      </c>
      <c r="H4460" s="508">
        <v>0.90600000000000003</v>
      </c>
      <c r="I4460" s="508">
        <v>0.90600000000000003</v>
      </c>
      <c r="J4460" s="508">
        <v>0.90600000000000003</v>
      </c>
      <c r="K4460" s="508">
        <v>1.0660000000000001</v>
      </c>
      <c r="L4460" s="508">
        <v>1.0660000000000001</v>
      </c>
      <c r="M4460" s="508">
        <v>1.0660000000000001</v>
      </c>
      <c r="N4460" s="508">
        <v>1.1160000000000001</v>
      </c>
      <c r="O4460" s="508">
        <v>1.1160000000000001</v>
      </c>
      <c r="P4460" s="508">
        <v>1.1160000000000001</v>
      </c>
      <c r="Q4460" s="508">
        <v>1.1160000000000001</v>
      </c>
      <c r="R4460" s="508">
        <v>0.81499999999999995</v>
      </c>
      <c r="S4460" s="508">
        <v>0.81499999999999995</v>
      </c>
      <c r="T4460" s="508">
        <v>0.81499999999999995</v>
      </c>
      <c r="U4460" s="508">
        <v>0.81499999999999995</v>
      </c>
      <c r="V4460" s="508">
        <v>0.81499999999999995</v>
      </c>
      <c r="W4460" s="508">
        <v>0.70699999999999996</v>
      </c>
      <c r="X4460" s="508">
        <v>0.70699999999999996</v>
      </c>
      <c r="Y4460" s="508">
        <v>0.70699999999999996</v>
      </c>
      <c r="Z4460" s="508">
        <v>0.66400000000000003</v>
      </c>
      <c r="AA4460" s="508">
        <v>0.03</v>
      </c>
      <c r="AB4460" s="508">
        <v>2.5999999999999999E-2</v>
      </c>
      <c r="AC4460" s="508">
        <v>2.5999999999999999E-2</v>
      </c>
      <c r="AD4460" s="508">
        <v>2.1000000000000001E-2</v>
      </c>
      <c r="AE4460" s="508">
        <v>2.1000000000000001E-2</v>
      </c>
      <c r="AF4460" s="508">
        <v>1.7000000000000001E-2</v>
      </c>
      <c r="AG4460" s="508">
        <v>1.7000000000000001E-2</v>
      </c>
      <c r="AH4460" s="508">
        <v>1.7000000000000001E-2</v>
      </c>
      <c r="AI4460" s="492">
        <v>1.7000000000000001E-2</v>
      </c>
      <c r="AJ4460" s="485"/>
    </row>
    <row r="4461" spans="2:36">
      <c r="B4461" s="136" t="s">
        <v>490</v>
      </c>
      <c r="C4461" s="132" t="s">
        <v>1378</v>
      </c>
      <c r="D4461" s="132" t="s">
        <v>284</v>
      </c>
      <c r="E4461" s="508">
        <v>2.476</v>
      </c>
      <c r="F4461" s="508">
        <v>2.476</v>
      </c>
      <c r="G4461" s="508">
        <v>2.476</v>
      </c>
      <c r="H4461" s="508">
        <v>0.88800000000000001</v>
      </c>
      <c r="I4461" s="508">
        <v>0.88800000000000001</v>
      </c>
      <c r="J4461" s="508">
        <v>0.88800000000000001</v>
      </c>
      <c r="K4461" s="508">
        <v>1.0589999999999999</v>
      </c>
      <c r="L4461" s="508">
        <v>1.0589999999999999</v>
      </c>
      <c r="M4461" s="508">
        <v>1.0589999999999999</v>
      </c>
      <c r="N4461" s="508">
        <v>1.0900000000000001</v>
      </c>
      <c r="O4461" s="508">
        <v>1.0900000000000001</v>
      </c>
      <c r="P4461" s="508">
        <v>1.0900000000000001</v>
      </c>
      <c r="Q4461" s="508">
        <v>1.089</v>
      </c>
      <c r="R4461" s="508">
        <v>0.78400000000000003</v>
      </c>
      <c r="S4461" s="508">
        <v>0.78400000000000003</v>
      </c>
      <c r="T4461" s="508">
        <v>0.78400000000000003</v>
      </c>
      <c r="U4461" s="508">
        <v>0.78400000000000003</v>
      </c>
      <c r="V4461" s="508">
        <v>0.78400000000000003</v>
      </c>
      <c r="W4461" s="508">
        <v>0.68</v>
      </c>
      <c r="X4461" s="508">
        <v>0.68</v>
      </c>
      <c r="Y4461" s="508">
        <v>0.68</v>
      </c>
      <c r="Z4461" s="508">
        <v>0.63900000000000001</v>
      </c>
      <c r="AA4461" s="508">
        <v>2.9000000000000001E-2</v>
      </c>
      <c r="AB4461" s="508">
        <v>2.5000000000000001E-2</v>
      </c>
      <c r="AC4461" s="508">
        <v>2.5000000000000001E-2</v>
      </c>
      <c r="AD4461" s="508">
        <v>2.1000000000000001E-2</v>
      </c>
      <c r="AE4461" s="508">
        <v>2.1000000000000001E-2</v>
      </c>
      <c r="AF4461" s="508">
        <v>1.7000000000000001E-2</v>
      </c>
      <c r="AG4461" s="508">
        <v>1.7000000000000001E-2</v>
      </c>
      <c r="AH4461" s="508">
        <v>1.7000000000000001E-2</v>
      </c>
      <c r="AI4461" s="492">
        <v>1.7000000000000001E-2</v>
      </c>
      <c r="AJ4461" s="485"/>
    </row>
    <row r="4462" spans="2:36">
      <c r="B4462" s="136" t="s">
        <v>435</v>
      </c>
      <c r="C4462" s="132" t="s">
        <v>1362</v>
      </c>
      <c r="D4462" s="132" t="s">
        <v>1379</v>
      </c>
      <c r="E4462" s="508">
        <v>0.14499999999999999</v>
      </c>
      <c r="F4462" s="508">
        <v>0.14499999999999999</v>
      </c>
      <c r="G4462" s="508">
        <v>0.14599999999999999</v>
      </c>
      <c r="H4462" s="508">
        <v>0.14599999999999999</v>
      </c>
      <c r="I4462" s="508">
        <v>0.14399999999999999</v>
      </c>
      <c r="J4462" s="508">
        <v>0.13900000000000001</v>
      </c>
      <c r="K4462" s="508">
        <v>0.14499999999999999</v>
      </c>
      <c r="L4462" s="508">
        <v>0.14499999999999999</v>
      </c>
      <c r="M4462" s="508">
        <v>0.14099999999999999</v>
      </c>
      <c r="N4462" s="508">
        <v>0.14499999999999999</v>
      </c>
      <c r="O4462" s="508">
        <v>0.14399999999999999</v>
      </c>
      <c r="P4462" s="508">
        <v>0.14299999999999999</v>
      </c>
      <c r="Q4462" s="508">
        <v>0.14499999999999999</v>
      </c>
      <c r="R4462" s="508">
        <v>0.14299999999999999</v>
      </c>
      <c r="S4462" s="508">
        <v>0.14599999999999999</v>
      </c>
      <c r="T4462" s="508">
        <v>0.14599999999999999</v>
      </c>
      <c r="U4462" s="508">
        <v>0.14399999999999999</v>
      </c>
      <c r="V4462" s="508">
        <v>0.14399999999999999</v>
      </c>
      <c r="W4462" s="508">
        <v>0.14399999999999999</v>
      </c>
      <c r="X4462" s="508">
        <v>0.14299999999999999</v>
      </c>
      <c r="Y4462" s="508">
        <v>0.14399999999999999</v>
      </c>
      <c r="Z4462" s="508">
        <v>0.14399999999999999</v>
      </c>
      <c r="AA4462" s="508">
        <v>0.14399999999999999</v>
      </c>
      <c r="AB4462" s="508">
        <v>0.14299999999999999</v>
      </c>
      <c r="AC4462" s="508">
        <v>0.14499999999999999</v>
      </c>
      <c r="AD4462" s="508">
        <v>0.14499999999999999</v>
      </c>
      <c r="AE4462" s="508">
        <v>0.14399999999999999</v>
      </c>
      <c r="AF4462" s="508">
        <v>0.14399999999999999</v>
      </c>
      <c r="AG4462" s="508">
        <v>0.14399999999999999</v>
      </c>
      <c r="AH4462" s="508">
        <v>0.14399999999999999</v>
      </c>
      <c r="AI4462" s="492">
        <v>0.14399999999999999</v>
      </c>
      <c r="AJ4462" s="485"/>
    </row>
    <row r="4463" spans="2:36">
      <c r="B4463" s="136" t="s">
        <v>436</v>
      </c>
      <c r="C4463" s="132" t="s">
        <v>1362</v>
      </c>
      <c r="D4463" s="132" t="s">
        <v>1379</v>
      </c>
      <c r="E4463" s="508">
        <v>0.127</v>
      </c>
      <c r="F4463" s="508">
        <v>0.127</v>
      </c>
      <c r="G4463" s="508">
        <v>0.128</v>
      </c>
      <c r="H4463" s="508">
        <v>0.128</v>
      </c>
      <c r="I4463" s="508">
        <v>0.127</v>
      </c>
      <c r="J4463" s="508">
        <v>0.122</v>
      </c>
      <c r="K4463" s="508">
        <v>0.127</v>
      </c>
      <c r="L4463" s="508">
        <v>0.128</v>
      </c>
      <c r="M4463" s="508">
        <v>0.124</v>
      </c>
      <c r="N4463" s="508">
        <v>0.127</v>
      </c>
      <c r="O4463" s="508">
        <v>0.127</v>
      </c>
      <c r="P4463" s="508">
        <v>0.126</v>
      </c>
      <c r="Q4463" s="508">
        <v>0.127</v>
      </c>
      <c r="R4463" s="508">
        <v>0.126</v>
      </c>
      <c r="S4463" s="508">
        <v>0.128</v>
      </c>
      <c r="T4463" s="508">
        <v>0.128</v>
      </c>
      <c r="U4463" s="508">
        <v>0.127</v>
      </c>
      <c r="V4463" s="508">
        <v>0.126</v>
      </c>
      <c r="W4463" s="508">
        <v>0.127</v>
      </c>
      <c r="X4463" s="508">
        <v>0.126</v>
      </c>
      <c r="Y4463" s="508">
        <v>0.126</v>
      </c>
      <c r="Z4463" s="508">
        <v>0.127</v>
      </c>
      <c r="AA4463" s="508">
        <v>0.127</v>
      </c>
      <c r="AB4463" s="508">
        <v>0.126</v>
      </c>
      <c r="AC4463" s="508">
        <v>0.128</v>
      </c>
      <c r="AD4463" s="508">
        <v>0.127</v>
      </c>
      <c r="AE4463" s="508">
        <v>0.127</v>
      </c>
      <c r="AF4463" s="508">
        <v>0.127</v>
      </c>
      <c r="AG4463" s="508">
        <v>0.127</v>
      </c>
      <c r="AH4463" s="508">
        <v>0.127</v>
      </c>
      <c r="AI4463" s="492">
        <v>0.127</v>
      </c>
      <c r="AJ4463" s="485"/>
    </row>
    <row r="4464" spans="2:36">
      <c r="B4464" s="136" t="s">
        <v>437</v>
      </c>
      <c r="C4464" s="132" t="s">
        <v>1362</v>
      </c>
      <c r="D4464" s="132" t="s">
        <v>1379</v>
      </c>
      <c r="E4464" s="508">
        <v>0.14799999999999999</v>
      </c>
      <c r="F4464" s="508">
        <v>0.14699999999999999</v>
      </c>
      <c r="G4464" s="508">
        <v>0.14899999999999999</v>
      </c>
      <c r="H4464" s="508">
        <v>0.14899999999999999</v>
      </c>
      <c r="I4464" s="508">
        <v>0.14699999999999999</v>
      </c>
      <c r="J4464" s="508">
        <v>0.14199999999999999</v>
      </c>
      <c r="K4464" s="508">
        <v>0.14799999999999999</v>
      </c>
      <c r="L4464" s="508">
        <v>0.14799999999999999</v>
      </c>
      <c r="M4464" s="508">
        <v>0.14399999999999999</v>
      </c>
      <c r="N4464" s="508">
        <v>0.14699999999999999</v>
      </c>
      <c r="O4464" s="508">
        <v>0.14699999999999999</v>
      </c>
      <c r="P4464" s="508">
        <v>0.14599999999999999</v>
      </c>
      <c r="Q4464" s="508">
        <v>0.14699999999999999</v>
      </c>
      <c r="R4464" s="508">
        <v>0.14599999999999999</v>
      </c>
      <c r="S4464" s="508">
        <v>0.14799999999999999</v>
      </c>
      <c r="T4464" s="508">
        <v>0.14899999999999999</v>
      </c>
      <c r="U4464" s="508">
        <v>0.14699999999999999</v>
      </c>
      <c r="V4464" s="508">
        <v>0.14599999999999999</v>
      </c>
      <c r="W4464" s="508">
        <v>0.14699999999999999</v>
      </c>
      <c r="X4464" s="508">
        <v>0.14599999999999999</v>
      </c>
      <c r="Y4464" s="508">
        <v>0.14699999999999999</v>
      </c>
      <c r="Z4464" s="508">
        <v>0.14699999999999999</v>
      </c>
      <c r="AA4464" s="508">
        <v>0.14699999999999999</v>
      </c>
      <c r="AB4464" s="508">
        <v>0.14599999999999999</v>
      </c>
      <c r="AC4464" s="508">
        <v>0.14799999999999999</v>
      </c>
      <c r="AD4464" s="508">
        <v>0.14799999999999999</v>
      </c>
      <c r="AE4464" s="508">
        <v>0.14699999999999999</v>
      </c>
      <c r="AF4464" s="508">
        <v>0.14699999999999999</v>
      </c>
      <c r="AG4464" s="508">
        <v>0.14699999999999999</v>
      </c>
      <c r="AH4464" s="508">
        <v>0.14699999999999999</v>
      </c>
      <c r="AI4464" s="492">
        <v>0.14699999999999999</v>
      </c>
      <c r="AJ4464" s="485"/>
    </row>
    <row r="4465" spans="2:36">
      <c r="B4465" s="136" t="s">
        <v>438</v>
      </c>
      <c r="C4465" s="132" t="s">
        <v>1362</v>
      </c>
      <c r="D4465" s="132" t="s">
        <v>1379</v>
      </c>
      <c r="E4465" s="508">
        <v>0.122</v>
      </c>
      <c r="F4465" s="508">
        <v>0.122</v>
      </c>
      <c r="G4465" s="508">
        <v>0.123</v>
      </c>
      <c r="H4465" s="508">
        <v>0.124</v>
      </c>
      <c r="I4465" s="508">
        <v>0.122</v>
      </c>
      <c r="J4465" s="508">
        <v>0.11799999999999999</v>
      </c>
      <c r="K4465" s="508">
        <v>0.122</v>
      </c>
      <c r="L4465" s="508">
        <v>0.123</v>
      </c>
      <c r="M4465" s="508">
        <v>0.11899999999999999</v>
      </c>
      <c r="N4465" s="508">
        <v>0.122</v>
      </c>
      <c r="O4465" s="508">
        <v>0.122</v>
      </c>
      <c r="P4465" s="508">
        <v>0.121</v>
      </c>
      <c r="Q4465" s="508">
        <v>0.122</v>
      </c>
      <c r="R4465" s="508">
        <v>0.121</v>
      </c>
      <c r="S4465" s="508">
        <v>0.123</v>
      </c>
      <c r="T4465" s="508">
        <v>0.123</v>
      </c>
      <c r="U4465" s="508">
        <v>0.122</v>
      </c>
      <c r="V4465" s="508">
        <v>0.121</v>
      </c>
      <c r="W4465" s="508">
        <v>0.122</v>
      </c>
      <c r="X4465" s="508">
        <v>0.121</v>
      </c>
      <c r="Y4465" s="508">
        <v>0.122</v>
      </c>
      <c r="Z4465" s="508">
        <v>0.122</v>
      </c>
      <c r="AA4465" s="508">
        <v>0.122</v>
      </c>
      <c r="AB4465" s="508">
        <v>0.121</v>
      </c>
      <c r="AC4465" s="508">
        <v>0.123</v>
      </c>
      <c r="AD4465" s="508">
        <v>0.122</v>
      </c>
      <c r="AE4465" s="508">
        <v>0.122</v>
      </c>
      <c r="AF4465" s="508">
        <v>0.122</v>
      </c>
      <c r="AG4465" s="508">
        <v>0.122</v>
      </c>
      <c r="AH4465" s="508">
        <v>0.122</v>
      </c>
      <c r="AI4465" s="492">
        <v>0.122</v>
      </c>
      <c r="AJ4465" s="485"/>
    </row>
    <row r="4466" spans="2:36">
      <c r="B4466" s="136" t="s">
        <v>439</v>
      </c>
      <c r="C4466" s="132" t="s">
        <v>1362</v>
      </c>
      <c r="D4466" s="132" t="s">
        <v>1379</v>
      </c>
      <c r="E4466" s="508">
        <v>0.152</v>
      </c>
      <c r="F4466" s="508">
        <v>0.151</v>
      </c>
      <c r="G4466" s="508">
        <v>0.152</v>
      </c>
      <c r="H4466" s="508">
        <v>0.153</v>
      </c>
      <c r="I4466" s="508">
        <v>0.151</v>
      </c>
      <c r="J4466" s="508">
        <v>0.14599999999999999</v>
      </c>
      <c r="K4466" s="508">
        <v>0.152</v>
      </c>
      <c r="L4466" s="508">
        <v>0.152</v>
      </c>
      <c r="M4466" s="508">
        <v>0.14799999999999999</v>
      </c>
      <c r="N4466" s="508">
        <v>0.151</v>
      </c>
      <c r="O4466" s="508">
        <v>0.151</v>
      </c>
      <c r="P4466" s="508">
        <v>0.15</v>
      </c>
      <c r="Q4466" s="508">
        <v>0.151</v>
      </c>
      <c r="R4466" s="508">
        <v>0.15</v>
      </c>
      <c r="S4466" s="508">
        <v>0.152</v>
      </c>
      <c r="T4466" s="508">
        <v>0.153</v>
      </c>
      <c r="U4466" s="508">
        <v>0.151</v>
      </c>
      <c r="V4466" s="508">
        <v>0.15</v>
      </c>
      <c r="W4466" s="508">
        <v>0.151</v>
      </c>
      <c r="X4466" s="508">
        <v>0.15</v>
      </c>
      <c r="Y4466" s="508">
        <v>0.151</v>
      </c>
      <c r="Z4466" s="508">
        <v>0.151</v>
      </c>
      <c r="AA4466" s="508">
        <v>0.151</v>
      </c>
      <c r="AB4466" s="508">
        <v>0.15</v>
      </c>
      <c r="AC4466" s="508">
        <v>0.152</v>
      </c>
      <c r="AD4466" s="508">
        <v>0.152</v>
      </c>
      <c r="AE4466" s="508">
        <v>0.151</v>
      </c>
      <c r="AF4466" s="508">
        <v>0.151</v>
      </c>
      <c r="AG4466" s="508">
        <v>0.151</v>
      </c>
      <c r="AH4466" s="508">
        <v>0.151</v>
      </c>
      <c r="AI4466" s="492">
        <v>0.151</v>
      </c>
      <c r="AJ4466" s="485"/>
    </row>
    <row r="4467" spans="2:36">
      <c r="B4467" s="136" t="s">
        <v>440</v>
      </c>
      <c r="C4467" s="132" t="s">
        <v>1362</v>
      </c>
      <c r="D4467" s="132" t="s">
        <v>1379</v>
      </c>
      <c r="E4467" s="508">
        <v>0.14199999999999999</v>
      </c>
      <c r="F4467" s="508">
        <v>0.14199999999999999</v>
      </c>
      <c r="G4467" s="508">
        <v>0.14299999999999999</v>
      </c>
      <c r="H4467" s="508">
        <v>0.14299999999999999</v>
      </c>
      <c r="I4467" s="508">
        <v>0.14199999999999999</v>
      </c>
      <c r="J4467" s="508">
        <v>0.13700000000000001</v>
      </c>
      <c r="K4467" s="508">
        <v>0.14199999999999999</v>
      </c>
      <c r="L4467" s="508">
        <v>0.14199999999999999</v>
      </c>
      <c r="M4467" s="508">
        <v>0.13900000000000001</v>
      </c>
      <c r="N4467" s="508">
        <v>0.14199999999999999</v>
      </c>
      <c r="O4467" s="508">
        <v>0.14199999999999999</v>
      </c>
      <c r="P4467" s="508">
        <v>0.14000000000000001</v>
      </c>
      <c r="Q4467" s="508">
        <v>0.14199999999999999</v>
      </c>
      <c r="R4467" s="508">
        <v>0.14099999999999999</v>
      </c>
      <c r="S4467" s="508">
        <v>0.14299999999999999</v>
      </c>
      <c r="T4467" s="508">
        <v>0.14299999999999999</v>
      </c>
      <c r="U4467" s="508">
        <v>0.14199999999999999</v>
      </c>
      <c r="V4467" s="508">
        <v>0.14099999999999999</v>
      </c>
      <c r="W4467" s="508">
        <v>0.14199999999999999</v>
      </c>
      <c r="X4467" s="508">
        <v>0.14000000000000001</v>
      </c>
      <c r="Y4467" s="508">
        <v>0.14099999999999999</v>
      </c>
      <c r="Z4467" s="508">
        <v>0.14199999999999999</v>
      </c>
      <c r="AA4467" s="508">
        <v>0.14099999999999999</v>
      </c>
      <c r="AB4467" s="508">
        <v>0.14000000000000001</v>
      </c>
      <c r="AC4467" s="508">
        <v>0.14199999999999999</v>
      </c>
      <c r="AD4467" s="508">
        <v>0.14199999999999999</v>
      </c>
      <c r="AE4467" s="508">
        <v>0.14099999999999999</v>
      </c>
      <c r="AF4467" s="508">
        <v>0.14099999999999999</v>
      </c>
      <c r="AG4467" s="508">
        <v>0.14099999999999999</v>
      </c>
      <c r="AH4467" s="508">
        <v>0.14099999999999999</v>
      </c>
      <c r="AI4467" s="492">
        <v>0.14099999999999999</v>
      </c>
      <c r="AJ4467" s="485"/>
    </row>
    <row r="4468" spans="2:36">
      <c r="B4468" s="136" t="s">
        <v>441</v>
      </c>
      <c r="C4468" s="132" t="s">
        <v>1362</v>
      </c>
      <c r="D4468" s="132" t="s">
        <v>1379</v>
      </c>
      <c r="E4468" s="508">
        <v>0.154</v>
      </c>
      <c r="F4468" s="508">
        <v>0.154</v>
      </c>
      <c r="G4468" s="508">
        <v>0.155</v>
      </c>
      <c r="H4468" s="508">
        <v>0.156</v>
      </c>
      <c r="I4468" s="508">
        <v>0.154</v>
      </c>
      <c r="J4468" s="508">
        <v>0.14799999999999999</v>
      </c>
      <c r="K4468" s="508">
        <v>0.154</v>
      </c>
      <c r="L4468" s="508">
        <v>0.155</v>
      </c>
      <c r="M4468" s="508">
        <v>0.15</v>
      </c>
      <c r="N4468" s="508">
        <v>0.154</v>
      </c>
      <c r="O4468" s="508">
        <v>0.154</v>
      </c>
      <c r="P4468" s="508">
        <v>0.152</v>
      </c>
      <c r="Q4468" s="508">
        <v>0.154</v>
      </c>
      <c r="R4468" s="508">
        <v>0.153</v>
      </c>
      <c r="S4468" s="508">
        <v>0.155</v>
      </c>
      <c r="T4468" s="508">
        <v>0.155</v>
      </c>
      <c r="U4468" s="508">
        <v>0.154</v>
      </c>
      <c r="V4468" s="508">
        <v>0.153</v>
      </c>
      <c r="W4468" s="508">
        <v>0.154</v>
      </c>
      <c r="X4468" s="508">
        <v>0.152</v>
      </c>
      <c r="Y4468" s="508">
        <v>0.153</v>
      </c>
      <c r="Z4468" s="508">
        <v>0.154</v>
      </c>
      <c r="AA4468" s="508">
        <v>0.154</v>
      </c>
      <c r="AB4468" s="508">
        <v>0.153</v>
      </c>
      <c r="AC4468" s="508">
        <v>0.155</v>
      </c>
      <c r="AD4468" s="508">
        <v>0.154</v>
      </c>
      <c r="AE4468" s="508">
        <v>0.154</v>
      </c>
      <c r="AF4468" s="508">
        <v>0.154</v>
      </c>
      <c r="AG4468" s="508">
        <v>0.154</v>
      </c>
      <c r="AH4468" s="508">
        <v>0.154</v>
      </c>
      <c r="AI4468" s="492">
        <v>0.154</v>
      </c>
      <c r="AJ4468" s="485"/>
    </row>
    <row r="4469" spans="2:36">
      <c r="B4469" s="136" t="s">
        <v>443</v>
      </c>
      <c r="C4469" s="132" t="s">
        <v>1362</v>
      </c>
      <c r="D4469" s="132" t="s">
        <v>1379</v>
      </c>
      <c r="E4469" s="508">
        <v>0.17699999999999999</v>
      </c>
      <c r="F4469" s="508">
        <v>0.17599999999999999</v>
      </c>
      <c r="G4469" s="508">
        <v>0.17799999999999999</v>
      </c>
      <c r="H4469" s="508">
        <v>0.17799999999999999</v>
      </c>
      <c r="I4469" s="508">
        <v>0.17599999999999999</v>
      </c>
      <c r="J4469" s="508">
        <v>0.17</v>
      </c>
      <c r="K4469" s="508">
        <v>0.17699999999999999</v>
      </c>
      <c r="L4469" s="508">
        <v>0.17699999999999999</v>
      </c>
      <c r="M4469" s="508">
        <v>0.17199999999999999</v>
      </c>
      <c r="N4469" s="508">
        <v>0.17599999999999999</v>
      </c>
      <c r="O4469" s="508">
        <v>0.17599999999999999</v>
      </c>
      <c r="P4469" s="508">
        <v>0.17499999999999999</v>
      </c>
      <c r="Q4469" s="508">
        <v>0.17599999999999999</v>
      </c>
      <c r="R4469" s="508">
        <v>0.17499999999999999</v>
      </c>
      <c r="S4469" s="508">
        <v>0.17799999999999999</v>
      </c>
      <c r="T4469" s="508">
        <v>0.17799999999999999</v>
      </c>
      <c r="U4469" s="508">
        <v>0.17599999999999999</v>
      </c>
      <c r="V4469" s="508">
        <v>0.17499999999999999</v>
      </c>
      <c r="W4469" s="508">
        <v>0.17599999999999999</v>
      </c>
      <c r="X4469" s="508">
        <v>0.17499999999999999</v>
      </c>
      <c r="Y4469" s="508">
        <v>0.17499999999999999</v>
      </c>
      <c r="Z4469" s="508">
        <v>0.17599999999999999</v>
      </c>
      <c r="AA4469" s="508">
        <v>0.17599999999999999</v>
      </c>
      <c r="AB4469" s="508">
        <v>0.17499999999999999</v>
      </c>
      <c r="AC4469" s="508">
        <v>0.17699999999999999</v>
      </c>
      <c r="AD4469" s="508">
        <v>0.17699999999999999</v>
      </c>
      <c r="AE4469" s="508">
        <v>0.17599999999999999</v>
      </c>
      <c r="AF4469" s="508">
        <v>0.17599999999999999</v>
      </c>
      <c r="AG4469" s="508">
        <v>0.17599999999999999</v>
      </c>
      <c r="AH4469" s="508">
        <v>0.17599999999999999</v>
      </c>
      <c r="AI4469" s="492">
        <v>0.17599999999999999</v>
      </c>
      <c r="AJ4469" s="485"/>
    </row>
    <row r="4470" spans="2:36">
      <c r="B4470" s="136" t="s">
        <v>445</v>
      </c>
      <c r="C4470" s="132" t="s">
        <v>1362</v>
      </c>
      <c r="D4470" s="132" t="s">
        <v>1379</v>
      </c>
      <c r="E4470" s="508">
        <v>0.22600000000000001</v>
      </c>
      <c r="F4470" s="508">
        <v>0.22500000000000001</v>
      </c>
      <c r="G4470" s="508">
        <v>0.22700000000000001</v>
      </c>
      <c r="H4470" s="508">
        <v>0.22800000000000001</v>
      </c>
      <c r="I4470" s="508">
        <v>0.22500000000000001</v>
      </c>
      <c r="J4470" s="508">
        <v>0.217</v>
      </c>
      <c r="K4470" s="508">
        <v>0.22600000000000001</v>
      </c>
      <c r="L4470" s="508">
        <v>0.22600000000000001</v>
      </c>
      <c r="M4470" s="508">
        <v>0.22</v>
      </c>
      <c r="N4470" s="508">
        <v>0.22500000000000001</v>
      </c>
      <c r="O4470" s="508">
        <v>0.22500000000000001</v>
      </c>
      <c r="P4470" s="508">
        <v>0.223</v>
      </c>
      <c r="Q4470" s="508">
        <v>0.22500000000000001</v>
      </c>
      <c r="R4470" s="508">
        <v>0.223</v>
      </c>
      <c r="S4470" s="508">
        <v>0.22700000000000001</v>
      </c>
      <c r="T4470" s="508">
        <v>0.22800000000000001</v>
      </c>
      <c r="U4470" s="508">
        <v>0.22500000000000001</v>
      </c>
      <c r="V4470" s="508">
        <v>0.224</v>
      </c>
      <c r="W4470" s="508">
        <v>0.22500000000000001</v>
      </c>
      <c r="X4470" s="508">
        <v>0.223</v>
      </c>
      <c r="Y4470" s="508">
        <v>0.224</v>
      </c>
      <c r="Z4470" s="508">
        <v>0.22500000000000001</v>
      </c>
      <c r="AA4470" s="508">
        <v>0.22500000000000001</v>
      </c>
      <c r="AB4470" s="508">
        <v>0.223</v>
      </c>
      <c r="AC4470" s="508">
        <v>0.22600000000000001</v>
      </c>
      <c r="AD4470" s="508">
        <v>0.22600000000000001</v>
      </c>
      <c r="AE4470" s="508">
        <v>0.22500000000000001</v>
      </c>
      <c r="AF4470" s="508">
        <v>0.22500000000000001</v>
      </c>
      <c r="AG4470" s="508">
        <v>0.22500000000000001</v>
      </c>
      <c r="AH4470" s="508">
        <v>0.22500000000000001</v>
      </c>
      <c r="AI4470" s="492">
        <v>0.22500000000000001</v>
      </c>
      <c r="AJ4470" s="485"/>
    </row>
    <row r="4471" spans="2:36">
      <c r="B4471" s="136" t="s">
        <v>446</v>
      </c>
      <c r="C4471" s="132" t="s">
        <v>1362</v>
      </c>
      <c r="D4471" s="132" t="s">
        <v>1379</v>
      </c>
      <c r="E4471" s="508">
        <v>0.183</v>
      </c>
      <c r="F4471" s="508">
        <v>0.182</v>
      </c>
      <c r="G4471" s="508">
        <v>0.184</v>
      </c>
      <c r="H4471" s="508">
        <v>0.184</v>
      </c>
      <c r="I4471" s="508">
        <v>0.182</v>
      </c>
      <c r="J4471" s="508">
        <v>0.17499999999999999</v>
      </c>
      <c r="K4471" s="508">
        <v>0.183</v>
      </c>
      <c r="L4471" s="508">
        <v>0.183</v>
      </c>
      <c r="M4471" s="508">
        <v>0.17799999999999999</v>
      </c>
      <c r="N4471" s="508">
        <v>0.182</v>
      </c>
      <c r="O4471" s="508">
        <v>0.182</v>
      </c>
      <c r="P4471" s="508">
        <v>0.18</v>
      </c>
      <c r="Q4471" s="508">
        <v>0.182</v>
      </c>
      <c r="R4471" s="508">
        <v>0.18099999999999999</v>
      </c>
      <c r="S4471" s="508">
        <v>0.184</v>
      </c>
      <c r="T4471" s="508">
        <v>0.184</v>
      </c>
      <c r="U4471" s="508">
        <v>0.182</v>
      </c>
      <c r="V4471" s="508">
        <v>0.18099999999999999</v>
      </c>
      <c r="W4471" s="508">
        <v>0.182</v>
      </c>
      <c r="X4471" s="508">
        <v>0.18</v>
      </c>
      <c r="Y4471" s="508">
        <v>0.18099999999999999</v>
      </c>
      <c r="Z4471" s="508">
        <v>0.182</v>
      </c>
      <c r="AA4471" s="508">
        <v>0.182</v>
      </c>
      <c r="AB4471" s="508">
        <v>0.18</v>
      </c>
      <c r="AC4471" s="508">
        <v>0.183</v>
      </c>
      <c r="AD4471" s="508">
        <v>0.183</v>
      </c>
      <c r="AE4471" s="508">
        <v>0.182</v>
      </c>
      <c r="AF4471" s="508">
        <v>0.182</v>
      </c>
      <c r="AG4471" s="508">
        <v>0.182</v>
      </c>
      <c r="AH4471" s="508">
        <v>0.182</v>
      </c>
      <c r="AI4471" s="492">
        <v>0.182</v>
      </c>
      <c r="AJ4471" s="485"/>
    </row>
    <row r="4472" spans="2:36">
      <c r="B4472" s="136" t="s">
        <v>448</v>
      </c>
      <c r="C4472" s="132" t="s">
        <v>1362</v>
      </c>
      <c r="D4472" s="132" t="s">
        <v>1379</v>
      </c>
      <c r="E4472" s="508">
        <v>0.39</v>
      </c>
      <c r="F4472" s="508">
        <v>0.246</v>
      </c>
      <c r="G4472" s="508">
        <v>4.7E-2</v>
      </c>
      <c r="H4472" s="508">
        <v>6.0999999999999999E-2</v>
      </c>
      <c r="I4472" s="508">
        <v>2.4E-2</v>
      </c>
      <c r="J4472" s="508">
        <v>2.1000000000000001E-2</v>
      </c>
      <c r="K4472" s="508">
        <v>8.9999999999999993E-3</v>
      </c>
      <c r="L4472" s="508">
        <v>1E-3</v>
      </c>
      <c r="M4472" s="508">
        <v>4.0000000000000001E-3</v>
      </c>
      <c r="N4472" s="508">
        <v>3.0000000000000001E-3</v>
      </c>
      <c r="O4472" s="508">
        <v>2E-3</v>
      </c>
      <c r="P4472" s="508">
        <v>1E-3</v>
      </c>
      <c r="Q4472" s="508">
        <v>0</v>
      </c>
      <c r="R4472" s="508">
        <v>1E-3</v>
      </c>
      <c r="S4472" s="508">
        <v>0</v>
      </c>
      <c r="T4472" s="508">
        <v>0</v>
      </c>
      <c r="U4472" s="508">
        <v>0</v>
      </c>
      <c r="V4472" s="508">
        <v>0</v>
      </c>
      <c r="W4472" s="508">
        <v>0</v>
      </c>
      <c r="X4472" s="508">
        <v>0</v>
      </c>
      <c r="Y4472" s="508">
        <v>0</v>
      </c>
      <c r="Z4472" s="508">
        <v>0</v>
      </c>
      <c r="AA4472" s="508">
        <v>0</v>
      </c>
      <c r="AB4472" s="508">
        <v>0</v>
      </c>
      <c r="AC4472" s="508">
        <v>0</v>
      </c>
      <c r="AD4472" s="508">
        <v>0</v>
      </c>
      <c r="AE4472" s="508">
        <v>0</v>
      </c>
      <c r="AF4472" s="508">
        <v>0</v>
      </c>
      <c r="AG4472" s="508">
        <v>0</v>
      </c>
      <c r="AH4472" s="508">
        <v>0</v>
      </c>
      <c r="AI4472" s="492">
        <v>0</v>
      </c>
      <c r="AJ4472" s="485"/>
    </row>
    <row r="4473" spans="2:36">
      <c r="B4473" s="136" t="s">
        <v>449</v>
      </c>
      <c r="C4473" s="132" t="s">
        <v>1362</v>
      </c>
      <c r="D4473" s="132" t="s">
        <v>1379</v>
      </c>
      <c r="E4473" s="508">
        <v>0.17899999999999999</v>
      </c>
      <c r="F4473" s="508">
        <v>0.17899999999999999</v>
      </c>
      <c r="G4473" s="508">
        <v>0.18</v>
      </c>
      <c r="H4473" s="508">
        <v>0.18099999999999999</v>
      </c>
      <c r="I4473" s="508">
        <v>0.17799999999999999</v>
      </c>
      <c r="J4473" s="508">
        <v>0.17199999999999999</v>
      </c>
      <c r="K4473" s="508">
        <v>0.17899999999999999</v>
      </c>
      <c r="L4473" s="508">
        <v>0.17899999999999999</v>
      </c>
      <c r="M4473" s="508">
        <v>0.17399999999999999</v>
      </c>
      <c r="N4473" s="508">
        <v>0.17899999999999999</v>
      </c>
      <c r="O4473" s="508">
        <v>0.17799999999999999</v>
      </c>
      <c r="P4473" s="508">
        <v>0.17699999999999999</v>
      </c>
      <c r="Q4473" s="508">
        <v>0.17899999999999999</v>
      </c>
      <c r="R4473" s="508">
        <v>0.17699999999999999</v>
      </c>
      <c r="S4473" s="508">
        <v>0.18</v>
      </c>
      <c r="T4473" s="508">
        <v>0.18</v>
      </c>
      <c r="U4473" s="508">
        <v>0.17799999999999999</v>
      </c>
      <c r="V4473" s="508">
        <v>0.17699999999999999</v>
      </c>
      <c r="W4473" s="508">
        <v>0.17799999999999999</v>
      </c>
      <c r="X4473" s="508">
        <v>0.17699999999999999</v>
      </c>
      <c r="Y4473" s="508">
        <v>0.17799999999999999</v>
      </c>
      <c r="Z4473" s="508">
        <v>0.17799999999999999</v>
      </c>
      <c r="AA4473" s="508">
        <v>0.17799999999999999</v>
      </c>
      <c r="AB4473" s="508">
        <v>0.17699999999999999</v>
      </c>
      <c r="AC4473" s="508">
        <v>0.17899999999999999</v>
      </c>
      <c r="AD4473" s="508">
        <v>0.17899999999999999</v>
      </c>
      <c r="AE4473" s="508">
        <v>0.17799999999999999</v>
      </c>
      <c r="AF4473" s="508">
        <v>0.17799999999999999</v>
      </c>
      <c r="AG4473" s="508">
        <v>0.17799999999999999</v>
      </c>
      <c r="AH4473" s="508">
        <v>0.17799999999999999</v>
      </c>
      <c r="AI4473" s="492">
        <v>0.17799999999999999</v>
      </c>
      <c r="AJ4473" s="485"/>
    </row>
    <row r="4474" spans="2:36">
      <c r="B4474" s="136" t="s">
        <v>450</v>
      </c>
      <c r="C4474" s="132" t="s">
        <v>1362</v>
      </c>
      <c r="D4474" s="132" t="s">
        <v>1379</v>
      </c>
      <c r="E4474" s="508">
        <v>0.13100000000000001</v>
      </c>
      <c r="F4474" s="508">
        <v>0.13100000000000001</v>
      </c>
      <c r="G4474" s="508">
        <v>0.13200000000000001</v>
      </c>
      <c r="H4474" s="508">
        <v>0.13200000000000001</v>
      </c>
      <c r="I4474" s="508">
        <v>0.13100000000000001</v>
      </c>
      <c r="J4474" s="508">
        <v>0.127</v>
      </c>
      <c r="K4474" s="508">
        <v>0.13100000000000001</v>
      </c>
      <c r="L4474" s="508">
        <v>0.13100000000000001</v>
      </c>
      <c r="M4474" s="508">
        <v>0.128</v>
      </c>
      <c r="N4474" s="508">
        <v>0.13100000000000001</v>
      </c>
      <c r="O4474" s="508">
        <v>0.13100000000000001</v>
      </c>
      <c r="P4474" s="508">
        <v>0.13</v>
      </c>
      <c r="Q4474" s="508">
        <v>0.13100000000000001</v>
      </c>
      <c r="R4474" s="508">
        <v>0.13</v>
      </c>
      <c r="S4474" s="508">
        <v>0.13200000000000001</v>
      </c>
      <c r="T4474" s="508">
        <v>0.13200000000000001</v>
      </c>
      <c r="U4474" s="508">
        <v>0.13100000000000001</v>
      </c>
      <c r="V4474" s="508">
        <v>0.13100000000000001</v>
      </c>
      <c r="W4474" s="508">
        <v>0.13100000000000001</v>
      </c>
      <c r="X4474" s="508">
        <v>0.13</v>
      </c>
      <c r="Y4474" s="508">
        <v>0.13100000000000001</v>
      </c>
      <c r="Z4474" s="508">
        <v>0.13100000000000001</v>
      </c>
      <c r="AA4474" s="508">
        <v>0.13100000000000001</v>
      </c>
      <c r="AB4474" s="508">
        <v>0.13</v>
      </c>
      <c r="AC4474" s="508">
        <v>0.13100000000000001</v>
      </c>
      <c r="AD4474" s="508">
        <v>0.13100000000000001</v>
      </c>
      <c r="AE4474" s="508">
        <v>0.13100000000000001</v>
      </c>
      <c r="AF4474" s="508">
        <v>0.13100000000000001</v>
      </c>
      <c r="AG4474" s="508">
        <v>0.13100000000000001</v>
      </c>
      <c r="AH4474" s="508">
        <v>0.13100000000000001</v>
      </c>
      <c r="AI4474" s="492">
        <v>0.13100000000000001</v>
      </c>
      <c r="AJ4474" s="485"/>
    </row>
    <row r="4475" spans="2:36">
      <c r="B4475" s="136" t="s">
        <v>451</v>
      </c>
      <c r="C4475" s="132" t="s">
        <v>1362</v>
      </c>
      <c r="D4475" s="132" t="s">
        <v>1379</v>
      </c>
      <c r="E4475" s="508">
        <v>0.19400000000000001</v>
      </c>
      <c r="F4475" s="508">
        <v>0.193</v>
      </c>
      <c r="G4475" s="508">
        <v>0.19500000000000001</v>
      </c>
      <c r="H4475" s="508">
        <v>0.19500000000000001</v>
      </c>
      <c r="I4475" s="508">
        <v>0.193</v>
      </c>
      <c r="J4475" s="508">
        <v>0.186</v>
      </c>
      <c r="K4475" s="508">
        <v>0.19400000000000001</v>
      </c>
      <c r="L4475" s="508">
        <v>0.19400000000000001</v>
      </c>
      <c r="M4475" s="508">
        <v>0.189</v>
      </c>
      <c r="N4475" s="508">
        <v>0.193</v>
      </c>
      <c r="O4475" s="508">
        <v>0.193</v>
      </c>
      <c r="P4475" s="508">
        <v>0.191</v>
      </c>
      <c r="Q4475" s="508">
        <v>0.193</v>
      </c>
      <c r="R4475" s="508">
        <v>0.192</v>
      </c>
      <c r="S4475" s="508">
        <v>0.19500000000000001</v>
      </c>
      <c r="T4475" s="508">
        <v>0.19500000000000001</v>
      </c>
      <c r="U4475" s="508">
        <v>0.193</v>
      </c>
      <c r="V4475" s="508">
        <v>0.192</v>
      </c>
      <c r="W4475" s="508">
        <v>0.193</v>
      </c>
      <c r="X4475" s="508">
        <v>0.191</v>
      </c>
      <c r="Y4475" s="508">
        <v>0.192</v>
      </c>
      <c r="Z4475" s="508">
        <v>0.193</v>
      </c>
      <c r="AA4475" s="508">
        <v>0.193</v>
      </c>
      <c r="AB4475" s="508">
        <v>0.191</v>
      </c>
      <c r="AC4475" s="508">
        <v>0.19400000000000001</v>
      </c>
      <c r="AD4475" s="508">
        <v>0.19400000000000001</v>
      </c>
      <c r="AE4475" s="508">
        <v>0.193</v>
      </c>
      <c r="AF4475" s="508">
        <v>0.193</v>
      </c>
      <c r="AG4475" s="508">
        <v>0.193</v>
      </c>
      <c r="AH4475" s="508">
        <v>0.193</v>
      </c>
      <c r="AI4475" s="492">
        <v>0.193</v>
      </c>
      <c r="AJ4475" s="485"/>
    </row>
    <row r="4476" spans="2:36">
      <c r="B4476" s="136" t="s">
        <v>452</v>
      </c>
      <c r="C4476" s="132" t="s">
        <v>1362</v>
      </c>
      <c r="D4476" s="132" t="s">
        <v>1379</v>
      </c>
      <c r="E4476" s="508">
        <v>0.153</v>
      </c>
      <c r="F4476" s="508">
        <v>0.153</v>
      </c>
      <c r="G4476" s="508">
        <v>0.154</v>
      </c>
      <c r="H4476" s="508">
        <v>0.154</v>
      </c>
      <c r="I4476" s="508">
        <v>0.152</v>
      </c>
      <c r="J4476" s="508">
        <v>0.14699999999999999</v>
      </c>
      <c r="K4476" s="508">
        <v>0.153</v>
      </c>
      <c r="L4476" s="508">
        <v>0.153</v>
      </c>
      <c r="M4476" s="508">
        <v>0.14899999999999999</v>
      </c>
      <c r="N4476" s="508">
        <v>0.153</v>
      </c>
      <c r="O4476" s="508">
        <v>0.152</v>
      </c>
      <c r="P4476" s="508">
        <v>0.151</v>
      </c>
      <c r="Q4476" s="508">
        <v>0.153</v>
      </c>
      <c r="R4476" s="508">
        <v>0.151</v>
      </c>
      <c r="S4476" s="508">
        <v>0.154</v>
      </c>
      <c r="T4476" s="508">
        <v>0.154</v>
      </c>
      <c r="U4476" s="508">
        <v>0.152</v>
      </c>
      <c r="V4476" s="508">
        <v>0.151</v>
      </c>
      <c r="W4476" s="508">
        <v>0.152</v>
      </c>
      <c r="X4476" s="508">
        <v>0.151</v>
      </c>
      <c r="Y4476" s="508">
        <v>0.152</v>
      </c>
      <c r="Z4476" s="508">
        <v>0.152</v>
      </c>
      <c r="AA4476" s="508">
        <v>0.152</v>
      </c>
      <c r="AB4476" s="508">
        <v>0.151</v>
      </c>
      <c r="AC4476" s="508">
        <v>0.153</v>
      </c>
      <c r="AD4476" s="508">
        <v>0.153</v>
      </c>
      <c r="AE4476" s="508">
        <v>0.152</v>
      </c>
      <c r="AF4476" s="508">
        <v>0.152</v>
      </c>
      <c r="AG4476" s="508">
        <v>0.152</v>
      </c>
      <c r="AH4476" s="508">
        <v>0.152</v>
      </c>
      <c r="AI4476" s="492">
        <v>0.152</v>
      </c>
      <c r="AJ4476" s="485"/>
    </row>
    <row r="4477" spans="2:36">
      <c r="B4477" s="136" t="s">
        <v>453</v>
      </c>
      <c r="C4477" s="132" t="s">
        <v>1362</v>
      </c>
      <c r="D4477" s="132" t="s">
        <v>1379</v>
      </c>
      <c r="E4477" s="508">
        <v>0.125</v>
      </c>
      <c r="F4477" s="508">
        <v>0.125</v>
      </c>
      <c r="G4477" s="508">
        <v>0.126</v>
      </c>
      <c r="H4477" s="508">
        <v>0.126</v>
      </c>
      <c r="I4477" s="508">
        <v>0.125</v>
      </c>
      <c r="J4477" s="508">
        <v>0.12</v>
      </c>
      <c r="K4477" s="508">
        <v>0.125</v>
      </c>
      <c r="L4477" s="508">
        <v>0.125</v>
      </c>
      <c r="M4477" s="508">
        <v>0.122</v>
      </c>
      <c r="N4477" s="508">
        <v>0.125</v>
      </c>
      <c r="O4477" s="508">
        <v>0.125</v>
      </c>
      <c r="P4477" s="508">
        <v>0.124</v>
      </c>
      <c r="Q4477" s="508">
        <v>0.125</v>
      </c>
      <c r="R4477" s="508">
        <v>0.124</v>
      </c>
      <c r="S4477" s="508">
        <v>0.126</v>
      </c>
      <c r="T4477" s="508">
        <v>0.126</v>
      </c>
      <c r="U4477" s="508">
        <v>0.125</v>
      </c>
      <c r="V4477" s="508">
        <v>0.124</v>
      </c>
      <c r="W4477" s="508">
        <v>0.125</v>
      </c>
      <c r="X4477" s="508">
        <v>0.124</v>
      </c>
      <c r="Y4477" s="508">
        <v>0.124</v>
      </c>
      <c r="Z4477" s="508">
        <v>0.125</v>
      </c>
      <c r="AA4477" s="508">
        <v>0.124</v>
      </c>
      <c r="AB4477" s="508">
        <v>0.124</v>
      </c>
      <c r="AC4477" s="508">
        <v>0.125</v>
      </c>
      <c r="AD4477" s="508">
        <v>0.125</v>
      </c>
      <c r="AE4477" s="508">
        <v>0.124</v>
      </c>
      <c r="AF4477" s="508">
        <v>0.124</v>
      </c>
      <c r="AG4477" s="508">
        <v>0.124</v>
      </c>
      <c r="AH4477" s="508">
        <v>0.124</v>
      </c>
      <c r="AI4477" s="492">
        <v>0.124</v>
      </c>
      <c r="AJ4477" s="485"/>
    </row>
    <row r="4478" spans="2:36">
      <c r="B4478" s="136" t="s">
        <v>454</v>
      </c>
      <c r="C4478" s="132" t="s">
        <v>1362</v>
      </c>
      <c r="D4478" s="132" t="s">
        <v>1379</v>
      </c>
      <c r="E4478" s="508">
        <v>0.13200000000000001</v>
      </c>
      <c r="F4478" s="508">
        <v>0.13200000000000001</v>
      </c>
      <c r="G4478" s="508">
        <v>0.13300000000000001</v>
      </c>
      <c r="H4478" s="508">
        <v>0.13400000000000001</v>
      </c>
      <c r="I4478" s="508">
        <v>0.13200000000000001</v>
      </c>
      <c r="J4478" s="508">
        <v>0.127</v>
      </c>
      <c r="K4478" s="508">
        <v>0.13300000000000001</v>
      </c>
      <c r="L4478" s="508">
        <v>0.13300000000000001</v>
      </c>
      <c r="M4478" s="508">
        <v>0.129</v>
      </c>
      <c r="N4478" s="508">
        <v>0.13200000000000001</v>
      </c>
      <c r="O4478" s="508">
        <v>0.13200000000000001</v>
      </c>
      <c r="P4478" s="508">
        <v>0.13100000000000001</v>
      </c>
      <c r="Q4478" s="508">
        <v>0.13200000000000001</v>
      </c>
      <c r="R4478" s="508">
        <v>0.13100000000000001</v>
      </c>
      <c r="S4478" s="508">
        <v>0.13300000000000001</v>
      </c>
      <c r="T4478" s="508">
        <v>0.13300000000000001</v>
      </c>
      <c r="U4478" s="508">
        <v>0.13200000000000001</v>
      </c>
      <c r="V4478" s="508">
        <v>0.13100000000000001</v>
      </c>
      <c r="W4478" s="508">
        <v>0.13200000000000001</v>
      </c>
      <c r="X4478" s="508">
        <v>0.13100000000000001</v>
      </c>
      <c r="Y4478" s="508">
        <v>0.13200000000000001</v>
      </c>
      <c r="Z4478" s="508">
        <v>0.13200000000000001</v>
      </c>
      <c r="AA4478" s="508">
        <v>0.13200000000000001</v>
      </c>
      <c r="AB4478" s="508">
        <v>0.13100000000000001</v>
      </c>
      <c r="AC4478" s="508">
        <v>0.13300000000000001</v>
      </c>
      <c r="AD4478" s="508">
        <v>0.13200000000000001</v>
      </c>
      <c r="AE4478" s="508">
        <v>0.13200000000000001</v>
      </c>
      <c r="AF4478" s="508">
        <v>0.13200000000000001</v>
      </c>
      <c r="AG4478" s="508">
        <v>0.13200000000000001</v>
      </c>
      <c r="AH4478" s="508">
        <v>0.13200000000000001</v>
      </c>
      <c r="AI4478" s="492">
        <v>0.13200000000000001</v>
      </c>
      <c r="AJ4478" s="485"/>
    </row>
    <row r="4479" spans="2:36">
      <c r="B4479" s="136" t="s">
        <v>455</v>
      </c>
      <c r="C4479" s="132" t="s">
        <v>1362</v>
      </c>
      <c r="D4479" s="132" t="s">
        <v>1379</v>
      </c>
      <c r="E4479" s="508">
        <v>0.11700000000000001</v>
      </c>
      <c r="F4479" s="508">
        <v>0.11700000000000001</v>
      </c>
      <c r="G4479" s="508">
        <v>0.11799999999999999</v>
      </c>
      <c r="H4479" s="508">
        <v>0.11799999999999999</v>
      </c>
      <c r="I4479" s="508">
        <v>0.11700000000000001</v>
      </c>
      <c r="J4479" s="508">
        <v>0.113</v>
      </c>
      <c r="K4479" s="508">
        <v>0.11700000000000001</v>
      </c>
      <c r="L4479" s="508">
        <v>0.11799999999999999</v>
      </c>
      <c r="M4479" s="508">
        <v>0.114</v>
      </c>
      <c r="N4479" s="508">
        <v>0.11700000000000001</v>
      </c>
      <c r="O4479" s="508">
        <v>0.11700000000000001</v>
      </c>
      <c r="P4479" s="508">
        <v>0.11600000000000001</v>
      </c>
      <c r="Q4479" s="508">
        <v>0.11700000000000001</v>
      </c>
      <c r="R4479" s="508">
        <v>0.11600000000000001</v>
      </c>
      <c r="S4479" s="508">
        <v>0.11799999999999999</v>
      </c>
      <c r="T4479" s="508">
        <v>0.11799999999999999</v>
      </c>
      <c r="U4479" s="508">
        <v>0.11700000000000001</v>
      </c>
      <c r="V4479" s="508">
        <v>0.11600000000000001</v>
      </c>
      <c r="W4479" s="508">
        <v>0.11700000000000001</v>
      </c>
      <c r="X4479" s="508">
        <v>0.11600000000000001</v>
      </c>
      <c r="Y4479" s="508">
        <v>0.11700000000000001</v>
      </c>
      <c r="Z4479" s="508">
        <v>0.11700000000000001</v>
      </c>
      <c r="AA4479" s="508">
        <v>0.11700000000000001</v>
      </c>
      <c r="AB4479" s="508">
        <v>0.11600000000000001</v>
      </c>
      <c r="AC4479" s="508">
        <v>0.11799999999999999</v>
      </c>
      <c r="AD4479" s="508">
        <v>0.11700000000000001</v>
      </c>
      <c r="AE4479" s="508">
        <v>0.11700000000000001</v>
      </c>
      <c r="AF4479" s="508">
        <v>0.11700000000000001</v>
      </c>
      <c r="AG4479" s="508">
        <v>0.11700000000000001</v>
      </c>
      <c r="AH4479" s="508">
        <v>0.11700000000000001</v>
      </c>
      <c r="AI4479" s="492">
        <v>0.11700000000000001</v>
      </c>
      <c r="AJ4479" s="485"/>
    </row>
    <row r="4480" spans="2:36">
      <c r="B4480" s="136" t="s">
        <v>456</v>
      </c>
      <c r="C4480" s="132" t="s">
        <v>1362</v>
      </c>
      <c r="D4480" s="132" t="s">
        <v>1379</v>
      </c>
      <c r="E4480" s="508">
        <v>0.13800000000000001</v>
      </c>
      <c r="F4480" s="508">
        <v>0.13800000000000001</v>
      </c>
      <c r="G4480" s="508">
        <v>0.13900000000000001</v>
      </c>
      <c r="H4480" s="508">
        <v>0.13900000000000001</v>
      </c>
      <c r="I4480" s="508">
        <v>0.13800000000000001</v>
      </c>
      <c r="J4480" s="508">
        <v>0.13300000000000001</v>
      </c>
      <c r="K4480" s="508">
        <v>0.13800000000000001</v>
      </c>
      <c r="L4480" s="508">
        <v>0.13800000000000001</v>
      </c>
      <c r="M4480" s="508">
        <v>0.13500000000000001</v>
      </c>
      <c r="N4480" s="508">
        <v>0.13800000000000001</v>
      </c>
      <c r="O4480" s="508">
        <v>0.13800000000000001</v>
      </c>
      <c r="P4480" s="508">
        <v>0.13700000000000001</v>
      </c>
      <c r="Q4480" s="508">
        <v>0.13800000000000001</v>
      </c>
      <c r="R4480" s="508">
        <v>0.13700000000000001</v>
      </c>
      <c r="S4480" s="508">
        <v>0.13900000000000001</v>
      </c>
      <c r="T4480" s="508">
        <v>0.13900000000000001</v>
      </c>
      <c r="U4480" s="508">
        <v>0.13800000000000001</v>
      </c>
      <c r="V4480" s="508">
        <v>0.13700000000000001</v>
      </c>
      <c r="W4480" s="508">
        <v>0.13800000000000001</v>
      </c>
      <c r="X4480" s="508">
        <v>0.13600000000000001</v>
      </c>
      <c r="Y4480" s="508">
        <v>0.13700000000000001</v>
      </c>
      <c r="Z4480" s="508">
        <v>0.13800000000000001</v>
      </c>
      <c r="AA4480" s="508">
        <v>0.13700000000000001</v>
      </c>
      <c r="AB4480" s="508">
        <v>0.13700000000000001</v>
      </c>
      <c r="AC4480" s="508">
        <v>0.13800000000000001</v>
      </c>
      <c r="AD4480" s="508">
        <v>0.13800000000000001</v>
      </c>
      <c r="AE4480" s="508">
        <v>0.13700000000000001</v>
      </c>
      <c r="AF4480" s="508">
        <v>0.13700000000000001</v>
      </c>
      <c r="AG4480" s="508">
        <v>0.13700000000000001</v>
      </c>
      <c r="AH4480" s="508">
        <v>0.13700000000000001</v>
      </c>
      <c r="AI4480" s="492">
        <v>0.13700000000000001</v>
      </c>
      <c r="AJ4480" s="485"/>
    </row>
    <row r="4481" spans="2:36">
      <c r="B4481" s="136" t="s">
        <v>457</v>
      </c>
      <c r="C4481" s="132" t="s">
        <v>1362</v>
      </c>
      <c r="D4481" s="132" t="s">
        <v>1379</v>
      </c>
      <c r="E4481" s="508">
        <v>0.114</v>
      </c>
      <c r="F4481" s="508">
        <v>0.114</v>
      </c>
      <c r="G4481" s="508">
        <v>0.114</v>
      </c>
      <c r="H4481" s="508">
        <v>0.115</v>
      </c>
      <c r="I4481" s="508">
        <v>0.113</v>
      </c>
      <c r="J4481" s="508">
        <v>0.109</v>
      </c>
      <c r="K4481" s="508">
        <v>0.114</v>
      </c>
      <c r="L4481" s="508">
        <v>0.114</v>
      </c>
      <c r="M4481" s="508">
        <v>0.111</v>
      </c>
      <c r="N4481" s="508">
        <v>0.114</v>
      </c>
      <c r="O4481" s="508">
        <v>0.113</v>
      </c>
      <c r="P4481" s="508">
        <v>0.113</v>
      </c>
      <c r="Q4481" s="508">
        <v>0.114</v>
      </c>
      <c r="R4481" s="508">
        <v>0.113</v>
      </c>
      <c r="S4481" s="508">
        <v>0.114</v>
      </c>
      <c r="T4481" s="508">
        <v>0.115</v>
      </c>
      <c r="U4481" s="508">
        <v>0.114</v>
      </c>
      <c r="V4481" s="508">
        <v>0.113</v>
      </c>
      <c r="W4481" s="508">
        <v>0.114</v>
      </c>
      <c r="X4481" s="508">
        <v>0.113</v>
      </c>
      <c r="Y4481" s="508">
        <v>0.113</v>
      </c>
      <c r="Z4481" s="508">
        <v>0.113</v>
      </c>
      <c r="AA4481" s="508">
        <v>0.113</v>
      </c>
      <c r="AB4481" s="508">
        <v>0.113</v>
      </c>
      <c r="AC4481" s="508">
        <v>0.114</v>
      </c>
      <c r="AD4481" s="508">
        <v>0.114</v>
      </c>
      <c r="AE4481" s="508">
        <v>0.113</v>
      </c>
      <c r="AF4481" s="508">
        <v>0.113</v>
      </c>
      <c r="AG4481" s="508">
        <v>0.113</v>
      </c>
      <c r="AH4481" s="508">
        <v>0.113</v>
      </c>
      <c r="AI4481" s="492">
        <v>0.113</v>
      </c>
      <c r="AJ4481" s="485"/>
    </row>
    <row r="4482" spans="2:36">
      <c r="B4482" s="136" t="s">
        <v>458</v>
      </c>
      <c r="C4482" s="132" t="s">
        <v>1362</v>
      </c>
      <c r="D4482" s="132" t="s">
        <v>1379</v>
      </c>
      <c r="E4482" s="508">
        <v>0.14499999999999999</v>
      </c>
      <c r="F4482" s="508">
        <v>0.14499999999999999</v>
      </c>
      <c r="G4482" s="508">
        <v>0.14599999999999999</v>
      </c>
      <c r="H4482" s="508">
        <v>0.14699999999999999</v>
      </c>
      <c r="I4482" s="508">
        <v>0.14499999999999999</v>
      </c>
      <c r="J4482" s="508">
        <v>0.14000000000000001</v>
      </c>
      <c r="K4482" s="508">
        <v>0.14499999999999999</v>
      </c>
      <c r="L4482" s="508">
        <v>0.14599999999999999</v>
      </c>
      <c r="M4482" s="508">
        <v>0.14199999999999999</v>
      </c>
      <c r="N4482" s="508">
        <v>0.14499999999999999</v>
      </c>
      <c r="O4482" s="508">
        <v>0.14499999999999999</v>
      </c>
      <c r="P4482" s="508">
        <v>0.14399999999999999</v>
      </c>
      <c r="Q4482" s="508">
        <v>0.14499999999999999</v>
      </c>
      <c r="R4482" s="508">
        <v>0.14399999999999999</v>
      </c>
      <c r="S4482" s="508">
        <v>0.14599999999999999</v>
      </c>
      <c r="T4482" s="508">
        <v>0.14599999999999999</v>
      </c>
      <c r="U4482" s="508">
        <v>0.14499999999999999</v>
      </c>
      <c r="V4482" s="508">
        <v>0.14399999999999999</v>
      </c>
      <c r="W4482" s="508">
        <v>0.14499999999999999</v>
      </c>
      <c r="X4482" s="508">
        <v>0.14399999999999999</v>
      </c>
      <c r="Y4482" s="508">
        <v>0.14399999999999999</v>
      </c>
      <c r="Z4482" s="508">
        <v>0.14499999999999999</v>
      </c>
      <c r="AA4482" s="508">
        <v>0.14499999999999999</v>
      </c>
      <c r="AB4482" s="508">
        <v>0.14399999999999999</v>
      </c>
      <c r="AC4482" s="508">
        <v>0.14599999999999999</v>
      </c>
      <c r="AD4482" s="508">
        <v>0.14499999999999999</v>
      </c>
      <c r="AE4482" s="508">
        <v>0.14499999999999999</v>
      </c>
      <c r="AF4482" s="508">
        <v>0.14499999999999999</v>
      </c>
      <c r="AG4482" s="508">
        <v>0.14499999999999999</v>
      </c>
      <c r="AH4482" s="508">
        <v>0.14499999999999999</v>
      </c>
      <c r="AI4482" s="492">
        <v>0.14499999999999999</v>
      </c>
      <c r="AJ4482" s="485"/>
    </row>
    <row r="4483" spans="2:36">
      <c r="B4483" s="136" t="s">
        <v>459</v>
      </c>
      <c r="C4483" s="132" t="s">
        <v>1362</v>
      </c>
      <c r="D4483" s="132" t="s">
        <v>1379</v>
      </c>
      <c r="E4483" s="508">
        <v>0.14499999999999999</v>
      </c>
      <c r="F4483" s="508">
        <v>0.14399999999999999</v>
      </c>
      <c r="G4483" s="508">
        <v>0.14599999999999999</v>
      </c>
      <c r="H4483" s="508">
        <v>0.14599999999999999</v>
      </c>
      <c r="I4483" s="508">
        <v>0.14399999999999999</v>
      </c>
      <c r="J4483" s="508">
        <v>0.13900000000000001</v>
      </c>
      <c r="K4483" s="508">
        <v>0.14499999999999999</v>
      </c>
      <c r="L4483" s="508">
        <v>0.14499999999999999</v>
      </c>
      <c r="M4483" s="508">
        <v>0.14099999999999999</v>
      </c>
      <c r="N4483" s="508">
        <v>0.14399999999999999</v>
      </c>
      <c r="O4483" s="508">
        <v>0.14399999999999999</v>
      </c>
      <c r="P4483" s="508">
        <v>0.14299999999999999</v>
      </c>
      <c r="Q4483" s="508">
        <v>0.14399999999999999</v>
      </c>
      <c r="R4483" s="508">
        <v>0.14299999999999999</v>
      </c>
      <c r="S4483" s="508">
        <v>0.14599999999999999</v>
      </c>
      <c r="T4483" s="508">
        <v>0.14599999999999999</v>
      </c>
      <c r="U4483" s="508">
        <v>0.14399999999999999</v>
      </c>
      <c r="V4483" s="508">
        <v>0.14299999999999999</v>
      </c>
      <c r="W4483" s="508">
        <v>0.14399999999999999</v>
      </c>
      <c r="X4483" s="508">
        <v>0.14299999999999999</v>
      </c>
      <c r="Y4483" s="508">
        <v>0.14399999999999999</v>
      </c>
      <c r="Z4483" s="508">
        <v>0.14399999999999999</v>
      </c>
      <c r="AA4483" s="508">
        <v>0.14399999999999999</v>
      </c>
      <c r="AB4483" s="508">
        <v>0.14299999999999999</v>
      </c>
      <c r="AC4483" s="508">
        <v>0.14499999999999999</v>
      </c>
      <c r="AD4483" s="508">
        <v>0.14499999999999999</v>
      </c>
      <c r="AE4483" s="508">
        <v>0.14399999999999999</v>
      </c>
      <c r="AF4483" s="508">
        <v>0.14399999999999999</v>
      </c>
      <c r="AG4483" s="508">
        <v>0.14399999999999999</v>
      </c>
      <c r="AH4483" s="508">
        <v>0.14399999999999999</v>
      </c>
      <c r="AI4483" s="492">
        <v>0.14399999999999999</v>
      </c>
      <c r="AJ4483" s="485"/>
    </row>
    <row r="4484" spans="2:36">
      <c r="B4484" s="136" t="s">
        <v>460</v>
      </c>
      <c r="C4484" s="132" t="s">
        <v>1362</v>
      </c>
      <c r="D4484" s="132" t="s">
        <v>1379</v>
      </c>
      <c r="E4484" s="508">
        <v>0.14499999999999999</v>
      </c>
      <c r="F4484" s="508">
        <v>0.14499999999999999</v>
      </c>
      <c r="G4484" s="508">
        <v>0.14599999999999999</v>
      </c>
      <c r="H4484" s="508">
        <v>0.14599999999999999</v>
      </c>
      <c r="I4484" s="508">
        <v>0.14399999999999999</v>
      </c>
      <c r="J4484" s="508">
        <v>0.13900000000000001</v>
      </c>
      <c r="K4484" s="508">
        <v>0.14499999999999999</v>
      </c>
      <c r="L4484" s="508">
        <v>0.14499999999999999</v>
      </c>
      <c r="M4484" s="508">
        <v>0.14099999999999999</v>
      </c>
      <c r="N4484" s="508">
        <v>0.14499999999999999</v>
      </c>
      <c r="O4484" s="508">
        <v>0.14399999999999999</v>
      </c>
      <c r="P4484" s="508">
        <v>0.14299999999999999</v>
      </c>
      <c r="Q4484" s="508">
        <v>0.14499999999999999</v>
      </c>
      <c r="R4484" s="508">
        <v>0.14299999999999999</v>
      </c>
      <c r="S4484" s="508">
        <v>0.14599999999999999</v>
      </c>
      <c r="T4484" s="508">
        <v>0.14599999999999999</v>
      </c>
      <c r="U4484" s="508">
        <v>0.14399999999999999</v>
      </c>
      <c r="V4484" s="508">
        <v>0.14399999999999999</v>
      </c>
      <c r="W4484" s="508">
        <v>0.14399999999999999</v>
      </c>
      <c r="X4484" s="508">
        <v>0.14299999999999999</v>
      </c>
      <c r="Y4484" s="508">
        <v>0.14399999999999999</v>
      </c>
      <c r="Z4484" s="508">
        <v>0.14399999999999999</v>
      </c>
      <c r="AA4484" s="508">
        <v>0.14399999999999999</v>
      </c>
      <c r="AB4484" s="508">
        <v>0.14299999999999999</v>
      </c>
      <c r="AC4484" s="508">
        <v>0.14499999999999999</v>
      </c>
      <c r="AD4484" s="508">
        <v>0.14499999999999999</v>
      </c>
      <c r="AE4484" s="508">
        <v>0.14399999999999999</v>
      </c>
      <c r="AF4484" s="508">
        <v>0.14399999999999999</v>
      </c>
      <c r="AG4484" s="508">
        <v>0.14399999999999999</v>
      </c>
      <c r="AH4484" s="508">
        <v>0.14399999999999999</v>
      </c>
      <c r="AI4484" s="492">
        <v>0.14399999999999999</v>
      </c>
      <c r="AJ4484" s="485"/>
    </row>
    <row r="4485" spans="2:36">
      <c r="B4485" s="136" t="s">
        <v>461</v>
      </c>
      <c r="C4485" s="132" t="s">
        <v>1362</v>
      </c>
      <c r="D4485" s="132" t="s">
        <v>1379</v>
      </c>
      <c r="E4485" s="508">
        <v>0.14099999999999999</v>
      </c>
      <c r="F4485" s="508">
        <v>0.14000000000000001</v>
      </c>
      <c r="G4485" s="508">
        <v>0.14099999999999999</v>
      </c>
      <c r="H4485" s="508">
        <v>0.14199999999999999</v>
      </c>
      <c r="I4485" s="508">
        <v>0.14000000000000001</v>
      </c>
      <c r="J4485" s="508">
        <v>0.13500000000000001</v>
      </c>
      <c r="K4485" s="508">
        <v>0.14099999999999999</v>
      </c>
      <c r="L4485" s="508">
        <v>0.14099999999999999</v>
      </c>
      <c r="M4485" s="508">
        <v>0.13700000000000001</v>
      </c>
      <c r="N4485" s="508">
        <v>0.14000000000000001</v>
      </c>
      <c r="O4485" s="508">
        <v>0.14000000000000001</v>
      </c>
      <c r="P4485" s="508">
        <v>0.13900000000000001</v>
      </c>
      <c r="Q4485" s="508">
        <v>0.14000000000000001</v>
      </c>
      <c r="R4485" s="508">
        <v>0.13900000000000001</v>
      </c>
      <c r="S4485" s="508">
        <v>0.14099999999999999</v>
      </c>
      <c r="T4485" s="508">
        <v>0.14199999999999999</v>
      </c>
      <c r="U4485" s="508">
        <v>0.14000000000000001</v>
      </c>
      <c r="V4485" s="508">
        <v>0.13900000000000001</v>
      </c>
      <c r="W4485" s="508">
        <v>0.14000000000000001</v>
      </c>
      <c r="X4485" s="508">
        <v>0.13900000000000001</v>
      </c>
      <c r="Y4485" s="508">
        <v>0.14000000000000001</v>
      </c>
      <c r="Z4485" s="508">
        <v>0.14000000000000001</v>
      </c>
      <c r="AA4485" s="508">
        <v>0.14000000000000001</v>
      </c>
      <c r="AB4485" s="508">
        <v>0.13900000000000001</v>
      </c>
      <c r="AC4485" s="508">
        <v>0.14099999999999999</v>
      </c>
      <c r="AD4485" s="508">
        <v>0.14099999999999999</v>
      </c>
      <c r="AE4485" s="508">
        <v>0.14000000000000001</v>
      </c>
      <c r="AF4485" s="508">
        <v>0.14000000000000001</v>
      </c>
      <c r="AG4485" s="508">
        <v>0.14000000000000001</v>
      </c>
      <c r="AH4485" s="508">
        <v>0.14000000000000001</v>
      </c>
      <c r="AI4485" s="492">
        <v>0.14000000000000001</v>
      </c>
      <c r="AJ4485" s="485"/>
    </row>
    <row r="4486" spans="2:36">
      <c r="B4486" s="136" t="s">
        <v>462</v>
      </c>
      <c r="C4486" s="132" t="s">
        <v>1362</v>
      </c>
      <c r="D4486" s="132" t="s">
        <v>1379</v>
      </c>
      <c r="E4486" s="508">
        <v>0.13400000000000001</v>
      </c>
      <c r="F4486" s="508">
        <v>0.13300000000000001</v>
      </c>
      <c r="G4486" s="508">
        <v>0.13500000000000001</v>
      </c>
      <c r="H4486" s="508">
        <v>0.13500000000000001</v>
      </c>
      <c r="I4486" s="508">
        <v>0.13300000000000001</v>
      </c>
      <c r="J4486" s="508">
        <v>0.129</v>
      </c>
      <c r="K4486" s="508">
        <v>0.13400000000000001</v>
      </c>
      <c r="L4486" s="508">
        <v>0.13400000000000001</v>
      </c>
      <c r="M4486" s="508">
        <v>0.13</v>
      </c>
      <c r="N4486" s="508">
        <v>0.13300000000000001</v>
      </c>
      <c r="O4486" s="508">
        <v>0.13300000000000001</v>
      </c>
      <c r="P4486" s="508">
        <v>0.13200000000000001</v>
      </c>
      <c r="Q4486" s="508">
        <v>0.13300000000000001</v>
      </c>
      <c r="R4486" s="508">
        <v>0.13200000000000001</v>
      </c>
      <c r="S4486" s="508">
        <v>0.13400000000000001</v>
      </c>
      <c r="T4486" s="508">
        <v>0.13500000000000001</v>
      </c>
      <c r="U4486" s="508">
        <v>0.13300000000000001</v>
      </c>
      <c r="V4486" s="508">
        <v>0.13200000000000001</v>
      </c>
      <c r="W4486" s="508">
        <v>0.13300000000000001</v>
      </c>
      <c r="X4486" s="508">
        <v>0.13200000000000001</v>
      </c>
      <c r="Y4486" s="508">
        <v>0.13300000000000001</v>
      </c>
      <c r="Z4486" s="508">
        <v>0.13300000000000001</v>
      </c>
      <c r="AA4486" s="508">
        <v>0.13300000000000001</v>
      </c>
      <c r="AB4486" s="508">
        <v>0.13200000000000001</v>
      </c>
      <c r="AC4486" s="508">
        <v>0.13400000000000001</v>
      </c>
      <c r="AD4486" s="508">
        <v>0.13400000000000001</v>
      </c>
      <c r="AE4486" s="508">
        <v>0.13300000000000001</v>
      </c>
      <c r="AF4486" s="508">
        <v>0.13300000000000001</v>
      </c>
      <c r="AG4486" s="508">
        <v>0.13300000000000001</v>
      </c>
      <c r="AH4486" s="508">
        <v>0.13300000000000001</v>
      </c>
      <c r="AI4486" s="492">
        <v>0.13300000000000001</v>
      </c>
      <c r="AJ4486" s="485"/>
    </row>
    <row r="4487" spans="2:36">
      <c r="B4487" s="136" t="s">
        <v>463</v>
      </c>
      <c r="C4487" s="132" t="s">
        <v>1362</v>
      </c>
      <c r="D4487" s="132" t="s">
        <v>1379</v>
      </c>
      <c r="E4487" s="508">
        <v>0.11899999999999999</v>
      </c>
      <c r="F4487" s="508">
        <v>0.11799999999999999</v>
      </c>
      <c r="G4487" s="508">
        <v>0.11899999999999999</v>
      </c>
      <c r="H4487" s="508">
        <v>0.12</v>
      </c>
      <c r="I4487" s="508">
        <v>0.11799999999999999</v>
      </c>
      <c r="J4487" s="508">
        <v>0.114</v>
      </c>
      <c r="K4487" s="508">
        <v>0.11899999999999999</v>
      </c>
      <c r="L4487" s="508">
        <v>0.11899999999999999</v>
      </c>
      <c r="M4487" s="508">
        <v>0.11600000000000001</v>
      </c>
      <c r="N4487" s="508">
        <v>0.11799999999999999</v>
      </c>
      <c r="O4487" s="508">
        <v>0.11799999999999999</v>
      </c>
      <c r="P4487" s="508">
        <v>0.11700000000000001</v>
      </c>
      <c r="Q4487" s="508">
        <v>0.11799999999999999</v>
      </c>
      <c r="R4487" s="508">
        <v>0.11700000000000001</v>
      </c>
      <c r="S4487" s="508">
        <v>0.11899999999999999</v>
      </c>
      <c r="T4487" s="508">
        <v>0.12</v>
      </c>
      <c r="U4487" s="508">
        <v>0.11799999999999999</v>
      </c>
      <c r="V4487" s="508">
        <v>0.11799999999999999</v>
      </c>
      <c r="W4487" s="508">
        <v>0.11799999999999999</v>
      </c>
      <c r="X4487" s="508">
        <v>0.11700000000000001</v>
      </c>
      <c r="Y4487" s="508">
        <v>0.11799999999999999</v>
      </c>
      <c r="Z4487" s="508">
        <v>0.11799999999999999</v>
      </c>
      <c r="AA4487" s="508">
        <v>0.11799999999999999</v>
      </c>
      <c r="AB4487" s="508">
        <v>0.11700000000000001</v>
      </c>
      <c r="AC4487" s="508">
        <v>0.11899999999999999</v>
      </c>
      <c r="AD4487" s="508">
        <v>0.11899999999999999</v>
      </c>
      <c r="AE4487" s="508">
        <v>0.11799999999999999</v>
      </c>
      <c r="AF4487" s="508">
        <v>0.11799999999999999</v>
      </c>
      <c r="AG4487" s="508">
        <v>0.11799999999999999</v>
      </c>
      <c r="AH4487" s="508">
        <v>0.11799999999999999</v>
      </c>
      <c r="AI4487" s="492">
        <v>0.11799999999999999</v>
      </c>
      <c r="AJ4487" s="485"/>
    </row>
    <row r="4488" spans="2:36">
      <c r="B4488" s="136" t="s">
        <v>464</v>
      </c>
      <c r="C4488" s="132" t="s">
        <v>1362</v>
      </c>
      <c r="D4488" s="132" t="s">
        <v>1379</v>
      </c>
      <c r="E4488" s="508">
        <v>0.111</v>
      </c>
      <c r="F4488" s="508">
        <v>0.111</v>
      </c>
      <c r="G4488" s="508">
        <v>0.112</v>
      </c>
      <c r="H4488" s="508">
        <v>0.112</v>
      </c>
      <c r="I4488" s="508">
        <v>0.111</v>
      </c>
      <c r="J4488" s="508">
        <v>0.107</v>
      </c>
      <c r="K4488" s="508">
        <v>0.111</v>
      </c>
      <c r="L4488" s="508">
        <v>0.112</v>
      </c>
      <c r="M4488" s="508">
        <v>0.109</v>
      </c>
      <c r="N4488" s="508">
        <v>0.111</v>
      </c>
      <c r="O4488" s="508">
        <v>0.111</v>
      </c>
      <c r="P4488" s="508">
        <v>0.11</v>
      </c>
      <c r="Q4488" s="508">
        <v>0.111</v>
      </c>
      <c r="R4488" s="508">
        <v>0.11</v>
      </c>
      <c r="S4488" s="508">
        <v>0.112</v>
      </c>
      <c r="T4488" s="508">
        <v>0.112</v>
      </c>
      <c r="U4488" s="508">
        <v>0.111</v>
      </c>
      <c r="V4488" s="508">
        <v>0.11</v>
      </c>
      <c r="W4488" s="508">
        <v>0.111</v>
      </c>
      <c r="X4488" s="508">
        <v>0.11</v>
      </c>
      <c r="Y4488" s="508">
        <v>0.111</v>
      </c>
      <c r="Z4488" s="508">
        <v>0.111</v>
      </c>
      <c r="AA4488" s="508">
        <v>0.111</v>
      </c>
      <c r="AB4488" s="508">
        <v>0.11</v>
      </c>
      <c r="AC4488" s="508">
        <v>0.112</v>
      </c>
      <c r="AD4488" s="508">
        <v>0.111</v>
      </c>
      <c r="AE4488" s="508">
        <v>0.111</v>
      </c>
      <c r="AF4488" s="508">
        <v>0.111</v>
      </c>
      <c r="AG4488" s="508">
        <v>0.111</v>
      </c>
      <c r="AH4488" s="508">
        <v>0.111</v>
      </c>
      <c r="AI4488" s="492">
        <v>0.111</v>
      </c>
      <c r="AJ4488" s="485"/>
    </row>
    <row r="4489" spans="2:36">
      <c r="B4489" s="136" t="s">
        <v>465</v>
      </c>
      <c r="C4489" s="132" t="s">
        <v>1362</v>
      </c>
      <c r="D4489" s="132" t="s">
        <v>1379</v>
      </c>
      <c r="E4489" s="508">
        <v>0.11799999999999999</v>
      </c>
      <c r="F4489" s="508">
        <v>0.11799999999999999</v>
      </c>
      <c r="G4489" s="508">
        <v>0.11899999999999999</v>
      </c>
      <c r="H4489" s="508">
        <v>0.12</v>
      </c>
      <c r="I4489" s="508">
        <v>0.11799999999999999</v>
      </c>
      <c r="J4489" s="508">
        <v>0.114</v>
      </c>
      <c r="K4489" s="508">
        <v>0.11899999999999999</v>
      </c>
      <c r="L4489" s="508">
        <v>0.11899999999999999</v>
      </c>
      <c r="M4489" s="508">
        <v>0.115</v>
      </c>
      <c r="N4489" s="508">
        <v>0.11799999999999999</v>
      </c>
      <c r="O4489" s="508">
        <v>0.11799999999999999</v>
      </c>
      <c r="P4489" s="508">
        <v>0.11700000000000001</v>
      </c>
      <c r="Q4489" s="508">
        <v>0.11799999999999999</v>
      </c>
      <c r="R4489" s="508">
        <v>0.11700000000000001</v>
      </c>
      <c r="S4489" s="508">
        <v>0.11899999999999999</v>
      </c>
      <c r="T4489" s="508">
        <v>0.11899999999999999</v>
      </c>
      <c r="U4489" s="508">
        <v>0.11799999999999999</v>
      </c>
      <c r="V4489" s="508">
        <v>0.11700000000000001</v>
      </c>
      <c r="W4489" s="508">
        <v>0.11799999999999999</v>
      </c>
      <c r="X4489" s="508">
        <v>0.11700000000000001</v>
      </c>
      <c r="Y4489" s="508">
        <v>0.11799999999999999</v>
      </c>
      <c r="Z4489" s="508">
        <v>0.11799999999999999</v>
      </c>
      <c r="AA4489" s="508">
        <v>0.11799999999999999</v>
      </c>
      <c r="AB4489" s="508">
        <v>0.11700000000000001</v>
      </c>
      <c r="AC4489" s="508">
        <v>0.11899999999999999</v>
      </c>
      <c r="AD4489" s="508">
        <v>0.11799999999999999</v>
      </c>
      <c r="AE4489" s="508">
        <v>0.11799999999999999</v>
      </c>
      <c r="AF4489" s="508">
        <v>0.11799999999999999</v>
      </c>
      <c r="AG4489" s="508">
        <v>0.11799999999999999</v>
      </c>
      <c r="AH4489" s="508">
        <v>0.11799999999999999</v>
      </c>
      <c r="AI4489" s="492">
        <v>0.11799999999999999</v>
      </c>
      <c r="AJ4489" s="485"/>
    </row>
    <row r="4490" spans="2:36">
      <c r="B4490" s="136" t="s">
        <v>466</v>
      </c>
      <c r="C4490" s="132" t="s">
        <v>1362</v>
      </c>
      <c r="D4490" s="132" t="s">
        <v>1379</v>
      </c>
      <c r="E4490" s="508">
        <v>0.16400000000000001</v>
      </c>
      <c r="F4490" s="508">
        <v>0.16400000000000001</v>
      </c>
      <c r="G4490" s="508">
        <v>0.16500000000000001</v>
      </c>
      <c r="H4490" s="508">
        <v>0.16600000000000001</v>
      </c>
      <c r="I4490" s="508">
        <v>0.16300000000000001</v>
      </c>
      <c r="J4490" s="508">
        <v>0.158</v>
      </c>
      <c r="K4490" s="508">
        <v>0.16400000000000001</v>
      </c>
      <c r="L4490" s="508">
        <v>0.16400000000000001</v>
      </c>
      <c r="M4490" s="508">
        <v>0.16</v>
      </c>
      <c r="N4490" s="508">
        <v>0.16400000000000001</v>
      </c>
      <c r="O4490" s="508">
        <v>0.16300000000000001</v>
      </c>
      <c r="P4490" s="508">
        <v>0.16200000000000001</v>
      </c>
      <c r="Q4490" s="508">
        <v>0.16400000000000001</v>
      </c>
      <c r="R4490" s="508">
        <v>0.16200000000000001</v>
      </c>
      <c r="S4490" s="508">
        <v>0.16500000000000001</v>
      </c>
      <c r="T4490" s="508">
        <v>0.16500000000000001</v>
      </c>
      <c r="U4490" s="508">
        <v>0.16300000000000001</v>
      </c>
      <c r="V4490" s="508">
        <v>0.16200000000000001</v>
      </c>
      <c r="W4490" s="508">
        <v>0.16400000000000001</v>
      </c>
      <c r="X4490" s="508">
        <v>0.16200000000000001</v>
      </c>
      <c r="Y4490" s="508">
        <v>0.16300000000000001</v>
      </c>
      <c r="Z4490" s="508">
        <v>0.16300000000000001</v>
      </c>
      <c r="AA4490" s="508">
        <v>0.16300000000000001</v>
      </c>
      <c r="AB4490" s="508">
        <v>0.16200000000000001</v>
      </c>
      <c r="AC4490" s="508">
        <v>0.16400000000000001</v>
      </c>
      <c r="AD4490" s="508">
        <v>0.16400000000000001</v>
      </c>
      <c r="AE4490" s="508">
        <v>0.16300000000000001</v>
      </c>
      <c r="AF4490" s="508">
        <v>0.16300000000000001</v>
      </c>
      <c r="AG4490" s="508">
        <v>0.16300000000000001</v>
      </c>
      <c r="AH4490" s="508">
        <v>0.16300000000000001</v>
      </c>
      <c r="AI4490" s="492">
        <v>0.16300000000000001</v>
      </c>
      <c r="AJ4490" s="485"/>
    </row>
    <row r="4491" spans="2:36">
      <c r="B4491" s="136" t="s">
        <v>467</v>
      </c>
      <c r="C4491" s="132" t="s">
        <v>1362</v>
      </c>
      <c r="D4491" s="132" t="s">
        <v>1379</v>
      </c>
      <c r="E4491" s="508">
        <v>0.13700000000000001</v>
      </c>
      <c r="F4491" s="508">
        <v>0.13700000000000001</v>
      </c>
      <c r="G4491" s="508">
        <v>0.13800000000000001</v>
      </c>
      <c r="H4491" s="508">
        <v>0.13800000000000001</v>
      </c>
      <c r="I4491" s="508">
        <v>0.13600000000000001</v>
      </c>
      <c r="J4491" s="508">
        <v>0.13200000000000001</v>
      </c>
      <c r="K4491" s="508">
        <v>0.13700000000000001</v>
      </c>
      <c r="L4491" s="508">
        <v>0.13700000000000001</v>
      </c>
      <c r="M4491" s="508">
        <v>0.13400000000000001</v>
      </c>
      <c r="N4491" s="508">
        <v>0.13700000000000001</v>
      </c>
      <c r="O4491" s="508">
        <v>0.13600000000000001</v>
      </c>
      <c r="P4491" s="508">
        <v>0.13500000000000001</v>
      </c>
      <c r="Q4491" s="508">
        <v>0.13700000000000001</v>
      </c>
      <c r="R4491" s="508">
        <v>0.13600000000000001</v>
      </c>
      <c r="S4491" s="508">
        <v>0.13800000000000001</v>
      </c>
      <c r="T4491" s="508">
        <v>0.13800000000000001</v>
      </c>
      <c r="U4491" s="508">
        <v>0.13700000000000001</v>
      </c>
      <c r="V4491" s="508">
        <v>0.13600000000000001</v>
      </c>
      <c r="W4491" s="508">
        <v>0.13700000000000001</v>
      </c>
      <c r="X4491" s="508">
        <v>0.13500000000000001</v>
      </c>
      <c r="Y4491" s="508">
        <v>0.13600000000000001</v>
      </c>
      <c r="Z4491" s="508">
        <v>0.13600000000000001</v>
      </c>
      <c r="AA4491" s="508">
        <v>0.13600000000000001</v>
      </c>
      <c r="AB4491" s="508">
        <v>0.13500000000000001</v>
      </c>
      <c r="AC4491" s="508">
        <v>0.13700000000000001</v>
      </c>
      <c r="AD4491" s="508">
        <v>0.13700000000000001</v>
      </c>
      <c r="AE4491" s="508">
        <v>0.13600000000000001</v>
      </c>
      <c r="AF4491" s="508">
        <v>0.13600000000000001</v>
      </c>
      <c r="AG4491" s="508">
        <v>0.13600000000000001</v>
      </c>
      <c r="AH4491" s="508">
        <v>0.13600000000000001</v>
      </c>
      <c r="AI4491" s="492">
        <v>0.13600000000000001</v>
      </c>
      <c r="AJ4491" s="485"/>
    </row>
    <row r="4492" spans="2:36">
      <c r="B4492" s="136" t="s">
        <v>468</v>
      </c>
      <c r="C4492" s="132" t="s">
        <v>1362</v>
      </c>
      <c r="D4492" s="132" t="s">
        <v>1379</v>
      </c>
      <c r="E4492" s="508">
        <v>0.106</v>
      </c>
      <c r="F4492" s="508">
        <v>0.106</v>
      </c>
      <c r="G4492" s="508">
        <v>0.107</v>
      </c>
      <c r="H4492" s="508">
        <v>0.107</v>
      </c>
      <c r="I4492" s="508">
        <v>0.106</v>
      </c>
      <c r="J4492" s="508">
        <v>0.10199999999999999</v>
      </c>
      <c r="K4492" s="508">
        <v>0.106</v>
      </c>
      <c r="L4492" s="508">
        <v>0.107</v>
      </c>
      <c r="M4492" s="508">
        <v>0.104</v>
      </c>
      <c r="N4492" s="508">
        <v>0.106</v>
      </c>
      <c r="O4492" s="508">
        <v>0.106</v>
      </c>
      <c r="P4492" s="508">
        <v>0.105</v>
      </c>
      <c r="Q4492" s="508">
        <v>0.106</v>
      </c>
      <c r="R4492" s="508">
        <v>0.105</v>
      </c>
      <c r="S4492" s="508">
        <v>0.107</v>
      </c>
      <c r="T4492" s="508">
        <v>0.107</v>
      </c>
      <c r="U4492" s="508">
        <v>0.106</v>
      </c>
      <c r="V4492" s="508">
        <v>0.105</v>
      </c>
      <c r="W4492" s="508">
        <v>0.106</v>
      </c>
      <c r="X4492" s="508">
        <v>0.105</v>
      </c>
      <c r="Y4492" s="508">
        <v>0.106</v>
      </c>
      <c r="Z4492" s="508">
        <v>0.106</v>
      </c>
      <c r="AA4492" s="508">
        <v>0.106</v>
      </c>
      <c r="AB4492" s="508">
        <v>0.105</v>
      </c>
      <c r="AC4492" s="508">
        <v>0.107</v>
      </c>
      <c r="AD4492" s="508">
        <v>0.106</v>
      </c>
      <c r="AE4492" s="508">
        <v>0.106</v>
      </c>
      <c r="AF4492" s="508">
        <v>0.106</v>
      </c>
      <c r="AG4492" s="508">
        <v>0.106</v>
      </c>
      <c r="AH4492" s="508">
        <v>0.106</v>
      </c>
      <c r="AI4492" s="492">
        <v>0.106</v>
      </c>
      <c r="AJ4492" s="485"/>
    </row>
    <row r="4493" spans="2:36">
      <c r="B4493" s="136" t="s">
        <v>469</v>
      </c>
      <c r="C4493" s="132" t="s">
        <v>1362</v>
      </c>
      <c r="D4493" s="132" t="s">
        <v>1379</v>
      </c>
      <c r="E4493" s="508">
        <v>0.124</v>
      </c>
      <c r="F4493" s="508">
        <v>0.124</v>
      </c>
      <c r="G4493" s="508">
        <v>0.125</v>
      </c>
      <c r="H4493" s="508">
        <v>0.125</v>
      </c>
      <c r="I4493" s="508">
        <v>0.123</v>
      </c>
      <c r="J4493" s="508">
        <v>0.11899999999999999</v>
      </c>
      <c r="K4493" s="508">
        <v>0.124</v>
      </c>
      <c r="L4493" s="508">
        <v>0.124</v>
      </c>
      <c r="M4493" s="508">
        <v>0.121</v>
      </c>
      <c r="N4493" s="508">
        <v>0.124</v>
      </c>
      <c r="O4493" s="508">
        <v>0.123</v>
      </c>
      <c r="P4493" s="508">
        <v>0.122</v>
      </c>
      <c r="Q4493" s="508">
        <v>0.124</v>
      </c>
      <c r="R4493" s="508">
        <v>0.123</v>
      </c>
      <c r="S4493" s="508">
        <v>0.124</v>
      </c>
      <c r="T4493" s="508">
        <v>0.125</v>
      </c>
      <c r="U4493" s="508">
        <v>0.123</v>
      </c>
      <c r="V4493" s="508">
        <v>0.123</v>
      </c>
      <c r="W4493" s="508">
        <v>0.123</v>
      </c>
      <c r="X4493" s="508">
        <v>0.122</v>
      </c>
      <c r="Y4493" s="508">
        <v>0.123</v>
      </c>
      <c r="Z4493" s="508">
        <v>0.123</v>
      </c>
      <c r="AA4493" s="508">
        <v>0.123</v>
      </c>
      <c r="AB4493" s="508">
        <v>0.122</v>
      </c>
      <c r="AC4493" s="508">
        <v>0.124</v>
      </c>
      <c r="AD4493" s="508">
        <v>0.124</v>
      </c>
      <c r="AE4493" s="508">
        <v>0.123</v>
      </c>
      <c r="AF4493" s="508">
        <v>0.123</v>
      </c>
      <c r="AG4493" s="508">
        <v>0.123</v>
      </c>
      <c r="AH4493" s="508">
        <v>0.123</v>
      </c>
      <c r="AI4493" s="492">
        <v>0.123</v>
      </c>
      <c r="AJ4493" s="485"/>
    </row>
    <row r="4494" spans="2:36">
      <c r="B4494" s="136" t="s">
        <v>470</v>
      </c>
      <c r="C4494" s="132" t="s">
        <v>1362</v>
      </c>
      <c r="D4494" s="132" t="s">
        <v>1379</v>
      </c>
      <c r="E4494" s="508">
        <v>0.157</v>
      </c>
      <c r="F4494" s="508">
        <v>0.156</v>
      </c>
      <c r="G4494" s="508">
        <v>0.158</v>
      </c>
      <c r="H4494" s="508">
        <v>0.158</v>
      </c>
      <c r="I4494" s="508">
        <v>0.156</v>
      </c>
      <c r="J4494" s="508">
        <v>0.151</v>
      </c>
      <c r="K4494" s="508">
        <v>0.157</v>
      </c>
      <c r="L4494" s="508">
        <v>0.157</v>
      </c>
      <c r="M4494" s="508">
        <v>0.153</v>
      </c>
      <c r="N4494" s="508">
        <v>0.156</v>
      </c>
      <c r="O4494" s="508">
        <v>0.156</v>
      </c>
      <c r="P4494" s="508">
        <v>0.155</v>
      </c>
      <c r="Q4494" s="508">
        <v>0.156</v>
      </c>
      <c r="R4494" s="508">
        <v>0.155</v>
      </c>
      <c r="S4494" s="508">
        <v>0.158</v>
      </c>
      <c r="T4494" s="508">
        <v>0.158</v>
      </c>
      <c r="U4494" s="508">
        <v>0.156</v>
      </c>
      <c r="V4494" s="508">
        <v>0.155</v>
      </c>
      <c r="W4494" s="508">
        <v>0.156</v>
      </c>
      <c r="X4494" s="508">
        <v>0.155</v>
      </c>
      <c r="Y4494" s="508">
        <v>0.156</v>
      </c>
      <c r="Z4494" s="508">
        <v>0.156</v>
      </c>
      <c r="AA4494" s="508">
        <v>0.156</v>
      </c>
      <c r="AB4494" s="508">
        <v>0.155</v>
      </c>
      <c r="AC4494" s="508">
        <v>0.157</v>
      </c>
      <c r="AD4494" s="508">
        <v>0.157</v>
      </c>
      <c r="AE4494" s="508">
        <v>0.156</v>
      </c>
      <c r="AF4494" s="508">
        <v>0.156</v>
      </c>
      <c r="AG4494" s="508">
        <v>0.156</v>
      </c>
      <c r="AH4494" s="508">
        <v>0.156</v>
      </c>
      <c r="AI4494" s="492">
        <v>0.156</v>
      </c>
      <c r="AJ4494" s="485"/>
    </row>
    <row r="4495" spans="2:36">
      <c r="B4495" s="136" t="s">
        <v>471</v>
      </c>
      <c r="C4495" s="132" t="s">
        <v>1362</v>
      </c>
      <c r="D4495" s="132" t="s">
        <v>1379</v>
      </c>
      <c r="E4495" s="508">
        <v>0.14899999999999999</v>
      </c>
      <c r="F4495" s="508">
        <v>0.14799999999999999</v>
      </c>
      <c r="G4495" s="508">
        <v>0.15</v>
      </c>
      <c r="H4495" s="508">
        <v>0.15</v>
      </c>
      <c r="I4495" s="508">
        <v>0.14799999999999999</v>
      </c>
      <c r="J4495" s="508">
        <v>0.14299999999999999</v>
      </c>
      <c r="K4495" s="508">
        <v>0.14899999999999999</v>
      </c>
      <c r="L4495" s="508">
        <v>0.14899999999999999</v>
      </c>
      <c r="M4495" s="508">
        <v>0.14499999999999999</v>
      </c>
      <c r="N4495" s="508">
        <v>0.14799999999999999</v>
      </c>
      <c r="O4495" s="508">
        <v>0.14799999999999999</v>
      </c>
      <c r="P4495" s="508">
        <v>0.14699999999999999</v>
      </c>
      <c r="Q4495" s="508">
        <v>0.14799999999999999</v>
      </c>
      <c r="R4495" s="508">
        <v>0.14699999999999999</v>
      </c>
      <c r="S4495" s="508">
        <v>0.14899999999999999</v>
      </c>
      <c r="T4495" s="508">
        <v>0.15</v>
      </c>
      <c r="U4495" s="508">
        <v>0.14799999999999999</v>
      </c>
      <c r="V4495" s="508">
        <v>0.14699999999999999</v>
      </c>
      <c r="W4495" s="508">
        <v>0.14799999999999999</v>
      </c>
      <c r="X4495" s="508">
        <v>0.14699999999999999</v>
      </c>
      <c r="Y4495" s="508">
        <v>0.14799999999999999</v>
      </c>
      <c r="Z4495" s="508">
        <v>0.14799999999999999</v>
      </c>
      <c r="AA4495" s="508">
        <v>0.14799999999999999</v>
      </c>
      <c r="AB4495" s="508">
        <v>0.14699999999999999</v>
      </c>
      <c r="AC4495" s="508">
        <v>0.14899999999999999</v>
      </c>
      <c r="AD4495" s="508">
        <v>0.14899999999999999</v>
      </c>
      <c r="AE4495" s="508">
        <v>0.14799999999999999</v>
      </c>
      <c r="AF4495" s="508">
        <v>0.14799999999999999</v>
      </c>
      <c r="AG4495" s="508">
        <v>0.14799999999999999</v>
      </c>
      <c r="AH4495" s="508">
        <v>0.14799999999999999</v>
      </c>
      <c r="AI4495" s="492">
        <v>0.14799999999999999</v>
      </c>
      <c r="AJ4495" s="485"/>
    </row>
    <row r="4496" spans="2:36">
      <c r="B4496" s="136" t="s">
        <v>472</v>
      </c>
      <c r="C4496" s="132" t="s">
        <v>1362</v>
      </c>
      <c r="D4496" s="132" t="s">
        <v>1379</v>
      </c>
      <c r="E4496" s="508">
        <v>0.114</v>
      </c>
      <c r="F4496" s="508">
        <v>0.114</v>
      </c>
      <c r="G4496" s="508">
        <v>0.115</v>
      </c>
      <c r="H4496" s="508">
        <v>0.115</v>
      </c>
      <c r="I4496" s="508">
        <v>0.114</v>
      </c>
      <c r="J4496" s="508">
        <v>0.11</v>
      </c>
      <c r="K4496" s="508">
        <v>0.114</v>
      </c>
      <c r="L4496" s="508">
        <v>0.114</v>
      </c>
      <c r="M4496" s="508">
        <v>0.111</v>
      </c>
      <c r="N4496" s="508">
        <v>0.114</v>
      </c>
      <c r="O4496" s="508">
        <v>0.114</v>
      </c>
      <c r="P4496" s="508">
        <v>0.113</v>
      </c>
      <c r="Q4496" s="508">
        <v>0.114</v>
      </c>
      <c r="R4496" s="508">
        <v>0.113</v>
      </c>
      <c r="S4496" s="508">
        <v>0.115</v>
      </c>
      <c r="T4496" s="508">
        <v>0.115</v>
      </c>
      <c r="U4496" s="508">
        <v>0.114</v>
      </c>
      <c r="V4496" s="508">
        <v>0.113</v>
      </c>
      <c r="W4496" s="508">
        <v>0.114</v>
      </c>
      <c r="X4496" s="508">
        <v>0.113</v>
      </c>
      <c r="Y4496" s="508">
        <v>0.113</v>
      </c>
      <c r="Z4496" s="508">
        <v>0.114</v>
      </c>
      <c r="AA4496" s="508">
        <v>0.114</v>
      </c>
      <c r="AB4496" s="508">
        <v>0.113</v>
      </c>
      <c r="AC4496" s="508">
        <v>0.114</v>
      </c>
      <c r="AD4496" s="508">
        <v>0.114</v>
      </c>
      <c r="AE4496" s="508">
        <v>0.114</v>
      </c>
      <c r="AF4496" s="508">
        <v>0.114</v>
      </c>
      <c r="AG4496" s="508">
        <v>0.114</v>
      </c>
      <c r="AH4496" s="508">
        <v>0.114</v>
      </c>
      <c r="AI4496" s="492">
        <v>0.114</v>
      </c>
      <c r="AJ4496" s="485"/>
    </row>
    <row r="4497" spans="2:36">
      <c r="B4497" s="136" t="s">
        <v>473</v>
      </c>
      <c r="C4497" s="132" t="s">
        <v>1362</v>
      </c>
      <c r="D4497" s="132" t="s">
        <v>1379</v>
      </c>
      <c r="E4497" s="508">
        <v>0.158</v>
      </c>
      <c r="F4497" s="508">
        <v>0.158</v>
      </c>
      <c r="G4497" s="508">
        <v>0.159</v>
      </c>
      <c r="H4497" s="508">
        <v>0.16</v>
      </c>
      <c r="I4497" s="508">
        <v>0.158</v>
      </c>
      <c r="J4497" s="508">
        <v>0.152</v>
      </c>
      <c r="K4497" s="508">
        <v>0.158</v>
      </c>
      <c r="L4497" s="508">
        <v>0.159</v>
      </c>
      <c r="M4497" s="508">
        <v>0.154</v>
      </c>
      <c r="N4497" s="508">
        <v>0.158</v>
      </c>
      <c r="O4497" s="508">
        <v>0.158</v>
      </c>
      <c r="P4497" s="508">
        <v>0.156</v>
      </c>
      <c r="Q4497" s="508">
        <v>0.158</v>
      </c>
      <c r="R4497" s="508">
        <v>0.156</v>
      </c>
      <c r="S4497" s="508">
        <v>0.159</v>
      </c>
      <c r="T4497" s="508">
        <v>0.159</v>
      </c>
      <c r="U4497" s="508">
        <v>0.158</v>
      </c>
      <c r="V4497" s="508">
        <v>0.157</v>
      </c>
      <c r="W4497" s="508">
        <v>0.158</v>
      </c>
      <c r="X4497" s="508">
        <v>0.156</v>
      </c>
      <c r="Y4497" s="508">
        <v>0.157</v>
      </c>
      <c r="Z4497" s="508">
        <v>0.158</v>
      </c>
      <c r="AA4497" s="508">
        <v>0.157</v>
      </c>
      <c r="AB4497" s="508">
        <v>0.156</v>
      </c>
      <c r="AC4497" s="508">
        <v>0.159</v>
      </c>
      <c r="AD4497" s="508">
        <v>0.158</v>
      </c>
      <c r="AE4497" s="508">
        <v>0.157</v>
      </c>
      <c r="AF4497" s="508">
        <v>0.157</v>
      </c>
      <c r="AG4497" s="508">
        <v>0.157</v>
      </c>
      <c r="AH4497" s="508">
        <v>0.157</v>
      </c>
      <c r="AI4497" s="492">
        <v>0.157</v>
      </c>
      <c r="AJ4497" s="485"/>
    </row>
    <row r="4498" spans="2:36">
      <c r="B4498" s="136" t="s">
        <v>474</v>
      </c>
      <c r="C4498" s="132" t="s">
        <v>1362</v>
      </c>
      <c r="D4498" s="132" t="s">
        <v>1379</v>
      </c>
      <c r="E4498" s="508">
        <v>0.13900000000000001</v>
      </c>
      <c r="F4498" s="508">
        <v>0.13900000000000001</v>
      </c>
      <c r="G4498" s="508">
        <v>0.14000000000000001</v>
      </c>
      <c r="H4498" s="508">
        <v>0.14000000000000001</v>
      </c>
      <c r="I4498" s="508">
        <v>0.13800000000000001</v>
      </c>
      <c r="J4498" s="508">
        <v>0.13400000000000001</v>
      </c>
      <c r="K4498" s="508">
        <v>0.13900000000000001</v>
      </c>
      <c r="L4498" s="508">
        <v>0.13900000000000001</v>
      </c>
      <c r="M4498" s="508">
        <v>0.13500000000000001</v>
      </c>
      <c r="N4498" s="508">
        <v>0.13900000000000001</v>
      </c>
      <c r="O4498" s="508">
        <v>0.13800000000000001</v>
      </c>
      <c r="P4498" s="508">
        <v>0.13700000000000001</v>
      </c>
      <c r="Q4498" s="508">
        <v>0.13900000000000001</v>
      </c>
      <c r="R4498" s="508">
        <v>0.13700000000000001</v>
      </c>
      <c r="S4498" s="508">
        <v>0.14000000000000001</v>
      </c>
      <c r="T4498" s="508">
        <v>0.14000000000000001</v>
      </c>
      <c r="U4498" s="508">
        <v>0.13900000000000001</v>
      </c>
      <c r="V4498" s="508">
        <v>0.13800000000000001</v>
      </c>
      <c r="W4498" s="508">
        <v>0.13900000000000001</v>
      </c>
      <c r="X4498" s="508">
        <v>0.13700000000000001</v>
      </c>
      <c r="Y4498" s="508">
        <v>0.13800000000000001</v>
      </c>
      <c r="Z4498" s="508">
        <v>0.13800000000000001</v>
      </c>
      <c r="AA4498" s="508">
        <v>0.13800000000000001</v>
      </c>
      <c r="AB4498" s="508">
        <v>0.13700000000000001</v>
      </c>
      <c r="AC4498" s="508">
        <v>0.13900000000000001</v>
      </c>
      <c r="AD4498" s="508">
        <v>0.13900000000000001</v>
      </c>
      <c r="AE4498" s="508">
        <v>0.13800000000000001</v>
      </c>
      <c r="AF4498" s="508">
        <v>0.13800000000000001</v>
      </c>
      <c r="AG4498" s="508">
        <v>0.13800000000000001</v>
      </c>
      <c r="AH4498" s="508">
        <v>0.13800000000000001</v>
      </c>
      <c r="AI4498" s="492">
        <v>0.13800000000000001</v>
      </c>
      <c r="AJ4498" s="485"/>
    </row>
    <row r="4499" spans="2:36">
      <c r="B4499" s="136" t="s">
        <v>475</v>
      </c>
      <c r="C4499" s="132" t="s">
        <v>1362</v>
      </c>
      <c r="D4499" s="132" t="s">
        <v>1379</v>
      </c>
      <c r="E4499" s="508">
        <v>0.13300000000000001</v>
      </c>
      <c r="F4499" s="508">
        <v>0.13200000000000001</v>
      </c>
      <c r="G4499" s="508">
        <v>0.13300000000000001</v>
      </c>
      <c r="H4499" s="508">
        <v>0.13400000000000001</v>
      </c>
      <c r="I4499" s="508">
        <v>0.13200000000000001</v>
      </c>
      <c r="J4499" s="508">
        <v>0.128</v>
      </c>
      <c r="K4499" s="508">
        <v>0.13300000000000001</v>
      </c>
      <c r="L4499" s="508">
        <v>0.13300000000000001</v>
      </c>
      <c r="M4499" s="508">
        <v>0.129</v>
      </c>
      <c r="N4499" s="508">
        <v>0.13200000000000001</v>
      </c>
      <c r="O4499" s="508">
        <v>0.13200000000000001</v>
      </c>
      <c r="P4499" s="508">
        <v>0.13100000000000001</v>
      </c>
      <c r="Q4499" s="508">
        <v>0.13200000000000001</v>
      </c>
      <c r="R4499" s="508">
        <v>0.13100000000000001</v>
      </c>
      <c r="S4499" s="508">
        <v>0.13300000000000001</v>
      </c>
      <c r="T4499" s="508">
        <v>0.13400000000000001</v>
      </c>
      <c r="U4499" s="508">
        <v>0.13200000000000001</v>
      </c>
      <c r="V4499" s="508">
        <v>0.13100000000000001</v>
      </c>
      <c r="W4499" s="508">
        <v>0.13200000000000001</v>
      </c>
      <c r="X4499" s="508">
        <v>0.13100000000000001</v>
      </c>
      <c r="Y4499" s="508">
        <v>0.13200000000000001</v>
      </c>
      <c r="Z4499" s="508">
        <v>0.13200000000000001</v>
      </c>
      <c r="AA4499" s="508">
        <v>0.13200000000000001</v>
      </c>
      <c r="AB4499" s="508">
        <v>0.13100000000000001</v>
      </c>
      <c r="AC4499" s="508">
        <v>0.13300000000000001</v>
      </c>
      <c r="AD4499" s="508">
        <v>0.13300000000000001</v>
      </c>
      <c r="AE4499" s="508">
        <v>0.13200000000000001</v>
      </c>
      <c r="AF4499" s="508">
        <v>0.13200000000000001</v>
      </c>
      <c r="AG4499" s="508">
        <v>0.13200000000000001</v>
      </c>
      <c r="AH4499" s="508">
        <v>0.13200000000000001</v>
      </c>
      <c r="AI4499" s="492">
        <v>0.13200000000000001</v>
      </c>
      <c r="AJ4499" s="485"/>
    </row>
    <row r="4500" spans="2:36">
      <c r="B4500" s="136" t="s">
        <v>476</v>
      </c>
      <c r="C4500" s="132" t="s">
        <v>1362</v>
      </c>
      <c r="D4500" s="132" t="s">
        <v>1379</v>
      </c>
      <c r="E4500" s="508">
        <v>0.14499999999999999</v>
      </c>
      <c r="F4500" s="508">
        <v>0.14399999999999999</v>
      </c>
      <c r="G4500" s="508">
        <v>0.14499999999999999</v>
      </c>
      <c r="H4500" s="508">
        <v>0.14599999999999999</v>
      </c>
      <c r="I4500" s="508">
        <v>0.14399999999999999</v>
      </c>
      <c r="J4500" s="508">
        <v>0.13900000000000001</v>
      </c>
      <c r="K4500" s="508">
        <v>0.14499999999999999</v>
      </c>
      <c r="L4500" s="508">
        <v>0.14499999999999999</v>
      </c>
      <c r="M4500" s="508">
        <v>0.14099999999999999</v>
      </c>
      <c r="N4500" s="508">
        <v>0.14399999999999999</v>
      </c>
      <c r="O4500" s="508">
        <v>0.14399999999999999</v>
      </c>
      <c r="P4500" s="508">
        <v>0.14299999999999999</v>
      </c>
      <c r="Q4500" s="508">
        <v>0.14399999999999999</v>
      </c>
      <c r="R4500" s="508">
        <v>0.14299999999999999</v>
      </c>
      <c r="S4500" s="508">
        <v>0.14499999999999999</v>
      </c>
      <c r="T4500" s="508">
        <v>0.14599999999999999</v>
      </c>
      <c r="U4500" s="508">
        <v>0.14399999999999999</v>
      </c>
      <c r="V4500" s="508">
        <v>0.14299999999999999</v>
      </c>
      <c r="W4500" s="508">
        <v>0.14399999999999999</v>
      </c>
      <c r="X4500" s="508">
        <v>0.14299999999999999</v>
      </c>
      <c r="Y4500" s="508">
        <v>0.14399999999999999</v>
      </c>
      <c r="Z4500" s="508">
        <v>0.14399999999999999</v>
      </c>
      <c r="AA4500" s="508">
        <v>0.14399999999999999</v>
      </c>
      <c r="AB4500" s="508">
        <v>0.14299999999999999</v>
      </c>
      <c r="AC4500" s="508">
        <v>0.14499999999999999</v>
      </c>
      <c r="AD4500" s="508">
        <v>0.14499999999999999</v>
      </c>
      <c r="AE4500" s="508">
        <v>0.14399999999999999</v>
      </c>
      <c r="AF4500" s="508">
        <v>0.14399999999999999</v>
      </c>
      <c r="AG4500" s="508">
        <v>0.14399999999999999</v>
      </c>
      <c r="AH4500" s="508">
        <v>0.14399999999999999</v>
      </c>
      <c r="AI4500" s="492">
        <v>0.14399999999999999</v>
      </c>
      <c r="AJ4500" s="485"/>
    </row>
    <row r="4501" spans="2:36">
      <c r="B4501" s="136" t="s">
        <v>478</v>
      </c>
      <c r="C4501" s="132" t="s">
        <v>1362</v>
      </c>
      <c r="D4501" s="132" t="s">
        <v>1379</v>
      </c>
      <c r="E4501" s="508">
        <v>0.16</v>
      </c>
      <c r="F4501" s="508">
        <v>0.16</v>
      </c>
      <c r="G4501" s="508">
        <v>0.161</v>
      </c>
      <c r="H4501" s="508">
        <v>0.16200000000000001</v>
      </c>
      <c r="I4501" s="508">
        <v>0.159</v>
      </c>
      <c r="J4501" s="508">
        <v>0.154</v>
      </c>
      <c r="K4501" s="508">
        <v>0.16</v>
      </c>
      <c r="L4501" s="508">
        <v>0.16</v>
      </c>
      <c r="M4501" s="508">
        <v>0.156</v>
      </c>
      <c r="N4501" s="508">
        <v>0.16</v>
      </c>
      <c r="O4501" s="508">
        <v>0.159</v>
      </c>
      <c r="P4501" s="508">
        <v>0.158</v>
      </c>
      <c r="Q4501" s="508">
        <v>0.16</v>
      </c>
      <c r="R4501" s="508">
        <v>0.158</v>
      </c>
      <c r="S4501" s="508">
        <v>0.161</v>
      </c>
      <c r="T4501" s="508">
        <v>0.161</v>
      </c>
      <c r="U4501" s="508">
        <v>0.16</v>
      </c>
      <c r="V4501" s="508">
        <v>0.159</v>
      </c>
      <c r="W4501" s="508">
        <v>0.16</v>
      </c>
      <c r="X4501" s="508">
        <v>0.158</v>
      </c>
      <c r="Y4501" s="508">
        <v>0.159</v>
      </c>
      <c r="Z4501" s="508">
        <v>0.159</v>
      </c>
      <c r="AA4501" s="508">
        <v>0.159</v>
      </c>
      <c r="AB4501" s="508">
        <v>0.158</v>
      </c>
      <c r="AC4501" s="508">
        <v>0.16</v>
      </c>
      <c r="AD4501" s="508">
        <v>0.16</v>
      </c>
      <c r="AE4501" s="508">
        <v>0.159</v>
      </c>
      <c r="AF4501" s="508">
        <v>0.159</v>
      </c>
      <c r="AG4501" s="508">
        <v>0.159</v>
      </c>
      <c r="AH4501" s="508">
        <v>0.159</v>
      </c>
      <c r="AI4501" s="492">
        <v>0.159</v>
      </c>
      <c r="AJ4501" s="485"/>
    </row>
    <row r="4502" spans="2:36">
      <c r="B4502" s="136" t="s">
        <v>479</v>
      </c>
      <c r="C4502" s="132" t="s">
        <v>1362</v>
      </c>
      <c r="D4502" s="132" t="s">
        <v>1379</v>
      </c>
      <c r="E4502" s="508">
        <v>0.13200000000000001</v>
      </c>
      <c r="F4502" s="508">
        <v>0.13100000000000001</v>
      </c>
      <c r="G4502" s="508">
        <v>0.13200000000000001</v>
      </c>
      <c r="H4502" s="508">
        <v>0.13300000000000001</v>
      </c>
      <c r="I4502" s="508">
        <v>0.13100000000000001</v>
      </c>
      <c r="J4502" s="508">
        <v>0.127</v>
      </c>
      <c r="K4502" s="508">
        <v>0.13200000000000001</v>
      </c>
      <c r="L4502" s="508">
        <v>0.13200000000000001</v>
      </c>
      <c r="M4502" s="508">
        <v>0.128</v>
      </c>
      <c r="N4502" s="508">
        <v>0.13100000000000001</v>
      </c>
      <c r="O4502" s="508">
        <v>0.13100000000000001</v>
      </c>
      <c r="P4502" s="508">
        <v>0.13</v>
      </c>
      <c r="Q4502" s="508">
        <v>0.13100000000000001</v>
      </c>
      <c r="R4502" s="508">
        <v>0.13</v>
      </c>
      <c r="S4502" s="508">
        <v>0.13200000000000001</v>
      </c>
      <c r="T4502" s="508">
        <v>0.13300000000000001</v>
      </c>
      <c r="U4502" s="508">
        <v>0.13100000000000001</v>
      </c>
      <c r="V4502" s="508">
        <v>0.13</v>
      </c>
      <c r="W4502" s="508">
        <v>0.13100000000000001</v>
      </c>
      <c r="X4502" s="508">
        <v>0.13</v>
      </c>
      <c r="Y4502" s="508">
        <v>0.13100000000000001</v>
      </c>
      <c r="Z4502" s="508">
        <v>0.13100000000000001</v>
      </c>
      <c r="AA4502" s="508">
        <v>0.13100000000000001</v>
      </c>
      <c r="AB4502" s="508">
        <v>0.13</v>
      </c>
      <c r="AC4502" s="508">
        <v>0.13200000000000001</v>
      </c>
      <c r="AD4502" s="508">
        <v>0.13200000000000001</v>
      </c>
      <c r="AE4502" s="508">
        <v>0.13100000000000001</v>
      </c>
      <c r="AF4502" s="508">
        <v>0.13100000000000001</v>
      </c>
      <c r="AG4502" s="508">
        <v>0.13100000000000001</v>
      </c>
      <c r="AH4502" s="508">
        <v>0.13100000000000001</v>
      </c>
      <c r="AI4502" s="492">
        <v>0.13100000000000001</v>
      </c>
      <c r="AJ4502" s="485"/>
    </row>
    <row r="4503" spans="2:36">
      <c r="B4503" s="136" t="s">
        <v>480</v>
      </c>
      <c r="C4503" s="132" t="s">
        <v>1362</v>
      </c>
      <c r="D4503" s="132" t="s">
        <v>1379</v>
      </c>
      <c r="E4503" s="508">
        <v>0.107</v>
      </c>
      <c r="F4503" s="508">
        <v>0.107</v>
      </c>
      <c r="G4503" s="508">
        <v>0.108</v>
      </c>
      <c r="H4503" s="508">
        <v>0.109</v>
      </c>
      <c r="I4503" s="508">
        <v>0.107</v>
      </c>
      <c r="J4503" s="508">
        <v>0.10299999999999999</v>
      </c>
      <c r="K4503" s="508">
        <v>0.108</v>
      </c>
      <c r="L4503" s="508">
        <v>0.108</v>
      </c>
      <c r="M4503" s="508">
        <v>0.105</v>
      </c>
      <c r="N4503" s="508">
        <v>0.107</v>
      </c>
      <c r="O4503" s="508">
        <v>0.107</v>
      </c>
      <c r="P4503" s="508">
        <v>0.106</v>
      </c>
      <c r="Q4503" s="508">
        <v>0.107</v>
      </c>
      <c r="R4503" s="508">
        <v>0.106</v>
      </c>
      <c r="S4503" s="508">
        <v>0.108</v>
      </c>
      <c r="T4503" s="508">
        <v>0.108</v>
      </c>
      <c r="U4503" s="508">
        <v>0.107</v>
      </c>
      <c r="V4503" s="508">
        <v>0.107</v>
      </c>
      <c r="W4503" s="508">
        <v>0.107</v>
      </c>
      <c r="X4503" s="508">
        <v>0.106</v>
      </c>
      <c r="Y4503" s="508">
        <v>0.107</v>
      </c>
      <c r="Z4503" s="508">
        <v>0.107</v>
      </c>
      <c r="AA4503" s="508">
        <v>0.107</v>
      </c>
      <c r="AB4503" s="508">
        <v>0.106</v>
      </c>
      <c r="AC4503" s="508">
        <v>0.108</v>
      </c>
      <c r="AD4503" s="508">
        <v>0.108</v>
      </c>
      <c r="AE4503" s="508">
        <v>0.107</v>
      </c>
      <c r="AF4503" s="508">
        <v>0.107</v>
      </c>
      <c r="AG4503" s="508">
        <v>0.107</v>
      </c>
      <c r="AH4503" s="508">
        <v>0.107</v>
      </c>
      <c r="AI4503" s="492">
        <v>0.107</v>
      </c>
      <c r="AJ4503" s="485"/>
    </row>
    <row r="4504" spans="2:36">
      <c r="B4504" s="136" t="s">
        <v>481</v>
      </c>
      <c r="C4504" s="132" t="s">
        <v>1362</v>
      </c>
      <c r="D4504" s="132" t="s">
        <v>1379</v>
      </c>
      <c r="E4504" s="508">
        <v>0.13800000000000001</v>
      </c>
      <c r="F4504" s="508">
        <v>0.13800000000000001</v>
      </c>
      <c r="G4504" s="508">
        <v>0.13900000000000001</v>
      </c>
      <c r="H4504" s="508">
        <v>0.13900000000000001</v>
      </c>
      <c r="I4504" s="508">
        <v>0.13700000000000001</v>
      </c>
      <c r="J4504" s="508">
        <v>0.13300000000000001</v>
      </c>
      <c r="K4504" s="508">
        <v>0.13800000000000001</v>
      </c>
      <c r="L4504" s="508">
        <v>0.13800000000000001</v>
      </c>
      <c r="M4504" s="508">
        <v>0.13500000000000001</v>
      </c>
      <c r="N4504" s="508">
        <v>0.13800000000000001</v>
      </c>
      <c r="O4504" s="508">
        <v>0.13800000000000001</v>
      </c>
      <c r="P4504" s="508">
        <v>0.13600000000000001</v>
      </c>
      <c r="Q4504" s="508">
        <v>0.13800000000000001</v>
      </c>
      <c r="R4504" s="508">
        <v>0.13700000000000001</v>
      </c>
      <c r="S4504" s="508">
        <v>0.13900000000000001</v>
      </c>
      <c r="T4504" s="508">
        <v>0.13900000000000001</v>
      </c>
      <c r="U4504" s="508">
        <v>0.13800000000000001</v>
      </c>
      <c r="V4504" s="508">
        <v>0.13700000000000001</v>
      </c>
      <c r="W4504" s="508">
        <v>0.13800000000000001</v>
      </c>
      <c r="X4504" s="508">
        <v>0.13600000000000001</v>
      </c>
      <c r="Y4504" s="508">
        <v>0.13700000000000001</v>
      </c>
      <c r="Z4504" s="508">
        <v>0.13800000000000001</v>
      </c>
      <c r="AA4504" s="508">
        <v>0.13700000000000001</v>
      </c>
      <c r="AB4504" s="508">
        <v>0.13600000000000001</v>
      </c>
      <c r="AC4504" s="508">
        <v>0.13800000000000001</v>
      </c>
      <c r="AD4504" s="508">
        <v>0.13800000000000001</v>
      </c>
      <c r="AE4504" s="508">
        <v>0.13700000000000001</v>
      </c>
      <c r="AF4504" s="508">
        <v>0.13700000000000001</v>
      </c>
      <c r="AG4504" s="508">
        <v>0.13700000000000001</v>
      </c>
      <c r="AH4504" s="508">
        <v>0.13700000000000001</v>
      </c>
      <c r="AI4504" s="492">
        <v>0.13700000000000001</v>
      </c>
      <c r="AJ4504" s="485"/>
    </row>
    <row r="4505" spans="2:36">
      <c r="B4505" s="136" t="s">
        <v>482</v>
      </c>
      <c r="C4505" s="132" t="s">
        <v>1362</v>
      </c>
      <c r="D4505" s="132" t="s">
        <v>1379</v>
      </c>
      <c r="E4505" s="508">
        <v>0.14000000000000001</v>
      </c>
      <c r="F4505" s="508">
        <v>0.14000000000000001</v>
      </c>
      <c r="G4505" s="508">
        <v>0.14099999999999999</v>
      </c>
      <c r="H4505" s="508">
        <v>0.14199999999999999</v>
      </c>
      <c r="I4505" s="508">
        <v>0.14000000000000001</v>
      </c>
      <c r="J4505" s="508">
        <v>0.13500000000000001</v>
      </c>
      <c r="K4505" s="508">
        <v>0.14000000000000001</v>
      </c>
      <c r="L4505" s="508">
        <v>0.14099999999999999</v>
      </c>
      <c r="M4505" s="508">
        <v>0.13700000000000001</v>
      </c>
      <c r="N4505" s="508">
        <v>0.14000000000000001</v>
      </c>
      <c r="O4505" s="508">
        <v>0.14000000000000001</v>
      </c>
      <c r="P4505" s="508">
        <v>0.13900000000000001</v>
      </c>
      <c r="Q4505" s="508">
        <v>0.14000000000000001</v>
      </c>
      <c r="R4505" s="508">
        <v>0.13900000000000001</v>
      </c>
      <c r="S4505" s="508">
        <v>0.14099999999999999</v>
      </c>
      <c r="T4505" s="508">
        <v>0.14099999999999999</v>
      </c>
      <c r="U4505" s="508">
        <v>0.14000000000000001</v>
      </c>
      <c r="V4505" s="508">
        <v>0.13900000000000001</v>
      </c>
      <c r="W4505" s="508">
        <v>0.14000000000000001</v>
      </c>
      <c r="X4505" s="508">
        <v>0.13900000000000001</v>
      </c>
      <c r="Y4505" s="508">
        <v>0.13900000000000001</v>
      </c>
      <c r="Z4505" s="508">
        <v>0.14000000000000001</v>
      </c>
      <c r="AA4505" s="508">
        <v>0.14000000000000001</v>
      </c>
      <c r="AB4505" s="508">
        <v>0.13900000000000001</v>
      </c>
      <c r="AC4505" s="508">
        <v>0.14099999999999999</v>
      </c>
      <c r="AD4505" s="508">
        <v>0.14000000000000001</v>
      </c>
      <c r="AE4505" s="508">
        <v>0.14000000000000001</v>
      </c>
      <c r="AF4505" s="508">
        <v>0.14000000000000001</v>
      </c>
      <c r="AG4505" s="508">
        <v>0.14000000000000001</v>
      </c>
      <c r="AH4505" s="508">
        <v>0.14000000000000001</v>
      </c>
      <c r="AI4505" s="492">
        <v>0.14000000000000001</v>
      </c>
      <c r="AJ4505" s="485"/>
    </row>
    <row r="4506" spans="2:36">
      <c r="B4506" s="136" t="s">
        <v>483</v>
      </c>
      <c r="C4506" s="132" t="s">
        <v>1362</v>
      </c>
      <c r="D4506" s="132" t="s">
        <v>1379</v>
      </c>
      <c r="E4506" s="508">
        <v>0.156</v>
      </c>
      <c r="F4506" s="508">
        <v>0.156</v>
      </c>
      <c r="G4506" s="508">
        <v>0.157</v>
      </c>
      <c r="H4506" s="508">
        <v>0.158</v>
      </c>
      <c r="I4506" s="508">
        <v>0.156</v>
      </c>
      <c r="J4506" s="508">
        <v>0.15</v>
      </c>
      <c r="K4506" s="508">
        <v>0.156</v>
      </c>
      <c r="L4506" s="508">
        <v>0.157</v>
      </c>
      <c r="M4506" s="508">
        <v>0.152</v>
      </c>
      <c r="N4506" s="508">
        <v>0.156</v>
      </c>
      <c r="O4506" s="508">
        <v>0.156</v>
      </c>
      <c r="P4506" s="508">
        <v>0.154</v>
      </c>
      <c r="Q4506" s="508">
        <v>0.156</v>
      </c>
      <c r="R4506" s="508">
        <v>0.155</v>
      </c>
      <c r="S4506" s="508">
        <v>0.157</v>
      </c>
      <c r="T4506" s="508">
        <v>0.157</v>
      </c>
      <c r="U4506" s="508">
        <v>0.156</v>
      </c>
      <c r="V4506" s="508">
        <v>0.155</v>
      </c>
      <c r="W4506" s="508">
        <v>0.156</v>
      </c>
      <c r="X4506" s="508">
        <v>0.154</v>
      </c>
      <c r="Y4506" s="508">
        <v>0.155</v>
      </c>
      <c r="Z4506" s="508">
        <v>0.156</v>
      </c>
      <c r="AA4506" s="508">
        <v>0.155</v>
      </c>
      <c r="AB4506" s="508">
        <v>0.154</v>
      </c>
      <c r="AC4506" s="508">
        <v>0.157</v>
      </c>
      <c r="AD4506" s="508">
        <v>0.156</v>
      </c>
      <c r="AE4506" s="508">
        <v>0.155</v>
      </c>
      <c r="AF4506" s="508">
        <v>0.155</v>
      </c>
      <c r="AG4506" s="508">
        <v>0.155</v>
      </c>
      <c r="AH4506" s="508">
        <v>0.155</v>
      </c>
      <c r="AI4506" s="492">
        <v>0.155</v>
      </c>
      <c r="AJ4506" s="485"/>
    </row>
    <row r="4507" spans="2:36">
      <c r="B4507" s="136" t="s">
        <v>484</v>
      </c>
      <c r="C4507" s="132" t="s">
        <v>1362</v>
      </c>
      <c r="D4507" s="132" t="s">
        <v>1379</v>
      </c>
      <c r="E4507" s="508">
        <v>0.113</v>
      </c>
      <c r="F4507" s="508">
        <v>0.112</v>
      </c>
      <c r="G4507" s="508">
        <v>0.113</v>
      </c>
      <c r="H4507" s="508">
        <v>0.114</v>
      </c>
      <c r="I4507" s="508">
        <v>0.112</v>
      </c>
      <c r="J4507" s="508">
        <v>0.108</v>
      </c>
      <c r="K4507" s="508">
        <v>0.113</v>
      </c>
      <c r="L4507" s="508">
        <v>0.113</v>
      </c>
      <c r="M4507" s="508">
        <v>0.11</v>
      </c>
      <c r="N4507" s="508">
        <v>0.112</v>
      </c>
      <c r="O4507" s="508">
        <v>0.112</v>
      </c>
      <c r="P4507" s="508">
        <v>0.111</v>
      </c>
      <c r="Q4507" s="508">
        <v>0.112</v>
      </c>
      <c r="R4507" s="508">
        <v>0.111</v>
      </c>
      <c r="S4507" s="508">
        <v>0.113</v>
      </c>
      <c r="T4507" s="508">
        <v>0.114</v>
      </c>
      <c r="U4507" s="508">
        <v>0.112</v>
      </c>
      <c r="V4507" s="508">
        <v>0.112</v>
      </c>
      <c r="W4507" s="508">
        <v>0.112</v>
      </c>
      <c r="X4507" s="508">
        <v>0.111</v>
      </c>
      <c r="Y4507" s="508">
        <v>0.112</v>
      </c>
      <c r="Z4507" s="508">
        <v>0.112</v>
      </c>
      <c r="AA4507" s="508">
        <v>0.112</v>
      </c>
      <c r="AB4507" s="508">
        <v>0.111</v>
      </c>
      <c r="AC4507" s="508">
        <v>0.113</v>
      </c>
      <c r="AD4507" s="508">
        <v>0.113</v>
      </c>
      <c r="AE4507" s="508">
        <v>0.112</v>
      </c>
      <c r="AF4507" s="508">
        <v>0.112</v>
      </c>
      <c r="AG4507" s="508">
        <v>0.112</v>
      </c>
      <c r="AH4507" s="508">
        <v>0.112</v>
      </c>
      <c r="AI4507" s="492">
        <v>0.112</v>
      </c>
      <c r="AJ4507" s="485"/>
    </row>
    <row r="4508" spans="2:36">
      <c r="B4508" s="136" t="s">
        <v>486</v>
      </c>
      <c r="C4508" s="132" t="s">
        <v>1362</v>
      </c>
      <c r="D4508" s="132" t="s">
        <v>1379</v>
      </c>
      <c r="E4508" s="508">
        <v>0.14000000000000001</v>
      </c>
      <c r="F4508" s="508">
        <v>0.13900000000000001</v>
      </c>
      <c r="G4508" s="508">
        <v>0.14099999999999999</v>
      </c>
      <c r="H4508" s="508">
        <v>0.14099999999999999</v>
      </c>
      <c r="I4508" s="508">
        <v>0.13900000000000001</v>
      </c>
      <c r="J4508" s="508">
        <v>0.13400000000000001</v>
      </c>
      <c r="K4508" s="508">
        <v>0.14000000000000001</v>
      </c>
      <c r="L4508" s="508">
        <v>0.14000000000000001</v>
      </c>
      <c r="M4508" s="508">
        <v>0.13600000000000001</v>
      </c>
      <c r="N4508" s="508">
        <v>0.13900000000000001</v>
      </c>
      <c r="O4508" s="508">
        <v>0.13900000000000001</v>
      </c>
      <c r="P4508" s="508">
        <v>0.13800000000000001</v>
      </c>
      <c r="Q4508" s="508">
        <v>0.13900000000000001</v>
      </c>
      <c r="R4508" s="508">
        <v>0.13800000000000001</v>
      </c>
      <c r="S4508" s="508">
        <v>0.14000000000000001</v>
      </c>
      <c r="T4508" s="508">
        <v>0.14099999999999999</v>
      </c>
      <c r="U4508" s="508">
        <v>0.13900000000000001</v>
      </c>
      <c r="V4508" s="508">
        <v>0.13800000000000001</v>
      </c>
      <c r="W4508" s="508">
        <v>0.13900000000000001</v>
      </c>
      <c r="X4508" s="508">
        <v>0.13800000000000001</v>
      </c>
      <c r="Y4508" s="508">
        <v>0.13900000000000001</v>
      </c>
      <c r="Z4508" s="508">
        <v>0.13900000000000001</v>
      </c>
      <c r="AA4508" s="508">
        <v>0.13900000000000001</v>
      </c>
      <c r="AB4508" s="508">
        <v>0.13800000000000001</v>
      </c>
      <c r="AC4508" s="508">
        <v>0.14000000000000001</v>
      </c>
      <c r="AD4508" s="508">
        <v>0.14000000000000001</v>
      </c>
      <c r="AE4508" s="508">
        <v>0.13900000000000001</v>
      </c>
      <c r="AF4508" s="508">
        <v>0.13900000000000001</v>
      </c>
      <c r="AG4508" s="508">
        <v>0.13900000000000001</v>
      </c>
      <c r="AH4508" s="508">
        <v>0.13900000000000001</v>
      </c>
      <c r="AI4508" s="492">
        <v>0.13900000000000001</v>
      </c>
      <c r="AJ4508" s="485"/>
    </row>
    <row r="4509" spans="2:36">
      <c r="B4509" s="136" t="s">
        <v>487</v>
      </c>
      <c r="C4509" s="132" t="s">
        <v>1362</v>
      </c>
      <c r="D4509" s="132" t="s">
        <v>1379</v>
      </c>
      <c r="E4509" s="508">
        <v>0.13900000000000001</v>
      </c>
      <c r="F4509" s="508">
        <v>0.13900000000000001</v>
      </c>
      <c r="G4509" s="508">
        <v>0.14000000000000001</v>
      </c>
      <c r="H4509" s="508">
        <v>0.14000000000000001</v>
      </c>
      <c r="I4509" s="508">
        <v>0.13800000000000001</v>
      </c>
      <c r="J4509" s="508">
        <v>0.13300000000000001</v>
      </c>
      <c r="K4509" s="508">
        <v>0.13900000000000001</v>
      </c>
      <c r="L4509" s="508">
        <v>0.13900000000000001</v>
      </c>
      <c r="M4509" s="508">
        <v>0.13500000000000001</v>
      </c>
      <c r="N4509" s="508">
        <v>0.13900000000000001</v>
      </c>
      <c r="O4509" s="508">
        <v>0.13800000000000001</v>
      </c>
      <c r="P4509" s="508">
        <v>0.13700000000000001</v>
      </c>
      <c r="Q4509" s="508">
        <v>0.13900000000000001</v>
      </c>
      <c r="R4509" s="508">
        <v>0.13700000000000001</v>
      </c>
      <c r="S4509" s="508">
        <v>0.14000000000000001</v>
      </c>
      <c r="T4509" s="508">
        <v>0.14000000000000001</v>
      </c>
      <c r="U4509" s="508">
        <v>0.13800000000000001</v>
      </c>
      <c r="V4509" s="508">
        <v>0.13800000000000001</v>
      </c>
      <c r="W4509" s="508">
        <v>0.13800000000000001</v>
      </c>
      <c r="X4509" s="508">
        <v>0.13700000000000001</v>
      </c>
      <c r="Y4509" s="508">
        <v>0.13800000000000001</v>
      </c>
      <c r="Z4509" s="508">
        <v>0.13800000000000001</v>
      </c>
      <c r="AA4509" s="508">
        <v>0.13800000000000001</v>
      </c>
      <c r="AB4509" s="508">
        <v>0.13700000000000001</v>
      </c>
      <c r="AC4509" s="508">
        <v>0.13900000000000001</v>
      </c>
      <c r="AD4509" s="508">
        <v>0.13900000000000001</v>
      </c>
      <c r="AE4509" s="508">
        <v>0.13800000000000001</v>
      </c>
      <c r="AF4509" s="508">
        <v>0.13800000000000001</v>
      </c>
      <c r="AG4509" s="508">
        <v>0.13800000000000001</v>
      </c>
      <c r="AH4509" s="508">
        <v>0.13800000000000001</v>
      </c>
      <c r="AI4509" s="492">
        <v>0.13800000000000001</v>
      </c>
      <c r="AJ4509" s="485"/>
    </row>
    <row r="4510" spans="2:36">
      <c r="B4510" s="136" t="s">
        <v>488</v>
      </c>
      <c r="C4510" s="132" t="s">
        <v>1362</v>
      </c>
      <c r="D4510" s="132" t="s">
        <v>1379</v>
      </c>
      <c r="E4510" s="508">
        <v>0.11899999999999999</v>
      </c>
      <c r="F4510" s="508">
        <v>0.11899999999999999</v>
      </c>
      <c r="G4510" s="508">
        <v>0.11899999999999999</v>
      </c>
      <c r="H4510" s="508">
        <v>0.12</v>
      </c>
      <c r="I4510" s="508">
        <v>0.11799999999999999</v>
      </c>
      <c r="J4510" s="508">
        <v>0.114</v>
      </c>
      <c r="K4510" s="508">
        <v>0.11899999999999999</v>
      </c>
      <c r="L4510" s="508">
        <v>0.11899999999999999</v>
      </c>
      <c r="M4510" s="508">
        <v>0.11600000000000001</v>
      </c>
      <c r="N4510" s="508">
        <v>0.11899999999999999</v>
      </c>
      <c r="O4510" s="508">
        <v>0.11799999999999999</v>
      </c>
      <c r="P4510" s="508">
        <v>0.11700000000000001</v>
      </c>
      <c r="Q4510" s="508">
        <v>0.11899999999999999</v>
      </c>
      <c r="R4510" s="508">
        <v>0.11799999999999999</v>
      </c>
      <c r="S4510" s="508">
        <v>0.11899999999999999</v>
      </c>
      <c r="T4510" s="508">
        <v>0.12</v>
      </c>
      <c r="U4510" s="508">
        <v>0.11799999999999999</v>
      </c>
      <c r="V4510" s="508">
        <v>0.11799999999999999</v>
      </c>
      <c r="W4510" s="508">
        <v>0.11799999999999999</v>
      </c>
      <c r="X4510" s="508">
        <v>0.11700000000000001</v>
      </c>
      <c r="Y4510" s="508">
        <v>0.11799999999999999</v>
      </c>
      <c r="Z4510" s="508">
        <v>0.11799999999999999</v>
      </c>
      <c r="AA4510" s="508">
        <v>0.11799999999999999</v>
      </c>
      <c r="AB4510" s="508">
        <v>0.11700000000000001</v>
      </c>
      <c r="AC4510" s="508">
        <v>0.11899999999999999</v>
      </c>
      <c r="AD4510" s="508">
        <v>0.11899999999999999</v>
      </c>
      <c r="AE4510" s="508">
        <v>0.11799999999999999</v>
      </c>
      <c r="AF4510" s="508">
        <v>0.11799999999999999</v>
      </c>
      <c r="AG4510" s="508">
        <v>0.11799999999999999</v>
      </c>
      <c r="AH4510" s="508">
        <v>0.11799999999999999</v>
      </c>
      <c r="AI4510" s="492">
        <v>0.11799999999999999</v>
      </c>
      <c r="AJ4510" s="485"/>
    </row>
    <row r="4511" spans="2:36">
      <c r="B4511" s="136" t="s">
        <v>489</v>
      </c>
      <c r="C4511" s="132" t="s">
        <v>1362</v>
      </c>
      <c r="D4511" s="132" t="s">
        <v>1379</v>
      </c>
      <c r="E4511" s="508">
        <v>0.13</v>
      </c>
      <c r="F4511" s="508">
        <v>0.13</v>
      </c>
      <c r="G4511" s="508">
        <v>0.13100000000000001</v>
      </c>
      <c r="H4511" s="508">
        <v>0.13200000000000001</v>
      </c>
      <c r="I4511" s="508">
        <v>0.13</v>
      </c>
      <c r="J4511" s="508">
        <v>0.125</v>
      </c>
      <c r="K4511" s="508">
        <v>0.13</v>
      </c>
      <c r="L4511" s="508">
        <v>0.13100000000000001</v>
      </c>
      <c r="M4511" s="508">
        <v>0.127</v>
      </c>
      <c r="N4511" s="508">
        <v>0.13</v>
      </c>
      <c r="O4511" s="508">
        <v>0.13</v>
      </c>
      <c r="P4511" s="508">
        <v>0.129</v>
      </c>
      <c r="Q4511" s="508">
        <v>0.13</v>
      </c>
      <c r="R4511" s="508">
        <v>0.129</v>
      </c>
      <c r="S4511" s="508">
        <v>0.13100000000000001</v>
      </c>
      <c r="T4511" s="508">
        <v>0.13100000000000001</v>
      </c>
      <c r="U4511" s="508">
        <v>0.13</v>
      </c>
      <c r="V4511" s="508">
        <v>0.129</v>
      </c>
      <c r="W4511" s="508">
        <v>0.13</v>
      </c>
      <c r="X4511" s="508">
        <v>0.129</v>
      </c>
      <c r="Y4511" s="508">
        <v>0.129</v>
      </c>
      <c r="Z4511" s="508">
        <v>0.13</v>
      </c>
      <c r="AA4511" s="508">
        <v>0.13</v>
      </c>
      <c r="AB4511" s="508">
        <v>0.129</v>
      </c>
      <c r="AC4511" s="508">
        <v>0.13100000000000001</v>
      </c>
      <c r="AD4511" s="508">
        <v>0.13</v>
      </c>
      <c r="AE4511" s="508">
        <v>0.13</v>
      </c>
      <c r="AF4511" s="508">
        <v>0.13</v>
      </c>
      <c r="AG4511" s="508">
        <v>0.13</v>
      </c>
      <c r="AH4511" s="508">
        <v>0.13</v>
      </c>
      <c r="AI4511" s="492">
        <v>0.13</v>
      </c>
      <c r="AJ4511" s="485"/>
    </row>
    <row r="4512" spans="2:36">
      <c r="B4512" s="136" t="s">
        <v>490</v>
      </c>
      <c r="C4512" s="132" t="s">
        <v>1362</v>
      </c>
      <c r="D4512" s="132" t="s">
        <v>1379</v>
      </c>
      <c r="E4512" s="508">
        <v>0.107</v>
      </c>
      <c r="F4512" s="508">
        <v>0.107</v>
      </c>
      <c r="G4512" s="508">
        <v>0.108</v>
      </c>
      <c r="H4512" s="508">
        <v>0.108</v>
      </c>
      <c r="I4512" s="508">
        <v>0.107</v>
      </c>
      <c r="J4512" s="508">
        <v>0.10299999999999999</v>
      </c>
      <c r="K4512" s="508">
        <v>0.107</v>
      </c>
      <c r="L4512" s="508">
        <v>0.107</v>
      </c>
      <c r="M4512" s="508">
        <v>0.104</v>
      </c>
      <c r="N4512" s="508">
        <v>0.107</v>
      </c>
      <c r="O4512" s="508">
        <v>0.107</v>
      </c>
      <c r="P4512" s="508">
        <v>0.106</v>
      </c>
      <c r="Q4512" s="508">
        <v>0.107</v>
      </c>
      <c r="R4512" s="508">
        <v>0.106</v>
      </c>
      <c r="S4512" s="508">
        <v>0.108</v>
      </c>
      <c r="T4512" s="508">
        <v>0.108</v>
      </c>
      <c r="U4512" s="508">
        <v>0.107</v>
      </c>
      <c r="V4512" s="508">
        <v>0.106</v>
      </c>
      <c r="W4512" s="508">
        <v>0.107</v>
      </c>
      <c r="X4512" s="508">
        <v>0.106</v>
      </c>
      <c r="Y4512" s="508">
        <v>0.106</v>
      </c>
      <c r="Z4512" s="508">
        <v>0.107</v>
      </c>
      <c r="AA4512" s="508">
        <v>0.107</v>
      </c>
      <c r="AB4512" s="508">
        <v>0.106</v>
      </c>
      <c r="AC4512" s="508">
        <v>0.107</v>
      </c>
      <c r="AD4512" s="508">
        <v>0.107</v>
      </c>
      <c r="AE4512" s="508">
        <v>0.107</v>
      </c>
      <c r="AF4512" s="508">
        <v>0.107</v>
      </c>
      <c r="AG4512" s="508">
        <v>0.107</v>
      </c>
      <c r="AH4512" s="508">
        <v>0.107</v>
      </c>
      <c r="AI4512" s="492">
        <v>0.107</v>
      </c>
      <c r="AJ4512" s="485"/>
    </row>
    <row r="4513" spans="2:36">
      <c r="B4513" s="136" t="s">
        <v>435</v>
      </c>
      <c r="C4513" s="132" t="s">
        <v>1363</v>
      </c>
      <c r="D4513" s="132" t="s">
        <v>1379</v>
      </c>
      <c r="E4513" s="508">
        <v>0.14000000000000001</v>
      </c>
      <c r="F4513" s="508">
        <v>0.13900000000000001</v>
      </c>
      <c r="G4513" s="508">
        <v>0.13500000000000001</v>
      </c>
      <c r="H4513" s="508">
        <v>0.14000000000000001</v>
      </c>
      <c r="I4513" s="508">
        <v>0.14000000000000001</v>
      </c>
      <c r="J4513" s="508">
        <v>0.13600000000000001</v>
      </c>
      <c r="K4513" s="508">
        <v>0.14099999999999999</v>
      </c>
      <c r="L4513" s="508">
        <v>0.13700000000000001</v>
      </c>
      <c r="M4513" s="508">
        <v>0.14199999999999999</v>
      </c>
      <c r="N4513" s="508">
        <v>0.13800000000000001</v>
      </c>
      <c r="O4513" s="508">
        <v>0.14000000000000001</v>
      </c>
      <c r="P4513" s="508">
        <v>0.14000000000000001</v>
      </c>
      <c r="Q4513" s="508">
        <v>0.14399999999999999</v>
      </c>
      <c r="R4513" s="508">
        <v>0.14099999999999999</v>
      </c>
      <c r="S4513" s="508">
        <v>0.14000000000000001</v>
      </c>
      <c r="T4513" s="508">
        <v>0.13900000000000001</v>
      </c>
      <c r="U4513" s="508">
        <v>0.14099999999999999</v>
      </c>
      <c r="V4513" s="508">
        <v>0.129</v>
      </c>
      <c r="W4513" s="508">
        <v>0.13400000000000001</v>
      </c>
      <c r="X4513" s="508">
        <v>0.128</v>
      </c>
      <c r="Y4513" s="508">
        <v>0.13100000000000001</v>
      </c>
      <c r="Z4513" s="508">
        <v>0.13300000000000001</v>
      </c>
      <c r="AA4513" s="508">
        <v>0.13200000000000001</v>
      </c>
      <c r="AB4513" s="508">
        <v>0.128</v>
      </c>
      <c r="AC4513" s="508">
        <v>0.13800000000000001</v>
      </c>
      <c r="AD4513" s="508">
        <v>0.13600000000000001</v>
      </c>
      <c r="AE4513" s="508">
        <v>0.13200000000000001</v>
      </c>
      <c r="AF4513" s="508">
        <v>0.13200000000000001</v>
      </c>
      <c r="AG4513" s="508">
        <v>0.13200000000000001</v>
      </c>
      <c r="AH4513" s="508">
        <v>0.13200000000000001</v>
      </c>
      <c r="AI4513" s="492">
        <v>0.13200000000000001</v>
      </c>
      <c r="AJ4513" s="485"/>
    </row>
    <row r="4514" spans="2:36">
      <c r="B4514" s="136" t="s">
        <v>436</v>
      </c>
      <c r="C4514" s="132" t="s">
        <v>1363</v>
      </c>
      <c r="D4514" s="132" t="s">
        <v>1379</v>
      </c>
      <c r="E4514" s="508">
        <v>0.123</v>
      </c>
      <c r="F4514" s="508">
        <v>0.123</v>
      </c>
      <c r="G4514" s="508">
        <v>0.11899999999999999</v>
      </c>
      <c r="H4514" s="508">
        <v>0.124</v>
      </c>
      <c r="I4514" s="508">
        <v>0.123</v>
      </c>
      <c r="J4514" s="508">
        <v>0.12</v>
      </c>
      <c r="K4514" s="508">
        <v>0.124</v>
      </c>
      <c r="L4514" s="508">
        <v>0.12</v>
      </c>
      <c r="M4514" s="508">
        <v>0.125</v>
      </c>
      <c r="N4514" s="508">
        <v>0.122</v>
      </c>
      <c r="O4514" s="508">
        <v>0.123</v>
      </c>
      <c r="P4514" s="508">
        <v>0.123</v>
      </c>
      <c r="Q4514" s="508">
        <v>0.127</v>
      </c>
      <c r="R4514" s="508">
        <v>0.125</v>
      </c>
      <c r="S4514" s="508">
        <v>0.124</v>
      </c>
      <c r="T4514" s="508">
        <v>0.123</v>
      </c>
      <c r="U4514" s="508">
        <v>0.124</v>
      </c>
      <c r="V4514" s="508">
        <v>0.114</v>
      </c>
      <c r="W4514" s="508">
        <v>0.11799999999999999</v>
      </c>
      <c r="X4514" s="508">
        <v>0.113</v>
      </c>
      <c r="Y4514" s="508">
        <v>0.11600000000000001</v>
      </c>
      <c r="Z4514" s="508">
        <v>0.11700000000000001</v>
      </c>
      <c r="AA4514" s="508">
        <v>0.11700000000000001</v>
      </c>
      <c r="AB4514" s="508">
        <v>0.113</v>
      </c>
      <c r="AC4514" s="508">
        <v>0.121</v>
      </c>
      <c r="AD4514" s="508">
        <v>0.12</v>
      </c>
      <c r="AE4514" s="508">
        <v>0.11700000000000001</v>
      </c>
      <c r="AF4514" s="508">
        <v>0.11700000000000001</v>
      </c>
      <c r="AG4514" s="508">
        <v>0.11700000000000001</v>
      </c>
      <c r="AH4514" s="508">
        <v>0.11700000000000001</v>
      </c>
      <c r="AI4514" s="492">
        <v>0.11700000000000001</v>
      </c>
      <c r="AJ4514" s="485"/>
    </row>
    <row r="4515" spans="2:36">
      <c r="B4515" s="136" t="s">
        <v>437</v>
      </c>
      <c r="C4515" s="132" t="s">
        <v>1363</v>
      </c>
      <c r="D4515" s="132" t="s">
        <v>1379</v>
      </c>
      <c r="E4515" s="508">
        <v>0.14299999999999999</v>
      </c>
      <c r="F4515" s="508">
        <v>0.14199999999999999</v>
      </c>
      <c r="G4515" s="508">
        <v>0.13800000000000001</v>
      </c>
      <c r="H4515" s="508">
        <v>0.14299999999999999</v>
      </c>
      <c r="I4515" s="508">
        <v>0.14299999999999999</v>
      </c>
      <c r="J4515" s="508">
        <v>0.14000000000000001</v>
      </c>
      <c r="K4515" s="508">
        <v>0.14399999999999999</v>
      </c>
      <c r="L4515" s="508">
        <v>0.14000000000000001</v>
      </c>
      <c r="M4515" s="508">
        <v>0.14499999999999999</v>
      </c>
      <c r="N4515" s="508">
        <v>0.14099999999999999</v>
      </c>
      <c r="O4515" s="508">
        <v>0.14299999999999999</v>
      </c>
      <c r="P4515" s="508">
        <v>0.14299999999999999</v>
      </c>
      <c r="Q4515" s="508">
        <v>0.14699999999999999</v>
      </c>
      <c r="R4515" s="508">
        <v>0.14499999999999999</v>
      </c>
      <c r="S4515" s="508">
        <v>0.14399999999999999</v>
      </c>
      <c r="T4515" s="508">
        <v>0.14299999999999999</v>
      </c>
      <c r="U4515" s="508">
        <v>0.14399999999999999</v>
      </c>
      <c r="V4515" s="508">
        <v>0.13200000000000001</v>
      </c>
      <c r="W4515" s="508">
        <v>0.13700000000000001</v>
      </c>
      <c r="X4515" s="508">
        <v>0.13100000000000001</v>
      </c>
      <c r="Y4515" s="508">
        <v>0.13400000000000001</v>
      </c>
      <c r="Z4515" s="508">
        <v>0.13600000000000001</v>
      </c>
      <c r="AA4515" s="508">
        <v>0.13500000000000001</v>
      </c>
      <c r="AB4515" s="508">
        <v>0.13100000000000001</v>
      </c>
      <c r="AC4515" s="508">
        <v>0.14099999999999999</v>
      </c>
      <c r="AD4515" s="508">
        <v>0.13900000000000001</v>
      </c>
      <c r="AE4515" s="508">
        <v>0.13600000000000001</v>
      </c>
      <c r="AF4515" s="508">
        <v>0.13600000000000001</v>
      </c>
      <c r="AG4515" s="508">
        <v>0.13600000000000001</v>
      </c>
      <c r="AH4515" s="508">
        <v>0.13600000000000001</v>
      </c>
      <c r="AI4515" s="492">
        <v>0.13600000000000001</v>
      </c>
      <c r="AJ4515" s="485"/>
    </row>
    <row r="4516" spans="2:36">
      <c r="B4516" s="136" t="s">
        <v>438</v>
      </c>
      <c r="C4516" s="132" t="s">
        <v>1363</v>
      </c>
      <c r="D4516" s="132" t="s">
        <v>1379</v>
      </c>
      <c r="E4516" s="508">
        <v>0.11799999999999999</v>
      </c>
      <c r="F4516" s="508">
        <v>0.11799999999999999</v>
      </c>
      <c r="G4516" s="508">
        <v>0.114</v>
      </c>
      <c r="H4516" s="508">
        <v>0.11899999999999999</v>
      </c>
      <c r="I4516" s="508">
        <v>0.11799999999999999</v>
      </c>
      <c r="J4516" s="508">
        <v>0.115</v>
      </c>
      <c r="K4516" s="508">
        <v>0.11899999999999999</v>
      </c>
      <c r="L4516" s="508">
        <v>0.11600000000000001</v>
      </c>
      <c r="M4516" s="508">
        <v>0.12</v>
      </c>
      <c r="N4516" s="508">
        <v>0.11700000000000001</v>
      </c>
      <c r="O4516" s="508">
        <v>0.11799999999999999</v>
      </c>
      <c r="P4516" s="508">
        <v>0.11799999999999999</v>
      </c>
      <c r="Q4516" s="508">
        <v>0.122</v>
      </c>
      <c r="R4516" s="508">
        <v>0.12</v>
      </c>
      <c r="S4516" s="508">
        <v>0.11899999999999999</v>
      </c>
      <c r="T4516" s="508">
        <v>0.11799999999999999</v>
      </c>
      <c r="U4516" s="508">
        <v>0.11899999999999999</v>
      </c>
      <c r="V4516" s="508">
        <v>0.11</v>
      </c>
      <c r="W4516" s="508">
        <v>0.113</v>
      </c>
      <c r="X4516" s="508">
        <v>0.108</v>
      </c>
      <c r="Y4516" s="508">
        <v>0.111</v>
      </c>
      <c r="Z4516" s="508">
        <v>0.113</v>
      </c>
      <c r="AA4516" s="508">
        <v>0.112</v>
      </c>
      <c r="AB4516" s="508">
        <v>0.109</v>
      </c>
      <c r="AC4516" s="508">
        <v>0.11700000000000001</v>
      </c>
      <c r="AD4516" s="508">
        <v>0.115</v>
      </c>
      <c r="AE4516" s="508">
        <v>0.112</v>
      </c>
      <c r="AF4516" s="508">
        <v>0.112</v>
      </c>
      <c r="AG4516" s="508">
        <v>0.112</v>
      </c>
      <c r="AH4516" s="508">
        <v>0.112</v>
      </c>
      <c r="AI4516" s="492">
        <v>0.112</v>
      </c>
      <c r="AJ4516" s="485"/>
    </row>
    <row r="4517" spans="2:36">
      <c r="B4517" s="136" t="s">
        <v>439</v>
      </c>
      <c r="C4517" s="132" t="s">
        <v>1363</v>
      </c>
      <c r="D4517" s="132" t="s">
        <v>1379</v>
      </c>
      <c r="E4517" s="508">
        <v>0.14599999999999999</v>
      </c>
      <c r="F4517" s="508">
        <v>0.14599999999999999</v>
      </c>
      <c r="G4517" s="508">
        <v>0.14099999999999999</v>
      </c>
      <c r="H4517" s="508">
        <v>0.14699999999999999</v>
      </c>
      <c r="I4517" s="508">
        <v>0.14599999999999999</v>
      </c>
      <c r="J4517" s="508">
        <v>0.14299999999999999</v>
      </c>
      <c r="K4517" s="508">
        <v>0.14699999999999999</v>
      </c>
      <c r="L4517" s="508">
        <v>0.14299999999999999</v>
      </c>
      <c r="M4517" s="508">
        <v>0.14899999999999999</v>
      </c>
      <c r="N4517" s="508">
        <v>0.14399999999999999</v>
      </c>
      <c r="O4517" s="508">
        <v>0.14599999999999999</v>
      </c>
      <c r="P4517" s="508">
        <v>0.14599999999999999</v>
      </c>
      <c r="Q4517" s="508">
        <v>0.15</v>
      </c>
      <c r="R4517" s="508">
        <v>0.14799999999999999</v>
      </c>
      <c r="S4517" s="508">
        <v>0.14699999999999999</v>
      </c>
      <c r="T4517" s="508">
        <v>0.14599999999999999</v>
      </c>
      <c r="U4517" s="508">
        <v>0.14699999999999999</v>
      </c>
      <c r="V4517" s="508">
        <v>0.13500000000000001</v>
      </c>
      <c r="W4517" s="508">
        <v>0.14000000000000001</v>
      </c>
      <c r="X4517" s="508">
        <v>0.13400000000000001</v>
      </c>
      <c r="Y4517" s="508">
        <v>0.13700000000000001</v>
      </c>
      <c r="Z4517" s="508">
        <v>0.13900000000000001</v>
      </c>
      <c r="AA4517" s="508">
        <v>0.13900000000000001</v>
      </c>
      <c r="AB4517" s="508">
        <v>0.13400000000000001</v>
      </c>
      <c r="AC4517" s="508">
        <v>0.14399999999999999</v>
      </c>
      <c r="AD4517" s="508">
        <v>0.14199999999999999</v>
      </c>
      <c r="AE4517" s="508">
        <v>0.13900000000000001</v>
      </c>
      <c r="AF4517" s="508">
        <v>0.13900000000000001</v>
      </c>
      <c r="AG4517" s="508">
        <v>0.13900000000000001</v>
      </c>
      <c r="AH4517" s="508">
        <v>0.13900000000000001</v>
      </c>
      <c r="AI4517" s="492">
        <v>0.13900000000000001</v>
      </c>
      <c r="AJ4517" s="485"/>
    </row>
    <row r="4518" spans="2:36">
      <c r="B4518" s="136" t="s">
        <v>440</v>
      </c>
      <c r="C4518" s="132" t="s">
        <v>1363</v>
      </c>
      <c r="D4518" s="132" t="s">
        <v>1379</v>
      </c>
      <c r="E4518" s="508">
        <v>0.13800000000000001</v>
      </c>
      <c r="F4518" s="508">
        <v>0.13700000000000001</v>
      </c>
      <c r="G4518" s="508">
        <v>0.13300000000000001</v>
      </c>
      <c r="H4518" s="508">
        <v>0.13800000000000001</v>
      </c>
      <c r="I4518" s="508">
        <v>0.13700000000000001</v>
      </c>
      <c r="J4518" s="508">
        <v>0.13400000000000001</v>
      </c>
      <c r="K4518" s="508">
        <v>0.13800000000000001</v>
      </c>
      <c r="L4518" s="508">
        <v>0.13400000000000001</v>
      </c>
      <c r="M4518" s="508">
        <v>0.13900000000000001</v>
      </c>
      <c r="N4518" s="508">
        <v>0.13600000000000001</v>
      </c>
      <c r="O4518" s="508">
        <v>0.13700000000000001</v>
      </c>
      <c r="P4518" s="508">
        <v>0.13700000000000001</v>
      </c>
      <c r="Q4518" s="508">
        <v>0.14099999999999999</v>
      </c>
      <c r="R4518" s="508">
        <v>0.13900000000000001</v>
      </c>
      <c r="S4518" s="508">
        <v>0.13800000000000001</v>
      </c>
      <c r="T4518" s="508">
        <v>0.13700000000000001</v>
      </c>
      <c r="U4518" s="508">
        <v>0.13900000000000001</v>
      </c>
      <c r="V4518" s="508">
        <v>0.127</v>
      </c>
      <c r="W4518" s="508">
        <v>0.13100000000000001</v>
      </c>
      <c r="X4518" s="508">
        <v>0.126</v>
      </c>
      <c r="Y4518" s="508">
        <v>0.129</v>
      </c>
      <c r="Z4518" s="508">
        <v>0.13100000000000001</v>
      </c>
      <c r="AA4518" s="508">
        <v>0.13</v>
      </c>
      <c r="AB4518" s="508">
        <v>0.126</v>
      </c>
      <c r="AC4518" s="508">
        <v>0.13500000000000001</v>
      </c>
      <c r="AD4518" s="508">
        <v>0.13400000000000001</v>
      </c>
      <c r="AE4518" s="508">
        <v>0.13</v>
      </c>
      <c r="AF4518" s="508">
        <v>0.13</v>
      </c>
      <c r="AG4518" s="508">
        <v>0.13</v>
      </c>
      <c r="AH4518" s="508">
        <v>0.13</v>
      </c>
      <c r="AI4518" s="492">
        <v>0.13</v>
      </c>
      <c r="AJ4518" s="485"/>
    </row>
    <row r="4519" spans="2:36">
      <c r="B4519" s="136" t="s">
        <v>441</v>
      </c>
      <c r="C4519" s="132" t="s">
        <v>1363</v>
      </c>
      <c r="D4519" s="132" t="s">
        <v>1379</v>
      </c>
      <c r="E4519" s="508">
        <v>0.14899999999999999</v>
      </c>
      <c r="F4519" s="508">
        <v>0.14799999999999999</v>
      </c>
      <c r="G4519" s="508">
        <v>0.14399999999999999</v>
      </c>
      <c r="H4519" s="508">
        <v>0.14899999999999999</v>
      </c>
      <c r="I4519" s="508">
        <v>0.14899999999999999</v>
      </c>
      <c r="J4519" s="508">
        <v>0.14499999999999999</v>
      </c>
      <c r="K4519" s="508">
        <v>0.15</v>
      </c>
      <c r="L4519" s="508">
        <v>0.14499999999999999</v>
      </c>
      <c r="M4519" s="508">
        <v>0.151</v>
      </c>
      <c r="N4519" s="508">
        <v>0.14699999999999999</v>
      </c>
      <c r="O4519" s="508">
        <v>0.14899999999999999</v>
      </c>
      <c r="P4519" s="508">
        <v>0.14799999999999999</v>
      </c>
      <c r="Q4519" s="508">
        <v>0.153</v>
      </c>
      <c r="R4519" s="508">
        <v>0.15</v>
      </c>
      <c r="S4519" s="508">
        <v>0.14899999999999999</v>
      </c>
      <c r="T4519" s="508">
        <v>0.14799999999999999</v>
      </c>
      <c r="U4519" s="508">
        <v>0.15</v>
      </c>
      <c r="V4519" s="508">
        <v>0.13800000000000001</v>
      </c>
      <c r="W4519" s="508">
        <v>0.14199999999999999</v>
      </c>
      <c r="X4519" s="508">
        <v>0.13600000000000001</v>
      </c>
      <c r="Y4519" s="508">
        <v>0.13900000000000001</v>
      </c>
      <c r="Z4519" s="508">
        <v>0.14099999999999999</v>
      </c>
      <c r="AA4519" s="508">
        <v>0.14099999999999999</v>
      </c>
      <c r="AB4519" s="508">
        <v>0.13600000000000001</v>
      </c>
      <c r="AC4519" s="508">
        <v>0.14599999999999999</v>
      </c>
      <c r="AD4519" s="508">
        <v>0.14499999999999999</v>
      </c>
      <c r="AE4519" s="508">
        <v>0.14099999999999999</v>
      </c>
      <c r="AF4519" s="508">
        <v>0.14099999999999999</v>
      </c>
      <c r="AG4519" s="508">
        <v>0.14099999999999999</v>
      </c>
      <c r="AH4519" s="508">
        <v>0.14099999999999999</v>
      </c>
      <c r="AI4519" s="492">
        <v>0.14099999999999999</v>
      </c>
      <c r="AJ4519" s="485"/>
    </row>
    <row r="4520" spans="2:36">
      <c r="B4520" s="136" t="s">
        <v>443</v>
      </c>
      <c r="C4520" s="132" t="s">
        <v>1363</v>
      </c>
      <c r="D4520" s="132" t="s">
        <v>1379</v>
      </c>
      <c r="E4520" s="508">
        <v>0.16900000000000001</v>
      </c>
      <c r="F4520" s="508">
        <v>0.16800000000000001</v>
      </c>
      <c r="G4520" s="508">
        <v>0.16300000000000001</v>
      </c>
      <c r="H4520" s="508">
        <v>0.17</v>
      </c>
      <c r="I4520" s="508">
        <v>0.16900000000000001</v>
      </c>
      <c r="J4520" s="508">
        <v>0.16500000000000001</v>
      </c>
      <c r="K4520" s="508">
        <v>0.17</v>
      </c>
      <c r="L4520" s="508">
        <v>0.16500000000000001</v>
      </c>
      <c r="M4520" s="508">
        <v>0.17199999999999999</v>
      </c>
      <c r="N4520" s="508">
        <v>0.16700000000000001</v>
      </c>
      <c r="O4520" s="508">
        <v>0.16900000000000001</v>
      </c>
      <c r="P4520" s="508">
        <v>0.16900000000000001</v>
      </c>
      <c r="Q4520" s="508">
        <v>0.17399999999999999</v>
      </c>
      <c r="R4520" s="508">
        <v>0.17100000000000001</v>
      </c>
      <c r="S4520" s="508">
        <v>0.17</v>
      </c>
      <c r="T4520" s="508">
        <v>0.16900000000000001</v>
      </c>
      <c r="U4520" s="508">
        <v>0.17</v>
      </c>
      <c r="V4520" s="508">
        <v>0.157</v>
      </c>
      <c r="W4520" s="508">
        <v>0.16200000000000001</v>
      </c>
      <c r="X4520" s="508">
        <v>0.155</v>
      </c>
      <c r="Y4520" s="508">
        <v>0.158</v>
      </c>
      <c r="Z4520" s="508">
        <v>0.161</v>
      </c>
      <c r="AA4520" s="508">
        <v>0.16</v>
      </c>
      <c r="AB4520" s="508">
        <v>0.155</v>
      </c>
      <c r="AC4520" s="508">
        <v>0.16700000000000001</v>
      </c>
      <c r="AD4520" s="508">
        <v>0.16500000000000001</v>
      </c>
      <c r="AE4520" s="508">
        <v>0.16</v>
      </c>
      <c r="AF4520" s="508">
        <v>0.16</v>
      </c>
      <c r="AG4520" s="508">
        <v>0.16</v>
      </c>
      <c r="AH4520" s="508">
        <v>0.16</v>
      </c>
      <c r="AI4520" s="492">
        <v>0.16</v>
      </c>
      <c r="AJ4520" s="485"/>
    </row>
    <row r="4521" spans="2:36">
      <c r="B4521" s="136" t="s">
        <v>445</v>
      </c>
      <c r="C4521" s="132" t="s">
        <v>1363</v>
      </c>
      <c r="D4521" s="132" t="s">
        <v>1379</v>
      </c>
      <c r="E4521" s="508">
        <v>0.216</v>
      </c>
      <c r="F4521" s="508">
        <v>0.215</v>
      </c>
      <c r="G4521" s="508">
        <v>0.20899999999999999</v>
      </c>
      <c r="H4521" s="508">
        <v>0.217</v>
      </c>
      <c r="I4521" s="508">
        <v>0.216</v>
      </c>
      <c r="J4521" s="508">
        <v>0.21099999999999999</v>
      </c>
      <c r="K4521" s="508">
        <v>0.218</v>
      </c>
      <c r="L4521" s="508">
        <v>0.21099999999999999</v>
      </c>
      <c r="M4521" s="508">
        <v>0.22</v>
      </c>
      <c r="N4521" s="508">
        <v>0.21299999999999999</v>
      </c>
      <c r="O4521" s="508">
        <v>0.216</v>
      </c>
      <c r="P4521" s="508">
        <v>0.216</v>
      </c>
      <c r="Q4521" s="508">
        <v>0.223</v>
      </c>
      <c r="R4521" s="508">
        <v>0.219</v>
      </c>
      <c r="S4521" s="508">
        <v>0.217</v>
      </c>
      <c r="T4521" s="508">
        <v>0.216</v>
      </c>
      <c r="U4521" s="508">
        <v>0.218</v>
      </c>
      <c r="V4521" s="508">
        <v>0.2</v>
      </c>
      <c r="W4521" s="508">
        <v>0.20699999999999999</v>
      </c>
      <c r="X4521" s="508">
        <v>0.19700000000000001</v>
      </c>
      <c r="Y4521" s="508">
        <v>0.20200000000000001</v>
      </c>
      <c r="Z4521" s="508">
        <v>0.20499999999999999</v>
      </c>
      <c r="AA4521" s="508">
        <v>0.20499999999999999</v>
      </c>
      <c r="AB4521" s="508">
        <v>0.19800000000000001</v>
      </c>
      <c r="AC4521" s="508">
        <v>0.21299999999999999</v>
      </c>
      <c r="AD4521" s="508">
        <v>0.21</v>
      </c>
      <c r="AE4521" s="508">
        <v>0.20499999999999999</v>
      </c>
      <c r="AF4521" s="508">
        <v>0.20499999999999999</v>
      </c>
      <c r="AG4521" s="508">
        <v>0.20499999999999999</v>
      </c>
      <c r="AH4521" s="508">
        <v>0.20499999999999999</v>
      </c>
      <c r="AI4521" s="492">
        <v>0.20499999999999999</v>
      </c>
      <c r="AJ4521" s="485"/>
    </row>
    <row r="4522" spans="2:36">
      <c r="B4522" s="136" t="s">
        <v>446</v>
      </c>
      <c r="C4522" s="132" t="s">
        <v>1363</v>
      </c>
      <c r="D4522" s="132" t="s">
        <v>1379</v>
      </c>
      <c r="E4522" s="508">
        <v>0.17599999999999999</v>
      </c>
      <c r="F4522" s="508">
        <v>0.17499999999999999</v>
      </c>
      <c r="G4522" s="508">
        <v>0.17</v>
      </c>
      <c r="H4522" s="508">
        <v>0.17699999999999999</v>
      </c>
      <c r="I4522" s="508">
        <v>0.17599999999999999</v>
      </c>
      <c r="J4522" s="508">
        <v>0.17199999999999999</v>
      </c>
      <c r="K4522" s="508">
        <v>0.17699999999999999</v>
      </c>
      <c r="L4522" s="508">
        <v>0.17199999999999999</v>
      </c>
      <c r="M4522" s="508">
        <v>0.17899999999999999</v>
      </c>
      <c r="N4522" s="508">
        <v>0.17399999999999999</v>
      </c>
      <c r="O4522" s="508">
        <v>0.17599999999999999</v>
      </c>
      <c r="P4522" s="508">
        <v>0.17599999999999999</v>
      </c>
      <c r="Q4522" s="508">
        <v>0.18099999999999999</v>
      </c>
      <c r="R4522" s="508">
        <v>0.17799999999999999</v>
      </c>
      <c r="S4522" s="508">
        <v>0.17699999999999999</v>
      </c>
      <c r="T4522" s="508">
        <v>0.17599999999999999</v>
      </c>
      <c r="U4522" s="508">
        <v>0.17799999999999999</v>
      </c>
      <c r="V4522" s="508">
        <v>0.16300000000000001</v>
      </c>
      <c r="W4522" s="508">
        <v>0.16800000000000001</v>
      </c>
      <c r="X4522" s="508">
        <v>0.161</v>
      </c>
      <c r="Y4522" s="508">
        <v>0.16500000000000001</v>
      </c>
      <c r="Z4522" s="508">
        <v>0.16700000000000001</v>
      </c>
      <c r="AA4522" s="508">
        <v>0.16700000000000001</v>
      </c>
      <c r="AB4522" s="508">
        <v>0.161</v>
      </c>
      <c r="AC4522" s="508">
        <v>0.17299999999999999</v>
      </c>
      <c r="AD4522" s="508">
        <v>0.17100000000000001</v>
      </c>
      <c r="AE4522" s="508">
        <v>0.16700000000000001</v>
      </c>
      <c r="AF4522" s="508">
        <v>0.16700000000000001</v>
      </c>
      <c r="AG4522" s="508">
        <v>0.16700000000000001</v>
      </c>
      <c r="AH4522" s="508">
        <v>0.16700000000000001</v>
      </c>
      <c r="AI4522" s="492">
        <v>0.16700000000000001</v>
      </c>
      <c r="AJ4522" s="485"/>
    </row>
    <row r="4523" spans="2:36">
      <c r="B4523" s="136" t="s">
        <v>448</v>
      </c>
      <c r="C4523" s="132" t="s">
        <v>1363</v>
      </c>
      <c r="D4523" s="132" t="s">
        <v>1379</v>
      </c>
      <c r="E4523" s="508">
        <v>0.127</v>
      </c>
      <c r="F4523" s="508">
        <v>0.126</v>
      </c>
      <c r="G4523" s="508">
        <v>0.123</v>
      </c>
      <c r="H4523" s="508">
        <v>0.127</v>
      </c>
      <c r="I4523" s="508">
        <v>0.127</v>
      </c>
      <c r="J4523" s="508">
        <v>0.124</v>
      </c>
      <c r="K4523" s="508">
        <v>0.128</v>
      </c>
      <c r="L4523" s="508">
        <v>0.124</v>
      </c>
      <c r="M4523" s="508">
        <v>0.129</v>
      </c>
      <c r="N4523" s="508">
        <v>0.125</v>
      </c>
      <c r="O4523" s="508">
        <v>0.127</v>
      </c>
      <c r="P4523" s="508">
        <v>0.127</v>
      </c>
      <c r="Q4523" s="508">
        <v>0.13100000000000001</v>
      </c>
      <c r="R4523" s="508">
        <v>0.128</v>
      </c>
      <c r="S4523" s="508">
        <v>0.128</v>
      </c>
      <c r="T4523" s="508">
        <v>0.127</v>
      </c>
      <c r="U4523" s="508">
        <v>0.128</v>
      </c>
      <c r="V4523" s="508">
        <v>0.11799999999999999</v>
      </c>
      <c r="W4523" s="508">
        <v>0.122</v>
      </c>
      <c r="X4523" s="508">
        <v>0.11600000000000001</v>
      </c>
      <c r="Y4523" s="508">
        <v>0.11899999999999999</v>
      </c>
      <c r="Z4523" s="508">
        <v>0.121</v>
      </c>
      <c r="AA4523" s="508">
        <v>0.12</v>
      </c>
      <c r="AB4523" s="508">
        <v>0.11700000000000001</v>
      </c>
      <c r="AC4523" s="508">
        <v>0.125</v>
      </c>
      <c r="AD4523" s="508">
        <v>0.124</v>
      </c>
      <c r="AE4523" s="508">
        <v>0.12</v>
      </c>
      <c r="AF4523" s="508">
        <v>0.12</v>
      </c>
      <c r="AG4523" s="508">
        <v>0.12</v>
      </c>
      <c r="AH4523" s="508">
        <v>0.12</v>
      </c>
      <c r="AI4523" s="492">
        <v>0.12</v>
      </c>
      <c r="AJ4523" s="485"/>
    </row>
    <row r="4524" spans="2:36">
      <c r="B4524" s="136" t="s">
        <v>449</v>
      </c>
      <c r="C4524" s="132" t="s">
        <v>1363</v>
      </c>
      <c r="D4524" s="132" t="s">
        <v>1379</v>
      </c>
      <c r="E4524" s="508">
        <v>0.17199999999999999</v>
      </c>
      <c r="F4524" s="508">
        <v>0.17100000000000001</v>
      </c>
      <c r="G4524" s="508">
        <v>0.16600000000000001</v>
      </c>
      <c r="H4524" s="508">
        <v>0.17199999999999999</v>
      </c>
      <c r="I4524" s="508">
        <v>0.17100000000000001</v>
      </c>
      <c r="J4524" s="508">
        <v>0.16700000000000001</v>
      </c>
      <c r="K4524" s="508">
        <v>0.17299999999999999</v>
      </c>
      <c r="L4524" s="508">
        <v>0.16800000000000001</v>
      </c>
      <c r="M4524" s="508">
        <v>0.17399999999999999</v>
      </c>
      <c r="N4524" s="508">
        <v>0.16900000000000001</v>
      </c>
      <c r="O4524" s="508">
        <v>0.17199999999999999</v>
      </c>
      <c r="P4524" s="508">
        <v>0.17100000000000001</v>
      </c>
      <c r="Q4524" s="508">
        <v>0.17699999999999999</v>
      </c>
      <c r="R4524" s="508">
        <v>0.17399999999999999</v>
      </c>
      <c r="S4524" s="508">
        <v>0.17199999999999999</v>
      </c>
      <c r="T4524" s="508">
        <v>0.17100000000000001</v>
      </c>
      <c r="U4524" s="508">
        <v>0.17299999999999999</v>
      </c>
      <c r="V4524" s="508">
        <v>0.159</v>
      </c>
      <c r="W4524" s="508">
        <v>0.16400000000000001</v>
      </c>
      <c r="X4524" s="508">
        <v>0.157</v>
      </c>
      <c r="Y4524" s="508">
        <v>0.161</v>
      </c>
      <c r="Z4524" s="508">
        <v>0.16300000000000001</v>
      </c>
      <c r="AA4524" s="508">
        <v>0.16200000000000001</v>
      </c>
      <c r="AB4524" s="508">
        <v>0.157</v>
      </c>
      <c r="AC4524" s="508">
        <v>0.16900000000000001</v>
      </c>
      <c r="AD4524" s="508">
        <v>0.16700000000000001</v>
      </c>
      <c r="AE4524" s="508">
        <v>0.16300000000000001</v>
      </c>
      <c r="AF4524" s="508">
        <v>0.16300000000000001</v>
      </c>
      <c r="AG4524" s="508">
        <v>0.16300000000000001</v>
      </c>
      <c r="AH4524" s="508">
        <v>0.16300000000000001</v>
      </c>
      <c r="AI4524" s="492">
        <v>0.16300000000000001</v>
      </c>
      <c r="AJ4524" s="485"/>
    </row>
    <row r="4525" spans="2:36">
      <c r="B4525" s="136" t="s">
        <v>450</v>
      </c>
      <c r="C4525" s="132" t="s">
        <v>1363</v>
      </c>
      <c r="D4525" s="132" t="s">
        <v>1379</v>
      </c>
      <c r="E4525" s="508">
        <v>0.128</v>
      </c>
      <c r="F4525" s="508">
        <v>0.127</v>
      </c>
      <c r="G4525" s="508">
        <v>0.124</v>
      </c>
      <c r="H4525" s="508">
        <v>0.128</v>
      </c>
      <c r="I4525" s="508">
        <v>0.128</v>
      </c>
      <c r="J4525" s="508">
        <v>0.126</v>
      </c>
      <c r="K4525" s="508">
        <v>0.129</v>
      </c>
      <c r="L4525" s="508">
        <v>0.126</v>
      </c>
      <c r="M4525" s="508">
        <v>0.13</v>
      </c>
      <c r="N4525" s="508">
        <v>0.127</v>
      </c>
      <c r="O4525" s="508">
        <v>0.128</v>
      </c>
      <c r="P4525" s="508">
        <v>0.128</v>
      </c>
      <c r="Q4525" s="508">
        <v>0.13100000000000001</v>
      </c>
      <c r="R4525" s="508">
        <v>0.129</v>
      </c>
      <c r="S4525" s="508">
        <v>0.129</v>
      </c>
      <c r="T4525" s="508">
        <v>0.127</v>
      </c>
      <c r="U4525" s="508">
        <v>0.129</v>
      </c>
      <c r="V4525" s="508">
        <v>0.12</v>
      </c>
      <c r="W4525" s="508">
        <v>0.123</v>
      </c>
      <c r="X4525" s="508">
        <v>0.11899999999999999</v>
      </c>
      <c r="Y4525" s="508">
        <v>0.121</v>
      </c>
      <c r="Z4525" s="508">
        <v>0.123</v>
      </c>
      <c r="AA4525" s="508">
        <v>0.123</v>
      </c>
      <c r="AB4525" s="508">
        <v>0.11899999999999999</v>
      </c>
      <c r="AC4525" s="508">
        <v>0.127</v>
      </c>
      <c r="AD4525" s="508">
        <v>0.126</v>
      </c>
      <c r="AE4525" s="508">
        <v>0.123</v>
      </c>
      <c r="AF4525" s="508">
        <v>0.123</v>
      </c>
      <c r="AG4525" s="508">
        <v>0.123</v>
      </c>
      <c r="AH4525" s="508">
        <v>0.123</v>
      </c>
      <c r="AI4525" s="492">
        <v>0.123</v>
      </c>
      <c r="AJ4525" s="485"/>
    </row>
    <row r="4526" spans="2:36">
      <c r="B4526" s="136" t="s">
        <v>451</v>
      </c>
      <c r="C4526" s="132" t="s">
        <v>1363</v>
      </c>
      <c r="D4526" s="132" t="s">
        <v>1379</v>
      </c>
      <c r="E4526" s="508">
        <v>0.186</v>
      </c>
      <c r="F4526" s="508">
        <v>0.185</v>
      </c>
      <c r="G4526" s="508">
        <v>0.18</v>
      </c>
      <c r="H4526" s="508">
        <v>0.187</v>
      </c>
      <c r="I4526" s="508">
        <v>0.186</v>
      </c>
      <c r="J4526" s="508">
        <v>0.182</v>
      </c>
      <c r="K4526" s="508">
        <v>0.188</v>
      </c>
      <c r="L4526" s="508">
        <v>0.182</v>
      </c>
      <c r="M4526" s="508">
        <v>0.189</v>
      </c>
      <c r="N4526" s="508">
        <v>0.184</v>
      </c>
      <c r="O4526" s="508">
        <v>0.186</v>
      </c>
      <c r="P4526" s="508">
        <v>0.186</v>
      </c>
      <c r="Q4526" s="508">
        <v>0.192</v>
      </c>
      <c r="R4526" s="508">
        <v>0.188</v>
      </c>
      <c r="S4526" s="508">
        <v>0.187</v>
      </c>
      <c r="T4526" s="508">
        <v>0.186</v>
      </c>
      <c r="U4526" s="508">
        <v>0.188</v>
      </c>
      <c r="V4526" s="508">
        <v>0.17199999999999999</v>
      </c>
      <c r="W4526" s="508">
        <v>0.17799999999999999</v>
      </c>
      <c r="X4526" s="508">
        <v>0.17</v>
      </c>
      <c r="Y4526" s="508">
        <v>0.17399999999999999</v>
      </c>
      <c r="Z4526" s="508">
        <v>0.17699999999999999</v>
      </c>
      <c r="AA4526" s="508">
        <v>0.17599999999999999</v>
      </c>
      <c r="AB4526" s="508">
        <v>0.17</v>
      </c>
      <c r="AC4526" s="508">
        <v>0.183</v>
      </c>
      <c r="AD4526" s="508">
        <v>0.18099999999999999</v>
      </c>
      <c r="AE4526" s="508">
        <v>0.17599999999999999</v>
      </c>
      <c r="AF4526" s="508">
        <v>0.17599999999999999</v>
      </c>
      <c r="AG4526" s="508">
        <v>0.17599999999999999</v>
      </c>
      <c r="AH4526" s="508">
        <v>0.17599999999999999</v>
      </c>
      <c r="AI4526" s="492">
        <v>0.17599999999999999</v>
      </c>
      <c r="AJ4526" s="485"/>
    </row>
    <row r="4527" spans="2:36">
      <c r="B4527" s="136" t="s">
        <v>452</v>
      </c>
      <c r="C4527" s="132" t="s">
        <v>1363</v>
      </c>
      <c r="D4527" s="132" t="s">
        <v>1379</v>
      </c>
      <c r="E4527" s="508">
        <v>0.14799999999999999</v>
      </c>
      <c r="F4527" s="508">
        <v>0.14699999999999999</v>
      </c>
      <c r="G4527" s="508">
        <v>0.14299999999999999</v>
      </c>
      <c r="H4527" s="508">
        <v>0.14799999999999999</v>
      </c>
      <c r="I4527" s="508">
        <v>0.14699999999999999</v>
      </c>
      <c r="J4527" s="508">
        <v>0.14399999999999999</v>
      </c>
      <c r="K4527" s="508">
        <v>0.14899999999999999</v>
      </c>
      <c r="L4527" s="508">
        <v>0.14399999999999999</v>
      </c>
      <c r="M4527" s="508">
        <v>0.15</v>
      </c>
      <c r="N4527" s="508">
        <v>0.14599999999999999</v>
      </c>
      <c r="O4527" s="508">
        <v>0.14799999999999999</v>
      </c>
      <c r="P4527" s="508">
        <v>0.14699999999999999</v>
      </c>
      <c r="Q4527" s="508">
        <v>0.152</v>
      </c>
      <c r="R4527" s="508">
        <v>0.14899999999999999</v>
      </c>
      <c r="S4527" s="508">
        <v>0.14799999999999999</v>
      </c>
      <c r="T4527" s="508">
        <v>0.14699999999999999</v>
      </c>
      <c r="U4527" s="508">
        <v>0.14899999999999999</v>
      </c>
      <c r="V4527" s="508">
        <v>0.13700000000000001</v>
      </c>
      <c r="W4527" s="508">
        <v>0.14099999999999999</v>
      </c>
      <c r="X4527" s="508">
        <v>0.13500000000000001</v>
      </c>
      <c r="Y4527" s="508">
        <v>0.13800000000000001</v>
      </c>
      <c r="Z4527" s="508">
        <v>0.14000000000000001</v>
      </c>
      <c r="AA4527" s="508">
        <v>0.14000000000000001</v>
      </c>
      <c r="AB4527" s="508">
        <v>0.13500000000000001</v>
      </c>
      <c r="AC4527" s="508">
        <v>0.14499999999999999</v>
      </c>
      <c r="AD4527" s="508">
        <v>0.14399999999999999</v>
      </c>
      <c r="AE4527" s="508">
        <v>0.14000000000000001</v>
      </c>
      <c r="AF4527" s="508">
        <v>0.14000000000000001</v>
      </c>
      <c r="AG4527" s="508">
        <v>0.14000000000000001</v>
      </c>
      <c r="AH4527" s="508">
        <v>0.14000000000000001</v>
      </c>
      <c r="AI4527" s="492">
        <v>0.14000000000000001</v>
      </c>
      <c r="AJ4527" s="485"/>
    </row>
    <row r="4528" spans="2:36">
      <c r="B4528" s="136" t="s">
        <v>453</v>
      </c>
      <c r="C4528" s="132" t="s">
        <v>1363</v>
      </c>
      <c r="D4528" s="132" t="s">
        <v>1379</v>
      </c>
      <c r="E4528" s="508">
        <v>0.121</v>
      </c>
      <c r="F4528" s="508">
        <v>0.12</v>
      </c>
      <c r="G4528" s="508">
        <v>0.11700000000000001</v>
      </c>
      <c r="H4528" s="508">
        <v>0.121</v>
      </c>
      <c r="I4528" s="508">
        <v>0.121</v>
      </c>
      <c r="J4528" s="508">
        <v>0.11799999999999999</v>
      </c>
      <c r="K4528" s="508">
        <v>0.122</v>
      </c>
      <c r="L4528" s="508">
        <v>0.11799999999999999</v>
      </c>
      <c r="M4528" s="508">
        <v>0.123</v>
      </c>
      <c r="N4528" s="508">
        <v>0.11899999999999999</v>
      </c>
      <c r="O4528" s="508">
        <v>0.121</v>
      </c>
      <c r="P4528" s="508">
        <v>0.121</v>
      </c>
      <c r="Q4528" s="508">
        <v>0.124</v>
      </c>
      <c r="R4528" s="508">
        <v>0.122</v>
      </c>
      <c r="S4528" s="508">
        <v>0.121</v>
      </c>
      <c r="T4528" s="508">
        <v>0.12</v>
      </c>
      <c r="U4528" s="508">
        <v>0.122</v>
      </c>
      <c r="V4528" s="508">
        <v>0.112</v>
      </c>
      <c r="W4528" s="508">
        <v>0.11600000000000001</v>
      </c>
      <c r="X4528" s="508">
        <v>0.111</v>
      </c>
      <c r="Y4528" s="508">
        <v>0.113</v>
      </c>
      <c r="Z4528" s="508">
        <v>0.115</v>
      </c>
      <c r="AA4528" s="508">
        <v>0.115</v>
      </c>
      <c r="AB4528" s="508">
        <v>0.111</v>
      </c>
      <c r="AC4528" s="508">
        <v>0.11899999999999999</v>
      </c>
      <c r="AD4528" s="508">
        <v>0.11799999999999999</v>
      </c>
      <c r="AE4528" s="508">
        <v>0.115</v>
      </c>
      <c r="AF4528" s="508">
        <v>0.115</v>
      </c>
      <c r="AG4528" s="508">
        <v>0.115</v>
      </c>
      <c r="AH4528" s="508">
        <v>0.115</v>
      </c>
      <c r="AI4528" s="492">
        <v>0.115</v>
      </c>
      <c r="AJ4528" s="485"/>
    </row>
    <row r="4529" spans="2:36">
      <c r="B4529" s="136" t="s">
        <v>454</v>
      </c>
      <c r="C4529" s="132" t="s">
        <v>1363</v>
      </c>
      <c r="D4529" s="132" t="s">
        <v>1379</v>
      </c>
      <c r="E4529" s="508">
        <v>0.128</v>
      </c>
      <c r="F4529" s="508">
        <v>0.127</v>
      </c>
      <c r="G4529" s="508">
        <v>0.123</v>
      </c>
      <c r="H4529" s="508">
        <v>0.128</v>
      </c>
      <c r="I4529" s="508">
        <v>0.128</v>
      </c>
      <c r="J4529" s="508">
        <v>0.125</v>
      </c>
      <c r="K4529" s="508">
        <v>0.129</v>
      </c>
      <c r="L4529" s="508">
        <v>0.125</v>
      </c>
      <c r="M4529" s="508">
        <v>0.13</v>
      </c>
      <c r="N4529" s="508">
        <v>0.126</v>
      </c>
      <c r="O4529" s="508">
        <v>0.128</v>
      </c>
      <c r="P4529" s="508">
        <v>0.128</v>
      </c>
      <c r="Q4529" s="508">
        <v>0.13100000000000001</v>
      </c>
      <c r="R4529" s="508">
        <v>0.129</v>
      </c>
      <c r="S4529" s="508">
        <v>0.128</v>
      </c>
      <c r="T4529" s="508">
        <v>0.127</v>
      </c>
      <c r="U4529" s="508">
        <v>0.129</v>
      </c>
      <c r="V4529" s="508">
        <v>0.11799999999999999</v>
      </c>
      <c r="W4529" s="508">
        <v>0.122</v>
      </c>
      <c r="X4529" s="508">
        <v>0.11700000000000001</v>
      </c>
      <c r="Y4529" s="508">
        <v>0.12</v>
      </c>
      <c r="Z4529" s="508">
        <v>0.122</v>
      </c>
      <c r="AA4529" s="508">
        <v>0.121</v>
      </c>
      <c r="AB4529" s="508">
        <v>0.11700000000000001</v>
      </c>
      <c r="AC4529" s="508">
        <v>0.126</v>
      </c>
      <c r="AD4529" s="508">
        <v>0.125</v>
      </c>
      <c r="AE4529" s="508">
        <v>0.121</v>
      </c>
      <c r="AF4529" s="508">
        <v>0.121</v>
      </c>
      <c r="AG4529" s="508">
        <v>0.121</v>
      </c>
      <c r="AH4529" s="508">
        <v>0.121</v>
      </c>
      <c r="AI4529" s="492">
        <v>0.121</v>
      </c>
      <c r="AJ4529" s="485"/>
    </row>
    <row r="4530" spans="2:36">
      <c r="B4530" s="136" t="s">
        <v>455</v>
      </c>
      <c r="C4530" s="132" t="s">
        <v>1363</v>
      </c>
      <c r="D4530" s="132" t="s">
        <v>1379</v>
      </c>
      <c r="E4530" s="508">
        <v>0.114</v>
      </c>
      <c r="F4530" s="508">
        <v>0.113</v>
      </c>
      <c r="G4530" s="508">
        <v>0.11</v>
      </c>
      <c r="H4530" s="508">
        <v>0.114</v>
      </c>
      <c r="I4530" s="508">
        <v>0.114</v>
      </c>
      <c r="J4530" s="508">
        <v>0.111</v>
      </c>
      <c r="K4530" s="508">
        <v>0.115</v>
      </c>
      <c r="L4530" s="508">
        <v>0.111</v>
      </c>
      <c r="M4530" s="508">
        <v>0.115</v>
      </c>
      <c r="N4530" s="508">
        <v>0.112</v>
      </c>
      <c r="O4530" s="508">
        <v>0.114</v>
      </c>
      <c r="P4530" s="508">
        <v>0.113</v>
      </c>
      <c r="Q4530" s="508">
        <v>0.11700000000000001</v>
      </c>
      <c r="R4530" s="508">
        <v>0.115</v>
      </c>
      <c r="S4530" s="508">
        <v>0.114</v>
      </c>
      <c r="T4530" s="508">
        <v>0.113</v>
      </c>
      <c r="U4530" s="508">
        <v>0.115</v>
      </c>
      <c r="V4530" s="508">
        <v>0.105</v>
      </c>
      <c r="W4530" s="508">
        <v>0.109</v>
      </c>
      <c r="X4530" s="508">
        <v>0.104</v>
      </c>
      <c r="Y4530" s="508">
        <v>0.107</v>
      </c>
      <c r="Z4530" s="508">
        <v>0.108</v>
      </c>
      <c r="AA4530" s="508">
        <v>0.108</v>
      </c>
      <c r="AB4530" s="508">
        <v>0.104</v>
      </c>
      <c r="AC4530" s="508">
        <v>0.112</v>
      </c>
      <c r="AD4530" s="508">
        <v>0.111</v>
      </c>
      <c r="AE4530" s="508">
        <v>0.108</v>
      </c>
      <c r="AF4530" s="508">
        <v>0.108</v>
      </c>
      <c r="AG4530" s="508">
        <v>0.108</v>
      </c>
      <c r="AH4530" s="508">
        <v>0.108</v>
      </c>
      <c r="AI4530" s="492">
        <v>0.108</v>
      </c>
      <c r="AJ4530" s="485"/>
    </row>
    <row r="4531" spans="2:36">
      <c r="B4531" s="136" t="s">
        <v>456</v>
      </c>
      <c r="C4531" s="132" t="s">
        <v>1363</v>
      </c>
      <c r="D4531" s="132" t="s">
        <v>1379</v>
      </c>
      <c r="E4531" s="508">
        <v>0.13400000000000001</v>
      </c>
      <c r="F4531" s="508">
        <v>0.13300000000000001</v>
      </c>
      <c r="G4531" s="508">
        <v>0.129</v>
      </c>
      <c r="H4531" s="508">
        <v>0.13400000000000001</v>
      </c>
      <c r="I4531" s="508">
        <v>0.13300000000000001</v>
      </c>
      <c r="J4531" s="508">
        <v>0.13</v>
      </c>
      <c r="K4531" s="508">
        <v>0.13500000000000001</v>
      </c>
      <c r="L4531" s="508">
        <v>0.13</v>
      </c>
      <c r="M4531" s="508">
        <v>0.13600000000000001</v>
      </c>
      <c r="N4531" s="508">
        <v>0.13200000000000001</v>
      </c>
      <c r="O4531" s="508">
        <v>0.13300000000000001</v>
      </c>
      <c r="P4531" s="508">
        <v>0.13300000000000001</v>
      </c>
      <c r="Q4531" s="508">
        <v>0.13700000000000001</v>
      </c>
      <c r="R4531" s="508">
        <v>0.13500000000000001</v>
      </c>
      <c r="S4531" s="508">
        <v>0.13400000000000001</v>
      </c>
      <c r="T4531" s="508">
        <v>0.13300000000000001</v>
      </c>
      <c r="U4531" s="508">
        <v>0.13500000000000001</v>
      </c>
      <c r="V4531" s="508">
        <v>0.124</v>
      </c>
      <c r="W4531" s="508">
        <v>0.128</v>
      </c>
      <c r="X4531" s="508">
        <v>0.122</v>
      </c>
      <c r="Y4531" s="508">
        <v>0.125</v>
      </c>
      <c r="Z4531" s="508">
        <v>0.127</v>
      </c>
      <c r="AA4531" s="508">
        <v>0.126</v>
      </c>
      <c r="AB4531" s="508">
        <v>0.122</v>
      </c>
      <c r="AC4531" s="508">
        <v>0.13200000000000001</v>
      </c>
      <c r="AD4531" s="508">
        <v>0.13</v>
      </c>
      <c r="AE4531" s="508">
        <v>0.127</v>
      </c>
      <c r="AF4531" s="508">
        <v>0.127</v>
      </c>
      <c r="AG4531" s="508">
        <v>0.127</v>
      </c>
      <c r="AH4531" s="508">
        <v>0.127</v>
      </c>
      <c r="AI4531" s="492">
        <v>0.127</v>
      </c>
      <c r="AJ4531" s="485"/>
    </row>
    <row r="4532" spans="2:36">
      <c r="B4532" s="136" t="s">
        <v>457</v>
      </c>
      <c r="C4532" s="132" t="s">
        <v>1363</v>
      </c>
      <c r="D4532" s="132" t="s">
        <v>1379</v>
      </c>
      <c r="E4532" s="508">
        <v>0.11</v>
      </c>
      <c r="F4532" s="508">
        <v>0.109</v>
      </c>
      <c r="G4532" s="508">
        <v>0.106</v>
      </c>
      <c r="H4532" s="508">
        <v>0.11</v>
      </c>
      <c r="I4532" s="508">
        <v>0.11</v>
      </c>
      <c r="J4532" s="508">
        <v>0.107</v>
      </c>
      <c r="K4532" s="508">
        <v>0.111</v>
      </c>
      <c r="L4532" s="508">
        <v>0.107</v>
      </c>
      <c r="M4532" s="508">
        <v>0.112</v>
      </c>
      <c r="N4532" s="508">
        <v>0.108</v>
      </c>
      <c r="O4532" s="508">
        <v>0.11</v>
      </c>
      <c r="P4532" s="508">
        <v>0.11</v>
      </c>
      <c r="Q4532" s="508">
        <v>0.113</v>
      </c>
      <c r="R4532" s="508">
        <v>0.111</v>
      </c>
      <c r="S4532" s="508">
        <v>0.11</v>
      </c>
      <c r="T4532" s="508">
        <v>0.11</v>
      </c>
      <c r="U4532" s="508">
        <v>0.111</v>
      </c>
      <c r="V4532" s="508">
        <v>0.10199999999999999</v>
      </c>
      <c r="W4532" s="508">
        <v>0.105</v>
      </c>
      <c r="X4532" s="508">
        <v>0.10100000000000001</v>
      </c>
      <c r="Y4532" s="508">
        <v>0.10299999999999999</v>
      </c>
      <c r="Z4532" s="508">
        <v>0.105</v>
      </c>
      <c r="AA4532" s="508">
        <v>0.104</v>
      </c>
      <c r="AB4532" s="508">
        <v>0.10100000000000001</v>
      </c>
      <c r="AC4532" s="508">
        <v>0.108</v>
      </c>
      <c r="AD4532" s="508">
        <v>0.107</v>
      </c>
      <c r="AE4532" s="508">
        <v>0.104</v>
      </c>
      <c r="AF4532" s="508">
        <v>0.104</v>
      </c>
      <c r="AG4532" s="508">
        <v>0.104</v>
      </c>
      <c r="AH4532" s="508">
        <v>0.104</v>
      </c>
      <c r="AI4532" s="492">
        <v>0.104</v>
      </c>
      <c r="AJ4532" s="485"/>
    </row>
    <row r="4533" spans="2:36">
      <c r="B4533" s="136" t="s">
        <v>458</v>
      </c>
      <c r="C4533" s="132" t="s">
        <v>1363</v>
      </c>
      <c r="D4533" s="132" t="s">
        <v>1379</v>
      </c>
      <c r="E4533" s="508">
        <v>0.14000000000000001</v>
      </c>
      <c r="F4533" s="508">
        <v>0.13900000000000001</v>
      </c>
      <c r="G4533" s="508">
        <v>0.13500000000000001</v>
      </c>
      <c r="H4533" s="508">
        <v>0.14099999999999999</v>
      </c>
      <c r="I4533" s="508">
        <v>0.14000000000000001</v>
      </c>
      <c r="J4533" s="508">
        <v>0.13700000000000001</v>
      </c>
      <c r="K4533" s="508">
        <v>0.14099999999999999</v>
      </c>
      <c r="L4533" s="508">
        <v>0.13700000000000001</v>
      </c>
      <c r="M4533" s="508">
        <v>0.14199999999999999</v>
      </c>
      <c r="N4533" s="508">
        <v>0.13800000000000001</v>
      </c>
      <c r="O4533" s="508">
        <v>0.14000000000000001</v>
      </c>
      <c r="P4533" s="508">
        <v>0.14000000000000001</v>
      </c>
      <c r="Q4533" s="508">
        <v>0.14399999999999999</v>
      </c>
      <c r="R4533" s="508">
        <v>0.14199999999999999</v>
      </c>
      <c r="S4533" s="508">
        <v>0.14099999999999999</v>
      </c>
      <c r="T4533" s="508">
        <v>0.14000000000000001</v>
      </c>
      <c r="U4533" s="508">
        <v>0.14099999999999999</v>
      </c>
      <c r="V4533" s="508">
        <v>0.13</v>
      </c>
      <c r="W4533" s="508">
        <v>0.13400000000000001</v>
      </c>
      <c r="X4533" s="508">
        <v>0.128</v>
      </c>
      <c r="Y4533" s="508">
        <v>0.13100000000000001</v>
      </c>
      <c r="Z4533" s="508">
        <v>0.13300000000000001</v>
      </c>
      <c r="AA4533" s="508">
        <v>0.13300000000000001</v>
      </c>
      <c r="AB4533" s="508">
        <v>0.129</v>
      </c>
      <c r="AC4533" s="508">
        <v>0.13800000000000001</v>
      </c>
      <c r="AD4533" s="508">
        <v>0.13700000000000001</v>
      </c>
      <c r="AE4533" s="508">
        <v>0.13300000000000001</v>
      </c>
      <c r="AF4533" s="508">
        <v>0.13300000000000001</v>
      </c>
      <c r="AG4533" s="508">
        <v>0.13300000000000001</v>
      </c>
      <c r="AH4533" s="508">
        <v>0.13300000000000001</v>
      </c>
      <c r="AI4533" s="492">
        <v>0.13300000000000001</v>
      </c>
      <c r="AJ4533" s="485"/>
    </row>
    <row r="4534" spans="2:36">
      <c r="B4534" s="136" t="s">
        <v>459</v>
      </c>
      <c r="C4534" s="132" t="s">
        <v>1363</v>
      </c>
      <c r="D4534" s="132" t="s">
        <v>1379</v>
      </c>
      <c r="E4534" s="508">
        <v>0.14000000000000001</v>
      </c>
      <c r="F4534" s="508">
        <v>0.13900000000000001</v>
      </c>
      <c r="G4534" s="508">
        <v>0.13500000000000001</v>
      </c>
      <c r="H4534" s="508">
        <v>0.14000000000000001</v>
      </c>
      <c r="I4534" s="508">
        <v>0.14000000000000001</v>
      </c>
      <c r="J4534" s="508">
        <v>0.13600000000000001</v>
      </c>
      <c r="K4534" s="508">
        <v>0.14099999999999999</v>
      </c>
      <c r="L4534" s="508">
        <v>0.13600000000000001</v>
      </c>
      <c r="M4534" s="508">
        <v>0.14199999999999999</v>
      </c>
      <c r="N4534" s="508">
        <v>0.13800000000000001</v>
      </c>
      <c r="O4534" s="508">
        <v>0.14000000000000001</v>
      </c>
      <c r="P4534" s="508">
        <v>0.13900000000000001</v>
      </c>
      <c r="Q4534" s="508">
        <v>0.14399999999999999</v>
      </c>
      <c r="R4534" s="508">
        <v>0.14099999999999999</v>
      </c>
      <c r="S4534" s="508">
        <v>0.14000000000000001</v>
      </c>
      <c r="T4534" s="508">
        <v>0.13900000000000001</v>
      </c>
      <c r="U4534" s="508">
        <v>0.14099999999999999</v>
      </c>
      <c r="V4534" s="508">
        <v>0.129</v>
      </c>
      <c r="W4534" s="508">
        <v>0.13400000000000001</v>
      </c>
      <c r="X4534" s="508">
        <v>0.128</v>
      </c>
      <c r="Y4534" s="508">
        <v>0.13100000000000001</v>
      </c>
      <c r="Z4534" s="508">
        <v>0.13300000000000001</v>
      </c>
      <c r="AA4534" s="508">
        <v>0.13200000000000001</v>
      </c>
      <c r="AB4534" s="508">
        <v>0.128</v>
      </c>
      <c r="AC4534" s="508">
        <v>0.13800000000000001</v>
      </c>
      <c r="AD4534" s="508">
        <v>0.13600000000000001</v>
      </c>
      <c r="AE4534" s="508">
        <v>0.13200000000000001</v>
      </c>
      <c r="AF4534" s="508">
        <v>0.13200000000000001</v>
      </c>
      <c r="AG4534" s="508">
        <v>0.13200000000000001</v>
      </c>
      <c r="AH4534" s="508">
        <v>0.13200000000000001</v>
      </c>
      <c r="AI4534" s="492">
        <v>0.13200000000000001</v>
      </c>
      <c r="AJ4534" s="485"/>
    </row>
    <row r="4535" spans="2:36">
      <c r="B4535" s="136" t="s">
        <v>460</v>
      </c>
      <c r="C4535" s="132" t="s">
        <v>1363</v>
      </c>
      <c r="D4535" s="132" t="s">
        <v>1379</v>
      </c>
      <c r="E4535" s="508">
        <v>0.14000000000000001</v>
      </c>
      <c r="F4535" s="508">
        <v>0.13900000000000001</v>
      </c>
      <c r="G4535" s="508">
        <v>0.13500000000000001</v>
      </c>
      <c r="H4535" s="508">
        <v>0.14000000000000001</v>
      </c>
      <c r="I4535" s="508">
        <v>0.14000000000000001</v>
      </c>
      <c r="J4535" s="508">
        <v>0.13700000000000001</v>
      </c>
      <c r="K4535" s="508">
        <v>0.14099999999999999</v>
      </c>
      <c r="L4535" s="508">
        <v>0.13700000000000001</v>
      </c>
      <c r="M4535" s="508">
        <v>0.14199999999999999</v>
      </c>
      <c r="N4535" s="508">
        <v>0.13800000000000001</v>
      </c>
      <c r="O4535" s="508">
        <v>0.14000000000000001</v>
      </c>
      <c r="P4535" s="508">
        <v>0.14000000000000001</v>
      </c>
      <c r="Q4535" s="508">
        <v>0.14399999999999999</v>
      </c>
      <c r="R4535" s="508">
        <v>0.14199999999999999</v>
      </c>
      <c r="S4535" s="508">
        <v>0.14099999999999999</v>
      </c>
      <c r="T4535" s="508">
        <v>0.14000000000000001</v>
      </c>
      <c r="U4535" s="508">
        <v>0.14099999999999999</v>
      </c>
      <c r="V4535" s="508">
        <v>0.13</v>
      </c>
      <c r="W4535" s="508">
        <v>0.13400000000000001</v>
      </c>
      <c r="X4535" s="508">
        <v>0.128</v>
      </c>
      <c r="Y4535" s="508">
        <v>0.13100000000000001</v>
      </c>
      <c r="Z4535" s="508">
        <v>0.13300000000000001</v>
      </c>
      <c r="AA4535" s="508">
        <v>0.13300000000000001</v>
      </c>
      <c r="AB4535" s="508">
        <v>0.128</v>
      </c>
      <c r="AC4535" s="508">
        <v>0.13800000000000001</v>
      </c>
      <c r="AD4535" s="508">
        <v>0.13600000000000001</v>
      </c>
      <c r="AE4535" s="508">
        <v>0.13300000000000001</v>
      </c>
      <c r="AF4535" s="508">
        <v>0.13300000000000001</v>
      </c>
      <c r="AG4535" s="508">
        <v>0.13300000000000001</v>
      </c>
      <c r="AH4535" s="508">
        <v>0.13300000000000001</v>
      </c>
      <c r="AI4535" s="492">
        <v>0.13300000000000001</v>
      </c>
      <c r="AJ4535" s="485"/>
    </row>
    <row r="4536" spans="2:36">
      <c r="B4536" s="136" t="s">
        <v>461</v>
      </c>
      <c r="C4536" s="132" t="s">
        <v>1363</v>
      </c>
      <c r="D4536" s="132" t="s">
        <v>1379</v>
      </c>
      <c r="E4536" s="508">
        <v>0.13600000000000001</v>
      </c>
      <c r="F4536" s="508">
        <v>0.13500000000000001</v>
      </c>
      <c r="G4536" s="508">
        <v>0.13100000000000001</v>
      </c>
      <c r="H4536" s="508">
        <v>0.13600000000000001</v>
      </c>
      <c r="I4536" s="508">
        <v>0.13500000000000001</v>
      </c>
      <c r="J4536" s="508">
        <v>0.13200000000000001</v>
      </c>
      <c r="K4536" s="508">
        <v>0.13700000000000001</v>
      </c>
      <c r="L4536" s="508">
        <v>0.13200000000000001</v>
      </c>
      <c r="M4536" s="508">
        <v>0.13800000000000001</v>
      </c>
      <c r="N4536" s="508">
        <v>0.13400000000000001</v>
      </c>
      <c r="O4536" s="508">
        <v>0.13500000000000001</v>
      </c>
      <c r="P4536" s="508">
        <v>0.13500000000000001</v>
      </c>
      <c r="Q4536" s="508">
        <v>0.13900000000000001</v>
      </c>
      <c r="R4536" s="508">
        <v>0.13700000000000001</v>
      </c>
      <c r="S4536" s="508">
        <v>0.13600000000000001</v>
      </c>
      <c r="T4536" s="508">
        <v>0.13500000000000001</v>
      </c>
      <c r="U4536" s="508">
        <v>0.13700000000000001</v>
      </c>
      <c r="V4536" s="508">
        <v>0.126</v>
      </c>
      <c r="W4536" s="508">
        <v>0.13</v>
      </c>
      <c r="X4536" s="508">
        <v>0.124</v>
      </c>
      <c r="Y4536" s="508">
        <v>0.127</v>
      </c>
      <c r="Z4536" s="508">
        <v>0.129</v>
      </c>
      <c r="AA4536" s="508">
        <v>0.128</v>
      </c>
      <c r="AB4536" s="508">
        <v>0.124</v>
      </c>
      <c r="AC4536" s="508">
        <v>0.13300000000000001</v>
      </c>
      <c r="AD4536" s="508">
        <v>0.13200000000000001</v>
      </c>
      <c r="AE4536" s="508">
        <v>0.128</v>
      </c>
      <c r="AF4536" s="508">
        <v>0.128</v>
      </c>
      <c r="AG4536" s="508">
        <v>0.128</v>
      </c>
      <c r="AH4536" s="508">
        <v>0.128</v>
      </c>
      <c r="AI4536" s="492">
        <v>0.128</v>
      </c>
      <c r="AJ4536" s="485"/>
    </row>
    <row r="4537" spans="2:36">
      <c r="B4537" s="136" t="s">
        <v>462</v>
      </c>
      <c r="C4537" s="132" t="s">
        <v>1363</v>
      </c>
      <c r="D4537" s="132" t="s">
        <v>1379</v>
      </c>
      <c r="E4537" s="508">
        <v>0.129</v>
      </c>
      <c r="F4537" s="508">
        <v>0.128</v>
      </c>
      <c r="G4537" s="508">
        <v>0.124</v>
      </c>
      <c r="H4537" s="508">
        <v>0.129</v>
      </c>
      <c r="I4537" s="508">
        <v>0.129</v>
      </c>
      <c r="J4537" s="508">
        <v>0.126</v>
      </c>
      <c r="K4537" s="508">
        <v>0.13</v>
      </c>
      <c r="L4537" s="508">
        <v>0.126</v>
      </c>
      <c r="M4537" s="508">
        <v>0.13100000000000001</v>
      </c>
      <c r="N4537" s="508">
        <v>0.127</v>
      </c>
      <c r="O4537" s="508">
        <v>0.129</v>
      </c>
      <c r="P4537" s="508">
        <v>0.129</v>
      </c>
      <c r="Q4537" s="508">
        <v>0.13300000000000001</v>
      </c>
      <c r="R4537" s="508">
        <v>0.13</v>
      </c>
      <c r="S4537" s="508">
        <v>0.129</v>
      </c>
      <c r="T4537" s="508">
        <v>0.128</v>
      </c>
      <c r="U4537" s="508">
        <v>0.13</v>
      </c>
      <c r="V4537" s="508">
        <v>0.11899999999999999</v>
      </c>
      <c r="W4537" s="508">
        <v>0.123</v>
      </c>
      <c r="X4537" s="508">
        <v>0.11799999999999999</v>
      </c>
      <c r="Y4537" s="508">
        <v>0.121</v>
      </c>
      <c r="Z4537" s="508">
        <v>0.123</v>
      </c>
      <c r="AA4537" s="508">
        <v>0.122</v>
      </c>
      <c r="AB4537" s="508">
        <v>0.11799999999999999</v>
      </c>
      <c r="AC4537" s="508">
        <v>0.127</v>
      </c>
      <c r="AD4537" s="508">
        <v>0.126</v>
      </c>
      <c r="AE4537" s="508">
        <v>0.122</v>
      </c>
      <c r="AF4537" s="508">
        <v>0.122</v>
      </c>
      <c r="AG4537" s="508">
        <v>0.122</v>
      </c>
      <c r="AH4537" s="508">
        <v>0.122</v>
      </c>
      <c r="AI4537" s="492">
        <v>0.122</v>
      </c>
      <c r="AJ4537" s="485"/>
    </row>
    <row r="4538" spans="2:36">
      <c r="B4538" s="136" t="s">
        <v>463</v>
      </c>
      <c r="C4538" s="132" t="s">
        <v>1363</v>
      </c>
      <c r="D4538" s="132" t="s">
        <v>1379</v>
      </c>
      <c r="E4538" s="508">
        <v>0.115</v>
      </c>
      <c r="F4538" s="508">
        <v>0.114</v>
      </c>
      <c r="G4538" s="508">
        <v>0.111</v>
      </c>
      <c r="H4538" s="508">
        <v>0.115</v>
      </c>
      <c r="I4538" s="508">
        <v>0.114</v>
      </c>
      <c r="J4538" s="508">
        <v>0.112</v>
      </c>
      <c r="K4538" s="508">
        <v>0.115</v>
      </c>
      <c r="L4538" s="508">
        <v>0.112</v>
      </c>
      <c r="M4538" s="508">
        <v>0.11600000000000001</v>
      </c>
      <c r="N4538" s="508">
        <v>0.113</v>
      </c>
      <c r="O4538" s="508">
        <v>0.114</v>
      </c>
      <c r="P4538" s="508">
        <v>0.114</v>
      </c>
      <c r="Q4538" s="508">
        <v>0.11799999999999999</v>
      </c>
      <c r="R4538" s="508">
        <v>0.11600000000000001</v>
      </c>
      <c r="S4538" s="508">
        <v>0.115</v>
      </c>
      <c r="T4538" s="508">
        <v>0.114</v>
      </c>
      <c r="U4538" s="508">
        <v>0.115</v>
      </c>
      <c r="V4538" s="508">
        <v>0.106</v>
      </c>
      <c r="W4538" s="508">
        <v>0.11</v>
      </c>
      <c r="X4538" s="508">
        <v>0.105</v>
      </c>
      <c r="Y4538" s="508">
        <v>0.107</v>
      </c>
      <c r="Z4538" s="508">
        <v>0.109</v>
      </c>
      <c r="AA4538" s="508">
        <v>0.109</v>
      </c>
      <c r="AB4538" s="508">
        <v>0.105</v>
      </c>
      <c r="AC4538" s="508">
        <v>0.113</v>
      </c>
      <c r="AD4538" s="508">
        <v>0.112</v>
      </c>
      <c r="AE4538" s="508">
        <v>0.109</v>
      </c>
      <c r="AF4538" s="508">
        <v>0.109</v>
      </c>
      <c r="AG4538" s="508">
        <v>0.109</v>
      </c>
      <c r="AH4538" s="508">
        <v>0.109</v>
      </c>
      <c r="AI4538" s="492">
        <v>0.109</v>
      </c>
      <c r="AJ4538" s="485"/>
    </row>
    <row r="4539" spans="2:36">
      <c r="B4539" s="136" t="s">
        <v>464</v>
      </c>
      <c r="C4539" s="132" t="s">
        <v>1363</v>
      </c>
      <c r="D4539" s="132" t="s">
        <v>1379</v>
      </c>
      <c r="E4539" s="508">
        <v>0.108</v>
      </c>
      <c r="F4539" s="508">
        <v>0.107</v>
      </c>
      <c r="G4539" s="508">
        <v>0.104</v>
      </c>
      <c r="H4539" s="508">
        <v>0.108</v>
      </c>
      <c r="I4539" s="508">
        <v>0.107</v>
      </c>
      <c r="J4539" s="508">
        <v>0.105</v>
      </c>
      <c r="K4539" s="508">
        <v>0.108</v>
      </c>
      <c r="L4539" s="508">
        <v>0.105</v>
      </c>
      <c r="M4539" s="508">
        <v>0.109</v>
      </c>
      <c r="N4539" s="508">
        <v>0.106</v>
      </c>
      <c r="O4539" s="508">
        <v>0.108</v>
      </c>
      <c r="P4539" s="508">
        <v>0.107</v>
      </c>
      <c r="Q4539" s="508">
        <v>0.111</v>
      </c>
      <c r="R4539" s="508">
        <v>0.109</v>
      </c>
      <c r="S4539" s="508">
        <v>0.108</v>
      </c>
      <c r="T4539" s="508">
        <v>0.107</v>
      </c>
      <c r="U4539" s="508">
        <v>0.108</v>
      </c>
      <c r="V4539" s="508">
        <v>0.1</v>
      </c>
      <c r="W4539" s="508">
        <v>0.10299999999999999</v>
      </c>
      <c r="X4539" s="508">
        <v>9.9000000000000005E-2</v>
      </c>
      <c r="Y4539" s="508">
        <v>0.10100000000000001</v>
      </c>
      <c r="Z4539" s="508">
        <v>0.10199999999999999</v>
      </c>
      <c r="AA4539" s="508">
        <v>0.10199999999999999</v>
      </c>
      <c r="AB4539" s="508">
        <v>9.9000000000000005E-2</v>
      </c>
      <c r="AC4539" s="508">
        <v>0.106</v>
      </c>
      <c r="AD4539" s="508">
        <v>0.105</v>
      </c>
      <c r="AE4539" s="508">
        <v>0.10199999999999999</v>
      </c>
      <c r="AF4539" s="508">
        <v>0.10199999999999999</v>
      </c>
      <c r="AG4539" s="508">
        <v>0.10199999999999999</v>
      </c>
      <c r="AH4539" s="508">
        <v>0.10199999999999999</v>
      </c>
      <c r="AI4539" s="492">
        <v>0.10199999999999999</v>
      </c>
      <c r="AJ4539" s="485"/>
    </row>
    <row r="4540" spans="2:36">
      <c r="B4540" s="136" t="s">
        <v>465</v>
      </c>
      <c r="C4540" s="132" t="s">
        <v>1363</v>
      </c>
      <c r="D4540" s="132" t="s">
        <v>1379</v>
      </c>
      <c r="E4540" s="508">
        <v>0.115</v>
      </c>
      <c r="F4540" s="508">
        <v>0.114</v>
      </c>
      <c r="G4540" s="508">
        <v>0.111</v>
      </c>
      <c r="H4540" s="508">
        <v>0.115</v>
      </c>
      <c r="I4540" s="508">
        <v>0.115</v>
      </c>
      <c r="J4540" s="508">
        <v>0.112</v>
      </c>
      <c r="K4540" s="508">
        <v>0.11600000000000001</v>
      </c>
      <c r="L4540" s="508">
        <v>0.112</v>
      </c>
      <c r="M4540" s="508">
        <v>0.11600000000000001</v>
      </c>
      <c r="N4540" s="508">
        <v>0.113</v>
      </c>
      <c r="O4540" s="508">
        <v>0.115</v>
      </c>
      <c r="P4540" s="508">
        <v>0.115</v>
      </c>
      <c r="Q4540" s="508">
        <v>0.11799999999999999</v>
      </c>
      <c r="R4540" s="508">
        <v>0.11600000000000001</v>
      </c>
      <c r="S4540" s="508">
        <v>0.115</v>
      </c>
      <c r="T4540" s="508">
        <v>0.114</v>
      </c>
      <c r="U4540" s="508">
        <v>0.11600000000000001</v>
      </c>
      <c r="V4540" s="508">
        <v>0.106</v>
      </c>
      <c r="W4540" s="508">
        <v>0.11</v>
      </c>
      <c r="X4540" s="508">
        <v>0.105</v>
      </c>
      <c r="Y4540" s="508">
        <v>0.108</v>
      </c>
      <c r="Z4540" s="508">
        <v>0.109</v>
      </c>
      <c r="AA4540" s="508">
        <v>0.109</v>
      </c>
      <c r="AB4540" s="508">
        <v>0.105</v>
      </c>
      <c r="AC4540" s="508">
        <v>0.113</v>
      </c>
      <c r="AD4540" s="508">
        <v>0.112</v>
      </c>
      <c r="AE4540" s="508">
        <v>0.109</v>
      </c>
      <c r="AF4540" s="508">
        <v>0.109</v>
      </c>
      <c r="AG4540" s="508">
        <v>0.109</v>
      </c>
      <c r="AH4540" s="508">
        <v>0.109</v>
      </c>
      <c r="AI4540" s="492">
        <v>0.109</v>
      </c>
      <c r="AJ4540" s="485"/>
    </row>
    <row r="4541" spans="2:36">
      <c r="B4541" s="136" t="s">
        <v>466</v>
      </c>
      <c r="C4541" s="132" t="s">
        <v>1363</v>
      </c>
      <c r="D4541" s="132" t="s">
        <v>1379</v>
      </c>
      <c r="E4541" s="508">
        <v>0.159</v>
      </c>
      <c r="F4541" s="508">
        <v>0.158</v>
      </c>
      <c r="G4541" s="508">
        <v>0.153</v>
      </c>
      <c r="H4541" s="508">
        <v>0.159</v>
      </c>
      <c r="I4541" s="508">
        <v>0.158</v>
      </c>
      <c r="J4541" s="508">
        <v>0.155</v>
      </c>
      <c r="K4541" s="508">
        <v>0.16</v>
      </c>
      <c r="L4541" s="508">
        <v>0.155</v>
      </c>
      <c r="M4541" s="508">
        <v>0.161</v>
      </c>
      <c r="N4541" s="508">
        <v>0.157</v>
      </c>
      <c r="O4541" s="508">
        <v>0.159</v>
      </c>
      <c r="P4541" s="508">
        <v>0.158</v>
      </c>
      <c r="Q4541" s="508">
        <v>0.16300000000000001</v>
      </c>
      <c r="R4541" s="508">
        <v>0.16</v>
      </c>
      <c r="S4541" s="508">
        <v>0.159</v>
      </c>
      <c r="T4541" s="508">
        <v>0.158</v>
      </c>
      <c r="U4541" s="508">
        <v>0.16</v>
      </c>
      <c r="V4541" s="508">
        <v>0.14699999999999999</v>
      </c>
      <c r="W4541" s="508">
        <v>0.152</v>
      </c>
      <c r="X4541" s="508">
        <v>0.14499999999999999</v>
      </c>
      <c r="Y4541" s="508">
        <v>0.14899999999999999</v>
      </c>
      <c r="Z4541" s="508">
        <v>0.151</v>
      </c>
      <c r="AA4541" s="508">
        <v>0.15</v>
      </c>
      <c r="AB4541" s="508">
        <v>0.14499999999999999</v>
      </c>
      <c r="AC4541" s="508">
        <v>0.156</v>
      </c>
      <c r="AD4541" s="508">
        <v>0.154</v>
      </c>
      <c r="AE4541" s="508">
        <v>0.15</v>
      </c>
      <c r="AF4541" s="508">
        <v>0.15</v>
      </c>
      <c r="AG4541" s="508">
        <v>0.15</v>
      </c>
      <c r="AH4541" s="508">
        <v>0.15</v>
      </c>
      <c r="AI4541" s="492">
        <v>0.15</v>
      </c>
      <c r="AJ4541" s="485"/>
    </row>
    <row r="4542" spans="2:36">
      <c r="B4542" s="136" t="s">
        <v>467</v>
      </c>
      <c r="C4542" s="132" t="s">
        <v>1363</v>
      </c>
      <c r="D4542" s="132" t="s">
        <v>1379</v>
      </c>
      <c r="E4542" s="508">
        <v>0.13200000000000001</v>
      </c>
      <c r="F4542" s="508">
        <v>0.13100000000000001</v>
      </c>
      <c r="G4542" s="508">
        <v>0.128</v>
      </c>
      <c r="H4542" s="508">
        <v>0.13200000000000001</v>
      </c>
      <c r="I4542" s="508">
        <v>0.13200000000000001</v>
      </c>
      <c r="J4542" s="508">
        <v>0.129</v>
      </c>
      <c r="K4542" s="508">
        <v>0.13300000000000001</v>
      </c>
      <c r="L4542" s="508">
        <v>0.129</v>
      </c>
      <c r="M4542" s="508">
        <v>0.13400000000000001</v>
      </c>
      <c r="N4542" s="508">
        <v>0.13</v>
      </c>
      <c r="O4542" s="508">
        <v>0.13200000000000001</v>
      </c>
      <c r="P4542" s="508">
        <v>0.13200000000000001</v>
      </c>
      <c r="Q4542" s="508">
        <v>0.13600000000000001</v>
      </c>
      <c r="R4542" s="508">
        <v>0.13400000000000001</v>
      </c>
      <c r="S4542" s="508">
        <v>0.13300000000000001</v>
      </c>
      <c r="T4542" s="508">
        <v>0.13200000000000001</v>
      </c>
      <c r="U4542" s="508">
        <v>0.13300000000000001</v>
      </c>
      <c r="V4542" s="508">
        <v>0.122</v>
      </c>
      <c r="W4542" s="508">
        <v>0.126</v>
      </c>
      <c r="X4542" s="508">
        <v>0.121</v>
      </c>
      <c r="Y4542" s="508">
        <v>0.124</v>
      </c>
      <c r="Z4542" s="508">
        <v>0.126</v>
      </c>
      <c r="AA4542" s="508">
        <v>0.125</v>
      </c>
      <c r="AB4542" s="508">
        <v>0.121</v>
      </c>
      <c r="AC4542" s="508">
        <v>0.13</v>
      </c>
      <c r="AD4542" s="508">
        <v>0.129</v>
      </c>
      <c r="AE4542" s="508">
        <v>0.125</v>
      </c>
      <c r="AF4542" s="508">
        <v>0.125</v>
      </c>
      <c r="AG4542" s="508">
        <v>0.125</v>
      </c>
      <c r="AH4542" s="508">
        <v>0.125</v>
      </c>
      <c r="AI4542" s="492">
        <v>0.125</v>
      </c>
      <c r="AJ4542" s="485"/>
    </row>
    <row r="4543" spans="2:36">
      <c r="B4543" s="136" t="s">
        <v>468</v>
      </c>
      <c r="C4543" s="132" t="s">
        <v>1363</v>
      </c>
      <c r="D4543" s="132" t="s">
        <v>1379</v>
      </c>
      <c r="E4543" s="508">
        <v>0.10299999999999999</v>
      </c>
      <c r="F4543" s="508">
        <v>0.10299999999999999</v>
      </c>
      <c r="G4543" s="508">
        <v>0.1</v>
      </c>
      <c r="H4543" s="508">
        <v>0.10299999999999999</v>
      </c>
      <c r="I4543" s="508">
        <v>0.10299999999999999</v>
      </c>
      <c r="J4543" s="508">
        <v>0.10100000000000001</v>
      </c>
      <c r="K4543" s="508">
        <v>0.104</v>
      </c>
      <c r="L4543" s="508">
        <v>0.10100000000000001</v>
      </c>
      <c r="M4543" s="508">
        <v>0.105</v>
      </c>
      <c r="N4543" s="508">
        <v>0.10199999999999999</v>
      </c>
      <c r="O4543" s="508">
        <v>0.10299999999999999</v>
      </c>
      <c r="P4543" s="508">
        <v>0.10299999999999999</v>
      </c>
      <c r="Q4543" s="508">
        <v>0.106</v>
      </c>
      <c r="R4543" s="508">
        <v>0.104</v>
      </c>
      <c r="S4543" s="508">
        <v>0.104</v>
      </c>
      <c r="T4543" s="508">
        <v>0.10299999999999999</v>
      </c>
      <c r="U4543" s="508">
        <v>0.104</v>
      </c>
      <c r="V4543" s="508">
        <v>9.6000000000000002E-2</v>
      </c>
      <c r="W4543" s="508">
        <v>9.9000000000000005E-2</v>
      </c>
      <c r="X4543" s="508">
        <v>9.5000000000000001E-2</v>
      </c>
      <c r="Y4543" s="508">
        <v>9.7000000000000003E-2</v>
      </c>
      <c r="Z4543" s="508">
        <v>9.8000000000000004E-2</v>
      </c>
      <c r="AA4543" s="508">
        <v>9.8000000000000004E-2</v>
      </c>
      <c r="AB4543" s="508">
        <v>9.5000000000000001E-2</v>
      </c>
      <c r="AC4543" s="508">
        <v>0.10199999999999999</v>
      </c>
      <c r="AD4543" s="508">
        <v>0.1</v>
      </c>
      <c r="AE4543" s="508">
        <v>9.8000000000000004E-2</v>
      </c>
      <c r="AF4543" s="508">
        <v>9.8000000000000004E-2</v>
      </c>
      <c r="AG4543" s="508">
        <v>9.8000000000000004E-2</v>
      </c>
      <c r="AH4543" s="508">
        <v>9.8000000000000004E-2</v>
      </c>
      <c r="AI4543" s="492">
        <v>9.8000000000000004E-2</v>
      </c>
      <c r="AJ4543" s="485"/>
    </row>
    <row r="4544" spans="2:36">
      <c r="B4544" s="136" t="s">
        <v>469</v>
      </c>
      <c r="C4544" s="132" t="s">
        <v>1363</v>
      </c>
      <c r="D4544" s="132" t="s">
        <v>1379</v>
      </c>
      <c r="E4544" s="508">
        <v>0.12</v>
      </c>
      <c r="F4544" s="508">
        <v>0.11899999999999999</v>
      </c>
      <c r="G4544" s="508">
        <v>0.11600000000000001</v>
      </c>
      <c r="H4544" s="508">
        <v>0.12</v>
      </c>
      <c r="I4544" s="508">
        <v>0.12</v>
      </c>
      <c r="J4544" s="508">
        <v>0.11700000000000001</v>
      </c>
      <c r="K4544" s="508">
        <v>0.121</v>
      </c>
      <c r="L4544" s="508">
        <v>0.11700000000000001</v>
      </c>
      <c r="M4544" s="508">
        <v>0.122</v>
      </c>
      <c r="N4544" s="508">
        <v>0.11799999999999999</v>
      </c>
      <c r="O4544" s="508">
        <v>0.12</v>
      </c>
      <c r="P4544" s="508">
        <v>0.12</v>
      </c>
      <c r="Q4544" s="508">
        <v>0.123</v>
      </c>
      <c r="R4544" s="508">
        <v>0.121</v>
      </c>
      <c r="S4544" s="508">
        <v>0.12</v>
      </c>
      <c r="T4544" s="508">
        <v>0.11899999999999999</v>
      </c>
      <c r="U4544" s="508">
        <v>0.121</v>
      </c>
      <c r="V4544" s="508">
        <v>0.111</v>
      </c>
      <c r="W4544" s="508">
        <v>0.115</v>
      </c>
      <c r="X4544" s="508">
        <v>0.11</v>
      </c>
      <c r="Y4544" s="508">
        <v>0.112</v>
      </c>
      <c r="Z4544" s="508">
        <v>0.114</v>
      </c>
      <c r="AA4544" s="508">
        <v>0.114</v>
      </c>
      <c r="AB4544" s="508">
        <v>0.11</v>
      </c>
      <c r="AC4544" s="508">
        <v>0.11799999999999999</v>
      </c>
      <c r="AD4544" s="508">
        <v>0.11700000000000001</v>
      </c>
      <c r="AE4544" s="508">
        <v>0.114</v>
      </c>
      <c r="AF4544" s="508">
        <v>0.114</v>
      </c>
      <c r="AG4544" s="508">
        <v>0.114</v>
      </c>
      <c r="AH4544" s="508">
        <v>0.114</v>
      </c>
      <c r="AI4544" s="492">
        <v>0.114</v>
      </c>
      <c r="AJ4544" s="485"/>
    </row>
    <row r="4545" spans="2:36">
      <c r="B4545" s="136" t="s">
        <v>470</v>
      </c>
      <c r="C4545" s="132" t="s">
        <v>1363</v>
      </c>
      <c r="D4545" s="132" t="s">
        <v>1379</v>
      </c>
      <c r="E4545" s="508">
        <v>0.151</v>
      </c>
      <c r="F4545" s="508">
        <v>0.15</v>
      </c>
      <c r="G4545" s="508">
        <v>0.14599999999999999</v>
      </c>
      <c r="H4545" s="508">
        <v>0.151</v>
      </c>
      <c r="I4545" s="508">
        <v>0.151</v>
      </c>
      <c r="J4545" s="508">
        <v>0.14699999999999999</v>
      </c>
      <c r="K4545" s="508">
        <v>0.152</v>
      </c>
      <c r="L4545" s="508">
        <v>0.14799999999999999</v>
      </c>
      <c r="M4545" s="508">
        <v>0.153</v>
      </c>
      <c r="N4545" s="508">
        <v>0.14899999999999999</v>
      </c>
      <c r="O4545" s="508">
        <v>0.151</v>
      </c>
      <c r="P4545" s="508">
        <v>0.151</v>
      </c>
      <c r="Q4545" s="508">
        <v>0.155</v>
      </c>
      <c r="R4545" s="508">
        <v>0.153</v>
      </c>
      <c r="S4545" s="508">
        <v>0.152</v>
      </c>
      <c r="T4545" s="508">
        <v>0.151</v>
      </c>
      <c r="U4545" s="508">
        <v>0.152</v>
      </c>
      <c r="V4545" s="508">
        <v>0.14000000000000001</v>
      </c>
      <c r="W4545" s="508">
        <v>0.14499999999999999</v>
      </c>
      <c r="X4545" s="508">
        <v>0.13800000000000001</v>
      </c>
      <c r="Y4545" s="508">
        <v>0.14199999999999999</v>
      </c>
      <c r="Z4545" s="508">
        <v>0.14399999999999999</v>
      </c>
      <c r="AA4545" s="508">
        <v>0.14299999999999999</v>
      </c>
      <c r="AB4545" s="508">
        <v>0.13900000000000001</v>
      </c>
      <c r="AC4545" s="508">
        <v>0.14899999999999999</v>
      </c>
      <c r="AD4545" s="508">
        <v>0.14699999999999999</v>
      </c>
      <c r="AE4545" s="508">
        <v>0.14299999999999999</v>
      </c>
      <c r="AF4545" s="508">
        <v>0.14299999999999999</v>
      </c>
      <c r="AG4545" s="508">
        <v>0.14299999999999999</v>
      </c>
      <c r="AH4545" s="508">
        <v>0.14299999999999999</v>
      </c>
      <c r="AI4545" s="492">
        <v>0.14299999999999999</v>
      </c>
      <c r="AJ4545" s="485"/>
    </row>
    <row r="4546" spans="2:36">
      <c r="B4546" s="136" t="s">
        <v>471</v>
      </c>
      <c r="C4546" s="132" t="s">
        <v>1363</v>
      </c>
      <c r="D4546" s="132" t="s">
        <v>1379</v>
      </c>
      <c r="E4546" s="508">
        <v>0.14299999999999999</v>
      </c>
      <c r="F4546" s="508">
        <v>0.14199999999999999</v>
      </c>
      <c r="G4546" s="508">
        <v>0.13800000000000001</v>
      </c>
      <c r="H4546" s="508">
        <v>0.14399999999999999</v>
      </c>
      <c r="I4546" s="508">
        <v>0.14299999999999999</v>
      </c>
      <c r="J4546" s="508">
        <v>0.14000000000000001</v>
      </c>
      <c r="K4546" s="508">
        <v>0.14399999999999999</v>
      </c>
      <c r="L4546" s="508">
        <v>0.14000000000000001</v>
      </c>
      <c r="M4546" s="508">
        <v>0.14499999999999999</v>
      </c>
      <c r="N4546" s="508">
        <v>0.14099999999999999</v>
      </c>
      <c r="O4546" s="508">
        <v>0.14299999999999999</v>
      </c>
      <c r="P4546" s="508">
        <v>0.14299999999999999</v>
      </c>
      <c r="Q4546" s="508">
        <v>0.14699999999999999</v>
      </c>
      <c r="R4546" s="508">
        <v>0.14499999999999999</v>
      </c>
      <c r="S4546" s="508">
        <v>0.14399999999999999</v>
      </c>
      <c r="T4546" s="508">
        <v>0.14299999999999999</v>
      </c>
      <c r="U4546" s="508">
        <v>0.14399999999999999</v>
      </c>
      <c r="V4546" s="508">
        <v>0.13300000000000001</v>
      </c>
      <c r="W4546" s="508">
        <v>0.13700000000000001</v>
      </c>
      <c r="X4546" s="508">
        <v>0.13100000000000001</v>
      </c>
      <c r="Y4546" s="508">
        <v>0.13400000000000001</v>
      </c>
      <c r="Z4546" s="508">
        <v>0.13600000000000001</v>
      </c>
      <c r="AA4546" s="508">
        <v>0.13600000000000001</v>
      </c>
      <c r="AB4546" s="508">
        <v>0.13100000000000001</v>
      </c>
      <c r="AC4546" s="508">
        <v>0.14099999999999999</v>
      </c>
      <c r="AD4546" s="508">
        <v>0.13900000000000001</v>
      </c>
      <c r="AE4546" s="508">
        <v>0.13600000000000001</v>
      </c>
      <c r="AF4546" s="508">
        <v>0.13600000000000001</v>
      </c>
      <c r="AG4546" s="508">
        <v>0.13600000000000001</v>
      </c>
      <c r="AH4546" s="508">
        <v>0.13600000000000001</v>
      </c>
      <c r="AI4546" s="492">
        <v>0.13600000000000001</v>
      </c>
      <c r="AJ4546" s="485"/>
    </row>
    <row r="4547" spans="2:36">
      <c r="B4547" s="136" t="s">
        <v>472</v>
      </c>
      <c r="C4547" s="132" t="s">
        <v>1363</v>
      </c>
      <c r="D4547" s="132" t="s">
        <v>1379</v>
      </c>
      <c r="E4547" s="508">
        <v>0.11</v>
      </c>
      <c r="F4547" s="508">
        <v>0.11</v>
      </c>
      <c r="G4547" s="508">
        <v>0.106</v>
      </c>
      <c r="H4547" s="508">
        <v>0.11</v>
      </c>
      <c r="I4547" s="508">
        <v>0.11</v>
      </c>
      <c r="J4547" s="508">
        <v>0.108</v>
      </c>
      <c r="K4547" s="508">
        <v>0.111</v>
      </c>
      <c r="L4547" s="508">
        <v>0.108</v>
      </c>
      <c r="M4547" s="508">
        <v>0.112</v>
      </c>
      <c r="N4547" s="508">
        <v>0.109</v>
      </c>
      <c r="O4547" s="508">
        <v>0.11</v>
      </c>
      <c r="P4547" s="508">
        <v>0.11</v>
      </c>
      <c r="Q4547" s="508">
        <v>0.113</v>
      </c>
      <c r="R4547" s="508">
        <v>0.111</v>
      </c>
      <c r="S4547" s="508">
        <v>0.111</v>
      </c>
      <c r="T4547" s="508">
        <v>0.11</v>
      </c>
      <c r="U4547" s="508">
        <v>0.111</v>
      </c>
      <c r="V4547" s="508">
        <v>0.10199999999999999</v>
      </c>
      <c r="W4547" s="508">
        <v>0.106</v>
      </c>
      <c r="X4547" s="508">
        <v>0.10100000000000001</v>
      </c>
      <c r="Y4547" s="508">
        <v>0.10299999999999999</v>
      </c>
      <c r="Z4547" s="508">
        <v>0.105</v>
      </c>
      <c r="AA4547" s="508">
        <v>0.104</v>
      </c>
      <c r="AB4547" s="508">
        <v>0.10100000000000001</v>
      </c>
      <c r="AC4547" s="508">
        <v>0.109</v>
      </c>
      <c r="AD4547" s="508">
        <v>0.107</v>
      </c>
      <c r="AE4547" s="508">
        <v>0.105</v>
      </c>
      <c r="AF4547" s="508">
        <v>0.105</v>
      </c>
      <c r="AG4547" s="508">
        <v>0.105</v>
      </c>
      <c r="AH4547" s="508">
        <v>0.105</v>
      </c>
      <c r="AI4547" s="492">
        <v>0.105</v>
      </c>
      <c r="AJ4547" s="485"/>
    </row>
    <row r="4548" spans="2:36">
      <c r="B4548" s="136" t="s">
        <v>473</v>
      </c>
      <c r="C4548" s="132" t="s">
        <v>1363</v>
      </c>
      <c r="D4548" s="132" t="s">
        <v>1379</v>
      </c>
      <c r="E4548" s="508">
        <v>0.153</v>
      </c>
      <c r="F4548" s="508">
        <v>0.152</v>
      </c>
      <c r="G4548" s="508">
        <v>0.14699999999999999</v>
      </c>
      <c r="H4548" s="508">
        <v>0.153</v>
      </c>
      <c r="I4548" s="508">
        <v>0.152</v>
      </c>
      <c r="J4548" s="508">
        <v>0.14899999999999999</v>
      </c>
      <c r="K4548" s="508">
        <v>0.154</v>
      </c>
      <c r="L4548" s="508">
        <v>0.14899999999999999</v>
      </c>
      <c r="M4548" s="508">
        <v>0.155</v>
      </c>
      <c r="N4548" s="508">
        <v>0.151</v>
      </c>
      <c r="O4548" s="508">
        <v>0.152</v>
      </c>
      <c r="P4548" s="508">
        <v>0.152</v>
      </c>
      <c r="Q4548" s="508">
        <v>0.157</v>
      </c>
      <c r="R4548" s="508">
        <v>0.154</v>
      </c>
      <c r="S4548" s="508">
        <v>0.153</v>
      </c>
      <c r="T4548" s="508">
        <v>0.152</v>
      </c>
      <c r="U4548" s="508">
        <v>0.154</v>
      </c>
      <c r="V4548" s="508">
        <v>0.14099999999999999</v>
      </c>
      <c r="W4548" s="508">
        <v>0.14599999999999999</v>
      </c>
      <c r="X4548" s="508">
        <v>0.14000000000000001</v>
      </c>
      <c r="Y4548" s="508">
        <v>0.14299999999999999</v>
      </c>
      <c r="Z4548" s="508">
        <v>0.14499999999999999</v>
      </c>
      <c r="AA4548" s="508">
        <v>0.14399999999999999</v>
      </c>
      <c r="AB4548" s="508">
        <v>0.14000000000000001</v>
      </c>
      <c r="AC4548" s="508">
        <v>0.15</v>
      </c>
      <c r="AD4548" s="508">
        <v>0.14899999999999999</v>
      </c>
      <c r="AE4548" s="508">
        <v>0.14399999999999999</v>
      </c>
      <c r="AF4548" s="508">
        <v>0.14399999999999999</v>
      </c>
      <c r="AG4548" s="508">
        <v>0.14399999999999999</v>
      </c>
      <c r="AH4548" s="508">
        <v>0.14399999999999999</v>
      </c>
      <c r="AI4548" s="492">
        <v>0.14399999999999999</v>
      </c>
      <c r="AJ4548" s="485"/>
    </row>
    <row r="4549" spans="2:36">
      <c r="B4549" s="136" t="s">
        <v>474</v>
      </c>
      <c r="C4549" s="132" t="s">
        <v>1363</v>
      </c>
      <c r="D4549" s="132" t="s">
        <v>1379</v>
      </c>
      <c r="E4549" s="508">
        <v>0.13400000000000001</v>
      </c>
      <c r="F4549" s="508">
        <v>0.13300000000000001</v>
      </c>
      <c r="G4549" s="508">
        <v>0.13</v>
      </c>
      <c r="H4549" s="508">
        <v>0.13500000000000001</v>
      </c>
      <c r="I4549" s="508">
        <v>0.13400000000000001</v>
      </c>
      <c r="J4549" s="508">
        <v>0.13100000000000001</v>
      </c>
      <c r="K4549" s="508">
        <v>0.13500000000000001</v>
      </c>
      <c r="L4549" s="508">
        <v>0.13100000000000001</v>
      </c>
      <c r="M4549" s="508">
        <v>0.13600000000000001</v>
      </c>
      <c r="N4549" s="508">
        <v>0.13200000000000001</v>
      </c>
      <c r="O4549" s="508">
        <v>0.13400000000000001</v>
      </c>
      <c r="P4549" s="508">
        <v>0.13400000000000001</v>
      </c>
      <c r="Q4549" s="508">
        <v>0.13800000000000001</v>
      </c>
      <c r="R4549" s="508">
        <v>0.13600000000000001</v>
      </c>
      <c r="S4549" s="508">
        <v>0.13500000000000001</v>
      </c>
      <c r="T4549" s="508">
        <v>0.13400000000000001</v>
      </c>
      <c r="U4549" s="508">
        <v>0.13500000000000001</v>
      </c>
      <c r="V4549" s="508">
        <v>0.124</v>
      </c>
      <c r="W4549" s="508">
        <v>0.128</v>
      </c>
      <c r="X4549" s="508">
        <v>0.123</v>
      </c>
      <c r="Y4549" s="508">
        <v>0.126</v>
      </c>
      <c r="Z4549" s="508">
        <v>0.128</v>
      </c>
      <c r="AA4549" s="508">
        <v>0.127</v>
      </c>
      <c r="AB4549" s="508">
        <v>0.123</v>
      </c>
      <c r="AC4549" s="508">
        <v>0.13200000000000001</v>
      </c>
      <c r="AD4549" s="508">
        <v>0.13100000000000001</v>
      </c>
      <c r="AE4549" s="508">
        <v>0.127</v>
      </c>
      <c r="AF4549" s="508">
        <v>0.127</v>
      </c>
      <c r="AG4549" s="508">
        <v>0.127</v>
      </c>
      <c r="AH4549" s="508">
        <v>0.127</v>
      </c>
      <c r="AI4549" s="492">
        <v>0.127</v>
      </c>
      <c r="AJ4549" s="485"/>
    </row>
    <row r="4550" spans="2:36">
      <c r="B4550" s="136" t="s">
        <v>475</v>
      </c>
      <c r="C4550" s="132" t="s">
        <v>1363</v>
      </c>
      <c r="D4550" s="132" t="s">
        <v>1379</v>
      </c>
      <c r="E4550" s="508">
        <v>0.128</v>
      </c>
      <c r="F4550" s="508">
        <v>0.127</v>
      </c>
      <c r="G4550" s="508">
        <v>0.124</v>
      </c>
      <c r="H4550" s="508">
        <v>0.128</v>
      </c>
      <c r="I4550" s="508">
        <v>0.128</v>
      </c>
      <c r="J4550" s="508">
        <v>0.125</v>
      </c>
      <c r="K4550" s="508">
        <v>0.129</v>
      </c>
      <c r="L4550" s="508">
        <v>0.125</v>
      </c>
      <c r="M4550" s="508">
        <v>0.13</v>
      </c>
      <c r="N4550" s="508">
        <v>0.126</v>
      </c>
      <c r="O4550" s="508">
        <v>0.128</v>
      </c>
      <c r="P4550" s="508">
        <v>0.128</v>
      </c>
      <c r="Q4550" s="508">
        <v>0.13200000000000001</v>
      </c>
      <c r="R4550" s="508">
        <v>0.129</v>
      </c>
      <c r="S4550" s="508">
        <v>0.129</v>
      </c>
      <c r="T4550" s="508">
        <v>0.128</v>
      </c>
      <c r="U4550" s="508">
        <v>0.129</v>
      </c>
      <c r="V4550" s="508">
        <v>0.11899999999999999</v>
      </c>
      <c r="W4550" s="508">
        <v>0.123</v>
      </c>
      <c r="X4550" s="508">
        <v>0.11700000000000001</v>
      </c>
      <c r="Y4550" s="508">
        <v>0.12</v>
      </c>
      <c r="Z4550" s="508">
        <v>0.122</v>
      </c>
      <c r="AA4550" s="508">
        <v>0.121</v>
      </c>
      <c r="AB4550" s="508">
        <v>0.11799999999999999</v>
      </c>
      <c r="AC4550" s="508">
        <v>0.126</v>
      </c>
      <c r="AD4550" s="508">
        <v>0.125</v>
      </c>
      <c r="AE4550" s="508">
        <v>0.121</v>
      </c>
      <c r="AF4550" s="508">
        <v>0.121</v>
      </c>
      <c r="AG4550" s="508">
        <v>0.121</v>
      </c>
      <c r="AH4550" s="508">
        <v>0.121</v>
      </c>
      <c r="AI4550" s="492">
        <v>0.121</v>
      </c>
      <c r="AJ4550" s="485"/>
    </row>
    <row r="4551" spans="2:36">
      <c r="B4551" s="136" t="s">
        <v>476</v>
      </c>
      <c r="C4551" s="132" t="s">
        <v>1363</v>
      </c>
      <c r="D4551" s="132" t="s">
        <v>1379</v>
      </c>
      <c r="E4551" s="508">
        <v>0.14000000000000001</v>
      </c>
      <c r="F4551" s="508">
        <v>0.13900000000000001</v>
      </c>
      <c r="G4551" s="508">
        <v>0.13500000000000001</v>
      </c>
      <c r="H4551" s="508">
        <v>0.14000000000000001</v>
      </c>
      <c r="I4551" s="508">
        <v>0.14000000000000001</v>
      </c>
      <c r="J4551" s="508">
        <v>0.13600000000000001</v>
      </c>
      <c r="K4551" s="508">
        <v>0.14099999999999999</v>
      </c>
      <c r="L4551" s="508">
        <v>0.13700000000000001</v>
      </c>
      <c r="M4551" s="508">
        <v>0.14199999999999999</v>
      </c>
      <c r="N4551" s="508">
        <v>0.13800000000000001</v>
      </c>
      <c r="O4551" s="508">
        <v>0.14000000000000001</v>
      </c>
      <c r="P4551" s="508">
        <v>0.14000000000000001</v>
      </c>
      <c r="Q4551" s="508">
        <v>0.14399999999999999</v>
      </c>
      <c r="R4551" s="508">
        <v>0.14099999999999999</v>
      </c>
      <c r="S4551" s="508">
        <v>0.14099999999999999</v>
      </c>
      <c r="T4551" s="508">
        <v>0.13900000000000001</v>
      </c>
      <c r="U4551" s="508">
        <v>0.14099999999999999</v>
      </c>
      <c r="V4551" s="508">
        <v>0.13</v>
      </c>
      <c r="W4551" s="508">
        <v>0.13400000000000001</v>
      </c>
      <c r="X4551" s="508">
        <v>0.128</v>
      </c>
      <c r="Y4551" s="508">
        <v>0.13100000000000001</v>
      </c>
      <c r="Z4551" s="508">
        <v>0.13300000000000001</v>
      </c>
      <c r="AA4551" s="508">
        <v>0.13200000000000001</v>
      </c>
      <c r="AB4551" s="508">
        <v>0.128</v>
      </c>
      <c r="AC4551" s="508">
        <v>0.13800000000000001</v>
      </c>
      <c r="AD4551" s="508">
        <v>0.13600000000000001</v>
      </c>
      <c r="AE4551" s="508">
        <v>0.13300000000000001</v>
      </c>
      <c r="AF4551" s="508">
        <v>0.13300000000000001</v>
      </c>
      <c r="AG4551" s="508">
        <v>0.13300000000000001</v>
      </c>
      <c r="AH4551" s="508">
        <v>0.13300000000000001</v>
      </c>
      <c r="AI4551" s="492">
        <v>0.13300000000000001</v>
      </c>
      <c r="AJ4551" s="485"/>
    </row>
    <row r="4552" spans="2:36">
      <c r="B4552" s="136" t="s">
        <v>478</v>
      </c>
      <c r="C4552" s="132" t="s">
        <v>1363</v>
      </c>
      <c r="D4552" s="132" t="s">
        <v>1379</v>
      </c>
      <c r="E4552" s="508">
        <v>0.155</v>
      </c>
      <c r="F4552" s="508">
        <v>0.154</v>
      </c>
      <c r="G4552" s="508">
        <v>0.14899999999999999</v>
      </c>
      <c r="H4552" s="508">
        <v>0.155</v>
      </c>
      <c r="I4552" s="508">
        <v>0.154</v>
      </c>
      <c r="J4552" s="508">
        <v>0.151</v>
      </c>
      <c r="K4552" s="508">
        <v>0.156</v>
      </c>
      <c r="L4552" s="508">
        <v>0.151</v>
      </c>
      <c r="M4552" s="508">
        <v>0.157</v>
      </c>
      <c r="N4552" s="508">
        <v>0.152</v>
      </c>
      <c r="O4552" s="508">
        <v>0.154</v>
      </c>
      <c r="P4552" s="508">
        <v>0.154</v>
      </c>
      <c r="Q4552" s="508">
        <v>0.159</v>
      </c>
      <c r="R4552" s="508">
        <v>0.156</v>
      </c>
      <c r="S4552" s="508">
        <v>0.155</v>
      </c>
      <c r="T4552" s="508">
        <v>0.154</v>
      </c>
      <c r="U4552" s="508">
        <v>0.156</v>
      </c>
      <c r="V4552" s="508">
        <v>0.14299999999999999</v>
      </c>
      <c r="W4552" s="508">
        <v>0.14799999999999999</v>
      </c>
      <c r="X4552" s="508">
        <v>0.14099999999999999</v>
      </c>
      <c r="Y4552" s="508">
        <v>0.14499999999999999</v>
      </c>
      <c r="Z4552" s="508">
        <v>0.14699999999999999</v>
      </c>
      <c r="AA4552" s="508">
        <v>0.14599999999999999</v>
      </c>
      <c r="AB4552" s="508">
        <v>0.14199999999999999</v>
      </c>
      <c r="AC4552" s="508">
        <v>0.152</v>
      </c>
      <c r="AD4552" s="508">
        <v>0.15</v>
      </c>
      <c r="AE4552" s="508">
        <v>0.14599999999999999</v>
      </c>
      <c r="AF4552" s="508">
        <v>0.14599999999999999</v>
      </c>
      <c r="AG4552" s="508">
        <v>0.14599999999999999</v>
      </c>
      <c r="AH4552" s="508">
        <v>0.14599999999999999</v>
      </c>
      <c r="AI4552" s="492">
        <v>0.14599999999999999</v>
      </c>
      <c r="AJ4552" s="485"/>
    </row>
    <row r="4553" spans="2:36">
      <c r="B4553" s="136" t="s">
        <v>479</v>
      </c>
      <c r="C4553" s="132" t="s">
        <v>1363</v>
      </c>
      <c r="D4553" s="132" t="s">
        <v>1379</v>
      </c>
      <c r="E4553" s="508">
        <v>0.128</v>
      </c>
      <c r="F4553" s="508">
        <v>0.127</v>
      </c>
      <c r="G4553" s="508">
        <v>0.123</v>
      </c>
      <c r="H4553" s="508">
        <v>0.128</v>
      </c>
      <c r="I4553" s="508">
        <v>0.127</v>
      </c>
      <c r="J4553" s="508">
        <v>0.124</v>
      </c>
      <c r="K4553" s="508">
        <v>0.128</v>
      </c>
      <c r="L4553" s="508">
        <v>0.125</v>
      </c>
      <c r="M4553" s="508">
        <v>0.129</v>
      </c>
      <c r="N4553" s="508">
        <v>0.126</v>
      </c>
      <c r="O4553" s="508">
        <v>0.127</v>
      </c>
      <c r="P4553" s="508">
        <v>0.127</v>
      </c>
      <c r="Q4553" s="508">
        <v>0.13100000000000001</v>
      </c>
      <c r="R4553" s="508">
        <v>0.129</v>
      </c>
      <c r="S4553" s="508">
        <v>0.128</v>
      </c>
      <c r="T4553" s="508">
        <v>0.127</v>
      </c>
      <c r="U4553" s="508">
        <v>0.128</v>
      </c>
      <c r="V4553" s="508">
        <v>0.11799999999999999</v>
      </c>
      <c r="W4553" s="508">
        <v>0.122</v>
      </c>
      <c r="X4553" s="508">
        <v>0.11700000000000001</v>
      </c>
      <c r="Y4553" s="508">
        <v>0.12</v>
      </c>
      <c r="Z4553" s="508">
        <v>0.121</v>
      </c>
      <c r="AA4553" s="508">
        <v>0.121</v>
      </c>
      <c r="AB4553" s="508">
        <v>0.11700000000000001</v>
      </c>
      <c r="AC4553" s="508">
        <v>0.126</v>
      </c>
      <c r="AD4553" s="508">
        <v>0.124</v>
      </c>
      <c r="AE4553" s="508">
        <v>0.121</v>
      </c>
      <c r="AF4553" s="508">
        <v>0.121</v>
      </c>
      <c r="AG4553" s="508">
        <v>0.121</v>
      </c>
      <c r="AH4553" s="508">
        <v>0.121</v>
      </c>
      <c r="AI4553" s="492">
        <v>0.121</v>
      </c>
      <c r="AJ4553" s="485"/>
    </row>
    <row r="4554" spans="2:36">
      <c r="B4554" s="136" t="s">
        <v>480</v>
      </c>
      <c r="C4554" s="132" t="s">
        <v>1363</v>
      </c>
      <c r="D4554" s="132" t="s">
        <v>1379</v>
      </c>
      <c r="E4554" s="508">
        <v>0.104</v>
      </c>
      <c r="F4554" s="508">
        <v>0.10299999999999999</v>
      </c>
      <c r="G4554" s="508">
        <v>0.10100000000000001</v>
      </c>
      <c r="H4554" s="508">
        <v>0.104</v>
      </c>
      <c r="I4554" s="508">
        <v>0.104</v>
      </c>
      <c r="J4554" s="508">
        <v>0.10199999999999999</v>
      </c>
      <c r="K4554" s="508">
        <v>0.105</v>
      </c>
      <c r="L4554" s="508">
        <v>0.10199999999999999</v>
      </c>
      <c r="M4554" s="508">
        <v>0.106</v>
      </c>
      <c r="N4554" s="508">
        <v>0.10299999999999999</v>
      </c>
      <c r="O4554" s="508">
        <v>0.104</v>
      </c>
      <c r="P4554" s="508">
        <v>0.104</v>
      </c>
      <c r="Q4554" s="508">
        <v>0.107</v>
      </c>
      <c r="R4554" s="508">
        <v>0.105</v>
      </c>
      <c r="S4554" s="508">
        <v>0.105</v>
      </c>
      <c r="T4554" s="508">
        <v>0.104</v>
      </c>
      <c r="U4554" s="508">
        <v>0.105</v>
      </c>
      <c r="V4554" s="508">
        <v>9.7000000000000003E-2</v>
      </c>
      <c r="W4554" s="508">
        <v>0.1</v>
      </c>
      <c r="X4554" s="508">
        <v>9.5000000000000001E-2</v>
      </c>
      <c r="Y4554" s="508">
        <v>9.8000000000000004E-2</v>
      </c>
      <c r="Z4554" s="508">
        <v>9.9000000000000005E-2</v>
      </c>
      <c r="AA4554" s="508">
        <v>9.9000000000000005E-2</v>
      </c>
      <c r="AB4554" s="508">
        <v>9.6000000000000002E-2</v>
      </c>
      <c r="AC4554" s="508">
        <v>0.10299999999999999</v>
      </c>
      <c r="AD4554" s="508">
        <v>0.10100000000000001</v>
      </c>
      <c r="AE4554" s="508">
        <v>9.9000000000000005E-2</v>
      </c>
      <c r="AF4554" s="508">
        <v>9.9000000000000005E-2</v>
      </c>
      <c r="AG4554" s="508">
        <v>9.9000000000000005E-2</v>
      </c>
      <c r="AH4554" s="508">
        <v>9.9000000000000005E-2</v>
      </c>
      <c r="AI4554" s="492">
        <v>9.9000000000000005E-2</v>
      </c>
      <c r="AJ4554" s="485"/>
    </row>
    <row r="4555" spans="2:36">
      <c r="B4555" s="136" t="s">
        <v>481</v>
      </c>
      <c r="C4555" s="132" t="s">
        <v>1363</v>
      </c>
      <c r="D4555" s="132" t="s">
        <v>1379</v>
      </c>
      <c r="E4555" s="508">
        <v>0.13400000000000001</v>
      </c>
      <c r="F4555" s="508">
        <v>0.13300000000000001</v>
      </c>
      <c r="G4555" s="508">
        <v>0.129</v>
      </c>
      <c r="H4555" s="508">
        <v>0.13400000000000001</v>
      </c>
      <c r="I4555" s="508">
        <v>0.13300000000000001</v>
      </c>
      <c r="J4555" s="508">
        <v>0.13</v>
      </c>
      <c r="K4555" s="508">
        <v>0.13500000000000001</v>
      </c>
      <c r="L4555" s="508">
        <v>0.13</v>
      </c>
      <c r="M4555" s="508">
        <v>0.13600000000000001</v>
      </c>
      <c r="N4555" s="508">
        <v>0.13200000000000001</v>
      </c>
      <c r="O4555" s="508">
        <v>0.13300000000000001</v>
      </c>
      <c r="P4555" s="508">
        <v>0.13300000000000001</v>
      </c>
      <c r="Q4555" s="508">
        <v>0.13700000000000001</v>
      </c>
      <c r="R4555" s="508">
        <v>0.13500000000000001</v>
      </c>
      <c r="S4555" s="508">
        <v>0.13400000000000001</v>
      </c>
      <c r="T4555" s="508">
        <v>0.13300000000000001</v>
      </c>
      <c r="U4555" s="508">
        <v>0.13500000000000001</v>
      </c>
      <c r="V4555" s="508">
        <v>0.124</v>
      </c>
      <c r="W4555" s="508">
        <v>0.128</v>
      </c>
      <c r="X4555" s="508">
        <v>0.122</v>
      </c>
      <c r="Y4555" s="508">
        <v>0.125</v>
      </c>
      <c r="Z4555" s="508">
        <v>0.127</v>
      </c>
      <c r="AA4555" s="508">
        <v>0.127</v>
      </c>
      <c r="AB4555" s="508">
        <v>0.123</v>
      </c>
      <c r="AC4555" s="508">
        <v>0.13200000000000001</v>
      </c>
      <c r="AD4555" s="508">
        <v>0.13</v>
      </c>
      <c r="AE4555" s="508">
        <v>0.127</v>
      </c>
      <c r="AF4555" s="508">
        <v>0.127</v>
      </c>
      <c r="AG4555" s="508">
        <v>0.127</v>
      </c>
      <c r="AH4555" s="508">
        <v>0.127</v>
      </c>
      <c r="AI4555" s="492">
        <v>0.127</v>
      </c>
      <c r="AJ4555" s="485"/>
    </row>
    <row r="4556" spans="2:36">
      <c r="B4556" s="136" t="s">
        <v>482</v>
      </c>
      <c r="C4556" s="132" t="s">
        <v>1363</v>
      </c>
      <c r="D4556" s="132" t="s">
        <v>1379</v>
      </c>
      <c r="E4556" s="508">
        <v>0.13600000000000001</v>
      </c>
      <c r="F4556" s="508">
        <v>0.13500000000000001</v>
      </c>
      <c r="G4556" s="508">
        <v>0.13100000000000001</v>
      </c>
      <c r="H4556" s="508">
        <v>0.13600000000000001</v>
      </c>
      <c r="I4556" s="508">
        <v>0.13500000000000001</v>
      </c>
      <c r="J4556" s="508">
        <v>0.13200000000000001</v>
      </c>
      <c r="K4556" s="508">
        <v>0.13600000000000001</v>
      </c>
      <c r="L4556" s="508">
        <v>0.13200000000000001</v>
      </c>
      <c r="M4556" s="508">
        <v>0.13800000000000001</v>
      </c>
      <c r="N4556" s="508">
        <v>0.13400000000000001</v>
      </c>
      <c r="O4556" s="508">
        <v>0.13500000000000001</v>
      </c>
      <c r="P4556" s="508">
        <v>0.13500000000000001</v>
      </c>
      <c r="Q4556" s="508">
        <v>0.13900000000000001</v>
      </c>
      <c r="R4556" s="508">
        <v>0.13700000000000001</v>
      </c>
      <c r="S4556" s="508">
        <v>0.13600000000000001</v>
      </c>
      <c r="T4556" s="508">
        <v>0.13500000000000001</v>
      </c>
      <c r="U4556" s="508">
        <v>0.13700000000000001</v>
      </c>
      <c r="V4556" s="508">
        <v>0.125</v>
      </c>
      <c r="W4556" s="508">
        <v>0.13</v>
      </c>
      <c r="X4556" s="508">
        <v>0.124</v>
      </c>
      <c r="Y4556" s="508">
        <v>0.127</v>
      </c>
      <c r="Z4556" s="508">
        <v>0.129</v>
      </c>
      <c r="AA4556" s="508">
        <v>0.128</v>
      </c>
      <c r="AB4556" s="508">
        <v>0.124</v>
      </c>
      <c r="AC4556" s="508">
        <v>0.13300000000000001</v>
      </c>
      <c r="AD4556" s="508">
        <v>0.13200000000000001</v>
      </c>
      <c r="AE4556" s="508">
        <v>0.128</v>
      </c>
      <c r="AF4556" s="508">
        <v>0.128</v>
      </c>
      <c r="AG4556" s="508">
        <v>0.128</v>
      </c>
      <c r="AH4556" s="508">
        <v>0.128</v>
      </c>
      <c r="AI4556" s="492">
        <v>0.128</v>
      </c>
      <c r="AJ4556" s="485"/>
    </row>
    <row r="4557" spans="2:36">
      <c r="B4557" s="136" t="s">
        <v>483</v>
      </c>
      <c r="C4557" s="132" t="s">
        <v>1363</v>
      </c>
      <c r="D4557" s="132" t="s">
        <v>1379</v>
      </c>
      <c r="E4557" s="508">
        <v>0.151</v>
      </c>
      <c r="F4557" s="508">
        <v>0.15</v>
      </c>
      <c r="G4557" s="508">
        <v>0.14599999999999999</v>
      </c>
      <c r="H4557" s="508">
        <v>0.151</v>
      </c>
      <c r="I4557" s="508">
        <v>0.151</v>
      </c>
      <c r="J4557" s="508">
        <v>0.14699999999999999</v>
      </c>
      <c r="K4557" s="508">
        <v>0.152</v>
      </c>
      <c r="L4557" s="508">
        <v>0.14699999999999999</v>
      </c>
      <c r="M4557" s="508">
        <v>0.153</v>
      </c>
      <c r="N4557" s="508">
        <v>0.14899999999999999</v>
      </c>
      <c r="O4557" s="508">
        <v>0.151</v>
      </c>
      <c r="P4557" s="508">
        <v>0.151</v>
      </c>
      <c r="Q4557" s="508">
        <v>0.155</v>
      </c>
      <c r="R4557" s="508">
        <v>0.153</v>
      </c>
      <c r="S4557" s="508">
        <v>0.152</v>
      </c>
      <c r="T4557" s="508">
        <v>0.151</v>
      </c>
      <c r="U4557" s="508">
        <v>0.152</v>
      </c>
      <c r="V4557" s="508">
        <v>0.14000000000000001</v>
      </c>
      <c r="W4557" s="508">
        <v>0.14399999999999999</v>
      </c>
      <c r="X4557" s="508">
        <v>0.13800000000000001</v>
      </c>
      <c r="Y4557" s="508">
        <v>0.14099999999999999</v>
      </c>
      <c r="Z4557" s="508">
        <v>0.14399999999999999</v>
      </c>
      <c r="AA4557" s="508">
        <v>0.14299999999999999</v>
      </c>
      <c r="AB4557" s="508">
        <v>0.13800000000000001</v>
      </c>
      <c r="AC4557" s="508">
        <v>0.14899999999999999</v>
      </c>
      <c r="AD4557" s="508">
        <v>0.14699999999999999</v>
      </c>
      <c r="AE4557" s="508">
        <v>0.14299999999999999</v>
      </c>
      <c r="AF4557" s="508">
        <v>0.14299999999999999</v>
      </c>
      <c r="AG4557" s="508">
        <v>0.14299999999999999</v>
      </c>
      <c r="AH4557" s="508">
        <v>0.14299999999999999</v>
      </c>
      <c r="AI4557" s="492">
        <v>0.14299999999999999</v>
      </c>
      <c r="AJ4557" s="485"/>
    </row>
    <row r="4558" spans="2:36">
      <c r="B4558" s="136" t="s">
        <v>484</v>
      </c>
      <c r="C4558" s="132" t="s">
        <v>1363</v>
      </c>
      <c r="D4558" s="132" t="s">
        <v>1379</v>
      </c>
      <c r="E4558" s="508">
        <v>0.109</v>
      </c>
      <c r="F4558" s="508">
        <v>0.108</v>
      </c>
      <c r="G4558" s="508">
        <v>0.105</v>
      </c>
      <c r="H4558" s="508">
        <v>0.109</v>
      </c>
      <c r="I4558" s="508">
        <v>0.109</v>
      </c>
      <c r="J4558" s="508">
        <v>0.106</v>
      </c>
      <c r="K4558" s="508">
        <v>0.11</v>
      </c>
      <c r="L4558" s="508">
        <v>0.106</v>
      </c>
      <c r="M4558" s="508">
        <v>0.11</v>
      </c>
      <c r="N4558" s="508">
        <v>0.107</v>
      </c>
      <c r="O4558" s="508">
        <v>0.109</v>
      </c>
      <c r="P4558" s="508">
        <v>0.109</v>
      </c>
      <c r="Q4558" s="508">
        <v>0.112</v>
      </c>
      <c r="R4558" s="508">
        <v>0.11</v>
      </c>
      <c r="S4558" s="508">
        <v>0.109</v>
      </c>
      <c r="T4558" s="508">
        <v>0.108</v>
      </c>
      <c r="U4558" s="508">
        <v>0.11</v>
      </c>
      <c r="V4558" s="508">
        <v>0.10100000000000001</v>
      </c>
      <c r="W4558" s="508">
        <v>0.104</v>
      </c>
      <c r="X4558" s="508">
        <v>0.1</v>
      </c>
      <c r="Y4558" s="508">
        <v>0.10199999999999999</v>
      </c>
      <c r="Z4558" s="508">
        <v>0.104</v>
      </c>
      <c r="AA4558" s="508">
        <v>0.10299999999999999</v>
      </c>
      <c r="AB4558" s="508">
        <v>0.1</v>
      </c>
      <c r="AC4558" s="508">
        <v>0.107</v>
      </c>
      <c r="AD4558" s="508">
        <v>0.106</v>
      </c>
      <c r="AE4558" s="508">
        <v>0.10299999999999999</v>
      </c>
      <c r="AF4558" s="508">
        <v>0.10299999999999999</v>
      </c>
      <c r="AG4558" s="508">
        <v>0.10299999999999999</v>
      </c>
      <c r="AH4558" s="508">
        <v>0.10299999999999999</v>
      </c>
      <c r="AI4558" s="492">
        <v>0.10299999999999999</v>
      </c>
      <c r="AJ4558" s="485"/>
    </row>
    <row r="4559" spans="2:36">
      <c r="B4559" s="136" t="s">
        <v>486</v>
      </c>
      <c r="C4559" s="132" t="s">
        <v>1363</v>
      </c>
      <c r="D4559" s="132" t="s">
        <v>1379</v>
      </c>
      <c r="E4559" s="508">
        <v>0.13500000000000001</v>
      </c>
      <c r="F4559" s="508">
        <v>0.13400000000000001</v>
      </c>
      <c r="G4559" s="508">
        <v>0.13100000000000001</v>
      </c>
      <c r="H4559" s="508">
        <v>0.13500000000000001</v>
      </c>
      <c r="I4559" s="508">
        <v>0.13500000000000001</v>
      </c>
      <c r="J4559" s="508">
        <v>0.13200000000000001</v>
      </c>
      <c r="K4559" s="508">
        <v>0.13600000000000001</v>
      </c>
      <c r="L4559" s="508">
        <v>0.13200000000000001</v>
      </c>
      <c r="M4559" s="508">
        <v>0.13700000000000001</v>
      </c>
      <c r="N4559" s="508">
        <v>0.13300000000000001</v>
      </c>
      <c r="O4559" s="508">
        <v>0.13500000000000001</v>
      </c>
      <c r="P4559" s="508">
        <v>0.13500000000000001</v>
      </c>
      <c r="Q4559" s="508">
        <v>0.13900000000000001</v>
      </c>
      <c r="R4559" s="508">
        <v>0.13700000000000001</v>
      </c>
      <c r="S4559" s="508">
        <v>0.13600000000000001</v>
      </c>
      <c r="T4559" s="508">
        <v>0.13500000000000001</v>
      </c>
      <c r="U4559" s="508">
        <v>0.13600000000000001</v>
      </c>
      <c r="V4559" s="508">
        <v>0.125</v>
      </c>
      <c r="W4559" s="508">
        <v>0.129</v>
      </c>
      <c r="X4559" s="508">
        <v>0.124</v>
      </c>
      <c r="Y4559" s="508">
        <v>0.127</v>
      </c>
      <c r="Z4559" s="508">
        <v>0.129</v>
      </c>
      <c r="AA4559" s="508">
        <v>0.128</v>
      </c>
      <c r="AB4559" s="508">
        <v>0.124</v>
      </c>
      <c r="AC4559" s="508">
        <v>0.13300000000000001</v>
      </c>
      <c r="AD4559" s="508">
        <v>0.13200000000000001</v>
      </c>
      <c r="AE4559" s="508">
        <v>0.128</v>
      </c>
      <c r="AF4559" s="508">
        <v>0.128</v>
      </c>
      <c r="AG4559" s="508">
        <v>0.128</v>
      </c>
      <c r="AH4559" s="508">
        <v>0.128</v>
      </c>
      <c r="AI4559" s="492">
        <v>0.128</v>
      </c>
      <c r="AJ4559" s="485"/>
    </row>
    <row r="4560" spans="2:36">
      <c r="B4560" s="136" t="s">
        <v>487</v>
      </c>
      <c r="C4560" s="132" t="s">
        <v>1363</v>
      </c>
      <c r="D4560" s="132" t="s">
        <v>1379</v>
      </c>
      <c r="E4560" s="508">
        <v>0.13400000000000001</v>
      </c>
      <c r="F4560" s="508">
        <v>0.13400000000000001</v>
      </c>
      <c r="G4560" s="508">
        <v>0.13</v>
      </c>
      <c r="H4560" s="508">
        <v>0.13500000000000001</v>
      </c>
      <c r="I4560" s="508">
        <v>0.13400000000000001</v>
      </c>
      <c r="J4560" s="508">
        <v>0.13100000000000001</v>
      </c>
      <c r="K4560" s="508">
        <v>0.13500000000000001</v>
      </c>
      <c r="L4560" s="508">
        <v>0.13100000000000001</v>
      </c>
      <c r="M4560" s="508">
        <v>0.13600000000000001</v>
      </c>
      <c r="N4560" s="508">
        <v>0.13300000000000001</v>
      </c>
      <c r="O4560" s="508">
        <v>0.13400000000000001</v>
      </c>
      <c r="P4560" s="508">
        <v>0.13400000000000001</v>
      </c>
      <c r="Q4560" s="508">
        <v>0.13800000000000001</v>
      </c>
      <c r="R4560" s="508">
        <v>0.13600000000000001</v>
      </c>
      <c r="S4560" s="508">
        <v>0.13500000000000001</v>
      </c>
      <c r="T4560" s="508">
        <v>0.13400000000000001</v>
      </c>
      <c r="U4560" s="508">
        <v>0.13500000000000001</v>
      </c>
      <c r="V4560" s="508">
        <v>0.124</v>
      </c>
      <c r="W4560" s="508">
        <v>0.129</v>
      </c>
      <c r="X4560" s="508">
        <v>0.123</v>
      </c>
      <c r="Y4560" s="508">
        <v>0.126</v>
      </c>
      <c r="Z4560" s="508">
        <v>0.128</v>
      </c>
      <c r="AA4560" s="508">
        <v>0.127</v>
      </c>
      <c r="AB4560" s="508">
        <v>0.123</v>
      </c>
      <c r="AC4560" s="508">
        <v>0.13200000000000001</v>
      </c>
      <c r="AD4560" s="508">
        <v>0.13100000000000001</v>
      </c>
      <c r="AE4560" s="508">
        <v>0.127</v>
      </c>
      <c r="AF4560" s="508">
        <v>0.127</v>
      </c>
      <c r="AG4560" s="508">
        <v>0.127</v>
      </c>
      <c r="AH4560" s="508">
        <v>0.127</v>
      </c>
      <c r="AI4560" s="492">
        <v>0.127</v>
      </c>
      <c r="AJ4560" s="485"/>
    </row>
    <row r="4561" spans="2:36">
      <c r="B4561" s="136" t="s">
        <v>488</v>
      </c>
      <c r="C4561" s="132" t="s">
        <v>1363</v>
      </c>
      <c r="D4561" s="132" t="s">
        <v>1379</v>
      </c>
      <c r="E4561" s="508">
        <v>0.115</v>
      </c>
      <c r="F4561" s="508">
        <v>0.114</v>
      </c>
      <c r="G4561" s="508">
        <v>0.111</v>
      </c>
      <c r="H4561" s="508">
        <v>0.115</v>
      </c>
      <c r="I4561" s="508">
        <v>0.115</v>
      </c>
      <c r="J4561" s="508">
        <v>0.112</v>
      </c>
      <c r="K4561" s="508">
        <v>0.11600000000000001</v>
      </c>
      <c r="L4561" s="508">
        <v>0.112</v>
      </c>
      <c r="M4561" s="508">
        <v>0.11600000000000001</v>
      </c>
      <c r="N4561" s="508">
        <v>0.113</v>
      </c>
      <c r="O4561" s="508">
        <v>0.115</v>
      </c>
      <c r="P4561" s="508">
        <v>0.115</v>
      </c>
      <c r="Q4561" s="508">
        <v>0.11799999999999999</v>
      </c>
      <c r="R4561" s="508">
        <v>0.11600000000000001</v>
      </c>
      <c r="S4561" s="508">
        <v>0.115</v>
      </c>
      <c r="T4561" s="508">
        <v>0.114</v>
      </c>
      <c r="U4561" s="508">
        <v>0.11600000000000001</v>
      </c>
      <c r="V4561" s="508">
        <v>0.106</v>
      </c>
      <c r="W4561" s="508">
        <v>0.11</v>
      </c>
      <c r="X4561" s="508">
        <v>0.105</v>
      </c>
      <c r="Y4561" s="508">
        <v>0.108</v>
      </c>
      <c r="Z4561" s="508">
        <v>0.109</v>
      </c>
      <c r="AA4561" s="508">
        <v>0.109</v>
      </c>
      <c r="AB4561" s="508">
        <v>0.105</v>
      </c>
      <c r="AC4561" s="508">
        <v>0.113</v>
      </c>
      <c r="AD4561" s="508">
        <v>0.112</v>
      </c>
      <c r="AE4561" s="508">
        <v>0.109</v>
      </c>
      <c r="AF4561" s="508">
        <v>0.109</v>
      </c>
      <c r="AG4561" s="508">
        <v>0.109</v>
      </c>
      <c r="AH4561" s="508">
        <v>0.109</v>
      </c>
      <c r="AI4561" s="492">
        <v>0.109</v>
      </c>
      <c r="AJ4561" s="485"/>
    </row>
    <row r="4562" spans="2:36">
      <c r="B4562" s="136" t="s">
        <v>489</v>
      </c>
      <c r="C4562" s="132" t="s">
        <v>1363</v>
      </c>
      <c r="D4562" s="132" t="s">
        <v>1379</v>
      </c>
      <c r="E4562" s="508">
        <v>0.126</v>
      </c>
      <c r="F4562" s="508">
        <v>0.125</v>
      </c>
      <c r="G4562" s="508">
        <v>0.122</v>
      </c>
      <c r="H4562" s="508">
        <v>0.126</v>
      </c>
      <c r="I4562" s="508">
        <v>0.126</v>
      </c>
      <c r="J4562" s="508">
        <v>0.123</v>
      </c>
      <c r="K4562" s="508">
        <v>0.127</v>
      </c>
      <c r="L4562" s="508">
        <v>0.123</v>
      </c>
      <c r="M4562" s="508">
        <v>0.128</v>
      </c>
      <c r="N4562" s="508">
        <v>0.124</v>
      </c>
      <c r="O4562" s="508">
        <v>0.126</v>
      </c>
      <c r="P4562" s="508">
        <v>0.126</v>
      </c>
      <c r="Q4562" s="508">
        <v>0.129</v>
      </c>
      <c r="R4562" s="508">
        <v>0.127</v>
      </c>
      <c r="S4562" s="508">
        <v>0.126</v>
      </c>
      <c r="T4562" s="508">
        <v>0.125</v>
      </c>
      <c r="U4562" s="508">
        <v>0.127</v>
      </c>
      <c r="V4562" s="508">
        <v>0.11700000000000001</v>
      </c>
      <c r="W4562" s="508">
        <v>0.12</v>
      </c>
      <c r="X4562" s="508">
        <v>0.115</v>
      </c>
      <c r="Y4562" s="508">
        <v>0.11799999999999999</v>
      </c>
      <c r="Z4562" s="508">
        <v>0.12</v>
      </c>
      <c r="AA4562" s="508">
        <v>0.11899999999999999</v>
      </c>
      <c r="AB4562" s="508">
        <v>0.115</v>
      </c>
      <c r="AC4562" s="508">
        <v>0.124</v>
      </c>
      <c r="AD4562" s="508">
        <v>0.123</v>
      </c>
      <c r="AE4562" s="508">
        <v>0.11899999999999999</v>
      </c>
      <c r="AF4562" s="508">
        <v>0.11899999999999999</v>
      </c>
      <c r="AG4562" s="508">
        <v>0.11899999999999999</v>
      </c>
      <c r="AH4562" s="508">
        <v>0.11899999999999999</v>
      </c>
      <c r="AI4562" s="492">
        <v>0.11899999999999999</v>
      </c>
      <c r="AJ4562" s="485"/>
    </row>
    <row r="4563" spans="2:36">
      <c r="B4563" s="136" t="s">
        <v>490</v>
      </c>
      <c r="C4563" s="132" t="s">
        <v>1363</v>
      </c>
      <c r="D4563" s="132" t="s">
        <v>1379</v>
      </c>
      <c r="E4563" s="508">
        <v>0.104</v>
      </c>
      <c r="F4563" s="508">
        <v>0.10299999999999999</v>
      </c>
      <c r="G4563" s="508">
        <v>0.1</v>
      </c>
      <c r="H4563" s="508">
        <v>0.104</v>
      </c>
      <c r="I4563" s="508">
        <v>0.104</v>
      </c>
      <c r="J4563" s="508">
        <v>0.10100000000000001</v>
      </c>
      <c r="K4563" s="508">
        <v>0.105</v>
      </c>
      <c r="L4563" s="508">
        <v>0.10100000000000001</v>
      </c>
      <c r="M4563" s="508">
        <v>0.105</v>
      </c>
      <c r="N4563" s="508">
        <v>0.10199999999999999</v>
      </c>
      <c r="O4563" s="508">
        <v>0.104</v>
      </c>
      <c r="P4563" s="508">
        <v>0.104</v>
      </c>
      <c r="Q4563" s="508">
        <v>0.107</v>
      </c>
      <c r="R4563" s="508">
        <v>0.105</v>
      </c>
      <c r="S4563" s="508">
        <v>0.104</v>
      </c>
      <c r="T4563" s="508">
        <v>0.10299999999999999</v>
      </c>
      <c r="U4563" s="508">
        <v>0.105</v>
      </c>
      <c r="V4563" s="508">
        <v>9.6000000000000002E-2</v>
      </c>
      <c r="W4563" s="508">
        <v>9.9000000000000005E-2</v>
      </c>
      <c r="X4563" s="508">
        <v>9.5000000000000001E-2</v>
      </c>
      <c r="Y4563" s="508">
        <v>9.7000000000000003E-2</v>
      </c>
      <c r="Z4563" s="508">
        <v>9.9000000000000005E-2</v>
      </c>
      <c r="AA4563" s="508">
        <v>9.8000000000000004E-2</v>
      </c>
      <c r="AB4563" s="508">
        <v>9.5000000000000001E-2</v>
      </c>
      <c r="AC4563" s="508">
        <v>0.10199999999999999</v>
      </c>
      <c r="AD4563" s="508">
        <v>0.10100000000000001</v>
      </c>
      <c r="AE4563" s="508">
        <v>9.8000000000000004E-2</v>
      </c>
      <c r="AF4563" s="508">
        <v>9.8000000000000004E-2</v>
      </c>
      <c r="AG4563" s="508">
        <v>9.8000000000000004E-2</v>
      </c>
      <c r="AH4563" s="508">
        <v>9.8000000000000004E-2</v>
      </c>
      <c r="AI4563" s="492">
        <v>9.8000000000000004E-2</v>
      </c>
      <c r="AJ4563" s="485"/>
    </row>
    <row r="4564" spans="2:36">
      <c r="B4564" s="136" t="s">
        <v>435</v>
      </c>
      <c r="C4564" s="132" t="s">
        <v>1364</v>
      </c>
      <c r="D4564" s="132" t="s">
        <v>1379</v>
      </c>
      <c r="E4564" s="508">
        <v>4.3999999999999997E-2</v>
      </c>
      <c r="F4564" s="508">
        <v>4.3999999999999997E-2</v>
      </c>
      <c r="G4564" s="508">
        <v>4.3999999999999997E-2</v>
      </c>
      <c r="H4564" s="508">
        <v>4.3999999999999997E-2</v>
      </c>
      <c r="I4564" s="508">
        <v>4.3999999999999997E-2</v>
      </c>
      <c r="J4564" s="508">
        <v>4.3999999999999997E-2</v>
      </c>
      <c r="K4564" s="508">
        <v>4.3999999999999997E-2</v>
      </c>
      <c r="L4564" s="508">
        <v>4.3999999999999997E-2</v>
      </c>
      <c r="M4564" s="508">
        <v>4.3999999999999997E-2</v>
      </c>
      <c r="N4564" s="508">
        <v>4.3999999999999997E-2</v>
      </c>
      <c r="O4564" s="508">
        <v>4.3999999999999997E-2</v>
      </c>
      <c r="P4564" s="508">
        <v>4.3999999999999997E-2</v>
      </c>
      <c r="Q4564" s="508">
        <v>4.3999999999999997E-2</v>
      </c>
      <c r="R4564" s="508">
        <v>4.3999999999999997E-2</v>
      </c>
      <c r="S4564" s="508">
        <v>4.3999999999999997E-2</v>
      </c>
      <c r="T4564" s="508">
        <v>4.3999999999999997E-2</v>
      </c>
      <c r="U4564" s="508">
        <v>4.3999999999999997E-2</v>
      </c>
      <c r="V4564" s="508">
        <v>4.3999999999999997E-2</v>
      </c>
      <c r="W4564" s="508">
        <v>4.3999999999999997E-2</v>
      </c>
      <c r="X4564" s="508">
        <v>4.3999999999999997E-2</v>
      </c>
      <c r="Y4564" s="508">
        <v>4.3999999999999997E-2</v>
      </c>
      <c r="Z4564" s="508">
        <v>4.3999999999999997E-2</v>
      </c>
      <c r="AA4564" s="508">
        <v>4.3999999999999997E-2</v>
      </c>
      <c r="AB4564" s="508">
        <v>4.3999999999999997E-2</v>
      </c>
      <c r="AC4564" s="508">
        <v>4.3999999999999997E-2</v>
      </c>
      <c r="AD4564" s="508">
        <v>4.3999999999999997E-2</v>
      </c>
      <c r="AE4564" s="508">
        <v>4.3999999999999997E-2</v>
      </c>
      <c r="AF4564" s="508">
        <v>4.3999999999999997E-2</v>
      </c>
      <c r="AG4564" s="508">
        <v>4.3999999999999997E-2</v>
      </c>
      <c r="AH4564" s="508">
        <v>4.3999999999999997E-2</v>
      </c>
      <c r="AI4564" s="492">
        <v>4.3999999999999997E-2</v>
      </c>
      <c r="AJ4564" s="485"/>
    </row>
    <row r="4565" spans="2:36">
      <c r="B4565" s="136" t="s">
        <v>436</v>
      </c>
      <c r="C4565" s="132" t="s">
        <v>1364</v>
      </c>
      <c r="D4565" s="132" t="s">
        <v>1379</v>
      </c>
      <c r="E4565" s="508">
        <v>4.1000000000000002E-2</v>
      </c>
      <c r="F4565" s="508">
        <v>4.1000000000000002E-2</v>
      </c>
      <c r="G4565" s="508">
        <v>4.1000000000000002E-2</v>
      </c>
      <c r="H4565" s="508">
        <v>4.1000000000000002E-2</v>
      </c>
      <c r="I4565" s="508">
        <v>4.1000000000000002E-2</v>
      </c>
      <c r="J4565" s="508">
        <v>4.1000000000000002E-2</v>
      </c>
      <c r="K4565" s="508">
        <v>4.1000000000000002E-2</v>
      </c>
      <c r="L4565" s="508">
        <v>4.1000000000000002E-2</v>
      </c>
      <c r="M4565" s="508">
        <v>4.1000000000000002E-2</v>
      </c>
      <c r="N4565" s="508">
        <v>4.1000000000000002E-2</v>
      </c>
      <c r="O4565" s="508">
        <v>4.1000000000000002E-2</v>
      </c>
      <c r="P4565" s="508">
        <v>4.1000000000000002E-2</v>
      </c>
      <c r="Q4565" s="508">
        <v>4.1000000000000002E-2</v>
      </c>
      <c r="R4565" s="508">
        <v>4.1000000000000002E-2</v>
      </c>
      <c r="S4565" s="508">
        <v>4.1000000000000002E-2</v>
      </c>
      <c r="T4565" s="508">
        <v>4.1000000000000002E-2</v>
      </c>
      <c r="U4565" s="508">
        <v>4.1000000000000002E-2</v>
      </c>
      <c r="V4565" s="508">
        <v>4.1000000000000002E-2</v>
      </c>
      <c r="W4565" s="508">
        <v>4.1000000000000002E-2</v>
      </c>
      <c r="X4565" s="508">
        <v>4.1000000000000002E-2</v>
      </c>
      <c r="Y4565" s="508">
        <v>4.1000000000000002E-2</v>
      </c>
      <c r="Z4565" s="508">
        <v>4.1000000000000002E-2</v>
      </c>
      <c r="AA4565" s="508">
        <v>4.1000000000000002E-2</v>
      </c>
      <c r="AB4565" s="508">
        <v>4.1000000000000002E-2</v>
      </c>
      <c r="AC4565" s="508">
        <v>4.1000000000000002E-2</v>
      </c>
      <c r="AD4565" s="508">
        <v>4.1000000000000002E-2</v>
      </c>
      <c r="AE4565" s="508">
        <v>4.1000000000000002E-2</v>
      </c>
      <c r="AF4565" s="508">
        <v>4.1000000000000002E-2</v>
      </c>
      <c r="AG4565" s="508">
        <v>4.1000000000000002E-2</v>
      </c>
      <c r="AH4565" s="508">
        <v>4.1000000000000002E-2</v>
      </c>
      <c r="AI4565" s="492">
        <v>4.1000000000000002E-2</v>
      </c>
      <c r="AJ4565" s="485"/>
    </row>
    <row r="4566" spans="2:36">
      <c r="B4566" s="136" t="s">
        <v>437</v>
      </c>
      <c r="C4566" s="132" t="s">
        <v>1364</v>
      </c>
      <c r="D4566" s="132" t="s">
        <v>1379</v>
      </c>
      <c r="E4566" s="508">
        <v>4.5999999999999999E-2</v>
      </c>
      <c r="F4566" s="508">
        <v>4.5999999999999999E-2</v>
      </c>
      <c r="G4566" s="508">
        <v>4.5999999999999999E-2</v>
      </c>
      <c r="H4566" s="508">
        <v>4.5999999999999999E-2</v>
      </c>
      <c r="I4566" s="508">
        <v>4.5999999999999999E-2</v>
      </c>
      <c r="J4566" s="508">
        <v>4.5999999999999999E-2</v>
      </c>
      <c r="K4566" s="508">
        <v>4.5999999999999999E-2</v>
      </c>
      <c r="L4566" s="508">
        <v>4.5999999999999999E-2</v>
      </c>
      <c r="M4566" s="508">
        <v>4.5999999999999999E-2</v>
      </c>
      <c r="N4566" s="508">
        <v>4.5999999999999999E-2</v>
      </c>
      <c r="O4566" s="508">
        <v>4.5999999999999999E-2</v>
      </c>
      <c r="P4566" s="508">
        <v>4.5999999999999999E-2</v>
      </c>
      <c r="Q4566" s="508">
        <v>4.5999999999999999E-2</v>
      </c>
      <c r="R4566" s="508">
        <v>4.5999999999999999E-2</v>
      </c>
      <c r="S4566" s="508">
        <v>4.5999999999999999E-2</v>
      </c>
      <c r="T4566" s="508">
        <v>4.5999999999999999E-2</v>
      </c>
      <c r="U4566" s="508">
        <v>4.5999999999999999E-2</v>
      </c>
      <c r="V4566" s="508">
        <v>4.5999999999999999E-2</v>
      </c>
      <c r="W4566" s="508">
        <v>4.5999999999999999E-2</v>
      </c>
      <c r="X4566" s="508">
        <v>4.5999999999999999E-2</v>
      </c>
      <c r="Y4566" s="508">
        <v>4.5999999999999999E-2</v>
      </c>
      <c r="Z4566" s="508">
        <v>4.5999999999999999E-2</v>
      </c>
      <c r="AA4566" s="508">
        <v>4.5999999999999999E-2</v>
      </c>
      <c r="AB4566" s="508">
        <v>4.5999999999999999E-2</v>
      </c>
      <c r="AC4566" s="508">
        <v>4.5999999999999999E-2</v>
      </c>
      <c r="AD4566" s="508">
        <v>4.5999999999999999E-2</v>
      </c>
      <c r="AE4566" s="508">
        <v>4.5999999999999999E-2</v>
      </c>
      <c r="AF4566" s="508">
        <v>4.5999999999999999E-2</v>
      </c>
      <c r="AG4566" s="508">
        <v>4.5999999999999999E-2</v>
      </c>
      <c r="AH4566" s="508">
        <v>4.5999999999999999E-2</v>
      </c>
      <c r="AI4566" s="492">
        <v>4.5999999999999999E-2</v>
      </c>
      <c r="AJ4566" s="485"/>
    </row>
    <row r="4567" spans="2:36">
      <c r="B4567" s="136" t="s">
        <v>438</v>
      </c>
      <c r="C4567" s="132" t="s">
        <v>1364</v>
      </c>
      <c r="D4567" s="132" t="s">
        <v>1379</v>
      </c>
      <c r="E4567" s="508">
        <v>3.7999999999999999E-2</v>
      </c>
      <c r="F4567" s="508">
        <v>3.7999999999999999E-2</v>
      </c>
      <c r="G4567" s="508">
        <v>3.7999999999999999E-2</v>
      </c>
      <c r="H4567" s="508">
        <v>3.7999999999999999E-2</v>
      </c>
      <c r="I4567" s="508">
        <v>3.7999999999999999E-2</v>
      </c>
      <c r="J4567" s="508">
        <v>3.9E-2</v>
      </c>
      <c r="K4567" s="508">
        <v>3.7999999999999999E-2</v>
      </c>
      <c r="L4567" s="508">
        <v>3.7999999999999999E-2</v>
      </c>
      <c r="M4567" s="508">
        <v>3.7999999999999999E-2</v>
      </c>
      <c r="N4567" s="508">
        <v>3.7999999999999999E-2</v>
      </c>
      <c r="O4567" s="508">
        <v>3.7999999999999999E-2</v>
      </c>
      <c r="P4567" s="508">
        <v>3.7999999999999999E-2</v>
      </c>
      <c r="Q4567" s="508">
        <v>3.7999999999999999E-2</v>
      </c>
      <c r="R4567" s="508">
        <v>3.7999999999999999E-2</v>
      </c>
      <c r="S4567" s="508">
        <v>3.7999999999999999E-2</v>
      </c>
      <c r="T4567" s="508">
        <v>3.7999999999999999E-2</v>
      </c>
      <c r="U4567" s="508">
        <v>3.7999999999999999E-2</v>
      </c>
      <c r="V4567" s="508">
        <v>3.7999999999999999E-2</v>
      </c>
      <c r="W4567" s="508">
        <v>3.7999999999999999E-2</v>
      </c>
      <c r="X4567" s="508">
        <v>3.7999999999999999E-2</v>
      </c>
      <c r="Y4567" s="508">
        <v>3.7999999999999999E-2</v>
      </c>
      <c r="Z4567" s="508">
        <v>3.7999999999999999E-2</v>
      </c>
      <c r="AA4567" s="508">
        <v>3.7999999999999999E-2</v>
      </c>
      <c r="AB4567" s="508">
        <v>3.7999999999999999E-2</v>
      </c>
      <c r="AC4567" s="508">
        <v>3.7999999999999999E-2</v>
      </c>
      <c r="AD4567" s="508">
        <v>3.7999999999999999E-2</v>
      </c>
      <c r="AE4567" s="508">
        <v>3.7999999999999999E-2</v>
      </c>
      <c r="AF4567" s="508">
        <v>3.7999999999999999E-2</v>
      </c>
      <c r="AG4567" s="508">
        <v>3.7999999999999999E-2</v>
      </c>
      <c r="AH4567" s="508">
        <v>3.7999999999999999E-2</v>
      </c>
      <c r="AI4567" s="492">
        <v>3.7999999999999999E-2</v>
      </c>
      <c r="AJ4567" s="485"/>
    </row>
    <row r="4568" spans="2:36">
      <c r="B4568" s="136" t="s">
        <v>439</v>
      </c>
      <c r="C4568" s="132" t="s">
        <v>1364</v>
      </c>
      <c r="D4568" s="132" t="s">
        <v>1379</v>
      </c>
      <c r="E4568" s="508">
        <v>4.3999999999999997E-2</v>
      </c>
      <c r="F4568" s="508">
        <v>4.3999999999999997E-2</v>
      </c>
      <c r="G4568" s="508">
        <v>4.3999999999999997E-2</v>
      </c>
      <c r="H4568" s="508">
        <v>4.3999999999999997E-2</v>
      </c>
      <c r="I4568" s="508">
        <v>4.3999999999999997E-2</v>
      </c>
      <c r="J4568" s="508">
        <v>4.3999999999999997E-2</v>
      </c>
      <c r="K4568" s="508">
        <v>4.3999999999999997E-2</v>
      </c>
      <c r="L4568" s="508">
        <v>4.3999999999999997E-2</v>
      </c>
      <c r="M4568" s="508">
        <v>4.3999999999999997E-2</v>
      </c>
      <c r="N4568" s="508">
        <v>4.3999999999999997E-2</v>
      </c>
      <c r="O4568" s="508">
        <v>4.3999999999999997E-2</v>
      </c>
      <c r="P4568" s="508">
        <v>4.3999999999999997E-2</v>
      </c>
      <c r="Q4568" s="508">
        <v>4.3999999999999997E-2</v>
      </c>
      <c r="R4568" s="508">
        <v>4.3999999999999997E-2</v>
      </c>
      <c r="S4568" s="508">
        <v>4.3999999999999997E-2</v>
      </c>
      <c r="T4568" s="508">
        <v>4.3999999999999997E-2</v>
      </c>
      <c r="U4568" s="508">
        <v>4.3999999999999997E-2</v>
      </c>
      <c r="V4568" s="508">
        <v>4.3999999999999997E-2</v>
      </c>
      <c r="W4568" s="508">
        <v>4.3999999999999997E-2</v>
      </c>
      <c r="X4568" s="508">
        <v>4.3999999999999997E-2</v>
      </c>
      <c r="Y4568" s="508">
        <v>4.3999999999999997E-2</v>
      </c>
      <c r="Z4568" s="508">
        <v>4.3999999999999997E-2</v>
      </c>
      <c r="AA4568" s="508">
        <v>4.3999999999999997E-2</v>
      </c>
      <c r="AB4568" s="508">
        <v>4.3999999999999997E-2</v>
      </c>
      <c r="AC4568" s="508">
        <v>4.3999999999999997E-2</v>
      </c>
      <c r="AD4568" s="508">
        <v>4.3999999999999997E-2</v>
      </c>
      <c r="AE4568" s="508">
        <v>4.3999999999999997E-2</v>
      </c>
      <c r="AF4568" s="508">
        <v>4.3999999999999997E-2</v>
      </c>
      <c r="AG4568" s="508">
        <v>4.3999999999999997E-2</v>
      </c>
      <c r="AH4568" s="508">
        <v>4.3999999999999997E-2</v>
      </c>
      <c r="AI4568" s="492">
        <v>4.3999999999999997E-2</v>
      </c>
      <c r="AJ4568" s="485"/>
    </row>
    <row r="4569" spans="2:36">
      <c r="B4569" s="136" t="s">
        <v>440</v>
      </c>
      <c r="C4569" s="132" t="s">
        <v>1364</v>
      </c>
      <c r="D4569" s="132" t="s">
        <v>1379</v>
      </c>
      <c r="E4569" s="508">
        <v>4.2999999999999997E-2</v>
      </c>
      <c r="F4569" s="508">
        <v>4.2999999999999997E-2</v>
      </c>
      <c r="G4569" s="508">
        <v>4.2999999999999997E-2</v>
      </c>
      <c r="H4569" s="508">
        <v>4.2999999999999997E-2</v>
      </c>
      <c r="I4569" s="508">
        <v>4.2999999999999997E-2</v>
      </c>
      <c r="J4569" s="508">
        <v>4.2999999999999997E-2</v>
      </c>
      <c r="K4569" s="508">
        <v>4.2999999999999997E-2</v>
      </c>
      <c r="L4569" s="508">
        <v>4.2999999999999997E-2</v>
      </c>
      <c r="M4569" s="508">
        <v>4.2999999999999997E-2</v>
      </c>
      <c r="N4569" s="508">
        <v>4.2999999999999997E-2</v>
      </c>
      <c r="O4569" s="508">
        <v>4.2999999999999997E-2</v>
      </c>
      <c r="P4569" s="508">
        <v>4.2999999999999997E-2</v>
      </c>
      <c r="Q4569" s="508">
        <v>4.2999999999999997E-2</v>
      </c>
      <c r="R4569" s="508">
        <v>4.2999999999999997E-2</v>
      </c>
      <c r="S4569" s="508">
        <v>4.2999999999999997E-2</v>
      </c>
      <c r="T4569" s="508">
        <v>4.2999999999999997E-2</v>
      </c>
      <c r="U4569" s="508">
        <v>4.2999999999999997E-2</v>
      </c>
      <c r="V4569" s="508">
        <v>4.2999999999999997E-2</v>
      </c>
      <c r="W4569" s="508">
        <v>4.2999999999999997E-2</v>
      </c>
      <c r="X4569" s="508">
        <v>4.2999999999999997E-2</v>
      </c>
      <c r="Y4569" s="508">
        <v>4.2999999999999997E-2</v>
      </c>
      <c r="Z4569" s="508">
        <v>4.2999999999999997E-2</v>
      </c>
      <c r="AA4569" s="508">
        <v>4.2999999999999997E-2</v>
      </c>
      <c r="AB4569" s="508">
        <v>4.2999999999999997E-2</v>
      </c>
      <c r="AC4569" s="508">
        <v>4.2999999999999997E-2</v>
      </c>
      <c r="AD4569" s="508">
        <v>4.2999999999999997E-2</v>
      </c>
      <c r="AE4569" s="508">
        <v>4.2999999999999997E-2</v>
      </c>
      <c r="AF4569" s="508">
        <v>4.2999999999999997E-2</v>
      </c>
      <c r="AG4569" s="508">
        <v>4.2999999999999997E-2</v>
      </c>
      <c r="AH4569" s="508">
        <v>4.2999999999999997E-2</v>
      </c>
      <c r="AI4569" s="492">
        <v>4.2999999999999997E-2</v>
      </c>
      <c r="AJ4569" s="485"/>
    </row>
    <row r="4570" spans="2:36">
      <c r="B4570" s="136" t="s">
        <v>441</v>
      </c>
      <c r="C4570" s="132" t="s">
        <v>1364</v>
      </c>
      <c r="D4570" s="132" t="s">
        <v>1379</v>
      </c>
      <c r="E4570" s="508">
        <v>4.3999999999999997E-2</v>
      </c>
      <c r="F4570" s="508">
        <v>4.3999999999999997E-2</v>
      </c>
      <c r="G4570" s="508">
        <v>4.3999999999999997E-2</v>
      </c>
      <c r="H4570" s="508">
        <v>4.3999999999999997E-2</v>
      </c>
      <c r="I4570" s="508">
        <v>4.3999999999999997E-2</v>
      </c>
      <c r="J4570" s="508">
        <v>4.3999999999999997E-2</v>
      </c>
      <c r="K4570" s="508">
        <v>4.3999999999999997E-2</v>
      </c>
      <c r="L4570" s="508">
        <v>4.3999999999999997E-2</v>
      </c>
      <c r="M4570" s="508">
        <v>4.3999999999999997E-2</v>
      </c>
      <c r="N4570" s="508">
        <v>4.3999999999999997E-2</v>
      </c>
      <c r="O4570" s="508">
        <v>4.3999999999999997E-2</v>
      </c>
      <c r="P4570" s="508">
        <v>4.3999999999999997E-2</v>
      </c>
      <c r="Q4570" s="508">
        <v>4.3999999999999997E-2</v>
      </c>
      <c r="R4570" s="508">
        <v>4.3999999999999997E-2</v>
      </c>
      <c r="S4570" s="508">
        <v>4.3999999999999997E-2</v>
      </c>
      <c r="T4570" s="508">
        <v>4.3999999999999997E-2</v>
      </c>
      <c r="U4570" s="508">
        <v>4.3999999999999997E-2</v>
      </c>
      <c r="V4570" s="508">
        <v>4.3999999999999997E-2</v>
      </c>
      <c r="W4570" s="508">
        <v>4.3999999999999997E-2</v>
      </c>
      <c r="X4570" s="508">
        <v>4.3999999999999997E-2</v>
      </c>
      <c r="Y4570" s="508">
        <v>4.3999999999999997E-2</v>
      </c>
      <c r="Z4570" s="508">
        <v>4.3999999999999997E-2</v>
      </c>
      <c r="AA4570" s="508">
        <v>4.3999999999999997E-2</v>
      </c>
      <c r="AB4570" s="508">
        <v>4.3999999999999997E-2</v>
      </c>
      <c r="AC4570" s="508">
        <v>4.3999999999999997E-2</v>
      </c>
      <c r="AD4570" s="508">
        <v>4.3999999999999997E-2</v>
      </c>
      <c r="AE4570" s="508">
        <v>4.3999999999999997E-2</v>
      </c>
      <c r="AF4570" s="508">
        <v>4.3999999999999997E-2</v>
      </c>
      <c r="AG4570" s="508">
        <v>4.3999999999999997E-2</v>
      </c>
      <c r="AH4570" s="508">
        <v>4.3999999999999997E-2</v>
      </c>
      <c r="AI4570" s="492">
        <v>4.3999999999999997E-2</v>
      </c>
      <c r="AJ4570" s="485"/>
    </row>
    <row r="4571" spans="2:36">
      <c r="B4571" s="136" t="s">
        <v>443</v>
      </c>
      <c r="C4571" s="132" t="s">
        <v>1364</v>
      </c>
      <c r="D4571" s="132" t="s">
        <v>1379</v>
      </c>
      <c r="E4571" s="508">
        <v>4.8000000000000001E-2</v>
      </c>
      <c r="F4571" s="508">
        <v>4.8000000000000001E-2</v>
      </c>
      <c r="G4571" s="508">
        <v>4.8000000000000001E-2</v>
      </c>
      <c r="H4571" s="508">
        <v>4.8000000000000001E-2</v>
      </c>
      <c r="I4571" s="508">
        <v>4.8000000000000001E-2</v>
      </c>
      <c r="J4571" s="508">
        <v>4.8000000000000001E-2</v>
      </c>
      <c r="K4571" s="508">
        <v>4.8000000000000001E-2</v>
      </c>
      <c r="L4571" s="508">
        <v>4.8000000000000001E-2</v>
      </c>
      <c r="M4571" s="508">
        <v>4.8000000000000001E-2</v>
      </c>
      <c r="N4571" s="508">
        <v>4.8000000000000001E-2</v>
      </c>
      <c r="O4571" s="508">
        <v>4.8000000000000001E-2</v>
      </c>
      <c r="P4571" s="508">
        <v>4.8000000000000001E-2</v>
      </c>
      <c r="Q4571" s="508">
        <v>4.8000000000000001E-2</v>
      </c>
      <c r="R4571" s="508">
        <v>4.8000000000000001E-2</v>
      </c>
      <c r="S4571" s="508">
        <v>4.8000000000000001E-2</v>
      </c>
      <c r="T4571" s="508">
        <v>4.8000000000000001E-2</v>
      </c>
      <c r="U4571" s="508">
        <v>4.8000000000000001E-2</v>
      </c>
      <c r="V4571" s="508">
        <v>4.8000000000000001E-2</v>
      </c>
      <c r="W4571" s="508">
        <v>4.8000000000000001E-2</v>
      </c>
      <c r="X4571" s="508">
        <v>4.8000000000000001E-2</v>
      </c>
      <c r="Y4571" s="508">
        <v>4.8000000000000001E-2</v>
      </c>
      <c r="Z4571" s="508">
        <v>4.8000000000000001E-2</v>
      </c>
      <c r="AA4571" s="508">
        <v>4.8000000000000001E-2</v>
      </c>
      <c r="AB4571" s="508">
        <v>4.8000000000000001E-2</v>
      </c>
      <c r="AC4571" s="508">
        <v>4.8000000000000001E-2</v>
      </c>
      <c r="AD4571" s="508">
        <v>4.8000000000000001E-2</v>
      </c>
      <c r="AE4571" s="508">
        <v>4.8000000000000001E-2</v>
      </c>
      <c r="AF4571" s="508">
        <v>4.8000000000000001E-2</v>
      </c>
      <c r="AG4571" s="508">
        <v>4.8000000000000001E-2</v>
      </c>
      <c r="AH4571" s="508">
        <v>4.8000000000000001E-2</v>
      </c>
      <c r="AI4571" s="492">
        <v>4.8000000000000001E-2</v>
      </c>
      <c r="AJ4571" s="485"/>
    </row>
    <row r="4572" spans="2:36">
      <c r="B4572" s="136" t="s">
        <v>445</v>
      </c>
      <c r="C4572" s="132" t="s">
        <v>1364</v>
      </c>
      <c r="D4572" s="132" t="s">
        <v>1379</v>
      </c>
      <c r="E4572" s="508">
        <v>5.8000000000000003E-2</v>
      </c>
      <c r="F4572" s="508">
        <v>5.8000000000000003E-2</v>
      </c>
      <c r="G4572" s="508">
        <v>5.8000000000000003E-2</v>
      </c>
      <c r="H4572" s="508">
        <v>5.8000000000000003E-2</v>
      </c>
      <c r="I4572" s="508">
        <v>5.8000000000000003E-2</v>
      </c>
      <c r="J4572" s="508">
        <v>5.7000000000000002E-2</v>
      </c>
      <c r="K4572" s="508">
        <v>5.7000000000000002E-2</v>
      </c>
      <c r="L4572" s="508">
        <v>5.8000000000000003E-2</v>
      </c>
      <c r="M4572" s="508">
        <v>5.8000000000000003E-2</v>
      </c>
      <c r="N4572" s="508">
        <v>5.8000000000000003E-2</v>
      </c>
      <c r="O4572" s="508">
        <v>5.8000000000000003E-2</v>
      </c>
      <c r="P4572" s="508">
        <v>5.8000000000000003E-2</v>
      </c>
      <c r="Q4572" s="508">
        <v>5.8000000000000003E-2</v>
      </c>
      <c r="R4572" s="508">
        <v>5.8000000000000003E-2</v>
      </c>
      <c r="S4572" s="508">
        <v>5.7000000000000002E-2</v>
      </c>
      <c r="T4572" s="508">
        <v>5.8000000000000003E-2</v>
      </c>
      <c r="U4572" s="508">
        <v>5.7000000000000002E-2</v>
      </c>
      <c r="V4572" s="508">
        <v>5.8000000000000003E-2</v>
      </c>
      <c r="W4572" s="508">
        <v>5.8000000000000003E-2</v>
      </c>
      <c r="X4572" s="508">
        <v>5.8000000000000003E-2</v>
      </c>
      <c r="Y4572" s="508">
        <v>5.8000000000000003E-2</v>
      </c>
      <c r="Z4572" s="508">
        <v>5.8000000000000003E-2</v>
      </c>
      <c r="AA4572" s="508">
        <v>5.8000000000000003E-2</v>
      </c>
      <c r="AB4572" s="508">
        <v>5.8000000000000003E-2</v>
      </c>
      <c r="AC4572" s="508">
        <v>5.8000000000000003E-2</v>
      </c>
      <c r="AD4572" s="508">
        <v>5.8000000000000003E-2</v>
      </c>
      <c r="AE4572" s="508">
        <v>5.8000000000000003E-2</v>
      </c>
      <c r="AF4572" s="508">
        <v>5.8000000000000003E-2</v>
      </c>
      <c r="AG4572" s="508">
        <v>5.8000000000000003E-2</v>
      </c>
      <c r="AH4572" s="508">
        <v>5.8000000000000003E-2</v>
      </c>
      <c r="AI4572" s="492">
        <v>5.8000000000000003E-2</v>
      </c>
      <c r="AJ4572" s="485"/>
    </row>
    <row r="4573" spans="2:36">
      <c r="B4573" s="136" t="s">
        <v>446</v>
      </c>
      <c r="C4573" s="132" t="s">
        <v>1364</v>
      </c>
      <c r="D4573" s="132" t="s">
        <v>1379</v>
      </c>
      <c r="E4573" s="508">
        <v>5.2999999999999999E-2</v>
      </c>
      <c r="F4573" s="508">
        <v>5.2999999999999999E-2</v>
      </c>
      <c r="G4573" s="508">
        <v>5.2999999999999999E-2</v>
      </c>
      <c r="H4573" s="508">
        <v>5.2999999999999999E-2</v>
      </c>
      <c r="I4573" s="508">
        <v>5.2999999999999999E-2</v>
      </c>
      <c r="J4573" s="508">
        <v>5.1999999999999998E-2</v>
      </c>
      <c r="K4573" s="508">
        <v>5.1999999999999998E-2</v>
      </c>
      <c r="L4573" s="508">
        <v>5.2999999999999999E-2</v>
      </c>
      <c r="M4573" s="508">
        <v>5.1999999999999998E-2</v>
      </c>
      <c r="N4573" s="508">
        <v>5.2999999999999999E-2</v>
      </c>
      <c r="O4573" s="508">
        <v>5.2999999999999999E-2</v>
      </c>
      <c r="P4573" s="508">
        <v>5.2999999999999999E-2</v>
      </c>
      <c r="Q4573" s="508">
        <v>5.2999999999999999E-2</v>
      </c>
      <c r="R4573" s="508">
        <v>5.2999999999999999E-2</v>
      </c>
      <c r="S4573" s="508">
        <v>5.1999999999999998E-2</v>
      </c>
      <c r="T4573" s="508">
        <v>5.2999999999999999E-2</v>
      </c>
      <c r="U4573" s="508">
        <v>5.1999999999999998E-2</v>
      </c>
      <c r="V4573" s="508">
        <v>5.2999999999999999E-2</v>
      </c>
      <c r="W4573" s="508">
        <v>5.2999999999999999E-2</v>
      </c>
      <c r="X4573" s="508">
        <v>5.2999999999999999E-2</v>
      </c>
      <c r="Y4573" s="508">
        <v>5.2999999999999999E-2</v>
      </c>
      <c r="Z4573" s="508">
        <v>5.2999999999999999E-2</v>
      </c>
      <c r="AA4573" s="508">
        <v>5.2999999999999999E-2</v>
      </c>
      <c r="AB4573" s="508">
        <v>5.2999999999999999E-2</v>
      </c>
      <c r="AC4573" s="508">
        <v>5.2999999999999999E-2</v>
      </c>
      <c r="AD4573" s="508">
        <v>5.2999999999999999E-2</v>
      </c>
      <c r="AE4573" s="508">
        <v>5.2999999999999999E-2</v>
      </c>
      <c r="AF4573" s="508">
        <v>5.2999999999999999E-2</v>
      </c>
      <c r="AG4573" s="508">
        <v>5.2999999999999999E-2</v>
      </c>
      <c r="AH4573" s="508">
        <v>5.2999999999999999E-2</v>
      </c>
      <c r="AI4573" s="492">
        <v>5.2999999999999999E-2</v>
      </c>
      <c r="AJ4573" s="485"/>
    </row>
    <row r="4574" spans="2:36">
      <c r="B4574" s="136" t="s">
        <v>448</v>
      </c>
      <c r="C4574" s="132" t="s">
        <v>1364</v>
      </c>
      <c r="D4574" s="132" t="s">
        <v>1379</v>
      </c>
      <c r="E4574" s="508">
        <v>8.5000000000000006E-2</v>
      </c>
      <c r="F4574" s="508">
        <v>8.5000000000000006E-2</v>
      </c>
      <c r="G4574" s="508">
        <v>8.5000000000000006E-2</v>
      </c>
      <c r="H4574" s="508">
        <v>8.5000000000000006E-2</v>
      </c>
      <c r="I4574" s="508">
        <v>8.5000000000000006E-2</v>
      </c>
      <c r="J4574" s="508">
        <v>8.5000000000000006E-2</v>
      </c>
      <c r="K4574" s="508">
        <v>8.5000000000000006E-2</v>
      </c>
      <c r="L4574" s="508">
        <v>8.5000000000000006E-2</v>
      </c>
      <c r="M4574" s="508">
        <v>8.5000000000000006E-2</v>
      </c>
      <c r="N4574" s="508">
        <v>8.5000000000000006E-2</v>
      </c>
      <c r="O4574" s="508">
        <v>8.5000000000000006E-2</v>
      </c>
      <c r="P4574" s="508">
        <v>8.5000000000000006E-2</v>
      </c>
      <c r="Q4574" s="508">
        <v>8.5000000000000006E-2</v>
      </c>
      <c r="R4574" s="508">
        <v>8.5000000000000006E-2</v>
      </c>
      <c r="S4574" s="508">
        <v>8.5000000000000006E-2</v>
      </c>
      <c r="T4574" s="508">
        <v>8.5000000000000006E-2</v>
      </c>
      <c r="U4574" s="508">
        <v>8.5000000000000006E-2</v>
      </c>
      <c r="V4574" s="508">
        <v>8.5000000000000006E-2</v>
      </c>
      <c r="W4574" s="508">
        <v>8.5000000000000006E-2</v>
      </c>
      <c r="X4574" s="508">
        <v>8.5000000000000006E-2</v>
      </c>
      <c r="Y4574" s="508">
        <v>8.5000000000000006E-2</v>
      </c>
      <c r="Z4574" s="508">
        <v>8.5000000000000006E-2</v>
      </c>
      <c r="AA4574" s="508">
        <v>8.5000000000000006E-2</v>
      </c>
      <c r="AB4574" s="508">
        <v>8.5000000000000006E-2</v>
      </c>
      <c r="AC4574" s="508">
        <v>8.5000000000000006E-2</v>
      </c>
      <c r="AD4574" s="508">
        <v>8.5000000000000006E-2</v>
      </c>
      <c r="AE4574" s="508">
        <v>8.5000000000000006E-2</v>
      </c>
      <c r="AF4574" s="508">
        <v>8.5000000000000006E-2</v>
      </c>
      <c r="AG4574" s="508">
        <v>8.5000000000000006E-2</v>
      </c>
      <c r="AH4574" s="508">
        <v>8.5000000000000006E-2</v>
      </c>
      <c r="AI4574" s="492">
        <v>8.5000000000000006E-2</v>
      </c>
      <c r="AJ4574" s="485"/>
    </row>
    <row r="4575" spans="2:36">
      <c r="B4575" s="136" t="s">
        <v>449</v>
      </c>
      <c r="C4575" s="132" t="s">
        <v>1364</v>
      </c>
      <c r="D4575" s="132" t="s">
        <v>1379</v>
      </c>
      <c r="E4575" s="508">
        <v>4.9000000000000002E-2</v>
      </c>
      <c r="F4575" s="508">
        <v>4.9000000000000002E-2</v>
      </c>
      <c r="G4575" s="508">
        <v>4.9000000000000002E-2</v>
      </c>
      <c r="H4575" s="508">
        <v>4.9000000000000002E-2</v>
      </c>
      <c r="I4575" s="508">
        <v>4.9000000000000002E-2</v>
      </c>
      <c r="J4575" s="508">
        <v>4.9000000000000002E-2</v>
      </c>
      <c r="K4575" s="508">
        <v>4.9000000000000002E-2</v>
      </c>
      <c r="L4575" s="508">
        <v>4.9000000000000002E-2</v>
      </c>
      <c r="M4575" s="508">
        <v>4.9000000000000002E-2</v>
      </c>
      <c r="N4575" s="508">
        <v>4.9000000000000002E-2</v>
      </c>
      <c r="O4575" s="508">
        <v>4.9000000000000002E-2</v>
      </c>
      <c r="P4575" s="508">
        <v>4.9000000000000002E-2</v>
      </c>
      <c r="Q4575" s="508">
        <v>4.9000000000000002E-2</v>
      </c>
      <c r="R4575" s="508">
        <v>4.9000000000000002E-2</v>
      </c>
      <c r="S4575" s="508">
        <v>4.9000000000000002E-2</v>
      </c>
      <c r="T4575" s="508">
        <v>4.9000000000000002E-2</v>
      </c>
      <c r="U4575" s="508">
        <v>4.9000000000000002E-2</v>
      </c>
      <c r="V4575" s="508">
        <v>4.9000000000000002E-2</v>
      </c>
      <c r="W4575" s="508">
        <v>4.9000000000000002E-2</v>
      </c>
      <c r="X4575" s="508">
        <v>4.9000000000000002E-2</v>
      </c>
      <c r="Y4575" s="508">
        <v>4.9000000000000002E-2</v>
      </c>
      <c r="Z4575" s="508">
        <v>4.9000000000000002E-2</v>
      </c>
      <c r="AA4575" s="508">
        <v>4.9000000000000002E-2</v>
      </c>
      <c r="AB4575" s="508">
        <v>4.9000000000000002E-2</v>
      </c>
      <c r="AC4575" s="508">
        <v>4.9000000000000002E-2</v>
      </c>
      <c r="AD4575" s="508">
        <v>4.9000000000000002E-2</v>
      </c>
      <c r="AE4575" s="508">
        <v>4.9000000000000002E-2</v>
      </c>
      <c r="AF4575" s="508">
        <v>4.9000000000000002E-2</v>
      </c>
      <c r="AG4575" s="508">
        <v>4.9000000000000002E-2</v>
      </c>
      <c r="AH4575" s="508">
        <v>4.9000000000000002E-2</v>
      </c>
      <c r="AI4575" s="492">
        <v>4.9000000000000002E-2</v>
      </c>
      <c r="AJ4575" s="485"/>
    </row>
    <row r="4576" spans="2:36">
      <c r="B4576" s="136" t="s">
        <v>450</v>
      </c>
      <c r="C4576" s="132" t="s">
        <v>1364</v>
      </c>
      <c r="D4576" s="132" t="s">
        <v>1379</v>
      </c>
      <c r="E4576" s="508">
        <v>3.2000000000000001E-2</v>
      </c>
      <c r="F4576" s="508">
        <v>3.3000000000000002E-2</v>
      </c>
      <c r="G4576" s="508">
        <v>3.1E-2</v>
      </c>
      <c r="H4576" s="508">
        <v>3.1E-2</v>
      </c>
      <c r="I4576" s="508">
        <v>3.1E-2</v>
      </c>
      <c r="J4576" s="508">
        <v>3.3000000000000002E-2</v>
      </c>
      <c r="K4576" s="508">
        <v>3.3000000000000002E-2</v>
      </c>
      <c r="L4576" s="508">
        <v>3.1E-2</v>
      </c>
      <c r="M4576" s="508">
        <v>3.3000000000000002E-2</v>
      </c>
      <c r="N4576" s="508">
        <v>3.2000000000000001E-2</v>
      </c>
      <c r="O4576" s="508">
        <v>3.3000000000000002E-2</v>
      </c>
      <c r="P4576" s="508">
        <v>3.2000000000000001E-2</v>
      </c>
      <c r="Q4576" s="508">
        <v>3.3000000000000002E-2</v>
      </c>
      <c r="R4576" s="508">
        <v>3.2000000000000001E-2</v>
      </c>
      <c r="S4576" s="508">
        <v>3.3000000000000002E-2</v>
      </c>
      <c r="T4576" s="508">
        <v>3.2000000000000001E-2</v>
      </c>
      <c r="U4576" s="508">
        <v>3.3000000000000002E-2</v>
      </c>
      <c r="V4576" s="508">
        <v>3.2000000000000001E-2</v>
      </c>
      <c r="W4576" s="508">
        <v>3.2000000000000001E-2</v>
      </c>
      <c r="X4576" s="508">
        <v>3.2000000000000001E-2</v>
      </c>
      <c r="Y4576" s="508">
        <v>3.2000000000000001E-2</v>
      </c>
      <c r="Z4576" s="508">
        <v>3.3000000000000002E-2</v>
      </c>
      <c r="AA4576" s="508">
        <v>3.2000000000000001E-2</v>
      </c>
      <c r="AB4576" s="508">
        <v>3.2000000000000001E-2</v>
      </c>
      <c r="AC4576" s="508">
        <v>3.2000000000000001E-2</v>
      </c>
      <c r="AD4576" s="508">
        <v>3.2000000000000001E-2</v>
      </c>
      <c r="AE4576" s="508">
        <v>3.2000000000000001E-2</v>
      </c>
      <c r="AF4576" s="508">
        <v>3.2000000000000001E-2</v>
      </c>
      <c r="AG4576" s="508">
        <v>3.2000000000000001E-2</v>
      </c>
      <c r="AH4576" s="508">
        <v>3.2000000000000001E-2</v>
      </c>
      <c r="AI4576" s="492">
        <v>3.2000000000000001E-2</v>
      </c>
      <c r="AJ4576" s="485"/>
    </row>
    <row r="4577" spans="2:36">
      <c r="B4577" s="136" t="s">
        <v>451</v>
      </c>
      <c r="C4577" s="132" t="s">
        <v>1364</v>
      </c>
      <c r="D4577" s="132" t="s">
        <v>1379</v>
      </c>
      <c r="E4577" s="508">
        <v>5.2999999999999999E-2</v>
      </c>
      <c r="F4577" s="508">
        <v>5.2999999999999999E-2</v>
      </c>
      <c r="G4577" s="508">
        <v>5.2999999999999999E-2</v>
      </c>
      <c r="H4577" s="508">
        <v>5.2999999999999999E-2</v>
      </c>
      <c r="I4577" s="508">
        <v>5.2999999999999999E-2</v>
      </c>
      <c r="J4577" s="508">
        <v>5.1999999999999998E-2</v>
      </c>
      <c r="K4577" s="508">
        <v>5.1999999999999998E-2</v>
      </c>
      <c r="L4577" s="508">
        <v>5.2999999999999999E-2</v>
      </c>
      <c r="M4577" s="508">
        <v>5.2999999999999999E-2</v>
      </c>
      <c r="N4577" s="508">
        <v>5.2999999999999999E-2</v>
      </c>
      <c r="O4577" s="508">
        <v>5.2999999999999999E-2</v>
      </c>
      <c r="P4577" s="508">
        <v>5.2999999999999999E-2</v>
      </c>
      <c r="Q4577" s="508">
        <v>5.2999999999999999E-2</v>
      </c>
      <c r="R4577" s="508">
        <v>5.2999999999999999E-2</v>
      </c>
      <c r="S4577" s="508">
        <v>5.2999999999999999E-2</v>
      </c>
      <c r="T4577" s="508">
        <v>5.2999999999999999E-2</v>
      </c>
      <c r="U4577" s="508">
        <v>5.1999999999999998E-2</v>
      </c>
      <c r="V4577" s="508">
        <v>5.2999999999999999E-2</v>
      </c>
      <c r="W4577" s="508">
        <v>5.2999999999999999E-2</v>
      </c>
      <c r="X4577" s="508">
        <v>5.2999999999999999E-2</v>
      </c>
      <c r="Y4577" s="508">
        <v>5.2999999999999999E-2</v>
      </c>
      <c r="Z4577" s="508">
        <v>5.2999999999999999E-2</v>
      </c>
      <c r="AA4577" s="508">
        <v>5.2999999999999999E-2</v>
      </c>
      <c r="AB4577" s="508">
        <v>5.2999999999999999E-2</v>
      </c>
      <c r="AC4577" s="508">
        <v>5.2999999999999999E-2</v>
      </c>
      <c r="AD4577" s="508">
        <v>5.2999999999999999E-2</v>
      </c>
      <c r="AE4577" s="508">
        <v>5.2999999999999999E-2</v>
      </c>
      <c r="AF4577" s="508">
        <v>5.2999999999999999E-2</v>
      </c>
      <c r="AG4577" s="508">
        <v>5.2999999999999999E-2</v>
      </c>
      <c r="AH4577" s="508">
        <v>5.2999999999999999E-2</v>
      </c>
      <c r="AI4577" s="492">
        <v>5.2999999999999999E-2</v>
      </c>
      <c r="AJ4577" s="485"/>
    </row>
    <row r="4578" spans="2:36">
      <c r="B4578" s="136" t="s">
        <v>452</v>
      </c>
      <c r="C4578" s="132" t="s">
        <v>1364</v>
      </c>
      <c r="D4578" s="132" t="s">
        <v>1379</v>
      </c>
      <c r="E4578" s="508">
        <v>4.5999999999999999E-2</v>
      </c>
      <c r="F4578" s="508">
        <v>4.7E-2</v>
      </c>
      <c r="G4578" s="508">
        <v>4.5999999999999999E-2</v>
      </c>
      <c r="H4578" s="508">
        <v>4.5999999999999999E-2</v>
      </c>
      <c r="I4578" s="508">
        <v>4.5999999999999999E-2</v>
      </c>
      <c r="J4578" s="508">
        <v>4.7E-2</v>
      </c>
      <c r="K4578" s="508">
        <v>4.7E-2</v>
      </c>
      <c r="L4578" s="508">
        <v>4.5999999999999999E-2</v>
      </c>
      <c r="M4578" s="508">
        <v>4.7E-2</v>
      </c>
      <c r="N4578" s="508">
        <v>4.5999999999999999E-2</v>
      </c>
      <c r="O4578" s="508">
        <v>4.7E-2</v>
      </c>
      <c r="P4578" s="508">
        <v>4.5999999999999999E-2</v>
      </c>
      <c r="Q4578" s="508">
        <v>4.7E-2</v>
      </c>
      <c r="R4578" s="508">
        <v>4.5999999999999999E-2</v>
      </c>
      <c r="S4578" s="508">
        <v>4.7E-2</v>
      </c>
      <c r="T4578" s="508">
        <v>4.5999999999999999E-2</v>
      </c>
      <c r="U4578" s="508">
        <v>4.7E-2</v>
      </c>
      <c r="V4578" s="508">
        <v>4.5999999999999999E-2</v>
      </c>
      <c r="W4578" s="508">
        <v>4.5999999999999999E-2</v>
      </c>
      <c r="X4578" s="508">
        <v>4.5999999999999999E-2</v>
      </c>
      <c r="Y4578" s="508">
        <v>4.5999999999999999E-2</v>
      </c>
      <c r="Z4578" s="508">
        <v>4.7E-2</v>
      </c>
      <c r="AA4578" s="508">
        <v>4.5999999999999999E-2</v>
      </c>
      <c r="AB4578" s="508">
        <v>4.5999999999999999E-2</v>
      </c>
      <c r="AC4578" s="508">
        <v>4.5999999999999999E-2</v>
      </c>
      <c r="AD4578" s="508">
        <v>4.5999999999999999E-2</v>
      </c>
      <c r="AE4578" s="508">
        <v>4.5999999999999999E-2</v>
      </c>
      <c r="AF4578" s="508">
        <v>4.5999999999999999E-2</v>
      </c>
      <c r="AG4578" s="508">
        <v>4.5999999999999999E-2</v>
      </c>
      <c r="AH4578" s="508">
        <v>4.5999999999999999E-2</v>
      </c>
      <c r="AI4578" s="492">
        <v>4.5999999999999999E-2</v>
      </c>
      <c r="AJ4578" s="485"/>
    </row>
    <row r="4579" spans="2:36">
      <c r="B4579" s="136" t="s">
        <v>453</v>
      </c>
      <c r="C4579" s="132" t="s">
        <v>1364</v>
      </c>
      <c r="D4579" s="132" t="s">
        <v>1379</v>
      </c>
      <c r="E4579" s="508">
        <v>0.04</v>
      </c>
      <c r="F4579" s="508">
        <v>0.04</v>
      </c>
      <c r="G4579" s="508">
        <v>3.9E-2</v>
      </c>
      <c r="H4579" s="508">
        <v>3.9E-2</v>
      </c>
      <c r="I4579" s="508">
        <v>3.9E-2</v>
      </c>
      <c r="J4579" s="508">
        <v>0.04</v>
      </c>
      <c r="K4579" s="508">
        <v>0.04</v>
      </c>
      <c r="L4579" s="508">
        <v>3.9E-2</v>
      </c>
      <c r="M4579" s="508">
        <v>0.04</v>
      </c>
      <c r="N4579" s="508">
        <v>3.9E-2</v>
      </c>
      <c r="O4579" s="508">
        <v>0.04</v>
      </c>
      <c r="P4579" s="508">
        <v>0.04</v>
      </c>
      <c r="Q4579" s="508">
        <v>0.04</v>
      </c>
      <c r="R4579" s="508">
        <v>3.9E-2</v>
      </c>
      <c r="S4579" s="508">
        <v>0.04</v>
      </c>
      <c r="T4579" s="508">
        <v>0.04</v>
      </c>
      <c r="U4579" s="508">
        <v>0.04</v>
      </c>
      <c r="V4579" s="508">
        <v>0.04</v>
      </c>
      <c r="W4579" s="508">
        <v>3.9E-2</v>
      </c>
      <c r="X4579" s="508">
        <v>3.9E-2</v>
      </c>
      <c r="Y4579" s="508">
        <v>0.04</v>
      </c>
      <c r="Z4579" s="508">
        <v>0.04</v>
      </c>
      <c r="AA4579" s="508">
        <v>0.04</v>
      </c>
      <c r="AB4579" s="508">
        <v>0.04</v>
      </c>
      <c r="AC4579" s="508">
        <v>3.9E-2</v>
      </c>
      <c r="AD4579" s="508">
        <v>3.9E-2</v>
      </c>
      <c r="AE4579" s="508">
        <v>0.04</v>
      </c>
      <c r="AF4579" s="508">
        <v>0.04</v>
      </c>
      <c r="AG4579" s="508">
        <v>0.04</v>
      </c>
      <c r="AH4579" s="508">
        <v>0.04</v>
      </c>
      <c r="AI4579" s="492">
        <v>0.04</v>
      </c>
      <c r="AJ4579" s="485"/>
    </row>
    <row r="4580" spans="2:36">
      <c r="B4580" s="136" t="s">
        <v>454</v>
      </c>
      <c r="C4580" s="132" t="s">
        <v>1364</v>
      </c>
      <c r="D4580" s="132" t="s">
        <v>1379</v>
      </c>
      <c r="E4580" s="508">
        <v>0.04</v>
      </c>
      <c r="F4580" s="508">
        <v>0.04</v>
      </c>
      <c r="G4580" s="508">
        <v>0.04</v>
      </c>
      <c r="H4580" s="508">
        <v>0.04</v>
      </c>
      <c r="I4580" s="508">
        <v>0.04</v>
      </c>
      <c r="J4580" s="508">
        <v>0.04</v>
      </c>
      <c r="K4580" s="508">
        <v>0.04</v>
      </c>
      <c r="L4580" s="508">
        <v>0.04</v>
      </c>
      <c r="M4580" s="508">
        <v>0.04</v>
      </c>
      <c r="N4580" s="508">
        <v>0.04</v>
      </c>
      <c r="O4580" s="508">
        <v>0.04</v>
      </c>
      <c r="P4580" s="508">
        <v>0.04</v>
      </c>
      <c r="Q4580" s="508">
        <v>0.04</v>
      </c>
      <c r="R4580" s="508">
        <v>0.04</v>
      </c>
      <c r="S4580" s="508">
        <v>0.04</v>
      </c>
      <c r="T4580" s="508">
        <v>0.04</v>
      </c>
      <c r="U4580" s="508">
        <v>0.04</v>
      </c>
      <c r="V4580" s="508">
        <v>0.04</v>
      </c>
      <c r="W4580" s="508">
        <v>0.04</v>
      </c>
      <c r="X4580" s="508">
        <v>0.04</v>
      </c>
      <c r="Y4580" s="508">
        <v>0.04</v>
      </c>
      <c r="Z4580" s="508">
        <v>0.04</v>
      </c>
      <c r="AA4580" s="508">
        <v>0.04</v>
      </c>
      <c r="AB4580" s="508">
        <v>0.04</v>
      </c>
      <c r="AC4580" s="508">
        <v>0.04</v>
      </c>
      <c r="AD4580" s="508">
        <v>0.04</v>
      </c>
      <c r="AE4580" s="508">
        <v>0.04</v>
      </c>
      <c r="AF4580" s="508">
        <v>0.04</v>
      </c>
      <c r="AG4580" s="508">
        <v>0.04</v>
      </c>
      <c r="AH4580" s="508">
        <v>0.04</v>
      </c>
      <c r="AI4580" s="492">
        <v>0.04</v>
      </c>
      <c r="AJ4580" s="485"/>
    </row>
    <row r="4581" spans="2:36">
      <c r="B4581" s="136" t="s">
        <v>455</v>
      </c>
      <c r="C4581" s="132" t="s">
        <v>1364</v>
      </c>
      <c r="D4581" s="132" t="s">
        <v>1379</v>
      </c>
      <c r="E4581" s="508">
        <v>3.7999999999999999E-2</v>
      </c>
      <c r="F4581" s="508">
        <v>3.7999999999999999E-2</v>
      </c>
      <c r="G4581" s="508">
        <v>3.7999999999999999E-2</v>
      </c>
      <c r="H4581" s="508">
        <v>3.7999999999999999E-2</v>
      </c>
      <c r="I4581" s="508">
        <v>3.7999999999999999E-2</v>
      </c>
      <c r="J4581" s="508">
        <v>3.7999999999999999E-2</v>
      </c>
      <c r="K4581" s="508">
        <v>3.7999999999999999E-2</v>
      </c>
      <c r="L4581" s="508">
        <v>3.7999999999999999E-2</v>
      </c>
      <c r="M4581" s="508">
        <v>3.7999999999999999E-2</v>
      </c>
      <c r="N4581" s="508">
        <v>3.7999999999999999E-2</v>
      </c>
      <c r="O4581" s="508">
        <v>3.7999999999999999E-2</v>
      </c>
      <c r="P4581" s="508">
        <v>3.7999999999999999E-2</v>
      </c>
      <c r="Q4581" s="508">
        <v>3.7999999999999999E-2</v>
      </c>
      <c r="R4581" s="508">
        <v>3.7999999999999999E-2</v>
      </c>
      <c r="S4581" s="508">
        <v>3.7999999999999999E-2</v>
      </c>
      <c r="T4581" s="508">
        <v>3.7999999999999999E-2</v>
      </c>
      <c r="U4581" s="508">
        <v>3.7999999999999999E-2</v>
      </c>
      <c r="V4581" s="508">
        <v>3.7999999999999999E-2</v>
      </c>
      <c r="W4581" s="508">
        <v>3.7999999999999999E-2</v>
      </c>
      <c r="X4581" s="508">
        <v>3.7999999999999999E-2</v>
      </c>
      <c r="Y4581" s="508">
        <v>3.7999999999999999E-2</v>
      </c>
      <c r="Z4581" s="508">
        <v>3.7999999999999999E-2</v>
      </c>
      <c r="AA4581" s="508">
        <v>3.7999999999999999E-2</v>
      </c>
      <c r="AB4581" s="508">
        <v>3.7999999999999999E-2</v>
      </c>
      <c r="AC4581" s="508">
        <v>3.7999999999999999E-2</v>
      </c>
      <c r="AD4581" s="508">
        <v>3.7999999999999999E-2</v>
      </c>
      <c r="AE4581" s="508">
        <v>3.7999999999999999E-2</v>
      </c>
      <c r="AF4581" s="508">
        <v>3.7999999999999999E-2</v>
      </c>
      <c r="AG4581" s="508">
        <v>3.7999999999999999E-2</v>
      </c>
      <c r="AH4581" s="508">
        <v>3.7999999999999999E-2</v>
      </c>
      <c r="AI4581" s="492">
        <v>3.7999999999999999E-2</v>
      </c>
      <c r="AJ4581" s="485"/>
    </row>
    <row r="4582" spans="2:36">
      <c r="B4582" s="136" t="s">
        <v>456</v>
      </c>
      <c r="C4582" s="132" t="s">
        <v>1364</v>
      </c>
      <c r="D4582" s="132" t="s">
        <v>1379</v>
      </c>
      <c r="E4582" s="508">
        <v>4.2999999999999997E-2</v>
      </c>
      <c r="F4582" s="508">
        <v>4.2999999999999997E-2</v>
      </c>
      <c r="G4582" s="508">
        <v>4.2999999999999997E-2</v>
      </c>
      <c r="H4582" s="508">
        <v>4.2000000000000003E-2</v>
      </c>
      <c r="I4582" s="508">
        <v>4.2000000000000003E-2</v>
      </c>
      <c r="J4582" s="508">
        <v>4.2999999999999997E-2</v>
      </c>
      <c r="K4582" s="508">
        <v>4.2999999999999997E-2</v>
      </c>
      <c r="L4582" s="508">
        <v>4.2000000000000003E-2</v>
      </c>
      <c r="M4582" s="508">
        <v>4.2999999999999997E-2</v>
      </c>
      <c r="N4582" s="508">
        <v>4.2999999999999997E-2</v>
      </c>
      <c r="O4582" s="508">
        <v>4.2999999999999997E-2</v>
      </c>
      <c r="P4582" s="508">
        <v>4.2999999999999997E-2</v>
      </c>
      <c r="Q4582" s="508">
        <v>4.2999999999999997E-2</v>
      </c>
      <c r="R4582" s="508">
        <v>4.2999999999999997E-2</v>
      </c>
      <c r="S4582" s="508">
        <v>4.2999999999999997E-2</v>
      </c>
      <c r="T4582" s="508">
        <v>4.2999999999999997E-2</v>
      </c>
      <c r="U4582" s="508">
        <v>4.2999999999999997E-2</v>
      </c>
      <c r="V4582" s="508">
        <v>4.2999999999999997E-2</v>
      </c>
      <c r="W4582" s="508">
        <v>4.2999999999999997E-2</v>
      </c>
      <c r="X4582" s="508">
        <v>4.2999999999999997E-2</v>
      </c>
      <c r="Y4582" s="508">
        <v>4.2999999999999997E-2</v>
      </c>
      <c r="Z4582" s="508">
        <v>4.2999999999999997E-2</v>
      </c>
      <c r="AA4582" s="508">
        <v>4.2999999999999997E-2</v>
      </c>
      <c r="AB4582" s="508">
        <v>4.2999999999999997E-2</v>
      </c>
      <c r="AC4582" s="508">
        <v>4.2999999999999997E-2</v>
      </c>
      <c r="AD4582" s="508">
        <v>4.2999999999999997E-2</v>
      </c>
      <c r="AE4582" s="508">
        <v>4.2999999999999997E-2</v>
      </c>
      <c r="AF4582" s="508">
        <v>4.2999999999999997E-2</v>
      </c>
      <c r="AG4582" s="508">
        <v>4.2999999999999997E-2</v>
      </c>
      <c r="AH4582" s="508">
        <v>4.2999999999999997E-2</v>
      </c>
      <c r="AI4582" s="492">
        <v>4.2999999999999997E-2</v>
      </c>
      <c r="AJ4582" s="485"/>
    </row>
    <row r="4583" spans="2:36">
      <c r="B4583" s="136" t="s">
        <v>457</v>
      </c>
      <c r="C4583" s="132" t="s">
        <v>1364</v>
      </c>
      <c r="D4583" s="132" t="s">
        <v>1379</v>
      </c>
      <c r="E4583" s="508">
        <v>3.5000000000000003E-2</v>
      </c>
      <c r="F4583" s="508">
        <v>3.5999999999999997E-2</v>
      </c>
      <c r="G4583" s="508">
        <v>3.5000000000000003E-2</v>
      </c>
      <c r="H4583" s="508">
        <v>3.5000000000000003E-2</v>
      </c>
      <c r="I4583" s="508">
        <v>3.5000000000000003E-2</v>
      </c>
      <c r="J4583" s="508">
        <v>3.5999999999999997E-2</v>
      </c>
      <c r="K4583" s="508">
        <v>3.5999999999999997E-2</v>
      </c>
      <c r="L4583" s="508">
        <v>3.5000000000000003E-2</v>
      </c>
      <c r="M4583" s="508">
        <v>3.5999999999999997E-2</v>
      </c>
      <c r="N4583" s="508">
        <v>3.5000000000000003E-2</v>
      </c>
      <c r="O4583" s="508">
        <v>3.5999999999999997E-2</v>
      </c>
      <c r="P4583" s="508">
        <v>3.5999999999999997E-2</v>
      </c>
      <c r="Q4583" s="508">
        <v>3.5999999999999997E-2</v>
      </c>
      <c r="R4583" s="508">
        <v>3.5000000000000003E-2</v>
      </c>
      <c r="S4583" s="508">
        <v>3.5999999999999997E-2</v>
      </c>
      <c r="T4583" s="508">
        <v>3.5999999999999997E-2</v>
      </c>
      <c r="U4583" s="508">
        <v>3.5999999999999997E-2</v>
      </c>
      <c r="V4583" s="508">
        <v>3.5000000000000003E-2</v>
      </c>
      <c r="W4583" s="508">
        <v>3.5000000000000003E-2</v>
      </c>
      <c r="X4583" s="508">
        <v>3.5000000000000003E-2</v>
      </c>
      <c r="Y4583" s="508">
        <v>3.5000000000000003E-2</v>
      </c>
      <c r="Z4583" s="508">
        <v>3.5999999999999997E-2</v>
      </c>
      <c r="AA4583" s="508">
        <v>3.5000000000000003E-2</v>
      </c>
      <c r="AB4583" s="508">
        <v>3.5000000000000003E-2</v>
      </c>
      <c r="AC4583" s="508">
        <v>3.5000000000000003E-2</v>
      </c>
      <c r="AD4583" s="508">
        <v>3.5000000000000003E-2</v>
      </c>
      <c r="AE4583" s="508">
        <v>3.5000000000000003E-2</v>
      </c>
      <c r="AF4583" s="508">
        <v>3.5000000000000003E-2</v>
      </c>
      <c r="AG4583" s="508">
        <v>3.5000000000000003E-2</v>
      </c>
      <c r="AH4583" s="508">
        <v>3.5000000000000003E-2</v>
      </c>
      <c r="AI4583" s="492">
        <v>3.5000000000000003E-2</v>
      </c>
      <c r="AJ4583" s="485"/>
    </row>
    <row r="4584" spans="2:36">
      <c r="B4584" s="136" t="s">
        <v>458</v>
      </c>
      <c r="C4584" s="132" t="s">
        <v>1364</v>
      </c>
      <c r="D4584" s="132" t="s">
        <v>1379</v>
      </c>
      <c r="E4584" s="508">
        <v>4.2999999999999997E-2</v>
      </c>
      <c r="F4584" s="508">
        <v>4.2999999999999997E-2</v>
      </c>
      <c r="G4584" s="508">
        <v>4.2000000000000003E-2</v>
      </c>
      <c r="H4584" s="508">
        <v>4.2000000000000003E-2</v>
      </c>
      <c r="I4584" s="508">
        <v>4.2000000000000003E-2</v>
      </c>
      <c r="J4584" s="508">
        <v>4.2999999999999997E-2</v>
      </c>
      <c r="K4584" s="508">
        <v>4.2999999999999997E-2</v>
      </c>
      <c r="L4584" s="508">
        <v>4.2000000000000003E-2</v>
      </c>
      <c r="M4584" s="508">
        <v>4.2999999999999997E-2</v>
      </c>
      <c r="N4584" s="508">
        <v>4.2999999999999997E-2</v>
      </c>
      <c r="O4584" s="508">
        <v>4.2999999999999997E-2</v>
      </c>
      <c r="P4584" s="508">
        <v>4.2999999999999997E-2</v>
      </c>
      <c r="Q4584" s="508">
        <v>4.2999999999999997E-2</v>
      </c>
      <c r="R4584" s="508">
        <v>4.2000000000000003E-2</v>
      </c>
      <c r="S4584" s="508">
        <v>4.2999999999999997E-2</v>
      </c>
      <c r="T4584" s="508">
        <v>4.2999999999999997E-2</v>
      </c>
      <c r="U4584" s="508">
        <v>4.2999999999999997E-2</v>
      </c>
      <c r="V4584" s="508">
        <v>4.2999999999999997E-2</v>
      </c>
      <c r="W4584" s="508">
        <v>4.2999999999999997E-2</v>
      </c>
      <c r="X4584" s="508">
        <v>4.2999999999999997E-2</v>
      </c>
      <c r="Y4584" s="508">
        <v>4.2999999999999997E-2</v>
      </c>
      <c r="Z4584" s="508">
        <v>4.2999999999999997E-2</v>
      </c>
      <c r="AA4584" s="508">
        <v>4.2999999999999997E-2</v>
      </c>
      <c r="AB4584" s="508">
        <v>4.2999999999999997E-2</v>
      </c>
      <c r="AC4584" s="508">
        <v>4.2999999999999997E-2</v>
      </c>
      <c r="AD4584" s="508">
        <v>4.2000000000000003E-2</v>
      </c>
      <c r="AE4584" s="508">
        <v>4.2999999999999997E-2</v>
      </c>
      <c r="AF4584" s="508">
        <v>4.2999999999999997E-2</v>
      </c>
      <c r="AG4584" s="508">
        <v>4.2999999999999997E-2</v>
      </c>
      <c r="AH4584" s="508">
        <v>4.2999999999999997E-2</v>
      </c>
      <c r="AI4584" s="492">
        <v>4.2999999999999997E-2</v>
      </c>
      <c r="AJ4584" s="485"/>
    </row>
    <row r="4585" spans="2:36">
      <c r="B4585" s="136" t="s">
        <v>459</v>
      </c>
      <c r="C4585" s="132" t="s">
        <v>1364</v>
      </c>
      <c r="D4585" s="132" t="s">
        <v>1379</v>
      </c>
      <c r="E4585" s="508">
        <v>4.2999999999999997E-2</v>
      </c>
      <c r="F4585" s="508">
        <v>4.2999999999999997E-2</v>
      </c>
      <c r="G4585" s="508">
        <v>4.2000000000000003E-2</v>
      </c>
      <c r="H4585" s="508">
        <v>4.2000000000000003E-2</v>
      </c>
      <c r="I4585" s="508">
        <v>4.2000000000000003E-2</v>
      </c>
      <c r="J4585" s="508">
        <v>4.2999999999999997E-2</v>
      </c>
      <c r="K4585" s="508">
        <v>4.2999999999999997E-2</v>
      </c>
      <c r="L4585" s="508">
        <v>4.2000000000000003E-2</v>
      </c>
      <c r="M4585" s="508">
        <v>4.2999999999999997E-2</v>
      </c>
      <c r="N4585" s="508">
        <v>4.2999999999999997E-2</v>
      </c>
      <c r="O4585" s="508">
        <v>4.2999999999999997E-2</v>
      </c>
      <c r="P4585" s="508">
        <v>4.2999999999999997E-2</v>
      </c>
      <c r="Q4585" s="508">
        <v>4.2999999999999997E-2</v>
      </c>
      <c r="R4585" s="508">
        <v>4.2999999999999997E-2</v>
      </c>
      <c r="S4585" s="508">
        <v>4.2999999999999997E-2</v>
      </c>
      <c r="T4585" s="508">
        <v>4.2999999999999997E-2</v>
      </c>
      <c r="U4585" s="508">
        <v>4.2999999999999997E-2</v>
      </c>
      <c r="V4585" s="508">
        <v>4.2999999999999997E-2</v>
      </c>
      <c r="W4585" s="508">
        <v>4.2999999999999997E-2</v>
      </c>
      <c r="X4585" s="508">
        <v>4.2999999999999997E-2</v>
      </c>
      <c r="Y4585" s="508">
        <v>4.2999999999999997E-2</v>
      </c>
      <c r="Z4585" s="508">
        <v>4.2999999999999997E-2</v>
      </c>
      <c r="AA4585" s="508">
        <v>4.2999999999999997E-2</v>
      </c>
      <c r="AB4585" s="508">
        <v>4.2999999999999997E-2</v>
      </c>
      <c r="AC4585" s="508">
        <v>4.2999999999999997E-2</v>
      </c>
      <c r="AD4585" s="508">
        <v>4.2999999999999997E-2</v>
      </c>
      <c r="AE4585" s="508">
        <v>4.2999999999999997E-2</v>
      </c>
      <c r="AF4585" s="508">
        <v>4.2999999999999997E-2</v>
      </c>
      <c r="AG4585" s="508">
        <v>4.2999999999999997E-2</v>
      </c>
      <c r="AH4585" s="508">
        <v>4.2999999999999997E-2</v>
      </c>
      <c r="AI4585" s="492">
        <v>4.2999999999999997E-2</v>
      </c>
      <c r="AJ4585" s="485"/>
    </row>
    <row r="4586" spans="2:36">
      <c r="B4586" s="136" t="s">
        <v>460</v>
      </c>
      <c r="C4586" s="132" t="s">
        <v>1364</v>
      </c>
      <c r="D4586" s="132" t="s">
        <v>1379</v>
      </c>
      <c r="E4586" s="508">
        <v>4.3999999999999997E-2</v>
      </c>
      <c r="F4586" s="508">
        <v>4.3999999999999997E-2</v>
      </c>
      <c r="G4586" s="508">
        <v>4.3999999999999997E-2</v>
      </c>
      <c r="H4586" s="508">
        <v>4.3999999999999997E-2</v>
      </c>
      <c r="I4586" s="508">
        <v>4.3999999999999997E-2</v>
      </c>
      <c r="J4586" s="508">
        <v>4.4999999999999998E-2</v>
      </c>
      <c r="K4586" s="508">
        <v>4.3999999999999997E-2</v>
      </c>
      <c r="L4586" s="508">
        <v>4.3999999999999997E-2</v>
      </c>
      <c r="M4586" s="508">
        <v>4.3999999999999997E-2</v>
      </c>
      <c r="N4586" s="508">
        <v>4.3999999999999997E-2</v>
      </c>
      <c r="O4586" s="508">
        <v>4.3999999999999997E-2</v>
      </c>
      <c r="P4586" s="508">
        <v>4.3999999999999997E-2</v>
      </c>
      <c r="Q4586" s="508">
        <v>4.3999999999999997E-2</v>
      </c>
      <c r="R4586" s="508">
        <v>4.3999999999999997E-2</v>
      </c>
      <c r="S4586" s="508">
        <v>4.3999999999999997E-2</v>
      </c>
      <c r="T4586" s="508">
        <v>4.3999999999999997E-2</v>
      </c>
      <c r="U4586" s="508">
        <v>4.3999999999999997E-2</v>
      </c>
      <c r="V4586" s="508">
        <v>4.3999999999999997E-2</v>
      </c>
      <c r="W4586" s="508">
        <v>4.3999999999999997E-2</v>
      </c>
      <c r="X4586" s="508">
        <v>4.3999999999999997E-2</v>
      </c>
      <c r="Y4586" s="508">
        <v>4.3999999999999997E-2</v>
      </c>
      <c r="Z4586" s="508">
        <v>4.3999999999999997E-2</v>
      </c>
      <c r="AA4586" s="508">
        <v>4.3999999999999997E-2</v>
      </c>
      <c r="AB4586" s="508">
        <v>4.3999999999999997E-2</v>
      </c>
      <c r="AC4586" s="508">
        <v>4.3999999999999997E-2</v>
      </c>
      <c r="AD4586" s="508">
        <v>4.3999999999999997E-2</v>
      </c>
      <c r="AE4586" s="508">
        <v>4.3999999999999997E-2</v>
      </c>
      <c r="AF4586" s="508">
        <v>4.3999999999999997E-2</v>
      </c>
      <c r="AG4586" s="508">
        <v>4.3999999999999997E-2</v>
      </c>
      <c r="AH4586" s="508">
        <v>4.3999999999999997E-2</v>
      </c>
      <c r="AI4586" s="492">
        <v>4.3999999999999997E-2</v>
      </c>
      <c r="AJ4586" s="485"/>
    </row>
    <row r="4587" spans="2:36">
      <c r="B4587" s="136" t="s">
        <v>461</v>
      </c>
      <c r="C4587" s="132" t="s">
        <v>1364</v>
      </c>
      <c r="D4587" s="132" t="s">
        <v>1379</v>
      </c>
      <c r="E4587" s="508">
        <v>4.1000000000000002E-2</v>
      </c>
      <c r="F4587" s="508">
        <v>4.2000000000000003E-2</v>
      </c>
      <c r="G4587" s="508">
        <v>4.1000000000000002E-2</v>
      </c>
      <c r="H4587" s="508">
        <v>4.1000000000000002E-2</v>
      </c>
      <c r="I4587" s="508">
        <v>4.1000000000000002E-2</v>
      </c>
      <c r="J4587" s="508">
        <v>4.2000000000000003E-2</v>
      </c>
      <c r="K4587" s="508">
        <v>4.2000000000000003E-2</v>
      </c>
      <c r="L4587" s="508">
        <v>4.1000000000000002E-2</v>
      </c>
      <c r="M4587" s="508">
        <v>4.2000000000000003E-2</v>
      </c>
      <c r="N4587" s="508">
        <v>4.1000000000000002E-2</v>
      </c>
      <c r="O4587" s="508">
        <v>4.2000000000000003E-2</v>
      </c>
      <c r="P4587" s="508">
        <v>4.2000000000000003E-2</v>
      </c>
      <c r="Q4587" s="508">
        <v>4.2000000000000003E-2</v>
      </c>
      <c r="R4587" s="508">
        <v>4.1000000000000002E-2</v>
      </c>
      <c r="S4587" s="508">
        <v>4.2000000000000003E-2</v>
      </c>
      <c r="T4587" s="508">
        <v>4.1000000000000002E-2</v>
      </c>
      <c r="U4587" s="508">
        <v>4.2000000000000003E-2</v>
      </c>
      <c r="V4587" s="508">
        <v>4.1000000000000002E-2</v>
      </c>
      <c r="W4587" s="508">
        <v>4.1000000000000002E-2</v>
      </c>
      <c r="X4587" s="508">
        <v>4.1000000000000002E-2</v>
      </c>
      <c r="Y4587" s="508">
        <v>4.1000000000000002E-2</v>
      </c>
      <c r="Z4587" s="508">
        <v>4.2000000000000003E-2</v>
      </c>
      <c r="AA4587" s="508">
        <v>4.1000000000000002E-2</v>
      </c>
      <c r="AB4587" s="508">
        <v>4.1000000000000002E-2</v>
      </c>
      <c r="AC4587" s="508">
        <v>4.1000000000000002E-2</v>
      </c>
      <c r="AD4587" s="508">
        <v>4.1000000000000002E-2</v>
      </c>
      <c r="AE4587" s="508">
        <v>4.1000000000000002E-2</v>
      </c>
      <c r="AF4587" s="508">
        <v>4.1000000000000002E-2</v>
      </c>
      <c r="AG4587" s="508">
        <v>4.1000000000000002E-2</v>
      </c>
      <c r="AH4587" s="508">
        <v>4.1000000000000002E-2</v>
      </c>
      <c r="AI4587" s="492">
        <v>4.1000000000000002E-2</v>
      </c>
      <c r="AJ4587" s="485"/>
    </row>
    <row r="4588" spans="2:36">
      <c r="B4588" s="136" t="s">
        <v>462</v>
      </c>
      <c r="C4588" s="132" t="s">
        <v>1364</v>
      </c>
      <c r="D4588" s="132" t="s">
        <v>1379</v>
      </c>
      <c r="E4588" s="508">
        <v>0.04</v>
      </c>
      <c r="F4588" s="508">
        <v>0.04</v>
      </c>
      <c r="G4588" s="508">
        <v>0.04</v>
      </c>
      <c r="H4588" s="508">
        <v>0.04</v>
      </c>
      <c r="I4588" s="508">
        <v>0.04</v>
      </c>
      <c r="J4588" s="508">
        <v>0.04</v>
      </c>
      <c r="K4588" s="508">
        <v>0.04</v>
      </c>
      <c r="L4588" s="508">
        <v>0.04</v>
      </c>
      <c r="M4588" s="508">
        <v>0.04</v>
      </c>
      <c r="N4588" s="508">
        <v>0.04</v>
      </c>
      <c r="O4588" s="508">
        <v>0.04</v>
      </c>
      <c r="P4588" s="508">
        <v>0.04</v>
      </c>
      <c r="Q4588" s="508">
        <v>0.04</v>
      </c>
      <c r="R4588" s="508">
        <v>0.04</v>
      </c>
      <c r="S4588" s="508">
        <v>0.04</v>
      </c>
      <c r="T4588" s="508">
        <v>0.04</v>
      </c>
      <c r="U4588" s="508">
        <v>0.04</v>
      </c>
      <c r="V4588" s="508">
        <v>0.04</v>
      </c>
      <c r="W4588" s="508">
        <v>0.04</v>
      </c>
      <c r="X4588" s="508">
        <v>0.04</v>
      </c>
      <c r="Y4588" s="508">
        <v>0.04</v>
      </c>
      <c r="Z4588" s="508">
        <v>0.04</v>
      </c>
      <c r="AA4588" s="508">
        <v>0.04</v>
      </c>
      <c r="AB4588" s="508">
        <v>0.04</v>
      </c>
      <c r="AC4588" s="508">
        <v>0.04</v>
      </c>
      <c r="AD4588" s="508">
        <v>0.04</v>
      </c>
      <c r="AE4588" s="508">
        <v>0.04</v>
      </c>
      <c r="AF4588" s="508">
        <v>0.04</v>
      </c>
      <c r="AG4588" s="508">
        <v>0.04</v>
      </c>
      <c r="AH4588" s="508">
        <v>0.04</v>
      </c>
      <c r="AI4588" s="492">
        <v>0.04</v>
      </c>
      <c r="AJ4588" s="485"/>
    </row>
    <row r="4589" spans="2:36">
      <c r="B4589" s="136" t="s">
        <v>463</v>
      </c>
      <c r="C4589" s="132" t="s">
        <v>1364</v>
      </c>
      <c r="D4589" s="132" t="s">
        <v>1379</v>
      </c>
      <c r="E4589" s="508">
        <v>3.5999999999999997E-2</v>
      </c>
      <c r="F4589" s="508">
        <v>3.5999999999999997E-2</v>
      </c>
      <c r="G4589" s="508">
        <v>3.5000000000000003E-2</v>
      </c>
      <c r="H4589" s="508">
        <v>3.5000000000000003E-2</v>
      </c>
      <c r="I4589" s="508">
        <v>3.5000000000000003E-2</v>
      </c>
      <c r="J4589" s="508">
        <v>3.5999999999999997E-2</v>
      </c>
      <c r="K4589" s="508">
        <v>3.5999999999999997E-2</v>
      </c>
      <c r="L4589" s="508">
        <v>3.5000000000000003E-2</v>
      </c>
      <c r="M4589" s="508">
        <v>3.5999999999999997E-2</v>
      </c>
      <c r="N4589" s="508">
        <v>3.5999999999999997E-2</v>
      </c>
      <c r="O4589" s="508">
        <v>3.5999999999999997E-2</v>
      </c>
      <c r="P4589" s="508">
        <v>3.5999999999999997E-2</v>
      </c>
      <c r="Q4589" s="508">
        <v>3.5999999999999997E-2</v>
      </c>
      <c r="R4589" s="508">
        <v>3.5999999999999997E-2</v>
      </c>
      <c r="S4589" s="508">
        <v>3.5999999999999997E-2</v>
      </c>
      <c r="T4589" s="508">
        <v>3.5999999999999997E-2</v>
      </c>
      <c r="U4589" s="508">
        <v>3.5999999999999997E-2</v>
      </c>
      <c r="V4589" s="508">
        <v>3.5999999999999997E-2</v>
      </c>
      <c r="W4589" s="508">
        <v>3.5999999999999997E-2</v>
      </c>
      <c r="X4589" s="508">
        <v>3.5999999999999997E-2</v>
      </c>
      <c r="Y4589" s="508">
        <v>3.5999999999999997E-2</v>
      </c>
      <c r="Z4589" s="508">
        <v>3.5999999999999997E-2</v>
      </c>
      <c r="AA4589" s="508">
        <v>3.5999999999999997E-2</v>
      </c>
      <c r="AB4589" s="508">
        <v>3.5999999999999997E-2</v>
      </c>
      <c r="AC4589" s="508">
        <v>3.5999999999999997E-2</v>
      </c>
      <c r="AD4589" s="508">
        <v>3.5999999999999997E-2</v>
      </c>
      <c r="AE4589" s="508">
        <v>3.5999999999999997E-2</v>
      </c>
      <c r="AF4589" s="508">
        <v>3.5999999999999997E-2</v>
      </c>
      <c r="AG4589" s="508">
        <v>3.5999999999999997E-2</v>
      </c>
      <c r="AH4589" s="508">
        <v>3.5999999999999997E-2</v>
      </c>
      <c r="AI4589" s="492">
        <v>3.5999999999999997E-2</v>
      </c>
      <c r="AJ4589" s="485"/>
    </row>
    <row r="4590" spans="2:36">
      <c r="B4590" s="136" t="s">
        <v>464</v>
      </c>
      <c r="C4590" s="132" t="s">
        <v>1364</v>
      </c>
      <c r="D4590" s="132" t="s">
        <v>1379</v>
      </c>
      <c r="E4590" s="508">
        <v>3.5999999999999997E-2</v>
      </c>
      <c r="F4590" s="508">
        <v>3.5999999999999997E-2</v>
      </c>
      <c r="G4590" s="508">
        <v>3.5999999999999997E-2</v>
      </c>
      <c r="H4590" s="508">
        <v>3.5000000000000003E-2</v>
      </c>
      <c r="I4590" s="508">
        <v>3.5000000000000003E-2</v>
      </c>
      <c r="J4590" s="508">
        <v>3.5999999999999997E-2</v>
      </c>
      <c r="K4590" s="508">
        <v>3.5999999999999997E-2</v>
      </c>
      <c r="L4590" s="508">
        <v>3.5000000000000003E-2</v>
      </c>
      <c r="M4590" s="508">
        <v>3.5999999999999997E-2</v>
      </c>
      <c r="N4590" s="508">
        <v>3.5999999999999997E-2</v>
      </c>
      <c r="O4590" s="508">
        <v>3.5999999999999997E-2</v>
      </c>
      <c r="P4590" s="508">
        <v>3.5999999999999997E-2</v>
      </c>
      <c r="Q4590" s="508">
        <v>3.5999999999999997E-2</v>
      </c>
      <c r="R4590" s="508">
        <v>3.5999999999999997E-2</v>
      </c>
      <c r="S4590" s="508">
        <v>3.5999999999999997E-2</v>
      </c>
      <c r="T4590" s="508">
        <v>3.5999999999999997E-2</v>
      </c>
      <c r="U4590" s="508">
        <v>3.5999999999999997E-2</v>
      </c>
      <c r="V4590" s="508">
        <v>3.5999999999999997E-2</v>
      </c>
      <c r="W4590" s="508">
        <v>3.5999999999999997E-2</v>
      </c>
      <c r="X4590" s="508">
        <v>3.5999999999999997E-2</v>
      </c>
      <c r="Y4590" s="508">
        <v>3.5999999999999997E-2</v>
      </c>
      <c r="Z4590" s="508">
        <v>3.5999999999999997E-2</v>
      </c>
      <c r="AA4590" s="508">
        <v>3.5999999999999997E-2</v>
      </c>
      <c r="AB4590" s="508">
        <v>3.5999999999999997E-2</v>
      </c>
      <c r="AC4590" s="508">
        <v>3.5999999999999997E-2</v>
      </c>
      <c r="AD4590" s="508">
        <v>3.5999999999999997E-2</v>
      </c>
      <c r="AE4590" s="508">
        <v>3.5999999999999997E-2</v>
      </c>
      <c r="AF4590" s="508">
        <v>3.5999999999999997E-2</v>
      </c>
      <c r="AG4590" s="508">
        <v>3.5999999999999997E-2</v>
      </c>
      <c r="AH4590" s="508">
        <v>3.5999999999999997E-2</v>
      </c>
      <c r="AI4590" s="492">
        <v>3.5999999999999997E-2</v>
      </c>
      <c r="AJ4590" s="485"/>
    </row>
    <row r="4591" spans="2:36">
      <c r="B4591" s="136" t="s">
        <v>465</v>
      </c>
      <c r="C4591" s="132" t="s">
        <v>1364</v>
      </c>
      <c r="D4591" s="132" t="s">
        <v>1379</v>
      </c>
      <c r="E4591" s="508">
        <v>3.7999999999999999E-2</v>
      </c>
      <c r="F4591" s="508">
        <v>3.7999999999999999E-2</v>
      </c>
      <c r="G4591" s="508">
        <v>3.7999999999999999E-2</v>
      </c>
      <c r="H4591" s="508">
        <v>3.7999999999999999E-2</v>
      </c>
      <c r="I4591" s="508">
        <v>3.7999999999999999E-2</v>
      </c>
      <c r="J4591" s="508">
        <v>3.9E-2</v>
      </c>
      <c r="K4591" s="508">
        <v>3.9E-2</v>
      </c>
      <c r="L4591" s="508">
        <v>3.7999999999999999E-2</v>
      </c>
      <c r="M4591" s="508">
        <v>3.9E-2</v>
      </c>
      <c r="N4591" s="508">
        <v>3.7999999999999999E-2</v>
      </c>
      <c r="O4591" s="508">
        <v>3.7999999999999999E-2</v>
      </c>
      <c r="P4591" s="508">
        <v>3.7999999999999999E-2</v>
      </c>
      <c r="Q4591" s="508">
        <v>3.9E-2</v>
      </c>
      <c r="R4591" s="508">
        <v>3.7999999999999999E-2</v>
      </c>
      <c r="S4591" s="508">
        <v>3.9E-2</v>
      </c>
      <c r="T4591" s="508">
        <v>3.7999999999999999E-2</v>
      </c>
      <c r="U4591" s="508">
        <v>3.9E-2</v>
      </c>
      <c r="V4591" s="508">
        <v>3.7999999999999999E-2</v>
      </c>
      <c r="W4591" s="508">
        <v>3.7999999999999999E-2</v>
      </c>
      <c r="X4591" s="508">
        <v>3.7999999999999999E-2</v>
      </c>
      <c r="Y4591" s="508">
        <v>3.7999999999999999E-2</v>
      </c>
      <c r="Z4591" s="508">
        <v>3.7999999999999999E-2</v>
      </c>
      <c r="AA4591" s="508">
        <v>3.7999999999999999E-2</v>
      </c>
      <c r="AB4591" s="508">
        <v>3.7999999999999999E-2</v>
      </c>
      <c r="AC4591" s="508">
        <v>3.7999999999999999E-2</v>
      </c>
      <c r="AD4591" s="508">
        <v>3.7999999999999999E-2</v>
      </c>
      <c r="AE4591" s="508">
        <v>3.7999999999999999E-2</v>
      </c>
      <c r="AF4591" s="508">
        <v>3.7999999999999999E-2</v>
      </c>
      <c r="AG4591" s="508">
        <v>3.7999999999999999E-2</v>
      </c>
      <c r="AH4591" s="508">
        <v>3.7999999999999999E-2</v>
      </c>
      <c r="AI4591" s="492">
        <v>3.7999999999999999E-2</v>
      </c>
      <c r="AJ4591" s="485"/>
    </row>
    <row r="4592" spans="2:36">
      <c r="B4592" s="136" t="s">
        <v>466</v>
      </c>
      <c r="C4592" s="132" t="s">
        <v>1364</v>
      </c>
      <c r="D4592" s="132" t="s">
        <v>1379</v>
      </c>
      <c r="E4592" s="508">
        <v>0.05</v>
      </c>
      <c r="F4592" s="508">
        <v>0.05</v>
      </c>
      <c r="G4592" s="508">
        <v>0.05</v>
      </c>
      <c r="H4592" s="508">
        <v>0.05</v>
      </c>
      <c r="I4592" s="508">
        <v>0.05</v>
      </c>
      <c r="J4592" s="508">
        <v>0.05</v>
      </c>
      <c r="K4592" s="508">
        <v>0.05</v>
      </c>
      <c r="L4592" s="508">
        <v>0.05</v>
      </c>
      <c r="M4592" s="508">
        <v>0.05</v>
      </c>
      <c r="N4592" s="508">
        <v>0.05</v>
      </c>
      <c r="O4592" s="508">
        <v>0.05</v>
      </c>
      <c r="P4592" s="508">
        <v>0.05</v>
      </c>
      <c r="Q4592" s="508">
        <v>0.05</v>
      </c>
      <c r="R4592" s="508">
        <v>0.05</v>
      </c>
      <c r="S4592" s="508">
        <v>0.05</v>
      </c>
      <c r="T4592" s="508">
        <v>0.05</v>
      </c>
      <c r="U4592" s="508">
        <v>0.05</v>
      </c>
      <c r="V4592" s="508">
        <v>0.05</v>
      </c>
      <c r="W4592" s="508">
        <v>0.05</v>
      </c>
      <c r="X4592" s="508">
        <v>0.05</v>
      </c>
      <c r="Y4592" s="508">
        <v>0.05</v>
      </c>
      <c r="Z4592" s="508">
        <v>0.05</v>
      </c>
      <c r="AA4592" s="508">
        <v>0.05</v>
      </c>
      <c r="AB4592" s="508">
        <v>0.05</v>
      </c>
      <c r="AC4592" s="508">
        <v>0.05</v>
      </c>
      <c r="AD4592" s="508">
        <v>0.05</v>
      </c>
      <c r="AE4592" s="508">
        <v>0.05</v>
      </c>
      <c r="AF4592" s="508">
        <v>0.05</v>
      </c>
      <c r="AG4592" s="508">
        <v>0.05</v>
      </c>
      <c r="AH4592" s="508">
        <v>0.05</v>
      </c>
      <c r="AI4592" s="492">
        <v>0.05</v>
      </c>
      <c r="AJ4592" s="485"/>
    </row>
    <row r="4593" spans="2:36">
      <c r="B4593" s="136" t="s">
        <v>467</v>
      </c>
      <c r="C4593" s="132" t="s">
        <v>1364</v>
      </c>
      <c r="D4593" s="132" t="s">
        <v>1379</v>
      </c>
      <c r="E4593" s="508">
        <v>4.1000000000000002E-2</v>
      </c>
      <c r="F4593" s="508">
        <v>4.1000000000000002E-2</v>
      </c>
      <c r="G4593" s="508">
        <v>4.1000000000000002E-2</v>
      </c>
      <c r="H4593" s="508">
        <v>4.1000000000000002E-2</v>
      </c>
      <c r="I4593" s="508">
        <v>4.1000000000000002E-2</v>
      </c>
      <c r="J4593" s="508">
        <v>4.1000000000000002E-2</v>
      </c>
      <c r="K4593" s="508">
        <v>4.1000000000000002E-2</v>
      </c>
      <c r="L4593" s="508">
        <v>4.1000000000000002E-2</v>
      </c>
      <c r="M4593" s="508">
        <v>4.1000000000000002E-2</v>
      </c>
      <c r="N4593" s="508">
        <v>4.1000000000000002E-2</v>
      </c>
      <c r="O4593" s="508">
        <v>4.1000000000000002E-2</v>
      </c>
      <c r="P4593" s="508">
        <v>4.1000000000000002E-2</v>
      </c>
      <c r="Q4593" s="508">
        <v>4.1000000000000002E-2</v>
      </c>
      <c r="R4593" s="508">
        <v>4.1000000000000002E-2</v>
      </c>
      <c r="S4593" s="508">
        <v>4.1000000000000002E-2</v>
      </c>
      <c r="T4593" s="508">
        <v>4.1000000000000002E-2</v>
      </c>
      <c r="U4593" s="508">
        <v>4.1000000000000002E-2</v>
      </c>
      <c r="V4593" s="508">
        <v>4.1000000000000002E-2</v>
      </c>
      <c r="W4593" s="508">
        <v>4.1000000000000002E-2</v>
      </c>
      <c r="X4593" s="508">
        <v>4.1000000000000002E-2</v>
      </c>
      <c r="Y4593" s="508">
        <v>4.1000000000000002E-2</v>
      </c>
      <c r="Z4593" s="508">
        <v>4.1000000000000002E-2</v>
      </c>
      <c r="AA4593" s="508">
        <v>4.1000000000000002E-2</v>
      </c>
      <c r="AB4593" s="508">
        <v>4.1000000000000002E-2</v>
      </c>
      <c r="AC4593" s="508">
        <v>4.1000000000000002E-2</v>
      </c>
      <c r="AD4593" s="508">
        <v>4.1000000000000002E-2</v>
      </c>
      <c r="AE4593" s="508">
        <v>4.1000000000000002E-2</v>
      </c>
      <c r="AF4593" s="508">
        <v>4.1000000000000002E-2</v>
      </c>
      <c r="AG4593" s="508">
        <v>4.1000000000000002E-2</v>
      </c>
      <c r="AH4593" s="508">
        <v>4.1000000000000002E-2</v>
      </c>
      <c r="AI4593" s="492">
        <v>4.1000000000000002E-2</v>
      </c>
      <c r="AJ4593" s="485"/>
    </row>
    <row r="4594" spans="2:36">
      <c r="B4594" s="136" t="s">
        <v>468</v>
      </c>
      <c r="C4594" s="132" t="s">
        <v>1364</v>
      </c>
      <c r="D4594" s="132" t="s">
        <v>1379</v>
      </c>
      <c r="E4594" s="508">
        <v>3.5000000000000003E-2</v>
      </c>
      <c r="F4594" s="508">
        <v>3.5000000000000003E-2</v>
      </c>
      <c r="G4594" s="508">
        <v>3.5000000000000003E-2</v>
      </c>
      <c r="H4594" s="508">
        <v>3.5000000000000003E-2</v>
      </c>
      <c r="I4594" s="508">
        <v>3.5000000000000003E-2</v>
      </c>
      <c r="J4594" s="508">
        <v>3.5999999999999997E-2</v>
      </c>
      <c r="K4594" s="508">
        <v>3.5000000000000003E-2</v>
      </c>
      <c r="L4594" s="508">
        <v>3.5000000000000003E-2</v>
      </c>
      <c r="M4594" s="508">
        <v>3.5000000000000003E-2</v>
      </c>
      <c r="N4594" s="508">
        <v>3.5000000000000003E-2</v>
      </c>
      <c r="O4594" s="508">
        <v>3.5000000000000003E-2</v>
      </c>
      <c r="P4594" s="508">
        <v>3.5000000000000003E-2</v>
      </c>
      <c r="Q4594" s="508">
        <v>3.5000000000000003E-2</v>
      </c>
      <c r="R4594" s="508">
        <v>3.5000000000000003E-2</v>
      </c>
      <c r="S4594" s="508">
        <v>3.5000000000000003E-2</v>
      </c>
      <c r="T4594" s="508">
        <v>3.5000000000000003E-2</v>
      </c>
      <c r="U4594" s="508">
        <v>3.5000000000000003E-2</v>
      </c>
      <c r="V4594" s="508">
        <v>3.5000000000000003E-2</v>
      </c>
      <c r="W4594" s="508">
        <v>3.5000000000000003E-2</v>
      </c>
      <c r="X4594" s="508">
        <v>3.5000000000000003E-2</v>
      </c>
      <c r="Y4594" s="508">
        <v>3.5000000000000003E-2</v>
      </c>
      <c r="Z4594" s="508">
        <v>3.5000000000000003E-2</v>
      </c>
      <c r="AA4594" s="508">
        <v>3.5000000000000003E-2</v>
      </c>
      <c r="AB4594" s="508">
        <v>3.5000000000000003E-2</v>
      </c>
      <c r="AC4594" s="508">
        <v>3.5000000000000003E-2</v>
      </c>
      <c r="AD4594" s="508">
        <v>3.5000000000000003E-2</v>
      </c>
      <c r="AE4594" s="508">
        <v>3.5000000000000003E-2</v>
      </c>
      <c r="AF4594" s="508">
        <v>3.5000000000000003E-2</v>
      </c>
      <c r="AG4594" s="508">
        <v>3.5000000000000003E-2</v>
      </c>
      <c r="AH4594" s="508">
        <v>3.5000000000000003E-2</v>
      </c>
      <c r="AI4594" s="492">
        <v>3.5000000000000003E-2</v>
      </c>
      <c r="AJ4594" s="485"/>
    </row>
    <row r="4595" spans="2:36">
      <c r="B4595" s="136" t="s">
        <v>469</v>
      </c>
      <c r="C4595" s="132" t="s">
        <v>1364</v>
      </c>
      <c r="D4595" s="132" t="s">
        <v>1379</v>
      </c>
      <c r="E4595" s="508">
        <v>0.04</v>
      </c>
      <c r="F4595" s="508">
        <v>0.04</v>
      </c>
      <c r="G4595" s="508">
        <v>0.04</v>
      </c>
      <c r="H4595" s="508">
        <v>3.9E-2</v>
      </c>
      <c r="I4595" s="508">
        <v>0.04</v>
      </c>
      <c r="J4595" s="508">
        <v>0.04</v>
      </c>
      <c r="K4595" s="508">
        <v>0.04</v>
      </c>
      <c r="L4595" s="508">
        <v>3.9E-2</v>
      </c>
      <c r="M4595" s="508">
        <v>0.04</v>
      </c>
      <c r="N4595" s="508">
        <v>0.04</v>
      </c>
      <c r="O4595" s="508">
        <v>0.04</v>
      </c>
      <c r="P4595" s="508">
        <v>0.04</v>
      </c>
      <c r="Q4595" s="508">
        <v>0.04</v>
      </c>
      <c r="R4595" s="508">
        <v>0.04</v>
      </c>
      <c r="S4595" s="508">
        <v>0.04</v>
      </c>
      <c r="T4595" s="508">
        <v>0.04</v>
      </c>
      <c r="U4595" s="508">
        <v>0.04</v>
      </c>
      <c r="V4595" s="508">
        <v>0.04</v>
      </c>
      <c r="W4595" s="508">
        <v>0.04</v>
      </c>
      <c r="X4595" s="508">
        <v>0.04</v>
      </c>
      <c r="Y4595" s="508">
        <v>0.04</v>
      </c>
      <c r="Z4595" s="508">
        <v>0.04</v>
      </c>
      <c r="AA4595" s="508">
        <v>0.04</v>
      </c>
      <c r="AB4595" s="508">
        <v>0.04</v>
      </c>
      <c r="AC4595" s="508">
        <v>0.04</v>
      </c>
      <c r="AD4595" s="508">
        <v>0.04</v>
      </c>
      <c r="AE4595" s="508">
        <v>0.04</v>
      </c>
      <c r="AF4595" s="508">
        <v>0.04</v>
      </c>
      <c r="AG4595" s="508">
        <v>0.04</v>
      </c>
      <c r="AH4595" s="508">
        <v>0.04</v>
      </c>
      <c r="AI4595" s="492">
        <v>0.04</v>
      </c>
      <c r="AJ4595" s="485"/>
    </row>
    <row r="4596" spans="2:36">
      <c r="B4596" s="136" t="s">
        <v>470</v>
      </c>
      <c r="C4596" s="132" t="s">
        <v>1364</v>
      </c>
      <c r="D4596" s="132" t="s">
        <v>1379</v>
      </c>
      <c r="E4596" s="508">
        <v>4.4999999999999998E-2</v>
      </c>
      <c r="F4596" s="508">
        <v>4.4999999999999998E-2</v>
      </c>
      <c r="G4596" s="508">
        <v>4.4999999999999998E-2</v>
      </c>
      <c r="H4596" s="508">
        <v>4.4999999999999998E-2</v>
      </c>
      <c r="I4596" s="508">
        <v>4.4999999999999998E-2</v>
      </c>
      <c r="J4596" s="508">
        <v>4.5999999999999999E-2</v>
      </c>
      <c r="K4596" s="508">
        <v>4.5999999999999999E-2</v>
      </c>
      <c r="L4596" s="508">
        <v>4.4999999999999998E-2</v>
      </c>
      <c r="M4596" s="508">
        <v>4.5999999999999999E-2</v>
      </c>
      <c r="N4596" s="508">
        <v>4.4999999999999998E-2</v>
      </c>
      <c r="O4596" s="508">
        <v>4.4999999999999998E-2</v>
      </c>
      <c r="P4596" s="508">
        <v>4.4999999999999998E-2</v>
      </c>
      <c r="Q4596" s="508">
        <v>4.4999999999999998E-2</v>
      </c>
      <c r="R4596" s="508">
        <v>4.4999999999999998E-2</v>
      </c>
      <c r="S4596" s="508">
        <v>4.5999999999999999E-2</v>
      </c>
      <c r="T4596" s="508">
        <v>4.4999999999999998E-2</v>
      </c>
      <c r="U4596" s="508">
        <v>4.5999999999999999E-2</v>
      </c>
      <c r="V4596" s="508">
        <v>4.4999999999999998E-2</v>
      </c>
      <c r="W4596" s="508">
        <v>4.4999999999999998E-2</v>
      </c>
      <c r="X4596" s="508">
        <v>4.4999999999999998E-2</v>
      </c>
      <c r="Y4596" s="508">
        <v>4.4999999999999998E-2</v>
      </c>
      <c r="Z4596" s="508">
        <v>4.4999999999999998E-2</v>
      </c>
      <c r="AA4596" s="508">
        <v>4.4999999999999998E-2</v>
      </c>
      <c r="AB4596" s="508">
        <v>4.4999999999999998E-2</v>
      </c>
      <c r="AC4596" s="508">
        <v>4.4999999999999998E-2</v>
      </c>
      <c r="AD4596" s="508">
        <v>4.4999999999999998E-2</v>
      </c>
      <c r="AE4596" s="508">
        <v>4.4999999999999998E-2</v>
      </c>
      <c r="AF4596" s="508">
        <v>4.4999999999999998E-2</v>
      </c>
      <c r="AG4596" s="508">
        <v>4.4999999999999998E-2</v>
      </c>
      <c r="AH4596" s="508">
        <v>4.4999999999999998E-2</v>
      </c>
      <c r="AI4596" s="492">
        <v>4.4999999999999998E-2</v>
      </c>
      <c r="AJ4596" s="485"/>
    </row>
    <row r="4597" spans="2:36">
      <c r="B4597" s="136" t="s">
        <v>471</v>
      </c>
      <c r="C4597" s="132" t="s">
        <v>1364</v>
      </c>
      <c r="D4597" s="132" t="s">
        <v>1379</v>
      </c>
      <c r="E4597" s="508">
        <v>4.2999999999999997E-2</v>
      </c>
      <c r="F4597" s="508">
        <v>4.3999999999999997E-2</v>
      </c>
      <c r="G4597" s="508">
        <v>4.2999999999999997E-2</v>
      </c>
      <c r="H4597" s="508">
        <v>4.2999999999999997E-2</v>
      </c>
      <c r="I4597" s="508">
        <v>4.2999999999999997E-2</v>
      </c>
      <c r="J4597" s="508">
        <v>4.3999999999999997E-2</v>
      </c>
      <c r="K4597" s="508">
        <v>4.3999999999999997E-2</v>
      </c>
      <c r="L4597" s="508">
        <v>4.2999999999999997E-2</v>
      </c>
      <c r="M4597" s="508">
        <v>4.3999999999999997E-2</v>
      </c>
      <c r="N4597" s="508">
        <v>4.2999999999999997E-2</v>
      </c>
      <c r="O4597" s="508">
        <v>4.3999999999999997E-2</v>
      </c>
      <c r="P4597" s="508">
        <v>4.3999999999999997E-2</v>
      </c>
      <c r="Q4597" s="508">
        <v>4.3999999999999997E-2</v>
      </c>
      <c r="R4597" s="508">
        <v>4.2999999999999997E-2</v>
      </c>
      <c r="S4597" s="508">
        <v>4.3999999999999997E-2</v>
      </c>
      <c r="T4597" s="508">
        <v>4.2999999999999997E-2</v>
      </c>
      <c r="U4597" s="508">
        <v>4.3999999999999997E-2</v>
      </c>
      <c r="V4597" s="508">
        <v>4.2999999999999997E-2</v>
      </c>
      <c r="W4597" s="508">
        <v>4.2999999999999997E-2</v>
      </c>
      <c r="X4597" s="508">
        <v>4.2999999999999997E-2</v>
      </c>
      <c r="Y4597" s="508">
        <v>4.2999999999999997E-2</v>
      </c>
      <c r="Z4597" s="508">
        <v>4.3999999999999997E-2</v>
      </c>
      <c r="AA4597" s="508">
        <v>4.2999999999999997E-2</v>
      </c>
      <c r="AB4597" s="508">
        <v>4.2999999999999997E-2</v>
      </c>
      <c r="AC4597" s="508">
        <v>4.2999999999999997E-2</v>
      </c>
      <c r="AD4597" s="508">
        <v>4.2999999999999997E-2</v>
      </c>
      <c r="AE4597" s="508">
        <v>4.2999999999999997E-2</v>
      </c>
      <c r="AF4597" s="508">
        <v>4.2999999999999997E-2</v>
      </c>
      <c r="AG4597" s="508">
        <v>4.2999999999999997E-2</v>
      </c>
      <c r="AH4597" s="508">
        <v>4.2999999999999997E-2</v>
      </c>
      <c r="AI4597" s="492">
        <v>4.2999999999999997E-2</v>
      </c>
      <c r="AJ4597" s="485"/>
    </row>
    <row r="4598" spans="2:36">
      <c r="B4598" s="136" t="s">
        <v>472</v>
      </c>
      <c r="C4598" s="132" t="s">
        <v>1364</v>
      </c>
      <c r="D4598" s="132" t="s">
        <v>1379</v>
      </c>
      <c r="E4598" s="508">
        <v>3.5999999999999997E-2</v>
      </c>
      <c r="F4598" s="508">
        <v>3.5999999999999997E-2</v>
      </c>
      <c r="G4598" s="508">
        <v>3.5000000000000003E-2</v>
      </c>
      <c r="H4598" s="508">
        <v>3.5000000000000003E-2</v>
      </c>
      <c r="I4598" s="508">
        <v>3.5000000000000003E-2</v>
      </c>
      <c r="J4598" s="508">
        <v>3.5999999999999997E-2</v>
      </c>
      <c r="K4598" s="508">
        <v>3.5999999999999997E-2</v>
      </c>
      <c r="L4598" s="508">
        <v>3.5000000000000003E-2</v>
      </c>
      <c r="M4598" s="508">
        <v>3.5999999999999997E-2</v>
      </c>
      <c r="N4598" s="508">
        <v>3.5999999999999997E-2</v>
      </c>
      <c r="O4598" s="508">
        <v>3.5999999999999997E-2</v>
      </c>
      <c r="P4598" s="508">
        <v>3.5999999999999997E-2</v>
      </c>
      <c r="Q4598" s="508">
        <v>3.5999999999999997E-2</v>
      </c>
      <c r="R4598" s="508">
        <v>3.5999999999999997E-2</v>
      </c>
      <c r="S4598" s="508">
        <v>3.5999999999999997E-2</v>
      </c>
      <c r="T4598" s="508">
        <v>3.5999999999999997E-2</v>
      </c>
      <c r="U4598" s="508">
        <v>3.5999999999999997E-2</v>
      </c>
      <c r="V4598" s="508">
        <v>3.5999999999999997E-2</v>
      </c>
      <c r="W4598" s="508">
        <v>3.5999999999999997E-2</v>
      </c>
      <c r="X4598" s="508">
        <v>3.5999999999999997E-2</v>
      </c>
      <c r="Y4598" s="508">
        <v>3.5999999999999997E-2</v>
      </c>
      <c r="Z4598" s="508">
        <v>3.5999999999999997E-2</v>
      </c>
      <c r="AA4598" s="508">
        <v>3.5999999999999997E-2</v>
      </c>
      <c r="AB4598" s="508">
        <v>3.5999999999999997E-2</v>
      </c>
      <c r="AC4598" s="508">
        <v>3.5999999999999997E-2</v>
      </c>
      <c r="AD4598" s="508">
        <v>3.5999999999999997E-2</v>
      </c>
      <c r="AE4598" s="508">
        <v>3.5999999999999997E-2</v>
      </c>
      <c r="AF4598" s="508">
        <v>3.5999999999999997E-2</v>
      </c>
      <c r="AG4598" s="508">
        <v>3.5999999999999997E-2</v>
      </c>
      <c r="AH4598" s="508">
        <v>3.5999999999999997E-2</v>
      </c>
      <c r="AI4598" s="492">
        <v>3.5999999999999997E-2</v>
      </c>
      <c r="AJ4598" s="485"/>
    </row>
    <row r="4599" spans="2:36">
      <c r="B4599" s="136" t="s">
        <v>473</v>
      </c>
      <c r="C4599" s="132" t="s">
        <v>1364</v>
      </c>
      <c r="D4599" s="132" t="s">
        <v>1379</v>
      </c>
      <c r="E4599" s="508">
        <v>4.7E-2</v>
      </c>
      <c r="F4599" s="508">
        <v>4.7E-2</v>
      </c>
      <c r="G4599" s="508">
        <v>4.7E-2</v>
      </c>
      <c r="H4599" s="508">
        <v>4.5999999999999999E-2</v>
      </c>
      <c r="I4599" s="508">
        <v>4.7E-2</v>
      </c>
      <c r="J4599" s="508">
        <v>4.7E-2</v>
      </c>
      <c r="K4599" s="508">
        <v>4.7E-2</v>
      </c>
      <c r="L4599" s="508">
        <v>4.5999999999999999E-2</v>
      </c>
      <c r="M4599" s="508">
        <v>4.7E-2</v>
      </c>
      <c r="N4599" s="508">
        <v>4.7E-2</v>
      </c>
      <c r="O4599" s="508">
        <v>4.7E-2</v>
      </c>
      <c r="P4599" s="508">
        <v>4.7E-2</v>
      </c>
      <c r="Q4599" s="508">
        <v>4.7E-2</v>
      </c>
      <c r="R4599" s="508">
        <v>4.7E-2</v>
      </c>
      <c r="S4599" s="508">
        <v>4.7E-2</v>
      </c>
      <c r="T4599" s="508">
        <v>4.7E-2</v>
      </c>
      <c r="U4599" s="508">
        <v>4.7E-2</v>
      </c>
      <c r="V4599" s="508">
        <v>4.7E-2</v>
      </c>
      <c r="W4599" s="508">
        <v>4.7E-2</v>
      </c>
      <c r="X4599" s="508">
        <v>4.7E-2</v>
      </c>
      <c r="Y4599" s="508">
        <v>4.7E-2</v>
      </c>
      <c r="Z4599" s="508">
        <v>4.7E-2</v>
      </c>
      <c r="AA4599" s="508">
        <v>4.7E-2</v>
      </c>
      <c r="AB4599" s="508">
        <v>4.7E-2</v>
      </c>
      <c r="AC4599" s="508">
        <v>4.7E-2</v>
      </c>
      <c r="AD4599" s="508">
        <v>4.7E-2</v>
      </c>
      <c r="AE4599" s="508">
        <v>4.7E-2</v>
      </c>
      <c r="AF4599" s="508">
        <v>4.7E-2</v>
      </c>
      <c r="AG4599" s="508">
        <v>4.7E-2</v>
      </c>
      <c r="AH4599" s="508">
        <v>4.7E-2</v>
      </c>
      <c r="AI4599" s="492">
        <v>4.7E-2</v>
      </c>
      <c r="AJ4599" s="485"/>
    </row>
    <row r="4600" spans="2:36">
      <c r="B4600" s="136" t="s">
        <v>474</v>
      </c>
      <c r="C4600" s="132" t="s">
        <v>1364</v>
      </c>
      <c r="D4600" s="132" t="s">
        <v>1379</v>
      </c>
      <c r="E4600" s="508">
        <v>4.2999999999999997E-2</v>
      </c>
      <c r="F4600" s="508">
        <v>4.2999999999999997E-2</v>
      </c>
      <c r="G4600" s="508">
        <v>4.2000000000000003E-2</v>
      </c>
      <c r="H4600" s="508">
        <v>4.2000000000000003E-2</v>
      </c>
      <c r="I4600" s="508">
        <v>4.2000000000000003E-2</v>
      </c>
      <c r="J4600" s="508">
        <v>4.2999999999999997E-2</v>
      </c>
      <c r="K4600" s="508">
        <v>4.2999999999999997E-2</v>
      </c>
      <c r="L4600" s="508">
        <v>4.2000000000000003E-2</v>
      </c>
      <c r="M4600" s="508">
        <v>4.2999999999999997E-2</v>
      </c>
      <c r="N4600" s="508">
        <v>4.2000000000000003E-2</v>
      </c>
      <c r="O4600" s="508">
        <v>4.2999999999999997E-2</v>
      </c>
      <c r="P4600" s="508">
        <v>4.2999999999999997E-2</v>
      </c>
      <c r="Q4600" s="508">
        <v>4.2999999999999997E-2</v>
      </c>
      <c r="R4600" s="508">
        <v>4.2000000000000003E-2</v>
      </c>
      <c r="S4600" s="508">
        <v>4.2999999999999997E-2</v>
      </c>
      <c r="T4600" s="508">
        <v>4.2999999999999997E-2</v>
      </c>
      <c r="U4600" s="508">
        <v>4.2999999999999997E-2</v>
      </c>
      <c r="V4600" s="508">
        <v>4.2999999999999997E-2</v>
      </c>
      <c r="W4600" s="508">
        <v>4.2999999999999997E-2</v>
      </c>
      <c r="X4600" s="508">
        <v>4.2999999999999997E-2</v>
      </c>
      <c r="Y4600" s="508">
        <v>4.2999999999999997E-2</v>
      </c>
      <c r="Z4600" s="508">
        <v>4.2999999999999997E-2</v>
      </c>
      <c r="AA4600" s="508">
        <v>4.2999999999999997E-2</v>
      </c>
      <c r="AB4600" s="508">
        <v>4.2999999999999997E-2</v>
      </c>
      <c r="AC4600" s="508">
        <v>4.2000000000000003E-2</v>
      </c>
      <c r="AD4600" s="508">
        <v>4.2000000000000003E-2</v>
      </c>
      <c r="AE4600" s="508">
        <v>4.2999999999999997E-2</v>
      </c>
      <c r="AF4600" s="508">
        <v>4.2999999999999997E-2</v>
      </c>
      <c r="AG4600" s="508">
        <v>4.2999999999999997E-2</v>
      </c>
      <c r="AH4600" s="508">
        <v>4.2999999999999997E-2</v>
      </c>
      <c r="AI4600" s="492">
        <v>4.2999999999999997E-2</v>
      </c>
      <c r="AJ4600" s="485"/>
    </row>
    <row r="4601" spans="2:36">
      <c r="B4601" s="136" t="s">
        <v>475</v>
      </c>
      <c r="C4601" s="132" t="s">
        <v>1364</v>
      </c>
      <c r="D4601" s="132" t="s">
        <v>1379</v>
      </c>
      <c r="E4601" s="508">
        <v>4.1000000000000002E-2</v>
      </c>
      <c r="F4601" s="508">
        <v>4.1000000000000002E-2</v>
      </c>
      <c r="G4601" s="508">
        <v>0.04</v>
      </c>
      <c r="H4601" s="508">
        <v>0.04</v>
      </c>
      <c r="I4601" s="508">
        <v>0.04</v>
      </c>
      <c r="J4601" s="508">
        <v>4.1000000000000002E-2</v>
      </c>
      <c r="K4601" s="508">
        <v>4.1000000000000002E-2</v>
      </c>
      <c r="L4601" s="508">
        <v>0.04</v>
      </c>
      <c r="M4601" s="508">
        <v>4.1000000000000002E-2</v>
      </c>
      <c r="N4601" s="508">
        <v>4.1000000000000002E-2</v>
      </c>
      <c r="O4601" s="508">
        <v>4.1000000000000002E-2</v>
      </c>
      <c r="P4601" s="508">
        <v>4.1000000000000002E-2</v>
      </c>
      <c r="Q4601" s="508">
        <v>4.1000000000000002E-2</v>
      </c>
      <c r="R4601" s="508">
        <v>0.04</v>
      </c>
      <c r="S4601" s="508">
        <v>4.1000000000000002E-2</v>
      </c>
      <c r="T4601" s="508">
        <v>4.1000000000000002E-2</v>
      </c>
      <c r="U4601" s="508">
        <v>4.1000000000000002E-2</v>
      </c>
      <c r="V4601" s="508">
        <v>4.1000000000000002E-2</v>
      </c>
      <c r="W4601" s="508">
        <v>4.1000000000000002E-2</v>
      </c>
      <c r="X4601" s="508">
        <v>4.1000000000000002E-2</v>
      </c>
      <c r="Y4601" s="508">
        <v>4.1000000000000002E-2</v>
      </c>
      <c r="Z4601" s="508">
        <v>4.1000000000000002E-2</v>
      </c>
      <c r="AA4601" s="508">
        <v>4.1000000000000002E-2</v>
      </c>
      <c r="AB4601" s="508">
        <v>4.1000000000000002E-2</v>
      </c>
      <c r="AC4601" s="508">
        <v>0.04</v>
      </c>
      <c r="AD4601" s="508">
        <v>0.04</v>
      </c>
      <c r="AE4601" s="508">
        <v>4.1000000000000002E-2</v>
      </c>
      <c r="AF4601" s="508">
        <v>4.1000000000000002E-2</v>
      </c>
      <c r="AG4601" s="508">
        <v>4.1000000000000002E-2</v>
      </c>
      <c r="AH4601" s="508">
        <v>4.1000000000000002E-2</v>
      </c>
      <c r="AI4601" s="492">
        <v>4.1000000000000002E-2</v>
      </c>
      <c r="AJ4601" s="485"/>
    </row>
    <row r="4602" spans="2:36">
      <c r="B4602" s="136" t="s">
        <v>476</v>
      </c>
      <c r="C4602" s="132" t="s">
        <v>1364</v>
      </c>
      <c r="D4602" s="132" t="s">
        <v>1379</v>
      </c>
      <c r="E4602" s="508">
        <v>4.4999999999999998E-2</v>
      </c>
      <c r="F4602" s="508">
        <v>4.4999999999999998E-2</v>
      </c>
      <c r="G4602" s="508">
        <v>4.3999999999999997E-2</v>
      </c>
      <c r="H4602" s="508">
        <v>4.3999999999999997E-2</v>
      </c>
      <c r="I4602" s="508">
        <v>4.3999999999999997E-2</v>
      </c>
      <c r="J4602" s="508">
        <v>4.4999999999999998E-2</v>
      </c>
      <c r="K4602" s="508">
        <v>4.4999999999999998E-2</v>
      </c>
      <c r="L4602" s="508">
        <v>4.3999999999999997E-2</v>
      </c>
      <c r="M4602" s="508">
        <v>4.4999999999999998E-2</v>
      </c>
      <c r="N4602" s="508">
        <v>4.4999999999999998E-2</v>
      </c>
      <c r="O4602" s="508">
        <v>4.4999999999999998E-2</v>
      </c>
      <c r="P4602" s="508">
        <v>4.4999999999999998E-2</v>
      </c>
      <c r="Q4602" s="508">
        <v>4.4999999999999998E-2</v>
      </c>
      <c r="R4602" s="508">
        <v>4.4999999999999998E-2</v>
      </c>
      <c r="S4602" s="508">
        <v>4.4999999999999998E-2</v>
      </c>
      <c r="T4602" s="508">
        <v>4.4999999999999998E-2</v>
      </c>
      <c r="U4602" s="508">
        <v>4.4999999999999998E-2</v>
      </c>
      <c r="V4602" s="508">
        <v>4.4999999999999998E-2</v>
      </c>
      <c r="W4602" s="508">
        <v>4.4999999999999998E-2</v>
      </c>
      <c r="X4602" s="508">
        <v>4.4999999999999998E-2</v>
      </c>
      <c r="Y4602" s="508">
        <v>4.4999999999999998E-2</v>
      </c>
      <c r="Z4602" s="508">
        <v>4.4999999999999998E-2</v>
      </c>
      <c r="AA4602" s="508">
        <v>4.4999999999999998E-2</v>
      </c>
      <c r="AB4602" s="508">
        <v>4.4999999999999998E-2</v>
      </c>
      <c r="AC4602" s="508">
        <v>4.4999999999999998E-2</v>
      </c>
      <c r="AD4602" s="508">
        <v>4.4999999999999998E-2</v>
      </c>
      <c r="AE4602" s="508">
        <v>4.4999999999999998E-2</v>
      </c>
      <c r="AF4602" s="508">
        <v>4.4999999999999998E-2</v>
      </c>
      <c r="AG4602" s="508">
        <v>4.4999999999999998E-2</v>
      </c>
      <c r="AH4602" s="508">
        <v>4.4999999999999998E-2</v>
      </c>
      <c r="AI4602" s="492">
        <v>4.4999999999999998E-2</v>
      </c>
      <c r="AJ4602" s="485"/>
    </row>
    <row r="4603" spans="2:36">
      <c r="B4603" s="136" t="s">
        <v>478</v>
      </c>
      <c r="C4603" s="132" t="s">
        <v>1364</v>
      </c>
      <c r="D4603" s="132" t="s">
        <v>1379</v>
      </c>
      <c r="E4603" s="508">
        <v>4.7E-2</v>
      </c>
      <c r="F4603" s="508">
        <v>4.7E-2</v>
      </c>
      <c r="G4603" s="508">
        <v>4.7E-2</v>
      </c>
      <c r="H4603" s="508">
        <v>4.7E-2</v>
      </c>
      <c r="I4603" s="508">
        <v>4.7E-2</v>
      </c>
      <c r="J4603" s="508">
        <v>4.7E-2</v>
      </c>
      <c r="K4603" s="508">
        <v>4.7E-2</v>
      </c>
      <c r="L4603" s="508">
        <v>4.7E-2</v>
      </c>
      <c r="M4603" s="508">
        <v>4.7E-2</v>
      </c>
      <c r="N4603" s="508">
        <v>4.7E-2</v>
      </c>
      <c r="O4603" s="508">
        <v>4.7E-2</v>
      </c>
      <c r="P4603" s="508">
        <v>4.7E-2</v>
      </c>
      <c r="Q4603" s="508">
        <v>4.7E-2</v>
      </c>
      <c r="R4603" s="508">
        <v>4.7E-2</v>
      </c>
      <c r="S4603" s="508">
        <v>4.7E-2</v>
      </c>
      <c r="T4603" s="508">
        <v>4.7E-2</v>
      </c>
      <c r="U4603" s="508">
        <v>4.7E-2</v>
      </c>
      <c r="V4603" s="508">
        <v>4.7E-2</v>
      </c>
      <c r="W4603" s="508">
        <v>4.7E-2</v>
      </c>
      <c r="X4603" s="508">
        <v>4.7E-2</v>
      </c>
      <c r="Y4603" s="508">
        <v>4.7E-2</v>
      </c>
      <c r="Z4603" s="508">
        <v>4.7E-2</v>
      </c>
      <c r="AA4603" s="508">
        <v>4.7E-2</v>
      </c>
      <c r="AB4603" s="508">
        <v>4.7E-2</v>
      </c>
      <c r="AC4603" s="508">
        <v>4.7E-2</v>
      </c>
      <c r="AD4603" s="508">
        <v>4.7E-2</v>
      </c>
      <c r="AE4603" s="508">
        <v>4.7E-2</v>
      </c>
      <c r="AF4603" s="508">
        <v>4.7E-2</v>
      </c>
      <c r="AG4603" s="508">
        <v>4.7E-2</v>
      </c>
      <c r="AH4603" s="508">
        <v>4.7E-2</v>
      </c>
      <c r="AI4603" s="492">
        <v>4.7E-2</v>
      </c>
      <c r="AJ4603" s="485"/>
    </row>
    <row r="4604" spans="2:36">
      <c r="B4604" s="136" t="s">
        <v>479</v>
      </c>
      <c r="C4604" s="132" t="s">
        <v>1364</v>
      </c>
      <c r="D4604" s="132" t="s">
        <v>1379</v>
      </c>
      <c r="E4604" s="508">
        <v>4.2000000000000003E-2</v>
      </c>
      <c r="F4604" s="508">
        <v>4.2000000000000003E-2</v>
      </c>
      <c r="G4604" s="508">
        <v>4.2000000000000003E-2</v>
      </c>
      <c r="H4604" s="508">
        <v>4.2000000000000003E-2</v>
      </c>
      <c r="I4604" s="508">
        <v>4.2000000000000003E-2</v>
      </c>
      <c r="J4604" s="508">
        <v>4.2000000000000003E-2</v>
      </c>
      <c r="K4604" s="508">
        <v>4.2000000000000003E-2</v>
      </c>
      <c r="L4604" s="508">
        <v>4.2000000000000003E-2</v>
      </c>
      <c r="M4604" s="508">
        <v>4.2000000000000003E-2</v>
      </c>
      <c r="N4604" s="508">
        <v>4.2000000000000003E-2</v>
      </c>
      <c r="O4604" s="508">
        <v>4.2000000000000003E-2</v>
      </c>
      <c r="P4604" s="508">
        <v>4.2000000000000003E-2</v>
      </c>
      <c r="Q4604" s="508">
        <v>4.2000000000000003E-2</v>
      </c>
      <c r="R4604" s="508">
        <v>4.2000000000000003E-2</v>
      </c>
      <c r="S4604" s="508">
        <v>4.2000000000000003E-2</v>
      </c>
      <c r="T4604" s="508">
        <v>4.2000000000000003E-2</v>
      </c>
      <c r="U4604" s="508">
        <v>4.2000000000000003E-2</v>
      </c>
      <c r="V4604" s="508">
        <v>4.2000000000000003E-2</v>
      </c>
      <c r="W4604" s="508">
        <v>4.2000000000000003E-2</v>
      </c>
      <c r="X4604" s="508">
        <v>4.2000000000000003E-2</v>
      </c>
      <c r="Y4604" s="508">
        <v>4.2000000000000003E-2</v>
      </c>
      <c r="Z4604" s="508">
        <v>4.2000000000000003E-2</v>
      </c>
      <c r="AA4604" s="508">
        <v>4.2000000000000003E-2</v>
      </c>
      <c r="AB4604" s="508">
        <v>4.2000000000000003E-2</v>
      </c>
      <c r="AC4604" s="508">
        <v>4.2000000000000003E-2</v>
      </c>
      <c r="AD4604" s="508">
        <v>4.2000000000000003E-2</v>
      </c>
      <c r="AE4604" s="508">
        <v>4.2000000000000003E-2</v>
      </c>
      <c r="AF4604" s="508">
        <v>4.2000000000000003E-2</v>
      </c>
      <c r="AG4604" s="508">
        <v>4.2000000000000003E-2</v>
      </c>
      <c r="AH4604" s="508">
        <v>4.2000000000000003E-2</v>
      </c>
      <c r="AI4604" s="492">
        <v>4.2000000000000003E-2</v>
      </c>
      <c r="AJ4604" s="485"/>
    </row>
    <row r="4605" spans="2:36">
      <c r="B4605" s="136" t="s">
        <v>480</v>
      </c>
      <c r="C4605" s="132" t="s">
        <v>1364</v>
      </c>
      <c r="D4605" s="132" t="s">
        <v>1379</v>
      </c>
      <c r="E4605" s="508">
        <v>3.5000000000000003E-2</v>
      </c>
      <c r="F4605" s="508">
        <v>3.5000000000000003E-2</v>
      </c>
      <c r="G4605" s="508">
        <v>3.4000000000000002E-2</v>
      </c>
      <c r="H4605" s="508">
        <v>3.4000000000000002E-2</v>
      </c>
      <c r="I4605" s="508">
        <v>3.4000000000000002E-2</v>
      </c>
      <c r="J4605" s="508">
        <v>3.5000000000000003E-2</v>
      </c>
      <c r="K4605" s="508">
        <v>3.5000000000000003E-2</v>
      </c>
      <c r="L4605" s="508">
        <v>3.4000000000000002E-2</v>
      </c>
      <c r="M4605" s="508">
        <v>3.5000000000000003E-2</v>
      </c>
      <c r="N4605" s="508">
        <v>3.4000000000000002E-2</v>
      </c>
      <c r="O4605" s="508">
        <v>3.5000000000000003E-2</v>
      </c>
      <c r="P4605" s="508">
        <v>3.5000000000000003E-2</v>
      </c>
      <c r="Q4605" s="508">
        <v>3.5000000000000003E-2</v>
      </c>
      <c r="R4605" s="508">
        <v>3.4000000000000002E-2</v>
      </c>
      <c r="S4605" s="508">
        <v>3.5000000000000003E-2</v>
      </c>
      <c r="T4605" s="508">
        <v>3.5000000000000003E-2</v>
      </c>
      <c r="U4605" s="508">
        <v>3.5000000000000003E-2</v>
      </c>
      <c r="V4605" s="508">
        <v>3.5000000000000003E-2</v>
      </c>
      <c r="W4605" s="508">
        <v>3.5000000000000003E-2</v>
      </c>
      <c r="X4605" s="508">
        <v>3.5000000000000003E-2</v>
      </c>
      <c r="Y4605" s="508">
        <v>3.5000000000000003E-2</v>
      </c>
      <c r="Z4605" s="508">
        <v>3.5000000000000003E-2</v>
      </c>
      <c r="AA4605" s="508">
        <v>3.5000000000000003E-2</v>
      </c>
      <c r="AB4605" s="508">
        <v>3.5000000000000003E-2</v>
      </c>
      <c r="AC4605" s="508">
        <v>3.4000000000000002E-2</v>
      </c>
      <c r="AD4605" s="508">
        <v>3.4000000000000002E-2</v>
      </c>
      <c r="AE4605" s="508">
        <v>3.5000000000000003E-2</v>
      </c>
      <c r="AF4605" s="508">
        <v>3.5000000000000003E-2</v>
      </c>
      <c r="AG4605" s="508">
        <v>3.5000000000000003E-2</v>
      </c>
      <c r="AH4605" s="508">
        <v>3.5000000000000003E-2</v>
      </c>
      <c r="AI4605" s="492">
        <v>3.5000000000000003E-2</v>
      </c>
      <c r="AJ4605" s="485"/>
    </row>
    <row r="4606" spans="2:36">
      <c r="B4606" s="136" t="s">
        <v>481</v>
      </c>
      <c r="C4606" s="132" t="s">
        <v>1364</v>
      </c>
      <c r="D4606" s="132" t="s">
        <v>1379</v>
      </c>
      <c r="E4606" s="508">
        <v>4.2999999999999997E-2</v>
      </c>
      <c r="F4606" s="508">
        <v>4.2999999999999997E-2</v>
      </c>
      <c r="G4606" s="508">
        <v>4.2999999999999997E-2</v>
      </c>
      <c r="H4606" s="508">
        <v>4.2999999999999997E-2</v>
      </c>
      <c r="I4606" s="508">
        <v>4.2999999999999997E-2</v>
      </c>
      <c r="J4606" s="508">
        <v>4.2999999999999997E-2</v>
      </c>
      <c r="K4606" s="508">
        <v>4.2999999999999997E-2</v>
      </c>
      <c r="L4606" s="508">
        <v>4.2999999999999997E-2</v>
      </c>
      <c r="M4606" s="508">
        <v>4.2999999999999997E-2</v>
      </c>
      <c r="N4606" s="508">
        <v>4.2999999999999997E-2</v>
      </c>
      <c r="O4606" s="508">
        <v>4.2999999999999997E-2</v>
      </c>
      <c r="P4606" s="508">
        <v>4.2999999999999997E-2</v>
      </c>
      <c r="Q4606" s="508">
        <v>4.2999999999999997E-2</v>
      </c>
      <c r="R4606" s="508">
        <v>4.2999999999999997E-2</v>
      </c>
      <c r="S4606" s="508">
        <v>4.2999999999999997E-2</v>
      </c>
      <c r="T4606" s="508">
        <v>4.2999999999999997E-2</v>
      </c>
      <c r="U4606" s="508">
        <v>4.2999999999999997E-2</v>
      </c>
      <c r="V4606" s="508">
        <v>4.2999999999999997E-2</v>
      </c>
      <c r="W4606" s="508">
        <v>4.2999999999999997E-2</v>
      </c>
      <c r="X4606" s="508">
        <v>4.2999999999999997E-2</v>
      </c>
      <c r="Y4606" s="508">
        <v>4.2999999999999997E-2</v>
      </c>
      <c r="Z4606" s="508">
        <v>4.2999999999999997E-2</v>
      </c>
      <c r="AA4606" s="508">
        <v>4.2999999999999997E-2</v>
      </c>
      <c r="AB4606" s="508">
        <v>4.2999999999999997E-2</v>
      </c>
      <c r="AC4606" s="508">
        <v>4.2999999999999997E-2</v>
      </c>
      <c r="AD4606" s="508">
        <v>4.2999999999999997E-2</v>
      </c>
      <c r="AE4606" s="508">
        <v>4.2999999999999997E-2</v>
      </c>
      <c r="AF4606" s="508">
        <v>4.2999999999999997E-2</v>
      </c>
      <c r="AG4606" s="508">
        <v>4.2999999999999997E-2</v>
      </c>
      <c r="AH4606" s="508">
        <v>4.2999999999999997E-2</v>
      </c>
      <c r="AI4606" s="492">
        <v>4.2999999999999997E-2</v>
      </c>
      <c r="AJ4606" s="485"/>
    </row>
    <row r="4607" spans="2:36">
      <c r="B4607" s="136" t="s">
        <v>482</v>
      </c>
      <c r="C4607" s="132" t="s">
        <v>1364</v>
      </c>
      <c r="D4607" s="132" t="s">
        <v>1379</v>
      </c>
      <c r="E4607" s="508">
        <v>4.2000000000000003E-2</v>
      </c>
      <c r="F4607" s="508">
        <v>4.2000000000000003E-2</v>
      </c>
      <c r="G4607" s="508">
        <v>4.2000000000000003E-2</v>
      </c>
      <c r="H4607" s="508">
        <v>4.2000000000000003E-2</v>
      </c>
      <c r="I4607" s="508">
        <v>4.2000000000000003E-2</v>
      </c>
      <c r="J4607" s="508">
        <v>4.2000000000000003E-2</v>
      </c>
      <c r="K4607" s="508">
        <v>4.2000000000000003E-2</v>
      </c>
      <c r="L4607" s="508">
        <v>4.2000000000000003E-2</v>
      </c>
      <c r="M4607" s="508">
        <v>4.2000000000000003E-2</v>
      </c>
      <c r="N4607" s="508">
        <v>4.2000000000000003E-2</v>
      </c>
      <c r="O4607" s="508">
        <v>4.2000000000000003E-2</v>
      </c>
      <c r="P4607" s="508">
        <v>4.2000000000000003E-2</v>
      </c>
      <c r="Q4607" s="508">
        <v>4.2000000000000003E-2</v>
      </c>
      <c r="R4607" s="508">
        <v>4.2000000000000003E-2</v>
      </c>
      <c r="S4607" s="508">
        <v>4.2000000000000003E-2</v>
      </c>
      <c r="T4607" s="508">
        <v>4.2000000000000003E-2</v>
      </c>
      <c r="U4607" s="508">
        <v>4.2000000000000003E-2</v>
      </c>
      <c r="V4607" s="508">
        <v>4.2000000000000003E-2</v>
      </c>
      <c r="W4607" s="508">
        <v>4.2000000000000003E-2</v>
      </c>
      <c r="X4607" s="508">
        <v>4.2000000000000003E-2</v>
      </c>
      <c r="Y4607" s="508">
        <v>4.2000000000000003E-2</v>
      </c>
      <c r="Z4607" s="508">
        <v>4.2000000000000003E-2</v>
      </c>
      <c r="AA4607" s="508">
        <v>4.2000000000000003E-2</v>
      </c>
      <c r="AB4607" s="508">
        <v>4.2000000000000003E-2</v>
      </c>
      <c r="AC4607" s="508">
        <v>4.2000000000000003E-2</v>
      </c>
      <c r="AD4607" s="508">
        <v>4.2000000000000003E-2</v>
      </c>
      <c r="AE4607" s="508">
        <v>4.2000000000000003E-2</v>
      </c>
      <c r="AF4607" s="508">
        <v>4.2000000000000003E-2</v>
      </c>
      <c r="AG4607" s="508">
        <v>4.2000000000000003E-2</v>
      </c>
      <c r="AH4607" s="508">
        <v>4.2000000000000003E-2</v>
      </c>
      <c r="AI4607" s="492">
        <v>4.2000000000000003E-2</v>
      </c>
      <c r="AJ4607" s="485"/>
    </row>
    <row r="4608" spans="2:36">
      <c r="B4608" s="136" t="s">
        <v>483</v>
      </c>
      <c r="C4608" s="132" t="s">
        <v>1364</v>
      </c>
      <c r="D4608" s="132" t="s">
        <v>1379</v>
      </c>
      <c r="E4608" s="508">
        <v>4.7E-2</v>
      </c>
      <c r="F4608" s="508">
        <v>4.7E-2</v>
      </c>
      <c r="G4608" s="508">
        <v>4.7E-2</v>
      </c>
      <c r="H4608" s="508">
        <v>4.7E-2</v>
      </c>
      <c r="I4608" s="508">
        <v>4.7E-2</v>
      </c>
      <c r="J4608" s="508">
        <v>4.7E-2</v>
      </c>
      <c r="K4608" s="508">
        <v>4.7E-2</v>
      </c>
      <c r="L4608" s="508">
        <v>4.7E-2</v>
      </c>
      <c r="M4608" s="508">
        <v>4.7E-2</v>
      </c>
      <c r="N4608" s="508">
        <v>4.7E-2</v>
      </c>
      <c r="O4608" s="508">
        <v>4.7E-2</v>
      </c>
      <c r="P4608" s="508">
        <v>4.7E-2</v>
      </c>
      <c r="Q4608" s="508">
        <v>4.7E-2</v>
      </c>
      <c r="R4608" s="508">
        <v>4.7E-2</v>
      </c>
      <c r="S4608" s="508">
        <v>4.7E-2</v>
      </c>
      <c r="T4608" s="508">
        <v>4.7E-2</v>
      </c>
      <c r="U4608" s="508">
        <v>4.7E-2</v>
      </c>
      <c r="V4608" s="508">
        <v>4.7E-2</v>
      </c>
      <c r="W4608" s="508">
        <v>4.7E-2</v>
      </c>
      <c r="X4608" s="508">
        <v>4.7E-2</v>
      </c>
      <c r="Y4608" s="508">
        <v>4.7E-2</v>
      </c>
      <c r="Z4608" s="508">
        <v>4.7E-2</v>
      </c>
      <c r="AA4608" s="508">
        <v>4.7E-2</v>
      </c>
      <c r="AB4608" s="508">
        <v>4.7E-2</v>
      </c>
      <c r="AC4608" s="508">
        <v>4.7E-2</v>
      </c>
      <c r="AD4608" s="508">
        <v>4.7E-2</v>
      </c>
      <c r="AE4608" s="508">
        <v>4.7E-2</v>
      </c>
      <c r="AF4608" s="508">
        <v>4.7E-2</v>
      </c>
      <c r="AG4608" s="508">
        <v>4.7E-2</v>
      </c>
      <c r="AH4608" s="508">
        <v>4.7E-2</v>
      </c>
      <c r="AI4608" s="492">
        <v>4.7E-2</v>
      </c>
      <c r="AJ4608" s="485"/>
    </row>
    <row r="4609" spans="2:36">
      <c r="B4609" s="136" t="s">
        <v>484</v>
      </c>
      <c r="C4609" s="132" t="s">
        <v>1364</v>
      </c>
      <c r="D4609" s="132" t="s">
        <v>1379</v>
      </c>
      <c r="E4609" s="508">
        <v>3.5000000000000003E-2</v>
      </c>
      <c r="F4609" s="508">
        <v>3.5000000000000003E-2</v>
      </c>
      <c r="G4609" s="508">
        <v>3.5000000000000003E-2</v>
      </c>
      <c r="H4609" s="508">
        <v>3.5000000000000003E-2</v>
      </c>
      <c r="I4609" s="508">
        <v>3.5000000000000003E-2</v>
      </c>
      <c r="J4609" s="508">
        <v>3.5999999999999997E-2</v>
      </c>
      <c r="K4609" s="508">
        <v>3.5999999999999997E-2</v>
      </c>
      <c r="L4609" s="508">
        <v>3.5000000000000003E-2</v>
      </c>
      <c r="M4609" s="508">
        <v>3.5999999999999997E-2</v>
      </c>
      <c r="N4609" s="508">
        <v>3.5000000000000003E-2</v>
      </c>
      <c r="O4609" s="508">
        <v>3.5000000000000003E-2</v>
      </c>
      <c r="P4609" s="508">
        <v>3.5000000000000003E-2</v>
      </c>
      <c r="Q4609" s="508">
        <v>3.5000000000000003E-2</v>
      </c>
      <c r="R4609" s="508">
        <v>3.5000000000000003E-2</v>
      </c>
      <c r="S4609" s="508">
        <v>3.5999999999999997E-2</v>
      </c>
      <c r="T4609" s="508">
        <v>3.5000000000000003E-2</v>
      </c>
      <c r="U4609" s="508">
        <v>3.5999999999999997E-2</v>
      </c>
      <c r="V4609" s="508">
        <v>3.5000000000000003E-2</v>
      </c>
      <c r="W4609" s="508">
        <v>3.5000000000000003E-2</v>
      </c>
      <c r="X4609" s="508">
        <v>3.5000000000000003E-2</v>
      </c>
      <c r="Y4609" s="508">
        <v>3.5000000000000003E-2</v>
      </c>
      <c r="Z4609" s="508">
        <v>3.5000000000000003E-2</v>
      </c>
      <c r="AA4609" s="508">
        <v>3.5000000000000003E-2</v>
      </c>
      <c r="AB4609" s="508">
        <v>3.5000000000000003E-2</v>
      </c>
      <c r="AC4609" s="508">
        <v>3.5000000000000003E-2</v>
      </c>
      <c r="AD4609" s="508">
        <v>3.5000000000000003E-2</v>
      </c>
      <c r="AE4609" s="508">
        <v>3.5000000000000003E-2</v>
      </c>
      <c r="AF4609" s="508">
        <v>3.5000000000000003E-2</v>
      </c>
      <c r="AG4609" s="508">
        <v>3.5000000000000003E-2</v>
      </c>
      <c r="AH4609" s="508">
        <v>3.5000000000000003E-2</v>
      </c>
      <c r="AI4609" s="492">
        <v>3.5000000000000003E-2</v>
      </c>
      <c r="AJ4609" s="485"/>
    </row>
    <row r="4610" spans="2:36">
      <c r="B4610" s="136" t="s">
        <v>486</v>
      </c>
      <c r="C4610" s="132" t="s">
        <v>1364</v>
      </c>
      <c r="D4610" s="132" t="s">
        <v>1379</v>
      </c>
      <c r="E4610" s="508">
        <v>4.2999999999999997E-2</v>
      </c>
      <c r="F4610" s="508">
        <v>4.2999999999999997E-2</v>
      </c>
      <c r="G4610" s="508">
        <v>4.2999999999999997E-2</v>
      </c>
      <c r="H4610" s="508">
        <v>4.2999999999999997E-2</v>
      </c>
      <c r="I4610" s="508">
        <v>4.2999999999999997E-2</v>
      </c>
      <c r="J4610" s="508">
        <v>4.2999999999999997E-2</v>
      </c>
      <c r="K4610" s="508">
        <v>4.2999999999999997E-2</v>
      </c>
      <c r="L4610" s="508">
        <v>4.2999999999999997E-2</v>
      </c>
      <c r="M4610" s="508">
        <v>4.2999999999999997E-2</v>
      </c>
      <c r="N4610" s="508">
        <v>4.2999999999999997E-2</v>
      </c>
      <c r="O4610" s="508">
        <v>4.2999999999999997E-2</v>
      </c>
      <c r="P4610" s="508">
        <v>4.2999999999999997E-2</v>
      </c>
      <c r="Q4610" s="508">
        <v>4.2999999999999997E-2</v>
      </c>
      <c r="R4610" s="508">
        <v>4.2999999999999997E-2</v>
      </c>
      <c r="S4610" s="508">
        <v>4.2999999999999997E-2</v>
      </c>
      <c r="T4610" s="508">
        <v>4.2999999999999997E-2</v>
      </c>
      <c r="U4610" s="508">
        <v>4.2999999999999997E-2</v>
      </c>
      <c r="V4610" s="508">
        <v>4.2999999999999997E-2</v>
      </c>
      <c r="W4610" s="508">
        <v>4.2999999999999997E-2</v>
      </c>
      <c r="X4610" s="508">
        <v>4.2999999999999997E-2</v>
      </c>
      <c r="Y4610" s="508">
        <v>4.2999999999999997E-2</v>
      </c>
      <c r="Z4610" s="508">
        <v>4.2999999999999997E-2</v>
      </c>
      <c r="AA4610" s="508">
        <v>4.2999999999999997E-2</v>
      </c>
      <c r="AB4610" s="508">
        <v>4.2999999999999997E-2</v>
      </c>
      <c r="AC4610" s="508">
        <v>4.2999999999999997E-2</v>
      </c>
      <c r="AD4610" s="508">
        <v>4.2999999999999997E-2</v>
      </c>
      <c r="AE4610" s="508">
        <v>4.2999999999999997E-2</v>
      </c>
      <c r="AF4610" s="508">
        <v>4.2999999999999997E-2</v>
      </c>
      <c r="AG4610" s="508">
        <v>4.2999999999999997E-2</v>
      </c>
      <c r="AH4610" s="508">
        <v>4.2999999999999997E-2</v>
      </c>
      <c r="AI4610" s="492">
        <v>4.2999999999999997E-2</v>
      </c>
      <c r="AJ4610" s="485"/>
    </row>
    <row r="4611" spans="2:36">
      <c r="B4611" s="136" t="s">
        <v>487</v>
      </c>
      <c r="C4611" s="132" t="s">
        <v>1364</v>
      </c>
      <c r="D4611" s="132" t="s">
        <v>1379</v>
      </c>
      <c r="E4611" s="508">
        <v>4.2999999999999997E-2</v>
      </c>
      <c r="F4611" s="508">
        <v>4.2999999999999997E-2</v>
      </c>
      <c r="G4611" s="508">
        <v>4.2999999999999997E-2</v>
      </c>
      <c r="H4611" s="508">
        <v>4.2999999999999997E-2</v>
      </c>
      <c r="I4611" s="508">
        <v>4.2999999999999997E-2</v>
      </c>
      <c r="J4611" s="508">
        <v>4.2999999999999997E-2</v>
      </c>
      <c r="K4611" s="508">
        <v>4.2999999999999997E-2</v>
      </c>
      <c r="L4611" s="508">
        <v>4.2999999999999997E-2</v>
      </c>
      <c r="M4611" s="508">
        <v>4.2999999999999997E-2</v>
      </c>
      <c r="N4611" s="508">
        <v>4.2999999999999997E-2</v>
      </c>
      <c r="O4611" s="508">
        <v>4.2999999999999997E-2</v>
      </c>
      <c r="P4611" s="508">
        <v>4.2999999999999997E-2</v>
      </c>
      <c r="Q4611" s="508">
        <v>4.2999999999999997E-2</v>
      </c>
      <c r="R4611" s="508">
        <v>4.2999999999999997E-2</v>
      </c>
      <c r="S4611" s="508">
        <v>4.2999999999999997E-2</v>
      </c>
      <c r="T4611" s="508">
        <v>4.2999999999999997E-2</v>
      </c>
      <c r="U4611" s="508">
        <v>4.2999999999999997E-2</v>
      </c>
      <c r="V4611" s="508">
        <v>4.2999999999999997E-2</v>
      </c>
      <c r="W4611" s="508">
        <v>4.2999999999999997E-2</v>
      </c>
      <c r="X4611" s="508">
        <v>4.2999999999999997E-2</v>
      </c>
      <c r="Y4611" s="508">
        <v>4.2999999999999997E-2</v>
      </c>
      <c r="Z4611" s="508">
        <v>4.2999999999999997E-2</v>
      </c>
      <c r="AA4611" s="508">
        <v>4.2999999999999997E-2</v>
      </c>
      <c r="AB4611" s="508">
        <v>4.2999999999999997E-2</v>
      </c>
      <c r="AC4611" s="508">
        <v>4.2999999999999997E-2</v>
      </c>
      <c r="AD4611" s="508">
        <v>4.2999999999999997E-2</v>
      </c>
      <c r="AE4611" s="508">
        <v>4.2999999999999997E-2</v>
      </c>
      <c r="AF4611" s="508">
        <v>4.2999999999999997E-2</v>
      </c>
      <c r="AG4611" s="508">
        <v>4.2999999999999997E-2</v>
      </c>
      <c r="AH4611" s="508">
        <v>4.2999999999999997E-2</v>
      </c>
      <c r="AI4611" s="492">
        <v>4.2999999999999997E-2</v>
      </c>
      <c r="AJ4611" s="485"/>
    </row>
    <row r="4612" spans="2:36">
      <c r="B4612" s="136" t="s">
        <v>488</v>
      </c>
      <c r="C4612" s="132" t="s">
        <v>1364</v>
      </c>
      <c r="D4612" s="132" t="s">
        <v>1379</v>
      </c>
      <c r="E4612" s="508">
        <v>3.6999999999999998E-2</v>
      </c>
      <c r="F4612" s="508">
        <v>3.6999999999999998E-2</v>
      </c>
      <c r="G4612" s="508">
        <v>3.6999999999999998E-2</v>
      </c>
      <c r="H4612" s="508">
        <v>3.6999999999999998E-2</v>
      </c>
      <c r="I4612" s="508">
        <v>3.6999999999999998E-2</v>
      </c>
      <c r="J4612" s="508">
        <v>3.6999999999999998E-2</v>
      </c>
      <c r="K4612" s="508">
        <v>3.6999999999999998E-2</v>
      </c>
      <c r="L4612" s="508">
        <v>3.6999999999999998E-2</v>
      </c>
      <c r="M4612" s="508">
        <v>3.6999999999999998E-2</v>
      </c>
      <c r="N4612" s="508">
        <v>3.6999999999999998E-2</v>
      </c>
      <c r="O4612" s="508">
        <v>3.6999999999999998E-2</v>
      </c>
      <c r="P4612" s="508">
        <v>3.6999999999999998E-2</v>
      </c>
      <c r="Q4612" s="508">
        <v>3.6999999999999998E-2</v>
      </c>
      <c r="R4612" s="508">
        <v>3.6999999999999998E-2</v>
      </c>
      <c r="S4612" s="508">
        <v>3.6999999999999998E-2</v>
      </c>
      <c r="T4612" s="508">
        <v>3.6999999999999998E-2</v>
      </c>
      <c r="U4612" s="508">
        <v>3.6999999999999998E-2</v>
      </c>
      <c r="V4612" s="508">
        <v>3.6999999999999998E-2</v>
      </c>
      <c r="W4612" s="508">
        <v>3.6999999999999998E-2</v>
      </c>
      <c r="X4612" s="508">
        <v>3.6999999999999998E-2</v>
      </c>
      <c r="Y4612" s="508">
        <v>3.6999999999999998E-2</v>
      </c>
      <c r="Z4612" s="508">
        <v>3.6999999999999998E-2</v>
      </c>
      <c r="AA4612" s="508">
        <v>3.6999999999999998E-2</v>
      </c>
      <c r="AB4612" s="508">
        <v>3.6999999999999998E-2</v>
      </c>
      <c r="AC4612" s="508">
        <v>3.6999999999999998E-2</v>
      </c>
      <c r="AD4612" s="508">
        <v>3.6999999999999998E-2</v>
      </c>
      <c r="AE4612" s="508">
        <v>3.6999999999999998E-2</v>
      </c>
      <c r="AF4612" s="508">
        <v>3.6999999999999998E-2</v>
      </c>
      <c r="AG4612" s="508">
        <v>3.6999999999999998E-2</v>
      </c>
      <c r="AH4612" s="508">
        <v>3.6999999999999998E-2</v>
      </c>
      <c r="AI4612" s="492">
        <v>3.6999999999999998E-2</v>
      </c>
      <c r="AJ4612" s="485"/>
    </row>
    <row r="4613" spans="2:36">
      <c r="B4613" s="136" t="s">
        <v>489</v>
      </c>
      <c r="C4613" s="132" t="s">
        <v>1364</v>
      </c>
      <c r="D4613" s="132" t="s">
        <v>1379</v>
      </c>
      <c r="E4613" s="508">
        <v>0.04</v>
      </c>
      <c r="F4613" s="508">
        <v>0.04</v>
      </c>
      <c r="G4613" s="508">
        <v>0.04</v>
      </c>
      <c r="H4613" s="508">
        <v>0.04</v>
      </c>
      <c r="I4613" s="508">
        <v>0.04</v>
      </c>
      <c r="J4613" s="508">
        <v>0.04</v>
      </c>
      <c r="K4613" s="508">
        <v>0.04</v>
      </c>
      <c r="L4613" s="508">
        <v>0.04</v>
      </c>
      <c r="M4613" s="508">
        <v>0.04</v>
      </c>
      <c r="N4613" s="508">
        <v>0.04</v>
      </c>
      <c r="O4613" s="508">
        <v>0.04</v>
      </c>
      <c r="P4613" s="508">
        <v>0.04</v>
      </c>
      <c r="Q4613" s="508">
        <v>0.04</v>
      </c>
      <c r="R4613" s="508">
        <v>0.04</v>
      </c>
      <c r="S4613" s="508">
        <v>0.04</v>
      </c>
      <c r="T4613" s="508">
        <v>0.04</v>
      </c>
      <c r="U4613" s="508">
        <v>0.04</v>
      </c>
      <c r="V4613" s="508">
        <v>0.04</v>
      </c>
      <c r="W4613" s="508">
        <v>0.04</v>
      </c>
      <c r="X4613" s="508">
        <v>0.04</v>
      </c>
      <c r="Y4613" s="508">
        <v>0.04</v>
      </c>
      <c r="Z4613" s="508">
        <v>0.04</v>
      </c>
      <c r="AA4613" s="508">
        <v>0.04</v>
      </c>
      <c r="AB4613" s="508">
        <v>0.04</v>
      </c>
      <c r="AC4613" s="508">
        <v>0.04</v>
      </c>
      <c r="AD4613" s="508">
        <v>0.04</v>
      </c>
      <c r="AE4613" s="508">
        <v>0.04</v>
      </c>
      <c r="AF4613" s="508">
        <v>0.04</v>
      </c>
      <c r="AG4613" s="508">
        <v>0.04</v>
      </c>
      <c r="AH4613" s="508">
        <v>0.04</v>
      </c>
      <c r="AI4613" s="492">
        <v>0.04</v>
      </c>
      <c r="AJ4613" s="485"/>
    </row>
    <row r="4614" spans="2:36">
      <c r="B4614" s="136" t="s">
        <v>490</v>
      </c>
      <c r="C4614" s="132" t="s">
        <v>1364</v>
      </c>
      <c r="D4614" s="132" t="s">
        <v>1379</v>
      </c>
      <c r="E4614" s="508">
        <v>3.5999999999999997E-2</v>
      </c>
      <c r="F4614" s="508">
        <v>3.5999999999999997E-2</v>
      </c>
      <c r="G4614" s="508">
        <v>3.5000000000000003E-2</v>
      </c>
      <c r="H4614" s="508">
        <v>3.5000000000000003E-2</v>
      </c>
      <c r="I4614" s="508">
        <v>3.5000000000000003E-2</v>
      </c>
      <c r="J4614" s="508">
        <v>3.5999999999999997E-2</v>
      </c>
      <c r="K4614" s="508">
        <v>3.5999999999999997E-2</v>
      </c>
      <c r="L4614" s="508">
        <v>3.5000000000000003E-2</v>
      </c>
      <c r="M4614" s="508">
        <v>3.5999999999999997E-2</v>
      </c>
      <c r="N4614" s="508">
        <v>3.5999999999999997E-2</v>
      </c>
      <c r="O4614" s="508">
        <v>3.5999999999999997E-2</v>
      </c>
      <c r="P4614" s="508">
        <v>3.5999999999999997E-2</v>
      </c>
      <c r="Q4614" s="508">
        <v>3.5999999999999997E-2</v>
      </c>
      <c r="R4614" s="508">
        <v>3.5000000000000003E-2</v>
      </c>
      <c r="S4614" s="508">
        <v>3.5999999999999997E-2</v>
      </c>
      <c r="T4614" s="508">
        <v>3.5999999999999997E-2</v>
      </c>
      <c r="U4614" s="508">
        <v>3.5999999999999997E-2</v>
      </c>
      <c r="V4614" s="508">
        <v>3.5999999999999997E-2</v>
      </c>
      <c r="W4614" s="508">
        <v>3.5999999999999997E-2</v>
      </c>
      <c r="X4614" s="508">
        <v>3.5999999999999997E-2</v>
      </c>
      <c r="Y4614" s="508">
        <v>3.5999999999999997E-2</v>
      </c>
      <c r="Z4614" s="508">
        <v>3.5999999999999997E-2</v>
      </c>
      <c r="AA4614" s="508">
        <v>3.5999999999999997E-2</v>
      </c>
      <c r="AB4614" s="508">
        <v>3.5999999999999997E-2</v>
      </c>
      <c r="AC4614" s="508">
        <v>3.5000000000000003E-2</v>
      </c>
      <c r="AD4614" s="508">
        <v>3.5000000000000003E-2</v>
      </c>
      <c r="AE4614" s="508">
        <v>3.5999999999999997E-2</v>
      </c>
      <c r="AF4614" s="508">
        <v>3.5999999999999997E-2</v>
      </c>
      <c r="AG4614" s="508">
        <v>3.5999999999999997E-2</v>
      </c>
      <c r="AH4614" s="508">
        <v>3.5999999999999997E-2</v>
      </c>
      <c r="AI4614" s="492">
        <v>3.5999999999999997E-2</v>
      </c>
      <c r="AJ4614" s="485"/>
    </row>
    <row r="4615" spans="2:36">
      <c r="B4615" s="136" t="s">
        <v>435</v>
      </c>
      <c r="C4615" s="132" t="s">
        <v>1365</v>
      </c>
      <c r="D4615" s="132" t="s">
        <v>1379</v>
      </c>
      <c r="E4615" s="508">
        <v>4.3999999999999997E-2</v>
      </c>
      <c r="F4615" s="508">
        <v>4.3999999999999997E-2</v>
      </c>
      <c r="G4615" s="508">
        <v>4.3999999999999997E-2</v>
      </c>
      <c r="H4615" s="508">
        <v>4.3999999999999997E-2</v>
      </c>
      <c r="I4615" s="508">
        <v>4.3999999999999997E-2</v>
      </c>
      <c r="J4615" s="508">
        <v>4.3999999999999997E-2</v>
      </c>
      <c r="K4615" s="508">
        <v>4.3999999999999997E-2</v>
      </c>
      <c r="L4615" s="508">
        <v>4.3999999999999997E-2</v>
      </c>
      <c r="M4615" s="508">
        <v>4.3999999999999997E-2</v>
      </c>
      <c r="N4615" s="508">
        <v>4.3999999999999997E-2</v>
      </c>
      <c r="O4615" s="508">
        <v>4.3999999999999997E-2</v>
      </c>
      <c r="P4615" s="508">
        <v>4.3999999999999997E-2</v>
      </c>
      <c r="Q4615" s="508">
        <v>4.3999999999999997E-2</v>
      </c>
      <c r="R4615" s="508">
        <v>4.3999999999999997E-2</v>
      </c>
      <c r="S4615" s="508">
        <v>4.3999999999999997E-2</v>
      </c>
      <c r="T4615" s="508">
        <v>4.3999999999999997E-2</v>
      </c>
      <c r="U4615" s="508">
        <v>4.3999999999999997E-2</v>
      </c>
      <c r="V4615" s="508">
        <v>4.3999999999999997E-2</v>
      </c>
      <c r="W4615" s="508">
        <v>4.3999999999999997E-2</v>
      </c>
      <c r="X4615" s="508">
        <v>4.3999999999999997E-2</v>
      </c>
      <c r="Y4615" s="508">
        <v>4.3999999999999997E-2</v>
      </c>
      <c r="Z4615" s="508">
        <v>4.3999999999999997E-2</v>
      </c>
      <c r="AA4615" s="508">
        <v>4.3999999999999997E-2</v>
      </c>
      <c r="AB4615" s="508">
        <v>4.3999999999999997E-2</v>
      </c>
      <c r="AC4615" s="508">
        <v>4.3999999999999997E-2</v>
      </c>
      <c r="AD4615" s="508">
        <v>4.3999999999999997E-2</v>
      </c>
      <c r="AE4615" s="508">
        <v>4.3999999999999997E-2</v>
      </c>
      <c r="AF4615" s="508">
        <v>4.3999999999999997E-2</v>
      </c>
      <c r="AG4615" s="508">
        <v>4.3999999999999997E-2</v>
      </c>
      <c r="AH4615" s="508">
        <v>4.3999999999999997E-2</v>
      </c>
      <c r="AI4615" s="492">
        <v>4.3999999999999997E-2</v>
      </c>
      <c r="AJ4615" s="485"/>
    </row>
    <row r="4616" spans="2:36">
      <c r="B4616" s="136" t="s">
        <v>436</v>
      </c>
      <c r="C4616" s="132" t="s">
        <v>1365</v>
      </c>
      <c r="D4616" s="132" t="s">
        <v>1379</v>
      </c>
      <c r="E4616" s="508">
        <v>4.1000000000000002E-2</v>
      </c>
      <c r="F4616" s="508">
        <v>4.1000000000000002E-2</v>
      </c>
      <c r="G4616" s="508">
        <v>4.1000000000000002E-2</v>
      </c>
      <c r="H4616" s="508">
        <v>4.1000000000000002E-2</v>
      </c>
      <c r="I4616" s="508">
        <v>4.1000000000000002E-2</v>
      </c>
      <c r="J4616" s="508">
        <v>4.1000000000000002E-2</v>
      </c>
      <c r="K4616" s="508">
        <v>4.1000000000000002E-2</v>
      </c>
      <c r="L4616" s="508">
        <v>4.1000000000000002E-2</v>
      </c>
      <c r="M4616" s="508">
        <v>4.1000000000000002E-2</v>
      </c>
      <c r="N4616" s="508">
        <v>4.1000000000000002E-2</v>
      </c>
      <c r="O4616" s="508">
        <v>4.1000000000000002E-2</v>
      </c>
      <c r="P4616" s="508">
        <v>4.1000000000000002E-2</v>
      </c>
      <c r="Q4616" s="508">
        <v>4.1000000000000002E-2</v>
      </c>
      <c r="R4616" s="508">
        <v>4.1000000000000002E-2</v>
      </c>
      <c r="S4616" s="508">
        <v>4.1000000000000002E-2</v>
      </c>
      <c r="T4616" s="508">
        <v>4.1000000000000002E-2</v>
      </c>
      <c r="U4616" s="508">
        <v>4.1000000000000002E-2</v>
      </c>
      <c r="V4616" s="508">
        <v>4.1000000000000002E-2</v>
      </c>
      <c r="W4616" s="508">
        <v>4.1000000000000002E-2</v>
      </c>
      <c r="X4616" s="508">
        <v>4.1000000000000002E-2</v>
      </c>
      <c r="Y4616" s="508">
        <v>4.1000000000000002E-2</v>
      </c>
      <c r="Z4616" s="508">
        <v>4.1000000000000002E-2</v>
      </c>
      <c r="AA4616" s="508">
        <v>4.1000000000000002E-2</v>
      </c>
      <c r="AB4616" s="508">
        <v>4.1000000000000002E-2</v>
      </c>
      <c r="AC4616" s="508">
        <v>4.1000000000000002E-2</v>
      </c>
      <c r="AD4616" s="508">
        <v>4.1000000000000002E-2</v>
      </c>
      <c r="AE4616" s="508">
        <v>4.1000000000000002E-2</v>
      </c>
      <c r="AF4616" s="508">
        <v>4.1000000000000002E-2</v>
      </c>
      <c r="AG4616" s="508">
        <v>4.1000000000000002E-2</v>
      </c>
      <c r="AH4616" s="508">
        <v>4.1000000000000002E-2</v>
      </c>
      <c r="AI4616" s="492">
        <v>4.1000000000000002E-2</v>
      </c>
      <c r="AJ4616" s="485"/>
    </row>
    <row r="4617" spans="2:36">
      <c r="B4617" s="136" t="s">
        <v>437</v>
      </c>
      <c r="C4617" s="132" t="s">
        <v>1365</v>
      </c>
      <c r="D4617" s="132" t="s">
        <v>1379</v>
      </c>
      <c r="E4617" s="508">
        <v>4.5999999999999999E-2</v>
      </c>
      <c r="F4617" s="508">
        <v>4.5999999999999999E-2</v>
      </c>
      <c r="G4617" s="508">
        <v>4.5999999999999999E-2</v>
      </c>
      <c r="H4617" s="508">
        <v>4.5999999999999999E-2</v>
      </c>
      <c r="I4617" s="508">
        <v>4.5999999999999999E-2</v>
      </c>
      <c r="J4617" s="508">
        <v>4.5999999999999999E-2</v>
      </c>
      <c r="K4617" s="508">
        <v>4.5999999999999999E-2</v>
      </c>
      <c r="L4617" s="508">
        <v>4.5999999999999999E-2</v>
      </c>
      <c r="M4617" s="508">
        <v>4.5999999999999999E-2</v>
      </c>
      <c r="N4617" s="508">
        <v>4.5999999999999999E-2</v>
      </c>
      <c r="O4617" s="508">
        <v>4.5999999999999999E-2</v>
      </c>
      <c r="P4617" s="508">
        <v>4.5999999999999999E-2</v>
      </c>
      <c r="Q4617" s="508">
        <v>4.5999999999999999E-2</v>
      </c>
      <c r="R4617" s="508">
        <v>4.5999999999999999E-2</v>
      </c>
      <c r="S4617" s="508">
        <v>4.5999999999999999E-2</v>
      </c>
      <c r="T4617" s="508">
        <v>4.5999999999999999E-2</v>
      </c>
      <c r="U4617" s="508">
        <v>4.5999999999999999E-2</v>
      </c>
      <c r="V4617" s="508">
        <v>4.5999999999999999E-2</v>
      </c>
      <c r="W4617" s="508">
        <v>4.5999999999999999E-2</v>
      </c>
      <c r="X4617" s="508">
        <v>4.5999999999999999E-2</v>
      </c>
      <c r="Y4617" s="508">
        <v>4.5999999999999999E-2</v>
      </c>
      <c r="Z4617" s="508">
        <v>4.5999999999999999E-2</v>
      </c>
      <c r="AA4617" s="508">
        <v>4.5999999999999999E-2</v>
      </c>
      <c r="AB4617" s="508">
        <v>4.5999999999999999E-2</v>
      </c>
      <c r="AC4617" s="508">
        <v>4.5999999999999999E-2</v>
      </c>
      <c r="AD4617" s="508">
        <v>4.5999999999999999E-2</v>
      </c>
      <c r="AE4617" s="508">
        <v>4.5999999999999999E-2</v>
      </c>
      <c r="AF4617" s="508">
        <v>4.5999999999999999E-2</v>
      </c>
      <c r="AG4617" s="508">
        <v>4.5999999999999999E-2</v>
      </c>
      <c r="AH4617" s="508">
        <v>4.5999999999999999E-2</v>
      </c>
      <c r="AI4617" s="492">
        <v>4.5999999999999999E-2</v>
      </c>
      <c r="AJ4617" s="485"/>
    </row>
    <row r="4618" spans="2:36">
      <c r="B4618" s="136" t="s">
        <v>438</v>
      </c>
      <c r="C4618" s="132" t="s">
        <v>1365</v>
      </c>
      <c r="D4618" s="132" t="s">
        <v>1379</v>
      </c>
      <c r="E4618" s="508">
        <v>3.7999999999999999E-2</v>
      </c>
      <c r="F4618" s="508">
        <v>3.7999999999999999E-2</v>
      </c>
      <c r="G4618" s="508">
        <v>3.7999999999999999E-2</v>
      </c>
      <c r="H4618" s="508">
        <v>3.7999999999999999E-2</v>
      </c>
      <c r="I4618" s="508">
        <v>3.7999999999999999E-2</v>
      </c>
      <c r="J4618" s="508">
        <v>3.7999999999999999E-2</v>
      </c>
      <c r="K4618" s="508">
        <v>3.7999999999999999E-2</v>
      </c>
      <c r="L4618" s="508">
        <v>3.7999999999999999E-2</v>
      </c>
      <c r="M4618" s="508">
        <v>3.7999999999999999E-2</v>
      </c>
      <c r="N4618" s="508">
        <v>3.7999999999999999E-2</v>
      </c>
      <c r="O4618" s="508">
        <v>3.7999999999999999E-2</v>
      </c>
      <c r="P4618" s="508">
        <v>3.7999999999999999E-2</v>
      </c>
      <c r="Q4618" s="508">
        <v>3.7999999999999999E-2</v>
      </c>
      <c r="R4618" s="508">
        <v>3.7999999999999999E-2</v>
      </c>
      <c r="S4618" s="508">
        <v>3.7999999999999999E-2</v>
      </c>
      <c r="T4618" s="508">
        <v>3.7999999999999999E-2</v>
      </c>
      <c r="U4618" s="508">
        <v>3.7999999999999999E-2</v>
      </c>
      <c r="V4618" s="508">
        <v>3.7999999999999999E-2</v>
      </c>
      <c r="W4618" s="508">
        <v>3.7999999999999999E-2</v>
      </c>
      <c r="X4618" s="508">
        <v>3.7999999999999999E-2</v>
      </c>
      <c r="Y4618" s="508">
        <v>3.7999999999999999E-2</v>
      </c>
      <c r="Z4618" s="508">
        <v>3.7999999999999999E-2</v>
      </c>
      <c r="AA4618" s="508">
        <v>3.7999999999999999E-2</v>
      </c>
      <c r="AB4618" s="508">
        <v>3.7999999999999999E-2</v>
      </c>
      <c r="AC4618" s="508">
        <v>3.7999999999999999E-2</v>
      </c>
      <c r="AD4618" s="508">
        <v>3.7999999999999999E-2</v>
      </c>
      <c r="AE4618" s="508">
        <v>3.7999999999999999E-2</v>
      </c>
      <c r="AF4618" s="508">
        <v>3.7999999999999999E-2</v>
      </c>
      <c r="AG4618" s="508">
        <v>3.7999999999999999E-2</v>
      </c>
      <c r="AH4618" s="508">
        <v>3.7999999999999999E-2</v>
      </c>
      <c r="AI4618" s="492">
        <v>3.7999999999999999E-2</v>
      </c>
      <c r="AJ4618" s="485"/>
    </row>
    <row r="4619" spans="2:36">
      <c r="B4619" s="136" t="s">
        <v>439</v>
      </c>
      <c r="C4619" s="132" t="s">
        <v>1365</v>
      </c>
      <c r="D4619" s="132" t="s">
        <v>1379</v>
      </c>
      <c r="E4619" s="508">
        <v>4.3999999999999997E-2</v>
      </c>
      <c r="F4619" s="508">
        <v>4.3999999999999997E-2</v>
      </c>
      <c r="G4619" s="508">
        <v>4.3999999999999997E-2</v>
      </c>
      <c r="H4619" s="508">
        <v>4.3999999999999997E-2</v>
      </c>
      <c r="I4619" s="508">
        <v>4.3999999999999997E-2</v>
      </c>
      <c r="J4619" s="508">
        <v>4.3999999999999997E-2</v>
      </c>
      <c r="K4619" s="508">
        <v>4.3999999999999997E-2</v>
      </c>
      <c r="L4619" s="508">
        <v>4.3999999999999997E-2</v>
      </c>
      <c r="M4619" s="508">
        <v>4.3999999999999997E-2</v>
      </c>
      <c r="N4619" s="508">
        <v>4.3999999999999997E-2</v>
      </c>
      <c r="O4619" s="508">
        <v>4.3999999999999997E-2</v>
      </c>
      <c r="P4619" s="508">
        <v>4.3999999999999997E-2</v>
      </c>
      <c r="Q4619" s="508">
        <v>4.3999999999999997E-2</v>
      </c>
      <c r="R4619" s="508">
        <v>4.3999999999999997E-2</v>
      </c>
      <c r="S4619" s="508">
        <v>4.3999999999999997E-2</v>
      </c>
      <c r="T4619" s="508">
        <v>4.3999999999999997E-2</v>
      </c>
      <c r="U4619" s="508">
        <v>4.3999999999999997E-2</v>
      </c>
      <c r="V4619" s="508">
        <v>4.3999999999999997E-2</v>
      </c>
      <c r="W4619" s="508">
        <v>4.3999999999999997E-2</v>
      </c>
      <c r="X4619" s="508">
        <v>4.3999999999999997E-2</v>
      </c>
      <c r="Y4619" s="508">
        <v>4.3999999999999997E-2</v>
      </c>
      <c r="Z4619" s="508">
        <v>4.3999999999999997E-2</v>
      </c>
      <c r="AA4619" s="508">
        <v>4.3999999999999997E-2</v>
      </c>
      <c r="AB4619" s="508">
        <v>4.3999999999999997E-2</v>
      </c>
      <c r="AC4619" s="508">
        <v>4.3999999999999997E-2</v>
      </c>
      <c r="AD4619" s="508">
        <v>4.3999999999999997E-2</v>
      </c>
      <c r="AE4619" s="508">
        <v>4.3999999999999997E-2</v>
      </c>
      <c r="AF4619" s="508">
        <v>4.3999999999999997E-2</v>
      </c>
      <c r="AG4619" s="508">
        <v>4.3999999999999997E-2</v>
      </c>
      <c r="AH4619" s="508">
        <v>4.3999999999999997E-2</v>
      </c>
      <c r="AI4619" s="492">
        <v>4.3999999999999997E-2</v>
      </c>
      <c r="AJ4619" s="485"/>
    </row>
    <row r="4620" spans="2:36">
      <c r="B4620" s="136" t="s">
        <v>440</v>
      </c>
      <c r="C4620" s="132" t="s">
        <v>1365</v>
      </c>
      <c r="D4620" s="132" t="s">
        <v>1379</v>
      </c>
      <c r="E4620" s="508">
        <v>4.2999999999999997E-2</v>
      </c>
      <c r="F4620" s="508">
        <v>4.2999999999999997E-2</v>
      </c>
      <c r="G4620" s="508">
        <v>4.2999999999999997E-2</v>
      </c>
      <c r="H4620" s="508">
        <v>4.2999999999999997E-2</v>
      </c>
      <c r="I4620" s="508">
        <v>4.2999999999999997E-2</v>
      </c>
      <c r="J4620" s="508">
        <v>4.2999999999999997E-2</v>
      </c>
      <c r="K4620" s="508">
        <v>4.2999999999999997E-2</v>
      </c>
      <c r="L4620" s="508">
        <v>4.2999999999999997E-2</v>
      </c>
      <c r="M4620" s="508">
        <v>4.2999999999999997E-2</v>
      </c>
      <c r="N4620" s="508">
        <v>4.2999999999999997E-2</v>
      </c>
      <c r="O4620" s="508">
        <v>4.2999999999999997E-2</v>
      </c>
      <c r="P4620" s="508">
        <v>4.2999999999999997E-2</v>
      </c>
      <c r="Q4620" s="508">
        <v>4.2999999999999997E-2</v>
      </c>
      <c r="R4620" s="508">
        <v>4.2999999999999997E-2</v>
      </c>
      <c r="S4620" s="508">
        <v>4.2999999999999997E-2</v>
      </c>
      <c r="T4620" s="508">
        <v>4.2999999999999997E-2</v>
      </c>
      <c r="U4620" s="508">
        <v>4.2999999999999997E-2</v>
      </c>
      <c r="V4620" s="508">
        <v>4.2999999999999997E-2</v>
      </c>
      <c r="W4620" s="508">
        <v>4.2999999999999997E-2</v>
      </c>
      <c r="X4620" s="508">
        <v>4.2999999999999997E-2</v>
      </c>
      <c r="Y4620" s="508">
        <v>4.2999999999999997E-2</v>
      </c>
      <c r="Z4620" s="508">
        <v>4.2999999999999997E-2</v>
      </c>
      <c r="AA4620" s="508">
        <v>4.2999999999999997E-2</v>
      </c>
      <c r="AB4620" s="508">
        <v>4.2999999999999997E-2</v>
      </c>
      <c r="AC4620" s="508">
        <v>4.2999999999999997E-2</v>
      </c>
      <c r="AD4620" s="508">
        <v>4.2999999999999997E-2</v>
      </c>
      <c r="AE4620" s="508">
        <v>4.2999999999999997E-2</v>
      </c>
      <c r="AF4620" s="508">
        <v>4.2999999999999997E-2</v>
      </c>
      <c r="AG4620" s="508">
        <v>4.2999999999999997E-2</v>
      </c>
      <c r="AH4620" s="508">
        <v>4.2999999999999997E-2</v>
      </c>
      <c r="AI4620" s="492">
        <v>4.2999999999999997E-2</v>
      </c>
      <c r="AJ4620" s="485"/>
    </row>
    <row r="4621" spans="2:36">
      <c r="B4621" s="136" t="s">
        <v>441</v>
      </c>
      <c r="C4621" s="132" t="s">
        <v>1365</v>
      </c>
      <c r="D4621" s="132" t="s">
        <v>1379</v>
      </c>
      <c r="E4621" s="508">
        <v>4.3999999999999997E-2</v>
      </c>
      <c r="F4621" s="508">
        <v>4.3999999999999997E-2</v>
      </c>
      <c r="G4621" s="508">
        <v>4.3999999999999997E-2</v>
      </c>
      <c r="H4621" s="508">
        <v>4.3999999999999997E-2</v>
      </c>
      <c r="I4621" s="508">
        <v>4.3999999999999997E-2</v>
      </c>
      <c r="J4621" s="508">
        <v>4.3999999999999997E-2</v>
      </c>
      <c r="K4621" s="508">
        <v>4.3999999999999997E-2</v>
      </c>
      <c r="L4621" s="508">
        <v>4.3999999999999997E-2</v>
      </c>
      <c r="M4621" s="508">
        <v>4.3999999999999997E-2</v>
      </c>
      <c r="N4621" s="508">
        <v>4.3999999999999997E-2</v>
      </c>
      <c r="O4621" s="508">
        <v>4.3999999999999997E-2</v>
      </c>
      <c r="P4621" s="508">
        <v>4.3999999999999997E-2</v>
      </c>
      <c r="Q4621" s="508">
        <v>4.3999999999999997E-2</v>
      </c>
      <c r="R4621" s="508">
        <v>4.3999999999999997E-2</v>
      </c>
      <c r="S4621" s="508">
        <v>4.3999999999999997E-2</v>
      </c>
      <c r="T4621" s="508">
        <v>4.3999999999999997E-2</v>
      </c>
      <c r="U4621" s="508">
        <v>4.3999999999999997E-2</v>
      </c>
      <c r="V4621" s="508">
        <v>4.3999999999999997E-2</v>
      </c>
      <c r="W4621" s="508">
        <v>4.3999999999999997E-2</v>
      </c>
      <c r="X4621" s="508">
        <v>4.3999999999999997E-2</v>
      </c>
      <c r="Y4621" s="508">
        <v>4.3999999999999997E-2</v>
      </c>
      <c r="Z4621" s="508">
        <v>4.3999999999999997E-2</v>
      </c>
      <c r="AA4621" s="508">
        <v>4.3999999999999997E-2</v>
      </c>
      <c r="AB4621" s="508">
        <v>4.3999999999999997E-2</v>
      </c>
      <c r="AC4621" s="508">
        <v>4.3999999999999997E-2</v>
      </c>
      <c r="AD4621" s="508">
        <v>4.3999999999999997E-2</v>
      </c>
      <c r="AE4621" s="508">
        <v>4.3999999999999997E-2</v>
      </c>
      <c r="AF4621" s="508">
        <v>4.3999999999999997E-2</v>
      </c>
      <c r="AG4621" s="508">
        <v>4.3999999999999997E-2</v>
      </c>
      <c r="AH4621" s="508">
        <v>4.3999999999999997E-2</v>
      </c>
      <c r="AI4621" s="492">
        <v>4.3999999999999997E-2</v>
      </c>
      <c r="AJ4621" s="485"/>
    </row>
    <row r="4622" spans="2:36">
      <c r="B4622" s="136" t="s">
        <v>443</v>
      </c>
      <c r="C4622" s="132" t="s">
        <v>1365</v>
      </c>
      <c r="D4622" s="132" t="s">
        <v>1379</v>
      </c>
      <c r="E4622" s="508">
        <v>4.8000000000000001E-2</v>
      </c>
      <c r="F4622" s="508">
        <v>4.8000000000000001E-2</v>
      </c>
      <c r="G4622" s="508">
        <v>4.7E-2</v>
      </c>
      <c r="H4622" s="508">
        <v>4.7E-2</v>
      </c>
      <c r="I4622" s="508">
        <v>4.7E-2</v>
      </c>
      <c r="J4622" s="508">
        <v>4.7E-2</v>
      </c>
      <c r="K4622" s="508">
        <v>4.7E-2</v>
      </c>
      <c r="L4622" s="508">
        <v>4.7E-2</v>
      </c>
      <c r="M4622" s="508">
        <v>4.7E-2</v>
      </c>
      <c r="N4622" s="508">
        <v>4.7E-2</v>
      </c>
      <c r="O4622" s="508">
        <v>4.7E-2</v>
      </c>
      <c r="P4622" s="508">
        <v>4.8000000000000001E-2</v>
      </c>
      <c r="Q4622" s="508">
        <v>4.8000000000000001E-2</v>
      </c>
      <c r="R4622" s="508">
        <v>4.7E-2</v>
      </c>
      <c r="S4622" s="508">
        <v>4.7E-2</v>
      </c>
      <c r="T4622" s="508">
        <v>4.7E-2</v>
      </c>
      <c r="U4622" s="508">
        <v>4.8000000000000001E-2</v>
      </c>
      <c r="V4622" s="508">
        <v>4.7E-2</v>
      </c>
      <c r="W4622" s="508">
        <v>4.7E-2</v>
      </c>
      <c r="X4622" s="508">
        <v>4.7E-2</v>
      </c>
      <c r="Y4622" s="508">
        <v>4.7E-2</v>
      </c>
      <c r="Z4622" s="508">
        <v>4.7E-2</v>
      </c>
      <c r="AA4622" s="508">
        <v>4.7E-2</v>
      </c>
      <c r="AB4622" s="508">
        <v>4.7E-2</v>
      </c>
      <c r="AC4622" s="508">
        <v>4.7E-2</v>
      </c>
      <c r="AD4622" s="508">
        <v>4.7E-2</v>
      </c>
      <c r="AE4622" s="508">
        <v>4.7E-2</v>
      </c>
      <c r="AF4622" s="508">
        <v>4.7E-2</v>
      </c>
      <c r="AG4622" s="508">
        <v>4.7E-2</v>
      </c>
      <c r="AH4622" s="508">
        <v>4.7E-2</v>
      </c>
      <c r="AI4622" s="492">
        <v>4.7E-2</v>
      </c>
      <c r="AJ4622" s="485"/>
    </row>
    <row r="4623" spans="2:36">
      <c r="B4623" s="136" t="s">
        <v>445</v>
      </c>
      <c r="C4623" s="132" t="s">
        <v>1365</v>
      </c>
      <c r="D4623" s="132" t="s">
        <v>1379</v>
      </c>
      <c r="E4623" s="508">
        <v>5.8000000000000003E-2</v>
      </c>
      <c r="F4623" s="508">
        <v>5.8000000000000003E-2</v>
      </c>
      <c r="G4623" s="508">
        <v>5.8000000000000003E-2</v>
      </c>
      <c r="H4623" s="508">
        <v>5.8000000000000003E-2</v>
      </c>
      <c r="I4623" s="508">
        <v>5.8000000000000003E-2</v>
      </c>
      <c r="J4623" s="508">
        <v>5.8000000000000003E-2</v>
      </c>
      <c r="K4623" s="508">
        <v>5.8000000000000003E-2</v>
      </c>
      <c r="L4623" s="508">
        <v>5.8000000000000003E-2</v>
      </c>
      <c r="M4623" s="508">
        <v>5.8000000000000003E-2</v>
      </c>
      <c r="N4623" s="508">
        <v>5.8000000000000003E-2</v>
      </c>
      <c r="O4623" s="508">
        <v>5.8000000000000003E-2</v>
      </c>
      <c r="P4623" s="508">
        <v>5.8000000000000003E-2</v>
      </c>
      <c r="Q4623" s="508">
        <v>5.8000000000000003E-2</v>
      </c>
      <c r="R4623" s="508">
        <v>5.8000000000000003E-2</v>
      </c>
      <c r="S4623" s="508">
        <v>5.8000000000000003E-2</v>
      </c>
      <c r="T4623" s="508">
        <v>5.8000000000000003E-2</v>
      </c>
      <c r="U4623" s="508">
        <v>5.8000000000000003E-2</v>
      </c>
      <c r="V4623" s="508">
        <v>5.8000000000000003E-2</v>
      </c>
      <c r="W4623" s="508">
        <v>5.8000000000000003E-2</v>
      </c>
      <c r="X4623" s="508">
        <v>5.8000000000000003E-2</v>
      </c>
      <c r="Y4623" s="508">
        <v>5.8000000000000003E-2</v>
      </c>
      <c r="Z4623" s="508">
        <v>5.8000000000000003E-2</v>
      </c>
      <c r="AA4623" s="508">
        <v>5.8000000000000003E-2</v>
      </c>
      <c r="AB4623" s="508">
        <v>5.8000000000000003E-2</v>
      </c>
      <c r="AC4623" s="508">
        <v>5.8000000000000003E-2</v>
      </c>
      <c r="AD4623" s="508">
        <v>5.8000000000000003E-2</v>
      </c>
      <c r="AE4623" s="508">
        <v>5.8000000000000003E-2</v>
      </c>
      <c r="AF4623" s="508">
        <v>5.8000000000000003E-2</v>
      </c>
      <c r="AG4623" s="508">
        <v>5.8000000000000003E-2</v>
      </c>
      <c r="AH4623" s="508">
        <v>5.8000000000000003E-2</v>
      </c>
      <c r="AI4623" s="492">
        <v>5.8000000000000003E-2</v>
      </c>
      <c r="AJ4623" s="485"/>
    </row>
    <row r="4624" spans="2:36">
      <c r="B4624" s="136" t="s">
        <v>446</v>
      </c>
      <c r="C4624" s="132" t="s">
        <v>1365</v>
      </c>
      <c r="D4624" s="132" t="s">
        <v>1379</v>
      </c>
      <c r="E4624" s="508">
        <v>5.2999999999999999E-2</v>
      </c>
      <c r="F4624" s="508">
        <v>5.2999999999999999E-2</v>
      </c>
      <c r="G4624" s="508">
        <v>5.2999999999999999E-2</v>
      </c>
      <c r="H4624" s="508">
        <v>5.2999999999999999E-2</v>
      </c>
      <c r="I4624" s="508">
        <v>5.2999999999999999E-2</v>
      </c>
      <c r="J4624" s="508">
        <v>5.2999999999999999E-2</v>
      </c>
      <c r="K4624" s="508">
        <v>5.2999999999999999E-2</v>
      </c>
      <c r="L4624" s="508">
        <v>5.2999999999999999E-2</v>
      </c>
      <c r="M4624" s="508">
        <v>5.2999999999999999E-2</v>
      </c>
      <c r="N4624" s="508">
        <v>5.2999999999999999E-2</v>
      </c>
      <c r="O4624" s="508">
        <v>5.2999999999999999E-2</v>
      </c>
      <c r="P4624" s="508">
        <v>5.2999999999999999E-2</v>
      </c>
      <c r="Q4624" s="508">
        <v>5.2999999999999999E-2</v>
      </c>
      <c r="R4624" s="508">
        <v>5.2999999999999999E-2</v>
      </c>
      <c r="S4624" s="508">
        <v>5.2999999999999999E-2</v>
      </c>
      <c r="T4624" s="508">
        <v>5.2999999999999999E-2</v>
      </c>
      <c r="U4624" s="508">
        <v>5.2999999999999999E-2</v>
      </c>
      <c r="V4624" s="508">
        <v>5.2999999999999999E-2</v>
      </c>
      <c r="W4624" s="508">
        <v>5.2999999999999999E-2</v>
      </c>
      <c r="X4624" s="508">
        <v>5.2999999999999999E-2</v>
      </c>
      <c r="Y4624" s="508">
        <v>5.2999999999999999E-2</v>
      </c>
      <c r="Z4624" s="508">
        <v>5.2999999999999999E-2</v>
      </c>
      <c r="AA4624" s="508">
        <v>5.2999999999999999E-2</v>
      </c>
      <c r="AB4624" s="508">
        <v>5.2999999999999999E-2</v>
      </c>
      <c r="AC4624" s="508">
        <v>5.2999999999999999E-2</v>
      </c>
      <c r="AD4624" s="508">
        <v>5.2999999999999999E-2</v>
      </c>
      <c r="AE4624" s="508">
        <v>5.2999999999999999E-2</v>
      </c>
      <c r="AF4624" s="508">
        <v>5.2999999999999999E-2</v>
      </c>
      <c r="AG4624" s="508">
        <v>5.2999999999999999E-2</v>
      </c>
      <c r="AH4624" s="508">
        <v>5.2999999999999999E-2</v>
      </c>
      <c r="AI4624" s="492">
        <v>5.2999999999999999E-2</v>
      </c>
      <c r="AJ4624" s="485"/>
    </row>
    <row r="4625" spans="2:36">
      <c r="B4625" s="136" t="s">
        <v>448</v>
      </c>
      <c r="C4625" s="132" t="s">
        <v>1365</v>
      </c>
      <c r="D4625" s="132" t="s">
        <v>1379</v>
      </c>
      <c r="E4625" s="508">
        <v>0.114</v>
      </c>
      <c r="F4625" s="508">
        <v>0.11899999999999999</v>
      </c>
      <c r="G4625" s="508">
        <v>0.123</v>
      </c>
      <c r="H4625" s="508">
        <v>0.11600000000000001</v>
      </c>
      <c r="I4625" s="508">
        <v>0.122</v>
      </c>
      <c r="J4625" s="508">
        <v>0.121</v>
      </c>
      <c r="K4625" s="508">
        <v>0.12</v>
      </c>
      <c r="L4625" s="508">
        <v>0.12</v>
      </c>
      <c r="M4625" s="508">
        <v>0.122</v>
      </c>
      <c r="N4625" s="508">
        <v>0.11899999999999999</v>
      </c>
      <c r="O4625" s="508">
        <v>0.11799999999999999</v>
      </c>
      <c r="P4625" s="508">
        <v>0.12</v>
      </c>
      <c r="Q4625" s="508">
        <v>0.121</v>
      </c>
      <c r="R4625" s="508">
        <v>0.11799999999999999</v>
      </c>
      <c r="S4625" s="508">
        <v>0.12</v>
      </c>
      <c r="T4625" s="508">
        <v>0.121</v>
      </c>
      <c r="U4625" s="508">
        <v>0.12</v>
      </c>
      <c r="V4625" s="508">
        <v>0.12</v>
      </c>
      <c r="W4625" s="508">
        <v>0.11799999999999999</v>
      </c>
      <c r="X4625" s="508">
        <v>0.12</v>
      </c>
      <c r="Y4625" s="508">
        <v>0.12</v>
      </c>
      <c r="Z4625" s="508">
        <v>0.11799999999999999</v>
      </c>
      <c r="AA4625" s="508">
        <v>0.11899999999999999</v>
      </c>
      <c r="AB4625" s="508">
        <v>0.11899999999999999</v>
      </c>
      <c r="AC4625" s="508">
        <v>0.11899999999999999</v>
      </c>
      <c r="AD4625" s="508">
        <v>0.12</v>
      </c>
      <c r="AE4625" s="508">
        <v>0.12</v>
      </c>
      <c r="AF4625" s="508">
        <v>0.12</v>
      </c>
      <c r="AG4625" s="508">
        <v>0.12</v>
      </c>
      <c r="AH4625" s="508">
        <v>0.12</v>
      </c>
      <c r="AI4625" s="492">
        <v>0.12</v>
      </c>
      <c r="AJ4625" s="485"/>
    </row>
    <row r="4626" spans="2:36">
      <c r="B4626" s="136" t="s">
        <v>449</v>
      </c>
      <c r="C4626" s="132" t="s">
        <v>1365</v>
      </c>
      <c r="D4626" s="132" t="s">
        <v>1379</v>
      </c>
      <c r="E4626" s="508">
        <v>4.9000000000000002E-2</v>
      </c>
      <c r="F4626" s="508">
        <v>4.9000000000000002E-2</v>
      </c>
      <c r="G4626" s="508">
        <v>4.9000000000000002E-2</v>
      </c>
      <c r="H4626" s="508">
        <v>4.9000000000000002E-2</v>
      </c>
      <c r="I4626" s="508">
        <v>4.9000000000000002E-2</v>
      </c>
      <c r="J4626" s="508">
        <v>4.9000000000000002E-2</v>
      </c>
      <c r="K4626" s="508">
        <v>4.9000000000000002E-2</v>
      </c>
      <c r="L4626" s="508">
        <v>4.9000000000000002E-2</v>
      </c>
      <c r="M4626" s="508">
        <v>4.9000000000000002E-2</v>
      </c>
      <c r="N4626" s="508">
        <v>4.9000000000000002E-2</v>
      </c>
      <c r="O4626" s="508">
        <v>4.9000000000000002E-2</v>
      </c>
      <c r="P4626" s="508">
        <v>4.9000000000000002E-2</v>
      </c>
      <c r="Q4626" s="508">
        <v>4.9000000000000002E-2</v>
      </c>
      <c r="R4626" s="508">
        <v>4.9000000000000002E-2</v>
      </c>
      <c r="S4626" s="508">
        <v>4.9000000000000002E-2</v>
      </c>
      <c r="T4626" s="508">
        <v>4.9000000000000002E-2</v>
      </c>
      <c r="U4626" s="508">
        <v>4.9000000000000002E-2</v>
      </c>
      <c r="V4626" s="508">
        <v>4.9000000000000002E-2</v>
      </c>
      <c r="W4626" s="508">
        <v>4.9000000000000002E-2</v>
      </c>
      <c r="X4626" s="508">
        <v>4.9000000000000002E-2</v>
      </c>
      <c r="Y4626" s="508">
        <v>4.9000000000000002E-2</v>
      </c>
      <c r="Z4626" s="508">
        <v>4.9000000000000002E-2</v>
      </c>
      <c r="AA4626" s="508">
        <v>4.9000000000000002E-2</v>
      </c>
      <c r="AB4626" s="508">
        <v>4.9000000000000002E-2</v>
      </c>
      <c r="AC4626" s="508">
        <v>4.9000000000000002E-2</v>
      </c>
      <c r="AD4626" s="508">
        <v>4.9000000000000002E-2</v>
      </c>
      <c r="AE4626" s="508">
        <v>4.9000000000000002E-2</v>
      </c>
      <c r="AF4626" s="508">
        <v>4.9000000000000002E-2</v>
      </c>
      <c r="AG4626" s="508">
        <v>4.9000000000000002E-2</v>
      </c>
      <c r="AH4626" s="508">
        <v>4.9000000000000002E-2</v>
      </c>
      <c r="AI4626" s="492">
        <v>4.9000000000000002E-2</v>
      </c>
      <c r="AJ4626" s="485"/>
    </row>
    <row r="4627" spans="2:36">
      <c r="B4627" s="136" t="s">
        <v>450</v>
      </c>
      <c r="C4627" s="132" t="s">
        <v>1365</v>
      </c>
      <c r="D4627" s="132" t="s">
        <v>1379</v>
      </c>
      <c r="E4627" s="508">
        <v>3.1E-2</v>
      </c>
      <c r="F4627" s="508">
        <v>3.1E-2</v>
      </c>
      <c r="G4627" s="508">
        <v>3.1E-2</v>
      </c>
      <c r="H4627" s="508">
        <v>3.1E-2</v>
      </c>
      <c r="I4627" s="508">
        <v>3.1E-2</v>
      </c>
      <c r="J4627" s="508">
        <v>3.1E-2</v>
      </c>
      <c r="K4627" s="508">
        <v>3.1E-2</v>
      </c>
      <c r="L4627" s="508">
        <v>3.1E-2</v>
      </c>
      <c r="M4627" s="508">
        <v>3.1E-2</v>
      </c>
      <c r="N4627" s="508">
        <v>3.1E-2</v>
      </c>
      <c r="O4627" s="508">
        <v>3.1E-2</v>
      </c>
      <c r="P4627" s="508">
        <v>3.1E-2</v>
      </c>
      <c r="Q4627" s="508">
        <v>3.1E-2</v>
      </c>
      <c r="R4627" s="508">
        <v>0.03</v>
      </c>
      <c r="S4627" s="508">
        <v>3.1E-2</v>
      </c>
      <c r="T4627" s="508">
        <v>3.1E-2</v>
      </c>
      <c r="U4627" s="508">
        <v>3.1E-2</v>
      </c>
      <c r="V4627" s="508">
        <v>3.1E-2</v>
      </c>
      <c r="W4627" s="508">
        <v>3.1E-2</v>
      </c>
      <c r="X4627" s="508">
        <v>3.1E-2</v>
      </c>
      <c r="Y4627" s="508">
        <v>3.1E-2</v>
      </c>
      <c r="Z4627" s="508">
        <v>3.1E-2</v>
      </c>
      <c r="AA4627" s="508">
        <v>3.1E-2</v>
      </c>
      <c r="AB4627" s="508">
        <v>3.1E-2</v>
      </c>
      <c r="AC4627" s="508">
        <v>3.1E-2</v>
      </c>
      <c r="AD4627" s="508">
        <v>3.1E-2</v>
      </c>
      <c r="AE4627" s="508">
        <v>3.1E-2</v>
      </c>
      <c r="AF4627" s="508">
        <v>3.1E-2</v>
      </c>
      <c r="AG4627" s="508">
        <v>3.1E-2</v>
      </c>
      <c r="AH4627" s="508">
        <v>3.1E-2</v>
      </c>
      <c r="AI4627" s="492">
        <v>3.1E-2</v>
      </c>
      <c r="AJ4627" s="485"/>
    </row>
    <row r="4628" spans="2:36">
      <c r="B4628" s="136" t="s">
        <v>451</v>
      </c>
      <c r="C4628" s="132" t="s">
        <v>1365</v>
      </c>
      <c r="D4628" s="132" t="s">
        <v>1379</v>
      </c>
      <c r="E4628" s="508">
        <v>5.2999999999999999E-2</v>
      </c>
      <c r="F4628" s="508">
        <v>5.2999999999999999E-2</v>
      </c>
      <c r="G4628" s="508">
        <v>5.2999999999999999E-2</v>
      </c>
      <c r="H4628" s="508">
        <v>5.2999999999999999E-2</v>
      </c>
      <c r="I4628" s="508">
        <v>5.2999999999999999E-2</v>
      </c>
      <c r="J4628" s="508">
        <v>5.2999999999999999E-2</v>
      </c>
      <c r="K4628" s="508">
        <v>5.2999999999999999E-2</v>
      </c>
      <c r="L4628" s="508">
        <v>5.2999999999999999E-2</v>
      </c>
      <c r="M4628" s="508">
        <v>5.2999999999999999E-2</v>
      </c>
      <c r="N4628" s="508">
        <v>5.2999999999999999E-2</v>
      </c>
      <c r="O4628" s="508">
        <v>5.2999999999999999E-2</v>
      </c>
      <c r="P4628" s="508">
        <v>5.2999999999999999E-2</v>
      </c>
      <c r="Q4628" s="508">
        <v>5.2999999999999999E-2</v>
      </c>
      <c r="R4628" s="508">
        <v>5.2999999999999999E-2</v>
      </c>
      <c r="S4628" s="508">
        <v>5.2999999999999999E-2</v>
      </c>
      <c r="T4628" s="508">
        <v>5.2999999999999999E-2</v>
      </c>
      <c r="U4628" s="508">
        <v>5.2999999999999999E-2</v>
      </c>
      <c r="V4628" s="508">
        <v>5.2999999999999999E-2</v>
      </c>
      <c r="W4628" s="508">
        <v>5.2999999999999999E-2</v>
      </c>
      <c r="X4628" s="508">
        <v>5.2999999999999999E-2</v>
      </c>
      <c r="Y4628" s="508">
        <v>5.2999999999999999E-2</v>
      </c>
      <c r="Z4628" s="508">
        <v>5.2999999999999999E-2</v>
      </c>
      <c r="AA4628" s="508">
        <v>5.2999999999999999E-2</v>
      </c>
      <c r="AB4628" s="508">
        <v>5.2999999999999999E-2</v>
      </c>
      <c r="AC4628" s="508">
        <v>5.2999999999999999E-2</v>
      </c>
      <c r="AD4628" s="508">
        <v>5.2999999999999999E-2</v>
      </c>
      <c r="AE4628" s="508">
        <v>5.2999999999999999E-2</v>
      </c>
      <c r="AF4628" s="508">
        <v>5.2999999999999999E-2</v>
      </c>
      <c r="AG4628" s="508">
        <v>5.2999999999999999E-2</v>
      </c>
      <c r="AH4628" s="508">
        <v>5.2999999999999999E-2</v>
      </c>
      <c r="AI4628" s="492">
        <v>5.2999999999999999E-2</v>
      </c>
      <c r="AJ4628" s="485"/>
    </row>
    <row r="4629" spans="2:36">
      <c r="B4629" s="136" t="s">
        <v>452</v>
      </c>
      <c r="C4629" s="132" t="s">
        <v>1365</v>
      </c>
      <c r="D4629" s="132" t="s">
        <v>1379</v>
      </c>
      <c r="E4629" s="508">
        <v>4.5999999999999999E-2</v>
      </c>
      <c r="F4629" s="508">
        <v>4.5999999999999999E-2</v>
      </c>
      <c r="G4629" s="508">
        <v>4.5999999999999999E-2</v>
      </c>
      <c r="H4629" s="508">
        <v>4.5999999999999999E-2</v>
      </c>
      <c r="I4629" s="508">
        <v>4.5999999999999999E-2</v>
      </c>
      <c r="J4629" s="508">
        <v>4.5999999999999999E-2</v>
      </c>
      <c r="K4629" s="508">
        <v>4.5999999999999999E-2</v>
      </c>
      <c r="L4629" s="508">
        <v>4.5999999999999999E-2</v>
      </c>
      <c r="M4629" s="508">
        <v>4.5999999999999999E-2</v>
      </c>
      <c r="N4629" s="508">
        <v>4.5999999999999999E-2</v>
      </c>
      <c r="O4629" s="508">
        <v>4.5999999999999999E-2</v>
      </c>
      <c r="P4629" s="508">
        <v>4.5999999999999999E-2</v>
      </c>
      <c r="Q4629" s="508">
        <v>4.5999999999999999E-2</v>
      </c>
      <c r="R4629" s="508">
        <v>4.5999999999999999E-2</v>
      </c>
      <c r="S4629" s="508">
        <v>4.5999999999999999E-2</v>
      </c>
      <c r="T4629" s="508">
        <v>4.5999999999999999E-2</v>
      </c>
      <c r="U4629" s="508">
        <v>4.5999999999999999E-2</v>
      </c>
      <c r="V4629" s="508">
        <v>4.5999999999999999E-2</v>
      </c>
      <c r="W4629" s="508">
        <v>4.5999999999999999E-2</v>
      </c>
      <c r="X4629" s="508">
        <v>4.5999999999999999E-2</v>
      </c>
      <c r="Y4629" s="508">
        <v>4.5999999999999999E-2</v>
      </c>
      <c r="Z4629" s="508">
        <v>4.5999999999999999E-2</v>
      </c>
      <c r="AA4629" s="508">
        <v>4.5999999999999999E-2</v>
      </c>
      <c r="AB4629" s="508">
        <v>4.5999999999999999E-2</v>
      </c>
      <c r="AC4629" s="508">
        <v>4.5999999999999999E-2</v>
      </c>
      <c r="AD4629" s="508">
        <v>4.5999999999999999E-2</v>
      </c>
      <c r="AE4629" s="508">
        <v>4.5999999999999999E-2</v>
      </c>
      <c r="AF4629" s="508">
        <v>4.5999999999999999E-2</v>
      </c>
      <c r="AG4629" s="508">
        <v>4.5999999999999999E-2</v>
      </c>
      <c r="AH4629" s="508">
        <v>4.5999999999999999E-2</v>
      </c>
      <c r="AI4629" s="492">
        <v>4.5999999999999999E-2</v>
      </c>
      <c r="AJ4629" s="485"/>
    </row>
    <row r="4630" spans="2:36">
      <c r="B4630" s="136" t="s">
        <v>453</v>
      </c>
      <c r="C4630" s="132" t="s">
        <v>1365</v>
      </c>
      <c r="D4630" s="132" t="s">
        <v>1379</v>
      </c>
      <c r="E4630" s="508">
        <v>3.9E-2</v>
      </c>
      <c r="F4630" s="508">
        <v>3.9E-2</v>
      </c>
      <c r="G4630" s="508">
        <v>3.9E-2</v>
      </c>
      <c r="H4630" s="508">
        <v>3.9E-2</v>
      </c>
      <c r="I4630" s="508">
        <v>3.9E-2</v>
      </c>
      <c r="J4630" s="508">
        <v>3.9E-2</v>
      </c>
      <c r="K4630" s="508">
        <v>3.9E-2</v>
      </c>
      <c r="L4630" s="508">
        <v>3.9E-2</v>
      </c>
      <c r="M4630" s="508">
        <v>3.9E-2</v>
      </c>
      <c r="N4630" s="508">
        <v>3.9E-2</v>
      </c>
      <c r="O4630" s="508">
        <v>3.9E-2</v>
      </c>
      <c r="P4630" s="508">
        <v>3.9E-2</v>
      </c>
      <c r="Q4630" s="508">
        <v>3.9E-2</v>
      </c>
      <c r="R4630" s="508">
        <v>3.9E-2</v>
      </c>
      <c r="S4630" s="508">
        <v>3.9E-2</v>
      </c>
      <c r="T4630" s="508">
        <v>3.9E-2</v>
      </c>
      <c r="U4630" s="508">
        <v>3.9E-2</v>
      </c>
      <c r="V4630" s="508">
        <v>3.9E-2</v>
      </c>
      <c r="W4630" s="508">
        <v>3.9E-2</v>
      </c>
      <c r="X4630" s="508">
        <v>3.9E-2</v>
      </c>
      <c r="Y4630" s="508">
        <v>3.9E-2</v>
      </c>
      <c r="Z4630" s="508">
        <v>3.9E-2</v>
      </c>
      <c r="AA4630" s="508">
        <v>3.9E-2</v>
      </c>
      <c r="AB4630" s="508">
        <v>3.9E-2</v>
      </c>
      <c r="AC4630" s="508">
        <v>3.9E-2</v>
      </c>
      <c r="AD4630" s="508">
        <v>3.9E-2</v>
      </c>
      <c r="AE4630" s="508">
        <v>3.9E-2</v>
      </c>
      <c r="AF4630" s="508">
        <v>3.9E-2</v>
      </c>
      <c r="AG4630" s="508">
        <v>3.9E-2</v>
      </c>
      <c r="AH4630" s="508">
        <v>3.9E-2</v>
      </c>
      <c r="AI4630" s="492">
        <v>3.9E-2</v>
      </c>
      <c r="AJ4630" s="485"/>
    </row>
    <row r="4631" spans="2:36">
      <c r="B4631" s="136" t="s">
        <v>454</v>
      </c>
      <c r="C4631" s="132" t="s">
        <v>1365</v>
      </c>
      <c r="D4631" s="132" t="s">
        <v>1379</v>
      </c>
      <c r="E4631" s="508">
        <v>0.04</v>
      </c>
      <c r="F4631" s="508">
        <v>0.04</v>
      </c>
      <c r="G4631" s="508">
        <v>0.04</v>
      </c>
      <c r="H4631" s="508">
        <v>0.04</v>
      </c>
      <c r="I4631" s="508">
        <v>0.04</v>
      </c>
      <c r="J4631" s="508">
        <v>0.04</v>
      </c>
      <c r="K4631" s="508">
        <v>0.04</v>
      </c>
      <c r="L4631" s="508">
        <v>0.04</v>
      </c>
      <c r="M4631" s="508">
        <v>0.04</v>
      </c>
      <c r="N4631" s="508">
        <v>0.04</v>
      </c>
      <c r="O4631" s="508">
        <v>0.04</v>
      </c>
      <c r="P4631" s="508">
        <v>0.04</v>
      </c>
      <c r="Q4631" s="508">
        <v>0.04</v>
      </c>
      <c r="R4631" s="508">
        <v>0.04</v>
      </c>
      <c r="S4631" s="508">
        <v>0.04</v>
      </c>
      <c r="T4631" s="508">
        <v>0.04</v>
      </c>
      <c r="U4631" s="508">
        <v>0.04</v>
      </c>
      <c r="V4631" s="508">
        <v>0.04</v>
      </c>
      <c r="W4631" s="508">
        <v>0.04</v>
      </c>
      <c r="X4631" s="508">
        <v>0.04</v>
      </c>
      <c r="Y4631" s="508">
        <v>0.04</v>
      </c>
      <c r="Z4631" s="508">
        <v>0.04</v>
      </c>
      <c r="AA4631" s="508">
        <v>0.04</v>
      </c>
      <c r="AB4631" s="508">
        <v>0.04</v>
      </c>
      <c r="AC4631" s="508">
        <v>0.04</v>
      </c>
      <c r="AD4631" s="508">
        <v>0.04</v>
      </c>
      <c r="AE4631" s="508">
        <v>0.04</v>
      </c>
      <c r="AF4631" s="508">
        <v>0.04</v>
      </c>
      <c r="AG4631" s="508">
        <v>0.04</v>
      </c>
      <c r="AH4631" s="508">
        <v>0.04</v>
      </c>
      <c r="AI4631" s="492">
        <v>0.04</v>
      </c>
      <c r="AJ4631" s="485"/>
    </row>
    <row r="4632" spans="2:36">
      <c r="B4632" s="136" t="s">
        <v>455</v>
      </c>
      <c r="C4632" s="132" t="s">
        <v>1365</v>
      </c>
      <c r="D4632" s="132" t="s">
        <v>1379</v>
      </c>
      <c r="E4632" s="508">
        <v>3.7999999999999999E-2</v>
      </c>
      <c r="F4632" s="508">
        <v>3.7999999999999999E-2</v>
      </c>
      <c r="G4632" s="508">
        <v>3.7999999999999999E-2</v>
      </c>
      <c r="H4632" s="508">
        <v>3.7999999999999999E-2</v>
      </c>
      <c r="I4632" s="508">
        <v>3.7999999999999999E-2</v>
      </c>
      <c r="J4632" s="508">
        <v>3.7999999999999999E-2</v>
      </c>
      <c r="K4632" s="508">
        <v>3.7999999999999999E-2</v>
      </c>
      <c r="L4632" s="508">
        <v>3.6999999999999998E-2</v>
      </c>
      <c r="M4632" s="508">
        <v>3.6999999999999998E-2</v>
      </c>
      <c r="N4632" s="508">
        <v>3.7999999999999999E-2</v>
      </c>
      <c r="O4632" s="508">
        <v>3.7999999999999999E-2</v>
      </c>
      <c r="P4632" s="508">
        <v>3.7999999999999999E-2</v>
      </c>
      <c r="Q4632" s="508">
        <v>3.7999999999999999E-2</v>
      </c>
      <c r="R4632" s="508">
        <v>3.6999999999999998E-2</v>
      </c>
      <c r="S4632" s="508">
        <v>3.6999999999999998E-2</v>
      </c>
      <c r="T4632" s="508">
        <v>3.7999999999999999E-2</v>
      </c>
      <c r="U4632" s="508">
        <v>3.7999999999999999E-2</v>
      </c>
      <c r="V4632" s="508">
        <v>3.7999999999999999E-2</v>
      </c>
      <c r="W4632" s="508">
        <v>3.7999999999999999E-2</v>
      </c>
      <c r="X4632" s="508">
        <v>3.7999999999999999E-2</v>
      </c>
      <c r="Y4632" s="508">
        <v>3.7999999999999999E-2</v>
      </c>
      <c r="Z4632" s="508">
        <v>3.7999999999999999E-2</v>
      </c>
      <c r="AA4632" s="508">
        <v>3.6999999999999998E-2</v>
      </c>
      <c r="AB4632" s="508">
        <v>3.7999999999999999E-2</v>
      </c>
      <c r="AC4632" s="508">
        <v>3.6999999999999998E-2</v>
      </c>
      <c r="AD4632" s="508">
        <v>3.6999999999999998E-2</v>
      </c>
      <c r="AE4632" s="508">
        <v>3.6999999999999998E-2</v>
      </c>
      <c r="AF4632" s="508">
        <v>3.6999999999999998E-2</v>
      </c>
      <c r="AG4632" s="508">
        <v>3.6999999999999998E-2</v>
      </c>
      <c r="AH4632" s="508">
        <v>3.6999999999999998E-2</v>
      </c>
      <c r="AI4632" s="492">
        <v>3.6999999999999998E-2</v>
      </c>
      <c r="AJ4632" s="485"/>
    </row>
    <row r="4633" spans="2:36">
      <c r="B4633" s="136" t="s">
        <v>456</v>
      </c>
      <c r="C4633" s="132" t="s">
        <v>1365</v>
      </c>
      <c r="D4633" s="132" t="s">
        <v>1379</v>
      </c>
      <c r="E4633" s="508">
        <v>4.2000000000000003E-2</v>
      </c>
      <c r="F4633" s="508">
        <v>4.2000000000000003E-2</v>
      </c>
      <c r="G4633" s="508">
        <v>4.2000000000000003E-2</v>
      </c>
      <c r="H4633" s="508">
        <v>4.2000000000000003E-2</v>
      </c>
      <c r="I4633" s="508">
        <v>4.2000000000000003E-2</v>
      </c>
      <c r="J4633" s="508">
        <v>4.2000000000000003E-2</v>
      </c>
      <c r="K4633" s="508">
        <v>4.2000000000000003E-2</v>
      </c>
      <c r="L4633" s="508">
        <v>4.2000000000000003E-2</v>
      </c>
      <c r="M4633" s="508">
        <v>4.2000000000000003E-2</v>
      </c>
      <c r="N4633" s="508">
        <v>4.2000000000000003E-2</v>
      </c>
      <c r="O4633" s="508">
        <v>4.2000000000000003E-2</v>
      </c>
      <c r="P4633" s="508">
        <v>4.2000000000000003E-2</v>
      </c>
      <c r="Q4633" s="508">
        <v>4.2000000000000003E-2</v>
      </c>
      <c r="R4633" s="508">
        <v>4.2000000000000003E-2</v>
      </c>
      <c r="S4633" s="508">
        <v>4.2000000000000003E-2</v>
      </c>
      <c r="T4633" s="508">
        <v>4.2000000000000003E-2</v>
      </c>
      <c r="U4633" s="508">
        <v>4.2000000000000003E-2</v>
      </c>
      <c r="V4633" s="508">
        <v>4.2000000000000003E-2</v>
      </c>
      <c r="W4633" s="508">
        <v>4.2000000000000003E-2</v>
      </c>
      <c r="X4633" s="508">
        <v>4.2000000000000003E-2</v>
      </c>
      <c r="Y4633" s="508">
        <v>4.2000000000000003E-2</v>
      </c>
      <c r="Z4633" s="508">
        <v>4.2000000000000003E-2</v>
      </c>
      <c r="AA4633" s="508">
        <v>4.2000000000000003E-2</v>
      </c>
      <c r="AB4633" s="508">
        <v>4.2000000000000003E-2</v>
      </c>
      <c r="AC4633" s="508">
        <v>4.2000000000000003E-2</v>
      </c>
      <c r="AD4633" s="508">
        <v>4.2000000000000003E-2</v>
      </c>
      <c r="AE4633" s="508">
        <v>4.2000000000000003E-2</v>
      </c>
      <c r="AF4633" s="508">
        <v>4.2000000000000003E-2</v>
      </c>
      <c r="AG4633" s="508">
        <v>4.2000000000000003E-2</v>
      </c>
      <c r="AH4633" s="508">
        <v>4.2000000000000003E-2</v>
      </c>
      <c r="AI4633" s="492">
        <v>4.2000000000000003E-2</v>
      </c>
      <c r="AJ4633" s="485"/>
    </row>
    <row r="4634" spans="2:36">
      <c r="B4634" s="136" t="s">
        <v>457</v>
      </c>
      <c r="C4634" s="132" t="s">
        <v>1365</v>
      </c>
      <c r="D4634" s="132" t="s">
        <v>1379</v>
      </c>
      <c r="E4634" s="508">
        <v>3.5000000000000003E-2</v>
      </c>
      <c r="F4634" s="508">
        <v>3.5000000000000003E-2</v>
      </c>
      <c r="G4634" s="508">
        <v>3.5000000000000003E-2</v>
      </c>
      <c r="H4634" s="508">
        <v>3.5000000000000003E-2</v>
      </c>
      <c r="I4634" s="508">
        <v>3.5000000000000003E-2</v>
      </c>
      <c r="J4634" s="508">
        <v>3.5000000000000003E-2</v>
      </c>
      <c r="K4634" s="508">
        <v>3.5000000000000003E-2</v>
      </c>
      <c r="L4634" s="508">
        <v>3.5000000000000003E-2</v>
      </c>
      <c r="M4634" s="508">
        <v>3.5000000000000003E-2</v>
      </c>
      <c r="N4634" s="508">
        <v>3.5000000000000003E-2</v>
      </c>
      <c r="O4634" s="508">
        <v>3.5000000000000003E-2</v>
      </c>
      <c r="P4634" s="508">
        <v>3.5000000000000003E-2</v>
      </c>
      <c r="Q4634" s="508">
        <v>3.5000000000000003E-2</v>
      </c>
      <c r="R4634" s="508">
        <v>3.5000000000000003E-2</v>
      </c>
      <c r="S4634" s="508">
        <v>3.5000000000000003E-2</v>
      </c>
      <c r="T4634" s="508">
        <v>3.5000000000000003E-2</v>
      </c>
      <c r="U4634" s="508">
        <v>3.5000000000000003E-2</v>
      </c>
      <c r="V4634" s="508">
        <v>3.5000000000000003E-2</v>
      </c>
      <c r="W4634" s="508">
        <v>3.5000000000000003E-2</v>
      </c>
      <c r="X4634" s="508">
        <v>3.5000000000000003E-2</v>
      </c>
      <c r="Y4634" s="508">
        <v>3.5000000000000003E-2</v>
      </c>
      <c r="Z4634" s="508">
        <v>3.5000000000000003E-2</v>
      </c>
      <c r="AA4634" s="508">
        <v>3.5000000000000003E-2</v>
      </c>
      <c r="AB4634" s="508">
        <v>3.5000000000000003E-2</v>
      </c>
      <c r="AC4634" s="508">
        <v>3.5000000000000003E-2</v>
      </c>
      <c r="AD4634" s="508">
        <v>3.5000000000000003E-2</v>
      </c>
      <c r="AE4634" s="508">
        <v>3.5000000000000003E-2</v>
      </c>
      <c r="AF4634" s="508">
        <v>3.5000000000000003E-2</v>
      </c>
      <c r="AG4634" s="508">
        <v>3.5000000000000003E-2</v>
      </c>
      <c r="AH4634" s="508">
        <v>3.5000000000000003E-2</v>
      </c>
      <c r="AI4634" s="492">
        <v>3.5000000000000003E-2</v>
      </c>
      <c r="AJ4634" s="485"/>
    </row>
    <row r="4635" spans="2:36">
      <c r="B4635" s="136" t="s">
        <v>458</v>
      </c>
      <c r="C4635" s="132" t="s">
        <v>1365</v>
      </c>
      <c r="D4635" s="132" t="s">
        <v>1379</v>
      </c>
      <c r="E4635" s="508">
        <v>4.2000000000000003E-2</v>
      </c>
      <c r="F4635" s="508">
        <v>4.2000000000000003E-2</v>
      </c>
      <c r="G4635" s="508">
        <v>4.2000000000000003E-2</v>
      </c>
      <c r="H4635" s="508">
        <v>4.2000000000000003E-2</v>
      </c>
      <c r="I4635" s="508">
        <v>4.2000000000000003E-2</v>
      </c>
      <c r="J4635" s="508">
        <v>4.2000000000000003E-2</v>
      </c>
      <c r="K4635" s="508">
        <v>4.2000000000000003E-2</v>
      </c>
      <c r="L4635" s="508">
        <v>4.2000000000000003E-2</v>
      </c>
      <c r="M4635" s="508">
        <v>4.2000000000000003E-2</v>
      </c>
      <c r="N4635" s="508">
        <v>4.2000000000000003E-2</v>
      </c>
      <c r="O4635" s="508">
        <v>4.2000000000000003E-2</v>
      </c>
      <c r="P4635" s="508">
        <v>4.2000000000000003E-2</v>
      </c>
      <c r="Q4635" s="508">
        <v>4.2000000000000003E-2</v>
      </c>
      <c r="R4635" s="508">
        <v>4.2000000000000003E-2</v>
      </c>
      <c r="S4635" s="508">
        <v>4.2000000000000003E-2</v>
      </c>
      <c r="T4635" s="508">
        <v>4.2000000000000003E-2</v>
      </c>
      <c r="U4635" s="508">
        <v>4.2000000000000003E-2</v>
      </c>
      <c r="V4635" s="508">
        <v>4.2000000000000003E-2</v>
      </c>
      <c r="W4635" s="508">
        <v>4.2000000000000003E-2</v>
      </c>
      <c r="X4635" s="508">
        <v>4.2000000000000003E-2</v>
      </c>
      <c r="Y4635" s="508">
        <v>4.2000000000000003E-2</v>
      </c>
      <c r="Z4635" s="508">
        <v>4.2000000000000003E-2</v>
      </c>
      <c r="AA4635" s="508">
        <v>4.2000000000000003E-2</v>
      </c>
      <c r="AB4635" s="508">
        <v>4.2000000000000003E-2</v>
      </c>
      <c r="AC4635" s="508">
        <v>4.2000000000000003E-2</v>
      </c>
      <c r="AD4635" s="508">
        <v>4.2000000000000003E-2</v>
      </c>
      <c r="AE4635" s="508">
        <v>4.2000000000000003E-2</v>
      </c>
      <c r="AF4635" s="508">
        <v>4.2000000000000003E-2</v>
      </c>
      <c r="AG4635" s="508">
        <v>4.2000000000000003E-2</v>
      </c>
      <c r="AH4635" s="508">
        <v>4.2000000000000003E-2</v>
      </c>
      <c r="AI4635" s="492">
        <v>4.2000000000000003E-2</v>
      </c>
      <c r="AJ4635" s="485"/>
    </row>
    <row r="4636" spans="2:36">
      <c r="B4636" s="136" t="s">
        <v>459</v>
      </c>
      <c r="C4636" s="132" t="s">
        <v>1365</v>
      </c>
      <c r="D4636" s="132" t="s">
        <v>1379</v>
      </c>
      <c r="E4636" s="508">
        <v>4.2000000000000003E-2</v>
      </c>
      <c r="F4636" s="508">
        <v>4.2000000000000003E-2</v>
      </c>
      <c r="G4636" s="508">
        <v>4.2000000000000003E-2</v>
      </c>
      <c r="H4636" s="508">
        <v>4.2000000000000003E-2</v>
      </c>
      <c r="I4636" s="508">
        <v>4.2000000000000003E-2</v>
      </c>
      <c r="J4636" s="508">
        <v>4.2000000000000003E-2</v>
      </c>
      <c r="K4636" s="508">
        <v>4.2000000000000003E-2</v>
      </c>
      <c r="L4636" s="508">
        <v>4.2000000000000003E-2</v>
      </c>
      <c r="M4636" s="508">
        <v>4.2000000000000003E-2</v>
      </c>
      <c r="N4636" s="508">
        <v>4.2000000000000003E-2</v>
      </c>
      <c r="O4636" s="508">
        <v>4.2000000000000003E-2</v>
      </c>
      <c r="P4636" s="508">
        <v>4.2000000000000003E-2</v>
      </c>
      <c r="Q4636" s="508">
        <v>4.2000000000000003E-2</v>
      </c>
      <c r="R4636" s="508">
        <v>4.2000000000000003E-2</v>
      </c>
      <c r="S4636" s="508">
        <v>4.2000000000000003E-2</v>
      </c>
      <c r="T4636" s="508">
        <v>4.2000000000000003E-2</v>
      </c>
      <c r="U4636" s="508">
        <v>4.2000000000000003E-2</v>
      </c>
      <c r="V4636" s="508">
        <v>4.2000000000000003E-2</v>
      </c>
      <c r="W4636" s="508">
        <v>4.2000000000000003E-2</v>
      </c>
      <c r="X4636" s="508">
        <v>4.2000000000000003E-2</v>
      </c>
      <c r="Y4636" s="508">
        <v>4.2000000000000003E-2</v>
      </c>
      <c r="Z4636" s="508">
        <v>4.2000000000000003E-2</v>
      </c>
      <c r="AA4636" s="508">
        <v>4.2000000000000003E-2</v>
      </c>
      <c r="AB4636" s="508">
        <v>4.2000000000000003E-2</v>
      </c>
      <c r="AC4636" s="508">
        <v>4.2000000000000003E-2</v>
      </c>
      <c r="AD4636" s="508">
        <v>4.2000000000000003E-2</v>
      </c>
      <c r="AE4636" s="508">
        <v>4.2000000000000003E-2</v>
      </c>
      <c r="AF4636" s="508">
        <v>4.2000000000000003E-2</v>
      </c>
      <c r="AG4636" s="508">
        <v>4.2000000000000003E-2</v>
      </c>
      <c r="AH4636" s="508">
        <v>4.2000000000000003E-2</v>
      </c>
      <c r="AI4636" s="492">
        <v>4.2000000000000003E-2</v>
      </c>
      <c r="AJ4636" s="485"/>
    </row>
    <row r="4637" spans="2:36">
      <c r="B4637" s="136" t="s">
        <v>460</v>
      </c>
      <c r="C4637" s="132" t="s">
        <v>1365</v>
      </c>
      <c r="D4637" s="132" t="s">
        <v>1379</v>
      </c>
      <c r="E4637" s="508">
        <v>4.3999999999999997E-2</v>
      </c>
      <c r="F4637" s="508">
        <v>4.3999999999999997E-2</v>
      </c>
      <c r="G4637" s="508">
        <v>4.3999999999999997E-2</v>
      </c>
      <c r="H4637" s="508">
        <v>4.3999999999999997E-2</v>
      </c>
      <c r="I4637" s="508">
        <v>4.3999999999999997E-2</v>
      </c>
      <c r="J4637" s="508">
        <v>4.3999999999999997E-2</v>
      </c>
      <c r="K4637" s="508">
        <v>4.3999999999999997E-2</v>
      </c>
      <c r="L4637" s="508">
        <v>4.3999999999999997E-2</v>
      </c>
      <c r="M4637" s="508">
        <v>4.3999999999999997E-2</v>
      </c>
      <c r="N4637" s="508">
        <v>4.3999999999999997E-2</v>
      </c>
      <c r="O4637" s="508">
        <v>4.3999999999999997E-2</v>
      </c>
      <c r="P4637" s="508">
        <v>4.3999999999999997E-2</v>
      </c>
      <c r="Q4637" s="508">
        <v>4.3999999999999997E-2</v>
      </c>
      <c r="R4637" s="508">
        <v>4.3999999999999997E-2</v>
      </c>
      <c r="S4637" s="508">
        <v>4.3999999999999997E-2</v>
      </c>
      <c r="T4637" s="508">
        <v>4.3999999999999997E-2</v>
      </c>
      <c r="U4637" s="508">
        <v>4.3999999999999997E-2</v>
      </c>
      <c r="V4637" s="508">
        <v>4.3999999999999997E-2</v>
      </c>
      <c r="W4637" s="508">
        <v>4.3999999999999997E-2</v>
      </c>
      <c r="X4637" s="508">
        <v>4.3999999999999997E-2</v>
      </c>
      <c r="Y4637" s="508">
        <v>4.3999999999999997E-2</v>
      </c>
      <c r="Z4637" s="508">
        <v>4.3999999999999997E-2</v>
      </c>
      <c r="AA4637" s="508">
        <v>4.3999999999999997E-2</v>
      </c>
      <c r="AB4637" s="508">
        <v>4.3999999999999997E-2</v>
      </c>
      <c r="AC4637" s="508">
        <v>4.3999999999999997E-2</v>
      </c>
      <c r="AD4637" s="508">
        <v>4.3999999999999997E-2</v>
      </c>
      <c r="AE4637" s="508">
        <v>4.3999999999999997E-2</v>
      </c>
      <c r="AF4637" s="508">
        <v>4.3999999999999997E-2</v>
      </c>
      <c r="AG4637" s="508">
        <v>4.3999999999999997E-2</v>
      </c>
      <c r="AH4637" s="508">
        <v>4.3999999999999997E-2</v>
      </c>
      <c r="AI4637" s="492">
        <v>4.3999999999999997E-2</v>
      </c>
      <c r="AJ4637" s="485"/>
    </row>
    <row r="4638" spans="2:36">
      <c r="B4638" s="136" t="s">
        <v>461</v>
      </c>
      <c r="C4638" s="132" t="s">
        <v>1365</v>
      </c>
      <c r="D4638" s="132" t="s">
        <v>1379</v>
      </c>
      <c r="E4638" s="508">
        <v>4.1000000000000002E-2</v>
      </c>
      <c r="F4638" s="508">
        <v>4.1000000000000002E-2</v>
      </c>
      <c r="G4638" s="508">
        <v>4.1000000000000002E-2</v>
      </c>
      <c r="H4638" s="508">
        <v>4.1000000000000002E-2</v>
      </c>
      <c r="I4638" s="508">
        <v>4.1000000000000002E-2</v>
      </c>
      <c r="J4638" s="508">
        <v>4.1000000000000002E-2</v>
      </c>
      <c r="K4638" s="508">
        <v>4.1000000000000002E-2</v>
      </c>
      <c r="L4638" s="508">
        <v>4.1000000000000002E-2</v>
      </c>
      <c r="M4638" s="508">
        <v>4.1000000000000002E-2</v>
      </c>
      <c r="N4638" s="508">
        <v>4.1000000000000002E-2</v>
      </c>
      <c r="O4638" s="508">
        <v>4.1000000000000002E-2</v>
      </c>
      <c r="P4638" s="508">
        <v>4.1000000000000002E-2</v>
      </c>
      <c r="Q4638" s="508">
        <v>4.1000000000000002E-2</v>
      </c>
      <c r="R4638" s="508">
        <v>4.1000000000000002E-2</v>
      </c>
      <c r="S4638" s="508">
        <v>4.1000000000000002E-2</v>
      </c>
      <c r="T4638" s="508">
        <v>4.1000000000000002E-2</v>
      </c>
      <c r="U4638" s="508">
        <v>4.1000000000000002E-2</v>
      </c>
      <c r="V4638" s="508">
        <v>4.1000000000000002E-2</v>
      </c>
      <c r="W4638" s="508">
        <v>4.1000000000000002E-2</v>
      </c>
      <c r="X4638" s="508">
        <v>4.1000000000000002E-2</v>
      </c>
      <c r="Y4638" s="508">
        <v>4.1000000000000002E-2</v>
      </c>
      <c r="Z4638" s="508">
        <v>4.1000000000000002E-2</v>
      </c>
      <c r="AA4638" s="508">
        <v>4.1000000000000002E-2</v>
      </c>
      <c r="AB4638" s="508">
        <v>4.1000000000000002E-2</v>
      </c>
      <c r="AC4638" s="508">
        <v>4.1000000000000002E-2</v>
      </c>
      <c r="AD4638" s="508">
        <v>4.1000000000000002E-2</v>
      </c>
      <c r="AE4638" s="508">
        <v>4.1000000000000002E-2</v>
      </c>
      <c r="AF4638" s="508">
        <v>4.1000000000000002E-2</v>
      </c>
      <c r="AG4638" s="508">
        <v>4.1000000000000002E-2</v>
      </c>
      <c r="AH4638" s="508">
        <v>4.1000000000000002E-2</v>
      </c>
      <c r="AI4638" s="492">
        <v>4.1000000000000002E-2</v>
      </c>
      <c r="AJ4638" s="485"/>
    </row>
    <row r="4639" spans="2:36">
      <c r="B4639" s="136" t="s">
        <v>462</v>
      </c>
      <c r="C4639" s="132" t="s">
        <v>1365</v>
      </c>
      <c r="D4639" s="132" t="s">
        <v>1379</v>
      </c>
      <c r="E4639" s="508">
        <v>0.04</v>
      </c>
      <c r="F4639" s="508">
        <v>0.04</v>
      </c>
      <c r="G4639" s="508">
        <v>0.04</v>
      </c>
      <c r="H4639" s="508">
        <v>0.04</v>
      </c>
      <c r="I4639" s="508">
        <v>0.04</v>
      </c>
      <c r="J4639" s="508">
        <v>0.04</v>
      </c>
      <c r="K4639" s="508">
        <v>0.04</v>
      </c>
      <c r="L4639" s="508">
        <v>0.04</v>
      </c>
      <c r="M4639" s="508">
        <v>0.04</v>
      </c>
      <c r="N4639" s="508">
        <v>0.04</v>
      </c>
      <c r="O4639" s="508">
        <v>0.04</v>
      </c>
      <c r="P4639" s="508">
        <v>0.04</v>
      </c>
      <c r="Q4639" s="508">
        <v>0.04</v>
      </c>
      <c r="R4639" s="508">
        <v>0.04</v>
      </c>
      <c r="S4639" s="508">
        <v>0.04</v>
      </c>
      <c r="T4639" s="508">
        <v>0.04</v>
      </c>
      <c r="U4639" s="508">
        <v>0.04</v>
      </c>
      <c r="V4639" s="508">
        <v>0.04</v>
      </c>
      <c r="W4639" s="508">
        <v>0.04</v>
      </c>
      <c r="X4639" s="508">
        <v>0.04</v>
      </c>
      <c r="Y4639" s="508">
        <v>0.04</v>
      </c>
      <c r="Z4639" s="508">
        <v>0.04</v>
      </c>
      <c r="AA4639" s="508">
        <v>0.04</v>
      </c>
      <c r="AB4639" s="508">
        <v>0.04</v>
      </c>
      <c r="AC4639" s="508">
        <v>0.04</v>
      </c>
      <c r="AD4639" s="508">
        <v>0.04</v>
      </c>
      <c r="AE4639" s="508">
        <v>0.04</v>
      </c>
      <c r="AF4639" s="508">
        <v>0.04</v>
      </c>
      <c r="AG4639" s="508">
        <v>0.04</v>
      </c>
      <c r="AH4639" s="508">
        <v>0.04</v>
      </c>
      <c r="AI4639" s="492">
        <v>0.04</v>
      </c>
      <c r="AJ4639" s="485"/>
    </row>
    <row r="4640" spans="2:36">
      <c r="B4640" s="136" t="s">
        <v>463</v>
      </c>
      <c r="C4640" s="132" t="s">
        <v>1365</v>
      </c>
      <c r="D4640" s="132" t="s">
        <v>1379</v>
      </c>
      <c r="E4640" s="508">
        <v>3.5000000000000003E-2</v>
      </c>
      <c r="F4640" s="508">
        <v>3.5000000000000003E-2</v>
      </c>
      <c r="G4640" s="508">
        <v>3.5000000000000003E-2</v>
      </c>
      <c r="H4640" s="508">
        <v>3.5000000000000003E-2</v>
      </c>
      <c r="I4640" s="508">
        <v>3.5000000000000003E-2</v>
      </c>
      <c r="J4640" s="508">
        <v>3.5000000000000003E-2</v>
      </c>
      <c r="K4640" s="508">
        <v>3.5000000000000003E-2</v>
      </c>
      <c r="L4640" s="508">
        <v>3.5000000000000003E-2</v>
      </c>
      <c r="M4640" s="508">
        <v>3.5000000000000003E-2</v>
      </c>
      <c r="N4640" s="508">
        <v>3.5000000000000003E-2</v>
      </c>
      <c r="O4640" s="508">
        <v>3.5000000000000003E-2</v>
      </c>
      <c r="P4640" s="508">
        <v>3.5000000000000003E-2</v>
      </c>
      <c r="Q4640" s="508">
        <v>3.5000000000000003E-2</v>
      </c>
      <c r="R4640" s="508">
        <v>3.5000000000000003E-2</v>
      </c>
      <c r="S4640" s="508">
        <v>3.5000000000000003E-2</v>
      </c>
      <c r="T4640" s="508">
        <v>3.5000000000000003E-2</v>
      </c>
      <c r="U4640" s="508">
        <v>3.5000000000000003E-2</v>
      </c>
      <c r="V4640" s="508">
        <v>3.5000000000000003E-2</v>
      </c>
      <c r="W4640" s="508">
        <v>3.5000000000000003E-2</v>
      </c>
      <c r="X4640" s="508">
        <v>3.5000000000000003E-2</v>
      </c>
      <c r="Y4640" s="508">
        <v>3.5000000000000003E-2</v>
      </c>
      <c r="Z4640" s="508">
        <v>3.5000000000000003E-2</v>
      </c>
      <c r="AA4640" s="508">
        <v>3.5000000000000003E-2</v>
      </c>
      <c r="AB4640" s="508">
        <v>3.5000000000000003E-2</v>
      </c>
      <c r="AC4640" s="508">
        <v>3.5000000000000003E-2</v>
      </c>
      <c r="AD4640" s="508">
        <v>3.5000000000000003E-2</v>
      </c>
      <c r="AE4640" s="508">
        <v>3.5000000000000003E-2</v>
      </c>
      <c r="AF4640" s="508">
        <v>3.5000000000000003E-2</v>
      </c>
      <c r="AG4640" s="508">
        <v>3.5000000000000003E-2</v>
      </c>
      <c r="AH4640" s="508">
        <v>3.5000000000000003E-2</v>
      </c>
      <c r="AI4640" s="492">
        <v>3.5000000000000003E-2</v>
      </c>
      <c r="AJ4640" s="485"/>
    </row>
    <row r="4641" spans="2:36">
      <c r="B4641" s="136" t="s">
        <v>464</v>
      </c>
      <c r="C4641" s="132" t="s">
        <v>1365</v>
      </c>
      <c r="D4641" s="132" t="s">
        <v>1379</v>
      </c>
      <c r="E4641" s="508">
        <v>3.5000000000000003E-2</v>
      </c>
      <c r="F4641" s="508">
        <v>3.5000000000000003E-2</v>
      </c>
      <c r="G4641" s="508">
        <v>3.5000000000000003E-2</v>
      </c>
      <c r="H4641" s="508">
        <v>3.5000000000000003E-2</v>
      </c>
      <c r="I4641" s="508">
        <v>3.5000000000000003E-2</v>
      </c>
      <c r="J4641" s="508">
        <v>3.5000000000000003E-2</v>
      </c>
      <c r="K4641" s="508">
        <v>3.5000000000000003E-2</v>
      </c>
      <c r="L4641" s="508">
        <v>3.5000000000000003E-2</v>
      </c>
      <c r="M4641" s="508">
        <v>3.5000000000000003E-2</v>
      </c>
      <c r="N4641" s="508">
        <v>3.5000000000000003E-2</v>
      </c>
      <c r="O4641" s="508">
        <v>3.5000000000000003E-2</v>
      </c>
      <c r="P4641" s="508">
        <v>3.5000000000000003E-2</v>
      </c>
      <c r="Q4641" s="508">
        <v>3.5000000000000003E-2</v>
      </c>
      <c r="R4641" s="508">
        <v>3.5000000000000003E-2</v>
      </c>
      <c r="S4641" s="508">
        <v>3.5000000000000003E-2</v>
      </c>
      <c r="T4641" s="508">
        <v>3.5000000000000003E-2</v>
      </c>
      <c r="U4641" s="508">
        <v>3.5000000000000003E-2</v>
      </c>
      <c r="V4641" s="508">
        <v>3.5000000000000003E-2</v>
      </c>
      <c r="W4641" s="508">
        <v>3.5000000000000003E-2</v>
      </c>
      <c r="X4641" s="508">
        <v>3.5000000000000003E-2</v>
      </c>
      <c r="Y4641" s="508">
        <v>3.5000000000000003E-2</v>
      </c>
      <c r="Z4641" s="508">
        <v>3.5000000000000003E-2</v>
      </c>
      <c r="AA4641" s="508">
        <v>3.5000000000000003E-2</v>
      </c>
      <c r="AB4641" s="508">
        <v>3.5000000000000003E-2</v>
      </c>
      <c r="AC4641" s="508">
        <v>3.5000000000000003E-2</v>
      </c>
      <c r="AD4641" s="508">
        <v>3.5000000000000003E-2</v>
      </c>
      <c r="AE4641" s="508">
        <v>3.5000000000000003E-2</v>
      </c>
      <c r="AF4641" s="508">
        <v>3.5000000000000003E-2</v>
      </c>
      <c r="AG4641" s="508">
        <v>3.5000000000000003E-2</v>
      </c>
      <c r="AH4641" s="508">
        <v>3.5000000000000003E-2</v>
      </c>
      <c r="AI4641" s="492">
        <v>3.5000000000000003E-2</v>
      </c>
      <c r="AJ4641" s="485"/>
    </row>
    <row r="4642" spans="2:36">
      <c r="B4642" s="136" t="s">
        <v>465</v>
      </c>
      <c r="C4642" s="132" t="s">
        <v>1365</v>
      </c>
      <c r="D4642" s="132" t="s">
        <v>1379</v>
      </c>
      <c r="E4642" s="508">
        <v>3.7999999999999999E-2</v>
      </c>
      <c r="F4642" s="508">
        <v>3.7999999999999999E-2</v>
      </c>
      <c r="G4642" s="508">
        <v>3.7999999999999999E-2</v>
      </c>
      <c r="H4642" s="508">
        <v>3.7999999999999999E-2</v>
      </c>
      <c r="I4642" s="508">
        <v>3.7999999999999999E-2</v>
      </c>
      <c r="J4642" s="508">
        <v>3.7999999999999999E-2</v>
      </c>
      <c r="K4642" s="508">
        <v>3.7999999999999999E-2</v>
      </c>
      <c r="L4642" s="508">
        <v>3.7999999999999999E-2</v>
      </c>
      <c r="M4642" s="508">
        <v>3.7999999999999999E-2</v>
      </c>
      <c r="N4642" s="508">
        <v>3.7999999999999999E-2</v>
      </c>
      <c r="O4642" s="508">
        <v>3.7999999999999999E-2</v>
      </c>
      <c r="P4642" s="508">
        <v>3.7999999999999999E-2</v>
      </c>
      <c r="Q4642" s="508">
        <v>3.7999999999999999E-2</v>
      </c>
      <c r="R4642" s="508">
        <v>3.7999999999999999E-2</v>
      </c>
      <c r="S4642" s="508">
        <v>3.7999999999999999E-2</v>
      </c>
      <c r="T4642" s="508">
        <v>3.7999999999999999E-2</v>
      </c>
      <c r="U4642" s="508">
        <v>3.7999999999999999E-2</v>
      </c>
      <c r="V4642" s="508">
        <v>3.7999999999999999E-2</v>
      </c>
      <c r="W4642" s="508">
        <v>3.7999999999999999E-2</v>
      </c>
      <c r="X4642" s="508">
        <v>3.7999999999999999E-2</v>
      </c>
      <c r="Y4642" s="508">
        <v>3.7999999999999999E-2</v>
      </c>
      <c r="Z4642" s="508">
        <v>3.7999999999999999E-2</v>
      </c>
      <c r="AA4642" s="508">
        <v>3.7999999999999999E-2</v>
      </c>
      <c r="AB4642" s="508">
        <v>3.7999999999999999E-2</v>
      </c>
      <c r="AC4642" s="508">
        <v>3.7999999999999999E-2</v>
      </c>
      <c r="AD4642" s="508">
        <v>3.7999999999999999E-2</v>
      </c>
      <c r="AE4642" s="508">
        <v>3.7999999999999999E-2</v>
      </c>
      <c r="AF4642" s="508">
        <v>3.7999999999999999E-2</v>
      </c>
      <c r="AG4642" s="508">
        <v>3.7999999999999999E-2</v>
      </c>
      <c r="AH4642" s="508">
        <v>3.7999999999999999E-2</v>
      </c>
      <c r="AI4642" s="492">
        <v>3.7999999999999999E-2</v>
      </c>
      <c r="AJ4642" s="485"/>
    </row>
    <row r="4643" spans="2:36">
      <c r="B4643" s="136" t="s">
        <v>466</v>
      </c>
      <c r="C4643" s="132" t="s">
        <v>1365</v>
      </c>
      <c r="D4643" s="132" t="s">
        <v>1379</v>
      </c>
      <c r="E4643" s="508">
        <v>0.05</v>
      </c>
      <c r="F4643" s="508">
        <v>0.05</v>
      </c>
      <c r="G4643" s="508">
        <v>0.05</v>
      </c>
      <c r="H4643" s="508">
        <v>0.05</v>
      </c>
      <c r="I4643" s="508">
        <v>0.05</v>
      </c>
      <c r="J4643" s="508">
        <v>0.05</v>
      </c>
      <c r="K4643" s="508">
        <v>0.05</v>
      </c>
      <c r="L4643" s="508">
        <v>0.05</v>
      </c>
      <c r="M4643" s="508">
        <v>0.05</v>
      </c>
      <c r="N4643" s="508">
        <v>0.05</v>
      </c>
      <c r="O4643" s="508">
        <v>0.05</v>
      </c>
      <c r="P4643" s="508">
        <v>0.05</v>
      </c>
      <c r="Q4643" s="508">
        <v>0.05</v>
      </c>
      <c r="R4643" s="508">
        <v>0.05</v>
      </c>
      <c r="S4643" s="508">
        <v>0.05</v>
      </c>
      <c r="T4643" s="508">
        <v>0.05</v>
      </c>
      <c r="U4643" s="508">
        <v>0.05</v>
      </c>
      <c r="V4643" s="508">
        <v>0.05</v>
      </c>
      <c r="W4643" s="508">
        <v>0.05</v>
      </c>
      <c r="X4643" s="508">
        <v>0.05</v>
      </c>
      <c r="Y4643" s="508">
        <v>0.05</v>
      </c>
      <c r="Z4643" s="508">
        <v>0.05</v>
      </c>
      <c r="AA4643" s="508">
        <v>0.05</v>
      </c>
      <c r="AB4643" s="508">
        <v>0.05</v>
      </c>
      <c r="AC4643" s="508">
        <v>0.05</v>
      </c>
      <c r="AD4643" s="508">
        <v>0.05</v>
      </c>
      <c r="AE4643" s="508">
        <v>0.05</v>
      </c>
      <c r="AF4643" s="508">
        <v>0.05</v>
      </c>
      <c r="AG4643" s="508">
        <v>0.05</v>
      </c>
      <c r="AH4643" s="508">
        <v>0.05</v>
      </c>
      <c r="AI4643" s="492">
        <v>0.05</v>
      </c>
      <c r="AJ4643" s="485"/>
    </row>
    <row r="4644" spans="2:36">
      <c r="B4644" s="136" t="s">
        <v>467</v>
      </c>
      <c r="C4644" s="132" t="s">
        <v>1365</v>
      </c>
      <c r="D4644" s="132" t="s">
        <v>1379</v>
      </c>
      <c r="E4644" s="508">
        <v>4.1000000000000002E-2</v>
      </c>
      <c r="F4644" s="508">
        <v>4.1000000000000002E-2</v>
      </c>
      <c r="G4644" s="508">
        <v>4.1000000000000002E-2</v>
      </c>
      <c r="H4644" s="508">
        <v>4.1000000000000002E-2</v>
      </c>
      <c r="I4644" s="508">
        <v>4.1000000000000002E-2</v>
      </c>
      <c r="J4644" s="508">
        <v>4.1000000000000002E-2</v>
      </c>
      <c r="K4644" s="508">
        <v>4.1000000000000002E-2</v>
      </c>
      <c r="L4644" s="508">
        <v>4.1000000000000002E-2</v>
      </c>
      <c r="M4644" s="508">
        <v>0.04</v>
      </c>
      <c r="N4644" s="508">
        <v>4.1000000000000002E-2</v>
      </c>
      <c r="O4644" s="508">
        <v>4.1000000000000002E-2</v>
      </c>
      <c r="P4644" s="508">
        <v>4.1000000000000002E-2</v>
      </c>
      <c r="Q4644" s="508">
        <v>4.1000000000000002E-2</v>
      </c>
      <c r="R4644" s="508">
        <v>0.04</v>
      </c>
      <c r="S4644" s="508">
        <v>4.1000000000000002E-2</v>
      </c>
      <c r="T4644" s="508">
        <v>4.1000000000000002E-2</v>
      </c>
      <c r="U4644" s="508">
        <v>4.1000000000000002E-2</v>
      </c>
      <c r="V4644" s="508">
        <v>4.1000000000000002E-2</v>
      </c>
      <c r="W4644" s="508">
        <v>4.1000000000000002E-2</v>
      </c>
      <c r="X4644" s="508">
        <v>4.1000000000000002E-2</v>
      </c>
      <c r="Y4644" s="508">
        <v>4.1000000000000002E-2</v>
      </c>
      <c r="Z4644" s="508">
        <v>4.1000000000000002E-2</v>
      </c>
      <c r="AA4644" s="508">
        <v>4.1000000000000002E-2</v>
      </c>
      <c r="AB4644" s="508">
        <v>4.1000000000000002E-2</v>
      </c>
      <c r="AC4644" s="508">
        <v>4.1000000000000002E-2</v>
      </c>
      <c r="AD4644" s="508">
        <v>0.04</v>
      </c>
      <c r="AE4644" s="508">
        <v>4.1000000000000002E-2</v>
      </c>
      <c r="AF4644" s="508">
        <v>4.1000000000000002E-2</v>
      </c>
      <c r="AG4644" s="508">
        <v>4.1000000000000002E-2</v>
      </c>
      <c r="AH4644" s="508">
        <v>4.1000000000000002E-2</v>
      </c>
      <c r="AI4644" s="492">
        <v>4.1000000000000002E-2</v>
      </c>
      <c r="AJ4644" s="485"/>
    </row>
    <row r="4645" spans="2:36">
      <c r="B4645" s="136" t="s">
        <v>468</v>
      </c>
      <c r="C4645" s="132" t="s">
        <v>1365</v>
      </c>
      <c r="D4645" s="132" t="s">
        <v>1379</v>
      </c>
      <c r="E4645" s="508">
        <v>3.5000000000000003E-2</v>
      </c>
      <c r="F4645" s="508">
        <v>3.5000000000000003E-2</v>
      </c>
      <c r="G4645" s="508">
        <v>3.5000000000000003E-2</v>
      </c>
      <c r="H4645" s="508">
        <v>3.5000000000000003E-2</v>
      </c>
      <c r="I4645" s="508">
        <v>3.5000000000000003E-2</v>
      </c>
      <c r="J4645" s="508">
        <v>3.5000000000000003E-2</v>
      </c>
      <c r="K4645" s="508">
        <v>3.5000000000000003E-2</v>
      </c>
      <c r="L4645" s="508">
        <v>3.5000000000000003E-2</v>
      </c>
      <c r="M4645" s="508">
        <v>3.5000000000000003E-2</v>
      </c>
      <c r="N4645" s="508">
        <v>3.5000000000000003E-2</v>
      </c>
      <c r="O4645" s="508">
        <v>3.5000000000000003E-2</v>
      </c>
      <c r="P4645" s="508">
        <v>3.5000000000000003E-2</v>
      </c>
      <c r="Q4645" s="508">
        <v>3.5000000000000003E-2</v>
      </c>
      <c r="R4645" s="508">
        <v>3.5000000000000003E-2</v>
      </c>
      <c r="S4645" s="508">
        <v>3.5000000000000003E-2</v>
      </c>
      <c r="T4645" s="508">
        <v>3.5000000000000003E-2</v>
      </c>
      <c r="U4645" s="508">
        <v>3.5000000000000003E-2</v>
      </c>
      <c r="V4645" s="508">
        <v>3.5000000000000003E-2</v>
      </c>
      <c r="W4645" s="508">
        <v>3.5000000000000003E-2</v>
      </c>
      <c r="X4645" s="508">
        <v>3.5000000000000003E-2</v>
      </c>
      <c r="Y4645" s="508">
        <v>3.5000000000000003E-2</v>
      </c>
      <c r="Z4645" s="508">
        <v>3.5000000000000003E-2</v>
      </c>
      <c r="AA4645" s="508">
        <v>3.5000000000000003E-2</v>
      </c>
      <c r="AB4645" s="508">
        <v>3.5000000000000003E-2</v>
      </c>
      <c r="AC4645" s="508">
        <v>3.5000000000000003E-2</v>
      </c>
      <c r="AD4645" s="508">
        <v>3.5000000000000003E-2</v>
      </c>
      <c r="AE4645" s="508">
        <v>3.5000000000000003E-2</v>
      </c>
      <c r="AF4645" s="508">
        <v>3.5000000000000003E-2</v>
      </c>
      <c r="AG4645" s="508">
        <v>3.5000000000000003E-2</v>
      </c>
      <c r="AH4645" s="508">
        <v>3.5000000000000003E-2</v>
      </c>
      <c r="AI4645" s="492">
        <v>3.5000000000000003E-2</v>
      </c>
      <c r="AJ4645" s="485"/>
    </row>
    <row r="4646" spans="2:36">
      <c r="B4646" s="136" t="s">
        <v>469</v>
      </c>
      <c r="C4646" s="132" t="s">
        <v>1365</v>
      </c>
      <c r="D4646" s="132" t="s">
        <v>1379</v>
      </c>
      <c r="E4646" s="508">
        <v>3.9E-2</v>
      </c>
      <c r="F4646" s="508">
        <v>3.9E-2</v>
      </c>
      <c r="G4646" s="508">
        <v>3.9E-2</v>
      </c>
      <c r="H4646" s="508">
        <v>3.9E-2</v>
      </c>
      <c r="I4646" s="508">
        <v>3.9E-2</v>
      </c>
      <c r="J4646" s="508">
        <v>3.9E-2</v>
      </c>
      <c r="K4646" s="508">
        <v>3.9E-2</v>
      </c>
      <c r="L4646" s="508">
        <v>3.9E-2</v>
      </c>
      <c r="M4646" s="508">
        <v>3.9E-2</v>
      </c>
      <c r="N4646" s="508">
        <v>3.9E-2</v>
      </c>
      <c r="O4646" s="508">
        <v>3.9E-2</v>
      </c>
      <c r="P4646" s="508">
        <v>3.9E-2</v>
      </c>
      <c r="Q4646" s="508">
        <v>3.9E-2</v>
      </c>
      <c r="R4646" s="508">
        <v>3.9E-2</v>
      </c>
      <c r="S4646" s="508">
        <v>3.9E-2</v>
      </c>
      <c r="T4646" s="508">
        <v>3.9E-2</v>
      </c>
      <c r="U4646" s="508">
        <v>3.9E-2</v>
      </c>
      <c r="V4646" s="508">
        <v>3.9E-2</v>
      </c>
      <c r="W4646" s="508">
        <v>3.9E-2</v>
      </c>
      <c r="X4646" s="508">
        <v>3.9E-2</v>
      </c>
      <c r="Y4646" s="508">
        <v>3.9E-2</v>
      </c>
      <c r="Z4646" s="508">
        <v>3.9E-2</v>
      </c>
      <c r="AA4646" s="508">
        <v>3.9E-2</v>
      </c>
      <c r="AB4646" s="508">
        <v>3.9E-2</v>
      </c>
      <c r="AC4646" s="508">
        <v>3.9E-2</v>
      </c>
      <c r="AD4646" s="508">
        <v>3.9E-2</v>
      </c>
      <c r="AE4646" s="508">
        <v>3.9E-2</v>
      </c>
      <c r="AF4646" s="508">
        <v>3.9E-2</v>
      </c>
      <c r="AG4646" s="508">
        <v>3.9E-2</v>
      </c>
      <c r="AH4646" s="508">
        <v>3.9E-2</v>
      </c>
      <c r="AI4646" s="492">
        <v>3.9E-2</v>
      </c>
      <c r="AJ4646" s="485"/>
    </row>
    <row r="4647" spans="2:36">
      <c r="B4647" s="136" t="s">
        <v>470</v>
      </c>
      <c r="C4647" s="132" t="s">
        <v>1365</v>
      </c>
      <c r="D4647" s="132" t="s">
        <v>1379</v>
      </c>
      <c r="E4647" s="508">
        <v>4.4999999999999998E-2</v>
      </c>
      <c r="F4647" s="508">
        <v>4.4999999999999998E-2</v>
      </c>
      <c r="G4647" s="508">
        <v>4.4999999999999998E-2</v>
      </c>
      <c r="H4647" s="508">
        <v>4.4999999999999998E-2</v>
      </c>
      <c r="I4647" s="508">
        <v>4.4999999999999998E-2</v>
      </c>
      <c r="J4647" s="508">
        <v>4.4999999999999998E-2</v>
      </c>
      <c r="K4647" s="508">
        <v>4.4999999999999998E-2</v>
      </c>
      <c r="L4647" s="508">
        <v>4.4999999999999998E-2</v>
      </c>
      <c r="M4647" s="508">
        <v>4.4999999999999998E-2</v>
      </c>
      <c r="N4647" s="508">
        <v>4.4999999999999998E-2</v>
      </c>
      <c r="O4647" s="508">
        <v>4.4999999999999998E-2</v>
      </c>
      <c r="P4647" s="508">
        <v>4.4999999999999998E-2</v>
      </c>
      <c r="Q4647" s="508">
        <v>4.4999999999999998E-2</v>
      </c>
      <c r="R4647" s="508">
        <v>4.4999999999999998E-2</v>
      </c>
      <c r="S4647" s="508">
        <v>4.4999999999999998E-2</v>
      </c>
      <c r="T4647" s="508">
        <v>4.4999999999999998E-2</v>
      </c>
      <c r="U4647" s="508">
        <v>4.4999999999999998E-2</v>
      </c>
      <c r="V4647" s="508">
        <v>4.4999999999999998E-2</v>
      </c>
      <c r="W4647" s="508">
        <v>4.4999999999999998E-2</v>
      </c>
      <c r="X4647" s="508">
        <v>4.4999999999999998E-2</v>
      </c>
      <c r="Y4647" s="508">
        <v>4.4999999999999998E-2</v>
      </c>
      <c r="Z4647" s="508">
        <v>4.4999999999999998E-2</v>
      </c>
      <c r="AA4647" s="508">
        <v>4.4999999999999998E-2</v>
      </c>
      <c r="AB4647" s="508">
        <v>4.4999999999999998E-2</v>
      </c>
      <c r="AC4647" s="508">
        <v>4.4999999999999998E-2</v>
      </c>
      <c r="AD4647" s="508">
        <v>4.4999999999999998E-2</v>
      </c>
      <c r="AE4647" s="508">
        <v>4.4999999999999998E-2</v>
      </c>
      <c r="AF4647" s="508">
        <v>4.4999999999999998E-2</v>
      </c>
      <c r="AG4647" s="508">
        <v>4.4999999999999998E-2</v>
      </c>
      <c r="AH4647" s="508">
        <v>4.4999999999999998E-2</v>
      </c>
      <c r="AI4647" s="492">
        <v>4.4999999999999998E-2</v>
      </c>
      <c r="AJ4647" s="485"/>
    </row>
    <row r="4648" spans="2:36">
      <c r="B4648" s="136" t="s">
        <v>471</v>
      </c>
      <c r="C4648" s="132" t="s">
        <v>1365</v>
      </c>
      <c r="D4648" s="132" t="s">
        <v>1379</v>
      </c>
      <c r="E4648" s="508">
        <v>4.2999999999999997E-2</v>
      </c>
      <c r="F4648" s="508">
        <v>4.2999999999999997E-2</v>
      </c>
      <c r="G4648" s="508">
        <v>4.2999999999999997E-2</v>
      </c>
      <c r="H4648" s="508">
        <v>4.2999999999999997E-2</v>
      </c>
      <c r="I4648" s="508">
        <v>4.2999999999999997E-2</v>
      </c>
      <c r="J4648" s="508">
        <v>4.2999999999999997E-2</v>
      </c>
      <c r="K4648" s="508">
        <v>4.2999999999999997E-2</v>
      </c>
      <c r="L4648" s="508">
        <v>4.2999999999999997E-2</v>
      </c>
      <c r="M4648" s="508">
        <v>4.2999999999999997E-2</v>
      </c>
      <c r="N4648" s="508">
        <v>4.2999999999999997E-2</v>
      </c>
      <c r="O4648" s="508">
        <v>4.2999999999999997E-2</v>
      </c>
      <c r="P4648" s="508">
        <v>4.2999999999999997E-2</v>
      </c>
      <c r="Q4648" s="508">
        <v>4.2999999999999997E-2</v>
      </c>
      <c r="R4648" s="508">
        <v>4.2999999999999997E-2</v>
      </c>
      <c r="S4648" s="508">
        <v>4.2999999999999997E-2</v>
      </c>
      <c r="T4648" s="508">
        <v>4.2999999999999997E-2</v>
      </c>
      <c r="U4648" s="508">
        <v>4.2999999999999997E-2</v>
      </c>
      <c r="V4648" s="508">
        <v>4.2999999999999997E-2</v>
      </c>
      <c r="W4648" s="508">
        <v>4.2999999999999997E-2</v>
      </c>
      <c r="X4648" s="508">
        <v>4.2999999999999997E-2</v>
      </c>
      <c r="Y4648" s="508">
        <v>4.2999999999999997E-2</v>
      </c>
      <c r="Z4648" s="508">
        <v>4.2999999999999997E-2</v>
      </c>
      <c r="AA4648" s="508">
        <v>4.2999999999999997E-2</v>
      </c>
      <c r="AB4648" s="508">
        <v>4.2999999999999997E-2</v>
      </c>
      <c r="AC4648" s="508">
        <v>4.2999999999999997E-2</v>
      </c>
      <c r="AD4648" s="508">
        <v>4.2999999999999997E-2</v>
      </c>
      <c r="AE4648" s="508">
        <v>4.2999999999999997E-2</v>
      </c>
      <c r="AF4648" s="508">
        <v>4.2999999999999997E-2</v>
      </c>
      <c r="AG4648" s="508">
        <v>4.2999999999999997E-2</v>
      </c>
      <c r="AH4648" s="508">
        <v>4.2999999999999997E-2</v>
      </c>
      <c r="AI4648" s="492">
        <v>4.2999999999999997E-2</v>
      </c>
      <c r="AJ4648" s="485"/>
    </row>
    <row r="4649" spans="2:36">
      <c r="B4649" s="136" t="s">
        <v>472</v>
      </c>
      <c r="C4649" s="132" t="s">
        <v>1365</v>
      </c>
      <c r="D4649" s="132" t="s">
        <v>1379</v>
      </c>
      <c r="E4649" s="508">
        <v>3.5000000000000003E-2</v>
      </c>
      <c r="F4649" s="508">
        <v>3.5000000000000003E-2</v>
      </c>
      <c r="G4649" s="508">
        <v>3.5000000000000003E-2</v>
      </c>
      <c r="H4649" s="508">
        <v>3.5000000000000003E-2</v>
      </c>
      <c r="I4649" s="508">
        <v>3.5000000000000003E-2</v>
      </c>
      <c r="J4649" s="508">
        <v>3.5000000000000003E-2</v>
      </c>
      <c r="K4649" s="508">
        <v>3.5000000000000003E-2</v>
      </c>
      <c r="L4649" s="508">
        <v>3.5000000000000003E-2</v>
      </c>
      <c r="M4649" s="508">
        <v>3.5000000000000003E-2</v>
      </c>
      <c r="N4649" s="508">
        <v>3.5000000000000003E-2</v>
      </c>
      <c r="O4649" s="508">
        <v>3.5000000000000003E-2</v>
      </c>
      <c r="P4649" s="508">
        <v>3.5000000000000003E-2</v>
      </c>
      <c r="Q4649" s="508">
        <v>3.5000000000000003E-2</v>
      </c>
      <c r="R4649" s="508">
        <v>3.5000000000000003E-2</v>
      </c>
      <c r="S4649" s="508">
        <v>3.5000000000000003E-2</v>
      </c>
      <c r="T4649" s="508">
        <v>3.5000000000000003E-2</v>
      </c>
      <c r="U4649" s="508">
        <v>3.5000000000000003E-2</v>
      </c>
      <c r="V4649" s="508">
        <v>3.5000000000000003E-2</v>
      </c>
      <c r="W4649" s="508">
        <v>3.5000000000000003E-2</v>
      </c>
      <c r="X4649" s="508">
        <v>3.5000000000000003E-2</v>
      </c>
      <c r="Y4649" s="508">
        <v>3.5000000000000003E-2</v>
      </c>
      <c r="Z4649" s="508">
        <v>3.5000000000000003E-2</v>
      </c>
      <c r="AA4649" s="508">
        <v>3.5000000000000003E-2</v>
      </c>
      <c r="AB4649" s="508">
        <v>3.5000000000000003E-2</v>
      </c>
      <c r="AC4649" s="508">
        <v>3.5000000000000003E-2</v>
      </c>
      <c r="AD4649" s="508">
        <v>3.5000000000000003E-2</v>
      </c>
      <c r="AE4649" s="508">
        <v>3.5000000000000003E-2</v>
      </c>
      <c r="AF4649" s="508">
        <v>3.5000000000000003E-2</v>
      </c>
      <c r="AG4649" s="508">
        <v>3.5000000000000003E-2</v>
      </c>
      <c r="AH4649" s="508">
        <v>3.5000000000000003E-2</v>
      </c>
      <c r="AI4649" s="492">
        <v>3.5000000000000003E-2</v>
      </c>
      <c r="AJ4649" s="485"/>
    </row>
    <row r="4650" spans="2:36">
      <c r="B4650" s="136" t="s">
        <v>473</v>
      </c>
      <c r="C4650" s="132" t="s">
        <v>1365</v>
      </c>
      <c r="D4650" s="132" t="s">
        <v>1379</v>
      </c>
      <c r="E4650" s="508">
        <v>4.5999999999999999E-2</v>
      </c>
      <c r="F4650" s="508">
        <v>4.5999999999999999E-2</v>
      </c>
      <c r="G4650" s="508">
        <v>4.5999999999999999E-2</v>
      </c>
      <c r="H4650" s="508">
        <v>4.5999999999999999E-2</v>
      </c>
      <c r="I4650" s="508">
        <v>4.5999999999999999E-2</v>
      </c>
      <c r="J4650" s="508">
        <v>4.5999999999999999E-2</v>
      </c>
      <c r="K4650" s="508">
        <v>4.5999999999999999E-2</v>
      </c>
      <c r="L4650" s="508">
        <v>4.5999999999999999E-2</v>
      </c>
      <c r="M4650" s="508">
        <v>4.5999999999999999E-2</v>
      </c>
      <c r="N4650" s="508">
        <v>4.5999999999999999E-2</v>
      </c>
      <c r="O4650" s="508">
        <v>4.5999999999999999E-2</v>
      </c>
      <c r="P4650" s="508">
        <v>4.5999999999999999E-2</v>
      </c>
      <c r="Q4650" s="508">
        <v>4.5999999999999999E-2</v>
      </c>
      <c r="R4650" s="508">
        <v>4.5999999999999999E-2</v>
      </c>
      <c r="S4650" s="508">
        <v>4.5999999999999999E-2</v>
      </c>
      <c r="T4650" s="508">
        <v>4.5999999999999999E-2</v>
      </c>
      <c r="U4650" s="508">
        <v>4.5999999999999999E-2</v>
      </c>
      <c r="V4650" s="508">
        <v>4.5999999999999999E-2</v>
      </c>
      <c r="W4650" s="508">
        <v>4.5999999999999999E-2</v>
      </c>
      <c r="X4650" s="508">
        <v>4.5999999999999999E-2</v>
      </c>
      <c r="Y4650" s="508">
        <v>4.5999999999999999E-2</v>
      </c>
      <c r="Z4650" s="508">
        <v>4.5999999999999999E-2</v>
      </c>
      <c r="AA4650" s="508">
        <v>4.5999999999999999E-2</v>
      </c>
      <c r="AB4650" s="508">
        <v>4.5999999999999999E-2</v>
      </c>
      <c r="AC4650" s="508">
        <v>4.5999999999999999E-2</v>
      </c>
      <c r="AD4650" s="508">
        <v>4.5999999999999999E-2</v>
      </c>
      <c r="AE4650" s="508">
        <v>4.5999999999999999E-2</v>
      </c>
      <c r="AF4650" s="508">
        <v>4.5999999999999999E-2</v>
      </c>
      <c r="AG4650" s="508">
        <v>4.5999999999999999E-2</v>
      </c>
      <c r="AH4650" s="508">
        <v>4.5999999999999999E-2</v>
      </c>
      <c r="AI4650" s="492">
        <v>4.5999999999999999E-2</v>
      </c>
      <c r="AJ4650" s="485"/>
    </row>
    <row r="4651" spans="2:36">
      <c r="B4651" s="136" t="s">
        <v>474</v>
      </c>
      <c r="C4651" s="132" t="s">
        <v>1365</v>
      </c>
      <c r="D4651" s="132" t="s">
        <v>1379</v>
      </c>
      <c r="E4651" s="508">
        <v>4.2000000000000003E-2</v>
      </c>
      <c r="F4651" s="508">
        <v>4.2000000000000003E-2</v>
      </c>
      <c r="G4651" s="508">
        <v>4.2000000000000003E-2</v>
      </c>
      <c r="H4651" s="508">
        <v>4.2000000000000003E-2</v>
      </c>
      <c r="I4651" s="508">
        <v>4.2000000000000003E-2</v>
      </c>
      <c r="J4651" s="508">
        <v>4.2000000000000003E-2</v>
      </c>
      <c r="K4651" s="508">
        <v>4.2000000000000003E-2</v>
      </c>
      <c r="L4651" s="508">
        <v>4.2000000000000003E-2</v>
      </c>
      <c r="M4651" s="508">
        <v>4.2000000000000003E-2</v>
      </c>
      <c r="N4651" s="508">
        <v>4.2000000000000003E-2</v>
      </c>
      <c r="O4651" s="508">
        <v>4.2000000000000003E-2</v>
      </c>
      <c r="P4651" s="508">
        <v>4.2000000000000003E-2</v>
      </c>
      <c r="Q4651" s="508">
        <v>4.2000000000000003E-2</v>
      </c>
      <c r="R4651" s="508">
        <v>4.2000000000000003E-2</v>
      </c>
      <c r="S4651" s="508">
        <v>4.2000000000000003E-2</v>
      </c>
      <c r="T4651" s="508">
        <v>4.2000000000000003E-2</v>
      </c>
      <c r="U4651" s="508">
        <v>4.2000000000000003E-2</v>
      </c>
      <c r="V4651" s="508">
        <v>4.2000000000000003E-2</v>
      </c>
      <c r="W4651" s="508">
        <v>4.2000000000000003E-2</v>
      </c>
      <c r="X4651" s="508">
        <v>4.2000000000000003E-2</v>
      </c>
      <c r="Y4651" s="508">
        <v>4.2000000000000003E-2</v>
      </c>
      <c r="Z4651" s="508">
        <v>4.2000000000000003E-2</v>
      </c>
      <c r="AA4651" s="508">
        <v>4.2000000000000003E-2</v>
      </c>
      <c r="AB4651" s="508">
        <v>4.2000000000000003E-2</v>
      </c>
      <c r="AC4651" s="508">
        <v>4.2000000000000003E-2</v>
      </c>
      <c r="AD4651" s="508">
        <v>4.2000000000000003E-2</v>
      </c>
      <c r="AE4651" s="508">
        <v>4.2000000000000003E-2</v>
      </c>
      <c r="AF4651" s="508">
        <v>4.2000000000000003E-2</v>
      </c>
      <c r="AG4651" s="508">
        <v>4.2000000000000003E-2</v>
      </c>
      <c r="AH4651" s="508">
        <v>4.2000000000000003E-2</v>
      </c>
      <c r="AI4651" s="492">
        <v>4.2000000000000003E-2</v>
      </c>
      <c r="AJ4651" s="485"/>
    </row>
    <row r="4652" spans="2:36">
      <c r="B4652" s="136" t="s">
        <v>475</v>
      </c>
      <c r="C4652" s="132" t="s">
        <v>1365</v>
      </c>
      <c r="D4652" s="132" t="s">
        <v>1379</v>
      </c>
      <c r="E4652" s="508">
        <v>0.04</v>
      </c>
      <c r="F4652" s="508">
        <v>0.04</v>
      </c>
      <c r="G4652" s="508">
        <v>0.04</v>
      </c>
      <c r="H4652" s="508">
        <v>0.04</v>
      </c>
      <c r="I4652" s="508">
        <v>0.04</v>
      </c>
      <c r="J4652" s="508">
        <v>0.04</v>
      </c>
      <c r="K4652" s="508">
        <v>0.04</v>
      </c>
      <c r="L4652" s="508">
        <v>0.04</v>
      </c>
      <c r="M4652" s="508">
        <v>0.04</v>
      </c>
      <c r="N4652" s="508">
        <v>0.04</v>
      </c>
      <c r="O4652" s="508">
        <v>0.04</v>
      </c>
      <c r="P4652" s="508">
        <v>0.04</v>
      </c>
      <c r="Q4652" s="508">
        <v>0.04</v>
      </c>
      <c r="R4652" s="508">
        <v>0.04</v>
      </c>
      <c r="S4652" s="508">
        <v>0.04</v>
      </c>
      <c r="T4652" s="508">
        <v>0.04</v>
      </c>
      <c r="U4652" s="508">
        <v>0.04</v>
      </c>
      <c r="V4652" s="508">
        <v>0.04</v>
      </c>
      <c r="W4652" s="508">
        <v>0.04</v>
      </c>
      <c r="X4652" s="508">
        <v>0.04</v>
      </c>
      <c r="Y4652" s="508">
        <v>0.04</v>
      </c>
      <c r="Z4652" s="508">
        <v>0.04</v>
      </c>
      <c r="AA4652" s="508">
        <v>0.04</v>
      </c>
      <c r="AB4652" s="508">
        <v>0.04</v>
      </c>
      <c r="AC4652" s="508">
        <v>0.04</v>
      </c>
      <c r="AD4652" s="508">
        <v>0.04</v>
      </c>
      <c r="AE4652" s="508">
        <v>0.04</v>
      </c>
      <c r="AF4652" s="508">
        <v>0.04</v>
      </c>
      <c r="AG4652" s="508">
        <v>0.04</v>
      </c>
      <c r="AH4652" s="508">
        <v>0.04</v>
      </c>
      <c r="AI4652" s="492">
        <v>0.04</v>
      </c>
      <c r="AJ4652" s="485"/>
    </row>
    <row r="4653" spans="2:36">
      <c r="B4653" s="136" t="s">
        <v>476</v>
      </c>
      <c r="C4653" s="132" t="s">
        <v>1365</v>
      </c>
      <c r="D4653" s="132" t="s">
        <v>1379</v>
      </c>
      <c r="E4653" s="508">
        <v>4.3999999999999997E-2</v>
      </c>
      <c r="F4653" s="508">
        <v>4.3999999999999997E-2</v>
      </c>
      <c r="G4653" s="508">
        <v>4.3999999999999997E-2</v>
      </c>
      <c r="H4653" s="508">
        <v>4.3999999999999997E-2</v>
      </c>
      <c r="I4653" s="508">
        <v>4.3999999999999997E-2</v>
      </c>
      <c r="J4653" s="508">
        <v>4.3999999999999997E-2</v>
      </c>
      <c r="K4653" s="508">
        <v>4.3999999999999997E-2</v>
      </c>
      <c r="L4653" s="508">
        <v>4.3999999999999997E-2</v>
      </c>
      <c r="M4653" s="508">
        <v>4.3999999999999997E-2</v>
      </c>
      <c r="N4653" s="508">
        <v>4.3999999999999997E-2</v>
      </c>
      <c r="O4653" s="508">
        <v>4.3999999999999997E-2</v>
      </c>
      <c r="P4653" s="508">
        <v>4.3999999999999997E-2</v>
      </c>
      <c r="Q4653" s="508">
        <v>4.3999999999999997E-2</v>
      </c>
      <c r="R4653" s="508">
        <v>4.3999999999999997E-2</v>
      </c>
      <c r="S4653" s="508">
        <v>4.3999999999999997E-2</v>
      </c>
      <c r="T4653" s="508">
        <v>4.3999999999999997E-2</v>
      </c>
      <c r="U4653" s="508">
        <v>4.3999999999999997E-2</v>
      </c>
      <c r="V4653" s="508">
        <v>4.3999999999999997E-2</v>
      </c>
      <c r="W4653" s="508">
        <v>4.3999999999999997E-2</v>
      </c>
      <c r="X4653" s="508">
        <v>4.3999999999999997E-2</v>
      </c>
      <c r="Y4653" s="508">
        <v>4.3999999999999997E-2</v>
      </c>
      <c r="Z4653" s="508">
        <v>4.3999999999999997E-2</v>
      </c>
      <c r="AA4653" s="508">
        <v>4.3999999999999997E-2</v>
      </c>
      <c r="AB4653" s="508">
        <v>4.3999999999999997E-2</v>
      </c>
      <c r="AC4653" s="508">
        <v>4.3999999999999997E-2</v>
      </c>
      <c r="AD4653" s="508">
        <v>4.3999999999999997E-2</v>
      </c>
      <c r="AE4653" s="508">
        <v>4.3999999999999997E-2</v>
      </c>
      <c r="AF4653" s="508">
        <v>4.3999999999999997E-2</v>
      </c>
      <c r="AG4653" s="508">
        <v>4.3999999999999997E-2</v>
      </c>
      <c r="AH4653" s="508">
        <v>4.3999999999999997E-2</v>
      </c>
      <c r="AI4653" s="492">
        <v>4.3999999999999997E-2</v>
      </c>
      <c r="AJ4653" s="485"/>
    </row>
    <row r="4654" spans="2:36">
      <c r="B4654" s="136" t="s">
        <v>478</v>
      </c>
      <c r="C4654" s="132" t="s">
        <v>1365</v>
      </c>
      <c r="D4654" s="132" t="s">
        <v>1379</v>
      </c>
      <c r="E4654" s="508">
        <v>4.7E-2</v>
      </c>
      <c r="F4654" s="508">
        <v>4.7E-2</v>
      </c>
      <c r="G4654" s="508">
        <v>4.7E-2</v>
      </c>
      <c r="H4654" s="508">
        <v>4.7E-2</v>
      </c>
      <c r="I4654" s="508">
        <v>4.7E-2</v>
      </c>
      <c r="J4654" s="508">
        <v>4.7E-2</v>
      </c>
      <c r="K4654" s="508">
        <v>4.7E-2</v>
      </c>
      <c r="L4654" s="508">
        <v>4.7E-2</v>
      </c>
      <c r="M4654" s="508">
        <v>4.7E-2</v>
      </c>
      <c r="N4654" s="508">
        <v>4.7E-2</v>
      </c>
      <c r="O4654" s="508">
        <v>4.7E-2</v>
      </c>
      <c r="P4654" s="508">
        <v>4.7E-2</v>
      </c>
      <c r="Q4654" s="508">
        <v>4.7E-2</v>
      </c>
      <c r="R4654" s="508">
        <v>4.7E-2</v>
      </c>
      <c r="S4654" s="508">
        <v>4.7E-2</v>
      </c>
      <c r="T4654" s="508">
        <v>4.7E-2</v>
      </c>
      <c r="U4654" s="508">
        <v>4.7E-2</v>
      </c>
      <c r="V4654" s="508">
        <v>4.7E-2</v>
      </c>
      <c r="W4654" s="508">
        <v>4.7E-2</v>
      </c>
      <c r="X4654" s="508">
        <v>4.7E-2</v>
      </c>
      <c r="Y4654" s="508">
        <v>4.7E-2</v>
      </c>
      <c r="Z4654" s="508">
        <v>4.7E-2</v>
      </c>
      <c r="AA4654" s="508">
        <v>4.7E-2</v>
      </c>
      <c r="AB4654" s="508">
        <v>4.7E-2</v>
      </c>
      <c r="AC4654" s="508">
        <v>4.7E-2</v>
      </c>
      <c r="AD4654" s="508">
        <v>4.7E-2</v>
      </c>
      <c r="AE4654" s="508">
        <v>4.7E-2</v>
      </c>
      <c r="AF4654" s="508">
        <v>4.7E-2</v>
      </c>
      <c r="AG4654" s="508">
        <v>4.7E-2</v>
      </c>
      <c r="AH4654" s="508">
        <v>4.7E-2</v>
      </c>
      <c r="AI4654" s="492">
        <v>4.7E-2</v>
      </c>
      <c r="AJ4654" s="485"/>
    </row>
    <row r="4655" spans="2:36">
      <c r="B4655" s="136" t="s">
        <v>479</v>
      </c>
      <c r="C4655" s="132" t="s">
        <v>1365</v>
      </c>
      <c r="D4655" s="132" t="s">
        <v>1379</v>
      </c>
      <c r="E4655" s="508">
        <v>4.2000000000000003E-2</v>
      </c>
      <c r="F4655" s="508">
        <v>4.2000000000000003E-2</v>
      </c>
      <c r="G4655" s="508">
        <v>4.2000000000000003E-2</v>
      </c>
      <c r="H4655" s="508">
        <v>4.2000000000000003E-2</v>
      </c>
      <c r="I4655" s="508">
        <v>4.2000000000000003E-2</v>
      </c>
      <c r="J4655" s="508">
        <v>4.2000000000000003E-2</v>
      </c>
      <c r="K4655" s="508">
        <v>4.2000000000000003E-2</v>
      </c>
      <c r="L4655" s="508">
        <v>4.2000000000000003E-2</v>
      </c>
      <c r="M4655" s="508">
        <v>4.2000000000000003E-2</v>
      </c>
      <c r="N4655" s="508">
        <v>4.2000000000000003E-2</v>
      </c>
      <c r="O4655" s="508">
        <v>4.2000000000000003E-2</v>
      </c>
      <c r="P4655" s="508">
        <v>4.2000000000000003E-2</v>
      </c>
      <c r="Q4655" s="508">
        <v>4.2000000000000003E-2</v>
      </c>
      <c r="R4655" s="508">
        <v>4.2000000000000003E-2</v>
      </c>
      <c r="S4655" s="508">
        <v>4.2000000000000003E-2</v>
      </c>
      <c r="T4655" s="508">
        <v>4.2000000000000003E-2</v>
      </c>
      <c r="U4655" s="508">
        <v>4.2000000000000003E-2</v>
      </c>
      <c r="V4655" s="508">
        <v>4.2000000000000003E-2</v>
      </c>
      <c r="W4655" s="508">
        <v>4.2000000000000003E-2</v>
      </c>
      <c r="X4655" s="508">
        <v>4.2000000000000003E-2</v>
      </c>
      <c r="Y4655" s="508">
        <v>4.2000000000000003E-2</v>
      </c>
      <c r="Z4655" s="508">
        <v>4.2000000000000003E-2</v>
      </c>
      <c r="AA4655" s="508">
        <v>4.2000000000000003E-2</v>
      </c>
      <c r="AB4655" s="508">
        <v>4.2000000000000003E-2</v>
      </c>
      <c r="AC4655" s="508">
        <v>4.2000000000000003E-2</v>
      </c>
      <c r="AD4655" s="508">
        <v>4.2000000000000003E-2</v>
      </c>
      <c r="AE4655" s="508">
        <v>4.2000000000000003E-2</v>
      </c>
      <c r="AF4655" s="508">
        <v>4.2000000000000003E-2</v>
      </c>
      <c r="AG4655" s="508">
        <v>4.2000000000000003E-2</v>
      </c>
      <c r="AH4655" s="508">
        <v>4.2000000000000003E-2</v>
      </c>
      <c r="AI4655" s="492">
        <v>4.2000000000000003E-2</v>
      </c>
      <c r="AJ4655" s="485"/>
    </row>
    <row r="4656" spans="2:36">
      <c r="B4656" s="136" t="s">
        <v>480</v>
      </c>
      <c r="C4656" s="132" t="s">
        <v>1365</v>
      </c>
      <c r="D4656" s="132" t="s">
        <v>1379</v>
      </c>
      <c r="E4656" s="508">
        <v>3.4000000000000002E-2</v>
      </c>
      <c r="F4656" s="508">
        <v>3.4000000000000002E-2</v>
      </c>
      <c r="G4656" s="508">
        <v>3.4000000000000002E-2</v>
      </c>
      <c r="H4656" s="508">
        <v>3.4000000000000002E-2</v>
      </c>
      <c r="I4656" s="508">
        <v>3.4000000000000002E-2</v>
      </c>
      <c r="J4656" s="508">
        <v>3.4000000000000002E-2</v>
      </c>
      <c r="K4656" s="508">
        <v>3.4000000000000002E-2</v>
      </c>
      <c r="L4656" s="508">
        <v>3.4000000000000002E-2</v>
      </c>
      <c r="M4656" s="508">
        <v>3.4000000000000002E-2</v>
      </c>
      <c r="N4656" s="508">
        <v>3.4000000000000002E-2</v>
      </c>
      <c r="O4656" s="508">
        <v>3.4000000000000002E-2</v>
      </c>
      <c r="P4656" s="508">
        <v>3.4000000000000002E-2</v>
      </c>
      <c r="Q4656" s="508">
        <v>3.4000000000000002E-2</v>
      </c>
      <c r="R4656" s="508">
        <v>3.4000000000000002E-2</v>
      </c>
      <c r="S4656" s="508">
        <v>3.4000000000000002E-2</v>
      </c>
      <c r="T4656" s="508">
        <v>3.4000000000000002E-2</v>
      </c>
      <c r="U4656" s="508">
        <v>3.4000000000000002E-2</v>
      </c>
      <c r="V4656" s="508">
        <v>3.4000000000000002E-2</v>
      </c>
      <c r="W4656" s="508">
        <v>3.4000000000000002E-2</v>
      </c>
      <c r="X4656" s="508">
        <v>3.4000000000000002E-2</v>
      </c>
      <c r="Y4656" s="508">
        <v>3.4000000000000002E-2</v>
      </c>
      <c r="Z4656" s="508">
        <v>3.4000000000000002E-2</v>
      </c>
      <c r="AA4656" s="508">
        <v>3.4000000000000002E-2</v>
      </c>
      <c r="AB4656" s="508">
        <v>3.4000000000000002E-2</v>
      </c>
      <c r="AC4656" s="508">
        <v>3.4000000000000002E-2</v>
      </c>
      <c r="AD4656" s="508">
        <v>3.4000000000000002E-2</v>
      </c>
      <c r="AE4656" s="508">
        <v>3.4000000000000002E-2</v>
      </c>
      <c r="AF4656" s="508">
        <v>3.4000000000000002E-2</v>
      </c>
      <c r="AG4656" s="508">
        <v>3.4000000000000002E-2</v>
      </c>
      <c r="AH4656" s="508">
        <v>3.4000000000000002E-2</v>
      </c>
      <c r="AI4656" s="492">
        <v>3.4000000000000002E-2</v>
      </c>
      <c r="AJ4656" s="485"/>
    </row>
    <row r="4657" spans="2:36">
      <c r="B4657" s="136" t="s">
        <v>481</v>
      </c>
      <c r="C4657" s="132" t="s">
        <v>1365</v>
      </c>
      <c r="D4657" s="132" t="s">
        <v>1379</v>
      </c>
      <c r="E4657" s="508">
        <v>4.2999999999999997E-2</v>
      </c>
      <c r="F4657" s="508">
        <v>4.2999999999999997E-2</v>
      </c>
      <c r="G4657" s="508">
        <v>4.2999999999999997E-2</v>
      </c>
      <c r="H4657" s="508">
        <v>4.2999999999999997E-2</v>
      </c>
      <c r="I4657" s="508">
        <v>4.2999999999999997E-2</v>
      </c>
      <c r="J4657" s="508">
        <v>4.2999999999999997E-2</v>
      </c>
      <c r="K4657" s="508">
        <v>4.2999999999999997E-2</v>
      </c>
      <c r="L4657" s="508">
        <v>4.2999999999999997E-2</v>
      </c>
      <c r="M4657" s="508">
        <v>4.2999999999999997E-2</v>
      </c>
      <c r="N4657" s="508">
        <v>4.2999999999999997E-2</v>
      </c>
      <c r="O4657" s="508">
        <v>4.2999999999999997E-2</v>
      </c>
      <c r="P4657" s="508">
        <v>4.2999999999999997E-2</v>
      </c>
      <c r="Q4657" s="508">
        <v>4.2999999999999997E-2</v>
      </c>
      <c r="R4657" s="508">
        <v>4.2999999999999997E-2</v>
      </c>
      <c r="S4657" s="508">
        <v>4.2999999999999997E-2</v>
      </c>
      <c r="T4657" s="508">
        <v>4.2999999999999997E-2</v>
      </c>
      <c r="U4657" s="508">
        <v>4.2999999999999997E-2</v>
      </c>
      <c r="V4657" s="508">
        <v>4.2999999999999997E-2</v>
      </c>
      <c r="W4657" s="508">
        <v>4.2999999999999997E-2</v>
      </c>
      <c r="X4657" s="508">
        <v>4.2999999999999997E-2</v>
      </c>
      <c r="Y4657" s="508">
        <v>4.2999999999999997E-2</v>
      </c>
      <c r="Z4657" s="508">
        <v>4.2999999999999997E-2</v>
      </c>
      <c r="AA4657" s="508">
        <v>4.2999999999999997E-2</v>
      </c>
      <c r="AB4657" s="508">
        <v>4.2999999999999997E-2</v>
      </c>
      <c r="AC4657" s="508">
        <v>4.2999999999999997E-2</v>
      </c>
      <c r="AD4657" s="508">
        <v>4.2999999999999997E-2</v>
      </c>
      <c r="AE4657" s="508">
        <v>4.2999999999999997E-2</v>
      </c>
      <c r="AF4657" s="508">
        <v>4.2999999999999997E-2</v>
      </c>
      <c r="AG4657" s="508">
        <v>4.2999999999999997E-2</v>
      </c>
      <c r="AH4657" s="508">
        <v>4.2999999999999997E-2</v>
      </c>
      <c r="AI4657" s="492">
        <v>4.2999999999999997E-2</v>
      </c>
      <c r="AJ4657" s="485"/>
    </row>
    <row r="4658" spans="2:36">
      <c r="B4658" s="136" t="s">
        <v>482</v>
      </c>
      <c r="C4658" s="132" t="s">
        <v>1365</v>
      </c>
      <c r="D4658" s="132" t="s">
        <v>1379</v>
      </c>
      <c r="E4658" s="508">
        <v>4.2000000000000003E-2</v>
      </c>
      <c r="F4658" s="508">
        <v>4.2000000000000003E-2</v>
      </c>
      <c r="G4658" s="508">
        <v>4.2000000000000003E-2</v>
      </c>
      <c r="H4658" s="508">
        <v>4.2000000000000003E-2</v>
      </c>
      <c r="I4658" s="508">
        <v>4.2000000000000003E-2</v>
      </c>
      <c r="J4658" s="508">
        <v>4.2000000000000003E-2</v>
      </c>
      <c r="K4658" s="508">
        <v>4.2000000000000003E-2</v>
      </c>
      <c r="L4658" s="508">
        <v>4.2000000000000003E-2</v>
      </c>
      <c r="M4658" s="508">
        <v>4.2000000000000003E-2</v>
      </c>
      <c r="N4658" s="508">
        <v>4.2000000000000003E-2</v>
      </c>
      <c r="O4658" s="508">
        <v>4.2000000000000003E-2</v>
      </c>
      <c r="P4658" s="508">
        <v>4.2000000000000003E-2</v>
      </c>
      <c r="Q4658" s="508">
        <v>4.2000000000000003E-2</v>
      </c>
      <c r="R4658" s="508">
        <v>4.2000000000000003E-2</v>
      </c>
      <c r="S4658" s="508">
        <v>4.2000000000000003E-2</v>
      </c>
      <c r="T4658" s="508">
        <v>4.2000000000000003E-2</v>
      </c>
      <c r="U4658" s="508">
        <v>4.2000000000000003E-2</v>
      </c>
      <c r="V4658" s="508">
        <v>4.2000000000000003E-2</v>
      </c>
      <c r="W4658" s="508">
        <v>4.2000000000000003E-2</v>
      </c>
      <c r="X4658" s="508">
        <v>4.2000000000000003E-2</v>
      </c>
      <c r="Y4658" s="508">
        <v>4.2000000000000003E-2</v>
      </c>
      <c r="Z4658" s="508">
        <v>4.2000000000000003E-2</v>
      </c>
      <c r="AA4658" s="508">
        <v>4.2000000000000003E-2</v>
      </c>
      <c r="AB4658" s="508">
        <v>4.2000000000000003E-2</v>
      </c>
      <c r="AC4658" s="508">
        <v>4.2000000000000003E-2</v>
      </c>
      <c r="AD4658" s="508">
        <v>4.2000000000000003E-2</v>
      </c>
      <c r="AE4658" s="508">
        <v>4.2000000000000003E-2</v>
      </c>
      <c r="AF4658" s="508">
        <v>4.2000000000000003E-2</v>
      </c>
      <c r="AG4658" s="508">
        <v>4.2000000000000003E-2</v>
      </c>
      <c r="AH4658" s="508">
        <v>4.2000000000000003E-2</v>
      </c>
      <c r="AI4658" s="492">
        <v>4.2000000000000003E-2</v>
      </c>
      <c r="AJ4658" s="485"/>
    </row>
    <row r="4659" spans="2:36">
      <c r="B4659" s="136" t="s">
        <v>483</v>
      </c>
      <c r="C4659" s="132" t="s">
        <v>1365</v>
      </c>
      <c r="D4659" s="132" t="s">
        <v>1379</v>
      </c>
      <c r="E4659" s="508">
        <v>4.7E-2</v>
      </c>
      <c r="F4659" s="508">
        <v>4.7E-2</v>
      </c>
      <c r="G4659" s="508">
        <v>4.7E-2</v>
      </c>
      <c r="H4659" s="508">
        <v>4.7E-2</v>
      </c>
      <c r="I4659" s="508">
        <v>4.7E-2</v>
      </c>
      <c r="J4659" s="508">
        <v>4.7E-2</v>
      </c>
      <c r="K4659" s="508">
        <v>4.7E-2</v>
      </c>
      <c r="L4659" s="508">
        <v>4.7E-2</v>
      </c>
      <c r="M4659" s="508">
        <v>4.7E-2</v>
      </c>
      <c r="N4659" s="508">
        <v>4.7E-2</v>
      </c>
      <c r="O4659" s="508">
        <v>4.7E-2</v>
      </c>
      <c r="P4659" s="508">
        <v>4.7E-2</v>
      </c>
      <c r="Q4659" s="508">
        <v>4.7E-2</v>
      </c>
      <c r="R4659" s="508">
        <v>4.7E-2</v>
      </c>
      <c r="S4659" s="508">
        <v>4.7E-2</v>
      </c>
      <c r="T4659" s="508">
        <v>4.7E-2</v>
      </c>
      <c r="U4659" s="508">
        <v>4.7E-2</v>
      </c>
      <c r="V4659" s="508">
        <v>4.7E-2</v>
      </c>
      <c r="W4659" s="508">
        <v>4.7E-2</v>
      </c>
      <c r="X4659" s="508">
        <v>4.7E-2</v>
      </c>
      <c r="Y4659" s="508">
        <v>4.7E-2</v>
      </c>
      <c r="Z4659" s="508">
        <v>4.7E-2</v>
      </c>
      <c r="AA4659" s="508">
        <v>4.7E-2</v>
      </c>
      <c r="AB4659" s="508">
        <v>4.7E-2</v>
      </c>
      <c r="AC4659" s="508">
        <v>4.7E-2</v>
      </c>
      <c r="AD4659" s="508">
        <v>4.7E-2</v>
      </c>
      <c r="AE4659" s="508">
        <v>4.7E-2</v>
      </c>
      <c r="AF4659" s="508">
        <v>4.7E-2</v>
      </c>
      <c r="AG4659" s="508">
        <v>4.7E-2</v>
      </c>
      <c r="AH4659" s="508">
        <v>4.7E-2</v>
      </c>
      <c r="AI4659" s="492">
        <v>4.7E-2</v>
      </c>
      <c r="AJ4659" s="485"/>
    </row>
    <row r="4660" spans="2:36">
      <c r="B4660" s="136" t="s">
        <v>484</v>
      </c>
      <c r="C4660" s="132" t="s">
        <v>1365</v>
      </c>
      <c r="D4660" s="132" t="s">
        <v>1379</v>
      </c>
      <c r="E4660" s="508">
        <v>3.5000000000000003E-2</v>
      </c>
      <c r="F4660" s="508">
        <v>3.5000000000000003E-2</v>
      </c>
      <c r="G4660" s="508">
        <v>3.5000000000000003E-2</v>
      </c>
      <c r="H4660" s="508">
        <v>3.5000000000000003E-2</v>
      </c>
      <c r="I4660" s="508">
        <v>3.5000000000000003E-2</v>
      </c>
      <c r="J4660" s="508">
        <v>3.5000000000000003E-2</v>
      </c>
      <c r="K4660" s="508">
        <v>3.5000000000000003E-2</v>
      </c>
      <c r="L4660" s="508">
        <v>3.5000000000000003E-2</v>
      </c>
      <c r="M4660" s="508">
        <v>3.5000000000000003E-2</v>
      </c>
      <c r="N4660" s="508">
        <v>3.5000000000000003E-2</v>
      </c>
      <c r="O4660" s="508">
        <v>3.5000000000000003E-2</v>
      </c>
      <c r="P4660" s="508">
        <v>3.5000000000000003E-2</v>
      </c>
      <c r="Q4660" s="508">
        <v>3.5000000000000003E-2</v>
      </c>
      <c r="R4660" s="508">
        <v>3.5000000000000003E-2</v>
      </c>
      <c r="S4660" s="508">
        <v>3.5000000000000003E-2</v>
      </c>
      <c r="T4660" s="508">
        <v>3.5000000000000003E-2</v>
      </c>
      <c r="U4660" s="508">
        <v>3.5000000000000003E-2</v>
      </c>
      <c r="V4660" s="508">
        <v>3.5000000000000003E-2</v>
      </c>
      <c r="W4660" s="508">
        <v>3.5000000000000003E-2</v>
      </c>
      <c r="X4660" s="508">
        <v>3.5000000000000003E-2</v>
      </c>
      <c r="Y4660" s="508">
        <v>3.5000000000000003E-2</v>
      </c>
      <c r="Z4660" s="508">
        <v>3.5000000000000003E-2</v>
      </c>
      <c r="AA4660" s="508">
        <v>3.5000000000000003E-2</v>
      </c>
      <c r="AB4660" s="508">
        <v>3.5000000000000003E-2</v>
      </c>
      <c r="AC4660" s="508">
        <v>3.5000000000000003E-2</v>
      </c>
      <c r="AD4660" s="508">
        <v>3.5000000000000003E-2</v>
      </c>
      <c r="AE4660" s="508">
        <v>3.5000000000000003E-2</v>
      </c>
      <c r="AF4660" s="508">
        <v>3.5000000000000003E-2</v>
      </c>
      <c r="AG4660" s="508">
        <v>3.5000000000000003E-2</v>
      </c>
      <c r="AH4660" s="508">
        <v>3.5000000000000003E-2</v>
      </c>
      <c r="AI4660" s="492">
        <v>3.5000000000000003E-2</v>
      </c>
      <c r="AJ4660" s="485"/>
    </row>
    <row r="4661" spans="2:36">
      <c r="B4661" s="136" t="s">
        <v>486</v>
      </c>
      <c r="C4661" s="132" t="s">
        <v>1365</v>
      </c>
      <c r="D4661" s="132" t="s">
        <v>1379</v>
      </c>
      <c r="E4661" s="508">
        <v>4.2999999999999997E-2</v>
      </c>
      <c r="F4661" s="508">
        <v>4.2999999999999997E-2</v>
      </c>
      <c r="G4661" s="508">
        <v>4.2999999999999997E-2</v>
      </c>
      <c r="H4661" s="508">
        <v>4.2999999999999997E-2</v>
      </c>
      <c r="I4661" s="508">
        <v>4.2999999999999997E-2</v>
      </c>
      <c r="J4661" s="508">
        <v>4.2999999999999997E-2</v>
      </c>
      <c r="K4661" s="508">
        <v>4.2999999999999997E-2</v>
      </c>
      <c r="L4661" s="508">
        <v>4.2999999999999997E-2</v>
      </c>
      <c r="M4661" s="508">
        <v>4.2999999999999997E-2</v>
      </c>
      <c r="N4661" s="508">
        <v>4.2999999999999997E-2</v>
      </c>
      <c r="O4661" s="508">
        <v>4.2999999999999997E-2</v>
      </c>
      <c r="P4661" s="508">
        <v>4.2999999999999997E-2</v>
      </c>
      <c r="Q4661" s="508">
        <v>4.2999999999999997E-2</v>
      </c>
      <c r="R4661" s="508">
        <v>4.2999999999999997E-2</v>
      </c>
      <c r="S4661" s="508">
        <v>4.2999999999999997E-2</v>
      </c>
      <c r="T4661" s="508">
        <v>4.2999999999999997E-2</v>
      </c>
      <c r="U4661" s="508">
        <v>4.2999999999999997E-2</v>
      </c>
      <c r="V4661" s="508">
        <v>4.2999999999999997E-2</v>
      </c>
      <c r="W4661" s="508">
        <v>4.2999999999999997E-2</v>
      </c>
      <c r="X4661" s="508">
        <v>4.2999999999999997E-2</v>
      </c>
      <c r="Y4661" s="508">
        <v>4.2999999999999997E-2</v>
      </c>
      <c r="Z4661" s="508">
        <v>4.2999999999999997E-2</v>
      </c>
      <c r="AA4661" s="508">
        <v>4.2999999999999997E-2</v>
      </c>
      <c r="AB4661" s="508">
        <v>4.2999999999999997E-2</v>
      </c>
      <c r="AC4661" s="508">
        <v>4.2999999999999997E-2</v>
      </c>
      <c r="AD4661" s="508">
        <v>4.2999999999999997E-2</v>
      </c>
      <c r="AE4661" s="508">
        <v>4.2999999999999997E-2</v>
      </c>
      <c r="AF4661" s="508">
        <v>4.2999999999999997E-2</v>
      </c>
      <c r="AG4661" s="508">
        <v>4.2999999999999997E-2</v>
      </c>
      <c r="AH4661" s="508">
        <v>4.2999999999999997E-2</v>
      </c>
      <c r="AI4661" s="492">
        <v>4.2999999999999997E-2</v>
      </c>
      <c r="AJ4661" s="485"/>
    </row>
    <row r="4662" spans="2:36">
      <c r="B4662" s="136" t="s">
        <v>487</v>
      </c>
      <c r="C4662" s="132" t="s">
        <v>1365</v>
      </c>
      <c r="D4662" s="132" t="s">
        <v>1379</v>
      </c>
      <c r="E4662" s="508">
        <v>4.2999999999999997E-2</v>
      </c>
      <c r="F4662" s="508">
        <v>4.2999999999999997E-2</v>
      </c>
      <c r="G4662" s="508">
        <v>4.2999999999999997E-2</v>
      </c>
      <c r="H4662" s="508">
        <v>4.2999999999999997E-2</v>
      </c>
      <c r="I4662" s="508">
        <v>4.2999999999999997E-2</v>
      </c>
      <c r="J4662" s="508">
        <v>4.2999999999999997E-2</v>
      </c>
      <c r="K4662" s="508">
        <v>4.2999999999999997E-2</v>
      </c>
      <c r="L4662" s="508">
        <v>4.2999999999999997E-2</v>
      </c>
      <c r="M4662" s="508">
        <v>4.2999999999999997E-2</v>
      </c>
      <c r="N4662" s="508">
        <v>4.2999999999999997E-2</v>
      </c>
      <c r="O4662" s="508">
        <v>4.2999999999999997E-2</v>
      </c>
      <c r="P4662" s="508">
        <v>4.2999999999999997E-2</v>
      </c>
      <c r="Q4662" s="508">
        <v>4.2999999999999997E-2</v>
      </c>
      <c r="R4662" s="508">
        <v>4.2999999999999997E-2</v>
      </c>
      <c r="S4662" s="508">
        <v>4.2999999999999997E-2</v>
      </c>
      <c r="T4662" s="508">
        <v>4.2999999999999997E-2</v>
      </c>
      <c r="U4662" s="508">
        <v>4.2999999999999997E-2</v>
      </c>
      <c r="V4662" s="508">
        <v>4.2999999999999997E-2</v>
      </c>
      <c r="W4662" s="508">
        <v>4.2999999999999997E-2</v>
      </c>
      <c r="X4662" s="508">
        <v>4.2999999999999997E-2</v>
      </c>
      <c r="Y4662" s="508">
        <v>4.2999999999999997E-2</v>
      </c>
      <c r="Z4662" s="508">
        <v>4.2999999999999997E-2</v>
      </c>
      <c r="AA4662" s="508">
        <v>4.2999999999999997E-2</v>
      </c>
      <c r="AB4662" s="508">
        <v>4.2999999999999997E-2</v>
      </c>
      <c r="AC4662" s="508">
        <v>4.2999999999999997E-2</v>
      </c>
      <c r="AD4662" s="508">
        <v>4.2999999999999997E-2</v>
      </c>
      <c r="AE4662" s="508">
        <v>4.2999999999999997E-2</v>
      </c>
      <c r="AF4662" s="508">
        <v>4.2999999999999997E-2</v>
      </c>
      <c r="AG4662" s="508">
        <v>4.2999999999999997E-2</v>
      </c>
      <c r="AH4662" s="508">
        <v>4.2999999999999997E-2</v>
      </c>
      <c r="AI4662" s="492">
        <v>4.2999999999999997E-2</v>
      </c>
      <c r="AJ4662" s="485"/>
    </row>
    <row r="4663" spans="2:36">
      <c r="B4663" s="136" t="s">
        <v>488</v>
      </c>
      <c r="C4663" s="132" t="s">
        <v>1365</v>
      </c>
      <c r="D4663" s="132" t="s">
        <v>1379</v>
      </c>
      <c r="E4663" s="508">
        <v>3.6999999999999998E-2</v>
      </c>
      <c r="F4663" s="508">
        <v>3.6999999999999998E-2</v>
      </c>
      <c r="G4663" s="508">
        <v>3.6999999999999998E-2</v>
      </c>
      <c r="H4663" s="508">
        <v>3.6999999999999998E-2</v>
      </c>
      <c r="I4663" s="508">
        <v>3.6999999999999998E-2</v>
      </c>
      <c r="J4663" s="508">
        <v>3.6999999999999998E-2</v>
      </c>
      <c r="K4663" s="508">
        <v>3.6999999999999998E-2</v>
      </c>
      <c r="L4663" s="508">
        <v>3.6999999999999998E-2</v>
      </c>
      <c r="M4663" s="508">
        <v>3.6999999999999998E-2</v>
      </c>
      <c r="N4663" s="508">
        <v>3.6999999999999998E-2</v>
      </c>
      <c r="O4663" s="508">
        <v>3.6999999999999998E-2</v>
      </c>
      <c r="P4663" s="508">
        <v>3.6999999999999998E-2</v>
      </c>
      <c r="Q4663" s="508">
        <v>3.6999999999999998E-2</v>
      </c>
      <c r="R4663" s="508">
        <v>3.6999999999999998E-2</v>
      </c>
      <c r="S4663" s="508">
        <v>3.6999999999999998E-2</v>
      </c>
      <c r="T4663" s="508">
        <v>3.6999999999999998E-2</v>
      </c>
      <c r="U4663" s="508">
        <v>3.6999999999999998E-2</v>
      </c>
      <c r="V4663" s="508">
        <v>3.6999999999999998E-2</v>
      </c>
      <c r="W4663" s="508">
        <v>3.6999999999999998E-2</v>
      </c>
      <c r="X4663" s="508">
        <v>3.6999999999999998E-2</v>
      </c>
      <c r="Y4663" s="508">
        <v>3.6999999999999998E-2</v>
      </c>
      <c r="Z4663" s="508">
        <v>3.6999999999999998E-2</v>
      </c>
      <c r="AA4663" s="508">
        <v>3.6999999999999998E-2</v>
      </c>
      <c r="AB4663" s="508">
        <v>3.6999999999999998E-2</v>
      </c>
      <c r="AC4663" s="508">
        <v>3.6999999999999998E-2</v>
      </c>
      <c r="AD4663" s="508">
        <v>3.6999999999999998E-2</v>
      </c>
      <c r="AE4663" s="508">
        <v>3.6999999999999998E-2</v>
      </c>
      <c r="AF4663" s="508">
        <v>3.6999999999999998E-2</v>
      </c>
      <c r="AG4663" s="508">
        <v>3.6999999999999998E-2</v>
      </c>
      <c r="AH4663" s="508">
        <v>3.6999999999999998E-2</v>
      </c>
      <c r="AI4663" s="492">
        <v>3.6999999999999998E-2</v>
      </c>
      <c r="AJ4663" s="485"/>
    </row>
    <row r="4664" spans="2:36">
      <c r="B4664" s="136" t="s">
        <v>489</v>
      </c>
      <c r="C4664" s="132" t="s">
        <v>1365</v>
      </c>
      <c r="D4664" s="132" t="s">
        <v>1379</v>
      </c>
      <c r="E4664" s="508">
        <v>0.04</v>
      </c>
      <c r="F4664" s="508">
        <v>0.04</v>
      </c>
      <c r="G4664" s="508">
        <v>0.04</v>
      </c>
      <c r="H4664" s="508">
        <v>0.04</v>
      </c>
      <c r="I4664" s="508">
        <v>0.04</v>
      </c>
      <c r="J4664" s="508">
        <v>0.04</v>
      </c>
      <c r="K4664" s="508">
        <v>0.04</v>
      </c>
      <c r="L4664" s="508">
        <v>0.04</v>
      </c>
      <c r="M4664" s="508">
        <v>0.04</v>
      </c>
      <c r="N4664" s="508">
        <v>0.04</v>
      </c>
      <c r="O4664" s="508">
        <v>0.04</v>
      </c>
      <c r="P4664" s="508">
        <v>0.04</v>
      </c>
      <c r="Q4664" s="508">
        <v>0.04</v>
      </c>
      <c r="R4664" s="508">
        <v>0.04</v>
      </c>
      <c r="S4664" s="508">
        <v>0.04</v>
      </c>
      <c r="T4664" s="508">
        <v>0.04</v>
      </c>
      <c r="U4664" s="508">
        <v>0.04</v>
      </c>
      <c r="V4664" s="508">
        <v>0.04</v>
      </c>
      <c r="W4664" s="508">
        <v>0.04</v>
      </c>
      <c r="X4664" s="508">
        <v>0.04</v>
      </c>
      <c r="Y4664" s="508">
        <v>0.04</v>
      </c>
      <c r="Z4664" s="508">
        <v>0.04</v>
      </c>
      <c r="AA4664" s="508">
        <v>0.04</v>
      </c>
      <c r="AB4664" s="508">
        <v>0.04</v>
      </c>
      <c r="AC4664" s="508">
        <v>0.04</v>
      </c>
      <c r="AD4664" s="508">
        <v>0.04</v>
      </c>
      <c r="AE4664" s="508">
        <v>0.04</v>
      </c>
      <c r="AF4664" s="508">
        <v>0.04</v>
      </c>
      <c r="AG4664" s="508">
        <v>0.04</v>
      </c>
      <c r="AH4664" s="508">
        <v>0.04</v>
      </c>
      <c r="AI4664" s="492">
        <v>0.04</v>
      </c>
      <c r="AJ4664" s="485"/>
    </row>
    <row r="4665" spans="2:36">
      <c r="B4665" s="136" t="s">
        <v>490</v>
      </c>
      <c r="C4665" s="132" t="s">
        <v>1365</v>
      </c>
      <c r="D4665" s="132" t="s">
        <v>1379</v>
      </c>
      <c r="E4665" s="508">
        <v>3.5000000000000003E-2</v>
      </c>
      <c r="F4665" s="508">
        <v>3.5000000000000003E-2</v>
      </c>
      <c r="G4665" s="508">
        <v>3.5000000000000003E-2</v>
      </c>
      <c r="H4665" s="508">
        <v>3.5000000000000003E-2</v>
      </c>
      <c r="I4665" s="508">
        <v>3.5000000000000003E-2</v>
      </c>
      <c r="J4665" s="508">
        <v>3.5000000000000003E-2</v>
      </c>
      <c r="K4665" s="508">
        <v>3.5000000000000003E-2</v>
      </c>
      <c r="L4665" s="508">
        <v>3.5000000000000003E-2</v>
      </c>
      <c r="M4665" s="508">
        <v>3.5000000000000003E-2</v>
      </c>
      <c r="N4665" s="508">
        <v>3.5000000000000003E-2</v>
      </c>
      <c r="O4665" s="508">
        <v>3.5000000000000003E-2</v>
      </c>
      <c r="P4665" s="508">
        <v>3.5000000000000003E-2</v>
      </c>
      <c r="Q4665" s="508">
        <v>3.5000000000000003E-2</v>
      </c>
      <c r="R4665" s="508">
        <v>3.5000000000000003E-2</v>
      </c>
      <c r="S4665" s="508">
        <v>3.5000000000000003E-2</v>
      </c>
      <c r="T4665" s="508">
        <v>3.5000000000000003E-2</v>
      </c>
      <c r="U4665" s="508">
        <v>3.5000000000000003E-2</v>
      </c>
      <c r="V4665" s="508">
        <v>3.5000000000000003E-2</v>
      </c>
      <c r="W4665" s="508">
        <v>3.5000000000000003E-2</v>
      </c>
      <c r="X4665" s="508">
        <v>3.5000000000000003E-2</v>
      </c>
      <c r="Y4665" s="508">
        <v>3.5000000000000003E-2</v>
      </c>
      <c r="Z4665" s="508">
        <v>3.5000000000000003E-2</v>
      </c>
      <c r="AA4665" s="508">
        <v>3.5000000000000003E-2</v>
      </c>
      <c r="AB4665" s="508">
        <v>3.5000000000000003E-2</v>
      </c>
      <c r="AC4665" s="508">
        <v>3.5000000000000003E-2</v>
      </c>
      <c r="AD4665" s="508">
        <v>3.5000000000000003E-2</v>
      </c>
      <c r="AE4665" s="508">
        <v>3.5000000000000003E-2</v>
      </c>
      <c r="AF4665" s="508">
        <v>3.5000000000000003E-2</v>
      </c>
      <c r="AG4665" s="508">
        <v>3.5000000000000003E-2</v>
      </c>
      <c r="AH4665" s="508">
        <v>3.5000000000000003E-2</v>
      </c>
      <c r="AI4665" s="492">
        <v>3.5000000000000003E-2</v>
      </c>
      <c r="AJ4665" s="485"/>
    </row>
    <row r="4666" spans="2:36">
      <c r="B4666" s="136" t="s">
        <v>435</v>
      </c>
      <c r="C4666" s="132" t="s">
        <v>1366</v>
      </c>
      <c r="D4666" s="132" t="s">
        <v>1379</v>
      </c>
      <c r="E4666" s="508">
        <v>0.03</v>
      </c>
      <c r="F4666" s="508">
        <v>0.03</v>
      </c>
      <c r="G4666" s="508">
        <v>0.03</v>
      </c>
      <c r="H4666" s="508">
        <v>0.03</v>
      </c>
      <c r="I4666" s="508">
        <v>0.03</v>
      </c>
      <c r="J4666" s="508">
        <v>0.03</v>
      </c>
      <c r="K4666" s="508">
        <v>0.03</v>
      </c>
      <c r="L4666" s="508">
        <v>0.03</v>
      </c>
      <c r="M4666" s="508">
        <v>0.03</v>
      </c>
      <c r="N4666" s="508">
        <v>0.03</v>
      </c>
      <c r="O4666" s="508">
        <v>0.03</v>
      </c>
      <c r="P4666" s="508">
        <v>0.03</v>
      </c>
      <c r="Q4666" s="508">
        <v>0.03</v>
      </c>
      <c r="R4666" s="508">
        <v>0.03</v>
      </c>
      <c r="S4666" s="508">
        <v>0.03</v>
      </c>
      <c r="T4666" s="508">
        <v>0.03</v>
      </c>
      <c r="U4666" s="508">
        <v>0.03</v>
      </c>
      <c r="V4666" s="508">
        <v>0.03</v>
      </c>
      <c r="W4666" s="508">
        <v>0.03</v>
      </c>
      <c r="X4666" s="508">
        <v>0.03</v>
      </c>
      <c r="Y4666" s="508">
        <v>0.03</v>
      </c>
      <c r="Z4666" s="508">
        <v>0.03</v>
      </c>
      <c r="AA4666" s="508">
        <v>0.03</v>
      </c>
      <c r="AB4666" s="508">
        <v>0.03</v>
      </c>
      <c r="AC4666" s="508">
        <v>0.03</v>
      </c>
      <c r="AD4666" s="508">
        <v>0.03</v>
      </c>
      <c r="AE4666" s="508">
        <v>0.03</v>
      </c>
      <c r="AF4666" s="508">
        <v>0.03</v>
      </c>
      <c r="AG4666" s="508">
        <v>0.03</v>
      </c>
      <c r="AH4666" s="508">
        <v>0.03</v>
      </c>
      <c r="AI4666" s="492">
        <v>0.03</v>
      </c>
      <c r="AJ4666" s="485"/>
    </row>
    <row r="4667" spans="2:36">
      <c r="B4667" s="136" t="s">
        <v>436</v>
      </c>
      <c r="C4667" s="132" t="s">
        <v>1366</v>
      </c>
      <c r="D4667" s="132" t="s">
        <v>1379</v>
      </c>
      <c r="E4667" s="508">
        <v>2.8000000000000001E-2</v>
      </c>
      <c r="F4667" s="508">
        <v>2.8000000000000001E-2</v>
      </c>
      <c r="G4667" s="508">
        <v>2.8000000000000001E-2</v>
      </c>
      <c r="H4667" s="508">
        <v>2.8000000000000001E-2</v>
      </c>
      <c r="I4667" s="508">
        <v>2.8000000000000001E-2</v>
      </c>
      <c r="J4667" s="508">
        <v>2.8000000000000001E-2</v>
      </c>
      <c r="K4667" s="508">
        <v>2.8000000000000001E-2</v>
      </c>
      <c r="L4667" s="508">
        <v>2.8000000000000001E-2</v>
      </c>
      <c r="M4667" s="508">
        <v>2.8000000000000001E-2</v>
      </c>
      <c r="N4667" s="508">
        <v>2.8000000000000001E-2</v>
      </c>
      <c r="O4667" s="508">
        <v>2.8000000000000001E-2</v>
      </c>
      <c r="P4667" s="508">
        <v>2.8000000000000001E-2</v>
      </c>
      <c r="Q4667" s="508">
        <v>2.8000000000000001E-2</v>
      </c>
      <c r="R4667" s="508">
        <v>2.8000000000000001E-2</v>
      </c>
      <c r="S4667" s="508">
        <v>2.8000000000000001E-2</v>
      </c>
      <c r="T4667" s="508">
        <v>2.8000000000000001E-2</v>
      </c>
      <c r="U4667" s="508">
        <v>2.8000000000000001E-2</v>
      </c>
      <c r="V4667" s="508">
        <v>2.8000000000000001E-2</v>
      </c>
      <c r="W4667" s="508">
        <v>2.8000000000000001E-2</v>
      </c>
      <c r="X4667" s="508">
        <v>2.8000000000000001E-2</v>
      </c>
      <c r="Y4667" s="508">
        <v>2.8000000000000001E-2</v>
      </c>
      <c r="Z4667" s="508">
        <v>2.8000000000000001E-2</v>
      </c>
      <c r="AA4667" s="508">
        <v>2.8000000000000001E-2</v>
      </c>
      <c r="AB4667" s="508">
        <v>2.8000000000000001E-2</v>
      </c>
      <c r="AC4667" s="508">
        <v>2.8000000000000001E-2</v>
      </c>
      <c r="AD4667" s="508">
        <v>2.8000000000000001E-2</v>
      </c>
      <c r="AE4667" s="508">
        <v>2.8000000000000001E-2</v>
      </c>
      <c r="AF4667" s="508">
        <v>2.8000000000000001E-2</v>
      </c>
      <c r="AG4667" s="508">
        <v>2.8000000000000001E-2</v>
      </c>
      <c r="AH4667" s="508">
        <v>2.8000000000000001E-2</v>
      </c>
      <c r="AI4667" s="492">
        <v>2.8000000000000001E-2</v>
      </c>
      <c r="AJ4667" s="485"/>
    </row>
    <row r="4668" spans="2:36">
      <c r="B4668" s="136" t="s">
        <v>437</v>
      </c>
      <c r="C4668" s="132" t="s">
        <v>1366</v>
      </c>
      <c r="D4668" s="132" t="s">
        <v>1379</v>
      </c>
      <c r="E4668" s="508">
        <v>3.1E-2</v>
      </c>
      <c r="F4668" s="508">
        <v>3.1E-2</v>
      </c>
      <c r="G4668" s="508">
        <v>3.1E-2</v>
      </c>
      <c r="H4668" s="508">
        <v>3.1E-2</v>
      </c>
      <c r="I4668" s="508">
        <v>3.1E-2</v>
      </c>
      <c r="J4668" s="508">
        <v>3.1E-2</v>
      </c>
      <c r="K4668" s="508">
        <v>3.1E-2</v>
      </c>
      <c r="L4668" s="508">
        <v>3.1E-2</v>
      </c>
      <c r="M4668" s="508">
        <v>3.1E-2</v>
      </c>
      <c r="N4668" s="508">
        <v>3.1E-2</v>
      </c>
      <c r="O4668" s="508">
        <v>3.1E-2</v>
      </c>
      <c r="P4668" s="508">
        <v>3.1E-2</v>
      </c>
      <c r="Q4668" s="508">
        <v>3.1E-2</v>
      </c>
      <c r="R4668" s="508">
        <v>3.1E-2</v>
      </c>
      <c r="S4668" s="508">
        <v>3.1E-2</v>
      </c>
      <c r="T4668" s="508">
        <v>3.1E-2</v>
      </c>
      <c r="U4668" s="508">
        <v>3.1E-2</v>
      </c>
      <c r="V4668" s="508">
        <v>3.1E-2</v>
      </c>
      <c r="W4668" s="508">
        <v>3.1E-2</v>
      </c>
      <c r="X4668" s="508">
        <v>3.1E-2</v>
      </c>
      <c r="Y4668" s="508">
        <v>3.1E-2</v>
      </c>
      <c r="Z4668" s="508">
        <v>3.1E-2</v>
      </c>
      <c r="AA4668" s="508">
        <v>3.1E-2</v>
      </c>
      <c r="AB4668" s="508">
        <v>3.1E-2</v>
      </c>
      <c r="AC4668" s="508">
        <v>3.1E-2</v>
      </c>
      <c r="AD4668" s="508">
        <v>3.1E-2</v>
      </c>
      <c r="AE4668" s="508">
        <v>3.1E-2</v>
      </c>
      <c r="AF4668" s="508">
        <v>3.1E-2</v>
      </c>
      <c r="AG4668" s="508">
        <v>3.1E-2</v>
      </c>
      <c r="AH4668" s="508">
        <v>3.1E-2</v>
      </c>
      <c r="AI4668" s="492">
        <v>3.1E-2</v>
      </c>
      <c r="AJ4668" s="485"/>
    </row>
    <row r="4669" spans="2:36">
      <c r="B4669" s="136" t="s">
        <v>438</v>
      </c>
      <c r="C4669" s="132" t="s">
        <v>1366</v>
      </c>
      <c r="D4669" s="132" t="s">
        <v>1379</v>
      </c>
      <c r="E4669" s="508">
        <v>2.7E-2</v>
      </c>
      <c r="F4669" s="508">
        <v>2.7E-2</v>
      </c>
      <c r="G4669" s="508">
        <v>2.7E-2</v>
      </c>
      <c r="H4669" s="508">
        <v>2.7E-2</v>
      </c>
      <c r="I4669" s="508">
        <v>2.7E-2</v>
      </c>
      <c r="J4669" s="508">
        <v>2.7E-2</v>
      </c>
      <c r="K4669" s="508">
        <v>2.7E-2</v>
      </c>
      <c r="L4669" s="508">
        <v>2.7E-2</v>
      </c>
      <c r="M4669" s="508">
        <v>2.7E-2</v>
      </c>
      <c r="N4669" s="508">
        <v>2.7E-2</v>
      </c>
      <c r="O4669" s="508">
        <v>2.7E-2</v>
      </c>
      <c r="P4669" s="508">
        <v>2.7E-2</v>
      </c>
      <c r="Q4669" s="508">
        <v>2.7E-2</v>
      </c>
      <c r="R4669" s="508">
        <v>2.7E-2</v>
      </c>
      <c r="S4669" s="508">
        <v>2.7E-2</v>
      </c>
      <c r="T4669" s="508">
        <v>2.7E-2</v>
      </c>
      <c r="U4669" s="508">
        <v>2.7E-2</v>
      </c>
      <c r="V4669" s="508">
        <v>2.7E-2</v>
      </c>
      <c r="W4669" s="508">
        <v>2.7E-2</v>
      </c>
      <c r="X4669" s="508">
        <v>2.7E-2</v>
      </c>
      <c r="Y4669" s="508">
        <v>2.7E-2</v>
      </c>
      <c r="Z4669" s="508">
        <v>2.7E-2</v>
      </c>
      <c r="AA4669" s="508">
        <v>2.7E-2</v>
      </c>
      <c r="AB4669" s="508">
        <v>2.7E-2</v>
      </c>
      <c r="AC4669" s="508">
        <v>2.7E-2</v>
      </c>
      <c r="AD4669" s="508">
        <v>2.7E-2</v>
      </c>
      <c r="AE4669" s="508">
        <v>2.7E-2</v>
      </c>
      <c r="AF4669" s="508">
        <v>2.7E-2</v>
      </c>
      <c r="AG4669" s="508">
        <v>2.7E-2</v>
      </c>
      <c r="AH4669" s="508">
        <v>2.7E-2</v>
      </c>
      <c r="AI4669" s="492">
        <v>2.7E-2</v>
      </c>
      <c r="AJ4669" s="485"/>
    </row>
    <row r="4670" spans="2:36">
      <c r="B4670" s="136" t="s">
        <v>439</v>
      </c>
      <c r="C4670" s="132" t="s">
        <v>1366</v>
      </c>
      <c r="D4670" s="132" t="s">
        <v>1379</v>
      </c>
      <c r="E4670" s="508">
        <v>0.03</v>
      </c>
      <c r="F4670" s="508">
        <v>0.03</v>
      </c>
      <c r="G4670" s="508">
        <v>0.03</v>
      </c>
      <c r="H4670" s="508">
        <v>0.03</v>
      </c>
      <c r="I4670" s="508">
        <v>0.03</v>
      </c>
      <c r="J4670" s="508">
        <v>0.03</v>
      </c>
      <c r="K4670" s="508">
        <v>0.03</v>
      </c>
      <c r="L4670" s="508">
        <v>0.03</v>
      </c>
      <c r="M4670" s="508">
        <v>0.03</v>
      </c>
      <c r="N4670" s="508">
        <v>0.03</v>
      </c>
      <c r="O4670" s="508">
        <v>0.03</v>
      </c>
      <c r="P4670" s="508">
        <v>0.03</v>
      </c>
      <c r="Q4670" s="508">
        <v>0.03</v>
      </c>
      <c r="R4670" s="508">
        <v>0.03</v>
      </c>
      <c r="S4670" s="508">
        <v>0.03</v>
      </c>
      <c r="T4670" s="508">
        <v>0.03</v>
      </c>
      <c r="U4670" s="508">
        <v>0.03</v>
      </c>
      <c r="V4670" s="508">
        <v>0.03</v>
      </c>
      <c r="W4670" s="508">
        <v>0.03</v>
      </c>
      <c r="X4670" s="508">
        <v>0.03</v>
      </c>
      <c r="Y4670" s="508">
        <v>0.03</v>
      </c>
      <c r="Z4670" s="508">
        <v>0.03</v>
      </c>
      <c r="AA4670" s="508">
        <v>0.03</v>
      </c>
      <c r="AB4670" s="508">
        <v>0.03</v>
      </c>
      <c r="AC4670" s="508">
        <v>0.03</v>
      </c>
      <c r="AD4670" s="508">
        <v>0.03</v>
      </c>
      <c r="AE4670" s="508">
        <v>0.03</v>
      </c>
      <c r="AF4670" s="508">
        <v>0.03</v>
      </c>
      <c r="AG4670" s="508">
        <v>0.03</v>
      </c>
      <c r="AH4670" s="508">
        <v>0.03</v>
      </c>
      <c r="AI4670" s="492">
        <v>0.03</v>
      </c>
      <c r="AJ4670" s="485"/>
    </row>
    <row r="4671" spans="2:36">
      <c r="B4671" s="136" t="s">
        <v>440</v>
      </c>
      <c r="C4671" s="132" t="s">
        <v>1366</v>
      </c>
      <c r="D4671" s="132" t="s">
        <v>1379</v>
      </c>
      <c r="E4671" s="508">
        <v>0.03</v>
      </c>
      <c r="F4671" s="508">
        <v>0.03</v>
      </c>
      <c r="G4671" s="508">
        <v>0.03</v>
      </c>
      <c r="H4671" s="508">
        <v>0.03</v>
      </c>
      <c r="I4671" s="508">
        <v>0.03</v>
      </c>
      <c r="J4671" s="508">
        <v>0.03</v>
      </c>
      <c r="K4671" s="508">
        <v>0.03</v>
      </c>
      <c r="L4671" s="508">
        <v>0.03</v>
      </c>
      <c r="M4671" s="508">
        <v>0.03</v>
      </c>
      <c r="N4671" s="508">
        <v>0.03</v>
      </c>
      <c r="O4671" s="508">
        <v>0.03</v>
      </c>
      <c r="P4671" s="508">
        <v>0.03</v>
      </c>
      <c r="Q4671" s="508">
        <v>0.03</v>
      </c>
      <c r="R4671" s="508">
        <v>0.03</v>
      </c>
      <c r="S4671" s="508">
        <v>0.03</v>
      </c>
      <c r="T4671" s="508">
        <v>0.03</v>
      </c>
      <c r="U4671" s="508">
        <v>0.03</v>
      </c>
      <c r="V4671" s="508">
        <v>0.03</v>
      </c>
      <c r="W4671" s="508">
        <v>0.03</v>
      </c>
      <c r="X4671" s="508">
        <v>0.03</v>
      </c>
      <c r="Y4671" s="508">
        <v>0.03</v>
      </c>
      <c r="Z4671" s="508">
        <v>0.03</v>
      </c>
      <c r="AA4671" s="508">
        <v>0.03</v>
      </c>
      <c r="AB4671" s="508">
        <v>0.03</v>
      </c>
      <c r="AC4671" s="508">
        <v>0.03</v>
      </c>
      <c r="AD4671" s="508">
        <v>0.03</v>
      </c>
      <c r="AE4671" s="508">
        <v>0.03</v>
      </c>
      <c r="AF4671" s="508">
        <v>0.03</v>
      </c>
      <c r="AG4671" s="508">
        <v>0.03</v>
      </c>
      <c r="AH4671" s="508">
        <v>0.03</v>
      </c>
      <c r="AI4671" s="492">
        <v>0.03</v>
      </c>
      <c r="AJ4671" s="485"/>
    </row>
    <row r="4672" spans="2:36">
      <c r="B4672" s="136" t="s">
        <v>441</v>
      </c>
      <c r="C4672" s="132" t="s">
        <v>1366</v>
      </c>
      <c r="D4672" s="132" t="s">
        <v>1379</v>
      </c>
      <c r="E4672" s="508">
        <v>0.03</v>
      </c>
      <c r="F4672" s="508">
        <v>0.03</v>
      </c>
      <c r="G4672" s="508">
        <v>0.03</v>
      </c>
      <c r="H4672" s="508">
        <v>0.03</v>
      </c>
      <c r="I4672" s="508">
        <v>0.03</v>
      </c>
      <c r="J4672" s="508">
        <v>0.03</v>
      </c>
      <c r="K4672" s="508">
        <v>0.03</v>
      </c>
      <c r="L4672" s="508">
        <v>0.03</v>
      </c>
      <c r="M4672" s="508">
        <v>0.03</v>
      </c>
      <c r="N4672" s="508">
        <v>0.03</v>
      </c>
      <c r="O4672" s="508">
        <v>0.03</v>
      </c>
      <c r="P4672" s="508">
        <v>0.03</v>
      </c>
      <c r="Q4672" s="508">
        <v>0.03</v>
      </c>
      <c r="R4672" s="508">
        <v>0.03</v>
      </c>
      <c r="S4672" s="508">
        <v>0.03</v>
      </c>
      <c r="T4672" s="508">
        <v>0.03</v>
      </c>
      <c r="U4672" s="508">
        <v>0.03</v>
      </c>
      <c r="V4672" s="508">
        <v>0.03</v>
      </c>
      <c r="W4672" s="508">
        <v>0.03</v>
      </c>
      <c r="X4672" s="508">
        <v>0.03</v>
      </c>
      <c r="Y4672" s="508">
        <v>0.03</v>
      </c>
      <c r="Z4672" s="508">
        <v>0.03</v>
      </c>
      <c r="AA4672" s="508">
        <v>0.03</v>
      </c>
      <c r="AB4672" s="508">
        <v>0.03</v>
      </c>
      <c r="AC4672" s="508">
        <v>0.03</v>
      </c>
      <c r="AD4672" s="508">
        <v>0.03</v>
      </c>
      <c r="AE4672" s="508">
        <v>0.03</v>
      </c>
      <c r="AF4672" s="508">
        <v>0.03</v>
      </c>
      <c r="AG4672" s="508">
        <v>0.03</v>
      </c>
      <c r="AH4672" s="508">
        <v>0.03</v>
      </c>
      <c r="AI4672" s="492">
        <v>0.03</v>
      </c>
      <c r="AJ4672" s="485"/>
    </row>
    <row r="4673" spans="2:36">
      <c r="B4673" s="136" t="s">
        <v>443</v>
      </c>
      <c r="C4673" s="132" t="s">
        <v>1366</v>
      </c>
      <c r="D4673" s="132" t="s">
        <v>1379</v>
      </c>
      <c r="E4673" s="508">
        <v>3.3000000000000002E-2</v>
      </c>
      <c r="F4673" s="508">
        <v>3.3000000000000002E-2</v>
      </c>
      <c r="G4673" s="508">
        <v>3.3000000000000002E-2</v>
      </c>
      <c r="H4673" s="508">
        <v>3.3000000000000002E-2</v>
      </c>
      <c r="I4673" s="508">
        <v>3.3000000000000002E-2</v>
      </c>
      <c r="J4673" s="508">
        <v>3.3000000000000002E-2</v>
      </c>
      <c r="K4673" s="508">
        <v>3.3000000000000002E-2</v>
      </c>
      <c r="L4673" s="508">
        <v>3.3000000000000002E-2</v>
      </c>
      <c r="M4673" s="508">
        <v>3.3000000000000002E-2</v>
      </c>
      <c r="N4673" s="508">
        <v>3.3000000000000002E-2</v>
      </c>
      <c r="O4673" s="508">
        <v>3.3000000000000002E-2</v>
      </c>
      <c r="P4673" s="508">
        <v>3.3000000000000002E-2</v>
      </c>
      <c r="Q4673" s="508">
        <v>3.3000000000000002E-2</v>
      </c>
      <c r="R4673" s="508">
        <v>3.3000000000000002E-2</v>
      </c>
      <c r="S4673" s="508">
        <v>3.3000000000000002E-2</v>
      </c>
      <c r="T4673" s="508">
        <v>3.3000000000000002E-2</v>
      </c>
      <c r="U4673" s="508">
        <v>3.3000000000000002E-2</v>
      </c>
      <c r="V4673" s="508">
        <v>3.3000000000000002E-2</v>
      </c>
      <c r="W4673" s="508">
        <v>3.3000000000000002E-2</v>
      </c>
      <c r="X4673" s="508">
        <v>3.3000000000000002E-2</v>
      </c>
      <c r="Y4673" s="508">
        <v>3.3000000000000002E-2</v>
      </c>
      <c r="Z4673" s="508">
        <v>3.3000000000000002E-2</v>
      </c>
      <c r="AA4673" s="508">
        <v>3.3000000000000002E-2</v>
      </c>
      <c r="AB4673" s="508">
        <v>3.3000000000000002E-2</v>
      </c>
      <c r="AC4673" s="508">
        <v>3.3000000000000002E-2</v>
      </c>
      <c r="AD4673" s="508">
        <v>3.3000000000000002E-2</v>
      </c>
      <c r="AE4673" s="508">
        <v>3.3000000000000002E-2</v>
      </c>
      <c r="AF4673" s="508">
        <v>3.3000000000000002E-2</v>
      </c>
      <c r="AG4673" s="508">
        <v>3.3000000000000002E-2</v>
      </c>
      <c r="AH4673" s="508">
        <v>3.3000000000000002E-2</v>
      </c>
      <c r="AI4673" s="492">
        <v>3.3000000000000002E-2</v>
      </c>
      <c r="AJ4673" s="485"/>
    </row>
    <row r="4674" spans="2:36">
      <c r="B4674" s="136" t="s">
        <v>445</v>
      </c>
      <c r="C4674" s="132" t="s">
        <v>1366</v>
      </c>
      <c r="D4674" s="132" t="s">
        <v>1379</v>
      </c>
      <c r="E4674" s="508">
        <v>3.7999999999999999E-2</v>
      </c>
      <c r="F4674" s="508">
        <v>3.7999999999999999E-2</v>
      </c>
      <c r="G4674" s="508">
        <v>3.7999999999999999E-2</v>
      </c>
      <c r="H4674" s="508">
        <v>3.7999999999999999E-2</v>
      </c>
      <c r="I4674" s="508">
        <v>3.7999999999999999E-2</v>
      </c>
      <c r="J4674" s="508">
        <v>3.7999999999999999E-2</v>
      </c>
      <c r="K4674" s="508">
        <v>3.7999999999999999E-2</v>
      </c>
      <c r="L4674" s="508">
        <v>3.7999999999999999E-2</v>
      </c>
      <c r="M4674" s="508">
        <v>3.7999999999999999E-2</v>
      </c>
      <c r="N4674" s="508">
        <v>3.7999999999999999E-2</v>
      </c>
      <c r="O4674" s="508">
        <v>3.7999999999999999E-2</v>
      </c>
      <c r="P4674" s="508">
        <v>3.7999999999999999E-2</v>
      </c>
      <c r="Q4674" s="508">
        <v>3.7999999999999999E-2</v>
      </c>
      <c r="R4674" s="508">
        <v>3.7999999999999999E-2</v>
      </c>
      <c r="S4674" s="508">
        <v>3.7999999999999999E-2</v>
      </c>
      <c r="T4674" s="508">
        <v>3.7999999999999999E-2</v>
      </c>
      <c r="U4674" s="508">
        <v>3.7999999999999999E-2</v>
      </c>
      <c r="V4674" s="508">
        <v>3.7999999999999999E-2</v>
      </c>
      <c r="W4674" s="508">
        <v>3.7999999999999999E-2</v>
      </c>
      <c r="X4674" s="508">
        <v>3.7999999999999999E-2</v>
      </c>
      <c r="Y4674" s="508">
        <v>3.7999999999999999E-2</v>
      </c>
      <c r="Z4674" s="508">
        <v>3.7999999999999999E-2</v>
      </c>
      <c r="AA4674" s="508">
        <v>3.7999999999999999E-2</v>
      </c>
      <c r="AB4674" s="508">
        <v>3.7999999999999999E-2</v>
      </c>
      <c r="AC4674" s="508">
        <v>3.7999999999999999E-2</v>
      </c>
      <c r="AD4674" s="508">
        <v>3.7999999999999999E-2</v>
      </c>
      <c r="AE4674" s="508">
        <v>3.7999999999999999E-2</v>
      </c>
      <c r="AF4674" s="508">
        <v>3.7999999999999999E-2</v>
      </c>
      <c r="AG4674" s="508">
        <v>3.7999999999999999E-2</v>
      </c>
      <c r="AH4674" s="508">
        <v>3.7999999999999999E-2</v>
      </c>
      <c r="AI4674" s="492">
        <v>3.7999999999999999E-2</v>
      </c>
      <c r="AJ4674" s="485"/>
    </row>
    <row r="4675" spans="2:36">
      <c r="B4675" s="136" t="s">
        <v>446</v>
      </c>
      <c r="C4675" s="132" t="s">
        <v>1366</v>
      </c>
      <c r="D4675" s="132" t="s">
        <v>1379</v>
      </c>
      <c r="E4675" s="508">
        <v>3.5999999999999997E-2</v>
      </c>
      <c r="F4675" s="508">
        <v>3.5999999999999997E-2</v>
      </c>
      <c r="G4675" s="508">
        <v>3.5999999999999997E-2</v>
      </c>
      <c r="H4675" s="508">
        <v>3.5999999999999997E-2</v>
      </c>
      <c r="I4675" s="508">
        <v>3.5999999999999997E-2</v>
      </c>
      <c r="J4675" s="508">
        <v>3.5999999999999997E-2</v>
      </c>
      <c r="K4675" s="508">
        <v>3.5999999999999997E-2</v>
      </c>
      <c r="L4675" s="508">
        <v>3.5999999999999997E-2</v>
      </c>
      <c r="M4675" s="508">
        <v>3.5999999999999997E-2</v>
      </c>
      <c r="N4675" s="508">
        <v>3.5999999999999997E-2</v>
      </c>
      <c r="O4675" s="508">
        <v>3.5999999999999997E-2</v>
      </c>
      <c r="P4675" s="508">
        <v>3.5999999999999997E-2</v>
      </c>
      <c r="Q4675" s="508">
        <v>3.5999999999999997E-2</v>
      </c>
      <c r="R4675" s="508">
        <v>3.5999999999999997E-2</v>
      </c>
      <c r="S4675" s="508">
        <v>3.5999999999999997E-2</v>
      </c>
      <c r="T4675" s="508">
        <v>3.5999999999999997E-2</v>
      </c>
      <c r="U4675" s="508">
        <v>3.5999999999999997E-2</v>
      </c>
      <c r="V4675" s="508">
        <v>3.5999999999999997E-2</v>
      </c>
      <c r="W4675" s="508">
        <v>3.5999999999999997E-2</v>
      </c>
      <c r="X4675" s="508">
        <v>3.5999999999999997E-2</v>
      </c>
      <c r="Y4675" s="508">
        <v>3.5999999999999997E-2</v>
      </c>
      <c r="Z4675" s="508">
        <v>3.5999999999999997E-2</v>
      </c>
      <c r="AA4675" s="508">
        <v>3.5999999999999997E-2</v>
      </c>
      <c r="AB4675" s="508">
        <v>3.5999999999999997E-2</v>
      </c>
      <c r="AC4675" s="508">
        <v>3.5999999999999997E-2</v>
      </c>
      <c r="AD4675" s="508">
        <v>3.5999999999999997E-2</v>
      </c>
      <c r="AE4675" s="508">
        <v>3.5999999999999997E-2</v>
      </c>
      <c r="AF4675" s="508">
        <v>3.5999999999999997E-2</v>
      </c>
      <c r="AG4675" s="508">
        <v>3.5999999999999997E-2</v>
      </c>
      <c r="AH4675" s="508">
        <v>3.5999999999999997E-2</v>
      </c>
      <c r="AI4675" s="492">
        <v>3.5999999999999997E-2</v>
      </c>
      <c r="AJ4675" s="485"/>
    </row>
    <row r="4676" spans="2:36">
      <c r="B4676" s="136" t="s">
        <v>448</v>
      </c>
      <c r="C4676" s="132" t="s">
        <v>1366</v>
      </c>
      <c r="D4676" s="132" t="s">
        <v>1379</v>
      </c>
      <c r="E4676" s="508">
        <v>2.8000000000000001E-2</v>
      </c>
      <c r="F4676" s="508">
        <v>2.8000000000000001E-2</v>
      </c>
      <c r="G4676" s="508">
        <v>2.8000000000000001E-2</v>
      </c>
      <c r="H4676" s="508">
        <v>2.8000000000000001E-2</v>
      </c>
      <c r="I4676" s="508">
        <v>2.8000000000000001E-2</v>
      </c>
      <c r="J4676" s="508">
        <v>2.8000000000000001E-2</v>
      </c>
      <c r="K4676" s="508">
        <v>2.8000000000000001E-2</v>
      </c>
      <c r="L4676" s="508">
        <v>2.8000000000000001E-2</v>
      </c>
      <c r="M4676" s="508">
        <v>2.8000000000000001E-2</v>
      </c>
      <c r="N4676" s="508">
        <v>2.8000000000000001E-2</v>
      </c>
      <c r="O4676" s="508">
        <v>2.8000000000000001E-2</v>
      </c>
      <c r="P4676" s="508">
        <v>2.8000000000000001E-2</v>
      </c>
      <c r="Q4676" s="508">
        <v>2.8000000000000001E-2</v>
      </c>
      <c r="R4676" s="508">
        <v>2.8000000000000001E-2</v>
      </c>
      <c r="S4676" s="508">
        <v>2.8000000000000001E-2</v>
      </c>
      <c r="T4676" s="508">
        <v>2.8000000000000001E-2</v>
      </c>
      <c r="U4676" s="508">
        <v>2.8000000000000001E-2</v>
      </c>
      <c r="V4676" s="508">
        <v>2.8000000000000001E-2</v>
      </c>
      <c r="W4676" s="508">
        <v>2.8000000000000001E-2</v>
      </c>
      <c r="X4676" s="508">
        <v>2.8000000000000001E-2</v>
      </c>
      <c r="Y4676" s="508">
        <v>2.8000000000000001E-2</v>
      </c>
      <c r="Z4676" s="508">
        <v>2.8000000000000001E-2</v>
      </c>
      <c r="AA4676" s="508">
        <v>2.8000000000000001E-2</v>
      </c>
      <c r="AB4676" s="508">
        <v>2.8000000000000001E-2</v>
      </c>
      <c r="AC4676" s="508">
        <v>2.8000000000000001E-2</v>
      </c>
      <c r="AD4676" s="508">
        <v>2.8000000000000001E-2</v>
      </c>
      <c r="AE4676" s="508">
        <v>2.8000000000000001E-2</v>
      </c>
      <c r="AF4676" s="508">
        <v>2.8000000000000001E-2</v>
      </c>
      <c r="AG4676" s="508">
        <v>2.8000000000000001E-2</v>
      </c>
      <c r="AH4676" s="508">
        <v>2.8000000000000001E-2</v>
      </c>
      <c r="AI4676" s="492">
        <v>2.8000000000000001E-2</v>
      </c>
      <c r="AJ4676" s="485"/>
    </row>
    <row r="4677" spans="2:36">
      <c r="B4677" s="136" t="s">
        <v>449</v>
      </c>
      <c r="C4677" s="132" t="s">
        <v>1366</v>
      </c>
      <c r="D4677" s="132" t="s">
        <v>1379</v>
      </c>
      <c r="E4677" s="508">
        <v>3.3000000000000002E-2</v>
      </c>
      <c r="F4677" s="508">
        <v>3.3000000000000002E-2</v>
      </c>
      <c r="G4677" s="508">
        <v>3.3000000000000002E-2</v>
      </c>
      <c r="H4677" s="508">
        <v>3.3000000000000002E-2</v>
      </c>
      <c r="I4677" s="508">
        <v>3.3000000000000002E-2</v>
      </c>
      <c r="J4677" s="508">
        <v>3.3000000000000002E-2</v>
      </c>
      <c r="K4677" s="508">
        <v>3.3000000000000002E-2</v>
      </c>
      <c r="L4677" s="508">
        <v>3.3000000000000002E-2</v>
      </c>
      <c r="M4677" s="508">
        <v>3.3000000000000002E-2</v>
      </c>
      <c r="N4677" s="508">
        <v>3.3000000000000002E-2</v>
      </c>
      <c r="O4677" s="508">
        <v>3.3000000000000002E-2</v>
      </c>
      <c r="P4677" s="508">
        <v>3.3000000000000002E-2</v>
      </c>
      <c r="Q4677" s="508">
        <v>3.3000000000000002E-2</v>
      </c>
      <c r="R4677" s="508">
        <v>3.3000000000000002E-2</v>
      </c>
      <c r="S4677" s="508">
        <v>3.3000000000000002E-2</v>
      </c>
      <c r="T4677" s="508">
        <v>3.3000000000000002E-2</v>
      </c>
      <c r="U4677" s="508">
        <v>3.3000000000000002E-2</v>
      </c>
      <c r="V4677" s="508">
        <v>3.3000000000000002E-2</v>
      </c>
      <c r="W4677" s="508">
        <v>3.3000000000000002E-2</v>
      </c>
      <c r="X4677" s="508">
        <v>3.3000000000000002E-2</v>
      </c>
      <c r="Y4677" s="508">
        <v>3.3000000000000002E-2</v>
      </c>
      <c r="Z4677" s="508">
        <v>3.3000000000000002E-2</v>
      </c>
      <c r="AA4677" s="508">
        <v>3.3000000000000002E-2</v>
      </c>
      <c r="AB4677" s="508">
        <v>3.3000000000000002E-2</v>
      </c>
      <c r="AC4677" s="508">
        <v>3.3000000000000002E-2</v>
      </c>
      <c r="AD4677" s="508">
        <v>3.3000000000000002E-2</v>
      </c>
      <c r="AE4677" s="508">
        <v>3.3000000000000002E-2</v>
      </c>
      <c r="AF4677" s="508">
        <v>3.3000000000000002E-2</v>
      </c>
      <c r="AG4677" s="508">
        <v>3.3000000000000002E-2</v>
      </c>
      <c r="AH4677" s="508">
        <v>3.3000000000000002E-2</v>
      </c>
      <c r="AI4677" s="492">
        <v>3.3000000000000002E-2</v>
      </c>
      <c r="AJ4677" s="485"/>
    </row>
    <row r="4678" spans="2:36">
      <c r="B4678" s="136" t="s">
        <v>450</v>
      </c>
      <c r="C4678" s="132" t="s">
        <v>1366</v>
      </c>
      <c r="D4678" s="132" t="s">
        <v>1379</v>
      </c>
      <c r="E4678" s="508">
        <v>2.8000000000000001E-2</v>
      </c>
      <c r="F4678" s="508">
        <v>2.8000000000000001E-2</v>
      </c>
      <c r="G4678" s="508">
        <v>2.8000000000000001E-2</v>
      </c>
      <c r="H4678" s="508">
        <v>2.8000000000000001E-2</v>
      </c>
      <c r="I4678" s="508">
        <v>2.8000000000000001E-2</v>
      </c>
      <c r="J4678" s="508">
        <v>2.8000000000000001E-2</v>
      </c>
      <c r="K4678" s="508">
        <v>2.8000000000000001E-2</v>
      </c>
      <c r="L4678" s="508">
        <v>2.8000000000000001E-2</v>
      </c>
      <c r="M4678" s="508">
        <v>2.8000000000000001E-2</v>
      </c>
      <c r="N4678" s="508">
        <v>2.8000000000000001E-2</v>
      </c>
      <c r="O4678" s="508">
        <v>2.8000000000000001E-2</v>
      </c>
      <c r="P4678" s="508">
        <v>2.8000000000000001E-2</v>
      </c>
      <c r="Q4678" s="508">
        <v>2.8000000000000001E-2</v>
      </c>
      <c r="R4678" s="508">
        <v>2.8000000000000001E-2</v>
      </c>
      <c r="S4678" s="508">
        <v>2.8000000000000001E-2</v>
      </c>
      <c r="T4678" s="508">
        <v>2.8000000000000001E-2</v>
      </c>
      <c r="U4678" s="508">
        <v>2.8000000000000001E-2</v>
      </c>
      <c r="V4678" s="508">
        <v>2.8000000000000001E-2</v>
      </c>
      <c r="W4678" s="508">
        <v>2.8000000000000001E-2</v>
      </c>
      <c r="X4678" s="508">
        <v>2.8000000000000001E-2</v>
      </c>
      <c r="Y4678" s="508">
        <v>2.8000000000000001E-2</v>
      </c>
      <c r="Z4678" s="508">
        <v>2.8000000000000001E-2</v>
      </c>
      <c r="AA4678" s="508">
        <v>2.8000000000000001E-2</v>
      </c>
      <c r="AB4678" s="508">
        <v>2.8000000000000001E-2</v>
      </c>
      <c r="AC4678" s="508">
        <v>2.8000000000000001E-2</v>
      </c>
      <c r="AD4678" s="508">
        <v>2.8000000000000001E-2</v>
      </c>
      <c r="AE4678" s="508">
        <v>2.8000000000000001E-2</v>
      </c>
      <c r="AF4678" s="508">
        <v>2.8000000000000001E-2</v>
      </c>
      <c r="AG4678" s="508">
        <v>2.8000000000000001E-2</v>
      </c>
      <c r="AH4678" s="508">
        <v>2.8000000000000001E-2</v>
      </c>
      <c r="AI4678" s="492">
        <v>2.8000000000000001E-2</v>
      </c>
      <c r="AJ4678" s="485"/>
    </row>
    <row r="4679" spans="2:36">
      <c r="B4679" s="136" t="s">
        <v>451</v>
      </c>
      <c r="C4679" s="132" t="s">
        <v>1366</v>
      </c>
      <c r="D4679" s="132" t="s">
        <v>1379</v>
      </c>
      <c r="E4679" s="508">
        <v>3.5000000000000003E-2</v>
      </c>
      <c r="F4679" s="508">
        <v>3.5000000000000003E-2</v>
      </c>
      <c r="G4679" s="508">
        <v>3.5000000000000003E-2</v>
      </c>
      <c r="H4679" s="508">
        <v>3.5000000000000003E-2</v>
      </c>
      <c r="I4679" s="508">
        <v>3.5000000000000003E-2</v>
      </c>
      <c r="J4679" s="508">
        <v>3.5000000000000003E-2</v>
      </c>
      <c r="K4679" s="508">
        <v>3.5000000000000003E-2</v>
      </c>
      <c r="L4679" s="508">
        <v>3.5000000000000003E-2</v>
      </c>
      <c r="M4679" s="508">
        <v>3.5000000000000003E-2</v>
      </c>
      <c r="N4679" s="508">
        <v>3.5000000000000003E-2</v>
      </c>
      <c r="O4679" s="508">
        <v>3.5000000000000003E-2</v>
      </c>
      <c r="P4679" s="508">
        <v>3.5000000000000003E-2</v>
      </c>
      <c r="Q4679" s="508">
        <v>3.5000000000000003E-2</v>
      </c>
      <c r="R4679" s="508">
        <v>3.5000000000000003E-2</v>
      </c>
      <c r="S4679" s="508">
        <v>3.5000000000000003E-2</v>
      </c>
      <c r="T4679" s="508">
        <v>3.5000000000000003E-2</v>
      </c>
      <c r="U4679" s="508">
        <v>3.5000000000000003E-2</v>
      </c>
      <c r="V4679" s="508">
        <v>3.5000000000000003E-2</v>
      </c>
      <c r="W4679" s="508">
        <v>3.5000000000000003E-2</v>
      </c>
      <c r="X4679" s="508">
        <v>3.5000000000000003E-2</v>
      </c>
      <c r="Y4679" s="508">
        <v>3.5000000000000003E-2</v>
      </c>
      <c r="Z4679" s="508">
        <v>3.5000000000000003E-2</v>
      </c>
      <c r="AA4679" s="508">
        <v>3.5000000000000003E-2</v>
      </c>
      <c r="AB4679" s="508">
        <v>3.5000000000000003E-2</v>
      </c>
      <c r="AC4679" s="508">
        <v>3.5000000000000003E-2</v>
      </c>
      <c r="AD4679" s="508">
        <v>3.5000000000000003E-2</v>
      </c>
      <c r="AE4679" s="508">
        <v>3.5000000000000003E-2</v>
      </c>
      <c r="AF4679" s="508">
        <v>3.5000000000000003E-2</v>
      </c>
      <c r="AG4679" s="508">
        <v>3.5000000000000003E-2</v>
      </c>
      <c r="AH4679" s="508">
        <v>3.5000000000000003E-2</v>
      </c>
      <c r="AI4679" s="492">
        <v>3.5000000000000003E-2</v>
      </c>
      <c r="AJ4679" s="485"/>
    </row>
    <row r="4680" spans="2:36">
      <c r="B4680" s="136" t="s">
        <v>452</v>
      </c>
      <c r="C4680" s="132" t="s">
        <v>1366</v>
      </c>
      <c r="D4680" s="132" t="s">
        <v>1379</v>
      </c>
      <c r="E4680" s="508">
        <v>3.2000000000000001E-2</v>
      </c>
      <c r="F4680" s="508">
        <v>3.2000000000000001E-2</v>
      </c>
      <c r="G4680" s="508">
        <v>3.2000000000000001E-2</v>
      </c>
      <c r="H4680" s="508">
        <v>3.2000000000000001E-2</v>
      </c>
      <c r="I4680" s="508">
        <v>3.2000000000000001E-2</v>
      </c>
      <c r="J4680" s="508">
        <v>3.2000000000000001E-2</v>
      </c>
      <c r="K4680" s="508">
        <v>3.2000000000000001E-2</v>
      </c>
      <c r="L4680" s="508">
        <v>3.2000000000000001E-2</v>
      </c>
      <c r="M4680" s="508">
        <v>3.2000000000000001E-2</v>
      </c>
      <c r="N4680" s="508">
        <v>3.2000000000000001E-2</v>
      </c>
      <c r="O4680" s="508">
        <v>3.2000000000000001E-2</v>
      </c>
      <c r="P4680" s="508">
        <v>3.2000000000000001E-2</v>
      </c>
      <c r="Q4680" s="508">
        <v>3.2000000000000001E-2</v>
      </c>
      <c r="R4680" s="508">
        <v>3.2000000000000001E-2</v>
      </c>
      <c r="S4680" s="508">
        <v>3.2000000000000001E-2</v>
      </c>
      <c r="T4680" s="508">
        <v>3.2000000000000001E-2</v>
      </c>
      <c r="U4680" s="508">
        <v>3.2000000000000001E-2</v>
      </c>
      <c r="V4680" s="508">
        <v>3.2000000000000001E-2</v>
      </c>
      <c r="W4680" s="508">
        <v>3.2000000000000001E-2</v>
      </c>
      <c r="X4680" s="508">
        <v>3.2000000000000001E-2</v>
      </c>
      <c r="Y4680" s="508">
        <v>3.2000000000000001E-2</v>
      </c>
      <c r="Z4680" s="508">
        <v>3.2000000000000001E-2</v>
      </c>
      <c r="AA4680" s="508">
        <v>3.2000000000000001E-2</v>
      </c>
      <c r="AB4680" s="508">
        <v>3.2000000000000001E-2</v>
      </c>
      <c r="AC4680" s="508">
        <v>3.2000000000000001E-2</v>
      </c>
      <c r="AD4680" s="508">
        <v>3.2000000000000001E-2</v>
      </c>
      <c r="AE4680" s="508">
        <v>3.2000000000000001E-2</v>
      </c>
      <c r="AF4680" s="508">
        <v>3.2000000000000001E-2</v>
      </c>
      <c r="AG4680" s="508">
        <v>3.2000000000000001E-2</v>
      </c>
      <c r="AH4680" s="508">
        <v>3.2000000000000001E-2</v>
      </c>
      <c r="AI4680" s="492">
        <v>3.2000000000000001E-2</v>
      </c>
      <c r="AJ4680" s="485"/>
    </row>
    <row r="4681" spans="2:36">
      <c r="B4681" s="136" t="s">
        <v>453</v>
      </c>
      <c r="C4681" s="132" t="s">
        <v>1366</v>
      </c>
      <c r="D4681" s="132" t="s">
        <v>1379</v>
      </c>
      <c r="E4681" s="508">
        <v>2.8000000000000001E-2</v>
      </c>
      <c r="F4681" s="508">
        <v>2.8000000000000001E-2</v>
      </c>
      <c r="G4681" s="508">
        <v>2.8000000000000001E-2</v>
      </c>
      <c r="H4681" s="508">
        <v>2.8000000000000001E-2</v>
      </c>
      <c r="I4681" s="508">
        <v>2.8000000000000001E-2</v>
      </c>
      <c r="J4681" s="508">
        <v>2.8000000000000001E-2</v>
      </c>
      <c r="K4681" s="508">
        <v>2.8000000000000001E-2</v>
      </c>
      <c r="L4681" s="508">
        <v>2.8000000000000001E-2</v>
      </c>
      <c r="M4681" s="508">
        <v>2.8000000000000001E-2</v>
      </c>
      <c r="N4681" s="508">
        <v>2.8000000000000001E-2</v>
      </c>
      <c r="O4681" s="508">
        <v>2.8000000000000001E-2</v>
      </c>
      <c r="P4681" s="508">
        <v>2.8000000000000001E-2</v>
      </c>
      <c r="Q4681" s="508">
        <v>2.8000000000000001E-2</v>
      </c>
      <c r="R4681" s="508">
        <v>2.8000000000000001E-2</v>
      </c>
      <c r="S4681" s="508">
        <v>2.8000000000000001E-2</v>
      </c>
      <c r="T4681" s="508">
        <v>2.8000000000000001E-2</v>
      </c>
      <c r="U4681" s="508">
        <v>2.8000000000000001E-2</v>
      </c>
      <c r="V4681" s="508">
        <v>2.8000000000000001E-2</v>
      </c>
      <c r="W4681" s="508">
        <v>2.8000000000000001E-2</v>
      </c>
      <c r="X4681" s="508">
        <v>2.8000000000000001E-2</v>
      </c>
      <c r="Y4681" s="508">
        <v>2.8000000000000001E-2</v>
      </c>
      <c r="Z4681" s="508">
        <v>2.8000000000000001E-2</v>
      </c>
      <c r="AA4681" s="508">
        <v>2.8000000000000001E-2</v>
      </c>
      <c r="AB4681" s="508">
        <v>2.8000000000000001E-2</v>
      </c>
      <c r="AC4681" s="508">
        <v>2.8000000000000001E-2</v>
      </c>
      <c r="AD4681" s="508">
        <v>2.8000000000000001E-2</v>
      </c>
      <c r="AE4681" s="508">
        <v>2.8000000000000001E-2</v>
      </c>
      <c r="AF4681" s="508">
        <v>2.8000000000000001E-2</v>
      </c>
      <c r="AG4681" s="508">
        <v>2.8000000000000001E-2</v>
      </c>
      <c r="AH4681" s="508">
        <v>2.8000000000000001E-2</v>
      </c>
      <c r="AI4681" s="492">
        <v>2.8000000000000001E-2</v>
      </c>
      <c r="AJ4681" s="485"/>
    </row>
    <row r="4682" spans="2:36">
      <c r="B4682" s="136" t="s">
        <v>454</v>
      </c>
      <c r="C4682" s="132" t="s">
        <v>1366</v>
      </c>
      <c r="D4682" s="132" t="s">
        <v>1379</v>
      </c>
      <c r="E4682" s="508">
        <v>2.8000000000000001E-2</v>
      </c>
      <c r="F4682" s="508">
        <v>2.8000000000000001E-2</v>
      </c>
      <c r="G4682" s="508">
        <v>2.8000000000000001E-2</v>
      </c>
      <c r="H4682" s="508">
        <v>2.8000000000000001E-2</v>
      </c>
      <c r="I4682" s="508">
        <v>2.8000000000000001E-2</v>
      </c>
      <c r="J4682" s="508">
        <v>2.8000000000000001E-2</v>
      </c>
      <c r="K4682" s="508">
        <v>2.8000000000000001E-2</v>
      </c>
      <c r="L4682" s="508">
        <v>2.8000000000000001E-2</v>
      </c>
      <c r="M4682" s="508">
        <v>2.8000000000000001E-2</v>
      </c>
      <c r="N4682" s="508">
        <v>2.8000000000000001E-2</v>
      </c>
      <c r="O4682" s="508">
        <v>2.8000000000000001E-2</v>
      </c>
      <c r="P4682" s="508">
        <v>2.8000000000000001E-2</v>
      </c>
      <c r="Q4682" s="508">
        <v>2.8000000000000001E-2</v>
      </c>
      <c r="R4682" s="508">
        <v>2.8000000000000001E-2</v>
      </c>
      <c r="S4682" s="508">
        <v>2.8000000000000001E-2</v>
      </c>
      <c r="T4682" s="508">
        <v>2.8000000000000001E-2</v>
      </c>
      <c r="U4682" s="508">
        <v>2.8000000000000001E-2</v>
      </c>
      <c r="V4682" s="508">
        <v>2.8000000000000001E-2</v>
      </c>
      <c r="W4682" s="508">
        <v>2.8000000000000001E-2</v>
      </c>
      <c r="X4682" s="508">
        <v>2.8000000000000001E-2</v>
      </c>
      <c r="Y4682" s="508">
        <v>2.8000000000000001E-2</v>
      </c>
      <c r="Z4682" s="508">
        <v>2.8000000000000001E-2</v>
      </c>
      <c r="AA4682" s="508">
        <v>2.8000000000000001E-2</v>
      </c>
      <c r="AB4682" s="508">
        <v>2.8000000000000001E-2</v>
      </c>
      <c r="AC4682" s="508">
        <v>2.8000000000000001E-2</v>
      </c>
      <c r="AD4682" s="508">
        <v>2.8000000000000001E-2</v>
      </c>
      <c r="AE4682" s="508">
        <v>2.8000000000000001E-2</v>
      </c>
      <c r="AF4682" s="508">
        <v>2.8000000000000001E-2</v>
      </c>
      <c r="AG4682" s="508">
        <v>2.8000000000000001E-2</v>
      </c>
      <c r="AH4682" s="508">
        <v>2.8000000000000001E-2</v>
      </c>
      <c r="AI4682" s="492">
        <v>2.8000000000000001E-2</v>
      </c>
      <c r="AJ4682" s="485"/>
    </row>
    <row r="4683" spans="2:36">
      <c r="B4683" s="136" t="s">
        <v>455</v>
      </c>
      <c r="C4683" s="132" t="s">
        <v>1366</v>
      </c>
      <c r="D4683" s="132" t="s">
        <v>1379</v>
      </c>
      <c r="E4683" s="508">
        <v>2.5999999999999999E-2</v>
      </c>
      <c r="F4683" s="508">
        <v>2.5999999999999999E-2</v>
      </c>
      <c r="G4683" s="508">
        <v>2.5999999999999999E-2</v>
      </c>
      <c r="H4683" s="508">
        <v>2.5999999999999999E-2</v>
      </c>
      <c r="I4683" s="508">
        <v>2.5999999999999999E-2</v>
      </c>
      <c r="J4683" s="508">
        <v>2.5999999999999999E-2</v>
      </c>
      <c r="K4683" s="508">
        <v>2.5999999999999999E-2</v>
      </c>
      <c r="L4683" s="508">
        <v>2.5999999999999999E-2</v>
      </c>
      <c r="M4683" s="508">
        <v>2.5999999999999999E-2</v>
      </c>
      <c r="N4683" s="508">
        <v>2.5999999999999999E-2</v>
      </c>
      <c r="O4683" s="508">
        <v>2.5999999999999999E-2</v>
      </c>
      <c r="P4683" s="508">
        <v>2.5999999999999999E-2</v>
      </c>
      <c r="Q4683" s="508">
        <v>2.5999999999999999E-2</v>
      </c>
      <c r="R4683" s="508">
        <v>2.5999999999999999E-2</v>
      </c>
      <c r="S4683" s="508">
        <v>2.5999999999999999E-2</v>
      </c>
      <c r="T4683" s="508">
        <v>2.5999999999999999E-2</v>
      </c>
      <c r="U4683" s="508">
        <v>2.5999999999999999E-2</v>
      </c>
      <c r="V4683" s="508">
        <v>2.5999999999999999E-2</v>
      </c>
      <c r="W4683" s="508">
        <v>2.5999999999999999E-2</v>
      </c>
      <c r="X4683" s="508">
        <v>2.5999999999999999E-2</v>
      </c>
      <c r="Y4683" s="508">
        <v>2.5999999999999999E-2</v>
      </c>
      <c r="Z4683" s="508">
        <v>2.5999999999999999E-2</v>
      </c>
      <c r="AA4683" s="508">
        <v>2.5999999999999999E-2</v>
      </c>
      <c r="AB4683" s="508">
        <v>2.5999999999999999E-2</v>
      </c>
      <c r="AC4683" s="508">
        <v>2.5999999999999999E-2</v>
      </c>
      <c r="AD4683" s="508">
        <v>2.5999999999999999E-2</v>
      </c>
      <c r="AE4683" s="508">
        <v>2.5999999999999999E-2</v>
      </c>
      <c r="AF4683" s="508">
        <v>2.5999999999999999E-2</v>
      </c>
      <c r="AG4683" s="508">
        <v>2.5999999999999999E-2</v>
      </c>
      <c r="AH4683" s="508">
        <v>2.5999999999999999E-2</v>
      </c>
      <c r="AI4683" s="492">
        <v>2.5999999999999999E-2</v>
      </c>
      <c r="AJ4683" s="485"/>
    </row>
    <row r="4684" spans="2:36">
      <c r="B4684" s="136" t="s">
        <v>456</v>
      </c>
      <c r="C4684" s="132" t="s">
        <v>1366</v>
      </c>
      <c r="D4684" s="132" t="s">
        <v>1379</v>
      </c>
      <c r="E4684" s="508">
        <v>2.9000000000000001E-2</v>
      </c>
      <c r="F4684" s="508">
        <v>2.9000000000000001E-2</v>
      </c>
      <c r="G4684" s="508">
        <v>2.9000000000000001E-2</v>
      </c>
      <c r="H4684" s="508">
        <v>2.9000000000000001E-2</v>
      </c>
      <c r="I4684" s="508">
        <v>2.9000000000000001E-2</v>
      </c>
      <c r="J4684" s="508">
        <v>2.9000000000000001E-2</v>
      </c>
      <c r="K4684" s="508">
        <v>2.9000000000000001E-2</v>
      </c>
      <c r="L4684" s="508">
        <v>2.9000000000000001E-2</v>
      </c>
      <c r="M4684" s="508">
        <v>2.9000000000000001E-2</v>
      </c>
      <c r="N4684" s="508">
        <v>2.9000000000000001E-2</v>
      </c>
      <c r="O4684" s="508">
        <v>2.9000000000000001E-2</v>
      </c>
      <c r="P4684" s="508">
        <v>2.9000000000000001E-2</v>
      </c>
      <c r="Q4684" s="508">
        <v>2.9000000000000001E-2</v>
      </c>
      <c r="R4684" s="508">
        <v>2.9000000000000001E-2</v>
      </c>
      <c r="S4684" s="508">
        <v>2.9000000000000001E-2</v>
      </c>
      <c r="T4684" s="508">
        <v>2.9000000000000001E-2</v>
      </c>
      <c r="U4684" s="508">
        <v>2.9000000000000001E-2</v>
      </c>
      <c r="V4684" s="508">
        <v>2.9000000000000001E-2</v>
      </c>
      <c r="W4684" s="508">
        <v>2.9000000000000001E-2</v>
      </c>
      <c r="X4684" s="508">
        <v>2.9000000000000001E-2</v>
      </c>
      <c r="Y4684" s="508">
        <v>2.9000000000000001E-2</v>
      </c>
      <c r="Z4684" s="508">
        <v>2.9000000000000001E-2</v>
      </c>
      <c r="AA4684" s="508">
        <v>2.9000000000000001E-2</v>
      </c>
      <c r="AB4684" s="508">
        <v>2.9000000000000001E-2</v>
      </c>
      <c r="AC4684" s="508">
        <v>2.9000000000000001E-2</v>
      </c>
      <c r="AD4684" s="508">
        <v>2.9000000000000001E-2</v>
      </c>
      <c r="AE4684" s="508">
        <v>2.9000000000000001E-2</v>
      </c>
      <c r="AF4684" s="508">
        <v>2.9000000000000001E-2</v>
      </c>
      <c r="AG4684" s="508">
        <v>2.9000000000000001E-2</v>
      </c>
      <c r="AH4684" s="508">
        <v>2.9000000000000001E-2</v>
      </c>
      <c r="AI4684" s="492">
        <v>2.9000000000000001E-2</v>
      </c>
      <c r="AJ4684" s="485"/>
    </row>
    <row r="4685" spans="2:36">
      <c r="B4685" s="136" t="s">
        <v>457</v>
      </c>
      <c r="C4685" s="132" t="s">
        <v>1366</v>
      </c>
      <c r="D4685" s="132" t="s">
        <v>1379</v>
      </c>
      <c r="E4685" s="508">
        <v>2.5000000000000001E-2</v>
      </c>
      <c r="F4685" s="508">
        <v>2.5000000000000001E-2</v>
      </c>
      <c r="G4685" s="508">
        <v>2.5000000000000001E-2</v>
      </c>
      <c r="H4685" s="508">
        <v>2.5000000000000001E-2</v>
      </c>
      <c r="I4685" s="508">
        <v>2.5000000000000001E-2</v>
      </c>
      <c r="J4685" s="508">
        <v>2.5000000000000001E-2</v>
      </c>
      <c r="K4685" s="508">
        <v>2.5000000000000001E-2</v>
      </c>
      <c r="L4685" s="508">
        <v>2.5000000000000001E-2</v>
      </c>
      <c r="M4685" s="508">
        <v>2.5000000000000001E-2</v>
      </c>
      <c r="N4685" s="508">
        <v>2.5000000000000001E-2</v>
      </c>
      <c r="O4685" s="508">
        <v>2.5000000000000001E-2</v>
      </c>
      <c r="P4685" s="508">
        <v>2.5000000000000001E-2</v>
      </c>
      <c r="Q4685" s="508">
        <v>2.5000000000000001E-2</v>
      </c>
      <c r="R4685" s="508">
        <v>2.5000000000000001E-2</v>
      </c>
      <c r="S4685" s="508">
        <v>2.5000000000000001E-2</v>
      </c>
      <c r="T4685" s="508">
        <v>2.5000000000000001E-2</v>
      </c>
      <c r="U4685" s="508">
        <v>2.5000000000000001E-2</v>
      </c>
      <c r="V4685" s="508">
        <v>2.5000000000000001E-2</v>
      </c>
      <c r="W4685" s="508">
        <v>2.5000000000000001E-2</v>
      </c>
      <c r="X4685" s="508">
        <v>2.5000000000000001E-2</v>
      </c>
      <c r="Y4685" s="508">
        <v>2.5000000000000001E-2</v>
      </c>
      <c r="Z4685" s="508">
        <v>2.5000000000000001E-2</v>
      </c>
      <c r="AA4685" s="508">
        <v>2.5000000000000001E-2</v>
      </c>
      <c r="AB4685" s="508">
        <v>2.5000000000000001E-2</v>
      </c>
      <c r="AC4685" s="508">
        <v>2.5000000000000001E-2</v>
      </c>
      <c r="AD4685" s="508">
        <v>2.5000000000000001E-2</v>
      </c>
      <c r="AE4685" s="508">
        <v>2.5000000000000001E-2</v>
      </c>
      <c r="AF4685" s="508">
        <v>2.5000000000000001E-2</v>
      </c>
      <c r="AG4685" s="508">
        <v>2.5000000000000001E-2</v>
      </c>
      <c r="AH4685" s="508">
        <v>2.5000000000000001E-2</v>
      </c>
      <c r="AI4685" s="492">
        <v>2.5000000000000001E-2</v>
      </c>
      <c r="AJ4685" s="485"/>
    </row>
    <row r="4686" spans="2:36">
      <c r="B4686" s="136" t="s">
        <v>458</v>
      </c>
      <c r="C4686" s="132" t="s">
        <v>1366</v>
      </c>
      <c r="D4686" s="132" t="s">
        <v>1379</v>
      </c>
      <c r="E4686" s="508">
        <v>2.9000000000000001E-2</v>
      </c>
      <c r="F4686" s="508">
        <v>2.9000000000000001E-2</v>
      </c>
      <c r="G4686" s="508">
        <v>2.9000000000000001E-2</v>
      </c>
      <c r="H4686" s="508">
        <v>2.9000000000000001E-2</v>
      </c>
      <c r="I4686" s="508">
        <v>2.9000000000000001E-2</v>
      </c>
      <c r="J4686" s="508">
        <v>2.9000000000000001E-2</v>
      </c>
      <c r="K4686" s="508">
        <v>2.9000000000000001E-2</v>
      </c>
      <c r="L4686" s="508">
        <v>2.9000000000000001E-2</v>
      </c>
      <c r="M4686" s="508">
        <v>2.9000000000000001E-2</v>
      </c>
      <c r="N4686" s="508">
        <v>2.9000000000000001E-2</v>
      </c>
      <c r="O4686" s="508">
        <v>2.9000000000000001E-2</v>
      </c>
      <c r="P4686" s="508">
        <v>2.9000000000000001E-2</v>
      </c>
      <c r="Q4686" s="508">
        <v>2.9000000000000001E-2</v>
      </c>
      <c r="R4686" s="508">
        <v>2.9000000000000001E-2</v>
      </c>
      <c r="S4686" s="508">
        <v>2.9000000000000001E-2</v>
      </c>
      <c r="T4686" s="508">
        <v>2.9000000000000001E-2</v>
      </c>
      <c r="U4686" s="508">
        <v>2.9000000000000001E-2</v>
      </c>
      <c r="V4686" s="508">
        <v>2.9000000000000001E-2</v>
      </c>
      <c r="W4686" s="508">
        <v>2.9000000000000001E-2</v>
      </c>
      <c r="X4686" s="508">
        <v>2.9000000000000001E-2</v>
      </c>
      <c r="Y4686" s="508">
        <v>2.9000000000000001E-2</v>
      </c>
      <c r="Z4686" s="508">
        <v>2.9000000000000001E-2</v>
      </c>
      <c r="AA4686" s="508">
        <v>2.9000000000000001E-2</v>
      </c>
      <c r="AB4686" s="508">
        <v>2.9000000000000001E-2</v>
      </c>
      <c r="AC4686" s="508">
        <v>2.9000000000000001E-2</v>
      </c>
      <c r="AD4686" s="508">
        <v>2.9000000000000001E-2</v>
      </c>
      <c r="AE4686" s="508">
        <v>2.9000000000000001E-2</v>
      </c>
      <c r="AF4686" s="508">
        <v>2.9000000000000001E-2</v>
      </c>
      <c r="AG4686" s="508">
        <v>2.9000000000000001E-2</v>
      </c>
      <c r="AH4686" s="508">
        <v>2.9000000000000001E-2</v>
      </c>
      <c r="AI4686" s="492">
        <v>2.9000000000000001E-2</v>
      </c>
      <c r="AJ4686" s="485"/>
    </row>
    <row r="4687" spans="2:36">
      <c r="B4687" s="136" t="s">
        <v>459</v>
      </c>
      <c r="C4687" s="132" t="s">
        <v>1366</v>
      </c>
      <c r="D4687" s="132" t="s">
        <v>1379</v>
      </c>
      <c r="E4687" s="508">
        <v>2.9000000000000001E-2</v>
      </c>
      <c r="F4687" s="508">
        <v>2.9000000000000001E-2</v>
      </c>
      <c r="G4687" s="508">
        <v>2.9000000000000001E-2</v>
      </c>
      <c r="H4687" s="508">
        <v>2.9000000000000001E-2</v>
      </c>
      <c r="I4687" s="508">
        <v>2.9000000000000001E-2</v>
      </c>
      <c r="J4687" s="508">
        <v>2.9000000000000001E-2</v>
      </c>
      <c r="K4687" s="508">
        <v>2.9000000000000001E-2</v>
      </c>
      <c r="L4687" s="508">
        <v>2.9000000000000001E-2</v>
      </c>
      <c r="M4687" s="508">
        <v>2.9000000000000001E-2</v>
      </c>
      <c r="N4687" s="508">
        <v>2.9000000000000001E-2</v>
      </c>
      <c r="O4687" s="508">
        <v>2.9000000000000001E-2</v>
      </c>
      <c r="P4687" s="508">
        <v>2.9000000000000001E-2</v>
      </c>
      <c r="Q4687" s="508">
        <v>2.9000000000000001E-2</v>
      </c>
      <c r="R4687" s="508">
        <v>2.9000000000000001E-2</v>
      </c>
      <c r="S4687" s="508">
        <v>2.9000000000000001E-2</v>
      </c>
      <c r="T4687" s="508">
        <v>2.9000000000000001E-2</v>
      </c>
      <c r="U4687" s="508">
        <v>2.9000000000000001E-2</v>
      </c>
      <c r="V4687" s="508">
        <v>2.9000000000000001E-2</v>
      </c>
      <c r="W4687" s="508">
        <v>2.9000000000000001E-2</v>
      </c>
      <c r="X4687" s="508">
        <v>2.9000000000000001E-2</v>
      </c>
      <c r="Y4687" s="508">
        <v>2.9000000000000001E-2</v>
      </c>
      <c r="Z4687" s="508">
        <v>2.9000000000000001E-2</v>
      </c>
      <c r="AA4687" s="508">
        <v>2.9000000000000001E-2</v>
      </c>
      <c r="AB4687" s="508">
        <v>2.9000000000000001E-2</v>
      </c>
      <c r="AC4687" s="508">
        <v>2.9000000000000001E-2</v>
      </c>
      <c r="AD4687" s="508">
        <v>2.9000000000000001E-2</v>
      </c>
      <c r="AE4687" s="508">
        <v>2.9000000000000001E-2</v>
      </c>
      <c r="AF4687" s="508">
        <v>2.9000000000000001E-2</v>
      </c>
      <c r="AG4687" s="508">
        <v>2.9000000000000001E-2</v>
      </c>
      <c r="AH4687" s="508">
        <v>2.9000000000000001E-2</v>
      </c>
      <c r="AI4687" s="492">
        <v>2.9000000000000001E-2</v>
      </c>
      <c r="AJ4687" s="485"/>
    </row>
    <row r="4688" spans="2:36">
      <c r="B4688" s="136" t="s">
        <v>460</v>
      </c>
      <c r="C4688" s="132" t="s">
        <v>1366</v>
      </c>
      <c r="D4688" s="132" t="s">
        <v>1379</v>
      </c>
      <c r="E4688" s="508">
        <v>0.03</v>
      </c>
      <c r="F4688" s="508">
        <v>0.03</v>
      </c>
      <c r="G4688" s="508">
        <v>0.03</v>
      </c>
      <c r="H4688" s="508">
        <v>0.03</v>
      </c>
      <c r="I4688" s="508">
        <v>0.03</v>
      </c>
      <c r="J4688" s="508">
        <v>0.03</v>
      </c>
      <c r="K4688" s="508">
        <v>0.03</v>
      </c>
      <c r="L4688" s="508">
        <v>0.03</v>
      </c>
      <c r="M4688" s="508">
        <v>0.03</v>
      </c>
      <c r="N4688" s="508">
        <v>0.03</v>
      </c>
      <c r="O4688" s="508">
        <v>0.03</v>
      </c>
      <c r="P4688" s="508">
        <v>0.03</v>
      </c>
      <c r="Q4688" s="508">
        <v>0.03</v>
      </c>
      <c r="R4688" s="508">
        <v>0.03</v>
      </c>
      <c r="S4688" s="508">
        <v>0.03</v>
      </c>
      <c r="T4688" s="508">
        <v>0.03</v>
      </c>
      <c r="U4688" s="508">
        <v>0.03</v>
      </c>
      <c r="V4688" s="508">
        <v>0.03</v>
      </c>
      <c r="W4688" s="508">
        <v>0.03</v>
      </c>
      <c r="X4688" s="508">
        <v>0.03</v>
      </c>
      <c r="Y4688" s="508">
        <v>0.03</v>
      </c>
      <c r="Z4688" s="508">
        <v>0.03</v>
      </c>
      <c r="AA4688" s="508">
        <v>0.03</v>
      </c>
      <c r="AB4688" s="508">
        <v>0.03</v>
      </c>
      <c r="AC4688" s="508">
        <v>0.03</v>
      </c>
      <c r="AD4688" s="508">
        <v>0.03</v>
      </c>
      <c r="AE4688" s="508">
        <v>0.03</v>
      </c>
      <c r="AF4688" s="508">
        <v>0.03</v>
      </c>
      <c r="AG4688" s="508">
        <v>0.03</v>
      </c>
      <c r="AH4688" s="508">
        <v>0.03</v>
      </c>
      <c r="AI4688" s="492">
        <v>0.03</v>
      </c>
      <c r="AJ4688" s="485"/>
    </row>
    <row r="4689" spans="2:36">
      <c r="B4689" s="136" t="s">
        <v>461</v>
      </c>
      <c r="C4689" s="132" t="s">
        <v>1366</v>
      </c>
      <c r="D4689" s="132" t="s">
        <v>1379</v>
      </c>
      <c r="E4689" s="508">
        <v>2.9000000000000001E-2</v>
      </c>
      <c r="F4689" s="508">
        <v>2.9000000000000001E-2</v>
      </c>
      <c r="G4689" s="508">
        <v>2.9000000000000001E-2</v>
      </c>
      <c r="H4689" s="508">
        <v>2.9000000000000001E-2</v>
      </c>
      <c r="I4689" s="508">
        <v>2.9000000000000001E-2</v>
      </c>
      <c r="J4689" s="508">
        <v>2.9000000000000001E-2</v>
      </c>
      <c r="K4689" s="508">
        <v>2.9000000000000001E-2</v>
      </c>
      <c r="L4689" s="508">
        <v>2.9000000000000001E-2</v>
      </c>
      <c r="M4689" s="508">
        <v>2.9000000000000001E-2</v>
      </c>
      <c r="N4689" s="508">
        <v>2.9000000000000001E-2</v>
      </c>
      <c r="O4689" s="508">
        <v>2.9000000000000001E-2</v>
      </c>
      <c r="P4689" s="508">
        <v>2.9000000000000001E-2</v>
      </c>
      <c r="Q4689" s="508">
        <v>2.9000000000000001E-2</v>
      </c>
      <c r="R4689" s="508">
        <v>2.9000000000000001E-2</v>
      </c>
      <c r="S4689" s="508">
        <v>2.9000000000000001E-2</v>
      </c>
      <c r="T4689" s="508">
        <v>2.9000000000000001E-2</v>
      </c>
      <c r="U4689" s="508">
        <v>2.9000000000000001E-2</v>
      </c>
      <c r="V4689" s="508">
        <v>2.9000000000000001E-2</v>
      </c>
      <c r="W4689" s="508">
        <v>2.9000000000000001E-2</v>
      </c>
      <c r="X4689" s="508">
        <v>2.9000000000000001E-2</v>
      </c>
      <c r="Y4689" s="508">
        <v>2.9000000000000001E-2</v>
      </c>
      <c r="Z4689" s="508">
        <v>2.9000000000000001E-2</v>
      </c>
      <c r="AA4689" s="508">
        <v>2.9000000000000001E-2</v>
      </c>
      <c r="AB4689" s="508">
        <v>2.9000000000000001E-2</v>
      </c>
      <c r="AC4689" s="508">
        <v>2.9000000000000001E-2</v>
      </c>
      <c r="AD4689" s="508">
        <v>2.9000000000000001E-2</v>
      </c>
      <c r="AE4689" s="508">
        <v>2.9000000000000001E-2</v>
      </c>
      <c r="AF4689" s="508">
        <v>2.9000000000000001E-2</v>
      </c>
      <c r="AG4689" s="508">
        <v>2.9000000000000001E-2</v>
      </c>
      <c r="AH4689" s="508">
        <v>2.9000000000000001E-2</v>
      </c>
      <c r="AI4689" s="492">
        <v>2.9000000000000001E-2</v>
      </c>
      <c r="AJ4689" s="485"/>
    </row>
    <row r="4690" spans="2:36">
      <c r="B4690" s="136" t="s">
        <v>462</v>
      </c>
      <c r="C4690" s="132" t="s">
        <v>1366</v>
      </c>
      <c r="D4690" s="132" t="s">
        <v>1379</v>
      </c>
      <c r="E4690" s="508">
        <v>2.8000000000000001E-2</v>
      </c>
      <c r="F4690" s="508">
        <v>2.8000000000000001E-2</v>
      </c>
      <c r="G4690" s="508">
        <v>2.8000000000000001E-2</v>
      </c>
      <c r="H4690" s="508">
        <v>2.8000000000000001E-2</v>
      </c>
      <c r="I4690" s="508">
        <v>2.8000000000000001E-2</v>
      </c>
      <c r="J4690" s="508">
        <v>2.8000000000000001E-2</v>
      </c>
      <c r="K4690" s="508">
        <v>2.8000000000000001E-2</v>
      </c>
      <c r="L4690" s="508">
        <v>2.8000000000000001E-2</v>
      </c>
      <c r="M4690" s="508">
        <v>2.8000000000000001E-2</v>
      </c>
      <c r="N4690" s="508">
        <v>2.8000000000000001E-2</v>
      </c>
      <c r="O4690" s="508">
        <v>2.8000000000000001E-2</v>
      </c>
      <c r="P4690" s="508">
        <v>2.8000000000000001E-2</v>
      </c>
      <c r="Q4690" s="508">
        <v>2.8000000000000001E-2</v>
      </c>
      <c r="R4690" s="508">
        <v>2.8000000000000001E-2</v>
      </c>
      <c r="S4690" s="508">
        <v>2.8000000000000001E-2</v>
      </c>
      <c r="T4690" s="508">
        <v>2.8000000000000001E-2</v>
      </c>
      <c r="U4690" s="508">
        <v>2.8000000000000001E-2</v>
      </c>
      <c r="V4690" s="508">
        <v>2.8000000000000001E-2</v>
      </c>
      <c r="W4690" s="508">
        <v>2.8000000000000001E-2</v>
      </c>
      <c r="X4690" s="508">
        <v>2.8000000000000001E-2</v>
      </c>
      <c r="Y4690" s="508">
        <v>2.8000000000000001E-2</v>
      </c>
      <c r="Z4690" s="508">
        <v>2.8000000000000001E-2</v>
      </c>
      <c r="AA4690" s="508">
        <v>2.8000000000000001E-2</v>
      </c>
      <c r="AB4690" s="508">
        <v>2.8000000000000001E-2</v>
      </c>
      <c r="AC4690" s="508">
        <v>2.8000000000000001E-2</v>
      </c>
      <c r="AD4690" s="508">
        <v>2.8000000000000001E-2</v>
      </c>
      <c r="AE4690" s="508">
        <v>2.8000000000000001E-2</v>
      </c>
      <c r="AF4690" s="508">
        <v>2.8000000000000001E-2</v>
      </c>
      <c r="AG4690" s="508">
        <v>2.8000000000000001E-2</v>
      </c>
      <c r="AH4690" s="508">
        <v>2.8000000000000001E-2</v>
      </c>
      <c r="AI4690" s="492">
        <v>2.8000000000000001E-2</v>
      </c>
      <c r="AJ4690" s="485"/>
    </row>
    <row r="4691" spans="2:36">
      <c r="B4691" s="136" t="s">
        <v>463</v>
      </c>
      <c r="C4691" s="132" t="s">
        <v>1366</v>
      </c>
      <c r="D4691" s="132" t="s">
        <v>1379</v>
      </c>
      <c r="E4691" s="508">
        <v>2.5000000000000001E-2</v>
      </c>
      <c r="F4691" s="508">
        <v>2.5000000000000001E-2</v>
      </c>
      <c r="G4691" s="508">
        <v>2.5000000000000001E-2</v>
      </c>
      <c r="H4691" s="508">
        <v>2.5000000000000001E-2</v>
      </c>
      <c r="I4691" s="508">
        <v>2.5000000000000001E-2</v>
      </c>
      <c r="J4691" s="508">
        <v>2.5000000000000001E-2</v>
      </c>
      <c r="K4691" s="508">
        <v>2.5000000000000001E-2</v>
      </c>
      <c r="L4691" s="508">
        <v>2.5000000000000001E-2</v>
      </c>
      <c r="M4691" s="508">
        <v>2.5000000000000001E-2</v>
      </c>
      <c r="N4691" s="508">
        <v>2.5000000000000001E-2</v>
      </c>
      <c r="O4691" s="508">
        <v>2.5000000000000001E-2</v>
      </c>
      <c r="P4691" s="508">
        <v>2.5000000000000001E-2</v>
      </c>
      <c r="Q4691" s="508">
        <v>2.5000000000000001E-2</v>
      </c>
      <c r="R4691" s="508">
        <v>2.5000000000000001E-2</v>
      </c>
      <c r="S4691" s="508">
        <v>2.5000000000000001E-2</v>
      </c>
      <c r="T4691" s="508">
        <v>2.5000000000000001E-2</v>
      </c>
      <c r="U4691" s="508">
        <v>2.5000000000000001E-2</v>
      </c>
      <c r="V4691" s="508">
        <v>2.5000000000000001E-2</v>
      </c>
      <c r="W4691" s="508">
        <v>2.5000000000000001E-2</v>
      </c>
      <c r="X4691" s="508">
        <v>2.5000000000000001E-2</v>
      </c>
      <c r="Y4691" s="508">
        <v>2.5000000000000001E-2</v>
      </c>
      <c r="Z4691" s="508">
        <v>2.5000000000000001E-2</v>
      </c>
      <c r="AA4691" s="508">
        <v>2.5000000000000001E-2</v>
      </c>
      <c r="AB4691" s="508">
        <v>2.5000000000000001E-2</v>
      </c>
      <c r="AC4691" s="508">
        <v>2.5000000000000001E-2</v>
      </c>
      <c r="AD4691" s="508">
        <v>2.5000000000000001E-2</v>
      </c>
      <c r="AE4691" s="508">
        <v>2.5000000000000001E-2</v>
      </c>
      <c r="AF4691" s="508">
        <v>2.5000000000000001E-2</v>
      </c>
      <c r="AG4691" s="508">
        <v>2.5000000000000001E-2</v>
      </c>
      <c r="AH4691" s="508">
        <v>2.5000000000000001E-2</v>
      </c>
      <c r="AI4691" s="492">
        <v>2.5000000000000001E-2</v>
      </c>
      <c r="AJ4691" s="485"/>
    </row>
    <row r="4692" spans="2:36">
      <c r="B4692" s="136" t="s">
        <v>464</v>
      </c>
      <c r="C4692" s="132" t="s">
        <v>1366</v>
      </c>
      <c r="D4692" s="132" t="s">
        <v>1379</v>
      </c>
      <c r="E4692" s="508">
        <v>2.5000000000000001E-2</v>
      </c>
      <c r="F4692" s="508">
        <v>2.5000000000000001E-2</v>
      </c>
      <c r="G4692" s="508">
        <v>2.5000000000000001E-2</v>
      </c>
      <c r="H4692" s="508">
        <v>2.5000000000000001E-2</v>
      </c>
      <c r="I4692" s="508">
        <v>2.5000000000000001E-2</v>
      </c>
      <c r="J4692" s="508">
        <v>2.5000000000000001E-2</v>
      </c>
      <c r="K4692" s="508">
        <v>2.5000000000000001E-2</v>
      </c>
      <c r="L4692" s="508">
        <v>2.5000000000000001E-2</v>
      </c>
      <c r="M4692" s="508">
        <v>2.5000000000000001E-2</v>
      </c>
      <c r="N4692" s="508">
        <v>2.5000000000000001E-2</v>
      </c>
      <c r="O4692" s="508">
        <v>2.5000000000000001E-2</v>
      </c>
      <c r="P4692" s="508">
        <v>2.5000000000000001E-2</v>
      </c>
      <c r="Q4692" s="508">
        <v>2.5000000000000001E-2</v>
      </c>
      <c r="R4692" s="508">
        <v>2.5000000000000001E-2</v>
      </c>
      <c r="S4692" s="508">
        <v>2.5000000000000001E-2</v>
      </c>
      <c r="T4692" s="508">
        <v>2.5000000000000001E-2</v>
      </c>
      <c r="U4692" s="508">
        <v>2.5000000000000001E-2</v>
      </c>
      <c r="V4692" s="508">
        <v>2.5000000000000001E-2</v>
      </c>
      <c r="W4692" s="508">
        <v>2.5000000000000001E-2</v>
      </c>
      <c r="X4692" s="508">
        <v>2.5000000000000001E-2</v>
      </c>
      <c r="Y4692" s="508">
        <v>2.5000000000000001E-2</v>
      </c>
      <c r="Z4692" s="508">
        <v>2.5000000000000001E-2</v>
      </c>
      <c r="AA4692" s="508">
        <v>2.5000000000000001E-2</v>
      </c>
      <c r="AB4692" s="508">
        <v>2.5000000000000001E-2</v>
      </c>
      <c r="AC4692" s="508">
        <v>2.5000000000000001E-2</v>
      </c>
      <c r="AD4692" s="508">
        <v>2.5000000000000001E-2</v>
      </c>
      <c r="AE4692" s="508">
        <v>2.5000000000000001E-2</v>
      </c>
      <c r="AF4692" s="508">
        <v>2.5000000000000001E-2</v>
      </c>
      <c r="AG4692" s="508">
        <v>2.5000000000000001E-2</v>
      </c>
      <c r="AH4692" s="508">
        <v>2.5000000000000001E-2</v>
      </c>
      <c r="AI4692" s="492">
        <v>2.5000000000000001E-2</v>
      </c>
      <c r="AJ4692" s="485"/>
    </row>
    <row r="4693" spans="2:36">
      <c r="B4693" s="136" t="s">
        <v>465</v>
      </c>
      <c r="C4693" s="132" t="s">
        <v>1366</v>
      </c>
      <c r="D4693" s="132" t="s">
        <v>1379</v>
      </c>
      <c r="E4693" s="508">
        <v>2.7E-2</v>
      </c>
      <c r="F4693" s="508">
        <v>2.7E-2</v>
      </c>
      <c r="G4693" s="508">
        <v>2.7E-2</v>
      </c>
      <c r="H4693" s="508">
        <v>2.7E-2</v>
      </c>
      <c r="I4693" s="508">
        <v>2.7E-2</v>
      </c>
      <c r="J4693" s="508">
        <v>2.7E-2</v>
      </c>
      <c r="K4693" s="508">
        <v>2.7E-2</v>
      </c>
      <c r="L4693" s="508">
        <v>2.7E-2</v>
      </c>
      <c r="M4693" s="508">
        <v>2.7E-2</v>
      </c>
      <c r="N4693" s="508">
        <v>2.7E-2</v>
      </c>
      <c r="O4693" s="508">
        <v>2.7E-2</v>
      </c>
      <c r="P4693" s="508">
        <v>2.7E-2</v>
      </c>
      <c r="Q4693" s="508">
        <v>2.7E-2</v>
      </c>
      <c r="R4693" s="508">
        <v>2.7E-2</v>
      </c>
      <c r="S4693" s="508">
        <v>2.7E-2</v>
      </c>
      <c r="T4693" s="508">
        <v>2.7E-2</v>
      </c>
      <c r="U4693" s="508">
        <v>2.7E-2</v>
      </c>
      <c r="V4693" s="508">
        <v>2.7E-2</v>
      </c>
      <c r="W4693" s="508">
        <v>2.7E-2</v>
      </c>
      <c r="X4693" s="508">
        <v>2.7E-2</v>
      </c>
      <c r="Y4693" s="508">
        <v>2.7E-2</v>
      </c>
      <c r="Z4693" s="508">
        <v>2.7E-2</v>
      </c>
      <c r="AA4693" s="508">
        <v>2.7E-2</v>
      </c>
      <c r="AB4693" s="508">
        <v>2.7E-2</v>
      </c>
      <c r="AC4693" s="508">
        <v>2.7E-2</v>
      </c>
      <c r="AD4693" s="508">
        <v>2.7E-2</v>
      </c>
      <c r="AE4693" s="508">
        <v>2.7E-2</v>
      </c>
      <c r="AF4693" s="508">
        <v>2.7E-2</v>
      </c>
      <c r="AG4693" s="508">
        <v>2.7E-2</v>
      </c>
      <c r="AH4693" s="508">
        <v>2.7E-2</v>
      </c>
      <c r="AI4693" s="492">
        <v>2.7E-2</v>
      </c>
      <c r="AJ4693" s="485"/>
    </row>
    <row r="4694" spans="2:36">
      <c r="B4694" s="136" t="s">
        <v>466</v>
      </c>
      <c r="C4694" s="132" t="s">
        <v>1366</v>
      </c>
      <c r="D4694" s="132" t="s">
        <v>1379</v>
      </c>
      <c r="E4694" s="508">
        <v>3.4000000000000002E-2</v>
      </c>
      <c r="F4694" s="508">
        <v>3.4000000000000002E-2</v>
      </c>
      <c r="G4694" s="508">
        <v>3.4000000000000002E-2</v>
      </c>
      <c r="H4694" s="508">
        <v>3.4000000000000002E-2</v>
      </c>
      <c r="I4694" s="508">
        <v>3.4000000000000002E-2</v>
      </c>
      <c r="J4694" s="508">
        <v>3.4000000000000002E-2</v>
      </c>
      <c r="K4694" s="508">
        <v>3.4000000000000002E-2</v>
      </c>
      <c r="L4694" s="508">
        <v>3.4000000000000002E-2</v>
      </c>
      <c r="M4694" s="508">
        <v>3.4000000000000002E-2</v>
      </c>
      <c r="N4694" s="508">
        <v>3.4000000000000002E-2</v>
      </c>
      <c r="O4694" s="508">
        <v>3.4000000000000002E-2</v>
      </c>
      <c r="P4694" s="508">
        <v>3.4000000000000002E-2</v>
      </c>
      <c r="Q4694" s="508">
        <v>3.4000000000000002E-2</v>
      </c>
      <c r="R4694" s="508">
        <v>3.4000000000000002E-2</v>
      </c>
      <c r="S4694" s="508">
        <v>3.4000000000000002E-2</v>
      </c>
      <c r="T4694" s="508">
        <v>3.4000000000000002E-2</v>
      </c>
      <c r="U4694" s="508">
        <v>3.4000000000000002E-2</v>
      </c>
      <c r="V4694" s="508">
        <v>3.4000000000000002E-2</v>
      </c>
      <c r="W4694" s="508">
        <v>3.4000000000000002E-2</v>
      </c>
      <c r="X4694" s="508">
        <v>3.4000000000000002E-2</v>
      </c>
      <c r="Y4694" s="508">
        <v>3.4000000000000002E-2</v>
      </c>
      <c r="Z4694" s="508">
        <v>3.4000000000000002E-2</v>
      </c>
      <c r="AA4694" s="508">
        <v>3.4000000000000002E-2</v>
      </c>
      <c r="AB4694" s="508">
        <v>3.4000000000000002E-2</v>
      </c>
      <c r="AC4694" s="508">
        <v>3.4000000000000002E-2</v>
      </c>
      <c r="AD4694" s="508">
        <v>3.4000000000000002E-2</v>
      </c>
      <c r="AE4694" s="508">
        <v>3.4000000000000002E-2</v>
      </c>
      <c r="AF4694" s="508">
        <v>3.4000000000000002E-2</v>
      </c>
      <c r="AG4694" s="508">
        <v>3.4000000000000002E-2</v>
      </c>
      <c r="AH4694" s="508">
        <v>3.4000000000000002E-2</v>
      </c>
      <c r="AI4694" s="492">
        <v>3.4000000000000002E-2</v>
      </c>
      <c r="AJ4694" s="485"/>
    </row>
    <row r="4695" spans="2:36">
      <c r="B4695" s="136" t="s">
        <v>467</v>
      </c>
      <c r="C4695" s="132" t="s">
        <v>1366</v>
      </c>
      <c r="D4695" s="132" t="s">
        <v>1379</v>
      </c>
      <c r="E4695" s="508">
        <v>2.8000000000000001E-2</v>
      </c>
      <c r="F4695" s="508">
        <v>2.8000000000000001E-2</v>
      </c>
      <c r="G4695" s="508">
        <v>2.8000000000000001E-2</v>
      </c>
      <c r="H4695" s="508">
        <v>2.8000000000000001E-2</v>
      </c>
      <c r="I4695" s="508">
        <v>2.8000000000000001E-2</v>
      </c>
      <c r="J4695" s="508">
        <v>2.8000000000000001E-2</v>
      </c>
      <c r="K4695" s="508">
        <v>2.8000000000000001E-2</v>
      </c>
      <c r="L4695" s="508">
        <v>2.8000000000000001E-2</v>
      </c>
      <c r="M4695" s="508">
        <v>2.8000000000000001E-2</v>
      </c>
      <c r="N4695" s="508">
        <v>2.8000000000000001E-2</v>
      </c>
      <c r="O4695" s="508">
        <v>2.8000000000000001E-2</v>
      </c>
      <c r="P4695" s="508">
        <v>2.8000000000000001E-2</v>
      </c>
      <c r="Q4695" s="508">
        <v>2.8000000000000001E-2</v>
      </c>
      <c r="R4695" s="508">
        <v>2.8000000000000001E-2</v>
      </c>
      <c r="S4695" s="508">
        <v>2.8000000000000001E-2</v>
      </c>
      <c r="T4695" s="508">
        <v>2.8000000000000001E-2</v>
      </c>
      <c r="U4695" s="508">
        <v>2.8000000000000001E-2</v>
      </c>
      <c r="V4695" s="508">
        <v>2.8000000000000001E-2</v>
      </c>
      <c r="W4695" s="508">
        <v>2.8000000000000001E-2</v>
      </c>
      <c r="X4695" s="508">
        <v>2.8000000000000001E-2</v>
      </c>
      <c r="Y4695" s="508">
        <v>2.8000000000000001E-2</v>
      </c>
      <c r="Z4695" s="508">
        <v>2.8000000000000001E-2</v>
      </c>
      <c r="AA4695" s="508">
        <v>2.8000000000000001E-2</v>
      </c>
      <c r="AB4695" s="508">
        <v>2.8000000000000001E-2</v>
      </c>
      <c r="AC4695" s="508">
        <v>2.8000000000000001E-2</v>
      </c>
      <c r="AD4695" s="508">
        <v>2.8000000000000001E-2</v>
      </c>
      <c r="AE4695" s="508">
        <v>2.8000000000000001E-2</v>
      </c>
      <c r="AF4695" s="508">
        <v>2.8000000000000001E-2</v>
      </c>
      <c r="AG4695" s="508">
        <v>2.8000000000000001E-2</v>
      </c>
      <c r="AH4695" s="508">
        <v>2.8000000000000001E-2</v>
      </c>
      <c r="AI4695" s="492">
        <v>2.8000000000000001E-2</v>
      </c>
      <c r="AJ4695" s="485"/>
    </row>
    <row r="4696" spans="2:36">
      <c r="B4696" s="136" t="s">
        <v>468</v>
      </c>
      <c r="C4696" s="132" t="s">
        <v>1366</v>
      </c>
      <c r="D4696" s="132" t="s">
        <v>1379</v>
      </c>
      <c r="E4696" s="508">
        <v>2.5000000000000001E-2</v>
      </c>
      <c r="F4696" s="508">
        <v>2.5000000000000001E-2</v>
      </c>
      <c r="G4696" s="508">
        <v>2.5000000000000001E-2</v>
      </c>
      <c r="H4696" s="508">
        <v>2.5000000000000001E-2</v>
      </c>
      <c r="I4696" s="508">
        <v>2.5000000000000001E-2</v>
      </c>
      <c r="J4696" s="508">
        <v>2.5000000000000001E-2</v>
      </c>
      <c r="K4696" s="508">
        <v>2.5000000000000001E-2</v>
      </c>
      <c r="L4696" s="508">
        <v>2.5000000000000001E-2</v>
      </c>
      <c r="M4696" s="508">
        <v>2.5000000000000001E-2</v>
      </c>
      <c r="N4696" s="508">
        <v>2.5000000000000001E-2</v>
      </c>
      <c r="O4696" s="508">
        <v>2.5000000000000001E-2</v>
      </c>
      <c r="P4696" s="508">
        <v>2.5000000000000001E-2</v>
      </c>
      <c r="Q4696" s="508">
        <v>2.5000000000000001E-2</v>
      </c>
      <c r="R4696" s="508">
        <v>2.5000000000000001E-2</v>
      </c>
      <c r="S4696" s="508">
        <v>2.5000000000000001E-2</v>
      </c>
      <c r="T4696" s="508">
        <v>2.5000000000000001E-2</v>
      </c>
      <c r="U4696" s="508">
        <v>2.5000000000000001E-2</v>
      </c>
      <c r="V4696" s="508">
        <v>2.5000000000000001E-2</v>
      </c>
      <c r="W4696" s="508">
        <v>2.5000000000000001E-2</v>
      </c>
      <c r="X4696" s="508">
        <v>2.5000000000000001E-2</v>
      </c>
      <c r="Y4696" s="508">
        <v>2.5000000000000001E-2</v>
      </c>
      <c r="Z4696" s="508">
        <v>2.5000000000000001E-2</v>
      </c>
      <c r="AA4696" s="508">
        <v>2.5000000000000001E-2</v>
      </c>
      <c r="AB4696" s="508">
        <v>2.5000000000000001E-2</v>
      </c>
      <c r="AC4696" s="508">
        <v>2.5000000000000001E-2</v>
      </c>
      <c r="AD4696" s="508">
        <v>2.5000000000000001E-2</v>
      </c>
      <c r="AE4696" s="508">
        <v>2.5000000000000001E-2</v>
      </c>
      <c r="AF4696" s="508">
        <v>2.5000000000000001E-2</v>
      </c>
      <c r="AG4696" s="508">
        <v>2.5000000000000001E-2</v>
      </c>
      <c r="AH4696" s="508">
        <v>2.5000000000000001E-2</v>
      </c>
      <c r="AI4696" s="492">
        <v>2.5000000000000001E-2</v>
      </c>
      <c r="AJ4696" s="485"/>
    </row>
    <row r="4697" spans="2:36">
      <c r="B4697" s="136" t="s">
        <v>469</v>
      </c>
      <c r="C4697" s="132" t="s">
        <v>1366</v>
      </c>
      <c r="D4697" s="132" t="s">
        <v>1379</v>
      </c>
      <c r="E4697" s="508">
        <v>2.8000000000000001E-2</v>
      </c>
      <c r="F4697" s="508">
        <v>2.8000000000000001E-2</v>
      </c>
      <c r="G4697" s="508">
        <v>2.8000000000000001E-2</v>
      </c>
      <c r="H4697" s="508">
        <v>2.8000000000000001E-2</v>
      </c>
      <c r="I4697" s="508">
        <v>2.8000000000000001E-2</v>
      </c>
      <c r="J4697" s="508">
        <v>2.8000000000000001E-2</v>
      </c>
      <c r="K4697" s="508">
        <v>2.8000000000000001E-2</v>
      </c>
      <c r="L4697" s="508">
        <v>2.8000000000000001E-2</v>
      </c>
      <c r="M4697" s="508">
        <v>2.8000000000000001E-2</v>
      </c>
      <c r="N4697" s="508">
        <v>2.8000000000000001E-2</v>
      </c>
      <c r="O4697" s="508">
        <v>2.8000000000000001E-2</v>
      </c>
      <c r="P4697" s="508">
        <v>2.8000000000000001E-2</v>
      </c>
      <c r="Q4697" s="508">
        <v>2.8000000000000001E-2</v>
      </c>
      <c r="R4697" s="508">
        <v>2.8000000000000001E-2</v>
      </c>
      <c r="S4697" s="508">
        <v>2.8000000000000001E-2</v>
      </c>
      <c r="T4697" s="508">
        <v>2.8000000000000001E-2</v>
      </c>
      <c r="U4697" s="508">
        <v>2.8000000000000001E-2</v>
      </c>
      <c r="V4697" s="508">
        <v>2.8000000000000001E-2</v>
      </c>
      <c r="W4697" s="508">
        <v>2.8000000000000001E-2</v>
      </c>
      <c r="X4697" s="508">
        <v>2.8000000000000001E-2</v>
      </c>
      <c r="Y4697" s="508">
        <v>2.8000000000000001E-2</v>
      </c>
      <c r="Z4697" s="508">
        <v>2.8000000000000001E-2</v>
      </c>
      <c r="AA4697" s="508">
        <v>2.8000000000000001E-2</v>
      </c>
      <c r="AB4697" s="508">
        <v>2.8000000000000001E-2</v>
      </c>
      <c r="AC4697" s="508">
        <v>2.8000000000000001E-2</v>
      </c>
      <c r="AD4697" s="508">
        <v>2.8000000000000001E-2</v>
      </c>
      <c r="AE4697" s="508">
        <v>2.8000000000000001E-2</v>
      </c>
      <c r="AF4697" s="508">
        <v>2.8000000000000001E-2</v>
      </c>
      <c r="AG4697" s="508">
        <v>2.8000000000000001E-2</v>
      </c>
      <c r="AH4697" s="508">
        <v>2.8000000000000001E-2</v>
      </c>
      <c r="AI4697" s="492">
        <v>2.8000000000000001E-2</v>
      </c>
      <c r="AJ4697" s="485"/>
    </row>
    <row r="4698" spans="2:36">
      <c r="B4698" s="136" t="s">
        <v>470</v>
      </c>
      <c r="C4698" s="132" t="s">
        <v>1366</v>
      </c>
      <c r="D4698" s="132" t="s">
        <v>1379</v>
      </c>
      <c r="E4698" s="508">
        <v>3.1E-2</v>
      </c>
      <c r="F4698" s="508">
        <v>3.1E-2</v>
      </c>
      <c r="G4698" s="508">
        <v>3.1E-2</v>
      </c>
      <c r="H4698" s="508">
        <v>3.1E-2</v>
      </c>
      <c r="I4698" s="508">
        <v>3.1E-2</v>
      </c>
      <c r="J4698" s="508">
        <v>3.1E-2</v>
      </c>
      <c r="K4698" s="508">
        <v>3.1E-2</v>
      </c>
      <c r="L4698" s="508">
        <v>3.1E-2</v>
      </c>
      <c r="M4698" s="508">
        <v>3.1E-2</v>
      </c>
      <c r="N4698" s="508">
        <v>3.1E-2</v>
      </c>
      <c r="O4698" s="508">
        <v>3.1E-2</v>
      </c>
      <c r="P4698" s="508">
        <v>3.1E-2</v>
      </c>
      <c r="Q4698" s="508">
        <v>3.1E-2</v>
      </c>
      <c r="R4698" s="508">
        <v>3.1E-2</v>
      </c>
      <c r="S4698" s="508">
        <v>3.1E-2</v>
      </c>
      <c r="T4698" s="508">
        <v>3.1E-2</v>
      </c>
      <c r="U4698" s="508">
        <v>3.1E-2</v>
      </c>
      <c r="V4698" s="508">
        <v>3.1E-2</v>
      </c>
      <c r="W4698" s="508">
        <v>3.1E-2</v>
      </c>
      <c r="X4698" s="508">
        <v>3.1E-2</v>
      </c>
      <c r="Y4698" s="508">
        <v>3.1E-2</v>
      </c>
      <c r="Z4698" s="508">
        <v>3.1E-2</v>
      </c>
      <c r="AA4698" s="508">
        <v>3.1E-2</v>
      </c>
      <c r="AB4698" s="508">
        <v>3.1E-2</v>
      </c>
      <c r="AC4698" s="508">
        <v>3.1E-2</v>
      </c>
      <c r="AD4698" s="508">
        <v>3.1E-2</v>
      </c>
      <c r="AE4698" s="508">
        <v>3.1E-2</v>
      </c>
      <c r="AF4698" s="508">
        <v>3.1E-2</v>
      </c>
      <c r="AG4698" s="508">
        <v>3.1E-2</v>
      </c>
      <c r="AH4698" s="508">
        <v>3.1E-2</v>
      </c>
      <c r="AI4698" s="492">
        <v>3.1E-2</v>
      </c>
      <c r="AJ4698" s="485"/>
    </row>
    <row r="4699" spans="2:36">
      <c r="B4699" s="136" t="s">
        <v>471</v>
      </c>
      <c r="C4699" s="132" t="s">
        <v>1366</v>
      </c>
      <c r="D4699" s="132" t="s">
        <v>1379</v>
      </c>
      <c r="E4699" s="508">
        <v>0.03</v>
      </c>
      <c r="F4699" s="508">
        <v>0.03</v>
      </c>
      <c r="G4699" s="508">
        <v>0.03</v>
      </c>
      <c r="H4699" s="508">
        <v>0.03</v>
      </c>
      <c r="I4699" s="508">
        <v>0.03</v>
      </c>
      <c r="J4699" s="508">
        <v>0.03</v>
      </c>
      <c r="K4699" s="508">
        <v>0.03</v>
      </c>
      <c r="L4699" s="508">
        <v>0.03</v>
      </c>
      <c r="M4699" s="508">
        <v>0.03</v>
      </c>
      <c r="N4699" s="508">
        <v>0.03</v>
      </c>
      <c r="O4699" s="508">
        <v>0.03</v>
      </c>
      <c r="P4699" s="508">
        <v>0.03</v>
      </c>
      <c r="Q4699" s="508">
        <v>0.03</v>
      </c>
      <c r="R4699" s="508">
        <v>0.03</v>
      </c>
      <c r="S4699" s="508">
        <v>0.03</v>
      </c>
      <c r="T4699" s="508">
        <v>0.03</v>
      </c>
      <c r="U4699" s="508">
        <v>0.03</v>
      </c>
      <c r="V4699" s="508">
        <v>0.03</v>
      </c>
      <c r="W4699" s="508">
        <v>0.03</v>
      </c>
      <c r="X4699" s="508">
        <v>0.03</v>
      </c>
      <c r="Y4699" s="508">
        <v>0.03</v>
      </c>
      <c r="Z4699" s="508">
        <v>0.03</v>
      </c>
      <c r="AA4699" s="508">
        <v>0.03</v>
      </c>
      <c r="AB4699" s="508">
        <v>0.03</v>
      </c>
      <c r="AC4699" s="508">
        <v>0.03</v>
      </c>
      <c r="AD4699" s="508">
        <v>0.03</v>
      </c>
      <c r="AE4699" s="508">
        <v>0.03</v>
      </c>
      <c r="AF4699" s="508">
        <v>0.03</v>
      </c>
      <c r="AG4699" s="508">
        <v>0.03</v>
      </c>
      <c r="AH4699" s="508">
        <v>0.03</v>
      </c>
      <c r="AI4699" s="492">
        <v>0.03</v>
      </c>
      <c r="AJ4699" s="485"/>
    </row>
    <row r="4700" spans="2:36">
      <c r="B4700" s="136" t="s">
        <v>472</v>
      </c>
      <c r="C4700" s="132" t="s">
        <v>1366</v>
      </c>
      <c r="D4700" s="132" t="s">
        <v>1379</v>
      </c>
      <c r="E4700" s="508">
        <v>2.5000000000000001E-2</v>
      </c>
      <c r="F4700" s="508">
        <v>2.5000000000000001E-2</v>
      </c>
      <c r="G4700" s="508">
        <v>2.5000000000000001E-2</v>
      </c>
      <c r="H4700" s="508">
        <v>2.5000000000000001E-2</v>
      </c>
      <c r="I4700" s="508">
        <v>2.5000000000000001E-2</v>
      </c>
      <c r="J4700" s="508">
        <v>2.5000000000000001E-2</v>
      </c>
      <c r="K4700" s="508">
        <v>2.5000000000000001E-2</v>
      </c>
      <c r="L4700" s="508">
        <v>2.5000000000000001E-2</v>
      </c>
      <c r="M4700" s="508">
        <v>2.5000000000000001E-2</v>
      </c>
      <c r="N4700" s="508">
        <v>2.5000000000000001E-2</v>
      </c>
      <c r="O4700" s="508">
        <v>2.5000000000000001E-2</v>
      </c>
      <c r="P4700" s="508">
        <v>2.5000000000000001E-2</v>
      </c>
      <c r="Q4700" s="508">
        <v>2.5000000000000001E-2</v>
      </c>
      <c r="R4700" s="508">
        <v>2.5000000000000001E-2</v>
      </c>
      <c r="S4700" s="508">
        <v>2.5000000000000001E-2</v>
      </c>
      <c r="T4700" s="508">
        <v>2.5000000000000001E-2</v>
      </c>
      <c r="U4700" s="508">
        <v>2.5000000000000001E-2</v>
      </c>
      <c r="V4700" s="508">
        <v>2.5000000000000001E-2</v>
      </c>
      <c r="W4700" s="508">
        <v>2.5000000000000001E-2</v>
      </c>
      <c r="X4700" s="508">
        <v>2.5000000000000001E-2</v>
      </c>
      <c r="Y4700" s="508">
        <v>2.5000000000000001E-2</v>
      </c>
      <c r="Z4700" s="508">
        <v>2.5000000000000001E-2</v>
      </c>
      <c r="AA4700" s="508">
        <v>2.5000000000000001E-2</v>
      </c>
      <c r="AB4700" s="508">
        <v>2.5000000000000001E-2</v>
      </c>
      <c r="AC4700" s="508">
        <v>2.5000000000000001E-2</v>
      </c>
      <c r="AD4700" s="508">
        <v>2.5000000000000001E-2</v>
      </c>
      <c r="AE4700" s="508">
        <v>2.5000000000000001E-2</v>
      </c>
      <c r="AF4700" s="508">
        <v>2.5000000000000001E-2</v>
      </c>
      <c r="AG4700" s="508">
        <v>2.5000000000000001E-2</v>
      </c>
      <c r="AH4700" s="508">
        <v>2.5000000000000001E-2</v>
      </c>
      <c r="AI4700" s="492">
        <v>2.5000000000000001E-2</v>
      </c>
      <c r="AJ4700" s="485"/>
    </row>
    <row r="4701" spans="2:36">
      <c r="B4701" s="136" t="s">
        <v>473</v>
      </c>
      <c r="C4701" s="132" t="s">
        <v>1366</v>
      </c>
      <c r="D4701" s="132" t="s">
        <v>1379</v>
      </c>
      <c r="E4701" s="508">
        <v>3.2000000000000001E-2</v>
      </c>
      <c r="F4701" s="508">
        <v>3.2000000000000001E-2</v>
      </c>
      <c r="G4701" s="508">
        <v>3.2000000000000001E-2</v>
      </c>
      <c r="H4701" s="508">
        <v>3.2000000000000001E-2</v>
      </c>
      <c r="I4701" s="508">
        <v>3.2000000000000001E-2</v>
      </c>
      <c r="J4701" s="508">
        <v>3.2000000000000001E-2</v>
      </c>
      <c r="K4701" s="508">
        <v>3.2000000000000001E-2</v>
      </c>
      <c r="L4701" s="508">
        <v>3.2000000000000001E-2</v>
      </c>
      <c r="M4701" s="508">
        <v>3.2000000000000001E-2</v>
      </c>
      <c r="N4701" s="508">
        <v>3.2000000000000001E-2</v>
      </c>
      <c r="O4701" s="508">
        <v>3.2000000000000001E-2</v>
      </c>
      <c r="P4701" s="508">
        <v>3.2000000000000001E-2</v>
      </c>
      <c r="Q4701" s="508">
        <v>3.2000000000000001E-2</v>
      </c>
      <c r="R4701" s="508">
        <v>3.2000000000000001E-2</v>
      </c>
      <c r="S4701" s="508">
        <v>3.2000000000000001E-2</v>
      </c>
      <c r="T4701" s="508">
        <v>3.2000000000000001E-2</v>
      </c>
      <c r="U4701" s="508">
        <v>3.2000000000000001E-2</v>
      </c>
      <c r="V4701" s="508">
        <v>3.2000000000000001E-2</v>
      </c>
      <c r="W4701" s="508">
        <v>3.2000000000000001E-2</v>
      </c>
      <c r="X4701" s="508">
        <v>3.2000000000000001E-2</v>
      </c>
      <c r="Y4701" s="508">
        <v>3.2000000000000001E-2</v>
      </c>
      <c r="Z4701" s="508">
        <v>3.2000000000000001E-2</v>
      </c>
      <c r="AA4701" s="508">
        <v>3.2000000000000001E-2</v>
      </c>
      <c r="AB4701" s="508">
        <v>3.2000000000000001E-2</v>
      </c>
      <c r="AC4701" s="508">
        <v>3.2000000000000001E-2</v>
      </c>
      <c r="AD4701" s="508">
        <v>3.2000000000000001E-2</v>
      </c>
      <c r="AE4701" s="508">
        <v>3.2000000000000001E-2</v>
      </c>
      <c r="AF4701" s="508">
        <v>3.2000000000000001E-2</v>
      </c>
      <c r="AG4701" s="508">
        <v>3.2000000000000001E-2</v>
      </c>
      <c r="AH4701" s="508">
        <v>3.2000000000000001E-2</v>
      </c>
      <c r="AI4701" s="492">
        <v>3.2000000000000001E-2</v>
      </c>
      <c r="AJ4701" s="485"/>
    </row>
    <row r="4702" spans="2:36">
      <c r="B4702" s="136" t="s">
        <v>474</v>
      </c>
      <c r="C4702" s="132" t="s">
        <v>1366</v>
      </c>
      <c r="D4702" s="132" t="s">
        <v>1379</v>
      </c>
      <c r="E4702" s="508">
        <v>2.9000000000000001E-2</v>
      </c>
      <c r="F4702" s="508">
        <v>2.9000000000000001E-2</v>
      </c>
      <c r="G4702" s="508">
        <v>2.9000000000000001E-2</v>
      </c>
      <c r="H4702" s="508">
        <v>2.9000000000000001E-2</v>
      </c>
      <c r="I4702" s="508">
        <v>2.9000000000000001E-2</v>
      </c>
      <c r="J4702" s="508">
        <v>2.9000000000000001E-2</v>
      </c>
      <c r="K4702" s="508">
        <v>2.9000000000000001E-2</v>
      </c>
      <c r="L4702" s="508">
        <v>2.9000000000000001E-2</v>
      </c>
      <c r="M4702" s="508">
        <v>2.9000000000000001E-2</v>
      </c>
      <c r="N4702" s="508">
        <v>2.9000000000000001E-2</v>
      </c>
      <c r="O4702" s="508">
        <v>2.9000000000000001E-2</v>
      </c>
      <c r="P4702" s="508">
        <v>2.9000000000000001E-2</v>
      </c>
      <c r="Q4702" s="508">
        <v>2.9000000000000001E-2</v>
      </c>
      <c r="R4702" s="508">
        <v>2.9000000000000001E-2</v>
      </c>
      <c r="S4702" s="508">
        <v>2.9000000000000001E-2</v>
      </c>
      <c r="T4702" s="508">
        <v>2.9000000000000001E-2</v>
      </c>
      <c r="U4702" s="508">
        <v>2.9000000000000001E-2</v>
      </c>
      <c r="V4702" s="508">
        <v>2.9000000000000001E-2</v>
      </c>
      <c r="W4702" s="508">
        <v>2.9000000000000001E-2</v>
      </c>
      <c r="X4702" s="508">
        <v>2.9000000000000001E-2</v>
      </c>
      <c r="Y4702" s="508">
        <v>2.9000000000000001E-2</v>
      </c>
      <c r="Z4702" s="508">
        <v>2.9000000000000001E-2</v>
      </c>
      <c r="AA4702" s="508">
        <v>2.9000000000000001E-2</v>
      </c>
      <c r="AB4702" s="508">
        <v>2.9000000000000001E-2</v>
      </c>
      <c r="AC4702" s="508">
        <v>2.9000000000000001E-2</v>
      </c>
      <c r="AD4702" s="508">
        <v>2.9000000000000001E-2</v>
      </c>
      <c r="AE4702" s="508">
        <v>2.9000000000000001E-2</v>
      </c>
      <c r="AF4702" s="508">
        <v>2.9000000000000001E-2</v>
      </c>
      <c r="AG4702" s="508">
        <v>2.9000000000000001E-2</v>
      </c>
      <c r="AH4702" s="508">
        <v>2.9000000000000001E-2</v>
      </c>
      <c r="AI4702" s="492">
        <v>2.9000000000000001E-2</v>
      </c>
      <c r="AJ4702" s="485"/>
    </row>
    <row r="4703" spans="2:36">
      <c r="B4703" s="136" t="s">
        <v>475</v>
      </c>
      <c r="C4703" s="132" t="s">
        <v>1366</v>
      </c>
      <c r="D4703" s="132" t="s">
        <v>1379</v>
      </c>
      <c r="E4703" s="508">
        <v>2.8000000000000001E-2</v>
      </c>
      <c r="F4703" s="508">
        <v>2.8000000000000001E-2</v>
      </c>
      <c r="G4703" s="508">
        <v>2.8000000000000001E-2</v>
      </c>
      <c r="H4703" s="508">
        <v>2.8000000000000001E-2</v>
      </c>
      <c r="I4703" s="508">
        <v>2.8000000000000001E-2</v>
      </c>
      <c r="J4703" s="508">
        <v>2.8000000000000001E-2</v>
      </c>
      <c r="K4703" s="508">
        <v>2.8000000000000001E-2</v>
      </c>
      <c r="L4703" s="508">
        <v>2.8000000000000001E-2</v>
      </c>
      <c r="M4703" s="508">
        <v>2.8000000000000001E-2</v>
      </c>
      <c r="N4703" s="508">
        <v>2.8000000000000001E-2</v>
      </c>
      <c r="O4703" s="508">
        <v>2.8000000000000001E-2</v>
      </c>
      <c r="P4703" s="508">
        <v>2.8000000000000001E-2</v>
      </c>
      <c r="Q4703" s="508">
        <v>2.8000000000000001E-2</v>
      </c>
      <c r="R4703" s="508">
        <v>2.8000000000000001E-2</v>
      </c>
      <c r="S4703" s="508">
        <v>2.8000000000000001E-2</v>
      </c>
      <c r="T4703" s="508">
        <v>2.8000000000000001E-2</v>
      </c>
      <c r="U4703" s="508">
        <v>2.8000000000000001E-2</v>
      </c>
      <c r="V4703" s="508">
        <v>2.8000000000000001E-2</v>
      </c>
      <c r="W4703" s="508">
        <v>2.8000000000000001E-2</v>
      </c>
      <c r="X4703" s="508">
        <v>2.8000000000000001E-2</v>
      </c>
      <c r="Y4703" s="508">
        <v>2.8000000000000001E-2</v>
      </c>
      <c r="Z4703" s="508">
        <v>2.8000000000000001E-2</v>
      </c>
      <c r="AA4703" s="508">
        <v>2.8000000000000001E-2</v>
      </c>
      <c r="AB4703" s="508">
        <v>2.8000000000000001E-2</v>
      </c>
      <c r="AC4703" s="508">
        <v>2.8000000000000001E-2</v>
      </c>
      <c r="AD4703" s="508">
        <v>2.8000000000000001E-2</v>
      </c>
      <c r="AE4703" s="508">
        <v>2.8000000000000001E-2</v>
      </c>
      <c r="AF4703" s="508">
        <v>2.8000000000000001E-2</v>
      </c>
      <c r="AG4703" s="508">
        <v>2.8000000000000001E-2</v>
      </c>
      <c r="AH4703" s="508">
        <v>2.8000000000000001E-2</v>
      </c>
      <c r="AI4703" s="492">
        <v>2.8000000000000001E-2</v>
      </c>
      <c r="AJ4703" s="485"/>
    </row>
    <row r="4704" spans="2:36">
      <c r="B4704" s="136" t="s">
        <v>476</v>
      </c>
      <c r="C4704" s="132" t="s">
        <v>1366</v>
      </c>
      <c r="D4704" s="132" t="s">
        <v>1379</v>
      </c>
      <c r="E4704" s="508">
        <v>3.1E-2</v>
      </c>
      <c r="F4704" s="508">
        <v>3.1E-2</v>
      </c>
      <c r="G4704" s="508">
        <v>3.1E-2</v>
      </c>
      <c r="H4704" s="508">
        <v>3.1E-2</v>
      </c>
      <c r="I4704" s="508">
        <v>3.1E-2</v>
      </c>
      <c r="J4704" s="508">
        <v>3.1E-2</v>
      </c>
      <c r="K4704" s="508">
        <v>3.1E-2</v>
      </c>
      <c r="L4704" s="508">
        <v>3.1E-2</v>
      </c>
      <c r="M4704" s="508">
        <v>3.1E-2</v>
      </c>
      <c r="N4704" s="508">
        <v>3.1E-2</v>
      </c>
      <c r="O4704" s="508">
        <v>3.1E-2</v>
      </c>
      <c r="P4704" s="508">
        <v>3.1E-2</v>
      </c>
      <c r="Q4704" s="508">
        <v>3.1E-2</v>
      </c>
      <c r="R4704" s="508">
        <v>3.1E-2</v>
      </c>
      <c r="S4704" s="508">
        <v>3.1E-2</v>
      </c>
      <c r="T4704" s="508">
        <v>3.1E-2</v>
      </c>
      <c r="U4704" s="508">
        <v>3.1E-2</v>
      </c>
      <c r="V4704" s="508">
        <v>3.1E-2</v>
      </c>
      <c r="W4704" s="508">
        <v>3.1E-2</v>
      </c>
      <c r="X4704" s="508">
        <v>3.1E-2</v>
      </c>
      <c r="Y4704" s="508">
        <v>3.1E-2</v>
      </c>
      <c r="Z4704" s="508">
        <v>3.1E-2</v>
      </c>
      <c r="AA4704" s="508">
        <v>3.1E-2</v>
      </c>
      <c r="AB4704" s="508">
        <v>3.1E-2</v>
      </c>
      <c r="AC4704" s="508">
        <v>3.1E-2</v>
      </c>
      <c r="AD4704" s="508">
        <v>3.1E-2</v>
      </c>
      <c r="AE4704" s="508">
        <v>3.1E-2</v>
      </c>
      <c r="AF4704" s="508">
        <v>3.1E-2</v>
      </c>
      <c r="AG4704" s="508">
        <v>3.1E-2</v>
      </c>
      <c r="AH4704" s="508">
        <v>3.1E-2</v>
      </c>
      <c r="AI4704" s="492">
        <v>3.1E-2</v>
      </c>
      <c r="AJ4704" s="485"/>
    </row>
    <row r="4705" spans="2:36">
      <c r="B4705" s="136" t="s">
        <v>478</v>
      </c>
      <c r="C4705" s="132" t="s">
        <v>1366</v>
      </c>
      <c r="D4705" s="132" t="s">
        <v>1379</v>
      </c>
      <c r="E4705" s="508">
        <v>3.2000000000000001E-2</v>
      </c>
      <c r="F4705" s="508">
        <v>3.2000000000000001E-2</v>
      </c>
      <c r="G4705" s="508">
        <v>3.2000000000000001E-2</v>
      </c>
      <c r="H4705" s="508">
        <v>3.2000000000000001E-2</v>
      </c>
      <c r="I4705" s="508">
        <v>3.2000000000000001E-2</v>
      </c>
      <c r="J4705" s="508">
        <v>3.2000000000000001E-2</v>
      </c>
      <c r="K4705" s="508">
        <v>3.2000000000000001E-2</v>
      </c>
      <c r="L4705" s="508">
        <v>3.2000000000000001E-2</v>
      </c>
      <c r="M4705" s="508">
        <v>3.2000000000000001E-2</v>
      </c>
      <c r="N4705" s="508">
        <v>3.2000000000000001E-2</v>
      </c>
      <c r="O4705" s="508">
        <v>3.2000000000000001E-2</v>
      </c>
      <c r="P4705" s="508">
        <v>3.2000000000000001E-2</v>
      </c>
      <c r="Q4705" s="508">
        <v>3.2000000000000001E-2</v>
      </c>
      <c r="R4705" s="508">
        <v>3.2000000000000001E-2</v>
      </c>
      <c r="S4705" s="508">
        <v>3.2000000000000001E-2</v>
      </c>
      <c r="T4705" s="508">
        <v>3.2000000000000001E-2</v>
      </c>
      <c r="U4705" s="508">
        <v>3.2000000000000001E-2</v>
      </c>
      <c r="V4705" s="508">
        <v>3.2000000000000001E-2</v>
      </c>
      <c r="W4705" s="508">
        <v>3.2000000000000001E-2</v>
      </c>
      <c r="X4705" s="508">
        <v>3.2000000000000001E-2</v>
      </c>
      <c r="Y4705" s="508">
        <v>3.2000000000000001E-2</v>
      </c>
      <c r="Z4705" s="508">
        <v>3.2000000000000001E-2</v>
      </c>
      <c r="AA4705" s="508">
        <v>3.2000000000000001E-2</v>
      </c>
      <c r="AB4705" s="508">
        <v>3.2000000000000001E-2</v>
      </c>
      <c r="AC4705" s="508">
        <v>3.2000000000000001E-2</v>
      </c>
      <c r="AD4705" s="508">
        <v>3.2000000000000001E-2</v>
      </c>
      <c r="AE4705" s="508">
        <v>3.2000000000000001E-2</v>
      </c>
      <c r="AF4705" s="508">
        <v>3.2000000000000001E-2</v>
      </c>
      <c r="AG4705" s="508">
        <v>3.2000000000000001E-2</v>
      </c>
      <c r="AH4705" s="508">
        <v>3.2000000000000001E-2</v>
      </c>
      <c r="AI4705" s="492">
        <v>3.2000000000000001E-2</v>
      </c>
      <c r="AJ4705" s="485"/>
    </row>
    <row r="4706" spans="2:36">
      <c r="B4706" s="136" t="s">
        <v>479</v>
      </c>
      <c r="C4706" s="132" t="s">
        <v>1366</v>
      </c>
      <c r="D4706" s="132" t="s">
        <v>1379</v>
      </c>
      <c r="E4706" s="508">
        <v>2.9000000000000001E-2</v>
      </c>
      <c r="F4706" s="508">
        <v>2.9000000000000001E-2</v>
      </c>
      <c r="G4706" s="508">
        <v>2.9000000000000001E-2</v>
      </c>
      <c r="H4706" s="508">
        <v>2.9000000000000001E-2</v>
      </c>
      <c r="I4706" s="508">
        <v>2.9000000000000001E-2</v>
      </c>
      <c r="J4706" s="508">
        <v>2.9000000000000001E-2</v>
      </c>
      <c r="K4706" s="508">
        <v>2.9000000000000001E-2</v>
      </c>
      <c r="L4706" s="508">
        <v>2.9000000000000001E-2</v>
      </c>
      <c r="M4706" s="508">
        <v>2.9000000000000001E-2</v>
      </c>
      <c r="N4706" s="508">
        <v>2.9000000000000001E-2</v>
      </c>
      <c r="O4706" s="508">
        <v>2.9000000000000001E-2</v>
      </c>
      <c r="P4706" s="508">
        <v>2.9000000000000001E-2</v>
      </c>
      <c r="Q4706" s="508">
        <v>2.9000000000000001E-2</v>
      </c>
      <c r="R4706" s="508">
        <v>2.9000000000000001E-2</v>
      </c>
      <c r="S4706" s="508">
        <v>2.9000000000000001E-2</v>
      </c>
      <c r="T4706" s="508">
        <v>2.9000000000000001E-2</v>
      </c>
      <c r="U4706" s="508">
        <v>2.9000000000000001E-2</v>
      </c>
      <c r="V4706" s="508">
        <v>2.9000000000000001E-2</v>
      </c>
      <c r="W4706" s="508">
        <v>2.9000000000000001E-2</v>
      </c>
      <c r="X4706" s="508">
        <v>2.9000000000000001E-2</v>
      </c>
      <c r="Y4706" s="508">
        <v>2.9000000000000001E-2</v>
      </c>
      <c r="Z4706" s="508">
        <v>2.9000000000000001E-2</v>
      </c>
      <c r="AA4706" s="508">
        <v>2.9000000000000001E-2</v>
      </c>
      <c r="AB4706" s="508">
        <v>2.9000000000000001E-2</v>
      </c>
      <c r="AC4706" s="508">
        <v>2.9000000000000001E-2</v>
      </c>
      <c r="AD4706" s="508">
        <v>2.9000000000000001E-2</v>
      </c>
      <c r="AE4706" s="508">
        <v>2.9000000000000001E-2</v>
      </c>
      <c r="AF4706" s="508">
        <v>2.9000000000000001E-2</v>
      </c>
      <c r="AG4706" s="508">
        <v>2.9000000000000001E-2</v>
      </c>
      <c r="AH4706" s="508">
        <v>2.9000000000000001E-2</v>
      </c>
      <c r="AI4706" s="492">
        <v>2.9000000000000001E-2</v>
      </c>
      <c r="AJ4706" s="485"/>
    </row>
    <row r="4707" spans="2:36">
      <c r="B4707" s="136" t="s">
        <v>480</v>
      </c>
      <c r="C4707" s="132" t="s">
        <v>1366</v>
      </c>
      <c r="D4707" s="132" t="s">
        <v>1379</v>
      </c>
      <c r="E4707" s="508">
        <v>2.4E-2</v>
      </c>
      <c r="F4707" s="508">
        <v>2.4E-2</v>
      </c>
      <c r="G4707" s="508">
        <v>2.4E-2</v>
      </c>
      <c r="H4707" s="508">
        <v>2.4E-2</v>
      </c>
      <c r="I4707" s="508">
        <v>2.4E-2</v>
      </c>
      <c r="J4707" s="508">
        <v>2.4E-2</v>
      </c>
      <c r="K4707" s="508">
        <v>2.4E-2</v>
      </c>
      <c r="L4707" s="508">
        <v>2.4E-2</v>
      </c>
      <c r="M4707" s="508">
        <v>2.4E-2</v>
      </c>
      <c r="N4707" s="508">
        <v>2.4E-2</v>
      </c>
      <c r="O4707" s="508">
        <v>2.4E-2</v>
      </c>
      <c r="P4707" s="508">
        <v>2.4E-2</v>
      </c>
      <c r="Q4707" s="508">
        <v>2.4E-2</v>
      </c>
      <c r="R4707" s="508">
        <v>2.4E-2</v>
      </c>
      <c r="S4707" s="508">
        <v>2.4E-2</v>
      </c>
      <c r="T4707" s="508">
        <v>2.4E-2</v>
      </c>
      <c r="U4707" s="508">
        <v>2.4E-2</v>
      </c>
      <c r="V4707" s="508">
        <v>2.4E-2</v>
      </c>
      <c r="W4707" s="508">
        <v>2.4E-2</v>
      </c>
      <c r="X4707" s="508">
        <v>2.4E-2</v>
      </c>
      <c r="Y4707" s="508">
        <v>2.4E-2</v>
      </c>
      <c r="Z4707" s="508">
        <v>2.4E-2</v>
      </c>
      <c r="AA4707" s="508">
        <v>2.4E-2</v>
      </c>
      <c r="AB4707" s="508">
        <v>2.4E-2</v>
      </c>
      <c r="AC4707" s="508">
        <v>2.4E-2</v>
      </c>
      <c r="AD4707" s="508">
        <v>2.4E-2</v>
      </c>
      <c r="AE4707" s="508">
        <v>2.4E-2</v>
      </c>
      <c r="AF4707" s="508">
        <v>2.4E-2</v>
      </c>
      <c r="AG4707" s="508">
        <v>2.4E-2</v>
      </c>
      <c r="AH4707" s="508">
        <v>2.4E-2</v>
      </c>
      <c r="AI4707" s="492">
        <v>2.4E-2</v>
      </c>
      <c r="AJ4707" s="485"/>
    </row>
    <row r="4708" spans="2:36">
      <c r="B4708" s="136" t="s">
        <v>481</v>
      </c>
      <c r="C4708" s="132" t="s">
        <v>1366</v>
      </c>
      <c r="D4708" s="132" t="s">
        <v>1379</v>
      </c>
      <c r="E4708" s="508">
        <v>0.03</v>
      </c>
      <c r="F4708" s="508">
        <v>0.03</v>
      </c>
      <c r="G4708" s="508">
        <v>0.03</v>
      </c>
      <c r="H4708" s="508">
        <v>0.03</v>
      </c>
      <c r="I4708" s="508">
        <v>0.03</v>
      </c>
      <c r="J4708" s="508">
        <v>0.03</v>
      </c>
      <c r="K4708" s="508">
        <v>0.03</v>
      </c>
      <c r="L4708" s="508">
        <v>0.03</v>
      </c>
      <c r="M4708" s="508">
        <v>0.03</v>
      </c>
      <c r="N4708" s="508">
        <v>0.03</v>
      </c>
      <c r="O4708" s="508">
        <v>0.03</v>
      </c>
      <c r="P4708" s="508">
        <v>0.03</v>
      </c>
      <c r="Q4708" s="508">
        <v>0.03</v>
      </c>
      <c r="R4708" s="508">
        <v>0.03</v>
      </c>
      <c r="S4708" s="508">
        <v>0.03</v>
      </c>
      <c r="T4708" s="508">
        <v>0.03</v>
      </c>
      <c r="U4708" s="508">
        <v>0.03</v>
      </c>
      <c r="V4708" s="508">
        <v>0.03</v>
      </c>
      <c r="W4708" s="508">
        <v>0.03</v>
      </c>
      <c r="X4708" s="508">
        <v>0.03</v>
      </c>
      <c r="Y4708" s="508">
        <v>0.03</v>
      </c>
      <c r="Z4708" s="508">
        <v>0.03</v>
      </c>
      <c r="AA4708" s="508">
        <v>0.03</v>
      </c>
      <c r="AB4708" s="508">
        <v>0.03</v>
      </c>
      <c r="AC4708" s="508">
        <v>0.03</v>
      </c>
      <c r="AD4708" s="508">
        <v>0.03</v>
      </c>
      <c r="AE4708" s="508">
        <v>0.03</v>
      </c>
      <c r="AF4708" s="508">
        <v>0.03</v>
      </c>
      <c r="AG4708" s="508">
        <v>0.03</v>
      </c>
      <c r="AH4708" s="508">
        <v>0.03</v>
      </c>
      <c r="AI4708" s="492">
        <v>0.03</v>
      </c>
      <c r="AJ4708" s="485"/>
    </row>
    <row r="4709" spans="2:36">
      <c r="B4709" s="136" t="s">
        <v>482</v>
      </c>
      <c r="C4709" s="132" t="s">
        <v>1366</v>
      </c>
      <c r="D4709" s="132" t="s">
        <v>1379</v>
      </c>
      <c r="E4709" s="508">
        <v>2.9000000000000001E-2</v>
      </c>
      <c r="F4709" s="508">
        <v>2.9000000000000001E-2</v>
      </c>
      <c r="G4709" s="508">
        <v>2.9000000000000001E-2</v>
      </c>
      <c r="H4709" s="508">
        <v>2.9000000000000001E-2</v>
      </c>
      <c r="I4709" s="508">
        <v>2.9000000000000001E-2</v>
      </c>
      <c r="J4709" s="508">
        <v>2.9000000000000001E-2</v>
      </c>
      <c r="K4709" s="508">
        <v>2.9000000000000001E-2</v>
      </c>
      <c r="L4709" s="508">
        <v>2.9000000000000001E-2</v>
      </c>
      <c r="M4709" s="508">
        <v>2.9000000000000001E-2</v>
      </c>
      <c r="N4709" s="508">
        <v>2.9000000000000001E-2</v>
      </c>
      <c r="O4709" s="508">
        <v>2.9000000000000001E-2</v>
      </c>
      <c r="P4709" s="508">
        <v>2.9000000000000001E-2</v>
      </c>
      <c r="Q4709" s="508">
        <v>2.9000000000000001E-2</v>
      </c>
      <c r="R4709" s="508">
        <v>2.9000000000000001E-2</v>
      </c>
      <c r="S4709" s="508">
        <v>2.9000000000000001E-2</v>
      </c>
      <c r="T4709" s="508">
        <v>2.9000000000000001E-2</v>
      </c>
      <c r="U4709" s="508">
        <v>2.9000000000000001E-2</v>
      </c>
      <c r="V4709" s="508">
        <v>2.9000000000000001E-2</v>
      </c>
      <c r="W4709" s="508">
        <v>2.9000000000000001E-2</v>
      </c>
      <c r="X4709" s="508">
        <v>2.9000000000000001E-2</v>
      </c>
      <c r="Y4709" s="508">
        <v>2.9000000000000001E-2</v>
      </c>
      <c r="Z4709" s="508">
        <v>2.9000000000000001E-2</v>
      </c>
      <c r="AA4709" s="508">
        <v>2.9000000000000001E-2</v>
      </c>
      <c r="AB4709" s="508">
        <v>2.9000000000000001E-2</v>
      </c>
      <c r="AC4709" s="508">
        <v>2.9000000000000001E-2</v>
      </c>
      <c r="AD4709" s="508">
        <v>2.9000000000000001E-2</v>
      </c>
      <c r="AE4709" s="508">
        <v>2.9000000000000001E-2</v>
      </c>
      <c r="AF4709" s="508">
        <v>2.9000000000000001E-2</v>
      </c>
      <c r="AG4709" s="508">
        <v>2.9000000000000001E-2</v>
      </c>
      <c r="AH4709" s="508">
        <v>2.9000000000000001E-2</v>
      </c>
      <c r="AI4709" s="492">
        <v>2.9000000000000001E-2</v>
      </c>
      <c r="AJ4709" s="485"/>
    </row>
    <row r="4710" spans="2:36">
      <c r="B4710" s="136" t="s">
        <v>483</v>
      </c>
      <c r="C4710" s="132" t="s">
        <v>1366</v>
      </c>
      <c r="D4710" s="132" t="s">
        <v>1379</v>
      </c>
      <c r="E4710" s="508">
        <v>3.2000000000000001E-2</v>
      </c>
      <c r="F4710" s="508">
        <v>3.2000000000000001E-2</v>
      </c>
      <c r="G4710" s="508">
        <v>3.2000000000000001E-2</v>
      </c>
      <c r="H4710" s="508">
        <v>3.2000000000000001E-2</v>
      </c>
      <c r="I4710" s="508">
        <v>3.2000000000000001E-2</v>
      </c>
      <c r="J4710" s="508">
        <v>3.2000000000000001E-2</v>
      </c>
      <c r="K4710" s="508">
        <v>3.2000000000000001E-2</v>
      </c>
      <c r="L4710" s="508">
        <v>3.2000000000000001E-2</v>
      </c>
      <c r="M4710" s="508">
        <v>3.2000000000000001E-2</v>
      </c>
      <c r="N4710" s="508">
        <v>3.2000000000000001E-2</v>
      </c>
      <c r="O4710" s="508">
        <v>3.2000000000000001E-2</v>
      </c>
      <c r="P4710" s="508">
        <v>3.2000000000000001E-2</v>
      </c>
      <c r="Q4710" s="508">
        <v>3.2000000000000001E-2</v>
      </c>
      <c r="R4710" s="508">
        <v>3.2000000000000001E-2</v>
      </c>
      <c r="S4710" s="508">
        <v>3.2000000000000001E-2</v>
      </c>
      <c r="T4710" s="508">
        <v>3.2000000000000001E-2</v>
      </c>
      <c r="U4710" s="508">
        <v>3.2000000000000001E-2</v>
      </c>
      <c r="V4710" s="508">
        <v>3.2000000000000001E-2</v>
      </c>
      <c r="W4710" s="508">
        <v>3.2000000000000001E-2</v>
      </c>
      <c r="X4710" s="508">
        <v>3.2000000000000001E-2</v>
      </c>
      <c r="Y4710" s="508">
        <v>3.2000000000000001E-2</v>
      </c>
      <c r="Z4710" s="508">
        <v>3.2000000000000001E-2</v>
      </c>
      <c r="AA4710" s="508">
        <v>3.2000000000000001E-2</v>
      </c>
      <c r="AB4710" s="508">
        <v>3.2000000000000001E-2</v>
      </c>
      <c r="AC4710" s="508">
        <v>3.2000000000000001E-2</v>
      </c>
      <c r="AD4710" s="508">
        <v>3.2000000000000001E-2</v>
      </c>
      <c r="AE4710" s="508">
        <v>3.2000000000000001E-2</v>
      </c>
      <c r="AF4710" s="508">
        <v>3.2000000000000001E-2</v>
      </c>
      <c r="AG4710" s="508">
        <v>3.2000000000000001E-2</v>
      </c>
      <c r="AH4710" s="508">
        <v>3.2000000000000001E-2</v>
      </c>
      <c r="AI4710" s="492">
        <v>3.2000000000000001E-2</v>
      </c>
      <c r="AJ4710" s="485"/>
    </row>
    <row r="4711" spans="2:36">
      <c r="B4711" s="136" t="s">
        <v>484</v>
      </c>
      <c r="C4711" s="132" t="s">
        <v>1366</v>
      </c>
      <c r="D4711" s="132" t="s">
        <v>1379</v>
      </c>
      <c r="E4711" s="508">
        <v>2.5000000000000001E-2</v>
      </c>
      <c r="F4711" s="508">
        <v>2.5000000000000001E-2</v>
      </c>
      <c r="G4711" s="508">
        <v>2.5000000000000001E-2</v>
      </c>
      <c r="H4711" s="508">
        <v>2.5000000000000001E-2</v>
      </c>
      <c r="I4711" s="508">
        <v>2.5000000000000001E-2</v>
      </c>
      <c r="J4711" s="508">
        <v>2.5000000000000001E-2</v>
      </c>
      <c r="K4711" s="508">
        <v>2.5000000000000001E-2</v>
      </c>
      <c r="L4711" s="508">
        <v>2.5000000000000001E-2</v>
      </c>
      <c r="M4711" s="508">
        <v>2.5000000000000001E-2</v>
      </c>
      <c r="N4711" s="508">
        <v>2.5000000000000001E-2</v>
      </c>
      <c r="O4711" s="508">
        <v>2.5000000000000001E-2</v>
      </c>
      <c r="P4711" s="508">
        <v>2.5000000000000001E-2</v>
      </c>
      <c r="Q4711" s="508">
        <v>2.5000000000000001E-2</v>
      </c>
      <c r="R4711" s="508">
        <v>2.5000000000000001E-2</v>
      </c>
      <c r="S4711" s="508">
        <v>2.5000000000000001E-2</v>
      </c>
      <c r="T4711" s="508">
        <v>2.5000000000000001E-2</v>
      </c>
      <c r="U4711" s="508">
        <v>2.5000000000000001E-2</v>
      </c>
      <c r="V4711" s="508">
        <v>2.5000000000000001E-2</v>
      </c>
      <c r="W4711" s="508">
        <v>2.5000000000000001E-2</v>
      </c>
      <c r="X4711" s="508">
        <v>2.5000000000000001E-2</v>
      </c>
      <c r="Y4711" s="508">
        <v>2.5000000000000001E-2</v>
      </c>
      <c r="Z4711" s="508">
        <v>2.5000000000000001E-2</v>
      </c>
      <c r="AA4711" s="508">
        <v>2.5000000000000001E-2</v>
      </c>
      <c r="AB4711" s="508">
        <v>2.5000000000000001E-2</v>
      </c>
      <c r="AC4711" s="508">
        <v>2.5000000000000001E-2</v>
      </c>
      <c r="AD4711" s="508">
        <v>2.5000000000000001E-2</v>
      </c>
      <c r="AE4711" s="508">
        <v>2.5000000000000001E-2</v>
      </c>
      <c r="AF4711" s="508">
        <v>2.5000000000000001E-2</v>
      </c>
      <c r="AG4711" s="508">
        <v>2.5000000000000001E-2</v>
      </c>
      <c r="AH4711" s="508">
        <v>2.5000000000000001E-2</v>
      </c>
      <c r="AI4711" s="492">
        <v>2.5000000000000001E-2</v>
      </c>
      <c r="AJ4711" s="485"/>
    </row>
    <row r="4712" spans="2:36">
      <c r="B4712" s="136" t="s">
        <v>486</v>
      </c>
      <c r="C4712" s="132" t="s">
        <v>1366</v>
      </c>
      <c r="D4712" s="132" t="s">
        <v>1379</v>
      </c>
      <c r="E4712" s="508">
        <v>0.03</v>
      </c>
      <c r="F4712" s="508">
        <v>0.03</v>
      </c>
      <c r="G4712" s="508">
        <v>0.03</v>
      </c>
      <c r="H4712" s="508">
        <v>0.03</v>
      </c>
      <c r="I4712" s="508">
        <v>0.03</v>
      </c>
      <c r="J4712" s="508">
        <v>0.03</v>
      </c>
      <c r="K4712" s="508">
        <v>0.03</v>
      </c>
      <c r="L4712" s="508">
        <v>0.03</v>
      </c>
      <c r="M4712" s="508">
        <v>0.03</v>
      </c>
      <c r="N4712" s="508">
        <v>0.03</v>
      </c>
      <c r="O4712" s="508">
        <v>0.03</v>
      </c>
      <c r="P4712" s="508">
        <v>0.03</v>
      </c>
      <c r="Q4712" s="508">
        <v>0.03</v>
      </c>
      <c r="R4712" s="508">
        <v>0.03</v>
      </c>
      <c r="S4712" s="508">
        <v>0.03</v>
      </c>
      <c r="T4712" s="508">
        <v>0.03</v>
      </c>
      <c r="U4712" s="508">
        <v>0.03</v>
      </c>
      <c r="V4712" s="508">
        <v>0.03</v>
      </c>
      <c r="W4712" s="508">
        <v>0.03</v>
      </c>
      <c r="X4712" s="508">
        <v>0.03</v>
      </c>
      <c r="Y4712" s="508">
        <v>0.03</v>
      </c>
      <c r="Z4712" s="508">
        <v>0.03</v>
      </c>
      <c r="AA4712" s="508">
        <v>0.03</v>
      </c>
      <c r="AB4712" s="508">
        <v>0.03</v>
      </c>
      <c r="AC4712" s="508">
        <v>0.03</v>
      </c>
      <c r="AD4712" s="508">
        <v>0.03</v>
      </c>
      <c r="AE4712" s="508">
        <v>0.03</v>
      </c>
      <c r="AF4712" s="508">
        <v>0.03</v>
      </c>
      <c r="AG4712" s="508">
        <v>0.03</v>
      </c>
      <c r="AH4712" s="508">
        <v>0.03</v>
      </c>
      <c r="AI4712" s="492">
        <v>0.03</v>
      </c>
      <c r="AJ4712" s="485"/>
    </row>
    <row r="4713" spans="2:36">
      <c r="B4713" s="136" t="s">
        <v>487</v>
      </c>
      <c r="C4713" s="132" t="s">
        <v>1366</v>
      </c>
      <c r="D4713" s="132" t="s">
        <v>1379</v>
      </c>
      <c r="E4713" s="508">
        <v>2.9000000000000001E-2</v>
      </c>
      <c r="F4713" s="508">
        <v>2.9000000000000001E-2</v>
      </c>
      <c r="G4713" s="508">
        <v>2.9000000000000001E-2</v>
      </c>
      <c r="H4713" s="508">
        <v>2.9000000000000001E-2</v>
      </c>
      <c r="I4713" s="508">
        <v>2.9000000000000001E-2</v>
      </c>
      <c r="J4713" s="508">
        <v>2.9000000000000001E-2</v>
      </c>
      <c r="K4713" s="508">
        <v>2.9000000000000001E-2</v>
      </c>
      <c r="L4713" s="508">
        <v>2.9000000000000001E-2</v>
      </c>
      <c r="M4713" s="508">
        <v>2.9000000000000001E-2</v>
      </c>
      <c r="N4713" s="508">
        <v>2.9000000000000001E-2</v>
      </c>
      <c r="O4713" s="508">
        <v>2.9000000000000001E-2</v>
      </c>
      <c r="P4713" s="508">
        <v>2.9000000000000001E-2</v>
      </c>
      <c r="Q4713" s="508">
        <v>2.9000000000000001E-2</v>
      </c>
      <c r="R4713" s="508">
        <v>2.9000000000000001E-2</v>
      </c>
      <c r="S4713" s="508">
        <v>2.9000000000000001E-2</v>
      </c>
      <c r="T4713" s="508">
        <v>2.9000000000000001E-2</v>
      </c>
      <c r="U4713" s="508">
        <v>2.9000000000000001E-2</v>
      </c>
      <c r="V4713" s="508">
        <v>2.9000000000000001E-2</v>
      </c>
      <c r="W4713" s="508">
        <v>2.9000000000000001E-2</v>
      </c>
      <c r="X4713" s="508">
        <v>2.9000000000000001E-2</v>
      </c>
      <c r="Y4713" s="508">
        <v>2.9000000000000001E-2</v>
      </c>
      <c r="Z4713" s="508">
        <v>2.9000000000000001E-2</v>
      </c>
      <c r="AA4713" s="508">
        <v>2.9000000000000001E-2</v>
      </c>
      <c r="AB4713" s="508">
        <v>2.9000000000000001E-2</v>
      </c>
      <c r="AC4713" s="508">
        <v>2.9000000000000001E-2</v>
      </c>
      <c r="AD4713" s="508">
        <v>2.9000000000000001E-2</v>
      </c>
      <c r="AE4713" s="508">
        <v>2.9000000000000001E-2</v>
      </c>
      <c r="AF4713" s="508">
        <v>2.9000000000000001E-2</v>
      </c>
      <c r="AG4713" s="508">
        <v>2.9000000000000001E-2</v>
      </c>
      <c r="AH4713" s="508">
        <v>2.9000000000000001E-2</v>
      </c>
      <c r="AI4713" s="492">
        <v>2.9000000000000001E-2</v>
      </c>
      <c r="AJ4713" s="485"/>
    </row>
    <row r="4714" spans="2:36">
      <c r="B4714" s="136" t="s">
        <v>488</v>
      </c>
      <c r="C4714" s="132" t="s">
        <v>1366</v>
      </c>
      <c r="D4714" s="132" t="s">
        <v>1379</v>
      </c>
      <c r="E4714" s="508">
        <v>2.5999999999999999E-2</v>
      </c>
      <c r="F4714" s="508">
        <v>2.5999999999999999E-2</v>
      </c>
      <c r="G4714" s="508">
        <v>2.5999999999999999E-2</v>
      </c>
      <c r="H4714" s="508">
        <v>2.5999999999999999E-2</v>
      </c>
      <c r="I4714" s="508">
        <v>2.5999999999999999E-2</v>
      </c>
      <c r="J4714" s="508">
        <v>2.5999999999999999E-2</v>
      </c>
      <c r="K4714" s="508">
        <v>2.5999999999999999E-2</v>
      </c>
      <c r="L4714" s="508">
        <v>2.5999999999999999E-2</v>
      </c>
      <c r="M4714" s="508">
        <v>2.5999999999999999E-2</v>
      </c>
      <c r="N4714" s="508">
        <v>2.5999999999999999E-2</v>
      </c>
      <c r="O4714" s="508">
        <v>2.5999999999999999E-2</v>
      </c>
      <c r="P4714" s="508">
        <v>2.5999999999999999E-2</v>
      </c>
      <c r="Q4714" s="508">
        <v>2.5999999999999999E-2</v>
      </c>
      <c r="R4714" s="508">
        <v>2.5999999999999999E-2</v>
      </c>
      <c r="S4714" s="508">
        <v>2.5999999999999999E-2</v>
      </c>
      <c r="T4714" s="508">
        <v>2.5999999999999999E-2</v>
      </c>
      <c r="U4714" s="508">
        <v>2.5999999999999999E-2</v>
      </c>
      <c r="V4714" s="508">
        <v>2.5999999999999999E-2</v>
      </c>
      <c r="W4714" s="508">
        <v>2.5999999999999999E-2</v>
      </c>
      <c r="X4714" s="508">
        <v>2.5999999999999999E-2</v>
      </c>
      <c r="Y4714" s="508">
        <v>2.5999999999999999E-2</v>
      </c>
      <c r="Z4714" s="508">
        <v>2.5999999999999999E-2</v>
      </c>
      <c r="AA4714" s="508">
        <v>2.5999999999999999E-2</v>
      </c>
      <c r="AB4714" s="508">
        <v>2.5999999999999999E-2</v>
      </c>
      <c r="AC4714" s="508">
        <v>2.5999999999999999E-2</v>
      </c>
      <c r="AD4714" s="508">
        <v>2.5999999999999999E-2</v>
      </c>
      <c r="AE4714" s="508">
        <v>2.5999999999999999E-2</v>
      </c>
      <c r="AF4714" s="508">
        <v>2.5999999999999999E-2</v>
      </c>
      <c r="AG4714" s="508">
        <v>2.5999999999999999E-2</v>
      </c>
      <c r="AH4714" s="508">
        <v>2.5999999999999999E-2</v>
      </c>
      <c r="AI4714" s="492">
        <v>2.5999999999999999E-2</v>
      </c>
      <c r="AJ4714" s="485"/>
    </row>
    <row r="4715" spans="2:36">
      <c r="B4715" s="136" t="s">
        <v>489</v>
      </c>
      <c r="C4715" s="132" t="s">
        <v>1366</v>
      </c>
      <c r="D4715" s="132" t="s">
        <v>1379</v>
      </c>
      <c r="E4715" s="508">
        <v>2.8000000000000001E-2</v>
      </c>
      <c r="F4715" s="508">
        <v>2.8000000000000001E-2</v>
      </c>
      <c r="G4715" s="508">
        <v>2.8000000000000001E-2</v>
      </c>
      <c r="H4715" s="508">
        <v>2.8000000000000001E-2</v>
      </c>
      <c r="I4715" s="508">
        <v>2.8000000000000001E-2</v>
      </c>
      <c r="J4715" s="508">
        <v>2.8000000000000001E-2</v>
      </c>
      <c r="K4715" s="508">
        <v>2.8000000000000001E-2</v>
      </c>
      <c r="L4715" s="508">
        <v>2.8000000000000001E-2</v>
      </c>
      <c r="M4715" s="508">
        <v>2.8000000000000001E-2</v>
      </c>
      <c r="N4715" s="508">
        <v>2.8000000000000001E-2</v>
      </c>
      <c r="O4715" s="508">
        <v>2.8000000000000001E-2</v>
      </c>
      <c r="P4715" s="508">
        <v>2.8000000000000001E-2</v>
      </c>
      <c r="Q4715" s="508">
        <v>2.8000000000000001E-2</v>
      </c>
      <c r="R4715" s="508">
        <v>2.8000000000000001E-2</v>
      </c>
      <c r="S4715" s="508">
        <v>2.8000000000000001E-2</v>
      </c>
      <c r="T4715" s="508">
        <v>2.8000000000000001E-2</v>
      </c>
      <c r="U4715" s="508">
        <v>2.8000000000000001E-2</v>
      </c>
      <c r="V4715" s="508">
        <v>2.8000000000000001E-2</v>
      </c>
      <c r="W4715" s="508">
        <v>2.8000000000000001E-2</v>
      </c>
      <c r="X4715" s="508">
        <v>2.8000000000000001E-2</v>
      </c>
      <c r="Y4715" s="508">
        <v>2.8000000000000001E-2</v>
      </c>
      <c r="Z4715" s="508">
        <v>2.8000000000000001E-2</v>
      </c>
      <c r="AA4715" s="508">
        <v>2.8000000000000001E-2</v>
      </c>
      <c r="AB4715" s="508">
        <v>2.8000000000000001E-2</v>
      </c>
      <c r="AC4715" s="508">
        <v>2.8000000000000001E-2</v>
      </c>
      <c r="AD4715" s="508">
        <v>2.8000000000000001E-2</v>
      </c>
      <c r="AE4715" s="508">
        <v>2.8000000000000001E-2</v>
      </c>
      <c r="AF4715" s="508">
        <v>2.8000000000000001E-2</v>
      </c>
      <c r="AG4715" s="508">
        <v>2.8000000000000001E-2</v>
      </c>
      <c r="AH4715" s="508">
        <v>2.8000000000000001E-2</v>
      </c>
      <c r="AI4715" s="492">
        <v>2.8000000000000001E-2</v>
      </c>
      <c r="AJ4715" s="485"/>
    </row>
    <row r="4716" spans="2:36">
      <c r="B4716" s="136" t="s">
        <v>490</v>
      </c>
      <c r="C4716" s="132" t="s">
        <v>1366</v>
      </c>
      <c r="D4716" s="132" t="s">
        <v>1379</v>
      </c>
      <c r="E4716" s="508">
        <v>2.5000000000000001E-2</v>
      </c>
      <c r="F4716" s="508">
        <v>2.5000000000000001E-2</v>
      </c>
      <c r="G4716" s="508">
        <v>2.5000000000000001E-2</v>
      </c>
      <c r="H4716" s="508">
        <v>2.5000000000000001E-2</v>
      </c>
      <c r="I4716" s="508">
        <v>2.5000000000000001E-2</v>
      </c>
      <c r="J4716" s="508">
        <v>2.5000000000000001E-2</v>
      </c>
      <c r="K4716" s="508">
        <v>2.5000000000000001E-2</v>
      </c>
      <c r="L4716" s="508">
        <v>2.5000000000000001E-2</v>
      </c>
      <c r="M4716" s="508">
        <v>2.5000000000000001E-2</v>
      </c>
      <c r="N4716" s="508">
        <v>2.5000000000000001E-2</v>
      </c>
      <c r="O4716" s="508">
        <v>2.5000000000000001E-2</v>
      </c>
      <c r="P4716" s="508">
        <v>2.5000000000000001E-2</v>
      </c>
      <c r="Q4716" s="508">
        <v>2.5000000000000001E-2</v>
      </c>
      <c r="R4716" s="508">
        <v>2.5000000000000001E-2</v>
      </c>
      <c r="S4716" s="508">
        <v>2.5000000000000001E-2</v>
      </c>
      <c r="T4716" s="508">
        <v>2.5000000000000001E-2</v>
      </c>
      <c r="U4716" s="508">
        <v>2.5000000000000001E-2</v>
      </c>
      <c r="V4716" s="508">
        <v>2.5000000000000001E-2</v>
      </c>
      <c r="W4716" s="508">
        <v>2.5000000000000001E-2</v>
      </c>
      <c r="X4716" s="508">
        <v>2.5000000000000001E-2</v>
      </c>
      <c r="Y4716" s="508">
        <v>2.5000000000000001E-2</v>
      </c>
      <c r="Z4716" s="508">
        <v>2.5000000000000001E-2</v>
      </c>
      <c r="AA4716" s="508">
        <v>2.5000000000000001E-2</v>
      </c>
      <c r="AB4716" s="508">
        <v>2.5000000000000001E-2</v>
      </c>
      <c r="AC4716" s="508">
        <v>2.5000000000000001E-2</v>
      </c>
      <c r="AD4716" s="508">
        <v>2.5000000000000001E-2</v>
      </c>
      <c r="AE4716" s="508">
        <v>2.5000000000000001E-2</v>
      </c>
      <c r="AF4716" s="508">
        <v>2.5000000000000001E-2</v>
      </c>
      <c r="AG4716" s="508">
        <v>2.5000000000000001E-2</v>
      </c>
      <c r="AH4716" s="508">
        <v>2.5000000000000001E-2</v>
      </c>
      <c r="AI4716" s="492">
        <v>2.5000000000000001E-2</v>
      </c>
      <c r="AJ4716" s="485"/>
    </row>
    <row r="4717" spans="2:36">
      <c r="B4717" s="136" t="s">
        <v>435</v>
      </c>
      <c r="C4717" s="132" t="s">
        <v>1367</v>
      </c>
      <c r="D4717" s="132" t="s">
        <v>1379</v>
      </c>
      <c r="E4717" s="508">
        <v>0.03</v>
      </c>
      <c r="F4717" s="508">
        <v>0.03</v>
      </c>
      <c r="G4717" s="508">
        <v>0.03</v>
      </c>
      <c r="H4717" s="508">
        <v>0.03</v>
      </c>
      <c r="I4717" s="508">
        <v>0.03</v>
      </c>
      <c r="J4717" s="508">
        <v>0.03</v>
      </c>
      <c r="K4717" s="508">
        <v>0.03</v>
      </c>
      <c r="L4717" s="508">
        <v>0.03</v>
      </c>
      <c r="M4717" s="508">
        <v>0.03</v>
      </c>
      <c r="N4717" s="508">
        <v>0.03</v>
      </c>
      <c r="O4717" s="508">
        <v>0.03</v>
      </c>
      <c r="P4717" s="508">
        <v>0.03</v>
      </c>
      <c r="Q4717" s="508">
        <v>0.03</v>
      </c>
      <c r="R4717" s="508">
        <v>0.03</v>
      </c>
      <c r="S4717" s="508">
        <v>0.03</v>
      </c>
      <c r="T4717" s="508">
        <v>0.03</v>
      </c>
      <c r="U4717" s="508">
        <v>0.03</v>
      </c>
      <c r="V4717" s="508">
        <v>0.03</v>
      </c>
      <c r="W4717" s="508">
        <v>0.03</v>
      </c>
      <c r="X4717" s="508">
        <v>0.03</v>
      </c>
      <c r="Y4717" s="508">
        <v>0.03</v>
      </c>
      <c r="Z4717" s="508">
        <v>0.03</v>
      </c>
      <c r="AA4717" s="508">
        <v>0.03</v>
      </c>
      <c r="AB4717" s="508">
        <v>0.03</v>
      </c>
      <c r="AC4717" s="508">
        <v>0.03</v>
      </c>
      <c r="AD4717" s="508">
        <v>0.03</v>
      </c>
      <c r="AE4717" s="508">
        <v>0.03</v>
      </c>
      <c r="AF4717" s="508">
        <v>0.03</v>
      </c>
      <c r="AG4717" s="508">
        <v>0.03</v>
      </c>
      <c r="AH4717" s="508">
        <v>0.03</v>
      </c>
      <c r="AI4717" s="492">
        <v>0.03</v>
      </c>
      <c r="AJ4717" s="485"/>
    </row>
    <row r="4718" spans="2:36">
      <c r="B4718" s="136" t="s">
        <v>436</v>
      </c>
      <c r="C4718" s="132" t="s">
        <v>1367</v>
      </c>
      <c r="D4718" s="132" t="s">
        <v>1379</v>
      </c>
      <c r="E4718" s="508">
        <v>2.8000000000000001E-2</v>
      </c>
      <c r="F4718" s="508">
        <v>2.8000000000000001E-2</v>
      </c>
      <c r="G4718" s="508">
        <v>2.8000000000000001E-2</v>
      </c>
      <c r="H4718" s="508">
        <v>2.8000000000000001E-2</v>
      </c>
      <c r="I4718" s="508">
        <v>2.8000000000000001E-2</v>
      </c>
      <c r="J4718" s="508">
        <v>2.8000000000000001E-2</v>
      </c>
      <c r="K4718" s="508">
        <v>2.8000000000000001E-2</v>
      </c>
      <c r="L4718" s="508">
        <v>2.8000000000000001E-2</v>
      </c>
      <c r="M4718" s="508">
        <v>2.8000000000000001E-2</v>
      </c>
      <c r="N4718" s="508">
        <v>2.8000000000000001E-2</v>
      </c>
      <c r="O4718" s="508">
        <v>2.8000000000000001E-2</v>
      </c>
      <c r="P4718" s="508">
        <v>2.8000000000000001E-2</v>
      </c>
      <c r="Q4718" s="508">
        <v>2.8000000000000001E-2</v>
      </c>
      <c r="R4718" s="508">
        <v>2.8000000000000001E-2</v>
      </c>
      <c r="S4718" s="508">
        <v>2.8000000000000001E-2</v>
      </c>
      <c r="T4718" s="508">
        <v>2.8000000000000001E-2</v>
      </c>
      <c r="U4718" s="508">
        <v>2.8000000000000001E-2</v>
      </c>
      <c r="V4718" s="508">
        <v>2.8000000000000001E-2</v>
      </c>
      <c r="W4718" s="508">
        <v>2.8000000000000001E-2</v>
      </c>
      <c r="X4718" s="508">
        <v>2.8000000000000001E-2</v>
      </c>
      <c r="Y4718" s="508">
        <v>2.8000000000000001E-2</v>
      </c>
      <c r="Z4718" s="508">
        <v>2.8000000000000001E-2</v>
      </c>
      <c r="AA4718" s="508">
        <v>2.8000000000000001E-2</v>
      </c>
      <c r="AB4718" s="508">
        <v>2.8000000000000001E-2</v>
      </c>
      <c r="AC4718" s="508">
        <v>2.8000000000000001E-2</v>
      </c>
      <c r="AD4718" s="508">
        <v>2.8000000000000001E-2</v>
      </c>
      <c r="AE4718" s="508">
        <v>2.8000000000000001E-2</v>
      </c>
      <c r="AF4718" s="508">
        <v>2.8000000000000001E-2</v>
      </c>
      <c r="AG4718" s="508">
        <v>2.8000000000000001E-2</v>
      </c>
      <c r="AH4718" s="508">
        <v>2.8000000000000001E-2</v>
      </c>
      <c r="AI4718" s="492">
        <v>2.8000000000000001E-2</v>
      </c>
      <c r="AJ4718" s="485"/>
    </row>
    <row r="4719" spans="2:36">
      <c r="B4719" s="136" t="s">
        <v>437</v>
      </c>
      <c r="C4719" s="132" t="s">
        <v>1367</v>
      </c>
      <c r="D4719" s="132" t="s">
        <v>1379</v>
      </c>
      <c r="E4719" s="508">
        <v>3.1E-2</v>
      </c>
      <c r="F4719" s="508">
        <v>3.1E-2</v>
      </c>
      <c r="G4719" s="508">
        <v>3.1E-2</v>
      </c>
      <c r="H4719" s="508">
        <v>3.1E-2</v>
      </c>
      <c r="I4719" s="508">
        <v>3.1E-2</v>
      </c>
      <c r="J4719" s="508">
        <v>3.1E-2</v>
      </c>
      <c r="K4719" s="508">
        <v>3.1E-2</v>
      </c>
      <c r="L4719" s="508">
        <v>3.1E-2</v>
      </c>
      <c r="M4719" s="508">
        <v>3.1E-2</v>
      </c>
      <c r="N4719" s="508">
        <v>3.1E-2</v>
      </c>
      <c r="O4719" s="508">
        <v>3.1E-2</v>
      </c>
      <c r="P4719" s="508">
        <v>3.1E-2</v>
      </c>
      <c r="Q4719" s="508">
        <v>3.1E-2</v>
      </c>
      <c r="R4719" s="508">
        <v>3.1E-2</v>
      </c>
      <c r="S4719" s="508">
        <v>3.1E-2</v>
      </c>
      <c r="T4719" s="508">
        <v>3.1E-2</v>
      </c>
      <c r="U4719" s="508">
        <v>3.1E-2</v>
      </c>
      <c r="V4719" s="508">
        <v>3.1E-2</v>
      </c>
      <c r="W4719" s="508">
        <v>3.1E-2</v>
      </c>
      <c r="X4719" s="508">
        <v>3.1E-2</v>
      </c>
      <c r="Y4719" s="508">
        <v>3.1E-2</v>
      </c>
      <c r="Z4719" s="508">
        <v>3.1E-2</v>
      </c>
      <c r="AA4719" s="508">
        <v>3.1E-2</v>
      </c>
      <c r="AB4719" s="508">
        <v>3.1E-2</v>
      </c>
      <c r="AC4719" s="508">
        <v>3.1E-2</v>
      </c>
      <c r="AD4719" s="508">
        <v>3.1E-2</v>
      </c>
      <c r="AE4719" s="508">
        <v>3.1E-2</v>
      </c>
      <c r="AF4719" s="508">
        <v>3.1E-2</v>
      </c>
      <c r="AG4719" s="508">
        <v>3.1E-2</v>
      </c>
      <c r="AH4719" s="508">
        <v>3.1E-2</v>
      </c>
      <c r="AI4719" s="492">
        <v>3.1E-2</v>
      </c>
      <c r="AJ4719" s="485"/>
    </row>
    <row r="4720" spans="2:36">
      <c r="B4720" s="136" t="s">
        <v>438</v>
      </c>
      <c r="C4720" s="132" t="s">
        <v>1367</v>
      </c>
      <c r="D4720" s="132" t="s">
        <v>1379</v>
      </c>
      <c r="E4720" s="508">
        <v>2.7E-2</v>
      </c>
      <c r="F4720" s="508">
        <v>2.7E-2</v>
      </c>
      <c r="G4720" s="508">
        <v>2.7E-2</v>
      </c>
      <c r="H4720" s="508">
        <v>2.7E-2</v>
      </c>
      <c r="I4720" s="508">
        <v>2.7E-2</v>
      </c>
      <c r="J4720" s="508">
        <v>2.7E-2</v>
      </c>
      <c r="K4720" s="508">
        <v>2.7E-2</v>
      </c>
      <c r="L4720" s="508">
        <v>2.7E-2</v>
      </c>
      <c r="M4720" s="508">
        <v>2.7E-2</v>
      </c>
      <c r="N4720" s="508">
        <v>2.7E-2</v>
      </c>
      <c r="O4720" s="508">
        <v>2.7E-2</v>
      </c>
      <c r="P4720" s="508">
        <v>2.7E-2</v>
      </c>
      <c r="Q4720" s="508">
        <v>2.7E-2</v>
      </c>
      <c r="R4720" s="508">
        <v>2.7E-2</v>
      </c>
      <c r="S4720" s="508">
        <v>2.7E-2</v>
      </c>
      <c r="T4720" s="508">
        <v>2.7E-2</v>
      </c>
      <c r="U4720" s="508">
        <v>2.7E-2</v>
      </c>
      <c r="V4720" s="508">
        <v>2.7E-2</v>
      </c>
      <c r="W4720" s="508">
        <v>2.7E-2</v>
      </c>
      <c r="X4720" s="508">
        <v>2.7E-2</v>
      </c>
      <c r="Y4720" s="508">
        <v>2.7E-2</v>
      </c>
      <c r="Z4720" s="508">
        <v>2.7E-2</v>
      </c>
      <c r="AA4720" s="508">
        <v>2.7E-2</v>
      </c>
      <c r="AB4720" s="508">
        <v>2.7E-2</v>
      </c>
      <c r="AC4720" s="508">
        <v>2.7E-2</v>
      </c>
      <c r="AD4720" s="508">
        <v>2.7E-2</v>
      </c>
      <c r="AE4720" s="508">
        <v>2.7E-2</v>
      </c>
      <c r="AF4720" s="508">
        <v>2.7E-2</v>
      </c>
      <c r="AG4720" s="508">
        <v>2.7E-2</v>
      </c>
      <c r="AH4720" s="508">
        <v>2.7E-2</v>
      </c>
      <c r="AI4720" s="492">
        <v>2.7E-2</v>
      </c>
      <c r="AJ4720" s="485"/>
    </row>
    <row r="4721" spans="2:36">
      <c r="B4721" s="136" t="s">
        <v>439</v>
      </c>
      <c r="C4721" s="132" t="s">
        <v>1367</v>
      </c>
      <c r="D4721" s="132" t="s">
        <v>1379</v>
      </c>
      <c r="E4721" s="508">
        <v>0.03</v>
      </c>
      <c r="F4721" s="508">
        <v>0.03</v>
      </c>
      <c r="G4721" s="508">
        <v>0.03</v>
      </c>
      <c r="H4721" s="508">
        <v>0.03</v>
      </c>
      <c r="I4721" s="508">
        <v>0.03</v>
      </c>
      <c r="J4721" s="508">
        <v>0.03</v>
      </c>
      <c r="K4721" s="508">
        <v>0.03</v>
      </c>
      <c r="L4721" s="508">
        <v>0.03</v>
      </c>
      <c r="M4721" s="508">
        <v>0.03</v>
      </c>
      <c r="N4721" s="508">
        <v>0.03</v>
      </c>
      <c r="O4721" s="508">
        <v>0.03</v>
      </c>
      <c r="P4721" s="508">
        <v>0.03</v>
      </c>
      <c r="Q4721" s="508">
        <v>0.03</v>
      </c>
      <c r="R4721" s="508">
        <v>0.03</v>
      </c>
      <c r="S4721" s="508">
        <v>0.03</v>
      </c>
      <c r="T4721" s="508">
        <v>0.03</v>
      </c>
      <c r="U4721" s="508">
        <v>0.03</v>
      </c>
      <c r="V4721" s="508">
        <v>0.03</v>
      </c>
      <c r="W4721" s="508">
        <v>0.03</v>
      </c>
      <c r="X4721" s="508">
        <v>0.03</v>
      </c>
      <c r="Y4721" s="508">
        <v>0.03</v>
      </c>
      <c r="Z4721" s="508">
        <v>0.03</v>
      </c>
      <c r="AA4721" s="508">
        <v>0.03</v>
      </c>
      <c r="AB4721" s="508">
        <v>0.03</v>
      </c>
      <c r="AC4721" s="508">
        <v>0.03</v>
      </c>
      <c r="AD4721" s="508">
        <v>0.03</v>
      </c>
      <c r="AE4721" s="508">
        <v>0.03</v>
      </c>
      <c r="AF4721" s="508">
        <v>0.03</v>
      </c>
      <c r="AG4721" s="508">
        <v>0.03</v>
      </c>
      <c r="AH4721" s="508">
        <v>0.03</v>
      </c>
      <c r="AI4721" s="492">
        <v>0.03</v>
      </c>
      <c r="AJ4721" s="485"/>
    </row>
    <row r="4722" spans="2:36">
      <c r="B4722" s="136" t="s">
        <v>440</v>
      </c>
      <c r="C4722" s="132" t="s">
        <v>1367</v>
      </c>
      <c r="D4722" s="132" t="s">
        <v>1379</v>
      </c>
      <c r="E4722" s="508">
        <v>0.03</v>
      </c>
      <c r="F4722" s="508">
        <v>0.03</v>
      </c>
      <c r="G4722" s="508">
        <v>0.03</v>
      </c>
      <c r="H4722" s="508">
        <v>0.03</v>
      </c>
      <c r="I4722" s="508">
        <v>0.03</v>
      </c>
      <c r="J4722" s="508">
        <v>0.03</v>
      </c>
      <c r="K4722" s="508">
        <v>0.03</v>
      </c>
      <c r="L4722" s="508">
        <v>0.03</v>
      </c>
      <c r="M4722" s="508">
        <v>0.03</v>
      </c>
      <c r="N4722" s="508">
        <v>0.03</v>
      </c>
      <c r="O4722" s="508">
        <v>0.03</v>
      </c>
      <c r="P4722" s="508">
        <v>0.03</v>
      </c>
      <c r="Q4722" s="508">
        <v>0.03</v>
      </c>
      <c r="R4722" s="508">
        <v>0.03</v>
      </c>
      <c r="S4722" s="508">
        <v>0.03</v>
      </c>
      <c r="T4722" s="508">
        <v>0.03</v>
      </c>
      <c r="U4722" s="508">
        <v>0.03</v>
      </c>
      <c r="V4722" s="508">
        <v>0.03</v>
      </c>
      <c r="W4722" s="508">
        <v>0.03</v>
      </c>
      <c r="X4722" s="508">
        <v>0.03</v>
      </c>
      <c r="Y4722" s="508">
        <v>0.03</v>
      </c>
      <c r="Z4722" s="508">
        <v>0.03</v>
      </c>
      <c r="AA4722" s="508">
        <v>0.03</v>
      </c>
      <c r="AB4722" s="508">
        <v>0.03</v>
      </c>
      <c r="AC4722" s="508">
        <v>0.03</v>
      </c>
      <c r="AD4722" s="508">
        <v>0.03</v>
      </c>
      <c r="AE4722" s="508">
        <v>0.03</v>
      </c>
      <c r="AF4722" s="508">
        <v>0.03</v>
      </c>
      <c r="AG4722" s="508">
        <v>0.03</v>
      </c>
      <c r="AH4722" s="508">
        <v>0.03</v>
      </c>
      <c r="AI4722" s="492">
        <v>0.03</v>
      </c>
      <c r="AJ4722" s="485"/>
    </row>
    <row r="4723" spans="2:36">
      <c r="B4723" s="136" t="s">
        <v>441</v>
      </c>
      <c r="C4723" s="132" t="s">
        <v>1367</v>
      </c>
      <c r="D4723" s="132" t="s">
        <v>1379</v>
      </c>
      <c r="E4723" s="508">
        <v>0.03</v>
      </c>
      <c r="F4723" s="508">
        <v>0.03</v>
      </c>
      <c r="G4723" s="508">
        <v>0.03</v>
      </c>
      <c r="H4723" s="508">
        <v>0.03</v>
      </c>
      <c r="I4723" s="508">
        <v>0.03</v>
      </c>
      <c r="J4723" s="508">
        <v>0.03</v>
      </c>
      <c r="K4723" s="508">
        <v>0.03</v>
      </c>
      <c r="L4723" s="508">
        <v>0.03</v>
      </c>
      <c r="M4723" s="508">
        <v>0.03</v>
      </c>
      <c r="N4723" s="508">
        <v>0.03</v>
      </c>
      <c r="O4723" s="508">
        <v>0.03</v>
      </c>
      <c r="P4723" s="508">
        <v>0.03</v>
      </c>
      <c r="Q4723" s="508">
        <v>0.03</v>
      </c>
      <c r="R4723" s="508">
        <v>0.03</v>
      </c>
      <c r="S4723" s="508">
        <v>0.03</v>
      </c>
      <c r="T4723" s="508">
        <v>0.03</v>
      </c>
      <c r="U4723" s="508">
        <v>0.03</v>
      </c>
      <c r="V4723" s="508">
        <v>0.03</v>
      </c>
      <c r="W4723" s="508">
        <v>0.03</v>
      </c>
      <c r="X4723" s="508">
        <v>0.03</v>
      </c>
      <c r="Y4723" s="508">
        <v>0.03</v>
      </c>
      <c r="Z4723" s="508">
        <v>0.03</v>
      </c>
      <c r="AA4723" s="508">
        <v>0.03</v>
      </c>
      <c r="AB4723" s="508">
        <v>0.03</v>
      </c>
      <c r="AC4723" s="508">
        <v>0.03</v>
      </c>
      <c r="AD4723" s="508">
        <v>0.03</v>
      </c>
      <c r="AE4723" s="508">
        <v>0.03</v>
      </c>
      <c r="AF4723" s="508">
        <v>0.03</v>
      </c>
      <c r="AG4723" s="508">
        <v>0.03</v>
      </c>
      <c r="AH4723" s="508">
        <v>0.03</v>
      </c>
      <c r="AI4723" s="492">
        <v>0.03</v>
      </c>
      <c r="AJ4723" s="485"/>
    </row>
    <row r="4724" spans="2:36">
      <c r="B4724" s="136" t="s">
        <v>443</v>
      </c>
      <c r="C4724" s="132" t="s">
        <v>1367</v>
      </c>
      <c r="D4724" s="132" t="s">
        <v>1379</v>
      </c>
      <c r="E4724" s="508">
        <v>3.3000000000000002E-2</v>
      </c>
      <c r="F4724" s="508">
        <v>3.3000000000000002E-2</v>
      </c>
      <c r="G4724" s="508">
        <v>3.3000000000000002E-2</v>
      </c>
      <c r="H4724" s="508">
        <v>3.3000000000000002E-2</v>
      </c>
      <c r="I4724" s="508">
        <v>3.3000000000000002E-2</v>
      </c>
      <c r="J4724" s="508">
        <v>3.3000000000000002E-2</v>
      </c>
      <c r="K4724" s="508">
        <v>3.3000000000000002E-2</v>
      </c>
      <c r="L4724" s="508">
        <v>3.3000000000000002E-2</v>
      </c>
      <c r="M4724" s="508">
        <v>3.3000000000000002E-2</v>
      </c>
      <c r="N4724" s="508">
        <v>3.3000000000000002E-2</v>
      </c>
      <c r="O4724" s="508">
        <v>3.3000000000000002E-2</v>
      </c>
      <c r="P4724" s="508">
        <v>3.3000000000000002E-2</v>
      </c>
      <c r="Q4724" s="508">
        <v>3.3000000000000002E-2</v>
      </c>
      <c r="R4724" s="508">
        <v>3.3000000000000002E-2</v>
      </c>
      <c r="S4724" s="508">
        <v>3.3000000000000002E-2</v>
      </c>
      <c r="T4724" s="508">
        <v>3.3000000000000002E-2</v>
      </c>
      <c r="U4724" s="508">
        <v>3.3000000000000002E-2</v>
      </c>
      <c r="V4724" s="508">
        <v>3.3000000000000002E-2</v>
      </c>
      <c r="W4724" s="508">
        <v>3.3000000000000002E-2</v>
      </c>
      <c r="X4724" s="508">
        <v>3.3000000000000002E-2</v>
      </c>
      <c r="Y4724" s="508">
        <v>3.3000000000000002E-2</v>
      </c>
      <c r="Z4724" s="508">
        <v>3.3000000000000002E-2</v>
      </c>
      <c r="AA4724" s="508">
        <v>3.3000000000000002E-2</v>
      </c>
      <c r="AB4724" s="508">
        <v>3.3000000000000002E-2</v>
      </c>
      <c r="AC4724" s="508">
        <v>3.3000000000000002E-2</v>
      </c>
      <c r="AD4724" s="508">
        <v>3.3000000000000002E-2</v>
      </c>
      <c r="AE4724" s="508">
        <v>3.3000000000000002E-2</v>
      </c>
      <c r="AF4724" s="508">
        <v>3.3000000000000002E-2</v>
      </c>
      <c r="AG4724" s="508">
        <v>3.3000000000000002E-2</v>
      </c>
      <c r="AH4724" s="508">
        <v>3.3000000000000002E-2</v>
      </c>
      <c r="AI4724" s="492">
        <v>3.3000000000000002E-2</v>
      </c>
      <c r="AJ4724" s="485"/>
    </row>
    <row r="4725" spans="2:36">
      <c r="B4725" s="136" t="s">
        <v>445</v>
      </c>
      <c r="C4725" s="132" t="s">
        <v>1367</v>
      </c>
      <c r="D4725" s="132" t="s">
        <v>1379</v>
      </c>
      <c r="E4725" s="508">
        <v>3.7999999999999999E-2</v>
      </c>
      <c r="F4725" s="508">
        <v>3.7999999999999999E-2</v>
      </c>
      <c r="G4725" s="508">
        <v>3.7999999999999999E-2</v>
      </c>
      <c r="H4725" s="508">
        <v>3.7999999999999999E-2</v>
      </c>
      <c r="I4725" s="508">
        <v>3.7999999999999999E-2</v>
      </c>
      <c r="J4725" s="508">
        <v>3.7999999999999999E-2</v>
      </c>
      <c r="K4725" s="508">
        <v>3.7999999999999999E-2</v>
      </c>
      <c r="L4725" s="508">
        <v>3.7999999999999999E-2</v>
      </c>
      <c r="M4725" s="508">
        <v>3.7999999999999999E-2</v>
      </c>
      <c r="N4725" s="508">
        <v>3.7999999999999999E-2</v>
      </c>
      <c r="O4725" s="508">
        <v>3.7999999999999999E-2</v>
      </c>
      <c r="P4725" s="508">
        <v>3.7999999999999999E-2</v>
      </c>
      <c r="Q4725" s="508">
        <v>3.7999999999999999E-2</v>
      </c>
      <c r="R4725" s="508">
        <v>3.7999999999999999E-2</v>
      </c>
      <c r="S4725" s="508">
        <v>3.7999999999999999E-2</v>
      </c>
      <c r="T4725" s="508">
        <v>3.7999999999999999E-2</v>
      </c>
      <c r="U4725" s="508">
        <v>3.7999999999999999E-2</v>
      </c>
      <c r="V4725" s="508">
        <v>3.7999999999999999E-2</v>
      </c>
      <c r="W4725" s="508">
        <v>3.7999999999999999E-2</v>
      </c>
      <c r="X4725" s="508">
        <v>3.7999999999999999E-2</v>
      </c>
      <c r="Y4725" s="508">
        <v>3.7999999999999999E-2</v>
      </c>
      <c r="Z4725" s="508">
        <v>3.7999999999999999E-2</v>
      </c>
      <c r="AA4725" s="508">
        <v>3.7999999999999999E-2</v>
      </c>
      <c r="AB4725" s="508">
        <v>3.7999999999999999E-2</v>
      </c>
      <c r="AC4725" s="508">
        <v>3.7999999999999999E-2</v>
      </c>
      <c r="AD4725" s="508">
        <v>3.7999999999999999E-2</v>
      </c>
      <c r="AE4725" s="508">
        <v>3.7999999999999999E-2</v>
      </c>
      <c r="AF4725" s="508">
        <v>3.7999999999999999E-2</v>
      </c>
      <c r="AG4725" s="508">
        <v>3.7999999999999999E-2</v>
      </c>
      <c r="AH4725" s="508">
        <v>3.7999999999999999E-2</v>
      </c>
      <c r="AI4725" s="492">
        <v>3.7999999999999999E-2</v>
      </c>
      <c r="AJ4725" s="485"/>
    </row>
    <row r="4726" spans="2:36">
      <c r="B4726" s="136" t="s">
        <v>446</v>
      </c>
      <c r="C4726" s="132" t="s">
        <v>1367</v>
      </c>
      <c r="D4726" s="132" t="s">
        <v>1379</v>
      </c>
      <c r="E4726" s="508">
        <v>3.5999999999999997E-2</v>
      </c>
      <c r="F4726" s="508">
        <v>3.5999999999999997E-2</v>
      </c>
      <c r="G4726" s="508">
        <v>3.5999999999999997E-2</v>
      </c>
      <c r="H4726" s="508">
        <v>3.5999999999999997E-2</v>
      </c>
      <c r="I4726" s="508">
        <v>3.5999999999999997E-2</v>
      </c>
      <c r="J4726" s="508">
        <v>3.5999999999999997E-2</v>
      </c>
      <c r="K4726" s="508">
        <v>3.5999999999999997E-2</v>
      </c>
      <c r="L4726" s="508">
        <v>3.5999999999999997E-2</v>
      </c>
      <c r="M4726" s="508">
        <v>3.5999999999999997E-2</v>
      </c>
      <c r="N4726" s="508">
        <v>3.5999999999999997E-2</v>
      </c>
      <c r="O4726" s="508">
        <v>3.5999999999999997E-2</v>
      </c>
      <c r="P4726" s="508">
        <v>3.5999999999999997E-2</v>
      </c>
      <c r="Q4726" s="508">
        <v>3.5999999999999997E-2</v>
      </c>
      <c r="R4726" s="508">
        <v>3.5999999999999997E-2</v>
      </c>
      <c r="S4726" s="508">
        <v>3.5999999999999997E-2</v>
      </c>
      <c r="T4726" s="508">
        <v>3.5999999999999997E-2</v>
      </c>
      <c r="U4726" s="508">
        <v>3.5999999999999997E-2</v>
      </c>
      <c r="V4726" s="508">
        <v>3.5999999999999997E-2</v>
      </c>
      <c r="W4726" s="508">
        <v>3.5999999999999997E-2</v>
      </c>
      <c r="X4726" s="508">
        <v>3.5999999999999997E-2</v>
      </c>
      <c r="Y4726" s="508">
        <v>3.5999999999999997E-2</v>
      </c>
      <c r="Z4726" s="508">
        <v>3.5999999999999997E-2</v>
      </c>
      <c r="AA4726" s="508">
        <v>3.5999999999999997E-2</v>
      </c>
      <c r="AB4726" s="508">
        <v>3.5999999999999997E-2</v>
      </c>
      <c r="AC4726" s="508">
        <v>3.5999999999999997E-2</v>
      </c>
      <c r="AD4726" s="508">
        <v>3.5999999999999997E-2</v>
      </c>
      <c r="AE4726" s="508">
        <v>3.5999999999999997E-2</v>
      </c>
      <c r="AF4726" s="508">
        <v>3.5999999999999997E-2</v>
      </c>
      <c r="AG4726" s="508">
        <v>3.5999999999999997E-2</v>
      </c>
      <c r="AH4726" s="508">
        <v>3.5999999999999997E-2</v>
      </c>
      <c r="AI4726" s="492">
        <v>3.5999999999999997E-2</v>
      </c>
      <c r="AJ4726" s="485"/>
    </row>
    <row r="4727" spans="2:36">
      <c r="B4727" s="136" t="s">
        <v>448</v>
      </c>
      <c r="C4727" s="132" t="s">
        <v>1367</v>
      </c>
      <c r="D4727" s="132" t="s">
        <v>1379</v>
      </c>
      <c r="E4727" s="508">
        <v>2.8000000000000001E-2</v>
      </c>
      <c r="F4727" s="508">
        <v>2.8000000000000001E-2</v>
      </c>
      <c r="G4727" s="508">
        <v>2.8000000000000001E-2</v>
      </c>
      <c r="H4727" s="508">
        <v>2.8000000000000001E-2</v>
      </c>
      <c r="I4727" s="508">
        <v>2.8000000000000001E-2</v>
      </c>
      <c r="J4727" s="508">
        <v>2.8000000000000001E-2</v>
      </c>
      <c r="K4727" s="508">
        <v>2.8000000000000001E-2</v>
      </c>
      <c r="L4727" s="508">
        <v>2.8000000000000001E-2</v>
      </c>
      <c r="M4727" s="508">
        <v>2.8000000000000001E-2</v>
      </c>
      <c r="N4727" s="508">
        <v>2.8000000000000001E-2</v>
      </c>
      <c r="O4727" s="508">
        <v>2.8000000000000001E-2</v>
      </c>
      <c r="P4727" s="508">
        <v>2.8000000000000001E-2</v>
      </c>
      <c r="Q4727" s="508">
        <v>2.8000000000000001E-2</v>
      </c>
      <c r="R4727" s="508">
        <v>2.8000000000000001E-2</v>
      </c>
      <c r="S4727" s="508">
        <v>2.8000000000000001E-2</v>
      </c>
      <c r="T4727" s="508">
        <v>2.8000000000000001E-2</v>
      </c>
      <c r="U4727" s="508">
        <v>2.8000000000000001E-2</v>
      </c>
      <c r="V4727" s="508">
        <v>2.8000000000000001E-2</v>
      </c>
      <c r="W4727" s="508">
        <v>2.8000000000000001E-2</v>
      </c>
      <c r="X4727" s="508">
        <v>2.8000000000000001E-2</v>
      </c>
      <c r="Y4727" s="508">
        <v>2.8000000000000001E-2</v>
      </c>
      <c r="Z4727" s="508">
        <v>2.8000000000000001E-2</v>
      </c>
      <c r="AA4727" s="508">
        <v>2.8000000000000001E-2</v>
      </c>
      <c r="AB4727" s="508">
        <v>2.8000000000000001E-2</v>
      </c>
      <c r="AC4727" s="508">
        <v>2.8000000000000001E-2</v>
      </c>
      <c r="AD4727" s="508">
        <v>2.8000000000000001E-2</v>
      </c>
      <c r="AE4727" s="508">
        <v>2.8000000000000001E-2</v>
      </c>
      <c r="AF4727" s="508">
        <v>2.8000000000000001E-2</v>
      </c>
      <c r="AG4727" s="508">
        <v>2.8000000000000001E-2</v>
      </c>
      <c r="AH4727" s="508">
        <v>2.8000000000000001E-2</v>
      </c>
      <c r="AI4727" s="492">
        <v>2.8000000000000001E-2</v>
      </c>
      <c r="AJ4727" s="485"/>
    </row>
    <row r="4728" spans="2:36">
      <c r="B4728" s="136" t="s">
        <v>449</v>
      </c>
      <c r="C4728" s="132" t="s">
        <v>1367</v>
      </c>
      <c r="D4728" s="132" t="s">
        <v>1379</v>
      </c>
      <c r="E4728" s="508">
        <v>3.3000000000000002E-2</v>
      </c>
      <c r="F4728" s="508">
        <v>3.3000000000000002E-2</v>
      </c>
      <c r="G4728" s="508">
        <v>3.3000000000000002E-2</v>
      </c>
      <c r="H4728" s="508">
        <v>3.3000000000000002E-2</v>
      </c>
      <c r="I4728" s="508">
        <v>3.3000000000000002E-2</v>
      </c>
      <c r="J4728" s="508">
        <v>3.3000000000000002E-2</v>
      </c>
      <c r="K4728" s="508">
        <v>3.3000000000000002E-2</v>
      </c>
      <c r="L4728" s="508">
        <v>3.3000000000000002E-2</v>
      </c>
      <c r="M4728" s="508">
        <v>3.3000000000000002E-2</v>
      </c>
      <c r="N4728" s="508">
        <v>3.3000000000000002E-2</v>
      </c>
      <c r="O4728" s="508">
        <v>3.3000000000000002E-2</v>
      </c>
      <c r="P4728" s="508">
        <v>3.3000000000000002E-2</v>
      </c>
      <c r="Q4728" s="508">
        <v>3.3000000000000002E-2</v>
      </c>
      <c r="R4728" s="508">
        <v>3.3000000000000002E-2</v>
      </c>
      <c r="S4728" s="508">
        <v>3.3000000000000002E-2</v>
      </c>
      <c r="T4728" s="508">
        <v>3.3000000000000002E-2</v>
      </c>
      <c r="U4728" s="508">
        <v>3.3000000000000002E-2</v>
      </c>
      <c r="V4728" s="508">
        <v>3.3000000000000002E-2</v>
      </c>
      <c r="W4728" s="508">
        <v>3.3000000000000002E-2</v>
      </c>
      <c r="X4728" s="508">
        <v>3.3000000000000002E-2</v>
      </c>
      <c r="Y4728" s="508">
        <v>3.3000000000000002E-2</v>
      </c>
      <c r="Z4728" s="508">
        <v>3.3000000000000002E-2</v>
      </c>
      <c r="AA4728" s="508">
        <v>3.3000000000000002E-2</v>
      </c>
      <c r="AB4728" s="508">
        <v>3.3000000000000002E-2</v>
      </c>
      <c r="AC4728" s="508">
        <v>3.3000000000000002E-2</v>
      </c>
      <c r="AD4728" s="508">
        <v>3.3000000000000002E-2</v>
      </c>
      <c r="AE4728" s="508">
        <v>3.3000000000000002E-2</v>
      </c>
      <c r="AF4728" s="508">
        <v>3.3000000000000002E-2</v>
      </c>
      <c r="AG4728" s="508">
        <v>3.3000000000000002E-2</v>
      </c>
      <c r="AH4728" s="508">
        <v>3.3000000000000002E-2</v>
      </c>
      <c r="AI4728" s="492">
        <v>3.3000000000000002E-2</v>
      </c>
      <c r="AJ4728" s="485"/>
    </row>
    <row r="4729" spans="2:36">
      <c r="B4729" s="136" t="s">
        <v>450</v>
      </c>
      <c r="C4729" s="132" t="s">
        <v>1367</v>
      </c>
      <c r="D4729" s="132" t="s">
        <v>1379</v>
      </c>
      <c r="E4729" s="508">
        <v>2.8000000000000001E-2</v>
      </c>
      <c r="F4729" s="508">
        <v>2.8000000000000001E-2</v>
      </c>
      <c r="G4729" s="508">
        <v>2.8000000000000001E-2</v>
      </c>
      <c r="H4729" s="508">
        <v>2.8000000000000001E-2</v>
      </c>
      <c r="I4729" s="508">
        <v>2.8000000000000001E-2</v>
      </c>
      <c r="J4729" s="508">
        <v>2.8000000000000001E-2</v>
      </c>
      <c r="K4729" s="508">
        <v>2.8000000000000001E-2</v>
      </c>
      <c r="L4729" s="508">
        <v>2.8000000000000001E-2</v>
      </c>
      <c r="M4729" s="508">
        <v>2.8000000000000001E-2</v>
      </c>
      <c r="N4729" s="508">
        <v>2.8000000000000001E-2</v>
      </c>
      <c r="O4729" s="508">
        <v>2.8000000000000001E-2</v>
      </c>
      <c r="P4729" s="508">
        <v>2.8000000000000001E-2</v>
      </c>
      <c r="Q4729" s="508">
        <v>2.8000000000000001E-2</v>
      </c>
      <c r="R4729" s="508">
        <v>2.8000000000000001E-2</v>
      </c>
      <c r="S4729" s="508">
        <v>2.8000000000000001E-2</v>
      </c>
      <c r="T4729" s="508">
        <v>2.8000000000000001E-2</v>
      </c>
      <c r="U4729" s="508">
        <v>2.8000000000000001E-2</v>
      </c>
      <c r="V4729" s="508">
        <v>2.8000000000000001E-2</v>
      </c>
      <c r="W4729" s="508">
        <v>2.8000000000000001E-2</v>
      </c>
      <c r="X4729" s="508">
        <v>2.8000000000000001E-2</v>
      </c>
      <c r="Y4729" s="508">
        <v>2.8000000000000001E-2</v>
      </c>
      <c r="Z4729" s="508">
        <v>2.8000000000000001E-2</v>
      </c>
      <c r="AA4729" s="508">
        <v>2.8000000000000001E-2</v>
      </c>
      <c r="AB4729" s="508">
        <v>2.8000000000000001E-2</v>
      </c>
      <c r="AC4729" s="508">
        <v>2.8000000000000001E-2</v>
      </c>
      <c r="AD4729" s="508">
        <v>2.8000000000000001E-2</v>
      </c>
      <c r="AE4729" s="508">
        <v>2.8000000000000001E-2</v>
      </c>
      <c r="AF4729" s="508">
        <v>2.8000000000000001E-2</v>
      </c>
      <c r="AG4729" s="508">
        <v>2.8000000000000001E-2</v>
      </c>
      <c r="AH4729" s="508">
        <v>2.8000000000000001E-2</v>
      </c>
      <c r="AI4729" s="492">
        <v>2.8000000000000001E-2</v>
      </c>
      <c r="AJ4729" s="485"/>
    </row>
    <row r="4730" spans="2:36">
      <c r="B4730" s="136" t="s">
        <v>451</v>
      </c>
      <c r="C4730" s="132" t="s">
        <v>1367</v>
      </c>
      <c r="D4730" s="132" t="s">
        <v>1379</v>
      </c>
      <c r="E4730" s="508">
        <v>3.5000000000000003E-2</v>
      </c>
      <c r="F4730" s="508">
        <v>3.5000000000000003E-2</v>
      </c>
      <c r="G4730" s="508">
        <v>3.5000000000000003E-2</v>
      </c>
      <c r="H4730" s="508">
        <v>3.5000000000000003E-2</v>
      </c>
      <c r="I4730" s="508">
        <v>3.5000000000000003E-2</v>
      </c>
      <c r="J4730" s="508">
        <v>3.5000000000000003E-2</v>
      </c>
      <c r="K4730" s="508">
        <v>3.5000000000000003E-2</v>
      </c>
      <c r="L4730" s="508">
        <v>3.5000000000000003E-2</v>
      </c>
      <c r="M4730" s="508">
        <v>3.5000000000000003E-2</v>
      </c>
      <c r="N4730" s="508">
        <v>3.5000000000000003E-2</v>
      </c>
      <c r="O4730" s="508">
        <v>3.5000000000000003E-2</v>
      </c>
      <c r="P4730" s="508">
        <v>3.5000000000000003E-2</v>
      </c>
      <c r="Q4730" s="508">
        <v>3.5000000000000003E-2</v>
      </c>
      <c r="R4730" s="508">
        <v>3.5000000000000003E-2</v>
      </c>
      <c r="S4730" s="508">
        <v>3.5000000000000003E-2</v>
      </c>
      <c r="T4730" s="508">
        <v>3.5000000000000003E-2</v>
      </c>
      <c r="U4730" s="508">
        <v>3.5000000000000003E-2</v>
      </c>
      <c r="V4730" s="508">
        <v>3.5000000000000003E-2</v>
      </c>
      <c r="W4730" s="508">
        <v>3.5000000000000003E-2</v>
      </c>
      <c r="X4730" s="508">
        <v>3.5000000000000003E-2</v>
      </c>
      <c r="Y4730" s="508">
        <v>3.5000000000000003E-2</v>
      </c>
      <c r="Z4730" s="508">
        <v>3.5000000000000003E-2</v>
      </c>
      <c r="AA4730" s="508">
        <v>3.5000000000000003E-2</v>
      </c>
      <c r="AB4730" s="508">
        <v>3.5000000000000003E-2</v>
      </c>
      <c r="AC4730" s="508">
        <v>3.5000000000000003E-2</v>
      </c>
      <c r="AD4730" s="508">
        <v>3.5000000000000003E-2</v>
      </c>
      <c r="AE4730" s="508">
        <v>3.5000000000000003E-2</v>
      </c>
      <c r="AF4730" s="508">
        <v>3.5000000000000003E-2</v>
      </c>
      <c r="AG4730" s="508">
        <v>3.5000000000000003E-2</v>
      </c>
      <c r="AH4730" s="508">
        <v>3.5000000000000003E-2</v>
      </c>
      <c r="AI4730" s="492">
        <v>3.5000000000000003E-2</v>
      </c>
      <c r="AJ4730" s="485"/>
    </row>
    <row r="4731" spans="2:36">
      <c r="B4731" s="136" t="s">
        <v>452</v>
      </c>
      <c r="C4731" s="132" t="s">
        <v>1367</v>
      </c>
      <c r="D4731" s="132" t="s">
        <v>1379</v>
      </c>
      <c r="E4731" s="508">
        <v>3.2000000000000001E-2</v>
      </c>
      <c r="F4731" s="508">
        <v>3.2000000000000001E-2</v>
      </c>
      <c r="G4731" s="508">
        <v>3.2000000000000001E-2</v>
      </c>
      <c r="H4731" s="508">
        <v>3.2000000000000001E-2</v>
      </c>
      <c r="I4731" s="508">
        <v>3.2000000000000001E-2</v>
      </c>
      <c r="J4731" s="508">
        <v>3.2000000000000001E-2</v>
      </c>
      <c r="K4731" s="508">
        <v>3.2000000000000001E-2</v>
      </c>
      <c r="L4731" s="508">
        <v>3.2000000000000001E-2</v>
      </c>
      <c r="M4731" s="508">
        <v>3.2000000000000001E-2</v>
      </c>
      <c r="N4731" s="508">
        <v>3.2000000000000001E-2</v>
      </c>
      <c r="O4731" s="508">
        <v>3.2000000000000001E-2</v>
      </c>
      <c r="P4731" s="508">
        <v>3.2000000000000001E-2</v>
      </c>
      <c r="Q4731" s="508">
        <v>3.2000000000000001E-2</v>
      </c>
      <c r="R4731" s="508">
        <v>3.2000000000000001E-2</v>
      </c>
      <c r="S4731" s="508">
        <v>3.2000000000000001E-2</v>
      </c>
      <c r="T4731" s="508">
        <v>3.2000000000000001E-2</v>
      </c>
      <c r="U4731" s="508">
        <v>3.2000000000000001E-2</v>
      </c>
      <c r="V4731" s="508">
        <v>3.2000000000000001E-2</v>
      </c>
      <c r="W4731" s="508">
        <v>3.2000000000000001E-2</v>
      </c>
      <c r="X4731" s="508">
        <v>3.2000000000000001E-2</v>
      </c>
      <c r="Y4731" s="508">
        <v>3.2000000000000001E-2</v>
      </c>
      <c r="Z4731" s="508">
        <v>3.2000000000000001E-2</v>
      </c>
      <c r="AA4731" s="508">
        <v>3.2000000000000001E-2</v>
      </c>
      <c r="AB4731" s="508">
        <v>3.2000000000000001E-2</v>
      </c>
      <c r="AC4731" s="508">
        <v>3.2000000000000001E-2</v>
      </c>
      <c r="AD4731" s="508">
        <v>3.2000000000000001E-2</v>
      </c>
      <c r="AE4731" s="508">
        <v>3.2000000000000001E-2</v>
      </c>
      <c r="AF4731" s="508">
        <v>3.2000000000000001E-2</v>
      </c>
      <c r="AG4731" s="508">
        <v>3.2000000000000001E-2</v>
      </c>
      <c r="AH4731" s="508">
        <v>3.2000000000000001E-2</v>
      </c>
      <c r="AI4731" s="492">
        <v>3.2000000000000001E-2</v>
      </c>
      <c r="AJ4731" s="485"/>
    </row>
    <row r="4732" spans="2:36">
      <c r="B4732" s="136" t="s">
        <v>453</v>
      </c>
      <c r="C4732" s="132" t="s">
        <v>1367</v>
      </c>
      <c r="D4732" s="132" t="s">
        <v>1379</v>
      </c>
      <c r="E4732" s="508">
        <v>2.8000000000000001E-2</v>
      </c>
      <c r="F4732" s="508">
        <v>2.8000000000000001E-2</v>
      </c>
      <c r="G4732" s="508">
        <v>2.8000000000000001E-2</v>
      </c>
      <c r="H4732" s="508">
        <v>2.8000000000000001E-2</v>
      </c>
      <c r="I4732" s="508">
        <v>2.8000000000000001E-2</v>
      </c>
      <c r="J4732" s="508">
        <v>2.8000000000000001E-2</v>
      </c>
      <c r="K4732" s="508">
        <v>2.8000000000000001E-2</v>
      </c>
      <c r="L4732" s="508">
        <v>2.8000000000000001E-2</v>
      </c>
      <c r="M4732" s="508">
        <v>2.8000000000000001E-2</v>
      </c>
      <c r="N4732" s="508">
        <v>2.8000000000000001E-2</v>
      </c>
      <c r="O4732" s="508">
        <v>2.8000000000000001E-2</v>
      </c>
      <c r="P4732" s="508">
        <v>2.8000000000000001E-2</v>
      </c>
      <c r="Q4732" s="508">
        <v>2.8000000000000001E-2</v>
      </c>
      <c r="R4732" s="508">
        <v>2.8000000000000001E-2</v>
      </c>
      <c r="S4732" s="508">
        <v>2.8000000000000001E-2</v>
      </c>
      <c r="T4732" s="508">
        <v>2.8000000000000001E-2</v>
      </c>
      <c r="U4732" s="508">
        <v>2.8000000000000001E-2</v>
      </c>
      <c r="V4732" s="508">
        <v>2.8000000000000001E-2</v>
      </c>
      <c r="W4732" s="508">
        <v>2.8000000000000001E-2</v>
      </c>
      <c r="X4732" s="508">
        <v>2.8000000000000001E-2</v>
      </c>
      <c r="Y4732" s="508">
        <v>2.8000000000000001E-2</v>
      </c>
      <c r="Z4732" s="508">
        <v>2.8000000000000001E-2</v>
      </c>
      <c r="AA4732" s="508">
        <v>2.8000000000000001E-2</v>
      </c>
      <c r="AB4732" s="508">
        <v>2.8000000000000001E-2</v>
      </c>
      <c r="AC4732" s="508">
        <v>2.8000000000000001E-2</v>
      </c>
      <c r="AD4732" s="508">
        <v>2.8000000000000001E-2</v>
      </c>
      <c r="AE4732" s="508">
        <v>2.8000000000000001E-2</v>
      </c>
      <c r="AF4732" s="508">
        <v>2.8000000000000001E-2</v>
      </c>
      <c r="AG4732" s="508">
        <v>2.8000000000000001E-2</v>
      </c>
      <c r="AH4732" s="508">
        <v>2.8000000000000001E-2</v>
      </c>
      <c r="AI4732" s="492">
        <v>2.8000000000000001E-2</v>
      </c>
      <c r="AJ4732" s="485"/>
    </row>
    <row r="4733" spans="2:36">
      <c r="B4733" s="136" t="s">
        <v>454</v>
      </c>
      <c r="C4733" s="132" t="s">
        <v>1367</v>
      </c>
      <c r="D4733" s="132" t="s">
        <v>1379</v>
      </c>
      <c r="E4733" s="508">
        <v>2.8000000000000001E-2</v>
      </c>
      <c r="F4733" s="508">
        <v>2.8000000000000001E-2</v>
      </c>
      <c r="G4733" s="508">
        <v>2.8000000000000001E-2</v>
      </c>
      <c r="H4733" s="508">
        <v>2.8000000000000001E-2</v>
      </c>
      <c r="I4733" s="508">
        <v>2.8000000000000001E-2</v>
      </c>
      <c r="J4733" s="508">
        <v>2.8000000000000001E-2</v>
      </c>
      <c r="K4733" s="508">
        <v>2.8000000000000001E-2</v>
      </c>
      <c r="L4733" s="508">
        <v>2.8000000000000001E-2</v>
      </c>
      <c r="M4733" s="508">
        <v>2.8000000000000001E-2</v>
      </c>
      <c r="N4733" s="508">
        <v>2.8000000000000001E-2</v>
      </c>
      <c r="O4733" s="508">
        <v>2.8000000000000001E-2</v>
      </c>
      <c r="P4733" s="508">
        <v>2.8000000000000001E-2</v>
      </c>
      <c r="Q4733" s="508">
        <v>2.8000000000000001E-2</v>
      </c>
      <c r="R4733" s="508">
        <v>2.8000000000000001E-2</v>
      </c>
      <c r="S4733" s="508">
        <v>2.8000000000000001E-2</v>
      </c>
      <c r="T4733" s="508">
        <v>2.8000000000000001E-2</v>
      </c>
      <c r="U4733" s="508">
        <v>2.8000000000000001E-2</v>
      </c>
      <c r="V4733" s="508">
        <v>2.8000000000000001E-2</v>
      </c>
      <c r="W4733" s="508">
        <v>2.8000000000000001E-2</v>
      </c>
      <c r="X4733" s="508">
        <v>2.8000000000000001E-2</v>
      </c>
      <c r="Y4733" s="508">
        <v>2.8000000000000001E-2</v>
      </c>
      <c r="Z4733" s="508">
        <v>2.8000000000000001E-2</v>
      </c>
      <c r="AA4733" s="508">
        <v>2.8000000000000001E-2</v>
      </c>
      <c r="AB4733" s="508">
        <v>2.8000000000000001E-2</v>
      </c>
      <c r="AC4733" s="508">
        <v>2.8000000000000001E-2</v>
      </c>
      <c r="AD4733" s="508">
        <v>2.8000000000000001E-2</v>
      </c>
      <c r="AE4733" s="508">
        <v>2.8000000000000001E-2</v>
      </c>
      <c r="AF4733" s="508">
        <v>2.8000000000000001E-2</v>
      </c>
      <c r="AG4733" s="508">
        <v>2.8000000000000001E-2</v>
      </c>
      <c r="AH4733" s="508">
        <v>2.8000000000000001E-2</v>
      </c>
      <c r="AI4733" s="492">
        <v>2.8000000000000001E-2</v>
      </c>
      <c r="AJ4733" s="485"/>
    </row>
    <row r="4734" spans="2:36">
      <c r="B4734" s="136" t="s">
        <v>455</v>
      </c>
      <c r="C4734" s="132" t="s">
        <v>1367</v>
      </c>
      <c r="D4734" s="132" t="s">
        <v>1379</v>
      </c>
      <c r="E4734" s="508">
        <v>2.5999999999999999E-2</v>
      </c>
      <c r="F4734" s="508">
        <v>2.5999999999999999E-2</v>
      </c>
      <c r="G4734" s="508">
        <v>2.5999999999999999E-2</v>
      </c>
      <c r="H4734" s="508">
        <v>2.5999999999999999E-2</v>
      </c>
      <c r="I4734" s="508">
        <v>2.5999999999999999E-2</v>
      </c>
      <c r="J4734" s="508">
        <v>2.5999999999999999E-2</v>
      </c>
      <c r="K4734" s="508">
        <v>2.5999999999999999E-2</v>
      </c>
      <c r="L4734" s="508">
        <v>2.5999999999999999E-2</v>
      </c>
      <c r="M4734" s="508">
        <v>2.5999999999999999E-2</v>
      </c>
      <c r="N4734" s="508">
        <v>2.5999999999999999E-2</v>
      </c>
      <c r="O4734" s="508">
        <v>2.5999999999999999E-2</v>
      </c>
      <c r="P4734" s="508">
        <v>2.5999999999999999E-2</v>
      </c>
      <c r="Q4734" s="508">
        <v>2.5999999999999999E-2</v>
      </c>
      <c r="R4734" s="508">
        <v>2.5999999999999999E-2</v>
      </c>
      <c r="S4734" s="508">
        <v>2.5999999999999999E-2</v>
      </c>
      <c r="T4734" s="508">
        <v>2.5999999999999999E-2</v>
      </c>
      <c r="U4734" s="508">
        <v>2.5999999999999999E-2</v>
      </c>
      <c r="V4734" s="508">
        <v>2.5999999999999999E-2</v>
      </c>
      <c r="W4734" s="508">
        <v>2.5999999999999999E-2</v>
      </c>
      <c r="X4734" s="508">
        <v>2.5999999999999999E-2</v>
      </c>
      <c r="Y4734" s="508">
        <v>2.5999999999999999E-2</v>
      </c>
      <c r="Z4734" s="508">
        <v>2.5999999999999999E-2</v>
      </c>
      <c r="AA4734" s="508">
        <v>2.5999999999999999E-2</v>
      </c>
      <c r="AB4734" s="508">
        <v>2.5999999999999999E-2</v>
      </c>
      <c r="AC4734" s="508">
        <v>2.5999999999999999E-2</v>
      </c>
      <c r="AD4734" s="508">
        <v>2.5999999999999999E-2</v>
      </c>
      <c r="AE4734" s="508">
        <v>2.5999999999999999E-2</v>
      </c>
      <c r="AF4734" s="508">
        <v>2.5999999999999999E-2</v>
      </c>
      <c r="AG4734" s="508">
        <v>2.5999999999999999E-2</v>
      </c>
      <c r="AH4734" s="508">
        <v>2.5999999999999999E-2</v>
      </c>
      <c r="AI4734" s="492">
        <v>2.5999999999999999E-2</v>
      </c>
      <c r="AJ4734" s="485"/>
    </row>
    <row r="4735" spans="2:36">
      <c r="B4735" s="136" t="s">
        <v>456</v>
      </c>
      <c r="C4735" s="132" t="s">
        <v>1367</v>
      </c>
      <c r="D4735" s="132" t="s">
        <v>1379</v>
      </c>
      <c r="E4735" s="508">
        <v>2.9000000000000001E-2</v>
      </c>
      <c r="F4735" s="508">
        <v>2.9000000000000001E-2</v>
      </c>
      <c r="G4735" s="508">
        <v>2.9000000000000001E-2</v>
      </c>
      <c r="H4735" s="508">
        <v>2.9000000000000001E-2</v>
      </c>
      <c r="I4735" s="508">
        <v>2.9000000000000001E-2</v>
      </c>
      <c r="J4735" s="508">
        <v>2.9000000000000001E-2</v>
      </c>
      <c r="K4735" s="508">
        <v>2.9000000000000001E-2</v>
      </c>
      <c r="L4735" s="508">
        <v>2.9000000000000001E-2</v>
      </c>
      <c r="M4735" s="508">
        <v>2.9000000000000001E-2</v>
      </c>
      <c r="N4735" s="508">
        <v>2.9000000000000001E-2</v>
      </c>
      <c r="O4735" s="508">
        <v>2.9000000000000001E-2</v>
      </c>
      <c r="P4735" s="508">
        <v>2.9000000000000001E-2</v>
      </c>
      <c r="Q4735" s="508">
        <v>2.9000000000000001E-2</v>
      </c>
      <c r="R4735" s="508">
        <v>2.9000000000000001E-2</v>
      </c>
      <c r="S4735" s="508">
        <v>2.9000000000000001E-2</v>
      </c>
      <c r="T4735" s="508">
        <v>2.9000000000000001E-2</v>
      </c>
      <c r="U4735" s="508">
        <v>2.9000000000000001E-2</v>
      </c>
      <c r="V4735" s="508">
        <v>2.9000000000000001E-2</v>
      </c>
      <c r="W4735" s="508">
        <v>2.9000000000000001E-2</v>
      </c>
      <c r="X4735" s="508">
        <v>2.9000000000000001E-2</v>
      </c>
      <c r="Y4735" s="508">
        <v>2.9000000000000001E-2</v>
      </c>
      <c r="Z4735" s="508">
        <v>2.9000000000000001E-2</v>
      </c>
      <c r="AA4735" s="508">
        <v>2.9000000000000001E-2</v>
      </c>
      <c r="AB4735" s="508">
        <v>2.9000000000000001E-2</v>
      </c>
      <c r="AC4735" s="508">
        <v>2.9000000000000001E-2</v>
      </c>
      <c r="AD4735" s="508">
        <v>2.9000000000000001E-2</v>
      </c>
      <c r="AE4735" s="508">
        <v>2.9000000000000001E-2</v>
      </c>
      <c r="AF4735" s="508">
        <v>2.9000000000000001E-2</v>
      </c>
      <c r="AG4735" s="508">
        <v>2.9000000000000001E-2</v>
      </c>
      <c r="AH4735" s="508">
        <v>2.9000000000000001E-2</v>
      </c>
      <c r="AI4735" s="492">
        <v>2.9000000000000001E-2</v>
      </c>
      <c r="AJ4735" s="485"/>
    </row>
    <row r="4736" spans="2:36">
      <c r="B4736" s="136" t="s">
        <v>457</v>
      </c>
      <c r="C4736" s="132" t="s">
        <v>1367</v>
      </c>
      <c r="D4736" s="132" t="s">
        <v>1379</v>
      </c>
      <c r="E4736" s="508">
        <v>2.5000000000000001E-2</v>
      </c>
      <c r="F4736" s="508">
        <v>2.5000000000000001E-2</v>
      </c>
      <c r="G4736" s="508">
        <v>2.5000000000000001E-2</v>
      </c>
      <c r="H4736" s="508">
        <v>2.5000000000000001E-2</v>
      </c>
      <c r="I4736" s="508">
        <v>2.5000000000000001E-2</v>
      </c>
      <c r="J4736" s="508">
        <v>2.5000000000000001E-2</v>
      </c>
      <c r="K4736" s="508">
        <v>2.5000000000000001E-2</v>
      </c>
      <c r="L4736" s="508">
        <v>2.5000000000000001E-2</v>
      </c>
      <c r="M4736" s="508">
        <v>2.5000000000000001E-2</v>
      </c>
      <c r="N4736" s="508">
        <v>2.5000000000000001E-2</v>
      </c>
      <c r="O4736" s="508">
        <v>2.5000000000000001E-2</v>
      </c>
      <c r="P4736" s="508">
        <v>2.5000000000000001E-2</v>
      </c>
      <c r="Q4736" s="508">
        <v>2.5000000000000001E-2</v>
      </c>
      <c r="R4736" s="508">
        <v>2.5000000000000001E-2</v>
      </c>
      <c r="S4736" s="508">
        <v>2.5000000000000001E-2</v>
      </c>
      <c r="T4736" s="508">
        <v>2.5000000000000001E-2</v>
      </c>
      <c r="U4736" s="508">
        <v>2.5000000000000001E-2</v>
      </c>
      <c r="V4736" s="508">
        <v>2.5000000000000001E-2</v>
      </c>
      <c r="W4736" s="508">
        <v>2.5000000000000001E-2</v>
      </c>
      <c r="X4736" s="508">
        <v>2.5000000000000001E-2</v>
      </c>
      <c r="Y4736" s="508">
        <v>2.5000000000000001E-2</v>
      </c>
      <c r="Z4736" s="508">
        <v>2.5000000000000001E-2</v>
      </c>
      <c r="AA4736" s="508">
        <v>2.5000000000000001E-2</v>
      </c>
      <c r="AB4736" s="508">
        <v>2.5000000000000001E-2</v>
      </c>
      <c r="AC4736" s="508">
        <v>2.5000000000000001E-2</v>
      </c>
      <c r="AD4736" s="508">
        <v>2.5000000000000001E-2</v>
      </c>
      <c r="AE4736" s="508">
        <v>2.5000000000000001E-2</v>
      </c>
      <c r="AF4736" s="508">
        <v>2.5000000000000001E-2</v>
      </c>
      <c r="AG4736" s="508">
        <v>2.5000000000000001E-2</v>
      </c>
      <c r="AH4736" s="508">
        <v>2.5000000000000001E-2</v>
      </c>
      <c r="AI4736" s="492">
        <v>2.5000000000000001E-2</v>
      </c>
      <c r="AJ4736" s="485"/>
    </row>
    <row r="4737" spans="2:36">
      <c r="B4737" s="136" t="s">
        <v>458</v>
      </c>
      <c r="C4737" s="132" t="s">
        <v>1367</v>
      </c>
      <c r="D4737" s="132" t="s">
        <v>1379</v>
      </c>
      <c r="E4737" s="508">
        <v>2.9000000000000001E-2</v>
      </c>
      <c r="F4737" s="508">
        <v>2.9000000000000001E-2</v>
      </c>
      <c r="G4737" s="508">
        <v>2.9000000000000001E-2</v>
      </c>
      <c r="H4737" s="508">
        <v>2.9000000000000001E-2</v>
      </c>
      <c r="I4737" s="508">
        <v>2.9000000000000001E-2</v>
      </c>
      <c r="J4737" s="508">
        <v>2.9000000000000001E-2</v>
      </c>
      <c r="K4737" s="508">
        <v>2.9000000000000001E-2</v>
      </c>
      <c r="L4737" s="508">
        <v>2.9000000000000001E-2</v>
      </c>
      <c r="M4737" s="508">
        <v>2.9000000000000001E-2</v>
      </c>
      <c r="N4737" s="508">
        <v>2.9000000000000001E-2</v>
      </c>
      <c r="O4737" s="508">
        <v>2.9000000000000001E-2</v>
      </c>
      <c r="P4737" s="508">
        <v>2.9000000000000001E-2</v>
      </c>
      <c r="Q4737" s="508">
        <v>2.9000000000000001E-2</v>
      </c>
      <c r="R4737" s="508">
        <v>2.9000000000000001E-2</v>
      </c>
      <c r="S4737" s="508">
        <v>2.9000000000000001E-2</v>
      </c>
      <c r="T4737" s="508">
        <v>2.9000000000000001E-2</v>
      </c>
      <c r="U4737" s="508">
        <v>2.9000000000000001E-2</v>
      </c>
      <c r="V4737" s="508">
        <v>2.9000000000000001E-2</v>
      </c>
      <c r="W4737" s="508">
        <v>2.9000000000000001E-2</v>
      </c>
      <c r="X4737" s="508">
        <v>2.9000000000000001E-2</v>
      </c>
      <c r="Y4737" s="508">
        <v>2.9000000000000001E-2</v>
      </c>
      <c r="Z4737" s="508">
        <v>2.9000000000000001E-2</v>
      </c>
      <c r="AA4737" s="508">
        <v>2.9000000000000001E-2</v>
      </c>
      <c r="AB4737" s="508">
        <v>2.9000000000000001E-2</v>
      </c>
      <c r="AC4737" s="508">
        <v>2.9000000000000001E-2</v>
      </c>
      <c r="AD4737" s="508">
        <v>2.9000000000000001E-2</v>
      </c>
      <c r="AE4737" s="508">
        <v>2.9000000000000001E-2</v>
      </c>
      <c r="AF4737" s="508">
        <v>2.9000000000000001E-2</v>
      </c>
      <c r="AG4737" s="508">
        <v>2.9000000000000001E-2</v>
      </c>
      <c r="AH4737" s="508">
        <v>2.9000000000000001E-2</v>
      </c>
      <c r="AI4737" s="492">
        <v>2.9000000000000001E-2</v>
      </c>
      <c r="AJ4737" s="485"/>
    </row>
    <row r="4738" spans="2:36">
      <c r="B4738" s="136" t="s">
        <v>459</v>
      </c>
      <c r="C4738" s="132" t="s">
        <v>1367</v>
      </c>
      <c r="D4738" s="132" t="s">
        <v>1379</v>
      </c>
      <c r="E4738" s="508">
        <v>2.9000000000000001E-2</v>
      </c>
      <c r="F4738" s="508">
        <v>2.9000000000000001E-2</v>
      </c>
      <c r="G4738" s="508">
        <v>2.9000000000000001E-2</v>
      </c>
      <c r="H4738" s="508">
        <v>2.9000000000000001E-2</v>
      </c>
      <c r="I4738" s="508">
        <v>2.9000000000000001E-2</v>
      </c>
      <c r="J4738" s="508">
        <v>2.9000000000000001E-2</v>
      </c>
      <c r="K4738" s="508">
        <v>2.9000000000000001E-2</v>
      </c>
      <c r="L4738" s="508">
        <v>2.9000000000000001E-2</v>
      </c>
      <c r="M4738" s="508">
        <v>2.9000000000000001E-2</v>
      </c>
      <c r="N4738" s="508">
        <v>2.9000000000000001E-2</v>
      </c>
      <c r="O4738" s="508">
        <v>2.9000000000000001E-2</v>
      </c>
      <c r="P4738" s="508">
        <v>2.9000000000000001E-2</v>
      </c>
      <c r="Q4738" s="508">
        <v>2.9000000000000001E-2</v>
      </c>
      <c r="R4738" s="508">
        <v>2.9000000000000001E-2</v>
      </c>
      <c r="S4738" s="508">
        <v>2.9000000000000001E-2</v>
      </c>
      <c r="T4738" s="508">
        <v>2.9000000000000001E-2</v>
      </c>
      <c r="U4738" s="508">
        <v>2.9000000000000001E-2</v>
      </c>
      <c r="V4738" s="508">
        <v>2.9000000000000001E-2</v>
      </c>
      <c r="W4738" s="508">
        <v>2.9000000000000001E-2</v>
      </c>
      <c r="X4738" s="508">
        <v>2.9000000000000001E-2</v>
      </c>
      <c r="Y4738" s="508">
        <v>2.9000000000000001E-2</v>
      </c>
      <c r="Z4738" s="508">
        <v>2.9000000000000001E-2</v>
      </c>
      <c r="AA4738" s="508">
        <v>2.9000000000000001E-2</v>
      </c>
      <c r="AB4738" s="508">
        <v>2.9000000000000001E-2</v>
      </c>
      <c r="AC4738" s="508">
        <v>2.9000000000000001E-2</v>
      </c>
      <c r="AD4738" s="508">
        <v>2.9000000000000001E-2</v>
      </c>
      <c r="AE4738" s="508">
        <v>2.9000000000000001E-2</v>
      </c>
      <c r="AF4738" s="508">
        <v>2.9000000000000001E-2</v>
      </c>
      <c r="AG4738" s="508">
        <v>2.9000000000000001E-2</v>
      </c>
      <c r="AH4738" s="508">
        <v>2.9000000000000001E-2</v>
      </c>
      <c r="AI4738" s="492">
        <v>2.9000000000000001E-2</v>
      </c>
      <c r="AJ4738" s="485"/>
    </row>
    <row r="4739" spans="2:36">
      <c r="B4739" s="136" t="s">
        <v>460</v>
      </c>
      <c r="C4739" s="132" t="s">
        <v>1367</v>
      </c>
      <c r="D4739" s="132" t="s">
        <v>1379</v>
      </c>
      <c r="E4739" s="508">
        <v>0.03</v>
      </c>
      <c r="F4739" s="508">
        <v>0.03</v>
      </c>
      <c r="G4739" s="508">
        <v>0.03</v>
      </c>
      <c r="H4739" s="508">
        <v>0.03</v>
      </c>
      <c r="I4739" s="508">
        <v>0.03</v>
      </c>
      <c r="J4739" s="508">
        <v>0.03</v>
      </c>
      <c r="K4739" s="508">
        <v>0.03</v>
      </c>
      <c r="L4739" s="508">
        <v>0.03</v>
      </c>
      <c r="M4739" s="508">
        <v>0.03</v>
      </c>
      <c r="N4739" s="508">
        <v>0.03</v>
      </c>
      <c r="O4739" s="508">
        <v>0.03</v>
      </c>
      <c r="P4739" s="508">
        <v>0.03</v>
      </c>
      <c r="Q4739" s="508">
        <v>0.03</v>
      </c>
      <c r="R4739" s="508">
        <v>0.03</v>
      </c>
      <c r="S4739" s="508">
        <v>0.03</v>
      </c>
      <c r="T4739" s="508">
        <v>0.03</v>
      </c>
      <c r="U4739" s="508">
        <v>0.03</v>
      </c>
      <c r="V4739" s="508">
        <v>0.03</v>
      </c>
      <c r="W4739" s="508">
        <v>0.03</v>
      </c>
      <c r="X4739" s="508">
        <v>0.03</v>
      </c>
      <c r="Y4739" s="508">
        <v>0.03</v>
      </c>
      <c r="Z4739" s="508">
        <v>0.03</v>
      </c>
      <c r="AA4739" s="508">
        <v>0.03</v>
      </c>
      <c r="AB4739" s="508">
        <v>0.03</v>
      </c>
      <c r="AC4739" s="508">
        <v>0.03</v>
      </c>
      <c r="AD4739" s="508">
        <v>0.03</v>
      </c>
      <c r="AE4739" s="508">
        <v>0.03</v>
      </c>
      <c r="AF4739" s="508">
        <v>0.03</v>
      </c>
      <c r="AG4739" s="508">
        <v>0.03</v>
      </c>
      <c r="AH4739" s="508">
        <v>0.03</v>
      </c>
      <c r="AI4739" s="492">
        <v>0.03</v>
      </c>
      <c r="AJ4739" s="485"/>
    </row>
    <row r="4740" spans="2:36">
      <c r="B4740" s="136" t="s">
        <v>461</v>
      </c>
      <c r="C4740" s="132" t="s">
        <v>1367</v>
      </c>
      <c r="D4740" s="132" t="s">
        <v>1379</v>
      </c>
      <c r="E4740" s="508">
        <v>2.9000000000000001E-2</v>
      </c>
      <c r="F4740" s="508">
        <v>2.9000000000000001E-2</v>
      </c>
      <c r="G4740" s="508">
        <v>2.9000000000000001E-2</v>
      </c>
      <c r="H4740" s="508">
        <v>2.9000000000000001E-2</v>
      </c>
      <c r="I4740" s="508">
        <v>2.9000000000000001E-2</v>
      </c>
      <c r="J4740" s="508">
        <v>2.9000000000000001E-2</v>
      </c>
      <c r="K4740" s="508">
        <v>2.9000000000000001E-2</v>
      </c>
      <c r="L4740" s="508">
        <v>2.9000000000000001E-2</v>
      </c>
      <c r="M4740" s="508">
        <v>2.9000000000000001E-2</v>
      </c>
      <c r="N4740" s="508">
        <v>2.9000000000000001E-2</v>
      </c>
      <c r="O4740" s="508">
        <v>2.9000000000000001E-2</v>
      </c>
      <c r="P4740" s="508">
        <v>2.9000000000000001E-2</v>
      </c>
      <c r="Q4740" s="508">
        <v>2.9000000000000001E-2</v>
      </c>
      <c r="R4740" s="508">
        <v>2.9000000000000001E-2</v>
      </c>
      <c r="S4740" s="508">
        <v>2.9000000000000001E-2</v>
      </c>
      <c r="T4740" s="508">
        <v>2.9000000000000001E-2</v>
      </c>
      <c r="U4740" s="508">
        <v>2.9000000000000001E-2</v>
      </c>
      <c r="V4740" s="508">
        <v>2.9000000000000001E-2</v>
      </c>
      <c r="W4740" s="508">
        <v>2.9000000000000001E-2</v>
      </c>
      <c r="X4740" s="508">
        <v>2.9000000000000001E-2</v>
      </c>
      <c r="Y4740" s="508">
        <v>2.9000000000000001E-2</v>
      </c>
      <c r="Z4740" s="508">
        <v>2.9000000000000001E-2</v>
      </c>
      <c r="AA4740" s="508">
        <v>2.9000000000000001E-2</v>
      </c>
      <c r="AB4740" s="508">
        <v>2.9000000000000001E-2</v>
      </c>
      <c r="AC4740" s="508">
        <v>2.9000000000000001E-2</v>
      </c>
      <c r="AD4740" s="508">
        <v>2.9000000000000001E-2</v>
      </c>
      <c r="AE4740" s="508">
        <v>2.9000000000000001E-2</v>
      </c>
      <c r="AF4740" s="508">
        <v>2.9000000000000001E-2</v>
      </c>
      <c r="AG4740" s="508">
        <v>2.9000000000000001E-2</v>
      </c>
      <c r="AH4740" s="508">
        <v>2.9000000000000001E-2</v>
      </c>
      <c r="AI4740" s="492">
        <v>2.9000000000000001E-2</v>
      </c>
      <c r="AJ4740" s="485"/>
    </row>
    <row r="4741" spans="2:36">
      <c r="B4741" s="136" t="s">
        <v>462</v>
      </c>
      <c r="C4741" s="132" t="s">
        <v>1367</v>
      </c>
      <c r="D4741" s="132" t="s">
        <v>1379</v>
      </c>
      <c r="E4741" s="508">
        <v>2.8000000000000001E-2</v>
      </c>
      <c r="F4741" s="508">
        <v>2.8000000000000001E-2</v>
      </c>
      <c r="G4741" s="508">
        <v>2.8000000000000001E-2</v>
      </c>
      <c r="H4741" s="508">
        <v>2.8000000000000001E-2</v>
      </c>
      <c r="I4741" s="508">
        <v>2.8000000000000001E-2</v>
      </c>
      <c r="J4741" s="508">
        <v>2.8000000000000001E-2</v>
      </c>
      <c r="K4741" s="508">
        <v>2.8000000000000001E-2</v>
      </c>
      <c r="L4741" s="508">
        <v>2.8000000000000001E-2</v>
      </c>
      <c r="M4741" s="508">
        <v>2.8000000000000001E-2</v>
      </c>
      <c r="N4741" s="508">
        <v>2.8000000000000001E-2</v>
      </c>
      <c r="O4741" s="508">
        <v>2.8000000000000001E-2</v>
      </c>
      <c r="P4741" s="508">
        <v>2.8000000000000001E-2</v>
      </c>
      <c r="Q4741" s="508">
        <v>2.8000000000000001E-2</v>
      </c>
      <c r="R4741" s="508">
        <v>2.8000000000000001E-2</v>
      </c>
      <c r="S4741" s="508">
        <v>2.8000000000000001E-2</v>
      </c>
      <c r="T4741" s="508">
        <v>2.8000000000000001E-2</v>
      </c>
      <c r="U4741" s="508">
        <v>2.8000000000000001E-2</v>
      </c>
      <c r="V4741" s="508">
        <v>2.8000000000000001E-2</v>
      </c>
      <c r="W4741" s="508">
        <v>2.8000000000000001E-2</v>
      </c>
      <c r="X4741" s="508">
        <v>2.8000000000000001E-2</v>
      </c>
      <c r="Y4741" s="508">
        <v>2.8000000000000001E-2</v>
      </c>
      <c r="Z4741" s="508">
        <v>2.8000000000000001E-2</v>
      </c>
      <c r="AA4741" s="508">
        <v>2.8000000000000001E-2</v>
      </c>
      <c r="AB4741" s="508">
        <v>2.8000000000000001E-2</v>
      </c>
      <c r="AC4741" s="508">
        <v>2.8000000000000001E-2</v>
      </c>
      <c r="AD4741" s="508">
        <v>2.8000000000000001E-2</v>
      </c>
      <c r="AE4741" s="508">
        <v>2.8000000000000001E-2</v>
      </c>
      <c r="AF4741" s="508">
        <v>2.8000000000000001E-2</v>
      </c>
      <c r="AG4741" s="508">
        <v>2.8000000000000001E-2</v>
      </c>
      <c r="AH4741" s="508">
        <v>2.8000000000000001E-2</v>
      </c>
      <c r="AI4741" s="492">
        <v>2.8000000000000001E-2</v>
      </c>
      <c r="AJ4741" s="485"/>
    </row>
    <row r="4742" spans="2:36">
      <c r="B4742" s="136" t="s">
        <v>463</v>
      </c>
      <c r="C4742" s="132" t="s">
        <v>1367</v>
      </c>
      <c r="D4742" s="132" t="s">
        <v>1379</v>
      </c>
      <c r="E4742" s="508">
        <v>2.5000000000000001E-2</v>
      </c>
      <c r="F4742" s="508">
        <v>2.5000000000000001E-2</v>
      </c>
      <c r="G4742" s="508">
        <v>2.5000000000000001E-2</v>
      </c>
      <c r="H4742" s="508">
        <v>2.5000000000000001E-2</v>
      </c>
      <c r="I4742" s="508">
        <v>2.5000000000000001E-2</v>
      </c>
      <c r="J4742" s="508">
        <v>2.5000000000000001E-2</v>
      </c>
      <c r="K4742" s="508">
        <v>2.5000000000000001E-2</v>
      </c>
      <c r="L4742" s="508">
        <v>2.5000000000000001E-2</v>
      </c>
      <c r="M4742" s="508">
        <v>2.5000000000000001E-2</v>
      </c>
      <c r="N4742" s="508">
        <v>2.5000000000000001E-2</v>
      </c>
      <c r="O4742" s="508">
        <v>2.5000000000000001E-2</v>
      </c>
      <c r="P4742" s="508">
        <v>2.5000000000000001E-2</v>
      </c>
      <c r="Q4742" s="508">
        <v>2.5000000000000001E-2</v>
      </c>
      <c r="R4742" s="508">
        <v>2.5000000000000001E-2</v>
      </c>
      <c r="S4742" s="508">
        <v>2.5000000000000001E-2</v>
      </c>
      <c r="T4742" s="508">
        <v>2.5000000000000001E-2</v>
      </c>
      <c r="U4742" s="508">
        <v>2.5000000000000001E-2</v>
      </c>
      <c r="V4742" s="508">
        <v>2.5000000000000001E-2</v>
      </c>
      <c r="W4742" s="508">
        <v>2.5000000000000001E-2</v>
      </c>
      <c r="X4742" s="508">
        <v>2.5000000000000001E-2</v>
      </c>
      <c r="Y4742" s="508">
        <v>2.5000000000000001E-2</v>
      </c>
      <c r="Z4742" s="508">
        <v>2.5000000000000001E-2</v>
      </c>
      <c r="AA4742" s="508">
        <v>2.5000000000000001E-2</v>
      </c>
      <c r="AB4742" s="508">
        <v>2.5000000000000001E-2</v>
      </c>
      <c r="AC4742" s="508">
        <v>2.5000000000000001E-2</v>
      </c>
      <c r="AD4742" s="508">
        <v>2.5000000000000001E-2</v>
      </c>
      <c r="AE4742" s="508">
        <v>2.5000000000000001E-2</v>
      </c>
      <c r="AF4742" s="508">
        <v>2.5000000000000001E-2</v>
      </c>
      <c r="AG4742" s="508">
        <v>2.5000000000000001E-2</v>
      </c>
      <c r="AH4742" s="508">
        <v>2.5000000000000001E-2</v>
      </c>
      <c r="AI4742" s="492">
        <v>2.5000000000000001E-2</v>
      </c>
      <c r="AJ4742" s="485"/>
    </row>
    <row r="4743" spans="2:36">
      <c r="B4743" s="136" t="s">
        <v>464</v>
      </c>
      <c r="C4743" s="132" t="s">
        <v>1367</v>
      </c>
      <c r="D4743" s="132" t="s">
        <v>1379</v>
      </c>
      <c r="E4743" s="508">
        <v>2.5000000000000001E-2</v>
      </c>
      <c r="F4743" s="508">
        <v>2.5000000000000001E-2</v>
      </c>
      <c r="G4743" s="508">
        <v>2.5000000000000001E-2</v>
      </c>
      <c r="H4743" s="508">
        <v>2.5000000000000001E-2</v>
      </c>
      <c r="I4743" s="508">
        <v>2.5000000000000001E-2</v>
      </c>
      <c r="J4743" s="508">
        <v>2.5000000000000001E-2</v>
      </c>
      <c r="K4743" s="508">
        <v>2.5000000000000001E-2</v>
      </c>
      <c r="L4743" s="508">
        <v>2.5000000000000001E-2</v>
      </c>
      <c r="M4743" s="508">
        <v>2.5000000000000001E-2</v>
      </c>
      <c r="N4743" s="508">
        <v>2.5000000000000001E-2</v>
      </c>
      <c r="O4743" s="508">
        <v>2.5000000000000001E-2</v>
      </c>
      <c r="P4743" s="508">
        <v>2.5000000000000001E-2</v>
      </c>
      <c r="Q4743" s="508">
        <v>2.5000000000000001E-2</v>
      </c>
      <c r="R4743" s="508">
        <v>2.5000000000000001E-2</v>
      </c>
      <c r="S4743" s="508">
        <v>2.5000000000000001E-2</v>
      </c>
      <c r="T4743" s="508">
        <v>2.5000000000000001E-2</v>
      </c>
      <c r="U4743" s="508">
        <v>2.5000000000000001E-2</v>
      </c>
      <c r="V4743" s="508">
        <v>2.5000000000000001E-2</v>
      </c>
      <c r="W4743" s="508">
        <v>2.5000000000000001E-2</v>
      </c>
      <c r="X4743" s="508">
        <v>2.5000000000000001E-2</v>
      </c>
      <c r="Y4743" s="508">
        <v>2.5000000000000001E-2</v>
      </c>
      <c r="Z4743" s="508">
        <v>2.5000000000000001E-2</v>
      </c>
      <c r="AA4743" s="508">
        <v>2.5000000000000001E-2</v>
      </c>
      <c r="AB4743" s="508">
        <v>2.5000000000000001E-2</v>
      </c>
      <c r="AC4743" s="508">
        <v>2.5000000000000001E-2</v>
      </c>
      <c r="AD4743" s="508">
        <v>2.5000000000000001E-2</v>
      </c>
      <c r="AE4743" s="508">
        <v>2.5000000000000001E-2</v>
      </c>
      <c r="AF4743" s="508">
        <v>2.5000000000000001E-2</v>
      </c>
      <c r="AG4743" s="508">
        <v>2.5000000000000001E-2</v>
      </c>
      <c r="AH4743" s="508">
        <v>2.5000000000000001E-2</v>
      </c>
      <c r="AI4743" s="492">
        <v>2.5000000000000001E-2</v>
      </c>
      <c r="AJ4743" s="485"/>
    </row>
    <row r="4744" spans="2:36">
      <c r="B4744" s="136" t="s">
        <v>465</v>
      </c>
      <c r="C4744" s="132" t="s">
        <v>1367</v>
      </c>
      <c r="D4744" s="132" t="s">
        <v>1379</v>
      </c>
      <c r="E4744" s="508">
        <v>2.7E-2</v>
      </c>
      <c r="F4744" s="508">
        <v>2.7E-2</v>
      </c>
      <c r="G4744" s="508">
        <v>2.7E-2</v>
      </c>
      <c r="H4744" s="508">
        <v>2.7E-2</v>
      </c>
      <c r="I4744" s="508">
        <v>2.7E-2</v>
      </c>
      <c r="J4744" s="508">
        <v>2.7E-2</v>
      </c>
      <c r="K4744" s="508">
        <v>2.7E-2</v>
      </c>
      <c r="L4744" s="508">
        <v>2.7E-2</v>
      </c>
      <c r="M4744" s="508">
        <v>2.7E-2</v>
      </c>
      <c r="N4744" s="508">
        <v>2.7E-2</v>
      </c>
      <c r="O4744" s="508">
        <v>2.7E-2</v>
      </c>
      <c r="P4744" s="508">
        <v>2.7E-2</v>
      </c>
      <c r="Q4744" s="508">
        <v>2.7E-2</v>
      </c>
      <c r="R4744" s="508">
        <v>2.7E-2</v>
      </c>
      <c r="S4744" s="508">
        <v>2.7E-2</v>
      </c>
      <c r="T4744" s="508">
        <v>2.7E-2</v>
      </c>
      <c r="U4744" s="508">
        <v>2.7E-2</v>
      </c>
      <c r="V4744" s="508">
        <v>2.7E-2</v>
      </c>
      <c r="W4744" s="508">
        <v>2.7E-2</v>
      </c>
      <c r="X4744" s="508">
        <v>2.7E-2</v>
      </c>
      <c r="Y4744" s="508">
        <v>2.7E-2</v>
      </c>
      <c r="Z4744" s="508">
        <v>2.7E-2</v>
      </c>
      <c r="AA4744" s="508">
        <v>2.7E-2</v>
      </c>
      <c r="AB4744" s="508">
        <v>2.7E-2</v>
      </c>
      <c r="AC4744" s="508">
        <v>2.7E-2</v>
      </c>
      <c r="AD4744" s="508">
        <v>2.7E-2</v>
      </c>
      <c r="AE4744" s="508">
        <v>2.7E-2</v>
      </c>
      <c r="AF4744" s="508">
        <v>2.7E-2</v>
      </c>
      <c r="AG4744" s="508">
        <v>2.7E-2</v>
      </c>
      <c r="AH4744" s="508">
        <v>2.7E-2</v>
      </c>
      <c r="AI4744" s="492">
        <v>2.7E-2</v>
      </c>
      <c r="AJ4744" s="485"/>
    </row>
    <row r="4745" spans="2:36">
      <c r="B4745" s="136" t="s">
        <v>466</v>
      </c>
      <c r="C4745" s="132" t="s">
        <v>1367</v>
      </c>
      <c r="D4745" s="132" t="s">
        <v>1379</v>
      </c>
      <c r="E4745" s="508">
        <v>3.4000000000000002E-2</v>
      </c>
      <c r="F4745" s="508">
        <v>3.4000000000000002E-2</v>
      </c>
      <c r="G4745" s="508">
        <v>3.4000000000000002E-2</v>
      </c>
      <c r="H4745" s="508">
        <v>3.4000000000000002E-2</v>
      </c>
      <c r="I4745" s="508">
        <v>3.4000000000000002E-2</v>
      </c>
      <c r="J4745" s="508">
        <v>3.4000000000000002E-2</v>
      </c>
      <c r="K4745" s="508">
        <v>3.4000000000000002E-2</v>
      </c>
      <c r="L4745" s="508">
        <v>3.4000000000000002E-2</v>
      </c>
      <c r="M4745" s="508">
        <v>3.4000000000000002E-2</v>
      </c>
      <c r="N4745" s="508">
        <v>3.4000000000000002E-2</v>
      </c>
      <c r="O4745" s="508">
        <v>3.4000000000000002E-2</v>
      </c>
      <c r="P4745" s="508">
        <v>3.4000000000000002E-2</v>
      </c>
      <c r="Q4745" s="508">
        <v>3.4000000000000002E-2</v>
      </c>
      <c r="R4745" s="508">
        <v>3.4000000000000002E-2</v>
      </c>
      <c r="S4745" s="508">
        <v>3.4000000000000002E-2</v>
      </c>
      <c r="T4745" s="508">
        <v>3.4000000000000002E-2</v>
      </c>
      <c r="U4745" s="508">
        <v>3.4000000000000002E-2</v>
      </c>
      <c r="V4745" s="508">
        <v>3.4000000000000002E-2</v>
      </c>
      <c r="W4745" s="508">
        <v>3.4000000000000002E-2</v>
      </c>
      <c r="X4745" s="508">
        <v>3.4000000000000002E-2</v>
      </c>
      <c r="Y4745" s="508">
        <v>3.4000000000000002E-2</v>
      </c>
      <c r="Z4745" s="508">
        <v>3.4000000000000002E-2</v>
      </c>
      <c r="AA4745" s="508">
        <v>3.4000000000000002E-2</v>
      </c>
      <c r="AB4745" s="508">
        <v>3.4000000000000002E-2</v>
      </c>
      <c r="AC4745" s="508">
        <v>3.4000000000000002E-2</v>
      </c>
      <c r="AD4745" s="508">
        <v>3.4000000000000002E-2</v>
      </c>
      <c r="AE4745" s="508">
        <v>3.4000000000000002E-2</v>
      </c>
      <c r="AF4745" s="508">
        <v>3.4000000000000002E-2</v>
      </c>
      <c r="AG4745" s="508">
        <v>3.4000000000000002E-2</v>
      </c>
      <c r="AH4745" s="508">
        <v>3.4000000000000002E-2</v>
      </c>
      <c r="AI4745" s="492">
        <v>3.4000000000000002E-2</v>
      </c>
      <c r="AJ4745" s="485"/>
    </row>
    <row r="4746" spans="2:36">
      <c r="B4746" s="136" t="s">
        <v>467</v>
      </c>
      <c r="C4746" s="132" t="s">
        <v>1367</v>
      </c>
      <c r="D4746" s="132" t="s">
        <v>1379</v>
      </c>
      <c r="E4746" s="508">
        <v>2.8000000000000001E-2</v>
      </c>
      <c r="F4746" s="508">
        <v>2.8000000000000001E-2</v>
      </c>
      <c r="G4746" s="508">
        <v>2.8000000000000001E-2</v>
      </c>
      <c r="H4746" s="508">
        <v>2.8000000000000001E-2</v>
      </c>
      <c r="I4746" s="508">
        <v>2.8000000000000001E-2</v>
      </c>
      <c r="J4746" s="508">
        <v>2.8000000000000001E-2</v>
      </c>
      <c r="K4746" s="508">
        <v>2.8000000000000001E-2</v>
      </c>
      <c r="L4746" s="508">
        <v>2.8000000000000001E-2</v>
      </c>
      <c r="M4746" s="508">
        <v>2.8000000000000001E-2</v>
      </c>
      <c r="N4746" s="508">
        <v>2.8000000000000001E-2</v>
      </c>
      <c r="O4746" s="508">
        <v>2.8000000000000001E-2</v>
      </c>
      <c r="P4746" s="508">
        <v>2.8000000000000001E-2</v>
      </c>
      <c r="Q4746" s="508">
        <v>2.8000000000000001E-2</v>
      </c>
      <c r="R4746" s="508">
        <v>2.8000000000000001E-2</v>
      </c>
      <c r="S4746" s="508">
        <v>2.8000000000000001E-2</v>
      </c>
      <c r="T4746" s="508">
        <v>2.8000000000000001E-2</v>
      </c>
      <c r="U4746" s="508">
        <v>2.8000000000000001E-2</v>
      </c>
      <c r="V4746" s="508">
        <v>2.8000000000000001E-2</v>
      </c>
      <c r="W4746" s="508">
        <v>2.8000000000000001E-2</v>
      </c>
      <c r="X4746" s="508">
        <v>2.8000000000000001E-2</v>
      </c>
      <c r="Y4746" s="508">
        <v>2.8000000000000001E-2</v>
      </c>
      <c r="Z4746" s="508">
        <v>2.8000000000000001E-2</v>
      </c>
      <c r="AA4746" s="508">
        <v>2.8000000000000001E-2</v>
      </c>
      <c r="AB4746" s="508">
        <v>2.8000000000000001E-2</v>
      </c>
      <c r="AC4746" s="508">
        <v>2.8000000000000001E-2</v>
      </c>
      <c r="AD4746" s="508">
        <v>2.8000000000000001E-2</v>
      </c>
      <c r="AE4746" s="508">
        <v>2.8000000000000001E-2</v>
      </c>
      <c r="AF4746" s="508">
        <v>2.8000000000000001E-2</v>
      </c>
      <c r="AG4746" s="508">
        <v>2.8000000000000001E-2</v>
      </c>
      <c r="AH4746" s="508">
        <v>2.8000000000000001E-2</v>
      </c>
      <c r="AI4746" s="492">
        <v>2.8000000000000001E-2</v>
      </c>
      <c r="AJ4746" s="485"/>
    </row>
    <row r="4747" spans="2:36">
      <c r="B4747" s="136" t="s">
        <v>468</v>
      </c>
      <c r="C4747" s="132" t="s">
        <v>1367</v>
      </c>
      <c r="D4747" s="132" t="s">
        <v>1379</v>
      </c>
      <c r="E4747" s="508">
        <v>2.5000000000000001E-2</v>
      </c>
      <c r="F4747" s="508">
        <v>2.5000000000000001E-2</v>
      </c>
      <c r="G4747" s="508">
        <v>2.5000000000000001E-2</v>
      </c>
      <c r="H4747" s="508">
        <v>2.5000000000000001E-2</v>
      </c>
      <c r="I4747" s="508">
        <v>2.5000000000000001E-2</v>
      </c>
      <c r="J4747" s="508">
        <v>2.5000000000000001E-2</v>
      </c>
      <c r="K4747" s="508">
        <v>2.5000000000000001E-2</v>
      </c>
      <c r="L4747" s="508">
        <v>2.5000000000000001E-2</v>
      </c>
      <c r="M4747" s="508">
        <v>2.5000000000000001E-2</v>
      </c>
      <c r="N4747" s="508">
        <v>2.5000000000000001E-2</v>
      </c>
      <c r="O4747" s="508">
        <v>2.5000000000000001E-2</v>
      </c>
      <c r="P4747" s="508">
        <v>2.5000000000000001E-2</v>
      </c>
      <c r="Q4747" s="508">
        <v>2.5000000000000001E-2</v>
      </c>
      <c r="R4747" s="508">
        <v>2.5000000000000001E-2</v>
      </c>
      <c r="S4747" s="508">
        <v>2.5000000000000001E-2</v>
      </c>
      <c r="T4747" s="508">
        <v>2.5000000000000001E-2</v>
      </c>
      <c r="U4747" s="508">
        <v>2.5000000000000001E-2</v>
      </c>
      <c r="V4747" s="508">
        <v>2.5000000000000001E-2</v>
      </c>
      <c r="W4747" s="508">
        <v>2.5000000000000001E-2</v>
      </c>
      <c r="X4747" s="508">
        <v>2.5000000000000001E-2</v>
      </c>
      <c r="Y4747" s="508">
        <v>2.5000000000000001E-2</v>
      </c>
      <c r="Z4747" s="508">
        <v>2.5000000000000001E-2</v>
      </c>
      <c r="AA4747" s="508">
        <v>2.5000000000000001E-2</v>
      </c>
      <c r="AB4747" s="508">
        <v>2.5000000000000001E-2</v>
      </c>
      <c r="AC4747" s="508">
        <v>2.5000000000000001E-2</v>
      </c>
      <c r="AD4747" s="508">
        <v>2.5000000000000001E-2</v>
      </c>
      <c r="AE4747" s="508">
        <v>2.5000000000000001E-2</v>
      </c>
      <c r="AF4747" s="508">
        <v>2.5000000000000001E-2</v>
      </c>
      <c r="AG4747" s="508">
        <v>2.5000000000000001E-2</v>
      </c>
      <c r="AH4747" s="508">
        <v>2.5000000000000001E-2</v>
      </c>
      <c r="AI4747" s="492">
        <v>2.5000000000000001E-2</v>
      </c>
      <c r="AJ4747" s="485"/>
    </row>
    <row r="4748" spans="2:36">
      <c r="B4748" s="136" t="s">
        <v>469</v>
      </c>
      <c r="C4748" s="132" t="s">
        <v>1367</v>
      </c>
      <c r="D4748" s="132" t="s">
        <v>1379</v>
      </c>
      <c r="E4748" s="508">
        <v>2.8000000000000001E-2</v>
      </c>
      <c r="F4748" s="508">
        <v>2.8000000000000001E-2</v>
      </c>
      <c r="G4748" s="508">
        <v>2.8000000000000001E-2</v>
      </c>
      <c r="H4748" s="508">
        <v>2.8000000000000001E-2</v>
      </c>
      <c r="I4748" s="508">
        <v>2.8000000000000001E-2</v>
      </c>
      <c r="J4748" s="508">
        <v>2.8000000000000001E-2</v>
      </c>
      <c r="K4748" s="508">
        <v>2.8000000000000001E-2</v>
      </c>
      <c r="L4748" s="508">
        <v>2.8000000000000001E-2</v>
      </c>
      <c r="M4748" s="508">
        <v>2.8000000000000001E-2</v>
      </c>
      <c r="N4748" s="508">
        <v>2.8000000000000001E-2</v>
      </c>
      <c r="O4748" s="508">
        <v>2.8000000000000001E-2</v>
      </c>
      <c r="P4748" s="508">
        <v>2.8000000000000001E-2</v>
      </c>
      <c r="Q4748" s="508">
        <v>2.8000000000000001E-2</v>
      </c>
      <c r="R4748" s="508">
        <v>2.8000000000000001E-2</v>
      </c>
      <c r="S4748" s="508">
        <v>2.8000000000000001E-2</v>
      </c>
      <c r="T4748" s="508">
        <v>2.8000000000000001E-2</v>
      </c>
      <c r="U4748" s="508">
        <v>2.8000000000000001E-2</v>
      </c>
      <c r="V4748" s="508">
        <v>2.8000000000000001E-2</v>
      </c>
      <c r="W4748" s="508">
        <v>2.8000000000000001E-2</v>
      </c>
      <c r="X4748" s="508">
        <v>2.8000000000000001E-2</v>
      </c>
      <c r="Y4748" s="508">
        <v>2.8000000000000001E-2</v>
      </c>
      <c r="Z4748" s="508">
        <v>2.8000000000000001E-2</v>
      </c>
      <c r="AA4748" s="508">
        <v>2.8000000000000001E-2</v>
      </c>
      <c r="AB4748" s="508">
        <v>2.8000000000000001E-2</v>
      </c>
      <c r="AC4748" s="508">
        <v>2.8000000000000001E-2</v>
      </c>
      <c r="AD4748" s="508">
        <v>2.8000000000000001E-2</v>
      </c>
      <c r="AE4748" s="508">
        <v>2.8000000000000001E-2</v>
      </c>
      <c r="AF4748" s="508">
        <v>2.8000000000000001E-2</v>
      </c>
      <c r="AG4748" s="508">
        <v>2.8000000000000001E-2</v>
      </c>
      <c r="AH4748" s="508">
        <v>2.8000000000000001E-2</v>
      </c>
      <c r="AI4748" s="492">
        <v>2.8000000000000001E-2</v>
      </c>
      <c r="AJ4748" s="485"/>
    </row>
    <row r="4749" spans="2:36">
      <c r="B4749" s="136" t="s">
        <v>470</v>
      </c>
      <c r="C4749" s="132" t="s">
        <v>1367</v>
      </c>
      <c r="D4749" s="132" t="s">
        <v>1379</v>
      </c>
      <c r="E4749" s="508">
        <v>3.1E-2</v>
      </c>
      <c r="F4749" s="508">
        <v>3.1E-2</v>
      </c>
      <c r="G4749" s="508">
        <v>3.1E-2</v>
      </c>
      <c r="H4749" s="508">
        <v>3.1E-2</v>
      </c>
      <c r="I4749" s="508">
        <v>3.1E-2</v>
      </c>
      <c r="J4749" s="508">
        <v>3.1E-2</v>
      </c>
      <c r="K4749" s="508">
        <v>3.1E-2</v>
      </c>
      <c r="L4749" s="508">
        <v>3.1E-2</v>
      </c>
      <c r="M4749" s="508">
        <v>3.1E-2</v>
      </c>
      <c r="N4749" s="508">
        <v>3.1E-2</v>
      </c>
      <c r="O4749" s="508">
        <v>3.1E-2</v>
      </c>
      <c r="P4749" s="508">
        <v>3.1E-2</v>
      </c>
      <c r="Q4749" s="508">
        <v>3.1E-2</v>
      </c>
      <c r="R4749" s="508">
        <v>3.1E-2</v>
      </c>
      <c r="S4749" s="508">
        <v>3.1E-2</v>
      </c>
      <c r="T4749" s="508">
        <v>3.1E-2</v>
      </c>
      <c r="U4749" s="508">
        <v>3.1E-2</v>
      </c>
      <c r="V4749" s="508">
        <v>3.1E-2</v>
      </c>
      <c r="W4749" s="508">
        <v>3.1E-2</v>
      </c>
      <c r="X4749" s="508">
        <v>3.1E-2</v>
      </c>
      <c r="Y4749" s="508">
        <v>3.1E-2</v>
      </c>
      <c r="Z4749" s="508">
        <v>3.1E-2</v>
      </c>
      <c r="AA4749" s="508">
        <v>3.1E-2</v>
      </c>
      <c r="AB4749" s="508">
        <v>3.1E-2</v>
      </c>
      <c r="AC4749" s="508">
        <v>3.1E-2</v>
      </c>
      <c r="AD4749" s="508">
        <v>3.1E-2</v>
      </c>
      <c r="AE4749" s="508">
        <v>3.1E-2</v>
      </c>
      <c r="AF4749" s="508">
        <v>3.1E-2</v>
      </c>
      <c r="AG4749" s="508">
        <v>3.1E-2</v>
      </c>
      <c r="AH4749" s="508">
        <v>3.1E-2</v>
      </c>
      <c r="AI4749" s="492">
        <v>3.1E-2</v>
      </c>
      <c r="AJ4749" s="485"/>
    </row>
    <row r="4750" spans="2:36">
      <c r="B4750" s="136" t="s">
        <v>471</v>
      </c>
      <c r="C4750" s="132" t="s">
        <v>1367</v>
      </c>
      <c r="D4750" s="132" t="s">
        <v>1379</v>
      </c>
      <c r="E4750" s="508">
        <v>0.03</v>
      </c>
      <c r="F4750" s="508">
        <v>0.03</v>
      </c>
      <c r="G4750" s="508">
        <v>0.03</v>
      </c>
      <c r="H4750" s="508">
        <v>0.03</v>
      </c>
      <c r="I4750" s="508">
        <v>0.03</v>
      </c>
      <c r="J4750" s="508">
        <v>0.03</v>
      </c>
      <c r="K4750" s="508">
        <v>0.03</v>
      </c>
      <c r="L4750" s="508">
        <v>0.03</v>
      </c>
      <c r="M4750" s="508">
        <v>0.03</v>
      </c>
      <c r="N4750" s="508">
        <v>0.03</v>
      </c>
      <c r="O4750" s="508">
        <v>0.03</v>
      </c>
      <c r="P4750" s="508">
        <v>0.03</v>
      </c>
      <c r="Q4750" s="508">
        <v>0.03</v>
      </c>
      <c r="R4750" s="508">
        <v>0.03</v>
      </c>
      <c r="S4750" s="508">
        <v>0.03</v>
      </c>
      <c r="T4750" s="508">
        <v>0.03</v>
      </c>
      <c r="U4750" s="508">
        <v>0.03</v>
      </c>
      <c r="V4750" s="508">
        <v>0.03</v>
      </c>
      <c r="W4750" s="508">
        <v>0.03</v>
      </c>
      <c r="X4750" s="508">
        <v>0.03</v>
      </c>
      <c r="Y4750" s="508">
        <v>0.03</v>
      </c>
      <c r="Z4750" s="508">
        <v>0.03</v>
      </c>
      <c r="AA4750" s="508">
        <v>0.03</v>
      </c>
      <c r="AB4750" s="508">
        <v>0.03</v>
      </c>
      <c r="AC4750" s="508">
        <v>0.03</v>
      </c>
      <c r="AD4750" s="508">
        <v>0.03</v>
      </c>
      <c r="AE4750" s="508">
        <v>0.03</v>
      </c>
      <c r="AF4750" s="508">
        <v>0.03</v>
      </c>
      <c r="AG4750" s="508">
        <v>0.03</v>
      </c>
      <c r="AH4750" s="508">
        <v>0.03</v>
      </c>
      <c r="AI4750" s="492">
        <v>0.03</v>
      </c>
      <c r="AJ4750" s="485"/>
    </row>
    <row r="4751" spans="2:36">
      <c r="B4751" s="136" t="s">
        <v>472</v>
      </c>
      <c r="C4751" s="132" t="s">
        <v>1367</v>
      </c>
      <c r="D4751" s="132" t="s">
        <v>1379</v>
      </c>
      <c r="E4751" s="508">
        <v>2.5000000000000001E-2</v>
      </c>
      <c r="F4751" s="508">
        <v>2.5000000000000001E-2</v>
      </c>
      <c r="G4751" s="508">
        <v>2.5000000000000001E-2</v>
      </c>
      <c r="H4751" s="508">
        <v>2.5000000000000001E-2</v>
      </c>
      <c r="I4751" s="508">
        <v>2.5000000000000001E-2</v>
      </c>
      <c r="J4751" s="508">
        <v>2.5000000000000001E-2</v>
      </c>
      <c r="K4751" s="508">
        <v>2.5000000000000001E-2</v>
      </c>
      <c r="L4751" s="508">
        <v>2.5000000000000001E-2</v>
      </c>
      <c r="M4751" s="508">
        <v>2.5000000000000001E-2</v>
      </c>
      <c r="N4751" s="508">
        <v>2.5000000000000001E-2</v>
      </c>
      <c r="O4751" s="508">
        <v>2.5000000000000001E-2</v>
      </c>
      <c r="P4751" s="508">
        <v>2.5000000000000001E-2</v>
      </c>
      <c r="Q4751" s="508">
        <v>2.5000000000000001E-2</v>
      </c>
      <c r="R4751" s="508">
        <v>2.5000000000000001E-2</v>
      </c>
      <c r="S4751" s="508">
        <v>2.5000000000000001E-2</v>
      </c>
      <c r="T4751" s="508">
        <v>2.5000000000000001E-2</v>
      </c>
      <c r="U4751" s="508">
        <v>2.5000000000000001E-2</v>
      </c>
      <c r="V4751" s="508">
        <v>2.5000000000000001E-2</v>
      </c>
      <c r="W4751" s="508">
        <v>2.5000000000000001E-2</v>
      </c>
      <c r="X4751" s="508">
        <v>2.5000000000000001E-2</v>
      </c>
      <c r="Y4751" s="508">
        <v>2.5000000000000001E-2</v>
      </c>
      <c r="Z4751" s="508">
        <v>2.5000000000000001E-2</v>
      </c>
      <c r="AA4751" s="508">
        <v>2.5000000000000001E-2</v>
      </c>
      <c r="AB4751" s="508">
        <v>2.5000000000000001E-2</v>
      </c>
      <c r="AC4751" s="508">
        <v>2.5000000000000001E-2</v>
      </c>
      <c r="AD4751" s="508">
        <v>2.5000000000000001E-2</v>
      </c>
      <c r="AE4751" s="508">
        <v>2.5000000000000001E-2</v>
      </c>
      <c r="AF4751" s="508">
        <v>2.5000000000000001E-2</v>
      </c>
      <c r="AG4751" s="508">
        <v>2.5000000000000001E-2</v>
      </c>
      <c r="AH4751" s="508">
        <v>2.5000000000000001E-2</v>
      </c>
      <c r="AI4751" s="492">
        <v>2.5000000000000001E-2</v>
      </c>
      <c r="AJ4751" s="485"/>
    </row>
    <row r="4752" spans="2:36">
      <c r="B4752" s="136" t="s">
        <v>473</v>
      </c>
      <c r="C4752" s="132" t="s">
        <v>1367</v>
      </c>
      <c r="D4752" s="132" t="s">
        <v>1379</v>
      </c>
      <c r="E4752" s="508">
        <v>3.2000000000000001E-2</v>
      </c>
      <c r="F4752" s="508">
        <v>3.2000000000000001E-2</v>
      </c>
      <c r="G4752" s="508">
        <v>3.2000000000000001E-2</v>
      </c>
      <c r="H4752" s="508">
        <v>3.2000000000000001E-2</v>
      </c>
      <c r="I4752" s="508">
        <v>3.2000000000000001E-2</v>
      </c>
      <c r="J4752" s="508">
        <v>3.2000000000000001E-2</v>
      </c>
      <c r="K4752" s="508">
        <v>3.2000000000000001E-2</v>
      </c>
      <c r="L4752" s="508">
        <v>3.2000000000000001E-2</v>
      </c>
      <c r="M4752" s="508">
        <v>3.2000000000000001E-2</v>
      </c>
      <c r="N4752" s="508">
        <v>3.2000000000000001E-2</v>
      </c>
      <c r="O4752" s="508">
        <v>3.2000000000000001E-2</v>
      </c>
      <c r="P4752" s="508">
        <v>3.2000000000000001E-2</v>
      </c>
      <c r="Q4752" s="508">
        <v>3.2000000000000001E-2</v>
      </c>
      <c r="R4752" s="508">
        <v>3.2000000000000001E-2</v>
      </c>
      <c r="S4752" s="508">
        <v>3.2000000000000001E-2</v>
      </c>
      <c r="T4752" s="508">
        <v>3.2000000000000001E-2</v>
      </c>
      <c r="U4752" s="508">
        <v>3.2000000000000001E-2</v>
      </c>
      <c r="V4752" s="508">
        <v>3.2000000000000001E-2</v>
      </c>
      <c r="W4752" s="508">
        <v>3.2000000000000001E-2</v>
      </c>
      <c r="X4752" s="508">
        <v>3.2000000000000001E-2</v>
      </c>
      <c r="Y4752" s="508">
        <v>3.2000000000000001E-2</v>
      </c>
      <c r="Z4752" s="508">
        <v>3.2000000000000001E-2</v>
      </c>
      <c r="AA4752" s="508">
        <v>3.2000000000000001E-2</v>
      </c>
      <c r="AB4752" s="508">
        <v>3.2000000000000001E-2</v>
      </c>
      <c r="AC4752" s="508">
        <v>3.2000000000000001E-2</v>
      </c>
      <c r="AD4752" s="508">
        <v>3.2000000000000001E-2</v>
      </c>
      <c r="AE4752" s="508">
        <v>3.2000000000000001E-2</v>
      </c>
      <c r="AF4752" s="508">
        <v>3.2000000000000001E-2</v>
      </c>
      <c r="AG4752" s="508">
        <v>3.2000000000000001E-2</v>
      </c>
      <c r="AH4752" s="508">
        <v>3.2000000000000001E-2</v>
      </c>
      <c r="AI4752" s="492">
        <v>3.2000000000000001E-2</v>
      </c>
      <c r="AJ4752" s="485"/>
    </row>
    <row r="4753" spans="2:36">
      <c r="B4753" s="136" t="s">
        <v>474</v>
      </c>
      <c r="C4753" s="132" t="s">
        <v>1367</v>
      </c>
      <c r="D4753" s="132" t="s">
        <v>1379</v>
      </c>
      <c r="E4753" s="508">
        <v>2.9000000000000001E-2</v>
      </c>
      <c r="F4753" s="508">
        <v>2.9000000000000001E-2</v>
      </c>
      <c r="G4753" s="508">
        <v>2.9000000000000001E-2</v>
      </c>
      <c r="H4753" s="508">
        <v>2.9000000000000001E-2</v>
      </c>
      <c r="I4753" s="508">
        <v>2.9000000000000001E-2</v>
      </c>
      <c r="J4753" s="508">
        <v>2.9000000000000001E-2</v>
      </c>
      <c r="K4753" s="508">
        <v>2.9000000000000001E-2</v>
      </c>
      <c r="L4753" s="508">
        <v>2.9000000000000001E-2</v>
      </c>
      <c r="M4753" s="508">
        <v>2.9000000000000001E-2</v>
      </c>
      <c r="N4753" s="508">
        <v>2.9000000000000001E-2</v>
      </c>
      <c r="O4753" s="508">
        <v>2.9000000000000001E-2</v>
      </c>
      <c r="P4753" s="508">
        <v>2.9000000000000001E-2</v>
      </c>
      <c r="Q4753" s="508">
        <v>2.9000000000000001E-2</v>
      </c>
      <c r="R4753" s="508">
        <v>2.9000000000000001E-2</v>
      </c>
      <c r="S4753" s="508">
        <v>2.9000000000000001E-2</v>
      </c>
      <c r="T4753" s="508">
        <v>2.9000000000000001E-2</v>
      </c>
      <c r="U4753" s="508">
        <v>2.9000000000000001E-2</v>
      </c>
      <c r="V4753" s="508">
        <v>2.9000000000000001E-2</v>
      </c>
      <c r="W4753" s="508">
        <v>2.9000000000000001E-2</v>
      </c>
      <c r="X4753" s="508">
        <v>2.9000000000000001E-2</v>
      </c>
      <c r="Y4753" s="508">
        <v>2.9000000000000001E-2</v>
      </c>
      <c r="Z4753" s="508">
        <v>2.9000000000000001E-2</v>
      </c>
      <c r="AA4753" s="508">
        <v>2.9000000000000001E-2</v>
      </c>
      <c r="AB4753" s="508">
        <v>2.9000000000000001E-2</v>
      </c>
      <c r="AC4753" s="508">
        <v>2.9000000000000001E-2</v>
      </c>
      <c r="AD4753" s="508">
        <v>2.9000000000000001E-2</v>
      </c>
      <c r="AE4753" s="508">
        <v>2.9000000000000001E-2</v>
      </c>
      <c r="AF4753" s="508">
        <v>2.9000000000000001E-2</v>
      </c>
      <c r="AG4753" s="508">
        <v>2.9000000000000001E-2</v>
      </c>
      <c r="AH4753" s="508">
        <v>2.9000000000000001E-2</v>
      </c>
      <c r="AI4753" s="492">
        <v>2.9000000000000001E-2</v>
      </c>
      <c r="AJ4753" s="485"/>
    </row>
    <row r="4754" spans="2:36">
      <c r="B4754" s="136" t="s">
        <v>475</v>
      </c>
      <c r="C4754" s="132" t="s">
        <v>1367</v>
      </c>
      <c r="D4754" s="132" t="s">
        <v>1379</v>
      </c>
      <c r="E4754" s="508">
        <v>2.8000000000000001E-2</v>
      </c>
      <c r="F4754" s="508">
        <v>2.8000000000000001E-2</v>
      </c>
      <c r="G4754" s="508">
        <v>2.8000000000000001E-2</v>
      </c>
      <c r="H4754" s="508">
        <v>2.8000000000000001E-2</v>
      </c>
      <c r="I4754" s="508">
        <v>2.8000000000000001E-2</v>
      </c>
      <c r="J4754" s="508">
        <v>2.8000000000000001E-2</v>
      </c>
      <c r="K4754" s="508">
        <v>2.8000000000000001E-2</v>
      </c>
      <c r="L4754" s="508">
        <v>2.8000000000000001E-2</v>
      </c>
      <c r="M4754" s="508">
        <v>2.8000000000000001E-2</v>
      </c>
      <c r="N4754" s="508">
        <v>2.8000000000000001E-2</v>
      </c>
      <c r="O4754" s="508">
        <v>2.8000000000000001E-2</v>
      </c>
      <c r="P4754" s="508">
        <v>2.8000000000000001E-2</v>
      </c>
      <c r="Q4754" s="508">
        <v>2.8000000000000001E-2</v>
      </c>
      <c r="R4754" s="508">
        <v>2.8000000000000001E-2</v>
      </c>
      <c r="S4754" s="508">
        <v>2.8000000000000001E-2</v>
      </c>
      <c r="T4754" s="508">
        <v>2.8000000000000001E-2</v>
      </c>
      <c r="U4754" s="508">
        <v>2.8000000000000001E-2</v>
      </c>
      <c r="V4754" s="508">
        <v>2.8000000000000001E-2</v>
      </c>
      <c r="W4754" s="508">
        <v>2.8000000000000001E-2</v>
      </c>
      <c r="X4754" s="508">
        <v>2.8000000000000001E-2</v>
      </c>
      <c r="Y4754" s="508">
        <v>2.8000000000000001E-2</v>
      </c>
      <c r="Z4754" s="508">
        <v>2.8000000000000001E-2</v>
      </c>
      <c r="AA4754" s="508">
        <v>2.8000000000000001E-2</v>
      </c>
      <c r="AB4754" s="508">
        <v>2.8000000000000001E-2</v>
      </c>
      <c r="AC4754" s="508">
        <v>2.8000000000000001E-2</v>
      </c>
      <c r="AD4754" s="508">
        <v>2.8000000000000001E-2</v>
      </c>
      <c r="AE4754" s="508">
        <v>2.8000000000000001E-2</v>
      </c>
      <c r="AF4754" s="508">
        <v>2.8000000000000001E-2</v>
      </c>
      <c r="AG4754" s="508">
        <v>2.8000000000000001E-2</v>
      </c>
      <c r="AH4754" s="508">
        <v>2.8000000000000001E-2</v>
      </c>
      <c r="AI4754" s="492">
        <v>2.8000000000000001E-2</v>
      </c>
      <c r="AJ4754" s="485"/>
    </row>
    <row r="4755" spans="2:36">
      <c r="B4755" s="136" t="s">
        <v>476</v>
      </c>
      <c r="C4755" s="132" t="s">
        <v>1367</v>
      </c>
      <c r="D4755" s="132" t="s">
        <v>1379</v>
      </c>
      <c r="E4755" s="508">
        <v>3.1E-2</v>
      </c>
      <c r="F4755" s="508">
        <v>3.1E-2</v>
      </c>
      <c r="G4755" s="508">
        <v>3.1E-2</v>
      </c>
      <c r="H4755" s="508">
        <v>3.1E-2</v>
      </c>
      <c r="I4755" s="508">
        <v>3.1E-2</v>
      </c>
      <c r="J4755" s="508">
        <v>3.1E-2</v>
      </c>
      <c r="K4755" s="508">
        <v>3.1E-2</v>
      </c>
      <c r="L4755" s="508">
        <v>3.1E-2</v>
      </c>
      <c r="M4755" s="508">
        <v>3.1E-2</v>
      </c>
      <c r="N4755" s="508">
        <v>3.1E-2</v>
      </c>
      <c r="O4755" s="508">
        <v>3.1E-2</v>
      </c>
      <c r="P4755" s="508">
        <v>3.1E-2</v>
      </c>
      <c r="Q4755" s="508">
        <v>3.1E-2</v>
      </c>
      <c r="R4755" s="508">
        <v>3.1E-2</v>
      </c>
      <c r="S4755" s="508">
        <v>3.1E-2</v>
      </c>
      <c r="T4755" s="508">
        <v>3.1E-2</v>
      </c>
      <c r="U4755" s="508">
        <v>3.1E-2</v>
      </c>
      <c r="V4755" s="508">
        <v>3.1E-2</v>
      </c>
      <c r="W4755" s="508">
        <v>3.1E-2</v>
      </c>
      <c r="X4755" s="508">
        <v>3.1E-2</v>
      </c>
      <c r="Y4755" s="508">
        <v>3.1E-2</v>
      </c>
      <c r="Z4755" s="508">
        <v>3.1E-2</v>
      </c>
      <c r="AA4755" s="508">
        <v>3.1E-2</v>
      </c>
      <c r="AB4755" s="508">
        <v>3.1E-2</v>
      </c>
      <c r="AC4755" s="508">
        <v>3.1E-2</v>
      </c>
      <c r="AD4755" s="508">
        <v>3.1E-2</v>
      </c>
      <c r="AE4755" s="508">
        <v>3.1E-2</v>
      </c>
      <c r="AF4755" s="508">
        <v>3.1E-2</v>
      </c>
      <c r="AG4755" s="508">
        <v>3.1E-2</v>
      </c>
      <c r="AH4755" s="508">
        <v>3.1E-2</v>
      </c>
      <c r="AI4755" s="492">
        <v>3.1E-2</v>
      </c>
      <c r="AJ4755" s="485"/>
    </row>
    <row r="4756" spans="2:36">
      <c r="B4756" s="136" t="s">
        <v>478</v>
      </c>
      <c r="C4756" s="132" t="s">
        <v>1367</v>
      </c>
      <c r="D4756" s="132" t="s">
        <v>1379</v>
      </c>
      <c r="E4756" s="508">
        <v>3.2000000000000001E-2</v>
      </c>
      <c r="F4756" s="508">
        <v>3.2000000000000001E-2</v>
      </c>
      <c r="G4756" s="508">
        <v>3.2000000000000001E-2</v>
      </c>
      <c r="H4756" s="508">
        <v>3.2000000000000001E-2</v>
      </c>
      <c r="I4756" s="508">
        <v>3.2000000000000001E-2</v>
      </c>
      <c r="J4756" s="508">
        <v>3.2000000000000001E-2</v>
      </c>
      <c r="K4756" s="508">
        <v>3.2000000000000001E-2</v>
      </c>
      <c r="L4756" s="508">
        <v>3.2000000000000001E-2</v>
      </c>
      <c r="M4756" s="508">
        <v>3.2000000000000001E-2</v>
      </c>
      <c r="N4756" s="508">
        <v>3.2000000000000001E-2</v>
      </c>
      <c r="O4756" s="508">
        <v>3.2000000000000001E-2</v>
      </c>
      <c r="P4756" s="508">
        <v>3.2000000000000001E-2</v>
      </c>
      <c r="Q4756" s="508">
        <v>3.2000000000000001E-2</v>
      </c>
      <c r="R4756" s="508">
        <v>3.2000000000000001E-2</v>
      </c>
      <c r="S4756" s="508">
        <v>3.2000000000000001E-2</v>
      </c>
      <c r="T4756" s="508">
        <v>3.2000000000000001E-2</v>
      </c>
      <c r="U4756" s="508">
        <v>3.2000000000000001E-2</v>
      </c>
      <c r="V4756" s="508">
        <v>3.2000000000000001E-2</v>
      </c>
      <c r="W4756" s="508">
        <v>3.2000000000000001E-2</v>
      </c>
      <c r="X4756" s="508">
        <v>3.2000000000000001E-2</v>
      </c>
      <c r="Y4756" s="508">
        <v>3.2000000000000001E-2</v>
      </c>
      <c r="Z4756" s="508">
        <v>3.2000000000000001E-2</v>
      </c>
      <c r="AA4756" s="508">
        <v>3.2000000000000001E-2</v>
      </c>
      <c r="AB4756" s="508">
        <v>3.2000000000000001E-2</v>
      </c>
      <c r="AC4756" s="508">
        <v>3.2000000000000001E-2</v>
      </c>
      <c r="AD4756" s="508">
        <v>3.2000000000000001E-2</v>
      </c>
      <c r="AE4756" s="508">
        <v>3.2000000000000001E-2</v>
      </c>
      <c r="AF4756" s="508">
        <v>3.2000000000000001E-2</v>
      </c>
      <c r="AG4756" s="508">
        <v>3.2000000000000001E-2</v>
      </c>
      <c r="AH4756" s="508">
        <v>3.2000000000000001E-2</v>
      </c>
      <c r="AI4756" s="492">
        <v>3.2000000000000001E-2</v>
      </c>
      <c r="AJ4756" s="485"/>
    </row>
    <row r="4757" spans="2:36">
      <c r="B4757" s="136" t="s">
        <v>479</v>
      </c>
      <c r="C4757" s="132" t="s">
        <v>1367</v>
      </c>
      <c r="D4757" s="132" t="s">
        <v>1379</v>
      </c>
      <c r="E4757" s="508">
        <v>2.9000000000000001E-2</v>
      </c>
      <c r="F4757" s="508">
        <v>2.9000000000000001E-2</v>
      </c>
      <c r="G4757" s="508">
        <v>2.9000000000000001E-2</v>
      </c>
      <c r="H4757" s="508">
        <v>2.9000000000000001E-2</v>
      </c>
      <c r="I4757" s="508">
        <v>2.9000000000000001E-2</v>
      </c>
      <c r="J4757" s="508">
        <v>2.9000000000000001E-2</v>
      </c>
      <c r="K4757" s="508">
        <v>2.9000000000000001E-2</v>
      </c>
      <c r="L4757" s="508">
        <v>2.9000000000000001E-2</v>
      </c>
      <c r="M4757" s="508">
        <v>2.9000000000000001E-2</v>
      </c>
      <c r="N4757" s="508">
        <v>2.9000000000000001E-2</v>
      </c>
      <c r="O4757" s="508">
        <v>2.9000000000000001E-2</v>
      </c>
      <c r="P4757" s="508">
        <v>2.9000000000000001E-2</v>
      </c>
      <c r="Q4757" s="508">
        <v>2.9000000000000001E-2</v>
      </c>
      <c r="R4757" s="508">
        <v>2.9000000000000001E-2</v>
      </c>
      <c r="S4757" s="508">
        <v>2.9000000000000001E-2</v>
      </c>
      <c r="T4757" s="508">
        <v>2.9000000000000001E-2</v>
      </c>
      <c r="U4757" s="508">
        <v>2.9000000000000001E-2</v>
      </c>
      <c r="V4757" s="508">
        <v>2.9000000000000001E-2</v>
      </c>
      <c r="W4757" s="508">
        <v>2.9000000000000001E-2</v>
      </c>
      <c r="X4757" s="508">
        <v>2.9000000000000001E-2</v>
      </c>
      <c r="Y4757" s="508">
        <v>2.9000000000000001E-2</v>
      </c>
      <c r="Z4757" s="508">
        <v>2.9000000000000001E-2</v>
      </c>
      <c r="AA4757" s="508">
        <v>2.9000000000000001E-2</v>
      </c>
      <c r="AB4757" s="508">
        <v>2.9000000000000001E-2</v>
      </c>
      <c r="AC4757" s="508">
        <v>2.9000000000000001E-2</v>
      </c>
      <c r="AD4757" s="508">
        <v>2.9000000000000001E-2</v>
      </c>
      <c r="AE4757" s="508">
        <v>2.9000000000000001E-2</v>
      </c>
      <c r="AF4757" s="508">
        <v>2.9000000000000001E-2</v>
      </c>
      <c r="AG4757" s="508">
        <v>2.9000000000000001E-2</v>
      </c>
      <c r="AH4757" s="508">
        <v>2.9000000000000001E-2</v>
      </c>
      <c r="AI4757" s="492">
        <v>2.9000000000000001E-2</v>
      </c>
      <c r="AJ4757" s="485"/>
    </row>
    <row r="4758" spans="2:36">
      <c r="B4758" s="136" t="s">
        <v>480</v>
      </c>
      <c r="C4758" s="132" t="s">
        <v>1367</v>
      </c>
      <c r="D4758" s="132" t="s">
        <v>1379</v>
      </c>
      <c r="E4758" s="508">
        <v>2.4E-2</v>
      </c>
      <c r="F4758" s="508">
        <v>2.4E-2</v>
      </c>
      <c r="G4758" s="508">
        <v>2.4E-2</v>
      </c>
      <c r="H4758" s="508">
        <v>2.4E-2</v>
      </c>
      <c r="I4758" s="508">
        <v>2.4E-2</v>
      </c>
      <c r="J4758" s="508">
        <v>2.4E-2</v>
      </c>
      <c r="K4758" s="508">
        <v>2.4E-2</v>
      </c>
      <c r="L4758" s="508">
        <v>2.4E-2</v>
      </c>
      <c r="M4758" s="508">
        <v>2.4E-2</v>
      </c>
      <c r="N4758" s="508">
        <v>2.4E-2</v>
      </c>
      <c r="O4758" s="508">
        <v>2.4E-2</v>
      </c>
      <c r="P4758" s="508">
        <v>2.4E-2</v>
      </c>
      <c r="Q4758" s="508">
        <v>2.4E-2</v>
      </c>
      <c r="R4758" s="508">
        <v>2.4E-2</v>
      </c>
      <c r="S4758" s="508">
        <v>2.4E-2</v>
      </c>
      <c r="T4758" s="508">
        <v>2.4E-2</v>
      </c>
      <c r="U4758" s="508">
        <v>2.4E-2</v>
      </c>
      <c r="V4758" s="508">
        <v>2.4E-2</v>
      </c>
      <c r="W4758" s="508">
        <v>2.4E-2</v>
      </c>
      <c r="X4758" s="508">
        <v>2.4E-2</v>
      </c>
      <c r="Y4758" s="508">
        <v>2.4E-2</v>
      </c>
      <c r="Z4758" s="508">
        <v>2.4E-2</v>
      </c>
      <c r="AA4758" s="508">
        <v>2.4E-2</v>
      </c>
      <c r="AB4758" s="508">
        <v>2.4E-2</v>
      </c>
      <c r="AC4758" s="508">
        <v>2.4E-2</v>
      </c>
      <c r="AD4758" s="508">
        <v>2.4E-2</v>
      </c>
      <c r="AE4758" s="508">
        <v>2.4E-2</v>
      </c>
      <c r="AF4758" s="508">
        <v>2.4E-2</v>
      </c>
      <c r="AG4758" s="508">
        <v>2.4E-2</v>
      </c>
      <c r="AH4758" s="508">
        <v>2.4E-2</v>
      </c>
      <c r="AI4758" s="492">
        <v>2.4E-2</v>
      </c>
      <c r="AJ4758" s="485"/>
    </row>
    <row r="4759" spans="2:36">
      <c r="B4759" s="136" t="s">
        <v>481</v>
      </c>
      <c r="C4759" s="132" t="s">
        <v>1367</v>
      </c>
      <c r="D4759" s="132" t="s">
        <v>1379</v>
      </c>
      <c r="E4759" s="508">
        <v>0.03</v>
      </c>
      <c r="F4759" s="508">
        <v>0.03</v>
      </c>
      <c r="G4759" s="508">
        <v>0.03</v>
      </c>
      <c r="H4759" s="508">
        <v>0.03</v>
      </c>
      <c r="I4759" s="508">
        <v>0.03</v>
      </c>
      <c r="J4759" s="508">
        <v>0.03</v>
      </c>
      <c r="K4759" s="508">
        <v>0.03</v>
      </c>
      <c r="L4759" s="508">
        <v>0.03</v>
      </c>
      <c r="M4759" s="508">
        <v>0.03</v>
      </c>
      <c r="N4759" s="508">
        <v>0.03</v>
      </c>
      <c r="O4759" s="508">
        <v>0.03</v>
      </c>
      <c r="P4759" s="508">
        <v>0.03</v>
      </c>
      <c r="Q4759" s="508">
        <v>0.03</v>
      </c>
      <c r="R4759" s="508">
        <v>0.03</v>
      </c>
      <c r="S4759" s="508">
        <v>0.03</v>
      </c>
      <c r="T4759" s="508">
        <v>0.03</v>
      </c>
      <c r="U4759" s="508">
        <v>0.03</v>
      </c>
      <c r="V4759" s="508">
        <v>0.03</v>
      </c>
      <c r="W4759" s="508">
        <v>0.03</v>
      </c>
      <c r="X4759" s="508">
        <v>0.03</v>
      </c>
      <c r="Y4759" s="508">
        <v>0.03</v>
      </c>
      <c r="Z4759" s="508">
        <v>0.03</v>
      </c>
      <c r="AA4759" s="508">
        <v>0.03</v>
      </c>
      <c r="AB4759" s="508">
        <v>0.03</v>
      </c>
      <c r="AC4759" s="508">
        <v>0.03</v>
      </c>
      <c r="AD4759" s="508">
        <v>0.03</v>
      </c>
      <c r="AE4759" s="508">
        <v>0.03</v>
      </c>
      <c r="AF4759" s="508">
        <v>0.03</v>
      </c>
      <c r="AG4759" s="508">
        <v>0.03</v>
      </c>
      <c r="AH4759" s="508">
        <v>0.03</v>
      </c>
      <c r="AI4759" s="492">
        <v>0.03</v>
      </c>
      <c r="AJ4759" s="485"/>
    </row>
    <row r="4760" spans="2:36">
      <c r="B4760" s="136" t="s">
        <v>482</v>
      </c>
      <c r="C4760" s="132" t="s">
        <v>1367</v>
      </c>
      <c r="D4760" s="132" t="s">
        <v>1379</v>
      </c>
      <c r="E4760" s="508">
        <v>2.9000000000000001E-2</v>
      </c>
      <c r="F4760" s="508">
        <v>2.9000000000000001E-2</v>
      </c>
      <c r="G4760" s="508">
        <v>2.9000000000000001E-2</v>
      </c>
      <c r="H4760" s="508">
        <v>2.9000000000000001E-2</v>
      </c>
      <c r="I4760" s="508">
        <v>2.9000000000000001E-2</v>
      </c>
      <c r="J4760" s="508">
        <v>2.9000000000000001E-2</v>
      </c>
      <c r="K4760" s="508">
        <v>2.9000000000000001E-2</v>
      </c>
      <c r="L4760" s="508">
        <v>2.9000000000000001E-2</v>
      </c>
      <c r="M4760" s="508">
        <v>2.9000000000000001E-2</v>
      </c>
      <c r="N4760" s="508">
        <v>2.9000000000000001E-2</v>
      </c>
      <c r="O4760" s="508">
        <v>2.9000000000000001E-2</v>
      </c>
      <c r="P4760" s="508">
        <v>2.9000000000000001E-2</v>
      </c>
      <c r="Q4760" s="508">
        <v>2.9000000000000001E-2</v>
      </c>
      <c r="R4760" s="508">
        <v>2.9000000000000001E-2</v>
      </c>
      <c r="S4760" s="508">
        <v>2.9000000000000001E-2</v>
      </c>
      <c r="T4760" s="508">
        <v>2.9000000000000001E-2</v>
      </c>
      <c r="U4760" s="508">
        <v>2.9000000000000001E-2</v>
      </c>
      <c r="V4760" s="508">
        <v>2.9000000000000001E-2</v>
      </c>
      <c r="W4760" s="508">
        <v>2.9000000000000001E-2</v>
      </c>
      <c r="X4760" s="508">
        <v>2.9000000000000001E-2</v>
      </c>
      <c r="Y4760" s="508">
        <v>2.9000000000000001E-2</v>
      </c>
      <c r="Z4760" s="508">
        <v>2.9000000000000001E-2</v>
      </c>
      <c r="AA4760" s="508">
        <v>2.9000000000000001E-2</v>
      </c>
      <c r="AB4760" s="508">
        <v>2.9000000000000001E-2</v>
      </c>
      <c r="AC4760" s="508">
        <v>2.9000000000000001E-2</v>
      </c>
      <c r="AD4760" s="508">
        <v>2.9000000000000001E-2</v>
      </c>
      <c r="AE4760" s="508">
        <v>2.9000000000000001E-2</v>
      </c>
      <c r="AF4760" s="508">
        <v>2.9000000000000001E-2</v>
      </c>
      <c r="AG4760" s="508">
        <v>2.9000000000000001E-2</v>
      </c>
      <c r="AH4760" s="508">
        <v>2.9000000000000001E-2</v>
      </c>
      <c r="AI4760" s="492">
        <v>2.9000000000000001E-2</v>
      </c>
      <c r="AJ4760" s="485"/>
    </row>
    <row r="4761" spans="2:36">
      <c r="B4761" s="136" t="s">
        <v>483</v>
      </c>
      <c r="C4761" s="132" t="s">
        <v>1367</v>
      </c>
      <c r="D4761" s="132" t="s">
        <v>1379</v>
      </c>
      <c r="E4761" s="508">
        <v>3.2000000000000001E-2</v>
      </c>
      <c r="F4761" s="508">
        <v>3.2000000000000001E-2</v>
      </c>
      <c r="G4761" s="508">
        <v>3.2000000000000001E-2</v>
      </c>
      <c r="H4761" s="508">
        <v>3.2000000000000001E-2</v>
      </c>
      <c r="I4761" s="508">
        <v>3.2000000000000001E-2</v>
      </c>
      <c r="J4761" s="508">
        <v>3.2000000000000001E-2</v>
      </c>
      <c r="K4761" s="508">
        <v>3.2000000000000001E-2</v>
      </c>
      <c r="L4761" s="508">
        <v>3.2000000000000001E-2</v>
      </c>
      <c r="M4761" s="508">
        <v>3.2000000000000001E-2</v>
      </c>
      <c r="N4761" s="508">
        <v>3.2000000000000001E-2</v>
      </c>
      <c r="O4761" s="508">
        <v>3.2000000000000001E-2</v>
      </c>
      <c r="P4761" s="508">
        <v>3.2000000000000001E-2</v>
      </c>
      <c r="Q4761" s="508">
        <v>3.2000000000000001E-2</v>
      </c>
      <c r="R4761" s="508">
        <v>3.2000000000000001E-2</v>
      </c>
      <c r="S4761" s="508">
        <v>3.2000000000000001E-2</v>
      </c>
      <c r="T4761" s="508">
        <v>3.2000000000000001E-2</v>
      </c>
      <c r="U4761" s="508">
        <v>3.2000000000000001E-2</v>
      </c>
      <c r="V4761" s="508">
        <v>3.2000000000000001E-2</v>
      </c>
      <c r="W4761" s="508">
        <v>3.2000000000000001E-2</v>
      </c>
      <c r="X4761" s="508">
        <v>3.2000000000000001E-2</v>
      </c>
      <c r="Y4761" s="508">
        <v>3.2000000000000001E-2</v>
      </c>
      <c r="Z4761" s="508">
        <v>3.2000000000000001E-2</v>
      </c>
      <c r="AA4761" s="508">
        <v>3.2000000000000001E-2</v>
      </c>
      <c r="AB4761" s="508">
        <v>3.2000000000000001E-2</v>
      </c>
      <c r="AC4761" s="508">
        <v>3.2000000000000001E-2</v>
      </c>
      <c r="AD4761" s="508">
        <v>3.2000000000000001E-2</v>
      </c>
      <c r="AE4761" s="508">
        <v>3.2000000000000001E-2</v>
      </c>
      <c r="AF4761" s="508">
        <v>3.2000000000000001E-2</v>
      </c>
      <c r="AG4761" s="508">
        <v>3.2000000000000001E-2</v>
      </c>
      <c r="AH4761" s="508">
        <v>3.2000000000000001E-2</v>
      </c>
      <c r="AI4761" s="492">
        <v>3.2000000000000001E-2</v>
      </c>
      <c r="AJ4761" s="485"/>
    </row>
    <row r="4762" spans="2:36">
      <c r="B4762" s="136" t="s">
        <v>484</v>
      </c>
      <c r="C4762" s="132" t="s">
        <v>1367</v>
      </c>
      <c r="D4762" s="132" t="s">
        <v>1379</v>
      </c>
      <c r="E4762" s="508">
        <v>2.5000000000000001E-2</v>
      </c>
      <c r="F4762" s="508">
        <v>2.5000000000000001E-2</v>
      </c>
      <c r="G4762" s="508">
        <v>2.5000000000000001E-2</v>
      </c>
      <c r="H4762" s="508">
        <v>2.5000000000000001E-2</v>
      </c>
      <c r="I4762" s="508">
        <v>2.5000000000000001E-2</v>
      </c>
      <c r="J4762" s="508">
        <v>2.5000000000000001E-2</v>
      </c>
      <c r="K4762" s="508">
        <v>2.5000000000000001E-2</v>
      </c>
      <c r="L4762" s="508">
        <v>2.5000000000000001E-2</v>
      </c>
      <c r="M4762" s="508">
        <v>2.5000000000000001E-2</v>
      </c>
      <c r="N4762" s="508">
        <v>2.5000000000000001E-2</v>
      </c>
      <c r="O4762" s="508">
        <v>2.5000000000000001E-2</v>
      </c>
      <c r="P4762" s="508">
        <v>2.5000000000000001E-2</v>
      </c>
      <c r="Q4762" s="508">
        <v>2.5000000000000001E-2</v>
      </c>
      <c r="R4762" s="508">
        <v>2.5000000000000001E-2</v>
      </c>
      <c r="S4762" s="508">
        <v>2.5000000000000001E-2</v>
      </c>
      <c r="T4762" s="508">
        <v>2.5000000000000001E-2</v>
      </c>
      <c r="U4762" s="508">
        <v>2.5000000000000001E-2</v>
      </c>
      <c r="V4762" s="508">
        <v>2.5000000000000001E-2</v>
      </c>
      <c r="W4762" s="508">
        <v>2.5000000000000001E-2</v>
      </c>
      <c r="X4762" s="508">
        <v>2.5000000000000001E-2</v>
      </c>
      <c r="Y4762" s="508">
        <v>2.5000000000000001E-2</v>
      </c>
      <c r="Z4762" s="508">
        <v>2.5000000000000001E-2</v>
      </c>
      <c r="AA4762" s="508">
        <v>2.5000000000000001E-2</v>
      </c>
      <c r="AB4762" s="508">
        <v>2.5000000000000001E-2</v>
      </c>
      <c r="AC4762" s="508">
        <v>2.5000000000000001E-2</v>
      </c>
      <c r="AD4762" s="508">
        <v>2.5000000000000001E-2</v>
      </c>
      <c r="AE4762" s="508">
        <v>2.5000000000000001E-2</v>
      </c>
      <c r="AF4762" s="508">
        <v>2.5000000000000001E-2</v>
      </c>
      <c r="AG4762" s="508">
        <v>2.5000000000000001E-2</v>
      </c>
      <c r="AH4762" s="508">
        <v>2.5000000000000001E-2</v>
      </c>
      <c r="AI4762" s="492">
        <v>2.5000000000000001E-2</v>
      </c>
      <c r="AJ4762" s="485"/>
    </row>
    <row r="4763" spans="2:36">
      <c r="B4763" s="136" t="s">
        <v>486</v>
      </c>
      <c r="C4763" s="132" t="s">
        <v>1367</v>
      </c>
      <c r="D4763" s="132" t="s">
        <v>1379</v>
      </c>
      <c r="E4763" s="508">
        <v>0.03</v>
      </c>
      <c r="F4763" s="508">
        <v>0.03</v>
      </c>
      <c r="G4763" s="508">
        <v>0.03</v>
      </c>
      <c r="H4763" s="508">
        <v>0.03</v>
      </c>
      <c r="I4763" s="508">
        <v>0.03</v>
      </c>
      <c r="J4763" s="508">
        <v>0.03</v>
      </c>
      <c r="K4763" s="508">
        <v>0.03</v>
      </c>
      <c r="L4763" s="508">
        <v>0.03</v>
      </c>
      <c r="M4763" s="508">
        <v>0.03</v>
      </c>
      <c r="N4763" s="508">
        <v>0.03</v>
      </c>
      <c r="O4763" s="508">
        <v>0.03</v>
      </c>
      <c r="P4763" s="508">
        <v>0.03</v>
      </c>
      <c r="Q4763" s="508">
        <v>0.03</v>
      </c>
      <c r="R4763" s="508">
        <v>0.03</v>
      </c>
      <c r="S4763" s="508">
        <v>0.03</v>
      </c>
      <c r="T4763" s="508">
        <v>0.03</v>
      </c>
      <c r="U4763" s="508">
        <v>0.03</v>
      </c>
      <c r="V4763" s="508">
        <v>0.03</v>
      </c>
      <c r="W4763" s="508">
        <v>0.03</v>
      </c>
      <c r="X4763" s="508">
        <v>0.03</v>
      </c>
      <c r="Y4763" s="508">
        <v>0.03</v>
      </c>
      <c r="Z4763" s="508">
        <v>0.03</v>
      </c>
      <c r="AA4763" s="508">
        <v>0.03</v>
      </c>
      <c r="AB4763" s="508">
        <v>0.03</v>
      </c>
      <c r="AC4763" s="508">
        <v>0.03</v>
      </c>
      <c r="AD4763" s="508">
        <v>0.03</v>
      </c>
      <c r="AE4763" s="508">
        <v>0.03</v>
      </c>
      <c r="AF4763" s="508">
        <v>0.03</v>
      </c>
      <c r="AG4763" s="508">
        <v>0.03</v>
      </c>
      <c r="AH4763" s="508">
        <v>0.03</v>
      </c>
      <c r="AI4763" s="492">
        <v>0.03</v>
      </c>
      <c r="AJ4763" s="485"/>
    </row>
    <row r="4764" spans="2:36">
      <c r="B4764" s="136" t="s">
        <v>487</v>
      </c>
      <c r="C4764" s="132" t="s">
        <v>1367</v>
      </c>
      <c r="D4764" s="132" t="s">
        <v>1379</v>
      </c>
      <c r="E4764" s="508">
        <v>2.9000000000000001E-2</v>
      </c>
      <c r="F4764" s="508">
        <v>2.9000000000000001E-2</v>
      </c>
      <c r="G4764" s="508">
        <v>2.9000000000000001E-2</v>
      </c>
      <c r="H4764" s="508">
        <v>2.9000000000000001E-2</v>
      </c>
      <c r="I4764" s="508">
        <v>2.9000000000000001E-2</v>
      </c>
      <c r="J4764" s="508">
        <v>2.9000000000000001E-2</v>
      </c>
      <c r="K4764" s="508">
        <v>2.9000000000000001E-2</v>
      </c>
      <c r="L4764" s="508">
        <v>2.9000000000000001E-2</v>
      </c>
      <c r="M4764" s="508">
        <v>2.9000000000000001E-2</v>
      </c>
      <c r="N4764" s="508">
        <v>2.9000000000000001E-2</v>
      </c>
      <c r="O4764" s="508">
        <v>2.9000000000000001E-2</v>
      </c>
      <c r="P4764" s="508">
        <v>2.9000000000000001E-2</v>
      </c>
      <c r="Q4764" s="508">
        <v>2.9000000000000001E-2</v>
      </c>
      <c r="R4764" s="508">
        <v>2.9000000000000001E-2</v>
      </c>
      <c r="S4764" s="508">
        <v>2.9000000000000001E-2</v>
      </c>
      <c r="T4764" s="508">
        <v>2.9000000000000001E-2</v>
      </c>
      <c r="U4764" s="508">
        <v>2.9000000000000001E-2</v>
      </c>
      <c r="V4764" s="508">
        <v>2.9000000000000001E-2</v>
      </c>
      <c r="W4764" s="508">
        <v>2.9000000000000001E-2</v>
      </c>
      <c r="X4764" s="508">
        <v>2.9000000000000001E-2</v>
      </c>
      <c r="Y4764" s="508">
        <v>2.9000000000000001E-2</v>
      </c>
      <c r="Z4764" s="508">
        <v>2.9000000000000001E-2</v>
      </c>
      <c r="AA4764" s="508">
        <v>2.9000000000000001E-2</v>
      </c>
      <c r="AB4764" s="508">
        <v>2.9000000000000001E-2</v>
      </c>
      <c r="AC4764" s="508">
        <v>2.9000000000000001E-2</v>
      </c>
      <c r="AD4764" s="508">
        <v>2.9000000000000001E-2</v>
      </c>
      <c r="AE4764" s="508">
        <v>2.9000000000000001E-2</v>
      </c>
      <c r="AF4764" s="508">
        <v>2.9000000000000001E-2</v>
      </c>
      <c r="AG4764" s="508">
        <v>2.9000000000000001E-2</v>
      </c>
      <c r="AH4764" s="508">
        <v>2.9000000000000001E-2</v>
      </c>
      <c r="AI4764" s="492">
        <v>2.9000000000000001E-2</v>
      </c>
      <c r="AJ4764" s="485"/>
    </row>
    <row r="4765" spans="2:36">
      <c r="B4765" s="136" t="s">
        <v>488</v>
      </c>
      <c r="C4765" s="132" t="s">
        <v>1367</v>
      </c>
      <c r="D4765" s="132" t="s">
        <v>1379</v>
      </c>
      <c r="E4765" s="508">
        <v>2.5999999999999999E-2</v>
      </c>
      <c r="F4765" s="508">
        <v>2.5999999999999999E-2</v>
      </c>
      <c r="G4765" s="508">
        <v>2.5999999999999999E-2</v>
      </c>
      <c r="H4765" s="508">
        <v>2.5999999999999999E-2</v>
      </c>
      <c r="I4765" s="508">
        <v>2.5999999999999999E-2</v>
      </c>
      <c r="J4765" s="508">
        <v>2.5999999999999999E-2</v>
      </c>
      <c r="K4765" s="508">
        <v>2.5999999999999999E-2</v>
      </c>
      <c r="L4765" s="508">
        <v>2.5999999999999999E-2</v>
      </c>
      <c r="M4765" s="508">
        <v>2.5999999999999999E-2</v>
      </c>
      <c r="N4765" s="508">
        <v>2.5999999999999999E-2</v>
      </c>
      <c r="O4765" s="508">
        <v>2.5999999999999999E-2</v>
      </c>
      <c r="P4765" s="508">
        <v>2.5999999999999999E-2</v>
      </c>
      <c r="Q4765" s="508">
        <v>2.5999999999999999E-2</v>
      </c>
      <c r="R4765" s="508">
        <v>2.5999999999999999E-2</v>
      </c>
      <c r="S4765" s="508">
        <v>2.5999999999999999E-2</v>
      </c>
      <c r="T4765" s="508">
        <v>2.5999999999999999E-2</v>
      </c>
      <c r="U4765" s="508">
        <v>2.5999999999999999E-2</v>
      </c>
      <c r="V4765" s="508">
        <v>2.5999999999999999E-2</v>
      </c>
      <c r="W4765" s="508">
        <v>2.5999999999999999E-2</v>
      </c>
      <c r="X4765" s="508">
        <v>2.5999999999999999E-2</v>
      </c>
      <c r="Y4765" s="508">
        <v>2.5999999999999999E-2</v>
      </c>
      <c r="Z4765" s="508">
        <v>2.5999999999999999E-2</v>
      </c>
      <c r="AA4765" s="508">
        <v>2.5999999999999999E-2</v>
      </c>
      <c r="AB4765" s="508">
        <v>2.5999999999999999E-2</v>
      </c>
      <c r="AC4765" s="508">
        <v>2.5999999999999999E-2</v>
      </c>
      <c r="AD4765" s="508">
        <v>2.5999999999999999E-2</v>
      </c>
      <c r="AE4765" s="508">
        <v>2.5999999999999999E-2</v>
      </c>
      <c r="AF4765" s="508">
        <v>2.5999999999999999E-2</v>
      </c>
      <c r="AG4765" s="508">
        <v>2.5999999999999999E-2</v>
      </c>
      <c r="AH4765" s="508">
        <v>2.5999999999999999E-2</v>
      </c>
      <c r="AI4765" s="492">
        <v>2.5999999999999999E-2</v>
      </c>
      <c r="AJ4765" s="485"/>
    </row>
    <row r="4766" spans="2:36">
      <c r="B4766" s="136" t="s">
        <v>489</v>
      </c>
      <c r="C4766" s="132" t="s">
        <v>1367</v>
      </c>
      <c r="D4766" s="132" t="s">
        <v>1379</v>
      </c>
      <c r="E4766" s="508">
        <v>2.8000000000000001E-2</v>
      </c>
      <c r="F4766" s="508">
        <v>2.8000000000000001E-2</v>
      </c>
      <c r="G4766" s="508">
        <v>2.8000000000000001E-2</v>
      </c>
      <c r="H4766" s="508">
        <v>2.8000000000000001E-2</v>
      </c>
      <c r="I4766" s="508">
        <v>2.8000000000000001E-2</v>
      </c>
      <c r="J4766" s="508">
        <v>2.8000000000000001E-2</v>
      </c>
      <c r="K4766" s="508">
        <v>2.8000000000000001E-2</v>
      </c>
      <c r="L4766" s="508">
        <v>2.8000000000000001E-2</v>
      </c>
      <c r="M4766" s="508">
        <v>2.8000000000000001E-2</v>
      </c>
      <c r="N4766" s="508">
        <v>2.8000000000000001E-2</v>
      </c>
      <c r="O4766" s="508">
        <v>2.8000000000000001E-2</v>
      </c>
      <c r="P4766" s="508">
        <v>2.8000000000000001E-2</v>
      </c>
      <c r="Q4766" s="508">
        <v>2.8000000000000001E-2</v>
      </c>
      <c r="R4766" s="508">
        <v>2.8000000000000001E-2</v>
      </c>
      <c r="S4766" s="508">
        <v>2.8000000000000001E-2</v>
      </c>
      <c r="T4766" s="508">
        <v>2.8000000000000001E-2</v>
      </c>
      <c r="U4766" s="508">
        <v>2.8000000000000001E-2</v>
      </c>
      <c r="V4766" s="508">
        <v>2.8000000000000001E-2</v>
      </c>
      <c r="W4766" s="508">
        <v>2.8000000000000001E-2</v>
      </c>
      <c r="X4766" s="508">
        <v>2.8000000000000001E-2</v>
      </c>
      <c r="Y4766" s="508">
        <v>2.8000000000000001E-2</v>
      </c>
      <c r="Z4766" s="508">
        <v>2.8000000000000001E-2</v>
      </c>
      <c r="AA4766" s="508">
        <v>2.8000000000000001E-2</v>
      </c>
      <c r="AB4766" s="508">
        <v>2.8000000000000001E-2</v>
      </c>
      <c r="AC4766" s="508">
        <v>2.8000000000000001E-2</v>
      </c>
      <c r="AD4766" s="508">
        <v>2.8000000000000001E-2</v>
      </c>
      <c r="AE4766" s="508">
        <v>2.8000000000000001E-2</v>
      </c>
      <c r="AF4766" s="508">
        <v>2.8000000000000001E-2</v>
      </c>
      <c r="AG4766" s="508">
        <v>2.8000000000000001E-2</v>
      </c>
      <c r="AH4766" s="508">
        <v>2.8000000000000001E-2</v>
      </c>
      <c r="AI4766" s="492">
        <v>2.8000000000000001E-2</v>
      </c>
      <c r="AJ4766" s="485"/>
    </row>
    <row r="4767" spans="2:36">
      <c r="B4767" s="136" t="s">
        <v>490</v>
      </c>
      <c r="C4767" s="132" t="s">
        <v>1367</v>
      </c>
      <c r="D4767" s="132" t="s">
        <v>1379</v>
      </c>
      <c r="E4767" s="508">
        <v>2.5000000000000001E-2</v>
      </c>
      <c r="F4767" s="508">
        <v>2.5000000000000001E-2</v>
      </c>
      <c r="G4767" s="508">
        <v>2.5000000000000001E-2</v>
      </c>
      <c r="H4767" s="508">
        <v>2.5000000000000001E-2</v>
      </c>
      <c r="I4767" s="508">
        <v>2.5000000000000001E-2</v>
      </c>
      <c r="J4767" s="508">
        <v>2.5000000000000001E-2</v>
      </c>
      <c r="K4767" s="508">
        <v>2.5000000000000001E-2</v>
      </c>
      <c r="L4767" s="508">
        <v>2.5000000000000001E-2</v>
      </c>
      <c r="M4767" s="508">
        <v>2.5000000000000001E-2</v>
      </c>
      <c r="N4767" s="508">
        <v>2.5000000000000001E-2</v>
      </c>
      <c r="O4767" s="508">
        <v>2.5000000000000001E-2</v>
      </c>
      <c r="P4767" s="508">
        <v>2.5000000000000001E-2</v>
      </c>
      <c r="Q4767" s="508">
        <v>2.5000000000000001E-2</v>
      </c>
      <c r="R4767" s="508">
        <v>2.5000000000000001E-2</v>
      </c>
      <c r="S4767" s="508">
        <v>2.5000000000000001E-2</v>
      </c>
      <c r="T4767" s="508">
        <v>2.5000000000000001E-2</v>
      </c>
      <c r="U4767" s="508">
        <v>2.5000000000000001E-2</v>
      </c>
      <c r="V4767" s="508">
        <v>2.5000000000000001E-2</v>
      </c>
      <c r="W4767" s="508">
        <v>2.5000000000000001E-2</v>
      </c>
      <c r="X4767" s="508">
        <v>2.5000000000000001E-2</v>
      </c>
      <c r="Y4767" s="508">
        <v>2.5000000000000001E-2</v>
      </c>
      <c r="Z4767" s="508">
        <v>2.5000000000000001E-2</v>
      </c>
      <c r="AA4767" s="508">
        <v>2.5000000000000001E-2</v>
      </c>
      <c r="AB4767" s="508">
        <v>2.5000000000000001E-2</v>
      </c>
      <c r="AC4767" s="508">
        <v>2.5000000000000001E-2</v>
      </c>
      <c r="AD4767" s="508">
        <v>2.5000000000000001E-2</v>
      </c>
      <c r="AE4767" s="508">
        <v>2.5000000000000001E-2</v>
      </c>
      <c r="AF4767" s="508">
        <v>2.5000000000000001E-2</v>
      </c>
      <c r="AG4767" s="508">
        <v>2.5000000000000001E-2</v>
      </c>
      <c r="AH4767" s="508">
        <v>2.5000000000000001E-2</v>
      </c>
      <c r="AI4767" s="492">
        <v>2.5000000000000001E-2</v>
      </c>
      <c r="AJ4767" s="485"/>
    </row>
    <row r="4768" spans="2:36">
      <c r="B4768" s="136" t="s">
        <v>435</v>
      </c>
      <c r="C4768" s="132" t="s">
        <v>1368</v>
      </c>
      <c r="D4768" s="132" t="s">
        <v>1379</v>
      </c>
      <c r="E4768" s="508">
        <v>4.2999999999999997E-2</v>
      </c>
      <c r="F4768" s="508">
        <v>4.2999999999999997E-2</v>
      </c>
      <c r="G4768" s="508">
        <v>4.2999999999999997E-2</v>
      </c>
      <c r="H4768" s="508">
        <v>4.2999999999999997E-2</v>
      </c>
      <c r="I4768" s="508">
        <v>4.2999999999999997E-2</v>
      </c>
      <c r="J4768" s="508">
        <v>4.2999999999999997E-2</v>
      </c>
      <c r="K4768" s="508">
        <v>4.2999999999999997E-2</v>
      </c>
      <c r="L4768" s="508">
        <v>4.3999999999999997E-2</v>
      </c>
      <c r="M4768" s="508">
        <v>4.3999999999999997E-2</v>
      </c>
      <c r="N4768" s="508">
        <v>4.2999999999999997E-2</v>
      </c>
      <c r="O4768" s="508">
        <v>4.2999999999999997E-2</v>
      </c>
      <c r="P4768" s="508">
        <v>4.3999999999999997E-2</v>
      </c>
      <c r="Q4768" s="508">
        <v>4.3999999999999997E-2</v>
      </c>
      <c r="R4768" s="508">
        <v>4.3999999999999997E-2</v>
      </c>
      <c r="S4768" s="508">
        <v>4.3999999999999997E-2</v>
      </c>
      <c r="T4768" s="508">
        <v>4.3999999999999997E-2</v>
      </c>
      <c r="U4768" s="508">
        <v>4.3999999999999997E-2</v>
      </c>
      <c r="V4768" s="508">
        <v>4.3999999999999997E-2</v>
      </c>
      <c r="W4768" s="508">
        <v>4.3999999999999997E-2</v>
      </c>
      <c r="X4768" s="508">
        <v>4.3999999999999997E-2</v>
      </c>
      <c r="Y4768" s="508">
        <v>4.3999999999999997E-2</v>
      </c>
      <c r="Z4768" s="508">
        <v>4.3999999999999997E-2</v>
      </c>
      <c r="AA4768" s="508">
        <v>4.3999999999999997E-2</v>
      </c>
      <c r="AB4768" s="508">
        <v>4.3999999999999997E-2</v>
      </c>
      <c r="AC4768" s="508">
        <v>4.3999999999999997E-2</v>
      </c>
      <c r="AD4768" s="508">
        <v>4.3999999999999997E-2</v>
      </c>
      <c r="AE4768" s="508">
        <v>4.3999999999999997E-2</v>
      </c>
      <c r="AF4768" s="508">
        <v>4.3999999999999997E-2</v>
      </c>
      <c r="AG4768" s="508">
        <v>4.3999999999999997E-2</v>
      </c>
      <c r="AH4768" s="508">
        <v>4.3999999999999997E-2</v>
      </c>
      <c r="AI4768" s="492">
        <v>4.3999999999999997E-2</v>
      </c>
      <c r="AJ4768" s="485"/>
    </row>
    <row r="4769" spans="2:36">
      <c r="B4769" s="136" t="s">
        <v>436</v>
      </c>
      <c r="C4769" s="132" t="s">
        <v>1368</v>
      </c>
      <c r="D4769" s="132" t="s">
        <v>1379</v>
      </c>
      <c r="E4769" s="508">
        <v>4.1000000000000002E-2</v>
      </c>
      <c r="F4769" s="508">
        <v>4.1000000000000002E-2</v>
      </c>
      <c r="G4769" s="508">
        <v>4.1000000000000002E-2</v>
      </c>
      <c r="H4769" s="508">
        <v>4.1000000000000002E-2</v>
      </c>
      <c r="I4769" s="508">
        <v>4.1000000000000002E-2</v>
      </c>
      <c r="J4769" s="508">
        <v>4.1000000000000002E-2</v>
      </c>
      <c r="K4769" s="508">
        <v>4.1000000000000002E-2</v>
      </c>
      <c r="L4769" s="508">
        <v>4.1000000000000002E-2</v>
      </c>
      <c r="M4769" s="508">
        <v>4.1000000000000002E-2</v>
      </c>
      <c r="N4769" s="508">
        <v>4.1000000000000002E-2</v>
      </c>
      <c r="O4769" s="508">
        <v>4.1000000000000002E-2</v>
      </c>
      <c r="P4769" s="508">
        <v>4.1000000000000002E-2</v>
      </c>
      <c r="Q4769" s="508">
        <v>4.1000000000000002E-2</v>
      </c>
      <c r="R4769" s="508">
        <v>4.1000000000000002E-2</v>
      </c>
      <c r="S4769" s="508">
        <v>4.1000000000000002E-2</v>
      </c>
      <c r="T4769" s="508">
        <v>4.1000000000000002E-2</v>
      </c>
      <c r="U4769" s="508">
        <v>4.1000000000000002E-2</v>
      </c>
      <c r="V4769" s="508">
        <v>4.1000000000000002E-2</v>
      </c>
      <c r="W4769" s="508">
        <v>4.1000000000000002E-2</v>
      </c>
      <c r="X4769" s="508">
        <v>4.1000000000000002E-2</v>
      </c>
      <c r="Y4769" s="508">
        <v>4.1000000000000002E-2</v>
      </c>
      <c r="Z4769" s="508">
        <v>4.1000000000000002E-2</v>
      </c>
      <c r="AA4769" s="508">
        <v>4.1000000000000002E-2</v>
      </c>
      <c r="AB4769" s="508">
        <v>4.1000000000000002E-2</v>
      </c>
      <c r="AC4769" s="508">
        <v>4.1000000000000002E-2</v>
      </c>
      <c r="AD4769" s="508">
        <v>4.1000000000000002E-2</v>
      </c>
      <c r="AE4769" s="508">
        <v>4.1000000000000002E-2</v>
      </c>
      <c r="AF4769" s="508">
        <v>4.1000000000000002E-2</v>
      </c>
      <c r="AG4769" s="508">
        <v>4.1000000000000002E-2</v>
      </c>
      <c r="AH4769" s="508">
        <v>4.1000000000000002E-2</v>
      </c>
      <c r="AI4769" s="492">
        <v>4.1000000000000002E-2</v>
      </c>
      <c r="AJ4769" s="485"/>
    </row>
    <row r="4770" spans="2:36">
      <c r="B4770" s="136" t="s">
        <v>437</v>
      </c>
      <c r="C4770" s="132" t="s">
        <v>1368</v>
      </c>
      <c r="D4770" s="132" t="s">
        <v>1379</v>
      </c>
      <c r="E4770" s="508">
        <v>4.5999999999999999E-2</v>
      </c>
      <c r="F4770" s="508">
        <v>4.5999999999999999E-2</v>
      </c>
      <c r="G4770" s="508">
        <v>4.5999999999999999E-2</v>
      </c>
      <c r="H4770" s="508">
        <v>4.5999999999999999E-2</v>
      </c>
      <c r="I4770" s="508">
        <v>4.5999999999999999E-2</v>
      </c>
      <c r="J4770" s="508">
        <v>4.5999999999999999E-2</v>
      </c>
      <c r="K4770" s="508">
        <v>4.5999999999999999E-2</v>
      </c>
      <c r="L4770" s="508">
        <v>4.5999999999999999E-2</v>
      </c>
      <c r="M4770" s="508">
        <v>4.5999999999999999E-2</v>
      </c>
      <c r="N4770" s="508">
        <v>4.5999999999999999E-2</v>
      </c>
      <c r="O4770" s="508">
        <v>4.5999999999999999E-2</v>
      </c>
      <c r="P4770" s="508">
        <v>4.5999999999999999E-2</v>
      </c>
      <c r="Q4770" s="508">
        <v>4.5999999999999999E-2</v>
      </c>
      <c r="R4770" s="508">
        <v>4.5999999999999999E-2</v>
      </c>
      <c r="S4770" s="508">
        <v>4.5999999999999999E-2</v>
      </c>
      <c r="T4770" s="508">
        <v>4.5999999999999999E-2</v>
      </c>
      <c r="U4770" s="508">
        <v>4.5999999999999999E-2</v>
      </c>
      <c r="V4770" s="508">
        <v>4.5999999999999999E-2</v>
      </c>
      <c r="W4770" s="508">
        <v>4.5999999999999999E-2</v>
      </c>
      <c r="X4770" s="508">
        <v>4.5999999999999999E-2</v>
      </c>
      <c r="Y4770" s="508">
        <v>4.5999999999999999E-2</v>
      </c>
      <c r="Z4770" s="508">
        <v>4.5999999999999999E-2</v>
      </c>
      <c r="AA4770" s="508">
        <v>4.5999999999999999E-2</v>
      </c>
      <c r="AB4770" s="508">
        <v>4.5999999999999999E-2</v>
      </c>
      <c r="AC4770" s="508">
        <v>4.5999999999999999E-2</v>
      </c>
      <c r="AD4770" s="508">
        <v>4.5999999999999999E-2</v>
      </c>
      <c r="AE4770" s="508">
        <v>4.5999999999999999E-2</v>
      </c>
      <c r="AF4770" s="508">
        <v>4.5999999999999999E-2</v>
      </c>
      <c r="AG4770" s="508">
        <v>4.5999999999999999E-2</v>
      </c>
      <c r="AH4770" s="508">
        <v>4.5999999999999999E-2</v>
      </c>
      <c r="AI4770" s="492">
        <v>4.5999999999999999E-2</v>
      </c>
      <c r="AJ4770" s="485"/>
    </row>
    <row r="4771" spans="2:36">
      <c r="B4771" s="136" t="s">
        <v>438</v>
      </c>
      <c r="C4771" s="132" t="s">
        <v>1368</v>
      </c>
      <c r="D4771" s="132" t="s">
        <v>1379</v>
      </c>
      <c r="E4771" s="508">
        <v>3.7999999999999999E-2</v>
      </c>
      <c r="F4771" s="508">
        <v>3.7999999999999999E-2</v>
      </c>
      <c r="G4771" s="508">
        <v>3.7999999999999999E-2</v>
      </c>
      <c r="H4771" s="508">
        <v>3.7999999999999999E-2</v>
      </c>
      <c r="I4771" s="508">
        <v>3.7999999999999999E-2</v>
      </c>
      <c r="J4771" s="508">
        <v>3.7999999999999999E-2</v>
      </c>
      <c r="K4771" s="508">
        <v>3.7999999999999999E-2</v>
      </c>
      <c r="L4771" s="508">
        <v>3.7999999999999999E-2</v>
      </c>
      <c r="M4771" s="508">
        <v>3.7999999999999999E-2</v>
      </c>
      <c r="N4771" s="508">
        <v>3.7999999999999999E-2</v>
      </c>
      <c r="O4771" s="508">
        <v>3.7999999999999999E-2</v>
      </c>
      <c r="P4771" s="508">
        <v>3.7999999999999999E-2</v>
      </c>
      <c r="Q4771" s="508">
        <v>3.7999999999999999E-2</v>
      </c>
      <c r="R4771" s="508">
        <v>3.7999999999999999E-2</v>
      </c>
      <c r="S4771" s="508">
        <v>3.7999999999999999E-2</v>
      </c>
      <c r="T4771" s="508">
        <v>3.7999999999999999E-2</v>
      </c>
      <c r="U4771" s="508">
        <v>3.7999999999999999E-2</v>
      </c>
      <c r="V4771" s="508">
        <v>3.7999999999999999E-2</v>
      </c>
      <c r="W4771" s="508">
        <v>3.7999999999999999E-2</v>
      </c>
      <c r="X4771" s="508">
        <v>3.7999999999999999E-2</v>
      </c>
      <c r="Y4771" s="508">
        <v>3.7999999999999999E-2</v>
      </c>
      <c r="Z4771" s="508">
        <v>3.7999999999999999E-2</v>
      </c>
      <c r="AA4771" s="508">
        <v>3.7999999999999999E-2</v>
      </c>
      <c r="AB4771" s="508">
        <v>3.7999999999999999E-2</v>
      </c>
      <c r="AC4771" s="508">
        <v>3.7999999999999999E-2</v>
      </c>
      <c r="AD4771" s="508">
        <v>3.7999999999999999E-2</v>
      </c>
      <c r="AE4771" s="508">
        <v>3.7999999999999999E-2</v>
      </c>
      <c r="AF4771" s="508">
        <v>3.7999999999999999E-2</v>
      </c>
      <c r="AG4771" s="508">
        <v>3.7999999999999999E-2</v>
      </c>
      <c r="AH4771" s="508">
        <v>3.7999999999999999E-2</v>
      </c>
      <c r="AI4771" s="492">
        <v>3.7999999999999999E-2</v>
      </c>
      <c r="AJ4771" s="485"/>
    </row>
    <row r="4772" spans="2:36">
      <c r="B4772" s="136" t="s">
        <v>439</v>
      </c>
      <c r="C4772" s="132" t="s">
        <v>1368</v>
      </c>
      <c r="D4772" s="132" t="s">
        <v>1379</v>
      </c>
      <c r="E4772" s="508">
        <v>4.3999999999999997E-2</v>
      </c>
      <c r="F4772" s="508">
        <v>4.3999999999999997E-2</v>
      </c>
      <c r="G4772" s="508">
        <v>4.3999999999999997E-2</v>
      </c>
      <c r="H4772" s="508">
        <v>4.3999999999999997E-2</v>
      </c>
      <c r="I4772" s="508">
        <v>4.3999999999999997E-2</v>
      </c>
      <c r="J4772" s="508">
        <v>4.3999999999999997E-2</v>
      </c>
      <c r="K4772" s="508">
        <v>4.3999999999999997E-2</v>
      </c>
      <c r="L4772" s="508">
        <v>4.3999999999999997E-2</v>
      </c>
      <c r="M4772" s="508">
        <v>4.3999999999999997E-2</v>
      </c>
      <c r="N4772" s="508">
        <v>4.3999999999999997E-2</v>
      </c>
      <c r="O4772" s="508">
        <v>4.3999999999999997E-2</v>
      </c>
      <c r="P4772" s="508">
        <v>4.3999999999999997E-2</v>
      </c>
      <c r="Q4772" s="508">
        <v>4.3999999999999997E-2</v>
      </c>
      <c r="R4772" s="508">
        <v>4.3999999999999997E-2</v>
      </c>
      <c r="S4772" s="508">
        <v>4.3999999999999997E-2</v>
      </c>
      <c r="T4772" s="508">
        <v>4.3999999999999997E-2</v>
      </c>
      <c r="U4772" s="508">
        <v>4.3999999999999997E-2</v>
      </c>
      <c r="V4772" s="508">
        <v>4.3999999999999997E-2</v>
      </c>
      <c r="W4772" s="508">
        <v>4.3999999999999997E-2</v>
      </c>
      <c r="X4772" s="508">
        <v>4.3999999999999997E-2</v>
      </c>
      <c r="Y4772" s="508">
        <v>4.3999999999999997E-2</v>
      </c>
      <c r="Z4772" s="508">
        <v>4.3999999999999997E-2</v>
      </c>
      <c r="AA4772" s="508">
        <v>4.3999999999999997E-2</v>
      </c>
      <c r="AB4772" s="508">
        <v>4.3999999999999997E-2</v>
      </c>
      <c r="AC4772" s="508">
        <v>4.3999999999999997E-2</v>
      </c>
      <c r="AD4772" s="508">
        <v>4.3999999999999997E-2</v>
      </c>
      <c r="AE4772" s="508">
        <v>4.3999999999999997E-2</v>
      </c>
      <c r="AF4772" s="508">
        <v>4.3999999999999997E-2</v>
      </c>
      <c r="AG4772" s="508">
        <v>4.3999999999999997E-2</v>
      </c>
      <c r="AH4772" s="508">
        <v>4.3999999999999997E-2</v>
      </c>
      <c r="AI4772" s="492">
        <v>4.3999999999999997E-2</v>
      </c>
      <c r="AJ4772" s="485"/>
    </row>
    <row r="4773" spans="2:36">
      <c r="B4773" s="136" t="s">
        <v>440</v>
      </c>
      <c r="C4773" s="132" t="s">
        <v>1368</v>
      </c>
      <c r="D4773" s="132" t="s">
        <v>1379</v>
      </c>
      <c r="E4773" s="508">
        <v>4.2999999999999997E-2</v>
      </c>
      <c r="F4773" s="508">
        <v>4.2999999999999997E-2</v>
      </c>
      <c r="G4773" s="508">
        <v>4.2999999999999997E-2</v>
      </c>
      <c r="H4773" s="508">
        <v>4.2999999999999997E-2</v>
      </c>
      <c r="I4773" s="508">
        <v>4.2999999999999997E-2</v>
      </c>
      <c r="J4773" s="508">
        <v>4.2999999999999997E-2</v>
      </c>
      <c r="K4773" s="508">
        <v>4.2999999999999997E-2</v>
      </c>
      <c r="L4773" s="508">
        <v>4.2999999999999997E-2</v>
      </c>
      <c r="M4773" s="508">
        <v>4.2999999999999997E-2</v>
      </c>
      <c r="N4773" s="508">
        <v>4.2999999999999997E-2</v>
      </c>
      <c r="O4773" s="508">
        <v>4.2999999999999997E-2</v>
      </c>
      <c r="P4773" s="508">
        <v>4.2999999999999997E-2</v>
      </c>
      <c r="Q4773" s="508">
        <v>4.2999999999999997E-2</v>
      </c>
      <c r="R4773" s="508">
        <v>4.2999999999999997E-2</v>
      </c>
      <c r="S4773" s="508">
        <v>4.2999999999999997E-2</v>
      </c>
      <c r="T4773" s="508">
        <v>4.2999999999999997E-2</v>
      </c>
      <c r="U4773" s="508">
        <v>4.2999999999999997E-2</v>
      </c>
      <c r="V4773" s="508">
        <v>4.2999999999999997E-2</v>
      </c>
      <c r="W4773" s="508">
        <v>4.2999999999999997E-2</v>
      </c>
      <c r="X4773" s="508">
        <v>4.2999999999999997E-2</v>
      </c>
      <c r="Y4773" s="508">
        <v>4.2999999999999997E-2</v>
      </c>
      <c r="Z4773" s="508">
        <v>4.2999999999999997E-2</v>
      </c>
      <c r="AA4773" s="508">
        <v>4.2999999999999997E-2</v>
      </c>
      <c r="AB4773" s="508">
        <v>4.2999999999999997E-2</v>
      </c>
      <c r="AC4773" s="508">
        <v>4.2999999999999997E-2</v>
      </c>
      <c r="AD4773" s="508">
        <v>4.2999999999999997E-2</v>
      </c>
      <c r="AE4773" s="508">
        <v>4.2999999999999997E-2</v>
      </c>
      <c r="AF4773" s="508">
        <v>4.2999999999999997E-2</v>
      </c>
      <c r="AG4773" s="508">
        <v>4.2999999999999997E-2</v>
      </c>
      <c r="AH4773" s="508">
        <v>4.2999999999999997E-2</v>
      </c>
      <c r="AI4773" s="492">
        <v>4.2999999999999997E-2</v>
      </c>
      <c r="AJ4773" s="485"/>
    </row>
    <row r="4774" spans="2:36">
      <c r="B4774" s="136" t="s">
        <v>441</v>
      </c>
      <c r="C4774" s="132" t="s">
        <v>1368</v>
      </c>
      <c r="D4774" s="132" t="s">
        <v>1379</v>
      </c>
      <c r="E4774" s="508">
        <v>4.2999999999999997E-2</v>
      </c>
      <c r="F4774" s="508">
        <v>4.2999999999999997E-2</v>
      </c>
      <c r="G4774" s="508">
        <v>4.2999999999999997E-2</v>
      </c>
      <c r="H4774" s="508">
        <v>4.2999999999999997E-2</v>
      </c>
      <c r="I4774" s="508">
        <v>4.2999999999999997E-2</v>
      </c>
      <c r="J4774" s="508">
        <v>4.2999999999999997E-2</v>
      </c>
      <c r="K4774" s="508">
        <v>4.2999999999999997E-2</v>
      </c>
      <c r="L4774" s="508">
        <v>4.3999999999999997E-2</v>
      </c>
      <c r="M4774" s="508">
        <v>4.2999999999999997E-2</v>
      </c>
      <c r="N4774" s="508">
        <v>4.2999999999999997E-2</v>
      </c>
      <c r="O4774" s="508">
        <v>4.2999999999999997E-2</v>
      </c>
      <c r="P4774" s="508">
        <v>4.2999999999999997E-2</v>
      </c>
      <c r="Q4774" s="508">
        <v>4.2999999999999997E-2</v>
      </c>
      <c r="R4774" s="508">
        <v>4.2999999999999997E-2</v>
      </c>
      <c r="S4774" s="508">
        <v>4.2999999999999997E-2</v>
      </c>
      <c r="T4774" s="508">
        <v>4.2999999999999997E-2</v>
      </c>
      <c r="U4774" s="508">
        <v>4.2999999999999997E-2</v>
      </c>
      <c r="V4774" s="508">
        <v>4.2999999999999997E-2</v>
      </c>
      <c r="W4774" s="508">
        <v>4.2999999999999997E-2</v>
      </c>
      <c r="X4774" s="508">
        <v>4.2999999999999997E-2</v>
      </c>
      <c r="Y4774" s="508">
        <v>4.2999999999999997E-2</v>
      </c>
      <c r="Z4774" s="508">
        <v>4.3999999999999997E-2</v>
      </c>
      <c r="AA4774" s="508">
        <v>4.2999999999999997E-2</v>
      </c>
      <c r="AB4774" s="508">
        <v>4.2999999999999997E-2</v>
      </c>
      <c r="AC4774" s="508">
        <v>4.2999999999999997E-2</v>
      </c>
      <c r="AD4774" s="508">
        <v>4.2999999999999997E-2</v>
      </c>
      <c r="AE4774" s="508">
        <v>4.2999999999999997E-2</v>
      </c>
      <c r="AF4774" s="508">
        <v>4.2999999999999997E-2</v>
      </c>
      <c r="AG4774" s="508">
        <v>4.2999999999999997E-2</v>
      </c>
      <c r="AH4774" s="508">
        <v>4.2999999999999997E-2</v>
      </c>
      <c r="AI4774" s="492">
        <v>4.2999999999999997E-2</v>
      </c>
      <c r="AJ4774" s="485"/>
    </row>
    <row r="4775" spans="2:36">
      <c r="B4775" s="136" t="s">
        <v>443</v>
      </c>
      <c r="C4775" s="132" t="s">
        <v>1368</v>
      </c>
      <c r="D4775" s="132" t="s">
        <v>1379</v>
      </c>
      <c r="E4775" s="508">
        <v>4.7E-2</v>
      </c>
      <c r="F4775" s="508">
        <v>4.7E-2</v>
      </c>
      <c r="G4775" s="508">
        <v>4.7E-2</v>
      </c>
      <c r="H4775" s="508">
        <v>4.7E-2</v>
      </c>
      <c r="I4775" s="508">
        <v>4.7E-2</v>
      </c>
      <c r="J4775" s="508">
        <v>4.7E-2</v>
      </c>
      <c r="K4775" s="508">
        <v>4.7E-2</v>
      </c>
      <c r="L4775" s="508">
        <v>4.7E-2</v>
      </c>
      <c r="M4775" s="508">
        <v>4.7E-2</v>
      </c>
      <c r="N4775" s="508">
        <v>4.7E-2</v>
      </c>
      <c r="O4775" s="508">
        <v>4.7E-2</v>
      </c>
      <c r="P4775" s="508">
        <v>4.7E-2</v>
      </c>
      <c r="Q4775" s="508">
        <v>4.7E-2</v>
      </c>
      <c r="R4775" s="508">
        <v>4.7E-2</v>
      </c>
      <c r="S4775" s="508">
        <v>4.7E-2</v>
      </c>
      <c r="T4775" s="508">
        <v>4.7E-2</v>
      </c>
      <c r="U4775" s="508">
        <v>4.7E-2</v>
      </c>
      <c r="V4775" s="508">
        <v>4.7E-2</v>
      </c>
      <c r="W4775" s="508">
        <v>4.7E-2</v>
      </c>
      <c r="X4775" s="508">
        <v>4.7E-2</v>
      </c>
      <c r="Y4775" s="508">
        <v>4.7E-2</v>
      </c>
      <c r="Z4775" s="508">
        <v>4.7E-2</v>
      </c>
      <c r="AA4775" s="508">
        <v>4.7E-2</v>
      </c>
      <c r="AB4775" s="508">
        <v>4.7E-2</v>
      </c>
      <c r="AC4775" s="508">
        <v>4.7E-2</v>
      </c>
      <c r="AD4775" s="508">
        <v>4.7E-2</v>
      </c>
      <c r="AE4775" s="508">
        <v>4.7E-2</v>
      </c>
      <c r="AF4775" s="508">
        <v>4.7E-2</v>
      </c>
      <c r="AG4775" s="508">
        <v>4.7E-2</v>
      </c>
      <c r="AH4775" s="508">
        <v>4.7E-2</v>
      </c>
      <c r="AI4775" s="492">
        <v>4.7E-2</v>
      </c>
      <c r="AJ4775" s="485"/>
    </row>
    <row r="4776" spans="2:36">
      <c r="B4776" s="136" t="s">
        <v>445</v>
      </c>
      <c r="C4776" s="132" t="s">
        <v>1368</v>
      </c>
      <c r="D4776" s="132" t="s">
        <v>1379</v>
      </c>
      <c r="E4776" s="508">
        <v>5.8000000000000003E-2</v>
      </c>
      <c r="F4776" s="508">
        <v>5.7000000000000002E-2</v>
      </c>
      <c r="G4776" s="508">
        <v>5.8000000000000003E-2</v>
      </c>
      <c r="H4776" s="508">
        <v>5.8000000000000003E-2</v>
      </c>
      <c r="I4776" s="508">
        <v>5.8000000000000003E-2</v>
      </c>
      <c r="J4776" s="508">
        <v>5.8000000000000003E-2</v>
      </c>
      <c r="K4776" s="508">
        <v>5.8000000000000003E-2</v>
      </c>
      <c r="L4776" s="508">
        <v>5.7000000000000002E-2</v>
      </c>
      <c r="M4776" s="508">
        <v>5.7000000000000002E-2</v>
      </c>
      <c r="N4776" s="508">
        <v>5.8000000000000003E-2</v>
      </c>
      <c r="O4776" s="508">
        <v>5.8000000000000003E-2</v>
      </c>
      <c r="P4776" s="508">
        <v>5.7000000000000002E-2</v>
      </c>
      <c r="Q4776" s="508">
        <v>5.7000000000000002E-2</v>
      </c>
      <c r="R4776" s="508">
        <v>5.7000000000000002E-2</v>
      </c>
      <c r="S4776" s="508">
        <v>5.7000000000000002E-2</v>
      </c>
      <c r="T4776" s="508">
        <v>5.7000000000000002E-2</v>
      </c>
      <c r="U4776" s="508">
        <v>5.7000000000000002E-2</v>
      </c>
      <c r="V4776" s="508">
        <v>5.7000000000000002E-2</v>
      </c>
      <c r="W4776" s="508">
        <v>5.7000000000000002E-2</v>
      </c>
      <c r="X4776" s="508">
        <v>5.7000000000000002E-2</v>
      </c>
      <c r="Y4776" s="508">
        <v>5.7000000000000002E-2</v>
      </c>
      <c r="Z4776" s="508">
        <v>5.7000000000000002E-2</v>
      </c>
      <c r="AA4776" s="508">
        <v>5.7000000000000002E-2</v>
      </c>
      <c r="AB4776" s="508">
        <v>5.7000000000000002E-2</v>
      </c>
      <c r="AC4776" s="508">
        <v>5.7000000000000002E-2</v>
      </c>
      <c r="AD4776" s="508">
        <v>5.7000000000000002E-2</v>
      </c>
      <c r="AE4776" s="508">
        <v>5.7000000000000002E-2</v>
      </c>
      <c r="AF4776" s="508">
        <v>5.7000000000000002E-2</v>
      </c>
      <c r="AG4776" s="508">
        <v>5.7000000000000002E-2</v>
      </c>
      <c r="AH4776" s="508">
        <v>5.7000000000000002E-2</v>
      </c>
      <c r="AI4776" s="492">
        <v>5.7000000000000002E-2</v>
      </c>
      <c r="AJ4776" s="485"/>
    </row>
    <row r="4777" spans="2:36">
      <c r="B4777" s="136" t="s">
        <v>446</v>
      </c>
      <c r="C4777" s="132" t="s">
        <v>1368</v>
      </c>
      <c r="D4777" s="132" t="s">
        <v>1379</v>
      </c>
      <c r="E4777" s="508">
        <v>5.1999999999999998E-2</v>
      </c>
      <c r="F4777" s="508">
        <v>5.1999999999999998E-2</v>
      </c>
      <c r="G4777" s="508">
        <v>5.1999999999999998E-2</v>
      </c>
      <c r="H4777" s="508">
        <v>5.1999999999999998E-2</v>
      </c>
      <c r="I4777" s="508">
        <v>5.1999999999999998E-2</v>
      </c>
      <c r="J4777" s="508">
        <v>5.1999999999999998E-2</v>
      </c>
      <c r="K4777" s="508">
        <v>5.1999999999999998E-2</v>
      </c>
      <c r="L4777" s="508">
        <v>5.1999999999999998E-2</v>
      </c>
      <c r="M4777" s="508">
        <v>5.1999999999999998E-2</v>
      </c>
      <c r="N4777" s="508">
        <v>5.1999999999999998E-2</v>
      </c>
      <c r="O4777" s="508">
        <v>5.1999999999999998E-2</v>
      </c>
      <c r="P4777" s="508">
        <v>5.1999999999999998E-2</v>
      </c>
      <c r="Q4777" s="508">
        <v>5.1999999999999998E-2</v>
      </c>
      <c r="R4777" s="508">
        <v>5.1999999999999998E-2</v>
      </c>
      <c r="S4777" s="508">
        <v>5.1999999999999998E-2</v>
      </c>
      <c r="T4777" s="508">
        <v>5.1999999999999998E-2</v>
      </c>
      <c r="U4777" s="508">
        <v>5.1999999999999998E-2</v>
      </c>
      <c r="V4777" s="508">
        <v>5.1999999999999998E-2</v>
      </c>
      <c r="W4777" s="508">
        <v>5.1999999999999998E-2</v>
      </c>
      <c r="X4777" s="508">
        <v>5.1999999999999998E-2</v>
      </c>
      <c r="Y4777" s="508">
        <v>5.1999999999999998E-2</v>
      </c>
      <c r="Z4777" s="508">
        <v>5.1999999999999998E-2</v>
      </c>
      <c r="AA4777" s="508">
        <v>5.1999999999999998E-2</v>
      </c>
      <c r="AB4777" s="508">
        <v>5.1999999999999998E-2</v>
      </c>
      <c r="AC4777" s="508">
        <v>5.1999999999999998E-2</v>
      </c>
      <c r="AD4777" s="508">
        <v>5.1999999999999998E-2</v>
      </c>
      <c r="AE4777" s="508">
        <v>5.1999999999999998E-2</v>
      </c>
      <c r="AF4777" s="508">
        <v>5.1999999999999998E-2</v>
      </c>
      <c r="AG4777" s="508">
        <v>5.1999999999999998E-2</v>
      </c>
      <c r="AH4777" s="508">
        <v>5.1999999999999998E-2</v>
      </c>
      <c r="AI4777" s="492">
        <v>5.1999999999999998E-2</v>
      </c>
      <c r="AJ4777" s="485"/>
    </row>
    <row r="4778" spans="2:36">
      <c r="B4778" s="136" t="s">
        <v>448</v>
      </c>
      <c r="C4778" s="132" t="s">
        <v>1368</v>
      </c>
      <c r="D4778" s="132" t="s">
        <v>1379</v>
      </c>
      <c r="E4778" s="508">
        <v>4.1000000000000002E-2</v>
      </c>
      <c r="F4778" s="508">
        <v>4.1000000000000002E-2</v>
      </c>
      <c r="G4778" s="508">
        <v>0.04</v>
      </c>
      <c r="H4778" s="508">
        <v>0.04</v>
      </c>
      <c r="I4778" s="508">
        <v>0.04</v>
      </c>
      <c r="J4778" s="508">
        <v>4.1000000000000002E-2</v>
      </c>
      <c r="K4778" s="508">
        <v>4.1000000000000002E-2</v>
      </c>
      <c r="L4778" s="508">
        <v>0.04</v>
      </c>
      <c r="M4778" s="508">
        <v>4.1000000000000002E-2</v>
      </c>
      <c r="N4778" s="508">
        <v>0.04</v>
      </c>
      <c r="O4778" s="508">
        <v>4.1000000000000002E-2</v>
      </c>
      <c r="P4778" s="508">
        <v>4.1000000000000002E-2</v>
      </c>
      <c r="Q4778" s="508">
        <v>4.1000000000000002E-2</v>
      </c>
      <c r="R4778" s="508">
        <v>0.04</v>
      </c>
      <c r="S4778" s="508">
        <v>4.1000000000000002E-2</v>
      </c>
      <c r="T4778" s="508">
        <v>4.1000000000000002E-2</v>
      </c>
      <c r="U4778" s="508">
        <v>4.1000000000000002E-2</v>
      </c>
      <c r="V4778" s="508">
        <v>4.1000000000000002E-2</v>
      </c>
      <c r="W4778" s="508">
        <v>4.1000000000000002E-2</v>
      </c>
      <c r="X4778" s="508">
        <v>4.1000000000000002E-2</v>
      </c>
      <c r="Y4778" s="508">
        <v>4.1000000000000002E-2</v>
      </c>
      <c r="Z4778" s="508">
        <v>4.1000000000000002E-2</v>
      </c>
      <c r="AA4778" s="508">
        <v>4.1000000000000002E-2</v>
      </c>
      <c r="AB4778" s="508">
        <v>4.1000000000000002E-2</v>
      </c>
      <c r="AC4778" s="508">
        <v>0.04</v>
      </c>
      <c r="AD4778" s="508">
        <v>0.04</v>
      </c>
      <c r="AE4778" s="508">
        <v>4.1000000000000002E-2</v>
      </c>
      <c r="AF4778" s="508">
        <v>4.1000000000000002E-2</v>
      </c>
      <c r="AG4778" s="508">
        <v>4.1000000000000002E-2</v>
      </c>
      <c r="AH4778" s="508">
        <v>4.1000000000000002E-2</v>
      </c>
      <c r="AI4778" s="492">
        <v>4.1000000000000002E-2</v>
      </c>
      <c r="AJ4778" s="485"/>
    </row>
    <row r="4779" spans="2:36">
      <c r="B4779" s="136" t="s">
        <v>449</v>
      </c>
      <c r="C4779" s="132" t="s">
        <v>1368</v>
      </c>
      <c r="D4779" s="132" t="s">
        <v>1379</v>
      </c>
      <c r="E4779" s="508">
        <v>4.9000000000000002E-2</v>
      </c>
      <c r="F4779" s="508">
        <v>4.9000000000000002E-2</v>
      </c>
      <c r="G4779" s="508">
        <v>4.9000000000000002E-2</v>
      </c>
      <c r="H4779" s="508">
        <v>4.8000000000000001E-2</v>
      </c>
      <c r="I4779" s="508">
        <v>4.8000000000000001E-2</v>
      </c>
      <c r="J4779" s="508">
        <v>4.8000000000000001E-2</v>
      </c>
      <c r="K4779" s="508">
        <v>4.8000000000000001E-2</v>
      </c>
      <c r="L4779" s="508">
        <v>4.9000000000000002E-2</v>
      </c>
      <c r="M4779" s="508">
        <v>4.9000000000000002E-2</v>
      </c>
      <c r="N4779" s="508">
        <v>4.9000000000000002E-2</v>
      </c>
      <c r="O4779" s="508">
        <v>4.9000000000000002E-2</v>
      </c>
      <c r="P4779" s="508">
        <v>4.9000000000000002E-2</v>
      </c>
      <c r="Q4779" s="508">
        <v>4.9000000000000002E-2</v>
      </c>
      <c r="R4779" s="508">
        <v>4.9000000000000002E-2</v>
      </c>
      <c r="S4779" s="508">
        <v>4.9000000000000002E-2</v>
      </c>
      <c r="T4779" s="508">
        <v>4.9000000000000002E-2</v>
      </c>
      <c r="U4779" s="508">
        <v>4.9000000000000002E-2</v>
      </c>
      <c r="V4779" s="508">
        <v>4.9000000000000002E-2</v>
      </c>
      <c r="W4779" s="508">
        <v>4.9000000000000002E-2</v>
      </c>
      <c r="X4779" s="508">
        <v>4.9000000000000002E-2</v>
      </c>
      <c r="Y4779" s="508">
        <v>4.9000000000000002E-2</v>
      </c>
      <c r="Z4779" s="508">
        <v>4.9000000000000002E-2</v>
      </c>
      <c r="AA4779" s="508">
        <v>4.9000000000000002E-2</v>
      </c>
      <c r="AB4779" s="508">
        <v>4.9000000000000002E-2</v>
      </c>
      <c r="AC4779" s="508">
        <v>4.9000000000000002E-2</v>
      </c>
      <c r="AD4779" s="508">
        <v>4.9000000000000002E-2</v>
      </c>
      <c r="AE4779" s="508">
        <v>4.9000000000000002E-2</v>
      </c>
      <c r="AF4779" s="508">
        <v>4.9000000000000002E-2</v>
      </c>
      <c r="AG4779" s="508">
        <v>4.9000000000000002E-2</v>
      </c>
      <c r="AH4779" s="508">
        <v>4.9000000000000002E-2</v>
      </c>
      <c r="AI4779" s="492">
        <v>4.9000000000000002E-2</v>
      </c>
      <c r="AJ4779" s="485"/>
    </row>
    <row r="4780" spans="2:36">
      <c r="B4780" s="136" t="s">
        <v>450</v>
      </c>
      <c r="C4780" s="132" t="s">
        <v>1368</v>
      </c>
      <c r="D4780" s="132" t="s">
        <v>1379</v>
      </c>
      <c r="E4780" s="508">
        <v>0.03</v>
      </c>
      <c r="F4780" s="508">
        <v>3.1E-2</v>
      </c>
      <c r="G4780" s="508">
        <v>0.03</v>
      </c>
      <c r="H4780" s="508">
        <v>2.9000000000000001E-2</v>
      </c>
      <c r="I4780" s="508">
        <v>2.9000000000000001E-2</v>
      </c>
      <c r="J4780" s="508">
        <v>2.9000000000000001E-2</v>
      </c>
      <c r="K4780" s="508">
        <v>2.9000000000000001E-2</v>
      </c>
      <c r="L4780" s="508">
        <v>3.3000000000000002E-2</v>
      </c>
      <c r="M4780" s="508">
        <v>3.2000000000000001E-2</v>
      </c>
      <c r="N4780" s="508">
        <v>0.03</v>
      </c>
      <c r="O4780" s="508">
        <v>0.03</v>
      </c>
      <c r="P4780" s="508">
        <v>3.2000000000000001E-2</v>
      </c>
      <c r="Q4780" s="508">
        <v>3.2000000000000001E-2</v>
      </c>
      <c r="R4780" s="508">
        <v>3.2000000000000001E-2</v>
      </c>
      <c r="S4780" s="508">
        <v>3.2000000000000001E-2</v>
      </c>
      <c r="T4780" s="508">
        <v>3.2000000000000001E-2</v>
      </c>
      <c r="U4780" s="508">
        <v>3.2000000000000001E-2</v>
      </c>
      <c r="V4780" s="508">
        <v>3.3000000000000002E-2</v>
      </c>
      <c r="W4780" s="508">
        <v>3.2000000000000001E-2</v>
      </c>
      <c r="X4780" s="508">
        <v>3.2000000000000001E-2</v>
      </c>
      <c r="Y4780" s="508">
        <v>3.3000000000000002E-2</v>
      </c>
      <c r="Z4780" s="508">
        <v>3.3000000000000002E-2</v>
      </c>
      <c r="AA4780" s="508">
        <v>3.3000000000000002E-2</v>
      </c>
      <c r="AB4780" s="508">
        <v>3.3000000000000002E-2</v>
      </c>
      <c r="AC4780" s="508">
        <v>3.2000000000000001E-2</v>
      </c>
      <c r="AD4780" s="508">
        <v>3.2000000000000001E-2</v>
      </c>
      <c r="AE4780" s="508">
        <v>3.3000000000000002E-2</v>
      </c>
      <c r="AF4780" s="508">
        <v>3.3000000000000002E-2</v>
      </c>
      <c r="AG4780" s="508">
        <v>3.3000000000000002E-2</v>
      </c>
      <c r="AH4780" s="508">
        <v>3.3000000000000002E-2</v>
      </c>
      <c r="AI4780" s="492">
        <v>3.3000000000000002E-2</v>
      </c>
      <c r="AJ4780" s="485"/>
    </row>
    <row r="4781" spans="2:36">
      <c r="B4781" s="136" t="s">
        <v>451</v>
      </c>
      <c r="C4781" s="132" t="s">
        <v>1368</v>
      </c>
      <c r="D4781" s="132" t="s">
        <v>1379</v>
      </c>
      <c r="E4781" s="508">
        <v>5.1999999999999998E-2</v>
      </c>
      <c r="F4781" s="508">
        <v>5.1999999999999998E-2</v>
      </c>
      <c r="G4781" s="508">
        <v>5.1999999999999998E-2</v>
      </c>
      <c r="H4781" s="508">
        <v>5.1999999999999998E-2</v>
      </c>
      <c r="I4781" s="508">
        <v>5.1999999999999998E-2</v>
      </c>
      <c r="J4781" s="508">
        <v>5.1999999999999998E-2</v>
      </c>
      <c r="K4781" s="508">
        <v>5.1999999999999998E-2</v>
      </c>
      <c r="L4781" s="508">
        <v>5.1999999999999998E-2</v>
      </c>
      <c r="M4781" s="508">
        <v>5.1999999999999998E-2</v>
      </c>
      <c r="N4781" s="508">
        <v>5.1999999999999998E-2</v>
      </c>
      <c r="O4781" s="508">
        <v>5.1999999999999998E-2</v>
      </c>
      <c r="P4781" s="508">
        <v>5.1999999999999998E-2</v>
      </c>
      <c r="Q4781" s="508">
        <v>5.1999999999999998E-2</v>
      </c>
      <c r="R4781" s="508">
        <v>5.1999999999999998E-2</v>
      </c>
      <c r="S4781" s="508">
        <v>5.1999999999999998E-2</v>
      </c>
      <c r="T4781" s="508">
        <v>5.1999999999999998E-2</v>
      </c>
      <c r="U4781" s="508">
        <v>5.1999999999999998E-2</v>
      </c>
      <c r="V4781" s="508">
        <v>5.1999999999999998E-2</v>
      </c>
      <c r="W4781" s="508">
        <v>5.1999999999999998E-2</v>
      </c>
      <c r="X4781" s="508">
        <v>5.1999999999999998E-2</v>
      </c>
      <c r="Y4781" s="508">
        <v>5.1999999999999998E-2</v>
      </c>
      <c r="Z4781" s="508">
        <v>5.1999999999999998E-2</v>
      </c>
      <c r="AA4781" s="508">
        <v>5.1999999999999998E-2</v>
      </c>
      <c r="AB4781" s="508">
        <v>5.1999999999999998E-2</v>
      </c>
      <c r="AC4781" s="508">
        <v>5.1999999999999998E-2</v>
      </c>
      <c r="AD4781" s="508">
        <v>5.1999999999999998E-2</v>
      </c>
      <c r="AE4781" s="508">
        <v>5.1999999999999998E-2</v>
      </c>
      <c r="AF4781" s="508">
        <v>5.1999999999999998E-2</v>
      </c>
      <c r="AG4781" s="508">
        <v>5.1999999999999998E-2</v>
      </c>
      <c r="AH4781" s="508">
        <v>5.1999999999999998E-2</v>
      </c>
      <c r="AI4781" s="492">
        <v>5.1999999999999998E-2</v>
      </c>
      <c r="AJ4781" s="485"/>
    </row>
    <row r="4782" spans="2:36">
      <c r="B4782" s="136" t="s">
        <v>452</v>
      </c>
      <c r="C4782" s="132" t="s">
        <v>1368</v>
      </c>
      <c r="D4782" s="132" t="s">
        <v>1379</v>
      </c>
      <c r="E4782" s="508">
        <v>4.5999999999999999E-2</v>
      </c>
      <c r="F4782" s="508">
        <v>4.5999999999999999E-2</v>
      </c>
      <c r="G4782" s="508">
        <v>4.5999999999999999E-2</v>
      </c>
      <c r="H4782" s="508">
        <v>4.5999999999999999E-2</v>
      </c>
      <c r="I4782" s="508">
        <v>4.5999999999999999E-2</v>
      </c>
      <c r="J4782" s="508">
        <v>4.5999999999999999E-2</v>
      </c>
      <c r="K4782" s="508">
        <v>4.5999999999999999E-2</v>
      </c>
      <c r="L4782" s="508">
        <v>4.5999999999999999E-2</v>
      </c>
      <c r="M4782" s="508">
        <v>4.5999999999999999E-2</v>
      </c>
      <c r="N4782" s="508">
        <v>4.5999999999999999E-2</v>
      </c>
      <c r="O4782" s="508">
        <v>4.5999999999999999E-2</v>
      </c>
      <c r="P4782" s="508">
        <v>4.5999999999999999E-2</v>
      </c>
      <c r="Q4782" s="508">
        <v>4.5999999999999999E-2</v>
      </c>
      <c r="R4782" s="508">
        <v>4.5999999999999999E-2</v>
      </c>
      <c r="S4782" s="508">
        <v>4.5999999999999999E-2</v>
      </c>
      <c r="T4782" s="508">
        <v>4.5999999999999999E-2</v>
      </c>
      <c r="U4782" s="508">
        <v>4.5999999999999999E-2</v>
      </c>
      <c r="V4782" s="508">
        <v>4.5999999999999999E-2</v>
      </c>
      <c r="W4782" s="508">
        <v>4.5999999999999999E-2</v>
      </c>
      <c r="X4782" s="508">
        <v>4.5999999999999999E-2</v>
      </c>
      <c r="Y4782" s="508">
        <v>4.5999999999999999E-2</v>
      </c>
      <c r="Z4782" s="508">
        <v>4.5999999999999999E-2</v>
      </c>
      <c r="AA4782" s="508">
        <v>4.5999999999999999E-2</v>
      </c>
      <c r="AB4782" s="508">
        <v>4.5999999999999999E-2</v>
      </c>
      <c r="AC4782" s="508">
        <v>4.5999999999999999E-2</v>
      </c>
      <c r="AD4782" s="508">
        <v>4.5999999999999999E-2</v>
      </c>
      <c r="AE4782" s="508">
        <v>4.5999999999999999E-2</v>
      </c>
      <c r="AF4782" s="508">
        <v>4.5999999999999999E-2</v>
      </c>
      <c r="AG4782" s="508">
        <v>4.5999999999999999E-2</v>
      </c>
      <c r="AH4782" s="508">
        <v>4.5999999999999999E-2</v>
      </c>
      <c r="AI4782" s="492">
        <v>4.5999999999999999E-2</v>
      </c>
      <c r="AJ4782" s="485"/>
    </row>
    <row r="4783" spans="2:36">
      <c r="B4783" s="136" t="s">
        <v>453</v>
      </c>
      <c r="C4783" s="132" t="s">
        <v>1368</v>
      </c>
      <c r="D4783" s="132" t="s">
        <v>1379</v>
      </c>
      <c r="E4783" s="508">
        <v>3.9E-2</v>
      </c>
      <c r="F4783" s="508">
        <v>3.9E-2</v>
      </c>
      <c r="G4783" s="508">
        <v>3.9E-2</v>
      </c>
      <c r="H4783" s="508">
        <v>3.9E-2</v>
      </c>
      <c r="I4783" s="508">
        <v>3.9E-2</v>
      </c>
      <c r="J4783" s="508">
        <v>3.9E-2</v>
      </c>
      <c r="K4783" s="508">
        <v>3.9E-2</v>
      </c>
      <c r="L4783" s="508">
        <v>3.9E-2</v>
      </c>
      <c r="M4783" s="508">
        <v>3.9E-2</v>
      </c>
      <c r="N4783" s="508">
        <v>3.9E-2</v>
      </c>
      <c r="O4783" s="508">
        <v>3.9E-2</v>
      </c>
      <c r="P4783" s="508">
        <v>3.9E-2</v>
      </c>
      <c r="Q4783" s="508">
        <v>3.9E-2</v>
      </c>
      <c r="R4783" s="508">
        <v>3.9E-2</v>
      </c>
      <c r="S4783" s="508">
        <v>3.9E-2</v>
      </c>
      <c r="T4783" s="508">
        <v>3.9E-2</v>
      </c>
      <c r="U4783" s="508">
        <v>3.9E-2</v>
      </c>
      <c r="V4783" s="508">
        <v>3.9E-2</v>
      </c>
      <c r="W4783" s="508">
        <v>3.9E-2</v>
      </c>
      <c r="X4783" s="508">
        <v>3.9E-2</v>
      </c>
      <c r="Y4783" s="508">
        <v>3.9E-2</v>
      </c>
      <c r="Z4783" s="508">
        <v>3.9E-2</v>
      </c>
      <c r="AA4783" s="508">
        <v>3.9E-2</v>
      </c>
      <c r="AB4783" s="508">
        <v>3.9E-2</v>
      </c>
      <c r="AC4783" s="508">
        <v>3.9E-2</v>
      </c>
      <c r="AD4783" s="508">
        <v>3.9E-2</v>
      </c>
      <c r="AE4783" s="508">
        <v>3.9E-2</v>
      </c>
      <c r="AF4783" s="508">
        <v>3.9E-2</v>
      </c>
      <c r="AG4783" s="508">
        <v>3.9E-2</v>
      </c>
      <c r="AH4783" s="508">
        <v>3.9E-2</v>
      </c>
      <c r="AI4783" s="492">
        <v>3.9E-2</v>
      </c>
      <c r="AJ4783" s="485"/>
    </row>
    <row r="4784" spans="2:36">
      <c r="B4784" s="136" t="s">
        <v>454</v>
      </c>
      <c r="C4784" s="132" t="s">
        <v>1368</v>
      </c>
      <c r="D4784" s="132" t="s">
        <v>1379</v>
      </c>
      <c r="E4784" s="508">
        <v>0.04</v>
      </c>
      <c r="F4784" s="508">
        <v>0.04</v>
      </c>
      <c r="G4784" s="508">
        <v>0.04</v>
      </c>
      <c r="H4784" s="508">
        <v>0.04</v>
      </c>
      <c r="I4784" s="508">
        <v>0.04</v>
      </c>
      <c r="J4784" s="508">
        <v>0.04</v>
      </c>
      <c r="K4784" s="508">
        <v>0.04</v>
      </c>
      <c r="L4784" s="508">
        <v>0.04</v>
      </c>
      <c r="M4784" s="508">
        <v>0.04</v>
      </c>
      <c r="N4784" s="508">
        <v>0.04</v>
      </c>
      <c r="O4784" s="508">
        <v>0.04</v>
      </c>
      <c r="P4784" s="508">
        <v>0.04</v>
      </c>
      <c r="Q4784" s="508">
        <v>0.04</v>
      </c>
      <c r="R4784" s="508">
        <v>0.04</v>
      </c>
      <c r="S4784" s="508">
        <v>0.04</v>
      </c>
      <c r="T4784" s="508">
        <v>0.04</v>
      </c>
      <c r="U4784" s="508">
        <v>0.04</v>
      </c>
      <c r="V4784" s="508">
        <v>0.04</v>
      </c>
      <c r="W4784" s="508">
        <v>0.04</v>
      </c>
      <c r="X4784" s="508">
        <v>0.04</v>
      </c>
      <c r="Y4784" s="508">
        <v>0.04</v>
      </c>
      <c r="Z4784" s="508">
        <v>0.04</v>
      </c>
      <c r="AA4784" s="508">
        <v>0.04</v>
      </c>
      <c r="AB4784" s="508">
        <v>0.04</v>
      </c>
      <c r="AC4784" s="508">
        <v>0.04</v>
      </c>
      <c r="AD4784" s="508">
        <v>0.04</v>
      </c>
      <c r="AE4784" s="508">
        <v>0.04</v>
      </c>
      <c r="AF4784" s="508">
        <v>0.04</v>
      </c>
      <c r="AG4784" s="508">
        <v>0.04</v>
      </c>
      <c r="AH4784" s="508">
        <v>0.04</v>
      </c>
      <c r="AI4784" s="492">
        <v>0.04</v>
      </c>
      <c r="AJ4784" s="485"/>
    </row>
    <row r="4785" spans="2:36">
      <c r="B4785" s="136" t="s">
        <v>455</v>
      </c>
      <c r="C4785" s="132" t="s">
        <v>1368</v>
      </c>
      <c r="D4785" s="132" t="s">
        <v>1379</v>
      </c>
      <c r="E4785" s="508">
        <v>3.6999999999999998E-2</v>
      </c>
      <c r="F4785" s="508">
        <v>3.6999999999999998E-2</v>
      </c>
      <c r="G4785" s="508">
        <v>3.6999999999999998E-2</v>
      </c>
      <c r="H4785" s="508">
        <v>3.6999999999999998E-2</v>
      </c>
      <c r="I4785" s="508">
        <v>3.6999999999999998E-2</v>
      </c>
      <c r="J4785" s="508">
        <v>3.6999999999999998E-2</v>
      </c>
      <c r="K4785" s="508">
        <v>3.6999999999999998E-2</v>
      </c>
      <c r="L4785" s="508">
        <v>3.7999999999999999E-2</v>
      </c>
      <c r="M4785" s="508">
        <v>3.7999999999999999E-2</v>
      </c>
      <c r="N4785" s="508">
        <v>3.6999999999999998E-2</v>
      </c>
      <c r="O4785" s="508">
        <v>3.6999999999999998E-2</v>
      </c>
      <c r="P4785" s="508">
        <v>3.7999999999999999E-2</v>
      </c>
      <c r="Q4785" s="508">
        <v>3.7999999999999999E-2</v>
      </c>
      <c r="R4785" s="508">
        <v>3.7999999999999999E-2</v>
      </c>
      <c r="S4785" s="508">
        <v>3.7999999999999999E-2</v>
      </c>
      <c r="T4785" s="508">
        <v>3.7999999999999999E-2</v>
      </c>
      <c r="U4785" s="508">
        <v>3.7999999999999999E-2</v>
      </c>
      <c r="V4785" s="508">
        <v>3.7999999999999999E-2</v>
      </c>
      <c r="W4785" s="508">
        <v>3.7999999999999999E-2</v>
      </c>
      <c r="X4785" s="508">
        <v>3.7999999999999999E-2</v>
      </c>
      <c r="Y4785" s="508">
        <v>3.7999999999999999E-2</v>
      </c>
      <c r="Z4785" s="508">
        <v>3.7999999999999999E-2</v>
      </c>
      <c r="AA4785" s="508">
        <v>3.7999999999999999E-2</v>
      </c>
      <c r="AB4785" s="508">
        <v>3.7999999999999999E-2</v>
      </c>
      <c r="AC4785" s="508">
        <v>3.7999999999999999E-2</v>
      </c>
      <c r="AD4785" s="508">
        <v>3.7999999999999999E-2</v>
      </c>
      <c r="AE4785" s="508">
        <v>3.7999999999999999E-2</v>
      </c>
      <c r="AF4785" s="508">
        <v>3.7999999999999999E-2</v>
      </c>
      <c r="AG4785" s="508">
        <v>3.7999999999999999E-2</v>
      </c>
      <c r="AH4785" s="508">
        <v>3.7999999999999999E-2</v>
      </c>
      <c r="AI4785" s="492">
        <v>3.7999999999999999E-2</v>
      </c>
      <c r="AJ4785" s="485"/>
    </row>
    <row r="4786" spans="2:36">
      <c r="B4786" s="136" t="s">
        <v>456</v>
      </c>
      <c r="C4786" s="132" t="s">
        <v>1368</v>
      </c>
      <c r="D4786" s="132" t="s">
        <v>1379</v>
      </c>
      <c r="E4786" s="508">
        <v>4.2000000000000003E-2</v>
      </c>
      <c r="F4786" s="508">
        <v>4.2000000000000003E-2</v>
      </c>
      <c r="G4786" s="508">
        <v>4.2000000000000003E-2</v>
      </c>
      <c r="H4786" s="508">
        <v>4.2000000000000003E-2</v>
      </c>
      <c r="I4786" s="508">
        <v>4.2000000000000003E-2</v>
      </c>
      <c r="J4786" s="508">
        <v>4.2000000000000003E-2</v>
      </c>
      <c r="K4786" s="508">
        <v>4.2000000000000003E-2</v>
      </c>
      <c r="L4786" s="508">
        <v>4.2999999999999997E-2</v>
      </c>
      <c r="M4786" s="508">
        <v>4.2000000000000003E-2</v>
      </c>
      <c r="N4786" s="508">
        <v>4.2000000000000003E-2</v>
      </c>
      <c r="O4786" s="508">
        <v>4.2000000000000003E-2</v>
      </c>
      <c r="P4786" s="508">
        <v>4.2000000000000003E-2</v>
      </c>
      <c r="Q4786" s="508">
        <v>4.2000000000000003E-2</v>
      </c>
      <c r="R4786" s="508">
        <v>4.2000000000000003E-2</v>
      </c>
      <c r="S4786" s="508">
        <v>4.2000000000000003E-2</v>
      </c>
      <c r="T4786" s="508">
        <v>4.2000000000000003E-2</v>
      </c>
      <c r="U4786" s="508">
        <v>4.2000000000000003E-2</v>
      </c>
      <c r="V4786" s="508">
        <v>4.2000000000000003E-2</v>
      </c>
      <c r="W4786" s="508">
        <v>4.2000000000000003E-2</v>
      </c>
      <c r="X4786" s="508">
        <v>4.2000000000000003E-2</v>
      </c>
      <c r="Y4786" s="508">
        <v>4.2999999999999997E-2</v>
      </c>
      <c r="Z4786" s="508">
        <v>4.2999999999999997E-2</v>
      </c>
      <c r="AA4786" s="508">
        <v>4.2000000000000003E-2</v>
      </c>
      <c r="AB4786" s="508">
        <v>4.2000000000000003E-2</v>
      </c>
      <c r="AC4786" s="508">
        <v>4.2000000000000003E-2</v>
      </c>
      <c r="AD4786" s="508">
        <v>4.2000000000000003E-2</v>
      </c>
      <c r="AE4786" s="508">
        <v>4.2000000000000003E-2</v>
      </c>
      <c r="AF4786" s="508">
        <v>4.2000000000000003E-2</v>
      </c>
      <c r="AG4786" s="508">
        <v>4.2000000000000003E-2</v>
      </c>
      <c r="AH4786" s="508">
        <v>4.2000000000000003E-2</v>
      </c>
      <c r="AI4786" s="492">
        <v>4.2000000000000003E-2</v>
      </c>
      <c r="AJ4786" s="485"/>
    </row>
    <row r="4787" spans="2:36">
      <c r="B4787" s="136" t="s">
        <v>457</v>
      </c>
      <c r="C4787" s="132" t="s">
        <v>1368</v>
      </c>
      <c r="D4787" s="132" t="s">
        <v>1379</v>
      </c>
      <c r="E4787" s="508">
        <v>3.5000000000000003E-2</v>
      </c>
      <c r="F4787" s="508">
        <v>3.5000000000000003E-2</v>
      </c>
      <c r="G4787" s="508">
        <v>3.5000000000000003E-2</v>
      </c>
      <c r="H4787" s="508">
        <v>3.5000000000000003E-2</v>
      </c>
      <c r="I4787" s="508">
        <v>3.5000000000000003E-2</v>
      </c>
      <c r="J4787" s="508">
        <v>3.5000000000000003E-2</v>
      </c>
      <c r="K4787" s="508">
        <v>3.5000000000000003E-2</v>
      </c>
      <c r="L4787" s="508">
        <v>3.5000000000000003E-2</v>
      </c>
      <c r="M4787" s="508">
        <v>3.5000000000000003E-2</v>
      </c>
      <c r="N4787" s="508">
        <v>3.5000000000000003E-2</v>
      </c>
      <c r="O4787" s="508">
        <v>3.5000000000000003E-2</v>
      </c>
      <c r="P4787" s="508">
        <v>3.5000000000000003E-2</v>
      </c>
      <c r="Q4787" s="508">
        <v>3.5000000000000003E-2</v>
      </c>
      <c r="R4787" s="508">
        <v>3.5000000000000003E-2</v>
      </c>
      <c r="S4787" s="508">
        <v>3.5000000000000003E-2</v>
      </c>
      <c r="T4787" s="508">
        <v>3.5000000000000003E-2</v>
      </c>
      <c r="U4787" s="508">
        <v>3.5000000000000003E-2</v>
      </c>
      <c r="V4787" s="508">
        <v>3.5000000000000003E-2</v>
      </c>
      <c r="W4787" s="508">
        <v>3.5000000000000003E-2</v>
      </c>
      <c r="X4787" s="508">
        <v>3.5000000000000003E-2</v>
      </c>
      <c r="Y4787" s="508">
        <v>3.5000000000000003E-2</v>
      </c>
      <c r="Z4787" s="508">
        <v>3.5000000000000003E-2</v>
      </c>
      <c r="AA4787" s="508">
        <v>3.5000000000000003E-2</v>
      </c>
      <c r="AB4787" s="508">
        <v>3.5000000000000003E-2</v>
      </c>
      <c r="AC4787" s="508">
        <v>3.5000000000000003E-2</v>
      </c>
      <c r="AD4787" s="508">
        <v>3.5000000000000003E-2</v>
      </c>
      <c r="AE4787" s="508">
        <v>3.5000000000000003E-2</v>
      </c>
      <c r="AF4787" s="508">
        <v>3.5000000000000003E-2</v>
      </c>
      <c r="AG4787" s="508">
        <v>3.5000000000000003E-2</v>
      </c>
      <c r="AH4787" s="508">
        <v>3.5000000000000003E-2</v>
      </c>
      <c r="AI4787" s="492">
        <v>3.5000000000000003E-2</v>
      </c>
      <c r="AJ4787" s="485"/>
    </row>
    <row r="4788" spans="2:36">
      <c r="B4788" s="136" t="s">
        <v>458</v>
      </c>
      <c r="C4788" s="132" t="s">
        <v>1368</v>
      </c>
      <c r="D4788" s="132" t="s">
        <v>1379</v>
      </c>
      <c r="E4788" s="508">
        <v>4.2000000000000003E-2</v>
      </c>
      <c r="F4788" s="508">
        <v>4.2000000000000003E-2</v>
      </c>
      <c r="G4788" s="508">
        <v>4.2000000000000003E-2</v>
      </c>
      <c r="H4788" s="508">
        <v>4.2000000000000003E-2</v>
      </c>
      <c r="I4788" s="508">
        <v>4.2000000000000003E-2</v>
      </c>
      <c r="J4788" s="508">
        <v>4.2000000000000003E-2</v>
      </c>
      <c r="K4788" s="508">
        <v>4.2000000000000003E-2</v>
      </c>
      <c r="L4788" s="508">
        <v>4.2000000000000003E-2</v>
      </c>
      <c r="M4788" s="508">
        <v>4.2000000000000003E-2</v>
      </c>
      <c r="N4788" s="508">
        <v>4.2000000000000003E-2</v>
      </c>
      <c r="O4788" s="508">
        <v>4.2000000000000003E-2</v>
      </c>
      <c r="P4788" s="508">
        <v>4.2000000000000003E-2</v>
      </c>
      <c r="Q4788" s="508">
        <v>4.2000000000000003E-2</v>
      </c>
      <c r="R4788" s="508">
        <v>4.2000000000000003E-2</v>
      </c>
      <c r="S4788" s="508">
        <v>4.2000000000000003E-2</v>
      </c>
      <c r="T4788" s="508">
        <v>4.2000000000000003E-2</v>
      </c>
      <c r="U4788" s="508">
        <v>4.2000000000000003E-2</v>
      </c>
      <c r="V4788" s="508">
        <v>4.2000000000000003E-2</v>
      </c>
      <c r="W4788" s="508">
        <v>4.2000000000000003E-2</v>
      </c>
      <c r="X4788" s="508">
        <v>4.2000000000000003E-2</v>
      </c>
      <c r="Y4788" s="508">
        <v>4.2000000000000003E-2</v>
      </c>
      <c r="Z4788" s="508">
        <v>4.2000000000000003E-2</v>
      </c>
      <c r="AA4788" s="508">
        <v>4.2000000000000003E-2</v>
      </c>
      <c r="AB4788" s="508">
        <v>4.2000000000000003E-2</v>
      </c>
      <c r="AC4788" s="508">
        <v>4.2000000000000003E-2</v>
      </c>
      <c r="AD4788" s="508">
        <v>4.2000000000000003E-2</v>
      </c>
      <c r="AE4788" s="508">
        <v>4.2000000000000003E-2</v>
      </c>
      <c r="AF4788" s="508">
        <v>4.2000000000000003E-2</v>
      </c>
      <c r="AG4788" s="508">
        <v>4.2000000000000003E-2</v>
      </c>
      <c r="AH4788" s="508">
        <v>4.2000000000000003E-2</v>
      </c>
      <c r="AI4788" s="492">
        <v>4.2000000000000003E-2</v>
      </c>
      <c r="AJ4788" s="485"/>
    </row>
    <row r="4789" spans="2:36">
      <c r="B4789" s="136" t="s">
        <v>459</v>
      </c>
      <c r="C4789" s="132" t="s">
        <v>1368</v>
      </c>
      <c r="D4789" s="132" t="s">
        <v>1379</v>
      </c>
      <c r="E4789" s="508">
        <v>4.2000000000000003E-2</v>
      </c>
      <c r="F4789" s="508">
        <v>4.2000000000000003E-2</v>
      </c>
      <c r="G4789" s="508">
        <v>4.2000000000000003E-2</v>
      </c>
      <c r="H4789" s="508">
        <v>4.2000000000000003E-2</v>
      </c>
      <c r="I4789" s="508">
        <v>4.2000000000000003E-2</v>
      </c>
      <c r="J4789" s="508">
        <v>4.2000000000000003E-2</v>
      </c>
      <c r="K4789" s="508">
        <v>4.2000000000000003E-2</v>
      </c>
      <c r="L4789" s="508">
        <v>4.2000000000000003E-2</v>
      </c>
      <c r="M4789" s="508">
        <v>4.2000000000000003E-2</v>
      </c>
      <c r="N4789" s="508">
        <v>4.2000000000000003E-2</v>
      </c>
      <c r="O4789" s="508">
        <v>4.2000000000000003E-2</v>
      </c>
      <c r="P4789" s="508">
        <v>4.2000000000000003E-2</v>
      </c>
      <c r="Q4789" s="508">
        <v>4.2000000000000003E-2</v>
      </c>
      <c r="R4789" s="508">
        <v>4.2000000000000003E-2</v>
      </c>
      <c r="S4789" s="508">
        <v>4.2000000000000003E-2</v>
      </c>
      <c r="T4789" s="508">
        <v>4.2000000000000003E-2</v>
      </c>
      <c r="U4789" s="508">
        <v>4.2000000000000003E-2</v>
      </c>
      <c r="V4789" s="508">
        <v>4.2000000000000003E-2</v>
      </c>
      <c r="W4789" s="508">
        <v>4.2000000000000003E-2</v>
      </c>
      <c r="X4789" s="508">
        <v>4.2000000000000003E-2</v>
      </c>
      <c r="Y4789" s="508">
        <v>4.2000000000000003E-2</v>
      </c>
      <c r="Z4789" s="508">
        <v>4.2000000000000003E-2</v>
      </c>
      <c r="AA4789" s="508">
        <v>4.2000000000000003E-2</v>
      </c>
      <c r="AB4789" s="508">
        <v>4.2000000000000003E-2</v>
      </c>
      <c r="AC4789" s="508">
        <v>4.2000000000000003E-2</v>
      </c>
      <c r="AD4789" s="508">
        <v>4.2000000000000003E-2</v>
      </c>
      <c r="AE4789" s="508">
        <v>4.2000000000000003E-2</v>
      </c>
      <c r="AF4789" s="508">
        <v>4.2000000000000003E-2</v>
      </c>
      <c r="AG4789" s="508">
        <v>4.2000000000000003E-2</v>
      </c>
      <c r="AH4789" s="508">
        <v>4.2000000000000003E-2</v>
      </c>
      <c r="AI4789" s="492">
        <v>4.2000000000000003E-2</v>
      </c>
      <c r="AJ4789" s="485"/>
    </row>
    <row r="4790" spans="2:36">
      <c r="B4790" s="136" t="s">
        <v>460</v>
      </c>
      <c r="C4790" s="132" t="s">
        <v>1368</v>
      </c>
      <c r="D4790" s="132" t="s">
        <v>1379</v>
      </c>
      <c r="E4790" s="508">
        <v>4.3999999999999997E-2</v>
      </c>
      <c r="F4790" s="508">
        <v>4.3999999999999997E-2</v>
      </c>
      <c r="G4790" s="508">
        <v>4.3999999999999997E-2</v>
      </c>
      <c r="H4790" s="508">
        <v>4.3999999999999997E-2</v>
      </c>
      <c r="I4790" s="508">
        <v>4.3999999999999997E-2</v>
      </c>
      <c r="J4790" s="508">
        <v>4.3999999999999997E-2</v>
      </c>
      <c r="K4790" s="508">
        <v>4.3999999999999997E-2</v>
      </c>
      <c r="L4790" s="508">
        <v>4.3999999999999997E-2</v>
      </c>
      <c r="M4790" s="508">
        <v>4.3999999999999997E-2</v>
      </c>
      <c r="N4790" s="508">
        <v>4.3999999999999997E-2</v>
      </c>
      <c r="O4790" s="508">
        <v>4.3999999999999997E-2</v>
      </c>
      <c r="P4790" s="508">
        <v>4.3999999999999997E-2</v>
      </c>
      <c r="Q4790" s="508">
        <v>4.3999999999999997E-2</v>
      </c>
      <c r="R4790" s="508">
        <v>4.3999999999999997E-2</v>
      </c>
      <c r="S4790" s="508">
        <v>4.3999999999999997E-2</v>
      </c>
      <c r="T4790" s="508">
        <v>4.3999999999999997E-2</v>
      </c>
      <c r="U4790" s="508">
        <v>4.3999999999999997E-2</v>
      </c>
      <c r="V4790" s="508">
        <v>4.3999999999999997E-2</v>
      </c>
      <c r="W4790" s="508">
        <v>4.3999999999999997E-2</v>
      </c>
      <c r="X4790" s="508">
        <v>4.3999999999999997E-2</v>
      </c>
      <c r="Y4790" s="508">
        <v>4.3999999999999997E-2</v>
      </c>
      <c r="Z4790" s="508">
        <v>4.3999999999999997E-2</v>
      </c>
      <c r="AA4790" s="508">
        <v>4.3999999999999997E-2</v>
      </c>
      <c r="AB4790" s="508">
        <v>4.3999999999999997E-2</v>
      </c>
      <c r="AC4790" s="508">
        <v>4.3999999999999997E-2</v>
      </c>
      <c r="AD4790" s="508">
        <v>4.3999999999999997E-2</v>
      </c>
      <c r="AE4790" s="508">
        <v>4.3999999999999997E-2</v>
      </c>
      <c r="AF4790" s="508">
        <v>4.3999999999999997E-2</v>
      </c>
      <c r="AG4790" s="508">
        <v>4.3999999999999997E-2</v>
      </c>
      <c r="AH4790" s="508">
        <v>4.3999999999999997E-2</v>
      </c>
      <c r="AI4790" s="492">
        <v>4.3999999999999997E-2</v>
      </c>
      <c r="AJ4790" s="485"/>
    </row>
    <row r="4791" spans="2:36">
      <c r="B4791" s="136" t="s">
        <v>461</v>
      </c>
      <c r="C4791" s="132" t="s">
        <v>1368</v>
      </c>
      <c r="D4791" s="132" t="s">
        <v>1379</v>
      </c>
      <c r="E4791" s="508">
        <v>4.1000000000000002E-2</v>
      </c>
      <c r="F4791" s="508">
        <v>4.1000000000000002E-2</v>
      </c>
      <c r="G4791" s="508">
        <v>4.1000000000000002E-2</v>
      </c>
      <c r="H4791" s="508">
        <v>4.1000000000000002E-2</v>
      </c>
      <c r="I4791" s="508">
        <v>4.1000000000000002E-2</v>
      </c>
      <c r="J4791" s="508">
        <v>4.1000000000000002E-2</v>
      </c>
      <c r="K4791" s="508">
        <v>4.1000000000000002E-2</v>
      </c>
      <c r="L4791" s="508">
        <v>4.1000000000000002E-2</v>
      </c>
      <c r="M4791" s="508">
        <v>4.1000000000000002E-2</v>
      </c>
      <c r="N4791" s="508">
        <v>4.1000000000000002E-2</v>
      </c>
      <c r="O4791" s="508">
        <v>4.1000000000000002E-2</v>
      </c>
      <c r="P4791" s="508">
        <v>4.1000000000000002E-2</v>
      </c>
      <c r="Q4791" s="508">
        <v>4.1000000000000002E-2</v>
      </c>
      <c r="R4791" s="508">
        <v>4.1000000000000002E-2</v>
      </c>
      <c r="S4791" s="508">
        <v>4.1000000000000002E-2</v>
      </c>
      <c r="T4791" s="508">
        <v>4.1000000000000002E-2</v>
      </c>
      <c r="U4791" s="508">
        <v>4.1000000000000002E-2</v>
      </c>
      <c r="V4791" s="508">
        <v>4.1000000000000002E-2</v>
      </c>
      <c r="W4791" s="508">
        <v>4.1000000000000002E-2</v>
      </c>
      <c r="X4791" s="508">
        <v>4.1000000000000002E-2</v>
      </c>
      <c r="Y4791" s="508">
        <v>4.1000000000000002E-2</v>
      </c>
      <c r="Z4791" s="508">
        <v>4.1000000000000002E-2</v>
      </c>
      <c r="AA4791" s="508">
        <v>4.1000000000000002E-2</v>
      </c>
      <c r="AB4791" s="508">
        <v>4.1000000000000002E-2</v>
      </c>
      <c r="AC4791" s="508">
        <v>4.1000000000000002E-2</v>
      </c>
      <c r="AD4791" s="508">
        <v>4.1000000000000002E-2</v>
      </c>
      <c r="AE4791" s="508">
        <v>4.1000000000000002E-2</v>
      </c>
      <c r="AF4791" s="508">
        <v>4.1000000000000002E-2</v>
      </c>
      <c r="AG4791" s="508">
        <v>4.1000000000000002E-2</v>
      </c>
      <c r="AH4791" s="508">
        <v>4.1000000000000002E-2</v>
      </c>
      <c r="AI4791" s="492">
        <v>4.1000000000000002E-2</v>
      </c>
      <c r="AJ4791" s="485"/>
    </row>
    <row r="4792" spans="2:36">
      <c r="B4792" s="136" t="s">
        <v>462</v>
      </c>
      <c r="C4792" s="132" t="s">
        <v>1368</v>
      </c>
      <c r="D4792" s="132" t="s">
        <v>1379</v>
      </c>
      <c r="E4792" s="508">
        <v>0.04</v>
      </c>
      <c r="F4792" s="508">
        <v>0.04</v>
      </c>
      <c r="G4792" s="508">
        <v>0.04</v>
      </c>
      <c r="H4792" s="508">
        <v>0.04</v>
      </c>
      <c r="I4792" s="508">
        <v>0.04</v>
      </c>
      <c r="J4792" s="508">
        <v>0.04</v>
      </c>
      <c r="K4792" s="508">
        <v>0.04</v>
      </c>
      <c r="L4792" s="508">
        <v>0.04</v>
      </c>
      <c r="M4792" s="508">
        <v>0.04</v>
      </c>
      <c r="N4792" s="508">
        <v>0.04</v>
      </c>
      <c r="O4792" s="508">
        <v>0.04</v>
      </c>
      <c r="P4792" s="508">
        <v>0.04</v>
      </c>
      <c r="Q4792" s="508">
        <v>0.04</v>
      </c>
      <c r="R4792" s="508">
        <v>0.04</v>
      </c>
      <c r="S4792" s="508">
        <v>0.04</v>
      </c>
      <c r="T4792" s="508">
        <v>0.04</v>
      </c>
      <c r="U4792" s="508">
        <v>0.04</v>
      </c>
      <c r="V4792" s="508">
        <v>0.04</v>
      </c>
      <c r="W4792" s="508">
        <v>0.04</v>
      </c>
      <c r="X4792" s="508">
        <v>0.04</v>
      </c>
      <c r="Y4792" s="508">
        <v>0.04</v>
      </c>
      <c r="Z4792" s="508">
        <v>0.04</v>
      </c>
      <c r="AA4792" s="508">
        <v>0.04</v>
      </c>
      <c r="AB4792" s="508">
        <v>0.04</v>
      </c>
      <c r="AC4792" s="508">
        <v>0.04</v>
      </c>
      <c r="AD4792" s="508">
        <v>0.04</v>
      </c>
      <c r="AE4792" s="508">
        <v>0.04</v>
      </c>
      <c r="AF4792" s="508">
        <v>0.04</v>
      </c>
      <c r="AG4792" s="508">
        <v>0.04</v>
      </c>
      <c r="AH4792" s="508">
        <v>0.04</v>
      </c>
      <c r="AI4792" s="492">
        <v>0.04</v>
      </c>
      <c r="AJ4792" s="485"/>
    </row>
    <row r="4793" spans="2:36">
      <c r="B4793" s="136" t="s">
        <v>463</v>
      </c>
      <c r="C4793" s="132" t="s">
        <v>1368</v>
      </c>
      <c r="D4793" s="132" t="s">
        <v>1379</v>
      </c>
      <c r="E4793" s="508">
        <v>3.5000000000000003E-2</v>
      </c>
      <c r="F4793" s="508">
        <v>3.5000000000000003E-2</v>
      </c>
      <c r="G4793" s="508">
        <v>3.5000000000000003E-2</v>
      </c>
      <c r="H4793" s="508">
        <v>3.5000000000000003E-2</v>
      </c>
      <c r="I4793" s="508">
        <v>3.5000000000000003E-2</v>
      </c>
      <c r="J4793" s="508">
        <v>3.5000000000000003E-2</v>
      </c>
      <c r="K4793" s="508">
        <v>3.5000000000000003E-2</v>
      </c>
      <c r="L4793" s="508">
        <v>3.5999999999999997E-2</v>
      </c>
      <c r="M4793" s="508">
        <v>3.5000000000000003E-2</v>
      </c>
      <c r="N4793" s="508">
        <v>3.5000000000000003E-2</v>
      </c>
      <c r="O4793" s="508">
        <v>3.5000000000000003E-2</v>
      </c>
      <c r="P4793" s="508">
        <v>3.5999999999999997E-2</v>
      </c>
      <c r="Q4793" s="508">
        <v>3.5000000000000003E-2</v>
      </c>
      <c r="R4793" s="508">
        <v>3.5000000000000003E-2</v>
      </c>
      <c r="S4793" s="508">
        <v>3.5000000000000003E-2</v>
      </c>
      <c r="T4793" s="508">
        <v>3.5000000000000003E-2</v>
      </c>
      <c r="U4793" s="508">
        <v>3.5000000000000003E-2</v>
      </c>
      <c r="V4793" s="508">
        <v>3.5999999999999997E-2</v>
      </c>
      <c r="W4793" s="508">
        <v>3.5999999999999997E-2</v>
      </c>
      <c r="X4793" s="508">
        <v>3.5999999999999997E-2</v>
      </c>
      <c r="Y4793" s="508">
        <v>3.5999999999999997E-2</v>
      </c>
      <c r="Z4793" s="508">
        <v>3.5999999999999997E-2</v>
      </c>
      <c r="AA4793" s="508">
        <v>3.5999999999999997E-2</v>
      </c>
      <c r="AB4793" s="508">
        <v>3.5999999999999997E-2</v>
      </c>
      <c r="AC4793" s="508">
        <v>3.5999999999999997E-2</v>
      </c>
      <c r="AD4793" s="508">
        <v>3.5000000000000003E-2</v>
      </c>
      <c r="AE4793" s="508">
        <v>3.5999999999999997E-2</v>
      </c>
      <c r="AF4793" s="508">
        <v>3.5999999999999997E-2</v>
      </c>
      <c r="AG4793" s="508">
        <v>3.5999999999999997E-2</v>
      </c>
      <c r="AH4793" s="508">
        <v>3.5999999999999997E-2</v>
      </c>
      <c r="AI4793" s="492">
        <v>3.5999999999999997E-2</v>
      </c>
      <c r="AJ4793" s="485"/>
    </row>
    <row r="4794" spans="2:36">
      <c r="B4794" s="136" t="s">
        <v>464</v>
      </c>
      <c r="C4794" s="132" t="s">
        <v>1368</v>
      </c>
      <c r="D4794" s="132" t="s">
        <v>1379</v>
      </c>
      <c r="E4794" s="508">
        <v>3.5000000000000003E-2</v>
      </c>
      <c r="F4794" s="508">
        <v>3.5000000000000003E-2</v>
      </c>
      <c r="G4794" s="508">
        <v>3.5000000000000003E-2</v>
      </c>
      <c r="H4794" s="508">
        <v>3.5000000000000003E-2</v>
      </c>
      <c r="I4794" s="508">
        <v>3.5000000000000003E-2</v>
      </c>
      <c r="J4794" s="508">
        <v>3.5000000000000003E-2</v>
      </c>
      <c r="K4794" s="508">
        <v>3.5000000000000003E-2</v>
      </c>
      <c r="L4794" s="508">
        <v>3.5999999999999997E-2</v>
      </c>
      <c r="M4794" s="508">
        <v>3.5999999999999997E-2</v>
      </c>
      <c r="N4794" s="508">
        <v>3.5000000000000003E-2</v>
      </c>
      <c r="O4794" s="508">
        <v>3.5000000000000003E-2</v>
      </c>
      <c r="P4794" s="508">
        <v>3.5999999999999997E-2</v>
      </c>
      <c r="Q4794" s="508">
        <v>3.5000000000000003E-2</v>
      </c>
      <c r="R4794" s="508">
        <v>3.5999999999999997E-2</v>
      </c>
      <c r="S4794" s="508">
        <v>3.5999999999999997E-2</v>
      </c>
      <c r="T4794" s="508">
        <v>3.5999999999999997E-2</v>
      </c>
      <c r="U4794" s="508">
        <v>3.5000000000000003E-2</v>
      </c>
      <c r="V4794" s="508">
        <v>3.5999999999999997E-2</v>
      </c>
      <c r="W4794" s="508">
        <v>3.5999999999999997E-2</v>
      </c>
      <c r="X4794" s="508">
        <v>3.5999999999999997E-2</v>
      </c>
      <c r="Y4794" s="508">
        <v>3.5999999999999997E-2</v>
      </c>
      <c r="Z4794" s="508">
        <v>3.5999999999999997E-2</v>
      </c>
      <c r="AA4794" s="508">
        <v>3.5999999999999997E-2</v>
      </c>
      <c r="AB4794" s="508">
        <v>3.5999999999999997E-2</v>
      </c>
      <c r="AC4794" s="508">
        <v>3.5999999999999997E-2</v>
      </c>
      <c r="AD4794" s="508">
        <v>3.5999999999999997E-2</v>
      </c>
      <c r="AE4794" s="508">
        <v>3.5999999999999997E-2</v>
      </c>
      <c r="AF4794" s="508">
        <v>3.5999999999999997E-2</v>
      </c>
      <c r="AG4794" s="508">
        <v>3.5999999999999997E-2</v>
      </c>
      <c r="AH4794" s="508">
        <v>3.5999999999999997E-2</v>
      </c>
      <c r="AI4794" s="492">
        <v>3.5999999999999997E-2</v>
      </c>
      <c r="AJ4794" s="485"/>
    </row>
    <row r="4795" spans="2:36">
      <c r="B4795" s="136" t="s">
        <v>465</v>
      </c>
      <c r="C4795" s="132" t="s">
        <v>1368</v>
      </c>
      <c r="D4795" s="132" t="s">
        <v>1379</v>
      </c>
      <c r="E4795" s="508">
        <v>3.7999999999999999E-2</v>
      </c>
      <c r="F4795" s="508">
        <v>3.7999999999999999E-2</v>
      </c>
      <c r="G4795" s="508">
        <v>3.7999999999999999E-2</v>
      </c>
      <c r="H4795" s="508">
        <v>3.7999999999999999E-2</v>
      </c>
      <c r="I4795" s="508">
        <v>3.7999999999999999E-2</v>
      </c>
      <c r="J4795" s="508">
        <v>3.7999999999999999E-2</v>
      </c>
      <c r="K4795" s="508">
        <v>3.7999999999999999E-2</v>
      </c>
      <c r="L4795" s="508">
        <v>3.7999999999999999E-2</v>
      </c>
      <c r="M4795" s="508">
        <v>3.7999999999999999E-2</v>
      </c>
      <c r="N4795" s="508">
        <v>3.7999999999999999E-2</v>
      </c>
      <c r="O4795" s="508">
        <v>3.7999999999999999E-2</v>
      </c>
      <c r="P4795" s="508">
        <v>3.7999999999999999E-2</v>
      </c>
      <c r="Q4795" s="508">
        <v>3.7999999999999999E-2</v>
      </c>
      <c r="R4795" s="508">
        <v>3.7999999999999999E-2</v>
      </c>
      <c r="S4795" s="508">
        <v>3.7999999999999999E-2</v>
      </c>
      <c r="T4795" s="508">
        <v>3.7999999999999999E-2</v>
      </c>
      <c r="U4795" s="508">
        <v>3.7999999999999999E-2</v>
      </c>
      <c r="V4795" s="508">
        <v>3.7999999999999999E-2</v>
      </c>
      <c r="W4795" s="508">
        <v>3.7999999999999999E-2</v>
      </c>
      <c r="X4795" s="508">
        <v>3.7999999999999999E-2</v>
      </c>
      <c r="Y4795" s="508">
        <v>3.7999999999999999E-2</v>
      </c>
      <c r="Z4795" s="508">
        <v>3.7999999999999999E-2</v>
      </c>
      <c r="AA4795" s="508">
        <v>3.7999999999999999E-2</v>
      </c>
      <c r="AB4795" s="508">
        <v>3.7999999999999999E-2</v>
      </c>
      <c r="AC4795" s="508">
        <v>3.7999999999999999E-2</v>
      </c>
      <c r="AD4795" s="508">
        <v>3.7999999999999999E-2</v>
      </c>
      <c r="AE4795" s="508">
        <v>3.7999999999999999E-2</v>
      </c>
      <c r="AF4795" s="508">
        <v>3.7999999999999999E-2</v>
      </c>
      <c r="AG4795" s="508">
        <v>3.7999999999999999E-2</v>
      </c>
      <c r="AH4795" s="508">
        <v>3.7999999999999999E-2</v>
      </c>
      <c r="AI4795" s="492">
        <v>3.7999999999999999E-2</v>
      </c>
      <c r="AJ4795" s="485"/>
    </row>
    <row r="4796" spans="2:36">
      <c r="B4796" s="136" t="s">
        <v>466</v>
      </c>
      <c r="C4796" s="132" t="s">
        <v>1368</v>
      </c>
      <c r="D4796" s="132" t="s">
        <v>1379</v>
      </c>
      <c r="E4796" s="508">
        <v>4.9000000000000002E-2</v>
      </c>
      <c r="F4796" s="508">
        <v>4.9000000000000002E-2</v>
      </c>
      <c r="G4796" s="508">
        <v>4.9000000000000002E-2</v>
      </c>
      <c r="H4796" s="508">
        <v>4.9000000000000002E-2</v>
      </c>
      <c r="I4796" s="508">
        <v>4.9000000000000002E-2</v>
      </c>
      <c r="J4796" s="508">
        <v>4.9000000000000002E-2</v>
      </c>
      <c r="K4796" s="508">
        <v>4.9000000000000002E-2</v>
      </c>
      <c r="L4796" s="508">
        <v>4.9000000000000002E-2</v>
      </c>
      <c r="M4796" s="508">
        <v>4.9000000000000002E-2</v>
      </c>
      <c r="N4796" s="508">
        <v>4.9000000000000002E-2</v>
      </c>
      <c r="O4796" s="508">
        <v>4.9000000000000002E-2</v>
      </c>
      <c r="P4796" s="508">
        <v>4.9000000000000002E-2</v>
      </c>
      <c r="Q4796" s="508">
        <v>4.9000000000000002E-2</v>
      </c>
      <c r="R4796" s="508">
        <v>4.9000000000000002E-2</v>
      </c>
      <c r="S4796" s="508">
        <v>4.9000000000000002E-2</v>
      </c>
      <c r="T4796" s="508">
        <v>4.9000000000000002E-2</v>
      </c>
      <c r="U4796" s="508">
        <v>4.9000000000000002E-2</v>
      </c>
      <c r="V4796" s="508">
        <v>4.9000000000000002E-2</v>
      </c>
      <c r="W4796" s="508">
        <v>4.9000000000000002E-2</v>
      </c>
      <c r="X4796" s="508">
        <v>4.9000000000000002E-2</v>
      </c>
      <c r="Y4796" s="508">
        <v>4.9000000000000002E-2</v>
      </c>
      <c r="Z4796" s="508">
        <v>4.9000000000000002E-2</v>
      </c>
      <c r="AA4796" s="508">
        <v>4.9000000000000002E-2</v>
      </c>
      <c r="AB4796" s="508">
        <v>4.9000000000000002E-2</v>
      </c>
      <c r="AC4796" s="508">
        <v>4.9000000000000002E-2</v>
      </c>
      <c r="AD4796" s="508">
        <v>4.9000000000000002E-2</v>
      </c>
      <c r="AE4796" s="508">
        <v>4.9000000000000002E-2</v>
      </c>
      <c r="AF4796" s="508">
        <v>4.9000000000000002E-2</v>
      </c>
      <c r="AG4796" s="508">
        <v>4.9000000000000002E-2</v>
      </c>
      <c r="AH4796" s="508">
        <v>4.9000000000000002E-2</v>
      </c>
      <c r="AI4796" s="492">
        <v>4.9000000000000002E-2</v>
      </c>
      <c r="AJ4796" s="485"/>
    </row>
    <row r="4797" spans="2:36">
      <c r="B4797" s="136" t="s">
        <v>467</v>
      </c>
      <c r="C4797" s="132" t="s">
        <v>1368</v>
      </c>
      <c r="D4797" s="132" t="s">
        <v>1379</v>
      </c>
      <c r="E4797" s="508">
        <v>0.04</v>
      </c>
      <c r="F4797" s="508">
        <v>0.04</v>
      </c>
      <c r="G4797" s="508">
        <v>0.04</v>
      </c>
      <c r="H4797" s="508">
        <v>0.04</v>
      </c>
      <c r="I4797" s="508">
        <v>0.04</v>
      </c>
      <c r="J4797" s="508">
        <v>0.04</v>
      </c>
      <c r="K4797" s="508">
        <v>0.04</v>
      </c>
      <c r="L4797" s="508">
        <v>4.1000000000000002E-2</v>
      </c>
      <c r="M4797" s="508">
        <v>4.1000000000000002E-2</v>
      </c>
      <c r="N4797" s="508">
        <v>0.04</v>
      </c>
      <c r="O4797" s="508">
        <v>0.04</v>
      </c>
      <c r="P4797" s="508">
        <v>4.1000000000000002E-2</v>
      </c>
      <c r="Q4797" s="508">
        <v>0.04</v>
      </c>
      <c r="R4797" s="508">
        <v>4.1000000000000002E-2</v>
      </c>
      <c r="S4797" s="508">
        <v>4.1000000000000002E-2</v>
      </c>
      <c r="T4797" s="508">
        <v>4.1000000000000002E-2</v>
      </c>
      <c r="U4797" s="508">
        <v>4.1000000000000002E-2</v>
      </c>
      <c r="V4797" s="508">
        <v>4.1000000000000002E-2</v>
      </c>
      <c r="W4797" s="508">
        <v>4.1000000000000002E-2</v>
      </c>
      <c r="X4797" s="508">
        <v>4.1000000000000002E-2</v>
      </c>
      <c r="Y4797" s="508">
        <v>4.1000000000000002E-2</v>
      </c>
      <c r="Z4797" s="508">
        <v>4.1000000000000002E-2</v>
      </c>
      <c r="AA4797" s="508">
        <v>4.1000000000000002E-2</v>
      </c>
      <c r="AB4797" s="508">
        <v>4.1000000000000002E-2</v>
      </c>
      <c r="AC4797" s="508">
        <v>4.1000000000000002E-2</v>
      </c>
      <c r="AD4797" s="508">
        <v>4.1000000000000002E-2</v>
      </c>
      <c r="AE4797" s="508">
        <v>4.1000000000000002E-2</v>
      </c>
      <c r="AF4797" s="508">
        <v>4.1000000000000002E-2</v>
      </c>
      <c r="AG4797" s="508">
        <v>4.1000000000000002E-2</v>
      </c>
      <c r="AH4797" s="508">
        <v>4.1000000000000002E-2</v>
      </c>
      <c r="AI4797" s="492">
        <v>4.1000000000000002E-2</v>
      </c>
      <c r="AJ4797" s="485"/>
    </row>
    <row r="4798" spans="2:36">
      <c r="B4798" s="136" t="s">
        <v>468</v>
      </c>
      <c r="C4798" s="132" t="s">
        <v>1368</v>
      </c>
      <c r="D4798" s="132" t="s">
        <v>1379</v>
      </c>
      <c r="E4798" s="508">
        <v>3.5000000000000003E-2</v>
      </c>
      <c r="F4798" s="508">
        <v>3.5000000000000003E-2</v>
      </c>
      <c r="G4798" s="508">
        <v>3.5000000000000003E-2</v>
      </c>
      <c r="H4798" s="508">
        <v>3.5000000000000003E-2</v>
      </c>
      <c r="I4798" s="508">
        <v>3.5000000000000003E-2</v>
      </c>
      <c r="J4798" s="508">
        <v>3.5000000000000003E-2</v>
      </c>
      <c r="K4798" s="508">
        <v>3.5000000000000003E-2</v>
      </c>
      <c r="L4798" s="508">
        <v>3.5000000000000003E-2</v>
      </c>
      <c r="M4798" s="508">
        <v>3.5000000000000003E-2</v>
      </c>
      <c r="N4798" s="508">
        <v>3.5000000000000003E-2</v>
      </c>
      <c r="O4798" s="508">
        <v>3.5000000000000003E-2</v>
      </c>
      <c r="P4798" s="508">
        <v>3.5000000000000003E-2</v>
      </c>
      <c r="Q4798" s="508">
        <v>3.5000000000000003E-2</v>
      </c>
      <c r="R4798" s="508">
        <v>3.5000000000000003E-2</v>
      </c>
      <c r="S4798" s="508">
        <v>3.5000000000000003E-2</v>
      </c>
      <c r="T4798" s="508">
        <v>3.5000000000000003E-2</v>
      </c>
      <c r="U4798" s="508">
        <v>3.5000000000000003E-2</v>
      </c>
      <c r="V4798" s="508">
        <v>3.5000000000000003E-2</v>
      </c>
      <c r="W4798" s="508">
        <v>3.5000000000000003E-2</v>
      </c>
      <c r="X4798" s="508">
        <v>3.5000000000000003E-2</v>
      </c>
      <c r="Y4798" s="508">
        <v>3.5000000000000003E-2</v>
      </c>
      <c r="Z4798" s="508">
        <v>3.5000000000000003E-2</v>
      </c>
      <c r="AA4798" s="508">
        <v>3.5000000000000003E-2</v>
      </c>
      <c r="AB4798" s="508">
        <v>3.5000000000000003E-2</v>
      </c>
      <c r="AC4798" s="508">
        <v>3.5000000000000003E-2</v>
      </c>
      <c r="AD4798" s="508">
        <v>3.5000000000000003E-2</v>
      </c>
      <c r="AE4798" s="508">
        <v>3.5000000000000003E-2</v>
      </c>
      <c r="AF4798" s="508">
        <v>3.5000000000000003E-2</v>
      </c>
      <c r="AG4798" s="508">
        <v>3.5000000000000003E-2</v>
      </c>
      <c r="AH4798" s="508">
        <v>3.5000000000000003E-2</v>
      </c>
      <c r="AI4798" s="492">
        <v>3.5000000000000003E-2</v>
      </c>
      <c r="AJ4798" s="485"/>
    </row>
    <row r="4799" spans="2:36">
      <c r="B4799" s="136" t="s">
        <v>469</v>
      </c>
      <c r="C4799" s="132" t="s">
        <v>1368</v>
      </c>
      <c r="D4799" s="132" t="s">
        <v>1379</v>
      </c>
      <c r="E4799" s="508">
        <v>3.9E-2</v>
      </c>
      <c r="F4799" s="508">
        <v>3.9E-2</v>
      </c>
      <c r="G4799" s="508">
        <v>3.9E-2</v>
      </c>
      <c r="H4799" s="508">
        <v>3.9E-2</v>
      </c>
      <c r="I4799" s="508">
        <v>3.9E-2</v>
      </c>
      <c r="J4799" s="508">
        <v>3.9E-2</v>
      </c>
      <c r="K4799" s="508">
        <v>3.9E-2</v>
      </c>
      <c r="L4799" s="508">
        <v>0.04</v>
      </c>
      <c r="M4799" s="508">
        <v>0.04</v>
      </c>
      <c r="N4799" s="508">
        <v>3.9E-2</v>
      </c>
      <c r="O4799" s="508">
        <v>3.9E-2</v>
      </c>
      <c r="P4799" s="508">
        <v>0.04</v>
      </c>
      <c r="Q4799" s="508">
        <v>3.9E-2</v>
      </c>
      <c r="R4799" s="508">
        <v>0.04</v>
      </c>
      <c r="S4799" s="508">
        <v>0.04</v>
      </c>
      <c r="T4799" s="508">
        <v>0.04</v>
      </c>
      <c r="U4799" s="508">
        <v>3.9E-2</v>
      </c>
      <c r="V4799" s="508">
        <v>0.04</v>
      </c>
      <c r="W4799" s="508">
        <v>0.04</v>
      </c>
      <c r="X4799" s="508">
        <v>0.04</v>
      </c>
      <c r="Y4799" s="508">
        <v>0.04</v>
      </c>
      <c r="Z4799" s="508">
        <v>0.04</v>
      </c>
      <c r="AA4799" s="508">
        <v>0.04</v>
      </c>
      <c r="AB4799" s="508">
        <v>0.04</v>
      </c>
      <c r="AC4799" s="508">
        <v>0.04</v>
      </c>
      <c r="AD4799" s="508">
        <v>0.04</v>
      </c>
      <c r="AE4799" s="508">
        <v>0.04</v>
      </c>
      <c r="AF4799" s="508">
        <v>0.04</v>
      </c>
      <c r="AG4799" s="508">
        <v>0.04</v>
      </c>
      <c r="AH4799" s="508">
        <v>0.04</v>
      </c>
      <c r="AI4799" s="492">
        <v>0.04</v>
      </c>
      <c r="AJ4799" s="485"/>
    </row>
    <row r="4800" spans="2:36">
      <c r="B4800" s="136" t="s">
        <v>470</v>
      </c>
      <c r="C4800" s="132" t="s">
        <v>1368</v>
      </c>
      <c r="D4800" s="132" t="s">
        <v>1379</v>
      </c>
      <c r="E4800" s="508">
        <v>4.4999999999999998E-2</v>
      </c>
      <c r="F4800" s="508">
        <v>4.4999999999999998E-2</v>
      </c>
      <c r="G4800" s="508">
        <v>4.4999999999999998E-2</v>
      </c>
      <c r="H4800" s="508">
        <v>4.4999999999999998E-2</v>
      </c>
      <c r="I4800" s="508">
        <v>4.4999999999999998E-2</v>
      </c>
      <c r="J4800" s="508">
        <v>4.4999999999999998E-2</v>
      </c>
      <c r="K4800" s="508">
        <v>4.4999999999999998E-2</v>
      </c>
      <c r="L4800" s="508">
        <v>4.4999999999999998E-2</v>
      </c>
      <c r="M4800" s="508">
        <v>4.4999999999999998E-2</v>
      </c>
      <c r="N4800" s="508">
        <v>4.4999999999999998E-2</v>
      </c>
      <c r="O4800" s="508">
        <v>4.4999999999999998E-2</v>
      </c>
      <c r="P4800" s="508">
        <v>4.4999999999999998E-2</v>
      </c>
      <c r="Q4800" s="508">
        <v>4.4999999999999998E-2</v>
      </c>
      <c r="R4800" s="508">
        <v>4.4999999999999998E-2</v>
      </c>
      <c r="S4800" s="508">
        <v>4.4999999999999998E-2</v>
      </c>
      <c r="T4800" s="508">
        <v>4.4999999999999998E-2</v>
      </c>
      <c r="U4800" s="508">
        <v>4.4999999999999998E-2</v>
      </c>
      <c r="V4800" s="508">
        <v>4.4999999999999998E-2</v>
      </c>
      <c r="W4800" s="508">
        <v>4.4999999999999998E-2</v>
      </c>
      <c r="X4800" s="508">
        <v>4.4999999999999998E-2</v>
      </c>
      <c r="Y4800" s="508">
        <v>4.4999999999999998E-2</v>
      </c>
      <c r="Z4800" s="508">
        <v>4.4999999999999998E-2</v>
      </c>
      <c r="AA4800" s="508">
        <v>4.4999999999999998E-2</v>
      </c>
      <c r="AB4800" s="508">
        <v>4.4999999999999998E-2</v>
      </c>
      <c r="AC4800" s="508">
        <v>4.4999999999999998E-2</v>
      </c>
      <c r="AD4800" s="508">
        <v>4.4999999999999998E-2</v>
      </c>
      <c r="AE4800" s="508">
        <v>4.4999999999999998E-2</v>
      </c>
      <c r="AF4800" s="508">
        <v>4.4999999999999998E-2</v>
      </c>
      <c r="AG4800" s="508">
        <v>4.4999999999999998E-2</v>
      </c>
      <c r="AH4800" s="508">
        <v>4.4999999999999998E-2</v>
      </c>
      <c r="AI4800" s="492">
        <v>4.4999999999999998E-2</v>
      </c>
      <c r="AJ4800" s="485"/>
    </row>
    <row r="4801" spans="2:36">
      <c r="B4801" s="136" t="s">
        <v>471</v>
      </c>
      <c r="C4801" s="132" t="s">
        <v>1368</v>
      </c>
      <c r="D4801" s="132" t="s">
        <v>1379</v>
      </c>
      <c r="E4801" s="508">
        <v>4.2999999999999997E-2</v>
      </c>
      <c r="F4801" s="508">
        <v>4.2999999999999997E-2</v>
      </c>
      <c r="G4801" s="508">
        <v>4.2999999999999997E-2</v>
      </c>
      <c r="H4801" s="508">
        <v>4.2999999999999997E-2</v>
      </c>
      <c r="I4801" s="508">
        <v>4.2999999999999997E-2</v>
      </c>
      <c r="J4801" s="508">
        <v>4.2999999999999997E-2</v>
      </c>
      <c r="K4801" s="508">
        <v>4.2999999999999997E-2</v>
      </c>
      <c r="L4801" s="508">
        <v>4.2999999999999997E-2</v>
      </c>
      <c r="M4801" s="508">
        <v>4.2999999999999997E-2</v>
      </c>
      <c r="N4801" s="508">
        <v>4.2999999999999997E-2</v>
      </c>
      <c r="O4801" s="508">
        <v>4.2999999999999997E-2</v>
      </c>
      <c r="P4801" s="508">
        <v>4.2999999999999997E-2</v>
      </c>
      <c r="Q4801" s="508">
        <v>4.2999999999999997E-2</v>
      </c>
      <c r="R4801" s="508">
        <v>4.2999999999999997E-2</v>
      </c>
      <c r="S4801" s="508">
        <v>4.2999999999999997E-2</v>
      </c>
      <c r="T4801" s="508">
        <v>4.2999999999999997E-2</v>
      </c>
      <c r="U4801" s="508">
        <v>4.2999999999999997E-2</v>
      </c>
      <c r="V4801" s="508">
        <v>4.2999999999999997E-2</v>
      </c>
      <c r="W4801" s="508">
        <v>4.2999999999999997E-2</v>
      </c>
      <c r="X4801" s="508">
        <v>4.2999999999999997E-2</v>
      </c>
      <c r="Y4801" s="508">
        <v>4.2999999999999997E-2</v>
      </c>
      <c r="Z4801" s="508">
        <v>4.2999999999999997E-2</v>
      </c>
      <c r="AA4801" s="508">
        <v>4.2999999999999997E-2</v>
      </c>
      <c r="AB4801" s="508">
        <v>4.2999999999999997E-2</v>
      </c>
      <c r="AC4801" s="508">
        <v>4.2999999999999997E-2</v>
      </c>
      <c r="AD4801" s="508">
        <v>4.2999999999999997E-2</v>
      </c>
      <c r="AE4801" s="508">
        <v>4.2999999999999997E-2</v>
      </c>
      <c r="AF4801" s="508">
        <v>4.2999999999999997E-2</v>
      </c>
      <c r="AG4801" s="508">
        <v>4.2999999999999997E-2</v>
      </c>
      <c r="AH4801" s="508">
        <v>4.2999999999999997E-2</v>
      </c>
      <c r="AI4801" s="492">
        <v>4.2999999999999997E-2</v>
      </c>
      <c r="AJ4801" s="485"/>
    </row>
    <row r="4802" spans="2:36">
      <c r="B4802" s="136" t="s">
        <v>472</v>
      </c>
      <c r="C4802" s="132" t="s">
        <v>1368</v>
      </c>
      <c r="D4802" s="132" t="s">
        <v>1379</v>
      </c>
      <c r="E4802" s="508">
        <v>3.5000000000000003E-2</v>
      </c>
      <c r="F4802" s="508">
        <v>3.5000000000000003E-2</v>
      </c>
      <c r="G4802" s="508">
        <v>3.5000000000000003E-2</v>
      </c>
      <c r="H4802" s="508">
        <v>3.5000000000000003E-2</v>
      </c>
      <c r="I4802" s="508">
        <v>3.5000000000000003E-2</v>
      </c>
      <c r="J4802" s="508">
        <v>3.5000000000000003E-2</v>
      </c>
      <c r="K4802" s="508">
        <v>3.5000000000000003E-2</v>
      </c>
      <c r="L4802" s="508">
        <v>3.5999999999999997E-2</v>
      </c>
      <c r="M4802" s="508">
        <v>3.5999999999999997E-2</v>
      </c>
      <c r="N4802" s="508">
        <v>3.5000000000000003E-2</v>
      </c>
      <c r="O4802" s="508">
        <v>3.5000000000000003E-2</v>
      </c>
      <c r="P4802" s="508">
        <v>3.5999999999999997E-2</v>
      </c>
      <c r="Q4802" s="508">
        <v>3.5000000000000003E-2</v>
      </c>
      <c r="R4802" s="508">
        <v>3.5999999999999997E-2</v>
      </c>
      <c r="S4802" s="508">
        <v>3.5999999999999997E-2</v>
      </c>
      <c r="T4802" s="508">
        <v>3.5999999999999997E-2</v>
      </c>
      <c r="U4802" s="508">
        <v>3.5000000000000003E-2</v>
      </c>
      <c r="V4802" s="508">
        <v>3.5999999999999997E-2</v>
      </c>
      <c r="W4802" s="508">
        <v>3.5999999999999997E-2</v>
      </c>
      <c r="X4802" s="508">
        <v>3.5999999999999997E-2</v>
      </c>
      <c r="Y4802" s="508">
        <v>3.5999999999999997E-2</v>
      </c>
      <c r="Z4802" s="508">
        <v>3.5999999999999997E-2</v>
      </c>
      <c r="AA4802" s="508">
        <v>3.5999999999999997E-2</v>
      </c>
      <c r="AB4802" s="508">
        <v>3.5999999999999997E-2</v>
      </c>
      <c r="AC4802" s="508">
        <v>3.5999999999999997E-2</v>
      </c>
      <c r="AD4802" s="508">
        <v>3.5999999999999997E-2</v>
      </c>
      <c r="AE4802" s="508">
        <v>3.5999999999999997E-2</v>
      </c>
      <c r="AF4802" s="508">
        <v>3.5999999999999997E-2</v>
      </c>
      <c r="AG4802" s="508">
        <v>3.5999999999999997E-2</v>
      </c>
      <c r="AH4802" s="508">
        <v>3.5999999999999997E-2</v>
      </c>
      <c r="AI4802" s="492">
        <v>3.5999999999999997E-2</v>
      </c>
      <c r="AJ4802" s="485"/>
    </row>
    <row r="4803" spans="2:36">
      <c r="B4803" s="136" t="s">
        <v>473</v>
      </c>
      <c r="C4803" s="132" t="s">
        <v>1368</v>
      </c>
      <c r="D4803" s="132" t="s">
        <v>1379</v>
      </c>
      <c r="E4803" s="508">
        <v>4.5999999999999999E-2</v>
      </c>
      <c r="F4803" s="508">
        <v>4.5999999999999999E-2</v>
      </c>
      <c r="G4803" s="508">
        <v>4.5999999999999999E-2</v>
      </c>
      <c r="H4803" s="508">
        <v>4.5999999999999999E-2</v>
      </c>
      <c r="I4803" s="508">
        <v>4.5999999999999999E-2</v>
      </c>
      <c r="J4803" s="508">
        <v>4.5999999999999999E-2</v>
      </c>
      <c r="K4803" s="508">
        <v>4.5999999999999999E-2</v>
      </c>
      <c r="L4803" s="508">
        <v>4.5999999999999999E-2</v>
      </c>
      <c r="M4803" s="508">
        <v>4.5999999999999999E-2</v>
      </c>
      <c r="N4803" s="508">
        <v>4.5999999999999999E-2</v>
      </c>
      <c r="O4803" s="508">
        <v>4.5999999999999999E-2</v>
      </c>
      <c r="P4803" s="508">
        <v>4.5999999999999999E-2</v>
      </c>
      <c r="Q4803" s="508">
        <v>4.5999999999999999E-2</v>
      </c>
      <c r="R4803" s="508">
        <v>4.5999999999999999E-2</v>
      </c>
      <c r="S4803" s="508">
        <v>4.5999999999999999E-2</v>
      </c>
      <c r="T4803" s="508">
        <v>4.5999999999999999E-2</v>
      </c>
      <c r="U4803" s="508">
        <v>4.5999999999999999E-2</v>
      </c>
      <c r="V4803" s="508">
        <v>4.5999999999999999E-2</v>
      </c>
      <c r="W4803" s="508">
        <v>4.5999999999999999E-2</v>
      </c>
      <c r="X4803" s="508">
        <v>4.5999999999999999E-2</v>
      </c>
      <c r="Y4803" s="508">
        <v>4.5999999999999999E-2</v>
      </c>
      <c r="Z4803" s="508">
        <v>4.5999999999999999E-2</v>
      </c>
      <c r="AA4803" s="508">
        <v>4.5999999999999999E-2</v>
      </c>
      <c r="AB4803" s="508">
        <v>4.5999999999999999E-2</v>
      </c>
      <c r="AC4803" s="508">
        <v>4.5999999999999999E-2</v>
      </c>
      <c r="AD4803" s="508">
        <v>4.5999999999999999E-2</v>
      </c>
      <c r="AE4803" s="508">
        <v>4.5999999999999999E-2</v>
      </c>
      <c r="AF4803" s="508">
        <v>4.5999999999999999E-2</v>
      </c>
      <c r="AG4803" s="508">
        <v>4.5999999999999999E-2</v>
      </c>
      <c r="AH4803" s="508">
        <v>4.5999999999999999E-2</v>
      </c>
      <c r="AI4803" s="492">
        <v>4.5999999999999999E-2</v>
      </c>
      <c r="AJ4803" s="485"/>
    </row>
    <row r="4804" spans="2:36">
      <c r="B4804" s="136" t="s">
        <v>474</v>
      </c>
      <c r="C4804" s="132" t="s">
        <v>1368</v>
      </c>
      <c r="D4804" s="132" t="s">
        <v>1379</v>
      </c>
      <c r="E4804" s="508">
        <v>4.2000000000000003E-2</v>
      </c>
      <c r="F4804" s="508">
        <v>4.2000000000000003E-2</v>
      </c>
      <c r="G4804" s="508">
        <v>4.2000000000000003E-2</v>
      </c>
      <c r="H4804" s="508">
        <v>4.2000000000000003E-2</v>
      </c>
      <c r="I4804" s="508">
        <v>4.2000000000000003E-2</v>
      </c>
      <c r="J4804" s="508">
        <v>4.2000000000000003E-2</v>
      </c>
      <c r="K4804" s="508">
        <v>4.2000000000000003E-2</v>
      </c>
      <c r="L4804" s="508">
        <v>4.2000000000000003E-2</v>
      </c>
      <c r="M4804" s="508">
        <v>4.2000000000000003E-2</v>
      </c>
      <c r="N4804" s="508">
        <v>4.2000000000000003E-2</v>
      </c>
      <c r="O4804" s="508">
        <v>4.2000000000000003E-2</v>
      </c>
      <c r="P4804" s="508">
        <v>4.2000000000000003E-2</v>
      </c>
      <c r="Q4804" s="508">
        <v>4.2000000000000003E-2</v>
      </c>
      <c r="R4804" s="508">
        <v>4.2000000000000003E-2</v>
      </c>
      <c r="S4804" s="508">
        <v>4.2000000000000003E-2</v>
      </c>
      <c r="T4804" s="508">
        <v>4.2000000000000003E-2</v>
      </c>
      <c r="U4804" s="508">
        <v>4.2000000000000003E-2</v>
      </c>
      <c r="V4804" s="508">
        <v>4.2000000000000003E-2</v>
      </c>
      <c r="W4804" s="508">
        <v>4.2000000000000003E-2</v>
      </c>
      <c r="X4804" s="508">
        <v>4.2000000000000003E-2</v>
      </c>
      <c r="Y4804" s="508">
        <v>4.2000000000000003E-2</v>
      </c>
      <c r="Z4804" s="508">
        <v>4.2000000000000003E-2</v>
      </c>
      <c r="AA4804" s="508">
        <v>4.2000000000000003E-2</v>
      </c>
      <c r="AB4804" s="508">
        <v>4.2000000000000003E-2</v>
      </c>
      <c r="AC4804" s="508">
        <v>4.2000000000000003E-2</v>
      </c>
      <c r="AD4804" s="508">
        <v>4.2000000000000003E-2</v>
      </c>
      <c r="AE4804" s="508">
        <v>4.2000000000000003E-2</v>
      </c>
      <c r="AF4804" s="508">
        <v>4.2000000000000003E-2</v>
      </c>
      <c r="AG4804" s="508">
        <v>4.2000000000000003E-2</v>
      </c>
      <c r="AH4804" s="508">
        <v>4.2000000000000003E-2</v>
      </c>
      <c r="AI4804" s="492">
        <v>4.2000000000000003E-2</v>
      </c>
      <c r="AJ4804" s="485"/>
    </row>
    <row r="4805" spans="2:36">
      <c r="B4805" s="136" t="s">
        <v>475</v>
      </c>
      <c r="C4805" s="132" t="s">
        <v>1368</v>
      </c>
      <c r="D4805" s="132" t="s">
        <v>1379</v>
      </c>
      <c r="E4805" s="508">
        <v>0.04</v>
      </c>
      <c r="F4805" s="508">
        <v>0.04</v>
      </c>
      <c r="G4805" s="508">
        <v>0.04</v>
      </c>
      <c r="H4805" s="508">
        <v>0.04</v>
      </c>
      <c r="I4805" s="508">
        <v>0.04</v>
      </c>
      <c r="J4805" s="508">
        <v>0.04</v>
      </c>
      <c r="K4805" s="508">
        <v>0.04</v>
      </c>
      <c r="L4805" s="508">
        <v>0.04</v>
      </c>
      <c r="M4805" s="508">
        <v>0.04</v>
      </c>
      <c r="N4805" s="508">
        <v>0.04</v>
      </c>
      <c r="O4805" s="508">
        <v>0.04</v>
      </c>
      <c r="P4805" s="508">
        <v>0.04</v>
      </c>
      <c r="Q4805" s="508">
        <v>0.04</v>
      </c>
      <c r="R4805" s="508">
        <v>0.04</v>
      </c>
      <c r="S4805" s="508">
        <v>0.04</v>
      </c>
      <c r="T4805" s="508">
        <v>0.04</v>
      </c>
      <c r="U4805" s="508">
        <v>0.04</v>
      </c>
      <c r="V4805" s="508">
        <v>0.04</v>
      </c>
      <c r="W4805" s="508">
        <v>0.04</v>
      </c>
      <c r="X4805" s="508">
        <v>0.04</v>
      </c>
      <c r="Y4805" s="508">
        <v>0.04</v>
      </c>
      <c r="Z4805" s="508">
        <v>4.1000000000000002E-2</v>
      </c>
      <c r="AA4805" s="508">
        <v>0.04</v>
      </c>
      <c r="AB4805" s="508">
        <v>0.04</v>
      </c>
      <c r="AC4805" s="508">
        <v>0.04</v>
      </c>
      <c r="AD4805" s="508">
        <v>0.04</v>
      </c>
      <c r="AE4805" s="508">
        <v>0.04</v>
      </c>
      <c r="AF4805" s="508">
        <v>0.04</v>
      </c>
      <c r="AG4805" s="508">
        <v>0.04</v>
      </c>
      <c r="AH4805" s="508">
        <v>0.04</v>
      </c>
      <c r="AI4805" s="492">
        <v>0.04</v>
      </c>
      <c r="AJ4805" s="485"/>
    </row>
    <row r="4806" spans="2:36">
      <c r="B4806" s="136" t="s">
        <v>476</v>
      </c>
      <c r="C4806" s="132" t="s">
        <v>1368</v>
      </c>
      <c r="D4806" s="132" t="s">
        <v>1379</v>
      </c>
      <c r="E4806" s="508">
        <v>4.3999999999999997E-2</v>
      </c>
      <c r="F4806" s="508">
        <v>4.3999999999999997E-2</v>
      </c>
      <c r="G4806" s="508">
        <v>4.3999999999999997E-2</v>
      </c>
      <c r="H4806" s="508">
        <v>4.3999999999999997E-2</v>
      </c>
      <c r="I4806" s="508">
        <v>4.3999999999999997E-2</v>
      </c>
      <c r="J4806" s="508">
        <v>4.3999999999999997E-2</v>
      </c>
      <c r="K4806" s="508">
        <v>4.3999999999999997E-2</v>
      </c>
      <c r="L4806" s="508">
        <v>4.3999999999999997E-2</v>
      </c>
      <c r="M4806" s="508">
        <v>4.3999999999999997E-2</v>
      </c>
      <c r="N4806" s="508">
        <v>4.3999999999999997E-2</v>
      </c>
      <c r="O4806" s="508">
        <v>4.3999999999999997E-2</v>
      </c>
      <c r="P4806" s="508">
        <v>4.3999999999999997E-2</v>
      </c>
      <c r="Q4806" s="508">
        <v>4.3999999999999997E-2</v>
      </c>
      <c r="R4806" s="508">
        <v>4.3999999999999997E-2</v>
      </c>
      <c r="S4806" s="508">
        <v>4.3999999999999997E-2</v>
      </c>
      <c r="T4806" s="508">
        <v>4.3999999999999997E-2</v>
      </c>
      <c r="U4806" s="508">
        <v>4.3999999999999997E-2</v>
      </c>
      <c r="V4806" s="508">
        <v>4.3999999999999997E-2</v>
      </c>
      <c r="W4806" s="508">
        <v>4.3999999999999997E-2</v>
      </c>
      <c r="X4806" s="508">
        <v>4.3999999999999997E-2</v>
      </c>
      <c r="Y4806" s="508">
        <v>4.3999999999999997E-2</v>
      </c>
      <c r="Z4806" s="508">
        <v>4.3999999999999997E-2</v>
      </c>
      <c r="AA4806" s="508">
        <v>4.3999999999999997E-2</v>
      </c>
      <c r="AB4806" s="508">
        <v>4.3999999999999997E-2</v>
      </c>
      <c r="AC4806" s="508">
        <v>4.3999999999999997E-2</v>
      </c>
      <c r="AD4806" s="508">
        <v>4.3999999999999997E-2</v>
      </c>
      <c r="AE4806" s="508">
        <v>4.3999999999999997E-2</v>
      </c>
      <c r="AF4806" s="508">
        <v>4.3999999999999997E-2</v>
      </c>
      <c r="AG4806" s="508">
        <v>4.3999999999999997E-2</v>
      </c>
      <c r="AH4806" s="508">
        <v>4.3999999999999997E-2</v>
      </c>
      <c r="AI4806" s="492">
        <v>4.3999999999999997E-2</v>
      </c>
      <c r="AJ4806" s="485"/>
    </row>
    <row r="4807" spans="2:36">
      <c r="B4807" s="136" t="s">
        <v>478</v>
      </c>
      <c r="C4807" s="132" t="s">
        <v>1368</v>
      </c>
      <c r="D4807" s="132" t="s">
        <v>1379</v>
      </c>
      <c r="E4807" s="508">
        <v>4.7E-2</v>
      </c>
      <c r="F4807" s="508">
        <v>4.7E-2</v>
      </c>
      <c r="G4807" s="508">
        <v>4.7E-2</v>
      </c>
      <c r="H4807" s="508">
        <v>4.7E-2</v>
      </c>
      <c r="I4807" s="508">
        <v>4.7E-2</v>
      </c>
      <c r="J4807" s="508">
        <v>4.7E-2</v>
      </c>
      <c r="K4807" s="508">
        <v>4.7E-2</v>
      </c>
      <c r="L4807" s="508">
        <v>4.7E-2</v>
      </c>
      <c r="M4807" s="508">
        <v>4.7E-2</v>
      </c>
      <c r="N4807" s="508">
        <v>4.7E-2</v>
      </c>
      <c r="O4807" s="508">
        <v>4.7E-2</v>
      </c>
      <c r="P4807" s="508">
        <v>4.7E-2</v>
      </c>
      <c r="Q4807" s="508">
        <v>4.7E-2</v>
      </c>
      <c r="R4807" s="508">
        <v>4.7E-2</v>
      </c>
      <c r="S4807" s="508">
        <v>4.7E-2</v>
      </c>
      <c r="T4807" s="508">
        <v>4.7E-2</v>
      </c>
      <c r="U4807" s="508">
        <v>4.7E-2</v>
      </c>
      <c r="V4807" s="508">
        <v>4.7E-2</v>
      </c>
      <c r="W4807" s="508">
        <v>4.7E-2</v>
      </c>
      <c r="X4807" s="508">
        <v>4.7E-2</v>
      </c>
      <c r="Y4807" s="508">
        <v>4.7E-2</v>
      </c>
      <c r="Z4807" s="508">
        <v>4.7E-2</v>
      </c>
      <c r="AA4807" s="508">
        <v>4.7E-2</v>
      </c>
      <c r="AB4807" s="508">
        <v>4.7E-2</v>
      </c>
      <c r="AC4807" s="508">
        <v>4.7E-2</v>
      </c>
      <c r="AD4807" s="508">
        <v>4.7E-2</v>
      </c>
      <c r="AE4807" s="508">
        <v>4.7E-2</v>
      </c>
      <c r="AF4807" s="508">
        <v>4.7E-2</v>
      </c>
      <c r="AG4807" s="508">
        <v>4.7E-2</v>
      </c>
      <c r="AH4807" s="508">
        <v>4.7E-2</v>
      </c>
      <c r="AI4807" s="492">
        <v>4.7E-2</v>
      </c>
      <c r="AJ4807" s="485"/>
    </row>
    <row r="4808" spans="2:36">
      <c r="B4808" s="136" t="s">
        <v>479</v>
      </c>
      <c r="C4808" s="132" t="s">
        <v>1368</v>
      </c>
      <c r="D4808" s="132" t="s">
        <v>1379</v>
      </c>
      <c r="E4808" s="508">
        <v>4.2000000000000003E-2</v>
      </c>
      <c r="F4808" s="508">
        <v>4.2000000000000003E-2</v>
      </c>
      <c r="G4808" s="508">
        <v>4.2000000000000003E-2</v>
      </c>
      <c r="H4808" s="508">
        <v>4.1000000000000002E-2</v>
      </c>
      <c r="I4808" s="508">
        <v>4.1000000000000002E-2</v>
      </c>
      <c r="J4808" s="508">
        <v>4.1000000000000002E-2</v>
      </c>
      <c r="K4808" s="508">
        <v>4.1000000000000002E-2</v>
      </c>
      <c r="L4808" s="508">
        <v>4.2000000000000003E-2</v>
      </c>
      <c r="M4808" s="508">
        <v>4.2000000000000003E-2</v>
      </c>
      <c r="N4808" s="508">
        <v>4.2000000000000003E-2</v>
      </c>
      <c r="O4808" s="508">
        <v>4.2000000000000003E-2</v>
      </c>
      <c r="P4808" s="508">
        <v>4.2000000000000003E-2</v>
      </c>
      <c r="Q4808" s="508">
        <v>4.2000000000000003E-2</v>
      </c>
      <c r="R4808" s="508">
        <v>4.2000000000000003E-2</v>
      </c>
      <c r="S4808" s="508">
        <v>4.2000000000000003E-2</v>
      </c>
      <c r="T4808" s="508">
        <v>4.2000000000000003E-2</v>
      </c>
      <c r="U4808" s="508">
        <v>4.2000000000000003E-2</v>
      </c>
      <c r="V4808" s="508">
        <v>4.2000000000000003E-2</v>
      </c>
      <c r="W4808" s="508">
        <v>4.2000000000000003E-2</v>
      </c>
      <c r="X4808" s="508">
        <v>4.2000000000000003E-2</v>
      </c>
      <c r="Y4808" s="508">
        <v>4.2000000000000003E-2</v>
      </c>
      <c r="Z4808" s="508">
        <v>4.2000000000000003E-2</v>
      </c>
      <c r="AA4808" s="508">
        <v>4.2000000000000003E-2</v>
      </c>
      <c r="AB4808" s="508">
        <v>4.2000000000000003E-2</v>
      </c>
      <c r="AC4808" s="508">
        <v>4.2000000000000003E-2</v>
      </c>
      <c r="AD4808" s="508">
        <v>4.2000000000000003E-2</v>
      </c>
      <c r="AE4808" s="508">
        <v>4.2000000000000003E-2</v>
      </c>
      <c r="AF4808" s="508">
        <v>4.2000000000000003E-2</v>
      </c>
      <c r="AG4808" s="508">
        <v>4.2000000000000003E-2</v>
      </c>
      <c r="AH4808" s="508">
        <v>4.2000000000000003E-2</v>
      </c>
      <c r="AI4808" s="492">
        <v>4.2000000000000003E-2</v>
      </c>
      <c r="AJ4808" s="485"/>
    </row>
    <row r="4809" spans="2:36">
      <c r="B4809" s="136" t="s">
        <v>480</v>
      </c>
      <c r="C4809" s="132" t="s">
        <v>1368</v>
      </c>
      <c r="D4809" s="132" t="s">
        <v>1379</v>
      </c>
      <c r="E4809" s="508">
        <v>3.4000000000000002E-2</v>
      </c>
      <c r="F4809" s="508">
        <v>3.4000000000000002E-2</v>
      </c>
      <c r="G4809" s="508">
        <v>3.4000000000000002E-2</v>
      </c>
      <c r="H4809" s="508">
        <v>3.4000000000000002E-2</v>
      </c>
      <c r="I4809" s="508">
        <v>3.4000000000000002E-2</v>
      </c>
      <c r="J4809" s="508">
        <v>3.4000000000000002E-2</v>
      </c>
      <c r="K4809" s="508">
        <v>3.4000000000000002E-2</v>
      </c>
      <c r="L4809" s="508">
        <v>3.5000000000000003E-2</v>
      </c>
      <c r="M4809" s="508">
        <v>3.4000000000000002E-2</v>
      </c>
      <c r="N4809" s="508">
        <v>3.4000000000000002E-2</v>
      </c>
      <c r="O4809" s="508">
        <v>3.4000000000000002E-2</v>
      </c>
      <c r="P4809" s="508">
        <v>3.4000000000000002E-2</v>
      </c>
      <c r="Q4809" s="508">
        <v>3.4000000000000002E-2</v>
      </c>
      <c r="R4809" s="508">
        <v>3.4000000000000002E-2</v>
      </c>
      <c r="S4809" s="508">
        <v>3.4000000000000002E-2</v>
      </c>
      <c r="T4809" s="508">
        <v>3.4000000000000002E-2</v>
      </c>
      <c r="U4809" s="508">
        <v>3.4000000000000002E-2</v>
      </c>
      <c r="V4809" s="508">
        <v>3.5000000000000003E-2</v>
      </c>
      <c r="W4809" s="508">
        <v>3.5000000000000003E-2</v>
      </c>
      <c r="X4809" s="508">
        <v>3.5000000000000003E-2</v>
      </c>
      <c r="Y4809" s="508">
        <v>3.5000000000000003E-2</v>
      </c>
      <c r="Z4809" s="508">
        <v>3.5000000000000003E-2</v>
      </c>
      <c r="AA4809" s="508">
        <v>3.5000000000000003E-2</v>
      </c>
      <c r="AB4809" s="508">
        <v>3.5000000000000003E-2</v>
      </c>
      <c r="AC4809" s="508">
        <v>3.4000000000000002E-2</v>
      </c>
      <c r="AD4809" s="508">
        <v>3.4000000000000002E-2</v>
      </c>
      <c r="AE4809" s="508">
        <v>3.5000000000000003E-2</v>
      </c>
      <c r="AF4809" s="508">
        <v>3.5000000000000003E-2</v>
      </c>
      <c r="AG4809" s="508">
        <v>3.5000000000000003E-2</v>
      </c>
      <c r="AH4809" s="508">
        <v>3.5000000000000003E-2</v>
      </c>
      <c r="AI4809" s="492">
        <v>3.5000000000000003E-2</v>
      </c>
      <c r="AJ4809" s="485"/>
    </row>
    <row r="4810" spans="2:36">
      <c r="B4810" s="136" t="s">
        <v>481</v>
      </c>
      <c r="C4810" s="132" t="s">
        <v>1368</v>
      </c>
      <c r="D4810" s="132" t="s">
        <v>1379</v>
      </c>
      <c r="E4810" s="508">
        <v>4.2999999999999997E-2</v>
      </c>
      <c r="F4810" s="508">
        <v>4.2999999999999997E-2</v>
      </c>
      <c r="G4810" s="508">
        <v>4.2999999999999997E-2</v>
      </c>
      <c r="H4810" s="508">
        <v>4.2999999999999997E-2</v>
      </c>
      <c r="I4810" s="508">
        <v>4.2999999999999997E-2</v>
      </c>
      <c r="J4810" s="508">
        <v>4.2999999999999997E-2</v>
      </c>
      <c r="K4810" s="508">
        <v>4.2999999999999997E-2</v>
      </c>
      <c r="L4810" s="508">
        <v>4.2999999999999997E-2</v>
      </c>
      <c r="M4810" s="508">
        <v>4.2999999999999997E-2</v>
      </c>
      <c r="N4810" s="508">
        <v>4.2999999999999997E-2</v>
      </c>
      <c r="O4810" s="508">
        <v>4.2999999999999997E-2</v>
      </c>
      <c r="P4810" s="508">
        <v>4.2999999999999997E-2</v>
      </c>
      <c r="Q4810" s="508">
        <v>4.2999999999999997E-2</v>
      </c>
      <c r="R4810" s="508">
        <v>4.2999999999999997E-2</v>
      </c>
      <c r="S4810" s="508">
        <v>4.2999999999999997E-2</v>
      </c>
      <c r="T4810" s="508">
        <v>4.2999999999999997E-2</v>
      </c>
      <c r="U4810" s="508">
        <v>4.2999999999999997E-2</v>
      </c>
      <c r="V4810" s="508">
        <v>4.2999999999999997E-2</v>
      </c>
      <c r="W4810" s="508">
        <v>4.2999999999999997E-2</v>
      </c>
      <c r="X4810" s="508">
        <v>4.2999999999999997E-2</v>
      </c>
      <c r="Y4810" s="508">
        <v>4.2999999999999997E-2</v>
      </c>
      <c r="Z4810" s="508">
        <v>4.2999999999999997E-2</v>
      </c>
      <c r="AA4810" s="508">
        <v>4.2999999999999997E-2</v>
      </c>
      <c r="AB4810" s="508">
        <v>4.2999999999999997E-2</v>
      </c>
      <c r="AC4810" s="508">
        <v>4.2999999999999997E-2</v>
      </c>
      <c r="AD4810" s="508">
        <v>4.2999999999999997E-2</v>
      </c>
      <c r="AE4810" s="508">
        <v>4.2999999999999997E-2</v>
      </c>
      <c r="AF4810" s="508">
        <v>4.2999999999999997E-2</v>
      </c>
      <c r="AG4810" s="508">
        <v>4.2999999999999997E-2</v>
      </c>
      <c r="AH4810" s="508">
        <v>4.2999999999999997E-2</v>
      </c>
      <c r="AI4810" s="492">
        <v>4.2999999999999997E-2</v>
      </c>
      <c r="AJ4810" s="485"/>
    </row>
    <row r="4811" spans="2:36">
      <c r="B4811" s="136" t="s">
        <v>482</v>
      </c>
      <c r="C4811" s="132" t="s">
        <v>1368</v>
      </c>
      <c r="D4811" s="132" t="s">
        <v>1379</v>
      </c>
      <c r="E4811" s="508">
        <v>4.2000000000000003E-2</v>
      </c>
      <c r="F4811" s="508">
        <v>4.2000000000000003E-2</v>
      </c>
      <c r="G4811" s="508">
        <v>4.2000000000000003E-2</v>
      </c>
      <c r="H4811" s="508">
        <v>4.2000000000000003E-2</v>
      </c>
      <c r="I4811" s="508">
        <v>4.2000000000000003E-2</v>
      </c>
      <c r="J4811" s="508">
        <v>4.2000000000000003E-2</v>
      </c>
      <c r="K4811" s="508">
        <v>4.2000000000000003E-2</v>
      </c>
      <c r="L4811" s="508">
        <v>4.2000000000000003E-2</v>
      </c>
      <c r="M4811" s="508">
        <v>4.2000000000000003E-2</v>
      </c>
      <c r="N4811" s="508">
        <v>4.2000000000000003E-2</v>
      </c>
      <c r="O4811" s="508">
        <v>4.2000000000000003E-2</v>
      </c>
      <c r="P4811" s="508">
        <v>4.2000000000000003E-2</v>
      </c>
      <c r="Q4811" s="508">
        <v>4.2000000000000003E-2</v>
      </c>
      <c r="R4811" s="508">
        <v>4.2000000000000003E-2</v>
      </c>
      <c r="S4811" s="508">
        <v>4.2000000000000003E-2</v>
      </c>
      <c r="T4811" s="508">
        <v>4.2000000000000003E-2</v>
      </c>
      <c r="U4811" s="508">
        <v>4.2000000000000003E-2</v>
      </c>
      <c r="V4811" s="508">
        <v>4.2000000000000003E-2</v>
      </c>
      <c r="W4811" s="508">
        <v>4.2000000000000003E-2</v>
      </c>
      <c r="X4811" s="508">
        <v>4.2000000000000003E-2</v>
      </c>
      <c r="Y4811" s="508">
        <v>4.2000000000000003E-2</v>
      </c>
      <c r="Z4811" s="508">
        <v>4.2000000000000003E-2</v>
      </c>
      <c r="AA4811" s="508">
        <v>4.2000000000000003E-2</v>
      </c>
      <c r="AB4811" s="508">
        <v>4.2000000000000003E-2</v>
      </c>
      <c r="AC4811" s="508">
        <v>4.2000000000000003E-2</v>
      </c>
      <c r="AD4811" s="508">
        <v>4.2000000000000003E-2</v>
      </c>
      <c r="AE4811" s="508">
        <v>4.2000000000000003E-2</v>
      </c>
      <c r="AF4811" s="508">
        <v>4.2000000000000003E-2</v>
      </c>
      <c r="AG4811" s="508">
        <v>4.2000000000000003E-2</v>
      </c>
      <c r="AH4811" s="508">
        <v>4.2000000000000003E-2</v>
      </c>
      <c r="AI4811" s="492">
        <v>4.2000000000000003E-2</v>
      </c>
      <c r="AJ4811" s="485"/>
    </row>
    <row r="4812" spans="2:36">
      <c r="B4812" s="136" t="s">
        <v>483</v>
      </c>
      <c r="C4812" s="132" t="s">
        <v>1368</v>
      </c>
      <c r="D4812" s="132" t="s">
        <v>1379</v>
      </c>
      <c r="E4812" s="508">
        <v>4.5999999999999999E-2</v>
      </c>
      <c r="F4812" s="508">
        <v>4.5999999999999999E-2</v>
      </c>
      <c r="G4812" s="508">
        <v>4.5999999999999999E-2</v>
      </c>
      <c r="H4812" s="508">
        <v>4.5999999999999999E-2</v>
      </c>
      <c r="I4812" s="508">
        <v>4.5999999999999999E-2</v>
      </c>
      <c r="J4812" s="508">
        <v>4.5999999999999999E-2</v>
      </c>
      <c r="K4812" s="508">
        <v>4.5999999999999999E-2</v>
      </c>
      <c r="L4812" s="508">
        <v>4.5999999999999999E-2</v>
      </c>
      <c r="M4812" s="508">
        <v>4.5999999999999999E-2</v>
      </c>
      <c r="N4812" s="508">
        <v>4.5999999999999999E-2</v>
      </c>
      <c r="O4812" s="508">
        <v>4.5999999999999999E-2</v>
      </c>
      <c r="P4812" s="508">
        <v>4.5999999999999999E-2</v>
      </c>
      <c r="Q4812" s="508">
        <v>4.5999999999999999E-2</v>
      </c>
      <c r="R4812" s="508">
        <v>4.5999999999999999E-2</v>
      </c>
      <c r="S4812" s="508">
        <v>4.5999999999999999E-2</v>
      </c>
      <c r="T4812" s="508">
        <v>4.5999999999999999E-2</v>
      </c>
      <c r="U4812" s="508">
        <v>4.5999999999999999E-2</v>
      </c>
      <c r="V4812" s="508">
        <v>4.5999999999999999E-2</v>
      </c>
      <c r="W4812" s="508">
        <v>4.5999999999999999E-2</v>
      </c>
      <c r="X4812" s="508">
        <v>4.5999999999999999E-2</v>
      </c>
      <c r="Y4812" s="508">
        <v>4.5999999999999999E-2</v>
      </c>
      <c r="Z4812" s="508">
        <v>4.5999999999999999E-2</v>
      </c>
      <c r="AA4812" s="508">
        <v>4.5999999999999999E-2</v>
      </c>
      <c r="AB4812" s="508">
        <v>4.5999999999999999E-2</v>
      </c>
      <c r="AC4812" s="508">
        <v>4.5999999999999999E-2</v>
      </c>
      <c r="AD4812" s="508">
        <v>4.5999999999999999E-2</v>
      </c>
      <c r="AE4812" s="508">
        <v>4.5999999999999999E-2</v>
      </c>
      <c r="AF4812" s="508">
        <v>4.5999999999999999E-2</v>
      </c>
      <c r="AG4812" s="508">
        <v>4.5999999999999999E-2</v>
      </c>
      <c r="AH4812" s="508">
        <v>4.5999999999999999E-2</v>
      </c>
      <c r="AI4812" s="492">
        <v>4.5999999999999999E-2</v>
      </c>
      <c r="AJ4812" s="485"/>
    </row>
    <row r="4813" spans="2:36">
      <c r="B4813" s="136" t="s">
        <v>484</v>
      </c>
      <c r="C4813" s="132" t="s">
        <v>1368</v>
      </c>
      <c r="D4813" s="132" t="s">
        <v>1379</v>
      </c>
      <c r="E4813" s="508">
        <v>3.5000000000000003E-2</v>
      </c>
      <c r="F4813" s="508">
        <v>3.5000000000000003E-2</v>
      </c>
      <c r="G4813" s="508">
        <v>3.5000000000000003E-2</v>
      </c>
      <c r="H4813" s="508">
        <v>3.5000000000000003E-2</v>
      </c>
      <c r="I4813" s="508">
        <v>3.5000000000000003E-2</v>
      </c>
      <c r="J4813" s="508">
        <v>3.5000000000000003E-2</v>
      </c>
      <c r="K4813" s="508">
        <v>3.5000000000000003E-2</v>
      </c>
      <c r="L4813" s="508">
        <v>3.5000000000000003E-2</v>
      </c>
      <c r="M4813" s="508">
        <v>3.5000000000000003E-2</v>
      </c>
      <c r="N4813" s="508">
        <v>3.5000000000000003E-2</v>
      </c>
      <c r="O4813" s="508">
        <v>3.5000000000000003E-2</v>
      </c>
      <c r="P4813" s="508">
        <v>3.5000000000000003E-2</v>
      </c>
      <c r="Q4813" s="508">
        <v>3.5000000000000003E-2</v>
      </c>
      <c r="R4813" s="508">
        <v>3.5000000000000003E-2</v>
      </c>
      <c r="S4813" s="508">
        <v>3.5000000000000003E-2</v>
      </c>
      <c r="T4813" s="508">
        <v>3.5000000000000003E-2</v>
      </c>
      <c r="U4813" s="508">
        <v>3.5000000000000003E-2</v>
      </c>
      <c r="V4813" s="508">
        <v>3.5000000000000003E-2</v>
      </c>
      <c r="W4813" s="508">
        <v>3.5000000000000003E-2</v>
      </c>
      <c r="X4813" s="508">
        <v>3.5000000000000003E-2</v>
      </c>
      <c r="Y4813" s="508">
        <v>3.5000000000000003E-2</v>
      </c>
      <c r="Z4813" s="508">
        <v>3.5000000000000003E-2</v>
      </c>
      <c r="AA4813" s="508">
        <v>3.5000000000000003E-2</v>
      </c>
      <c r="AB4813" s="508">
        <v>3.5000000000000003E-2</v>
      </c>
      <c r="AC4813" s="508">
        <v>3.5000000000000003E-2</v>
      </c>
      <c r="AD4813" s="508">
        <v>3.5000000000000003E-2</v>
      </c>
      <c r="AE4813" s="508">
        <v>3.5000000000000003E-2</v>
      </c>
      <c r="AF4813" s="508">
        <v>3.5000000000000003E-2</v>
      </c>
      <c r="AG4813" s="508">
        <v>3.5000000000000003E-2</v>
      </c>
      <c r="AH4813" s="508">
        <v>3.5000000000000003E-2</v>
      </c>
      <c r="AI4813" s="492">
        <v>3.5000000000000003E-2</v>
      </c>
      <c r="AJ4813" s="485"/>
    </row>
    <row r="4814" spans="2:36">
      <c r="B4814" s="136" t="s">
        <v>486</v>
      </c>
      <c r="C4814" s="132" t="s">
        <v>1368</v>
      </c>
      <c r="D4814" s="132" t="s">
        <v>1379</v>
      </c>
      <c r="E4814" s="508">
        <v>4.2999999999999997E-2</v>
      </c>
      <c r="F4814" s="508">
        <v>4.2999999999999997E-2</v>
      </c>
      <c r="G4814" s="508">
        <v>4.2999999999999997E-2</v>
      </c>
      <c r="H4814" s="508">
        <v>4.2999999999999997E-2</v>
      </c>
      <c r="I4814" s="508">
        <v>4.2999999999999997E-2</v>
      </c>
      <c r="J4814" s="508">
        <v>4.2999999999999997E-2</v>
      </c>
      <c r="K4814" s="508">
        <v>4.2999999999999997E-2</v>
      </c>
      <c r="L4814" s="508">
        <v>4.2999999999999997E-2</v>
      </c>
      <c r="M4814" s="508">
        <v>4.2999999999999997E-2</v>
      </c>
      <c r="N4814" s="508">
        <v>4.2999999999999997E-2</v>
      </c>
      <c r="O4814" s="508">
        <v>4.2999999999999997E-2</v>
      </c>
      <c r="P4814" s="508">
        <v>4.2999999999999997E-2</v>
      </c>
      <c r="Q4814" s="508">
        <v>4.2999999999999997E-2</v>
      </c>
      <c r="R4814" s="508">
        <v>4.2999999999999997E-2</v>
      </c>
      <c r="S4814" s="508">
        <v>4.2999999999999997E-2</v>
      </c>
      <c r="T4814" s="508">
        <v>4.2999999999999997E-2</v>
      </c>
      <c r="U4814" s="508">
        <v>4.2999999999999997E-2</v>
      </c>
      <c r="V4814" s="508">
        <v>4.2999999999999997E-2</v>
      </c>
      <c r="W4814" s="508">
        <v>4.2999999999999997E-2</v>
      </c>
      <c r="X4814" s="508">
        <v>4.2999999999999997E-2</v>
      </c>
      <c r="Y4814" s="508">
        <v>4.2999999999999997E-2</v>
      </c>
      <c r="Z4814" s="508">
        <v>4.2999999999999997E-2</v>
      </c>
      <c r="AA4814" s="508">
        <v>4.2999999999999997E-2</v>
      </c>
      <c r="AB4814" s="508">
        <v>4.2999999999999997E-2</v>
      </c>
      <c r="AC4814" s="508">
        <v>4.2999999999999997E-2</v>
      </c>
      <c r="AD4814" s="508">
        <v>4.2999999999999997E-2</v>
      </c>
      <c r="AE4814" s="508">
        <v>4.2999999999999997E-2</v>
      </c>
      <c r="AF4814" s="508">
        <v>4.2999999999999997E-2</v>
      </c>
      <c r="AG4814" s="508">
        <v>4.2999999999999997E-2</v>
      </c>
      <c r="AH4814" s="508">
        <v>4.2999999999999997E-2</v>
      </c>
      <c r="AI4814" s="492">
        <v>4.2999999999999997E-2</v>
      </c>
      <c r="AJ4814" s="485"/>
    </row>
    <row r="4815" spans="2:36">
      <c r="B4815" s="136" t="s">
        <v>487</v>
      </c>
      <c r="C4815" s="132" t="s">
        <v>1368</v>
      </c>
      <c r="D4815" s="132" t="s">
        <v>1379</v>
      </c>
      <c r="E4815" s="508">
        <v>4.2000000000000003E-2</v>
      </c>
      <c r="F4815" s="508">
        <v>4.2000000000000003E-2</v>
      </c>
      <c r="G4815" s="508">
        <v>4.2000000000000003E-2</v>
      </c>
      <c r="H4815" s="508">
        <v>4.2000000000000003E-2</v>
      </c>
      <c r="I4815" s="508">
        <v>4.2000000000000003E-2</v>
      </c>
      <c r="J4815" s="508">
        <v>4.2000000000000003E-2</v>
      </c>
      <c r="K4815" s="508">
        <v>4.2000000000000003E-2</v>
      </c>
      <c r="L4815" s="508">
        <v>4.2999999999999997E-2</v>
      </c>
      <c r="M4815" s="508">
        <v>4.2999999999999997E-2</v>
      </c>
      <c r="N4815" s="508">
        <v>4.2000000000000003E-2</v>
      </c>
      <c r="O4815" s="508">
        <v>4.2000000000000003E-2</v>
      </c>
      <c r="P4815" s="508">
        <v>4.2999999999999997E-2</v>
      </c>
      <c r="Q4815" s="508">
        <v>4.2000000000000003E-2</v>
      </c>
      <c r="R4815" s="508">
        <v>4.2999999999999997E-2</v>
      </c>
      <c r="S4815" s="508">
        <v>4.2999999999999997E-2</v>
      </c>
      <c r="T4815" s="508">
        <v>4.2999999999999997E-2</v>
      </c>
      <c r="U4815" s="508">
        <v>4.2999999999999997E-2</v>
      </c>
      <c r="V4815" s="508">
        <v>4.2999999999999997E-2</v>
      </c>
      <c r="W4815" s="508">
        <v>4.2999999999999997E-2</v>
      </c>
      <c r="X4815" s="508">
        <v>4.2999999999999997E-2</v>
      </c>
      <c r="Y4815" s="508">
        <v>4.2999999999999997E-2</v>
      </c>
      <c r="Z4815" s="508">
        <v>4.2999999999999997E-2</v>
      </c>
      <c r="AA4815" s="508">
        <v>4.2999999999999997E-2</v>
      </c>
      <c r="AB4815" s="508">
        <v>4.2999999999999997E-2</v>
      </c>
      <c r="AC4815" s="508">
        <v>4.2999999999999997E-2</v>
      </c>
      <c r="AD4815" s="508">
        <v>4.2999999999999997E-2</v>
      </c>
      <c r="AE4815" s="508">
        <v>4.2999999999999997E-2</v>
      </c>
      <c r="AF4815" s="508">
        <v>4.2999999999999997E-2</v>
      </c>
      <c r="AG4815" s="508">
        <v>4.2999999999999997E-2</v>
      </c>
      <c r="AH4815" s="508">
        <v>4.2999999999999997E-2</v>
      </c>
      <c r="AI4815" s="492">
        <v>4.2999999999999997E-2</v>
      </c>
      <c r="AJ4815" s="485"/>
    </row>
    <row r="4816" spans="2:36">
      <c r="B4816" s="136" t="s">
        <v>488</v>
      </c>
      <c r="C4816" s="132" t="s">
        <v>1368</v>
      </c>
      <c r="D4816" s="132" t="s">
        <v>1379</v>
      </c>
      <c r="E4816" s="508">
        <v>3.6999999999999998E-2</v>
      </c>
      <c r="F4816" s="508">
        <v>3.6999999999999998E-2</v>
      </c>
      <c r="G4816" s="508">
        <v>3.5999999999999997E-2</v>
      </c>
      <c r="H4816" s="508">
        <v>3.5999999999999997E-2</v>
      </c>
      <c r="I4816" s="508">
        <v>3.5999999999999997E-2</v>
      </c>
      <c r="J4816" s="508">
        <v>3.5999999999999997E-2</v>
      </c>
      <c r="K4816" s="508">
        <v>3.5999999999999997E-2</v>
      </c>
      <c r="L4816" s="508">
        <v>3.6999999999999998E-2</v>
      </c>
      <c r="M4816" s="508">
        <v>3.6999999999999998E-2</v>
      </c>
      <c r="N4816" s="508">
        <v>3.5999999999999997E-2</v>
      </c>
      <c r="O4816" s="508">
        <v>3.6999999999999998E-2</v>
      </c>
      <c r="P4816" s="508">
        <v>3.6999999999999998E-2</v>
      </c>
      <c r="Q4816" s="508">
        <v>3.6999999999999998E-2</v>
      </c>
      <c r="R4816" s="508">
        <v>3.6999999999999998E-2</v>
      </c>
      <c r="S4816" s="508">
        <v>3.6999999999999998E-2</v>
      </c>
      <c r="T4816" s="508">
        <v>3.6999999999999998E-2</v>
      </c>
      <c r="U4816" s="508">
        <v>3.6999999999999998E-2</v>
      </c>
      <c r="V4816" s="508">
        <v>3.6999999999999998E-2</v>
      </c>
      <c r="W4816" s="508">
        <v>3.6999999999999998E-2</v>
      </c>
      <c r="X4816" s="508">
        <v>3.6999999999999998E-2</v>
      </c>
      <c r="Y4816" s="508">
        <v>3.6999999999999998E-2</v>
      </c>
      <c r="Z4816" s="508">
        <v>3.6999999999999998E-2</v>
      </c>
      <c r="AA4816" s="508">
        <v>3.6999999999999998E-2</v>
      </c>
      <c r="AB4816" s="508">
        <v>3.6999999999999998E-2</v>
      </c>
      <c r="AC4816" s="508">
        <v>3.6999999999999998E-2</v>
      </c>
      <c r="AD4816" s="508">
        <v>3.6999999999999998E-2</v>
      </c>
      <c r="AE4816" s="508">
        <v>3.6999999999999998E-2</v>
      </c>
      <c r="AF4816" s="508">
        <v>3.6999999999999998E-2</v>
      </c>
      <c r="AG4816" s="508">
        <v>3.6999999999999998E-2</v>
      </c>
      <c r="AH4816" s="508">
        <v>3.6999999999999998E-2</v>
      </c>
      <c r="AI4816" s="492">
        <v>3.6999999999999998E-2</v>
      </c>
      <c r="AJ4816" s="485"/>
    </row>
    <row r="4817" spans="2:36">
      <c r="B4817" s="136" t="s">
        <v>489</v>
      </c>
      <c r="C4817" s="132" t="s">
        <v>1368</v>
      </c>
      <c r="D4817" s="132" t="s">
        <v>1379</v>
      </c>
      <c r="E4817" s="508">
        <v>0.04</v>
      </c>
      <c r="F4817" s="508">
        <v>0.04</v>
      </c>
      <c r="G4817" s="508">
        <v>3.9E-2</v>
      </c>
      <c r="H4817" s="508">
        <v>3.9E-2</v>
      </c>
      <c r="I4817" s="508">
        <v>3.9E-2</v>
      </c>
      <c r="J4817" s="508">
        <v>3.9E-2</v>
      </c>
      <c r="K4817" s="508">
        <v>3.9E-2</v>
      </c>
      <c r="L4817" s="508">
        <v>0.04</v>
      </c>
      <c r="M4817" s="508">
        <v>0.04</v>
      </c>
      <c r="N4817" s="508">
        <v>3.9E-2</v>
      </c>
      <c r="O4817" s="508">
        <v>0.04</v>
      </c>
      <c r="P4817" s="508">
        <v>0.04</v>
      </c>
      <c r="Q4817" s="508">
        <v>0.04</v>
      </c>
      <c r="R4817" s="508">
        <v>0.04</v>
      </c>
      <c r="S4817" s="508">
        <v>0.04</v>
      </c>
      <c r="T4817" s="508">
        <v>0.04</v>
      </c>
      <c r="U4817" s="508">
        <v>0.04</v>
      </c>
      <c r="V4817" s="508">
        <v>0.04</v>
      </c>
      <c r="W4817" s="508">
        <v>0.04</v>
      </c>
      <c r="X4817" s="508">
        <v>0.04</v>
      </c>
      <c r="Y4817" s="508">
        <v>0.04</v>
      </c>
      <c r="Z4817" s="508">
        <v>0.04</v>
      </c>
      <c r="AA4817" s="508">
        <v>0.04</v>
      </c>
      <c r="AB4817" s="508">
        <v>0.04</v>
      </c>
      <c r="AC4817" s="508">
        <v>0.04</v>
      </c>
      <c r="AD4817" s="508">
        <v>0.04</v>
      </c>
      <c r="AE4817" s="508">
        <v>0.04</v>
      </c>
      <c r="AF4817" s="508">
        <v>0.04</v>
      </c>
      <c r="AG4817" s="508">
        <v>0.04</v>
      </c>
      <c r="AH4817" s="508">
        <v>0.04</v>
      </c>
      <c r="AI4817" s="492">
        <v>0.04</v>
      </c>
      <c r="AJ4817" s="485"/>
    </row>
    <row r="4818" spans="2:36">
      <c r="B4818" s="136" t="s">
        <v>490</v>
      </c>
      <c r="C4818" s="132" t="s">
        <v>1368</v>
      </c>
      <c r="D4818" s="132" t="s">
        <v>1379</v>
      </c>
      <c r="E4818" s="508">
        <v>3.5000000000000003E-2</v>
      </c>
      <c r="F4818" s="508">
        <v>3.5000000000000003E-2</v>
      </c>
      <c r="G4818" s="508">
        <v>3.5000000000000003E-2</v>
      </c>
      <c r="H4818" s="508">
        <v>3.5000000000000003E-2</v>
      </c>
      <c r="I4818" s="508">
        <v>3.5000000000000003E-2</v>
      </c>
      <c r="J4818" s="508">
        <v>3.5000000000000003E-2</v>
      </c>
      <c r="K4818" s="508">
        <v>3.5000000000000003E-2</v>
      </c>
      <c r="L4818" s="508">
        <v>3.5999999999999997E-2</v>
      </c>
      <c r="M4818" s="508">
        <v>3.5000000000000003E-2</v>
      </c>
      <c r="N4818" s="508">
        <v>3.5000000000000003E-2</v>
      </c>
      <c r="O4818" s="508">
        <v>3.5000000000000003E-2</v>
      </c>
      <c r="P4818" s="508">
        <v>3.5000000000000003E-2</v>
      </c>
      <c r="Q4818" s="508">
        <v>3.5000000000000003E-2</v>
      </c>
      <c r="R4818" s="508">
        <v>3.5000000000000003E-2</v>
      </c>
      <c r="S4818" s="508">
        <v>3.5000000000000003E-2</v>
      </c>
      <c r="T4818" s="508">
        <v>3.5000000000000003E-2</v>
      </c>
      <c r="U4818" s="508">
        <v>3.5000000000000003E-2</v>
      </c>
      <c r="V4818" s="508">
        <v>3.5999999999999997E-2</v>
      </c>
      <c r="W4818" s="508">
        <v>3.5999999999999997E-2</v>
      </c>
      <c r="X4818" s="508">
        <v>3.5999999999999997E-2</v>
      </c>
      <c r="Y4818" s="508">
        <v>3.5999999999999997E-2</v>
      </c>
      <c r="Z4818" s="508">
        <v>3.5999999999999997E-2</v>
      </c>
      <c r="AA4818" s="508">
        <v>3.5999999999999997E-2</v>
      </c>
      <c r="AB4818" s="508">
        <v>3.5999999999999997E-2</v>
      </c>
      <c r="AC4818" s="508">
        <v>3.5000000000000003E-2</v>
      </c>
      <c r="AD4818" s="508">
        <v>3.5000000000000003E-2</v>
      </c>
      <c r="AE4818" s="508">
        <v>3.5999999999999997E-2</v>
      </c>
      <c r="AF4818" s="508">
        <v>3.5999999999999997E-2</v>
      </c>
      <c r="AG4818" s="508">
        <v>3.5999999999999997E-2</v>
      </c>
      <c r="AH4818" s="508">
        <v>3.5999999999999997E-2</v>
      </c>
      <c r="AI4818" s="492">
        <v>3.5999999999999997E-2</v>
      </c>
      <c r="AJ4818" s="485"/>
    </row>
    <row r="4819" spans="2:36">
      <c r="B4819" s="136" t="s">
        <v>435</v>
      </c>
      <c r="C4819" s="132" t="s">
        <v>1369</v>
      </c>
      <c r="D4819" s="132" t="s">
        <v>1379</v>
      </c>
      <c r="E4819" s="508">
        <v>5.8019999999999996</v>
      </c>
      <c r="F4819" s="508">
        <v>6.1920000000000002</v>
      </c>
      <c r="G4819" s="508">
        <v>6.1840000000000002</v>
      </c>
      <c r="H4819" s="508">
        <v>6.1829999999999998</v>
      </c>
      <c r="I4819" s="508">
        <v>6.1840000000000002</v>
      </c>
      <c r="J4819" s="508">
        <v>6.4960000000000004</v>
      </c>
      <c r="K4819" s="508">
        <v>6.4690000000000003</v>
      </c>
      <c r="L4819" s="508">
        <v>6.4370000000000003</v>
      </c>
      <c r="M4819" s="508">
        <v>6.3840000000000003</v>
      </c>
      <c r="N4819" s="508">
        <v>6.2629999999999999</v>
      </c>
      <c r="O4819" s="508">
        <v>6.2119999999999997</v>
      </c>
      <c r="P4819" s="508">
        <v>3.0670000000000002</v>
      </c>
      <c r="Q4819" s="508">
        <v>2.9740000000000002</v>
      </c>
      <c r="R4819" s="508">
        <v>2.911</v>
      </c>
      <c r="S4819" s="508">
        <v>2.8860000000000001</v>
      </c>
      <c r="T4819" s="508">
        <v>2.8250000000000002</v>
      </c>
      <c r="U4819" s="508">
        <v>1.706</v>
      </c>
      <c r="V4819" s="508">
        <v>1.669</v>
      </c>
      <c r="W4819" s="508">
        <v>1.7450000000000001</v>
      </c>
      <c r="X4819" s="508">
        <v>0.90600000000000003</v>
      </c>
      <c r="Y4819" s="508">
        <v>0.67400000000000004</v>
      </c>
      <c r="Z4819" s="508">
        <v>0.47099999999999997</v>
      </c>
      <c r="AA4819" s="508">
        <v>0.39100000000000001</v>
      </c>
      <c r="AB4819" s="508">
        <v>0.28699999999999998</v>
      </c>
      <c r="AC4819" s="508">
        <v>0.23699999999999999</v>
      </c>
      <c r="AD4819" s="508">
        <v>0.17399999999999999</v>
      </c>
      <c r="AE4819" s="508">
        <v>0.17599999999999999</v>
      </c>
      <c r="AF4819" s="508">
        <v>0.10299999999999999</v>
      </c>
      <c r="AG4819" s="508">
        <v>0.10199999999999999</v>
      </c>
      <c r="AH4819" s="508">
        <v>0.10199999999999999</v>
      </c>
      <c r="AI4819" s="492">
        <v>0.10100000000000001</v>
      </c>
      <c r="AJ4819" s="485"/>
    </row>
    <row r="4820" spans="2:36">
      <c r="B4820" s="136" t="s">
        <v>436</v>
      </c>
      <c r="C4820" s="132" t="s">
        <v>1369</v>
      </c>
      <c r="D4820" s="132" t="s">
        <v>1379</v>
      </c>
      <c r="E4820" s="508">
        <v>4.1000000000000002E-2</v>
      </c>
      <c r="F4820" s="508">
        <v>4.1000000000000002E-2</v>
      </c>
      <c r="G4820" s="508">
        <v>4.1000000000000002E-2</v>
      </c>
      <c r="H4820" s="508">
        <v>4.1000000000000002E-2</v>
      </c>
      <c r="I4820" s="508">
        <v>4.1000000000000002E-2</v>
      </c>
      <c r="J4820" s="508">
        <v>4.1000000000000002E-2</v>
      </c>
      <c r="K4820" s="508">
        <v>4.1000000000000002E-2</v>
      </c>
      <c r="L4820" s="508">
        <v>4.1000000000000002E-2</v>
      </c>
      <c r="M4820" s="508">
        <v>4.1000000000000002E-2</v>
      </c>
      <c r="N4820" s="508">
        <v>4.1000000000000002E-2</v>
      </c>
      <c r="O4820" s="508">
        <v>4.1000000000000002E-2</v>
      </c>
      <c r="P4820" s="508">
        <v>4.1000000000000002E-2</v>
      </c>
      <c r="Q4820" s="508">
        <v>4.1000000000000002E-2</v>
      </c>
      <c r="R4820" s="508">
        <v>4.1000000000000002E-2</v>
      </c>
      <c r="S4820" s="508">
        <v>4.1000000000000002E-2</v>
      </c>
      <c r="T4820" s="508">
        <v>4.1000000000000002E-2</v>
      </c>
      <c r="U4820" s="508">
        <v>4.1000000000000002E-2</v>
      </c>
      <c r="V4820" s="508">
        <v>4.1000000000000002E-2</v>
      </c>
      <c r="W4820" s="508">
        <v>4.1000000000000002E-2</v>
      </c>
      <c r="X4820" s="508">
        <v>4.1000000000000002E-2</v>
      </c>
      <c r="Y4820" s="508">
        <v>4.1000000000000002E-2</v>
      </c>
      <c r="Z4820" s="508">
        <v>4.1000000000000002E-2</v>
      </c>
      <c r="AA4820" s="508">
        <v>4.1000000000000002E-2</v>
      </c>
      <c r="AB4820" s="508">
        <v>4.1000000000000002E-2</v>
      </c>
      <c r="AC4820" s="508">
        <v>4.1000000000000002E-2</v>
      </c>
      <c r="AD4820" s="508">
        <v>4.1000000000000002E-2</v>
      </c>
      <c r="AE4820" s="508">
        <v>4.1000000000000002E-2</v>
      </c>
      <c r="AF4820" s="508">
        <v>4.1000000000000002E-2</v>
      </c>
      <c r="AG4820" s="508">
        <v>4.1000000000000002E-2</v>
      </c>
      <c r="AH4820" s="508">
        <v>4.1000000000000002E-2</v>
      </c>
      <c r="AI4820" s="492">
        <v>4.1000000000000002E-2</v>
      </c>
      <c r="AJ4820" s="485"/>
    </row>
    <row r="4821" spans="2:36">
      <c r="B4821" s="136" t="s">
        <v>437</v>
      </c>
      <c r="C4821" s="132" t="s">
        <v>1369</v>
      </c>
      <c r="D4821" s="132" t="s">
        <v>1379</v>
      </c>
      <c r="E4821" s="508">
        <v>4.5999999999999999E-2</v>
      </c>
      <c r="F4821" s="508">
        <v>4.5999999999999999E-2</v>
      </c>
      <c r="G4821" s="508">
        <v>4.5999999999999999E-2</v>
      </c>
      <c r="H4821" s="508">
        <v>4.5999999999999999E-2</v>
      </c>
      <c r="I4821" s="508">
        <v>4.5999999999999999E-2</v>
      </c>
      <c r="J4821" s="508">
        <v>4.5999999999999999E-2</v>
      </c>
      <c r="K4821" s="508">
        <v>4.5999999999999999E-2</v>
      </c>
      <c r="L4821" s="508">
        <v>4.5999999999999999E-2</v>
      </c>
      <c r="M4821" s="508">
        <v>4.5999999999999999E-2</v>
      </c>
      <c r="N4821" s="508">
        <v>4.5999999999999999E-2</v>
      </c>
      <c r="O4821" s="508">
        <v>4.5999999999999999E-2</v>
      </c>
      <c r="P4821" s="508">
        <v>4.5999999999999999E-2</v>
      </c>
      <c r="Q4821" s="508">
        <v>4.5999999999999999E-2</v>
      </c>
      <c r="R4821" s="508">
        <v>4.5999999999999999E-2</v>
      </c>
      <c r="S4821" s="508">
        <v>4.5999999999999999E-2</v>
      </c>
      <c r="T4821" s="508">
        <v>4.5999999999999999E-2</v>
      </c>
      <c r="U4821" s="508">
        <v>4.5999999999999999E-2</v>
      </c>
      <c r="V4821" s="508">
        <v>4.5999999999999999E-2</v>
      </c>
      <c r="W4821" s="508">
        <v>4.5999999999999999E-2</v>
      </c>
      <c r="X4821" s="508">
        <v>4.5999999999999999E-2</v>
      </c>
      <c r="Y4821" s="508">
        <v>4.5999999999999999E-2</v>
      </c>
      <c r="Z4821" s="508">
        <v>4.5999999999999999E-2</v>
      </c>
      <c r="AA4821" s="508">
        <v>4.5999999999999999E-2</v>
      </c>
      <c r="AB4821" s="508">
        <v>4.5999999999999999E-2</v>
      </c>
      <c r="AC4821" s="508">
        <v>4.5999999999999999E-2</v>
      </c>
      <c r="AD4821" s="508">
        <v>4.5999999999999999E-2</v>
      </c>
      <c r="AE4821" s="508">
        <v>4.5999999999999999E-2</v>
      </c>
      <c r="AF4821" s="508">
        <v>4.5999999999999999E-2</v>
      </c>
      <c r="AG4821" s="508">
        <v>4.5999999999999999E-2</v>
      </c>
      <c r="AH4821" s="508">
        <v>4.5999999999999999E-2</v>
      </c>
      <c r="AI4821" s="492">
        <v>4.5999999999999999E-2</v>
      </c>
      <c r="AJ4821" s="485"/>
    </row>
    <row r="4822" spans="2:36">
      <c r="B4822" s="136" t="s">
        <v>438</v>
      </c>
      <c r="C4822" s="132" t="s">
        <v>1369</v>
      </c>
      <c r="D4822" s="132" t="s">
        <v>1379</v>
      </c>
      <c r="E4822" s="508">
        <v>3.7999999999999999E-2</v>
      </c>
      <c r="F4822" s="508">
        <v>3.7999999999999999E-2</v>
      </c>
      <c r="G4822" s="508">
        <v>3.7999999999999999E-2</v>
      </c>
      <c r="H4822" s="508">
        <v>3.7999999999999999E-2</v>
      </c>
      <c r="I4822" s="508">
        <v>3.7999999999999999E-2</v>
      </c>
      <c r="J4822" s="508">
        <v>3.7999999999999999E-2</v>
      </c>
      <c r="K4822" s="508">
        <v>3.7999999999999999E-2</v>
      </c>
      <c r="L4822" s="508">
        <v>3.7999999999999999E-2</v>
      </c>
      <c r="M4822" s="508">
        <v>3.7999999999999999E-2</v>
      </c>
      <c r="N4822" s="508">
        <v>3.7999999999999999E-2</v>
      </c>
      <c r="O4822" s="508">
        <v>3.7999999999999999E-2</v>
      </c>
      <c r="P4822" s="508">
        <v>3.7999999999999999E-2</v>
      </c>
      <c r="Q4822" s="508">
        <v>3.7999999999999999E-2</v>
      </c>
      <c r="R4822" s="508">
        <v>3.7999999999999999E-2</v>
      </c>
      <c r="S4822" s="508">
        <v>3.7999999999999999E-2</v>
      </c>
      <c r="T4822" s="508">
        <v>3.7999999999999999E-2</v>
      </c>
      <c r="U4822" s="508">
        <v>3.7999999999999999E-2</v>
      </c>
      <c r="V4822" s="508">
        <v>3.7999999999999999E-2</v>
      </c>
      <c r="W4822" s="508">
        <v>3.7999999999999999E-2</v>
      </c>
      <c r="X4822" s="508">
        <v>3.7999999999999999E-2</v>
      </c>
      <c r="Y4822" s="508">
        <v>3.7999999999999999E-2</v>
      </c>
      <c r="Z4822" s="508">
        <v>3.7999999999999999E-2</v>
      </c>
      <c r="AA4822" s="508">
        <v>3.7999999999999999E-2</v>
      </c>
      <c r="AB4822" s="508">
        <v>3.7999999999999999E-2</v>
      </c>
      <c r="AC4822" s="508">
        <v>3.7999999999999999E-2</v>
      </c>
      <c r="AD4822" s="508">
        <v>3.7999999999999999E-2</v>
      </c>
      <c r="AE4822" s="508">
        <v>3.7999999999999999E-2</v>
      </c>
      <c r="AF4822" s="508">
        <v>3.7999999999999999E-2</v>
      </c>
      <c r="AG4822" s="508">
        <v>3.7999999999999999E-2</v>
      </c>
      <c r="AH4822" s="508">
        <v>3.7999999999999999E-2</v>
      </c>
      <c r="AI4822" s="492">
        <v>3.7999999999999999E-2</v>
      </c>
      <c r="AJ4822" s="485"/>
    </row>
    <row r="4823" spans="2:36">
      <c r="B4823" s="136" t="s">
        <v>439</v>
      </c>
      <c r="C4823" s="132" t="s">
        <v>1369</v>
      </c>
      <c r="D4823" s="132" t="s">
        <v>1379</v>
      </c>
      <c r="E4823" s="508">
        <v>4.3999999999999997E-2</v>
      </c>
      <c r="F4823" s="508">
        <v>4.3999999999999997E-2</v>
      </c>
      <c r="G4823" s="508">
        <v>4.3999999999999997E-2</v>
      </c>
      <c r="H4823" s="508">
        <v>4.3999999999999997E-2</v>
      </c>
      <c r="I4823" s="508">
        <v>4.3999999999999997E-2</v>
      </c>
      <c r="J4823" s="508">
        <v>4.3999999999999997E-2</v>
      </c>
      <c r="K4823" s="508">
        <v>4.3999999999999997E-2</v>
      </c>
      <c r="L4823" s="508">
        <v>4.3999999999999997E-2</v>
      </c>
      <c r="M4823" s="508">
        <v>4.3999999999999997E-2</v>
      </c>
      <c r="N4823" s="508">
        <v>4.3999999999999997E-2</v>
      </c>
      <c r="O4823" s="508">
        <v>4.3999999999999997E-2</v>
      </c>
      <c r="P4823" s="508">
        <v>4.3999999999999997E-2</v>
      </c>
      <c r="Q4823" s="508">
        <v>4.3999999999999997E-2</v>
      </c>
      <c r="R4823" s="508">
        <v>4.3999999999999997E-2</v>
      </c>
      <c r="S4823" s="508">
        <v>4.3999999999999997E-2</v>
      </c>
      <c r="T4823" s="508">
        <v>4.3999999999999997E-2</v>
      </c>
      <c r="U4823" s="508">
        <v>4.3999999999999997E-2</v>
      </c>
      <c r="V4823" s="508">
        <v>4.3999999999999997E-2</v>
      </c>
      <c r="W4823" s="508">
        <v>4.3999999999999997E-2</v>
      </c>
      <c r="X4823" s="508">
        <v>4.3999999999999997E-2</v>
      </c>
      <c r="Y4823" s="508">
        <v>4.3999999999999997E-2</v>
      </c>
      <c r="Z4823" s="508">
        <v>4.3999999999999997E-2</v>
      </c>
      <c r="AA4823" s="508">
        <v>4.3999999999999997E-2</v>
      </c>
      <c r="AB4823" s="508">
        <v>4.3999999999999997E-2</v>
      </c>
      <c r="AC4823" s="508">
        <v>4.3999999999999997E-2</v>
      </c>
      <c r="AD4823" s="508">
        <v>4.3999999999999997E-2</v>
      </c>
      <c r="AE4823" s="508">
        <v>4.3999999999999997E-2</v>
      </c>
      <c r="AF4823" s="508">
        <v>4.3999999999999997E-2</v>
      </c>
      <c r="AG4823" s="508">
        <v>4.3999999999999997E-2</v>
      </c>
      <c r="AH4823" s="508">
        <v>4.3999999999999997E-2</v>
      </c>
      <c r="AI4823" s="492">
        <v>4.3999999999999997E-2</v>
      </c>
      <c r="AJ4823" s="485"/>
    </row>
    <row r="4824" spans="2:36">
      <c r="B4824" s="136" t="s">
        <v>440</v>
      </c>
      <c r="C4824" s="132" t="s">
        <v>1369</v>
      </c>
      <c r="D4824" s="132" t="s">
        <v>1379</v>
      </c>
      <c r="E4824" s="508">
        <v>4.2999999999999997E-2</v>
      </c>
      <c r="F4824" s="508">
        <v>4.2999999999999997E-2</v>
      </c>
      <c r="G4824" s="508">
        <v>4.2999999999999997E-2</v>
      </c>
      <c r="H4824" s="508">
        <v>4.2999999999999997E-2</v>
      </c>
      <c r="I4824" s="508">
        <v>4.2999999999999997E-2</v>
      </c>
      <c r="J4824" s="508">
        <v>4.2999999999999997E-2</v>
      </c>
      <c r="K4824" s="508">
        <v>4.2999999999999997E-2</v>
      </c>
      <c r="L4824" s="508">
        <v>4.2999999999999997E-2</v>
      </c>
      <c r="M4824" s="508">
        <v>4.2999999999999997E-2</v>
      </c>
      <c r="N4824" s="508">
        <v>4.2999999999999997E-2</v>
      </c>
      <c r="O4824" s="508">
        <v>4.2999999999999997E-2</v>
      </c>
      <c r="P4824" s="508">
        <v>4.2999999999999997E-2</v>
      </c>
      <c r="Q4824" s="508">
        <v>4.2999999999999997E-2</v>
      </c>
      <c r="R4824" s="508">
        <v>4.2999999999999997E-2</v>
      </c>
      <c r="S4824" s="508">
        <v>4.2999999999999997E-2</v>
      </c>
      <c r="T4824" s="508">
        <v>4.2999999999999997E-2</v>
      </c>
      <c r="U4824" s="508">
        <v>4.2999999999999997E-2</v>
      </c>
      <c r="V4824" s="508">
        <v>4.2999999999999997E-2</v>
      </c>
      <c r="W4824" s="508">
        <v>4.2999999999999997E-2</v>
      </c>
      <c r="X4824" s="508">
        <v>4.2999999999999997E-2</v>
      </c>
      <c r="Y4824" s="508">
        <v>4.2999999999999997E-2</v>
      </c>
      <c r="Z4824" s="508">
        <v>4.2999999999999997E-2</v>
      </c>
      <c r="AA4824" s="508">
        <v>4.2999999999999997E-2</v>
      </c>
      <c r="AB4824" s="508">
        <v>4.2999999999999997E-2</v>
      </c>
      <c r="AC4824" s="508">
        <v>4.2999999999999997E-2</v>
      </c>
      <c r="AD4824" s="508">
        <v>4.2999999999999997E-2</v>
      </c>
      <c r="AE4824" s="508">
        <v>4.2999999999999997E-2</v>
      </c>
      <c r="AF4824" s="508">
        <v>4.2999999999999997E-2</v>
      </c>
      <c r="AG4824" s="508">
        <v>4.2999999999999997E-2</v>
      </c>
      <c r="AH4824" s="508">
        <v>4.2999999999999997E-2</v>
      </c>
      <c r="AI4824" s="492">
        <v>4.2999999999999997E-2</v>
      </c>
      <c r="AJ4824" s="485"/>
    </row>
    <row r="4825" spans="2:36">
      <c r="B4825" s="136" t="s">
        <v>441</v>
      </c>
      <c r="C4825" s="132" t="s">
        <v>1369</v>
      </c>
      <c r="D4825" s="132" t="s">
        <v>1379</v>
      </c>
      <c r="E4825" s="508">
        <v>4.2999999999999997E-2</v>
      </c>
      <c r="F4825" s="508">
        <v>4.2999999999999997E-2</v>
      </c>
      <c r="G4825" s="508">
        <v>4.2999999999999997E-2</v>
      </c>
      <c r="H4825" s="508">
        <v>4.2999999999999997E-2</v>
      </c>
      <c r="I4825" s="508">
        <v>4.2999999999999997E-2</v>
      </c>
      <c r="J4825" s="508">
        <v>4.2999999999999997E-2</v>
      </c>
      <c r="K4825" s="508">
        <v>4.2999999999999997E-2</v>
      </c>
      <c r="L4825" s="508">
        <v>4.2999999999999997E-2</v>
      </c>
      <c r="M4825" s="508">
        <v>4.2999999999999997E-2</v>
      </c>
      <c r="N4825" s="508">
        <v>4.2999999999999997E-2</v>
      </c>
      <c r="O4825" s="508">
        <v>4.2999999999999997E-2</v>
      </c>
      <c r="P4825" s="508">
        <v>4.2999999999999997E-2</v>
      </c>
      <c r="Q4825" s="508">
        <v>4.2999999999999997E-2</v>
      </c>
      <c r="R4825" s="508">
        <v>4.2999999999999997E-2</v>
      </c>
      <c r="S4825" s="508">
        <v>4.2999999999999997E-2</v>
      </c>
      <c r="T4825" s="508">
        <v>4.2999999999999997E-2</v>
      </c>
      <c r="U4825" s="508">
        <v>4.2999999999999997E-2</v>
      </c>
      <c r="V4825" s="508">
        <v>4.2999999999999997E-2</v>
      </c>
      <c r="W4825" s="508">
        <v>4.2999999999999997E-2</v>
      </c>
      <c r="X4825" s="508">
        <v>4.2999999999999997E-2</v>
      </c>
      <c r="Y4825" s="508">
        <v>4.2999999999999997E-2</v>
      </c>
      <c r="Z4825" s="508">
        <v>4.2999999999999997E-2</v>
      </c>
      <c r="AA4825" s="508">
        <v>4.2999999999999997E-2</v>
      </c>
      <c r="AB4825" s="508">
        <v>4.2999999999999997E-2</v>
      </c>
      <c r="AC4825" s="508">
        <v>4.2999999999999997E-2</v>
      </c>
      <c r="AD4825" s="508">
        <v>4.2999999999999997E-2</v>
      </c>
      <c r="AE4825" s="508">
        <v>4.2999999999999997E-2</v>
      </c>
      <c r="AF4825" s="508">
        <v>4.2999999999999997E-2</v>
      </c>
      <c r="AG4825" s="508">
        <v>4.2999999999999997E-2</v>
      </c>
      <c r="AH4825" s="508">
        <v>4.2999999999999997E-2</v>
      </c>
      <c r="AI4825" s="492">
        <v>4.2999999999999997E-2</v>
      </c>
      <c r="AJ4825" s="485"/>
    </row>
    <row r="4826" spans="2:36">
      <c r="B4826" s="136" t="s">
        <v>443</v>
      </c>
      <c r="C4826" s="132" t="s">
        <v>1369</v>
      </c>
      <c r="D4826" s="132" t="s">
        <v>1379</v>
      </c>
      <c r="E4826" s="508">
        <v>4.7E-2</v>
      </c>
      <c r="F4826" s="508">
        <v>4.7E-2</v>
      </c>
      <c r="G4826" s="508">
        <v>4.7E-2</v>
      </c>
      <c r="H4826" s="508">
        <v>4.7E-2</v>
      </c>
      <c r="I4826" s="508">
        <v>4.7E-2</v>
      </c>
      <c r="J4826" s="508">
        <v>4.7E-2</v>
      </c>
      <c r="K4826" s="508">
        <v>4.7E-2</v>
      </c>
      <c r="L4826" s="508">
        <v>4.7E-2</v>
      </c>
      <c r="M4826" s="508">
        <v>4.7E-2</v>
      </c>
      <c r="N4826" s="508">
        <v>4.7E-2</v>
      </c>
      <c r="O4826" s="508">
        <v>4.7E-2</v>
      </c>
      <c r="P4826" s="508">
        <v>4.7E-2</v>
      </c>
      <c r="Q4826" s="508">
        <v>4.7E-2</v>
      </c>
      <c r="R4826" s="508">
        <v>4.7E-2</v>
      </c>
      <c r="S4826" s="508">
        <v>4.7E-2</v>
      </c>
      <c r="T4826" s="508">
        <v>4.7E-2</v>
      </c>
      <c r="U4826" s="508">
        <v>4.7E-2</v>
      </c>
      <c r="V4826" s="508">
        <v>4.7E-2</v>
      </c>
      <c r="W4826" s="508">
        <v>4.7E-2</v>
      </c>
      <c r="X4826" s="508">
        <v>4.7E-2</v>
      </c>
      <c r="Y4826" s="508">
        <v>4.7E-2</v>
      </c>
      <c r="Z4826" s="508">
        <v>4.7E-2</v>
      </c>
      <c r="AA4826" s="508">
        <v>4.7E-2</v>
      </c>
      <c r="AB4826" s="508">
        <v>4.7E-2</v>
      </c>
      <c r="AC4826" s="508">
        <v>4.7E-2</v>
      </c>
      <c r="AD4826" s="508">
        <v>4.7E-2</v>
      </c>
      <c r="AE4826" s="508">
        <v>4.7E-2</v>
      </c>
      <c r="AF4826" s="508">
        <v>4.7E-2</v>
      </c>
      <c r="AG4826" s="508">
        <v>4.7E-2</v>
      </c>
      <c r="AH4826" s="508">
        <v>4.7E-2</v>
      </c>
      <c r="AI4826" s="492">
        <v>4.7E-2</v>
      </c>
      <c r="AJ4826" s="485"/>
    </row>
    <row r="4827" spans="2:36">
      <c r="B4827" s="136" t="s">
        <v>445</v>
      </c>
      <c r="C4827" s="132" t="s">
        <v>1369</v>
      </c>
      <c r="D4827" s="132" t="s">
        <v>1379</v>
      </c>
      <c r="E4827" s="508">
        <v>5.8000000000000003E-2</v>
      </c>
      <c r="F4827" s="508">
        <v>5.8000000000000003E-2</v>
      </c>
      <c r="G4827" s="508">
        <v>5.8000000000000003E-2</v>
      </c>
      <c r="H4827" s="508">
        <v>5.8000000000000003E-2</v>
      </c>
      <c r="I4827" s="508">
        <v>5.8000000000000003E-2</v>
      </c>
      <c r="J4827" s="508">
        <v>5.8000000000000003E-2</v>
      </c>
      <c r="K4827" s="508">
        <v>5.8000000000000003E-2</v>
      </c>
      <c r="L4827" s="508">
        <v>5.8000000000000003E-2</v>
      </c>
      <c r="M4827" s="508">
        <v>5.8000000000000003E-2</v>
      </c>
      <c r="N4827" s="508">
        <v>5.8000000000000003E-2</v>
      </c>
      <c r="O4827" s="508">
        <v>5.8000000000000003E-2</v>
      </c>
      <c r="P4827" s="508">
        <v>5.8000000000000003E-2</v>
      </c>
      <c r="Q4827" s="508">
        <v>5.8000000000000003E-2</v>
      </c>
      <c r="R4827" s="508">
        <v>5.8000000000000003E-2</v>
      </c>
      <c r="S4827" s="508">
        <v>5.8000000000000003E-2</v>
      </c>
      <c r="T4827" s="508">
        <v>5.8000000000000003E-2</v>
      </c>
      <c r="U4827" s="508">
        <v>5.8000000000000003E-2</v>
      </c>
      <c r="V4827" s="508">
        <v>5.8000000000000003E-2</v>
      </c>
      <c r="W4827" s="508">
        <v>5.8000000000000003E-2</v>
      </c>
      <c r="X4827" s="508">
        <v>5.8000000000000003E-2</v>
      </c>
      <c r="Y4827" s="508">
        <v>5.8000000000000003E-2</v>
      </c>
      <c r="Z4827" s="508">
        <v>5.8000000000000003E-2</v>
      </c>
      <c r="AA4827" s="508">
        <v>5.8000000000000003E-2</v>
      </c>
      <c r="AB4827" s="508">
        <v>5.8000000000000003E-2</v>
      </c>
      <c r="AC4827" s="508">
        <v>5.8000000000000003E-2</v>
      </c>
      <c r="AD4827" s="508">
        <v>5.8000000000000003E-2</v>
      </c>
      <c r="AE4827" s="508">
        <v>5.8000000000000003E-2</v>
      </c>
      <c r="AF4827" s="508">
        <v>5.8000000000000003E-2</v>
      </c>
      <c r="AG4827" s="508">
        <v>5.8000000000000003E-2</v>
      </c>
      <c r="AH4827" s="508">
        <v>5.8000000000000003E-2</v>
      </c>
      <c r="AI4827" s="492">
        <v>5.8000000000000003E-2</v>
      </c>
      <c r="AJ4827" s="485"/>
    </row>
    <row r="4828" spans="2:36">
      <c r="B4828" s="136" t="s">
        <v>446</v>
      </c>
      <c r="C4828" s="132" t="s">
        <v>1369</v>
      </c>
      <c r="D4828" s="132" t="s">
        <v>1379</v>
      </c>
      <c r="E4828" s="508">
        <v>5.1999999999999998E-2</v>
      </c>
      <c r="F4828" s="508">
        <v>5.1999999999999998E-2</v>
      </c>
      <c r="G4828" s="508">
        <v>5.1999999999999998E-2</v>
      </c>
      <c r="H4828" s="508">
        <v>5.1999999999999998E-2</v>
      </c>
      <c r="I4828" s="508">
        <v>5.1999999999999998E-2</v>
      </c>
      <c r="J4828" s="508">
        <v>5.1999999999999998E-2</v>
      </c>
      <c r="K4828" s="508">
        <v>5.1999999999999998E-2</v>
      </c>
      <c r="L4828" s="508">
        <v>5.1999999999999998E-2</v>
      </c>
      <c r="M4828" s="508">
        <v>5.1999999999999998E-2</v>
      </c>
      <c r="N4828" s="508">
        <v>5.1999999999999998E-2</v>
      </c>
      <c r="O4828" s="508">
        <v>5.1999999999999998E-2</v>
      </c>
      <c r="P4828" s="508">
        <v>5.1999999999999998E-2</v>
      </c>
      <c r="Q4828" s="508">
        <v>5.1999999999999998E-2</v>
      </c>
      <c r="R4828" s="508">
        <v>5.1999999999999998E-2</v>
      </c>
      <c r="S4828" s="508">
        <v>5.1999999999999998E-2</v>
      </c>
      <c r="T4828" s="508">
        <v>5.1999999999999998E-2</v>
      </c>
      <c r="U4828" s="508">
        <v>5.1999999999999998E-2</v>
      </c>
      <c r="V4828" s="508">
        <v>5.1999999999999998E-2</v>
      </c>
      <c r="W4828" s="508">
        <v>5.1999999999999998E-2</v>
      </c>
      <c r="X4828" s="508">
        <v>5.1999999999999998E-2</v>
      </c>
      <c r="Y4828" s="508">
        <v>5.1999999999999998E-2</v>
      </c>
      <c r="Z4828" s="508">
        <v>5.1999999999999998E-2</v>
      </c>
      <c r="AA4828" s="508">
        <v>5.1999999999999998E-2</v>
      </c>
      <c r="AB4828" s="508">
        <v>5.1999999999999998E-2</v>
      </c>
      <c r="AC4828" s="508">
        <v>5.1999999999999998E-2</v>
      </c>
      <c r="AD4828" s="508">
        <v>5.1999999999999998E-2</v>
      </c>
      <c r="AE4828" s="508">
        <v>5.1999999999999998E-2</v>
      </c>
      <c r="AF4828" s="508">
        <v>5.1999999999999998E-2</v>
      </c>
      <c r="AG4828" s="508">
        <v>5.1999999999999998E-2</v>
      </c>
      <c r="AH4828" s="508">
        <v>5.1999999999999998E-2</v>
      </c>
      <c r="AI4828" s="492">
        <v>5.1999999999999998E-2</v>
      </c>
      <c r="AJ4828" s="485"/>
    </row>
    <row r="4829" spans="2:36">
      <c r="B4829" s="136" t="s">
        <v>448</v>
      </c>
      <c r="C4829" s="132" t="s">
        <v>1369</v>
      </c>
      <c r="D4829" s="132" t="s">
        <v>1379</v>
      </c>
      <c r="E4829" s="508">
        <v>0.04</v>
      </c>
      <c r="F4829" s="508">
        <v>0.04</v>
      </c>
      <c r="G4829" s="508">
        <v>0.04</v>
      </c>
      <c r="H4829" s="508">
        <v>0.04</v>
      </c>
      <c r="I4829" s="508">
        <v>0.04</v>
      </c>
      <c r="J4829" s="508">
        <v>0.04</v>
      </c>
      <c r="K4829" s="508">
        <v>0.04</v>
      </c>
      <c r="L4829" s="508">
        <v>0.04</v>
      </c>
      <c r="M4829" s="508">
        <v>0.04</v>
      </c>
      <c r="N4829" s="508">
        <v>0.04</v>
      </c>
      <c r="O4829" s="508">
        <v>0.04</v>
      </c>
      <c r="P4829" s="508">
        <v>0.04</v>
      </c>
      <c r="Q4829" s="508">
        <v>0.04</v>
      </c>
      <c r="R4829" s="508">
        <v>0.04</v>
      </c>
      <c r="S4829" s="508">
        <v>0.04</v>
      </c>
      <c r="T4829" s="508">
        <v>0.04</v>
      </c>
      <c r="U4829" s="508">
        <v>0.04</v>
      </c>
      <c r="V4829" s="508">
        <v>0.04</v>
      </c>
      <c r="W4829" s="508">
        <v>0.04</v>
      </c>
      <c r="X4829" s="508">
        <v>0.04</v>
      </c>
      <c r="Y4829" s="508">
        <v>0.04</v>
      </c>
      <c r="Z4829" s="508">
        <v>0.04</v>
      </c>
      <c r="AA4829" s="508">
        <v>0.04</v>
      </c>
      <c r="AB4829" s="508">
        <v>0.04</v>
      </c>
      <c r="AC4829" s="508">
        <v>0.04</v>
      </c>
      <c r="AD4829" s="508">
        <v>0.04</v>
      </c>
      <c r="AE4829" s="508">
        <v>0.04</v>
      </c>
      <c r="AF4829" s="508">
        <v>0.04</v>
      </c>
      <c r="AG4829" s="508">
        <v>0.04</v>
      </c>
      <c r="AH4829" s="508">
        <v>0.04</v>
      </c>
      <c r="AI4829" s="492">
        <v>0.04</v>
      </c>
      <c r="AJ4829" s="485"/>
    </row>
    <row r="4830" spans="2:36">
      <c r="B4830" s="136" t="s">
        <v>449</v>
      </c>
      <c r="C4830" s="132" t="s">
        <v>1369</v>
      </c>
      <c r="D4830" s="132" t="s">
        <v>1379</v>
      </c>
      <c r="E4830" s="508">
        <v>4.8000000000000001E-2</v>
      </c>
      <c r="F4830" s="508">
        <v>4.8000000000000001E-2</v>
      </c>
      <c r="G4830" s="508">
        <v>4.8000000000000001E-2</v>
      </c>
      <c r="H4830" s="508">
        <v>4.8000000000000001E-2</v>
      </c>
      <c r="I4830" s="508">
        <v>4.8000000000000001E-2</v>
      </c>
      <c r="J4830" s="508">
        <v>4.8000000000000001E-2</v>
      </c>
      <c r="K4830" s="508">
        <v>4.8000000000000001E-2</v>
      </c>
      <c r="L4830" s="508">
        <v>4.8000000000000001E-2</v>
      </c>
      <c r="M4830" s="508">
        <v>4.8000000000000001E-2</v>
      </c>
      <c r="N4830" s="508">
        <v>4.8000000000000001E-2</v>
      </c>
      <c r="O4830" s="508">
        <v>4.8000000000000001E-2</v>
      </c>
      <c r="P4830" s="508">
        <v>4.8000000000000001E-2</v>
      </c>
      <c r="Q4830" s="508">
        <v>4.8000000000000001E-2</v>
      </c>
      <c r="R4830" s="508">
        <v>4.8000000000000001E-2</v>
      </c>
      <c r="S4830" s="508">
        <v>4.8000000000000001E-2</v>
      </c>
      <c r="T4830" s="508">
        <v>4.8000000000000001E-2</v>
      </c>
      <c r="U4830" s="508">
        <v>4.8000000000000001E-2</v>
      </c>
      <c r="V4830" s="508">
        <v>4.8000000000000001E-2</v>
      </c>
      <c r="W4830" s="508">
        <v>4.8000000000000001E-2</v>
      </c>
      <c r="X4830" s="508">
        <v>4.8000000000000001E-2</v>
      </c>
      <c r="Y4830" s="508">
        <v>4.8000000000000001E-2</v>
      </c>
      <c r="Z4830" s="508">
        <v>4.8000000000000001E-2</v>
      </c>
      <c r="AA4830" s="508">
        <v>4.8000000000000001E-2</v>
      </c>
      <c r="AB4830" s="508">
        <v>4.8000000000000001E-2</v>
      </c>
      <c r="AC4830" s="508">
        <v>4.8000000000000001E-2</v>
      </c>
      <c r="AD4830" s="508">
        <v>4.8000000000000001E-2</v>
      </c>
      <c r="AE4830" s="508">
        <v>4.8000000000000001E-2</v>
      </c>
      <c r="AF4830" s="508">
        <v>4.8000000000000001E-2</v>
      </c>
      <c r="AG4830" s="508">
        <v>4.8000000000000001E-2</v>
      </c>
      <c r="AH4830" s="508">
        <v>4.8000000000000001E-2</v>
      </c>
      <c r="AI4830" s="492">
        <v>4.8000000000000001E-2</v>
      </c>
      <c r="AJ4830" s="485"/>
    </row>
    <row r="4831" spans="2:36">
      <c r="B4831" s="136" t="s">
        <v>450</v>
      </c>
      <c r="C4831" s="132" t="s">
        <v>1369</v>
      </c>
      <c r="D4831" s="132" t="s">
        <v>1379</v>
      </c>
      <c r="E4831" s="508">
        <v>0.03</v>
      </c>
      <c r="F4831" s="508">
        <v>0.03</v>
      </c>
      <c r="G4831" s="508">
        <v>2.9000000000000001E-2</v>
      </c>
      <c r="H4831" s="508">
        <v>2.9000000000000001E-2</v>
      </c>
      <c r="I4831" s="508">
        <v>2.9000000000000001E-2</v>
      </c>
      <c r="J4831" s="508">
        <v>2.9000000000000001E-2</v>
      </c>
      <c r="K4831" s="508">
        <v>0.03</v>
      </c>
      <c r="L4831" s="508">
        <v>0.03</v>
      </c>
      <c r="M4831" s="508">
        <v>0.03</v>
      </c>
      <c r="N4831" s="508">
        <v>0.03</v>
      </c>
      <c r="O4831" s="508">
        <v>2.9000000000000001E-2</v>
      </c>
      <c r="P4831" s="508">
        <v>0.03</v>
      </c>
      <c r="Q4831" s="508">
        <v>0.03</v>
      </c>
      <c r="R4831" s="508">
        <v>2.9000000000000001E-2</v>
      </c>
      <c r="S4831" s="508">
        <v>0.03</v>
      </c>
      <c r="T4831" s="508">
        <v>2.9000000000000001E-2</v>
      </c>
      <c r="U4831" s="508">
        <v>2.9000000000000001E-2</v>
      </c>
      <c r="V4831" s="508">
        <v>2.9000000000000001E-2</v>
      </c>
      <c r="W4831" s="508">
        <v>0.03</v>
      </c>
      <c r="X4831" s="508">
        <v>0.03</v>
      </c>
      <c r="Y4831" s="508">
        <v>0.03</v>
      </c>
      <c r="Z4831" s="508">
        <v>0.03</v>
      </c>
      <c r="AA4831" s="508">
        <v>2.9000000000000001E-2</v>
      </c>
      <c r="AB4831" s="508">
        <v>2.9000000000000001E-2</v>
      </c>
      <c r="AC4831" s="508">
        <v>2.9000000000000001E-2</v>
      </c>
      <c r="AD4831" s="508">
        <v>2.9000000000000001E-2</v>
      </c>
      <c r="AE4831" s="508">
        <v>2.9000000000000001E-2</v>
      </c>
      <c r="AF4831" s="508">
        <v>2.9000000000000001E-2</v>
      </c>
      <c r="AG4831" s="508">
        <v>2.9000000000000001E-2</v>
      </c>
      <c r="AH4831" s="508">
        <v>2.9000000000000001E-2</v>
      </c>
      <c r="AI4831" s="492">
        <v>2.9000000000000001E-2</v>
      </c>
      <c r="AJ4831" s="485"/>
    </row>
    <row r="4832" spans="2:36">
      <c r="B4832" s="136" t="s">
        <v>451</v>
      </c>
      <c r="C4832" s="132" t="s">
        <v>1369</v>
      </c>
      <c r="D4832" s="132" t="s">
        <v>1379</v>
      </c>
      <c r="E4832" s="508">
        <v>5.1999999999999998E-2</v>
      </c>
      <c r="F4832" s="508">
        <v>5.1999999999999998E-2</v>
      </c>
      <c r="G4832" s="508">
        <v>5.1999999999999998E-2</v>
      </c>
      <c r="H4832" s="508">
        <v>5.1999999999999998E-2</v>
      </c>
      <c r="I4832" s="508">
        <v>5.1999999999999998E-2</v>
      </c>
      <c r="J4832" s="508">
        <v>5.1999999999999998E-2</v>
      </c>
      <c r="K4832" s="508">
        <v>5.1999999999999998E-2</v>
      </c>
      <c r="L4832" s="508">
        <v>5.1999999999999998E-2</v>
      </c>
      <c r="M4832" s="508">
        <v>5.1999999999999998E-2</v>
      </c>
      <c r="N4832" s="508">
        <v>5.1999999999999998E-2</v>
      </c>
      <c r="O4832" s="508">
        <v>5.1999999999999998E-2</v>
      </c>
      <c r="P4832" s="508">
        <v>5.1999999999999998E-2</v>
      </c>
      <c r="Q4832" s="508">
        <v>5.1999999999999998E-2</v>
      </c>
      <c r="R4832" s="508">
        <v>5.1999999999999998E-2</v>
      </c>
      <c r="S4832" s="508">
        <v>5.1999999999999998E-2</v>
      </c>
      <c r="T4832" s="508">
        <v>5.1999999999999998E-2</v>
      </c>
      <c r="U4832" s="508">
        <v>5.1999999999999998E-2</v>
      </c>
      <c r="V4832" s="508">
        <v>5.1999999999999998E-2</v>
      </c>
      <c r="W4832" s="508">
        <v>5.1999999999999998E-2</v>
      </c>
      <c r="X4832" s="508">
        <v>5.1999999999999998E-2</v>
      </c>
      <c r="Y4832" s="508">
        <v>5.1999999999999998E-2</v>
      </c>
      <c r="Z4832" s="508">
        <v>5.1999999999999998E-2</v>
      </c>
      <c r="AA4832" s="508">
        <v>5.1999999999999998E-2</v>
      </c>
      <c r="AB4832" s="508">
        <v>5.1999999999999998E-2</v>
      </c>
      <c r="AC4832" s="508">
        <v>5.1999999999999998E-2</v>
      </c>
      <c r="AD4832" s="508">
        <v>5.1999999999999998E-2</v>
      </c>
      <c r="AE4832" s="508">
        <v>5.1999999999999998E-2</v>
      </c>
      <c r="AF4832" s="508">
        <v>5.1999999999999998E-2</v>
      </c>
      <c r="AG4832" s="508">
        <v>5.1999999999999998E-2</v>
      </c>
      <c r="AH4832" s="508">
        <v>5.1999999999999998E-2</v>
      </c>
      <c r="AI4832" s="492">
        <v>5.1999999999999998E-2</v>
      </c>
      <c r="AJ4832" s="485"/>
    </row>
    <row r="4833" spans="2:36">
      <c r="B4833" s="136" t="s">
        <v>452</v>
      </c>
      <c r="C4833" s="132" t="s">
        <v>1369</v>
      </c>
      <c r="D4833" s="132" t="s">
        <v>1379</v>
      </c>
      <c r="E4833" s="508">
        <v>4.5999999999999999E-2</v>
      </c>
      <c r="F4833" s="508">
        <v>4.5999999999999999E-2</v>
      </c>
      <c r="G4833" s="508">
        <v>4.5999999999999999E-2</v>
      </c>
      <c r="H4833" s="508">
        <v>4.5999999999999999E-2</v>
      </c>
      <c r="I4833" s="508">
        <v>4.5999999999999999E-2</v>
      </c>
      <c r="J4833" s="508">
        <v>4.5999999999999999E-2</v>
      </c>
      <c r="K4833" s="508">
        <v>4.5999999999999999E-2</v>
      </c>
      <c r="L4833" s="508">
        <v>4.5999999999999999E-2</v>
      </c>
      <c r="M4833" s="508">
        <v>4.5999999999999999E-2</v>
      </c>
      <c r="N4833" s="508">
        <v>4.5999999999999999E-2</v>
      </c>
      <c r="O4833" s="508">
        <v>4.5999999999999999E-2</v>
      </c>
      <c r="P4833" s="508">
        <v>4.5999999999999999E-2</v>
      </c>
      <c r="Q4833" s="508">
        <v>4.5999999999999999E-2</v>
      </c>
      <c r="R4833" s="508">
        <v>4.5999999999999999E-2</v>
      </c>
      <c r="S4833" s="508">
        <v>4.5999999999999999E-2</v>
      </c>
      <c r="T4833" s="508">
        <v>4.5999999999999999E-2</v>
      </c>
      <c r="U4833" s="508">
        <v>4.5999999999999999E-2</v>
      </c>
      <c r="V4833" s="508">
        <v>4.5999999999999999E-2</v>
      </c>
      <c r="W4833" s="508">
        <v>4.5999999999999999E-2</v>
      </c>
      <c r="X4833" s="508">
        <v>4.5999999999999999E-2</v>
      </c>
      <c r="Y4833" s="508">
        <v>4.5999999999999999E-2</v>
      </c>
      <c r="Z4833" s="508">
        <v>4.5999999999999999E-2</v>
      </c>
      <c r="AA4833" s="508">
        <v>4.5999999999999999E-2</v>
      </c>
      <c r="AB4833" s="508">
        <v>4.5999999999999999E-2</v>
      </c>
      <c r="AC4833" s="508">
        <v>4.5999999999999999E-2</v>
      </c>
      <c r="AD4833" s="508">
        <v>4.5999999999999999E-2</v>
      </c>
      <c r="AE4833" s="508">
        <v>4.5999999999999999E-2</v>
      </c>
      <c r="AF4833" s="508">
        <v>4.5999999999999999E-2</v>
      </c>
      <c r="AG4833" s="508">
        <v>4.5999999999999999E-2</v>
      </c>
      <c r="AH4833" s="508">
        <v>4.5999999999999999E-2</v>
      </c>
      <c r="AI4833" s="492">
        <v>4.5999999999999999E-2</v>
      </c>
      <c r="AJ4833" s="485"/>
    </row>
    <row r="4834" spans="2:36">
      <c r="B4834" s="136" t="s">
        <v>453</v>
      </c>
      <c r="C4834" s="132" t="s">
        <v>1369</v>
      </c>
      <c r="D4834" s="132" t="s">
        <v>1379</v>
      </c>
      <c r="E4834" s="508">
        <v>3.9E-2</v>
      </c>
      <c r="F4834" s="508">
        <v>3.9E-2</v>
      </c>
      <c r="G4834" s="508">
        <v>3.9E-2</v>
      </c>
      <c r="H4834" s="508">
        <v>3.9E-2</v>
      </c>
      <c r="I4834" s="508">
        <v>3.9E-2</v>
      </c>
      <c r="J4834" s="508">
        <v>3.9E-2</v>
      </c>
      <c r="K4834" s="508">
        <v>3.9E-2</v>
      </c>
      <c r="L4834" s="508">
        <v>3.9E-2</v>
      </c>
      <c r="M4834" s="508">
        <v>3.9E-2</v>
      </c>
      <c r="N4834" s="508">
        <v>3.9E-2</v>
      </c>
      <c r="O4834" s="508">
        <v>3.9E-2</v>
      </c>
      <c r="P4834" s="508">
        <v>3.9E-2</v>
      </c>
      <c r="Q4834" s="508">
        <v>3.9E-2</v>
      </c>
      <c r="R4834" s="508">
        <v>3.9E-2</v>
      </c>
      <c r="S4834" s="508">
        <v>3.9E-2</v>
      </c>
      <c r="T4834" s="508">
        <v>3.9E-2</v>
      </c>
      <c r="U4834" s="508">
        <v>3.9E-2</v>
      </c>
      <c r="V4834" s="508">
        <v>3.9E-2</v>
      </c>
      <c r="W4834" s="508">
        <v>3.9E-2</v>
      </c>
      <c r="X4834" s="508">
        <v>3.9E-2</v>
      </c>
      <c r="Y4834" s="508">
        <v>3.9E-2</v>
      </c>
      <c r="Z4834" s="508">
        <v>3.9E-2</v>
      </c>
      <c r="AA4834" s="508">
        <v>3.9E-2</v>
      </c>
      <c r="AB4834" s="508">
        <v>3.9E-2</v>
      </c>
      <c r="AC4834" s="508">
        <v>3.9E-2</v>
      </c>
      <c r="AD4834" s="508">
        <v>3.9E-2</v>
      </c>
      <c r="AE4834" s="508">
        <v>3.9E-2</v>
      </c>
      <c r="AF4834" s="508">
        <v>3.9E-2</v>
      </c>
      <c r="AG4834" s="508">
        <v>3.9E-2</v>
      </c>
      <c r="AH4834" s="508">
        <v>3.9E-2</v>
      </c>
      <c r="AI4834" s="492">
        <v>3.9E-2</v>
      </c>
      <c r="AJ4834" s="485"/>
    </row>
    <row r="4835" spans="2:36">
      <c r="B4835" s="136" t="s">
        <v>454</v>
      </c>
      <c r="C4835" s="132" t="s">
        <v>1369</v>
      </c>
      <c r="D4835" s="132" t="s">
        <v>1379</v>
      </c>
      <c r="E4835" s="508">
        <v>0.04</v>
      </c>
      <c r="F4835" s="508">
        <v>0.04</v>
      </c>
      <c r="G4835" s="508">
        <v>0.04</v>
      </c>
      <c r="H4835" s="508">
        <v>0.04</v>
      </c>
      <c r="I4835" s="508">
        <v>0.04</v>
      </c>
      <c r="J4835" s="508">
        <v>0.04</v>
      </c>
      <c r="K4835" s="508">
        <v>0.04</v>
      </c>
      <c r="L4835" s="508">
        <v>0.04</v>
      </c>
      <c r="M4835" s="508">
        <v>0.04</v>
      </c>
      <c r="N4835" s="508">
        <v>0.04</v>
      </c>
      <c r="O4835" s="508">
        <v>0.04</v>
      </c>
      <c r="P4835" s="508">
        <v>0.04</v>
      </c>
      <c r="Q4835" s="508">
        <v>0.04</v>
      </c>
      <c r="R4835" s="508">
        <v>0.04</v>
      </c>
      <c r="S4835" s="508">
        <v>0.04</v>
      </c>
      <c r="T4835" s="508">
        <v>0.04</v>
      </c>
      <c r="U4835" s="508">
        <v>0.04</v>
      </c>
      <c r="V4835" s="508">
        <v>0.04</v>
      </c>
      <c r="W4835" s="508">
        <v>0.04</v>
      </c>
      <c r="X4835" s="508">
        <v>0.04</v>
      </c>
      <c r="Y4835" s="508">
        <v>0.04</v>
      </c>
      <c r="Z4835" s="508">
        <v>0.04</v>
      </c>
      <c r="AA4835" s="508">
        <v>0.04</v>
      </c>
      <c r="AB4835" s="508">
        <v>0.04</v>
      </c>
      <c r="AC4835" s="508">
        <v>0.04</v>
      </c>
      <c r="AD4835" s="508">
        <v>0.04</v>
      </c>
      <c r="AE4835" s="508">
        <v>0.04</v>
      </c>
      <c r="AF4835" s="508">
        <v>0.04</v>
      </c>
      <c r="AG4835" s="508">
        <v>0.04</v>
      </c>
      <c r="AH4835" s="508">
        <v>0.04</v>
      </c>
      <c r="AI4835" s="492">
        <v>0.04</v>
      </c>
      <c r="AJ4835" s="485"/>
    </row>
    <row r="4836" spans="2:36">
      <c r="B4836" s="136" t="s">
        <v>455</v>
      </c>
      <c r="C4836" s="132" t="s">
        <v>1369</v>
      </c>
      <c r="D4836" s="132" t="s">
        <v>1379</v>
      </c>
      <c r="E4836" s="508">
        <v>3.6999999999999998E-2</v>
      </c>
      <c r="F4836" s="508">
        <v>3.6999999999999998E-2</v>
      </c>
      <c r="G4836" s="508">
        <v>3.6999999999999998E-2</v>
      </c>
      <c r="H4836" s="508">
        <v>3.6999999999999998E-2</v>
      </c>
      <c r="I4836" s="508">
        <v>3.6999999999999998E-2</v>
      </c>
      <c r="J4836" s="508">
        <v>3.6999999999999998E-2</v>
      </c>
      <c r="K4836" s="508">
        <v>3.6999999999999998E-2</v>
      </c>
      <c r="L4836" s="508">
        <v>3.6999999999999998E-2</v>
      </c>
      <c r="M4836" s="508">
        <v>3.6999999999999998E-2</v>
      </c>
      <c r="N4836" s="508">
        <v>3.6999999999999998E-2</v>
      </c>
      <c r="O4836" s="508">
        <v>3.6999999999999998E-2</v>
      </c>
      <c r="P4836" s="508">
        <v>3.6999999999999998E-2</v>
      </c>
      <c r="Q4836" s="508">
        <v>3.6999999999999998E-2</v>
      </c>
      <c r="R4836" s="508">
        <v>3.6999999999999998E-2</v>
      </c>
      <c r="S4836" s="508">
        <v>3.6999999999999998E-2</v>
      </c>
      <c r="T4836" s="508">
        <v>3.6999999999999998E-2</v>
      </c>
      <c r="U4836" s="508">
        <v>3.6999999999999998E-2</v>
      </c>
      <c r="V4836" s="508">
        <v>3.6999999999999998E-2</v>
      </c>
      <c r="W4836" s="508">
        <v>3.6999999999999998E-2</v>
      </c>
      <c r="X4836" s="508">
        <v>3.6999999999999998E-2</v>
      </c>
      <c r="Y4836" s="508">
        <v>3.6999999999999998E-2</v>
      </c>
      <c r="Z4836" s="508">
        <v>3.6999999999999998E-2</v>
      </c>
      <c r="AA4836" s="508">
        <v>3.6999999999999998E-2</v>
      </c>
      <c r="AB4836" s="508">
        <v>3.6999999999999998E-2</v>
      </c>
      <c r="AC4836" s="508">
        <v>3.6999999999999998E-2</v>
      </c>
      <c r="AD4836" s="508">
        <v>3.6999999999999998E-2</v>
      </c>
      <c r="AE4836" s="508">
        <v>3.6999999999999998E-2</v>
      </c>
      <c r="AF4836" s="508">
        <v>3.6999999999999998E-2</v>
      </c>
      <c r="AG4836" s="508">
        <v>3.6999999999999998E-2</v>
      </c>
      <c r="AH4836" s="508">
        <v>3.6999999999999998E-2</v>
      </c>
      <c r="AI4836" s="492">
        <v>3.6999999999999998E-2</v>
      </c>
      <c r="AJ4836" s="485"/>
    </row>
    <row r="4837" spans="2:36">
      <c r="B4837" s="136" t="s">
        <v>456</v>
      </c>
      <c r="C4837" s="132" t="s">
        <v>1369</v>
      </c>
      <c r="D4837" s="132" t="s">
        <v>1379</v>
      </c>
      <c r="E4837" s="508">
        <v>4.2000000000000003E-2</v>
      </c>
      <c r="F4837" s="508">
        <v>4.2000000000000003E-2</v>
      </c>
      <c r="G4837" s="508">
        <v>4.2000000000000003E-2</v>
      </c>
      <c r="H4837" s="508">
        <v>4.2000000000000003E-2</v>
      </c>
      <c r="I4837" s="508">
        <v>4.2000000000000003E-2</v>
      </c>
      <c r="J4837" s="508">
        <v>4.2000000000000003E-2</v>
      </c>
      <c r="K4837" s="508">
        <v>4.2000000000000003E-2</v>
      </c>
      <c r="L4837" s="508">
        <v>4.2000000000000003E-2</v>
      </c>
      <c r="M4837" s="508">
        <v>4.2000000000000003E-2</v>
      </c>
      <c r="N4837" s="508">
        <v>4.2000000000000003E-2</v>
      </c>
      <c r="O4837" s="508">
        <v>4.2000000000000003E-2</v>
      </c>
      <c r="P4837" s="508">
        <v>4.2000000000000003E-2</v>
      </c>
      <c r="Q4837" s="508">
        <v>4.2000000000000003E-2</v>
      </c>
      <c r="R4837" s="508">
        <v>4.2000000000000003E-2</v>
      </c>
      <c r="S4837" s="508">
        <v>4.2000000000000003E-2</v>
      </c>
      <c r="T4837" s="508">
        <v>4.2000000000000003E-2</v>
      </c>
      <c r="U4837" s="508">
        <v>4.2000000000000003E-2</v>
      </c>
      <c r="V4837" s="508">
        <v>4.2000000000000003E-2</v>
      </c>
      <c r="W4837" s="508">
        <v>4.2000000000000003E-2</v>
      </c>
      <c r="X4837" s="508">
        <v>4.2000000000000003E-2</v>
      </c>
      <c r="Y4837" s="508">
        <v>4.2000000000000003E-2</v>
      </c>
      <c r="Z4837" s="508">
        <v>4.2000000000000003E-2</v>
      </c>
      <c r="AA4837" s="508">
        <v>4.2000000000000003E-2</v>
      </c>
      <c r="AB4837" s="508">
        <v>4.2000000000000003E-2</v>
      </c>
      <c r="AC4837" s="508">
        <v>4.2000000000000003E-2</v>
      </c>
      <c r="AD4837" s="508">
        <v>4.2000000000000003E-2</v>
      </c>
      <c r="AE4837" s="508">
        <v>4.2000000000000003E-2</v>
      </c>
      <c r="AF4837" s="508">
        <v>4.2000000000000003E-2</v>
      </c>
      <c r="AG4837" s="508">
        <v>4.2000000000000003E-2</v>
      </c>
      <c r="AH4837" s="508">
        <v>4.2000000000000003E-2</v>
      </c>
      <c r="AI4837" s="492">
        <v>4.2000000000000003E-2</v>
      </c>
      <c r="AJ4837" s="485"/>
    </row>
    <row r="4838" spans="2:36">
      <c r="B4838" s="136" t="s">
        <v>457</v>
      </c>
      <c r="C4838" s="132" t="s">
        <v>1369</v>
      </c>
      <c r="D4838" s="132" t="s">
        <v>1379</v>
      </c>
      <c r="E4838" s="508">
        <v>3.5000000000000003E-2</v>
      </c>
      <c r="F4838" s="508">
        <v>3.5000000000000003E-2</v>
      </c>
      <c r="G4838" s="508">
        <v>3.5000000000000003E-2</v>
      </c>
      <c r="H4838" s="508">
        <v>3.5000000000000003E-2</v>
      </c>
      <c r="I4838" s="508">
        <v>3.5000000000000003E-2</v>
      </c>
      <c r="J4838" s="508">
        <v>3.5000000000000003E-2</v>
      </c>
      <c r="K4838" s="508">
        <v>3.5000000000000003E-2</v>
      </c>
      <c r="L4838" s="508">
        <v>3.5000000000000003E-2</v>
      </c>
      <c r="M4838" s="508">
        <v>3.5000000000000003E-2</v>
      </c>
      <c r="N4838" s="508">
        <v>3.5000000000000003E-2</v>
      </c>
      <c r="O4838" s="508">
        <v>3.5000000000000003E-2</v>
      </c>
      <c r="P4838" s="508">
        <v>3.5000000000000003E-2</v>
      </c>
      <c r="Q4838" s="508">
        <v>3.5000000000000003E-2</v>
      </c>
      <c r="R4838" s="508">
        <v>3.5000000000000003E-2</v>
      </c>
      <c r="S4838" s="508">
        <v>3.5000000000000003E-2</v>
      </c>
      <c r="T4838" s="508">
        <v>3.5000000000000003E-2</v>
      </c>
      <c r="U4838" s="508">
        <v>3.5000000000000003E-2</v>
      </c>
      <c r="V4838" s="508">
        <v>3.5000000000000003E-2</v>
      </c>
      <c r="W4838" s="508">
        <v>3.5000000000000003E-2</v>
      </c>
      <c r="X4838" s="508">
        <v>3.5000000000000003E-2</v>
      </c>
      <c r="Y4838" s="508">
        <v>3.5000000000000003E-2</v>
      </c>
      <c r="Z4838" s="508">
        <v>3.5000000000000003E-2</v>
      </c>
      <c r="AA4838" s="508">
        <v>3.5000000000000003E-2</v>
      </c>
      <c r="AB4838" s="508">
        <v>3.5000000000000003E-2</v>
      </c>
      <c r="AC4838" s="508">
        <v>3.5000000000000003E-2</v>
      </c>
      <c r="AD4838" s="508">
        <v>3.5000000000000003E-2</v>
      </c>
      <c r="AE4838" s="508">
        <v>3.5000000000000003E-2</v>
      </c>
      <c r="AF4838" s="508">
        <v>3.5000000000000003E-2</v>
      </c>
      <c r="AG4838" s="508">
        <v>3.5000000000000003E-2</v>
      </c>
      <c r="AH4838" s="508">
        <v>3.5000000000000003E-2</v>
      </c>
      <c r="AI4838" s="492">
        <v>3.5000000000000003E-2</v>
      </c>
      <c r="AJ4838" s="485"/>
    </row>
    <row r="4839" spans="2:36">
      <c r="B4839" s="136" t="s">
        <v>458</v>
      </c>
      <c r="C4839" s="132" t="s">
        <v>1369</v>
      </c>
      <c r="D4839" s="132" t="s">
        <v>1379</v>
      </c>
      <c r="E4839" s="508">
        <v>4.2000000000000003E-2</v>
      </c>
      <c r="F4839" s="508">
        <v>4.2000000000000003E-2</v>
      </c>
      <c r="G4839" s="508">
        <v>4.2000000000000003E-2</v>
      </c>
      <c r="H4839" s="508">
        <v>4.2000000000000003E-2</v>
      </c>
      <c r="I4839" s="508">
        <v>4.2000000000000003E-2</v>
      </c>
      <c r="J4839" s="508">
        <v>4.2000000000000003E-2</v>
      </c>
      <c r="K4839" s="508">
        <v>4.2000000000000003E-2</v>
      </c>
      <c r="L4839" s="508">
        <v>4.2000000000000003E-2</v>
      </c>
      <c r="M4839" s="508">
        <v>4.2000000000000003E-2</v>
      </c>
      <c r="N4839" s="508">
        <v>4.2000000000000003E-2</v>
      </c>
      <c r="O4839" s="508">
        <v>4.2000000000000003E-2</v>
      </c>
      <c r="P4839" s="508">
        <v>4.2000000000000003E-2</v>
      </c>
      <c r="Q4839" s="508">
        <v>4.2000000000000003E-2</v>
      </c>
      <c r="R4839" s="508">
        <v>4.2000000000000003E-2</v>
      </c>
      <c r="S4839" s="508">
        <v>4.2000000000000003E-2</v>
      </c>
      <c r="T4839" s="508">
        <v>4.2000000000000003E-2</v>
      </c>
      <c r="U4839" s="508">
        <v>4.2000000000000003E-2</v>
      </c>
      <c r="V4839" s="508">
        <v>4.2000000000000003E-2</v>
      </c>
      <c r="W4839" s="508">
        <v>4.2000000000000003E-2</v>
      </c>
      <c r="X4839" s="508">
        <v>4.2000000000000003E-2</v>
      </c>
      <c r="Y4839" s="508">
        <v>4.2000000000000003E-2</v>
      </c>
      <c r="Z4839" s="508">
        <v>4.2000000000000003E-2</v>
      </c>
      <c r="AA4839" s="508">
        <v>4.2000000000000003E-2</v>
      </c>
      <c r="AB4839" s="508">
        <v>4.2000000000000003E-2</v>
      </c>
      <c r="AC4839" s="508">
        <v>4.2000000000000003E-2</v>
      </c>
      <c r="AD4839" s="508">
        <v>4.2000000000000003E-2</v>
      </c>
      <c r="AE4839" s="508">
        <v>4.2000000000000003E-2</v>
      </c>
      <c r="AF4839" s="508">
        <v>4.2000000000000003E-2</v>
      </c>
      <c r="AG4839" s="508">
        <v>4.2000000000000003E-2</v>
      </c>
      <c r="AH4839" s="508">
        <v>4.2000000000000003E-2</v>
      </c>
      <c r="AI4839" s="492">
        <v>4.2000000000000003E-2</v>
      </c>
      <c r="AJ4839" s="485"/>
    </row>
    <row r="4840" spans="2:36">
      <c r="B4840" s="136" t="s">
        <v>459</v>
      </c>
      <c r="C4840" s="132" t="s">
        <v>1369</v>
      </c>
      <c r="D4840" s="132" t="s">
        <v>1379</v>
      </c>
      <c r="E4840" s="508">
        <v>4.2000000000000003E-2</v>
      </c>
      <c r="F4840" s="508">
        <v>4.2000000000000003E-2</v>
      </c>
      <c r="G4840" s="508">
        <v>4.2000000000000003E-2</v>
      </c>
      <c r="H4840" s="508">
        <v>4.2000000000000003E-2</v>
      </c>
      <c r="I4840" s="508">
        <v>4.2000000000000003E-2</v>
      </c>
      <c r="J4840" s="508">
        <v>4.2000000000000003E-2</v>
      </c>
      <c r="K4840" s="508">
        <v>4.2000000000000003E-2</v>
      </c>
      <c r="L4840" s="508">
        <v>4.2000000000000003E-2</v>
      </c>
      <c r="M4840" s="508">
        <v>4.2000000000000003E-2</v>
      </c>
      <c r="N4840" s="508">
        <v>4.2000000000000003E-2</v>
      </c>
      <c r="O4840" s="508">
        <v>4.2000000000000003E-2</v>
      </c>
      <c r="P4840" s="508">
        <v>4.2000000000000003E-2</v>
      </c>
      <c r="Q4840" s="508">
        <v>4.2000000000000003E-2</v>
      </c>
      <c r="R4840" s="508">
        <v>4.2000000000000003E-2</v>
      </c>
      <c r="S4840" s="508">
        <v>4.2000000000000003E-2</v>
      </c>
      <c r="T4840" s="508">
        <v>4.2000000000000003E-2</v>
      </c>
      <c r="U4840" s="508">
        <v>4.2000000000000003E-2</v>
      </c>
      <c r="V4840" s="508">
        <v>4.2000000000000003E-2</v>
      </c>
      <c r="W4840" s="508">
        <v>4.2000000000000003E-2</v>
      </c>
      <c r="X4840" s="508">
        <v>4.2000000000000003E-2</v>
      </c>
      <c r="Y4840" s="508">
        <v>4.2000000000000003E-2</v>
      </c>
      <c r="Z4840" s="508">
        <v>4.2000000000000003E-2</v>
      </c>
      <c r="AA4840" s="508">
        <v>4.2000000000000003E-2</v>
      </c>
      <c r="AB4840" s="508">
        <v>4.2000000000000003E-2</v>
      </c>
      <c r="AC4840" s="508">
        <v>4.2000000000000003E-2</v>
      </c>
      <c r="AD4840" s="508">
        <v>4.2000000000000003E-2</v>
      </c>
      <c r="AE4840" s="508">
        <v>4.2000000000000003E-2</v>
      </c>
      <c r="AF4840" s="508">
        <v>4.2000000000000003E-2</v>
      </c>
      <c r="AG4840" s="508">
        <v>4.2000000000000003E-2</v>
      </c>
      <c r="AH4840" s="508">
        <v>4.2000000000000003E-2</v>
      </c>
      <c r="AI4840" s="492">
        <v>4.2000000000000003E-2</v>
      </c>
      <c r="AJ4840" s="485"/>
    </row>
    <row r="4841" spans="2:36">
      <c r="B4841" s="136" t="s">
        <v>460</v>
      </c>
      <c r="C4841" s="132" t="s">
        <v>1369</v>
      </c>
      <c r="D4841" s="132" t="s">
        <v>1379</v>
      </c>
      <c r="E4841" s="508">
        <v>4.3999999999999997E-2</v>
      </c>
      <c r="F4841" s="508">
        <v>4.3999999999999997E-2</v>
      </c>
      <c r="G4841" s="508">
        <v>4.3999999999999997E-2</v>
      </c>
      <c r="H4841" s="508">
        <v>4.3999999999999997E-2</v>
      </c>
      <c r="I4841" s="508">
        <v>4.3999999999999997E-2</v>
      </c>
      <c r="J4841" s="508">
        <v>4.3999999999999997E-2</v>
      </c>
      <c r="K4841" s="508">
        <v>4.3999999999999997E-2</v>
      </c>
      <c r="L4841" s="508">
        <v>4.3999999999999997E-2</v>
      </c>
      <c r="M4841" s="508">
        <v>4.3999999999999997E-2</v>
      </c>
      <c r="N4841" s="508">
        <v>4.3999999999999997E-2</v>
      </c>
      <c r="O4841" s="508">
        <v>4.3999999999999997E-2</v>
      </c>
      <c r="P4841" s="508">
        <v>4.3999999999999997E-2</v>
      </c>
      <c r="Q4841" s="508">
        <v>4.3999999999999997E-2</v>
      </c>
      <c r="R4841" s="508">
        <v>4.3999999999999997E-2</v>
      </c>
      <c r="S4841" s="508">
        <v>4.3999999999999997E-2</v>
      </c>
      <c r="T4841" s="508">
        <v>4.3999999999999997E-2</v>
      </c>
      <c r="U4841" s="508">
        <v>4.3999999999999997E-2</v>
      </c>
      <c r="V4841" s="508">
        <v>4.3999999999999997E-2</v>
      </c>
      <c r="W4841" s="508">
        <v>4.3999999999999997E-2</v>
      </c>
      <c r="X4841" s="508">
        <v>4.3999999999999997E-2</v>
      </c>
      <c r="Y4841" s="508">
        <v>4.3999999999999997E-2</v>
      </c>
      <c r="Z4841" s="508">
        <v>4.3999999999999997E-2</v>
      </c>
      <c r="AA4841" s="508">
        <v>4.3999999999999997E-2</v>
      </c>
      <c r="AB4841" s="508">
        <v>4.3999999999999997E-2</v>
      </c>
      <c r="AC4841" s="508">
        <v>4.3999999999999997E-2</v>
      </c>
      <c r="AD4841" s="508">
        <v>4.3999999999999997E-2</v>
      </c>
      <c r="AE4841" s="508">
        <v>4.3999999999999997E-2</v>
      </c>
      <c r="AF4841" s="508">
        <v>4.3999999999999997E-2</v>
      </c>
      <c r="AG4841" s="508">
        <v>4.3999999999999997E-2</v>
      </c>
      <c r="AH4841" s="508">
        <v>4.3999999999999997E-2</v>
      </c>
      <c r="AI4841" s="492">
        <v>4.3999999999999997E-2</v>
      </c>
      <c r="AJ4841" s="485"/>
    </row>
    <row r="4842" spans="2:36">
      <c r="B4842" s="136" t="s">
        <v>461</v>
      </c>
      <c r="C4842" s="132" t="s">
        <v>1369</v>
      </c>
      <c r="D4842" s="132" t="s">
        <v>1379</v>
      </c>
      <c r="E4842" s="508">
        <v>4.1000000000000002E-2</v>
      </c>
      <c r="F4842" s="508">
        <v>4.1000000000000002E-2</v>
      </c>
      <c r="G4842" s="508">
        <v>4.1000000000000002E-2</v>
      </c>
      <c r="H4842" s="508">
        <v>4.1000000000000002E-2</v>
      </c>
      <c r="I4842" s="508">
        <v>4.1000000000000002E-2</v>
      </c>
      <c r="J4842" s="508">
        <v>4.1000000000000002E-2</v>
      </c>
      <c r="K4842" s="508">
        <v>4.1000000000000002E-2</v>
      </c>
      <c r="L4842" s="508">
        <v>4.1000000000000002E-2</v>
      </c>
      <c r="M4842" s="508">
        <v>4.1000000000000002E-2</v>
      </c>
      <c r="N4842" s="508">
        <v>4.1000000000000002E-2</v>
      </c>
      <c r="O4842" s="508">
        <v>4.1000000000000002E-2</v>
      </c>
      <c r="P4842" s="508">
        <v>4.1000000000000002E-2</v>
      </c>
      <c r="Q4842" s="508">
        <v>4.1000000000000002E-2</v>
      </c>
      <c r="R4842" s="508">
        <v>4.1000000000000002E-2</v>
      </c>
      <c r="S4842" s="508">
        <v>4.1000000000000002E-2</v>
      </c>
      <c r="T4842" s="508">
        <v>4.1000000000000002E-2</v>
      </c>
      <c r="U4842" s="508">
        <v>4.1000000000000002E-2</v>
      </c>
      <c r="V4842" s="508">
        <v>4.1000000000000002E-2</v>
      </c>
      <c r="W4842" s="508">
        <v>4.1000000000000002E-2</v>
      </c>
      <c r="X4842" s="508">
        <v>4.1000000000000002E-2</v>
      </c>
      <c r="Y4842" s="508">
        <v>4.1000000000000002E-2</v>
      </c>
      <c r="Z4842" s="508">
        <v>4.1000000000000002E-2</v>
      </c>
      <c r="AA4842" s="508">
        <v>4.1000000000000002E-2</v>
      </c>
      <c r="AB4842" s="508">
        <v>4.1000000000000002E-2</v>
      </c>
      <c r="AC4842" s="508">
        <v>4.1000000000000002E-2</v>
      </c>
      <c r="AD4842" s="508">
        <v>4.1000000000000002E-2</v>
      </c>
      <c r="AE4842" s="508">
        <v>4.1000000000000002E-2</v>
      </c>
      <c r="AF4842" s="508">
        <v>4.1000000000000002E-2</v>
      </c>
      <c r="AG4842" s="508">
        <v>4.1000000000000002E-2</v>
      </c>
      <c r="AH4842" s="508">
        <v>4.1000000000000002E-2</v>
      </c>
      <c r="AI4842" s="492">
        <v>4.1000000000000002E-2</v>
      </c>
      <c r="AJ4842" s="485"/>
    </row>
    <row r="4843" spans="2:36">
      <c r="B4843" s="136" t="s">
        <v>462</v>
      </c>
      <c r="C4843" s="132" t="s">
        <v>1369</v>
      </c>
      <c r="D4843" s="132" t="s">
        <v>1379</v>
      </c>
      <c r="E4843" s="508">
        <v>0.04</v>
      </c>
      <c r="F4843" s="508">
        <v>0.04</v>
      </c>
      <c r="G4843" s="508">
        <v>0.04</v>
      </c>
      <c r="H4843" s="508">
        <v>0.04</v>
      </c>
      <c r="I4843" s="508">
        <v>0.04</v>
      </c>
      <c r="J4843" s="508">
        <v>0.04</v>
      </c>
      <c r="K4843" s="508">
        <v>0.04</v>
      </c>
      <c r="L4843" s="508">
        <v>0.04</v>
      </c>
      <c r="M4843" s="508">
        <v>0.04</v>
      </c>
      <c r="N4843" s="508">
        <v>0.04</v>
      </c>
      <c r="O4843" s="508">
        <v>0.04</v>
      </c>
      <c r="P4843" s="508">
        <v>0.04</v>
      </c>
      <c r="Q4843" s="508">
        <v>0.04</v>
      </c>
      <c r="R4843" s="508">
        <v>0.04</v>
      </c>
      <c r="S4843" s="508">
        <v>0.04</v>
      </c>
      <c r="T4843" s="508">
        <v>0.04</v>
      </c>
      <c r="U4843" s="508">
        <v>0.04</v>
      </c>
      <c r="V4843" s="508">
        <v>0.04</v>
      </c>
      <c r="W4843" s="508">
        <v>0.04</v>
      </c>
      <c r="X4843" s="508">
        <v>0.04</v>
      </c>
      <c r="Y4843" s="508">
        <v>0.04</v>
      </c>
      <c r="Z4843" s="508">
        <v>0.04</v>
      </c>
      <c r="AA4843" s="508">
        <v>0.04</v>
      </c>
      <c r="AB4843" s="508">
        <v>0.04</v>
      </c>
      <c r="AC4843" s="508">
        <v>0.04</v>
      </c>
      <c r="AD4843" s="508">
        <v>0.04</v>
      </c>
      <c r="AE4843" s="508">
        <v>0.04</v>
      </c>
      <c r="AF4843" s="508">
        <v>0.04</v>
      </c>
      <c r="AG4843" s="508">
        <v>0.04</v>
      </c>
      <c r="AH4843" s="508">
        <v>0.04</v>
      </c>
      <c r="AI4843" s="492">
        <v>0.04</v>
      </c>
      <c r="AJ4843" s="485"/>
    </row>
    <row r="4844" spans="2:36">
      <c r="B4844" s="136" t="s">
        <v>463</v>
      </c>
      <c r="C4844" s="132" t="s">
        <v>1369</v>
      </c>
      <c r="D4844" s="132" t="s">
        <v>1379</v>
      </c>
      <c r="E4844" s="508">
        <v>3.5000000000000003E-2</v>
      </c>
      <c r="F4844" s="508">
        <v>3.5000000000000003E-2</v>
      </c>
      <c r="G4844" s="508">
        <v>3.5000000000000003E-2</v>
      </c>
      <c r="H4844" s="508">
        <v>3.5000000000000003E-2</v>
      </c>
      <c r="I4844" s="508">
        <v>3.5000000000000003E-2</v>
      </c>
      <c r="J4844" s="508">
        <v>3.5000000000000003E-2</v>
      </c>
      <c r="K4844" s="508">
        <v>3.5000000000000003E-2</v>
      </c>
      <c r="L4844" s="508">
        <v>3.5000000000000003E-2</v>
      </c>
      <c r="M4844" s="508">
        <v>3.5000000000000003E-2</v>
      </c>
      <c r="N4844" s="508">
        <v>3.5000000000000003E-2</v>
      </c>
      <c r="O4844" s="508">
        <v>3.5000000000000003E-2</v>
      </c>
      <c r="P4844" s="508">
        <v>3.5000000000000003E-2</v>
      </c>
      <c r="Q4844" s="508">
        <v>3.5000000000000003E-2</v>
      </c>
      <c r="R4844" s="508">
        <v>3.5000000000000003E-2</v>
      </c>
      <c r="S4844" s="508">
        <v>3.5000000000000003E-2</v>
      </c>
      <c r="T4844" s="508">
        <v>3.5000000000000003E-2</v>
      </c>
      <c r="U4844" s="508">
        <v>3.5000000000000003E-2</v>
      </c>
      <c r="V4844" s="508">
        <v>3.5000000000000003E-2</v>
      </c>
      <c r="W4844" s="508">
        <v>3.5000000000000003E-2</v>
      </c>
      <c r="X4844" s="508">
        <v>3.5000000000000003E-2</v>
      </c>
      <c r="Y4844" s="508">
        <v>3.5000000000000003E-2</v>
      </c>
      <c r="Z4844" s="508">
        <v>3.5000000000000003E-2</v>
      </c>
      <c r="AA4844" s="508">
        <v>3.5000000000000003E-2</v>
      </c>
      <c r="AB4844" s="508">
        <v>3.5000000000000003E-2</v>
      </c>
      <c r="AC4844" s="508">
        <v>3.5000000000000003E-2</v>
      </c>
      <c r="AD4844" s="508">
        <v>3.5000000000000003E-2</v>
      </c>
      <c r="AE4844" s="508">
        <v>3.5000000000000003E-2</v>
      </c>
      <c r="AF4844" s="508">
        <v>3.5000000000000003E-2</v>
      </c>
      <c r="AG4844" s="508">
        <v>3.5000000000000003E-2</v>
      </c>
      <c r="AH4844" s="508">
        <v>3.5000000000000003E-2</v>
      </c>
      <c r="AI4844" s="492">
        <v>3.5000000000000003E-2</v>
      </c>
      <c r="AJ4844" s="485"/>
    </row>
    <row r="4845" spans="2:36">
      <c r="B4845" s="136" t="s">
        <v>464</v>
      </c>
      <c r="C4845" s="132" t="s">
        <v>1369</v>
      </c>
      <c r="D4845" s="132" t="s">
        <v>1379</v>
      </c>
      <c r="E4845" s="508">
        <v>3.5000000000000003E-2</v>
      </c>
      <c r="F4845" s="508">
        <v>3.5000000000000003E-2</v>
      </c>
      <c r="G4845" s="508">
        <v>3.5000000000000003E-2</v>
      </c>
      <c r="H4845" s="508">
        <v>3.5000000000000003E-2</v>
      </c>
      <c r="I4845" s="508">
        <v>3.5000000000000003E-2</v>
      </c>
      <c r="J4845" s="508">
        <v>3.5000000000000003E-2</v>
      </c>
      <c r="K4845" s="508">
        <v>3.5000000000000003E-2</v>
      </c>
      <c r="L4845" s="508">
        <v>3.5000000000000003E-2</v>
      </c>
      <c r="M4845" s="508">
        <v>3.5000000000000003E-2</v>
      </c>
      <c r="N4845" s="508">
        <v>3.5000000000000003E-2</v>
      </c>
      <c r="O4845" s="508">
        <v>3.5000000000000003E-2</v>
      </c>
      <c r="P4845" s="508">
        <v>3.5000000000000003E-2</v>
      </c>
      <c r="Q4845" s="508">
        <v>3.5000000000000003E-2</v>
      </c>
      <c r="R4845" s="508">
        <v>3.5000000000000003E-2</v>
      </c>
      <c r="S4845" s="508">
        <v>3.5000000000000003E-2</v>
      </c>
      <c r="T4845" s="508">
        <v>3.5000000000000003E-2</v>
      </c>
      <c r="U4845" s="508">
        <v>3.5000000000000003E-2</v>
      </c>
      <c r="V4845" s="508">
        <v>3.5000000000000003E-2</v>
      </c>
      <c r="W4845" s="508">
        <v>3.5000000000000003E-2</v>
      </c>
      <c r="X4845" s="508">
        <v>3.5000000000000003E-2</v>
      </c>
      <c r="Y4845" s="508">
        <v>3.5000000000000003E-2</v>
      </c>
      <c r="Z4845" s="508">
        <v>3.5000000000000003E-2</v>
      </c>
      <c r="AA4845" s="508">
        <v>3.5000000000000003E-2</v>
      </c>
      <c r="AB4845" s="508">
        <v>3.5000000000000003E-2</v>
      </c>
      <c r="AC4845" s="508">
        <v>3.5000000000000003E-2</v>
      </c>
      <c r="AD4845" s="508">
        <v>3.5000000000000003E-2</v>
      </c>
      <c r="AE4845" s="508">
        <v>3.5000000000000003E-2</v>
      </c>
      <c r="AF4845" s="508">
        <v>3.5000000000000003E-2</v>
      </c>
      <c r="AG4845" s="508">
        <v>3.5000000000000003E-2</v>
      </c>
      <c r="AH4845" s="508">
        <v>3.5000000000000003E-2</v>
      </c>
      <c r="AI4845" s="492">
        <v>3.5000000000000003E-2</v>
      </c>
      <c r="AJ4845" s="485"/>
    </row>
    <row r="4846" spans="2:36">
      <c r="B4846" s="136" t="s">
        <v>465</v>
      </c>
      <c r="C4846" s="132" t="s">
        <v>1369</v>
      </c>
      <c r="D4846" s="132" t="s">
        <v>1379</v>
      </c>
      <c r="E4846" s="508">
        <v>3.7999999999999999E-2</v>
      </c>
      <c r="F4846" s="508">
        <v>3.7999999999999999E-2</v>
      </c>
      <c r="G4846" s="508">
        <v>3.7999999999999999E-2</v>
      </c>
      <c r="H4846" s="508">
        <v>3.7999999999999999E-2</v>
      </c>
      <c r="I4846" s="508">
        <v>3.7999999999999999E-2</v>
      </c>
      <c r="J4846" s="508">
        <v>3.7999999999999999E-2</v>
      </c>
      <c r="K4846" s="508">
        <v>3.7999999999999999E-2</v>
      </c>
      <c r="L4846" s="508">
        <v>3.7999999999999999E-2</v>
      </c>
      <c r="M4846" s="508">
        <v>3.7999999999999999E-2</v>
      </c>
      <c r="N4846" s="508">
        <v>3.7999999999999999E-2</v>
      </c>
      <c r="O4846" s="508">
        <v>3.7999999999999999E-2</v>
      </c>
      <c r="P4846" s="508">
        <v>3.7999999999999999E-2</v>
      </c>
      <c r="Q4846" s="508">
        <v>3.7999999999999999E-2</v>
      </c>
      <c r="R4846" s="508">
        <v>3.7999999999999999E-2</v>
      </c>
      <c r="S4846" s="508">
        <v>3.7999999999999999E-2</v>
      </c>
      <c r="T4846" s="508">
        <v>3.7999999999999999E-2</v>
      </c>
      <c r="U4846" s="508">
        <v>3.7999999999999999E-2</v>
      </c>
      <c r="V4846" s="508">
        <v>3.7999999999999999E-2</v>
      </c>
      <c r="W4846" s="508">
        <v>3.7999999999999999E-2</v>
      </c>
      <c r="X4846" s="508">
        <v>3.7999999999999999E-2</v>
      </c>
      <c r="Y4846" s="508">
        <v>3.7999999999999999E-2</v>
      </c>
      <c r="Z4846" s="508">
        <v>3.7999999999999999E-2</v>
      </c>
      <c r="AA4846" s="508">
        <v>3.7999999999999999E-2</v>
      </c>
      <c r="AB4846" s="508">
        <v>3.7999999999999999E-2</v>
      </c>
      <c r="AC4846" s="508">
        <v>3.7999999999999999E-2</v>
      </c>
      <c r="AD4846" s="508">
        <v>3.7999999999999999E-2</v>
      </c>
      <c r="AE4846" s="508">
        <v>3.7999999999999999E-2</v>
      </c>
      <c r="AF4846" s="508">
        <v>3.7999999999999999E-2</v>
      </c>
      <c r="AG4846" s="508">
        <v>3.7999999999999999E-2</v>
      </c>
      <c r="AH4846" s="508">
        <v>3.7999999999999999E-2</v>
      </c>
      <c r="AI4846" s="492">
        <v>3.7999999999999999E-2</v>
      </c>
      <c r="AJ4846" s="485"/>
    </row>
    <row r="4847" spans="2:36">
      <c r="B4847" s="136" t="s">
        <v>466</v>
      </c>
      <c r="C4847" s="132" t="s">
        <v>1369</v>
      </c>
      <c r="D4847" s="132" t="s">
        <v>1379</v>
      </c>
      <c r="E4847" s="508">
        <v>4.9000000000000002E-2</v>
      </c>
      <c r="F4847" s="508">
        <v>4.9000000000000002E-2</v>
      </c>
      <c r="G4847" s="508">
        <v>4.9000000000000002E-2</v>
      </c>
      <c r="H4847" s="508">
        <v>4.9000000000000002E-2</v>
      </c>
      <c r="I4847" s="508">
        <v>4.9000000000000002E-2</v>
      </c>
      <c r="J4847" s="508">
        <v>4.9000000000000002E-2</v>
      </c>
      <c r="K4847" s="508">
        <v>4.9000000000000002E-2</v>
      </c>
      <c r="L4847" s="508">
        <v>4.9000000000000002E-2</v>
      </c>
      <c r="M4847" s="508">
        <v>4.9000000000000002E-2</v>
      </c>
      <c r="N4847" s="508">
        <v>4.9000000000000002E-2</v>
      </c>
      <c r="O4847" s="508">
        <v>4.9000000000000002E-2</v>
      </c>
      <c r="P4847" s="508">
        <v>4.9000000000000002E-2</v>
      </c>
      <c r="Q4847" s="508">
        <v>4.9000000000000002E-2</v>
      </c>
      <c r="R4847" s="508">
        <v>4.9000000000000002E-2</v>
      </c>
      <c r="S4847" s="508">
        <v>4.9000000000000002E-2</v>
      </c>
      <c r="T4847" s="508">
        <v>4.9000000000000002E-2</v>
      </c>
      <c r="U4847" s="508">
        <v>4.9000000000000002E-2</v>
      </c>
      <c r="V4847" s="508">
        <v>4.9000000000000002E-2</v>
      </c>
      <c r="W4847" s="508">
        <v>4.9000000000000002E-2</v>
      </c>
      <c r="X4847" s="508">
        <v>4.9000000000000002E-2</v>
      </c>
      <c r="Y4847" s="508">
        <v>4.9000000000000002E-2</v>
      </c>
      <c r="Z4847" s="508">
        <v>4.9000000000000002E-2</v>
      </c>
      <c r="AA4847" s="508">
        <v>4.9000000000000002E-2</v>
      </c>
      <c r="AB4847" s="508">
        <v>4.9000000000000002E-2</v>
      </c>
      <c r="AC4847" s="508">
        <v>4.9000000000000002E-2</v>
      </c>
      <c r="AD4847" s="508">
        <v>4.9000000000000002E-2</v>
      </c>
      <c r="AE4847" s="508">
        <v>4.9000000000000002E-2</v>
      </c>
      <c r="AF4847" s="508">
        <v>4.9000000000000002E-2</v>
      </c>
      <c r="AG4847" s="508">
        <v>4.9000000000000002E-2</v>
      </c>
      <c r="AH4847" s="508">
        <v>4.9000000000000002E-2</v>
      </c>
      <c r="AI4847" s="492">
        <v>4.9000000000000002E-2</v>
      </c>
      <c r="AJ4847" s="485"/>
    </row>
    <row r="4848" spans="2:36">
      <c r="B4848" s="136" t="s">
        <v>467</v>
      </c>
      <c r="C4848" s="132" t="s">
        <v>1369</v>
      </c>
      <c r="D4848" s="132" t="s">
        <v>1379</v>
      </c>
      <c r="E4848" s="508">
        <v>0.04</v>
      </c>
      <c r="F4848" s="508">
        <v>0.04</v>
      </c>
      <c r="G4848" s="508">
        <v>0.04</v>
      </c>
      <c r="H4848" s="508">
        <v>0.04</v>
      </c>
      <c r="I4848" s="508">
        <v>0.04</v>
      </c>
      <c r="J4848" s="508">
        <v>0.04</v>
      </c>
      <c r="K4848" s="508">
        <v>0.04</v>
      </c>
      <c r="L4848" s="508">
        <v>0.04</v>
      </c>
      <c r="M4848" s="508">
        <v>0.04</v>
      </c>
      <c r="N4848" s="508">
        <v>0.04</v>
      </c>
      <c r="O4848" s="508">
        <v>0.04</v>
      </c>
      <c r="P4848" s="508">
        <v>0.04</v>
      </c>
      <c r="Q4848" s="508">
        <v>0.04</v>
      </c>
      <c r="R4848" s="508">
        <v>0.04</v>
      </c>
      <c r="S4848" s="508">
        <v>0.04</v>
      </c>
      <c r="T4848" s="508">
        <v>0.04</v>
      </c>
      <c r="U4848" s="508">
        <v>0.04</v>
      </c>
      <c r="V4848" s="508">
        <v>0.04</v>
      </c>
      <c r="W4848" s="508">
        <v>0.04</v>
      </c>
      <c r="X4848" s="508">
        <v>0.04</v>
      </c>
      <c r="Y4848" s="508">
        <v>0.04</v>
      </c>
      <c r="Z4848" s="508">
        <v>0.04</v>
      </c>
      <c r="AA4848" s="508">
        <v>0.04</v>
      </c>
      <c r="AB4848" s="508">
        <v>0.04</v>
      </c>
      <c r="AC4848" s="508">
        <v>0.04</v>
      </c>
      <c r="AD4848" s="508">
        <v>0.04</v>
      </c>
      <c r="AE4848" s="508">
        <v>0.04</v>
      </c>
      <c r="AF4848" s="508">
        <v>0.04</v>
      </c>
      <c r="AG4848" s="508">
        <v>0.04</v>
      </c>
      <c r="AH4848" s="508">
        <v>0.04</v>
      </c>
      <c r="AI4848" s="492">
        <v>0.04</v>
      </c>
      <c r="AJ4848" s="485"/>
    </row>
    <row r="4849" spans="2:36">
      <c r="B4849" s="136" t="s">
        <v>468</v>
      </c>
      <c r="C4849" s="132" t="s">
        <v>1369</v>
      </c>
      <c r="D4849" s="132" t="s">
        <v>1379</v>
      </c>
      <c r="E4849" s="508">
        <v>3.5000000000000003E-2</v>
      </c>
      <c r="F4849" s="508">
        <v>3.5000000000000003E-2</v>
      </c>
      <c r="G4849" s="508">
        <v>3.5000000000000003E-2</v>
      </c>
      <c r="H4849" s="508">
        <v>3.5000000000000003E-2</v>
      </c>
      <c r="I4849" s="508">
        <v>3.5000000000000003E-2</v>
      </c>
      <c r="J4849" s="508">
        <v>3.5000000000000003E-2</v>
      </c>
      <c r="K4849" s="508">
        <v>3.5000000000000003E-2</v>
      </c>
      <c r="L4849" s="508">
        <v>3.5000000000000003E-2</v>
      </c>
      <c r="M4849" s="508">
        <v>3.5000000000000003E-2</v>
      </c>
      <c r="N4849" s="508">
        <v>3.5000000000000003E-2</v>
      </c>
      <c r="O4849" s="508">
        <v>3.5000000000000003E-2</v>
      </c>
      <c r="P4849" s="508">
        <v>3.5000000000000003E-2</v>
      </c>
      <c r="Q4849" s="508">
        <v>3.5000000000000003E-2</v>
      </c>
      <c r="R4849" s="508">
        <v>3.5000000000000003E-2</v>
      </c>
      <c r="S4849" s="508">
        <v>3.5000000000000003E-2</v>
      </c>
      <c r="T4849" s="508">
        <v>3.5000000000000003E-2</v>
      </c>
      <c r="U4849" s="508">
        <v>3.5000000000000003E-2</v>
      </c>
      <c r="V4849" s="508">
        <v>3.5000000000000003E-2</v>
      </c>
      <c r="W4849" s="508">
        <v>3.5000000000000003E-2</v>
      </c>
      <c r="X4849" s="508">
        <v>3.5000000000000003E-2</v>
      </c>
      <c r="Y4849" s="508">
        <v>3.5000000000000003E-2</v>
      </c>
      <c r="Z4849" s="508">
        <v>3.5000000000000003E-2</v>
      </c>
      <c r="AA4849" s="508">
        <v>3.5000000000000003E-2</v>
      </c>
      <c r="AB4849" s="508">
        <v>3.5000000000000003E-2</v>
      </c>
      <c r="AC4849" s="508">
        <v>3.5000000000000003E-2</v>
      </c>
      <c r="AD4849" s="508">
        <v>3.5000000000000003E-2</v>
      </c>
      <c r="AE4849" s="508">
        <v>3.5000000000000003E-2</v>
      </c>
      <c r="AF4849" s="508">
        <v>3.5000000000000003E-2</v>
      </c>
      <c r="AG4849" s="508">
        <v>3.5000000000000003E-2</v>
      </c>
      <c r="AH4849" s="508">
        <v>3.5000000000000003E-2</v>
      </c>
      <c r="AI4849" s="492">
        <v>3.5000000000000003E-2</v>
      </c>
      <c r="AJ4849" s="485"/>
    </row>
    <row r="4850" spans="2:36">
      <c r="B4850" s="136" t="s">
        <v>469</v>
      </c>
      <c r="C4850" s="132" t="s">
        <v>1369</v>
      </c>
      <c r="D4850" s="132" t="s">
        <v>1379</v>
      </c>
      <c r="E4850" s="508">
        <v>3.9E-2</v>
      </c>
      <c r="F4850" s="508">
        <v>3.9E-2</v>
      </c>
      <c r="G4850" s="508">
        <v>3.9E-2</v>
      </c>
      <c r="H4850" s="508">
        <v>3.9E-2</v>
      </c>
      <c r="I4850" s="508">
        <v>3.9E-2</v>
      </c>
      <c r="J4850" s="508">
        <v>3.9E-2</v>
      </c>
      <c r="K4850" s="508">
        <v>3.9E-2</v>
      </c>
      <c r="L4850" s="508">
        <v>3.9E-2</v>
      </c>
      <c r="M4850" s="508">
        <v>3.9E-2</v>
      </c>
      <c r="N4850" s="508">
        <v>3.9E-2</v>
      </c>
      <c r="O4850" s="508">
        <v>3.9E-2</v>
      </c>
      <c r="P4850" s="508">
        <v>3.9E-2</v>
      </c>
      <c r="Q4850" s="508">
        <v>3.9E-2</v>
      </c>
      <c r="R4850" s="508">
        <v>3.9E-2</v>
      </c>
      <c r="S4850" s="508">
        <v>3.9E-2</v>
      </c>
      <c r="T4850" s="508">
        <v>3.9E-2</v>
      </c>
      <c r="U4850" s="508">
        <v>3.9E-2</v>
      </c>
      <c r="V4850" s="508">
        <v>3.9E-2</v>
      </c>
      <c r="W4850" s="508">
        <v>3.9E-2</v>
      </c>
      <c r="X4850" s="508">
        <v>3.9E-2</v>
      </c>
      <c r="Y4850" s="508">
        <v>3.9E-2</v>
      </c>
      <c r="Z4850" s="508">
        <v>3.9E-2</v>
      </c>
      <c r="AA4850" s="508">
        <v>3.9E-2</v>
      </c>
      <c r="AB4850" s="508">
        <v>3.9E-2</v>
      </c>
      <c r="AC4850" s="508">
        <v>3.9E-2</v>
      </c>
      <c r="AD4850" s="508">
        <v>3.9E-2</v>
      </c>
      <c r="AE4850" s="508">
        <v>3.9E-2</v>
      </c>
      <c r="AF4850" s="508">
        <v>3.9E-2</v>
      </c>
      <c r="AG4850" s="508">
        <v>3.9E-2</v>
      </c>
      <c r="AH4850" s="508">
        <v>3.9E-2</v>
      </c>
      <c r="AI4850" s="492">
        <v>3.9E-2</v>
      </c>
      <c r="AJ4850" s="485"/>
    </row>
    <row r="4851" spans="2:36">
      <c r="B4851" s="136" t="s">
        <v>470</v>
      </c>
      <c r="C4851" s="132" t="s">
        <v>1369</v>
      </c>
      <c r="D4851" s="132" t="s">
        <v>1379</v>
      </c>
      <c r="E4851" s="508">
        <v>4.4999999999999998E-2</v>
      </c>
      <c r="F4851" s="508">
        <v>4.4999999999999998E-2</v>
      </c>
      <c r="G4851" s="508">
        <v>4.4999999999999998E-2</v>
      </c>
      <c r="H4851" s="508">
        <v>4.4999999999999998E-2</v>
      </c>
      <c r="I4851" s="508">
        <v>4.4999999999999998E-2</v>
      </c>
      <c r="J4851" s="508">
        <v>4.4999999999999998E-2</v>
      </c>
      <c r="K4851" s="508">
        <v>4.4999999999999998E-2</v>
      </c>
      <c r="L4851" s="508">
        <v>4.4999999999999998E-2</v>
      </c>
      <c r="M4851" s="508">
        <v>4.4999999999999998E-2</v>
      </c>
      <c r="N4851" s="508">
        <v>4.4999999999999998E-2</v>
      </c>
      <c r="O4851" s="508">
        <v>4.4999999999999998E-2</v>
      </c>
      <c r="P4851" s="508">
        <v>4.4999999999999998E-2</v>
      </c>
      <c r="Q4851" s="508">
        <v>4.4999999999999998E-2</v>
      </c>
      <c r="R4851" s="508">
        <v>4.4999999999999998E-2</v>
      </c>
      <c r="S4851" s="508">
        <v>4.4999999999999998E-2</v>
      </c>
      <c r="T4851" s="508">
        <v>4.4999999999999998E-2</v>
      </c>
      <c r="U4851" s="508">
        <v>4.4999999999999998E-2</v>
      </c>
      <c r="V4851" s="508">
        <v>4.4999999999999998E-2</v>
      </c>
      <c r="W4851" s="508">
        <v>4.4999999999999998E-2</v>
      </c>
      <c r="X4851" s="508">
        <v>4.4999999999999998E-2</v>
      </c>
      <c r="Y4851" s="508">
        <v>4.4999999999999998E-2</v>
      </c>
      <c r="Z4851" s="508">
        <v>4.4999999999999998E-2</v>
      </c>
      <c r="AA4851" s="508">
        <v>4.4999999999999998E-2</v>
      </c>
      <c r="AB4851" s="508">
        <v>4.4999999999999998E-2</v>
      </c>
      <c r="AC4851" s="508">
        <v>4.4999999999999998E-2</v>
      </c>
      <c r="AD4851" s="508">
        <v>4.4999999999999998E-2</v>
      </c>
      <c r="AE4851" s="508">
        <v>4.4999999999999998E-2</v>
      </c>
      <c r="AF4851" s="508">
        <v>4.4999999999999998E-2</v>
      </c>
      <c r="AG4851" s="508">
        <v>4.4999999999999998E-2</v>
      </c>
      <c r="AH4851" s="508">
        <v>4.4999999999999998E-2</v>
      </c>
      <c r="AI4851" s="492">
        <v>4.4999999999999998E-2</v>
      </c>
      <c r="AJ4851" s="485"/>
    </row>
    <row r="4852" spans="2:36">
      <c r="B4852" s="136" t="s">
        <v>471</v>
      </c>
      <c r="C4852" s="132" t="s">
        <v>1369</v>
      </c>
      <c r="D4852" s="132" t="s">
        <v>1379</v>
      </c>
      <c r="E4852" s="508">
        <v>4.2999999999999997E-2</v>
      </c>
      <c r="F4852" s="508">
        <v>4.2999999999999997E-2</v>
      </c>
      <c r="G4852" s="508">
        <v>4.2999999999999997E-2</v>
      </c>
      <c r="H4852" s="508">
        <v>4.2999999999999997E-2</v>
      </c>
      <c r="I4852" s="508">
        <v>4.2999999999999997E-2</v>
      </c>
      <c r="J4852" s="508">
        <v>4.2999999999999997E-2</v>
      </c>
      <c r="K4852" s="508">
        <v>4.2999999999999997E-2</v>
      </c>
      <c r="L4852" s="508">
        <v>4.2999999999999997E-2</v>
      </c>
      <c r="M4852" s="508">
        <v>4.2999999999999997E-2</v>
      </c>
      <c r="N4852" s="508">
        <v>4.2999999999999997E-2</v>
      </c>
      <c r="O4852" s="508">
        <v>4.2999999999999997E-2</v>
      </c>
      <c r="P4852" s="508">
        <v>4.2999999999999997E-2</v>
      </c>
      <c r="Q4852" s="508">
        <v>4.2999999999999997E-2</v>
      </c>
      <c r="R4852" s="508">
        <v>4.2999999999999997E-2</v>
      </c>
      <c r="S4852" s="508">
        <v>4.2999999999999997E-2</v>
      </c>
      <c r="T4852" s="508">
        <v>4.2999999999999997E-2</v>
      </c>
      <c r="U4852" s="508">
        <v>4.2999999999999997E-2</v>
      </c>
      <c r="V4852" s="508">
        <v>4.2999999999999997E-2</v>
      </c>
      <c r="W4852" s="508">
        <v>4.2999999999999997E-2</v>
      </c>
      <c r="X4852" s="508">
        <v>4.2999999999999997E-2</v>
      </c>
      <c r="Y4852" s="508">
        <v>4.2999999999999997E-2</v>
      </c>
      <c r="Z4852" s="508">
        <v>4.2999999999999997E-2</v>
      </c>
      <c r="AA4852" s="508">
        <v>4.2999999999999997E-2</v>
      </c>
      <c r="AB4852" s="508">
        <v>4.2999999999999997E-2</v>
      </c>
      <c r="AC4852" s="508">
        <v>4.2999999999999997E-2</v>
      </c>
      <c r="AD4852" s="508">
        <v>4.2999999999999997E-2</v>
      </c>
      <c r="AE4852" s="508">
        <v>4.2999999999999997E-2</v>
      </c>
      <c r="AF4852" s="508">
        <v>4.2999999999999997E-2</v>
      </c>
      <c r="AG4852" s="508">
        <v>4.2999999999999997E-2</v>
      </c>
      <c r="AH4852" s="508">
        <v>4.2999999999999997E-2</v>
      </c>
      <c r="AI4852" s="492">
        <v>4.2999999999999997E-2</v>
      </c>
      <c r="AJ4852" s="485"/>
    </row>
    <row r="4853" spans="2:36">
      <c r="B4853" s="136" t="s">
        <v>472</v>
      </c>
      <c r="C4853" s="132" t="s">
        <v>1369</v>
      </c>
      <c r="D4853" s="132" t="s">
        <v>1379</v>
      </c>
      <c r="E4853" s="508">
        <v>3.5000000000000003E-2</v>
      </c>
      <c r="F4853" s="508">
        <v>3.5000000000000003E-2</v>
      </c>
      <c r="G4853" s="508">
        <v>3.5000000000000003E-2</v>
      </c>
      <c r="H4853" s="508">
        <v>3.5000000000000003E-2</v>
      </c>
      <c r="I4853" s="508">
        <v>3.5000000000000003E-2</v>
      </c>
      <c r="J4853" s="508">
        <v>3.5000000000000003E-2</v>
      </c>
      <c r="K4853" s="508">
        <v>3.5000000000000003E-2</v>
      </c>
      <c r="L4853" s="508">
        <v>3.5000000000000003E-2</v>
      </c>
      <c r="M4853" s="508">
        <v>3.5000000000000003E-2</v>
      </c>
      <c r="N4853" s="508">
        <v>3.5000000000000003E-2</v>
      </c>
      <c r="O4853" s="508">
        <v>3.5000000000000003E-2</v>
      </c>
      <c r="P4853" s="508">
        <v>3.5000000000000003E-2</v>
      </c>
      <c r="Q4853" s="508">
        <v>3.5000000000000003E-2</v>
      </c>
      <c r="R4853" s="508">
        <v>3.5000000000000003E-2</v>
      </c>
      <c r="S4853" s="508">
        <v>3.5000000000000003E-2</v>
      </c>
      <c r="T4853" s="508">
        <v>3.5000000000000003E-2</v>
      </c>
      <c r="U4853" s="508">
        <v>3.5000000000000003E-2</v>
      </c>
      <c r="V4853" s="508">
        <v>3.5000000000000003E-2</v>
      </c>
      <c r="W4853" s="508">
        <v>3.5000000000000003E-2</v>
      </c>
      <c r="X4853" s="508">
        <v>3.5000000000000003E-2</v>
      </c>
      <c r="Y4853" s="508">
        <v>3.5000000000000003E-2</v>
      </c>
      <c r="Z4853" s="508">
        <v>3.5000000000000003E-2</v>
      </c>
      <c r="AA4853" s="508">
        <v>3.5000000000000003E-2</v>
      </c>
      <c r="AB4853" s="508">
        <v>3.5000000000000003E-2</v>
      </c>
      <c r="AC4853" s="508">
        <v>3.5000000000000003E-2</v>
      </c>
      <c r="AD4853" s="508">
        <v>3.5000000000000003E-2</v>
      </c>
      <c r="AE4853" s="508">
        <v>3.5000000000000003E-2</v>
      </c>
      <c r="AF4853" s="508">
        <v>3.5000000000000003E-2</v>
      </c>
      <c r="AG4853" s="508">
        <v>3.5000000000000003E-2</v>
      </c>
      <c r="AH4853" s="508">
        <v>3.5000000000000003E-2</v>
      </c>
      <c r="AI4853" s="492">
        <v>3.5000000000000003E-2</v>
      </c>
      <c r="AJ4853" s="485"/>
    </row>
    <row r="4854" spans="2:36">
      <c r="B4854" s="136" t="s">
        <v>473</v>
      </c>
      <c r="C4854" s="132" t="s">
        <v>1369</v>
      </c>
      <c r="D4854" s="132" t="s">
        <v>1379</v>
      </c>
      <c r="E4854" s="508">
        <v>4.5999999999999999E-2</v>
      </c>
      <c r="F4854" s="508">
        <v>4.5999999999999999E-2</v>
      </c>
      <c r="G4854" s="508">
        <v>4.5999999999999999E-2</v>
      </c>
      <c r="H4854" s="508">
        <v>4.5999999999999999E-2</v>
      </c>
      <c r="I4854" s="508">
        <v>4.5999999999999999E-2</v>
      </c>
      <c r="J4854" s="508">
        <v>4.5999999999999999E-2</v>
      </c>
      <c r="K4854" s="508">
        <v>4.5999999999999999E-2</v>
      </c>
      <c r="L4854" s="508">
        <v>4.5999999999999999E-2</v>
      </c>
      <c r="M4854" s="508">
        <v>4.5999999999999999E-2</v>
      </c>
      <c r="N4854" s="508">
        <v>4.5999999999999999E-2</v>
      </c>
      <c r="O4854" s="508">
        <v>4.5999999999999999E-2</v>
      </c>
      <c r="P4854" s="508">
        <v>4.5999999999999999E-2</v>
      </c>
      <c r="Q4854" s="508">
        <v>4.5999999999999999E-2</v>
      </c>
      <c r="R4854" s="508">
        <v>4.5999999999999999E-2</v>
      </c>
      <c r="S4854" s="508">
        <v>4.5999999999999999E-2</v>
      </c>
      <c r="T4854" s="508">
        <v>4.5999999999999999E-2</v>
      </c>
      <c r="U4854" s="508">
        <v>4.5999999999999999E-2</v>
      </c>
      <c r="V4854" s="508">
        <v>4.5999999999999999E-2</v>
      </c>
      <c r="W4854" s="508">
        <v>4.5999999999999999E-2</v>
      </c>
      <c r="X4854" s="508">
        <v>4.5999999999999999E-2</v>
      </c>
      <c r="Y4854" s="508">
        <v>4.5999999999999999E-2</v>
      </c>
      <c r="Z4854" s="508">
        <v>4.5999999999999999E-2</v>
      </c>
      <c r="AA4854" s="508">
        <v>4.5999999999999999E-2</v>
      </c>
      <c r="AB4854" s="508">
        <v>4.5999999999999999E-2</v>
      </c>
      <c r="AC4854" s="508">
        <v>4.5999999999999999E-2</v>
      </c>
      <c r="AD4854" s="508">
        <v>4.5999999999999999E-2</v>
      </c>
      <c r="AE4854" s="508">
        <v>4.5999999999999999E-2</v>
      </c>
      <c r="AF4854" s="508">
        <v>4.5999999999999999E-2</v>
      </c>
      <c r="AG4854" s="508">
        <v>4.5999999999999999E-2</v>
      </c>
      <c r="AH4854" s="508">
        <v>4.5999999999999999E-2</v>
      </c>
      <c r="AI4854" s="492">
        <v>4.5999999999999999E-2</v>
      </c>
      <c r="AJ4854" s="485"/>
    </row>
    <row r="4855" spans="2:36">
      <c r="B4855" s="136" t="s">
        <v>474</v>
      </c>
      <c r="C4855" s="132" t="s">
        <v>1369</v>
      </c>
      <c r="D4855" s="132" t="s">
        <v>1379</v>
      </c>
      <c r="E4855" s="508">
        <v>4.2000000000000003E-2</v>
      </c>
      <c r="F4855" s="508">
        <v>4.2000000000000003E-2</v>
      </c>
      <c r="G4855" s="508">
        <v>4.2000000000000003E-2</v>
      </c>
      <c r="H4855" s="508">
        <v>4.2000000000000003E-2</v>
      </c>
      <c r="I4855" s="508">
        <v>4.2000000000000003E-2</v>
      </c>
      <c r="J4855" s="508">
        <v>4.2000000000000003E-2</v>
      </c>
      <c r="K4855" s="508">
        <v>4.2000000000000003E-2</v>
      </c>
      <c r="L4855" s="508">
        <v>4.2000000000000003E-2</v>
      </c>
      <c r="M4855" s="508">
        <v>4.2000000000000003E-2</v>
      </c>
      <c r="N4855" s="508">
        <v>4.2000000000000003E-2</v>
      </c>
      <c r="O4855" s="508">
        <v>4.2000000000000003E-2</v>
      </c>
      <c r="P4855" s="508">
        <v>4.2000000000000003E-2</v>
      </c>
      <c r="Q4855" s="508">
        <v>4.2000000000000003E-2</v>
      </c>
      <c r="R4855" s="508">
        <v>4.2000000000000003E-2</v>
      </c>
      <c r="S4855" s="508">
        <v>4.2000000000000003E-2</v>
      </c>
      <c r="T4855" s="508">
        <v>4.2000000000000003E-2</v>
      </c>
      <c r="U4855" s="508">
        <v>4.2000000000000003E-2</v>
      </c>
      <c r="V4855" s="508">
        <v>4.2000000000000003E-2</v>
      </c>
      <c r="W4855" s="508">
        <v>4.2000000000000003E-2</v>
      </c>
      <c r="X4855" s="508">
        <v>4.2000000000000003E-2</v>
      </c>
      <c r="Y4855" s="508">
        <v>4.2000000000000003E-2</v>
      </c>
      <c r="Z4855" s="508">
        <v>4.2000000000000003E-2</v>
      </c>
      <c r="AA4855" s="508">
        <v>4.2000000000000003E-2</v>
      </c>
      <c r="AB4855" s="508">
        <v>4.2000000000000003E-2</v>
      </c>
      <c r="AC4855" s="508">
        <v>4.2000000000000003E-2</v>
      </c>
      <c r="AD4855" s="508">
        <v>4.2000000000000003E-2</v>
      </c>
      <c r="AE4855" s="508">
        <v>4.2000000000000003E-2</v>
      </c>
      <c r="AF4855" s="508">
        <v>4.2000000000000003E-2</v>
      </c>
      <c r="AG4855" s="508">
        <v>4.2000000000000003E-2</v>
      </c>
      <c r="AH4855" s="508">
        <v>4.2000000000000003E-2</v>
      </c>
      <c r="AI4855" s="492">
        <v>4.2000000000000003E-2</v>
      </c>
      <c r="AJ4855" s="485"/>
    </row>
    <row r="4856" spans="2:36">
      <c r="B4856" s="136" t="s">
        <v>475</v>
      </c>
      <c r="C4856" s="132" t="s">
        <v>1369</v>
      </c>
      <c r="D4856" s="132" t="s">
        <v>1379</v>
      </c>
      <c r="E4856" s="508">
        <v>0.04</v>
      </c>
      <c r="F4856" s="508">
        <v>0.04</v>
      </c>
      <c r="G4856" s="508">
        <v>0.04</v>
      </c>
      <c r="H4856" s="508">
        <v>0.04</v>
      </c>
      <c r="I4856" s="508">
        <v>0.04</v>
      </c>
      <c r="J4856" s="508">
        <v>0.04</v>
      </c>
      <c r="K4856" s="508">
        <v>0.04</v>
      </c>
      <c r="L4856" s="508">
        <v>0.04</v>
      </c>
      <c r="M4856" s="508">
        <v>0.04</v>
      </c>
      <c r="N4856" s="508">
        <v>0.04</v>
      </c>
      <c r="O4856" s="508">
        <v>0.04</v>
      </c>
      <c r="P4856" s="508">
        <v>0.04</v>
      </c>
      <c r="Q4856" s="508">
        <v>0.04</v>
      </c>
      <c r="R4856" s="508">
        <v>0.04</v>
      </c>
      <c r="S4856" s="508">
        <v>0.04</v>
      </c>
      <c r="T4856" s="508">
        <v>0.04</v>
      </c>
      <c r="U4856" s="508">
        <v>0.04</v>
      </c>
      <c r="V4856" s="508">
        <v>0.04</v>
      </c>
      <c r="W4856" s="508">
        <v>0.04</v>
      </c>
      <c r="X4856" s="508">
        <v>0.04</v>
      </c>
      <c r="Y4856" s="508">
        <v>0.04</v>
      </c>
      <c r="Z4856" s="508">
        <v>0.04</v>
      </c>
      <c r="AA4856" s="508">
        <v>0.04</v>
      </c>
      <c r="AB4856" s="508">
        <v>0.04</v>
      </c>
      <c r="AC4856" s="508">
        <v>0.04</v>
      </c>
      <c r="AD4856" s="508">
        <v>0.04</v>
      </c>
      <c r="AE4856" s="508">
        <v>0.04</v>
      </c>
      <c r="AF4856" s="508">
        <v>0.04</v>
      </c>
      <c r="AG4856" s="508">
        <v>0.04</v>
      </c>
      <c r="AH4856" s="508">
        <v>0.04</v>
      </c>
      <c r="AI4856" s="492">
        <v>0.04</v>
      </c>
      <c r="AJ4856" s="485"/>
    </row>
    <row r="4857" spans="2:36">
      <c r="B4857" s="136" t="s">
        <v>476</v>
      </c>
      <c r="C4857" s="132" t="s">
        <v>1369</v>
      </c>
      <c r="D4857" s="132" t="s">
        <v>1379</v>
      </c>
      <c r="E4857" s="508">
        <v>4.3999999999999997E-2</v>
      </c>
      <c r="F4857" s="508">
        <v>4.3999999999999997E-2</v>
      </c>
      <c r="G4857" s="508">
        <v>4.3999999999999997E-2</v>
      </c>
      <c r="H4857" s="508">
        <v>4.3999999999999997E-2</v>
      </c>
      <c r="I4857" s="508">
        <v>4.3999999999999997E-2</v>
      </c>
      <c r="J4857" s="508">
        <v>4.3999999999999997E-2</v>
      </c>
      <c r="K4857" s="508">
        <v>4.3999999999999997E-2</v>
      </c>
      <c r="L4857" s="508">
        <v>4.3999999999999997E-2</v>
      </c>
      <c r="M4857" s="508">
        <v>4.3999999999999997E-2</v>
      </c>
      <c r="N4857" s="508">
        <v>4.3999999999999997E-2</v>
      </c>
      <c r="O4857" s="508">
        <v>4.3999999999999997E-2</v>
      </c>
      <c r="P4857" s="508">
        <v>4.3999999999999997E-2</v>
      </c>
      <c r="Q4857" s="508">
        <v>4.3999999999999997E-2</v>
      </c>
      <c r="R4857" s="508">
        <v>4.3999999999999997E-2</v>
      </c>
      <c r="S4857" s="508">
        <v>4.3999999999999997E-2</v>
      </c>
      <c r="T4857" s="508">
        <v>4.3999999999999997E-2</v>
      </c>
      <c r="U4857" s="508">
        <v>4.3999999999999997E-2</v>
      </c>
      <c r="V4857" s="508">
        <v>4.3999999999999997E-2</v>
      </c>
      <c r="W4857" s="508">
        <v>4.3999999999999997E-2</v>
      </c>
      <c r="X4857" s="508">
        <v>4.3999999999999997E-2</v>
      </c>
      <c r="Y4857" s="508">
        <v>4.3999999999999997E-2</v>
      </c>
      <c r="Z4857" s="508">
        <v>4.3999999999999997E-2</v>
      </c>
      <c r="AA4857" s="508">
        <v>4.3999999999999997E-2</v>
      </c>
      <c r="AB4857" s="508">
        <v>4.3999999999999997E-2</v>
      </c>
      <c r="AC4857" s="508">
        <v>4.3999999999999997E-2</v>
      </c>
      <c r="AD4857" s="508">
        <v>4.3999999999999997E-2</v>
      </c>
      <c r="AE4857" s="508">
        <v>4.3999999999999997E-2</v>
      </c>
      <c r="AF4857" s="508">
        <v>4.3999999999999997E-2</v>
      </c>
      <c r="AG4857" s="508">
        <v>4.3999999999999997E-2</v>
      </c>
      <c r="AH4857" s="508">
        <v>4.3999999999999997E-2</v>
      </c>
      <c r="AI4857" s="492">
        <v>4.3999999999999997E-2</v>
      </c>
      <c r="AJ4857" s="485"/>
    </row>
    <row r="4858" spans="2:36">
      <c r="B4858" s="136" t="s">
        <v>478</v>
      </c>
      <c r="C4858" s="132" t="s">
        <v>1369</v>
      </c>
      <c r="D4858" s="132" t="s">
        <v>1379</v>
      </c>
      <c r="E4858" s="508">
        <v>4.7E-2</v>
      </c>
      <c r="F4858" s="508">
        <v>4.7E-2</v>
      </c>
      <c r="G4858" s="508">
        <v>4.7E-2</v>
      </c>
      <c r="H4858" s="508">
        <v>4.7E-2</v>
      </c>
      <c r="I4858" s="508">
        <v>4.7E-2</v>
      </c>
      <c r="J4858" s="508">
        <v>4.7E-2</v>
      </c>
      <c r="K4858" s="508">
        <v>4.7E-2</v>
      </c>
      <c r="L4858" s="508">
        <v>4.7E-2</v>
      </c>
      <c r="M4858" s="508">
        <v>4.7E-2</v>
      </c>
      <c r="N4858" s="508">
        <v>4.7E-2</v>
      </c>
      <c r="O4858" s="508">
        <v>4.7E-2</v>
      </c>
      <c r="P4858" s="508">
        <v>4.7E-2</v>
      </c>
      <c r="Q4858" s="508">
        <v>4.7E-2</v>
      </c>
      <c r="R4858" s="508">
        <v>4.7E-2</v>
      </c>
      <c r="S4858" s="508">
        <v>4.7E-2</v>
      </c>
      <c r="T4858" s="508">
        <v>4.7E-2</v>
      </c>
      <c r="U4858" s="508">
        <v>4.7E-2</v>
      </c>
      <c r="V4858" s="508">
        <v>4.7E-2</v>
      </c>
      <c r="W4858" s="508">
        <v>4.7E-2</v>
      </c>
      <c r="X4858" s="508">
        <v>4.7E-2</v>
      </c>
      <c r="Y4858" s="508">
        <v>4.7E-2</v>
      </c>
      <c r="Z4858" s="508">
        <v>4.7E-2</v>
      </c>
      <c r="AA4858" s="508">
        <v>4.7E-2</v>
      </c>
      <c r="AB4858" s="508">
        <v>4.7E-2</v>
      </c>
      <c r="AC4858" s="508">
        <v>4.7E-2</v>
      </c>
      <c r="AD4858" s="508">
        <v>4.7E-2</v>
      </c>
      <c r="AE4858" s="508">
        <v>4.7E-2</v>
      </c>
      <c r="AF4858" s="508">
        <v>4.7E-2</v>
      </c>
      <c r="AG4858" s="508">
        <v>4.7E-2</v>
      </c>
      <c r="AH4858" s="508">
        <v>4.7E-2</v>
      </c>
      <c r="AI4858" s="492">
        <v>4.7E-2</v>
      </c>
      <c r="AJ4858" s="485"/>
    </row>
    <row r="4859" spans="2:36">
      <c r="B4859" s="136" t="s">
        <v>479</v>
      </c>
      <c r="C4859" s="132" t="s">
        <v>1369</v>
      </c>
      <c r="D4859" s="132" t="s">
        <v>1379</v>
      </c>
      <c r="E4859" s="508">
        <v>4.1000000000000002E-2</v>
      </c>
      <c r="F4859" s="508">
        <v>4.1000000000000002E-2</v>
      </c>
      <c r="G4859" s="508">
        <v>4.1000000000000002E-2</v>
      </c>
      <c r="H4859" s="508">
        <v>4.1000000000000002E-2</v>
      </c>
      <c r="I4859" s="508">
        <v>4.1000000000000002E-2</v>
      </c>
      <c r="J4859" s="508">
        <v>4.1000000000000002E-2</v>
      </c>
      <c r="K4859" s="508">
        <v>4.1000000000000002E-2</v>
      </c>
      <c r="L4859" s="508">
        <v>4.1000000000000002E-2</v>
      </c>
      <c r="M4859" s="508">
        <v>4.1000000000000002E-2</v>
      </c>
      <c r="N4859" s="508">
        <v>4.1000000000000002E-2</v>
      </c>
      <c r="O4859" s="508">
        <v>4.1000000000000002E-2</v>
      </c>
      <c r="P4859" s="508">
        <v>4.1000000000000002E-2</v>
      </c>
      <c r="Q4859" s="508">
        <v>4.1000000000000002E-2</v>
      </c>
      <c r="R4859" s="508">
        <v>4.1000000000000002E-2</v>
      </c>
      <c r="S4859" s="508">
        <v>4.1000000000000002E-2</v>
      </c>
      <c r="T4859" s="508">
        <v>4.1000000000000002E-2</v>
      </c>
      <c r="U4859" s="508">
        <v>4.1000000000000002E-2</v>
      </c>
      <c r="V4859" s="508">
        <v>4.1000000000000002E-2</v>
      </c>
      <c r="W4859" s="508">
        <v>4.1000000000000002E-2</v>
      </c>
      <c r="X4859" s="508">
        <v>4.1000000000000002E-2</v>
      </c>
      <c r="Y4859" s="508">
        <v>4.1000000000000002E-2</v>
      </c>
      <c r="Z4859" s="508">
        <v>4.1000000000000002E-2</v>
      </c>
      <c r="AA4859" s="508">
        <v>4.1000000000000002E-2</v>
      </c>
      <c r="AB4859" s="508">
        <v>4.1000000000000002E-2</v>
      </c>
      <c r="AC4859" s="508">
        <v>4.1000000000000002E-2</v>
      </c>
      <c r="AD4859" s="508">
        <v>4.1000000000000002E-2</v>
      </c>
      <c r="AE4859" s="508">
        <v>4.1000000000000002E-2</v>
      </c>
      <c r="AF4859" s="508">
        <v>4.1000000000000002E-2</v>
      </c>
      <c r="AG4859" s="508">
        <v>4.1000000000000002E-2</v>
      </c>
      <c r="AH4859" s="508">
        <v>4.1000000000000002E-2</v>
      </c>
      <c r="AI4859" s="492">
        <v>4.1000000000000002E-2</v>
      </c>
      <c r="AJ4859" s="485"/>
    </row>
    <row r="4860" spans="2:36">
      <c r="B4860" s="136" t="s">
        <v>480</v>
      </c>
      <c r="C4860" s="132" t="s">
        <v>1369</v>
      </c>
      <c r="D4860" s="132" t="s">
        <v>1379</v>
      </c>
      <c r="E4860" s="508">
        <v>3.4000000000000002E-2</v>
      </c>
      <c r="F4860" s="508">
        <v>3.4000000000000002E-2</v>
      </c>
      <c r="G4860" s="508">
        <v>3.4000000000000002E-2</v>
      </c>
      <c r="H4860" s="508">
        <v>3.4000000000000002E-2</v>
      </c>
      <c r="I4860" s="508">
        <v>3.4000000000000002E-2</v>
      </c>
      <c r="J4860" s="508">
        <v>3.4000000000000002E-2</v>
      </c>
      <c r="K4860" s="508">
        <v>3.4000000000000002E-2</v>
      </c>
      <c r="L4860" s="508">
        <v>3.4000000000000002E-2</v>
      </c>
      <c r="M4860" s="508">
        <v>3.4000000000000002E-2</v>
      </c>
      <c r="N4860" s="508">
        <v>3.4000000000000002E-2</v>
      </c>
      <c r="O4860" s="508">
        <v>3.4000000000000002E-2</v>
      </c>
      <c r="P4860" s="508">
        <v>3.4000000000000002E-2</v>
      </c>
      <c r="Q4860" s="508">
        <v>3.4000000000000002E-2</v>
      </c>
      <c r="R4860" s="508">
        <v>3.4000000000000002E-2</v>
      </c>
      <c r="S4860" s="508">
        <v>3.4000000000000002E-2</v>
      </c>
      <c r="T4860" s="508">
        <v>3.4000000000000002E-2</v>
      </c>
      <c r="U4860" s="508">
        <v>3.4000000000000002E-2</v>
      </c>
      <c r="V4860" s="508">
        <v>3.4000000000000002E-2</v>
      </c>
      <c r="W4860" s="508">
        <v>3.4000000000000002E-2</v>
      </c>
      <c r="X4860" s="508">
        <v>3.4000000000000002E-2</v>
      </c>
      <c r="Y4860" s="508">
        <v>3.4000000000000002E-2</v>
      </c>
      <c r="Z4860" s="508">
        <v>3.4000000000000002E-2</v>
      </c>
      <c r="AA4860" s="508">
        <v>3.4000000000000002E-2</v>
      </c>
      <c r="AB4860" s="508">
        <v>3.4000000000000002E-2</v>
      </c>
      <c r="AC4860" s="508">
        <v>3.4000000000000002E-2</v>
      </c>
      <c r="AD4860" s="508">
        <v>3.4000000000000002E-2</v>
      </c>
      <c r="AE4860" s="508">
        <v>3.4000000000000002E-2</v>
      </c>
      <c r="AF4860" s="508">
        <v>3.4000000000000002E-2</v>
      </c>
      <c r="AG4860" s="508">
        <v>3.4000000000000002E-2</v>
      </c>
      <c r="AH4860" s="508">
        <v>3.4000000000000002E-2</v>
      </c>
      <c r="AI4860" s="492">
        <v>3.4000000000000002E-2</v>
      </c>
      <c r="AJ4860" s="485"/>
    </row>
    <row r="4861" spans="2:36">
      <c r="B4861" s="136" t="s">
        <v>481</v>
      </c>
      <c r="C4861" s="132" t="s">
        <v>1369</v>
      </c>
      <c r="D4861" s="132" t="s">
        <v>1379</v>
      </c>
      <c r="E4861" s="508">
        <v>4.2999999999999997E-2</v>
      </c>
      <c r="F4861" s="508">
        <v>4.2999999999999997E-2</v>
      </c>
      <c r="G4861" s="508">
        <v>4.2999999999999997E-2</v>
      </c>
      <c r="H4861" s="508">
        <v>4.2999999999999997E-2</v>
      </c>
      <c r="I4861" s="508">
        <v>4.2999999999999997E-2</v>
      </c>
      <c r="J4861" s="508">
        <v>4.2999999999999997E-2</v>
      </c>
      <c r="K4861" s="508">
        <v>4.2999999999999997E-2</v>
      </c>
      <c r="L4861" s="508">
        <v>4.2999999999999997E-2</v>
      </c>
      <c r="M4861" s="508">
        <v>4.2999999999999997E-2</v>
      </c>
      <c r="N4861" s="508">
        <v>4.2999999999999997E-2</v>
      </c>
      <c r="O4861" s="508">
        <v>4.2999999999999997E-2</v>
      </c>
      <c r="P4861" s="508">
        <v>4.2999999999999997E-2</v>
      </c>
      <c r="Q4861" s="508">
        <v>4.2999999999999997E-2</v>
      </c>
      <c r="R4861" s="508">
        <v>4.2999999999999997E-2</v>
      </c>
      <c r="S4861" s="508">
        <v>4.2999999999999997E-2</v>
      </c>
      <c r="T4861" s="508">
        <v>4.2999999999999997E-2</v>
      </c>
      <c r="U4861" s="508">
        <v>4.2999999999999997E-2</v>
      </c>
      <c r="V4861" s="508">
        <v>4.2999999999999997E-2</v>
      </c>
      <c r="W4861" s="508">
        <v>4.2999999999999997E-2</v>
      </c>
      <c r="X4861" s="508">
        <v>4.2999999999999997E-2</v>
      </c>
      <c r="Y4861" s="508">
        <v>4.2999999999999997E-2</v>
      </c>
      <c r="Z4861" s="508">
        <v>4.2999999999999997E-2</v>
      </c>
      <c r="AA4861" s="508">
        <v>4.2999999999999997E-2</v>
      </c>
      <c r="AB4861" s="508">
        <v>4.2999999999999997E-2</v>
      </c>
      <c r="AC4861" s="508">
        <v>4.2999999999999997E-2</v>
      </c>
      <c r="AD4861" s="508">
        <v>4.2999999999999997E-2</v>
      </c>
      <c r="AE4861" s="508">
        <v>4.2999999999999997E-2</v>
      </c>
      <c r="AF4861" s="508">
        <v>4.2999999999999997E-2</v>
      </c>
      <c r="AG4861" s="508">
        <v>4.2999999999999997E-2</v>
      </c>
      <c r="AH4861" s="508">
        <v>4.2999999999999997E-2</v>
      </c>
      <c r="AI4861" s="492">
        <v>4.2999999999999997E-2</v>
      </c>
      <c r="AJ4861" s="485"/>
    </row>
    <row r="4862" spans="2:36">
      <c r="B4862" s="136" t="s">
        <v>482</v>
      </c>
      <c r="C4862" s="132" t="s">
        <v>1369</v>
      </c>
      <c r="D4862" s="132" t="s">
        <v>1379</v>
      </c>
      <c r="E4862" s="508">
        <v>4.2000000000000003E-2</v>
      </c>
      <c r="F4862" s="508">
        <v>4.2000000000000003E-2</v>
      </c>
      <c r="G4862" s="508">
        <v>4.2000000000000003E-2</v>
      </c>
      <c r="H4862" s="508">
        <v>4.2000000000000003E-2</v>
      </c>
      <c r="I4862" s="508">
        <v>4.2000000000000003E-2</v>
      </c>
      <c r="J4862" s="508">
        <v>4.2000000000000003E-2</v>
      </c>
      <c r="K4862" s="508">
        <v>4.2000000000000003E-2</v>
      </c>
      <c r="L4862" s="508">
        <v>4.2000000000000003E-2</v>
      </c>
      <c r="M4862" s="508">
        <v>4.2000000000000003E-2</v>
      </c>
      <c r="N4862" s="508">
        <v>4.2000000000000003E-2</v>
      </c>
      <c r="O4862" s="508">
        <v>4.2000000000000003E-2</v>
      </c>
      <c r="P4862" s="508">
        <v>4.2000000000000003E-2</v>
      </c>
      <c r="Q4862" s="508">
        <v>4.2000000000000003E-2</v>
      </c>
      <c r="R4862" s="508">
        <v>4.2000000000000003E-2</v>
      </c>
      <c r="S4862" s="508">
        <v>4.2000000000000003E-2</v>
      </c>
      <c r="T4862" s="508">
        <v>4.2000000000000003E-2</v>
      </c>
      <c r="U4862" s="508">
        <v>4.2000000000000003E-2</v>
      </c>
      <c r="V4862" s="508">
        <v>4.2000000000000003E-2</v>
      </c>
      <c r="W4862" s="508">
        <v>4.2000000000000003E-2</v>
      </c>
      <c r="X4862" s="508">
        <v>4.2000000000000003E-2</v>
      </c>
      <c r="Y4862" s="508">
        <v>4.2000000000000003E-2</v>
      </c>
      <c r="Z4862" s="508">
        <v>4.2000000000000003E-2</v>
      </c>
      <c r="AA4862" s="508">
        <v>4.2000000000000003E-2</v>
      </c>
      <c r="AB4862" s="508">
        <v>4.2000000000000003E-2</v>
      </c>
      <c r="AC4862" s="508">
        <v>4.2000000000000003E-2</v>
      </c>
      <c r="AD4862" s="508">
        <v>4.2000000000000003E-2</v>
      </c>
      <c r="AE4862" s="508">
        <v>4.2000000000000003E-2</v>
      </c>
      <c r="AF4862" s="508">
        <v>4.2000000000000003E-2</v>
      </c>
      <c r="AG4862" s="508">
        <v>4.2000000000000003E-2</v>
      </c>
      <c r="AH4862" s="508">
        <v>4.2000000000000003E-2</v>
      </c>
      <c r="AI4862" s="492">
        <v>4.2000000000000003E-2</v>
      </c>
      <c r="AJ4862" s="485"/>
    </row>
    <row r="4863" spans="2:36">
      <c r="B4863" s="136" t="s">
        <v>483</v>
      </c>
      <c r="C4863" s="132" t="s">
        <v>1369</v>
      </c>
      <c r="D4863" s="132" t="s">
        <v>1379</v>
      </c>
      <c r="E4863" s="508">
        <v>4.5999999999999999E-2</v>
      </c>
      <c r="F4863" s="508">
        <v>4.5999999999999999E-2</v>
      </c>
      <c r="G4863" s="508">
        <v>4.5999999999999999E-2</v>
      </c>
      <c r="H4863" s="508">
        <v>4.5999999999999999E-2</v>
      </c>
      <c r="I4863" s="508">
        <v>4.5999999999999999E-2</v>
      </c>
      <c r="J4863" s="508">
        <v>4.5999999999999999E-2</v>
      </c>
      <c r="K4863" s="508">
        <v>4.5999999999999999E-2</v>
      </c>
      <c r="L4863" s="508">
        <v>4.5999999999999999E-2</v>
      </c>
      <c r="M4863" s="508">
        <v>4.5999999999999999E-2</v>
      </c>
      <c r="N4863" s="508">
        <v>4.5999999999999999E-2</v>
      </c>
      <c r="O4863" s="508">
        <v>4.5999999999999999E-2</v>
      </c>
      <c r="P4863" s="508">
        <v>4.5999999999999999E-2</v>
      </c>
      <c r="Q4863" s="508">
        <v>4.5999999999999999E-2</v>
      </c>
      <c r="R4863" s="508">
        <v>4.5999999999999999E-2</v>
      </c>
      <c r="S4863" s="508">
        <v>4.5999999999999999E-2</v>
      </c>
      <c r="T4863" s="508">
        <v>4.5999999999999999E-2</v>
      </c>
      <c r="U4863" s="508">
        <v>4.5999999999999999E-2</v>
      </c>
      <c r="V4863" s="508">
        <v>4.5999999999999999E-2</v>
      </c>
      <c r="W4863" s="508">
        <v>4.5999999999999999E-2</v>
      </c>
      <c r="X4863" s="508">
        <v>4.5999999999999999E-2</v>
      </c>
      <c r="Y4863" s="508">
        <v>4.5999999999999999E-2</v>
      </c>
      <c r="Z4863" s="508">
        <v>4.5999999999999999E-2</v>
      </c>
      <c r="AA4863" s="508">
        <v>4.5999999999999999E-2</v>
      </c>
      <c r="AB4863" s="508">
        <v>4.5999999999999999E-2</v>
      </c>
      <c r="AC4863" s="508">
        <v>4.5999999999999999E-2</v>
      </c>
      <c r="AD4863" s="508">
        <v>4.5999999999999999E-2</v>
      </c>
      <c r="AE4863" s="508">
        <v>4.5999999999999999E-2</v>
      </c>
      <c r="AF4863" s="508">
        <v>4.5999999999999999E-2</v>
      </c>
      <c r="AG4863" s="508">
        <v>4.5999999999999999E-2</v>
      </c>
      <c r="AH4863" s="508">
        <v>4.5999999999999999E-2</v>
      </c>
      <c r="AI4863" s="492">
        <v>4.5999999999999999E-2</v>
      </c>
      <c r="AJ4863" s="485"/>
    </row>
    <row r="4864" spans="2:36">
      <c r="B4864" s="136" t="s">
        <v>484</v>
      </c>
      <c r="C4864" s="132" t="s">
        <v>1369</v>
      </c>
      <c r="D4864" s="132" t="s">
        <v>1379</v>
      </c>
      <c r="E4864" s="508">
        <v>3.5000000000000003E-2</v>
      </c>
      <c r="F4864" s="508">
        <v>3.5000000000000003E-2</v>
      </c>
      <c r="G4864" s="508">
        <v>3.5000000000000003E-2</v>
      </c>
      <c r="H4864" s="508">
        <v>3.5000000000000003E-2</v>
      </c>
      <c r="I4864" s="508">
        <v>3.5000000000000003E-2</v>
      </c>
      <c r="J4864" s="508">
        <v>3.5000000000000003E-2</v>
      </c>
      <c r="K4864" s="508">
        <v>3.5000000000000003E-2</v>
      </c>
      <c r="L4864" s="508">
        <v>3.5000000000000003E-2</v>
      </c>
      <c r="M4864" s="508">
        <v>3.5000000000000003E-2</v>
      </c>
      <c r="N4864" s="508">
        <v>3.5000000000000003E-2</v>
      </c>
      <c r="O4864" s="508">
        <v>3.5000000000000003E-2</v>
      </c>
      <c r="P4864" s="508">
        <v>3.5000000000000003E-2</v>
      </c>
      <c r="Q4864" s="508">
        <v>3.5000000000000003E-2</v>
      </c>
      <c r="R4864" s="508">
        <v>3.5000000000000003E-2</v>
      </c>
      <c r="S4864" s="508">
        <v>3.5000000000000003E-2</v>
      </c>
      <c r="T4864" s="508">
        <v>3.5000000000000003E-2</v>
      </c>
      <c r="U4864" s="508">
        <v>3.5000000000000003E-2</v>
      </c>
      <c r="V4864" s="508">
        <v>3.5000000000000003E-2</v>
      </c>
      <c r="W4864" s="508">
        <v>3.5000000000000003E-2</v>
      </c>
      <c r="X4864" s="508">
        <v>3.5000000000000003E-2</v>
      </c>
      <c r="Y4864" s="508">
        <v>3.5000000000000003E-2</v>
      </c>
      <c r="Z4864" s="508">
        <v>3.5000000000000003E-2</v>
      </c>
      <c r="AA4864" s="508">
        <v>3.5000000000000003E-2</v>
      </c>
      <c r="AB4864" s="508">
        <v>3.5000000000000003E-2</v>
      </c>
      <c r="AC4864" s="508">
        <v>3.5000000000000003E-2</v>
      </c>
      <c r="AD4864" s="508">
        <v>3.5000000000000003E-2</v>
      </c>
      <c r="AE4864" s="508">
        <v>3.5000000000000003E-2</v>
      </c>
      <c r="AF4864" s="508">
        <v>3.5000000000000003E-2</v>
      </c>
      <c r="AG4864" s="508">
        <v>3.5000000000000003E-2</v>
      </c>
      <c r="AH4864" s="508">
        <v>3.5000000000000003E-2</v>
      </c>
      <c r="AI4864" s="492">
        <v>3.5000000000000003E-2</v>
      </c>
      <c r="AJ4864" s="485"/>
    </row>
    <row r="4865" spans="2:36">
      <c r="B4865" s="136" t="s">
        <v>486</v>
      </c>
      <c r="C4865" s="132" t="s">
        <v>1369</v>
      </c>
      <c r="D4865" s="132" t="s">
        <v>1379</v>
      </c>
      <c r="E4865" s="508">
        <v>4.2999999999999997E-2</v>
      </c>
      <c r="F4865" s="508">
        <v>4.2999999999999997E-2</v>
      </c>
      <c r="G4865" s="508">
        <v>4.2999999999999997E-2</v>
      </c>
      <c r="H4865" s="508">
        <v>4.2999999999999997E-2</v>
      </c>
      <c r="I4865" s="508">
        <v>4.2999999999999997E-2</v>
      </c>
      <c r="J4865" s="508">
        <v>4.2999999999999997E-2</v>
      </c>
      <c r="K4865" s="508">
        <v>4.2999999999999997E-2</v>
      </c>
      <c r="L4865" s="508">
        <v>4.2999999999999997E-2</v>
      </c>
      <c r="M4865" s="508">
        <v>4.2999999999999997E-2</v>
      </c>
      <c r="N4865" s="508">
        <v>4.2999999999999997E-2</v>
      </c>
      <c r="O4865" s="508">
        <v>4.2999999999999997E-2</v>
      </c>
      <c r="P4865" s="508">
        <v>4.2999999999999997E-2</v>
      </c>
      <c r="Q4865" s="508">
        <v>4.2999999999999997E-2</v>
      </c>
      <c r="R4865" s="508">
        <v>4.2999999999999997E-2</v>
      </c>
      <c r="S4865" s="508">
        <v>4.2999999999999997E-2</v>
      </c>
      <c r="T4865" s="508">
        <v>4.2999999999999997E-2</v>
      </c>
      <c r="U4865" s="508">
        <v>4.2999999999999997E-2</v>
      </c>
      <c r="V4865" s="508">
        <v>4.2999999999999997E-2</v>
      </c>
      <c r="W4865" s="508">
        <v>4.2999999999999997E-2</v>
      </c>
      <c r="X4865" s="508">
        <v>4.2999999999999997E-2</v>
      </c>
      <c r="Y4865" s="508">
        <v>4.2999999999999997E-2</v>
      </c>
      <c r="Z4865" s="508">
        <v>4.2999999999999997E-2</v>
      </c>
      <c r="AA4865" s="508">
        <v>4.2999999999999997E-2</v>
      </c>
      <c r="AB4865" s="508">
        <v>4.2999999999999997E-2</v>
      </c>
      <c r="AC4865" s="508">
        <v>4.2999999999999997E-2</v>
      </c>
      <c r="AD4865" s="508">
        <v>4.2999999999999997E-2</v>
      </c>
      <c r="AE4865" s="508">
        <v>4.2999999999999997E-2</v>
      </c>
      <c r="AF4865" s="508">
        <v>4.2999999999999997E-2</v>
      </c>
      <c r="AG4865" s="508">
        <v>4.2999999999999997E-2</v>
      </c>
      <c r="AH4865" s="508">
        <v>4.2999999999999997E-2</v>
      </c>
      <c r="AI4865" s="492">
        <v>4.2999999999999997E-2</v>
      </c>
      <c r="AJ4865" s="485"/>
    </row>
    <row r="4866" spans="2:36">
      <c r="B4866" s="136" t="s">
        <v>487</v>
      </c>
      <c r="C4866" s="132" t="s">
        <v>1369</v>
      </c>
      <c r="D4866" s="132" t="s">
        <v>1379</v>
      </c>
      <c r="E4866" s="508">
        <v>4.2000000000000003E-2</v>
      </c>
      <c r="F4866" s="508">
        <v>4.2000000000000003E-2</v>
      </c>
      <c r="G4866" s="508">
        <v>4.2000000000000003E-2</v>
      </c>
      <c r="H4866" s="508">
        <v>4.2000000000000003E-2</v>
      </c>
      <c r="I4866" s="508">
        <v>4.2000000000000003E-2</v>
      </c>
      <c r="J4866" s="508">
        <v>4.2000000000000003E-2</v>
      </c>
      <c r="K4866" s="508">
        <v>4.2000000000000003E-2</v>
      </c>
      <c r="L4866" s="508">
        <v>4.2000000000000003E-2</v>
      </c>
      <c r="M4866" s="508">
        <v>4.2000000000000003E-2</v>
      </c>
      <c r="N4866" s="508">
        <v>4.2000000000000003E-2</v>
      </c>
      <c r="O4866" s="508">
        <v>4.2000000000000003E-2</v>
      </c>
      <c r="P4866" s="508">
        <v>4.2000000000000003E-2</v>
      </c>
      <c r="Q4866" s="508">
        <v>4.2000000000000003E-2</v>
      </c>
      <c r="R4866" s="508">
        <v>4.2000000000000003E-2</v>
      </c>
      <c r="S4866" s="508">
        <v>4.2000000000000003E-2</v>
      </c>
      <c r="T4866" s="508">
        <v>4.2000000000000003E-2</v>
      </c>
      <c r="U4866" s="508">
        <v>4.2000000000000003E-2</v>
      </c>
      <c r="V4866" s="508">
        <v>4.2000000000000003E-2</v>
      </c>
      <c r="W4866" s="508">
        <v>4.2000000000000003E-2</v>
      </c>
      <c r="X4866" s="508">
        <v>4.2000000000000003E-2</v>
      </c>
      <c r="Y4866" s="508">
        <v>4.2000000000000003E-2</v>
      </c>
      <c r="Z4866" s="508">
        <v>4.2000000000000003E-2</v>
      </c>
      <c r="AA4866" s="508">
        <v>4.2000000000000003E-2</v>
      </c>
      <c r="AB4866" s="508">
        <v>4.2000000000000003E-2</v>
      </c>
      <c r="AC4866" s="508">
        <v>4.2000000000000003E-2</v>
      </c>
      <c r="AD4866" s="508">
        <v>4.2000000000000003E-2</v>
      </c>
      <c r="AE4866" s="508">
        <v>4.2000000000000003E-2</v>
      </c>
      <c r="AF4866" s="508">
        <v>4.2000000000000003E-2</v>
      </c>
      <c r="AG4866" s="508">
        <v>4.2000000000000003E-2</v>
      </c>
      <c r="AH4866" s="508">
        <v>4.2000000000000003E-2</v>
      </c>
      <c r="AI4866" s="492">
        <v>4.2000000000000003E-2</v>
      </c>
      <c r="AJ4866" s="485"/>
    </row>
    <row r="4867" spans="2:36">
      <c r="B4867" s="136" t="s">
        <v>488</v>
      </c>
      <c r="C4867" s="132" t="s">
        <v>1369</v>
      </c>
      <c r="D4867" s="132" t="s">
        <v>1379</v>
      </c>
      <c r="E4867" s="508">
        <v>3.5999999999999997E-2</v>
      </c>
      <c r="F4867" s="508">
        <v>3.5999999999999997E-2</v>
      </c>
      <c r="G4867" s="508">
        <v>3.5999999999999997E-2</v>
      </c>
      <c r="H4867" s="508">
        <v>3.5999999999999997E-2</v>
      </c>
      <c r="I4867" s="508">
        <v>3.5999999999999997E-2</v>
      </c>
      <c r="J4867" s="508">
        <v>3.5999999999999997E-2</v>
      </c>
      <c r="K4867" s="508">
        <v>3.5999999999999997E-2</v>
      </c>
      <c r="L4867" s="508">
        <v>3.5999999999999997E-2</v>
      </c>
      <c r="M4867" s="508">
        <v>3.5999999999999997E-2</v>
      </c>
      <c r="N4867" s="508">
        <v>3.5999999999999997E-2</v>
      </c>
      <c r="O4867" s="508">
        <v>3.5999999999999997E-2</v>
      </c>
      <c r="P4867" s="508">
        <v>3.5999999999999997E-2</v>
      </c>
      <c r="Q4867" s="508">
        <v>3.5999999999999997E-2</v>
      </c>
      <c r="R4867" s="508">
        <v>3.5999999999999997E-2</v>
      </c>
      <c r="S4867" s="508">
        <v>3.5999999999999997E-2</v>
      </c>
      <c r="T4867" s="508">
        <v>3.5999999999999997E-2</v>
      </c>
      <c r="U4867" s="508">
        <v>3.5999999999999997E-2</v>
      </c>
      <c r="V4867" s="508">
        <v>3.5999999999999997E-2</v>
      </c>
      <c r="W4867" s="508">
        <v>3.5999999999999997E-2</v>
      </c>
      <c r="X4867" s="508">
        <v>3.5999999999999997E-2</v>
      </c>
      <c r="Y4867" s="508">
        <v>3.5999999999999997E-2</v>
      </c>
      <c r="Z4867" s="508">
        <v>3.5999999999999997E-2</v>
      </c>
      <c r="AA4867" s="508">
        <v>3.5999999999999997E-2</v>
      </c>
      <c r="AB4867" s="508">
        <v>3.5999999999999997E-2</v>
      </c>
      <c r="AC4867" s="508">
        <v>3.5999999999999997E-2</v>
      </c>
      <c r="AD4867" s="508">
        <v>3.5999999999999997E-2</v>
      </c>
      <c r="AE4867" s="508">
        <v>3.5999999999999997E-2</v>
      </c>
      <c r="AF4867" s="508">
        <v>3.5999999999999997E-2</v>
      </c>
      <c r="AG4867" s="508">
        <v>3.5999999999999997E-2</v>
      </c>
      <c r="AH4867" s="508">
        <v>3.5999999999999997E-2</v>
      </c>
      <c r="AI4867" s="492">
        <v>3.5999999999999997E-2</v>
      </c>
      <c r="AJ4867" s="485"/>
    </row>
    <row r="4868" spans="2:36">
      <c r="B4868" s="136" t="s">
        <v>489</v>
      </c>
      <c r="C4868" s="132" t="s">
        <v>1369</v>
      </c>
      <c r="D4868" s="132" t="s">
        <v>1379</v>
      </c>
      <c r="E4868" s="508">
        <v>3.9E-2</v>
      </c>
      <c r="F4868" s="508">
        <v>3.9E-2</v>
      </c>
      <c r="G4868" s="508">
        <v>3.9E-2</v>
      </c>
      <c r="H4868" s="508">
        <v>3.9E-2</v>
      </c>
      <c r="I4868" s="508">
        <v>3.9E-2</v>
      </c>
      <c r="J4868" s="508">
        <v>3.9E-2</v>
      </c>
      <c r="K4868" s="508">
        <v>3.9E-2</v>
      </c>
      <c r="L4868" s="508">
        <v>3.9E-2</v>
      </c>
      <c r="M4868" s="508">
        <v>3.9E-2</v>
      </c>
      <c r="N4868" s="508">
        <v>3.9E-2</v>
      </c>
      <c r="O4868" s="508">
        <v>3.9E-2</v>
      </c>
      <c r="P4868" s="508">
        <v>3.9E-2</v>
      </c>
      <c r="Q4868" s="508">
        <v>3.9E-2</v>
      </c>
      <c r="R4868" s="508">
        <v>3.9E-2</v>
      </c>
      <c r="S4868" s="508">
        <v>3.9E-2</v>
      </c>
      <c r="T4868" s="508">
        <v>3.9E-2</v>
      </c>
      <c r="U4868" s="508">
        <v>3.9E-2</v>
      </c>
      <c r="V4868" s="508">
        <v>3.9E-2</v>
      </c>
      <c r="W4868" s="508">
        <v>3.9E-2</v>
      </c>
      <c r="X4868" s="508">
        <v>3.9E-2</v>
      </c>
      <c r="Y4868" s="508">
        <v>3.9E-2</v>
      </c>
      <c r="Z4868" s="508">
        <v>3.9E-2</v>
      </c>
      <c r="AA4868" s="508">
        <v>3.9E-2</v>
      </c>
      <c r="AB4868" s="508">
        <v>3.9E-2</v>
      </c>
      <c r="AC4868" s="508">
        <v>3.9E-2</v>
      </c>
      <c r="AD4868" s="508">
        <v>3.9E-2</v>
      </c>
      <c r="AE4868" s="508">
        <v>3.9E-2</v>
      </c>
      <c r="AF4868" s="508">
        <v>3.9E-2</v>
      </c>
      <c r="AG4868" s="508">
        <v>3.9E-2</v>
      </c>
      <c r="AH4868" s="508">
        <v>3.9E-2</v>
      </c>
      <c r="AI4868" s="492">
        <v>3.9E-2</v>
      </c>
      <c r="AJ4868" s="485"/>
    </row>
    <row r="4869" spans="2:36">
      <c r="B4869" s="136" t="s">
        <v>490</v>
      </c>
      <c r="C4869" s="132" t="s">
        <v>1369</v>
      </c>
      <c r="D4869" s="132" t="s">
        <v>1379</v>
      </c>
      <c r="E4869" s="508">
        <v>3.5000000000000003E-2</v>
      </c>
      <c r="F4869" s="508">
        <v>3.5000000000000003E-2</v>
      </c>
      <c r="G4869" s="508">
        <v>3.5000000000000003E-2</v>
      </c>
      <c r="H4869" s="508">
        <v>3.5000000000000003E-2</v>
      </c>
      <c r="I4869" s="508">
        <v>3.5000000000000003E-2</v>
      </c>
      <c r="J4869" s="508">
        <v>3.5000000000000003E-2</v>
      </c>
      <c r="K4869" s="508">
        <v>3.5000000000000003E-2</v>
      </c>
      <c r="L4869" s="508">
        <v>3.5000000000000003E-2</v>
      </c>
      <c r="M4869" s="508">
        <v>3.5000000000000003E-2</v>
      </c>
      <c r="N4869" s="508">
        <v>3.5000000000000003E-2</v>
      </c>
      <c r="O4869" s="508">
        <v>3.5000000000000003E-2</v>
      </c>
      <c r="P4869" s="508">
        <v>3.5000000000000003E-2</v>
      </c>
      <c r="Q4869" s="508">
        <v>3.5000000000000003E-2</v>
      </c>
      <c r="R4869" s="508">
        <v>3.5000000000000003E-2</v>
      </c>
      <c r="S4869" s="508">
        <v>3.5000000000000003E-2</v>
      </c>
      <c r="T4869" s="508">
        <v>3.5000000000000003E-2</v>
      </c>
      <c r="U4869" s="508">
        <v>3.5000000000000003E-2</v>
      </c>
      <c r="V4869" s="508">
        <v>3.5000000000000003E-2</v>
      </c>
      <c r="W4869" s="508">
        <v>3.5000000000000003E-2</v>
      </c>
      <c r="X4869" s="508">
        <v>3.5000000000000003E-2</v>
      </c>
      <c r="Y4869" s="508">
        <v>3.5000000000000003E-2</v>
      </c>
      <c r="Z4869" s="508">
        <v>3.5000000000000003E-2</v>
      </c>
      <c r="AA4869" s="508">
        <v>3.5000000000000003E-2</v>
      </c>
      <c r="AB4869" s="508">
        <v>3.5000000000000003E-2</v>
      </c>
      <c r="AC4869" s="508">
        <v>3.5000000000000003E-2</v>
      </c>
      <c r="AD4869" s="508">
        <v>3.5000000000000003E-2</v>
      </c>
      <c r="AE4869" s="508">
        <v>3.5000000000000003E-2</v>
      </c>
      <c r="AF4869" s="508">
        <v>3.5000000000000003E-2</v>
      </c>
      <c r="AG4869" s="508">
        <v>3.5000000000000003E-2</v>
      </c>
      <c r="AH4869" s="508">
        <v>3.5000000000000003E-2</v>
      </c>
      <c r="AI4869" s="492">
        <v>3.5000000000000003E-2</v>
      </c>
      <c r="AJ4869" s="485"/>
    </row>
    <row r="4870" spans="2:36">
      <c r="B4870" s="136" t="s">
        <v>435</v>
      </c>
      <c r="C4870" s="132" t="s">
        <v>1370</v>
      </c>
      <c r="D4870" s="132" t="s">
        <v>1379</v>
      </c>
      <c r="E4870" s="508">
        <v>0.127</v>
      </c>
      <c r="F4870" s="508">
        <v>0.126</v>
      </c>
      <c r="G4870" s="508">
        <v>0.12</v>
      </c>
      <c r="H4870" s="508">
        <v>0.125</v>
      </c>
      <c r="I4870" s="508">
        <v>0.107</v>
      </c>
      <c r="J4870" s="508">
        <v>0.124</v>
      </c>
      <c r="K4870" s="508">
        <v>0.112</v>
      </c>
      <c r="L4870" s="508">
        <v>0.12</v>
      </c>
      <c r="M4870" s="508">
        <v>0.126</v>
      </c>
      <c r="N4870" s="508">
        <v>0.124</v>
      </c>
      <c r="O4870" s="508">
        <v>0.11899999999999999</v>
      </c>
      <c r="P4870" s="508">
        <v>0.13</v>
      </c>
      <c r="Q4870" s="508">
        <v>0.13100000000000001</v>
      </c>
      <c r="R4870" s="508">
        <v>0.13</v>
      </c>
      <c r="S4870" s="508">
        <v>0.129</v>
      </c>
      <c r="T4870" s="508">
        <v>0.121</v>
      </c>
      <c r="U4870" s="508">
        <v>0.13300000000000001</v>
      </c>
      <c r="V4870" s="508">
        <v>0.13400000000000001</v>
      </c>
      <c r="W4870" s="508">
        <v>0.13500000000000001</v>
      </c>
      <c r="X4870" s="508">
        <v>0.13400000000000001</v>
      </c>
      <c r="Y4870" s="508">
        <v>0.13500000000000001</v>
      </c>
      <c r="Z4870" s="508">
        <v>0.13500000000000001</v>
      </c>
      <c r="AA4870" s="508">
        <v>0.13500000000000001</v>
      </c>
      <c r="AB4870" s="508">
        <v>0.13400000000000001</v>
      </c>
      <c r="AC4870" s="508">
        <v>0.13500000000000001</v>
      </c>
      <c r="AD4870" s="508">
        <v>0.13500000000000001</v>
      </c>
      <c r="AE4870" s="508">
        <v>0.13500000000000001</v>
      </c>
      <c r="AF4870" s="508">
        <v>0.13500000000000001</v>
      </c>
      <c r="AG4870" s="508">
        <v>0.13500000000000001</v>
      </c>
      <c r="AH4870" s="508">
        <v>0.13500000000000001</v>
      </c>
      <c r="AI4870" s="492">
        <v>0.13500000000000001</v>
      </c>
      <c r="AJ4870" s="485"/>
    </row>
    <row r="4871" spans="2:36">
      <c r="B4871" s="136" t="s">
        <v>436</v>
      </c>
      <c r="C4871" s="132" t="s">
        <v>1370</v>
      </c>
      <c r="D4871" s="132" t="s">
        <v>1379</v>
      </c>
      <c r="E4871" s="508">
        <v>0.111</v>
      </c>
      <c r="F4871" s="508">
        <v>0.11</v>
      </c>
      <c r="G4871" s="508">
        <v>0.105</v>
      </c>
      <c r="H4871" s="508">
        <v>0.109</v>
      </c>
      <c r="I4871" s="508">
        <v>9.4E-2</v>
      </c>
      <c r="J4871" s="508">
        <v>0.108</v>
      </c>
      <c r="K4871" s="508">
        <v>9.8000000000000004E-2</v>
      </c>
      <c r="L4871" s="508">
        <v>0.105</v>
      </c>
      <c r="M4871" s="508">
        <v>0.11</v>
      </c>
      <c r="N4871" s="508">
        <v>0.109</v>
      </c>
      <c r="O4871" s="508">
        <v>0.104</v>
      </c>
      <c r="P4871" s="508">
        <v>0.113</v>
      </c>
      <c r="Q4871" s="508">
        <v>0.114</v>
      </c>
      <c r="R4871" s="508">
        <v>0.113</v>
      </c>
      <c r="S4871" s="508">
        <v>0.112</v>
      </c>
      <c r="T4871" s="508">
        <v>0.106</v>
      </c>
      <c r="U4871" s="508">
        <v>0.11600000000000001</v>
      </c>
      <c r="V4871" s="508">
        <v>0.11700000000000001</v>
      </c>
      <c r="W4871" s="508">
        <v>0.11799999999999999</v>
      </c>
      <c r="X4871" s="508">
        <v>0.11700000000000001</v>
      </c>
      <c r="Y4871" s="508">
        <v>0.11799999999999999</v>
      </c>
      <c r="Z4871" s="508">
        <v>0.11799999999999999</v>
      </c>
      <c r="AA4871" s="508">
        <v>0.11799999999999999</v>
      </c>
      <c r="AB4871" s="508">
        <v>0.11700000000000001</v>
      </c>
      <c r="AC4871" s="508">
        <v>0.11799999999999999</v>
      </c>
      <c r="AD4871" s="508">
        <v>0.11799999999999999</v>
      </c>
      <c r="AE4871" s="508">
        <v>0.11799999999999999</v>
      </c>
      <c r="AF4871" s="508">
        <v>0.11799999999999999</v>
      </c>
      <c r="AG4871" s="508">
        <v>0.11799999999999999</v>
      </c>
      <c r="AH4871" s="508">
        <v>0.11799999999999999</v>
      </c>
      <c r="AI4871" s="492">
        <v>0.11799999999999999</v>
      </c>
      <c r="AJ4871" s="485"/>
    </row>
    <row r="4872" spans="2:36">
      <c r="B4872" s="136" t="s">
        <v>437</v>
      </c>
      <c r="C4872" s="132" t="s">
        <v>1370</v>
      </c>
      <c r="D4872" s="132" t="s">
        <v>1379</v>
      </c>
      <c r="E4872" s="508">
        <v>0.127</v>
      </c>
      <c r="F4872" s="508">
        <v>0.126</v>
      </c>
      <c r="G4872" s="508">
        <v>0.121</v>
      </c>
      <c r="H4872" s="508">
        <v>0.125</v>
      </c>
      <c r="I4872" s="508">
        <v>0.107</v>
      </c>
      <c r="J4872" s="508">
        <v>0.124</v>
      </c>
      <c r="K4872" s="508">
        <v>0.112</v>
      </c>
      <c r="L4872" s="508">
        <v>0.121</v>
      </c>
      <c r="M4872" s="508">
        <v>0.126</v>
      </c>
      <c r="N4872" s="508">
        <v>0.125</v>
      </c>
      <c r="O4872" s="508">
        <v>0.11899999999999999</v>
      </c>
      <c r="P4872" s="508">
        <v>0.13</v>
      </c>
      <c r="Q4872" s="508">
        <v>0.13100000000000001</v>
      </c>
      <c r="R4872" s="508">
        <v>0.13</v>
      </c>
      <c r="S4872" s="508">
        <v>0.129</v>
      </c>
      <c r="T4872" s="508">
        <v>0.121</v>
      </c>
      <c r="U4872" s="508">
        <v>0.13300000000000001</v>
      </c>
      <c r="V4872" s="508">
        <v>0.13500000000000001</v>
      </c>
      <c r="W4872" s="508">
        <v>0.13500000000000001</v>
      </c>
      <c r="X4872" s="508">
        <v>0.13400000000000001</v>
      </c>
      <c r="Y4872" s="508">
        <v>0.13500000000000001</v>
      </c>
      <c r="Z4872" s="508">
        <v>0.13500000000000001</v>
      </c>
      <c r="AA4872" s="508">
        <v>0.13500000000000001</v>
      </c>
      <c r="AB4872" s="508">
        <v>0.13400000000000001</v>
      </c>
      <c r="AC4872" s="508">
        <v>0.13600000000000001</v>
      </c>
      <c r="AD4872" s="508">
        <v>0.13600000000000001</v>
      </c>
      <c r="AE4872" s="508">
        <v>0.13500000000000001</v>
      </c>
      <c r="AF4872" s="508">
        <v>0.13500000000000001</v>
      </c>
      <c r="AG4872" s="508">
        <v>0.13500000000000001</v>
      </c>
      <c r="AH4872" s="508">
        <v>0.13500000000000001</v>
      </c>
      <c r="AI4872" s="492">
        <v>0.13500000000000001</v>
      </c>
      <c r="AJ4872" s="485"/>
    </row>
    <row r="4873" spans="2:36">
      <c r="B4873" s="136" t="s">
        <v>438</v>
      </c>
      <c r="C4873" s="132" t="s">
        <v>1370</v>
      </c>
      <c r="D4873" s="132" t="s">
        <v>1379</v>
      </c>
      <c r="E4873" s="508">
        <v>0.107</v>
      </c>
      <c r="F4873" s="508">
        <v>0.106</v>
      </c>
      <c r="G4873" s="508">
        <v>0.10199999999999999</v>
      </c>
      <c r="H4873" s="508">
        <v>0.105</v>
      </c>
      <c r="I4873" s="508">
        <v>9.0999999999999998E-2</v>
      </c>
      <c r="J4873" s="508">
        <v>0.105</v>
      </c>
      <c r="K4873" s="508">
        <v>9.5000000000000001E-2</v>
      </c>
      <c r="L4873" s="508">
        <v>0.10199999999999999</v>
      </c>
      <c r="M4873" s="508">
        <v>0.106</v>
      </c>
      <c r="N4873" s="508">
        <v>0.105</v>
      </c>
      <c r="O4873" s="508">
        <v>0.1</v>
      </c>
      <c r="P4873" s="508">
        <v>0.11</v>
      </c>
      <c r="Q4873" s="508">
        <v>0.11</v>
      </c>
      <c r="R4873" s="508">
        <v>0.109</v>
      </c>
      <c r="S4873" s="508">
        <v>0.109</v>
      </c>
      <c r="T4873" s="508">
        <v>0.10199999999999999</v>
      </c>
      <c r="U4873" s="508">
        <v>0.112</v>
      </c>
      <c r="V4873" s="508">
        <v>0.113</v>
      </c>
      <c r="W4873" s="508">
        <v>0.114</v>
      </c>
      <c r="X4873" s="508">
        <v>0.113</v>
      </c>
      <c r="Y4873" s="508">
        <v>0.113</v>
      </c>
      <c r="Z4873" s="508">
        <v>0.114</v>
      </c>
      <c r="AA4873" s="508">
        <v>0.114</v>
      </c>
      <c r="AB4873" s="508">
        <v>0.113</v>
      </c>
      <c r="AC4873" s="508">
        <v>0.114</v>
      </c>
      <c r="AD4873" s="508">
        <v>0.114</v>
      </c>
      <c r="AE4873" s="508">
        <v>0.114</v>
      </c>
      <c r="AF4873" s="508">
        <v>0.114</v>
      </c>
      <c r="AG4873" s="508">
        <v>0.114</v>
      </c>
      <c r="AH4873" s="508">
        <v>0.114</v>
      </c>
      <c r="AI4873" s="492">
        <v>0.114</v>
      </c>
      <c r="AJ4873" s="485"/>
    </row>
    <row r="4874" spans="2:36">
      <c r="B4874" s="136" t="s">
        <v>439</v>
      </c>
      <c r="C4874" s="132" t="s">
        <v>1370</v>
      </c>
      <c r="D4874" s="132" t="s">
        <v>1379</v>
      </c>
      <c r="E4874" s="508">
        <v>0.129</v>
      </c>
      <c r="F4874" s="508">
        <v>0.128</v>
      </c>
      <c r="G4874" s="508">
        <v>0.123</v>
      </c>
      <c r="H4874" s="508">
        <v>0.127</v>
      </c>
      <c r="I4874" s="508">
        <v>0.109</v>
      </c>
      <c r="J4874" s="508">
        <v>0.126</v>
      </c>
      <c r="K4874" s="508">
        <v>0.114</v>
      </c>
      <c r="L4874" s="508">
        <v>0.123</v>
      </c>
      <c r="M4874" s="508">
        <v>0.128</v>
      </c>
      <c r="N4874" s="508">
        <v>0.127</v>
      </c>
      <c r="O4874" s="508">
        <v>0.121</v>
      </c>
      <c r="P4874" s="508">
        <v>0.13200000000000001</v>
      </c>
      <c r="Q4874" s="508">
        <v>0.13300000000000001</v>
      </c>
      <c r="R4874" s="508">
        <v>0.13200000000000001</v>
      </c>
      <c r="S4874" s="508">
        <v>0.13100000000000001</v>
      </c>
      <c r="T4874" s="508">
        <v>0.123</v>
      </c>
      <c r="U4874" s="508">
        <v>0.13500000000000001</v>
      </c>
      <c r="V4874" s="508">
        <v>0.13700000000000001</v>
      </c>
      <c r="W4874" s="508">
        <v>0.13700000000000001</v>
      </c>
      <c r="X4874" s="508">
        <v>0.13700000000000001</v>
      </c>
      <c r="Y4874" s="508">
        <v>0.13700000000000001</v>
      </c>
      <c r="Z4874" s="508">
        <v>0.13700000000000001</v>
      </c>
      <c r="AA4874" s="508">
        <v>0.13700000000000001</v>
      </c>
      <c r="AB4874" s="508">
        <v>0.13700000000000001</v>
      </c>
      <c r="AC4874" s="508">
        <v>0.13800000000000001</v>
      </c>
      <c r="AD4874" s="508">
        <v>0.13800000000000001</v>
      </c>
      <c r="AE4874" s="508">
        <v>0.13700000000000001</v>
      </c>
      <c r="AF4874" s="508">
        <v>0.13700000000000001</v>
      </c>
      <c r="AG4874" s="508">
        <v>0.13700000000000001</v>
      </c>
      <c r="AH4874" s="508">
        <v>0.13700000000000001</v>
      </c>
      <c r="AI4874" s="492">
        <v>0.13700000000000001</v>
      </c>
      <c r="AJ4874" s="485"/>
    </row>
    <row r="4875" spans="2:36">
      <c r="B4875" s="136" t="s">
        <v>440</v>
      </c>
      <c r="C4875" s="132" t="s">
        <v>1370</v>
      </c>
      <c r="D4875" s="132" t="s">
        <v>1379</v>
      </c>
      <c r="E4875" s="508">
        <v>0.122</v>
      </c>
      <c r="F4875" s="508">
        <v>0.122</v>
      </c>
      <c r="G4875" s="508">
        <v>0.11600000000000001</v>
      </c>
      <c r="H4875" s="508">
        <v>0.121</v>
      </c>
      <c r="I4875" s="508">
        <v>0.104</v>
      </c>
      <c r="J4875" s="508">
        <v>0.12</v>
      </c>
      <c r="K4875" s="508">
        <v>0.108</v>
      </c>
      <c r="L4875" s="508">
        <v>0.11600000000000001</v>
      </c>
      <c r="M4875" s="508">
        <v>0.121</v>
      </c>
      <c r="N4875" s="508">
        <v>0.12</v>
      </c>
      <c r="O4875" s="508">
        <v>0.115</v>
      </c>
      <c r="P4875" s="508">
        <v>0.125</v>
      </c>
      <c r="Q4875" s="508">
        <v>0.126</v>
      </c>
      <c r="R4875" s="508">
        <v>0.125</v>
      </c>
      <c r="S4875" s="508">
        <v>0.124</v>
      </c>
      <c r="T4875" s="508">
        <v>0.11700000000000001</v>
      </c>
      <c r="U4875" s="508">
        <v>0.128</v>
      </c>
      <c r="V4875" s="508">
        <v>0.13</v>
      </c>
      <c r="W4875" s="508">
        <v>0.13</v>
      </c>
      <c r="X4875" s="508">
        <v>0.13</v>
      </c>
      <c r="Y4875" s="508">
        <v>0.13</v>
      </c>
      <c r="Z4875" s="508">
        <v>0.13</v>
      </c>
      <c r="AA4875" s="508">
        <v>0.13</v>
      </c>
      <c r="AB4875" s="508">
        <v>0.13</v>
      </c>
      <c r="AC4875" s="508">
        <v>0.13100000000000001</v>
      </c>
      <c r="AD4875" s="508">
        <v>0.13100000000000001</v>
      </c>
      <c r="AE4875" s="508">
        <v>0.13</v>
      </c>
      <c r="AF4875" s="508">
        <v>0.13</v>
      </c>
      <c r="AG4875" s="508">
        <v>0.13</v>
      </c>
      <c r="AH4875" s="508">
        <v>0.13</v>
      </c>
      <c r="AI4875" s="492">
        <v>0.13</v>
      </c>
      <c r="AJ4875" s="485"/>
    </row>
    <row r="4876" spans="2:36">
      <c r="B4876" s="136" t="s">
        <v>441</v>
      </c>
      <c r="C4876" s="132" t="s">
        <v>1370</v>
      </c>
      <c r="D4876" s="132" t="s">
        <v>1379</v>
      </c>
      <c r="E4876" s="508">
        <v>0.13100000000000001</v>
      </c>
      <c r="F4876" s="508">
        <v>0.13</v>
      </c>
      <c r="G4876" s="508">
        <v>0.124</v>
      </c>
      <c r="H4876" s="508">
        <v>0.129</v>
      </c>
      <c r="I4876" s="508">
        <v>0.111</v>
      </c>
      <c r="J4876" s="508">
        <v>0.128</v>
      </c>
      <c r="K4876" s="508">
        <v>0.11600000000000001</v>
      </c>
      <c r="L4876" s="508">
        <v>0.124</v>
      </c>
      <c r="M4876" s="508">
        <v>0.13</v>
      </c>
      <c r="N4876" s="508">
        <v>0.128</v>
      </c>
      <c r="O4876" s="508">
        <v>0.122</v>
      </c>
      <c r="P4876" s="508">
        <v>0.13400000000000001</v>
      </c>
      <c r="Q4876" s="508">
        <v>0.13500000000000001</v>
      </c>
      <c r="R4876" s="508">
        <v>0.13400000000000001</v>
      </c>
      <c r="S4876" s="508">
        <v>0.13300000000000001</v>
      </c>
      <c r="T4876" s="508">
        <v>0.125</v>
      </c>
      <c r="U4876" s="508">
        <v>0.13700000000000001</v>
      </c>
      <c r="V4876" s="508">
        <v>0.13900000000000001</v>
      </c>
      <c r="W4876" s="508">
        <v>0.13900000000000001</v>
      </c>
      <c r="X4876" s="508">
        <v>0.13800000000000001</v>
      </c>
      <c r="Y4876" s="508">
        <v>0.13900000000000001</v>
      </c>
      <c r="Z4876" s="508">
        <v>0.13900000000000001</v>
      </c>
      <c r="AA4876" s="508">
        <v>0.13900000000000001</v>
      </c>
      <c r="AB4876" s="508">
        <v>0.13800000000000001</v>
      </c>
      <c r="AC4876" s="508">
        <v>0.14000000000000001</v>
      </c>
      <c r="AD4876" s="508">
        <v>0.14000000000000001</v>
      </c>
      <c r="AE4876" s="508">
        <v>0.13900000000000001</v>
      </c>
      <c r="AF4876" s="508">
        <v>0.13900000000000001</v>
      </c>
      <c r="AG4876" s="508">
        <v>0.13900000000000001</v>
      </c>
      <c r="AH4876" s="508">
        <v>0.13900000000000001</v>
      </c>
      <c r="AI4876" s="492">
        <v>0.13900000000000001</v>
      </c>
      <c r="AJ4876" s="485"/>
    </row>
    <row r="4877" spans="2:36">
      <c r="B4877" s="136" t="s">
        <v>443</v>
      </c>
      <c r="C4877" s="132" t="s">
        <v>1370</v>
      </c>
      <c r="D4877" s="132" t="s">
        <v>1379</v>
      </c>
      <c r="E4877" s="508">
        <v>0.154</v>
      </c>
      <c r="F4877" s="508">
        <v>0.153</v>
      </c>
      <c r="G4877" s="508">
        <v>0.14599999999999999</v>
      </c>
      <c r="H4877" s="508">
        <v>0.151</v>
      </c>
      <c r="I4877" s="508">
        <v>0.13</v>
      </c>
      <c r="J4877" s="508">
        <v>0.15</v>
      </c>
      <c r="K4877" s="508">
        <v>0.13600000000000001</v>
      </c>
      <c r="L4877" s="508">
        <v>0.14599999999999999</v>
      </c>
      <c r="M4877" s="508">
        <v>0.152</v>
      </c>
      <c r="N4877" s="508">
        <v>0.151</v>
      </c>
      <c r="O4877" s="508">
        <v>0.14399999999999999</v>
      </c>
      <c r="P4877" s="508">
        <v>0.157</v>
      </c>
      <c r="Q4877" s="508">
        <v>0.159</v>
      </c>
      <c r="R4877" s="508">
        <v>0.157</v>
      </c>
      <c r="S4877" s="508">
        <v>0.156</v>
      </c>
      <c r="T4877" s="508">
        <v>0.14699999999999999</v>
      </c>
      <c r="U4877" s="508">
        <v>0.161</v>
      </c>
      <c r="V4877" s="508">
        <v>0.16300000000000001</v>
      </c>
      <c r="W4877" s="508">
        <v>0.16400000000000001</v>
      </c>
      <c r="X4877" s="508">
        <v>0.16300000000000001</v>
      </c>
      <c r="Y4877" s="508">
        <v>0.16300000000000001</v>
      </c>
      <c r="Z4877" s="508">
        <v>0.16400000000000001</v>
      </c>
      <c r="AA4877" s="508">
        <v>0.16300000000000001</v>
      </c>
      <c r="AB4877" s="508">
        <v>0.16300000000000001</v>
      </c>
      <c r="AC4877" s="508">
        <v>0.16400000000000001</v>
      </c>
      <c r="AD4877" s="508">
        <v>0.16400000000000001</v>
      </c>
      <c r="AE4877" s="508">
        <v>0.16300000000000001</v>
      </c>
      <c r="AF4877" s="508">
        <v>0.16300000000000001</v>
      </c>
      <c r="AG4877" s="508">
        <v>0.16300000000000001</v>
      </c>
      <c r="AH4877" s="508">
        <v>0.16300000000000001</v>
      </c>
      <c r="AI4877" s="492">
        <v>0.16300000000000001</v>
      </c>
      <c r="AJ4877" s="485"/>
    </row>
    <row r="4878" spans="2:36">
      <c r="B4878" s="136" t="s">
        <v>445</v>
      </c>
      <c r="C4878" s="132" t="s">
        <v>1370</v>
      </c>
      <c r="D4878" s="132" t="s">
        <v>1379</v>
      </c>
      <c r="E4878" s="508">
        <v>0.192</v>
      </c>
      <c r="F4878" s="508">
        <v>0.19</v>
      </c>
      <c r="G4878" s="508">
        <v>0.182</v>
      </c>
      <c r="H4878" s="508">
        <v>0.189</v>
      </c>
      <c r="I4878" s="508">
        <v>0.16200000000000001</v>
      </c>
      <c r="J4878" s="508">
        <v>0.187</v>
      </c>
      <c r="K4878" s="508">
        <v>0.16900000000000001</v>
      </c>
      <c r="L4878" s="508">
        <v>0.182</v>
      </c>
      <c r="M4878" s="508">
        <v>0.19</v>
      </c>
      <c r="N4878" s="508">
        <v>0.188</v>
      </c>
      <c r="O4878" s="508">
        <v>0.17899999999999999</v>
      </c>
      <c r="P4878" s="508">
        <v>0.19600000000000001</v>
      </c>
      <c r="Q4878" s="508">
        <v>0.19800000000000001</v>
      </c>
      <c r="R4878" s="508">
        <v>0.19600000000000001</v>
      </c>
      <c r="S4878" s="508">
        <v>0.19500000000000001</v>
      </c>
      <c r="T4878" s="508">
        <v>0.183</v>
      </c>
      <c r="U4878" s="508">
        <v>0.20100000000000001</v>
      </c>
      <c r="V4878" s="508">
        <v>0.20300000000000001</v>
      </c>
      <c r="W4878" s="508">
        <v>0.20399999999999999</v>
      </c>
      <c r="X4878" s="508">
        <v>0.20300000000000001</v>
      </c>
      <c r="Y4878" s="508">
        <v>0.20399999999999999</v>
      </c>
      <c r="Z4878" s="508">
        <v>0.20399999999999999</v>
      </c>
      <c r="AA4878" s="508">
        <v>0.20399999999999999</v>
      </c>
      <c r="AB4878" s="508">
        <v>0.20300000000000001</v>
      </c>
      <c r="AC4878" s="508">
        <v>0.20499999999999999</v>
      </c>
      <c r="AD4878" s="508">
        <v>0.20499999999999999</v>
      </c>
      <c r="AE4878" s="508">
        <v>0.20399999999999999</v>
      </c>
      <c r="AF4878" s="508">
        <v>0.20399999999999999</v>
      </c>
      <c r="AG4878" s="508">
        <v>0.20399999999999999</v>
      </c>
      <c r="AH4878" s="508">
        <v>0.20399999999999999</v>
      </c>
      <c r="AI4878" s="492">
        <v>0.20399999999999999</v>
      </c>
      <c r="AJ4878" s="485"/>
    </row>
    <row r="4879" spans="2:36">
      <c r="B4879" s="136" t="s">
        <v>446</v>
      </c>
      <c r="C4879" s="132" t="s">
        <v>1370</v>
      </c>
      <c r="D4879" s="132" t="s">
        <v>1379</v>
      </c>
      <c r="E4879" s="508">
        <v>0.157</v>
      </c>
      <c r="F4879" s="508">
        <v>0.156</v>
      </c>
      <c r="G4879" s="508">
        <v>0.14899999999999999</v>
      </c>
      <c r="H4879" s="508">
        <v>0.155</v>
      </c>
      <c r="I4879" s="508">
        <v>0.13300000000000001</v>
      </c>
      <c r="J4879" s="508">
        <v>0.154</v>
      </c>
      <c r="K4879" s="508">
        <v>0.13900000000000001</v>
      </c>
      <c r="L4879" s="508">
        <v>0.14899999999999999</v>
      </c>
      <c r="M4879" s="508">
        <v>0.156</v>
      </c>
      <c r="N4879" s="508">
        <v>0.154</v>
      </c>
      <c r="O4879" s="508">
        <v>0.14699999999999999</v>
      </c>
      <c r="P4879" s="508">
        <v>0.161</v>
      </c>
      <c r="Q4879" s="508">
        <v>0.16200000000000001</v>
      </c>
      <c r="R4879" s="508">
        <v>0.161</v>
      </c>
      <c r="S4879" s="508">
        <v>0.16</v>
      </c>
      <c r="T4879" s="508">
        <v>0.15</v>
      </c>
      <c r="U4879" s="508">
        <v>0.16400000000000001</v>
      </c>
      <c r="V4879" s="508">
        <v>0.16700000000000001</v>
      </c>
      <c r="W4879" s="508">
        <v>0.16700000000000001</v>
      </c>
      <c r="X4879" s="508">
        <v>0.16600000000000001</v>
      </c>
      <c r="Y4879" s="508">
        <v>0.16700000000000001</v>
      </c>
      <c r="Z4879" s="508">
        <v>0.16700000000000001</v>
      </c>
      <c r="AA4879" s="508">
        <v>0.16700000000000001</v>
      </c>
      <c r="AB4879" s="508">
        <v>0.16600000000000001</v>
      </c>
      <c r="AC4879" s="508">
        <v>0.16800000000000001</v>
      </c>
      <c r="AD4879" s="508">
        <v>0.16800000000000001</v>
      </c>
      <c r="AE4879" s="508">
        <v>0.16700000000000001</v>
      </c>
      <c r="AF4879" s="508">
        <v>0.16700000000000001</v>
      </c>
      <c r="AG4879" s="508">
        <v>0.16700000000000001</v>
      </c>
      <c r="AH4879" s="508">
        <v>0.16700000000000001</v>
      </c>
      <c r="AI4879" s="492">
        <v>0.16700000000000001</v>
      </c>
      <c r="AJ4879" s="485"/>
    </row>
    <row r="4880" spans="2:36">
      <c r="B4880" s="136" t="s">
        <v>448</v>
      </c>
      <c r="C4880" s="132" t="s">
        <v>1370</v>
      </c>
      <c r="D4880" s="132" t="s">
        <v>1379</v>
      </c>
      <c r="E4880" s="508">
        <v>0.127</v>
      </c>
      <c r="F4880" s="508">
        <v>0.11899999999999999</v>
      </c>
      <c r="G4880" s="508">
        <v>0.13600000000000001</v>
      </c>
      <c r="H4880" s="508">
        <v>0.1</v>
      </c>
      <c r="I4880" s="508">
        <v>8.3000000000000004E-2</v>
      </c>
      <c r="J4880" s="508">
        <v>0.09</v>
      </c>
      <c r="K4880" s="508">
        <v>6.5000000000000002E-2</v>
      </c>
      <c r="L4880" s="508">
        <v>9.2999999999999999E-2</v>
      </c>
      <c r="M4880" s="508">
        <v>7.1999999999999995E-2</v>
      </c>
      <c r="N4880" s="508">
        <v>8.5000000000000006E-2</v>
      </c>
      <c r="O4880" s="508">
        <v>0.107</v>
      </c>
      <c r="P4880" s="508">
        <v>0.122</v>
      </c>
      <c r="Q4880" s="508">
        <v>0.126</v>
      </c>
      <c r="R4880" s="508">
        <v>0.108</v>
      </c>
      <c r="S4880" s="508">
        <v>8.5000000000000006E-2</v>
      </c>
      <c r="T4880" s="508">
        <v>0.10100000000000001</v>
      </c>
      <c r="U4880" s="508">
        <v>8.7999999999999995E-2</v>
      </c>
      <c r="V4880" s="508">
        <v>9.2999999999999999E-2</v>
      </c>
      <c r="W4880" s="508">
        <v>9.7000000000000003E-2</v>
      </c>
      <c r="X4880" s="508">
        <v>9.5000000000000001E-2</v>
      </c>
      <c r="Y4880" s="508">
        <v>0.10199999999999999</v>
      </c>
      <c r="Z4880" s="508">
        <v>0.1</v>
      </c>
      <c r="AA4880" s="508">
        <v>0.109</v>
      </c>
      <c r="AB4880" s="508">
        <v>8.5000000000000006E-2</v>
      </c>
      <c r="AC4880" s="508">
        <v>0.111</v>
      </c>
      <c r="AD4880" s="508">
        <v>0.106</v>
      </c>
      <c r="AE4880" s="508">
        <v>9.7000000000000003E-2</v>
      </c>
      <c r="AF4880" s="508">
        <v>9.7000000000000003E-2</v>
      </c>
      <c r="AG4880" s="508">
        <v>9.7000000000000003E-2</v>
      </c>
      <c r="AH4880" s="508">
        <v>9.7000000000000003E-2</v>
      </c>
      <c r="AI4880" s="492">
        <v>9.7000000000000003E-2</v>
      </c>
      <c r="AJ4880" s="485"/>
    </row>
    <row r="4881" spans="2:36">
      <c r="B4881" s="136" t="s">
        <v>449</v>
      </c>
      <c r="C4881" s="132" t="s">
        <v>1370</v>
      </c>
      <c r="D4881" s="132" t="s">
        <v>1379</v>
      </c>
      <c r="E4881" s="508">
        <v>0.154</v>
      </c>
      <c r="F4881" s="508">
        <v>0.153</v>
      </c>
      <c r="G4881" s="508">
        <v>0.14699999999999999</v>
      </c>
      <c r="H4881" s="508">
        <v>0.152</v>
      </c>
      <c r="I4881" s="508">
        <v>0.13100000000000001</v>
      </c>
      <c r="J4881" s="508">
        <v>0.151</v>
      </c>
      <c r="K4881" s="508">
        <v>0.13700000000000001</v>
      </c>
      <c r="L4881" s="508">
        <v>0.14699999999999999</v>
      </c>
      <c r="M4881" s="508">
        <v>0.153</v>
      </c>
      <c r="N4881" s="508">
        <v>0.151</v>
      </c>
      <c r="O4881" s="508">
        <v>0.14499999999999999</v>
      </c>
      <c r="P4881" s="508">
        <v>0.158</v>
      </c>
      <c r="Q4881" s="508">
        <v>0.159</v>
      </c>
      <c r="R4881" s="508">
        <v>0.158</v>
      </c>
      <c r="S4881" s="508">
        <v>0.157</v>
      </c>
      <c r="T4881" s="508">
        <v>0.14699999999999999</v>
      </c>
      <c r="U4881" s="508">
        <v>0.16200000000000001</v>
      </c>
      <c r="V4881" s="508">
        <v>0.16400000000000001</v>
      </c>
      <c r="W4881" s="508">
        <v>0.16400000000000001</v>
      </c>
      <c r="X4881" s="508">
        <v>0.16400000000000001</v>
      </c>
      <c r="Y4881" s="508">
        <v>0.16400000000000001</v>
      </c>
      <c r="Z4881" s="508">
        <v>0.16400000000000001</v>
      </c>
      <c r="AA4881" s="508">
        <v>0.16400000000000001</v>
      </c>
      <c r="AB4881" s="508">
        <v>0.16400000000000001</v>
      </c>
      <c r="AC4881" s="508">
        <v>0.16500000000000001</v>
      </c>
      <c r="AD4881" s="508">
        <v>0.16500000000000001</v>
      </c>
      <c r="AE4881" s="508">
        <v>0.16400000000000001</v>
      </c>
      <c r="AF4881" s="508">
        <v>0.16400000000000001</v>
      </c>
      <c r="AG4881" s="508">
        <v>0.16400000000000001</v>
      </c>
      <c r="AH4881" s="508">
        <v>0.16400000000000001</v>
      </c>
      <c r="AI4881" s="492">
        <v>0.16400000000000001</v>
      </c>
      <c r="AJ4881" s="485"/>
    </row>
    <row r="4882" spans="2:36">
      <c r="B4882" s="136" t="s">
        <v>450</v>
      </c>
      <c r="C4882" s="132" t="s">
        <v>1370</v>
      </c>
      <c r="D4882" s="132" t="s">
        <v>1379</v>
      </c>
      <c r="E4882" s="508">
        <v>0.11599999999999999</v>
      </c>
      <c r="F4882" s="508">
        <v>0.11499999999999999</v>
      </c>
      <c r="G4882" s="508">
        <v>0.11199999999999999</v>
      </c>
      <c r="H4882" s="508">
        <v>0.11499999999999999</v>
      </c>
      <c r="I4882" s="508">
        <v>0.1</v>
      </c>
      <c r="J4882" s="508">
        <v>0.11399999999999999</v>
      </c>
      <c r="K4882" s="508">
        <v>0.10500000000000001</v>
      </c>
      <c r="L4882" s="508">
        <v>0.11199999999999999</v>
      </c>
      <c r="M4882" s="508">
        <v>0.11499999999999999</v>
      </c>
      <c r="N4882" s="508">
        <v>0.11499999999999999</v>
      </c>
      <c r="O4882" s="508">
        <v>0.10900000000000001</v>
      </c>
      <c r="P4882" s="508">
        <v>0.11799999999999999</v>
      </c>
      <c r="Q4882" s="508">
        <v>0.11899999999999999</v>
      </c>
      <c r="R4882" s="508">
        <v>0.11799999999999999</v>
      </c>
      <c r="S4882" s="508">
        <v>0.11799999999999999</v>
      </c>
      <c r="T4882" s="508">
        <v>0.11199999999999999</v>
      </c>
      <c r="U4882" s="508">
        <v>0.121</v>
      </c>
      <c r="V4882" s="508">
        <v>0.122</v>
      </c>
      <c r="W4882" s="508">
        <v>0.122</v>
      </c>
      <c r="X4882" s="508">
        <v>0.122</v>
      </c>
      <c r="Y4882" s="508">
        <v>0.122</v>
      </c>
      <c r="Z4882" s="508">
        <v>0.122</v>
      </c>
      <c r="AA4882" s="508">
        <v>0.122</v>
      </c>
      <c r="AB4882" s="508">
        <v>0.122</v>
      </c>
      <c r="AC4882" s="508">
        <v>0.122</v>
      </c>
      <c r="AD4882" s="508">
        <v>0.122</v>
      </c>
      <c r="AE4882" s="508">
        <v>0.122</v>
      </c>
      <c r="AF4882" s="508">
        <v>0.122</v>
      </c>
      <c r="AG4882" s="508">
        <v>0.122</v>
      </c>
      <c r="AH4882" s="508">
        <v>0.122</v>
      </c>
      <c r="AI4882" s="492">
        <v>0.122</v>
      </c>
      <c r="AJ4882" s="485"/>
    </row>
    <row r="4883" spans="2:36">
      <c r="B4883" s="136" t="s">
        <v>451</v>
      </c>
      <c r="C4883" s="132" t="s">
        <v>1370</v>
      </c>
      <c r="D4883" s="132" t="s">
        <v>1379</v>
      </c>
      <c r="E4883" s="508">
        <v>0.16500000000000001</v>
      </c>
      <c r="F4883" s="508">
        <v>0.16300000000000001</v>
      </c>
      <c r="G4883" s="508">
        <v>0.156</v>
      </c>
      <c r="H4883" s="508">
        <v>0.16200000000000001</v>
      </c>
      <c r="I4883" s="508">
        <v>0.13900000000000001</v>
      </c>
      <c r="J4883" s="508">
        <v>0.161</v>
      </c>
      <c r="K4883" s="508">
        <v>0.14499999999999999</v>
      </c>
      <c r="L4883" s="508">
        <v>0.156</v>
      </c>
      <c r="M4883" s="508">
        <v>0.16300000000000001</v>
      </c>
      <c r="N4883" s="508">
        <v>0.161</v>
      </c>
      <c r="O4883" s="508">
        <v>0.154</v>
      </c>
      <c r="P4883" s="508">
        <v>0.16900000000000001</v>
      </c>
      <c r="Q4883" s="508">
        <v>0.17</v>
      </c>
      <c r="R4883" s="508">
        <v>0.16900000000000001</v>
      </c>
      <c r="S4883" s="508">
        <v>0.16700000000000001</v>
      </c>
      <c r="T4883" s="508">
        <v>0.157</v>
      </c>
      <c r="U4883" s="508">
        <v>0.17199999999999999</v>
      </c>
      <c r="V4883" s="508">
        <v>0.17499999999999999</v>
      </c>
      <c r="W4883" s="508">
        <v>0.17499999999999999</v>
      </c>
      <c r="X4883" s="508">
        <v>0.17399999999999999</v>
      </c>
      <c r="Y4883" s="508">
        <v>0.17499999999999999</v>
      </c>
      <c r="Z4883" s="508">
        <v>0.17499999999999999</v>
      </c>
      <c r="AA4883" s="508">
        <v>0.17499999999999999</v>
      </c>
      <c r="AB4883" s="508">
        <v>0.17399999999999999</v>
      </c>
      <c r="AC4883" s="508">
        <v>0.17599999999999999</v>
      </c>
      <c r="AD4883" s="508">
        <v>0.17599999999999999</v>
      </c>
      <c r="AE4883" s="508">
        <v>0.17499999999999999</v>
      </c>
      <c r="AF4883" s="508">
        <v>0.17499999999999999</v>
      </c>
      <c r="AG4883" s="508">
        <v>0.17499999999999999</v>
      </c>
      <c r="AH4883" s="508">
        <v>0.17499999999999999</v>
      </c>
      <c r="AI4883" s="492">
        <v>0.17499999999999999</v>
      </c>
      <c r="AJ4883" s="485"/>
    </row>
    <row r="4884" spans="2:36">
      <c r="B4884" s="136" t="s">
        <v>452</v>
      </c>
      <c r="C4884" s="132" t="s">
        <v>1370</v>
      </c>
      <c r="D4884" s="132" t="s">
        <v>1379</v>
      </c>
      <c r="E4884" s="508">
        <v>0.13300000000000001</v>
      </c>
      <c r="F4884" s="508">
        <v>0.13200000000000001</v>
      </c>
      <c r="G4884" s="508">
        <v>0.126</v>
      </c>
      <c r="H4884" s="508">
        <v>0.13100000000000001</v>
      </c>
      <c r="I4884" s="508">
        <v>0.112</v>
      </c>
      <c r="J4884" s="508">
        <v>0.13</v>
      </c>
      <c r="K4884" s="508">
        <v>0.11799999999999999</v>
      </c>
      <c r="L4884" s="508">
        <v>0.126</v>
      </c>
      <c r="M4884" s="508">
        <v>0.13200000000000001</v>
      </c>
      <c r="N4884" s="508">
        <v>0.13</v>
      </c>
      <c r="O4884" s="508">
        <v>0.124</v>
      </c>
      <c r="P4884" s="508">
        <v>0.13600000000000001</v>
      </c>
      <c r="Q4884" s="508">
        <v>0.13700000000000001</v>
      </c>
      <c r="R4884" s="508">
        <v>0.13600000000000001</v>
      </c>
      <c r="S4884" s="508">
        <v>0.13500000000000001</v>
      </c>
      <c r="T4884" s="508">
        <v>0.127</v>
      </c>
      <c r="U4884" s="508">
        <v>0.13900000000000001</v>
      </c>
      <c r="V4884" s="508">
        <v>0.14099999999999999</v>
      </c>
      <c r="W4884" s="508">
        <v>0.14199999999999999</v>
      </c>
      <c r="X4884" s="508">
        <v>0.14099999999999999</v>
      </c>
      <c r="Y4884" s="508">
        <v>0.14099999999999999</v>
      </c>
      <c r="Z4884" s="508">
        <v>0.14099999999999999</v>
      </c>
      <c r="AA4884" s="508">
        <v>0.14099999999999999</v>
      </c>
      <c r="AB4884" s="508">
        <v>0.14099999999999999</v>
      </c>
      <c r="AC4884" s="508">
        <v>0.14199999999999999</v>
      </c>
      <c r="AD4884" s="508">
        <v>0.14199999999999999</v>
      </c>
      <c r="AE4884" s="508">
        <v>0.14099999999999999</v>
      </c>
      <c r="AF4884" s="508">
        <v>0.14099999999999999</v>
      </c>
      <c r="AG4884" s="508">
        <v>0.14099999999999999</v>
      </c>
      <c r="AH4884" s="508">
        <v>0.14099999999999999</v>
      </c>
      <c r="AI4884" s="492">
        <v>0.14099999999999999</v>
      </c>
      <c r="AJ4884" s="485"/>
    </row>
    <row r="4885" spans="2:36">
      <c r="B4885" s="136" t="s">
        <v>453</v>
      </c>
      <c r="C4885" s="132" t="s">
        <v>1370</v>
      </c>
      <c r="D4885" s="132" t="s">
        <v>1379</v>
      </c>
      <c r="E4885" s="508">
        <v>0.11</v>
      </c>
      <c r="F4885" s="508">
        <v>0.109</v>
      </c>
      <c r="G4885" s="508">
        <v>0.105</v>
      </c>
      <c r="H4885" s="508">
        <v>0.108</v>
      </c>
      <c r="I4885" s="508">
        <v>9.2999999999999999E-2</v>
      </c>
      <c r="J4885" s="508">
        <v>0.108</v>
      </c>
      <c r="K4885" s="508">
        <v>9.8000000000000004E-2</v>
      </c>
      <c r="L4885" s="508">
        <v>0.104</v>
      </c>
      <c r="M4885" s="508">
        <v>0.109</v>
      </c>
      <c r="N4885" s="508">
        <v>0.108</v>
      </c>
      <c r="O4885" s="508">
        <v>0.10299999999999999</v>
      </c>
      <c r="P4885" s="508">
        <v>0.113</v>
      </c>
      <c r="Q4885" s="508">
        <v>0.113</v>
      </c>
      <c r="R4885" s="508">
        <v>0.113</v>
      </c>
      <c r="S4885" s="508">
        <v>0.112</v>
      </c>
      <c r="T4885" s="508">
        <v>0.105</v>
      </c>
      <c r="U4885" s="508">
        <v>0.115</v>
      </c>
      <c r="V4885" s="508">
        <v>0.11600000000000001</v>
      </c>
      <c r="W4885" s="508">
        <v>0.11700000000000001</v>
      </c>
      <c r="X4885" s="508">
        <v>0.11600000000000001</v>
      </c>
      <c r="Y4885" s="508">
        <v>0.11700000000000001</v>
      </c>
      <c r="Z4885" s="508">
        <v>0.11700000000000001</v>
      </c>
      <c r="AA4885" s="508">
        <v>0.11700000000000001</v>
      </c>
      <c r="AB4885" s="508">
        <v>0.11600000000000001</v>
      </c>
      <c r="AC4885" s="508">
        <v>0.11700000000000001</v>
      </c>
      <c r="AD4885" s="508">
        <v>0.11700000000000001</v>
      </c>
      <c r="AE4885" s="508">
        <v>0.11700000000000001</v>
      </c>
      <c r="AF4885" s="508">
        <v>0.11700000000000001</v>
      </c>
      <c r="AG4885" s="508">
        <v>0.11700000000000001</v>
      </c>
      <c r="AH4885" s="508">
        <v>0.11700000000000001</v>
      </c>
      <c r="AI4885" s="492">
        <v>0.11700000000000001</v>
      </c>
      <c r="AJ4885" s="485"/>
    </row>
    <row r="4886" spans="2:36">
      <c r="B4886" s="136" t="s">
        <v>454</v>
      </c>
      <c r="C4886" s="132" t="s">
        <v>1370</v>
      </c>
      <c r="D4886" s="132" t="s">
        <v>1379</v>
      </c>
      <c r="E4886" s="508">
        <v>0.11600000000000001</v>
      </c>
      <c r="F4886" s="508">
        <v>0.115</v>
      </c>
      <c r="G4886" s="508">
        <v>0.11</v>
      </c>
      <c r="H4886" s="508">
        <v>0.114</v>
      </c>
      <c r="I4886" s="508">
        <v>9.8000000000000004E-2</v>
      </c>
      <c r="J4886" s="508">
        <v>0.113</v>
      </c>
      <c r="K4886" s="508">
        <v>0.10199999999999999</v>
      </c>
      <c r="L4886" s="508">
        <v>0.11</v>
      </c>
      <c r="M4886" s="508">
        <v>0.115</v>
      </c>
      <c r="N4886" s="508">
        <v>0.113</v>
      </c>
      <c r="O4886" s="508">
        <v>0.108</v>
      </c>
      <c r="P4886" s="508">
        <v>0.11799999999999999</v>
      </c>
      <c r="Q4886" s="508">
        <v>0.11899999999999999</v>
      </c>
      <c r="R4886" s="508">
        <v>0.11799999999999999</v>
      </c>
      <c r="S4886" s="508">
        <v>0.11700000000000001</v>
      </c>
      <c r="T4886" s="508">
        <v>0.11</v>
      </c>
      <c r="U4886" s="508">
        <v>0.121</v>
      </c>
      <c r="V4886" s="508">
        <v>0.122</v>
      </c>
      <c r="W4886" s="508">
        <v>0.123</v>
      </c>
      <c r="X4886" s="508">
        <v>0.122</v>
      </c>
      <c r="Y4886" s="508">
        <v>0.123</v>
      </c>
      <c r="Z4886" s="508">
        <v>0.123</v>
      </c>
      <c r="AA4886" s="508">
        <v>0.123</v>
      </c>
      <c r="AB4886" s="508">
        <v>0.122</v>
      </c>
      <c r="AC4886" s="508">
        <v>0.123</v>
      </c>
      <c r="AD4886" s="508">
        <v>0.123</v>
      </c>
      <c r="AE4886" s="508">
        <v>0.123</v>
      </c>
      <c r="AF4886" s="508">
        <v>0.123</v>
      </c>
      <c r="AG4886" s="508">
        <v>0.123</v>
      </c>
      <c r="AH4886" s="508">
        <v>0.123</v>
      </c>
      <c r="AI4886" s="492">
        <v>0.123</v>
      </c>
      <c r="AJ4886" s="485"/>
    </row>
    <row r="4887" spans="2:36">
      <c r="B4887" s="136" t="s">
        <v>455</v>
      </c>
      <c r="C4887" s="132" t="s">
        <v>1370</v>
      </c>
      <c r="D4887" s="132" t="s">
        <v>1379</v>
      </c>
      <c r="E4887" s="508">
        <v>0.10199999999999999</v>
      </c>
      <c r="F4887" s="508">
        <v>0.10199999999999999</v>
      </c>
      <c r="G4887" s="508">
        <v>9.7000000000000003E-2</v>
      </c>
      <c r="H4887" s="508">
        <v>0.10100000000000001</v>
      </c>
      <c r="I4887" s="508">
        <v>8.6999999999999994E-2</v>
      </c>
      <c r="J4887" s="508">
        <v>0.1</v>
      </c>
      <c r="K4887" s="508">
        <v>9.0999999999999998E-2</v>
      </c>
      <c r="L4887" s="508">
        <v>9.7000000000000003E-2</v>
      </c>
      <c r="M4887" s="508">
        <v>0.10100000000000001</v>
      </c>
      <c r="N4887" s="508">
        <v>0.1</v>
      </c>
      <c r="O4887" s="508">
        <v>9.6000000000000002E-2</v>
      </c>
      <c r="P4887" s="508">
        <v>0.105</v>
      </c>
      <c r="Q4887" s="508">
        <v>0.105</v>
      </c>
      <c r="R4887" s="508">
        <v>0.105</v>
      </c>
      <c r="S4887" s="508">
        <v>0.104</v>
      </c>
      <c r="T4887" s="508">
        <v>9.8000000000000004E-2</v>
      </c>
      <c r="U4887" s="508">
        <v>0.107</v>
      </c>
      <c r="V4887" s="508">
        <v>0.108</v>
      </c>
      <c r="W4887" s="508">
        <v>0.109</v>
      </c>
      <c r="X4887" s="508">
        <v>0.108</v>
      </c>
      <c r="Y4887" s="508">
        <v>0.108</v>
      </c>
      <c r="Z4887" s="508">
        <v>0.109</v>
      </c>
      <c r="AA4887" s="508">
        <v>0.109</v>
      </c>
      <c r="AB4887" s="508">
        <v>0.108</v>
      </c>
      <c r="AC4887" s="508">
        <v>0.109</v>
      </c>
      <c r="AD4887" s="508">
        <v>0.109</v>
      </c>
      <c r="AE4887" s="508">
        <v>0.109</v>
      </c>
      <c r="AF4887" s="508">
        <v>0.109</v>
      </c>
      <c r="AG4887" s="508">
        <v>0.109</v>
      </c>
      <c r="AH4887" s="508">
        <v>0.109</v>
      </c>
      <c r="AI4887" s="492">
        <v>0.109</v>
      </c>
      <c r="AJ4887" s="485"/>
    </row>
    <row r="4888" spans="2:36">
      <c r="B4888" s="136" t="s">
        <v>456</v>
      </c>
      <c r="C4888" s="132" t="s">
        <v>1370</v>
      </c>
      <c r="D4888" s="132" t="s">
        <v>1379</v>
      </c>
      <c r="E4888" s="508">
        <v>0.12</v>
      </c>
      <c r="F4888" s="508">
        <v>0.11899999999999999</v>
      </c>
      <c r="G4888" s="508">
        <v>0.114</v>
      </c>
      <c r="H4888" s="508">
        <v>0.11799999999999999</v>
      </c>
      <c r="I4888" s="508">
        <v>0.10199999999999999</v>
      </c>
      <c r="J4888" s="508">
        <v>0.11799999999999999</v>
      </c>
      <c r="K4888" s="508">
        <v>0.106</v>
      </c>
      <c r="L4888" s="508">
        <v>0.114</v>
      </c>
      <c r="M4888" s="508">
        <v>0.11899999999999999</v>
      </c>
      <c r="N4888" s="508">
        <v>0.11799999999999999</v>
      </c>
      <c r="O4888" s="508">
        <v>0.113</v>
      </c>
      <c r="P4888" s="508">
        <v>0.123</v>
      </c>
      <c r="Q4888" s="508">
        <v>0.124</v>
      </c>
      <c r="R4888" s="508">
        <v>0.123</v>
      </c>
      <c r="S4888" s="508">
        <v>0.122</v>
      </c>
      <c r="T4888" s="508">
        <v>0.115</v>
      </c>
      <c r="U4888" s="508">
        <v>0.126</v>
      </c>
      <c r="V4888" s="508">
        <v>0.127</v>
      </c>
      <c r="W4888" s="508">
        <v>0.128</v>
      </c>
      <c r="X4888" s="508">
        <v>0.127</v>
      </c>
      <c r="Y4888" s="508">
        <v>0.128</v>
      </c>
      <c r="Z4888" s="508">
        <v>0.128</v>
      </c>
      <c r="AA4888" s="508">
        <v>0.128</v>
      </c>
      <c r="AB4888" s="508">
        <v>0.127</v>
      </c>
      <c r="AC4888" s="508">
        <v>0.128</v>
      </c>
      <c r="AD4888" s="508">
        <v>0.128</v>
      </c>
      <c r="AE4888" s="508">
        <v>0.128</v>
      </c>
      <c r="AF4888" s="508">
        <v>0.128</v>
      </c>
      <c r="AG4888" s="508">
        <v>0.128</v>
      </c>
      <c r="AH4888" s="508">
        <v>0.128</v>
      </c>
      <c r="AI4888" s="492">
        <v>0.128</v>
      </c>
      <c r="AJ4888" s="485"/>
    </row>
    <row r="4889" spans="2:36">
      <c r="B4889" s="136" t="s">
        <v>457</v>
      </c>
      <c r="C4889" s="132" t="s">
        <v>1370</v>
      </c>
      <c r="D4889" s="132" t="s">
        <v>1379</v>
      </c>
      <c r="E4889" s="508">
        <v>0.10100000000000001</v>
      </c>
      <c r="F4889" s="508">
        <v>0.1</v>
      </c>
      <c r="G4889" s="508">
        <v>9.6000000000000002E-2</v>
      </c>
      <c r="H4889" s="508">
        <v>9.9000000000000005E-2</v>
      </c>
      <c r="I4889" s="508">
        <v>8.5999999999999993E-2</v>
      </c>
      <c r="J4889" s="508">
        <v>9.9000000000000005E-2</v>
      </c>
      <c r="K4889" s="508">
        <v>0.09</v>
      </c>
      <c r="L4889" s="508">
        <v>9.6000000000000002E-2</v>
      </c>
      <c r="M4889" s="508">
        <v>0.1</v>
      </c>
      <c r="N4889" s="508">
        <v>9.9000000000000005E-2</v>
      </c>
      <c r="O4889" s="508">
        <v>9.5000000000000001E-2</v>
      </c>
      <c r="P4889" s="508">
        <v>0.10299999999999999</v>
      </c>
      <c r="Q4889" s="508">
        <v>0.104</v>
      </c>
      <c r="R4889" s="508">
        <v>0.10299999999999999</v>
      </c>
      <c r="S4889" s="508">
        <v>0.10199999999999999</v>
      </c>
      <c r="T4889" s="508">
        <v>9.6000000000000002E-2</v>
      </c>
      <c r="U4889" s="508">
        <v>0.105</v>
      </c>
      <c r="V4889" s="508">
        <v>0.107</v>
      </c>
      <c r="W4889" s="508">
        <v>0.107</v>
      </c>
      <c r="X4889" s="508">
        <v>0.107</v>
      </c>
      <c r="Y4889" s="508">
        <v>0.107</v>
      </c>
      <c r="Z4889" s="508">
        <v>0.107</v>
      </c>
      <c r="AA4889" s="508">
        <v>0.107</v>
      </c>
      <c r="AB4889" s="508">
        <v>0.107</v>
      </c>
      <c r="AC4889" s="508">
        <v>0.107</v>
      </c>
      <c r="AD4889" s="508">
        <v>0.107</v>
      </c>
      <c r="AE4889" s="508">
        <v>0.107</v>
      </c>
      <c r="AF4889" s="508">
        <v>0.107</v>
      </c>
      <c r="AG4889" s="508">
        <v>0.107</v>
      </c>
      <c r="AH4889" s="508">
        <v>0.107</v>
      </c>
      <c r="AI4889" s="492">
        <v>0.107</v>
      </c>
      <c r="AJ4889" s="485"/>
    </row>
    <row r="4890" spans="2:36">
      <c r="B4890" s="136" t="s">
        <v>458</v>
      </c>
      <c r="C4890" s="132" t="s">
        <v>1370</v>
      </c>
      <c r="D4890" s="132" t="s">
        <v>1379</v>
      </c>
      <c r="E4890" s="508">
        <v>0.124</v>
      </c>
      <c r="F4890" s="508">
        <v>0.124</v>
      </c>
      <c r="G4890" s="508">
        <v>0.11799999999999999</v>
      </c>
      <c r="H4890" s="508">
        <v>0.123</v>
      </c>
      <c r="I4890" s="508">
        <v>0.105</v>
      </c>
      <c r="J4890" s="508">
        <v>0.122</v>
      </c>
      <c r="K4890" s="508">
        <v>0.11</v>
      </c>
      <c r="L4890" s="508">
        <v>0.11799999999999999</v>
      </c>
      <c r="M4890" s="508">
        <v>0.123</v>
      </c>
      <c r="N4890" s="508">
        <v>0.122</v>
      </c>
      <c r="O4890" s="508">
        <v>0.11700000000000001</v>
      </c>
      <c r="P4890" s="508">
        <v>0.128</v>
      </c>
      <c r="Q4890" s="508">
        <v>0.128</v>
      </c>
      <c r="R4890" s="508">
        <v>0.127</v>
      </c>
      <c r="S4890" s="508">
        <v>0.126</v>
      </c>
      <c r="T4890" s="508">
        <v>0.11899999999999999</v>
      </c>
      <c r="U4890" s="508">
        <v>0.13</v>
      </c>
      <c r="V4890" s="508">
        <v>0.13200000000000001</v>
      </c>
      <c r="W4890" s="508">
        <v>0.13200000000000001</v>
      </c>
      <c r="X4890" s="508">
        <v>0.13200000000000001</v>
      </c>
      <c r="Y4890" s="508">
        <v>0.13200000000000001</v>
      </c>
      <c r="Z4890" s="508">
        <v>0.13200000000000001</v>
      </c>
      <c r="AA4890" s="508">
        <v>0.13200000000000001</v>
      </c>
      <c r="AB4890" s="508">
        <v>0.13200000000000001</v>
      </c>
      <c r="AC4890" s="508">
        <v>0.13300000000000001</v>
      </c>
      <c r="AD4890" s="508">
        <v>0.13300000000000001</v>
      </c>
      <c r="AE4890" s="508">
        <v>0.13200000000000001</v>
      </c>
      <c r="AF4890" s="508">
        <v>0.13200000000000001</v>
      </c>
      <c r="AG4890" s="508">
        <v>0.13200000000000001</v>
      </c>
      <c r="AH4890" s="508">
        <v>0.13200000000000001</v>
      </c>
      <c r="AI4890" s="492">
        <v>0.13200000000000001</v>
      </c>
      <c r="AJ4890" s="485"/>
    </row>
    <row r="4891" spans="2:36">
      <c r="B4891" s="136" t="s">
        <v>459</v>
      </c>
      <c r="C4891" s="132" t="s">
        <v>1370</v>
      </c>
      <c r="D4891" s="132" t="s">
        <v>1379</v>
      </c>
      <c r="E4891" s="508">
        <v>0.124</v>
      </c>
      <c r="F4891" s="508">
        <v>0.123</v>
      </c>
      <c r="G4891" s="508">
        <v>0.11799999999999999</v>
      </c>
      <c r="H4891" s="508">
        <v>0.122</v>
      </c>
      <c r="I4891" s="508">
        <v>0.105</v>
      </c>
      <c r="J4891" s="508">
        <v>0.121</v>
      </c>
      <c r="K4891" s="508">
        <v>0.11</v>
      </c>
      <c r="L4891" s="508">
        <v>0.11799999999999999</v>
      </c>
      <c r="M4891" s="508">
        <v>0.123</v>
      </c>
      <c r="N4891" s="508">
        <v>0.122</v>
      </c>
      <c r="O4891" s="508">
        <v>0.11600000000000001</v>
      </c>
      <c r="P4891" s="508">
        <v>0.127</v>
      </c>
      <c r="Q4891" s="508">
        <v>0.128</v>
      </c>
      <c r="R4891" s="508">
        <v>0.127</v>
      </c>
      <c r="S4891" s="508">
        <v>0.126</v>
      </c>
      <c r="T4891" s="508">
        <v>0.11899999999999999</v>
      </c>
      <c r="U4891" s="508">
        <v>0.13</v>
      </c>
      <c r="V4891" s="508">
        <v>0.13100000000000001</v>
      </c>
      <c r="W4891" s="508">
        <v>0.13200000000000001</v>
      </c>
      <c r="X4891" s="508">
        <v>0.13100000000000001</v>
      </c>
      <c r="Y4891" s="508">
        <v>0.13200000000000001</v>
      </c>
      <c r="Z4891" s="508">
        <v>0.13200000000000001</v>
      </c>
      <c r="AA4891" s="508">
        <v>0.13200000000000001</v>
      </c>
      <c r="AB4891" s="508">
        <v>0.13100000000000001</v>
      </c>
      <c r="AC4891" s="508">
        <v>0.13200000000000001</v>
      </c>
      <c r="AD4891" s="508">
        <v>0.13200000000000001</v>
      </c>
      <c r="AE4891" s="508">
        <v>0.13200000000000001</v>
      </c>
      <c r="AF4891" s="508">
        <v>0.13200000000000001</v>
      </c>
      <c r="AG4891" s="508">
        <v>0.13200000000000001</v>
      </c>
      <c r="AH4891" s="508">
        <v>0.13200000000000001</v>
      </c>
      <c r="AI4891" s="492">
        <v>0.13200000000000001</v>
      </c>
      <c r="AJ4891" s="485"/>
    </row>
    <row r="4892" spans="2:36">
      <c r="B4892" s="136" t="s">
        <v>460</v>
      </c>
      <c r="C4892" s="132" t="s">
        <v>1370</v>
      </c>
      <c r="D4892" s="132" t="s">
        <v>1379</v>
      </c>
      <c r="E4892" s="508">
        <v>0.125</v>
      </c>
      <c r="F4892" s="508">
        <v>0.124</v>
      </c>
      <c r="G4892" s="508">
        <v>0.11899999999999999</v>
      </c>
      <c r="H4892" s="508">
        <v>0.123</v>
      </c>
      <c r="I4892" s="508">
        <v>0.106</v>
      </c>
      <c r="J4892" s="508">
        <v>0.123</v>
      </c>
      <c r="K4892" s="508">
        <v>0.111</v>
      </c>
      <c r="L4892" s="508">
        <v>0.11899999999999999</v>
      </c>
      <c r="M4892" s="508">
        <v>0.124</v>
      </c>
      <c r="N4892" s="508">
        <v>0.123</v>
      </c>
      <c r="O4892" s="508">
        <v>0.11700000000000001</v>
      </c>
      <c r="P4892" s="508">
        <v>0.128</v>
      </c>
      <c r="Q4892" s="508">
        <v>0.129</v>
      </c>
      <c r="R4892" s="508">
        <v>0.128</v>
      </c>
      <c r="S4892" s="508">
        <v>0.127</v>
      </c>
      <c r="T4892" s="508">
        <v>0.12</v>
      </c>
      <c r="U4892" s="508">
        <v>0.13100000000000001</v>
      </c>
      <c r="V4892" s="508">
        <v>0.13300000000000001</v>
      </c>
      <c r="W4892" s="508">
        <v>0.13300000000000001</v>
      </c>
      <c r="X4892" s="508">
        <v>0.13300000000000001</v>
      </c>
      <c r="Y4892" s="508">
        <v>0.13300000000000001</v>
      </c>
      <c r="Z4892" s="508">
        <v>0.13300000000000001</v>
      </c>
      <c r="AA4892" s="508">
        <v>0.13300000000000001</v>
      </c>
      <c r="AB4892" s="508">
        <v>0.13300000000000001</v>
      </c>
      <c r="AC4892" s="508">
        <v>0.13400000000000001</v>
      </c>
      <c r="AD4892" s="508">
        <v>0.13400000000000001</v>
      </c>
      <c r="AE4892" s="508">
        <v>0.13300000000000001</v>
      </c>
      <c r="AF4892" s="508">
        <v>0.13300000000000001</v>
      </c>
      <c r="AG4892" s="508">
        <v>0.13300000000000001</v>
      </c>
      <c r="AH4892" s="508">
        <v>0.13300000000000001</v>
      </c>
      <c r="AI4892" s="492">
        <v>0.13300000000000001</v>
      </c>
      <c r="AJ4892" s="485"/>
    </row>
    <row r="4893" spans="2:36">
      <c r="B4893" s="136" t="s">
        <v>461</v>
      </c>
      <c r="C4893" s="132" t="s">
        <v>1370</v>
      </c>
      <c r="D4893" s="132" t="s">
        <v>1379</v>
      </c>
      <c r="E4893" s="508">
        <v>0.123</v>
      </c>
      <c r="F4893" s="508">
        <v>0.122</v>
      </c>
      <c r="G4893" s="508">
        <v>0.11600000000000001</v>
      </c>
      <c r="H4893" s="508">
        <v>0.121</v>
      </c>
      <c r="I4893" s="508">
        <v>0.104</v>
      </c>
      <c r="J4893" s="508">
        <v>0.12</v>
      </c>
      <c r="K4893" s="508">
        <v>0.109</v>
      </c>
      <c r="L4893" s="508">
        <v>0.11600000000000001</v>
      </c>
      <c r="M4893" s="508">
        <v>0.122</v>
      </c>
      <c r="N4893" s="508">
        <v>0.12</v>
      </c>
      <c r="O4893" s="508">
        <v>0.115</v>
      </c>
      <c r="P4893" s="508">
        <v>0.126</v>
      </c>
      <c r="Q4893" s="508">
        <v>0.126</v>
      </c>
      <c r="R4893" s="508">
        <v>0.125</v>
      </c>
      <c r="S4893" s="508">
        <v>0.124</v>
      </c>
      <c r="T4893" s="508">
        <v>0.11700000000000001</v>
      </c>
      <c r="U4893" s="508">
        <v>0.128</v>
      </c>
      <c r="V4893" s="508">
        <v>0.13</v>
      </c>
      <c r="W4893" s="508">
        <v>0.13</v>
      </c>
      <c r="X4893" s="508">
        <v>0.13</v>
      </c>
      <c r="Y4893" s="508">
        <v>0.13</v>
      </c>
      <c r="Z4893" s="508">
        <v>0.13</v>
      </c>
      <c r="AA4893" s="508">
        <v>0.13</v>
      </c>
      <c r="AB4893" s="508">
        <v>0.13</v>
      </c>
      <c r="AC4893" s="508">
        <v>0.13100000000000001</v>
      </c>
      <c r="AD4893" s="508">
        <v>0.13100000000000001</v>
      </c>
      <c r="AE4893" s="508">
        <v>0.13</v>
      </c>
      <c r="AF4893" s="508">
        <v>0.13</v>
      </c>
      <c r="AG4893" s="508">
        <v>0.13</v>
      </c>
      <c r="AH4893" s="508">
        <v>0.13</v>
      </c>
      <c r="AI4893" s="492">
        <v>0.13</v>
      </c>
      <c r="AJ4893" s="485"/>
    </row>
    <row r="4894" spans="2:36">
      <c r="B4894" s="136" t="s">
        <v>462</v>
      </c>
      <c r="C4894" s="132" t="s">
        <v>1370</v>
      </c>
      <c r="D4894" s="132" t="s">
        <v>1379</v>
      </c>
      <c r="E4894" s="508">
        <v>0.11799999999999999</v>
      </c>
      <c r="F4894" s="508">
        <v>0.11700000000000001</v>
      </c>
      <c r="G4894" s="508">
        <v>0.112</v>
      </c>
      <c r="H4894" s="508">
        <v>0.11600000000000001</v>
      </c>
      <c r="I4894" s="508">
        <v>0.1</v>
      </c>
      <c r="J4894" s="508">
        <v>0.11600000000000001</v>
      </c>
      <c r="K4894" s="508">
        <v>0.105</v>
      </c>
      <c r="L4894" s="508">
        <v>0.112</v>
      </c>
      <c r="M4894" s="508">
        <v>0.11700000000000001</v>
      </c>
      <c r="N4894" s="508">
        <v>0.11600000000000001</v>
      </c>
      <c r="O4894" s="508">
        <v>0.111</v>
      </c>
      <c r="P4894" s="508">
        <v>0.121</v>
      </c>
      <c r="Q4894" s="508">
        <v>0.122</v>
      </c>
      <c r="R4894" s="508">
        <v>0.121</v>
      </c>
      <c r="S4894" s="508">
        <v>0.12</v>
      </c>
      <c r="T4894" s="508">
        <v>0.113</v>
      </c>
      <c r="U4894" s="508">
        <v>0.123</v>
      </c>
      <c r="V4894" s="508">
        <v>0.125</v>
      </c>
      <c r="W4894" s="508">
        <v>0.126</v>
      </c>
      <c r="X4894" s="508">
        <v>0.125</v>
      </c>
      <c r="Y4894" s="508">
        <v>0.125</v>
      </c>
      <c r="Z4894" s="508">
        <v>0.125</v>
      </c>
      <c r="AA4894" s="508">
        <v>0.125</v>
      </c>
      <c r="AB4894" s="508">
        <v>0.125</v>
      </c>
      <c r="AC4894" s="508">
        <v>0.126</v>
      </c>
      <c r="AD4894" s="508">
        <v>0.126</v>
      </c>
      <c r="AE4894" s="508">
        <v>0.125</v>
      </c>
      <c r="AF4894" s="508">
        <v>0.125</v>
      </c>
      <c r="AG4894" s="508">
        <v>0.125</v>
      </c>
      <c r="AH4894" s="508">
        <v>0.125</v>
      </c>
      <c r="AI4894" s="492">
        <v>0.125</v>
      </c>
      <c r="AJ4894" s="485"/>
    </row>
    <row r="4895" spans="2:36">
      <c r="B4895" s="136" t="s">
        <v>463</v>
      </c>
      <c r="C4895" s="132" t="s">
        <v>1370</v>
      </c>
      <c r="D4895" s="132" t="s">
        <v>1379</v>
      </c>
      <c r="E4895" s="508">
        <v>0.10299999999999999</v>
      </c>
      <c r="F4895" s="508">
        <v>0.10199999999999999</v>
      </c>
      <c r="G4895" s="508">
        <v>9.8000000000000004E-2</v>
      </c>
      <c r="H4895" s="508">
        <v>0.10100000000000001</v>
      </c>
      <c r="I4895" s="508">
        <v>8.6999999999999994E-2</v>
      </c>
      <c r="J4895" s="508">
        <v>0.10100000000000001</v>
      </c>
      <c r="K4895" s="508">
        <v>9.0999999999999998E-2</v>
      </c>
      <c r="L4895" s="508">
        <v>9.8000000000000004E-2</v>
      </c>
      <c r="M4895" s="508">
        <v>0.10199999999999999</v>
      </c>
      <c r="N4895" s="508">
        <v>0.10100000000000001</v>
      </c>
      <c r="O4895" s="508">
        <v>9.6000000000000002E-2</v>
      </c>
      <c r="P4895" s="508">
        <v>0.105</v>
      </c>
      <c r="Q4895" s="508">
        <v>0.106</v>
      </c>
      <c r="R4895" s="508">
        <v>0.105</v>
      </c>
      <c r="S4895" s="508">
        <v>0.104</v>
      </c>
      <c r="T4895" s="508">
        <v>9.8000000000000004E-2</v>
      </c>
      <c r="U4895" s="508">
        <v>0.107</v>
      </c>
      <c r="V4895" s="508">
        <v>0.109</v>
      </c>
      <c r="W4895" s="508">
        <v>0.109</v>
      </c>
      <c r="X4895" s="508">
        <v>0.109</v>
      </c>
      <c r="Y4895" s="508">
        <v>0.109</v>
      </c>
      <c r="Z4895" s="508">
        <v>0.109</v>
      </c>
      <c r="AA4895" s="508">
        <v>0.109</v>
      </c>
      <c r="AB4895" s="508">
        <v>0.109</v>
      </c>
      <c r="AC4895" s="508">
        <v>0.11</v>
      </c>
      <c r="AD4895" s="508">
        <v>0.11</v>
      </c>
      <c r="AE4895" s="508">
        <v>0.109</v>
      </c>
      <c r="AF4895" s="508">
        <v>0.109</v>
      </c>
      <c r="AG4895" s="508">
        <v>0.109</v>
      </c>
      <c r="AH4895" s="508">
        <v>0.109</v>
      </c>
      <c r="AI4895" s="492">
        <v>0.109</v>
      </c>
      <c r="AJ4895" s="485"/>
    </row>
    <row r="4896" spans="2:36">
      <c r="B4896" s="136" t="s">
        <v>464</v>
      </c>
      <c r="C4896" s="132" t="s">
        <v>1370</v>
      </c>
      <c r="D4896" s="132" t="s">
        <v>1379</v>
      </c>
      <c r="E4896" s="508">
        <v>9.8000000000000004E-2</v>
      </c>
      <c r="F4896" s="508">
        <v>9.8000000000000004E-2</v>
      </c>
      <c r="G4896" s="508">
        <v>9.2999999999999999E-2</v>
      </c>
      <c r="H4896" s="508">
        <v>9.7000000000000003E-2</v>
      </c>
      <c r="I4896" s="508">
        <v>8.4000000000000005E-2</v>
      </c>
      <c r="J4896" s="508">
        <v>9.6000000000000002E-2</v>
      </c>
      <c r="K4896" s="508">
        <v>8.6999999999999994E-2</v>
      </c>
      <c r="L4896" s="508">
        <v>9.2999999999999999E-2</v>
      </c>
      <c r="M4896" s="508">
        <v>9.8000000000000004E-2</v>
      </c>
      <c r="N4896" s="508">
        <v>9.6000000000000002E-2</v>
      </c>
      <c r="O4896" s="508">
        <v>9.1999999999999998E-2</v>
      </c>
      <c r="P4896" s="508">
        <v>0.10100000000000001</v>
      </c>
      <c r="Q4896" s="508">
        <v>0.10100000000000001</v>
      </c>
      <c r="R4896" s="508">
        <v>0.10100000000000001</v>
      </c>
      <c r="S4896" s="508">
        <v>0.1</v>
      </c>
      <c r="T4896" s="508">
        <v>9.4E-2</v>
      </c>
      <c r="U4896" s="508">
        <v>0.10299999999999999</v>
      </c>
      <c r="V4896" s="508">
        <v>0.104</v>
      </c>
      <c r="W4896" s="508">
        <v>0.104</v>
      </c>
      <c r="X4896" s="508">
        <v>0.104</v>
      </c>
      <c r="Y4896" s="508">
        <v>0.104</v>
      </c>
      <c r="Z4896" s="508">
        <v>0.104</v>
      </c>
      <c r="AA4896" s="508">
        <v>0.104</v>
      </c>
      <c r="AB4896" s="508">
        <v>0.104</v>
      </c>
      <c r="AC4896" s="508">
        <v>0.105</v>
      </c>
      <c r="AD4896" s="508">
        <v>0.105</v>
      </c>
      <c r="AE4896" s="508">
        <v>0.104</v>
      </c>
      <c r="AF4896" s="508">
        <v>0.104</v>
      </c>
      <c r="AG4896" s="508">
        <v>0.104</v>
      </c>
      <c r="AH4896" s="508">
        <v>0.104</v>
      </c>
      <c r="AI4896" s="492">
        <v>0.104</v>
      </c>
      <c r="AJ4896" s="485"/>
    </row>
    <row r="4897" spans="2:36">
      <c r="B4897" s="136" t="s">
        <v>465</v>
      </c>
      <c r="C4897" s="132" t="s">
        <v>1370</v>
      </c>
      <c r="D4897" s="132" t="s">
        <v>1379</v>
      </c>
      <c r="E4897" s="508">
        <v>0.10299999999999999</v>
      </c>
      <c r="F4897" s="508">
        <v>0.10299999999999999</v>
      </c>
      <c r="G4897" s="508">
        <v>9.8000000000000004E-2</v>
      </c>
      <c r="H4897" s="508">
        <v>0.10199999999999999</v>
      </c>
      <c r="I4897" s="508">
        <v>8.7999999999999995E-2</v>
      </c>
      <c r="J4897" s="508">
        <v>0.10100000000000001</v>
      </c>
      <c r="K4897" s="508">
        <v>9.1999999999999998E-2</v>
      </c>
      <c r="L4897" s="508">
        <v>9.8000000000000004E-2</v>
      </c>
      <c r="M4897" s="508">
        <v>0.10299999999999999</v>
      </c>
      <c r="N4897" s="508">
        <v>0.10100000000000001</v>
      </c>
      <c r="O4897" s="508">
        <v>9.7000000000000003E-2</v>
      </c>
      <c r="P4897" s="508">
        <v>0.106</v>
      </c>
      <c r="Q4897" s="508">
        <v>0.107</v>
      </c>
      <c r="R4897" s="508">
        <v>0.106</v>
      </c>
      <c r="S4897" s="508">
        <v>0.105</v>
      </c>
      <c r="T4897" s="508">
        <v>9.9000000000000005E-2</v>
      </c>
      <c r="U4897" s="508">
        <v>0.108</v>
      </c>
      <c r="V4897" s="508">
        <v>0.109</v>
      </c>
      <c r="W4897" s="508">
        <v>0.11</v>
      </c>
      <c r="X4897" s="508">
        <v>0.109</v>
      </c>
      <c r="Y4897" s="508">
        <v>0.11</v>
      </c>
      <c r="Z4897" s="508">
        <v>0.11</v>
      </c>
      <c r="AA4897" s="508">
        <v>0.11</v>
      </c>
      <c r="AB4897" s="508">
        <v>0.109</v>
      </c>
      <c r="AC4897" s="508">
        <v>0.11</v>
      </c>
      <c r="AD4897" s="508">
        <v>0.11</v>
      </c>
      <c r="AE4897" s="508">
        <v>0.11</v>
      </c>
      <c r="AF4897" s="508">
        <v>0.11</v>
      </c>
      <c r="AG4897" s="508">
        <v>0.11</v>
      </c>
      <c r="AH4897" s="508">
        <v>0.11</v>
      </c>
      <c r="AI4897" s="492">
        <v>0.11</v>
      </c>
      <c r="AJ4897" s="485"/>
    </row>
    <row r="4898" spans="2:36">
      <c r="B4898" s="136" t="s">
        <v>466</v>
      </c>
      <c r="C4898" s="132" t="s">
        <v>1370</v>
      </c>
      <c r="D4898" s="132" t="s">
        <v>1379</v>
      </c>
      <c r="E4898" s="508">
        <v>0.14099999999999999</v>
      </c>
      <c r="F4898" s="508">
        <v>0.14000000000000001</v>
      </c>
      <c r="G4898" s="508">
        <v>0.13400000000000001</v>
      </c>
      <c r="H4898" s="508">
        <v>0.13900000000000001</v>
      </c>
      <c r="I4898" s="508">
        <v>0.11899999999999999</v>
      </c>
      <c r="J4898" s="508">
        <v>0.13800000000000001</v>
      </c>
      <c r="K4898" s="508">
        <v>0.125</v>
      </c>
      <c r="L4898" s="508">
        <v>0.13400000000000001</v>
      </c>
      <c r="M4898" s="508">
        <v>0.14000000000000001</v>
      </c>
      <c r="N4898" s="508">
        <v>0.13800000000000001</v>
      </c>
      <c r="O4898" s="508">
        <v>0.13200000000000001</v>
      </c>
      <c r="P4898" s="508">
        <v>0.14499999999999999</v>
      </c>
      <c r="Q4898" s="508">
        <v>0.14599999999999999</v>
      </c>
      <c r="R4898" s="508">
        <v>0.14399999999999999</v>
      </c>
      <c r="S4898" s="508">
        <v>0.14299999999999999</v>
      </c>
      <c r="T4898" s="508">
        <v>0.13500000000000001</v>
      </c>
      <c r="U4898" s="508">
        <v>0.14799999999999999</v>
      </c>
      <c r="V4898" s="508">
        <v>0.15</v>
      </c>
      <c r="W4898" s="508">
        <v>0.15</v>
      </c>
      <c r="X4898" s="508">
        <v>0.14899999999999999</v>
      </c>
      <c r="Y4898" s="508">
        <v>0.15</v>
      </c>
      <c r="Z4898" s="508">
        <v>0.15</v>
      </c>
      <c r="AA4898" s="508">
        <v>0.15</v>
      </c>
      <c r="AB4898" s="508">
        <v>0.14899999999999999</v>
      </c>
      <c r="AC4898" s="508">
        <v>0.151</v>
      </c>
      <c r="AD4898" s="508">
        <v>0.151</v>
      </c>
      <c r="AE4898" s="508">
        <v>0.15</v>
      </c>
      <c r="AF4898" s="508">
        <v>0.15</v>
      </c>
      <c r="AG4898" s="508">
        <v>0.15</v>
      </c>
      <c r="AH4898" s="508">
        <v>0.15</v>
      </c>
      <c r="AI4898" s="492">
        <v>0.15</v>
      </c>
      <c r="AJ4898" s="485"/>
    </row>
    <row r="4899" spans="2:36">
      <c r="B4899" s="136" t="s">
        <v>467</v>
      </c>
      <c r="C4899" s="132" t="s">
        <v>1370</v>
      </c>
      <c r="D4899" s="132" t="s">
        <v>1379</v>
      </c>
      <c r="E4899" s="508">
        <v>0.12</v>
      </c>
      <c r="F4899" s="508">
        <v>0.11899999999999999</v>
      </c>
      <c r="G4899" s="508">
        <v>0.114</v>
      </c>
      <c r="H4899" s="508">
        <v>0.11799999999999999</v>
      </c>
      <c r="I4899" s="508">
        <v>0.10100000000000001</v>
      </c>
      <c r="J4899" s="508">
        <v>0.11700000000000001</v>
      </c>
      <c r="K4899" s="508">
        <v>0.106</v>
      </c>
      <c r="L4899" s="508">
        <v>0.114</v>
      </c>
      <c r="M4899" s="508">
        <v>0.11899999999999999</v>
      </c>
      <c r="N4899" s="508">
        <v>0.11700000000000001</v>
      </c>
      <c r="O4899" s="508">
        <v>0.112</v>
      </c>
      <c r="P4899" s="508">
        <v>0.123</v>
      </c>
      <c r="Q4899" s="508">
        <v>0.124</v>
      </c>
      <c r="R4899" s="508">
        <v>0.123</v>
      </c>
      <c r="S4899" s="508">
        <v>0.122</v>
      </c>
      <c r="T4899" s="508">
        <v>0.114</v>
      </c>
      <c r="U4899" s="508">
        <v>0.125</v>
      </c>
      <c r="V4899" s="508">
        <v>0.127</v>
      </c>
      <c r="W4899" s="508">
        <v>0.127</v>
      </c>
      <c r="X4899" s="508">
        <v>0.127</v>
      </c>
      <c r="Y4899" s="508">
        <v>0.127</v>
      </c>
      <c r="Z4899" s="508">
        <v>0.127</v>
      </c>
      <c r="AA4899" s="508">
        <v>0.127</v>
      </c>
      <c r="AB4899" s="508">
        <v>0.127</v>
      </c>
      <c r="AC4899" s="508">
        <v>0.128</v>
      </c>
      <c r="AD4899" s="508">
        <v>0.128</v>
      </c>
      <c r="AE4899" s="508">
        <v>0.127</v>
      </c>
      <c r="AF4899" s="508">
        <v>0.127</v>
      </c>
      <c r="AG4899" s="508">
        <v>0.127</v>
      </c>
      <c r="AH4899" s="508">
        <v>0.127</v>
      </c>
      <c r="AI4899" s="492">
        <v>0.127</v>
      </c>
      <c r="AJ4899" s="485"/>
    </row>
    <row r="4900" spans="2:36">
      <c r="B4900" s="136" t="s">
        <v>468</v>
      </c>
      <c r="C4900" s="132" t="s">
        <v>1370</v>
      </c>
      <c r="D4900" s="132" t="s">
        <v>1379</v>
      </c>
      <c r="E4900" s="508">
        <v>9.1999999999999998E-2</v>
      </c>
      <c r="F4900" s="508">
        <v>9.1999999999999998E-2</v>
      </c>
      <c r="G4900" s="508">
        <v>8.7999999999999995E-2</v>
      </c>
      <c r="H4900" s="508">
        <v>9.0999999999999998E-2</v>
      </c>
      <c r="I4900" s="508">
        <v>7.8E-2</v>
      </c>
      <c r="J4900" s="508">
        <v>0.09</v>
      </c>
      <c r="K4900" s="508">
        <v>8.2000000000000003E-2</v>
      </c>
      <c r="L4900" s="508">
        <v>8.7999999999999995E-2</v>
      </c>
      <c r="M4900" s="508">
        <v>9.1999999999999998E-2</v>
      </c>
      <c r="N4900" s="508">
        <v>9.0999999999999998E-2</v>
      </c>
      <c r="O4900" s="508">
        <v>8.6999999999999994E-2</v>
      </c>
      <c r="P4900" s="508">
        <v>9.5000000000000001E-2</v>
      </c>
      <c r="Q4900" s="508">
        <v>9.5000000000000001E-2</v>
      </c>
      <c r="R4900" s="508">
        <v>9.4E-2</v>
      </c>
      <c r="S4900" s="508">
        <v>9.4E-2</v>
      </c>
      <c r="T4900" s="508">
        <v>8.7999999999999995E-2</v>
      </c>
      <c r="U4900" s="508">
        <v>9.6000000000000002E-2</v>
      </c>
      <c r="V4900" s="508">
        <v>9.8000000000000004E-2</v>
      </c>
      <c r="W4900" s="508">
        <v>9.8000000000000004E-2</v>
      </c>
      <c r="X4900" s="508">
        <v>9.8000000000000004E-2</v>
      </c>
      <c r="Y4900" s="508">
        <v>9.8000000000000004E-2</v>
      </c>
      <c r="Z4900" s="508">
        <v>9.8000000000000004E-2</v>
      </c>
      <c r="AA4900" s="508">
        <v>9.8000000000000004E-2</v>
      </c>
      <c r="AB4900" s="508">
        <v>9.8000000000000004E-2</v>
      </c>
      <c r="AC4900" s="508">
        <v>9.8000000000000004E-2</v>
      </c>
      <c r="AD4900" s="508">
        <v>9.8000000000000004E-2</v>
      </c>
      <c r="AE4900" s="508">
        <v>9.8000000000000004E-2</v>
      </c>
      <c r="AF4900" s="508">
        <v>9.8000000000000004E-2</v>
      </c>
      <c r="AG4900" s="508">
        <v>9.8000000000000004E-2</v>
      </c>
      <c r="AH4900" s="508">
        <v>9.8000000000000004E-2</v>
      </c>
      <c r="AI4900" s="492">
        <v>9.8000000000000004E-2</v>
      </c>
      <c r="AJ4900" s="485"/>
    </row>
    <row r="4901" spans="2:36">
      <c r="B4901" s="136" t="s">
        <v>469</v>
      </c>
      <c r="C4901" s="132" t="s">
        <v>1370</v>
      </c>
      <c r="D4901" s="132" t="s">
        <v>1379</v>
      </c>
      <c r="E4901" s="508">
        <v>0.108</v>
      </c>
      <c r="F4901" s="508">
        <v>0.108</v>
      </c>
      <c r="G4901" s="508">
        <v>0.10299999999999999</v>
      </c>
      <c r="H4901" s="508">
        <v>0.107</v>
      </c>
      <c r="I4901" s="508">
        <v>9.1999999999999998E-2</v>
      </c>
      <c r="J4901" s="508">
        <v>0.106</v>
      </c>
      <c r="K4901" s="508">
        <v>9.6000000000000002E-2</v>
      </c>
      <c r="L4901" s="508">
        <v>0.10299999999999999</v>
      </c>
      <c r="M4901" s="508">
        <v>0.107</v>
      </c>
      <c r="N4901" s="508">
        <v>0.106</v>
      </c>
      <c r="O4901" s="508">
        <v>0.10199999999999999</v>
      </c>
      <c r="P4901" s="508">
        <v>0.111</v>
      </c>
      <c r="Q4901" s="508">
        <v>0.112</v>
      </c>
      <c r="R4901" s="508">
        <v>0.111</v>
      </c>
      <c r="S4901" s="508">
        <v>0.11</v>
      </c>
      <c r="T4901" s="508">
        <v>0.104</v>
      </c>
      <c r="U4901" s="508">
        <v>0.113</v>
      </c>
      <c r="V4901" s="508">
        <v>0.115</v>
      </c>
      <c r="W4901" s="508">
        <v>0.115</v>
      </c>
      <c r="X4901" s="508">
        <v>0.115</v>
      </c>
      <c r="Y4901" s="508">
        <v>0.115</v>
      </c>
      <c r="Z4901" s="508">
        <v>0.115</v>
      </c>
      <c r="AA4901" s="508">
        <v>0.115</v>
      </c>
      <c r="AB4901" s="508">
        <v>0.115</v>
      </c>
      <c r="AC4901" s="508">
        <v>0.11600000000000001</v>
      </c>
      <c r="AD4901" s="508">
        <v>0.115</v>
      </c>
      <c r="AE4901" s="508">
        <v>0.115</v>
      </c>
      <c r="AF4901" s="508">
        <v>0.115</v>
      </c>
      <c r="AG4901" s="508">
        <v>0.115</v>
      </c>
      <c r="AH4901" s="508">
        <v>0.115</v>
      </c>
      <c r="AI4901" s="492">
        <v>0.115</v>
      </c>
      <c r="AJ4901" s="485"/>
    </row>
    <row r="4902" spans="2:36">
      <c r="B4902" s="136" t="s">
        <v>470</v>
      </c>
      <c r="C4902" s="132" t="s">
        <v>1370</v>
      </c>
      <c r="D4902" s="132" t="s">
        <v>1379</v>
      </c>
      <c r="E4902" s="508">
        <v>0.13500000000000001</v>
      </c>
      <c r="F4902" s="508">
        <v>0.13400000000000001</v>
      </c>
      <c r="G4902" s="508">
        <v>0.128</v>
      </c>
      <c r="H4902" s="508">
        <v>0.13300000000000001</v>
      </c>
      <c r="I4902" s="508">
        <v>0.114</v>
      </c>
      <c r="J4902" s="508">
        <v>0.13200000000000001</v>
      </c>
      <c r="K4902" s="508">
        <v>0.11899999999999999</v>
      </c>
      <c r="L4902" s="508">
        <v>0.128</v>
      </c>
      <c r="M4902" s="508">
        <v>0.13400000000000001</v>
      </c>
      <c r="N4902" s="508">
        <v>0.13200000000000001</v>
      </c>
      <c r="O4902" s="508">
        <v>0.126</v>
      </c>
      <c r="P4902" s="508">
        <v>0.13800000000000001</v>
      </c>
      <c r="Q4902" s="508">
        <v>0.13900000000000001</v>
      </c>
      <c r="R4902" s="508">
        <v>0.13800000000000001</v>
      </c>
      <c r="S4902" s="508">
        <v>0.13700000000000001</v>
      </c>
      <c r="T4902" s="508">
        <v>0.129</v>
      </c>
      <c r="U4902" s="508">
        <v>0.14099999999999999</v>
      </c>
      <c r="V4902" s="508">
        <v>0.14299999999999999</v>
      </c>
      <c r="W4902" s="508">
        <v>0.14399999999999999</v>
      </c>
      <c r="X4902" s="508">
        <v>0.14299999999999999</v>
      </c>
      <c r="Y4902" s="508">
        <v>0.14299999999999999</v>
      </c>
      <c r="Z4902" s="508">
        <v>0.14299999999999999</v>
      </c>
      <c r="AA4902" s="508">
        <v>0.14299999999999999</v>
      </c>
      <c r="AB4902" s="508">
        <v>0.14299999999999999</v>
      </c>
      <c r="AC4902" s="508">
        <v>0.14399999999999999</v>
      </c>
      <c r="AD4902" s="508">
        <v>0.14399999999999999</v>
      </c>
      <c r="AE4902" s="508">
        <v>0.14299999999999999</v>
      </c>
      <c r="AF4902" s="508">
        <v>0.14299999999999999</v>
      </c>
      <c r="AG4902" s="508">
        <v>0.14299999999999999</v>
      </c>
      <c r="AH4902" s="508">
        <v>0.14299999999999999</v>
      </c>
      <c r="AI4902" s="492">
        <v>0.14299999999999999</v>
      </c>
      <c r="AJ4902" s="485"/>
    </row>
    <row r="4903" spans="2:36">
      <c r="B4903" s="136" t="s">
        <v>471</v>
      </c>
      <c r="C4903" s="132" t="s">
        <v>1370</v>
      </c>
      <c r="D4903" s="132" t="s">
        <v>1379</v>
      </c>
      <c r="E4903" s="508">
        <v>0.129</v>
      </c>
      <c r="F4903" s="508">
        <v>0.128</v>
      </c>
      <c r="G4903" s="508">
        <v>0.123</v>
      </c>
      <c r="H4903" s="508">
        <v>0.127</v>
      </c>
      <c r="I4903" s="508">
        <v>0.11</v>
      </c>
      <c r="J4903" s="508">
        <v>0.127</v>
      </c>
      <c r="K4903" s="508">
        <v>0.115</v>
      </c>
      <c r="L4903" s="508">
        <v>0.123</v>
      </c>
      <c r="M4903" s="508">
        <v>0.128</v>
      </c>
      <c r="N4903" s="508">
        <v>0.127</v>
      </c>
      <c r="O4903" s="508">
        <v>0.121</v>
      </c>
      <c r="P4903" s="508">
        <v>0.13300000000000001</v>
      </c>
      <c r="Q4903" s="508">
        <v>0.13400000000000001</v>
      </c>
      <c r="R4903" s="508">
        <v>0.13200000000000001</v>
      </c>
      <c r="S4903" s="508">
        <v>0.13100000000000001</v>
      </c>
      <c r="T4903" s="508">
        <v>0.124</v>
      </c>
      <c r="U4903" s="508">
        <v>0.13500000000000001</v>
      </c>
      <c r="V4903" s="508">
        <v>0.13700000000000001</v>
      </c>
      <c r="W4903" s="508">
        <v>0.13800000000000001</v>
      </c>
      <c r="X4903" s="508">
        <v>0.13700000000000001</v>
      </c>
      <c r="Y4903" s="508">
        <v>0.13700000000000001</v>
      </c>
      <c r="Z4903" s="508">
        <v>0.13800000000000001</v>
      </c>
      <c r="AA4903" s="508">
        <v>0.13700000000000001</v>
      </c>
      <c r="AB4903" s="508">
        <v>0.13700000000000001</v>
      </c>
      <c r="AC4903" s="508">
        <v>0.13800000000000001</v>
      </c>
      <c r="AD4903" s="508">
        <v>0.13800000000000001</v>
      </c>
      <c r="AE4903" s="508">
        <v>0.13700000000000001</v>
      </c>
      <c r="AF4903" s="508">
        <v>0.13700000000000001</v>
      </c>
      <c r="AG4903" s="508">
        <v>0.13700000000000001</v>
      </c>
      <c r="AH4903" s="508">
        <v>0.13700000000000001</v>
      </c>
      <c r="AI4903" s="492">
        <v>0.13700000000000001</v>
      </c>
      <c r="AJ4903" s="485"/>
    </row>
    <row r="4904" spans="2:36">
      <c r="B4904" s="136" t="s">
        <v>472</v>
      </c>
      <c r="C4904" s="132" t="s">
        <v>1370</v>
      </c>
      <c r="D4904" s="132" t="s">
        <v>1379</v>
      </c>
      <c r="E4904" s="508">
        <v>0.10100000000000001</v>
      </c>
      <c r="F4904" s="508">
        <v>0.1</v>
      </c>
      <c r="G4904" s="508">
        <v>9.6000000000000002E-2</v>
      </c>
      <c r="H4904" s="508">
        <v>0.1</v>
      </c>
      <c r="I4904" s="508">
        <v>8.5999999999999993E-2</v>
      </c>
      <c r="J4904" s="508">
        <v>9.9000000000000005E-2</v>
      </c>
      <c r="K4904" s="508">
        <v>0.09</v>
      </c>
      <c r="L4904" s="508">
        <v>9.6000000000000002E-2</v>
      </c>
      <c r="M4904" s="508">
        <v>0.1</v>
      </c>
      <c r="N4904" s="508">
        <v>9.9000000000000005E-2</v>
      </c>
      <c r="O4904" s="508">
        <v>9.5000000000000001E-2</v>
      </c>
      <c r="P4904" s="508">
        <v>0.10299999999999999</v>
      </c>
      <c r="Q4904" s="508">
        <v>0.104</v>
      </c>
      <c r="R4904" s="508">
        <v>0.10299999999999999</v>
      </c>
      <c r="S4904" s="508">
        <v>0.10299999999999999</v>
      </c>
      <c r="T4904" s="508">
        <v>9.7000000000000003E-2</v>
      </c>
      <c r="U4904" s="508">
        <v>0.105</v>
      </c>
      <c r="V4904" s="508">
        <v>0.107</v>
      </c>
      <c r="W4904" s="508">
        <v>0.107</v>
      </c>
      <c r="X4904" s="508">
        <v>0.107</v>
      </c>
      <c r="Y4904" s="508">
        <v>0.107</v>
      </c>
      <c r="Z4904" s="508">
        <v>0.107</v>
      </c>
      <c r="AA4904" s="508">
        <v>0.107</v>
      </c>
      <c r="AB4904" s="508">
        <v>0.107</v>
      </c>
      <c r="AC4904" s="508">
        <v>0.108</v>
      </c>
      <c r="AD4904" s="508">
        <v>0.108</v>
      </c>
      <c r="AE4904" s="508">
        <v>0.107</v>
      </c>
      <c r="AF4904" s="508">
        <v>0.107</v>
      </c>
      <c r="AG4904" s="508">
        <v>0.107</v>
      </c>
      <c r="AH4904" s="508">
        <v>0.107</v>
      </c>
      <c r="AI4904" s="492">
        <v>0.107</v>
      </c>
      <c r="AJ4904" s="485"/>
    </row>
    <row r="4905" spans="2:36">
      <c r="B4905" s="136" t="s">
        <v>473</v>
      </c>
      <c r="C4905" s="132" t="s">
        <v>1370</v>
      </c>
      <c r="D4905" s="132" t="s">
        <v>1379</v>
      </c>
      <c r="E4905" s="508">
        <v>0.13700000000000001</v>
      </c>
      <c r="F4905" s="508">
        <v>0.13600000000000001</v>
      </c>
      <c r="G4905" s="508">
        <v>0.13</v>
      </c>
      <c r="H4905" s="508">
        <v>0.13500000000000001</v>
      </c>
      <c r="I4905" s="508">
        <v>0.11600000000000001</v>
      </c>
      <c r="J4905" s="508">
        <v>0.13400000000000001</v>
      </c>
      <c r="K4905" s="508">
        <v>0.121</v>
      </c>
      <c r="L4905" s="508">
        <v>0.13</v>
      </c>
      <c r="M4905" s="508">
        <v>0.13600000000000001</v>
      </c>
      <c r="N4905" s="508">
        <v>0.13400000000000001</v>
      </c>
      <c r="O4905" s="508">
        <v>0.128</v>
      </c>
      <c r="P4905" s="508">
        <v>0.14000000000000001</v>
      </c>
      <c r="Q4905" s="508">
        <v>0.14099999999999999</v>
      </c>
      <c r="R4905" s="508">
        <v>0.14000000000000001</v>
      </c>
      <c r="S4905" s="508">
        <v>0.13900000000000001</v>
      </c>
      <c r="T4905" s="508">
        <v>0.13100000000000001</v>
      </c>
      <c r="U4905" s="508">
        <v>0.14299999999999999</v>
      </c>
      <c r="V4905" s="508">
        <v>0.14499999999999999</v>
      </c>
      <c r="W4905" s="508">
        <v>0.14599999999999999</v>
      </c>
      <c r="X4905" s="508">
        <v>0.14499999999999999</v>
      </c>
      <c r="Y4905" s="508">
        <v>0.14499999999999999</v>
      </c>
      <c r="Z4905" s="508">
        <v>0.14599999999999999</v>
      </c>
      <c r="AA4905" s="508">
        <v>0.14599999999999999</v>
      </c>
      <c r="AB4905" s="508">
        <v>0.14499999999999999</v>
      </c>
      <c r="AC4905" s="508">
        <v>0.14599999999999999</v>
      </c>
      <c r="AD4905" s="508">
        <v>0.14599999999999999</v>
      </c>
      <c r="AE4905" s="508">
        <v>0.14599999999999999</v>
      </c>
      <c r="AF4905" s="508">
        <v>0.14599999999999999</v>
      </c>
      <c r="AG4905" s="508">
        <v>0.14599999999999999</v>
      </c>
      <c r="AH4905" s="508">
        <v>0.14599999999999999</v>
      </c>
      <c r="AI4905" s="492">
        <v>0.14599999999999999</v>
      </c>
      <c r="AJ4905" s="485"/>
    </row>
    <row r="4906" spans="2:36">
      <c r="B4906" s="136" t="s">
        <v>474</v>
      </c>
      <c r="C4906" s="132" t="s">
        <v>1370</v>
      </c>
      <c r="D4906" s="132" t="s">
        <v>1379</v>
      </c>
      <c r="E4906" s="508">
        <v>0.121</v>
      </c>
      <c r="F4906" s="508">
        <v>0.12</v>
      </c>
      <c r="G4906" s="508">
        <v>0.115</v>
      </c>
      <c r="H4906" s="508">
        <v>0.11899999999999999</v>
      </c>
      <c r="I4906" s="508">
        <v>0.10299999999999999</v>
      </c>
      <c r="J4906" s="508">
        <v>0.11899999999999999</v>
      </c>
      <c r="K4906" s="508">
        <v>0.107</v>
      </c>
      <c r="L4906" s="508">
        <v>0.115</v>
      </c>
      <c r="M4906" s="508">
        <v>0.12</v>
      </c>
      <c r="N4906" s="508">
        <v>0.11899999999999999</v>
      </c>
      <c r="O4906" s="508">
        <v>0.114</v>
      </c>
      <c r="P4906" s="508">
        <v>0.124</v>
      </c>
      <c r="Q4906" s="508">
        <v>0.125</v>
      </c>
      <c r="R4906" s="508">
        <v>0.124</v>
      </c>
      <c r="S4906" s="508">
        <v>0.123</v>
      </c>
      <c r="T4906" s="508">
        <v>0.11600000000000001</v>
      </c>
      <c r="U4906" s="508">
        <v>0.127</v>
      </c>
      <c r="V4906" s="508">
        <v>0.128</v>
      </c>
      <c r="W4906" s="508">
        <v>0.129</v>
      </c>
      <c r="X4906" s="508">
        <v>0.128</v>
      </c>
      <c r="Y4906" s="508">
        <v>0.129</v>
      </c>
      <c r="Z4906" s="508">
        <v>0.129</v>
      </c>
      <c r="AA4906" s="508">
        <v>0.129</v>
      </c>
      <c r="AB4906" s="508">
        <v>0.128</v>
      </c>
      <c r="AC4906" s="508">
        <v>0.129</v>
      </c>
      <c r="AD4906" s="508">
        <v>0.129</v>
      </c>
      <c r="AE4906" s="508">
        <v>0.129</v>
      </c>
      <c r="AF4906" s="508">
        <v>0.129</v>
      </c>
      <c r="AG4906" s="508">
        <v>0.129</v>
      </c>
      <c r="AH4906" s="508">
        <v>0.129</v>
      </c>
      <c r="AI4906" s="492">
        <v>0.129</v>
      </c>
      <c r="AJ4906" s="485"/>
    </row>
    <row r="4907" spans="2:36">
      <c r="B4907" s="136" t="s">
        <v>475</v>
      </c>
      <c r="C4907" s="132" t="s">
        <v>1370</v>
      </c>
      <c r="D4907" s="132" t="s">
        <v>1379</v>
      </c>
      <c r="E4907" s="508">
        <v>0.11600000000000001</v>
      </c>
      <c r="F4907" s="508">
        <v>0.115</v>
      </c>
      <c r="G4907" s="508">
        <v>0.11</v>
      </c>
      <c r="H4907" s="508">
        <v>0.114</v>
      </c>
      <c r="I4907" s="508">
        <v>9.8000000000000004E-2</v>
      </c>
      <c r="J4907" s="508">
        <v>0.113</v>
      </c>
      <c r="K4907" s="508">
        <v>0.10299999999999999</v>
      </c>
      <c r="L4907" s="508">
        <v>0.11</v>
      </c>
      <c r="M4907" s="508">
        <v>0.115</v>
      </c>
      <c r="N4907" s="508">
        <v>0.114</v>
      </c>
      <c r="O4907" s="508">
        <v>0.109</v>
      </c>
      <c r="P4907" s="508">
        <v>0.11899999999999999</v>
      </c>
      <c r="Q4907" s="508">
        <v>0.12</v>
      </c>
      <c r="R4907" s="508">
        <v>0.11899999999999999</v>
      </c>
      <c r="S4907" s="508">
        <v>0.11799999999999999</v>
      </c>
      <c r="T4907" s="508">
        <v>0.111</v>
      </c>
      <c r="U4907" s="508">
        <v>0.121</v>
      </c>
      <c r="V4907" s="508">
        <v>0.123</v>
      </c>
      <c r="W4907" s="508">
        <v>0.123</v>
      </c>
      <c r="X4907" s="508">
        <v>0.123</v>
      </c>
      <c r="Y4907" s="508">
        <v>0.123</v>
      </c>
      <c r="Z4907" s="508">
        <v>0.123</v>
      </c>
      <c r="AA4907" s="508">
        <v>0.123</v>
      </c>
      <c r="AB4907" s="508">
        <v>0.123</v>
      </c>
      <c r="AC4907" s="508">
        <v>0.124</v>
      </c>
      <c r="AD4907" s="508">
        <v>0.124</v>
      </c>
      <c r="AE4907" s="508">
        <v>0.123</v>
      </c>
      <c r="AF4907" s="508">
        <v>0.123</v>
      </c>
      <c r="AG4907" s="508">
        <v>0.123</v>
      </c>
      <c r="AH4907" s="508">
        <v>0.123</v>
      </c>
      <c r="AI4907" s="492">
        <v>0.123</v>
      </c>
      <c r="AJ4907" s="485"/>
    </row>
    <row r="4908" spans="2:36">
      <c r="B4908" s="136" t="s">
        <v>476</v>
      </c>
      <c r="C4908" s="132" t="s">
        <v>1370</v>
      </c>
      <c r="D4908" s="132" t="s">
        <v>1379</v>
      </c>
      <c r="E4908" s="508">
        <v>0.125</v>
      </c>
      <c r="F4908" s="508">
        <v>0.124</v>
      </c>
      <c r="G4908" s="508">
        <v>0.11899999999999999</v>
      </c>
      <c r="H4908" s="508">
        <v>0.123</v>
      </c>
      <c r="I4908" s="508">
        <v>0.106</v>
      </c>
      <c r="J4908" s="508">
        <v>0.122</v>
      </c>
      <c r="K4908" s="508">
        <v>0.111</v>
      </c>
      <c r="L4908" s="508">
        <v>0.11899999999999999</v>
      </c>
      <c r="M4908" s="508">
        <v>0.124</v>
      </c>
      <c r="N4908" s="508">
        <v>0.123</v>
      </c>
      <c r="O4908" s="508">
        <v>0.11700000000000001</v>
      </c>
      <c r="P4908" s="508">
        <v>0.128</v>
      </c>
      <c r="Q4908" s="508">
        <v>0.129</v>
      </c>
      <c r="R4908" s="508">
        <v>0.128</v>
      </c>
      <c r="S4908" s="508">
        <v>0.127</v>
      </c>
      <c r="T4908" s="508">
        <v>0.11899999999999999</v>
      </c>
      <c r="U4908" s="508">
        <v>0.13100000000000001</v>
      </c>
      <c r="V4908" s="508">
        <v>0.13300000000000001</v>
      </c>
      <c r="W4908" s="508">
        <v>0.13300000000000001</v>
      </c>
      <c r="X4908" s="508">
        <v>0.13200000000000001</v>
      </c>
      <c r="Y4908" s="508">
        <v>0.13300000000000001</v>
      </c>
      <c r="Z4908" s="508">
        <v>0.13300000000000001</v>
      </c>
      <c r="AA4908" s="508">
        <v>0.13300000000000001</v>
      </c>
      <c r="AB4908" s="508">
        <v>0.13200000000000001</v>
      </c>
      <c r="AC4908" s="508">
        <v>0.13400000000000001</v>
      </c>
      <c r="AD4908" s="508">
        <v>0.13300000000000001</v>
      </c>
      <c r="AE4908" s="508">
        <v>0.13300000000000001</v>
      </c>
      <c r="AF4908" s="508">
        <v>0.13300000000000001</v>
      </c>
      <c r="AG4908" s="508">
        <v>0.13300000000000001</v>
      </c>
      <c r="AH4908" s="508">
        <v>0.13300000000000001</v>
      </c>
      <c r="AI4908" s="492">
        <v>0.13300000000000001</v>
      </c>
      <c r="AJ4908" s="485"/>
    </row>
    <row r="4909" spans="2:36">
      <c r="B4909" s="136" t="s">
        <v>478</v>
      </c>
      <c r="C4909" s="132" t="s">
        <v>1370</v>
      </c>
      <c r="D4909" s="132" t="s">
        <v>1379</v>
      </c>
      <c r="E4909" s="508">
        <v>0.13600000000000001</v>
      </c>
      <c r="F4909" s="508">
        <v>0.13500000000000001</v>
      </c>
      <c r="G4909" s="508">
        <v>0.129</v>
      </c>
      <c r="H4909" s="508">
        <v>0.13400000000000001</v>
      </c>
      <c r="I4909" s="508">
        <v>0.115</v>
      </c>
      <c r="J4909" s="508">
        <v>0.13300000000000001</v>
      </c>
      <c r="K4909" s="508">
        <v>0.121</v>
      </c>
      <c r="L4909" s="508">
        <v>0.129</v>
      </c>
      <c r="M4909" s="508">
        <v>0.13500000000000001</v>
      </c>
      <c r="N4909" s="508">
        <v>0.13400000000000001</v>
      </c>
      <c r="O4909" s="508">
        <v>0.128</v>
      </c>
      <c r="P4909" s="508">
        <v>0.14000000000000001</v>
      </c>
      <c r="Q4909" s="508">
        <v>0.14099999999999999</v>
      </c>
      <c r="R4909" s="508">
        <v>0.14000000000000001</v>
      </c>
      <c r="S4909" s="508">
        <v>0.13900000000000001</v>
      </c>
      <c r="T4909" s="508">
        <v>0.13</v>
      </c>
      <c r="U4909" s="508">
        <v>0.14299999999999999</v>
      </c>
      <c r="V4909" s="508">
        <v>0.14499999999999999</v>
      </c>
      <c r="W4909" s="508">
        <v>0.14499999999999999</v>
      </c>
      <c r="X4909" s="508">
        <v>0.14399999999999999</v>
      </c>
      <c r="Y4909" s="508">
        <v>0.14499999999999999</v>
      </c>
      <c r="Z4909" s="508">
        <v>0.14499999999999999</v>
      </c>
      <c r="AA4909" s="508">
        <v>0.14499999999999999</v>
      </c>
      <c r="AB4909" s="508">
        <v>0.14399999999999999</v>
      </c>
      <c r="AC4909" s="508">
        <v>0.14599999999999999</v>
      </c>
      <c r="AD4909" s="508">
        <v>0.14599999999999999</v>
      </c>
      <c r="AE4909" s="508">
        <v>0.14499999999999999</v>
      </c>
      <c r="AF4909" s="508">
        <v>0.14499999999999999</v>
      </c>
      <c r="AG4909" s="508">
        <v>0.14499999999999999</v>
      </c>
      <c r="AH4909" s="508">
        <v>0.14499999999999999</v>
      </c>
      <c r="AI4909" s="492">
        <v>0.14499999999999999</v>
      </c>
      <c r="AJ4909" s="485"/>
    </row>
    <row r="4910" spans="2:36">
      <c r="B4910" s="136" t="s">
        <v>479</v>
      </c>
      <c r="C4910" s="132" t="s">
        <v>1370</v>
      </c>
      <c r="D4910" s="132" t="s">
        <v>1379</v>
      </c>
      <c r="E4910" s="508">
        <v>0.115</v>
      </c>
      <c r="F4910" s="508">
        <v>0.114</v>
      </c>
      <c r="G4910" s="508">
        <v>0.109</v>
      </c>
      <c r="H4910" s="508">
        <v>0.113</v>
      </c>
      <c r="I4910" s="508">
        <v>9.7000000000000003E-2</v>
      </c>
      <c r="J4910" s="508">
        <v>0.112</v>
      </c>
      <c r="K4910" s="508">
        <v>0.10199999999999999</v>
      </c>
      <c r="L4910" s="508">
        <v>0.109</v>
      </c>
      <c r="M4910" s="508">
        <v>0.114</v>
      </c>
      <c r="N4910" s="508">
        <v>0.112</v>
      </c>
      <c r="O4910" s="508">
        <v>0.107</v>
      </c>
      <c r="P4910" s="508">
        <v>0.11700000000000001</v>
      </c>
      <c r="Q4910" s="508">
        <v>0.11799999999999999</v>
      </c>
      <c r="R4910" s="508">
        <v>0.11700000000000001</v>
      </c>
      <c r="S4910" s="508">
        <v>0.11600000000000001</v>
      </c>
      <c r="T4910" s="508">
        <v>0.11</v>
      </c>
      <c r="U4910" s="508">
        <v>0.12</v>
      </c>
      <c r="V4910" s="508">
        <v>0.121</v>
      </c>
      <c r="W4910" s="508">
        <v>0.122</v>
      </c>
      <c r="X4910" s="508">
        <v>0.121</v>
      </c>
      <c r="Y4910" s="508">
        <v>0.122</v>
      </c>
      <c r="Z4910" s="508">
        <v>0.122</v>
      </c>
      <c r="AA4910" s="508">
        <v>0.122</v>
      </c>
      <c r="AB4910" s="508">
        <v>0.121</v>
      </c>
      <c r="AC4910" s="508">
        <v>0.122</v>
      </c>
      <c r="AD4910" s="508">
        <v>0.122</v>
      </c>
      <c r="AE4910" s="508">
        <v>0.122</v>
      </c>
      <c r="AF4910" s="508">
        <v>0.122</v>
      </c>
      <c r="AG4910" s="508">
        <v>0.122</v>
      </c>
      <c r="AH4910" s="508">
        <v>0.122</v>
      </c>
      <c r="AI4910" s="492">
        <v>0.122</v>
      </c>
      <c r="AJ4910" s="485"/>
    </row>
    <row r="4911" spans="2:36">
      <c r="B4911" s="136" t="s">
        <v>480</v>
      </c>
      <c r="C4911" s="132" t="s">
        <v>1370</v>
      </c>
      <c r="D4911" s="132" t="s">
        <v>1379</v>
      </c>
      <c r="E4911" s="508">
        <v>9.4E-2</v>
      </c>
      <c r="F4911" s="508">
        <v>9.4E-2</v>
      </c>
      <c r="G4911" s="508">
        <v>0.09</v>
      </c>
      <c r="H4911" s="508">
        <v>9.2999999999999999E-2</v>
      </c>
      <c r="I4911" s="508">
        <v>0.08</v>
      </c>
      <c r="J4911" s="508">
        <v>9.1999999999999998E-2</v>
      </c>
      <c r="K4911" s="508">
        <v>8.4000000000000005E-2</v>
      </c>
      <c r="L4911" s="508">
        <v>0.09</v>
      </c>
      <c r="M4911" s="508">
        <v>9.4E-2</v>
      </c>
      <c r="N4911" s="508">
        <v>9.2999999999999999E-2</v>
      </c>
      <c r="O4911" s="508">
        <v>8.8999999999999996E-2</v>
      </c>
      <c r="P4911" s="508">
        <v>9.7000000000000003E-2</v>
      </c>
      <c r="Q4911" s="508">
        <v>9.7000000000000003E-2</v>
      </c>
      <c r="R4911" s="508">
        <v>9.7000000000000003E-2</v>
      </c>
      <c r="S4911" s="508">
        <v>9.6000000000000002E-2</v>
      </c>
      <c r="T4911" s="508">
        <v>0.09</v>
      </c>
      <c r="U4911" s="508">
        <v>9.9000000000000005E-2</v>
      </c>
      <c r="V4911" s="508">
        <v>0.1</v>
      </c>
      <c r="W4911" s="508">
        <v>0.1</v>
      </c>
      <c r="X4911" s="508">
        <v>0.1</v>
      </c>
      <c r="Y4911" s="508">
        <v>0.1</v>
      </c>
      <c r="Z4911" s="508">
        <v>0.1</v>
      </c>
      <c r="AA4911" s="508">
        <v>0.1</v>
      </c>
      <c r="AB4911" s="508">
        <v>0.1</v>
      </c>
      <c r="AC4911" s="508">
        <v>0.10100000000000001</v>
      </c>
      <c r="AD4911" s="508">
        <v>0.10100000000000001</v>
      </c>
      <c r="AE4911" s="508">
        <v>0.1</v>
      </c>
      <c r="AF4911" s="508">
        <v>0.1</v>
      </c>
      <c r="AG4911" s="508">
        <v>0.1</v>
      </c>
      <c r="AH4911" s="508">
        <v>0.1</v>
      </c>
      <c r="AI4911" s="492">
        <v>0.1</v>
      </c>
      <c r="AJ4911" s="485"/>
    </row>
    <row r="4912" spans="2:36">
      <c r="B4912" s="136" t="s">
        <v>481</v>
      </c>
      <c r="C4912" s="132" t="s">
        <v>1370</v>
      </c>
      <c r="D4912" s="132" t="s">
        <v>1379</v>
      </c>
      <c r="E4912" s="508">
        <v>0.12</v>
      </c>
      <c r="F4912" s="508">
        <v>0.11899999999999999</v>
      </c>
      <c r="G4912" s="508">
        <v>0.114</v>
      </c>
      <c r="H4912" s="508">
        <v>0.11799999999999999</v>
      </c>
      <c r="I4912" s="508">
        <v>0.10100000000000001</v>
      </c>
      <c r="J4912" s="508">
        <v>0.11700000000000001</v>
      </c>
      <c r="K4912" s="508">
        <v>0.106</v>
      </c>
      <c r="L4912" s="508">
        <v>0.114</v>
      </c>
      <c r="M4912" s="508">
        <v>0.11899999999999999</v>
      </c>
      <c r="N4912" s="508">
        <v>0.11700000000000001</v>
      </c>
      <c r="O4912" s="508">
        <v>0.112</v>
      </c>
      <c r="P4912" s="508">
        <v>0.123</v>
      </c>
      <c r="Q4912" s="508">
        <v>0.123</v>
      </c>
      <c r="R4912" s="508">
        <v>0.123</v>
      </c>
      <c r="S4912" s="508">
        <v>0.122</v>
      </c>
      <c r="T4912" s="508">
        <v>0.114</v>
      </c>
      <c r="U4912" s="508">
        <v>0.125</v>
      </c>
      <c r="V4912" s="508">
        <v>0.127</v>
      </c>
      <c r="W4912" s="508">
        <v>0.127</v>
      </c>
      <c r="X4912" s="508">
        <v>0.127</v>
      </c>
      <c r="Y4912" s="508">
        <v>0.127</v>
      </c>
      <c r="Z4912" s="508">
        <v>0.127</v>
      </c>
      <c r="AA4912" s="508">
        <v>0.127</v>
      </c>
      <c r="AB4912" s="508">
        <v>0.127</v>
      </c>
      <c r="AC4912" s="508">
        <v>0.128</v>
      </c>
      <c r="AD4912" s="508">
        <v>0.128</v>
      </c>
      <c r="AE4912" s="508">
        <v>0.127</v>
      </c>
      <c r="AF4912" s="508">
        <v>0.127</v>
      </c>
      <c r="AG4912" s="508">
        <v>0.127</v>
      </c>
      <c r="AH4912" s="508">
        <v>0.127</v>
      </c>
      <c r="AI4912" s="492">
        <v>0.127</v>
      </c>
      <c r="AJ4912" s="485"/>
    </row>
    <row r="4913" spans="2:36">
      <c r="B4913" s="136" t="s">
        <v>482</v>
      </c>
      <c r="C4913" s="132" t="s">
        <v>1370</v>
      </c>
      <c r="D4913" s="132" t="s">
        <v>1379</v>
      </c>
      <c r="E4913" s="508">
        <v>0.121</v>
      </c>
      <c r="F4913" s="508">
        <v>0.12</v>
      </c>
      <c r="G4913" s="508">
        <v>0.115</v>
      </c>
      <c r="H4913" s="508">
        <v>0.11899999999999999</v>
      </c>
      <c r="I4913" s="508">
        <v>0.10199999999999999</v>
      </c>
      <c r="J4913" s="508">
        <v>0.11799999999999999</v>
      </c>
      <c r="K4913" s="508">
        <v>0.107</v>
      </c>
      <c r="L4913" s="508">
        <v>0.115</v>
      </c>
      <c r="M4913" s="508">
        <v>0.12</v>
      </c>
      <c r="N4913" s="508">
        <v>0.11899999999999999</v>
      </c>
      <c r="O4913" s="508">
        <v>0.113</v>
      </c>
      <c r="P4913" s="508">
        <v>0.124</v>
      </c>
      <c r="Q4913" s="508">
        <v>0.125</v>
      </c>
      <c r="R4913" s="508">
        <v>0.124</v>
      </c>
      <c r="S4913" s="508">
        <v>0.123</v>
      </c>
      <c r="T4913" s="508">
        <v>0.11600000000000001</v>
      </c>
      <c r="U4913" s="508">
        <v>0.126</v>
      </c>
      <c r="V4913" s="508">
        <v>0.128</v>
      </c>
      <c r="W4913" s="508">
        <v>0.129</v>
      </c>
      <c r="X4913" s="508">
        <v>0.128</v>
      </c>
      <c r="Y4913" s="508">
        <v>0.128</v>
      </c>
      <c r="Z4913" s="508">
        <v>0.129</v>
      </c>
      <c r="AA4913" s="508">
        <v>0.129</v>
      </c>
      <c r="AB4913" s="508">
        <v>0.128</v>
      </c>
      <c r="AC4913" s="508">
        <v>0.129</v>
      </c>
      <c r="AD4913" s="508">
        <v>0.129</v>
      </c>
      <c r="AE4913" s="508">
        <v>0.129</v>
      </c>
      <c r="AF4913" s="508">
        <v>0.129</v>
      </c>
      <c r="AG4913" s="508">
        <v>0.129</v>
      </c>
      <c r="AH4913" s="508">
        <v>0.129</v>
      </c>
      <c r="AI4913" s="492">
        <v>0.129</v>
      </c>
      <c r="AJ4913" s="485"/>
    </row>
    <row r="4914" spans="2:36">
      <c r="B4914" s="136" t="s">
        <v>483</v>
      </c>
      <c r="C4914" s="132" t="s">
        <v>1370</v>
      </c>
      <c r="D4914" s="132" t="s">
        <v>1379</v>
      </c>
      <c r="E4914" s="508">
        <v>0.13400000000000001</v>
      </c>
      <c r="F4914" s="508">
        <v>0.13300000000000001</v>
      </c>
      <c r="G4914" s="508">
        <v>0.127</v>
      </c>
      <c r="H4914" s="508">
        <v>0.13200000000000001</v>
      </c>
      <c r="I4914" s="508">
        <v>0.113</v>
      </c>
      <c r="J4914" s="508">
        <v>0.13100000000000001</v>
      </c>
      <c r="K4914" s="508">
        <v>0.11799999999999999</v>
      </c>
      <c r="L4914" s="508">
        <v>0.127</v>
      </c>
      <c r="M4914" s="508">
        <v>0.13300000000000001</v>
      </c>
      <c r="N4914" s="508">
        <v>0.13100000000000001</v>
      </c>
      <c r="O4914" s="508">
        <v>0.125</v>
      </c>
      <c r="P4914" s="508">
        <v>0.13700000000000001</v>
      </c>
      <c r="Q4914" s="508">
        <v>0.13800000000000001</v>
      </c>
      <c r="R4914" s="508">
        <v>0.13700000000000001</v>
      </c>
      <c r="S4914" s="508">
        <v>0.13600000000000001</v>
      </c>
      <c r="T4914" s="508">
        <v>0.128</v>
      </c>
      <c r="U4914" s="508">
        <v>0.14000000000000001</v>
      </c>
      <c r="V4914" s="508">
        <v>0.14199999999999999</v>
      </c>
      <c r="W4914" s="508">
        <v>0.14199999999999999</v>
      </c>
      <c r="X4914" s="508">
        <v>0.14199999999999999</v>
      </c>
      <c r="Y4914" s="508">
        <v>0.14199999999999999</v>
      </c>
      <c r="Z4914" s="508">
        <v>0.14199999999999999</v>
      </c>
      <c r="AA4914" s="508">
        <v>0.14199999999999999</v>
      </c>
      <c r="AB4914" s="508">
        <v>0.14199999999999999</v>
      </c>
      <c r="AC4914" s="508">
        <v>0.14299999999999999</v>
      </c>
      <c r="AD4914" s="508">
        <v>0.14299999999999999</v>
      </c>
      <c r="AE4914" s="508">
        <v>0.14199999999999999</v>
      </c>
      <c r="AF4914" s="508">
        <v>0.14199999999999999</v>
      </c>
      <c r="AG4914" s="508">
        <v>0.14199999999999999</v>
      </c>
      <c r="AH4914" s="508">
        <v>0.14199999999999999</v>
      </c>
      <c r="AI4914" s="492">
        <v>0.14199999999999999</v>
      </c>
      <c r="AJ4914" s="485"/>
    </row>
    <row r="4915" spans="2:36">
      <c r="B4915" s="136" t="s">
        <v>484</v>
      </c>
      <c r="C4915" s="132" t="s">
        <v>1370</v>
      </c>
      <c r="D4915" s="132" t="s">
        <v>1379</v>
      </c>
      <c r="E4915" s="508">
        <v>0.1</v>
      </c>
      <c r="F4915" s="508">
        <v>9.9000000000000005E-2</v>
      </c>
      <c r="G4915" s="508">
        <v>9.5000000000000001E-2</v>
      </c>
      <c r="H4915" s="508">
        <v>9.8000000000000004E-2</v>
      </c>
      <c r="I4915" s="508">
        <v>8.5000000000000006E-2</v>
      </c>
      <c r="J4915" s="508">
        <v>9.7000000000000003E-2</v>
      </c>
      <c r="K4915" s="508">
        <v>8.7999999999999995E-2</v>
      </c>
      <c r="L4915" s="508">
        <v>9.5000000000000001E-2</v>
      </c>
      <c r="M4915" s="508">
        <v>9.9000000000000005E-2</v>
      </c>
      <c r="N4915" s="508">
        <v>9.8000000000000004E-2</v>
      </c>
      <c r="O4915" s="508">
        <v>9.2999999999999999E-2</v>
      </c>
      <c r="P4915" s="508">
        <v>0.10199999999999999</v>
      </c>
      <c r="Q4915" s="508">
        <v>0.10299999999999999</v>
      </c>
      <c r="R4915" s="508">
        <v>0.10199999999999999</v>
      </c>
      <c r="S4915" s="508">
        <v>0.10100000000000001</v>
      </c>
      <c r="T4915" s="508">
        <v>9.5000000000000001E-2</v>
      </c>
      <c r="U4915" s="508">
        <v>0.104</v>
      </c>
      <c r="V4915" s="508">
        <v>0.105</v>
      </c>
      <c r="W4915" s="508">
        <v>0.106</v>
      </c>
      <c r="X4915" s="508">
        <v>0.105</v>
      </c>
      <c r="Y4915" s="508">
        <v>0.106</v>
      </c>
      <c r="Z4915" s="508">
        <v>0.106</v>
      </c>
      <c r="AA4915" s="508">
        <v>0.106</v>
      </c>
      <c r="AB4915" s="508">
        <v>0.105</v>
      </c>
      <c r="AC4915" s="508">
        <v>0.106</v>
      </c>
      <c r="AD4915" s="508">
        <v>0.106</v>
      </c>
      <c r="AE4915" s="508">
        <v>0.106</v>
      </c>
      <c r="AF4915" s="508">
        <v>0.106</v>
      </c>
      <c r="AG4915" s="508">
        <v>0.106</v>
      </c>
      <c r="AH4915" s="508">
        <v>0.106</v>
      </c>
      <c r="AI4915" s="492">
        <v>0.106</v>
      </c>
      <c r="AJ4915" s="485"/>
    </row>
    <row r="4916" spans="2:36">
      <c r="B4916" s="136" t="s">
        <v>486</v>
      </c>
      <c r="C4916" s="132" t="s">
        <v>1370</v>
      </c>
      <c r="D4916" s="132" t="s">
        <v>1379</v>
      </c>
      <c r="E4916" s="508">
        <v>0.121</v>
      </c>
      <c r="F4916" s="508">
        <v>0.12</v>
      </c>
      <c r="G4916" s="508">
        <v>0.115</v>
      </c>
      <c r="H4916" s="508">
        <v>0.11899999999999999</v>
      </c>
      <c r="I4916" s="508">
        <v>0.10199999999999999</v>
      </c>
      <c r="J4916" s="508">
        <v>0.11799999999999999</v>
      </c>
      <c r="K4916" s="508">
        <v>0.107</v>
      </c>
      <c r="L4916" s="508">
        <v>0.115</v>
      </c>
      <c r="M4916" s="508">
        <v>0.12</v>
      </c>
      <c r="N4916" s="508">
        <v>0.11799999999999999</v>
      </c>
      <c r="O4916" s="508">
        <v>0.113</v>
      </c>
      <c r="P4916" s="508">
        <v>0.124</v>
      </c>
      <c r="Q4916" s="508">
        <v>0.125</v>
      </c>
      <c r="R4916" s="508">
        <v>0.124</v>
      </c>
      <c r="S4916" s="508">
        <v>0.123</v>
      </c>
      <c r="T4916" s="508">
        <v>0.115</v>
      </c>
      <c r="U4916" s="508">
        <v>0.126</v>
      </c>
      <c r="V4916" s="508">
        <v>0.128</v>
      </c>
      <c r="W4916" s="508">
        <v>0.128</v>
      </c>
      <c r="X4916" s="508">
        <v>0.128</v>
      </c>
      <c r="Y4916" s="508">
        <v>0.128</v>
      </c>
      <c r="Z4916" s="508">
        <v>0.128</v>
      </c>
      <c r="AA4916" s="508">
        <v>0.128</v>
      </c>
      <c r="AB4916" s="508">
        <v>0.128</v>
      </c>
      <c r="AC4916" s="508">
        <v>0.129</v>
      </c>
      <c r="AD4916" s="508">
        <v>0.129</v>
      </c>
      <c r="AE4916" s="508">
        <v>0.128</v>
      </c>
      <c r="AF4916" s="508">
        <v>0.128</v>
      </c>
      <c r="AG4916" s="508">
        <v>0.128</v>
      </c>
      <c r="AH4916" s="508">
        <v>0.128</v>
      </c>
      <c r="AI4916" s="492">
        <v>0.128</v>
      </c>
      <c r="AJ4916" s="485"/>
    </row>
    <row r="4917" spans="2:36">
      <c r="B4917" s="136" t="s">
        <v>487</v>
      </c>
      <c r="C4917" s="132" t="s">
        <v>1370</v>
      </c>
      <c r="D4917" s="132" t="s">
        <v>1379</v>
      </c>
      <c r="E4917" s="508">
        <v>0.11899999999999999</v>
      </c>
      <c r="F4917" s="508">
        <v>0.11799999999999999</v>
      </c>
      <c r="G4917" s="508">
        <v>0.113</v>
      </c>
      <c r="H4917" s="508">
        <v>0.11700000000000001</v>
      </c>
      <c r="I4917" s="508">
        <v>0.10100000000000001</v>
      </c>
      <c r="J4917" s="508">
        <v>0.11700000000000001</v>
      </c>
      <c r="K4917" s="508">
        <v>0.106</v>
      </c>
      <c r="L4917" s="508">
        <v>0.113</v>
      </c>
      <c r="M4917" s="508">
        <v>0.11799999999999999</v>
      </c>
      <c r="N4917" s="508">
        <v>0.11700000000000001</v>
      </c>
      <c r="O4917" s="508">
        <v>0.112</v>
      </c>
      <c r="P4917" s="508">
        <v>0.122</v>
      </c>
      <c r="Q4917" s="508">
        <v>0.123</v>
      </c>
      <c r="R4917" s="508">
        <v>0.122</v>
      </c>
      <c r="S4917" s="508">
        <v>0.121</v>
      </c>
      <c r="T4917" s="508">
        <v>0.114</v>
      </c>
      <c r="U4917" s="508">
        <v>0.125</v>
      </c>
      <c r="V4917" s="508">
        <v>0.126</v>
      </c>
      <c r="W4917" s="508">
        <v>0.127</v>
      </c>
      <c r="X4917" s="508">
        <v>0.126</v>
      </c>
      <c r="Y4917" s="508">
        <v>0.126</v>
      </c>
      <c r="Z4917" s="508">
        <v>0.127</v>
      </c>
      <c r="AA4917" s="508">
        <v>0.127</v>
      </c>
      <c r="AB4917" s="508">
        <v>0.126</v>
      </c>
      <c r="AC4917" s="508">
        <v>0.127</v>
      </c>
      <c r="AD4917" s="508">
        <v>0.127</v>
      </c>
      <c r="AE4917" s="508">
        <v>0.127</v>
      </c>
      <c r="AF4917" s="508">
        <v>0.127</v>
      </c>
      <c r="AG4917" s="508">
        <v>0.127</v>
      </c>
      <c r="AH4917" s="508">
        <v>0.127</v>
      </c>
      <c r="AI4917" s="492">
        <v>0.127</v>
      </c>
      <c r="AJ4917" s="485"/>
    </row>
    <row r="4918" spans="2:36">
      <c r="B4918" s="136" t="s">
        <v>488</v>
      </c>
      <c r="C4918" s="132" t="s">
        <v>1370</v>
      </c>
      <c r="D4918" s="132" t="s">
        <v>1379</v>
      </c>
      <c r="E4918" s="508">
        <v>0.104</v>
      </c>
      <c r="F4918" s="508">
        <v>0.10299999999999999</v>
      </c>
      <c r="G4918" s="508">
        <v>9.9000000000000005E-2</v>
      </c>
      <c r="H4918" s="508">
        <v>0.10199999999999999</v>
      </c>
      <c r="I4918" s="508">
        <v>8.7999999999999995E-2</v>
      </c>
      <c r="J4918" s="508">
        <v>0.10199999999999999</v>
      </c>
      <c r="K4918" s="508">
        <v>9.1999999999999998E-2</v>
      </c>
      <c r="L4918" s="508">
        <v>9.9000000000000005E-2</v>
      </c>
      <c r="M4918" s="508">
        <v>0.10299999999999999</v>
      </c>
      <c r="N4918" s="508">
        <v>0.10199999999999999</v>
      </c>
      <c r="O4918" s="508">
        <v>9.7000000000000003E-2</v>
      </c>
      <c r="P4918" s="508">
        <v>0.106</v>
      </c>
      <c r="Q4918" s="508">
        <v>0.107</v>
      </c>
      <c r="R4918" s="508">
        <v>0.106</v>
      </c>
      <c r="S4918" s="508">
        <v>0.106</v>
      </c>
      <c r="T4918" s="508">
        <v>9.9000000000000005E-2</v>
      </c>
      <c r="U4918" s="508">
        <v>0.109</v>
      </c>
      <c r="V4918" s="508">
        <v>0.11</v>
      </c>
      <c r="W4918" s="508">
        <v>0.111</v>
      </c>
      <c r="X4918" s="508">
        <v>0.11</v>
      </c>
      <c r="Y4918" s="508">
        <v>0.11</v>
      </c>
      <c r="Z4918" s="508">
        <v>0.11</v>
      </c>
      <c r="AA4918" s="508">
        <v>0.11</v>
      </c>
      <c r="AB4918" s="508">
        <v>0.11</v>
      </c>
      <c r="AC4918" s="508">
        <v>0.111</v>
      </c>
      <c r="AD4918" s="508">
        <v>0.111</v>
      </c>
      <c r="AE4918" s="508">
        <v>0.11</v>
      </c>
      <c r="AF4918" s="508">
        <v>0.11</v>
      </c>
      <c r="AG4918" s="508">
        <v>0.11</v>
      </c>
      <c r="AH4918" s="508">
        <v>0.11</v>
      </c>
      <c r="AI4918" s="492">
        <v>0.11</v>
      </c>
      <c r="AJ4918" s="485"/>
    </row>
    <row r="4919" spans="2:36">
      <c r="B4919" s="136" t="s">
        <v>489</v>
      </c>
      <c r="C4919" s="132" t="s">
        <v>1370</v>
      </c>
      <c r="D4919" s="132" t="s">
        <v>1379</v>
      </c>
      <c r="E4919" s="508">
        <v>0.114</v>
      </c>
      <c r="F4919" s="508">
        <v>0.113</v>
      </c>
      <c r="G4919" s="508">
        <v>0.108</v>
      </c>
      <c r="H4919" s="508">
        <v>0.112</v>
      </c>
      <c r="I4919" s="508">
        <v>9.7000000000000003E-2</v>
      </c>
      <c r="J4919" s="508">
        <v>0.111</v>
      </c>
      <c r="K4919" s="508">
        <v>0.10100000000000001</v>
      </c>
      <c r="L4919" s="508">
        <v>0.108</v>
      </c>
      <c r="M4919" s="508">
        <v>0.113</v>
      </c>
      <c r="N4919" s="508">
        <v>0.112</v>
      </c>
      <c r="O4919" s="508">
        <v>0.107</v>
      </c>
      <c r="P4919" s="508">
        <v>0.11700000000000001</v>
      </c>
      <c r="Q4919" s="508">
        <v>0.11700000000000001</v>
      </c>
      <c r="R4919" s="508">
        <v>0.11700000000000001</v>
      </c>
      <c r="S4919" s="508">
        <v>0.11600000000000001</v>
      </c>
      <c r="T4919" s="508">
        <v>0.109</v>
      </c>
      <c r="U4919" s="508">
        <v>0.11899999999999999</v>
      </c>
      <c r="V4919" s="508">
        <v>0.121</v>
      </c>
      <c r="W4919" s="508">
        <v>0.121</v>
      </c>
      <c r="X4919" s="508">
        <v>0.12</v>
      </c>
      <c r="Y4919" s="508">
        <v>0.121</v>
      </c>
      <c r="Z4919" s="508">
        <v>0.121</v>
      </c>
      <c r="AA4919" s="508">
        <v>0.121</v>
      </c>
      <c r="AB4919" s="508">
        <v>0.12</v>
      </c>
      <c r="AC4919" s="508">
        <v>0.121</v>
      </c>
      <c r="AD4919" s="508">
        <v>0.121</v>
      </c>
      <c r="AE4919" s="508">
        <v>0.121</v>
      </c>
      <c r="AF4919" s="508">
        <v>0.121</v>
      </c>
      <c r="AG4919" s="508">
        <v>0.121</v>
      </c>
      <c r="AH4919" s="508">
        <v>0.121</v>
      </c>
      <c r="AI4919" s="492">
        <v>0.121</v>
      </c>
      <c r="AJ4919" s="485"/>
    </row>
    <row r="4920" spans="2:36">
      <c r="B4920" s="136" t="s">
        <v>490</v>
      </c>
      <c r="C4920" s="132" t="s">
        <v>1370</v>
      </c>
      <c r="D4920" s="132" t="s">
        <v>1379</v>
      </c>
      <c r="E4920" s="508">
        <v>9.4E-2</v>
      </c>
      <c r="F4920" s="508">
        <v>9.2999999999999999E-2</v>
      </c>
      <c r="G4920" s="508">
        <v>8.8999999999999996E-2</v>
      </c>
      <c r="H4920" s="508">
        <v>9.1999999999999998E-2</v>
      </c>
      <c r="I4920" s="508">
        <v>0.08</v>
      </c>
      <c r="J4920" s="508">
        <v>9.1999999999999998E-2</v>
      </c>
      <c r="K4920" s="508">
        <v>8.3000000000000004E-2</v>
      </c>
      <c r="L4920" s="508">
        <v>8.8999999999999996E-2</v>
      </c>
      <c r="M4920" s="508">
        <v>9.2999999999999999E-2</v>
      </c>
      <c r="N4920" s="508">
        <v>9.1999999999999998E-2</v>
      </c>
      <c r="O4920" s="508">
        <v>8.7999999999999995E-2</v>
      </c>
      <c r="P4920" s="508">
        <v>9.6000000000000002E-2</v>
      </c>
      <c r="Q4920" s="508">
        <v>9.7000000000000003E-2</v>
      </c>
      <c r="R4920" s="508">
        <v>9.6000000000000002E-2</v>
      </c>
      <c r="S4920" s="508">
        <v>9.5000000000000001E-2</v>
      </c>
      <c r="T4920" s="508">
        <v>0.09</v>
      </c>
      <c r="U4920" s="508">
        <v>9.8000000000000004E-2</v>
      </c>
      <c r="V4920" s="508">
        <v>9.9000000000000005E-2</v>
      </c>
      <c r="W4920" s="508">
        <v>0.1</v>
      </c>
      <c r="X4920" s="508">
        <v>9.9000000000000005E-2</v>
      </c>
      <c r="Y4920" s="508">
        <v>9.9000000000000005E-2</v>
      </c>
      <c r="Z4920" s="508">
        <v>9.9000000000000005E-2</v>
      </c>
      <c r="AA4920" s="508">
        <v>9.9000000000000005E-2</v>
      </c>
      <c r="AB4920" s="508">
        <v>9.9000000000000005E-2</v>
      </c>
      <c r="AC4920" s="508">
        <v>0.1</v>
      </c>
      <c r="AD4920" s="508">
        <v>0.1</v>
      </c>
      <c r="AE4920" s="508">
        <v>9.9000000000000005E-2</v>
      </c>
      <c r="AF4920" s="508">
        <v>9.9000000000000005E-2</v>
      </c>
      <c r="AG4920" s="508">
        <v>9.9000000000000005E-2</v>
      </c>
      <c r="AH4920" s="508">
        <v>9.9000000000000005E-2</v>
      </c>
      <c r="AI4920" s="492">
        <v>9.9000000000000005E-2</v>
      </c>
      <c r="AJ4920" s="485"/>
    </row>
    <row r="4921" spans="2:36">
      <c r="B4921" s="136" t="s">
        <v>435</v>
      </c>
      <c r="C4921" s="132" t="s">
        <v>1371</v>
      </c>
      <c r="D4921" s="132" t="s">
        <v>1379</v>
      </c>
      <c r="E4921" s="508">
        <v>9.0999999999999998E-2</v>
      </c>
      <c r="F4921" s="508">
        <v>9.0999999999999998E-2</v>
      </c>
      <c r="G4921" s="508">
        <v>9.0999999999999998E-2</v>
      </c>
      <c r="H4921" s="508">
        <v>9.0999999999999998E-2</v>
      </c>
      <c r="I4921" s="508">
        <v>9.0999999999999998E-2</v>
      </c>
      <c r="J4921" s="508">
        <v>9.0999999999999998E-2</v>
      </c>
      <c r="K4921" s="508">
        <v>9.0999999999999998E-2</v>
      </c>
      <c r="L4921" s="508">
        <v>9.0999999999999998E-2</v>
      </c>
      <c r="M4921" s="508">
        <v>9.0999999999999998E-2</v>
      </c>
      <c r="N4921" s="508">
        <v>9.0999999999999998E-2</v>
      </c>
      <c r="O4921" s="508">
        <v>9.0999999999999998E-2</v>
      </c>
      <c r="P4921" s="508">
        <v>9.0999999999999998E-2</v>
      </c>
      <c r="Q4921" s="508">
        <v>9.0999999999999998E-2</v>
      </c>
      <c r="R4921" s="508">
        <v>9.0999999999999998E-2</v>
      </c>
      <c r="S4921" s="508">
        <v>9.0999999999999998E-2</v>
      </c>
      <c r="T4921" s="508">
        <v>9.0999999999999998E-2</v>
      </c>
      <c r="U4921" s="508">
        <v>9.0999999999999998E-2</v>
      </c>
      <c r="V4921" s="508">
        <v>9.0999999999999998E-2</v>
      </c>
      <c r="W4921" s="508">
        <v>9.0999999999999998E-2</v>
      </c>
      <c r="X4921" s="508">
        <v>9.0999999999999998E-2</v>
      </c>
      <c r="Y4921" s="508">
        <v>9.0999999999999998E-2</v>
      </c>
      <c r="Z4921" s="508">
        <v>9.0999999999999998E-2</v>
      </c>
      <c r="AA4921" s="508">
        <v>9.0999999999999998E-2</v>
      </c>
      <c r="AB4921" s="508">
        <v>9.0999999999999998E-2</v>
      </c>
      <c r="AC4921" s="508">
        <v>9.0999999999999998E-2</v>
      </c>
      <c r="AD4921" s="508">
        <v>9.0999999999999998E-2</v>
      </c>
      <c r="AE4921" s="508">
        <v>9.0999999999999998E-2</v>
      </c>
      <c r="AF4921" s="508">
        <v>9.0999999999999998E-2</v>
      </c>
      <c r="AG4921" s="508">
        <v>9.0999999999999998E-2</v>
      </c>
      <c r="AH4921" s="508">
        <v>9.0999999999999998E-2</v>
      </c>
      <c r="AI4921" s="492">
        <v>9.0999999999999998E-2</v>
      </c>
      <c r="AJ4921" s="485"/>
    </row>
    <row r="4922" spans="2:36">
      <c r="B4922" s="136" t="s">
        <v>436</v>
      </c>
      <c r="C4922" s="132" t="s">
        <v>1371</v>
      </c>
      <c r="D4922" s="132" t="s">
        <v>1379</v>
      </c>
      <c r="E4922" s="508">
        <v>8.4000000000000005E-2</v>
      </c>
      <c r="F4922" s="508">
        <v>8.4000000000000005E-2</v>
      </c>
      <c r="G4922" s="508">
        <v>8.4000000000000005E-2</v>
      </c>
      <c r="H4922" s="508">
        <v>8.4000000000000005E-2</v>
      </c>
      <c r="I4922" s="508">
        <v>8.4000000000000005E-2</v>
      </c>
      <c r="J4922" s="508">
        <v>8.4000000000000005E-2</v>
      </c>
      <c r="K4922" s="508">
        <v>8.4000000000000005E-2</v>
      </c>
      <c r="L4922" s="508">
        <v>8.4000000000000005E-2</v>
      </c>
      <c r="M4922" s="508">
        <v>8.4000000000000005E-2</v>
      </c>
      <c r="N4922" s="508">
        <v>8.4000000000000005E-2</v>
      </c>
      <c r="O4922" s="508">
        <v>8.4000000000000005E-2</v>
      </c>
      <c r="P4922" s="508">
        <v>8.4000000000000005E-2</v>
      </c>
      <c r="Q4922" s="508">
        <v>8.4000000000000005E-2</v>
      </c>
      <c r="R4922" s="508">
        <v>8.4000000000000005E-2</v>
      </c>
      <c r="S4922" s="508">
        <v>8.4000000000000005E-2</v>
      </c>
      <c r="T4922" s="508">
        <v>8.4000000000000005E-2</v>
      </c>
      <c r="U4922" s="508">
        <v>8.4000000000000005E-2</v>
      </c>
      <c r="V4922" s="508">
        <v>8.4000000000000005E-2</v>
      </c>
      <c r="W4922" s="508">
        <v>8.4000000000000005E-2</v>
      </c>
      <c r="X4922" s="508">
        <v>8.4000000000000005E-2</v>
      </c>
      <c r="Y4922" s="508">
        <v>8.4000000000000005E-2</v>
      </c>
      <c r="Z4922" s="508">
        <v>8.4000000000000005E-2</v>
      </c>
      <c r="AA4922" s="508">
        <v>8.4000000000000005E-2</v>
      </c>
      <c r="AB4922" s="508">
        <v>8.4000000000000005E-2</v>
      </c>
      <c r="AC4922" s="508">
        <v>8.4000000000000005E-2</v>
      </c>
      <c r="AD4922" s="508">
        <v>8.4000000000000005E-2</v>
      </c>
      <c r="AE4922" s="508">
        <v>8.4000000000000005E-2</v>
      </c>
      <c r="AF4922" s="508">
        <v>8.4000000000000005E-2</v>
      </c>
      <c r="AG4922" s="508">
        <v>8.4000000000000005E-2</v>
      </c>
      <c r="AH4922" s="508">
        <v>8.4000000000000005E-2</v>
      </c>
      <c r="AI4922" s="492">
        <v>8.4000000000000005E-2</v>
      </c>
      <c r="AJ4922" s="485"/>
    </row>
    <row r="4923" spans="2:36">
      <c r="B4923" s="136" t="s">
        <v>437</v>
      </c>
      <c r="C4923" s="132" t="s">
        <v>1371</v>
      </c>
      <c r="D4923" s="132" t="s">
        <v>1379</v>
      </c>
      <c r="E4923" s="508">
        <v>9.4E-2</v>
      </c>
      <c r="F4923" s="508">
        <v>9.4E-2</v>
      </c>
      <c r="G4923" s="508">
        <v>9.4E-2</v>
      </c>
      <c r="H4923" s="508">
        <v>9.4E-2</v>
      </c>
      <c r="I4923" s="508">
        <v>9.4E-2</v>
      </c>
      <c r="J4923" s="508">
        <v>9.4E-2</v>
      </c>
      <c r="K4923" s="508">
        <v>9.4E-2</v>
      </c>
      <c r="L4923" s="508">
        <v>9.4E-2</v>
      </c>
      <c r="M4923" s="508">
        <v>9.4E-2</v>
      </c>
      <c r="N4923" s="508">
        <v>9.4E-2</v>
      </c>
      <c r="O4923" s="508">
        <v>9.4E-2</v>
      </c>
      <c r="P4923" s="508">
        <v>9.4E-2</v>
      </c>
      <c r="Q4923" s="508">
        <v>9.4E-2</v>
      </c>
      <c r="R4923" s="508">
        <v>9.4E-2</v>
      </c>
      <c r="S4923" s="508">
        <v>9.4E-2</v>
      </c>
      <c r="T4923" s="508">
        <v>9.4E-2</v>
      </c>
      <c r="U4923" s="508">
        <v>9.4E-2</v>
      </c>
      <c r="V4923" s="508">
        <v>9.4E-2</v>
      </c>
      <c r="W4923" s="508">
        <v>9.4E-2</v>
      </c>
      <c r="X4923" s="508">
        <v>9.4E-2</v>
      </c>
      <c r="Y4923" s="508">
        <v>9.4E-2</v>
      </c>
      <c r="Z4923" s="508">
        <v>9.4E-2</v>
      </c>
      <c r="AA4923" s="508">
        <v>9.4E-2</v>
      </c>
      <c r="AB4923" s="508">
        <v>9.4E-2</v>
      </c>
      <c r="AC4923" s="508">
        <v>9.4E-2</v>
      </c>
      <c r="AD4923" s="508">
        <v>9.4E-2</v>
      </c>
      <c r="AE4923" s="508">
        <v>9.4E-2</v>
      </c>
      <c r="AF4923" s="508">
        <v>9.4E-2</v>
      </c>
      <c r="AG4923" s="508">
        <v>9.4E-2</v>
      </c>
      <c r="AH4923" s="508">
        <v>9.4E-2</v>
      </c>
      <c r="AI4923" s="492">
        <v>9.4E-2</v>
      </c>
      <c r="AJ4923" s="485"/>
    </row>
    <row r="4924" spans="2:36">
      <c r="B4924" s="136" t="s">
        <v>438</v>
      </c>
      <c r="C4924" s="132" t="s">
        <v>1371</v>
      </c>
      <c r="D4924" s="132" t="s">
        <v>1379</v>
      </c>
      <c r="E4924" s="508">
        <v>8.1000000000000003E-2</v>
      </c>
      <c r="F4924" s="508">
        <v>8.1000000000000003E-2</v>
      </c>
      <c r="G4924" s="508">
        <v>8.1000000000000003E-2</v>
      </c>
      <c r="H4924" s="508">
        <v>8.1000000000000003E-2</v>
      </c>
      <c r="I4924" s="508">
        <v>8.1000000000000003E-2</v>
      </c>
      <c r="J4924" s="508">
        <v>8.1000000000000003E-2</v>
      </c>
      <c r="K4924" s="508">
        <v>8.1000000000000003E-2</v>
      </c>
      <c r="L4924" s="508">
        <v>8.1000000000000003E-2</v>
      </c>
      <c r="M4924" s="508">
        <v>8.1000000000000003E-2</v>
      </c>
      <c r="N4924" s="508">
        <v>8.1000000000000003E-2</v>
      </c>
      <c r="O4924" s="508">
        <v>8.1000000000000003E-2</v>
      </c>
      <c r="P4924" s="508">
        <v>8.1000000000000003E-2</v>
      </c>
      <c r="Q4924" s="508">
        <v>8.1000000000000003E-2</v>
      </c>
      <c r="R4924" s="508">
        <v>8.1000000000000003E-2</v>
      </c>
      <c r="S4924" s="508">
        <v>8.1000000000000003E-2</v>
      </c>
      <c r="T4924" s="508">
        <v>8.1000000000000003E-2</v>
      </c>
      <c r="U4924" s="508">
        <v>8.1000000000000003E-2</v>
      </c>
      <c r="V4924" s="508">
        <v>8.1000000000000003E-2</v>
      </c>
      <c r="W4924" s="508">
        <v>8.1000000000000003E-2</v>
      </c>
      <c r="X4924" s="508">
        <v>8.1000000000000003E-2</v>
      </c>
      <c r="Y4924" s="508">
        <v>8.1000000000000003E-2</v>
      </c>
      <c r="Z4924" s="508">
        <v>8.1000000000000003E-2</v>
      </c>
      <c r="AA4924" s="508">
        <v>8.1000000000000003E-2</v>
      </c>
      <c r="AB4924" s="508">
        <v>8.1000000000000003E-2</v>
      </c>
      <c r="AC4924" s="508">
        <v>8.1000000000000003E-2</v>
      </c>
      <c r="AD4924" s="508">
        <v>8.1000000000000003E-2</v>
      </c>
      <c r="AE4924" s="508">
        <v>8.1000000000000003E-2</v>
      </c>
      <c r="AF4924" s="508">
        <v>8.1000000000000003E-2</v>
      </c>
      <c r="AG4924" s="508">
        <v>8.1000000000000003E-2</v>
      </c>
      <c r="AH4924" s="508">
        <v>8.1000000000000003E-2</v>
      </c>
      <c r="AI4924" s="492">
        <v>8.1000000000000003E-2</v>
      </c>
      <c r="AJ4924" s="485"/>
    </row>
    <row r="4925" spans="2:36">
      <c r="B4925" s="136" t="s">
        <v>439</v>
      </c>
      <c r="C4925" s="132" t="s">
        <v>1371</v>
      </c>
      <c r="D4925" s="132" t="s">
        <v>1379</v>
      </c>
      <c r="E4925" s="508">
        <v>9.2999999999999999E-2</v>
      </c>
      <c r="F4925" s="508">
        <v>9.2999999999999999E-2</v>
      </c>
      <c r="G4925" s="508">
        <v>9.2999999999999999E-2</v>
      </c>
      <c r="H4925" s="508">
        <v>9.2999999999999999E-2</v>
      </c>
      <c r="I4925" s="508">
        <v>9.2999999999999999E-2</v>
      </c>
      <c r="J4925" s="508">
        <v>9.2999999999999999E-2</v>
      </c>
      <c r="K4925" s="508">
        <v>9.2999999999999999E-2</v>
      </c>
      <c r="L4925" s="508">
        <v>9.2999999999999999E-2</v>
      </c>
      <c r="M4925" s="508">
        <v>9.2999999999999999E-2</v>
      </c>
      <c r="N4925" s="508">
        <v>9.2999999999999999E-2</v>
      </c>
      <c r="O4925" s="508">
        <v>9.2999999999999999E-2</v>
      </c>
      <c r="P4925" s="508">
        <v>9.2999999999999999E-2</v>
      </c>
      <c r="Q4925" s="508">
        <v>9.2999999999999999E-2</v>
      </c>
      <c r="R4925" s="508">
        <v>9.2999999999999999E-2</v>
      </c>
      <c r="S4925" s="508">
        <v>9.2999999999999999E-2</v>
      </c>
      <c r="T4925" s="508">
        <v>9.2999999999999999E-2</v>
      </c>
      <c r="U4925" s="508">
        <v>9.2999999999999999E-2</v>
      </c>
      <c r="V4925" s="508">
        <v>9.2999999999999999E-2</v>
      </c>
      <c r="W4925" s="508">
        <v>9.2999999999999999E-2</v>
      </c>
      <c r="X4925" s="508">
        <v>9.2999999999999999E-2</v>
      </c>
      <c r="Y4925" s="508">
        <v>9.2999999999999999E-2</v>
      </c>
      <c r="Z4925" s="508">
        <v>9.2999999999999999E-2</v>
      </c>
      <c r="AA4925" s="508">
        <v>9.2999999999999999E-2</v>
      </c>
      <c r="AB4925" s="508">
        <v>9.2999999999999999E-2</v>
      </c>
      <c r="AC4925" s="508">
        <v>9.2999999999999999E-2</v>
      </c>
      <c r="AD4925" s="508">
        <v>9.2999999999999999E-2</v>
      </c>
      <c r="AE4925" s="508">
        <v>9.2999999999999999E-2</v>
      </c>
      <c r="AF4925" s="508">
        <v>9.2999999999999999E-2</v>
      </c>
      <c r="AG4925" s="508">
        <v>9.2999999999999999E-2</v>
      </c>
      <c r="AH4925" s="508">
        <v>9.2999999999999999E-2</v>
      </c>
      <c r="AI4925" s="492">
        <v>9.2999999999999999E-2</v>
      </c>
      <c r="AJ4925" s="485"/>
    </row>
    <row r="4926" spans="2:36">
      <c r="B4926" s="136" t="s">
        <v>440</v>
      </c>
      <c r="C4926" s="132" t="s">
        <v>1371</v>
      </c>
      <c r="D4926" s="132" t="s">
        <v>1379</v>
      </c>
      <c r="E4926" s="508">
        <v>0.09</v>
      </c>
      <c r="F4926" s="508">
        <v>0.09</v>
      </c>
      <c r="G4926" s="508">
        <v>0.09</v>
      </c>
      <c r="H4926" s="508">
        <v>0.09</v>
      </c>
      <c r="I4926" s="508">
        <v>0.09</v>
      </c>
      <c r="J4926" s="508">
        <v>0.09</v>
      </c>
      <c r="K4926" s="508">
        <v>0.09</v>
      </c>
      <c r="L4926" s="508">
        <v>0.09</v>
      </c>
      <c r="M4926" s="508">
        <v>0.09</v>
      </c>
      <c r="N4926" s="508">
        <v>0.09</v>
      </c>
      <c r="O4926" s="508">
        <v>0.09</v>
      </c>
      <c r="P4926" s="508">
        <v>0.09</v>
      </c>
      <c r="Q4926" s="508">
        <v>0.09</v>
      </c>
      <c r="R4926" s="508">
        <v>0.09</v>
      </c>
      <c r="S4926" s="508">
        <v>0.09</v>
      </c>
      <c r="T4926" s="508">
        <v>0.09</v>
      </c>
      <c r="U4926" s="508">
        <v>0.09</v>
      </c>
      <c r="V4926" s="508">
        <v>0.09</v>
      </c>
      <c r="W4926" s="508">
        <v>0.09</v>
      </c>
      <c r="X4926" s="508">
        <v>0.09</v>
      </c>
      <c r="Y4926" s="508">
        <v>0.09</v>
      </c>
      <c r="Z4926" s="508">
        <v>0.09</v>
      </c>
      <c r="AA4926" s="508">
        <v>0.09</v>
      </c>
      <c r="AB4926" s="508">
        <v>0.09</v>
      </c>
      <c r="AC4926" s="508">
        <v>0.09</v>
      </c>
      <c r="AD4926" s="508">
        <v>0.09</v>
      </c>
      <c r="AE4926" s="508">
        <v>0.09</v>
      </c>
      <c r="AF4926" s="508">
        <v>0.09</v>
      </c>
      <c r="AG4926" s="508">
        <v>0.09</v>
      </c>
      <c r="AH4926" s="508">
        <v>0.09</v>
      </c>
      <c r="AI4926" s="492">
        <v>0.09</v>
      </c>
      <c r="AJ4926" s="485"/>
    </row>
    <row r="4927" spans="2:36">
      <c r="B4927" s="136" t="s">
        <v>441</v>
      </c>
      <c r="C4927" s="132" t="s">
        <v>1371</v>
      </c>
      <c r="D4927" s="132" t="s">
        <v>1379</v>
      </c>
      <c r="E4927" s="508">
        <v>9.2999999999999999E-2</v>
      </c>
      <c r="F4927" s="508">
        <v>9.2999999999999999E-2</v>
      </c>
      <c r="G4927" s="508">
        <v>9.2999999999999999E-2</v>
      </c>
      <c r="H4927" s="508">
        <v>9.2999999999999999E-2</v>
      </c>
      <c r="I4927" s="508">
        <v>9.2999999999999999E-2</v>
      </c>
      <c r="J4927" s="508">
        <v>9.2999999999999999E-2</v>
      </c>
      <c r="K4927" s="508">
        <v>9.2999999999999999E-2</v>
      </c>
      <c r="L4927" s="508">
        <v>9.2999999999999999E-2</v>
      </c>
      <c r="M4927" s="508">
        <v>9.2999999999999999E-2</v>
      </c>
      <c r="N4927" s="508">
        <v>9.2999999999999999E-2</v>
      </c>
      <c r="O4927" s="508">
        <v>9.2999999999999999E-2</v>
      </c>
      <c r="P4927" s="508">
        <v>9.2999999999999999E-2</v>
      </c>
      <c r="Q4927" s="508">
        <v>9.2999999999999999E-2</v>
      </c>
      <c r="R4927" s="508">
        <v>9.2999999999999999E-2</v>
      </c>
      <c r="S4927" s="508">
        <v>9.2999999999999999E-2</v>
      </c>
      <c r="T4927" s="508">
        <v>9.2999999999999999E-2</v>
      </c>
      <c r="U4927" s="508">
        <v>9.2999999999999999E-2</v>
      </c>
      <c r="V4927" s="508">
        <v>9.2999999999999999E-2</v>
      </c>
      <c r="W4927" s="508">
        <v>9.2999999999999999E-2</v>
      </c>
      <c r="X4927" s="508">
        <v>9.2999999999999999E-2</v>
      </c>
      <c r="Y4927" s="508">
        <v>9.2999999999999999E-2</v>
      </c>
      <c r="Z4927" s="508">
        <v>9.2999999999999999E-2</v>
      </c>
      <c r="AA4927" s="508">
        <v>9.2999999999999999E-2</v>
      </c>
      <c r="AB4927" s="508">
        <v>9.2999999999999999E-2</v>
      </c>
      <c r="AC4927" s="508">
        <v>9.2999999999999999E-2</v>
      </c>
      <c r="AD4927" s="508">
        <v>9.2999999999999999E-2</v>
      </c>
      <c r="AE4927" s="508">
        <v>9.2999999999999999E-2</v>
      </c>
      <c r="AF4927" s="508">
        <v>9.2999999999999999E-2</v>
      </c>
      <c r="AG4927" s="508">
        <v>9.2999999999999999E-2</v>
      </c>
      <c r="AH4927" s="508">
        <v>9.2999999999999999E-2</v>
      </c>
      <c r="AI4927" s="492">
        <v>9.2999999999999999E-2</v>
      </c>
      <c r="AJ4927" s="485"/>
    </row>
    <row r="4928" spans="2:36">
      <c r="B4928" s="136" t="s">
        <v>443</v>
      </c>
      <c r="C4928" s="132" t="s">
        <v>1371</v>
      </c>
      <c r="D4928" s="132" t="s">
        <v>1379</v>
      </c>
      <c r="E4928" s="508">
        <v>0.10100000000000001</v>
      </c>
      <c r="F4928" s="508">
        <v>0.10100000000000001</v>
      </c>
      <c r="G4928" s="508">
        <v>0.10100000000000001</v>
      </c>
      <c r="H4928" s="508">
        <v>0.10100000000000001</v>
      </c>
      <c r="I4928" s="508">
        <v>0.10100000000000001</v>
      </c>
      <c r="J4928" s="508">
        <v>0.10100000000000001</v>
      </c>
      <c r="K4928" s="508">
        <v>0.10100000000000001</v>
      </c>
      <c r="L4928" s="508">
        <v>0.10100000000000001</v>
      </c>
      <c r="M4928" s="508">
        <v>0.10100000000000001</v>
      </c>
      <c r="N4928" s="508">
        <v>0.10100000000000001</v>
      </c>
      <c r="O4928" s="508">
        <v>0.10100000000000001</v>
      </c>
      <c r="P4928" s="508">
        <v>0.10100000000000001</v>
      </c>
      <c r="Q4928" s="508">
        <v>0.10100000000000001</v>
      </c>
      <c r="R4928" s="508">
        <v>0.10100000000000001</v>
      </c>
      <c r="S4928" s="508">
        <v>0.10100000000000001</v>
      </c>
      <c r="T4928" s="508">
        <v>0.10100000000000001</v>
      </c>
      <c r="U4928" s="508">
        <v>0.10100000000000001</v>
      </c>
      <c r="V4928" s="508">
        <v>0.10100000000000001</v>
      </c>
      <c r="W4928" s="508">
        <v>0.10100000000000001</v>
      </c>
      <c r="X4928" s="508">
        <v>0.10100000000000001</v>
      </c>
      <c r="Y4928" s="508">
        <v>0.10100000000000001</v>
      </c>
      <c r="Z4928" s="508">
        <v>0.10100000000000001</v>
      </c>
      <c r="AA4928" s="508">
        <v>0.10100000000000001</v>
      </c>
      <c r="AB4928" s="508">
        <v>0.10100000000000001</v>
      </c>
      <c r="AC4928" s="508">
        <v>0.10100000000000001</v>
      </c>
      <c r="AD4928" s="508">
        <v>0.10100000000000001</v>
      </c>
      <c r="AE4928" s="508">
        <v>0.10100000000000001</v>
      </c>
      <c r="AF4928" s="508">
        <v>0.10100000000000001</v>
      </c>
      <c r="AG4928" s="508">
        <v>0.10100000000000001</v>
      </c>
      <c r="AH4928" s="508">
        <v>0.10100000000000001</v>
      </c>
      <c r="AI4928" s="492">
        <v>0.10100000000000001</v>
      </c>
      <c r="AJ4928" s="485"/>
    </row>
    <row r="4929" spans="2:36">
      <c r="B4929" s="136" t="s">
        <v>445</v>
      </c>
      <c r="C4929" s="132" t="s">
        <v>1371</v>
      </c>
      <c r="D4929" s="132" t="s">
        <v>1379</v>
      </c>
      <c r="E4929" s="508">
        <v>0.12</v>
      </c>
      <c r="F4929" s="508">
        <v>0.12</v>
      </c>
      <c r="G4929" s="508">
        <v>0.12</v>
      </c>
      <c r="H4929" s="508">
        <v>0.12</v>
      </c>
      <c r="I4929" s="508">
        <v>0.12</v>
      </c>
      <c r="J4929" s="508">
        <v>0.12</v>
      </c>
      <c r="K4929" s="508">
        <v>0.12</v>
      </c>
      <c r="L4929" s="508">
        <v>0.12</v>
      </c>
      <c r="M4929" s="508">
        <v>0.12</v>
      </c>
      <c r="N4929" s="508">
        <v>0.12</v>
      </c>
      <c r="O4929" s="508">
        <v>0.12</v>
      </c>
      <c r="P4929" s="508">
        <v>0.12</v>
      </c>
      <c r="Q4929" s="508">
        <v>0.12</v>
      </c>
      <c r="R4929" s="508">
        <v>0.12</v>
      </c>
      <c r="S4929" s="508">
        <v>0.12</v>
      </c>
      <c r="T4929" s="508">
        <v>0.12</v>
      </c>
      <c r="U4929" s="508">
        <v>0.12</v>
      </c>
      <c r="V4929" s="508">
        <v>0.12</v>
      </c>
      <c r="W4929" s="508">
        <v>0.12</v>
      </c>
      <c r="X4929" s="508">
        <v>0.12</v>
      </c>
      <c r="Y4929" s="508">
        <v>0.12</v>
      </c>
      <c r="Z4929" s="508">
        <v>0.12</v>
      </c>
      <c r="AA4929" s="508">
        <v>0.12</v>
      </c>
      <c r="AB4929" s="508">
        <v>0.12</v>
      </c>
      <c r="AC4929" s="508">
        <v>0.12</v>
      </c>
      <c r="AD4929" s="508">
        <v>0.12</v>
      </c>
      <c r="AE4929" s="508">
        <v>0.12</v>
      </c>
      <c r="AF4929" s="508">
        <v>0.12</v>
      </c>
      <c r="AG4929" s="508">
        <v>0.12</v>
      </c>
      <c r="AH4929" s="508">
        <v>0.12</v>
      </c>
      <c r="AI4929" s="492">
        <v>0.12</v>
      </c>
      <c r="AJ4929" s="485"/>
    </row>
    <row r="4930" spans="2:36">
      <c r="B4930" s="136" t="s">
        <v>446</v>
      </c>
      <c r="C4930" s="132" t="s">
        <v>1371</v>
      </c>
      <c r="D4930" s="132" t="s">
        <v>1379</v>
      </c>
      <c r="E4930" s="508">
        <v>0.107</v>
      </c>
      <c r="F4930" s="508">
        <v>0.107</v>
      </c>
      <c r="G4930" s="508">
        <v>0.107</v>
      </c>
      <c r="H4930" s="508">
        <v>0.107</v>
      </c>
      <c r="I4930" s="508">
        <v>0.107</v>
      </c>
      <c r="J4930" s="508">
        <v>0.107</v>
      </c>
      <c r="K4930" s="508">
        <v>0.107</v>
      </c>
      <c r="L4930" s="508">
        <v>0.107</v>
      </c>
      <c r="M4930" s="508">
        <v>0.107</v>
      </c>
      <c r="N4930" s="508">
        <v>0.107</v>
      </c>
      <c r="O4930" s="508">
        <v>0.107</v>
      </c>
      <c r="P4930" s="508">
        <v>0.107</v>
      </c>
      <c r="Q4930" s="508">
        <v>0.107</v>
      </c>
      <c r="R4930" s="508">
        <v>0.107</v>
      </c>
      <c r="S4930" s="508">
        <v>0.107</v>
      </c>
      <c r="T4930" s="508">
        <v>0.107</v>
      </c>
      <c r="U4930" s="508">
        <v>0.107</v>
      </c>
      <c r="V4930" s="508">
        <v>0.107</v>
      </c>
      <c r="W4930" s="508">
        <v>0.107</v>
      </c>
      <c r="X4930" s="508">
        <v>0.107</v>
      </c>
      <c r="Y4930" s="508">
        <v>0.107</v>
      </c>
      <c r="Z4930" s="508">
        <v>0.107</v>
      </c>
      <c r="AA4930" s="508">
        <v>0.107</v>
      </c>
      <c r="AB4930" s="508">
        <v>0.107</v>
      </c>
      <c r="AC4930" s="508">
        <v>0.107</v>
      </c>
      <c r="AD4930" s="508">
        <v>0.107</v>
      </c>
      <c r="AE4930" s="508">
        <v>0.107</v>
      </c>
      <c r="AF4930" s="508">
        <v>0.107</v>
      </c>
      <c r="AG4930" s="508">
        <v>0.107</v>
      </c>
      <c r="AH4930" s="508">
        <v>0.107</v>
      </c>
      <c r="AI4930" s="492">
        <v>0.107</v>
      </c>
      <c r="AJ4930" s="485"/>
    </row>
    <row r="4931" spans="2:36">
      <c r="B4931" s="136" t="s">
        <v>448</v>
      </c>
      <c r="C4931" s="132" t="s">
        <v>1371</v>
      </c>
      <c r="D4931" s="132" t="s">
        <v>1379</v>
      </c>
      <c r="E4931" s="508">
        <v>0.13200000000000001</v>
      </c>
      <c r="F4931" s="508">
        <v>0.126</v>
      </c>
      <c r="G4931" s="508">
        <v>0.11799999999999999</v>
      </c>
      <c r="H4931" s="508">
        <v>0.11799999999999999</v>
      </c>
      <c r="I4931" s="508">
        <v>0.11600000000000001</v>
      </c>
      <c r="J4931" s="508">
        <v>0.111</v>
      </c>
      <c r="K4931" s="508">
        <v>0.115</v>
      </c>
      <c r="L4931" s="508">
        <v>0.11</v>
      </c>
      <c r="M4931" s="508">
        <v>0.111</v>
      </c>
      <c r="N4931" s="508">
        <v>0.10100000000000001</v>
      </c>
      <c r="O4931" s="508">
        <v>0.10100000000000001</v>
      </c>
      <c r="P4931" s="508">
        <v>0.10299999999999999</v>
      </c>
      <c r="Q4931" s="508">
        <v>9.6000000000000002E-2</v>
      </c>
      <c r="R4931" s="508">
        <v>0.108</v>
      </c>
      <c r="S4931" s="508">
        <v>9.6000000000000002E-2</v>
      </c>
      <c r="T4931" s="508">
        <v>9.4E-2</v>
      </c>
      <c r="U4931" s="508">
        <v>9.8000000000000004E-2</v>
      </c>
      <c r="V4931" s="508">
        <v>8.2000000000000003E-2</v>
      </c>
      <c r="W4931" s="508">
        <v>8.4000000000000005E-2</v>
      </c>
      <c r="X4931" s="508">
        <v>8.4000000000000005E-2</v>
      </c>
      <c r="Y4931" s="508">
        <v>8.8999999999999996E-2</v>
      </c>
      <c r="Z4931" s="508">
        <v>8.5999999999999993E-2</v>
      </c>
      <c r="AA4931" s="508">
        <v>9.6000000000000002E-2</v>
      </c>
      <c r="AB4931" s="508">
        <v>7.4999999999999997E-2</v>
      </c>
      <c r="AC4931" s="508">
        <v>9.7000000000000003E-2</v>
      </c>
      <c r="AD4931" s="508">
        <v>9.2999999999999999E-2</v>
      </c>
      <c r="AE4931" s="508">
        <v>8.5000000000000006E-2</v>
      </c>
      <c r="AF4931" s="508">
        <v>8.5000000000000006E-2</v>
      </c>
      <c r="AG4931" s="508">
        <v>8.5000000000000006E-2</v>
      </c>
      <c r="AH4931" s="508">
        <v>8.5000000000000006E-2</v>
      </c>
      <c r="AI4931" s="492">
        <v>8.5000000000000006E-2</v>
      </c>
      <c r="AJ4931" s="485"/>
    </row>
    <row r="4932" spans="2:36">
      <c r="B4932" s="136" t="s">
        <v>449</v>
      </c>
      <c r="C4932" s="132" t="s">
        <v>1371</v>
      </c>
      <c r="D4932" s="132" t="s">
        <v>1379</v>
      </c>
      <c r="E4932" s="508">
        <v>0.10299999999999999</v>
      </c>
      <c r="F4932" s="508">
        <v>0.10299999999999999</v>
      </c>
      <c r="G4932" s="508">
        <v>0.10299999999999999</v>
      </c>
      <c r="H4932" s="508">
        <v>0.10299999999999999</v>
      </c>
      <c r="I4932" s="508">
        <v>0.10299999999999999</v>
      </c>
      <c r="J4932" s="508">
        <v>0.10299999999999999</v>
      </c>
      <c r="K4932" s="508">
        <v>0.10299999999999999</v>
      </c>
      <c r="L4932" s="508">
        <v>0.10299999999999999</v>
      </c>
      <c r="M4932" s="508">
        <v>0.10299999999999999</v>
      </c>
      <c r="N4932" s="508">
        <v>0.10299999999999999</v>
      </c>
      <c r="O4932" s="508">
        <v>0.10299999999999999</v>
      </c>
      <c r="P4932" s="508">
        <v>0.10299999999999999</v>
      </c>
      <c r="Q4932" s="508">
        <v>0.10299999999999999</v>
      </c>
      <c r="R4932" s="508">
        <v>0.10299999999999999</v>
      </c>
      <c r="S4932" s="508">
        <v>0.10299999999999999</v>
      </c>
      <c r="T4932" s="508">
        <v>0.10299999999999999</v>
      </c>
      <c r="U4932" s="508">
        <v>0.10299999999999999</v>
      </c>
      <c r="V4932" s="508">
        <v>0.10299999999999999</v>
      </c>
      <c r="W4932" s="508">
        <v>0.10299999999999999</v>
      </c>
      <c r="X4932" s="508">
        <v>0.10299999999999999</v>
      </c>
      <c r="Y4932" s="508">
        <v>0.10299999999999999</v>
      </c>
      <c r="Z4932" s="508">
        <v>0.10299999999999999</v>
      </c>
      <c r="AA4932" s="508">
        <v>0.10299999999999999</v>
      </c>
      <c r="AB4932" s="508">
        <v>0.10299999999999999</v>
      </c>
      <c r="AC4932" s="508">
        <v>0.10299999999999999</v>
      </c>
      <c r="AD4932" s="508">
        <v>0.10299999999999999</v>
      </c>
      <c r="AE4932" s="508">
        <v>0.10299999999999999</v>
      </c>
      <c r="AF4932" s="508">
        <v>0.10299999999999999</v>
      </c>
      <c r="AG4932" s="508">
        <v>0.10299999999999999</v>
      </c>
      <c r="AH4932" s="508">
        <v>0.10299999999999999</v>
      </c>
      <c r="AI4932" s="492">
        <v>0.10299999999999999</v>
      </c>
      <c r="AJ4932" s="485"/>
    </row>
    <row r="4933" spans="2:36">
      <c r="B4933" s="136" t="s">
        <v>450</v>
      </c>
      <c r="C4933" s="132" t="s">
        <v>1371</v>
      </c>
      <c r="D4933" s="132" t="s">
        <v>1379</v>
      </c>
      <c r="E4933" s="508">
        <v>9.8000000000000004E-2</v>
      </c>
      <c r="F4933" s="508">
        <v>9.8000000000000004E-2</v>
      </c>
      <c r="G4933" s="508">
        <v>9.8000000000000004E-2</v>
      </c>
      <c r="H4933" s="508">
        <v>9.8000000000000004E-2</v>
      </c>
      <c r="I4933" s="508">
        <v>9.8000000000000004E-2</v>
      </c>
      <c r="J4933" s="508">
        <v>9.8000000000000004E-2</v>
      </c>
      <c r="K4933" s="508">
        <v>9.8000000000000004E-2</v>
      </c>
      <c r="L4933" s="508">
        <v>9.8000000000000004E-2</v>
      </c>
      <c r="M4933" s="508">
        <v>9.8000000000000004E-2</v>
      </c>
      <c r="N4933" s="508">
        <v>9.8000000000000004E-2</v>
      </c>
      <c r="O4933" s="508">
        <v>9.8000000000000004E-2</v>
      </c>
      <c r="P4933" s="508">
        <v>9.8000000000000004E-2</v>
      </c>
      <c r="Q4933" s="508">
        <v>9.8000000000000004E-2</v>
      </c>
      <c r="R4933" s="508">
        <v>9.8000000000000004E-2</v>
      </c>
      <c r="S4933" s="508">
        <v>9.8000000000000004E-2</v>
      </c>
      <c r="T4933" s="508">
        <v>9.8000000000000004E-2</v>
      </c>
      <c r="U4933" s="508">
        <v>9.8000000000000004E-2</v>
      </c>
      <c r="V4933" s="508">
        <v>9.8000000000000004E-2</v>
      </c>
      <c r="W4933" s="508">
        <v>9.8000000000000004E-2</v>
      </c>
      <c r="X4933" s="508">
        <v>9.8000000000000004E-2</v>
      </c>
      <c r="Y4933" s="508">
        <v>9.8000000000000004E-2</v>
      </c>
      <c r="Z4933" s="508">
        <v>9.8000000000000004E-2</v>
      </c>
      <c r="AA4933" s="508">
        <v>9.8000000000000004E-2</v>
      </c>
      <c r="AB4933" s="508">
        <v>9.8000000000000004E-2</v>
      </c>
      <c r="AC4933" s="508">
        <v>9.8000000000000004E-2</v>
      </c>
      <c r="AD4933" s="508">
        <v>9.8000000000000004E-2</v>
      </c>
      <c r="AE4933" s="508">
        <v>9.8000000000000004E-2</v>
      </c>
      <c r="AF4933" s="508">
        <v>9.8000000000000004E-2</v>
      </c>
      <c r="AG4933" s="508">
        <v>9.8000000000000004E-2</v>
      </c>
      <c r="AH4933" s="508">
        <v>9.8000000000000004E-2</v>
      </c>
      <c r="AI4933" s="492">
        <v>9.8000000000000004E-2</v>
      </c>
      <c r="AJ4933" s="485"/>
    </row>
    <row r="4934" spans="2:36">
      <c r="B4934" s="136" t="s">
        <v>451</v>
      </c>
      <c r="C4934" s="132" t="s">
        <v>1371</v>
      </c>
      <c r="D4934" s="132" t="s">
        <v>1379</v>
      </c>
      <c r="E4934" s="508">
        <v>0.109</v>
      </c>
      <c r="F4934" s="508">
        <v>0.109</v>
      </c>
      <c r="G4934" s="508">
        <v>0.109</v>
      </c>
      <c r="H4934" s="508">
        <v>0.109</v>
      </c>
      <c r="I4934" s="508">
        <v>0.109</v>
      </c>
      <c r="J4934" s="508">
        <v>0.109</v>
      </c>
      <c r="K4934" s="508">
        <v>0.109</v>
      </c>
      <c r="L4934" s="508">
        <v>0.109</v>
      </c>
      <c r="M4934" s="508">
        <v>0.109</v>
      </c>
      <c r="N4934" s="508">
        <v>0.109</v>
      </c>
      <c r="O4934" s="508">
        <v>0.109</v>
      </c>
      <c r="P4934" s="508">
        <v>0.109</v>
      </c>
      <c r="Q4934" s="508">
        <v>0.109</v>
      </c>
      <c r="R4934" s="508">
        <v>0.109</v>
      </c>
      <c r="S4934" s="508">
        <v>0.109</v>
      </c>
      <c r="T4934" s="508">
        <v>0.109</v>
      </c>
      <c r="U4934" s="508">
        <v>0.109</v>
      </c>
      <c r="V4934" s="508">
        <v>0.109</v>
      </c>
      <c r="W4934" s="508">
        <v>0.109</v>
      </c>
      <c r="X4934" s="508">
        <v>0.109</v>
      </c>
      <c r="Y4934" s="508">
        <v>0.109</v>
      </c>
      <c r="Z4934" s="508">
        <v>0.109</v>
      </c>
      <c r="AA4934" s="508">
        <v>0.109</v>
      </c>
      <c r="AB4934" s="508">
        <v>0.109</v>
      </c>
      <c r="AC4934" s="508">
        <v>0.109</v>
      </c>
      <c r="AD4934" s="508">
        <v>0.109</v>
      </c>
      <c r="AE4934" s="508">
        <v>0.109</v>
      </c>
      <c r="AF4934" s="508">
        <v>0.109</v>
      </c>
      <c r="AG4934" s="508">
        <v>0.109</v>
      </c>
      <c r="AH4934" s="508">
        <v>0.109</v>
      </c>
      <c r="AI4934" s="492">
        <v>0.109</v>
      </c>
      <c r="AJ4934" s="485"/>
    </row>
    <row r="4935" spans="2:36">
      <c r="B4935" s="136" t="s">
        <v>452</v>
      </c>
      <c r="C4935" s="132" t="s">
        <v>1371</v>
      </c>
      <c r="D4935" s="132" t="s">
        <v>1379</v>
      </c>
      <c r="E4935" s="508">
        <v>9.5000000000000001E-2</v>
      </c>
      <c r="F4935" s="508">
        <v>9.5000000000000001E-2</v>
      </c>
      <c r="G4935" s="508">
        <v>9.5000000000000001E-2</v>
      </c>
      <c r="H4935" s="508">
        <v>9.5000000000000001E-2</v>
      </c>
      <c r="I4935" s="508">
        <v>9.5000000000000001E-2</v>
      </c>
      <c r="J4935" s="508">
        <v>9.5000000000000001E-2</v>
      </c>
      <c r="K4935" s="508">
        <v>9.5000000000000001E-2</v>
      </c>
      <c r="L4935" s="508">
        <v>9.5000000000000001E-2</v>
      </c>
      <c r="M4935" s="508">
        <v>9.5000000000000001E-2</v>
      </c>
      <c r="N4935" s="508">
        <v>9.5000000000000001E-2</v>
      </c>
      <c r="O4935" s="508">
        <v>9.5000000000000001E-2</v>
      </c>
      <c r="P4935" s="508">
        <v>9.5000000000000001E-2</v>
      </c>
      <c r="Q4935" s="508">
        <v>9.5000000000000001E-2</v>
      </c>
      <c r="R4935" s="508">
        <v>9.5000000000000001E-2</v>
      </c>
      <c r="S4935" s="508">
        <v>9.5000000000000001E-2</v>
      </c>
      <c r="T4935" s="508">
        <v>9.5000000000000001E-2</v>
      </c>
      <c r="U4935" s="508">
        <v>9.5000000000000001E-2</v>
      </c>
      <c r="V4935" s="508">
        <v>9.5000000000000001E-2</v>
      </c>
      <c r="W4935" s="508">
        <v>9.5000000000000001E-2</v>
      </c>
      <c r="X4935" s="508">
        <v>9.5000000000000001E-2</v>
      </c>
      <c r="Y4935" s="508">
        <v>9.5000000000000001E-2</v>
      </c>
      <c r="Z4935" s="508">
        <v>9.5000000000000001E-2</v>
      </c>
      <c r="AA4935" s="508">
        <v>9.5000000000000001E-2</v>
      </c>
      <c r="AB4935" s="508">
        <v>9.5000000000000001E-2</v>
      </c>
      <c r="AC4935" s="508">
        <v>9.5000000000000001E-2</v>
      </c>
      <c r="AD4935" s="508">
        <v>9.5000000000000001E-2</v>
      </c>
      <c r="AE4935" s="508">
        <v>9.5000000000000001E-2</v>
      </c>
      <c r="AF4935" s="508">
        <v>9.5000000000000001E-2</v>
      </c>
      <c r="AG4935" s="508">
        <v>9.5000000000000001E-2</v>
      </c>
      <c r="AH4935" s="508">
        <v>9.5000000000000001E-2</v>
      </c>
      <c r="AI4935" s="492">
        <v>9.5000000000000001E-2</v>
      </c>
      <c r="AJ4935" s="485"/>
    </row>
    <row r="4936" spans="2:36">
      <c r="B4936" s="136" t="s">
        <v>453</v>
      </c>
      <c r="C4936" s="132" t="s">
        <v>1371</v>
      </c>
      <c r="D4936" s="132" t="s">
        <v>1379</v>
      </c>
      <c r="E4936" s="508">
        <v>8.2000000000000003E-2</v>
      </c>
      <c r="F4936" s="508">
        <v>8.2000000000000003E-2</v>
      </c>
      <c r="G4936" s="508">
        <v>8.2000000000000003E-2</v>
      </c>
      <c r="H4936" s="508">
        <v>8.2000000000000003E-2</v>
      </c>
      <c r="I4936" s="508">
        <v>8.2000000000000003E-2</v>
      </c>
      <c r="J4936" s="508">
        <v>8.2000000000000003E-2</v>
      </c>
      <c r="K4936" s="508">
        <v>8.2000000000000003E-2</v>
      </c>
      <c r="L4936" s="508">
        <v>8.2000000000000003E-2</v>
      </c>
      <c r="M4936" s="508">
        <v>8.2000000000000003E-2</v>
      </c>
      <c r="N4936" s="508">
        <v>8.2000000000000003E-2</v>
      </c>
      <c r="O4936" s="508">
        <v>8.2000000000000003E-2</v>
      </c>
      <c r="P4936" s="508">
        <v>8.2000000000000003E-2</v>
      </c>
      <c r="Q4936" s="508">
        <v>8.2000000000000003E-2</v>
      </c>
      <c r="R4936" s="508">
        <v>8.2000000000000003E-2</v>
      </c>
      <c r="S4936" s="508">
        <v>8.2000000000000003E-2</v>
      </c>
      <c r="T4936" s="508">
        <v>8.2000000000000003E-2</v>
      </c>
      <c r="U4936" s="508">
        <v>8.2000000000000003E-2</v>
      </c>
      <c r="V4936" s="508">
        <v>8.2000000000000003E-2</v>
      </c>
      <c r="W4936" s="508">
        <v>8.2000000000000003E-2</v>
      </c>
      <c r="X4936" s="508">
        <v>8.2000000000000003E-2</v>
      </c>
      <c r="Y4936" s="508">
        <v>8.2000000000000003E-2</v>
      </c>
      <c r="Z4936" s="508">
        <v>8.2000000000000003E-2</v>
      </c>
      <c r="AA4936" s="508">
        <v>8.2000000000000003E-2</v>
      </c>
      <c r="AB4936" s="508">
        <v>8.2000000000000003E-2</v>
      </c>
      <c r="AC4936" s="508">
        <v>8.2000000000000003E-2</v>
      </c>
      <c r="AD4936" s="508">
        <v>8.2000000000000003E-2</v>
      </c>
      <c r="AE4936" s="508">
        <v>8.2000000000000003E-2</v>
      </c>
      <c r="AF4936" s="508">
        <v>8.2000000000000003E-2</v>
      </c>
      <c r="AG4936" s="508">
        <v>8.2000000000000003E-2</v>
      </c>
      <c r="AH4936" s="508">
        <v>8.2000000000000003E-2</v>
      </c>
      <c r="AI4936" s="492">
        <v>8.2000000000000003E-2</v>
      </c>
      <c r="AJ4936" s="485"/>
    </row>
    <row r="4937" spans="2:36">
      <c r="B4937" s="136" t="s">
        <v>454</v>
      </c>
      <c r="C4937" s="132" t="s">
        <v>1371</v>
      </c>
      <c r="D4937" s="132" t="s">
        <v>1379</v>
      </c>
      <c r="E4937" s="508">
        <v>8.5000000000000006E-2</v>
      </c>
      <c r="F4937" s="508">
        <v>8.5000000000000006E-2</v>
      </c>
      <c r="G4937" s="508">
        <v>8.5000000000000006E-2</v>
      </c>
      <c r="H4937" s="508">
        <v>8.5000000000000006E-2</v>
      </c>
      <c r="I4937" s="508">
        <v>8.5000000000000006E-2</v>
      </c>
      <c r="J4937" s="508">
        <v>8.5000000000000006E-2</v>
      </c>
      <c r="K4937" s="508">
        <v>8.5000000000000006E-2</v>
      </c>
      <c r="L4937" s="508">
        <v>8.5000000000000006E-2</v>
      </c>
      <c r="M4937" s="508">
        <v>8.5000000000000006E-2</v>
      </c>
      <c r="N4937" s="508">
        <v>8.5000000000000006E-2</v>
      </c>
      <c r="O4937" s="508">
        <v>8.5000000000000006E-2</v>
      </c>
      <c r="P4937" s="508">
        <v>8.5000000000000006E-2</v>
      </c>
      <c r="Q4937" s="508">
        <v>8.5000000000000006E-2</v>
      </c>
      <c r="R4937" s="508">
        <v>8.5000000000000006E-2</v>
      </c>
      <c r="S4937" s="508">
        <v>8.5000000000000006E-2</v>
      </c>
      <c r="T4937" s="508">
        <v>8.5000000000000006E-2</v>
      </c>
      <c r="U4937" s="508">
        <v>8.5000000000000006E-2</v>
      </c>
      <c r="V4937" s="508">
        <v>8.5000000000000006E-2</v>
      </c>
      <c r="W4937" s="508">
        <v>8.5000000000000006E-2</v>
      </c>
      <c r="X4937" s="508">
        <v>8.5000000000000006E-2</v>
      </c>
      <c r="Y4937" s="508">
        <v>8.5000000000000006E-2</v>
      </c>
      <c r="Z4937" s="508">
        <v>8.5000000000000006E-2</v>
      </c>
      <c r="AA4937" s="508">
        <v>8.5000000000000006E-2</v>
      </c>
      <c r="AB4937" s="508">
        <v>8.5000000000000006E-2</v>
      </c>
      <c r="AC4937" s="508">
        <v>8.5000000000000006E-2</v>
      </c>
      <c r="AD4937" s="508">
        <v>8.5000000000000006E-2</v>
      </c>
      <c r="AE4937" s="508">
        <v>8.5000000000000006E-2</v>
      </c>
      <c r="AF4937" s="508">
        <v>8.5000000000000006E-2</v>
      </c>
      <c r="AG4937" s="508">
        <v>8.5000000000000006E-2</v>
      </c>
      <c r="AH4937" s="508">
        <v>8.5000000000000006E-2</v>
      </c>
      <c r="AI4937" s="492">
        <v>8.5000000000000006E-2</v>
      </c>
      <c r="AJ4937" s="485"/>
    </row>
    <row r="4938" spans="2:36">
      <c r="B4938" s="136" t="s">
        <v>455</v>
      </c>
      <c r="C4938" s="132" t="s">
        <v>1371</v>
      </c>
      <c r="D4938" s="132" t="s">
        <v>1379</v>
      </c>
      <c r="E4938" s="508">
        <v>7.9000000000000001E-2</v>
      </c>
      <c r="F4938" s="508">
        <v>7.9000000000000001E-2</v>
      </c>
      <c r="G4938" s="508">
        <v>7.9000000000000001E-2</v>
      </c>
      <c r="H4938" s="508">
        <v>7.9000000000000001E-2</v>
      </c>
      <c r="I4938" s="508">
        <v>7.9000000000000001E-2</v>
      </c>
      <c r="J4938" s="508">
        <v>7.9000000000000001E-2</v>
      </c>
      <c r="K4938" s="508">
        <v>7.9000000000000001E-2</v>
      </c>
      <c r="L4938" s="508">
        <v>7.9000000000000001E-2</v>
      </c>
      <c r="M4938" s="508">
        <v>7.9000000000000001E-2</v>
      </c>
      <c r="N4938" s="508">
        <v>7.9000000000000001E-2</v>
      </c>
      <c r="O4938" s="508">
        <v>7.9000000000000001E-2</v>
      </c>
      <c r="P4938" s="508">
        <v>7.9000000000000001E-2</v>
      </c>
      <c r="Q4938" s="508">
        <v>7.9000000000000001E-2</v>
      </c>
      <c r="R4938" s="508">
        <v>7.9000000000000001E-2</v>
      </c>
      <c r="S4938" s="508">
        <v>7.9000000000000001E-2</v>
      </c>
      <c r="T4938" s="508">
        <v>7.9000000000000001E-2</v>
      </c>
      <c r="U4938" s="508">
        <v>7.9000000000000001E-2</v>
      </c>
      <c r="V4938" s="508">
        <v>7.9000000000000001E-2</v>
      </c>
      <c r="W4938" s="508">
        <v>7.9000000000000001E-2</v>
      </c>
      <c r="X4938" s="508">
        <v>7.9000000000000001E-2</v>
      </c>
      <c r="Y4938" s="508">
        <v>7.9000000000000001E-2</v>
      </c>
      <c r="Z4938" s="508">
        <v>7.9000000000000001E-2</v>
      </c>
      <c r="AA4938" s="508">
        <v>7.9000000000000001E-2</v>
      </c>
      <c r="AB4938" s="508">
        <v>7.9000000000000001E-2</v>
      </c>
      <c r="AC4938" s="508">
        <v>7.9000000000000001E-2</v>
      </c>
      <c r="AD4938" s="508">
        <v>7.9000000000000001E-2</v>
      </c>
      <c r="AE4938" s="508">
        <v>7.9000000000000001E-2</v>
      </c>
      <c r="AF4938" s="508">
        <v>7.9000000000000001E-2</v>
      </c>
      <c r="AG4938" s="508">
        <v>7.9000000000000001E-2</v>
      </c>
      <c r="AH4938" s="508">
        <v>7.9000000000000001E-2</v>
      </c>
      <c r="AI4938" s="492">
        <v>7.9000000000000001E-2</v>
      </c>
      <c r="AJ4938" s="485"/>
    </row>
    <row r="4939" spans="2:36">
      <c r="B4939" s="136" t="s">
        <v>456</v>
      </c>
      <c r="C4939" s="132" t="s">
        <v>1371</v>
      </c>
      <c r="D4939" s="132" t="s">
        <v>1379</v>
      </c>
      <c r="E4939" s="508">
        <v>8.7999999999999995E-2</v>
      </c>
      <c r="F4939" s="508">
        <v>8.7999999999999995E-2</v>
      </c>
      <c r="G4939" s="508">
        <v>8.7999999999999995E-2</v>
      </c>
      <c r="H4939" s="508">
        <v>8.7999999999999995E-2</v>
      </c>
      <c r="I4939" s="508">
        <v>8.7999999999999995E-2</v>
      </c>
      <c r="J4939" s="508">
        <v>8.7999999999999995E-2</v>
      </c>
      <c r="K4939" s="508">
        <v>8.7999999999999995E-2</v>
      </c>
      <c r="L4939" s="508">
        <v>8.7999999999999995E-2</v>
      </c>
      <c r="M4939" s="508">
        <v>8.7999999999999995E-2</v>
      </c>
      <c r="N4939" s="508">
        <v>8.7999999999999995E-2</v>
      </c>
      <c r="O4939" s="508">
        <v>8.7999999999999995E-2</v>
      </c>
      <c r="P4939" s="508">
        <v>8.7999999999999995E-2</v>
      </c>
      <c r="Q4939" s="508">
        <v>8.7999999999999995E-2</v>
      </c>
      <c r="R4939" s="508">
        <v>8.7999999999999995E-2</v>
      </c>
      <c r="S4939" s="508">
        <v>8.7999999999999995E-2</v>
      </c>
      <c r="T4939" s="508">
        <v>8.7999999999999995E-2</v>
      </c>
      <c r="U4939" s="508">
        <v>8.7999999999999995E-2</v>
      </c>
      <c r="V4939" s="508">
        <v>8.7999999999999995E-2</v>
      </c>
      <c r="W4939" s="508">
        <v>8.7999999999999995E-2</v>
      </c>
      <c r="X4939" s="508">
        <v>8.7999999999999995E-2</v>
      </c>
      <c r="Y4939" s="508">
        <v>8.7999999999999995E-2</v>
      </c>
      <c r="Z4939" s="508">
        <v>8.7999999999999995E-2</v>
      </c>
      <c r="AA4939" s="508">
        <v>8.7999999999999995E-2</v>
      </c>
      <c r="AB4939" s="508">
        <v>8.7999999999999995E-2</v>
      </c>
      <c r="AC4939" s="508">
        <v>8.7999999999999995E-2</v>
      </c>
      <c r="AD4939" s="508">
        <v>8.7999999999999995E-2</v>
      </c>
      <c r="AE4939" s="508">
        <v>8.7999999999999995E-2</v>
      </c>
      <c r="AF4939" s="508">
        <v>8.7999999999999995E-2</v>
      </c>
      <c r="AG4939" s="508">
        <v>8.7999999999999995E-2</v>
      </c>
      <c r="AH4939" s="508">
        <v>8.7999999999999995E-2</v>
      </c>
      <c r="AI4939" s="492">
        <v>8.7999999999999995E-2</v>
      </c>
      <c r="AJ4939" s="485"/>
    </row>
    <row r="4940" spans="2:36">
      <c r="B4940" s="136" t="s">
        <v>457</v>
      </c>
      <c r="C4940" s="132" t="s">
        <v>1371</v>
      </c>
      <c r="D4940" s="132" t="s">
        <v>1379</v>
      </c>
      <c r="E4940" s="508">
        <v>7.5999999999999998E-2</v>
      </c>
      <c r="F4940" s="508">
        <v>7.5999999999999998E-2</v>
      </c>
      <c r="G4940" s="508">
        <v>7.5999999999999998E-2</v>
      </c>
      <c r="H4940" s="508">
        <v>7.5999999999999998E-2</v>
      </c>
      <c r="I4940" s="508">
        <v>7.5999999999999998E-2</v>
      </c>
      <c r="J4940" s="508">
        <v>7.5999999999999998E-2</v>
      </c>
      <c r="K4940" s="508">
        <v>7.5999999999999998E-2</v>
      </c>
      <c r="L4940" s="508">
        <v>7.5999999999999998E-2</v>
      </c>
      <c r="M4940" s="508">
        <v>7.5999999999999998E-2</v>
      </c>
      <c r="N4940" s="508">
        <v>7.5999999999999998E-2</v>
      </c>
      <c r="O4940" s="508">
        <v>7.5999999999999998E-2</v>
      </c>
      <c r="P4940" s="508">
        <v>7.5999999999999998E-2</v>
      </c>
      <c r="Q4940" s="508">
        <v>7.5999999999999998E-2</v>
      </c>
      <c r="R4940" s="508">
        <v>7.5999999999999998E-2</v>
      </c>
      <c r="S4940" s="508">
        <v>7.5999999999999998E-2</v>
      </c>
      <c r="T4940" s="508">
        <v>7.5999999999999998E-2</v>
      </c>
      <c r="U4940" s="508">
        <v>7.5999999999999998E-2</v>
      </c>
      <c r="V4940" s="508">
        <v>7.5999999999999998E-2</v>
      </c>
      <c r="W4940" s="508">
        <v>7.5999999999999998E-2</v>
      </c>
      <c r="X4940" s="508">
        <v>7.5999999999999998E-2</v>
      </c>
      <c r="Y4940" s="508">
        <v>7.5999999999999998E-2</v>
      </c>
      <c r="Z4940" s="508">
        <v>7.5999999999999998E-2</v>
      </c>
      <c r="AA4940" s="508">
        <v>7.5999999999999998E-2</v>
      </c>
      <c r="AB4940" s="508">
        <v>7.5999999999999998E-2</v>
      </c>
      <c r="AC4940" s="508">
        <v>7.5999999999999998E-2</v>
      </c>
      <c r="AD4940" s="508">
        <v>7.5999999999999998E-2</v>
      </c>
      <c r="AE4940" s="508">
        <v>7.5999999999999998E-2</v>
      </c>
      <c r="AF4940" s="508">
        <v>7.5999999999999998E-2</v>
      </c>
      <c r="AG4940" s="508">
        <v>7.5999999999999998E-2</v>
      </c>
      <c r="AH4940" s="508">
        <v>7.5999999999999998E-2</v>
      </c>
      <c r="AI4940" s="492">
        <v>7.5999999999999998E-2</v>
      </c>
      <c r="AJ4940" s="485"/>
    </row>
    <row r="4941" spans="2:36">
      <c r="B4941" s="136" t="s">
        <v>458</v>
      </c>
      <c r="C4941" s="132" t="s">
        <v>1371</v>
      </c>
      <c r="D4941" s="132" t="s">
        <v>1379</v>
      </c>
      <c r="E4941" s="508">
        <v>0.09</v>
      </c>
      <c r="F4941" s="508">
        <v>0.09</v>
      </c>
      <c r="G4941" s="508">
        <v>0.09</v>
      </c>
      <c r="H4941" s="508">
        <v>0.09</v>
      </c>
      <c r="I4941" s="508">
        <v>0.09</v>
      </c>
      <c r="J4941" s="508">
        <v>0.09</v>
      </c>
      <c r="K4941" s="508">
        <v>0.09</v>
      </c>
      <c r="L4941" s="508">
        <v>0.09</v>
      </c>
      <c r="M4941" s="508">
        <v>0.09</v>
      </c>
      <c r="N4941" s="508">
        <v>0.09</v>
      </c>
      <c r="O4941" s="508">
        <v>0.09</v>
      </c>
      <c r="P4941" s="508">
        <v>0.09</v>
      </c>
      <c r="Q4941" s="508">
        <v>0.09</v>
      </c>
      <c r="R4941" s="508">
        <v>0.09</v>
      </c>
      <c r="S4941" s="508">
        <v>0.09</v>
      </c>
      <c r="T4941" s="508">
        <v>0.09</v>
      </c>
      <c r="U4941" s="508">
        <v>0.09</v>
      </c>
      <c r="V4941" s="508">
        <v>0.09</v>
      </c>
      <c r="W4941" s="508">
        <v>0.09</v>
      </c>
      <c r="X4941" s="508">
        <v>0.09</v>
      </c>
      <c r="Y4941" s="508">
        <v>0.09</v>
      </c>
      <c r="Z4941" s="508">
        <v>0.09</v>
      </c>
      <c r="AA4941" s="508">
        <v>0.09</v>
      </c>
      <c r="AB4941" s="508">
        <v>0.09</v>
      </c>
      <c r="AC4941" s="508">
        <v>0.09</v>
      </c>
      <c r="AD4941" s="508">
        <v>0.09</v>
      </c>
      <c r="AE4941" s="508">
        <v>0.09</v>
      </c>
      <c r="AF4941" s="508">
        <v>0.09</v>
      </c>
      <c r="AG4941" s="508">
        <v>0.09</v>
      </c>
      <c r="AH4941" s="508">
        <v>0.09</v>
      </c>
      <c r="AI4941" s="492">
        <v>0.09</v>
      </c>
      <c r="AJ4941" s="485"/>
    </row>
    <row r="4942" spans="2:36">
      <c r="B4942" s="136" t="s">
        <v>459</v>
      </c>
      <c r="C4942" s="132" t="s">
        <v>1371</v>
      </c>
      <c r="D4942" s="132" t="s">
        <v>1379</v>
      </c>
      <c r="E4942" s="508">
        <v>0.09</v>
      </c>
      <c r="F4942" s="508">
        <v>0.09</v>
      </c>
      <c r="G4942" s="508">
        <v>0.09</v>
      </c>
      <c r="H4942" s="508">
        <v>0.09</v>
      </c>
      <c r="I4942" s="508">
        <v>0.09</v>
      </c>
      <c r="J4942" s="508">
        <v>0.09</v>
      </c>
      <c r="K4942" s="508">
        <v>0.09</v>
      </c>
      <c r="L4942" s="508">
        <v>0.09</v>
      </c>
      <c r="M4942" s="508">
        <v>0.09</v>
      </c>
      <c r="N4942" s="508">
        <v>0.09</v>
      </c>
      <c r="O4942" s="508">
        <v>0.09</v>
      </c>
      <c r="P4942" s="508">
        <v>0.09</v>
      </c>
      <c r="Q4942" s="508">
        <v>0.09</v>
      </c>
      <c r="R4942" s="508">
        <v>0.09</v>
      </c>
      <c r="S4942" s="508">
        <v>0.09</v>
      </c>
      <c r="T4942" s="508">
        <v>0.09</v>
      </c>
      <c r="U4942" s="508">
        <v>0.09</v>
      </c>
      <c r="V4942" s="508">
        <v>0.09</v>
      </c>
      <c r="W4942" s="508">
        <v>0.09</v>
      </c>
      <c r="X4942" s="508">
        <v>0.09</v>
      </c>
      <c r="Y4942" s="508">
        <v>0.09</v>
      </c>
      <c r="Z4942" s="508">
        <v>0.09</v>
      </c>
      <c r="AA4942" s="508">
        <v>0.09</v>
      </c>
      <c r="AB4942" s="508">
        <v>0.09</v>
      </c>
      <c r="AC4942" s="508">
        <v>0.09</v>
      </c>
      <c r="AD4942" s="508">
        <v>0.09</v>
      </c>
      <c r="AE4942" s="508">
        <v>0.09</v>
      </c>
      <c r="AF4942" s="508">
        <v>0.09</v>
      </c>
      <c r="AG4942" s="508">
        <v>0.09</v>
      </c>
      <c r="AH4942" s="508">
        <v>0.09</v>
      </c>
      <c r="AI4942" s="492">
        <v>0.09</v>
      </c>
      <c r="AJ4942" s="485"/>
    </row>
    <row r="4943" spans="2:36">
      <c r="B4943" s="136" t="s">
        <v>460</v>
      </c>
      <c r="C4943" s="132" t="s">
        <v>1371</v>
      </c>
      <c r="D4943" s="132" t="s">
        <v>1379</v>
      </c>
      <c r="E4943" s="508">
        <v>9.1999999999999998E-2</v>
      </c>
      <c r="F4943" s="508">
        <v>9.1999999999999998E-2</v>
      </c>
      <c r="G4943" s="508">
        <v>9.1999999999999998E-2</v>
      </c>
      <c r="H4943" s="508">
        <v>9.1999999999999998E-2</v>
      </c>
      <c r="I4943" s="508">
        <v>9.1999999999999998E-2</v>
      </c>
      <c r="J4943" s="508">
        <v>9.1999999999999998E-2</v>
      </c>
      <c r="K4943" s="508">
        <v>9.1999999999999998E-2</v>
      </c>
      <c r="L4943" s="508">
        <v>9.1999999999999998E-2</v>
      </c>
      <c r="M4943" s="508">
        <v>9.1999999999999998E-2</v>
      </c>
      <c r="N4943" s="508">
        <v>9.1999999999999998E-2</v>
      </c>
      <c r="O4943" s="508">
        <v>9.1999999999999998E-2</v>
      </c>
      <c r="P4943" s="508">
        <v>9.1999999999999998E-2</v>
      </c>
      <c r="Q4943" s="508">
        <v>9.1999999999999998E-2</v>
      </c>
      <c r="R4943" s="508">
        <v>9.1999999999999998E-2</v>
      </c>
      <c r="S4943" s="508">
        <v>9.1999999999999998E-2</v>
      </c>
      <c r="T4943" s="508">
        <v>9.1999999999999998E-2</v>
      </c>
      <c r="U4943" s="508">
        <v>9.1999999999999998E-2</v>
      </c>
      <c r="V4943" s="508">
        <v>9.1999999999999998E-2</v>
      </c>
      <c r="W4943" s="508">
        <v>9.1999999999999998E-2</v>
      </c>
      <c r="X4943" s="508">
        <v>9.1999999999999998E-2</v>
      </c>
      <c r="Y4943" s="508">
        <v>9.1999999999999998E-2</v>
      </c>
      <c r="Z4943" s="508">
        <v>9.1999999999999998E-2</v>
      </c>
      <c r="AA4943" s="508">
        <v>9.1999999999999998E-2</v>
      </c>
      <c r="AB4943" s="508">
        <v>9.1999999999999998E-2</v>
      </c>
      <c r="AC4943" s="508">
        <v>9.1999999999999998E-2</v>
      </c>
      <c r="AD4943" s="508">
        <v>9.1999999999999998E-2</v>
      </c>
      <c r="AE4943" s="508">
        <v>9.1999999999999998E-2</v>
      </c>
      <c r="AF4943" s="508">
        <v>9.1999999999999998E-2</v>
      </c>
      <c r="AG4943" s="508">
        <v>9.1999999999999998E-2</v>
      </c>
      <c r="AH4943" s="508">
        <v>9.1999999999999998E-2</v>
      </c>
      <c r="AI4943" s="492">
        <v>9.1999999999999998E-2</v>
      </c>
      <c r="AJ4943" s="485"/>
    </row>
    <row r="4944" spans="2:36">
      <c r="B4944" s="136" t="s">
        <v>461</v>
      </c>
      <c r="C4944" s="132" t="s">
        <v>1371</v>
      </c>
      <c r="D4944" s="132" t="s">
        <v>1379</v>
      </c>
      <c r="E4944" s="508">
        <v>8.7999999999999995E-2</v>
      </c>
      <c r="F4944" s="508">
        <v>8.7999999999999995E-2</v>
      </c>
      <c r="G4944" s="508">
        <v>8.7999999999999995E-2</v>
      </c>
      <c r="H4944" s="508">
        <v>8.7999999999999995E-2</v>
      </c>
      <c r="I4944" s="508">
        <v>8.7999999999999995E-2</v>
      </c>
      <c r="J4944" s="508">
        <v>8.7999999999999995E-2</v>
      </c>
      <c r="K4944" s="508">
        <v>8.7999999999999995E-2</v>
      </c>
      <c r="L4944" s="508">
        <v>8.7999999999999995E-2</v>
      </c>
      <c r="M4944" s="508">
        <v>8.7999999999999995E-2</v>
      </c>
      <c r="N4944" s="508">
        <v>8.7999999999999995E-2</v>
      </c>
      <c r="O4944" s="508">
        <v>8.7999999999999995E-2</v>
      </c>
      <c r="P4944" s="508">
        <v>8.7999999999999995E-2</v>
      </c>
      <c r="Q4944" s="508">
        <v>8.7999999999999995E-2</v>
      </c>
      <c r="R4944" s="508">
        <v>8.7999999999999995E-2</v>
      </c>
      <c r="S4944" s="508">
        <v>8.7999999999999995E-2</v>
      </c>
      <c r="T4944" s="508">
        <v>8.7999999999999995E-2</v>
      </c>
      <c r="U4944" s="508">
        <v>8.7999999999999995E-2</v>
      </c>
      <c r="V4944" s="508">
        <v>8.7999999999999995E-2</v>
      </c>
      <c r="W4944" s="508">
        <v>8.7999999999999995E-2</v>
      </c>
      <c r="X4944" s="508">
        <v>8.7999999999999995E-2</v>
      </c>
      <c r="Y4944" s="508">
        <v>8.7999999999999995E-2</v>
      </c>
      <c r="Z4944" s="508">
        <v>8.7999999999999995E-2</v>
      </c>
      <c r="AA4944" s="508">
        <v>8.7999999999999995E-2</v>
      </c>
      <c r="AB4944" s="508">
        <v>8.7999999999999995E-2</v>
      </c>
      <c r="AC4944" s="508">
        <v>8.7999999999999995E-2</v>
      </c>
      <c r="AD4944" s="508">
        <v>8.7999999999999995E-2</v>
      </c>
      <c r="AE4944" s="508">
        <v>8.7999999999999995E-2</v>
      </c>
      <c r="AF4944" s="508">
        <v>8.7999999999999995E-2</v>
      </c>
      <c r="AG4944" s="508">
        <v>8.7999999999999995E-2</v>
      </c>
      <c r="AH4944" s="508">
        <v>8.7999999999999995E-2</v>
      </c>
      <c r="AI4944" s="492">
        <v>8.7999999999999995E-2</v>
      </c>
      <c r="AJ4944" s="485"/>
    </row>
    <row r="4945" spans="2:36">
      <c r="B4945" s="136" t="s">
        <v>462</v>
      </c>
      <c r="C4945" s="132" t="s">
        <v>1371</v>
      </c>
      <c r="D4945" s="132" t="s">
        <v>1379</v>
      </c>
      <c r="E4945" s="508">
        <v>8.5000000000000006E-2</v>
      </c>
      <c r="F4945" s="508">
        <v>8.5000000000000006E-2</v>
      </c>
      <c r="G4945" s="508">
        <v>8.5000000000000006E-2</v>
      </c>
      <c r="H4945" s="508">
        <v>8.5000000000000006E-2</v>
      </c>
      <c r="I4945" s="508">
        <v>8.5000000000000006E-2</v>
      </c>
      <c r="J4945" s="508">
        <v>8.5000000000000006E-2</v>
      </c>
      <c r="K4945" s="508">
        <v>8.5000000000000006E-2</v>
      </c>
      <c r="L4945" s="508">
        <v>8.5000000000000006E-2</v>
      </c>
      <c r="M4945" s="508">
        <v>8.5000000000000006E-2</v>
      </c>
      <c r="N4945" s="508">
        <v>8.5000000000000006E-2</v>
      </c>
      <c r="O4945" s="508">
        <v>8.5000000000000006E-2</v>
      </c>
      <c r="P4945" s="508">
        <v>8.5000000000000006E-2</v>
      </c>
      <c r="Q4945" s="508">
        <v>8.5000000000000006E-2</v>
      </c>
      <c r="R4945" s="508">
        <v>8.5000000000000006E-2</v>
      </c>
      <c r="S4945" s="508">
        <v>8.5000000000000006E-2</v>
      </c>
      <c r="T4945" s="508">
        <v>8.5000000000000006E-2</v>
      </c>
      <c r="U4945" s="508">
        <v>8.5000000000000006E-2</v>
      </c>
      <c r="V4945" s="508">
        <v>8.5000000000000006E-2</v>
      </c>
      <c r="W4945" s="508">
        <v>8.5000000000000006E-2</v>
      </c>
      <c r="X4945" s="508">
        <v>8.5000000000000006E-2</v>
      </c>
      <c r="Y4945" s="508">
        <v>8.5000000000000006E-2</v>
      </c>
      <c r="Z4945" s="508">
        <v>8.5000000000000006E-2</v>
      </c>
      <c r="AA4945" s="508">
        <v>8.5000000000000006E-2</v>
      </c>
      <c r="AB4945" s="508">
        <v>8.5000000000000006E-2</v>
      </c>
      <c r="AC4945" s="508">
        <v>8.5000000000000006E-2</v>
      </c>
      <c r="AD4945" s="508">
        <v>8.5000000000000006E-2</v>
      </c>
      <c r="AE4945" s="508">
        <v>8.5000000000000006E-2</v>
      </c>
      <c r="AF4945" s="508">
        <v>8.5000000000000006E-2</v>
      </c>
      <c r="AG4945" s="508">
        <v>8.5000000000000006E-2</v>
      </c>
      <c r="AH4945" s="508">
        <v>8.5000000000000006E-2</v>
      </c>
      <c r="AI4945" s="492">
        <v>8.5000000000000006E-2</v>
      </c>
      <c r="AJ4945" s="485"/>
    </row>
    <row r="4946" spans="2:36">
      <c r="B4946" s="136" t="s">
        <v>463</v>
      </c>
      <c r="C4946" s="132" t="s">
        <v>1371</v>
      </c>
      <c r="D4946" s="132" t="s">
        <v>1379</v>
      </c>
      <c r="E4946" s="508">
        <v>7.6999999999999999E-2</v>
      </c>
      <c r="F4946" s="508">
        <v>7.6999999999999999E-2</v>
      </c>
      <c r="G4946" s="508">
        <v>7.6999999999999999E-2</v>
      </c>
      <c r="H4946" s="508">
        <v>7.6999999999999999E-2</v>
      </c>
      <c r="I4946" s="508">
        <v>7.6999999999999999E-2</v>
      </c>
      <c r="J4946" s="508">
        <v>7.6999999999999999E-2</v>
      </c>
      <c r="K4946" s="508">
        <v>7.6999999999999999E-2</v>
      </c>
      <c r="L4946" s="508">
        <v>7.6999999999999999E-2</v>
      </c>
      <c r="M4946" s="508">
        <v>7.6999999999999999E-2</v>
      </c>
      <c r="N4946" s="508">
        <v>7.6999999999999999E-2</v>
      </c>
      <c r="O4946" s="508">
        <v>7.6999999999999999E-2</v>
      </c>
      <c r="P4946" s="508">
        <v>7.6999999999999999E-2</v>
      </c>
      <c r="Q4946" s="508">
        <v>7.6999999999999999E-2</v>
      </c>
      <c r="R4946" s="508">
        <v>7.6999999999999999E-2</v>
      </c>
      <c r="S4946" s="508">
        <v>7.6999999999999999E-2</v>
      </c>
      <c r="T4946" s="508">
        <v>7.6999999999999999E-2</v>
      </c>
      <c r="U4946" s="508">
        <v>7.6999999999999999E-2</v>
      </c>
      <c r="V4946" s="508">
        <v>7.6999999999999999E-2</v>
      </c>
      <c r="W4946" s="508">
        <v>7.6999999999999999E-2</v>
      </c>
      <c r="X4946" s="508">
        <v>7.6999999999999999E-2</v>
      </c>
      <c r="Y4946" s="508">
        <v>7.6999999999999999E-2</v>
      </c>
      <c r="Z4946" s="508">
        <v>7.6999999999999999E-2</v>
      </c>
      <c r="AA4946" s="508">
        <v>7.6999999999999999E-2</v>
      </c>
      <c r="AB4946" s="508">
        <v>7.6999999999999999E-2</v>
      </c>
      <c r="AC4946" s="508">
        <v>7.6999999999999999E-2</v>
      </c>
      <c r="AD4946" s="508">
        <v>7.6999999999999999E-2</v>
      </c>
      <c r="AE4946" s="508">
        <v>7.6999999999999999E-2</v>
      </c>
      <c r="AF4946" s="508">
        <v>7.6999999999999999E-2</v>
      </c>
      <c r="AG4946" s="508">
        <v>7.6999999999999999E-2</v>
      </c>
      <c r="AH4946" s="508">
        <v>7.6999999999999999E-2</v>
      </c>
      <c r="AI4946" s="492">
        <v>7.6999999999999999E-2</v>
      </c>
      <c r="AJ4946" s="485"/>
    </row>
    <row r="4947" spans="2:36">
      <c r="B4947" s="136" t="s">
        <v>464</v>
      </c>
      <c r="C4947" s="132" t="s">
        <v>1371</v>
      </c>
      <c r="D4947" s="132" t="s">
        <v>1379</v>
      </c>
      <c r="E4947" s="508">
        <v>7.4999999999999997E-2</v>
      </c>
      <c r="F4947" s="508">
        <v>7.4999999999999997E-2</v>
      </c>
      <c r="G4947" s="508">
        <v>7.4999999999999997E-2</v>
      </c>
      <c r="H4947" s="508">
        <v>7.4999999999999997E-2</v>
      </c>
      <c r="I4947" s="508">
        <v>7.4999999999999997E-2</v>
      </c>
      <c r="J4947" s="508">
        <v>7.4999999999999997E-2</v>
      </c>
      <c r="K4947" s="508">
        <v>7.4999999999999997E-2</v>
      </c>
      <c r="L4947" s="508">
        <v>7.4999999999999997E-2</v>
      </c>
      <c r="M4947" s="508">
        <v>7.4999999999999997E-2</v>
      </c>
      <c r="N4947" s="508">
        <v>7.4999999999999997E-2</v>
      </c>
      <c r="O4947" s="508">
        <v>7.4999999999999997E-2</v>
      </c>
      <c r="P4947" s="508">
        <v>7.4999999999999997E-2</v>
      </c>
      <c r="Q4947" s="508">
        <v>7.4999999999999997E-2</v>
      </c>
      <c r="R4947" s="508">
        <v>7.4999999999999997E-2</v>
      </c>
      <c r="S4947" s="508">
        <v>7.4999999999999997E-2</v>
      </c>
      <c r="T4947" s="508">
        <v>7.4999999999999997E-2</v>
      </c>
      <c r="U4947" s="508">
        <v>7.4999999999999997E-2</v>
      </c>
      <c r="V4947" s="508">
        <v>7.4999999999999997E-2</v>
      </c>
      <c r="W4947" s="508">
        <v>7.4999999999999997E-2</v>
      </c>
      <c r="X4947" s="508">
        <v>7.4999999999999997E-2</v>
      </c>
      <c r="Y4947" s="508">
        <v>7.4999999999999997E-2</v>
      </c>
      <c r="Z4947" s="508">
        <v>7.4999999999999997E-2</v>
      </c>
      <c r="AA4947" s="508">
        <v>7.4999999999999997E-2</v>
      </c>
      <c r="AB4947" s="508">
        <v>7.4999999999999997E-2</v>
      </c>
      <c r="AC4947" s="508">
        <v>7.4999999999999997E-2</v>
      </c>
      <c r="AD4947" s="508">
        <v>7.4999999999999997E-2</v>
      </c>
      <c r="AE4947" s="508">
        <v>7.4999999999999997E-2</v>
      </c>
      <c r="AF4947" s="508">
        <v>7.4999999999999997E-2</v>
      </c>
      <c r="AG4947" s="508">
        <v>7.4999999999999997E-2</v>
      </c>
      <c r="AH4947" s="508">
        <v>7.4999999999999997E-2</v>
      </c>
      <c r="AI4947" s="492">
        <v>7.4999999999999997E-2</v>
      </c>
      <c r="AJ4947" s="485"/>
    </row>
    <row r="4948" spans="2:36">
      <c r="B4948" s="136" t="s">
        <v>465</v>
      </c>
      <c r="C4948" s="132" t="s">
        <v>1371</v>
      </c>
      <c r="D4948" s="132" t="s">
        <v>1379</v>
      </c>
      <c r="E4948" s="508">
        <v>0.08</v>
      </c>
      <c r="F4948" s="508">
        <v>0.08</v>
      </c>
      <c r="G4948" s="508">
        <v>0.08</v>
      </c>
      <c r="H4948" s="508">
        <v>0.08</v>
      </c>
      <c r="I4948" s="508">
        <v>0.08</v>
      </c>
      <c r="J4948" s="508">
        <v>0.08</v>
      </c>
      <c r="K4948" s="508">
        <v>0.08</v>
      </c>
      <c r="L4948" s="508">
        <v>0.08</v>
      </c>
      <c r="M4948" s="508">
        <v>0.08</v>
      </c>
      <c r="N4948" s="508">
        <v>0.08</v>
      </c>
      <c r="O4948" s="508">
        <v>0.08</v>
      </c>
      <c r="P4948" s="508">
        <v>0.08</v>
      </c>
      <c r="Q4948" s="508">
        <v>0.08</v>
      </c>
      <c r="R4948" s="508">
        <v>0.08</v>
      </c>
      <c r="S4948" s="508">
        <v>0.08</v>
      </c>
      <c r="T4948" s="508">
        <v>0.08</v>
      </c>
      <c r="U4948" s="508">
        <v>0.08</v>
      </c>
      <c r="V4948" s="508">
        <v>0.08</v>
      </c>
      <c r="W4948" s="508">
        <v>0.08</v>
      </c>
      <c r="X4948" s="508">
        <v>0.08</v>
      </c>
      <c r="Y4948" s="508">
        <v>0.08</v>
      </c>
      <c r="Z4948" s="508">
        <v>0.08</v>
      </c>
      <c r="AA4948" s="508">
        <v>0.08</v>
      </c>
      <c r="AB4948" s="508">
        <v>0.08</v>
      </c>
      <c r="AC4948" s="508">
        <v>0.08</v>
      </c>
      <c r="AD4948" s="508">
        <v>0.08</v>
      </c>
      <c r="AE4948" s="508">
        <v>0.08</v>
      </c>
      <c r="AF4948" s="508">
        <v>0.08</v>
      </c>
      <c r="AG4948" s="508">
        <v>0.08</v>
      </c>
      <c r="AH4948" s="508">
        <v>0.08</v>
      </c>
      <c r="AI4948" s="492">
        <v>0.08</v>
      </c>
      <c r="AJ4948" s="485"/>
    </row>
    <row r="4949" spans="2:36">
      <c r="B4949" s="136" t="s">
        <v>466</v>
      </c>
      <c r="C4949" s="132" t="s">
        <v>1371</v>
      </c>
      <c r="D4949" s="132" t="s">
        <v>1379</v>
      </c>
      <c r="E4949" s="508">
        <v>0.10100000000000001</v>
      </c>
      <c r="F4949" s="508">
        <v>0.10100000000000001</v>
      </c>
      <c r="G4949" s="508">
        <v>0.10100000000000001</v>
      </c>
      <c r="H4949" s="508">
        <v>0.10100000000000001</v>
      </c>
      <c r="I4949" s="508">
        <v>0.10100000000000001</v>
      </c>
      <c r="J4949" s="508">
        <v>0.10100000000000001</v>
      </c>
      <c r="K4949" s="508">
        <v>0.10100000000000001</v>
      </c>
      <c r="L4949" s="508">
        <v>0.10100000000000001</v>
      </c>
      <c r="M4949" s="508">
        <v>0.10100000000000001</v>
      </c>
      <c r="N4949" s="508">
        <v>0.10100000000000001</v>
      </c>
      <c r="O4949" s="508">
        <v>0.10100000000000001</v>
      </c>
      <c r="P4949" s="508">
        <v>0.10100000000000001</v>
      </c>
      <c r="Q4949" s="508">
        <v>0.10100000000000001</v>
      </c>
      <c r="R4949" s="508">
        <v>0.10100000000000001</v>
      </c>
      <c r="S4949" s="508">
        <v>0.10100000000000001</v>
      </c>
      <c r="T4949" s="508">
        <v>0.10100000000000001</v>
      </c>
      <c r="U4949" s="508">
        <v>0.10100000000000001</v>
      </c>
      <c r="V4949" s="508">
        <v>0.10100000000000001</v>
      </c>
      <c r="W4949" s="508">
        <v>0.10100000000000001</v>
      </c>
      <c r="X4949" s="508">
        <v>0.10100000000000001</v>
      </c>
      <c r="Y4949" s="508">
        <v>0.10100000000000001</v>
      </c>
      <c r="Z4949" s="508">
        <v>0.10100000000000001</v>
      </c>
      <c r="AA4949" s="508">
        <v>0.10100000000000001</v>
      </c>
      <c r="AB4949" s="508">
        <v>0.10100000000000001</v>
      </c>
      <c r="AC4949" s="508">
        <v>0.10100000000000001</v>
      </c>
      <c r="AD4949" s="508">
        <v>0.10100000000000001</v>
      </c>
      <c r="AE4949" s="508">
        <v>0.10100000000000001</v>
      </c>
      <c r="AF4949" s="508">
        <v>0.10100000000000001</v>
      </c>
      <c r="AG4949" s="508">
        <v>0.10100000000000001</v>
      </c>
      <c r="AH4949" s="508">
        <v>0.10100000000000001</v>
      </c>
      <c r="AI4949" s="492">
        <v>0.10100000000000001</v>
      </c>
      <c r="AJ4949" s="485"/>
    </row>
    <row r="4950" spans="2:36">
      <c r="B4950" s="136" t="s">
        <v>467</v>
      </c>
      <c r="C4950" s="132" t="s">
        <v>1371</v>
      </c>
      <c r="D4950" s="132" t="s">
        <v>1379</v>
      </c>
      <c r="E4950" s="508">
        <v>8.5999999999999993E-2</v>
      </c>
      <c r="F4950" s="508">
        <v>8.5999999999999993E-2</v>
      </c>
      <c r="G4950" s="508">
        <v>8.5999999999999993E-2</v>
      </c>
      <c r="H4950" s="508">
        <v>8.5999999999999993E-2</v>
      </c>
      <c r="I4950" s="508">
        <v>8.5999999999999993E-2</v>
      </c>
      <c r="J4950" s="508">
        <v>8.5999999999999993E-2</v>
      </c>
      <c r="K4950" s="508">
        <v>8.5999999999999993E-2</v>
      </c>
      <c r="L4950" s="508">
        <v>8.5999999999999993E-2</v>
      </c>
      <c r="M4950" s="508">
        <v>8.5999999999999993E-2</v>
      </c>
      <c r="N4950" s="508">
        <v>8.5999999999999993E-2</v>
      </c>
      <c r="O4950" s="508">
        <v>8.5999999999999993E-2</v>
      </c>
      <c r="P4950" s="508">
        <v>8.5999999999999993E-2</v>
      </c>
      <c r="Q4950" s="508">
        <v>8.5999999999999993E-2</v>
      </c>
      <c r="R4950" s="508">
        <v>8.5999999999999993E-2</v>
      </c>
      <c r="S4950" s="508">
        <v>8.5999999999999993E-2</v>
      </c>
      <c r="T4950" s="508">
        <v>8.5999999999999993E-2</v>
      </c>
      <c r="U4950" s="508">
        <v>8.5999999999999993E-2</v>
      </c>
      <c r="V4950" s="508">
        <v>8.5999999999999993E-2</v>
      </c>
      <c r="W4950" s="508">
        <v>8.5999999999999993E-2</v>
      </c>
      <c r="X4950" s="508">
        <v>8.5999999999999993E-2</v>
      </c>
      <c r="Y4950" s="508">
        <v>8.5999999999999993E-2</v>
      </c>
      <c r="Z4950" s="508">
        <v>8.5999999999999993E-2</v>
      </c>
      <c r="AA4950" s="508">
        <v>8.5999999999999993E-2</v>
      </c>
      <c r="AB4950" s="508">
        <v>8.5999999999999993E-2</v>
      </c>
      <c r="AC4950" s="508">
        <v>8.5999999999999993E-2</v>
      </c>
      <c r="AD4950" s="508">
        <v>8.5999999999999993E-2</v>
      </c>
      <c r="AE4950" s="508">
        <v>8.5999999999999993E-2</v>
      </c>
      <c r="AF4950" s="508">
        <v>8.5999999999999993E-2</v>
      </c>
      <c r="AG4950" s="508">
        <v>8.5999999999999993E-2</v>
      </c>
      <c r="AH4950" s="508">
        <v>8.5999999999999993E-2</v>
      </c>
      <c r="AI4950" s="492">
        <v>8.5999999999999993E-2</v>
      </c>
      <c r="AJ4950" s="485"/>
    </row>
    <row r="4951" spans="2:36">
      <c r="B4951" s="136" t="s">
        <v>468</v>
      </c>
      <c r="C4951" s="132" t="s">
        <v>1371</v>
      </c>
      <c r="D4951" s="132" t="s">
        <v>1379</v>
      </c>
      <c r="E4951" s="508">
        <v>7.2999999999999995E-2</v>
      </c>
      <c r="F4951" s="508">
        <v>7.2999999999999995E-2</v>
      </c>
      <c r="G4951" s="508">
        <v>7.2999999999999995E-2</v>
      </c>
      <c r="H4951" s="508">
        <v>7.2999999999999995E-2</v>
      </c>
      <c r="I4951" s="508">
        <v>7.2999999999999995E-2</v>
      </c>
      <c r="J4951" s="508">
        <v>7.2999999999999995E-2</v>
      </c>
      <c r="K4951" s="508">
        <v>7.2999999999999995E-2</v>
      </c>
      <c r="L4951" s="508">
        <v>7.2999999999999995E-2</v>
      </c>
      <c r="M4951" s="508">
        <v>7.2999999999999995E-2</v>
      </c>
      <c r="N4951" s="508">
        <v>7.2999999999999995E-2</v>
      </c>
      <c r="O4951" s="508">
        <v>7.2999999999999995E-2</v>
      </c>
      <c r="P4951" s="508">
        <v>7.2999999999999995E-2</v>
      </c>
      <c r="Q4951" s="508">
        <v>7.2999999999999995E-2</v>
      </c>
      <c r="R4951" s="508">
        <v>7.2999999999999995E-2</v>
      </c>
      <c r="S4951" s="508">
        <v>7.2999999999999995E-2</v>
      </c>
      <c r="T4951" s="508">
        <v>7.2999999999999995E-2</v>
      </c>
      <c r="U4951" s="508">
        <v>7.2999999999999995E-2</v>
      </c>
      <c r="V4951" s="508">
        <v>7.2999999999999995E-2</v>
      </c>
      <c r="W4951" s="508">
        <v>7.2999999999999995E-2</v>
      </c>
      <c r="X4951" s="508">
        <v>7.2999999999999995E-2</v>
      </c>
      <c r="Y4951" s="508">
        <v>7.2999999999999995E-2</v>
      </c>
      <c r="Z4951" s="508">
        <v>7.2999999999999995E-2</v>
      </c>
      <c r="AA4951" s="508">
        <v>7.2999999999999995E-2</v>
      </c>
      <c r="AB4951" s="508">
        <v>7.2999999999999995E-2</v>
      </c>
      <c r="AC4951" s="508">
        <v>7.2999999999999995E-2</v>
      </c>
      <c r="AD4951" s="508">
        <v>7.2999999999999995E-2</v>
      </c>
      <c r="AE4951" s="508">
        <v>7.2999999999999995E-2</v>
      </c>
      <c r="AF4951" s="508">
        <v>7.2999999999999995E-2</v>
      </c>
      <c r="AG4951" s="508">
        <v>7.2999999999999995E-2</v>
      </c>
      <c r="AH4951" s="508">
        <v>7.2999999999999995E-2</v>
      </c>
      <c r="AI4951" s="492">
        <v>7.2999999999999995E-2</v>
      </c>
      <c r="AJ4951" s="485"/>
    </row>
    <row r="4952" spans="2:36">
      <c r="B4952" s="136" t="s">
        <v>469</v>
      </c>
      <c r="C4952" s="132" t="s">
        <v>1371</v>
      </c>
      <c r="D4952" s="132" t="s">
        <v>1379</v>
      </c>
      <c r="E4952" s="508">
        <v>8.2000000000000003E-2</v>
      </c>
      <c r="F4952" s="508">
        <v>8.2000000000000003E-2</v>
      </c>
      <c r="G4952" s="508">
        <v>8.2000000000000003E-2</v>
      </c>
      <c r="H4952" s="508">
        <v>8.2000000000000003E-2</v>
      </c>
      <c r="I4952" s="508">
        <v>8.2000000000000003E-2</v>
      </c>
      <c r="J4952" s="508">
        <v>8.2000000000000003E-2</v>
      </c>
      <c r="K4952" s="508">
        <v>8.2000000000000003E-2</v>
      </c>
      <c r="L4952" s="508">
        <v>8.2000000000000003E-2</v>
      </c>
      <c r="M4952" s="508">
        <v>8.2000000000000003E-2</v>
      </c>
      <c r="N4952" s="508">
        <v>8.2000000000000003E-2</v>
      </c>
      <c r="O4952" s="508">
        <v>8.2000000000000003E-2</v>
      </c>
      <c r="P4952" s="508">
        <v>8.2000000000000003E-2</v>
      </c>
      <c r="Q4952" s="508">
        <v>8.2000000000000003E-2</v>
      </c>
      <c r="R4952" s="508">
        <v>8.2000000000000003E-2</v>
      </c>
      <c r="S4952" s="508">
        <v>8.2000000000000003E-2</v>
      </c>
      <c r="T4952" s="508">
        <v>8.2000000000000003E-2</v>
      </c>
      <c r="U4952" s="508">
        <v>8.2000000000000003E-2</v>
      </c>
      <c r="V4952" s="508">
        <v>8.2000000000000003E-2</v>
      </c>
      <c r="W4952" s="508">
        <v>8.2000000000000003E-2</v>
      </c>
      <c r="X4952" s="508">
        <v>8.2000000000000003E-2</v>
      </c>
      <c r="Y4952" s="508">
        <v>8.2000000000000003E-2</v>
      </c>
      <c r="Z4952" s="508">
        <v>8.2000000000000003E-2</v>
      </c>
      <c r="AA4952" s="508">
        <v>8.2000000000000003E-2</v>
      </c>
      <c r="AB4952" s="508">
        <v>8.2000000000000003E-2</v>
      </c>
      <c r="AC4952" s="508">
        <v>8.2000000000000003E-2</v>
      </c>
      <c r="AD4952" s="508">
        <v>8.2000000000000003E-2</v>
      </c>
      <c r="AE4952" s="508">
        <v>8.2000000000000003E-2</v>
      </c>
      <c r="AF4952" s="508">
        <v>8.2000000000000003E-2</v>
      </c>
      <c r="AG4952" s="508">
        <v>8.2000000000000003E-2</v>
      </c>
      <c r="AH4952" s="508">
        <v>8.2000000000000003E-2</v>
      </c>
      <c r="AI4952" s="492">
        <v>8.2000000000000003E-2</v>
      </c>
      <c r="AJ4952" s="485"/>
    </row>
    <row r="4953" spans="2:36">
      <c r="B4953" s="136" t="s">
        <v>470</v>
      </c>
      <c r="C4953" s="132" t="s">
        <v>1371</v>
      </c>
      <c r="D4953" s="132" t="s">
        <v>1379</v>
      </c>
      <c r="E4953" s="508">
        <v>9.5000000000000001E-2</v>
      </c>
      <c r="F4953" s="508">
        <v>9.5000000000000001E-2</v>
      </c>
      <c r="G4953" s="508">
        <v>9.5000000000000001E-2</v>
      </c>
      <c r="H4953" s="508">
        <v>9.5000000000000001E-2</v>
      </c>
      <c r="I4953" s="508">
        <v>9.5000000000000001E-2</v>
      </c>
      <c r="J4953" s="508">
        <v>9.5000000000000001E-2</v>
      </c>
      <c r="K4953" s="508">
        <v>9.5000000000000001E-2</v>
      </c>
      <c r="L4953" s="508">
        <v>9.5000000000000001E-2</v>
      </c>
      <c r="M4953" s="508">
        <v>9.5000000000000001E-2</v>
      </c>
      <c r="N4953" s="508">
        <v>9.5000000000000001E-2</v>
      </c>
      <c r="O4953" s="508">
        <v>9.5000000000000001E-2</v>
      </c>
      <c r="P4953" s="508">
        <v>9.5000000000000001E-2</v>
      </c>
      <c r="Q4953" s="508">
        <v>9.5000000000000001E-2</v>
      </c>
      <c r="R4953" s="508">
        <v>9.5000000000000001E-2</v>
      </c>
      <c r="S4953" s="508">
        <v>9.5000000000000001E-2</v>
      </c>
      <c r="T4953" s="508">
        <v>9.5000000000000001E-2</v>
      </c>
      <c r="U4953" s="508">
        <v>9.5000000000000001E-2</v>
      </c>
      <c r="V4953" s="508">
        <v>9.5000000000000001E-2</v>
      </c>
      <c r="W4953" s="508">
        <v>9.5000000000000001E-2</v>
      </c>
      <c r="X4953" s="508">
        <v>9.5000000000000001E-2</v>
      </c>
      <c r="Y4953" s="508">
        <v>9.5000000000000001E-2</v>
      </c>
      <c r="Z4953" s="508">
        <v>9.5000000000000001E-2</v>
      </c>
      <c r="AA4953" s="508">
        <v>9.5000000000000001E-2</v>
      </c>
      <c r="AB4953" s="508">
        <v>9.5000000000000001E-2</v>
      </c>
      <c r="AC4953" s="508">
        <v>9.5000000000000001E-2</v>
      </c>
      <c r="AD4953" s="508">
        <v>9.5000000000000001E-2</v>
      </c>
      <c r="AE4953" s="508">
        <v>9.5000000000000001E-2</v>
      </c>
      <c r="AF4953" s="508">
        <v>9.5000000000000001E-2</v>
      </c>
      <c r="AG4953" s="508">
        <v>9.5000000000000001E-2</v>
      </c>
      <c r="AH4953" s="508">
        <v>9.5000000000000001E-2</v>
      </c>
      <c r="AI4953" s="492">
        <v>9.5000000000000001E-2</v>
      </c>
      <c r="AJ4953" s="485"/>
    </row>
    <row r="4954" spans="2:36">
      <c r="B4954" s="136" t="s">
        <v>471</v>
      </c>
      <c r="C4954" s="132" t="s">
        <v>1371</v>
      </c>
      <c r="D4954" s="132" t="s">
        <v>1379</v>
      </c>
      <c r="E4954" s="508">
        <v>9.1999999999999998E-2</v>
      </c>
      <c r="F4954" s="508">
        <v>9.1999999999999998E-2</v>
      </c>
      <c r="G4954" s="508">
        <v>9.1999999999999998E-2</v>
      </c>
      <c r="H4954" s="508">
        <v>9.1999999999999998E-2</v>
      </c>
      <c r="I4954" s="508">
        <v>9.1999999999999998E-2</v>
      </c>
      <c r="J4954" s="508">
        <v>9.1999999999999998E-2</v>
      </c>
      <c r="K4954" s="508">
        <v>9.1999999999999998E-2</v>
      </c>
      <c r="L4954" s="508">
        <v>9.1999999999999998E-2</v>
      </c>
      <c r="M4954" s="508">
        <v>9.1999999999999998E-2</v>
      </c>
      <c r="N4954" s="508">
        <v>9.1999999999999998E-2</v>
      </c>
      <c r="O4954" s="508">
        <v>9.1999999999999998E-2</v>
      </c>
      <c r="P4954" s="508">
        <v>9.1999999999999998E-2</v>
      </c>
      <c r="Q4954" s="508">
        <v>9.1999999999999998E-2</v>
      </c>
      <c r="R4954" s="508">
        <v>9.1999999999999998E-2</v>
      </c>
      <c r="S4954" s="508">
        <v>9.1999999999999998E-2</v>
      </c>
      <c r="T4954" s="508">
        <v>9.1999999999999998E-2</v>
      </c>
      <c r="U4954" s="508">
        <v>9.1999999999999998E-2</v>
      </c>
      <c r="V4954" s="508">
        <v>9.1999999999999998E-2</v>
      </c>
      <c r="W4954" s="508">
        <v>9.1999999999999998E-2</v>
      </c>
      <c r="X4954" s="508">
        <v>9.1999999999999998E-2</v>
      </c>
      <c r="Y4954" s="508">
        <v>9.1999999999999998E-2</v>
      </c>
      <c r="Z4954" s="508">
        <v>9.1999999999999998E-2</v>
      </c>
      <c r="AA4954" s="508">
        <v>9.1999999999999998E-2</v>
      </c>
      <c r="AB4954" s="508">
        <v>9.1999999999999998E-2</v>
      </c>
      <c r="AC4954" s="508">
        <v>9.1999999999999998E-2</v>
      </c>
      <c r="AD4954" s="508">
        <v>9.1999999999999998E-2</v>
      </c>
      <c r="AE4954" s="508">
        <v>9.1999999999999998E-2</v>
      </c>
      <c r="AF4954" s="508">
        <v>9.1999999999999998E-2</v>
      </c>
      <c r="AG4954" s="508">
        <v>9.1999999999999998E-2</v>
      </c>
      <c r="AH4954" s="508">
        <v>9.1999999999999998E-2</v>
      </c>
      <c r="AI4954" s="492">
        <v>9.1999999999999998E-2</v>
      </c>
      <c r="AJ4954" s="485"/>
    </row>
    <row r="4955" spans="2:36">
      <c r="B4955" s="136" t="s">
        <v>472</v>
      </c>
      <c r="C4955" s="132" t="s">
        <v>1371</v>
      </c>
      <c r="D4955" s="132" t="s">
        <v>1379</v>
      </c>
      <c r="E4955" s="508">
        <v>7.5999999999999998E-2</v>
      </c>
      <c r="F4955" s="508">
        <v>7.5999999999999998E-2</v>
      </c>
      <c r="G4955" s="508">
        <v>7.5999999999999998E-2</v>
      </c>
      <c r="H4955" s="508">
        <v>7.5999999999999998E-2</v>
      </c>
      <c r="I4955" s="508">
        <v>7.5999999999999998E-2</v>
      </c>
      <c r="J4955" s="508">
        <v>7.5999999999999998E-2</v>
      </c>
      <c r="K4955" s="508">
        <v>7.5999999999999998E-2</v>
      </c>
      <c r="L4955" s="508">
        <v>7.5999999999999998E-2</v>
      </c>
      <c r="M4955" s="508">
        <v>7.5999999999999998E-2</v>
      </c>
      <c r="N4955" s="508">
        <v>7.5999999999999998E-2</v>
      </c>
      <c r="O4955" s="508">
        <v>7.5999999999999998E-2</v>
      </c>
      <c r="P4955" s="508">
        <v>7.5999999999999998E-2</v>
      </c>
      <c r="Q4955" s="508">
        <v>7.5999999999999998E-2</v>
      </c>
      <c r="R4955" s="508">
        <v>7.5999999999999998E-2</v>
      </c>
      <c r="S4955" s="508">
        <v>7.5999999999999998E-2</v>
      </c>
      <c r="T4955" s="508">
        <v>7.5999999999999998E-2</v>
      </c>
      <c r="U4955" s="508">
        <v>7.5999999999999998E-2</v>
      </c>
      <c r="V4955" s="508">
        <v>7.5999999999999998E-2</v>
      </c>
      <c r="W4955" s="508">
        <v>7.5999999999999998E-2</v>
      </c>
      <c r="X4955" s="508">
        <v>7.5999999999999998E-2</v>
      </c>
      <c r="Y4955" s="508">
        <v>7.5999999999999998E-2</v>
      </c>
      <c r="Z4955" s="508">
        <v>7.5999999999999998E-2</v>
      </c>
      <c r="AA4955" s="508">
        <v>7.5999999999999998E-2</v>
      </c>
      <c r="AB4955" s="508">
        <v>7.5999999999999998E-2</v>
      </c>
      <c r="AC4955" s="508">
        <v>7.5999999999999998E-2</v>
      </c>
      <c r="AD4955" s="508">
        <v>7.5999999999999998E-2</v>
      </c>
      <c r="AE4955" s="508">
        <v>7.5999999999999998E-2</v>
      </c>
      <c r="AF4955" s="508">
        <v>7.5999999999999998E-2</v>
      </c>
      <c r="AG4955" s="508">
        <v>7.5999999999999998E-2</v>
      </c>
      <c r="AH4955" s="508">
        <v>7.5999999999999998E-2</v>
      </c>
      <c r="AI4955" s="492">
        <v>7.5999999999999998E-2</v>
      </c>
      <c r="AJ4955" s="485"/>
    </row>
    <row r="4956" spans="2:36">
      <c r="B4956" s="136" t="s">
        <v>473</v>
      </c>
      <c r="C4956" s="132" t="s">
        <v>1371</v>
      </c>
      <c r="D4956" s="132" t="s">
        <v>1379</v>
      </c>
      <c r="E4956" s="508">
        <v>9.7000000000000003E-2</v>
      </c>
      <c r="F4956" s="508">
        <v>9.7000000000000003E-2</v>
      </c>
      <c r="G4956" s="508">
        <v>9.7000000000000003E-2</v>
      </c>
      <c r="H4956" s="508">
        <v>9.7000000000000003E-2</v>
      </c>
      <c r="I4956" s="508">
        <v>9.7000000000000003E-2</v>
      </c>
      <c r="J4956" s="508">
        <v>9.7000000000000003E-2</v>
      </c>
      <c r="K4956" s="508">
        <v>9.7000000000000003E-2</v>
      </c>
      <c r="L4956" s="508">
        <v>9.7000000000000003E-2</v>
      </c>
      <c r="M4956" s="508">
        <v>9.7000000000000003E-2</v>
      </c>
      <c r="N4956" s="508">
        <v>9.7000000000000003E-2</v>
      </c>
      <c r="O4956" s="508">
        <v>9.7000000000000003E-2</v>
      </c>
      <c r="P4956" s="508">
        <v>9.7000000000000003E-2</v>
      </c>
      <c r="Q4956" s="508">
        <v>9.7000000000000003E-2</v>
      </c>
      <c r="R4956" s="508">
        <v>9.7000000000000003E-2</v>
      </c>
      <c r="S4956" s="508">
        <v>9.7000000000000003E-2</v>
      </c>
      <c r="T4956" s="508">
        <v>9.7000000000000003E-2</v>
      </c>
      <c r="U4956" s="508">
        <v>9.7000000000000003E-2</v>
      </c>
      <c r="V4956" s="508">
        <v>9.7000000000000003E-2</v>
      </c>
      <c r="W4956" s="508">
        <v>9.7000000000000003E-2</v>
      </c>
      <c r="X4956" s="508">
        <v>9.7000000000000003E-2</v>
      </c>
      <c r="Y4956" s="508">
        <v>9.7000000000000003E-2</v>
      </c>
      <c r="Z4956" s="508">
        <v>9.7000000000000003E-2</v>
      </c>
      <c r="AA4956" s="508">
        <v>9.7000000000000003E-2</v>
      </c>
      <c r="AB4956" s="508">
        <v>9.7000000000000003E-2</v>
      </c>
      <c r="AC4956" s="508">
        <v>9.7000000000000003E-2</v>
      </c>
      <c r="AD4956" s="508">
        <v>9.7000000000000003E-2</v>
      </c>
      <c r="AE4956" s="508">
        <v>9.7000000000000003E-2</v>
      </c>
      <c r="AF4956" s="508">
        <v>9.7000000000000003E-2</v>
      </c>
      <c r="AG4956" s="508">
        <v>9.7000000000000003E-2</v>
      </c>
      <c r="AH4956" s="508">
        <v>9.7000000000000003E-2</v>
      </c>
      <c r="AI4956" s="492">
        <v>9.7000000000000003E-2</v>
      </c>
      <c r="AJ4956" s="485"/>
    </row>
    <row r="4957" spans="2:36">
      <c r="B4957" s="136" t="s">
        <v>474</v>
      </c>
      <c r="C4957" s="132" t="s">
        <v>1371</v>
      </c>
      <c r="D4957" s="132" t="s">
        <v>1379</v>
      </c>
      <c r="E4957" s="508">
        <v>8.7999999999999995E-2</v>
      </c>
      <c r="F4957" s="508">
        <v>8.7999999999999995E-2</v>
      </c>
      <c r="G4957" s="508">
        <v>8.7999999999999995E-2</v>
      </c>
      <c r="H4957" s="508">
        <v>8.7999999999999995E-2</v>
      </c>
      <c r="I4957" s="508">
        <v>8.7999999999999995E-2</v>
      </c>
      <c r="J4957" s="508">
        <v>8.7999999999999995E-2</v>
      </c>
      <c r="K4957" s="508">
        <v>8.7999999999999995E-2</v>
      </c>
      <c r="L4957" s="508">
        <v>8.7999999999999995E-2</v>
      </c>
      <c r="M4957" s="508">
        <v>8.7999999999999995E-2</v>
      </c>
      <c r="N4957" s="508">
        <v>8.7999999999999995E-2</v>
      </c>
      <c r="O4957" s="508">
        <v>8.7999999999999995E-2</v>
      </c>
      <c r="P4957" s="508">
        <v>8.7999999999999995E-2</v>
      </c>
      <c r="Q4957" s="508">
        <v>8.7999999999999995E-2</v>
      </c>
      <c r="R4957" s="508">
        <v>8.7999999999999995E-2</v>
      </c>
      <c r="S4957" s="508">
        <v>8.7999999999999995E-2</v>
      </c>
      <c r="T4957" s="508">
        <v>8.7999999999999995E-2</v>
      </c>
      <c r="U4957" s="508">
        <v>8.7999999999999995E-2</v>
      </c>
      <c r="V4957" s="508">
        <v>8.7999999999999995E-2</v>
      </c>
      <c r="W4957" s="508">
        <v>8.7999999999999995E-2</v>
      </c>
      <c r="X4957" s="508">
        <v>8.7999999999999995E-2</v>
      </c>
      <c r="Y4957" s="508">
        <v>8.7999999999999995E-2</v>
      </c>
      <c r="Z4957" s="508">
        <v>8.7999999999999995E-2</v>
      </c>
      <c r="AA4957" s="508">
        <v>8.7999999999999995E-2</v>
      </c>
      <c r="AB4957" s="508">
        <v>8.7999999999999995E-2</v>
      </c>
      <c r="AC4957" s="508">
        <v>8.7999999999999995E-2</v>
      </c>
      <c r="AD4957" s="508">
        <v>8.7999999999999995E-2</v>
      </c>
      <c r="AE4957" s="508">
        <v>8.7999999999999995E-2</v>
      </c>
      <c r="AF4957" s="508">
        <v>8.7999999999999995E-2</v>
      </c>
      <c r="AG4957" s="508">
        <v>8.7999999999999995E-2</v>
      </c>
      <c r="AH4957" s="508">
        <v>8.7999999999999995E-2</v>
      </c>
      <c r="AI4957" s="492">
        <v>8.7999999999999995E-2</v>
      </c>
      <c r="AJ4957" s="485"/>
    </row>
    <row r="4958" spans="2:36">
      <c r="B4958" s="136" t="s">
        <v>475</v>
      </c>
      <c r="C4958" s="132" t="s">
        <v>1371</v>
      </c>
      <c r="D4958" s="132" t="s">
        <v>1379</v>
      </c>
      <c r="E4958" s="508">
        <v>8.5000000000000006E-2</v>
      </c>
      <c r="F4958" s="508">
        <v>8.5000000000000006E-2</v>
      </c>
      <c r="G4958" s="508">
        <v>8.5000000000000006E-2</v>
      </c>
      <c r="H4958" s="508">
        <v>8.5000000000000006E-2</v>
      </c>
      <c r="I4958" s="508">
        <v>8.5000000000000006E-2</v>
      </c>
      <c r="J4958" s="508">
        <v>8.5000000000000006E-2</v>
      </c>
      <c r="K4958" s="508">
        <v>8.5000000000000006E-2</v>
      </c>
      <c r="L4958" s="508">
        <v>8.5000000000000006E-2</v>
      </c>
      <c r="M4958" s="508">
        <v>8.5000000000000006E-2</v>
      </c>
      <c r="N4958" s="508">
        <v>8.5000000000000006E-2</v>
      </c>
      <c r="O4958" s="508">
        <v>8.5000000000000006E-2</v>
      </c>
      <c r="P4958" s="508">
        <v>8.5000000000000006E-2</v>
      </c>
      <c r="Q4958" s="508">
        <v>8.5000000000000006E-2</v>
      </c>
      <c r="R4958" s="508">
        <v>8.5000000000000006E-2</v>
      </c>
      <c r="S4958" s="508">
        <v>8.5000000000000006E-2</v>
      </c>
      <c r="T4958" s="508">
        <v>8.5000000000000006E-2</v>
      </c>
      <c r="U4958" s="508">
        <v>8.5000000000000006E-2</v>
      </c>
      <c r="V4958" s="508">
        <v>8.5000000000000006E-2</v>
      </c>
      <c r="W4958" s="508">
        <v>8.5000000000000006E-2</v>
      </c>
      <c r="X4958" s="508">
        <v>8.5000000000000006E-2</v>
      </c>
      <c r="Y4958" s="508">
        <v>8.5000000000000006E-2</v>
      </c>
      <c r="Z4958" s="508">
        <v>8.5000000000000006E-2</v>
      </c>
      <c r="AA4958" s="508">
        <v>8.5000000000000006E-2</v>
      </c>
      <c r="AB4958" s="508">
        <v>8.5000000000000006E-2</v>
      </c>
      <c r="AC4958" s="508">
        <v>8.5000000000000006E-2</v>
      </c>
      <c r="AD4958" s="508">
        <v>8.5000000000000006E-2</v>
      </c>
      <c r="AE4958" s="508">
        <v>8.5000000000000006E-2</v>
      </c>
      <c r="AF4958" s="508">
        <v>8.5000000000000006E-2</v>
      </c>
      <c r="AG4958" s="508">
        <v>8.5000000000000006E-2</v>
      </c>
      <c r="AH4958" s="508">
        <v>8.5000000000000006E-2</v>
      </c>
      <c r="AI4958" s="492">
        <v>8.5000000000000006E-2</v>
      </c>
      <c r="AJ4958" s="485"/>
    </row>
    <row r="4959" spans="2:36">
      <c r="B4959" s="136" t="s">
        <v>476</v>
      </c>
      <c r="C4959" s="132" t="s">
        <v>1371</v>
      </c>
      <c r="D4959" s="132" t="s">
        <v>1379</v>
      </c>
      <c r="E4959" s="508">
        <v>9.1999999999999998E-2</v>
      </c>
      <c r="F4959" s="508">
        <v>9.1999999999999998E-2</v>
      </c>
      <c r="G4959" s="508">
        <v>9.1999999999999998E-2</v>
      </c>
      <c r="H4959" s="508">
        <v>9.1999999999999998E-2</v>
      </c>
      <c r="I4959" s="508">
        <v>9.1999999999999998E-2</v>
      </c>
      <c r="J4959" s="508">
        <v>9.1999999999999998E-2</v>
      </c>
      <c r="K4959" s="508">
        <v>9.1999999999999998E-2</v>
      </c>
      <c r="L4959" s="508">
        <v>9.1999999999999998E-2</v>
      </c>
      <c r="M4959" s="508">
        <v>9.1999999999999998E-2</v>
      </c>
      <c r="N4959" s="508">
        <v>9.1999999999999998E-2</v>
      </c>
      <c r="O4959" s="508">
        <v>9.1999999999999998E-2</v>
      </c>
      <c r="P4959" s="508">
        <v>9.1999999999999998E-2</v>
      </c>
      <c r="Q4959" s="508">
        <v>9.1999999999999998E-2</v>
      </c>
      <c r="R4959" s="508">
        <v>9.1999999999999998E-2</v>
      </c>
      <c r="S4959" s="508">
        <v>9.1999999999999998E-2</v>
      </c>
      <c r="T4959" s="508">
        <v>9.1999999999999998E-2</v>
      </c>
      <c r="U4959" s="508">
        <v>9.1999999999999998E-2</v>
      </c>
      <c r="V4959" s="508">
        <v>9.1999999999999998E-2</v>
      </c>
      <c r="W4959" s="508">
        <v>9.1999999999999998E-2</v>
      </c>
      <c r="X4959" s="508">
        <v>9.1999999999999998E-2</v>
      </c>
      <c r="Y4959" s="508">
        <v>9.1999999999999998E-2</v>
      </c>
      <c r="Z4959" s="508">
        <v>9.1999999999999998E-2</v>
      </c>
      <c r="AA4959" s="508">
        <v>9.1999999999999998E-2</v>
      </c>
      <c r="AB4959" s="508">
        <v>9.1999999999999998E-2</v>
      </c>
      <c r="AC4959" s="508">
        <v>9.1999999999999998E-2</v>
      </c>
      <c r="AD4959" s="508">
        <v>9.1999999999999998E-2</v>
      </c>
      <c r="AE4959" s="508">
        <v>9.1999999999999998E-2</v>
      </c>
      <c r="AF4959" s="508">
        <v>9.1999999999999998E-2</v>
      </c>
      <c r="AG4959" s="508">
        <v>9.1999999999999998E-2</v>
      </c>
      <c r="AH4959" s="508">
        <v>9.1999999999999998E-2</v>
      </c>
      <c r="AI4959" s="492">
        <v>9.1999999999999998E-2</v>
      </c>
      <c r="AJ4959" s="485"/>
    </row>
    <row r="4960" spans="2:36">
      <c r="B4960" s="136" t="s">
        <v>478</v>
      </c>
      <c r="C4960" s="132" t="s">
        <v>1371</v>
      </c>
      <c r="D4960" s="132" t="s">
        <v>1379</v>
      </c>
      <c r="E4960" s="508">
        <v>9.7000000000000003E-2</v>
      </c>
      <c r="F4960" s="508">
        <v>9.7000000000000003E-2</v>
      </c>
      <c r="G4960" s="508">
        <v>9.7000000000000003E-2</v>
      </c>
      <c r="H4960" s="508">
        <v>9.7000000000000003E-2</v>
      </c>
      <c r="I4960" s="508">
        <v>9.7000000000000003E-2</v>
      </c>
      <c r="J4960" s="508">
        <v>9.7000000000000003E-2</v>
      </c>
      <c r="K4960" s="508">
        <v>9.7000000000000003E-2</v>
      </c>
      <c r="L4960" s="508">
        <v>9.7000000000000003E-2</v>
      </c>
      <c r="M4960" s="508">
        <v>9.7000000000000003E-2</v>
      </c>
      <c r="N4960" s="508">
        <v>9.7000000000000003E-2</v>
      </c>
      <c r="O4960" s="508">
        <v>9.7000000000000003E-2</v>
      </c>
      <c r="P4960" s="508">
        <v>9.7000000000000003E-2</v>
      </c>
      <c r="Q4960" s="508">
        <v>9.7000000000000003E-2</v>
      </c>
      <c r="R4960" s="508">
        <v>9.7000000000000003E-2</v>
      </c>
      <c r="S4960" s="508">
        <v>9.7000000000000003E-2</v>
      </c>
      <c r="T4960" s="508">
        <v>9.7000000000000003E-2</v>
      </c>
      <c r="U4960" s="508">
        <v>9.7000000000000003E-2</v>
      </c>
      <c r="V4960" s="508">
        <v>9.7000000000000003E-2</v>
      </c>
      <c r="W4960" s="508">
        <v>9.7000000000000003E-2</v>
      </c>
      <c r="X4960" s="508">
        <v>9.7000000000000003E-2</v>
      </c>
      <c r="Y4960" s="508">
        <v>9.7000000000000003E-2</v>
      </c>
      <c r="Z4960" s="508">
        <v>9.7000000000000003E-2</v>
      </c>
      <c r="AA4960" s="508">
        <v>9.7000000000000003E-2</v>
      </c>
      <c r="AB4960" s="508">
        <v>9.7000000000000003E-2</v>
      </c>
      <c r="AC4960" s="508">
        <v>9.7000000000000003E-2</v>
      </c>
      <c r="AD4960" s="508">
        <v>9.7000000000000003E-2</v>
      </c>
      <c r="AE4960" s="508">
        <v>9.7000000000000003E-2</v>
      </c>
      <c r="AF4960" s="508">
        <v>9.7000000000000003E-2</v>
      </c>
      <c r="AG4960" s="508">
        <v>9.7000000000000003E-2</v>
      </c>
      <c r="AH4960" s="508">
        <v>9.7000000000000003E-2</v>
      </c>
      <c r="AI4960" s="492">
        <v>9.7000000000000003E-2</v>
      </c>
      <c r="AJ4960" s="485"/>
    </row>
    <row r="4961" spans="2:36">
      <c r="B4961" s="136" t="s">
        <v>479</v>
      </c>
      <c r="C4961" s="132" t="s">
        <v>1371</v>
      </c>
      <c r="D4961" s="132" t="s">
        <v>1379</v>
      </c>
      <c r="E4961" s="508">
        <v>8.5999999999999993E-2</v>
      </c>
      <c r="F4961" s="508">
        <v>8.5999999999999993E-2</v>
      </c>
      <c r="G4961" s="508">
        <v>8.5999999999999993E-2</v>
      </c>
      <c r="H4961" s="508">
        <v>8.5999999999999993E-2</v>
      </c>
      <c r="I4961" s="508">
        <v>8.5999999999999993E-2</v>
      </c>
      <c r="J4961" s="508">
        <v>8.5999999999999993E-2</v>
      </c>
      <c r="K4961" s="508">
        <v>8.5999999999999993E-2</v>
      </c>
      <c r="L4961" s="508">
        <v>8.5999999999999993E-2</v>
      </c>
      <c r="M4961" s="508">
        <v>8.5999999999999993E-2</v>
      </c>
      <c r="N4961" s="508">
        <v>8.5999999999999993E-2</v>
      </c>
      <c r="O4961" s="508">
        <v>8.5999999999999993E-2</v>
      </c>
      <c r="P4961" s="508">
        <v>8.5999999999999993E-2</v>
      </c>
      <c r="Q4961" s="508">
        <v>8.5999999999999993E-2</v>
      </c>
      <c r="R4961" s="508">
        <v>8.5999999999999993E-2</v>
      </c>
      <c r="S4961" s="508">
        <v>8.5999999999999993E-2</v>
      </c>
      <c r="T4961" s="508">
        <v>8.5999999999999993E-2</v>
      </c>
      <c r="U4961" s="508">
        <v>8.5999999999999993E-2</v>
      </c>
      <c r="V4961" s="508">
        <v>8.5999999999999993E-2</v>
      </c>
      <c r="W4961" s="508">
        <v>8.5999999999999993E-2</v>
      </c>
      <c r="X4961" s="508">
        <v>8.5999999999999993E-2</v>
      </c>
      <c r="Y4961" s="508">
        <v>8.5999999999999993E-2</v>
      </c>
      <c r="Z4961" s="508">
        <v>8.5999999999999993E-2</v>
      </c>
      <c r="AA4961" s="508">
        <v>8.5999999999999993E-2</v>
      </c>
      <c r="AB4961" s="508">
        <v>8.5999999999999993E-2</v>
      </c>
      <c r="AC4961" s="508">
        <v>8.5999999999999993E-2</v>
      </c>
      <c r="AD4961" s="508">
        <v>8.5999999999999993E-2</v>
      </c>
      <c r="AE4961" s="508">
        <v>8.5999999999999993E-2</v>
      </c>
      <c r="AF4961" s="508">
        <v>8.5999999999999993E-2</v>
      </c>
      <c r="AG4961" s="508">
        <v>8.5999999999999993E-2</v>
      </c>
      <c r="AH4961" s="508">
        <v>8.5999999999999993E-2</v>
      </c>
      <c r="AI4961" s="492">
        <v>8.5999999999999993E-2</v>
      </c>
      <c r="AJ4961" s="485"/>
    </row>
    <row r="4962" spans="2:36">
      <c r="B4962" s="136" t="s">
        <v>480</v>
      </c>
      <c r="C4962" s="132" t="s">
        <v>1371</v>
      </c>
      <c r="D4962" s="132" t="s">
        <v>1379</v>
      </c>
      <c r="E4962" s="508">
        <v>7.2999999999999995E-2</v>
      </c>
      <c r="F4962" s="508">
        <v>7.2999999999999995E-2</v>
      </c>
      <c r="G4962" s="508">
        <v>7.2999999999999995E-2</v>
      </c>
      <c r="H4962" s="508">
        <v>7.2999999999999995E-2</v>
      </c>
      <c r="I4962" s="508">
        <v>7.2999999999999995E-2</v>
      </c>
      <c r="J4962" s="508">
        <v>7.2999999999999995E-2</v>
      </c>
      <c r="K4962" s="508">
        <v>7.2999999999999995E-2</v>
      </c>
      <c r="L4962" s="508">
        <v>7.2999999999999995E-2</v>
      </c>
      <c r="M4962" s="508">
        <v>7.2999999999999995E-2</v>
      </c>
      <c r="N4962" s="508">
        <v>7.2999999999999995E-2</v>
      </c>
      <c r="O4962" s="508">
        <v>7.2999999999999995E-2</v>
      </c>
      <c r="P4962" s="508">
        <v>7.2999999999999995E-2</v>
      </c>
      <c r="Q4962" s="508">
        <v>7.2999999999999995E-2</v>
      </c>
      <c r="R4962" s="508">
        <v>7.2999999999999995E-2</v>
      </c>
      <c r="S4962" s="508">
        <v>7.2999999999999995E-2</v>
      </c>
      <c r="T4962" s="508">
        <v>7.2999999999999995E-2</v>
      </c>
      <c r="U4962" s="508">
        <v>7.2999999999999995E-2</v>
      </c>
      <c r="V4962" s="508">
        <v>7.2999999999999995E-2</v>
      </c>
      <c r="W4962" s="508">
        <v>7.2999999999999995E-2</v>
      </c>
      <c r="X4962" s="508">
        <v>7.2999999999999995E-2</v>
      </c>
      <c r="Y4962" s="508">
        <v>7.2999999999999995E-2</v>
      </c>
      <c r="Z4962" s="508">
        <v>7.2999999999999995E-2</v>
      </c>
      <c r="AA4962" s="508">
        <v>7.2999999999999995E-2</v>
      </c>
      <c r="AB4962" s="508">
        <v>7.2999999999999995E-2</v>
      </c>
      <c r="AC4962" s="508">
        <v>7.2999999999999995E-2</v>
      </c>
      <c r="AD4962" s="508">
        <v>7.2999999999999995E-2</v>
      </c>
      <c r="AE4962" s="508">
        <v>7.2999999999999995E-2</v>
      </c>
      <c r="AF4962" s="508">
        <v>7.2999999999999995E-2</v>
      </c>
      <c r="AG4962" s="508">
        <v>7.2999999999999995E-2</v>
      </c>
      <c r="AH4962" s="508">
        <v>7.2999999999999995E-2</v>
      </c>
      <c r="AI4962" s="492">
        <v>7.2999999999999995E-2</v>
      </c>
      <c r="AJ4962" s="485"/>
    </row>
    <row r="4963" spans="2:36">
      <c r="B4963" s="136" t="s">
        <v>481</v>
      </c>
      <c r="C4963" s="132" t="s">
        <v>1371</v>
      </c>
      <c r="D4963" s="132" t="s">
        <v>1379</v>
      </c>
      <c r="E4963" s="508">
        <v>8.8999999999999996E-2</v>
      </c>
      <c r="F4963" s="508">
        <v>8.8999999999999996E-2</v>
      </c>
      <c r="G4963" s="508">
        <v>8.8999999999999996E-2</v>
      </c>
      <c r="H4963" s="508">
        <v>8.8999999999999996E-2</v>
      </c>
      <c r="I4963" s="508">
        <v>8.8999999999999996E-2</v>
      </c>
      <c r="J4963" s="508">
        <v>8.8999999999999996E-2</v>
      </c>
      <c r="K4963" s="508">
        <v>8.8999999999999996E-2</v>
      </c>
      <c r="L4963" s="508">
        <v>8.8999999999999996E-2</v>
      </c>
      <c r="M4963" s="508">
        <v>8.8999999999999996E-2</v>
      </c>
      <c r="N4963" s="508">
        <v>8.8999999999999996E-2</v>
      </c>
      <c r="O4963" s="508">
        <v>8.8999999999999996E-2</v>
      </c>
      <c r="P4963" s="508">
        <v>8.8999999999999996E-2</v>
      </c>
      <c r="Q4963" s="508">
        <v>8.8999999999999996E-2</v>
      </c>
      <c r="R4963" s="508">
        <v>8.8999999999999996E-2</v>
      </c>
      <c r="S4963" s="508">
        <v>8.8999999999999996E-2</v>
      </c>
      <c r="T4963" s="508">
        <v>8.8999999999999996E-2</v>
      </c>
      <c r="U4963" s="508">
        <v>8.8999999999999996E-2</v>
      </c>
      <c r="V4963" s="508">
        <v>8.8999999999999996E-2</v>
      </c>
      <c r="W4963" s="508">
        <v>8.8999999999999996E-2</v>
      </c>
      <c r="X4963" s="508">
        <v>8.8999999999999996E-2</v>
      </c>
      <c r="Y4963" s="508">
        <v>8.8999999999999996E-2</v>
      </c>
      <c r="Z4963" s="508">
        <v>8.8999999999999996E-2</v>
      </c>
      <c r="AA4963" s="508">
        <v>8.8999999999999996E-2</v>
      </c>
      <c r="AB4963" s="508">
        <v>8.8999999999999996E-2</v>
      </c>
      <c r="AC4963" s="508">
        <v>8.8999999999999996E-2</v>
      </c>
      <c r="AD4963" s="508">
        <v>8.8999999999999996E-2</v>
      </c>
      <c r="AE4963" s="508">
        <v>8.8999999999999996E-2</v>
      </c>
      <c r="AF4963" s="508">
        <v>8.8999999999999996E-2</v>
      </c>
      <c r="AG4963" s="508">
        <v>8.8999999999999996E-2</v>
      </c>
      <c r="AH4963" s="508">
        <v>8.8999999999999996E-2</v>
      </c>
      <c r="AI4963" s="492">
        <v>8.8999999999999996E-2</v>
      </c>
      <c r="AJ4963" s="485"/>
    </row>
    <row r="4964" spans="2:36">
      <c r="B4964" s="136" t="s">
        <v>482</v>
      </c>
      <c r="C4964" s="132" t="s">
        <v>1371</v>
      </c>
      <c r="D4964" s="132" t="s">
        <v>1379</v>
      </c>
      <c r="E4964" s="508">
        <v>8.7999999999999995E-2</v>
      </c>
      <c r="F4964" s="508">
        <v>8.7999999999999995E-2</v>
      </c>
      <c r="G4964" s="508">
        <v>8.7999999999999995E-2</v>
      </c>
      <c r="H4964" s="508">
        <v>8.7999999999999995E-2</v>
      </c>
      <c r="I4964" s="508">
        <v>8.7999999999999995E-2</v>
      </c>
      <c r="J4964" s="508">
        <v>8.7999999999999995E-2</v>
      </c>
      <c r="K4964" s="508">
        <v>8.7999999999999995E-2</v>
      </c>
      <c r="L4964" s="508">
        <v>8.7999999999999995E-2</v>
      </c>
      <c r="M4964" s="508">
        <v>8.7999999999999995E-2</v>
      </c>
      <c r="N4964" s="508">
        <v>8.7999999999999995E-2</v>
      </c>
      <c r="O4964" s="508">
        <v>8.7999999999999995E-2</v>
      </c>
      <c r="P4964" s="508">
        <v>8.7999999999999995E-2</v>
      </c>
      <c r="Q4964" s="508">
        <v>8.7999999999999995E-2</v>
      </c>
      <c r="R4964" s="508">
        <v>8.7999999999999995E-2</v>
      </c>
      <c r="S4964" s="508">
        <v>8.7999999999999995E-2</v>
      </c>
      <c r="T4964" s="508">
        <v>8.7999999999999995E-2</v>
      </c>
      <c r="U4964" s="508">
        <v>8.7999999999999995E-2</v>
      </c>
      <c r="V4964" s="508">
        <v>8.7999999999999995E-2</v>
      </c>
      <c r="W4964" s="508">
        <v>8.7999999999999995E-2</v>
      </c>
      <c r="X4964" s="508">
        <v>8.7999999999999995E-2</v>
      </c>
      <c r="Y4964" s="508">
        <v>8.7999999999999995E-2</v>
      </c>
      <c r="Z4964" s="508">
        <v>8.7999999999999995E-2</v>
      </c>
      <c r="AA4964" s="508">
        <v>8.7999999999999995E-2</v>
      </c>
      <c r="AB4964" s="508">
        <v>8.7999999999999995E-2</v>
      </c>
      <c r="AC4964" s="508">
        <v>8.7999999999999995E-2</v>
      </c>
      <c r="AD4964" s="508">
        <v>8.7999999999999995E-2</v>
      </c>
      <c r="AE4964" s="508">
        <v>8.7999999999999995E-2</v>
      </c>
      <c r="AF4964" s="508">
        <v>8.7999999999999995E-2</v>
      </c>
      <c r="AG4964" s="508">
        <v>8.7999999999999995E-2</v>
      </c>
      <c r="AH4964" s="508">
        <v>8.7999999999999995E-2</v>
      </c>
      <c r="AI4964" s="492">
        <v>8.7999999999999995E-2</v>
      </c>
      <c r="AJ4964" s="485"/>
    </row>
    <row r="4965" spans="2:36">
      <c r="B4965" s="136" t="s">
        <v>483</v>
      </c>
      <c r="C4965" s="132" t="s">
        <v>1371</v>
      </c>
      <c r="D4965" s="132" t="s">
        <v>1379</v>
      </c>
      <c r="E4965" s="508">
        <v>9.6000000000000002E-2</v>
      </c>
      <c r="F4965" s="508">
        <v>9.6000000000000002E-2</v>
      </c>
      <c r="G4965" s="508">
        <v>9.6000000000000002E-2</v>
      </c>
      <c r="H4965" s="508">
        <v>9.6000000000000002E-2</v>
      </c>
      <c r="I4965" s="508">
        <v>9.6000000000000002E-2</v>
      </c>
      <c r="J4965" s="508">
        <v>9.6000000000000002E-2</v>
      </c>
      <c r="K4965" s="508">
        <v>9.6000000000000002E-2</v>
      </c>
      <c r="L4965" s="508">
        <v>9.6000000000000002E-2</v>
      </c>
      <c r="M4965" s="508">
        <v>9.6000000000000002E-2</v>
      </c>
      <c r="N4965" s="508">
        <v>9.6000000000000002E-2</v>
      </c>
      <c r="O4965" s="508">
        <v>9.6000000000000002E-2</v>
      </c>
      <c r="P4965" s="508">
        <v>9.6000000000000002E-2</v>
      </c>
      <c r="Q4965" s="508">
        <v>9.6000000000000002E-2</v>
      </c>
      <c r="R4965" s="508">
        <v>9.6000000000000002E-2</v>
      </c>
      <c r="S4965" s="508">
        <v>9.6000000000000002E-2</v>
      </c>
      <c r="T4965" s="508">
        <v>9.6000000000000002E-2</v>
      </c>
      <c r="U4965" s="508">
        <v>9.6000000000000002E-2</v>
      </c>
      <c r="V4965" s="508">
        <v>9.6000000000000002E-2</v>
      </c>
      <c r="W4965" s="508">
        <v>9.6000000000000002E-2</v>
      </c>
      <c r="X4965" s="508">
        <v>9.6000000000000002E-2</v>
      </c>
      <c r="Y4965" s="508">
        <v>9.6000000000000002E-2</v>
      </c>
      <c r="Z4965" s="508">
        <v>9.6000000000000002E-2</v>
      </c>
      <c r="AA4965" s="508">
        <v>9.6000000000000002E-2</v>
      </c>
      <c r="AB4965" s="508">
        <v>9.6000000000000002E-2</v>
      </c>
      <c r="AC4965" s="508">
        <v>9.6000000000000002E-2</v>
      </c>
      <c r="AD4965" s="508">
        <v>9.6000000000000002E-2</v>
      </c>
      <c r="AE4965" s="508">
        <v>9.6000000000000002E-2</v>
      </c>
      <c r="AF4965" s="508">
        <v>9.6000000000000002E-2</v>
      </c>
      <c r="AG4965" s="508">
        <v>9.6000000000000002E-2</v>
      </c>
      <c r="AH4965" s="508">
        <v>9.6000000000000002E-2</v>
      </c>
      <c r="AI4965" s="492">
        <v>9.6000000000000002E-2</v>
      </c>
      <c r="AJ4965" s="485"/>
    </row>
    <row r="4966" spans="2:36">
      <c r="B4966" s="136" t="s">
        <v>484</v>
      </c>
      <c r="C4966" s="132" t="s">
        <v>1371</v>
      </c>
      <c r="D4966" s="132" t="s">
        <v>1379</v>
      </c>
      <c r="E4966" s="508">
        <v>7.4999999999999997E-2</v>
      </c>
      <c r="F4966" s="508">
        <v>7.4999999999999997E-2</v>
      </c>
      <c r="G4966" s="508">
        <v>7.4999999999999997E-2</v>
      </c>
      <c r="H4966" s="508">
        <v>7.4999999999999997E-2</v>
      </c>
      <c r="I4966" s="508">
        <v>7.4999999999999997E-2</v>
      </c>
      <c r="J4966" s="508">
        <v>7.4999999999999997E-2</v>
      </c>
      <c r="K4966" s="508">
        <v>7.4999999999999997E-2</v>
      </c>
      <c r="L4966" s="508">
        <v>7.4999999999999997E-2</v>
      </c>
      <c r="M4966" s="508">
        <v>7.4999999999999997E-2</v>
      </c>
      <c r="N4966" s="508">
        <v>7.4999999999999997E-2</v>
      </c>
      <c r="O4966" s="508">
        <v>7.4999999999999997E-2</v>
      </c>
      <c r="P4966" s="508">
        <v>7.4999999999999997E-2</v>
      </c>
      <c r="Q4966" s="508">
        <v>7.4999999999999997E-2</v>
      </c>
      <c r="R4966" s="508">
        <v>7.4999999999999997E-2</v>
      </c>
      <c r="S4966" s="508">
        <v>7.4999999999999997E-2</v>
      </c>
      <c r="T4966" s="508">
        <v>7.4999999999999997E-2</v>
      </c>
      <c r="U4966" s="508">
        <v>7.4999999999999997E-2</v>
      </c>
      <c r="V4966" s="508">
        <v>7.4999999999999997E-2</v>
      </c>
      <c r="W4966" s="508">
        <v>7.4999999999999997E-2</v>
      </c>
      <c r="X4966" s="508">
        <v>7.4999999999999997E-2</v>
      </c>
      <c r="Y4966" s="508">
        <v>7.4999999999999997E-2</v>
      </c>
      <c r="Z4966" s="508">
        <v>7.4999999999999997E-2</v>
      </c>
      <c r="AA4966" s="508">
        <v>7.4999999999999997E-2</v>
      </c>
      <c r="AB4966" s="508">
        <v>7.4999999999999997E-2</v>
      </c>
      <c r="AC4966" s="508">
        <v>7.4999999999999997E-2</v>
      </c>
      <c r="AD4966" s="508">
        <v>7.4999999999999997E-2</v>
      </c>
      <c r="AE4966" s="508">
        <v>7.4999999999999997E-2</v>
      </c>
      <c r="AF4966" s="508">
        <v>7.4999999999999997E-2</v>
      </c>
      <c r="AG4966" s="508">
        <v>7.4999999999999997E-2</v>
      </c>
      <c r="AH4966" s="508">
        <v>7.4999999999999997E-2</v>
      </c>
      <c r="AI4966" s="492">
        <v>7.4999999999999997E-2</v>
      </c>
      <c r="AJ4966" s="485"/>
    </row>
    <row r="4967" spans="2:36">
      <c r="B4967" s="136" t="s">
        <v>486</v>
      </c>
      <c r="C4967" s="132" t="s">
        <v>1371</v>
      </c>
      <c r="D4967" s="132" t="s">
        <v>1379</v>
      </c>
      <c r="E4967" s="508">
        <v>8.8999999999999996E-2</v>
      </c>
      <c r="F4967" s="508">
        <v>8.8999999999999996E-2</v>
      </c>
      <c r="G4967" s="508">
        <v>8.8999999999999996E-2</v>
      </c>
      <c r="H4967" s="508">
        <v>8.8999999999999996E-2</v>
      </c>
      <c r="I4967" s="508">
        <v>8.8999999999999996E-2</v>
      </c>
      <c r="J4967" s="508">
        <v>8.8999999999999996E-2</v>
      </c>
      <c r="K4967" s="508">
        <v>8.8999999999999996E-2</v>
      </c>
      <c r="L4967" s="508">
        <v>8.8999999999999996E-2</v>
      </c>
      <c r="M4967" s="508">
        <v>8.8999999999999996E-2</v>
      </c>
      <c r="N4967" s="508">
        <v>8.8999999999999996E-2</v>
      </c>
      <c r="O4967" s="508">
        <v>8.8999999999999996E-2</v>
      </c>
      <c r="P4967" s="508">
        <v>8.8999999999999996E-2</v>
      </c>
      <c r="Q4967" s="508">
        <v>8.8999999999999996E-2</v>
      </c>
      <c r="R4967" s="508">
        <v>8.8999999999999996E-2</v>
      </c>
      <c r="S4967" s="508">
        <v>8.8999999999999996E-2</v>
      </c>
      <c r="T4967" s="508">
        <v>8.8999999999999996E-2</v>
      </c>
      <c r="U4967" s="508">
        <v>8.8999999999999996E-2</v>
      </c>
      <c r="V4967" s="508">
        <v>8.8999999999999996E-2</v>
      </c>
      <c r="W4967" s="508">
        <v>8.8999999999999996E-2</v>
      </c>
      <c r="X4967" s="508">
        <v>8.8999999999999996E-2</v>
      </c>
      <c r="Y4967" s="508">
        <v>8.8999999999999996E-2</v>
      </c>
      <c r="Z4967" s="508">
        <v>8.8999999999999996E-2</v>
      </c>
      <c r="AA4967" s="508">
        <v>8.8999999999999996E-2</v>
      </c>
      <c r="AB4967" s="508">
        <v>8.8999999999999996E-2</v>
      </c>
      <c r="AC4967" s="508">
        <v>8.8999999999999996E-2</v>
      </c>
      <c r="AD4967" s="508">
        <v>8.8999999999999996E-2</v>
      </c>
      <c r="AE4967" s="508">
        <v>8.8999999999999996E-2</v>
      </c>
      <c r="AF4967" s="508">
        <v>8.8999999999999996E-2</v>
      </c>
      <c r="AG4967" s="508">
        <v>8.8999999999999996E-2</v>
      </c>
      <c r="AH4967" s="508">
        <v>8.8999999999999996E-2</v>
      </c>
      <c r="AI4967" s="492">
        <v>8.8999999999999996E-2</v>
      </c>
      <c r="AJ4967" s="485"/>
    </row>
    <row r="4968" spans="2:36">
      <c r="B4968" s="136" t="s">
        <v>487</v>
      </c>
      <c r="C4968" s="132" t="s">
        <v>1371</v>
      </c>
      <c r="D4968" s="132" t="s">
        <v>1379</v>
      </c>
      <c r="E4968" s="508">
        <v>8.8999999999999996E-2</v>
      </c>
      <c r="F4968" s="508">
        <v>8.8999999999999996E-2</v>
      </c>
      <c r="G4968" s="508">
        <v>8.8999999999999996E-2</v>
      </c>
      <c r="H4968" s="508">
        <v>8.8999999999999996E-2</v>
      </c>
      <c r="I4968" s="508">
        <v>8.8999999999999996E-2</v>
      </c>
      <c r="J4968" s="508">
        <v>8.8999999999999996E-2</v>
      </c>
      <c r="K4968" s="508">
        <v>8.8999999999999996E-2</v>
      </c>
      <c r="L4968" s="508">
        <v>8.8999999999999996E-2</v>
      </c>
      <c r="M4968" s="508">
        <v>8.8999999999999996E-2</v>
      </c>
      <c r="N4968" s="508">
        <v>8.8999999999999996E-2</v>
      </c>
      <c r="O4968" s="508">
        <v>8.8999999999999996E-2</v>
      </c>
      <c r="P4968" s="508">
        <v>8.8999999999999996E-2</v>
      </c>
      <c r="Q4968" s="508">
        <v>8.8999999999999996E-2</v>
      </c>
      <c r="R4968" s="508">
        <v>8.8999999999999996E-2</v>
      </c>
      <c r="S4968" s="508">
        <v>8.8999999999999996E-2</v>
      </c>
      <c r="T4968" s="508">
        <v>8.8999999999999996E-2</v>
      </c>
      <c r="U4968" s="508">
        <v>8.8999999999999996E-2</v>
      </c>
      <c r="V4968" s="508">
        <v>8.8999999999999996E-2</v>
      </c>
      <c r="W4968" s="508">
        <v>8.8999999999999996E-2</v>
      </c>
      <c r="X4968" s="508">
        <v>8.8999999999999996E-2</v>
      </c>
      <c r="Y4968" s="508">
        <v>8.8999999999999996E-2</v>
      </c>
      <c r="Z4968" s="508">
        <v>8.8999999999999996E-2</v>
      </c>
      <c r="AA4968" s="508">
        <v>8.8999999999999996E-2</v>
      </c>
      <c r="AB4968" s="508">
        <v>8.8999999999999996E-2</v>
      </c>
      <c r="AC4968" s="508">
        <v>8.8999999999999996E-2</v>
      </c>
      <c r="AD4968" s="508">
        <v>8.8999999999999996E-2</v>
      </c>
      <c r="AE4968" s="508">
        <v>8.8999999999999996E-2</v>
      </c>
      <c r="AF4968" s="508">
        <v>8.8999999999999996E-2</v>
      </c>
      <c r="AG4968" s="508">
        <v>8.8999999999999996E-2</v>
      </c>
      <c r="AH4968" s="508">
        <v>8.8999999999999996E-2</v>
      </c>
      <c r="AI4968" s="492">
        <v>8.8999999999999996E-2</v>
      </c>
      <c r="AJ4968" s="485"/>
    </row>
    <row r="4969" spans="2:36">
      <c r="B4969" s="136" t="s">
        <v>488</v>
      </c>
      <c r="C4969" s="132" t="s">
        <v>1371</v>
      </c>
      <c r="D4969" s="132" t="s">
        <v>1379</v>
      </c>
      <c r="E4969" s="508">
        <v>7.8E-2</v>
      </c>
      <c r="F4969" s="508">
        <v>7.8E-2</v>
      </c>
      <c r="G4969" s="508">
        <v>7.8E-2</v>
      </c>
      <c r="H4969" s="508">
        <v>7.8E-2</v>
      </c>
      <c r="I4969" s="508">
        <v>7.8E-2</v>
      </c>
      <c r="J4969" s="508">
        <v>7.8E-2</v>
      </c>
      <c r="K4969" s="508">
        <v>7.8E-2</v>
      </c>
      <c r="L4969" s="508">
        <v>7.8E-2</v>
      </c>
      <c r="M4969" s="508">
        <v>7.8E-2</v>
      </c>
      <c r="N4969" s="508">
        <v>7.8E-2</v>
      </c>
      <c r="O4969" s="508">
        <v>7.8E-2</v>
      </c>
      <c r="P4969" s="508">
        <v>7.8E-2</v>
      </c>
      <c r="Q4969" s="508">
        <v>7.8E-2</v>
      </c>
      <c r="R4969" s="508">
        <v>7.8E-2</v>
      </c>
      <c r="S4969" s="508">
        <v>7.8E-2</v>
      </c>
      <c r="T4969" s="508">
        <v>7.8E-2</v>
      </c>
      <c r="U4969" s="508">
        <v>7.8E-2</v>
      </c>
      <c r="V4969" s="508">
        <v>7.8E-2</v>
      </c>
      <c r="W4969" s="508">
        <v>7.8E-2</v>
      </c>
      <c r="X4969" s="508">
        <v>7.8E-2</v>
      </c>
      <c r="Y4969" s="508">
        <v>7.8E-2</v>
      </c>
      <c r="Z4969" s="508">
        <v>7.8E-2</v>
      </c>
      <c r="AA4969" s="508">
        <v>7.8E-2</v>
      </c>
      <c r="AB4969" s="508">
        <v>7.8E-2</v>
      </c>
      <c r="AC4969" s="508">
        <v>7.8E-2</v>
      </c>
      <c r="AD4969" s="508">
        <v>7.8E-2</v>
      </c>
      <c r="AE4969" s="508">
        <v>7.8E-2</v>
      </c>
      <c r="AF4969" s="508">
        <v>7.8E-2</v>
      </c>
      <c r="AG4969" s="508">
        <v>7.8E-2</v>
      </c>
      <c r="AH4969" s="508">
        <v>7.8E-2</v>
      </c>
      <c r="AI4969" s="492">
        <v>7.8E-2</v>
      </c>
      <c r="AJ4969" s="485"/>
    </row>
    <row r="4970" spans="2:36">
      <c r="B4970" s="136" t="s">
        <v>489</v>
      </c>
      <c r="C4970" s="132" t="s">
        <v>1371</v>
      </c>
      <c r="D4970" s="132" t="s">
        <v>1379</v>
      </c>
      <c r="E4970" s="508">
        <v>8.4000000000000005E-2</v>
      </c>
      <c r="F4970" s="508">
        <v>8.4000000000000005E-2</v>
      </c>
      <c r="G4970" s="508">
        <v>8.4000000000000005E-2</v>
      </c>
      <c r="H4970" s="508">
        <v>8.4000000000000005E-2</v>
      </c>
      <c r="I4970" s="508">
        <v>8.4000000000000005E-2</v>
      </c>
      <c r="J4970" s="508">
        <v>8.4000000000000005E-2</v>
      </c>
      <c r="K4970" s="508">
        <v>8.4000000000000005E-2</v>
      </c>
      <c r="L4970" s="508">
        <v>8.4000000000000005E-2</v>
      </c>
      <c r="M4970" s="508">
        <v>8.4000000000000005E-2</v>
      </c>
      <c r="N4970" s="508">
        <v>8.4000000000000005E-2</v>
      </c>
      <c r="O4970" s="508">
        <v>8.4000000000000005E-2</v>
      </c>
      <c r="P4970" s="508">
        <v>8.4000000000000005E-2</v>
      </c>
      <c r="Q4970" s="508">
        <v>8.4000000000000005E-2</v>
      </c>
      <c r="R4970" s="508">
        <v>8.4000000000000005E-2</v>
      </c>
      <c r="S4970" s="508">
        <v>8.4000000000000005E-2</v>
      </c>
      <c r="T4970" s="508">
        <v>8.4000000000000005E-2</v>
      </c>
      <c r="U4970" s="508">
        <v>8.4000000000000005E-2</v>
      </c>
      <c r="V4970" s="508">
        <v>8.4000000000000005E-2</v>
      </c>
      <c r="W4970" s="508">
        <v>8.4000000000000005E-2</v>
      </c>
      <c r="X4970" s="508">
        <v>8.4000000000000005E-2</v>
      </c>
      <c r="Y4970" s="508">
        <v>8.4000000000000005E-2</v>
      </c>
      <c r="Z4970" s="508">
        <v>8.4000000000000005E-2</v>
      </c>
      <c r="AA4970" s="508">
        <v>8.4000000000000005E-2</v>
      </c>
      <c r="AB4970" s="508">
        <v>8.4000000000000005E-2</v>
      </c>
      <c r="AC4970" s="508">
        <v>8.4000000000000005E-2</v>
      </c>
      <c r="AD4970" s="508">
        <v>8.4000000000000005E-2</v>
      </c>
      <c r="AE4970" s="508">
        <v>8.4000000000000005E-2</v>
      </c>
      <c r="AF4970" s="508">
        <v>8.4000000000000005E-2</v>
      </c>
      <c r="AG4970" s="508">
        <v>8.4000000000000005E-2</v>
      </c>
      <c r="AH4970" s="508">
        <v>8.4000000000000005E-2</v>
      </c>
      <c r="AI4970" s="492">
        <v>8.4000000000000005E-2</v>
      </c>
      <c r="AJ4970" s="485"/>
    </row>
    <row r="4971" spans="2:36">
      <c r="B4971" s="136" t="s">
        <v>490</v>
      </c>
      <c r="C4971" s="132" t="s">
        <v>1371</v>
      </c>
      <c r="D4971" s="132" t="s">
        <v>1379</v>
      </c>
      <c r="E4971" s="508">
        <v>7.3999999999999996E-2</v>
      </c>
      <c r="F4971" s="508">
        <v>7.3999999999999996E-2</v>
      </c>
      <c r="G4971" s="508">
        <v>7.3999999999999996E-2</v>
      </c>
      <c r="H4971" s="508">
        <v>7.3999999999999996E-2</v>
      </c>
      <c r="I4971" s="508">
        <v>7.3999999999999996E-2</v>
      </c>
      <c r="J4971" s="508">
        <v>7.3999999999999996E-2</v>
      </c>
      <c r="K4971" s="508">
        <v>7.3999999999999996E-2</v>
      </c>
      <c r="L4971" s="508">
        <v>7.3999999999999996E-2</v>
      </c>
      <c r="M4971" s="508">
        <v>7.3999999999999996E-2</v>
      </c>
      <c r="N4971" s="508">
        <v>7.3999999999999996E-2</v>
      </c>
      <c r="O4971" s="508">
        <v>7.3999999999999996E-2</v>
      </c>
      <c r="P4971" s="508">
        <v>7.3999999999999996E-2</v>
      </c>
      <c r="Q4971" s="508">
        <v>7.3999999999999996E-2</v>
      </c>
      <c r="R4971" s="508">
        <v>7.3999999999999996E-2</v>
      </c>
      <c r="S4971" s="508">
        <v>7.3999999999999996E-2</v>
      </c>
      <c r="T4971" s="508">
        <v>7.3999999999999996E-2</v>
      </c>
      <c r="U4971" s="508">
        <v>7.3999999999999996E-2</v>
      </c>
      <c r="V4971" s="508">
        <v>7.3999999999999996E-2</v>
      </c>
      <c r="W4971" s="508">
        <v>7.3999999999999996E-2</v>
      </c>
      <c r="X4971" s="508">
        <v>7.3999999999999996E-2</v>
      </c>
      <c r="Y4971" s="508">
        <v>7.3999999999999996E-2</v>
      </c>
      <c r="Z4971" s="508">
        <v>7.3999999999999996E-2</v>
      </c>
      <c r="AA4971" s="508">
        <v>7.3999999999999996E-2</v>
      </c>
      <c r="AB4971" s="508">
        <v>7.3999999999999996E-2</v>
      </c>
      <c r="AC4971" s="508">
        <v>7.3999999999999996E-2</v>
      </c>
      <c r="AD4971" s="508">
        <v>7.3999999999999996E-2</v>
      </c>
      <c r="AE4971" s="508">
        <v>7.3999999999999996E-2</v>
      </c>
      <c r="AF4971" s="508">
        <v>7.3999999999999996E-2</v>
      </c>
      <c r="AG4971" s="508">
        <v>7.3999999999999996E-2</v>
      </c>
      <c r="AH4971" s="508">
        <v>7.3999999999999996E-2</v>
      </c>
      <c r="AI4971" s="492">
        <v>7.3999999999999996E-2</v>
      </c>
      <c r="AJ4971" s="485"/>
    </row>
    <row r="4972" spans="2:36">
      <c r="B4972" s="136" t="s">
        <v>435</v>
      </c>
      <c r="C4972" s="132" t="s">
        <v>1372</v>
      </c>
      <c r="D4972" s="132" t="s">
        <v>1379</v>
      </c>
      <c r="E4972" s="508">
        <v>9.0999999999999998E-2</v>
      </c>
      <c r="F4972" s="508">
        <v>9.0999999999999998E-2</v>
      </c>
      <c r="G4972" s="508">
        <v>9.0999999999999998E-2</v>
      </c>
      <c r="H4972" s="508">
        <v>9.0999999999999998E-2</v>
      </c>
      <c r="I4972" s="508">
        <v>9.0999999999999998E-2</v>
      </c>
      <c r="J4972" s="508">
        <v>9.0999999999999998E-2</v>
      </c>
      <c r="K4972" s="508">
        <v>9.0999999999999998E-2</v>
      </c>
      <c r="L4972" s="508">
        <v>9.0999999999999998E-2</v>
      </c>
      <c r="M4972" s="508">
        <v>9.0999999999999998E-2</v>
      </c>
      <c r="N4972" s="508">
        <v>9.0999999999999998E-2</v>
      </c>
      <c r="O4972" s="508">
        <v>9.0999999999999998E-2</v>
      </c>
      <c r="P4972" s="508">
        <v>9.0999999999999998E-2</v>
      </c>
      <c r="Q4972" s="508">
        <v>9.0999999999999998E-2</v>
      </c>
      <c r="R4972" s="508">
        <v>9.0999999999999998E-2</v>
      </c>
      <c r="S4972" s="508">
        <v>9.0999999999999998E-2</v>
      </c>
      <c r="T4972" s="508">
        <v>9.0999999999999998E-2</v>
      </c>
      <c r="U4972" s="508">
        <v>9.0999999999999998E-2</v>
      </c>
      <c r="V4972" s="508">
        <v>9.0999999999999998E-2</v>
      </c>
      <c r="W4972" s="508">
        <v>9.0999999999999998E-2</v>
      </c>
      <c r="X4972" s="508">
        <v>9.0999999999999998E-2</v>
      </c>
      <c r="Y4972" s="508">
        <v>9.0999999999999998E-2</v>
      </c>
      <c r="Z4972" s="508">
        <v>9.0999999999999998E-2</v>
      </c>
      <c r="AA4972" s="508">
        <v>9.0999999999999998E-2</v>
      </c>
      <c r="AB4972" s="508">
        <v>9.0999999999999998E-2</v>
      </c>
      <c r="AC4972" s="508">
        <v>9.0999999999999998E-2</v>
      </c>
      <c r="AD4972" s="508">
        <v>9.0999999999999998E-2</v>
      </c>
      <c r="AE4972" s="508">
        <v>9.0999999999999998E-2</v>
      </c>
      <c r="AF4972" s="508">
        <v>9.0999999999999998E-2</v>
      </c>
      <c r="AG4972" s="508">
        <v>9.0999999999999998E-2</v>
      </c>
      <c r="AH4972" s="508">
        <v>9.0999999999999998E-2</v>
      </c>
      <c r="AI4972" s="492">
        <v>9.0999999999999998E-2</v>
      </c>
      <c r="AJ4972" s="485"/>
    </row>
    <row r="4973" spans="2:36">
      <c r="B4973" s="136" t="s">
        <v>436</v>
      </c>
      <c r="C4973" s="132" t="s">
        <v>1372</v>
      </c>
      <c r="D4973" s="132" t="s">
        <v>1379</v>
      </c>
      <c r="E4973" s="508">
        <v>8.4000000000000005E-2</v>
      </c>
      <c r="F4973" s="508">
        <v>8.4000000000000005E-2</v>
      </c>
      <c r="G4973" s="508">
        <v>8.4000000000000005E-2</v>
      </c>
      <c r="H4973" s="508">
        <v>8.4000000000000005E-2</v>
      </c>
      <c r="I4973" s="508">
        <v>8.4000000000000005E-2</v>
      </c>
      <c r="J4973" s="508">
        <v>8.4000000000000005E-2</v>
      </c>
      <c r="K4973" s="508">
        <v>8.4000000000000005E-2</v>
      </c>
      <c r="L4973" s="508">
        <v>8.4000000000000005E-2</v>
      </c>
      <c r="M4973" s="508">
        <v>8.4000000000000005E-2</v>
      </c>
      <c r="N4973" s="508">
        <v>8.4000000000000005E-2</v>
      </c>
      <c r="O4973" s="508">
        <v>8.4000000000000005E-2</v>
      </c>
      <c r="P4973" s="508">
        <v>8.4000000000000005E-2</v>
      </c>
      <c r="Q4973" s="508">
        <v>8.4000000000000005E-2</v>
      </c>
      <c r="R4973" s="508">
        <v>8.4000000000000005E-2</v>
      </c>
      <c r="S4973" s="508">
        <v>8.4000000000000005E-2</v>
      </c>
      <c r="T4973" s="508">
        <v>8.4000000000000005E-2</v>
      </c>
      <c r="U4973" s="508">
        <v>8.4000000000000005E-2</v>
      </c>
      <c r="V4973" s="508">
        <v>8.4000000000000005E-2</v>
      </c>
      <c r="W4973" s="508">
        <v>8.4000000000000005E-2</v>
      </c>
      <c r="X4973" s="508">
        <v>8.4000000000000005E-2</v>
      </c>
      <c r="Y4973" s="508">
        <v>8.4000000000000005E-2</v>
      </c>
      <c r="Z4973" s="508">
        <v>8.4000000000000005E-2</v>
      </c>
      <c r="AA4973" s="508">
        <v>8.4000000000000005E-2</v>
      </c>
      <c r="AB4973" s="508">
        <v>8.4000000000000005E-2</v>
      </c>
      <c r="AC4973" s="508">
        <v>8.4000000000000005E-2</v>
      </c>
      <c r="AD4973" s="508">
        <v>8.4000000000000005E-2</v>
      </c>
      <c r="AE4973" s="508">
        <v>8.4000000000000005E-2</v>
      </c>
      <c r="AF4973" s="508">
        <v>8.4000000000000005E-2</v>
      </c>
      <c r="AG4973" s="508">
        <v>8.4000000000000005E-2</v>
      </c>
      <c r="AH4973" s="508">
        <v>8.4000000000000005E-2</v>
      </c>
      <c r="AI4973" s="492">
        <v>8.4000000000000005E-2</v>
      </c>
      <c r="AJ4973" s="485"/>
    </row>
    <row r="4974" spans="2:36">
      <c r="B4974" s="136" t="s">
        <v>437</v>
      </c>
      <c r="C4974" s="132" t="s">
        <v>1372</v>
      </c>
      <c r="D4974" s="132" t="s">
        <v>1379</v>
      </c>
      <c r="E4974" s="508">
        <v>9.4E-2</v>
      </c>
      <c r="F4974" s="508">
        <v>9.4E-2</v>
      </c>
      <c r="G4974" s="508">
        <v>9.4E-2</v>
      </c>
      <c r="H4974" s="508">
        <v>9.4E-2</v>
      </c>
      <c r="I4974" s="508">
        <v>9.4E-2</v>
      </c>
      <c r="J4974" s="508">
        <v>9.4E-2</v>
      </c>
      <c r="K4974" s="508">
        <v>9.4E-2</v>
      </c>
      <c r="L4974" s="508">
        <v>9.2999999999999999E-2</v>
      </c>
      <c r="M4974" s="508">
        <v>9.4E-2</v>
      </c>
      <c r="N4974" s="508">
        <v>9.4E-2</v>
      </c>
      <c r="O4974" s="508">
        <v>9.4E-2</v>
      </c>
      <c r="P4974" s="508">
        <v>9.4E-2</v>
      </c>
      <c r="Q4974" s="508">
        <v>9.4E-2</v>
      </c>
      <c r="R4974" s="508">
        <v>9.4E-2</v>
      </c>
      <c r="S4974" s="508">
        <v>9.4E-2</v>
      </c>
      <c r="T4974" s="508">
        <v>9.4E-2</v>
      </c>
      <c r="U4974" s="508">
        <v>9.4E-2</v>
      </c>
      <c r="V4974" s="508">
        <v>9.4E-2</v>
      </c>
      <c r="W4974" s="508">
        <v>9.4E-2</v>
      </c>
      <c r="X4974" s="508">
        <v>9.4E-2</v>
      </c>
      <c r="Y4974" s="508">
        <v>9.4E-2</v>
      </c>
      <c r="Z4974" s="508">
        <v>9.4E-2</v>
      </c>
      <c r="AA4974" s="508">
        <v>9.4E-2</v>
      </c>
      <c r="AB4974" s="508">
        <v>9.4E-2</v>
      </c>
      <c r="AC4974" s="508">
        <v>9.4E-2</v>
      </c>
      <c r="AD4974" s="508">
        <v>9.4E-2</v>
      </c>
      <c r="AE4974" s="508">
        <v>9.4E-2</v>
      </c>
      <c r="AF4974" s="508">
        <v>9.4E-2</v>
      </c>
      <c r="AG4974" s="508">
        <v>9.4E-2</v>
      </c>
      <c r="AH4974" s="508">
        <v>9.4E-2</v>
      </c>
      <c r="AI4974" s="492">
        <v>9.4E-2</v>
      </c>
      <c r="AJ4974" s="485"/>
    </row>
    <row r="4975" spans="2:36">
      <c r="B4975" s="136" t="s">
        <v>438</v>
      </c>
      <c r="C4975" s="132" t="s">
        <v>1372</v>
      </c>
      <c r="D4975" s="132" t="s">
        <v>1379</v>
      </c>
      <c r="E4975" s="508">
        <v>8.1000000000000003E-2</v>
      </c>
      <c r="F4975" s="508">
        <v>8.1000000000000003E-2</v>
      </c>
      <c r="G4975" s="508">
        <v>8.1000000000000003E-2</v>
      </c>
      <c r="H4975" s="508">
        <v>8.1000000000000003E-2</v>
      </c>
      <c r="I4975" s="508">
        <v>8.1000000000000003E-2</v>
      </c>
      <c r="J4975" s="508">
        <v>8.1000000000000003E-2</v>
      </c>
      <c r="K4975" s="508">
        <v>8.1000000000000003E-2</v>
      </c>
      <c r="L4975" s="508">
        <v>0.08</v>
      </c>
      <c r="M4975" s="508">
        <v>8.1000000000000003E-2</v>
      </c>
      <c r="N4975" s="508">
        <v>8.1000000000000003E-2</v>
      </c>
      <c r="O4975" s="508">
        <v>8.1000000000000003E-2</v>
      </c>
      <c r="P4975" s="508">
        <v>0.08</v>
      </c>
      <c r="Q4975" s="508">
        <v>8.1000000000000003E-2</v>
      </c>
      <c r="R4975" s="508">
        <v>0.08</v>
      </c>
      <c r="S4975" s="508">
        <v>0.08</v>
      </c>
      <c r="T4975" s="508">
        <v>0.08</v>
      </c>
      <c r="U4975" s="508">
        <v>0.08</v>
      </c>
      <c r="V4975" s="508">
        <v>0.08</v>
      </c>
      <c r="W4975" s="508">
        <v>0.08</v>
      </c>
      <c r="X4975" s="508">
        <v>8.1000000000000003E-2</v>
      </c>
      <c r="Y4975" s="508">
        <v>8.1000000000000003E-2</v>
      </c>
      <c r="Z4975" s="508">
        <v>0.08</v>
      </c>
      <c r="AA4975" s="508">
        <v>0.08</v>
      </c>
      <c r="AB4975" s="508">
        <v>0.08</v>
      </c>
      <c r="AC4975" s="508">
        <v>8.1000000000000003E-2</v>
      </c>
      <c r="AD4975" s="508">
        <v>0.08</v>
      </c>
      <c r="AE4975" s="508">
        <v>0.08</v>
      </c>
      <c r="AF4975" s="508">
        <v>0.08</v>
      </c>
      <c r="AG4975" s="508">
        <v>0.08</v>
      </c>
      <c r="AH4975" s="508">
        <v>0.08</v>
      </c>
      <c r="AI4975" s="492">
        <v>0.08</v>
      </c>
      <c r="AJ4975" s="485"/>
    </row>
    <row r="4976" spans="2:36">
      <c r="B4976" s="136" t="s">
        <v>439</v>
      </c>
      <c r="C4976" s="132" t="s">
        <v>1372</v>
      </c>
      <c r="D4976" s="132" t="s">
        <v>1379</v>
      </c>
      <c r="E4976" s="508">
        <v>9.2999999999999999E-2</v>
      </c>
      <c r="F4976" s="508">
        <v>9.2999999999999999E-2</v>
      </c>
      <c r="G4976" s="508">
        <v>9.2999999999999999E-2</v>
      </c>
      <c r="H4976" s="508">
        <v>9.2999999999999999E-2</v>
      </c>
      <c r="I4976" s="508">
        <v>9.2999999999999999E-2</v>
      </c>
      <c r="J4976" s="508">
        <v>9.2999999999999999E-2</v>
      </c>
      <c r="K4976" s="508">
        <v>9.2999999999999999E-2</v>
      </c>
      <c r="L4976" s="508">
        <v>9.1999999999999998E-2</v>
      </c>
      <c r="M4976" s="508">
        <v>9.2999999999999999E-2</v>
      </c>
      <c r="N4976" s="508">
        <v>9.2999999999999999E-2</v>
      </c>
      <c r="O4976" s="508">
        <v>9.2999999999999999E-2</v>
      </c>
      <c r="P4976" s="508">
        <v>9.2999999999999999E-2</v>
      </c>
      <c r="Q4976" s="508">
        <v>9.2999999999999999E-2</v>
      </c>
      <c r="R4976" s="508">
        <v>9.2999999999999999E-2</v>
      </c>
      <c r="S4976" s="508">
        <v>9.2999999999999999E-2</v>
      </c>
      <c r="T4976" s="508">
        <v>9.2999999999999999E-2</v>
      </c>
      <c r="U4976" s="508">
        <v>9.2999999999999999E-2</v>
      </c>
      <c r="V4976" s="508">
        <v>9.2999999999999999E-2</v>
      </c>
      <c r="W4976" s="508">
        <v>9.2999999999999999E-2</v>
      </c>
      <c r="X4976" s="508">
        <v>9.2999999999999999E-2</v>
      </c>
      <c r="Y4976" s="508">
        <v>9.2999999999999999E-2</v>
      </c>
      <c r="Z4976" s="508">
        <v>9.2999999999999999E-2</v>
      </c>
      <c r="AA4976" s="508">
        <v>9.2999999999999999E-2</v>
      </c>
      <c r="AB4976" s="508">
        <v>9.2999999999999999E-2</v>
      </c>
      <c r="AC4976" s="508">
        <v>9.2999999999999999E-2</v>
      </c>
      <c r="AD4976" s="508">
        <v>9.2999999999999999E-2</v>
      </c>
      <c r="AE4976" s="508">
        <v>9.1999999999999998E-2</v>
      </c>
      <c r="AF4976" s="508">
        <v>9.1999999999999998E-2</v>
      </c>
      <c r="AG4976" s="508">
        <v>9.1999999999999998E-2</v>
      </c>
      <c r="AH4976" s="508">
        <v>9.1999999999999998E-2</v>
      </c>
      <c r="AI4976" s="492">
        <v>9.1999999999999998E-2</v>
      </c>
      <c r="AJ4976" s="485"/>
    </row>
    <row r="4977" spans="2:36">
      <c r="B4977" s="136" t="s">
        <v>440</v>
      </c>
      <c r="C4977" s="132" t="s">
        <v>1372</v>
      </c>
      <c r="D4977" s="132" t="s">
        <v>1379</v>
      </c>
      <c r="E4977" s="508">
        <v>0.09</v>
      </c>
      <c r="F4977" s="508">
        <v>0.09</v>
      </c>
      <c r="G4977" s="508">
        <v>0.09</v>
      </c>
      <c r="H4977" s="508">
        <v>0.09</v>
      </c>
      <c r="I4977" s="508">
        <v>0.09</v>
      </c>
      <c r="J4977" s="508">
        <v>0.09</v>
      </c>
      <c r="K4977" s="508">
        <v>0.09</v>
      </c>
      <c r="L4977" s="508">
        <v>8.8999999999999996E-2</v>
      </c>
      <c r="M4977" s="508">
        <v>0.09</v>
      </c>
      <c r="N4977" s="508">
        <v>0.09</v>
      </c>
      <c r="O4977" s="508">
        <v>0.09</v>
      </c>
      <c r="P4977" s="508">
        <v>0.09</v>
      </c>
      <c r="Q4977" s="508">
        <v>0.09</v>
      </c>
      <c r="R4977" s="508">
        <v>0.09</v>
      </c>
      <c r="S4977" s="508">
        <v>0.09</v>
      </c>
      <c r="T4977" s="508">
        <v>0.09</v>
      </c>
      <c r="U4977" s="508">
        <v>0.09</v>
      </c>
      <c r="V4977" s="508">
        <v>0.09</v>
      </c>
      <c r="W4977" s="508">
        <v>0.09</v>
      </c>
      <c r="X4977" s="508">
        <v>0.09</v>
      </c>
      <c r="Y4977" s="508">
        <v>0.09</v>
      </c>
      <c r="Z4977" s="508">
        <v>0.09</v>
      </c>
      <c r="AA4977" s="508">
        <v>0.09</v>
      </c>
      <c r="AB4977" s="508">
        <v>0.09</v>
      </c>
      <c r="AC4977" s="508">
        <v>0.09</v>
      </c>
      <c r="AD4977" s="508">
        <v>0.09</v>
      </c>
      <c r="AE4977" s="508">
        <v>0.09</v>
      </c>
      <c r="AF4977" s="508">
        <v>0.09</v>
      </c>
      <c r="AG4977" s="508">
        <v>0.09</v>
      </c>
      <c r="AH4977" s="508">
        <v>0.09</v>
      </c>
      <c r="AI4977" s="492">
        <v>0.09</v>
      </c>
      <c r="AJ4977" s="485"/>
    </row>
    <row r="4978" spans="2:36">
      <c r="B4978" s="136" t="s">
        <v>441</v>
      </c>
      <c r="C4978" s="132" t="s">
        <v>1372</v>
      </c>
      <c r="D4978" s="132" t="s">
        <v>1379</v>
      </c>
      <c r="E4978" s="508">
        <v>9.2999999999999999E-2</v>
      </c>
      <c r="F4978" s="508">
        <v>9.2999999999999999E-2</v>
      </c>
      <c r="G4978" s="508">
        <v>9.2999999999999999E-2</v>
      </c>
      <c r="H4978" s="508">
        <v>9.2999999999999999E-2</v>
      </c>
      <c r="I4978" s="508">
        <v>9.2999999999999999E-2</v>
      </c>
      <c r="J4978" s="508">
        <v>9.2999999999999999E-2</v>
      </c>
      <c r="K4978" s="508">
        <v>9.2999999999999999E-2</v>
      </c>
      <c r="L4978" s="508">
        <v>9.2999999999999999E-2</v>
      </c>
      <c r="M4978" s="508">
        <v>9.2999999999999999E-2</v>
      </c>
      <c r="N4978" s="508">
        <v>9.2999999999999999E-2</v>
      </c>
      <c r="O4978" s="508">
        <v>9.2999999999999999E-2</v>
      </c>
      <c r="P4978" s="508">
        <v>9.2999999999999999E-2</v>
      </c>
      <c r="Q4978" s="508">
        <v>9.2999999999999999E-2</v>
      </c>
      <c r="R4978" s="508">
        <v>9.2999999999999999E-2</v>
      </c>
      <c r="S4978" s="508">
        <v>9.2999999999999999E-2</v>
      </c>
      <c r="T4978" s="508">
        <v>9.2999999999999999E-2</v>
      </c>
      <c r="U4978" s="508">
        <v>9.2999999999999999E-2</v>
      </c>
      <c r="V4978" s="508">
        <v>9.2999999999999999E-2</v>
      </c>
      <c r="W4978" s="508">
        <v>9.2999999999999999E-2</v>
      </c>
      <c r="X4978" s="508">
        <v>9.2999999999999999E-2</v>
      </c>
      <c r="Y4978" s="508">
        <v>9.2999999999999999E-2</v>
      </c>
      <c r="Z4978" s="508">
        <v>9.2999999999999999E-2</v>
      </c>
      <c r="AA4978" s="508">
        <v>9.2999999999999999E-2</v>
      </c>
      <c r="AB4978" s="508">
        <v>9.2999999999999999E-2</v>
      </c>
      <c r="AC4978" s="508">
        <v>9.2999999999999999E-2</v>
      </c>
      <c r="AD4978" s="508">
        <v>9.2999999999999999E-2</v>
      </c>
      <c r="AE4978" s="508">
        <v>9.2999999999999999E-2</v>
      </c>
      <c r="AF4978" s="508">
        <v>9.2999999999999999E-2</v>
      </c>
      <c r="AG4978" s="508">
        <v>9.2999999999999999E-2</v>
      </c>
      <c r="AH4978" s="508">
        <v>9.2999999999999999E-2</v>
      </c>
      <c r="AI4978" s="492">
        <v>9.2999999999999999E-2</v>
      </c>
      <c r="AJ4978" s="485"/>
    </row>
    <row r="4979" spans="2:36">
      <c r="B4979" s="136" t="s">
        <v>443</v>
      </c>
      <c r="C4979" s="132" t="s">
        <v>1372</v>
      </c>
      <c r="D4979" s="132" t="s">
        <v>1379</v>
      </c>
      <c r="E4979" s="508">
        <v>0.10100000000000001</v>
      </c>
      <c r="F4979" s="508">
        <v>0.10100000000000001</v>
      </c>
      <c r="G4979" s="508">
        <v>0.10100000000000001</v>
      </c>
      <c r="H4979" s="508">
        <v>0.10100000000000001</v>
      </c>
      <c r="I4979" s="508">
        <v>0.10100000000000001</v>
      </c>
      <c r="J4979" s="508">
        <v>0.10100000000000001</v>
      </c>
      <c r="K4979" s="508">
        <v>0.10100000000000001</v>
      </c>
      <c r="L4979" s="508">
        <v>0.10100000000000001</v>
      </c>
      <c r="M4979" s="508">
        <v>0.10100000000000001</v>
      </c>
      <c r="N4979" s="508">
        <v>0.10100000000000001</v>
      </c>
      <c r="O4979" s="508">
        <v>0.10100000000000001</v>
      </c>
      <c r="P4979" s="508">
        <v>0.10100000000000001</v>
      </c>
      <c r="Q4979" s="508">
        <v>0.10100000000000001</v>
      </c>
      <c r="R4979" s="508">
        <v>0.10100000000000001</v>
      </c>
      <c r="S4979" s="508">
        <v>0.10100000000000001</v>
      </c>
      <c r="T4979" s="508">
        <v>0.10100000000000001</v>
      </c>
      <c r="U4979" s="508">
        <v>0.10100000000000001</v>
      </c>
      <c r="V4979" s="508">
        <v>0.10100000000000001</v>
      </c>
      <c r="W4979" s="508">
        <v>0.10100000000000001</v>
      </c>
      <c r="X4979" s="508">
        <v>0.10100000000000001</v>
      </c>
      <c r="Y4979" s="508">
        <v>0.10100000000000001</v>
      </c>
      <c r="Z4979" s="508">
        <v>0.10100000000000001</v>
      </c>
      <c r="AA4979" s="508">
        <v>0.10100000000000001</v>
      </c>
      <c r="AB4979" s="508">
        <v>0.10100000000000001</v>
      </c>
      <c r="AC4979" s="508">
        <v>0.10100000000000001</v>
      </c>
      <c r="AD4979" s="508">
        <v>0.10100000000000001</v>
      </c>
      <c r="AE4979" s="508">
        <v>0.10100000000000001</v>
      </c>
      <c r="AF4979" s="508">
        <v>0.10100000000000001</v>
      </c>
      <c r="AG4979" s="508">
        <v>0.10100000000000001</v>
      </c>
      <c r="AH4979" s="508">
        <v>0.10100000000000001</v>
      </c>
      <c r="AI4979" s="492">
        <v>0.10100000000000001</v>
      </c>
      <c r="AJ4979" s="485"/>
    </row>
    <row r="4980" spans="2:36">
      <c r="B4980" s="136" t="s">
        <v>445</v>
      </c>
      <c r="C4980" s="132" t="s">
        <v>1372</v>
      </c>
      <c r="D4980" s="132" t="s">
        <v>1379</v>
      </c>
      <c r="E4980" s="508">
        <v>0.12</v>
      </c>
      <c r="F4980" s="508">
        <v>0.12</v>
      </c>
      <c r="G4980" s="508">
        <v>0.12</v>
      </c>
      <c r="H4980" s="508">
        <v>0.12</v>
      </c>
      <c r="I4980" s="508">
        <v>0.12</v>
      </c>
      <c r="J4980" s="508">
        <v>0.12</v>
      </c>
      <c r="K4980" s="508">
        <v>0.12</v>
      </c>
      <c r="L4980" s="508">
        <v>0.11899999999999999</v>
      </c>
      <c r="M4980" s="508">
        <v>0.12</v>
      </c>
      <c r="N4980" s="508">
        <v>0.12</v>
      </c>
      <c r="O4980" s="508">
        <v>0.12</v>
      </c>
      <c r="P4980" s="508">
        <v>0.12</v>
      </c>
      <c r="Q4980" s="508">
        <v>0.12</v>
      </c>
      <c r="R4980" s="508">
        <v>0.12</v>
      </c>
      <c r="S4980" s="508">
        <v>0.12</v>
      </c>
      <c r="T4980" s="508">
        <v>0.12</v>
      </c>
      <c r="U4980" s="508">
        <v>0.12</v>
      </c>
      <c r="V4980" s="508">
        <v>0.12</v>
      </c>
      <c r="W4980" s="508">
        <v>0.12</v>
      </c>
      <c r="X4980" s="508">
        <v>0.12</v>
      </c>
      <c r="Y4980" s="508">
        <v>0.12</v>
      </c>
      <c r="Z4980" s="508">
        <v>0.12</v>
      </c>
      <c r="AA4980" s="508">
        <v>0.12</v>
      </c>
      <c r="AB4980" s="508">
        <v>0.12</v>
      </c>
      <c r="AC4980" s="508">
        <v>0.12</v>
      </c>
      <c r="AD4980" s="508">
        <v>0.12</v>
      </c>
      <c r="AE4980" s="508">
        <v>0.12</v>
      </c>
      <c r="AF4980" s="508">
        <v>0.12</v>
      </c>
      <c r="AG4980" s="508">
        <v>0.12</v>
      </c>
      <c r="AH4980" s="508">
        <v>0.12</v>
      </c>
      <c r="AI4980" s="492">
        <v>0.12</v>
      </c>
      <c r="AJ4980" s="485"/>
    </row>
    <row r="4981" spans="2:36">
      <c r="B4981" s="136" t="s">
        <v>446</v>
      </c>
      <c r="C4981" s="132" t="s">
        <v>1372</v>
      </c>
      <c r="D4981" s="132" t="s">
        <v>1379</v>
      </c>
      <c r="E4981" s="508">
        <v>0.107</v>
      </c>
      <c r="F4981" s="508">
        <v>0.107</v>
      </c>
      <c r="G4981" s="508">
        <v>0.107</v>
      </c>
      <c r="H4981" s="508">
        <v>0.107</v>
      </c>
      <c r="I4981" s="508">
        <v>0.107</v>
      </c>
      <c r="J4981" s="508">
        <v>0.107</v>
      </c>
      <c r="K4981" s="508">
        <v>0.107</v>
      </c>
      <c r="L4981" s="508">
        <v>0.107</v>
      </c>
      <c r="M4981" s="508">
        <v>0.107</v>
      </c>
      <c r="N4981" s="508">
        <v>0.107</v>
      </c>
      <c r="O4981" s="508">
        <v>0.107</v>
      </c>
      <c r="P4981" s="508">
        <v>0.107</v>
      </c>
      <c r="Q4981" s="508">
        <v>0.107</v>
      </c>
      <c r="R4981" s="508">
        <v>0.107</v>
      </c>
      <c r="S4981" s="508">
        <v>0.107</v>
      </c>
      <c r="T4981" s="508">
        <v>0.107</v>
      </c>
      <c r="U4981" s="508">
        <v>0.107</v>
      </c>
      <c r="V4981" s="508">
        <v>0.107</v>
      </c>
      <c r="W4981" s="508">
        <v>0.107</v>
      </c>
      <c r="X4981" s="508">
        <v>0.107</v>
      </c>
      <c r="Y4981" s="508">
        <v>0.107</v>
      </c>
      <c r="Z4981" s="508">
        <v>0.107</v>
      </c>
      <c r="AA4981" s="508">
        <v>0.107</v>
      </c>
      <c r="AB4981" s="508">
        <v>0.107</v>
      </c>
      <c r="AC4981" s="508">
        <v>0.107</v>
      </c>
      <c r="AD4981" s="508">
        <v>0.107</v>
      </c>
      <c r="AE4981" s="508">
        <v>0.107</v>
      </c>
      <c r="AF4981" s="508">
        <v>0.107</v>
      </c>
      <c r="AG4981" s="508">
        <v>0.107</v>
      </c>
      <c r="AH4981" s="508">
        <v>0.107</v>
      </c>
      <c r="AI4981" s="492">
        <v>0.107</v>
      </c>
      <c r="AJ4981" s="485"/>
    </row>
    <row r="4982" spans="2:36">
      <c r="B4982" s="136" t="s">
        <v>448</v>
      </c>
      <c r="C4982" s="132" t="s">
        <v>1372</v>
      </c>
      <c r="D4982" s="132" t="s">
        <v>1379</v>
      </c>
      <c r="E4982" s="508">
        <v>8.5000000000000006E-2</v>
      </c>
      <c r="F4982" s="508">
        <v>8.5000000000000006E-2</v>
      </c>
      <c r="G4982" s="508">
        <v>8.5000000000000006E-2</v>
      </c>
      <c r="H4982" s="508">
        <v>8.5000000000000006E-2</v>
      </c>
      <c r="I4982" s="508">
        <v>8.5000000000000006E-2</v>
      </c>
      <c r="J4982" s="508">
        <v>8.5000000000000006E-2</v>
      </c>
      <c r="K4982" s="508">
        <v>8.5000000000000006E-2</v>
      </c>
      <c r="L4982" s="508">
        <v>8.4000000000000005E-2</v>
      </c>
      <c r="M4982" s="508">
        <v>8.5000000000000006E-2</v>
      </c>
      <c r="N4982" s="508">
        <v>8.5000000000000006E-2</v>
      </c>
      <c r="O4982" s="508">
        <v>8.5000000000000006E-2</v>
      </c>
      <c r="P4982" s="508">
        <v>8.5000000000000006E-2</v>
      </c>
      <c r="Q4982" s="508">
        <v>8.5000000000000006E-2</v>
      </c>
      <c r="R4982" s="508">
        <v>8.5000000000000006E-2</v>
      </c>
      <c r="S4982" s="508">
        <v>8.5000000000000006E-2</v>
      </c>
      <c r="T4982" s="508">
        <v>8.5000000000000006E-2</v>
      </c>
      <c r="U4982" s="508">
        <v>8.5000000000000006E-2</v>
      </c>
      <c r="V4982" s="508">
        <v>8.5000000000000006E-2</v>
      </c>
      <c r="W4982" s="508">
        <v>8.5000000000000006E-2</v>
      </c>
      <c r="X4982" s="508">
        <v>8.5000000000000006E-2</v>
      </c>
      <c r="Y4982" s="508">
        <v>8.5000000000000006E-2</v>
      </c>
      <c r="Z4982" s="508">
        <v>8.5000000000000006E-2</v>
      </c>
      <c r="AA4982" s="508">
        <v>8.5000000000000006E-2</v>
      </c>
      <c r="AB4982" s="508">
        <v>8.5000000000000006E-2</v>
      </c>
      <c r="AC4982" s="508">
        <v>8.5000000000000006E-2</v>
      </c>
      <c r="AD4982" s="508">
        <v>8.5000000000000006E-2</v>
      </c>
      <c r="AE4982" s="508">
        <v>8.5000000000000006E-2</v>
      </c>
      <c r="AF4982" s="508">
        <v>8.5000000000000006E-2</v>
      </c>
      <c r="AG4982" s="508">
        <v>8.5000000000000006E-2</v>
      </c>
      <c r="AH4982" s="508">
        <v>8.5000000000000006E-2</v>
      </c>
      <c r="AI4982" s="492">
        <v>8.5000000000000006E-2</v>
      </c>
      <c r="AJ4982" s="485"/>
    </row>
    <row r="4983" spans="2:36">
      <c r="B4983" s="136" t="s">
        <v>449</v>
      </c>
      <c r="C4983" s="132" t="s">
        <v>1372</v>
      </c>
      <c r="D4983" s="132" t="s">
        <v>1379</v>
      </c>
      <c r="E4983" s="508">
        <v>0.10299999999999999</v>
      </c>
      <c r="F4983" s="508">
        <v>0.10299999999999999</v>
      </c>
      <c r="G4983" s="508">
        <v>0.10299999999999999</v>
      </c>
      <c r="H4983" s="508">
        <v>0.10299999999999999</v>
      </c>
      <c r="I4983" s="508">
        <v>0.10299999999999999</v>
      </c>
      <c r="J4983" s="508">
        <v>0.10299999999999999</v>
      </c>
      <c r="K4983" s="508">
        <v>0.10299999999999999</v>
      </c>
      <c r="L4983" s="508">
        <v>0.10199999999999999</v>
      </c>
      <c r="M4983" s="508">
        <v>0.10299999999999999</v>
      </c>
      <c r="N4983" s="508">
        <v>0.10299999999999999</v>
      </c>
      <c r="O4983" s="508">
        <v>0.10299999999999999</v>
      </c>
      <c r="P4983" s="508">
        <v>0.10299999999999999</v>
      </c>
      <c r="Q4983" s="508">
        <v>0.10299999999999999</v>
      </c>
      <c r="R4983" s="508">
        <v>0.10299999999999999</v>
      </c>
      <c r="S4983" s="508">
        <v>0.10299999999999999</v>
      </c>
      <c r="T4983" s="508">
        <v>0.10299999999999999</v>
      </c>
      <c r="U4983" s="508">
        <v>0.10299999999999999</v>
      </c>
      <c r="V4983" s="508">
        <v>0.10299999999999999</v>
      </c>
      <c r="W4983" s="508">
        <v>0.10299999999999999</v>
      </c>
      <c r="X4983" s="508">
        <v>0.10299999999999999</v>
      </c>
      <c r="Y4983" s="508">
        <v>0.10299999999999999</v>
      </c>
      <c r="Z4983" s="508">
        <v>0.10299999999999999</v>
      </c>
      <c r="AA4983" s="508">
        <v>0.10299999999999999</v>
      </c>
      <c r="AB4983" s="508">
        <v>0.10299999999999999</v>
      </c>
      <c r="AC4983" s="508">
        <v>0.10299999999999999</v>
      </c>
      <c r="AD4983" s="508">
        <v>0.10299999999999999</v>
      </c>
      <c r="AE4983" s="508">
        <v>0.10199999999999999</v>
      </c>
      <c r="AF4983" s="508">
        <v>0.10199999999999999</v>
      </c>
      <c r="AG4983" s="508">
        <v>0.10199999999999999</v>
      </c>
      <c r="AH4983" s="508">
        <v>0.10199999999999999</v>
      </c>
      <c r="AI4983" s="492">
        <v>0.10199999999999999</v>
      </c>
      <c r="AJ4983" s="485"/>
    </row>
    <row r="4984" spans="2:36">
      <c r="B4984" s="136" t="s">
        <v>450</v>
      </c>
      <c r="C4984" s="132" t="s">
        <v>1372</v>
      </c>
      <c r="D4984" s="132" t="s">
        <v>1379</v>
      </c>
      <c r="E4984" s="508">
        <v>9.8000000000000004E-2</v>
      </c>
      <c r="F4984" s="508">
        <v>9.8000000000000004E-2</v>
      </c>
      <c r="G4984" s="508">
        <v>9.8000000000000004E-2</v>
      </c>
      <c r="H4984" s="508">
        <v>9.8000000000000004E-2</v>
      </c>
      <c r="I4984" s="508">
        <v>9.8000000000000004E-2</v>
      </c>
      <c r="J4984" s="508">
        <v>9.8000000000000004E-2</v>
      </c>
      <c r="K4984" s="508">
        <v>9.8000000000000004E-2</v>
      </c>
      <c r="L4984" s="508">
        <v>9.8000000000000004E-2</v>
      </c>
      <c r="M4984" s="508">
        <v>9.8000000000000004E-2</v>
      </c>
      <c r="N4984" s="508">
        <v>9.8000000000000004E-2</v>
      </c>
      <c r="O4984" s="508">
        <v>9.8000000000000004E-2</v>
      </c>
      <c r="P4984" s="508">
        <v>9.8000000000000004E-2</v>
      </c>
      <c r="Q4984" s="508">
        <v>9.8000000000000004E-2</v>
      </c>
      <c r="R4984" s="508">
        <v>9.8000000000000004E-2</v>
      </c>
      <c r="S4984" s="508">
        <v>9.8000000000000004E-2</v>
      </c>
      <c r="T4984" s="508">
        <v>9.8000000000000004E-2</v>
      </c>
      <c r="U4984" s="508">
        <v>9.8000000000000004E-2</v>
      </c>
      <c r="V4984" s="508">
        <v>9.8000000000000004E-2</v>
      </c>
      <c r="W4984" s="508">
        <v>9.8000000000000004E-2</v>
      </c>
      <c r="X4984" s="508">
        <v>9.8000000000000004E-2</v>
      </c>
      <c r="Y4984" s="508">
        <v>9.8000000000000004E-2</v>
      </c>
      <c r="Z4984" s="508">
        <v>9.8000000000000004E-2</v>
      </c>
      <c r="AA4984" s="508">
        <v>9.8000000000000004E-2</v>
      </c>
      <c r="AB4984" s="508">
        <v>9.8000000000000004E-2</v>
      </c>
      <c r="AC4984" s="508">
        <v>9.8000000000000004E-2</v>
      </c>
      <c r="AD4984" s="508">
        <v>9.8000000000000004E-2</v>
      </c>
      <c r="AE4984" s="508">
        <v>9.8000000000000004E-2</v>
      </c>
      <c r="AF4984" s="508">
        <v>9.8000000000000004E-2</v>
      </c>
      <c r="AG4984" s="508">
        <v>9.8000000000000004E-2</v>
      </c>
      <c r="AH4984" s="508">
        <v>9.8000000000000004E-2</v>
      </c>
      <c r="AI4984" s="492">
        <v>9.8000000000000004E-2</v>
      </c>
      <c r="AJ4984" s="485"/>
    </row>
    <row r="4985" spans="2:36">
      <c r="B4985" s="136" t="s">
        <v>451</v>
      </c>
      <c r="C4985" s="132" t="s">
        <v>1372</v>
      </c>
      <c r="D4985" s="132" t="s">
        <v>1379</v>
      </c>
      <c r="E4985" s="508">
        <v>0.109</v>
      </c>
      <c r="F4985" s="508">
        <v>0.109</v>
      </c>
      <c r="G4985" s="508">
        <v>0.109</v>
      </c>
      <c r="H4985" s="508">
        <v>0.109</v>
      </c>
      <c r="I4985" s="508">
        <v>0.109</v>
      </c>
      <c r="J4985" s="508">
        <v>0.109</v>
      </c>
      <c r="K4985" s="508">
        <v>0.109</v>
      </c>
      <c r="L4985" s="508">
        <v>0.109</v>
      </c>
      <c r="M4985" s="508">
        <v>0.109</v>
      </c>
      <c r="N4985" s="508">
        <v>0.109</v>
      </c>
      <c r="O4985" s="508">
        <v>0.109</v>
      </c>
      <c r="P4985" s="508">
        <v>0.109</v>
      </c>
      <c r="Q4985" s="508">
        <v>0.11</v>
      </c>
      <c r="R4985" s="508">
        <v>0.109</v>
      </c>
      <c r="S4985" s="508">
        <v>0.109</v>
      </c>
      <c r="T4985" s="508">
        <v>0.109</v>
      </c>
      <c r="U4985" s="508">
        <v>0.109</v>
      </c>
      <c r="V4985" s="508">
        <v>0.109</v>
      </c>
      <c r="W4985" s="508">
        <v>0.109</v>
      </c>
      <c r="X4985" s="508">
        <v>0.109</v>
      </c>
      <c r="Y4985" s="508">
        <v>0.109</v>
      </c>
      <c r="Z4985" s="508">
        <v>0.109</v>
      </c>
      <c r="AA4985" s="508">
        <v>0.109</v>
      </c>
      <c r="AB4985" s="508">
        <v>0.109</v>
      </c>
      <c r="AC4985" s="508">
        <v>0.11</v>
      </c>
      <c r="AD4985" s="508">
        <v>0.109</v>
      </c>
      <c r="AE4985" s="508">
        <v>0.109</v>
      </c>
      <c r="AF4985" s="508">
        <v>0.109</v>
      </c>
      <c r="AG4985" s="508">
        <v>0.109</v>
      </c>
      <c r="AH4985" s="508">
        <v>0.109</v>
      </c>
      <c r="AI4985" s="492">
        <v>0.109</v>
      </c>
      <c r="AJ4985" s="485"/>
    </row>
    <row r="4986" spans="2:36">
      <c r="B4986" s="136" t="s">
        <v>452</v>
      </c>
      <c r="C4986" s="132" t="s">
        <v>1372</v>
      </c>
      <c r="D4986" s="132" t="s">
        <v>1379</v>
      </c>
      <c r="E4986" s="508">
        <v>9.5000000000000001E-2</v>
      </c>
      <c r="F4986" s="508">
        <v>9.5000000000000001E-2</v>
      </c>
      <c r="G4986" s="508">
        <v>9.5000000000000001E-2</v>
      </c>
      <c r="H4986" s="508">
        <v>9.5000000000000001E-2</v>
      </c>
      <c r="I4986" s="508">
        <v>9.5000000000000001E-2</v>
      </c>
      <c r="J4986" s="508">
        <v>9.5000000000000001E-2</v>
      </c>
      <c r="K4986" s="508">
        <v>9.5000000000000001E-2</v>
      </c>
      <c r="L4986" s="508">
        <v>9.5000000000000001E-2</v>
      </c>
      <c r="M4986" s="508">
        <v>9.5000000000000001E-2</v>
      </c>
      <c r="N4986" s="508">
        <v>9.5000000000000001E-2</v>
      </c>
      <c r="O4986" s="508">
        <v>9.5000000000000001E-2</v>
      </c>
      <c r="P4986" s="508">
        <v>9.5000000000000001E-2</v>
      </c>
      <c r="Q4986" s="508">
        <v>9.5000000000000001E-2</v>
      </c>
      <c r="R4986" s="508">
        <v>9.5000000000000001E-2</v>
      </c>
      <c r="S4986" s="508">
        <v>9.5000000000000001E-2</v>
      </c>
      <c r="T4986" s="508">
        <v>9.5000000000000001E-2</v>
      </c>
      <c r="U4986" s="508">
        <v>9.5000000000000001E-2</v>
      </c>
      <c r="V4986" s="508">
        <v>9.5000000000000001E-2</v>
      </c>
      <c r="W4986" s="508">
        <v>9.5000000000000001E-2</v>
      </c>
      <c r="X4986" s="508">
        <v>9.5000000000000001E-2</v>
      </c>
      <c r="Y4986" s="508">
        <v>9.5000000000000001E-2</v>
      </c>
      <c r="Z4986" s="508">
        <v>9.5000000000000001E-2</v>
      </c>
      <c r="AA4986" s="508">
        <v>9.5000000000000001E-2</v>
      </c>
      <c r="AB4986" s="508">
        <v>9.5000000000000001E-2</v>
      </c>
      <c r="AC4986" s="508">
        <v>9.5000000000000001E-2</v>
      </c>
      <c r="AD4986" s="508">
        <v>9.5000000000000001E-2</v>
      </c>
      <c r="AE4986" s="508">
        <v>9.5000000000000001E-2</v>
      </c>
      <c r="AF4986" s="508">
        <v>9.5000000000000001E-2</v>
      </c>
      <c r="AG4986" s="508">
        <v>9.5000000000000001E-2</v>
      </c>
      <c r="AH4986" s="508">
        <v>9.5000000000000001E-2</v>
      </c>
      <c r="AI4986" s="492">
        <v>9.5000000000000001E-2</v>
      </c>
      <c r="AJ4986" s="485"/>
    </row>
    <row r="4987" spans="2:36">
      <c r="B4987" s="136" t="s">
        <v>453</v>
      </c>
      <c r="C4987" s="132" t="s">
        <v>1372</v>
      </c>
      <c r="D4987" s="132" t="s">
        <v>1379</v>
      </c>
      <c r="E4987" s="508">
        <v>8.2000000000000003E-2</v>
      </c>
      <c r="F4987" s="508">
        <v>8.2000000000000003E-2</v>
      </c>
      <c r="G4987" s="508">
        <v>8.2000000000000003E-2</v>
      </c>
      <c r="H4987" s="508">
        <v>8.2000000000000003E-2</v>
      </c>
      <c r="I4987" s="508">
        <v>8.2000000000000003E-2</v>
      </c>
      <c r="J4987" s="508">
        <v>8.2000000000000003E-2</v>
      </c>
      <c r="K4987" s="508">
        <v>8.2000000000000003E-2</v>
      </c>
      <c r="L4987" s="508">
        <v>8.2000000000000003E-2</v>
      </c>
      <c r="M4987" s="508">
        <v>8.2000000000000003E-2</v>
      </c>
      <c r="N4987" s="508">
        <v>8.2000000000000003E-2</v>
      </c>
      <c r="O4987" s="508">
        <v>8.2000000000000003E-2</v>
      </c>
      <c r="P4987" s="508">
        <v>8.2000000000000003E-2</v>
      </c>
      <c r="Q4987" s="508">
        <v>8.2000000000000003E-2</v>
      </c>
      <c r="R4987" s="508">
        <v>8.2000000000000003E-2</v>
      </c>
      <c r="S4987" s="508">
        <v>8.2000000000000003E-2</v>
      </c>
      <c r="T4987" s="508">
        <v>8.2000000000000003E-2</v>
      </c>
      <c r="U4987" s="508">
        <v>8.2000000000000003E-2</v>
      </c>
      <c r="V4987" s="508">
        <v>8.2000000000000003E-2</v>
      </c>
      <c r="W4987" s="508">
        <v>8.2000000000000003E-2</v>
      </c>
      <c r="X4987" s="508">
        <v>8.2000000000000003E-2</v>
      </c>
      <c r="Y4987" s="508">
        <v>8.2000000000000003E-2</v>
      </c>
      <c r="Z4987" s="508">
        <v>8.2000000000000003E-2</v>
      </c>
      <c r="AA4987" s="508">
        <v>8.2000000000000003E-2</v>
      </c>
      <c r="AB4987" s="508">
        <v>8.2000000000000003E-2</v>
      </c>
      <c r="AC4987" s="508">
        <v>8.2000000000000003E-2</v>
      </c>
      <c r="AD4987" s="508">
        <v>8.2000000000000003E-2</v>
      </c>
      <c r="AE4987" s="508">
        <v>8.2000000000000003E-2</v>
      </c>
      <c r="AF4987" s="508">
        <v>8.2000000000000003E-2</v>
      </c>
      <c r="AG4987" s="508">
        <v>8.2000000000000003E-2</v>
      </c>
      <c r="AH4987" s="508">
        <v>8.2000000000000003E-2</v>
      </c>
      <c r="AI4987" s="492">
        <v>8.2000000000000003E-2</v>
      </c>
      <c r="AJ4987" s="485"/>
    </row>
    <row r="4988" spans="2:36">
      <c r="B4988" s="136" t="s">
        <v>454</v>
      </c>
      <c r="C4988" s="132" t="s">
        <v>1372</v>
      </c>
      <c r="D4988" s="132" t="s">
        <v>1379</v>
      </c>
      <c r="E4988" s="508">
        <v>8.5000000000000006E-2</v>
      </c>
      <c r="F4988" s="508">
        <v>8.5000000000000006E-2</v>
      </c>
      <c r="G4988" s="508">
        <v>8.5000000000000006E-2</v>
      </c>
      <c r="H4988" s="508">
        <v>8.5000000000000006E-2</v>
      </c>
      <c r="I4988" s="508">
        <v>8.5000000000000006E-2</v>
      </c>
      <c r="J4988" s="508">
        <v>8.5000000000000006E-2</v>
      </c>
      <c r="K4988" s="508">
        <v>8.5000000000000006E-2</v>
      </c>
      <c r="L4988" s="508">
        <v>8.4000000000000005E-2</v>
      </c>
      <c r="M4988" s="508">
        <v>8.5000000000000006E-2</v>
      </c>
      <c r="N4988" s="508">
        <v>8.5000000000000006E-2</v>
      </c>
      <c r="O4988" s="508">
        <v>8.5000000000000006E-2</v>
      </c>
      <c r="P4988" s="508">
        <v>8.5000000000000006E-2</v>
      </c>
      <c r="Q4988" s="508">
        <v>8.5000000000000006E-2</v>
      </c>
      <c r="R4988" s="508">
        <v>8.5000000000000006E-2</v>
      </c>
      <c r="S4988" s="508">
        <v>8.5000000000000006E-2</v>
      </c>
      <c r="T4988" s="508">
        <v>8.5000000000000006E-2</v>
      </c>
      <c r="U4988" s="508">
        <v>8.5000000000000006E-2</v>
      </c>
      <c r="V4988" s="508">
        <v>8.5000000000000006E-2</v>
      </c>
      <c r="W4988" s="508">
        <v>8.5000000000000006E-2</v>
      </c>
      <c r="X4988" s="508">
        <v>8.5000000000000006E-2</v>
      </c>
      <c r="Y4988" s="508">
        <v>8.5000000000000006E-2</v>
      </c>
      <c r="Z4988" s="508">
        <v>8.5000000000000006E-2</v>
      </c>
      <c r="AA4988" s="508">
        <v>8.5000000000000006E-2</v>
      </c>
      <c r="AB4988" s="508">
        <v>8.5000000000000006E-2</v>
      </c>
      <c r="AC4988" s="508">
        <v>8.5000000000000006E-2</v>
      </c>
      <c r="AD4988" s="508">
        <v>8.5000000000000006E-2</v>
      </c>
      <c r="AE4988" s="508">
        <v>8.5000000000000006E-2</v>
      </c>
      <c r="AF4988" s="508">
        <v>8.5000000000000006E-2</v>
      </c>
      <c r="AG4988" s="508">
        <v>8.5000000000000006E-2</v>
      </c>
      <c r="AH4988" s="508">
        <v>8.5000000000000006E-2</v>
      </c>
      <c r="AI4988" s="492">
        <v>8.5000000000000006E-2</v>
      </c>
      <c r="AJ4988" s="485"/>
    </row>
    <row r="4989" spans="2:36">
      <c r="B4989" s="136" t="s">
        <v>455</v>
      </c>
      <c r="C4989" s="132" t="s">
        <v>1372</v>
      </c>
      <c r="D4989" s="132" t="s">
        <v>1379</v>
      </c>
      <c r="E4989" s="508">
        <v>7.9000000000000001E-2</v>
      </c>
      <c r="F4989" s="508">
        <v>7.9000000000000001E-2</v>
      </c>
      <c r="G4989" s="508">
        <v>7.9000000000000001E-2</v>
      </c>
      <c r="H4989" s="508">
        <v>7.9000000000000001E-2</v>
      </c>
      <c r="I4989" s="508">
        <v>7.9000000000000001E-2</v>
      </c>
      <c r="J4989" s="508">
        <v>7.9000000000000001E-2</v>
      </c>
      <c r="K4989" s="508">
        <v>7.9000000000000001E-2</v>
      </c>
      <c r="L4989" s="508">
        <v>7.8E-2</v>
      </c>
      <c r="M4989" s="508">
        <v>7.9000000000000001E-2</v>
      </c>
      <c r="N4989" s="508">
        <v>7.9000000000000001E-2</v>
      </c>
      <c r="O4989" s="508">
        <v>7.9000000000000001E-2</v>
      </c>
      <c r="P4989" s="508">
        <v>7.9000000000000001E-2</v>
      </c>
      <c r="Q4989" s="508">
        <v>7.9000000000000001E-2</v>
      </c>
      <c r="R4989" s="508">
        <v>7.9000000000000001E-2</v>
      </c>
      <c r="S4989" s="508">
        <v>7.9000000000000001E-2</v>
      </c>
      <c r="T4989" s="508">
        <v>7.9000000000000001E-2</v>
      </c>
      <c r="U4989" s="508">
        <v>7.9000000000000001E-2</v>
      </c>
      <c r="V4989" s="508">
        <v>7.9000000000000001E-2</v>
      </c>
      <c r="W4989" s="508">
        <v>7.9000000000000001E-2</v>
      </c>
      <c r="X4989" s="508">
        <v>7.9000000000000001E-2</v>
      </c>
      <c r="Y4989" s="508">
        <v>7.9000000000000001E-2</v>
      </c>
      <c r="Z4989" s="508">
        <v>7.9000000000000001E-2</v>
      </c>
      <c r="AA4989" s="508">
        <v>7.9000000000000001E-2</v>
      </c>
      <c r="AB4989" s="508">
        <v>7.9000000000000001E-2</v>
      </c>
      <c r="AC4989" s="508">
        <v>7.9000000000000001E-2</v>
      </c>
      <c r="AD4989" s="508">
        <v>7.9000000000000001E-2</v>
      </c>
      <c r="AE4989" s="508">
        <v>7.9000000000000001E-2</v>
      </c>
      <c r="AF4989" s="508">
        <v>7.9000000000000001E-2</v>
      </c>
      <c r="AG4989" s="508">
        <v>7.9000000000000001E-2</v>
      </c>
      <c r="AH4989" s="508">
        <v>7.9000000000000001E-2</v>
      </c>
      <c r="AI4989" s="492">
        <v>7.9000000000000001E-2</v>
      </c>
      <c r="AJ4989" s="485"/>
    </row>
    <row r="4990" spans="2:36">
      <c r="B4990" s="136" t="s">
        <v>456</v>
      </c>
      <c r="C4990" s="132" t="s">
        <v>1372</v>
      </c>
      <c r="D4990" s="132" t="s">
        <v>1379</v>
      </c>
      <c r="E4990" s="508">
        <v>8.7999999999999995E-2</v>
      </c>
      <c r="F4990" s="508">
        <v>8.7999999999999995E-2</v>
      </c>
      <c r="G4990" s="508">
        <v>8.7999999999999995E-2</v>
      </c>
      <c r="H4990" s="508">
        <v>8.7999999999999995E-2</v>
      </c>
      <c r="I4990" s="508">
        <v>8.7999999999999995E-2</v>
      </c>
      <c r="J4990" s="508">
        <v>8.7999999999999995E-2</v>
      </c>
      <c r="K4990" s="508">
        <v>8.7999999999999995E-2</v>
      </c>
      <c r="L4990" s="508">
        <v>8.7999999999999995E-2</v>
      </c>
      <c r="M4990" s="508">
        <v>8.7999999999999995E-2</v>
      </c>
      <c r="N4990" s="508">
        <v>8.7999999999999995E-2</v>
      </c>
      <c r="O4990" s="508">
        <v>8.7999999999999995E-2</v>
      </c>
      <c r="P4990" s="508">
        <v>8.7999999999999995E-2</v>
      </c>
      <c r="Q4990" s="508">
        <v>8.7999999999999995E-2</v>
      </c>
      <c r="R4990" s="508">
        <v>8.7999999999999995E-2</v>
      </c>
      <c r="S4990" s="508">
        <v>8.7999999999999995E-2</v>
      </c>
      <c r="T4990" s="508">
        <v>8.7999999999999995E-2</v>
      </c>
      <c r="U4990" s="508">
        <v>8.7999999999999995E-2</v>
      </c>
      <c r="V4990" s="508">
        <v>8.7999999999999995E-2</v>
      </c>
      <c r="W4990" s="508">
        <v>8.7999999999999995E-2</v>
      </c>
      <c r="X4990" s="508">
        <v>8.7999999999999995E-2</v>
      </c>
      <c r="Y4990" s="508">
        <v>8.7999999999999995E-2</v>
      </c>
      <c r="Z4990" s="508">
        <v>8.7999999999999995E-2</v>
      </c>
      <c r="AA4990" s="508">
        <v>8.7999999999999995E-2</v>
      </c>
      <c r="AB4990" s="508">
        <v>8.7999999999999995E-2</v>
      </c>
      <c r="AC4990" s="508">
        <v>8.8999999999999996E-2</v>
      </c>
      <c r="AD4990" s="508">
        <v>8.7999999999999995E-2</v>
      </c>
      <c r="AE4990" s="508">
        <v>8.7999999999999995E-2</v>
      </c>
      <c r="AF4990" s="508">
        <v>8.7999999999999995E-2</v>
      </c>
      <c r="AG4990" s="508">
        <v>8.7999999999999995E-2</v>
      </c>
      <c r="AH4990" s="508">
        <v>8.7999999999999995E-2</v>
      </c>
      <c r="AI4990" s="492">
        <v>8.7999999999999995E-2</v>
      </c>
      <c r="AJ4990" s="485"/>
    </row>
    <row r="4991" spans="2:36">
      <c r="B4991" s="136" t="s">
        <v>457</v>
      </c>
      <c r="C4991" s="132" t="s">
        <v>1372</v>
      </c>
      <c r="D4991" s="132" t="s">
        <v>1379</v>
      </c>
      <c r="E4991" s="508">
        <v>7.5999999999999998E-2</v>
      </c>
      <c r="F4991" s="508">
        <v>7.5999999999999998E-2</v>
      </c>
      <c r="G4991" s="508">
        <v>7.5999999999999998E-2</v>
      </c>
      <c r="H4991" s="508">
        <v>7.5999999999999998E-2</v>
      </c>
      <c r="I4991" s="508">
        <v>7.5999999999999998E-2</v>
      </c>
      <c r="J4991" s="508">
        <v>7.5999999999999998E-2</v>
      </c>
      <c r="K4991" s="508">
        <v>7.5999999999999998E-2</v>
      </c>
      <c r="L4991" s="508">
        <v>7.5999999999999998E-2</v>
      </c>
      <c r="M4991" s="508">
        <v>7.5999999999999998E-2</v>
      </c>
      <c r="N4991" s="508">
        <v>7.5999999999999998E-2</v>
      </c>
      <c r="O4991" s="508">
        <v>7.5999999999999998E-2</v>
      </c>
      <c r="P4991" s="508">
        <v>7.5999999999999998E-2</v>
      </c>
      <c r="Q4991" s="508">
        <v>7.5999999999999998E-2</v>
      </c>
      <c r="R4991" s="508">
        <v>7.5999999999999998E-2</v>
      </c>
      <c r="S4991" s="508">
        <v>7.5999999999999998E-2</v>
      </c>
      <c r="T4991" s="508">
        <v>7.5999999999999998E-2</v>
      </c>
      <c r="U4991" s="508">
        <v>7.5999999999999998E-2</v>
      </c>
      <c r="V4991" s="508">
        <v>7.5999999999999998E-2</v>
      </c>
      <c r="W4991" s="508">
        <v>7.5999999999999998E-2</v>
      </c>
      <c r="X4991" s="508">
        <v>7.5999999999999998E-2</v>
      </c>
      <c r="Y4991" s="508">
        <v>7.5999999999999998E-2</v>
      </c>
      <c r="Z4991" s="508">
        <v>7.5999999999999998E-2</v>
      </c>
      <c r="AA4991" s="508">
        <v>7.5999999999999998E-2</v>
      </c>
      <c r="AB4991" s="508">
        <v>7.5999999999999998E-2</v>
      </c>
      <c r="AC4991" s="508">
        <v>7.5999999999999998E-2</v>
      </c>
      <c r="AD4991" s="508">
        <v>7.5999999999999998E-2</v>
      </c>
      <c r="AE4991" s="508">
        <v>7.5999999999999998E-2</v>
      </c>
      <c r="AF4991" s="508">
        <v>7.5999999999999998E-2</v>
      </c>
      <c r="AG4991" s="508">
        <v>7.5999999999999998E-2</v>
      </c>
      <c r="AH4991" s="508">
        <v>7.5999999999999998E-2</v>
      </c>
      <c r="AI4991" s="492">
        <v>7.5999999999999998E-2</v>
      </c>
      <c r="AJ4991" s="485"/>
    </row>
    <row r="4992" spans="2:36">
      <c r="B4992" s="136" t="s">
        <v>458</v>
      </c>
      <c r="C4992" s="132" t="s">
        <v>1372</v>
      </c>
      <c r="D4992" s="132" t="s">
        <v>1379</v>
      </c>
      <c r="E4992" s="508">
        <v>0.09</v>
      </c>
      <c r="F4992" s="508">
        <v>0.09</v>
      </c>
      <c r="G4992" s="508">
        <v>0.09</v>
      </c>
      <c r="H4992" s="508">
        <v>0.09</v>
      </c>
      <c r="I4992" s="508">
        <v>0.09</v>
      </c>
      <c r="J4992" s="508">
        <v>0.09</v>
      </c>
      <c r="K4992" s="508">
        <v>0.09</v>
      </c>
      <c r="L4992" s="508">
        <v>8.8999999999999996E-2</v>
      </c>
      <c r="M4992" s="508">
        <v>0.09</v>
      </c>
      <c r="N4992" s="508">
        <v>0.09</v>
      </c>
      <c r="O4992" s="508">
        <v>0.09</v>
      </c>
      <c r="P4992" s="508">
        <v>0.09</v>
      </c>
      <c r="Q4992" s="508">
        <v>0.09</v>
      </c>
      <c r="R4992" s="508">
        <v>0.09</v>
      </c>
      <c r="S4992" s="508">
        <v>0.09</v>
      </c>
      <c r="T4992" s="508">
        <v>0.09</v>
      </c>
      <c r="U4992" s="508">
        <v>0.09</v>
      </c>
      <c r="V4992" s="508">
        <v>0.09</v>
      </c>
      <c r="W4992" s="508">
        <v>0.09</v>
      </c>
      <c r="X4992" s="508">
        <v>0.09</v>
      </c>
      <c r="Y4992" s="508">
        <v>0.09</v>
      </c>
      <c r="Z4992" s="508">
        <v>0.09</v>
      </c>
      <c r="AA4992" s="508">
        <v>0.09</v>
      </c>
      <c r="AB4992" s="508">
        <v>0.09</v>
      </c>
      <c r="AC4992" s="508">
        <v>0.09</v>
      </c>
      <c r="AD4992" s="508">
        <v>0.09</v>
      </c>
      <c r="AE4992" s="508">
        <v>0.09</v>
      </c>
      <c r="AF4992" s="508">
        <v>0.09</v>
      </c>
      <c r="AG4992" s="508">
        <v>0.09</v>
      </c>
      <c r="AH4992" s="508">
        <v>0.09</v>
      </c>
      <c r="AI4992" s="492">
        <v>0.09</v>
      </c>
      <c r="AJ4992" s="485"/>
    </row>
    <row r="4993" spans="2:36">
      <c r="B4993" s="136" t="s">
        <v>459</v>
      </c>
      <c r="C4993" s="132" t="s">
        <v>1372</v>
      </c>
      <c r="D4993" s="132" t="s">
        <v>1379</v>
      </c>
      <c r="E4993" s="508">
        <v>0.09</v>
      </c>
      <c r="F4993" s="508">
        <v>0.09</v>
      </c>
      <c r="G4993" s="508">
        <v>0.09</v>
      </c>
      <c r="H4993" s="508">
        <v>0.09</v>
      </c>
      <c r="I4993" s="508">
        <v>0.09</v>
      </c>
      <c r="J4993" s="508">
        <v>0.09</v>
      </c>
      <c r="K4993" s="508">
        <v>0.09</v>
      </c>
      <c r="L4993" s="508">
        <v>8.8999999999999996E-2</v>
      </c>
      <c r="M4993" s="508">
        <v>0.09</v>
      </c>
      <c r="N4993" s="508">
        <v>0.09</v>
      </c>
      <c r="O4993" s="508">
        <v>0.09</v>
      </c>
      <c r="P4993" s="508">
        <v>0.09</v>
      </c>
      <c r="Q4993" s="508">
        <v>0.09</v>
      </c>
      <c r="R4993" s="508">
        <v>0.09</v>
      </c>
      <c r="S4993" s="508">
        <v>0.09</v>
      </c>
      <c r="T4993" s="508">
        <v>0.09</v>
      </c>
      <c r="U4993" s="508">
        <v>0.09</v>
      </c>
      <c r="V4993" s="508">
        <v>0.09</v>
      </c>
      <c r="W4993" s="508">
        <v>0.09</v>
      </c>
      <c r="X4993" s="508">
        <v>0.09</v>
      </c>
      <c r="Y4993" s="508">
        <v>0.09</v>
      </c>
      <c r="Z4993" s="508">
        <v>0.09</v>
      </c>
      <c r="AA4993" s="508">
        <v>0.09</v>
      </c>
      <c r="AB4993" s="508">
        <v>0.09</v>
      </c>
      <c r="AC4993" s="508">
        <v>0.09</v>
      </c>
      <c r="AD4993" s="508">
        <v>0.09</v>
      </c>
      <c r="AE4993" s="508">
        <v>0.09</v>
      </c>
      <c r="AF4993" s="508">
        <v>0.09</v>
      </c>
      <c r="AG4993" s="508">
        <v>0.09</v>
      </c>
      <c r="AH4993" s="508">
        <v>0.09</v>
      </c>
      <c r="AI4993" s="492">
        <v>0.09</v>
      </c>
      <c r="AJ4993" s="485"/>
    </row>
    <row r="4994" spans="2:36">
      <c r="B4994" s="136" t="s">
        <v>460</v>
      </c>
      <c r="C4994" s="132" t="s">
        <v>1372</v>
      </c>
      <c r="D4994" s="132" t="s">
        <v>1379</v>
      </c>
      <c r="E4994" s="508">
        <v>9.1999999999999998E-2</v>
      </c>
      <c r="F4994" s="508">
        <v>9.1999999999999998E-2</v>
      </c>
      <c r="G4994" s="508">
        <v>9.1999999999999998E-2</v>
      </c>
      <c r="H4994" s="508">
        <v>9.1999999999999998E-2</v>
      </c>
      <c r="I4994" s="508">
        <v>9.1999999999999998E-2</v>
      </c>
      <c r="J4994" s="508">
        <v>9.1999999999999998E-2</v>
      </c>
      <c r="K4994" s="508">
        <v>9.1999999999999998E-2</v>
      </c>
      <c r="L4994" s="508">
        <v>9.0999999999999998E-2</v>
      </c>
      <c r="M4994" s="508">
        <v>9.1999999999999998E-2</v>
      </c>
      <c r="N4994" s="508">
        <v>9.1999999999999998E-2</v>
      </c>
      <c r="O4994" s="508">
        <v>9.1999999999999998E-2</v>
      </c>
      <c r="P4994" s="508">
        <v>9.0999999999999998E-2</v>
      </c>
      <c r="Q4994" s="508">
        <v>9.1999999999999998E-2</v>
      </c>
      <c r="R4994" s="508">
        <v>9.0999999999999998E-2</v>
      </c>
      <c r="S4994" s="508">
        <v>9.1999999999999998E-2</v>
      </c>
      <c r="T4994" s="508">
        <v>9.0999999999999998E-2</v>
      </c>
      <c r="U4994" s="508">
        <v>9.1999999999999998E-2</v>
      </c>
      <c r="V4994" s="508">
        <v>9.0999999999999998E-2</v>
      </c>
      <c r="W4994" s="508">
        <v>9.0999999999999998E-2</v>
      </c>
      <c r="X4994" s="508">
        <v>9.1999999999999998E-2</v>
      </c>
      <c r="Y4994" s="508">
        <v>9.1999999999999998E-2</v>
      </c>
      <c r="Z4994" s="508">
        <v>9.0999999999999998E-2</v>
      </c>
      <c r="AA4994" s="508">
        <v>9.1999999999999998E-2</v>
      </c>
      <c r="AB4994" s="508">
        <v>9.0999999999999998E-2</v>
      </c>
      <c r="AC4994" s="508">
        <v>9.1999999999999998E-2</v>
      </c>
      <c r="AD4994" s="508">
        <v>9.0999999999999998E-2</v>
      </c>
      <c r="AE4994" s="508">
        <v>9.0999999999999998E-2</v>
      </c>
      <c r="AF4994" s="508">
        <v>9.0999999999999998E-2</v>
      </c>
      <c r="AG4994" s="508">
        <v>9.0999999999999998E-2</v>
      </c>
      <c r="AH4994" s="508">
        <v>9.0999999999999998E-2</v>
      </c>
      <c r="AI4994" s="492">
        <v>9.0999999999999998E-2</v>
      </c>
      <c r="AJ4994" s="485"/>
    </row>
    <row r="4995" spans="2:36">
      <c r="B4995" s="136" t="s">
        <v>461</v>
      </c>
      <c r="C4995" s="132" t="s">
        <v>1372</v>
      </c>
      <c r="D4995" s="132" t="s">
        <v>1379</v>
      </c>
      <c r="E4995" s="508">
        <v>8.7999999999999995E-2</v>
      </c>
      <c r="F4995" s="508">
        <v>8.7999999999999995E-2</v>
      </c>
      <c r="G4995" s="508">
        <v>8.7999999999999995E-2</v>
      </c>
      <c r="H4995" s="508">
        <v>8.7999999999999995E-2</v>
      </c>
      <c r="I4995" s="508">
        <v>8.7999999999999995E-2</v>
      </c>
      <c r="J4995" s="508">
        <v>8.7999999999999995E-2</v>
      </c>
      <c r="K4995" s="508">
        <v>8.7999999999999995E-2</v>
      </c>
      <c r="L4995" s="508">
        <v>8.6999999999999994E-2</v>
      </c>
      <c r="M4995" s="508">
        <v>8.7999999999999995E-2</v>
      </c>
      <c r="N4995" s="508">
        <v>8.7999999999999995E-2</v>
      </c>
      <c r="O4995" s="508">
        <v>8.7999999999999995E-2</v>
      </c>
      <c r="P4995" s="508">
        <v>8.7999999999999995E-2</v>
      </c>
      <c r="Q4995" s="508">
        <v>8.7999999999999995E-2</v>
      </c>
      <c r="R4995" s="508">
        <v>8.7999999999999995E-2</v>
      </c>
      <c r="S4995" s="508">
        <v>8.7999999999999995E-2</v>
      </c>
      <c r="T4995" s="508">
        <v>8.7999999999999995E-2</v>
      </c>
      <c r="U4995" s="508">
        <v>8.7999999999999995E-2</v>
      </c>
      <c r="V4995" s="508">
        <v>8.7999999999999995E-2</v>
      </c>
      <c r="W4995" s="508">
        <v>8.7999999999999995E-2</v>
      </c>
      <c r="X4995" s="508">
        <v>8.7999999999999995E-2</v>
      </c>
      <c r="Y4995" s="508">
        <v>8.7999999999999995E-2</v>
      </c>
      <c r="Z4995" s="508">
        <v>8.7999999999999995E-2</v>
      </c>
      <c r="AA4995" s="508">
        <v>8.7999999999999995E-2</v>
      </c>
      <c r="AB4995" s="508">
        <v>8.7999999999999995E-2</v>
      </c>
      <c r="AC4995" s="508">
        <v>8.7999999999999995E-2</v>
      </c>
      <c r="AD4995" s="508">
        <v>8.7999999999999995E-2</v>
      </c>
      <c r="AE4995" s="508">
        <v>8.7999999999999995E-2</v>
      </c>
      <c r="AF4995" s="508">
        <v>8.7999999999999995E-2</v>
      </c>
      <c r="AG4995" s="508">
        <v>8.7999999999999995E-2</v>
      </c>
      <c r="AH4995" s="508">
        <v>8.7999999999999995E-2</v>
      </c>
      <c r="AI4995" s="492">
        <v>8.7999999999999995E-2</v>
      </c>
      <c r="AJ4995" s="485"/>
    </row>
    <row r="4996" spans="2:36">
      <c r="B4996" s="136" t="s">
        <v>462</v>
      </c>
      <c r="C4996" s="132" t="s">
        <v>1372</v>
      </c>
      <c r="D4996" s="132" t="s">
        <v>1379</v>
      </c>
      <c r="E4996" s="508">
        <v>8.5000000000000006E-2</v>
      </c>
      <c r="F4996" s="508">
        <v>8.5000000000000006E-2</v>
      </c>
      <c r="G4996" s="508">
        <v>8.5000000000000006E-2</v>
      </c>
      <c r="H4996" s="508">
        <v>8.5000000000000006E-2</v>
      </c>
      <c r="I4996" s="508">
        <v>8.5000000000000006E-2</v>
      </c>
      <c r="J4996" s="508">
        <v>8.5000000000000006E-2</v>
      </c>
      <c r="K4996" s="508">
        <v>8.5000000000000006E-2</v>
      </c>
      <c r="L4996" s="508">
        <v>8.5000000000000006E-2</v>
      </c>
      <c r="M4996" s="508">
        <v>8.5000000000000006E-2</v>
      </c>
      <c r="N4996" s="508">
        <v>8.5000000000000006E-2</v>
      </c>
      <c r="O4996" s="508">
        <v>8.5000000000000006E-2</v>
      </c>
      <c r="P4996" s="508">
        <v>8.5000000000000006E-2</v>
      </c>
      <c r="Q4996" s="508">
        <v>8.5000000000000006E-2</v>
      </c>
      <c r="R4996" s="508">
        <v>8.5000000000000006E-2</v>
      </c>
      <c r="S4996" s="508">
        <v>8.5000000000000006E-2</v>
      </c>
      <c r="T4996" s="508">
        <v>8.5000000000000006E-2</v>
      </c>
      <c r="U4996" s="508">
        <v>8.5000000000000006E-2</v>
      </c>
      <c r="V4996" s="508">
        <v>8.5000000000000006E-2</v>
      </c>
      <c r="W4996" s="508">
        <v>8.5000000000000006E-2</v>
      </c>
      <c r="X4996" s="508">
        <v>8.5000000000000006E-2</v>
      </c>
      <c r="Y4996" s="508">
        <v>8.5000000000000006E-2</v>
      </c>
      <c r="Z4996" s="508">
        <v>8.5000000000000006E-2</v>
      </c>
      <c r="AA4996" s="508">
        <v>8.5000000000000006E-2</v>
      </c>
      <c r="AB4996" s="508">
        <v>8.5000000000000006E-2</v>
      </c>
      <c r="AC4996" s="508">
        <v>8.5000000000000006E-2</v>
      </c>
      <c r="AD4996" s="508">
        <v>8.5000000000000006E-2</v>
      </c>
      <c r="AE4996" s="508">
        <v>8.5000000000000006E-2</v>
      </c>
      <c r="AF4996" s="508">
        <v>8.5000000000000006E-2</v>
      </c>
      <c r="AG4996" s="508">
        <v>8.5000000000000006E-2</v>
      </c>
      <c r="AH4996" s="508">
        <v>8.5000000000000006E-2</v>
      </c>
      <c r="AI4996" s="492">
        <v>8.5000000000000006E-2</v>
      </c>
      <c r="AJ4996" s="485"/>
    </row>
    <row r="4997" spans="2:36">
      <c r="B4997" s="136" t="s">
        <v>463</v>
      </c>
      <c r="C4997" s="132" t="s">
        <v>1372</v>
      </c>
      <c r="D4997" s="132" t="s">
        <v>1379</v>
      </c>
      <c r="E4997" s="508">
        <v>7.6999999999999999E-2</v>
      </c>
      <c r="F4997" s="508">
        <v>7.6999999999999999E-2</v>
      </c>
      <c r="G4997" s="508">
        <v>7.6999999999999999E-2</v>
      </c>
      <c r="H4997" s="508">
        <v>7.6999999999999999E-2</v>
      </c>
      <c r="I4997" s="508">
        <v>7.6999999999999999E-2</v>
      </c>
      <c r="J4997" s="508">
        <v>7.6999999999999999E-2</v>
      </c>
      <c r="K4997" s="508">
        <v>7.6999999999999999E-2</v>
      </c>
      <c r="L4997" s="508">
        <v>7.6999999999999999E-2</v>
      </c>
      <c r="M4997" s="508">
        <v>7.6999999999999999E-2</v>
      </c>
      <c r="N4997" s="508">
        <v>7.6999999999999999E-2</v>
      </c>
      <c r="O4997" s="508">
        <v>7.6999999999999999E-2</v>
      </c>
      <c r="P4997" s="508">
        <v>7.6999999999999999E-2</v>
      </c>
      <c r="Q4997" s="508">
        <v>7.6999999999999999E-2</v>
      </c>
      <c r="R4997" s="508">
        <v>7.6999999999999999E-2</v>
      </c>
      <c r="S4997" s="508">
        <v>7.6999999999999999E-2</v>
      </c>
      <c r="T4997" s="508">
        <v>7.6999999999999999E-2</v>
      </c>
      <c r="U4997" s="508">
        <v>7.6999999999999999E-2</v>
      </c>
      <c r="V4997" s="508">
        <v>7.6999999999999999E-2</v>
      </c>
      <c r="W4997" s="508">
        <v>7.6999999999999999E-2</v>
      </c>
      <c r="X4997" s="508">
        <v>7.6999999999999999E-2</v>
      </c>
      <c r="Y4997" s="508">
        <v>7.6999999999999999E-2</v>
      </c>
      <c r="Z4997" s="508">
        <v>7.6999999999999999E-2</v>
      </c>
      <c r="AA4997" s="508">
        <v>7.6999999999999999E-2</v>
      </c>
      <c r="AB4997" s="508">
        <v>7.6999999999999999E-2</v>
      </c>
      <c r="AC4997" s="508">
        <v>7.6999999999999999E-2</v>
      </c>
      <c r="AD4997" s="508">
        <v>7.6999999999999999E-2</v>
      </c>
      <c r="AE4997" s="508">
        <v>7.6999999999999999E-2</v>
      </c>
      <c r="AF4997" s="508">
        <v>7.6999999999999999E-2</v>
      </c>
      <c r="AG4997" s="508">
        <v>7.6999999999999999E-2</v>
      </c>
      <c r="AH4997" s="508">
        <v>7.6999999999999999E-2</v>
      </c>
      <c r="AI4997" s="492">
        <v>7.6999999999999999E-2</v>
      </c>
      <c r="AJ4997" s="485"/>
    </row>
    <row r="4998" spans="2:36">
      <c r="B4998" s="136" t="s">
        <v>464</v>
      </c>
      <c r="C4998" s="132" t="s">
        <v>1372</v>
      </c>
      <c r="D4998" s="132" t="s">
        <v>1379</v>
      </c>
      <c r="E4998" s="508">
        <v>7.4999999999999997E-2</v>
      </c>
      <c r="F4998" s="508">
        <v>7.4999999999999997E-2</v>
      </c>
      <c r="G4998" s="508">
        <v>7.4999999999999997E-2</v>
      </c>
      <c r="H4998" s="508">
        <v>7.4999999999999997E-2</v>
      </c>
      <c r="I4998" s="508">
        <v>7.4999999999999997E-2</v>
      </c>
      <c r="J4998" s="508">
        <v>7.4999999999999997E-2</v>
      </c>
      <c r="K4998" s="508">
        <v>7.4999999999999997E-2</v>
      </c>
      <c r="L4998" s="508">
        <v>7.4999999999999997E-2</v>
      </c>
      <c r="M4998" s="508">
        <v>7.4999999999999997E-2</v>
      </c>
      <c r="N4998" s="508">
        <v>7.4999999999999997E-2</v>
      </c>
      <c r="O4998" s="508">
        <v>7.4999999999999997E-2</v>
      </c>
      <c r="P4998" s="508">
        <v>7.4999999999999997E-2</v>
      </c>
      <c r="Q4998" s="508">
        <v>7.5999999999999998E-2</v>
      </c>
      <c r="R4998" s="508">
        <v>7.4999999999999997E-2</v>
      </c>
      <c r="S4998" s="508">
        <v>7.4999999999999997E-2</v>
      </c>
      <c r="T4998" s="508">
        <v>7.4999999999999997E-2</v>
      </c>
      <c r="U4998" s="508">
        <v>7.4999999999999997E-2</v>
      </c>
      <c r="V4998" s="508">
        <v>7.4999999999999997E-2</v>
      </c>
      <c r="W4998" s="508">
        <v>7.4999999999999997E-2</v>
      </c>
      <c r="X4998" s="508">
        <v>7.4999999999999997E-2</v>
      </c>
      <c r="Y4998" s="508">
        <v>7.4999999999999997E-2</v>
      </c>
      <c r="Z4998" s="508">
        <v>7.4999999999999997E-2</v>
      </c>
      <c r="AA4998" s="508">
        <v>7.4999999999999997E-2</v>
      </c>
      <c r="AB4998" s="508">
        <v>7.4999999999999997E-2</v>
      </c>
      <c r="AC4998" s="508">
        <v>7.5999999999999998E-2</v>
      </c>
      <c r="AD4998" s="508">
        <v>7.4999999999999997E-2</v>
      </c>
      <c r="AE4998" s="508">
        <v>7.4999999999999997E-2</v>
      </c>
      <c r="AF4998" s="508">
        <v>7.4999999999999997E-2</v>
      </c>
      <c r="AG4998" s="508">
        <v>7.4999999999999997E-2</v>
      </c>
      <c r="AH4998" s="508">
        <v>7.4999999999999997E-2</v>
      </c>
      <c r="AI4998" s="492">
        <v>7.4999999999999997E-2</v>
      </c>
      <c r="AJ4998" s="485"/>
    </row>
    <row r="4999" spans="2:36">
      <c r="B4999" s="136" t="s">
        <v>465</v>
      </c>
      <c r="C4999" s="132" t="s">
        <v>1372</v>
      </c>
      <c r="D4999" s="132" t="s">
        <v>1379</v>
      </c>
      <c r="E4999" s="508">
        <v>0.08</v>
      </c>
      <c r="F4999" s="508">
        <v>0.08</v>
      </c>
      <c r="G4999" s="508">
        <v>0.08</v>
      </c>
      <c r="H4999" s="508">
        <v>0.08</v>
      </c>
      <c r="I4999" s="508">
        <v>0.08</v>
      </c>
      <c r="J4999" s="508">
        <v>0.08</v>
      </c>
      <c r="K4999" s="508">
        <v>0.08</v>
      </c>
      <c r="L4999" s="508">
        <v>7.9000000000000001E-2</v>
      </c>
      <c r="M4999" s="508">
        <v>0.08</v>
      </c>
      <c r="N4999" s="508">
        <v>0.08</v>
      </c>
      <c r="O4999" s="508">
        <v>0.08</v>
      </c>
      <c r="P4999" s="508">
        <v>7.9000000000000001E-2</v>
      </c>
      <c r="Q4999" s="508">
        <v>0.08</v>
      </c>
      <c r="R4999" s="508">
        <v>7.9000000000000001E-2</v>
      </c>
      <c r="S4999" s="508">
        <v>0.08</v>
      </c>
      <c r="T4999" s="508">
        <v>7.9000000000000001E-2</v>
      </c>
      <c r="U4999" s="508">
        <v>7.9000000000000001E-2</v>
      </c>
      <c r="V4999" s="508">
        <v>7.9000000000000001E-2</v>
      </c>
      <c r="W4999" s="508">
        <v>7.9000000000000001E-2</v>
      </c>
      <c r="X4999" s="508">
        <v>0.08</v>
      </c>
      <c r="Y4999" s="508">
        <v>0.08</v>
      </c>
      <c r="Z4999" s="508">
        <v>7.9000000000000001E-2</v>
      </c>
      <c r="AA4999" s="508">
        <v>7.9000000000000001E-2</v>
      </c>
      <c r="AB4999" s="508">
        <v>7.9000000000000001E-2</v>
      </c>
      <c r="AC4999" s="508">
        <v>0.08</v>
      </c>
      <c r="AD4999" s="508">
        <v>7.9000000000000001E-2</v>
      </c>
      <c r="AE4999" s="508">
        <v>7.9000000000000001E-2</v>
      </c>
      <c r="AF4999" s="508">
        <v>7.9000000000000001E-2</v>
      </c>
      <c r="AG4999" s="508">
        <v>7.9000000000000001E-2</v>
      </c>
      <c r="AH4999" s="508">
        <v>7.9000000000000001E-2</v>
      </c>
      <c r="AI4999" s="492">
        <v>7.9000000000000001E-2</v>
      </c>
      <c r="AJ4999" s="485"/>
    </row>
    <row r="5000" spans="2:36">
      <c r="B5000" s="136" t="s">
        <v>466</v>
      </c>
      <c r="C5000" s="132" t="s">
        <v>1372</v>
      </c>
      <c r="D5000" s="132" t="s">
        <v>1379</v>
      </c>
      <c r="E5000" s="508">
        <v>0.10100000000000001</v>
      </c>
      <c r="F5000" s="508">
        <v>0.10100000000000001</v>
      </c>
      <c r="G5000" s="508">
        <v>0.10100000000000001</v>
      </c>
      <c r="H5000" s="508">
        <v>0.10100000000000001</v>
      </c>
      <c r="I5000" s="508">
        <v>0.10100000000000001</v>
      </c>
      <c r="J5000" s="508">
        <v>0.10100000000000001</v>
      </c>
      <c r="K5000" s="508">
        <v>0.10100000000000001</v>
      </c>
      <c r="L5000" s="508">
        <v>0.1</v>
      </c>
      <c r="M5000" s="508">
        <v>0.10100000000000001</v>
      </c>
      <c r="N5000" s="508">
        <v>0.10100000000000001</v>
      </c>
      <c r="O5000" s="508">
        <v>0.10100000000000001</v>
      </c>
      <c r="P5000" s="508">
        <v>0.10100000000000001</v>
      </c>
      <c r="Q5000" s="508">
        <v>0.10100000000000001</v>
      </c>
      <c r="R5000" s="508">
        <v>0.10100000000000001</v>
      </c>
      <c r="S5000" s="508">
        <v>0.10100000000000001</v>
      </c>
      <c r="T5000" s="508">
        <v>0.10100000000000001</v>
      </c>
      <c r="U5000" s="508">
        <v>0.10100000000000001</v>
      </c>
      <c r="V5000" s="508">
        <v>0.10100000000000001</v>
      </c>
      <c r="W5000" s="508">
        <v>0.10100000000000001</v>
      </c>
      <c r="X5000" s="508">
        <v>0.10100000000000001</v>
      </c>
      <c r="Y5000" s="508">
        <v>0.10100000000000001</v>
      </c>
      <c r="Z5000" s="508">
        <v>0.10100000000000001</v>
      </c>
      <c r="AA5000" s="508">
        <v>0.10100000000000001</v>
      </c>
      <c r="AB5000" s="508">
        <v>0.10100000000000001</v>
      </c>
      <c r="AC5000" s="508">
        <v>0.10100000000000001</v>
      </c>
      <c r="AD5000" s="508">
        <v>0.10100000000000001</v>
      </c>
      <c r="AE5000" s="508">
        <v>0.1</v>
      </c>
      <c r="AF5000" s="508">
        <v>0.1</v>
      </c>
      <c r="AG5000" s="508">
        <v>0.1</v>
      </c>
      <c r="AH5000" s="508">
        <v>0.1</v>
      </c>
      <c r="AI5000" s="492">
        <v>0.1</v>
      </c>
      <c r="AJ5000" s="485"/>
    </row>
    <row r="5001" spans="2:36">
      <c r="B5001" s="136" t="s">
        <v>467</v>
      </c>
      <c r="C5001" s="132" t="s">
        <v>1372</v>
      </c>
      <c r="D5001" s="132" t="s">
        <v>1379</v>
      </c>
      <c r="E5001" s="508">
        <v>8.5999999999999993E-2</v>
      </c>
      <c r="F5001" s="508">
        <v>8.5999999999999993E-2</v>
      </c>
      <c r="G5001" s="508">
        <v>8.5999999999999993E-2</v>
      </c>
      <c r="H5001" s="508">
        <v>8.5999999999999993E-2</v>
      </c>
      <c r="I5001" s="508">
        <v>8.5999999999999993E-2</v>
      </c>
      <c r="J5001" s="508">
        <v>8.5999999999999993E-2</v>
      </c>
      <c r="K5001" s="508">
        <v>8.5999999999999993E-2</v>
      </c>
      <c r="L5001" s="508">
        <v>8.5999999999999993E-2</v>
      </c>
      <c r="M5001" s="508">
        <v>8.5999999999999993E-2</v>
      </c>
      <c r="N5001" s="508">
        <v>8.5999999999999993E-2</v>
      </c>
      <c r="O5001" s="508">
        <v>8.5999999999999993E-2</v>
      </c>
      <c r="P5001" s="508">
        <v>8.5999999999999993E-2</v>
      </c>
      <c r="Q5001" s="508">
        <v>8.6999999999999994E-2</v>
      </c>
      <c r="R5001" s="508">
        <v>8.5999999999999993E-2</v>
      </c>
      <c r="S5001" s="508">
        <v>8.5999999999999993E-2</v>
      </c>
      <c r="T5001" s="508">
        <v>8.5999999999999993E-2</v>
      </c>
      <c r="U5001" s="508">
        <v>8.5999999999999993E-2</v>
      </c>
      <c r="V5001" s="508">
        <v>8.5999999999999993E-2</v>
      </c>
      <c r="W5001" s="508">
        <v>8.5999999999999993E-2</v>
      </c>
      <c r="X5001" s="508">
        <v>8.5999999999999993E-2</v>
      </c>
      <c r="Y5001" s="508">
        <v>8.5999999999999993E-2</v>
      </c>
      <c r="Z5001" s="508">
        <v>8.5999999999999993E-2</v>
      </c>
      <c r="AA5001" s="508">
        <v>8.5999999999999993E-2</v>
      </c>
      <c r="AB5001" s="508">
        <v>8.5999999999999993E-2</v>
      </c>
      <c r="AC5001" s="508">
        <v>8.6999999999999994E-2</v>
      </c>
      <c r="AD5001" s="508">
        <v>8.5999999999999993E-2</v>
      </c>
      <c r="AE5001" s="508">
        <v>8.5999999999999993E-2</v>
      </c>
      <c r="AF5001" s="508">
        <v>8.5999999999999993E-2</v>
      </c>
      <c r="AG5001" s="508">
        <v>8.5999999999999993E-2</v>
      </c>
      <c r="AH5001" s="508">
        <v>8.5999999999999993E-2</v>
      </c>
      <c r="AI5001" s="492">
        <v>8.5999999999999993E-2</v>
      </c>
      <c r="AJ5001" s="485"/>
    </row>
    <row r="5002" spans="2:36">
      <c r="B5002" s="136" t="s">
        <v>468</v>
      </c>
      <c r="C5002" s="132" t="s">
        <v>1372</v>
      </c>
      <c r="D5002" s="132" t="s">
        <v>1379</v>
      </c>
      <c r="E5002" s="508">
        <v>7.2999999999999995E-2</v>
      </c>
      <c r="F5002" s="508">
        <v>7.2999999999999995E-2</v>
      </c>
      <c r="G5002" s="508">
        <v>7.2999999999999995E-2</v>
      </c>
      <c r="H5002" s="508">
        <v>7.2999999999999995E-2</v>
      </c>
      <c r="I5002" s="508">
        <v>7.2999999999999995E-2</v>
      </c>
      <c r="J5002" s="508">
        <v>7.2999999999999995E-2</v>
      </c>
      <c r="K5002" s="508">
        <v>7.2999999999999995E-2</v>
      </c>
      <c r="L5002" s="508">
        <v>7.2999999999999995E-2</v>
      </c>
      <c r="M5002" s="508">
        <v>7.2999999999999995E-2</v>
      </c>
      <c r="N5002" s="508">
        <v>7.2999999999999995E-2</v>
      </c>
      <c r="O5002" s="508">
        <v>7.2999999999999995E-2</v>
      </c>
      <c r="P5002" s="508">
        <v>7.2999999999999995E-2</v>
      </c>
      <c r="Q5002" s="508">
        <v>7.2999999999999995E-2</v>
      </c>
      <c r="R5002" s="508">
        <v>7.2999999999999995E-2</v>
      </c>
      <c r="S5002" s="508">
        <v>7.2999999999999995E-2</v>
      </c>
      <c r="T5002" s="508">
        <v>7.2999999999999995E-2</v>
      </c>
      <c r="U5002" s="508">
        <v>7.2999999999999995E-2</v>
      </c>
      <c r="V5002" s="508">
        <v>7.2999999999999995E-2</v>
      </c>
      <c r="W5002" s="508">
        <v>7.2999999999999995E-2</v>
      </c>
      <c r="X5002" s="508">
        <v>7.2999999999999995E-2</v>
      </c>
      <c r="Y5002" s="508">
        <v>7.2999999999999995E-2</v>
      </c>
      <c r="Z5002" s="508">
        <v>7.2999999999999995E-2</v>
      </c>
      <c r="AA5002" s="508">
        <v>7.2999999999999995E-2</v>
      </c>
      <c r="AB5002" s="508">
        <v>7.2999999999999995E-2</v>
      </c>
      <c r="AC5002" s="508">
        <v>7.2999999999999995E-2</v>
      </c>
      <c r="AD5002" s="508">
        <v>7.2999999999999995E-2</v>
      </c>
      <c r="AE5002" s="508">
        <v>7.2999999999999995E-2</v>
      </c>
      <c r="AF5002" s="508">
        <v>7.2999999999999995E-2</v>
      </c>
      <c r="AG5002" s="508">
        <v>7.2999999999999995E-2</v>
      </c>
      <c r="AH5002" s="508">
        <v>7.2999999999999995E-2</v>
      </c>
      <c r="AI5002" s="492">
        <v>7.2999999999999995E-2</v>
      </c>
      <c r="AJ5002" s="485"/>
    </row>
    <row r="5003" spans="2:36">
      <c r="B5003" s="136" t="s">
        <v>469</v>
      </c>
      <c r="C5003" s="132" t="s">
        <v>1372</v>
      </c>
      <c r="D5003" s="132" t="s">
        <v>1379</v>
      </c>
      <c r="E5003" s="508">
        <v>8.2000000000000003E-2</v>
      </c>
      <c r="F5003" s="508">
        <v>8.2000000000000003E-2</v>
      </c>
      <c r="G5003" s="508">
        <v>8.2000000000000003E-2</v>
      </c>
      <c r="H5003" s="508">
        <v>8.2000000000000003E-2</v>
      </c>
      <c r="I5003" s="508">
        <v>8.2000000000000003E-2</v>
      </c>
      <c r="J5003" s="508">
        <v>8.2000000000000003E-2</v>
      </c>
      <c r="K5003" s="508">
        <v>8.2000000000000003E-2</v>
      </c>
      <c r="L5003" s="508">
        <v>8.2000000000000003E-2</v>
      </c>
      <c r="M5003" s="508">
        <v>8.2000000000000003E-2</v>
      </c>
      <c r="N5003" s="508">
        <v>8.2000000000000003E-2</v>
      </c>
      <c r="O5003" s="508">
        <v>8.2000000000000003E-2</v>
      </c>
      <c r="P5003" s="508">
        <v>8.2000000000000003E-2</v>
      </c>
      <c r="Q5003" s="508">
        <v>8.2000000000000003E-2</v>
      </c>
      <c r="R5003" s="508">
        <v>8.2000000000000003E-2</v>
      </c>
      <c r="S5003" s="508">
        <v>8.2000000000000003E-2</v>
      </c>
      <c r="T5003" s="508">
        <v>8.2000000000000003E-2</v>
      </c>
      <c r="U5003" s="508">
        <v>8.2000000000000003E-2</v>
      </c>
      <c r="V5003" s="508">
        <v>8.2000000000000003E-2</v>
      </c>
      <c r="W5003" s="508">
        <v>8.2000000000000003E-2</v>
      </c>
      <c r="X5003" s="508">
        <v>8.2000000000000003E-2</v>
      </c>
      <c r="Y5003" s="508">
        <v>8.2000000000000003E-2</v>
      </c>
      <c r="Z5003" s="508">
        <v>8.2000000000000003E-2</v>
      </c>
      <c r="AA5003" s="508">
        <v>8.2000000000000003E-2</v>
      </c>
      <c r="AB5003" s="508">
        <v>8.2000000000000003E-2</v>
      </c>
      <c r="AC5003" s="508">
        <v>8.2000000000000003E-2</v>
      </c>
      <c r="AD5003" s="508">
        <v>8.2000000000000003E-2</v>
      </c>
      <c r="AE5003" s="508">
        <v>8.2000000000000003E-2</v>
      </c>
      <c r="AF5003" s="508">
        <v>8.2000000000000003E-2</v>
      </c>
      <c r="AG5003" s="508">
        <v>8.2000000000000003E-2</v>
      </c>
      <c r="AH5003" s="508">
        <v>8.2000000000000003E-2</v>
      </c>
      <c r="AI5003" s="492">
        <v>8.2000000000000003E-2</v>
      </c>
      <c r="AJ5003" s="485"/>
    </row>
    <row r="5004" spans="2:36">
      <c r="B5004" s="136" t="s">
        <v>470</v>
      </c>
      <c r="C5004" s="132" t="s">
        <v>1372</v>
      </c>
      <c r="D5004" s="132" t="s">
        <v>1379</v>
      </c>
      <c r="E5004" s="508">
        <v>9.5000000000000001E-2</v>
      </c>
      <c r="F5004" s="508">
        <v>9.5000000000000001E-2</v>
      </c>
      <c r="G5004" s="508">
        <v>9.5000000000000001E-2</v>
      </c>
      <c r="H5004" s="508">
        <v>9.5000000000000001E-2</v>
      </c>
      <c r="I5004" s="508">
        <v>9.5000000000000001E-2</v>
      </c>
      <c r="J5004" s="508">
        <v>9.5000000000000001E-2</v>
      </c>
      <c r="K5004" s="508">
        <v>9.5000000000000001E-2</v>
      </c>
      <c r="L5004" s="508">
        <v>9.5000000000000001E-2</v>
      </c>
      <c r="M5004" s="508">
        <v>9.5000000000000001E-2</v>
      </c>
      <c r="N5004" s="508">
        <v>9.5000000000000001E-2</v>
      </c>
      <c r="O5004" s="508">
        <v>9.5000000000000001E-2</v>
      </c>
      <c r="P5004" s="508">
        <v>9.5000000000000001E-2</v>
      </c>
      <c r="Q5004" s="508">
        <v>9.5000000000000001E-2</v>
      </c>
      <c r="R5004" s="508">
        <v>9.5000000000000001E-2</v>
      </c>
      <c r="S5004" s="508">
        <v>9.5000000000000001E-2</v>
      </c>
      <c r="T5004" s="508">
        <v>9.5000000000000001E-2</v>
      </c>
      <c r="U5004" s="508">
        <v>9.5000000000000001E-2</v>
      </c>
      <c r="V5004" s="508">
        <v>9.5000000000000001E-2</v>
      </c>
      <c r="W5004" s="508">
        <v>9.5000000000000001E-2</v>
      </c>
      <c r="X5004" s="508">
        <v>9.5000000000000001E-2</v>
      </c>
      <c r="Y5004" s="508">
        <v>9.5000000000000001E-2</v>
      </c>
      <c r="Z5004" s="508">
        <v>9.5000000000000001E-2</v>
      </c>
      <c r="AA5004" s="508">
        <v>9.5000000000000001E-2</v>
      </c>
      <c r="AB5004" s="508">
        <v>9.5000000000000001E-2</v>
      </c>
      <c r="AC5004" s="508">
        <v>9.5000000000000001E-2</v>
      </c>
      <c r="AD5004" s="508">
        <v>9.5000000000000001E-2</v>
      </c>
      <c r="AE5004" s="508">
        <v>9.5000000000000001E-2</v>
      </c>
      <c r="AF5004" s="508">
        <v>9.5000000000000001E-2</v>
      </c>
      <c r="AG5004" s="508">
        <v>9.5000000000000001E-2</v>
      </c>
      <c r="AH5004" s="508">
        <v>9.5000000000000001E-2</v>
      </c>
      <c r="AI5004" s="492">
        <v>9.5000000000000001E-2</v>
      </c>
      <c r="AJ5004" s="485"/>
    </row>
    <row r="5005" spans="2:36">
      <c r="B5005" s="136" t="s">
        <v>471</v>
      </c>
      <c r="C5005" s="132" t="s">
        <v>1372</v>
      </c>
      <c r="D5005" s="132" t="s">
        <v>1379</v>
      </c>
      <c r="E5005" s="508">
        <v>9.1999999999999998E-2</v>
      </c>
      <c r="F5005" s="508">
        <v>9.1999999999999998E-2</v>
      </c>
      <c r="G5005" s="508">
        <v>9.1999999999999998E-2</v>
      </c>
      <c r="H5005" s="508">
        <v>9.1999999999999998E-2</v>
      </c>
      <c r="I5005" s="508">
        <v>9.1999999999999998E-2</v>
      </c>
      <c r="J5005" s="508">
        <v>9.1999999999999998E-2</v>
      </c>
      <c r="K5005" s="508">
        <v>9.1999999999999998E-2</v>
      </c>
      <c r="L5005" s="508">
        <v>9.0999999999999998E-2</v>
      </c>
      <c r="M5005" s="508">
        <v>9.1999999999999998E-2</v>
      </c>
      <c r="N5005" s="508">
        <v>9.1999999999999998E-2</v>
      </c>
      <c r="O5005" s="508">
        <v>9.1999999999999998E-2</v>
      </c>
      <c r="P5005" s="508">
        <v>9.0999999999999998E-2</v>
      </c>
      <c r="Q5005" s="508">
        <v>9.1999999999999998E-2</v>
      </c>
      <c r="R5005" s="508">
        <v>9.0999999999999998E-2</v>
      </c>
      <c r="S5005" s="508">
        <v>9.0999999999999998E-2</v>
      </c>
      <c r="T5005" s="508">
        <v>9.0999999999999998E-2</v>
      </c>
      <c r="U5005" s="508">
        <v>9.0999999999999998E-2</v>
      </c>
      <c r="V5005" s="508">
        <v>9.0999999999999998E-2</v>
      </c>
      <c r="W5005" s="508">
        <v>9.0999999999999998E-2</v>
      </c>
      <c r="X5005" s="508">
        <v>9.1999999999999998E-2</v>
      </c>
      <c r="Y5005" s="508">
        <v>9.1999999999999998E-2</v>
      </c>
      <c r="Z5005" s="508">
        <v>9.0999999999999998E-2</v>
      </c>
      <c r="AA5005" s="508">
        <v>9.0999999999999998E-2</v>
      </c>
      <c r="AB5005" s="508">
        <v>9.0999999999999998E-2</v>
      </c>
      <c r="AC5005" s="508">
        <v>9.1999999999999998E-2</v>
      </c>
      <c r="AD5005" s="508">
        <v>9.0999999999999998E-2</v>
      </c>
      <c r="AE5005" s="508">
        <v>9.0999999999999998E-2</v>
      </c>
      <c r="AF5005" s="508">
        <v>9.0999999999999998E-2</v>
      </c>
      <c r="AG5005" s="508">
        <v>9.0999999999999998E-2</v>
      </c>
      <c r="AH5005" s="508">
        <v>9.0999999999999998E-2</v>
      </c>
      <c r="AI5005" s="492">
        <v>9.0999999999999998E-2</v>
      </c>
      <c r="AJ5005" s="485"/>
    </row>
    <row r="5006" spans="2:36">
      <c r="B5006" s="136" t="s">
        <v>472</v>
      </c>
      <c r="C5006" s="132" t="s">
        <v>1372</v>
      </c>
      <c r="D5006" s="132" t="s">
        <v>1379</v>
      </c>
      <c r="E5006" s="508">
        <v>7.5999999999999998E-2</v>
      </c>
      <c r="F5006" s="508">
        <v>7.5999999999999998E-2</v>
      </c>
      <c r="G5006" s="508">
        <v>7.5999999999999998E-2</v>
      </c>
      <c r="H5006" s="508">
        <v>7.5999999999999998E-2</v>
      </c>
      <c r="I5006" s="508">
        <v>7.5999999999999998E-2</v>
      </c>
      <c r="J5006" s="508">
        <v>7.5999999999999998E-2</v>
      </c>
      <c r="K5006" s="508">
        <v>7.5999999999999998E-2</v>
      </c>
      <c r="L5006" s="508">
        <v>7.5999999999999998E-2</v>
      </c>
      <c r="M5006" s="508">
        <v>7.5999999999999998E-2</v>
      </c>
      <c r="N5006" s="508">
        <v>7.5999999999999998E-2</v>
      </c>
      <c r="O5006" s="508">
        <v>7.5999999999999998E-2</v>
      </c>
      <c r="P5006" s="508">
        <v>7.5999999999999998E-2</v>
      </c>
      <c r="Q5006" s="508">
        <v>7.5999999999999998E-2</v>
      </c>
      <c r="R5006" s="508">
        <v>7.5999999999999998E-2</v>
      </c>
      <c r="S5006" s="508">
        <v>7.5999999999999998E-2</v>
      </c>
      <c r="T5006" s="508">
        <v>7.5999999999999998E-2</v>
      </c>
      <c r="U5006" s="508">
        <v>7.5999999999999998E-2</v>
      </c>
      <c r="V5006" s="508">
        <v>7.5999999999999998E-2</v>
      </c>
      <c r="W5006" s="508">
        <v>7.5999999999999998E-2</v>
      </c>
      <c r="X5006" s="508">
        <v>7.5999999999999998E-2</v>
      </c>
      <c r="Y5006" s="508">
        <v>7.5999999999999998E-2</v>
      </c>
      <c r="Z5006" s="508">
        <v>7.5999999999999998E-2</v>
      </c>
      <c r="AA5006" s="508">
        <v>7.5999999999999998E-2</v>
      </c>
      <c r="AB5006" s="508">
        <v>7.5999999999999998E-2</v>
      </c>
      <c r="AC5006" s="508">
        <v>7.5999999999999998E-2</v>
      </c>
      <c r="AD5006" s="508">
        <v>7.5999999999999998E-2</v>
      </c>
      <c r="AE5006" s="508">
        <v>7.5999999999999998E-2</v>
      </c>
      <c r="AF5006" s="508">
        <v>7.5999999999999998E-2</v>
      </c>
      <c r="AG5006" s="508">
        <v>7.5999999999999998E-2</v>
      </c>
      <c r="AH5006" s="508">
        <v>7.5999999999999998E-2</v>
      </c>
      <c r="AI5006" s="492">
        <v>7.5999999999999998E-2</v>
      </c>
      <c r="AJ5006" s="485"/>
    </row>
    <row r="5007" spans="2:36">
      <c r="B5007" s="136" t="s">
        <v>473</v>
      </c>
      <c r="C5007" s="132" t="s">
        <v>1372</v>
      </c>
      <c r="D5007" s="132" t="s">
        <v>1379</v>
      </c>
      <c r="E5007" s="508">
        <v>9.7000000000000003E-2</v>
      </c>
      <c r="F5007" s="508">
        <v>9.7000000000000003E-2</v>
      </c>
      <c r="G5007" s="508">
        <v>9.7000000000000003E-2</v>
      </c>
      <c r="H5007" s="508">
        <v>9.7000000000000003E-2</v>
      </c>
      <c r="I5007" s="508">
        <v>9.7000000000000003E-2</v>
      </c>
      <c r="J5007" s="508">
        <v>9.7000000000000003E-2</v>
      </c>
      <c r="K5007" s="508">
        <v>9.7000000000000003E-2</v>
      </c>
      <c r="L5007" s="508">
        <v>9.6000000000000002E-2</v>
      </c>
      <c r="M5007" s="508">
        <v>9.7000000000000003E-2</v>
      </c>
      <c r="N5007" s="508">
        <v>9.7000000000000003E-2</v>
      </c>
      <c r="O5007" s="508">
        <v>9.7000000000000003E-2</v>
      </c>
      <c r="P5007" s="508">
        <v>9.6000000000000002E-2</v>
      </c>
      <c r="Q5007" s="508">
        <v>9.7000000000000003E-2</v>
      </c>
      <c r="R5007" s="508">
        <v>9.6000000000000002E-2</v>
      </c>
      <c r="S5007" s="508">
        <v>9.7000000000000003E-2</v>
      </c>
      <c r="T5007" s="508">
        <v>9.6000000000000002E-2</v>
      </c>
      <c r="U5007" s="508">
        <v>9.7000000000000003E-2</v>
      </c>
      <c r="V5007" s="508">
        <v>9.6000000000000002E-2</v>
      </c>
      <c r="W5007" s="508">
        <v>9.6000000000000002E-2</v>
      </c>
      <c r="X5007" s="508">
        <v>9.7000000000000003E-2</v>
      </c>
      <c r="Y5007" s="508">
        <v>9.7000000000000003E-2</v>
      </c>
      <c r="Z5007" s="508">
        <v>9.6000000000000002E-2</v>
      </c>
      <c r="AA5007" s="508">
        <v>9.7000000000000003E-2</v>
      </c>
      <c r="AB5007" s="508">
        <v>9.6000000000000002E-2</v>
      </c>
      <c r="AC5007" s="508">
        <v>9.7000000000000003E-2</v>
      </c>
      <c r="AD5007" s="508">
        <v>9.6000000000000002E-2</v>
      </c>
      <c r="AE5007" s="508">
        <v>9.6000000000000002E-2</v>
      </c>
      <c r="AF5007" s="508">
        <v>9.6000000000000002E-2</v>
      </c>
      <c r="AG5007" s="508">
        <v>9.6000000000000002E-2</v>
      </c>
      <c r="AH5007" s="508">
        <v>9.6000000000000002E-2</v>
      </c>
      <c r="AI5007" s="492">
        <v>9.6000000000000002E-2</v>
      </c>
      <c r="AJ5007" s="485"/>
    </row>
    <row r="5008" spans="2:36">
      <c r="B5008" s="136" t="s">
        <v>474</v>
      </c>
      <c r="C5008" s="132" t="s">
        <v>1372</v>
      </c>
      <c r="D5008" s="132" t="s">
        <v>1379</v>
      </c>
      <c r="E5008" s="508">
        <v>8.7999999999999995E-2</v>
      </c>
      <c r="F5008" s="508">
        <v>8.7999999999999995E-2</v>
      </c>
      <c r="G5008" s="508">
        <v>8.7999999999999995E-2</v>
      </c>
      <c r="H5008" s="508">
        <v>8.7999999999999995E-2</v>
      </c>
      <c r="I5008" s="508">
        <v>8.7999999999999995E-2</v>
      </c>
      <c r="J5008" s="508">
        <v>8.7999999999999995E-2</v>
      </c>
      <c r="K5008" s="508">
        <v>8.7999999999999995E-2</v>
      </c>
      <c r="L5008" s="508">
        <v>8.7999999999999995E-2</v>
      </c>
      <c r="M5008" s="508">
        <v>8.7999999999999995E-2</v>
      </c>
      <c r="N5008" s="508">
        <v>8.7999999999999995E-2</v>
      </c>
      <c r="O5008" s="508">
        <v>8.7999999999999995E-2</v>
      </c>
      <c r="P5008" s="508">
        <v>8.7999999999999995E-2</v>
      </c>
      <c r="Q5008" s="508">
        <v>8.8999999999999996E-2</v>
      </c>
      <c r="R5008" s="508">
        <v>8.7999999999999995E-2</v>
      </c>
      <c r="S5008" s="508">
        <v>8.7999999999999995E-2</v>
      </c>
      <c r="T5008" s="508">
        <v>8.7999999999999995E-2</v>
      </c>
      <c r="U5008" s="508">
        <v>8.7999999999999995E-2</v>
      </c>
      <c r="V5008" s="508">
        <v>8.7999999999999995E-2</v>
      </c>
      <c r="W5008" s="508">
        <v>8.7999999999999995E-2</v>
      </c>
      <c r="X5008" s="508">
        <v>8.7999999999999995E-2</v>
      </c>
      <c r="Y5008" s="508">
        <v>8.7999999999999995E-2</v>
      </c>
      <c r="Z5008" s="508">
        <v>8.7999999999999995E-2</v>
      </c>
      <c r="AA5008" s="508">
        <v>8.7999999999999995E-2</v>
      </c>
      <c r="AB5008" s="508">
        <v>8.7999999999999995E-2</v>
      </c>
      <c r="AC5008" s="508">
        <v>8.8999999999999996E-2</v>
      </c>
      <c r="AD5008" s="508">
        <v>8.7999999999999995E-2</v>
      </c>
      <c r="AE5008" s="508">
        <v>8.7999999999999995E-2</v>
      </c>
      <c r="AF5008" s="508">
        <v>8.7999999999999995E-2</v>
      </c>
      <c r="AG5008" s="508">
        <v>8.7999999999999995E-2</v>
      </c>
      <c r="AH5008" s="508">
        <v>8.7999999999999995E-2</v>
      </c>
      <c r="AI5008" s="492">
        <v>8.7999999999999995E-2</v>
      </c>
      <c r="AJ5008" s="485"/>
    </row>
    <row r="5009" spans="2:36">
      <c r="B5009" s="136" t="s">
        <v>475</v>
      </c>
      <c r="C5009" s="132" t="s">
        <v>1372</v>
      </c>
      <c r="D5009" s="132" t="s">
        <v>1379</v>
      </c>
      <c r="E5009" s="508">
        <v>8.5000000000000006E-2</v>
      </c>
      <c r="F5009" s="508">
        <v>8.5000000000000006E-2</v>
      </c>
      <c r="G5009" s="508">
        <v>8.5000000000000006E-2</v>
      </c>
      <c r="H5009" s="508">
        <v>8.5000000000000006E-2</v>
      </c>
      <c r="I5009" s="508">
        <v>8.5000000000000006E-2</v>
      </c>
      <c r="J5009" s="508">
        <v>8.5000000000000006E-2</v>
      </c>
      <c r="K5009" s="508">
        <v>8.5000000000000006E-2</v>
      </c>
      <c r="L5009" s="508">
        <v>8.5000000000000006E-2</v>
      </c>
      <c r="M5009" s="508">
        <v>8.5000000000000006E-2</v>
      </c>
      <c r="N5009" s="508">
        <v>8.5000000000000006E-2</v>
      </c>
      <c r="O5009" s="508">
        <v>8.5000000000000006E-2</v>
      </c>
      <c r="P5009" s="508">
        <v>8.5000000000000006E-2</v>
      </c>
      <c r="Q5009" s="508">
        <v>8.5000000000000006E-2</v>
      </c>
      <c r="R5009" s="508">
        <v>8.5000000000000006E-2</v>
      </c>
      <c r="S5009" s="508">
        <v>8.5000000000000006E-2</v>
      </c>
      <c r="T5009" s="508">
        <v>8.5000000000000006E-2</v>
      </c>
      <c r="U5009" s="508">
        <v>8.5000000000000006E-2</v>
      </c>
      <c r="V5009" s="508">
        <v>8.5000000000000006E-2</v>
      </c>
      <c r="W5009" s="508">
        <v>8.5000000000000006E-2</v>
      </c>
      <c r="X5009" s="508">
        <v>8.5000000000000006E-2</v>
      </c>
      <c r="Y5009" s="508">
        <v>8.5000000000000006E-2</v>
      </c>
      <c r="Z5009" s="508">
        <v>8.5000000000000006E-2</v>
      </c>
      <c r="AA5009" s="508">
        <v>8.5000000000000006E-2</v>
      </c>
      <c r="AB5009" s="508">
        <v>8.5000000000000006E-2</v>
      </c>
      <c r="AC5009" s="508">
        <v>8.5000000000000006E-2</v>
      </c>
      <c r="AD5009" s="508">
        <v>8.5000000000000006E-2</v>
      </c>
      <c r="AE5009" s="508">
        <v>8.5000000000000006E-2</v>
      </c>
      <c r="AF5009" s="508">
        <v>8.5000000000000006E-2</v>
      </c>
      <c r="AG5009" s="508">
        <v>8.5000000000000006E-2</v>
      </c>
      <c r="AH5009" s="508">
        <v>8.5000000000000006E-2</v>
      </c>
      <c r="AI5009" s="492">
        <v>8.5000000000000006E-2</v>
      </c>
      <c r="AJ5009" s="485"/>
    </row>
    <row r="5010" spans="2:36">
      <c r="B5010" s="136" t="s">
        <v>476</v>
      </c>
      <c r="C5010" s="132" t="s">
        <v>1372</v>
      </c>
      <c r="D5010" s="132" t="s">
        <v>1379</v>
      </c>
      <c r="E5010" s="508">
        <v>9.1999999999999998E-2</v>
      </c>
      <c r="F5010" s="508">
        <v>9.1999999999999998E-2</v>
      </c>
      <c r="G5010" s="508">
        <v>9.1999999999999998E-2</v>
      </c>
      <c r="H5010" s="508">
        <v>9.1999999999999998E-2</v>
      </c>
      <c r="I5010" s="508">
        <v>9.1999999999999998E-2</v>
      </c>
      <c r="J5010" s="508">
        <v>9.1999999999999998E-2</v>
      </c>
      <c r="K5010" s="508">
        <v>9.1999999999999998E-2</v>
      </c>
      <c r="L5010" s="508">
        <v>9.0999999999999998E-2</v>
      </c>
      <c r="M5010" s="508">
        <v>9.1999999999999998E-2</v>
      </c>
      <c r="N5010" s="508">
        <v>9.1999999999999998E-2</v>
      </c>
      <c r="O5010" s="508">
        <v>9.1999999999999998E-2</v>
      </c>
      <c r="P5010" s="508">
        <v>9.1999999999999998E-2</v>
      </c>
      <c r="Q5010" s="508">
        <v>9.1999999999999998E-2</v>
      </c>
      <c r="R5010" s="508">
        <v>9.1999999999999998E-2</v>
      </c>
      <c r="S5010" s="508">
        <v>9.1999999999999998E-2</v>
      </c>
      <c r="T5010" s="508">
        <v>9.1999999999999998E-2</v>
      </c>
      <c r="U5010" s="508">
        <v>9.1999999999999998E-2</v>
      </c>
      <c r="V5010" s="508">
        <v>9.1999999999999998E-2</v>
      </c>
      <c r="W5010" s="508">
        <v>9.1999999999999998E-2</v>
      </c>
      <c r="X5010" s="508">
        <v>9.1999999999999998E-2</v>
      </c>
      <c r="Y5010" s="508">
        <v>9.1999999999999998E-2</v>
      </c>
      <c r="Z5010" s="508">
        <v>9.1999999999999998E-2</v>
      </c>
      <c r="AA5010" s="508">
        <v>9.1999999999999998E-2</v>
      </c>
      <c r="AB5010" s="508">
        <v>9.1999999999999998E-2</v>
      </c>
      <c r="AC5010" s="508">
        <v>9.1999999999999998E-2</v>
      </c>
      <c r="AD5010" s="508">
        <v>9.1999999999999998E-2</v>
      </c>
      <c r="AE5010" s="508">
        <v>9.0999999999999998E-2</v>
      </c>
      <c r="AF5010" s="508">
        <v>9.0999999999999998E-2</v>
      </c>
      <c r="AG5010" s="508">
        <v>9.0999999999999998E-2</v>
      </c>
      <c r="AH5010" s="508">
        <v>9.0999999999999998E-2</v>
      </c>
      <c r="AI5010" s="492">
        <v>9.0999999999999998E-2</v>
      </c>
      <c r="AJ5010" s="485"/>
    </row>
    <row r="5011" spans="2:36">
      <c r="B5011" s="136" t="s">
        <v>478</v>
      </c>
      <c r="C5011" s="132" t="s">
        <v>1372</v>
      </c>
      <c r="D5011" s="132" t="s">
        <v>1379</v>
      </c>
      <c r="E5011" s="508">
        <v>9.7000000000000003E-2</v>
      </c>
      <c r="F5011" s="508">
        <v>9.7000000000000003E-2</v>
      </c>
      <c r="G5011" s="508">
        <v>9.7000000000000003E-2</v>
      </c>
      <c r="H5011" s="508">
        <v>9.7000000000000003E-2</v>
      </c>
      <c r="I5011" s="508">
        <v>9.7000000000000003E-2</v>
      </c>
      <c r="J5011" s="508">
        <v>9.7000000000000003E-2</v>
      </c>
      <c r="K5011" s="508">
        <v>9.7000000000000003E-2</v>
      </c>
      <c r="L5011" s="508">
        <v>9.7000000000000003E-2</v>
      </c>
      <c r="M5011" s="508">
        <v>9.7000000000000003E-2</v>
      </c>
      <c r="N5011" s="508">
        <v>9.7000000000000003E-2</v>
      </c>
      <c r="O5011" s="508">
        <v>9.7000000000000003E-2</v>
      </c>
      <c r="P5011" s="508">
        <v>9.7000000000000003E-2</v>
      </c>
      <c r="Q5011" s="508">
        <v>9.7000000000000003E-2</v>
      </c>
      <c r="R5011" s="508">
        <v>9.7000000000000003E-2</v>
      </c>
      <c r="S5011" s="508">
        <v>9.7000000000000003E-2</v>
      </c>
      <c r="T5011" s="508">
        <v>9.7000000000000003E-2</v>
      </c>
      <c r="U5011" s="508">
        <v>9.7000000000000003E-2</v>
      </c>
      <c r="V5011" s="508">
        <v>9.7000000000000003E-2</v>
      </c>
      <c r="W5011" s="508">
        <v>9.7000000000000003E-2</v>
      </c>
      <c r="X5011" s="508">
        <v>9.7000000000000003E-2</v>
      </c>
      <c r="Y5011" s="508">
        <v>9.7000000000000003E-2</v>
      </c>
      <c r="Z5011" s="508">
        <v>9.7000000000000003E-2</v>
      </c>
      <c r="AA5011" s="508">
        <v>9.7000000000000003E-2</v>
      </c>
      <c r="AB5011" s="508">
        <v>9.7000000000000003E-2</v>
      </c>
      <c r="AC5011" s="508">
        <v>9.7000000000000003E-2</v>
      </c>
      <c r="AD5011" s="508">
        <v>9.7000000000000003E-2</v>
      </c>
      <c r="AE5011" s="508">
        <v>9.7000000000000003E-2</v>
      </c>
      <c r="AF5011" s="508">
        <v>9.7000000000000003E-2</v>
      </c>
      <c r="AG5011" s="508">
        <v>9.7000000000000003E-2</v>
      </c>
      <c r="AH5011" s="508">
        <v>9.7000000000000003E-2</v>
      </c>
      <c r="AI5011" s="492">
        <v>9.7000000000000003E-2</v>
      </c>
      <c r="AJ5011" s="485"/>
    </row>
    <row r="5012" spans="2:36">
      <c r="B5012" s="136" t="s">
        <v>479</v>
      </c>
      <c r="C5012" s="132" t="s">
        <v>1372</v>
      </c>
      <c r="D5012" s="132" t="s">
        <v>1379</v>
      </c>
      <c r="E5012" s="508">
        <v>8.5999999999999993E-2</v>
      </c>
      <c r="F5012" s="508">
        <v>8.5999999999999993E-2</v>
      </c>
      <c r="G5012" s="508">
        <v>8.5999999999999993E-2</v>
      </c>
      <c r="H5012" s="508">
        <v>8.5999999999999993E-2</v>
      </c>
      <c r="I5012" s="508">
        <v>8.5999999999999993E-2</v>
      </c>
      <c r="J5012" s="508">
        <v>8.5999999999999993E-2</v>
      </c>
      <c r="K5012" s="508">
        <v>8.5999999999999993E-2</v>
      </c>
      <c r="L5012" s="508">
        <v>8.5999999999999993E-2</v>
      </c>
      <c r="M5012" s="508">
        <v>8.5999999999999993E-2</v>
      </c>
      <c r="N5012" s="508">
        <v>8.5999999999999993E-2</v>
      </c>
      <c r="O5012" s="508">
        <v>8.5999999999999993E-2</v>
      </c>
      <c r="P5012" s="508">
        <v>8.5999999999999993E-2</v>
      </c>
      <c r="Q5012" s="508">
        <v>8.5999999999999993E-2</v>
      </c>
      <c r="R5012" s="508">
        <v>8.5999999999999993E-2</v>
      </c>
      <c r="S5012" s="508">
        <v>8.5999999999999993E-2</v>
      </c>
      <c r="T5012" s="508">
        <v>8.5999999999999993E-2</v>
      </c>
      <c r="U5012" s="508">
        <v>8.5999999999999993E-2</v>
      </c>
      <c r="V5012" s="508">
        <v>8.5999999999999993E-2</v>
      </c>
      <c r="W5012" s="508">
        <v>8.5999999999999993E-2</v>
      </c>
      <c r="X5012" s="508">
        <v>8.5999999999999993E-2</v>
      </c>
      <c r="Y5012" s="508">
        <v>8.5999999999999993E-2</v>
      </c>
      <c r="Z5012" s="508">
        <v>8.5999999999999993E-2</v>
      </c>
      <c r="AA5012" s="508">
        <v>8.5999999999999993E-2</v>
      </c>
      <c r="AB5012" s="508">
        <v>8.5999999999999993E-2</v>
      </c>
      <c r="AC5012" s="508">
        <v>8.5999999999999993E-2</v>
      </c>
      <c r="AD5012" s="508">
        <v>8.5999999999999993E-2</v>
      </c>
      <c r="AE5012" s="508">
        <v>8.5999999999999993E-2</v>
      </c>
      <c r="AF5012" s="508">
        <v>8.5999999999999993E-2</v>
      </c>
      <c r="AG5012" s="508">
        <v>8.5999999999999993E-2</v>
      </c>
      <c r="AH5012" s="508">
        <v>8.5999999999999993E-2</v>
      </c>
      <c r="AI5012" s="492">
        <v>8.5999999999999993E-2</v>
      </c>
      <c r="AJ5012" s="485"/>
    </row>
    <row r="5013" spans="2:36">
      <c r="B5013" s="136" t="s">
        <v>480</v>
      </c>
      <c r="C5013" s="132" t="s">
        <v>1372</v>
      </c>
      <c r="D5013" s="132" t="s">
        <v>1379</v>
      </c>
      <c r="E5013" s="508">
        <v>7.2999999999999995E-2</v>
      </c>
      <c r="F5013" s="508">
        <v>7.2999999999999995E-2</v>
      </c>
      <c r="G5013" s="508">
        <v>7.2999999999999995E-2</v>
      </c>
      <c r="H5013" s="508">
        <v>7.2999999999999995E-2</v>
      </c>
      <c r="I5013" s="508">
        <v>7.2999999999999995E-2</v>
      </c>
      <c r="J5013" s="508">
        <v>7.2999999999999995E-2</v>
      </c>
      <c r="K5013" s="508">
        <v>7.2999999999999995E-2</v>
      </c>
      <c r="L5013" s="508">
        <v>7.2999999999999995E-2</v>
      </c>
      <c r="M5013" s="508">
        <v>7.2999999999999995E-2</v>
      </c>
      <c r="N5013" s="508">
        <v>7.2999999999999995E-2</v>
      </c>
      <c r="O5013" s="508">
        <v>7.2999999999999995E-2</v>
      </c>
      <c r="P5013" s="508">
        <v>7.2999999999999995E-2</v>
      </c>
      <c r="Q5013" s="508">
        <v>7.2999999999999995E-2</v>
      </c>
      <c r="R5013" s="508">
        <v>7.2999999999999995E-2</v>
      </c>
      <c r="S5013" s="508">
        <v>7.2999999999999995E-2</v>
      </c>
      <c r="T5013" s="508">
        <v>7.2999999999999995E-2</v>
      </c>
      <c r="U5013" s="508">
        <v>7.2999999999999995E-2</v>
      </c>
      <c r="V5013" s="508">
        <v>7.2999999999999995E-2</v>
      </c>
      <c r="W5013" s="508">
        <v>7.2999999999999995E-2</v>
      </c>
      <c r="X5013" s="508">
        <v>7.2999999999999995E-2</v>
      </c>
      <c r="Y5013" s="508">
        <v>7.2999999999999995E-2</v>
      </c>
      <c r="Z5013" s="508">
        <v>7.2999999999999995E-2</v>
      </c>
      <c r="AA5013" s="508">
        <v>7.2999999999999995E-2</v>
      </c>
      <c r="AB5013" s="508">
        <v>7.2999999999999995E-2</v>
      </c>
      <c r="AC5013" s="508">
        <v>7.2999999999999995E-2</v>
      </c>
      <c r="AD5013" s="508">
        <v>7.2999999999999995E-2</v>
      </c>
      <c r="AE5013" s="508">
        <v>7.2999999999999995E-2</v>
      </c>
      <c r="AF5013" s="508">
        <v>7.2999999999999995E-2</v>
      </c>
      <c r="AG5013" s="508">
        <v>7.2999999999999995E-2</v>
      </c>
      <c r="AH5013" s="508">
        <v>7.2999999999999995E-2</v>
      </c>
      <c r="AI5013" s="492">
        <v>7.2999999999999995E-2</v>
      </c>
      <c r="AJ5013" s="485"/>
    </row>
    <row r="5014" spans="2:36">
      <c r="B5014" s="136" t="s">
        <v>481</v>
      </c>
      <c r="C5014" s="132" t="s">
        <v>1372</v>
      </c>
      <c r="D5014" s="132" t="s">
        <v>1379</v>
      </c>
      <c r="E5014" s="508">
        <v>8.8999999999999996E-2</v>
      </c>
      <c r="F5014" s="508">
        <v>8.8999999999999996E-2</v>
      </c>
      <c r="G5014" s="508">
        <v>8.8999999999999996E-2</v>
      </c>
      <c r="H5014" s="508">
        <v>8.8999999999999996E-2</v>
      </c>
      <c r="I5014" s="508">
        <v>8.8999999999999996E-2</v>
      </c>
      <c r="J5014" s="508">
        <v>8.8999999999999996E-2</v>
      </c>
      <c r="K5014" s="508">
        <v>8.8999999999999996E-2</v>
      </c>
      <c r="L5014" s="508">
        <v>8.7999999999999995E-2</v>
      </c>
      <c r="M5014" s="508">
        <v>8.8999999999999996E-2</v>
      </c>
      <c r="N5014" s="508">
        <v>8.8999999999999996E-2</v>
      </c>
      <c r="O5014" s="508">
        <v>8.8999999999999996E-2</v>
      </c>
      <c r="P5014" s="508">
        <v>8.8999999999999996E-2</v>
      </c>
      <c r="Q5014" s="508">
        <v>8.8999999999999996E-2</v>
      </c>
      <c r="R5014" s="508">
        <v>8.8999999999999996E-2</v>
      </c>
      <c r="S5014" s="508">
        <v>8.8999999999999996E-2</v>
      </c>
      <c r="T5014" s="508">
        <v>8.8999999999999996E-2</v>
      </c>
      <c r="U5014" s="508">
        <v>8.8999999999999996E-2</v>
      </c>
      <c r="V5014" s="508">
        <v>8.8999999999999996E-2</v>
      </c>
      <c r="W5014" s="508">
        <v>8.8999999999999996E-2</v>
      </c>
      <c r="X5014" s="508">
        <v>8.8999999999999996E-2</v>
      </c>
      <c r="Y5014" s="508">
        <v>8.8999999999999996E-2</v>
      </c>
      <c r="Z5014" s="508">
        <v>8.8999999999999996E-2</v>
      </c>
      <c r="AA5014" s="508">
        <v>8.8999999999999996E-2</v>
      </c>
      <c r="AB5014" s="508">
        <v>8.8999999999999996E-2</v>
      </c>
      <c r="AC5014" s="508">
        <v>8.8999999999999996E-2</v>
      </c>
      <c r="AD5014" s="508">
        <v>8.8999999999999996E-2</v>
      </c>
      <c r="AE5014" s="508">
        <v>8.7999999999999995E-2</v>
      </c>
      <c r="AF5014" s="508">
        <v>8.7999999999999995E-2</v>
      </c>
      <c r="AG5014" s="508">
        <v>8.7999999999999995E-2</v>
      </c>
      <c r="AH5014" s="508">
        <v>8.7999999999999995E-2</v>
      </c>
      <c r="AI5014" s="492">
        <v>8.7999999999999995E-2</v>
      </c>
      <c r="AJ5014" s="485"/>
    </row>
    <row r="5015" spans="2:36">
      <c r="B5015" s="136" t="s">
        <v>482</v>
      </c>
      <c r="C5015" s="132" t="s">
        <v>1372</v>
      </c>
      <c r="D5015" s="132" t="s">
        <v>1379</v>
      </c>
      <c r="E5015" s="508">
        <v>8.7999999999999995E-2</v>
      </c>
      <c r="F5015" s="508">
        <v>8.7999999999999995E-2</v>
      </c>
      <c r="G5015" s="508">
        <v>8.7999999999999995E-2</v>
      </c>
      <c r="H5015" s="508">
        <v>8.7999999999999995E-2</v>
      </c>
      <c r="I5015" s="508">
        <v>8.7999999999999995E-2</v>
      </c>
      <c r="J5015" s="508">
        <v>8.7999999999999995E-2</v>
      </c>
      <c r="K5015" s="508">
        <v>8.7999999999999995E-2</v>
      </c>
      <c r="L5015" s="508">
        <v>8.7999999999999995E-2</v>
      </c>
      <c r="M5015" s="508">
        <v>8.7999999999999995E-2</v>
      </c>
      <c r="N5015" s="508">
        <v>8.7999999999999995E-2</v>
      </c>
      <c r="O5015" s="508">
        <v>8.7999999999999995E-2</v>
      </c>
      <c r="P5015" s="508">
        <v>8.7999999999999995E-2</v>
      </c>
      <c r="Q5015" s="508">
        <v>8.7999999999999995E-2</v>
      </c>
      <c r="R5015" s="508">
        <v>8.7999999999999995E-2</v>
      </c>
      <c r="S5015" s="508">
        <v>8.7999999999999995E-2</v>
      </c>
      <c r="T5015" s="508">
        <v>8.7999999999999995E-2</v>
      </c>
      <c r="U5015" s="508">
        <v>8.7999999999999995E-2</v>
      </c>
      <c r="V5015" s="508">
        <v>8.7999999999999995E-2</v>
      </c>
      <c r="W5015" s="508">
        <v>8.7999999999999995E-2</v>
      </c>
      <c r="X5015" s="508">
        <v>8.7999999999999995E-2</v>
      </c>
      <c r="Y5015" s="508">
        <v>8.7999999999999995E-2</v>
      </c>
      <c r="Z5015" s="508">
        <v>8.7999999999999995E-2</v>
      </c>
      <c r="AA5015" s="508">
        <v>8.7999999999999995E-2</v>
      </c>
      <c r="AB5015" s="508">
        <v>8.7999999999999995E-2</v>
      </c>
      <c r="AC5015" s="508">
        <v>8.7999999999999995E-2</v>
      </c>
      <c r="AD5015" s="508">
        <v>8.7999999999999995E-2</v>
      </c>
      <c r="AE5015" s="508">
        <v>8.7999999999999995E-2</v>
      </c>
      <c r="AF5015" s="508">
        <v>8.7999999999999995E-2</v>
      </c>
      <c r="AG5015" s="508">
        <v>8.7999999999999995E-2</v>
      </c>
      <c r="AH5015" s="508">
        <v>8.7999999999999995E-2</v>
      </c>
      <c r="AI5015" s="492">
        <v>8.7999999999999995E-2</v>
      </c>
      <c r="AJ5015" s="485"/>
    </row>
    <row r="5016" spans="2:36">
      <c r="B5016" s="136" t="s">
        <v>483</v>
      </c>
      <c r="C5016" s="132" t="s">
        <v>1372</v>
      </c>
      <c r="D5016" s="132" t="s">
        <v>1379</v>
      </c>
      <c r="E5016" s="508">
        <v>9.6000000000000002E-2</v>
      </c>
      <c r="F5016" s="508">
        <v>9.6000000000000002E-2</v>
      </c>
      <c r="G5016" s="508">
        <v>9.6000000000000002E-2</v>
      </c>
      <c r="H5016" s="508">
        <v>9.6000000000000002E-2</v>
      </c>
      <c r="I5016" s="508">
        <v>9.6000000000000002E-2</v>
      </c>
      <c r="J5016" s="508">
        <v>9.6000000000000002E-2</v>
      </c>
      <c r="K5016" s="508">
        <v>9.6000000000000002E-2</v>
      </c>
      <c r="L5016" s="508">
        <v>9.6000000000000002E-2</v>
      </c>
      <c r="M5016" s="508">
        <v>9.6000000000000002E-2</v>
      </c>
      <c r="N5016" s="508">
        <v>9.6000000000000002E-2</v>
      </c>
      <c r="O5016" s="508">
        <v>9.6000000000000002E-2</v>
      </c>
      <c r="P5016" s="508">
        <v>9.6000000000000002E-2</v>
      </c>
      <c r="Q5016" s="508">
        <v>9.6000000000000002E-2</v>
      </c>
      <c r="R5016" s="508">
        <v>9.6000000000000002E-2</v>
      </c>
      <c r="S5016" s="508">
        <v>9.6000000000000002E-2</v>
      </c>
      <c r="T5016" s="508">
        <v>9.6000000000000002E-2</v>
      </c>
      <c r="U5016" s="508">
        <v>9.6000000000000002E-2</v>
      </c>
      <c r="V5016" s="508">
        <v>9.6000000000000002E-2</v>
      </c>
      <c r="W5016" s="508">
        <v>9.6000000000000002E-2</v>
      </c>
      <c r="X5016" s="508">
        <v>9.6000000000000002E-2</v>
      </c>
      <c r="Y5016" s="508">
        <v>9.6000000000000002E-2</v>
      </c>
      <c r="Z5016" s="508">
        <v>9.6000000000000002E-2</v>
      </c>
      <c r="AA5016" s="508">
        <v>9.6000000000000002E-2</v>
      </c>
      <c r="AB5016" s="508">
        <v>9.6000000000000002E-2</v>
      </c>
      <c r="AC5016" s="508">
        <v>9.6000000000000002E-2</v>
      </c>
      <c r="AD5016" s="508">
        <v>9.6000000000000002E-2</v>
      </c>
      <c r="AE5016" s="508">
        <v>9.6000000000000002E-2</v>
      </c>
      <c r="AF5016" s="508">
        <v>9.6000000000000002E-2</v>
      </c>
      <c r="AG5016" s="508">
        <v>9.6000000000000002E-2</v>
      </c>
      <c r="AH5016" s="508">
        <v>9.6000000000000002E-2</v>
      </c>
      <c r="AI5016" s="492">
        <v>9.6000000000000002E-2</v>
      </c>
      <c r="AJ5016" s="485"/>
    </row>
    <row r="5017" spans="2:36">
      <c r="B5017" s="136" t="s">
        <v>484</v>
      </c>
      <c r="C5017" s="132" t="s">
        <v>1372</v>
      </c>
      <c r="D5017" s="132" t="s">
        <v>1379</v>
      </c>
      <c r="E5017" s="508">
        <v>7.4999999999999997E-2</v>
      </c>
      <c r="F5017" s="508">
        <v>7.4999999999999997E-2</v>
      </c>
      <c r="G5017" s="508">
        <v>7.4999999999999997E-2</v>
      </c>
      <c r="H5017" s="508">
        <v>7.4999999999999997E-2</v>
      </c>
      <c r="I5017" s="508">
        <v>7.4999999999999997E-2</v>
      </c>
      <c r="J5017" s="508">
        <v>7.4999999999999997E-2</v>
      </c>
      <c r="K5017" s="508">
        <v>7.4999999999999997E-2</v>
      </c>
      <c r="L5017" s="508">
        <v>7.4999999999999997E-2</v>
      </c>
      <c r="M5017" s="508">
        <v>7.4999999999999997E-2</v>
      </c>
      <c r="N5017" s="508">
        <v>7.4999999999999997E-2</v>
      </c>
      <c r="O5017" s="508">
        <v>7.4999999999999997E-2</v>
      </c>
      <c r="P5017" s="508">
        <v>7.4999999999999997E-2</v>
      </c>
      <c r="Q5017" s="508">
        <v>7.5999999999999998E-2</v>
      </c>
      <c r="R5017" s="508">
        <v>7.4999999999999997E-2</v>
      </c>
      <c r="S5017" s="508">
        <v>7.4999999999999997E-2</v>
      </c>
      <c r="T5017" s="508">
        <v>7.4999999999999997E-2</v>
      </c>
      <c r="U5017" s="508">
        <v>7.4999999999999997E-2</v>
      </c>
      <c r="V5017" s="508">
        <v>7.4999999999999997E-2</v>
      </c>
      <c r="W5017" s="508">
        <v>7.4999999999999997E-2</v>
      </c>
      <c r="X5017" s="508">
        <v>7.4999999999999997E-2</v>
      </c>
      <c r="Y5017" s="508">
        <v>7.4999999999999997E-2</v>
      </c>
      <c r="Z5017" s="508">
        <v>7.4999999999999997E-2</v>
      </c>
      <c r="AA5017" s="508">
        <v>7.4999999999999997E-2</v>
      </c>
      <c r="AB5017" s="508">
        <v>7.4999999999999997E-2</v>
      </c>
      <c r="AC5017" s="508">
        <v>7.5999999999999998E-2</v>
      </c>
      <c r="AD5017" s="508">
        <v>7.4999999999999997E-2</v>
      </c>
      <c r="AE5017" s="508">
        <v>7.4999999999999997E-2</v>
      </c>
      <c r="AF5017" s="508">
        <v>7.4999999999999997E-2</v>
      </c>
      <c r="AG5017" s="508">
        <v>7.4999999999999997E-2</v>
      </c>
      <c r="AH5017" s="508">
        <v>7.4999999999999997E-2</v>
      </c>
      <c r="AI5017" s="492">
        <v>7.4999999999999997E-2</v>
      </c>
      <c r="AJ5017" s="485"/>
    </row>
    <row r="5018" spans="2:36">
      <c r="B5018" s="136" t="s">
        <v>486</v>
      </c>
      <c r="C5018" s="132" t="s">
        <v>1372</v>
      </c>
      <c r="D5018" s="132" t="s">
        <v>1379</v>
      </c>
      <c r="E5018" s="508">
        <v>8.8999999999999996E-2</v>
      </c>
      <c r="F5018" s="508">
        <v>8.8999999999999996E-2</v>
      </c>
      <c r="G5018" s="508">
        <v>8.8999999999999996E-2</v>
      </c>
      <c r="H5018" s="508">
        <v>8.8999999999999996E-2</v>
      </c>
      <c r="I5018" s="508">
        <v>8.8999999999999996E-2</v>
      </c>
      <c r="J5018" s="508">
        <v>8.8999999999999996E-2</v>
      </c>
      <c r="K5018" s="508">
        <v>8.8999999999999996E-2</v>
      </c>
      <c r="L5018" s="508">
        <v>8.8999999999999996E-2</v>
      </c>
      <c r="M5018" s="508">
        <v>8.8999999999999996E-2</v>
      </c>
      <c r="N5018" s="508">
        <v>8.8999999999999996E-2</v>
      </c>
      <c r="O5018" s="508">
        <v>8.8999999999999996E-2</v>
      </c>
      <c r="P5018" s="508">
        <v>8.8999999999999996E-2</v>
      </c>
      <c r="Q5018" s="508">
        <v>8.8999999999999996E-2</v>
      </c>
      <c r="R5018" s="508">
        <v>8.8999999999999996E-2</v>
      </c>
      <c r="S5018" s="508">
        <v>8.8999999999999996E-2</v>
      </c>
      <c r="T5018" s="508">
        <v>8.8999999999999996E-2</v>
      </c>
      <c r="U5018" s="508">
        <v>8.8999999999999996E-2</v>
      </c>
      <c r="V5018" s="508">
        <v>8.8999999999999996E-2</v>
      </c>
      <c r="W5018" s="508">
        <v>8.8999999999999996E-2</v>
      </c>
      <c r="X5018" s="508">
        <v>8.8999999999999996E-2</v>
      </c>
      <c r="Y5018" s="508">
        <v>8.8999999999999996E-2</v>
      </c>
      <c r="Z5018" s="508">
        <v>8.8999999999999996E-2</v>
      </c>
      <c r="AA5018" s="508">
        <v>8.8999999999999996E-2</v>
      </c>
      <c r="AB5018" s="508">
        <v>8.8999999999999996E-2</v>
      </c>
      <c r="AC5018" s="508">
        <v>8.8999999999999996E-2</v>
      </c>
      <c r="AD5018" s="508">
        <v>8.8999999999999996E-2</v>
      </c>
      <c r="AE5018" s="508">
        <v>8.8999999999999996E-2</v>
      </c>
      <c r="AF5018" s="508">
        <v>8.8999999999999996E-2</v>
      </c>
      <c r="AG5018" s="508">
        <v>8.8999999999999996E-2</v>
      </c>
      <c r="AH5018" s="508">
        <v>8.8999999999999996E-2</v>
      </c>
      <c r="AI5018" s="492">
        <v>8.8999999999999996E-2</v>
      </c>
      <c r="AJ5018" s="485"/>
    </row>
    <row r="5019" spans="2:36">
      <c r="B5019" s="136" t="s">
        <v>487</v>
      </c>
      <c r="C5019" s="132" t="s">
        <v>1372</v>
      </c>
      <c r="D5019" s="132" t="s">
        <v>1379</v>
      </c>
      <c r="E5019" s="508">
        <v>8.8999999999999996E-2</v>
      </c>
      <c r="F5019" s="508">
        <v>8.8999999999999996E-2</v>
      </c>
      <c r="G5019" s="508">
        <v>8.8999999999999996E-2</v>
      </c>
      <c r="H5019" s="508">
        <v>8.8999999999999996E-2</v>
      </c>
      <c r="I5019" s="508">
        <v>8.8999999999999996E-2</v>
      </c>
      <c r="J5019" s="508">
        <v>8.8999999999999996E-2</v>
      </c>
      <c r="K5019" s="508">
        <v>8.8999999999999996E-2</v>
      </c>
      <c r="L5019" s="508">
        <v>8.7999999999999995E-2</v>
      </c>
      <c r="M5019" s="508">
        <v>8.8999999999999996E-2</v>
      </c>
      <c r="N5019" s="508">
        <v>8.8999999999999996E-2</v>
      </c>
      <c r="O5019" s="508">
        <v>8.8999999999999996E-2</v>
      </c>
      <c r="P5019" s="508">
        <v>8.8999999999999996E-2</v>
      </c>
      <c r="Q5019" s="508">
        <v>8.8999999999999996E-2</v>
      </c>
      <c r="R5019" s="508">
        <v>8.8999999999999996E-2</v>
      </c>
      <c r="S5019" s="508">
        <v>8.8999999999999996E-2</v>
      </c>
      <c r="T5019" s="508">
        <v>8.8999999999999996E-2</v>
      </c>
      <c r="U5019" s="508">
        <v>8.8999999999999996E-2</v>
      </c>
      <c r="V5019" s="508">
        <v>8.8999999999999996E-2</v>
      </c>
      <c r="W5019" s="508">
        <v>8.8999999999999996E-2</v>
      </c>
      <c r="X5019" s="508">
        <v>8.8999999999999996E-2</v>
      </c>
      <c r="Y5019" s="508">
        <v>8.8999999999999996E-2</v>
      </c>
      <c r="Z5019" s="508">
        <v>8.8999999999999996E-2</v>
      </c>
      <c r="AA5019" s="508">
        <v>8.8999999999999996E-2</v>
      </c>
      <c r="AB5019" s="508">
        <v>8.8999999999999996E-2</v>
      </c>
      <c r="AC5019" s="508">
        <v>8.8999999999999996E-2</v>
      </c>
      <c r="AD5019" s="508">
        <v>8.8999999999999996E-2</v>
      </c>
      <c r="AE5019" s="508">
        <v>8.7999999999999995E-2</v>
      </c>
      <c r="AF5019" s="508">
        <v>8.7999999999999995E-2</v>
      </c>
      <c r="AG5019" s="508">
        <v>8.7999999999999995E-2</v>
      </c>
      <c r="AH5019" s="508">
        <v>8.7999999999999995E-2</v>
      </c>
      <c r="AI5019" s="492">
        <v>8.7999999999999995E-2</v>
      </c>
      <c r="AJ5019" s="485"/>
    </row>
    <row r="5020" spans="2:36">
      <c r="B5020" s="136" t="s">
        <v>488</v>
      </c>
      <c r="C5020" s="132" t="s">
        <v>1372</v>
      </c>
      <c r="D5020" s="132" t="s">
        <v>1379</v>
      </c>
      <c r="E5020" s="508">
        <v>7.8E-2</v>
      </c>
      <c r="F5020" s="508">
        <v>7.8E-2</v>
      </c>
      <c r="G5020" s="508">
        <v>7.8E-2</v>
      </c>
      <c r="H5020" s="508">
        <v>7.8E-2</v>
      </c>
      <c r="I5020" s="508">
        <v>7.8E-2</v>
      </c>
      <c r="J5020" s="508">
        <v>7.8E-2</v>
      </c>
      <c r="K5020" s="508">
        <v>7.8E-2</v>
      </c>
      <c r="L5020" s="508">
        <v>7.8E-2</v>
      </c>
      <c r="M5020" s="508">
        <v>7.9000000000000001E-2</v>
      </c>
      <c r="N5020" s="508">
        <v>7.8E-2</v>
      </c>
      <c r="O5020" s="508">
        <v>7.8E-2</v>
      </c>
      <c r="P5020" s="508">
        <v>7.8E-2</v>
      </c>
      <c r="Q5020" s="508">
        <v>7.9000000000000001E-2</v>
      </c>
      <c r="R5020" s="508">
        <v>7.8E-2</v>
      </c>
      <c r="S5020" s="508">
        <v>7.8E-2</v>
      </c>
      <c r="T5020" s="508">
        <v>7.8E-2</v>
      </c>
      <c r="U5020" s="508">
        <v>7.8E-2</v>
      </c>
      <c r="V5020" s="508">
        <v>7.8E-2</v>
      </c>
      <c r="W5020" s="508">
        <v>7.8E-2</v>
      </c>
      <c r="X5020" s="508">
        <v>7.9000000000000001E-2</v>
      </c>
      <c r="Y5020" s="508">
        <v>7.8E-2</v>
      </c>
      <c r="Z5020" s="508">
        <v>7.8E-2</v>
      </c>
      <c r="AA5020" s="508">
        <v>7.8E-2</v>
      </c>
      <c r="AB5020" s="508">
        <v>7.8E-2</v>
      </c>
      <c r="AC5020" s="508">
        <v>7.9000000000000001E-2</v>
      </c>
      <c r="AD5020" s="508">
        <v>7.8E-2</v>
      </c>
      <c r="AE5020" s="508">
        <v>7.8E-2</v>
      </c>
      <c r="AF5020" s="508">
        <v>7.8E-2</v>
      </c>
      <c r="AG5020" s="508">
        <v>7.8E-2</v>
      </c>
      <c r="AH5020" s="508">
        <v>7.8E-2</v>
      </c>
      <c r="AI5020" s="492">
        <v>7.8E-2</v>
      </c>
      <c r="AJ5020" s="485"/>
    </row>
    <row r="5021" spans="2:36">
      <c r="B5021" s="136" t="s">
        <v>489</v>
      </c>
      <c r="C5021" s="132" t="s">
        <v>1372</v>
      </c>
      <c r="D5021" s="132" t="s">
        <v>1379</v>
      </c>
      <c r="E5021" s="508">
        <v>8.4000000000000005E-2</v>
      </c>
      <c r="F5021" s="508">
        <v>8.4000000000000005E-2</v>
      </c>
      <c r="G5021" s="508">
        <v>8.4000000000000005E-2</v>
      </c>
      <c r="H5021" s="508">
        <v>8.4000000000000005E-2</v>
      </c>
      <c r="I5021" s="508">
        <v>8.4000000000000005E-2</v>
      </c>
      <c r="J5021" s="508">
        <v>8.4000000000000005E-2</v>
      </c>
      <c r="K5021" s="508">
        <v>8.4000000000000005E-2</v>
      </c>
      <c r="L5021" s="508">
        <v>8.4000000000000005E-2</v>
      </c>
      <c r="M5021" s="508">
        <v>8.4000000000000005E-2</v>
      </c>
      <c r="N5021" s="508">
        <v>8.4000000000000005E-2</v>
      </c>
      <c r="O5021" s="508">
        <v>8.4000000000000005E-2</v>
      </c>
      <c r="P5021" s="508">
        <v>8.4000000000000005E-2</v>
      </c>
      <c r="Q5021" s="508">
        <v>8.4000000000000005E-2</v>
      </c>
      <c r="R5021" s="508">
        <v>8.4000000000000005E-2</v>
      </c>
      <c r="S5021" s="508">
        <v>8.4000000000000005E-2</v>
      </c>
      <c r="T5021" s="508">
        <v>8.4000000000000005E-2</v>
      </c>
      <c r="U5021" s="508">
        <v>8.4000000000000005E-2</v>
      </c>
      <c r="V5021" s="508">
        <v>8.4000000000000005E-2</v>
      </c>
      <c r="W5021" s="508">
        <v>8.4000000000000005E-2</v>
      </c>
      <c r="X5021" s="508">
        <v>8.4000000000000005E-2</v>
      </c>
      <c r="Y5021" s="508">
        <v>8.4000000000000005E-2</v>
      </c>
      <c r="Z5021" s="508">
        <v>8.4000000000000005E-2</v>
      </c>
      <c r="AA5021" s="508">
        <v>8.4000000000000005E-2</v>
      </c>
      <c r="AB5021" s="508">
        <v>8.4000000000000005E-2</v>
      </c>
      <c r="AC5021" s="508">
        <v>8.4000000000000005E-2</v>
      </c>
      <c r="AD5021" s="508">
        <v>8.4000000000000005E-2</v>
      </c>
      <c r="AE5021" s="508">
        <v>8.4000000000000005E-2</v>
      </c>
      <c r="AF5021" s="508">
        <v>8.4000000000000005E-2</v>
      </c>
      <c r="AG5021" s="508">
        <v>8.4000000000000005E-2</v>
      </c>
      <c r="AH5021" s="508">
        <v>8.4000000000000005E-2</v>
      </c>
      <c r="AI5021" s="492">
        <v>8.4000000000000005E-2</v>
      </c>
      <c r="AJ5021" s="485"/>
    </row>
    <row r="5022" spans="2:36">
      <c r="B5022" s="136" t="s">
        <v>490</v>
      </c>
      <c r="C5022" s="132" t="s">
        <v>1372</v>
      </c>
      <c r="D5022" s="132" t="s">
        <v>1379</v>
      </c>
      <c r="E5022" s="508">
        <v>7.3999999999999996E-2</v>
      </c>
      <c r="F5022" s="508">
        <v>7.3999999999999996E-2</v>
      </c>
      <c r="G5022" s="508">
        <v>7.3999999999999996E-2</v>
      </c>
      <c r="H5022" s="508">
        <v>7.3999999999999996E-2</v>
      </c>
      <c r="I5022" s="508">
        <v>7.3999999999999996E-2</v>
      </c>
      <c r="J5022" s="508">
        <v>7.3999999999999996E-2</v>
      </c>
      <c r="K5022" s="508">
        <v>7.3999999999999996E-2</v>
      </c>
      <c r="L5022" s="508">
        <v>7.3999999999999996E-2</v>
      </c>
      <c r="M5022" s="508">
        <v>7.3999999999999996E-2</v>
      </c>
      <c r="N5022" s="508">
        <v>7.3999999999999996E-2</v>
      </c>
      <c r="O5022" s="508">
        <v>7.3999999999999996E-2</v>
      </c>
      <c r="P5022" s="508">
        <v>7.3999999999999996E-2</v>
      </c>
      <c r="Q5022" s="508">
        <v>7.3999999999999996E-2</v>
      </c>
      <c r="R5022" s="508">
        <v>7.3999999999999996E-2</v>
      </c>
      <c r="S5022" s="508">
        <v>7.3999999999999996E-2</v>
      </c>
      <c r="T5022" s="508">
        <v>7.3999999999999996E-2</v>
      </c>
      <c r="U5022" s="508">
        <v>7.3999999999999996E-2</v>
      </c>
      <c r="V5022" s="508">
        <v>7.3999999999999996E-2</v>
      </c>
      <c r="W5022" s="508">
        <v>7.3999999999999996E-2</v>
      </c>
      <c r="X5022" s="508">
        <v>7.3999999999999996E-2</v>
      </c>
      <c r="Y5022" s="508">
        <v>7.3999999999999996E-2</v>
      </c>
      <c r="Z5022" s="508">
        <v>7.3999999999999996E-2</v>
      </c>
      <c r="AA5022" s="508">
        <v>7.3999999999999996E-2</v>
      </c>
      <c r="AB5022" s="508">
        <v>7.3999999999999996E-2</v>
      </c>
      <c r="AC5022" s="508">
        <v>7.3999999999999996E-2</v>
      </c>
      <c r="AD5022" s="508">
        <v>7.3999999999999996E-2</v>
      </c>
      <c r="AE5022" s="508">
        <v>7.3999999999999996E-2</v>
      </c>
      <c r="AF5022" s="508">
        <v>7.3999999999999996E-2</v>
      </c>
      <c r="AG5022" s="508">
        <v>7.3999999999999996E-2</v>
      </c>
      <c r="AH5022" s="508">
        <v>7.3999999999999996E-2</v>
      </c>
      <c r="AI5022" s="492">
        <v>7.3999999999999996E-2</v>
      </c>
      <c r="AJ5022" s="485"/>
    </row>
    <row r="5023" spans="2:36">
      <c r="B5023" s="136" t="s">
        <v>435</v>
      </c>
      <c r="C5023" s="132" t="s">
        <v>1373</v>
      </c>
      <c r="D5023" s="132" t="s">
        <v>1379</v>
      </c>
      <c r="E5023" s="508">
        <v>0.13800000000000001</v>
      </c>
      <c r="F5023" s="508">
        <v>0.13</v>
      </c>
      <c r="G5023" s="508">
        <v>0.14799999999999999</v>
      </c>
      <c r="H5023" s="508">
        <v>0.109</v>
      </c>
      <c r="I5023" s="508">
        <v>0.09</v>
      </c>
      <c r="J5023" s="508">
        <v>9.7000000000000003E-2</v>
      </c>
      <c r="K5023" s="508">
        <v>7.0999999999999994E-2</v>
      </c>
      <c r="L5023" s="508">
        <v>0.10100000000000001</v>
      </c>
      <c r="M5023" s="508">
        <v>7.6999999999999999E-2</v>
      </c>
      <c r="N5023" s="508">
        <v>9.2999999999999999E-2</v>
      </c>
      <c r="O5023" s="508">
        <v>0.11700000000000001</v>
      </c>
      <c r="P5023" s="508">
        <v>0.13300000000000001</v>
      </c>
      <c r="Q5023" s="508">
        <v>0.13700000000000001</v>
      </c>
      <c r="R5023" s="508">
        <v>0.11700000000000001</v>
      </c>
      <c r="S5023" s="508">
        <v>9.1999999999999998E-2</v>
      </c>
      <c r="T5023" s="508">
        <v>0.109</v>
      </c>
      <c r="U5023" s="508">
        <v>9.5000000000000001E-2</v>
      </c>
      <c r="V5023" s="508">
        <v>0.10100000000000001</v>
      </c>
      <c r="W5023" s="508">
        <v>0.105</v>
      </c>
      <c r="X5023" s="508">
        <v>0.10299999999999999</v>
      </c>
      <c r="Y5023" s="508">
        <v>0.111</v>
      </c>
      <c r="Z5023" s="508">
        <v>0.108</v>
      </c>
      <c r="AA5023" s="508">
        <v>0.11899999999999999</v>
      </c>
      <c r="AB5023" s="508">
        <v>9.1999999999999998E-2</v>
      </c>
      <c r="AC5023" s="508">
        <v>0.121</v>
      </c>
      <c r="AD5023" s="508">
        <v>0.115</v>
      </c>
      <c r="AE5023" s="508">
        <v>0.106</v>
      </c>
      <c r="AF5023" s="508">
        <v>0.106</v>
      </c>
      <c r="AG5023" s="508">
        <v>0.106</v>
      </c>
      <c r="AH5023" s="508">
        <v>0.106</v>
      </c>
      <c r="AI5023" s="492">
        <v>0.106</v>
      </c>
      <c r="AJ5023" s="485"/>
    </row>
    <row r="5024" spans="2:36">
      <c r="B5024" s="136" t="s">
        <v>436</v>
      </c>
      <c r="C5024" s="132" t="s">
        <v>1373</v>
      </c>
      <c r="D5024" s="132" t="s">
        <v>1379</v>
      </c>
      <c r="E5024" s="508">
        <v>0.125</v>
      </c>
      <c r="F5024" s="508">
        <v>0.11799999999999999</v>
      </c>
      <c r="G5024" s="508">
        <v>0.13400000000000001</v>
      </c>
      <c r="H5024" s="508">
        <v>9.9000000000000005E-2</v>
      </c>
      <c r="I5024" s="508">
        <v>8.2000000000000003E-2</v>
      </c>
      <c r="J5024" s="508">
        <v>8.8999999999999996E-2</v>
      </c>
      <c r="K5024" s="508">
        <v>6.5000000000000002E-2</v>
      </c>
      <c r="L5024" s="508">
        <v>9.1999999999999998E-2</v>
      </c>
      <c r="M5024" s="508">
        <v>7.0999999999999994E-2</v>
      </c>
      <c r="N5024" s="508">
        <v>8.5000000000000006E-2</v>
      </c>
      <c r="O5024" s="508">
        <v>0.106</v>
      </c>
      <c r="P5024" s="508">
        <v>0.121</v>
      </c>
      <c r="Q5024" s="508">
        <v>0.125</v>
      </c>
      <c r="R5024" s="508">
        <v>0.107</v>
      </c>
      <c r="S5024" s="508">
        <v>8.4000000000000005E-2</v>
      </c>
      <c r="T5024" s="508">
        <v>0.1</v>
      </c>
      <c r="U5024" s="508">
        <v>8.6999999999999994E-2</v>
      </c>
      <c r="V5024" s="508">
        <v>9.1999999999999998E-2</v>
      </c>
      <c r="W5024" s="508">
        <v>9.6000000000000002E-2</v>
      </c>
      <c r="X5024" s="508">
        <v>9.4E-2</v>
      </c>
      <c r="Y5024" s="508">
        <v>0.10100000000000001</v>
      </c>
      <c r="Z5024" s="508">
        <v>9.9000000000000005E-2</v>
      </c>
      <c r="AA5024" s="508">
        <v>0.108</v>
      </c>
      <c r="AB5024" s="508">
        <v>8.4000000000000005E-2</v>
      </c>
      <c r="AC5024" s="508">
        <v>0.11</v>
      </c>
      <c r="AD5024" s="508">
        <v>0.105</v>
      </c>
      <c r="AE5024" s="508">
        <v>9.6000000000000002E-2</v>
      </c>
      <c r="AF5024" s="508">
        <v>9.6000000000000002E-2</v>
      </c>
      <c r="AG5024" s="508">
        <v>9.6000000000000002E-2</v>
      </c>
      <c r="AH5024" s="508">
        <v>9.6000000000000002E-2</v>
      </c>
      <c r="AI5024" s="492">
        <v>9.6000000000000002E-2</v>
      </c>
      <c r="AJ5024" s="485"/>
    </row>
    <row r="5025" spans="2:36">
      <c r="B5025" s="136" t="s">
        <v>437</v>
      </c>
      <c r="C5025" s="132" t="s">
        <v>1373</v>
      </c>
      <c r="D5025" s="132" t="s">
        <v>1379</v>
      </c>
      <c r="E5025" s="508">
        <v>0.14299999999999999</v>
      </c>
      <c r="F5025" s="508">
        <v>0.13400000000000001</v>
      </c>
      <c r="G5025" s="508">
        <v>0.153</v>
      </c>
      <c r="H5025" s="508">
        <v>0.112</v>
      </c>
      <c r="I5025" s="508">
        <v>9.2999999999999999E-2</v>
      </c>
      <c r="J5025" s="508">
        <v>0.10100000000000001</v>
      </c>
      <c r="K5025" s="508">
        <v>7.2999999999999995E-2</v>
      </c>
      <c r="L5025" s="508">
        <v>0.104</v>
      </c>
      <c r="M5025" s="508">
        <v>0.08</v>
      </c>
      <c r="N5025" s="508">
        <v>9.6000000000000002E-2</v>
      </c>
      <c r="O5025" s="508">
        <v>0.121</v>
      </c>
      <c r="P5025" s="508">
        <v>0.13700000000000001</v>
      </c>
      <c r="Q5025" s="508">
        <v>0.14199999999999999</v>
      </c>
      <c r="R5025" s="508">
        <v>0.121</v>
      </c>
      <c r="S5025" s="508">
        <v>9.5000000000000001E-2</v>
      </c>
      <c r="T5025" s="508">
        <v>0.113</v>
      </c>
      <c r="U5025" s="508">
        <v>9.8000000000000004E-2</v>
      </c>
      <c r="V5025" s="508">
        <v>0.105</v>
      </c>
      <c r="W5025" s="508">
        <v>0.109</v>
      </c>
      <c r="X5025" s="508">
        <v>0.107</v>
      </c>
      <c r="Y5025" s="508">
        <v>0.114</v>
      </c>
      <c r="Z5025" s="508">
        <v>0.112</v>
      </c>
      <c r="AA5025" s="508">
        <v>0.123</v>
      </c>
      <c r="AB5025" s="508">
        <v>9.5000000000000001E-2</v>
      </c>
      <c r="AC5025" s="508">
        <v>0.125</v>
      </c>
      <c r="AD5025" s="508">
        <v>0.11899999999999999</v>
      </c>
      <c r="AE5025" s="508">
        <v>0.109</v>
      </c>
      <c r="AF5025" s="508">
        <v>0.109</v>
      </c>
      <c r="AG5025" s="508">
        <v>0.109</v>
      </c>
      <c r="AH5025" s="508">
        <v>0.109</v>
      </c>
      <c r="AI5025" s="492">
        <v>0.109</v>
      </c>
      <c r="AJ5025" s="485"/>
    </row>
    <row r="5026" spans="2:36">
      <c r="B5026" s="136" t="s">
        <v>438</v>
      </c>
      <c r="C5026" s="132" t="s">
        <v>1373</v>
      </c>
      <c r="D5026" s="132" t="s">
        <v>1379</v>
      </c>
      <c r="E5026" s="508">
        <v>0.11899999999999999</v>
      </c>
      <c r="F5026" s="508">
        <v>0.112</v>
      </c>
      <c r="G5026" s="508">
        <v>0.127</v>
      </c>
      <c r="H5026" s="508">
        <v>9.4E-2</v>
      </c>
      <c r="I5026" s="508">
        <v>7.9000000000000001E-2</v>
      </c>
      <c r="J5026" s="508">
        <v>8.4000000000000005E-2</v>
      </c>
      <c r="K5026" s="508">
        <v>6.2E-2</v>
      </c>
      <c r="L5026" s="508">
        <v>8.7999999999999995E-2</v>
      </c>
      <c r="M5026" s="508">
        <v>6.8000000000000005E-2</v>
      </c>
      <c r="N5026" s="508">
        <v>0.08</v>
      </c>
      <c r="O5026" s="508">
        <v>0.10100000000000001</v>
      </c>
      <c r="P5026" s="508">
        <v>0.115</v>
      </c>
      <c r="Q5026" s="508">
        <v>0.11899999999999999</v>
      </c>
      <c r="R5026" s="508">
        <v>0.10100000000000001</v>
      </c>
      <c r="S5026" s="508">
        <v>0.08</v>
      </c>
      <c r="T5026" s="508">
        <v>9.5000000000000001E-2</v>
      </c>
      <c r="U5026" s="508">
        <v>8.3000000000000004E-2</v>
      </c>
      <c r="V5026" s="508">
        <v>8.7999999999999995E-2</v>
      </c>
      <c r="W5026" s="508">
        <v>9.0999999999999998E-2</v>
      </c>
      <c r="X5026" s="508">
        <v>0.09</v>
      </c>
      <c r="Y5026" s="508">
        <v>9.6000000000000002E-2</v>
      </c>
      <c r="Z5026" s="508">
        <v>9.4E-2</v>
      </c>
      <c r="AA5026" s="508">
        <v>0.10299999999999999</v>
      </c>
      <c r="AB5026" s="508">
        <v>0.08</v>
      </c>
      <c r="AC5026" s="508">
        <v>0.105</v>
      </c>
      <c r="AD5026" s="508">
        <v>9.9000000000000005E-2</v>
      </c>
      <c r="AE5026" s="508">
        <v>9.1999999999999998E-2</v>
      </c>
      <c r="AF5026" s="508">
        <v>9.1999999999999998E-2</v>
      </c>
      <c r="AG5026" s="508">
        <v>9.1999999999999998E-2</v>
      </c>
      <c r="AH5026" s="508">
        <v>9.1999999999999998E-2</v>
      </c>
      <c r="AI5026" s="492">
        <v>9.1999999999999998E-2</v>
      </c>
      <c r="AJ5026" s="485"/>
    </row>
    <row r="5027" spans="2:36">
      <c r="B5027" s="136" t="s">
        <v>439</v>
      </c>
      <c r="C5027" s="132" t="s">
        <v>1373</v>
      </c>
      <c r="D5027" s="132" t="s">
        <v>1379</v>
      </c>
      <c r="E5027" s="508">
        <v>0.14099999999999999</v>
      </c>
      <c r="F5027" s="508">
        <v>0.13200000000000001</v>
      </c>
      <c r="G5027" s="508">
        <v>0.151</v>
      </c>
      <c r="H5027" s="508">
        <v>0.111</v>
      </c>
      <c r="I5027" s="508">
        <v>9.1999999999999998E-2</v>
      </c>
      <c r="J5027" s="508">
        <v>9.9000000000000005E-2</v>
      </c>
      <c r="K5027" s="508">
        <v>7.1999999999999995E-2</v>
      </c>
      <c r="L5027" s="508">
        <v>0.10299999999999999</v>
      </c>
      <c r="M5027" s="508">
        <v>7.9000000000000001E-2</v>
      </c>
      <c r="N5027" s="508">
        <v>9.4E-2</v>
      </c>
      <c r="O5027" s="508">
        <v>0.11899999999999999</v>
      </c>
      <c r="P5027" s="508">
        <v>0.13500000000000001</v>
      </c>
      <c r="Q5027" s="508">
        <v>0.14000000000000001</v>
      </c>
      <c r="R5027" s="508">
        <v>0.11899999999999999</v>
      </c>
      <c r="S5027" s="508">
        <v>9.4E-2</v>
      </c>
      <c r="T5027" s="508">
        <v>0.111</v>
      </c>
      <c r="U5027" s="508">
        <v>9.7000000000000003E-2</v>
      </c>
      <c r="V5027" s="508">
        <v>0.10299999999999999</v>
      </c>
      <c r="W5027" s="508">
        <v>0.107</v>
      </c>
      <c r="X5027" s="508">
        <v>0.105</v>
      </c>
      <c r="Y5027" s="508">
        <v>0.113</v>
      </c>
      <c r="Z5027" s="508">
        <v>0.11</v>
      </c>
      <c r="AA5027" s="508">
        <v>0.121</v>
      </c>
      <c r="AB5027" s="508">
        <v>9.4E-2</v>
      </c>
      <c r="AC5027" s="508">
        <v>0.123</v>
      </c>
      <c r="AD5027" s="508">
        <v>0.11700000000000001</v>
      </c>
      <c r="AE5027" s="508">
        <v>0.108</v>
      </c>
      <c r="AF5027" s="508">
        <v>0.108</v>
      </c>
      <c r="AG5027" s="508">
        <v>0.108</v>
      </c>
      <c r="AH5027" s="508">
        <v>0.108</v>
      </c>
      <c r="AI5027" s="492">
        <v>0.108</v>
      </c>
      <c r="AJ5027" s="485"/>
    </row>
    <row r="5028" spans="2:36">
      <c r="B5028" s="136" t="s">
        <v>440</v>
      </c>
      <c r="C5028" s="132" t="s">
        <v>1373</v>
      </c>
      <c r="D5028" s="132" t="s">
        <v>1379</v>
      </c>
      <c r="E5028" s="508">
        <v>1E-3</v>
      </c>
      <c r="F5028" s="508">
        <v>0</v>
      </c>
      <c r="G5028" s="508">
        <v>0</v>
      </c>
      <c r="H5028" s="508">
        <v>0</v>
      </c>
      <c r="I5028" s="508">
        <v>1.2729999999999999</v>
      </c>
      <c r="J5028" s="508">
        <v>0.24</v>
      </c>
      <c r="K5028" s="508">
        <v>2.2669999999999999</v>
      </c>
      <c r="L5028" s="508">
        <v>1E-3</v>
      </c>
      <c r="M5028" s="508">
        <v>0</v>
      </c>
      <c r="N5028" s="508">
        <v>2.8000000000000001E-2</v>
      </c>
      <c r="O5028" s="508">
        <v>0</v>
      </c>
      <c r="P5028" s="508">
        <v>0</v>
      </c>
      <c r="Q5028" s="508">
        <v>8.9999999999999993E-3</v>
      </c>
      <c r="R5028" s="508">
        <v>4.0000000000000001E-3</v>
      </c>
      <c r="S5028" s="508">
        <v>1.7999999999999999E-2</v>
      </c>
      <c r="T5028" s="508">
        <v>0.193</v>
      </c>
      <c r="U5028" s="508">
        <v>9.5000000000000001E-2</v>
      </c>
      <c r="V5028" s="508">
        <v>1.9E-2</v>
      </c>
      <c r="W5028" s="508">
        <v>4.2000000000000003E-2</v>
      </c>
      <c r="X5028" s="508">
        <v>4.0000000000000001E-3</v>
      </c>
      <c r="Y5028" s="508">
        <v>0.109</v>
      </c>
      <c r="Z5028" s="508">
        <v>0.34499999999999997</v>
      </c>
      <c r="AA5028" s="508">
        <v>1.9E-2</v>
      </c>
      <c r="AB5028" s="508">
        <v>2E-3</v>
      </c>
      <c r="AC5028" s="508">
        <v>1E-3</v>
      </c>
      <c r="AD5028" s="508">
        <v>0.56699999999999995</v>
      </c>
      <c r="AE5028" s="508">
        <v>0.88500000000000001</v>
      </c>
      <c r="AF5028" s="508">
        <v>2.0529999999999999</v>
      </c>
      <c r="AG5028" s="508">
        <v>1.484</v>
      </c>
      <c r="AH5028" s="508">
        <v>6.4729999999999999</v>
      </c>
      <c r="AI5028" s="492">
        <v>0.93200000000000005</v>
      </c>
      <c r="AJ5028" s="485"/>
    </row>
    <row r="5029" spans="2:36">
      <c r="B5029" s="136" t="s">
        <v>441</v>
      </c>
      <c r="C5029" s="132" t="s">
        <v>1373</v>
      </c>
      <c r="D5029" s="132" t="s">
        <v>1379</v>
      </c>
      <c r="E5029" s="508">
        <v>0.14099999999999999</v>
      </c>
      <c r="F5029" s="508">
        <v>0.13300000000000001</v>
      </c>
      <c r="G5029" s="508">
        <v>0.151</v>
      </c>
      <c r="H5029" s="508">
        <v>0.111</v>
      </c>
      <c r="I5029" s="508">
        <v>9.1999999999999998E-2</v>
      </c>
      <c r="J5029" s="508">
        <v>9.9000000000000005E-2</v>
      </c>
      <c r="K5029" s="508">
        <v>7.1999999999999995E-2</v>
      </c>
      <c r="L5029" s="508">
        <v>0.10299999999999999</v>
      </c>
      <c r="M5029" s="508">
        <v>7.9000000000000001E-2</v>
      </c>
      <c r="N5029" s="508">
        <v>9.5000000000000001E-2</v>
      </c>
      <c r="O5029" s="508">
        <v>0.11899999999999999</v>
      </c>
      <c r="P5029" s="508">
        <v>0.13600000000000001</v>
      </c>
      <c r="Q5029" s="508">
        <v>0.14000000000000001</v>
      </c>
      <c r="R5029" s="508">
        <v>0.12</v>
      </c>
      <c r="S5029" s="508">
        <v>9.4E-2</v>
      </c>
      <c r="T5029" s="508">
        <v>0.112</v>
      </c>
      <c r="U5029" s="508">
        <v>9.7000000000000003E-2</v>
      </c>
      <c r="V5029" s="508">
        <v>0.10299999999999999</v>
      </c>
      <c r="W5029" s="508">
        <v>0.107</v>
      </c>
      <c r="X5029" s="508">
        <v>0.105</v>
      </c>
      <c r="Y5029" s="508">
        <v>0.113</v>
      </c>
      <c r="Z5029" s="508">
        <v>0.111</v>
      </c>
      <c r="AA5029" s="508">
        <v>0.121</v>
      </c>
      <c r="AB5029" s="508">
        <v>9.4E-2</v>
      </c>
      <c r="AC5029" s="508">
        <v>0.124</v>
      </c>
      <c r="AD5029" s="508">
        <v>0.11700000000000001</v>
      </c>
      <c r="AE5029" s="508">
        <v>0.108</v>
      </c>
      <c r="AF5029" s="508">
        <v>0.108</v>
      </c>
      <c r="AG5029" s="508">
        <v>0.108</v>
      </c>
      <c r="AH5029" s="508">
        <v>0.108</v>
      </c>
      <c r="AI5029" s="492">
        <v>0.108</v>
      </c>
      <c r="AJ5029" s="485"/>
    </row>
    <row r="5030" spans="2:36">
      <c r="B5030" s="136" t="s">
        <v>443</v>
      </c>
      <c r="C5030" s="132" t="s">
        <v>1373</v>
      </c>
      <c r="D5030" s="132" t="s">
        <v>1379</v>
      </c>
      <c r="E5030" s="508">
        <v>0.157</v>
      </c>
      <c r="F5030" s="508">
        <v>0.14799999999999999</v>
      </c>
      <c r="G5030" s="508">
        <v>0.16800000000000001</v>
      </c>
      <c r="H5030" s="508">
        <v>0.123</v>
      </c>
      <c r="I5030" s="508">
        <v>0.10199999999999999</v>
      </c>
      <c r="J5030" s="508">
        <v>0.11</v>
      </c>
      <c r="K5030" s="508">
        <v>7.9000000000000001E-2</v>
      </c>
      <c r="L5030" s="508">
        <v>0.114</v>
      </c>
      <c r="M5030" s="508">
        <v>8.7999999999999995E-2</v>
      </c>
      <c r="N5030" s="508">
        <v>0.105</v>
      </c>
      <c r="O5030" s="508">
        <v>0.13300000000000001</v>
      </c>
      <c r="P5030" s="508">
        <v>0.151</v>
      </c>
      <c r="Q5030" s="508">
        <v>0.156</v>
      </c>
      <c r="R5030" s="508">
        <v>0.13300000000000001</v>
      </c>
      <c r="S5030" s="508">
        <v>0.104</v>
      </c>
      <c r="T5030" s="508">
        <v>0.124</v>
      </c>
      <c r="U5030" s="508">
        <v>0.107</v>
      </c>
      <c r="V5030" s="508">
        <v>0.115</v>
      </c>
      <c r="W5030" s="508">
        <v>0.11899999999999999</v>
      </c>
      <c r="X5030" s="508">
        <v>0.11700000000000001</v>
      </c>
      <c r="Y5030" s="508">
        <v>0.126</v>
      </c>
      <c r="Z5030" s="508">
        <v>0.123</v>
      </c>
      <c r="AA5030" s="508">
        <v>0.13500000000000001</v>
      </c>
      <c r="AB5030" s="508">
        <v>0.104</v>
      </c>
      <c r="AC5030" s="508">
        <v>0.13800000000000001</v>
      </c>
      <c r="AD5030" s="508">
        <v>0.13</v>
      </c>
      <c r="AE5030" s="508">
        <v>0.12</v>
      </c>
      <c r="AF5030" s="508">
        <v>0.12</v>
      </c>
      <c r="AG5030" s="508">
        <v>0.12</v>
      </c>
      <c r="AH5030" s="508">
        <v>0.12</v>
      </c>
      <c r="AI5030" s="492">
        <v>0.12</v>
      </c>
      <c r="AJ5030" s="485"/>
    </row>
    <row r="5031" spans="2:36">
      <c r="B5031" s="136" t="s">
        <v>445</v>
      </c>
      <c r="C5031" s="132" t="s">
        <v>1373</v>
      </c>
      <c r="D5031" s="132" t="s">
        <v>1379</v>
      </c>
      <c r="E5031" s="508">
        <v>0.19500000000000001</v>
      </c>
      <c r="F5031" s="508">
        <v>0.183</v>
      </c>
      <c r="G5031" s="508">
        <v>0.20899999999999999</v>
      </c>
      <c r="H5031" s="508">
        <v>0.151</v>
      </c>
      <c r="I5031" s="508">
        <v>0.125</v>
      </c>
      <c r="J5031" s="508">
        <v>0.13600000000000001</v>
      </c>
      <c r="K5031" s="508">
        <v>9.7000000000000003E-2</v>
      </c>
      <c r="L5031" s="508">
        <v>0.14099999999999999</v>
      </c>
      <c r="M5031" s="508">
        <v>0.107</v>
      </c>
      <c r="N5031" s="508">
        <v>0.129</v>
      </c>
      <c r="O5031" s="508">
        <v>0.16400000000000001</v>
      </c>
      <c r="P5031" s="508">
        <v>0.187</v>
      </c>
      <c r="Q5031" s="508">
        <v>0.19400000000000001</v>
      </c>
      <c r="R5031" s="508">
        <v>0.16400000000000001</v>
      </c>
      <c r="S5031" s="508">
        <v>0.128</v>
      </c>
      <c r="T5031" s="508">
        <v>0.153</v>
      </c>
      <c r="U5031" s="508">
        <v>0.13200000000000001</v>
      </c>
      <c r="V5031" s="508">
        <v>0.14099999999999999</v>
      </c>
      <c r="W5031" s="508">
        <v>0.14699999999999999</v>
      </c>
      <c r="X5031" s="508">
        <v>0.14399999999999999</v>
      </c>
      <c r="Y5031" s="508">
        <v>0.155</v>
      </c>
      <c r="Z5031" s="508">
        <v>0.152</v>
      </c>
      <c r="AA5031" s="508">
        <v>0.16700000000000001</v>
      </c>
      <c r="AB5031" s="508">
        <v>0.128</v>
      </c>
      <c r="AC5031" s="508">
        <v>0.17</v>
      </c>
      <c r="AD5031" s="508">
        <v>0.161</v>
      </c>
      <c r="AE5031" s="508">
        <v>0.14799999999999999</v>
      </c>
      <c r="AF5031" s="508">
        <v>0.14799999999999999</v>
      </c>
      <c r="AG5031" s="508">
        <v>0.14799999999999999</v>
      </c>
      <c r="AH5031" s="508">
        <v>0.14799999999999999</v>
      </c>
      <c r="AI5031" s="492">
        <v>0.14799999999999999</v>
      </c>
      <c r="AJ5031" s="485"/>
    </row>
    <row r="5032" spans="2:36">
      <c r="B5032" s="136" t="s">
        <v>446</v>
      </c>
      <c r="C5032" s="132" t="s">
        <v>1373</v>
      </c>
      <c r="D5032" s="132" t="s">
        <v>1379</v>
      </c>
      <c r="E5032" s="508">
        <v>0.16900000000000001</v>
      </c>
      <c r="F5032" s="508">
        <v>0.159</v>
      </c>
      <c r="G5032" s="508">
        <v>0.18099999999999999</v>
      </c>
      <c r="H5032" s="508">
        <v>0.13200000000000001</v>
      </c>
      <c r="I5032" s="508">
        <v>0.109</v>
      </c>
      <c r="J5032" s="508">
        <v>0.11899999999999999</v>
      </c>
      <c r="K5032" s="508">
        <v>8.5000000000000006E-2</v>
      </c>
      <c r="L5032" s="508">
        <v>0.123</v>
      </c>
      <c r="M5032" s="508">
        <v>9.4E-2</v>
      </c>
      <c r="N5032" s="508">
        <v>0.113</v>
      </c>
      <c r="O5032" s="508">
        <v>0.14199999999999999</v>
      </c>
      <c r="P5032" s="508">
        <v>0.16200000000000001</v>
      </c>
      <c r="Q5032" s="508">
        <v>0.16800000000000001</v>
      </c>
      <c r="R5032" s="508">
        <v>0.14299999999999999</v>
      </c>
      <c r="S5032" s="508">
        <v>0.111</v>
      </c>
      <c r="T5032" s="508">
        <v>0.13300000000000001</v>
      </c>
      <c r="U5032" s="508">
        <v>0.115</v>
      </c>
      <c r="V5032" s="508">
        <v>0.123</v>
      </c>
      <c r="W5032" s="508">
        <v>0.128</v>
      </c>
      <c r="X5032" s="508">
        <v>0.125</v>
      </c>
      <c r="Y5032" s="508">
        <v>0.13500000000000001</v>
      </c>
      <c r="Z5032" s="508">
        <v>0.13200000000000001</v>
      </c>
      <c r="AA5032" s="508">
        <v>0.14499999999999999</v>
      </c>
      <c r="AB5032" s="508">
        <v>0.111</v>
      </c>
      <c r="AC5032" s="508">
        <v>0.14799999999999999</v>
      </c>
      <c r="AD5032" s="508">
        <v>0.14000000000000001</v>
      </c>
      <c r="AE5032" s="508">
        <v>0.129</v>
      </c>
      <c r="AF5032" s="508">
        <v>0.129</v>
      </c>
      <c r="AG5032" s="508">
        <v>0.129</v>
      </c>
      <c r="AH5032" s="508">
        <v>0.129</v>
      </c>
      <c r="AI5032" s="492">
        <v>0.129</v>
      </c>
      <c r="AJ5032" s="485"/>
    </row>
    <row r="5033" spans="2:36">
      <c r="B5033" s="136" t="s">
        <v>448</v>
      </c>
      <c r="C5033" s="132" t="s">
        <v>1373</v>
      </c>
      <c r="D5033" s="132" t="s">
        <v>1379</v>
      </c>
      <c r="E5033" s="508">
        <v>0.14000000000000001</v>
      </c>
      <c r="F5033" s="508">
        <v>0.16400000000000001</v>
      </c>
      <c r="G5033" s="508">
        <v>0.56299999999999994</v>
      </c>
      <c r="H5033" s="508">
        <v>0.13700000000000001</v>
      </c>
      <c r="I5033" s="508">
        <v>0.152</v>
      </c>
      <c r="J5033" s="508">
        <v>0.40699999999999997</v>
      </c>
      <c r="K5033" s="508">
        <v>0.27600000000000002</v>
      </c>
      <c r="L5033" s="508">
        <v>0.63900000000000001</v>
      </c>
      <c r="M5033" s="508">
        <v>0.315</v>
      </c>
      <c r="N5033" s="508">
        <v>1.4379999999999999</v>
      </c>
      <c r="O5033" s="508">
        <v>2.633</v>
      </c>
      <c r="P5033" s="508">
        <v>3.7589999999999999</v>
      </c>
      <c r="Q5033" s="508">
        <v>4.7439999999999998</v>
      </c>
      <c r="R5033" s="508">
        <v>5.4960000000000004</v>
      </c>
      <c r="S5033" s="508">
        <v>1.986</v>
      </c>
      <c r="T5033" s="508">
        <v>2.8149999999999999</v>
      </c>
      <c r="U5033" s="508">
        <v>2.0680000000000001</v>
      </c>
      <c r="V5033" s="508">
        <v>3.6139999999999999</v>
      </c>
      <c r="W5033" s="508">
        <v>3.597</v>
      </c>
      <c r="X5033" s="508">
        <v>3.012</v>
      </c>
      <c r="Y5033" s="508">
        <v>3.6070000000000002</v>
      </c>
      <c r="Z5033" s="508">
        <v>3.4449999999999998</v>
      </c>
      <c r="AA5033" s="508">
        <v>0.30199999999999999</v>
      </c>
      <c r="AB5033" s="508">
        <v>0.14899999999999999</v>
      </c>
      <c r="AC5033" s="508">
        <v>0.32900000000000001</v>
      </c>
      <c r="AD5033" s="508">
        <v>0.497</v>
      </c>
      <c r="AE5033" s="508">
        <v>0.39100000000000001</v>
      </c>
      <c r="AF5033" s="508">
        <v>0.13800000000000001</v>
      </c>
      <c r="AG5033" s="508">
        <v>0.13100000000000001</v>
      </c>
      <c r="AH5033" s="508">
        <v>0.13300000000000001</v>
      </c>
      <c r="AI5033" s="492">
        <v>0.13600000000000001</v>
      </c>
      <c r="AJ5033" s="485"/>
    </row>
    <row r="5034" spans="2:36">
      <c r="B5034" s="136" t="s">
        <v>449</v>
      </c>
      <c r="C5034" s="132" t="s">
        <v>1373</v>
      </c>
      <c r="D5034" s="132" t="s">
        <v>1379</v>
      </c>
      <c r="E5034" s="508">
        <v>0.16</v>
      </c>
      <c r="F5034" s="508">
        <v>0.151</v>
      </c>
      <c r="G5034" s="508">
        <v>0.17199999999999999</v>
      </c>
      <c r="H5034" s="508">
        <v>0.125</v>
      </c>
      <c r="I5034" s="508">
        <v>0.104</v>
      </c>
      <c r="J5034" s="508">
        <v>0.113</v>
      </c>
      <c r="K5034" s="508">
        <v>8.1000000000000003E-2</v>
      </c>
      <c r="L5034" s="508">
        <v>0.11700000000000001</v>
      </c>
      <c r="M5034" s="508">
        <v>8.8999999999999996E-2</v>
      </c>
      <c r="N5034" s="508">
        <v>0.107</v>
      </c>
      <c r="O5034" s="508">
        <v>0.13500000000000001</v>
      </c>
      <c r="P5034" s="508">
        <v>0.154</v>
      </c>
      <c r="Q5034" s="508">
        <v>0.159</v>
      </c>
      <c r="R5034" s="508">
        <v>0.13500000000000001</v>
      </c>
      <c r="S5034" s="508">
        <v>0.106</v>
      </c>
      <c r="T5034" s="508">
        <v>0.126</v>
      </c>
      <c r="U5034" s="508">
        <v>0.109</v>
      </c>
      <c r="V5034" s="508">
        <v>0.11700000000000001</v>
      </c>
      <c r="W5034" s="508">
        <v>0.121</v>
      </c>
      <c r="X5034" s="508">
        <v>0.11899999999999999</v>
      </c>
      <c r="Y5034" s="508">
        <v>0.128</v>
      </c>
      <c r="Z5034" s="508">
        <v>0.125</v>
      </c>
      <c r="AA5034" s="508">
        <v>0.13700000000000001</v>
      </c>
      <c r="AB5034" s="508">
        <v>0.106</v>
      </c>
      <c r="AC5034" s="508">
        <v>0.14000000000000001</v>
      </c>
      <c r="AD5034" s="508">
        <v>0.13300000000000001</v>
      </c>
      <c r="AE5034" s="508">
        <v>0.122</v>
      </c>
      <c r="AF5034" s="508">
        <v>0.122</v>
      </c>
      <c r="AG5034" s="508">
        <v>0.122</v>
      </c>
      <c r="AH5034" s="508">
        <v>0.122</v>
      </c>
      <c r="AI5034" s="492">
        <v>0.122</v>
      </c>
      <c r="AJ5034" s="485"/>
    </row>
    <row r="5035" spans="2:36">
      <c r="B5035" s="136" t="s">
        <v>450</v>
      </c>
      <c r="C5035" s="132" t="s">
        <v>1373</v>
      </c>
      <c r="D5035" s="132" t="s">
        <v>1379</v>
      </c>
      <c r="E5035" s="508">
        <v>0.13600000000000001</v>
      </c>
      <c r="F5035" s="508">
        <v>0.13</v>
      </c>
      <c r="G5035" s="508">
        <v>0.14399999999999999</v>
      </c>
      <c r="H5035" s="508">
        <v>0.113</v>
      </c>
      <c r="I5035" s="508">
        <v>9.6000000000000002E-2</v>
      </c>
      <c r="J5035" s="508">
        <v>0.104</v>
      </c>
      <c r="K5035" s="508">
        <v>8.3000000000000004E-2</v>
      </c>
      <c r="L5035" s="508">
        <v>0.105</v>
      </c>
      <c r="M5035" s="508">
        <v>8.7999999999999995E-2</v>
      </c>
      <c r="N5035" s="508">
        <v>0.1</v>
      </c>
      <c r="O5035" s="508">
        <v>0.11900000000000001</v>
      </c>
      <c r="P5035" s="508">
        <v>0.13100000000000001</v>
      </c>
      <c r="Q5035" s="508">
        <v>0.13500000000000001</v>
      </c>
      <c r="R5035" s="508">
        <v>0.11900000000000001</v>
      </c>
      <c r="S5035" s="508">
        <v>9.9000000000000005E-2</v>
      </c>
      <c r="T5035" s="508">
        <v>0.112</v>
      </c>
      <c r="U5035" s="508">
        <v>0.10199999999999999</v>
      </c>
      <c r="V5035" s="508">
        <v>0.107</v>
      </c>
      <c r="W5035" s="508">
        <v>0.109</v>
      </c>
      <c r="X5035" s="508">
        <v>0.108</v>
      </c>
      <c r="Y5035" s="508">
        <v>0.114</v>
      </c>
      <c r="Z5035" s="508">
        <v>0.112</v>
      </c>
      <c r="AA5035" s="508">
        <v>0.12000000000000001</v>
      </c>
      <c r="AB5035" s="508">
        <v>9.8000000000000004E-2</v>
      </c>
      <c r="AC5035" s="508">
        <v>0.121</v>
      </c>
      <c r="AD5035" s="508">
        <v>0.11700000000000001</v>
      </c>
      <c r="AE5035" s="508">
        <v>0.109</v>
      </c>
      <c r="AF5035" s="508">
        <v>0.109</v>
      </c>
      <c r="AG5035" s="508">
        <v>0.109</v>
      </c>
      <c r="AH5035" s="508">
        <v>0.109</v>
      </c>
      <c r="AI5035" s="492">
        <v>0.109</v>
      </c>
      <c r="AJ5035" s="485"/>
    </row>
    <row r="5036" spans="2:36">
      <c r="B5036" s="136" t="s">
        <v>451</v>
      </c>
      <c r="C5036" s="132" t="s">
        <v>1373</v>
      </c>
      <c r="D5036" s="132" t="s">
        <v>1379</v>
      </c>
      <c r="E5036" s="508">
        <v>0.17299999999999999</v>
      </c>
      <c r="F5036" s="508">
        <v>0.16300000000000001</v>
      </c>
      <c r="G5036" s="508">
        <v>0.186</v>
      </c>
      <c r="H5036" s="508">
        <v>0.13500000000000001</v>
      </c>
      <c r="I5036" s="508">
        <v>0.111</v>
      </c>
      <c r="J5036" s="508">
        <v>0.121</v>
      </c>
      <c r="K5036" s="508">
        <v>8.6999999999999994E-2</v>
      </c>
      <c r="L5036" s="508">
        <v>0.126</v>
      </c>
      <c r="M5036" s="508">
        <v>9.6000000000000002E-2</v>
      </c>
      <c r="N5036" s="508">
        <v>0.115</v>
      </c>
      <c r="O5036" s="508">
        <v>0.14599999999999999</v>
      </c>
      <c r="P5036" s="508">
        <v>0.16600000000000001</v>
      </c>
      <c r="Q5036" s="508">
        <v>0.17199999999999999</v>
      </c>
      <c r="R5036" s="508">
        <v>0.14599999999999999</v>
      </c>
      <c r="S5036" s="508">
        <v>0.114</v>
      </c>
      <c r="T5036" s="508">
        <v>0.13600000000000001</v>
      </c>
      <c r="U5036" s="508">
        <v>0.11799999999999999</v>
      </c>
      <c r="V5036" s="508">
        <v>0.126</v>
      </c>
      <c r="W5036" s="508">
        <v>0.13100000000000001</v>
      </c>
      <c r="X5036" s="508">
        <v>0.128</v>
      </c>
      <c r="Y5036" s="508">
        <v>0.13800000000000001</v>
      </c>
      <c r="Z5036" s="508">
        <v>0.13500000000000001</v>
      </c>
      <c r="AA5036" s="508">
        <v>0.14799999999999999</v>
      </c>
      <c r="AB5036" s="508">
        <v>0.114</v>
      </c>
      <c r="AC5036" s="508">
        <v>0.151</v>
      </c>
      <c r="AD5036" s="508">
        <v>0.14299999999999999</v>
      </c>
      <c r="AE5036" s="508">
        <v>0.13200000000000001</v>
      </c>
      <c r="AF5036" s="508">
        <v>0.13200000000000001</v>
      </c>
      <c r="AG5036" s="508">
        <v>0.13200000000000001</v>
      </c>
      <c r="AH5036" s="508">
        <v>0.13200000000000001</v>
      </c>
      <c r="AI5036" s="492">
        <v>0.13200000000000001</v>
      </c>
      <c r="AJ5036" s="485"/>
    </row>
    <row r="5037" spans="2:36">
      <c r="B5037" s="136" t="s">
        <v>452</v>
      </c>
      <c r="C5037" s="132" t="s">
        <v>1373</v>
      </c>
      <c r="D5037" s="132" t="s">
        <v>1379</v>
      </c>
      <c r="E5037" s="508">
        <v>1E-3</v>
      </c>
      <c r="F5037" s="508">
        <v>0</v>
      </c>
      <c r="G5037" s="508">
        <v>0</v>
      </c>
      <c r="H5037" s="508">
        <v>0</v>
      </c>
      <c r="I5037" s="508">
        <v>1.099</v>
      </c>
      <c r="J5037" s="508">
        <v>0.20699999999999999</v>
      </c>
      <c r="K5037" s="508">
        <v>2.2909999999999999</v>
      </c>
      <c r="L5037" s="508">
        <v>1E-3</v>
      </c>
      <c r="M5037" s="508">
        <v>0</v>
      </c>
      <c r="N5037" s="508">
        <v>2.4E-2</v>
      </c>
      <c r="O5037" s="508">
        <v>0</v>
      </c>
      <c r="P5037" s="508">
        <v>0</v>
      </c>
      <c r="Q5037" s="508">
        <v>7.0000000000000001E-3</v>
      </c>
      <c r="R5037" s="508">
        <v>3.0000000000000001E-3</v>
      </c>
      <c r="S5037" s="508">
        <v>1.4E-2</v>
      </c>
      <c r="T5037" s="508">
        <v>0.16700000000000001</v>
      </c>
      <c r="U5037" s="508">
        <v>8.2000000000000003E-2</v>
      </c>
      <c r="V5037" s="508">
        <v>1.6E-2</v>
      </c>
      <c r="W5037" s="508">
        <v>4.2000000000000003E-2</v>
      </c>
      <c r="X5037" s="508">
        <v>4.0000000000000001E-3</v>
      </c>
      <c r="Y5037" s="508">
        <v>9.9000000000000005E-2</v>
      </c>
      <c r="Z5037" s="508">
        <v>0.29499999999999998</v>
      </c>
      <c r="AA5037" s="508">
        <v>1.9E-2</v>
      </c>
      <c r="AB5037" s="508">
        <v>2E-3</v>
      </c>
      <c r="AC5037" s="508">
        <v>1E-3</v>
      </c>
      <c r="AD5037" s="508">
        <v>0.49099999999999999</v>
      </c>
      <c r="AE5037" s="508">
        <v>0.76600000000000001</v>
      </c>
      <c r="AF5037" s="508">
        <v>1.5580000000000001</v>
      </c>
      <c r="AG5037" s="508">
        <v>1.18</v>
      </c>
      <c r="AH5037" s="508">
        <v>5.1529999999999996</v>
      </c>
      <c r="AI5037" s="492">
        <v>0.72899999999999998</v>
      </c>
      <c r="AJ5037" s="485"/>
    </row>
    <row r="5038" spans="2:36">
      <c r="B5038" s="136" t="s">
        <v>453</v>
      </c>
      <c r="C5038" s="132" t="s">
        <v>1373</v>
      </c>
      <c r="D5038" s="132" t="s">
        <v>1379</v>
      </c>
      <c r="E5038" s="508">
        <v>0.122</v>
      </c>
      <c r="F5038" s="508">
        <v>0.115</v>
      </c>
      <c r="G5038" s="508">
        <v>0.13100000000000001</v>
      </c>
      <c r="H5038" s="508">
        <v>9.7000000000000003E-2</v>
      </c>
      <c r="I5038" s="508">
        <v>8.1000000000000003E-2</v>
      </c>
      <c r="J5038" s="508">
        <v>8.6999999999999994E-2</v>
      </c>
      <c r="K5038" s="508">
        <v>6.3E-2</v>
      </c>
      <c r="L5038" s="508">
        <v>0.09</v>
      </c>
      <c r="M5038" s="508">
        <v>6.9000000000000006E-2</v>
      </c>
      <c r="N5038" s="508">
        <v>8.3000000000000004E-2</v>
      </c>
      <c r="O5038" s="508">
        <v>0.104</v>
      </c>
      <c r="P5038" s="508">
        <v>0.11799999999999999</v>
      </c>
      <c r="Q5038" s="508">
        <v>0.122</v>
      </c>
      <c r="R5038" s="508">
        <v>0.104</v>
      </c>
      <c r="S5038" s="508">
        <v>8.2000000000000003E-2</v>
      </c>
      <c r="T5038" s="508">
        <v>9.7000000000000003E-2</v>
      </c>
      <c r="U5038" s="508">
        <v>8.5000000000000006E-2</v>
      </c>
      <c r="V5038" s="508">
        <v>0.09</v>
      </c>
      <c r="W5038" s="508">
        <v>9.4E-2</v>
      </c>
      <c r="X5038" s="508">
        <v>9.1999999999999998E-2</v>
      </c>
      <c r="Y5038" s="508">
        <v>9.8000000000000004E-2</v>
      </c>
      <c r="Z5038" s="508">
        <v>9.6000000000000002E-2</v>
      </c>
      <c r="AA5038" s="508">
        <v>0.105</v>
      </c>
      <c r="AB5038" s="508">
        <v>8.2000000000000003E-2</v>
      </c>
      <c r="AC5038" s="508">
        <v>0.107</v>
      </c>
      <c r="AD5038" s="508">
        <v>0.10199999999999999</v>
      </c>
      <c r="AE5038" s="508">
        <v>9.4E-2</v>
      </c>
      <c r="AF5038" s="508">
        <v>9.4E-2</v>
      </c>
      <c r="AG5038" s="508">
        <v>9.4E-2</v>
      </c>
      <c r="AH5038" s="508">
        <v>9.4E-2</v>
      </c>
      <c r="AI5038" s="492">
        <v>9.4E-2</v>
      </c>
      <c r="AJ5038" s="485"/>
    </row>
    <row r="5039" spans="2:36">
      <c r="B5039" s="136" t="s">
        <v>454</v>
      </c>
      <c r="C5039" s="132" t="s">
        <v>1373</v>
      </c>
      <c r="D5039" s="132" t="s">
        <v>1379</v>
      </c>
      <c r="E5039" s="508">
        <v>0.127</v>
      </c>
      <c r="F5039" s="508">
        <v>0.11899999999999999</v>
      </c>
      <c r="G5039" s="508">
        <v>0.13600000000000001</v>
      </c>
      <c r="H5039" s="508">
        <v>0.1</v>
      </c>
      <c r="I5039" s="508">
        <v>8.3000000000000004E-2</v>
      </c>
      <c r="J5039" s="508">
        <v>0.09</v>
      </c>
      <c r="K5039" s="508">
        <v>6.5000000000000002E-2</v>
      </c>
      <c r="L5039" s="508">
        <v>9.2999999999999999E-2</v>
      </c>
      <c r="M5039" s="508">
        <v>7.0999999999999994E-2</v>
      </c>
      <c r="N5039" s="508">
        <v>8.5000000000000006E-2</v>
      </c>
      <c r="O5039" s="508">
        <v>0.107</v>
      </c>
      <c r="P5039" s="508">
        <v>0.122</v>
      </c>
      <c r="Q5039" s="508">
        <v>0.126</v>
      </c>
      <c r="R5039" s="508">
        <v>0.108</v>
      </c>
      <c r="S5039" s="508">
        <v>8.5000000000000006E-2</v>
      </c>
      <c r="T5039" s="508">
        <v>0.1</v>
      </c>
      <c r="U5039" s="508">
        <v>8.6999999999999994E-2</v>
      </c>
      <c r="V5039" s="508">
        <v>9.2999999999999999E-2</v>
      </c>
      <c r="W5039" s="508">
        <v>9.7000000000000003E-2</v>
      </c>
      <c r="X5039" s="508">
        <v>9.5000000000000001E-2</v>
      </c>
      <c r="Y5039" s="508">
        <v>0.10199999999999999</v>
      </c>
      <c r="Z5039" s="508">
        <v>0.1</v>
      </c>
      <c r="AA5039" s="508">
        <v>0.109</v>
      </c>
      <c r="AB5039" s="508">
        <v>8.5000000000000006E-2</v>
      </c>
      <c r="AC5039" s="508">
        <v>0.111</v>
      </c>
      <c r="AD5039" s="508">
        <v>0.105</v>
      </c>
      <c r="AE5039" s="508">
        <v>9.7000000000000003E-2</v>
      </c>
      <c r="AF5039" s="508">
        <v>9.7000000000000003E-2</v>
      </c>
      <c r="AG5039" s="508">
        <v>9.7000000000000003E-2</v>
      </c>
      <c r="AH5039" s="508">
        <v>9.7000000000000003E-2</v>
      </c>
      <c r="AI5039" s="492">
        <v>9.7000000000000003E-2</v>
      </c>
      <c r="AJ5039" s="485"/>
    </row>
    <row r="5040" spans="2:36">
      <c r="B5040" s="136" t="s">
        <v>455</v>
      </c>
      <c r="C5040" s="132" t="s">
        <v>1373</v>
      </c>
      <c r="D5040" s="132" t="s">
        <v>1379</v>
      </c>
      <c r="E5040" s="508">
        <v>0.11600000000000001</v>
      </c>
      <c r="F5040" s="508">
        <v>0.109</v>
      </c>
      <c r="G5040" s="508">
        <v>0.124</v>
      </c>
      <c r="H5040" s="508">
        <v>9.1999999999999998E-2</v>
      </c>
      <c r="I5040" s="508">
        <v>7.6999999999999999E-2</v>
      </c>
      <c r="J5040" s="508">
        <v>8.2000000000000003E-2</v>
      </c>
      <c r="K5040" s="508">
        <v>0.06</v>
      </c>
      <c r="L5040" s="508">
        <v>8.5999999999999993E-2</v>
      </c>
      <c r="M5040" s="508">
        <v>6.6000000000000003E-2</v>
      </c>
      <c r="N5040" s="508">
        <v>7.9000000000000001E-2</v>
      </c>
      <c r="O5040" s="508">
        <v>9.9000000000000005E-2</v>
      </c>
      <c r="P5040" s="508">
        <v>0.112</v>
      </c>
      <c r="Q5040" s="508">
        <v>0.11600000000000001</v>
      </c>
      <c r="R5040" s="508">
        <v>9.9000000000000005E-2</v>
      </c>
      <c r="S5040" s="508">
        <v>7.8E-2</v>
      </c>
      <c r="T5040" s="508">
        <v>9.1999999999999998E-2</v>
      </c>
      <c r="U5040" s="508">
        <v>8.1000000000000003E-2</v>
      </c>
      <c r="V5040" s="508">
        <v>8.5999999999999993E-2</v>
      </c>
      <c r="W5040" s="508">
        <v>8.8999999999999996E-2</v>
      </c>
      <c r="X5040" s="508">
        <v>8.6999999999999994E-2</v>
      </c>
      <c r="Y5040" s="508">
        <v>9.4E-2</v>
      </c>
      <c r="Z5040" s="508">
        <v>9.1999999999999998E-2</v>
      </c>
      <c r="AA5040" s="508">
        <v>0.1</v>
      </c>
      <c r="AB5040" s="508">
        <v>7.8E-2</v>
      </c>
      <c r="AC5040" s="508">
        <v>0.10199999999999999</v>
      </c>
      <c r="AD5040" s="508">
        <v>9.7000000000000003E-2</v>
      </c>
      <c r="AE5040" s="508">
        <v>8.8999999999999996E-2</v>
      </c>
      <c r="AF5040" s="508">
        <v>8.8999999999999996E-2</v>
      </c>
      <c r="AG5040" s="508">
        <v>8.8999999999999996E-2</v>
      </c>
      <c r="AH5040" s="508">
        <v>8.8999999999999996E-2</v>
      </c>
      <c r="AI5040" s="492">
        <v>8.8999999999999996E-2</v>
      </c>
      <c r="AJ5040" s="485"/>
    </row>
    <row r="5041" spans="2:36">
      <c r="B5041" s="136" t="s">
        <v>456</v>
      </c>
      <c r="C5041" s="132" t="s">
        <v>1373</v>
      </c>
      <c r="D5041" s="132" t="s">
        <v>1379</v>
      </c>
      <c r="E5041" s="508">
        <v>0.13300000000000001</v>
      </c>
      <c r="F5041" s="508">
        <v>0.125</v>
      </c>
      <c r="G5041" s="508">
        <v>0.14299999999999999</v>
      </c>
      <c r="H5041" s="508">
        <v>0.105</v>
      </c>
      <c r="I5041" s="508">
        <v>8.6999999999999994E-2</v>
      </c>
      <c r="J5041" s="508">
        <v>9.4E-2</v>
      </c>
      <c r="K5041" s="508">
        <v>6.8000000000000005E-2</v>
      </c>
      <c r="L5041" s="508">
        <v>9.7000000000000003E-2</v>
      </c>
      <c r="M5041" s="508">
        <v>7.4999999999999997E-2</v>
      </c>
      <c r="N5041" s="508">
        <v>8.8999999999999996E-2</v>
      </c>
      <c r="O5041" s="508">
        <v>0.113</v>
      </c>
      <c r="P5041" s="508">
        <v>0.128</v>
      </c>
      <c r="Q5041" s="508">
        <v>0.13200000000000001</v>
      </c>
      <c r="R5041" s="508">
        <v>0.113</v>
      </c>
      <c r="S5041" s="508">
        <v>8.8999999999999996E-2</v>
      </c>
      <c r="T5041" s="508">
        <v>0.105</v>
      </c>
      <c r="U5041" s="508">
        <v>9.1999999999999998E-2</v>
      </c>
      <c r="V5041" s="508">
        <v>9.8000000000000004E-2</v>
      </c>
      <c r="W5041" s="508">
        <v>0.10100000000000001</v>
      </c>
      <c r="X5041" s="508">
        <v>0.1</v>
      </c>
      <c r="Y5041" s="508">
        <v>0.107</v>
      </c>
      <c r="Z5041" s="508">
        <v>0.105</v>
      </c>
      <c r="AA5041" s="508">
        <v>0.114</v>
      </c>
      <c r="AB5041" s="508">
        <v>8.8999999999999996E-2</v>
      </c>
      <c r="AC5041" s="508">
        <v>0.11700000000000001</v>
      </c>
      <c r="AD5041" s="508">
        <v>0.111</v>
      </c>
      <c r="AE5041" s="508">
        <v>0.10199999999999999</v>
      </c>
      <c r="AF5041" s="508">
        <v>0.10199999999999999</v>
      </c>
      <c r="AG5041" s="508">
        <v>0.10199999999999999</v>
      </c>
      <c r="AH5041" s="508">
        <v>0.10199999999999999</v>
      </c>
      <c r="AI5041" s="492">
        <v>0.10199999999999999</v>
      </c>
      <c r="AJ5041" s="485"/>
    </row>
    <row r="5042" spans="2:36">
      <c r="B5042" s="136" t="s">
        <v>457</v>
      </c>
      <c r="C5042" s="132" t="s">
        <v>1373</v>
      </c>
      <c r="D5042" s="132" t="s">
        <v>1379</v>
      </c>
      <c r="E5042" s="508">
        <v>0.111</v>
      </c>
      <c r="F5042" s="508">
        <v>0.105</v>
      </c>
      <c r="G5042" s="508">
        <v>0.11899999999999999</v>
      </c>
      <c r="H5042" s="508">
        <v>8.8999999999999996E-2</v>
      </c>
      <c r="I5042" s="508">
        <v>7.3999999999999996E-2</v>
      </c>
      <c r="J5042" s="508">
        <v>7.9000000000000001E-2</v>
      </c>
      <c r="K5042" s="508">
        <v>5.8000000000000003E-2</v>
      </c>
      <c r="L5042" s="508">
        <v>8.2000000000000003E-2</v>
      </c>
      <c r="M5042" s="508">
        <v>6.3E-2</v>
      </c>
      <c r="N5042" s="508">
        <v>7.4999999999999997E-2</v>
      </c>
      <c r="O5042" s="508">
        <v>9.5000000000000001E-2</v>
      </c>
      <c r="P5042" s="508">
        <v>0.107</v>
      </c>
      <c r="Q5042" s="508">
        <v>0.111</v>
      </c>
      <c r="R5042" s="508">
        <v>9.5000000000000001E-2</v>
      </c>
      <c r="S5042" s="508">
        <v>7.4999999999999997E-2</v>
      </c>
      <c r="T5042" s="508">
        <v>8.8999999999999996E-2</v>
      </c>
      <c r="U5042" s="508">
        <v>7.6999999999999999E-2</v>
      </c>
      <c r="V5042" s="508">
        <v>8.2000000000000003E-2</v>
      </c>
      <c r="W5042" s="508">
        <v>8.5000000000000006E-2</v>
      </c>
      <c r="X5042" s="508">
        <v>8.4000000000000005E-2</v>
      </c>
      <c r="Y5042" s="508">
        <v>0.09</v>
      </c>
      <c r="Z5042" s="508">
        <v>8.7999999999999995E-2</v>
      </c>
      <c r="AA5042" s="508">
        <v>9.6000000000000002E-2</v>
      </c>
      <c r="AB5042" s="508">
        <v>7.4999999999999997E-2</v>
      </c>
      <c r="AC5042" s="508">
        <v>9.8000000000000004E-2</v>
      </c>
      <c r="AD5042" s="508">
        <v>9.2999999999999999E-2</v>
      </c>
      <c r="AE5042" s="508">
        <v>8.5999999999999993E-2</v>
      </c>
      <c r="AF5042" s="508">
        <v>8.5999999999999993E-2</v>
      </c>
      <c r="AG5042" s="508">
        <v>8.5999999999999993E-2</v>
      </c>
      <c r="AH5042" s="508">
        <v>8.5999999999999993E-2</v>
      </c>
      <c r="AI5042" s="492">
        <v>8.5999999999999993E-2</v>
      </c>
      <c r="AJ5042" s="485"/>
    </row>
    <row r="5043" spans="2:36">
      <c r="B5043" s="136" t="s">
        <v>458</v>
      </c>
      <c r="C5043" s="132" t="s">
        <v>1373</v>
      </c>
      <c r="D5043" s="132" t="s">
        <v>1379</v>
      </c>
      <c r="E5043" s="508">
        <v>0.13600000000000001</v>
      </c>
      <c r="F5043" s="508">
        <v>0.128</v>
      </c>
      <c r="G5043" s="508">
        <v>0.14499999999999999</v>
      </c>
      <c r="H5043" s="508">
        <v>0.107</v>
      </c>
      <c r="I5043" s="508">
        <v>8.8999999999999996E-2</v>
      </c>
      <c r="J5043" s="508">
        <v>9.6000000000000002E-2</v>
      </c>
      <c r="K5043" s="508">
        <v>6.9000000000000006E-2</v>
      </c>
      <c r="L5043" s="508">
        <v>9.9000000000000005E-2</v>
      </c>
      <c r="M5043" s="508">
        <v>7.5999999999999998E-2</v>
      </c>
      <c r="N5043" s="508">
        <v>9.0999999999999998E-2</v>
      </c>
      <c r="O5043" s="508">
        <v>0.115</v>
      </c>
      <c r="P5043" s="508">
        <v>0.13100000000000001</v>
      </c>
      <c r="Q5043" s="508">
        <v>0.13500000000000001</v>
      </c>
      <c r="R5043" s="508">
        <v>0.115</v>
      </c>
      <c r="S5043" s="508">
        <v>0.09</v>
      </c>
      <c r="T5043" s="508">
        <v>0.107</v>
      </c>
      <c r="U5043" s="508">
        <v>9.2999999999999999E-2</v>
      </c>
      <c r="V5043" s="508">
        <v>0.1</v>
      </c>
      <c r="W5043" s="508">
        <v>0.10299999999999999</v>
      </c>
      <c r="X5043" s="508">
        <v>0.10100000000000001</v>
      </c>
      <c r="Y5043" s="508">
        <v>0.109</v>
      </c>
      <c r="Z5043" s="508">
        <v>0.107</v>
      </c>
      <c r="AA5043" s="508">
        <v>0.11700000000000001</v>
      </c>
      <c r="AB5043" s="508">
        <v>0.09</v>
      </c>
      <c r="AC5043" s="508">
        <v>0.11899999999999999</v>
      </c>
      <c r="AD5043" s="508">
        <v>0.113</v>
      </c>
      <c r="AE5043" s="508">
        <v>0.104</v>
      </c>
      <c r="AF5043" s="508">
        <v>0.104</v>
      </c>
      <c r="AG5043" s="508">
        <v>0.104</v>
      </c>
      <c r="AH5043" s="508">
        <v>0.104</v>
      </c>
      <c r="AI5043" s="492">
        <v>0.104</v>
      </c>
      <c r="AJ5043" s="485"/>
    </row>
    <row r="5044" spans="2:36">
      <c r="B5044" s="136" t="s">
        <v>459</v>
      </c>
      <c r="C5044" s="132" t="s">
        <v>1373</v>
      </c>
      <c r="D5044" s="132" t="s">
        <v>1379</v>
      </c>
      <c r="E5044" s="508">
        <v>0.13500000000000001</v>
      </c>
      <c r="F5044" s="508">
        <v>0.128</v>
      </c>
      <c r="G5044" s="508">
        <v>0.14499999999999999</v>
      </c>
      <c r="H5044" s="508">
        <v>0.107</v>
      </c>
      <c r="I5044" s="508">
        <v>8.7999999999999995E-2</v>
      </c>
      <c r="J5044" s="508">
        <v>9.6000000000000002E-2</v>
      </c>
      <c r="K5044" s="508">
        <v>6.9000000000000006E-2</v>
      </c>
      <c r="L5044" s="508">
        <v>9.9000000000000005E-2</v>
      </c>
      <c r="M5044" s="508">
        <v>7.5999999999999998E-2</v>
      </c>
      <c r="N5044" s="508">
        <v>9.0999999999999998E-2</v>
      </c>
      <c r="O5044" s="508">
        <v>0.115</v>
      </c>
      <c r="P5044" s="508">
        <v>0.13</v>
      </c>
      <c r="Q5044" s="508">
        <v>0.13500000000000001</v>
      </c>
      <c r="R5044" s="508">
        <v>0.115</v>
      </c>
      <c r="S5044" s="508">
        <v>0.09</v>
      </c>
      <c r="T5044" s="508">
        <v>0.107</v>
      </c>
      <c r="U5044" s="508">
        <v>9.2999999999999999E-2</v>
      </c>
      <c r="V5044" s="508">
        <v>9.9000000000000005E-2</v>
      </c>
      <c r="W5044" s="508">
        <v>0.10299999999999999</v>
      </c>
      <c r="X5044" s="508">
        <v>0.10100000000000001</v>
      </c>
      <c r="Y5044" s="508">
        <v>0.109</v>
      </c>
      <c r="Z5044" s="508">
        <v>0.106</v>
      </c>
      <c r="AA5044" s="508">
        <v>0.11600000000000001</v>
      </c>
      <c r="AB5044" s="508">
        <v>0.09</v>
      </c>
      <c r="AC5044" s="508">
        <v>0.11899999999999999</v>
      </c>
      <c r="AD5044" s="508">
        <v>0.113</v>
      </c>
      <c r="AE5044" s="508">
        <v>0.104</v>
      </c>
      <c r="AF5044" s="508">
        <v>0.104</v>
      </c>
      <c r="AG5044" s="508">
        <v>0.104</v>
      </c>
      <c r="AH5044" s="508">
        <v>0.104</v>
      </c>
      <c r="AI5044" s="492">
        <v>0.104</v>
      </c>
      <c r="AJ5044" s="485"/>
    </row>
    <row r="5045" spans="2:36">
      <c r="B5045" s="136" t="s">
        <v>460</v>
      </c>
      <c r="C5045" s="132" t="s">
        <v>1373</v>
      </c>
      <c r="D5045" s="132" t="s">
        <v>1379</v>
      </c>
      <c r="E5045" s="508">
        <v>0.13900000000000001</v>
      </c>
      <c r="F5045" s="508">
        <v>0.13100000000000001</v>
      </c>
      <c r="G5045" s="508">
        <v>0.14899999999999999</v>
      </c>
      <c r="H5045" s="508">
        <v>0.109</v>
      </c>
      <c r="I5045" s="508">
        <v>0.09</v>
      </c>
      <c r="J5045" s="508">
        <v>9.8000000000000004E-2</v>
      </c>
      <c r="K5045" s="508">
        <v>7.0999999999999994E-2</v>
      </c>
      <c r="L5045" s="508">
        <v>0.10100000000000001</v>
      </c>
      <c r="M5045" s="508">
        <v>7.8E-2</v>
      </c>
      <c r="N5045" s="508">
        <v>9.2999999999999999E-2</v>
      </c>
      <c r="O5045" s="508">
        <v>0.11700000000000001</v>
      </c>
      <c r="P5045" s="508">
        <v>0.13400000000000001</v>
      </c>
      <c r="Q5045" s="508">
        <v>0.13800000000000001</v>
      </c>
      <c r="R5045" s="508">
        <v>0.11799999999999999</v>
      </c>
      <c r="S5045" s="508">
        <v>9.1999999999999998E-2</v>
      </c>
      <c r="T5045" s="508">
        <v>0.11</v>
      </c>
      <c r="U5045" s="508">
        <v>9.5000000000000001E-2</v>
      </c>
      <c r="V5045" s="508">
        <v>0.10199999999999999</v>
      </c>
      <c r="W5045" s="508">
        <v>0.106</v>
      </c>
      <c r="X5045" s="508">
        <v>0.104</v>
      </c>
      <c r="Y5045" s="508">
        <v>0.111</v>
      </c>
      <c r="Z5045" s="508">
        <v>0.109</v>
      </c>
      <c r="AA5045" s="508">
        <v>0.11899999999999999</v>
      </c>
      <c r="AB5045" s="508">
        <v>9.1999999999999998E-2</v>
      </c>
      <c r="AC5045" s="508">
        <v>0.122</v>
      </c>
      <c r="AD5045" s="508">
        <v>0.115</v>
      </c>
      <c r="AE5045" s="508">
        <v>0.106</v>
      </c>
      <c r="AF5045" s="508">
        <v>0.106</v>
      </c>
      <c r="AG5045" s="508">
        <v>0.106</v>
      </c>
      <c r="AH5045" s="508">
        <v>0.106</v>
      </c>
      <c r="AI5045" s="492">
        <v>0.106</v>
      </c>
      <c r="AJ5045" s="485"/>
    </row>
    <row r="5046" spans="2:36">
      <c r="B5046" s="136" t="s">
        <v>461</v>
      </c>
      <c r="C5046" s="132" t="s">
        <v>1373</v>
      </c>
      <c r="D5046" s="132" t="s">
        <v>1379</v>
      </c>
      <c r="E5046" s="508">
        <v>0.13200000000000001</v>
      </c>
      <c r="F5046" s="508">
        <v>0.124</v>
      </c>
      <c r="G5046" s="508">
        <v>0.14199999999999999</v>
      </c>
      <c r="H5046" s="508">
        <v>0.104</v>
      </c>
      <c r="I5046" s="508">
        <v>8.5999999999999993E-2</v>
      </c>
      <c r="J5046" s="508">
        <v>9.2999999999999999E-2</v>
      </c>
      <c r="K5046" s="508">
        <v>6.8000000000000005E-2</v>
      </c>
      <c r="L5046" s="508">
        <v>9.7000000000000003E-2</v>
      </c>
      <c r="M5046" s="508">
        <v>7.3999999999999996E-2</v>
      </c>
      <c r="N5046" s="508">
        <v>8.8999999999999996E-2</v>
      </c>
      <c r="O5046" s="508">
        <v>0.112</v>
      </c>
      <c r="P5046" s="508">
        <v>0.127</v>
      </c>
      <c r="Q5046" s="508">
        <v>0.13100000000000001</v>
      </c>
      <c r="R5046" s="508">
        <v>0.112</v>
      </c>
      <c r="S5046" s="508">
        <v>8.7999999999999995E-2</v>
      </c>
      <c r="T5046" s="508">
        <v>0.105</v>
      </c>
      <c r="U5046" s="508">
        <v>9.0999999999999998E-2</v>
      </c>
      <c r="V5046" s="508">
        <v>9.7000000000000003E-2</v>
      </c>
      <c r="W5046" s="508">
        <v>0.10100000000000001</v>
      </c>
      <c r="X5046" s="508">
        <v>9.9000000000000005E-2</v>
      </c>
      <c r="Y5046" s="508">
        <v>0.106</v>
      </c>
      <c r="Z5046" s="508">
        <v>0.104</v>
      </c>
      <c r="AA5046" s="508">
        <v>0.114</v>
      </c>
      <c r="AB5046" s="508">
        <v>8.7999999999999995E-2</v>
      </c>
      <c r="AC5046" s="508">
        <v>0.11600000000000001</v>
      </c>
      <c r="AD5046" s="508">
        <v>0.11</v>
      </c>
      <c r="AE5046" s="508">
        <v>0.10100000000000001</v>
      </c>
      <c r="AF5046" s="508">
        <v>0.10100000000000001</v>
      </c>
      <c r="AG5046" s="508">
        <v>0.10100000000000001</v>
      </c>
      <c r="AH5046" s="508">
        <v>0.10100000000000001</v>
      </c>
      <c r="AI5046" s="492">
        <v>0.10100000000000001</v>
      </c>
      <c r="AJ5046" s="485"/>
    </row>
    <row r="5047" spans="2:36">
      <c r="B5047" s="136" t="s">
        <v>462</v>
      </c>
      <c r="C5047" s="132" t="s">
        <v>1373</v>
      </c>
      <c r="D5047" s="132" t="s">
        <v>1379</v>
      </c>
      <c r="E5047" s="508">
        <v>0.127</v>
      </c>
      <c r="F5047" s="508">
        <v>0.12</v>
      </c>
      <c r="G5047" s="508">
        <v>0.13600000000000001</v>
      </c>
      <c r="H5047" s="508">
        <v>0.10100000000000001</v>
      </c>
      <c r="I5047" s="508">
        <v>8.4000000000000005E-2</v>
      </c>
      <c r="J5047" s="508">
        <v>0.09</v>
      </c>
      <c r="K5047" s="508">
        <v>6.6000000000000003E-2</v>
      </c>
      <c r="L5047" s="508">
        <v>9.4E-2</v>
      </c>
      <c r="M5047" s="508">
        <v>7.1999999999999995E-2</v>
      </c>
      <c r="N5047" s="508">
        <v>8.5999999999999993E-2</v>
      </c>
      <c r="O5047" s="508">
        <v>0.108</v>
      </c>
      <c r="P5047" s="508">
        <v>0.123</v>
      </c>
      <c r="Q5047" s="508">
        <v>0.127</v>
      </c>
      <c r="R5047" s="508">
        <v>0.108</v>
      </c>
      <c r="S5047" s="508">
        <v>8.5000000000000006E-2</v>
      </c>
      <c r="T5047" s="508">
        <v>0.10100000000000001</v>
      </c>
      <c r="U5047" s="508">
        <v>8.7999999999999995E-2</v>
      </c>
      <c r="V5047" s="508">
        <v>9.4E-2</v>
      </c>
      <c r="W5047" s="508">
        <v>9.7000000000000003E-2</v>
      </c>
      <c r="X5047" s="508">
        <v>9.6000000000000002E-2</v>
      </c>
      <c r="Y5047" s="508">
        <v>0.10199999999999999</v>
      </c>
      <c r="Z5047" s="508">
        <v>0.1</v>
      </c>
      <c r="AA5047" s="508">
        <v>0.11</v>
      </c>
      <c r="AB5047" s="508">
        <v>8.5000000000000006E-2</v>
      </c>
      <c r="AC5047" s="508">
        <v>0.112</v>
      </c>
      <c r="AD5047" s="508">
        <v>0.106</v>
      </c>
      <c r="AE5047" s="508">
        <v>9.8000000000000004E-2</v>
      </c>
      <c r="AF5047" s="508">
        <v>9.8000000000000004E-2</v>
      </c>
      <c r="AG5047" s="508">
        <v>9.8000000000000004E-2</v>
      </c>
      <c r="AH5047" s="508">
        <v>9.8000000000000004E-2</v>
      </c>
      <c r="AI5047" s="492">
        <v>9.8000000000000004E-2</v>
      </c>
      <c r="AJ5047" s="485"/>
    </row>
    <row r="5048" spans="2:36">
      <c r="B5048" s="136" t="s">
        <v>463</v>
      </c>
      <c r="C5048" s="132" t="s">
        <v>1373</v>
      </c>
      <c r="D5048" s="132" t="s">
        <v>1379</v>
      </c>
      <c r="E5048" s="508">
        <v>0.113</v>
      </c>
      <c r="F5048" s="508">
        <v>0.107</v>
      </c>
      <c r="G5048" s="508">
        <v>0.121</v>
      </c>
      <c r="H5048" s="508">
        <v>0.09</v>
      </c>
      <c r="I5048" s="508">
        <v>7.4999999999999997E-2</v>
      </c>
      <c r="J5048" s="508">
        <v>0.08</v>
      </c>
      <c r="K5048" s="508">
        <v>5.8999999999999997E-2</v>
      </c>
      <c r="L5048" s="508">
        <v>8.4000000000000005E-2</v>
      </c>
      <c r="M5048" s="508">
        <v>6.4000000000000001E-2</v>
      </c>
      <c r="N5048" s="508">
        <v>7.6999999999999999E-2</v>
      </c>
      <c r="O5048" s="508">
        <v>9.6000000000000002E-2</v>
      </c>
      <c r="P5048" s="508">
        <v>0.109</v>
      </c>
      <c r="Q5048" s="508">
        <v>0.113</v>
      </c>
      <c r="R5048" s="508">
        <v>9.7000000000000003E-2</v>
      </c>
      <c r="S5048" s="508">
        <v>7.5999999999999998E-2</v>
      </c>
      <c r="T5048" s="508">
        <v>0.09</v>
      </c>
      <c r="U5048" s="508">
        <v>7.9000000000000001E-2</v>
      </c>
      <c r="V5048" s="508">
        <v>8.4000000000000005E-2</v>
      </c>
      <c r="W5048" s="508">
        <v>8.6999999999999994E-2</v>
      </c>
      <c r="X5048" s="508">
        <v>8.5000000000000006E-2</v>
      </c>
      <c r="Y5048" s="508">
        <v>9.0999999999999998E-2</v>
      </c>
      <c r="Z5048" s="508">
        <v>8.8999999999999996E-2</v>
      </c>
      <c r="AA5048" s="508">
        <v>9.8000000000000004E-2</v>
      </c>
      <c r="AB5048" s="508">
        <v>7.5999999999999998E-2</v>
      </c>
      <c r="AC5048" s="508">
        <v>0.1</v>
      </c>
      <c r="AD5048" s="508">
        <v>9.5000000000000001E-2</v>
      </c>
      <c r="AE5048" s="508">
        <v>8.6999999999999994E-2</v>
      </c>
      <c r="AF5048" s="508">
        <v>8.6999999999999994E-2</v>
      </c>
      <c r="AG5048" s="508">
        <v>8.6999999999999994E-2</v>
      </c>
      <c r="AH5048" s="508">
        <v>8.6999999999999994E-2</v>
      </c>
      <c r="AI5048" s="492">
        <v>8.6999999999999994E-2</v>
      </c>
      <c r="AJ5048" s="485"/>
    </row>
    <row r="5049" spans="2:36">
      <c r="B5049" s="136" t="s">
        <v>464</v>
      </c>
      <c r="C5049" s="132" t="s">
        <v>1373</v>
      </c>
      <c r="D5049" s="132" t="s">
        <v>1379</v>
      </c>
      <c r="E5049" s="508">
        <v>0.11</v>
      </c>
      <c r="F5049" s="508">
        <v>0.104</v>
      </c>
      <c r="G5049" s="508">
        <v>0.11799999999999999</v>
      </c>
      <c r="H5049" s="508">
        <v>8.7999999999999995E-2</v>
      </c>
      <c r="I5049" s="508">
        <v>7.2999999999999995E-2</v>
      </c>
      <c r="J5049" s="508">
        <v>7.9000000000000001E-2</v>
      </c>
      <c r="K5049" s="508">
        <v>5.8000000000000003E-2</v>
      </c>
      <c r="L5049" s="508">
        <v>8.2000000000000003E-2</v>
      </c>
      <c r="M5049" s="508">
        <v>6.3E-2</v>
      </c>
      <c r="N5049" s="508">
        <v>7.4999999999999997E-2</v>
      </c>
      <c r="O5049" s="508">
        <v>9.4E-2</v>
      </c>
      <c r="P5049" s="508">
        <v>0.106</v>
      </c>
      <c r="Q5049" s="508">
        <v>0.11</v>
      </c>
      <c r="R5049" s="508">
        <v>9.4E-2</v>
      </c>
      <c r="S5049" s="508">
        <v>7.4999999999999997E-2</v>
      </c>
      <c r="T5049" s="508">
        <v>8.7999999999999995E-2</v>
      </c>
      <c r="U5049" s="508">
        <v>7.6999999999999999E-2</v>
      </c>
      <c r="V5049" s="508">
        <v>8.2000000000000003E-2</v>
      </c>
      <c r="W5049" s="508">
        <v>8.5000000000000006E-2</v>
      </c>
      <c r="X5049" s="508">
        <v>8.3000000000000004E-2</v>
      </c>
      <c r="Y5049" s="508">
        <v>8.8999999999999996E-2</v>
      </c>
      <c r="Z5049" s="508">
        <v>8.6999999999999994E-2</v>
      </c>
      <c r="AA5049" s="508">
        <v>9.5000000000000001E-2</v>
      </c>
      <c r="AB5049" s="508">
        <v>7.4999999999999997E-2</v>
      </c>
      <c r="AC5049" s="508">
        <v>9.7000000000000003E-2</v>
      </c>
      <c r="AD5049" s="508">
        <v>9.1999999999999998E-2</v>
      </c>
      <c r="AE5049" s="508">
        <v>8.5000000000000006E-2</v>
      </c>
      <c r="AF5049" s="508">
        <v>8.5000000000000006E-2</v>
      </c>
      <c r="AG5049" s="508">
        <v>8.5000000000000006E-2</v>
      </c>
      <c r="AH5049" s="508">
        <v>8.5000000000000006E-2</v>
      </c>
      <c r="AI5049" s="492">
        <v>8.5000000000000006E-2</v>
      </c>
      <c r="AJ5049" s="485"/>
    </row>
    <row r="5050" spans="2:36">
      <c r="B5050" s="136" t="s">
        <v>465</v>
      </c>
      <c r="C5050" s="132" t="s">
        <v>1373</v>
      </c>
      <c r="D5050" s="132" t="s">
        <v>1379</v>
      </c>
      <c r="E5050" s="508">
        <v>0.11700000000000001</v>
      </c>
      <c r="F5050" s="508">
        <v>0.111</v>
      </c>
      <c r="G5050" s="508">
        <v>0.126</v>
      </c>
      <c r="H5050" s="508">
        <v>9.2999999999999999E-2</v>
      </c>
      <c r="I5050" s="508">
        <v>7.6999999999999999E-2</v>
      </c>
      <c r="J5050" s="508">
        <v>8.3000000000000004E-2</v>
      </c>
      <c r="K5050" s="508">
        <v>6.0999999999999999E-2</v>
      </c>
      <c r="L5050" s="508">
        <v>8.5999999999999993E-2</v>
      </c>
      <c r="M5050" s="508">
        <v>6.7000000000000004E-2</v>
      </c>
      <c r="N5050" s="508">
        <v>7.9000000000000001E-2</v>
      </c>
      <c r="O5050" s="508">
        <v>0.1</v>
      </c>
      <c r="P5050" s="508">
        <v>0.113</v>
      </c>
      <c r="Q5050" s="508">
        <v>0.11700000000000001</v>
      </c>
      <c r="R5050" s="508">
        <v>0.1</v>
      </c>
      <c r="S5050" s="508">
        <v>7.9000000000000001E-2</v>
      </c>
      <c r="T5050" s="508">
        <v>9.2999999999999999E-2</v>
      </c>
      <c r="U5050" s="508">
        <v>8.1000000000000003E-2</v>
      </c>
      <c r="V5050" s="508">
        <v>8.6999999999999994E-2</v>
      </c>
      <c r="W5050" s="508">
        <v>0.09</v>
      </c>
      <c r="X5050" s="508">
        <v>8.7999999999999995E-2</v>
      </c>
      <c r="Y5050" s="508">
        <v>9.5000000000000001E-2</v>
      </c>
      <c r="Z5050" s="508">
        <v>9.2999999999999999E-2</v>
      </c>
      <c r="AA5050" s="508">
        <v>0.10100000000000001</v>
      </c>
      <c r="AB5050" s="508">
        <v>7.9000000000000001E-2</v>
      </c>
      <c r="AC5050" s="508">
        <v>0.10299999999999999</v>
      </c>
      <c r="AD5050" s="508">
        <v>9.8000000000000004E-2</v>
      </c>
      <c r="AE5050" s="508">
        <v>0.09</v>
      </c>
      <c r="AF5050" s="508">
        <v>0.09</v>
      </c>
      <c r="AG5050" s="508">
        <v>0.09</v>
      </c>
      <c r="AH5050" s="508">
        <v>0.09</v>
      </c>
      <c r="AI5050" s="492">
        <v>0.09</v>
      </c>
      <c r="AJ5050" s="485"/>
    </row>
    <row r="5051" spans="2:36">
      <c r="B5051" s="136" t="s">
        <v>466</v>
      </c>
      <c r="C5051" s="132" t="s">
        <v>1373</v>
      </c>
      <c r="D5051" s="132" t="s">
        <v>1379</v>
      </c>
      <c r="E5051" s="508">
        <v>0.156</v>
      </c>
      <c r="F5051" s="508">
        <v>0.14699999999999999</v>
      </c>
      <c r="G5051" s="508">
        <v>0.16700000000000001</v>
      </c>
      <c r="H5051" s="508">
        <v>0.122</v>
      </c>
      <c r="I5051" s="508">
        <v>0.10100000000000001</v>
      </c>
      <c r="J5051" s="508">
        <v>0.11</v>
      </c>
      <c r="K5051" s="508">
        <v>7.9000000000000001E-2</v>
      </c>
      <c r="L5051" s="508">
        <v>0.113</v>
      </c>
      <c r="M5051" s="508">
        <v>8.6999999999999994E-2</v>
      </c>
      <c r="N5051" s="508">
        <v>0.104</v>
      </c>
      <c r="O5051" s="508">
        <v>0.13100000000000001</v>
      </c>
      <c r="P5051" s="508">
        <v>0.15</v>
      </c>
      <c r="Q5051" s="508">
        <v>0.155</v>
      </c>
      <c r="R5051" s="508">
        <v>0.13200000000000001</v>
      </c>
      <c r="S5051" s="508">
        <v>0.10299999999999999</v>
      </c>
      <c r="T5051" s="508">
        <v>0.123</v>
      </c>
      <c r="U5051" s="508">
        <v>0.107</v>
      </c>
      <c r="V5051" s="508">
        <v>0.114</v>
      </c>
      <c r="W5051" s="508">
        <v>0.11799999999999999</v>
      </c>
      <c r="X5051" s="508">
        <v>0.11600000000000001</v>
      </c>
      <c r="Y5051" s="508">
        <v>0.125</v>
      </c>
      <c r="Z5051" s="508">
        <v>0.122</v>
      </c>
      <c r="AA5051" s="508">
        <v>0.13400000000000001</v>
      </c>
      <c r="AB5051" s="508">
        <v>0.10299999999999999</v>
      </c>
      <c r="AC5051" s="508">
        <v>0.13700000000000001</v>
      </c>
      <c r="AD5051" s="508">
        <v>0.129</v>
      </c>
      <c r="AE5051" s="508">
        <v>0.11899999999999999</v>
      </c>
      <c r="AF5051" s="508">
        <v>0.11899999999999999</v>
      </c>
      <c r="AG5051" s="508">
        <v>0.11899999999999999</v>
      </c>
      <c r="AH5051" s="508">
        <v>0.11899999999999999</v>
      </c>
      <c r="AI5051" s="492">
        <v>0.11899999999999999</v>
      </c>
      <c r="AJ5051" s="485"/>
    </row>
    <row r="5052" spans="2:36">
      <c r="B5052" s="136" t="s">
        <v>467</v>
      </c>
      <c r="C5052" s="132" t="s">
        <v>1373</v>
      </c>
      <c r="D5052" s="132" t="s">
        <v>1379</v>
      </c>
      <c r="E5052" s="508">
        <v>0.13</v>
      </c>
      <c r="F5052" s="508">
        <v>0.122</v>
      </c>
      <c r="G5052" s="508">
        <v>0.13900000000000001</v>
      </c>
      <c r="H5052" s="508">
        <v>0.10199999999999999</v>
      </c>
      <c r="I5052" s="508">
        <v>8.5000000000000006E-2</v>
      </c>
      <c r="J5052" s="508">
        <v>9.1999999999999998E-2</v>
      </c>
      <c r="K5052" s="508">
        <v>6.7000000000000004E-2</v>
      </c>
      <c r="L5052" s="508">
        <v>9.5000000000000001E-2</v>
      </c>
      <c r="M5052" s="508">
        <v>7.2999999999999995E-2</v>
      </c>
      <c r="N5052" s="508">
        <v>8.6999999999999994E-2</v>
      </c>
      <c r="O5052" s="508">
        <v>0.11</v>
      </c>
      <c r="P5052" s="508">
        <v>0.125</v>
      </c>
      <c r="Q5052" s="508">
        <v>0.129</v>
      </c>
      <c r="R5052" s="508">
        <v>0.11</v>
      </c>
      <c r="S5052" s="508">
        <v>8.6999999999999994E-2</v>
      </c>
      <c r="T5052" s="508">
        <v>0.10299999999999999</v>
      </c>
      <c r="U5052" s="508">
        <v>8.8999999999999996E-2</v>
      </c>
      <c r="V5052" s="508">
        <v>9.5000000000000001E-2</v>
      </c>
      <c r="W5052" s="508">
        <v>9.9000000000000005E-2</v>
      </c>
      <c r="X5052" s="508">
        <v>9.7000000000000003E-2</v>
      </c>
      <c r="Y5052" s="508">
        <v>0.104</v>
      </c>
      <c r="Z5052" s="508">
        <v>0.10199999999999999</v>
      </c>
      <c r="AA5052" s="508">
        <v>0.112</v>
      </c>
      <c r="AB5052" s="508">
        <v>8.6999999999999994E-2</v>
      </c>
      <c r="AC5052" s="508">
        <v>0.114</v>
      </c>
      <c r="AD5052" s="508">
        <v>0.108</v>
      </c>
      <c r="AE5052" s="508">
        <v>9.9000000000000005E-2</v>
      </c>
      <c r="AF5052" s="508">
        <v>9.9000000000000005E-2</v>
      </c>
      <c r="AG5052" s="508">
        <v>9.9000000000000005E-2</v>
      </c>
      <c r="AH5052" s="508">
        <v>9.9000000000000005E-2</v>
      </c>
      <c r="AI5052" s="492">
        <v>9.9000000000000005E-2</v>
      </c>
      <c r="AJ5052" s="485"/>
    </row>
    <row r="5053" spans="2:36">
      <c r="B5053" s="136" t="s">
        <v>468</v>
      </c>
      <c r="C5053" s="132" t="s">
        <v>1373</v>
      </c>
      <c r="D5053" s="132" t="s">
        <v>1379</v>
      </c>
      <c r="E5053" s="508">
        <v>0.107</v>
      </c>
      <c r="F5053" s="508">
        <v>0.10100000000000001</v>
      </c>
      <c r="G5053" s="508">
        <v>0.114</v>
      </c>
      <c r="H5053" s="508">
        <v>8.5000000000000006E-2</v>
      </c>
      <c r="I5053" s="508">
        <v>7.0999999999999994E-2</v>
      </c>
      <c r="J5053" s="508">
        <v>7.5999999999999998E-2</v>
      </c>
      <c r="K5053" s="508">
        <v>5.6000000000000001E-2</v>
      </c>
      <c r="L5053" s="508">
        <v>7.9000000000000001E-2</v>
      </c>
      <c r="M5053" s="508">
        <v>6.0999999999999999E-2</v>
      </c>
      <c r="N5053" s="508">
        <v>7.1999999999999995E-2</v>
      </c>
      <c r="O5053" s="508">
        <v>9.0999999999999998E-2</v>
      </c>
      <c r="P5053" s="508">
        <v>0.10299999999999999</v>
      </c>
      <c r="Q5053" s="508">
        <v>0.106</v>
      </c>
      <c r="R5053" s="508">
        <v>9.0999999999999998E-2</v>
      </c>
      <c r="S5053" s="508">
        <v>7.1999999999999995E-2</v>
      </c>
      <c r="T5053" s="508">
        <v>8.5000000000000006E-2</v>
      </c>
      <c r="U5053" s="508">
        <v>7.3999999999999996E-2</v>
      </c>
      <c r="V5053" s="508">
        <v>7.9000000000000001E-2</v>
      </c>
      <c r="W5053" s="508">
        <v>8.2000000000000003E-2</v>
      </c>
      <c r="X5053" s="508">
        <v>8.1000000000000003E-2</v>
      </c>
      <c r="Y5053" s="508">
        <v>8.5999999999999993E-2</v>
      </c>
      <c r="Z5053" s="508">
        <v>8.4000000000000005E-2</v>
      </c>
      <c r="AA5053" s="508">
        <v>9.1999999999999998E-2</v>
      </c>
      <c r="AB5053" s="508">
        <v>7.1999999999999995E-2</v>
      </c>
      <c r="AC5053" s="508">
        <v>9.4E-2</v>
      </c>
      <c r="AD5053" s="508">
        <v>8.8999999999999996E-2</v>
      </c>
      <c r="AE5053" s="508">
        <v>8.2000000000000003E-2</v>
      </c>
      <c r="AF5053" s="508">
        <v>8.2000000000000003E-2</v>
      </c>
      <c r="AG5053" s="508">
        <v>8.2000000000000003E-2</v>
      </c>
      <c r="AH5053" s="508">
        <v>8.2000000000000003E-2</v>
      </c>
      <c r="AI5053" s="492">
        <v>8.2000000000000003E-2</v>
      </c>
      <c r="AJ5053" s="485"/>
    </row>
    <row r="5054" spans="2:36">
      <c r="B5054" s="136" t="s">
        <v>469</v>
      </c>
      <c r="C5054" s="132" t="s">
        <v>1373</v>
      </c>
      <c r="D5054" s="132" t="s">
        <v>1379</v>
      </c>
      <c r="E5054" s="508">
        <v>0.122</v>
      </c>
      <c r="F5054" s="508">
        <v>0.115</v>
      </c>
      <c r="G5054" s="508">
        <v>0.13100000000000001</v>
      </c>
      <c r="H5054" s="508">
        <v>9.7000000000000003E-2</v>
      </c>
      <c r="I5054" s="508">
        <v>0.08</v>
      </c>
      <c r="J5054" s="508">
        <v>8.5999999999999993E-2</v>
      </c>
      <c r="K5054" s="508">
        <v>6.3E-2</v>
      </c>
      <c r="L5054" s="508">
        <v>0.09</v>
      </c>
      <c r="M5054" s="508">
        <v>6.9000000000000006E-2</v>
      </c>
      <c r="N5054" s="508">
        <v>8.2000000000000003E-2</v>
      </c>
      <c r="O5054" s="508">
        <v>0.104</v>
      </c>
      <c r="P5054" s="508">
        <v>0.11799999999999999</v>
      </c>
      <c r="Q5054" s="508">
        <v>0.122</v>
      </c>
      <c r="R5054" s="508">
        <v>0.104</v>
      </c>
      <c r="S5054" s="508">
        <v>8.2000000000000003E-2</v>
      </c>
      <c r="T5054" s="508">
        <v>9.7000000000000003E-2</v>
      </c>
      <c r="U5054" s="508">
        <v>8.4000000000000005E-2</v>
      </c>
      <c r="V5054" s="508">
        <v>0.09</v>
      </c>
      <c r="W5054" s="508">
        <v>9.2999999999999999E-2</v>
      </c>
      <c r="X5054" s="508">
        <v>9.1999999999999998E-2</v>
      </c>
      <c r="Y5054" s="508">
        <v>9.8000000000000004E-2</v>
      </c>
      <c r="Z5054" s="508">
        <v>9.6000000000000002E-2</v>
      </c>
      <c r="AA5054" s="508">
        <v>0.105</v>
      </c>
      <c r="AB5054" s="508">
        <v>8.2000000000000003E-2</v>
      </c>
      <c r="AC5054" s="508">
        <v>0.107</v>
      </c>
      <c r="AD5054" s="508">
        <v>0.10199999999999999</v>
      </c>
      <c r="AE5054" s="508">
        <v>9.4E-2</v>
      </c>
      <c r="AF5054" s="508">
        <v>9.4E-2</v>
      </c>
      <c r="AG5054" s="508">
        <v>9.4E-2</v>
      </c>
      <c r="AH5054" s="508">
        <v>9.4E-2</v>
      </c>
      <c r="AI5054" s="492">
        <v>9.4E-2</v>
      </c>
      <c r="AJ5054" s="485"/>
    </row>
    <row r="5055" spans="2:36">
      <c r="B5055" s="136" t="s">
        <v>470</v>
      </c>
      <c r="C5055" s="132" t="s">
        <v>1373</v>
      </c>
      <c r="D5055" s="132" t="s">
        <v>1379</v>
      </c>
      <c r="E5055" s="508">
        <v>0.14499999999999999</v>
      </c>
      <c r="F5055" s="508">
        <v>0.13700000000000001</v>
      </c>
      <c r="G5055" s="508">
        <v>0.156</v>
      </c>
      <c r="H5055" s="508">
        <v>0.114</v>
      </c>
      <c r="I5055" s="508">
        <v>9.5000000000000001E-2</v>
      </c>
      <c r="J5055" s="508">
        <v>0.10199999999999999</v>
      </c>
      <c r="K5055" s="508">
        <v>7.3999999999999996E-2</v>
      </c>
      <c r="L5055" s="508">
        <v>0.106</v>
      </c>
      <c r="M5055" s="508">
        <v>8.1000000000000003E-2</v>
      </c>
      <c r="N5055" s="508">
        <v>9.7000000000000003E-2</v>
      </c>
      <c r="O5055" s="508">
        <v>0.123</v>
      </c>
      <c r="P5055" s="508">
        <v>0.14000000000000001</v>
      </c>
      <c r="Q5055" s="508">
        <v>0.14499999999999999</v>
      </c>
      <c r="R5055" s="508">
        <v>0.123</v>
      </c>
      <c r="S5055" s="508">
        <v>9.7000000000000003E-2</v>
      </c>
      <c r="T5055" s="508">
        <v>0.115</v>
      </c>
      <c r="U5055" s="508">
        <v>0.1</v>
      </c>
      <c r="V5055" s="508">
        <v>0.107</v>
      </c>
      <c r="W5055" s="508">
        <v>0.111</v>
      </c>
      <c r="X5055" s="508">
        <v>0.109</v>
      </c>
      <c r="Y5055" s="508">
        <v>0.11600000000000001</v>
      </c>
      <c r="Z5055" s="508">
        <v>0.114</v>
      </c>
      <c r="AA5055" s="508">
        <v>0.125</v>
      </c>
      <c r="AB5055" s="508">
        <v>9.7000000000000003E-2</v>
      </c>
      <c r="AC5055" s="508">
        <v>0.127</v>
      </c>
      <c r="AD5055" s="508">
        <v>0.121</v>
      </c>
      <c r="AE5055" s="508">
        <v>0.111</v>
      </c>
      <c r="AF5055" s="508">
        <v>0.111</v>
      </c>
      <c r="AG5055" s="508">
        <v>0.111</v>
      </c>
      <c r="AH5055" s="508">
        <v>0.111</v>
      </c>
      <c r="AI5055" s="492">
        <v>0.111</v>
      </c>
      <c r="AJ5055" s="485"/>
    </row>
    <row r="5056" spans="2:36">
      <c r="B5056" s="136" t="s">
        <v>471</v>
      </c>
      <c r="C5056" s="132" t="s">
        <v>1373</v>
      </c>
      <c r="D5056" s="132" t="s">
        <v>1379</v>
      </c>
      <c r="E5056" s="508">
        <v>0.13900000000000001</v>
      </c>
      <c r="F5056" s="508">
        <v>0.13100000000000001</v>
      </c>
      <c r="G5056" s="508">
        <v>0.14899999999999999</v>
      </c>
      <c r="H5056" s="508">
        <v>0.109</v>
      </c>
      <c r="I5056" s="508">
        <v>9.0999999999999998E-2</v>
      </c>
      <c r="J5056" s="508">
        <v>9.8000000000000004E-2</v>
      </c>
      <c r="K5056" s="508">
        <v>7.0999999999999994E-2</v>
      </c>
      <c r="L5056" s="508">
        <v>0.10199999999999999</v>
      </c>
      <c r="M5056" s="508">
        <v>7.8E-2</v>
      </c>
      <c r="N5056" s="508">
        <v>9.2999999999999999E-2</v>
      </c>
      <c r="O5056" s="508">
        <v>0.11700000000000001</v>
      </c>
      <c r="P5056" s="508">
        <v>0.13400000000000001</v>
      </c>
      <c r="Q5056" s="508">
        <v>0.13800000000000001</v>
      </c>
      <c r="R5056" s="508">
        <v>0.11799999999999999</v>
      </c>
      <c r="S5056" s="508">
        <v>9.1999999999999998E-2</v>
      </c>
      <c r="T5056" s="508">
        <v>0.11</v>
      </c>
      <c r="U5056" s="508">
        <v>9.5000000000000001E-2</v>
      </c>
      <c r="V5056" s="508">
        <v>0.10199999999999999</v>
      </c>
      <c r="W5056" s="508">
        <v>0.106</v>
      </c>
      <c r="X5056" s="508">
        <v>0.104</v>
      </c>
      <c r="Y5056" s="508">
        <v>0.111</v>
      </c>
      <c r="Z5056" s="508">
        <v>0.109</v>
      </c>
      <c r="AA5056" s="508">
        <v>0.11899999999999999</v>
      </c>
      <c r="AB5056" s="508">
        <v>9.1999999999999998E-2</v>
      </c>
      <c r="AC5056" s="508">
        <v>0.122</v>
      </c>
      <c r="AD5056" s="508">
        <v>0.11600000000000001</v>
      </c>
      <c r="AE5056" s="508">
        <v>0.106</v>
      </c>
      <c r="AF5056" s="508">
        <v>0.106</v>
      </c>
      <c r="AG5056" s="508">
        <v>0.106</v>
      </c>
      <c r="AH5056" s="508">
        <v>0.106</v>
      </c>
      <c r="AI5056" s="492">
        <v>0.106</v>
      </c>
      <c r="AJ5056" s="485"/>
    </row>
    <row r="5057" spans="2:36">
      <c r="B5057" s="136" t="s">
        <v>472</v>
      </c>
      <c r="C5057" s="132" t="s">
        <v>1373</v>
      </c>
      <c r="D5057" s="132" t="s">
        <v>1379</v>
      </c>
      <c r="E5057" s="508">
        <v>0.112</v>
      </c>
      <c r="F5057" s="508">
        <v>0.105</v>
      </c>
      <c r="G5057" s="508">
        <v>0.12</v>
      </c>
      <c r="H5057" s="508">
        <v>8.8999999999999996E-2</v>
      </c>
      <c r="I5057" s="508">
        <v>7.3999999999999996E-2</v>
      </c>
      <c r="J5057" s="508">
        <v>7.9000000000000001E-2</v>
      </c>
      <c r="K5057" s="508">
        <v>5.8000000000000003E-2</v>
      </c>
      <c r="L5057" s="508">
        <v>8.3000000000000004E-2</v>
      </c>
      <c r="M5057" s="508">
        <v>6.4000000000000001E-2</v>
      </c>
      <c r="N5057" s="508">
        <v>7.5999999999999998E-2</v>
      </c>
      <c r="O5057" s="508">
        <v>9.5000000000000001E-2</v>
      </c>
      <c r="P5057" s="508">
        <v>0.108</v>
      </c>
      <c r="Q5057" s="508">
        <v>0.111</v>
      </c>
      <c r="R5057" s="508">
        <v>9.5000000000000001E-2</v>
      </c>
      <c r="S5057" s="508">
        <v>7.5999999999999998E-2</v>
      </c>
      <c r="T5057" s="508">
        <v>8.8999999999999996E-2</v>
      </c>
      <c r="U5057" s="508">
        <v>7.8E-2</v>
      </c>
      <c r="V5057" s="508">
        <v>8.3000000000000004E-2</v>
      </c>
      <c r="W5057" s="508">
        <v>8.5999999999999993E-2</v>
      </c>
      <c r="X5057" s="508">
        <v>8.4000000000000005E-2</v>
      </c>
      <c r="Y5057" s="508">
        <v>0.09</v>
      </c>
      <c r="Z5057" s="508">
        <v>8.7999999999999995E-2</v>
      </c>
      <c r="AA5057" s="508">
        <v>9.7000000000000003E-2</v>
      </c>
      <c r="AB5057" s="508">
        <v>7.5999999999999998E-2</v>
      </c>
      <c r="AC5057" s="508">
        <v>9.8000000000000004E-2</v>
      </c>
      <c r="AD5057" s="508">
        <v>9.2999999999999999E-2</v>
      </c>
      <c r="AE5057" s="508">
        <v>8.5999999999999993E-2</v>
      </c>
      <c r="AF5057" s="508">
        <v>8.5999999999999993E-2</v>
      </c>
      <c r="AG5057" s="508">
        <v>8.5999999999999993E-2</v>
      </c>
      <c r="AH5057" s="508">
        <v>8.5999999999999993E-2</v>
      </c>
      <c r="AI5057" s="492">
        <v>8.5999999999999993E-2</v>
      </c>
      <c r="AJ5057" s="485"/>
    </row>
    <row r="5058" spans="2:36">
      <c r="B5058" s="136" t="s">
        <v>473</v>
      </c>
      <c r="C5058" s="132" t="s">
        <v>1373</v>
      </c>
      <c r="D5058" s="132" t="s">
        <v>1379</v>
      </c>
      <c r="E5058" s="508">
        <v>0.14799999999999999</v>
      </c>
      <c r="F5058" s="508">
        <v>0.13900000000000001</v>
      </c>
      <c r="G5058" s="508">
        <v>0.159</v>
      </c>
      <c r="H5058" s="508">
        <v>0.11600000000000001</v>
      </c>
      <c r="I5058" s="508">
        <v>9.6000000000000002E-2</v>
      </c>
      <c r="J5058" s="508">
        <v>0.104</v>
      </c>
      <c r="K5058" s="508">
        <v>7.4999999999999997E-2</v>
      </c>
      <c r="L5058" s="508">
        <v>0.108</v>
      </c>
      <c r="M5058" s="508">
        <v>8.3000000000000004E-2</v>
      </c>
      <c r="N5058" s="508">
        <v>9.9000000000000005E-2</v>
      </c>
      <c r="O5058" s="508">
        <v>0.125</v>
      </c>
      <c r="P5058" s="508">
        <v>0.14299999999999999</v>
      </c>
      <c r="Q5058" s="508">
        <v>0.14699999999999999</v>
      </c>
      <c r="R5058" s="508">
        <v>0.125</v>
      </c>
      <c r="S5058" s="508">
        <v>9.8000000000000004E-2</v>
      </c>
      <c r="T5058" s="508">
        <v>0.11700000000000001</v>
      </c>
      <c r="U5058" s="508">
        <v>0.10199999999999999</v>
      </c>
      <c r="V5058" s="508">
        <v>0.108</v>
      </c>
      <c r="W5058" s="508">
        <v>0.113</v>
      </c>
      <c r="X5058" s="508">
        <v>0.11</v>
      </c>
      <c r="Y5058" s="508">
        <v>0.11899999999999999</v>
      </c>
      <c r="Z5058" s="508">
        <v>0.11600000000000001</v>
      </c>
      <c r="AA5058" s="508">
        <v>0.127</v>
      </c>
      <c r="AB5058" s="508">
        <v>9.8000000000000004E-2</v>
      </c>
      <c r="AC5058" s="508">
        <v>0.13</v>
      </c>
      <c r="AD5058" s="508">
        <v>0.123</v>
      </c>
      <c r="AE5058" s="508">
        <v>0.113</v>
      </c>
      <c r="AF5058" s="508">
        <v>0.113</v>
      </c>
      <c r="AG5058" s="508">
        <v>0.113</v>
      </c>
      <c r="AH5058" s="508">
        <v>0.113</v>
      </c>
      <c r="AI5058" s="492">
        <v>0.113</v>
      </c>
      <c r="AJ5058" s="485"/>
    </row>
    <row r="5059" spans="2:36">
      <c r="B5059" s="136" t="s">
        <v>474</v>
      </c>
      <c r="C5059" s="132" t="s">
        <v>1373</v>
      </c>
      <c r="D5059" s="132" t="s">
        <v>1379</v>
      </c>
      <c r="E5059" s="508">
        <v>0.13300000000000001</v>
      </c>
      <c r="F5059" s="508">
        <v>0.125</v>
      </c>
      <c r="G5059" s="508">
        <v>0.14299999999999999</v>
      </c>
      <c r="H5059" s="508">
        <v>0.105</v>
      </c>
      <c r="I5059" s="508">
        <v>8.6999999999999994E-2</v>
      </c>
      <c r="J5059" s="508">
        <v>9.4E-2</v>
      </c>
      <c r="K5059" s="508">
        <v>6.8000000000000005E-2</v>
      </c>
      <c r="L5059" s="508">
        <v>9.8000000000000004E-2</v>
      </c>
      <c r="M5059" s="508">
        <v>7.4999999999999997E-2</v>
      </c>
      <c r="N5059" s="508">
        <v>0.09</v>
      </c>
      <c r="O5059" s="508">
        <v>0.113</v>
      </c>
      <c r="P5059" s="508">
        <v>0.128</v>
      </c>
      <c r="Q5059" s="508">
        <v>0.13300000000000001</v>
      </c>
      <c r="R5059" s="508">
        <v>0.113</v>
      </c>
      <c r="S5059" s="508">
        <v>8.8999999999999996E-2</v>
      </c>
      <c r="T5059" s="508">
        <v>0.106</v>
      </c>
      <c r="U5059" s="508">
        <v>9.1999999999999998E-2</v>
      </c>
      <c r="V5059" s="508">
        <v>9.8000000000000004E-2</v>
      </c>
      <c r="W5059" s="508">
        <v>0.10199999999999999</v>
      </c>
      <c r="X5059" s="508">
        <v>0.1</v>
      </c>
      <c r="Y5059" s="508">
        <v>0.107</v>
      </c>
      <c r="Z5059" s="508">
        <v>0.105</v>
      </c>
      <c r="AA5059" s="508">
        <v>0.115</v>
      </c>
      <c r="AB5059" s="508">
        <v>8.8999999999999996E-2</v>
      </c>
      <c r="AC5059" s="508">
        <v>0.11700000000000001</v>
      </c>
      <c r="AD5059" s="508">
        <v>0.111</v>
      </c>
      <c r="AE5059" s="508">
        <v>0.10199999999999999</v>
      </c>
      <c r="AF5059" s="508">
        <v>0.10199999999999999</v>
      </c>
      <c r="AG5059" s="508">
        <v>0.10199999999999999</v>
      </c>
      <c r="AH5059" s="508">
        <v>0.10199999999999999</v>
      </c>
      <c r="AI5059" s="492">
        <v>0.10199999999999999</v>
      </c>
      <c r="AJ5059" s="485"/>
    </row>
    <row r="5060" spans="2:36">
      <c r="B5060" s="136" t="s">
        <v>475</v>
      </c>
      <c r="C5060" s="132" t="s">
        <v>1373</v>
      </c>
      <c r="D5060" s="132" t="s">
        <v>1379</v>
      </c>
      <c r="E5060" s="508">
        <v>0.127</v>
      </c>
      <c r="F5060" s="508">
        <v>0.12</v>
      </c>
      <c r="G5060" s="508">
        <v>0.13600000000000001</v>
      </c>
      <c r="H5060" s="508">
        <v>0.10100000000000001</v>
      </c>
      <c r="I5060" s="508">
        <v>8.4000000000000005E-2</v>
      </c>
      <c r="J5060" s="508">
        <v>0.09</v>
      </c>
      <c r="K5060" s="508">
        <v>6.6000000000000003E-2</v>
      </c>
      <c r="L5060" s="508">
        <v>9.2999999999999999E-2</v>
      </c>
      <c r="M5060" s="508">
        <v>7.1999999999999995E-2</v>
      </c>
      <c r="N5060" s="508">
        <v>8.5999999999999993E-2</v>
      </c>
      <c r="O5060" s="508">
        <v>0.108</v>
      </c>
      <c r="P5060" s="508">
        <v>0.123</v>
      </c>
      <c r="Q5060" s="508">
        <v>0.127</v>
      </c>
      <c r="R5060" s="508">
        <v>0.108</v>
      </c>
      <c r="S5060" s="508">
        <v>8.5000000000000006E-2</v>
      </c>
      <c r="T5060" s="508">
        <v>0.10100000000000001</v>
      </c>
      <c r="U5060" s="508">
        <v>8.7999999999999995E-2</v>
      </c>
      <c r="V5060" s="508">
        <v>9.4E-2</v>
      </c>
      <c r="W5060" s="508">
        <v>9.7000000000000003E-2</v>
      </c>
      <c r="X5060" s="508">
        <v>9.6000000000000002E-2</v>
      </c>
      <c r="Y5060" s="508">
        <v>0.10199999999999999</v>
      </c>
      <c r="Z5060" s="508">
        <v>0.1</v>
      </c>
      <c r="AA5060" s="508">
        <v>0.11</v>
      </c>
      <c r="AB5060" s="508">
        <v>8.5000000000000006E-2</v>
      </c>
      <c r="AC5060" s="508">
        <v>0.112</v>
      </c>
      <c r="AD5060" s="508">
        <v>0.106</v>
      </c>
      <c r="AE5060" s="508">
        <v>9.8000000000000004E-2</v>
      </c>
      <c r="AF5060" s="508">
        <v>9.8000000000000004E-2</v>
      </c>
      <c r="AG5060" s="508">
        <v>9.8000000000000004E-2</v>
      </c>
      <c r="AH5060" s="508">
        <v>9.8000000000000004E-2</v>
      </c>
      <c r="AI5060" s="492">
        <v>9.8000000000000004E-2</v>
      </c>
      <c r="AJ5060" s="485"/>
    </row>
    <row r="5061" spans="2:36">
      <c r="B5061" s="136" t="s">
        <v>476</v>
      </c>
      <c r="C5061" s="132" t="s">
        <v>1373</v>
      </c>
      <c r="D5061" s="132" t="s">
        <v>1379</v>
      </c>
      <c r="E5061" s="508">
        <v>0.13900000000000001</v>
      </c>
      <c r="F5061" s="508">
        <v>0.13100000000000001</v>
      </c>
      <c r="G5061" s="508">
        <v>0.14899999999999999</v>
      </c>
      <c r="H5061" s="508">
        <v>0.109</v>
      </c>
      <c r="I5061" s="508">
        <v>9.0999999999999998E-2</v>
      </c>
      <c r="J5061" s="508">
        <v>9.8000000000000004E-2</v>
      </c>
      <c r="K5061" s="508">
        <v>7.0999999999999994E-2</v>
      </c>
      <c r="L5061" s="508">
        <v>0.10199999999999999</v>
      </c>
      <c r="M5061" s="508">
        <v>7.8E-2</v>
      </c>
      <c r="N5061" s="508">
        <v>9.2999999999999999E-2</v>
      </c>
      <c r="O5061" s="508">
        <v>0.11799999999999999</v>
      </c>
      <c r="P5061" s="508">
        <v>0.13400000000000001</v>
      </c>
      <c r="Q5061" s="508">
        <v>0.13800000000000001</v>
      </c>
      <c r="R5061" s="508">
        <v>0.11799999999999999</v>
      </c>
      <c r="S5061" s="508">
        <v>9.1999999999999998E-2</v>
      </c>
      <c r="T5061" s="508">
        <v>0.11</v>
      </c>
      <c r="U5061" s="508">
        <v>9.6000000000000002E-2</v>
      </c>
      <c r="V5061" s="508">
        <v>0.10199999999999999</v>
      </c>
      <c r="W5061" s="508">
        <v>0.106</v>
      </c>
      <c r="X5061" s="508">
        <v>0.104</v>
      </c>
      <c r="Y5061" s="508">
        <v>0.111</v>
      </c>
      <c r="Z5061" s="508">
        <v>0.109</v>
      </c>
      <c r="AA5061" s="508">
        <v>0.11899999999999999</v>
      </c>
      <c r="AB5061" s="508">
        <v>9.1999999999999998E-2</v>
      </c>
      <c r="AC5061" s="508">
        <v>0.122</v>
      </c>
      <c r="AD5061" s="508">
        <v>0.11600000000000001</v>
      </c>
      <c r="AE5061" s="508">
        <v>0.106</v>
      </c>
      <c r="AF5061" s="508">
        <v>0.106</v>
      </c>
      <c r="AG5061" s="508">
        <v>0.106</v>
      </c>
      <c r="AH5061" s="508">
        <v>0.106</v>
      </c>
      <c r="AI5061" s="492">
        <v>0.106</v>
      </c>
      <c r="AJ5061" s="485"/>
    </row>
    <row r="5062" spans="2:36">
      <c r="B5062" s="136" t="s">
        <v>478</v>
      </c>
      <c r="C5062" s="132" t="s">
        <v>1373</v>
      </c>
      <c r="D5062" s="132" t="s">
        <v>1379</v>
      </c>
      <c r="E5062" s="508">
        <v>0.14899999999999999</v>
      </c>
      <c r="F5062" s="508">
        <v>0.14000000000000001</v>
      </c>
      <c r="G5062" s="508">
        <v>0.16</v>
      </c>
      <c r="H5062" s="508">
        <v>0.11700000000000001</v>
      </c>
      <c r="I5062" s="508">
        <v>9.7000000000000003E-2</v>
      </c>
      <c r="J5062" s="508">
        <v>0.105</v>
      </c>
      <c r="K5062" s="508">
        <v>7.5999999999999998E-2</v>
      </c>
      <c r="L5062" s="508">
        <v>0.109</v>
      </c>
      <c r="M5062" s="508">
        <v>8.3000000000000004E-2</v>
      </c>
      <c r="N5062" s="508">
        <v>0.1</v>
      </c>
      <c r="O5062" s="508">
        <v>0.126</v>
      </c>
      <c r="P5062" s="508">
        <v>0.14399999999999999</v>
      </c>
      <c r="Q5062" s="508">
        <v>0.14899999999999999</v>
      </c>
      <c r="R5062" s="508">
        <v>0.126</v>
      </c>
      <c r="S5062" s="508">
        <v>9.9000000000000005E-2</v>
      </c>
      <c r="T5062" s="508">
        <v>0.11799999999999999</v>
      </c>
      <c r="U5062" s="508">
        <v>0.10199999999999999</v>
      </c>
      <c r="V5062" s="508">
        <v>0.109</v>
      </c>
      <c r="W5062" s="508">
        <v>0.113</v>
      </c>
      <c r="X5062" s="508">
        <v>0.111</v>
      </c>
      <c r="Y5062" s="508">
        <v>0.11899999999999999</v>
      </c>
      <c r="Z5062" s="508">
        <v>0.11700000000000001</v>
      </c>
      <c r="AA5062" s="508">
        <v>0.128</v>
      </c>
      <c r="AB5062" s="508">
        <v>9.9000000000000005E-2</v>
      </c>
      <c r="AC5062" s="508">
        <v>0.13100000000000001</v>
      </c>
      <c r="AD5062" s="508">
        <v>0.124</v>
      </c>
      <c r="AE5062" s="508">
        <v>0.114</v>
      </c>
      <c r="AF5062" s="508">
        <v>0.114</v>
      </c>
      <c r="AG5062" s="508">
        <v>0.114</v>
      </c>
      <c r="AH5062" s="508">
        <v>0.114</v>
      </c>
      <c r="AI5062" s="492">
        <v>0.114</v>
      </c>
      <c r="AJ5062" s="485"/>
    </row>
    <row r="5063" spans="2:36">
      <c r="B5063" s="136" t="s">
        <v>479</v>
      </c>
      <c r="C5063" s="132" t="s">
        <v>1373</v>
      </c>
      <c r="D5063" s="132" t="s">
        <v>1379</v>
      </c>
      <c r="E5063" s="508">
        <v>0.129</v>
      </c>
      <c r="F5063" s="508">
        <v>0.121</v>
      </c>
      <c r="G5063" s="508">
        <v>0.13800000000000001</v>
      </c>
      <c r="H5063" s="508">
        <v>0.10199999999999999</v>
      </c>
      <c r="I5063" s="508">
        <v>8.5000000000000006E-2</v>
      </c>
      <c r="J5063" s="508">
        <v>9.0999999999999998E-2</v>
      </c>
      <c r="K5063" s="508">
        <v>6.6000000000000003E-2</v>
      </c>
      <c r="L5063" s="508">
        <v>9.5000000000000001E-2</v>
      </c>
      <c r="M5063" s="508">
        <v>7.2999999999999995E-2</v>
      </c>
      <c r="N5063" s="508">
        <v>8.6999999999999994E-2</v>
      </c>
      <c r="O5063" s="508">
        <v>0.109</v>
      </c>
      <c r="P5063" s="508">
        <v>0.124</v>
      </c>
      <c r="Q5063" s="508">
        <v>0.128</v>
      </c>
      <c r="R5063" s="508">
        <v>0.11</v>
      </c>
      <c r="S5063" s="508">
        <v>8.5999999999999993E-2</v>
      </c>
      <c r="T5063" s="508">
        <v>0.10199999999999999</v>
      </c>
      <c r="U5063" s="508">
        <v>8.8999999999999996E-2</v>
      </c>
      <c r="V5063" s="508">
        <v>9.5000000000000001E-2</v>
      </c>
      <c r="W5063" s="508">
        <v>9.8000000000000004E-2</v>
      </c>
      <c r="X5063" s="508">
        <v>9.7000000000000003E-2</v>
      </c>
      <c r="Y5063" s="508">
        <v>0.104</v>
      </c>
      <c r="Z5063" s="508">
        <v>0.10100000000000001</v>
      </c>
      <c r="AA5063" s="508">
        <v>0.111</v>
      </c>
      <c r="AB5063" s="508">
        <v>8.5999999999999993E-2</v>
      </c>
      <c r="AC5063" s="508">
        <v>0.113</v>
      </c>
      <c r="AD5063" s="508">
        <v>0.107</v>
      </c>
      <c r="AE5063" s="508">
        <v>9.9000000000000005E-2</v>
      </c>
      <c r="AF5063" s="508">
        <v>9.9000000000000005E-2</v>
      </c>
      <c r="AG5063" s="508">
        <v>9.9000000000000005E-2</v>
      </c>
      <c r="AH5063" s="508">
        <v>9.9000000000000005E-2</v>
      </c>
      <c r="AI5063" s="492">
        <v>9.9000000000000005E-2</v>
      </c>
      <c r="AJ5063" s="485"/>
    </row>
    <row r="5064" spans="2:36">
      <c r="B5064" s="136" t="s">
        <v>480</v>
      </c>
      <c r="C5064" s="132" t="s">
        <v>1373</v>
      </c>
      <c r="D5064" s="132" t="s">
        <v>1379</v>
      </c>
      <c r="E5064" s="508">
        <v>0.107</v>
      </c>
      <c r="F5064" s="508">
        <v>0.10100000000000001</v>
      </c>
      <c r="G5064" s="508">
        <v>0.114</v>
      </c>
      <c r="H5064" s="508">
        <v>8.5000000000000006E-2</v>
      </c>
      <c r="I5064" s="508">
        <v>7.0999999999999994E-2</v>
      </c>
      <c r="J5064" s="508">
        <v>7.5999999999999998E-2</v>
      </c>
      <c r="K5064" s="508">
        <v>5.6000000000000001E-2</v>
      </c>
      <c r="L5064" s="508">
        <v>7.9000000000000001E-2</v>
      </c>
      <c r="M5064" s="508">
        <v>6.0999999999999999E-2</v>
      </c>
      <c r="N5064" s="508">
        <v>7.2999999999999995E-2</v>
      </c>
      <c r="O5064" s="508">
        <v>9.0999999999999998E-2</v>
      </c>
      <c r="P5064" s="508">
        <v>0.10299999999999999</v>
      </c>
      <c r="Q5064" s="508">
        <v>0.106</v>
      </c>
      <c r="R5064" s="508">
        <v>9.0999999999999998E-2</v>
      </c>
      <c r="S5064" s="508">
        <v>7.1999999999999995E-2</v>
      </c>
      <c r="T5064" s="508">
        <v>8.5000000000000006E-2</v>
      </c>
      <c r="U5064" s="508">
        <v>7.4999999999999997E-2</v>
      </c>
      <c r="V5064" s="508">
        <v>7.9000000000000001E-2</v>
      </c>
      <c r="W5064" s="508">
        <v>8.2000000000000003E-2</v>
      </c>
      <c r="X5064" s="508">
        <v>8.1000000000000003E-2</v>
      </c>
      <c r="Y5064" s="508">
        <v>8.5999999999999993E-2</v>
      </c>
      <c r="Z5064" s="508">
        <v>8.5000000000000006E-2</v>
      </c>
      <c r="AA5064" s="508">
        <v>9.1999999999999998E-2</v>
      </c>
      <c r="AB5064" s="508">
        <v>7.1999999999999995E-2</v>
      </c>
      <c r="AC5064" s="508">
        <v>9.4E-2</v>
      </c>
      <c r="AD5064" s="508">
        <v>8.8999999999999996E-2</v>
      </c>
      <c r="AE5064" s="508">
        <v>8.2000000000000003E-2</v>
      </c>
      <c r="AF5064" s="508">
        <v>8.2000000000000003E-2</v>
      </c>
      <c r="AG5064" s="508">
        <v>8.2000000000000003E-2</v>
      </c>
      <c r="AH5064" s="508">
        <v>8.2000000000000003E-2</v>
      </c>
      <c r="AI5064" s="492">
        <v>8.2000000000000003E-2</v>
      </c>
      <c r="AJ5064" s="485"/>
    </row>
    <row r="5065" spans="2:36">
      <c r="B5065" s="136" t="s">
        <v>481</v>
      </c>
      <c r="C5065" s="132" t="s">
        <v>1373</v>
      </c>
      <c r="D5065" s="132" t="s">
        <v>1379</v>
      </c>
      <c r="E5065" s="508">
        <v>0.13300000000000001</v>
      </c>
      <c r="F5065" s="508">
        <v>0.126</v>
      </c>
      <c r="G5065" s="508">
        <v>0.14299999999999999</v>
      </c>
      <c r="H5065" s="508">
        <v>0.105</v>
      </c>
      <c r="I5065" s="508">
        <v>8.6999999999999994E-2</v>
      </c>
      <c r="J5065" s="508">
        <v>9.4E-2</v>
      </c>
      <c r="K5065" s="508">
        <v>6.8000000000000005E-2</v>
      </c>
      <c r="L5065" s="508">
        <v>9.8000000000000004E-2</v>
      </c>
      <c r="M5065" s="508">
        <v>7.4999999999999997E-2</v>
      </c>
      <c r="N5065" s="508">
        <v>0.09</v>
      </c>
      <c r="O5065" s="508">
        <v>0.113</v>
      </c>
      <c r="P5065" s="508">
        <v>0.129</v>
      </c>
      <c r="Q5065" s="508">
        <v>0.13300000000000001</v>
      </c>
      <c r="R5065" s="508">
        <v>0.113</v>
      </c>
      <c r="S5065" s="508">
        <v>8.8999999999999996E-2</v>
      </c>
      <c r="T5065" s="508">
        <v>0.106</v>
      </c>
      <c r="U5065" s="508">
        <v>9.1999999999999998E-2</v>
      </c>
      <c r="V5065" s="508">
        <v>9.8000000000000004E-2</v>
      </c>
      <c r="W5065" s="508">
        <v>0.10199999999999999</v>
      </c>
      <c r="X5065" s="508">
        <v>0.1</v>
      </c>
      <c r="Y5065" s="508">
        <v>0.107</v>
      </c>
      <c r="Z5065" s="508">
        <v>0.105</v>
      </c>
      <c r="AA5065" s="508">
        <v>0.115</v>
      </c>
      <c r="AB5065" s="508">
        <v>8.8999999999999996E-2</v>
      </c>
      <c r="AC5065" s="508">
        <v>0.11700000000000001</v>
      </c>
      <c r="AD5065" s="508">
        <v>0.111</v>
      </c>
      <c r="AE5065" s="508">
        <v>0.10199999999999999</v>
      </c>
      <c r="AF5065" s="508">
        <v>0.10199999999999999</v>
      </c>
      <c r="AG5065" s="508">
        <v>0.10199999999999999</v>
      </c>
      <c r="AH5065" s="508">
        <v>0.10199999999999999</v>
      </c>
      <c r="AI5065" s="492">
        <v>0.10199999999999999</v>
      </c>
      <c r="AJ5065" s="485"/>
    </row>
    <row r="5066" spans="2:36">
      <c r="B5066" s="136" t="s">
        <v>482</v>
      </c>
      <c r="C5066" s="132" t="s">
        <v>1373</v>
      </c>
      <c r="D5066" s="132" t="s">
        <v>1379</v>
      </c>
      <c r="E5066" s="508">
        <v>0.13300000000000001</v>
      </c>
      <c r="F5066" s="508">
        <v>0.125</v>
      </c>
      <c r="G5066" s="508">
        <v>0.14199999999999999</v>
      </c>
      <c r="H5066" s="508">
        <v>0.105</v>
      </c>
      <c r="I5066" s="508">
        <v>8.6999999999999994E-2</v>
      </c>
      <c r="J5066" s="508">
        <v>9.4E-2</v>
      </c>
      <c r="K5066" s="508">
        <v>6.8000000000000005E-2</v>
      </c>
      <c r="L5066" s="508">
        <v>9.7000000000000003E-2</v>
      </c>
      <c r="M5066" s="508">
        <v>7.4999999999999997E-2</v>
      </c>
      <c r="N5066" s="508">
        <v>8.8999999999999996E-2</v>
      </c>
      <c r="O5066" s="508">
        <v>0.112</v>
      </c>
      <c r="P5066" s="508">
        <v>0.128</v>
      </c>
      <c r="Q5066" s="508">
        <v>0.13200000000000001</v>
      </c>
      <c r="R5066" s="508">
        <v>0.113</v>
      </c>
      <c r="S5066" s="508">
        <v>8.8999999999999996E-2</v>
      </c>
      <c r="T5066" s="508">
        <v>0.105</v>
      </c>
      <c r="U5066" s="508">
        <v>9.0999999999999998E-2</v>
      </c>
      <c r="V5066" s="508">
        <v>9.8000000000000004E-2</v>
      </c>
      <c r="W5066" s="508">
        <v>0.10100000000000001</v>
      </c>
      <c r="X5066" s="508">
        <v>9.9000000000000005E-2</v>
      </c>
      <c r="Y5066" s="508">
        <v>0.107</v>
      </c>
      <c r="Z5066" s="508">
        <v>0.104</v>
      </c>
      <c r="AA5066" s="508">
        <v>0.114</v>
      </c>
      <c r="AB5066" s="508">
        <v>8.8999999999999996E-2</v>
      </c>
      <c r="AC5066" s="508">
        <v>0.11600000000000001</v>
      </c>
      <c r="AD5066" s="508">
        <v>0.111</v>
      </c>
      <c r="AE5066" s="508">
        <v>0.10199999999999999</v>
      </c>
      <c r="AF5066" s="508">
        <v>0.10199999999999999</v>
      </c>
      <c r="AG5066" s="508">
        <v>0.10199999999999999</v>
      </c>
      <c r="AH5066" s="508">
        <v>0.10199999999999999</v>
      </c>
      <c r="AI5066" s="492">
        <v>0.10199999999999999</v>
      </c>
      <c r="AJ5066" s="485"/>
    </row>
    <row r="5067" spans="2:36">
      <c r="B5067" s="136" t="s">
        <v>483</v>
      </c>
      <c r="C5067" s="132" t="s">
        <v>1373</v>
      </c>
      <c r="D5067" s="132" t="s">
        <v>1379</v>
      </c>
      <c r="E5067" s="508">
        <v>0.14699999999999999</v>
      </c>
      <c r="F5067" s="508">
        <v>0.13900000000000001</v>
      </c>
      <c r="G5067" s="508">
        <v>0.158</v>
      </c>
      <c r="H5067" s="508">
        <v>0.11600000000000001</v>
      </c>
      <c r="I5067" s="508">
        <v>9.6000000000000002E-2</v>
      </c>
      <c r="J5067" s="508">
        <v>0.104</v>
      </c>
      <c r="K5067" s="508">
        <v>7.4999999999999997E-2</v>
      </c>
      <c r="L5067" s="508">
        <v>0.107</v>
      </c>
      <c r="M5067" s="508">
        <v>8.2000000000000003E-2</v>
      </c>
      <c r="N5067" s="508">
        <v>9.9000000000000005E-2</v>
      </c>
      <c r="O5067" s="508">
        <v>0.124</v>
      </c>
      <c r="P5067" s="508">
        <v>0.14199999999999999</v>
      </c>
      <c r="Q5067" s="508">
        <v>0.14699999999999999</v>
      </c>
      <c r="R5067" s="508">
        <v>0.125</v>
      </c>
      <c r="S5067" s="508">
        <v>9.8000000000000004E-2</v>
      </c>
      <c r="T5067" s="508">
        <v>0.11600000000000001</v>
      </c>
      <c r="U5067" s="508">
        <v>0.10100000000000001</v>
      </c>
      <c r="V5067" s="508">
        <v>0.108</v>
      </c>
      <c r="W5067" s="508">
        <v>0.112</v>
      </c>
      <c r="X5067" s="508">
        <v>0.11</v>
      </c>
      <c r="Y5067" s="508">
        <v>0.11799999999999999</v>
      </c>
      <c r="Z5067" s="508">
        <v>0.115</v>
      </c>
      <c r="AA5067" s="508">
        <v>0.126</v>
      </c>
      <c r="AB5067" s="508">
        <v>9.8000000000000004E-2</v>
      </c>
      <c r="AC5067" s="508">
        <v>0.129</v>
      </c>
      <c r="AD5067" s="508">
        <v>0.122</v>
      </c>
      <c r="AE5067" s="508">
        <v>0.113</v>
      </c>
      <c r="AF5067" s="508">
        <v>0.113</v>
      </c>
      <c r="AG5067" s="508">
        <v>0.113</v>
      </c>
      <c r="AH5067" s="508">
        <v>0.113</v>
      </c>
      <c r="AI5067" s="492">
        <v>0.113</v>
      </c>
      <c r="AJ5067" s="485"/>
    </row>
    <row r="5068" spans="2:36">
      <c r="B5068" s="136" t="s">
        <v>484</v>
      </c>
      <c r="C5068" s="132" t="s">
        <v>1373</v>
      </c>
      <c r="D5068" s="132" t="s">
        <v>1379</v>
      </c>
      <c r="E5068" s="508">
        <v>0.11</v>
      </c>
      <c r="F5068" s="508">
        <v>0.104</v>
      </c>
      <c r="G5068" s="508">
        <v>0.11799999999999999</v>
      </c>
      <c r="H5068" s="508">
        <v>8.7999999999999995E-2</v>
      </c>
      <c r="I5068" s="508">
        <v>7.2999999999999995E-2</v>
      </c>
      <c r="J5068" s="508">
        <v>7.9000000000000001E-2</v>
      </c>
      <c r="K5068" s="508">
        <v>5.8000000000000003E-2</v>
      </c>
      <c r="L5068" s="508">
        <v>8.2000000000000003E-2</v>
      </c>
      <c r="M5068" s="508">
        <v>6.3E-2</v>
      </c>
      <c r="N5068" s="508">
        <v>7.4999999999999997E-2</v>
      </c>
      <c r="O5068" s="508">
        <v>9.4E-2</v>
      </c>
      <c r="P5068" s="508">
        <v>0.106</v>
      </c>
      <c r="Q5068" s="508">
        <v>0.11</v>
      </c>
      <c r="R5068" s="508">
        <v>9.4E-2</v>
      </c>
      <c r="S5068" s="508">
        <v>7.4999999999999997E-2</v>
      </c>
      <c r="T5068" s="508">
        <v>8.7999999999999995E-2</v>
      </c>
      <c r="U5068" s="508">
        <v>7.6999999999999999E-2</v>
      </c>
      <c r="V5068" s="508">
        <v>8.2000000000000003E-2</v>
      </c>
      <c r="W5068" s="508">
        <v>8.5000000000000006E-2</v>
      </c>
      <c r="X5068" s="508">
        <v>8.3000000000000004E-2</v>
      </c>
      <c r="Y5068" s="508">
        <v>8.8999999999999996E-2</v>
      </c>
      <c r="Z5068" s="508">
        <v>8.6999999999999994E-2</v>
      </c>
      <c r="AA5068" s="508">
        <v>9.5000000000000001E-2</v>
      </c>
      <c r="AB5068" s="508">
        <v>7.4999999999999997E-2</v>
      </c>
      <c r="AC5068" s="508">
        <v>9.7000000000000003E-2</v>
      </c>
      <c r="AD5068" s="508">
        <v>9.1999999999999998E-2</v>
      </c>
      <c r="AE5068" s="508">
        <v>8.5000000000000006E-2</v>
      </c>
      <c r="AF5068" s="508">
        <v>8.5000000000000006E-2</v>
      </c>
      <c r="AG5068" s="508">
        <v>8.5000000000000006E-2</v>
      </c>
      <c r="AH5068" s="508">
        <v>8.5000000000000006E-2</v>
      </c>
      <c r="AI5068" s="492">
        <v>8.5000000000000006E-2</v>
      </c>
      <c r="AJ5068" s="485"/>
    </row>
    <row r="5069" spans="2:36">
      <c r="B5069" s="136" t="s">
        <v>486</v>
      </c>
      <c r="C5069" s="132" t="s">
        <v>1373</v>
      </c>
      <c r="D5069" s="132" t="s">
        <v>1379</v>
      </c>
      <c r="E5069" s="508">
        <v>0.13400000000000001</v>
      </c>
      <c r="F5069" s="508">
        <v>0.126</v>
      </c>
      <c r="G5069" s="508">
        <v>0.14399999999999999</v>
      </c>
      <c r="H5069" s="508">
        <v>0.106</v>
      </c>
      <c r="I5069" s="508">
        <v>8.7999999999999995E-2</v>
      </c>
      <c r="J5069" s="508">
        <v>9.5000000000000001E-2</v>
      </c>
      <c r="K5069" s="508">
        <v>6.9000000000000006E-2</v>
      </c>
      <c r="L5069" s="508">
        <v>9.8000000000000004E-2</v>
      </c>
      <c r="M5069" s="508">
        <v>7.4999999999999997E-2</v>
      </c>
      <c r="N5069" s="508">
        <v>0.09</v>
      </c>
      <c r="O5069" s="508">
        <v>0.114</v>
      </c>
      <c r="P5069" s="508">
        <v>0.129</v>
      </c>
      <c r="Q5069" s="508">
        <v>0.13400000000000001</v>
      </c>
      <c r="R5069" s="508">
        <v>0.114</v>
      </c>
      <c r="S5069" s="508">
        <v>0.09</v>
      </c>
      <c r="T5069" s="508">
        <v>0.106</v>
      </c>
      <c r="U5069" s="508">
        <v>9.1999999999999998E-2</v>
      </c>
      <c r="V5069" s="508">
        <v>9.9000000000000005E-2</v>
      </c>
      <c r="W5069" s="508">
        <v>0.10199999999999999</v>
      </c>
      <c r="X5069" s="508">
        <v>0.1</v>
      </c>
      <c r="Y5069" s="508">
        <v>0.108</v>
      </c>
      <c r="Z5069" s="508">
        <v>0.105</v>
      </c>
      <c r="AA5069" s="508">
        <v>0.115</v>
      </c>
      <c r="AB5069" s="508">
        <v>0.09</v>
      </c>
      <c r="AC5069" s="508">
        <v>0.11799999999999999</v>
      </c>
      <c r="AD5069" s="508">
        <v>0.112</v>
      </c>
      <c r="AE5069" s="508">
        <v>0.10299999999999999</v>
      </c>
      <c r="AF5069" s="508">
        <v>0.10299999999999999</v>
      </c>
      <c r="AG5069" s="508">
        <v>0.10299999999999999</v>
      </c>
      <c r="AH5069" s="508">
        <v>0.10299999999999999</v>
      </c>
      <c r="AI5069" s="492">
        <v>0.10299999999999999</v>
      </c>
      <c r="AJ5069" s="485"/>
    </row>
    <row r="5070" spans="2:36">
      <c r="B5070" s="136" t="s">
        <v>487</v>
      </c>
      <c r="C5070" s="132" t="s">
        <v>1373</v>
      </c>
      <c r="D5070" s="132" t="s">
        <v>1379</v>
      </c>
      <c r="E5070" s="508">
        <v>0.13300000000000001</v>
      </c>
      <c r="F5070" s="508">
        <v>0.126</v>
      </c>
      <c r="G5070" s="508">
        <v>0.14299999999999999</v>
      </c>
      <c r="H5070" s="508">
        <v>0.105</v>
      </c>
      <c r="I5070" s="508">
        <v>8.6999999999999994E-2</v>
      </c>
      <c r="J5070" s="508">
        <v>9.4E-2</v>
      </c>
      <c r="K5070" s="508">
        <v>6.8000000000000005E-2</v>
      </c>
      <c r="L5070" s="508">
        <v>9.8000000000000004E-2</v>
      </c>
      <c r="M5070" s="508">
        <v>7.4999999999999997E-2</v>
      </c>
      <c r="N5070" s="508">
        <v>0.09</v>
      </c>
      <c r="O5070" s="508">
        <v>0.113</v>
      </c>
      <c r="P5070" s="508">
        <v>0.128</v>
      </c>
      <c r="Q5070" s="508">
        <v>0.13300000000000001</v>
      </c>
      <c r="R5070" s="508">
        <v>0.113</v>
      </c>
      <c r="S5070" s="508">
        <v>8.8999999999999996E-2</v>
      </c>
      <c r="T5070" s="508">
        <v>0.106</v>
      </c>
      <c r="U5070" s="508">
        <v>9.1999999999999998E-2</v>
      </c>
      <c r="V5070" s="508">
        <v>9.8000000000000004E-2</v>
      </c>
      <c r="W5070" s="508">
        <v>0.10199999999999999</v>
      </c>
      <c r="X5070" s="508">
        <v>0.1</v>
      </c>
      <c r="Y5070" s="508">
        <v>0.107</v>
      </c>
      <c r="Z5070" s="508">
        <v>0.105</v>
      </c>
      <c r="AA5070" s="508">
        <v>0.115</v>
      </c>
      <c r="AB5070" s="508">
        <v>8.8999999999999996E-2</v>
      </c>
      <c r="AC5070" s="508">
        <v>0.11700000000000001</v>
      </c>
      <c r="AD5070" s="508">
        <v>0.111</v>
      </c>
      <c r="AE5070" s="508">
        <v>0.10199999999999999</v>
      </c>
      <c r="AF5070" s="508">
        <v>0.10199999999999999</v>
      </c>
      <c r="AG5070" s="508">
        <v>0.10199999999999999</v>
      </c>
      <c r="AH5070" s="508">
        <v>0.10199999999999999</v>
      </c>
      <c r="AI5070" s="492">
        <v>0.10199999999999999</v>
      </c>
      <c r="AJ5070" s="485"/>
    </row>
    <row r="5071" spans="2:36">
      <c r="B5071" s="136" t="s">
        <v>488</v>
      </c>
      <c r="C5071" s="132" t="s">
        <v>1373</v>
      </c>
      <c r="D5071" s="132" t="s">
        <v>1379</v>
      </c>
      <c r="E5071" s="508">
        <v>0.115</v>
      </c>
      <c r="F5071" s="508">
        <v>0.109</v>
      </c>
      <c r="G5071" s="508">
        <v>0.124</v>
      </c>
      <c r="H5071" s="508">
        <v>9.1999999999999998E-2</v>
      </c>
      <c r="I5071" s="508">
        <v>7.5999999999999998E-2</v>
      </c>
      <c r="J5071" s="508">
        <v>8.2000000000000003E-2</v>
      </c>
      <c r="K5071" s="508">
        <v>0.06</v>
      </c>
      <c r="L5071" s="508">
        <v>8.5000000000000006E-2</v>
      </c>
      <c r="M5071" s="508">
        <v>6.6000000000000003E-2</v>
      </c>
      <c r="N5071" s="508">
        <v>7.8E-2</v>
      </c>
      <c r="O5071" s="508">
        <v>9.8000000000000004E-2</v>
      </c>
      <c r="P5071" s="508">
        <v>0.111</v>
      </c>
      <c r="Q5071" s="508">
        <v>0.115</v>
      </c>
      <c r="R5071" s="508">
        <v>9.8000000000000004E-2</v>
      </c>
      <c r="S5071" s="508">
        <v>7.8E-2</v>
      </c>
      <c r="T5071" s="508">
        <v>9.1999999999999998E-2</v>
      </c>
      <c r="U5071" s="508">
        <v>0.08</v>
      </c>
      <c r="V5071" s="508">
        <v>8.5000000000000006E-2</v>
      </c>
      <c r="W5071" s="508">
        <v>8.8999999999999996E-2</v>
      </c>
      <c r="X5071" s="508">
        <v>8.6999999999999994E-2</v>
      </c>
      <c r="Y5071" s="508">
        <v>9.2999999999999999E-2</v>
      </c>
      <c r="Z5071" s="508">
        <v>9.0999999999999998E-2</v>
      </c>
      <c r="AA5071" s="508">
        <v>0.1</v>
      </c>
      <c r="AB5071" s="508">
        <v>7.8E-2</v>
      </c>
      <c r="AC5071" s="508">
        <v>0.10199999999999999</v>
      </c>
      <c r="AD5071" s="508">
        <v>9.6000000000000002E-2</v>
      </c>
      <c r="AE5071" s="508">
        <v>8.8999999999999996E-2</v>
      </c>
      <c r="AF5071" s="508">
        <v>8.8999999999999996E-2</v>
      </c>
      <c r="AG5071" s="508">
        <v>8.8999999999999996E-2</v>
      </c>
      <c r="AH5071" s="508">
        <v>8.8999999999999996E-2</v>
      </c>
      <c r="AI5071" s="492">
        <v>8.8999999999999996E-2</v>
      </c>
      <c r="AJ5071" s="485"/>
    </row>
    <row r="5072" spans="2:36">
      <c r="B5072" s="136" t="s">
        <v>489</v>
      </c>
      <c r="C5072" s="132" t="s">
        <v>1373</v>
      </c>
      <c r="D5072" s="132" t="s">
        <v>1379</v>
      </c>
      <c r="E5072" s="508">
        <v>7.0000000000000001E-3</v>
      </c>
      <c r="F5072" s="508">
        <v>0.156</v>
      </c>
      <c r="G5072" s="508">
        <v>9.4E-2</v>
      </c>
      <c r="H5072" s="508">
        <v>8.0000000000000002E-3</v>
      </c>
      <c r="I5072" s="508">
        <v>0</v>
      </c>
      <c r="J5072" s="508">
        <v>0</v>
      </c>
      <c r="K5072" s="508">
        <v>0</v>
      </c>
      <c r="L5072" s="508">
        <v>2E-3</v>
      </c>
      <c r="M5072" s="508">
        <v>0</v>
      </c>
      <c r="N5072" s="508">
        <v>0</v>
      </c>
      <c r="O5072" s="508">
        <v>0</v>
      </c>
      <c r="P5072" s="508">
        <v>4.5999999999999999E-2</v>
      </c>
      <c r="Q5072" s="508">
        <v>0</v>
      </c>
      <c r="R5072" s="508">
        <v>0</v>
      </c>
      <c r="S5072" s="508">
        <v>0</v>
      </c>
      <c r="T5072" s="508">
        <v>0</v>
      </c>
      <c r="U5072" s="508">
        <v>0</v>
      </c>
      <c r="V5072" s="508">
        <v>0</v>
      </c>
      <c r="W5072" s="508">
        <v>0</v>
      </c>
      <c r="X5072" s="508">
        <v>0</v>
      </c>
      <c r="Y5072" s="508">
        <v>0</v>
      </c>
      <c r="Z5072" s="508">
        <v>0</v>
      </c>
      <c r="AA5072" s="508">
        <v>0</v>
      </c>
      <c r="AB5072" s="508">
        <v>3.0000000000000001E-3</v>
      </c>
      <c r="AC5072" s="508">
        <v>6.0000000000000001E-3</v>
      </c>
      <c r="AD5072" s="508">
        <v>0</v>
      </c>
      <c r="AE5072" s="508">
        <v>0</v>
      </c>
      <c r="AF5072" s="508">
        <v>0</v>
      </c>
      <c r="AG5072" s="508">
        <v>0</v>
      </c>
      <c r="AH5072" s="508">
        <v>0</v>
      </c>
      <c r="AI5072" s="492">
        <v>0</v>
      </c>
      <c r="AJ5072" s="485"/>
    </row>
    <row r="5073" spans="2:36">
      <c r="B5073" s="136" t="s">
        <v>490</v>
      </c>
      <c r="C5073" s="132" t="s">
        <v>1373</v>
      </c>
      <c r="D5073" s="132" t="s">
        <v>1379</v>
      </c>
      <c r="E5073" s="508">
        <v>0.108</v>
      </c>
      <c r="F5073" s="508">
        <v>0.10199999999999999</v>
      </c>
      <c r="G5073" s="508">
        <v>0.115</v>
      </c>
      <c r="H5073" s="508">
        <v>8.5999999999999993E-2</v>
      </c>
      <c r="I5073" s="508">
        <v>7.1999999999999995E-2</v>
      </c>
      <c r="J5073" s="508">
        <v>7.6999999999999999E-2</v>
      </c>
      <c r="K5073" s="508">
        <v>5.6000000000000001E-2</v>
      </c>
      <c r="L5073" s="508">
        <v>0.08</v>
      </c>
      <c r="M5073" s="508">
        <v>6.2E-2</v>
      </c>
      <c r="N5073" s="508">
        <v>7.2999999999999995E-2</v>
      </c>
      <c r="O5073" s="508">
        <v>9.1999999999999998E-2</v>
      </c>
      <c r="P5073" s="508">
        <v>0.104</v>
      </c>
      <c r="Q5073" s="508">
        <v>0.107</v>
      </c>
      <c r="R5073" s="508">
        <v>9.1999999999999998E-2</v>
      </c>
      <c r="S5073" s="508">
        <v>7.2999999999999995E-2</v>
      </c>
      <c r="T5073" s="508">
        <v>8.5999999999999993E-2</v>
      </c>
      <c r="U5073" s="508">
        <v>7.4999999999999997E-2</v>
      </c>
      <c r="V5073" s="508">
        <v>0.08</v>
      </c>
      <c r="W5073" s="508">
        <v>8.3000000000000004E-2</v>
      </c>
      <c r="X5073" s="508">
        <v>8.2000000000000003E-2</v>
      </c>
      <c r="Y5073" s="508">
        <v>8.6999999999999994E-2</v>
      </c>
      <c r="Z5073" s="508">
        <v>8.5000000000000006E-2</v>
      </c>
      <c r="AA5073" s="508">
        <v>9.2999999999999999E-2</v>
      </c>
      <c r="AB5073" s="508">
        <v>7.2999999999999995E-2</v>
      </c>
      <c r="AC5073" s="508">
        <v>9.5000000000000001E-2</v>
      </c>
      <c r="AD5073" s="508">
        <v>0.09</v>
      </c>
      <c r="AE5073" s="508">
        <v>8.3000000000000004E-2</v>
      </c>
      <c r="AF5073" s="508">
        <v>8.3000000000000004E-2</v>
      </c>
      <c r="AG5073" s="508">
        <v>8.3000000000000004E-2</v>
      </c>
      <c r="AH5073" s="508">
        <v>8.3000000000000004E-2</v>
      </c>
      <c r="AI5073" s="492">
        <v>8.3000000000000004E-2</v>
      </c>
      <c r="AJ5073" s="485"/>
    </row>
    <row r="5074" spans="2:36">
      <c r="B5074" s="136" t="s">
        <v>435</v>
      </c>
      <c r="C5074" s="132" t="s">
        <v>1374</v>
      </c>
      <c r="D5074" s="132" t="s">
        <v>1379</v>
      </c>
      <c r="E5074" s="508">
        <v>6.6000000000000003E-2</v>
      </c>
      <c r="F5074" s="508">
        <v>6.5000000000000002E-2</v>
      </c>
      <c r="G5074" s="508">
        <v>4.8000000000000001E-2</v>
      </c>
      <c r="H5074" s="508">
        <v>5.1999999999999998E-2</v>
      </c>
      <c r="I5074" s="508">
        <v>6.2E-2</v>
      </c>
      <c r="J5074" s="508">
        <v>7.5999999999999998E-2</v>
      </c>
      <c r="K5074" s="508">
        <v>0.09</v>
      </c>
      <c r="L5074" s="508">
        <v>9.2999999999999999E-2</v>
      </c>
      <c r="M5074" s="508">
        <v>7.1999999999999995E-2</v>
      </c>
      <c r="N5074" s="508">
        <v>7.0000000000000007E-2</v>
      </c>
      <c r="O5074" s="508">
        <v>7.2999999999999995E-2</v>
      </c>
      <c r="P5074" s="508">
        <v>7.6999999999999999E-2</v>
      </c>
      <c r="Q5074" s="508">
        <v>0.05</v>
      </c>
      <c r="R5074" s="508">
        <v>7.0000000000000007E-2</v>
      </c>
      <c r="S5074" s="508">
        <v>5.2999999999999999E-2</v>
      </c>
      <c r="T5074" s="508">
        <v>7.0999999999999994E-2</v>
      </c>
      <c r="U5074" s="508">
        <v>5.2999999999999999E-2</v>
      </c>
      <c r="V5074" s="508">
        <v>0.188</v>
      </c>
      <c r="W5074" s="508"/>
      <c r="X5074" s="508">
        <v>0.188</v>
      </c>
      <c r="Y5074" s="508"/>
      <c r="Z5074" s="508"/>
      <c r="AA5074" s="508"/>
      <c r="AB5074" s="508"/>
      <c r="AC5074" s="508"/>
      <c r="AD5074" s="508"/>
      <c r="AE5074" s="508"/>
      <c r="AF5074" s="508"/>
      <c r="AG5074" s="508"/>
      <c r="AH5074" s="508"/>
      <c r="AI5074" s="492"/>
      <c r="AJ5074" s="485"/>
    </row>
    <row r="5075" spans="2:36">
      <c r="B5075" s="136" t="s">
        <v>436</v>
      </c>
      <c r="C5075" s="132" t="s">
        <v>1374</v>
      </c>
      <c r="D5075" s="132" t="s">
        <v>1379</v>
      </c>
      <c r="E5075" s="508">
        <v>0.06</v>
      </c>
      <c r="F5075" s="508">
        <v>0.06</v>
      </c>
      <c r="G5075" s="508">
        <v>4.3999999999999997E-2</v>
      </c>
      <c r="H5075" s="508">
        <v>4.8000000000000001E-2</v>
      </c>
      <c r="I5075" s="508">
        <v>5.7000000000000002E-2</v>
      </c>
      <c r="J5075" s="508">
        <v>7.0000000000000007E-2</v>
      </c>
      <c r="K5075" s="508">
        <v>8.2000000000000003E-2</v>
      </c>
      <c r="L5075" s="508">
        <v>8.5000000000000006E-2</v>
      </c>
      <c r="M5075" s="508">
        <v>6.6000000000000003E-2</v>
      </c>
      <c r="N5075" s="508">
        <v>6.5000000000000002E-2</v>
      </c>
      <c r="O5075" s="508">
        <v>6.7000000000000004E-2</v>
      </c>
      <c r="P5075" s="508">
        <v>7.0999999999999994E-2</v>
      </c>
      <c r="Q5075" s="508">
        <v>4.5999999999999999E-2</v>
      </c>
      <c r="R5075" s="508">
        <v>6.4000000000000001E-2</v>
      </c>
      <c r="S5075" s="508">
        <v>4.9000000000000002E-2</v>
      </c>
      <c r="T5075" s="508">
        <v>6.6000000000000003E-2</v>
      </c>
      <c r="U5075" s="508">
        <v>4.9000000000000002E-2</v>
      </c>
      <c r="V5075" s="508">
        <v>0.17</v>
      </c>
      <c r="W5075" s="508"/>
      <c r="X5075" s="508">
        <v>0.17</v>
      </c>
      <c r="Y5075" s="508"/>
      <c r="Z5075" s="508"/>
      <c r="AA5075" s="508"/>
      <c r="AB5075" s="508"/>
      <c r="AC5075" s="508"/>
      <c r="AD5075" s="508"/>
      <c r="AE5075" s="508"/>
      <c r="AF5075" s="508"/>
      <c r="AG5075" s="508"/>
      <c r="AH5075" s="508"/>
      <c r="AI5075" s="492"/>
      <c r="AJ5075" s="485"/>
    </row>
    <row r="5076" spans="2:36">
      <c r="B5076" s="136" t="s">
        <v>437</v>
      </c>
      <c r="C5076" s="132" t="s">
        <v>1374</v>
      </c>
      <c r="D5076" s="132" t="s">
        <v>1379</v>
      </c>
      <c r="E5076" s="508">
        <v>6.7000000000000004E-2</v>
      </c>
      <c r="F5076" s="508">
        <v>6.7000000000000004E-2</v>
      </c>
      <c r="G5076" s="508">
        <v>4.9000000000000002E-2</v>
      </c>
      <c r="H5076" s="508">
        <v>5.2999999999999999E-2</v>
      </c>
      <c r="I5076" s="508">
        <v>6.4000000000000001E-2</v>
      </c>
      <c r="J5076" s="508">
        <v>7.9000000000000001E-2</v>
      </c>
      <c r="K5076" s="508">
        <v>9.1999999999999998E-2</v>
      </c>
      <c r="L5076" s="508">
        <v>9.6000000000000002E-2</v>
      </c>
      <c r="M5076" s="508">
        <v>7.3999999999999996E-2</v>
      </c>
      <c r="N5076" s="508">
        <v>7.1999999999999995E-2</v>
      </c>
      <c r="O5076" s="508">
        <v>7.5999999999999998E-2</v>
      </c>
      <c r="P5076" s="508">
        <v>7.9000000000000001E-2</v>
      </c>
      <c r="Q5076" s="508">
        <v>5.1999999999999998E-2</v>
      </c>
      <c r="R5076" s="508">
        <v>7.1999999999999995E-2</v>
      </c>
      <c r="S5076" s="508">
        <v>5.3999999999999999E-2</v>
      </c>
      <c r="T5076" s="508">
        <v>7.2999999999999995E-2</v>
      </c>
      <c r="U5076" s="508">
        <v>5.3999999999999999E-2</v>
      </c>
      <c r="V5076" s="508">
        <v>0.19500000000000001</v>
      </c>
      <c r="W5076" s="508"/>
      <c r="X5076" s="508">
        <v>0.19500000000000001</v>
      </c>
      <c r="Y5076" s="508"/>
      <c r="Z5076" s="508"/>
      <c r="AA5076" s="508"/>
      <c r="AB5076" s="508"/>
      <c r="AC5076" s="508"/>
      <c r="AD5076" s="508"/>
      <c r="AE5076" s="508"/>
      <c r="AF5076" s="508"/>
      <c r="AG5076" s="508"/>
      <c r="AH5076" s="508"/>
      <c r="AI5076" s="492"/>
      <c r="AJ5076" s="485"/>
    </row>
    <row r="5077" spans="2:36">
      <c r="B5077" s="136" t="s">
        <v>438</v>
      </c>
      <c r="C5077" s="132" t="s">
        <v>1374</v>
      </c>
      <c r="D5077" s="132" t="s">
        <v>1379</v>
      </c>
      <c r="E5077" s="508">
        <v>5.8000000000000003E-2</v>
      </c>
      <c r="F5077" s="508">
        <v>5.7000000000000002E-2</v>
      </c>
      <c r="G5077" s="508">
        <v>4.2000000000000003E-2</v>
      </c>
      <c r="H5077" s="508">
        <v>4.5999999999999999E-2</v>
      </c>
      <c r="I5077" s="508">
        <v>5.3999999999999999E-2</v>
      </c>
      <c r="J5077" s="508">
        <v>6.7000000000000004E-2</v>
      </c>
      <c r="K5077" s="508">
        <v>7.8E-2</v>
      </c>
      <c r="L5077" s="508">
        <v>8.1000000000000003E-2</v>
      </c>
      <c r="M5077" s="508">
        <v>6.3E-2</v>
      </c>
      <c r="N5077" s="508">
        <v>6.2E-2</v>
      </c>
      <c r="O5077" s="508">
        <v>6.4000000000000001E-2</v>
      </c>
      <c r="P5077" s="508">
        <v>6.7000000000000004E-2</v>
      </c>
      <c r="Q5077" s="508">
        <v>4.3999999999999997E-2</v>
      </c>
      <c r="R5077" s="508">
        <v>6.0999999999999999E-2</v>
      </c>
      <c r="S5077" s="508">
        <v>4.7E-2</v>
      </c>
      <c r="T5077" s="508">
        <v>6.3E-2</v>
      </c>
      <c r="U5077" s="508">
        <v>4.7E-2</v>
      </c>
      <c r="V5077" s="508">
        <v>0.161</v>
      </c>
      <c r="W5077" s="508"/>
      <c r="X5077" s="508">
        <v>0.161</v>
      </c>
      <c r="Y5077" s="508"/>
      <c r="Z5077" s="508"/>
      <c r="AA5077" s="508"/>
      <c r="AB5077" s="508"/>
      <c r="AC5077" s="508"/>
      <c r="AD5077" s="508"/>
      <c r="AE5077" s="508"/>
      <c r="AF5077" s="508"/>
      <c r="AG5077" s="508"/>
      <c r="AH5077" s="508"/>
      <c r="AI5077" s="492"/>
      <c r="AJ5077" s="485"/>
    </row>
    <row r="5078" spans="2:36">
      <c r="B5078" s="136" t="s">
        <v>439</v>
      </c>
      <c r="C5078" s="132" t="s">
        <v>1374</v>
      </c>
      <c r="D5078" s="132" t="s">
        <v>1379</v>
      </c>
      <c r="E5078" s="508">
        <v>6.7000000000000004E-2</v>
      </c>
      <c r="F5078" s="508">
        <v>6.6000000000000003E-2</v>
      </c>
      <c r="G5078" s="508">
        <v>4.8000000000000001E-2</v>
      </c>
      <c r="H5078" s="508">
        <v>5.2999999999999999E-2</v>
      </c>
      <c r="I5078" s="508">
        <v>6.3E-2</v>
      </c>
      <c r="J5078" s="508">
        <v>7.8E-2</v>
      </c>
      <c r="K5078" s="508">
        <v>9.0999999999999998E-2</v>
      </c>
      <c r="L5078" s="508">
        <v>9.4E-2</v>
      </c>
      <c r="M5078" s="508">
        <v>7.2999999999999995E-2</v>
      </c>
      <c r="N5078" s="508">
        <v>7.0999999999999994E-2</v>
      </c>
      <c r="O5078" s="508">
        <v>7.4999999999999997E-2</v>
      </c>
      <c r="P5078" s="508">
        <v>7.8E-2</v>
      </c>
      <c r="Q5078" s="508">
        <v>5.0999999999999997E-2</v>
      </c>
      <c r="R5078" s="508">
        <v>7.0999999999999994E-2</v>
      </c>
      <c r="S5078" s="508">
        <v>5.3999999999999999E-2</v>
      </c>
      <c r="T5078" s="508">
        <v>7.1999999999999995E-2</v>
      </c>
      <c r="U5078" s="508">
        <v>5.3999999999999999E-2</v>
      </c>
      <c r="V5078" s="508">
        <v>0.192</v>
      </c>
      <c r="W5078" s="508"/>
      <c r="X5078" s="508">
        <v>0.192</v>
      </c>
      <c r="Y5078" s="508"/>
      <c r="Z5078" s="508"/>
      <c r="AA5078" s="508"/>
      <c r="AB5078" s="508"/>
      <c r="AC5078" s="508"/>
      <c r="AD5078" s="508"/>
      <c r="AE5078" s="508"/>
      <c r="AF5078" s="508"/>
      <c r="AG5078" s="508"/>
      <c r="AH5078" s="508"/>
      <c r="AI5078" s="492"/>
      <c r="AJ5078" s="485"/>
    </row>
    <row r="5079" spans="2:36">
      <c r="B5079" s="136" t="s">
        <v>440</v>
      </c>
      <c r="C5079" s="132" t="s">
        <v>1374</v>
      </c>
      <c r="D5079" s="132" t="s">
        <v>1379</v>
      </c>
      <c r="E5079" s="508">
        <v>6.5000000000000002E-2</v>
      </c>
      <c r="F5079" s="508">
        <v>6.4000000000000001E-2</v>
      </c>
      <c r="G5079" s="508">
        <v>4.7E-2</v>
      </c>
      <c r="H5079" s="508">
        <v>5.0999999999999997E-2</v>
      </c>
      <c r="I5079" s="508">
        <v>6.0999999999999999E-2</v>
      </c>
      <c r="J5079" s="508">
        <v>7.4999999999999997E-2</v>
      </c>
      <c r="K5079" s="508">
        <v>8.7999999999999995E-2</v>
      </c>
      <c r="L5079" s="508">
        <v>9.0999999999999998E-2</v>
      </c>
      <c r="M5079" s="508">
        <v>7.0999999999999994E-2</v>
      </c>
      <c r="N5079" s="508">
        <v>6.9000000000000006E-2</v>
      </c>
      <c r="O5079" s="508">
        <v>7.1999999999999995E-2</v>
      </c>
      <c r="P5079" s="508">
        <v>7.5999999999999998E-2</v>
      </c>
      <c r="Q5079" s="508">
        <v>4.9000000000000002E-2</v>
      </c>
      <c r="R5079" s="508">
        <v>6.8000000000000005E-2</v>
      </c>
      <c r="S5079" s="508">
        <v>5.1999999999999998E-2</v>
      </c>
      <c r="T5079" s="508">
        <v>7.0000000000000007E-2</v>
      </c>
      <c r="U5079" s="508">
        <v>5.1999999999999998E-2</v>
      </c>
      <c r="V5079" s="508">
        <v>0.185</v>
      </c>
      <c r="W5079" s="508"/>
      <c r="X5079" s="508">
        <v>0.185</v>
      </c>
      <c r="Y5079" s="508"/>
      <c r="Z5079" s="508"/>
      <c r="AA5079" s="508"/>
      <c r="AB5079" s="508"/>
      <c r="AC5079" s="508"/>
      <c r="AD5079" s="508"/>
      <c r="AE5079" s="508"/>
      <c r="AF5079" s="508"/>
      <c r="AG5079" s="508"/>
      <c r="AH5079" s="508"/>
      <c r="AI5079" s="492"/>
      <c r="AJ5079" s="485"/>
    </row>
    <row r="5080" spans="2:36">
      <c r="B5080" s="136" t="s">
        <v>441</v>
      </c>
      <c r="C5080" s="132" t="s">
        <v>1374</v>
      </c>
      <c r="D5080" s="132" t="s">
        <v>1379</v>
      </c>
      <c r="E5080" s="508">
        <v>6.7000000000000004E-2</v>
      </c>
      <c r="F5080" s="508">
        <v>6.6000000000000003E-2</v>
      </c>
      <c r="G5080" s="508">
        <v>4.8000000000000001E-2</v>
      </c>
      <c r="H5080" s="508">
        <v>5.2999999999999999E-2</v>
      </c>
      <c r="I5080" s="508">
        <v>6.3E-2</v>
      </c>
      <c r="J5080" s="508">
        <v>7.8E-2</v>
      </c>
      <c r="K5080" s="508">
        <v>9.0999999999999998E-2</v>
      </c>
      <c r="L5080" s="508">
        <v>9.5000000000000001E-2</v>
      </c>
      <c r="M5080" s="508">
        <v>7.2999999999999995E-2</v>
      </c>
      <c r="N5080" s="508">
        <v>7.0999999999999994E-2</v>
      </c>
      <c r="O5080" s="508">
        <v>7.4999999999999997E-2</v>
      </c>
      <c r="P5080" s="508">
        <v>7.8E-2</v>
      </c>
      <c r="Q5080" s="508">
        <v>5.0999999999999997E-2</v>
      </c>
      <c r="R5080" s="508">
        <v>7.0999999999999994E-2</v>
      </c>
      <c r="S5080" s="508">
        <v>5.3999999999999999E-2</v>
      </c>
      <c r="T5080" s="508">
        <v>7.2999999999999995E-2</v>
      </c>
      <c r="U5080" s="508">
        <v>5.3999999999999999E-2</v>
      </c>
      <c r="V5080" s="508">
        <v>0.193</v>
      </c>
      <c r="W5080" s="508"/>
      <c r="X5080" s="508">
        <v>0.193</v>
      </c>
      <c r="Y5080" s="508"/>
      <c r="Z5080" s="508"/>
      <c r="AA5080" s="508"/>
      <c r="AB5080" s="508"/>
      <c r="AC5080" s="508"/>
      <c r="AD5080" s="508"/>
      <c r="AE5080" s="508"/>
      <c r="AF5080" s="508"/>
      <c r="AG5080" s="508"/>
      <c r="AH5080" s="508"/>
      <c r="AI5080" s="492"/>
      <c r="AJ5080" s="485"/>
    </row>
    <row r="5081" spans="2:36">
      <c r="B5081" s="136" t="s">
        <v>443</v>
      </c>
      <c r="C5081" s="132" t="s">
        <v>1374</v>
      </c>
      <c r="D5081" s="132" t="s">
        <v>1379</v>
      </c>
      <c r="E5081" s="508">
        <v>7.3999999999999996E-2</v>
      </c>
      <c r="F5081" s="508">
        <v>7.2999999999999995E-2</v>
      </c>
      <c r="G5081" s="508">
        <v>5.2999999999999999E-2</v>
      </c>
      <c r="H5081" s="508">
        <v>5.8000000000000003E-2</v>
      </c>
      <c r="I5081" s="508">
        <v>6.9000000000000006E-2</v>
      </c>
      <c r="J5081" s="508">
        <v>8.5999999999999993E-2</v>
      </c>
      <c r="K5081" s="508">
        <v>0.10100000000000001</v>
      </c>
      <c r="L5081" s="508">
        <v>0.105</v>
      </c>
      <c r="M5081" s="508">
        <v>8.1000000000000003E-2</v>
      </c>
      <c r="N5081" s="508">
        <v>7.9000000000000001E-2</v>
      </c>
      <c r="O5081" s="508">
        <v>8.3000000000000004E-2</v>
      </c>
      <c r="P5081" s="508">
        <v>8.5999999999999993E-2</v>
      </c>
      <c r="Q5081" s="508">
        <v>5.6000000000000001E-2</v>
      </c>
      <c r="R5081" s="508">
        <v>7.8E-2</v>
      </c>
      <c r="S5081" s="508">
        <v>5.8999999999999997E-2</v>
      </c>
      <c r="T5081" s="508">
        <v>0.08</v>
      </c>
      <c r="U5081" s="508">
        <v>5.8999999999999997E-2</v>
      </c>
      <c r="V5081" s="508">
        <v>0.215</v>
      </c>
      <c r="W5081" s="508"/>
      <c r="X5081" s="508">
        <v>0.215</v>
      </c>
      <c r="Y5081" s="508"/>
      <c r="Z5081" s="508"/>
      <c r="AA5081" s="508"/>
      <c r="AB5081" s="508"/>
      <c r="AC5081" s="508"/>
      <c r="AD5081" s="508"/>
      <c r="AE5081" s="508"/>
      <c r="AF5081" s="508"/>
      <c r="AG5081" s="508"/>
      <c r="AH5081" s="508"/>
      <c r="AI5081" s="492"/>
      <c r="AJ5081" s="485"/>
    </row>
    <row r="5082" spans="2:36">
      <c r="B5082" s="136" t="s">
        <v>445</v>
      </c>
      <c r="C5082" s="132" t="s">
        <v>1374</v>
      </c>
      <c r="D5082" s="132" t="s">
        <v>1379</v>
      </c>
      <c r="E5082" s="508">
        <v>8.8999999999999996E-2</v>
      </c>
      <c r="F5082" s="508">
        <v>8.7999999999999995E-2</v>
      </c>
      <c r="G5082" s="508">
        <v>6.4000000000000001E-2</v>
      </c>
      <c r="H5082" s="508">
        <v>7.0000000000000007E-2</v>
      </c>
      <c r="I5082" s="508">
        <v>8.4000000000000005E-2</v>
      </c>
      <c r="J5082" s="508">
        <v>0.104</v>
      </c>
      <c r="K5082" s="508">
        <v>0.123</v>
      </c>
      <c r="L5082" s="508">
        <v>0.128</v>
      </c>
      <c r="M5082" s="508">
        <v>9.8000000000000004E-2</v>
      </c>
      <c r="N5082" s="508">
        <v>9.6000000000000002E-2</v>
      </c>
      <c r="O5082" s="508">
        <v>0.1</v>
      </c>
      <c r="P5082" s="508">
        <v>0.105</v>
      </c>
      <c r="Q5082" s="508">
        <v>6.8000000000000005E-2</v>
      </c>
      <c r="R5082" s="508">
        <v>9.5000000000000001E-2</v>
      </c>
      <c r="S5082" s="508">
        <v>7.1999999999999995E-2</v>
      </c>
      <c r="T5082" s="508">
        <v>9.7000000000000003E-2</v>
      </c>
      <c r="U5082" s="508">
        <v>7.0999999999999994E-2</v>
      </c>
      <c r="V5082" s="508">
        <v>0.26900000000000002</v>
      </c>
      <c r="W5082" s="508"/>
      <c r="X5082" s="508">
        <v>0.26900000000000002</v>
      </c>
      <c r="Y5082" s="508"/>
      <c r="Z5082" s="508"/>
      <c r="AA5082" s="508"/>
      <c r="AB5082" s="508"/>
      <c r="AC5082" s="508"/>
      <c r="AD5082" s="508"/>
      <c r="AE5082" s="508"/>
      <c r="AF5082" s="508"/>
      <c r="AG5082" s="508"/>
      <c r="AH5082" s="508"/>
      <c r="AI5082" s="492"/>
      <c r="AJ5082" s="485"/>
    </row>
    <row r="5083" spans="2:36">
      <c r="B5083" s="136" t="s">
        <v>446</v>
      </c>
      <c r="C5083" s="132" t="s">
        <v>1374</v>
      </c>
      <c r="D5083" s="132" t="s">
        <v>1379</v>
      </c>
      <c r="E5083" s="508">
        <v>7.8E-2</v>
      </c>
      <c r="F5083" s="508">
        <v>7.8E-2</v>
      </c>
      <c r="G5083" s="508">
        <v>5.7000000000000002E-2</v>
      </c>
      <c r="H5083" s="508">
        <v>6.2E-2</v>
      </c>
      <c r="I5083" s="508">
        <v>7.3999999999999996E-2</v>
      </c>
      <c r="J5083" s="508">
        <v>9.1999999999999998E-2</v>
      </c>
      <c r="K5083" s="508">
        <v>0.108</v>
      </c>
      <c r="L5083" s="508">
        <v>0.112</v>
      </c>
      <c r="M5083" s="508">
        <v>8.5999999999999993E-2</v>
      </c>
      <c r="N5083" s="508">
        <v>8.4000000000000005E-2</v>
      </c>
      <c r="O5083" s="508">
        <v>8.7999999999999995E-2</v>
      </c>
      <c r="P5083" s="508">
        <v>9.1999999999999998E-2</v>
      </c>
      <c r="Q5083" s="508">
        <v>0.06</v>
      </c>
      <c r="R5083" s="508">
        <v>8.3000000000000004E-2</v>
      </c>
      <c r="S5083" s="508">
        <v>6.3E-2</v>
      </c>
      <c r="T5083" s="508">
        <v>8.5000000000000006E-2</v>
      </c>
      <c r="U5083" s="508">
        <v>6.3E-2</v>
      </c>
      <c r="V5083" s="508">
        <v>0.23200000000000001</v>
      </c>
      <c r="W5083" s="508"/>
      <c r="X5083" s="508">
        <v>0.23200000000000001</v>
      </c>
      <c r="Y5083" s="508"/>
      <c r="Z5083" s="508"/>
      <c r="AA5083" s="508"/>
      <c r="AB5083" s="508"/>
      <c r="AC5083" s="508"/>
      <c r="AD5083" s="508"/>
      <c r="AE5083" s="508"/>
      <c r="AF5083" s="508"/>
      <c r="AG5083" s="508"/>
      <c r="AH5083" s="508"/>
      <c r="AI5083" s="492"/>
      <c r="AJ5083" s="485"/>
    </row>
    <row r="5084" spans="2:36">
      <c r="B5084" s="136" t="s">
        <v>448</v>
      </c>
      <c r="C5084" s="132" t="s">
        <v>1374</v>
      </c>
      <c r="D5084" s="132" t="s">
        <v>1379</v>
      </c>
      <c r="E5084" s="508">
        <v>6.0999999999999999E-2</v>
      </c>
      <c r="F5084" s="508">
        <v>0.06</v>
      </c>
      <c r="G5084" s="508">
        <v>4.3999999999999997E-2</v>
      </c>
      <c r="H5084" s="508">
        <v>4.8000000000000001E-2</v>
      </c>
      <c r="I5084" s="508">
        <v>5.7000000000000002E-2</v>
      </c>
      <c r="J5084" s="508">
        <v>7.0999999999999994E-2</v>
      </c>
      <c r="K5084" s="508">
        <v>8.3000000000000004E-2</v>
      </c>
      <c r="L5084" s="508">
        <v>8.5999999999999993E-2</v>
      </c>
      <c r="M5084" s="508">
        <v>6.7000000000000004E-2</v>
      </c>
      <c r="N5084" s="508">
        <v>6.5000000000000002E-2</v>
      </c>
      <c r="O5084" s="508">
        <v>6.8000000000000005E-2</v>
      </c>
      <c r="P5084" s="508">
        <v>7.0999999999999994E-2</v>
      </c>
      <c r="Q5084" s="508">
        <v>4.7E-2</v>
      </c>
      <c r="R5084" s="508">
        <v>6.4000000000000001E-2</v>
      </c>
      <c r="S5084" s="508">
        <v>4.9000000000000002E-2</v>
      </c>
      <c r="T5084" s="508">
        <v>6.6000000000000003E-2</v>
      </c>
      <c r="U5084" s="508">
        <v>4.9000000000000002E-2</v>
      </c>
      <c r="V5084" s="508">
        <v>0.17199999999999999</v>
      </c>
      <c r="W5084" s="508"/>
      <c r="X5084" s="508">
        <v>0.17199999999999999</v>
      </c>
      <c r="Y5084" s="508"/>
      <c r="Z5084" s="508"/>
      <c r="AA5084" s="508"/>
      <c r="AB5084" s="508"/>
      <c r="AC5084" s="508"/>
      <c r="AD5084" s="508"/>
      <c r="AE5084" s="508"/>
      <c r="AF5084" s="508"/>
      <c r="AG5084" s="508"/>
      <c r="AH5084" s="508"/>
      <c r="AI5084" s="492"/>
      <c r="AJ5084" s="485"/>
    </row>
    <row r="5085" spans="2:36">
      <c r="B5085" s="136" t="s">
        <v>449</v>
      </c>
      <c r="C5085" s="132" t="s">
        <v>1374</v>
      </c>
      <c r="D5085" s="132" t="s">
        <v>1379</v>
      </c>
      <c r="E5085" s="508">
        <v>7.4999999999999997E-2</v>
      </c>
      <c r="F5085" s="508">
        <v>7.3999999999999996E-2</v>
      </c>
      <c r="G5085" s="508">
        <v>5.3999999999999999E-2</v>
      </c>
      <c r="H5085" s="508">
        <v>5.8999999999999997E-2</v>
      </c>
      <c r="I5085" s="508">
        <v>7.0999999999999994E-2</v>
      </c>
      <c r="J5085" s="508">
        <v>8.6999999999999994E-2</v>
      </c>
      <c r="K5085" s="508">
        <v>0.10299999999999999</v>
      </c>
      <c r="L5085" s="508">
        <v>0.106</v>
      </c>
      <c r="M5085" s="508">
        <v>8.2000000000000003E-2</v>
      </c>
      <c r="N5085" s="508">
        <v>0.08</v>
      </c>
      <c r="O5085" s="508">
        <v>8.4000000000000005E-2</v>
      </c>
      <c r="P5085" s="508">
        <v>8.7999999999999995E-2</v>
      </c>
      <c r="Q5085" s="508">
        <v>5.7000000000000002E-2</v>
      </c>
      <c r="R5085" s="508">
        <v>0.08</v>
      </c>
      <c r="S5085" s="508">
        <v>0.06</v>
      </c>
      <c r="T5085" s="508">
        <v>8.2000000000000003E-2</v>
      </c>
      <c r="U5085" s="508">
        <v>0.06</v>
      </c>
      <c r="V5085" s="508">
        <v>0.22</v>
      </c>
      <c r="W5085" s="508"/>
      <c r="X5085" s="508">
        <v>0.22</v>
      </c>
      <c r="Y5085" s="508"/>
      <c r="Z5085" s="508"/>
      <c r="AA5085" s="508"/>
      <c r="AB5085" s="508"/>
      <c r="AC5085" s="508"/>
      <c r="AD5085" s="508"/>
      <c r="AE5085" s="508"/>
      <c r="AF5085" s="508"/>
      <c r="AG5085" s="508"/>
      <c r="AH5085" s="508"/>
      <c r="AI5085" s="492"/>
      <c r="AJ5085" s="485"/>
    </row>
    <row r="5086" spans="2:36">
      <c r="B5086" s="136" t="s">
        <v>450</v>
      </c>
      <c r="C5086" s="132" t="s">
        <v>1374</v>
      </c>
      <c r="D5086" s="132" t="s">
        <v>1379</v>
      </c>
      <c r="E5086" s="508">
        <v>7.9000000000000001E-2</v>
      </c>
      <c r="F5086" s="508">
        <v>7.9000000000000001E-2</v>
      </c>
      <c r="G5086" s="508">
        <v>6.5000000000000002E-2</v>
      </c>
      <c r="H5086" s="508">
        <v>6.7000000000000004E-2</v>
      </c>
      <c r="I5086" s="508">
        <v>7.6999999999999999E-2</v>
      </c>
      <c r="J5086" s="508">
        <v>8.3999999999999991E-2</v>
      </c>
      <c r="K5086" s="508">
        <v>9.8999999999999991E-2</v>
      </c>
      <c r="L5086" s="508">
        <v>0.10299999999999999</v>
      </c>
      <c r="M5086" s="508">
        <v>0.08</v>
      </c>
      <c r="N5086" s="508">
        <v>7.9000000000000001E-2</v>
      </c>
      <c r="O5086" s="508">
        <v>8.5999999999999993E-2</v>
      </c>
      <c r="P5086" s="508">
        <v>8.4999999999999992E-2</v>
      </c>
      <c r="Q5086" s="508">
        <v>6.7000000000000004E-2</v>
      </c>
      <c r="R5086" s="508">
        <v>8.299999999999999E-2</v>
      </c>
      <c r="S5086" s="508">
        <v>6.8000000000000005E-2</v>
      </c>
      <c r="T5086" s="508">
        <v>8.2000000000000003E-2</v>
      </c>
      <c r="U5086" s="508">
        <v>6.8000000000000005E-2</v>
      </c>
      <c r="V5086" s="508">
        <v>0.17299999999999999</v>
      </c>
      <c r="W5086" s="508"/>
      <c r="X5086" s="508">
        <v>0.17299999999999999</v>
      </c>
      <c r="Y5086" s="508"/>
      <c r="Z5086" s="508"/>
      <c r="AA5086" s="508"/>
      <c r="AB5086" s="508"/>
      <c r="AC5086" s="508"/>
      <c r="AD5086" s="508"/>
      <c r="AE5086" s="508"/>
      <c r="AF5086" s="508"/>
      <c r="AG5086" s="508"/>
      <c r="AH5086" s="508"/>
      <c r="AI5086" s="492"/>
      <c r="AJ5086" s="485"/>
    </row>
    <row r="5087" spans="2:36">
      <c r="B5087" s="136" t="s">
        <v>451</v>
      </c>
      <c r="C5087" s="132" t="s">
        <v>1374</v>
      </c>
      <c r="D5087" s="132" t="s">
        <v>1379</v>
      </c>
      <c r="E5087" s="508">
        <v>0.08</v>
      </c>
      <c r="F5087" s="508">
        <v>7.9000000000000001E-2</v>
      </c>
      <c r="G5087" s="508">
        <v>5.8000000000000003E-2</v>
      </c>
      <c r="H5087" s="508">
        <v>6.3E-2</v>
      </c>
      <c r="I5087" s="508">
        <v>7.4999999999999997E-2</v>
      </c>
      <c r="J5087" s="508">
        <v>9.4E-2</v>
      </c>
      <c r="K5087" s="508">
        <v>0.11</v>
      </c>
      <c r="L5087" s="508">
        <v>0.114</v>
      </c>
      <c r="M5087" s="508">
        <v>8.7999999999999995E-2</v>
      </c>
      <c r="N5087" s="508">
        <v>8.5999999999999993E-2</v>
      </c>
      <c r="O5087" s="508">
        <v>0.09</v>
      </c>
      <c r="P5087" s="508">
        <v>9.4E-2</v>
      </c>
      <c r="Q5087" s="508">
        <v>6.0999999999999999E-2</v>
      </c>
      <c r="R5087" s="508">
        <v>8.5000000000000006E-2</v>
      </c>
      <c r="S5087" s="508">
        <v>6.4000000000000001E-2</v>
      </c>
      <c r="T5087" s="508">
        <v>8.6999999999999994E-2</v>
      </c>
      <c r="U5087" s="508">
        <v>6.4000000000000001E-2</v>
      </c>
      <c r="V5087" s="508">
        <v>0.23799999999999999</v>
      </c>
      <c r="W5087" s="508"/>
      <c r="X5087" s="508">
        <v>0.23799999999999999</v>
      </c>
      <c r="Y5087" s="508"/>
      <c r="Z5087" s="508"/>
      <c r="AA5087" s="508"/>
      <c r="AB5087" s="508"/>
      <c r="AC5087" s="508"/>
      <c r="AD5087" s="508"/>
      <c r="AE5087" s="508"/>
      <c r="AF5087" s="508"/>
      <c r="AG5087" s="508"/>
      <c r="AH5087" s="508"/>
      <c r="AI5087" s="492"/>
      <c r="AJ5087" s="485"/>
    </row>
    <row r="5088" spans="2:36">
      <c r="B5088" s="136" t="s">
        <v>452</v>
      </c>
      <c r="C5088" s="132" t="s">
        <v>1374</v>
      </c>
      <c r="D5088" s="132" t="s">
        <v>1379</v>
      </c>
      <c r="E5088" s="508">
        <v>6.9000000000000006E-2</v>
      </c>
      <c r="F5088" s="508">
        <v>6.8000000000000005E-2</v>
      </c>
      <c r="G5088" s="508">
        <v>0.05</v>
      </c>
      <c r="H5088" s="508">
        <v>5.3999999999999999E-2</v>
      </c>
      <c r="I5088" s="508">
        <v>6.5000000000000002E-2</v>
      </c>
      <c r="J5088" s="508">
        <v>0.08</v>
      </c>
      <c r="K5088" s="508">
        <v>9.4E-2</v>
      </c>
      <c r="L5088" s="508">
        <v>9.8000000000000004E-2</v>
      </c>
      <c r="M5088" s="508">
        <v>7.4999999999999997E-2</v>
      </c>
      <c r="N5088" s="508">
        <v>7.3999999999999996E-2</v>
      </c>
      <c r="O5088" s="508">
        <v>7.6999999999999999E-2</v>
      </c>
      <c r="P5088" s="508">
        <v>8.1000000000000003E-2</v>
      </c>
      <c r="Q5088" s="508">
        <v>5.2999999999999999E-2</v>
      </c>
      <c r="R5088" s="508">
        <v>7.2999999999999995E-2</v>
      </c>
      <c r="S5088" s="508">
        <v>5.6000000000000001E-2</v>
      </c>
      <c r="T5088" s="508">
        <v>7.4999999999999997E-2</v>
      </c>
      <c r="U5088" s="508">
        <v>5.5E-2</v>
      </c>
      <c r="V5088" s="508">
        <v>0.19900000000000001</v>
      </c>
      <c r="W5088" s="508"/>
      <c r="X5088" s="508">
        <v>0.19900000000000001</v>
      </c>
      <c r="Y5088" s="508"/>
      <c r="Z5088" s="508"/>
      <c r="AA5088" s="508"/>
      <c r="AB5088" s="508"/>
      <c r="AC5088" s="508"/>
      <c r="AD5088" s="508"/>
      <c r="AE5088" s="508"/>
      <c r="AF5088" s="508"/>
      <c r="AG5088" s="508"/>
      <c r="AH5088" s="508"/>
      <c r="AI5088" s="492"/>
      <c r="AJ5088" s="485"/>
    </row>
    <row r="5089" spans="2:36">
      <c r="B5089" s="136" t="s">
        <v>453</v>
      </c>
      <c r="C5089" s="132" t="s">
        <v>1374</v>
      </c>
      <c r="D5089" s="132" t="s">
        <v>1379</v>
      </c>
      <c r="E5089" s="508">
        <v>5.8999999999999997E-2</v>
      </c>
      <c r="F5089" s="508">
        <v>5.8999999999999997E-2</v>
      </c>
      <c r="G5089" s="508">
        <v>4.2999999999999997E-2</v>
      </c>
      <c r="H5089" s="508">
        <v>4.7E-2</v>
      </c>
      <c r="I5089" s="508">
        <v>5.6000000000000001E-2</v>
      </c>
      <c r="J5089" s="508">
        <v>6.9000000000000006E-2</v>
      </c>
      <c r="K5089" s="508">
        <v>0.08</v>
      </c>
      <c r="L5089" s="508">
        <v>8.3000000000000004E-2</v>
      </c>
      <c r="M5089" s="508">
        <v>6.5000000000000002E-2</v>
      </c>
      <c r="N5089" s="508">
        <v>6.3E-2</v>
      </c>
      <c r="O5089" s="508">
        <v>6.6000000000000003E-2</v>
      </c>
      <c r="P5089" s="508">
        <v>6.9000000000000006E-2</v>
      </c>
      <c r="Q5089" s="508">
        <v>4.4999999999999998E-2</v>
      </c>
      <c r="R5089" s="508">
        <v>6.3E-2</v>
      </c>
      <c r="S5089" s="508">
        <v>4.8000000000000001E-2</v>
      </c>
      <c r="T5089" s="508">
        <v>6.4000000000000001E-2</v>
      </c>
      <c r="U5089" s="508">
        <v>4.8000000000000001E-2</v>
      </c>
      <c r="V5089" s="508">
        <v>0.16600000000000001</v>
      </c>
      <c r="W5089" s="508"/>
      <c r="X5089" s="508">
        <v>0.16600000000000001</v>
      </c>
      <c r="Y5089" s="508"/>
      <c r="Z5089" s="508"/>
      <c r="AA5089" s="508"/>
      <c r="AB5089" s="508"/>
      <c r="AC5089" s="508"/>
      <c r="AD5089" s="508"/>
      <c r="AE5089" s="508"/>
      <c r="AF5089" s="508"/>
      <c r="AG5089" s="508"/>
      <c r="AH5089" s="508"/>
      <c r="AI5089" s="492"/>
      <c r="AJ5089" s="485"/>
    </row>
    <row r="5090" spans="2:36">
      <c r="B5090" s="136" t="s">
        <v>454</v>
      </c>
      <c r="C5090" s="132" t="s">
        <v>1374</v>
      </c>
      <c r="D5090" s="132" t="s">
        <v>1379</v>
      </c>
      <c r="E5090" s="508">
        <v>6.0999999999999999E-2</v>
      </c>
      <c r="F5090" s="508">
        <v>0.06</v>
      </c>
      <c r="G5090" s="508">
        <v>4.3999999999999997E-2</v>
      </c>
      <c r="H5090" s="508">
        <v>4.8000000000000001E-2</v>
      </c>
      <c r="I5090" s="508">
        <v>5.7000000000000002E-2</v>
      </c>
      <c r="J5090" s="508">
        <v>7.0999999999999994E-2</v>
      </c>
      <c r="K5090" s="508">
        <v>8.3000000000000004E-2</v>
      </c>
      <c r="L5090" s="508">
        <v>8.5999999999999993E-2</v>
      </c>
      <c r="M5090" s="508">
        <v>6.7000000000000004E-2</v>
      </c>
      <c r="N5090" s="508">
        <v>6.5000000000000002E-2</v>
      </c>
      <c r="O5090" s="508">
        <v>6.8000000000000005E-2</v>
      </c>
      <c r="P5090" s="508">
        <v>7.0999999999999994E-2</v>
      </c>
      <c r="Q5090" s="508">
        <v>4.7E-2</v>
      </c>
      <c r="R5090" s="508">
        <v>6.4000000000000001E-2</v>
      </c>
      <c r="S5090" s="508">
        <v>4.9000000000000002E-2</v>
      </c>
      <c r="T5090" s="508">
        <v>6.6000000000000003E-2</v>
      </c>
      <c r="U5090" s="508">
        <v>4.9000000000000002E-2</v>
      </c>
      <c r="V5090" s="508">
        <v>0.17199999999999999</v>
      </c>
      <c r="W5090" s="508"/>
      <c r="X5090" s="508">
        <v>0.17199999999999999</v>
      </c>
      <c r="Y5090" s="508"/>
      <c r="Z5090" s="508"/>
      <c r="AA5090" s="508"/>
      <c r="AB5090" s="508"/>
      <c r="AC5090" s="508"/>
      <c r="AD5090" s="508"/>
      <c r="AE5090" s="508"/>
      <c r="AF5090" s="508"/>
      <c r="AG5090" s="508"/>
      <c r="AH5090" s="508"/>
      <c r="AI5090" s="492"/>
      <c r="AJ5090" s="485"/>
    </row>
    <row r="5091" spans="2:36">
      <c r="B5091" s="136" t="s">
        <v>455</v>
      </c>
      <c r="C5091" s="132" t="s">
        <v>1374</v>
      </c>
      <c r="D5091" s="132" t="s">
        <v>1379</v>
      </c>
      <c r="E5091" s="508">
        <v>5.6000000000000001E-2</v>
      </c>
      <c r="F5091" s="508">
        <v>5.6000000000000001E-2</v>
      </c>
      <c r="G5091" s="508">
        <v>4.1000000000000002E-2</v>
      </c>
      <c r="H5091" s="508">
        <v>4.4999999999999998E-2</v>
      </c>
      <c r="I5091" s="508">
        <v>5.2999999999999999E-2</v>
      </c>
      <c r="J5091" s="508">
        <v>6.5000000000000002E-2</v>
      </c>
      <c r="K5091" s="508">
        <v>7.6999999999999999E-2</v>
      </c>
      <c r="L5091" s="508">
        <v>7.9000000000000001E-2</v>
      </c>
      <c r="M5091" s="508">
        <v>6.2E-2</v>
      </c>
      <c r="N5091" s="508">
        <v>0.06</v>
      </c>
      <c r="O5091" s="508">
        <v>6.3E-2</v>
      </c>
      <c r="P5091" s="508">
        <v>6.6000000000000003E-2</v>
      </c>
      <c r="Q5091" s="508">
        <v>4.2999999999999997E-2</v>
      </c>
      <c r="R5091" s="508">
        <v>0.06</v>
      </c>
      <c r="S5091" s="508">
        <v>4.5999999999999999E-2</v>
      </c>
      <c r="T5091" s="508">
        <v>6.0999999999999999E-2</v>
      </c>
      <c r="U5091" s="508">
        <v>4.5999999999999999E-2</v>
      </c>
      <c r="V5091" s="508">
        <v>0.157</v>
      </c>
      <c r="W5091" s="508"/>
      <c r="X5091" s="508">
        <v>0.157</v>
      </c>
      <c r="Y5091" s="508"/>
      <c r="Z5091" s="508"/>
      <c r="AA5091" s="508"/>
      <c r="AB5091" s="508"/>
      <c r="AC5091" s="508"/>
      <c r="AD5091" s="508"/>
      <c r="AE5091" s="508"/>
      <c r="AF5091" s="508"/>
      <c r="AG5091" s="508"/>
      <c r="AH5091" s="508"/>
      <c r="AI5091" s="492"/>
      <c r="AJ5091" s="485"/>
    </row>
    <row r="5092" spans="2:36">
      <c r="B5092" s="136" t="s">
        <v>456</v>
      </c>
      <c r="C5092" s="132" t="s">
        <v>1374</v>
      </c>
      <c r="D5092" s="132" t="s">
        <v>1379</v>
      </c>
      <c r="E5092" s="508">
        <v>6.3E-2</v>
      </c>
      <c r="F5092" s="508">
        <v>6.3E-2</v>
      </c>
      <c r="G5092" s="508">
        <v>4.5999999999999999E-2</v>
      </c>
      <c r="H5092" s="508">
        <v>0.05</v>
      </c>
      <c r="I5092" s="508">
        <v>0.06</v>
      </c>
      <c r="J5092" s="508">
        <v>7.3999999999999996E-2</v>
      </c>
      <c r="K5092" s="508">
        <v>8.6999999999999994E-2</v>
      </c>
      <c r="L5092" s="508">
        <v>0.09</v>
      </c>
      <c r="M5092" s="508">
        <v>6.9000000000000006E-2</v>
      </c>
      <c r="N5092" s="508">
        <v>6.8000000000000005E-2</v>
      </c>
      <c r="O5092" s="508">
        <v>7.0999999999999994E-2</v>
      </c>
      <c r="P5092" s="508">
        <v>7.3999999999999996E-2</v>
      </c>
      <c r="Q5092" s="508">
        <v>4.9000000000000002E-2</v>
      </c>
      <c r="R5092" s="508">
        <v>6.7000000000000004E-2</v>
      </c>
      <c r="S5092" s="508">
        <v>5.0999999999999997E-2</v>
      </c>
      <c r="T5092" s="508">
        <v>6.9000000000000006E-2</v>
      </c>
      <c r="U5092" s="508">
        <v>5.0999999999999997E-2</v>
      </c>
      <c r="V5092" s="508">
        <v>0.18099999999999999</v>
      </c>
      <c r="W5092" s="508"/>
      <c r="X5092" s="508">
        <v>0.18099999999999999</v>
      </c>
      <c r="Y5092" s="508"/>
      <c r="Z5092" s="508"/>
      <c r="AA5092" s="508"/>
      <c r="AB5092" s="508"/>
      <c r="AC5092" s="508"/>
      <c r="AD5092" s="508"/>
      <c r="AE5092" s="508"/>
      <c r="AF5092" s="508"/>
      <c r="AG5092" s="508"/>
      <c r="AH5092" s="508"/>
      <c r="AI5092" s="492"/>
      <c r="AJ5092" s="485"/>
    </row>
    <row r="5093" spans="2:36">
      <c r="B5093" s="136" t="s">
        <v>457</v>
      </c>
      <c r="C5093" s="132" t="s">
        <v>1374</v>
      </c>
      <c r="D5093" s="132" t="s">
        <v>1379</v>
      </c>
      <c r="E5093" s="508">
        <v>5.3999999999999999E-2</v>
      </c>
      <c r="F5093" s="508">
        <v>5.3999999999999999E-2</v>
      </c>
      <c r="G5093" s="508">
        <v>0.04</v>
      </c>
      <c r="H5093" s="508">
        <v>4.2999999999999997E-2</v>
      </c>
      <c r="I5093" s="508">
        <v>5.0999999999999997E-2</v>
      </c>
      <c r="J5093" s="508">
        <v>6.3E-2</v>
      </c>
      <c r="K5093" s="508">
        <v>7.3999999999999996E-2</v>
      </c>
      <c r="L5093" s="508">
        <v>7.5999999999999998E-2</v>
      </c>
      <c r="M5093" s="508">
        <v>0.06</v>
      </c>
      <c r="N5093" s="508">
        <v>5.8000000000000003E-2</v>
      </c>
      <c r="O5093" s="508">
        <v>6.0999999999999999E-2</v>
      </c>
      <c r="P5093" s="508">
        <v>6.4000000000000001E-2</v>
      </c>
      <c r="Q5093" s="508">
        <v>4.2000000000000003E-2</v>
      </c>
      <c r="R5093" s="508">
        <v>5.8000000000000003E-2</v>
      </c>
      <c r="S5093" s="508">
        <v>4.3999999999999997E-2</v>
      </c>
      <c r="T5093" s="508">
        <v>5.8999999999999997E-2</v>
      </c>
      <c r="U5093" s="508">
        <v>4.3999999999999997E-2</v>
      </c>
      <c r="V5093" s="508">
        <v>0.15</v>
      </c>
      <c r="W5093" s="508"/>
      <c r="X5093" s="508">
        <v>0.15</v>
      </c>
      <c r="Y5093" s="508"/>
      <c r="Z5093" s="508"/>
      <c r="AA5093" s="508"/>
      <c r="AB5093" s="508"/>
      <c r="AC5093" s="508"/>
      <c r="AD5093" s="508"/>
      <c r="AE5093" s="508"/>
      <c r="AF5093" s="508"/>
      <c r="AG5093" s="508"/>
      <c r="AH5093" s="508"/>
      <c r="AI5093" s="492"/>
      <c r="AJ5093" s="485"/>
    </row>
    <row r="5094" spans="2:36">
      <c r="B5094" s="136" t="s">
        <v>458</v>
      </c>
      <c r="C5094" s="132" t="s">
        <v>1374</v>
      </c>
      <c r="D5094" s="132" t="s">
        <v>1379</v>
      </c>
      <c r="E5094" s="508">
        <v>6.5000000000000002E-2</v>
      </c>
      <c r="F5094" s="508">
        <v>6.4000000000000001E-2</v>
      </c>
      <c r="G5094" s="508">
        <v>4.7E-2</v>
      </c>
      <c r="H5094" s="508">
        <v>5.0999999999999997E-2</v>
      </c>
      <c r="I5094" s="508">
        <v>6.0999999999999999E-2</v>
      </c>
      <c r="J5094" s="508">
        <v>7.4999999999999997E-2</v>
      </c>
      <c r="K5094" s="508">
        <v>8.7999999999999995E-2</v>
      </c>
      <c r="L5094" s="508">
        <v>9.0999999999999998E-2</v>
      </c>
      <c r="M5094" s="508">
        <v>7.0999999999999994E-2</v>
      </c>
      <c r="N5094" s="508">
        <v>6.9000000000000006E-2</v>
      </c>
      <c r="O5094" s="508">
        <v>7.1999999999999995E-2</v>
      </c>
      <c r="P5094" s="508">
        <v>7.5999999999999998E-2</v>
      </c>
      <c r="Q5094" s="508">
        <v>4.9000000000000002E-2</v>
      </c>
      <c r="R5094" s="508">
        <v>6.8000000000000005E-2</v>
      </c>
      <c r="S5094" s="508">
        <v>5.1999999999999998E-2</v>
      </c>
      <c r="T5094" s="508">
        <v>7.0000000000000007E-2</v>
      </c>
      <c r="U5094" s="508">
        <v>5.1999999999999998E-2</v>
      </c>
      <c r="V5094" s="508">
        <v>0.185</v>
      </c>
      <c r="W5094" s="508"/>
      <c r="X5094" s="508">
        <v>0.185</v>
      </c>
      <c r="Y5094" s="508"/>
      <c r="Z5094" s="508"/>
      <c r="AA5094" s="508"/>
      <c r="AB5094" s="508"/>
      <c r="AC5094" s="508"/>
      <c r="AD5094" s="508"/>
      <c r="AE5094" s="508"/>
      <c r="AF5094" s="508"/>
      <c r="AG5094" s="508"/>
      <c r="AH5094" s="508"/>
      <c r="AI5094" s="492"/>
      <c r="AJ5094" s="485"/>
    </row>
    <row r="5095" spans="2:36">
      <c r="B5095" s="136" t="s">
        <v>459</v>
      </c>
      <c r="C5095" s="132" t="s">
        <v>1374</v>
      </c>
      <c r="D5095" s="132" t="s">
        <v>1379</v>
      </c>
      <c r="E5095" s="508">
        <v>6.4000000000000001E-2</v>
      </c>
      <c r="F5095" s="508">
        <v>6.4000000000000001E-2</v>
      </c>
      <c r="G5095" s="508">
        <v>4.7E-2</v>
      </c>
      <c r="H5095" s="508">
        <v>5.0999999999999997E-2</v>
      </c>
      <c r="I5095" s="508">
        <v>6.0999999999999999E-2</v>
      </c>
      <c r="J5095" s="508">
        <v>7.4999999999999997E-2</v>
      </c>
      <c r="K5095" s="508">
        <v>8.7999999999999995E-2</v>
      </c>
      <c r="L5095" s="508">
        <v>9.0999999999999998E-2</v>
      </c>
      <c r="M5095" s="508">
        <v>7.0000000000000007E-2</v>
      </c>
      <c r="N5095" s="508">
        <v>6.9000000000000006E-2</v>
      </c>
      <c r="O5095" s="508">
        <v>7.1999999999999995E-2</v>
      </c>
      <c r="P5095" s="508">
        <v>7.4999999999999997E-2</v>
      </c>
      <c r="Q5095" s="508">
        <v>4.9000000000000002E-2</v>
      </c>
      <c r="R5095" s="508">
        <v>6.8000000000000005E-2</v>
      </c>
      <c r="S5095" s="508">
        <v>5.1999999999999998E-2</v>
      </c>
      <c r="T5095" s="508">
        <v>7.0000000000000007E-2</v>
      </c>
      <c r="U5095" s="508">
        <v>5.1999999999999998E-2</v>
      </c>
      <c r="V5095" s="508">
        <v>0.184</v>
      </c>
      <c r="W5095" s="508"/>
      <c r="X5095" s="508">
        <v>0.184</v>
      </c>
      <c r="Y5095" s="508"/>
      <c r="Z5095" s="508"/>
      <c r="AA5095" s="508"/>
      <c r="AB5095" s="508"/>
      <c r="AC5095" s="508"/>
      <c r="AD5095" s="508"/>
      <c r="AE5095" s="508"/>
      <c r="AF5095" s="508"/>
      <c r="AG5095" s="508"/>
      <c r="AH5095" s="508"/>
      <c r="AI5095" s="492"/>
      <c r="AJ5095" s="485"/>
    </row>
    <row r="5096" spans="2:36">
      <c r="B5096" s="136" t="s">
        <v>460</v>
      </c>
      <c r="C5096" s="132" t="s">
        <v>1374</v>
      </c>
      <c r="D5096" s="132" t="s">
        <v>1379</v>
      </c>
      <c r="E5096" s="508">
        <v>6.6000000000000003E-2</v>
      </c>
      <c r="F5096" s="508">
        <v>6.5000000000000002E-2</v>
      </c>
      <c r="G5096" s="508">
        <v>4.8000000000000001E-2</v>
      </c>
      <c r="H5096" s="508">
        <v>5.1999999999999998E-2</v>
      </c>
      <c r="I5096" s="508">
        <v>6.2E-2</v>
      </c>
      <c r="J5096" s="508">
        <v>7.6999999999999999E-2</v>
      </c>
      <c r="K5096" s="508">
        <v>0.09</v>
      </c>
      <c r="L5096" s="508">
        <v>9.2999999999999999E-2</v>
      </c>
      <c r="M5096" s="508">
        <v>7.1999999999999995E-2</v>
      </c>
      <c r="N5096" s="508">
        <v>7.0000000000000007E-2</v>
      </c>
      <c r="O5096" s="508">
        <v>7.3999999999999996E-2</v>
      </c>
      <c r="P5096" s="508">
        <v>7.6999999999999999E-2</v>
      </c>
      <c r="Q5096" s="508">
        <v>0.05</v>
      </c>
      <c r="R5096" s="508">
        <v>7.0000000000000007E-2</v>
      </c>
      <c r="S5096" s="508">
        <v>5.2999999999999999E-2</v>
      </c>
      <c r="T5096" s="508">
        <v>7.1999999999999995E-2</v>
      </c>
      <c r="U5096" s="508">
        <v>5.2999999999999999E-2</v>
      </c>
      <c r="V5096" s="508">
        <v>0.189</v>
      </c>
      <c r="W5096" s="508"/>
      <c r="X5096" s="508">
        <v>0.189</v>
      </c>
      <c r="Y5096" s="508"/>
      <c r="Z5096" s="508"/>
      <c r="AA5096" s="508"/>
      <c r="AB5096" s="508"/>
      <c r="AC5096" s="508"/>
      <c r="AD5096" s="508"/>
      <c r="AE5096" s="508"/>
      <c r="AF5096" s="508"/>
      <c r="AG5096" s="508"/>
      <c r="AH5096" s="508"/>
      <c r="AI5096" s="492"/>
      <c r="AJ5096" s="485"/>
    </row>
    <row r="5097" spans="2:36">
      <c r="B5097" s="136" t="s">
        <v>461</v>
      </c>
      <c r="C5097" s="132" t="s">
        <v>1374</v>
      </c>
      <c r="D5097" s="132" t="s">
        <v>1379</v>
      </c>
      <c r="E5097" s="508">
        <v>6.3E-2</v>
      </c>
      <c r="F5097" s="508">
        <v>6.3E-2</v>
      </c>
      <c r="G5097" s="508">
        <v>4.5999999999999999E-2</v>
      </c>
      <c r="H5097" s="508">
        <v>0.05</v>
      </c>
      <c r="I5097" s="508">
        <v>0.06</v>
      </c>
      <c r="J5097" s="508">
        <v>7.2999999999999995E-2</v>
      </c>
      <c r="K5097" s="508">
        <v>8.5999999999999993E-2</v>
      </c>
      <c r="L5097" s="508">
        <v>8.8999999999999996E-2</v>
      </c>
      <c r="M5097" s="508">
        <v>6.9000000000000006E-2</v>
      </c>
      <c r="N5097" s="508">
        <v>6.8000000000000005E-2</v>
      </c>
      <c r="O5097" s="508">
        <v>7.0999999999999994E-2</v>
      </c>
      <c r="P5097" s="508">
        <v>7.3999999999999996E-2</v>
      </c>
      <c r="Q5097" s="508">
        <v>4.9000000000000002E-2</v>
      </c>
      <c r="R5097" s="508">
        <v>6.7000000000000004E-2</v>
      </c>
      <c r="S5097" s="508">
        <v>5.0999999999999997E-2</v>
      </c>
      <c r="T5097" s="508">
        <v>6.9000000000000006E-2</v>
      </c>
      <c r="U5097" s="508">
        <v>5.0999999999999997E-2</v>
      </c>
      <c r="V5097" s="508">
        <v>0.18</v>
      </c>
      <c r="W5097" s="508"/>
      <c r="X5097" s="508">
        <v>0.18</v>
      </c>
      <c r="Y5097" s="508"/>
      <c r="Z5097" s="508"/>
      <c r="AA5097" s="508"/>
      <c r="AB5097" s="508"/>
      <c r="AC5097" s="508"/>
      <c r="AD5097" s="508"/>
      <c r="AE5097" s="508"/>
      <c r="AF5097" s="508"/>
      <c r="AG5097" s="508"/>
      <c r="AH5097" s="508"/>
      <c r="AI5097" s="492"/>
      <c r="AJ5097" s="485"/>
    </row>
    <row r="5098" spans="2:36">
      <c r="B5098" s="136" t="s">
        <v>462</v>
      </c>
      <c r="C5098" s="132" t="s">
        <v>1374</v>
      </c>
      <c r="D5098" s="132" t="s">
        <v>1379</v>
      </c>
      <c r="E5098" s="508">
        <v>6.0999999999999999E-2</v>
      </c>
      <c r="F5098" s="508">
        <v>6.0999999999999999E-2</v>
      </c>
      <c r="G5098" s="508">
        <v>4.4999999999999998E-2</v>
      </c>
      <c r="H5098" s="508">
        <v>4.8000000000000001E-2</v>
      </c>
      <c r="I5098" s="508">
        <v>5.8000000000000003E-2</v>
      </c>
      <c r="J5098" s="508">
        <v>7.0999999999999994E-2</v>
      </c>
      <c r="K5098" s="508">
        <v>8.3000000000000004E-2</v>
      </c>
      <c r="L5098" s="508">
        <v>8.5999999999999993E-2</v>
      </c>
      <c r="M5098" s="508">
        <v>6.7000000000000004E-2</v>
      </c>
      <c r="N5098" s="508">
        <v>6.6000000000000003E-2</v>
      </c>
      <c r="O5098" s="508">
        <v>6.8000000000000005E-2</v>
      </c>
      <c r="P5098" s="508">
        <v>7.1999999999999995E-2</v>
      </c>
      <c r="Q5098" s="508">
        <v>4.7E-2</v>
      </c>
      <c r="R5098" s="508">
        <v>6.5000000000000002E-2</v>
      </c>
      <c r="S5098" s="508">
        <v>0.05</v>
      </c>
      <c r="T5098" s="508">
        <v>6.7000000000000004E-2</v>
      </c>
      <c r="U5098" s="508">
        <v>0.05</v>
      </c>
      <c r="V5098" s="508">
        <v>0.17299999999999999</v>
      </c>
      <c r="W5098" s="508"/>
      <c r="X5098" s="508">
        <v>0.17299999999999999</v>
      </c>
      <c r="Y5098" s="508"/>
      <c r="Z5098" s="508"/>
      <c r="AA5098" s="508"/>
      <c r="AB5098" s="508"/>
      <c r="AC5098" s="508"/>
      <c r="AD5098" s="508"/>
      <c r="AE5098" s="508"/>
      <c r="AF5098" s="508"/>
      <c r="AG5098" s="508"/>
      <c r="AH5098" s="508"/>
      <c r="AI5098" s="492"/>
      <c r="AJ5098" s="485"/>
    </row>
    <row r="5099" spans="2:36">
      <c r="B5099" s="136" t="s">
        <v>463</v>
      </c>
      <c r="C5099" s="132" t="s">
        <v>1374</v>
      </c>
      <c r="D5099" s="132" t="s">
        <v>1379</v>
      </c>
      <c r="E5099" s="508">
        <v>5.5E-2</v>
      </c>
      <c r="F5099" s="508">
        <v>5.5E-2</v>
      </c>
      <c r="G5099" s="508">
        <v>0.04</v>
      </c>
      <c r="H5099" s="508">
        <v>4.3999999999999997E-2</v>
      </c>
      <c r="I5099" s="508">
        <v>5.1999999999999998E-2</v>
      </c>
      <c r="J5099" s="508">
        <v>6.4000000000000001E-2</v>
      </c>
      <c r="K5099" s="508">
        <v>7.4999999999999997E-2</v>
      </c>
      <c r="L5099" s="508">
        <v>7.8E-2</v>
      </c>
      <c r="M5099" s="508">
        <v>0.06</v>
      </c>
      <c r="N5099" s="508">
        <v>5.8999999999999997E-2</v>
      </c>
      <c r="O5099" s="508">
        <v>6.2E-2</v>
      </c>
      <c r="P5099" s="508">
        <v>6.4000000000000001E-2</v>
      </c>
      <c r="Q5099" s="508">
        <v>4.2999999999999997E-2</v>
      </c>
      <c r="R5099" s="508">
        <v>5.8000000000000003E-2</v>
      </c>
      <c r="S5099" s="508">
        <v>4.4999999999999998E-2</v>
      </c>
      <c r="T5099" s="508">
        <v>0.06</v>
      </c>
      <c r="U5099" s="508">
        <v>4.4999999999999998E-2</v>
      </c>
      <c r="V5099" s="508">
        <v>0.153</v>
      </c>
      <c r="W5099" s="508"/>
      <c r="X5099" s="508">
        <v>0.153</v>
      </c>
      <c r="Y5099" s="508"/>
      <c r="Z5099" s="508"/>
      <c r="AA5099" s="508"/>
      <c r="AB5099" s="508"/>
      <c r="AC5099" s="508"/>
      <c r="AD5099" s="508"/>
      <c r="AE5099" s="508"/>
      <c r="AF5099" s="508"/>
      <c r="AG5099" s="508"/>
      <c r="AH5099" s="508"/>
      <c r="AI5099" s="492"/>
      <c r="AJ5099" s="485"/>
    </row>
    <row r="5100" spans="2:36">
      <c r="B5100" s="136" t="s">
        <v>464</v>
      </c>
      <c r="C5100" s="132" t="s">
        <v>1374</v>
      </c>
      <c r="D5100" s="132" t="s">
        <v>1379</v>
      </c>
      <c r="E5100" s="508">
        <v>5.3999999999999999E-2</v>
      </c>
      <c r="F5100" s="508">
        <v>5.3999999999999999E-2</v>
      </c>
      <c r="G5100" s="508">
        <v>0.04</v>
      </c>
      <c r="H5100" s="508">
        <v>4.2999999999999997E-2</v>
      </c>
      <c r="I5100" s="508">
        <v>5.0999999999999997E-2</v>
      </c>
      <c r="J5100" s="508">
        <v>6.3E-2</v>
      </c>
      <c r="K5100" s="508">
        <v>7.2999999999999995E-2</v>
      </c>
      <c r="L5100" s="508">
        <v>7.5999999999999998E-2</v>
      </c>
      <c r="M5100" s="508">
        <v>5.8999999999999997E-2</v>
      </c>
      <c r="N5100" s="508">
        <v>5.8000000000000003E-2</v>
      </c>
      <c r="O5100" s="508">
        <v>0.06</v>
      </c>
      <c r="P5100" s="508">
        <v>6.3E-2</v>
      </c>
      <c r="Q5100" s="508">
        <v>4.2000000000000003E-2</v>
      </c>
      <c r="R5100" s="508">
        <v>5.7000000000000002E-2</v>
      </c>
      <c r="S5100" s="508">
        <v>4.3999999999999997E-2</v>
      </c>
      <c r="T5100" s="508">
        <v>5.8999999999999997E-2</v>
      </c>
      <c r="U5100" s="508">
        <v>4.3999999999999997E-2</v>
      </c>
      <c r="V5100" s="508">
        <v>0.14899999999999999</v>
      </c>
      <c r="W5100" s="508"/>
      <c r="X5100" s="508">
        <v>0.14899999999999999</v>
      </c>
      <c r="Y5100" s="508"/>
      <c r="Z5100" s="508"/>
      <c r="AA5100" s="508"/>
      <c r="AB5100" s="508"/>
      <c r="AC5100" s="508"/>
      <c r="AD5100" s="508"/>
      <c r="AE5100" s="508"/>
      <c r="AF5100" s="508"/>
      <c r="AG5100" s="508"/>
      <c r="AH5100" s="508"/>
      <c r="AI5100" s="492"/>
      <c r="AJ5100" s="485"/>
    </row>
    <row r="5101" spans="2:36">
      <c r="B5101" s="136" t="s">
        <v>465</v>
      </c>
      <c r="C5101" s="132" t="s">
        <v>1374</v>
      </c>
      <c r="D5101" s="132" t="s">
        <v>1379</v>
      </c>
      <c r="E5101" s="508">
        <v>5.7000000000000002E-2</v>
      </c>
      <c r="F5101" s="508">
        <v>5.6000000000000001E-2</v>
      </c>
      <c r="G5101" s="508">
        <v>4.2000000000000003E-2</v>
      </c>
      <c r="H5101" s="508">
        <v>4.4999999999999998E-2</v>
      </c>
      <c r="I5101" s="508">
        <v>5.3999999999999999E-2</v>
      </c>
      <c r="J5101" s="508">
        <v>6.6000000000000003E-2</v>
      </c>
      <c r="K5101" s="508">
        <v>7.6999999999999999E-2</v>
      </c>
      <c r="L5101" s="508">
        <v>0.08</v>
      </c>
      <c r="M5101" s="508">
        <v>6.2E-2</v>
      </c>
      <c r="N5101" s="508">
        <v>6.0999999999999999E-2</v>
      </c>
      <c r="O5101" s="508">
        <v>6.4000000000000001E-2</v>
      </c>
      <c r="P5101" s="508">
        <v>6.6000000000000003E-2</v>
      </c>
      <c r="Q5101" s="508">
        <v>4.3999999999999997E-2</v>
      </c>
      <c r="R5101" s="508">
        <v>0.06</v>
      </c>
      <c r="S5101" s="508">
        <v>4.5999999999999999E-2</v>
      </c>
      <c r="T5101" s="508">
        <v>6.2E-2</v>
      </c>
      <c r="U5101" s="508">
        <v>4.5999999999999999E-2</v>
      </c>
      <c r="V5101" s="508">
        <v>0.159</v>
      </c>
      <c r="W5101" s="508"/>
      <c r="X5101" s="508">
        <v>0.159</v>
      </c>
      <c r="Y5101" s="508"/>
      <c r="Z5101" s="508"/>
      <c r="AA5101" s="508"/>
      <c r="AB5101" s="508"/>
      <c r="AC5101" s="508"/>
      <c r="AD5101" s="508"/>
      <c r="AE5101" s="508"/>
      <c r="AF5101" s="508"/>
      <c r="AG5101" s="508"/>
      <c r="AH5101" s="508"/>
      <c r="AI5101" s="492"/>
      <c r="AJ5101" s="485"/>
    </row>
    <row r="5102" spans="2:36">
      <c r="B5102" s="136" t="s">
        <v>466</v>
      </c>
      <c r="C5102" s="132" t="s">
        <v>1374</v>
      </c>
      <c r="D5102" s="132" t="s">
        <v>1379</v>
      </c>
      <c r="E5102" s="508">
        <v>7.2999999999999995E-2</v>
      </c>
      <c r="F5102" s="508">
        <v>7.1999999999999995E-2</v>
      </c>
      <c r="G5102" s="508">
        <v>5.2999999999999999E-2</v>
      </c>
      <c r="H5102" s="508">
        <v>5.7000000000000002E-2</v>
      </c>
      <c r="I5102" s="508">
        <v>6.9000000000000006E-2</v>
      </c>
      <c r="J5102" s="508">
        <v>8.5000000000000006E-2</v>
      </c>
      <c r="K5102" s="508">
        <v>0.1</v>
      </c>
      <c r="L5102" s="508">
        <v>0.104</v>
      </c>
      <c r="M5102" s="508">
        <v>0.08</v>
      </c>
      <c r="N5102" s="508">
        <v>7.8E-2</v>
      </c>
      <c r="O5102" s="508">
        <v>8.2000000000000003E-2</v>
      </c>
      <c r="P5102" s="508">
        <v>8.5999999999999993E-2</v>
      </c>
      <c r="Q5102" s="508">
        <v>5.6000000000000001E-2</v>
      </c>
      <c r="R5102" s="508">
        <v>7.6999999999999999E-2</v>
      </c>
      <c r="S5102" s="508">
        <v>5.8999999999999997E-2</v>
      </c>
      <c r="T5102" s="508">
        <v>7.9000000000000001E-2</v>
      </c>
      <c r="U5102" s="508">
        <v>5.8999999999999997E-2</v>
      </c>
      <c r="V5102" s="508">
        <v>0.214</v>
      </c>
      <c r="W5102" s="508"/>
      <c r="X5102" s="508">
        <v>0.214</v>
      </c>
      <c r="Y5102" s="508"/>
      <c r="Z5102" s="508"/>
      <c r="AA5102" s="508"/>
      <c r="AB5102" s="508"/>
      <c r="AC5102" s="508"/>
      <c r="AD5102" s="508"/>
      <c r="AE5102" s="508"/>
      <c r="AF5102" s="508"/>
      <c r="AG5102" s="508"/>
      <c r="AH5102" s="508"/>
      <c r="AI5102" s="492"/>
      <c r="AJ5102" s="485"/>
    </row>
    <row r="5103" spans="2:36">
      <c r="B5103" s="136" t="s">
        <v>467</v>
      </c>
      <c r="C5103" s="132" t="s">
        <v>1374</v>
      </c>
      <c r="D5103" s="132" t="s">
        <v>1379</v>
      </c>
      <c r="E5103" s="508">
        <v>6.2E-2</v>
      </c>
      <c r="F5103" s="508">
        <v>6.2E-2</v>
      </c>
      <c r="G5103" s="508">
        <v>4.4999999999999998E-2</v>
      </c>
      <c r="H5103" s="508">
        <v>4.9000000000000002E-2</v>
      </c>
      <c r="I5103" s="508">
        <v>5.8999999999999997E-2</v>
      </c>
      <c r="J5103" s="508">
        <v>7.1999999999999995E-2</v>
      </c>
      <c r="K5103" s="508">
        <v>8.5000000000000006E-2</v>
      </c>
      <c r="L5103" s="508">
        <v>8.7999999999999995E-2</v>
      </c>
      <c r="M5103" s="508">
        <v>6.8000000000000005E-2</v>
      </c>
      <c r="N5103" s="508">
        <v>6.6000000000000003E-2</v>
      </c>
      <c r="O5103" s="508">
        <v>6.9000000000000006E-2</v>
      </c>
      <c r="P5103" s="508">
        <v>7.2999999999999995E-2</v>
      </c>
      <c r="Q5103" s="508">
        <v>4.8000000000000001E-2</v>
      </c>
      <c r="R5103" s="508">
        <v>6.6000000000000003E-2</v>
      </c>
      <c r="S5103" s="508">
        <v>0.05</v>
      </c>
      <c r="T5103" s="508">
        <v>6.8000000000000005E-2</v>
      </c>
      <c r="U5103" s="508">
        <v>0.05</v>
      </c>
      <c r="V5103" s="508">
        <v>0.17599999999999999</v>
      </c>
      <c r="W5103" s="508"/>
      <c r="X5103" s="508">
        <v>0.17599999999999999</v>
      </c>
      <c r="Y5103" s="508"/>
      <c r="Z5103" s="508"/>
      <c r="AA5103" s="508"/>
      <c r="AB5103" s="508"/>
      <c r="AC5103" s="508"/>
      <c r="AD5103" s="508"/>
      <c r="AE5103" s="508"/>
      <c r="AF5103" s="508"/>
      <c r="AG5103" s="508"/>
      <c r="AH5103" s="508"/>
      <c r="AI5103" s="492"/>
      <c r="AJ5103" s="485"/>
    </row>
    <row r="5104" spans="2:36">
      <c r="B5104" s="136" t="s">
        <v>468</v>
      </c>
      <c r="C5104" s="132" t="s">
        <v>1374</v>
      </c>
      <c r="D5104" s="132" t="s">
        <v>1379</v>
      </c>
      <c r="E5104" s="508">
        <v>5.1999999999999998E-2</v>
      </c>
      <c r="F5104" s="508">
        <v>5.1999999999999998E-2</v>
      </c>
      <c r="G5104" s="508">
        <v>3.7999999999999999E-2</v>
      </c>
      <c r="H5104" s="508">
        <v>4.2000000000000003E-2</v>
      </c>
      <c r="I5104" s="508">
        <v>4.9000000000000002E-2</v>
      </c>
      <c r="J5104" s="508">
        <v>6.0999999999999999E-2</v>
      </c>
      <c r="K5104" s="508">
        <v>7.0999999999999994E-2</v>
      </c>
      <c r="L5104" s="508">
        <v>7.2999999999999995E-2</v>
      </c>
      <c r="M5104" s="508">
        <v>5.7000000000000002E-2</v>
      </c>
      <c r="N5104" s="508">
        <v>5.6000000000000001E-2</v>
      </c>
      <c r="O5104" s="508">
        <v>5.8000000000000003E-2</v>
      </c>
      <c r="P5104" s="508">
        <v>6.0999999999999999E-2</v>
      </c>
      <c r="Q5104" s="508">
        <v>0.04</v>
      </c>
      <c r="R5104" s="508">
        <v>5.5E-2</v>
      </c>
      <c r="S5104" s="508">
        <v>4.2999999999999997E-2</v>
      </c>
      <c r="T5104" s="508">
        <v>5.7000000000000002E-2</v>
      </c>
      <c r="U5104" s="508">
        <v>4.2999999999999997E-2</v>
      </c>
      <c r="V5104" s="508">
        <v>0.14399999999999999</v>
      </c>
      <c r="W5104" s="508"/>
      <c r="X5104" s="508">
        <v>0.14399999999999999</v>
      </c>
      <c r="Y5104" s="508"/>
      <c r="Z5104" s="508"/>
      <c r="AA5104" s="508"/>
      <c r="AB5104" s="508"/>
      <c r="AC5104" s="508"/>
      <c r="AD5104" s="508"/>
      <c r="AE5104" s="508"/>
      <c r="AF5104" s="508"/>
      <c r="AG5104" s="508"/>
      <c r="AH5104" s="508"/>
      <c r="AI5104" s="492"/>
      <c r="AJ5104" s="485"/>
    </row>
    <row r="5105" spans="2:36">
      <c r="B5105" s="136" t="s">
        <v>469</v>
      </c>
      <c r="C5105" s="132" t="s">
        <v>1374</v>
      </c>
      <c r="D5105" s="132" t="s">
        <v>1379</v>
      </c>
      <c r="E5105" s="508">
        <v>5.8999999999999997E-2</v>
      </c>
      <c r="F5105" s="508">
        <v>5.8000000000000003E-2</v>
      </c>
      <c r="G5105" s="508">
        <v>4.2999999999999997E-2</v>
      </c>
      <c r="H5105" s="508">
        <v>4.7E-2</v>
      </c>
      <c r="I5105" s="508">
        <v>5.6000000000000001E-2</v>
      </c>
      <c r="J5105" s="508">
        <v>6.8000000000000005E-2</v>
      </c>
      <c r="K5105" s="508">
        <v>0.08</v>
      </c>
      <c r="L5105" s="508">
        <v>8.3000000000000004E-2</v>
      </c>
      <c r="M5105" s="508">
        <v>6.4000000000000001E-2</v>
      </c>
      <c r="N5105" s="508">
        <v>6.3E-2</v>
      </c>
      <c r="O5105" s="508">
        <v>6.6000000000000003E-2</v>
      </c>
      <c r="P5105" s="508">
        <v>6.9000000000000006E-2</v>
      </c>
      <c r="Q5105" s="508">
        <v>4.4999999999999998E-2</v>
      </c>
      <c r="R5105" s="508">
        <v>6.2E-2</v>
      </c>
      <c r="S5105" s="508">
        <v>4.8000000000000001E-2</v>
      </c>
      <c r="T5105" s="508">
        <v>6.4000000000000001E-2</v>
      </c>
      <c r="U5105" s="508">
        <v>4.8000000000000001E-2</v>
      </c>
      <c r="V5105" s="508">
        <v>0.16500000000000001</v>
      </c>
      <c r="W5105" s="508"/>
      <c r="X5105" s="508">
        <v>0.16500000000000001</v>
      </c>
      <c r="Y5105" s="508"/>
      <c r="Z5105" s="508"/>
      <c r="AA5105" s="508"/>
      <c r="AB5105" s="508"/>
      <c r="AC5105" s="508"/>
      <c r="AD5105" s="508"/>
      <c r="AE5105" s="508"/>
      <c r="AF5105" s="508"/>
      <c r="AG5105" s="508"/>
      <c r="AH5105" s="508"/>
      <c r="AI5105" s="492"/>
      <c r="AJ5105" s="485"/>
    </row>
    <row r="5106" spans="2:36">
      <c r="B5106" s="136" t="s">
        <v>470</v>
      </c>
      <c r="C5106" s="132" t="s">
        <v>1374</v>
      </c>
      <c r="D5106" s="132" t="s">
        <v>1379</v>
      </c>
      <c r="E5106" s="508">
        <v>6.9000000000000006E-2</v>
      </c>
      <c r="F5106" s="508">
        <v>6.8000000000000005E-2</v>
      </c>
      <c r="G5106" s="508">
        <v>0.05</v>
      </c>
      <c r="H5106" s="508">
        <v>5.3999999999999999E-2</v>
      </c>
      <c r="I5106" s="508">
        <v>6.5000000000000002E-2</v>
      </c>
      <c r="J5106" s="508">
        <v>0.08</v>
      </c>
      <c r="K5106" s="508">
        <v>9.4E-2</v>
      </c>
      <c r="L5106" s="508">
        <v>9.7000000000000003E-2</v>
      </c>
      <c r="M5106" s="508">
        <v>7.4999999999999997E-2</v>
      </c>
      <c r="N5106" s="508">
        <v>7.2999999999999995E-2</v>
      </c>
      <c r="O5106" s="508">
        <v>7.6999999999999999E-2</v>
      </c>
      <c r="P5106" s="508">
        <v>0.08</v>
      </c>
      <c r="Q5106" s="508">
        <v>5.2999999999999999E-2</v>
      </c>
      <c r="R5106" s="508">
        <v>7.2999999999999995E-2</v>
      </c>
      <c r="S5106" s="508">
        <v>5.5E-2</v>
      </c>
      <c r="T5106" s="508">
        <v>7.4999999999999997E-2</v>
      </c>
      <c r="U5106" s="508">
        <v>5.5E-2</v>
      </c>
      <c r="V5106" s="508">
        <v>0.19900000000000001</v>
      </c>
      <c r="W5106" s="508"/>
      <c r="X5106" s="508">
        <v>0.19900000000000001</v>
      </c>
      <c r="Y5106" s="508"/>
      <c r="Z5106" s="508"/>
      <c r="AA5106" s="508"/>
      <c r="AB5106" s="508"/>
      <c r="AC5106" s="508"/>
      <c r="AD5106" s="508"/>
      <c r="AE5106" s="508"/>
      <c r="AF5106" s="508"/>
      <c r="AG5106" s="508"/>
      <c r="AH5106" s="508"/>
      <c r="AI5106" s="492"/>
      <c r="AJ5106" s="485"/>
    </row>
    <row r="5107" spans="2:36">
      <c r="B5107" s="136" t="s">
        <v>471</v>
      </c>
      <c r="C5107" s="132" t="s">
        <v>1374</v>
      </c>
      <c r="D5107" s="132" t="s">
        <v>1379</v>
      </c>
      <c r="E5107" s="508">
        <v>6.6000000000000003E-2</v>
      </c>
      <c r="F5107" s="508">
        <v>6.5000000000000002E-2</v>
      </c>
      <c r="G5107" s="508">
        <v>4.8000000000000001E-2</v>
      </c>
      <c r="H5107" s="508">
        <v>5.1999999999999998E-2</v>
      </c>
      <c r="I5107" s="508">
        <v>6.2E-2</v>
      </c>
      <c r="J5107" s="508">
        <v>7.6999999999999999E-2</v>
      </c>
      <c r="K5107" s="508">
        <v>0.09</v>
      </c>
      <c r="L5107" s="508">
        <v>9.2999999999999999E-2</v>
      </c>
      <c r="M5107" s="508">
        <v>7.1999999999999995E-2</v>
      </c>
      <c r="N5107" s="508">
        <v>7.0999999999999994E-2</v>
      </c>
      <c r="O5107" s="508">
        <v>7.3999999999999996E-2</v>
      </c>
      <c r="P5107" s="508">
        <v>7.6999999999999999E-2</v>
      </c>
      <c r="Q5107" s="508">
        <v>5.0999999999999997E-2</v>
      </c>
      <c r="R5107" s="508">
        <v>7.0000000000000007E-2</v>
      </c>
      <c r="S5107" s="508">
        <v>5.2999999999999999E-2</v>
      </c>
      <c r="T5107" s="508">
        <v>7.1999999999999995E-2</v>
      </c>
      <c r="U5107" s="508">
        <v>5.2999999999999999E-2</v>
      </c>
      <c r="V5107" s="508">
        <v>0.189</v>
      </c>
      <c r="W5107" s="508"/>
      <c r="X5107" s="508">
        <v>0.189</v>
      </c>
      <c r="Y5107" s="508"/>
      <c r="Z5107" s="508"/>
      <c r="AA5107" s="508"/>
      <c r="AB5107" s="508"/>
      <c r="AC5107" s="508"/>
      <c r="AD5107" s="508"/>
      <c r="AE5107" s="508"/>
      <c r="AF5107" s="508"/>
      <c r="AG5107" s="508"/>
      <c r="AH5107" s="508"/>
      <c r="AI5107" s="492"/>
      <c r="AJ5107" s="485"/>
    </row>
    <row r="5108" spans="2:36">
      <c r="B5108" s="136" t="s">
        <v>472</v>
      </c>
      <c r="C5108" s="132" t="s">
        <v>1374</v>
      </c>
      <c r="D5108" s="132" t="s">
        <v>1379</v>
      </c>
      <c r="E5108" s="508">
        <v>5.5E-2</v>
      </c>
      <c r="F5108" s="508">
        <v>5.3999999999999999E-2</v>
      </c>
      <c r="G5108" s="508">
        <v>0.04</v>
      </c>
      <c r="H5108" s="508">
        <v>4.2999999999999997E-2</v>
      </c>
      <c r="I5108" s="508">
        <v>5.1999999999999998E-2</v>
      </c>
      <c r="J5108" s="508">
        <v>6.4000000000000001E-2</v>
      </c>
      <c r="K5108" s="508">
        <v>7.3999999999999996E-2</v>
      </c>
      <c r="L5108" s="508">
        <v>7.6999999999999999E-2</v>
      </c>
      <c r="M5108" s="508">
        <v>0.06</v>
      </c>
      <c r="N5108" s="508">
        <v>5.8999999999999997E-2</v>
      </c>
      <c r="O5108" s="508">
        <v>6.0999999999999999E-2</v>
      </c>
      <c r="P5108" s="508">
        <v>6.4000000000000001E-2</v>
      </c>
      <c r="Q5108" s="508">
        <v>4.2000000000000003E-2</v>
      </c>
      <c r="R5108" s="508">
        <v>5.8000000000000003E-2</v>
      </c>
      <c r="S5108" s="508">
        <v>4.3999999999999997E-2</v>
      </c>
      <c r="T5108" s="508">
        <v>5.8999999999999997E-2</v>
      </c>
      <c r="U5108" s="508">
        <v>4.3999999999999997E-2</v>
      </c>
      <c r="V5108" s="508">
        <v>0.151</v>
      </c>
      <c r="W5108" s="508"/>
      <c r="X5108" s="508">
        <v>0.151</v>
      </c>
      <c r="Y5108" s="508"/>
      <c r="Z5108" s="508"/>
      <c r="AA5108" s="508"/>
      <c r="AB5108" s="508"/>
      <c r="AC5108" s="508"/>
      <c r="AD5108" s="508"/>
      <c r="AE5108" s="508"/>
      <c r="AF5108" s="508"/>
      <c r="AG5108" s="508"/>
      <c r="AH5108" s="508"/>
      <c r="AI5108" s="492"/>
      <c r="AJ5108" s="485"/>
    </row>
    <row r="5109" spans="2:36">
      <c r="B5109" s="136" t="s">
        <v>473</v>
      </c>
      <c r="C5109" s="132" t="s">
        <v>1374</v>
      </c>
      <c r="D5109" s="132" t="s">
        <v>1379</v>
      </c>
      <c r="E5109" s="508">
        <v>7.0000000000000007E-2</v>
      </c>
      <c r="F5109" s="508">
        <v>6.9000000000000006E-2</v>
      </c>
      <c r="G5109" s="508">
        <v>5.0999999999999997E-2</v>
      </c>
      <c r="H5109" s="508">
        <v>5.5E-2</v>
      </c>
      <c r="I5109" s="508">
        <v>6.6000000000000003E-2</v>
      </c>
      <c r="J5109" s="508">
        <v>8.1000000000000003E-2</v>
      </c>
      <c r="K5109" s="508">
        <v>9.6000000000000002E-2</v>
      </c>
      <c r="L5109" s="508">
        <v>9.9000000000000005E-2</v>
      </c>
      <c r="M5109" s="508">
        <v>7.5999999999999998E-2</v>
      </c>
      <c r="N5109" s="508">
        <v>7.4999999999999997E-2</v>
      </c>
      <c r="O5109" s="508">
        <v>7.8E-2</v>
      </c>
      <c r="P5109" s="508">
        <v>8.2000000000000003E-2</v>
      </c>
      <c r="Q5109" s="508">
        <v>5.2999999999999999E-2</v>
      </c>
      <c r="R5109" s="508">
        <v>7.3999999999999996E-2</v>
      </c>
      <c r="S5109" s="508">
        <v>5.6000000000000001E-2</v>
      </c>
      <c r="T5109" s="508">
        <v>7.5999999999999998E-2</v>
      </c>
      <c r="U5109" s="508">
        <v>5.6000000000000001E-2</v>
      </c>
      <c r="V5109" s="508">
        <v>0.20300000000000001</v>
      </c>
      <c r="W5109" s="508"/>
      <c r="X5109" s="508">
        <v>0.20300000000000001</v>
      </c>
      <c r="Y5109" s="508"/>
      <c r="Z5109" s="508"/>
      <c r="AA5109" s="508"/>
      <c r="AB5109" s="508"/>
      <c r="AC5109" s="508"/>
      <c r="AD5109" s="508"/>
      <c r="AE5109" s="508"/>
      <c r="AF5109" s="508"/>
      <c r="AG5109" s="508"/>
      <c r="AH5109" s="508"/>
      <c r="AI5109" s="492"/>
      <c r="AJ5109" s="485"/>
    </row>
    <row r="5110" spans="2:36">
      <c r="B5110" s="136" t="s">
        <v>474</v>
      </c>
      <c r="C5110" s="132" t="s">
        <v>1374</v>
      </c>
      <c r="D5110" s="132" t="s">
        <v>1379</v>
      </c>
      <c r="E5110" s="508">
        <v>6.4000000000000001E-2</v>
      </c>
      <c r="F5110" s="508">
        <v>6.3E-2</v>
      </c>
      <c r="G5110" s="508">
        <v>4.5999999999999999E-2</v>
      </c>
      <c r="H5110" s="508">
        <v>0.05</v>
      </c>
      <c r="I5110" s="508">
        <v>0.06</v>
      </c>
      <c r="J5110" s="508">
        <v>7.3999999999999996E-2</v>
      </c>
      <c r="K5110" s="508">
        <v>8.6999999999999994E-2</v>
      </c>
      <c r="L5110" s="508">
        <v>0.09</v>
      </c>
      <c r="M5110" s="508">
        <v>7.0000000000000007E-2</v>
      </c>
      <c r="N5110" s="508">
        <v>6.8000000000000005E-2</v>
      </c>
      <c r="O5110" s="508">
        <v>7.0999999999999994E-2</v>
      </c>
      <c r="P5110" s="508">
        <v>7.3999999999999996E-2</v>
      </c>
      <c r="Q5110" s="508">
        <v>4.9000000000000002E-2</v>
      </c>
      <c r="R5110" s="508">
        <v>6.7000000000000004E-2</v>
      </c>
      <c r="S5110" s="508">
        <v>5.0999999999999997E-2</v>
      </c>
      <c r="T5110" s="508">
        <v>6.9000000000000006E-2</v>
      </c>
      <c r="U5110" s="508">
        <v>5.0999999999999997E-2</v>
      </c>
      <c r="V5110" s="508">
        <v>0.18099999999999999</v>
      </c>
      <c r="W5110" s="508"/>
      <c r="X5110" s="508">
        <v>0.18099999999999999</v>
      </c>
      <c r="Y5110" s="508"/>
      <c r="Z5110" s="508"/>
      <c r="AA5110" s="508"/>
      <c r="AB5110" s="508"/>
      <c r="AC5110" s="508"/>
      <c r="AD5110" s="508"/>
      <c r="AE5110" s="508"/>
      <c r="AF5110" s="508"/>
      <c r="AG5110" s="508"/>
      <c r="AH5110" s="508"/>
      <c r="AI5110" s="492"/>
      <c r="AJ5110" s="485"/>
    </row>
    <row r="5111" spans="2:36">
      <c r="B5111" s="136" t="s">
        <v>475</v>
      </c>
      <c r="C5111" s="132" t="s">
        <v>1374</v>
      </c>
      <c r="D5111" s="132" t="s">
        <v>1379</v>
      </c>
      <c r="E5111" s="508">
        <v>6.0999999999999999E-2</v>
      </c>
      <c r="F5111" s="508">
        <v>6.0999999999999999E-2</v>
      </c>
      <c r="G5111" s="508">
        <v>4.4999999999999998E-2</v>
      </c>
      <c r="H5111" s="508">
        <v>4.8000000000000001E-2</v>
      </c>
      <c r="I5111" s="508">
        <v>5.8000000000000003E-2</v>
      </c>
      <c r="J5111" s="508">
        <v>7.0999999999999994E-2</v>
      </c>
      <c r="K5111" s="508">
        <v>8.3000000000000004E-2</v>
      </c>
      <c r="L5111" s="508">
        <v>8.5999999999999993E-2</v>
      </c>
      <c r="M5111" s="508">
        <v>6.7000000000000004E-2</v>
      </c>
      <c r="N5111" s="508">
        <v>6.5000000000000002E-2</v>
      </c>
      <c r="O5111" s="508">
        <v>6.8000000000000005E-2</v>
      </c>
      <c r="P5111" s="508">
        <v>7.1999999999999995E-2</v>
      </c>
      <c r="Q5111" s="508">
        <v>4.7E-2</v>
      </c>
      <c r="R5111" s="508">
        <v>6.5000000000000002E-2</v>
      </c>
      <c r="S5111" s="508">
        <v>0.05</v>
      </c>
      <c r="T5111" s="508">
        <v>6.6000000000000003E-2</v>
      </c>
      <c r="U5111" s="508">
        <v>4.9000000000000002E-2</v>
      </c>
      <c r="V5111" s="508">
        <v>0.17299999999999999</v>
      </c>
      <c r="W5111" s="508"/>
      <c r="X5111" s="508">
        <v>0.17299999999999999</v>
      </c>
      <c r="Y5111" s="508"/>
      <c r="Z5111" s="508"/>
      <c r="AA5111" s="508"/>
      <c r="AB5111" s="508"/>
      <c r="AC5111" s="508"/>
      <c r="AD5111" s="508"/>
      <c r="AE5111" s="508"/>
      <c r="AF5111" s="508"/>
      <c r="AG5111" s="508"/>
      <c r="AH5111" s="508"/>
      <c r="AI5111" s="492"/>
      <c r="AJ5111" s="485"/>
    </row>
    <row r="5112" spans="2:36">
      <c r="B5112" s="136" t="s">
        <v>476</v>
      </c>
      <c r="C5112" s="132" t="s">
        <v>1374</v>
      </c>
      <c r="D5112" s="132" t="s">
        <v>1379</v>
      </c>
      <c r="E5112" s="508">
        <v>6.6000000000000003E-2</v>
      </c>
      <c r="F5112" s="508">
        <v>6.5000000000000002E-2</v>
      </c>
      <c r="G5112" s="508">
        <v>4.8000000000000001E-2</v>
      </c>
      <c r="H5112" s="508">
        <v>5.1999999999999998E-2</v>
      </c>
      <c r="I5112" s="508">
        <v>6.2E-2</v>
      </c>
      <c r="J5112" s="508">
        <v>7.6999999999999999E-2</v>
      </c>
      <c r="K5112" s="508">
        <v>0.09</v>
      </c>
      <c r="L5112" s="508">
        <v>9.2999999999999999E-2</v>
      </c>
      <c r="M5112" s="508">
        <v>7.1999999999999995E-2</v>
      </c>
      <c r="N5112" s="508">
        <v>7.0999999999999994E-2</v>
      </c>
      <c r="O5112" s="508">
        <v>7.3999999999999996E-2</v>
      </c>
      <c r="P5112" s="508">
        <v>7.6999999999999999E-2</v>
      </c>
      <c r="Q5112" s="508">
        <v>5.0999999999999997E-2</v>
      </c>
      <c r="R5112" s="508">
        <v>7.0000000000000007E-2</v>
      </c>
      <c r="S5112" s="508">
        <v>5.2999999999999999E-2</v>
      </c>
      <c r="T5112" s="508">
        <v>7.1999999999999995E-2</v>
      </c>
      <c r="U5112" s="508">
        <v>5.2999999999999999E-2</v>
      </c>
      <c r="V5112" s="508">
        <v>0.19</v>
      </c>
      <c r="W5112" s="508"/>
      <c r="X5112" s="508">
        <v>0.19</v>
      </c>
      <c r="Y5112" s="508"/>
      <c r="Z5112" s="508"/>
      <c r="AA5112" s="508"/>
      <c r="AB5112" s="508"/>
      <c r="AC5112" s="508"/>
      <c r="AD5112" s="508"/>
      <c r="AE5112" s="508"/>
      <c r="AF5112" s="508"/>
      <c r="AG5112" s="508"/>
      <c r="AH5112" s="508"/>
      <c r="AI5112" s="492"/>
      <c r="AJ5112" s="485"/>
    </row>
    <row r="5113" spans="2:36">
      <c r="B5113" s="136" t="s">
        <v>478</v>
      </c>
      <c r="C5113" s="132" t="s">
        <v>1374</v>
      </c>
      <c r="D5113" s="132" t="s">
        <v>1379</v>
      </c>
      <c r="E5113" s="508">
        <v>7.0000000000000007E-2</v>
      </c>
      <c r="F5113" s="508">
        <v>7.0000000000000007E-2</v>
      </c>
      <c r="G5113" s="508">
        <v>5.0999999999999997E-2</v>
      </c>
      <c r="H5113" s="508">
        <v>5.5E-2</v>
      </c>
      <c r="I5113" s="508">
        <v>6.6000000000000003E-2</v>
      </c>
      <c r="J5113" s="508">
        <v>8.2000000000000003E-2</v>
      </c>
      <c r="K5113" s="508">
        <v>9.6000000000000002E-2</v>
      </c>
      <c r="L5113" s="508">
        <v>9.9000000000000005E-2</v>
      </c>
      <c r="M5113" s="508">
        <v>7.6999999999999999E-2</v>
      </c>
      <c r="N5113" s="508">
        <v>7.4999999999999997E-2</v>
      </c>
      <c r="O5113" s="508">
        <v>7.9000000000000001E-2</v>
      </c>
      <c r="P5113" s="508">
        <v>8.2000000000000003E-2</v>
      </c>
      <c r="Q5113" s="508">
        <v>5.3999999999999999E-2</v>
      </c>
      <c r="R5113" s="508">
        <v>7.3999999999999996E-2</v>
      </c>
      <c r="S5113" s="508">
        <v>5.7000000000000002E-2</v>
      </c>
      <c r="T5113" s="508">
        <v>7.5999999999999998E-2</v>
      </c>
      <c r="U5113" s="508">
        <v>5.6000000000000001E-2</v>
      </c>
      <c r="V5113" s="508">
        <v>0.20399999999999999</v>
      </c>
      <c r="W5113" s="508"/>
      <c r="X5113" s="508">
        <v>0.20399999999999999</v>
      </c>
      <c r="Y5113" s="508"/>
      <c r="Z5113" s="508"/>
      <c r="AA5113" s="508"/>
      <c r="AB5113" s="508"/>
      <c r="AC5113" s="508"/>
      <c r="AD5113" s="508"/>
      <c r="AE5113" s="508"/>
      <c r="AF5113" s="508"/>
      <c r="AG5113" s="508"/>
      <c r="AH5113" s="508"/>
      <c r="AI5113" s="492"/>
      <c r="AJ5113" s="485"/>
    </row>
    <row r="5114" spans="2:36">
      <c r="B5114" s="136" t="s">
        <v>479</v>
      </c>
      <c r="C5114" s="132" t="s">
        <v>1374</v>
      </c>
      <c r="D5114" s="132" t="s">
        <v>1379</v>
      </c>
      <c r="E5114" s="508">
        <v>6.2E-2</v>
      </c>
      <c r="F5114" s="508">
        <v>6.0999999999999999E-2</v>
      </c>
      <c r="G5114" s="508">
        <v>4.4999999999999998E-2</v>
      </c>
      <c r="H5114" s="508">
        <v>4.9000000000000002E-2</v>
      </c>
      <c r="I5114" s="508">
        <v>5.8000000000000003E-2</v>
      </c>
      <c r="J5114" s="508">
        <v>7.1999999999999995E-2</v>
      </c>
      <c r="K5114" s="508">
        <v>8.4000000000000005E-2</v>
      </c>
      <c r="L5114" s="508">
        <v>8.6999999999999994E-2</v>
      </c>
      <c r="M5114" s="508">
        <v>6.8000000000000005E-2</v>
      </c>
      <c r="N5114" s="508">
        <v>6.6000000000000003E-2</v>
      </c>
      <c r="O5114" s="508">
        <v>6.9000000000000006E-2</v>
      </c>
      <c r="P5114" s="508">
        <v>7.1999999999999995E-2</v>
      </c>
      <c r="Q5114" s="508">
        <v>4.7E-2</v>
      </c>
      <c r="R5114" s="508">
        <v>6.5000000000000002E-2</v>
      </c>
      <c r="S5114" s="508">
        <v>0.05</v>
      </c>
      <c r="T5114" s="508">
        <v>6.7000000000000004E-2</v>
      </c>
      <c r="U5114" s="508">
        <v>0.05</v>
      </c>
      <c r="V5114" s="508">
        <v>0.17499999999999999</v>
      </c>
      <c r="W5114" s="508"/>
      <c r="X5114" s="508">
        <v>0.17499999999999999</v>
      </c>
      <c r="Y5114" s="508"/>
      <c r="Z5114" s="508"/>
      <c r="AA5114" s="508"/>
      <c r="AB5114" s="508"/>
      <c r="AC5114" s="508"/>
      <c r="AD5114" s="508"/>
      <c r="AE5114" s="508"/>
      <c r="AF5114" s="508"/>
      <c r="AG5114" s="508"/>
      <c r="AH5114" s="508"/>
      <c r="AI5114" s="492"/>
      <c r="AJ5114" s="485"/>
    </row>
    <row r="5115" spans="2:36">
      <c r="B5115" s="136" t="s">
        <v>480</v>
      </c>
      <c r="C5115" s="132" t="s">
        <v>1374</v>
      </c>
      <c r="D5115" s="132" t="s">
        <v>1379</v>
      </c>
      <c r="E5115" s="508">
        <v>5.1999999999999998E-2</v>
      </c>
      <c r="F5115" s="508">
        <v>5.1999999999999998E-2</v>
      </c>
      <c r="G5115" s="508">
        <v>3.9E-2</v>
      </c>
      <c r="H5115" s="508">
        <v>4.2000000000000003E-2</v>
      </c>
      <c r="I5115" s="508">
        <v>0.05</v>
      </c>
      <c r="J5115" s="508">
        <v>6.0999999999999999E-2</v>
      </c>
      <c r="K5115" s="508">
        <v>7.0999999999999994E-2</v>
      </c>
      <c r="L5115" s="508">
        <v>7.3999999999999996E-2</v>
      </c>
      <c r="M5115" s="508">
        <v>5.7000000000000002E-2</v>
      </c>
      <c r="N5115" s="508">
        <v>5.6000000000000001E-2</v>
      </c>
      <c r="O5115" s="508">
        <v>5.8999999999999997E-2</v>
      </c>
      <c r="P5115" s="508">
        <v>6.0999999999999999E-2</v>
      </c>
      <c r="Q5115" s="508">
        <v>4.1000000000000002E-2</v>
      </c>
      <c r="R5115" s="508">
        <v>5.6000000000000001E-2</v>
      </c>
      <c r="S5115" s="508">
        <v>4.2999999999999997E-2</v>
      </c>
      <c r="T5115" s="508">
        <v>5.7000000000000002E-2</v>
      </c>
      <c r="U5115" s="508">
        <v>4.2999999999999997E-2</v>
      </c>
      <c r="V5115" s="508">
        <v>0.14399999999999999</v>
      </c>
      <c r="W5115" s="508"/>
      <c r="X5115" s="508">
        <v>0.14399999999999999</v>
      </c>
      <c r="Y5115" s="508"/>
      <c r="Z5115" s="508"/>
      <c r="AA5115" s="508"/>
      <c r="AB5115" s="508"/>
      <c r="AC5115" s="508"/>
      <c r="AD5115" s="508"/>
      <c r="AE5115" s="508"/>
      <c r="AF5115" s="508"/>
      <c r="AG5115" s="508"/>
      <c r="AH5115" s="508"/>
      <c r="AI5115" s="492"/>
      <c r="AJ5115" s="485"/>
    </row>
    <row r="5116" spans="2:36">
      <c r="B5116" s="136" t="s">
        <v>481</v>
      </c>
      <c r="C5116" s="132" t="s">
        <v>1374</v>
      </c>
      <c r="D5116" s="132" t="s">
        <v>1379</v>
      </c>
      <c r="E5116" s="508">
        <v>6.4000000000000001E-2</v>
      </c>
      <c r="F5116" s="508">
        <v>6.3E-2</v>
      </c>
      <c r="G5116" s="508">
        <v>4.5999999999999999E-2</v>
      </c>
      <c r="H5116" s="508">
        <v>0.05</v>
      </c>
      <c r="I5116" s="508">
        <v>0.06</v>
      </c>
      <c r="J5116" s="508">
        <v>7.3999999999999996E-2</v>
      </c>
      <c r="K5116" s="508">
        <v>8.6999999999999994E-2</v>
      </c>
      <c r="L5116" s="508">
        <v>0.09</v>
      </c>
      <c r="M5116" s="508">
        <v>7.0000000000000007E-2</v>
      </c>
      <c r="N5116" s="508">
        <v>6.8000000000000005E-2</v>
      </c>
      <c r="O5116" s="508">
        <v>7.0999999999999994E-2</v>
      </c>
      <c r="P5116" s="508">
        <v>7.3999999999999996E-2</v>
      </c>
      <c r="Q5116" s="508">
        <v>4.9000000000000002E-2</v>
      </c>
      <c r="R5116" s="508">
        <v>6.7000000000000004E-2</v>
      </c>
      <c r="S5116" s="508">
        <v>5.0999999999999997E-2</v>
      </c>
      <c r="T5116" s="508">
        <v>6.9000000000000006E-2</v>
      </c>
      <c r="U5116" s="508">
        <v>5.0999999999999997E-2</v>
      </c>
      <c r="V5116" s="508">
        <v>0.182</v>
      </c>
      <c r="W5116" s="508"/>
      <c r="X5116" s="508">
        <v>0.182</v>
      </c>
      <c r="Y5116" s="508"/>
      <c r="Z5116" s="508"/>
      <c r="AA5116" s="508"/>
      <c r="AB5116" s="508"/>
      <c r="AC5116" s="508"/>
      <c r="AD5116" s="508"/>
      <c r="AE5116" s="508"/>
      <c r="AF5116" s="508"/>
      <c r="AG5116" s="508"/>
      <c r="AH5116" s="508"/>
      <c r="AI5116" s="492"/>
      <c r="AJ5116" s="485"/>
    </row>
    <row r="5117" spans="2:36">
      <c r="B5117" s="136" t="s">
        <v>482</v>
      </c>
      <c r="C5117" s="132" t="s">
        <v>1374</v>
      </c>
      <c r="D5117" s="132" t="s">
        <v>1379</v>
      </c>
      <c r="E5117" s="508">
        <v>6.3E-2</v>
      </c>
      <c r="F5117" s="508">
        <v>6.3E-2</v>
      </c>
      <c r="G5117" s="508">
        <v>4.5999999999999999E-2</v>
      </c>
      <c r="H5117" s="508">
        <v>0.05</v>
      </c>
      <c r="I5117" s="508">
        <v>0.06</v>
      </c>
      <c r="J5117" s="508">
        <v>7.3999999999999996E-2</v>
      </c>
      <c r="K5117" s="508">
        <v>8.5999999999999993E-2</v>
      </c>
      <c r="L5117" s="508">
        <v>8.8999999999999996E-2</v>
      </c>
      <c r="M5117" s="508">
        <v>6.9000000000000006E-2</v>
      </c>
      <c r="N5117" s="508">
        <v>6.8000000000000005E-2</v>
      </c>
      <c r="O5117" s="508">
        <v>7.0999999999999994E-2</v>
      </c>
      <c r="P5117" s="508">
        <v>7.3999999999999996E-2</v>
      </c>
      <c r="Q5117" s="508">
        <v>4.9000000000000002E-2</v>
      </c>
      <c r="R5117" s="508">
        <v>6.7000000000000004E-2</v>
      </c>
      <c r="S5117" s="508">
        <v>5.0999999999999997E-2</v>
      </c>
      <c r="T5117" s="508">
        <v>6.9000000000000006E-2</v>
      </c>
      <c r="U5117" s="508">
        <v>5.0999999999999997E-2</v>
      </c>
      <c r="V5117" s="508">
        <v>0.18099999999999999</v>
      </c>
      <c r="W5117" s="508"/>
      <c r="X5117" s="508">
        <v>0.18099999999999999</v>
      </c>
      <c r="Y5117" s="508"/>
      <c r="Z5117" s="508"/>
      <c r="AA5117" s="508"/>
      <c r="AB5117" s="508"/>
      <c r="AC5117" s="508"/>
      <c r="AD5117" s="508"/>
      <c r="AE5117" s="508"/>
      <c r="AF5117" s="508"/>
      <c r="AG5117" s="508"/>
      <c r="AH5117" s="508"/>
      <c r="AI5117" s="492"/>
      <c r="AJ5117" s="485"/>
    </row>
    <row r="5118" spans="2:36">
      <c r="B5118" s="136" t="s">
        <v>483</v>
      </c>
      <c r="C5118" s="132" t="s">
        <v>1374</v>
      </c>
      <c r="D5118" s="132" t="s">
        <v>1379</v>
      </c>
      <c r="E5118" s="508">
        <v>6.9000000000000006E-2</v>
      </c>
      <c r="F5118" s="508">
        <v>6.9000000000000006E-2</v>
      </c>
      <c r="G5118" s="508">
        <v>0.05</v>
      </c>
      <c r="H5118" s="508">
        <v>5.5E-2</v>
      </c>
      <c r="I5118" s="508">
        <v>6.5000000000000002E-2</v>
      </c>
      <c r="J5118" s="508">
        <v>8.1000000000000003E-2</v>
      </c>
      <c r="K5118" s="508">
        <v>9.5000000000000001E-2</v>
      </c>
      <c r="L5118" s="508">
        <v>9.8000000000000004E-2</v>
      </c>
      <c r="M5118" s="508">
        <v>7.5999999999999998E-2</v>
      </c>
      <c r="N5118" s="508">
        <v>7.3999999999999996E-2</v>
      </c>
      <c r="O5118" s="508">
        <v>7.8E-2</v>
      </c>
      <c r="P5118" s="508">
        <v>8.1000000000000003E-2</v>
      </c>
      <c r="Q5118" s="508">
        <v>5.2999999999999999E-2</v>
      </c>
      <c r="R5118" s="508">
        <v>7.3999999999999996E-2</v>
      </c>
      <c r="S5118" s="508">
        <v>5.6000000000000001E-2</v>
      </c>
      <c r="T5118" s="508">
        <v>7.4999999999999997E-2</v>
      </c>
      <c r="U5118" s="508">
        <v>5.6000000000000001E-2</v>
      </c>
      <c r="V5118" s="508">
        <v>0.20200000000000001</v>
      </c>
      <c r="W5118" s="508"/>
      <c r="X5118" s="508">
        <v>0.20200000000000001</v>
      </c>
      <c r="Y5118" s="508"/>
      <c r="Z5118" s="508"/>
      <c r="AA5118" s="508"/>
      <c r="AB5118" s="508"/>
      <c r="AC5118" s="508"/>
      <c r="AD5118" s="508"/>
      <c r="AE5118" s="508"/>
      <c r="AF5118" s="508"/>
      <c r="AG5118" s="508"/>
      <c r="AH5118" s="508"/>
      <c r="AI5118" s="492"/>
      <c r="AJ5118" s="485"/>
    </row>
    <row r="5119" spans="2:36">
      <c r="B5119" s="136" t="s">
        <v>484</v>
      </c>
      <c r="C5119" s="132" t="s">
        <v>1374</v>
      </c>
      <c r="D5119" s="132" t="s">
        <v>1379</v>
      </c>
      <c r="E5119" s="508">
        <v>5.3999999999999999E-2</v>
      </c>
      <c r="F5119" s="508">
        <v>5.3999999999999999E-2</v>
      </c>
      <c r="G5119" s="508">
        <v>0.04</v>
      </c>
      <c r="H5119" s="508">
        <v>4.2999999999999997E-2</v>
      </c>
      <c r="I5119" s="508">
        <v>5.0999999999999997E-2</v>
      </c>
      <c r="J5119" s="508">
        <v>6.3E-2</v>
      </c>
      <c r="K5119" s="508">
        <v>7.2999999999999995E-2</v>
      </c>
      <c r="L5119" s="508">
        <v>7.5999999999999998E-2</v>
      </c>
      <c r="M5119" s="508">
        <v>5.8999999999999997E-2</v>
      </c>
      <c r="N5119" s="508">
        <v>5.8000000000000003E-2</v>
      </c>
      <c r="O5119" s="508">
        <v>0.06</v>
      </c>
      <c r="P5119" s="508">
        <v>6.3E-2</v>
      </c>
      <c r="Q5119" s="508">
        <v>4.2000000000000003E-2</v>
      </c>
      <c r="R5119" s="508">
        <v>5.7000000000000002E-2</v>
      </c>
      <c r="S5119" s="508">
        <v>4.3999999999999997E-2</v>
      </c>
      <c r="T5119" s="508">
        <v>5.8999999999999997E-2</v>
      </c>
      <c r="U5119" s="508">
        <v>4.3999999999999997E-2</v>
      </c>
      <c r="V5119" s="508">
        <v>0.14899999999999999</v>
      </c>
      <c r="W5119" s="508"/>
      <c r="X5119" s="508">
        <v>0.14899999999999999</v>
      </c>
      <c r="Y5119" s="508"/>
      <c r="Z5119" s="508"/>
      <c r="AA5119" s="508"/>
      <c r="AB5119" s="508"/>
      <c r="AC5119" s="508"/>
      <c r="AD5119" s="508"/>
      <c r="AE5119" s="508"/>
      <c r="AF5119" s="508"/>
      <c r="AG5119" s="508"/>
      <c r="AH5119" s="508"/>
      <c r="AI5119" s="492"/>
      <c r="AJ5119" s="485"/>
    </row>
    <row r="5120" spans="2:36">
      <c r="B5120" s="136" t="s">
        <v>486</v>
      </c>
      <c r="C5120" s="132" t="s">
        <v>1374</v>
      </c>
      <c r="D5120" s="132" t="s">
        <v>1379</v>
      </c>
      <c r="E5120" s="508">
        <v>6.4000000000000001E-2</v>
      </c>
      <c r="F5120" s="508">
        <v>6.3E-2</v>
      </c>
      <c r="G5120" s="508">
        <v>4.7E-2</v>
      </c>
      <c r="H5120" s="508">
        <v>0.05</v>
      </c>
      <c r="I5120" s="508">
        <v>0.06</v>
      </c>
      <c r="J5120" s="508">
        <v>7.3999999999999996E-2</v>
      </c>
      <c r="K5120" s="508">
        <v>8.6999999999999994E-2</v>
      </c>
      <c r="L5120" s="508">
        <v>0.09</v>
      </c>
      <c r="M5120" s="508">
        <v>7.0000000000000007E-2</v>
      </c>
      <c r="N5120" s="508">
        <v>6.8000000000000005E-2</v>
      </c>
      <c r="O5120" s="508">
        <v>7.1999999999999995E-2</v>
      </c>
      <c r="P5120" s="508">
        <v>7.4999999999999997E-2</v>
      </c>
      <c r="Q5120" s="508">
        <v>4.9000000000000002E-2</v>
      </c>
      <c r="R5120" s="508">
        <v>6.8000000000000005E-2</v>
      </c>
      <c r="S5120" s="508">
        <v>5.1999999999999998E-2</v>
      </c>
      <c r="T5120" s="508">
        <v>7.0000000000000007E-2</v>
      </c>
      <c r="U5120" s="508">
        <v>5.1999999999999998E-2</v>
      </c>
      <c r="V5120" s="508">
        <v>0.183</v>
      </c>
      <c r="W5120" s="508"/>
      <c r="X5120" s="508">
        <v>0.183</v>
      </c>
      <c r="Y5120" s="508"/>
      <c r="Z5120" s="508"/>
      <c r="AA5120" s="508"/>
      <c r="AB5120" s="508"/>
      <c r="AC5120" s="508"/>
      <c r="AD5120" s="508"/>
      <c r="AE5120" s="508"/>
      <c r="AF5120" s="508"/>
      <c r="AG5120" s="508"/>
      <c r="AH5120" s="508"/>
      <c r="AI5120" s="492"/>
      <c r="AJ5120" s="485"/>
    </row>
    <row r="5121" spans="2:36">
      <c r="B5121" s="136" t="s">
        <v>487</v>
      </c>
      <c r="C5121" s="132" t="s">
        <v>1374</v>
      </c>
      <c r="D5121" s="132" t="s">
        <v>1379</v>
      </c>
      <c r="E5121" s="508">
        <v>6.4000000000000001E-2</v>
      </c>
      <c r="F5121" s="508">
        <v>6.3E-2</v>
      </c>
      <c r="G5121" s="508">
        <v>4.5999999999999999E-2</v>
      </c>
      <c r="H5121" s="508">
        <v>0.05</v>
      </c>
      <c r="I5121" s="508">
        <v>0.06</v>
      </c>
      <c r="J5121" s="508">
        <v>7.3999999999999996E-2</v>
      </c>
      <c r="K5121" s="508">
        <v>8.6999999999999994E-2</v>
      </c>
      <c r="L5121" s="508">
        <v>0.09</v>
      </c>
      <c r="M5121" s="508">
        <v>6.9000000000000006E-2</v>
      </c>
      <c r="N5121" s="508">
        <v>6.8000000000000005E-2</v>
      </c>
      <c r="O5121" s="508">
        <v>7.0999999999999994E-2</v>
      </c>
      <c r="P5121" s="508">
        <v>7.3999999999999996E-2</v>
      </c>
      <c r="Q5121" s="508">
        <v>4.9000000000000002E-2</v>
      </c>
      <c r="R5121" s="508">
        <v>6.7000000000000004E-2</v>
      </c>
      <c r="S5121" s="508">
        <v>5.0999999999999997E-2</v>
      </c>
      <c r="T5121" s="508">
        <v>6.9000000000000006E-2</v>
      </c>
      <c r="U5121" s="508">
        <v>5.0999999999999997E-2</v>
      </c>
      <c r="V5121" s="508">
        <v>0.182</v>
      </c>
      <c r="W5121" s="508"/>
      <c r="X5121" s="508">
        <v>0.182</v>
      </c>
      <c r="Y5121" s="508"/>
      <c r="Z5121" s="508"/>
      <c r="AA5121" s="508"/>
      <c r="AB5121" s="508"/>
      <c r="AC5121" s="508"/>
      <c r="AD5121" s="508"/>
      <c r="AE5121" s="508"/>
      <c r="AF5121" s="508"/>
      <c r="AG5121" s="508"/>
      <c r="AH5121" s="508"/>
      <c r="AI5121" s="492"/>
      <c r="AJ5121" s="485"/>
    </row>
    <row r="5122" spans="2:36">
      <c r="B5122" s="136" t="s">
        <v>488</v>
      </c>
      <c r="C5122" s="132" t="s">
        <v>1374</v>
      </c>
      <c r="D5122" s="132" t="s">
        <v>1379</v>
      </c>
      <c r="E5122" s="508">
        <v>5.6000000000000001E-2</v>
      </c>
      <c r="F5122" s="508">
        <v>5.6000000000000001E-2</v>
      </c>
      <c r="G5122" s="508">
        <v>4.1000000000000002E-2</v>
      </c>
      <c r="H5122" s="508">
        <v>4.4999999999999998E-2</v>
      </c>
      <c r="I5122" s="508">
        <v>5.2999999999999999E-2</v>
      </c>
      <c r="J5122" s="508">
        <v>6.5000000000000002E-2</v>
      </c>
      <c r="K5122" s="508">
        <v>7.5999999999999998E-2</v>
      </c>
      <c r="L5122" s="508">
        <v>7.9000000000000001E-2</v>
      </c>
      <c r="M5122" s="508">
        <v>6.0999999999999999E-2</v>
      </c>
      <c r="N5122" s="508">
        <v>0.06</v>
      </c>
      <c r="O5122" s="508">
        <v>6.3E-2</v>
      </c>
      <c r="P5122" s="508">
        <v>6.6000000000000003E-2</v>
      </c>
      <c r="Q5122" s="508">
        <v>4.2999999999999997E-2</v>
      </c>
      <c r="R5122" s="508">
        <v>0.06</v>
      </c>
      <c r="S5122" s="508">
        <v>4.5999999999999999E-2</v>
      </c>
      <c r="T5122" s="508">
        <v>6.0999999999999999E-2</v>
      </c>
      <c r="U5122" s="508">
        <v>4.5999999999999999E-2</v>
      </c>
      <c r="V5122" s="508">
        <v>0.156</v>
      </c>
      <c r="W5122" s="508"/>
      <c r="X5122" s="508">
        <v>0.156</v>
      </c>
      <c r="Y5122" s="508"/>
      <c r="Z5122" s="508"/>
      <c r="AA5122" s="508"/>
      <c r="AB5122" s="508"/>
      <c r="AC5122" s="508"/>
      <c r="AD5122" s="508"/>
      <c r="AE5122" s="508"/>
      <c r="AF5122" s="508"/>
      <c r="AG5122" s="508"/>
      <c r="AH5122" s="508"/>
      <c r="AI5122" s="492"/>
      <c r="AJ5122" s="485"/>
    </row>
    <row r="5123" spans="2:36">
      <c r="B5123" s="136" t="s">
        <v>489</v>
      </c>
      <c r="C5123" s="132" t="s">
        <v>1374</v>
      </c>
      <c r="D5123" s="132" t="s">
        <v>1379</v>
      </c>
      <c r="E5123" s="508">
        <v>0.06</v>
      </c>
      <c r="F5123" s="508">
        <v>0.06</v>
      </c>
      <c r="G5123" s="508">
        <v>4.3999999999999997E-2</v>
      </c>
      <c r="H5123" s="508">
        <v>4.8000000000000001E-2</v>
      </c>
      <c r="I5123" s="508">
        <v>5.7000000000000002E-2</v>
      </c>
      <c r="J5123" s="508">
        <v>7.0000000000000007E-2</v>
      </c>
      <c r="K5123" s="508">
        <v>8.2000000000000003E-2</v>
      </c>
      <c r="L5123" s="508">
        <v>8.5000000000000006E-2</v>
      </c>
      <c r="M5123" s="508">
        <v>6.6000000000000003E-2</v>
      </c>
      <c r="N5123" s="508">
        <v>6.4000000000000001E-2</v>
      </c>
      <c r="O5123" s="508">
        <v>6.7000000000000004E-2</v>
      </c>
      <c r="P5123" s="508">
        <v>7.0999999999999994E-2</v>
      </c>
      <c r="Q5123" s="508">
        <v>4.5999999999999999E-2</v>
      </c>
      <c r="R5123" s="508">
        <v>6.4000000000000001E-2</v>
      </c>
      <c r="S5123" s="508">
        <v>4.9000000000000002E-2</v>
      </c>
      <c r="T5123" s="508">
        <v>6.5000000000000002E-2</v>
      </c>
      <c r="U5123" s="508">
        <v>4.9000000000000002E-2</v>
      </c>
      <c r="V5123" s="508">
        <v>0.17</v>
      </c>
      <c r="W5123" s="508"/>
      <c r="X5123" s="508">
        <v>0.17</v>
      </c>
      <c r="Y5123" s="508"/>
      <c r="Z5123" s="508"/>
      <c r="AA5123" s="508"/>
      <c r="AB5123" s="508"/>
      <c r="AC5123" s="508"/>
      <c r="AD5123" s="508"/>
      <c r="AE5123" s="508"/>
      <c r="AF5123" s="508"/>
      <c r="AG5123" s="508"/>
      <c r="AH5123" s="508"/>
      <c r="AI5123" s="492"/>
      <c r="AJ5123" s="485"/>
    </row>
    <row r="5124" spans="2:36">
      <c r="B5124" s="136" t="s">
        <v>490</v>
      </c>
      <c r="C5124" s="132" t="s">
        <v>1374</v>
      </c>
      <c r="D5124" s="132" t="s">
        <v>1379</v>
      </c>
      <c r="E5124" s="508">
        <v>5.2999999999999999E-2</v>
      </c>
      <c r="F5124" s="508">
        <v>5.1999999999999998E-2</v>
      </c>
      <c r="G5124" s="508">
        <v>3.9E-2</v>
      </c>
      <c r="H5124" s="508">
        <v>4.2000000000000003E-2</v>
      </c>
      <c r="I5124" s="508">
        <v>0.05</v>
      </c>
      <c r="J5124" s="508">
        <v>6.0999999999999999E-2</v>
      </c>
      <c r="K5124" s="508">
        <v>7.1999999999999995E-2</v>
      </c>
      <c r="L5124" s="508">
        <v>7.3999999999999996E-2</v>
      </c>
      <c r="M5124" s="508">
        <v>5.8000000000000003E-2</v>
      </c>
      <c r="N5124" s="508">
        <v>5.7000000000000002E-2</v>
      </c>
      <c r="O5124" s="508">
        <v>5.8999999999999997E-2</v>
      </c>
      <c r="P5124" s="508">
        <v>6.2E-2</v>
      </c>
      <c r="Q5124" s="508">
        <v>4.1000000000000002E-2</v>
      </c>
      <c r="R5124" s="508">
        <v>5.6000000000000001E-2</v>
      </c>
      <c r="S5124" s="508">
        <v>4.2999999999999997E-2</v>
      </c>
      <c r="T5124" s="508">
        <v>5.7000000000000002E-2</v>
      </c>
      <c r="U5124" s="508">
        <v>4.2999999999999997E-2</v>
      </c>
      <c r="V5124" s="508">
        <v>0.14499999999999999</v>
      </c>
      <c r="W5124" s="508"/>
      <c r="X5124" s="508">
        <v>0.14499999999999999</v>
      </c>
      <c r="Y5124" s="508"/>
      <c r="Z5124" s="508"/>
      <c r="AA5124" s="508"/>
      <c r="AB5124" s="508"/>
      <c r="AC5124" s="508"/>
      <c r="AD5124" s="508"/>
      <c r="AE5124" s="508"/>
      <c r="AF5124" s="508"/>
      <c r="AG5124" s="508"/>
      <c r="AH5124" s="508"/>
      <c r="AI5124" s="492"/>
      <c r="AJ5124" s="485"/>
    </row>
    <row r="5125" spans="2:36">
      <c r="B5125" s="136" t="s">
        <v>435</v>
      </c>
      <c r="C5125" s="132" t="s">
        <v>1375</v>
      </c>
      <c r="D5125" s="132" t="s">
        <v>1379</v>
      </c>
      <c r="E5125" s="508">
        <v>0.14399999999999999</v>
      </c>
      <c r="F5125" s="508">
        <v>0.13800000000000001</v>
      </c>
      <c r="G5125" s="508">
        <v>0.129</v>
      </c>
      <c r="H5125" s="508">
        <v>0.129</v>
      </c>
      <c r="I5125" s="508">
        <v>0.127</v>
      </c>
      <c r="J5125" s="508">
        <v>0.121</v>
      </c>
      <c r="K5125" s="508">
        <v>0.125</v>
      </c>
      <c r="L5125" s="508">
        <v>0.12</v>
      </c>
      <c r="M5125" s="508">
        <v>0.121</v>
      </c>
      <c r="N5125" s="508">
        <v>0.11</v>
      </c>
      <c r="O5125" s="508">
        <v>0.109</v>
      </c>
      <c r="P5125" s="508">
        <v>0.112</v>
      </c>
      <c r="Q5125" s="508">
        <v>0.104</v>
      </c>
      <c r="R5125" s="508">
        <v>0.11799999999999999</v>
      </c>
      <c r="S5125" s="508">
        <v>0.104</v>
      </c>
      <c r="T5125" s="508">
        <v>0.10199999999999999</v>
      </c>
      <c r="U5125" s="508">
        <v>0.107</v>
      </c>
      <c r="V5125" s="508">
        <v>8.8999999999999996E-2</v>
      </c>
      <c r="W5125" s="508">
        <v>9.0999999999999998E-2</v>
      </c>
      <c r="X5125" s="508">
        <v>9.0999999999999998E-2</v>
      </c>
      <c r="Y5125" s="508">
        <v>9.7000000000000003E-2</v>
      </c>
      <c r="Z5125" s="508">
        <v>9.4E-2</v>
      </c>
      <c r="AA5125" s="508">
        <v>0.104</v>
      </c>
      <c r="AB5125" s="508">
        <v>8.1000000000000003E-2</v>
      </c>
      <c r="AC5125" s="508">
        <v>0.106</v>
      </c>
      <c r="AD5125" s="508">
        <v>0.10100000000000001</v>
      </c>
      <c r="AE5125" s="508">
        <v>9.1999999999999998E-2</v>
      </c>
      <c r="AF5125" s="508">
        <v>9.1999999999999998E-2</v>
      </c>
      <c r="AG5125" s="508">
        <v>9.1999999999999998E-2</v>
      </c>
      <c r="AH5125" s="508">
        <v>9.1999999999999998E-2</v>
      </c>
      <c r="AI5125" s="492">
        <v>9.1999999999999998E-2</v>
      </c>
      <c r="AJ5125" s="485"/>
    </row>
    <row r="5126" spans="2:36">
      <c r="B5126" s="136" t="s">
        <v>436</v>
      </c>
      <c r="C5126" s="132" t="s">
        <v>1375</v>
      </c>
      <c r="D5126" s="132" t="s">
        <v>1379</v>
      </c>
      <c r="E5126" s="508">
        <v>0.13100000000000001</v>
      </c>
      <c r="F5126" s="508">
        <v>0.125</v>
      </c>
      <c r="G5126" s="508">
        <v>0.11700000000000001</v>
      </c>
      <c r="H5126" s="508">
        <v>0.11700000000000001</v>
      </c>
      <c r="I5126" s="508">
        <v>0.115</v>
      </c>
      <c r="J5126" s="508">
        <v>0.11</v>
      </c>
      <c r="K5126" s="508">
        <v>0.114</v>
      </c>
      <c r="L5126" s="508">
        <v>0.109</v>
      </c>
      <c r="M5126" s="508">
        <v>0.11</v>
      </c>
      <c r="N5126" s="508">
        <v>0.1</v>
      </c>
      <c r="O5126" s="508">
        <v>0.1</v>
      </c>
      <c r="P5126" s="508">
        <v>0.10199999999999999</v>
      </c>
      <c r="Q5126" s="508">
        <v>9.5000000000000001E-2</v>
      </c>
      <c r="R5126" s="508">
        <v>0.107</v>
      </c>
      <c r="S5126" s="508">
        <v>9.5000000000000001E-2</v>
      </c>
      <c r="T5126" s="508">
        <v>9.2999999999999999E-2</v>
      </c>
      <c r="U5126" s="508">
        <v>9.7000000000000003E-2</v>
      </c>
      <c r="V5126" s="508">
        <v>8.1000000000000003E-2</v>
      </c>
      <c r="W5126" s="508">
        <v>8.3000000000000004E-2</v>
      </c>
      <c r="X5126" s="508">
        <v>8.3000000000000004E-2</v>
      </c>
      <c r="Y5126" s="508">
        <v>8.7999999999999995E-2</v>
      </c>
      <c r="Z5126" s="508">
        <v>8.5000000000000006E-2</v>
      </c>
      <c r="AA5126" s="508">
        <v>9.5000000000000001E-2</v>
      </c>
      <c r="AB5126" s="508">
        <v>7.3999999999999996E-2</v>
      </c>
      <c r="AC5126" s="508">
        <v>9.6000000000000002E-2</v>
      </c>
      <c r="AD5126" s="508">
        <v>9.1999999999999998E-2</v>
      </c>
      <c r="AE5126" s="508">
        <v>8.4000000000000005E-2</v>
      </c>
      <c r="AF5126" s="508">
        <v>8.4000000000000005E-2</v>
      </c>
      <c r="AG5126" s="508">
        <v>8.4000000000000005E-2</v>
      </c>
      <c r="AH5126" s="508">
        <v>8.4000000000000005E-2</v>
      </c>
      <c r="AI5126" s="492">
        <v>8.4000000000000005E-2</v>
      </c>
      <c r="AJ5126" s="485"/>
    </row>
    <row r="5127" spans="2:36">
      <c r="B5127" s="136" t="s">
        <v>437</v>
      </c>
      <c r="C5127" s="132" t="s">
        <v>1375</v>
      </c>
      <c r="D5127" s="132" t="s">
        <v>1379</v>
      </c>
      <c r="E5127" s="508">
        <v>0.14899999999999999</v>
      </c>
      <c r="F5127" s="508">
        <v>0.14299999999999999</v>
      </c>
      <c r="G5127" s="508">
        <v>0.13400000000000001</v>
      </c>
      <c r="H5127" s="508">
        <v>0.13400000000000001</v>
      </c>
      <c r="I5127" s="508">
        <v>0.13100000000000001</v>
      </c>
      <c r="J5127" s="508">
        <v>0.125</v>
      </c>
      <c r="K5127" s="508">
        <v>0.13</v>
      </c>
      <c r="L5127" s="508">
        <v>0.124</v>
      </c>
      <c r="M5127" s="508">
        <v>0.125</v>
      </c>
      <c r="N5127" s="508">
        <v>0.114</v>
      </c>
      <c r="O5127" s="508">
        <v>0.113</v>
      </c>
      <c r="P5127" s="508">
        <v>0.11600000000000001</v>
      </c>
      <c r="Q5127" s="508">
        <v>0.108</v>
      </c>
      <c r="R5127" s="508">
        <v>0.122</v>
      </c>
      <c r="S5127" s="508">
        <v>0.108</v>
      </c>
      <c r="T5127" s="508">
        <v>0.105</v>
      </c>
      <c r="U5127" s="508">
        <v>0.11</v>
      </c>
      <c r="V5127" s="508">
        <v>9.1999999999999998E-2</v>
      </c>
      <c r="W5127" s="508">
        <v>9.4E-2</v>
      </c>
      <c r="X5127" s="508">
        <v>9.4E-2</v>
      </c>
      <c r="Y5127" s="508">
        <v>0.1</v>
      </c>
      <c r="Z5127" s="508">
        <v>9.7000000000000003E-2</v>
      </c>
      <c r="AA5127" s="508">
        <v>0.108</v>
      </c>
      <c r="AB5127" s="508">
        <v>8.4000000000000005E-2</v>
      </c>
      <c r="AC5127" s="508">
        <v>0.109</v>
      </c>
      <c r="AD5127" s="508">
        <v>0.104</v>
      </c>
      <c r="AE5127" s="508">
        <v>9.5000000000000001E-2</v>
      </c>
      <c r="AF5127" s="508">
        <v>9.5000000000000001E-2</v>
      </c>
      <c r="AG5127" s="508">
        <v>9.5000000000000001E-2</v>
      </c>
      <c r="AH5127" s="508">
        <v>9.5000000000000001E-2</v>
      </c>
      <c r="AI5127" s="492">
        <v>9.5000000000000001E-2</v>
      </c>
      <c r="AJ5127" s="485"/>
    </row>
    <row r="5128" spans="2:36">
      <c r="B5128" s="136" t="s">
        <v>438</v>
      </c>
      <c r="C5128" s="132" t="s">
        <v>1375</v>
      </c>
      <c r="D5128" s="132" t="s">
        <v>1379</v>
      </c>
      <c r="E5128" s="508">
        <v>0.124</v>
      </c>
      <c r="F5128" s="508">
        <v>0.11899999999999999</v>
      </c>
      <c r="G5128" s="508">
        <v>0.111</v>
      </c>
      <c r="H5128" s="508">
        <v>0.111</v>
      </c>
      <c r="I5128" s="508">
        <v>0.109</v>
      </c>
      <c r="J5128" s="508">
        <v>0.104</v>
      </c>
      <c r="K5128" s="508">
        <v>0.108</v>
      </c>
      <c r="L5128" s="508">
        <v>0.104</v>
      </c>
      <c r="M5128" s="508">
        <v>0.104</v>
      </c>
      <c r="N5128" s="508">
        <v>9.5000000000000001E-2</v>
      </c>
      <c r="O5128" s="508">
        <v>9.5000000000000001E-2</v>
      </c>
      <c r="P5128" s="508">
        <v>9.7000000000000003E-2</v>
      </c>
      <c r="Q5128" s="508">
        <v>0.09</v>
      </c>
      <c r="R5128" s="508">
        <v>0.10199999999999999</v>
      </c>
      <c r="S5128" s="508">
        <v>0.09</v>
      </c>
      <c r="T5128" s="508">
        <v>8.7999999999999995E-2</v>
      </c>
      <c r="U5128" s="508">
        <v>9.1999999999999998E-2</v>
      </c>
      <c r="V5128" s="508">
        <v>7.6999999999999999E-2</v>
      </c>
      <c r="W5128" s="508">
        <v>7.9000000000000001E-2</v>
      </c>
      <c r="X5128" s="508">
        <v>7.9000000000000001E-2</v>
      </c>
      <c r="Y5128" s="508">
        <v>8.4000000000000005E-2</v>
      </c>
      <c r="Z5128" s="508">
        <v>8.1000000000000003E-2</v>
      </c>
      <c r="AA5128" s="508">
        <v>0.09</v>
      </c>
      <c r="AB5128" s="508">
        <v>7.0999999999999994E-2</v>
      </c>
      <c r="AC5128" s="508">
        <v>9.1999999999999998E-2</v>
      </c>
      <c r="AD5128" s="508">
        <v>8.6999999999999994E-2</v>
      </c>
      <c r="AE5128" s="508">
        <v>0.08</v>
      </c>
      <c r="AF5128" s="508">
        <v>0.08</v>
      </c>
      <c r="AG5128" s="508">
        <v>0.08</v>
      </c>
      <c r="AH5128" s="508">
        <v>0.08</v>
      </c>
      <c r="AI5128" s="492">
        <v>0.08</v>
      </c>
      <c r="AJ5128" s="485"/>
    </row>
    <row r="5129" spans="2:36">
      <c r="B5129" s="136" t="s">
        <v>439</v>
      </c>
      <c r="C5129" s="132" t="s">
        <v>1375</v>
      </c>
      <c r="D5129" s="132" t="s">
        <v>1379</v>
      </c>
      <c r="E5129" s="508">
        <v>0.14699999999999999</v>
      </c>
      <c r="F5129" s="508">
        <v>0.14099999999999999</v>
      </c>
      <c r="G5129" s="508">
        <v>0.13200000000000001</v>
      </c>
      <c r="H5129" s="508">
        <v>0.13200000000000001</v>
      </c>
      <c r="I5129" s="508">
        <v>0.129</v>
      </c>
      <c r="J5129" s="508">
        <v>0.123</v>
      </c>
      <c r="K5129" s="508">
        <v>0.128</v>
      </c>
      <c r="L5129" s="508">
        <v>0.122</v>
      </c>
      <c r="M5129" s="508">
        <v>0.123</v>
      </c>
      <c r="N5129" s="508">
        <v>0.112</v>
      </c>
      <c r="O5129" s="508">
        <v>0.111</v>
      </c>
      <c r="P5129" s="508">
        <v>0.114</v>
      </c>
      <c r="Q5129" s="508">
        <v>0.106</v>
      </c>
      <c r="R5129" s="508">
        <v>0.12</v>
      </c>
      <c r="S5129" s="508">
        <v>0.106</v>
      </c>
      <c r="T5129" s="508">
        <v>0.104</v>
      </c>
      <c r="U5129" s="508">
        <v>0.109</v>
      </c>
      <c r="V5129" s="508">
        <v>0.09</v>
      </c>
      <c r="W5129" s="508">
        <v>9.2999999999999999E-2</v>
      </c>
      <c r="X5129" s="508">
        <v>9.2999999999999999E-2</v>
      </c>
      <c r="Y5129" s="508">
        <v>9.8000000000000004E-2</v>
      </c>
      <c r="Z5129" s="508">
        <v>9.5000000000000001E-2</v>
      </c>
      <c r="AA5129" s="508">
        <v>0.106</v>
      </c>
      <c r="AB5129" s="508">
        <v>8.3000000000000004E-2</v>
      </c>
      <c r="AC5129" s="508">
        <v>0.108</v>
      </c>
      <c r="AD5129" s="508">
        <v>0.10299999999999999</v>
      </c>
      <c r="AE5129" s="508">
        <v>9.2999999999999999E-2</v>
      </c>
      <c r="AF5129" s="508">
        <v>9.2999999999999999E-2</v>
      </c>
      <c r="AG5129" s="508">
        <v>9.2999999999999999E-2</v>
      </c>
      <c r="AH5129" s="508">
        <v>9.2999999999999999E-2</v>
      </c>
      <c r="AI5129" s="492">
        <v>9.2999999999999999E-2</v>
      </c>
      <c r="AJ5129" s="485"/>
    </row>
    <row r="5130" spans="2:36">
      <c r="B5130" s="136" t="s">
        <v>440</v>
      </c>
      <c r="C5130" s="132" t="s">
        <v>1375</v>
      </c>
      <c r="D5130" s="132" t="s">
        <v>1379</v>
      </c>
      <c r="E5130" s="508">
        <v>0.14199999999999999</v>
      </c>
      <c r="F5130" s="508">
        <v>0.13500000000000001</v>
      </c>
      <c r="G5130" s="508">
        <v>0.127</v>
      </c>
      <c r="H5130" s="508">
        <v>0.127</v>
      </c>
      <c r="I5130" s="508">
        <v>0.125</v>
      </c>
      <c r="J5130" s="508">
        <v>0.11899999999999999</v>
      </c>
      <c r="K5130" s="508">
        <v>0.123</v>
      </c>
      <c r="L5130" s="508">
        <v>0.11799999999999999</v>
      </c>
      <c r="M5130" s="508">
        <v>0.11899999999999999</v>
      </c>
      <c r="N5130" s="508">
        <v>0.108</v>
      </c>
      <c r="O5130" s="508">
        <v>0.108</v>
      </c>
      <c r="P5130" s="508">
        <v>0.11</v>
      </c>
      <c r="Q5130" s="508">
        <v>0.10199999999999999</v>
      </c>
      <c r="R5130" s="508">
        <v>0.11600000000000001</v>
      </c>
      <c r="S5130" s="508">
        <v>0.10199999999999999</v>
      </c>
      <c r="T5130" s="508">
        <v>0.1</v>
      </c>
      <c r="U5130" s="508">
        <v>0.105</v>
      </c>
      <c r="V5130" s="508">
        <v>8.6999999999999994E-2</v>
      </c>
      <c r="W5130" s="508">
        <v>0.09</v>
      </c>
      <c r="X5130" s="508">
        <v>8.8999999999999996E-2</v>
      </c>
      <c r="Y5130" s="508">
        <v>9.5000000000000001E-2</v>
      </c>
      <c r="Z5130" s="508">
        <v>9.1999999999999998E-2</v>
      </c>
      <c r="AA5130" s="508">
        <v>0.10299999999999999</v>
      </c>
      <c r="AB5130" s="508">
        <v>0.08</v>
      </c>
      <c r="AC5130" s="508">
        <v>0.104</v>
      </c>
      <c r="AD5130" s="508">
        <v>9.9000000000000005E-2</v>
      </c>
      <c r="AE5130" s="508">
        <v>0.09</v>
      </c>
      <c r="AF5130" s="508">
        <v>0.09</v>
      </c>
      <c r="AG5130" s="508">
        <v>0.09</v>
      </c>
      <c r="AH5130" s="508">
        <v>0.09</v>
      </c>
      <c r="AI5130" s="492">
        <v>0.09</v>
      </c>
      <c r="AJ5130" s="485"/>
    </row>
    <row r="5131" spans="2:36">
      <c r="B5131" s="136" t="s">
        <v>441</v>
      </c>
      <c r="C5131" s="132" t="s">
        <v>1375</v>
      </c>
      <c r="D5131" s="132" t="s">
        <v>1379</v>
      </c>
      <c r="E5131" s="508">
        <v>0.14699999999999999</v>
      </c>
      <c r="F5131" s="508">
        <v>0.14099999999999999</v>
      </c>
      <c r="G5131" s="508">
        <v>0.13200000000000001</v>
      </c>
      <c r="H5131" s="508">
        <v>0.13200000000000001</v>
      </c>
      <c r="I5131" s="508">
        <v>0.13</v>
      </c>
      <c r="J5131" s="508">
        <v>0.124</v>
      </c>
      <c r="K5131" s="508">
        <v>0.128</v>
      </c>
      <c r="L5131" s="508">
        <v>0.123</v>
      </c>
      <c r="M5131" s="508">
        <v>0.124</v>
      </c>
      <c r="N5131" s="508">
        <v>0.112</v>
      </c>
      <c r="O5131" s="508">
        <v>0.112</v>
      </c>
      <c r="P5131" s="508">
        <v>0.114</v>
      </c>
      <c r="Q5131" s="508">
        <v>0.106</v>
      </c>
      <c r="R5131" s="508">
        <v>0.12</v>
      </c>
      <c r="S5131" s="508">
        <v>0.106</v>
      </c>
      <c r="T5131" s="508">
        <v>0.104</v>
      </c>
      <c r="U5131" s="508">
        <v>0.109</v>
      </c>
      <c r="V5131" s="508">
        <v>9.0999999999999998E-2</v>
      </c>
      <c r="W5131" s="508">
        <v>9.2999999999999999E-2</v>
      </c>
      <c r="X5131" s="508">
        <v>9.2999999999999999E-2</v>
      </c>
      <c r="Y5131" s="508">
        <v>9.9000000000000005E-2</v>
      </c>
      <c r="Z5131" s="508">
        <v>9.6000000000000002E-2</v>
      </c>
      <c r="AA5131" s="508">
        <v>0.107</v>
      </c>
      <c r="AB5131" s="508">
        <v>8.3000000000000004E-2</v>
      </c>
      <c r="AC5131" s="508">
        <v>0.108</v>
      </c>
      <c r="AD5131" s="508">
        <v>0.10299999999999999</v>
      </c>
      <c r="AE5131" s="508">
        <v>9.4E-2</v>
      </c>
      <c r="AF5131" s="508">
        <v>9.4E-2</v>
      </c>
      <c r="AG5131" s="508">
        <v>9.4E-2</v>
      </c>
      <c r="AH5131" s="508">
        <v>9.4E-2</v>
      </c>
      <c r="AI5131" s="492">
        <v>9.4E-2</v>
      </c>
      <c r="AJ5131" s="485"/>
    </row>
    <row r="5132" spans="2:36">
      <c r="B5132" s="136" t="s">
        <v>443</v>
      </c>
      <c r="C5132" s="132" t="s">
        <v>1375</v>
      </c>
      <c r="D5132" s="132" t="s">
        <v>1379</v>
      </c>
      <c r="E5132" s="508">
        <v>0.16400000000000001</v>
      </c>
      <c r="F5132" s="508">
        <v>0.157</v>
      </c>
      <c r="G5132" s="508">
        <v>0.14699999999999999</v>
      </c>
      <c r="H5132" s="508">
        <v>0.14699999999999999</v>
      </c>
      <c r="I5132" s="508">
        <v>0.14499999999999999</v>
      </c>
      <c r="J5132" s="508">
        <v>0.13800000000000001</v>
      </c>
      <c r="K5132" s="508">
        <v>0.14299999999999999</v>
      </c>
      <c r="L5132" s="508">
        <v>0.13700000000000001</v>
      </c>
      <c r="M5132" s="508">
        <v>0.13800000000000001</v>
      </c>
      <c r="N5132" s="508">
        <v>0.125</v>
      </c>
      <c r="O5132" s="508">
        <v>0.124</v>
      </c>
      <c r="P5132" s="508">
        <v>0.127</v>
      </c>
      <c r="Q5132" s="508">
        <v>0.11799999999999999</v>
      </c>
      <c r="R5132" s="508">
        <v>0.13400000000000001</v>
      </c>
      <c r="S5132" s="508">
        <v>0.11799999999999999</v>
      </c>
      <c r="T5132" s="508">
        <v>0.115</v>
      </c>
      <c r="U5132" s="508">
        <v>0.121</v>
      </c>
      <c r="V5132" s="508">
        <v>0.10100000000000001</v>
      </c>
      <c r="W5132" s="508">
        <v>0.104</v>
      </c>
      <c r="X5132" s="508">
        <v>0.10299999999999999</v>
      </c>
      <c r="Y5132" s="508">
        <v>0.11</v>
      </c>
      <c r="Z5132" s="508">
        <v>0.106</v>
      </c>
      <c r="AA5132" s="508">
        <v>0.11899999999999999</v>
      </c>
      <c r="AB5132" s="508">
        <v>9.1999999999999998E-2</v>
      </c>
      <c r="AC5132" s="508">
        <v>0.12</v>
      </c>
      <c r="AD5132" s="508">
        <v>0.115</v>
      </c>
      <c r="AE5132" s="508">
        <v>0.104</v>
      </c>
      <c r="AF5132" s="508">
        <v>0.104</v>
      </c>
      <c r="AG5132" s="508">
        <v>0.104</v>
      </c>
      <c r="AH5132" s="508">
        <v>0.104</v>
      </c>
      <c r="AI5132" s="492">
        <v>0.104</v>
      </c>
      <c r="AJ5132" s="485"/>
    </row>
    <row r="5133" spans="2:36">
      <c r="B5133" s="136" t="s">
        <v>445</v>
      </c>
      <c r="C5133" s="132" t="s">
        <v>1375</v>
      </c>
      <c r="D5133" s="132" t="s">
        <v>1379</v>
      </c>
      <c r="E5133" s="508">
        <v>0.20499999999999999</v>
      </c>
      <c r="F5133" s="508">
        <v>0.19600000000000001</v>
      </c>
      <c r="G5133" s="508">
        <v>0.183</v>
      </c>
      <c r="H5133" s="508">
        <v>0.183</v>
      </c>
      <c r="I5133" s="508">
        <v>0.18</v>
      </c>
      <c r="J5133" s="508">
        <v>0.17100000000000001</v>
      </c>
      <c r="K5133" s="508">
        <v>0.17699999999999999</v>
      </c>
      <c r="L5133" s="508">
        <v>0.16900000000000001</v>
      </c>
      <c r="M5133" s="508">
        <v>0.17100000000000001</v>
      </c>
      <c r="N5133" s="508">
        <v>0.155</v>
      </c>
      <c r="O5133" s="508">
        <v>0.154</v>
      </c>
      <c r="P5133" s="508">
        <v>0.157</v>
      </c>
      <c r="Q5133" s="508">
        <v>0.14599999999999999</v>
      </c>
      <c r="R5133" s="508">
        <v>0.16600000000000001</v>
      </c>
      <c r="S5133" s="508">
        <v>0.14599999999999999</v>
      </c>
      <c r="T5133" s="508">
        <v>0.14299999999999999</v>
      </c>
      <c r="U5133" s="508">
        <v>0.15</v>
      </c>
      <c r="V5133" s="508">
        <v>0.124</v>
      </c>
      <c r="W5133" s="508">
        <v>0.127</v>
      </c>
      <c r="X5133" s="508">
        <v>0.127</v>
      </c>
      <c r="Y5133" s="508">
        <v>0.13500000000000001</v>
      </c>
      <c r="Z5133" s="508">
        <v>0.13100000000000001</v>
      </c>
      <c r="AA5133" s="508">
        <v>0.14599999999999999</v>
      </c>
      <c r="AB5133" s="508">
        <v>0.113</v>
      </c>
      <c r="AC5133" s="508">
        <v>0.14899999999999999</v>
      </c>
      <c r="AD5133" s="508">
        <v>0.14099999999999999</v>
      </c>
      <c r="AE5133" s="508">
        <v>0.128</v>
      </c>
      <c r="AF5133" s="508">
        <v>0.128</v>
      </c>
      <c r="AG5133" s="508">
        <v>0.128</v>
      </c>
      <c r="AH5133" s="508">
        <v>0.128</v>
      </c>
      <c r="AI5133" s="492">
        <v>0.128</v>
      </c>
      <c r="AJ5133" s="485"/>
    </row>
    <row r="5134" spans="2:36">
      <c r="B5134" s="136" t="s">
        <v>446</v>
      </c>
      <c r="C5134" s="132" t="s">
        <v>1375</v>
      </c>
      <c r="D5134" s="132" t="s">
        <v>1379</v>
      </c>
      <c r="E5134" s="508">
        <v>0.17699999999999999</v>
      </c>
      <c r="F5134" s="508">
        <v>0.16900000000000001</v>
      </c>
      <c r="G5134" s="508">
        <v>0.158</v>
      </c>
      <c r="H5134" s="508">
        <v>0.158</v>
      </c>
      <c r="I5134" s="508">
        <v>0.156</v>
      </c>
      <c r="J5134" s="508">
        <v>0.14799999999999999</v>
      </c>
      <c r="K5134" s="508">
        <v>0.153</v>
      </c>
      <c r="L5134" s="508">
        <v>0.14699999999999999</v>
      </c>
      <c r="M5134" s="508">
        <v>0.14799999999999999</v>
      </c>
      <c r="N5134" s="508">
        <v>0.13400000000000001</v>
      </c>
      <c r="O5134" s="508">
        <v>0.13400000000000001</v>
      </c>
      <c r="P5134" s="508">
        <v>0.13700000000000001</v>
      </c>
      <c r="Q5134" s="508">
        <v>0.127</v>
      </c>
      <c r="R5134" s="508">
        <v>0.14399999999999999</v>
      </c>
      <c r="S5134" s="508">
        <v>0.127</v>
      </c>
      <c r="T5134" s="508">
        <v>0.124</v>
      </c>
      <c r="U5134" s="508">
        <v>0.13</v>
      </c>
      <c r="V5134" s="508">
        <v>0.108</v>
      </c>
      <c r="W5134" s="508">
        <v>0.111</v>
      </c>
      <c r="X5134" s="508">
        <v>0.11</v>
      </c>
      <c r="Y5134" s="508">
        <v>0.11799999999999999</v>
      </c>
      <c r="Z5134" s="508">
        <v>0.114</v>
      </c>
      <c r="AA5134" s="508">
        <v>0.127</v>
      </c>
      <c r="AB5134" s="508">
        <v>9.8000000000000004E-2</v>
      </c>
      <c r="AC5134" s="508">
        <v>0.129</v>
      </c>
      <c r="AD5134" s="508">
        <v>0.123</v>
      </c>
      <c r="AE5134" s="508">
        <v>0.112</v>
      </c>
      <c r="AF5134" s="508">
        <v>0.112</v>
      </c>
      <c r="AG5134" s="508">
        <v>0.112</v>
      </c>
      <c r="AH5134" s="508">
        <v>0.112</v>
      </c>
      <c r="AI5134" s="492">
        <v>0.112</v>
      </c>
      <c r="AJ5134" s="485"/>
    </row>
    <row r="5135" spans="2:36">
      <c r="B5135" s="136" t="s">
        <v>448</v>
      </c>
      <c r="C5135" s="132" t="s">
        <v>1375</v>
      </c>
      <c r="D5135" s="132" t="s">
        <v>1379</v>
      </c>
      <c r="E5135" s="508">
        <v>0.127</v>
      </c>
      <c r="F5135" s="508">
        <v>0.126</v>
      </c>
      <c r="G5135" s="508">
        <v>0.123</v>
      </c>
      <c r="H5135" s="508">
        <v>0.127</v>
      </c>
      <c r="I5135" s="508">
        <v>0.127</v>
      </c>
      <c r="J5135" s="508">
        <v>0.124</v>
      </c>
      <c r="K5135" s="508">
        <v>0.128</v>
      </c>
      <c r="L5135" s="508">
        <v>0.124</v>
      </c>
      <c r="M5135" s="508">
        <v>0.129</v>
      </c>
      <c r="N5135" s="508">
        <v>0.125</v>
      </c>
      <c r="O5135" s="508">
        <v>0.127</v>
      </c>
      <c r="P5135" s="508">
        <v>0.127</v>
      </c>
      <c r="Q5135" s="508">
        <v>0.13100000000000001</v>
      </c>
      <c r="R5135" s="508">
        <v>0.128</v>
      </c>
      <c r="S5135" s="508">
        <v>0.128</v>
      </c>
      <c r="T5135" s="508">
        <v>0.127</v>
      </c>
      <c r="U5135" s="508">
        <v>0.128</v>
      </c>
      <c r="V5135" s="508">
        <v>0.11799999999999999</v>
      </c>
      <c r="W5135" s="508">
        <v>0.122</v>
      </c>
      <c r="X5135" s="508">
        <v>0.11600000000000001</v>
      </c>
      <c r="Y5135" s="508">
        <v>0.11899999999999999</v>
      </c>
      <c r="Z5135" s="508">
        <v>0.121</v>
      </c>
      <c r="AA5135" s="508">
        <v>0.12</v>
      </c>
      <c r="AB5135" s="508">
        <v>0.11700000000000001</v>
      </c>
      <c r="AC5135" s="508">
        <v>0.125</v>
      </c>
      <c r="AD5135" s="508">
        <v>0.124</v>
      </c>
      <c r="AE5135" s="508">
        <v>0.12</v>
      </c>
      <c r="AF5135" s="508">
        <v>0.12</v>
      </c>
      <c r="AG5135" s="508">
        <v>0.12</v>
      </c>
      <c r="AH5135" s="508">
        <v>0.12</v>
      </c>
      <c r="AI5135" s="492">
        <v>0.12</v>
      </c>
      <c r="AJ5135" s="485"/>
    </row>
    <row r="5136" spans="2:36">
      <c r="B5136" s="136" t="s">
        <v>449</v>
      </c>
      <c r="C5136" s="132" t="s">
        <v>1375</v>
      </c>
      <c r="D5136" s="132" t="s">
        <v>1379</v>
      </c>
      <c r="E5136" s="508">
        <v>0.16800000000000001</v>
      </c>
      <c r="F5136" s="508">
        <v>0.16</v>
      </c>
      <c r="G5136" s="508">
        <v>0.15</v>
      </c>
      <c r="H5136" s="508">
        <v>0.15</v>
      </c>
      <c r="I5136" s="508">
        <v>0.14699999999999999</v>
      </c>
      <c r="J5136" s="508">
        <v>0.14000000000000001</v>
      </c>
      <c r="K5136" s="508">
        <v>0.14499999999999999</v>
      </c>
      <c r="L5136" s="508">
        <v>0.13900000000000001</v>
      </c>
      <c r="M5136" s="508">
        <v>0.14000000000000001</v>
      </c>
      <c r="N5136" s="508">
        <v>0.127</v>
      </c>
      <c r="O5136" s="508">
        <v>0.127</v>
      </c>
      <c r="P5136" s="508">
        <v>0.13</v>
      </c>
      <c r="Q5136" s="508">
        <v>0.121</v>
      </c>
      <c r="R5136" s="508">
        <v>0.13700000000000001</v>
      </c>
      <c r="S5136" s="508">
        <v>0.121</v>
      </c>
      <c r="T5136" s="508">
        <v>0.11799999999999999</v>
      </c>
      <c r="U5136" s="508">
        <v>0.123</v>
      </c>
      <c r="V5136" s="508">
        <v>0.10299999999999999</v>
      </c>
      <c r="W5136" s="508">
        <v>0.106</v>
      </c>
      <c r="X5136" s="508">
        <v>0.105</v>
      </c>
      <c r="Y5136" s="508">
        <v>0.112</v>
      </c>
      <c r="Z5136" s="508">
        <v>0.108</v>
      </c>
      <c r="AA5136" s="508">
        <v>0.121</v>
      </c>
      <c r="AB5136" s="508">
        <v>9.4E-2</v>
      </c>
      <c r="AC5136" s="508">
        <v>0.123</v>
      </c>
      <c r="AD5136" s="508">
        <v>0.11700000000000001</v>
      </c>
      <c r="AE5136" s="508">
        <v>0.106</v>
      </c>
      <c r="AF5136" s="508">
        <v>0.106</v>
      </c>
      <c r="AG5136" s="508">
        <v>0.106</v>
      </c>
      <c r="AH5136" s="508">
        <v>0.106</v>
      </c>
      <c r="AI5136" s="492">
        <v>0.106</v>
      </c>
      <c r="AJ5136" s="485"/>
    </row>
    <row r="5137" spans="2:36">
      <c r="B5137" s="136" t="s">
        <v>450</v>
      </c>
      <c r="C5137" s="132" t="s">
        <v>1375</v>
      </c>
      <c r="D5137" s="132" t="s">
        <v>1379</v>
      </c>
      <c r="E5137" s="508">
        <v>0.13999999999999999</v>
      </c>
      <c r="F5137" s="508">
        <v>0.13600000000000001</v>
      </c>
      <c r="G5137" s="508">
        <v>0.128</v>
      </c>
      <c r="H5137" s="508">
        <v>0.128</v>
      </c>
      <c r="I5137" s="508">
        <v>0.126</v>
      </c>
      <c r="J5137" s="508">
        <v>0.122</v>
      </c>
      <c r="K5137" s="508">
        <v>0.125</v>
      </c>
      <c r="L5137" s="508">
        <v>0.121</v>
      </c>
      <c r="M5137" s="508">
        <v>0.121</v>
      </c>
      <c r="N5137" s="508">
        <v>0.113</v>
      </c>
      <c r="O5137" s="508">
        <v>0.113</v>
      </c>
      <c r="P5137" s="508">
        <v>0.114</v>
      </c>
      <c r="Q5137" s="508">
        <v>0.108</v>
      </c>
      <c r="R5137" s="508">
        <v>0.12000000000000001</v>
      </c>
      <c r="S5137" s="508">
        <v>0.108</v>
      </c>
      <c r="T5137" s="508">
        <v>0.107</v>
      </c>
      <c r="U5137" s="508">
        <v>0.11</v>
      </c>
      <c r="V5137" s="508">
        <v>9.6000000000000002E-2</v>
      </c>
      <c r="W5137" s="508">
        <v>9.7000000000000003E-2</v>
      </c>
      <c r="X5137" s="508">
        <v>9.8000000000000004E-2</v>
      </c>
      <c r="Y5137" s="508">
        <v>0.10199999999999999</v>
      </c>
      <c r="Z5137" s="508">
        <v>0.1</v>
      </c>
      <c r="AA5137" s="508">
        <v>0.109</v>
      </c>
      <c r="AB5137" s="508">
        <v>0.09</v>
      </c>
      <c r="AC5137" s="508">
        <v>0.109</v>
      </c>
      <c r="AD5137" s="508">
        <v>0.106</v>
      </c>
      <c r="AE5137" s="508">
        <v>9.8000000000000004E-2</v>
      </c>
      <c r="AF5137" s="508">
        <v>9.8000000000000004E-2</v>
      </c>
      <c r="AG5137" s="508">
        <v>9.8000000000000004E-2</v>
      </c>
      <c r="AH5137" s="508">
        <v>9.8000000000000004E-2</v>
      </c>
      <c r="AI5137" s="492">
        <v>9.8000000000000004E-2</v>
      </c>
      <c r="AJ5137" s="485"/>
    </row>
    <row r="5138" spans="2:36">
      <c r="B5138" s="136" t="s">
        <v>451</v>
      </c>
      <c r="C5138" s="132" t="s">
        <v>1375</v>
      </c>
      <c r="D5138" s="132" t="s">
        <v>1379</v>
      </c>
      <c r="E5138" s="508">
        <v>0.18099999999999999</v>
      </c>
      <c r="F5138" s="508">
        <v>0.17299999999999999</v>
      </c>
      <c r="G5138" s="508">
        <v>0.16200000000000001</v>
      </c>
      <c r="H5138" s="508">
        <v>0.16200000000000001</v>
      </c>
      <c r="I5138" s="508">
        <v>0.159</v>
      </c>
      <c r="J5138" s="508">
        <v>0.152</v>
      </c>
      <c r="K5138" s="508">
        <v>0.157</v>
      </c>
      <c r="L5138" s="508">
        <v>0.15</v>
      </c>
      <c r="M5138" s="508">
        <v>0.151</v>
      </c>
      <c r="N5138" s="508">
        <v>0.13700000000000001</v>
      </c>
      <c r="O5138" s="508">
        <v>0.13700000000000001</v>
      </c>
      <c r="P5138" s="508">
        <v>0.14000000000000001</v>
      </c>
      <c r="Q5138" s="508">
        <v>0.13</v>
      </c>
      <c r="R5138" s="508">
        <v>0.14699999999999999</v>
      </c>
      <c r="S5138" s="508">
        <v>0.13</v>
      </c>
      <c r="T5138" s="508">
        <v>0.127</v>
      </c>
      <c r="U5138" s="508">
        <v>0.13300000000000001</v>
      </c>
      <c r="V5138" s="508">
        <v>0.11</v>
      </c>
      <c r="W5138" s="508">
        <v>0.114</v>
      </c>
      <c r="X5138" s="508">
        <v>0.113</v>
      </c>
      <c r="Y5138" s="508">
        <v>0.12</v>
      </c>
      <c r="Z5138" s="508">
        <v>0.11600000000000001</v>
      </c>
      <c r="AA5138" s="508">
        <v>0.13</v>
      </c>
      <c r="AB5138" s="508">
        <v>0.10100000000000001</v>
      </c>
      <c r="AC5138" s="508">
        <v>0.13200000000000001</v>
      </c>
      <c r="AD5138" s="508">
        <v>0.126</v>
      </c>
      <c r="AE5138" s="508">
        <v>0.114</v>
      </c>
      <c r="AF5138" s="508">
        <v>0.114</v>
      </c>
      <c r="AG5138" s="508">
        <v>0.114</v>
      </c>
      <c r="AH5138" s="508">
        <v>0.114</v>
      </c>
      <c r="AI5138" s="492">
        <v>0.114</v>
      </c>
      <c r="AJ5138" s="485"/>
    </row>
    <row r="5139" spans="2:36">
      <c r="B5139" s="136" t="s">
        <v>452</v>
      </c>
      <c r="C5139" s="132" t="s">
        <v>1375</v>
      </c>
      <c r="D5139" s="132" t="s">
        <v>1379</v>
      </c>
      <c r="E5139" s="508">
        <v>0.152</v>
      </c>
      <c r="F5139" s="508">
        <v>0.14599999999999999</v>
      </c>
      <c r="G5139" s="508">
        <v>0.13600000000000001</v>
      </c>
      <c r="H5139" s="508">
        <v>0.13700000000000001</v>
      </c>
      <c r="I5139" s="508">
        <v>0.13400000000000001</v>
      </c>
      <c r="J5139" s="508">
        <v>0.128</v>
      </c>
      <c r="K5139" s="508">
        <v>0.13200000000000001</v>
      </c>
      <c r="L5139" s="508">
        <v>0.127</v>
      </c>
      <c r="M5139" s="508">
        <v>0.128</v>
      </c>
      <c r="N5139" s="508">
        <v>0.11600000000000001</v>
      </c>
      <c r="O5139" s="508">
        <v>0.11600000000000001</v>
      </c>
      <c r="P5139" s="508">
        <v>0.11799999999999999</v>
      </c>
      <c r="Q5139" s="508">
        <v>0.11</v>
      </c>
      <c r="R5139" s="508">
        <v>0.124</v>
      </c>
      <c r="S5139" s="508">
        <v>0.11</v>
      </c>
      <c r="T5139" s="508">
        <v>0.107</v>
      </c>
      <c r="U5139" s="508">
        <v>0.113</v>
      </c>
      <c r="V5139" s="508">
        <v>9.4E-2</v>
      </c>
      <c r="W5139" s="508">
        <v>9.6000000000000002E-2</v>
      </c>
      <c r="X5139" s="508">
        <v>9.6000000000000002E-2</v>
      </c>
      <c r="Y5139" s="508">
        <v>0.10199999999999999</v>
      </c>
      <c r="Z5139" s="508">
        <v>9.9000000000000005E-2</v>
      </c>
      <c r="AA5139" s="508">
        <v>0.11</v>
      </c>
      <c r="AB5139" s="508">
        <v>8.5999999999999993E-2</v>
      </c>
      <c r="AC5139" s="508">
        <v>0.112</v>
      </c>
      <c r="AD5139" s="508">
        <v>0.107</v>
      </c>
      <c r="AE5139" s="508">
        <v>9.7000000000000003E-2</v>
      </c>
      <c r="AF5139" s="508">
        <v>9.7000000000000003E-2</v>
      </c>
      <c r="AG5139" s="508">
        <v>9.7000000000000003E-2</v>
      </c>
      <c r="AH5139" s="508">
        <v>9.7000000000000003E-2</v>
      </c>
      <c r="AI5139" s="492">
        <v>9.7000000000000003E-2</v>
      </c>
      <c r="AJ5139" s="485"/>
    </row>
    <row r="5140" spans="2:36">
      <c r="B5140" s="136" t="s">
        <v>453</v>
      </c>
      <c r="C5140" s="132" t="s">
        <v>1375</v>
      </c>
      <c r="D5140" s="132" t="s">
        <v>1379</v>
      </c>
      <c r="E5140" s="508">
        <v>0.127</v>
      </c>
      <c r="F5140" s="508">
        <v>0.122</v>
      </c>
      <c r="G5140" s="508">
        <v>0.114</v>
      </c>
      <c r="H5140" s="508">
        <v>0.114</v>
      </c>
      <c r="I5140" s="508">
        <v>0.112</v>
      </c>
      <c r="J5140" s="508">
        <v>0.107</v>
      </c>
      <c r="K5140" s="508">
        <v>0.111</v>
      </c>
      <c r="L5140" s="508">
        <v>0.106</v>
      </c>
      <c r="M5140" s="508">
        <v>0.107</v>
      </c>
      <c r="N5140" s="508">
        <v>9.7000000000000003E-2</v>
      </c>
      <c r="O5140" s="508">
        <v>9.7000000000000003E-2</v>
      </c>
      <c r="P5140" s="508">
        <v>9.9000000000000005E-2</v>
      </c>
      <c r="Q5140" s="508">
        <v>9.2999999999999999E-2</v>
      </c>
      <c r="R5140" s="508">
        <v>0.104</v>
      </c>
      <c r="S5140" s="508">
        <v>9.2999999999999999E-2</v>
      </c>
      <c r="T5140" s="508">
        <v>0.09</v>
      </c>
      <c r="U5140" s="508">
        <v>9.5000000000000001E-2</v>
      </c>
      <c r="V5140" s="508">
        <v>7.9000000000000001E-2</v>
      </c>
      <c r="W5140" s="508">
        <v>8.1000000000000003E-2</v>
      </c>
      <c r="X5140" s="508">
        <v>8.1000000000000003E-2</v>
      </c>
      <c r="Y5140" s="508">
        <v>8.5999999999999993E-2</v>
      </c>
      <c r="Z5140" s="508">
        <v>8.3000000000000004E-2</v>
      </c>
      <c r="AA5140" s="508">
        <v>9.2999999999999999E-2</v>
      </c>
      <c r="AB5140" s="508">
        <v>7.2999999999999995E-2</v>
      </c>
      <c r="AC5140" s="508">
        <v>9.4E-2</v>
      </c>
      <c r="AD5140" s="508">
        <v>0.09</v>
      </c>
      <c r="AE5140" s="508">
        <v>8.2000000000000003E-2</v>
      </c>
      <c r="AF5140" s="508">
        <v>8.2000000000000003E-2</v>
      </c>
      <c r="AG5140" s="508">
        <v>8.2000000000000003E-2</v>
      </c>
      <c r="AH5140" s="508">
        <v>8.2000000000000003E-2</v>
      </c>
      <c r="AI5140" s="492">
        <v>8.2000000000000003E-2</v>
      </c>
      <c r="AJ5140" s="485"/>
    </row>
    <row r="5141" spans="2:36">
      <c r="B5141" s="136" t="s">
        <v>454</v>
      </c>
      <c r="C5141" s="132" t="s">
        <v>1375</v>
      </c>
      <c r="D5141" s="132" t="s">
        <v>1379</v>
      </c>
      <c r="E5141" s="508">
        <v>0.13200000000000001</v>
      </c>
      <c r="F5141" s="508">
        <v>0.126</v>
      </c>
      <c r="G5141" s="508">
        <v>0.11799999999999999</v>
      </c>
      <c r="H5141" s="508">
        <v>0.11799999999999999</v>
      </c>
      <c r="I5141" s="508">
        <v>0.11600000000000001</v>
      </c>
      <c r="J5141" s="508">
        <v>0.111</v>
      </c>
      <c r="K5141" s="508">
        <v>0.115</v>
      </c>
      <c r="L5141" s="508">
        <v>0.11</v>
      </c>
      <c r="M5141" s="508">
        <v>0.111</v>
      </c>
      <c r="N5141" s="508">
        <v>0.10100000000000001</v>
      </c>
      <c r="O5141" s="508">
        <v>0.10100000000000001</v>
      </c>
      <c r="P5141" s="508">
        <v>0.10299999999999999</v>
      </c>
      <c r="Q5141" s="508">
        <v>9.6000000000000002E-2</v>
      </c>
      <c r="R5141" s="508">
        <v>0.108</v>
      </c>
      <c r="S5141" s="508">
        <v>9.6000000000000002E-2</v>
      </c>
      <c r="T5141" s="508">
        <v>9.2999999999999999E-2</v>
      </c>
      <c r="U5141" s="508">
        <v>9.8000000000000004E-2</v>
      </c>
      <c r="V5141" s="508">
        <v>8.2000000000000003E-2</v>
      </c>
      <c r="W5141" s="508">
        <v>8.4000000000000005E-2</v>
      </c>
      <c r="X5141" s="508">
        <v>8.4000000000000005E-2</v>
      </c>
      <c r="Y5141" s="508">
        <v>8.8999999999999996E-2</v>
      </c>
      <c r="Z5141" s="508">
        <v>8.5999999999999993E-2</v>
      </c>
      <c r="AA5141" s="508">
        <v>9.6000000000000002E-2</v>
      </c>
      <c r="AB5141" s="508">
        <v>7.4999999999999997E-2</v>
      </c>
      <c r="AC5141" s="508">
        <v>9.7000000000000003E-2</v>
      </c>
      <c r="AD5141" s="508">
        <v>9.2999999999999999E-2</v>
      </c>
      <c r="AE5141" s="508">
        <v>8.5000000000000006E-2</v>
      </c>
      <c r="AF5141" s="508">
        <v>8.5000000000000006E-2</v>
      </c>
      <c r="AG5141" s="508">
        <v>8.5000000000000006E-2</v>
      </c>
      <c r="AH5141" s="508">
        <v>8.5000000000000006E-2</v>
      </c>
      <c r="AI5141" s="492">
        <v>8.5000000000000006E-2</v>
      </c>
      <c r="AJ5141" s="485"/>
    </row>
    <row r="5142" spans="2:36">
      <c r="B5142" s="136" t="s">
        <v>455</v>
      </c>
      <c r="C5142" s="132" t="s">
        <v>1375</v>
      </c>
      <c r="D5142" s="132" t="s">
        <v>1379</v>
      </c>
      <c r="E5142" s="508">
        <v>0.121</v>
      </c>
      <c r="F5142" s="508">
        <v>0.11600000000000001</v>
      </c>
      <c r="G5142" s="508">
        <v>0.108</v>
      </c>
      <c r="H5142" s="508">
        <v>0.108</v>
      </c>
      <c r="I5142" s="508">
        <v>0.107</v>
      </c>
      <c r="J5142" s="508">
        <v>0.10199999999999999</v>
      </c>
      <c r="K5142" s="508">
        <v>0.105</v>
      </c>
      <c r="L5142" s="508">
        <v>0.10100000000000001</v>
      </c>
      <c r="M5142" s="508">
        <v>0.10199999999999999</v>
      </c>
      <c r="N5142" s="508">
        <v>9.1999999999999998E-2</v>
      </c>
      <c r="O5142" s="508">
        <v>9.1999999999999998E-2</v>
      </c>
      <c r="P5142" s="508">
        <v>9.4E-2</v>
      </c>
      <c r="Q5142" s="508">
        <v>8.7999999999999995E-2</v>
      </c>
      <c r="R5142" s="508">
        <v>9.9000000000000005E-2</v>
      </c>
      <c r="S5142" s="508">
        <v>8.7999999999999995E-2</v>
      </c>
      <c r="T5142" s="508">
        <v>8.5999999999999993E-2</v>
      </c>
      <c r="U5142" s="508">
        <v>0.09</v>
      </c>
      <c r="V5142" s="508">
        <v>7.4999999999999997E-2</v>
      </c>
      <c r="W5142" s="508">
        <v>7.6999999999999999E-2</v>
      </c>
      <c r="X5142" s="508">
        <v>7.6999999999999999E-2</v>
      </c>
      <c r="Y5142" s="508">
        <v>8.2000000000000003E-2</v>
      </c>
      <c r="Z5142" s="508">
        <v>7.9000000000000001E-2</v>
      </c>
      <c r="AA5142" s="508">
        <v>8.7999999999999995E-2</v>
      </c>
      <c r="AB5142" s="508">
        <v>6.9000000000000006E-2</v>
      </c>
      <c r="AC5142" s="508">
        <v>8.8999999999999996E-2</v>
      </c>
      <c r="AD5142" s="508">
        <v>8.5000000000000006E-2</v>
      </c>
      <c r="AE5142" s="508">
        <v>7.8E-2</v>
      </c>
      <c r="AF5142" s="508">
        <v>7.8E-2</v>
      </c>
      <c r="AG5142" s="508">
        <v>7.8E-2</v>
      </c>
      <c r="AH5142" s="508">
        <v>7.8E-2</v>
      </c>
      <c r="AI5142" s="492">
        <v>7.8E-2</v>
      </c>
      <c r="AJ5142" s="485"/>
    </row>
    <row r="5143" spans="2:36">
      <c r="B5143" s="136" t="s">
        <v>456</v>
      </c>
      <c r="C5143" s="132" t="s">
        <v>1375</v>
      </c>
      <c r="D5143" s="132" t="s">
        <v>1379</v>
      </c>
      <c r="E5143" s="508">
        <v>0.13900000000000001</v>
      </c>
      <c r="F5143" s="508">
        <v>0.13300000000000001</v>
      </c>
      <c r="G5143" s="508">
        <v>0.124</v>
      </c>
      <c r="H5143" s="508">
        <v>0.124</v>
      </c>
      <c r="I5143" s="508">
        <v>0.122</v>
      </c>
      <c r="J5143" s="508">
        <v>0.11700000000000001</v>
      </c>
      <c r="K5143" s="508">
        <v>0.121</v>
      </c>
      <c r="L5143" s="508">
        <v>0.11600000000000001</v>
      </c>
      <c r="M5143" s="508">
        <v>0.11600000000000001</v>
      </c>
      <c r="N5143" s="508">
        <v>0.106</v>
      </c>
      <c r="O5143" s="508">
        <v>0.105</v>
      </c>
      <c r="P5143" s="508">
        <v>0.108</v>
      </c>
      <c r="Q5143" s="508">
        <v>0.10100000000000001</v>
      </c>
      <c r="R5143" s="508">
        <v>0.113</v>
      </c>
      <c r="S5143" s="508">
        <v>0.1</v>
      </c>
      <c r="T5143" s="508">
        <v>9.8000000000000004E-2</v>
      </c>
      <c r="U5143" s="508">
        <v>0.10299999999999999</v>
      </c>
      <c r="V5143" s="508">
        <v>8.5999999999999993E-2</v>
      </c>
      <c r="W5143" s="508">
        <v>8.7999999999999995E-2</v>
      </c>
      <c r="X5143" s="508">
        <v>8.7999999999999995E-2</v>
      </c>
      <c r="Y5143" s="508">
        <v>9.2999999999999999E-2</v>
      </c>
      <c r="Z5143" s="508">
        <v>0.09</v>
      </c>
      <c r="AA5143" s="508">
        <v>0.10100000000000001</v>
      </c>
      <c r="AB5143" s="508">
        <v>7.9000000000000001E-2</v>
      </c>
      <c r="AC5143" s="508">
        <v>0.10199999999999999</v>
      </c>
      <c r="AD5143" s="508">
        <v>9.7000000000000003E-2</v>
      </c>
      <c r="AE5143" s="508">
        <v>8.8999999999999996E-2</v>
      </c>
      <c r="AF5143" s="508">
        <v>8.8999999999999996E-2</v>
      </c>
      <c r="AG5143" s="508">
        <v>8.8999999999999996E-2</v>
      </c>
      <c r="AH5143" s="508">
        <v>8.8999999999999996E-2</v>
      </c>
      <c r="AI5143" s="492">
        <v>8.8999999999999996E-2</v>
      </c>
      <c r="AJ5143" s="485"/>
    </row>
    <row r="5144" spans="2:36">
      <c r="B5144" s="136" t="s">
        <v>457</v>
      </c>
      <c r="C5144" s="132" t="s">
        <v>1375</v>
      </c>
      <c r="D5144" s="132" t="s">
        <v>1379</v>
      </c>
      <c r="E5144" s="508">
        <v>0.11600000000000001</v>
      </c>
      <c r="F5144" s="508">
        <v>0.111</v>
      </c>
      <c r="G5144" s="508">
        <v>0.104</v>
      </c>
      <c r="H5144" s="508">
        <v>0.104</v>
      </c>
      <c r="I5144" s="508">
        <v>0.10199999999999999</v>
      </c>
      <c r="J5144" s="508">
        <v>9.7000000000000003E-2</v>
      </c>
      <c r="K5144" s="508">
        <v>0.10100000000000001</v>
      </c>
      <c r="L5144" s="508">
        <v>9.7000000000000003E-2</v>
      </c>
      <c r="M5144" s="508">
        <v>9.7000000000000003E-2</v>
      </c>
      <c r="N5144" s="508">
        <v>8.8999999999999996E-2</v>
      </c>
      <c r="O5144" s="508">
        <v>8.8999999999999996E-2</v>
      </c>
      <c r="P5144" s="508">
        <v>0.09</v>
      </c>
      <c r="Q5144" s="508">
        <v>8.4000000000000005E-2</v>
      </c>
      <c r="R5144" s="508">
        <v>9.5000000000000001E-2</v>
      </c>
      <c r="S5144" s="508">
        <v>8.4000000000000005E-2</v>
      </c>
      <c r="T5144" s="508">
        <v>8.2000000000000003E-2</v>
      </c>
      <c r="U5144" s="508">
        <v>8.5999999999999993E-2</v>
      </c>
      <c r="V5144" s="508">
        <v>7.1999999999999995E-2</v>
      </c>
      <c r="W5144" s="508">
        <v>7.3999999999999996E-2</v>
      </c>
      <c r="X5144" s="508">
        <v>7.3999999999999996E-2</v>
      </c>
      <c r="Y5144" s="508">
        <v>7.9000000000000001E-2</v>
      </c>
      <c r="Z5144" s="508">
        <v>7.5999999999999998E-2</v>
      </c>
      <c r="AA5144" s="508">
        <v>8.5000000000000006E-2</v>
      </c>
      <c r="AB5144" s="508">
        <v>6.7000000000000004E-2</v>
      </c>
      <c r="AC5144" s="508">
        <v>8.5999999999999993E-2</v>
      </c>
      <c r="AD5144" s="508">
        <v>8.2000000000000003E-2</v>
      </c>
      <c r="AE5144" s="508">
        <v>7.4999999999999997E-2</v>
      </c>
      <c r="AF5144" s="508">
        <v>7.4999999999999997E-2</v>
      </c>
      <c r="AG5144" s="508">
        <v>7.4999999999999997E-2</v>
      </c>
      <c r="AH5144" s="508">
        <v>7.4999999999999997E-2</v>
      </c>
      <c r="AI5144" s="492">
        <v>7.4999999999999997E-2</v>
      </c>
      <c r="AJ5144" s="485"/>
    </row>
    <row r="5145" spans="2:36">
      <c r="B5145" s="136" t="s">
        <v>458</v>
      </c>
      <c r="C5145" s="132" t="s">
        <v>1375</v>
      </c>
      <c r="D5145" s="132" t="s">
        <v>1379</v>
      </c>
      <c r="E5145" s="508">
        <v>0.14199999999999999</v>
      </c>
      <c r="F5145" s="508">
        <v>0.13500000000000001</v>
      </c>
      <c r="G5145" s="508">
        <v>0.127</v>
      </c>
      <c r="H5145" s="508">
        <v>0.127</v>
      </c>
      <c r="I5145" s="508">
        <v>0.125</v>
      </c>
      <c r="J5145" s="508">
        <v>0.11899999999999999</v>
      </c>
      <c r="K5145" s="508">
        <v>0.123</v>
      </c>
      <c r="L5145" s="508">
        <v>0.11799999999999999</v>
      </c>
      <c r="M5145" s="508">
        <v>0.11899999999999999</v>
      </c>
      <c r="N5145" s="508">
        <v>0.108</v>
      </c>
      <c r="O5145" s="508">
        <v>0.108</v>
      </c>
      <c r="P5145" s="508">
        <v>0.11</v>
      </c>
      <c r="Q5145" s="508">
        <v>0.10199999999999999</v>
      </c>
      <c r="R5145" s="508">
        <v>0.11600000000000001</v>
      </c>
      <c r="S5145" s="508">
        <v>0.10199999999999999</v>
      </c>
      <c r="T5145" s="508">
        <v>0.1</v>
      </c>
      <c r="U5145" s="508">
        <v>0.105</v>
      </c>
      <c r="V5145" s="508">
        <v>8.6999999999999994E-2</v>
      </c>
      <c r="W5145" s="508">
        <v>0.09</v>
      </c>
      <c r="X5145" s="508">
        <v>8.8999999999999996E-2</v>
      </c>
      <c r="Y5145" s="508">
        <v>9.5000000000000001E-2</v>
      </c>
      <c r="Z5145" s="508">
        <v>9.1999999999999998E-2</v>
      </c>
      <c r="AA5145" s="508">
        <v>0.10299999999999999</v>
      </c>
      <c r="AB5145" s="508">
        <v>0.08</v>
      </c>
      <c r="AC5145" s="508">
        <v>0.104</v>
      </c>
      <c r="AD5145" s="508">
        <v>9.9000000000000005E-2</v>
      </c>
      <c r="AE5145" s="508">
        <v>0.09</v>
      </c>
      <c r="AF5145" s="508">
        <v>0.09</v>
      </c>
      <c r="AG5145" s="508">
        <v>0.09</v>
      </c>
      <c r="AH5145" s="508">
        <v>0.09</v>
      </c>
      <c r="AI5145" s="492">
        <v>0.09</v>
      </c>
      <c r="AJ5145" s="485"/>
    </row>
    <row r="5146" spans="2:36">
      <c r="B5146" s="136" t="s">
        <v>459</v>
      </c>
      <c r="C5146" s="132" t="s">
        <v>1375</v>
      </c>
      <c r="D5146" s="132" t="s">
        <v>1379</v>
      </c>
      <c r="E5146" s="508">
        <v>0.14099999999999999</v>
      </c>
      <c r="F5146" s="508">
        <v>0.13500000000000001</v>
      </c>
      <c r="G5146" s="508">
        <v>0.127</v>
      </c>
      <c r="H5146" s="508">
        <v>0.127</v>
      </c>
      <c r="I5146" s="508">
        <v>0.125</v>
      </c>
      <c r="J5146" s="508">
        <v>0.11899999999999999</v>
      </c>
      <c r="K5146" s="508">
        <v>0.123</v>
      </c>
      <c r="L5146" s="508">
        <v>0.11799999999999999</v>
      </c>
      <c r="M5146" s="508">
        <v>0.11899999999999999</v>
      </c>
      <c r="N5146" s="508">
        <v>0.108</v>
      </c>
      <c r="O5146" s="508">
        <v>0.107</v>
      </c>
      <c r="P5146" s="508">
        <v>0.11</v>
      </c>
      <c r="Q5146" s="508">
        <v>0.10199999999999999</v>
      </c>
      <c r="R5146" s="508">
        <v>0.11600000000000001</v>
      </c>
      <c r="S5146" s="508">
        <v>0.10199999999999999</v>
      </c>
      <c r="T5146" s="508">
        <v>0.1</v>
      </c>
      <c r="U5146" s="508">
        <v>0.105</v>
      </c>
      <c r="V5146" s="508">
        <v>8.6999999999999994E-2</v>
      </c>
      <c r="W5146" s="508">
        <v>0.09</v>
      </c>
      <c r="X5146" s="508">
        <v>8.8999999999999996E-2</v>
      </c>
      <c r="Y5146" s="508">
        <v>9.5000000000000001E-2</v>
      </c>
      <c r="Z5146" s="508">
        <v>9.1999999999999998E-2</v>
      </c>
      <c r="AA5146" s="508">
        <v>0.10199999999999999</v>
      </c>
      <c r="AB5146" s="508">
        <v>0.08</v>
      </c>
      <c r="AC5146" s="508">
        <v>0.104</v>
      </c>
      <c r="AD5146" s="508">
        <v>9.9000000000000005E-2</v>
      </c>
      <c r="AE5146" s="508">
        <v>0.09</v>
      </c>
      <c r="AF5146" s="508">
        <v>0.09</v>
      </c>
      <c r="AG5146" s="508">
        <v>0.09</v>
      </c>
      <c r="AH5146" s="508">
        <v>0.09</v>
      </c>
      <c r="AI5146" s="492">
        <v>0.09</v>
      </c>
      <c r="AJ5146" s="485"/>
    </row>
    <row r="5147" spans="2:36">
      <c r="B5147" s="136" t="s">
        <v>460</v>
      </c>
      <c r="C5147" s="132" t="s">
        <v>1375</v>
      </c>
      <c r="D5147" s="132" t="s">
        <v>1379</v>
      </c>
      <c r="E5147" s="508">
        <v>0.14499999999999999</v>
      </c>
      <c r="F5147" s="508">
        <v>0.13900000000000001</v>
      </c>
      <c r="G5147" s="508">
        <v>0.13</v>
      </c>
      <c r="H5147" s="508">
        <v>0.13</v>
      </c>
      <c r="I5147" s="508">
        <v>0.128</v>
      </c>
      <c r="J5147" s="508">
        <v>0.122</v>
      </c>
      <c r="K5147" s="508">
        <v>0.126</v>
      </c>
      <c r="L5147" s="508">
        <v>0.121</v>
      </c>
      <c r="M5147" s="508">
        <v>0.121</v>
      </c>
      <c r="N5147" s="508">
        <v>0.11</v>
      </c>
      <c r="O5147" s="508">
        <v>0.11</v>
      </c>
      <c r="P5147" s="508">
        <v>0.112</v>
      </c>
      <c r="Q5147" s="508">
        <v>0.105</v>
      </c>
      <c r="R5147" s="508">
        <v>0.11799999999999999</v>
      </c>
      <c r="S5147" s="508">
        <v>0.105</v>
      </c>
      <c r="T5147" s="508">
        <v>0.10199999999999999</v>
      </c>
      <c r="U5147" s="508">
        <v>0.107</v>
      </c>
      <c r="V5147" s="508">
        <v>8.8999999999999996E-2</v>
      </c>
      <c r="W5147" s="508">
        <v>9.1999999999999998E-2</v>
      </c>
      <c r="X5147" s="508">
        <v>9.0999999999999998E-2</v>
      </c>
      <c r="Y5147" s="508">
        <v>9.7000000000000003E-2</v>
      </c>
      <c r="Z5147" s="508">
        <v>9.4E-2</v>
      </c>
      <c r="AA5147" s="508">
        <v>0.105</v>
      </c>
      <c r="AB5147" s="508">
        <v>8.2000000000000003E-2</v>
      </c>
      <c r="AC5147" s="508">
        <v>0.106</v>
      </c>
      <c r="AD5147" s="508">
        <v>0.10100000000000001</v>
      </c>
      <c r="AE5147" s="508">
        <v>9.1999999999999998E-2</v>
      </c>
      <c r="AF5147" s="508">
        <v>9.1999999999999998E-2</v>
      </c>
      <c r="AG5147" s="508">
        <v>9.1999999999999998E-2</v>
      </c>
      <c r="AH5147" s="508">
        <v>9.1999999999999998E-2</v>
      </c>
      <c r="AI5147" s="492">
        <v>9.1999999999999998E-2</v>
      </c>
      <c r="AJ5147" s="485"/>
    </row>
    <row r="5148" spans="2:36">
      <c r="B5148" s="136" t="s">
        <v>461</v>
      </c>
      <c r="C5148" s="132" t="s">
        <v>1375</v>
      </c>
      <c r="D5148" s="132" t="s">
        <v>1379</v>
      </c>
      <c r="E5148" s="508">
        <v>0.13800000000000001</v>
      </c>
      <c r="F5148" s="508">
        <v>0.13200000000000001</v>
      </c>
      <c r="G5148" s="508">
        <v>0.124</v>
      </c>
      <c r="H5148" s="508">
        <v>0.124</v>
      </c>
      <c r="I5148" s="508">
        <v>0.121</v>
      </c>
      <c r="J5148" s="508">
        <v>0.11600000000000001</v>
      </c>
      <c r="K5148" s="508">
        <v>0.12</v>
      </c>
      <c r="L5148" s="508">
        <v>0.115</v>
      </c>
      <c r="M5148" s="508">
        <v>0.11600000000000001</v>
      </c>
      <c r="N5148" s="508">
        <v>0.105</v>
      </c>
      <c r="O5148" s="508">
        <v>0.105</v>
      </c>
      <c r="P5148" s="508">
        <v>0.107</v>
      </c>
      <c r="Q5148" s="508">
        <v>0.1</v>
      </c>
      <c r="R5148" s="508">
        <v>0.113</v>
      </c>
      <c r="S5148" s="508">
        <v>0.1</v>
      </c>
      <c r="T5148" s="508">
        <v>9.7000000000000003E-2</v>
      </c>
      <c r="U5148" s="508">
        <v>0.10199999999999999</v>
      </c>
      <c r="V5148" s="508">
        <v>8.5000000000000006E-2</v>
      </c>
      <c r="W5148" s="508">
        <v>8.7999999999999995E-2</v>
      </c>
      <c r="X5148" s="508">
        <v>8.6999999999999994E-2</v>
      </c>
      <c r="Y5148" s="508">
        <v>9.2999999999999999E-2</v>
      </c>
      <c r="Z5148" s="508">
        <v>0.09</v>
      </c>
      <c r="AA5148" s="508">
        <v>0.1</v>
      </c>
      <c r="AB5148" s="508">
        <v>7.8E-2</v>
      </c>
      <c r="AC5148" s="508">
        <v>0.10100000000000001</v>
      </c>
      <c r="AD5148" s="508">
        <v>9.7000000000000003E-2</v>
      </c>
      <c r="AE5148" s="508">
        <v>8.7999999999999995E-2</v>
      </c>
      <c r="AF5148" s="508">
        <v>8.7999999999999995E-2</v>
      </c>
      <c r="AG5148" s="508">
        <v>8.7999999999999995E-2</v>
      </c>
      <c r="AH5148" s="508">
        <v>8.7999999999999995E-2</v>
      </c>
      <c r="AI5148" s="492">
        <v>8.7999999999999995E-2</v>
      </c>
      <c r="AJ5148" s="485"/>
    </row>
    <row r="5149" spans="2:36">
      <c r="B5149" s="136" t="s">
        <v>462</v>
      </c>
      <c r="C5149" s="132" t="s">
        <v>1375</v>
      </c>
      <c r="D5149" s="132" t="s">
        <v>1379</v>
      </c>
      <c r="E5149" s="508">
        <v>0.13300000000000001</v>
      </c>
      <c r="F5149" s="508">
        <v>0.127</v>
      </c>
      <c r="G5149" s="508">
        <v>0.11899999999999999</v>
      </c>
      <c r="H5149" s="508">
        <v>0.11899999999999999</v>
      </c>
      <c r="I5149" s="508">
        <v>0.11700000000000001</v>
      </c>
      <c r="J5149" s="508">
        <v>0.112</v>
      </c>
      <c r="K5149" s="508">
        <v>0.11600000000000001</v>
      </c>
      <c r="L5149" s="508">
        <v>0.111</v>
      </c>
      <c r="M5149" s="508">
        <v>0.112</v>
      </c>
      <c r="N5149" s="508">
        <v>0.10100000000000001</v>
      </c>
      <c r="O5149" s="508">
        <v>0.10100000000000001</v>
      </c>
      <c r="P5149" s="508">
        <v>0.10299999999999999</v>
      </c>
      <c r="Q5149" s="508">
        <v>9.6000000000000002E-2</v>
      </c>
      <c r="R5149" s="508">
        <v>0.109</v>
      </c>
      <c r="S5149" s="508">
        <v>9.6000000000000002E-2</v>
      </c>
      <c r="T5149" s="508">
        <v>9.4E-2</v>
      </c>
      <c r="U5149" s="508">
        <v>9.9000000000000005E-2</v>
      </c>
      <c r="V5149" s="508">
        <v>8.2000000000000003E-2</v>
      </c>
      <c r="W5149" s="508">
        <v>8.5000000000000006E-2</v>
      </c>
      <c r="X5149" s="508">
        <v>8.4000000000000005E-2</v>
      </c>
      <c r="Y5149" s="508">
        <v>0.09</v>
      </c>
      <c r="Z5149" s="508">
        <v>8.6999999999999994E-2</v>
      </c>
      <c r="AA5149" s="508">
        <v>9.7000000000000003E-2</v>
      </c>
      <c r="AB5149" s="508">
        <v>7.5999999999999998E-2</v>
      </c>
      <c r="AC5149" s="508">
        <v>9.8000000000000004E-2</v>
      </c>
      <c r="AD5149" s="508">
        <v>9.2999999999999999E-2</v>
      </c>
      <c r="AE5149" s="508">
        <v>8.5000000000000006E-2</v>
      </c>
      <c r="AF5149" s="508">
        <v>8.5000000000000006E-2</v>
      </c>
      <c r="AG5149" s="508">
        <v>8.5000000000000006E-2</v>
      </c>
      <c r="AH5149" s="508">
        <v>8.5000000000000006E-2</v>
      </c>
      <c r="AI5149" s="492">
        <v>8.5000000000000006E-2</v>
      </c>
      <c r="AJ5149" s="485"/>
    </row>
    <row r="5150" spans="2:36">
      <c r="B5150" s="136" t="s">
        <v>463</v>
      </c>
      <c r="C5150" s="132" t="s">
        <v>1375</v>
      </c>
      <c r="D5150" s="132" t="s">
        <v>1379</v>
      </c>
      <c r="E5150" s="508">
        <v>0.11799999999999999</v>
      </c>
      <c r="F5150" s="508">
        <v>0.113</v>
      </c>
      <c r="G5150" s="508">
        <v>0.106</v>
      </c>
      <c r="H5150" s="508">
        <v>0.106</v>
      </c>
      <c r="I5150" s="508">
        <v>0.104</v>
      </c>
      <c r="J5150" s="508">
        <v>9.9000000000000005E-2</v>
      </c>
      <c r="K5150" s="508">
        <v>0.10299999999999999</v>
      </c>
      <c r="L5150" s="508">
        <v>9.8000000000000004E-2</v>
      </c>
      <c r="M5150" s="508">
        <v>9.9000000000000005E-2</v>
      </c>
      <c r="N5150" s="508">
        <v>0.09</v>
      </c>
      <c r="O5150" s="508">
        <v>0.09</v>
      </c>
      <c r="P5150" s="508">
        <v>9.1999999999999998E-2</v>
      </c>
      <c r="Q5150" s="508">
        <v>8.5999999999999993E-2</v>
      </c>
      <c r="R5150" s="508">
        <v>9.7000000000000003E-2</v>
      </c>
      <c r="S5150" s="508">
        <v>8.5999999999999993E-2</v>
      </c>
      <c r="T5150" s="508">
        <v>8.4000000000000005E-2</v>
      </c>
      <c r="U5150" s="508">
        <v>8.7999999999999995E-2</v>
      </c>
      <c r="V5150" s="508">
        <v>7.3999999999999996E-2</v>
      </c>
      <c r="W5150" s="508">
        <v>7.5999999999999998E-2</v>
      </c>
      <c r="X5150" s="508">
        <v>7.4999999999999997E-2</v>
      </c>
      <c r="Y5150" s="508">
        <v>0.08</v>
      </c>
      <c r="Z5150" s="508">
        <v>7.6999999999999999E-2</v>
      </c>
      <c r="AA5150" s="508">
        <v>8.5999999999999993E-2</v>
      </c>
      <c r="AB5150" s="508">
        <v>6.8000000000000005E-2</v>
      </c>
      <c r="AC5150" s="508">
        <v>8.6999999999999994E-2</v>
      </c>
      <c r="AD5150" s="508">
        <v>8.3000000000000004E-2</v>
      </c>
      <c r="AE5150" s="508">
        <v>7.5999999999999998E-2</v>
      </c>
      <c r="AF5150" s="508">
        <v>7.5999999999999998E-2</v>
      </c>
      <c r="AG5150" s="508">
        <v>7.5999999999999998E-2</v>
      </c>
      <c r="AH5150" s="508">
        <v>7.5999999999999998E-2</v>
      </c>
      <c r="AI5150" s="492">
        <v>7.5999999999999998E-2</v>
      </c>
      <c r="AJ5150" s="485"/>
    </row>
    <row r="5151" spans="2:36">
      <c r="B5151" s="136" t="s">
        <v>464</v>
      </c>
      <c r="C5151" s="132" t="s">
        <v>1375</v>
      </c>
      <c r="D5151" s="132" t="s">
        <v>1379</v>
      </c>
      <c r="E5151" s="508">
        <v>0.115</v>
      </c>
      <c r="F5151" s="508">
        <v>0.11</v>
      </c>
      <c r="G5151" s="508">
        <v>0.10299999999999999</v>
      </c>
      <c r="H5151" s="508">
        <v>0.10299999999999999</v>
      </c>
      <c r="I5151" s="508">
        <v>0.10100000000000001</v>
      </c>
      <c r="J5151" s="508">
        <v>9.7000000000000003E-2</v>
      </c>
      <c r="K5151" s="508">
        <v>0.1</v>
      </c>
      <c r="L5151" s="508">
        <v>9.6000000000000002E-2</v>
      </c>
      <c r="M5151" s="508">
        <v>9.7000000000000003E-2</v>
      </c>
      <c r="N5151" s="508">
        <v>8.7999999999999995E-2</v>
      </c>
      <c r="O5151" s="508">
        <v>8.7999999999999995E-2</v>
      </c>
      <c r="P5151" s="508">
        <v>0.09</v>
      </c>
      <c r="Q5151" s="508">
        <v>8.4000000000000005E-2</v>
      </c>
      <c r="R5151" s="508">
        <v>9.4E-2</v>
      </c>
      <c r="S5151" s="508">
        <v>8.4000000000000005E-2</v>
      </c>
      <c r="T5151" s="508">
        <v>8.2000000000000003E-2</v>
      </c>
      <c r="U5151" s="508">
        <v>8.5999999999999993E-2</v>
      </c>
      <c r="V5151" s="508">
        <v>7.1999999999999995E-2</v>
      </c>
      <c r="W5151" s="508">
        <v>7.3999999999999996E-2</v>
      </c>
      <c r="X5151" s="508">
        <v>7.3999999999999996E-2</v>
      </c>
      <c r="Y5151" s="508">
        <v>7.8E-2</v>
      </c>
      <c r="Z5151" s="508">
        <v>7.5999999999999998E-2</v>
      </c>
      <c r="AA5151" s="508">
        <v>8.4000000000000005E-2</v>
      </c>
      <c r="AB5151" s="508">
        <v>6.6000000000000003E-2</v>
      </c>
      <c r="AC5151" s="508">
        <v>8.5000000000000006E-2</v>
      </c>
      <c r="AD5151" s="508">
        <v>8.1000000000000003E-2</v>
      </c>
      <c r="AE5151" s="508">
        <v>7.3999999999999996E-2</v>
      </c>
      <c r="AF5151" s="508">
        <v>7.3999999999999996E-2</v>
      </c>
      <c r="AG5151" s="508">
        <v>7.3999999999999996E-2</v>
      </c>
      <c r="AH5151" s="508">
        <v>7.3999999999999996E-2</v>
      </c>
      <c r="AI5151" s="492">
        <v>7.3999999999999996E-2</v>
      </c>
      <c r="AJ5151" s="485"/>
    </row>
    <row r="5152" spans="2:36">
      <c r="B5152" s="136" t="s">
        <v>465</v>
      </c>
      <c r="C5152" s="132" t="s">
        <v>1375</v>
      </c>
      <c r="D5152" s="132" t="s">
        <v>1379</v>
      </c>
      <c r="E5152" s="508">
        <v>0.122</v>
      </c>
      <c r="F5152" s="508">
        <v>0.11700000000000001</v>
      </c>
      <c r="G5152" s="508">
        <v>0.11</v>
      </c>
      <c r="H5152" s="508">
        <v>0.11</v>
      </c>
      <c r="I5152" s="508">
        <v>0.108</v>
      </c>
      <c r="J5152" s="508">
        <v>0.10299999999999999</v>
      </c>
      <c r="K5152" s="508">
        <v>0.107</v>
      </c>
      <c r="L5152" s="508">
        <v>0.10199999999999999</v>
      </c>
      <c r="M5152" s="508">
        <v>0.10299999999999999</v>
      </c>
      <c r="N5152" s="508">
        <v>9.2999999999999999E-2</v>
      </c>
      <c r="O5152" s="508">
        <v>9.2999999999999999E-2</v>
      </c>
      <c r="P5152" s="508">
        <v>9.5000000000000001E-2</v>
      </c>
      <c r="Q5152" s="508">
        <v>8.8999999999999996E-2</v>
      </c>
      <c r="R5152" s="508">
        <v>0.1</v>
      </c>
      <c r="S5152" s="508">
        <v>8.8999999999999996E-2</v>
      </c>
      <c r="T5152" s="508">
        <v>8.6999999999999994E-2</v>
      </c>
      <c r="U5152" s="508">
        <v>9.0999999999999998E-2</v>
      </c>
      <c r="V5152" s="508">
        <v>7.5999999999999998E-2</v>
      </c>
      <c r="W5152" s="508">
        <v>7.8E-2</v>
      </c>
      <c r="X5152" s="508">
        <v>7.8E-2</v>
      </c>
      <c r="Y5152" s="508">
        <v>8.3000000000000004E-2</v>
      </c>
      <c r="Z5152" s="508">
        <v>0.08</v>
      </c>
      <c r="AA5152" s="508">
        <v>8.8999999999999996E-2</v>
      </c>
      <c r="AB5152" s="508">
        <v>7.0000000000000007E-2</v>
      </c>
      <c r="AC5152" s="508">
        <v>0.09</v>
      </c>
      <c r="AD5152" s="508">
        <v>8.5999999999999993E-2</v>
      </c>
      <c r="AE5152" s="508">
        <v>7.9000000000000001E-2</v>
      </c>
      <c r="AF5152" s="508">
        <v>7.9000000000000001E-2</v>
      </c>
      <c r="AG5152" s="508">
        <v>7.9000000000000001E-2</v>
      </c>
      <c r="AH5152" s="508">
        <v>7.9000000000000001E-2</v>
      </c>
      <c r="AI5152" s="492">
        <v>7.9000000000000001E-2</v>
      </c>
      <c r="AJ5152" s="485"/>
    </row>
    <row r="5153" spans="2:36">
      <c r="B5153" s="136" t="s">
        <v>466</v>
      </c>
      <c r="C5153" s="132" t="s">
        <v>1375</v>
      </c>
      <c r="D5153" s="132" t="s">
        <v>1379</v>
      </c>
      <c r="E5153" s="508">
        <v>0.16300000000000001</v>
      </c>
      <c r="F5153" s="508">
        <v>0.156</v>
      </c>
      <c r="G5153" s="508">
        <v>0.14599999999999999</v>
      </c>
      <c r="H5153" s="508">
        <v>0.14599999999999999</v>
      </c>
      <c r="I5153" s="508">
        <v>0.14299999999999999</v>
      </c>
      <c r="J5153" s="508">
        <v>0.13600000000000001</v>
      </c>
      <c r="K5153" s="508">
        <v>0.14099999999999999</v>
      </c>
      <c r="L5153" s="508">
        <v>0.13500000000000001</v>
      </c>
      <c r="M5153" s="508">
        <v>0.13600000000000001</v>
      </c>
      <c r="N5153" s="508">
        <v>0.124</v>
      </c>
      <c r="O5153" s="508">
        <v>0.123</v>
      </c>
      <c r="P5153" s="508">
        <v>0.126</v>
      </c>
      <c r="Q5153" s="508">
        <v>0.11700000000000001</v>
      </c>
      <c r="R5153" s="508">
        <v>0.13300000000000001</v>
      </c>
      <c r="S5153" s="508">
        <v>0.11700000000000001</v>
      </c>
      <c r="T5153" s="508">
        <v>0.114</v>
      </c>
      <c r="U5153" s="508">
        <v>0.12</v>
      </c>
      <c r="V5153" s="508">
        <v>0.1</v>
      </c>
      <c r="W5153" s="508">
        <v>0.10299999999999999</v>
      </c>
      <c r="X5153" s="508">
        <v>0.10199999999999999</v>
      </c>
      <c r="Y5153" s="508">
        <v>0.109</v>
      </c>
      <c r="Z5153" s="508">
        <v>0.105</v>
      </c>
      <c r="AA5153" s="508">
        <v>0.11799999999999999</v>
      </c>
      <c r="AB5153" s="508">
        <v>9.0999999999999998E-2</v>
      </c>
      <c r="AC5153" s="508">
        <v>0.11899999999999999</v>
      </c>
      <c r="AD5153" s="508">
        <v>0.114</v>
      </c>
      <c r="AE5153" s="508">
        <v>0.10299999999999999</v>
      </c>
      <c r="AF5153" s="508">
        <v>0.10299999999999999</v>
      </c>
      <c r="AG5153" s="508">
        <v>0.10299999999999999</v>
      </c>
      <c r="AH5153" s="508">
        <v>0.10299999999999999</v>
      </c>
      <c r="AI5153" s="492">
        <v>0.10299999999999999</v>
      </c>
      <c r="AJ5153" s="485"/>
    </row>
    <row r="5154" spans="2:36">
      <c r="B5154" s="136" t="s">
        <v>467</v>
      </c>
      <c r="C5154" s="132" t="s">
        <v>1375</v>
      </c>
      <c r="D5154" s="132" t="s">
        <v>1379</v>
      </c>
      <c r="E5154" s="508">
        <v>0.13500000000000001</v>
      </c>
      <c r="F5154" s="508">
        <v>0.129</v>
      </c>
      <c r="G5154" s="508">
        <v>0.121</v>
      </c>
      <c r="H5154" s="508">
        <v>0.121</v>
      </c>
      <c r="I5154" s="508">
        <v>0.11899999999999999</v>
      </c>
      <c r="J5154" s="508">
        <v>0.114</v>
      </c>
      <c r="K5154" s="508">
        <v>0.11799999999999999</v>
      </c>
      <c r="L5154" s="508">
        <v>0.113</v>
      </c>
      <c r="M5154" s="508">
        <v>0.113</v>
      </c>
      <c r="N5154" s="508">
        <v>0.10299999999999999</v>
      </c>
      <c r="O5154" s="508">
        <v>0.10299999999999999</v>
      </c>
      <c r="P5154" s="508">
        <v>0.105</v>
      </c>
      <c r="Q5154" s="508">
        <v>9.8000000000000004E-2</v>
      </c>
      <c r="R5154" s="508">
        <v>0.111</v>
      </c>
      <c r="S5154" s="508">
        <v>9.8000000000000004E-2</v>
      </c>
      <c r="T5154" s="508">
        <v>9.6000000000000002E-2</v>
      </c>
      <c r="U5154" s="508">
        <v>0.1</v>
      </c>
      <c r="V5154" s="508">
        <v>8.4000000000000005E-2</v>
      </c>
      <c r="W5154" s="508">
        <v>8.5999999999999993E-2</v>
      </c>
      <c r="X5154" s="508">
        <v>8.5999999999999993E-2</v>
      </c>
      <c r="Y5154" s="508">
        <v>9.0999999999999998E-2</v>
      </c>
      <c r="Z5154" s="508">
        <v>8.7999999999999995E-2</v>
      </c>
      <c r="AA5154" s="508">
        <v>9.8000000000000004E-2</v>
      </c>
      <c r="AB5154" s="508">
        <v>7.6999999999999999E-2</v>
      </c>
      <c r="AC5154" s="508">
        <v>0.1</v>
      </c>
      <c r="AD5154" s="508">
        <v>9.5000000000000001E-2</v>
      </c>
      <c r="AE5154" s="508">
        <v>8.6999999999999994E-2</v>
      </c>
      <c r="AF5154" s="508">
        <v>8.6999999999999994E-2</v>
      </c>
      <c r="AG5154" s="508">
        <v>8.6999999999999994E-2</v>
      </c>
      <c r="AH5154" s="508">
        <v>8.6999999999999994E-2</v>
      </c>
      <c r="AI5154" s="492">
        <v>8.6999999999999994E-2</v>
      </c>
      <c r="AJ5154" s="485"/>
    </row>
    <row r="5155" spans="2:36">
      <c r="B5155" s="136" t="s">
        <v>468</v>
      </c>
      <c r="C5155" s="132" t="s">
        <v>1375</v>
      </c>
      <c r="D5155" s="132" t="s">
        <v>1379</v>
      </c>
      <c r="E5155" s="508">
        <v>0.111</v>
      </c>
      <c r="F5155" s="508">
        <v>0.106</v>
      </c>
      <c r="G5155" s="508">
        <v>0.1</v>
      </c>
      <c r="H5155" s="508">
        <v>0.1</v>
      </c>
      <c r="I5155" s="508">
        <v>9.8000000000000004E-2</v>
      </c>
      <c r="J5155" s="508">
        <v>9.2999999999999999E-2</v>
      </c>
      <c r="K5155" s="508">
        <v>9.7000000000000003E-2</v>
      </c>
      <c r="L5155" s="508">
        <v>9.2999999999999999E-2</v>
      </c>
      <c r="M5155" s="508">
        <v>9.2999999999999999E-2</v>
      </c>
      <c r="N5155" s="508">
        <v>8.5000000000000006E-2</v>
      </c>
      <c r="O5155" s="508">
        <v>8.5000000000000006E-2</v>
      </c>
      <c r="P5155" s="508">
        <v>8.6999999999999994E-2</v>
      </c>
      <c r="Q5155" s="508">
        <v>8.1000000000000003E-2</v>
      </c>
      <c r="R5155" s="508">
        <v>9.0999999999999998E-2</v>
      </c>
      <c r="S5155" s="508">
        <v>8.1000000000000003E-2</v>
      </c>
      <c r="T5155" s="508">
        <v>7.9000000000000001E-2</v>
      </c>
      <c r="U5155" s="508">
        <v>8.3000000000000004E-2</v>
      </c>
      <c r="V5155" s="508">
        <v>7.0000000000000007E-2</v>
      </c>
      <c r="W5155" s="508">
        <v>7.0999999999999994E-2</v>
      </c>
      <c r="X5155" s="508">
        <v>7.0999999999999994E-2</v>
      </c>
      <c r="Y5155" s="508">
        <v>7.4999999999999997E-2</v>
      </c>
      <c r="Z5155" s="508">
        <v>7.2999999999999995E-2</v>
      </c>
      <c r="AA5155" s="508">
        <v>8.1000000000000003E-2</v>
      </c>
      <c r="AB5155" s="508">
        <v>6.4000000000000001E-2</v>
      </c>
      <c r="AC5155" s="508">
        <v>8.2000000000000003E-2</v>
      </c>
      <c r="AD5155" s="508">
        <v>7.9000000000000001E-2</v>
      </c>
      <c r="AE5155" s="508">
        <v>7.1999999999999995E-2</v>
      </c>
      <c r="AF5155" s="508">
        <v>7.1999999999999995E-2</v>
      </c>
      <c r="AG5155" s="508">
        <v>7.1999999999999995E-2</v>
      </c>
      <c r="AH5155" s="508">
        <v>7.1999999999999995E-2</v>
      </c>
      <c r="AI5155" s="492">
        <v>7.1999999999999995E-2</v>
      </c>
      <c r="AJ5155" s="485"/>
    </row>
    <row r="5156" spans="2:36">
      <c r="B5156" s="136" t="s">
        <v>469</v>
      </c>
      <c r="C5156" s="132" t="s">
        <v>1375</v>
      </c>
      <c r="D5156" s="132" t="s">
        <v>1379</v>
      </c>
      <c r="E5156" s="508">
        <v>0.127</v>
      </c>
      <c r="F5156" s="508">
        <v>0.122</v>
      </c>
      <c r="G5156" s="508">
        <v>0.114</v>
      </c>
      <c r="H5156" s="508">
        <v>0.114</v>
      </c>
      <c r="I5156" s="508">
        <v>0.112</v>
      </c>
      <c r="J5156" s="508">
        <v>0.107</v>
      </c>
      <c r="K5156" s="508">
        <v>0.111</v>
      </c>
      <c r="L5156" s="508">
        <v>0.106</v>
      </c>
      <c r="M5156" s="508">
        <v>0.107</v>
      </c>
      <c r="N5156" s="508">
        <v>9.7000000000000003E-2</v>
      </c>
      <c r="O5156" s="508">
        <v>9.7000000000000003E-2</v>
      </c>
      <c r="P5156" s="508">
        <v>9.9000000000000005E-2</v>
      </c>
      <c r="Q5156" s="508">
        <v>9.1999999999999998E-2</v>
      </c>
      <c r="R5156" s="508">
        <v>0.104</v>
      </c>
      <c r="S5156" s="508">
        <v>9.1999999999999998E-2</v>
      </c>
      <c r="T5156" s="508">
        <v>0.09</v>
      </c>
      <c r="U5156" s="508">
        <v>9.5000000000000001E-2</v>
      </c>
      <c r="V5156" s="508">
        <v>7.9000000000000001E-2</v>
      </c>
      <c r="W5156" s="508">
        <v>8.1000000000000003E-2</v>
      </c>
      <c r="X5156" s="508">
        <v>8.1000000000000003E-2</v>
      </c>
      <c r="Y5156" s="508">
        <v>8.5999999999999993E-2</v>
      </c>
      <c r="Z5156" s="508">
        <v>8.3000000000000004E-2</v>
      </c>
      <c r="AA5156" s="508">
        <v>9.2999999999999999E-2</v>
      </c>
      <c r="AB5156" s="508">
        <v>7.2999999999999995E-2</v>
      </c>
      <c r="AC5156" s="508">
        <v>9.4E-2</v>
      </c>
      <c r="AD5156" s="508">
        <v>0.09</v>
      </c>
      <c r="AE5156" s="508">
        <v>8.2000000000000003E-2</v>
      </c>
      <c r="AF5156" s="508">
        <v>8.2000000000000003E-2</v>
      </c>
      <c r="AG5156" s="508">
        <v>8.2000000000000003E-2</v>
      </c>
      <c r="AH5156" s="508">
        <v>8.2000000000000003E-2</v>
      </c>
      <c r="AI5156" s="492">
        <v>8.2000000000000003E-2</v>
      </c>
      <c r="AJ5156" s="485"/>
    </row>
    <row r="5157" spans="2:36">
      <c r="B5157" s="136" t="s">
        <v>470</v>
      </c>
      <c r="C5157" s="132" t="s">
        <v>1375</v>
      </c>
      <c r="D5157" s="132" t="s">
        <v>1379</v>
      </c>
      <c r="E5157" s="508">
        <v>0.152</v>
      </c>
      <c r="F5157" s="508">
        <v>0.14499999999999999</v>
      </c>
      <c r="G5157" s="508">
        <v>0.13600000000000001</v>
      </c>
      <c r="H5157" s="508">
        <v>0.13600000000000001</v>
      </c>
      <c r="I5157" s="508">
        <v>0.13400000000000001</v>
      </c>
      <c r="J5157" s="508">
        <v>0.127</v>
      </c>
      <c r="K5157" s="508">
        <v>0.13200000000000001</v>
      </c>
      <c r="L5157" s="508">
        <v>0.126</v>
      </c>
      <c r="M5157" s="508">
        <v>0.127</v>
      </c>
      <c r="N5157" s="508">
        <v>0.11600000000000001</v>
      </c>
      <c r="O5157" s="508">
        <v>0.115</v>
      </c>
      <c r="P5157" s="508">
        <v>0.11799999999999999</v>
      </c>
      <c r="Q5157" s="508">
        <v>0.11</v>
      </c>
      <c r="R5157" s="508">
        <v>0.124</v>
      </c>
      <c r="S5157" s="508">
        <v>0.11</v>
      </c>
      <c r="T5157" s="508">
        <v>0.107</v>
      </c>
      <c r="U5157" s="508">
        <v>0.112</v>
      </c>
      <c r="V5157" s="508">
        <v>9.2999999999999999E-2</v>
      </c>
      <c r="W5157" s="508">
        <v>9.6000000000000002E-2</v>
      </c>
      <c r="X5157" s="508">
        <v>9.6000000000000002E-2</v>
      </c>
      <c r="Y5157" s="508">
        <v>0.10199999999999999</v>
      </c>
      <c r="Z5157" s="508">
        <v>9.8000000000000004E-2</v>
      </c>
      <c r="AA5157" s="508">
        <v>0.11</v>
      </c>
      <c r="AB5157" s="508">
        <v>8.5999999999999993E-2</v>
      </c>
      <c r="AC5157" s="508">
        <v>0.112</v>
      </c>
      <c r="AD5157" s="508">
        <v>0.106</v>
      </c>
      <c r="AE5157" s="508">
        <v>9.7000000000000003E-2</v>
      </c>
      <c r="AF5157" s="508">
        <v>9.7000000000000003E-2</v>
      </c>
      <c r="AG5157" s="508">
        <v>9.7000000000000003E-2</v>
      </c>
      <c r="AH5157" s="508">
        <v>9.7000000000000003E-2</v>
      </c>
      <c r="AI5157" s="492">
        <v>9.7000000000000003E-2</v>
      </c>
      <c r="AJ5157" s="485"/>
    </row>
    <row r="5158" spans="2:36">
      <c r="B5158" s="136" t="s">
        <v>471</v>
      </c>
      <c r="C5158" s="132" t="s">
        <v>1375</v>
      </c>
      <c r="D5158" s="132" t="s">
        <v>1379</v>
      </c>
      <c r="E5158" s="508">
        <v>0.14499999999999999</v>
      </c>
      <c r="F5158" s="508">
        <v>0.13900000000000001</v>
      </c>
      <c r="G5158" s="508">
        <v>0.13</v>
      </c>
      <c r="H5158" s="508">
        <v>0.13</v>
      </c>
      <c r="I5158" s="508">
        <v>0.128</v>
      </c>
      <c r="J5158" s="508">
        <v>0.122</v>
      </c>
      <c r="K5158" s="508">
        <v>0.126</v>
      </c>
      <c r="L5158" s="508">
        <v>0.121</v>
      </c>
      <c r="M5158" s="508">
        <v>0.122</v>
      </c>
      <c r="N5158" s="508">
        <v>0.11</v>
      </c>
      <c r="O5158" s="508">
        <v>0.11</v>
      </c>
      <c r="P5158" s="508">
        <v>0.113</v>
      </c>
      <c r="Q5158" s="508">
        <v>0.105</v>
      </c>
      <c r="R5158" s="508">
        <v>0.11799999999999999</v>
      </c>
      <c r="S5158" s="508">
        <v>0.105</v>
      </c>
      <c r="T5158" s="508">
        <v>0.10199999999999999</v>
      </c>
      <c r="U5158" s="508">
        <v>0.107</v>
      </c>
      <c r="V5158" s="508">
        <v>8.8999999999999996E-2</v>
      </c>
      <c r="W5158" s="508">
        <v>9.1999999999999998E-2</v>
      </c>
      <c r="X5158" s="508">
        <v>9.1999999999999998E-2</v>
      </c>
      <c r="Y5158" s="508">
        <v>9.7000000000000003E-2</v>
      </c>
      <c r="Z5158" s="508">
        <v>9.4E-2</v>
      </c>
      <c r="AA5158" s="508">
        <v>0.105</v>
      </c>
      <c r="AB5158" s="508">
        <v>8.2000000000000003E-2</v>
      </c>
      <c r="AC5158" s="508">
        <v>0.107</v>
      </c>
      <c r="AD5158" s="508">
        <v>0.10199999999999999</v>
      </c>
      <c r="AE5158" s="508">
        <v>9.1999999999999998E-2</v>
      </c>
      <c r="AF5158" s="508">
        <v>9.1999999999999998E-2</v>
      </c>
      <c r="AG5158" s="508">
        <v>9.1999999999999998E-2</v>
      </c>
      <c r="AH5158" s="508">
        <v>9.1999999999999998E-2</v>
      </c>
      <c r="AI5158" s="492">
        <v>9.1999999999999998E-2</v>
      </c>
      <c r="AJ5158" s="485"/>
    </row>
    <row r="5159" spans="2:36">
      <c r="B5159" s="136" t="s">
        <v>472</v>
      </c>
      <c r="C5159" s="132" t="s">
        <v>1375</v>
      </c>
      <c r="D5159" s="132" t="s">
        <v>1379</v>
      </c>
      <c r="E5159" s="508">
        <v>0.11600000000000001</v>
      </c>
      <c r="F5159" s="508">
        <v>0.111</v>
      </c>
      <c r="G5159" s="508">
        <v>0.104</v>
      </c>
      <c r="H5159" s="508">
        <v>0.104</v>
      </c>
      <c r="I5159" s="508">
        <v>0.10299999999999999</v>
      </c>
      <c r="J5159" s="508">
        <v>9.8000000000000004E-2</v>
      </c>
      <c r="K5159" s="508">
        <v>0.10199999999999999</v>
      </c>
      <c r="L5159" s="508">
        <v>9.7000000000000003E-2</v>
      </c>
      <c r="M5159" s="508">
        <v>9.8000000000000004E-2</v>
      </c>
      <c r="N5159" s="508">
        <v>8.8999999999999996E-2</v>
      </c>
      <c r="O5159" s="508">
        <v>8.8999999999999996E-2</v>
      </c>
      <c r="P5159" s="508">
        <v>9.0999999999999998E-2</v>
      </c>
      <c r="Q5159" s="508">
        <v>8.5000000000000006E-2</v>
      </c>
      <c r="R5159" s="508">
        <v>9.6000000000000002E-2</v>
      </c>
      <c r="S5159" s="508">
        <v>8.5000000000000006E-2</v>
      </c>
      <c r="T5159" s="508">
        <v>8.3000000000000004E-2</v>
      </c>
      <c r="U5159" s="508">
        <v>8.6999999999999994E-2</v>
      </c>
      <c r="V5159" s="508">
        <v>7.2999999999999995E-2</v>
      </c>
      <c r="W5159" s="508">
        <v>7.4999999999999997E-2</v>
      </c>
      <c r="X5159" s="508">
        <v>7.4999999999999997E-2</v>
      </c>
      <c r="Y5159" s="508">
        <v>7.9000000000000001E-2</v>
      </c>
      <c r="Z5159" s="508">
        <v>7.6999999999999999E-2</v>
      </c>
      <c r="AA5159" s="508">
        <v>8.5000000000000006E-2</v>
      </c>
      <c r="AB5159" s="508">
        <v>6.7000000000000004E-2</v>
      </c>
      <c r="AC5159" s="508">
        <v>8.5999999999999993E-2</v>
      </c>
      <c r="AD5159" s="508">
        <v>8.2000000000000003E-2</v>
      </c>
      <c r="AE5159" s="508">
        <v>7.4999999999999997E-2</v>
      </c>
      <c r="AF5159" s="508">
        <v>7.4999999999999997E-2</v>
      </c>
      <c r="AG5159" s="508">
        <v>7.4999999999999997E-2</v>
      </c>
      <c r="AH5159" s="508">
        <v>7.4999999999999997E-2</v>
      </c>
      <c r="AI5159" s="492">
        <v>7.4999999999999997E-2</v>
      </c>
      <c r="AJ5159" s="485"/>
    </row>
    <row r="5160" spans="2:36">
      <c r="B5160" s="136" t="s">
        <v>473</v>
      </c>
      <c r="C5160" s="132" t="s">
        <v>1375</v>
      </c>
      <c r="D5160" s="132" t="s">
        <v>1379</v>
      </c>
      <c r="E5160" s="508">
        <v>0.155</v>
      </c>
      <c r="F5160" s="508">
        <v>0.14799999999999999</v>
      </c>
      <c r="G5160" s="508">
        <v>0.13900000000000001</v>
      </c>
      <c r="H5160" s="508">
        <v>0.13900000000000001</v>
      </c>
      <c r="I5160" s="508">
        <v>0.13600000000000001</v>
      </c>
      <c r="J5160" s="508">
        <v>0.13</v>
      </c>
      <c r="K5160" s="508">
        <v>0.13400000000000001</v>
      </c>
      <c r="L5160" s="508">
        <v>0.129</v>
      </c>
      <c r="M5160" s="508">
        <v>0.13</v>
      </c>
      <c r="N5160" s="508">
        <v>0.11799999999999999</v>
      </c>
      <c r="O5160" s="508">
        <v>0.11700000000000001</v>
      </c>
      <c r="P5160" s="508">
        <v>0.12</v>
      </c>
      <c r="Q5160" s="508">
        <v>0.112</v>
      </c>
      <c r="R5160" s="508">
        <v>0.126</v>
      </c>
      <c r="S5160" s="508">
        <v>0.112</v>
      </c>
      <c r="T5160" s="508">
        <v>0.109</v>
      </c>
      <c r="U5160" s="508">
        <v>0.114</v>
      </c>
      <c r="V5160" s="508">
        <v>9.5000000000000001E-2</v>
      </c>
      <c r="W5160" s="508">
        <v>9.8000000000000004E-2</v>
      </c>
      <c r="X5160" s="508">
        <v>9.7000000000000003E-2</v>
      </c>
      <c r="Y5160" s="508">
        <v>0.104</v>
      </c>
      <c r="Z5160" s="508">
        <v>0.1</v>
      </c>
      <c r="AA5160" s="508">
        <v>0.112</v>
      </c>
      <c r="AB5160" s="508">
        <v>8.6999999999999994E-2</v>
      </c>
      <c r="AC5160" s="508">
        <v>0.114</v>
      </c>
      <c r="AD5160" s="508">
        <v>0.108</v>
      </c>
      <c r="AE5160" s="508">
        <v>9.8000000000000004E-2</v>
      </c>
      <c r="AF5160" s="508">
        <v>9.8000000000000004E-2</v>
      </c>
      <c r="AG5160" s="508">
        <v>9.8000000000000004E-2</v>
      </c>
      <c r="AH5160" s="508">
        <v>9.8000000000000004E-2</v>
      </c>
      <c r="AI5160" s="492">
        <v>9.8000000000000004E-2</v>
      </c>
      <c r="AJ5160" s="485"/>
    </row>
    <row r="5161" spans="2:36">
      <c r="B5161" s="136" t="s">
        <v>474</v>
      </c>
      <c r="C5161" s="132" t="s">
        <v>1375</v>
      </c>
      <c r="D5161" s="132" t="s">
        <v>1379</v>
      </c>
      <c r="E5161" s="508">
        <v>0.13900000000000001</v>
      </c>
      <c r="F5161" s="508">
        <v>0.13300000000000001</v>
      </c>
      <c r="G5161" s="508">
        <v>0.125</v>
      </c>
      <c r="H5161" s="508">
        <v>0.125</v>
      </c>
      <c r="I5161" s="508">
        <v>0.123</v>
      </c>
      <c r="J5161" s="508">
        <v>0.11700000000000001</v>
      </c>
      <c r="K5161" s="508">
        <v>0.121</v>
      </c>
      <c r="L5161" s="508">
        <v>0.11600000000000001</v>
      </c>
      <c r="M5161" s="508">
        <v>0.11700000000000001</v>
      </c>
      <c r="N5161" s="508">
        <v>0.106</v>
      </c>
      <c r="O5161" s="508">
        <v>0.106</v>
      </c>
      <c r="P5161" s="508">
        <v>0.108</v>
      </c>
      <c r="Q5161" s="508">
        <v>0.10100000000000001</v>
      </c>
      <c r="R5161" s="508">
        <v>0.114</v>
      </c>
      <c r="S5161" s="508">
        <v>0.10100000000000001</v>
      </c>
      <c r="T5161" s="508">
        <v>9.8000000000000004E-2</v>
      </c>
      <c r="U5161" s="508">
        <v>0.10299999999999999</v>
      </c>
      <c r="V5161" s="508">
        <v>8.5999999999999993E-2</v>
      </c>
      <c r="W5161" s="508">
        <v>8.7999999999999995E-2</v>
      </c>
      <c r="X5161" s="508">
        <v>8.7999999999999995E-2</v>
      </c>
      <c r="Y5161" s="508">
        <v>9.2999999999999999E-2</v>
      </c>
      <c r="Z5161" s="508">
        <v>0.09</v>
      </c>
      <c r="AA5161" s="508">
        <v>0.10100000000000001</v>
      </c>
      <c r="AB5161" s="508">
        <v>7.9000000000000001E-2</v>
      </c>
      <c r="AC5161" s="508">
        <v>0.10199999999999999</v>
      </c>
      <c r="AD5161" s="508">
        <v>9.8000000000000004E-2</v>
      </c>
      <c r="AE5161" s="508">
        <v>8.8999999999999996E-2</v>
      </c>
      <c r="AF5161" s="508">
        <v>8.8999999999999996E-2</v>
      </c>
      <c r="AG5161" s="508">
        <v>8.8999999999999996E-2</v>
      </c>
      <c r="AH5161" s="508">
        <v>8.8999999999999996E-2</v>
      </c>
      <c r="AI5161" s="492">
        <v>8.8999999999999996E-2</v>
      </c>
      <c r="AJ5161" s="485"/>
    </row>
    <row r="5162" spans="2:36">
      <c r="B5162" s="136" t="s">
        <v>475</v>
      </c>
      <c r="C5162" s="132" t="s">
        <v>1375</v>
      </c>
      <c r="D5162" s="132" t="s">
        <v>1379</v>
      </c>
      <c r="E5162" s="508">
        <v>0.13300000000000001</v>
      </c>
      <c r="F5162" s="508">
        <v>0.127</v>
      </c>
      <c r="G5162" s="508">
        <v>0.11899999999999999</v>
      </c>
      <c r="H5162" s="508">
        <v>0.11899999999999999</v>
      </c>
      <c r="I5162" s="508">
        <v>0.11700000000000001</v>
      </c>
      <c r="J5162" s="508">
        <v>0.112</v>
      </c>
      <c r="K5162" s="508">
        <v>0.11600000000000001</v>
      </c>
      <c r="L5162" s="508">
        <v>0.111</v>
      </c>
      <c r="M5162" s="508">
        <v>0.111</v>
      </c>
      <c r="N5162" s="508">
        <v>0.10100000000000001</v>
      </c>
      <c r="O5162" s="508">
        <v>0.10100000000000001</v>
      </c>
      <c r="P5162" s="508">
        <v>0.10299999999999999</v>
      </c>
      <c r="Q5162" s="508">
        <v>9.6000000000000002E-2</v>
      </c>
      <c r="R5162" s="508">
        <v>0.109</v>
      </c>
      <c r="S5162" s="508">
        <v>9.6000000000000002E-2</v>
      </c>
      <c r="T5162" s="508">
        <v>9.4E-2</v>
      </c>
      <c r="U5162" s="508">
        <v>9.9000000000000005E-2</v>
      </c>
      <c r="V5162" s="508">
        <v>8.2000000000000003E-2</v>
      </c>
      <c r="W5162" s="508">
        <v>8.5000000000000006E-2</v>
      </c>
      <c r="X5162" s="508">
        <v>8.4000000000000005E-2</v>
      </c>
      <c r="Y5162" s="508">
        <v>8.8999999999999996E-2</v>
      </c>
      <c r="Z5162" s="508">
        <v>8.6999999999999994E-2</v>
      </c>
      <c r="AA5162" s="508">
        <v>9.7000000000000003E-2</v>
      </c>
      <c r="AB5162" s="508">
        <v>7.5999999999999998E-2</v>
      </c>
      <c r="AC5162" s="508">
        <v>9.8000000000000004E-2</v>
      </c>
      <c r="AD5162" s="508">
        <v>9.2999999999999999E-2</v>
      </c>
      <c r="AE5162" s="508">
        <v>8.5000000000000006E-2</v>
      </c>
      <c r="AF5162" s="508">
        <v>8.5000000000000006E-2</v>
      </c>
      <c r="AG5162" s="508">
        <v>8.5000000000000006E-2</v>
      </c>
      <c r="AH5162" s="508">
        <v>8.5000000000000006E-2</v>
      </c>
      <c r="AI5162" s="492">
        <v>8.5000000000000006E-2</v>
      </c>
      <c r="AJ5162" s="485"/>
    </row>
    <row r="5163" spans="2:36">
      <c r="B5163" s="136" t="s">
        <v>476</v>
      </c>
      <c r="C5163" s="132" t="s">
        <v>1375</v>
      </c>
      <c r="D5163" s="132" t="s">
        <v>1379</v>
      </c>
      <c r="E5163" s="508">
        <v>0.14499999999999999</v>
      </c>
      <c r="F5163" s="508">
        <v>0.13900000000000001</v>
      </c>
      <c r="G5163" s="508">
        <v>0.13</v>
      </c>
      <c r="H5163" s="508">
        <v>0.13</v>
      </c>
      <c r="I5163" s="508">
        <v>0.128</v>
      </c>
      <c r="J5163" s="508">
        <v>0.122</v>
      </c>
      <c r="K5163" s="508">
        <v>0.126</v>
      </c>
      <c r="L5163" s="508">
        <v>0.121</v>
      </c>
      <c r="M5163" s="508">
        <v>0.122</v>
      </c>
      <c r="N5163" s="508">
        <v>0.111</v>
      </c>
      <c r="O5163" s="508">
        <v>0.11</v>
      </c>
      <c r="P5163" s="508">
        <v>0.113</v>
      </c>
      <c r="Q5163" s="508">
        <v>0.105</v>
      </c>
      <c r="R5163" s="508">
        <v>0.11799999999999999</v>
      </c>
      <c r="S5163" s="508">
        <v>0.105</v>
      </c>
      <c r="T5163" s="508">
        <v>0.10199999999999999</v>
      </c>
      <c r="U5163" s="508">
        <v>0.107</v>
      </c>
      <c r="V5163" s="508">
        <v>8.8999999999999996E-2</v>
      </c>
      <c r="W5163" s="508">
        <v>9.1999999999999998E-2</v>
      </c>
      <c r="X5163" s="508">
        <v>9.1999999999999998E-2</v>
      </c>
      <c r="Y5163" s="508">
        <v>9.7000000000000003E-2</v>
      </c>
      <c r="Z5163" s="508">
        <v>9.4E-2</v>
      </c>
      <c r="AA5163" s="508">
        <v>0.105</v>
      </c>
      <c r="AB5163" s="508">
        <v>8.2000000000000003E-2</v>
      </c>
      <c r="AC5163" s="508">
        <v>0.107</v>
      </c>
      <c r="AD5163" s="508">
        <v>0.10199999999999999</v>
      </c>
      <c r="AE5163" s="508">
        <v>9.1999999999999998E-2</v>
      </c>
      <c r="AF5163" s="508">
        <v>9.1999999999999998E-2</v>
      </c>
      <c r="AG5163" s="508">
        <v>9.1999999999999998E-2</v>
      </c>
      <c r="AH5163" s="508">
        <v>9.1999999999999998E-2</v>
      </c>
      <c r="AI5163" s="492">
        <v>9.1999999999999998E-2</v>
      </c>
      <c r="AJ5163" s="485"/>
    </row>
    <row r="5164" spans="2:36">
      <c r="B5164" s="136" t="s">
        <v>478</v>
      </c>
      <c r="C5164" s="132" t="s">
        <v>1375</v>
      </c>
      <c r="D5164" s="132" t="s">
        <v>1379</v>
      </c>
      <c r="E5164" s="508">
        <v>0.156</v>
      </c>
      <c r="F5164" s="508">
        <v>0.14899999999999999</v>
      </c>
      <c r="G5164" s="508">
        <v>0.14000000000000001</v>
      </c>
      <c r="H5164" s="508">
        <v>0.14000000000000001</v>
      </c>
      <c r="I5164" s="508">
        <v>0.13700000000000001</v>
      </c>
      <c r="J5164" s="508">
        <v>0.13100000000000001</v>
      </c>
      <c r="K5164" s="508">
        <v>0.13500000000000001</v>
      </c>
      <c r="L5164" s="508">
        <v>0.13</v>
      </c>
      <c r="M5164" s="508">
        <v>0.13100000000000001</v>
      </c>
      <c r="N5164" s="508">
        <v>0.11899999999999999</v>
      </c>
      <c r="O5164" s="508">
        <v>0.11799999999999999</v>
      </c>
      <c r="P5164" s="508">
        <v>0.121</v>
      </c>
      <c r="Q5164" s="508">
        <v>0.112</v>
      </c>
      <c r="R5164" s="508">
        <v>0.127</v>
      </c>
      <c r="S5164" s="508">
        <v>0.112</v>
      </c>
      <c r="T5164" s="508">
        <v>0.11</v>
      </c>
      <c r="U5164" s="508">
        <v>0.115</v>
      </c>
      <c r="V5164" s="508">
        <v>9.6000000000000002E-2</v>
      </c>
      <c r="W5164" s="508">
        <v>9.8000000000000004E-2</v>
      </c>
      <c r="X5164" s="508">
        <v>9.8000000000000004E-2</v>
      </c>
      <c r="Y5164" s="508">
        <v>0.104</v>
      </c>
      <c r="Z5164" s="508">
        <v>0.10100000000000001</v>
      </c>
      <c r="AA5164" s="508">
        <v>0.113</v>
      </c>
      <c r="AB5164" s="508">
        <v>8.6999999999999994E-2</v>
      </c>
      <c r="AC5164" s="508">
        <v>0.114</v>
      </c>
      <c r="AD5164" s="508">
        <v>0.109</v>
      </c>
      <c r="AE5164" s="508">
        <v>9.9000000000000005E-2</v>
      </c>
      <c r="AF5164" s="508">
        <v>9.9000000000000005E-2</v>
      </c>
      <c r="AG5164" s="508">
        <v>9.9000000000000005E-2</v>
      </c>
      <c r="AH5164" s="508">
        <v>9.9000000000000005E-2</v>
      </c>
      <c r="AI5164" s="492">
        <v>9.9000000000000005E-2</v>
      </c>
      <c r="AJ5164" s="485"/>
    </row>
    <row r="5165" spans="2:36">
      <c r="B5165" s="136" t="s">
        <v>479</v>
      </c>
      <c r="C5165" s="132" t="s">
        <v>1375</v>
      </c>
      <c r="D5165" s="132" t="s">
        <v>1379</v>
      </c>
      <c r="E5165" s="508">
        <v>0.13400000000000001</v>
      </c>
      <c r="F5165" s="508">
        <v>0.129</v>
      </c>
      <c r="G5165" s="508">
        <v>0.121</v>
      </c>
      <c r="H5165" s="508">
        <v>0.121</v>
      </c>
      <c r="I5165" s="508">
        <v>0.11899999999999999</v>
      </c>
      <c r="J5165" s="508">
        <v>0.113</v>
      </c>
      <c r="K5165" s="508">
        <v>0.11700000000000001</v>
      </c>
      <c r="L5165" s="508">
        <v>0.112</v>
      </c>
      <c r="M5165" s="508">
        <v>0.113</v>
      </c>
      <c r="N5165" s="508">
        <v>0.10299999999999999</v>
      </c>
      <c r="O5165" s="508">
        <v>0.10199999999999999</v>
      </c>
      <c r="P5165" s="508">
        <v>0.105</v>
      </c>
      <c r="Q5165" s="508">
        <v>9.8000000000000004E-2</v>
      </c>
      <c r="R5165" s="508">
        <v>0.11</v>
      </c>
      <c r="S5165" s="508">
        <v>9.7000000000000003E-2</v>
      </c>
      <c r="T5165" s="508">
        <v>9.5000000000000001E-2</v>
      </c>
      <c r="U5165" s="508">
        <v>0.1</v>
      </c>
      <c r="V5165" s="508">
        <v>8.3000000000000004E-2</v>
      </c>
      <c r="W5165" s="508">
        <v>8.5999999999999993E-2</v>
      </c>
      <c r="X5165" s="508">
        <v>8.5000000000000006E-2</v>
      </c>
      <c r="Y5165" s="508">
        <v>9.0999999999999998E-2</v>
      </c>
      <c r="Z5165" s="508">
        <v>8.7999999999999995E-2</v>
      </c>
      <c r="AA5165" s="508">
        <v>9.8000000000000004E-2</v>
      </c>
      <c r="AB5165" s="508">
        <v>7.5999999999999998E-2</v>
      </c>
      <c r="AC5165" s="508">
        <v>9.9000000000000005E-2</v>
      </c>
      <c r="AD5165" s="508">
        <v>9.4E-2</v>
      </c>
      <c r="AE5165" s="508">
        <v>8.5999999999999993E-2</v>
      </c>
      <c r="AF5165" s="508">
        <v>8.5999999999999993E-2</v>
      </c>
      <c r="AG5165" s="508">
        <v>8.5999999999999993E-2</v>
      </c>
      <c r="AH5165" s="508">
        <v>8.5999999999999993E-2</v>
      </c>
      <c r="AI5165" s="492">
        <v>8.5999999999999993E-2</v>
      </c>
      <c r="AJ5165" s="485"/>
    </row>
    <row r="5166" spans="2:36">
      <c r="B5166" s="136" t="s">
        <v>480</v>
      </c>
      <c r="C5166" s="132" t="s">
        <v>1375</v>
      </c>
      <c r="D5166" s="132" t="s">
        <v>1379</v>
      </c>
      <c r="E5166" s="508">
        <v>0.111</v>
      </c>
      <c r="F5166" s="508">
        <v>0.106</v>
      </c>
      <c r="G5166" s="508">
        <v>0.1</v>
      </c>
      <c r="H5166" s="508">
        <v>0.1</v>
      </c>
      <c r="I5166" s="508">
        <v>9.8000000000000004E-2</v>
      </c>
      <c r="J5166" s="508">
        <v>9.4E-2</v>
      </c>
      <c r="K5166" s="508">
        <v>9.7000000000000003E-2</v>
      </c>
      <c r="L5166" s="508">
        <v>9.2999999999999999E-2</v>
      </c>
      <c r="M5166" s="508">
        <v>9.2999999999999999E-2</v>
      </c>
      <c r="N5166" s="508">
        <v>8.5000000000000006E-2</v>
      </c>
      <c r="O5166" s="508">
        <v>8.5000000000000006E-2</v>
      </c>
      <c r="P5166" s="508">
        <v>8.6999999999999994E-2</v>
      </c>
      <c r="Q5166" s="508">
        <v>8.1000000000000003E-2</v>
      </c>
      <c r="R5166" s="508">
        <v>9.0999999999999998E-2</v>
      </c>
      <c r="S5166" s="508">
        <v>8.1000000000000003E-2</v>
      </c>
      <c r="T5166" s="508">
        <v>7.9000000000000001E-2</v>
      </c>
      <c r="U5166" s="508">
        <v>8.3000000000000004E-2</v>
      </c>
      <c r="V5166" s="508">
        <v>7.0000000000000007E-2</v>
      </c>
      <c r="W5166" s="508">
        <v>7.1999999999999995E-2</v>
      </c>
      <c r="X5166" s="508">
        <v>7.0999999999999994E-2</v>
      </c>
      <c r="Y5166" s="508">
        <v>7.5999999999999998E-2</v>
      </c>
      <c r="Z5166" s="508">
        <v>7.2999999999999995E-2</v>
      </c>
      <c r="AA5166" s="508">
        <v>8.1000000000000003E-2</v>
      </c>
      <c r="AB5166" s="508">
        <v>6.4000000000000001E-2</v>
      </c>
      <c r="AC5166" s="508">
        <v>8.2000000000000003E-2</v>
      </c>
      <c r="AD5166" s="508">
        <v>7.9000000000000001E-2</v>
      </c>
      <c r="AE5166" s="508">
        <v>7.1999999999999995E-2</v>
      </c>
      <c r="AF5166" s="508">
        <v>7.1999999999999995E-2</v>
      </c>
      <c r="AG5166" s="508">
        <v>7.1999999999999995E-2</v>
      </c>
      <c r="AH5166" s="508">
        <v>7.1999999999999995E-2</v>
      </c>
      <c r="AI5166" s="492">
        <v>7.1999999999999995E-2</v>
      </c>
      <c r="AJ5166" s="485"/>
    </row>
    <row r="5167" spans="2:36">
      <c r="B5167" s="136" t="s">
        <v>481</v>
      </c>
      <c r="C5167" s="132" t="s">
        <v>1375</v>
      </c>
      <c r="D5167" s="132" t="s">
        <v>1379</v>
      </c>
      <c r="E5167" s="508">
        <v>0.13900000000000001</v>
      </c>
      <c r="F5167" s="508">
        <v>0.13300000000000001</v>
      </c>
      <c r="G5167" s="508">
        <v>0.125</v>
      </c>
      <c r="H5167" s="508">
        <v>0.125</v>
      </c>
      <c r="I5167" s="508">
        <v>0.123</v>
      </c>
      <c r="J5167" s="508">
        <v>0.11700000000000001</v>
      </c>
      <c r="K5167" s="508">
        <v>0.121</v>
      </c>
      <c r="L5167" s="508">
        <v>0.11600000000000001</v>
      </c>
      <c r="M5167" s="508">
        <v>0.11700000000000001</v>
      </c>
      <c r="N5167" s="508">
        <v>0.106</v>
      </c>
      <c r="O5167" s="508">
        <v>0.106</v>
      </c>
      <c r="P5167" s="508">
        <v>0.108</v>
      </c>
      <c r="Q5167" s="508">
        <v>0.10100000000000001</v>
      </c>
      <c r="R5167" s="508">
        <v>0.114</v>
      </c>
      <c r="S5167" s="508">
        <v>0.10100000000000001</v>
      </c>
      <c r="T5167" s="508">
        <v>9.8000000000000004E-2</v>
      </c>
      <c r="U5167" s="508">
        <v>0.10299999999999999</v>
      </c>
      <c r="V5167" s="508">
        <v>8.5999999999999993E-2</v>
      </c>
      <c r="W5167" s="508">
        <v>8.7999999999999995E-2</v>
      </c>
      <c r="X5167" s="508">
        <v>8.7999999999999995E-2</v>
      </c>
      <c r="Y5167" s="508">
        <v>9.4E-2</v>
      </c>
      <c r="Z5167" s="508">
        <v>9.0999999999999998E-2</v>
      </c>
      <c r="AA5167" s="508">
        <v>0.10100000000000001</v>
      </c>
      <c r="AB5167" s="508">
        <v>7.9000000000000001E-2</v>
      </c>
      <c r="AC5167" s="508">
        <v>0.10199999999999999</v>
      </c>
      <c r="AD5167" s="508">
        <v>9.8000000000000004E-2</v>
      </c>
      <c r="AE5167" s="508">
        <v>8.8999999999999996E-2</v>
      </c>
      <c r="AF5167" s="508">
        <v>8.8999999999999996E-2</v>
      </c>
      <c r="AG5167" s="508">
        <v>8.8999999999999996E-2</v>
      </c>
      <c r="AH5167" s="508">
        <v>8.8999999999999996E-2</v>
      </c>
      <c r="AI5167" s="492">
        <v>8.8999999999999996E-2</v>
      </c>
      <c r="AJ5167" s="485"/>
    </row>
    <row r="5168" spans="2:36">
      <c r="B5168" s="136" t="s">
        <v>482</v>
      </c>
      <c r="C5168" s="132" t="s">
        <v>1375</v>
      </c>
      <c r="D5168" s="132" t="s">
        <v>1379</v>
      </c>
      <c r="E5168" s="508">
        <v>0.13900000000000001</v>
      </c>
      <c r="F5168" s="508">
        <v>0.13300000000000001</v>
      </c>
      <c r="G5168" s="508">
        <v>0.124</v>
      </c>
      <c r="H5168" s="508">
        <v>0.124</v>
      </c>
      <c r="I5168" s="508">
        <v>0.122</v>
      </c>
      <c r="J5168" s="508">
        <v>0.11600000000000001</v>
      </c>
      <c r="K5168" s="508">
        <v>0.121</v>
      </c>
      <c r="L5168" s="508">
        <v>0.115</v>
      </c>
      <c r="M5168" s="508">
        <v>0.11600000000000001</v>
      </c>
      <c r="N5168" s="508">
        <v>0.106</v>
      </c>
      <c r="O5168" s="508">
        <v>0.105</v>
      </c>
      <c r="P5168" s="508">
        <v>0.108</v>
      </c>
      <c r="Q5168" s="508">
        <v>0.1</v>
      </c>
      <c r="R5168" s="508">
        <v>0.113</v>
      </c>
      <c r="S5168" s="508">
        <v>0.1</v>
      </c>
      <c r="T5168" s="508">
        <v>9.8000000000000004E-2</v>
      </c>
      <c r="U5168" s="508">
        <v>0.10299999999999999</v>
      </c>
      <c r="V5168" s="508">
        <v>8.5999999999999993E-2</v>
      </c>
      <c r="W5168" s="508">
        <v>8.7999999999999995E-2</v>
      </c>
      <c r="X5168" s="508">
        <v>8.7999999999999995E-2</v>
      </c>
      <c r="Y5168" s="508">
        <v>9.2999999999999999E-2</v>
      </c>
      <c r="Z5168" s="508">
        <v>0.09</v>
      </c>
      <c r="AA5168" s="508">
        <v>0.10100000000000001</v>
      </c>
      <c r="AB5168" s="508">
        <v>7.8E-2</v>
      </c>
      <c r="AC5168" s="508">
        <v>0.10199999999999999</v>
      </c>
      <c r="AD5168" s="508">
        <v>9.7000000000000003E-2</v>
      </c>
      <c r="AE5168" s="508">
        <v>8.7999999999999995E-2</v>
      </c>
      <c r="AF5168" s="508">
        <v>8.7999999999999995E-2</v>
      </c>
      <c r="AG5168" s="508">
        <v>8.7999999999999995E-2</v>
      </c>
      <c r="AH5168" s="508">
        <v>8.7999999999999995E-2</v>
      </c>
      <c r="AI5168" s="492">
        <v>8.7999999999999995E-2</v>
      </c>
      <c r="AJ5168" s="485"/>
    </row>
    <row r="5169" spans="2:36">
      <c r="B5169" s="136" t="s">
        <v>483</v>
      </c>
      <c r="C5169" s="132" t="s">
        <v>1375</v>
      </c>
      <c r="D5169" s="132" t="s">
        <v>1379</v>
      </c>
      <c r="E5169" s="508">
        <v>0.154</v>
      </c>
      <c r="F5169" s="508">
        <v>0.14699999999999999</v>
      </c>
      <c r="G5169" s="508">
        <v>0.13800000000000001</v>
      </c>
      <c r="H5169" s="508">
        <v>0.13800000000000001</v>
      </c>
      <c r="I5169" s="508">
        <v>0.13600000000000001</v>
      </c>
      <c r="J5169" s="508">
        <v>0.129</v>
      </c>
      <c r="K5169" s="508">
        <v>0.13400000000000001</v>
      </c>
      <c r="L5169" s="508">
        <v>0.128</v>
      </c>
      <c r="M5169" s="508">
        <v>0.129</v>
      </c>
      <c r="N5169" s="508">
        <v>0.11700000000000001</v>
      </c>
      <c r="O5169" s="508">
        <v>0.11700000000000001</v>
      </c>
      <c r="P5169" s="508">
        <v>0.11899999999999999</v>
      </c>
      <c r="Q5169" s="508">
        <v>0.111</v>
      </c>
      <c r="R5169" s="508">
        <v>0.126</v>
      </c>
      <c r="S5169" s="508">
        <v>0.111</v>
      </c>
      <c r="T5169" s="508">
        <v>0.108</v>
      </c>
      <c r="U5169" s="508">
        <v>0.114</v>
      </c>
      <c r="V5169" s="508">
        <v>9.5000000000000001E-2</v>
      </c>
      <c r="W5169" s="508">
        <v>9.7000000000000003E-2</v>
      </c>
      <c r="X5169" s="508">
        <v>9.7000000000000003E-2</v>
      </c>
      <c r="Y5169" s="508">
        <v>0.10299999999999999</v>
      </c>
      <c r="Z5169" s="508">
        <v>0.1</v>
      </c>
      <c r="AA5169" s="508">
        <v>0.111</v>
      </c>
      <c r="AB5169" s="508">
        <v>8.5999999999999993E-2</v>
      </c>
      <c r="AC5169" s="508">
        <v>0.113</v>
      </c>
      <c r="AD5169" s="508">
        <v>0.108</v>
      </c>
      <c r="AE5169" s="508">
        <v>9.8000000000000004E-2</v>
      </c>
      <c r="AF5169" s="508">
        <v>9.8000000000000004E-2</v>
      </c>
      <c r="AG5169" s="508">
        <v>9.8000000000000004E-2</v>
      </c>
      <c r="AH5169" s="508">
        <v>9.8000000000000004E-2</v>
      </c>
      <c r="AI5169" s="492">
        <v>9.8000000000000004E-2</v>
      </c>
      <c r="AJ5169" s="485"/>
    </row>
    <row r="5170" spans="2:36">
      <c r="B5170" s="136" t="s">
        <v>484</v>
      </c>
      <c r="C5170" s="132" t="s">
        <v>1375</v>
      </c>
      <c r="D5170" s="132" t="s">
        <v>1379</v>
      </c>
      <c r="E5170" s="508">
        <v>0.115</v>
      </c>
      <c r="F5170" s="508">
        <v>0.11</v>
      </c>
      <c r="G5170" s="508">
        <v>0.10299999999999999</v>
      </c>
      <c r="H5170" s="508">
        <v>0.10299999999999999</v>
      </c>
      <c r="I5170" s="508">
        <v>0.10100000000000001</v>
      </c>
      <c r="J5170" s="508">
        <v>9.7000000000000003E-2</v>
      </c>
      <c r="K5170" s="508">
        <v>0.1</v>
      </c>
      <c r="L5170" s="508">
        <v>9.6000000000000002E-2</v>
      </c>
      <c r="M5170" s="508">
        <v>9.7000000000000003E-2</v>
      </c>
      <c r="N5170" s="508">
        <v>8.7999999999999995E-2</v>
      </c>
      <c r="O5170" s="508">
        <v>8.7999999999999995E-2</v>
      </c>
      <c r="P5170" s="508">
        <v>0.09</v>
      </c>
      <c r="Q5170" s="508">
        <v>8.4000000000000005E-2</v>
      </c>
      <c r="R5170" s="508">
        <v>9.4E-2</v>
      </c>
      <c r="S5170" s="508">
        <v>8.4000000000000005E-2</v>
      </c>
      <c r="T5170" s="508">
        <v>8.2000000000000003E-2</v>
      </c>
      <c r="U5170" s="508">
        <v>8.5999999999999993E-2</v>
      </c>
      <c r="V5170" s="508">
        <v>7.1999999999999995E-2</v>
      </c>
      <c r="W5170" s="508">
        <v>7.3999999999999996E-2</v>
      </c>
      <c r="X5170" s="508">
        <v>7.3999999999999996E-2</v>
      </c>
      <c r="Y5170" s="508">
        <v>7.8E-2</v>
      </c>
      <c r="Z5170" s="508">
        <v>7.5999999999999998E-2</v>
      </c>
      <c r="AA5170" s="508">
        <v>8.4000000000000005E-2</v>
      </c>
      <c r="AB5170" s="508">
        <v>6.6000000000000003E-2</v>
      </c>
      <c r="AC5170" s="508">
        <v>8.5000000000000006E-2</v>
      </c>
      <c r="AD5170" s="508">
        <v>8.1000000000000003E-2</v>
      </c>
      <c r="AE5170" s="508">
        <v>7.3999999999999996E-2</v>
      </c>
      <c r="AF5170" s="508">
        <v>7.3999999999999996E-2</v>
      </c>
      <c r="AG5170" s="508">
        <v>7.3999999999999996E-2</v>
      </c>
      <c r="AH5170" s="508">
        <v>7.3999999999999996E-2</v>
      </c>
      <c r="AI5170" s="492">
        <v>7.3999999999999996E-2</v>
      </c>
      <c r="AJ5170" s="485"/>
    </row>
    <row r="5171" spans="2:36">
      <c r="B5171" s="136" t="s">
        <v>486</v>
      </c>
      <c r="C5171" s="132" t="s">
        <v>1375</v>
      </c>
      <c r="D5171" s="132" t="s">
        <v>1379</v>
      </c>
      <c r="E5171" s="508">
        <v>0.14000000000000001</v>
      </c>
      <c r="F5171" s="508">
        <v>0.13400000000000001</v>
      </c>
      <c r="G5171" s="508">
        <v>0.126</v>
      </c>
      <c r="H5171" s="508">
        <v>0.126</v>
      </c>
      <c r="I5171" s="508">
        <v>0.123</v>
      </c>
      <c r="J5171" s="508">
        <v>0.11799999999999999</v>
      </c>
      <c r="K5171" s="508">
        <v>0.122</v>
      </c>
      <c r="L5171" s="508">
        <v>0.11700000000000001</v>
      </c>
      <c r="M5171" s="508">
        <v>0.11700000000000001</v>
      </c>
      <c r="N5171" s="508">
        <v>0.107</v>
      </c>
      <c r="O5171" s="508">
        <v>0.106</v>
      </c>
      <c r="P5171" s="508">
        <v>0.109</v>
      </c>
      <c r="Q5171" s="508">
        <v>0.10100000000000001</v>
      </c>
      <c r="R5171" s="508">
        <v>0.114</v>
      </c>
      <c r="S5171" s="508">
        <v>0.10100000000000001</v>
      </c>
      <c r="T5171" s="508">
        <v>9.9000000000000005E-2</v>
      </c>
      <c r="U5171" s="508">
        <v>0.104</v>
      </c>
      <c r="V5171" s="508">
        <v>8.5999999999999993E-2</v>
      </c>
      <c r="W5171" s="508">
        <v>8.8999999999999996E-2</v>
      </c>
      <c r="X5171" s="508">
        <v>8.8999999999999996E-2</v>
      </c>
      <c r="Y5171" s="508">
        <v>9.4E-2</v>
      </c>
      <c r="Z5171" s="508">
        <v>9.0999999999999998E-2</v>
      </c>
      <c r="AA5171" s="508">
        <v>0.10199999999999999</v>
      </c>
      <c r="AB5171" s="508">
        <v>7.9000000000000001E-2</v>
      </c>
      <c r="AC5171" s="508">
        <v>0.10299999999999999</v>
      </c>
      <c r="AD5171" s="508">
        <v>9.8000000000000004E-2</v>
      </c>
      <c r="AE5171" s="508">
        <v>8.8999999999999996E-2</v>
      </c>
      <c r="AF5171" s="508">
        <v>8.8999999999999996E-2</v>
      </c>
      <c r="AG5171" s="508">
        <v>8.8999999999999996E-2</v>
      </c>
      <c r="AH5171" s="508">
        <v>8.8999999999999996E-2</v>
      </c>
      <c r="AI5171" s="492">
        <v>8.8999999999999996E-2</v>
      </c>
      <c r="AJ5171" s="485"/>
    </row>
    <row r="5172" spans="2:36">
      <c r="B5172" s="136" t="s">
        <v>487</v>
      </c>
      <c r="C5172" s="132" t="s">
        <v>1375</v>
      </c>
      <c r="D5172" s="132" t="s">
        <v>1379</v>
      </c>
      <c r="E5172" s="508">
        <v>0.13900000000000001</v>
      </c>
      <c r="F5172" s="508">
        <v>0.13300000000000001</v>
      </c>
      <c r="G5172" s="508">
        <v>0.125</v>
      </c>
      <c r="H5172" s="508">
        <v>0.125</v>
      </c>
      <c r="I5172" s="508">
        <v>0.123</v>
      </c>
      <c r="J5172" s="508">
        <v>0.11700000000000001</v>
      </c>
      <c r="K5172" s="508">
        <v>0.121</v>
      </c>
      <c r="L5172" s="508">
        <v>0.11600000000000001</v>
      </c>
      <c r="M5172" s="508">
        <v>0.11700000000000001</v>
      </c>
      <c r="N5172" s="508">
        <v>0.106</v>
      </c>
      <c r="O5172" s="508">
        <v>0.106</v>
      </c>
      <c r="P5172" s="508">
        <v>0.108</v>
      </c>
      <c r="Q5172" s="508">
        <v>0.10100000000000001</v>
      </c>
      <c r="R5172" s="508">
        <v>0.114</v>
      </c>
      <c r="S5172" s="508">
        <v>0.10100000000000001</v>
      </c>
      <c r="T5172" s="508">
        <v>9.8000000000000004E-2</v>
      </c>
      <c r="U5172" s="508">
        <v>0.10299999999999999</v>
      </c>
      <c r="V5172" s="508">
        <v>8.5999999999999993E-2</v>
      </c>
      <c r="W5172" s="508">
        <v>8.7999999999999995E-2</v>
      </c>
      <c r="X5172" s="508">
        <v>8.7999999999999995E-2</v>
      </c>
      <c r="Y5172" s="508">
        <v>9.2999999999999999E-2</v>
      </c>
      <c r="Z5172" s="508">
        <v>0.09</v>
      </c>
      <c r="AA5172" s="508">
        <v>0.10100000000000001</v>
      </c>
      <c r="AB5172" s="508">
        <v>7.9000000000000001E-2</v>
      </c>
      <c r="AC5172" s="508">
        <v>0.10199999999999999</v>
      </c>
      <c r="AD5172" s="508">
        <v>9.8000000000000004E-2</v>
      </c>
      <c r="AE5172" s="508">
        <v>8.8999999999999996E-2</v>
      </c>
      <c r="AF5172" s="508">
        <v>8.8999999999999996E-2</v>
      </c>
      <c r="AG5172" s="508">
        <v>8.8999999999999996E-2</v>
      </c>
      <c r="AH5172" s="508">
        <v>8.8999999999999996E-2</v>
      </c>
      <c r="AI5172" s="492">
        <v>8.8999999999999996E-2</v>
      </c>
      <c r="AJ5172" s="485"/>
    </row>
    <row r="5173" spans="2:36">
      <c r="B5173" s="136" t="s">
        <v>488</v>
      </c>
      <c r="C5173" s="132" t="s">
        <v>1375</v>
      </c>
      <c r="D5173" s="132" t="s">
        <v>1379</v>
      </c>
      <c r="E5173" s="508">
        <v>0.12</v>
      </c>
      <c r="F5173" s="508">
        <v>0.115</v>
      </c>
      <c r="G5173" s="508">
        <v>0.108</v>
      </c>
      <c r="H5173" s="508">
        <v>0.108</v>
      </c>
      <c r="I5173" s="508">
        <v>0.106</v>
      </c>
      <c r="J5173" s="508">
        <v>0.10100000000000001</v>
      </c>
      <c r="K5173" s="508">
        <v>0.105</v>
      </c>
      <c r="L5173" s="508">
        <v>0.10100000000000001</v>
      </c>
      <c r="M5173" s="508">
        <v>0.10100000000000001</v>
      </c>
      <c r="N5173" s="508">
        <v>9.1999999999999998E-2</v>
      </c>
      <c r="O5173" s="508">
        <v>9.1999999999999998E-2</v>
      </c>
      <c r="P5173" s="508">
        <v>9.4E-2</v>
      </c>
      <c r="Q5173" s="508">
        <v>8.7999999999999995E-2</v>
      </c>
      <c r="R5173" s="508">
        <v>9.9000000000000005E-2</v>
      </c>
      <c r="S5173" s="508">
        <v>8.7999999999999995E-2</v>
      </c>
      <c r="T5173" s="508">
        <v>8.5999999999999993E-2</v>
      </c>
      <c r="U5173" s="508">
        <v>0.09</v>
      </c>
      <c r="V5173" s="508">
        <v>7.4999999999999997E-2</v>
      </c>
      <c r="W5173" s="508">
        <v>7.6999999999999999E-2</v>
      </c>
      <c r="X5173" s="508">
        <v>7.6999999999999999E-2</v>
      </c>
      <c r="Y5173" s="508">
        <v>8.1000000000000003E-2</v>
      </c>
      <c r="Z5173" s="508">
        <v>7.9000000000000001E-2</v>
      </c>
      <c r="AA5173" s="508">
        <v>8.7999999999999995E-2</v>
      </c>
      <c r="AB5173" s="508">
        <v>6.9000000000000006E-2</v>
      </c>
      <c r="AC5173" s="508">
        <v>8.8999999999999996E-2</v>
      </c>
      <c r="AD5173" s="508">
        <v>8.5000000000000006E-2</v>
      </c>
      <c r="AE5173" s="508">
        <v>7.6999999999999999E-2</v>
      </c>
      <c r="AF5173" s="508">
        <v>7.6999999999999999E-2</v>
      </c>
      <c r="AG5173" s="508">
        <v>7.6999999999999999E-2</v>
      </c>
      <c r="AH5173" s="508">
        <v>7.6999999999999999E-2</v>
      </c>
      <c r="AI5173" s="492">
        <v>7.6999999999999999E-2</v>
      </c>
      <c r="AJ5173" s="485"/>
    </row>
    <row r="5174" spans="2:36">
      <c r="B5174" s="136" t="s">
        <v>489</v>
      </c>
      <c r="C5174" s="132" t="s">
        <v>1375</v>
      </c>
      <c r="D5174" s="132" t="s">
        <v>1379</v>
      </c>
      <c r="E5174" s="508">
        <v>0.13100000000000001</v>
      </c>
      <c r="F5174" s="508">
        <v>0.125</v>
      </c>
      <c r="G5174" s="508">
        <v>0.11700000000000001</v>
      </c>
      <c r="H5174" s="508">
        <v>0.11700000000000001</v>
      </c>
      <c r="I5174" s="508">
        <v>0.115</v>
      </c>
      <c r="J5174" s="508">
        <v>0.11</v>
      </c>
      <c r="K5174" s="508">
        <v>0.114</v>
      </c>
      <c r="L5174" s="508">
        <v>0.109</v>
      </c>
      <c r="M5174" s="508">
        <v>0.11</v>
      </c>
      <c r="N5174" s="508">
        <v>0.1</v>
      </c>
      <c r="O5174" s="508">
        <v>9.9000000000000005E-2</v>
      </c>
      <c r="P5174" s="508">
        <v>0.10199999999999999</v>
      </c>
      <c r="Q5174" s="508">
        <v>9.5000000000000001E-2</v>
      </c>
      <c r="R5174" s="508">
        <v>0.107</v>
      </c>
      <c r="S5174" s="508">
        <v>9.5000000000000001E-2</v>
      </c>
      <c r="T5174" s="508">
        <v>9.2999999999999999E-2</v>
      </c>
      <c r="U5174" s="508">
        <v>9.7000000000000003E-2</v>
      </c>
      <c r="V5174" s="508">
        <v>8.1000000000000003E-2</v>
      </c>
      <c r="W5174" s="508">
        <v>8.3000000000000004E-2</v>
      </c>
      <c r="X5174" s="508">
        <v>8.3000000000000004E-2</v>
      </c>
      <c r="Y5174" s="508">
        <v>8.7999999999999995E-2</v>
      </c>
      <c r="Z5174" s="508">
        <v>8.5000000000000006E-2</v>
      </c>
      <c r="AA5174" s="508">
        <v>9.5000000000000001E-2</v>
      </c>
      <c r="AB5174" s="508">
        <v>7.3999999999999996E-2</v>
      </c>
      <c r="AC5174" s="508">
        <v>9.6000000000000002E-2</v>
      </c>
      <c r="AD5174" s="508">
        <v>9.1999999999999998E-2</v>
      </c>
      <c r="AE5174" s="508">
        <v>8.4000000000000005E-2</v>
      </c>
      <c r="AF5174" s="508">
        <v>8.4000000000000005E-2</v>
      </c>
      <c r="AG5174" s="508">
        <v>8.4000000000000005E-2</v>
      </c>
      <c r="AH5174" s="508">
        <v>8.4000000000000005E-2</v>
      </c>
      <c r="AI5174" s="492">
        <v>8.4000000000000005E-2</v>
      </c>
      <c r="AJ5174" s="485"/>
    </row>
    <row r="5175" spans="2:36">
      <c r="B5175" s="136" t="s">
        <v>490</v>
      </c>
      <c r="C5175" s="132" t="s">
        <v>1375</v>
      </c>
      <c r="D5175" s="132" t="s">
        <v>1379</v>
      </c>
      <c r="E5175" s="508">
        <v>0.112</v>
      </c>
      <c r="F5175" s="508">
        <v>0.107</v>
      </c>
      <c r="G5175" s="508">
        <v>0.10100000000000001</v>
      </c>
      <c r="H5175" s="508">
        <v>0.10100000000000001</v>
      </c>
      <c r="I5175" s="508">
        <v>9.9000000000000005E-2</v>
      </c>
      <c r="J5175" s="508">
        <v>9.4E-2</v>
      </c>
      <c r="K5175" s="508">
        <v>9.8000000000000004E-2</v>
      </c>
      <c r="L5175" s="508">
        <v>9.4E-2</v>
      </c>
      <c r="M5175" s="508">
        <v>9.4E-2</v>
      </c>
      <c r="N5175" s="508">
        <v>8.5999999999999993E-2</v>
      </c>
      <c r="O5175" s="508">
        <v>8.5999999999999993E-2</v>
      </c>
      <c r="P5175" s="508">
        <v>8.7999999999999995E-2</v>
      </c>
      <c r="Q5175" s="508">
        <v>8.2000000000000003E-2</v>
      </c>
      <c r="R5175" s="508">
        <v>9.1999999999999998E-2</v>
      </c>
      <c r="S5175" s="508">
        <v>8.2000000000000003E-2</v>
      </c>
      <c r="T5175" s="508">
        <v>0.08</v>
      </c>
      <c r="U5175" s="508">
        <v>8.4000000000000005E-2</v>
      </c>
      <c r="V5175" s="508">
        <v>7.0000000000000007E-2</v>
      </c>
      <c r="W5175" s="508">
        <v>7.1999999999999995E-2</v>
      </c>
      <c r="X5175" s="508">
        <v>7.1999999999999995E-2</v>
      </c>
      <c r="Y5175" s="508">
        <v>7.5999999999999998E-2</v>
      </c>
      <c r="Z5175" s="508">
        <v>7.3999999999999996E-2</v>
      </c>
      <c r="AA5175" s="508">
        <v>8.2000000000000003E-2</v>
      </c>
      <c r="AB5175" s="508">
        <v>6.5000000000000002E-2</v>
      </c>
      <c r="AC5175" s="508">
        <v>8.3000000000000004E-2</v>
      </c>
      <c r="AD5175" s="508">
        <v>7.9000000000000001E-2</v>
      </c>
      <c r="AE5175" s="508">
        <v>7.1999999999999995E-2</v>
      </c>
      <c r="AF5175" s="508">
        <v>7.1999999999999995E-2</v>
      </c>
      <c r="AG5175" s="508">
        <v>7.1999999999999995E-2</v>
      </c>
      <c r="AH5175" s="508">
        <v>7.1999999999999995E-2</v>
      </c>
      <c r="AI5175" s="492">
        <v>7.1999999999999995E-2</v>
      </c>
      <c r="AJ5175" s="485"/>
    </row>
    <row r="5176" spans="2:36">
      <c r="B5176" s="136" t="s">
        <v>435</v>
      </c>
      <c r="C5176" s="132" t="s">
        <v>1376</v>
      </c>
      <c r="D5176" s="132" t="s">
        <v>1379</v>
      </c>
      <c r="E5176" s="508">
        <v>6.3E-2</v>
      </c>
      <c r="F5176" s="508">
        <v>6.2E-2</v>
      </c>
      <c r="G5176" s="508">
        <v>6.5000000000000002E-2</v>
      </c>
      <c r="H5176" s="508">
        <v>6.5000000000000002E-2</v>
      </c>
      <c r="I5176" s="508">
        <v>0.06</v>
      </c>
      <c r="J5176" s="508">
        <v>6.4000000000000001E-2</v>
      </c>
      <c r="K5176" s="508">
        <v>6.8000000000000005E-2</v>
      </c>
      <c r="L5176" s="508">
        <v>6.9000000000000006E-2</v>
      </c>
      <c r="M5176" s="508">
        <v>6.2E-2</v>
      </c>
      <c r="N5176" s="508">
        <v>6.3E-2</v>
      </c>
      <c r="O5176" s="508">
        <v>6.3E-2</v>
      </c>
      <c r="P5176" s="508">
        <v>6.4000000000000001E-2</v>
      </c>
      <c r="Q5176" s="508">
        <v>6.6000000000000003E-2</v>
      </c>
      <c r="R5176" s="508">
        <v>6.7000000000000004E-2</v>
      </c>
      <c r="S5176" s="508">
        <v>6.5000000000000002E-2</v>
      </c>
      <c r="T5176" s="508">
        <v>6.0999999999999999E-2</v>
      </c>
      <c r="U5176" s="508">
        <v>6.4000000000000001E-2</v>
      </c>
      <c r="V5176" s="508">
        <v>6.9000000000000006E-2</v>
      </c>
      <c r="W5176" s="508">
        <v>6.7000000000000004E-2</v>
      </c>
      <c r="X5176" s="508">
        <v>7.0999999999999994E-2</v>
      </c>
      <c r="Y5176" s="508">
        <v>6.6000000000000003E-2</v>
      </c>
      <c r="Z5176" s="508">
        <v>7.0000000000000007E-2</v>
      </c>
      <c r="AA5176" s="508">
        <v>6.6000000000000003E-2</v>
      </c>
      <c r="AB5176" s="508">
        <v>6.7000000000000004E-2</v>
      </c>
      <c r="AC5176" s="508">
        <v>6.4000000000000001E-2</v>
      </c>
      <c r="AD5176" s="508">
        <v>5.8999999999999997E-2</v>
      </c>
      <c r="AE5176" s="508">
        <v>6.5000000000000002E-2</v>
      </c>
      <c r="AF5176" s="508">
        <v>6.5000000000000002E-2</v>
      </c>
      <c r="AG5176" s="508">
        <v>6.5000000000000002E-2</v>
      </c>
      <c r="AH5176" s="508">
        <v>6.5000000000000002E-2</v>
      </c>
      <c r="AI5176" s="492">
        <v>6.5000000000000002E-2</v>
      </c>
      <c r="AJ5176" s="485"/>
    </row>
    <row r="5177" spans="2:36">
      <c r="B5177" s="136" t="s">
        <v>436</v>
      </c>
      <c r="C5177" s="132" t="s">
        <v>1376</v>
      </c>
      <c r="D5177" s="132" t="s">
        <v>1379</v>
      </c>
      <c r="E5177" s="508">
        <v>5.8000000000000003E-2</v>
      </c>
      <c r="F5177" s="508">
        <v>5.7000000000000002E-2</v>
      </c>
      <c r="G5177" s="508">
        <v>5.8999999999999997E-2</v>
      </c>
      <c r="H5177" s="508">
        <v>0.06</v>
      </c>
      <c r="I5177" s="508">
        <v>5.5E-2</v>
      </c>
      <c r="J5177" s="508">
        <v>5.8000000000000003E-2</v>
      </c>
      <c r="K5177" s="508">
        <v>6.2E-2</v>
      </c>
      <c r="L5177" s="508">
        <v>6.4000000000000001E-2</v>
      </c>
      <c r="M5177" s="508">
        <v>5.7000000000000002E-2</v>
      </c>
      <c r="N5177" s="508">
        <v>5.8000000000000003E-2</v>
      </c>
      <c r="O5177" s="508">
        <v>5.8000000000000003E-2</v>
      </c>
      <c r="P5177" s="508">
        <v>5.8999999999999997E-2</v>
      </c>
      <c r="Q5177" s="508">
        <v>0.06</v>
      </c>
      <c r="R5177" s="508">
        <v>6.2E-2</v>
      </c>
      <c r="S5177" s="508">
        <v>5.8999999999999997E-2</v>
      </c>
      <c r="T5177" s="508">
        <v>5.6000000000000001E-2</v>
      </c>
      <c r="U5177" s="508">
        <v>5.8999999999999997E-2</v>
      </c>
      <c r="V5177" s="508">
        <v>6.3E-2</v>
      </c>
      <c r="W5177" s="508">
        <v>6.0999999999999999E-2</v>
      </c>
      <c r="X5177" s="508">
        <v>6.5000000000000002E-2</v>
      </c>
      <c r="Y5177" s="508">
        <v>6.0999999999999999E-2</v>
      </c>
      <c r="Z5177" s="508">
        <v>6.4000000000000001E-2</v>
      </c>
      <c r="AA5177" s="508">
        <v>6.0999999999999999E-2</v>
      </c>
      <c r="AB5177" s="508">
        <v>6.2E-2</v>
      </c>
      <c r="AC5177" s="508">
        <v>5.8999999999999997E-2</v>
      </c>
      <c r="AD5177" s="508">
        <v>5.3999999999999999E-2</v>
      </c>
      <c r="AE5177" s="508">
        <v>0.06</v>
      </c>
      <c r="AF5177" s="508">
        <v>0.06</v>
      </c>
      <c r="AG5177" s="508">
        <v>0.06</v>
      </c>
      <c r="AH5177" s="508">
        <v>0.06</v>
      </c>
      <c r="AI5177" s="492">
        <v>0.06</v>
      </c>
      <c r="AJ5177" s="485"/>
    </row>
    <row r="5178" spans="2:36">
      <c r="B5178" s="136" t="s">
        <v>437</v>
      </c>
      <c r="C5178" s="132" t="s">
        <v>1376</v>
      </c>
      <c r="D5178" s="132" t="s">
        <v>1379</v>
      </c>
      <c r="E5178" s="508">
        <v>6.4000000000000001E-2</v>
      </c>
      <c r="F5178" s="508">
        <v>6.4000000000000001E-2</v>
      </c>
      <c r="G5178" s="508">
        <v>6.6000000000000003E-2</v>
      </c>
      <c r="H5178" s="508">
        <v>6.7000000000000004E-2</v>
      </c>
      <c r="I5178" s="508">
        <v>6.2E-2</v>
      </c>
      <c r="J5178" s="508">
        <v>6.5000000000000002E-2</v>
      </c>
      <c r="K5178" s="508">
        <v>7.0000000000000007E-2</v>
      </c>
      <c r="L5178" s="508">
        <v>7.0999999999999994E-2</v>
      </c>
      <c r="M5178" s="508">
        <v>6.4000000000000001E-2</v>
      </c>
      <c r="N5178" s="508">
        <v>6.5000000000000002E-2</v>
      </c>
      <c r="O5178" s="508">
        <v>6.5000000000000002E-2</v>
      </c>
      <c r="P5178" s="508">
        <v>6.6000000000000003E-2</v>
      </c>
      <c r="Q5178" s="508">
        <v>6.7000000000000004E-2</v>
      </c>
      <c r="R5178" s="508">
        <v>6.9000000000000006E-2</v>
      </c>
      <c r="S5178" s="508">
        <v>6.6000000000000003E-2</v>
      </c>
      <c r="T5178" s="508">
        <v>6.3E-2</v>
      </c>
      <c r="U5178" s="508">
        <v>6.6000000000000003E-2</v>
      </c>
      <c r="V5178" s="508">
        <v>7.0999999999999994E-2</v>
      </c>
      <c r="W5178" s="508">
        <v>6.9000000000000006E-2</v>
      </c>
      <c r="X5178" s="508">
        <v>7.2999999999999995E-2</v>
      </c>
      <c r="Y5178" s="508">
        <v>6.8000000000000005E-2</v>
      </c>
      <c r="Z5178" s="508">
        <v>7.1999999999999995E-2</v>
      </c>
      <c r="AA5178" s="508">
        <v>6.8000000000000005E-2</v>
      </c>
      <c r="AB5178" s="508">
        <v>6.9000000000000006E-2</v>
      </c>
      <c r="AC5178" s="508">
        <v>6.6000000000000003E-2</v>
      </c>
      <c r="AD5178" s="508">
        <v>6.0999999999999999E-2</v>
      </c>
      <c r="AE5178" s="508">
        <v>6.7000000000000004E-2</v>
      </c>
      <c r="AF5178" s="508">
        <v>6.7000000000000004E-2</v>
      </c>
      <c r="AG5178" s="508">
        <v>6.7000000000000004E-2</v>
      </c>
      <c r="AH5178" s="508">
        <v>6.7000000000000004E-2</v>
      </c>
      <c r="AI5178" s="492">
        <v>6.7000000000000004E-2</v>
      </c>
      <c r="AJ5178" s="485"/>
    </row>
    <row r="5179" spans="2:36">
      <c r="B5179" s="136" t="s">
        <v>438</v>
      </c>
      <c r="C5179" s="132" t="s">
        <v>1376</v>
      </c>
      <c r="D5179" s="132" t="s">
        <v>1379</v>
      </c>
      <c r="E5179" s="508">
        <v>5.5E-2</v>
      </c>
      <c r="F5179" s="508">
        <v>5.3999999999999999E-2</v>
      </c>
      <c r="G5179" s="508">
        <v>5.7000000000000002E-2</v>
      </c>
      <c r="H5179" s="508">
        <v>5.7000000000000002E-2</v>
      </c>
      <c r="I5179" s="508">
        <v>5.2999999999999999E-2</v>
      </c>
      <c r="J5179" s="508">
        <v>5.6000000000000001E-2</v>
      </c>
      <c r="K5179" s="508">
        <v>0.06</v>
      </c>
      <c r="L5179" s="508">
        <v>6.0999999999999999E-2</v>
      </c>
      <c r="M5179" s="508">
        <v>5.5E-2</v>
      </c>
      <c r="N5179" s="508">
        <v>5.5E-2</v>
      </c>
      <c r="O5179" s="508">
        <v>5.5E-2</v>
      </c>
      <c r="P5179" s="508">
        <v>5.6000000000000001E-2</v>
      </c>
      <c r="Q5179" s="508">
        <v>5.7000000000000002E-2</v>
      </c>
      <c r="R5179" s="508">
        <v>5.8999999999999997E-2</v>
      </c>
      <c r="S5179" s="508">
        <v>5.7000000000000002E-2</v>
      </c>
      <c r="T5179" s="508">
        <v>5.2999999999999999E-2</v>
      </c>
      <c r="U5179" s="508">
        <v>5.6000000000000001E-2</v>
      </c>
      <c r="V5179" s="508">
        <v>0.06</v>
      </c>
      <c r="W5179" s="508">
        <v>5.8999999999999997E-2</v>
      </c>
      <c r="X5179" s="508">
        <v>6.2E-2</v>
      </c>
      <c r="Y5179" s="508">
        <v>5.8000000000000003E-2</v>
      </c>
      <c r="Z5179" s="508">
        <v>6.0999999999999999E-2</v>
      </c>
      <c r="AA5179" s="508">
        <v>5.8000000000000003E-2</v>
      </c>
      <c r="AB5179" s="508">
        <v>5.8999999999999997E-2</v>
      </c>
      <c r="AC5179" s="508">
        <v>5.7000000000000002E-2</v>
      </c>
      <c r="AD5179" s="508">
        <v>5.1999999999999998E-2</v>
      </c>
      <c r="AE5179" s="508">
        <v>5.7000000000000002E-2</v>
      </c>
      <c r="AF5179" s="508">
        <v>5.7000000000000002E-2</v>
      </c>
      <c r="AG5179" s="508">
        <v>5.7000000000000002E-2</v>
      </c>
      <c r="AH5179" s="508">
        <v>5.7000000000000002E-2</v>
      </c>
      <c r="AI5179" s="492">
        <v>5.7000000000000002E-2</v>
      </c>
      <c r="AJ5179" s="485"/>
    </row>
    <row r="5180" spans="2:36">
      <c r="B5180" s="136" t="s">
        <v>439</v>
      </c>
      <c r="C5180" s="132" t="s">
        <v>1376</v>
      </c>
      <c r="D5180" s="132" t="s">
        <v>1379</v>
      </c>
      <c r="E5180" s="508">
        <v>6.4000000000000001E-2</v>
      </c>
      <c r="F5180" s="508">
        <v>6.3E-2</v>
      </c>
      <c r="G5180" s="508">
        <v>6.6000000000000003E-2</v>
      </c>
      <c r="H5180" s="508">
        <v>6.6000000000000003E-2</v>
      </c>
      <c r="I5180" s="508">
        <v>6.0999999999999999E-2</v>
      </c>
      <c r="J5180" s="508">
        <v>6.5000000000000002E-2</v>
      </c>
      <c r="K5180" s="508">
        <v>6.9000000000000006E-2</v>
      </c>
      <c r="L5180" s="508">
        <v>7.0000000000000007E-2</v>
      </c>
      <c r="M5180" s="508">
        <v>6.3E-2</v>
      </c>
      <c r="N5180" s="508">
        <v>6.4000000000000001E-2</v>
      </c>
      <c r="O5180" s="508">
        <v>6.4000000000000001E-2</v>
      </c>
      <c r="P5180" s="508">
        <v>6.5000000000000002E-2</v>
      </c>
      <c r="Q5180" s="508">
        <v>6.7000000000000004E-2</v>
      </c>
      <c r="R5180" s="508">
        <v>6.8000000000000005E-2</v>
      </c>
      <c r="S5180" s="508">
        <v>6.6000000000000003E-2</v>
      </c>
      <c r="T5180" s="508">
        <v>6.2E-2</v>
      </c>
      <c r="U5180" s="508">
        <v>6.5000000000000002E-2</v>
      </c>
      <c r="V5180" s="508">
        <v>7.0000000000000007E-2</v>
      </c>
      <c r="W5180" s="508">
        <v>6.8000000000000005E-2</v>
      </c>
      <c r="X5180" s="508">
        <v>7.1999999999999995E-2</v>
      </c>
      <c r="Y5180" s="508">
        <v>6.7000000000000004E-2</v>
      </c>
      <c r="Z5180" s="508">
        <v>7.0999999999999994E-2</v>
      </c>
      <c r="AA5180" s="508">
        <v>6.7000000000000004E-2</v>
      </c>
      <c r="AB5180" s="508">
        <v>6.8000000000000005E-2</v>
      </c>
      <c r="AC5180" s="508">
        <v>6.5000000000000002E-2</v>
      </c>
      <c r="AD5180" s="508">
        <v>0.06</v>
      </c>
      <c r="AE5180" s="508">
        <v>6.6000000000000003E-2</v>
      </c>
      <c r="AF5180" s="508">
        <v>6.6000000000000003E-2</v>
      </c>
      <c r="AG5180" s="508">
        <v>6.6000000000000003E-2</v>
      </c>
      <c r="AH5180" s="508">
        <v>6.6000000000000003E-2</v>
      </c>
      <c r="AI5180" s="492">
        <v>6.6000000000000003E-2</v>
      </c>
      <c r="AJ5180" s="485"/>
    </row>
    <row r="5181" spans="2:36">
      <c r="B5181" s="136" t="s">
        <v>440</v>
      </c>
      <c r="C5181" s="132" t="s">
        <v>1376</v>
      </c>
      <c r="D5181" s="132" t="s">
        <v>1379</v>
      </c>
      <c r="E5181" s="508">
        <v>6.2E-2</v>
      </c>
      <c r="F5181" s="508">
        <v>6.0999999999999999E-2</v>
      </c>
      <c r="G5181" s="508">
        <v>6.3E-2</v>
      </c>
      <c r="H5181" s="508">
        <v>6.4000000000000001E-2</v>
      </c>
      <c r="I5181" s="508">
        <v>5.8999999999999997E-2</v>
      </c>
      <c r="J5181" s="508">
        <v>6.2E-2</v>
      </c>
      <c r="K5181" s="508">
        <v>6.7000000000000004E-2</v>
      </c>
      <c r="L5181" s="508">
        <v>6.8000000000000005E-2</v>
      </c>
      <c r="M5181" s="508">
        <v>6.0999999999999999E-2</v>
      </c>
      <c r="N5181" s="508">
        <v>6.2E-2</v>
      </c>
      <c r="O5181" s="508">
        <v>6.2E-2</v>
      </c>
      <c r="P5181" s="508">
        <v>6.3E-2</v>
      </c>
      <c r="Q5181" s="508">
        <v>6.4000000000000001E-2</v>
      </c>
      <c r="R5181" s="508">
        <v>6.6000000000000003E-2</v>
      </c>
      <c r="S5181" s="508">
        <v>6.4000000000000001E-2</v>
      </c>
      <c r="T5181" s="508">
        <v>0.06</v>
      </c>
      <c r="U5181" s="508">
        <v>6.3E-2</v>
      </c>
      <c r="V5181" s="508">
        <v>6.8000000000000005E-2</v>
      </c>
      <c r="W5181" s="508">
        <v>6.6000000000000003E-2</v>
      </c>
      <c r="X5181" s="508">
        <v>6.9000000000000006E-2</v>
      </c>
      <c r="Y5181" s="508">
        <v>6.5000000000000002E-2</v>
      </c>
      <c r="Z5181" s="508">
        <v>6.9000000000000006E-2</v>
      </c>
      <c r="AA5181" s="508">
        <v>6.5000000000000002E-2</v>
      </c>
      <c r="AB5181" s="508">
        <v>6.6000000000000003E-2</v>
      </c>
      <c r="AC5181" s="508">
        <v>6.3E-2</v>
      </c>
      <c r="AD5181" s="508">
        <v>5.8000000000000003E-2</v>
      </c>
      <c r="AE5181" s="508">
        <v>6.4000000000000001E-2</v>
      </c>
      <c r="AF5181" s="508">
        <v>6.4000000000000001E-2</v>
      </c>
      <c r="AG5181" s="508">
        <v>6.4000000000000001E-2</v>
      </c>
      <c r="AH5181" s="508">
        <v>6.4000000000000001E-2</v>
      </c>
      <c r="AI5181" s="492">
        <v>6.4000000000000001E-2</v>
      </c>
      <c r="AJ5181" s="485"/>
    </row>
    <row r="5182" spans="2:36">
      <c r="B5182" s="136" t="s">
        <v>441</v>
      </c>
      <c r="C5182" s="132" t="s">
        <v>1376</v>
      </c>
      <c r="D5182" s="132" t="s">
        <v>1379</v>
      </c>
      <c r="E5182" s="508">
        <v>6.4000000000000001E-2</v>
      </c>
      <c r="F5182" s="508">
        <v>6.3E-2</v>
      </c>
      <c r="G5182" s="508">
        <v>6.6000000000000003E-2</v>
      </c>
      <c r="H5182" s="508">
        <v>6.6000000000000003E-2</v>
      </c>
      <c r="I5182" s="508">
        <v>6.0999999999999999E-2</v>
      </c>
      <c r="J5182" s="508">
        <v>6.5000000000000002E-2</v>
      </c>
      <c r="K5182" s="508">
        <v>6.9000000000000006E-2</v>
      </c>
      <c r="L5182" s="508">
        <v>7.0999999999999994E-2</v>
      </c>
      <c r="M5182" s="508">
        <v>6.3E-2</v>
      </c>
      <c r="N5182" s="508">
        <v>6.4000000000000001E-2</v>
      </c>
      <c r="O5182" s="508">
        <v>6.4000000000000001E-2</v>
      </c>
      <c r="P5182" s="508">
        <v>6.5000000000000002E-2</v>
      </c>
      <c r="Q5182" s="508">
        <v>6.7000000000000004E-2</v>
      </c>
      <c r="R5182" s="508">
        <v>6.8000000000000005E-2</v>
      </c>
      <c r="S5182" s="508">
        <v>6.6000000000000003E-2</v>
      </c>
      <c r="T5182" s="508">
        <v>6.2E-2</v>
      </c>
      <c r="U5182" s="508">
        <v>6.5000000000000002E-2</v>
      </c>
      <c r="V5182" s="508">
        <v>7.0000000000000007E-2</v>
      </c>
      <c r="W5182" s="508">
        <v>6.8000000000000005E-2</v>
      </c>
      <c r="X5182" s="508">
        <v>7.1999999999999995E-2</v>
      </c>
      <c r="Y5182" s="508">
        <v>6.7000000000000004E-2</v>
      </c>
      <c r="Z5182" s="508">
        <v>7.0999999999999994E-2</v>
      </c>
      <c r="AA5182" s="508">
        <v>6.7000000000000004E-2</v>
      </c>
      <c r="AB5182" s="508">
        <v>6.8000000000000005E-2</v>
      </c>
      <c r="AC5182" s="508">
        <v>6.6000000000000003E-2</v>
      </c>
      <c r="AD5182" s="508">
        <v>0.06</v>
      </c>
      <c r="AE5182" s="508">
        <v>6.7000000000000004E-2</v>
      </c>
      <c r="AF5182" s="508">
        <v>6.7000000000000004E-2</v>
      </c>
      <c r="AG5182" s="508">
        <v>6.7000000000000004E-2</v>
      </c>
      <c r="AH5182" s="508">
        <v>6.7000000000000004E-2</v>
      </c>
      <c r="AI5182" s="492">
        <v>6.7000000000000004E-2</v>
      </c>
      <c r="AJ5182" s="485"/>
    </row>
    <row r="5183" spans="2:36">
      <c r="B5183" s="136" t="s">
        <v>443</v>
      </c>
      <c r="C5183" s="132" t="s">
        <v>1376</v>
      </c>
      <c r="D5183" s="132" t="s">
        <v>1379</v>
      </c>
      <c r="E5183" s="508">
        <v>7.0999999999999994E-2</v>
      </c>
      <c r="F5183" s="508">
        <v>7.0000000000000007E-2</v>
      </c>
      <c r="G5183" s="508">
        <v>7.2999999999999995E-2</v>
      </c>
      <c r="H5183" s="508">
        <v>7.2999999999999995E-2</v>
      </c>
      <c r="I5183" s="508">
        <v>6.7000000000000004E-2</v>
      </c>
      <c r="J5183" s="508">
        <v>7.1999999999999995E-2</v>
      </c>
      <c r="K5183" s="508">
        <v>7.6999999999999999E-2</v>
      </c>
      <c r="L5183" s="508">
        <v>7.8E-2</v>
      </c>
      <c r="M5183" s="508">
        <v>7.0000000000000007E-2</v>
      </c>
      <c r="N5183" s="508">
        <v>7.0999999999999994E-2</v>
      </c>
      <c r="O5183" s="508">
        <v>7.0999999999999994E-2</v>
      </c>
      <c r="P5183" s="508">
        <v>7.1999999999999995E-2</v>
      </c>
      <c r="Q5183" s="508">
        <v>7.3999999999999996E-2</v>
      </c>
      <c r="R5183" s="508">
        <v>7.5999999999999998E-2</v>
      </c>
      <c r="S5183" s="508">
        <v>7.2999999999999995E-2</v>
      </c>
      <c r="T5183" s="508">
        <v>6.8000000000000005E-2</v>
      </c>
      <c r="U5183" s="508">
        <v>7.1999999999999995E-2</v>
      </c>
      <c r="V5183" s="508">
        <v>7.8E-2</v>
      </c>
      <c r="W5183" s="508">
        <v>7.4999999999999997E-2</v>
      </c>
      <c r="X5183" s="508">
        <v>7.9000000000000001E-2</v>
      </c>
      <c r="Y5183" s="508">
        <v>7.4999999999999997E-2</v>
      </c>
      <c r="Z5183" s="508">
        <v>7.9000000000000001E-2</v>
      </c>
      <c r="AA5183" s="508">
        <v>7.4999999999999997E-2</v>
      </c>
      <c r="AB5183" s="508">
        <v>7.5999999999999998E-2</v>
      </c>
      <c r="AC5183" s="508">
        <v>7.2999999999999995E-2</v>
      </c>
      <c r="AD5183" s="508">
        <v>6.7000000000000004E-2</v>
      </c>
      <c r="AE5183" s="508">
        <v>7.3999999999999996E-2</v>
      </c>
      <c r="AF5183" s="508">
        <v>7.3999999999999996E-2</v>
      </c>
      <c r="AG5183" s="508">
        <v>7.3999999999999996E-2</v>
      </c>
      <c r="AH5183" s="508">
        <v>7.3999999999999996E-2</v>
      </c>
      <c r="AI5183" s="492">
        <v>7.3999999999999996E-2</v>
      </c>
      <c r="AJ5183" s="485"/>
    </row>
    <row r="5184" spans="2:36">
      <c r="B5184" s="136" t="s">
        <v>445</v>
      </c>
      <c r="C5184" s="132" t="s">
        <v>1376</v>
      </c>
      <c r="D5184" s="132" t="s">
        <v>1379</v>
      </c>
      <c r="E5184" s="508">
        <v>8.5999999999999993E-2</v>
      </c>
      <c r="F5184" s="508">
        <v>8.4000000000000005E-2</v>
      </c>
      <c r="G5184" s="508">
        <v>8.7999999999999995E-2</v>
      </c>
      <c r="H5184" s="508">
        <v>8.8999999999999996E-2</v>
      </c>
      <c r="I5184" s="508">
        <v>8.2000000000000003E-2</v>
      </c>
      <c r="J5184" s="508">
        <v>8.6999999999999994E-2</v>
      </c>
      <c r="K5184" s="508">
        <v>9.2999999999999999E-2</v>
      </c>
      <c r="L5184" s="508">
        <v>9.5000000000000001E-2</v>
      </c>
      <c r="M5184" s="508">
        <v>8.5000000000000006E-2</v>
      </c>
      <c r="N5184" s="508">
        <v>8.5999999999999993E-2</v>
      </c>
      <c r="O5184" s="508">
        <v>8.5999999999999993E-2</v>
      </c>
      <c r="P5184" s="508">
        <v>8.6999999999999994E-2</v>
      </c>
      <c r="Q5184" s="508">
        <v>0.09</v>
      </c>
      <c r="R5184" s="508">
        <v>9.1999999999999998E-2</v>
      </c>
      <c r="S5184" s="508">
        <v>8.7999999999999995E-2</v>
      </c>
      <c r="T5184" s="508">
        <v>8.3000000000000004E-2</v>
      </c>
      <c r="U5184" s="508">
        <v>8.6999999999999994E-2</v>
      </c>
      <c r="V5184" s="508">
        <v>9.5000000000000001E-2</v>
      </c>
      <c r="W5184" s="508">
        <v>9.0999999999999998E-2</v>
      </c>
      <c r="X5184" s="508">
        <v>9.7000000000000003E-2</v>
      </c>
      <c r="Y5184" s="508">
        <v>9.0999999999999998E-2</v>
      </c>
      <c r="Z5184" s="508">
        <v>9.6000000000000002E-2</v>
      </c>
      <c r="AA5184" s="508">
        <v>9.0999999999999998E-2</v>
      </c>
      <c r="AB5184" s="508">
        <v>9.1999999999999998E-2</v>
      </c>
      <c r="AC5184" s="508">
        <v>8.7999999999999995E-2</v>
      </c>
      <c r="AD5184" s="508">
        <v>8.1000000000000003E-2</v>
      </c>
      <c r="AE5184" s="508">
        <v>8.8999999999999996E-2</v>
      </c>
      <c r="AF5184" s="508">
        <v>8.8999999999999996E-2</v>
      </c>
      <c r="AG5184" s="508">
        <v>8.8999999999999996E-2</v>
      </c>
      <c r="AH5184" s="508">
        <v>8.8999999999999996E-2</v>
      </c>
      <c r="AI5184" s="492">
        <v>8.8999999999999996E-2</v>
      </c>
      <c r="AJ5184" s="485"/>
    </row>
    <row r="5185" spans="2:36">
      <c r="B5185" s="136" t="s">
        <v>446</v>
      </c>
      <c r="C5185" s="132" t="s">
        <v>1376</v>
      </c>
      <c r="D5185" s="132" t="s">
        <v>1379</v>
      </c>
      <c r="E5185" s="508">
        <v>7.4999999999999997E-2</v>
      </c>
      <c r="F5185" s="508">
        <v>7.3999999999999996E-2</v>
      </c>
      <c r="G5185" s="508">
        <v>7.6999999999999999E-2</v>
      </c>
      <c r="H5185" s="508">
        <v>7.8E-2</v>
      </c>
      <c r="I5185" s="508">
        <v>7.1999999999999995E-2</v>
      </c>
      <c r="J5185" s="508">
        <v>7.5999999999999998E-2</v>
      </c>
      <c r="K5185" s="508">
        <v>8.2000000000000003E-2</v>
      </c>
      <c r="L5185" s="508">
        <v>8.3000000000000004E-2</v>
      </c>
      <c r="M5185" s="508">
        <v>7.3999999999999996E-2</v>
      </c>
      <c r="N5185" s="508">
        <v>7.4999999999999997E-2</v>
      </c>
      <c r="O5185" s="508">
        <v>7.4999999999999997E-2</v>
      </c>
      <c r="P5185" s="508">
        <v>7.6999999999999999E-2</v>
      </c>
      <c r="Q5185" s="508">
        <v>7.9000000000000001E-2</v>
      </c>
      <c r="R5185" s="508">
        <v>8.1000000000000003E-2</v>
      </c>
      <c r="S5185" s="508">
        <v>7.6999999999999999E-2</v>
      </c>
      <c r="T5185" s="508">
        <v>7.2999999999999995E-2</v>
      </c>
      <c r="U5185" s="508">
        <v>7.6999999999999999E-2</v>
      </c>
      <c r="V5185" s="508">
        <v>8.3000000000000004E-2</v>
      </c>
      <c r="W5185" s="508">
        <v>0.08</v>
      </c>
      <c r="X5185" s="508">
        <v>8.5000000000000006E-2</v>
      </c>
      <c r="Y5185" s="508">
        <v>7.9000000000000001E-2</v>
      </c>
      <c r="Z5185" s="508">
        <v>8.4000000000000005E-2</v>
      </c>
      <c r="AA5185" s="508">
        <v>7.9000000000000001E-2</v>
      </c>
      <c r="AB5185" s="508">
        <v>0.08</v>
      </c>
      <c r="AC5185" s="508">
        <v>7.6999999999999999E-2</v>
      </c>
      <c r="AD5185" s="508">
        <v>7.0999999999999994E-2</v>
      </c>
      <c r="AE5185" s="508">
        <v>7.8E-2</v>
      </c>
      <c r="AF5185" s="508">
        <v>7.8E-2</v>
      </c>
      <c r="AG5185" s="508">
        <v>7.8E-2</v>
      </c>
      <c r="AH5185" s="508">
        <v>7.8E-2</v>
      </c>
      <c r="AI5185" s="492">
        <v>7.8E-2</v>
      </c>
      <c r="AJ5185" s="485"/>
    </row>
    <row r="5186" spans="2:36">
      <c r="B5186" s="136" t="s">
        <v>448</v>
      </c>
      <c r="C5186" s="132" t="s">
        <v>1376</v>
      </c>
      <c r="D5186" s="132" t="s">
        <v>1379</v>
      </c>
      <c r="E5186" s="508">
        <v>5.8000000000000003E-2</v>
      </c>
      <c r="F5186" s="508">
        <v>5.7000000000000002E-2</v>
      </c>
      <c r="G5186" s="508">
        <v>0.06</v>
      </c>
      <c r="H5186" s="508">
        <v>0.06</v>
      </c>
      <c r="I5186" s="508">
        <v>5.5E-2</v>
      </c>
      <c r="J5186" s="508">
        <v>5.8999999999999997E-2</v>
      </c>
      <c r="K5186" s="508">
        <v>6.3E-2</v>
      </c>
      <c r="L5186" s="508">
        <v>6.4000000000000001E-2</v>
      </c>
      <c r="M5186" s="508">
        <v>5.8000000000000003E-2</v>
      </c>
      <c r="N5186" s="508">
        <v>5.8000000000000003E-2</v>
      </c>
      <c r="O5186" s="508">
        <v>5.8000000000000003E-2</v>
      </c>
      <c r="P5186" s="508">
        <v>5.8999999999999997E-2</v>
      </c>
      <c r="Q5186" s="508">
        <v>6.0999999999999999E-2</v>
      </c>
      <c r="R5186" s="508">
        <v>6.2E-2</v>
      </c>
      <c r="S5186" s="508">
        <v>0.06</v>
      </c>
      <c r="T5186" s="508">
        <v>5.6000000000000001E-2</v>
      </c>
      <c r="U5186" s="508">
        <v>5.8999999999999997E-2</v>
      </c>
      <c r="V5186" s="508">
        <v>6.4000000000000001E-2</v>
      </c>
      <c r="W5186" s="508">
        <v>6.2E-2</v>
      </c>
      <c r="X5186" s="508">
        <v>6.5000000000000002E-2</v>
      </c>
      <c r="Y5186" s="508">
        <v>6.0999999999999999E-2</v>
      </c>
      <c r="Z5186" s="508">
        <v>6.5000000000000002E-2</v>
      </c>
      <c r="AA5186" s="508">
        <v>6.0999999999999999E-2</v>
      </c>
      <c r="AB5186" s="508">
        <v>6.2E-2</v>
      </c>
      <c r="AC5186" s="508">
        <v>0.06</v>
      </c>
      <c r="AD5186" s="508">
        <v>5.5E-2</v>
      </c>
      <c r="AE5186" s="508">
        <v>6.0999999999999999E-2</v>
      </c>
      <c r="AF5186" s="508">
        <v>6.0999999999999999E-2</v>
      </c>
      <c r="AG5186" s="508">
        <v>6.0999999999999999E-2</v>
      </c>
      <c r="AH5186" s="508">
        <v>6.0999999999999999E-2</v>
      </c>
      <c r="AI5186" s="492">
        <v>6.0999999999999999E-2</v>
      </c>
      <c r="AJ5186" s="485"/>
    </row>
    <row r="5187" spans="2:36">
      <c r="B5187" s="136" t="s">
        <v>449</v>
      </c>
      <c r="C5187" s="132" t="s">
        <v>1376</v>
      </c>
      <c r="D5187" s="132" t="s">
        <v>1379</v>
      </c>
      <c r="E5187" s="508">
        <v>7.1999999999999995E-2</v>
      </c>
      <c r="F5187" s="508">
        <v>7.0999999999999994E-2</v>
      </c>
      <c r="G5187" s="508">
        <v>7.3999999999999996E-2</v>
      </c>
      <c r="H5187" s="508">
        <v>7.4999999999999997E-2</v>
      </c>
      <c r="I5187" s="508">
        <v>6.8000000000000005E-2</v>
      </c>
      <c r="J5187" s="508">
        <v>7.2999999999999995E-2</v>
      </c>
      <c r="K5187" s="508">
        <v>7.8E-2</v>
      </c>
      <c r="L5187" s="508">
        <v>7.9000000000000001E-2</v>
      </c>
      <c r="M5187" s="508">
        <v>7.0999999999999994E-2</v>
      </c>
      <c r="N5187" s="508">
        <v>7.1999999999999995E-2</v>
      </c>
      <c r="O5187" s="508">
        <v>7.1999999999999995E-2</v>
      </c>
      <c r="P5187" s="508">
        <v>7.2999999999999995E-2</v>
      </c>
      <c r="Q5187" s="508">
        <v>7.4999999999999997E-2</v>
      </c>
      <c r="R5187" s="508">
        <v>7.6999999999999999E-2</v>
      </c>
      <c r="S5187" s="508">
        <v>7.3999999999999996E-2</v>
      </c>
      <c r="T5187" s="508">
        <v>7.0000000000000007E-2</v>
      </c>
      <c r="U5187" s="508">
        <v>7.2999999999999995E-2</v>
      </c>
      <c r="V5187" s="508">
        <v>7.9000000000000001E-2</v>
      </c>
      <c r="W5187" s="508">
        <v>7.6999999999999999E-2</v>
      </c>
      <c r="X5187" s="508">
        <v>8.1000000000000003E-2</v>
      </c>
      <c r="Y5187" s="508">
        <v>7.5999999999999998E-2</v>
      </c>
      <c r="Z5187" s="508">
        <v>0.08</v>
      </c>
      <c r="AA5187" s="508">
        <v>7.5999999999999998E-2</v>
      </c>
      <c r="AB5187" s="508">
        <v>7.6999999999999999E-2</v>
      </c>
      <c r="AC5187" s="508">
        <v>7.3999999999999996E-2</v>
      </c>
      <c r="AD5187" s="508">
        <v>6.8000000000000005E-2</v>
      </c>
      <c r="AE5187" s="508">
        <v>7.4999999999999997E-2</v>
      </c>
      <c r="AF5187" s="508">
        <v>7.4999999999999997E-2</v>
      </c>
      <c r="AG5187" s="508">
        <v>7.4999999999999997E-2</v>
      </c>
      <c r="AH5187" s="508">
        <v>7.4999999999999997E-2</v>
      </c>
      <c r="AI5187" s="492">
        <v>7.4999999999999997E-2</v>
      </c>
      <c r="AJ5187" s="485"/>
    </row>
    <row r="5188" spans="2:36">
      <c r="B5188" s="136" t="s">
        <v>450</v>
      </c>
      <c r="C5188" s="132" t="s">
        <v>1376</v>
      </c>
      <c r="D5188" s="132" t="s">
        <v>1379</v>
      </c>
      <c r="E5188" s="508">
        <v>7.6999999999999999E-2</v>
      </c>
      <c r="F5188" s="508">
        <v>7.5999999999999998E-2</v>
      </c>
      <c r="G5188" s="508">
        <v>7.8E-2</v>
      </c>
      <c r="H5188" s="508">
        <v>7.8E-2</v>
      </c>
      <c r="I5188" s="508">
        <v>7.3999999999999996E-2</v>
      </c>
      <c r="J5188" s="508">
        <v>7.5999999999999998E-2</v>
      </c>
      <c r="K5188" s="508">
        <v>0.08</v>
      </c>
      <c r="L5188" s="508">
        <v>0.08</v>
      </c>
      <c r="M5188" s="508">
        <v>7.4999999999999997E-2</v>
      </c>
      <c r="N5188" s="508">
        <v>7.4999999999999997E-2</v>
      </c>
      <c r="O5188" s="508">
        <v>7.4999999999999997E-2</v>
      </c>
      <c r="P5188" s="508">
        <v>7.5999999999999998E-2</v>
      </c>
      <c r="Q5188" s="508">
        <v>7.5999999999999998E-2</v>
      </c>
      <c r="R5188" s="508">
        <v>7.9000000000000001E-2</v>
      </c>
      <c r="S5188" s="508">
        <v>7.5999999999999998E-2</v>
      </c>
      <c r="T5188" s="508">
        <v>7.2999999999999995E-2</v>
      </c>
      <c r="U5188" s="508">
        <v>7.4999999999999997E-2</v>
      </c>
      <c r="V5188" s="508">
        <v>0.08</v>
      </c>
      <c r="W5188" s="508">
        <v>7.8E-2</v>
      </c>
      <c r="X5188" s="508">
        <v>8.1000000000000003E-2</v>
      </c>
      <c r="Y5188" s="508">
        <v>7.8E-2</v>
      </c>
      <c r="Z5188" s="508">
        <v>8.1000000000000003E-2</v>
      </c>
      <c r="AA5188" s="508">
        <v>7.8E-2</v>
      </c>
      <c r="AB5188" s="508">
        <v>7.8E-2</v>
      </c>
      <c r="AC5188" s="508">
        <v>7.5999999999999998E-2</v>
      </c>
      <c r="AD5188" s="508">
        <v>7.1999999999999995E-2</v>
      </c>
      <c r="AE5188" s="508">
        <v>7.6999999999999999E-2</v>
      </c>
      <c r="AF5188" s="508">
        <v>7.6999999999999999E-2</v>
      </c>
      <c r="AG5188" s="508">
        <v>7.6999999999999999E-2</v>
      </c>
      <c r="AH5188" s="508">
        <v>7.6999999999999999E-2</v>
      </c>
      <c r="AI5188" s="492">
        <v>7.6999999999999999E-2</v>
      </c>
      <c r="AJ5188" s="485"/>
    </row>
    <row r="5189" spans="2:36">
      <c r="B5189" s="136" t="s">
        <v>451</v>
      </c>
      <c r="C5189" s="132" t="s">
        <v>1376</v>
      </c>
      <c r="D5189" s="132" t="s">
        <v>1379</v>
      </c>
      <c r="E5189" s="508">
        <v>7.6999999999999999E-2</v>
      </c>
      <c r="F5189" s="508">
        <v>7.5999999999999998E-2</v>
      </c>
      <c r="G5189" s="508">
        <v>7.9000000000000001E-2</v>
      </c>
      <c r="H5189" s="508">
        <v>0.08</v>
      </c>
      <c r="I5189" s="508">
        <v>7.2999999999999995E-2</v>
      </c>
      <c r="J5189" s="508">
        <v>7.8E-2</v>
      </c>
      <c r="K5189" s="508">
        <v>8.3000000000000004E-2</v>
      </c>
      <c r="L5189" s="508">
        <v>8.5000000000000006E-2</v>
      </c>
      <c r="M5189" s="508">
        <v>7.5999999999999998E-2</v>
      </c>
      <c r="N5189" s="508">
        <v>7.6999999999999999E-2</v>
      </c>
      <c r="O5189" s="508">
        <v>7.6999999999999999E-2</v>
      </c>
      <c r="P5189" s="508">
        <v>7.8E-2</v>
      </c>
      <c r="Q5189" s="508">
        <v>0.08</v>
      </c>
      <c r="R5189" s="508">
        <v>8.2000000000000003E-2</v>
      </c>
      <c r="S5189" s="508">
        <v>7.9000000000000001E-2</v>
      </c>
      <c r="T5189" s="508">
        <v>7.3999999999999996E-2</v>
      </c>
      <c r="U5189" s="508">
        <v>7.8E-2</v>
      </c>
      <c r="V5189" s="508">
        <v>8.5000000000000006E-2</v>
      </c>
      <c r="W5189" s="508">
        <v>8.2000000000000003E-2</v>
      </c>
      <c r="X5189" s="508">
        <v>8.6999999999999994E-2</v>
      </c>
      <c r="Y5189" s="508">
        <v>8.1000000000000003E-2</v>
      </c>
      <c r="Z5189" s="508">
        <v>8.5999999999999993E-2</v>
      </c>
      <c r="AA5189" s="508">
        <v>8.1000000000000003E-2</v>
      </c>
      <c r="AB5189" s="508">
        <v>8.2000000000000003E-2</v>
      </c>
      <c r="AC5189" s="508">
        <v>7.9000000000000001E-2</v>
      </c>
      <c r="AD5189" s="508">
        <v>7.1999999999999995E-2</v>
      </c>
      <c r="AE5189" s="508">
        <v>0.08</v>
      </c>
      <c r="AF5189" s="508">
        <v>0.08</v>
      </c>
      <c r="AG5189" s="508">
        <v>0.08</v>
      </c>
      <c r="AH5189" s="508">
        <v>0.08</v>
      </c>
      <c r="AI5189" s="492">
        <v>0.08</v>
      </c>
      <c r="AJ5189" s="485"/>
    </row>
    <row r="5190" spans="2:36">
      <c r="B5190" s="136" t="s">
        <v>452</v>
      </c>
      <c r="C5190" s="132" t="s">
        <v>1376</v>
      </c>
      <c r="D5190" s="132" t="s">
        <v>1379</v>
      </c>
      <c r="E5190" s="508">
        <v>6.6000000000000003E-2</v>
      </c>
      <c r="F5190" s="508">
        <v>6.5000000000000002E-2</v>
      </c>
      <c r="G5190" s="508">
        <v>6.8000000000000005E-2</v>
      </c>
      <c r="H5190" s="508">
        <v>6.8000000000000005E-2</v>
      </c>
      <c r="I5190" s="508">
        <v>6.3E-2</v>
      </c>
      <c r="J5190" s="508">
        <v>6.7000000000000004E-2</v>
      </c>
      <c r="K5190" s="508">
        <v>7.0999999999999994E-2</v>
      </c>
      <c r="L5190" s="508">
        <v>7.2999999999999995E-2</v>
      </c>
      <c r="M5190" s="508">
        <v>6.5000000000000002E-2</v>
      </c>
      <c r="N5190" s="508">
        <v>6.6000000000000003E-2</v>
      </c>
      <c r="O5190" s="508">
        <v>6.6000000000000003E-2</v>
      </c>
      <c r="P5190" s="508">
        <v>6.7000000000000004E-2</v>
      </c>
      <c r="Q5190" s="508">
        <v>6.9000000000000006E-2</v>
      </c>
      <c r="R5190" s="508">
        <v>7.0999999999999994E-2</v>
      </c>
      <c r="S5190" s="508">
        <v>6.8000000000000005E-2</v>
      </c>
      <c r="T5190" s="508">
        <v>6.4000000000000001E-2</v>
      </c>
      <c r="U5190" s="508">
        <v>6.7000000000000004E-2</v>
      </c>
      <c r="V5190" s="508">
        <v>7.2999999999999995E-2</v>
      </c>
      <c r="W5190" s="508">
        <v>7.0000000000000007E-2</v>
      </c>
      <c r="X5190" s="508">
        <v>7.3999999999999996E-2</v>
      </c>
      <c r="Y5190" s="508">
        <v>7.0000000000000007E-2</v>
      </c>
      <c r="Z5190" s="508">
        <v>7.3999999999999996E-2</v>
      </c>
      <c r="AA5190" s="508">
        <v>7.0000000000000007E-2</v>
      </c>
      <c r="AB5190" s="508">
        <v>7.0000000000000007E-2</v>
      </c>
      <c r="AC5190" s="508">
        <v>6.8000000000000005E-2</v>
      </c>
      <c r="AD5190" s="508">
        <v>6.2E-2</v>
      </c>
      <c r="AE5190" s="508">
        <v>6.9000000000000006E-2</v>
      </c>
      <c r="AF5190" s="508">
        <v>6.9000000000000006E-2</v>
      </c>
      <c r="AG5190" s="508">
        <v>6.9000000000000006E-2</v>
      </c>
      <c r="AH5190" s="508">
        <v>6.9000000000000006E-2</v>
      </c>
      <c r="AI5190" s="492">
        <v>6.9000000000000006E-2</v>
      </c>
      <c r="AJ5190" s="485"/>
    </row>
    <row r="5191" spans="2:36">
      <c r="B5191" s="136" t="s">
        <v>453</v>
      </c>
      <c r="C5191" s="132" t="s">
        <v>1376</v>
      </c>
      <c r="D5191" s="132" t="s">
        <v>1379</v>
      </c>
      <c r="E5191" s="508">
        <v>5.6000000000000001E-2</v>
      </c>
      <c r="F5191" s="508">
        <v>5.6000000000000001E-2</v>
      </c>
      <c r="G5191" s="508">
        <v>5.8000000000000003E-2</v>
      </c>
      <c r="H5191" s="508">
        <v>5.8999999999999997E-2</v>
      </c>
      <c r="I5191" s="508">
        <v>5.3999999999999999E-2</v>
      </c>
      <c r="J5191" s="508">
        <v>5.7000000000000002E-2</v>
      </c>
      <c r="K5191" s="508">
        <v>6.0999999999999999E-2</v>
      </c>
      <c r="L5191" s="508">
        <v>6.2E-2</v>
      </c>
      <c r="M5191" s="508">
        <v>5.6000000000000001E-2</v>
      </c>
      <c r="N5191" s="508">
        <v>5.7000000000000002E-2</v>
      </c>
      <c r="O5191" s="508">
        <v>5.6000000000000001E-2</v>
      </c>
      <c r="P5191" s="508">
        <v>5.8000000000000003E-2</v>
      </c>
      <c r="Q5191" s="508">
        <v>5.8999999999999997E-2</v>
      </c>
      <c r="R5191" s="508">
        <v>0.06</v>
      </c>
      <c r="S5191" s="508">
        <v>5.8000000000000003E-2</v>
      </c>
      <c r="T5191" s="508">
        <v>5.5E-2</v>
      </c>
      <c r="U5191" s="508">
        <v>5.7000000000000002E-2</v>
      </c>
      <c r="V5191" s="508">
        <v>6.2E-2</v>
      </c>
      <c r="W5191" s="508">
        <v>0.06</v>
      </c>
      <c r="X5191" s="508">
        <v>6.3E-2</v>
      </c>
      <c r="Y5191" s="508">
        <v>0.06</v>
      </c>
      <c r="Z5191" s="508">
        <v>6.3E-2</v>
      </c>
      <c r="AA5191" s="508">
        <v>0.06</v>
      </c>
      <c r="AB5191" s="508">
        <v>0.06</v>
      </c>
      <c r="AC5191" s="508">
        <v>5.8000000000000003E-2</v>
      </c>
      <c r="AD5191" s="508">
        <v>5.2999999999999999E-2</v>
      </c>
      <c r="AE5191" s="508">
        <v>5.8999999999999997E-2</v>
      </c>
      <c r="AF5191" s="508">
        <v>5.8999999999999997E-2</v>
      </c>
      <c r="AG5191" s="508">
        <v>5.8999999999999997E-2</v>
      </c>
      <c r="AH5191" s="508">
        <v>5.8999999999999997E-2</v>
      </c>
      <c r="AI5191" s="492">
        <v>5.8999999999999997E-2</v>
      </c>
      <c r="AJ5191" s="485"/>
    </row>
    <row r="5192" spans="2:36">
      <c r="B5192" s="136" t="s">
        <v>454</v>
      </c>
      <c r="C5192" s="132" t="s">
        <v>1376</v>
      </c>
      <c r="D5192" s="132" t="s">
        <v>1379</v>
      </c>
      <c r="E5192" s="508">
        <v>5.8000000000000003E-2</v>
      </c>
      <c r="F5192" s="508">
        <v>5.7000000000000002E-2</v>
      </c>
      <c r="G5192" s="508">
        <v>0.06</v>
      </c>
      <c r="H5192" s="508">
        <v>0.06</v>
      </c>
      <c r="I5192" s="508">
        <v>5.5E-2</v>
      </c>
      <c r="J5192" s="508">
        <v>5.8999999999999997E-2</v>
      </c>
      <c r="K5192" s="508">
        <v>6.3E-2</v>
      </c>
      <c r="L5192" s="508">
        <v>6.4000000000000001E-2</v>
      </c>
      <c r="M5192" s="508">
        <v>5.8000000000000003E-2</v>
      </c>
      <c r="N5192" s="508">
        <v>5.8000000000000003E-2</v>
      </c>
      <c r="O5192" s="508">
        <v>5.8000000000000003E-2</v>
      </c>
      <c r="P5192" s="508">
        <v>5.8999999999999997E-2</v>
      </c>
      <c r="Q5192" s="508">
        <v>6.0999999999999999E-2</v>
      </c>
      <c r="R5192" s="508">
        <v>6.2E-2</v>
      </c>
      <c r="S5192" s="508">
        <v>0.06</v>
      </c>
      <c r="T5192" s="508">
        <v>5.6000000000000001E-2</v>
      </c>
      <c r="U5192" s="508">
        <v>5.8999999999999997E-2</v>
      </c>
      <c r="V5192" s="508">
        <v>6.4000000000000001E-2</v>
      </c>
      <c r="W5192" s="508">
        <v>6.2E-2</v>
      </c>
      <c r="X5192" s="508">
        <v>6.5000000000000002E-2</v>
      </c>
      <c r="Y5192" s="508">
        <v>6.0999999999999999E-2</v>
      </c>
      <c r="Z5192" s="508">
        <v>6.5000000000000002E-2</v>
      </c>
      <c r="AA5192" s="508">
        <v>6.0999999999999999E-2</v>
      </c>
      <c r="AB5192" s="508">
        <v>6.2E-2</v>
      </c>
      <c r="AC5192" s="508">
        <v>0.06</v>
      </c>
      <c r="AD5192" s="508">
        <v>5.5E-2</v>
      </c>
      <c r="AE5192" s="508">
        <v>6.0999999999999999E-2</v>
      </c>
      <c r="AF5192" s="508">
        <v>6.0999999999999999E-2</v>
      </c>
      <c r="AG5192" s="508">
        <v>6.0999999999999999E-2</v>
      </c>
      <c r="AH5192" s="508">
        <v>6.0999999999999999E-2</v>
      </c>
      <c r="AI5192" s="492">
        <v>6.0999999999999999E-2</v>
      </c>
      <c r="AJ5192" s="485"/>
    </row>
    <row r="5193" spans="2:36">
      <c r="B5193" s="136" t="s">
        <v>455</v>
      </c>
      <c r="C5193" s="132" t="s">
        <v>1376</v>
      </c>
      <c r="D5193" s="132" t="s">
        <v>1379</v>
      </c>
      <c r="E5193" s="508">
        <v>5.3999999999999999E-2</v>
      </c>
      <c r="F5193" s="508">
        <v>5.2999999999999999E-2</v>
      </c>
      <c r="G5193" s="508">
        <v>5.5E-2</v>
      </c>
      <c r="H5193" s="508">
        <v>5.6000000000000001E-2</v>
      </c>
      <c r="I5193" s="508">
        <v>5.0999999999999997E-2</v>
      </c>
      <c r="J5193" s="508">
        <v>5.3999999999999999E-2</v>
      </c>
      <c r="K5193" s="508">
        <v>5.8000000000000003E-2</v>
      </c>
      <c r="L5193" s="508">
        <v>5.8999999999999997E-2</v>
      </c>
      <c r="M5193" s="508">
        <v>5.2999999999999999E-2</v>
      </c>
      <c r="N5193" s="508">
        <v>5.3999999999999999E-2</v>
      </c>
      <c r="O5193" s="508">
        <v>5.3999999999999999E-2</v>
      </c>
      <c r="P5193" s="508">
        <v>5.5E-2</v>
      </c>
      <c r="Q5193" s="508">
        <v>5.6000000000000001E-2</v>
      </c>
      <c r="R5193" s="508">
        <v>5.8000000000000003E-2</v>
      </c>
      <c r="S5193" s="508">
        <v>5.5E-2</v>
      </c>
      <c r="T5193" s="508">
        <v>5.1999999999999998E-2</v>
      </c>
      <c r="U5193" s="508">
        <v>5.5E-2</v>
      </c>
      <c r="V5193" s="508">
        <v>5.8999999999999997E-2</v>
      </c>
      <c r="W5193" s="508">
        <v>5.7000000000000002E-2</v>
      </c>
      <c r="X5193" s="508">
        <v>0.06</v>
      </c>
      <c r="Y5193" s="508">
        <v>5.7000000000000002E-2</v>
      </c>
      <c r="Z5193" s="508">
        <v>0.06</v>
      </c>
      <c r="AA5193" s="508">
        <v>5.7000000000000002E-2</v>
      </c>
      <c r="AB5193" s="508">
        <v>5.7000000000000002E-2</v>
      </c>
      <c r="AC5193" s="508">
        <v>5.5E-2</v>
      </c>
      <c r="AD5193" s="508">
        <v>5.0999999999999997E-2</v>
      </c>
      <c r="AE5193" s="508">
        <v>5.6000000000000001E-2</v>
      </c>
      <c r="AF5193" s="508">
        <v>5.6000000000000001E-2</v>
      </c>
      <c r="AG5193" s="508">
        <v>5.6000000000000001E-2</v>
      </c>
      <c r="AH5193" s="508">
        <v>5.6000000000000001E-2</v>
      </c>
      <c r="AI5193" s="492">
        <v>5.6000000000000001E-2</v>
      </c>
      <c r="AJ5193" s="485"/>
    </row>
    <row r="5194" spans="2:36">
      <c r="B5194" s="136" t="s">
        <v>456</v>
      </c>
      <c r="C5194" s="132" t="s">
        <v>1376</v>
      </c>
      <c r="D5194" s="132" t="s">
        <v>1379</v>
      </c>
      <c r="E5194" s="508">
        <v>6.0999999999999999E-2</v>
      </c>
      <c r="F5194" s="508">
        <v>0.06</v>
      </c>
      <c r="G5194" s="508">
        <v>6.2E-2</v>
      </c>
      <c r="H5194" s="508">
        <v>6.3E-2</v>
      </c>
      <c r="I5194" s="508">
        <v>5.8000000000000003E-2</v>
      </c>
      <c r="J5194" s="508">
        <v>6.0999999999999999E-2</v>
      </c>
      <c r="K5194" s="508">
        <v>6.6000000000000003E-2</v>
      </c>
      <c r="L5194" s="508">
        <v>6.7000000000000004E-2</v>
      </c>
      <c r="M5194" s="508">
        <v>0.06</v>
      </c>
      <c r="N5194" s="508">
        <v>6.0999999999999999E-2</v>
      </c>
      <c r="O5194" s="508">
        <v>6.0999999999999999E-2</v>
      </c>
      <c r="P5194" s="508">
        <v>6.2E-2</v>
      </c>
      <c r="Q5194" s="508">
        <v>6.3E-2</v>
      </c>
      <c r="R5194" s="508">
        <v>6.5000000000000002E-2</v>
      </c>
      <c r="S5194" s="508">
        <v>6.3E-2</v>
      </c>
      <c r="T5194" s="508">
        <v>5.8999999999999997E-2</v>
      </c>
      <c r="U5194" s="508">
        <v>6.2E-2</v>
      </c>
      <c r="V5194" s="508">
        <v>6.7000000000000004E-2</v>
      </c>
      <c r="W5194" s="508">
        <v>6.5000000000000002E-2</v>
      </c>
      <c r="X5194" s="508">
        <v>6.8000000000000005E-2</v>
      </c>
      <c r="Y5194" s="508">
        <v>6.4000000000000001E-2</v>
      </c>
      <c r="Z5194" s="508">
        <v>6.8000000000000005E-2</v>
      </c>
      <c r="AA5194" s="508">
        <v>6.4000000000000001E-2</v>
      </c>
      <c r="AB5194" s="508">
        <v>6.5000000000000002E-2</v>
      </c>
      <c r="AC5194" s="508">
        <v>6.2E-2</v>
      </c>
      <c r="AD5194" s="508">
        <v>5.7000000000000002E-2</v>
      </c>
      <c r="AE5194" s="508">
        <v>6.3E-2</v>
      </c>
      <c r="AF5194" s="508">
        <v>6.3E-2</v>
      </c>
      <c r="AG5194" s="508">
        <v>6.3E-2</v>
      </c>
      <c r="AH5194" s="508">
        <v>6.3E-2</v>
      </c>
      <c r="AI5194" s="492">
        <v>6.3E-2</v>
      </c>
      <c r="AJ5194" s="485"/>
    </row>
    <row r="5195" spans="2:36">
      <c r="B5195" s="136" t="s">
        <v>457</v>
      </c>
      <c r="C5195" s="132" t="s">
        <v>1376</v>
      </c>
      <c r="D5195" s="132" t="s">
        <v>1379</v>
      </c>
      <c r="E5195" s="508">
        <v>5.1999999999999998E-2</v>
      </c>
      <c r="F5195" s="508">
        <v>5.0999999999999997E-2</v>
      </c>
      <c r="G5195" s="508">
        <v>5.2999999999999999E-2</v>
      </c>
      <c r="H5195" s="508">
        <v>5.3999999999999999E-2</v>
      </c>
      <c r="I5195" s="508">
        <v>0.05</v>
      </c>
      <c r="J5195" s="508">
        <v>5.2999999999999999E-2</v>
      </c>
      <c r="K5195" s="508">
        <v>5.6000000000000001E-2</v>
      </c>
      <c r="L5195" s="508">
        <v>5.7000000000000002E-2</v>
      </c>
      <c r="M5195" s="508">
        <v>5.0999999999999997E-2</v>
      </c>
      <c r="N5195" s="508">
        <v>5.1999999999999998E-2</v>
      </c>
      <c r="O5195" s="508">
        <v>5.1999999999999998E-2</v>
      </c>
      <c r="P5195" s="508">
        <v>5.2999999999999999E-2</v>
      </c>
      <c r="Q5195" s="508">
        <v>5.3999999999999999E-2</v>
      </c>
      <c r="R5195" s="508">
        <v>5.6000000000000001E-2</v>
      </c>
      <c r="S5195" s="508">
        <v>5.3999999999999999E-2</v>
      </c>
      <c r="T5195" s="508">
        <v>0.05</v>
      </c>
      <c r="U5195" s="508">
        <v>5.2999999999999999E-2</v>
      </c>
      <c r="V5195" s="508">
        <v>5.7000000000000002E-2</v>
      </c>
      <c r="W5195" s="508">
        <v>5.5E-2</v>
      </c>
      <c r="X5195" s="508">
        <v>5.8000000000000003E-2</v>
      </c>
      <c r="Y5195" s="508">
        <v>5.5E-2</v>
      </c>
      <c r="Z5195" s="508">
        <v>5.8000000000000003E-2</v>
      </c>
      <c r="AA5195" s="508">
        <v>5.5E-2</v>
      </c>
      <c r="AB5195" s="508">
        <v>5.5E-2</v>
      </c>
      <c r="AC5195" s="508">
        <v>5.2999999999999999E-2</v>
      </c>
      <c r="AD5195" s="508">
        <v>4.9000000000000002E-2</v>
      </c>
      <c r="AE5195" s="508">
        <v>5.3999999999999999E-2</v>
      </c>
      <c r="AF5195" s="508">
        <v>5.3999999999999999E-2</v>
      </c>
      <c r="AG5195" s="508">
        <v>5.3999999999999999E-2</v>
      </c>
      <c r="AH5195" s="508">
        <v>5.3999999999999999E-2</v>
      </c>
      <c r="AI5195" s="492">
        <v>5.3999999999999999E-2</v>
      </c>
      <c r="AJ5195" s="485"/>
    </row>
    <row r="5196" spans="2:36">
      <c r="B5196" s="136" t="s">
        <v>458</v>
      </c>
      <c r="C5196" s="132" t="s">
        <v>1376</v>
      </c>
      <c r="D5196" s="132" t="s">
        <v>1379</v>
      </c>
      <c r="E5196" s="508">
        <v>6.2E-2</v>
      </c>
      <c r="F5196" s="508">
        <v>6.0999999999999999E-2</v>
      </c>
      <c r="G5196" s="508">
        <v>6.3E-2</v>
      </c>
      <c r="H5196" s="508">
        <v>6.4000000000000001E-2</v>
      </c>
      <c r="I5196" s="508">
        <v>5.8999999999999997E-2</v>
      </c>
      <c r="J5196" s="508">
        <v>6.2E-2</v>
      </c>
      <c r="K5196" s="508">
        <v>6.7000000000000004E-2</v>
      </c>
      <c r="L5196" s="508">
        <v>6.8000000000000005E-2</v>
      </c>
      <c r="M5196" s="508">
        <v>6.0999999999999999E-2</v>
      </c>
      <c r="N5196" s="508">
        <v>6.2E-2</v>
      </c>
      <c r="O5196" s="508">
        <v>6.2E-2</v>
      </c>
      <c r="P5196" s="508">
        <v>6.3E-2</v>
      </c>
      <c r="Q5196" s="508">
        <v>6.4000000000000001E-2</v>
      </c>
      <c r="R5196" s="508">
        <v>6.6000000000000003E-2</v>
      </c>
      <c r="S5196" s="508">
        <v>6.4000000000000001E-2</v>
      </c>
      <c r="T5196" s="508">
        <v>0.06</v>
      </c>
      <c r="U5196" s="508">
        <v>6.3E-2</v>
      </c>
      <c r="V5196" s="508">
        <v>6.8000000000000005E-2</v>
      </c>
      <c r="W5196" s="508">
        <v>6.6000000000000003E-2</v>
      </c>
      <c r="X5196" s="508">
        <v>6.9000000000000006E-2</v>
      </c>
      <c r="Y5196" s="508">
        <v>6.5000000000000002E-2</v>
      </c>
      <c r="Z5196" s="508">
        <v>6.9000000000000006E-2</v>
      </c>
      <c r="AA5196" s="508">
        <v>6.5000000000000002E-2</v>
      </c>
      <c r="AB5196" s="508">
        <v>6.6000000000000003E-2</v>
      </c>
      <c r="AC5196" s="508">
        <v>6.3E-2</v>
      </c>
      <c r="AD5196" s="508">
        <v>5.8000000000000003E-2</v>
      </c>
      <c r="AE5196" s="508">
        <v>6.4000000000000001E-2</v>
      </c>
      <c r="AF5196" s="508">
        <v>6.4000000000000001E-2</v>
      </c>
      <c r="AG5196" s="508">
        <v>6.4000000000000001E-2</v>
      </c>
      <c r="AH5196" s="508">
        <v>6.4000000000000001E-2</v>
      </c>
      <c r="AI5196" s="492">
        <v>6.4000000000000001E-2</v>
      </c>
      <c r="AJ5196" s="485"/>
    </row>
    <row r="5197" spans="2:36">
      <c r="B5197" s="136" t="s">
        <v>459</v>
      </c>
      <c r="C5197" s="132" t="s">
        <v>1376</v>
      </c>
      <c r="D5197" s="132" t="s">
        <v>1379</v>
      </c>
      <c r="E5197" s="508">
        <v>6.2E-2</v>
      </c>
      <c r="F5197" s="508">
        <v>6.0999999999999999E-2</v>
      </c>
      <c r="G5197" s="508">
        <v>6.3E-2</v>
      </c>
      <c r="H5197" s="508">
        <v>6.4000000000000001E-2</v>
      </c>
      <c r="I5197" s="508">
        <v>5.8999999999999997E-2</v>
      </c>
      <c r="J5197" s="508">
        <v>6.2E-2</v>
      </c>
      <c r="K5197" s="508">
        <v>6.7000000000000004E-2</v>
      </c>
      <c r="L5197" s="508">
        <v>6.8000000000000005E-2</v>
      </c>
      <c r="M5197" s="508">
        <v>6.0999999999999999E-2</v>
      </c>
      <c r="N5197" s="508">
        <v>6.2E-2</v>
      </c>
      <c r="O5197" s="508">
        <v>6.2E-2</v>
      </c>
      <c r="P5197" s="508">
        <v>6.3E-2</v>
      </c>
      <c r="Q5197" s="508">
        <v>6.4000000000000001E-2</v>
      </c>
      <c r="R5197" s="508">
        <v>6.6000000000000003E-2</v>
      </c>
      <c r="S5197" s="508">
        <v>6.3E-2</v>
      </c>
      <c r="T5197" s="508">
        <v>0.06</v>
      </c>
      <c r="U5197" s="508">
        <v>6.3E-2</v>
      </c>
      <c r="V5197" s="508">
        <v>6.8000000000000005E-2</v>
      </c>
      <c r="W5197" s="508">
        <v>6.6000000000000003E-2</v>
      </c>
      <c r="X5197" s="508">
        <v>6.9000000000000006E-2</v>
      </c>
      <c r="Y5197" s="508">
        <v>6.5000000000000002E-2</v>
      </c>
      <c r="Z5197" s="508">
        <v>6.9000000000000006E-2</v>
      </c>
      <c r="AA5197" s="508">
        <v>6.5000000000000002E-2</v>
      </c>
      <c r="AB5197" s="508">
        <v>6.6000000000000003E-2</v>
      </c>
      <c r="AC5197" s="508">
        <v>6.3E-2</v>
      </c>
      <c r="AD5197" s="508">
        <v>5.8000000000000003E-2</v>
      </c>
      <c r="AE5197" s="508">
        <v>6.4000000000000001E-2</v>
      </c>
      <c r="AF5197" s="508">
        <v>6.4000000000000001E-2</v>
      </c>
      <c r="AG5197" s="508">
        <v>6.4000000000000001E-2</v>
      </c>
      <c r="AH5197" s="508">
        <v>6.4000000000000001E-2</v>
      </c>
      <c r="AI5197" s="492">
        <v>6.4000000000000001E-2</v>
      </c>
      <c r="AJ5197" s="485"/>
    </row>
    <row r="5198" spans="2:36">
      <c r="B5198" s="136" t="s">
        <v>460</v>
      </c>
      <c r="C5198" s="132" t="s">
        <v>1376</v>
      </c>
      <c r="D5198" s="132" t="s">
        <v>1379</v>
      </c>
      <c r="E5198" s="508">
        <v>6.3E-2</v>
      </c>
      <c r="F5198" s="508">
        <v>6.2E-2</v>
      </c>
      <c r="G5198" s="508">
        <v>6.5000000000000002E-2</v>
      </c>
      <c r="H5198" s="508">
        <v>6.5000000000000002E-2</v>
      </c>
      <c r="I5198" s="508">
        <v>0.06</v>
      </c>
      <c r="J5198" s="508">
        <v>6.4000000000000001E-2</v>
      </c>
      <c r="K5198" s="508">
        <v>6.8000000000000005E-2</v>
      </c>
      <c r="L5198" s="508">
        <v>7.0000000000000007E-2</v>
      </c>
      <c r="M5198" s="508">
        <v>6.2E-2</v>
      </c>
      <c r="N5198" s="508">
        <v>6.3E-2</v>
      </c>
      <c r="O5198" s="508">
        <v>6.3E-2</v>
      </c>
      <c r="P5198" s="508">
        <v>6.4000000000000001E-2</v>
      </c>
      <c r="Q5198" s="508">
        <v>6.6000000000000003E-2</v>
      </c>
      <c r="R5198" s="508">
        <v>6.7000000000000004E-2</v>
      </c>
      <c r="S5198" s="508">
        <v>6.5000000000000002E-2</v>
      </c>
      <c r="T5198" s="508">
        <v>6.0999999999999999E-2</v>
      </c>
      <c r="U5198" s="508">
        <v>6.4000000000000001E-2</v>
      </c>
      <c r="V5198" s="508">
        <v>6.9000000000000006E-2</v>
      </c>
      <c r="W5198" s="508">
        <v>6.7000000000000004E-2</v>
      </c>
      <c r="X5198" s="508">
        <v>7.0999999999999994E-2</v>
      </c>
      <c r="Y5198" s="508">
        <v>6.6000000000000003E-2</v>
      </c>
      <c r="Z5198" s="508">
        <v>7.0000000000000007E-2</v>
      </c>
      <c r="AA5198" s="508">
        <v>6.6000000000000003E-2</v>
      </c>
      <c r="AB5198" s="508">
        <v>6.7000000000000004E-2</v>
      </c>
      <c r="AC5198" s="508">
        <v>6.5000000000000002E-2</v>
      </c>
      <c r="AD5198" s="508">
        <v>5.8999999999999997E-2</v>
      </c>
      <c r="AE5198" s="508">
        <v>6.6000000000000003E-2</v>
      </c>
      <c r="AF5198" s="508">
        <v>6.6000000000000003E-2</v>
      </c>
      <c r="AG5198" s="508">
        <v>6.6000000000000003E-2</v>
      </c>
      <c r="AH5198" s="508">
        <v>6.6000000000000003E-2</v>
      </c>
      <c r="AI5198" s="492">
        <v>6.6000000000000003E-2</v>
      </c>
      <c r="AJ5198" s="485"/>
    </row>
    <row r="5199" spans="2:36">
      <c r="B5199" s="136" t="s">
        <v>461</v>
      </c>
      <c r="C5199" s="132" t="s">
        <v>1376</v>
      </c>
      <c r="D5199" s="132" t="s">
        <v>1379</v>
      </c>
      <c r="E5199" s="508">
        <v>0.06</v>
      </c>
      <c r="F5199" s="508">
        <v>5.8999999999999997E-2</v>
      </c>
      <c r="G5199" s="508">
        <v>6.2E-2</v>
      </c>
      <c r="H5199" s="508">
        <v>6.3E-2</v>
      </c>
      <c r="I5199" s="508">
        <v>5.8000000000000003E-2</v>
      </c>
      <c r="J5199" s="508">
        <v>6.0999999999999999E-2</v>
      </c>
      <c r="K5199" s="508">
        <v>6.5000000000000002E-2</v>
      </c>
      <c r="L5199" s="508">
        <v>6.7000000000000004E-2</v>
      </c>
      <c r="M5199" s="508">
        <v>0.06</v>
      </c>
      <c r="N5199" s="508">
        <v>6.0999999999999999E-2</v>
      </c>
      <c r="O5199" s="508">
        <v>0.06</v>
      </c>
      <c r="P5199" s="508">
        <v>6.2E-2</v>
      </c>
      <c r="Q5199" s="508">
        <v>6.3E-2</v>
      </c>
      <c r="R5199" s="508">
        <v>6.5000000000000002E-2</v>
      </c>
      <c r="S5199" s="508">
        <v>6.2E-2</v>
      </c>
      <c r="T5199" s="508">
        <v>5.8999999999999997E-2</v>
      </c>
      <c r="U5199" s="508">
        <v>6.2E-2</v>
      </c>
      <c r="V5199" s="508">
        <v>6.6000000000000003E-2</v>
      </c>
      <c r="W5199" s="508">
        <v>6.4000000000000001E-2</v>
      </c>
      <c r="X5199" s="508">
        <v>6.8000000000000005E-2</v>
      </c>
      <c r="Y5199" s="508">
        <v>6.4000000000000001E-2</v>
      </c>
      <c r="Z5199" s="508">
        <v>6.7000000000000004E-2</v>
      </c>
      <c r="AA5199" s="508">
        <v>6.4000000000000001E-2</v>
      </c>
      <c r="AB5199" s="508">
        <v>6.5000000000000002E-2</v>
      </c>
      <c r="AC5199" s="508">
        <v>6.2E-2</v>
      </c>
      <c r="AD5199" s="508">
        <v>5.7000000000000002E-2</v>
      </c>
      <c r="AE5199" s="508">
        <v>6.3E-2</v>
      </c>
      <c r="AF5199" s="508">
        <v>6.3E-2</v>
      </c>
      <c r="AG5199" s="508">
        <v>6.3E-2</v>
      </c>
      <c r="AH5199" s="508">
        <v>6.3E-2</v>
      </c>
      <c r="AI5199" s="492">
        <v>6.3E-2</v>
      </c>
      <c r="AJ5199" s="485"/>
    </row>
    <row r="5200" spans="2:36">
      <c r="B5200" s="136" t="s">
        <v>462</v>
      </c>
      <c r="C5200" s="132" t="s">
        <v>1376</v>
      </c>
      <c r="D5200" s="132" t="s">
        <v>1379</v>
      </c>
      <c r="E5200" s="508">
        <v>5.8999999999999997E-2</v>
      </c>
      <c r="F5200" s="508">
        <v>5.8000000000000003E-2</v>
      </c>
      <c r="G5200" s="508">
        <v>0.06</v>
      </c>
      <c r="H5200" s="508">
        <v>6.0999999999999999E-2</v>
      </c>
      <c r="I5200" s="508">
        <v>5.6000000000000001E-2</v>
      </c>
      <c r="J5200" s="508">
        <v>5.8999999999999997E-2</v>
      </c>
      <c r="K5200" s="508">
        <v>6.3E-2</v>
      </c>
      <c r="L5200" s="508">
        <v>6.5000000000000002E-2</v>
      </c>
      <c r="M5200" s="508">
        <v>5.8000000000000003E-2</v>
      </c>
      <c r="N5200" s="508">
        <v>5.8999999999999997E-2</v>
      </c>
      <c r="O5200" s="508">
        <v>5.8999999999999997E-2</v>
      </c>
      <c r="P5200" s="508">
        <v>0.06</v>
      </c>
      <c r="Q5200" s="508">
        <v>6.0999999999999999E-2</v>
      </c>
      <c r="R5200" s="508">
        <v>6.3E-2</v>
      </c>
      <c r="S5200" s="508">
        <v>0.06</v>
      </c>
      <c r="T5200" s="508">
        <v>5.7000000000000002E-2</v>
      </c>
      <c r="U5200" s="508">
        <v>0.06</v>
      </c>
      <c r="V5200" s="508">
        <v>6.4000000000000001E-2</v>
      </c>
      <c r="W5200" s="508">
        <v>6.2E-2</v>
      </c>
      <c r="X5200" s="508">
        <v>6.6000000000000003E-2</v>
      </c>
      <c r="Y5200" s="508">
        <v>6.2E-2</v>
      </c>
      <c r="Z5200" s="508">
        <v>6.5000000000000002E-2</v>
      </c>
      <c r="AA5200" s="508">
        <v>6.2E-2</v>
      </c>
      <c r="AB5200" s="508">
        <v>6.3E-2</v>
      </c>
      <c r="AC5200" s="508">
        <v>0.06</v>
      </c>
      <c r="AD5200" s="508">
        <v>5.5E-2</v>
      </c>
      <c r="AE5200" s="508">
        <v>6.0999999999999999E-2</v>
      </c>
      <c r="AF5200" s="508">
        <v>6.0999999999999999E-2</v>
      </c>
      <c r="AG5200" s="508">
        <v>6.0999999999999999E-2</v>
      </c>
      <c r="AH5200" s="508">
        <v>6.0999999999999999E-2</v>
      </c>
      <c r="AI5200" s="492">
        <v>6.0999999999999999E-2</v>
      </c>
      <c r="AJ5200" s="485"/>
    </row>
    <row r="5201" spans="2:36">
      <c r="B5201" s="136" t="s">
        <v>463</v>
      </c>
      <c r="C5201" s="132" t="s">
        <v>1376</v>
      </c>
      <c r="D5201" s="132" t="s">
        <v>1379</v>
      </c>
      <c r="E5201" s="508">
        <v>5.2999999999999999E-2</v>
      </c>
      <c r="F5201" s="508">
        <v>5.1999999999999998E-2</v>
      </c>
      <c r="G5201" s="508">
        <v>5.3999999999999999E-2</v>
      </c>
      <c r="H5201" s="508">
        <v>5.5E-2</v>
      </c>
      <c r="I5201" s="508">
        <v>0.05</v>
      </c>
      <c r="J5201" s="508">
        <v>5.2999999999999999E-2</v>
      </c>
      <c r="K5201" s="508">
        <v>5.7000000000000002E-2</v>
      </c>
      <c r="L5201" s="508">
        <v>5.8000000000000003E-2</v>
      </c>
      <c r="M5201" s="508">
        <v>5.1999999999999998E-2</v>
      </c>
      <c r="N5201" s="508">
        <v>5.2999999999999999E-2</v>
      </c>
      <c r="O5201" s="508">
        <v>5.2999999999999999E-2</v>
      </c>
      <c r="P5201" s="508">
        <v>5.3999999999999999E-2</v>
      </c>
      <c r="Q5201" s="508">
        <v>5.5E-2</v>
      </c>
      <c r="R5201" s="508">
        <v>5.6000000000000001E-2</v>
      </c>
      <c r="S5201" s="508">
        <v>5.3999999999999999E-2</v>
      </c>
      <c r="T5201" s="508">
        <v>5.0999999999999997E-2</v>
      </c>
      <c r="U5201" s="508">
        <v>5.3999999999999999E-2</v>
      </c>
      <c r="V5201" s="508">
        <v>5.8000000000000003E-2</v>
      </c>
      <c r="W5201" s="508">
        <v>5.6000000000000001E-2</v>
      </c>
      <c r="X5201" s="508">
        <v>5.8999999999999997E-2</v>
      </c>
      <c r="Y5201" s="508">
        <v>5.6000000000000001E-2</v>
      </c>
      <c r="Z5201" s="508">
        <v>5.8999999999999997E-2</v>
      </c>
      <c r="AA5201" s="508">
        <v>5.6000000000000001E-2</v>
      </c>
      <c r="AB5201" s="508">
        <v>5.6000000000000001E-2</v>
      </c>
      <c r="AC5201" s="508">
        <v>5.3999999999999999E-2</v>
      </c>
      <c r="AD5201" s="508">
        <v>0.05</v>
      </c>
      <c r="AE5201" s="508">
        <v>5.5E-2</v>
      </c>
      <c r="AF5201" s="508">
        <v>5.5E-2</v>
      </c>
      <c r="AG5201" s="508">
        <v>5.5E-2</v>
      </c>
      <c r="AH5201" s="508">
        <v>5.5E-2</v>
      </c>
      <c r="AI5201" s="492">
        <v>5.5E-2</v>
      </c>
      <c r="AJ5201" s="485"/>
    </row>
    <row r="5202" spans="2:36">
      <c r="B5202" s="136" t="s">
        <v>464</v>
      </c>
      <c r="C5202" s="132" t="s">
        <v>1376</v>
      </c>
      <c r="D5202" s="132" t="s">
        <v>1379</v>
      </c>
      <c r="E5202" s="508">
        <v>5.1999999999999998E-2</v>
      </c>
      <c r="F5202" s="508">
        <v>5.0999999999999997E-2</v>
      </c>
      <c r="G5202" s="508">
        <v>5.2999999999999999E-2</v>
      </c>
      <c r="H5202" s="508">
        <v>5.2999999999999999E-2</v>
      </c>
      <c r="I5202" s="508">
        <v>4.9000000000000002E-2</v>
      </c>
      <c r="J5202" s="508">
        <v>5.1999999999999998E-2</v>
      </c>
      <c r="K5202" s="508">
        <v>5.6000000000000001E-2</v>
      </c>
      <c r="L5202" s="508">
        <v>5.7000000000000002E-2</v>
      </c>
      <c r="M5202" s="508">
        <v>5.0999999999999997E-2</v>
      </c>
      <c r="N5202" s="508">
        <v>5.1999999999999998E-2</v>
      </c>
      <c r="O5202" s="508">
        <v>5.1999999999999998E-2</v>
      </c>
      <c r="P5202" s="508">
        <v>5.2999999999999999E-2</v>
      </c>
      <c r="Q5202" s="508">
        <v>5.3999999999999999E-2</v>
      </c>
      <c r="R5202" s="508">
        <v>5.5E-2</v>
      </c>
      <c r="S5202" s="508">
        <v>5.2999999999999999E-2</v>
      </c>
      <c r="T5202" s="508">
        <v>0.05</v>
      </c>
      <c r="U5202" s="508">
        <v>5.2999999999999999E-2</v>
      </c>
      <c r="V5202" s="508">
        <v>5.7000000000000002E-2</v>
      </c>
      <c r="W5202" s="508">
        <v>5.5E-2</v>
      </c>
      <c r="X5202" s="508">
        <v>5.8000000000000003E-2</v>
      </c>
      <c r="Y5202" s="508">
        <v>5.3999999999999999E-2</v>
      </c>
      <c r="Z5202" s="508">
        <v>5.8000000000000003E-2</v>
      </c>
      <c r="AA5202" s="508">
        <v>5.3999999999999999E-2</v>
      </c>
      <c r="AB5202" s="508">
        <v>5.5E-2</v>
      </c>
      <c r="AC5202" s="508">
        <v>5.2999999999999999E-2</v>
      </c>
      <c r="AD5202" s="508">
        <v>4.9000000000000002E-2</v>
      </c>
      <c r="AE5202" s="508">
        <v>5.3999999999999999E-2</v>
      </c>
      <c r="AF5202" s="508">
        <v>5.3999999999999999E-2</v>
      </c>
      <c r="AG5202" s="508">
        <v>5.3999999999999999E-2</v>
      </c>
      <c r="AH5202" s="508">
        <v>5.3999999999999999E-2</v>
      </c>
      <c r="AI5202" s="492">
        <v>5.3999999999999999E-2</v>
      </c>
      <c r="AJ5202" s="485"/>
    </row>
    <row r="5203" spans="2:36">
      <c r="B5203" s="136" t="s">
        <v>465</v>
      </c>
      <c r="C5203" s="132" t="s">
        <v>1376</v>
      </c>
      <c r="D5203" s="132" t="s">
        <v>1379</v>
      </c>
      <c r="E5203" s="508">
        <v>5.3999999999999999E-2</v>
      </c>
      <c r="F5203" s="508">
        <v>5.2999999999999999E-2</v>
      </c>
      <c r="G5203" s="508">
        <v>5.6000000000000001E-2</v>
      </c>
      <c r="H5203" s="508">
        <v>5.6000000000000001E-2</v>
      </c>
      <c r="I5203" s="508">
        <v>5.1999999999999998E-2</v>
      </c>
      <c r="J5203" s="508">
        <v>5.5E-2</v>
      </c>
      <c r="K5203" s="508">
        <v>5.8999999999999997E-2</v>
      </c>
      <c r="L5203" s="508">
        <v>0.06</v>
      </c>
      <c r="M5203" s="508">
        <v>5.3999999999999999E-2</v>
      </c>
      <c r="N5203" s="508">
        <v>5.5E-2</v>
      </c>
      <c r="O5203" s="508">
        <v>5.3999999999999999E-2</v>
      </c>
      <c r="P5203" s="508">
        <v>5.5E-2</v>
      </c>
      <c r="Q5203" s="508">
        <v>5.7000000000000002E-2</v>
      </c>
      <c r="R5203" s="508">
        <v>5.8000000000000003E-2</v>
      </c>
      <c r="S5203" s="508">
        <v>5.6000000000000001E-2</v>
      </c>
      <c r="T5203" s="508">
        <v>5.2999999999999999E-2</v>
      </c>
      <c r="U5203" s="508">
        <v>5.5E-2</v>
      </c>
      <c r="V5203" s="508">
        <v>0.06</v>
      </c>
      <c r="W5203" s="508">
        <v>5.8000000000000003E-2</v>
      </c>
      <c r="X5203" s="508">
        <v>6.0999999999999999E-2</v>
      </c>
      <c r="Y5203" s="508">
        <v>5.7000000000000002E-2</v>
      </c>
      <c r="Z5203" s="508">
        <v>6.0999999999999999E-2</v>
      </c>
      <c r="AA5203" s="508">
        <v>5.7000000000000002E-2</v>
      </c>
      <c r="AB5203" s="508">
        <v>5.8000000000000003E-2</v>
      </c>
      <c r="AC5203" s="508">
        <v>5.6000000000000001E-2</v>
      </c>
      <c r="AD5203" s="508">
        <v>5.0999999999999997E-2</v>
      </c>
      <c r="AE5203" s="508">
        <v>5.7000000000000002E-2</v>
      </c>
      <c r="AF5203" s="508">
        <v>5.7000000000000002E-2</v>
      </c>
      <c r="AG5203" s="508">
        <v>5.7000000000000002E-2</v>
      </c>
      <c r="AH5203" s="508">
        <v>5.7000000000000002E-2</v>
      </c>
      <c r="AI5203" s="492">
        <v>5.7000000000000002E-2</v>
      </c>
      <c r="AJ5203" s="485"/>
    </row>
    <row r="5204" spans="2:36">
      <c r="B5204" s="136" t="s">
        <v>466</v>
      </c>
      <c r="C5204" s="132" t="s">
        <v>1376</v>
      </c>
      <c r="D5204" s="132" t="s">
        <v>1379</v>
      </c>
      <c r="E5204" s="508">
        <v>7.0000000000000007E-2</v>
      </c>
      <c r="F5204" s="508">
        <v>6.9000000000000006E-2</v>
      </c>
      <c r="G5204" s="508">
        <v>7.1999999999999995E-2</v>
      </c>
      <c r="H5204" s="508">
        <v>7.2999999999999995E-2</v>
      </c>
      <c r="I5204" s="508">
        <v>6.7000000000000004E-2</v>
      </c>
      <c r="J5204" s="508">
        <v>7.0999999999999994E-2</v>
      </c>
      <c r="K5204" s="508">
        <v>7.5999999999999998E-2</v>
      </c>
      <c r="L5204" s="508">
        <v>7.6999999999999999E-2</v>
      </c>
      <c r="M5204" s="508">
        <v>6.9000000000000006E-2</v>
      </c>
      <c r="N5204" s="508">
        <v>7.0000000000000007E-2</v>
      </c>
      <c r="O5204" s="508">
        <v>7.0000000000000007E-2</v>
      </c>
      <c r="P5204" s="508">
        <v>7.0999999999999994E-2</v>
      </c>
      <c r="Q5204" s="508">
        <v>7.2999999999999995E-2</v>
      </c>
      <c r="R5204" s="508">
        <v>7.4999999999999997E-2</v>
      </c>
      <c r="S5204" s="508">
        <v>7.1999999999999995E-2</v>
      </c>
      <c r="T5204" s="508">
        <v>6.8000000000000005E-2</v>
      </c>
      <c r="U5204" s="508">
        <v>7.0999999999999994E-2</v>
      </c>
      <c r="V5204" s="508">
        <v>7.6999999999999999E-2</v>
      </c>
      <c r="W5204" s="508">
        <v>7.3999999999999996E-2</v>
      </c>
      <c r="X5204" s="508">
        <v>7.9000000000000001E-2</v>
      </c>
      <c r="Y5204" s="508">
        <v>7.3999999999999996E-2</v>
      </c>
      <c r="Z5204" s="508">
        <v>7.8E-2</v>
      </c>
      <c r="AA5204" s="508">
        <v>7.3999999999999996E-2</v>
      </c>
      <c r="AB5204" s="508">
        <v>7.4999999999999997E-2</v>
      </c>
      <c r="AC5204" s="508">
        <v>7.1999999999999995E-2</v>
      </c>
      <c r="AD5204" s="508">
        <v>6.6000000000000003E-2</v>
      </c>
      <c r="AE5204" s="508">
        <v>7.2999999999999995E-2</v>
      </c>
      <c r="AF5204" s="508">
        <v>7.2999999999999995E-2</v>
      </c>
      <c r="AG5204" s="508">
        <v>7.2999999999999995E-2</v>
      </c>
      <c r="AH5204" s="508">
        <v>7.2999999999999995E-2</v>
      </c>
      <c r="AI5204" s="492">
        <v>7.2999999999999995E-2</v>
      </c>
      <c r="AJ5204" s="485"/>
    </row>
    <row r="5205" spans="2:36">
      <c r="B5205" s="136" t="s">
        <v>467</v>
      </c>
      <c r="C5205" s="132" t="s">
        <v>1376</v>
      </c>
      <c r="D5205" s="132" t="s">
        <v>1379</v>
      </c>
      <c r="E5205" s="508">
        <v>5.8999999999999997E-2</v>
      </c>
      <c r="F5205" s="508">
        <v>5.8000000000000003E-2</v>
      </c>
      <c r="G5205" s="508">
        <v>6.0999999999999999E-2</v>
      </c>
      <c r="H5205" s="508">
        <v>6.2E-2</v>
      </c>
      <c r="I5205" s="508">
        <v>5.7000000000000002E-2</v>
      </c>
      <c r="J5205" s="508">
        <v>0.06</v>
      </c>
      <c r="K5205" s="508">
        <v>6.4000000000000001E-2</v>
      </c>
      <c r="L5205" s="508">
        <v>6.6000000000000003E-2</v>
      </c>
      <c r="M5205" s="508">
        <v>5.8999999999999997E-2</v>
      </c>
      <c r="N5205" s="508">
        <v>0.06</v>
      </c>
      <c r="O5205" s="508">
        <v>5.8999999999999997E-2</v>
      </c>
      <c r="P5205" s="508">
        <v>6.0999999999999999E-2</v>
      </c>
      <c r="Q5205" s="508">
        <v>6.2E-2</v>
      </c>
      <c r="R5205" s="508">
        <v>6.4000000000000001E-2</v>
      </c>
      <c r="S5205" s="508">
        <v>6.0999999999999999E-2</v>
      </c>
      <c r="T5205" s="508">
        <v>5.8000000000000003E-2</v>
      </c>
      <c r="U5205" s="508">
        <v>6.0999999999999999E-2</v>
      </c>
      <c r="V5205" s="508">
        <v>6.5000000000000002E-2</v>
      </c>
      <c r="W5205" s="508">
        <v>6.3E-2</v>
      </c>
      <c r="X5205" s="508">
        <v>6.7000000000000004E-2</v>
      </c>
      <c r="Y5205" s="508">
        <v>6.3E-2</v>
      </c>
      <c r="Z5205" s="508">
        <v>6.6000000000000003E-2</v>
      </c>
      <c r="AA5205" s="508">
        <v>6.3E-2</v>
      </c>
      <c r="AB5205" s="508">
        <v>6.3E-2</v>
      </c>
      <c r="AC5205" s="508">
        <v>6.0999999999999999E-2</v>
      </c>
      <c r="AD5205" s="508">
        <v>5.6000000000000001E-2</v>
      </c>
      <c r="AE5205" s="508">
        <v>6.2E-2</v>
      </c>
      <c r="AF5205" s="508">
        <v>6.2E-2</v>
      </c>
      <c r="AG5205" s="508">
        <v>6.2E-2</v>
      </c>
      <c r="AH5205" s="508">
        <v>6.2E-2</v>
      </c>
      <c r="AI5205" s="492">
        <v>6.2E-2</v>
      </c>
      <c r="AJ5205" s="485"/>
    </row>
    <row r="5206" spans="2:36">
      <c r="B5206" s="136" t="s">
        <v>468</v>
      </c>
      <c r="C5206" s="132" t="s">
        <v>1376</v>
      </c>
      <c r="D5206" s="132" t="s">
        <v>1379</v>
      </c>
      <c r="E5206" s="508">
        <v>0.05</v>
      </c>
      <c r="F5206" s="508">
        <v>4.9000000000000002E-2</v>
      </c>
      <c r="G5206" s="508">
        <v>5.0999999999999997E-2</v>
      </c>
      <c r="H5206" s="508">
        <v>5.1999999999999998E-2</v>
      </c>
      <c r="I5206" s="508">
        <v>4.8000000000000001E-2</v>
      </c>
      <c r="J5206" s="508">
        <v>5.0999999999999997E-2</v>
      </c>
      <c r="K5206" s="508">
        <v>5.3999999999999999E-2</v>
      </c>
      <c r="L5206" s="508">
        <v>5.5E-2</v>
      </c>
      <c r="M5206" s="508">
        <v>4.9000000000000002E-2</v>
      </c>
      <c r="N5206" s="508">
        <v>0.05</v>
      </c>
      <c r="O5206" s="508">
        <v>0.05</v>
      </c>
      <c r="P5206" s="508">
        <v>5.0999999999999997E-2</v>
      </c>
      <c r="Q5206" s="508">
        <v>5.1999999999999998E-2</v>
      </c>
      <c r="R5206" s="508">
        <v>5.2999999999999999E-2</v>
      </c>
      <c r="S5206" s="508">
        <v>5.0999999999999997E-2</v>
      </c>
      <c r="T5206" s="508">
        <v>4.8000000000000001E-2</v>
      </c>
      <c r="U5206" s="508">
        <v>5.0999999999999997E-2</v>
      </c>
      <c r="V5206" s="508">
        <v>5.5E-2</v>
      </c>
      <c r="W5206" s="508">
        <v>5.2999999999999999E-2</v>
      </c>
      <c r="X5206" s="508">
        <v>5.6000000000000001E-2</v>
      </c>
      <c r="Y5206" s="508">
        <v>5.2999999999999999E-2</v>
      </c>
      <c r="Z5206" s="508">
        <v>5.6000000000000001E-2</v>
      </c>
      <c r="AA5206" s="508">
        <v>5.2999999999999999E-2</v>
      </c>
      <c r="AB5206" s="508">
        <v>5.2999999999999999E-2</v>
      </c>
      <c r="AC5206" s="508">
        <v>5.0999999999999997E-2</v>
      </c>
      <c r="AD5206" s="508">
        <v>4.7E-2</v>
      </c>
      <c r="AE5206" s="508">
        <v>5.1999999999999998E-2</v>
      </c>
      <c r="AF5206" s="508">
        <v>5.1999999999999998E-2</v>
      </c>
      <c r="AG5206" s="508">
        <v>5.1999999999999998E-2</v>
      </c>
      <c r="AH5206" s="508">
        <v>5.1999999999999998E-2</v>
      </c>
      <c r="AI5206" s="492">
        <v>5.1999999999999998E-2</v>
      </c>
      <c r="AJ5206" s="485"/>
    </row>
    <row r="5207" spans="2:36">
      <c r="B5207" s="136" t="s">
        <v>469</v>
      </c>
      <c r="C5207" s="132" t="s">
        <v>1376</v>
      </c>
      <c r="D5207" s="132" t="s">
        <v>1379</v>
      </c>
      <c r="E5207" s="508">
        <v>5.6000000000000001E-2</v>
      </c>
      <c r="F5207" s="508">
        <v>5.5E-2</v>
      </c>
      <c r="G5207" s="508">
        <v>5.8000000000000003E-2</v>
      </c>
      <c r="H5207" s="508">
        <v>5.8000000000000003E-2</v>
      </c>
      <c r="I5207" s="508">
        <v>5.3999999999999999E-2</v>
      </c>
      <c r="J5207" s="508">
        <v>5.7000000000000002E-2</v>
      </c>
      <c r="K5207" s="508">
        <v>6.0999999999999999E-2</v>
      </c>
      <c r="L5207" s="508">
        <v>6.2E-2</v>
      </c>
      <c r="M5207" s="508">
        <v>5.6000000000000001E-2</v>
      </c>
      <c r="N5207" s="508">
        <v>5.6000000000000001E-2</v>
      </c>
      <c r="O5207" s="508">
        <v>5.6000000000000001E-2</v>
      </c>
      <c r="P5207" s="508">
        <v>5.7000000000000002E-2</v>
      </c>
      <c r="Q5207" s="508">
        <v>5.8999999999999997E-2</v>
      </c>
      <c r="R5207" s="508">
        <v>0.06</v>
      </c>
      <c r="S5207" s="508">
        <v>5.8000000000000003E-2</v>
      </c>
      <c r="T5207" s="508">
        <v>5.5E-2</v>
      </c>
      <c r="U5207" s="508">
        <v>5.7000000000000002E-2</v>
      </c>
      <c r="V5207" s="508">
        <v>6.2E-2</v>
      </c>
      <c r="W5207" s="508">
        <v>0.06</v>
      </c>
      <c r="X5207" s="508">
        <v>6.3E-2</v>
      </c>
      <c r="Y5207" s="508">
        <v>5.8999999999999997E-2</v>
      </c>
      <c r="Z5207" s="508">
        <v>6.3E-2</v>
      </c>
      <c r="AA5207" s="508">
        <v>5.8999999999999997E-2</v>
      </c>
      <c r="AB5207" s="508">
        <v>0.06</v>
      </c>
      <c r="AC5207" s="508">
        <v>5.8000000000000003E-2</v>
      </c>
      <c r="AD5207" s="508">
        <v>5.2999999999999999E-2</v>
      </c>
      <c r="AE5207" s="508">
        <v>5.8999999999999997E-2</v>
      </c>
      <c r="AF5207" s="508">
        <v>5.8999999999999997E-2</v>
      </c>
      <c r="AG5207" s="508">
        <v>5.8999999999999997E-2</v>
      </c>
      <c r="AH5207" s="508">
        <v>5.8999999999999997E-2</v>
      </c>
      <c r="AI5207" s="492">
        <v>5.8999999999999997E-2</v>
      </c>
      <c r="AJ5207" s="485"/>
    </row>
    <row r="5208" spans="2:36">
      <c r="B5208" s="136" t="s">
        <v>470</v>
      </c>
      <c r="C5208" s="132" t="s">
        <v>1376</v>
      </c>
      <c r="D5208" s="132" t="s">
        <v>1379</v>
      </c>
      <c r="E5208" s="508">
        <v>6.6000000000000003E-2</v>
      </c>
      <c r="F5208" s="508">
        <v>6.5000000000000002E-2</v>
      </c>
      <c r="G5208" s="508">
        <v>6.8000000000000005E-2</v>
      </c>
      <c r="H5208" s="508">
        <v>6.8000000000000005E-2</v>
      </c>
      <c r="I5208" s="508">
        <v>6.3E-2</v>
      </c>
      <c r="J5208" s="508">
        <v>6.7000000000000004E-2</v>
      </c>
      <c r="K5208" s="508">
        <v>7.0999999999999994E-2</v>
      </c>
      <c r="L5208" s="508">
        <v>7.2999999999999995E-2</v>
      </c>
      <c r="M5208" s="508">
        <v>6.5000000000000002E-2</v>
      </c>
      <c r="N5208" s="508">
        <v>6.6000000000000003E-2</v>
      </c>
      <c r="O5208" s="508">
        <v>6.6000000000000003E-2</v>
      </c>
      <c r="P5208" s="508">
        <v>6.7000000000000004E-2</v>
      </c>
      <c r="Q5208" s="508">
        <v>6.9000000000000006E-2</v>
      </c>
      <c r="R5208" s="508">
        <v>7.0000000000000007E-2</v>
      </c>
      <c r="S5208" s="508">
        <v>6.8000000000000005E-2</v>
      </c>
      <c r="T5208" s="508">
        <v>6.4000000000000001E-2</v>
      </c>
      <c r="U5208" s="508">
        <v>6.7000000000000004E-2</v>
      </c>
      <c r="V5208" s="508">
        <v>7.1999999999999995E-2</v>
      </c>
      <c r="W5208" s="508">
        <v>7.0000000000000007E-2</v>
      </c>
      <c r="X5208" s="508">
        <v>7.3999999999999996E-2</v>
      </c>
      <c r="Y5208" s="508">
        <v>6.9000000000000006E-2</v>
      </c>
      <c r="Z5208" s="508">
        <v>7.3999999999999996E-2</v>
      </c>
      <c r="AA5208" s="508">
        <v>6.9000000000000006E-2</v>
      </c>
      <c r="AB5208" s="508">
        <v>7.0000000000000007E-2</v>
      </c>
      <c r="AC5208" s="508">
        <v>6.7000000000000004E-2</v>
      </c>
      <c r="AD5208" s="508">
        <v>6.2E-2</v>
      </c>
      <c r="AE5208" s="508">
        <v>6.9000000000000006E-2</v>
      </c>
      <c r="AF5208" s="508">
        <v>6.9000000000000006E-2</v>
      </c>
      <c r="AG5208" s="508">
        <v>6.9000000000000006E-2</v>
      </c>
      <c r="AH5208" s="508">
        <v>6.9000000000000006E-2</v>
      </c>
      <c r="AI5208" s="492">
        <v>6.9000000000000006E-2</v>
      </c>
      <c r="AJ5208" s="485"/>
    </row>
    <row r="5209" spans="2:36">
      <c r="B5209" s="136" t="s">
        <v>471</v>
      </c>
      <c r="C5209" s="132" t="s">
        <v>1376</v>
      </c>
      <c r="D5209" s="132" t="s">
        <v>1379</v>
      </c>
      <c r="E5209" s="508">
        <v>6.3E-2</v>
      </c>
      <c r="F5209" s="508">
        <v>6.2E-2</v>
      </c>
      <c r="G5209" s="508">
        <v>6.5000000000000002E-2</v>
      </c>
      <c r="H5209" s="508">
        <v>6.6000000000000003E-2</v>
      </c>
      <c r="I5209" s="508">
        <v>0.06</v>
      </c>
      <c r="J5209" s="508">
        <v>6.4000000000000001E-2</v>
      </c>
      <c r="K5209" s="508">
        <v>6.8000000000000005E-2</v>
      </c>
      <c r="L5209" s="508">
        <v>7.0000000000000007E-2</v>
      </c>
      <c r="M5209" s="508">
        <v>6.3E-2</v>
      </c>
      <c r="N5209" s="508">
        <v>6.3E-2</v>
      </c>
      <c r="O5209" s="508">
        <v>6.3E-2</v>
      </c>
      <c r="P5209" s="508">
        <v>6.4000000000000001E-2</v>
      </c>
      <c r="Q5209" s="508">
        <v>6.6000000000000003E-2</v>
      </c>
      <c r="R5209" s="508">
        <v>6.8000000000000005E-2</v>
      </c>
      <c r="S5209" s="508">
        <v>6.5000000000000002E-2</v>
      </c>
      <c r="T5209" s="508">
        <v>6.0999999999999999E-2</v>
      </c>
      <c r="U5209" s="508">
        <v>6.4000000000000001E-2</v>
      </c>
      <c r="V5209" s="508">
        <v>6.9000000000000006E-2</v>
      </c>
      <c r="W5209" s="508">
        <v>6.7000000000000004E-2</v>
      </c>
      <c r="X5209" s="508">
        <v>7.0999999999999994E-2</v>
      </c>
      <c r="Y5209" s="508">
        <v>6.7000000000000004E-2</v>
      </c>
      <c r="Z5209" s="508">
        <v>7.0999999999999994E-2</v>
      </c>
      <c r="AA5209" s="508">
        <v>6.7000000000000004E-2</v>
      </c>
      <c r="AB5209" s="508">
        <v>6.7000000000000004E-2</v>
      </c>
      <c r="AC5209" s="508">
        <v>6.5000000000000002E-2</v>
      </c>
      <c r="AD5209" s="508">
        <v>0.06</v>
      </c>
      <c r="AE5209" s="508">
        <v>6.6000000000000003E-2</v>
      </c>
      <c r="AF5209" s="508">
        <v>6.6000000000000003E-2</v>
      </c>
      <c r="AG5209" s="508">
        <v>6.6000000000000003E-2</v>
      </c>
      <c r="AH5209" s="508">
        <v>6.6000000000000003E-2</v>
      </c>
      <c r="AI5209" s="492">
        <v>6.6000000000000003E-2</v>
      </c>
      <c r="AJ5209" s="485"/>
    </row>
    <row r="5210" spans="2:36">
      <c r="B5210" s="136" t="s">
        <v>472</v>
      </c>
      <c r="C5210" s="132" t="s">
        <v>1376</v>
      </c>
      <c r="D5210" s="132" t="s">
        <v>1379</v>
      </c>
      <c r="E5210" s="508">
        <v>5.1999999999999998E-2</v>
      </c>
      <c r="F5210" s="508">
        <v>5.0999999999999997E-2</v>
      </c>
      <c r="G5210" s="508">
        <v>5.3999999999999999E-2</v>
      </c>
      <c r="H5210" s="508">
        <v>5.3999999999999999E-2</v>
      </c>
      <c r="I5210" s="508">
        <v>0.05</v>
      </c>
      <c r="J5210" s="508">
        <v>5.2999999999999999E-2</v>
      </c>
      <c r="K5210" s="508">
        <v>5.6000000000000001E-2</v>
      </c>
      <c r="L5210" s="508">
        <v>5.8000000000000003E-2</v>
      </c>
      <c r="M5210" s="508">
        <v>5.1999999999999998E-2</v>
      </c>
      <c r="N5210" s="508">
        <v>5.1999999999999998E-2</v>
      </c>
      <c r="O5210" s="508">
        <v>5.1999999999999998E-2</v>
      </c>
      <c r="P5210" s="508">
        <v>5.2999999999999999E-2</v>
      </c>
      <c r="Q5210" s="508">
        <v>5.3999999999999999E-2</v>
      </c>
      <c r="R5210" s="508">
        <v>5.6000000000000001E-2</v>
      </c>
      <c r="S5210" s="508">
        <v>5.3999999999999999E-2</v>
      </c>
      <c r="T5210" s="508">
        <v>5.0999999999999997E-2</v>
      </c>
      <c r="U5210" s="508">
        <v>5.2999999999999999E-2</v>
      </c>
      <c r="V5210" s="508">
        <v>5.7000000000000002E-2</v>
      </c>
      <c r="W5210" s="508">
        <v>5.6000000000000001E-2</v>
      </c>
      <c r="X5210" s="508">
        <v>5.8999999999999997E-2</v>
      </c>
      <c r="Y5210" s="508">
        <v>5.5E-2</v>
      </c>
      <c r="Z5210" s="508">
        <v>5.8000000000000003E-2</v>
      </c>
      <c r="AA5210" s="508">
        <v>5.5E-2</v>
      </c>
      <c r="AB5210" s="508">
        <v>5.6000000000000001E-2</v>
      </c>
      <c r="AC5210" s="508">
        <v>5.3999999999999999E-2</v>
      </c>
      <c r="AD5210" s="508">
        <v>4.9000000000000002E-2</v>
      </c>
      <c r="AE5210" s="508">
        <v>5.3999999999999999E-2</v>
      </c>
      <c r="AF5210" s="508">
        <v>5.3999999999999999E-2</v>
      </c>
      <c r="AG5210" s="508">
        <v>5.3999999999999999E-2</v>
      </c>
      <c r="AH5210" s="508">
        <v>5.3999999999999999E-2</v>
      </c>
      <c r="AI5210" s="492">
        <v>5.3999999999999999E-2</v>
      </c>
      <c r="AJ5210" s="485"/>
    </row>
    <row r="5211" spans="2:36">
      <c r="B5211" s="136" t="s">
        <v>473</v>
      </c>
      <c r="C5211" s="132" t="s">
        <v>1376</v>
      </c>
      <c r="D5211" s="132" t="s">
        <v>1379</v>
      </c>
      <c r="E5211" s="508">
        <v>6.7000000000000004E-2</v>
      </c>
      <c r="F5211" s="508">
        <v>6.6000000000000003E-2</v>
      </c>
      <c r="G5211" s="508">
        <v>6.9000000000000006E-2</v>
      </c>
      <c r="H5211" s="508">
        <v>6.9000000000000006E-2</v>
      </c>
      <c r="I5211" s="508">
        <v>6.4000000000000001E-2</v>
      </c>
      <c r="J5211" s="508">
        <v>6.8000000000000005E-2</v>
      </c>
      <c r="K5211" s="508">
        <v>7.1999999999999995E-2</v>
      </c>
      <c r="L5211" s="508">
        <v>7.3999999999999996E-2</v>
      </c>
      <c r="M5211" s="508">
        <v>6.6000000000000003E-2</v>
      </c>
      <c r="N5211" s="508">
        <v>6.7000000000000004E-2</v>
      </c>
      <c r="O5211" s="508">
        <v>6.7000000000000004E-2</v>
      </c>
      <c r="P5211" s="508">
        <v>6.8000000000000005E-2</v>
      </c>
      <c r="Q5211" s="508">
        <v>7.0000000000000007E-2</v>
      </c>
      <c r="R5211" s="508">
        <v>7.1999999999999995E-2</v>
      </c>
      <c r="S5211" s="508">
        <v>6.9000000000000006E-2</v>
      </c>
      <c r="T5211" s="508">
        <v>6.5000000000000002E-2</v>
      </c>
      <c r="U5211" s="508">
        <v>6.8000000000000005E-2</v>
      </c>
      <c r="V5211" s="508">
        <v>7.3999999999999996E-2</v>
      </c>
      <c r="W5211" s="508">
        <v>7.0999999999999994E-2</v>
      </c>
      <c r="X5211" s="508">
        <v>7.4999999999999997E-2</v>
      </c>
      <c r="Y5211" s="508">
        <v>7.0999999999999994E-2</v>
      </c>
      <c r="Z5211" s="508">
        <v>7.4999999999999997E-2</v>
      </c>
      <c r="AA5211" s="508">
        <v>7.0999999999999994E-2</v>
      </c>
      <c r="AB5211" s="508">
        <v>7.0999999999999994E-2</v>
      </c>
      <c r="AC5211" s="508">
        <v>6.9000000000000006E-2</v>
      </c>
      <c r="AD5211" s="508">
        <v>6.3E-2</v>
      </c>
      <c r="AE5211" s="508">
        <v>7.0000000000000007E-2</v>
      </c>
      <c r="AF5211" s="508">
        <v>7.0000000000000007E-2</v>
      </c>
      <c r="AG5211" s="508">
        <v>7.0000000000000007E-2</v>
      </c>
      <c r="AH5211" s="508">
        <v>7.0000000000000007E-2</v>
      </c>
      <c r="AI5211" s="492">
        <v>7.0000000000000007E-2</v>
      </c>
      <c r="AJ5211" s="485"/>
    </row>
    <row r="5212" spans="2:36">
      <c r="B5212" s="136" t="s">
        <v>474</v>
      </c>
      <c r="C5212" s="132" t="s">
        <v>1376</v>
      </c>
      <c r="D5212" s="132" t="s">
        <v>1379</v>
      </c>
      <c r="E5212" s="508">
        <v>6.0999999999999999E-2</v>
      </c>
      <c r="F5212" s="508">
        <v>0.06</v>
      </c>
      <c r="G5212" s="508">
        <v>6.3E-2</v>
      </c>
      <c r="H5212" s="508">
        <v>6.3E-2</v>
      </c>
      <c r="I5212" s="508">
        <v>5.8000000000000003E-2</v>
      </c>
      <c r="J5212" s="508">
        <v>6.2E-2</v>
      </c>
      <c r="K5212" s="508">
        <v>6.6000000000000003E-2</v>
      </c>
      <c r="L5212" s="508">
        <v>6.7000000000000004E-2</v>
      </c>
      <c r="M5212" s="508">
        <v>0.06</v>
      </c>
      <c r="N5212" s="508">
        <v>6.0999999999999999E-2</v>
      </c>
      <c r="O5212" s="508">
        <v>6.0999999999999999E-2</v>
      </c>
      <c r="P5212" s="508">
        <v>6.2E-2</v>
      </c>
      <c r="Q5212" s="508">
        <v>6.4000000000000001E-2</v>
      </c>
      <c r="R5212" s="508">
        <v>6.5000000000000002E-2</v>
      </c>
      <c r="S5212" s="508">
        <v>6.3E-2</v>
      </c>
      <c r="T5212" s="508">
        <v>5.8999999999999997E-2</v>
      </c>
      <c r="U5212" s="508">
        <v>6.2E-2</v>
      </c>
      <c r="V5212" s="508">
        <v>6.7000000000000004E-2</v>
      </c>
      <c r="W5212" s="508">
        <v>6.5000000000000002E-2</v>
      </c>
      <c r="X5212" s="508">
        <v>6.8000000000000005E-2</v>
      </c>
      <c r="Y5212" s="508">
        <v>6.4000000000000001E-2</v>
      </c>
      <c r="Z5212" s="508">
        <v>6.8000000000000005E-2</v>
      </c>
      <c r="AA5212" s="508">
        <v>6.4000000000000001E-2</v>
      </c>
      <c r="AB5212" s="508">
        <v>6.5000000000000002E-2</v>
      </c>
      <c r="AC5212" s="508">
        <v>6.2E-2</v>
      </c>
      <c r="AD5212" s="508">
        <v>5.7000000000000002E-2</v>
      </c>
      <c r="AE5212" s="508">
        <v>6.3E-2</v>
      </c>
      <c r="AF5212" s="508">
        <v>6.3E-2</v>
      </c>
      <c r="AG5212" s="508">
        <v>6.3E-2</v>
      </c>
      <c r="AH5212" s="508">
        <v>6.3E-2</v>
      </c>
      <c r="AI5212" s="492">
        <v>6.3E-2</v>
      </c>
      <c r="AJ5212" s="485"/>
    </row>
    <row r="5213" spans="2:36">
      <c r="B5213" s="136" t="s">
        <v>475</v>
      </c>
      <c r="C5213" s="132" t="s">
        <v>1376</v>
      </c>
      <c r="D5213" s="132" t="s">
        <v>1379</v>
      </c>
      <c r="E5213" s="508">
        <v>5.8000000000000003E-2</v>
      </c>
      <c r="F5213" s="508">
        <v>5.8000000000000003E-2</v>
      </c>
      <c r="G5213" s="508">
        <v>0.06</v>
      </c>
      <c r="H5213" s="508">
        <v>6.0999999999999999E-2</v>
      </c>
      <c r="I5213" s="508">
        <v>5.6000000000000001E-2</v>
      </c>
      <c r="J5213" s="508">
        <v>5.8999999999999997E-2</v>
      </c>
      <c r="K5213" s="508">
        <v>6.3E-2</v>
      </c>
      <c r="L5213" s="508">
        <v>6.5000000000000002E-2</v>
      </c>
      <c r="M5213" s="508">
        <v>5.8000000000000003E-2</v>
      </c>
      <c r="N5213" s="508">
        <v>5.8999999999999997E-2</v>
      </c>
      <c r="O5213" s="508">
        <v>5.8999999999999997E-2</v>
      </c>
      <c r="P5213" s="508">
        <v>0.06</v>
      </c>
      <c r="Q5213" s="508">
        <v>6.0999999999999999E-2</v>
      </c>
      <c r="R5213" s="508">
        <v>6.3E-2</v>
      </c>
      <c r="S5213" s="508">
        <v>0.06</v>
      </c>
      <c r="T5213" s="508">
        <v>5.7000000000000002E-2</v>
      </c>
      <c r="U5213" s="508">
        <v>0.06</v>
      </c>
      <c r="V5213" s="508">
        <v>6.4000000000000001E-2</v>
      </c>
      <c r="W5213" s="508">
        <v>6.2E-2</v>
      </c>
      <c r="X5213" s="508">
        <v>6.6000000000000003E-2</v>
      </c>
      <c r="Y5213" s="508">
        <v>6.2E-2</v>
      </c>
      <c r="Z5213" s="508">
        <v>6.5000000000000002E-2</v>
      </c>
      <c r="AA5213" s="508">
        <v>6.2E-2</v>
      </c>
      <c r="AB5213" s="508">
        <v>6.2E-2</v>
      </c>
      <c r="AC5213" s="508">
        <v>0.06</v>
      </c>
      <c r="AD5213" s="508">
        <v>5.5E-2</v>
      </c>
      <c r="AE5213" s="508">
        <v>6.0999999999999999E-2</v>
      </c>
      <c r="AF5213" s="508">
        <v>6.0999999999999999E-2</v>
      </c>
      <c r="AG5213" s="508">
        <v>6.0999999999999999E-2</v>
      </c>
      <c r="AH5213" s="508">
        <v>6.0999999999999999E-2</v>
      </c>
      <c r="AI5213" s="492">
        <v>6.0999999999999999E-2</v>
      </c>
      <c r="AJ5213" s="485"/>
    </row>
    <row r="5214" spans="2:36">
      <c r="B5214" s="136" t="s">
        <v>476</v>
      </c>
      <c r="C5214" s="132" t="s">
        <v>1376</v>
      </c>
      <c r="D5214" s="132" t="s">
        <v>1379</v>
      </c>
      <c r="E5214" s="508">
        <v>6.3E-2</v>
      </c>
      <c r="F5214" s="508">
        <v>6.2E-2</v>
      </c>
      <c r="G5214" s="508">
        <v>6.5000000000000002E-2</v>
      </c>
      <c r="H5214" s="508">
        <v>6.5000000000000002E-2</v>
      </c>
      <c r="I5214" s="508">
        <v>0.06</v>
      </c>
      <c r="J5214" s="508">
        <v>6.4000000000000001E-2</v>
      </c>
      <c r="K5214" s="508">
        <v>6.8000000000000005E-2</v>
      </c>
      <c r="L5214" s="508">
        <v>7.0000000000000007E-2</v>
      </c>
      <c r="M5214" s="508">
        <v>6.2E-2</v>
      </c>
      <c r="N5214" s="508">
        <v>6.3E-2</v>
      </c>
      <c r="O5214" s="508">
        <v>6.3E-2</v>
      </c>
      <c r="P5214" s="508">
        <v>6.4000000000000001E-2</v>
      </c>
      <c r="Q5214" s="508">
        <v>6.6000000000000003E-2</v>
      </c>
      <c r="R5214" s="508">
        <v>6.8000000000000005E-2</v>
      </c>
      <c r="S5214" s="508">
        <v>6.5000000000000002E-2</v>
      </c>
      <c r="T5214" s="508">
        <v>6.0999999999999999E-2</v>
      </c>
      <c r="U5214" s="508">
        <v>6.4000000000000001E-2</v>
      </c>
      <c r="V5214" s="508">
        <v>6.9000000000000006E-2</v>
      </c>
      <c r="W5214" s="508">
        <v>6.7000000000000004E-2</v>
      </c>
      <c r="X5214" s="508">
        <v>7.0999999999999994E-2</v>
      </c>
      <c r="Y5214" s="508">
        <v>6.7000000000000004E-2</v>
      </c>
      <c r="Z5214" s="508">
        <v>7.0000000000000007E-2</v>
      </c>
      <c r="AA5214" s="508">
        <v>6.7000000000000004E-2</v>
      </c>
      <c r="AB5214" s="508">
        <v>6.7000000000000004E-2</v>
      </c>
      <c r="AC5214" s="508">
        <v>6.5000000000000002E-2</v>
      </c>
      <c r="AD5214" s="508">
        <v>0.06</v>
      </c>
      <c r="AE5214" s="508">
        <v>6.6000000000000003E-2</v>
      </c>
      <c r="AF5214" s="508">
        <v>6.6000000000000003E-2</v>
      </c>
      <c r="AG5214" s="508">
        <v>6.6000000000000003E-2</v>
      </c>
      <c r="AH5214" s="508">
        <v>6.6000000000000003E-2</v>
      </c>
      <c r="AI5214" s="492">
        <v>6.6000000000000003E-2</v>
      </c>
      <c r="AJ5214" s="485"/>
    </row>
    <row r="5215" spans="2:36">
      <c r="B5215" s="136" t="s">
        <v>478</v>
      </c>
      <c r="C5215" s="132" t="s">
        <v>1376</v>
      </c>
      <c r="D5215" s="132" t="s">
        <v>1379</v>
      </c>
      <c r="E5215" s="508">
        <v>6.7000000000000004E-2</v>
      </c>
      <c r="F5215" s="508">
        <v>6.6000000000000003E-2</v>
      </c>
      <c r="G5215" s="508">
        <v>6.9000000000000006E-2</v>
      </c>
      <c r="H5215" s="508">
        <v>7.0000000000000007E-2</v>
      </c>
      <c r="I5215" s="508">
        <v>6.4000000000000001E-2</v>
      </c>
      <c r="J5215" s="508">
        <v>6.8000000000000005E-2</v>
      </c>
      <c r="K5215" s="508">
        <v>7.2999999999999995E-2</v>
      </c>
      <c r="L5215" s="508">
        <v>7.3999999999999996E-2</v>
      </c>
      <c r="M5215" s="508">
        <v>6.6000000000000003E-2</v>
      </c>
      <c r="N5215" s="508">
        <v>6.7000000000000004E-2</v>
      </c>
      <c r="O5215" s="508">
        <v>6.7000000000000004E-2</v>
      </c>
      <c r="P5215" s="508">
        <v>6.8000000000000005E-2</v>
      </c>
      <c r="Q5215" s="508">
        <v>7.0000000000000007E-2</v>
      </c>
      <c r="R5215" s="508">
        <v>7.1999999999999995E-2</v>
      </c>
      <c r="S5215" s="508">
        <v>6.9000000000000006E-2</v>
      </c>
      <c r="T5215" s="508">
        <v>6.5000000000000002E-2</v>
      </c>
      <c r="U5215" s="508">
        <v>6.8000000000000005E-2</v>
      </c>
      <c r="V5215" s="508">
        <v>7.3999999999999996E-2</v>
      </c>
      <c r="W5215" s="508">
        <v>7.1999999999999995E-2</v>
      </c>
      <c r="X5215" s="508">
        <v>7.5999999999999998E-2</v>
      </c>
      <c r="Y5215" s="508">
        <v>7.0999999999999994E-2</v>
      </c>
      <c r="Z5215" s="508">
        <v>7.4999999999999997E-2</v>
      </c>
      <c r="AA5215" s="508">
        <v>7.0999999999999994E-2</v>
      </c>
      <c r="AB5215" s="508">
        <v>7.1999999999999995E-2</v>
      </c>
      <c r="AC5215" s="508">
        <v>6.9000000000000006E-2</v>
      </c>
      <c r="AD5215" s="508">
        <v>6.3E-2</v>
      </c>
      <c r="AE5215" s="508">
        <v>7.0000000000000007E-2</v>
      </c>
      <c r="AF5215" s="508">
        <v>7.0000000000000007E-2</v>
      </c>
      <c r="AG5215" s="508">
        <v>7.0000000000000007E-2</v>
      </c>
      <c r="AH5215" s="508">
        <v>7.0000000000000007E-2</v>
      </c>
      <c r="AI5215" s="492">
        <v>7.0000000000000007E-2</v>
      </c>
      <c r="AJ5215" s="485"/>
    </row>
    <row r="5216" spans="2:36">
      <c r="B5216" s="136" t="s">
        <v>479</v>
      </c>
      <c r="C5216" s="132" t="s">
        <v>1376</v>
      </c>
      <c r="D5216" s="132" t="s">
        <v>1379</v>
      </c>
      <c r="E5216" s="508">
        <v>5.8999999999999997E-2</v>
      </c>
      <c r="F5216" s="508">
        <v>5.8000000000000003E-2</v>
      </c>
      <c r="G5216" s="508">
        <v>6.0999999999999999E-2</v>
      </c>
      <c r="H5216" s="508">
        <v>6.0999999999999999E-2</v>
      </c>
      <c r="I5216" s="508">
        <v>5.6000000000000001E-2</v>
      </c>
      <c r="J5216" s="508">
        <v>0.06</v>
      </c>
      <c r="K5216" s="508">
        <v>6.4000000000000001E-2</v>
      </c>
      <c r="L5216" s="508">
        <v>6.5000000000000002E-2</v>
      </c>
      <c r="M5216" s="508">
        <v>5.8000000000000003E-2</v>
      </c>
      <c r="N5216" s="508">
        <v>5.8999999999999997E-2</v>
      </c>
      <c r="O5216" s="508">
        <v>5.8999999999999997E-2</v>
      </c>
      <c r="P5216" s="508">
        <v>0.06</v>
      </c>
      <c r="Q5216" s="508">
        <v>6.2E-2</v>
      </c>
      <c r="R5216" s="508">
        <v>6.3E-2</v>
      </c>
      <c r="S5216" s="508">
        <v>6.0999999999999999E-2</v>
      </c>
      <c r="T5216" s="508">
        <v>5.7000000000000002E-2</v>
      </c>
      <c r="U5216" s="508">
        <v>0.06</v>
      </c>
      <c r="V5216" s="508">
        <v>6.5000000000000002E-2</v>
      </c>
      <c r="W5216" s="508">
        <v>6.3E-2</v>
      </c>
      <c r="X5216" s="508">
        <v>6.6000000000000003E-2</v>
      </c>
      <c r="Y5216" s="508">
        <v>6.2E-2</v>
      </c>
      <c r="Z5216" s="508">
        <v>6.6000000000000003E-2</v>
      </c>
      <c r="AA5216" s="508">
        <v>6.2E-2</v>
      </c>
      <c r="AB5216" s="508">
        <v>6.3E-2</v>
      </c>
      <c r="AC5216" s="508">
        <v>6.0999999999999999E-2</v>
      </c>
      <c r="AD5216" s="508">
        <v>5.6000000000000001E-2</v>
      </c>
      <c r="AE5216" s="508">
        <v>6.2E-2</v>
      </c>
      <c r="AF5216" s="508">
        <v>6.2E-2</v>
      </c>
      <c r="AG5216" s="508">
        <v>6.2E-2</v>
      </c>
      <c r="AH5216" s="508">
        <v>6.2E-2</v>
      </c>
      <c r="AI5216" s="492">
        <v>6.2E-2</v>
      </c>
      <c r="AJ5216" s="485"/>
    </row>
    <row r="5217" spans="2:36">
      <c r="B5217" s="136" t="s">
        <v>480</v>
      </c>
      <c r="C5217" s="132" t="s">
        <v>1376</v>
      </c>
      <c r="D5217" s="132" t="s">
        <v>1379</v>
      </c>
      <c r="E5217" s="508">
        <v>0.05</v>
      </c>
      <c r="F5217" s="508">
        <v>4.9000000000000002E-2</v>
      </c>
      <c r="G5217" s="508">
        <v>5.0999999999999997E-2</v>
      </c>
      <c r="H5217" s="508">
        <v>5.1999999999999998E-2</v>
      </c>
      <c r="I5217" s="508">
        <v>4.8000000000000001E-2</v>
      </c>
      <c r="J5217" s="508">
        <v>5.0999999999999997E-2</v>
      </c>
      <c r="K5217" s="508">
        <v>5.3999999999999999E-2</v>
      </c>
      <c r="L5217" s="508">
        <v>5.5E-2</v>
      </c>
      <c r="M5217" s="508">
        <v>0.05</v>
      </c>
      <c r="N5217" s="508">
        <v>0.05</v>
      </c>
      <c r="O5217" s="508">
        <v>0.05</v>
      </c>
      <c r="P5217" s="508">
        <v>5.0999999999999997E-2</v>
      </c>
      <c r="Q5217" s="508">
        <v>5.1999999999999998E-2</v>
      </c>
      <c r="R5217" s="508">
        <v>5.3999999999999999E-2</v>
      </c>
      <c r="S5217" s="508">
        <v>5.1999999999999998E-2</v>
      </c>
      <c r="T5217" s="508">
        <v>4.9000000000000002E-2</v>
      </c>
      <c r="U5217" s="508">
        <v>5.0999999999999997E-2</v>
      </c>
      <c r="V5217" s="508">
        <v>5.5E-2</v>
      </c>
      <c r="W5217" s="508">
        <v>5.2999999999999999E-2</v>
      </c>
      <c r="X5217" s="508">
        <v>5.6000000000000001E-2</v>
      </c>
      <c r="Y5217" s="508">
        <v>5.2999999999999999E-2</v>
      </c>
      <c r="Z5217" s="508">
        <v>5.6000000000000001E-2</v>
      </c>
      <c r="AA5217" s="508">
        <v>5.2999999999999999E-2</v>
      </c>
      <c r="AB5217" s="508">
        <v>5.2999999999999999E-2</v>
      </c>
      <c r="AC5217" s="508">
        <v>5.0999999999999997E-2</v>
      </c>
      <c r="AD5217" s="508">
        <v>4.7E-2</v>
      </c>
      <c r="AE5217" s="508">
        <v>5.1999999999999998E-2</v>
      </c>
      <c r="AF5217" s="508">
        <v>5.1999999999999998E-2</v>
      </c>
      <c r="AG5217" s="508">
        <v>5.1999999999999998E-2</v>
      </c>
      <c r="AH5217" s="508">
        <v>5.1999999999999998E-2</v>
      </c>
      <c r="AI5217" s="492">
        <v>5.1999999999999998E-2</v>
      </c>
      <c r="AJ5217" s="485"/>
    </row>
    <row r="5218" spans="2:36">
      <c r="B5218" s="136" t="s">
        <v>481</v>
      </c>
      <c r="C5218" s="132" t="s">
        <v>1376</v>
      </c>
      <c r="D5218" s="132" t="s">
        <v>1379</v>
      </c>
      <c r="E5218" s="508">
        <v>6.0999999999999999E-2</v>
      </c>
      <c r="F5218" s="508">
        <v>0.06</v>
      </c>
      <c r="G5218" s="508">
        <v>6.3E-2</v>
      </c>
      <c r="H5218" s="508">
        <v>6.3E-2</v>
      </c>
      <c r="I5218" s="508">
        <v>5.8000000000000003E-2</v>
      </c>
      <c r="J5218" s="508">
        <v>6.2E-2</v>
      </c>
      <c r="K5218" s="508">
        <v>6.6000000000000003E-2</v>
      </c>
      <c r="L5218" s="508">
        <v>6.7000000000000004E-2</v>
      </c>
      <c r="M5218" s="508">
        <v>0.06</v>
      </c>
      <c r="N5218" s="508">
        <v>6.0999999999999999E-2</v>
      </c>
      <c r="O5218" s="508">
        <v>6.0999999999999999E-2</v>
      </c>
      <c r="P5218" s="508">
        <v>6.2E-2</v>
      </c>
      <c r="Q5218" s="508">
        <v>6.4000000000000001E-2</v>
      </c>
      <c r="R5218" s="508">
        <v>6.5000000000000002E-2</v>
      </c>
      <c r="S5218" s="508">
        <v>6.3E-2</v>
      </c>
      <c r="T5218" s="508">
        <v>5.8999999999999997E-2</v>
      </c>
      <c r="U5218" s="508">
        <v>6.2E-2</v>
      </c>
      <c r="V5218" s="508">
        <v>6.7000000000000004E-2</v>
      </c>
      <c r="W5218" s="508">
        <v>6.5000000000000002E-2</v>
      </c>
      <c r="X5218" s="508">
        <v>6.8000000000000005E-2</v>
      </c>
      <c r="Y5218" s="508">
        <v>6.4000000000000001E-2</v>
      </c>
      <c r="Z5218" s="508">
        <v>6.8000000000000005E-2</v>
      </c>
      <c r="AA5218" s="508">
        <v>6.4000000000000001E-2</v>
      </c>
      <c r="AB5218" s="508">
        <v>6.5000000000000002E-2</v>
      </c>
      <c r="AC5218" s="508">
        <v>6.2E-2</v>
      </c>
      <c r="AD5218" s="508">
        <v>5.7000000000000002E-2</v>
      </c>
      <c r="AE5218" s="508">
        <v>6.3E-2</v>
      </c>
      <c r="AF5218" s="508">
        <v>6.3E-2</v>
      </c>
      <c r="AG5218" s="508">
        <v>6.3E-2</v>
      </c>
      <c r="AH5218" s="508">
        <v>6.3E-2</v>
      </c>
      <c r="AI5218" s="492">
        <v>6.3E-2</v>
      </c>
      <c r="AJ5218" s="485"/>
    </row>
    <row r="5219" spans="2:36">
      <c r="B5219" s="136" t="s">
        <v>482</v>
      </c>
      <c r="C5219" s="132" t="s">
        <v>1376</v>
      </c>
      <c r="D5219" s="132" t="s">
        <v>1379</v>
      </c>
      <c r="E5219" s="508">
        <v>6.0999999999999999E-2</v>
      </c>
      <c r="F5219" s="508">
        <v>0.06</v>
      </c>
      <c r="G5219" s="508">
        <v>6.2E-2</v>
      </c>
      <c r="H5219" s="508">
        <v>6.3E-2</v>
      </c>
      <c r="I5219" s="508">
        <v>5.8000000000000003E-2</v>
      </c>
      <c r="J5219" s="508">
        <v>6.0999999999999999E-2</v>
      </c>
      <c r="K5219" s="508">
        <v>6.6000000000000003E-2</v>
      </c>
      <c r="L5219" s="508">
        <v>6.7000000000000004E-2</v>
      </c>
      <c r="M5219" s="508">
        <v>0.06</v>
      </c>
      <c r="N5219" s="508">
        <v>6.0999999999999999E-2</v>
      </c>
      <c r="O5219" s="508">
        <v>6.0999999999999999E-2</v>
      </c>
      <c r="P5219" s="508">
        <v>6.2E-2</v>
      </c>
      <c r="Q5219" s="508">
        <v>6.3E-2</v>
      </c>
      <c r="R5219" s="508">
        <v>6.5000000000000002E-2</v>
      </c>
      <c r="S5219" s="508">
        <v>6.2E-2</v>
      </c>
      <c r="T5219" s="508">
        <v>5.8999999999999997E-2</v>
      </c>
      <c r="U5219" s="508">
        <v>6.2E-2</v>
      </c>
      <c r="V5219" s="508">
        <v>6.7000000000000004E-2</v>
      </c>
      <c r="W5219" s="508">
        <v>6.5000000000000002E-2</v>
      </c>
      <c r="X5219" s="508">
        <v>6.8000000000000005E-2</v>
      </c>
      <c r="Y5219" s="508">
        <v>6.4000000000000001E-2</v>
      </c>
      <c r="Z5219" s="508">
        <v>6.8000000000000005E-2</v>
      </c>
      <c r="AA5219" s="508">
        <v>6.4000000000000001E-2</v>
      </c>
      <c r="AB5219" s="508">
        <v>6.5000000000000002E-2</v>
      </c>
      <c r="AC5219" s="508">
        <v>6.2E-2</v>
      </c>
      <c r="AD5219" s="508">
        <v>5.7000000000000002E-2</v>
      </c>
      <c r="AE5219" s="508">
        <v>6.3E-2</v>
      </c>
      <c r="AF5219" s="508">
        <v>6.3E-2</v>
      </c>
      <c r="AG5219" s="508">
        <v>6.3E-2</v>
      </c>
      <c r="AH5219" s="508">
        <v>6.3E-2</v>
      </c>
      <c r="AI5219" s="492">
        <v>6.3E-2</v>
      </c>
      <c r="AJ5219" s="485"/>
    </row>
    <row r="5220" spans="2:36">
      <c r="B5220" s="136" t="s">
        <v>483</v>
      </c>
      <c r="C5220" s="132" t="s">
        <v>1376</v>
      </c>
      <c r="D5220" s="132" t="s">
        <v>1379</v>
      </c>
      <c r="E5220" s="508">
        <v>6.6000000000000003E-2</v>
      </c>
      <c r="F5220" s="508">
        <v>6.5000000000000002E-2</v>
      </c>
      <c r="G5220" s="508">
        <v>6.8000000000000005E-2</v>
      </c>
      <c r="H5220" s="508">
        <v>6.9000000000000006E-2</v>
      </c>
      <c r="I5220" s="508">
        <v>6.3E-2</v>
      </c>
      <c r="J5220" s="508">
        <v>6.7000000000000004E-2</v>
      </c>
      <c r="K5220" s="508">
        <v>7.1999999999999995E-2</v>
      </c>
      <c r="L5220" s="508">
        <v>7.2999999999999995E-2</v>
      </c>
      <c r="M5220" s="508">
        <v>6.6000000000000003E-2</v>
      </c>
      <c r="N5220" s="508">
        <v>6.7000000000000004E-2</v>
      </c>
      <c r="O5220" s="508">
        <v>6.6000000000000003E-2</v>
      </c>
      <c r="P5220" s="508">
        <v>6.8000000000000005E-2</v>
      </c>
      <c r="Q5220" s="508">
        <v>6.9000000000000006E-2</v>
      </c>
      <c r="R5220" s="508">
        <v>7.0999999999999994E-2</v>
      </c>
      <c r="S5220" s="508">
        <v>6.8000000000000005E-2</v>
      </c>
      <c r="T5220" s="508">
        <v>6.4000000000000001E-2</v>
      </c>
      <c r="U5220" s="508">
        <v>6.8000000000000005E-2</v>
      </c>
      <c r="V5220" s="508">
        <v>7.2999999999999995E-2</v>
      </c>
      <c r="W5220" s="508">
        <v>7.0999999999999994E-2</v>
      </c>
      <c r="X5220" s="508">
        <v>7.4999999999999997E-2</v>
      </c>
      <c r="Y5220" s="508">
        <v>7.0000000000000007E-2</v>
      </c>
      <c r="Z5220" s="508">
        <v>7.3999999999999996E-2</v>
      </c>
      <c r="AA5220" s="508">
        <v>7.0000000000000007E-2</v>
      </c>
      <c r="AB5220" s="508">
        <v>7.0999999999999994E-2</v>
      </c>
      <c r="AC5220" s="508">
        <v>6.8000000000000005E-2</v>
      </c>
      <c r="AD5220" s="508">
        <v>6.3E-2</v>
      </c>
      <c r="AE5220" s="508">
        <v>6.9000000000000006E-2</v>
      </c>
      <c r="AF5220" s="508">
        <v>6.9000000000000006E-2</v>
      </c>
      <c r="AG5220" s="508">
        <v>6.9000000000000006E-2</v>
      </c>
      <c r="AH5220" s="508">
        <v>6.9000000000000006E-2</v>
      </c>
      <c r="AI5220" s="492">
        <v>6.9000000000000006E-2</v>
      </c>
      <c r="AJ5220" s="485"/>
    </row>
    <row r="5221" spans="2:36">
      <c r="B5221" s="136" t="s">
        <v>484</v>
      </c>
      <c r="C5221" s="132" t="s">
        <v>1376</v>
      </c>
      <c r="D5221" s="132" t="s">
        <v>1379</v>
      </c>
      <c r="E5221" s="508">
        <v>5.1999999999999998E-2</v>
      </c>
      <c r="F5221" s="508">
        <v>5.0999999999999997E-2</v>
      </c>
      <c r="G5221" s="508">
        <v>5.2999999999999999E-2</v>
      </c>
      <c r="H5221" s="508">
        <v>5.3999999999999999E-2</v>
      </c>
      <c r="I5221" s="508">
        <v>4.9000000000000002E-2</v>
      </c>
      <c r="J5221" s="508">
        <v>5.1999999999999998E-2</v>
      </c>
      <c r="K5221" s="508">
        <v>5.6000000000000001E-2</v>
      </c>
      <c r="L5221" s="508">
        <v>5.7000000000000002E-2</v>
      </c>
      <c r="M5221" s="508">
        <v>5.0999999999999997E-2</v>
      </c>
      <c r="N5221" s="508">
        <v>5.1999999999999998E-2</v>
      </c>
      <c r="O5221" s="508">
        <v>5.1999999999999998E-2</v>
      </c>
      <c r="P5221" s="508">
        <v>5.2999999999999999E-2</v>
      </c>
      <c r="Q5221" s="508">
        <v>5.3999999999999999E-2</v>
      </c>
      <c r="R5221" s="508">
        <v>5.5E-2</v>
      </c>
      <c r="S5221" s="508">
        <v>5.2999999999999999E-2</v>
      </c>
      <c r="T5221" s="508">
        <v>0.05</v>
      </c>
      <c r="U5221" s="508">
        <v>5.2999999999999999E-2</v>
      </c>
      <c r="V5221" s="508">
        <v>5.7000000000000002E-2</v>
      </c>
      <c r="W5221" s="508">
        <v>5.5E-2</v>
      </c>
      <c r="X5221" s="508">
        <v>5.8000000000000003E-2</v>
      </c>
      <c r="Y5221" s="508">
        <v>5.3999999999999999E-2</v>
      </c>
      <c r="Z5221" s="508">
        <v>5.8000000000000003E-2</v>
      </c>
      <c r="AA5221" s="508">
        <v>5.3999999999999999E-2</v>
      </c>
      <c r="AB5221" s="508">
        <v>5.5E-2</v>
      </c>
      <c r="AC5221" s="508">
        <v>5.2999999999999999E-2</v>
      </c>
      <c r="AD5221" s="508">
        <v>4.9000000000000002E-2</v>
      </c>
      <c r="AE5221" s="508">
        <v>5.3999999999999999E-2</v>
      </c>
      <c r="AF5221" s="508">
        <v>5.3999999999999999E-2</v>
      </c>
      <c r="AG5221" s="508">
        <v>5.3999999999999999E-2</v>
      </c>
      <c r="AH5221" s="508">
        <v>5.3999999999999999E-2</v>
      </c>
      <c r="AI5221" s="492">
        <v>5.3999999999999999E-2</v>
      </c>
      <c r="AJ5221" s="485"/>
    </row>
    <row r="5222" spans="2:36">
      <c r="B5222" s="136" t="s">
        <v>486</v>
      </c>
      <c r="C5222" s="132" t="s">
        <v>1376</v>
      </c>
      <c r="D5222" s="132" t="s">
        <v>1379</v>
      </c>
      <c r="E5222" s="508">
        <v>6.0999999999999999E-2</v>
      </c>
      <c r="F5222" s="508">
        <v>0.06</v>
      </c>
      <c r="G5222" s="508">
        <v>6.3E-2</v>
      </c>
      <c r="H5222" s="508">
        <v>6.3E-2</v>
      </c>
      <c r="I5222" s="508">
        <v>5.8000000000000003E-2</v>
      </c>
      <c r="J5222" s="508">
        <v>6.2E-2</v>
      </c>
      <c r="K5222" s="508">
        <v>6.6000000000000003E-2</v>
      </c>
      <c r="L5222" s="508">
        <v>6.8000000000000005E-2</v>
      </c>
      <c r="M5222" s="508">
        <v>6.0999999999999999E-2</v>
      </c>
      <c r="N5222" s="508">
        <v>6.0999999999999999E-2</v>
      </c>
      <c r="O5222" s="508">
        <v>6.0999999999999999E-2</v>
      </c>
      <c r="P5222" s="508">
        <v>6.2E-2</v>
      </c>
      <c r="Q5222" s="508">
        <v>6.4000000000000001E-2</v>
      </c>
      <c r="R5222" s="508">
        <v>6.6000000000000003E-2</v>
      </c>
      <c r="S5222" s="508">
        <v>6.3E-2</v>
      </c>
      <c r="T5222" s="508">
        <v>5.8999999999999997E-2</v>
      </c>
      <c r="U5222" s="508">
        <v>6.2E-2</v>
      </c>
      <c r="V5222" s="508">
        <v>6.7000000000000004E-2</v>
      </c>
      <c r="W5222" s="508">
        <v>6.5000000000000002E-2</v>
      </c>
      <c r="X5222" s="508">
        <v>6.9000000000000006E-2</v>
      </c>
      <c r="Y5222" s="508">
        <v>6.5000000000000002E-2</v>
      </c>
      <c r="Z5222" s="508">
        <v>6.8000000000000005E-2</v>
      </c>
      <c r="AA5222" s="508">
        <v>6.5000000000000002E-2</v>
      </c>
      <c r="AB5222" s="508">
        <v>6.5000000000000002E-2</v>
      </c>
      <c r="AC5222" s="508">
        <v>6.3E-2</v>
      </c>
      <c r="AD5222" s="508">
        <v>5.8000000000000003E-2</v>
      </c>
      <c r="AE5222" s="508">
        <v>6.4000000000000001E-2</v>
      </c>
      <c r="AF5222" s="508">
        <v>6.4000000000000001E-2</v>
      </c>
      <c r="AG5222" s="508">
        <v>6.4000000000000001E-2</v>
      </c>
      <c r="AH5222" s="508">
        <v>6.4000000000000001E-2</v>
      </c>
      <c r="AI5222" s="492">
        <v>6.4000000000000001E-2</v>
      </c>
      <c r="AJ5222" s="485"/>
    </row>
    <row r="5223" spans="2:36">
      <c r="B5223" s="136" t="s">
        <v>487</v>
      </c>
      <c r="C5223" s="132" t="s">
        <v>1376</v>
      </c>
      <c r="D5223" s="132" t="s">
        <v>1379</v>
      </c>
      <c r="E5223" s="508">
        <v>6.0999999999999999E-2</v>
      </c>
      <c r="F5223" s="508">
        <v>0.06</v>
      </c>
      <c r="G5223" s="508">
        <v>6.2E-2</v>
      </c>
      <c r="H5223" s="508">
        <v>6.3E-2</v>
      </c>
      <c r="I5223" s="508">
        <v>5.8000000000000003E-2</v>
      </c>
      <c r="J5223" s="508">
        <v>6.0999999999999999E-2</v>
      </c>
      <c r="K5223" s="508">
        <v>6.6000000000000003E-2</v>
      </c>
      <c r="L5223" s="508">
        <v>6.7000000000000004E-2</v>
      </c>
      <c r="M5223" s="508">
        <v>0.06</v>
      </c>
      <c r="N5223" s="508">
        <v>6.0999999999999999E-2</v>
      </c>
      <c r="O5223" s="508">
        <v>6.0999999999999999E-2</v>
      </c>
      <c r="P5223" s="508">
        <v>6.2E-2</v>
      </c>
      <c r="Q5223" s="508">
        <v>6.3E-2</v>
      </c>
      <c r="R5223" s="508">
        <v>6.5000000000000002E-2</v>
      </c>
      <c r="S5223" s="508">
        <v>6.3E-2</v>
      </c>
      <c r="T5223" s="508">
        <v>5.8999999999999997E-2</v>
      </c>
      <c r="U5223" s="508">
        <v>6.2E-2</v>
      </c>
      <c r="V5223" s="508">
        <v>6.7000000000000004E-2</v>
      </c>
      <c r="W5223" s="508">
        <v>6.5000000000000002E-2</v>
      </c>
      <c r="X5223" s="508">
        <v>6.8000000000000005E-2</v>
      </c>
      <c r="Y5223" s="508">
        <v>6.4000000000000001E-2</v>
      </c>
      <c r="Z5223" s="508">
        <v>6.8000000000000005E-2</v>
      </c>
      <c r="AA5223" s="508">
        <v>6.4000000000000001E-2</v>
      </c>
      <c r="AB5223" s="508">
        <v>6.5000000000000002E-2</v>
      </c>
      <c r="AC5223" s="508">
        <v>6.2E-2</v>
      </c>
      <c r="AD5223" s="508">
        <v>5.7000000000000002E-2</v>
      </c>
      <c r="AE5223" s="508">
        <v>6.3E-2</v>
      </c>
      <c r="AF5223" s="508">
        <v>6.3E-2</v>
      </c>
      <c r="AG5223" s="508">
        <v>6.3E-2</v>
      </c>
      <c r="AH5223" s="508">
        <v>6.3E-2</v>
      </c>
      <c r="AI5223" s="492">
        <v>6.3E-2</v>
      </c>
      <c r="AJ5223" s="485"/>
    </row>
    <row r="5224" spans="2:36">
      <c r="B5224" s="136" t="s">
        <v>488</v>
      </c>
      <c r="C5224" s="132" t="s">
        <v>1376</v>
      </c>
      <c r="D5224" s="132" t="s">
        <v>1379</v>
      </c>
      <c r="E5224" s="508">
        <v>5.3999999999999999E-2</v>
      </c>
      <c r="F5224" s="508">
        <v>5.2999999999999999E-2</v>
      </c>
      <c r="G5224" s="508">
        <v>5.5E-2</v>
      </c>
      <c r="H5224" s="508">
        <v>5.6000000000000001E-2</v>
      </c>
      <c r="I5224" s="508">
        <v>5.0999999999999997E-2</v>
      </c>
      <c r="J5224" s="508">
        <v>5.3999999999999999E-2</v>
      </c>
      <c r="K5224" s="508">
        <v>5.8000000000000003E-2</v>
      </c>
      <c r="L5224" s="508">
        <v>5.8999999999999997E-2</v>
      </c>
      <c r="M5224" s="508">
        <v>5.2999999999999999E-2</v>
      </c>
      <c r="N5224" s="508">
        <v>5.3999999999999999E-2</v>
      </c>
      <c r="O5224" s="508">
        <v>5.3999999999999999E-2</v>
      </c>
      <c r="P5224" s="508">
        <v>5.5E-2</v>
      </c>
      <c r="Q5224" s="508">
        <v>5.6000000000000001E-2</v>
      </c>
      <c r="R5224" s="508">
        <v>5.7000000000000002E-2</v>
      </c>
      <c r="S5224" s="508">
        <v>5.5E-2</v>
      </c>
      <c r="T5224" s="508">
        <v>5.1999999999999998E-2</v>
      </c>
      <c r="U5224" s="508">
        <v>5.5E-2</v>
      </c>
      <c r="V5224" s="508">
        <v>5.8999999999999997E-2</v>
      </c>
      <c r="W5224" s="508">
        <v>5.7000000000000002E-2</v>
      </c>
      <c r="X5224" s="508">
        <v>0.06</v>
      </c>
      <c r="Y5224" s="508">
        <v>5.7000000000000002E-2</v>
      </c>
      <c r="Z5224" s="508">
        <v>0.06</v>
      </c>
      <c r="AA5224" s="508">
        <v>5.7000000000000002E-2</v>
      </c>
      <c r="AB5224" s="508">
        <v>5.7000000000000002E-2</v>
      </c>
      <c r="AC5224" s="508">
        <v>5.5E-2</v>
      </c>
      <c r="AD5224" s="508">
        <v>5.0999999999999997E-2</v>
      </c>
      <c r="AE5224" s="508">
        <v>5.6000000000000001E-2</v>
      </c>
      <c r="AF5224" s="508">
        <v>5.6000000000000001E-2</v>
      </c>
      <c r="AG5224" s="508">
        <v>5.6000000000000001E-2</v>
      </c>
      <c r="AH5224" s="508">
        <v>5.6000000000000001E-2</v>
      </c>
      <c r="AI5224" s="492">
        <v>5.6000000000000001E-2</v>
      </c>
      <c r="AJ5224" s="485"/>
    </row>
    <row r="5225" spans="2:36">
      <c r="B5225" s="136" t="s">
        <v>489</v>
      </c>
      <c r="C5225" s="132" t="s">
        <v>1376</v>
      </c>
      <c r="D5225" s="132" t="s">
        <v>1379</v>
      </c>
      <c r="E5225" s="508">
        <v>5.8000000000000003E-2</v>
      </c>
      <c r="F5225" s="508">
        <v>5.7000000000000002E-2</v>
      </c>
      <c r="G5225" s="508">
        <v>5.8999999999999997E-2</v>
      </c>
      <c r="H5225" s="508">
        <v>0.06</v>
      </c>
      <c r="I5225" s="508">
        <v>5.5E-2</v>
      </c>
      <c r="J5225" s="508">
        <v>5.8000000000000003E-2</v>
      </c>
      <c r="K5225" s="508">
        <v>6.2E-2</v>
      </c>
      <c r="L5225" s="508">
        <v>6.4000000000000001E-2</v>
      </c>
      <c r="M5225" s="508">
        <v>5.7000000000000002E-2</v>
      </c>
      <c r="N5225" s="508">
        <v>5.8000000000000003E-2</v>
      </c>
      <c r="O5225" s="508">
        <v>5.8000000000000003E-2</v>
      </c>
      <c r="P5225" s="508">
        <v>5.8999999999999997E-2</v>
      </c>
      <c r="Q5225" s="508">
        <v>0.06</v>
      </c>
      <c r="R5225" s="508">
        <v>6.2E-2</v>
      </c>
      <c r="S5225" s="508">
        <v>5.8999999999999997E-2</v>
      </c>
      <c r="T5225" s="508">
        <v>5.6000000000000001E-2</v>
      </c>
      <c r="U5225" s="508">
        <v>5.8999999999999997E-2</v>
      </c>
      <c r="V5225" s="508">
        <v>6.3E-2</v>
      </c>
      <c r="W5225" s="508">
        <v>6.0999999999999999E-2</v>
      </c>
      <c r="X5225" s="508">
        <v>6.5000000000000002E-2</v>
      </c>
      <c r="Y5225" s="508">
        <v>6.0999999999999999E-2</v>
      </c>
      <c r="Z5225" s="508">
        <v>6.4000000000000001E-2</v>
      </c>
      <c r="AA5225" s="508">
        <v>6.0999999999999999E-2</v>
      </c>
      <c r="AB5225" s="508">
        <v>6.2E-2</v>
      </c>
      <c r="AC5225" s="508">
        <v>5.8999999999999997E-2</v>
      </c>
      <c r="AD5225" s="508">
        <v>5.3999999999999999E-2</v>
      </c>
      <c r="AE5225" s="508">
        <v>0.06</v>
      </c>
      <c r="AF5225" s="508">
        <v>0.06</v>
      </c>
      <c r="AG5225" s="508">
        <v>0.06</v>
      </c>
      <c r="AH5225" s="508">
        <v>0.06</v>
      </c>
      <c r="AI5225" s="492">
        <v>0.06</v>
      </c>
      <c r="AJ5225" s="485"/>
    </row>
    <row r="5226" spans="2:36">
      <c r="B5226" s="136" t="s">
        <v>490</v>
      </c>
      <c r="C5226" s="132" t="s">
        <v>1376</v>
      </c>
      <c r="D5226" s="132" t="s">
        <v>1379</v>
      </c>
      <c r="E5226" s="508">
        <v>0.05</v>
      </c>
      <c r="F5226" s="508">
        <v>0.05</v>
      </c>
      <c r="G5226" s="508">
        <v>5.1999999999999998E-2</v>
      </c>
      <c r="H5226" s="508">
        <v>5.1999999999999998E-2</v>
      </c>
      <c r="I5226" s="508">
        <v>4.8000000000000001E-2</v>
      </c>
      <c r="J5226" s="508">
        <v>5.0999999999999997E-2</v>
      </c>
      <c r="K5226" s="508">
        <v>5.3999999999999999E-2</v>
      </c>
      <c r="L5226" s="508">
        <v>5.6000000000000001E-2</v>
      </c>
      <c r="M5226" s="508">
        <v>0.05</v>
      </c>
      <c r="N5226" s="508">
        <v>5.0999999999999997E-2</v>
      </c>
      <c r="O5226" s="508">
        <v>0.05</v>
      </c>
      <c r="P5226" s="508">
        <v>5.0999999999999997E-2</v>
      </c>
      <c r="Q5226" s="508">
        <v>5.2999999999999999E-2</v>
      </c>
      <c r="R5226" s="508">
        <v>5.3999999999999999E-2</v>
      </c>
      <c r="S5226" s="508">
        <v>5.1999999999999998E-2</v>
      </c>
      <c r="T5226" s="508">
        <v>4.9000000000000002E-2</v>
      </c>
      <c r="U5226" s="508">
        <v>5.0999999999999997E-2</v>
      </c>
      <c r="V5226" s="508">
        <v>5.5E-2</v>
      </c>
      <c r="W5226" s="508">
        <v>5.3999999999999999E-2</v>
      </c>
      <c r="X5226" s="508">
        <v>5.6000000000000001E-2</v>
      </c>
      <c r="Y5226" s="508">
        <v>5.2999999999999999E-2</v>
      </c>
      <c r="Z5226" s="508">
        <v>5.6000000000000001E-2</v>
      </c>
      <c r="AA5226" s="508">
        <v>5.2999999999999999E-2</v>
      </c>
      <c r="AB5226" s="508">
        <v>5.3999999999999999E-2</v>
      </c>
      <c r="AC5226" s="508">
        <v>5.1999999999999998E-2</v>
      </c>
      <c r="AD5226" s="508">
        <v>4.8000000000000001E-2</v>
      </c>
      <c r="AE5226" s="508">
        <v>5.2999999999999999E-2</v>
      </c>
      <c r="AF5226" s="508">
        <v>5.2999999999999999E-2</v>
      </c>
      <c r="AG5226" s="508">
        <v>5.2999999999999999E-2</v>
      </c>
      <c r="AH5226" s="508">
        <v>5.2999999999999999E-2</v>
      </c>
      <c r="AI5226" s="492">
        <v>5.2999999999999999E-2</v>
      </c>
      <c r="AJ5226" s="485"/>
    </row>
    <row r="5227" spans="2:36">
      <c r="B5227" s="136" t="s">
        <v>435</v>
      </c>
      <c r="C5227" s="132" t="s">
        <v>1377</v>
      </c>
      <c r="D5227" s="132" t="s">
        <v>1379</v>
      </c>
      <c r="E5227" s="508"/>
      <c r="F5227" s="508"/>
      <c r="G5227" s="508"/>
      <c r="H5227" s="508"/>
      <c r="I5227" s="508"/>
      <c r="J5227" s="508">
        <v>8.5000000000000006E-2</v>
      </c>
      <c r="K5227" s="508">
        <v>8.5000000000000006E-2</v>
      </c>
      <c r="L5227" s="508">
        <v>8.5000000000000006E-2</v>
      </c>
      <c r="M5227" s="508">
        <v>8.5000000000000006E-2</v>
      </c>
      <c r="N5227" s="508">
        <v>8.5000000000000006E-2</v>
      </c>
      <c r="O5227" s="508">
        <v>8.5000000000000006E-2</v>
      </c>
      <c r="P5227" s="508">
        <v>8.5000000000000006E-2</v>
      </c>
      <c r="Q5227" s="508">
        <v>8.5000000000000006E-2</v>
      </c>
      <c r="R5227" s="508">
        <v>8.5000000000000006E-2</v>
      </c>
      <c r="S5227" s="508">
        <v>8.5000000000000006E-2</v>
      </c>
      <c r="T5227" s="508">
        <v>8.5000000000000006E-2</v>
      </c>
      <c r="U5227" s="508">
        <v>8.5000000000000006E-2</v>
      </c>
      <c r="V5227" s="508">
        <v>8.5000000000000006E-2</v>
      </c>
      <c r="W5227" s="508">
        <v>8.5000000000000006E-2</v>
      </c>
      <c r="X5227" s="508">
        <v>8.5000000000000006E-2</v>
      </c>
      <c r="Y5227" s="508">
        <v>8.5000000000000006E-2</v>
      </c>
      <c r="Z5227" s="508">
        <v>8.5000000000000006E-2</v>
      </c>
      <c r="AA5227" s="508">
        <v>8.5000000000000006E-2</v>
      </c>
      <c r="AB5227" s="508">
        <v>8.5000000000000006E-2</v>
      </c>
      <c r="AC5227" s="508">
        <v>8.5000000000000006E-2</v>
      </c>
      <c r="AD5227" s="508">
        <v>8.5000000000000006E-2</v>
      </c>
      <c r="AE5227" s="508">
        <v>8.5000000000000006E-2</v>
      </c>
      <c r="AF5227" s="508">
        <v>8.5000000000000006E-2</v>
      </c>
      <c r="AG5227" s="508">
        <v>8.5000000000000006E-2</v>
      </c>
      <c r="AH5227" s="508">
        <v>8.5000000000000006E-2</v>
      </c>
      <c r="AI5227" s="492">
        <v>8.5000000000000006E-2</v>
      </c>
      <c r="AJ5227" s="485"/>
    </row>
    <row r="5228" spans="2:36">
      <c r="B5228" s="136" t="s">
        <v>436</v>
      </c>
      <c r="C5228" s="132" t="s">
        <v>1377</v>
      </c>
      <c r="D5228" s="132" t="s">
        <v>1379</v>
      </c>
      <c r="E5228" s="508"/>
      <c r="F5228" s="508"/>
      <c r="G5228" s="508"/>
      <c r="H5228" s="508"/>
      <c r="I5228" s="508"/>
      <c r="J5228" s="508">
        <v>7.6999999999999999E-2</v>
      </c>
      <c r="K5228" s="508">
        <v>7.6999999999999999E-2</v>
      </c>
      <c r="L5228" s="508">
        <v>7.6999999999999999E-2</v>
      </c>
      <c r="M5228" s="508">
        <v>7.6999999999999999E-2</v>
      </c>
      <c r="N5228" s="508">
        <v>7.6999999999999999E-2</v>
      </c>
      <c r="O5228" s="508">
        <v>7.6999999999999999E-2</v>
      </c>
      <c r="P5228" s="508">
        <v>7.6999999999999999E-2</v>
      </c>
      <c r="Q5228" s="508">
        <v>7.6999999999999999E-2</v>
      </c>
      <c r="R5228" s="508">
        <v>7.6999999999999999E-2</v>
      </c>
      <c r="S5228" s="508">
        <v>7.6999999999999999E-2</v>
      </c>
      <c r="T5228" s="508">
        <v>7.6999999999999999E-2</v>
      </c>
      <c r="U5228" s="508">
        <v>7.6999999999999999E-2</v>
      </c>
      <c r="V5228" s="508">
        <v>7.6999999999999999E-2</v>
      </c>
      <c r="W5228" s="508">
        <v>7.6999999999999999E-2</v>
      </c>
      <c r="X5228" s="508">
        <v>7.6999999999999999E-2</v>
      </c>
      <c r="Y5228" s="508">
        <v>7.6999999999999999E-2</v>
      </c>
      <c r="Z5228" s="508">
        <v>7.6999999999999999E-2</v>
      </c>
      <c r="AA5228" s="508">
        <v>7.6999999999999999E-2</v>
      </c>
      <c r="AB5228" s="508">
        <v>7.6999999999999999E-2</v>
      </c>
      <c r="AC5228" s="508">
        <v>7.6999999999999999E-2</v>
      </c>
      <c r="AD5228" s="508">
        <v>7.6999999999999999E-2</v>
      </c>
      <c r="AE5228" s="508">
        <v>7.6999999999999999E-2</v>
      </c>
      <c r="AF5228" s="508">
        <v>7.6999999999999999E-2</v>
      </c>
      <c r="AG5228" s="508">
        <v>7.6999999999999999E-2</v>
      </c>
      <c r="AH5228" s="508">
        <v>7.6999999999999999E-2</v>
      </c>
      <c r="AI5228" s="492">
        <v>7.6999999999999999E-2</v>
      </c>
      <c r="AJ5228" s="485"/>
    </row>
    <row r="5229" spans="2:36">
      <c r="B5229" s="136" t="s">
        <v>437</v>
      </c>
      <c r="C5229" s="132" t="s">
        <v>1377</v>
      </c>
      <c r="D5229" s="132" t="s">
        <v>1379</v>
      </c>
      <c r="E5229" s="508"/>
      <c r="F5229" s="508"/>
      <c r="G5229" s="508"/>
      <c r="H5229" s="508"/>
      <c r="I5229" s="508"/>
      <c r="J5229" s="508">
        <v>8.7999999999999995E-2</v>
      </c>
      <c r="K5229" s="508">
        <v>8.7999999999999995E-2</v>
      </c>
      <c r="L5229" s="508">
        <v>8.7999999999999995E-2</v>
      </c>
      <c r="M5229" s="508">
        <v>8.7999999999999995E-2</v>
      </c>
      <c r="N5229" s="508">
        <v>8.7999999999999995E-2</v>
      </c>
      <c r="O5229" s="508">
        <v>8.7999999999999995E-2</v>
      </c>
      <c r="P5229" s="508">
        <v>8.7999999999999995E-2</v>
      </c>
      <c r="Q5229" s="508">
        <v>8.7999999999999995E-2</v>
      </c>
      <c r="R5229" s="508">
        <v>8.7999999999999995E-2</v>
      </c>
      <c r="S5229" s="508">
        <v>8.7999999999999995E-2</v>
      </c>
      <c r="T5229" s="508">
        <v>8.7999999999999995E-2</v>
      </c>
      <c r="U5229" s="508">
        <v>8.7999999999999995E-2</v>
      </c>
      <c r="V5229" s="508">
        <v>8.7999999999999995E-2</v>
      </c>
      <c r="W5229" s="508">
        <v>8.7999999999999995E-2</v>
      </c>
      <c r="X5229" s="508">
        <v>8.7999999999999995E-2</v>
      </c>
      <c r="Y5229" s="508">
        <v>8.7999999999999995E-2</v>
      </c>
      <c r="Z5229" s="508">
        <v>8.7999999999999995E-2</v>
      </c>
      <c r="AA5229" s="508">
        <v>8.7999999999999995E-2</v>
      </c>
      <c r="AB5229" s="508">
        <v>8.7999999999999995E-2</v>
      </c>
      <c r="AC5229" s="508">
        <v>8.7999999999999995E-2</v>
      </c>
      <c r="AD5229" s="508">
        <v>8.7999999999999995E-2</v>
      </c>
      <c r="AE5229" s="508">
        <v>8.7999999999999995E-2</v>
      </c>
      <c r="AF5229" s="508">
        <v>8.7999999999999995E-2</v>
      </c>
      <c r="AG5229" s="508">
        <v>8.7999999999999995E-2</v>
      </c>
      <c r="AH5229" s="508">
        <v>8.7999999999999995E-2</v>
      </c>
      <c r="AI5229" s="492">
        <v>8.7999999999999995E-2</v>
      </c>
      <c r="AJ5229" s="485"/>
    </row>
    <row r="5230" spans="2:36">
      <c r="B5230" s="136" t="s">
        <v>438</v>
      </c>
      <c r="C5230" s="132" t="s">
        <v>1377</v>
      </c>
      <c r="D5230" s="132" t="s">
        <v>1379</v>
      </c>
      <c r="E5230" s="508"/>
      <c r="F5230" s="508"/>
      <c r="G5230" s="508"/>
      <c r="H5230" s="508"/>
      <c r="I5230" s="508"/>
      <c r="J5230" s="508">
        <v>7.2999999999999995E-2</v>
      </c>
      <c r="K5230" s="508">
        <v>7.2999999999999995E-2</v>
      </c>
      <c r="L5230" s="508">
        <v>7.2999999999999995E-2</v>
      </c>
      <c r="M5230" s="508">
        <v>7.2999999999999995E-2</v>
      </c>
      <c r="N5230" s="508">
        <v>7.2999999999999995E-2</v>
      </c>
      <c r="O5230" s="508">
        <v>7.2999999999999995E-2</v>
      </c>
      <c r="P5230" s="508">
        <v>7.2999999999999995E-2</v>
      </c>
      <c r="Q5230" s="508">
        <v>7.2999999999999995E-2</v>
      </c>
      <c r="R5230" s="508">
        <v>7.2999999999999995E-2</v>
      </c>
      <c r="S5230" s="508">
        <v>7.2999999999999995E-2</v>
      </c>
      <c r="T5230" s="508">
        <v>7.2999999999999995E-2</v>
      </c>
      <c r="U5230" s="508">
        <v>7.2999999999999995E-2</v>
      </c>
      <c r="V5230" s="508">
        <v>7.2999999999999995E-2</v>
      </c>
      <c r="W5230" s="508">
        <v>7.2999999999999995E-2</v>
      </c>
      <c r="X5230" s="508">
        <v>7.2999999999999995E-2</v>
      </c>
      <c r="Y5230" s="508">
        <v>7.2999999999999995E-2</v>
      </c>
      <c r="Z5230" s="508">
        <v>7.2999999999999995E-2</v>
      </c>
      <c r="AA5230" s="508">
        <v>7.2999999999999995E-2</v>
      </c>
      <c r="AB5230" s="508">
        <v>7.2999999999999995E-2</v>
      </c>
      <c r="AC5230" s="508">
        <v>7.2999999999999995E-2</v>
      </c>
      <c r="AD5230" s="508">
        <v>7.2999999999999995E-2</v>
      </c>
      <c r="AE5230" s="508">
        <v>7.2999999999999995E-2</v>
      </c>
      <c r="AF5230" s="508">
        <v>7.2999999999999995E-2</v>
      </c>
      <c r="AG5230" s="508">
        <v>7.2999999999999995E-2</v>
      </c>
      <c r="AH5230" s="508">
        <v>7.2999999999999995E-2</v>
      </c>
      <c r="AI5230" s="492">
        <v>7.2999999999999995E-2</v>
      </c>
      <c r="AJ5230" s="485"/>
    </row>
    <row r="5231" spans="2:36">
      <c r="B5231" s="136" t="s">
        <v>439</v>
      </c>
      <c r="C5231" s="132" t="s">
        <v>1377</v>
      </c>
      <c r="D5231" s="132" t="s">
        <v>1379</v>
      </c>
      <c r="E5231" s="508"/>
      <c r="F5231" s="508"/>
      <c r="G5231" s="508"/>
      <c r="H5231" s="508"/>
      <c r="I5231" s="508"/>
      <c r="J5231" s="508">
        <v>8.6999999999999994E-2</v>
      </c>
      <c r="K5231" s="508">
        <v>8.6999999999999994E-2</v>
      </c>
      <c r="L5231" s="508">
        <v>8.6999999999999994E-2</v>
      </c>
      <c r="M5231" s="508">
        <v>8.6999999999999994E-2</v>
      </c>
      <c r="N5231" s="508">
        <v>8.6999999999999994E-2</v>
      </c>
      <c r="O5231" s="508">
        <v>8.6999999999999994E-2</v>
      </c>
      <c r="P5231" s="508">
        <v>8.6999999999999994E-2</v>
      </c>
      <c r="Q5231" s="508">
        <v>8.6999999999999994E-2</v>
      </c>
      <c r="R5231" s="508">
        <v>8.6999999999999994E-2</v>
      </c>
      <c r="S5231" s="508">
        <v>8.6999999999999994E-2</v>
      </c>
      <c r="T5231" s="508">
        <v>8.6999999999999994E-2</v>
      </c>
      <c r="U5231" s="508">
        <v>8.6999999999999994E-2</v>
      </c>
      <c r="V5231" s="508">
        <v>8.6999999999999994E-2</v>
      </c>
      <c r="W5231" s="508">
        <v>8.6999999999999994E-2</v>
      </c>
      <c r="X5231" s="508">
        <v>8.6999999999999994E-2</v>
      </c>
      <c r="Y5231" s="508">
        <v>8.6999999999999994E-2</v>
      </c>
      <c r="Z5231" s="508">
        <v>8.6999999999999994E-2</v>
      </c>
      <c r="AA5231" s="508">
        <v>8.6999999999999994E-2</v>
      </c>
      <c r="AB5231" s="508">
        <v>8.6999999999999994E-2</v>
      </c>
      <c r="AC5231" s="508">
        <v>8.6999999999999994E-2</v>
      </c>
      <c r="AD5231" s="508">
        <v>8.6999999999999994E-2</v>
      </c>
      <c r="AE5231" s="508">
        <v>8.6999999999999994E-2</v>
      </c>
      <c r="AF5231" s="508">
        <v>8.6999999999999994E-2</v>
      </c>
      <c r="AG5231" s="508">
        <v>8.6999999999999994E-2</v>
      </c>
      <c r="AH5231" s="508">
        <v>8.6999999999999994E-2</v>
      </c>
      <c r="AI5231" s="492">
        <v>8.6999999999999994E-2</v>
      </c>
      <c r="AJ5231" s="485"/>
    </row>
    <row r="5232" spans="2:36">
      <c r="B5232" s="136" t="s">
        <v>440</v>
      </c>
      <c r="C5232" s="132" t="s">
        <v>1377</v>
      </c>
      <c r="D5232" s="132" t="s">
        <v>1379</v>
      </c>
      <c r="E5232" s="508"/>
      <c r="F5232" s="508"/>
      <c r="G5232" s="508"/>
      <c r="H5232" s="508"/>
      <c r="I5232" s="508"/>
      <c r="J5232" s="508">
        <v>8.4000000000000005E-2</v>
      </c>
      <c r="K5232" s="508">
        <v>8.4000000000000005E-2</v>
      </c>
      <c r="L5232" s="508">
        <v>8.4000000000000005E-2</v>
      </c>
      <c r="M5232" s="508">
        <v>8.4000000000000005E-2</v>
      </c>
      <c r="N5232" s="508">
        <v>8.4000000000000005E-2</v>
      </c>
      <c r="O5232" s="508">
        <v>8.4000000000000005E-2</v>
      </c>
      <c r="P5232" s="508">
        <v>8.4000000000000005E-2</v>
      </c>
      <c r="Q5232" s="508">
        <v>8.4000000000000005E-2</v>
      </c>
      <c r="R5232" s="508">
        <v>8.4000000000000005E-2</v>
      </c>
      <c r="S5232" s="508">
        <v>8.4000000000000005E-2</v>
      </c>
      <c r="T5232" s="508">
        <v>8.4000000000000005E-2</v>
      </c>
      <c r="U5232" s="508">
        <v>8.4000000000000005E-2</v>
      </c>
      <c r="V5232" s="508">
        <v>8.4000000000000005E-2</v>
      </c>
      <c r="W5232" s="508">
        <v>8.4000000000000005E-2</v>
      </c>
      <c r="X5232" s="508">
        <v>8.4000000000000005E-2</v>
      </c>
      <c r="Y5232" s="508">
        <v>8.4000000000000005E-2</v>
      </c>
      <c r="Z5232" s="508">
        <v>8.4000000000000005E-2</v>
      </c>
      <c r="AA5232" s="508">
        <v>8.4000000000000005E-2</v>
      </c>
      <c r="AB5232" s="508">
        <v>8.4000000000000005E-2</v>
      </c>
      <c r="AC5232" s="508">
        <v>8.4000000000000005E-2</v>
      </c>
      <c r="AD5232" s="508">
        <v>8.4000000000000005E-2</v>
      </c>
      <c r="AE5232" s="508">
        <v>8.4000000000000005E-2</v>
      </c>
      <c r="AF5232" s="508">
        <v>8.4000000000000005E-2</v>
      </c>
      <c r="AG5232" s="508">
        <v>8.4000000000000005E-2</v>
      </c>
      <c r="AH5232" s="508">
        <v>8.4000000000000005E-2</v>
      </c>
      <c r="AI5232" s="492">
        <v>8.4000000000000005E-2</v>
      </c>
      <c r="AJ5232" s="485"/>
    </row>
    <row r="5233" spans="2:36">
      <c r="B5233" s="136" t="s">
        <v>441</v>
      </c>
      <c r="C5233" s="132" t="s">
        <v>1377</v>
      </c>
      <c r="D5233" s="132" t="s">
        <v>1379</v>
      </c>
      <c r="E5233" s="508"/>
      <c r="F5233" s="508"/>
      <c r="G5233" s="508"/>
      <c r="H5233" s="508"/>
      <c r="I5233" s="508"/>
      <c r="J5233" s="508">
        <v>8.6999999999999994E-2</v>
      </c>
      <c r="K5233" s="508">
        <v>8.6999999999999994E-2</v>
      </c>
      <c r="L5233" s="508">
        <v>8.6999999999999994E-2</v>
      </c>
      <c r="M5233" s="508">
        <v>8.6999999999999994E-2</v>
      </c>
      <c r="N5233" s="508">
        <v>8.6999999999999994E-2</v>
      </c>
      <c r="O5233" s="508">
        <v>8.6999999999999994E-2</v>
      </c>
      <c r="P5233" s="508">
        <v>8.6999999999999994E-2</v>
      </c>
      <c r="Q5233" s="508">
        <v>8.6999999999999994E-2</v>
      </c>
      <c r="R5233" s="508">
        <v>8.6999999999999994E-2</v>
      </c>
      <c r="S5233" s="508">
        <v>8.6999999999999994E-2</v>
      </c>
      <c r="T5233" s="508">
        <v>8.6999999999999994E-2</v>
      </c>
      <c r="U5233" s="508">
        <v>8.6999999999999994E-2</v>
      </c>
      <c r="V5233" s="508">
        <v>8.6999999999999994E-2</v>
      </c>
      <c r="W5233" s="508">
        <v>8.6999999999999994E-2</v>
      </c>
      <c r="X5233" s="508">
        <v>8.6999999999999994E-2</v>
      </c>
      <c r="Y5233" s="508">
        <v>8.6999999999999994E-2</v>
      </c>
      <c r="Z5233" s="508">
        <v>8.6999999999999994E-2</v>
      </c>
      <c r="AA5233" s="508">
        <v>8.6999999999999994E-2</v>
      </c>
      <c r="AB5233" s="508">
        <v>8.6999999999999994E-2</v>
      </c>
      <c r="AC5233" s="508">
        <v>8.6999999999999994E-2</v>
      </c>
      <c r="AD5233" s="508">
        <v>8.6999999999999994E-2</v>
      </c>
      <c r="AE5233" s="508">
        <v>8.6999999999999994E-2</v>
      </c>
      <c r="AF5233" s="508">
        <v>8.6999999999999994E-2</v>
      </c>
      <c r="AG5233" s="508">
        <v>8.6999999999999994E-2</v>
      </c>
      <c r="AH5233" s="508">
        <v>8.6999999999999994E-2</v>
      </c>
      <c r="AI5233" s="492">
        <v>8.6999999999999994E-2</v>
      </c>
      <c r="AJ5233" s="485"/>
    </row>
    <row r="5234" spans="2:36">
      <c r="B5234" s="136" t="s">
        <v>443</v>
      </c>
      <c r="C5234" s="132" t="s">
        <v>1377</v>
      </c>
      <c r="D5234" s="132" t="s">
        <v>1379</v>
      </c>
      <c r="E5234" s="508"/>
      <c r="F5234" s="508"/>
      <c r="G5234" s="508"/>
      <c r="H5234" s="508"/>
      <c r="I5234" s="508"/>
      <c r="J5234" s="508">
        <v>9.5000000000000001E-2</v>
      </c>
      <c r="K5234" s="508">
        <v>9.5000000000000001E-2</v>
      </c>
      <c r="L5234" s="508">
        <v>9.5000000000000001E-2</v>
      </c>
      <c r="M5234" s="508">
        <v>9.5000000000000001E-2</v>
      </c>
      <c r="N5234" s="508">
        <v>9.5000000000000001E-2</v>
      </c>
      <c r="O5234" s="508">
        <v>9.5000000000000001E-2</v>
      </c>
      <c r="P5234" s="508">
        <v>9.5000000000000001E-2</v>
      </c>
      <c r="Q5234" s="508">
        <v>9.5000000000000001E-2</v>
      </c>
      <c r="R5234" s="508">
        <v>9.5000000000000001E-2</v>
      </c>
      <c r="S5234" s="508">
        <v>9.5000000000000001E-2</v>
      </c>
      <c r="T5234" s="508">
        <v>9.5000000000000001E-2</v>
      </c>
      <c r="U5234" s="508">
        <v>9.5000000000000001E-2</v>
      </c>
      <c r="V5234" s="508">
        <v>9.5000000000000001E-2</v>
      </c>
      <c r="W5234" s="508">
        <v>9.5000000000000001E-2</v>
      </c>
      <c r="X5234" s="508">
        <v>9.5000000000000001E-2</v>
      </c>
      <c r="Y5234" s="508">
        <v>9.5000000000000001E-2</v>
      </c>
      <c r="Z5234" s="508">
        <v>9.5000000000000001E-2</v>
      </c>
      <c r="AA5234" s="508">
        <v>9.5000000000000001E-2</v>
      </c>
      <c r="AB5234" s="508">
        <v>9.5000000000000001E-2</v>
      </c>
      <c r="AC5234" s="508">
        <v>9.5000000000000001E-2</v>
      </c>
      <c r="AD5234" s="508">
        <v>9.5000000000000001E-2</v>
      </c>
      <c r="AE5234" s="508">
        <v>9.5000000000000001E-2</v>
      </c>
      <c r="AF5234" s="508">
        <v>9.5000000000000001E-2</v>
      </c>
      <c r="AG5234" s="508">
        <v>9.5000000000000001E-2</v>
      </c>
      <c r="AH5234" s="508">
        <v>9.5000000000000001E-2</v>
      </c>
      <c r="AI5234" s="492">
        <v>9.5000000000000001E-2</v>
      </c>
      <c r="AJ5234" s="485"/>
    </row>
    <row r="5235" spans="2:36">
      <c r="B5235" s="136" t="s">
        <v>445</v>
      </c>
      <c r="C5235" s="132" t="s">
        <v>1377</v>
      </c>
      <c r="D5235" s="132" t="s">
        <v>1379</v>
      </c>
      <c r="E5235" s="508"/>
      <c r="F5235" s="508"/>
      <c r="G5235" s="508"/>
      <c r="H5235" s="508"/>
      <c r="I5235" s="508"/>
      <c r="J5235" s="508">
        <v>0.11700000000000001</v>
      </c>
      <c r="K5235" s="508">
        <v>0.11700000000000001</v>
      </c>
      <c r="L5235" s="508">
        <v>0.11700000000000001</v>
      </c>
      <c r="M5235" s="508">
        <v>0.11700000000000001</v>
      </c>
      <c r="N5235" s="508">
        <v>0.11700000000000001</v>
      </c>
      <c r="O5235" s="508">
        <v>0.11700000000000001</v>
      </c>
      <c r="P5235" s="508">
        <v>0.11700000000000001</v>
      </c>
      <c r="Q5235" s="508">
        <v>0.11700000000000001</v>
      </c>
      <c r="R5235" s="508">
        <v>0.11700000000000001</v>
      </c>
      <c r="S5235" s="508">
        <v>0.11700000000000001</v>
      </c>
      <c r="T5235" s="508">
        <v>0.11700000000000001</v>
      </c>
      <c r="U5235" s="508">
        <v>0.11700000000000001</v>
      </c>
      <c r="V5235" s="508">
        <v>0.11700000000000001</v>
      </c>
      <c r="W5235" s="508">
        <v>0.11700000000000001</v>
      </c>
      <c r="X5235" s="508">
        <v>0.11700000000000001</v>
      </c>
      <c r="Y5235" s="508">
        <v>0.11700000000000001</v>
      </c>
      <c r="Z5235" s="508">
        <v>0.11700000000000001</v>
      </c>
      <c r="AA5235" s="508">
        <v>0.11700000000000001</v>
      </c>
      <c r="AB5235" s="508">
        <v>0.11700000000000001</v>
      </c>
      <c r="AC5235" s="508">
        <v>0.11700000000000001</v>
      </c>
      <c r="AD5235" s="508">
        <v>0.11700000000000001</v>
      </c>
      <c r="AE5235" s="508">
        <v>0.11700000000000001</v>
      </c>
      <c r="AF5235" s="508">
        <v>0.11700000000000001</v>
      </c>
      <c r="AG5235" s="508">
        <v>0.11700000000000001</v>
      </c>
      <c r="AH5235" s="508">
        <v>0.11700000000000001</v>
      </c>
      <c r="AI5235" s="492">
        <v>0.11700000000000001</v>
      </c>
      <c r="AJ5235" s="485"/>
    </row>
    <row r="5236" spans="2:36">
      <c r="B5236" s="136" t="s">
        <v>446</v>
      </c>
      <c r="C5236" s="132" t="s">
        <v>1377</v>
      </c>
      <c r="D5236" s="132" t="s">
        <v>1379</v>
      </c>
      <c r="E5236" s="508"/>
      <c r="F5236" s="508"/>
      <c r="G5236" s="508"/>
      <c r="H5236" s="508"/>
      <c r="I5236" s="508"/>
      <c r="J5236" s="508">
        <v>0.10299999999999999</v>
      </c>
      <c r="K5236" s="508">
        <v>0.10299999999999999</v>
      </c>
      <c r="L5236" s="508">
        <v>0.10299999999999999</v>
      </c>
      <c r="M5236" s="508">
        <v>0.10299999999999999</v>
      </c>
      <c r="N5236" s="508">
        <v>0.10299999999999999</v>
      </c>
      <c r="O5236" s="508">
        <v>0.10299999999999999</v>
      </c>
      <c r="P5236" s="508">
        <v>0.10299999999999999</v>
      </c>
      <c r="Q5236" s="508">
        <v>0.10299999999999999</v>
      </c>
      <c r="R5236" s="508">
        <v>0.10299999999999999</v>
      </c>
      <c r="S5236" s="508">
        <v>0.10299999999999999</v>
      </c>
      <c r="T5236" s="508">
        <v>0.10299999999999999</v>
      </c>
      <c r="U5236" s="508">
        <v>0.10299999999999999</v>
      </c>
      <c r="V5236" s="508">
        <v>0.10299999999999999</v>
      </c>
      <c r="W5236" s="508">
        <v>0.10299999999999999</v>
      </c>
      <c r="X5236" s="508">
        <v>0.10299999999999999</v>
      </c>
      <c r="Y5236" s="508">
        <v>0.10299999999999999</v>
      </c>
      <c r="Z5236" s="508">
        <v>0.10299999999999999</v>
      </c>
      <c r="AA5236" s="508">
        <v>0.10299999999999999</v>
      </c>
      <c r="AB5236" s="508">
        <v>0.10299999999999999</v>
      </c>
      <c r="AC5236" s="508">
        <v>0.10299999999999999</v>
      </c>
      <c r="AD5236" s="508">
        <v>0.10299999999999999</v>
      </c>
      <c r="AE5236" s="508">
        <v>0.10299999999999999</v>
      </c>
      <c r="AF5236" s="508">
        <v>0.10299999999999999</v>
      </c>
      <c r="AG5236" s="508">
        <v>0.10299999999999999</v>
      </c>
      <c r="AH5236" s="508">
        <v>0.10299999999999999</v>
      </c>
      <c r="AI5236" s="492">
        <v>0.10299999999999999</v>
      </c>
      <c r="AJ5236" s="485"/>
    </row>
    <row r="5237" spans="2:36">
      <c r="B5237" s="136" t="s">
        <v>448</v>
      </c>
      <c r="C5237" s="132" t="s">
        <v>1377</v>
      </c>
      <c r="D5237" s="132" t="s">
        <v>1379</v>
      </c>
      <c r="E5237" s="508"/>
      <c r="F5237" s="508"/>
      <c r="G5237" s="508"/>
      <c r="H5237" s="508"/>
      <c r="I5237" s="508"/>
      <c r="J5237" s="508">
        <v>7.8E-2</v>
      </c>
      <c r="K5237" s="508">
        <v>7.8E-2</v>
      </c>
      <c r="L5237" s="508">
        <v>7.8E-2</v>
      </c>
      <c r="M5237" s="508">
        <v>7.8E-2</v>
      </c>
      <c r="N5237" s="508">
        <v>7.8E-2</v>
      </c>
      <c r="O5237" s="508">
        <v>7.8E-2</v>
      </c>
      <c r="P5237" s="508">
        <v>7.8E-2</v>
      </c>
      <c r="Q5237" s="508">
        <v>7.8E-2</v>
      </c>
      <c r="R5237" s="508">
        <v>7.8E-2</v>
      </c>
      <c r="S5237" s="508">
        <v>7.8E-2</v>
      </c>
      <c r="T5237" s="508">
        <v>7.8E-2</v>
      </c>
      <c r="U5237" s="508">
        <v>7.8E-2</v>
      </c>
      <c r="V5237" s="508">
        <v>7.8E-2</v>
      </c>
      <c r="W5237" s="508">
        <v>7.8E-2</v>
      </c>
      <c r="X5237" s="508">
        <v>7.8E-2</v>
      </c>
      <c r="Y5237" s="508">
        <v>7.8E-2</v>
      </c>
      <c r="Z5237" s="508">
        <v>7.8E-2</v>
      </c>
      <c r="AA5237" s="508">
        <v>7.8E-2</v>
      </c>
      <c r="AB5237" s="508">
        <v>7.8E-2</v>
      </c>
      <c r="AC5237" s="508">
        <v>7.8E-2</v>
      </c>
      <c r="AD5237" s="508">
        <v>7.8E-2</v>
      </c>
      <c r="AE5237" s="508">
        <v>7.8E-2</v>
      </c>
      <c r="AF5237" s="508">
        <v>7.8E-2</v>
      </c>
      <c r="AG5237" s="508">
        <v>7.8E-2</v>
      </c>
      <c r="AH5237" s="508">
        <v>7.8E-2</v>
      </c>
      <c r="AI5237" s="492">
        <v>7.8E-2</v>
      </c>
      <c r="AJ5237" s="485"/>
    </row>
    <row r="5238" spans="2:36">
      <c r="B5238" s="136" t="s">
        <v>449</v>
      </c>
      <c r="C5238" s="132" t="s">
        <v>1377</v>
      </c>
      <c r="D5238" s="132" t="s">
        <v>1379</v>
      </c>
      <c r="E5238" s="508"/>
      <c r="F5238" s="508"/>
      <c r="G5238" s="508"/>
      <c r="H5238" s="508"/>
      <c r="I5238" s="508"/>
      <c r="J5238" s="508">
        <v>9.7000000000000003E-2</v>
      </c>
      <c r="K5238" s="508">
        <v>9.7000000000000003E-2</v>
      </c>
      <c r="L5238" s="508">
        <v>9.7000000000000003E-2</v>
      </c>
      <c r="M5238" s="508">
        <v>9.7000000000000003E-2</v>
      </c>
      <c r="N5238" s="508">
        <v>9.7000000000000003E-2</v>
      </c>
      <c r="O5238" s="508">
        <v>9.7000000000000003E-2</v>
      </c>
      <c r="P5238" s="508">
        <v>9.7000000000000003E-2</v>
      </c>
      <c r="Q5238" s="508">
        <v>9.7000000000000003E-2</v>
      </c>
      <c r="R5238" s="508">
        <v>9.7000000000000003E-2</v>
      </c>
      <c r="S5238" s="508">
        <v>9.7000000000000003E-2</v>
      </c>
      <c r="T5238" s="508">
        <v>9.7000000000000003E-2</v>
      </c>
      <c r="U5238" s="508">
        <v>9.7000000000000003E-2</v>
      </c>
      <c r="V5238" s="508">
        <v>9.7000000000000003E-2</v>
      </c>
      <c r="W5238" s="508">
        <v>9.7000000000000003E-2</v>
      </c>
      <c r="X5238" s="508">
        <v>9.7000000000000003E-2</v>
      </c>
      <c r="Y5238" s="508">
        <v>9.7000000000000003E-2</v>
      </c>
      <c r="Z5238" s="508">
        <v>9.7000000000000003E-2</v>
      </c>
      <c r="AA5238" s="508">
        <v>9.7000000000000003E-2</v>
      </c>
      <c r="AB5238" s="508">
        <v>9.7000000000000003E-2</v>
      </c>
      <c r="AC5238" s="508">
        <v>9.7000000000000003E-2</v>
      </c>
      <c r="AD5238" s="508">
        <v>9.7000000000000003E-2</v>
      </c>
      <c r="AE5238" s="508">
        <v>9.7000000000000003E-2</v>
      </c>
      <c r="AF5238" s="508">
        <v>9.7000000000000003E-2</v>
      </c>
      <c r="AG5238" s="508">
        <v>9.7000000000000003E-2</v>
      </c>
      <c r="AH5238" s="508">
        <v>9.7000000000000003E-2</v>
      </c>
      <c r="AI5238" s="492">
        <v>9.7000000000000003E-2</v>
      </c>
      <c r="AJ5238" s="485"/>
    </row>
    <row r="5239" spans="2:36">
      <c r="B5239" s="136" t="s">
        <v>450</v>
      </c>
      <c r="C5239" s="132" t="s">
        <v>1377</v>
      </c>
      <c r="D5239" s="132" t="s">
        <v>1379</v>
      </c>
      <c r="E5239" s="508"/>
      <c r="F5239" s="508"/>
      <c r="G5239" s="508"/>
      <c r="H5239" s="508"/>
      <c r="I5239" s="508"/>
      <c r="J5239" s="508">
        <v>0.108</v>
      </c>
      <c r="K5239" s="508">
        <v>0.108</v>
      </c>
      <c r="L5239" s="508">
        <v>0.108</v>
      </c>
      <c r="M5239" s="508">
        <v>0.108</v>
      </c>
      <c r="N5239" s="508">
        <v>0.108</v>
      </c>
      <c r="O5239" s="508">
        <v>0.108</v>
      </c>
      <c r="P5239" s="508">
        <v>0.108</v>
      </c>
      <c r="Q5239" s="508">
        <v>0.108</v>
      </c>
      <c r="R5239" s="508">
        <v>0.108</v>
      </c>
      <c r="S5239" s="508">
        <v>0.108</v>
      </c>
      <c r="T5239" s="508">
        <v>0.108</v>
      </c>
      <c r="U5239" s="508">
        <v>0.108</v>
      </c>
      <c r="V5239" s="508">
        <v>0.108</v>
      </c>
      <c r="W5239" s="508">
        <v>0.108</v>
      </c>
      <c r="X5239" s="508">
        <v>0.108</v>
      </c>
      <c r="Y5239" s="508">
        <v>0.108</v>
      </c>
      <c r="Z5239" s="508">
        <v>0.108</v>
      </c>
      <c r="AA5239" s="508">
        <v>0.108</v>
      </c>
      <c r="AB5239" s="508">
        <v>0.108</v>
      </c>
      <c r="AC5239" s="508">
        <v>0.108</v>
      </c>
      <c r="AD5239" s="508">
        <v>0.108</v>
      </c>
      <c r="AE5239" s="508">
        <v>0.108</v>
      </c>
      <c r="AF5239" s="508">
        <v>0.108</v>
      </c>
      <c r="AG5239" s="508">
        <v>0.108</v>
      </c>
      <c r="AH5239" s="508">
        <v>0.108</v>
      </c>
      <c r="AI5239" s="492">
        <v>0.108</v>
      </c>
      <c r="AJ5239" s="485"/>
    </row>
    <row r="5240" spans="2:36">
      <c r="B5240" s="136" t="s">
        <v>451</v>
      </c>
      <c r="C5240" s="132" t="s">
        <v>1377</v>
      </c>
      <c r="D5240" s="132" t="s">
        <v>1379</v>
      </c>
      <c r="E5240" s="508"/>
      <c r="F5240" s="508"/>
      <c r="G5240" s="508"/>
      <c r="H5240" s="508"/>
      <c r="I5240" s="508"/>
      <c r="J5240" s="508">
        <v>0.105</v>
      </c>
      <c r="K5240" s="508">
        <v>0.105</v>
      </c>
      <c r="L5240" s="508">
        <v>0.105</v>
      </c>
      <c r="M5240" s="508">
        <v>0.105</v>
      </c>
      <c r="N5240" s="508">
        <v>0.105</v>
      </c>
      <c r="O5240" s="508">
        <v>0.105</v>
      </c>
      <c r="P5240" s="508">
        <v>0.105</v>
      </c>
      <c r="Q5240" s="508">
        <v>0.105</v>
      </c>
      <c r="R5240" s="508">
        <v>0.105</v>
      </c>
      <c r="S5240" s="508">
        <v>0.105</v>
      </c>
      <c r="T5240" s="508">
        <v>0.105</v>
      </c>
      <c r="U5240" s="508">
        <v>0.105</v>
      </c>
      <c r="V5240" s="508">
        <v>0.105</v>
      </c>
      <c r="W5240" s="508">
        <v>0.105</v>
      </c>
      <c r="X5240" s="508">
        <v>0.105</v>
      </c>
      <c r="Y5240" s="508">
        <v>0.105</v>
      </c>
      <c r="Z5240" s="508">
        <v>0.105</v>
      </c>
      <c r="AA5240" s="508">
        <v>0.105</v>
      </c>
      <c r="AB5240" s="508">
        <v>0.105</v>
      </c>
      <c r="AC5240" s="508">
        <v>0.105</v>
      </c>
      <c r="AD5240" s="508">
        <v>0.105</v>
      </c>
      <c r="AE5240" s="508">
        <v>0.105</v>
      </c>
      <c r="AF5240" s="508">
        <v>0.105</v>
      </c>
      <c r="AG5240" s="508">
        <v>0.105</v>
      </c>
      <c r="AH5240" s="508">
        <v>0.105</v>
      </c>
      <c r="AI5240" s="492">
        <v>0.105</v>
      </c>
      <c r="AJ5240" s="485"/>
    </row>
    <row r="5241" spans="2:36">
      <c r="B5241" s="136" t="s">
        <v>452</v>
      </c>
      <c r="C5241" s="132" t="s">
        <v>1377</v>
      </c>
      <c r="D5241" s="132" t="s">
        <v>1379</v>
      </c>
      <c r="E5241" s="508"/>
      <c r="F5241" s="508"/>
      <c r="G5241" s="508"/>
      <c r="H5241" s="508"/>
      <c r="I5241" s="508"/>
      <c r="J5241" s="508">
        <v>0.09</v>
      </c>
      <c r="K5241" s="508">
        <v>0.09</v>
      </c>
      <c r="L5241" s="508">
        <v>0.09</v>
      </c>
      <c r="M5241" s="508">
        <v>0.09</v>
      </c>
      <c r="N5241" s="508">
        <v>0.09</v>
      </c>
      <c r="O5241" s="508">
        <v>0.09</v>
      </c>
      <c r="P5241" s="508">
        <v>0.09</v>
      </c>
      <c r="Q5241" s="508">
        <v>0.09</v>
      </c>
      <c r="R5241" s="508">
        <v>0.09</v>
      </c>
      <c r="S5241" s="508">
        <v>0.09</v>
      </c>
      <c r="T5241" s="508">
        <v>0.09</v>
      </c>
      <c r="U5241" s="508">
        <v>0.09</v>
      </c>
      <c r="V5241" s="508">
        <v>0.09</v>
      </c>
      <c r="W5241" s="508">
        <v>0.09</v>
      </c>
      <c r="X5241" s="508">
        <v>0.09</v>
      </c>
      <c r="Y5241" s="508">
        <v>0.09</v>
      </c>
      <c r="Z5241" s="508">
        <v>0.09</v>
      </c>
      <c r="AA5241" s="508">
        <v>0.09</v>
      </c>
      <c r="AB5241" s="508">
        <v>0.09</v>
      </c>
      <c r="AC5241" s="508">
        <v>0.09</v>
      </c>
      <c r="AD5241" s="508">
        <v>0.09</v>
      </c>
      <c r="AE5241" s="508">
        <v>0.09</v>
      </c>
      <c r="AF5241" s="508">
        <v>0.09</v>
      </c>
      <c r="AG5241" s="508">
        <v>0.09</v>
      </c>
      <c r="AH5241" s="508">
        <v>0.09</v>
      </c>
      <c r="AI5241" s="492">
        <v>0.09</v>
      </c>
      <c r="AJ5241" s="485"/>
    </row>
    <row r="5242" spans="2:36">
      <c r="B5242" s="136" t="s">
        <v>453</v>
      </c>
      <c r="C5242" s="132" t="s">
        <v>1377</v>
      </c>
      <c r="D5242" s="132" t="s">
        <v>1379</v>
      </c>
      <c r="E5242" s="508"/>
      <c r="F5242" s="508"/>
      <c r="G5242" s="508"/>
      <c r="H5242" s="508"/>
      <c r="I5242" s="508"/>
      <c r="J5242" s="508">
        <v>7.4999999999999997E-2</v>
      </c>
      <c r="K5242" s="508">
        <v>7.4999999999999997E-2</v>
      </c>
      <c r="L5242" s="508">
        <v>7.4999999999999997E-2</v>
      </c>
      <c r="M5242" s="508">
        <v>7.4999999999999997E-2</v>
      </c>
      <c r="N5242" s="508">
        <v>7.4999999999999997E-2</v>
      </c>
      <c r="O5242" s="508">
        <v>7.4999999999999997E-2</v>
      </c>
      <c r="P5242" s="508">
        <v>7.4999999999999997E-2</v>
      </c>
      <c r="Q5242" s="508">
        <v>7.4999999999999997E-2</v>
      </c>
      <c r="R5242" s="508">
        <v>7.4999999999999997E-2</v>
      </c>
      <c r="S5242" s="508">
        <v>7.4999999999999997E-2</v>
      </c>
      <c r="T5242" s="508">
        <v>7.4999999999999997E-2</v>
      </c>
      <c r="U5242" s="508">
        <v>7.4999999999999997E-2</v>
      </c>
      <c r="V5242" s="508">
        <v>7.4999999999999997E-2</v>
      </c>
      <c r="W5242" s="508">
        <v>7.4999999999999997E-2</v>
      </c>
      <c r="X5242" s="508">
        <v>7.4999999999999997E-2</v>
      </c>
      <c r="Y5242" s="508">
        <v>7.4999999999999997E-2</v>
      </c>
      <c r="Z5242" s="508">
        <v>7.4999999999999997E-2</v>
      </c>
      <c r="AA5242" s="508">
        <v>7.4999999999999997E-2</v>
      </c>
      <c r="AB5242" s="508">
        <v>7.4999999999999997E-2</v>
      </c>
      <c r="AC5242" s="508">
        <v>7.4999999999999997E-2</v>
      </c>
      <c r="AD5242" s="508">
        <v>7.4999999999999997E-2</v>
      </c>
      <c r="AE5242" s="508">
        <v>7.4999999999999997E-2</v>
      </c>
      <c r="AF5242" s="508">
        <v>7.4999999999999997E-2</v>
      </c>
      <c r="AG5242" s="508">
        <v>7.4999999999999997E-2</v>
      </c>
      <c r="AH5242" s="508">
        <v>7.4999999999999997E-2</v>
      </c>
      <c r="AI5242" s="492">
        <v>7.4999999999999997E-2</v>
      </c>
      <c r="AJ5242" s="485"/>
    </row>
    <row r="5243" spans="2:36">
      <c r="B5243" s="136" t="s">
        <v>454</v>
      </c>
      <c r="C5243" s="132" t="s">
        <v>1377</v>
      </c>
      <c r="D5243" s="132" t="s">
        <v>1379</v>
      </c>
      <c r="E5243" s="508"/>
      <c r="F5243" s="508"/>
      <c r="G5243" s="508"/>
      <c r="H5243" s="508"/>
      <c r="I5243" s="508"/>
      <c r="J5243" s="508">
        <v>7.8E-2</v>
      </c>
      <c r="K5243" s="508">
        <v>7.8E-2</v>
      </c>
      <c r="L5243" s="508">
        <v>7.8E-2</v>
      </c>
      <c r="M5243" s="508">
        <v>7.8E-2</v>
      </c>
      <c r="N5243" s="508">
        <v>7.8E-2</v>
      </c>
      <c r="O5243" s="508">
        <v>7.8E-2</v>
      </c>
      <c r="P5243" s="508">
        <v>7.8E-2</v>
      </c>
      <c r="Q5243" s="508">
        <v>7.8E-2</v>
      </c>
      <c r="R5243" s="508">
        <v>7.8E-2</v>
      </c>
      <c r="S5243" s="508">
        <v>7.8E-2</v>
      </c>
      <c r="T5243" s="508">
        <v>7.8E-2</v>
      </c>
      <c r="U5243" s="508">
        <v>7.8E-2</v>
      </c>
      <c r="V5243" s="508">
        <v>7.8E-2</v>
      </c>
      <c r="W5243" s="508">
        <v>7.8E-2</v>
      </c>
      <c r="X5243" s="508">
        <v>7.8E-2</v>
      </c>
      <c r="Y5243" s="508">
        <v>7.8E-2</v>
      </c>
      <c r="Z5243" s="508">
        <v>7.8E-2</v>
      </c>
      <c r="AA5243" s="508">
        <v>7.8E-2</v>
      </c>
      <c r="AB5243" s="508">
        <v>7.8E-2</v>
      </c>
      <c r="AC5243" s="508">
        <v>7.8E-2</v>
      </c>
      <c r="AD5243" s="508">
        <v>7.8E-2</v>
      </c>
      <c r="AE5243" s="508">
        <v>7.8E-2</v>
      </c>
      <c r="AF5243" s="508">
        <v>7.8E-2</v>
      </c>
      <c r="AG5243" s="508">
        <v>7.8E-2</v>
      </c>
      <c r="AH5243" s="508">
        <v>7.8E-2</v>
      </c>
      <c r="AI5243" s="492">
        <v>7.8E-2</v>
      </c>
      <c r="AJ5243" s="485"/>
    </row>
    <row r="5244" spans="2:36">
      <c r="B5244" s="136" t="s">
        <v>455</v>
      </c>
      <c r="C5244" s="132" t="s">
        <v>1377</v>
      </c>
      <c r="D5244" s="132" t="s">
        <v>1379</v>
      </c>
      <c r="E5244" s="508"/>
      <c r="F5244" s="508"/>
      <c r="G5244" s="508"/>
      <c r="H5244" s="508"/>
      <c r="I5244" s="508"/>
      <c r="J5244" s="508">
        <v>7.1999999999999995E-2</v>
      </c>
      <c r="K5244" s="508">
        <v>7.1999999999999995E-2</v>
      </c>
      <c r="L5244" s="508">
        <v>7.1999999999999995E-2</v>
      </c>
      <c r="M5244" s="508">
        <v>7.1999999999999995E-2</v>
      </c>
      <c r="N5244" s="508">
        <v>7.1999999999999995E-2</v>
      </c>
      <c r="O5244" s="508">
        <v>7.1999999999999995E-2</v>
      </c>
      <c r="P5244" s="508">
        <v>7.1999999999999995E-2</v>
      </c>
      <c r="Q5244" s="508">
        <v>7.1999999999999995E-2</v>
      </c>
      <c r="R5244" s="508">
        <v>7.1999999999999995E-2</v>
      </c>
      <c r="S5244" s="508">
        <v>7.1999999999999995E-2</v>
      </c>
      <c r="T5244" s="508">
        <v>7.1999999999999995E-2</v>
      </c>
      <c r="U5244" s="508">
        <v>7.1999999999999995E-2</v>
      </c>
      <c r="V5244" s="508">
        <v>7.1999999999999995E-2</v>
      </c>
      <c r="W5244" s="508">
        <v>7.1999999999999995E-2</v>
      </c>
      <c r="X5244" s="508">
        <v>7.1999999999999995E-2</v>
      </c>
      <c r="Y5244" s="508">
        <v>7.1999999999999995E-2</v>
      </c>
      <c r="Z5244" s="508">
        <v>7.1999999999999995E-2</v>
      </c>
      <c r="AA5244" s="508">
        <v>7.1999999999999995E-2</v>
      </c>
      <c r="AB5244" s="508">
        <v>7.1999999999999995E-2</v>
      </c>
      <c r="AC5244" s="508">
        <v>7.1999999999999995E-2</v>
      </c>
      <c r="AD5244" s="508">
        <v>7.1999999999999995E-2</v>
      </c>
      <c r="AE5244" s="508">
        <v>7.1999999999999995E-2</v>
      </c>
      <c r="AF5244" s="508">
        <v>7.1999999999999995E-2</v>
      </c>
      <c r="AG5244" s="508">
        <v>7.1999999999999995E-2</v>
      </c>
      <c r="AH5244" s="508">
        <v>7.1999999999999995E-2</v>
      </c>
      <c r="AI5244" s="492">
        <v>7.1999999999999995E-2</v>
      </c>
      <c r="AJ5244" s="485"/>
    </row>
    <row r="5245" spans="2:36">
      <c r="B5245" s="136" t="s">
        <v>456</v>
      </c>
      <c r="C5245" s="132" t="s">
        <v>1377</v>
      </c>
      <c r="D5245" s="132" t="s">
        <v>1379</v>
      </c>
      <c r="E5245" s="508"/>
      <c r="F5245" s="508"/>
      <c r="G5245" s="508"/>
      <c r="H5245" s="508"/>
      <c r="I5245" s="508"/>
      <c r="J5245" s="508">
        <v>8.2000000000000003E-2</v>
      </c>
      <c r="K5245" s="508">
        <v>8.2000000000000003E-2</v>
      </c>
      <c r="L5245" s="508">
        <v>8.2000000000000003E-2</v>
      </c>
      <c r="M5245" s="508">
        <v>8.2000000000000003E-2</v>
      </c>
      <c r="N5245" s="508">
        <v>8.2000000000000003E-2</v>
      </c>
      <c r="O5245" s="508">
        <v>8.2000000000000003E-2</v>
      </c>
      <c r="P5245" s="508">
        <v>8.2000000000000003E-2</v>
      </c>
      <c r="Q5245" s="508">
        <v>8.2000000000000003E-2</v>
      </c>
      <c r="R5245" s="508">
        <v>8.2000000000000003E-2</v>
      </c>
      <c r="S5245" s="508">
        <v>8.2000000000000003E-2</v>
      </c>
      <c r="T5245" s="508">
        <v>8.2000000000000003E-2</v>
      </c>
      <c r="U5245" s="508">
        <v>8.2000000000000003E-2</v>
      </c>
      <c r="V5245" s="508">
        <v>8.2000000000000003E-2</v>
      </c>
      <c r="W5245" s="508">
        <v>8.2000000000000003E-2</v>
      </c>
      <c r="X5245" s="508">
        <v>8.2000000000000003E-2</v>
      </c>
      <c r="Y5245" s="508">
        <v>8.2000000000000003E-2</v>
      </c>
      <c r="Z5245" s="508">
        <v>8.2000000000000003E-2</v>
      </c>
      <c r="AA5245" s="508">
        <v>8.2000000000000003E-2</v>
      </c>
      <c r="AB5245" s="508">
        <v>8.2000000000000003E-2</v>
      </c>
      <c r="AC5245" s="508">
        <v>8.2000000000000003E-2</v>
      </c>
      <c r="AD5245" s="508">
        <v>8.2000000000000003E-2</v>
      </c>
      <c r="AE5245" s="508">
        <v>8.2000000000000003E-2</v>
      </c>
      <c r="AF5245" s="508">
        <v>8.2000000000000003E-2</v>
      </c>
      <c r="AG5245" s="508">
        <v>8.2000000000000003E-2</v>
      </c>
      <c r="AH5245" s="508">
        <v>8.2000000000000003E-2</v>
      </c>
      <c r="AI5245" s="492">
        <v>8.2000000000000003E-2</v>
      </c>
      <c r="AJ5245" s="485"/>
    </row>
    <row r="5246" spans="2:36">
      <c r="B5246" s="136" t="s">
        <v>457</v>
      </c>
      <c r="C5246" s="132" t="s">
        <v>1377</v>
      </c>
      <c r="D5246" s="132" t="s">
        <v>1379</v>
      </c>
      <c r="E5246" s="508"/>
      <c r="F5246" s="508"/>
      <c r="G5246" s="508"/>
      <c r="H5246" s="508"/>
      <c r="I5246" s="508"/>
      <c r="J5246" s="508">
        <v>6.8000000000000005E-2</v>
      </c>
      <c r="K5246" s="508">
        <v>6.8000000000000005E-2</v>
      </c>
      <c r="L5246" s="508">
        <v>6.8000000000000005E-2</v>
      </c>
      <c r="M5246" s="508">
        <v>6.8000000000000005E-2</v>
      </c>
      <c r="N5246" s="508">
        <v>6.8000000000000005E-2</v>
      </c>
      <c r="O5246" s="508">
        <v>6.8000000000000005E-2</v>
      </c>
      <c r="P5246" s="508">
        <v>6.8000000000000005E-2</v>
      </c>
      <c r="Q5246" s="508">
        <v>6.8000000000000005E-2</v>
      </c>
      <c r="R5246" s="508">
        <v>6.8000000000000005E-2</v>
      </c>
      <c r="S5246" s="508">
        <v>6.8000000000000005E-2</v>
      </c>
      <c r="T5246" s="508">
        <v>6.8000000000000005E-2</v>
      </c>
      <c r="U5246" s="508">
        <v>6.8000000000000005E-2</v>
      </c>
      <c r="V5246" s="508">
        <v>6.8000000000000005E-2</v>
      </c>
      <c r="W5246" s="508">
        <v>6.8000000000000005E-2</v>
      </c>
      <c r="X5246" s="508">
        <v>6.8000000000000005E-2</v>
      </c>
      <c r="Y5246" s="508">
        <v>6.8000000000000005E-2</v>
      </c>
      <c r="Z5246" s="508">
        <v>6.8000000000000005E-2</v>
      </c>
      <c r="AA5246" s="508">
        <v>6.8000000000000005E-2</v>
      </c>
      <c r="AB5246" s="508">
        <v>6.8000000000000005E-2</v>
      </c>
      <c r="AC5246" s="508">
        <v>6.8000000000000005E-2</v>
      </c>
      <c r="AD5246" s="508">
        <v>6.8000000000000005E-2</v>
      </c>
      <c r="AE5246" s="508">
        <v>6.8000000000000005E-2</v>
      </c>
      <c r="AF5246" s="508">
        <v>6.8000000000000005E-2</v>
      </c>
      <c r="AG5246" s="508">
        <v>6.8000000000000005E-2</v>
      </c>
      <c r="AH5246" s="508">
        <v>6.8000000000000005E-2</v>
      </c>
      <c r="AI5246" s="492">
        <v>6.8000000000000005E-2</v>
      </c>
      <c r="AJ5246" s="485"/>
    </row>
    <row r="5247" spans="2:36">
      <c r="B5247" s="136" t="s">
        <v>458</v>
      </c>
      <c r="C5247" s="132" t="s">
        <v>1377</v>
      </c>
      <c r="D5247" s="132" t="s">
        <v>1379</v>
      </c>
      <c r="E5247" s="508"/>
      <c r="F5247" s="508"/>
      <c r="G5247" s="508"/>
      <c r="H5247" s="508"/>
      <c r="I5247" s="508"/>
      <c r="J5247" s="508">
        <v>8.3000000000000004E-2</v>
      </c>
      <c r="K5247" s="508">
        <v>8.3000000000000004E-2</v>
      </c>
      <c r="L5247" s="508">
        <v>8.3000000000000004E-2</v>
      </c>
      <c r="M5247" s="508">
        <v>8.3000000000000004E-2</v>
      </c>
      <c r="N5247" s="508">
        <v>8.3000000000000004E-2</v>
      </c>
      <c r="O5247" s="508">
        <v>8.3000000000000004E-2</v>
      </c>
      <c r="P5247" s="508">
        <v>8.3000000000000004E-2</v>
      </c>
      <c r="Q5247" s="508">
        <v>8.3000000000000004E-2</v>
      </c>
      <c r="R5247" s="508">
        <v>8.3000000000000004E-2</v>
      </c>
      <c r="S5247" s="508">
        <v>8.3000000000000004E-2</v>
      </c>
      <c r="T5247" s="508">
        <v>8.3000000000000004E-2</v>
      </c>
      <c r="U5247" s="508">
        <v>8.3000000000000004E-2</v>
      </c>
      <c r="V5247" s="508">
        <v>8.3000000000000004E-2</v>
      </c>
      <c r="W5247" s="508">
        <v>8.3000000000000004E-2</v>
      </c>
      <c r="X5247" s="508">
        <v>8.3000000000000004E-2</v>
      </c>
      <c r="Y5247" s="508">
        <v>8.3000000000000004E-2</v>
      </c>
      <c r="Z5247" s="508">
        <v>8.3000000000000004E-2</v>
      </c>
      <c r="AA5247" s="508">
        <v>8.3000000000000004E-2</v>
      </c>
      <c r="AB5247" s="508">
        <v>8.3000000000000004E-2</v>
      </c>
      <c r="AC5247" s="508">
        <v>8.3000000000000004E-2</v>
      </c>
      <c r="AD5247" s="508">
        <v>8.3000000000000004E-2</v>
      </c>
      <c r="AE5247" s="508">
        <v>8.3000000000000004E-2</v>
      </c>
      <c r="AF5247" s="508">
        <v>8.3000000000000004E-2</v>
      </c>
      <c r="AG5247" s="508">
        <v>8.3000000000000004E-2</v>
      </c>
      <c r="AH5247" s="508">
        <v>8.3000000000000004E-2</v>
      </c>
      <c r="AI5247" s="492">
        <v>8.3000000000000004E-2</v>
      </c>
      <c r="AJ5247" s="485"/>
    </row>
    <row r="5248" spans="2:36">
      <c r="B5248" s="136" t="s">
        <v>459</v>
      </c>
      <c r="C5248" s="132" t="s">
        <v>1377</v>
      </c>
      <c r="D5248" s="132" t="s">
        <v>1379</v>
      </c>
      <c r="E5248" s="508"/>
      <c r="F5248" s="508"/>
      <c r="G5248" s="508"/>
      <c r="H5248" s="508"/>
      <c r="I5248" s="508"/>
      <c r="J5248" s="508">
        <v>8.3000000000000004E-2</v>
      </c>
      <c r="K5248" s="508">
        <v>8.3000000000000004E-2</v>
      </c>
      <c r="L5248" s="508">
        <v>8.3000000000000004E-2</v>
      </c>
      <c r="M5248" s="508">
        <v>8.3000000000000004E-2</v>
      </c>
      <c r="N5248" s="508">
        <v>8.3000000000000004E-2</v>
      </c>
      <c r="O5248" s="508">
        <v>8.3000000000000004E-2</v>
      </c>
      <c r="P5248" s="508">
        <v>8.3000000000000004E-2</v>
      </c>
      <c r="Q5248" s="508">
        <v>8.3000000000000004E-2</v>
      </c>
      <c r="R5248" s="508">
        <v>8.3000000000000004E-2</v>
      </c>
      <c r="S5248" s="508">
        <v>8.3000000000000004E-2</v>
      </c>
      <c r="T5248" s="508">
        <v>8.3000000000000004E-2</v>
      </c>
      <c r="U5248" s="508">
        <v>8.3000000000000004E-2</v>
      </c>
      <c r="V5248" s="508">
        <v>8.3000000000000004E-2</v>
      </c>
      <c r="W5248" s="508">
        <v>8.3000000000000004E-2</v>
      </c>
      <c r="X5248" s="508">
        <v>8.3000000000000004E-2</v>
      </c>
      <c r="Y5248" s="508">
        <v>8.3000000000000004E-2</v>
      </c>
      <c r="Z5248" s="508">
        <v>8.3000000000000004E-2</v>
      </c>
      <c r="AA5248" s="508">
        <v>8.3000000000000004E-2</v>
      </c>
      <c r="AB5248" s="508">
        <v>8.3000000000000004E-2</v>
      </c>
      <c r="AC5248" s="508">
        <v>8.3000000000000004E-2</v>
      </c>
      <c r="AD5248" s="508">
        <v>8.3000000000000004E-2</v>
      </c>
      <c r="AE5248" s="508">
        <v>8.3000000000000004E-2</v>
      </c>
      <c r="AF5248" s="508">
        <v>8.3000000000000004E-2</v>
      </c>
      <c r="AG5248" s="508">
        <v>8.3000000000000004E-2</v>
      </c>
      <c r="AH5248" s="508">
        <v>8.3000000000000004E-2</v>
      </c>
      <c r="AI5248" s="492">
        <v>8.3000000000000004E-2</v>
      </c>
      <c r="AJ5248" s="485"/>
    </row>
    <row r="5249" spans="2:36">
      <c r="B5249" s="136" t="s">
        <v>460</v>
      </c>
      <c r="C5249" s="132" t="s">
        <v>1377</v>
      </c>
      <c r="D5249" s="132" t="s">
        <v>1379</v>
      </c>
      <c r="E5249" s="508"/>
      <c r="F5249" s="508"/>
      <c r="G5249" s="508"/>
      <c r="H5249" s="508"/>
      <c r="I5249" s="508"/>
      <c r="J5249" s="508">
        <v>8.5000000000000006E-2</v>
      </c>
      <c r="K5249" s="508">
        <v>8.5000000000000006E-2</v>
      </c>
      <c r="L5249" s="508">
        <v>8.5000000000000006E-2</v>
      </c>
      <c r="M5249" s="508">
        <v>8.5000000000000006E-2</v>
      </c>
      <c r="N5249" s="508">
        <v>8.5000000000000006E-2</v>
      </c>
      <c r="O5249" s="508">
        <v>8.5000000000000006E-2</v>
      </c>
      <c r="P5249" s="508">
        <v>8.5000000000000006E-2</v>
      </c>
      <c r="Q5249" s="508">
        <v>8.5000000000000006E-2</v>
      </c>
      <c r="R5249" s="508">
        <v>8.5000000000000006E-2</v>
      </c>
      <c r="S5249" s="508">
        <v>8.5000000000000006E-2</v>
      </c>
      <c r="T5249" s="508">
        <v>8.5000000000000006E-2</v>
      </c>
      <c r="U5249" s="508">
        <v>8.5000000000000006E-2</v>
      </c>
      <c r="V5249" s="508">
        <v>8.5000000000000006E-2</v>
      </c>
      <c r="W5249" s="508">
        <v>8.5000000000000006E-2</v>
      </c>
      <c r="X5249" s="508">
        <v>8.5000000000000006E-2</v>
      </c>
      <c r="Y5249" s="508">
        <v>8.5000000000000006E-2</v>
      </c>
      <c r="Z5249" s="508">
        <v>8.5000000000000006E-2</v>
      </c>
      <c r="AA5249" s="508">
        <v>8.5000000000000006E-2</v>
      </c>
      <c r="AB5249" s="508">
        <v>8.5000000000000006E-2</v>
      </c>
      <c r="AC5249" s="508">
        <v>8.5000000000000006E-2</v>
      </c>
      <c r="AD5249" s="508">
        <v>8.5000000000000006E-2</v>
      </c>
      <c r="AE5249" s="508">
        <v>8.5000000000000006E-2</v>
      </c>
      <c r="AF5249" s="508">
        <v>8.5000000000000006E-2</v>
      </c>
      <c r="AG5249" s="508">
        <v>8.5000000000000006E-2</v>
      </c>
      <c r="AH5249" s="508">
        <v>8.5000000000000006E-2</v>
      </c>
      <c r="AI5249" s="492">
        <v>8.5000000000000006E-2</v>
      </c>
      <c r="AJ5249" s="485"/>
    </row>
    <row r="5250" spans="2:36">
      <c r="B5250" s="136" t="s">
        <v>461</v>
      </c>
      <c r="C5250" s="132" t="s">
        <v>1377</v>
      </c>
      <c r="D5250" s="132" t="s">
        <v>1379</v>
      </c>
      <c r="E5250" s="508"/>
      <c r="F5250" s="508"/>
      <c r="G5250" s="508"/>
      <c r="H5250" s="508"/>
      <c r="I5250" s="508"/>
      <c r="J5250" s="508">
        <v>8.1000000000000003E-2</v>
      </c>
      <c r="K5250" s="508">
        <v>8.1000000000000003E-2</v>
      </c>
      <c r="L5250" s="508">
        <v>8.1000000000000003E-2</v>
      </c>
      <c r="M5250" s="508">
        <v>8.1000000000000003E-2</v>
      </c>
      <c r="N5250" s="508">
        <v>8.1000000000000003E-2</v>
      </c>
      <c r="O5250" s="508">
        <v>8.1000000000000003E-2</v>
      </c>
      <c r="P5250" s="508">
        <v>8.1000000000000003E-2</v>
      </c>
      <c r="Q5250" s="508">
        <v>8.1000000000000003E-2</v>
      </c>
      <c r="R5250" s="508">
        <v>8.1000000000000003E-2</v>
      </c>
      <c r="S5250" s="508">
        <v>8.1000000000000003E-2</v>
      </c>
      <c r="T5250" s="508">
        <v>8.1000000000000003E-2</v>
      </c>
      <c r="U5250" s="508">
        <v>8.1000000000000003E-2</v>
      </c>
      <c r="V5250" s="508">
        <v>8.1000000000000003E-2</v>
      </c>
      <c r="W5250" s="508">
        <v>8.1000000000000003E-2</v>
      </c>
      <c r="X5250" s="508">
        <v>8.1000000000000003E-2</v>
      </c>
      <c r="Y5250" s="508">
        <v>8.1000000000000003E-2</v>
      </c>
      <c r="Z5250" s="508">
        <v>8.1000000000000003E-2</v>
      </c>
      <c r="AA5250" s="508">
        <v>8.1000000000000003E-2</v>
      </c>
      <c r="AB5250" s="508">
        <v>8.1000000000000003E-2</v>
      </c>
      <c r="AC5250" s="508">
        <v>8.1000000000000003E-2</v>
      </c>
      <c r="AD5250" s="508">
        <v>8.1000000000000003E-2</v>
      </c>
      <c r="AE5250" s="508">
        <v>8.1000000000000003E-2</v>
      </c>
      <c r="AF5250" s="508">
        <v>8.1000000000000003E-2</v>
      </c>
      <c r="AG5250" s="508">
        <v>8.1000000000000003E-2</v>
      </c>
      <c r="AH5250" s="508">
        <v>8.1000000000000003E-2</v>
      </c>
      <c r="AI5250" s="492">
        <v>8.1000000000000003E-2</v>
      </c>
      <c r="AJ5250" s="485"/>
    </row>
    <row r="5251" spans="2:36">
      <c r="B5251" s="136" t="s">
        <v>462</v>
      </c>
      <c r="C5251" s="132" t="s">
        <v>1377</v>
      </c>
      <c r="D5251" s="132" t="s">
        <v>1379</v>
      </c>
      <c r="E5251" s="508"/>
      <c r="F5251" s="508"/>
      <c r="G5251" s="508"/>
      <c r="H5251" s="508"/>
      <c r="I5251" s="508"/>
      <c r="J5251" s="508">
        <v>7.8E-2</v>
      </c>
      <c r="K5251" s="508">
        <v>7.8E-2</v>
      </c>
      <c r="L5251" s="508">
        <v>7.8E-2</v>
      </c>
      <c r="M5251" s="508">
        <v>7.8E-2</v>
      </c>
      <c r="N5251" s="508">
        <v>7.8E-2</v>
      </c>
      <c r="O5251" s="508">
        <v>7.8E-2</v>
      </c>
      <c r="P5251" s="508">
        <v>7.8E-2</v>
      </c>
      <c r="Q5251" s="508">
        <v>7.8E-2</v>
      </c>
      <c r="R5251" s="508">
        <v>7.8E-2</v>
      </c>
      <c r="S5251" s="508">
        <v>7.8E-2</v>
      </c>
      <c r="T5251" s="508">
        <v>7.8E-2</v>
      </c>
      <c r="U5251" s="508">
        <v>7.8E-2</v>
      </c>
      <c r="V5251" s="508">
        <v>7.8E-2</v>
      </c>
      <c r="W5251" s="508">
        <v>7.8E-2</v>
      </c>
      <c r="X5251" s="508">
        <v>7.8E-2</v>
      </c>
      <c r="Y5251" s="508">
        <v>7.8E-2</v>
      </c>
      <c r="Z5251" s="508">
        <v>7.8E-2</v>
      </c>
      <c r="AA5251" s="508">
        <v>7.8E-2</v>
      </c>
      <c r="AB5251" s="508">
        <v>7.8E-2</v>
      </c>
      <c r="AC5251" s="508">
        <v>7.8E-2</v>
      </c>
      <c r="AD5251" s="508">
        <v>7.8E-2</v>
      </c>
      <c r="AE5251" s="508">
        <v>7.8E-2</v>
      </c>
      <c r="AF5251" s="508">
        <v>7.8E-2</v>
      </c>
      <c r="AG5251" s="508">
        <v>7.8E-2</v>
      </c>
      <c r="AH5251" s="508">
        <v>7.8E-2</v>
      </c>
      <c r="AI5251" s="492">
        <v>7.8E-2</v>
      </c>
      <c r="AJ5251" s="485"/>
    </row>
    <row r="5252" spans="2:36">
      <c r="B5252" s="136" t="s">
        <v>463</v>
      </c>
      <c r="C5252" s="132" t="s">
        <v>1377</v>
      </c>
      <c r="D5252" s="132" t="s">
        <v>1379</v>
      </c>
      <c r="E5252" s="508"/>
      <c r="F5252" s="508"/>
      <c r="G5252" s="508"/>
      <c r="H5252" s="508"/>
      <c r="I5252" s="508"/>
      <c r="J5252" s="508">
        <v>7.0000000000000007E-2</v>
      </c>
      <c r="K5252" s="508">
        <v>7.0000000000000007E-2</v>
      </c>
      <c r="L5252" s="508">
        <v>7.0000000000000007E-2</v>
      </c>
      <c r="M5252" s="508">
        <v>7.0000000000000007E-2</v>
      </c>
      <c r="N5252" s="508">
        <v>7.0000000000000007E-2</v>
      </c>
      <c r="O5252" s="508">
        <v>7.0000000000000007E-2</v>
      </c>
      <c r="P5252" s="508">
        <v>7.0000000000000007E-2</v>
      </c>
      <c r="Q5252" s="508">
        <v>7.0000000000000007E-2</v>
      </c>
      <c r="R5252" s="508">
        <v>7.0000000000000007E-2</v>
      </c>
      <c r="S5252" s="508">
        <v>7.0000000000000007E-2</v>
      </c>
      <c r="T5252" s="508">
        <v>7.0000000000000007E-2</v>
      </c>
      <c r="U5252" s="508">
        <v>7.0000000000000007E-2</v>
      </c>
      <c r="V5252" s="508">
        <v>7.0000000000000007E-2</v>
      </c>
      <c r="W5252" s="508">
        <v>7.0000000000000007E-2</v>
      </c>
      <c r="X5252" s="508">
        <v>7.0000000000000007E-2</v>
      </c>
      <c r="Y5252" s="508">
        <v>7.0000000000000007E-2</v>
      </c>
      <c r="Z5252" s="508">
        <v>7.0000000000000007E-2</v>
      </c>
      <c r="AA5252" s="508">
        <v>7.0000000000000007E-2</v>
      </c>
      <c r="AB5252" s="508">
        <v>7.0000000000000007E-2</v>
      </c>
      <c r="AC5252" s="508">
        <v>7.0000000000000007E-2</v>
      </c>
      <c r="AD5252" s="508">
        <v>7.0000000000000007E-2</v>
      </c>
      <c r="AE5252" s="508">
        <v>7.0000000000000007E-2</v>
      </c>
      <c r="AF5252" s="508">
        <v>7.0000000000000007E-2</v>
      </c>
      <c r="AG5252" s="508">
        <v>7.0000000000000007E-2</v>
      </c>
      <c r="AH5252" s="508">
        <v>7.0000000000000007E-2</v>
      </c>
      <c r="AI5252" s="492">
        <v>7.0000000000000007E-2</v>
      </c>
      <c r="AJ5252" s="485"/>
    </row>
    <row r="5253" spans="2:36">
      <c r="B5253" s="136" t="s">
        <v>464</v>
      </c>
      <c r="C5253" s="132" t="s">
        <v>1377</v>
      </c>
      <c r="D5253" s="132" t="s">
        <v>1379</v>
      </c>
      <c r="E5253" s="508"/>
      <c r="F5253" s="508"/>
      <c r="G5253" s="508"/>
      <c r="H5253" s="508"/>
      <c r="I5253" s="508"/>
      <c r="J5253" s="508">
        <v>6.8000000000000005E-2</v>
      </c>
      <c r="K5253" s="508">
        <v>6.8000000000000005E-2</v>
      </c>
      <c r="L5253" s="508">
        <v>6.8000000000000005E-2</v>
      </c>
      <c r="M5253" s="508">
        <v>6.8000000000000005E-2</v>
      </c>
      <c r="N5253" s="508">
        <v>6.8000000000000005E-2</v>
      </c>
      <c r="O5253" s="508">
        <v>6.8000000000000005E-2</v>
      </c>
      <c r="P5253" s="508">
        <v>6.8000000000000005E-2</v>
      </c>
      <c r="Q5253" s="508">
        <v>6.8000000000000005E-2</v>
      </c>
      <c r="R5253" s="508">
        <v>6.8000000000000005E-2</v>
      </c>
      <c r="S5253" s="508">
        <v>6.8000000000000005E-2</v>
      </c>
      <c r="T5253" s="508">
        <v>6.8000000000000005E-2</v>
      </c>
      <c r="U5253" s="508">
        <v>6.8000000000000005E-2</v>
      </c>
      <c r="V5253" s="508">
        <v>6.8000000000000005E-2</v>
      </c>
      <c r="W5253" s="508">
        <v>6.8000000000000005E-2</v>
      </c>
      <c r="X5253" s="508">
        <v>6.8000000000000005E-2</v>
      </c>
      <c r="Y5253" s="508">
        <v>6.8000000000000005E-2</v>
      </c>
      <c r="Z5253" s="508">
        <v>6.8000000000000005E-2</v>
      </c>
      <c r="AA5253" s="508">
        <v>6.8000000000000005E-2</v>
      </c>
      <c r="AB5253" s="508">
        <v>6.8000000000000005E-2</v>
      </c>
      <c r="AC5253" s="508">
        <v>6.8000000000000005E-2</v>
      </c>
      <c r="AD5253" s="508">
        <v>6.8000000000000005E-2</v>
      </c>
      <c r="AE5253" s="508">
        <v>6.8000000000000005E-2</v>
      </c>
      <c r="AF5253" s="508">
        <v>6.8000000000000005E-2</v>
      </c>
      <c r="AG5253" s="508">
        <v>6.8000000000000005E-2</v>
      </c>
      <c r="AH5253" s="508">
        <v>6.8000000000000005E-2</v>
      </c>
      <c r="AI5253" s="492">
        <v>6.8000000000000005E-2</v>
      </c>
      <c r="AJ5253" s="485"/>
    </row>
    <row r="5254" spans="2:36">
      <c r="B5254" s="136" t="s">
        <v>465</v>
      </c>
      <c r="C5254" s="132" t="s">
        <v>1377</v>
      </c>
      <c r="D5254" s="132" t="s">
        <v>1379</v>
      </c>
      <c r="E5254" s="508"/>
      <c r="F5254" s="508"/>
      <c r="G5254" s="508"/>
      <c r="H5254" s="508"/>
      <c r="I5254" s="508"/>
      <c r="J5254" s="508">
        <v>7.1999999999999995E-2</v>
      </c>
      <c r="K5254" s="508">
        <v>7.1999999999999995E-2</v>
      </c>
      <c r="L5254" s="508">
        <v>7.1999999999999995E-2</v>
      </c>
      <c r="M5254" s="508">
        <v>7.1999999999999995E-2</v>
      </c>
      <c r="N5254" s="508">
        <v>7.1999999999999995E-2</v>
      </c>
      <c r="O5254" s="508">
        <v>7.1999999999999995E-2</v>
      </c>
      <c r="P5254" s="508">
        <v>7.1999999999999995E-2</v>
      </c>
      <c r="Q5254" s="508">
        <v>7.1999999999999995E-2</v>
      </c>
      <c r="R5254" s="508">
        <v>7.1999999999999995E-2</v>
      </c>
      <c r="S5254" s="508">
        <v>7.1999999999999995E-2</v>
      </c>
      <c r="T5254" s="508">
        <v>7.1999999999999995E-2</v>
      </c>
      <c r="U5254" s="508">
        <v>7.1999999999999995E-2</v>
      </c>
      <c r="V5254" s="508">
        <v>7.1999999999999995E-2</v>
      </c>
      <c r="W5254" s="508">
        <v>7.1999999999999995E-2</v>
      </c>
      <c r="X5254" s="508">
        <v>7.1999999999999995E-2</v>
      </c>
      <c r="Y5254" s="508">
        <v>7.1999999999999995E-2</v>
      </c>
      <c r="Z5254" s="508">
        <v>7.1999999999999995E-2</v>
      </c>
      <c r="AA5254" s="508">
        <v>7.1999999999999995E-2</v>
      </c>
      <c r="AB5254" s="508">
        <v>7.1999999999999995E-2</v>
      </c>
      <c r="AC5254" s="508">
        <v>7.1999999999999995E-2</v>
      </c>
      <c r="AD5254" s="508">
        <v>7.1999999999999995E-2</v>
      </c>
      <c r="AE5254" s="508">
        <v>7.1999999999999995E-2</v>
      </c>
      <c r="AF5254" s="508">
        <v>7.1999999999999995E-2</v>
      </c>
      <c r="AG5254" s="508">
        <v>7.1999999999999995E-2</v>
      </c>
      <c r="AH5254" s="508">
        <v>7.1999999999999995E-2</v>
      </c>
      <c r="AI5254" s="492">
        <v>7.1999999999999995E-2</v>
      </c>
      <c r="AJ5254" s="485"/>
    </row>
    <row r="5255" spans="2:36">
      <c r="B5255" s="136" t="s">
        <v>466</v>
      </c>
      <c r="C5255" s="132" t="s">
        <v>1377</v>
      </c>
      <c r="D5255" s="132" t="s">
        <v>1379</v>
      </c>
      <c r="E5255" s="508"/>
      <c r="F5255" s="508"/>
      <c r="G5255" s="508"/>
      <c r="H5255" s="508"/>
      <c r="I5255" s="508"/>
      <c r="J5255" s="508">
        <v>9.6000000000000002E-2</v>
      </c>
      <c r="K5255" s="508">
        <v>9.6000000000000002E-2</v>
      </c>
      <c r="L5255" s="508">
        <v>9.6000000000000002E-2</v>
      </c>
      <c r="M5255" s="508">
        <v>9.6000000000000002E-2</v>
      </c>
      <c r="N5255" s="508">
        <v>9.6000000000000002E-2</v>
      </c>
      <c r="O5255" s="508">
        <v>9.6000000000000002E-2</v>
      </c>
      <c r="P5255" s="508">
        <v>9.6000000000000002E-2</v>
      </c>
      <c r="Q5255" s="508">
        <v>9.6000000000000002E-2</v>
      </c>
      <c r="R5255" s="508">
        <v>9.6000000000000002E-2</v>
      </c>
      <c r="S5255" s="508">
        <v>9.6000000000000002E-2</v>
      </c>
      <c r="T5255" s="508">
        <v>9.6000000000000002E-2</v>
      </c>
      <c r="U5255" s="508">
        <v>9.6000000000000002E-2</v>
      </c>
      <c r="V5255" s="508">
        <v>9.6000000000000002E-2</v>
      </c>
      <c r="W5255" s="508">
        <v>9.6000000000000002E-2</v>
      </c>
      <c r="X5255" s="508">
        <v>9.6000000000000002E-2</v>
      </c>
      <c r="Y5255" s="508">
        <v>9.6000000000000002E-2</v>
      </c>
      <c r="Z5255" s="508">
        <v>9.6000000000000002E-2</v>
      </c>
      <c r="AA5255" s="508">
        <v>9.6000000000000002E-2</v>
      </c>
      <c r="AB5255" s="508">
        <v>9.6000000000000002E-2</v>
      </c>
      <c r="AC5255" s="508">
        <v>9.6000000000000002E-2</v>
      </c>
      <c r="AD5255" s="508">
        <v>9.6000000000000002E-2</v>
      </c>
      <c r="AE5255" s="508">
        <v>9.6000000000000002E-2</v>
      </c>
      <c r="AF5255" s="508">
        <v>9.6000000000000002E-2</v>
      </c>
      <c r="AG5255" s="508">
        <v>9.6000000000000002E-2</v>
      </c>
      <c r="AH5255" s="508">
        <v>9.6000000000000002E-2</v>
      </c>
      <c r="AI5255" s="492">
        <v>9.6000000000000002E-2</v>
      </c>
      <c r="AJ5255" s="485"/>
    </row>
    <row r="5256" spans="2:36">
      <c r="B5256" s="136" t="s">
        <v>467</v>
      </c>
      <c r="C5256" s="132" t="s">
        <v>1377</v>
      </c>
      <c r="D5256" s="132" t="s">
        <v>1379</v>
      </c>
      <c r="E5256" s="508"/>
      <c r="F5256" s="508"/>
      <c r="G5256" s="508"/>
      <c r="H5256" s="508"/>
      <c r="I5256" s="508"/>
      <c r="J5256" s="508">
        <v>0.08</v>
      </c>
      <c r="K5256" s="508">
        <v>0.08</v>
      </c>
      <c r="L5256" s="508">
        <v>0.08</v>
      </c>
      <c r="M5256" s="508">
        <v>0.08</v>
      </c>
      <c r="N5256" s="508">
        <v>0.08</v>
      </c>
      <c r="O5256" s="508">
        <v>0.08</v>
      </c>
      <c r="P5256" s="508">
        <v>0.08</v>
      </c>
      <c r="Q5256" s="508">
        <v>0.08</v>
      </c>
      <c r="R5256" s="508">
        <v>0.08</v>
      </c>
      <c r="S5256" s="508">
        <v>0.08</v>
      </c>
      <c r="T5256" s="508">
        <v>0.08</v>
      </c>
      <c r="U5256" s="508">
        <v>0.08</v>
      </c>
      <c r="V5256" s="508">
        <v>0.08</v>
      </c>
      <c r="W5256" s="508">
        <v>0.08</v>
      </c>
      <c r="X5256" s="508">
        <v>0.08</v>
      </c>
      <c r="Y5256" s="508">
        <v>0.08</v>
      </c>
      <c r="Z5256" s="508">
        <v>0.08</v>
      </c>
      <c r="AA5256" s="508">
        <v>0.08</v>
      </c>
      <c r="AB5256" s="508">
        <v>0.08</v>
      </c>
      <c r="AC5256" s="508">
        <v>0.08</v>
      </c>
      <c r="AD5256" s="508">
        <v>0.08</v>
      </c>
      <c r="AE5256" s="508">
        <v>0.08</v>
      </c>
      <c r="AF5256" s="508">
        <v>0.08</v>
      </c>
      <c r="AG5256" s="508">
        <v>0.08</v>
      </c>
      <c r="AH5256" s="508">
        <v>0.08</v>
      </c>
      <c r="AI5256" s="492">
        <v>0.08</v>
      </c>
      <c r="AJ5256" s="485"/>
    </row>
    <row r="5257" spans="2:36">
      <c r="B5257" s="136" t="s">
        <v>468</v>
      </c>
      <c r="C5257" s="132" t="s">
        <v>1377</v>
      </c>
      <c r="D5257" s="132" t="s">
        <v>1379</v>
      </c>
      <c r="E5257" s="508"/>
      <c r="F5257" s="508"/>
      <c r="G5257" s="508"/>
      <c r="H5257" s="508"/>
      <c r="I5257" s="508"/>
      <c r="J5257" s="508">
        <v>6.6000000000000003E-2</v>
      </c>
      <c r="K5257" s="508">
        <v>6.6000000000000003E-2</v>
      </c>
      <c r="L5257" s="508">
        <v>6.6000000000000003E-2</v>
      </c>
      <c r="M5257" s="508">
        <v>6.6000000000000003E-2</v>
      </c>
      <c r="N5257" s="508">
        <v>6.6000000000000003E-2</v>
      </c>
      <c r="O5257" s="508">
        <v>6.6000000000000003E-2</v>
      </c>
      <c r="P5257" s="508">
        <v>6.6000000000000003E-2</v>
      </c>
      <c r="Q5257" s="508">
        <v>6.6000000000000003E-2</v>
      </c>
      <c r="R5257" s="508">
        <v>6.6000000000000003E-2</v>
      </c>
      <c r="S5257" s="508">
        <v>6.6000000000000003E-2</v>
      </c>
      <c r="T5257" s="508">
        <v>6.6000000000000003E-2</v>
      </c>
      <c r="U5257" s="508">
        <v>6.6000000000000003E-2</v>
      </c>
      <c r="V5257" s="508">
        <v>6.6000000000000003E-2</v>
      </c>
      <c r="W5257" s="508">
        <v>6.6000000000000003E-2</v>
      </c>
      <c r="X5257" s="508">
        <v>6.6000000000000003E-2</v>
      </c>
      <c r="Y5257" s="508">
        <v>6.6000000000000003E-2</v>
      </c>
      <c r="Z5257" s="508">
        <v>6.6000000000000003E-2</v>
      </c>
      <c r="AA5257" s="508">
        <v>6.6000000000000003E-2</v>
      </c>
      <c r="AB5257" s="508">
        <v>6.6000000000000003E-2</v>
      </c>
      <c r="AC5257" s="508">
        <v>6.6000000000000003E-2</v>
      </c>
      <c r="AD5257" s="508">
        <v>6.6000000000000003E-2</v>
      </c>
      <c r="AE5257" s="508">
        <v>6.6000000000000003E-2</v>
      </c>
      <c r="AF5257" s="508">
        <v>6.6000000000000003E-2</v>
      </c>
      <c r="AG5257" s="508">
        <v>6.6000000000000003E-2</v>
      </c>
      <c r="AH5257" s="508">
        <v>6.6000000000000003E-2</v>
      </c>
      <c r="AI5257" s="492">
        <v>6.6000000000000003E-2</v>
      </c>
      <c r="AJ5257" s="485"/>
    </row>
    <row r="5258" spans="2:36">
      <c r="B5258" s="136" t="s">
        <v>469</v>
      </c>
      <c r="C5258" s="132" t="s">
        <v>1377</v>
      </c>
      <c r="D5258" s="132" t="s">
        <v>1379</v>
      </c>
      <c r="E5258" s="508"/>
      <c r="F5258" s="508"/>
      <c r="G5258" s="508"/>
      <c r="H5258" s="508"/>
      <c r="I5258" s="508"/>
      <c r="J5258" s="508">
        <v>7.4999999999999997E-2</v>
      </c>
      <c r="K5258" s="508">
        <v>7.4999999999999997E-2</v>
      </c>
      <c r="L5258" s="508">
        <v>7.4999999999999997E-2</v>
      </c>
      <c r="M5258" s="508">
        <v>7.4999999999999997E-2</v>
      </c>
      <c r="N5258" s="508">
        <v>7.4999999999999997E-2</v>
      </c>
      <c r="O5258" s="508">
        <v>7.4999999999999997E-2</v>
      </c>
      <c r="P5258" s="508">
        <v>7.4999999999999997E-2</v>
      </c>
      <c r="Q5258" s="508">
        <v>7.4999999999999997E-2</v>
      </c>
      <c r="R5258" s="508">
        <v>7.4999999999999997E-2</v>
      </c>
      <c r="S5258" s="508">
        <v>7.4999999999999997E-2</v>
      </c>
      <c r="T5258" s="508">
        <v>7.4999999999999997E-2</v>
      </c>
      <c r="U5258" s="508">
        <v>7.4999999999999997E-2</v>
      </c>
      <c r="V5258" s="508">
        <v>7.4999999999999997E-2</v>
      </c>
      <c r="W5258" s="508">
        <v>7.4999999999999997E-2</v>
      </c>
      <c r="X5258" s="508">
        <v>7.4999999999999997E-2</v>
      </c>
      <c r="Y5258" s="508">
        <v>7.4999999999999997E-2</v>
      </c>
      <c r="Z5258" s="508">
        <v>7.4999999999999997E-2</v>
      </c>
      <c r="AA5258" s="508">
        <v>7.4999999999999997E-2</v>
      </c>
      <c r="AB5258" s="508">
        <v>7.4999999999999997E-2</v>
      </c>
      <c r="AC5258" s="508">
        <v>7.4999999999999997E-2</v>
      </c>
      <c r="AD5258" s="508">
        <v>7.4999999999999997E-2</v>
      </c>
      <c r="AE5258" s="508">
        <v>7.4999999999999997E-2</v>
      </c>
      <c r="AF5258" s="508">
        <v>7.4999999999999997E-2</v>
      </c>
      <c r="AG5258" s="508">
        <v>7.4999999999999997E-2</v>
      </c>
      <c r="AH5258" s="508">
        <v>7.4999999999999997E-2</v>
      </c>
      <c r="AI5258" s="492">
        <v>7.4999999999999997E-2</v>
      </c>
      <c r="AJ5258" s="485"/>
    </row>
    <row r="5259" spans="2:36">
      <c r="B5259" s="136" t="s">
        <v>470</v>
      </c>
      <c r="C5259" s="132" t="s">
        <v>1377</v>
      </c>
      <c r="D5259" s="132" t="s">
        <v>1379</v>
      </c>
      <c r="E5259" s="508"/>
      <c r="F5259" s="508"/>
      <c r="G5259" s="508"/>
      <c r="H5259" s="508"/>
      <c r="I5259" s="508"/>
      <c r="J5259" s="508">
        <v>8.8999999999999996E-2</v>
      </c>
      <c r="K5259" s="508">
        <v>8.8999999999999996E-2</v>
      </c>
      <c r="L5259" s="508">
        <v>8.8999999999999996E-2</v>
      </c>
      <c r="M5259" s="508">
        <v>8.8999999999999996E-2</v>
      </c>
      <c r="N5259" s="508">
        <v>8.8999999999999996E-2</v>
      </c>
      <c r="O5259" s="508">
        <v>8.8999999999999996E-2</v>
      </c>
      <c r="P5259" s="508">
        <v>8.8999999999999996E-2</v>
      </c>
      <c r="Q5259" s="508">
        <v>8.8999999999999996E-2</v>
      </c>
      <c r="R5259" s="508">
        <v>8.8999999999999996E-2</v>
      </c>
      <c r="S5259" s="508">
        <v>8.8999999999999996E-2</v>
      </c>
      <c r="T5259" s="508">
        <v>8.8999999999999996E-2</v>
      </c>
      <c r="U5259" s="508">
        <v>8.8999999999999996E-2</v>
      </c>
      <c r="V5259" s="508">
        <v>8.8999999999999996E-2</v>
      </c>
      <c r="W5259" s="508">
        <v>8.8999999999999996E-2</v>
      </c>
      <c r="X5259" s="508">
        <v>8.8999999999999996E-2</v>
      </c>
      <c r="Y5259" s="508">
        <v>8.8999999999999996E-2</v>
      </c>
      <c r="Z5259" s="508">
        <v>8.8999999999999996E-2</v>
      </c>
      <c r="AA5259" s="508">
        <v>8.8999999999999996E-2</v>
      </c>
      <c r="AB5259" s="508">
        <v>8.8999999999999996E-2</v>
      </c>
      <c r="AC5259" s="508">
        <v>8.8999999999999996E-2</v>
      </c>
      <c r="AD5259" s="508">
        <v>8.8999999999999996E-2</v>
      </c>
      <c r="AE5259" s="508">
        <v>8.8999999999999996E-2</v>
      </c>
      <c r="AF5259" s="508">
        <v>8.8999999999999996E-2</v>
      </c>
      <c r="AG5259" s="508">
        <v>8.8999999999999996E-2</v>
      </c>
      <c r="AH5259" s="508">
        <v>8.8999999999999996E-2</v>
      </c>
      <c r="AI5259" s="492">
        <v>8.8999999999999996E-2</v>
      </c>
      <c r="AJ5259" s="485"/>
    </row>
    <row r="5260" spans="2:36">
      <c r="B5260" s="136" t="s">
        <v>471</v>
      </c>
      <c r="C5260" s="132" t="s">
        <v>1377</v>
      </c>
      <c r="D5260" s="132" t="s">
        <v>1379</v>
      </c>
      <c r="E5260" s="508"/>
      <c r="F5260" s="508"/>
      <c r="G5260" s="508"/>
      <c r="H5260" s="508"/>
      <c r="I5260" s="508"/>
      <c r="J5260" s="508">
        <v>8.5000000000000006E-2</v>
      </c>
      <c r="K5260" s="508">
        <v>8.5000000000000006E-2</v>
      </c>
      <c r="L5260" s="508">
        <v>8.5000000000000006E-2</v>
      </c>
      <c r="M5260" s="508">
        <v>8.5000000000000006E-2</v>
      </c>
      <c r="N5260" s="508">
        <v>8.5000000000000006E-2</v>
      </c>
      <c r="O5260" s="508">
        <v>8.5000000000000006E-2</v>
      </c>
      <c r="P5260" s="508">
        <v>8.5000000000000006E-2</v>
      </c>
      <c r="Q5260" s="508">
        <v>8.5000000000000006E-2</v>
      </c>
      <c r="R5260" s="508">
        <v>8.5000000000000006E-2</v>
      </c>
      <c r="S5260" s="508">
        <v>8.5000000000000006E-2</v>
      </c>
      <c r="T5260" s="508">
        <v>8.5000000000000006E-2</v>
      </c>
      <c r="U5260" s="508">
        <v>8.5000000000000006E-2</v>
      </c>
      <c r="V5260" s="508">
        <v>8.5000000000000006E-2</v>
      </c>
      <c r="W5260" s="508">
        <v>8.5000000000000006E-2</v>
      </c>
      <c r="X5260" s="508">
        <v>8.5000000000000006E-2</v>
      </c>
      <c r="Y5260" s="508">
        <v>8.5000000000000006E-2</v>
      </c>
      <c r="Z5260" s="508">
        <v>8.5000000000000006E-2</v>
      </c>
      <c r="AA5260" s="508">
        <v>8.5000000000000006E-2</v>
      </c>
      <c r="AB5260" s="508">
        <v>8.5000000000000006E-2</v>
      </c>
      <c r="AC5260" s="508">
        <v>8.5000000000000006E-2</v>
      </c>
      <c r="AD5260" s="508">
        <v>8.5000000000000006E-2</v>
      </c>
      <c r="AE5260" s="508">
        <v>8.5000000000000006E-2</v>
      </c>
      <c r="AF5260" s="508">
        <v>8.5000000000000006E-2</v>
      </c>
      <c r="AG5260" s="508">
        <v>8.5000000000000006E-2</v>
      </c>
      <c r="AH5260" s="508">
        <v>8.5000000000000006E-2</v>
      </c>
      <c r="AI5260" s="492">
        <v>8.5000000000000006E-2</v>
      </c>
      <c r="AJ5260" s="485"/>
    </row>
    <row r="5261" spans="2:36">
      <c r="B5261" s="136" t="s">
        <v>472</v>
      </c>
      <c r="C5261" s="132" t="s">
        <v>1377</v>
      </c>
      <c r="D5261" s="132" t="s">
        <v>1379</v>
      </c>
      <c r="E5261" s="508"/>
      <c r="F5261" s="508"/>
      <c r="G5261" s="508"/>
      <c r="H5261" s="508"/>
      <c r="I5261" s="508"/>
      <c r="J5261" s="508">
        <v>6.9000000000000006E-2</v>
      </c>
      <c r="K5261" s="508">
        <v>6.9000000000000006E-2</v>
      </c>
      <c r="L5261" s="508">
        <v>6.9000000000000006E-2</v>
      </c>
      <c r="M5261" s="508">
        <v>6.9000000000000006E-2</v>
      </c>
      <c r="N5261" s="508">
        <v>6.9000000000000006E-2</v>
      </c>
      <c r="O5261" s="508">
        <v>6.9000000000000006E-2</v>
      </c>
      <c r="P5261" s="508">
        <v>6.9000000000000006E-2</v>
      </c>
      <c r="Q5261" s="508">
        <v>6.9000000000000006E-2</v>
      </c>
      <c r="R5261" s="508">
        <v>6.9000000000000006E-2</v>
      </c>
      <c r="S5261" s="508">
        <v>6.9000000000000006E-2</v>
      </c>
      <c r="T5261" s="508">
        <v>6.9000000000000006E-2</v>
      </c>
      <c r="U5261" s="508">
        <v>6.9000000000000006E-2</v>
      </c>
      <c r="V5261" s="508">
        <v>6.9000000000000006E-2</v>
      </c>
      <c r="W5261" s="508">
        <v>6.9000000000000006E-2</v>
      </c>
      <c r="X5261" s="508">
        <v>6.9000000000000006E-2</v>
      </c>
      <c r="Y5261" s="508">
        <v>6.9000000000000006E-2</v>
      </c>
      <c r="Z5261" s="508">
        <v>6.9000000000000006E-2</v>
      </c>
      <c r="AA5261" s="508">
        <v>6.9000000000000006E-2</v>
      </c>
      <c r="AB5261" s="508">
        <v>6.9000000000000006E-2</v>
      </c>
      <c r="AC5261" s="508">
        <v>6.9000000000000006E-2</v>
      </c>
      <c r="AD5261" s="508">
        <v>6.9000000000000006E-2</v>
      </c>
      <c r="AE5261" s="508">
        <v>6.9000000000000006E-2</v>
      </c>
      <c r="AF5261" s="508">
        <v>6.9000000000000006E-2</v>
      </c>
      <c r="AG5261" s="508">
        <v>6.9000000000000006E-2</v>
      </c>
      <c r="AH5261" s="508">
        <v>6.9000000000000006E-2</v>
      </c>
      <c r="AI5261" s="492">
        <v>6.9000000000000006E-2</v>
      </c>
      <c r="AJ5261" s="485"/>
    </row>
    <row r="5262" spans="2:36">
      <c r="B5262" s="136" t="s">
        <v>473</v>
      </c>
      <c r="C5262" s="132" t="s">
        <v>1377</v>
      </c>
      <c r="D5262" s="132" t="s">
        <v>1379</v>
      </c>
      <c r="E5262" s="508"/>
      <c r="F5262" s="508"/>
      <c r="G5262" s="508"/>
      <c r="H5262" s="508"/>
      <c r="I5262" s="508"/>
      <c r="J5262" s="508">
        <v>9.0999999999999998E-2</v>
      </c>
      <c r="K5262" s="508">
        <v>9.0999999999999998E-2</v>
      </c>
      <c r="L5262" s="508">
        <v>9.0999999999999998E-2</v>
      </c>
      <c r="M5262" s="508">
        <v>9.0999999999999998E-2</v>
      </c>
      <c r="N5262" s="508">
        <v>9.0999999999999998E-2</v>
      </c>
      <c r="O5262" s="508">
        <v>9.0999999999999998E-2</v>
      </c>
      <c r="P5262" s="508">
        <v>9.0999999999999998E-2</v>
      </c>
      <c r="Q5262" s="508">
        <v>9.0999999999999998E-2</v>
      </c>
      <c r="R5262" s="508">
        <v>9.0999999999999998E-2</v>
      </c>
      <c r="S5262" s="508">
        <v>9.0999999999999998E-2</v>
      </c>
      <c r="T5262" s="508">
        <v>9.0999999999999998E-2</v>
      </c>
      <c r="U5262" s="508">
        <v>9.0999999999999998E-2</v>
      </c>
      <c r="V5262" s="508">
        <v>9.0999999999999998E-2</v>
      </c>
      <c r="W5262" s="508">
        <v>9.0999999999999998E-2</v>
      </c>
      <c r="X5262" s="508">
        <v>9.0999999999999998E-2</v>
      </c>
      <c r="Y5262" s="508">
        <v>9.0999999999999998E-2</v>
      </c>
      <c r="Z5262" s="508">
        <v>9.0999999999999998E-2</v>
      </c>
      <c r="AA5262" s="508">
        <v>9.0999999999999998E-2</v>
      </c>
      <c r="AB5262" s="508">
        <v>9.0999999999999998E-2</v>
      </c>
      <c r="AC5262" s="508">
        <v>9.0999999999999998E-2</v>
      </c>
      <c r="AD5262" s="508">
        <v>9.0999999999999998E-2</v>
      </c>
      <c r="AE5262" s="508">
        <v>9.0999999999999998E-2</v>
      </c>
      <c r="AF5262" s="508">
        <v>9.0999999999999998E-2</v>
      </c>
      <c r="AG5262" s="508">
        <v>9.0999999999999998E-2</v>
      </c>
      <c r="AH5262" s="508">
        <v>9.0999999999999998E-2</v>
      </c>
      <c r="AI5262" s="492">
        <v>9.0999999999999998E-2</v>
      </c>
      <c r="AJ5262" s="485"/>
    </row>
    <row r="5263" spans="2:36">
      <c r="B5263" s="136" t="s">
        <v>474</v>
      </c>
      <c r="C5263" s="132" t="s">
        <v>1377</v>
      </c>
      <c r="D5263" s="132" t="s">
        <v>1379</v>
      </c>
      <c r="E5263" s="508"/>
      <c r="F5263" s="508"/>
      <c r="G5263" s="508"/>
      <c r="H5263" s="508"/>
      <c r="I5263" s="508"/>
      <c r="J5263" s="508">
        <v>8.2000000000000003E-2</v>
      </c>
      <c r="K5263" s="508">
        <v>8.2000000000000003E-2</v>
      </c>
      <c r="L5263" s="508">
        <v>8.2000000000000003E-2</v>
      </c>
      <c r="M5263" s="508">
        <v>8.2000000000000003E-2</v>
      </c>
      <c r="N5263" s="508">
        <v>8.2000000000000003E-2</v>
      </c>
      <c r="O5263" s="508">
        <v>8.2000000000000003E-2</v>
      </c>
      <c r="P5263" s="508">
        <v>8.2000000000000003E-2</v>
      </c>
      <c r="Q5263" s="508">
        <v>8.2000000000000003E-2</v>
      </c>
      <c r="R5263" s="508">
        <v>8.2000000000000003E-2</v>
      </c>
      <c r="S5263" s="508">
        <v>8.2000000000000003E-2</v>
      </c>
      <c r="T5263" s="508">
        <v>8.2000000000000003E-2</v>
      </c>
      <c r="U5263" s="508">
        <v>8.2000000000000003E-2</v>
      </c>
      <c r="V5263" s="508">
        <v>8.2000000000000003E-2</v>
      </c>
      <c r="W5263" s="508">
        <v>8.2000000000000003E-2</v>
      </c>
      <c r="X5263" s="508">
        <v>8.2000000000000003E-2</v>
      </c>
      <c r="Y5263" s="508">
        <v>8.2000000000000003E-2</v>
      </c>
      <c r="Z5263" s="508">
        <v>8.2000000000000003E-2</v>
      </c>
      <c r="AA5263" s="508">
        <v>8.2000000000000003E-2</v>
      </c>
      <c r="AB5263" s="508">
        <v>8.2000000000000003E-2</v>
      </c>
      <c r="AC5263" s="508">
        <v>8.2000000000000003E-2</v>
      </c>
      <c r="AD5263" s="508">
        <v>8.2000000000000003E-2</v>
      </c>
      <c r="AE5263" s="508">
        <v>8.2000000000000003E-2</v>
      </c>
      <c r="AF5263" s="508">
        <v>8.2000000000000003E-2</v>
      </c>
      <c r="AG5263" s="508">
        <v>8.2000000000000003E-2</v>
      </c>
      <c r="AH5263" s="508">
        <v>8.2000000000000003E-2</v>
      </c>
      <c r="AI5263" s="492">
        <v>8.2000000000000003E-2</v>
      </c>
      <c r="AJ5263" s="485"/>
    </row>
    <row r="5264" spans="2:36">
      <c r="B5264" s="136" t="s">
        <v>475</v>
      </c>
      <c r="C5264" s="132" t="s">
        <v>1377</v>
      </c>
      <c r="D5264" s="132" t="s">
        <v>1379</v>
      </c>
      <c r="E5264" s="508"/>
      <c r="F5264" s="508"/>
      <c r="G5264" s="508"/>
      <c r="H5264" s="508"/>
      <c r="I5264" s="508"/>
      <c r="J5264" s="508">
        <v>7.8E-2</v>
      </c>
      <c r="K5264" s="508">
        <v>7.8E-2</v>
      </c>
      <c r="L5264" s="508">
        <v>7.8E-2</v>
      </c>
      <c r="M5264" s="508">
        <v>7.8E-2</v>
      </c>
      <c r="N5264" s="508">
        <v>7.8E-2</v>
      </c>
      <c r="O5264" s="508">
        <v>7.8E-2</v>
      </c>
      <c r="P5264" s="508">
        <v>7.8E-2</v>
      </c>
      <c r="Q5264" s="508">
        <v>7.8E-2</v>
      </c>
      <c r="R5264" s="508">
        <v>7.8E-2</v>
      </c>
      <c r="S5264" s="508">
        <v>7.8E-2</v>
      </c>
      <c r="T5264" s="508">
        <v>7.8E-2</v>
      </c>
      <c r="U5264" s="508">
        <v>7.8E-2</v>
      </c>
      <c r="V5264" s="508">
        <v>7.8E-2</v>
      </c>
      <c r="W5264" s="508">
        <v>7.8E-2</v>
      </c>
      <c r="X5264" s="508">
        <v>7.8E-2</v>
      </c>
      <c r="Y5264" s="508">
        <v>7.8E-2</v>
      </c>
      <c r="Z5264" s="508">
        <v>7.8E-2</v>
      </c>
      <c r="AA5264" s="508">
        <v>7.8E-2</v>
      </c>
      <c r="AB5264" s="508">
        <v>7.8E-2</v>
      </c>
      <c r="AC5264" s="508">
        <v>7.8E-2</v>
      </c>
      <c r="AD5264" s="508">
        <v>7.8E-2</v>
      </c>
      <c r="AE5264" s="508">
        <v>7.8E-2</v>
      </c>
      <c r="AF5264" s="508">
        <v>7.8E-2</v>
      </c>
      <c r="AG5264" s="508">
        <v>7.8E-2</v>
      </c>
      <c r="AH5264" s="508">
        <v>7.8E-2</v>
      </c>
      <c r="AI5264" s="492">
        <v>7.8E-2</v>
      </c>
      <c r="AJ5264" s="485"/>
    </row>
    <row r="5265" spans="2:36">
      <c r="B5265" s="136" t="s">
        <v>476</v>
      </c>
      <c r="C5265" s="132" t="s">
        <v>1377</v>
      </c>
      <c r="D5265" s="132" t="s">
        <v>1379</v>
      </c>
      <c r="E5265" s="508"/>
      <c r="F5265" s="508"/>
      <c r="G5265" s="508"/>
      <c r="H5265" s="508"/>
      <c r="I5265" s="508"/>
      <c r="J5265" s="508">
        <v>8.5999999999999993E-2</v>
      </c>
      <c r="K5265" s="508">
        <v>8.5999999999999993E-2</v>
      </c>
      <c r="L5265" s="508">
        <v>8.5999999999999993E-2</v>
      </c>
      <c r="M5265" s="508">
        <v>8.5999999999999993E-2</v>
      </c>
      <c r="N5265" s="508">
        <v>8.5999999999999993E-2</v>
      </c>
      <c r="O5265" s="508">
        <v>8.5999999999999993E-2</v>
      </c>
      <c r="P5265" s="508">
        <v>8.5999999999999993E-2</v>
      </c>
      <c r="Q5265" s="508">
        <v>8.5999999999999993E-2</v>
      </c>
      <c r="R5265" s="508">
        <v>8.5999999999999993E-2</v>
      </c>
      <c r="S5265" s="508">
        <v>8.5999999999999993E-2</v>
      </c>
      <c r="T5265" s="508">
        <v>8.5999999999999993E-2</v>
      </c>
      <c r="U5265" s="508">
        <v>8.5999999999999993E-2</v>
      </c>
      <c r="V5265" s="508">
        <v>8.5999999999999993E-2</v>
      </c>
      <c r="W5265" s="508">
        <v>8.5999999999999993E-2</v>
      </c>
      <c r="X5265" s="508">
        <v>8.5999999999999993E-2</v>
      </c>
      <c r="Y5265" s="508">
        <v>8.5999999999999993E-2</v>
      </c>
      <c r="Z5265" s="508">
        <v>8.5999999999999993E-2</v>
      </c>
      <c r="AA5265" s="508">
        <v>8.5999999999999993E-2</v>
      </c>
      <c r="AB5265" s="508">
        <v>8.5999999999999993E-2</v>
      </c>
      <c r="AC5265" s="508">
        <v>8.5999999999999993E-2</v>
      </c>
      <c r="AD5265" s="508">
        <v>8.5999999999999993E-2</v>
      </c>
      <c r="AE5265" s="508">
        <v>8.5999999999999993E-2</v>
      </c>
      <c r="AF5265" s="508">
        <v>8.5999999999999993E-2</v>
      </c>
      <c r="AG5265" s="508">
        <v>8.5999999999999993E-2</v>
      </c>
      <c r="AH5265" s="508">
        <v>8.5999999999999993E-2</v>
      </c>
      <c r="AI5265" s="492">
        <v>8.5999999999999993E-2</v>
      </c>
      <c r="AJ5265" s="485"/>
    </row>
    <row r="5266" spans="2:36">
      <c r="B5266" s="136" t="s">
        <v>478</v>
      </c>
      <c r="C5266" s="132" t="s">
        <v>1377</v>
      </c>
      <c r="D5266" s="132" t="s">
        <v>1379</v>
      </c>
      <c r="E5266" s="508"/>
      <c r="F5266" s="508"/>
      <c r="G5266" s="508"/>
      <c r="H5266" s="508"/>
      <c r="I5266" s="508"/>
      <c r="J5266" s="508">
        <v>9.1999999999999998E-2</v>
      </c>
      <c r="K5266" s="508">
        <v>9.1999999999999998E-2</v>
      </c>
      <c r="L5266" s="508">
        <v>9.1999999999999998E-2</v>
      </c>
      <c r="M5266" s="508">
        <v>9.1999999999999998E-2</v>
      </c>
      <c r="N5266" s="508">
        <v>9.1999999999999998E-2</v>
      </c>
      <c r="O5266" s="508">
        <v>9.1999999999999998E-2</v>
      </c>
      <c r="P5266" s="508">
        <v>9.1999999999999998E-2</v>
      </c>
      <c r="Q5266" s="508">
        <v>9.1999999999999998E-2</v>
      </c>
      <c r="R5266" s="508">
        <v>9.1999999999999998E-2</v>
      </c>
      <c r="S5266" s="508">
        <v>9.1999999999999998E-2</v>
      </c>
      <c r="T5266" s="508">
        <v>9.1999999999999998E-2</v>
      </c>
      <c r="U5266" s="508">
        <v>9.1999999999999998E-2</v>
      </c>
      <c r="V5266" s="508">
        <v>9.1999999999999998E-2</v>
      </c>
      <c r="W5266" s="508">
        <v>9.1999999999999998E-2</v>
      </c>
      <c r="X5266" s="508">
        <v>9.1999999999999998E-2</v>
      </c>
      <c r="Y5266" s="508">
        <v>9.1999999999999998E-2</v>
      </c>
      <c r="Z5266" s="508">
        <v>9.1999999999999998E-2</v>
      </c>
      <c r="AA5266" s="508">
        <v>9.1999999999999998E-2</v>
      </c>
      <c r="AB5266" s="508">
        <v>9.1999999999999998E-2</v>
      </c>
      <c r="AC5266" s="508">
        <v>9.1999999999999998E-2</v>
      </c>
      <c r="AD5266" s="508">
        <v>9.1999999999999998E-2</v>
      </c>
      <c r="AE5266" s="508">
        <v>9.1999999999999998E-2</v>
      </c>
      <c r="AF5266" s="508">
        <v>9.1999999999999998E-2</v>
      </c>
      <c r="AG5266" s="508">
        <v>9.1999999999999998E-2</v>
      </c>
      <c r="AH5266" s="508">
        <v>9.1999999999999998E-2</v>
      </c>
      <c r="AI5266" s="492">
        <v>9.1999999999999998E-2</v>
      </c>
      <c r="AJ5266" s="485"/>
    </row>
    <row r="5267" spans="2:36">
      <c r="B5267" s="136" t="s">
        <v>479</v>
      </c>
      <c r="C5267" s="132" t="s">
        <v>1377</v>
      </c>
      <c r="D5267" s="132" t="s">
        <v>1379</v>
      </c>
      <c r="E5267" s="508"/>
      <c r="F5267" s="508"/>
      <c r="G5267" s="508"/>
      <c r="H5267" s="508"/>
      <c r="I5267" s="508"/>
      <c r="J5267" s="508">
        <v>0.08</v>
      </c>
      <c r="K5267" s="508">
        <v>0.08</v>
      </c>
      <c r="L5267" s="508">
        <v>0.08</v>
      </c>
      <c r="M5267" s="508">
        <v>0.08</v>
      </c>
      <c r="N5267" s="508">
        <v>0.08</v>
      </c>
      <c r="O5267" s="508">
        <v>0.08</v>
      </c>
      <c r="P5267" s="508">
        <v>0.08</v>
      </c>
      <c r="Q5267" s="508">
        <v>0.08</v>
      </c>
      <c r="R5267" s="508">
        <v>0.08</v>
      </c>
      <c r="S5267" s="508">
        <v>0.08</v>
      </c>
      <c r="T5267" s="508">
        <v>0.08</v>
      </c>
      <c r="U5267" s="508">
        <v>0.08</v>
      </c>
      <c r="V5267" s="508">
        <v>0.08</v>
      </c>
      <c r="W5267" s="508">
        <v>0.08</v>
      </c>
      <c r="X5267" s="508">
        <v>0.08</v>
      </c>
      <c r="Y5267" s="508">
        <v>0.08</v>
      </c>
      <c r="Z5267" s="508">
        <v>0.08</v>
      </c>
      <c r="AA5267" s="508">
        <v>0.08</v>
      </c>
      <c r="AB5267" s="508">
        <v>0.08</v>
      </c>
      <c r="AC5267" s="508">
        <v>0.08</v>
      </c>
      <c r="AD5267" s="508">
        <v>0.08</v>
      </c>
      <c r="AE5267" s="508">
        <v>0.08</v>
      </c>
      <c r="AF5267" s="508">
        <v>0.08</v>
      </c>
      <c r="AG5267" s="508">
        <v>0.08</v>
      </c>
      <c r="AH5267" s="508">
        <v>0.08</v>
      </c>
      <c r="AI5267" s="492">
        <v>0.08</v>
      </c>
      <c r="AJ5267" s="485"/>
    </row>
    <row r="5268" spans="2:36">
      <c r="B5268" s="136" t="s">
        <v>480</v>
      </c>
      <c r="C5268" s="132" t="s">
        <v>1377</v>
      </c>
      <c r="D5268" s="132" t="s">
        <v>1379</v>
      </c>
      <c r="E5268" s="508"/>
      <c r="F5268" s="508"/>
      <c r="G5268" s="508"/>
      <c r="H5268" s="508"/>
      <c r="I5268" s="508"/>
      <c r="J5268" s="508">
        <v>6.5000000000000002E-2</v>
      </c>
      <c r="K5268" s="508">
        <v>6.5000000000000002E-2</v>
      </c>
      <c r="L5268" s="508">
        <v>6.5000000000000002E-2</v>
      </c>
      <c r="M5268" s="508">
        <v>6.5000000000000002E-2</v>
      </c>
      <c r="N5268" s="508">
        <v>6.5000000000000002E-2</v>
      </c>
      <c r="O5268" s="508">
        <v>6.5000000000000002E-2</v>
      </c>
      <c r="P5268" s="508">
        <v>6.5000000000000002E-2</v>
      </c>
      <c r="Q5268" s="508">
        <v>6.5000000000000002E-2</v>
      </c>
      <c r="R5268" s="508">
        <v>6.5000000000000002E-2</v>
      </c>
      <c r="S5268" s="508">
        <v>6.5000000000000002E-2</v>
      </c>
      <c r="T5268" s="508">
        <v>6.5000000000000002E-2</v>
      </c>
      <c r="U5268" s="508">
        <v>6.5000000000000002E-2</v>
      </c>
      <c r="V5268" s="508">
        <v>6.5000000000000002E-2</v>
      </c>
      <c r="W5268" s="508">
        <v>6.5000000000000002E-2</v>
      </c>
      <c r="X5268" s="508">
        <v>6.5000000000000002E-2</v>
      </c>
      <c r="Y5268" s="508">
        <v>6.5000000000000002E-2</v>
      </c>
      <c r="Z5268" s="508">
        <v>6.5000000000000002E-2</v>
      </c>
      <c r="AA5268" s="508">
        <v>6.5000000000000002E-2</v>
      </c>
      <c r="AB5268" s="508">
        <v>6.5000000000000002E-2</v>
      </c>
      <c r="AC5268" s="508">
        <v>6.5000000000000002E-2</v>
      </c>
      <c r="AD5268" s="508">
        <v>6.5000000000000002E-2</v>
      </c>
      <c r="AE5268" s="508">
        <v>6.5000000000000002E-2</v>
      </c>
      <c r="AF5268" s="508">
        <v>6.5000000000000002E-2</v>
      </c>
      <c r="AG5268" s="508">
        <v>6.5000000000000002E-2</v>
      </c>
      <c r="AH5268" s="508">
        <v>6.5000000000000002E-2</v>
      </c>
      <c r="AI5268" s="492">
        <v>6.5000000000000002E-2</v>
      </c>
      <c r="AJ5268" s="485"/>
    </row>
    <row r="5269" spans="2:36">
      <c r="B5269" s="136" t="s">
        <v>481</v>
      </c>
      <c r="C5269" s="132" t="s">
        <v>1377</v>
      </c>
      <c r="D5269" s="132" t="s">
        <v>1379</v>
      </c>
      <c r="E5269" s="508"/>
      <c r="F5269" s="508"/>
      <c r="G5269" s="508"/>
      <c r="H5269" s="508"/>
      <c r="I5269" s="508"/>
      <c r="J5269" s="508">
        <v>8.2000000000000003E-2</v>
      </c>
      <c r="K5269" s="508">
        <v>8.2000000000000003E-2</v>
      </c>
      <c r="L5269" s="508">
        <v>8.2000000000000003E-2</v>
      </c>
      <c r="M5269" s="508">
        <v>8.2000000000000003E-2</v>
      </c>
      <c r="N5269" s="508">
        <v>8.2000000000000003E-2</v>
      </c>
      <c r="O5269" s="508">
        <v>8.2000000000000003E-2</v>
      </c>
      <c r="P5269" s="508">
        <v>8.2000000000000003E-2</v>
      </c>
      <c r="Q5269" s="508">
        <v>8.2000000000000003E-2</v>
      </c>
      <c r="R5269" s="508">
        <v>8.2000000000000003E-2</v>
      </c>
      <c r="S5269" s="508">
        <v>8.2000000000000003E-2</v>
      </c>
      <c r="T5269" s="508">
        <v>8.2000000000000003E-2</v>
      </c>
      <c r="U5269" s="508">
        <v>8.2000000000000003E-2</v>
      </c>
      <c r="V5269" s="508">
        <v>8.2000000000000003E-2</v>
      </c>
      <c r="W5269" s="508">
        <v>8.2000000000000003E-2</v>
      </c>
      <c r="X5269" s="508">
        <v>8.2000000000000003E-2</v>
      </c>
      <c r="Y5269" s="508">
        <v>8.2000000000000003E-2</v>
      </c>
      <c r="Z5269" s="508">
        <v>8.2000000000000003E-2</v>
      </c>
      <c r="AA5269" s="508">
        <v>8.2000000000000003E-2</v>
      </c>
      <c r="AB5269" s="508">
        <v>8.2000000000000003E-2</v>
      </c>
      <c r="AC5269" s="508">
        <v>8.2000000000000003E-2</v>
      </c>
      <c r="AD5269" s="508">
        <v>8.2000000000000003E-2</v>
      </c>
      <c r="AE5269" s="508">
        <v>8.2000000000000003E-2</v>
      </c>
      <c r="AF5269" s="508">
        <v>8.2000000000000003E-2</v>
      </c>
      <c r="AG5269" s="508">
        <v>8.2000000000000003E-2</v>
      </c>
      <c r="AH5269" s="508">
        <v>8.2000000000000003E-2</v>
      </c>
      <c r="AI5269" s="492">
        <v>8.2000000000000003E-2</v>
      </c>
      <c r="AJ5269" s="485"/>
    </row>
    <row r="5270" spans="2:36">
      <c r="B5270" s="136" t="s">
        <v>482</v>
      </c>
      <c r="C5270" s="132" t="s">
        <v>1377</v>
      </c>
      <c r="D5270" s="132" t="s">
        <v>1379</v>
      </c>
      <c r="E5270" s="508"/>
      <c r="F5270" s="508"/>
      <c r="G5270" s="508"/>
      <c r="H5270" s="508"/>
      <c r="I5270" s="508"/>
      <c r="J5270" s="508">
        <v>8.2000000000000003E-2</v>
      </c>
      <c r="K5270" s="508">
        <v>8.2000000000000003E-2</v>
      </c>
      <c r="L5270" s="508">
        <v>8.2000000000000003E-2</v>
      </c>
      <c r="M5270" s="508">
        <v>8.2000000000000003E-2</v>
      </c>
      <c r="N5270" s="508">
        <v>8.2000000000000003E-2</v>
      </c>
      <c r="O5270" s="508">
        <v>8.2000000000000003E-2</v>
      </c>
      <c r="P5270" s="508">
        <v>8.2000000000000003E-2</v>
      </c>
      <c r="Q5270" s="508">
        <v>8.2000000000000003E-2</v>
      </c>
      <c r="R5270" s="508">
        <v>8.2000000000000003E-2</v>
      </c>
      <c r="S5270" s="508">
        <v>8.2000000000000003E-2</v>
      </c>
      <c r="T5270" s="508">
        <v>8.2000000000000003E-2</v>
      </c>
      <c r="U5270" s="508">
        <v>8.2000000000000003E-2</v>
      </c>
      <c r="V5270" s="508">
        <v>8.2000000000000003E-2</v>
      </c>
      <c r="W5270" s="508">
        <v>8.2000000000000003E-2</v>
      </c>
      <c r="X5270" s="508">
        <v>8.2000000000000003E-2</v>
      </c>
      <c r="Y5270" s="508">
        <v>8.2000000000000003E-2</v>
      </c>
      <c r="Z5270" s="508">
        <v>8.2000000000000003E-2</v>
      </c>
      <c r="AA5270" s="508">
        <v>8.2000000000000003E-2</v>
      </c>
      <c r="AB5270" s="508">
        <v>8.2000000000000003E-2</v>
      </c>
      <c r="AC5270" s="508">
        <v>8.2000000000000003E-2</v>
      </c>
      <c r="AD5270" s="508">
        <v>8.2000000000000003E-2</v>
      </c>
      <c r="AE5270" s="508">
        <v>8.2000000000000003E-2</v>
      </c>
      <c r="AF5270" s="508">
        <v>8.2000000000000003E-2</v>
      </c>
      <c r="AG5270" s="508">
        <v>8.2000000000000003E-2</v>
      </c>
      <c r="AH5270" s="508">
        <v>8.2000000000000003E-2</v>
      </c>
      <c r="AI5270" s="492">
        <v>8.2000000000000003E-2</v>
      </c>
      <c r="AJ5270" s="485"/>
    </row>
    <row r="5271" spans="2:36">
      <c r="B5271" s="136" t="s">
        <v>483</v>
      </c>
      <c r="C5271" s="132" t="s">
        <v>1377</v>
      </c>
      <c r="D5271" s="132" t="s">
        <v>1379</v>
      </c>
      <c r="E5271" s="508"/>
      <c r="F5271" s="508"/>
      <c r="G5271" s="508"/>
      <c r="H5271" s="508"/>
      <c r="I5271" s="508"/>
      <c r="J5271" s="508">
        <v>9.0999999999999998E-2</v>
      </c>
      <c r="K5271" s="508">
        <v>9.0999999999999998E-2</v>
      </c>
      <c r="L5271" s="508">
        <v>9.0999999999999998E-2</v>
      </c>
      <c r="M5271" s="508">
        <v>9.0999999999999998E-2</v>
      </c>
      <c r="N5271" s="508">
        <v>9.0999999999999998E-2</v>
      </c>
      <c r="O5271" s="508">
        <v>9.0999999999999998E-2</v>
      </c>
      <c r="P5271" s="508">
        <v>9.0999999999999998E-2</v>
      </c>
      <c r="Q5271" s="508">
        <v>9.0999999999999998E-2</v>
      </c>
      <c r="R5271" s="508">
        <v>9.0999999999999998E-2</v>
      </c>
      <c r="S5271" s="508">
        <v>9.0999999999999998E-2</v>
      </c>
      <c r="T5271" s="508">
        <v>9.0999999999999998E-2</v>
      </c>
      <c r="U5271" s="508">
        <v>9.0999999999999998E-2</v>
      </c>
      <c r="V5271" s="508">
        <v>9.0999999999999998E-2</v>
      </c>
      <c r="W5271" s="508">
        <v>9.0999999999999998E-2</v>
      </c>
      <c r="X5271" s="508">
        <v>9.0999999999999998E-2</v>
      </c>
      <c r="Y5271" s="508">
        <v>9.0999999999999998E-2</v>
      </c>
      <c r="Z5271" s="508">
        <v>9.0999999999999998E-2</v>
      </c>
      <c r="AA5271" s="508">
        <v>9.0999999999999998E-2</v>
      </c>
      <c r="AB5271" s="508">
        <v>9.0999999999999998E-2</v>
      </c>
      <c r="AC5271" s="508">
        <v>9.0999999999999998E-2</v>
      </c>
      <c r="AD5271" s="508">
        <v>9.0999999999999998E-2</v>
      </c>
      <c r="AE5271" s="508">
        <v>9.0999999999999998E-2</v>
      </c>
      <c r="AF5271" s="508">
        <v>9.0999999999999998E-2</v>
      </c>
      <c r="AG5271" s="508">
        <v>9.0999999999999998E-2</v>
      </c>
      <c r="AH5271" s="508">
        <v>9.0999999999999998E-2</v>
      </c>
      <c r="AI5271" s="492">
        <v>9.0999999999999998E-2</v>
      </c>
      <c r="AJ5271" s="485"/>
    </row>
    <row r="5272" spans="2:36">
      <c r="B5272" s="136" t="s">
        <v>484</v>
      </c>
      <c r="C5272" s="132" t="s">
        <v>1377</v>
      </c>
      <c r="D5272" s="132" t="s">
        <v>1379</v>
      </c>
      <c r="E5272" s="508"/>
      <c r="F5272" s="508"/>
      <c r="G5272" s="508"/>
      <c r="H5272" s="508"/>
      <c r="I5272" s="508"/>
      <c r="J5272" s="508">
        <v>6.8000000000000005E-2</v>
      </c>
      <c r="K5272" s="508">
        <v>6.8000000000000005E-2</v>
      </c>
      <c r="L5272" s="508">
        <v>6.8000000000000005E-2</v>
      </c>
      <c r="M5272" s="508">
        <v>6.8000000000000005E-2</v>
      </c>
      <c r="N5272" s="508">
        <v>6.8000000000000005E-2</v>
      </c>
      <c r="O5272" s="508">
        <v>6.8000000000000005E-2</v>
      </c>
      <c r="P5272" s="508">
        <v>6.8000000000000005E-2</v>
      </c>
      <c r="Q5272" s="508">
        <v>6.8000000000000005E-2</v>
      </c>
      <c r="R5272" s="508">
        <v>6.8000000000000005E-2</v>
      </c>
      <c r="S5272" s="508">
        <v>6.8000000000000005E-2</v>
      </c>
      <c r="T5272" s="508">
        <v>6.8000000000000005E-2</v>
      </c>
      <c r="U5272" s="508">
        <v>6.8000000000000005E-2</v>
      </c>
      <c r="V5272" s="508">
        <v>6.8000000000000005E-2</v>
      </c>
      <c r="W5272" s="508">
        <v>6.8000000000000005E-2</v>
      </c>
      <c r="X5272" s="508">
        <v>6.8000000000000005E-2</v>
      </c>
      <c r="Y5272" s="508">
        <v>6.8000000000000005E-2</v>
      </c>
      <c r="Z5272" s="508">
        <v>6.8000000000000005E-2</v>
      </c>
      <c r="AA5272" s="508">
        <v>6.8000000000000005E-2</v>
      </c>
      <c r="AB5272" s="508">
        <v>6.8000000000000005E-2</v>
      </c>
      <c r="AC5272" s="508">
        <v>6.8000000000000005E-2</v>
      </c>
      <c r="AD5272" s="508">
        <v>6.8000000000000005E-2</v>
      </c>
      <c r="AE5272" s="508">
        <v>6.8000000000000005E-2</v>
      </c>
      <c r="AF5272" s="508">
        <v>6.8000000000000005E-2</v>
      </c>
      <c r="AG5272" s="508">
        <v>6.8000000000000005E-2</v>
      </c>
      <c r="AH5272" s="508">
        <v>6.8000000000000005E-2</v>
      </c>
      <c r="AI5272" s="492">
        <v>6.8000000000000005E-2</v>
      </c>
      <c r="AJ5272" s="485"/>
    </row>
    <row r="5273" spans="2:36">
      <c r="B5273" s="136" t="s">
        <v>486</v>
      </c>
      <c r="C5273" s="132" t="s">
        <v>1377</v>
      </c>
      <c r="D5273" s="132" t="s">
        <v>1379</v>
      </c>
      <c r="E5273" s="508"/>
      <c r="F5273" s="508"/>
      <c r="G5273" s="508"/>
      <c r="H5273" s="508"/>
      <c r="I5273" s="508"/>
      <c r="J5273" s="508">
        <v>8.3000000000000004E-2</v>
      </c>
      <c r="K5273" s="508">
        <v>8.3000000000000004E-2</v>
      </c>
      <c r="L5273" s="508">
        <v>8.3000000000000004E-2</v>
      </c>
      <c r="M5273" s="508">
        <v>8.3000000000000004E-2</v>
      </c>
      <c r="N5273" s="508">
        <v>8.3000000000000004E-2</v>
      </c>
      <c r="O5273" s="508">
        <v>8.3000000000000004E-2</v>
      </c>
      <c r="P5273" s="508">
        <v>8.3000000000000004E-2</v>
      </c>
      <c r="Q5273" s="508">
        <v>8.3000000000000004E-2</v>
      </c>
      <c r="R5273" s="508">
        <v>8.3000000000000004E-2</v>
      </c>
      <c r="S5273" s="508">
        <v>8.3000000000000004E-2</v>
      </c>
      <c r="T5273" s="508">
        <v>8.3000000000000004E-2</v>
      </c>
      <c r="U5273" s="508">
        <v>8.3000000000000004E-2</v>
      </c>
      <c r="V5273" s="508">
        <v>8.3000000000000004E-2</v>
      </c>
      <c r="W5273" s="508">
        <v>8.3000000000000004E-2</v>
      </c>
      <c r="X5273" s="508">
        <v>8.3000000000000004E-2</v>
      </c>
      <c r="Y5273" s="508">
        <v>8.3000000000000004E-2</v>
      </c>
      <c r="Z5273" s="508">
        <v>8.3000000000000004E-2</v>
      </c>
      <c r="AA5273" s="508">
        <v>8.3000000000000004E-2</v>
      </c>
      <c r="AB5273" s="508">
        <v>8.3000000000000004E-2</v>
      </c>
      <c r="AC5273" s="508">
        <v>8.3000000000000004E-2</v>
      </c>
      <c r="AD5273" s="508">
        <v>8.3000000000000004E-2</v>
      </c>
      <c r="AE5273" s="508">
        <v>8.3000000000000004E-2</v>
      </c>
      <c r="AF5273" s="508">
        <v>8.3000000000000004E-2</v>
      </c>
      <c r="AG5273" s="508">
        <v>8.3000000000000004E-2</v>
      </c>
      <c r="AH5273" s="508">
        <v>8.3000000000000004E-2</v>
      </c>
      <c r="AI5273" s="492">
        <v>8.3000000000000004E-2</v>
      </c>
      <c r="AJ5273" s="485"/>
    </row>
    <row r="5274" spans="2:36">
      <c r="B5274" s="136" t="s">
        <v>487</v>
      </c>
      <c r="C5274" s="132" t="s">
        <v>1377</v>
      </c>
      <c r="D5274" s="132" t="s">
        <v>1379</v>
      </c>
      <c r="E5274" s="508"/>
      <c r="F5274" s="508"/>
      <c r="G5274" s="508"/>
      <c r="H5274" s="508"/>
      <c r="I5274" s="508"/>
      <c r="J5274" s="508">
        <v>8.2000000000000003E-2</v>
      </c>
      <c r="K5274" s="508">
        <v>8.2000000000000003E-2</v>
      </c>
      <c r="L5274" s="508">
        <v>8.2000000000000003E-2</v>
      </c>
      <c r="M5274" s="508">
        <v>8.2000000000000003E-2</v>
      </c>
      <c r="N5274" s="508">
        <v>8.2000000000000003E-2</v>
      </c>
      <c r="O5274" s="508">
        <v>8.2000000000000003E-2</v>
      </c>
      <c r="P5274" s="508">
        <v>8.2000000000000003E-2</v>
      </c>
      <c r="Q5274" s="508">
        <v>8.2000000000000003E-2</v>
      </c>
      <c r="R5274" s="508">
        <v>8.2000000000000003E-2</v>
      </c>
      <c r="S5274" s="508">
        <v>8.2000000000000003E-2</v>
      </c>
      <c r="T5274" s="508">
        <v>8.2000000000000003E-2</v>
      </c>
      <c r="U5274" s="508">
        <v>8.2000000000000003E-2</v>
      </c>
      <c r="V5274" s="508">
        <v>8.2000000000000003E-2</v>
      </c>
      <c r="W5274" s="508">
        <v>8.2000000000000003E-2</v>
      </c>
      <c r="X5274" s="508">
        <v>8.2000000000000003E-2</v>
      </c>
      <c r="Y5274" s="508">
        <v>8.2000000000000003E-2</v>
      </c>
      <c r="Z5274" s="508">
        <v>8.2000000000000003E-2</v>
      </c>
      <c r="AA5274" s="508">
        <v>8.2000000000000003E-2</v>
      </c>
      <c r="AB5274" s="508">
        <v>8.2000000000000003E-2</v>
      </c>
      <c r="AC5274" s="508">
        <v>8.2000000000000003E-2</v>
      </c>
      <c r="AD5274" s="508">
        <v>8.2000000000000003E-2</v>
      </c>
      <c r="AE5274" s="508">
        <v>8.2000000000000003E-2</v>
      </c>
      <c r="AF5274" s="508">
        <v>8.2000000000000003E-2</v>
      </c>
      <c r="AG5274" s="508">
        <v>8.2000000000000003E-2</v>
      </c>
      <c r="AH5274" s="508">
        <v>8.2000000000000003E-2</v>
      </c>
      <c r="AI5274" s="492">
        <v>8.2000000000000003E-2</v>
      </c>
      <c r="AJ5274" s="485"/>
    </row>
    <row r="5275" spans="2:36">
      <c r="B5275" s="136" t="s">
        <v>488</v>
      </c>
      <c r="C5275" s="132" t="s">
        <v>1377</v>
      </c>
      <c r="D5275" s="132" t="s">
        <v>1379</v>
      </c>
      <c r="E5275" s="508"/>
      <c r="F5275" s="508"/>
      <c r="G5275" s="508"/>
      <c r="H5275" s="508"/>
      <c r="I5275" s="508"/>
      <c r="J5275" s="508">
        <v>7.0999999999999994E-2</v>
      </c>
      <c r="K5275" s="508">
        <v>7.0999999999999994E-2</v>
      </c>
      <c r="L5275" s="508">
        <v>7.0999999999999994E-2</v>
      </c>
      <c r="M5275" s="508">
        <v>7.0999999999999994E-2</v>
      </c>
      <c r="N5275" s="508">
        <v>7.0999999999999994E-2</v>
      </c>
      <c r="O5275" s="508">
        <v>7.0999999999999994E-2</v>
      </c>
      <c r="P5275" s="508">
        <v>7.0999999999999994E-2</v>
      </c>
      <c r="Q5275" s="508">
        <v>7.0999999999999994E-2</v>
      </c>
      <c r="R5275" s="508">
        <v>7.0999999999999994E-2</v>
      </c>
      <c r="S5275" s="508">
        <v>7.0999999999999994E-2</v>
      </c>
      <c r="T5275" s="508">
        <v>7.0999999999999994E-2</v>
      </c>
      <c r="U5275" s="508">
        <v>7.0999999999999994E-2</v>
      </c>
      <c r="V5275" s="508">
        <v>7.0999999999999994E-2</v>
      </c>
      <c r="W5275" s="508">
        <v>7.0999999999999994E-2</v>
      </c>
      <c r="X5275" s="508">
        <v>7.0999999999999994E-2</v>
      </c>
      <c r="Y5275" s="508">
        <v>7.0999999999999994E-2</v>
      </c>
      <c r="Z5275" s="508">
        <v>7.0999999999999994E-2</v>
      </c>
      <c r="AA5275" s="508">
        <v>7.0999999999999994E-2</v>
      </c>
      <c r="AB5275" s="508">
        <v>7.0999999999999994E-2</v>
      </c>
      <c r="AC5275" s="508">
        <v>7.0999999999999994E-2</v>
      </c>
      <c r="AD5275" s="508">
        <v>7.0999999999999994E-2</v>
      </c>
      <c r="AE5275" s="508">
        <v>7.0999999999999994E-2</v>
      </c>
      <c r="AF5275" s="508">
        <v>7.0999999999999994E-2</v>
      </c>
      <c r="AG5275" s="508">
        <v>7.0999999999999994E-2</v>
      </c>
      <c r="AH5275" s="508">
        <v>7.0999999999999994E-2</v>
      </c>
      <c r="AI5275" s="492">
        <v>7.0999999999999994E-2</v>
      </c>
      <c r="AJ5275" s="485"/>
    </row>
    <row r="5276" spans="2:36">
      <c r="B5276" s="136" t="s">
        <v>489</v>
      </c>
      <c r="C5276" s="132" t="s">
        <v>1377</v>
      </c>
      <c r="D5276" s="132" t="s">
        <v>1379</v>
      </c>
      <c r="E5276" s="508"/>
      <c r="F5276" s="508"/>
      <c r="G5276" s="508"/>
      <c r="H5276" s="508"/>
      <c r="I5276" s="508"/>
      <c r="J5276" s="508">
        <v>7.6999999999999999E-2</v>
      </c>
      <c r="K5276" s="508">
        <v>7.6999999999999999E-2</v>
      </c>
      <c r="L5276" s="508">
        <v>7.6999999999999999E-2</v>
      </c>
      <c r="M5276" s="508">
        <v>7.6999999999999999E-2</v>
      </c>
      <c r="N5276" s="508">
        <v>7.6999999999999999E-2</v>
      </c>
      <c r="O5276" s="508">
        <v>7.6999999999999999E-2</v>
      </c>
      <c r="P5276" s="508">
        <v>7.6999999999999999E-2</v>
      </c>
      <c r="Q5276" s="508">
        <v>7.6999999999999999E-2</v>
      </c>
      <c r="R5276" s="508">
        <v>7.6999999999999999E-2</v>
      </c>
      <c r="S5276" s="508">
        <v>7.6999999999999999E-2</v>
      </c>
      <c r="T5276" s="508">
        <v>7.6999999999999999E-2</v>
      </c>
      <c r="U5276" s="508">
        <v>7.6999999999999999E-2</v>
      </c>
      <c r="V5276" s="508">
        <v>7.6999999999999999E-2</v>
      </c>
      <c r="W5276" s="508">
        <v>7.6999999999999999E-2</v>
      </c>
      <c r="X5276" s="508">
        <v>7.6999999999999999E-2</v>
      </c>
      <c r="Y5276" s="508">
        <v>7.6999999999999999E-2</v>
      </c>
      <c r="Z5276" s="508">
        <v>7.6999999999999999E-2</v>
      </c>
      <c r="AA5276" s="508">
        <v>7.6999999999999999E-2</v>
      </c>
      <c r="AB5276" s="508">
        <v>7.6999999999999999E-2</v>
      </c>
      <c r="AC5276" s="508">
        <v>7.6999999999999999E-2</v>
      </c>
      <c r="AD5276" s="508">
        <v>7.6999999999999999E-2</v>
      </c>
      <c r="AE5276" s="508">
        <v>7.6999999999999999E-2</v>
      </c>
      <c r="AF5276" s="508">
        <v>7.6999999999999999E-2</v>
      </c>
      <c r="AG5276" s="508">
        <v>7.6999999999999999E-2</v>
      </c>
      <c r="AH5276" s="508">
        <v>7.6999999999999999E-2</v>
      </c>
      <c r="AI5276" s="492">
        <v>7.6999999999999999E-2</v>
      </c>
      <c r="AJ5276" s="485"/>
    </row>
    <row r="5277" spans="2:36">
      <c r="B5277" s="136" t="s">
        <v>490</v>
      </c>
      <c r="C5277" s="132" t="s">
        <v>1377</v>
      </c>
      <c r="D5277" s="132" t="s">
        <v>1379</v>
      </c>
      <c r="E5277" s="508"/>
      <c r="F5277" s="508"/>
      <c r="G5277" s="508"/>
      <c r="H5277" s="508"/>
      <c r="I5277" s="508"/>
      <c r="J5277" s="508">
        <v>6.6000000000000003E-2</v>
      </c>
      <c r="K5277" s="508">
        <v>6.6000000000000003E-2</v>
      </c>
      <c r="L5277" s="508">
        <v>6.6000000000000003E-2</v>
      </c>
      <c r="M5277" s="508">
        <v>6.6000000000000003E-2</v>
      </c>
      <c r="N5277" s="508">
        <v>6.6000000000000003E-2</v>
      </c>
      <c r="O5277" s="508">
        <v>6.6000000000000003E-2</v>
      </c>
      <c r="P5277" s="508">
        <v>6.6000000000000003E-2</v>
      </c>
      <c r="Q5277" s="508">
        <v>6.6000000000000003E-2</v>
      </c>
      <c r="R5277" s="508">
        <v>6.6000000000000003E-2</v>
      </c>
      <c r="S5277" s="508">
        <v>6.6000000000000003E-2</v>
      </c>
      <c r="T5277" s="508">
        <v>6.6000000000000003E-2</v>
      </c>
      <c r="U5277" s="508">
        <v>6.6000000000000003E-2</v>
      </c>
      <c r="V5277" s="508">
        <v>6.6000000000000003E-2</v>
      </c>
      <c r="W5277" s="508">
        <v>6.6000000000000003E-2</v>
      </c>
      <c r="X5277" s="508">
        <v>6.6000000000000003E-2</v>
      </c>
      <c r="Y5277" s="508">
        <v>6.6000000000000003E-2</v>
      </c>
      <c r="Z5277" s="508">
        <v>6.6000000000000003E-2</v>
      </c>
      <c r="AA5277" s="508">
        <v>6.6000000000000003E-2</v>
      </c>
      <c r="AB5277" s="508">
        <v>6.6000000000000003E-2</v>
      </c>
      <c r="AC5277" s="508">
        <v>6.6000000000000003E-2</v>
      </c>
      <c r="AD5277" s="508">
        <v>6.6000000000000003E-2</v>
      </c>
      <c r="AE5277" s="508">
        <v>6.6000000000000003E-2</v>
      </c>
      <c r="AF5277" s="508">
        <v>6.6000000000000003E-2</v>
      </c>
      <c r="AG5277" s="508">
        <v>6.6000000000000003E-2</v>
      </c>
      <c r="AH5277" s="508">
        <v>6.6000000000000003E-2</v>
      </c>
      <c r="AI5277" s="492">
        <v>6.6000000000000003E-2</v>
      </c>
      <c r="AJ5277" s="485"/>
    </row>
    <row r="5278" spans="2:36">
      <c r="B5278" s="136" t="s">
        <v>435</v>
      </c>
      <c r="C5278" s="132" t="s">
        <v>1378</v>
      </c>
      <c r="D5278" s="132" t="s">
        <v>1379</v>
      </c>
      <c r="E5278" s="508">
        <v>8.5000000000000006E-2</v>
      </c>
      <c r="F5278" s="508">
        <v>8.5000000000000006E-2</v>
      </c>
      <c r="G5278" s="508">
        <v>8.5000000000000006E-2</v>
      </c>
      <c r="H5278" s="508">
        <v>8.5000000000000006E-2</v>
      </c>
      <c r="I5278" s="508">
        <v>8.5000000000000006E-2</v>
      </c>
      <c r="J5278" s="508">
        <v>8.5000000000000006E-2</v>
      </c>
      <c r="K5278" s="508">
        <v>8.5000000000000006E-2</v>
      </c>
      <c r="L5278" s="508">
        <v>8.5000000000000006E-2</v>
      </c>
      <c r="M5278" s="508">
        <v>8.5000000000000006E-2</v>
      </c>
      <c r="N5278" s="508">
        <v>8.5000000000000006E-2</v>
      </c>
      <c r="O5278" s="508">
        <v>8.5000000000000006E-2</v>
      </c>
      <c r="P5278" s="508">
        <v>8.5000000000000006E-2</v>
      </c>
      <c r="Q5278" s="508">
        <v>8.5000000000000006E-2</v>
      </c>
      <c r="R5278" s="508">
        <v>8.5000000000000006E-2</v>
      </c>
      <c r="S5278" s="508">
        <v>8.5000000000000006E-2</v>
      </c>
      <c r="T5278" s="508">
        <v>8.5000000000000006E-2</v>
      </c>
      <c r="U5278" s="508">
        <v>8.5000000000000006E-2</v>
      </c>
      <c r="V5278" s="508">
        <v>8.5000000000000006E-2</v>
      </c>
      <c r="W5278" s="508">
        <v>8.5000000000000006E-2</v>
      </c>
      <c r="X5278" s="508">
        <v>8.5000000000000006E-2</v>
      </c>
      <c r="Y5278" s="508">
        <v>8.5000000000000006E-2</v>
      </c>
      <c r="Z5278" s="508">
        <v>8.5000000000000006E-2</v>
      </c>
      <c r="AA5278" s="508">
        <v>8.5000000000000006E-2</v>
      </c>
      <c r="AB5278" s="508">
        <v>8.5000000000000006E-2</v>
      </c>
      <c r="AC5278" s="508">
        <v>8.5000000000000006E-2</v>
      </c>
      <c r="AD5278" s="508">
        <v>8.5000000000000006E-2</v>
      </c>
      <c r="AE5278" s="508">
        <v>8.5000000000000006E-2</v>
      </c>
      <c r="AF5278" s="508">
        <v>8.5000000000000006E-2</v>
      </c>
      <c r="AG5278" s="508">
        <v>8.5000000000000006E-2</v>
      </c>
      <c r="AH5278" s="508">
        <v>8.5000000000000006E-2</v>
      </c>
      <c r="AI5278" s="492">
        <v>8.5000000000000006E-2</v>
      </c>
      <c r="AJ5278" s="485"/>
    </row>
    <row r="5279" spans="2:36">
      <c r="B5279" s="136" t="s">
        <v>436</v>
      </c>
      <c r="C5279" s="132" t="s">
        <v>1378</v>
      </c>
      <c r="D5279" s="132" t="s">
        <v>1379</v>
      </c>
      <c r="E5279" s="508">
        <v>7.6999999999999999E-2</v>
      </c>
      <c r="F5279" s="508">
        <v>7.6999999999999999E-2</v>
      </c>
      <c r="G5279" s="508">
        <v>7.6999999999999999E-2</v>
      </c>
      <c r="H5279" s="508">
        <v>7.6999999999999999E-2</v>
      </c>
      <c r="I5279" s="508">
        <v>7.6999999999999999E-2</v>
      </c>
      <c r="J5279" s="508">
        <v>7.6999999999999999E-2</v>
      </c>
      <c r="K5279" s="508">
        <v>7.6999999999999999E-2</v>
      </c>
      <c r="L5279" s="508">
        <v>7.6999999999999999E-2</v>
      </c>
      <c r="M5279" s="508">
        <v>7.6999999999999999E-2</v>
      </c>
      <c r="N5279" s="508">
        <v>7.6999999999999999E-2</v>
      </c>
      <c r="O5279" s="508">
        <v>7.6999999999999999E-2</v>
      </c>
      <c r="P5279" s="508">
        <v>7.6999999999999999E-2</v>
      </c>
      <c r="Q5279" s="508">
        <v>7.6999999999999999E-2</v>
      </c>
      <c r="R5279" s="508">
        <v>7.6999999999999999E-2</v>
      </c>
      <c r="S5279" s="508">
        <v>7.6999999999999999E-2</v>
      </c>
      <c r="T5279" s="508">
        <v>7.6999999999999999E-2</v>
      </c>
      <c r="U5279" s="508">
        <v>7.6999999999999999E-2</v>
      </c>
      <c r="V5279" s="508">
        <v>7.6999999999999999E-2</v>
      </c>
      <c r="W5279" s="508">
        <v>7.6999999999999999E-2</v>
      </c>
      <c r="X5279" s="508">
        <v>7.6999999999999999E-2</v>
      </c>
      <c r="Y5279" s="508">
        <v>7.6999999999999999E-2</v>
      </c>
      <c r="Z5279" s="508">
        <v>7.6999999999999999E-2</v>
      </c>
      <c r="AA5279" s="508">
        <v>7.6999999999999999E-2</v>
      </c>
      <c r="AB5279" s="508">
        <v>7.6999999999999999E-2</v>
      </c>
      <c r="AC5279" s="508">
        <v>7.6999999999999999E-2</v>
      </c>
      <c r="AD5279" s="508">
        <v>7.6999999999999999E-2</v>
      </c>
      <c r="AE5279" s="508">
        <v>7.6999999999999999E-2</v>
      </c>
      <c r="AF5279" s="508">
        <v>7.6999999999999999E-2</v>
      </c>
      <c r="AG5279" s="508">
        <v>7.6999999999999999E-2</v>
      </c>
      <c r="AH5279" s="508">
        <v>7.6999999999999999E-2</v>
      </c>
      <c r="AI5279" s="492">
        <v>7.6999999999999999E-2</v>
      </c>
      <c r="AJ5279" s="485"/>
    </row>
    <row r="5280" spans="2:36">
      <c r="B5280" s="136" t="s">
        <v>437</v>
      </c>
      <c r="C5280" s="132" t="s">
        <v>1378</v>
      </c>
      <c r="D5280" s="132" t="s">
        <v>1379</v>
      </c>
      <c r="E5280" s="508">
        <v>8.7999999999999995E-2</v>
      </c>
      <c r="F5280" s="508">
        <v>8.7999999999999995E-2</v>
      </c>
      <c r="G5280" s="508">
        <v>8.7999999999999995E-2</v>
      </c>
      <c r="H5280" s="508">
        <v>8.7999999999999995E-2</v>
      </c>
      <c r="I5280" s="508">
        <v>8.7999999999999995E-2</v>
      </c>
      <c r="J5280" s="508">
        <v>8.7999999999999995E-2</v>
      </c>
      <c r="K5280" s="508">
        <v>8.7999999999999995E-2</v>
      </c>
      <c r="L5280" s="508">
        <v>8.7999999999999995E-2</v>
      </c>
      <c r="M5280" s="508">
        <v>8.7999999999999995E-2</v>
      </c>
      <c r="N5280" s="508">
        <v>8.7999999999999995E-2</v>
      </c>
      <c r="O5280" s="508">
        <v>8.7999999999999995E-2</v>
      </c>
      <c r="P5280" s="508">
        <v>8.7999999999999995E-2</v>
      </c>
      <c r="Q5280" s="508">
        <v>8.7999999999999995E-2</v>
      </c>
      <c r="R5280" s="508">
        <v>8.7999999999999995E-2</v>
      </c>
      <c r="S5280" s="508">
        <v>8.7999999999999995E-2</v>
      </c>
      <c r="T5280" s="508">
        <v>8.7999999999999995E-2</v>
      </c>
      <c r="U5280" s="508">
        <v>8.7999999999999995E-2</v>
      </c>
      <c r="V5280" s="508">
        <v>8.7999999999999995E-2</v>
      </c>
      <c r="W5280" s="508">
        <v>8.7999999999999995E-2</v>
      </c>
      <c r="X5280" s="508">
        <v>8.7999999999999995E-2</v>
      </c>
      <c r="Y5280" s="508">
        <v>8.7999999999999995E-2</v>
      </c>
      <c r="Z5280" s="508">
        <v>8.7999999999999995E-2</v>
      </c>
      <c r="AA5280" s="508">
        <v>8.7999999999999995E-2</v>
      </c>
      <c r="AB5280" s="508">
        <v>8.7999999999999995E-2</v>
      </c>
      <c r="AC5280" s="508">
        <v>8.7999999999999995E-2</v>
      </c>
      <c r="AD5280" s="508">
        <v>8.7999999999999995E-2</v>
      </c>
      <c r="AE5280" s="508">
        <v>8.7999999999999995E-2</v>
      </c>
      <c r="AF5280" s="508">
        <v>8.7999999999999995E-2</v>
      </c>
      <c r="AG5280" s="508">
        <v>8.7999999999999995E-2</v>
      </c>
      <c r="AH5280" s="508">
        <v>8.7999999999999995E-2</v>
      </c>
      <c r="AI5280" s="492">
        <v>8.7999999999999995E-2</v>
      </c>
      <c r="AJ5280" s="485"/>
    </row>
    <row r="5281" spans="2:36">
      <c r="B5281" s="136" t="s">
        <v>438</v>
      </c>
      <c r="C5281" s="132" t="s">
        <v>1378</v>
      </c>
      <c r="D5281" s="132" t="s">
        <v>1379</v>
      </c>
      <c r="E5281" s="508">
        <v>7.2999999999999995E-2</v>
      </c>
      <c r="F5281" s="508">
        <v>7.2999999999999995E-2</v>
      </c>
      <c r="G5281" s="508">
        <v>7.2999999999999995E-2</v>
      </c>
      <c r="H5281" s="508">
        <v>7.2999999999999995E-2</v>
      </c>
      <c r="I5281" s="508">
        <v>7.2999999999999995E-2</v>
      </c>
      <c r="J5281" s="508">
        <v>7.2999999999999995E-2</v>
      </c>
      <c r="K5281" s="508">
        <v>7.2999999999999995E-2</v>
      </c>
      <c r="L5281" s="508">
        <v>7.2999999999999995E-2</v>
      </c>
      <c r="M5281" s="508">
        <v>7.2999999999999995E-2</v>
      </c>
      <c r="N5281" s="508">
        <v>7.2999999999999995E-2</v>
      </c>
      <c r="O5281" s="508">
        <v>7.2999999999999995E-2</v>
      </c>
      <c r="P5281" s="508">
        <v>7.2999999999999995E-2</v>
      </c>
      <c r="Q5281" s="508">
        <v>7.2999999999999995E-2</v>
      </c>
      <c r="R5281" s="508">
        <v>7.2999999999999995E-2</v>
      </c>
      <c r="S5281" s="508">
        <v>7.2999999999999995E-2</v>
      </c>
      <c r="T5281" s="508">
        <v>7.2999999999999995E-2</v>
      </c>
      <c r="U5281" s="508">
        <v>7.2999999999999995E-2</v>
      </c>
      <c r="V5281" s="508">
        <v>7.2999999999999995E-2</v>
      </c>
      <c r="W5281" s="508">
        <v>7.2999999999999995E-2</v>
      </c>
      <c r="X5281" s="508">
        <v>7.2999999999999995E-2</v>
      </c>
      <c r="Y5281" s="508">
        <v>7.2999999999999995E-2</v>
      </c>
      <c r="Z5281" s="508">
        <v>7.2999999999999995E-2</v>
      </c>
      <c r="AA5281" s="508">
        <v>7.2999999999999995E-2</v>
      </c>
      <c r="AB5281" s="508">
        <v>7.2999999999999995E-2</v>
      </c>
      <c r="AC5281" s="508">
        <v>7.2999999999999995E-2</v>
      </c>
      <c r="AD5281" s="508">
        <v>7.2999999999999995E-2</v>
      </c>
      <c r="AE5281" s="508">
        <v>7.2999999999999995E-2</v>
      </c>
      <c r="AF5281" s="508">
        <v>7.2999999999999995E-2</v>
      </c>
      <c r="AG5281" s="508">
        <v>7.2999999999999995E-2</v>
      </c>
      <c r="AH5281" s="508">
        <v>7.2999999999999995E-2</v>
      </c>
      <c r="AI5281" s="492">
        <v>7.2999999999999995E-2</v>
      </c>
      <c r="AJ5281" s="485"/>
    </row>
    <row r="5282" spans="2:36">
      <c r="B5282" s="136" t="s">
        <v>439</v>
      </c>
      <c r="C5282" s="132" t="s">
        <v>1378</v>
      </c>
      <c r="D5282" s="132" t="s">
        <v>1379</v>
      </c>
      <c r="E5282" s="508">
        <v>8.6999999999999994E-2</v>
      </c>
      <c r="F5282" s="508">
        <v>8.6999999999999994E-2</v>
      </c>
      <c r="G5282" s="508">
        <v>8.6999999999999994E-2</v>
      </c>
      <c r="H5282" s="508">
        <v>8.6999999999999994E-2</v>
      </c>
      <c r="I5282" s="508">
        <v>8.6999999999999994E-2</v>
      </c>
      <c r="J5282" s="508">
        <v>8.6999999999999994E-2</v>
      </c>
      <c r="K5282" s="508">
        <v>8.6999999999999994E-2</v>
      </c>
      <c r="L5282" s="508">
        <v>8.6999999999999994E-2</v>
      </c>
      <c r="M5282" s="508">
        <v>8.6999999999999994E-2</v>
      </c>
      <c r="N5282" s="508">
        <v>8.6999999999999994E-2</v>
      </c>
      <c r="O5282" s="508">
        <v>8.6999999999999994E-2</v>
      </c>
      <c r="P5282" s="508">
        <v>8.6999999999999994E-2</v>
      </c>
      <c r="Q5282" s="508">
        <v>8.6999999999999994E-2</v>
      </c>
      <c r="R5282" s="508">
        <v>8.6999999999999994E-2</v>
      </c>
      <c r="S5282" s="508">
        <v>8.6999999999999994E-2</v>
      </c>
      <c r="T5282" s="508">
        <v>8.6999999999999994E-2</v>
      </c>
      <c r="U5282" s="508">
        <v>8.6999999999999994E-2</v>
      </c>
      <c r="V5282" s="508">
        <v>8.6999999999999994E-2</v>
      </c>
      <c r="W5282" s="508">
        <v>8.6999999999999994E-2</v>
      </c>
      <c r="X5282" s="508">
        <v>8.6999999999999994E-2</v>
      </c>
      <c r="Y5282" s="508">
        <v>8.6999999999999994E-2</v>
      </c>
      <c r="Z5282" s="508">
        <v>8.6999999999999994E-2</v>
      </c>
      <c r="AA5282" s="508">
        <v>8.6999999999999994E-2</v>
      </c>
      <c r="AB5282" s="508">
        <v>8.6999999999999994E-2</v>
      </c>
      <c r="AC5282" s="508">
        <v>8.6999999999999994E-2</v>
      </c>
      <c r="AD5282" s="508">
        <v>8.6999999999999994E-2</v>
      </c>
      <c r="AE5282" s="508">
        <v>8.6999999999999994E-2</v>
      </c>
      <c r="AF5282" s="508">
        <v>8.6999999999999994E-2</v>
      </c>
      <c r="AG5282" s="508">
        <v>8.6999999999999994E-2</v>
      </c>
      <c r="AH5282" s="508">
        <v>8.6999999999999994E-2</v>
      </c>
      <c r="AI5282" s="492">
        <v>8.6999999999999994E-2</v>
      </c>
      <c r="AJ5282" s="485"/>
    </row>
    <row r="5283" spans="2:36">
      <c r="B5283" s="136" t="s">
        <v>440</v>
      </c>
      <c r="C5283" s="132" t="s">
        <v>1378</v>
      </c>
      <c r="D5283" s="132" t="s">
        <v>1379</v>
      </c>
      <c r="E5283" s="508">
        <v>8.4000000000000005E-2</v>
      </c>
      <c r="F5283" s="508">
        <v>8.4000000000000005E-2</v>
      </c>
      <c r="G5283" s="508">
        <v>8.4000000000000005E-2</v>
      </c>
      <c r="H5283" s="508">
        <v>8.4000000000000005E-2</v>
      </c>
      <c r="I5283" s="508">
        <v>8.4000000000000005E-2</v>
      </c>
      <c r="J5283" s="508">
        <v>8.4000000000000005E-2</v>
      </c>
      <c r="K5283" s="508">
        <v>8.4000000000000005E-2</v>
      </c>
      <c r="L5283" s="508">
        <v>8.4000000000000005E-2</v>
      </c>
      <c r="M5283" s="508">
        <v>8.4000000000000005E-2</v>
      </c>
      <c r="N5283" s="508">
        <v>8.4000000000000005E-2</v>
      </c>
      <c r="O5283" s="508">
        <v>8.4000000000000005E-2</v>
      </c>
      <c r="P5283" s="508">
        <v>8.4000000000000005E-2</v>
      </c>
      <c r="Q5283" s="508">
        <v>8.4000000000000005E-2</v>
      </c>
      <c r="R5283" s="508">
        <v>8.4000000000000005E-2</v>
      </c>
      <c r="S5283" s="508">
        <v>8.4000000000000005E-2</v>
      </c>
      <c r="T5283" s="508">
        <v>8.4000000000000005E-2</v>
      </c>
      <c r="U5283" s="508">
        <v>8.4000000000000005E-2</v>
      </c>
      <c r="V5283" s="508">
        <v>8.4000000000000005E-2</v>
      </c>
      <c r="W5283" s="508">
        <v>8.4000000000000005E-2</v>
      </c>
      <c r="X5283" s="508">
        <v>8.4000000000000005E-2</v>
      </c>
      <c r="Y5283" s="508">
        <v>8.4000000000000005E-2</v>
      </c>
      <c r="Z5283" s="508">
        <v>8.4000000000000005E-2</v>
      </c>
      <c r="AA5283" s="508">
        <v>8.4000000000000005E-2</v>
      </c>
      <c r="AB5283" s="508">
        <v>8.4000000000000005E-2</v>
      </c>
      <c r="AC5283" s="508">
        <v>8.4000000000000005E-2</v>
      </c>
      <c r="AD5283" s="508">
        <v>8.4000000000000005E-2</v>
      </c>
      <c r="AE5283" s="508">
        <v>8.4000000000000005E-2</v>
      </c>
      <c r="AF5283" s="508">
        <v>8.4000000000000005E-2</v>
      </c>
      <c r="AG5283" s="508">
        <v>8.4000000000000005E-2</v>
      </c>
      <c r="AH5283" s="508">
        <v>8.4000000000000005E-2</v>
      </c>
      <c r="AI5283" s="492">
        <v>8.4000000000000005E-2</v>
      </c>
      <c r="AJ5283" s="485"/>
    </row>
    <row r="5284" spans="2:36">
      <c r="B5284" s="136" t="s">
        <v>441</v>
      </c>
      <c r="C5284" s="132" t="s">
        <v>1378</v>
      </c>
      <c r="D5284" s="132" t="s">
        <v>1379</v>
      </c>
      <c r="E5284" s="508">
        <v>8.6999999999999994E-2</v>
      </c>
      <c r="F5284" s="508">
        <v>8.6999999999999994E-2</v>
      </c>
      <c r="G5284" s="508">
        <v>8.6999999999999994E-2</v>
      </c>
      <c r="H5284" s="508">
        <v>8.6999999999999994E-2</v>
      </c>
      <c r="I5284" s="508">
        <v>8.6999999999999994E-2</v>
      </c>
      <c r="J5284" s="508">
        <v>8.6999999999999994E-2</v>
      </c>
      <c r="K5284" s="508">
        <v>8.6999999999999994E-2</v>
      </c>
      <c r="L5284" s="508">
        <v>8.6999999999999994E-2</v>
      </c>
      <c r="M5284" s="508">
        <v>8.6999999999999994E-2</v>
      </c>
      <c r="N5284" s="508">
        <v>8.6999999999999994E-2</v>
      </c>
      <c r="O5284" s="508">
        <v>8.6999999999999994E-2</v>
      </c>
      <c r="P5284" s="508">
        <v>8.6999999999999994E-2</v>
      </c>
      <c r="Q5284" s="508">
        <v>8.6999999999999994E-2</v>
      </c>
      <c r="R5284" s="508">
        <v>8.6999999999999994E-2</v>
      </c>
      <c r="S5284" s="508">
        <v>8.6999999999999994E-2</v>
      </c>
      <c r="T5284" s="508">
        <v>8.6999999999999994E-2</v>
      </c>
      <c r="U5284" s="508">
        <v>8.6999999999999994E-2</v>
      </c>
      <c r="V5284" s="508">
        <v>8.6999999999999994E-2</v>
      </c>
      <c r="W5284" s="508">
        <v>8.6999999999999994E-2</v>
      </c>
      <c r="X5284" s="508">
        <v>8.6999999999999994E-2</v>
      </c>
      <c r="Y5284" s="508">
        <v>8.6999999999999994E-2</v>
      </c>
      <c r="Z5284" s="508">
        <v>8.6999999999999994E-2</v>
      </c>
      <c r="AA5284" s="508">
        <v>8.6999999999999994E-2</v>
      </c>
      <c r="AB5284" s="508">
        <v>8.6999999999999994E-2</v>
      </c>
      <c r="AC5284" s="508">
        <v>8.6999999999999994E-2</v>
      </c>
      <c r="AD5284" s="508">
        <v>8.6999999999999994E-2</v>
      </c>
      <c r="AE5284" s="508">
        <v>8.6999999999999994E-2</v>
      </c>
      <c r="AF5284" s="508">
        <v>8.6999999999999994E-2</v>
      </c>
      <c r="AG5284" s="508">
        <v>8.6999999999999994E-2</v>
      </c>
      <c r="AH5284" s="508">
        <v>8.6999999999999994E-2</v>
      </c>
      <c r="AI5284" s="492">
        <v>8.6999999999999994E-2</v>
      </c>
      <c r="AJ5284" s="485"/>
    </row>
    <row r="5285" spans="2:36">
      <c r="B5285" s="136" t="s">
        <v>443</v>
      </c>
      <c r="C5285" s="132" t="s">
        <v>1378</v>
      </c>
      <c r="D5285" s="132" t="s">
        <v>1379</v>
      </c>
      <c r="E5285" s="508">
        <v>9.5000000000000001E-2</v>
      </c>
      <c r="F5285" s="508">
        <v>9.5000000000000001E-2</v>
      </c>
      <c r="G5285" s="508">
        <v>9.5000000000000001E-2</v>
      </c>
      <c r="H5285" s="508">
        <v>9.5000000000000001E-2</v>
      </c>
      <c r="I5285" s="508">
        <v>9.5000000000000001E-2</v>
      </c>
      <c r="J5285" s="508">
        <v>9.5000000000000001E-2</v>
      </c>
      <c r="K5285" s="508">
        <v>9.5000000000000001E-2</v>
      </c>
      <c r="L5285" s="508">
        <v>9.5000000000000001E-2</v>
      </c>
      <c r="M5285" s="508">
        <v>9.5000000000000001E-2</v>
      </c>
      <c r="N5285" s="508">
        <v>9.5000000000000001E-2</v>
      </c>
      <c r="O5285" s="508">
        <v>9.5000000000000001E-2</v>
      </c>
      <c r="P5285" s="508">
        <v>9.5000000000000001E-2</v>
      </c>
      <c r="Q5285" s="508">
        <v>9.5000000000000001E-2</v>
      </c>
      <c r="R5285" s="508">
        <v>9.5000000000000001E-2</v>
      </c>
      <c r="S5285" s="508">
        <v>9.5000000000000001E-2</v>
      </c>
      <c r="T5285" s="508">
        <v>9.5000000000000001E-2</v>
      </c>
      <c r="U5285" s="508">
        <v>9.5000000000000001E-2</v>
      </c>
      <c r="V5285" s="508">
        <v>9.5000000000000001E-2</v>
      </c>
      <c r="W5285" s="508">
        <v>9.5000000000000001E-2</v>
      </c>
      <c r="X5285" s="508">
        <v>9.5000000000000001E-2</v>
      </c>
      <c r="Y5285" s="508">
        <v>9.5000000000000001E-2</v>
      </c>
      <c r="Z5285" s="508">
        <v>9.5000000000000001E-2</v>
      </c>
      <c r="AA5285" s="508">
        <v>9.5000000000000001E-2</v>
      </c>
      <c r="AB5285" s="508">
        <v>9.5000000000000001E-2</v>
      </c>
      <c r="AC5285" s="508">
        <v>9.5000000000000001E-2</v>
      </c>
      <c r="AD5285" s="508">
        <v>9.5000000000000001E-2</v>
      </c>
      <c r="AE5285" s="508">
        <v>9.5000000000000001E-2</v>
      </c>
      <c r="AF5285" s="508">
        <v>9.5000000000000001E-2</v>
      </c>
      <c r="AG5285" s="508">
        <v>9.5000000000000001E-2</v>
      </c>
      <c r="AH5285" s="508">
        <v>9.5000000000000001E-2</v>
      </c>
      <c r="AI5285" s="492">
        <v>9.5000000000000001E-2</v>
      </c>
      <c r="AJ5285" s="485"/>
    </row>
    <row r="5286" spans="2:36">
      <c r="B5286" s="136" t="s">
        <v>445</v>
      </c>
      <c r="C5286" s="132" t="s">
        <v>1378</v>
      </c>
      <c r="D5286" s="132" t="s">
        <v>1379</v>
      </c>
      <c r="E5286" s="508">
        <v>0.11700000000000001</v>
      </c>
      <c r="F5286" s="508">
        <v>0.11700000000000001</v>
      </c>
      <c r="G5286" s="508">
        <v>0.11700000000000001</v>
      </c>
      <c r="H5286" s="508">
        <v>0.11700000000000001</v>
      </c>
      <c r="I5286" s="508">
        <v>0.11700000000000001</v>
      </c>
      <c r="J5286" s="508">
        <v>0.11700000000000001</v>
      </c>
      <c r="K5286" s="508">
        <v>0.11700000000000001</v>
      </c>
      <c r="L5286" s="508">
        <v>0.11700000000000001</v>
      </c>
      <c r="M5286" s="508">
        <v>0.11700000000000001</v>
      </c>
      <c r="N5286" s="508">
        <v>0.11700000000000001</v>
      </c>
      <c r="O5286" s="508">
        <v>0.11700000000000001</v>
      </c>
      <c r="P5286" s="508">
        <v>0.11700000000000001</v>
      </c>
      <c r="Q5286" s="508">
        <v>0.11700000000000001</v>
      </c>
      <c r="R5286" s="508">
        <v>0.11700000000000001</v>
      </c>
      <c r="S5286" s="508">
        <v>0.11700000000000001</v>
      </c>
      <c r="T5286" s="508">
        <v>0.11700000000000001</v>
      </c>
      <c r="U5286" s="508">
        <v>0.11700000000000001</v>
      </c>
      <c r="V5286" s="508">
        <v>0.11700000000000001</v>
      </c>
      <c r="W5286" s="508">
        <v>0.11700000000000001</v>
      </c>
      <c r="X5286" s="508">
        <v>0.11700000000000001</v>
      </c>
      <c r="Y5286" s="508">
        <v>0.11700000000000001</v>
      </c>
      <c r="Z5286" s="508">
        <v>0.11700000000000001</v>
      </c>
      <c r="AA5286" s="508">
        <v>0.11700000000000001</v>
      </c>
      <c r="AB5286" s="508">
        <v>0.11700000000000001</v>
      </c>
      <c r="AC5286" s="508">
        <v>0.11700000000000001</v>
      </c>
      <c r="AD5286" s="508">
        <v>0.11700000000000001</v>
      </c>
      <c r="AE5286" s="508">
        <v>0.11700000000000001</v>
      </c>
      <c r="AF5286" s="508">
        <v>0.11700000000000001</v>
      </c>
      <c r="AG5286" s="508">
        <v>0.11700000000000001</v>
      </c>
      <c r="AH5286" s="508">
        <v>0.11700000000000001</v>
      </c>
      <c r="AI5286" s="492">
        <v>0.11700000000000001</v>
      </c>
      <c r="AJ5286" s="485"/>
    </row>
    <row r="5287" spans="2:36">
      <c r="B5287" s="136" t="s">
        <v>446</v>
      </c>
      <c r="C5287" s="132" t="s">
        <v>1378</v>
      </c>
      <c r="D5287" s="132" t="s">
        <v>1379</v>
      </c>
      <c r="E5287" s="508">
        <v>0.10299999999999999</v>
      </c>
      <c r="F5287" s="508">
        <v>0.10299999999999999</v>
      </c>
      <c r="G5287" s="508">
        <v>0.10299999999999999</v>
      </c>
      <c r="H5287" s="508">
        <v>0.10299999999999999</v>
      </c>
      <c r="I5287" s="508">
        <v>0.10299999999999999</v>
      </c>
      <c r="J5287" s="508">
        <v>0.10299999999999999</v>
      </c>
      <c r="K5287" s="508">
        <v>0.10299999999999999</v>
      </c>
      <c r="L5287" s="508">
        <v>0.10299999999999999</v>
      </c>
      <c r="M5287" s="508">
        <v>0.10299999999999999</v>
      </c>
      <c r="N5287" s="508">
        <v>0.10299999999999999</v>
      </c>
      <c r="O5287" s="508">
        <v>0.10299999999999999</v>
      </c>
      <c r="P5287" s="508">
        <v>0.10299999999999999</v>
      </c>
      <c r="Q5287" s="508">
        <v>0.10299999999999999</v>
      </c>
      <c r="R5287" s="508">
        <v>0.10299999999999999</v>
      </c>
      <c r="S5287" s="508">
        <v>0.10299999999999999</v>
      </c>
      <c r="T5287" s="508">
        <v>0.10299999999999999</v>
      </c>
      <c r="U5287" s="508">
        <v>0.10299999999999999</v>
      </c>
      <c r="V5287" s="508">
        <v>0.10299999999999999</v>
      </c>
      <c r="W5287" s="508">
        <v>0.10299999999999999</v>
      </c>
      <c r="X5287" s="508">
        <v>0.10299999999999999</v>
      </c>
      <c r="Y5287" s="508">
        <v>0.10299999999999999</v>
      </c>
      <c r="Z5287" s="508">
        <v>0.10299999999999999</v>
      </c>
      <c r="AA5287" s="508">
        <v>0.10299999999999999</v>
      </c>
      <c r="AB5287" s="508">
        <v>0.10299999999999999</v>
      </c>
      <c r="AC5287" s="508">
        <v>0.10299999999999999</v>
      </c>
      <c r="AD5287" s="508">
        <v>0.10299999999999999</v>
      </c>
      <c r="AE5287" s="508">
        <v>0.10299999999999999</v>
      </c>
      <c r="AF5287" s="508">
        <v>0.10299999999999999</v>
      </c>
      <c r="AG5287" s="508">
        <v>0.10299999999999999</v>
      </c>
      <c r="AH5287" s="508">
        <v>0.10299999999999999</v>
      </c>
      <c r="AI5287" s="492">
        <v>0.10299999999999999</v>
      </c>
      <c r="AJ5287" s="485"/>
    </row>
    <row r="5288" spans="2:36">
      <c r="B5288" s="136" t="s">
        <v>448</v>
      </c>
      <c r="C5288" s="132" t="s">
        <v>1378</v>
      </c>
      <c r="D5288" s="132" t="s">
        <v>1379</v>
      </c>
      <c r="E5288" s="508">
        <v>0.115</v>
      </c>
      <c r="F5288" s="508">
        <v>0.114</v>
      </c>
      <c r="G5288" s="508">
        <v>0.109</v>
      </c>
      <c r="H5288" s="508">
        <v>0.113</v>
      </c>
      <c r="I5288" s="508">
        <v>9.7000000000000003E-2</v>
      </c>
      <c r="J5288" s="508">
        <v>0.112</v>
      </c>
      <c r="K5288" s="508">
        <v>0.10199999999999999</v>
      </c>
      <c r="L5288" s="508">
        <v>0.109</v>
      </c>
      <c r="M5288" s="508">
        <v>0.114</v>
      </c>
      <c r="N5288" s="508">
        <v>0.112</v>
      </c>
      <c r="O5288" s="508">
        <v>0.107</v>
      </c>
      <c r="P5288" s="508">
        <v>0.11700000000000001</v>
      </c>
      <c r="Q5288" s="508">
        <v>0.11799999999999999</v>
      </c>
      <c r="R5288" s="508">
        <v>0.11700000000000001</v>
      </c>
      <c r="S5288" s="508">
        <v>0.11600000000000001</v>
      </c>
      <c r="T5288" s="508">
        <v>0.109</v>
      </c>
      <c r="U5288" s="508">
        <v>0.12</v>
      </c>
      <c r="V5288" s="508">
        <v>0.121</v>
      </c>
      <c r="W5288" s="508">
        <v>0.122</v>
      </c>
      <c r="X5288" s="508">
        <v>0.121</v>
      </c>
      <c r="Y5288" s="508">
        <v>0.122</v>
      </c>
      <c r="Z5288" s="508">
        <v>0.122</v>
      </c>
      <c r="AA5288" s="508">
        <v>0.122</v>
      </c>
      <c r="AB5288" s="508">
        <v>0.121</v>
      </c>
      <c r="AC5288" s="508">
        <v>0.122</v>
      </c>
      <c r="AD5288" s="508">
        <v>0.122</v>
      </c>
      <c r="AE5288" s="508">
        <v>0.122</v>
      </c>
      <c r="AF5288" s="508">
        <v>0.122</v>
      </c>
      <c r="AG5288" s="508">
        <v>0.122</v>
      </c>
      <c r="AH5288" s="508">
        <v>0.122</v>
      </c>
      <c r="AI5288" s="492">
        <v>0.122</v>
      </c>
      <c r="AJ5288" s="485"/>
    </row>
    <row r="5289" spans="2:36">
      <c r="B5289" s="136" t="s">
        <v>449</v>
      </c>
      <c r="C5289" s="132" t="s">
        <v>1378</v>
      </c>
      <c r="D5289" s="132" t="s">
        <v>1379</v>
      </c>
      <c r="E5289" s="508">
        <v>9.7000000000000003E-2</v>
      </c>
      <c r="F5289" s="508">
        <v>9.7000000000000003E-2</v>
      </c>
      <c r="G5289" s="508">
        <v>9.7000000000000003E-2</v>
      </c>
      <c r="H5289" s="508">
        <v>9.7000000000000003E-2</v>
      </c>
      <c r="I5289" s="508">
        <v>9.7000000000000003E-2</v>
      </c>
      <c r="J5289" s="508">
        <v>9.7000000000000003E-2</v>
      </c>
      <c r="K5289" s="508">
        <v>9.7000000000000003E-2</v>
      </c>
      <c r="L5289" s="508">
        <v>9.7000000000000003E-2</v>
      </c>
      <c r="M5289" s="508">
        <v>9.7000000000000003E-2</v>
      </c>
      <c r="N5289" s="508">
        <v>9.7000000000000003E-2</v>
      </c>
      <c r="O5289" s="508">
        <v>9.7000000000000003E-2</v>
      </c>
      <c r="P5289" s="508">
        <v>9.7000000000000003E-2</v>
      </c>
      <c r="Q5289" s="508">
        <v>9.7000000000000003E-2</v>
      </c>
      <c r="R5289" s="508">
        <v>9.7000000000000003E-2</v>
      </c>
      <c r="S5289" s="508">
        <v>9.7000000000000003E-2</v>
      </c>
      <c r="T5289" s="508">
        <v>9.7000000000000003E-2</v>
      </c>
      <c r="U5289" s="508">
        <v>9.7000000000000003E-2</v>
      </c>
      <c r="V5289" s="508">
        <v>9.7000000000000003E-2</v>
      </c>
      <c r="W5289" s="508">
        <v>9.7000000000000003E-2</v>
      </c>
      <c r="X5289" s="508">
        <v>9.7000000000000003E-2</v>
      </c>
      <c r="Y5289" s="508">
        <v>9.7000000000000003E-2</v>
      </c>
      <c r="Z5289" s="508">
        <v>9.7000000000000003E-2</v>
      </c>
      <c r="AA5289" s="508">
        <v>9.7000000000000003E-2</v>
      </c>
      <c r="AB5289" s="508">
        <v>9.7000000000000003E-2</v>
      </c>
      <c r="AC5289" s="508">
        <v>9.7000000000000003E-2</v>
      </c>
      <c r="AD5289" s="508">
        <v>9.7000000000000003E-2</v>
      </c>
      <c r="AE5289" s="508">
        <v>9.7000000000000003E-2</v>
      </c>
      <c r="AF5289" s="508">
        <v>9.7000000000000003E-2</v>
      </c>
      <c r="AG5289" s="508">
        <v>9.7000000000000003E-2</v>
      </c>
      <c r="AH5289" s="508">
        <v>9.7000000000000003E-2</v>
      </c>
      <c r="AI5289" s="492">
        <v>9.7000000000000003E-2</v>
      </c>
      <c r="AJ5289" s="485"/>
    </row>
    <row r="5290" spans="2:36">
      <c r="B5290" s="136" t="s">
        <v>450</v>
      </c>
      <c r="C5290" s="132" t="s">
        <v>1378</v>
      </c>
      <c r="D5290" s="132" t="s">
        <v>1379</v>
      </c>
      <c r="E5290" s="508">
        <v>0.108</v>
      </c>
      <c r="F5290" s="508">
        <v>0.108</v>
      </c>
      <c r="G5290" s="508">
        <v>0.108</v>
      </c>
      <c r="H5290" s="508">
        <v>0.108</v>
      </c>
      <c r="I5290" s="508">
        <v>0.108</v>
      </c>
      <c r="J5290" s="508">
        <v>0.108</v>
      </c>
      <c r="K5290" s="508">
        <v>0.108</v>
      </c>
      <c r="L5290" s="508">
        <v>0.108</v>
      </c>
      <c r="M5290" s="508">
        <v>0.108</v>
      </c>
      <c r="N5290" s="508">
        <v>0.108</v>
      </c>
      <c r="O5290" s="508">
        <v>0.108</v>
      </c>
      <c r="P5290" s="508">
        <v>0.108</v>
      </c>
      <c r="Q5290" s="508">
        <v>0.108</v>
      </c>
      <c r="R5290" s="508">
        <v>0.108</v>
      </c>
      <c r="S5290" s="508">
        <v>0.108</v>
      </c>
      <c r="T5290" s="508">
        <v>0.108</v>
      </c>
      <c r="U5290" s="508">
        <v>0.108</v>
      </c>
      <c r="V5290" s="508">
        <v>0.108</v>
      </c>
      <c r="W5290" s="508">
        <v>0.108</v>
      </c>
      <c r="X5290" s="508">
        <v>0.108</v>
      </c>
      <c r="Y5290" s="508">
        <v>0.108</v>
      </c>
      <c r="Z5290" s="508">
        <v>0.108</v>
      </c>
      <c r="AA5290" s="508">
        <v>0.108</v>
      </c>
      <c r="AB5290" s="508">
        <v>0.108</v>
      </c>
      <c r="AC5290" s="508">
        <v>0.108</v>
      </c>
      <c r="AD5290" s="508">
        <v>0.108</v>
      </c>
      <c r="AE5290" s="508">
        <v>0.108</v>
      </c>
      <c r="AF5290" s="508">
        <v>0.108</v>
      </c>
      <c r="AG5290" s="508">
        <v>0.108</v>
      </c>
      <c r="AH5290" s="508">
        <v>0.108</v>
      </c>
      <c r="AI5290" s="492">
        <v>0.108</v>
      </c>
      <c r="AJ5290" s="485"/>
    </row>
    <row r="5291" spans="2:36">
      <c r="B5291" s="136" t="s">
        <v>451</v>
      </c>
      <c r="C5291" s="132" t="s">
        <v>1378</v>
      </c>
      <c r="D5291" s="132" t="s">
        <v>1379</v>
      </c>
      <c r="E5291" s="508">
        <v>0.105</v>
      </c>
      <c r="F5291" s="508">
        <v>0.105</v>
      </c>
      <c r="G5291" s="508">
        <v>0.105</v>
      </c>
      <c r="H5291" s="508">
        <v>0.105</v>
      </c>
      <c r="I5291" s="508">
        <v>0.105</v>
      </c>
      <c r="J5291" s="508">
        <v>0.105</v>
      </c>
      <c r="K5291" s="508">
        <v>0.105</v>
      </c>
      <c r="L5291" s="508">
        <v>0.105</v>
      </c>
      <c r="M5291" s="508">
        <v>0.105</v>
      </c>
      <c r="N5291" s="508">
        <v>0.105</v>
      </c>
      <c r="O5291" s="508">
        <v>0.105</v>
      </c>
      <c r="P5291" s="508">
        <v>0.105</v>
      </c>
      <c r="Q5291" s="508">
        <v>0.105</v>
      </c>
      <c r="R5291" s="508">
        <v>0.105</v>
      </c>
      <c r="S5291" s="508">
        <v>0.105</v>
      </c>
      <c r="T5291" s="508">
        <v>0.105</v>
      </c>
      <c r="U5291" s="508">
        <v>0.105</v>
      </c>
      <c r="V5291" s="508">
        <v>0.105</v>
      </c>
      <c r="W5291" s="508">
        <v>0.105</v>
      </c>
      <c r="X5291" s="508">
        <v>0.105</v>
      </c>
      <c r="Y5291" s="508">
        <v>0.105</v>
      </c>
      <c r="Z5291" s="508">
        <v>0.105</v>
      </c>
      <c r="AA5291" s="508">
        <v>0.105</v>
      </c>
      <c r="AB5291" s="508">
        <v>0.105</v>
      </c>
      <c r="AC5291" s="508">
        <v>0.105</v>
      </c>
      <c r="AD5291" s="508">
        <v>0.105</v>
      </c>
      <c r="AE5291" s="508">
        <v>0.105</v>
      </c>
      <c r="AF5291" s="508">
        <v>0.105</v>
      </c>
      <c r="AG5291" s="508">
        <v>0.105</v>
      </c>
      <c r="AH5291" s="508">
        <v>0.105</v>
      </c>
      <c r="AI5291" s="492">
        <v>0.105</v>
      </c>
      <c r="AJ5291" s="485"/>
    </row>
    <row r="5292" spans="2:36">
      <c r="B5292" s="136" t="s">
        <v>452</v>
      </c>
      <c r="C5292" s="132" t="s">
        <v>1378</v>
      </c>
      <c r="D5292" s="132" t="s">
        <v>1379</v>
      </c>
      <c r="E5292" s="508">
        <v>0.09</v>
      </c>
      <c r="F5292" s="508">
        <v>0.09</v>
      </c>
      <c r="G5292" s="508">
        <v>0.09</v>
      </c>
      <c r="H5292" s="508">
        <v>0.09</v>
      </c>
      <c r="I5292" s="508">
        <v>0.09</v>
      </c>
      <c r="J5292" s="508">
        <v>0.09</v>
      </c>
      <c r="K5292" s="508">
        <v>0.09</v>
      </c>
      <c r="L5292" s="508">
        <v>0.09</v>
      </c>
      <c r="M5292" s="508">
        <v>0.09</v>
      </c>
      <c r="N5292" s="508">
        <v>0.09</v>
      </c>
      <c r="O5292" s="508">
        <v>0.09</v>
      </c>
      <c r="P5292" s="508">
        <v>0.09</v>
      </c>
      <c r="Q5292" s="508">
        <v>0.09</v>
      </c>
      <c r="R5292" s="508">
        <v>0.09</v>
      </c>
      <c r="S5292" s="508">
        <v>0.09</v>
      </c>
      <c r="T5292" s="508">
        <v>0.09</v>
      </c>
      <c r="U5292" s="508">
        <v>0.09</v>
      </c>
      <c r="V5292" s="508">
        <v>0.09</v>
      </c>
      <c r="W5292" s="508">
        <v>0.09</v>
      </c>
      <c r="X5292" s="508">
        <v>0.09</v>
      </c>
      <c r="Y5292" s="508">
        <v>0.09</v>
      </c>
      <c r="Z5292" s="508">
        <v>0.09</v>
      </c>
      <c r="AA5292" s="508">
        <v>0.09</v>
      </c>
      <c r="AB5292" s="508">
        <v>0.09</v>
      </c>
      <c r="AC5292" s="508">
        <v>0.09</v>
      </c>
      <c r="AD5292" s="508">
        <v>0.09</v>
      </c>
      <c r="AE5292" s="508">
        <v>0.09</v>
      </c>
      <c r="AF5292" s="508">
        <v>0.09</v>
      </c>
      <c r="AG5292" s="508">
        <v>0.09</v>
      </c>
      <c r="AH5292" s="508">
        <v>0.09</v>
      </c>
      <c r="AI5292" s="492">
        <v>0.09</v>
      </c>
      <c r="AJ5292" s="485"/>
    </row>
    <row r="5293" spans="2:36">
      <c r="B5293" s="136" t="s">
        <v>453</v>
      </c>
      <c r="C5293" s="132" t="s">
        <v>1378</v>
      </c>
      <c r="D5293" s="132" t="s">
        <v>1379</v>
      </c>
      <c r="E5293" s="508">
        <v>7.4999999999999997E-2</v>
      </c>
      <c r="F5293" s="508">
        <v>7.4999999999999997E-2</v>
      </c>
      <c r="G5293" s="508">
        <v>7.4999999999999997E-2</v>
      </c>
      <c r="H5293" s="508">
        <v>7.4999999999999997E-2</v>
      </c>
      <c r="I5293" s="508">
        <v>7.4999999999999997E-2</v>
      </c>
      <c r="J5293" s="508">
        <v>7.4999999999999997E-2</v>
      </c>
      <c r="K5293" s="508">
        <v>7.4999999999999997E-2</v>
      </c>
      <c r="L5293" s="508">
        <v>7.4999999999999997E-2</v>
      </c>
      <c r="M5293" s="508">
        <v>7.4999999999999997E-2</v>
      </c>
      <c r="N5293" s="508">
        <v>7.4999999999999997E-2</v>
      </c>
      <c r="O5293" s="508">
        <v>7.4999999999999997E-2</v>
      </c>
      <c r="P5293" s="508">
        <v>7.4999999999999997E-2</v>
      </c>
      <c r="Q5293" s="508">
        <v>7.4999999999999997E-2</v>
      </c>
      <c r="R5293" s="508">
        <v>7.4999999999999997E-2</v>
      </c>
      <c r="S5293" s="508">
        <v>7.4999999999999997E-2</v>
      </c>
      <c r="T5293" s="508">
        <v>7.4999999999999997E-2</v>
      </c>
      <c r="U5293" s="508">
        <v>7.4999999999999997E-2</v>
      </c>
      <c r="V5293" s="508">
        <v>7.4999999999999997E-2</v>
      </c>
      <c r="W5293" s="508">
        <v>7.4999999999999997E-2</v>
      </c>
      <c r="X5293" s="508">
        <v>7.4999999999999997E-2</v>
      </c>
      <c r="Y5293" s="508">
        <v>7.4999999999999997E-2</v>
      </c>
      <c r="Z5293" s="508">
        <v>7.4999999999999997E-2</v>
      </c>
      <c r="AA5293" s="508">
        <v>7.4999999999999997E-2</v>
      </c>
      <c r="AB5293" s="508">
        <v>7.4999999999999997E-2</v>
      </c>
      <c r="AC5293" s="508">
        <v>7.4999999999999997E-2</v>
      </c>
      <c r="AD5293" s="508">
        <v>7.4999999999999997E-2</v>
      </c>
      <c r="AE5293" s="508">
        <v>7.4999999999999997E-2</v>
      </c>
      <c r="AF5293" s="508">
        <v>7.4999999999999997E-2</v>
      </c>
      <c r="AG5293" s="508">
        <v>7.4999999999999997E-2</v>
      </c>
      <c r="AH5293" s="508">
        <v>7.4999999999999997E-2</v>
      </c>
      <c r="AI5293" s="492">
        <v>7.4999999999999997E-2</v>
      </c>
      <c r="AJ5293" s="485"/>
    </row>
    <row r="5294" spans="2:36">
      <c r="B5294" s="136" t="s">
        <v>454</v>
      </c>
      <c r="C5294" s="132" t="s">
        <v>1378</v>
      </c>
      <c r="D5294" s="132" t="s">
        <v>1379</v>
      </c>
      <c r="E5294" s="508">
        <v>7.8E-2</v>
      </c>
      <c r="F5294" s="508">
        <v>7.8E-2</v>
      </c>
      <c r="G5294" s="508">
        <v>7.8E-2</v>
      </c>
      <c r="H5294" s="508">
        <v>7.8E-2</v>
      </c>
      <c r="I5294" s="508">
        <v>7.8E-2</v>
      </c>
      <c r="J5294" s="508">
        <v>7.8E-2</v>
      </c>
      <c r="K5294" s="508">
        <v>7.8E-2</v>
      </c>
      <c r="L5294" s="508">
        <v>7.8E-2</v>
      </c>
      <c r="M5294" s="508">
        <v>7.8E-2</v>
      </c>
      <c r="N5294" s="508">
        <v>7.8E-2</v>
      </c>
      <c r="O5294" s="508">
        <v>7.8E-2</v>
      </c>
      <c r="P5294" s="508">
        <v>7.8E-2</v>
      </c>
      <c r="Q5294" s="508">
        <v>7.8E-2</v>
      </c>
      <c r="R5294" s="508">
        <v>7.8E-2</v>
      </c>
      <c r="S5294" s="508">
        <v>7.8E-2</v>
      </c>
      <c r="T5294" s="508">
        <v>7.8E-2</v>
      </c>
      <c r="U5294" s="508">
        <v>7.8E-2</v>
      </c>
      <c r="V5294" s="508">
        <v>7.8E-2</v>
      </c>
      <c r="W5294" s="508">
        <v>7.8E-2</v>
      </c>
      <c r="X5294" s="508">
        <v>7.8E-2</v>
      </c>
      <c r="Y5294" s="508">
        <v>7.8E-2</v>
      </c>
      <c r="Z5294" s="508">
        <v>7.8E-2</v>
      </c>
      <c r="AA5294" s="508">
        <v>7.8E-2</v>
      </c>
      <c r="AB5294" s="508">
        <v>7.8E-2</v>
      </c>
      <c r="AC5294" s="508">
        <v>7.8E-2</v>
      </c>
      <c r="AD5294" s="508">
        <v>7.8E-2</v>
      </c>
      <c r="AE5294" s="508">
        <v>7.8E-2</v>
      </c>
      <c r="AF5294" s="508">
        <v>7.8E-2</v>
      </c>
      <c r="AG5294" s="508">
        <v>7.8E-2</v>
      </c>
      <c r="AH5294" s="508">
        <v>7.8E-2</v>
      </c>
      <c r="AI5294" s="492">
        <v>7.8E-2</v>
      </c>
      <c r="AJ5294" s="485"/>
    </row>
    <row r="5295" spans="2:36">
      <c r="B5295" s="136" t="s">
        <v>455</v>
      </c>
      <c r="C5295" s="132" t="s">
        <v>1378</v>
      </c>
      <c r="D5295" s="132" t="s">
        <v>1379</v>
      </c>
      <c r="E5295" s="508">
        <v>7.1999999999999995E-2</v>
      </c>
      <c r="F5295" s="508">
        <v>7.1999999999999995E-2</v>
      </c>
      <c r="G5295" s="508">
        <v>7.1999999999999995E-2</v>
      </c>
      <c r="H5295" s="508">
        <v>7.1999999999999995E-2</v>
      </c>
      <c r="I5295" s="508">
        <v>7.1999999999999995E-2</v>
      </c>
      <c r="J5295" s="508">
        <v>7.1999999999999995E-2</v>
      </c>
      <c r="K5295" s="508">
        <v>7.1999999999999995E-2</v>
      </c>
      <c r="L5295" s="508">
        <v>7.1999999999999995E-2</v>
      </c>
      <c r="M5295" s="508">
        <v>7.1999999999999995E-2</v>
      </c>
      <c r="N5295" s="508">
        <v>7.1999999999999995E-2</v>
      </c>
      <c r="O5295" s="508">
        <v>7.1999999999999995E-2</v>
      </c>
      <c r="P5295" s="508">
        <v>7.1999999999999995E-2</v>
      </c>
      <c r="Q5295" s="508">
        <v>7.1999999999999995E-2</v>
      </c>
      <c r="R5295" s="508">
        <v>7.1999999999999995E-2</v>
      </c>
      <c r="S5295" s="508">
        <v>7.1999999999999995E-2</v>
      </c>
      <c r="T5295" s="508">
        <v>7.1999999999999995E-2</v>
      </c>
      <c r="U5295" s="508">
        <v>7.1999999999999995E-2</v>
      </c>
      <c r="V5295" s="508">
        <v>7.1999999999999995E-2</v>
      </c>
      <c r="W5295" s="508">
        <v>7.1999999999999995E-2</v>
      </c>
      <c r="X5295" s="508">
        <v>7.1999999999999995E-2</v>
      </c>
      <c r="Y5295" s="508">
        <v>7.1999999999999995E-2</v>
      </c>
      <c r="Z5295" s="508">
        <v>7.1999999999999995E-2</v>
      </c>
      <c r="AA5295" s="508">
        <v>7.1999999999999995E-2</v>
      </c>
      <c r="AB5295" s="508">
        <v>7.1999999999999995E-2</v>
      </c>
      <c r="AC5295" s="508">
        <v>7.1999999999999995E-2</v>
      </c>
      <c r="AD5295" s="508">
        <v>7.1999999999999995E-2</v>
      </c>
      <c r="AE5295" s="508">
        <v>7.1999999999999995E-2</v>
      </c>
      <c r="AF5295" s="508">
        <v>7.1999999999999995E-2</v>
      </c>
      <c r="AG5295" s="508">
        <v>7.1999999999999995E-2</v>
      </c>
      <c r="AH5295" s="508">
        <v>7.1999999999999995E-2</v>
      </c>
      <c r="AI5295" s="492">
        <v>7.1999999999999995E-2</v>
      </c>
      <c r="AJ5295" s="485"/>
    </row>
    <row r="5296" spans="2:36">
      <c r="B5296" s="136" t="s">
        <v>456</v>
      </c>
      <c r="C5296" s="132" t="s">
        <v>1378</v>
      </c>
      <c r="D5296" s="132" t="s">
        <v>1379</v>
      </c>
      <c r="E5296" s="508">
        <v>8.2000000000000003E-2</v>
      </c>
      <c r="F5296" s="508">
        <v>8.2000000000000003E-2</v>
      </c>
      <c r="G5296" s="508">
        <v>8.2000000000000003E-2</v>
      </c>
      <c r="H5296" s="508">
        <v>8.2000000000000003E-2</v>
      </c>
      <c r="I5296" s="508">
        <v>8.2000000000000003E-2</v>
      </c>
      <c r="J5296" s="508">
        <v>8.2000000000000003E-2</v>
      </c>
      <c r="K5296" s="508">
        <v>8.2000000000000003E-2</v>
      </c>
      <c r="L5296" s="508">
        <v>8.2000000000000003E-2</v>
      </c>
      <c r="M5296" s="508">
        <v>8.2000000000000003E-2</v>
      </c>
      <c r="N5296" s="508">
        <v>8.2000000000000003E-2</v>
      </c>
      <c r="O5296" s="508">
        <v>8.2000000000000003E-2</v>
      </c>
      <c r="P5296" s="508">
        <v>8.2000000000000003E-2</v>
      </c>
      <c r="Q5296" s="508">
        <v>8.2000000000000003E-2</v>
      </c>
      <c r="R5296" s="508">
        <v>8.2000000000000003E-2</v>
      </c>
      <c r="S5296" s="508">
        <v>8.2000000000000003E-2</v>
      </c>
      <c r="T5296" s="508">
        <v>8.2000000000000003E-2</v>
      </c>
      <c r="U5296" s="508">
        <v>8.2000000000000003E-2</v>
      </c>
      <c r="V5296" s="508">
        <v>8.2000000000000003E-2</v>
      </c>
      <c r="W5296" s="508">
        <v>8.2000000000000003E-2</v>
      </c>
      <c r="X5296" s="508">
        <v>8.2000000000000003E-2</v>
      </c>
      <c r="Y5296" s="508">
        <v>8.2000000000000003E-2</v>
      </c>
      <c r="Z5296" s="508">
        <v>8.2000000000000003E-2</v>
      </c>
      <c r="AA5296" s="508">
        <v>8.2000000000000003E-2</v>
      </c>
      <c r="AB5296" s="508">
        <v>8.2000000000000003E-2</v>
      </c>
      <c r="AC5296" s="508">
        <v>8.2000000000000003E-2</v>
      </c>
      <c r="AD5296" s="508">
        <v>8.2000000000000003E-2</v>
      </c>
      <c r="AE5296" s="508">
        <v>8.2000000000000003E-2</v>
      </c>
      <c r="AF5296" s="508">
        <v>8.2000000000000003E-2</v>
      </c>
      <c r="AG5296" s="508">
        <v>8.2000000000000003E-2</v>
      </c>
      <c r="AH5296" s="508">
        <v>8.2000000000000003E-2</v>
      </c>
      <c r="AI5296" s="492">
        <v>8.2000000000000003E-2</v>
      </c>
      <c r="AJ5296" s="485"/>
    </row>
    <row r="5297" spans="2:36">
      <c r="B5297" s="136" t="s">
        <v>457</v>
      </c>
      <c r="C5297" s="132" t="s">
        <v>1378</v>
      </c>
      <c r="D5297" s="132" t="s">
        <v>1379</v>
      </c>
      <c r="E5297" s="508">
        <v>6.8000000000000005E-2</v>
      </c>
      <c r="F5297" s="508">
        <v>6.8000000000000005E-2</v>
      </c>
      <c r="G5297" s="508">
        <v>6.8000000000000005E-2</v>
      </c>
      <c r="H5297" s="508">
        <v>6.8000000000000005E-2</v>
      </c>
      <c r="I5297" s="508">
        <v>6.8000000000000005E-2</v>
      </c>
      <c r="J5297" s="508">
        <v>6.8000000000000005E-2</v>
      </c>
      <c r="K5297" s="508">
        <v>6.8000000000000005E-2</v>
      </c>
      <c r="L5297" s="508">
        <v>6.8000000000000005E-2</v>
      </c>
      <c r="M5297" s="508">
        <v>6.8000000000000005E-2</v>
      </c>
      <c r="N5297" s="508">
        <v>6.8000000000000005E-2</v>
      </c>
      <c r="O5297" s="508">
        <v>6.8000000000000005E-2</v>
      </c>
      <c r="P5297" s="508">
        <v>6.8000000000000005E-2</v>
      </c>
      <c r="Q5297" s="508">
        <v>6.8000000000000005E-2</v>
      </c>
      <c r="R5297" s="508">
        <v>6.8000000000000005E-2</v>
      </c>
      <c r="S5297" s="508">
        <v>6.8000000000000005E-2</v>
      </c>
      <c r="T5297" s="508">
        <v>6.8000000000000005E-2</v>
      </c>
      <c r="U5297" s="508">
        <v>6.8000000000000005E-2</v>
      </c>
      <c r="V5297" s="508">
        <v>6.8000000000000005E-2</v>
      </c>
      <c r="W5297" s="508">
        <v>6.8000000000000005E-2</v>
      </c>
      <c r="X5297" s="508">
        <v>6.8000000000000005E-2</v>
      </c>
      <c r="Y5297" s="508">
        <v>6.8000000000000005E-2</v>
      </c>
      <c r="Z5297" s="508">
        <v>6.8000000000000005E-2</v>
      </c>
      <c r="AA5297" s="508">
        <v>6.8000000000000005E-2</v>
      </c>
      <c r="AB5297" s="508">
        <v>6.8000000000000005E-2</v>
      </c>
      <c r="AC5297" s="508">
        <v>6.8000000000000005E-2</v>
      </c>
      <c r="AD5297" s="508">
        <v>6.8000000000000005E-2</v>
      </c>
      <c r="AE5297" s="508">
        <v>6.8000000000000005E-2</v>
      </c>
      <c r="AF5297" s="508">
        <v>6.8000000000000005E-2</v>
      </c>
      <c r="AG5297" s="508">
        <v>6.8000000000000005E-2</v>
      </c>
      <c r="AH5297" s="508">
        <v>6.8000000000000005E-2</v>
      </c>
      <c r="AI5297" s="492">
        <v>6.8000000000000005E-2</v>
      </c>
      <c r="AJ5297" s="485"/>
    </row>
    <row r="5298" spans="2:36">
      <c r="B5298" s="136" t="s">
        <v>458</v>
      </c>
      <c r="C5298" s="132" t="s">
        <v>1378</v>
      </c>
      <c r="D5298" s="132" t="s">
        <v>1379</v>
      </c>
      <c r="E5298" s="508">
        <v>8.3000000000000004E-2</v>
      </c>
      <c r="F5298" s="508">
        <v>8.3000000000000004E-2</v>
      </c>
      <c r="G5298" s="508">
        <v>8.3000000000000004E-2</v>
      </c>
      <c r="H5298" s="508">
        <v>8.3000000000000004E-2</v>
      </c>
      <c r="I5298" s="508">
        <v>8.3000000000000004E-2</v>
      </c>
      <c r="J5298" s="508">
        <v>8.3000000000000004E-2</v>
      </c>
      <c r="K5298" s="508">
        <v>8.3000000000000004E-2</v>
      </c>
      <c r="L5298" s="508">
        <v>8.3000000000000004E-2</v>
      </c>
      <c r="M5298" s="508">
        <v>8.3000000000000004E-2</v>
      </c>
      <c r="N5298" s="508">
        <v>8.3000000000000004E-2</v>
      </c>
      <c r="O5298" s="508">
        <v>8.3000000000000004E-2</v>
      </c>
      <c r="P5298" s="508">
        <v>8.3000000000000004E-2</v>
      </c>
      <c r="Q5298" s="508">
        <v>8.3000000000000004E-2</v>
      </c>
      <c r="R5298" s="508">
        <v>8.3000000000000004E-2</v>
      </c>
      <c r="S5298" s="508">
        <v>8.3000000000000004E-2</v>
      </c>
      <c r="T5298" s="508">
        <v>8.3000000000000004E-2</v>
      </c>
      <c r="U5298" s="508">
        <v>8.3000000000000004E-2</v>
      </c>
      <c r="V5298" s="508">
        <v>8.3000000000000004E-2</v>
      </c>
      <c r="W5298" s="508">
        <v>8.3000000000000004E-2</v>
      </c>
      <c r="X5298" s="508">
        <v>8.3000000000000004E-2</v>
      </c>
      <c r="Y5298" s="508">
        <v>8.3000000000000004E-2</v>
      </c>
      <c r="Z5298" s="508">
        <v>8.3000000000000004E-2</v>
      </c>
      <c r="AA5298" s="508">
        <v>8.3000000000000004E-2</v>
      </c>
      <c r="AB5298" s="508">
        <v>8.3000000000000004E-2</v>
      </c>
      <c r="AC5298" s="508">
        <v>8.3000000000000004E-2</v>
      </c>
      <c r="AD5298" s="508">
        <v>8.3000000000000004E-2</v>
      </c>
      <c r="AE5298" s="508">
        <v>8.3000000000000004E-2</v>
      </c>
      <c r="AF5298" s="508">
        <v>8.3000000000000004E-2</v>
      </c>
      <c r="AG5298" s="508">
        <v>8.3000000000000004E-2</v>
      </c>
      <c r="AH5298" s="508">
        <v>8.3000000000000004E-2</v>
      </c>
      <c r="AI5298" s="492">
        <v>8.3000000000000004E-2</v>
      </c>
      <c r="AJ5298" s="485"/>
    </row>
    <row r="5299" spans="2:36">
      <c r="B5299" s="136" t="s">
        <v>459</v>
      </c>
      <c r="C5299" s="132" t="s">
        <v>1378</v>
      </c>
      <c r="D5299" s="132" t="s">
        <v>1379</v>
      </c>
      <c r="E5299" s="508">
        <v>8.3000000000000004E-2</v>
      </c>
      <c r="F5299" s="508">
        <v>8.3000000000000004E-2</v>
      </c>
      <c r="G5299" s="508">
        <v>8.3000000000000004E-2</v>
      </c>
      <c r="H5299" s="508">
        <v>8.3000000000000004E-2</v>
      </c>
      <c r="I5299" s="508">
        <v>8.3000000000000004E-2</v>
      </c>
      <c r="J5299" s="508">
        <v>8.3000000000000004E-2</v>
      </c>
      <c r="K5299" s="508">
        <v>8.3000000000000004E-2</v>
      </c>
      <c r="L5299" s="508">
        <v>8.3000000000000004E-2</v>
      </c>
      <c r="M5299" s="508">
        <v>8.3000000000000004E-2</v>
      </c>
      <c r="N5299" s="508">
        <v>8.3000000000000004E-2</v>
      </c>
      <c r="O5299" s="508">
        <v>8.3000000000000004E-2</v>
      </c>
      <c r="P5299" s="508">
        <v>8.3000000000000004E-2</v>
      </c>
      <c r="Q5299" s="508">
        <v>8.3000000000000004E-2</v>
      </c>
      <c r="R5299" s="508">
        <v>8.3000000000000004E-2</v>
      </c>
      <c r="S5299" s="508">
        <v>8.3000000000000004E-2</v>
      </c>
      <c r="T5299" s="508">
        <v>8.3000000000000004E-2</v>
      </c>
      <c r="U5299" s="508">
        <v>8.3000000000000004E-2</v>
      </c>
      <c r="V5299" s="508">
        <v>8.3000000000000004E-2</v>
      </c>
      <c r="W5299" s="508">
        <v>8.3000000000000004E-2</v>
      </c>
      <c r="X5299" s="508">
        <v>8.3000000000000004E-2</v>
      </c>
      <c r="Y5299" s="508">
        <v>8.3000000000000004E-2</v>
      </c>
      <c r="Z5299" s="508">
        <v>8.3000000000000004E-2</v>
      </c>
      <c r="AA5299" s="508">
        <v>8.3000000000000004E-2</v>
      </c>
      <c r="AB5299" s="508">
        <v>8.3000000000000004E-2</v>
      </c>
      <c r="AC5299" s="508">
        <v>8.3000000000000004E-2</v>
      </c>
      <c r="AD5299" s="508">
        <v>8.3000000000000004E-2</v>
      </c>
      <c r="AE5299" s="508">
        <v>8.3000000000000004E-2</v>
      </c>
      <c r="AF5299" s="508">
        <v>8.3000000000000004E-2</v>
      </c>
      <c r="AG5299" s="508">
        <v>8.3000000000000004E-2</v>
      </c>
      <c r="AH5299" s="508">
        <v>8.3000000000000004E-2</v>
      </c>
      <c r="AI5299" s="492">
        <v>8.3000000000000004E-2</v>
      </c>
      <c r="AJ5299" s="485"/>
    </row>
    <row r="5300" spans="2:36">
      <c r="B5300" s="136" t="s">
        <v>460</v>
      </c>
      <c r="C5300" s="132" t="s">
        <v>1378</v>
      </c>
      <c r="D5300" s="132" t="s">
        <v>1379</v>
      </c>
      <c r="E5300" s="508">
        <v>8.5000000000000006E-2</v>
      </c>
      <c r="F5300" s="508">
        <v>8.5000000000000006E-2</v>
      </c>
      <c r="G5300" s="508">
        <v>8.5000000000000006E-2</v>
      </c>
      <c r="H5300" s="508">
        <v>8.5000000000000006E-2</v>
      </c>
      <c r="I5300" s="508">
        <v>8.5000000000000006E-2</v>
      </c>
      <c r="J5300" s="508">
        <v>8.5000000000000006E-2</v>
      </c>
      <c r="K5300" s="508">
        <v>8.5000000000000006E-2</v>
      </c>
      <c r="L5300" s="508">
        <v>8.5000000000000006E-2</v>
      </c>
      <c r="M5300" s="508">
        <v>8.5000000000000006E-2</v>
      </c>
      <c r="N5300" s="508">
        <v>8.5000000000000006E-2</v>
      </c>
      <c r="O5300" s="508">
        <v>8.5000000000000006E-2</v>
      </c>
      <c r="P5300" s="508">
        <v>8.5000000000000006E-2</v>
      </c>
      <c r="Q5300" s="508">
        <v>8.5000000000000006E-2</v>
      </c>
      <c r="R5300" s="508">
        <v>8.5000000000000006E-2</v>
      </c>
      <c r="S5300" s="508">
        <v>8.5000000000000006E-2</v>
      </c>
      <c r="T5300" s="508">
        <v>8.5000000000000006E-2</v>
      </c>
      <c r="U5300" s="508">
        <v>8.5000000000000006E-2</v>
      </c>
      <c r="V5300" s="508">
        <v>8.5000000000000006E-2</v>
      </c>
      <c r="W5300" s="508">
        <v>8.5000000000000006E-2</v>
      </c>
      <c r="X5300" s="508">
        <v>8.5000000000000006E-2</v>
      </c>
      <c r="Y5300" s="508">
        <v>8.5000000000000006E-2</v>
      </c>
      <c r="Z5300" s="508">
        <v>8.5000000000000006E-2</v>
      </c>
      <c r="AA5300" s="508">
        <v>8.5000000000000006E-2</v>
      </c>
      <c r="AB5300" s="508">
        <v>8.5000000000000006E-2</v>
      </c>
      <c r="AC5300" s="508">
        <v>8.5000000000000006E-2</v>
      </c>
      <c r="AD5300" s="508">
        <v>8.5000000000000006E-2</v>
      </c>
      <c r="AE5300" s="508">
        <v>8.5000000000000006E-2</v>
      </c>
      <c r="AF5300" s="508">
        <v>8.5000000000000006E-2</v>
      </c>
      <c r="AG5300" s="508">
        <v>8.5000000000000006E-2</v>
      </c>
      <c r="AH5300" s="508">
        <v>8.5000000000000006E-2</v>
      </c>
      <c r="AI5300" s="492">
        <v>8.5000000000000006E-2</v>
      </c>
      <c r="AJ5300" s="485"/>
    </row>
    <row r="5301" spans="2:36">
      <c r="B5301" s="136" t="s">
        <v>461</v>
      </c>
      <c r="C5301" s="132" t="s">
        <v>1378</v>
      </c>
      <c r="D5301" s="132" t="s">
        <v>1379</v>
      </c>
      <c r="E5301" s="508">
        <v>8.1000000000000003E-2</v>
      </c>
      <c r="F5301" s="508">
        <v>8.1000000000000003E-2</v>
      </c>
      <c r="G5301" s="508">
        <v>8.1000000000000003E-2</v>
      </c>
      <c r="H5301" s="508">
        <v>8.1000000000000003E-2</v>
      </c>
      <c r="I5301" s="508">
        <v>8.1000000000000003E-2</v>
      </c>
      <c r="J5301" s="508">
        <v>8.1000000000000003E-2</v>
      </c>
      <c r="K5301" s="508">
        <v>8.1000000000000003E-2</v>
      </c>
      <c r="L5301" s="508">
        <v>8.1000000000000003E-2</v>
      </c>
      <c r="M5301" s="508">
        <v>8.1000000000000003E-2</v>
      </c>
      <c r="N5301" s="508">
        <v>8.1000000000000003E-2</v>
      </c>
      <c r="O5301" s="508">
        <v>8.1000000000000003E-2</v>
      </c>
      <c r="P5301" s="508">
        <v>8.1000000000000003E-2</v>
      </c>
      <c r="Q5301" s="508">
        <v>8.1000000000000003E-2</v>
      </c>
      <c r="R5301" s="508">
        <v>8.1000000000000003E-2</v>
      </c>
      <c r="S5301" s="508">
        <v>8.1000000000000003E-2</v>
      </c>
      <c r="T5301" s="508">
        <v>8.1000000000000003E-2</v>
      </c>
      <c r="U5301" s="508">
        <v>8.1000000000000003E-2</v>
      </c>
      <c r="V5301" s="508">
        <v>8.1000000000000003E-2</v>
      </c>
      <c r="W5301" s="508">
        <v>8.1000000000000003E-2</v>
      </c>
      <c r="X5301" s="508">
        <v>8.1000000000000003E-2</v>
      </c>
      <c r="Y5301" s="508">
        <v>8.1000000000000003E-2</v>
      </c>
      <c r="Z5301" s="508">
        <v>8.1000000000000003E-2</v>
      </c>
      <c r="AA5301" s="508">
        <v>8.1000000000000003E-2</v>
      </c>
      <c r="AB5301" s="508">
        <v>8.1000000000000003E-2</v>
      </c>
      <c r="AC5301" s="508">
        <v>8.1000000000000003E-2</v>
      </c>
      <c r="AD5301" s="508">
        <v>8.1000000000000003E-2</v>
      </c>
      <c r="AE5301" s="508">
        <v>8.1000000000000003E-2</v>
      </c>
      <c r="AF5301" s="508">
        <v>8.1000000000000003E-2</v>
      </c>
      <c r="AG5301" s="508">
        <v>8.1000000000000003E-2</v>
      </c>
      <c r="AH5301" s="508">
        <v>8.1000000000000003E-2</v>
      </c>
      <c r="AI5301" s="492">
        <v>8.1000000000000003E-2</v>
      </c>
      <c r="AJ5301" s="485"/>
    </row>
    <row r="5302" spans="2:36">
      <c r="B5302" s="136" t="s">
        <v>462</v>
      </c>
      <c r="C5302" s="132" t="s">
        <v>1378</v>
      </c>
      <c r="D5302" s="132" t="s">
        <v>1379</v>
      </c>
      <c r="E5302" s="508">
        <v>7.8E-2</v>
      </c>
      <c r="F5302" s="508">
        <v>7.8E-2</v>
      </c>
      <c r="G5302" s="508">
        <v>7.8E-2</v>
      </c>
      <c r="H5302" s="508">
        <v>7.8E-2</v>
      </c>
      <c r="I5302" s="508">
        <v>7.8E-2</v>
      </c>
      <c r="J5302" s="508">
        <v>7.8E-2</v>
      </c>
      <c r="K5302" s="508">
        <v>7.8E-2</v>
      </c>
      <c r="L5302" s="508">
        <v>7.8E-2</v>
      </c>
      <c r="M5302" s="508">
        <v>7.8E-2</v>
      </c>
      <c r="N5302" s="508">
        <v>7.8E-2</v>
      </c>
      <c r="O5302" s="508">
        <v>7.8E-2</v>
      </c>
      <c r="P5302" s="508">
        <v>7.8E-2</v>
      </c>
      <c r="Q5302" s="508">
        <v>7.8E-2</v>
      </c>
      <c r="R5302" s="508">
        <v>7.8E-2</v>
      </c>
      <c r="S5302" s="508">
        <v>7.8E-2</v>
      </c>
      <c r="T5302" s="508">
        <v>7.8E-2</v>
      </c>
      <c r="U5302" s="508">
        <v>7.8E-2</v>
      </c>
      <c r="V5302" s="508">
        <v>7.8E-2</v>
      </c>
      <c r="W5302" s="508">
        <v>7.8E-2</v>
      </c>
      <c r="X5302" s="508">
        <v>7.8E-2</v>
      </c>
      <c r="Y5302" s="508">
        <v>7.8E-2</v>
      </c>
      <c r="Z5302" s="508">
        <v>7.8E-2</v>
      </c>
      <c r="AA5302" s="508">
        <v>7.8E-2</v>
      </c>
      <c r="AB5302" s="508">
        <v>7.8E-2</v>
      </c>
      <c r="AC5302" s="508">
        <v>7.8E-2</v>
      </c>
      <c r="AD5302" s="508">
        <v>7.8E-2</v>
      </c>
      <c r="AE5302" s="508">
        <v>7.8E-2</v>
      </c>
      <c r="AF5302" s="508">
        <v>7.8E-2</v>
      </c>
      <c r="AG5302" s="508">
        <v>7.8E-2</v>
      </c>
      <c r="AH5302" s="508">
        <v>7.8E-2</v>
      </c>
      <c r="AI5302" s="492">
        <v>7.8E-2</v>
      </c>
      <c r="AJ5302" s="485"/>
    </row>
    <row r="5303" spans="2:36">
      <c r="B5303" s="136" t="s">
        <v>463</v>
      </c>
      <c r="C5303" s="132" t="s">
        <v>1378</v>
      </c>
      <c r="D5303" s="132" t="s">
        <v>1379</v>
      </c>
      <c r="E5303" s="508">
        <v>7.0000000000000007E-2</v>
      </c>
      <c r="F5303" s="508">
        <v>7.0000000000000007E-2</v>
      </c>
      <c r="G5303" s="508">
        <v>7.0000000000000007E-2</v>
      </c>
      <c r="H5303" s="508">
        <v>7.0000000000000007E-2</v>
      </c>
      <c r="I5303" s="508">
        <v>7.0000000000000007E-2</v>
      </c>
      <c r="J5303" s="508">
        <v>7.0000000000000007E-2</v>
      </c>
      <c r="K5303" s="508">
        <v>7.0000000000000007E-2</v>
      </c>
      <c r="L5303" s="508">
        <v>7.0000000000000007E-2</v>
      </c>
      <c r="M5303" s="508">
        <v>7.0000000000000007E-2</v>
      </c>
      <c r="N5303" s="508">
        <v>7.0000000000000007E-2</v>
      </c>
      <c r="O5303" s="508">
        <v>7.0000000000000007E-2</v>
      </c>
      <c r="P5303" s="508">
        <v>7.0000000000000007E-2</v>
      </c>
      <c r="Q5303" s="508">
        <v>7.0000000000000007E-2</v>
      </c>
      <c r="R5303" s="508">
        <v>7.0000000000000007E-2</v>
      </c>
      <c r="S5303" s="508">
        <v>7.0000000000000007E-2</v>
      </c>
      <c r="T5303" s="508">
        <v>7.0000000000000007E-2</v>
      </c>
      <c r="U5303" s="508">
        <v>7.0000000000000007E-2</v>
      </c>
      <c r="V5303" s="508">
        <v>7.0000000000000007E-2</v>
      </c>
      <c r="W5303" s="508">
        <v>7.0000000000000007E-2</v>
      </c>
      <c r="X5303" s="508">
        <v>7.0000000000000007E-2</v>
      </c>
      <c r="Y5303" s="508">
        <v>7.0000000000000007E-2</v>
      </c>
      <c r="Z5303" s="508">
        <v>7.0000000000000007E-2</v>
      </c>
      <c r="AA5303" s="508">
        <v>7.0000000000000007E-2</v>
      </c>
      <c r="AB5303" s="508">
        <v>7.0000000000000007E-2</v>
      </c>
      <c r="AC5303" s="508">
        <v>7.0000000000000007E-2</v>
      </c>
      <c r="AD5303" s="508">
        <v>7.0000000000000007E-2</v>
      </c>
      <c r="AE5303" s="508">
        <v>7.0000000000000007E-2</v>
      </c>
      <c r="AF5303" s="508">
        <v>7.0000000000000007E-2</v>
      </c>
      <c r="AG5303" s="508">
        <v>7.0000000000000007E-2</v>
      </c>
      <c r="AH5303" s="508">
        <v>7.0000000000000007E-2</v>
      </c>
      <c r="AI5303" s="492">
        <v>7.0000000000000007E-2</v>
      </c>
      <c r="AJ5303" s="485"/>
    </row>
    <row r="5304" spans="2:36">
      <c r="B5304" s="136" t="s">
        <v>464</v>
      </c>
      <c r="C5304" s="132" t="s">
        <v>1378</v>
      </c>
      <c r="D5304" s="132" t="s">
        <v>1379</v>
      </c>
      <c r="E5304" s="508">
        <v>6.8000000000000005E-2</v>
      </c>
      <c r="F5304" s="508">
        <v>6.8000000000000005E-2</v>
      </c>
      <c r="G5304" s="508">
        <v>6.8000000000000005E-2</v>
      </c>
      <c r="H5304" s="508">
        <v>6.8000000000000005E-2</v>
      </c>
      <c r="I5304" s="508">
        <v>6.8000000000000005E-2</v>
      </c>
      <c r="J5304" s="508">
        <v>6.8000000000000005E-2</v>
      </c>
      <c r="K5304" s="508">
        <v>6.8000000000000005E-2</v>
      </c>
      <c r="L5304" s="508">
        <v>6.8000000000000005E-2</v>
      </c>
      <c r="M5304" s="508">
        <v>6.8000000000000005E-2</v>
      </c>
      <c r="N5304" s="508">
        <v>6.8000000000000005E-2</v>
      </c>
      <c r="O5304" s="508">
        <v>6.8000000000000005E-2</v>
      </c>
      <c r="P5304" s="508">
        <v>6.8000000000000005E-2</v>
      </c>
      <c r="Q5304" s="508">
        <v>6.8000000000000005E-2</v>
      </c>
      <c r="R5304" s="508">
        <v>6.8000000000000005E-2</v>
      </c>
      <c r="S5304" s="508">
        <v>6.8000000000000005E-2</v>
      </c>
      <c r="T5304" s="508">
        <v>6.8000000000000005E-2</v>
      </c>
      <c r="U5304" s="508">
        <v>6.8000000000000005E-2</v>
      </c>
      <c r="V5304" s="508">
        <v>6.8000000000000005E-2</v>
      </c>
      <c r="W5304" s="508">
        <v>6.8000000000000005E-2</v>
      </c>
      <c r="X5304" s="508">
        <v>6.8000000000000005E-2</v>
      </c>
      <c r="Y5304" s="508">
        <v>6.8000000000000005E-2</v>
      </c>
      <c r="Z5304" s="508">
        <v>6.8000000000000005E-2</v>
      </c>
      <c r="AA5304" s="508">
        <v>6.8000000000000005E-2</v>
      </c>
      <c r="AB5304" s="508">
        <v>6.8000000000000005E-2</v>
      </c>
      <c r="AC5304" s="508">
        <v>6.8000000000000005E-2</v>
      </c>
      <c r="AD5304" s="508">
        <v>6.8000000000000005E-2</v>
      </c>
      <c r="AE5304" s="508">
        <v>6.8000000000000005E-2</v>
      </c>
      <c r="AF5304" s="508">
        <v>6.8000000000000005E-2</v>
      </c>
      <c r="AG5304" s="508">
        <v>6.8000000000000005E-2</v>
      </c>
      <c r="AH5304" s="508">
        <v>6.8000000000000005E-2</v>
      </c>
      <c r="AI5304" s="492">
        <v>6.8000000000000005E-2</v>
      </c>
      <c r="AJ5304" s="485"/>
    </row>
    <row r="5305" spans="2:36">
      <c r="B5305" s="136" t="s">
        <v>465</v>
      </c>
      <c r="C5305" s="132" t="s">
        <v>1378</v>
      </c>
      <c r="D5305" s="132" t="s">
        <v>1379</v>
      </c>
      <c r="E5305" s="508">
        <v>7.1999999999999995E-2</v>
      </c>
      <c r="F5305" s="508">
        <v>7.1999999999999995E-2</v>
      </c>
      <c r="G5305" s="508">
        <v>7.1999999999999995E-2</v>
      </c>
      <c r="H5305" s="508">
        <v>7.1999999999999995E-2</v>
      </c>
      <c r="I5305" s="508">
        <v>7.1999999999999995E-2</v>
      </c>
      <c r="J5305" s="508">
        <v>7.1999999999999995E-2</v>
      </c>
      <c r="K5305" s="508">
        <v>7.1999999999999995E-2</v>
      </c>
      <c r="L5305" s="508">
        <v>7.1999999999999995E-2</v>
      </c>
      <c r="M5305" s="508">
        <v>7.1999999999999995E-2</v>
      </c>
      <c r="N5305" s="508">
        <v>7.1999999999999995E-2</v>
      </c>
      <c r="O5305" s="508">
        <v>7.1999999999999995E-2</v>
      </c>
      <c r="P5305" s="508">
        <v>7.1999999999999995E-2</v>
      </c>
      <c r="Q5305" s="508">
        <v>7.1999999999999995E-2</v>
      </c>
      <c r="R5305" s="508">
        <v>7.1999999999999995E-2</v>
      </c>
      <c r="S5305" s="508">
        <v>7.1999999999999995E-2</v>
      </c>
      <c r="T5305" s="508">
        <v>7.1999999999999995E-2</v>
      </c>
      <c r="U5305" s="508">
        <v>7.1999999999999995E-2</v>
      </c>
      <c r="V5305" s="508">
        <v>7.1999999999999995E-2</v>
      </c>
      <c r="W5305" s="508">
        <v>7.1999999999999995E-2</v>
      </c>
      <c r="X5305" s="508">
        <v>7.1999999999999995E-2</v>
      </c>
      <c r="Y5305" s="508">
        <v>7.1999999999999995E-2</v>
      </c>
      <c r="Z5305" s="508">
        <v>7.1999999999999995E-2</v>
      </c>
      <c r="AA5305" s="508">
        <v>7.1999999999999995E-2</v>
      </c>
      <c r="AB5305" s="508">
        <v>7.1999999999999995E-2</v>
      </c>
      <c r="AC5305" s="508">
        <v>7.1999999999999995E-2</v>
      </c>
      <c r="AD5305" s="508">
        <v>7.1999999999999995E-2</v>
      </c>
      <c r="AE5305" s="508">
        <v>7.1999999999999995E-2</v>
      </c>
      <c r="AF5305" s="508">
        <v>7.1999999999999995E-2</v>
      </c>
      <c r="AG5305" s="508">
        <v>7.1999999999999995E-2</v>
      </c>
      <c r="AH5305" s="508">
        <v>7.1999999999999995E-2</v>
      </c>
      <c r="AI5305" s="492">
        <v>7.1999999999999995E-2</v>
      </c>
      <c r="AJ5305" s="485"/>
    </row>
    <row r="5306" spans="2:36">
      <c r="B5306" s="136" t="s">
        <v>466</v>
      </c>
      <c r="C5306" s="132" t="s">
        <v>1378</v>
      </c>
      <c r="D5306" s="132" t="s">
        <v>1379</v>
      </c>
      <c r="E5306" s="508">
        <v>9.6000000000000002E-2</v>
      </c>
      <c r="F5306" s="508">
        <v>9.6000000000000002E-2</v>
      </c>
      <c r="G5306" s="508">
        <v>9.6000000000000002E-2</v>
      </c>
      <c r="H5306" s="508">
        <v>9.6000000000000002E-2</v>
      </c>
      <c r="I5306" s="508">
        <v>9.6000000000000002E-2</v>
      </c>
      <c r="J5306" s="508">
        <v>9.6000000000000002E-2</v>
      </c>
      <c r="K5306" s="508">
        <v>9.6000000000000002E-2</v>
      </c>
      <c r="L5306" s="508">
        <v>9.6000000000000002E-2</v>
      </c>
      <c r="M5306" s="508">
        <v>9.6000000000000002E-2</v>
      </c>
      <c r="N5306" s="508">
        <v>9.6000000000000002E-2</v>
      </c>
      <c r="O5306" s="508">
        <v>9.6000000000000002E-2</v>
      </c>
      <c r="P5306" s="508">
        <v>9.6000000000000002E-2</v>
      </c>
      <c r="Q5306" s="508">
        <v>9.6000000000000002E-2</v>
      </c>
      <c r="R5306" s="508">
        <v>9.6000000000000002E-2</v>
      </c>
      <c r="S5306" s="508">
        <v>9.6000000000000002E-2</v>
      </c>
      <c r="T5306" s="508">
        <v>9.6000000000000002E-2</v>
      </c>
      <c r="U5306" s="508">
        <v>9.6000000000000002E-2</v>
      </c>
      <c r="V5306" s="508">
        <v>9.6000000000000002E-2</v>
      </c>
      <c r="W5306" s="508">
        <v>9.6000000000000002E-2</v>
      </c>
      <c r="X5306" s="508">
        <v>9.6000000000000002E-2</v>
      </c>
      <c r="Y5306" s="508">
        <v>9.6000000000000002E-2</v>
      </c>
      <c r="Z5306" s="508">
        <v>9.6000000000000002E-2</v>
      </c>
      <c r="AA5306" s="508">
        <v>9.6000000000000002E-2</v>
      </c>
      <c r="AB5306" s="508">
        <v>9.6000000000000002E-2</v>
      </c>
      <c r="AC5306" s="508">
        <v>9.6000000000000002E-2</v>
      </c>
      <c r="AD5306" s="508">
        <v>9.6000000000000002E-2</v>
      </c>
      <c r="AE5306" s="508">
        <v>9.6000000000000002E-2</v>
      </c>
      <c r="AF5306" s="508">
        <v>9.6000000000000002E-2</v>
      </c>
      <c r="AG5306" s="508">
        <v>9.6000000000000002E-2</v>
      </c>
      <c r="AH5306" s="508">
        <v>9.6000000000000002E-2</v>
      </c>
      <c r="AI5306" s="492">
        <v>9.6000000000000002E-2</v>
      </c>
      <c r="AJ5306" s="485"/>
    </row>
    <row r="5307" spans="2:36">
      <c r="B5307" s="136" t="s">
        <v>467</v>
      </c>
      <c r="C5307" s="132" t="s">
        <v>1378</v>
      </c>
      <c r="D5307" s="132" t="s">
        <v>1379</v>
      </c>
      <c r="E5307" s="508">
        <v>0.08</v>
      </c>
      <c r="F5307" s="508">
        <v>0.08</v>
      </c>
      <c r="G5307" s="508">
        <v>0.08</v>
      </c>
      <c r="H5307" s="508">
        <v>0.08</v>
      </c>
      <c r="I5307" s="508">
        <v>0.08</v>
      </c>
      <c r="J5307" s="508">
        <v>0.08</v>
      </c>
      <c r="K5307" s="508">
        <v>0.08</v>
      </c>
      <c r="L5307" s="508">
        <v>0.08</v>
      </c>
      <c r="M5307" s="508">
        <v>0.08</v>
      </c>
      <c r="N5307" s="508">
        <v>0.08</v>
      </c>
      <c r="O5307" s="508">
        <v>0.08</v>
      </c>
      <c r="P5307" s="508">
        <v>0.08</v>
      </c>
      <c r="Q5307" s="508">
        <v>0.08</v>
      </c>
      <c r="R5307" s="508">
        <v>0.08</v>
      </c>
      <c r="S5307" s="508">
        <v>0.08</v>
      </c>
      <c r="T5307" s="508">
        <v>0.08</v>
      </c>
      <c r="U5307" s="508">
        <v>0.08</v>
      </c>
      <c r="V5307" s="508">
        <v>0.08</v>
      </c>
      <c r="W5307" s="508">
        <v>0.08</v>
      </c>
      <c r="X5307" s="508">
        <v>0.08</v>
      </c>
      <c r="Y5307" s="508">
        <v>0.08</v>
      </c>
      <c r="Z5307" s="508">
        <v>0.08</v>
      </c>
      <c r="AA5307" s="508">
        <v>0.08</v>
      </c>
      <c r="AB5307" s="508">
        <v>0.08</v>
      </c>
      <c r="AC5307" s="508">
        <v>0.08</v>
      </c>
      <c r="AD5307" s="508">
        <v>0.08</v>
      </c>
      <c r="AE5307" s="508">
        <v>0.08</v>
      </c>
      <c r="AF5307" s="508">
        <v>0.08</v>
      </c>
      <c r="AG5307" s="508">
        <v>0.08</v>
      </c>
      <c r="AH5307" s="508">
        <v>0.08</v>
      </c>
      <c r="AI5307" s="492">
        <v>0.08</v>
      </c>
      <c r="AJ5307" s="485"/>
    </row>
    <row r="5308" spans="2:36">
      <c r="B5308" s="136" t="s">
        <v>468</v>
      </c>
      <c r="C5308" s="132" t="s">
        <v>1378</v>
      </c>
      <c r="D5308" s="132" t="s">
        <v>1379</v>
      </c>
      <c r="E5308" s="508">
        <v>6.6000000000000003E-2</v>
      </c>
      <c r="F5308" s="508">
        <v>6.6000000000000003E-2</v>
      </c>
      <c r="G5308" s="508">
        <v>6.6000000000000003E-2</v>
      </c>
      <c r="H5308" s="508">
        <v>6.6000000000000003E-2</v>
      </c>
      <c r="I5308" s="508">
        <v>6.6000000000000003E-2</v>
      </c>
      <c r="J5308" s="508">
        <v>6.6000000000000003E-2</v>
      </c>
      <c r="K5308" s="508">
        <v>6.6000000000000003E-2</v>
      </c>
      <c r="L5308" s="508">
        <v>6.6000000000000003E-2</v>
      </c>
      <c r="M5308" s="508">
        <v>6.6000000000000003E-2</v>
      </c>
      <c r="N5308" s="508">
        <v>6.6000000000000003E-2</v>
      </c>
      <c r="O5308" s="508">
        <v>6.6000000000000003E-2</v>
      </c>
      <c r="P5308" s="508">
        <v>6.6000000000000003E-2</v>
      </c>
      <c r="Q5308" s="508">
        <v>6.6000000000000003E-2</v>
      </c>
      <c r="R5308" s="508">
        <v>6.6000000000000003E-2</v>
      </c>
      <c r="S5308" s="508">
        <v>6.6000000000000003E-2</v>
      </c>
      <c r="T5308" s="508">
        <v>6.6000000000000003E-2</v>
      </c>
      <c r="U5308" s="508">
        <v>6.6000000000000003E-2</v>
      </c>
      <c r="V5308" s="508">
        <v>6.6000000000000003E-2</v>
      </c>
      <c r="W5308" s="508">
        <v>6.6000000000000003E-2</v>
      </c>
      <c r="X5308" s="508">
        <v>6.6000000000000003E-2</v>
      </c>
      <c r="Y5308" s="508">
        <v>6.6000000000000003E-2</v>
      </c>
      <c r="Z5308" s="508">
        <v>6.6000000000000003E-2</v>
      </c>
      <c r="AA5308" s="508">
        <v>6.6000000000000003E-2</v>
      </c>
      <c r="AB5308" s="508">
        <v>6.6000000000000003E-2</v>
      </c>
      <c r="AC5308" s="508">
        <v>6.6000000000000003E-2</v>
      </c>
      <c r="AD5308" s="508">
        <v>6.6000000000000003E-2</v>
      </c>
      <c r="AE5308" s="508">
        <v>6.6000000000000003E-2</v>
      </c>
      <c r="AF5308" s="508">
        <v>6.6000000000000003E-2</v>
      </c>
      <c r="AG5308" s="508">
        <v>6.6000000000000003E-2</v>
      </c>
      <c r="AH5308" s="508">
        <v>6.6000000000000003E-2</v>
      </c>
      <c r="AI5308" s="492">
        <v>6.6000000000000003E-2</v>
      </c>
      <c r="AJ5308" s="485"/>
    </row>
    <row r="5309" spans="2:36">
      <c r="B5309" s="136" t="s">
        <v>469</v>
      </c>
      <c r="C5309" s="132" t="s">
        <v>1378</v>
      </c>
      <c r="D5309" s="132" t="s">
        <v>1379</v>
      </c>
      <c r="E5309" s="508">
        <v>7.4999999999999997E-2</v>
      </c>
      <c r="F5309" s="508">
        <v>7.4999999999999997E-2</v>
      </c>
      <c r="G5309" s="508">
        <v>7.4999999999999997E-2</v>
      </c>
      <c r="H5309" s="508">
        <v>7.4999999999999997E-2</v>
      </c>
      <c r="I5309" s="508">
        <v>7.4999999999999997E-2</v>
      </c>
      <c r="J5309" s="508">
        <v>7.4999999999999997E-2</v>
      </c>
      <c r="K5309" s="508">
        <v>7.4999999999999997E-2</v>
      </c>
      <c r="L5309" s="508">
        <v>7.4999999999999997E-2</v>
      </c>
      <c r="M5309" s="508">
        <v>7.4999999999999997E-2</v>
      </c>
      <c r="N5309" s="508">
        <v>7.4999999999999997E-2</v>
      </c>
      <c r="O5309" s="508">
        <v>7.4999999999999997E-2</v>
      </c>
      <c r="P5309" s="508">
        <v>7.4999999999999997E-2</v>
      </c>
      <c r="Q5309" s="508">
        <v>7.4999999999999997E-2</v>
      </c>
      <c r="R5309" s="508">
        <v>7.4999999999999997E-2</v>
      </c>
      <c r="S5309" s="508">
        <v>7.4999999999999997E-2</v>
      </c>
      <c r="T5309" s="508">
        <v>7.4999999999999997E-2</v>
      </c>
      <c r="U5309" s="508">
        <v>7.4999999999999997E-2</v>
      </c>
      <c r="V5309" s="508">
        <v>7.4999999999999997E-2</v>
      </c>
      <c r="W5309" s="508">
        <v>7.4999999999999997E-2</v>
      </c>
      <c r="X5309" s="508">
        <v>7.4999999999999997E-2</v>
      </c>
      <c r="Y5309" s="508">
        <v>7.4999999999999997E-2</v>
      </c>
      <c r="Z5309" s="508">
        <v>7.4999999999999997E-2</v>
      </c>
      <c r="AA5309" s="508">
        <v>7.4999999999999997E-2</v>
      </c>
      <c r="AB5309" s="508">
        <v>7.4999999999999997E-2</v>
      </c>
      <c r="AC5309" s="508">
        <v>7.4999999999999997E-2</v>
      </c>
      <c r="AD5309" s="508">
        <v>7.4999999999999997E-2</v>
      </c>
      <c r="AE5309" s="508">
        <v>7.4999999999999997E-2</v>
      </c>
      <c r="AF5309" s="508">
        <v>7.4999999999999997E-2</v>
      </c>
      <c r="AG5309" s="508">
        <v>7.4999999999999997E-2</v>
      </c>
      <c r="AH5309" s="508">
        <v>7.4999999999999997E-2</v>
      </c>
      <c r="AI5309" s="492">
        <v>7.4999999999999997E-2</v>
      </c>
      <c r="AJ5309" s="485"/>
    </row>
    <row r="5310" spans="2:36">
      <c r="B5310" s="136" t="s">
        <v>470</v>
      </c>
      <c r="C5310" s="132" t="s">
        <v>1378</v>
      </c>
      <c r="D5310" s="132" t="s">
        <v>1379</v>
      </c>
      <c r="E5310" s="508">
        <v>8.8999999999999996E-2</v>
      </c>
      <c r="F5310" s="508">
        <v>8.8999999999999996E-2</v>
      </c>
      <c r="G5310" s="508">
        <v>8.8999999999999996E-2</v>
      </c>
      <c r="H5310" s="508">
        <v>8.8999999999999996E-2</v>
      </c>
      <c r="I5310" s="508">
        <v>8.8999999999999996E-2</v>
      </c>
      <c r="J5310" s="508">
        <v>8.8999999999999996E-2</v>
      </c>
      <c r="K5310" s="508">
        <v>8.8999999999999996E-2</v>
      </c>
      <c r="L5310" s="508">
        <v>8.8999999999999996E-2</v>
      </c>
      <c r="M5310" s="508">
        <v>8.8999999999999996E-2</v>
      </c>
      <c r="N5310" s="508">
        <v>8.8999999999999996E-2</v>
      </c>
      <c r="O5310" s="508">
        <v>8.8999999999999996E-2</v>
      </c>
      <c r="P5310" s="508">
        <v>8.8999999999999996E-2</v>
      </c>
      <c r="Q5310" s="508">
        <v>8.8999999999999996E-2</v>
      </c>
      <c r="R5310" s="508">
        <v>8.8999999999999996E-2</v>
      </c>
      <c r="S5310" s="508">
        <v>8.8999999999999996E-2</v>
      </c>
      <c r="T5310" s="508">
        <v>8.8999999999999996E-2</v>
      </c>
      <c r="U5310" s="508">
        <v>8.8999999999999996E-2</v>
      </c>
      <c r="V5310" s="508">
        <v>8.8999999999999996E-2</v>
      </c>
      <c r="W5310" s="508">
        <v>8.8999999999999996E-2</v>
      </c>
      <c r="X5310" s="508">
        <v>8.8999999999999996E-2</v>
      </c>
      <c r="Y5310" s="508">
        <v>8.8999999999999996E-2</v>
      </c>
      <c r="Z5310" s="508">
        <v>8.8999999999999996E-2</v>
      </c>
      <c r="AA5310" s="508">
        <v>8.8999999999999996E-2</v>
      </c>
      <c r="AB5310" s="508">
        <v>8.8999999999999996E-2</v>
      </c>
      <c r="AC5310" s="508">
        <v>8.8999999999999996E-2</v>
      </c>
      <c r="AD5310" s="508">
        <v>8.8999999999999996E-2</v>
      </c>
      <c r="AE5310" s="508">
        <v>8.8999999999999996E-2</v>
      </c>
      <c r="AF5310" s="508">
        <v>8.8999999999999996E-2</v>
      </c>
      <c r="AG5310" s="508">
        <v>8.8999999999999996E-2</v>
      </c>
      <c r="AH5310" s="508">
        <v>8.8999999999999996E-2</v>
      </c>
      <c r="AI5310" s="492">
        <v>8.8999999999999996E-2</v>
      </c>
      <c r="AJ5310" s="485"/>
    </row>
    <row r="5311" spans="2:36">
      <c r="B5311" s="136" t="s">
        <v>471</v>
      </c>
      <c r="C5311" s="132" t="s">
        <v>1378</v>
      </c>
      <c r="D5311" s="132" t="s">
        <v>1379</v>
      </c>
      <c r="E5311" s="508">
        <v>8.5000000000000006E-2</v>
      </c>
      <c r="F5311" s="508">
        <v>8.5000000000000006E-2</v>
      </c>
      <c r="G5311" s="508">
        <v>8.5000000000000006E-2</v>
      </c>
      <c r="H5311" s="508">
        <v>8.5000000000000006E-2</v>
      </c>
      <c r="I5311" s="508">
        <v>8.5000000000000006E-2</v>
      </c>
      <c r="J5311" s="508">
        <v>8.5000000000000006E-2</v>
      </c>
      <c r="K5311" s="508">
        <v>8.5000000000000006E-2</v>
      </c>
      <c r="L5311" s="508">
        <v>8.5000000000000006E-2</v>
      </c>
      <c r="M5311" s="508">
        <v>8.5000000000000006E-2</v>
      </c>
      <c r="N5311" s="508">
        <v>8.5000000000000006E-2</v>
      </c>
      <c r="O5311" s="508">
        <v>8.5000000000000006E-2</v>
      </c>
      <c r="P5311" s="508">
        <v>8.5000000000000006E-2</v>
      </c>
      <c r="Q5311" s="508">
        <v>8.5000000000000006E-2</v>
      </c>
      <c r="R5311" s="508">
        <v>8.5000000000000006E-2</v>
      </c>
      <c r="S5311" s="508">
        <v>8.5000000000000006E-2</v>
      </c>
      <c r="T5311" s="508">
        <v>8.5000000000000006E-2</v>
      </c>
      <c r="U5311" s="508">
        <v>8.5000000000000006E-2</v>
      </c>
      <c r="V5311" s="508">
        <v>8.5000000000000006E-2</v>
      </c>
      <c r="W5311" s="508">
        <v>8.5000000000000006E-2</v>
      </c>
      <c r="X5311" s="508">
        <v>8.5000000000000006E-2</v>
      </c>
      <c r="Y5311" s="508">
        <v>8.5000000000000006E-2</v>
      </c>
      <c r="Z5311" s="508">
        <v>8.5000000000000006E-2</v>
      </c>
      <c r="AA5311" s="508">
        <v>8.5000000000000006E-2</v>
      </c>
      <c r="AB5311" s="508">
        <v>8.5000000000000006E-2</v>
      </c>
      <c r="AC5311" s="508">
        <v>8.5000000000000006E-2</v>
      </c>
      <c r="AD5311" s="508">
        <v>8.5000000000000006E-2</v>
      </c>
      <c r="AE5311" s="508">
        <v>8.5000000000000006E-2</v>
      </c>
      <c r="AF5311" s="508">
        <v>8.5000000000000006E-2</v>
      </c>
      <c r="AG5311" s="508">
        <v>8.5000000000000006E-2</v>
      </c>
      <c r="AH5311" s="508">
        <v>8.5000000000000006E-2</v>
      </c>
      <c r="AI5311" s="492">
        <v>8.5000000000000006E-2</v>
      </c>
      <c r="AJ5311" s="485"/>
    </row>
    <row r="5312" spans="2:36">
      <c r="B5312" s="136" t="s">
        <v>472</v>
      </c>
      <c r="C5312" s="132" t="s">
        <v>1378</v>
      </c>
      <c r="D5312" s="132" t="s">
        <v>1379</v>
      </c>
      <c r="E5312" s="508">
        <v>6.9000000000000006E-2</v>
      </c>
      <c r="F5312" s="508">
        <v>6.9000000000000006E-2</v>
      </c>
      <c r="G5312" s="508">
        <v>6.9000000000000006E-2</v>
      </c>
      <c r="H5312" s="508">
        <v>6.9000000000000006E-2</v>
      </c>
      <c r="I5312" s="508">
        <v>6.9000000000000006E-2</v>
      </c>
      <c r="J5312" s="508">
        <v>6.9000000000000006E-2</v>
      </c>
      <c r="K5312" s="508">
        <v>6.9000000000000006E-2</v>
      </c>
      <c r="L5312" s="508">
        <v>6.9000000000000006E-2</v>
      </c>
      <c r="M5312" s="508">
        <v>6.9000000000000006E-2</v>
      </c>
      <c r="N5312" s="508">
        <v>6.9000000000000006E-2</v>
      </c>
      <c r="O5312" s="508">
        <v>6.9000000000000006E-2</v>
      </c>
      <c r="P5312" s="508">
        <v>6.9000000000000006E-2</v>
      </c>
      <c r="Q5312" s="508">
        <v>6.9000000000000006E-2</v>
      </c>
      <c r="R5312" s="508">
        <v>6.9000000000000006E-2</v>
      </c>
      <c r="S5312" s="508">
        <v>6.9000000000000006E-2</v>
      </c>
      <c r="T5312" s="508">
        <v>6.9000000000000006E-2</v>
      </c>
      <c r="U5312" s="508">
        <v>6.9000000000000006E-2</v>
      </c>
      <c r="V5312" s="508">
        <v>6.9000000000000006E-2</v>
      </c>
      <c r="W5312" s="508">
        <v>6.9000000000000006E-2</v>
      </c>
      <c r="X5312" s="508">
        <v>6.9000000000000006E-2</v>
      </c>
      <c r="Y5312" s="508">
        <v>6.9000000000000006E-2</v>
      </c>
      <c r="Z5312" s="508">
        <v>6.9000000000000006E-2</v>
      </c>
      <c r="AA5312" s="508">
        <v>6.9000000000000006E-2</v>
      </c>
      <c r="AB5312" s="508">
        <v>6.9000000000000006E-2</v>
      </c>
      <c r="AC5312" s="508">
        <v>6.9000000000000006E-2</v>
      </c>
      <c r="AD5312" s="508">
        <v>6.9000000000000006E-2</v>
      </c>
      <c r="AE5312" s="508">
        <v>6.9000000000000006E-2</v>
      </c>
      <c r="AF5312" s="508">
        <v>6.9000000000000006E-2</v>
      </c>
      <c r="AG5312" s="508">
        <v>6.9000000000000006E-2</v>
      </c>
      <c r="AH5312" s="508">
        <v>6.9000000000000006E-2</v>
      </c>
      <c r="AI5312" s="492">
        <v>6.9000000000000006E-2</v>
      </c>
      <c r="AJ5312" s="485"/>
    </row>
    <row r="5313" spans="2:36">
      <c r="B5313" s="136" t="s">
        <v>473</v>
      </c>
      <c r="C5313" s="132" t="s">
        <v>1378</v>
      </c>
      <c r="D5313" s="132" t="s">
        <v>1379</v>
      </c>
      <c r="E5313" s="508">
        <v>9.0999999999999998E-2</v>
      </c>
      <c r="F5313" s="508">
        <v>9.0999999999999998E-2</v>
      </c>
      <c r="G5313" s="508">
        <v>9.0999999999999998E-2</v>
      </c>
      <c r="H5313" s="508">
        <v>9.0999999999999998E-2</v>
      </c>
      <c r="I5313" s="508">
        <v>9.0999999999999998E-2</v>
      </c>
      <c r="J5313" s="508">
        <v>9.0999999999999998E-2</v>
      </c>
      <c r="K5313" s="508">
        <v>9.0999999999999998E-2</v>
      </c>
      <c r="L5313" s="508">
        <v>9.0999999999999998E-2</v>
      </c>
      <c r="M5313" s="508">
        <v>9.0999999999999998E-2</v>
      </c>
      <c r="N5313" s="508">
        <v>9.0999999999999998E-2</v>
      </c>
      <c r="O5313" s="508">
        <v>9.0999999999999998E-2</v>
      </c>
      <c r="P5313" s="508">
        <v>9.0999999999999998E-2</v>
      </c>
      <c r="Q5313" s="508">
        <v>9.0999999999999998E-2</v>
      </c>
      <c r="R5313" s="508">
        <v>9.0999999999999998E-2</v>
      </c>
      <c r="S5313" s="508">
        <v>9.0999999999999998E-2</v>
      </c>
      <c r="T5313" s="508">
        <v>9.0999999999999998E-2</v>
      </c>
      <c r="U5313" s="508">
        <v>9.0999999999999998E-2</v>
      </c>
      <c r="V5313" s="508">
        <v>9.0999999999999998E-2</v>
      </c>
      <c r="W5313" s="508">
        <v>9.0999999999999998E-2</v>
      </c>
      <c r="X5313" s="508">
        <v>9.0999999999999998E-2</v>
      </c>
      <c r="Y5313" s="508">
        <v>9.0999999999999998E-2</v>
      </c>
      <c r="Z5313" s="508">
        <v>9.0999999999999998E-2</v>
      </c>
      <c r="AA5313" s="508">
        <v>9.0999999999999998E-2</v>
      </c>
      <c r="AB5313" s="508">
        <v>9.0999999999999998E-2</v>
      </c>
      <c r="AC5313" s="508">
        <v>9.0999999999999998E-2</v>
      </c>
      <c r="AD5313" s="508">
        <v>9.0999999999999998E-2</v>
      </c>
      <c r="AE5313" s="508">
        <v>9.0999999999999998E-2</v>
      </c>
      <c r="AF5313" s="508">
        <v>9.0999999999999998E-2</v>
      </c>
      <c r="AG5313" s="508">
        <v>9.0999999999999998E-2</v>
      </c>
      <c r="AH5313" s="508">
        <v>9.0999999999999998E-2</v>
      </c>
      <c r="AI5313" s="492">
        <v>9.0999999999999998E-2</v>
      </c>
      <c r="AJ5313" s="485"/>
    </row>
    <row r="5314" spans="2:36">
      <c r="B5314" s="136" t="s">
        <v>474</v>
      </c>
      <c r="C5314" s="132" t="s">
        <v>1378</v>
      </c>
      <c r="D5314" s="132" t="s">
        <v>1379</v>
      </c>
      <c r="E5314" s="508">
        <v>8.2000000000000003E-2</v>
      </c>
      <c r="F5314" s="508">
        <v>8.2000000000000003E-2</v>
      </c>
      <c r="G5314" s="508">
        <v>8.2000000000000003E-2</v>
      </c>
      <c r="H5314" s="508">
        <v>8.2000000000000003E-2</v>
      </c>
      <c r="I5314" s="508">
        <v>8.2000000000000003E-2</v>
      </c>
      <c r="J5314" s="508">
        <v>8.2000000000000003E-2</v>
      </c>
      <c r="K5314" s="508">
        <v>8.2000000000000003E-2</v>
      </c>
      <c r="L5314" s="508">
        <v>8.2000000000000003E-2</v>
      </c>
      <c r="M5314" s="508">
        <v>8.2000000000000003E-2</v>
      </c>
      <c r="N5314" s="508">
        <v>8.2000000000000003E-2</v>
      </c>
      <c r="O5314" s="508">
        <v>8.2000000000000003E-2</v>
      </c>
      <c r="P5314" s="508">
        <v>8.2000000000000003E-2</v>
      </c>
      <c r="Q5314" s="508">
        <v>8.2000000000000003E-2</v>
      </c>
      <c r="R5314" s="508">
        <v>8.2000000000000003E-2</v>
      </c>
      <c r="S5314" s="508">
        <v>8.2000000000000003E-2</v>
      </c>
      <c r="T5314" s="508">
        <v>8.2000000000000003E-2</v>
      </c>
      <c r="U5314" s="508">
        <v>8.2000000000000003E-2</v>
      </c>
      <c r="V5314" s="508">
        <v>8.2000000000000003E-2</v>
      </c>
      <c r="W5314" s="508">
        <v>8.2000000000000003E-2</v>
      </c>
      <c r="X5314" s="508">
        <v>8.2000000000000003E-2</v>
      </c>
      <c r="Y5314" s="508">
        <v>8.2000000000000003E-2</v>
      </c>
      <c r="Z5314" s="508">
        <v>8.2000000000000003E-2</v>
      </c>
      <c r="AA5314" s="508">
        <v>8.2000000000000003E-2</v>
      </c>
      <c r="AB5314" s="508">
        <v>8.2000000000000003E-2</v>
      </c>
      <c r="AC5314" s="508">
        <v>8.2000000000000003E-2</v>
      </c>
      <c r="AD5314" s="508">
        <v>8.2000000000000003E-2</v>
      </c>
      <c r="AE5314" s="508">
        <v>8.2000000000000003E-2</v>
      </c>
      <c r="AF5314" s="508">
        <v>8.2000000000000003E-2</v>
      </c>
      <c r="AG5314" s="508">
        <v>8.2000000000000003E-2</v>
      </c>
      <c r="AH5314" s="508">
        <v>8.2000000000000003E-2</v>
      </c>
      <c r="AI5314" s="492">
        <v>8.2000000000000003E-2</v>
      </c>
      <c r="AJ5314" s="485"/>
    </row>
    <row r="5315" spans="2:36">
      <c r="B5315" s="136" t="s">
        <v>475</v>
      </c>
      <c r="C5315" s="132" t="s">
        <v>1378</v>
      </c>
      <c r="D5315" s="132" t="s">
        <v>1379</v>
      </c>
      <c r="E5315" s="508">
        <v>7.8E-2</v>
      </c>
      <c r="F5315" s="508">
        <v>7.8E-2</v>
      </c>
      <c r="G5315" s="508">
        <v>7.8E-2</v>
      </c>
      <c r="H5315" s="508">
        <v>7.8E-2</v>
      </c>
      <c r="I5315" s="508">
        <v>7.8E-2</v>
      </c>
      <c r="J5315" s="508">
        <v>7.8E-2</v>
      </c>
      <c r="K5315" s="508">
        <v>7.8E-2</v>
      </c>
      <c r="L5315" s="508">
        <v>7.8E-2</v>
      </c>
      <c r="M5315" s="508">
        <v>7.8E-2</v>
      </c>
      <c r="N5315" s="508">
        <v>7.8E-2</v>
      </c>
      <c r="O5315" s="508">
        <v>7.8E-2</v>
      </c>
      <c r="P5315" s="508">
        <v>7.8E-2</v>
      </c>
      <c r="Q5315" s="508">
        <v>7.8E-2</v>
      </c>
      <c r="R5315" s="508">
        <v>7.8E-2</v>
      </c>
      <c r="S5315" s="508">
        <v>7.8E-2</v>
      </c>
      <c r="T5315" s="508">
        <v>7.8E-2</v>
      </c>
      <c r="U5315" s="508">
        <v>7.8E-2</v>
      </c>
      <c r="V5315" s="508">
        <v>7.8E-2</v>
      </c>
      <c r="W5315" s="508">
        <v>7.8E-2</v>
      </c>
      <c r="X5315" s="508">
        <v>7.8E-2</v>
      </c>
      <c r="Y5315" s="508">
        <v>7.8E-2</v>
      </c>
      <c r="Z5315" s="508">
        <v>7.8E-2</v>
      </c>
      <c r="AA5315" s="508">
        <v>7.8E-2</v>
      </c>
      <c r="AB5315" s="508">
        <v>7.8E-2</v>
      </c>
      <c r="AC5315" s="508">
        <v>7.8E-2</v>
      </c>
      <c r="AD5315" s="508">
        <v>7.8E-2</v>
      </c>
      <c r="AE5315" s="508">
        <v>7.8E-2</v>
      </c>
      <c r="AF5315" s="508">
        <v>7.8E-2</v>
      </c>
      <c r="AG5315" s="508">
        <v>7.8E-2</v>
      </c>
      <c r="AH5315" s="508">
        <v>7.8E-2</v>
      </c>
      <c r="AI5315" s="492">
        <v>7.8E-2</v>
      </c>
      <c r="AJ5315" s="485"/>
    </row>
    <row r="5316" spans="2:36">
      <c r="B5316" s="136" t="s">
        <v>476</v>
      </c>
      <c r="C5316" s="132" t="s">
        <v>1378</v>
      </c>
      <c r="D5316" s="132" t="s">
        <v>1379</v>
      </c>
      <c r="E5316" s="508">
        <v>8.5999999999999993E-2</v>
      </c>
      <c r="F5316" s="508">
        <v>8.5999999999999993E-2</v>
      </c>
      <c r="G5316" s="508">
        <v>8.5999999999999993E-2</v>
      </c>
      <c r="H5316" s="508">
        <v>8.5999999999999993E-2</v>
      </c>
      <c r="I5316" s="508">
        <v>8.5999999999999993E-2</v>
      </c>
      <c r="J5316" s="508">
        <v>8.5999999999999993E-2</v>
      </c>
      <c r="K5316" s="508">
        <v>8.5999999999999993E-2</v>
      </c>
      <c r="L5316" s="508">
        <v>8.5999999999999993E-2</v>
      </c>
      <c r="M5316" s="508">
        <v>8.5999999999999993E-2</v>
      </c>
      <c r="N5316" s="508">
        <v>8.5999999999999993E-2</v>
      </c>
      <c r="O5316" s="508">
        <v>8.5999999999999993E-2</v>
      </c>
      <c r="P5316" s="508">
        <v>8.5999999999999993E-2</v>
      </c>
      <c r="Q5316" s="508">
        <v>8.5999999999999993E-2</v>
      </c>
      <c r="R5316" s="508">
        <v>8.5999999999999993E-2</v>
      </c>
      <c r="S5316" s="508">
        <v>8.5999999999999993E-2</v>
      </c>
      <c r="T5316" s="508">
        <v>8.5999999999999993E-2</v>
      </c>
      <c r="U5316" s="508">
        <v>8.5999999999999993E-2</v>
      </c>
      <c r="V5316" s="508">
        <v>8.5999999999999993E-2</v>
      </c>
      <c r="W5316" s="508">
        <v>8.5999999999999993E-2</v>
      </c>
      <c r="X5316" s="508">
        <v>8.5999999999999993E-2</v>
      </c>
      <c r="Y5316" s="508">
        <v>8.5999999999999993E-2</v>
      </c>
      <c r="Z5316" s="508">
        <v>8.5999999999999993E-2</v>
      </c>
      <c r="AA5316" s="508">
        <v>8.5999999999999993E-2</v>
      </c>
      <c r="AB5316" s="508">
        <v>8.5999999999999993E-2</v>
      </c>
      <c r="AC5316" s="508">
        <v>8.5999999999999993E-2</v>
      </c>
      <c r="AD5316" s="508">
        <v>8.5999999999999993E-2</v>
      </c>
      <c r="AE5316" s="508">
        <v>8.5999999999999993E-2</v>
      </c>
      <c r="AF5316" s="508">
        <v>8.5999999999999993E-2</v>
      </c>
      <c r="AG5316" s="508">
        <v>8.5999999999999993E-2</v>
      </c>
      <c r="AH5316" s="508">
        <v>8.5999999999999993E-2</v>
      </c>
      <c r="AI5316" s="492">
        <v>8.5999999999999993E-2</v>
      </c>
      <c r="AJ5316" s="485"/>
    </row>
    <row r="5317" spans="2:36">
      <c r="B5317" s="136" t="s">
        <v>478</v>
      </c>
      <c r="C5317" s="132" t="s">
        <v>1378</v>
      </c>
      <c r="D5317" s="132" t="s">
        <v>1379</v>
      </c>
      <c r="E5317" s="508">
        <v>9.1999999999999998E-2</v>
      </c>
      <c r="F5317" s="508">
        <v>9.1999999999999998E-2</v>
      </c>
      <c r="G5317" s="508">
        <v>9.1999999999999998E-2</v>
      </c>
      <c r="H5317" s="508">
        <v>9.1999999999999998E-2</v>
      </c>
      <c r="I5317" s="508">
        <v>9.1999999999999998E-2</v>
      </c>
      <c r="J5317" s="508">
        <v>9.1999999999999998E-2</v>
      </c>
      <c r="K5317" s="508">
        <v>9.1999999999999998E-2</v>
      </c>
      <c r="L5317" s="508">
        <v>9.1999999999999998E-2</v>
      </c>
      <c r="M5317" s="508">
        <v>9.1999999999999998E-2</v>
      </c>
      <c r="N5317" s="508">
        <v>9.1999999999999998E-2</v>
      </c>
      <c r="O5317" s="508">
        <v>9.1999999999999998E-2</v>
      </c>
      <c r="P5317" s="508">
        <v>9.1999999999999998E-2</v>
      </c>
      <c r="Q5317" s="508">
        <v>9.1999999999999998E-2</v>
      </c>
      <c r="R5317" s="508">
        <v>9.1999999999999998E-2</v>
      </c>
      <c r="S5317" s="508">
        <v>9.1999999999999998E-2</v>
      </c>
      <c r="T5317" s="508">
        <v>9.1999999999999998E-2</v>
      </c>
      <c r="U5317" s="508">
        <v>9.1999999999999998E-2</v>
      </c>
      <c r="V5317" s="508">
        <v>9.1999999999999998E-2</v>
      </c>
      <c r="W5317" s="508">
        <v>9.1999999999999998E-2</v>
      </c>
      <c r="X5317" s="508">
        <v>9.1999999999999998E-2</v>
      </c>
      <c r="Y5317" s="508">
        <v>9.1999999999999998E-2</v>
      </c>
      <c r="Z5317" s="508">
        <v>9.1999999999999998E-2</v>
      </c>
      <c r="AA5317" s="508">
        <v>9.1999999999999998E-2</v>
      </c>
      <c r="AB5317" s="508">
        <v>9.1999999999999998E-2</v>
      </c>
      <c r="AC5317" s="508">
        <v>9.1999999999999998E-2</v>
      </c>
      <c r="AD5317" s="508">
        <v>9.1999999999999998E-2</v>
      </c>
      <c r="AE5317" s="508">
        <v>9.1999999999999998E-2</v>
      </c>
      <c r="AF5317" s="508">
        <v>9.1999999999999998E-2</v>
      </c>
      <c r="AG5317" s="508">
        <v>9.1999999999999998E-2</v>
      </c>
      <c r="AH5317" s="508">
        <v>9.1999999999999998E-2</v>
      </c>
      <c r="AI5317" s="492">
        <v>9.1999999999999998E-2</v>
      </c>
      <c r="AJ5317" s="485"/>
    </row>
    <row r="5318" spans="2:36">
      <c r="B5318" s="136" t="s">
        <v>479</v>
      </c>
      <c r="C5318" s="132" t="s">
        <v>1378</v>
      </c>
      <c r="D5318" s="132" t="s">
        <v>1379</v>
      </c>
      <c r="E5318" s="508">
        <v>0.08</v>
      </c>
      <c r="F5318" s="508">
        <v>0.08</v>
      </c>
      <c r="G5318" s="508">
        <v>0.08</v>
      </c>
      <c r="H5318" s="508">
        <v>0.08</v>
      </c>
      <c r="I5318" s="508">
        <v>0.08</v>
      </c>
      <c r="J5318" s="508">
        <v>0.08</v>
      </c>
      <c r="K5318" s="508">
        <v>0.08</v>
      </c>
      <c r="L5318" s="508">
        <v>0.08</v>
      </c>
      <c r="M5318" s="508">
        <v>0.08</v>
      </c>
      <c r="N5318" s="508">
        <v>0.08</v>
      </c>
      <c r="O5318" s="508">
        <v>0.08</v>
      </c>
      <c r="P5318" s="508">
        <v>0.08</v>
      </c>
      <c r="Q5318" s="508">
        <v>0.08</v>
      </c>
      <c r="R5318" s="508">
        <v>0.08</v>
      </c>
      <c r="S5318" s="508">
        <v>0.08</v>
      </c>
      <c r="T5318" s="508">
        <v>0.08</v>
      </c>
      <c r="U5318" s="508">
        <v>0.08</v>
      </c>
      <c r="V5318" s="508">
        <v>0.08</v>
      </c>
      <c r="W5318" s="508">
        <v>0.08</v>
      </c>
      <c r="X5318" s="508">
        <v>0.08</v>
      </c>
      <c r="Y5318" s="508">
        <v>0.08</v>
      </c>
      <c r="Z5318" s="508">
        <v>0.08</v>
      </c>
      <c r="AA5318" s="508">
        <v>0.08</v>
      </c>
      <c r="AB5318" s="508">
        <v>0.08</v>
      </c>
      <c r="AC5318" s="508">
        <v>0.08</v>
      </c>
      <c r="AD5318" s="508">
        <v>0.08</v>
      </c>
      <c r="AE5318" s="508">
        <v>0.08</v>
      </c>
      <c r="AF5318" s="508">
        <v>0.08</v>
      </c>
      <c r="AG5318" s="508">
        <v>0.08</v>
      </c>
      <c r="AH5318" s="508">
        <v>0.08</v>
      </c>
      <c r="AI5318" s="492">
        <v>0.08</v>
      </c>
      <c r="AJ5318" s="485"/>
    </row>
    <row r="5319" spans="2:36">
      <c r="B5319" s="136" t="s">
        <v>480</v>
      </c>
      <c r="C5319" s="132" t="s">
        <v>1378</v>
      </c>
      <c r="D5319" s="132" t="s">
        <v>1379</v>
      </c>
      <c r="E5319" s="508">
        <v>6.5000000000000002E-2</v>
      </c>
      <c r="F5319" s="508">
        <v>6.5000000000000002E-2</v>
      </c>
      <c r="G5319" s="508">
        <v>6.5000000000000002E-2</v>
      </c>
      <c r="H5319" s="508">
        <v>6.5000000000000002E-2</v>
      </c>
      <c r="I5319" s="508">
        <v>6.5000000000000002E-2</v>
      </c>
      <c r="J5319" s="508">
        <v>6.5000000000000002E-2</v>
      </c>
      <c r="K5319" s="508">
        <v>6.5000000000000002E-2</v>
      </c>
      <c r="L5319" s="508">
        <v>6.5000000000000002E-2</v>
      </c>
      <c r="M5319" s="508">
        <v>6.5000000000000002E-2</v>
      </c>
      <c r="N5319" s="508">
        <v>6.5000000000000002E-2</v>
      </c>
      <c r="O5319" s="508">
        <v>6.5000000000000002E-2</v>
      </c>
      <c r="P5319" s="508">
        <v>6.5000000000000002E-2</v>
      </c>
      <c r="Q5319" s="508">
        <v>6.5000000000000002E-2</v>
      </c>
      <c r="R5319" s="508">
        <v>6.5000000000000002E-2</v>
      </c>
      <c r="S5319" s="508">
        <v>6.5000000000000002E-2</v>
      </c>
      <c r="T5319" s="508">
        <v>6.5000000000000002E-2</v>
      </c>
      <c r="U5319" s="508">
        <v>6.5000000000000002E-2</v>
      </c>
      <c r="V5319" s="508">
        <v>6.5000000000000002E-2</v>
      </c>
      <c r="W5319" s="508">
        <v>6.5000000000000002E-2</v>
      </c>
      <c r="X5319" s="508">
        <v>6.5000000000000002E-2</v>
      </c>
      <c r="Y5319" s="508">
        <v>6.5000000000000002E-2</v>
      </c>
      <c r="Z5319" s="508">
        <v>6.5000000000000002E-2</v>
      </c>
      <c r="AA5319" s="508">
        <v>6.5000000000000002E-2</v>
      </c>
      <c r="AB5319" s="508">
        <v>6.5000000000000002E-2</v>
      </c>
      <c r="AC5319" s="508">
        <v>6.5000000000000002E-2</v>
      </c>
      <c r="AD5319" s="508">
        <v>6.5000000000000002E-2</v>
      </c>
      <c r="AE5319" s="508">
        <v>6.5000000000000002E-2</v>
      </c>
      <c r="AF5319" s="508">
        <v>6.5000000000000002E-2</v>
      </c>
      <c r="AG5319" s="508">
        <v>6.5000000000000002E-2</v>
      </c>
      <c r="AH5319" s="508">
        <v>6.5000000000000002E-2</v>
      </c>
      <c r="AI5319" s="492">
        <v>6.5000000000000002E-2</v>
      </c>
      <c r="AJ5319" s="485"/>
    </row>
    <row r="5320" spans="2:36">
      <c r="B5320" s="136" t="s">
        <v>481</v>
      </c>
      <c r="C5320" s="132" t="s">
        <v>1378</v>
      </c>
      <c r="D5320" s="132" t="s">
        <v>1379</v>
      </c>
      <c r="E5320" s="508">
        <v>8.2000000000000003E-2</v>
      </c>
      <c r="F5320" s="508">
        <v>8.2000000000000003E-2</v>
      </c>
      <c r="G5320" s="508">
        <v>8.2000000000000003E-2</v>
      </c>
      <c r="H5320" s="508">
        <v>8.2000000000000003E-2</v>
      </c>
      <c r="I5320" s="508">
        <v>8.2000000000000003E-2</v>
      </c>
      <c r="J5320" s="508">
        <v>8.2000000000000003E-2</v>
      </c>
      <c r="K5320" s="508">
        <v>8.2000000000000003E-2</v>
      </c>
      <c r="L5320" s="508">
        <v>8.2000000000000003E-2</v>
      </c>
      <c r="M5320" s="508">
        <v>8.2000000000000003E-2</v>
      </c>
      <c r="N5320" s="508">
        <v>8.2000000000000003E-2</v>
      </c>
      <c r="O5320" s="508">
        <v>8.2000000000000003E-2</v>
      </c>
      <c r="P5320" s="508">
        <v>8.2000000000000003E-2</v>
      </c>
      <c r="Q5320" s="508">
        <v>8.2000000000000003E-2</v>
      </c>
      <c r="R5320" s="508">
        <v>8.2000000000000003E-2</v>
      </c>
      <c r="S5320" s="508">
        <v>8.2000000000000003E-2</v>
      </c>
      <c r="T5320" s="508">
        <v>8.2000000000000003E-2</v>
      </c>
      <c r="U5320" s="508">
        <v>8.2000000000000003E-2</v>
      </c>
      <c r="V5320" s="508">
        <v>8.2000000000000003E-2</v>
      </c>
      <c r="W5320" s="508">
        <v>8.2000000000000003E-2</v>
      </c>
      <c r="X5320" s="508">
        <v>8.2000000000000003E-2</v>
      </c>
      <c r="Y5320" s="508">
        <v>8.2000000000000003E-2</v>
      </c>
      <c r="Z5320" s="508">
        <v>8.2000000000000003E-2</v>
      </c>
      <c r="AA5320" s="508">
        <v>8.2000000000000003E-2</v>
      </c>
      <c r="AB5320" s="508">
        <v>8.2000000000000003E-2</v>
      </c>
      <c r="AC5320" s="508">
        <v>8.2000000000000003E-2</v>
      </c>
      <c r="AD5320" s="508">
        <v>8.2000000000000003E-2</v>
      </c>
      <c r="AE5320" s="508">
        <v>8.2000000000000003E-2</v>
      </c>
      <c r="AF5320" s="508">
        <v>8.2000000000000003E-2</v>
      </c>
      <c r="AG5320" s="508">
        <v>8.2000000000000003E-2</v>
      </c>
      <c r="AH5320" s="508">
        <v>8.2000000000000003E-2</v>
      </c>
      <c r="AI5320" s="492">
        <v>8.2000000000000003E-2</v>
      </c>
      <c r="AJ5320" s="485"/>
    </row>
    <row r="5321" spans="2:36">
      <c r="B5321" s="136" t="s">
        <v>482</v>
      </c>
      <c r="C5321" s="132" t="s">
        <v>1378</v>
      </c>
      <c r="D5321" s="132" t="s">
        <v>1379</v>
      </c>
      <c r="E5321" s="508">
        <v>8.2000000000000003E-2</v>
      </c>
      <c r="F5321" s="508">
        <v>8.2000000000000003E-2</v>
      </c>
      <c r="G5321" s="508">
        <v>8.2000000000000003E-2</v>
      </c>
      <c r="H5321" s="508">
        <v>8.2000000000000003E-2</v>
      </c>
      <c r="I5321" s="508">
        <v>8.2000000000000003E-2</v>
      </c>
      <c r="J5321" s="508">
        <v>8.2000000000000003E-2</v>
      </c>
      <c r="K5321" s="508">
        <v>8.2000000000000003E-2</v>
      </c>
      <c r="L5321" s="508">
        <v>8.2000000000000003E-2</v>
      </c>
      <c r="M5321" s="508">
        <v>8.2000000000000003E-2</v>
      </c>
      <c r="N5321" s="508">
        <v>8.2000000000000003E-2</v>
      </c>
      <c r="O5321" s="508">
        <v>8.2000000000000003E-2</v>
      </c>
      <c r="P5321" s="508">
        <v>8.2000000000000003E-2</v>
      </c>
      <c r="Q5321" s="508">
        <v>8.2000000000000003E-2</v>
      </c>
      <c r="R5321" s="508">
        <v>8.2000000000000003E-2</v>
      </c>
      <c r="S5321" s="508">
        <v>8.2000000000000003E-2</v>
      </c>
      <c r="T5321" s="508">
        <v>8.2000000000000003E-2</v>
      </c>
      <c r="U5321" s="508">
        <v>8.2000000000000003E-2</v>
      </c>
      <c r="V5321" s="508">
        <v>8.2000000000000003E-2</v>
      </c>
      <c r="W5321" s="508">
        <v>8.2000000000000003E-2</v>
      </c>
      <c r="X5321" s="508">
        <v>8.2000000000000003E-2</v>
      </c>
      <c r="Y5321" s="508">
        <v>8.2000000000000003E-2</v>
      </c>
      <c r="Z5321" s="508">
        <v>8.2000000000000003E-2</v>
      </c>
      <c r="AA5321" s="508">
        <v>8.2000000000000003E-2</v>
      </c>
      <c r="AB5321" s="508">
        <v>8.2000000000000003E-2</v>
      </c>
      <c r="AC5321" s="508">
        <v>8.2000000000000003E-2</v>
      </c>
      <c r="AD5321" s="508">
        <v>8.2000000000000003E-2</v>
      </c>
      <c r="AE5321" s="508">
        <v>8.2000000000000003E-2</v>
      </c>
      <c r="AF5321" s="508">
        <v>8.2000000000000003E-2</v>
      </c>
      <c r="AG5321" s="508">
        <v>8.2000000000000003E-2</v>
      </c>
      <c r="AH5321" s="508">
        <v>8.2000000000000003E-2</v>
      </c>
      <c r="AI5321" s="492">
        <v>8.2000000000000003E-2</v>
      </c>
      <c r="AJ5321" s="485"/>
    </row>
    <row r="5322" spans="2:36">
      <c r="B5322" s="136" t="s">
        <v>483</v>
      </c>
      <c r="C5322" s="132" t="s">
        <v>1378</v>
      </c>
      <c r="D5322" s="132" t="s">
        <v>1379</v>
      </c>
      <c r="E5322" s="508">
        <v>9.0999999999999998E-2</v>
      </c>
      <c r="F5322" s="508">
        <v>9.0999999999999998E-2</v>
      </c>
      <c r="G5322" s="508">
        <v>9.0999999999999998E-2</v>
      </c>
      <c r="H5322" s="508">
        <v>9.0999999999999998E-2</v>
      </c>
      <c r="I5322" s="508">
        <v>9.0999999999999998E-2</v>
      </c>
      <c r="J5322" s="508">
        <v>9.0999999999999998E-2</v>
      </c>
      <c r="K5322" s="508">
        <v>9.0999999999999998E-2</v>
      </c>
      <c r="L5322" s="508">
        <v>9.0999999999999998E-2</v>
      </c>
      <c r="M5322" s="508">
        <v>9.0999999999999998E-2</v>
      </c>
      <c r="N5322" s="508">
        <v>9.0999999999999998E-2</v>
      </c>
      <c r="O5322" s="508">
        <v>9.0999999999999998E-2</v>
      </c>
      <c r="P5322" s="508">
        <v>9.0999999999999998E-2</v>
      </c>
      <c r="Q5322" s="508">
        <v>9.0999999999999998E-2</v>
      </c>
      <c r="R5322" s="508">
        <v>9.0999999999999998E-2</v>
      </c>
      <c r="S5322" s="508">
        <v>9.0999999999999998E-2</v>
      </c>
      <c r="T5322" s="508">
        <v>9.0999999999999998E-2</v>
      </c>
      <c r="U5322" s="508">
        <v>9.0999999999999998E-2</v>
      </c>
      <c r="V5322" s="508">
        <v>9.0999999999999998E-2</v>
      </c>
      <c r="W5322" s="508">
        <v>9.0999999999999998E-2</v>
      </c>
      <c r="X5322" s="508">
        <v>9.0999999999999998E-2</v>
      </c>
      <c r="Y5322" s="508">
        <v>9.0999999999999998E-2</v>
      </c>
      <c r="Z5322" s="508">
        <v>9.0999999999999998E-2</v>
      </c>
      <c r="AA5322" s="508">
        <v>9.0999999999999998E-2</v>
      </c>
      <c r="AB5322" s="508">
        <v>9.0999999999999998E-2</v>
      </c>
      <c r="AC5322" s="508">
        <v>9.0999999999999998E-2</v>
      </c>
      <c r="AD5322" s="508">
        <v>9.0999999999999998E-2</v>
      </c>
      <c r="AE5322" s="508">
        <v>9.0999999999999998E-2</v>
      </c>
      <c r="AF5322" s="508">
        <v>9.0999999999999998E-2</v>
      </c>
      <c r="AG5322" s="508">
        <v>9.0999999999999998E-2</v>
      </c>
      <c r="AH5322" s="508">
        <v>9.0999999999999998E-2</v>
      </c>
      <c r="AI5322" s="492">
        <v>9.0999999999999998E-2</v>
      </c>
      <c r="AJ5322" s="485"/>
    </row>
    <row r="5323" spans="2:36">
      <c r="B5323" s="136" t="s">
        <v>484</v>
      </c>
      <c r="C5323" s="132" t="s">
        <v>1378</v>
      </c>
      <c r="D5323" s="132" t="s">
        <v>1379</v>
      </c>
      <c r="E5323" s="508">
        <v>6.8000000000000005E-2</v>
      </c>
      <c r="F5323" s="508">
        <v>6.8000000000000005E-2</v>
      </c>
      <c r="G5323" s="508">
        <v>6.8000000000000005E-2</v>
      </c>
      <c r="H5323" s="508">
        <v>6.8000000000000005E-2</v>
      </c>
      <c r="I5323" s="508">
        <v>6.8000000000000005E-2</v>
      </c>
      <c r="J5323" s="508">
        <v>6.8000000000000005E-2</v>
      </c>
      <c r="K5323" s="508">
        <v>6.8000000000000005E-2</v>
      </c>
      <c r="L5323" s="508">
        <v>6.8000000000000005E-2</v>
      </c>
      <c r="M5323" s="508">
        <v>6.8000000000000005E-2</v>
      </c>
      <c r="N5323" s="508">
        <v>6.8000000000000005E-2</v>
      </c>
      <c r="O5323" s="508">
        <v>6.8000000000000005E-2</v>
      </c>
      <c r="P5323" s="508">
        <v>6.8000000000000005E-2</v>
      </c>
      <c r="Q5323" s="508">
        <v>6.8000000000000005E-2</v>
      </c>
      <c r="R5323" s="508">
        <v>6.8000000000000005E-2</v>
      </c>
      <c r="S5323" s="508">
        <v>6.8000000000000005E-2</v>
      </c>
      <c r="T5323" s="508">
        <v>6.8000000000000005E-2</v>
      </c>
      <c r="U5323" s="508">
        <v>6.8000000000000005E-2</v>
      </c>
      <c r="V5323" s="508">
        <v>6.8000000000000005E-2</v>
      </c>
      <c r="W5323" s="508">
        <v>6.8000000000000005E-2</v>
      </c>
      <c r="X5323" s="508">
        <v>6.8000000000000005E-2</v>
      </c>
      <c r="Y5323" s="508">
        <v>6.8000000000000005E-2</v>
      </c>
      <c r="Z5323" s="508">
        <v>6.8000000000000005E-2</v>
      </c>
      <c r="AA5323" s="508">
        <v>6.8000000000000005E-2</v>
      </c>
      <c r="AB5323" s="508">
        <v>6.8000000000000005E-2</v>
      </c>
      <c r="AC5323" s="508">
        <v>6.8000000000000005E-2</v>
      </c>
      <c r="AD5323" s="508">
        <v>6.8000000000000005E-2</v>
      </c>
      <c r="AE5323" s="508">
        <v>6.8000000000000005E-2</v>
      </c>
      <c r="AF5323" s="508">
        <v>6.8000000000000005E-2</v>
      </c>
      <c r="AG5323" s="508">
        <v>6.8000000000000005E-2</v>
      </c>
      <c r="AH5323" s="508">
        <v>6.8000000000000005E-2</v>
      </c>
      <c r="AI5323" s="492">
        <v>6.8000000000000005E-2</v>
      </c>
      <c r="AJ5323" s="485"/>
    </row>
    <row r="5324" spans="2:36">
      <c r="B5324" s="136" t="s">
        <v>486</v>
      </c>
      <c r="C5324" s="132" t="s">
        <v>1378</v>
      </c>
      <c r="D5324" s="132" t="s">
        <v>1379</v>
      </c>
      <c r="E5324" s="508">
        <v>8.3000000000000004E-2</v>
      </c>
      <c r="F5324" s="508">
        <v>8.3000000000000004E-2</v>
      </c>
      <c r="G5324" s="508">
        <v>8.3000000000000004E-2</v>
      </c>
      <c r="H5324" s="508">
        <v>8.3000000000000004E-2</v>
      </c>
      <c r="I5324" s="508">
        <v>8.3000000000000004E-2</v>
      </c>
      <c r="J5324" s="508">
        <v>8.3000000000000004E-2</v>
      </c>
      <c r="K5324" s="508">
        <v>8.3000000000000004E-2</v>
      </c>
      <c r="L5324" s="508">
        <v>8.3000000000000004E-2</v>
      </c>
      <c r="M5324" s="508">
        <v>8.3000000000000004E-2</v>
      </c>
      <c r="N5324" s="508">
        <v>8.3000000000000004E-2</v>
      </c>
      <c r="O5324" s="508">
        <v>8.3000000000000004E-2</v>
      </c>
      <c r="P5324" s="508">
        <v>8.3000000000000004E-2</v>
      </c>
      <c r="Q5324" s="508">
        <v>8.3000000000000004E-2</v>
      </c>
      <c r="R5324" s="508">
        <v>8.3000000000000004E-2</v>
      </c>
      <c r="S5324" s="508">
        <v>8.3000000000000004E-2</v>
      </c>
      <c r="T5324" s="508">
        <v>8.3000000000000004E-2</v>
      </c>
      <c r="U5324" s="508">
        <v>8.3000000000000004E-2</v>
      </c>
      <c r="V5324" s="508">
        <v>8.3000000000000004E-2</v>
      </c>
      <c r="W5324" s="508">
        <v>8.3000000000000004E-2</v>
      </c>
      <c r="X5324" s="508">
        <v>8.3000000000000004E-2</v>
      </c>
      <c r="Y5324" s="508">
        <v>8.3000000000000004E-2</v>
      </c>
      <c r="Z5324" s="508">
        <v>8.3000000000000004E-2</v>
      </c>
      <c r="AA5324" s="508">
        <v>8.3000000000000004E-2</v>
      </c>
      <c r="AB5324" s="508">
        <v>8.3000000000000004E-2</v>
      </c>
      <c r="AC5324" s="508">
        <v>8.3000000000000004E-2</v>
      </c>
      <c r="AD5324" s="508">
        <v>8.3000000000000004E-2</v>
      </c>
      <c r="AE5324" s="508">
        <v>8.3000000000000004E-2</v>
      </c>
      <c r="AF5324" s="508">
        <v>8.3000000000000004E-2</v>
      </c>
      <c r="AG5324" s="508">
        <v>8.3000000000000004E-2</v>
      </c>
      <c r="AH5324" s="508">
        <v>8.3000000000000004E-2</v>
      </c>
      <c r="AI5324" s="492">
        <v>8.3000000000000004E-2</v>
      </c>
      <c r="AJ5324" s="485"/>
    </row>
    <row r="5325" spans="2:36">
      <c r="B5325" s="136" t="s">
        <v>487</v>
      </c>
      <c r="C5325" s="132" t="s">
        <v>1378</v>
      </c>
      <c r="D5325" s="132" t="s">
        <v>1379</v>
      </c>
      <c r="E5325" s="508">
        <v>8.2000000000000003E-2</v>
      </c>
      <c r="F5325" s="508">
        <v>8.2000000000000003E-2</v>
      </c>
      <c r="G5325" s="508">
        <v>8.2000000000000003E-2</v>
      </c>
      <c r="H5325" s="508">
        <v>8.2000000000000003E-2</v>
      </c>
      <c r="I5325" s="508">
        <v>8.2000000000000003E-2</v>
      </c>
      <c r="J5325" s="508">
        <v>8.2000000000000003E-2</v>
      </c>
      <c r="K5325" s="508">
        <v>8.2000000000000003E-2</v>
      </c>
      <c r="L5325" s="508">
        <v>8.2000000000000003E-2</v>
      </c>
      <c r="M5325" s="508">
        <v>8.2000000000000003E-2</v>
      </c>
      <c r="N5325" s="508">
        <v>8.2000000000000003E-2</v>
      </c>
      <c r="O5325" s="508">
        <v>8.2000000000000003E-2</v>
      </c>
      <c r="P5325" s="508">
        <v>8.2000000000000003E-2</v>
      </c>
      <c r="Q5325" s="508">
        <v>8.2000000000000003E-2</v>
      </c>
      <c r="R5325" s="508">
        <v>8.2000000000000003E-2</v>
      </c>
      <c r="S5325" s="508">
        <v>8.2000000000000003E-2</v>
      </c>
      <c r="T5325" s="508">
        <v>8.2000000000000003E-2</v>
      </c>
      <c r="U5325" s="508">
        <v>8.2000000000000003E-2</v>
      </c>
      <c r="V5325" s="508">
        <v>8.2000000000000003E-2</v>
      </c>
      <c r="W5325" s="508">
        <v>8.2000000000000003E-2</v>
      </c>
      <c r="X5325" s="508">
        <v>8.2000000000000003E-2</v>
      </c>
      <c r="Y5325" s="508">
        <v>8.2000000000000003E-2</v>
      </c>
      <c r="Z5325" s="508">
        <v>8.2000000000000003E-2</v>
      </c>
      <c r="AA5325" s="508">
        <v>8.2000000000000003E-2</v>
      </c>
      <c r="AB5325" s="508">
        <v>8.2000000000000003E-2</v>
      </c>
      <c r="AC5325" s="508">
        <v>8.2000000000000003E-2</v>
      </c>
      <c r="AD5325" s="508">
        <v>8.2000000000000003E-2</v>
      </c>
      <c r="AE5325" s="508">
        <v>8.2000000000000003E-2</v>
      </c>
      <c r="AF5325" s="508">
        <v>8.2000000000000003E-2</v>
      </c>
      <c r="AG5325" s="508">
        <v>8.2000000000000003E-2</v>
      </c>
      <c r="AH5325" s="508">
        <v>8.2000000000000003E-2</v>
      </c>
      <c r="AI5325" s="492">
        <v>8.2000000000000003E-2</v>
      </c>
      <c r="AJ5325" s="485"/>
    </row>
    <row r="5326" spans="2:36">
      <c r="B5326" s="136" t="s">
        <v>488</v>
      </c>
      <c r="C5326" s="132" t="s">
        <v>1378</v>
      </c>
      <c r="D5326" s="132" t="s">
        <v>1379</v>
      </c>
      <c r="E5326" s="508">
        <v>7.0999999999999994E-2</v>
      </c>
      <c r="F5326" s="508">
        <v>7.0999999999999994E-2</v>
      </c>
      <c r="G5326" s="508">
        <v>7.0999999999999994E-2</v>
      </c>
      <c r="H5326" s="508">
        <v>7.0999999999999994E-2</v>
      </c>
      <c r="I5326" s="508">
        <v>7.0999999999999994E-2</v>
      </c>
      <c r="J5326" s="508">
        <v>7.0999999999999994E-2</v>
      </c>
      <c r="K5326" s="508">
        <v>7.0999999999999994E-2</v>
      </c>
      <c r="L5326" s="508">
        <v>7.0999999999999994E-2</v>
      </c>
      <c r="M5326" s="508">
        <v>7.0999999999999994E-2</v>
      </c>
      <c r="N5326" s="508">
        <v>7.0999999999999994E-2</v>
      </c>
      <c r="O5326" s="508">
        <v>7.0999999999999994E-2</v>
      </c>
      <c r="P5326" s="508">
        <v>7.0999999999999994E-2</v>
      </c>
      <c r="Q5326" s="508">
        <v>7.0999999999999994E-2</v>
      </c>
      <c r="R5326" s="508">
        <v>7.0999999999999994E-2</v>
      </c>
      <c r="S5326" s="508">
        <v>7.0999999999999994E-2</v>
      </c>
      <c r="T5326" s="508">
        <v>7.0999999999999994E-2</v>
      </c>
      <c r="U5326" s="508">
        <v>7.0999999999999994E-2</v>
      </c>
      <c r="V5326" s="508">
        <v>7.0999999999999994E-2</v>
      </c>
      <c r="W5326" s="508">
        <v>7.0999999999999994E-2</v>
      </c>
      <c r="X5326" s="508">
        <v>7.0999999999999994E-2</v>
      </c>
      <c r="Y5326" s="508">
        <v>7.0999999999999994E-2</v>
      </c>
      <c r="Z5326" s="508">
        <v>7.0999999999999994E-2</v>
      </c>
      <c r="AA5326" s="508">
        <v>7.0999999999999994E-2</v>
      </c>
      <c r="AB5326" s="508">
        <v>7.0999999999999994E-2</v>
      </c>
      <c r="AC5326" s="508">
        <v>7.0999999999999994E-2</v>
      </c>
      <c r="AD5326" s="508">
        <v>7.0999999999999994E-2</v>
      </c>
      <c r="AE5326" s="508">
        <v>7.0999999999999994E-2</v>
      </c>
      <c r="AF5326" s="508">
        <v>7.0999999999999994E-2</v>
      </c>
      <c r="AG5326" s="508">
        <v>7.0999999999999994E-2</v>
      </c>
      <c r="AH5326" s="508">
        <v>7.0999999999999994E-2</v>
      </c>
      <c r="AI5326" s="492">
        <v>7.0999999999999994E-2</v>
      </c>
      <c r="AJ5326" s="485"/>
    </row>
    <row r="5327" spans="2:36">
      <c r="B5327" s="136" t="s">
        <v>489</v>
      </c>
      <c r="C5327" s="132" t="s">
        <v>1378</v>
      </c>
      <c r="D5327" s="132" t="s">
        <v>1379</v>
      </c>
      <c r="E5327" s="508">
        <v>7.6999999999999999E-2</v>
      </c>
      <c r="F5327" s="508">
        <v>7.6999999999999999E-2</v>
      </c>
      <c r="G5327" s="508">
        <v>7.6999999999999999E-2</v>
      </c>
      <c r="H5327" s="508">
        <v>7.6999999999999999E-2</v>
      </c>
      <c r="I5327" s="508">
        <v>7.6999999999999999E-2</v>
      </c>
      <c r="J5327" s="508">
        <v>7.6999999999999999E-2</v>
      </c>
      <c r="K5327" s="508">
        <v>7.6999999999999999E-2</v>
      </c>
      <c r="L5327" s="508">
        <v>7.6999999999999999E-2</v>
      </c>
      <c r="M5327" s="508">
        <v>7.6999999999999999E-2</v>
      </c>
      <c r="N5327" s="508">
        <v>7.6999999999999999E-2</v>
      </c>
      <c r="O5327" s="508">
        <v>7.6999999999999999E-2</v>
      </c>
      <c r="P5327" s="508">
        <v>7.6999999999999999E-2</v>
      </c>
      <c r="Q5327" s="508">
        <v>7.6999999999999999E-2</v>
      </c>
      <c r="R5327" s="508">
        <v>7.6999999999999999E-2</v>
      </c>
      <c r="S5327" s="508">
        <v>7.6999999999999999E-2</v>
      </c>
      <c r="T5327" s="508">
        <v>7.6999999999999999E-2</v>
      </c>
      <c r="U5327" s="508">
        <v>7.6999999999999999E-2</v>
      </c>
      <c r="V5327" s="508">
        <v>7.6999999999999999E-2</v>
      </c>
      <c r="W5327" s="508">
        <v>7.6999999999999999E-2</v>
      </c>
      <c r="X5327" s="508">
        <v>7.6999999999999999E-2</v>
      </c>
      <c r="Y5327" s="508">
        <v>7.6999999999999999E-2</v>
      </c>
      <c r="Z5327" s="508">
        <v>7.6999999999999999E-2</v>
      </c>
      <c r="AA5327" s="508">
        <v>7.6999999999999999E-2</v>
      </c>
      <c r="AB5327" s="508">
        <v>7.6999999999999999E-2</v>
      </c>
      <c r="AC5327" s="508">
        <v>7.6999999999999999E-2</v>
      </c>
      <c r="AD5327" s="508">
        <v>7.6999999999999999E-2</v>
      </c>
      <c r="AE5327" s="508">
        <v>7.6999999999999999E-2</v>
      </c>
      <c r="AF5327" s="508">
        <v>7.6999999999999999E-2</v>
      </c>
      <c r="AG5327" s="508">
        <v>7.6999999999999999E-2</v>
      </c>
      <c r="AH5327" s="508">
        <v>7.6999999999999999E-2</v>
      </c>
      <c r="AI5327" s="492">
        <v>7.6999999999999999E-2</v>
      </c>
      <c r="AJ5327" s="485"/>
    </row>
    <row r="5328" spans="2:36">
      <c r="B5328" s="136" t="s">
        <v>490</v>
      </c>
      <c r="C5328" s="132" t="s">
        <v>1378</v>
      </c>
      <c r="D5328" s="132" t="s">
        <v>1379</v>
      </c>
      <c r="E5328" s="508">
        <v>6.6000000000000003E-2</v>
      </c>
      <c r="F5328" s="508">
        <v>6.6000000000000003E-2</v>
      </c>
      <c r="G5328" s="508">
        <v>6.6000000000000003E-2</v>
      </c>
      <c r="H5328" s="508">
        <v>6.6000000000000003E-2</v>
      </c>
      <c r="I5328" s="508">
        <v>6.6000000000000003E-2</v>
      </c>
      <c r="J5328" s="508">
        <v>6.6000000000000003E-2</v>
      </c>
      <c r="K5328" s="508">
        <v>6.6000000000000003E-2</v>
      </c>
      <c r="L5328" s="508">
        <v>6.6000000000000003E-2</v>
      </c>
      <c r="M5328" s="508">
        <v>6.6000000000000003E-2</v>
      </c>
      <c r="N5328" s="508">
        <v>6.6000000000000003E-2</v>
      </c>
      <c r="O5328" s="508">
        <v>6.6000000000000003E-2</v>
      </c>
      <c r="P5328" s="508">
        <v>6.6000000000000003E-2</v>
      </c>
      <c r="Q5328" s="508">
        <v>6.6000000000000003E-2</v>
      </c>
      <c r="R5328" s="508">
        <v>6.6000000000000003E-2</v>
      </c>
      <c r="S5328" s="508">
        <v>6.6000000000000003E-2</v>
      </c>
      <c r="T5328" s="508">
        <v>6.6000000000000003E-2</v>
      </c>
      <c r="U5328" s="508">
        <v>6.6000000000000003E-2</v>
      </c>
      <c r="V5328" s="508">
        <v>6.6000000000000003E-2</v>
      </c>
      <c r="W5328" s="508">
        <v>6.6000000000000003E-2</v>
      </c>
      <c r="X5328" s="508">
        <v>6.6000000000000003E-2</v>
      </c>
      <c r="Y5328" s="508">
        <v>6.6000000000000003E-2</v>
      </c>
      <c r="Z5328" s="508">
        <v>6.6000000000000003E-2</v>
      </c>
      <c r="AA5328" s="508">
        <v>6.6000000000000003E-2</v>
      </c>
      <c r="AB5328" s="508">
        <v>6.6000000000000003E-2</v>
      </c>
      <c r="AC5328" s="508">
        <v>6.6000000000000003E-2</v>
      </c>
      <c r="AD5328" s="508">
        <v>6.6000000000000003E-2</v>
      </c>
      <c r="AE5328" s="508">
        <v>6.6000000000000003E-2</v>
      </c>
      <c r="AF5328" s="508">
        <v>6.6000000000000003E-2</v>
      </c>
      <c r="AG5328" s="508">
        <v>6.6000000000000003E-2</v>
      </c>
      <c r="AH5328" s="508">
        <v>6.6000000000000003E-2</v>
      </c>
      <c r="AI5328" s="492">
        <v>6.6000000000000003E-2</v>
      </c>
      <c r="AJ5328" s="485"/>
    </row>
    <row r="5329" spans="2:36">
      <c r="B5329" s="136" t="s">
        <v>435</v>
      </c>
      <c r="C5329" s="132" t="s">
        <v>1362</v>
      </c>
      <c r="D5329" s="132" t="s">
        <v>285</v>
      </c>
      <c r="E5329" s="508">
        <v>3.0010000000000003</v>
      </c>
      <c r="F5329" s="508">
        <v>2.9940000000000002</v>
      </c>
      <c r="G5329" s="508">
        <v>3.0190000000000001</v>
      </c>
      <c r="H5329" s="508">
        <v>1.121</v>
      </c>
      <c r="I5329" s="508">
        <v>1.129</v>
      </c>
      <c r="J5329" s="508">
        <v>1.1480000000000001</v>
      </c>
      <c r="K5329" s="508">
        <v>1.2149999999999999</v>
      </c>
      <c r="L5329" s="508">
        <v>1.216</v>
      </c>
      <c r="M5329" s="508">
        <v>1.2</v>
      </c>
      <c r="N5329" s="508">
        <v>1.2000000000000002</v>
      </c>
      <c r="O5329" s="508">
        <v>1.2010000000000001</v>
      </c>
      <c r="P5329" s="508">
        <v>1.2060000000000002</v>
      </c>
      <c r="Q5329" s="508">
        <v>1.2000000000000002</v>
      </c>
      <c r="R5329" s="508">
        <v>0.84899999999999998</v>
      </c>
      <c r="S5329" s="508">
        <v>0.85599999999999998</v>
      </c>
      <c r="T5329" s="508">
        <v>0.85699999999999998</v>
      </c>
      <c r="U5329" s="508">
        <v>0.85199999999999998</v>
      </c>
      <c r="V5329" s="508">
        <v>0.84899999999999998</v>
      </c>
      <c r="W5329" s="508">
        <v>0.77</v>
      </c>
      <c r="X5329" s="508">
        <v>0.76600000000000001</v>
      </c>
      <c r="Y5329" s="508">
        <v>0.76800000000000002</v>
      </c>
      <c r="Z5329" s="508">
        <v>0.76900000000000002</v>
      </c>
      <c r="AA5329" s="508">
        <v>4.1999999999999996E-2</v>
      </c>
      <c r="AB5329" s="508">
        <v>4.1999999999999996E-2</v>
      </c>
      <c r="AC5329" s="508">
        <v>4.1999999999999996E-2</v>
      </c>
      <c r="AD5329" s="508">
        <v>4.5000000000000005E-2</v>
      </c>
      <c r="AE5329" s="508">
        <v>4.5000000000000005E-2</v>
      </c>
      <c r="AF5329" s="508">
        <v>3.3000000000000002E-2</v>
      </c>
      <c r="AG5329" s="508">
        <v>3.2000000000000001E-2</v>
      </c>
      <c r="AH5329" s="508">
        <v>3.1E-2</v>
      </c>
      <c r="AI5329" s="492">
        <v>3.1E-2</v>
      </c>
      <c r="AJ5329" s="485"/>
    </row>
    <row r="5330" spans="2:36">
      <c r="B5330" s="136" t="s">
        <v>436</v>
      </c>
      <c r="C5330" s="132" t="s">
        <v>1362</v>
      </c>
      <c r="D5330" s="132" t="s">
        <v>285</v>
      </c>
      <c r="E5330" s="508">
        <v>2.9710000000000001</v>
      </c>
      <c r="F5330" s="508">
        <v>2.9650000000000003</v>
      </c>
      <c r="G5330" s="508">
        <v>2.99</v>
      </c>
      <c r="H5330" s="508">
        <v>1.125</v>
      </c>
      <c r="I5330" s="508">
        <v>1.1319999999999999</v>
      </c>
      <c r="J5330" s="508">
        <v>1.151</v>
      </c>
      <c r="K5330" s="508">
        <v>1.224</v>
      </c>
      <c r="L5330" s="508">
        <v>1.2249999999999999</v>
      </c>
      <c r="M5330" s="508">
        <v>1.2090000000000001</v>
      </c>
      <c r="N5330" s="508">
        <v>1.2229999999999999</v>
      </c>
      <c r="O5330" s="508">
        <v>1.224</v>
      </c>
      <c r="P5330" s="508">
        <v>1.23</v>
      </c>
      <c r="Q5330" s="508">
        <v>1.2229999999999999</v>
      </c>
      <c r="R5330" s="508">
        <v>0.871</v>
      </c>
      <c r="S5330" s="508">
        <v>0.877</v>
      </c>
      <c r="T5330" s="508">
        <v>0.878</v>
      </c>
      <c r="U5330" s="508">
        <v>0.874</v>
      </c>
      <c r="V5330" s="508">
        <v>0.871</v>
      </c>
      <c r="W5330" s="508">
        <v>0.79</v>
      </c>
      <c r="X5330" s="508">
        <v>0.78600000000000003</v>
      </c>
      <c r="Y5330" s="508">
        <v>0.78900000000000003</v>
      </c>
      <c r="Z5330" s="508">
        <v>0.79</v>
      </c>
      <c r="AA5330" s="508">
        <v>4.3999999999999997E-2</v>
      </c>
      <c r="AB5330" s="508">
        <v>4.3999999999999997E-2</v>
      </c>
      <c r="AC5330" s="508">
        <v>4.3999999999999997E-2</v>
      </c>
      <c r="AD5330" s="508">
        <v>0.05</v>
      </c>
      <c r="AE5330" s="508">
        <v>0.05</v>
      </c>
      <c r="AF5330" s="508">
        <v>3.7999999999999999E-2</v>
      </c>
      <c r="AG5330" s="508">
        <v>3.7000000000000005E-2</v>
      </c>
      <c r="AH5330" s="508">
        <v>3.6000000000000004E-2</v>
      </c>
      <c r="AI5330" s="492">
        <v>3.6000000000000004E-2</v>
      </c>
      <c r="AJ5330" s="485"/>
    </row>
    <row r="5331" spans="2:36">
      <c r="B5331" s="136" t="s">
        <v>437</v>
      </c>
      <c r="C5331" s="132" t="s">
        <v>1362</v>
      </c>
      <c r="D5331" s="132" t="s">
        <v>285</v>
      </c>
      <c r="E5331" s="508">
        <v>3.0250000000000004</v>
      </c>
      <c r="F5331" s="508">
        <v>3.0190000000000001</v>
      </c>
      <c r="G5331" s="508">
        <v>3.044</v>
      </c>
      <c r="H5331" s="508">
        <v>1.1499999999999999</v>
      </c>
      <c r="I5331" s="508">
        <v>1.1579999999999999</v>
      </c>
      <c r="J5331" s="508">
        <v>1.1779999999999999</v>
      </c>
      <c r="K5331" s="508">
        <v>1.242</v>
      </c>
      <c r="L5331" s="508">
        <v>1.242</v>
      </c>
      <c r="M5331" s="508">
        <v>1.228</v>
      </c>
      <c r="N5331" s="508">
        <v>1.2479999999999998</v>
      </c>
      <c r="O5331" s="508">
        <v>1.2490000000000001</v>
      </c>
      <c r="P5331" s="508">
        <v>1.254</v>
      </c>
      <c r="Q5331" s="508">
        <v>1.2479999999999998</v>
      </c>
      <c r="R5331" s="508">
        <v>0.88</v>
      </c>
      <c r="S5331" s="508">
        <v>0.88600000000000001</v>
      </c>
      <c r="T5331" s="508">
        <v>0.88700000000000001</v>
      </c>
      <c r="U5331" s="508">
        <v>0.88200000000000001</v>
      </c>
      <c r="V5331" s="508">
        <v>0.88</v>
      </c>
      <c r="W5331" s="508">
        <v>0.79699999999999993</v>
      </c>
      <c r="X5331" s="508">
        <v>0.79299999999999993</v>
      </c>
      <c r="Y5331" s="508">
        <v>0.79599999999999993</v>
      </c>
      <c r="Z5331" s="508">
        <v>0.79699999999999993</v>
      </c>
      <c r="AA5331" s="508">
        <v>4.3999999999999997E-2</v>
      </c>
      <c r="AB5331" s="508">
        <v>4.3999999999999997E-2</v>
      </c>
      <c r="AC5331" s="508">
        <v>4.4999999999999998E-2</v>
      </c>
      <c r="AD5331" s="508">
        <v>4.8000000000000001E-2</v>
      </c>
      <c r="AE5331" s="508">
        <v>4.8000000000000001E-2</v>
      </c>
      <c r="AF5331" s="508">
        <v>3.5999999999999997E-2</v>
      </c>
      <c r="AG5331" s="508">
        <v>3.4999999999999996E-2</v>
      </c>
      <c r="AH5331" s="508">
        <v>3.4000000000000002E-2</v>
      </c>
      <c r="AI5331" s="492">
        <v>3.4000000000000002E-2</v>
      </c>
      <c r="AJ5331" s="485"/>
    </row>
    <row r="5332" spans="2:36">
      <c r="B5332" s="136" t="s">
        <v>438</v>
      </c>
      <c r="C5332" s="132" t="s">
        <v>1362</v>
      </c>
      <c r="D5332" s="132" t="s">
        <v>285</v>
      </c>
      <c r="E5332" s="508">
        <v>2.9420000000000002</v>
      </c>
      <c r="F5332" s="508">
        <v>2.9360000000000004</v>
      </c>
      <c r="G5332" s="508">
        <v>2.9610000000000003</v>
      </c>
      <c r="H5332" s="508">
        <v>1.101</v>
      </c>
      <c r="I5332" s="508">
        <v>1.1079999999999999</v>
      </c>
      <c r="J5332" s="508">
        <v>1.127</v>
      </c>
      <c r="K5332" s="508">
        <v>1.202</v>
      </c>
      <c r="L5332" s="508">
        <v>1.202</v>
      </c>
      <c r="M5332" s="508">
        <v>1.1870000000000001</v>
      </c>
      <c r="N5332" s="508">
        <v>1.1890000000000001</v>
      </c>
      <c r="O5332" s="508">
        <v>1.19</v>
      </c>
      <c r="P5332" s="508">
        <v>1.1949999999999998</v>
      </c>
      <c r="Q5332" s="508">
        <v>1.1890000000000001</v>
      </c>
      <c r="R5332" s="508">
        <v>0.84399999999999997</v>
      </c>
      <c r="S5332" s="508">
        <v>0.85099999999999998</v>
      </c>
      <c r="T5332" s="508">
        <v>0.85199999999999998</v>
      </c>
      <c r="U5332" s="508">
        <v>0.84699999999999998</v>
      </c>
      <c r="V5332" s="508">
        <v>0.84399999999999997</v>
      </c>
      <c r="W5332" s="508">
        <v>0.76600000000000001</v>
      </c>
      <c r="X5332" s="508">
        <v>0.76200000000000001</v>
      </c>
      <c r="Y5332" s="508">
        <v>0.76400000000000001</v>
      </c>
      <c r="Z5332" s="508">
        <v>0.76500000000000001</v>
      </c>
      <c r="AA5332" s="508">
        <v>4.2000000000000003E-2</v>
      </c>
      <c r="AB5332" s="508">
        <v>4.2000000000000003E-2</v>
      </c>
      <c r="AC5332" s="508">
        <v>4.2999999999999997E-2</v>
      </c>
      <c r="AD5332" s="508">
        <v>4.8000000000000001E-2</v>
      </c>
      <c r="AE5332" s="508">
        <v>4.7E-2</v>
      </c>
      <c r="AF5332" s="508">
        <v>3.5999999999999997E-2</v>
      </c>
      <c r="AG5332" s="508">
        <v>3.5000000000000003E-2</v>
      </c>
      <c r="AH5332" s="508">
        <v>3.4000000000000002E-2</v>
      </c>
      <c r="AI5332" s="492">
        <v>3.4000000000000002E-2</v>
      </c>
      <c r="AJ5332" s="485"/>
    </row>
    <row r="5333" spans="2:36">
      <c r="B5333" s="136" t="s">
        <v>439</v>
      </c>
      <c r="C5333" s="132" t="s">
        <v>1362</v>
      </c>
      <c r="D5333" s="132" t="s">
        <v>285</v>
      </c>
      <c r="E5333" s="508">
        <v>2.9979999999999998</v>
      </c>
      <c r="F5333" s="508">
        <v>2.992</v>
      </c>
      <c r="G5333" s="508">
        <v>3.0169999999999999</v>
      </c>
      <c r="H5333" s="508">
        <v>1.117</v>
      </c>
      <c r="I5333" s="508">
        <v>1.125</v>
      </c>
      <c r="J5333" s="508">
        <v>1.1460000000000001</v>
      </c>
      <c r="K5333" s="508">
        <v>1.2070000000000001</v>
      </c>
      <c r="L5333" s="508">
        <v>1.2070000000000001</v>
      </c>
      <c r="M5333" s="508">
        <v>1.1930000000000001</v>
      </c>
      <c r="N5333" s="508">
        <v>1.1949999999999998</v>
      </c>
      <c r="O5333" s="508">
        <v>1.196</v>
      </c>
      <c r="P5333" s="508">
        <v>1.2009999999999998</v>
      </c>
      <c r="Q5333" s="508">
        <v>1.1949999999999998</v>
      </c>
      <c r="R5333" s="508">
        <v>0.82600000000000007</v>
      </c>
      <c r="S5333" s="508">
        <v>0.83300000000000007</v>
      </c>
      <c r="T5333" s="508">
        <v>0.83400000000000007</v>
      </c>
      <c r="U5333" s="508">
        <v>0.82900000000000007</v>
      </c>
      <c r="V5333" s="508">
        <v>0.82600000000000007</v>
      </c>
      <c r="W5333" s="508">
        <v>0.75</v>
      </c>
      <c r="X5333" s="508">
        <v>0.746</v>
      </c>
      <c r="Y5333" s="508">
        <v>0.748</v>
      </c>
      <c r="Z5333" s="508">
        <v>0.749</v>
      </c>
      <c r="AA5333" s="508">
        <v>4.1000000000000002E-2</v>
      </c>
      <c r="AB5333" s="508">
        <v>0.04</v>
      </c>
      <c r="AC5333" s="508">
        <v>4.1000000000000002E-2</v>
      </c>
      <c r="AD5333" s="508">
        <v>4.1999999999999996E-2</v>
      </c>
      <c r="AE5333" s="508">
        <v>4.1000000000000002E-2</v>
      </c>
      <c r="AF5333" s="508">
        <v>2.8999999999999998E-2</v>
      </c>
      <c r="AG5333" s="508">
        <v>2.7999999999999997E-2</v>
      </c>
      <c r="AH5333" s="508">
        <v>2.7000000000000003E-2</v>
      </c>
      <c r="AI5333" s="492">
        <v>2.7000000000000003E-2</v>
      </c>
      <c r="AJ5333" s="485"/>
    </row>
    <row r="5334" spans="2:36">
      <c r="B5334" s="136" t="s">
        <v>440</v>
      </c>
      <c r="C5334" s="132" t="s">
        <v>1362</v>
      </c>
      <c r="D5334" s="132" t="s">
        <v>285</v>
      </c>
      <c r="E5334" s="508">
        <v>2.992</v>
      </c>
      <c r="F5334" s="508">
        <v>2.9859999999999998</v>
      </c>
      <c r="G5334" s="508">
        <v>3.0109999999999997</v>
      </c>
      <c r="H5334" s="508">
        <v>1.1240000000000001</v>
      </c>
      <c r="I5334" s="508">
        <v>1.131</v>
      </c>
      <c r="J5334" s="508">
        <v>1.151</v>
      </c>
      <c r="K5334" s="508">
        <v>1.2170000000000001</v>
      </c>
      <c r="L5334" s="508">
        <v>1.218</v>
      </c>
      <c r="M5334" s="508">
        <v>1.2030000000000001</v>
      </c>
      <c r="N5334" s="508">
        <v>1.21</v>
      </c>
      <c r="O5334" s="508">
        <v>1.2110000000000001</v>
      </c>
      <c r="P5334" s="508">
        <v>1.216</v>
      </c>
      <c r="Q5334" s="508">
        <v>1.21</v>
      </c>
      <c r="R5334" s="508">
        <v>0.84899999999999998</v>
      </c>
      <c r="S5334" s="508">
        <v>0.85599999999999998</v>
      </c>
      <c r="T5334" s="508">
        <v>0.85699999999999998</v>
      </c>
      <c r="U5334" s="508">
        <v>0.85299999999999998</v>
      </c>
      <c r="V5334" s="508">
        <v>0.85</v>
      </c>
      <c r="W5334" s="508">
        <v>0.77</v>
      </c>
      <c r="X5334" s="508">
        <v>0.76600000000000001</v>
      </c>
      <c r="Y5334" s="508">
        <v>0.76800000000000002</v>
      </c>
      <c r="Z5334" s="508">
        <v>0.76900000000000002</v>
      </c>
      <c r="AA5334" s="508">
        <v>4.1999999999999996E-2</v>
      </c>
      <c r="AB5334" s="508">
        <v>4.1999999999999996E-2</v>
      </c>
      <c r="AC5334" s="508">
        <v>4.1999999999999996E-2</v>
      </c>
      <c r="AD5334" s="508">
        <v>4.5999999999999999E-2</v>
      </c>
      <c r="AE5334" s="508">
        <v>4.5999999999999999E-2</v>
      </c>
      <c r="AF5334" s="508">
        <v>3.4000000000000002E-2</v>
      </c>
      <c r="AG5334" s="508">
        <v>3.3000000000000002E-2</v>
      </c>
      <c r="AH5334" s="508">
        <v>3.2000000000000001E-2</v>
      </c>
      <c r="AI5334" s="492">
        <v>3.2000000000000001E-2</v>
      </c>
      <c r="AJ5334" s="485"/>
    </row>
    <row r="5335" spans="2:36">
      <c r="B5335" s="136" t="s">
        <v>441</v>
      </c>
      <c r="C5335" s="132" t="s">
        <v>1362</v>
      </c>
      <c r="D5335" s="132" t="s">
        <v>285</v>
      </c>
      <c r="E5335" s="508">
        <v>2.9940000000000002</v>
      </c>
      <c r="F5335" s="508">
        <v>2.988</v>
      </c>
      <c r="G5335" s="508">
        <v>3.0129999999999999</v>
      </c>
      <c r="H5335" s="508">
        <v>1.109</v>
      </c>
      <c r="I5335" s="508">
        <v>1.117</v>
      </c>
      <c r="J5335" s="508">
        <v>1.1380000000000001</v>
      </c>
      <c r="K5335" s="508">
        <v>1.1970000000000001</v>
      </c>
      <c r="L5335" s="508">
        <v>1.198</v>
      </c>
      <c r="M5335" s="508">
        <v>1.1839999999999999</v>
      </c>
      <c r="N5335" s="508">
        <v>1.18</v>
      </c>
      <c r="O5335" s="508">
        <v>1.181</v>
      </c>
      <c r="P5335" s="508">
        <v>1.1859999999999999</v>
      </c>
      <c r="Q5335" s="508">
        <v>1.18</v>
      </c>
      <c r="R5335" s="508">
        <v>0.80900000000000005</v>
      </c>
      <c r="S5335" s="508">
        <v>0.81700000000000006</v>
      </c>
      <c r="T5335" s="508">
        <v>0.81800000000000006</v>
      </c>
      <c r="U5335" s="508">
        <v>0.81300000000000006</v>
      </c>
      <c r="V5335" s="508">
        <v>0.81</v>
      </c>
      <c r="W5335" s="508">
        <v>0.73399999999999999</v>
      </c>
      <c r="X5335" s="508">
        <v>0.73099999999999998</v>
      </c>
      <c r="Y5335" s="508">
        <v>0.73199999999999998</v>
      </c>
      <c r="Z5335" s="508">
        <v>0.73399999999999999</v>
      </c>
      <c r="AA5335" s="508">
        <v>0.04</v>
      </c>
      <c r="AB5335" s="508">
        <v>0.04</v>
      </c>
      <c r="AC5335" s="508">
        <v>0.04</v>
      </c>
      <c r="AD5335" s="508">
        <v>3.9999999999999994E-2</v>
      </c>
      <c r="AE5335" s="508">
        <v>3.9999999999999994E-2</v>
      </c>
      <c r="AF5335" s="508">
        <v>2.7E-2</v>
      </c>
      <c r="AG5335" s="508">
        <v>2.5999999999999999E-2</v>
      </c>
      <c r="AH5335" s="508">
        <v>2.5000000000000001E-2</v>
      </c>
      <c r="AI5335" s="492">
        <v>2.5000000000000001E-2</v>
      </c>
      <c r="AJ5335" s="485"/>
    </row>
    <row r="5336" spans="2:36">
      <c r="B5336" s="136" t="s">
        <v>443</v>
      </c>
      <c r="C5336" s="132" t="s">
        <v>1362</v>
      </c>
      <c r="D5336" s="132" t="s">
        <v>285</v>
      </c>
      <c r="E5336" s="508">
        <v>3.0550000000000002</v>
      </c>
      <c r="F5336" s="508">
        <v>3.048</v>
      </c>
      <c r="G5336" s="508">
        <v>3.073</v>
      </c>
      <c r="H5336" s="508">
        <v>1.121</v>
      </c>
      <c r="I5336" s="508">
        <v>1.129</v>
      </c>
      <c r="J5336" s="508">
        <v>1.153</v>
      </c>
      <c r="K5336" s="508">
        <v>1.2030000000000001</v>
      </c>
      <c r="L5336" s="508">
        <v>1.204</v>
      </c>
      <c r="M5336" s="508">
        <v>1.1910000000000001</v>
      </c>
      <c r="N5336" s="508">
        <v>1.1719999999999999</v>
      </c>
      <c r="O5336" s="508">
        <v>1.173</v>
      </c>
      <c r="P5336" s="508">
        <v>1.179</v>
      </c>
      <c r="Q5336" s="508">
        <v>1.1719999999999999</v>
      </c>
      <c r="R5336" s="508">
        <v>0.81399999999999995</v>
      </c>
      <c r="S5336" s="508">
        <v>0.82199999999999995</v>
      </c>
      <c r="T5336" s="508">
        <v>0.82299999999999995</v>
      </c>
      <c r="U5336" s="508">
        <v>0.81799999999999995</v>
      </c>
      <c r="V5336" s="508">
        <v>0.81399999999999995</v>
      </c>
      <c r="W5336" s="508">
        <v>0.73899999999999999</v>
      </c>
      <c r="X5336" s="508">
        <v>0.73499999999999999</v>
      </c>
      <c r="Y5336" s="508">
        <v>0.73699999999999999</v>
      </c>
      <c r="Z5336" s="508">
        <v>0.73799999999999999</v>
      </c>
      <c r="AA5336" s="508">
        <v>3.9E-2</v>
      </c>
      <c r="AB5336" s="508">
        <v>3.9E-2</v>
      </c>
      <c r="AC5336" s="508">
        <v>0.04</v>
      </c>
      <c r="AD5336" s="508">
        <v>3.6999999999999998E-2</v>
      </c>
      <c r="AE5336" s="508">
        <v>3.6999999999999998E-2</v>
      </c>
      <c r="AF5336" s="508">
        <v>2.4E-2</v>
      </c>
      <c r="AG5336" s="508">
        <v>2.3E-2</v>
      </c>
      <c r="AH5336" s="508">
        <v>2.1999999999999999E-2</v>
      </c>
      <c r="AI5336" s="492">
        <v>2.1999999999999999E-2</v>
      </c>
      <c r="AJ5336" s="485"/>
    </row>
    <row r="5337" spans="2:36">
      <c r="B5337" s="136" t="s">
        <v>445</v>
      </c>
      <c r="C5337" s="132" t="s">
        <v>1362</v>
      </c>
      <c r="D5337" s="132" t="s">
        <v>285</v>
      </c>
      <c r="E5337" s="508">
        <v>3.23</v>
      </c>
      <c r="F5337" s="508">
        <v>3.2229999999999999</v>
      </c>
      <c r="G5337" s="508">
        <v>3.2490000000000001</v>
      </c>
      <c r="H5337" s="508">
        <v>1.232</v>
      </c>
      <c r="I5337" s="508">
        <v>1.242</v>
      </c>
      <c r="J5337" s="508">
        <v>1.2689999999999999</v>
      </c>
      <c r="K5337" s="508">
        <v>1.298</v>
      </c>
      <c r="L5337" s="508">
        <v>1.2989999999999999</v>
      </c>
      <c r="M5337" s="508">
        <v>1.2869999999999999</v>
      </c>
      <c r="N5337" s="508">
        <v>1.3109999999999999</v>
      </c>
      <c r="O5337" s="508">
        <v>1.3129999999999999</v>
      </c>
      <c r="P5337" s="508">
        <v>1.32</v>
      </c>
      <c r="Q5337" s="508">
        <v>1.3109999999999999</v>
      </c>
      <c r="R5337" s="508">
        <v>0.90500000000000003</v>
      </c>
      <c r="S5337" s="508">
        <v>0.91400000000000003</v>
      </c>
      <c r="T5337" s="508">
        <v>0.91500000000000004</v>
      </c>
      <c r="U5337" s="508">
        <v>0.90900000000000003</v>
      </c>
      <c r="V5337" s="508">
        <v>0.90500000000000003</v>
      </c>
      <c r="W5337" s="508">
        <v>0.82199999999999995</v>
      </c>
      <c r="X5337" s="508">
        <v>0.81699999999999995</v>
      </c>
      <c r="Y5337" s="508">
        <v>0.81899999999999995</v>
      </c>
      <c r="Z5337" s="508">
        <v>0.82099999999999995</v>
      </c>
      <c r="AA5337" s="508">
        <v>4.2999999999999997E-2</v>
      </c>
      <c r="AB5337" s="508">
        <v>4.2999999999999997E-2</v>
      </c>
      <c r="AC5337" s="508">
        <v>4.2999999999999997E-2</v>
      </c>
      <c r="AD5337" s="508">
        <v>4.1000000000000002E-2</v>
      </c>
      <c r="AE5337" s="508">
        <v>4.1000000000000002E-2</v>
      </c>
      <c r="AF5337" s="508">
        <v>2.5999999999999999E-2</v>
      </c>
      <c r="AG5337" s="508">
        <v>2.5000000000000001E-2</v>
      </c>
      <c r="AH5337" s="508">
        <v>2.4E-2</v>
      </c>
      <c r="AI5337" s="492">
        <v>2.4E-2</v>
      </c>
      <c r="AJ5337" s="485"/>
    </row>
    <row r="5338" spans="2:36">
      <c r="B5338" s="136" t="s">
        <v>446</v>
      </c>
      <c r="C5338" s="132" t="s">
        <v>1362</v>
      </c>
      <c r="D5338" s="132" t="s">
        <v>285</v>
      </c>
      <c r="E5338" s="508">
        <v>3.12</v>
      </c>
      <c r="F5338" s="508">
        <v>3.1140000000000003</v>
      </c>
      <c r="G5338" s="508">
        <v>3.1390000000000002</v>
      </c>
      <c r="H5338" s="508">
        <v>1.1879999999999999</v>
      </c>
      <c r="I5338" s="508">
        <v>1.1969999999999998</v>
      </c>
      <c r="J5338" s="508">
        <v>1.22</v>
      </c>
      <c r="K5338" s="508">
        <v>1.2689999999999999</v>
      </c>
      <c r="L5338" s="508">
        <v>1.27</v>
      </c>
      <c r="M5338" s="508">
        <v>1.256</v>
      </c>
      <c r="N5338" s="508">
        <v>1.278</v>
      </c>
      <c r="O5338" s="508">
        <v>1.2789999999999999</v>
      </c>
      <c r="P5338" s="508">
        <v>1.2849999999999999</v>
      </c>
      <c r="Q5338" s="508">
        <v>1.278</v>
      </c>
      <c r="R5338" s="508">
        <v>0.89599999999999991</v>
      </c>
      <c r="S5338" s="508">
        <v>0.90300000000000002</v>
      </c>
      <c r="T5338" s="508">
        <v>0.90399999999999991</v>
      </c>
      <c r="U5338" s="508">
        <v>0.89999999999999991</v>
      </c>
      <c r="V5338" s="508">
        <v>0.89599999999999991</v>
      </c>
      <c r="W5338" s="508">
        <v>0.81299999999999994</v>
      </c>
      <c r="X5338" s="508">
        <v>0.80899999999999994</v>
      </c>
      <c r="Y5338" s="508">
        <v>0.81099999999999994</v>
      </c>
      <c r="Z5338" s="508">
        <v>0.81200000000000006</v>
      </c>
      <c r="AA5338" s="508">
        <v>4.3999999999999997E-2</v>
      </c>
      <c r="AB5338" s="508">
        <v>4.3999999999999997E-2</v>
      </c>
      <c r="AC5338" s="508">
        <v>4.3999999999999997E-2</v>
      </c>
      <c r="AD5338" s="508">
        <v>4.5999999999999999E-2</v>
      </c>
      <c r="AE5338" s="508">
        <v>4.5999999999999999E-2</v>
      </c>
      <c r="AF5338" s="508">
        <v>3.2000000000000001E-2</v>
      </c>
      <c r="AG5338" s="508">
        <v>3.1E-2</v>
      </c>
      <c r="AH5338" s="508">
        <v>0.03</v>
      </c>
      <c r="AI5338" s="492">
        <v>0.03</v>
      </c>
      <c r="AJ5338" s="485"/>
    </row>
    <row r="5339" spans="2:36">
      <c r="B5339" s="136" t="s">
        <v>448</v>
      </c>
      <c r="C5339" s="132" t="s">
        <v>1362</v>
      </c>
      <c r="D5339" s="132" t="s">
        <v>285</v>
      </c>
      <c r="E5339" s="508">
        <v>2.9630000000000001</v>
      </c>
      <c r="F5339" s="508">
        <v>2.9570000000000003</v>
      </c>
      <c r="G5339" s="508">
        <v>2.9820000000000002</v>
      </c>
      <c r="H5339" s="508">
        <v>1.1079999999999999</v>
      </c>
      <c r="I5339" s="508">
        <v>1.115</v>
      </c>
      <c r="J5339" s="508">
        <v>1.135</v>
      </c>
      <c r="K5339" s="508">
        <v>1.206</v>
      </c>
      <c r="L5339" s="508">
        <v>1.206</v>
      </c>
      <c r="M5339" s="508">
        <v>1.1910000000000001</v>
      </c>
      <c r="N5339" s="508">
        <v>1.1930000000000001</v>
      </c>
      <c r="O5339" s="508">
        <v>1.194</v>
      </c>
      <c r="P5339" s="508">
        <v>1.198</v>
      </c>
      <c r="Q5339" s="508">
        <v>1.1930000000000001</v>
      </c>
      <c r="R5339" s="508">
        <v>0.84299999999999997</v>
      </c>
      <c r="S5339" s="508">
        <v>0.85</v>
      </c>
      <c r="T5339" s="508">
        <v>0.85099999999999998</v>
      </c>
      <c r="U5339" s="508">
        <v>0.84599999999999997</v>
      </c>
      <c r="V5339" s="508">
        <v>0.84299999999999997</v>
      </c>
      <c r="W5339" s="508">
        <v>0.76500000000000001</v>
      </c>
      <c r="X5339" s="508">
        <v>0.76100000000000001</v>
      </c>
      <c r="Y5339" s="508">
        <v>0.76300000000000001</v>
      </c>
      <c r="Z5339" s="508">
        <v>0.76500000000000001</v>
      </c>
      <c r="AA5339" s="508">
        <v>4.1999999999999996E-2</v>
      </c>
      <c r="AB5339" s="508">
        <v>4.1999999999999996E-2</v>
      </c>
      <c r="AC5339" s="508">
        <v>4.1999999999999996E-2</v>
      </c>
      <c r="AD5339" s="508">
        <v>4.5999999999999999E-2</v>
      </c>
      <c r="AE5339" s="508">
        <v>4.5999999999999999E-2</v>
      </c>
      <c r="AF5339" s="508">
        <v>3.4000000000000002E-2</v>
      </c>
      <c r="AG5339" s="508">
        <v>3.3000000000000002E-2</v>
      </c>
      <c r="AH5339" s="508">
        <v>3.2000000000000001E-2</v>
      </c>
      <c r="AI5339" s="492">
        <v>3.2000000000000001E-2</v>
      </c>
      <c r="AJ5339" s="485"/>
    </row>
    <row r="5340" spans="2:36">
      <c r="B5340" s="136" t="s">
        <v>449</v>
      </c>
      <c r="C5340" s="132" t="s">
        <v>1362</v>
      </c>
      <c r="D5340" s="132" t="s">
        <v>285</v>
      </c>
      <c r="E5340" s="508">
        <v>3.0709999999999997</v>
      </c>
      <c r="F5340" s="508">
        <v>3.0640000000000001</v>
      </c>
      <c r="G5340" s="508">
        <v>3.089</v>
      </c>
      <c r="H5340" s="508">
        <v>1.1379999999999999</v>
      </c>
      <c r="I5340" s="508">
        <v>1.1469999999999998</v>
      </c>
      <c r="J5340" s="508">
        <v>1.17</v>
      </c>
      <c r="K5340" s="508">
        <v>1.22</v>
      </c>
      <c r="L5340" s="508">
        <v>1.22</v>
      </c>
      <c r="M5340" s="508">
        <v>1.2069999999999999</v>
      </c>
      <c r="N5340" s="508">
        <v>1.1989999999999998</v>
      </c>
      <c r="O5340" s="508">
        <v>1.2</v>
      </c>
      <c r="P5340" s="508">
        <v>1.206</v>
      </c>
      <c r="Q5340" s="508">
        <v>1.1989999999999998</v>
      </c>
      <c r="R5340" s="508">
        <v>0.83099999999999996</v>
      </c>
      <c r="S5340" s="508">
        <v>0.84</v>
      </c>
      <c r="T5340" s="508">
        <v>0.84099999999999997</v>
      </c>
      <c r="U5340" s="508">
        <v>0.83499999999999996</v>
      </c>
      <c r="V5340" s="508">
        <v>0.83199999999999996</v>
      </c>
      <c r="W5340" s="508">
        <v>0.755</v>
      </c>
      <c r="X5340" s="508">
        <v>0.751</v>
      </c>
      <c r="Y5340" s="508">
        <v>0.753</v>
      </c>
      <c r="Z5340" s="508">
        <v>0.754</v>
      </c>
      <c r="AA5340" s="508">
        <v>4.1000000000000002E-2</v>
      </c>
      <c r="AB5340" s="508">
        <v>0.04</v>
      </c>
      <c r="AC5340" s="508">
        <v>4.1000000000000002E-2</v>
      </c>
      <c r="AD5340" s="508">
        <v>3.7999999999999999E-2</v>
      </c>
      <c r="AE5340" s="508">
        <v>3.7999999999999999E-2</v>
      </c>
      <c r="AF5340" s="508">
        <v>2.5000000000000001E-2</v>
      </c>
      <c r="AG5340" s="508">
        <v>2.4E-2</v>
      </c>
      <c r="AH5340" s="508">
        <v>2.3E-2</v>
      </c>
      <c r="AI5340" s="492">
        <v>2.3E-2</v>
      </c>
      <c r="AJ5340" s="485"/>
    </row>
    <row r="5341" spans="2:36">
      <c r="B5341" s="136" t="s">
        <v>450</v>
      </c>
      <c r="C5341" s="132" t="s">
        <v>1362</v>
      </c>
      <c r="D5341" s="132" t="s">
        <v>285</v>
      </c>
      <c r="E5341" s="508">
        <v>2.9699999999999998</v>
      </c>
      <c r="F5341" s="508">
        <v>2.964</v>
      </c>
      <c r="G5341" s="508">
        <v>2.9889999999999999</v>
      </c>
      <c r="H5341" s="508">
        <v>1.115</v>
      </c>
      <c r="I5341" s="508">
        <v>1.123</v>
      </c>
      <c r="J5341" s="508">
        <v>1.141</v>
      </c>
      <c r="K5341" s="508">
        <v>1.214</v>
      </c>
      <c r="L5341" s="508">
        <v>1.214</v>
      </c>
      <c r="M5341" s="508">
        <v>1.1990000000000001</v>
      </c>
      <c r="N5341" s="508">
        <v>1.2030000000000001</v>
      </c>
      <c r="O5341" s="508">
        <v>1.2050000000000001</v>
      </c>
      <c r="P5341" s="508">
        <v>1.2090000000000001</v>
      </c>
      <c r="Q5341" s="508">
        <v>1.2040000000000002</v>
      </c>
      <c r="R5341" s="508">
        <v>0.85599999999999998</v>
      </c>
      <c r="S5341" s="508">
        <v>0.86299999999999999</v>
      </c>
      <c r="T5341" s="508">
        <v>0.86299999999999999</v>
      </c>
      <c r="U5341" s="508">
        <v>0.85899999999999999</v>
      </c>
      <c r="V5341" s="508">
        <v>0.85599999999999998</v>
      </c>
      <c r="W5341" s="508">
        <v>0.77700000000000002</v>
      </c>
      <c r="X5341" s="508">
        <v>0.77300000000000002</v>
      </c>
      <c r="Y5341" s="508">
        <v>0.77500000000000002</v>
      </c>
      <c r="Z5341" s="508">
        <v>0.77600000000000002</v>
      </c>
      <c r="AA5341" s="508">
        <v>4.2999999999999997E-2</v>
      </c>
      <c r="AB5341" s="508">
        <v>4.2999999999999997E-2</v>
      </c>
      <c r="AC5341" s="508">
        <v>4.2999999999999997E-2</v>
      </c>
      <c r="AD5341" s="508">
        <v>4.8000000000000001E-2</v>
      </c>
      <c r="AE5341" s="508">
        <v>4.8000000000000001E-2</v>
      </c>
      <c r="AF5341" s="508">
        <v>3.5999999999999997E-2</v>
      </c>
      <c r="AG5341" s="508">
        <v>3.5000000000000003E-2</v>
      </c>
      <c r="AH5341" s="508">
        <v>3.4000000000000002E-2</v>
      </c>
      <c r="AI5341" s="492">
        <v>3.4000000000000002E-2</v>
      </c>
      <c r="AJ5341" s="485"/>
    </row>
    <row r="5342" spans="2:36">
      <c r="B5342" s="136" t="s">
        <v>451</v>
      </c>
      <c r="C5342" s="132" t="s">
        <v>1362</v>
      </c>
      <c r="D5342" s="132" t="s">
        <v>285</v>
      </c>
      <c r="E5342" s="508">
        <v>3.1269999999999998</v>
      </c>
      <c r="F5342" s="508">
        <v>3.1199999999999997</v>
      </c>
      <c r="G5342" s="508">
        <v>3.1449999999999996</v>
      </c>
      <c r="H5342" s="508">
        <v>1.18</v>
      </c>
      <c r="I5342" s="508">
        <v>1.1890000000000001</v>
      </c>
      <c r="J5342" s="508">
        <v>1.2130000000000001</v>
      </c>
      <c r="K5342" s="508">
        <v>1.256</v>
      </c>
      <c r="L5342" s="508">
        <v>1.2570000000000001</v>
      </c>
      <c r="M5342" s="508">
        <v>1.244</v>
      </c>
      <c r="N5342" s="508">
        <v>1.258</v>
      </c>
      <c r="O5342" s="508">
        <v>1.2590000000000001</v>
      </c>
      <c r="P5342" s="508">
        <v>1.266</v>
      </c>
      <c r="Q5342" s="508">
        <v>1.258</v>
      </c>
      <c r="R5342" s="508">
        <v>0.86699999999999999</v>
      </c>
      <c r="S5342" s="508">
        <v>0.876</v>
      </c>
      <c r="T5342" s="508">
        <v>0.877</v>
      </c>
      <c r="U5342" s="508">
        <v>0.871</v>
      </c>
      <c r="V5342" s="508">
        <v>0.86799999999999999</v>
      </c>
      <c r="W5342" s="508">
        <v>0.78700000000000003</v>
      </c>
      <c r="X5342" s="508">
        <v>0.78300000000000003</v>
      </c>
      <c r="Y5342" s="508">
        <v>0.78500000000000003</v>
      </c>
      <c r="Z5342" s="508">
        <v>0.78700000000000003</v>
      </c>
      <c r="AA5342" s="508">
        <v>4.2000000000000003E-2</v>
      </c>
      <c r="AB5342" s="508">
        <v>4.2000000000000003E-2</v>
      </c>
      <c r="AC5342" s="508">
        <v>4.2000000000000003E-2</v>
      </c>
      <c r="AD5342" s="508">
        <v>4.1000000000000002E-2</v>
      </c>
      <c r="AE5342" s="508">
        <v>0.04</v>
      </c>
      <c r="AF5342" s="508">
        <v>2.7000000000000003E-2</v>
      </c>
      <c r="AG5342" s="508">
        <v>2.6000000000000002E-2</v>
      </c>
      <c r="AH5342" s="508">
        <v>2.5000000000000001E-2</v>
      </c>
      <c r="AI5342" s="492">
        <v>2.5000000000000001E-2</v>
      </c>
      <c r="AJ5342" s="485"/>
    </row>
    <row r="5343" spans="2:36">
      <c r="B5343" s="136" t="s">
        <v>452</v>
      </c>
      <c r="C5343" s="132" t="s">
        <v>1362</v>
      </c>
      <c r="D5343" s="132" t="s">
        <v>285</v>
      </c>
      <c r="E5343" s="508">
        <v>3.0330000000000004</v>
      </c>
      <c r="F5343" s="508">
        <v>3.0270000000000001</v>
      </c>
      <c r="G5343" s="508">
        <v>3.052</v>
      </c>
      <c r="H5343" s="508">
        <v>1.1439999999999999</v>
      </c>
      <c r="I5343" s="508">
        <v>1.1519999999999999</v>
      </c>
      <c r="J5343" s="508">
        <v>1.1720000000000002</v>
      </c>
      <c r="K5343" s="508">
        <v>1.2349999999999999</v>
      </c>
      <c r="L5343" s="508">
        <v>1.236</v>
      </c>
      <c r="M5343" s="508">
        <v>1.22</v>
      </c>
      <c r="N5343" s="508">
        <v>1.23</v>
      </c>
      <c r="O5343" s="508">
        <v>1.2310000000000001</v>
      </c>
      <c r="P5343" s="508">
        <v>1.236</v>
      </c>
      <c r="Q5343" s="508">
        <v>1.23</v>
      </c>
      <c r="R5343" s="508">
        <v>0.86899999999999999</v>
      </c>
      <c r="S5343" s="508">
        <v>0.877</v>
      </c>
      <c r="T5343" s="508">
        <v>0.878</v>
      </c>
      <c r="U5343" s="508">
        <v>0.873</v>
      </c>
      <c r="V5343" s="508">
        <v>0.87</v>
      </c>
      <c r="W5343" s="508">
        <v>0.78799999999999992</v>
      </c>
      <c r="X5343" s="508">
        <v>0.78399999999999992</v>
      </c>
      <c r="Y5343" s="508">
        <v>0.78699999999999992</v>
      </c>
      <c r="Z5343" s="508">
        <v>0.78799999999999992</v>
      </c>
      <c r="AA5343" s="508">
        <v>4.3999999999999997E-2</v>
      </c>
      <c r="AB5343" s="508">
        <v>4.2999999999999997E-2</v>
      </c>
      <c r="AC5343" s="508">
        <v>4.3999999999999997E-2</v>
      </c>
      <c r="AD5343" s="508">
        <v>4.7E-2</v>
      </c>
      <c r="AE5343" s="508">
        <v>4.7E-2</v>
      </c>
      <c r="AF5343" s="508">
        <v>3.4000000000000002E-2</v>
      </c>
      <c r="AG5343" s="508">
        <v>3.3000000000000002E-2</v>
      </c>
      <c r="AH5343" s="508">
        <v>3.2000000000000001E-2</v>
      </c>
      <c r="AI5343" s="492">
        <v>3.2000000000000001E-2</v>
      </c>
      <c r="AJ5343" s="485"/>
    </row>
    <row r="5344" spans="2:36">
      <c r="B5344" s="136" t="s">
        <v>453</v>
      </c>
      <c r="C5344" s="132" t="s">
        <v>1362</v>
      </c>
      <c r="D5344" s="132" t="s">
        <v>285</v>
      </c>
      <c r="E5344" s="508">
        <v>2.9560000000000004</v>
      </c>
      <c r="F5344" s="508">
        <v>2.95</v>
      </c>
      <c r="G5344" s="508">
        <v>2.9750000000000001</v>
      </c>
      <c r="H5344" s="508">
        <v>1.109</v>
      </c>
      <c r="I5344" s="508">
        <v>1.1159999999999999</v>
      </c>
      <c r="J5344" s="508">
        <v>1.135</v>
      </c>
      <c r="K5344" s="508">
        <v>1.2090000000000001</v>
      </c>
      <c r="L5344" s="508">
        <v>1.21</v>
      </c>
      <c r="M5344" s="508">
        <v>1.1950000000000001</v>
      </c>
      <c r="N5344" s="508">
        <v>1.198</v>
      </c>
      <c r="O5344" s="508">
        <v>1.198</v>
      </c>
      <c r="P5344" s="508">
        <v>1.2040000000000002</v>
      </c>
      <c r="Q5344" s="508">
        <v>1.1970000000000001</v>
      </c>
      <c r="R5344" s="508">
        <v>0.85399999999999998</v>
      </c>
      <c r="S5344" s="508">
        <v>0.86099999999999999</v>
      </c>
      <c r="T5344" s="508">
        <v>0.86199999999999999</v>
      </c>
      <c r="U5344" s="508">
        <v>0.85699999999999998</v>
      </c>
      <c r="V5344" s="508">
        <v>0.85399999999999998</v>
      </c>
      <c r="W5344" s="508">
        <v>0.77400000000000002</v>
      </c>
      <c r="X5344" s="508">
        <v>0.77200000000000002</v>
      </c>
      <c r="Y5344" s="508">
        <v>0.77400000000000002</v>
      </c>
      <c r="Z5344" s="508">
        <v>0.77400000000000002</v>
      </c>
      <c r="AA5344" s="508">
        <v>4.3999999999999997E-2</v>
      </c>
      <c r="AB5344" s="508">
        <v>4.3000000000000003E-2</v>
      </c>
      <c r="AC5344" s="508">
        <v>4.3999999999999997E-2</v>
      </c>
      <c r="AD5344" s="508">
        <v>4.9000000000000002E-2</v>
      </c>
      <c r="AE5344" s="508">
        <v>4.9000000000000002E-2</v>
      </c>
      <c r="AF5344" s="508">
        <v>3.6999999999999998E-2</v>
      </c>
      <c r="AG5344" s="508">
        <v>3.6000000000000004E-2</v>
      </c>
      <c r="AH5344" s="508">
        <v>3.5000000000000003E-2</v>
      </c>
      <c r="AI5344" s="492">
        <v>3.5000000000000003E-2</v>
      </c>
      <c r="AJ5344" s="485"/>
    </row>
    <row r="5345" spans="2:36">
      <c r="B5345" s="136" t="s">
        <v>454</v>
      </c>
      <c r="C5345" s="132" t="s">
        <v>1362</v>
      </c>
      <c r="D5345" s="132" t="s">
        <v>285</v>
      </c>
      <c r="E5345" s="508">
        <v>2.9590000000000001</v>
      </c>
      <c r="F5345" s="508">
        <v>2.9530000000000003</v>
      </c>
      <c r="G5345" s="508">
        <v>2.9780000000000002</v>
      </c>
      <c r="H5345" s="508">
        <v>1.101</v>
      </c>
      <c r="I5345" s="508">
        <v>1.1079999999999999</v>
      </c>
      <c r="J5345" s="508">
        <v>1.1279999999999999</v>
      </c>
      <c r="K5345" s="508">
        <v>1.198</v>
      </c>
      <c r="L5345" s="508">
        <v>1.1989999999999998</v>
      </c>
      <c r="M5345" s="508">
        <v>1.1839999999999999</v>
      </c>
      <c r="N5345" s="508">
        <v>1.18</v>
      </c>
      <c r="O5345" s="508">
        <v>1.181</v>
      </c>
      <c r="P5345" s="508">
        <v>1.1859999999999999</v>
      </c>
      <c r="Q5345" s="508">
        <v>1.18</v>
      </c>
      <c r="R5345" s="508">
        <v>0.83299999999999996</v>
      </c>
      <c r="S5345" s="508">
        <v>0.83899999999999997</v>
      </c>
      <c r="T5345" s="508">
        <v>0.84</v>
      </c>
      <c r="U5345" s="508">
        <v>0.83599999999999997</v>
      </c>
      <c r="V5345" s="508">
        <v>0.83299999999999996</v>
      </c>
      <c r="W5345" s="508">
        <v>0.755</v>
      </c>
      <c r="X5345" s="508">
        <v>0.752</v>
      </c>
      <c r="Y5345" s="508">
        <v>0.754</v>
      </c>
      <c r="Z5345" s="508">
        <v>0.755</v>
      </c>
      <c r="AA5345" s="508">
        <v>4.1999999999999996E-2</v>
      </c>
      <c r="AB5345" s="508">
        <v>4.1999999999999996E-2</v>
      </c>
      <c r="AC5345" s="508">
        <v>4.1999999999999996E-2</v>
      </c>
      <c r="AD5345" s="508">
        <v>4.4999999999999998E-2</v>
      </c>
      <c r="AE5345" s="508">
        <v>4.4999999999999998E-2</v>
      </c>
      <c r="AF5345" s="508">
        <v>3.3000000000000002E-2</v>
      </c>
      <c r="AG5345" s="508">
        <v>3.2000000000000001E-2</v>
      </c>
      <c r="AH5345" s="508">
        <v>3.1E-2</v>
      </c>
      <c r="AI5345" s="492">
        <v>3.1E-2</v>
      </c>
      <c r="AJ5345" s="485"/>
    </row>
    <row r="5346" spans="2:36">
      <c r="B5346" s="136" t="s">
        <v>455</v>
      </c>
      <c r="C5346" s="132" t="s">
        <v>1362</v>
      </c>
      <c r="D5346" s="132" t="s">
        <v>285</v>
      </c>
      <c r="E5346" s="508">
        <v>2.9419999999999997</v>
      </c>
      <c r="F5346" s="508">
        <v>2.9369999999999998</v>
      </c>
      <c r="G5346" s="508">
        <v>2.9609999999999999</v>
      </c>
      <c r="H5346" s="508">
        <v>1.1120000000000001</v>
      </c>
      <c r="I5346" s="508">
        <v>1.119</v>
      </c>
      <c r="J5346" s="508">
        <v>1.1359999999999999</v>
      </c>
      <c r="K5346" s="508">
        <v>1.2140000000000002</v>
      </c>
      <c r="L5346" s="508">
        <v>1.2150000000000001</v>
      </c>
      <c r="M5346" s="508">
        <v>1.1990000000000001</v>
      </c>
      <c r="N5346" s="508">
        <v>1.21</v>
      </c>
      <c r="O5346" s="508">
        <v>1.2109999999999999</v>
      </c>
      <c r="P5346" s="508">
        <v>1.216</v>
      </c>
      <c r="Q5346" s="508">
        <v>1.21</v>
      </c>
      <c r="R5346" s="508">
        <v>0.86199999999999999</v>
      </c>
      <c r="S5346" s="508">
        <v>0.86899999999999999</v>
      </c>
      <c r="T5346" s="508">
        <v>0.87</v>
      </c>
      <c r="U5346" s="508">
        <v>0.86499999999999999</v>
      </c>
      <c r="V5346" s="508">
        <v>0.86299999999999999</v>
      </c>
      <c r="W5346" s="508">
        <v>0.78200000000000003</v>
      </c>
      <c r="X5346" s="508">
        <v>0.77900000000000003</v>
      </c>
      <c r="Y5346" s="508">
        <v>0.78</v>
      </c>
      <c r="Z5346" s="508">
        <v>0.78200000000000003</v>
      </c>
      <c r="AA5346" s="508">
        <v>4.4000000000000004E-2</v>
      </c>
      <c r="AB5346" s="508">
        <v>4.4000000000000004E-2</v>
      </c>
      <c r="AC5346" s="508">
        <v>4.4000000000000004E-2</v>
      </c>
      <c r="AD5346" s="508">
        <v>0.05</v>
      </c>
      <c r="AE5346" s="508">
        <v>0.05</v>
      </c>
      <c r="AF5346" s="508">
        <v>3.9E-2</v>
      </c>
      <c r="AG5346" s="508">
        <v>3.8000000000000006E-2</v>
      </c>
      <c r="AH5346" s="508">
        <v>3.7000000000000005E-2</v>
      </c>
      <c r="AI5346" s="492">
        <v>3.7000000000000005E-2</v>
      </c>
      <c r="AJ5346" s="485"/>
    </row>
    <row r="5347" spans="2:36">
      <c r="B5347" s="136" t="s">
        <v>456</v>
      </c>
      <c r="C5347" s="132" t="s">
        <v>1362</v>
      </c>
      <c r="D5347" s="132" t="s">
        <v>285</v>
      </c>
      <c r="E5347" s="508">
        <v>2.9859999999999998</v>
      </c>
      <c r="F5347" s="508">
        <v>2.98</v>
      </c>
      <c r="G5347" s="508">
        <v>3.0049999999999999</v>
      </c>
      <c r="H5347" s="508">
        <v>1.121</v>
      </c>
      <c r="I5347" s="508">
        <v>1.129</v>
      </c>
      <c r="J5347" s="508">
        <v>1.1480000000000001</v>
      </c>
      <c r="K5347" s="508">
        <v>1.216</v>
      </c>
      <c r="L5347" s="508">
        <v>1.2170000000000001</v>
      </c>
      <c r="M5347" s="508">
        <v>1.202</v>
      </c>
      <c r="N5347" s="508">
        <v>1.2070000000000001</v>
      </c>
      <c r="O5347" s="508">
        <v>1.208</v>
      </c>
      <c r="P5347" s="508">
        <v>1.2130000000000001</v>
      </c>
      <c r="Q5347" s="508">
        <v>1.2070000000000001</v>
      </c>
      <c r="R5347" s="508">
        <v>0.85299999999999998</v>
      </c>
      <c r="S5347" s="508">
        <v>0.86</v>
      </c>
      <c r="T5347" s="508">
        <v>0.86099999999999999</v>
      </c>
      <c r="U5347" s="508">
        <v>0.85599999999999998</v>
      </c>
      <c r="V5347" s="508">
        <v>0.85299999999999998</v>
      </c>
      <c r="W5347" s="508">
        <v>0.77400000000000002</v>
      </c>
      <c r="X5347" s="508">
        <v>0.77</v>
      </c>
      <c r="Y5347" s="508">
        <v>0.77200000000000002</v>
      </c>
      <c r="Z5347" s="508">
        <v>0.77400000000000002</v>
      </c>
      <c r="AA5347" s="508">
        <v>4.2999999999999997E-2</v>
      </c>
      <c r="AB5347" s="508">
        <v>4.1999999999999996E-2</v>
      </c>
      <c r="AC5347" s="508">
        <v>4.2999999999999997E-2</v>
      </c>
      <c r="AD5347" s="508">
        <v>4.7E-2</v>
      </c>
      <c r="AE5347" s="508">
        <v>4.5999999999999999E-2</v>
      </c>
      <c r="AF5347" s="508">
        <v>3.4000000000000002E-2</v>
      </c>
      <c r="AG5347" s="508">
        <v>3.3000000000000002E-2</v>
      </c>
      <c r="AH5347" s="508">
        <v>3.2000000000000001E-2</v>
      </c>
      <c r="AI5347" s="492">
        <v>3.2000000000000001E-2</v>
      </c>
      <c r="AJ5347" s="485"/>
    </row>
    <row r="5348" spans="2:36">
      <c r="B5348" s="136" t="s">
        <v>457</v>
      </c>
      <c r="C5348" s="132" t="s">
        <v>1362</v>
      </c>
      <c r="D5348" s="132" t="s">
        <v>285</v>
      </c>
      <c r="E5348" s="508">
        <v>2.919</v>
      </c>
      <c r="F5348" s="508">
        <v>2.9129999999999998</v>
      </c>
      <c r="G5348" s="508">
        <v>2.9379999999999997</v>
      </c>
      <c r="H5348" s="508">
        <v>1.087</v>
      </c>
      <c r="I5348" s="508">
        <v>1.093</v>
      </c>
      <c r="J5348" s="508">
        <v>1.111</v>
      </c>
      <c r="K5348" s="508">
        <v>1.1910000000000001</v>
      </c>
      <c r="L5348" s="508">
        <v>1.1920000000000002</v>
      </c>
      <c r="M5348" s="508">
        <v>1.1759999999999999</v>
      </c>
      <c r="N5348" s="508">
        <v>1.1719999999999999</v>
      </c>
      <c r="O5348" s="508">
        <v>1.1729999999999998</v>
      </c>
      <c r="P5348" s="508">
        <v>1.1769999999999998</v>
      </c>
      <c r="Q5348" s="508">
        <v>1.1719999999999999</v>
      </c>
      <c r="R5348" s="508">
        <v>0.83799999999999997</v>
      </c>
      <c r="S5348" s="508">
        <v>0.84399999999999997</v>
      </c>
      <c r="T5348" s="508">
        <v>0.84499999999999997</v>
      </c>
      <c r="U5348" s="508">
        <v>0.84</v>
      </c>
      <c r="V5348" s="508">
        <v>0.83699999999999997</v>
      </c>
      <c r="W5348" s="508">
        <v>0.76</v>
      </c>
      <c r="X5348" s="508">
        <v>0.75600000000000001</v>
      </c>
      <c r="Y5348" s="508">
        <v>0.75800000000000001</v>
      </c>
      <c r="Z5348" s="508">
        <v>0.75900000000000001</v>
      </c>
      <c r="AA5348" s="508">
        <v>4.3000000000000003E-2</v>
      </c>
      <c r="AB5348" s="508">
        <v>4.3000000000000003E-2</v>
      </c>
      <c r="AC5348" s="508">
        <v>4.3000000000000003E-2</v>
      </c>
      <c r="AD5348" s="508">
        <v>4.8000000000000001E-2</v>
      </c>
      <c r="AE5348" s="508">
        <v>4.8000000000000001E-2</v>
      </c>
      <c r="AF5348" s="508">
        <v>3.6000000000000004E-2</v>
      </c>
      <c r="AG5348" s="508">
        <v>3.5000000000000003E-2</v>
      </c>
      <c r="AH5348" s="508">
        <v>3.4000000000000002E-2</v>
      </c>
      <c r="AI5348" s="492">
        <v>3.4000000000000002E-2</v>
      </c>
      <c r="AJ5348" s="485"/>
    </row>
    <row r="5349" spans="2:36">
      <c r="B5349" s="136" t="s">
        <v>458</v>
      </c>
      <c r="C5349" s="132" t="s">
        <v>1362</v>
      </c>
      <c r="D5349" s="132" t="s">
        <v>285</v>
      </c>
      <c r="E5349" s="508">
        <v>2.9820000000000002</v>
      </c>
      <c r="F5349" s="508">
        <v>2.976</v>
      </c>
      <c r="G5349" s="508">
        <v>3.0009999999999999</v>
      </c>
      <c r="H5349" s="508">
        <v>1.109</v>
      </c>
      <c r="I5349" s="508">
        <v>1.1160000000000001</v>
      </c>
      <c r="J5349" s="508">
        <v>1.1360000000000001</v>
      </c>
      <c r="K5349" s="508">
        <v>1.2</v>
      </c>
      <c r="L5349" s="508">
        <v>1.2010000000000001</v>
      </c>
      <c r="M5349" s="508">
        <v>1.1859999999999999</v>
      </c>
      <c r="N5349" s="508">
        <v>1.1839999999999999</v>
      </c>
      <c r="O5349" s="508">
        <v>1.1850000000000001</v>
      </c>
      <c r="P5349" s="508">
        <v>1.19</v>
      </c>
      <c r="Q5349" s="508">
        <v>1.1839999999999999</v>
      </c>
      <c r="R5349" s="508">
        <v>0.82200000000000006</v>
      </c>
      <c r="S5349" s="508">
        <v>0.82899999999999996</v>
      </c>
      <c r="T5349" s="508">
        <v>0.83099999999999996</v>
      </c>
      <c r="U5349" s="508">
        <v>0.82499999999999996</v>
      </c>
      <c r="V5349" s="508">
        <v>0.82200000000000006</v>
      </c>
      <c r="W5349" s="508">
        <v>0.746</v>
      </c>
      <c r="X5349" s="508">
        <v>0.7420000000000001</v>
      </c>
      <c r="Y5349" s="508">
        <v>0.74400000000000011</v>
      </c>
      <c r="Z5349" s="508">
        <v>0.746</v>
      </c>
      <c r="AA5349" s="508">
        <v>4.0999999999999995E-2</v>
      </c>
      <c r="AB5349" s="508">
        <v>4.0999999999999995E-2</v>
      </c>
      <c r="AC5349" s="508">
        <v>4.0999999999999995E-2</v>
      </c>
      <c r="AD5349" s="508">
        <v>4.2000000000000003E-2</v>
      </c>
      <c r="AE5349" s="508">
        <v>4.2000000000000003E-2</v>
      </c>
      <c r="AF5349" s="508">
        <v>0.03</v>
      </c>
      <c r="AG5349" s="508">
        <v>2.8999999999999998E-2</v>
      </c>
      <c r="AH5349" s="508">
        <v>2.8000000000000001E-2</v>
      </c>
      <c r="AI5349" s="492">
        <v>2.8000000000000001E-2</v>
      </c>
      <c r="AJ5349" s="485"/>
    </row>
    <row r="5350" spans="2:36">
      <c r="B5350" s="136" t="s">
        <v>459</v>
      </c>
      <c r="C5350" s="132" t="s">
        <v>1362</v>
      </c>
      <c r="D5350" s="132" t="s">
        <v>285</v>
      </c>
      <c r="E5350" s="508">
        <v>2.9819999999999998</v>
      </c>
      <c r="F5350" s="508">
        <v>2.976</v>
      </c>
      <c r="G5350" s="508">
        <v>3</v>
      </c>
      <c r="H5350" s="508">
        <v>1.109</v>
      </c>
      <c r="I5350" s="508">
        <v>1.117</v>
      </c>
      <c r="J5350" s="508">
        <v>1.137</v>
      </c>
      <c r="K5350" s="508">
        <v>1.2010000000000001</v>
      </c>
      <c r="L5350" s="508">
        <v>1.202</v>
      </c>
      <c r="M5350" s="508">
        <v>1.1870000000000001</v>
      </c>
      <c r="N5350" s="508">
        <v>1.1870000000000001</v>
      </c>
      <c r="O5350" s="508">
        <v>1.1879999999999999</v>
      </c>
      <c r="P5350" s="508">
        <v>1.1930000000000001</v>
      </c>
      <c r="Q5350" s="508">
        <v>1.1870000000000001</v>
      </c>
      <c r="R5350" s="508">
        <v>0.82499999999999996</v>
      </c>
      <c r="S5350" s="508">
        <v>0.83200000000000007</v>
      </c>
      <c r="T5350" s="508">
        <v>0.83400000000000007</v>
      </c>
      <c r="U5350" s="508">
        <v>0.82800000000000007</v>
      </c>
      <c r="V5350" s="508">
        <v>0.82499999999999996</v>
      </c>
      <c r="W5350" s="508">
        <v>0.74900000000000011</v>
      </c>
      <c r="X5350" s="508">
        <v>0.74500000000000011</v>
      </c>
      <c r="Y5350" s="508">
        <v>0.74700000000000011</v>
      </c>
      <c r="Z5350" s="508">
        <v>0.74900000000000011</v>
      </c>
      <c r="AA5350" s="508">
        <v>4.0999999999999995E-2</v>
      </c>
      <c r="AB5350" s="508">
        <v>4.0999999999999995E-2</v>
      </c>
      <c r="AC5350" s="508">
        <v>4.0999999999999995E-2</v>
      </c>
      <c r="AD5350" s="508">
        <v>4.3000000000000003E-2</v>
      </c>
      <c r="AE5350" s="508">
        <v>4.3000000000000003E-2</v>
      </c>
      <c r="AF5350" s="508">
        <v>3.1E-2</v>
      </c>
      <c r="AG5350" s="508">
        <v>0.03</v>
      </c>
      <c r="AH5350" s="508">
        <v>2.9000000000000001E-2</v>
      </c>
      <c r="AI5350" s="492">
        <v>2.9000000000000001E-2</v>
      </c>
      <c r="AJ5350" s="485"/>
    </row>
    <row r="5351" spans="2:36">
      <c r="B5351" s="136" t="s">
        <v>460</v>
      </c>
      <c r="C5351" s="132" t="s">
        <v>1362</v>
      </c>
      <c r="D5351" s="132" t="s">
        <v>285</v>
      </c>
      <c r="E5351" s="508">
        <v>3.0049999999999999</v>
      </c>
      <c r="F5351" s="508">
        <v>2.9990000000000001</v>
      </c>
      <c r="G5351" s="508">
        <v>3.024</v>
      </c>
      <c r="H5351" s="508">
        <v>1.1319999999999999</v>
      </c>
      <c r="I5351" s="508">
        <v>1.139</v>
      </c>
      <c r="J5351" s="508">
        <v>1.159</v>
      </c>
      <c r="K5351" s="508">
        <v>1.224</v>
      </c>
      <c r="L5351" s="508">
        <v>1.2249999999999999</v>
      </c>
      <c r="M5351" s="508">
        <v>1.21</v>
      </c>
      <c r="N5351" s="508">
        <v>1.2190000000000001</v>
      </c>
      <c r="O5351" s="508">
        <v>1.2200000000000002</v>
      </c>
      <c r="P5351" s="508">
        <v>1.2250000000000001</v>
      </c>
      <c r="Q5351" s="508">
        <v>1.2190000000000001</v>
      </c>
      <c r="R5351" s="508">
        <v>0.85799999999999998</v>
      </c>
      <c r="S5351" s="508">
        <v>0.86599999999999999</v>
      </c>
      <c r="T5351" s="508">
        <v>0.86699999999999999</v>
      </c>
      <c r="U5351" s="508">
        <v>0.86199999999999999</v>
      </c>
      <c r="V5351" s="508">
        <v>0.85899999999999999</v>
      </c>
      <c r="W5351" s="508">
        <v>0.77900000000000003</v>
      </c>
      <c r="X5351" s="508">
        <v>0.77500000000000002</v>
      </c>
      <c r="Y5351" s="508">
        <v>0.77800000000000002</v>
      </c>
      <c r="Z5351" s="508">
        <v>0.77900000000000003</v>
      </c>
      <c r="AA5351" s="508">
        <v>4.2999999999999997E-2</v>
      </c>
      <c r="AB5351" s="508">
        <v>4.2999999999999997E-2</v>
      </c>
      <c r="AC5351" s="508">
        <v>4.2999999999999997E-2</v>
      </c>
      <c r="AD5351" s="508">
        <v>4.5999999999999999E-2</v>
      </c>
      <c r="AE5351" s="508">
        <v>4.5999999999999999E-2</v>
      </c>
      <c r="AF5351" s="508">
        <v>3.4000000000000002E-2</v>
      </c>
      <c r="AG5351" s="508">
        <v>3.3000000000000002E-2</v>
      </c>
      <c r="AH5351" s="508">
        <v>3.2000000000000001E-2</v>
      </c>
      <c r="AI5351" s="492">
        <v>3.2000000000000001E-2</v>
      </c>
      <c r="AJ5351" s="485"/>
    </row>
    <row r="5352" spans="2:36">
      <c r="B5352" s="136" t="s">
        <v>461</v>
      </c>
      <c r="C5352" s="132" t="s">
        <v>1362</v>
      </c>
      <c r="D5352" s="132" t="s">
        <v>285</v>
      </c>
      <c r="E5352" s="508">
        <v>2.9710000000000001</v>
      </c>
      <c r="F5352" s="508">
        <v>2.9649999999999999</v>
      </c>
      <c r="G5352" s="508">
        <v>2.9899999999999998</v>
      </c>
      <c r="H5352" s="508">
        <v>1.099</v>
      </c>
      <c r="I5352" s="508">
        <v>1.1059999999999999</v>
      </c>
      <c r="J5352" s="508">
        <v>1.127</v>
      </c>
      <c r="K5352" s="508">
        <v>1.1929999999999998</v>
      </c>
      <c r="L5352" s="508">
        <v>1.194</v>
      </c>
      <c r="M5352" s="508">
        <v>1.1789999999999998</v>
      </c>
      <c r="N5352" s="508">
        <v>1.17</v>
      </c>
      <c r="O5352" s="508">
        <v>1.171</v>
      </c>
      <c r="P5352" s="508">
        <v>1.1759999999999999</v>
      </c>
      <c r="Q5352" s="508">
        <v>1.17</v>
      </c>
      <c r="R5352" s="508">
        <v>0.82099999999999995</v>
      </c>
      <c r="S5352" s="508">
        <v>0.82799999999999996</v>
      </c>
      <c r="T5352" s="508">
        <v>0.82899999999999996</v>
      </c>
      <c r="U5352" s="508">
        <v>0.82399999999999995</v>
      </c>
      <c r="V5352" s="508">
        <v>0.82099999999999995</v>
      </c>
      <c r="W5352" s="508">
        <v>0.74500000000000011</v>
      </c>
      <c r="X5352" s="508">
        <v>0.7410000000000001</v>
      </c>
      <c r="Y5352" s="508">
        <v>0.7430000000000001</v>
      </c>
      <c r="Z5352" s="508">
        <v>0.74399999999999999</v>
      </c>
      <c r="AA5352" s="508">
        <v>4.0999999999999995E-2</v>
      </c>
      <c r="AB5352" s="508">
        <v>3.9999999999999994E-2</v>
      </c>
      <c r="AC5352" s="508">
        <v>4.0999999999999995E-2</v>
      </c>
      <c r="AD5352" s="508">
        <v>4.3000000000000003E-2</v>
      </c>
      <c r="AE5352" s="508">
        <v>4.3000000000000003E-2</v>
      </c>
      <c r="AF5352" s="508">
        <v>3.1E-2</v>
      </c>
      <c r="AG5352" s="508">
        <v>2.9000000000000001E-2</v>
      </c>
      <c r="AH5352" s="508">
        <v>2.9000000000000001E-2</v>
      </c>
      <c r="AI5352" s="492">
        <v>2.9000000000000001E-2</v>
      </c>
      <c r="AJ5352" s="485"/>
    </row>
    <row r="5353" spans="2:36">
      <c r="B5353" s="136" t="s">
        <v>462</v>
      </c>
      <c r="C5353" s="132" t="s">
        <v>1362</v>
      </c>
      <c r="D5353" s="132" t="s">
        <v>285</v>
      </c>
      <c r="E5353" s="508">
        <v>2.96</v>
      </c>
      <c r="F5353" s="508">
        <v>2.9539999999999997</v>
      </c>
      <c r="G5353" s="508">
        <v>2.9789999999999996</v>
      </c>
      <c r="H5353" s="508">
        <v>1.095</v>
      </c>
      <c r="I5353" s="508">
        <v>1.1020000000000001</v>
      </c>
      <c r="J5353" s="508">
        <v>1.121</v>
      </c>
      <c r="K5353" s="508">
        <v>1.1919999999999999</v>
      </c>
      <c r="L5353" s="508">
        <v>1.1930000000000001</v>
      </c>
      <c r="M5353" s="508">
        <v>1.177</v>
      </c>
      <c r="N5353" s="508">
        <v>1.167</v>
      </c>
      <c r="O5353" s="508">
        <v>1.1679999999999999</v>
      </c>
      <c r="P5353" s="508">
        <v>1.173</v>
      </c>
      <c r="Q5353" s="508">
        <v>1.167</v>
      </c>
      <c r="R5353" s="508">
        <v>0.82699999999999996</v>
      </c>
      <c r="S5353" s="508">
        <v>0.83299999999999996</v>
      </c>
      <c r="T5353" s="508">
        <v>0.83399999999999996</v>
      </c>
      <c r="U5353" s="508">
        <v>0.82899999999999996</v>
      </c>
      <c r="V5353" s="508">
        <v>0.82699999999999996</v>
      </c>
      <c r="W5353" s="508">
        <v>0.75</v>
      </c>
      <c r="X5353" s="508">
        <v>0.746</v>
      </c>
      <c r="Y5353" s="508">
        <v>0.748</v>
      </c>
      <c r="Z5353" s="508">
        <v>0.75</v>
      </c>
      <c r="AA5353" s="508">
        <v>4.0999999999999995E-2</v>
      </c>
      <c r="AB5353" s="508">
        <v>4.0999999999999995E-2</v>
      </c>
      <c r="AC5353" s="508">
        <v>4.0999999999999995E-2</v>
      </c>
      <c r="AD5353" s="508">
        <v>4.4000000000000004E-2</v>
      </c>
      <c r="AE5353" s="508">
        <v>4.4000000000000004E-2</v>
      </c>
      <c r="AF5353" s="508">
        <v>3.2000000000000001E-2</v>
      </c>
      <c r="AG5353" s="508">
        <v>3.1E-2</v>
      </c>
      <c r="AH5353" s="508">
        <v>0.03</v>
      </c>
      <c r="AI5353" s="492">
        <v>0.03</v>
      </c>
      <c r="AJ5353" s="485"/>
    </row>
    <row r="5354" spans="2:36">
      <c r="B5354" s="136" t="s">
        <v>463</v>
      </c>
      <c r="C5354" s="132" t="s">
        <v>1362</v>
      </c>
      <c r="D5354" s="132" t="s">
        <v>285</v>
      </c>
      <c r="E5354" s="508">
        <v>2.915</v>
      </c>
      <c r="F5354" s="508">
        <v>2.9089999999999998</v>
      </c>
      <c r="G5354" s="508">
        <v>2.9329999999999998</v>
      </c>
      <c r="H5354" s="508">
        <v>1.0799999999999998</v>
      </c>
      <c r="I5354" s="508">
        <v>1.087</v>
      </c>
      <c r="J5354" s="508">
        <v>1.1059999999999999</v>
      </c>
      <c r="K5354" s="508">
        <v>1.1819999999999999</v>
      </c>
      <c r="L5354" s="508">
        <v>1.1819999999999999</v>
      </c>
      <c r="M5354" s="508">
        <v>1.167</v>
      </c>
      <c r="N5354" s="508">
        <v>1.161</v>
      </c>
      <c r="O5354" s="508">
        <v>1.1620000000000001</v>
      </c>
      <c r="P5354" s="508">
        <v>1.167</v>
      </c>
      <c r="Q5354" s="508">
        <v>1.161</v>
      </c>
      <c r="R5354" s="508">
        <v>0.81699999999999995</v>
      </c>
      <c r="S5354" s="508">
        <v>0.82299999999999995</v>
      </c>
      <c r="T5354" s="508">
        <v>0.82399999999999995</v>
      </c>
      <c r="U5354" s="508">
        <v>0.82</v>
      </c>
      <c r="V5354" s="508">
        <v>0.81799999999999995</v>
      </c>
      <c r="W5354" s="508">
        <v>0.74099999999999999</v>
      </c>
      <c r="X5354" s="508">
        <v>0.73699999999999999</v>
      </c>
      <c r="Y5354" s="508">
        <v>0.73899999999999999</v>
      </c>
      <c r="Z5354" s="508">
        <v>0.74</v>
      </c>
      <c r="AA5354" s="508">
        <v>4.1000000000000002E-2</v>
      </c>
      <c r="AB5354" s="508">
        <v>4.1000000000000002E-2</v>
      </c>
      <c r="AC5354" s="508">
        <v>4.1000000000000002E-2</v>
      </c>
      <c r="AD5354" s="508">
        <v>4.4999999999999998E-2</v>
      </c>
      <c r="AE5354" s="508">
        <v>4.4999999999999998E-2</v>
      </c>
      <c r="AF5354" s="508">
        <v>3.4000000000000002E-2</v>
      </c>
      <c r="AG5354" s="508">
        <v>3.3000000000000002E-2</v>
      </c>
      <c r="AH5354" s="508">
        <v>3.2000000000000001E-2</v>
      </c>
      <c r="AI5354" s="492">
        <v>3.2000000000000001E-2</v>
      </c>
      <c r="AJ5354" s="485"/>
    </row>
    <row r="5355" spans="2:36">
      <c r="B5355" s="136" t="s">
        <v>464</v>
      </c>
      <c r="C5355" s="132" t="s">
        <v>1362</v>
      </c>
      <c r="D5355" s="132" t="s">
        <v>285</v>
      </c>
      <c r="E5355" s="508">
        <v>2.9249999999999998</v>
      </c>
      <c r="F5355" s="508">
        <v>2.919</v>
      </c>
      <c r="G5355" s="508">
        <v>2.944</v>
      </c>
      <c r="H5355" s="508">
        <v>1.1000000000000001</v>
      </c>
      <c r="I5355" s="508">
        <v>1.107</v>
      </c>
      <c r="J5355" s="508">
        <v>1.125</v>
      </c>
      <c r="K5355" s="508">
        <v>1.2050000000000001</v>
      </c>
      <c r="L5355" s="508">
        <v>1.2060000000000002</v>
      </c>
      <c r="M5355" s="508">
        <v>1.1900000000000002</v>
      </c>
      <c r="N5355" s="508">
        <v>1.1950000000000001</v>
      </c>
      <c r="O5355" s="508">
        <v>1.196</v>
      </c>
      <c r="P5355" s="508">
        <v>1.2009999999999998</v>
      </c>
      <c r="Q5355" s="508">
        <v>1.1950000000000001</v>
      </c>
      <c r="R5355" s="508">
        <v>0.85799999999999998</v>
      </c>
      <c r="S5355" s="508">
        <v>0.86499999999999999</v>
      </c>
      <c r="T5355" s="508">
        <v>0.86599999999999999</v>
      </c>
      <c r="U5355" s="508">
        <v>0.86099999999999999</v>
      </c>
      <c r="V5355" s="508">
        <v>0.85799999999999998</v>
      </c>
      <c r="W5355" s="508">
        <v>0.77800000000000002</v>
      </c>
      <c r="X5355" s="508">
        <v>0.77500000000000002</v>
      </c>
      <c r="Y5355" s="508">
        <v>0.77600000000000002</v>
      </c>
      <c r="Z5355" s="508">
        <v>0.77700000000000002</v>
      </c>
      <c r="AA5355" s="508">
        <v>4.4000000000000004E-2</v>
      </c>
      <c r="AB5355" s="508">
        <v>4.3000000000000003E-2</v>
      </c>
      <c r="AC5355" s="508">
        <v>4.4000000000000004E-2</v>
      </c>
      <c r="AD5355" s="508">
        <v>5.1000000000000004E-2</v>
      </c>
      <c r="AE5355" s="508">
        <v>5.1000000000000004E-2</v>
      </c>
      <c r="AF5355" s="508">
        <v>3.9E-2</v>
      </c>
      <c r="AG5355" s="508">
        <v>3.7999999999999999E-2</v>
      </c>
      <c r="AH5355" s="508">
        <v>3.6999999999999998E-2</v>
      </c>
      <c r="AI5355" s="492">
        <v>3.6999999999999998E-2</v>
      </c>
      <c r="AJ5355" s="485"/>
    </row>
    <row r="5356" spans="2:36">
      <c r="B5356" s="136" t="s">
        <v>465</v>
      </c>
      <c r="C5356" s="132" t="s">
        <v>1362</v>
      </c>
      <c r="D5356" s="132" t="s">
        <v>285</v>
      </c>
      <c r="E5356" s="508">
        <v>2.9459999999999997</v>
      </c>
      <c r="F5356" s="508">
        <v>2.94</v>
      </c>
      <c r="G5356" s="508">
        <v>2.9649999999999999</v>
      </c>
      <c r="H5356" s="508">
        <v>1.1140000000000001</v>
      </c>
      <c r="I5356" s="508">
        <v>1.121</v>
      </c>
      <c r="J5356" s="508">
        <v>1.139</v>
      </c>
      <c r="K5356" s="508">
        <v>1.2160000000000002</v>
      </c>
      <c r="L5356" s="508">
        <v>1.2160000000000002</v>
      </c>
      <c r="M5356" s="508">
        <v>1.2010000000000001</v>
      </c>
      <c r="N5356" s="508">
        <v>1.2130000000000001</v>
      </c>
      <c r="O5356" s="508">
        <v>1.214</v>
      </c>
      <c r="P5356" s="508">
        <v>1.2189999999999999</v>
      </c>
      <c r="Q5356" s="508">
        <v>1.2130000000000001</v>
      </c>
      <c r="R5356" s="508">
        <v>0.86599999999999999</v>
      </c>
      <c r="S5356" s="508">
        <v>0.872</v>
      </c>
      <c r="T5356" s="508">
        <v>0.873</v>
      </c>
      <c r="U5356" s="508">
        <v>0.86799999999999999</v>
      </c>
      <c r="V5356" s="508">
        <v>0.86499999999999999</v>
      </c>
      <c r="W5356" s="508">
        <v>0.78500000000000003</v>
      </c>
      <c r="X5356" s="508">
        <v>0.78100000000000003</v>
      </c>
      <c r="Y5356" s="508">
        <v>0.78300000000000003</v>
      </c>
      <c r="Z5356" s="508">
        <v>0.78400000000000003</v>
      </c>
      <c r="AA5356" s="508">
        <v>4.4000000000000004E-2</v>
      </c>
      <c r="AB5356" s="508">
        <v>4.4000000000000004E-2</v>
      </c>
      <c r="AC5356" s="508">
        <v>4.4000000000000004E-2</v>
      </c>
      <c r="AD5356" s="508">
        <v>5.1000000000000004E-2</v>
      </c>
      <c r="AE5356" s="508">
        <v>5.1000000000000004E-2</v>
      </c>
      <c r="AF5356" s="508">
        <v>3.9999999999999994E-2</v>
      </c>
      <c r="AG5356" s="508">
        <v>3.9E-2</v>
      </c>
      <c r="AH5356" s="508">
        <v>3.7999999999999999E-2</v>
      </c>
      <c r="AI5356" s="492">
        <v>3.7999999999999999E-2</v>
      </c>
      <c r="AJ5356" s="485"/>
    </row>
    <row r="5357" spans="2:36">
      <c r="B5357" s="136" t="s">
        <v>466</v>
      </c>
      <c r="C5357" s="132" t="s">
        <v>1362</v>
      </c>
      <c r="D5357" s="132" t="s">
        <v>285</v>
      </c>
      <c r="E5357" s="508">
        <v>3.0709999999999997</v>
      </c>
      <c r="F5357" s="508">
        <v>3.0649999999999999</v>
      </c>
      <c r="G5357" s="508">
        <v>3.09</v>
      </c>
      <c r="H5357" s="508">
        <v>1.1700000000000002</v>
      </c>
      <c r="I5357" s="508">
        <v>1.1780000000000002</v>
      </c>
      <c r="J5357" s="508">
        <v>1.2</v>
      </c>
      <c r="K5357" s="508">
        <v>1.2570000000000001</v>
      </c>
      <c r="L5357" s="508">
        <v>1.2570000000000001</v>
      </c>
      <c r="M5357" s="508">
        <v>1.2430000000000001</v>
      </c>
      <c r="N5357" s="508">
        <v>1.2650000000000001</v>
      </c>
      <c r="O5357" s="508">
        <v>1.266</v>
      </c>
      <c r="P5357" s="508">
        <v>1.272</v>
      </c>
      <c r="Q5357" s="508">
        <v>1.2650000000000001</v>
      </c>
      <c r="R5357" s="508">
        <v>0.88900000000000001</v>
      </c>
      <c r="S5357" s="508">
        <v>0.89700000000000002</v>
      </c>
      <c r="T5357" s="508">
        <v>0.89800000000000002</v>
      </c>
      <c r="U5357" s="508">
        <v>0.89300000000000002</v>
      </c>
      <c r="V5357" s="508">
        <v>0.89</v>
      </c>
      <c r="W5357" s="508">
        <v>0.80699999999999994</v>
      </c>
      <c r="X5357" s="508">
        <v>0.80299999999999994</v>
      </c>
      <c r="Y5357" s="508">
        <v>0.80499999999999994</v>
      </c>
      <c r="Z5357" s="508">
        <v>0.80699999999999994</v>
      </c>
      <c r="AA5357" s="508">
        <v>4.4999999999999998E-2</v>
      </c>
      <c r="AB5357" s="508">
        <v>4.3999999999999997E-2</v>
      </c>
      <c r="AC5357" s="508">
        <v>4.4999999999999998E-2</v>
      </c>
      <c r="AD5357" s="508">
        <v>4.8000000000000001E-2</v>
      </c>
      <c r="AE5357" s="508">
        <v>4.7E-2</v>
      </c>
      <c r="AF5357" s="508">
        <v>3.5000000000000003E-2</v>
      </c>
      <c r="AG5357" s="508">
        <v>3.4000000000000002E-2</v>
      </c>
      <c r="AH5357" s="508">
        <v>3.3000000000000002E-2</v>
      </c>
      <c r="AI5357" s="492">
        <v>3.3000000000000002E-2</v>
      </c>
      <c r="AJ5357" s="485"/>
    </row>
    <row r="5358" spans="2:36">
      <c r="B5358" s="136" t="s">
        <v>467</v>
      </c>
      <c r="C5358" s="132" t="s">
        <v>1362</v>
      </c>
      <c r="D5358" s="132" t="s">
        <v>285</v>
      </c>
      <c r="E5358" s="508">
        <v>2.9649999999999999</v>
      </c>
      <c r="F5358" s="508">
        <v>2.9590000000000001</v>
      </c>
      <c r="G5358" s="508">
        <v>2.984</v>
      </c>
      <c r="H5358" s="508">
        <v>1.0980000000000001</v>
      </c>
      <c r="I5358" s="508">
        <v>1.105</v>
      </c>
      <c r="J5358" s="508">
        <v>1.125</v>
      </c>
      <c r="K5358" s="508">
        <v>1.194</v>
      </c>
      <c r="L5358" s="508">
        <v>1.194</v>
      </c>
      <c r="M5358" s="508">
        <v>1.1800000000000002</v>
      </c>
      <c r="N5358" s="508">
        <v>1.17</v>
      </c>
      <c r="O5358" s="508">
        <v>1.171</v>
      </c>
      <c r="P5358" s="508">
        <v>1.177</v>
      </c>
      <c r="Q5358" s="508">
        <v>1.17</v>
      </c>
      <c r="R5358" s="508">
        <v>0.82399999999999995</v>
      </c>
      <c r="S5358" s="508">
        <v>0.83099999999999996</v>
      </c>
      <c r="T5358" s="508">
        <v>0.83299999999999996</v>
      </c>
      <c r="U5358" s="508">
        <v>0.82799999999999996</v>
      </c>
      <c r="V5358" s="508">
        <v>0.82499999999999996</v>
      </c>
      <c r="W5358" s="508">
        <v>0.748</v>
      </c>
      <c r="X5358" s="508">
        <v>0.74399999999999999</v>
      </c>
      <c r="Y5358" s="508">
        <v>0.746</v>
      </c>
      <c r="Z5358" s="508">
        <v>0.747</v>
      </c>
      <c r="AA5358" s="508">
        <v>4.0999999999999995E-2</v>
      </c>
      <c r="AB5358" s="508">
        <v>4.0999999999999995E-2</v>
      </c>
      <c r="AC5358" s="508">
        <v>4.1999999999999996E-2</v>
      </c>
      <c r="AD5358" s="508">
        <v>4.4000000000000004E-2</v>
      </c>
      <c r="AE5358" s="508">
        <v>4.3000000000000003E-2</v>
      </c>
      <c r="AF5358" s="508">
        <v>3.1E-2</v>
      </c>
      <c r="AG5358" s="508">
        <v>0.03</v>
      </c>
      <c r="AH5358" s="508">
        <v>2.8999999999999998E-2</v>
      </c>
      <c r="AI5358" s="492">
        <v>2.8999999999999998E-2</v>
      </c>
      <c r="AJ5358" s="485"/>
    </row>
    <row r="5359" spans="2:36">
      <c r="B5359" s="136" t="s">
        <v>468</v>
      </c>
      <c r="C5359" s="132" t="s">
        <v>1362</v>
      </c>
      <c r="D5359" s="132" t="s">
        <v>285</v>
      </c>
      <c r="E5359" s="508">
        <v>2.9249999999999998</v>
      </c>
      <c r="F5359" s="508">
        <v>2.919</v>
      </c>
      <c r="G5359" s="508">
        <v>2.9430000000000001</v>
      </c>
      <c r="H5359" s="508">
        <v>1.1139999999999999</v>
      </c>
      <c r="I5359" s="508">
        <v>1.1200000000000001</v>
      </c>
      <c r="J5359" s="508">
        <v>1.1379999999999999</v>
      </c>
      <c r="K5359" s="508">
        <v>1.22</v>
      </c>
      <c r="L5359" s="508">
        <v>1.2210000000000001</v>
      </c>
      <c r="M5359" s="508">
        <v>1.204</v>
      </c>
      <c r="N5359" s="508">
        <v>1.224</v>
      </c>
      <c r="O5359" s="508">
        <v>1.2249999999999999</v>
      </c>
      <c r="P5359" s="508">
        <v>1.2289999999999999</v>
      </c>
      <c r="Q5359" s="508">
        <v>1.224</v>
      </c>
      <c r="R5359" s="508">
        <v>0.877</v>
      </c>
      <c r="S5359" s="508">
        <v>0.88300000000000001</v>
      </c>
      <c r="T5359" s="508">
        <v>0.8839999999999999</v>
      </c>
      <c r="U5359" s="508">
        <v>0.87999999999999989</v>
      </c>
      <c r="V5359" s="508">
        <v>0.877</v>
      </c>
      <c r="W5359" s="508">
        <v>0.79500000000000004</v>
      </c>
      <c r="X5359" s="508">
        <v>0.79100000000000004</v>
      </c>
      <c r="Y5359" s="508">
        <v>0.79300000000000004</v>
      </c>
      <c r="Z5359" s="508">
        <v>0.79500000000000004</v>
      </c>
      <c r="AA5359" s="508">
        <v>4.4999999999999998E-2</v>
      </c>
      <c r="AB5359" s="508">
        <v>4.4999999999999998E-2</v>
      </c>
      <c r="AC5359" s="508">
        <v>4.4999999999999998E-2</v>
      </c>
      <c r="AD5359" s="508">
        <v>5.3000000000000005E-2</v>
      </c>
      <c r="AE5359" s="508">
        <v>5.3000000000000005E-2</v>
      </c>
      <c r="AF5359" s="508">
        <v>4.2000000000000003E-2</v>
      </c>
      <c r="AG5359" s="508">
        <v>4.1000000000000002E-2</v>
      </c>
      <c r="AH5359" s="508">
        <v>0.04</v>
      </c>
      <c r="AI5359" s="492">
        <v>0.04</v>
      </c>
      <c r="AJ5359" s="485"/>
    </row>
    <row r="5360" spans="2:36">
      <c r="B5360" s="136" t="s">
        <v>469</v>
      </c>
      <c r="C5360" s="132" t="s">
        <v>1362</v>
      </c>
      <c r="D5360" s="132" t="s">
        <v>285</v>
      </c>
      <c r="E5360" s="508">
        <v>2.9590000000000001</v>
      </c>
      <c r="F5360" s="508">
        <v>2.9530000000000003</v>
      </c>
      <c r="G5360" s="508">
        <v>2.9780000000000002</v>
      </c>
      <c r="H5360" s="508">
        <v>1.117</v>
      </c>
      <c r="I5360" s="508">
        <v>1.1239999999999999</v>
      </c>
      <c r="J5360" s="508">
        <v>1.141</v>
      </c>
      <c r="K5360" s="508">
        <v>1.2170000000000001</v>
      </c>
      <c r="L5360" s="508">
        <v>1.218</v>
      </c>
      <c r="M5360" s="508">
        <v>1.2010000000000001</v>
      </c>
      <c r="N5360" s="508">
        <v>1.2110000000000001</v>
      </c>
      <c r="O5360" s="508">
        <v>1.212</v>
      </c>
      <c r="P5360" s="508">
        <v>1.2169999999999999</v>
      </c>
      <c r="Q5360" s="508">
        <v>1.2110000000000001</v>
      </c>
      <c r="R5360" s="508">
        <v>0.86399999999999999</v>
      </c>
      <c r="S5360" s="508">
        <v>0.871</v>
      </c>
      <c r="T5360" s="508">
        <v>0.871</v>
      </c>
      <c r="U5360" s="508">
        <v>0.86699999999999999</v>
      </c>
      <c r="V5360" s="508">
        <v>0.86399999999999999</v>
      </c>
      <c r="W5360" s="508">
        <v>0.78400000000000003</v>
      </c>
      <c r="X5360" s="508">
        <v>0.78</v>
      </c>
      <c r="Y5360" s="508">
        <v>0.78200000000000003</v>
      </c>
      <c r="Z5360" s="508">
        <v>0.78300000000000003</v>
      </c>
      <c r="AA5360" s="508">
        <v>4.3999999999999997E-2</v>
      </c>
      <c r="AB5360" s="508">
        <v>4.3000000000000003E-2</v>
      </c>
      <c r="AC5360" s="508">
        <v>4.3999999999999997E-2</v>
      </c>
      <c r="AD5360" s="508">
        <v>0.05</v>
      </c>
      <c r="AE5360" s="508">
        <v>4.9000000000000002E-2</v>
      </c>
      <c r="AF5360" s="508">
        <v>3.7999999999999999E-2</v>
      </c>
      <c r="AG5360" s="508">
        <v>3.7000000000000005E-2</v>
      </c>
      <c r="AH5360" s="508">
        <v>3.6000000000000004E-2</v>
      </c>
      <c r="AI5360" s="492">
        <v>3.6000000000000004E-2</v>
      </c>
      <c r="AJ5360" s="485"/>
    </row>
    <row r="5361" spans="2:36">
      <c r="B5361" s="136" t="s">
        <v>470</v>
      </c>
      <c r="C5361" s="132" t="s">
        <v>1362</v>
      </c>
      <c r="D5361" s="132" t="s">
        <v>285</v>
      </c>
      <c r="E5361" s="508">
        <v>3.0179999999999998</v>
      </c>
      <c r="F5361" s="508">
        <v>3.012</v>
      </c>
      <c r="G5361" s="508">
        <v>3.0369999999999999</v>
      </c>
      <c r="H5361" s="508">
        <v>1.125</v>
      </c>
      <c r="I5361" s="508">
        <v>1.133</v>
      </c>
      <c r="J5361" s="508">
        <v>1.1540000000000001</v>
      </c>
      <c r="K5361" s="508">
        <v>1.2130000000000001</v>
      </c>
      <c r="L5361" s="508">
        <v>1.214</v>
      </c>
      <c r="M5361" s="508">
        <v>1.2</v>
      </c>
      <c r="N5361" s="508">
        <v>1.2</v>
      </c>
      <c r="O5361" s="508">
        <v>1.2009999999999998</v>
      </c>
      <c r="P5361" s="508">
        <v>1.2069999999999999</v>
      </c>
      <c r="Q5361" s="508">
        <v>1.2</v>
      </c>
      <c r="R5361" s="508">
        <v>0.83500000000000008</v>
      </c>
      <c r="S5361" s="508">
        <v>0.84200000000000008</v>
      </c>
      <c r="T5361" s="508">
        <v>0.84400000000000008</v>
      </c>
      <c r="U5361" s="508">
        <v>0.83800000000000008</v>
      </c>
      <c r="V5361" s="508">
        <v>0.83500000000000008</v>
      </c>
      <c r="W5361" s="508">
        <v>0.75800000000000001</v>
      </c>
      <c r="X5361" s="508">
        <v>0.754</v>
      </c>
      <c r="Y5361" s="508">
        <v>0.75600000000000001</v>
      </c>
      <c r="Z5361" s="508">
        <v>0.75700000000000001</v>
      </c>
      <c r="AA5361" s="508">
        <v>4.1000000000000002E-2</v>
      </c>
      <c r="AB5361" s="508">
        <v>4.1000000000000002E-2</v>
      </c>
      <c r="AC5361" s="508">
        <v>4.1000000000000002E-2</v>
      </c>
      <c r="AD5361" s="508">
        <v>4.1999999999999996E-2</v>
      </c>
      <c r="AE5361" s="508">
        <v>4.1999999999999996E-2</v>
      </c>
      <c r="AF5361" s="508">
        <v>2.8999999999999998E-2</v>
      </c>
      <c r="AG5361" s="508">
        <v>2.7999999999999997E-2</v>
      </c>
      <c r="AH5361" s="508">
        <v>2.7000000000000003E-2</v>
      </c>
      <c r="AI5361" s="492">
        <v>2.7000000000000003E-2</v>
      </c>
      <c r="AJ5361" s="485"/>
    </row>
    <row r="5362" spans="2:36">
      <c r="B5362" s="136" t="s">
        <v>471</v>
      </c>
      <c r="C5362" s="132" t="s">
        <v>1362</v>
      </c>
      <c r="D5362" s="132" t="s">
        <v>285</v>
      </c>
      <c r="E5362" s="508">
        <v>2.9950000000000001</v>
      </c>
      <c r="F5362" s="508">
        <v>2.988</v>
      </c>
      <c r="G5362" s="508">
        <v>3.0130000000000003</v>
      </c>
      <c r="H5362" s="508">
        <v>1.1099999999999999</v>
      </c>
      <c r="I5362" s="508">
        <v>1.117</v>
      </c>
      <c r="J5362" s="508">
        <v>1.1379999999999999</v>
      </c>
      <c r="K5362" s="508">
        <v>1.2009999999999998</v>
      </c>
      <c r="L5362" s="508">
        <v>1.202</v>
      </c>
      <c r="M5362" s="508">
        <v>1.1879999999999999</v>
      </c>
      <c r="N5362" s="508">
        <v>1.181</v>
      </c>
      <c r="O5362" s="508">
        <v>1.1819999999999999</v>
      </c>
      <c r="P5362" s="508">
        <v>1.1870000000000001</v>
      </c>
      <c r="Q5362" s="508">
        <v>1.181</v>
      </c>
      <c r="R5362" s="508">
        <v>0.82699999999999996</v>
      </c>
      <c r="S5362" s="508">
        <v>0.83499999999999996</v>
      </c>
      <c r="T5362" s="508">
        <v>0.83499999999999996</v>
      </c>
      <c r="U5362" s="508">
        <v>0.83099999999999996</v>
      </c>
      <c r="V5362" s="508">
        <v>0.82800000000000007</v>
      </c>
      <c r="W5362" s="508">
        <v>0.75</v>
      </c>
      <c r="X5362" s="508">
        <v>0.747</v>
      </c>
      <c r="Y5362" s="508">
        <v>0.749</v>
      </c>
      <c r="Z5362" s="508">
        <v>0.75</v>
      </c>
      <c r="AA5362" s="508">
        <v>4.0999999999999995E-2</v>
      </c>
      <c r="AB5362" s="508">
        <v>4.0999999999999995E-2</v>
      </c>
      <c r="AC5362" s="508">
        <v>4.1999999999999996E-2</v>
      </c>
      <c r="AD5362" s="508">
        <v>4.2000000000000003E-2</v>
      </c>
      <c r="AE5362" s="508">
        <v>4.2000000000000003E-2</v>
      </c>
      <c r="AF5362" s="508">
        <v>0.03</v>
      </c>
      <c r="AG5362" s="508">
        <v>2.8999999999999998E-2</v>
      </c>
      <c r="AH5362" s="508">
        <v>2.8000000000000001E-2</v>
      </c>
      <c r="AI5362" s="492">
        <v>2.8000000000000001E-2</v>
      </c>
      <c r="AJ5362" s="485"/>
    </row>
    <row r="5363" spans="2:36">
      <c r="B5363" s="136" t="s">
        <v>472</v>
      </c>
      <c r="C5363" s="132" t="s">
        <v>1362</v>
      </c>
      <c r="D5363" s="132" t="s">
        <v>285</v>
      </c>
      <c r="E5363" s="508">
        <v>2.9220000000000002</v>
      </c>
      <c r="F5363" s="508">
        <v>2.9159999999999999</v>
      </c>
      <c r="G5363" s="508">
        <v>2.9410000000000003</v>
      </c>
      <c r="H5363" s="508">
        <v>1.0900000000000001</v>
      </c>
      <c r="I5363" s="508">
        <v>1.097</v>
      </c>
      <c r="J5363" s="508">
        <v>1.115</v>
      </c>
      <c r="K5363" s="508">
        <v>1.1940000000000002</v>
      </c>
      <c r="L5363" s="508">
        <v>1.1950000000000001</v>
      </c>
      <c r="M5363" s="508">
        <v>1.179</v>
      </c>
      <c r="N5363" s="508">
        <v>1.1769999999999998</v>
      </c>
      <c r="O5363" s="508">
        <v>1.1779999999999999</v>
      </c>
      <c r="P5363" s="508">
        <v>1.1829999999999998</v>
      </c>
      <c r="Q5363" s="508">
        <v>1.1769999999999998</v>
      </c>
      <c r="R5363" s="508">
        <v>0.84299999999999997</v>
      </c>
      <c r="S5363" s="508">
        <v>0.84799999999999998</v>
      </c>
      <c r="T5363" s="508">
        <v>0.84899999999999998</v>
      </c>
      <c r="U5363" s="508">
        <v>0.84499999999999997</v>
      </c>
      <c r="V5363" s="508">
        <v>0.84299999999999997</v>
      </c>
      <c r="W5363" s="508">
        <v>0.76400000000000001</v>
      </c>
      <c r="X5363" s="508">
        <v>0.76</v>
      </c>
      <c r="Y5363" s="508">
        <v>0.76200000000000001</v>
      </c>
      <c r="Z5363" s="508">
        <v>0.76300000000000001</v>
      </c>
      <c r="AA5363" s="508">
        <v>4.3000000000000003E-2</v>
      </c>
      <c r="AB5363" s="508">
        <v>4.3000000000000003E-2</v>
      </c>
      <c r="AC5363" s="508">
        <v>4.3000000000000003E-2</v>
      </c>
      <c r="AD5363" s="508">
        <v>4.9000000000000002E-2</v>
      </c>
      <c r="AE5363" s="508">
        <v>4.9000000000000002E-2</v>
      </c>
      <c r="AF5363" s="508">
        <v>3.7000000000000005E-2</v>
      </c>
      <c r="AG5363" s="508">
        <v>3.6000000000000004E-2</v>
      </c>
      <c r="AH5363" s="508">
        <v>3.5000000000000003E-2</v>
      </c>
      <c r="AI5363" s="492">
        <v>3.5000000000000003E-2</v>
      </c>
      <c r="AJ5363" s="485"/>
    </row>
    <row r="5364" spans="2:36">
      <c r="B5364" s="136" t="s">
        <v>473</v>
      </c>
      <c r="C5364" s="132" t="s">
        <v>1362</v>
      </c>
      <c r="D5364" s="132" t="s">
        <v>285</v>
      </c>
      <c r="E5364" s="508">
        <v>3.0339999999999998</v>
      </c>
      <c r="F5364" s="508">
        <v>3.028</v>
      </c>
      <c r="G5364" s="508">
        <v>3.0529999999999999</v>
      </c>
      <c r="H5364" s="508">
        <v>1.1379999999999999</v>
      </c>
      <c r="I5364" s="508">
        <v>1.1459999999999999</v>
      </c>
      <c r="J5364" s="508">
        <v>1.167</v>
      </c>
      <c r="K5364" s="508">
        <v>1.226</v>
      </c>
      <c r="L5364" s="508">
        <v>1.2269999999999999</v>
      </c>
      <c r="M5364" s="508">
        <v>1.2129999999999999</v>
      </c>
      <c r="N5364" s="508">
        <v>1.2169999999999999</v>
      </c>
      <c r="O5364" s="508">
        <v>1.218</v>
      </c>
      <c r="P5364" s="508">
        <v>1.2229999999999999</v>
      </c>
      <c r="Q5364" s="508">
        <v>1.2169999999999999</v>
      </c>
      <c r="R5364" s="508">
        <v>0.85299999999999998</v>
      </c>
      <c r="S5364" s="508">
        <v>0.86099999999999999</v>
      </c>
      <c r="T5364" s="508">
        <v>0.86199999999999999</v>
      </c>
      <c r="U5364" s="508">
        <v>0.85699999999999998</v>
      </c>
      <c r="V5364" s="508">
        <v>0.85399999999999998</v>
      </c>
      <c r="W5364" s="508">
        <v>0.77400000000000002</v>
      </c>
      <c r="X5364" s="508">
        <v>0.77</v>
      </c>
      <c r="Y5364" s="508">
        <v>0.77200000000000002</v>
      </c>
      <c r="Z5364" s="508">
        <v>0.77400000000000002</v>
      </c>
      <c r="AA5364" s="508">
        <v>4.1999999999999996E-2</v>
      </c>
      <c r="AB5364" s="508">
        <v>4.1999999999999996E-2</v>
      </c>
      <c r="AC5364" s="508">
        <v>4.1999999999999996E-2</v>
      </c>
      <c r="AD5364" s="508">
        <v>4.3999999999999997E-2</v>
      </c>
      <c r="AE5364" s="508">
        <v>4.3999999999999997E-2</v>
      </c>
      <c r="AF5364" s="508">
        <v>3.1E-2</v>
      </c>
      <c r="AG5364" s="508">
        <v>0.03</v>
      </c>
      <c r="AH5364" s="508">
        <v>2.9000000000000001E-2</v>
      </c>
      <c r="AI5364" s="492">
        <v>2.9000000000000001E-2</v>
      </c>
      <c r="AJ5364" s="485"/>
    </row>
    <row r="5365" spans="2:36">
      <c r="B5365" s="136" t="s">
        <v>474</v>
      </c>
      <c r="C5365" s="132" t="s">
        <v>1362</v>
      </c>
      <c r="D5365" s="132" t="s">
        <v>285</v>
      </c>
      <c r="E5365" s="508">
        <v>2.9849999999999999</v>
      </c>
      <c r="F5365" s="508">
        <v>2.9790000000000001</v>
      </c>
      <c r="G5365" s="508">
        <v>3.0030000000000001</v>
      </c>
      <c r="H5365" s="508">
        <v>1.117</v>
      </c>
      <c r="I5365" s="508">
        <v>1.1239999999999999</v>
      </c>
      <c r="J5365" s="508">
        <v>1.1439999999999999</v>
      </c>
      <c r="K5365" s="508">
        <v>1.212</v>
      </c>
      <c r="L5365" s="508">
        <v>1.2129999999999999</v>
      </c>
      <c r="M5365" s="508">
        <v>1.198</v>
      </c>
      <c r="N5365" s="508">
        <v>1.2</v>
      </c>
      <c r="O5365" s="508">
        <v>1.202</v>
      </c>
      <c r="P5365" s="508">
        <v>1.206</v>
      </c>
      <c r="Q5365" s="508">
        <v>1.2</v>
      </c>
      <c r="R5365" s="508">
        <v>0.84799999999999998</v>
      </c>
      <c r="S5365" s="508">
        <v>0.85499999999999998</v>
      </c>
      <c r="T5365" s="508">
        <v>0.85599999999999998</v>
      </c>
      <c r="U5365" s="508">
        <v>0.85099999999999998</v>
      </c>
      <c r="V5365" s="508">
        <v>0.84799999999999998</v>
      </c>
      <c r="W5365" s="508">
        <v>0.76900000000000002</v>
      </c>
      <c r="X5365" s="508">
        <v>0.76500000000000001</v>
      </c>
      <c r="Y5365" s="508">
        <v>0.76800000000000002</v>
      </c>
      <c r="Z5365" s="508">
        <v>0.76900000000000002</v>
      </c>
      <c r="AA5365" s="508">
        <v>4.2999999999999997E-2</v>
      </c>
      <c r="AB5365" s="508">
        <v>4.1999999999999996E-2</v>
      </c>
      <c r="AC5365" s="508">
        <v>4.2999999999999997E-2</v>
      </c>
      <c r="AD5365" s="508">
        <v>4.5999999999999999E-2</v>
      </c>
      <c r="AE5365" s="508">
        <v>4.5999999999999999E-2</v>
      </c>
      <c r="AF5365" s="508">
        <v>3.3000000000000002E-2</v>
      </c>
      <c r="AG5365" s="508">
        <v>3.2000000000000001E-2</v>
      </c>
      <c r="AH5365" s="508">
        <v>3.1E-2</v>
      </c>
      <c r="AI5365" s="492">
        <v>3.1E-2</v>
      </c>
      <c r="AJ5365" s="485"/>
    </row>
    <row r="5366" spans="2:36">
      <c r="B5366" s="136" t="s">
        <v>475</v>
      </c>
      <c r="C5366" s="132" t="s">
        <v>1362</v>
      </c>
      <c r="D5366" s="132" t="s">
        <v>285</v>
      </c>
      <c r="E5366" s="508">
        <v>2.964</v>
      </c>
      <c r="F5366" s="508">
        <v>2.9580000000000002</v>
      </c>
      <c r="G5366" s="508">
        <v>2.9830000000000001</v>
      </c>
      <c r="H5366" s="508">
        <v>1.105</v>
      </c>
      <c r="I5366" s="508">
        <v>1.1119999999999999</v>
      </c>
      <c r="J5366" s="508">
        <v>1.1319999999999999</v>
      </c>
      <c r="K5366" s="508">
        <v>1.202</v>
      </c>
      <c r="L5366" s="508">
        <v>1.2029999999999998</v>
      </c>
      <c r="M5366" s="508">
        <v>1.1879999999999999</v>
      </c>
      <c r="N5366" s="508">
        <v>1.1859999999999999</v>
      </c>
      <c r="O5366" s="508">
        <v>1.1870000000000001</v>
      </c>
      <c r="P5366" s="508">
        <v>1.1919999999999999</v>
      </c>
      <c r="Q5366" s="508">
        <v>1.1859999999999999</v>
      </c>
      <c r="R5366" s="508">
        <v>0.83799999999999997</v>
      </c>
      <c r="S5366" s="508">
        <v>0.84599999999999997</v>
      </c>
      <c r="T5366" s="508">
        <v>0.84699999999999998</v>
      </c>
      <c r="U5366" s="508">
        <v>0.84199999999999997</v>
      </c>
      <c r="V5366" s="508">
        <v>0.83899999999999997</v>
      </c>
      <c r="W5366" s="508">
        <v>0.76100000000000001</v>
      </c>
      <c r="X5366" s="508">
        <v>0.75700000000000001</v>
      </c>
      <c r="Y5366" s="508">
        <v>0.75900000000000001</v>
      </c>
      <c r="Z5366" s="508">
        <v>0.76</v>
      </c>
      <c r="AA5366" s="508">
        <v>4.1999999999999996E-2</v>
      </c>
      <c r="AB5366" s="508">
        <v>4.1999999999999996E-2</v>
      </c>
      <c r="AC5366" s="508">
        <v>4.1999999999999996E-2</v>
      </c>
      <c r="AD5366" s="508">
        <v>4.5999999999999999E-2</v>
      </c>
      <c r="AE5366" s="508">
        <v>4.5999999999999999E-2</v>
      </c>
      <c r="AF5366" s="508">
        <v>3.4000000000000002E-2</v>
      </c>
      <c r="AG5366" s="508">
        <v>3.3000000000000002E-2</v>
      </c>
      <c r="AH5366" s="508">
        <v>3.2000000000000001E-2</v>
      </c>
      <c r="AI5366" s="492">
        <v>3.2000000000000001E-2</v>
      </c>
      <c r="AJ5366" s="485"/>
    </row>
    <row r="5367" spans="2:36">
      <c r="B5367" s="136" t="s">
        <v>476</v>
      </c>
      <c r="C5367" s="132" t="s">
        <v>1362</v>
      </c>
      <c r="D5367" s="132" t="s">
        <v>285</v>
      </c>
      <c r="E5367" s="508">
        <v>3.008</v>
      </c>
      <c r="F5367" s="508">
        <v>3.0019999999999998</v>
      </c>
      <c r="G5367" s="508">
        <v>3.0270000000000001</v>
      </c>
      <c r="H5367" s="508">
        <v>1.135</v>
      </c>
      <c r="I5367" s="508">
        <v>1.143</v>
      </c>
      <c r="J5367" s="508">
        <v>1.1620000000000001</v>
      </c>
      <c r="K5367" s="508">
        <v>1.228</v>
      </c>
      <c r="L5367" s="508">
        <v>1.2289999999999999</v>
      </c>
      <c r="M5367" s="508">
        <v>1.2130000000000001</v>
      </c>
      <c r="N5367" s="508">
        <v>1.224</v>
      </c>
      <c r="O5367" s="508">
        <v>1.226</v>
      </c>
      <c r="P5367" s="508">
        <v>1.2310000000000001</v>
      </c>
      <c r="Q5367" s="508">
        <v>1.224</v>
      </c>
      <c r="R5367" s="508">
        <v>0.86399999999999999</v>
      </c>
      <c r="S5367" s="508">
        <v>0.87</v>
      </c>
      <c r="T5367" s="508">
        <v>0.871</v>
      </c>
      <c r="U5367" s="508">
        <v>0.86699999999999999</v>
      </c>
      <c r="V5367" s="508">
        <v>0.86399999999999999</v>
      </c>
      <c r="W5367" s="508">
        <v>0.78300000000000003</v>
      </c>
      <c r="X5367" s="508">
        <v>0.77900000000000003</v>
      </c>
      <c r="Y5367" s="508">
        <v>0.78100000000000003</v>
      </c>
      <c r="Z5367" s="508">
        <v>0.78200000000000003</v>
      </c>
      <c r="AA5367" s="508">
        <v>4.2999999999999997E-2</v>
      </c>
      <c r="AB5367" s="508">
        <v>4.2999999999999997E-2</v>
      </c>
      <c r="AC5367" s="508">
        <v>4.2999999999999997E-2</v>
      </c>
      <c r="AD5367" s="508">
        <v>4.7E-2</v>
      </c>
      <c r="AE5367" s="508">
        <v>4.7E-2</v>
      </c>
      <c r="AF5367" s="508">
        <v>3.5000000000000003E-2</v>
      </c>
      <c r="AG5367" s="508">
        <v>3.4000000000000002E-2</v>
      </c>
      <c r="AH5367" s="508">
        <v>3.3000000000000002E-2</v>
      </c>
      <c r="AI5367" s="492">
        <v>3.3000000000000002E-2</v>
      </c>
      <c r="AJ5367" s="485"/>
    </row>
    <row r="5368" spans="2:36">
      <c r="B5368" s="136" t="s">
        <v>478</v>
      </c>
      <c r="C5368" s="132" t="s">
        <v>1362</v>
      </c>
      <c r="D5368" s="132" t="s">
        <v>285</v>
      </c>
      <c r="E5368" s="508">
        <v>3.036</v>
      </c>
      <c r="F5368" s="508">
        <v>3.0289999999999999</v>
      </c>
      <c r="G5368" s="508">
        <v>3.0539999999999998</v>
      </c>
      <c r="H5368" s="508">
        <v>1.1419999999999999</v>
      </c>
      <c r="I5368" s="508">
        <v>1.1499999999999999</v>
      </c>
      <c r="J5368" s="508">
        <v>1.1709999999999998</v>
      </c>
      <c r="K5368" s="508">
        <v>1.2289999999999999</v>
      </c>
      <c r="L5368" s="508">
        <v>1.23</v>
      </c>
      <c r="M5368" s="508">
        <v>1.216</v>
      </c>
      <c r="N5368" s="508">
        <v>1.226</v>
      </c>
      <c r="O5368" s="508">
        <v>1.228</v>
      </c>
      <c r="P5368" s="508">
        <v>1.2329999999999999</v>
      </c>
      <c r="Q5368" s="508">
        <v>1.226</v>
      </c>
      <c r="R5368" s="508">
        <v>0.85099999999999998</v>
      </c>
      <c r="S5368" s="508">
        <v>0.85899999999999999</v>
      </c>
      <c r="T5368" s="508">
        <v>0.85899999999999999</v>
      </c>
      <c r="U5368" s="508">
        <v>0.85499999999999998</v>
      </c>
      <c r="V5368" s="508">
        <v>0.85099999999999998</v>
      </c>
      <c r="W5368" s="508">
        <v>0.77200000000000002</v>
      </c>
      <c r="X5368" s="508">
        <v>0.76800000000000002</v>
      </c>
      <c r="Y5368" s="508">
        <v>0.77</v>
      </c>
      <c r="Z5368" s="508">
        <v>0.77099999999999991</v>
      </c>
      <c r="AA5368" s="508">
        <v>4.1999999999999996E-2</v>
      </c>
      <c r="AB5368" s="508">
        <v>4.1999999999999996E-2</v>
      </c>
      <c r="AC5368" s="508">
        <v>4.1999999999999996E-2</v>
      </c>
      <c r="AD5368" s="508">
        <v>4.2999999999999997E-2</v>
      </c>
      <c r="AE5368" s="508">
        <v>4.2999999999999997E-2</v>
      </c>
      <c r="AF5368" s="508">
        <v>0.03</v>
      </c>
      <c r="AG5368" s="508">
        <v>2.8999999999999998E-2</v>
      </c>
      <c r="AH5368" s="508">
        <v>2.8000000000000001E-2</v>
      </c>
      <c r="AI5368" s="492">
        <v>2.8000000000000001E-2</v>
      </c>
      <c r="AJ5368" s="485"/>
    </row>
    <row r="5369" spans="2:36">
      <c r="B5369" s="136" t="s">
        <v>479</v>
      </c>
      <c r="C5369" s="132" t="s">
        <v>1362</v>
      </c>
      <c r="D5369" s="132" t="s">
        <v>285</v>
      </c>
      <c r="E5369" s="508">
        <v>2.98</v>
      </c>
      <c r="F5369" s="508">
        <v>2.9730000000000003</v>
      </c>
      <c r="G5369" s="508">
        <v>2.9980000000000002</v>
      </c>
      <c r="H5369" s="508">
        <v>1.1259999999999999</v>
      </c>
      <c r="I5369" s="508">
        <v>1.133</v>
      </c>
      <c r="J5369" s="508">
        <v>1.1519999999999999</v>
      </c>
      <c r="K5369" s="508">
        <v>1.2229999999999999</v>
      </c>
      <c r="L5369" s="508">
        <v>1.224</v>
      </c>
      <c r="M5369" s="508">
        <v>1.2090000000000001</v>
      </c>
      <c r="N5369" s="508">
        <v>1.2210000000000001</v>
      </c>
      <c r="O5369" s="508">
        <v>1.222</v>
      </c>
      <c r="P5369" s="508">
        <v>1.2270000000000001</v>
      </c>
      <c r="Q5369" s="508">
        <v>1.2210000000000001</v>
      </c>
      <c r="R5369" s="508">
        <v>0.86699999999999999</v>
      </c>
      <c r="S5369" s="508">
        <v>0.874</v>
      </c>
      <c r="T5369" s="508">
        <v>0.875</v>
      </c>
      <c r="U5369" s="508">
        <v>0.87</v>
      </c>
      <c r="V5369" s="508">
        <v>0.86699999999999999</v>
      </c>
      <c r="W5369" s="508">
        <v>0.78700000000000003</v>
      </c>
      <c r="X5369" s="508">
        <v>0.78300000000000003</v>
      </c>
      <c r="Y5369" s="508">
        <v>0.78500000000000003</v>
      </c>
      <c r="Z5369" s="508">
        <v>0.78600000000000003</v>
      </c>
      <c r="AA5369" s="508">
        <v>4.3999999999999997E-2</v>
      </c>
      <c r="AB5369" s="508">
        <v>4.3999999999999997E-2</v>
      </c>
      <c r="AC5369" s="508">
        <v>4.3999999999999997E-2</v>
      </c>
      <c r="AD5369" s="508">
        <v>4.9000000000000002E-2</v>
      </c>
      <c r="AE5369" s="508">
        <v>4.9000000000000002E-2</v>
      </c>
      <c r="AF5369" s="508">
        <v>3.6999999999999998E-2</v>
      </c>
      <c r="AG5369" s="508">
        <v>3.6000000000000004E-2</v>
      </c>
      <c r="AH5369" s="508">
        <v>3.5000000000000003E-2</v>
      </c>
      <c r="AI5369" s="492">
        <v>3.5000000000000003E-2</v>
      </c>
      <c r="AJ5369" s="485"/>
    </row>
    <row r="5370" spans="2:36">
      <c r="B5370" s="136" t="s">
        <v>480</v>
      </c>
      <c r="C5370" s="132" t="s">
        <v>1362</v>
      </c>
      <c r="D5370" s="132" t="s">
        <v>285</v>
      </c>
      <c r="E5370" s="508">
        <v>2.9170000000000003</v>
      </c>
      <c r="F5370" s="508">
        <v>2.911</v>
      </c>
      <c r="G5370" s="508">
        <v>2.9359999999999999</v>
      </c>
      <c r="H5370" s="508">
        <v>1.1000000000000001</v>
      </c>
      <c r="I5370" s="508">
        <v>1.107</v>
      </c>
      <c r="J5370" s="508">
        <v>1.1240000000000001</v>
      </c>
      <c r="K5370" s="508">
        <v>1.2060000000000002</v>
      </c>
      <c r="L5370" s="508">
        <v>1.2070000000000001</v>
      </c>
      <c r="M5370" s="508">
        <v>1.1910000000000001</v>
      </c>
      <c r="N5370" s="508">
        <v>1.1989999999999998</v>
      </c>
      <c r="O5370" s="508">
        <v>1.2</v>
      </c>
      <c r="P5370" s="508">
        <v>1.204</v>
      </c>
      <c r="Q5370" s="508">
        <v>1.1989999999999998</v>
      </c>
      <c r="R5370" s="508">
        <v>0.85899999999999999</v>
      </c>
      <c r="S5370" s="508">
        <v>0.86599999999999999</v>
      </c>
      <c r="T5370" s="508">
        <v>0.86699999999999999</v>
      </c>
      <c r="U5370" s="508">
        <v>0.86199999999999999</v>
      </c>
      <c r="V5370" s="508">
        <v>0.86</v>
      </c>
      <c r="W5370" s="508">
        <v>0.78</v>
      </c>
      <c r="X5370" s="508">
        <v>0.77600000000000002</v>
      </c>
      <c r="Y5370" s="508">
        <v>0.77800000000000002</v>
      </c>
      <c r="Z5370" s="508">
        <v>0.77900000000000003</v>
      </c>
      <c r="AA5370" s="508">
        <v>4.4000000000000004E-2</v>
      </c>
      <c r="AB5370" s="508">
        <v>4.4000000000000004E-2</v>
      </c>
      <c r="AC5370" s="508">
        <v>4.5000000000000005E-2</v>
      </c>
      <c r="AD5370" s="508">
        <v>5.2000000000000005E-2</v>
      </c>
      <c r="AE5370" s="508">
        <v>5.1000000000000004E-2</v>
      </c>
      <c r="AF5370" s="508">
        <v>0.04</v>
      </c>
      <c r="AG5370" s="508">
        <v>3.9E-2</v>
      </c>
      <c r="AH5370" s="508">
        <v>3.7999999999999999E-2</v>
      </c>
      <c r="AI5370" s="492">
        <v>3.7999999999999999E-2</v>
      </c>
      <c r="AJ5370" s="485"/>
    </row>
    <row r="5371" spans="2:36">
      <c r="B5371" s="136" t="s">
        <v>481</v>
      </c>
      <c r="C5371" s="132" t="s">
        <v>1362</v>
      </c>
      <c r="D5371" s="132" t="s">
        <v>285</v>
      </c>
      <c r="E5371" s="508">
        <v>2.9899999999999998</v>
      </c>
      <c r="F5371" s="508">
        <v>2.984</v>
      </c>
      <c r="G5371" s="508">
        <v>3.008</v>
      </c>
      <c r="H5371" s="508">
        <v>1.1260000000000001</v>
      </c>
      <c r="I5371" s="508">
        <v>1.1340000000000001</v>
      </c>
      <c r="J5371" s="508">
        <v>1.1540000000000001</v>
      </c>
      <c r="K5371" s="508">
        <v>1.222</v>
      </c>
      <c r="L5371" s="508">
        <v>1.222</v>
      </c>
      <c r="M5371" s="508">
        <v>1.2070000000000001</v>
      </c>
      <c r="N5371" s="508">
        <v>1.2170000000000001</v>
      </c>
      <c r="O5371" s="508">
        <v>1.218</v>
      </c>
      <c r="P5371" s="508">
        <v>1.2229999999999999</v>
      </c>
      <c r="Q5371" s="508">
        <v>1.2170000000000001</v>
      </c>
      <c r="R5371" s="508">
        <v>0.86</v>
      </c>
      <c r="S5371" s="508">
        <v>0.86699999999999999</v>
      </c>
      <c r="T5371" s="508">
        <v>0.86699999999999999</v>
      </c>
      <c r="U5371" s="508">
        <v>0.86299999999999999</v>
      </c>
      <c r="V5371" s="508">
        <v>0.86</v>
      </c>
      <c r="W5371" s="508">
        <v>0.78</v>
      </c>
      <c r="X5371" s="508">
        <v>0.77600000000000002</v>
      </c>
      <c r="Y5371" s="508">
        <v>0.77800000000000002</v>
      </c>
      <c r="Z5371" s="508">
        <v>0.78</v>
      </c>
      <c r="AA5371" s="508">
        <v>4.3999999999999997E-2</v>
      </c>
      <c r="AB5371" s="508">
        <v>4.2999999999999997E-2</v>
      </c>
      <c r="AC5371" s="508">
        <v>4.3999999999999997E-2</v>
      </c>
      <c r="AD5371" s="508">
        <v>4.8000000000000001E-2</v>
      </c>
      <c r="AE5371" s="508">
        <v>4.8000000000000001E-2</v>
      </c>
      <c r="AF5371" s="508">
        <v>3.4999999999999996E-2</v>
      </c>
      <c r="AG5371" s="508">
        <v>3.4000000000000002E-2</v>
      </c>
      <c r="AH5371" s="508">
        <v>3.3000000000000002E-2</v>
      </c>
      <c r="AI5371" s="492">
        <v>3.3000000000000002E-2</v>
      </c>
      <c r="AJ5371" s="485"/>
    </row>
    <row r="5372" spans="2:36">
      <c r="B5372" s="136" t="s">
        <v>482</v>
      </c>
      <c r="C5372" s="132" t="s">
        <v>1362</v>
      </c>
      <c r="D5372" s="132" t="s">
        <v>285</v>
      </c>
      <c r="E5372" s="508">
        <v>2.9779999999999998</v>
      </c>
      <c r="F5372" s="508">
        <v>2.972</v>
      </c>
      <c r="G5372" s="508">
        <v>2.996</v>
      </c>
      <c r="H5372" s="508">
        <v>1.111</v>
      </c>
      <c r="I5372" s="508">
        <v>1.119</v>
      </c>
      <c r="J5372" s="508">
        <v>1.1380000000000001</v>
      </c>
      <c r="K5372" s="508">
        <v>1.2050000000000001</v>
      </c>
      <c r="L5372" s="508">
        <v>1.206</v>
      </c>
      <c r="M5372" s="508">
        <v>1.1910000000000001</v>
      </c>
      <c r="N5372" s="508">
        <v>1.1919999999999999</v>
      </c>
      <c r="O5372" s="508">
        <v>1.1930000000000001</v>
      </c>
      <c r="P5372" s="508">
        <v>1.1970000000000001</v>
      </c>
      <c r="Q5372" s="508">
        <v>1.1919999999999999</v>
      </c>
      <c r="R5372" s="508">
        <v>0.83399999999999996</v>
      </c>
      <c r="S5372" s="508">
        <v>0.84099999999999997</v>
      </c>
      <c r="T5372" s="508">
        <v>0.84099999999999997</v>
      </c>
      <c r="U5372" s="508">
        <v>0.83699999999999997</v>
      </c>
      <c r="V5372" s="508">
        <v>0.83399999999999996</v>
      </c>
      <c r="W5372" s="508">
        <v>0.75600000000000001</v>
      </c>
      <c r="X5372" s="508">
        <v>0.753</v>
      </c>
      <c r="Y5372" s="508">
        <v>0.755</v>
      </c>
      <c r="Z5372" s="508">
        <v>0.75600000000000001</v>
      </c>
      <c r="AA5372" s="508">
        <v>4.1999999999999996E-2</v>
      </c>
      <c r="AB5372" s="508">
        <v>4.1999999999999996E-2</v>
      </c>
      <c r="AC5372" s="508">
        <v>4.1999999999999996E-2</v>
      </c>
      <c r="AD5372" s="508">
        <v>4.5000000000000005E-2</v>
      </c>
      <c r="AE5372" s="508">
        <v>4.5000000000000005E-2</v>
      </c>
      <c r="AF5372" s="508">
        <v>3.3000000000000002E-2</v>
      </c>
      <c r="AG5372" s="508">
        <v>0.03</v>
      </c>
      <c r="AH5372" s="508">
        <v>0.03</v>
      </c>
      <c r="AI5372" s="492">
        <v>0.03</v>
      </c>
      <c r="AJ5372" s="485"/>
    </row>
    <row r="5373" spans="2:36">
      <c r="B5373" s="136" t="s">
        <v>483</v>
      </c>
      <c r="C5373" s="132" t="s">
        <v>1362</v>
      </c>
      <c r="D5373" s="132" t="s">
        <v>285</v>
      </c>
      <c r="E5373" s="508">
        <v>3.0329999999999999</v>
      </c>
      <c r="F5373" s="508">
        <v>3.0270000000000001</v>
      </c>
      <c r="G5373" s="508">
        <v>3.052</v>
      </c>
      <c r="H5373" s="508">
        <v>1.145</v>
      </c>
      <c r="I5373" s="508">
        <v>1.1520000000000001</v>
      </c>
      <c r="J5373" s="508">
        <v>1.173</v>
      </c>
      <c r="K5373" s="508">
        <v>1.2330000000000001</v>
      </c>
      <c r="L5373" s="508">
        <v>1.234</v>
      </c>
      <c r="M5373" s="508">
        <v>1.2190000000000001</v>
      </c>
      <c r="N5373" s="508">
        <v>1.2309999999999999</v>
      </c>
      <c r="O5373" s="508">
        <v>1.2330000000000001</v>
      </c>
      <c r="P5373" s="508">
        <v>1.2390000000000001</v>
      </c>
      <c r="Q5373" s="508">
        <v>1.2309999999999999</v>
      </c>
      <c r="R5373" s="508">
        <v>0.86</v>
      </c>
      <c r="S5373" s="508">
        <v>0.86799999999999999</v>
      </c>
      <c r="T5373" s="508">
        <v>0.86899999999999999</v>
      </c>
      <c r="U5373" s="508">
        <v>0.86399999999999999</v>
      </c>
      <c r="V5373" s="508">
        <v>0.86</v>
      </c>
      <c r="W5373" s="508">
        <v>0.77999999999999992</v>
      </c>
      <c r="X5373" s="508">
        <v>0.77599999999999991</v>
      </c>
      <c r="Y5373" s="508">
        <v>0.77899999999999991</v>
      </c>
      <c r="Z5373" s="508">
        <v>0.77999999999999992</v>
      </c>
      <c r="AA5373" s="508">
        <v>4.2999999999999997E-2</v>
      </c>
      <c r="AB5373" s="508">
        <v>4.2999999999999997E-2</v>
      </c>
      <c r="AC5373" s="508">
        <v>4.2999999999999997E-2</v>
      </c>
      <c r="AD5373" s="508">
        <v>4.4999999999999998E-2</v>
      </c>
      <c r="AE5373" s="508">
        <v>4.4999999999999998E-2</v>
      </c>
      <c r="AF5373" s="508">
        <v>3.2000000000000001E-2</v>
      </c>
      <c r="AG5373" s="508">
        <v>3.1E-2</v>
      </c>
      <c r="AH5373" s="508">
        <v>0.03</v>
      </c>
      <c r="AI5373" s="492">
        <v>0.03</v>
      </c>
      <c r="AJ5373" s="485"/>
    </row>
    <row r="5374" spans="2:36">
      <c r="B5374" s="136" t="s">
        <v>484</v>
      </c>
      <c r="C5374" s="132" t="s">
        <v>1362</v>
      </c>
      <c r="D5374" s="132" t="s">
        <v>285</v>
      </c>
      <c r="E5374" s="508">
        <v>2.919</v>
      </c>
      <c r="F5374" s="508">
        <v>2.9129999999999998</v>
      </c>
      <c r="G5374" s="508">
        <v>2.9369999999999998</v>
      </c>
      <c r="H5374" s="508">
        <v>1.0900000000000001</v>
      </c>
      <c r="I5374" s="508">
        <v>1.097</v>
      </c>
      <c r="J5374" s="508">
        <v>1.115</v>
      </c>
      <c r="K5374" s="508">
        <v>1.1940000000000002</v>
      </c>
      <c r="L5374" s="508">
        <v>1.1950000000000001</v>
      </c>
      <c r="M5374" s="508">
        <v>1.179</v>
      </c>
      <c r="N5374" s="508">
        <v>1.1769999999999998</v>
      </c>
      <c r="O5374" s="508">
        <v>1.1779999999999999</v>
      </c>
      <c r="P5374" s="508">
        <v>1.1819999999999999</v>
      </c>
      <c r="Q5374" s="508">
        <v>1.1769999999999998</v>
      </c>
      <c r="R5374" s="508">
        <v>0.84199999999999997</v>
      </c>
      <c r="S5374" s="508">
        <v>0.84799999999999998</v>
      </c>
      <c r="T5374" s="508">
        <v>0.84899999999999998</v>
      </c>
      <c r="U5374" s="508">
        <v>0.84399999999999997</v>
      </c>
      <c r="V5374" s="508">
        <v>0.84199999999999997</v>
      </c>
      <c r="W5374" s="508">
        <v>0.76400000000000001</v>
      </c>
      <c r="X5374" s="508">
        <v>0.76</v>
      </c>
      <c r="Y5374" s="508">
        <v>0.76200000000000001</v>
      </c>
      <c r="Z5374" s="508">
        <v>0.76300000000000001</v>
      </c>
      <c r="AA5374" s="508">
        <v>4.3000000000000003E-2</v>
      </c>
      <c r="AB5374" s="508">
        <v>4.2000000000000003E-2</v>
      </c>
      <c r="AC5374" s="508">
        <v>4.3000000000000003E-2</v>
      </c>
      <c r="AD5374" s="508">
        <v>4.9000000000000002E-2</v>
      </c>
      <c r="AE5374" s="508">
        <v>4.9000000000000002E-2</v>
      </c>
      <c r="AF5374" s="508">
        <v>3.7000000000000005E-2</v>
      </c>
      <c r="AG5374" s="508">
        <v>3.6000000000000004E-2</v>
      </c>
      <c r="AH5374" s="508">
        <v>3.5000000000000003E-2</v>
      </c>
      <c r="AI5374" s="492">
        <v>3.5000000000000003E-2</v>
      </c>
      <c r="AJ5374" s="485"/>
    </row>
    <row r="5375" spans="2:36">
      <c r="B5375" s="136" t="s">
        <v>486</v>
      </c>
      <c r="C5375" s="132" t="s">
        <v>1362</v>
      </c>
      <c r="D5375" s="132" t="s">
        <v>285</v>
      </c>
      <c r="E5375" s="508">
        <v>2.99</v>
      </c>
      <c r="F5375" s="508">
        <v>2.9830000000000001</v>
      </c>
      <c r="G5375" s="508">
        <v>3.008</v>
      </c>
      <c r="H5375" s="508">
        <v>1.1240000000000001</v>
      </c>
      <c r="I5375" s="508">
        <v>1.1320000000000001</v>
      </c>
      <c r="J5375" s="508">
        <v>1.1520000000000001</v>
      </c>
      <c r="K5375" s="508">
        <v>1.2190000000000001</v>
      </c>
      <c r="L5375" s="508">
        <v>1.22</v>
      </c>
      <c r="M5375" s="508">
        <v>1.2050000000000001</v>
      </c>
      <c r="N5375" s="508">
        <v>1.2130000000000001</v>
      </c>
      <c r="O5375" s="508">
        <v>1.214</v>
      </c>
      <c r="P5375" s="508">
        <v>1.2190000000000001</v>
      </c>
      <c r="Q5375" s="508">
        <v>1.2130000000000001</v>
      </c>
      <c r="R5375" s="508">
        <v>0.85399999999999998</v>
      </c>
      <c r="S5375" s="508">
        <v>0.86099999999999999</v>
      </c>
      <c r="T5375" s="508">
        <v>0.86199999999999999</v>
      </c>
      <c r="U5375" s="508">
        <v>0.85699999999999998</v>
      </c>
      <c r="V5375" s="508">
        <v>0.85399999999999998</v>
      </c>
      <c r="W5375" s="508">
        <v>0.77500000000000002</v>
      </c>
      <c r="X5375" s="508">
        <v>0.77100000000000002</v>
      </c>
      <c r="Y5375" s="508">
        <v>0.77300000000000002</v>
      </c>
      <c r="Z5375" s="508">
        <v>0.77400000000000002</v>
      </c>
      <c r="AA5375" s="508">
        <v>4.2999999999999997E-2</v>
      </c>
      <c r="AB5375" s="508">
        <v>4.1999999999999996E-2</v>
      </c>
      <c r="AC5375" s="508">
        <v>4.2999999999999997E-2</v>
      </c>
      <c r="AD5375" s="508">
        <v>4.7E-2</v>
      </c>
      <c r="AE5375" s="508">
        <v>4.7E-2</v>
      </c>
      <c r="AF5375" s="508">
        <v>3.5000000000000003E-2</v>
      </c>
      <c r="AG5375" s="508">
        <v>3.3000000000000002E-2</v>
      </c>
      <c r="AH5375" s="508">
        <v>3.3000000000000002E-2</v>
      </c>
      <c r="AI5375" s="492">
        <v>3.3000000000000002E-2</v>
      </c>
      <c r="AJ5375" s="485"/>
    </row>
    <row r="5376" spans="2:36">
      <c r="B5376" s="136" t="s">
        <v>487</v>
      </c>
      <c r="C5376" s="132" t="s">
        <v>1362</v>
      </c>
      <c r="D5376" s="132" t="s">
        <v>285</v>
      </c>
      <c r="E5376" s="508">
        <v>2.9870000000000001</v>
      </c>
      <c r="F5376" s="508">
        <v>2.9809999999999999</v>
      </c>
      <c r="G5376" s="508">
        <v>3.0059999999999998</v>
      </c>
      <c r="H5376" s="508">
        <v>1.1259999999999999</v>
      </c>
      <c r="I5376" s="508">
        <v>1.133</v>
      </c>
      <c r="J5376" s="508">
        <v>1.1520000000000001</v>
      </c>
      <c r="K5376" s="508">
        <v>1.22</v>
      </c>
      <c r="L5376" s="508">
        <v>1.2209999999999999</v>
      </c>
      <c r="M5376" s="508">
        <v>1.206</v>
      </c>
      <c r="N5376" s="508">
        <v>1.216</v>
      </c>
      <c r="O5376" s="508">
        <v>1.2180000000000002</v>
      </c>
      <c r="P5376" s="508">
        <v>1.2220000000000002</v>
      </c>
      <c r="Q5376" s="508">
        <v>1.216</v>
      </c>
      <c r="R5376" s="508">
        <v>0.85299999999999998</v>
      </c>
      <c r="S5376" s="508">
        <v>0.86</v>
      </c>
      <c r="T5376" s="508">
        <v>0.86099999999999999</v>
      </c>
      <c r="U5376" s="508">
        <v>0.85699999999999998</v>
      </c>
      <c r="V5376" s="508">
        <v>0.85399999999999998</v>
      </c>
      <c r="W5376" s="508">
        <v>0.77400000000000002</v>
      </c>
      <c r="X5376" s="508">
        <v>0.77100000000000002</v>
      </c>
      <c r="Y5376" s="508">
        <v>0.77200000000000002</v>
      </c>
      <c r="Z5376" s="508">
        <v>0.77300000000000002</v>
      </c>
      <c r="AA5376" s="508">
        <v>4.2999999999999997E-2</v>
      </c>
      <c r="AB5376" s="508">
        <v>4.1999999999999996E-2</v>
      </c>
      <c r="AC5376" s="508">
        <v>4.2999999999999997E-2</v>
      </c>
      <c r="AD5376" s="508">
        <v>4.7E-2</v>
      </c>
      <c r="AE5376" s="508">
        <v>4.7E-2</v>
      </c>
      <c r="AF5376" s="508">
        <v>3.5000000000000003E-2</v>
      </c>
      <c r="AG5376" s="508">
        <v>3.3000000000000002E-2</v>
      </c>
      <c r="AH5376" s="508">
        <v>3.3000000000000002E-2</v>
      </c>
      <c r="AI5376" s="492">
        <v>3.3000000000000002E-2</v>
      </c>
      <c r="AJ5376" s="485"/>
    </row>
    <row r="5377" spans="2:36">
      <c r="B5377" s="136" t="s">
        <v>488</v>
      </c>
      <c r="C5377" s="132" t="s">
        <v>1362</v>
      </c>
      <c r="D5377" s="132" t="s">
        <v>285</v>
      </c>
      <c r="E5377" s="508">
        <v>2.931</v>
      </c>
      <c r="F5377" s="508">
        <v>2.9249999999999998</v>
      </c>
      <c r="G5377" s="508">
        <v>2.95</v>
      </c>
      <c r="H5377" s="508">
        <v>1.095</v>
      </c>
      <c r="I5377" s="508">
        <v>1.1019999999999999</v>
      </c>
      <c r="J5377" s="508">
        <v>1.1199999999999999</v>
      </c>
      <c r="K5377" s="508">
        <v>1.1970000000000001</v>
      </c>
      <c r="L5377" s="508">
        <v>1.198</v>
      </c>
      <c r="M5377" s="508">
        <v>1.1819999999999999</v>
      </c>
      <c r="N5377" s="508">
        <v>1.1830000000000001</v>
      </c>
      <c r="O5377" s="508">
        <v>1.1839999999999999</v>
      </c>
      <c r="P5377" s="508">
        <v>1.1879999999999999</v>
      </c>
      <c r="Q5377" s="508">
        <v>1.1830000000000001</v>
      </c>
      <c r="R5377" s="508">
        <v>0.84</v>
      </c>
      <c r="S5377" s="508">
        <v>0.84699999999999998</v>
      </c>
      <c r="T5377" s="508">
        <v>0.84699999999999998</v>
      </c>
      <c r="U5377" s="508">
        <v>0.84399999999999997</v>
      </c>
      <c r="V5377" s="508">
        <v>0.84099999999999997</v>
      </c>
      <c r="W5377" s="508">
        <v>0.76200000000000001</v>
      </c>
      <c r="X5377" s="508">
        <v>0.75800000000000001</v>
      </c>
      <c r="Y5377" s="508">
        <v>0.76</v>
      </c>
      <c r="Z5377" s="508">
        <v>0.76100000000000001</v>
      </c>
      <c r="AA5377" s="508">
        <v>4.2000000000000003E-2</v>
      </c>
      <c r="AB5377" s="508">
        <v>4.2000000000000003E-2</v>
      </c>
      <c r="AC5377" s="508">
        <v>4.2000000000000003E-2</v>
      </c>
      <c r="AD5377" s="508">
        <v>4.8000000000000001E-2</v>
      </c>
      <c r="AE5377" s="508">
        <v>4.8000000000000001E-2</v>
      </c>
      <c r="AF5377" s="508">
        <v>3.6999999999999998E-2</v>
      </c>
      <c r="AG5377" s="508">
        <v>3.6000000000000004E-2</v>
      </c>
      <c r="AH5377" s="508">
        <v>3.5000000000000003E-2</v>
      </c>
      <c r="AI5377" s="492">
        <v>3.5000000000000003E-2</v>
      </c>
      <c r="AJ5377" s="485"/>
    </row>
    <row r="5378" spans="2:36">
      <c r="B5378" s="136" t="s">
        <v>489</v>
      </c>
      <c r="C5378" s="132" t="s">
        <v>1362</v>
      </c>
      <c r="D5378" s="132" t="s">
        <v>285</v>
      </c>
      <c r="E5378" s="508">
        <v>2.9569999999999999</v>
      </c>
      <c r="F5378" s="508">
        <v>2.9510000000000001</v>
      </c>
      <c r="G5378" s="508">
        <v>2.976</v>
      </c>
      <c r="H5378" s="508">
        <v>1.103</v>
      </c>
      <c r="I5378" s="508">
        <v>1.1099999999999999</v>
      </c>
      <c r="J5378" s="508">
        <v>1.129</v>
      </c>
      <c r="K5378" s="508">
        <v>1.2</v>
      </c>
      <c r="L5378" s="508">
        <v>1.2009999999999998</v>
      </c>
      <c r="M5378" s="508">
        <v>1.1859999999999999</v>
      </c>
      <c r="N5378" s="508">
        <v>1.1840000000000002</v>
      </c>
      <c r="O5378" s="508">
        <v>1.1850000000000001</v>
      </c>
      <c r="P5378" s="508">
        <v>1.1900000000000002</v>
      </c>
      <c r="Q5378" s="508">
        <v>1.1840000000000002</v>
      </c>
      <c r="R5378" s="508">
        <v>0.83699999999999997</v>
      </c>
      <c r="S5378" s="508">
        <v>0.84399999999999997</v>
      </c>
      <c r="T5378" s="508">
        <v>0.84499999999999997</v>
      </c>
      <c r="U5378" s="508">
        <v>0.84099999999999997</v>
      </c>
      <c r="V5378" s="508">
        <v>0.83799999999999997</v>
      </c>
      <c r="W5378" s="508">
        <v>0.76</v>
      </c>
      <c r="X5378" s="508">
        <v>0.75600000000000001</v>
      </c>
      <c r="Y5378" s="508">
        <v>0.75800000000000001</v>
      </c>
      <c r="Z5378" s="508">
        <v>0.75900000000000001</v>
      </c>
      <c r="AA5378" s="508">
        <v>4.1999999999999996E-2</v>
      </c>
      <c r="AB5378" s="508">
        <v>4.1999999999999996E-2</v>
      </c>
      <c r="AC5378" s="508">
        <v>4.1999999999999996E-2</v>
      </c>
      <c r="AD5378" s="508">
        <v>4.5999999999999999E-2</v>
      </c>
      <c r="AE5378" s="508">
        <v>4.5999999999999999E-2</v>
      </c>
      <c r="AF5378" s="508">
        <v>3.4000000000000002E-2</v>
      </c>
      <c r="AG5378" s="508">
        <v>3.3000000000000002E-2</v>
      </c>
      <c r="AH5378" s="508">
        <v>3.2000000000000001E-2</v>
      </c>
      <c r="AI5378" s="492">
        <v>3.2000000000000001E-2</v>
      </c>
      <c r="AJ5378" s="485"/>
    </row>
    <row r="5379" spans="2:36">
      <c r="B5379" s="136" t="s">
        <v>490</v>
      </c>
      <c r="C5379" s="132" t="s">
        <v>1362</v>
      </c>
      <c r="D5379" s="132" t="s">
        <v>285</v>
      </c>
      <c r="E5379" s="508">
        <v>2.9279999999999999</v>
      </c>
      <c r="F5379" s="508">
        <v>2.9220000000000002</v>
      </c>
      <c r="G5379" s="508">
        <v>2.948</v>
      </c>
      <c r="H5379" s="508">
        <v>1.115</v>
      </c>
      <c r="I5379" s="508">
        <v>1.1200000000000001</v>
      </c>
      <c r="J5379" s="508">
        <v>1.1379999999999999</v>
      </c>
      <c r="K5379" s="508">
        <v>1.22</v>
      </c>
      <c r="L5379" s="508">
        <v>1.2210000000000001</v>
      </c>
      <c r="M5379" s="508">
        <v>1.204</v>
      </c>
      <c r="N5379" s="508">
        <v>1.2230000000000001</v>
      </c>
      <c r="O5379" s="508">
        <v>1.224</v>
      </c>
      <c r="P5379" s="508">
        <v>1.228</v>
      </c>
      <c r="Q5379" s="508">
        <v>1.2230000000000001</v>
      </c>
      <c r="R5379" s="508">
        <v>0.87799999999999989</v>
      </c>
      <c r="S5379" s="508">
        <v>0.88500000000000001</v>
      </c>
      <c r="T5379" s="508">
        <v>0.8859999999999999</v>
      </c>
      <c r="U5379" s="508">
        <v>0.8819999999999999</v>
      </c>
      <c r="V5379" s="508">
        <v>0.879</v>
      </c>
      <c r="W5379" s="508">
        <v>0.79699999999999993</v>
      </c>
      <c r="X5379" s="508">
        <v>0.79400000000000004</v>
      </c>
      <c r="Y5379" s="508">
        <v>0.79499999999999993</v>
      </c>
      <c r="Z5379" s="508">
        <v>0.79699999999999993</v>
      </c>
      <c r="AA5379" s="508">
        <v>4.4999999999999998E-2</v>
      </c>
      <c r="AB5379" s="508">
        <v>4.4999999999999998E-2</v>
      </c>
      <c r="AC5379" s="508">
        <v>4.4999999999999998E-2</v>
      </c>
      <c r="AD5379" s="508">
        <v>5.4000000000000006E-2</v>
      </c>
      <c r="AE5379" s="508">
        <v>5.3000000000000005E-2</v>
      </c>
      <c r="AF5379" s="508">
        <v>4.2000000000000003E-2</v>
      </c>
      <c r="AG5379" s="508">
        <v>4.1000000000000002E-2</v>
      </c>
      <c r="AH5379" s="508">
        <v>0.04</v>
      </c>
      <c r="AI5379" s="492">
        <v>0.04</v>
      </c>
      <c r="AJ5379" s="485"/>
    </row>
    <row r="5380" spans="2:36">
      <c r="B5380" s="136" t="s">
        <v>435</v>
      </c>
      <c r="C5380" s="132" t="s">
        <v>1363</v>
      </c>
      <c r="D5380" s="132" t="s">
        <v>285</v>
      </c>
      <c r="E5380" s="508">
        <v>2.7280000000000002</v>
      </c>
      <c r="F5380" s="508">
        <v>2.706</v>
      </c>
      <c r="G5380" s="508">
        <v>2.617</v>
      </c>
      <c r="H5380" s="508">
        <v>1.0680000000000001</v>
      </c>
      <c r="I5380" s="508">
        <v>1.07</v>
      </c>
      <c r="J5380" s="508">
        <v>1.0820000000000001</v>
      </c>
      <c r="K5380" s="508">
        <v>1.1000000000000001</v>
      </c>
      <c r="L5380" s="508">
        <v>1.085</v>
      </c>
      <c r="M5380" s="508">
        <v>1.103</v>
      </c>
      <c r="N5380" s="508">
        <v>1.109</v>
      </c>
      <c r="O5380" s="508">
        <v>1.101</v>
      </c>
      <c r="P5380" s="508">
        <v>1.101</v>
      </c>
      <c r="Q5380" s="508">
        <v>1.08</v>
      </c>
      <c r="R5380" s="508">
        <v>0.73</v>
      </c>
      <c r="S5380" s="508">
        <v>0.72699999999999998</v>
      </c>
      <c r="T5380" s="508">
        <v>0.72399999999999998</v>
      </c>
      <c r="U5380" s="508">
        <v>0.72799999999999998</v>
      </c>
      <c r="V5380" s="508">
        <v>0.69399999999999995</v>
      </c>
      <c r="W5380" s="508">
        <v>0.63800000000000001</v>
      </c>
      <c r="X5380" s="508">
        <v>0.622</v>
      </c>
      <c r="Y5380" s="508">
        <v>0.63</v>
      </c>
      <c r="Z5380" s="508">
        <v>0.63600000000000001</v>
      </c>
      <c r="AA5380" s="508">
        <v>3.3000000000000002E-2</v>
      </c>
      <c r="AB5380" s="508">
        <v>3.2000000000000001E-2</v>
      </c>
      <c r="AC5380" s="508">
        <v>3.4000000000000002E-2</v>
      </c>
      <c r="AD5380" s="508">
        <v>3.2000000000000001E-2</v>
      </c>
      <c r="AE5380" s="508">
        <v>3.1E-2</v>
      </c>
      <c r="AF5380" s="508">
        <v>0.02</v>
      </c>
      <c r="AG5380" s="508">
        <v>1.9E-2</v>
      </c>
      <c r="AH5380" s="508">
        <v>1.9E-2</v>
      </c>
      <c r="AI5380" s="492">
        <v>1.9E-2</v>
      </c>
      <c r="AJ5380" s="485"/>
    </row>
    <row r="5381" spans="2:36">
      <c r="B5381" s="136" t="s">
        <v>436</v>
      </c>
      <c r="C5381" s="132" t="s">
        <v>1363</v>
      </c>
      <c r="D5381" s="132" t="s">
        <v>285</v>
      </c>
      <c r="E5381" s="508">
        <v>2.665</v>
      </c>
      <c r="F5381" s="508">
        <v>2.6440000000000001</v>
      </c>
      <c r="G5381" s="508">
        <v>2.5550000000000002</v>
      </c>
      <c r="H5381" s="508">
        <v>1.0349999999999999</v>
      </c>
      <c r="I5381" s="508">
        <v>1.036</v>
      </c>
      <c r="J5381" s="508">
        <v>1.048</v>
      </c>
      <c r="K5381" s="508">
        <v>1.073</v>
      </c>
      <c r="L5381" s="508">
        <v>1.0580000000000001</v>
      </c>
      <c r="M5381" s="508">
        <v>1.077</v>
      </c>
      <c r="N5381" s="508">
        <v>1.0740000000000001</v>
      </c>
      <c r="O5381" s="508">
        <v>1.0660000000000001</v>
      </c>
      <c r="P5381" s="508">
        <v>1.0669999999999999</v>
      </c>
      <c r="Q5381" s="508">
        <v>1.048</v>
      </c>
      <c r="R5381" s="508">
        <v>0.7</v>
      </c>
      <c r="S5381" s="508">
        <v>0.69799999999999995</v>
      </c>
      <c r="T5381" s="508">
        <v>0.69399999999999995</v>
      </c>
      <c r="U5381" s="508">
        <v>0.69799999999999995</v>
      </c>
      <c r="V5381" s="508">
        <v>0.66500000000000004</v>
      </c>
      <c r="W5381" s="508">
        <v>0.61199999999999999</v>
      </c>
      <c r="X5381" s="508">
        <v>0.59599999999999997</v>
      </c>
      <c r="Y5381" s="508">
        <v>0.60399999999999998</v>
      </c>
      <c r="Z5381" s="508">
        <v>0.60899999999999999</v>
      </c>
      <c r="AA5381" s="508">
        <v>3.2000000000000001E-2</v>
      </c>
      <c r="AB5381" s="508">
        <v>3.1E-2</v>
      </c>
      <c r="AC5381" s="508">
        <v>3.3000000000000002E-2</v>
      </c>
      <c r="AD5381" s="508">
        <v>3.1E-2</v>
      </c>
      <c r="AE5381" s="508">
        <v>0.03</v>
      </c>
      <c r="AF5381" s="508">
        <v>1.9E-2</v>
      </c>
      <c r="AG5381" s="508">
        <v>1.7999999999999999E-2</v>
      </c>
      <c r="AH5381" s="508">
        <v>1.7999999999999999E-2</v>
      </c>
      <c r="AI5381" s="492">
        <v>1.7999999999999999E-2</v>
      </c>
      <c r="AJ5381" s="485"/>
    </row>
    <row r="5382" spans="2:36">
      <c r="B5382" s="136" t="s">
        <v>437</v>
      </c>
      <c r="C5382" s="132" t="s">
        <v>1363</v>
      </c>
      <c r="D5382" s="132" t="s">
        <v>285</v>
      </c>
      <c r="E5382" s="508">
        <v>2.74</v>
      </c>
      <c r="F5382" s="508">
        <v>2.718</v>
      </c>
      <c r="G5382" s="508">
        <v>2.629</v>
      </c>
      <c r="H5382" s="508">
        <v>1.083</v>
      </c>
      <c r="I5382" s="508">
        <v>1.0840000000000001</v>
      </c>
      <c r="J5382" s="508">
        <v>1.097</v>
      </c>
      <c r="K5382" s="508">
        <v>1.113</v>
      </c>
      <c r="L5382" s="508">
        <v>1.0980000000000001</v>
      </c>
      <c r="M5382" s="508">
        <v>1.1160000000000001</v>
      </c>
      <c r="N5382" s="508">
        <v>1.133</v>
      </c>
      <c r="O5382" s="508">
        <v>1.125</v>
      </c>
      <c r="P5382" s="508">
        <v>1.125</v>
      </c>
      <c r="Q5382" s="508">
        <v>1.105</v>
      </c>
      <c r="R5382" s="508">
        <v>0.73799999999999999</v>
      </c>
      <c r="S5382" s="508">
        <v>0.73499999999999999</v>
      </c>
      <c r="T5382" s="508">
        <v>0.73099999999999998</v>
      </c>
      <c r="U5382" s="508">
        <v>0.73499999999999999</v>
      </c>
      <c r="V5382" s="508">
        <v>0.7</v>
      </c>
      <c r="W5382" s="508">
        <v>0.64400000000000002</v>
      </c>
      <c r="X5382" s="508">
        <v>0.628</v>
      </c>
      <c r="Y5382" s="508">
        <v>0.63600000000000001</v>
      </c>
      <c r="Z5382" s="508">
        <v>0.64200000000000002</v>
      </c>
      <c r="AA5382" s="508">
        <v>3.3000000000000002E-2</v>
      </c>
      <c r="AB5382" s="508">
        <v>3.3000000000000002E-2</v>
      </c>
      <c r="AC5382" s="508">
        <v>3.5000000000000003E-2</v>
      </c>
      <c r="AD5382" s="508">
        <v>3.2000000000000001E-2</v>
      </c>
      <c r="AE5382" s="508">
        <v>3.1E-2</v>
      </c>
      <c r="AF5382" s="508">
        <v>0.02</v>
      </c>
      <c r="AG5382" s="508">
        <v>1.9E-2</v>
      </c>
      <c r="AH5382" s="508">
        <v>1.9E-2</v>
      </c>
      <c r="AI5382" s="492">
        <v>1.9E-2</v>
      </c>
      <c r="AJ5382" s="485"/>
    </row>
    <row r="5383" spans="2:36">
      <c r="B5383" s="136" t="s">
        <v>438</v>
      </c>
      <c r="C5383" s="132" t="s">
        <v>1363</v>
      </c>
      <c r="D5383" s="132" t="s">
        <v>285</v>
      </c>
      <c r="E5383" s="508">
        <v>2.6469999999999998</v>
      </c>
      <c r="F5383" s="508">
        <v>2.6259999999999999</v>
      </c>
      <c r="G5383" s="508">
        <v>2.5379999999999998</v>
      </c>
      <c r="H5383" s="508">
        <v>1.0209999999999999</v>
      </c>
      <c r="I5383" s="508">
        <v>1.0229999999999999</v>
      </c>
      <c r="J5383" s="508">
        <v>1.034</v>
      </c>
      <c r="K5383" s="508">
        <v>1.0620000000000001</v>
      </c>
      <c r="L5383" s="508">
        <v>1.046</v>
      </c>
      <c r="M5383" s="508">
        <v>1.0649999999999999</v>
      </c>
      <c r="N5383" s="508">
        <v>1.056</v>
      </c>
      <c r="O5383" s="508">
        <v>1.0489999999999999</v>
      </c>
      <c r="P5383" s="508">
        <v>1.0489999999999999</v>
      </c>
      <c r="Q5383" s="508">
        <v>1.0309999999999999</v>
      </c>
      <c r="R5383" s="508">
        <v>0.69099999999999995</v>
      </c>
      <c r="S5383" s="508">
        <v>0.68799999999999994</v>
      </c>
      <c r="T5383" s="508">
        <v>0.68400000000000005</v>
      </c>
      <c r="U5383" s="508">
        <v>0.68899999999999995</v>
      </c>
      <c r="V5383" s="508">
        <v>0.65600000000000003</v>
      </c>
      <c r="W5383" s="508">
        <v>0.60399999999999998</v>
      </c>
      <c r="X5383" s="508">
        <v>0.58799999999999997</v>
      </c>
      <c r="Y5383" s="508">
        <v>0.59599999999999997</v>
      </c>
      <c r="Z5383" s="508">
        <v>0.60099999999999998</v>
      </c>
      <c r="AA5383" s="508">
        <v>3.2000000000000001E-2</v>
      </c>
      <c r="AB5383" s="508">
        <v>3.1E-2</v>
      </c>
      <c r="AC5383" s="508">
        <v>3.3000000000000002E-2</v>
      </c>
      <c r="AD5383" s="508">
        <v>0.03</v>
      </c>
      <c r="AE5383" s="508">
        <v>0.03</v>
      </c>
      <c r="AF5383" s="508">
        <v>1.9E-2</v>
      </c>
      <c r="AG5383" s="508">
        <v>1.7999999999999999E-2</v>
      </c>
      <c r="AH5383" s="508">
        <v>1.7999999999999999E-2</v>
      </c>
      <c r="AI5383" s="492">
        <v>1.7999999999999999E-2</v>
      </c>
      <c r="AJ5383" s="485"/>
    </row>
    <row r="5384" spans="2:36">
      <c r="B5384" s="136" t="s">
        <v>439</v>
      </c>
      <c r="C5384" s="132" t="s">
        <v>1363</v>
      </c>
      <c r="D5384" s="132" t="s">
        <v>285</v>
      </c>
      <c r="E5384" s="508">
        <v>2.754</v>
      </c>
      <c r="F5384" s="508">
        <v>2.7320000000000002</v>
      </c>
      <c r="G5384" s="508">
        <v>2.6419999999999999</v>
      </c>
      <c r="H5384" s="508">
        <v>1.091</v>
      </c>
      <c r="I5384" s="508">
        <v>1.093</v>
      </c>
      <c r="J5384" s="508">
        <v>1.105</v>
      </c>
      <c r="K5384" s="508">
        <v>1.119</v>
      </c>
      <c r="L5384" s="508">
        <v>1.1040000000000001</v>
      </c>
      <c r="M5384" s="508">
        <v>1.1220000000000001</v>
      </c>
      <c r="N5384" s="508">
        <v>1.143</v>
      </c>
      <c r="O5384" s="508">
        <v>1.135</v>
      </c>
      <c r="P5384" s="508">
        <v>1.135</v>
      </c>
      <c r="Q5384" s="508">
        <v>1.115</v>
      </c>
      <c r="R5384" s="508">
        <v>0.74399999999999999</v>
      </c>
      <c r="S5384" s="508">
        <v>0.74099999999999999</v>
      </c>
      <c r="T5384" s="508">
        <v>0.73699999999999999</v>
      </c>
      <c r="U5384" s="508">
        <v>0.74099999999999999</v>
      </c>
      <c r="V5384" s="508">
        <v>0.70599999999999996</v>
      </c>
      <c r="W5384" s="508">
        <v>0.64900000000000002</v>
      </c>
      <c r="X5384" s="508">
        <v>0.63300000000000001</v>
      </c>
      <c r="Y5384" s="508">
        <v>0.64200000000000002</v>
      </c>
      <c r="Z5384" s="508">
        <v>0.64700000000000002</v>
      </c>
      <c r="AA5384" s="508">
        <v>3.4000000000000002E-2</v>
      </c>
      <c r="AB5384" s="508">
        <v>3.3000000000000002E-2</v>
      </c>
      <c r="AC5384" s="508">
        <v>3.5000000000000003E-2</v>
      </c>
      <c r="AD5384" s="508">
        <v>3.2000000000000001E-2</v>
      </c>
      <c r="AE5384" s="508">
        <v>3.1E-2</v>
      </c>
      <c r="AF5384" s="508">
        <v>0.02</v>
      </c>
      <c r="AG5384" s="508">
        <v>1.9E-2</v>
      </c>
      <c r="AH5384" s="508">
        <v>1.9E-2</v>
      </c>
      <c r="AI5384" s="492">
        <v>1.9E-2</v>
      </c>
      <c r="AJ5384" s="485"/>
    </row>
    <row r="5385" spans="2:36">
      <c r="B5385" s="136" t="s">
        <v>440</v>
      </c>
      <c r="C5385" s="132" t="s">
        <v>1363</v>
      </c>
      <c r="D5385" s="132" t="s">
        <v>285</v>
      </c>
      <c r="E5385" s="508">
        <v>2.7189999999999999</v>
      </c>
      <c r="F5385" s="508">
        <v>2.6970000000000001</v>
      </c>
      <c r="G5385" s="508">
        <v>2.6080000000000001</v>
      </c>
      <c r="H5385" s="508">
        <v>1.069</v>
      </c>
      <c r="I5385" s="508">
        <v>1.07</v>
      </c>
      <c r="J5385" s="508">
        <v>1.0820000000000001</v>
      </c>
      <c r="K5385" s="508">
        <v>1.101</v>
      </c>
      <c r="L5385" s="508">
        <v>1.085</v>
      </c>
      <c r="M5385" s="508">
        <v>1.1040000000000001</v>
      </c>
      <c r="N5385" s="508">
        <v>1.115</v>
      </c>
      <c r="O5385" s="508">
        <v>1.1060000000000001</v>
      </c>
      <c r="P5385" s="508">
        <v>1.107</v>
      </c>
      <c r="Q5385" s="508">
        <v>1.087</v>
      </c>
      <c r="R5385" s="508">
        <v>0.72699999999999998</v>
      </c>
      <c r="S5385" s="508">
        <v>0.72399999999999998</v>
      </c>
      <c r="T5385" s="508">
        <v>0.72</v>
      </c>
      <c r="U5385" s="508">
        <v>0.72499999999999998</v>
      </c>
      <c r="V5385" s="508">
        <v>0.69</v>
      </c>
      <c r="W5385" s="508">
        <v>0.63500000000000001</v>
      </c>
      <c r="X5385" s="508">
        <v>0.61899999999999999</v>
      </c>
      <c r="Y5385" s="508">
        <v>0.627</v>
      </c>
      <c r="Z5385" s="508">
        <v>0.63200000000000001</v>
      </c>
      <c r="AA5385" s="508">
        <v>3.3000000000000002E-2</v>
      </c>
      <c r="AB5385" s="508">
        <v>3.2000000000000001E-2</v>
      </c>
      <c r="AC5385" s="508">
        <v>3.4000000000000002E-2</v>
      </c>
      <c r="AD5385" s="508">
        <v>3.2000000000000001E-2</v>
      </c>
      <c r="AE5385" s="508">
        <v>3.1E-2</v>
      </c>
      <c r="AF5385" s="508">
        <v>0.02</v>
      </c>
      <c r="AG5385" s="508">
        <v>1.9E-2</v>
      </c>
      <c r="AH5385" s="508">
        <v>1.9E-2</v>
      </c>
      <c r="AI5385" s="492">
        <v>1.9E-2</v>
      </c>
      <c r="AJ5385" s="485"/>
    </row>
    <row r="5386" spans="2:36">
      <c r="B5386" s="136" t="s">
        <v>441</v>
      </c>
      <c r="C5386" s="132" t="s">
        <v>1363</v>
      </c>
      <c r="D5386" s="132" t="s">
        <v>285</v>
      </c>
      <c r="E5386" s="508">
        <v>2.7629999999999999</v>
      </c>
      <c r="F5386" s="508">
        <v>2.7410000000000001</v>
      </c>
      <c r="G5386" s="508">
        <v>2.6520000000000001</v>
      </c>
      <c r="H5386" s="508">
        <v>1.0980000000000001</v>
      </c>
      <c r="I5386" s="508">
        <v>1.099</v>
      </c>
      <c r="J5386" s="508">
        <v>1.1120000000000001</v>
      </c>
      <c r="K5386" s="508">
        <v>1.1240000000000001</v>
      </c>
      <c r="L5386" s="508">
        <v>1.109</v>
      </c>
      <c r="M5386" s="508">
        <v>1.127</v>
      </c>
      <c r="N5386" s="508">
        <v>1.151</v>
      </c>
      <c r="O5386" s="508">
        <v>1.143</v>
      </c>
      <c r="P5386" s="508">
        <v>1.143</v>
      </c>
      <c r="Q5386" s="508">
        <v>1.123</v>
      </c>
      <c r="R5386" s="508">
        <v>0.748</v>
      </c>
      <c r="S5386" s="508">
        <v>0.745</v>
      </c>
      <c r="T5386" s="508">
        <v>0.74099999999999999</v>
      </c>
      <c r="U5386" s="508">
        <v>0.746</v>
      </c>
      <c r="V5386" s="508">
        <v>0.71</v>
      </c>
      <c r="W5386" s="508">
        <v>0.65300000000000002</v>
      </c>
      <c r="X5386" s="508">
        <v>0.63700000000000001</v>
      </c>
      <c r="Y5386" s="508">
        <v>0.64500000000000002</v>
      </c>
      <c r="Z5386" s="508">
        <v>0.65100000000000002</v>
      </c>
      <c r="AA5386" s="508">
        <v>3.4000000000000002E-2</v>
      </c>
      <c r="AB5386" s="508">
        <v>3.3000000000000002E-2</v>
      </c>
      <c r="AC5386" s="508">
        <v>3.5000000000000003E-2</v>
      </c>
      <c r="AD5386" s="508">
        <v>3.2000000000000001E-2</v>
      </c>
      <c r="AE5386" s="508">
        <v>3.2000000000000001E-2</v>
      </c>
      <c r="AF5386" s="508">
        <v>0.02</v>
      </c>
      <c r="AG5386" s="508">
        <v>0.02</v>
      </c>
      <c r="AH5386" s="508">
        <v>1.9E-2</v>
      </c>
      <c r="AI5386" s="492">
        <v>1.9E-2</v>
      </c>
      <c r="AJ5386" s="485"/>
    </row>
    <row r="5387" spans="2:36">
      <c r="B5387" s="136" t="s">
        <v>443</v>
      </c>
      <c r="C5387" s="132" t="s">
        <v>1363</v>
      </c>
      <c r="D5387" s="132" t="s">
        <v>285</v>
      </c>
      <c r="E5387" s="508">
        <v>2.84</v>
      </c>
      <c r="F5387" s="508">
        <v>2.8170000000000002</v>
      </c>
      <c r="G5387" s="508">
        <v>2.7269999999999999</v>
      </c>
      <c r="H5387" s="508">
        <v>1.133</v>
      </c>
      <c r="I5387" s="508">
        <v>1.1339999999999999</v>
      </c>
      <c r="J5387" s="508">
        <v>1.1479999999999999</v>
      </c>
      <c r="K5387" s="508">
        <v>1.1519999999999999</v>
      </c>
      <c r="L5387" s="508">
        <v>1.1379999999999999</v>
      </c>
      <c r="M5387" s="508">
        <v>1.1539999999999999</v>
      </c>
      <c r="N5387" s="508">
        <v>1.1819999999999999</v>
      </c>
      <c r="O5387" s="508">
        <v>1.1719999999999999</v>
      </c>
      <c r="P5387" s="508">
        <v>1.1719999999999999</v>
      </c>
      <c r="Q5387" s="508">
        <v>1.147</v>
      </c>
      <c r="R5387" s="508">
        <v>0.78400000000000003</v>
      </c>
      <c r="S5387" s="508">
        <v>0.78100000000000003</v>
      </c>
      <c r="T5387" s="508">
        <v>0.77700000000000002</v>
      </c>
      <c r="U5387" s="508">
        <v>0.78200000000000003</v>
      </c>
      <c r="V5387" s="508">
        <v>0.745</v>
      </c>
      <c r="W5387" s="508">
        <v>0.68500000000000005</v>
      </c>
      <c r="X5387" s="508">
        <v>0.66800000000000004</v>
      </c>
      <c r="Y5387" s="508">
        <v>0.67700000000000005</v>
      </c>
      <c r="Z5387" s="508">
        <v>0.68300000000000005</v>
      </c>
      <c r="AA5387" s="508">
        <v>3.5000000000000003E-2</v>
      </c>
      <c r="AB5387" s="508">
        <v>3.4000000000000002E-2</v>
      </c>
      <c r="AC5387" s="508">
        <v>3.5999999999999997E-2</v>
      </c>
      <c r="AD5387" s="508">
        <v>3.4000000000000002E-2</v>
      </c>
      <c r="AE5387" s="508">
        <v>3.3000000000000002E-2</v>
      </c>
      <c r="AF5387" s="508">
        <v>2.1000000000000001E-2</v>
      </c>
      <c r="AG5387" s="508">
        <v>0.02</v>
      </c>
      <c r="AH5387" s="508">
        <v>0.02</v>
      </c>
      <c r="AI5387" s="492">
        <v>0.02</v>
      </c>
      <c r="AJ5387" s="485"/>
    </row>
    <row r="5388" spans="2:36">
      <c r="B5388" s="136" t="s">
        <v>445</v>
      </c>
      <c r="C5388" s="132" t="s">
        <v>1363</v>
      </c>
      <c r="D5388" s="132" t="s">
        <v>285</v>
      </c>
      <c r="E5388" s="508">
        <v>3.0150000000000001</v>
      </c>
      <c r="F5388" s="508">
        <v>2.992</v>
      </c>
      <c r="G5388" s="508">
        <v>2.899</v>
      </c>
      <c r="H5388" s="508">
        <v>1.2509999999999999</v>
      </c>
      <c r="I5388" s="508">
        <v>1.2529999999999999</v>
      </c>
      <c r="J5388" s="508">
        <v>1.2689999999999999</v>
      </c>
      <c r="K5388" s="508">
        <v>1.25</v>
      </c>
      <c r="L5388" s="508">
        <v>1.238</v>
      </c>
      <c r="M5388" s="508">
        <v>1.252</v>
      </c>
      <c r="N5388" s="508">
        <v>1.331</v>
      </c>
      <c r="O5388" s="508">
        <v>1.3180000000000001</v>
      </c>
      <c r="P5388" s="508">
        <v>1.319</v>
      </c>
      <c r="Q5388" s="508">
        <v>1.2889999999999999</v>
      </c>
      <c r="R5388" s="508">
        <v>0.874</v>
      </c>
      <c r="S5388" s="508">
        <v>0.87</v>
      </c>
      <c r="T5388" s="508">
        <v>0.86599999999999999</v>
      </c>
      <c r="U5388" s="508">
        <v>0.871</v>
      </c>
      <c r="V5388" s="508">
        <v>0.82799999999999996</v>
      </c>
      <c r="W5388" s="508">
        <v>0.76300000000000001</v>
      </c>
      <c r="X5388" s="508">
        <v>0.74299999999999999</v>
      </c>
      <c r="Y5388" s="508">
        <v>0.753</v>
      </c>
      <c r="Z5388" s="508">
        <v>0.76</v>
      </c>
      <c r="AA5388" s="508">
        <v>3.7999999999999999E-2</v>
      </c>
      <c r="AB5388" s="508">
        <v>3.6999999999999998E-2</v>
      </c>
      <c r="AC5388" s="508">
        <v>0.04</v>
      </c>
      <c r="AD5388" s="508">
        <v>3.6999999999999998E-2</v>
      </c>
      <c r="AE5388" s="508">
        <v>3.5999999999999997E-2</v>
      </c>
      <c r="AF5388" s="508">
        <v>2.3E-2</v>
      </c>
      <c r="AG5388" s="508">
        <v>2.1999999999999999E-2</v>
      </c>
      <c r="AH5388" s="508">
        <v>2.1999999999999999E-2</v>
      </c>
      <c r="AI5388" s="492">
        <v>2.1999999999999999E-2</v>
      </c>
      <c r="AJ5388" s="485"/>
    </row>
    <row r="5389" spans="2:36">
      <c r="B5389" s="136" t="s">
        <v>446</v>
      </c>
      <c r="C5389" s="132" t="s">
        <v>1363</v>
      </c>
      <c r="D5389" s="132" t="s">
        <v>285</v>
      </c>
      <c r="E5389" s="508">
        <v>2.8639999999999999</v>
      </c>
      <c r="F5389" s="508">
        <v>2.8410000000000002</v>
      </c>
      <c r="G5389" s="508">
        <v>2.7509999999999999</v>
      </c>
      <c r="H5389" s="508">
        <v>1.157</v>
      </c>
      <c r="I5389" s="508">
        <v>1.1579999999999999</v>
      </c>
      <c r="J5389" s="508">
        <v>1.173</v>
      </c>
      <c r="K5389" s="508">
        <v>1.1739999999999999</v>
      </c>
      <c r="L5389" s="508">
        <v>1.1599999999999999</v>
      </c>
      <c r="M5389" s="508">
        <v>1.1759999999999999</v>
      </c>
      <c r="N5389" s="508">
        <v>1.2190000000000001</v>
      </c>
      <c r="O5389" s="508">
        <v>1.208</v>
      </c>
      <c r="P5389" s="508">
        <v>1.2090000000000001</v>
      </c>
      <c r="Q5389" s="508">
        <v>1.1839999999999999</v>
      </c>
      <c r="R5389" s="508">
        <v>0.79900000000000004</v>
      </c>
      <c r="S5389" s="508">
        <v>0.79600000000000004</v>
      </c>
      <c r="T5389" s="508">
        <v>0.79100000000000004</v>
      </c>
      <c r="U5389" s="508">
        <v>0.79600000000000004</v>
      </c>
      <c r="V5389" s="508">
        <v>0.75800000000000001</v>
      </c>
      <c r="W5389" s="508">
        <v>0.69799999999999995</v>
      </c>
      <c r="X5389" s="508">
        <v>0.68</v>
      </c>
      <c r="Y5389" s="508">
        <v>0.68899999999999995</v>
      </c>
      <c r="Z5389" s="508">
        <v>0.69499999999999995</v>
      </c>
      <c r="AA5389" s="508">
        <v>3.5999999999999997E-2</v>
      </c>
      <c r="AB5389" s="508">
        <v>3.5000000000000003E-2</v>
      </c>
      <c r="AC5389" s="508">
        <v>3.6999999999999998E-2</v>
      </c>
      <c r="AD5389" s="508">
        <v>3.4000000000000002E-2</v>
      </c>
      <c r="AE5389" s="508">
        <v>3.3000000000000002E-2</v>
      </c>
      <c r="AF5389" s="508">
        <v>2.1999999999999999E-2</v>
      </c>
      <c r="AG5389" s="508">
        <v>2.1000000000000001E-2</v>
      </c>
      <c r="AH5389" s="508">
        <v>0.02</v>
      </c>
      <c r="AI5389" s="492">
        <v>0.02</v>
      </c>
      <c r="AJ5389" s="485"/>
    </row>
    <row r="5390" spans="2:36">
      <c r="B5390" s="136" t="s">
        <v>448</v>
      </c>
      <c r="C5390" s="132" t="s">
        <v>1363</v>
      </c>
      <c r="D5390" s="132" t="s">
        <v>285</v>
      </c>
      <c r="E5390" s="508">
        <v>2.68</v>
      </c>
      <c r="F5390" s="508">
        <v>2.6589999999999998</v>
      </c>
      <c r="G5390" s="508">
        <v>2.57</v>
      </c>
      <c r="H5390" s="508">
        <v>1.042</v>
      </c>
      <c r="I5390" s="508">
        <v>1.0429999999999999</v>
      </c>
      <c r="J5390" s="508">
        <v>1.0549999999999999</v>
      </c>
      <c r="K5390" s="508">
        <v>1.0780000000000001</v>
      </c>
      <c r="L5390" s="508">
        <v>1.0629999999999999</v>
      </c>
      <c r="M5390" s="508">
        <v>1.0820000000000001</v>
      </c>
      <c r="N5390" s="508">
        <v>1.081</v>
      </c>
      <c r="O5390" s="508">
        <v>1.073</v>
      </c>
      <c r="P5390" s="508">
        <v>1.073</v>
      </c>
      <c r="Q5390" s="508">
        <v>1.054</v>
      </c>
      <c r="R5390" s="508">
        <v>0.70699999999999996</v>
      </c>
      <c r="S5390" s="508">
        <v>0.70399999999999996</v>
      </c>
      <c r="T5390" s="508">
        <v>0.70099999999999996</v>
      </c>
      <c r="U5390" s="508">
        <v>0.70499999999999996</v>
      </c>
      <c r="V5390" s="508">
        <v>0.67100000000000004</v>
      </c>
      <c r="W5390" s="508">
        <v>0.61799999999999999</v>
      </c>
      <c r="X5390" s="508">
        <v>0.60199999999999998</v>
      </c>
      <c r="Y5390" s="508">
        <v>0.61</v>
      </c>
      <c r="Z5390" s="508">
        <v>0.61499999999999999</v>
      </c>
      <c r="AA5390" s="508">
        <v>3.2000000000000001E-2</v>
      </c>
      <c r="AB5390" s="508">
        <v>3.1E-2</v>
      </c>
      <c r="AC5390" s="508">
        <v>3.3000000000000002E-2</v>
      </c>
      <c r="AD5390" s="508">
        <v>3.1E-2</v>
      </c>
      <c r="AE5390" s="508">
        <v>0.03</v>
      </c>
      <c r="AF5390" s="508">
        <v>1.9E-2</v>
      </c>
      <c r="AG5390" s="508">
        <v>1.9E-2</v>
      </c>
      <c r="AH5390" s="508">
        <v>1.7999999999999999E-2</v>
      </c>
      <c r="AI5390" s="492">
        <v>1.7999999999999999E-2</v>
      </c>
      <c r="AJ5390" s="485"/>
    </row>
    <row r="5391" spans="2:36">
      <c r="B5391" s="136" t="s">
        <v>449</v>
      </c>
      <c r="C5391" s="132" t="s">
        <v>1363</v>
      </c>
      <c r="D5391" s="132" t="s">
        <v>285</v>
      </c>
      <c r="E5391" s="508">
        <v>2.8490000000000002</v>
      </c>
      <c r="F5391" s="508">
        <v>2.8260000000000001</v>
      </c>
      <c r="G5391" s="508">
        <v>2.7360000000000002</v>
      </c>
      <c r="H5391" s="508">
        <v>1.1419999999999999</v>
      </c>
      <c r="I5391" s="508">
        <v>1.1439999999999999</v>
      </c>
      <c r="J5391" s="508">
        <v>1.1579999999999999</v>
      </c>
      <c r="K5391" s="508">
        <v>1.1599999999999999</v>
      </c>
      <c r="L5391" s="508">
        <v>1.1459999999999999</v>
      </c>
      <c r="M5391" s="508">
        <v>1.163</v>
      </c>
      <c r="N5391" s="508">
        <v>1.1970000000000001</v>
      </c>
      <c r="O5391" s="508">
        <v>1.1870000000000001</v>
      </c>
      <c r="P5391" s="508">
        <v>1.1870000000000001</v>
      </c>
      <c r="Q5391" s="508">
        <v>1.1619999999999999</v>
      </c>
      <c r="R5391" s="508">
        <v>0.78900000000000003</v>
      </c>
      <c r="S5391" s="508">
        <v>0.78600000000000003</v>
      </c>
      <c r="T5391" s="508">
        <v>0.78200000000000003</v>
      </c>
      <c r="U5391" s="508">
        <v>0.78700000000000003</v>
      </c>
      <c r="V5391" s="508">
        <v>0.75</v>
      </c>
      <c r="W5391" s="508">
        <v>0.69</v>
      </c>
      <c r="X5391" s="508">
        <v>0.67200000000000004</v>
      </c>
      <c r="Y5391" s="508">
        <v>0.68100000000000005</v>
      </c>
      <c r="Z5391" s="508">
        <v>0.68700000000000006</v>
      </c>
      <c r="AA5391" s="508">
        <v>3.5000000000000003E-2</v>
      </c>
      <c r="AB5391" s="508">
        <v>3.4000000000000002E-2</v>
      </c>
      <c r="AC5391" s="508">
        <v>3.5999999999999997E-2</v>
      </c>
      <c r="AD5391" s="508">
        <v>3.4000000000000002E-2</v>
      </c>
      <c r="AE5391" s="508">
        <v>3.3000000000000002E-2</v>
      </c>
      <c r="AF5391" s="508">
        <v>2.1000000000000001E-2</v>
      </c>
      <c r="AG5391" s="508">
        <v>0.02</v>
      </c>
      <c r="AH5391" s="508">
        <v>0.02</v>
      </c>
      <c r="AI5391" s="492">
        <v>0.02</v>
      </c>
      <c r="AJ5391" s="485"/>
    </row>
    <row r="5392" spans="2:36">
      <c r="B5392" s="136" t="s">
        <v>450</v>
      </c>
      <c r="C5392" s="132" t="s">
        <v>1363</v>
      </c>
      <c r="D5392" s="132" t="s">
        <v>285</v>
      </c>
      <c r="E5392" s="508">
        <v>2.6749999999999998</v>
      </c>
      <c r="F5392" s="508">
        <v>2.6539999999999999</v>
      </c>
      <c r="G5392" s="508">
        <v>2.5649999999999999</v>
      </c>
      <c r="H5392" s="508">
        <v>1.038</v>
      </c>
      <c r="I5392" s="508">
        <v>1.0389999999999999</v>
      </c>
      <c r="J5392" s="508">
        <v>1.0509999999999999</v>
      </c>
      <c r="K5392" s="508">
        <v>1.075</v>
      </c>
      <c r="L5392" s="508">
        <v>1.06</v>
      </c>
      <c r="M5392" s="508">
        <v>1.0780000000000001</v>
      </c>
      <c r="N5392" s="508">
        <v>1.0740000000000001</v>
      </c>
      <c r="O5392" s="508">
        <v>1.0660000000000001</v>
      </c>
      <c r="P5392" s="508">
        <v>1.0669999999999999</v>
      </c>
      <c r="Q5392" s="508">
        <v>1.048</v>
      </c>
      <c r="R5392" s="508">
        <v>0.70399999999999996</v>
      </c>
      <c r="S5392" s="508">
        <v>0.70199999999999996</v>
      </c>
      <c r="T5392" s="508">
        <v>0.69799999999999995</v>
      </c>
      <c r="U5392" s="508">
        <v>0.70199999999999996</v>
      </c>
      <c r="V5392" s="508">
        <v>0.66900000000000004</v>
      </c>
      <c r="W5392" s="508">
        <v>0.61599999999999999</v>
      </c>
      <c r="X5392" s="508">
        <v>0.6</v>
      </c>
      <c r="Y5392" s="508">
        <v>0.60799999999999998</v>
      </c>
      <c r="Z5392" s="508">
        <v>0.61299999999999999</v>
      </c>
      <c r="AA5392" s="508">
        <v>3.2000000000000001E-2</v>
      </c>
      <c r="AB5392" s="508">
        <v>3.1E-2</v>
      </c>
      <c r="AC5392" s="508">
        <v>3.3000000000000002E-2</v>
      </c>
      <c r="AD5392" s="508">
        <v>3.1E-2</v>
      </c>
      <c r="AE5392" s="508">
        <v>0.03</v>
      </c>
      <c r="AF5392" s="508">
        <v>1.9E-2</v>
      </c>
      <c r="AG5392" s="508">
        <v>1.9E-2</v>
      </c>
      <c r="AH5392" s="508">
        <v>1.7999999999999999E-2</v>
      </c>
      <c r="AI5392" s="492">
        <v>1.7999999999999999E-2</v>
      </c>
      <c r="AJ5392" s="485"/>
    </row>
    <row r="5393" spans="2:36">
      <c r="B5393" s="136" t="s">
        <v>451</v>
      </c>
      <c r="C5393" s="132" t="s">
        <v>1363</v>
      </c>
      <c r="D5393" s="132" t="s">
        <v>285</v>
      </c>
      <c r="E5393" s="508">
        <v>2.903</v>
      </c>
      <c r="F5393" s="508">
        <v>2.88</v>
      </c>
      <c r="G5393" s="508">
        <v>2.7890000000000001</v>
      </c>
      <c r="H5393" s="508">
        <v>1.1830000000000001</v>
      </c>
      <c r="I5393" s="508">
        <v>1.1839999999999999</v>
      </c>
      <c r="J5393" s="508">
        <v>1.1990000000000001</v>
      </c>
      <c r="K5393" s="508">
        <v>1.194</v>
      </c>
      <c r="L5393" s="508">
        <v>1.181</v>
      </c>
      <c r="M5393" s="508">
        <v>1.196</v>
      </c>
      <c r="N5393" s="508">
        <v>1.2509999999999999</v>
      </c>
      <c r="O5393" s="508">
        <v>1.24</v>
      </c>
      <c r="P5393" s="508">
        <v>1.2410000000000001</v>
      </c>
      <c r="Q5393" s="508">
        <v>1.2150000000000001</v>
      </c>
      <c r="R5393" s="508">
        <v>0.81799999999999995</v>
      </c>
      <c r="S5393" s="508">
        <v>0.81499999999999995</v>
      </c>
      <c r="T5393" s="508">
        <v>0.81</v>
      </c>
      <c r="U5393" s="508">
        <v>0.81499999999999995</v>
      </c>
      <c r="V5393" s="508">
        <v>0.77600000000000002</v>
      </c>
      <c r="W5393" s="508">
        <v>0.71399999999999997</v>
      </c>
      <c r="X5393" s="508">
        <v>0.69599999999999995</v>
      </c>
      <c r="Y5393" s="508">
        <v>0.70499999999999996</v>
      </c>
      <c r="Z5393" s="508">
        <v>0.71099999999999997</v>
      </c>
      <c r="AA5393" s="508">
        <v>3.5999999999999997E-2</v>
      </c>
      <c r="AB5393" s="508">
        <v>3.5000000000000003E-2</v>
      </c>
      <c r="AC5393" s="508">
        <v>3.7999999999999999E-2</v>
      </c>
      <c r="AD5393" s="508">
        <v>3.5000000000000003E-2</v>
      </c>
      <c r="AE5393" s="508">
        <v>3.4000000000000002E-2</v>
      </c>
      <c r="AF5393" s="508">
        <v>2.1999999999999999E-2</v>
      </c>
      <c r="AG5393" s="508">
        <v>2.1000000000000001E-2</v>
      </c>
      <c r="AH5393" s="508">
        <v>2.1000000000000001E-2</v>
      </c>
      <c r="AI5393" s="492">
        <v>2.1000000000000001E-2</v>
      </c>
      <c r="AJ5393" s="485"/>
    </row>
    <row r="5394" spans="2:36">
      <c r="B5394" s="136" t="s">
        <v>452</v>
      </c>
      <c r="C5394" s="132" t="s">
        <v>1363</v>
      </c>
      <c r="D5394" s="132" t="s">
        <v>285</v>
      </c>
      <c r="E5394" s="508">
        <v>2.7570000000000001</v>
      </c>
      <c r="F5394" s="508">
        <v>2.7349999999999999</v>
      </c>
      <c r="G5394" s="508">
        <v>2.6459999999999999</v>
      </c>
      <c r="H5394" s="508">
        <v>1.089</v>
      </c>
      <c r="I5394" s="508">
        <v>1.0900000000000001</v>
      </c>
      <c r="J5394" s="508">
        <v>1.103</v>
      </c>
      <c r="K5394" s="508">
        <v>1.117</v>
      </c>
      <c r="L5394" s="508">
        <v>1.103</v>
      </c>
      <c r="M5394" s="508">
        <v>1.1200000000000001</v>
      </c>
      <c r="N5394" s="508">
        <v>1.1359999999999999</v>
      </c>
      <c r="O5394" s="508">
        <v>1.127</v>
      </c>
      <c r="P5394" s="508">
        <v>1.127</v>
      </c>
      <c r="Q5394" s="508">
        <v>1.1060000000000001</v>
      </c>
      <c r="R5394" s="508">
        <v>0.745</v>
      </c>
      <c r="S5394" s="508">
        <v>0.74199999999999999</v>
      </c>
      <c r="T5394" s="508">
        <v>0.73899999999999999</v>
      </c>
      <c r="U5394" s="508">
        <v>0.74299999999999999</v>
      </c>
      <c r="V5394" s="508">
        <v>0.70799999999999996</v>
      </c>
      <c r="W5394" s="508">
        <v>0.65100000000000002</v>
      </c>
      <c r="X5394" s="508">
        <v>0.63500000000000001</v>
      </c>
      <c r="Y5394" s="508">
        <v>0.64300000000000002</v>
      </c>
      <c r="Z5394" s="508">
        <v>0.64900000000000002</v>
      </c>
      <c r="AA5394" s="508">
        <v>3.4000000000000002E-2</v>
      </c>
      <c r="AB5394" s="508">
        <v>3.3000000000000002E-2</v>
      </c>
      <c r="AC5394" s="508">
        <v>3.5000000000000003E-2</v>
      </c>
      <c r="AD5394" s="508">
        <v>3.2000000000000001E-2</v>
      </c>
      <c r="AE5394" s="508">
        <v>3.1E-2</v>
      </c>
      <c r="AF5394" s="508">
        <v>0.02</v>
      </c>
      <c r="AG5394" s="508">
        <v>1.9E-2</v>
      </c>
      <c r="AH5394" s="508">
        <v>1.9E-2</v>
      </c>
      <c r="AI5394" s="492">
        <v>1.9E-2</v>
      </c>
      <c r="AJ5394" s="485"/>
    </row>
    <row r="5395" spans="2:36">
      <c r="B5395" s="136" t="s">
        <v>453</v>
      </c>
      <c r="C5395" s="132" t="s">
        <v>1363</v>
      </c>
      <c r="D5395" s="132" t="s">
        <v>285</v>
      </c>
      <c r="E5395" s="508">
        <v>2.657</v>
      </c>
      <c r="F5395" s="508">
        <v>2.6349999999999998</v>
      </c>
      <c r="G5395" s="508">
        <v>2.5470000000000002</v>
      </c>
      <c r="H5395" s="508">
        <v>1.026</v>
      </c>
      <c r="I5395" s="508">
        <v>1.0269999999999999</v>
      </c>
      <c r="J5395" s="508">
        <v>1.0389999999999999</v>
      </c>
      <c r="K5395" s="508">
        <v>1.0660000000000001</v>
      </c>
      <c r="L5395" s="508">
        <v>1.05</v>
      </c>
      <c r="M5395" s="508">
        <v>1.069</v>
      </c>
      <c r="N5395" s="508">
        <v>1.06</v>
      </c>
      <c r="O5395" s="508">
        <v>1.052</v>
      </c>
      <c r="P5395" s="508">
        <v>1.0529999999999999</v>
      </c>
      <c r="Q5395" s="508">
        <v>1.034</v>
      </c>
      <c r="R5395" s="508">
        <v>0.69499999999999995</v>
      </c>
      <c r="S5395" s="508">
        <v>0.69299999999999995</v>
      </c>
      <c r="T5395" s="508">
        <v>0.68899999999999995</v>
      </c>
      <c r="U5395" s="508">
        <v>0.69299999999999995</v>
      </c>
      <c r="V5395" s="508">
        <v>0.66</v>
      </c>
      <c r="W5395" s="508">
        <v>0.60799999999999998</v>
      </c>
      <c r="X5395" s="508">
        <v>0.59199999999999997</v>
      </c>
      <c r="Y5395" s="508">
        <v>0.6</v>
      </c>
      <c r="Z5395" s="508">
        <v>0.60499999999999998</v>
      </c>
      <c r="AA5395" s="508">
        <v>3.2000000000000001E-2</v>
      </c>
      <c r="AB5395" s="508">
        <v>3.1E-2</v>
      </c>
      <c r="AC5395" s="508">
        <v>3.3000000000000002E-2</v>
      </c>
      <c r="AD5395" s="508">
        <v>0.03</v>
      </c>
      <c r="AE5395" s="508">
        <v>0.03</v>
      </c>
      <c r="AF5395" s="508">
        <v>1.9E-2</v>
      </c>
      <c r="AG5395" s="508">
        <v>1.7999999999999999E-2</v>
      </c>
      <c r="AH5395" s="508">
        <v>1.7999999999999999E-2</v>
      </c>
      <c r="AI5395" s="492">
        <v>1.7999999999999999E-2</v>
      </c>
      <c r="AJ5395" s="485"/>
    </row>
    <row r="5396" spans="2:36">
      <c r="B5396" s="136" t="s">
        <v>454</v>
      </c>
      <c r="C5396" s="132" t="s">
        <v>1363</v>
      </c>
      <c r="D5396" s="132" t="s">
        <v>285</v>
      </c>
      <c r="E5396" s="508">
        <v>2.6829999999999998</v>
      </c>
      <c r="F5396" s="508">
        <v>2.6619999999999999</v>
      </c>
      <c r="G5396" s="508">
        <v>2.573</v>
      </c>
      <c r="H5396" s="508">
        <v>1.042</v>
      </c>
      <c r="I5396" s="508">
        <v>1.044</v>
      </c>
      <c r="J5396" s="508">
        <v>1.056</v>
      </c>
      <c r="K5396" s="508">
        <v>1.079</v>
      </c>
      <c r="L5396" s="508">
        <v>1.0629999999999999</v>
      </c>
      <c r="M5396" s="508">
        <v>1.0820000000000001</v>
      </c>
      <c r="N5396" s="508">
        <v>1.08</v>
      </c>
      <c r="O5396" s="508">
        <v>1.0720000000000001</v>
      </c>
      <c r="P5396" s="508">
        <v>1.0720000000000001</v>
      </c>
      <c r="Q5396" s="508">
        <v>1.0529999999999999</v>
      </c>
      <c r="R5396" s="508">
        <v>0.70799999999999996</v>
      </c>
      <c r="S5396" s="508">
        <v>0.70499999999999996</v>
      </c>
      <c r="T5396" s="508">
        <v>0.70199999999999996</v>
      </c>
      <c r="U5396" s="508">
        <v>0.70599999999999996</v>
      </c>
      <c r="V5396" s="508">
        <v>0.67300000000000004</v>
      </c>
      <c r="W5396" s="508">
        <v>0.61899999999999999</v>
      </c>
      <c r="X5396" s="508">
        <v>0.60299999999999998</v>
      </c>
      <c r="Y5396" s="508">
        <v>0.61099999999999999</v>
      </c>
      <c r="Z5396" s="508">
        <v>0.61599999999999999</v>
      </c>
      <c r="AA5396" s="508">
        <v>3.2000000000000001E-2</v>
      </c>
      <c r="AB5396" s="508">
        <v>3.1E-2</v>
      </c>
      <c r="AC5396" s="508">
        <v>3.3000000000000002E-2</v>
      </c>
      <c r="AD5396" s="508">
        <v>3.1E-2</v>
      </c>
      <c r="AE5396" s="508">
        <v>0.03</v>
      </c>
      <c r="AF5396" s="508">
        <v>1.9E-2</v>
      </c>
      <c r="AG5396" s="508">
        <v>1.9E-2</v>
      </c>
      <c r="AH5396" s="508">
        <v>1.7999999999999999E-2</v>
      </c>
      <c r="AI5396" s="492">
        <v>1.7999999999999999E-2</v>
      </c>
      <c r="AJ5396" s="485"/>
    </row>
    <row r="5397" spans="2:36">
      <c r="B5397" s="136" t="s">
        <v>455</v>
      </c>
      <c r="C5397" s="132" t="s">
        <v>1363</v>
      </c>
      <c r="D5397" s="132" t="s">
        <v>285</v>
      </c>
      <c r="E5397" s="508">
        <v>2.629</v>
      </c>
      <c r="F5397" s="508">
        <v>2.6080000000000001</v>
      </c>
      <c r="G5397" s="508">
        <v>2.52</v>
      </c>
      <c r="H5397" s="508">
        <v>1.0129999999999999</v>
      </c>
      <c r="I5397" s="508">
        <v>1.014</v>
      </c>
      <c r="J5397" s="508">
        <v>1.0249999999999999</v>
      </c>
      <c r="K5397" s="508">
        <v>1.0549999999999999</v>
      </c>
      <c r="L5397" s="508">
        <v>1.0389999999999999</v>
      </c>
      <c r="M5397" s="508">
        <v>1.0589999999999999</v>
      </c>
      <c r="N5397" s="508">
        <v>1.048</v>
      </c>
      <c r="O5397" s="508">
        <v>1.0409999999999999</v>
      </c>
      <c r="P5397" s="508">
        <v>1.0409999999999999</v>
      </c>
      <c r="Q5397" s="508">
        <v>1.0249999999999999</v>
      </c>
      <c r="R5397" s="508">
        <v>0.68200000000000005</v>
      </c>
      <c r="S5397" s="508">
        <v>0.68</v>
      </c>
      <c r="T5397" s="508">
        <v>0.67600000000000005</v>
      </c>
      <c r="U5397" s="508">
        <v>0.68100000000000005</v>
      </c>
      <c r="V5397" s="508">
        <v>0.64800000000000002</v>
      </c>
      <c r="W5397" s="508">
        <v>0.59599999999999997</v>
      </c>
      <c r="X5397" s="508">
        <v>0.58099999999999996</v>
      </c>
      <c r="Y5397" s="508">
        <v>0.58899999999999997</v>
      </c>
      <c r="Z5397" s="508">
        <v>0.59399999999999997</v>
      </c>
      <c r="AA5397" s="508">
        <v>3.1E-2</v>
      </c>
      <c r="AB5397" s="508">
        <v>3.1E-2</v>
      </c>
      <c r="AC5397" s="508">
        <v>3.2000000000000001E-2</v>
      </c>
      <c r="AD5397" s="508">
        <v>0.03</v>
      </c>
      <c r="AE5397" s="508">
        <v>2.9000000000000001E-2</v>
      </c>
      <c r="AF5397" s="508">
        <v>1.9E-2</v>
      </c>
      <c r="AG5397" s="508">
        <v>1.7999999999999999E-2</v>
      </c>
      <c r="AH5397" s="508">
        <v>1.7999999999999999E-2</v>
      </c>
      <c r="AI5397" s="492">
        <v>1.7999999999999999E-2</v>
      </c>
      <c r="AJ5397" s="485"/>
    </row>
    <row r="5398" spans="2:36">
      <c r="B5398" s="136" t="s">
        <v>456</v>
      </c>
      <c r="C5398" s="132" t="s">
        <v>1363</v>
      </c>
      <c r="D5398" s="132" t="s">
        <v>285</v>
      </c>
      <c r="E5398" s="508">
        <v>2.7040000000000002</v>
      </c>
      <c r="F5398" s="508">
        <v>2.6829999999999998</v>
      </c>
      <c r="G5398" s="508">
        <v>2.5939999999999999</v>
      </c>
      <c r="H5398" s="508">
        <v>1.0569999999999999</v>
      </c>
      <c r="I5398" s="508">
        <v>1.0580000000000001</v>
      </c>
      <c r="J5398" s="508">
        <v>1.071</v>
      </c>
      <c r="K5398" s="508">
        <v>1.091</v>
      </c>
      <c r="L5398" s="508">
        <v>1.0760000000000001</v>
      </c>
      <c r="M5398" s="508">
        <v>1.0940000000000001</v>
      </c>
      <c r="N5398" s="508">
        <v>1.099</v>
      </c>
      <c r="O5398" s="508">
        <v>1.091</v>
      </c>
      <c r="P5398" s="508">
        <v>1.091</v>
      </c>
      <c r="Q5398" s="508">
        <v>1.071</v>
      </c>
      <c r="R5398" s="508">
        <v>0.71899999999999997</v>
      </c>
      <c r="S5398" s="508">
        <v>0.71599999999999997</v>
      </c>
      <c r="T5398" s="508">
        <v>0.71299999999999997</v>
      </c>
      <c r="U5398" s="508">
        <v>0.71699999999999997</v>
      </c>
      <c r="V5398" s="508">
        <v>0.68300000000000005</v>
      </c>
      <c r="W5398" s="508">
        <v>0.628</v>
      </c>
      <c r="X5398" s="508">
        <v>0.61199999999999999</v>
      </c>
      <c r="Y5398" s="508">
        <v>0.621</v>
      </c>
      <c r="Z5398" s="508">
        <v>0.626</v>
      </c>
      <c r="AA5398" s="508">
        <v>3.3000000000000002E-2</v>
      </c>
      <c r="AB5398" s="508">
        <v>3.2000000000000001E-2</v>
      </c>
      <c r="AC5398" s="508">
        <v>3.4000000000000002E-2</v>
      </c>
      <c r="AD5398" s="508">
        <v>3.1E-2</v>
      </c>
      <c r="AE5398" s="508">
        <v>3.1E-2</v>
      </c>
      <c r="AF5398" s="508">
        <v>0.02</v>
      </c>
      <c r="AG5398" s="508">
        <v>1.9E-2</v>
      </c>
      <c r="AH5398" s="508">
        <v>1.7999999999999999E-2</v>
      </c>
      <c r="AI5398" s="492">
        <v>1.7999999999999999E-2</v>
      </c>
      <c r="AJ5398" s="485"/>
    </row>
    <row r="5399" spans="2:36">
      <c r="B5399" s="136" t="s">
        <v>457</v>
      </c>
      <c r="C5399" s="132" t="s">
        <v>1363</v>
      </c>
      <c r="D5399" s="132" t="s">
        <v>285</v>
      </c>
      <c r="E5399" s="508">
        <v>2.6160000000000001</v>
      </c>
      <c r="F5399" s="508">
        <v>2.5950000000000002</v>
      </c>
      <c r="G5399" s="508">
        <v>2.5070000000000001</v>
      </c>
      <c r="H5399" s="508">
        <v>0.999</v>
      </c>
      <c r="I5399" s="508">
        <v>1</v>
      </c>
      <c r="J5399" s="508">
        <v>1.0109999999999999</v>
      </c>
      <c r="K5399" s="508">
        <v>1.0429999999999999</v>
      </c>
      <c r="L5399" s="508">
        <v>1.0269999999999999</v>
      </c>
      <c r="M5399" s="508">
        <v>1.0469999999999999</v>
      </c>
      <c r="N5399" s="508">
        <v>1.0269999999999999</v>
      </c>
      <c r="O5399" s="508">
        <v>1.02</v>
      </c>
      <c r="P5399" s="508">
        <v>1.02</v>
      </c>
      <c r="Q5399" s="508">
        <v>1.0029999999999999</v>
      </c>
      <c r="R5399" s="508">
        <v>0.67400000000000004</v>
      </c>
      <c r="S5399" s="508">
        <v>0.67200000000000004</v>
      </c>
      <c r="T5399" s="508">
        <v>0.66800000000000004</v>
      </c>
      <c r="U5399" s="508">
        <v>0.67300000000000004</v>
      </c>
      <c r="V5399" s="508">
        <v>0.64100000000000001</v>
      </c>
      <c r="W5399" s="508">
        <v>0.59</v>
      </c>
      <c r="X5399" s="508">
        <v>0.57499999999999996</v>
      </c>
      <c r="Y5399" s="508">
        <v>0.58299999999999996</v>
      </c>
      <c r="Z5399" s="508">
        <v>0.58699999999999997</v>
      </c>
      <c r="AA5399" s="508">
        <v>3.1E-2</v>
      </c>
      <c r="AB5399" s="508">
        <v>0.03</v>
      </c>
      <c r="AC5399" s="508">
        <v>3.2000000000000001E-2</v>
      </c>
      <c r="AD5399" s="508">
        <v>0.03</v>
      </c>
      <c r="AE5399" s="508">
        <v>2.9000000000000001E-2</v>
      </c>
      <c r="AF5399" s="508">
        <v>1.9E-2</v>
      </c>
      <c r="AG5399" s="508">
        <v>1.7999999999999999E-2</v>
      </c>
      <c r="AH5399" s="508">
        <v>1.7000000000000001E-2</v>
      </c>
      <c r="AI5399" s="492">
        <v>1.7000000000000001E-2</v>
      </c>
      <c r="AJ5399" s="485"/>
    </row>
    <row r="5400" spans="2:36">
      <c r="B5400" s="136" t="s">
        <v>458</v>
      </c>
      <c r="C5400" s="132" t="s">
        <v>1363</v>
      </c>
      <c r="D5400" s="132" t="s">
        <v>285</v>
      </c>
      <c r="E5400" s="508">
        <v>2.7309999999999999</v>
      </c>
      <c r="F5400" s="508">
        <v>2.7090000000000001</v>
      </c>
      <c r="G5400" s="508">
        <v>2.62</v>
      </c>
      <c r="H5400" s="508">
        <v>1.0760000000000001</v>
      </c>
      <c r="I5400" s="508">
        <v>1.077</v>
      </c>
      <c r="J5400" s="508">
        <v>1.089</v>
      </c>
      <c r="K5400" s="508">
        <v>1.1060000000000001</v>
      </c>
      <c r="L5400" s="508">
        <v>1.091</v>
      </c>
      <c r="M5400" s="508">
        <v>1.109</v>
      </c>
      <c r="N5400" s="508">
        <v>1.123</v>
      </c>
      <c r="O5400" s="508">
        <v>1.115</v>
      </c>
      <c r="P5400" s="508">
        <v>1.115</v>
      </c>
      <c r="Q5400" s="508">
        <v>1.095</v>
      </c>
      <c r="R5400" s="508">
        <v>0.73199999999999998</v>
      </c>
      <c r="S5400" s="508">
        <v>0.72899999999999998</v>
      </c>
      <c r="T5400" s="508">
        <v>0.72499999999999998</v>
      </c>
      <c r="U5400" s="508">
        <v>0.73</v>
      </c>
      <c r="V5400" s="508">
        <v>0.69499999999999995</v>
      </c>
      <c r="W5400" s="508">
        <v>0.63900000000000001</v>
      </c>
      <c r="X5400" s="508">
        <v>0.623</v>
      </c>
      <c r="Y5400" s="508">
        <v>0.63200000000000001</v>
      </c>
      <c r="Z5400" s="508">
        <v>0.63700000000000001</v>
      </c>
      <c r="AA5400" s="508">
        <v>3.3000000000000002E-2</v>
      </c>
      <c r="AB5400" s="508">
        <v>3.2000000000000001E-2</v>
      </c>
      <c r="AC5400" s="508">
        <v>3.4000000000000002E-2</v>
      </c>
      <c r="AD5400" s="508">
        <v>3.2000000000000001E-2</v>
      </c>
      <c r="AE5400" s="508">
        <v>3.1E-2</v>
      </c>
      <c r="AF5400" s="508">
        <v>0.02</v>
      </c>
      <c r="AG5400" s="508">
        <v>1.9E-2</v>
      </c>
      <c r="AH5400" s="508">
        <v>1.9E-2</v>
      </c>
      <c r="AI5400" s="492">
        <v>1.9E-2</v>
      </c>
      <c r="AJ5400" s="485"/>
    </row>
    <row r="5401" spans="2:36">
      <c r="B5401" s="136" t="s">
        <v>459</v>
      </c>
      <c r="C5401" s="132" t="s">
        <v>1363</v>
      </c>
      <c r="D5401" s="132" t="s">
        <v>285</v>
      </c>
      <c r="E5401" s="508">
        <v>2.7290000000000001</v>
      </c>
      <c r="F5401" s="508">
        <v>2.7069999999999999</v>
      </c>
      <c r="G5401" s="508">
        <v>2.6179999999999999</v>
      </c>
      <c r="H5401" s="508">
        <v>1.0740000000000001</v>
      </c>
      <c r="I5401" s="508">
        <v>1.0760000000000001</v>
      </c>
      <c r="J5401" s="508">
        <v>1.0880000000000001</v>
      </c>
      <c r="K5401" s="508">
        <v>1.105</v>
      </c>
      <c r="L5401" s="508">
        <v>1.0900000000000001</v>
      </c>
      <c r="M5401" s="508">
        <v>1.1080000000000001</v>
      </c>
      <c r="N5401" s="508">
        <v>1.1220000000000001</v>
      </c>
      <c r="O5401" s="508">
        <v>1.113</v>
      </c>
      <c r="P5401" s="508">
        <v>1.1140000000000001</v>
      </c>
      <c r="Q5401" s="508">
        <v>1.0940000000000001</v>
      </c>
      <c r="R5401" s="508">
        <v>0.73099999999999998</v>
      </c>
      <c r="S5401" s="508">
        <v>0.72799999999999998</v>
      </c>
      <c r="T5401" s="508">
        <v>0.72399999999999998</v>
      </c>
      <c r="U5401" s="508">
        <v>0.72899999999999998</v>
      </c>
      <c r="V5401" s="508">
        <v>0.69399999999999995</v>
      </c>
      <c r="W5401" s="508">
        <v>0.63900000000000001</v>
      </c>
      <c r="X5401" s="508">
        <v>0.622</v>
      </c>
      <c r="Y5401" s="508">
        <v>0.63100000000000001</v>
      </c>
      <c r="Z5401" s="508">
        <v>0.63600000000000001</v>
      </c>
      <c r="AA5401" s="508">
        <v>3.3000000000000002E-2</v>
      </c>
      <c r="AB5401" s="508">
        <v>3.2000000000000001E-2</v>
      </c>
      <c r="AC5401" s="508">
        <v>3.4000000000000002E-2</v>
      </c>
      <c r="AD5401" s="508">
        <v>3.2000000000000001E-2</v>
      </c>
      <c r="AE5401" s="508">
        <v>3.1E-2</v>
      </c>
      <c r="AF5401" s="508">
        <v>0.02</v>
      </c>
      <c r="AG5401" s="508">
        <v>1.9E-2</v>
      </c>
      <c r="AH5401" s="508">
        <v>1.9E-2</v>
      </c>
      <c r="AI5401" s="492">
        <v>1.9E-2</v>
      </c>
      <c r="AJ5401" s="485"/>
    </row>
    <row r="5402" spans="2:36">
      <c r="B5402" s="136" t="s">
        <v>460</v>
      </c>
      <c r="C5402" s="132" t="s">
        <v>1363</v>
      </c>
      <c r="D5402" s="132" t="s">
        <v>285</v>
      </c>
      <c r="E5402" s="508">
        <v>2.7290000000000001</v>
      </c>
      <c r="F5402" s="508">
        <v>2.7069999999999999</v>
      </c>
      <c r="G5402" s="508">
        <v>2.6179999999999999</v>
      </c>
      <c r="H5402" s="508">
        <v>1.0740000000000001</v>
      </c>
      <c r="I5402" s="508">
        <v>1.075</v>
      </c>
      <c r="J5402" s="508">
        <v>1.087</v>
      </c>
      <c r="K5402" s="508">
        <v>1.105</v>
      </c>
      <c r="L5402" s="508">
        <v>1.0900000000000001</v>
      </c>
      <c r="M5402" s="508">
        <v>1.1080000000000001</v>
      </c>
      <c r="N5402" s="508">
        <v>1.1200000000000001</v>
      </c>
      <c r="O5402" s="508">
        <v>1.111</v>
      </c>
      <c r="P5402" s="508">
        <v>1.1120000000000001</v>
      </c>
      <c r="Q5402" s="508">
        <v>1.091</v>
      </c>
      <c r="R5402" s="508">
        <v>0.73199999999999998</v>
      </c>
      <c r="S5402" s="508">
        <v>0.72899999999999998</v>
      </c>
      <c r="T5402" s="508">
        <v>0.72499999999999998</v>
      </c>
      <c r="U5402" s="508">
        <v>0.72899999999999998</v>
      </c>
      <c r="V5402" s="508">
        <v>0.69399999999999995</v>
      </c>
      <c r="W5402" s="508">
        <v>0.63900000000000001</v>
      </c>
      <c r="X5402" s="508">
        <v>0.623</v>
      </c>
      <c r="Y5402" s="508">
        <v>0.63100000000000001</v>
      </c>
      <c r="Z5402" s="508">
        <v>0.63700000000000001</v>
      </c>
      <c r="AA5402" s="508">
        <v>3.3000000000000002E-2</v>
      </c>
      <c r="AB5402" s="508">
        <v>3.2000000000000001E-2</v>
      </c>
      <c r="AC5402" s="508">
        <v>3.4000000000000002E-2</v>
      </c>
      <c r="AD5402" s="508">
        <v>3.2000000000000001E-2</v>
      </c>
      <c r="AE5402" s="508">
        <v>3.1E-2</v>
      </c>
      <c r="AF5402" s="508">
        <v>0.02</v>
      </c>
      <c r="AG5402" s="508">
        <v>1.9E-2</v>
      </c>
      <c r="AH5402" s="508">
        <v>1.9E-2</v>
      </c>
      <c r="AI5402" s="492">
        <v>1.9E-2</v>
      </c>
      <c r="AJ5402" s="485"/>
    </row>
    <row r="5403" spans="2:36">
      <c r="B5403" s="136" t="s">
        <v>461</v>
      </c>
      <c r="C5403" s="132" t="s">
        <v>1363</v>
      </c>
      <c r="D5403" s="132" t="s">
        <v>285</v>
      </c>
      <c r="E5403" s="508">
        <v>2.7130000000000001</v>
      </c>
      <c r="F5403" s="508">
        <v>2.6909999999999998</v>
      </c>
      <c r="G5403" s="508">
        <v>2.6019999999999999</v>
      </c>
      <c r="H5403" s="508">
        <v>1.0589999999999999</v>
      </c>
      <c r="I5403" s="508">
        <v>1.06</v>
      </c>
      <c r="J5403" s="508">
        <v>1.073</v>
      </c>
      <c r="K5403" s="508">
        <v>1.0920000000000001</v>
      </c>
      <c r="L5403" s="508">
        <v>1.077</v>
      </c>
      <c r="M5403" s="508">
        <v>1.095</v>
      </c>
      <c r="N5403" s="508">
        <v>1.099</v>
      </c>
      <c r="O5403" s="508">
        <v>1.091</v>
      </c>
      <c r="P5403" s="508">
        <v>1.091</v>
      </c>
      <c r="Q5403" s="508">
        <v>1.071</v>
      </c>
      <c r="R5403" s="508">
        <v>0.72199999999999998</v>
      </c>
      <c r="S5403" s="508">
        <v>0.71899999999999997</v>
      </c>
      <c r="T5403" s="508">
        <v>0.71599999999999997</v>
      </c>
      <c r="U5403" s="508">
        <v>0.72</v>
      </c>
      <c r="V5403" s="508">
        <v>0.68600000000000005</v>
      </c>
      <c r="W5403" s="508">
        <v>0.63100000000000001</v>
      </c>
      <c r="X5403" s="508">
        <v>0.61499999999999999</v>
      </c>
      <c r="Y5403" s="508">
        <v>0.624</v>
      </c>
      <c r="Z5403" s="508">
        <v>0.629</v>
      </c>
      <c r="AA5403" s="508">
        <v>3.3000000000000002E-2</v>
      </c>
      <c r="AB5403" s="508">
        <v>3.2000000000000001E-2</v>
      </c>
      <c r="AC5403" s="508">
        <v>3.4000000000000002E-2</v>
      </c>
      <c r="AD5403" s="508">
        <v>3.1E-2</v>
      </c>
      <c r="AE5403" s="508">
        <v>3.1E-2</v>
      </c>
      <c r="AF5403" s="508">
        <v>0.02</v>
      </c>
      <c r="AG5403" s="508">
        <v>1.9E-2</v>
      </c>
      <c r="AH5403" s="508">
        <v>1.7999999999999999E-2</v>
      </c>
      <c r="AI5403" s="492">
        <v>1.7999999999999999E-2</v>
      </c>
      <c r="AJ5403" s="485"/>
    </row>
    <row r="5404" spans="2:36">
      <c r="B5404" s="136" t="s">
        <v>462</v>
      </c>
      <c r="C5404" s="132" t="s">
        <v>1363</v>
      </c>
      <c r="D5404" s="132" t="s">
        <v>285</v>
      </c>
      <c r="E5404" s="508">
        <v>2.6869999999999998</v>
      </c>
      <c r="F5404" s="508">
        <v>2.6659999999999999</v>
      </c>
      <c r="G5404" s="508">
        <v>2.577</v>
      </c>
      <c r="H5404" s="508">
        <v>1.0409999999999999</v>
      </c>
      <c r="I5404" s="508">
        <v>1.042</v>
      </c>
      <c r="J5404" s="508">
        <v>1.054</v>
      </c>
      <c r="K5404" s="508">
        <v>1.077</v>
      </c>
      <c r="L5404" s="508">
        <v>1.0620000000000001</v>
      </c>
      <c r="M5404" s="508">
        <v>1.08</v>
      </c>
      <c r="N5404" s="508">
        <v>1.075</v>
      </c>
      <c r="O5404" s="508">
        <v>1.0660000000000001</v>
      </c>
      <c r="P5404" s="508">
        <v>1.0669999999999999</v>
      </c>
      <c r="Q5404" s="508">
        <v>1.0469999999999999</v>
      </c>
      <c r="R5404" s="508">
        <v>0.70899999999999996</v>
      </c>
      <c r="S5404" s="508">
        <v>0.70699999999999996</v>
      </c>
      <c r="T5404" s="508">
        <v>0.70299999999999996</v>
      </c>
      <c r="U5404" s="508">
        <v>0.70699999999999996</v>
      </c>
      <c r="V5404" s="508">
        <v>0.67400000000000004</v>
      </c>
      <c r="W5404" s="508">
        <v>0.62</v>
      </c>
      <c r="X5404" s="508">
        <v>0.60499999999999998</v>
      </c>
      <c r="Y5404" s="508">
        <v>0.61299999999999999</v>
      </c>
      <c r="Z5404" s="508">
        <v>0.61799999999999999</v>
      </c>
      <c r="AA5404" s="508">
        <v>3.2000000000000001E-2</v>
      </c>
      <c r="AB5404" s="508">
        <v>3.1E-2</v>
      </c>
      <c r="AC5404" s="508">
        <v>3.3000000000000002E-2</v>
      </c>
      <c r="AD5404" s="508">
        <v>3.1E-2</v>
      </c>
      <c r="AE5404" s="508">
        <v>0.03</v>
      </c>
      <c r="AF5404" s="508">
        <v>1.9E-2</v>
      </c>
      <c r="AG5404" s="508">
        <v>1.9E-2</v>
      </c>
      <c r="AH5404" s="508">
        <v>1.7999999999999999E-2</v>
      </c>
      <c r="AI5404" s="492">
        <v>1.7999999999999999E-2</v>
      </c>
      <c r="AJ5404" s="485"/>
    </row>
    <row r="5405" spans="2:36">
      <c r="B5405" s="136" t="s">
        <v>463</v>
      </c>
      <c r="C5405" s="132" t="s">
        <v>1363</v>
      </c>
      <c r="D5405" s="132" t="s">
        <v>285</v>
      </c>
      <c r="E5405" s="508">
        <v>2.6339999999999999</v>
      </c>
      <c r="F5405" s="508">
        <v>2.613</v>
      </c>
      <c r="G5405" s="508">
        <v>2.524</v>
      </c>
      <c r="H5405" s="508">
        <v>1.014</v>
      </c>
      <c r="I5405" s="508">
        <v>1.0149999999999999</v>
      </c>
      <c r="J5405" s="508">
        <v>1.0269999999999999</v>
      </c>
      <c r="K5405" s="508">
        <v>1.056</v>
      </c>
      <c r="L5405" s="508">
        <v>1.0389999999999999</v>
      </c>
      <c r="M5405" s="508">
        <v>1.0589999999999999</v>
      </c>
      <c r="N5405" s="508">
        <v>1.0489999999999999</v>
      </c>
      <c r="O5405" s="508">
        <v>1.042</v>
      </c>
      <c r="P5405" s="508">
        <v>1.042</v>
      </c>
      <c r="Q5405" s="508">
        <v>1.0249999999999999</v>
      </c>
      <c r="R5405" s="508">
        <v>0.68400000000000005</v>
      </c>
      <c r="S5405" s="508">
        <v>0.68100000000000005</v>
      </c>
      <c r="T5405" s="508">
        <v>0.67800000000000005</v>
      </c>
      <c r="U5405" s="508">
        <v>0.68200000000000005</v>
      </c>
      <c r="V5405" s="508">
        <v>0.65</v>
      </c>
      <c r="W5405" s="508">
        <v>0.59799999999999998</v>
      </c>
      <c r="X5405" s="508">
        <v>0.58299999999999996</v>
      </c>
      <c r="Y5405" s="508">
        <v>0.59</v>
      </c>
      <c r="Z5405" s="508">
        <v>0.59499999999999997</v>
      </c>
      <c r="AA5405" s="508">
        <v>3.1E-2</v>
      </c>
      <c r="AB5405" s="508">
        <v>3.1E-2</v>
      </c>
      <c r="AC5405" s="508">
        <v>3.2000000000000001E-2</v>
      </c>
      <c r="AD5405" s="508">
        <v>0.03</v>
      </c>
      <c r="AE5405" s="508">
        <v>2.9000000000000001E-2</v>
      </c>
      <c r="AF5405" s="508">
        <v>1.9E-2</v>
      </c>
      <c r="AG5405" s="508">
        <v>1.7999999999999999E-2</v>
      </c>
      <c r="AH5405" s="508">
        <v>1.7999999999999999E-2</v>
      </c>
      <c r="AI5405" s="492">
        <v>1.7999999999999999E-2</v>
      </c>
      <c r="AJ5405" s="485"/>
    </row>
    <row r="5406" spans="2:36">
      <c r="B5406" s="136" t="s">
        <v>464</v>
      </c>
      <c r="C5406" s="132" t="s">
        <v>1363</v>
      </c>
      <c r="D5406" s="132" t="s">
        <v>285</v>
      </c>
      <c r="E5406" s="508">
        <v>2.6070000000000002</v>
      </c>
      <c r="F5406" s="508">
        <v>2.585</v>
      </c>
      <c r="G5406" s="508">
        <v>2.4980000000000002</v>
      </c>
      <c r="H5406" s="508">
        <v>0.995</v>
      </c>
      <c r="I5406" s="508">
        <v>0.997</v>
      </c>
      <c r="J5406" s="508">
        <v>1.008</v>
      </c>
      <c r="K5406" s="508">
        <v>1.0409999999999999</v>
      </c>
      <c r="L5406" s="508">
        <v>1.0249999999999999</v>
      </c>
      <c r="M5406" s="508">
        <v>1.044</v>
      </c>
      <c r="N5406" s="508">
        <v>1.0249999999999999</v>
      </c>
      <c r="O5406" s="508">
        <v>1.018</v>
      </c>
      <c r="P5406" s="508">
        <v>1.018</v>
      </c>
      <c r="Q5406" s="508">
        <v>1.0009999999999999</v>
      </c>
      <c r="R5406" s="508">
        <v>0.67100000000000004</v>
      </c>
      <c r="S5406" s="508">
        <v>0.66800000000000004</v>
      </c>
      <c r="T5406" s="508">
        <v>0.66500000000000004</v>
      </c>
      <c r="U5406" s="508">
        <v>0.66900000000000004</v>
      </c>
      <c r="V5406" s="508">
        <v>0.63700000000000001</v>
      </c>
      <c r="W5406" s="508">
        <v>0.58599999999999997</v>
      </c>
      <c r="X5406" s="508">
        <v>0.57199999999999995</v>
      </c>
      <c r="Y5406" s="508">
        <v>0.57899999999999996</v>
      </c>
      <c r="Z5406" s="508">
        <v>0.58399999999999996</v>
      </c>
      <c r="AA5406" s="508">
        <v>3.1E-2</v>
      </c>
      <c r="AB5406" s="508">
        <v>0.03</v>
      </c>
      <c r="AC5406" s="508">
        <v>3.2000000000000001E-2</v>
      </c>
      <c r="AD5406" s="508">
        <v>0.03</v>
      </c>
      <c r="AE5406" s="508">
        <v>2.9000000000000001E-2</v>
      </c>
      <c r="AF5406" s="508">
        <v>1.9E-2</v>
      </c>
      <c r="AG5406" s="508">
        <v>1.7999999999999999E-2</v>
      </c>
      <c r="AH5406" s="508">
        <v>1.7000000000000001E-2</v>
      </c>
      <c r="AI5406" s="492">
        <v>1.7000000000000001E-2</v>
      </c>
      <c r="AJ5406" s="485"/>
    </row>
    <row r="5407" spans="2:36">
      <c r="B5407" s="136" t="s">
        <v>465</v>
      </c>
      <c r="C5407" s="132" t="s">
        <v>1363</v>
      </c>
      <c r="D5407" s="132" t="s">
        <v>285</v>
      </c>
      <c r="E5407" s="508">
        <v>2.633</v>
      </c>
      <c r="F5407" s="508">
        <v>2.6120000000000001</v>
      </c>
      <c r="G5407" s="508">
        <v>2.524</v>
      </c>
      <c r="H5407" s="508">
        <v>1.0149999999999999</v>
      </c>
      <c r="I5407" s="508">
        <v>1.016</v>
      </c>
      <c r="J5407" s="508">
        <v>1.0269999999999999</v>
      </c>
      <c r="K5407" s="508">
        <v>1.0569999999999999</v>
      </c>
      <c r="L5407" s="508">
        <v>1.0409999999999999</v>
      </c>
      <c r="M5407" s="508">
        <v>1.06</v>
      </c>
      <c r="N5407" s="508">
        <v>1.05</v>
      </c>
      <c r="O5407" s="508">
        <v>1.0429999999999999</v>
      </c>
      <c r="P5407" s="508">
        <v>1.0429999999999999</v>
      </c>
      <c r="Q5407" s="508">
        <v>1.026</v>
      </c>
      <c r="R5407" s="508">
        <v>0.68400000000000005</v>
      </c>
      <c r="S5407" s="508">
        <v>0.68200000000000005</v>
      </c>
      <c r="T5407" s="508">
        <v>0.67800000000000005</v>
      </c>
      <c r="U5407" s="508">
        <v>0.68200000000000005</v>
      </c>
      <c r="V5407" s="508">
        <v>0.65</v>
      </c>
      <c r="W5407" s="508">
        <v>0.59799999999999998</v>
      </c>
      <c r="X5407" s="508">
        <v>0.58299999999999996</v>
      </c>
      <c r="Y5407" s="508">
        <v>0.59099999999999997</v>
      </c>
      <c r="Z5407" s="508">
        <v>0.59599999999999997</v>
      </c>
      <c r="AA5407" s="508">
        <v>3.1E-2</v>
      </c>
      <c r="AB5407" s="508">
        <v>3.1E-2</v>
      </c>
      <c r="AC5407" s="508">
        <v>3.2000000000000001E-2</v>
      </c>
      <c r="AD5407" s="508">
        <v>0.03</v>
      </c>
      <c r="AE5407" s="508">
        <v>2.9000000000000001E-2</v>
      </c>
      <c r="AF5407" s="508">
        <v>1.9E-2</v>
      </c>
      <c r="AG5407" s="508">
        <v>1.7999999999999999E-2</v>
      </c>
      <c r="AH5407" s="508">
        <v>1.7999999999999999E-2</v>
      </c>
      <c r="AI5407" s="492">
        <v>1.7999999999999999E-2</v>
      </c>
      <c r="AJ5407" s="485"/>
    </row>
    <row r="5408" spans="2:36">
      <c r="B5408" s="136" t="s">
        <v>466</v>
      </c>
      <c r="C5408" s="132" t="s">
        <v>1363</v>
      </c>
      <c r="D5408" s="132" t="s">
        <v>285</v>
      </c>
      <c r="E5408" s="508">
        <v>2.798</v>
      </c>
      <c r="F5408" s="508">
        <v>2.7759999999999998</v>
      </c>
      <c r="G5408" s="508">
        <v>2.6859999999999999</v>
      </c>
      <c r="H5408" s="508">
        <v>1.1180000000000001</v>
      </c>
      <c r="I5408" s="508">
        <v>1.119</v>
      </c>
      <c r="J5408" s="508">
        <v>1.133</v>
      </c>
      <c r="K5408" s="508">
        <v>1.1419999999999999</v>
      </c>
      <c r="L5408" s="508">
        <v>1.127</v>
      </c>
      <c r="M5408" s="508">
        <v>1.145</v>
      </c>
      <c r="N5408" s="508">
        <v>1.1739999999999999</v>
      </c>
      <c r="O5408" s="508">
        <v>1.165</v>
      </c>
      <c r="P5408" s="508">
        <v>1.165</v>
      </c>
      <c r="Q5408" s="508">
        <v>1.143</v>
      </c>
      <c r="R5408" s="508">
        <v>0.76600000000000001</v>
      </c>
      <c r="S5408" s="508">
        <v>0.76400000000000001</v>
      </c>
      <c r="T5408" s="508">
        <v>0.75900000000000001</v>
      </c>
      <c r="U5408" s="508">
        <v>0.76400000000000001</v>
      </c>
      <c r="V5408" s="508">
        <v>0.72699999999999998</v>
      </c>
      <c r="W5408" s="508">
        <v>0.66900000000000004</v>
      </c>
      <c r="X5408" s="508">
        <v>0.65200000000000002</v>
      </c>
      <c r="Y5408" s="508">
        <v>0.66100000000000003</v>
      </c>
      <c r="Z5408" s="508">
        <v>0.66700000000000004</v>
      </c>
      <c r="AA5408" s="508">
        <v>3.4000000000000002E-2</v>
      </c>
      <c r="AB5408" s="508">
        <v>3.4000000000000002E-2</v>
      </c>
      <c r="AC5408" s="508">
        <v>3.5999999999999997E-2</v>
      </c>
      <c r="AD5408" s="508">
        <v>3.3000000000000002E-2</v>
      </c>
      <c r="AE5408" s="508">
        <v>3.2000000000000001E-2</v>
      </c>
      <c r="AF5408" s="508">
        <v>2.1000000000000001E-2</v>
      </c>
      <c r="AG5408" s="508">
        <v>0.02</v>
      </c>
      <c r="AH5408" s="508">
        <v>1.9E-2</v>
      </c>
      <c r="AI5408" s="492">
        <v>1.9E-2</v>
      </c>
      <c r="AJ5408" s="485"/>
    </row>
    <row r="5409" spans="2:36">
      <c r="B5409" s="136" t="s">
        <v>467</v>
      </c>
      <c r="C5409" s="132" t="s">
        <v>1363</v>
      </c>
      <c r="D5409" s="132" t="s">
        <v>285</v>
      </c>
      <c r="E5409" s="508">
        <v>2.7</v>
      </c>
      <c r="F5409" s="508">
        <v>2.6779999999999999</v>
      </c>
      <c r="G5409" s="508">
        <v>2.589</v>
      </c>
      <c r="H5409" s="508">
        <v>1.0509999999999999</v>
      </c>
      <c r="I5409" s="508">
        <v>1.052</v>
      </c>
      <c r="J5409" s="508">
        <v>1.0640000000000001</v>
      </c>
      <c r="K5409" s="508">
        <v>1.085</v>
      </c>
      <c r="L5409" s="508">
        <v>1.07</v>
      </c>
      <c r="M5409" s="508">
        <v>1.0880000000000001</v>
      </c>
      <c r="N5409" s="508">
        <v>1.089</v>
      </c>
      <c r="O5409" s="508">
        <v>1.08</v>
      </c>
      <c r="P5409" s="508">
        <v>1.081</v>
      </c>
      <c r="Q5409" s="508">
        <v>1.0609999999999999</v>
      </c>
      <c r="R5409" s="508">
        <v>0.71599999999999997</v>
      </c>
      <c r="S5409" s="508">
        <v>0.71299999999999997</v>
      </c>
      <c r="T5409" s="508">
        <v>0.70899999999999996</v>
      </c>
      <c r="U5409" s="508">
        <v>0.71399999999999997</v>
      </c>
      <c r="V5409" s="508">
        <v>0.68</v>
      </c>
      <c r="W5409" s="508">
        <v>0.626</v>
      </c>
      <c r="X5409" s="508">
        <v>0.61</v>
      </c>
      <c r="Y5409" s="508">
        <v>0.61799999999999999</v>
      </c>
      <c r="Z5409" s="508">
        <v>0.623</v>
      </c>
      <c r="AA5409" s="508">
        <v>3.3000000000000002E-2</v>
      </c>
      <c r="AB5409" s="508">
        <v>3.2000000000000001E-2</v>
      </c>
      <c r="AC5409" s="508">
        <v>3.4000000000000002E-2</v>
      </c>
      <c r="AD5409" s="508">
        <v>3.1E-2</v>
      </c>
      <c r="AE5409" s="508">
        <v>0.03</v>
      </c>
      <c r="AF5409" s="508">
        <v>0.02</v>
      </c>
      <c r="AG5409" s="508">
        <v>1.9E-2</v>
      </c>
      <c r="AH5409" s="508">
        <v>1.7999999999999999E-2</v>
      </c>
      <c r="AI5409" s="492">
        <v>1.7999999999999999E-2</v>
      </c>
      <c r="AJ5409" s="485"/>
    </row>
    <row r="5410" spans="2:36">
      <c r="B5410" s="136" t="s">
        <v>468</v>
      </c>
      <c r="C5410" s="132" t="s">
        <v>1363</v>
      </c>
      <c r="D5410" s="132" t="s">
        <v>285</v>
      </c>
      <c r="E5410" s="508">
        <v>2.589</v>
      </c>
      <c r="F5410" s="508">
        <v>2.5680000000000001</v>
      </c>
      <c r="G5410" s="508">
        <v>2.48</v>
      </c>
      <c r="H5410" s="508">
        <v>0.99</v>
      </c>
      <c r="I5410" s="508">
        <v>0.99199999999999999</v>
      </c>
      <c r="J5410" s="508">
        <v>1.002</v>
      </c>
      <c r="K5410" s="508">
        <v>1.0369999999999999</v>
      </c>
      <c r="L5410" s="508">
        <v>1.0209999999999999</v>
      </c>
      <c r="M5410" s="508">
        <v>1.0409999999999999</v>
      </c>
      <c r="N5410" s="508">
        <v>1.024</v>
      </c>
      <c r="O5410" s="508">
        <v>1.0169999999999999</v>
      </c>
      <c r="P5410" s="508">
        <v>1.018</v>
      </c>
      <c r="Q5410" s="508">
        <v>1.002</v>
      </c>
      <c r="R5410" s="508">
        <v>0.66300000000000003</v>
      </c>
      <c r="S5410" s="508">
        <v>0.66100000000000003</v>
      </c>
      <c r="T5410" s="508">
        <v>0.65700000000000003</v>
      </c>
      <c r="U5410" s="508">
        <v>0.66100000000000003</v>
      </c>
      <c r="V5410" s="508">
        <v>0.63</v>
      </c>
      <c r="W5410" s="508">
        <v>0.57899999999999996</v>
      </c>
      <c r="X5410" s="508">
        <v>0.56499999999999995</v>
      </c>
      <c r="Y5410" s="508">
        <v>0.57199999999999995</v>
      </c>
      <c r="Z5410" s="508">
        <v>0.57699999999999996</v>
      </c>
      <c r="AA5410" s="508">
        <v>3.1E-2</v>
      </c>
      <c r="AB5410" s="508">
        <v>0.03</v>
      </c>
      <c r="AC5410" s="508">
        <v>3.2000000000000001E-2</v>
      </c>
      <c r="AD5410" s="508">
        <v>2.9000000000000001E-2</v>
      </c>
      <c r="AE5410" s="508">
        <v>2.9000000000000001E-2</v>
      </c>
      <c r="AF5410" s="508">
        <v>1.7999999999999999E-2</v>
      </c>
      <c r="AG5410" s="508">
        <v>1.7999999999999999E-2</v>
      </c>
      <c r="AH5410" s="508">
        <v>1.7000000000000001E-2</v>
      </c>
      <c r="AI5410" s="492">
        <v>1.7000000000000001E-2</v>
      </c>
      <c r="AJ5410" s="485"/>
    </row>
    <row r="5411" spans="2:36">
      <c r="B5411" s="136" t="s">
        <v>469</v>
      </c>
      <c r="C5411" s="132" t="s">
        <v>1363</v>
      </c>
      <c r="D5411" s="132" t="s">
        <v>285</v>
      </c>
      <c r="E5411" s="508">
        <v>2.653</v>
      </c>
      <c r="F5411" s="508">
        <v>2.6309999999999998</v>
      </c>
      <c r="G5411" s="508">
        <v>2.5430000000000001</v>
      </c>
      <c r="H5411" s="508">
        <v>1.0249999999999999</v>
      </c>
      <c r="I5411" s="508">
        <v>1.0269999999999999</v>
      </c>
      <c r="J5411" s="508">
        <v>1.038</v>
      </c>
      <c r="K5411" s="508">
        <v>1.0660000000000001</v>
      </c>
      <c r="L5411" s="508">
        <v>1.05</v>
      </c>
      <c r="M5411" s="508">
        <v>1.069</v>
      </c>
      <c r="N5411" s="508">
        <v>1.0609999999999999</v>
      </c>
      <c r="O5411" s="508">
        <v>1.054</v>
      </c>
      <c r="P5411" s="508">
        <v>1.054</v>
      </c>
      <c r="Q5411" s="508">
        <v>1.036</v>
      </c>
      <c r="R5411" s="508">
        <v>0.69399999999999995</v>
      </c>
      <c r="S5411" s="508">
        <v>0.69099999999999995</v>
      </c>
      <c r="T5411" s="508">
        <v>0.68700000000000006</v>
      </c>
      <c r="U5411" s="508">
        <v>0.69199999999999995</v>
      </c>
      <c r="V5411" s="508">
        <v>0.65900000000000003</v>
      </c>
      <c r="W5411" s="508">
        <v>0.60599999999999998</v>
      </c>
      <c r="X5411" s="508">
        <v>0.59099999999999997</v>
      </c>
      <c r="Y5411" s="508">
        <v>0.59899999999999998</v>
      </c>
      <c r="Z5411" s="508">
        <v>0.60399999999999998</v>
      </c>
      <c r="AA5411" s="508">
        <v>3.2000000000000001E-2</v>
      </c>
      <c r="AB5411" s="508">
        <v>3.1E-2</v>
      </c>
      <c r="AC5411" s="508">
        <v>3.3000000000000002E-2</v>
      </c>
      <c r="AD5411" s="508">
        <v>0.03</v>
      </c>
      <c r="AE5411" s="508">
        <v>0.03</v>
      </c>
      <c r="AF5411" s="508">
        <v>1.9E-2</v>
      </c>
      <c r="AG5411" s="508">
        <v>1.7999999999999999E-2</v>
      </c>
      <c r="AH5411" s="508">
        <v>1.7999999999999999E-2</v>
      </c>
      <c r="AI5411" s="492">
        <v>1.7999999999999999E-2</v>
      </c>
      <c r="AJ5411" s="485"/>
    </row>
    <row r="5412" spans="2:36">
      <c r="B5412" s="136" t="s">
        <v>470</v>
      </c>
      <c r="C5412" s="132" t="s">
        <v>1363</v>
      </c>
      <c r="D5412" s="132" t="s">
        <v>285</v>
      </c>
      <c r="E5412" s="508">
        <v>2.7719999999999998</v>
      </c>
      <c r="F5412" s="508">
        <v>2.7490000000000001</v>
      </c>
      <c r="G5412" s="508">
        <v>2.66</v>
      </c>
      <c r="H5412" s="508">
        <v>1.099</v>
      </c>
      <c r="I5412" s="508">
        <v>1.1000000000000001</v>
      </c>
      <c r="J5412" s="508">
        <v>1.113</v>
      </c>
      <c r="K5412" s="508">
        <v>1.125</v>
      </c>
      <c r="L5412" s="508">
        <v>1.1100000000000001</v>
      </c>
      <c r="M5412" s="508">
        <v>1.1279999999999999</v>
      </c>
      <c r="N5412" s="508">
        <v>1.149</v>
      </c>
      <c r="O5412" s="508">
        <v>1.1399999999999999</v>
      </c>
      <c r="P5412" s="508">
        <v>1.141</v>
      </c>
      <c r="Q5412" s="508">
        <v>1.119</v>
      </c>
      <c r="R5412" s="508">
        <v>0.752</v>
      </c>
      <c r="S5412" s="508">
        <v>0.749</v>
      </c>
      <c r="T5412" s="508">
        <v>0.745</v>
      </c>
      <c r="U5412" s="508">
        <v>0.75</v>
      </c>
      <c r="V5412" s="508">
        <v>0.71399999999999997</v>
      </c>
      <c r="W5412" s="508">
        <v>0.65700000000000003</v>
      </c>
      <c r="X5412" s="508">
        <v>0.64</v>
      </c>
      <c r="Y5412" s="508">
        <v>0.64900000000000002</v>
      </c>
      <c r="Z5412" s="508">
        <v>0.65400000000000003</v>
      </c>
      <c r="AA5412" s="508">
        <v>3.4000000000000002E-2</v>
      </c>
      <c r="AB5412" s="508">
        <v>3.3000000000000002E-2</v>
      </c>
      <c r="AC5412" s="508">
        <v>3.5000000000000003E-2</v>
      </c>
      <c r="AD5412" s="508">
        <v>3.2000000000000001E-2</v>
      </c>
      <c r="AE5412" s="508">
        <v>3.2000000000000001E-2</v>
      </c>
      <c r="AF5412" s="508">
        <v>0.02</v>
      </c>
      <c r="AG5412" s="508">
        <v>0.02</v>
      </c>
      <c r="AH5412" s="508">
        <v>1.9E-2</v>
      </c>
      <c r="AI5412" s="492">
        <v>1.9E-2</v>
      </c>
      <c r="AJ5412" s="485"/>
    </row>
    <row r="5413" spans="2:36">
      <c r="B5413" s="136" t="s">
        <v>471</v>
      </c>
      <c r="C5413" s="132" t="s">
        <v>1363</v>
      </c>
      <c r="D5413" s="132" t="s">
        <v>285</v>
      </c>
      <c r="E5413" s="508">
        <v>2.742</v>
      </c>
      <c r="F5413" s="508">
        <v>2.72</v>
      </c>
      <c r="G5413" s="508">
        <v>2.6309999999999998</v>
      </c>
      <c r="H5413" s="508">
        <v>1.077</v>
      </c>
      <c r="I5413" s="508">
        <v>1.0780000000000001</v>
      </c>
      <c r="J5413" s="508">
        <v>1.091</v>
      </c>
      <c r="K5413" s="508">
        <v>1.107</v>
      </c>
      <c r="L5413" s="508">
        <v>1.0920000000000001</v>
      </c>
      <c r="M5413" s="508">
        <v>1.1100000000000001</v>
      </c>
      <c r="N5413" s="508">
        <v>1.1200000000000001</v>
      </c>
      <c r="O5413" s="508">
        <v>1.111</v>
      </c>
      <c r="P5413" s="508">
        <v>1.1120000000000001</v>
      </c>
      <c r="Q5413" s="508">
        <v>1.091</v>
      </c>
      <c r="R5413" s="508">
        <v>0.73699999999999999</v>
      </c>
      <c r="S5413" s="508">
        <v>0.73399999999999999</v>
      </c>
      <c r="T5413" s="508">
        <v>0.73</v>
      </c>
      <c r="U5413" s="508">
        <v>0.73399999999999999</v>
      </c>
      <c r="V5413" s="508">
        <v>0.7</v>
      </c>
      <c r="W5413" s="508">
        <v>0.64400000000000002</v>
      </c>
      <c r="X5413" s="508">
        <v>0.628</v>
      </c>
      <c r="Y5413" s="508">
        <v>0.63600000000000001</v>
      </c>
      <c r="Z5413" s="508">
        <v>0.64100000000000001</v>
      </c>
      <c r="AA5413" s="508">
        <v>3.3000000000000002E-2</v>
      </c>
      <c r="AB5413" s="508">
        <v>3.2000000000000001E-2</v>
      </c>
      <c r="AC5413" s="508">
        <v>3.4000000000000002E-2</v>
      </c>
      <c r="AD5413" s="508">
        <v>3.2000000000000001E-2</v>
      </c>
      <c r="AE5413" s="508">
        <v>3.1E-2</v>
      </c>
      <c r="AF5413" s="508">
        <v>0.02</v>
      </c>
      <c r="AG5413" s="508">
        <v>1.9E-2</v>
      </c>
      <c r="AH5413" s="508">
        <v>1.9E-2</v>
      </c>
      <c r="AI5413" s="492">
        <v>1.9E-2</v>
      </c>
      <c r="AJ5413" s="485"/>
    </row>
    <row r="5414" spans="2:36">
      <c r="B5414" s="136" t="s">
        <v>472</v>
      </c>
      <c r="C5414" s="132" t="s">
        <v>1363</v>
      </c>
      <c r="D5414" s="132" t="s">
        <v>285</v>
      </c>
      <c r="E5414" s="508">
        <v>2.617</v>
      </c>
      <c r="F5414" s="508">
        <v>2.5950000000000002</v>
      </c>
      <c r="G5414" s="508">
        <v>2.508</v>
      </c>
      <c r="H5414" s="508">
        <v>1</v>
      </c>
      <c r="I5414" s="508">
        <v>1.0009999999999999</v>
      </c>
      <c r="J5414" s="508">
        <v>1.012</v>
      </c>
      <c r="K5414" s="508">
        <v>1.044</v>
      </c>
      <c r="L5414" s="508">
        <v>1.028</v>
      </c>
      <c r="M5414" s="508">
        <v>1.0469999999999999</v>
      </c>
      <c r="N5414" s="508">
        <v>1.028</v>
      </c>
      <c r="O5414" s="508">
        <v>1.0209999999999999</v>
      </c>
      <c r="P5414" s="508">
        <v>1.0209999999999999</v>
      </c>
      <c r="Q5414" s="508">
        <v>1.004</v>
      </c>
      <c r="R5414" s="508">
        <v>0.67500000000000004</v>
      </c>
      <c r="S5414" s="508">
        <v>0.67200000000000004</v>
      </c>
      <c r="T5414" s="508">
        <v>0.66900000000000004</v>
      </c>
      <c r="U5414" s="508">
        <v>0.67300000000000004</v>
      </c>
      <c r="V5414" s="508">
        <v>0.64200000000000002</v>
      </c>
      <c r="W5414" s="508">
        <v>0.59</v>
      </c>
      <c r="X5414" s="508">
        <v>0.57499999999999996</v>
      </c>
      <c r="Y5414" s="508">
        <v>0.58299999999999996</v>
      </c>
      <c r="Z5414" s="508">
        <v>0.58799999999999997</v>
      </c>
      <c r="AA5414" s="508">
        <v>3.1E-2</v>
      </c>
      <c r="AB5414" s="508">
        <v>0.03</v>
      </c>
      <c r="AC5414" s="508">
        <v>3.2000000000000001E-2</v>
      </c>
      <c r="AD5414" s="508">
        <v>0.03</v>
      </c>
      <c r="AE5414" s="508">
        <v>2.9000000000000001E-2</v>
      </c>
      <c r="AF5414" s="508">
        <v>1.9E-2</v>
      </c>
      <c r="AG5414" s="508">
        <v>1.7999999999999999E-2</v>
      </c>
      <c r="AH5414" s="508">
        <v>1.7000000000000001E-2</v>
      </c>
      <c r="AI5414" s="492">
        <v>1.7000000000000001E-2</v>
      </c>
      <c r="AJ5414" s="485"/>
    </row>
    <row r="5415" spans="2:36">
      <c r="B5415" s="136" t="s">
        <v>473</v>
      </c>
      <c r="C5415" s="132" t="s">
        <v>1363</v>
      </c>
      <c r="D5415" s="132" t="s">
        <v>285</v>
      </c>
      <c r="E5415" s="508">
        <v>2.7759999999999998</v>
      </c>
      <c r="F5415" s="508">
        <v>2.754</v>
      </c>
      <c r="G5415" s="508">
        <v>2.6640000000000001</v>
      </c>
      <c r="H5415" s="508">
        <v>1.101</v>
      </c>
      <c r="I5415" s="508">
        <v>1.1020000000000001</v>
      </c>
      <c r="J5415" s="508">
        <v>1.115</v>
      </c>
      <c r="K5415" s="508">
        <v>1.127</v>
      </c>
      <c r="L5415" s="508">
        <v>1.1120000000000001</v>
      </c>
      <c r="M5415" s="508">
        <v>1.1299999999999999</v>
      </c>
      <c r="N5415" s="508">
        <v>1.1499999999999999</v>
      </c>
      <c r="O5415" s="508">
        <v>1.141</v>
      </c>
      <c r="P5415" s="508">
        <v>1.141</v>
      </c>
      <c r="Q5415" s="508">
        <v>1.119</v>
      </c>
      <c r="R5415" s="508">
        <v>0.754</v>
      </c>
      <c r="S5415" s="508">
        <v>0.752</v>
      </c>
      <c r="T5415" s="508">
        <v>0.748</v>
      </c>
      <c r="U5415" s="508">
        <v>0.752</v>
      </c>
      <c r="V5415" s="508">
        <v>0.71599999999999997</v>
      </c>
      <c r="W5415" s="508">
        <v>0.65900000000000003</v>
      </c>
      <c r="X5415" s="508">
        <v>0.64200000000000002</v>
      </c>
      <c r="Y5415" s="508">
        <v>0.65100000000000002</v>
      </c>
      <c r="Z5415" s="508">
        <v>0.65700000000000003</v>
      </c>
      <c r="AA5415" s="508">
        <v>3.4000000000000002E-2</v>
      </c>
      <c r="AB5415" s="508">
        <v>3.3000000000000002E-2</v>
      </c>
      <c r="AC5415" s="508">
        <v>3.5000000000000003E-2</v>
      </c>
      <c r="AD5415" s="508">
        <v>3.3000000000000002E-2</v>
      </c>
      <c r="AE5415" s="508">
        <v>3.2000000000000001E-2</v>
      </c>
      <c r="AF5415" s="508">
        <v>2.1000000000000001E-2</v>
      </c>
      <c r="AG5415" s="508">
        <v>0.02</v>
      </c>
      <c r="AH5415" s="508">
        <v>1.9E-2</v>
      </c>
      <c r="AI5415" s="492">
        <v>1.9E-2</v>
      </c>
      <c r="AJ5415" s="485"/>
    </row>
    <row r="5416" spans="2:36">
      <c r="B5416" s="136" t="s">
        <v>474</v>
      </c>
      <c r="C5416" s="132" t="s">
        <v>1363</v>
      </c>
      <c r="D5416" s="132" t="s">
        <v>285</v>
      </c>
      <c r="E5416" s="508">
        <v>2.7069999999999999</v>
      </c>
      <c r="F5416" s="508">
        <v>2.6850000000000001</v>
      </c>
      <c r="G5416" s="508">
        <v>2.597</v>
      </c>
      <c r="H5416" s="508">
        <v>1.0569999999999999</v>
      </c>
      <c r="I5416" s="508">
        <v>1.0589999999999999</v>
      </c>
      <c r="J5416" s="508">
        <v>1.071</v>
      </c>
      <c r="K5416" s="508">
        <v>1.091</v>
      </c>
      <c r="L5416" s="508">
        <v>1.0760000000000001</v>
      </c>
      <c r="M5416" s="508">
        <v>1.0940000000000001</v>
      </c>
      <c r="N5416" s="508">
        <v>1.0980000000000001</v>
      </c>
      <c r="O5416" s="508">
        <v>1.0900000000000001</v>
      </c>
      <c r="P5416" s="508">
        <v>1.0900000000000001</v>
      </c>
      <c r="Q5416" s="508">
        <v>1.07</v>
      </c>
      <c r="R5416" s="508">
        <v>0.72</v>
      </c>
      <c r="S5416" s="508">
        <v>0.71699999999999997</v>
      </c>
      <c r="T5416" s="508">
        <v>0.71399999999999997</v>
      </c>
      <c r="U5416" s="508">
        <v>0.71799999999999997</v>
      </c>
      <c r="V5416" s="508">
        <v>0.68400000000000005</v>
      </c>
      <c r="W5416" s="508">
        <v>0.629</v>
      </c>
      <c r="X5416" s="508">
        <v>0.61299999999999999</v>
      </c>
      <c r="Y5416" s="508">
        <v>0.622</v>
      </c>
      <c r="Z5416" s="508">
        <v>0.627</v>
      </c>
      <c r="AA5416" s="508">
        <v>3.3000000000000002E-2</v>
      </c>
      <c r="AB5416" s="508">
        <v>3.2000000000000001E-2</v>
      </c>
      <c r="AC5416" s="508">
        <v>3.4000000000000002E-2</v>
      </c>
      <c r="AD5416" s="508">
        <v>3.1E-2</v>
      </c>
      <c r="AE5416" s="508">
        <v>3.1E-2</v>
      </c>
      <c r="AF5416" s="508">
        <v>0.02</v>
      </c>
      <c r="AG5416" s="508">
        <v>1.9E-2</v>
      </c>
      <c r="AH5416" s="508">
        <v>1.7999999999999999E-2</v>
      </c>
      <c r="AI5416" s="492">
        <v>1.7999999999999999E-2</v>
      </c>
      <c r="AJ5416" s="485"/>
    </row>
    <row r="5417" spans="2:36">
      <c r="B5417" s="136" t="s">
        <v>475</v>
      </c>
      <c r="C5417" s="132" t="s">
        <v>1363</v>
      </c>
      <c r="D5417" s="132" t="s">
        <v>285</v>
      </c>
      <c r="E5417" s="508">
        <v>2.6840000000000002</v>
      </c>
      <c r="F5417" s="508">
        <v>2.6629999999999998</v>
      </c>
      <c r="G5417" s="508">
        <v>2.5739999999999998</v>
      </c>
      <c r="H5417" s="508">
        <v>1.0429999999999999</v>
      </c>
      <c r="I5417" s="508">
        <v>1.044</v>
      </c>
      <c r="J5417" s="508">
        <v>1.056</v>
      </c>
      <c r="K5417" s="508">
        <v>1.079</v>
      </c>
      <c r="L5417" s="508">
        <v>1.0640000000000001</v>
      </c>
      <c r="M5417" s="508">
        <v>1.0820000000000001</v>
      </c>
      <c r="N5417" s="508">
        <v>1.08</v>
      </c>
      <c r="O5417" s="508">
        <v>1.0720000000000001</v>
      </c>
      <c r="P5417" s="508">
        <v>1.073</v>
      </c>
      <c r="Q5417" s="508">
        <v>1.0529999999999999</v>
      </c>
      <c r="R5417" s="508">
        <v>0.70899999999999996</v>
      </c>
      <c r="S5417" s="508">
        <v>0.70599999999999996</v>
      </c>
      <c r="T5417" s="508">
        <v>0.70199999999999996</v>
      </c>
      <c r="U5417" s="508">
        <v>0.70699999999999996</v>
      </c>
      <c r="V5417" s="508">
        <v>0.67300000000000004</v>
      </c>
      <c r="W5417" s="508">
        <v>0.61899999999999999</v>
      </c>
      <c r="X5417" s="508">
        <v>0.60399999999999998</v>
      </c>
      <c r="Y5417" s="508">
        <v>0.61199999999999999</v>
      </c>
      <c r="Z5417" s="508">
        <v>0.61699999999999999</v>
      </c>
      <c r="AA5417" s="508">
        <v>3.2000000000000001E-2</v>
      </c>
      <c r="AB5417" s="508">
        <v>3.1E-2</v>
      </c>
      <c r="AC5417" s="508">
        <v>3.3000000000000002E-2</v>
      </c>
      <c r="AD5417" s="508">
        <v>3.1E-2</v>
      </c>
      <c r="AE5417" s="508">
        <v>0.03</v>
      </c>
      <c r="AF5417" s="508">
        <v>1.9E-2</v>
      </c>
      <c r="AG5417" s="508">
        <v>1.9E-2</v>
      </c>
      <c r="AH5417" s="508">
        <v>1.7999999999999999E-2</v>
      </c>
      <c r="AI5417" s="492">
        <v>1.7999999999999999E-2</v>
      </c>
      <c r="AJ5417" s="485"/>
    </row>
    <row r="5418" spans="2:36">
      <c r="B5418" s="136" t="s">
        <v>476</v>
      </c>
      <c r="C5418" s="132" t="s">
        <v>1363</v>
      </c>
      <c r="D5418" s="132" t="s">
        <v>285</v>
      </c>
      <c r="E5418" s="508">
        <v>2.7280000000000002</v>
      </c>
      <c r="F5418" s="508">
        <v>2.706</v>
      </c>
      <c r="G5418" s="508">
        <v>2.617</v>
      </c>
      <c r="H5418" s="508">
        <v>1.073</v>
      </c>
      <c r="I5418" s="508">
        <v>1.075</v>
      </c>
      <c r="J5418" s="508">
        <v>1.087</v>
      </c>
      <c r="K5418" s="508">
        <v>1.105</v>
      </c>
      <c r="L5418" s="508">
        <v>1.0900000000000001</v>
      </c>
      <c r="M5418" s="508">
        <v>1.1080000000000001</v>
      </c>
      <c r="N5418" s="508">
        <v>1.1200000000000001</v>
      </c>
      <c r="O5418" s="508">
        <v>1.111</v>
      </c>
      <c r="P5418" s="508">
        <v>1.1120000000000001</v>
      </c>
      <c r="Q5418" s="508">
        <v>1.0920000000000001</v>
      </c>
      <c r="R5418" s="508">
        <v>0.73099999999999998</v>
      </c>
      <c r="S5418" s="508">
        <v>0.72799999999999998</v>
      </c>
      <c r="T5418" s="508">
        <v>0.72499999999999998</v>
      </c>
      <c r="U5418" s="508">
        <v>0.72899999999999998</v>
      </c>
      <c r="V5418" s="508">
        <v>0.69399999999999995</v>
      </c>
      <c r="W5418" s="508">
        <v>0.63900000000000001</v>
      </c>
      <c r="X5418" s="508">
        <v>0.622</v>
      </c>
      <c r="Y5418" s="508">
        <v>0.63100000000000001</v>
      </c>
      <c r="Z5418" s="508">
        <v>0.63600000000000001</v>
      </c>
      <c r="AA5418" s="508">
        <v>3.3000000000000002E-2</v>
      </c>
      <c r="AB5418" s="508">
        <v>3.2000000000000001E-2</v>
      </c>
      <c r="AC5418" s="508">
        <v>3.4000000000000002E-2</v>
      </c>
      <c r="AD5418" s="508">
        <v>3.2000000000000001E-2</v>
      </c>
      <c r="AE5418" s="508">
        <v>3.1E-2</v>
      </c>
      <c r="AF5418" s="508">
        <v>0.02</v>
      </c>
      <c r="AG5418" s="508">
        <v>1.9E-2</v>
      </c>
      <c r="AH5418" s="508">
        <v>1.9E-2</v>
      </c>
      <c r="AI5418" s="492">
        <v>1.9E-2</v>
      </c>
      <c r="AJ5418" s="485"/>
    </row>
    <row r="5419" spans="2:36">
      <c r="B5419" s="136" t="s">
        <v>478</v>
      </c>
      <c r="C5419" s="132" t="s">
        <v>1363</v>
      </c>
      <c r="D5419" s="132" t="s">
        <v>285</v>
      </c>
      <c r="E5419" s="508">
        <v>2.7839999999999998</v>
      </c>
      <c r="F5419" s="508">
        <v>2.762</v>
      </c>
      <c r="G5419" s="508">
        <v>2.6720000000000002</v>
      </c>
      <c r="H5419" s="508">
        <v>1.111</v>
      </c>
      <c r="I5419" s="508">
        <v>1.1120000000000001</v>
      </c>
      <c r="J5419" s="508">
        <v>1.125</v>
      </c>
      <c r="K5419" s="508">
        <v>1.135</v>
      </c>
      <c r="L5419" s="508">
        <v>1.1200000000000001</v>
      </c>
      <c r="M5419" s="508">
        <v>1.1379999999999999</v>
      </c>
      <c r="N5419" s="508">
        <v>1.167</v>
      </c>
      <c r="O5419" s="508">
        <v>1.1579999999999999</v>
      </c>
      <c r="P5419" s="508">
        <v>1.1579999999999999</v>
      </c>
      <c r="Q5419" s="508">
        <v>1.137</v>
      </c>
      <c r="R5419" s="508">
        <v>0.75900000000000001</v>
      </c>
      <c r="S5419" s="508">
        <v>0.75600000000000001</v>
      </c>
      <c r="T5419" s="508">
        <v>0.752</v>
      </c>
      <c r="U5419" s="508">
        <v>0.75700000000000001</v>
      </c>
      <c r="V5419" s="508">
        <v>0.72</v>
      </c>
      <c r="W5419" s="508">
        <v>0.66300000000000003</v>
      </c>
      <c r="X5419" s="508">
        <v>0.64600000000000002</v>
      </c>
      <c r="Y5419" s="508">
        <v>0.65500000000000003</v>
      </c>
      <c r="Z5419" s="508">
        <v>0.66</v>
      </c>
      <c r="AA5419" s="508">
        <v>3.4000000000000002E-2</v>
      </c>
      <c r="AB5419" s="508">
        <v>3.3000000000000002E-2</v>
      </c>
      <c r="AC5419" s="508">
        <v>3.5000000000000003E-2</v>
      </c>
      <c r="AD5419" s="508">
        <v>3.3000000000000002E-2</v>
      </c>
      <c r="AE5419" s="508">
        <v>3.2000000000000001E-2</v>
      </c>
      <c r="AF5419" s="508">
        <v>2.1000000000000001E-2</v>
      </c>
      <c r="AG5419" s="508">
        <v>0.02</v>
      </c>
      <c r="AH5419" s="508">
        <v>1.9E-2</v>
      </c>
      <c r="AI5419" s="492">
        <v>1.9E-2</v>
      </c>
      <c r="AJ5419" s="485"/>
    </row>
    <row r="5420" spans="2:36">
      <c r="B5420" s="136" t="s">
        <v>479</v>
      </c>
      <c r="C5420" s="132" t="s">
        <v>1363</v>
      </c>
      <c r="D5420" s="132" t="s">
        <v>285</v>
      </c>
      <c r="E5420" s="508">
        <v>2.681</v>
      </c>
      <c r="F5420" s="508">
        <v>2.66</v>
      </c>
      <c r="G5420" s="508">
        <v>2.5710000000000002</v>
      </c>
      <c r="H5420" s="508">
        <v>1.044</v>
      </c>
      <c r="I5420" s="508">
        <v>1.0449999999999999</v>
      </c>
      <c r="J5420" s="508">
        <v>1.0569999999999999</v>
      </c>
      <c r="K5420" s="508">
        <v>1.081</v>
      </c>
      <c r="L5420" s="508">
        <v>1.0649999999999999</v>
      </c>
      <c r="M5420" s="508">
        <v>1.0840000000000001</v>
      </c>
      <c r="N5420" s="508">
        <v>1.0840000000000001</v>
      </c>
      <c r="O5420" s="508">
        <v>1.0760000000000001</v>
      </c>
      <c r="P5420" s="508">
        <v>1.077</v>
      </c>
      <c r="Q5420" s="508">
        <v>1.0580000000000001</v>
      </c>
      <c r="R5420" s="508">
        <v>0.70799999999999996</v>
      </c>
      <c r="S5420" s="508">
        <v>0.70499999999999996</v>
      </c>
      <c r="T5420" s="508">
        <v>0.70199999999999996</v>
      </c>
      <c r="U5420" s="508">
        <v>0.70599999999999996</v>
      </c>
      <c r="V5420" s="508">
        <v>0.67200000000000004</v>
      </c>
      <c r="W5420" s="508">
        <v>0.61899999999999999</v>
      </c>
      <c r="X5420" s="508">
        <v>0.60299999999999998</v>
      </c>
      <c r="Y5420" s="508">
        <v>0.61099999999999999</v>
      </c>
      <c r="Z5420" s="508">
        <v>0.61599999999999999</v>
      </c>
      <c r="AA5420" s="508">
        <v>3.2000000000000001E-2</v>
      </c>
      <c r="AB5420" s="508">
        <v>3.1E-2</v>
      </c>
      <c r="AC5420" s="508">
        <v>3.3000000000000002E-2</v>
      </c>
      <c r="AD5420" s="508">
        <v>3.1E-2</v>
      </c>
      <c r="AE5420" s="508">
        <v>0.03</v>
      </c>
      <c r="AF5420" s="508">
        <v>1.9E-2</v>
      </c>
      <c r="AG5420" s="508">
        <v>1.9E-2</v>
      </c>
      <c r="AH5420" s="508">
        <v>1.7999999999999999E-2</v>
      </c>
      <c r="AI5420" s="492">
        <v>1.7999999999999999E-2</v>
      </c>
      <c r="AJ5420" s="485"/>
    </row>
    <row r="5421" spans="2:36">
      <c r="B5421" s="136" t="s">
        <v>480</v>
      </c>
      <c r="C5421" s="132" t="s">
        <v>1363</v>
      </c>
      <c r="D5421" s="132" t="s">
        <v>285</v>
      </c>
      <c r="E5421" s="508">
        <v>2.593</v>
      </c>
      <c r="F5421" s="508">
        <v>2.5720000000000001</v>
      </c>
      <c r="G5421" s="508">
        <v>2.484</v>
      </c>
      <c r="H5421" s="508">
        <v>0.98899999999999999</v>
      </c>
      <c r="I5421" s="508">
        <v>0.99</v>
      </c>
      <c r="J5421" s="508">
        <v>1.0009999999999999</v>
      </c>
      <c r="K5421" s="508">
        <v>1.036</v>
      </c>
      <c r="L5421" s="508">
        <v>1.0189999999999999</v>
      </c>
      <c r="M5421" s="508">
        <v>1.0389999999999999</v>
      </c>
      <c r="N5421" s="508">
        <v>1.0189999999999999</v>
      </c>
      <c r="O5421" s="508">
        <v>1.012</v>
      </c>
      <c r="P5421" s="508">
        <v>1.012</v>
      </c>
      <c r="Q5421" s="508">
        <v>0.997</v>
      </c>
      <c r="R5421" s="508">
        <v>0.66400000000000003</v>
      </c>
      <c r="S5421" s="508">
        <v>0.66200000000000003</v>
      </c>
      <c r="T5421" s="508">
        <v>0.65800000000000003</v>
      </c>
      <c r="U5421" s="508">
        <v>0.66200000000000003</v>
      </c>
      <c r="V5421" s="508">
        <v>0.63100000000000001</v>
      </c>
      <c r="W5421" s="508">
        <v>0.58099999999999996</v>
      </c>
      <c r="X5421" s="508">
        <v>0.56599999999999995</v>
      </c>
      <c r="Y5421" s="508">
        <v>0.57399999999999995</v>
      </c>
      <c r="Z5421" s="508">
        <v>0.57799999999999996</v>
      </c>
      <c r="AA5421" s="508">
        <v>3.1E-2</v>
      </c>
      <c r="AB5421" s="508">
        <v>0.03</v>
      </c>
      <c r="AC5421" s="508">
        <v>3.2000000000000001E-2</v>
      </c>
      <c r="AD5421" s="508">
        <v>2.9000000000000001E-2</v>
      </c>
      <c r="AE5421" s="508">
        <v>2.9000000000000001E-2</v>
      </c>
      <c r="AF5421" s="508">
        <v>1.7999999999999999E-2</v>
      </c>
      <c r="AG5421" s="508">
        <v>1.7999999999999999E-2</v>
      </c>
      <c r="AH5421" s="508">
        <v>1.7000000000000001E-2</v>
      </c>
      <c r="AI5421" s="492">
        <v>1.7000000000000001E-2</v>
      </c>
      <c r="AJ5421" s="485"/>
    </row>
    <row r="5422" spans="2:36">
      <c r="B5422" s="136" t="s">
        <v>481</v>
      </c>
      <c r="C5422" s="132" t="s">
        <v>1363</v>
      </c>
      <c r="D5422" s="132" t="s">
        <v>285</v>
      </c>
      <c r="E5422" s="508">
        <v>2.7050000000000001</v>
      </c>
      <c r="F5422" s="508">
        <v>2.6829999999999998</v>
      </c>
      <c r="G5422" s="508">
        <v>2.5939999999999999</v>
      </c>
      <c r="H5422" s="508">
        <v>1.0589999999999999</v>
      </c>
      <c r="I5422" s="508">
        <v>1.06</v>
      </c>
      <c r="J5422" s="508">
        <v>1.0720000000000001</v>
      </c>
      <c r="K5422" s="508">
        <v>1.093</v>
      </c>
      <c r="L5422" s="508">
        <v>1.077</v>
      </c>
      <c r="M5422" s="508">
        <v>1.0960000000000001</v>
      </c>
      <c r="N5422" s="508">
        <v>1.1020000000000001</v>
      </c>
      <c r="O5422" s="508">
        <v>1.0940000000000001</v>
      </c>
      <c r="P5422" s="508">
        <v>1.0940000000000001</v>
      </c>
      <c r="Q5422" s="508">
        <v>1.075</v>
      </c>
      <c r="R5422" s="508">
        <v>0.71899999999999997</v>
      </c>
      <c r="S5422" s="508">
        <v>0.71699999999999997</v>
      </c>
      <c r="T5422" s="508">
        <v>0.71299999999999997</v>
      </c>
      <c r="U5422" s="508">
        <v>0.71699999999999997</v>
      </c>
      <c r="V5422" s="508">
        <v>0.68300000000000005</v>
      </c>
      <c r="W5422" s="508">
        <v>0.629</v>
      </c>
      <c r="X5422" s="508">
        <v>0.61299999999999999</v>
      </c>
      <c r="Y5422" s="508">
        <v>0.621</v>
      </c>
      <c r="Z5422" s="508">
        <v>0.626</v>
      </c>
      <c r="AA5422" s="508">
        <v>3.3000000000000002E-2</v>
      </c>
      <c r="AB5422" s="508">
        <v>3.2000000000000001E-2</v>
      </c>
      <c r="AC5422" s="508">
        <v>3.4000000000000002E-2</v>
      </c>
      <c r="AD5422" s="508">
        <v>3.1E-2</v>
      </c>
      <c r="AE5422" s="508">
        <v>3.1E-2</v>
      </c>
      <c r="AF5422" s="508">
        <v>0.02</v>
      </c>
      <c r="AG5422" s="508">
        <v>1.9E-2</v>
      </c>
      <c r="AH5422" s="508">
        <v>1.7999999999999999E-2</v>
      </c>
      <c r="AI5422" s="492">
        <v>1.7999999999999999E-2</v>
      </c>
      <c r="AJ5422" s="485"/>
    </row>
    <row r="5423" spans="2:36">
      <c r="B5423" s="136" t="s">
        <v>482</v>
      </c>
      <c r="C5423" s="132" t="s">
        <v>1363</v>
      </c>
      <c r="D5423" s="132" t="s">
        <v>285</v>
      </c>
      <c r="E5423" s="508">
        <v>2.7120000000000002</v>
      </c>
      <c r="F5423" s="508">
        <v>2.6909999999999998</v>
      </c>
      <c r="G5423" s="508">
        <v>2.6019999999999999</v>
      </c>
      <c r="H5423" s="508">
        <v>1.0629999999999999</v>
      </c>
      <c r="I5423" s="508">
        <v>1.0640000000000001</v>
      </c>
      <c r="J5423" s="508">
        <v>1.077</v>
      </c>
      <c r="K5423" s="508">
        <v>1.0960000000000001</v>
      </c>
      <c r="L5423" s="508">
        <v>1.081</v>
      </c>
      <c r="M5423" s="508">
        <v>1.099</v>
      </c>
      <c r="N5423" s="508">
        <v>1.1080000000000001</v>
      </c>
      <c r="O5423" s="508">
        <v>1.099</v>
      </c>
      <c r="P5423" s="508">
        <v>1.1000000000000001</v>
      </c>
      <c r="Q5423" s="508">
        <v>1.08</v>
      </c>
      <c r="R5423" s="508">
        <v>0.72299999999999998</v>
      </c>
      <c r="S5423" s="508">
        <v>0.72</v>
      </c>
      <c r="T5423" s="508">
        <v>0.71599999999999997</v>
      </c>
      <c r="U5423" s="508">
        <v>0.72099999999999997</v>
      </c>
      <c r="V5423" s="508">
        <v>0.68600000000000005</v>
      </c>
      <c r="W5423" s="508">
        <v>0.63200000000000001</v>
      </c>
      <c r="X5423" s="508">
        <v>0.61599999999999999</v>
      </c>
      <c r="Y5423" s="508">
        <v>0.624</v>
      </c>
      <c r="Z5423" s="508">
        <v>0.629</v>
      </c>
      <c r="AA5423" s="508">
        <v>3.3000000000000002E-2</v>
      </c>
      <c r="AB5423" s="508">
        <v>3.2000000000000001E-2</v>
      </c>
      <c r="AC5423" s="508">
        <v>3.4000000000000002E-2</v>
      </c>
      <c r="AD5423" s="508">
        <v>3.1E-2</v>
      </c>
      <c r="AE5423" s="508">
        <v>3.1E-2</v>
      </c>
      <c r="AF5423" s="508">
        <v>0.02</v>
      </c>
      <c r="AG5423" s="508">
        <v>1.9E-2</v>
      </c>
      <c r="AH5423" s="508">
        <v>1.7999999999999999E-2</v>
      </c>
      <c r="AI5423" s="492">
        <v>1.7999999999999999E-2</v>
      </c>
      <c r="AJ5423" s="485"/>
    </row>
    <row r="5424" spans="2:36">
      <c r="B5424" s="136" t="s">
        <v>483</v>
      </c>
      <c r="C5424" s="132" t="s">
        <v>1363</v>
      </c>
      <c r="D5424" s="132" t="s">
        <v>285</v>
      </c>
      <c r="E5424" s="508">
        <v>2.77</v>
      </c>
      <c r="F5424" s="508">
        <v>2.7480000000000002</v>
      </c>
      <c r="G5424" s="508">
        <v>2.6589999999999998</v>
      </c>
      <c r="H5424" s="508">
        <v>1.1020000000000001</v>
      </c>
      <c r="I5424" s="508">
        <v>1.103</v>
      </c>
      <c r="J5424" s="508">
        <v>1.1160000000000001</v>
      </c>
      <c r="K5424" s="508">
        <v>1.1279999999999999</v>
      </c>
      <c r="L5424" s="508">
        <v>1.113</v>
      </c>
      <c r="M5424" s="508">
        <v>1.131</v>
      </c>
      <c r="N5424" s="508">
        <v>1.155</v>
      </c>
      <c r="O5424" s="508">
        <v>1.1459999999999999</v>
      </c>
      <c r="P5424" s="508">
        <v>1.147</v>
      </c>
      <c r="Q5424" s="508">
        <v>1.125</v>
      </c>
      <c r="R5424" s="508">
        <v>0.752</v>
      </c>
      <c r="S5424" s="508">
        <v>0.749</v>
      </c>
      <c r="T5424" s="508">
        <v>0.745</v>
      </c>
      <c r="U5424" s="508">
        <v>0.75</v>
      </c>
      <c r="V5424" s="508">
        <v>0.71399999999999997</v>
      </c>
      <c r="W5424" s="508">
        <v>0.65700000000000003</v>
      </c>
      <c r="X5424" s="508">
        <v>0.64</v>
      </c>
      <c r="Y5424" s="508">
        <v>0.64900000000000002</v>
      </c>
      <c r="Z5424" s="508">
        <v>0.65400000000000003</v>
      </c>
      <c r="AA5424" s="508">
        <v>3.4000000000000002E-2</v>
      </c>
      <c r="AB5424" s="508">
        <v>3.3000000000000002E-2</v>
      </c>
      <c r="AC5424" s="508">
        <v>3.5000000000000003E-2</v>
      </c>
      <c r="AD5424" s="508">
        <v>3.3000000000000002E-2</v>
      </c>
      <c r="AE5424" s="508">
        <v>3.2000000000000001E-2</v>
      </c>
      <c r="AF5424" s="508">
        <v>0.02</v>
      </c>
      <c r="AG5424" s="508">
        <v>0.02</v>
      </c>
      <c r="AH5424" s="508">
        <v>1.9E-2</v>
      </c>
      <c r="AI5424" s="492">
        <v>1.9E-2</v>
      </c>
      <c r="AJ5424" s="485"/>
    </row>
    <row r="5425" spans="2:36">
      <c r="B5425" s="136" t="s">
        <v>484</v>
      </c>
      <c r="C5425" s="132" t="s">
        <v>1363</v>
      </c>
      <c r="D5425" s="132" t="s">
        <v>285</v>
      </c>
      <c r="E5425" s="508">
        <v>2.6110000000000002</v>
      </c>
      <c r="F5425" s="508">
        <v>2.59</v>
      </c>
      <c r="G5425" s="508">
        <v>2.5030000000000001</v>
      </c>
      <c r="H5425" s="508">
        <v>0.997</v>
      </c>
      <c r="I5425" s="508">
        <v>0.998</v>
      </c>
      <c r="J5425" s="508">
        <v>1.0089999999999999</v>
      </c>
      <c r="K5425" s="508">
        <v>1.042</v>
      </c>
      <c r="L5425" s="508">
        <v>1.026</v>
      </c>
      <c r="M5425" s="508">
        <v>1.0449999999999999</v>
      </c>
      <c r="N5425" s="508">
        <v>1.026</v>
      </c>
      <c r="O5425" s="508">
        <v>1.018</v>
      </c>
      <c r="P5425" s="508">
        <v>1.0189999999999999</v>
      </c>
      <c r="Q5425" s="508">
        <v>1.002</v>
      </c>
      <c r="R5425" s="508">
        <v>0.67300000000000004</v>
      </c>
      <c r="S5425" s="508">
        <v>0.67</v>
      </c>
      <c r="T5425" s="508">
        <v>0.66700000000000004</v>
      </c>
      <c r="U5425" s="508">
        <v>0.67100000000000004</v>
      </c>
      <c r="V5425" s="508">
        <v>0.63900000000000001</v>
      </c>
      <c r="W5425" s="508">
        <v>0.58799999999999997</v>
      </c>
      <c r="X5425" s="508">
        <v>0.57299999999999995</v>
      </c>
      <c r="Y5425" s="508">
        <v>0.58099999999999996</v>
      </c>
      <c r="Z5425" s="508">
        <v>0.58599999999999997</v>
      </c>
      <c r="AA5425" s="508">
        <v>3.1E-2</v>
      </c>
      <c r="AB5425" s="508">
        <v>0.03</v>
      </c>
      <c r="AC5425" s="508">
        <v>3.2000000000000001E-2</v>
      </c>
      <c r="AD5425" s="508">
        <v>0.03</v>
      </c>
      <c r="AE5425" s="508">
        <v>2.9000000000000001E-2</v>
      </c>
      <c r="AF5425" s="508">
        <v>1.9E-2</v>
      </c>
      <c r="AG5425" s="508">
        <v>1.7999999999999999E-2</v>
      </c>
      <c r="AH5425" s="508">
        <v>1.7000000000000001E-2</v>
      </c>
      <c r="AI5425" s="492">
        <v>1.7000000000000001E-2</v>
      </c>
      <c r="AJ5425" s="485"/>
    </row>
    <row r="5426" spans="2:36">
      <c r="B5426" s="136" t="s">
        <v>486</v>
      </c>
      <c r="C5426" s="132" t="s">
        <v>1363</v>
      </c>
      <c r="D5426" s="132" t="s">
        <v>285</v>
      </c>
      <c r="E5426" s="508">
        <v>2.7109999999999999</v>
      </c>
      <c r="F5426" s="508">
        <v>2.6890000000000001</v>
      </c>
      <c r="G5426" s="508">
        <v>2.6</v>
      </c>
      <c r="H5426" s="508">
        <v>1.0629999999999999</v>
      </c>
      <c r="I5426" s="508">
        <v>1.0640000000000001</v>
      </c>
      <c r="J5426" s="508">
        <v>1.0760000000000001</v>
      </c>
      <c r="K5426" s="508">
        <v>1.0960000000000001</v>
      </c>
      <c r="L5426" s="508">
        <v>1.081</v>
      </c>
      <c r="M5426" s="508">
        <v>1.099</v>
      </c>
      <c r="N5426" s="508">
        <v>1.1080000000000001</v>
      </c>
      <c r="O5426" s="508">
        <v>1.099</v>
      </c>
      <c r="P5426" s="508">
        <v>1.1000000000000001</v>
      </c>
      <c r="Q5426" s="508">
        <v>1.08</v>
      </c>
      <c r="R5426" s="508">
        <v>0.72199999999999998</v>
      </c>
      <c r="S5426" s="508">
        <v>0.72</v>
      </c>
      <c r="T5426" s="508">
        <v>0.71599999999999997</v>
      </c>
      <c r="U5426" s="508">
        <v>0.72</v>
      </c>
      <c r="V5426" s="508">
        <v>0.68600000000000005</v>
      </c>
      <c r="W5426" s="508">
        <v>0.63100000000000001</v>
      </c>
      <c r="X5426" s="508">
        <v>0.61499999999999999</v>
      </c>
      <c r="Y5426" s="508">
        <v>0.623</v>
      </c>
      <c r="Z5426" s="508">
        <v>0.629</v>
      </c>
      <c r="AA5426" s="508">
        <v>3.3000000000000002E-2</v>
      </c>
      <c r="AB5426" s="508">
        <v>3.2000000000000001E-2</v>
      </c>
      <c r="AC5426" s="508">
        <v>3.4000000000000002E-2</v>
      </c>
      <c r="AD5426" s="508">
        <v>3.1E-2</v>
      </c>
      <c r="AE5426" s="508">
        <v>3.1E-2</v>
      </c>
      <c r="AF5426" s="508">
        <v>0.02</v>
      </c>
      <c r="AG5426" s="508">
        <v>1.9E-2</v>
      </c>
      <c r="AH5426" s="508">
        <v>1.7999999999999999E-2</v>
      </c>
      <c r="AI5426" s="492">
        <v>1.7999999999999999E-2</v>
      </c>
      <c r="AJ5426" s="485"/>
    </row>
    <row r="5427" spans="2:36">
      <c r="B5427" s="136" t="s">
        <v>487</v>
      </c>
      <c r="C5427" s="132" t="s">
        <v>1363</v>
      </c>
      <c r="D5427" s="132" t="s">
        <v>285</v>
      </c>
      <c r="E5427" s="508">
        <v>2.7080000000000002</v>
      </c>
      <c r="F5427" s="508">
        <v>2.6859999999999999</v>
      </c>
      <c r="G5427" s="508">
        <v>2.597</v>
      </c>
      <c r="H5427" s="508">
        <v>1.0629999999999999</v>
      </c>
      <c r="I5427" s="508">
        <v>1.0640000000000001</v>
      </c>
      <c r="J5427" s="508">
        <v>1.077</v>
      </c>
      <c r="K5427" s="508">
        <v>1.0960000000000001</v>
      </c>
      <c r="L5427" s="508">
        <v>1.081</v>
      </c>
      <c r="M5427" s="508">
        <v>1.099</v>
      </c>
      <c r="N5427" s="508">
        <v>1.1100000000000001</v>
      </c>
      <c r="O5427" s="508">
        <v>1.1020000000000001</v>
      </c>
      <c r="P5427" s="508">
        <v>1.1020000000000001</v>
      </c>
      <c r="Q5427" s="508">
        <v>1.083</v>
      </c>
      <c r="R5427" s="508">
        <v>0.72099999999999997</v>
      </c>
      <c r="S5427" s="508">
        <v>0.71899999999999997</v>
      </c>
      <c r="T5427" s="508">
        <v>0.71499999999999997</v>
      </c>
      <c r="U5427" s="508">
        <v>0.71899999999999997</v>
      </c>
      <c r="V5427" s="508">
        <v>0.68500000000000005</v>
      </c>
      <c r="W5427" s="508">
        <v>0.63</v>
      </c>
      <c r="X5427" s="508">
        <v>0.61399999999999999</v>
      </c>
      <c r="Y5427" s="508">
        <v>0.622</v>
      </c>
      <c r="Z5427" s="508">
        <v>0.628</v>
      </c>
      <c r="AA5427" s="508">
        <v>3.3000000000000002E-2</v>
      </c>
      <c r="AB5427" s="508">
        <v>3.2000000000000001E-2</v>
      </c>
      <c r="AC5427" s="508">
        <v>3.4000000000000002E-2</v>
      </c>
      <c r="AD5427" s="508">
        <v>3.1E-2</v>
      </c>
      <c r="AE5427" s="508">
        <v>3.1E-2</v>
      </c>
      <c r="AF5427" s="508">
        <v>0.02</v>
      </c>
      <c r="AG5427" s="508">
        <v>1.9E-2</v>
      </c>
      <c r="AH5427" s="508">
        <v>1.7999999999999999E-2</v>
      </c>
      <c r="AI5427" s="492">
        <v>1.7999999999999999E-2</v>
      </c>
      <c r="AJ5427" s="485"/>
    </row>
    <row r="5428" spans="2:36">
      <c r="B5428" s="136" t="s">
        <v>488</v>
      </c>
      <c r="C5428" s="132" t="s">
        <v>1363</v>
      </c>
      <c r="D5428" s="132" t="s">
        <v>285</v>
      </c>
      <c r="E5428" s="508">
        <v>2.6339999999999999</v>
      </c>
      <c r="F5428" s="508">
        <v>2.613</v>
      </c>
      <c r="G5428" s="508">
        <v>2.5249999999999999</v>
      </c>
      <c r="H5428" s="508">
        <v>1.0129999999999999</v>
      </c>
      <c r="I5428" s="508">
        <v>1.014</v>
      </c>
      <c r="J5428" s="508">
        <v>1.0249999999999999</v>
      </c>
      <c r="K5428" s="508">
        <v>1.0549999999999999</v>
      </c>
      <c r="L5428" s="508">
        <v>1.0389999999999999</v>
      </c>
      <c r="M5428" s="508">
        <v>1.0580000000000001</v>
      </c>
      <c r="N5428" s="508">
        <v>1.046</v>
      </c>
      <c r="O5428" s="508">
        <v>1.038</v>
      </c>
      <c r="P5428" s="508">
        <v>1.0389999999999999</v>
      </c>
      <c r="Q5428" s="508">
        <v>1.022</v>
      </c>
      <c r="R5428" s="508">
        <v>0.68400000000000005</v>
      </c>
      <c r="S5428" s="508">
        <v>0.68100000000000005</v>
      </c>
      <c r="T5428" s="508">
        <v>0.67800000000000005</v>
      </c>
      <c r="U5428" s="508">
        <v>0.68200000000000005</v>
      </c>
      <c r="V5428" s="508">
        <v>0.65</v>
      </c>
      <c r="W5428" s="508">
        <v>0.59799999999999998</v>
      </c>
      <c r="X5428" s="508">
        <v>0.58299999999999996</v>
      </c>
      <c r="Y5428" s="508">
        <v>0.59099999999999997</v>
      </c>
      <c r="Z5428" s="508">
        <v>0.59599999999999997</v>
      </c>
      <c r="AA5428" s="508">
        <v>3.1E-2</v>
      </c>
      <c r="AB5428" s="508">
        <v>3.1E-2</v>
      </c>
      <c r="AC5428" s="508">
        <v>3.2000000000000001E-2</v>
      </c>
      <c r="AD5428" s="508">
        <v>0.03</v>
      </c>
      <c r="AE5428" s="508">
        <v>2.9000000000000001E-2</v>
      </c>
      <c r="AF5428" s="508">
        <v>1.9E-2</v>
      </c>
      <c r="AG5428" s="508">
        <v>1.7999999999999999E-2</v>
      </c>
      <c r="AH5428" s="508">
        <v>1.7999999999999999E-2</v>
      </c>
      <c r="AI5428" s="492">
        <v>1.7999999999999999E-2</v>
      </c>
      <c r="AJ5428" s="485"/>
    </row>
    <row r="5429" spans="2:36">
      <c r="B5429" s="136" t="s">
        <v>489</v>
      </c>
      <c r="C5429" s="132" t="s">
        <v>1363</v>
      </c>
      <c r="D5429" s="132" t="s">
        <v>285</v>
      </c>
      <c r="E5429" s="508">
        <v>2.6760000000000002</v>
      </c>
      <c r="F5429" s="508">
        <v>2.6539999999999999</v>
      </c>
      <c r="G5429" s="508">
        <v>2.5659999999999998</v>
      </c>
      <c r="H5429" s="508">
        <v>1.038</v>
      </c>
      <c r="I5429" s="508">
        <v>1.0389999999999999</v>
      </c>
      <c r="J5429" s="508">
        <v>1.0509999999999999</v>
      </c>
      <c r="K5429" s="508">
        <v>1.075</v>
      </c>
      <c r="L5429" s="508">
        <v>1.06</v>
      </c>
      <c r="M5429" s="508">
        <v>1.0780000000000001</v>
      </c>
      <c r="N5429" s="508">
        <v>1.075</v>
      </c>
      <c r="O5429" s="508">
        <v>1.0669999999999999</v>
      </c>
      <c r="P5429" s="508">
        <v>1.0669999999999999</v>
      </c>
      <c r="Q5429" s="508">
        <v>1.048</v>
      </c>
      <c r="R5429" s="508">
        <v>0.70399999999999996</v>
      </c>
      <c r="S5429" s="508">
        <v>0.70199999999999996</v>
      </c>
      <c r="T5429" s="508">
        <v>0.69799999999999995</v>
      </c>
      <c r="U5429" s="508">
        <v>0.70199999999999996</v>
      </c>
      <c r="V5429" s="508">
        <v>0.66900000000000004</v>
      </c>
      <c r="W5429" s="508">
        <v>0.61599999999999999</v>
      </c>
      <c r="X5429" s="508">
        <v>0.6</v>
      </c>
      <c r="Y5429" s="508">
        <v>0.60799999999999998</v>
      </c>
      <c r="Z5429" s="508">
        <v>0.61299999999999999</v>
      </c>
      <c r="AA5429" s="508">
        <v>3.2000000000000001E-2</v>
      </c>
      <c r="AB5429" s="508">
        <v>3.1E-2</v>
      </c>
      <c r="AC5429" s="508">
        <v>3.3000000000000002E-2</v>
      </c>
      <c r="AD5429" s="508">
        <v>3.1E-2</v>
      </c>
      <c r="AE5429" s="508">
        <v>0.03</v>
      </c>
      <c r="AF5429" s="508">
        <v>1.9E-2</v>
      </c>
      <c r="AG5429" s="508">
        <v>1.9E-2</v>
      </c>
      <c r="AH5429" s="508">
        <v>1.7999999999999999E-2</v>
      </c>
      <c r="AI5429" s="492">
        <v>1.7999999999999999E-2</v>
      </c>
      <c r="AJ5429" s="485"/>
    </row>
    <row r="5430" spans="2:36">
      <c r="B5430" s="136" t="s">
        <v>490</v>
      </c>
      <c r="C5430" s="132" t="s">
        <v>1363</v>
      </c>
      <c r="D5430" s="132" t="s">
        <v>285</v>
      </c>
      <c r="E5430" s="508">
        <v>2.5910000000000002</v>
      </c>
      <c r="F5430" s="508">
        <v>2.57</v>
      </c>
      <c r="G5430" s="508">
        <v>2.4830000000000001</v>
      </c>
      <c r="H5430" s="508">
        <v>0.99</v>
      </c>
      <c r="I5430" s="508">
        <v>0.99099999999999999</v>
      </c>
      <c r="J5430" s="508">
        <v>1.002</v>
      </c>
      <c r="K5430" s="508">
        <v>1.0369999999999999</v>
      </c>
      <c r="L5430" s="508">
        <v>1.0209999999999999</v>
      </c>
      <c r="M5430" s="508">
        <v>1.0409999999999999</v>
      </c>
      <c r="N5430" s="508">
        <v>1.022</v>
      </c>
      <c r="O5430" s="508">
        <v>1.0149999999999999</v>
      </c>
      <c r="P5430" s="508">
        <v>1.0149999999999999</v>
      </c>
      <c r="Q5430" s="508">
        <v>1</v>
      </c>
      <c r="R5430" s="508">
        <v>0.66400000000000003</v>
      </c>
      <c r="S5430" s="508">
        <v>0.66200000000000003</v>
      </c>
      <c r="T5430" s="508">
        <v>0.65800000000000003</v>
      </c>
      <c r="U5430" s="508">
        <v>0.66200000000000003</v>
      </c>
      <c r="V5430" s="508">
        <v>0.63100000000000001</v>
      </c>
      <c r="W5430" s="508">
        <v>0.57999999999999996</v>
      </c>
      <c r="X5430" s="508">
        <v>0.56599999999999995</v>
      </c>
      <c r="Y5430" s="508">
        <v>0.57299999999999995</v>
      </c>
      <c r="Z5430" s="508">
        <v>0.57799999999999996</v>
      </c>
      <c r="AA5430" s="508">
        <v>3.1E-2</v>
      </c>
      <c r="AB5430" s="508">
        <v>0.03</v>
      </c>
      <c r="AC5430" s="508">
        <v>3.2000000000000001E-2</v>
      </c>
      <c r="AD5430" s="508">
        <v>2.9000000000000001E-2</v>
      </c>
      <c r="AE5430" s="508">
        <v>2.9000000000000001E-2</v>
      </c>
      <c r="AF5430" s="508">
        <v>1.9E-2</v>
      </c>
      <c r="AG5430" s="508">
        <v>1.7999999999999999E-2</v>
      </c>
      <c r="AH5430" s="508">
        <v>1.7000000000000001E-2</v>
      </c>
      <c r="AI5430" s="492">
        <v>1.7000000000000001E-2</v>
      </c>
      <c r="AJ5430" s="485"/>
    </row>
    <row r="5431" spans="2:36">
      <c r="B5431" s="136" t="s">
        <v>435</v>
      </c>
      <c r="C5431" s="132" t="s">
        <v>1364</v>
      </c>
      <c r="D5431" s="132" t="s">
        <v>285</v>
      </c>
      <c r="E5431" s="508">
        <v>0.63300000000000001</v>
      </c>
      <c r="F5431" s="508">
        <v>0.69599999999999995</v>
      </c>
      <c r="G5431" s="508">
        <v>0.32800000000000001</v>
      </c>
      <c r="H5431" s="508">
        <v>0.15</v>
      </c>
      <c r="I5431" s="508">
        <v>0.19400000000000001</v>
      </c>
      <c r="J5431" s="508">
        <v>0.71699999999999997</v>
      </c>
      <c r="K5431" s="508">
        <v>0.374</v>
      </c>
      <c r="L5431" s="508">
        <v>9.2999999999999999E-2</v>
      </c>
      <c r="M5431" s="508">
        <v>0.34899999999999998</v>
      </c>
      <c r="N5431" s="508">
        <v>0.33900000000000002</v>
      </c>
      <c r="O5431" s="508">
        <v>0.47399999999999998</v>
      </c>
      <c r="P5431" s="508">
        <v>0.46500000000000002</v>
      </c>
      <c r="Q5431" s="508">
        <v>0.53600000000000003</v>
      </c>
      <c r="R5431" s="508">
        <v>0.14499999999999999</v>
      </c>
      <c r="S5431" s="508">
        <v>0.28899999999999998</v>
      </c>
      <c r="T5431" s="508">
        <v>0.216</v>
      </c>
      <c r="U5431" s="508">
        <v>0.24399999999999999</v>
      </c>
      <c r="V5431" s="508">
        <v>0.156</v>
      </c>
      <c r="W5431" s="508">
        <v>0.13</v>
      </c>
      <c r="X5431" s="508">
        <v>0.13100000000000001</v>
      </c>
      <c r="Y5431" s="508">
        <v>0.14599999999999999</v>
      </c>
      <c r="Z5431" s="508">
        <v>0.161</v>
      </c>
      <c r="AA5431" s="508">
        <v>1.0999999999999999E-2</v>
      </c>
      <c r="AB5431" s="508">
        <v>1.0999999999999999E-2</v>
      </c>
      <c r="AC5431" s="508">
        <v>0.01</v>
      </c>
      <c r="AD5431" s="508">
        <v>8.0000000000000002E-3</v>
      </c>
      <c r="AE5431" s="508">
        <v>8.9999999999999993E-3</v>
      </c>
      <c r="AF5431" s="508">
        <v>6.0000000000000001E-3</v>
      </c>
      <c r="AG5431" s="508">
        <v>6.0000000000000001E-3</v>
      </c>
      <c r="AH5431" s="508">
        <v>6.0000000000000001E-3</v>
      </c>
      <c r="AI5431" s="492">
        <v>6.0000000000000001E-3</v>
      </c>
      <c r="AJ5431" s="485"/>
    </row>
    <row r="5432" spans="2:36">
      <c r="B5432" s="136" t="s">
        <v>436</v>
      </c>
      <c r="C5432" s="132" t="s">
        <v>1364</v>
      </c>
      <c r="D5432" s="132" t="s">
        <v>285</v>
      </c>
      <c r="E5432" s="508">
        <v>0.628</v>
      </c>
      <c r="F5432" s="508">
        <v>0.69</v>
      </c>
      <c r="G5432" s="508">
        <v>0.32700000000000001</v>
      </c>
      <c r="H5432" s="508">
        <v>0.14899999999999999</v>
      </c>
      <c r="I5432" s="508">
        <v>0.191</v>
      </c>
      <c r="J5432" s="508">
        <v>0.70199999999999996</v>
      </c>
      <c r="K5432" s="508">
        <v>0.36799999999999999</v>
      </c>
      <c r="L5432" s="508">
        <v>9.1999999999999998E-2</v>
      </c>
      <c r="M5432" s="508">
        <v>0.34399999999999997</v>
      </c>
      <c r="N5432" s="508">
        <v>0.32900000000000001</v>
      </c>
      <c r="O5432" s="508">
        <v>0.46</v>
      </c>
      <c r="P5432" s="508">
        <v>0.45100000000000001</v>
      </c>
      <c r="Q5432" s="508">
        <v>0.52</v>
      </c>
      <c r="R5432" s="508">
        <v>0.14299999999999999</v>
      </c>
      <c r="S5432" s="508">
        <v>0.28499999999999998</v>
      </c>
      <c r="T5432" s="508">
        <v>0.21299999999999999</v>
      </c>
      <c r="U5432" s="508">
        <v>0.24</v>
      </c>
      <c r="V5432" s="508">
        <v>0.154</v>
      </c>
      <c r="W5432" s="508">
        <v>0.128</v>
      </c>
      <c r="X5432" s="508">
        <v>0.129</v>
      </c>
      <c r="Y5432" s="508">
        <v>0.14399999999999999</v>
      </c>
      <c r="Z5432" s="508">
        <v>0.159</v>
      </c>
      <c r="AA5432" s="508">
        <v>1.0999999999999999E-2</v>
      </c>
      <c r="AB5432" s="508">
        <v>1.0999999999999999E-2</v>
      </c>
      <c r="AC5432" s="508">
        <v>0.01</v>
      </c>
      <c r="AD5432" s="508">
        <v>8.0000000000000002E-3</v>
      </c>
      <c r="AE5432" s="508">
        <v>8.9999999999999993E-3</v>
      </c>
      <c r="AF5432" s="508">
        <v>6.0000000000000001E-3</v>
      </c>
      <c r="AG5432" s="508">
        <v>6.0000000000000001E-3</v>
      </c>
      <c r="AH5432" s="508">
        <v>6.0000000000000001E-3</v>
      </c>
      <c r="AI5432" s="492">
        <v>6.0000000000000001E-3</v>
      </c>
      <c r="AJ5432" s="485"/>
    </row>
    <row r="5433" spans="2:36">
      <c r="B5433" s="136" t="s">
        <v>437</v>
      </c>
      <c r="C5433" s="132" t="s">
        <v>1364</v>
      </c>
      <c r="D5433" s="132" t="s">
        <v>285</v>
      </c>
      <c r="E5433" s="508">
        <v>0.63700000000000001</v>
      </c>
      <c r="F5433" s="508">
        <v>0.7</v>
      </c>
      <c r="G5433" s="508">
        <v>0.33200000000000002</v>
      </c>
      <c r="H5433" s="508">
        <v>0.153</v>
      </c>
      <c r="I5433" s="508">
        <v>0.19800000000000001</v>
      </c>
      <c r="J5433" s="508">
        <v>0.73099999999999998</v>
      </c>
      <c r="K5433" s="508">
        <v>0.377</v>
      </c>
      <c r="L5433" s="508">
        <v>9.5000000000000001E-2</v>
      </c>
      <c r="M5433" s="508">
        <v>0.35299999999999998</v>
      </c>
      <c r="N5433" s="508">
        <v>0.35199999999999998</v>
      </c>
      <c r="O5433" s="508">
        <v>0.49299999999999999</v>
      </c>
      <c r="P5433" s="508">
        <v>0.48499999999999999</v>
      </c>
      <c r="Q5433" s="508">
        <v>0.55800000000000005</v>
      </c>
      <c r="R5433" s="508">
        <v>0.14799999999999999</v>
      </c>
      <c r="S5433" s="508">
        <v>0.29499999999999998</v>
      </c>
      <c r="T5433" s="508">
        <v>0.221</v>
      </c>
      <c r="U5433" s="508">
        <v>0.249</v>
      </c>
      <c r="V5433" s="508">
        <v>0.16</v>
      </c>
      <c r="W5433" s="508">
        <v>0.13300000000000001</v>
      </c>
      <c r="X5433" s="508">
        <v>0.13300000000000001</v>
      </c>
      <c r="Y5433" s="508">
        <v>0.14899999999999999</v>
      </c>
      <c r="Z5433" s="508">
        <v>0.16500000000000001</v>
      </c>
      <c r="AA5433" s="508">
        <v>1.2E-2</v>
      </c>
      <c r="AB5433" s="508">
        <v>1.2E-2</v>
      </c>
      <c r="AC5433" s="508">
        <v>0.01</v>
      </c>
      <c r="AD5433" s="508">
        <v>8.0000000000000002E-3</v>
      </c>
      <c r="AE5433" s="508">
        <v>0.01</v>
      </c>
      <c r="AF5433" s="508">
        <v>6.0000000000000001E-3</v>
      </c>
      <c r="AG5433" s="508">
        <v>6.0000000000000001E-3</v>
      </c>
      <c r="AH5433" s="508">
        <v>6.0000000000000001E-3</v>
      </c>
      <c r="AI5433" s="492">
        <v>6.0000000000000001E-3</v>
      </c>
      <c r="AJ5433" s="485"/>
    </row>
    <row r="5434" spans="2:36">
      <c r="B5434" s="136" t="s">
        <v>438</v>
      </c>
      <c r="C5434" s="132" t="s">
        <v>1364</v>
      </c>
      <c r="D5434" s="132" t="s">
        <v>285</v>
      </c>
      <c r="E5434" s="508">
        <v>0.623</v>
      </c>
      <c r="F5434" s="508">
        <v>0.68500000000000005</v>
      </c>
      <c r="G5434" s="508">
        <v>0.32500000000000001</v>
      </c>
      <c r="H5434" s="508">
        <v>0.14599999999999999</v>
      </c>
      <c r="I5434" s="508">
        <v>0.188</v>
      </c>
      <c r="J5434" s="508">
        <v>0.68600000000000005</v>
      </c>
      <c r="K5434" s="508">
        <v>0.36299999999999999</v>
      </c>
      <c r="L5434" s="508">
        <v>9.0999999999999998E-2</v>
      </c>
      <c r="M5434" s="508">
        <v>0.34</v>
      </c>
      <c r="N5434" s="508">
        <v>0.317</v>
      </c>
      <c r="O5434" s="508">
        <v>0.442</v>
      </c>
      <c r="P5434" s="508">
        <v>0.434</v>
      </c>
      <c r="Q5434" s="508">
        <v>0.499</v>
      </c>
      <c r="R5434" s="508">
        <v>0.14000000000000001</v>
      </c>
      <c r="S5434" s="508">
        <v>0.27900000000000003</v>
      </c>
      <c r="T5434" s="508">
        <v>0.20899999999999999</v>
      </c>
      <c r="U5434" s="508">
        <v>0.23599999999999999</v>
      </c>
      <c r="V5434" s="508">
        <v>0.151</v>
      </c>
      <c r="W5434" s="508">
        <v>0.126</v>
      </c>
      <c r="X5434" s="508">
        <v>0.126</v>
      </c>
      <c r="Y5434" s="508">
        <v>0.14099999999999999</v>
      </c>
      <c r="Z5434" s="508">
        <v>0.156</v>
      </c>
      <c r="AA5434" s="508">
        <v>1.0999999999999999E-2</v>
      </c>
      <c r="AB5434" s="508">
        <v>1.0999999999999999E-2</v>
      </c>
      <c r="AC5434" s="508">
        <v>0.01</v>
      </c>
      <c r="AD5434" s="508">
        <v>8.0000000000000002E-3</v>
      </c>
      <c r="AE5434" s="508">
        <v>8.9999999999999993E-3</v>
      </c>
      <c r="AF5434" s="508">
        <v>6.0000000000000001E-3</v>
      </c>
      <c r="AG5434" s="508">
        <v>6.0000000000000001E-3</v>
      </c>
      <c r="AH5434" s="508">
        <v>6.0000000000000001E-3</v>
      </c>
      <c r="AI5434" s="492">
        <v>6.0000000000000001E-3</v>
      </c>
      <c r="AJ5434" s="485"/>
    </row>
    <row r="5435" spans="2:36">
      <c r="B5435" s="136" t="s">
        <v>439</v>
      </c>
      <c r="C5435" s="132" t="s">
        <v>1364</v>
      </c>
      <c r="D5435" s="132" t="s">
        <v>285</v>
      </c>
      <c r="E5435" s="508">
        <v>0.63400000000000001</v>
      </c>
      <c r="F5435" s="508">
        <v>0.69699999999999995</v>
      </c>
      <c r="G5435" s="508">
        <v>0.33100000000000002</v>
      </c>
      <c r="H5435" s="508">
        <v>0.152</v>
      </c>
      <c r="I5435" s="508">
        <v>0.19600000000000001</v>
      </c>
      <c r="J5435" s="508">
        <v>0.72099999999999997</v>
      </c>
      <c r="K5435" s="508">
        <v>0.373</v>
      </c>
      <c r="L5435" s="508">
        <v>9.4E-2</v>
      </c>
      <c r="M5435" s="508">
        <v>0.34899999999999998</v>
      </c>
      <c r="N5435" s="508">
        <v>0.34499999999999997</v>
      </c>
      <c r="O5435" s="508">
        <v>0.48299999999999998</v>
      </c>
      <c r="P5435" s="508">
        <v>0.47499999999999998</v>
      </c>
      <c r="Q5435" s="508">
        <v>0.54600000000000004</v>
      </c>
      <c r="R5435" s="508">
        <v>0.14599999999999999</v>
      </c>
      <c r="S5435" s="508">
        <v>0.29099999999999998</v>
      </c>
      <c r="T5435" s="508">
        <v>0.219</v>
      </c>
      <c r="U5435" s="508">
        <v>0.246</v>
      </c>
      <c r="V5435" s="508">
        <v>0.158</v>
      </c>
      <c r="W5435" s="508">
        <v>0.13100000000000001</v>
      </c>
      <c r="X5435" s="508">
        <v>0.13200000000000001</v>
      </c>
      <c r="Y5435" s="508">
        <v>0.14699999999999999</v>
      </c>
      <c r="Z5435" s="508">
        <v>0.16300000000000001</v>
      </c>
      <c r="AA5435" s="508">
        <v>1.2E-2</v>
      </c>
      <c r="AB5435" s="508">
        <v>1.2E-2</v>
      </c>
      <c r="AC5435" s="508">
        <v>0.01</v>
      </c>
      <c r="AD5435" s="508">
        <v>8.0000000000000002E-3</v>
      </c>
      <c r="AE5435" s="508">
        <v>0.01</v>
      </c>
      <c r="AF5435" s="508">
        <v>6.0000000000000001E-3</v>
      </c>
      <c r="AG5435" s="508">
        <v>6.0000000000000001E-3</v>
      </c>
      <c r="AH5435" s="508">
        <v>6.0000000000000001E-3</v>
      </c>
      <c r="AI5435" s="492">
        <v>6.0000000000000001E-3</v>
      </c>
      <c r="AJ5435" s="485"/>
    </row>
    <row r="5436" spans="2:36">
      <c r="B5436" s="136" t="s">
        <v>440</v>
      </c>
      <c r="C5436" s="132" t="s">
        <v>1364</v>
      </c>
      <c r="D5436" s="132" t="s">
        <v>285</v>
      </c>
      <c r="E5436" s="508">
        <v>0.63200000000000001</v>
      </c>
      <c r="F5436" s="508">
        <v>0.69499999999999995</v>
      </c>
      <c r="G5436" s="508">
        <v>0.33</v>
      </c>
      <c r="H5436" s="508">
        <v>0.151</v>
      </c>
      <c r="I5436" s="508">
        <v>0.19500000000000001</v>
      </c>
      <c r="J5436" s="508">
        <v>0.71599999999999997</v>
      </c>
      <c r="K5436" s="508">
        <v>0.372</v>
      </c>
      <c r="L5436" s="508">
        <v>9.4E-2</v>
      </c>
      <c r="M5436" s="508">
        <v>0.34799999999999998</v>
      </c>
      <c r="N5436" s="508">
        <v>0.34</v>
      </c>
      <c r="O5436" s="508">
        <v>0.47599999999999998</v>
      </c>
      <c r="P5436" s="508">
        <v>0.46700000000000003</v>
      </c>
      <c r="Q5436" s="508">
        <v>0.53800000000000003</v>
      </c>
      <c r="R5436" s="508">
        <v>0.14499999999999999</v>
      </c>
      <c r="S5436" s="508">
        <v>0.28899999999999998</v>
      </c>
      <c r="T5436" s="508">
        <v>0.217</v>
      </c>
      <c r="U5436" s="508">
        <v>0.24399999999999999</v>
      </c>
      <c r="V5436" s="508">
        <v>0.157</v>
      </c>
      <c r="W5436" s="508">
        <v>0.13</v>
      </c>
      <c r="X5436" s="508">
        <v>0.13100000000000001</v>
      </c>
      <c r="Y5436" s="508">
        <v>0.14599999999999999</v>
      </c>
      <c r="Z5436" s="508">
        <v>0.16200000000000001</v>
      </c>
      <c r="AA5436" s="508">
        <v>1.0999999999999999E-2</v>
      </c>
      <c r="AB5436" s="508">
        <v>1.0999999999999999E-2</v>
      </c>
      <c r="AC5436" s="508">
        <v>0.01</v>
      </c>
      <c r="AD5436" s="508">
        <v>8.0000000000000002E-3</v>
      </c>
      <c r="AE5436" s="508">
        <v>0.01</v>
      </c>
      <c r="AF5436" s="508">
        <v>6.0000000000000001E-3</v>
      </c>
      <c r="AG5436" s="508">
        <v>6.0000000000000001E-3</v>
      </c>
      <c r="AH5436" s="508">
        <v>6.0000000000000001E-3</v>
      </c>
      <c r="AI5436" s="492">
        <v>6.0000000000000001E-3</v>
      </c>
      <c r="AJ5436" s="485"/>
    </row>
    <row r="5437" spans="2:36">
      <c r="B5437" s="136" t="s">
        <v>441</v>
      </c>
      <c r="C5437" s="132" t="s">
        <v>1364</v>
      </c>
      <c r="D5437" s="132" t="s">
        <v>285</v>
      </c>
      <c r="E5437" s="508">
        <v>0.63300000000000001</v>
      </c>
      <c r="F5437" s="508">
        <v>0.69599999999999995</v>
      </c>
      <c r="G5437" s="508">
        <v>0.33200000000000002</v>
      </c>
      <c r="H5437" s="508">
        <v>0.153</v>
      </c>
      <c r="I5437" s="508">
        <v>0.19600000000000001</v>
      </c>
      <c r="J5437" s="508">
        <v>0.72</v>
      </c>
      <c r="K5437" s="508">
        <v>0.373</v>
      </c>
      <c r="L5437" s="508">
        <v>9.4E-2</v>
      </c>
      <c r="M5437" s="508">
        <v>0.34899999999999998</v>
      </c>
      <c r="N5437" s="508">
        <v>0.34399999999999997</v>
      </c>
      <c r="O5437" s="508">
        <v>0.48299999999999998</v>
      </c>
      <c r="P5437" s="508">
        <v>0.47399999999999998</v>
      </c>
      <c r="Q5437" s="508">
        <v>0.54600000000000004</v>
      </c>
      <c r="R5437" s="508">
        <v>0.14599999999999999</v>
      </c>
      <c r="S5437" s="508">
        <v>0.29099999999999998</v>
      </c>
      <c r="T5437" s="508">
        <v>0.219</v>
      </c>
      <c r="U5437" s="508">
        <v>0.246</v>
      </c>
      <c r="V5437" s="508">
        <v>0.158</v>
      </c>
      <c r="W5437" s="508">
        <v>0.13100000000000001</v>
      </c>
      <c r="X5437" s="508">
        <v>0.13200000000000001</v>
      </c>
      <c r="Y5437" s="508">
        <v>0.14699999999999999</v>
      </c>
      <c r="Z5437" s="508">
        <v>0.16300000000000001</v>
      </c>
      <c r="AA5437" s="508">
        <v>1.2E-2</v>
      </c>
      <c r="AB5437" s="508">
        <v>1.2E-2</v>
      </c>
      <c r="AC5437" s="508">
        <v>0.01</v>
      </c>
      <c r="AD5437" s="508">
        <v>8.0000000000000002E-3</v>
      </c>
      <c r="AE5437" s="508">
        <v>0.01</v>
      </c>
      <c r="AF5437" s="508">
        <v>6.0000000000000001E-3</v>
      </c>
      <c r="AG5437" s="508">
        <v>6.0000000000000001E-3</v>
      </c>
      <c r="AH5437" s="508">
        <v>6.0000000000000001E-3</v>
      </c>
      <c r="AI5437" s="492">
        <v>6.0000000000000001E-3</v>
      </c>
      <c r="AJ5437" s="485"/>
    </row>
    <row r="5438" spans="2:36">
      <c r="B5438" s="136" t="s">
        <v>443</v>
      </c>
      <c r="C5438" s="132" t="s">
        <v>1364</v>
      </c>
      <c r="D5438" s="132" t="s">
        <v>285</v>
      </c>
      <c r="E5438" s="508">
        <v>0.64100000000000001</v>
      </c>
      <c r="F5438" s="508">
        <v>0.70399999999999996</v>
      </c>
      <c r="G5438" s="508">
        <v>0.33100000000000002</v>
      </c>
      <c r="H5438" s="508">
        <v>0.153</v>
      </c>
      <c r="I5438" s="508">
        <v>0.19800000000000001</v>
      </c>
      <c r="J5438" s="508">
        <v>0.73799999999999999</v>
      </c>
      <c r="K5438" s="508">
        <v>0.38100000000000001</v>
      </c>
      <c r="L5438" s="508">
        <v>9.4E-2</v>
      </c>
      <c r="M5438" s="508">
        <v>0.35599999999999998</v>
      </c>
      <c r="N5438" s="508">
        <v>0.35399999999999998</v>
      </c>
      <c r="O5438" s="508">
        <v>0.497</v>
      </c>
      <c r="P5438" s="508">
        <v>0.48799999999999999</v>
      </c>
      <c r="Q5438" s="508">
        <v>0.56299999999999994</v>
      </c>
      <c r="R5438" s="508">
        <v>0.14799999999999999</v>
      </c>
      <c r="S5438" s="508">
        <v>0.29599999999999999</v>
      </c>
      <c r="T5438" s="508">
        <v>0.221</v>
      </c>
      <c r="U5438" s="508">
        <v>0.25</v>
      </c>
      <c r="V5438" s="508">
        <v>0.16</v>
      </c>
      <c r="W5438" s="508">
        <v>0.13300000000000001</v>
      </c>
      <c r="X5438" s="508">
        <v>0.13400000000000001</v>
      </c>
      <c r="Y5438" s="508">
        <v>0.14899999999999999</v>
      </c>
      <c r="Z5438" s="508">
        <v>0.16500000000000001</v>
      </c>
      <c r="AA5438" s="508">
        <v>1.2E-2</v>
      </c>
      <c r="AB5438" s="508">
        <v>1.2E-2</v>
      </c>
      <c r="AC5438" s="508">
        <v>0.01</v>
      </c>
      <c r="AD5438" s="508">
        <v>8.0000000000000002E-3</v>
      </c>
      <c r="AE5438" s="508">
        <v>0.01</v>
      </c>
      <c r="AF5438" s="508">
        <v>6.0000000000000001E-3</v>
      </c>
      <c r="AG5438" s="508">
        <v>6.0000000000000001E-3</v>
      </c>
      <c r="AH5438" s="508">
        <v>6.0000000000000001E-3</v>
      </c>
      <c r="AI5438" s="492">
        <v>6.0000000000000001E-3</v>
      </c>
      <c r="AJ5438" s="485"/>
    </row>
    <row r="5439" spans="2:36">
      <c r="B5439" s="136" t="s">
        <v>445</v>
      </c>
      <c r="C5439" s="132" t="s">
        <v>1364</v>
      </c>
      <c r="D5439" s="132" t="s">
        <v>285</v>
      </c>
      <c r="E5439" s="508">
        <v>0.65900000000000003</v>
      </c>
      <c r="F5439" s="508">
        <v>0.72399999999999998</v>
      </c>
      <c r="G5439" s="508">
        <v>0.34100000000000003</v>
      </c>
      <c r="H5439" s="508">
        <v>0.16300000000000001</v>
      </c>
      <c r="I5439" s="508">
        <v>0.21199999999999999</v>
      </c>
      <c r="J5439" s="508">
        <v>0.79700000000000004</v>
      </c>
      <c r="K5439" s="508">
        <v>0.39800000000000002</v>
      </c>
      <c r="L5439" s="508">
        <v>9.9000000000000005E-2</v>
      </c>
      <c r="M5439" s="508">
        <v>0.373</v>
      </c>
      <c r="N5439" s="508">
        <v>0.39900000000000002</v>
      </c>
      <c r="O5439" s="508">
        <v>0.56299999999999994</v>
      </c>
      <c r="P5439" s="508">
        <v>0.55400000000000005</v>
      </c>
      <c r="Q5439" s="508">
        <v>0.63800000000000001</v>
      </c>
      <c r="R5439" s="508">
        <v>0.157</v>
      </c>
      <c r="S5439" s="508">
        <v>0.316</v>
      </c>
      <c r="T5439" s="508">
        <v>0.23599999999999999</v>
      </c>
      <c r="U5439" s="508">
        <v>0.26700000000000002</v>
      </c>
      <c r="V5439" s="508">
        <v>0.17100000000000001</v>
      </c>
      <c r="W5439" s="508">
        <v>0.14199999999999999</v>
      </c>
      <c r="X5439" s="508">
        <v>0.14299999999999999</v>
      </c>
      <c r="Y5439" s="508">
        <v>0.159</v>
      </c>
      <c r="Z5439" s="508">
        <v>0.17599999999999999</v>
      </c>
      <c r="AA5439" s="508">
        <v>1.2E-2</v>
      </c>
      <c r="AB5439" s="508">
        <v>1.2E-2</v>
      </c>
      <c r="AC5439" s="508">
        <v>1.0999999999999999E-2</v>
      </c>
      <c r="AD5439" s="508">
        <v>8.9999999999999993E-3</v>
      </c>
      <c r="AE5439" s="508">
        <v>0.01</v>
      </c>
      <c r="AF5439" s="508">
        <v>6.0000000000000001E-3</v>
      </c>
      <c r="AG5439" s="508">
        <v>6.0000000000000001E-3</v>
      </c>
      <c r="AH5439" s="508">
        <v>6.0000000000000001E-3</v>
      </c>
      <c r="AI5439" s="492">
        <v>6.0000000000000001E-3</v>
      </c>
      <c r="AJ5439" s="485"/>
    </row>
    <row r="5440" spans="2:36">
      <c r="B5440" s="136" t="s">
        <v>446</v>
      </c>
      <c r="C5440" s="132" t="s">
        <v>1364</v>
      </c>
      <c r="D5440" s="132" t="s">
        <v>285</v>
      </c>
      <c r="E5440" s="508">
        <v>0.64900000000000002</v>
      </c>
      <c r="F5440" s="508">
        <v>0.71299999999999997</v>
      </c>
      <c r="G5440" s="508">
        <v>0.33600000000000002</v>
      </c>
      <c r="H5440" s="508">
        <v>0.158</v>
      </c>
      <c r="I5440" s="508">
        <v>0.20499999999999999</v>
      </c>
      <c r="J5440" s="508">
        <v>0.76700000000000002</v>
      </c>
      <c r="K5440" s="508">
        <v>0.38900000000000001</v>
      </c>
      <c r="L5440" s="508">
        <v>9.7000000000000003E-2</v>
      </c>
      <c r="M5440" s="508">
        <v>0.36399999999999999</v>
      </c>
      <c r="N5440" s="508">
        <v>0.377</v>
      </c>
      <c r="O5440" s="508">
        <v>0.53</v>
      </c>
      <c r="P5440" s="508">
        <v>0.52200000000000002</v>
      </c>
      <c r="Q5440" s="508">
        <v>0.60099999999999998</v>
      </c>
      <c r="R5440" s="508">
        <v>0.153</v>
      </c>
      <c r="S5440" s="508">
        <v>0.30599999999999999</v>
      </c>
      <c r="T5440" s="508">
        <v>0.22900000000000001</v>
      </c>
      <c r="U5440" s="508">
        <v>0.25800000000000001</v>
      </c>
      <c r="V5440" s="508">
        <v>0.16500000000000001</v>
      </c>
      <c r="W5440" s="508">
        <v>0.13800000000000001</v>
      </c>
      <c r="X5440" s="508">
        <v>0.13800000000000001</v>
      </c>
      <c r="Y5440" s="508">
        <v>0.155</v>
      </c>
      <c r="Z5440" s="508">
        <v>0.17100000000000001</v>
      </c>
      <c r="AA5440" s="508">
        <v>1.2E-2</v>
      </c>
      <c r="AB5440" s="508">
        <v>1.2E-2</v>
      </c>
      <c r="AC5440" s="508">
        <v>0.01</v>
      </c>
      <c r="AD5440" s="508">
        <v>8.9999999999999993E-3</v>
      </c>
      <c r="AE5440" s="508">
        <v>0.01</v>
      </c>
      <c r="AF5440" s="508">
        <v>6.0000000000000001E-3</v>
      </c>
      <c r="AG5440" s="508">
        <v>6.0000000000000001E-3</v>
      </c>
      <c r="AH5440" s="508">
        <v>6.0000000000000001E-3</v>
      </c>
      <c r="AI5440" s="492">
        <v>6.0000000000000001E-3</v>
      </c>
      <c r="AJ5440" s="485"/>
    </row>
    <row r="5441" spans="2:36">
      <c r="B5441" s="136" t="s">
        <v>448</v>
      </c>
      <c r="C5441" s="132" t="s">
        <v>1364</v>
      </c>
      <c r="D5441" s="132" t="s">
        <v>285</v>
      </c>
      <c r="E5441" s="508">
        <v>0.627</v>
      </c>
      <c r="F5441" s="508">
        <v>0.69</v>
      </c>
      <c r="G5441" s="508">
        <v>0.32700000000000001</v>
      </c>
      <c r="H5441" s="508">
        <v>0.14799999999999999</v>
      </c>
      <c r="I5441" s="508">
        <v>0.19</v>
      </c>
      <c r="J5441" s="508">
        <v>0.69899999999999995</v>
      </c>
      <c r="K5441" s="508">
        <v>0.36799999999999999</v>
      </c>
      <c r="L5441" s="508">
        <v>9.1999999999999998E-2</v>
      </c>
      <c r="M5441" s="508">
        <v>0.34399999999999997</v>
      </c>
      <c r="N5441" s="508">
        <v>0.32700000000000001</v>
      </c>
      <c r="O5441" s="508">
        <v>0.45600000000000002</v>
      </c>
      <c r="P5441" s="508">
        <v>0.44800000000000001</v>
      </c>
      <c r="Q5441" s="508">
        <v>0.51600000000000001</v>
      </c>
      <c r="R5441" s="508">
        <v>0.14199999999999999</v>
      </c>
      <c r="S5441" s="508">
        <v>0.28399999999999997</v>
      </c>
      <c r="T5441" s="508">
        <v>0.21299999999999999</v>
      </c>
      <c r="U5441" s="508">
        <v>0.23899999999999999</v>
      </c>
      <c r="V5441" s="508">
        <v>0.153</v>
      </c>
      <c r="W5441" s="508">
        <v>0.128</v>
      </c>
      <c r="X5441" s="508">
        <v>0.128</v>
      </c>
      <c r="Y5441" s="508">
        <v>0.14299999999999999</v>
      </c>
      <c r="Z5441" s="508">
        <v>0.158</v>
      </c>
      <c r="AA5441" s="508">
        <v>1.0999999999999999E-2</v>
      </c>
      <c r="AB5441" s="508">
        <v>1.0999999999999999E-2</v>
      </c>
      <c r="AC5441" s="508">
        <v>0.01</v>
      </c>
      <c r="AD5441" s="508">
        <v>8.0000000000000002E-3</v>
      </c>
      <c r="AE5441" s="508">
        <v>8.9999999999999993E-3</v>
      </c>
      <c r="AF5441" s="508">
        <v>6.0000000000000001E-3</v>
      </c>
      <c r="AG5441" s="508">
        <v>6.0000000000000001E-3</v>
      </c>
      <c r="AH5441" s="508">
        <v>6.0000000000000001E-3</v>
      </c>
      <c r="AI5441" s="492">
        <v>6.0000000000000001E-3</v>
      </c>
      <c r="AJ5441" s="485"/>
    </row>
    <row r="5442" spans="2:36">
      <c r="B5442" s="136" t="s">
        <v>449</v>
      </c>
      <c r="C5442" s="132" t="s">
        <v>1364</v>
      </c>
      <c r="D5442" s="132" t="s">
        <v>285</v>
      </c>
      <c r="E5442" s="508">
        <v>0.64300000000000002</v>
      </c>
      <c r="F5442" s="508">
        <v>0.70599999999999996</v>
      </c>
      <c r="G5442" s="508">
        <v>0.33300000000000002</v>
      </c>
      <c r="H5442" s="508">
        <v>0.155</v>
      </c>
      <c r="I5442" s="508">
        <v>0.2</v>
      </c>
      <c r="J5442" s="508">
        <v>0.746</v>
      </c>
      <c r="K5442" s="508">
        <v>0.38300000000000001</v>
      </c>
      <c r="L5442" s="508">
        <v>9.5000000000000001E-2</v>
      </c>
      <c r="M5442" s="508">
        <v>0.35799999999999998</v>
      </c>
      <c r="N5442" s="508">
        <v>0.36099999999999999</v>
      </c>
      <c r="O5442" s="508">
        <v>0.50600000000000001</v>
      </c>
      <c r="P5442" s="508">
        <v>0.498</v>
      </c>
      <c r="Q5442" s="508">
        <v>0.57299999999999995</v>
      </c>
      <c r="R5442" s="508">
        <v>0.14899999999999999</v>
      </c>
      <c r="S5442" s="508">
        <v>0.29799999999999999</v>
      </c>
      <c r="T5442" s="508">
        <v>0.223</v>
      </c>
      <c r="U5442" s="508">
        <v>0.252</v>
      </c>
      <c r="V5442" s="508">
        <v>0.161</v>
      </c>
      <c r="W5442" s="508">
        <v>0.13400000000000001</v>
      </c>
      <c r="X5442" s="508">
        <v>0.13500000000000001</v>
      </c>
      <c r="Y5442" s="508">
        <v>0.151</v>
      </c>
      <c r="Z5442" s="508">
        <v>0.16700000000000001</v>
      </c>
      <c r="AA5442" s="508">
        <v>1.2E-2</v>
      </c>
      <c r="AB5442" s="508">
        <v>1.2E-2</v>
      </c>
      <c r="AC5442" s="508">
        <v>0.01</v>
      </c>
      <c r="AD5442" s="508">
        <v>8.0000000000000002E-3</v>
      </c>
      <c r="AE5442" s="508">
        <v>0.01</v>
      </c>
      <c r="AF5442" s="508">
        <v>6.0000000000000001E-3</v>
      </c>
      <c r="AG5442" s="508">
        <v>6.0000000000000001E-3</v>
      </c>
      <c r="AH5442" s="508">
        <v>6.0000000000000001E-3</v>
      </c>
      <c r="AI5442" s="492">
        <v>6.0000000000000001E-3</v>
      </c>
      <c r="AJ5442" s="485"/>
    </row>
    <row r="5443" spans="2:36">
      <c r="B5443" s="136" t="s">
        <v>450</v>
      </c>
      <c r="C5443" s="132" t="s">
        <v>1364</v>
      </c>
      <c r="D5443" s="132" t="s">
        <v>285</v>
      </c>
      <c r="E5443" s="508">
        <v>0.627</v>
      </c>
      <c r="F5443" s="508">
        <v>0.68899999999999995</v>
      </c>
      <c r="G5443" s="508">
        <v>0.32600000000000001</v>
      </c>
      <c r="H5443" s="508">
        <v>0.14799999999999999</v>
      </c>
      <c r="I5443" s="508">
        <v>0.19</v>
      </c>
      <c r="J5443" s="508">
        <v>0.69899999999999995</v>
      </c>
      <c r="K5443" s="508">
        <v>0.36799999999999999</v>
      </c>
      <c r="L5443" s="508">
        <v>9.1999999999999998E-2</v>
      </c>
      <c r="M5443" s="508">
        <v>0.34399999999999997</v>
      </c>
      <c r="N5443" s="508">
        <v>0.32600000000000001</v>
      </c>
      <c r="O5443" s="508">
        <v>0.45600000000000002</v>
      </c>
      <c r="P5443" s="508">
        <v>0.44800000000000001</v>
      </c>
      <c r="Q5443" s="508">
        <v>0.51600000000000001</v>
      </c>
      <c r="R5443" s="508">
        <v>0.14199999999999999</v>
      </c>
      <c r="S5443" s="508">
        <v>0.28299999999999997</v>
      </c>
      <c r="T5443" s="508">
        <v>0.21199999999999999</v>
      </c>
      <c r="U5443" s="508">
        <v>0.23899999999999999</v>
      </c>
      <c r="V5443" s="508">
        <v>0.153</v>
      </c>
      <c r="W5443" s="508">
        <v>0.128</v>
      </c>
      <c r="X5443" s="508">
        <v>0.128</v>
      </c>
      <c r="Y5443" s="508">
        <v>0.14299999999999999</v>
      </c>
      <c r="Z5443" s="508">
        <v>0.158</v>
      </c>
      <c r="AA5443" s="508">
        <v>1.0999999999999999E-2</v>
      </c>
      <c r="AB5443" s="508">
        <v>1.0999999999999999E-2</v>
      </c>
      <c r="AC5443" s="508">
        <v>0.01</v>
      </c>
      <c r="AD5443" s="508">
        <v>8.0000000000000002E-3</v>
      </c>
      <c r="AE5443" s="508">
        <v>8.9999999999999993E-3</v>
      </c>
      <c r="AF5443" s="508">
        <v>6.0000000000000001E-3</v>
      </c>
      <c r="AG5443" s="508">
        <v>6.0000000000000001E-3</v>
      </c>
      <c r="AH5443" s="508">
        <v>6.0000000000000001E-3</v>
      </c>
      <c r="AI5443" s="492">
        <v>6.0000000000000001E-3</v>
      </c>
      <c r="AJ5443" s="485"/>
    </row>
    <row r="5444" spans="2:36">
      <c r="B5444" s="136" t="s">
        <v>451</v>
      </c>
      <c r="C5444" s="132" t="s">
        <v>1364</v>
      </c>
      <c r="D5444" s="132" t="s">
        <v>285</v>
      </c>
      <c r="E5444" s="508">
        <v>0.64900000000000002</v>
      </c>
      <c r="F5444" s="508">
        <v>0.71399999999999997</v>
      </c>
      <c r="G5444" s="508">
        <v>0.33700000000000002</v>
      </c>
      <c r="H5444" s="508">
        <v>0.159</v>
      </c>
      <c r="I5444" s="508">
        <v>0.20599999999999999</v>
      </c>
      <c r="J5444" s="508">
        <v>0.76900000000000002</v>
      </c>
      <c r="K5444" s="508">
        <v>0.38900000000000001</v>
      </c>
      <c r="L5444" s="508">
        <v>9.7000000000000003E-2</v>
      </c>
      <c r="M5444" s="508">
        <v>0.36399999999999999</v>
      </c>
      <c r="N5444" s="508">
        <v>0.379</v>
      </c>
      <c r="O5444" s="508">
        <v>0.53300000000000003</v>
      </c>
      <c r="P5444" s="508">
        <v>0.52500000000000002</v>
      </c>
      <c r="Q5444" s="508">
        <v>0.60399999999999998</v>
      </c>
      <c r="R5444" s="508">
        <v>0.153</v>
      </c>
      <c r="S5444" s="508">
        <v>0.307</v>
      </c>
      <c r="T5444" s="508">
        <v>0.23</v>
      </c>
      <c r="U5444" s="508">
        <v>0.25900000000000001</v>
      </c>
      <c r="V5444" s="508">
        <v>0.16600000000000001</v>
      </c>
      <c r="W5444" s="508">
        <v>0.13800000000000001</v>
      </c>
      <c r="X5444" s="508">
        <v>0.13900000000000001</v>
      </c>
      <c r="Y5444" s="508">
        <v>0.155</v>
      </c>
      <c r="Z5444" s="508">
        <v>0.17100000000000001</v>
      </c>
      <c r="AA5444" s="508">
        <v>1.2E-2</v>
      </c>
      <c r="AB5444" s="508">
        <v>1.2E-2</v>
      </c>
      <c r="AC5444" s="508">
        <v>0.01</v>
      </c>
      <c r="AD5444" s="508">
        <v>8.9999999999999993E-3</v>
      </c>
      <c r="AE5444" s="508">
        <v>0.01</v>
      </c>
      <c r="AF5444" s="508">
        <v>6.0000000000000001E-3</v>
      </c>
      <c r="AG5444" s="508">
        <v>6.0000000000000001E-3</v>
      </c>
      <c r="AH5444" s="508">
        <v>6.0000000000000001E-3</v>
      </c>
      <c r="AI5444" s="492">
        <v>6.0000000000000001E-3</v>
      </c>
      <c r="AJ5444" s="485"/>
    </row>
    <row r="5445" spans="2:36">
      <c r="B5445" s="136" t="s">
        <v>452</v>
      </c>
      <c r="C5445" s="132" t="s">
        <v>1364</v>
      </c>
      <c r="D5445" s="132" t="s">
        <v>285</v>
      </c>
      <c r="E5445" s="508">
        <v>0.63800000000000001</v>
      </c>
      <c r="F5445" s="508">
        <v>0.70099999999999996</v>
      </c>
      <c r="G5445" s="508">
        <v>0.33100000000000002</v>
      </c>
      <c r="H5445" s="508">
        <v>0.153</v>
      </c>
      <c r="I5445" s="508">
        <v>0.19700000000000001</v>
      </c>
      <c r="J5445" s="508">
        <v>0.73199999999999998</v>
      </c>
      <c r="K5445" s="508">
        <v>0.378</v>
      </c>
      <c r="L5445" s="508">
        <v>9.4E-2</v>
      </c>
      <c r="M5445" s="508">
        <v>0.35399999999999998</v>
      </c>
      <c r="N5445" s="508">
        <v>0.35099999999999998</v>
      </c>
      <c r="O5445" s="508">
        <v>0.49199999999999999</v>
      </c>
      <c r="P5445" s="508">
        <v>0.48299999999999998</v>
      </c>
      <c r="Q5445" s="508">
        <v>0.55700000000000005</v>
      </c>
      <c r="R5445" s="508">
        <v>0.14699999999999999</v>
      </c>
      <c r="S5445" s="508">
        <v>0.29399999999999998</v>
      </c>
      <c r="T5445" s="508">
        <v>0.22</v>
      </c>
      <c r="U5445" s="508">
        <v>0.248</v>
      </c>
      <c r="V5445" s="508">
        <v>0.159</v>
      </c>
      <c r="W5445" s="508">
        <v>0.13200000000000001</v>
      </c>
      <c r="X5445" s="508">
        <v>0.13300000000000001</v>
      </c>
      <c r="Y5445" s="508">
        <v>0.14899999999999999</v>
      </c>
      <c r="Z5445" s="508">
        <v>0.16400000000000001</v>
      </c>
      <c r="AA5445" s="508">
        <v>1.2E-2</v>
      </c>
      <c r="AB5445" s="508">
        <v>1.2E-2</v>
      </c>
      <c r="AC5445" s="508">
        <v>0.01</v>
      </c>
      <c r="AD5445" s="508">
        <v>8.0000000000000002E-3</v>
      </c>
      <c r="AE5445" s="508">
        <v>0.01</v>
      </c>
      <c r="AF5445" s="508">
        <v>6.0000000000000001E-3</v>
      </c>
      <c r="AG5445" s="508">
        <v>6.0000000000000001E-3</v>
      </c>
      <c r="AH5445" s="508">
        <v>6.0000000000000001E-3</v>
      </c>
      <c r="AI5445" s="492">
        <v>6.0000000000000001E-3</v>
      </c>
      <c r="AJ5445" s="485"/>
    </row>
    <row r="5446" spans="2:36">
      <c r="B5446" s="136" t="s">
        <v>453</v>
      </c>
      <c r="C5446" s="132" t="s">
        <v>1364</v>
      </c>
      <c r="D5446" s="132" t="s">
        <v>285</v>
      </c>
      <c r="E5446" s="508">
        <v>0.625</v>
      </c>
      <c r="F5446" s="508">
        <v>0.68700000000000006</v>
      </c>
      <c r="G5446" s="508">
        <v>0.32500000000000001</v>
      </c>
      <c r="H5446" s="508">
        <v>0.14599999999999999</v>
      </c>
      <c r="I5446" s="508">
        <v>0.189</v>
      </c>
      <c r="J5446" s="508">
        <v>0.69199999999999995</v>
      </c>
      <c r="K5446" s="508">
        <v>0.36599999999999999</v>
      </c>
      <c r="L5446" s="508">
        <v>9.0999999999999998E-2</v>
      </c>
      <c r="M5446" s="508">
        <v>0.34200000000000003</v>
      </c>
      <c r="N5446" s="508">
        <v>0.32100000000000001</v>
      </c>
      <c r="O5446" s="508">
        <v>0.44700000000000001</v>
      </c>
      <c r="P5446" s="508">
        <v>0.439</v>
      </c>
      <c r="Q5446" s="508">
        <v>0.50600000000000001</v>
      </c>
      <c r="R5446" s="508">
        <v>0.14099999999999999</v>
      </c>
      <c r="S5446" s="508">
        <v>0.28100000000000003</v>
      </c>
      <c r="T5446" s="508">
        <v>0.21099999999999999</v>
      </c>
      <c r="U5446" s="508">
        <v>0.23699999999999999</v>
      </c>
      <c r="V5446" s="508">
        <v>0.152</v>
      </c>
      <c r="W5446" s="508">
        <v>0.127</v>
      </c>
      <c r="X5446" s="508">
        <v>0.127</v>
      </c>
      <c r="Y5446" s="508">
        <v>0.14199999999999999</v>
      </c>
      <c r="Z5446" s="508">
        <v>0.157</v>
      </c>
      <c r="AA5446" s="508">
        <v>1.0999999999999999E-2</v>
      </c>
      <c r="AB5446" s="508">
        <v>1.0999999999999999E-2</v>
      </c>
      <c r="AC5446" s="508">
        <v>0.01</v>
      </c>
      <c r="AD5446" s="508">
        <v>8.0000000000000002E-3</v>
      </c>
      <c r="AE5446" s="508">
        <v>8.9999999999999993E-3</v>
      </c>
      <c r="AF5446" s="508">
        <v>6.0000000000000001E-3</v>
      </c>
      <c r="AG5446" s="508">
        <v>6.0000000000000001E-3</v>
      </c>
      <c r="AH5446" s="508">
        <v>6.0000000000000001E-3</v>
      </c>
      <c r="AI5446" s="492">
        <v>6.0000000000000001E-3</v>
      </c>
      <c r="AJ5446" s="485"/>
    </row>
    <row r="5447" spans="2:36">
      <c r="B5447" s="136" t="s">
        <v>454</v>
      </c>
      <c r="C5447" s="132" t="s">
        <v>1364</v>
      </c>
      <c r="D5447" s="132" t="s">
        <v>285</v>
      </c>
      <c r="E5447" s="508">
        <v>0.627</v>
      </c>
      <c r="F5447" s="508">
        <v>0.68899999999999995</v>
      </c>
      <c r="G5447" s="508">
        <v>0.32600000000000001</v>
      </c>
      <c r="H5447" s="508">
        <v>0.14799999999999999</v>
      </c>
      <c r="I5447" s="508">
        <v>0.19</v>
      </c>
      <c r="J5447" s="508">
        <v>0.69699999999999995</v>
      </c>
      <c r="K5447" s="508">
        <v>0.36699999999999999</v>
      </c>
      <c r="L5447" s="508">
        <v>9.1999999999999998E-2</v>
      </c>
      <c r="M5447" s="508">
        <v>0.34300000000000003</v>
      </c>
      <c r="N5447" s="508">
        <v>0.32500000000000001</v>
      </c>
      <c r="O5447" s="508">
        <v>0.45400000000000001</v>
      </c>
      <c r="P5447" s="508">
        <v>0.44500000000000001</v>
      </c>
      <c r="Q5447" s="508">
        <v>0.51300000000000001</v>
      </c>
      <c r="R5447" s="508">
        <v>0.14199999999999999</v>
      </c>
      <c r="S5447" s="508">
        <v>0.28299999999999997</v>
      </c>
      <c r="T5447" s="508">
        <v>0.21199999999999999</v>
      </c>
      <c r="U5447" s="508">
        <v>0.23899999999999999</v>
      </c>
      <c r="V5447" s="508">
        <v>0.153</v>
      </c>
      <c r="W5447" s="508">
        <v>0.127</v>
      </c>
      <c r="X5447" s="508">
        <v>0.128</v>
      </c>
      <c r="Y5447" s="508">
        <v>0.14299999999999999</v>
      </c>
      <c r="Z5447" s="508">
        <v>0.158</v>
      </c>
      <c r="AA5447" s="508">
        <v>1.0999999999999999E-2</v>
      </c>
      <c r="AB5447" s="508">
        <v>1.0999999999999999E-2</v>
      </c>
      <c r="AC5447" s="508">
        <v>0.01</v>
      </c>
      <c r="AD5447" s="508">
        <v>8.0000000000000002E-3</v>
      </c>
      <c r="AE5447" s="508">
        <v>8.9999999999999993E-3</v>
      </c>
      <c r="AF5447" s="508">
        <v>6.0000000000000001E-3</v>
      </c>
      <c r="AG5447" s="508">
        <v>6.0000000000000001E-3</v>
      </c>
      <c r="AH5447" s="508">
        <v>6.0000000000000001E-3</v>
      </c>
      <c r="AI5447" s="492">
        <v>6.0000000000000001E-3</v>
      </c>
      <c r="AJ5447" s="485"/>
    </row>
    <row r="5448" spans="2:36">
      <c r="B5448" s="136" t="s">
        <v>455</v>
      </c>
      <c r="C5448" s="132" t="s">
        <v>1364</v>
      </c>
      <c r="D5448" s="132" t="s">
        <v>285</v>
      </c>
      <c r="E5448" s="508">
        <v>0.622</v>
      </c>
      <c r="F5448" s="508">
        <v>0.68400000000000005</v>
      </c>
      <c r="G5448" s="508">
        <v>0.32500000000000001</v>
      </c>
      <c r="H5448" s="508">
        <v>0.14599999999999999</v>
      </c>
      <c r="I5448" s="508">
        <v>0.187</v>
      </c>
      <c r="J5448" s="508">
        <v>0.68400000000000005</v>
      </c>
      <c r="K5448" s="508">
        <v>0.36199999999999999</v>
      </c>
      <c r="L5448" s="508">
        <v>9.0999999999999998E-2</v>
      </c>
      <c r="M5448" s="508">
        <v>0.33900000000000002</v>
      </c>
      <c r="N5448" s="508">
        <v>0.316</v>
      </c>
      <c r="O5448" s="508">
        <v>0.441</v>
      </c>
      <c r="P5448" s="508">
        <v>0.433</v>
      </c>
      <c r="Q5448" s="508">
        <v>0.498</v>
      </c>
      <c r="R5448" s="508">
        <v>0.14000000000000001</v>
      </c>
      <c r="S5448" s="508">
        <v>0.27900000000000003</v>
      </c>
      <c r="T5448" s="508">
        <v>0.20899999999999999</v>
      </c>
      <c r="U5448" s="508">
        <v>0.23499999999999999</v>
      </c>
      <c r="V5448" s="508">
        <v>0.151</v>
      </c>
      <c r="W5448" s="508">
        <v>0.126</v>
      </c>
      <c r="X5448" s="508">
        <v>0.126</v>
      </c>
      <c r="Y5448" s="508">
        <v>0.14099999999999999</v>
      </c>
      <c r="Z5448" s="508">
        <v>0.156</v>
      </c>
      <c r="AA5448" s="508">
        <v>1.0999999999999999E-2</v>
      </c>
      <c r="AB5448" s="508">
        <v>1.0999999999999999E-2</v>
      </c>
      <c r="AC5448" s="508">
        <v>0.01</v>
      </c>
      <c r="AD5448" s="508">
        <v>8.0000000000000002E-3</v>
      </c>
      <c r="AE5448" s="508">
        <v>8.9999999999999993E-3</v>
      </c>
      <c r="AF5448" s="508">
        <v>6.0000000000000001E-3</v>
      </c>
      <c r="AG5448" s="508">
        <v>6.0000000000000001E-3</v>
      </c>
      <c r="AH5448" s="508">
        <v>6.0000000000000001E-3</v>
      </c>
      <c r="AI5448" s="492">
        <v>6.0000000000000001E-3</v>
      </c>
      <c r="AJ5448" s="485"/>
    </row>
    <row r="5449" spans="2:36">
      <c r="B5449" s="136" t="s">
        <v>456</v>
      </c>
      <c r="C5449" s="132" t="s">
        <v>1364</v>
      </c>
      <c r="D5449" s="132" t="s">
        <v>285</v>
      </c>
      <c r="E5449" s="508">
        <v>0.63100000000000001</v>
      </c>
      <c r="F5449" s="508">
        <v>0.69399999999999995</v>
      </c>
      <c r="G5449" s="508">
        <v>0.32800000000000001</v>
      </c>
      <c r="H5449" s="508">
        <v>0.15</v>
      </c>
      <c r="I5449" s="508">
        <v>0.193</v>
      </c>
      <c r="J5449" s="508">
        <v>0.71099999999999997</v>
      </c>
      <c r="K5449" s="508">
        <v>0.371</v>
      </c>
      <c r="L5449" s="508">
        <v>9.2999999999999999E-2</v>
      </c>
      <c r="M5449" s="508">
        <v>0.34699999999999998</v>
      </c>
      <c r="N5449" s="508">
        <v>0.33500000000000002</v>
      </c>
      <c r="O5449" s="508">
        <v>0.46899999999999997</v>
      </c>
      <c r="P5449" s="508">
        <v>0.46100000000000002</v>
      </c>
      <c r="Q5449" s="508">
        <v>0.53100000000000003</v>
      </c>
      <c r="R5449" s="508">
        <v>0.14399999999999999</v>
      </c>
      <c r="S5449" s="508">
        <v>0.28699999999999998</v>
      </c>
      <c r="T5449" s="508">
        <v>0.215</v>
      </c>
      <c r="U5449" s="508">
        <v>0.24299999999999999</v>
      </c>
      <c r="V5449" s="508">
        <v>0.156</v>
      </c>
      <c r="W5449" s="508">
        <v>0.129</v>
      </c>
      <c r="X5449" s="508">
        <v>0.13</v>
      </c>
      <c r="Y5449" s="508">
        <v>0.14499999999999999</v>
      </c>
      <c r="Z5449" s="508">
        <v>0.161</v>
      </c>
      <c r="AA5449" s="508">
        <v>1.0999999999999999E-2</v>
      </c>
      <c r="AB5449" s="508">
        <v>1.0999999999999999E-2</v>
      </c>
      <c r="AC5449" s="508">
        <v>0.01</v>
      </c>
      <c r="AD5449" s="508">
        <v>8.0000000000000002E-3</v>
      </c>
      <c r="AE5449" s="508">
        <v>8.9999999999999993E-3</v>
      </c>
      <c r="AF5449" s="508">
        <v>6.0000000000000001E-3</v>
      </c>
      <c r="AG5449" s="508">
        <v>6.0000000000000001E-3</v>
      </c>
      <c r="AH5449" s="508">
        <v>6.0000000000000001E-3</v>
      </c>
      <c r="AI5449" s="492">
        <v>6.0000000000000001E-3</v>
      </c>
      <c r="AJ5449" s="485"/>
    </row>
    <row r="5450" spans="2:36">
      <c r="B5450" s="136" t="s">
        <v>457</v>
      </c>
      <c r="C5450" s="132" t="s">
        <v>1364</v>
      </c>
      <c r="D5450" s="132" t="s">
        <v>285</v>
      </c>
      <c r="E5450" s="508">
        <v>0.61799999999999999</v>
      </c>
      <c r="F5450" s="508">
        <v>0.67900000000000005</v>
      </c>
      <c r="G5450" s="508">
        <v>0.32100000000000001</v>
      </c>
      <c r="H5450" s="508">
        <v>0.14299999999999999</v>
      </c>
      <c r="I5450" s="508">
        <v>0.183</v>
      </c>
      <c r="J5450" s="508">
        <v>0.66900000000000004</v>
      </c>
      <c r="K5450" s="508">
        <v>0.35899999999999999</v>
      </c>
      <c r="L5450" s="508">
        <v>8.8999999999999996E-2</v>
      </c>
      <c r="M5450" s="508">
        <v>0.33500000000000002</v>
      </c>
      <c r="N5450" s="508">
        <v>0.30299999999999999</v>
      </c>
      <c r="O5450" s="508">
        <v>0.42099999999999999</v>
      </c>
      <c r="P5450" s="508">
        <v>0.41299999999999998</v>
      </c>
      <c r="Q5450" s="508">
        <v>0.47599999999999998</v>
      </c>
      <c r="R5450" s="508">
        <v>0.13700000000000001</v>
      </c>
      <c r="S5450" s="508">
        <v>0.27300000000000002</v>
      </c>
      <c r="T5450" s="508">
        <v>0.20499999999999999</v>
      </c>
      <c r="U5450" s="508">
        <v>0.23</v>
      </c>
      <c r="V5450" s="508">
        <v>0.14799999999999999</v>
      </c>
      <c r="W5450" s="508">
        <v>0.123</v>
      </c>
      <c r="X5450" s="508">
        <v>0.124</v>
      </c>
      <c r="Y5450" s="508">
        <v>0.13800000000000001</v>
      </c>
      <c r="Z5450" s="508">
        <v>0.153</v>
      </c>
      <c r="AA5450" s="508">
        <v>1.0999999999999999E-2</v>
      </c>
      <c r="AB5450" s="508">
        <v>1.0999999999999999E-2</v>
      </c>
      <c r="AC5450" s="508">
        <v>8.9999999999999993E-3</v>
      </c>
      <c r="AD5450" s="508">
        <v>8.0000000000000002E-3</v>
      </c>
      <c r="AE5450" s="508">
        <v>8.9999999999999993E-3</v>
      </c>
      <c r="AF5450" s="508">
        <v>5.0000000000000001E-3</v>
      </c>
      <c r="AG5450" s="508">
        <v>5.0000000000000001E-3</v>
      </c>
      <c r="AH5450" s="508">
        <v>5.0000000000000001E-3</v>
      </c>
      <c r="AI5450" s="492">
        <v>5.0000000000000001E-3</v>
      </c>
      <c r="AJ5450" s="485"/>
    </row>
    <row r="5451" spans="2:36">
      <c r="B5451" s="136" t="s">
        <v>458</v>
      </c>
      <c r="C5451" s="132" t="s">
        <v>1364</v>
      </c>
      <c r="D5451" s="132" t="s">
        <v>285</v>
      </c>
      <c r="E5451" s="508">
        <v>0.63100000000000001</v>
      </c>
      <c r="F5451" s="508">
        <v>0.69399999999999995</v>
      </c>
      <c r="G5451" s="508">
        <v>0.33</v>
      </c>
      <c r="H5451" s="508">
        <v>0.151</v>
      </c>
      <c r="I5451" s="508">
        <v>0.19400000000000001</v>
      </c>
      <c r="J5451" s="508">
        <v>0.71199999999999997</v>
      </c>
      <c r="K5451" s="508">
        <v>0.371</v>
      </c>
      <c r="L5451" s="508">
        <v>9.4E-2</v>
      </c>
      <c r="M5451" s="508">
        <v>0.34699999999999998</v>
      </c>
      <c r="N5451" s="508">
        <v>0.33800000000000002</v>
      </c>
      <c r="O5451" s="508">
        <v>0.47299999999999998</v>
      </c>
      <c r="P5451" s="508">
        <v>0.46400000000000002</v>
      </c>
      <c r="Q5451" s="508">
        <v>0.53500000000000003</v>
      </c>
      <c r="R5451" s="508">
        <v>0.14499999999999999</v>
      </c>
      <c r="S5451" s="508">
        <v>0.28799999999999998</v>
      </c>
      <c r="T5451" s="508">
        <v>0.216</v>
      </c>
      <c r="U5451" s="508">
        <v>0.24299999999999999</v>
      </c>
      <c r="V5451" s="508">
        <v>0.156</v>
      </c>
      <c r="W5451" s="508">
        <v>0.13</v>
      </c>
      <c r="X5451" s="508">
        <v>0.13</v>
      </c>
      <c r="Y5451" s="508">
        <v>0.14599999999999999</v>
      </c>
      <c r="Z5451" s="508">
        <v>0.161</v>
      </c>
      <c r="AA5451" s="508">
        <v>1.0999999999999999E-2</v>
      </c>
      <c r="AB5451" s="508">
        <v>1.0999999999999999E-2</v>
      </c>
      <c r="AC5451" s="508">
        <v>0.01</v>
      </c>
      <c r="AD5451" s="508">
        <v>8.0000000000000002E-3</v>
      </c>
      <c r="AE5451" s="508">
        <v>0.01</v>
      </c>
      <c r="AF5451" s="508">
        <v>6.0000000000000001E-3</v>
      </c>
      <c r="AG5451" s="508">
        <v>6.0000000000000001E-3</v>
      </c>
      <c r="AH5451" s="508">
        <v>6.0000000000000001E-3</v>
      </c>
      <c r="AI5451" s="492">
        <v>6.0000000000000001E-3</v>
      </c>
      <c r="AJ5451" s="485"/>
    </row>
    <row r="5452" spans="2:36">
      <c r="B5452" s="136" t="s">
        <v>459</v>
      </c>
      <c r="C5452" s="132" t="s">
        <v>1364</v>
      </c>
      <c r="D5452" s="132" t="s">
        <v>285</v>
      </c>
      <c r="E5452" s="508">
        <v>0.63100000000000001</v>
      </c>
      <c r="F5452" s="508">
        <v>0.69399999999999995</v>
      </c>
      <c r="G5452" s="508">
        <v>0.33</v>
      </c>
      <c r="H5452" s="508">
        <v>0.151</v>
      </c>
      <c r="I5452" s="508">
        <v>0.19400000000000001</v>
      </c>
      <c r="J5452" s="508">
        <v>0.71199999999999997</v>
      </c>
      <c r="K5452" s="508">
        <v>0.371</v>
      </c>
      <c r="L5452" s="508">
        <v>9.4E-2</v>
      </c>
      <c r="M5452" s="508">
        <v>0.34699999999999998</v>
      </c>
      <c r="N5452" s="508">
        <v>0.33800000000000002</v>
      </c>
      <c r="O5452" s="508">
        <v>0.47299999999999998</v>
      </c>
      <c r="P5452" s="508">
        <v>0.46500000000000002</v>
      </c>
      <c r="Q5452" s="508">
        <v>0.53500000000000003</v>
      </c>
      <c r="R5452" s="508">
        <v>0.14499999999999999</v>
      </c>
      <c r="S5452" s="508">
        <v>0.28799999999999998</v>
      </c>
      <c r="T5452" s="508">
        <v>0.216</v>
      </c>
      <c r="U5452" s="508">
        <v>0.24299999999999999</v>
      </c>
      <c r="V5452" s="508">
        <v>0.156</v>
      </c>
      <c r="W5452" s="508">
        <v>0.13</v>
      </c>
      <c r="X5452" s="508">
        <v>0.13</v>
      </c>
      <c r="Y5452" s="508">
        <v>0.14599999999999999</v>
      </c>
      <c r="Z5452" s="508">
        <v>0.161</v>
      </c>
      <c r="AA5452" s="508">
        <v>1.0999999999999999E-2</v>
      </c>
      <c r="AB5452" s="508">
        <v>1.0999999999999999E-2</v>
      </c>
      <c r="AC5452" s="508">
        <v>0.01</v>
      </c>
      <c r="AD5452" s="508">
        <v>8.0000000000000002E-3</v>
      </c>
      <c r="AE5452" s="508">
        <v>0.01</v>
      </c>
      <c r="AF5452" s="508">
        <v>6.0000000000000001E-3</v>
      </c>
      <c r="AG5452" s="508">
        <v>6.0000000000000001E-3</v>
      </c>
      <c r="AH5452" s="508">
        <v>6.0000000000000001E-3</v>
      </c>
      <c r="AI5452" s="492">
        <v>6.0000000000000001E-3</v>
      </c>
      <c r="AJ5452" s="485"/>
    </row>
    <row r="5453" spans="2:36">
      <c r="B5453" s="136" t="s">
        <v>460</v>
      </c>
      <c r="C5453" s="132" t="s">
        <v>1364</v>
      </c>
      <c r="D5453" s="132" t="s">
        <v>285</v>
      </c>
      <c r="E5453" s="508">
        <v>0.63400000000000001</v>
      </c>
      <c r="F5453" s="508">
        <v>0.69699999999999995</v>
      </c>
      <c r="G5453" s="508">
        <v>0.33</v>
      </c>
      <c r="H5453" s="508">
        <v>0.152</v>
      </c>
      <c r="I5453" s="508">
        <v>0.19500000000000001</v>
      </c>
      <c r="J5453" s="508">
        <v>0.72099999999999997</v>
      </c>
      <c r="K5453" s="508">
        <v>0.374</v>
      </c>
      <c r="L5453" s="508">
        <v>9.4E-2</v>
      </c>
      <c r="M5453" s="508">
        <v>0.35</v>
      </c>
      <c r="N5453" s="508">
        <v>0.34300000000000003</v>
      </c>
      <c r="O5453" s="508">
        <v>0.48099999999999998</v>
      </c>
      <c r="P5453" s="508">
        <v>0.47299999999999998</v>
      </c>
      <c r="Q5453" s="508">
        <v>0.54400000000000004</v>
      </c>
      <c r="R5453" s="508">
        <v>0.14599999999999999</v>
      </c>
      <c r="S5453" s="508">
        <v>0.29099999999999998</v>
      </c>
      <c r="T5453" s="508">
        <v>0.218</v>
      </c>
      <c r="U5453" s="508">
        <v>0.246</v>
      </c>
      <c r="V5453" s="508">
        <v>0.157</v>
      </c>
      <c r="W5453" s="508">
        <v>0.13100000000000001</v>
      </c>
      <c r="X5453" s="508">
        <v>0.13200000000000001</v>
      </c>
      <c r="Y5453" s="508">
        <v>0.14699999999999999</v>
      </c>
      <c r="Z5453" s="508">
        <v>0.16300000000000001</v>
      </c>
      <c r="AA5453" s="508">
        <v>1.2E-2</v>
      </c>
      <c r="AB5453" s="508">
        <v>1.0999999999999999E-2</v>
      </c>
      <c r="AC5453" s="508">
        <v>0.01</v>
      </c>
      <c r="AD5453" s="508">
        <v>8.0000000000000002E-3</v>
      </c>
      <c r="AE5453" s="508">
        <v>0.01</v>
      </c>
      <c r="AF5453" s="508">
        <v>6.0000000000000001E-3</v>
      </c>
      <c r="AG5453" s="508">
        <v>6.0000000000000001E-3</v>
      </c>
      <c r="AH5453" s="508">
        <v>6.0000000000000001E-3</v>
      </c>
      <c r="AI5453" s="492">
        <v>6.0000000000000001E-3</v>
      </c>
      <c r="AJ5453" s="485"/>
    </row>
    <row r="5454" spans="2:36">
      <c r="B5454" s="136" t="s">
        <v>461</v>
      </c>
      <c r="C5454" s="132" t="s">
        <v>1364</v>
      </c>
      <c r="D5454" s="132" t="s">
        <v>285</v>
      </c>
      <c r="E5454" s="508">
        <v>0.629</v>
      </c>
      <c r="F5454" s="508">
        <v>0.69199999999999995</v>
      </c>
      <c r="G5454" s="508">
        <v>0.32700000000000001</v>
      </c>
      <c r="H5454" s="508">
        <v>0.14899999999999999</v>
      </c>
      <c r="I5454" s="508">
        <v>0.191</v>
      </c>
      <c r="J5454" s="508">
        <v>0.70399999999999996</v>
      </c>
      <c r="K5454" s="508">
        <v>0.36899999999999999</v>
      </c>
      <c r="L5454" s="508">
        <v>9.1999999999999998E-2</v>
      </c>
      <c r="M5454" s="508">
        <v>0.34499999999999997</v>
      </c>
      <c r="N5454" s="508">
        <v>0.33</v>
      </c>
      <c r="O5454" s="508">
        <v>0.46100000000000002</v>
      </c>
      <c r="P5454" s="508">
        <v>0.45300000000000001</v>
      </c>
      <c r="Q5454" s="508">
        <v>0.52200000000000002</v>
      </c>
      <c r="R5454" s="508">
        <v>0.14299999999999999</v>
      </c>
      <c r="S5454" s="508">
        <v>0.28499999999999998</v>
      </c>
      <c r="T5454" s="508">
        <v>0.21299999999999999</v>
      </c>
      <c r="U5454" s="508">
        <v>0.24</v>
      </c>
      <c r="V5454" s="508">
        <v>0.154</v>
      </c>
      <c r="W5454" s="508">
        <v>0.128</v>
      </c>
      <c r="X5454" s="508">
        <v>0.129</v>
      </c>
      <c r="Y5454" s="508">
        <v>0.14399999999999999</v>
      </c>
      <c r="Z5454" s="508">
        <v>0.159</v>
      </c>
      <c r="AA5454" s="508">
        <v>1.0999999999999999E-2</v>
      </c>
      <c r="AB5454" s="508">
        <v>1.0999999999999999E-2</v>
      </c>
      <c r="AC5454" s="508">
        <v>0.01</v>
      </c>
      <c r="AD5454" s="508">
        <v>8.0000000000000002E-3</v>
      </c>
      <c r="AE5454" s="508">
        <v>8.9999999999999993E-3</v>
      </c>
      <c r="AF5454" s="508">
        <v>6.0000000000000001E-3</v>
      </c>
      <c r="AG5454" s="508">
        <v>6.0000000000000001E-3</v>
      </c>
      <c r="AH5454" s="508">
        <v>6.0000000000000001E-3</v>
      </c>
      <c r="AI5454" s="492">
        <v>6.0000000000000001E-3</v>
      </c>
      <c r="AJ5454" s="485"/>
    </row>
    <row r="5455" spans="2:36">
      <c r="B5455" s="136" t="s">
        <v>462</v>
      </c>
      <c r="C5455" s="132" t="s">
        <v>1364</v>
      </c>
      <c r="D5455" s="132" t="s">
        <v>285</v>
      </c>
      <c r="E5455" s="508">
        <v>0.627</v>
      </c>
      <c r="F5455" s="508">
        <v>0.68899999999999995</v>
      </c>
      <c r="G5455" s="508">
        <v>0.32500000000000001</v>
      </c>
      <c r="H5455" s="508">
        <v>0.14699999999999999</v>
      </c>
      <c r="I5455" s="508">
        <v>0.189</v>
      </c>
      <c r="J5455" s="508">
        <v>0.69599999999999995</v>
      </c>
      <c r="K5455" s="508">
        <v>0.36699999999999999</v>
      </c>
      <c r="L5455" s="508">
        <v>9.0999999999999998E-2</v>
      </c>
      <c r="M5455" s="508">
        <v>0.34399999999999997</v>
      </c>
      <c r="N5455" s="508">
        <v>0.32200000000000001</v>
      </c>
      <c r="O5455" s="508">
        <v>0.45</v>
      </c>
      <c r="P5455" s="508">
        <v>0.442</v>
      </c>
      <c r="Q5455" s="508">
        <v>0.50900000000000001</v>
      </c>
      <c r="R5455" s="508">
        <v>0.14099999999999999</v>
      </c>
      <c r="S5455" s="508">
        <v>0.28199999999999997</v>
      </c>
      <c r="T5455" s="508">
        <v>0.21099999999999999</v>
      </c>
      <c r="U5455" s="508">
        <v>0.23799999999999999</v>
      </c>
      <c r="V5455" s="508">
        <v>0.152</v>
      </c>
      <c r="W5455" s="508">
        <v>0.127</v>
      </c>
      <c r="X5455" s="508">
        <v>0.127</v>
      </c>
      <c r="Y5455" s="508">
        <v>0.14199999999999999</v>
      </c>
      <c r="Z5455" s="508">
        <v>0.157</v>
      </c>
      <c r="AA5455" s="508">
        <v>1.0999999999999999E-2</v>
      </c>
      <c r="AB5455" s="508">
        <v>1.0999999999999999E-2</v>
      </c>
      <c r="AC5455" s="508">
        <v>0.01</v>
      </c>
      <c r="AD5455" s="508">
        <v>8.0000000000000002E-3</v>
      </c>
      <c r="AE5455" s="508">
        <v>8.9999999999999993E-3</v>
      </c>
      <c r="AF5455" s="508">
        <v>6.0000000000000001E-3</v>
      </c>
      <c r="AG5455" s="508">
        <v>6.0000000000000001E-3</v>
      </c>
      <c r="AH5455" s="508">
        <v>6.0000000000000001E-3</v>
      </c>
      <c r="AI5455" s="492">
        <v>6.0000000000000001E-3</v>
      </c>
      <c r="AJ5455" s="485"/>
    </row>
    <row r="5456" spans="2:36">
      <c r="B5456" s="136" t="s">
        <v>463</v>
      </c>
      <c r="C5456" s="132" t="s">
        <v>1364</v>
      </c>
      <c r="D5456" s="132" t="s">
        <v>285</v>
      </c>
      <c r="E5456" s="508">
        <v>0.61799999999999999</v>
      </c>
      <c r="F5456" s="508">
        <v>0.68</v>
      </c>
      <c r="G5456" s="508">
        <v>0.32400000000000001</v>
      </c>
      <c r="H5456" s="508">
        <v>0.14499999999999999</v>
      </c>
      <c r="I5456" s="508">
        <v>0.185</v>
      </c>
      <c r="J5456" s="508">
        <v>0.67300000000000004</v>
      </c>
      <c r="K5456" s="508">
        <v>0.35899999999999999</v>
      </c>
      <c r="L5456" s="508">
        <v>0.09</v>
      </c>
      <c r="M5456" s="508">
        <v>0.33500000000000002</v>
      </c>
      <c r="N5456" s="508">
        <v>0.308</v>
      </c>
      <c r="O5456" s="508">
        <v>0.42899999999999999</v>
      </c>
      <c r="P5456" s="508">
        <v>0.42099999999999999</v>
      </c>
      <c r="Q5456" s="508">
        <v>0.48499999999999999</v>
      </c>
      <c r="R5456" s="508">
        <v>0.13900000000000001</v>
      </c>
      <c r="S5456" s="508">
        <v>0.27500000000000002</v>
      </c>
      <c r="T5456" s="508">
        <v>0.20699999999999999</v>
      </c>
      <c r="U5456" s="508">
        <v>0.23200000000000001</v>
      </c>
      <c r="V5456" s="508">
        <v>0.14899999999999999</v>
      </c>
      <c r="W5456" s="508">
        <v>0.124</v>
      </c>
      <c r="X5456" s="508">
        <v>0.125</v>
      </c>
      <c r="Y5456" s="508">
        <v>0.13900000000000001</v>
      </c>
      <c r="Z5456" s="508">
        <v>0.154</v>
      </c>
      <c r="AA5456" s="508">
        <v>1.0999999999999999E-2</v>
      </c>
      <c r="AB5456" s="508">
        <v>1.0999999999999999E-2</v>
      </c>
      <c r="AC5456" s="508">
        <v>0.01</v>
      </c>
      <c r="AD5456" s="508">
        <v>8.0000000000000002E-3</v>
      </c>
      <c r="AE5456" s="508">
        <v>8.9999999999999993E-3</v>
      </c>
      <c r="AF5456" s="508">
        <v>6.0000000000000001E-3</v>
      </c>
      <c r="AG5456" s="508">
        <v>6.0000000000000001E-3</v>
      </c>
      <c r="AH5456" s="508">
        <v>6.0000000000000001E-3</v>
      </c>
      <c r="AI5456" s="492">
        <v>6.0000000000000001E-3</v>
      </c>
      <c r="AJ5456" s="485"/>
    </row>
    <row r="5457" spans="2:36">
      <c r="B5457" s="136" t="s">
        <v>464</v>
      </c>
      <c r="C5457" s="132" t="s">
        <v>1364</v>
      </c>
      <c r="D5457" s="132" t="s">
        <v>285</v>
      </c>
      <c r="E5457" s="508">
        <v>0.61799999999999999</v>
      </c>
      <c r="F5457" s="508">
        <v>0.68</v>
      </c>
      <c r="G5457" s="508">
        <v>0.32200000000000001</v>
      </c>
      <c r="H5457" s="508">
        <v>0.14299999999999999</v>
      </c>
      <c r="I5457" s="508">
        <v>0.184</v>
      </c>
      <c r="J5457" s="508">
        <v>0.67100000000000004</v>
      </c>
      <c r="K5457" s="508">
        <v>0.35899999999999999</v>
      </c>
      <c r="L5457" s="508">
        <v>8.8999999999999996E-2</v>
      </c>
      <c r="M5457" s="508">
        <v>0.33600000000000002</v>
      </c>
      <c r="N5457" s="508">
        <v>0.30499999999999999</v>
      </c>
      <c r="O5457" s="508">
        <v>0.42399999999999999</v>
      </c>
      <c r="P5457" s="508">
        <v>0.41599999999999998</v>
      </c>
      <c r="Q5457" s="508">
        <v>0.47899999999999998</v>
      </c>
      <c r="R5457" s="508">
        <v>0.13800000000000001</v>
      </c>
      <c r="S5457" s="508">
        <v>0.27400000000000002</v>
      </c>
      <c r="T5457" s="508">
        <v>0.20499999999999999</v>
      </c>
      <c r="U5457" s="508">
        <v>0.23100000000000001</v>
      </c>
      <c r="V5457" s="508">
        <v>0.14799999999999999</v>
      </c>
      <c r="W5457" s="508">
        <v>0.123</v>
      </c>
      <c r="X5457" s="508">
        <v>0.124</v>
      </c>
      <c r="Y5457" s="508">
        <v>0.13900000000000001</v>
      </c>
      <c r="Z5457" s="508">
        <v>0.153</v>
      </c>
      <c r="AA5457" s="508">
        <v>1.0999999999999999E-2</v>
      </c>
      <c r="AB5457" s="508">
        <v>1.0999999999999999E-2</v>
      </c>
      <c r="AC5457" s="508">
        <v>8.9999999999999993E-3</v>
      </c>
      <c r="AD5457" s="508">
        <v>8.0000000000000002E-3</v>
      </c>
      <c r="AE5457" s="508">
        <v>8.9999999999999993E-3</v>
      </c>
      <c r="AF5457" s="508">
        <v>6.0000000000000001E-3</v>
      </c>
      <c r="AG5457" s="508">
        <v>6.0000000000000001E-3</v>
      </c>
      <c r="AH5457" s="508">
        <v>6.0000000000000001E-3</v>
      </c>
      <c r="AI5457" s="492">
        <v>5.0000000000000001E-3</v>
      </c>
      <c r="AJ5457" s="485"/>
    </row>
    <row r="5458" spans="2:36">
      <c r="B5458" s="136" t="s">
        <v>465</v>
      </c>
      <c r="C5458" s="132" t="s">
        <v>1364</v>
      </c>
      <c r="D5458" s="132" t="s">
        <v>285</v>
      </c>
      <c r="E5458" s="508">
        <v>0.623</v>
      </c>
      <c r="F5458" s="508">
        <v>0.68500000000000005</v>
      </c>
      <c r="G5458" s="508">
        <v>0.32500000000000001</v>
      </c>
      <c r="H5458" s="508">
        <v>0.14599999999999999</v>
      </c>
      <c r="I5458" s="508">
        <v>0.188</v>
      </c>
      <c r="J5458" s="508">
        <v>0.68600000000000005</v>
      </c>
      <c r="K5458" s="508">
        <v>0.36299999999999999</v>
      </c>
      <c r="L5458" s="508">
        <v>9.0999999999999998E-2</v>
      </c>
      <c r="M5458" s="508">
        <v>0.34</v>
      </c>
      <c r="N5458" s="508">
        <v>0.318</v>
      </c>
      <c r="O5458" s="508">
        <v>0.443</v>
      </c>
      <c r="P5458" s="508">
        <v>0.435</v>
      </c>
      <c r="Q5458" s="508">
        <v>0.501</v>
      </c>
      <c r="R5458" s="508">
        <v>0.14099999999999999</v>
      </c>
      <c r="S5458" s="508">
        <v>0.28000000000000003</v>
      </c>
      <c r="T5458" s="508">
        <v>0.21</v>
      </c>
      <c r="U5458" s="508">
        <v>0.23599999999999999</v>
      </c>
      <c r="V5458" s="508">
        <v>0.151</v>
      </c>
      <c r="W5458" s="508">
        <v>0.126</v>
      </c>
      <c r="X5458" s="508">
        <v>0.127</v>
      </c>
      <c r="Y5458" s="508">
        <v>0.14099999999999999</v>
      </c>
      <c r="Z5458" s="508">
        <v>0.156</v>
      </c>
      <c r="AA5458" s="508">
        <v>1.0999999999999999E-2</v>
      </c>
      <c r="AB5458" s="508">
        <v>1.0999999999999999E-2</v>
      </c>
      <c r="AC5458" s="508">
        <v>0.01</v>
      </c>
      <c r="AD5458" s="508">
        <v>8.0000000000000002E-3</v>
      </c>
      <c r="AE5458" s="508">
        <v>8.9999999999999993E-3</v>
      </c>
      <c r="AF5458" s="508">
        <v>6.0000000000000001E-3</v>
      </c>
      <c r="AG5458" s="508">
        <v>6.0000000000000001E-3</v>
      </c>
      <c r="AH5458" s="508">
        <v>6.0000000000000001E-3</v>
      </c>
      <c r="AI5458" s="492">
        <v>6.0000000000000001E-3</v>
      </c>
      <c r="AJ5458" s="485"/>
    </row>
    <row r="5459" spans="2:36">
      <c r="B5459" s="136" t="s">
        <v>466</v>
      </c>
      <c r="C5459" s="132" t="s">
        <v>1364</v>
      </c>
      <c r="D5459" s="132" t="s">
        <v>285</v>
      </c>
      <c r="E5459" s="508">
        <v>0.64400000000000002</v>
      </c>
      <c r="F5459" s="508">
        <v>0.70699999999999996</v>
      </c>
      <c r="G5459" s="508">
        <v>0.33400000000000002</v>
      </c>
      <c r="H5459" s="508">
        <v>0.156</v>
      </c>
      <c r="I5459" s="508">
        <v>0.20200000000000001</v>
      </c>
      <c r="J5459" s="508">
        <v>0.751</v>
      </c>
      <c r="K5459" s="508">
        <v>0.38400000000000001</v>
      </c>
      <c r="L5459" s="508">
        <v>9.6000000000000002E-2</v>
      </c>
      <c r="M5459" s="508">
        <v>0.35899999999999999</v>
      </c>
      <c r="N5459" s="508">
        <v>0.36499999999999999</v>
      </c>
      <c r="O5459" s="508">
        <v>0.51300000000000001</v>
      </c>
      <c r="P5459" s="508">
        <v>0.505</v>
      </c>
      <c r="Q5459" s="508">
        <v>0.58099999999999996</v>
      </c>
      <c r="R5459" s="508">
        <v>0.15</v>
      </c>
      <c r="S5459" s="508">
        <v>0.30099999999999999</v>
      </c>
      <c r="T5459" s="508">
        <v>0.22500000000000001</v>
      </c>
      <c r="U5459" s="508">
        <v>0.254</v>
      </c>
      <c r="V5459" s="508">
        <v>0.16300000000000001</v>
      </c>
      <c r="W5459" s="508">
        <v>0.13500000000000001</v>
      </c>
      <c r="X5459" s="508">
        <v>0.13600000000000001</v>
      </c>
      <c r="Y5459" s="508">
        <v>0.152</v>
      </c>
      <c r="Z5459" s="508">
        <v>0.16800000000000001</v>
      </c>
      <c r="AA5459" s="508">
        <v>1.2E-2</v>
      </c>
      <c r="AB5459" s="508">
        <v>1.2E-2</v>
      </c>
      <c r="AC5459" s="508">
        <v>0.01</v>
      </c>
      <c r="AD5459" s="508">
        <v>8.9999999999999993E-3</v>
      </c>
      <c r="AE5459" s="508">
        <v>0.01</v>
      </c>
      <c r="AF5459" s="508">
        <v>6.0000000000000001E-3</v>
      </c>
      <c r="AG5459" s="508">
        <v>6.0000000000000001E-3</v>
      </c>
      <c r="AH5459" s="508">
        <v>6.0000000000000001E-3</v>
      </c>
      <c r="AI5459" s="492">
        <v>6.0000000000000001E-3</v>
      </c>
      <c r="AJ5459" s="485"/>
    </row>
    <row r="5460" spans="2:36">
      <c r="B5460" s="136" t="s">
        <v>467</v>
      </c>
      <c r="C5460" s="132" t="s">
        <v>1364</v>
      </c>
      <c r="D5460" s="132" t="s">
        <v>285</v>
      </c>
      <c r="E5460" s="508">
        <v>0.628</v>
      </c>
      <c r="F5460" s="508">
        <v>0.69</v>
      </c>
      <c r="G5460" s="508">
        <v>0.32700000000000001</v>
      </c>
      <c r="H5460" s="508">
        <v>0.14799999999999999</v>
      </c>
      <c r="I5460" s="508">
        <v>0.19</v>
      </c>
      <c r="J5460" s="508">
        <v>0.7</v>
      </c>
      <c r="K5460" s="508">
        <v>0.36799999999999999</v>
      </c>
      <c r="L5460" s="508">
        <v>9.1999999999999998E-2</v>
      </c>
      <c r="M5460" s="508">
        <v>0.34399999999999997</v>
      </c>
      <c r="N5460" s="508">
        <v>0.32700000000000001</v>
      </c>
      <c r="O5460" s="508">
        <v>0.45700000000000002</v>
      </c>
      <c r="P5460" s="508">
        <v>0.44800000000000001</v>
      </c>
      <c r="Q5460" s="508">
        <v>0.51600000000000001</v>
      </c>
      <c r="R5460" s="508">
        <v>0.14199999999999999</v>
      </c>
      <c r="S5460" s="508">
        <v>0.28399999999999997</v>
      </c>
      <c r="T5460" s="508">
        <v>0.21199999999999999</v>
      </c>
      <c r="U5460" s="508">
        <v>0.23899999999999999</v>
      </c>
      <c r="V5460" s="508">
        <v>0.153</v>
      </c>
      <c r="W5460" s="508">
        <v>0.128</v>
      </c>
      <c r="X5460" s="508">
        <v>0.128</v>
      </c>
      <c r="Y5460" s="508">
        <v>0.14299999999999999</v>
      </c>
      <c r="Z5460" s="508">
        <v>0.159</v>
      </c>
      <c r="AA5460" s="508">
        <v>1.0999999999999999E-2</v>
      </c>
      <c r="AB5460" s="508">
        <v>1.0999999999999999E-2</v>
      </c>
      <c r="AC5460" s="508">
        <v>0.01</v>
      </c>
      <c r="AD5460" s="508">
        <v>8.0000000000000002E-3</v>
      </c>
      <c r="AE5460" s="508">
        <v>8.9999999999999993E-3</v>
      </c>
      <c r="AF5460" s="508">
        <v>6.0000000000000001E-3</v>
      </c>
      <c r="AG5460" s="508">
        <v>6.0000000000000001E-3</v>
      </c>
      <c r="AH5460" s="508">
        <v>6.0000000000000001E-3</v>
      </c>
      <c r="AI5460" s="492">
        <v>6.0000000000000001E-3</v>
      </c>
      <c r="AJ5460" s="485"/>
    </row>
    <row r="5461" spans="2:36">
      <c r="B5461" s="136" t="s">
        <v>468</v>
      </c>
      <c r="C5461" s="132" t="s">
        <v>1364</v>
      </c>
      <c r="D5461" s="132" t="s">
        <v>285</v>
      </c>
      <c r="E5461" s="508">
        <v>0.61599999999999999</v>
      </c>
      <c r="F5461" s="508">
        <v>0.67800000000000005</v>
      </c>
      <c r="G5461" s="508">
        <v>0.32300000000000001</v>
      </c>
      <c r="H5461" s="508">
        <v>0.14399999999999999</v>
      </c>
      <c r="I5461" s="508">
        <v>0.184</v>
      </c>
      <c r="J5461" s="508">
        <v>0.66900000000000004</v>
      </c>
      <c r="K5461" s="508">
        <v>0.35699999999999998</v>
      </c>
      <c r="L5461" s="508">
        <v>0.09</v>
      </c>
      <c r="M5461" s="508">
        <v>0.33400000000000002</v>
      </c>
      <c r="N5461" s="508">
        <v>0.30599999999999999</v>
      </c>
      <c r="O5461" s="508">
        <v>0.42599999999999999</v>
      </c>
      <c r="P5461" s="508">
        <v>0.41799999999999998</v>
      </c>
      <c r="Q5461" s="508">
        <v>0.48099999999999998</v>
      </c>
      <c r="R5461" s="508">
        <v>0.13800000000000001</v>
      </c>
      <c r="S5461" s="508">
        <v>0.27500000000000002</v>
      </c>
      <c r="T5461" s="508">
        <v>0.20599999999999999</v>
      </c>
      <c r="U5461" s="508">
        <v>0.23200000000000001</v>
      </c>
      <c r="V5461" s="508">
        <v>0.14899999999999999</v>
      </c>
      <c r="W5461" s="508">
        <v>0.124</v>
      </c>
      <c r="X5461" s="508">
        <v>0.124</v>
      </c>
      <c r="Y5461" s="508">
        <v>0.13900000000000001</v>
      </c>
      <c r="Z5461" s="508">
        <v>0.153</v>
      </c>
      <c r="AA5461" s="508">
        <v>1.0999999999999999E-2</v>
      </c>
      <c r="AB5461" s="508">
        <v>1.0999999999999999E-2</v>
      </c>
      <c r="AC5461" s="508">
        <v>0.01</v>
      </c>
      <c r="AD5461" s="508">
        <v>8.0000000000000002E-3</v>
      </c>
      <c r="AE5461" s="508">
        <v>8.9999999999999993E-3</v>
      </c>
      <c r="AF5461" s="508">
        <v>6.0000000000000001E-3</v>
      </c>
      <c r="AG5461" s="508">
        <v>6.0000000000000001E-3</v>
      </c>
      <c r="AH5461" s="508">
        <v>6.0000000000000001E-3</v>
      </c>
      <c r="AI5461" s="492">
        <v>6.0000000000000001E-3</v>
      </c>
      <c r="AJ5461" s="485"/>
    </row>
    <row r="5462" spans="2:36">
      <c r="B5462" s="136" t="s">
        <v>469</v>
      </c>
      <c r="C5462" s="132" t="s">
        <v>1364</v>
      </c>
      <c r="D5462" s="132" t="s">
        <v>285</v>
      </c>
      <c r="E5462" s="508">
        <v>0.626</v>
      </c>
      <c r="F5462" s="508">
        <v>0.68799999999999994</v>
      </c>
      <c r="G5462" s="508">
        <v>0.32600000000000001</v>
      </c>
      <c r="H5462" s="508">
        <v>0.14699999999999999</v>
      </c>
      <c r="I5462" s="508">
        <v>0.189</v>
      </c>
      <c r="J5462" s="508">
        <v>0.69399999999999995</v>
      </c>
      <c r="K5462" s="508">
        <v>0.36599999999999999</v>
      </c>
      <c r="L5462" s="508">
        <v>9.0999999999999998E-2</v>
      </c>
      <c r="M5462" s="508">
        <v>0.34200000000000003</v>
      </c>
      <c r="N5462" s="508">
        <v>0.32300000000000001</v>
      </c>
      <c r="O5462" s="508">
        <v>0.45</v>
      </c>
      <c r="P5462" s="508">
        <v>0.442</v>
      </c>
      <c r="Q5462" s="508">
        <v>0.50900000000000001</v>
      </c>
      <c r="R5462" s="508">
        <v>0.14099999999999999</v>
      </c>
      <c r="S5462" s="508">
        <v>0.28199999999999997</v>
      </c>
      <c r="T5462" s="508">
        <v>0.21099999999999999</v>
      </c>
      <c r="U5462" s="508">
        <v>0.23799999999999999</v>
      </c>
      <c r="V5462" s="508">
        <v>0.153</v>
      </c>
      <c r="W5462" s="508">
        <v>0.127</v>
      </c>
      <c r="X5462" s="508">
        <v>0.128</v>
      </c>
      <c r="Y5462" s="508">
        <v>0.14299999999999999</v>
      </c>
      <c r="Z5462" s="508">
        <v>0.158</v>
      </c>
      <c r="AA5462" s="508">
        <v>1.0999999999999999E-2</v>
      </c>
      <c r="AB5462" s="508">
        <v>1.0999999999999999E-2</v>
      </c>
      <c r="AC5462" s="508">
        <v>0.01</v>
      </c>
      <c r="AD5462" s="508">
        <v>8.0000000000000002E-3</v>
      </c>
      <c r="AE5462" s="508">
        <v>8.9999999999999993E-3</v>
      </c>
      <c r="AF5462" s="508">
        <v>6.0000000000000001E-3</v>
      </c>
      <c r="AG5462" s="508">
        <v>6.0000000000000001E-3</v>
      </c>
      <c r="AH5462" s="508">
        <v>6.0000000000000001E-3</v>
      </c>
      <c r="AI5462" s="492">
        <v>6.0000000000000001E-3</v>
      </c>
      <c r="AJ5462" s="485"/>
    </row>
    <row r="5463" spans="2:36">
      <c r="B5463" s="136" t="s">
        <v>470</v>
      </c>
      <c r="C5463" s="132" t="s">
        <v>1364</v>
      </c>
      <c r="D5463" s="132" t="s">
        <v>285</v>
      </c>
      <c r="E5463" s="508">
        <v>0.63600000000000001</v>
      </c>
      <c r="F5463" s="508">
        <v>0.7</v>
      </c>
      <c r="G5463" s="508">
        <v>0.33100000000000002</v>
      </c>
      <c r="H5463" s="508">
        <v>0.153</v>
      </c>
      <c r="I5463" s="508">
        <v>0.19700000000000001</v>
      </c>
      <c r="J5463" s="508">
        <v>0.72799999999999998</v>
      </c>
      <c r="K5463" s="508">
        <v>0.376</v>
      </c>
      <c r="L5463" s="508">
        <v>9.4E-2</v>
      </c>
      <c r="M5463" s="508">
        <v>0.35199999999999998</v>
      </c>
      <c r="N5463" s="508">
        <v>0.34799999999999998</v>
      </c>
      <c r="O5463" s="508">
        <v>0.48799999999999999</v>
      </c>
      <c r="P5463" s="508">
        <v>0.48</v>
      </c>
      <c r="Q5463" s="508">
        <v>0.55300000000000005</v>
      </c>
      <c r="R5463" s="508">
        <v>0.14699999999999999</v>
      </c>
      <c r="S5463" s="508">
        <v>0.29299999999999998</v>
      </c>
      <c r="T5463" s="508">
        <v>0.22</v>
      </c>
      <c r="U5463" s="508">
        <v>0.247</v>
      </c>
      <c r="V5463" s="508">
        <v>0.159</v>
      </c>
      <c r="W5463" s="508">
        <v>0.13200000000000001</v>
      </c>
      <c r="X5463" s="508">
        <v>0.13300000000000001</v>
      </c>
      <c r="Y5463" s="508">
        <v>0.14799999999999999</v>
      </c>
      <c r="Z5463" s="508">
        <v>0.16400000000000001</v>
      </c>
      <c r="AA5463" s="508">
        <v>1.2E-2</v>
      </c>
      <c r="AB5463" s="508">
        <v>1.2E-2</v>
      </c>
      <c r="AC5463" s="508">
        <v>0.01</v>
      </c>
      <c r="AD5463" s="508">
        <v>8.0000000000000002E-3</v>
      </c>
      <c r="AE5463" s="508">
        <v>0.01</v>
      </c>
      <c r="AF5463" s="508">
        <v>6.0000000000000001E-3</v>
      </c>
      <c r="AG5463" s="508">
        <v>6.0000000000000001E-3</v>
      </c>
      <c r="AH5463" s="508">
        <v>6.0000000000000001E-3</v>
      </c>
      <c r="AI5463" s="492">
        <v>6.0000000000000001E-3</v>
      </c>
      <c r="AJ5463" s="485"/>
    </row>
    <row r="5464" spans="2:36">
      <c r="B5464" s="136" t="s">
        <v>471</v>
      </c>
      <c r="C5464" s="132" t="s">
        <v>1364</v>
      </c>
      <c r="D5464" s="132" t="s">
        <v>285</v>
      </c>
      <c r="E5464" s="508">
        <v>0.63300000000000001</v>
      </c>
      <c r="F5464" s="508">
        <v>0.69599999999999995</v>
      </c>
      <c r="G5464" s="508">
        <v>0.32900000000000001</v>
      </c>
      <c r="H5464" s="508">
        <v>0.15</v>
      </c>
      <c r="I5464" s="508">
        <v>0.19400000000000001</v>
      </c>
      <c r="J5464" s="508">
        <v>0.71599999999999997</v>
      </c>
      <c r="K5464" s="508">
        <v>0.373</v>
      </c>
      <c r="L5464" s="508">
        <v>9.2999999999999999E-2</v>
      </c>
      <c r="M5464" s="508">
        <v>0.34899999999999998</v>
      </c>
      <c r="N5464" s="508">
        <v>0.33800000000000002</v>
      </c>
      <c r="O5464" s="508">
        <v>0.47299999999999998</v>
      </c>
      <c r="P5464" s="508">
        <v>0.46500000000000002</v>
      </c>
      <c r="Q5464" s="508">
        <v>0.53600000000000003</v>
      </c>
      <c r="R5464" s="508">
        <v>0.14499999999999999</v>
      </c>
      <c r="S5464" s="508">
        <v>0.28899999999999998</v>
      </c>
      <c r="T5464" s="508">
        <v>0.216</v>
      </c>
      <c r="U5464" s="508">
        <v>0.24399999999999999</v>
      </c>
      <c r="V5464" s="508">
        <v>0.156</v>
      </c>
      <c r="W5464" s="508">
        <v>0.13</v>
      </c>
      <c r="X5464" s="508">
        <v>0.13100000000000001</v>
      </c>
      <c r="Y5464" s="508">
        <v>0.14599999999999999</v>
      </c>
      <c r="Z5464" s="508">
        <v>0.161</v>
      </c>
      <c r="AA5464" s="508">
        <v>1.0999999999999999E-2</v>
      </c>
      <c r="AB5464" s="508">
        <v>1.0999999999999999E-2</v>
      </c>
      <c r="AC5464" s="508">
        <v>0.01</v>
      </c>
      <c r="AD5464" s="508">
        <v>8.0000000000000002E-3</v>
      </c>
      <c r="AE5464" s="508">
        <v>8.9999999999999993E-3</v>
      </c>
      <c r="AF5464" s="508">
        <v>6.0000000000000001E-3</v>
      </c>
      <c r="AG5464" s="508">
        <v>6.0000000000000001E-3</v>
      </c>
      <c r="AH5464" s="508">
        <v>6.0000000000000001E-3</v>
      </c>
      <c r="AI5464" s="492">
        <v>6.0000000000000001E-3</v>
      </c>
      <c r="AJ5464" s="485"/>
    </row>
    <row r="5465" spans="2:36">
      <c r="B5465" s="136" t="s">
        <v>472</v>
      </c>
      <c r="C5465" s="132" t="s">
        <v>1364</v>
      </c>
      <c r="D5465" s="132" t="s">
        <v>285</v>
      </c>
      <c r="E5465" s="508">
        <v>0.61799999999999999</v>
      </c>
      <c r="F5465" s="508">
        <v>0.68</v>
      </c>
      <c r="G5465" s="508">
        <v>0.32200000000000001</v>
      </c>
      <c r="H5465" s="508">
        <v>0.14299999999999999</v>
      </c>
      <c r="I5465" s="508">
        <v>0.184</v>
      </c>
      <c r="J5465" s="508">
        <v>0.67100000000000004</v>
      </c>
      <c r="K5465" s="508">
        <v>0.35899999999999999</v>
      </c>
      <c r="L5465" s="508">
        <v>8.8999999999999996E-2</v>
      </c>
      <c r="M5465" s="508">
        <v>0.33600000000000002</v>
      </c>
      <c r="N5465" s="508">
        <v>0.30399999999999999</v>
      </c>
      <c r="O5465" s="508">
        <v>0.42299999999999999</v>
      </c>
      <c r="P5465" s="508">
        <v>0.41499999999999998</v>
      </c>
      <c r="Q5465" s="508">
        <v>0.47799999999999998</v>
      </c>
      <c r="R5465" s="508">
        <v>0.13700000000000001</v>
      </c>
      <c r="S5465" s="508">
        <v>0.27400000000000002</v>
      </c>
      <c r="T5465" s="508">
        <v>0.20499999999999999</v>
      </c>
      <c r="U5465" s="508">
        <v>0.23100000000000001</v>
      </c>
      <c r="V5465" s="508">
        <v>0.14799999999999999</v>
      </c>
      <c r="W5465" s="508">
        <v>0.123</v>
      </c>
      <c r="X5465" s="508">
        <v>0.124</v>
      </c>
      <c r="Y5465" s="508">
        <v>0.13800000000000001</v>
      </c>
      <c r="Z5465" s="508">
        <v>0.153</v>
      </c>
      <c r="AA5465" s="508">
        <v>1.0999999999999999E-2</v>
      </c>
      <c r="AB5465" s="508">
        <v>1.0999999999999999E-2</v>
      </c>
      <c r="AC5465" s="508">
        <v>8.9999999999999993E-3</v>
      </c>
      <c r="AD5465" s="508">
        <v>8.0000000000000002E-3</v>
      </c>
      <c r="AE5465" s="508">
        <v>8.9999999999999993E-3</v>
      </c>
      <c r="AF5465" s="508">
        <v>6.0000000000000001E-3</v>
      </c>
      <c r="AG5465" s="508">
        <v>5.0000000000000001E-3</v>
      </c>
      <c r="AH5465" s="508">
        <v>5.0000000000000001E-3</v>
      </c>
      <c r="AI5465" s="492">
        <v>5.0000000000000001E-3</v>
      </c>
      <c r="AJ5465" s="485"/>
    </row>
    <row r="5466" spans="2:36">
      <c r="B5466" s="136" t="s">
        <v>473</v>
      </c>
      <c r="C5466" s="132" t="s">
        <v>1364</v>
      </c>
      <c r="D5466" s="132" t="s">
        <v>285</v>
      </c>
      <c r="E5466" s="508">
        <v>0.63900000000000001</v>
      </c>
      <c r="F5466" s="508">
        <v>0.70199999999999996</v>
      </c>
      <c r="G5466" s="508">
        <v>0.33200000000000002</v>
      </c>
      <c r="H5466" s="508">
        <v>0.153</v>
      </c>
      <c r="I5466" s="508">
        <v>0.19800000000000001</v>
      </c>
      <c r="J5466" s="508">
        <v>0.73299999999999998</v>
      </c>
      <c r="K5466" s="508">
        <v>0.379</v>
      </c>
      <c r="L5466" s="508">
        <v>9.4E-2</v>
      </c>
      <c r="M5466" s="508">
        <v>0.35399999999999998</v>
      </c>
      <c r="N5466" s="508">
        <v>0.35199999999999998</v>
      </c>
      <c r="O5466" s="508">
        <v>0.49399999999999999</v>
      </c>
      <c r="P5466" s="508">
        <v>0.48499999999999999</v>
      </c>
      <c r="Q5466" s="508">
        <v>0.55900000000000005</v>
      </c>
      <c r="R5466" s="508">
        <v>0.14699999999999999</v>
      </c>
      <c r="S5466" s="508">
        <v>0.29499999999999998</v>
      </c>
      <c r="T5466" s="508">
        <v>0.221</v>
      </c>
      <c r="U5466" s="508">
        <v>0.249</v>
      </c>
      <c r="V5466" s="508">
        <v>0.159</v>
      </c>
      <c r="W5466" s="508">
        <v>0.13300000000000001</v>
      </c>
      <c r="X5466" s="508">
        <v>0.13300000000000001</v>
      </c>
      <c r="Y5466" s="508">
        <v>0.14899999999999999</v>
      </c>
      <c r="Z5466" s="508">
        <v>0.16500000000000001</v>
      </c>
      <c r="AA5466" s="508">
        <v>1.2E-2</v>
      </c>
      <c r="AB5466" s="508">
        <v>1.2E-2</v>
      </c>
      <c r="AC5466" s="508">
        <v>0.01</v>
      </c>
      <c r="AD5466" s="508">
        <v>8.0000000000000002E-3</v>
      </c>
      <c r="AE5466" s="508">
        <v>0.01</v>
      </c>
      <c r="AF5466" s="508">
        <v>6.0000000000000001E-3</v>
      </c>
      <c r="AG5466" s="508">
        <v>6.0000000000000001E-3</v>
      </c>
      <c r="AH5466" s="508">
        <v>6.0000000000000001E-3</v>
      </c>
      <c r="AI5466" s="492">
        <v>6.0000000000000001E-3</v>
      </c>
      <c r="AJ5466" s="485"/>
    </row>
    <row r="5467" spans="2:36">
      <c r="B5467" s="136" t="s">
        <v>474</v>
      </c>
      <c r="C5467" s="132" t="s">
        <v>1364</v>
      </c>
      <c r="D5467" s="132" t="s">
        <v>285</v>
      </c>
      <c r="E5467" s="508">
        <v>0.63100000000000001</v>
      </c>
      <c r="F5467" s="508">
        <v>0.69399999999999995</v>
      </c>
      <c r="G5467" s="508">
        <v>0.32800000000000001</v>
      </c>
      <c r="H5467" s="508">
        <v>0.14899999999999999</v>
      </c>
      <c r="I5467" s="508">
        <v>0.193</v>
      </c>
      <c r="J5467" s="508">
        <v>0.71</v>
      </c>
      <c r="K5467" s="508">
        <v>0.371</v>
      </c>
      <c r="L5467" s="508">
        <v>9.2999999999999999E-2</v>
      </c>
      <c r="M5467" s="508">
        <v>0.34699999999999998</v>
      </c>
      <c r="N5467" s="508">
        <v>0.33400000000000002</v>
      </c>
      <c r="O5467" s="508">
        <v>0.46800000000000003</v>
      </c>
      <c r="P5467" s="508">
        <v>0.45900000000000002</v>
      </c>
      <c r="Q5467" s="508">
        <v>0.52900000000000003</v>
      </c>
      <c r="R5467" s="508">
        <v>0.14399999999999999</v>
      </c>
      <c r="S5467" s="508">
        <v>0.28699999999999998</v>
      </c>
      <c r="T5467" s="508">
        <v>0.215</v>
      </c>
      <c r="U5467" s="508">
        <v>0.24199999999999999</v>
      </c>
      <c r="V5467" s="508">
        <v>0.155</v>
      </c>
      <c r="W5467" s="508">
        <v>0.129</v>
      </c>
      <c r="X5467" s="508">
        <v>0.13</v>
      </c>
      <c r="Y5467" s="508">
        <v>0.14499999999999999</v>
      </c>
      <c r="Z5467" s="508">
        <v>0.16</v>
      </c>
      <c r="AA5467" s="508">
        <v>1.0999999999999999E-2</v>
      </c>
      <c r="AB5467" s="508">
        <v>1.0999999999999999E-2</v>
      </c>
      <c r="AC5467" s="508">
        <v>0.01</v>
      </c>
      <c r="AD5467" s="508">
        <v>8.0000000000000002E-3</v>
      </c>
      <c r="AE5467" s="508">
        <v>8.9999999999999993E-3</v>
      </c>
      <c r="AF5467" s="508">
        <v>6.0000000000000001E-3</v>
      </c>
      <c r="AG5467" s="508">
        <v>6.0000000000000001E-3</v>
      </c>
      <c r="AH5467" s="508">
        <v>6.0000000000000001E-3</v>
      </c>
      <c r="AI5467" s="492">
        <v>6.0000000000000001E-3</v>
      </c>
      <c r="AJ5467" s="485"/>
    </row>
    <row r="5468" spans="2:36">
      <c r="B5468" s="136" t="s">
        <v>475</v>
      </c>
      <c r="C5468" s="132" t="s">
        <v>1364</v>
      </c>
      <c r="D5468" s="132" t="s">
        <v>285</v>
      </c>
      <c r="E5468" s="508">
        <v>0.627</v>
      </c>
      <c r="F5468" s="508">
        <v>0.69</v>
      </c>
      <c r="G5468" s="508">
        <v>0.32600000000000001</v>
      </c>
      <c r="H5468" s="508">
        <v>0.14799999999999999</v>
      </c>
      <c r="I5468" s="508">
        <v>0.19</v>
      </c>
      <c r="J5468" s="508">
        <v>0.69899999999999995</v>
      </c>
      <c r="K5468" s="508">
        <v>0.36799999999999999</v>
      </c>
      <c r="L5468" s="508">
        <v>9.1999999999999998E-2</v>
      </c>
      <c r="M5468" s="508">
        <v>0.34399999999999997</v>
      </c>
      <c r="N5468" s="508">
        <v>0.32600000000000001</v>
      </c>
      <c r="O5468" s="508">
        <v>0.45500000000000002</v>
      </c>
      <c r="P5468" s="508">
        <v>0.44700000000000001</v>
      </c>
      <c r="Q5468" s="508">
        <v>0.51500000000000001</v>
      </c>
      <c r="R5468" s="508">
        <v>0.14199999999999999</v>
      </c>
      <c r="S5468" s="508">
        <v>0.28299999999999997</v>
      </c>
      <c r="T5468" s="508">
        <v>0.21199999999999999</v>
      </c>
      <c r="U5468" s="508">
        <v>0.23899999999999999</v>
      </c>
      <c r="V5468" s="508">
        <v>0.153</v>
      </c>
      <c r="W5468" s="508">
        <v>0.128</v>
      </c>
      <c r="X5468" s="508">
        <v>0.128</v>
      </c>
      <c r="Y5468" s="508">
        <v>0.14299999999999999</v>
      </c>
      <c r="Z5468" s="508">
        <v>0.158</v>
      </c>
      <c r="AA5468" s="508">
        <v>1.0999999999999999E-2</v>
      </c>
      <c r="AB5468" s="508">
        <v>1.0999999999999999E-2</v>
      </c>
      <c r="AC5468" s="508">
        <v>0.01</v>
      </c>
      <c r="AD5468" s="508">
        <v>8.0000000000000002E-3</v>
      </c>
      <c r="AE5468" s="508">
        <v>8.9999999999999993E-3</v>
      </c>
      <c r="AF5468" s="508">
        <v>6.0000000000000001E-3</v>
      </c>
      <c r="AG5468" s="508">
        <v>6.0000000000000001E-3</v>
      </c>
      <c r="AH5468" s="508">
        <v>6.0000000000000001E-3</v>
      </c>
      <c r="AI5468" s="492">
        <v>6.0000000000000001E-3</v>
      </c>
      <c r="AJ5468" s="485"/>
    </row>
    <row r="5469" spans="2:36">
      <c r="B5469" s="136" t="s">
        <v>476</v>
      </c>
      <c r="C5469" s="132" t="s">
        <v>1364</v>
      </c>
      <c r="D5469" s="132" t="s">
        <v>285</v>
      </c>
      <c r="E5469" s="508">
        <v>0.63500000000000001</v>
      </c>
      <c r="F5469" s="508">
        <v>0.69699999999999995</v>
      </c>
      <c r="G5469" s="508">
        <v>0.33</v>
      </c>
      <c r="H5469" s="508">
        <v>0.152</v>
      </c>
      <c r="I5469" s="508">
        <v>0.19600000000000001</v>
      </c>
      <c r="J5469" s="508">
        <v>0.72199999999999998</v>
      </c>
      <c r="K5469" s="508">
        <v>0.375</v>
      </c>
      <c r="L5469" s="508">
        <v>9.4E-2</v>
      </c>
      <c r="M5469" s="508">
        <v>0.35</v>
      </c>
      <c r="N5469" s="508">
        <v>0.34399999999999997</v>
      </c>
      <c r="O5469" s="508">
        <v>0.48199999999999998</v>
      </c>
      <c r="P5469" s="508">
        <v>0.47399999999999998</v>
      </c>
      <c r="Q5469" s="508">
        <v>0.54600000000000004</v>
      </c>
      <c r="R5469" s="508">
        <v>0.14599999999999999</v>
      </c>
      <c r="S5469" s="508">
        <v>0.29099999999999998</v>
      </c>
      <c r="T5469" s="508">
        <v>0.218</v>
      </c>
      <c r="U5469" s="508">
        <v>0.246</v>
      </c>
      <c r="V5469" s="508">
        <v>0.158</v>
      </c>
      <c r="W5469" s="508">
        <v>0.13100000000000001</v>
      </c>
      <c r="X5469" s="508">
        <v>0.13200000000000001</v>
      </c>
      <c r="Y5469" s="508">
        <v>0.14699999999999999</v>
      </c>
      <c r="Z5469" s="508">
        <v>0.16300000000000001</v>
      </c>
      <c r="AA5469" s="508">
        <v>1.2E-2</v>
      </c>
      <c r="AB5469" s="508">
        <v>1.0999999999999999E-2</v>
      </c>
      <c r="AC5469" s="508">
        <v>0.01</v>
      </c>
      <c r="AD5469" s="508">
        <v>8.0000000000000002E-3</v>
      </c>
      <c r="AE5469" s="508">
        <v>0.01</v>
      </c>
      <c r="AF5469" s="508">
        <v>6.0000000000000001E-3</v>
      </c>
      <c r="AG5469" s="508">
        <v>6.0000000000000001E-3</v>
      </c>
      <c r="AH5469" s="508">
        <v>6.0000000000000001E-3</v>
      </c>
      <c r="AI5469" s="492">
        <v>6.0000000000000001E-3</v>
      </c>
      <c r="AJ5469" s="485"/>
    </row>
    <row r="5470" spans="2:36">
      <c r="B5470" s="136" t="s">
        <v>478</v>
      </c>
      <c r="C5470" s="132" t="s">
        <v>1364</v>
      </c>
      <c r="D5470" s="132" t="s">
        <v>285</v>
      </c>
      <c r="E5470" s="508">
        <v>0.63900000000000001</v>
      </c>
      <c r="F5470" s="508">
        <v>0.70199999999999996</v>
      </c>
      <c r="G5470" s="508">
        <v>0.33300000000000002</v>
      </c>
      <c r="H5470" s="508">
        <v>0.155</v>
      </c>
      <c r="I5470" s="508">
        <v>0.2</v>
      </c>
      <c r="J5470" s="508">
        <v>0.73699999999999999</v>
      </c>
      <c r="K5470" s="508">
        <v>0.378</v>
      </c>
      <c r="L5470" s="508">
        <v>9.5000000000000001E-2</v>
      </c>
      <c r="M5470" s="508">
        <v>0.35399999999999998</v>
      </c>
      <c r="N5470" s="508">
        <v>0.35599999999999998</v>
      </c>
      <c r="O5470" s="508">
        <v>0.5</v>
      </c>
      <c r="P5470" s="508">
        <v>0.49099999999999999</v>
      </c>
      <c r="Q5470" s="508">
        <v>0.56599999999999995</v>
      </c>
      <c r="R5470" s="508">
        <v>0.14899999999999999</v>
      </c>
      <c r="S5470" s="508">
        <v>0.29699999999999999</v>
      </c>
      <c r="T5470" s="508">
        <v>0.222</v>
      </c>
      <c r="U5470" s="508">
        <v>0.25</v>
      </c>
      <c r="V5470" s="508">
        <v>0.161</v>
      </c>
      <c r="W5470" s="508">
        <v>0.13400000000000001</v>
      </c>
      <c r="X5470" s="508">
        <v>0.13400000000000001</v>
      </c>
      <c r="Y5470" s="508">
        <v>0.15</v>
      </c>
      <c r="Z5470" s="508">
        <v>0.16600000000000001</v>
      </c>
      <c r="AA5470" s="508">
        <v>1.2E-2</v>
      </c>
      <c r="AB5470" s="508">
        <v>1.2E-2</v>
      </c>
      <c r="AC5470" s="508">
        <v>0.01</v>
      </c>
      <c r="AD5470" s="508">
        <v>8.9999999999999993E-3</v>
      </c>
      <c r="AE5470" s="508">
        <v>0.01</v>
      </c>
      <c r="AF5470" s="508">
        <v>6.0000000000000001E-3</v>
      </c>
      <c r="AG5470" s="508">
        <v>6.0000000000000001E-3</v>
      </c>
      <c r="AH5470" s="508">
        <v>6.0000000000000001E-3</v>
      </c>
      <c r="AI5470" s="492">
        <v>6.0000000000000001E-3</v>
      </c>
      <c r="AJ5470" s="485"/>
    </row>
    <row r="5471" spans="2:36">
      <c r="B5471" s="136" t="s">
        <v>479</v>
      </c>
      <c r="C5471" s="132" t="s">
        <v>1364</v>
      </c>
      <c r="D5471" s="132" t="s">
        <v>285</v>
      </c>
      <c r="E5471" s="508">
        <v>0.63</v>
      </c>
      <c r="F5471" s="508">
        <v>0.69199999999999995</v>
      </c>
      <c r="G5471" s="508">
        <v>0.32800000000000001</v>
      </c>
      <c r="H5471" s="508">
        <v>0.14899999999999999</v>
      </c>
      <c r="I5471" s="508">
        <v>0.192</v>
      </c>
      <c r="J5471" s="508">
        <v>0.70699999999999996</v>
      </c>
      <c r="K5471" s="508">
        <v>0.37</v>
      </c>
      <c r="L5471" s="508">
        <v>9.1999999999999998E-2</v>
      </c>
      <c r="M5471" s="508">
        <v>0.34599999999999997</v>
      </c>
      <c r="N5471" s="508">
        <v>0.33200000000000002</v>
      </c>
      <c r="O5471" s="508">
        <v>0.46500000000000002</v>
      </c>
      <c r="P5471" s="508">
        <v>0.45600000000000002</v>
      </c>
      <c r="Q5471" s="508">
        <v>0.52600000000000002</v>
      </c>
      <c r="R5471" s="508">
        <v>0.14399999999999999</v>
      </c>
      <c r="S5471" s="508">
        <v>0.28599999999999998</v>
      </c>
      <c r="T5471" s="508">
        <v>0.215</v>
      </c>
      <c r="U5471" s="508">
        <v>0.24199999999999999</v>
      </c>
      <c r="V5471" s="508">
        <v>0.155</v>
      </c>
      <c r="W5471" s="508">
        <v>0.129</v>
      </c>
      <c r="X5471" s="508">
        <v>0.129</v>
      </c>
      <c r="Y5471" s="508">
        <v>0.14499999999999999</v>
      </c>
      <c r="Z5471" s="508">
        <v>0.16</v>
      </c>
      <c r="AA5471" s="508">
        <v>1.0999999999999999E-2</v>
      </c>
      <c r="AB5471" s="508">
        <v>1.0999999999999999E-2</v>
      </c>
      <c r="AC5471" s="508">
        <v>0.01</v>
      </c>
      <c r="AD5471" s="508">
        <v>8.0000000000000002E-3</v>
      </c>
      <c r="AE5471" s="508">
        <v>8.9999999999999993E-3</v>
      </c>
      <c r="AF5471" s="508">
        <v>6.0000000000000001E-3</v>
      </c>
      <c r="AG5471" s="508">
        <v>6.0000000000000001E-3</v>
      </c>
      <c r="AH5471" s="508">
        <v>6.0000000000000001E-3</v>
      </c>
      <c r="AI5471" s="492">
        <v>6.0000000000000001E-3</v>
      </c>
      <c r="AJ5471" s="485"/>
    </row>
    <row r="5472" spans="2:36">
      <c r="B5472" s="136" t="s">
        <v>480</v>
      </c>
      <c r="C5472" s="132" t="s">
        <v>1364</v>
      </c>
      <c r="D5472" s="132" t="s">
        <v>285</v>
      </c>
      <c r="E5472" s="508">
        <v>0.61599999999999999</v>
      </c>
      <c r="F5472" s="508">
        <v>0.67700000000000005</v>
      </c>
      <c r="G5472" s="508">
        <v>0.32200000000000001</v>
      </c>
      <c r="H5472" s="508">
        <v>0.14299999999999999</v>
      </c>
      <c r="I5472" s="508">
        <v>0.183</v>
      </c>
      <c r="J5472" s="508">
        <v>0.66500000000000004</v>
      </c>
      <c r="K5472" s="508">
        <v>0.35699999999999998</v>
      </c>
      <c r="L5472" s="508">
        <v>8.8999999999999996E-2</v>
      </c>
      <c r="M5472" s="508">
        <v>0.33400000000000002</v>
      </c>
      <c r="N5472" s="508">
        <v>0.30099999999999999</v>
      </c>
      <c r="O5472" s="508">
        <v>0.41899999999999998</v>
      </c>
      <c r="P5472" s="508">
        <v>0.41099999999999998</v>
      </c>
      <c r="Q5472" s="508">
        <v>0.47299999999999998</v>
      </c>
      <c r="R5472" s="508">
        <v>0.13700000000000001</v>
      </c>
      <c r="S5472" s="508">
        <v>0.27200000000000002</v>
      </c>
      <c r="T5472" s="508">
        <v>0.20399999999999999</v>
      </c>
      <c r="U5472" s="508">
        <v>0.23</v>
      </c>
      <c r="V5472" s="508">
        <v>0.14799999999999999</v>
      </c>
      <c r="W5472" s="508">
        <v>0.123</v>
      </c>
      <c r="X5472" s="508">
        <v>0.123</v>
      </c>
      <c r="Y5472" s="508">
        <v>0.13800000000000001</v>
      </c>
      <c r="Z5472" s="508">
        <v>0.152</v>
      </c>
      <c r="AA5472" s="508">
        <v>1.0999999999999999E-2</v>
      </c>
      <c r="AB5472" s="508">
        <v>1.0999999999999999E-2</v>
      </c>
      <c r="AC5472" s="508">
        <v>8.9999999999999993E-3</v>
      </c>
      <c r="AD5472" s="508">
        <v>8.0000000000000002E-3</v>
      </c>
      <c r="AE5472" s="508">
        <v>8.9999999999999993E-3</v>
      </c>
      <c r="AF5472" s="508">
        <v>6.0000000000000001E-3</v>
      </c>
      <c r="AG5472" s="508">
        <v>6.0000000000000001E-3</v>
      </c>
      <c r="AH5472" s="508">
        <v>5.0000000000000001E-3</v>
      </c>
      <c r="AI5472" s="492">
        <v>5.0000000000000001E-3</v>
      </c>
      <c r="AJ5472" s="485"/>
    </row>
    <row r="5473" spans="2:36">
      <c r="B5473" s="136" t="s">
        <v>481</v>
      </c>
      <c r="C5473" s="132" t="s">
        <v>1364</v>
      </c>
      <c r="D5473" s="132" t="s">
        <v>285</v>
      </c>
      <c r="E5473" s="508">
        <v>0.63200000000000001</v>
      </c>
      <c r="F5473" s="508">
        <v>0.69399999999999995</v>
      </c>
      <c r="G5473" s="508">
        <v>0.32900000000000001</v>
      </c>
      <c r="H5473" s="508">
        <v>0.15</v>
      </c>
      <c r="I5473" s="508">
        <v>0.19400000000000001</v>
      </c>
      <c r="J5473" s="508">
        <v>0.71299999999999997</v>
      </c>
      <c r="K5473" s="508">
        <v>0.372</v>
      </c>
      <c r="L5473" s="508">
        <v>9.2999999999999999E-2</v>
      </c>
      <c r="M5473" s="508">
        <v>0.34799999999999998</v>
      </c>
      <c r="N5473" s="508">
        <v>0.33700000000000002</v>
      </c>
      <c r="O5473" s="508">
        <v>0.47199999999999998</v>
      </c>
      <c r="P5473" s="508">
        <v>0.46400000000000002</v>
      </c>
      <c r="Q5473" s="508">
        <v>0.53400000000000003</v>
      </c>
      <c r="R5473" s="508">
        <v>0.14499999999999999</v>
      </c>
      <c r="S5473" s="508">
        <v>0.28799999999999998</v>
      </c>
      <c r="T5473" s="508">
        <v>0.216</v>
      </c>
      <c r="U5473" s="508">
        <v>0.24299999999999999</v>
      </c>
      <c r="V5473" s="508">
        <v>0.156</v>
      </c>
      <c r="W5473" s="508">
        <v>0.13</v>
      </c>
      <c r="X5473" s="508">
        <v>0.13</v>
      </c>
      <c r="Y5473" s="508">
        <v>0.14599999999999999</v>
      </c>
      <c r="Z5473" s="508">
        <v>0.161</v>
      </c>
      <c r="AA5473" s="508">
        <v>1.0999999999999999E-2</v>
      </c>
      <c r="AB5473" s="508">
        <v>1.0999999999999999E-2</v>
      </c>
      <c r="AC5473" s="508">
        <v>0.01</v>
      </c>
      <c r="AD5473" s="508">
        <v>8.0000000000000002E-3</v>
      </c>
      <c r="AE5473" s="508">
        <v>8.9999999999999993E-3</v>
      </c>
      <c r="AF5473" s="508">
        <v>6.0000000000000001E-3</v>
      </c>
      <c r="AG5473" s="508">
        <v>6.0000000000000001E-3</v>
      </c>
      <c r="AH5473" s="508">
        <v>6.0000000000000001E-3</v>
      </c>
      <c r="AI5473" s="492">
        <v>6.0000000000000001E-3</v>
      </c>
      <c r="AJ5473" s="485"/>
    </row>
    <row r="5474" spans="2:36">
      <c r="B5474" s="136" t="s">
        <v>482</v>
      </c>
      <c r="C5474" s="132" t="s">
        <v>1364</v>
      </c>
      <c r="D5474" s="132" t="s">
        <v>285</v>
      </c>
      <c r="E5474" s="508">
        <v>0.63</v>
      </c>
      <c r="F5474" s="508">
        <v>0.69299999999999995</v>
      </c>
      <c r="G5474" s="508">
        <v>0.32900000000000001</v>
      </c>
      <c r="H5474" s="508">
        <v>0.15</v>
      </c>
      <c r="I5474" s="508">
        <v>0.193</v>
      </c>
      <c r="J5474" s="508">
        <v>0.70899999999999996</v>
      </c>
      <c r="K5474" s="508">
        <v>0.37</v>
      </c>
      <c r="L5474" s="508">
        <v>9.2999999999999999E-2</v>
      </c>
      <c r="M5474" s="508">
        <v>0.34599999999999997</v>
      </c>
      <c r="N5474" s="508">
        <v>0.33500000000000002</v>
      </c>
      <c r="O5474" s="508">
        <v>0.46800000000000003</v>
      </c>
      <c r="P5474" s="508">
        <v>0.46</v>
      </c>
      <c r="Q5474" s="508">
        <v>0.52900000000000003</v>
      </c>
      <c r="R5474" s="508">
        <v>0.14399999999999999</v>
      </c>
      <c r="S5474" s="508">
        <v>0.28699999999999998</v>
      </c>
      <c r="T5474" s="508">
        <v>0.215</v>
      </c>
      <c r="U5474" s="508">
        <v>0.24199999999999999</v>
      </c>
      <c r="V5474" s="508">
        <v>0.155</v>
      </c>
      <c r="W5474" s="508">
        <v>0.129</v>
      </c>
      <c r="X5474" s="508">
        <v>0.13</v>
      </c>
      <c r="Y5474" s="508">
        <v>0.14499999999999999</v>
      </c>
      <c r="Z5474" s="508">
        <v>0.16</v>
      </c>
      <c r="AA5474" s="508">
        <v>1.0999999999999999E-2</v>
      </c>
      <c r="AB5474" s="508">
        <v>1.0999999999999999E-2</v>
      </c>
      <c r="AC5474" s="508">
        <v>0.01</v>
      </c>
      <c r="AD5474" s="508">
        <v>8.0000000000000002E-3</v>
      </c>
      <c r="AE5474" s="508">
        <v>8.9999999999999993E-3</v>
      </c>
      <c r="AF5474" s="508">
        <v>6.0000000000000001E-3</v>
      </c>
      <c r="AG5474" s="508">
        <v>6.0000000000000001E-3</v>
      </c>
      <c r="AH5474" s="508">
        <v>6.0000000000000001E-3</v>
      </c>
      <c r="AI5474" s="492">
        <v>6.0000000000000001E-3</v>
      </c>
      <c r="AJ5474" s="485"/>
    </row>
    <row r="5475" spans="2:36">
      <c r="B5475" s="136" t="s">
        <v>483</v>
      </c>
      <c r="C5475" s="132" t="s">
        <v>1364</v>
      </c>
      <c r="D5475" s="132" t="s">
        <v>285</v>
      </c>
      <c r="E5475" s="508">
        <v>0.63800000000000001</v>
      </c>
      <c r="F5475" s="508">
        <v>0.70199999999999996</v>
      </c>
      <c r="G5475" s="508">
        <v>0.33300000000000002</v>
      </c>
      <c r="H5475" s="508">
        <v>0.154</v>
      </c>
      <c r="I5475" s="508">
        <v>0.19900000000000001</v>
      </c>
      <c r="J5475" s="508">
        <v>0.73499999999999999</v>
      </c>
      <c r="K5475" s="508">
        <v>0.378</v>
      </c>
      <c r="L5475" s="508">
        <v>9.5000000000000001E-2</v>
      </c>
      <c r="M5475" s="508">
        <v>0.35399999999999998</v>
      </c>
      <c r="N5475" s="508">
        <v>0.35399999999999998</v>
      </c>
      <c r="O5475" s="508">
        <v>0.497</v>
      </c>
      <c r="P5475" s="508">
        <v>0.48899999999999999</v>
      </c>
      <c r="Q5475" s="508">
        <v>0.56299999999999994</v>
      </c>
      <c r="R5475" s="508">
        <v>0.14799999999999999</v>
      </c>
      <c r="S5475" s="508">
        <v>0.29599999999999999</v>
      </c>
      <c r="T5475" s="508">
        <v>0.222</v>
      </c>
      <c r="U5475" s="508">
        <v>0.25</v>
      </c>
      <c r="V5475" s="508">
        <v>0.16</v>
      </c>
      <c r="W5475" s="508">
        <v>0.13300000000000001</v>
      </c>
      <c r="X5475" s="508">
        <v>0.13400000000000001</v>
      </c>
      <c r="Y5475" s="508">
        <v>0.15</v>
      </c>
      <c r="Z5475" s="508">
        <v>0.16500000000000001</v>
      </c>
      <c r="AA5475" s="508">
        <v>1.2E-2</v>
      </c>
      <c r="AB5475" s="508">
        <v>1.2E-2</v>
      </c>
      <c r="AC5475" s="508">
        <v>0.01</v>
      </c>
      <c r="AD5475" s="508">
        <v>8.9999999999999993E-3</v>
      </c>
      <c r="AE5475" s="508">
        <v>0.01</v>
      </c>
      <c r="AF5475" s="508">
        <v>6.0000000000000001E-3</v>
      </c>
      <c r="AG5475" s="508">
        <v>6.0000000000000001E-3</v>
      </c>
      <c r="AH5475" s="508">
        <v>6.0000000000000001E-3</v>
      </c>
      <c r="AI5475" s="492">
        <v>6.0000000000000001E-3</v>
      </c>
      <c r="AJ5475" s="485"/>
    </row>
    <row r="5476" spans="2:36">
      <c r="B5476" s="136" t="s">
        <v>484</v>
      </c>
      <c r="C5476" s="132" t="s">
        <v>1364</v>
      </c>
      <c r="D5476" s="132" t="s">
        <v>285</v>
      </c>
      <c r="E5476" s="508">
        <v>0.61699999999999999</v>
      </c>
      <c r="F5476" s="508">
        <v>0.67900000000000005</v>
      </c>
      <c r="G5476" s="508">
        <v>0.32100000000000001</v>
      </c>
      <c r="H5476" s="508">
        <v>0.14299999999999999</v>
      </c>
      <c r="I5476" s="508">
        <v>0.183</v>
      </c>
      <c r="J5476" s="508">
        <v>0.66800000000000004</v>
      </c>
      <c r="K5476" s="508">
        <v>0.35799999999999998</v>
      </c>
      <c r="L5476" s="508">
        <v>8.8999999999999996E-2</v>
      </c>
      <c r="M5476" s="508">
        <v>0.33500000000000002</v>
      </c>
      <c r="N5476" s="508">
        <v>0.30299999999999999</v>
      </c>
      <c r="O5476" s="508">
        <v>0.42099999999999999</v>
      </c>
      <c r="P5476" s="508">
        <v>0.41299999999999998</v>
      </c>
      <c r="Q5476" s="508">
        <v>0.47599999999999998</v>
      </c>
      <c r="R5476" s="508">
        <v>0.13700000000000001</v>
      </c>
      <c r="S5476" s="508">
        <v>0.27300000000000002</v>
      </c>
      <c r="T5476" s="508">
        <v>0.20499999999999999</v>
      </c>
      <c r="U5476" s="508">
        <v>0.23</v>
      </c>
      <c r="V5476" s="508">
        <v>0.14799999999999999</v>
      </c>
      <c r="W5476" s="508">
        <v>0.123</v>
      </c>
      <c r="X5476" s="508">
        <v>0.124</v>
      </c>
      <c r="Y5476" s="508">
        <v>0.13800000000000001</v>
      </c>
      <c r="Z5476" s="508">
        <v>0.153</v>
      </c>
      <c r="AA5476" s="508">
        <v>1.0999999999999999E-2</v>
      </c>
      <c r="AB5476" s="508">
        <v>1.0999999999999999E-2</v>
      </c>
      <c r="AC5476" s="508">
        <v>8.9999999999999993E-3</v>
      </c>
      <c r="AD5476" s="508">
        <v>8.0000000000000002E-3</v>
      </c>
      <c r="AE5476" s="508">
        <v>8.9999999999999993E-3</v>
      </c>
      <c r="AF5476" s="508">
        <v>6.0000000000000001E-3</v>
      </c>
      <c r="AG5476" s="508">
        <v>5.0000000000000001E-3</v>
      </c>
      <c r="AH5476" s="508">
        <v>5.0000000000000001E-3</v>
      </c>
      <c r="AI5476" s="492">
        <v>5.0000000000000001E-3</v>
      </c>
      <c r="AJ5476" s="485"/>
    </row>
    <row r="5477" spans="2:36">
      <c r="B5477" s="136" t="s">
        <v>486</v>
      </c>
      <c r="C5477" s="132" t="s">
        <v>1364</v>
      </c>
      <c r="D5477" s="132" t="s">
        <v>285</v>
      </c>
      <c r="E5477" s="508">
        <v>0.63200000000000001</v>
      </c>
      <c r="F5477" s="508">
        <v>0.69399999999999995</v>
      </c>
      <c r="G5477" s="508">
        <v>0.32900000000000001</v>
      </c>
      <c r="H5477" s="508">
        <v>0.151</v>
      </c>
      <c r="I5477" s="508">
        <v>0.19400000000000001</v>
      </c>
      <c r="J5477" s="508">
        <v>0.71399999999999997</v>
      </c>
      <c r="K5477" s="508">
        <v>0.372</v>
      </c>
      <c r="L5477" s="508">
        <v>9.2999999999999999E-2</v>
      </c>
      <c r="M5477" s="508">
        <v>0.34799999999999998</v>
      </c>
      <c r="N5477" s="508">
        <v>0.33800000000000002</v>
      </c>
      <c r="O5477" s="508">
        <v>0.47399999999999998</v>
      </c>
      <c r="P5477" s="508">
        <v>0.46500000000000002</v>
      </c>
      <c r="Q5477" s="508">
        <v>0.53600000000000003</v>
      </c>
      <c r="R5477" s="508">
        <v>0.14499999999999999</v>
      </c>
      <c r="S5477" s="508">
        <v>0.28899999999999998</v>
      </c>
      <c r="T5477" s="508">
        <v>0.216</v>
      </c>
      <c r="U5477" s="508">
        <v>0.24399999999999999</v>
      </c>
      <c r="V5477" s="508">
        <v>0.156</v>
      </c>
      <c r="W5477" s="508">
        <v>0.13</v>
      </c>
      <c r="X5477" s="508">
        <v>0.13100000000000001</v>
      </c>
      <c r="Y5477" s="508">
        <v>0.14599999999999999</v>
      </c>
      <c r="Z5477" s="508">
        <v>0.161</v>
      </c>
      <c r="AA5477" s="508">
        <v>1.0999999999999999E-2</v>
      </c>
      <c r="AB5477" s="508">
        <v>1.0999999999999999E-2</v>
      </c>
      <c r="AC5477" s="508">
        <v>0.01</v>
      </c>
      <c r="AD5477" s="508">
        <v>8.0000000000000002E-3</v>
      </c>
      <c r="AE5477" s="508">
        <v>8.9999999999999993E-3</v>
      </c>
      <c r="AF5477" s="508">
        <v>6.0000000000000001E-3</v>
      </c>
      <c r="AG5477" s="508">
        <v>6.0000000000000001E-3</v>
      </c>
      <c r="AH5477" s="508">
        <v>6.0000000000000001E-3</v>
      </c>
      <c r="AI5477" s="492">
        <v>6.0000000000000001E-3</v>
      </c>
      <c r="AJ5477" s="485"/>
    </row>
    <row r="5478" spans="2:36">
      <c r="B5478" s="136" t="s">
        <v>487</v>
      </c>
      <c r="C5478" s="132" t="s">
        <v>1364</v>
      </c>
      <c r="D5478" s="132" t="s">
        <v>285</v>
      </c>
      <c r="E5478" s="508">
        <v>0.63100000000000001</v>
      </c>
      <c r="F5478" s="508">
        <v>0.69399999999999995</v>
      </c>
      <c r="G5478" s="508">
        <v>0.33</v>
      </c>
      <c r="H5478" s="508">
        <v>0.151</v>
      </c>
      <c r="I5478" s="508">
        <v>0.19400000000000001</v>
      </c>
      <c r="J5478" s="508">
        <v>0.71299999999999997</v>
      </c>
      <c r="K5478" s="508">
        <v>0.371</v>
      </c>
      <c r="L5478" s="508">
        <v>9.4E-2</v>
      </c>
      <c r="M5478" s="508">
        <v>0.34699999999999998</v>
      </c>
      <c r="N5478" s="508">
        <v>0.33900000000000002</v>
      </c>
      <c r="O5478" s="508">
        <v>0.47399999999999998</v>
      </c>
      <c r="P5478" s="508">
        <v>0.46600000000000003</v>
      </c>
      <c r="Q5478" s="508">
        <v>0.53600000000000003</v>
      </c>
      <c r="R5478" s="508">
        <v>0.14499999999999999</v>
      </c>
      <c r="S5478" s="508">
        <v>0.28899999999999998</v>
      </c>
      <c r="T5478" s="508">
        <v>0.217</v>
      </c>
      <c r="U5478" s="508">
        <v>0.24399999999999999</v>
      </c>
      <c r="V5478" s="508">
        <v>0.156</v>
      </c>
      <c r="W5478" s="508">
        <v>0.13</v>
      </c>
      <c r="X5478" s="508">
        <v>0.13100000000000001</v>
      </c>
      <c r="Y5478" s="508">
        <v>0.14599999999999999</v>
      </c>
      <c r="Z5478" s="508">
        <v>0.161</v>
      </c>
      <c r="AA5478" s="508">
        <v>1.0999999999999999E-2</v>
      </c>
      <c r="AB5478" s="508">
        <v>1.0999999999999999E-2</v>
      </c>
      <c r="AC5478" s="508">
        <v>0.01</v>
      </c>
      <c r="AD5478" s="508">
        <v>8.0000000000000002E-3</v>
      </c>
      <c r="AE5478" s="508">
        <v>0.01</v>
      </c>
      <c r="AF5478" s="508">
        <v>6.0000000000000001E-3</v>
      </c>
      <c r="AG5478" s="508">
        <v>6.0000000000000001E-3</v>
      </c>
      <c r="AH5478" s="508">
        <v>6.0000000000000001E-3</v>
      </c>
      <c r="AI5478" s="492">
        <v>6.0000000000000001E-3</v>
      </c>
      <c r="AJ5478" s="485"/>
    </row>
    <row r="5479" spans="2:36">
      <c r="B5479" s="136" t="s">
        <v>488</v>
      </c>
      <c r="C5479" s="132" t="s">
        <v>1364</v>
      </c>
      <c r="D5479" s="132" t="s">
        <v>285</v>
      </c>
      <c r="E5479" s="508">
        <v>0.621</v>
      </c>
      <c r="F5479" s="508">
        <v>0.68200000000000005</v>
      </c>
      <c r="G5479" s="508">
        <v>0.32400000000000001</v>
      </c>
      <c r="H5479" s="508">
        <v>0.14499999999999999</v>
      </c>
      <c r="I5479" s="508">
        <v>0.186</v>
      </c>
      <c r="J5479" s="508">
        <v>0.67900000000000005</v>
      </c>
      <c r="K5479" s="508">
        <v>0.36099999999999999</v>
      </c>
      <c r="L5479" s="508">
        <v>0.09</v>
      </c>
      <c r="M5479" s="508">
        <v>0.33800000000000002</v>
      </c>
      <c r="N5479" s="508">
        <v>0.311</v>
      </c>
      <c r="O5479" s="508">
        <v>0.434</v>
      </c>
      <c r="P5479" s="508">
        <v>0.42599999999999999</v>
      </c>
      <c r="Q5479" s="508">
        <v>0.49</v>
      </c>
      <c r="R5479" s="508">
        <v>0.13900000000000001</v>
      </c>
      <c r="S5479" s="508">
        <v>0.27700000000000002</v>
      </c>
      <c r="T5479" s="508">
        <v>0.20799999999999999</v>
      </c>
      <c r="U5479" s="508">
        <v>0.23400000000000001</v>
      </c>
      <c r="V5479" s="508">
        <v>0.15</v>
      </c>
      <c r="W5479" s="508">
        <v>0.125</v>
      </c>
      <c r="X5479" s="508">
        <v>0.125</v>
      </c>
      <c r="Y5479" s="508">
        <v>0.14000000000000001</v>
      </c>
      <c r="Z5479" s="508">
        <v>0.155</v>
      </c>
      <c r="AA5479" s="508">
        <v>1.0999999999999999E-2</v>
      </c>
      <c r="AB5479" s="508">
        <v>1.0999999999999999E-2</v>
      </c>
      <c r="AC5479" s="508">
        <v>0.01</v>
      </c>
      <c r="AD5479" s="508">
        <v>8.0000000000000002E-3</v>
      </c>
      <c r="AE5479" s="508">
        <v>8.9999999999999993E-3</v>
      </c>
      <c r="AF5479" s="508">
        <v>6.0000000000000001E-3</v>
      </c>
      <c r="AG5479" s="508">
        <v>6.0000000000000001E-3</v>
      </c>
      <c r="AH5479" s="508">
        <v>6.0000000000000001E-3</v>
      </c>
      <c r="AI5479" s="492">
        <v>6.0000000000000001E-3</v>
      </c>
      <c r="AJ5479" s="485"/>
    </row>
    <row r="5480" spans="2:36">
      <c r="B5480" s="136" t="s">
        <v>489</v>
      </c>
      <c r="C5480" s="132" t="s">
        <v>1364</v>
      </c>
      <c r="D5480" s="132" t="s">
        <v>285</v>
      </c>
      <c r="E5480" s="508">
        <v>0.626</v>
      </c>
      <c r="F5480" s="508">
        <v>0.68799999999999994</v>
      </c>
      <c r="G5480" s="508">
        <v>0.32600000000000001</v>
      </c>
      <c r="H5480" s="508">
        <v>0.14699999999999999</v>
      </c>
      <c r="I5480" s="508">
        <v>0.19</v>
      </c>
      <c r="J5480" s="508">
        <v>0.69499999999999995</v>
      </c>
      <c r="K5480" s="508">
        <v>0.36699999999999999</v>
      </c>
      <c r="L5480" s="508">
        <v>9.1999999999999998E-2</v>
      </c>
      <c r="M5480" s="508">
        <v>0.34300000000000003</v>
      </c>
      <c r="N5480" s="508">
        <v>0.32400000000000001</v>
      </c>
      <c r="O5480" s="508">
        <v>0.45200000000000001</v>
      </c>
      <c r="P5480" s="508">
        <v>0.44400000000000001</v>
      </c>
      <c r="Q5480" s="508">
        <v>0.51100000000000001</v>
      </c>
      <c r="R5480" s="508">
        <v>0.14199999999999999</v>
      </c>
      <c r="S5480" s="508">
        <v>0.28199999999999997</v>
      </c>
      <c r="T5480" s="508">
        <v>0.21199999999999999</v>
      </c>
      <c r="U5480" s="508">
        <v>0.23799999999999999</v>
      </c>
      <c r="V5480" s="508">
        <v>0.153</v>
      </c>
      <c r="W5480" s="508">
        <v>0.127</v>
      </c>
      <c r="X5480" s="508">
        <v>0.128</v>
      </c>
      <c r="Y5480" s="508">
        <v>0.14299999999999999</v>
      </c>
      <c r="Z5480" s="508">
        <v>0.158</v>
      </c>
      <c r="AA5480" s="508">
        <v>1.0999999999999999E-2</v>
      </c>
      <c r="AB5480" s="508">
        <v>1.0999999999999999E-2</v>
      </c>
      <c r="AC5480" s="508">
        <v>0.01</v>
      </c>
      <c r="AD5480" s="508">
        <v>8.0000000000000002E-3</v>
      </c>
      <c r="AE5480" s="508">
        <v>8.9999999999999993E-3</v>
      </c>
      <c r="AF5480" s="508">
        <v>6.0000000000000001E-3</v>
      </c>
      <c r="AG5480" s="508">
        <v>6.0000000000000001E-3</v>
      </c>
      <c r="AH5480" s="508">
        <v>6.0000000000000001E-3</v>
      </c>
      <c r="AI5480" s="492">
        <v>6.0000000000000001E-3</v>
      </c>
      <c r="AJ5480" s="485"/>
    </row>
    <row r="5481" spans="2:36">
      <c r="B5481" s="136" t="s">
        <v>490</v>
      </c>
      <c r="C5481" s="132" t="s">
        <v>1364</v>
      </c>
      <c r="D5481" s="132" t="s">
        <v>285</v>
      </c>
      <c r="E5481" s="508">
        <v>0.61699999999999999</v>
      </c>
      <c r="F5481" s="508">
        <v>0.67900000000000005</v>
      </c>
      <c r="G5481" s="508">
        <v>0.32300000000000001</v>
      </c>
      <c r="H5481" s="508">
        <v>0.14399999999999999</v>
      </c>
      <c r="I5481" s="508">
        <v>0.184</v>
      </c>
      <c r="J5481" s="508">
        <v>0.67100000000000004</v>
      </c>
      <c r="K5481" s="508">
        <v>0.35799999999999998</v>
      </c>
      <c r="L5481" s="508">
        <v>0.09</v>
      </c>
      <c r="M5481" s="508">
        <v>0.33500000000000002</v>
      </c>
      <c r="N5481" s="508">
        <v>0.30599999999999999</v>
      </c>
      <c r="O5481" s="508">
        <v>0.42599999999999999</v>
      </c>
      <c r="P5481" s="508">
        <v>0.41799999999999998</v>
      </c>
      <c r="Q5481" s="508">
        <v>0.48099999999999998</v>
      </c>
      <c r="R5481" s="508">
        <v>0.13800000000000001</v>
      </c>
      <c r="S5481" s="508">
        <v>0.27500000000000002</v>
      </c>
      <c r="T5481" s="508">
        <v>0.20599999999999999</v>
      </c>
      <c r="U5481" s="508">
        <v>0.23200000000000001</v>
      </c>
      <c r="V5481" s="508">
        <v>0.14899999999999999</v>
      </c>
      <c r="W5481" s="508">
        <v>0.124</v>
      </c>
      <c r="X5481" s="508">
        <v>0.124</v>
      </c>
      <c r="Y5481" s="508">
        <v>0.13900000000000001</v>
      </c>
      <c r="Z5481" s="508">
        <v>0.154</v>
      </c>
      <c r="AA5481" s="508">
        <v>1.0999999999999999E-2</v>
      </c>
      <c r="AB5481" s="508">
        <v>1.0999999999999999E-2</v>
      </c>
      <c r="AC5481" s="508">
        <v>8.9999999999999993E-3</v>
      </c>
      <c r="AD5481" s="508">
        <v>8.0000000000000002E-3</v>
      </c>
      <c r="AE5481" s="508">
        <v>8.9999999999999993E-3</v>
      </c>
      <c r="AF5481" s="508">
        <v>6.0000000000000001E-3</v>
      </c>
      <c r="AG5481" s="508">
        <v>6.0000000000000001E-3</v>
      </c>
      <c r="AH5481" s="508">
        <v>6.0000000000000001E-3</v>
      </c>
      <c r="AI5481" s="492">
        <v>6.0000000000000001E-3</v>
      </c>
      <c r="AJ5481" s="485"/>
    </row>
    <row r="5482" spans="2:36">
      <c r="B5482" s="136" t="s">
        <v>435</v>
      </c>
      <c r="C5482" s="132" t="s">
        <v>1365</v>
      </c>
      <c r="D5482" s="132" t="s">
        <v>285</v>
      </c>
      <c r="E5482" s="508">
        <v>7.3999999999999996E-2</v>
      </c>
      <c r="F5482" s="508">
        <v>6.8000000000000005E-2</v>
      </c>
      <c r="G5482" s="508">
        <v>6.7000000000000004E-2</v>
      </c>
      <c r="H5482" s="508">
        <v>5.8000000000000003E-2</v>
      </c>
      <c r="I5482" s="508">
        <v>5.8000000000000003E-2</v>
      </c>
      <c r="J5482" s="508">
        <v>0.06</v>
      </c>
      <c r="K5482" s="508">
        <v>3.6999999999999998E-2</v>
      </c>
      <c r="L5482" s="508">
        <v>3.5999999999999997E-2</v>
      </c>
      <c r="M5482" s="508">
        <v>3.5000000000000003E-2</v>
      </c>
      <c r="N5482" s="508">
        <v>3.9E-2</v>
      </c>
      <c r="O5482" s="508">
        <v>3.1E-2</v>
      </c>
      <c r="P5482" s="508">
        <v>2.1000000000000001E-2</v>
      </c>
      <c r="Q5482" s="508">
        <v>2.3E-2</v>
      </c>
      <c r="R5482" s="508">
        <v>1.7999999999999999E-2</v>
      </c>
      <c r="S5482" s="508">
        <v>1.6E-2</v>
      </c>
      <c r="T5482" s="508">
        <v>1.6E-2</v>
      </c>
      <c r="U5482" s="508">
        <v>1.0999999999999999E-2</v>
      </c>
      <c r="V5482" s="508">
        <v>0.01</v>
      </c>
      <c r="W5482" s="508">
        <v>0.01</v>
      </c>
      <c r="X5482" s="508">
        <v>8.9999999999999993E-3</v>
      </c>
      <c r="Y5482" s="508">
        <v>8.9999999999999993E-3</v>
      </c>
      <c r="Z5482" s="508">
        <v>7.0000000000000001E-3</v>
      </c>
      <c r="AA5482" s="508">
        <v>7.0000000000000001E-3</v>
      </c>
      <c r="AB5482" s="508">
        <v>6.0000000000000001E-3</v>
      </c>
      <c r="AC5482" s="508">
        <v>6.0000000000000001E-3</v>
      </c>
      <c r="AD5482" s="508">
        <v>5.0000000000000001E-3</v>
      </c>
      <c r="AE5482" s="508">
        <v>5.0000000000000001E-3</v>
      </c>
      <c r="AF5482" s="508">
        <v>3.0000000000000001E-3</v>
      </c>
      <c r="AG5482" s="508">
        <v>3.0000000000000001E-3</v>
      </c>
      <c r="AH5482" s="508">
        <v>3.0000000000000001E-3</v>
      </c>
      <c r="AI5482" s="492">
        <v>3.0000000000000001E-3</v>
      </c>
      <c r="AJ5482" s="485"/>
    </row>
    <row r="5483" spans="2:36">
      <c r="B5483" s="136" t="s">
        <v>436</v>
      </c>
      <c r="C5483" s="132" t="s">
        <v>1365</v>
      </c>
      <c r="D5483" s="132" t="s">
        <v>285</v>
      </c>
      <c r="E5483" s="508">
        <v>0.22800000000000001</v>
      </c>
      <c r="F5483" s="508">
        <v>0.21099999999999999</v>
      </c>
      <c r="G5483" s="508">
        <v>0.20799999999999999</v>
      </c>
      <c r="H5483" s="508">
        <v>0.17599999999999999</v>
      </c>
      <c r="I5483" s="508">
        <v>0.17699999999999999</v>
      </c>
      <c r="J5483" s="508">
        <v>0.18099999999999999</v>
      </c>
      <c r="K5483" s="508">
        <v>0.115</v>
      </c>
      <c r="L5483" s="508">
        <v>0.112</v>
      </c>
      <c r="M5483" s="508">
        <v>0.109</v>
      </c>
      <c r="N5483" s="508">
        <v>0.115</v>
      </c>
      <c r="O5483" s="508">
        <v>9.6000000000000002E-2</v>
      </c>
      <c r="P5483" s="508">
        <v>6.4000000000000001E-2</v>
      </c>
      <c r="Q5483" s="508">
        <v>6.8000000000000005E-2</v>
      </c>
      <c r="R5483" s="508">
        <v>5.5E-2</v>
      </c>
      <c r="S5483" s="508">
        <v>4.9000000000000002E-2</v>
      </c>
      <c r="T5483" s="508">
        <v>4.9000000000000002E-2</v>
      </c>
      <c r="U5483" s="508">
        <v>2.9000000000000001E-2</v>
      </c>
      <c r="V5483" s="508">
        <v>2.5999999999999999E-2</v>
      </c>
      <c r="W5483" s="508">
        <v>2.5999999999999999E-2</v>
      </c>
      <c r="X5483" s="508">
        <v>1.4E-2</v>
      </c>
      <c r="Y5483" s="508">
        <v>1.2999999999999999E-2</v>
      </c>
      <c r="Z5483" s="508">
        <v>1.0999999999999999E-2</v>
      </c>
      <c r="AA5483" s="508">
        <v>1.0999999999999999E-2</v>
      </c>
      <c r="AB5483" s="508">
        <v>8.9999999999999993E-3</v>
      </c>
      <c r="AC5483" s="508">
        <v>8.9999999999999993E-3</v>
      </c>
      <c r="AD5483" s="508">
        <v>8.0000000000000002E-3</v>
      </c>
      <c r="AE5483" s="508">
        <v>8.0000000000000002E-3</v>
      </c>
      <c r="AF5483" s="508">
        <v>5.0000000000000001E-3</v>
      </c>
      <c r="AG5483" s="508">
        <v>4.0000000000000001E-3</v>
      </c>
      <c r="AH5483" s="508">
        <v>4.0000000000000001E-3</v>
      </c>
      <c r="AI5483" s="492">
        <v>4.0000000000000001E-3</v>
      </c>
      <c r="AJ5483" s="485"/>
    </row>
    <row r="5484" spans="2:36">
      <c r="B5484" s="136" t="s">
        <v>437</v>
      </c>
      <c r="C5484" s="132" t="s">
        <v>1365</v>
      </c>
      <c r="D5484" s="132" t="s">
        <v>285</v>
      </c>
      <c r="E5484" s="508">
        <v>6.4000000000000001E-2</v>
      </c>
      <c r="F5484" s="508">
        <v>0.06</v>
      </c>
      <c r="G5484" s="508">
        <v>5.8999999999999997E-2</v>
      </c>
      <c r="H5484" s="508">
        <v>0.05</v>
      </c>
      <c r="I5484" s="508">
        <v>0.05</v>
      </c>
      <c r="J5484" s="508">
        <v>5.1999999999999998E-2</v>
      </c>
      <c r="K5484" s="508">
        <v>3.2000000000000001E-2</v>
      </c>
      <c r="L5484" s="508">
        <v>3.1E-2</v>
      </c>
      <c r="M5484" s="508">
        <v>0.03</v>
      </c>
      <c r="N5484" s="508">
        <v>3.2000000000000001E-2</v>
      </c>
      <c r="O5484" s="508">
        <v>2.7E-2</v>
      </c>
      <c r="P5484" s="508">
        <v>1.9E-2</v>
      </c>
      <c r="Q5484" s="508">
        <v>0.02</v>
      </c>
      <c r="R5484" s="508">
        <v>1.6E-2</v>
      </c>
      <c r="S5484" s="508">
        <v>1.4999999999999999E-2</v>
      </c>
      <c r="T5484" s="508">
        <v>1.4999999999999999E-2</v>
      </c>
      <c r="U5484" s="508">
        <v>8.0000000000000002E-3</v>
      </c>
      <c r="V5484" s="508">
        <v>7.0000000000000001E-3</v>
      </c>
      <c r="W5484" s="508">
        <v>7.0000000000000001E-3</v>
      </c>
      <c r="X5484" s="508">
        <v>7.0000000000000001E-3</v>
      </c>
      <c r="Y5484" s="508">
        <v>7.0000000000000001E-3</v>
      </c>
      <c r="Z5484" s="508">
        <v>6.0000000000000001E-3</v>
      </c>
      <c r="AA5484" s="508">
        <v>6.0000000000000001E-3</v>
      </c>
      <c r="AB5484" s="508">
        <v>5.0000000000000001E-3</v>
      </c>
      <c r="AC5484" s="508">
        <v>5.0000000000000001E-3</v>
      </c>
      <c r="AD5484" s="508">
        <v>5.0000000000000001E-3</v>
      </c>
      <c r="AE5484" s="508">
        <v>5.0000000000000001E-3</v>
      </c>
      <c r="AF5484" s="508">
        <v>3.0000000000000001E-3</v>
      </c>
      <c r="AG5484" s="508">
        <v>3.0000000000000001E-3</v>
      </c>
      <c r="AH5484" s="508">
        <v>3.0000000000000001E-3</v>
      </c>
      <c r="AI5484" s="492">
        <v>3.0000000000000001E-3</v>
      </c>
      <c r="AJ5484" s="485"/>
    </row>
    <row r="5485" spans="2:36">
      <c r="B5485" s="136" t="s">
        <v>438</v>
      </c>
      <c r="C5485" s="132" t="s">
        <v>1365</v>
      </c>
      <c r="D5485" s="132" t="s">
        <v>285</v>
      </c>
      <c r="E5485" s="508">
        <v>8.1000000000000003E-2</v>
      </c>
      <c r="F5485" s="508">
        <v>7.6999999999999999E-2</v>
      </c>
      <c r="G5485" s="508">
        <v>7.4999999999999997E-2</v>
      </c>
      <c r="H5485" s="508">
        <v>6.4000000000000001E-2</v>
      </c>
      <c r="I5485" s="508">
        <v>6.4000000000000001E-2</v>
      </c>
      <c r="J5485" s="508">
        <v>6.8000000000000005E-2</v>
      </c>
      <c r="K5485" s="508">
        <v>0.04</v>
      </c>
      <c r="L5485" s="508">
        <v>3.9E-2</v>
      </c>
      <c r="M5485" s="508">
        <v>3.7999999999999999E-2</v>
      </c>
      <c r="N5485" s="508">
        <v>4.2999999999999997E-2</v>
      </c>
      <c r="O5485" s="508">
        <v>3.5000000000000003E-2</v>
      </c>
      <c r="P5485" s="508">
        <v>2.3E-2</v>
      </c>
      <c r="Q5485" s="508">
        <v>2.5000000000000001E-2</v>
      </c>
      <c r="R5485" s="508">
        <v>0.02</v>
      </c>
      <c r="S5485" s="508">
        <v>1.7999999999999999E-2</v>
      </c>
      <c r="T5485" s="508">
        <v>1.9E-2</v>
      </c>
      <c r="U5485" s="508">
        <v>1.0999999999999999E-2</v>
      </c>
      <c r="V5485" s="508">
        <v>0.01</v>
      </c>
      <c r="W5485" s="508">
        <v>0.01</v>
      </c>
      <c r="X5485" s="508">
        <v>8.0000000000000002E-3</v>
      </c>
      <c r="Y5485" s="508">
        <v>8.0000000000000002E-3</v>
      </c>
      <c r="Z5485" s="508">
        <v>7.0000000000000001E-3</v>
      </c>
      <c r="AA5485" s="508">
        <v>7.0000000000000001E-3</v>
      </c>
      <c r="AB5485" s="508">
        <v>6.0000000000000001E-3</v>
      </c>
      <c r="AC5485" s="508">
        <v>6.0000000000000001E-3</v>
      </c>
      <c r="AD5485" s="508">
        <v>5.0000000000000001E-3</v>
      </c>
      <c r="AE5485" s="508">
        <v>5.0000000000000001E-3</v>
      </c>
      <c r="AF5485" s="508">
        <v>3.0000000000000001E-3</v>
      </c>
      <c r="AG5485" s="508">
        <v>3.0000000000000001E-3</v>
      </c>
      <c r="AH5485" s="508">
        <v>3.0000000000000001E-3</v>
      </c>
      <c r="AI5485" s="492">
        <v>3.0000000000000001E-3</v>
      </c>
      <c r="AJ5485" s="485"/>
    </row>
    <row r="5486" spans="2:36">
      <c r="B5486" s="136" t="s">
        <v>439</v>
      </c>
      <c r="C5486" s="132" t="s">
        <v>1365</v>
      </c>
      <c r="D5486" s="132" t="s">
        <v>285</v>
      </c>
      <c r="E5486" s="508">
        <v>8.2000000000000003E-2</v>
      </c>
      <c r="F5486" s="508">
        <v>7.8E-2</v>
      </c>
      <c r="G5486" s="508">
        <v>7.6999999999999999E-2</v>
      </c>
      <c r="H5486" s="508">
        <v>6.4000000000000001E-2</v>
      </c>
      <c r="I5486" s="508">
        <v>6.4000000000000001E-2</v>
      </c>
      <c r="J5486" s="508">
        <v>6.7000000000000004E-2</v>
      </c>
      <c r="K5486" s="508">
        <v>4.2000000000000003E-2</v>
      </c>
      <c r="L5486" s="508">
        <v>0.04</v>
      </c>
      <c r="M5486" s="508">
        <v>0.04</v>
      </c>
      <c r="N5486" s="508">
        <v>4.2000000000000003E-2</v>
      </c>
      <c r="O5486" s="508">
        <v>3.5000000000000003E-2</v>
      </c>
      <c r="P5486" s="508">
        <v>2.5000000000000001E-2</v>
      </c>
      <c r="Q5486" s="508">
        <v>2.5000000000000001E-2</v>
      </c>
      <c r="R5486" s="508">
        <v>2.1000000000000001E-2</v>
      </c>
      <c r="S5486" s="508">
        <v>0.02</v>
      </c>
      <c r="T5486" s="508">
        <v>1.9E-2</v>
      </c>
      <c r="U5486" s="508">
        <v>0.01</v>
      </c>
      <c r="V5486" s="508">
        <v>8.9999999999999993E-3</v>
      </c>
      <c r="W5486" s="508">
        <v>8.9999999999999993E-3</v>
      </c>
      <c r="X5486" s="508">
        <v>7.0000000000000001E-3</v>
      </c>
      <c r="Y5486" s="508">
        <v>7.0000000000000001E-3</v>
      </c>
      <c r="Z5486" s="508">
        <v>6.0000000000000001E-3</v>
      </c>
      <c r="AA5486" s="508">
        <v>6.0000000000000001E-3</v>
      </c>
      <c r="AB5486" s="508">
        <v>5.0000000000000001E-3</v>
      </c>
      <c r="AC5486" s="508">
        <v>5.0000000000000001E-3</v>
      </c>
      <c r="AD5486" s="508">
        <v>5.0000000000000001E-3</v>
      </c>
      <c r="AE5486" s="508">
        <v>5.0000000000000001E-3</v>
      </c>
      <c r="AF5486" s="508">
        <v>3.0000000000000001E-3</v>
      </c>
      <c r="AG5486" s="508">
        <v>3.0000000000000001E-3</v>
      </c>
      <c r="AH5486" s="508">
        <v>3.0000000000000001E-3</v>
      </c>
      <c r="AI5486" s="492">
        <v>3.0000000000000001E-3</v>
      </c>
      <c r="AJ5486" s="485"/>
    </row>
    <row r="5487" spans="2:36">
      <c r="B5487" s="136" t="s">
        <v>440</v>
      </c>
      <c r="C5487" s="132" t="s">
        <v>1365</v>
      </c>
      <c r="D5487" s="132" t="s">
        <v>285</v>
      </c>
      <c r="E5487" s="508">
        <v>0.126</v>
      </c>
      <c r="F5487" s="508">
        <v>0.11799999999999999</v>
      </c>
      <c r="G5487" s="508">
        <v>0.11600000000000001</v>
      </c>
      <c r="H5487" s="508">
        <v>9.8000000000000004E-2</v>
      </c>
      <c r="I5487" s="508">
        <v>9.9000000000000005E-2</v>
      </c>
      <c r="J5487" s="508">
        <v>0.10199999999999999</v>
      </c>
      <c r="K5487" s="508">
        <v>6.4000000000000001E-2</v>
      </c>
      <c r="L5487" s="508">
        <v>6.2E-2</v>
      </c>
      <c r="M5487" s="508">
        <v>6.0999999999999999E-2</v>
      </c>
      <c r="N5487" s="508">
        <v>6.4000000000000001E-2</v>
      </c>
      <c r="O5487" s="508">
        <v>5.3999999999999999E-2</v>
      </c>
      <c r="P5487" s="508">
        <v>3.6999999999999998E-2</v>
      </c>
      <c r="Q5487" s="508">
        <v>3.7999999999999999E-2</v>
      </c>
      <c r="R5487" s="508">
        <v>3.1E-2</v>
      </c>
      <c r="S5487" s="508">
        <v>2.9000000000000001E-2</v>
      </c>
      <c r="T5487" s="508">
        <v>2.9000000000000001E-2</v>
      </c>
      <c r="U5487" s="508">
        <v>1.7000000000000001E-2</v>
      </c>
      <c r="V5487" s="508">
        <v>1.4999999999999999E-2</v>
      </c>
      <c r="W5487" s="508">
        <v>1.4999999999999999E-2</v>
      </c>
      <c r="X5487" s="508">
        <v>0.01</v>
      </c>
      <c r="Y5487" s="508">
        <v>0.01</v>
      </c>
      <c r="Z5487" s="508">
        <v>8.0000000000000002E-3</v>
      </c>
      <c r="AA5487" s="508">
        <v>8.0000000000000002E-3</v>
      </c>
      <c r="AB5487" s="508">
        <v>7.0000000000000001E-3</v>
      </c>
      <c r="AC5487" s="508">
        <v>7.0000000000000001E-3</v>
      </c>
      <c r="AD5487" s="508">
        <v>6.0000000000000001E-3</v>
      </c>
      <c r="AE5487" s="508">
        <v>6.0000000000000001E-3</v>
      </c>
      <c r="AF5487" s="508">
        <v>4.0000000000000001E-3</v>
      </c>
      <c r="AG5487" s="508">
        <v>4.0000000000000001E-3</v>
      </c>
      <c r="AH5487" s="508">
        <v>4.0000000000000001E-3</v>
      </c>
      <c r="AI5487" s="492">
        <v>4.0000000000000001E-3</v>
      </c>
      <c r="AJ5487" s="485"/>
    </row>
    <row r="5488" spans="2:36">
      <c r="B5488" s="136" t="s">
        <v>441</v>
      </c>
      <c r="C5488" s="132" t="s">
        <v>1365</v>
      </c>
      <c r="D5488" s="132" t="s">
        <v>285</v>
      </c>
      <c r="E5488" s="508">
        <v>0.123</v>
      </c>
      <c r="F5488" s="508">
        <v>0.11700000000000001</v>
      </c>
      <c r="G5488" s="508">
        <v>0.115</v>
      </c>
      <c r="H5488" s="508">
        <v>9.5000000000000001E-2</v>
      </c>
      <c r="I5488" s="508">
        <v>9.6000000000000002E-2</v>
      </c>
      <c r="J5488" s="508">
        <v>0.1</v>
      </c>
      <c r="K5488" s="508">
        <v>6.2E-2</v>
      </c>
      <c r="L5488" s="508">
        <v>6.0999999999999999E-2</v>
      </c>
      <c r="M5488" s="508">
        <v>5.8999999999999997E-2</v>
      </c>
      <c r="N5488" s="508">
        <v>6.0999999999999999E-2</v>
      </c>
      <c r="O5488" s="508">
        <v>5.2999999999999999E-2</v>
      </c>
      <c r="P5488" s="508">
        <v>3.6999999999999998E-2</v>
      </c>
      <c r="Q5488" s="508">
        <v>3.6999999999999998E-2</v>
      </c>
      <c r="R5488" s="508">
        <v>3.1E-2</v>
      </c>
      <c r="S5488" s="508">
        <v>2.9000000000000001E-2</v>
      </c>
      <c r="T5488" s="508">
        <v>2.9000000000000001E-2</v>
      </c>
      <c r="U5488" s="508">
        <v>1.7999999999999999E-2</v>
      </c>
      <c r="V5488" s="508">
        <v>1.4999999999999999E-2</v>
      </c>
      <c r="W5488" s="508">
        <v>1.4999999999999999E-2</v>
      </c>
      <c r="X5488" s="508">
        <v>0.01</v>
      </c>
      <c r="Y5488" s="508">
        <v>0.01</v>
      </c>
      <c r="Z5488" s="508">
        <v>8.0000000000000002E-3</v>
      </c>
      <c r="AA5488" s="508">
        <v>8.0000000000000002E-3</v>
      </c>
      <c r="AB5488" s="508">
        <v>7.0000000000000001E-3</v>
      </c>
      <c r="AC5488" s="508">
        <v>7.0000000000000001E-3</v>
      </c>
      <c r="AD5488" s="508">
        <v>6.0000000000000001E-3</v>
      </c>
      <c r="AE5488" s="508">
        <v>6.0000000000000001E-3</v>
      </c>
      <c r="AF5488" s="508">
        <v>4.0000000000000001E-3</v>
      </c>
      <c r="AG5488" s="508">
        <v>4.0000000000000001E-3</v>
      </c>
      <c r="AH5488" s="508">
        <v>4.0000000000000001E-3</v>
      </c>
      <c r="AI5488" s="492">
        <v>4.0000000000000001E-3</v>
      </c>
      <c r="AJ5488" s="485"/>
    </row>
    <row r="5489" spans="2:36">
      <c r="B5489" s="136" t="s">
        <v>443</v>
      </c>
      <c r="C5489" s="132" t="s">
        <v>1365</v>
      </c>
      <c r="D5489" s="132" t="s">
        <v>285</v>
      </c>
      <c r="E5489" s="508">
        <v>9.9000000000000005E-2</v>
      </c>
      <c r="F5489" s="508">
        <v>0.09</v>
      </c>
      <c r="G5489" s="508">
        <v>8.7999999999999995E-2</v>
      </c>
      <c r="H5489" s="508">
        <v>7.6999999999999999E-2</v>
      </c>
      <c r="I5489" s="508">
        <v>7.8E-2</v>
      </c>
      <c r="J5489" s="508">
        <v>7.8E-2</v>
      </c>
      <c r="K5489" s="508">
        <v>0.05</v>
      </c>
      <c r="L5489" s="508">
        <v>4.8000000000000001E-2</v>
      </c>
      <c r="M5489" s="508">
        <v>4.7E-2</v>
      </c>
      <c r="N5489" s="508">
        <v>5.0999999999999997E-2</v>
      </c>
      <c r="O5489" s="508">
        <v>0.04</v>
      </c>
      <c r="P5489" s="508">
        <v>2.8000000000000001E-2</v>
      </c>
      <c r="Q5489" s="508">
        <v>0.03</v>
      </c>
      <c r="R5489" s="508">
        <v>2.4E-2</v>
      </c>
      <c r="S5489" s="508">
        <v>2.1000000000000001E-2</v>
      </c>
      <c r="T5489" s="508">
        <v>2.1000000000000001E-2</v>
      </c>
      <c r="U5489" s="508">
        <v>1.2E-2</v>
      </c>
      <c r="V5489" s="508">
        <v>1.0999999999999999E-2</v>
      </c>
      <c r="W5489" s="508">
        <v>1.0999999999999999E-2</v>
      </c>
      <c r="X5489" s="508">
        <v>8.9999999999999993E-3</v>
      </c>
      <c r="Y5489" s="508">
        <v>8.9999999999999993E-3</v>
      </c>
      <c r="Z5489" s="508">
        <v>7.0000000000000001E-3</v>
      </c>
      <c r="AA5489" s="508">
        <v>7.0000000000000001E-3</v>
      </c>
      <c r="AB5489" s="508">
        <v>6.0000000000000001E-3</v>
      </c>
      <c r="AC5489" s="508">
        <v>6.0000000000000001E-3</v>
      </c>
      <c r="AD5489" s="508">
        <v>5.0000000000000001E-3</v>
      </c>
      <c r="AE5489" s="508">
        <v>5.0000000000000001E-3</v>
      </c>
      <c r="AF5489" s="508">
        <v>3.0000000000000001E-3</v>
      </c>
      <c r="AG5489" s="508">
        <v>3.0000000000000001E-3</v>
      </c>
      <c r="AH5489" s="508">
        <v>3.0000000000000001E-3</v>
      </c>
      <c r="AI5489" s="492">
        <v>3.0000000000000001E-3</v>
      </c>
      <c r="AJ5489" s="485"/>
    </row>
    <row r="5490" spans="2:36">
      <c r="B5490" s="136" t="s">
        <v>445</v>
      </c>
      <c r="C5490" s="132" t="s">
        <v>1365</v>
      </c>
      <c r="D5490" s="132" t="s">
        <v>285</v>
      </c>
      <c r="E5490" s="508">
        <v>9.9000000000000005E-2</v>
      </c>
      <c r="F5490" s="508">
        <v>8.8999999999999996E-2</v>
      </c>
      <c r="G5490" s="508">
        <v>8.6999999999999994E-2</v>
      </c>
      <c r="H5490" s="508">
        <v>7.5999999999999998E-2</v>
      </c>
      <c r="I5490" s="508">
        <v>7.5999999999999998E-2</v>
      </c>
      <c r="J5490" s="508">
        <v>7.3999999999999996E-2</v>
      </c>
      <c r="K5490" s="508">
        <v>5.0999999999999997E-2</v>
      </c>
      <c r="L5490" s="508">
        <v>4.9000000000000002E-2</v>
      </c>
      <c r="M5490" s="508">
        <v>4.8000000000000001E-2</v>
      </c>
      <c r="N5490" s="508">
        <v>4.7E-2</v>
      </c>
      <c r="O5490" s="508">
        <v>0.04</v>
      </c>
      <c r="P5490" s="508">
        <v>2.9000000000000001E-2</v>
      </c>
      <c r="Q5490" s="508">
        <v>2.9000000000000001E-2</v>
      </c>
      <c r="R5490" s="508">
        <v>2.4E-2</v>
      </c>
      <c r="S5490" s="508">
        <v>2.1000000000000001E-2</v>
      </c>
      <c r="T5490" s="508">
        <v>2.1000000000000001E-2</v>
      </c>
      <c r="U5490" s="508">
        <v>1.2999999999999999E-2</v>
      </c>
      <c r="V5490" s="508">
        <v>1.0999999999999999E-2</v>
      </c>
      <c r="W5490" s="508">
        <v>1.2E-2</v>
      </c>
      <c r="X5490" s="508">
        <v>8.9999999999999993E-3</v>
      </c>
      <c r="Y5490" s="508">
        <v>8.9999999999999993E-3</v>
      </c>
      <c r="Z5490" s="508">
        <v>7.0000000000000001E-3</v>
      </c>
      <c r="AA5490" s="508">
        <v>7.0000000000000001E-3</v>
      </c>
      <c r="AB5490" s="508">
        <v>6.0000000000000001E-3</v>
      </c>
      <c r="AC5490" s="508">
        <v>6.0000000000000001E-3</v>
      </c>
      <c r="AD5490" s="508">
        <v>5.0000000000000001E-3</v>
      </c>
      <c r="AE5490" s="508">
        <v>5.0000000000000001E-3</v>
      </c>
      <c r="AF5490" s="508">
        <v>3.0000000000000001E-3</v>
      </c>
      <c r="AG5490" s="508">
        <v>3.0000000000000001E-3</v>
      </c>
      <c r="AH5490" s="508">
        <v>3.0000000000000001E-3</v>
      </c>
      <c r="AI5490" s="492">
        <v>3.0000000000000001E-3</v>
      </c>
      <c r="AJ5490" s="485"/>
    </row>
    <row r="5491" spans="2:36">
      <c r="B5491" s="136" t="s">
        <v>446</v>
      </c>
      <c r="C5491" s="132" t="s">
        <v>1365</v>
      </c>
      <c r="D5491" s="132" t="s">
        <v>285</v>
      </c>
      <c r="E5491" s="508">
        <v>6.4000000000000001E-2</v>
      </c>
      <c r="F5491" s="508">
        <v>5.8000000000000003E-2</v>
      </c>
      <c r="G5491" s="508">
        <v>5.7000000000000002E-2</v>
      </c>
      <c r="H5491" s="508">
        <v>4.9000000000000002E-2</v>
      </c>
      <c r="I5491" s="508">
        <v>0.05</v>
      </c>
      <c r="J5491" s="508">
        <v>4.9000000000000002E-2</v>
      </c>
      <c r="K5491" s="508">
        <v>3.2000000000000001E-2</v>
      </c>
      <c r="L5491" s="508">
        <v>3.1E-2</v>
      </c>
      <c r="M5491" s="508">
        <v>3.1E-2</v>
      </c>
      <c r="N5491" s="508">
        <v>3.1E-2</v>
      </c>
      <c r="O5491" s="508">
        <v>2.5999999999999999E-2</v>
      </c>
      <c r="P5491" s="508">
        <v>1.9E-2</v>
      </c>
      <c r="Q5491" s="508">
        <v>1.9E-2</v>
      </c>
      <c r="R5491" s="508">
        <v>1.6E-2</v>
      </c>
      <c r="S5491" s="508">
        <v>1.4E-2</v>
      </c>
      <c r="T5491" s="508">
        <v>1.4E-2</v>
      </c>
      <c r="U5491" s="508">
        <v>0.01</v>
      </c>
      <c r="V5491" s="508">
        <v>8.0000000000000002E-3</v>
      </c>
      <c r="W5491" s="508">
        <v>8.0000000000000002E-3</v>
      </c>
      <c r="X5491" s="508">
        <v>8.9999999999999993E-3</v>
      </c>
      <c r="Y5491" s="508">
        <v>8.0000000000000002E-3</v>
      </c>
      <c r="Z5491" s="508">
        <v>7.0000000000000001E-3</v>
      </c>
      <c r="AA5491" s="508">
        <v>7.0000000000000001E-3</v>
      </c>
      <c r="AB5491" s="508">
        <v>6.0000000000000001E-3</v>
      </c>
      <c r="AC5491" s="508">
        <v>6.0000000000000001E-3</v>
      </c>
      <c r="AD5491" s="508">
        <v>5.0000000000000001E-3</v>
      </c>
      <c r="AE5491" s="508">
        <v>5.0000000000000001E-3</v>
      </c>
      <c r="AF5491" s="508">
        <v>3.0000000000000001E-3</v>
      </c>
      <c r="AG5491" s="508">
        <v>3.0000000000000001E-3</v>
      </c>
      <c r="AH5491" s="508">
        <v>3.0000000000000001E-3</v>
      </c>
      <c r="AI5491" s="492">
        <v>3.0000000000000001E-3</v>
      </c>
      <c r="AJ5491" s="485"/>
    </row>
    <row r="5492" spans="2:36">
      <c r="B5492" s="136" t="s">
        <v>448</v>
      </c>
      <c r="C5492" s="132" t="s">
        <v>1365</v>
      </c>
      <c r="D5492" s="132" t="s">
        <v>285</v>
      </c>
      <c r="E5492" s="508">
        <v>7.8E-2</v>
      </c>
      <c r="F5492" s="508">
        <v>7.2999999999999995E-2</v>
      </c>
      <c r="G5492" s="508">
        <v>7.1999999999999995E-2</v>
      </c>
      <c r="H5492" s="508">
        <v>6.0999999999999999E-2</v>
      </c>
      <c r="I5492" s="508">
        <v>6.0999999999999999E-2</v>
      </c>
      <c r="J5492" s="508">
        <v>6.4000000000000001E-2</v>
      </c>
      <c r="K5492" s="508">
        <v>3.7999999999999999E-2</v>
      </c>
      <c r="L5492" s="508">
        <v>3.7999999999999999E-2</v>
      </c>
      <c r="M5492" s="508">
        <v>3.6999999999999998E-2</v>
      </c>
      <c r="N5492" s="508">
        <v>4.1000000000000002E-2</v>
      </c>
      <c r="O5492" s="508">
        <v>3.3000000000000002E-2</v>
      </c>
      <c r="P5492" s="508">
        <v>2.1999999999999999E-2</v>
      </c>
      <c r="Q5492" s="508">
        <v>2.4E-2</v>
      </c>
      <c r="R5492" s="508">
        <v>1.9E-2</v>
      </c>
      <c r="S5492" s="508">
        <v>1.7000000000000001E-2</v>
      </c>
      <c r="T5492" s="508">
        <v>1.7999999999999999E-2</v>
      </c>
      <c r="U5492" s="508">
        <v>1.2E-2</v>
      </c>
      <c r="V5492" s="508">
        <v>0.01</v>
      </c>
      <c r="W5492" s="508">
        <v>0.01</v>
      </c>
      <c r="X5492" s="508">
        <v>8.9999999999999993E-3</v>
      </c>
      <c r="Y5492" s="508">
        <v>8.9999999999999993E-3</v>
      </c>
      <c r="Z5492" s="508">
        <v>7.0000000000000001E-3</v>
      </c>
      <c r="AA5492" s="508">
        <v>7.0000000000000001E-3</v>
      </c>
      <c r="AB5492" s="508">
        <v>6.0000000000000001E-3</v>
      </c>
      <c r="AC5492" s="508">
        <v>6.0000000000000001E-3</v>
      </c>
      <c r="AD5492" s="508">
        <v>6.0000000000000001E-3</v>
      </c>
      <c r="AE5492" s="508">
        <v>6.0000000000000001E-3</v>
      </c>
      <c r="AF5492" s="508">
        <v>4.0000000000000001E-3</v>
      </c>
      <c r="AG5492" s="508">
        <v>4.0000000000000001E-3</v>
      </c>
      <c r="AH5492" s="508">
        <v>3.0000000000000001E-3</v>
      </c>
      <c r="AI5492" s="492">
        <v>3.0000000000000001E-3</v>
      </c>
      <c r="AJ5492" s="485"/>
    </row>
    <row r="5493" spans="2:36">
      <c r="B5493" s="136" t="s">
        <v>449</v>
      </c>
      <c r="C5493" s="132" t="s">
        <v>1365</v>
      </c>
      <c r="D5493" s="132" t="s">
        <v>285</v>
      </c>
      <c r="E5493" s="508">
        <v>6.3E-2</v>
      </c>
      <c r="F5493" s="508">
        <v>5.8000000000000003E-2</v>
      </c>
      <c r="G5493" s="508">
        <v>5.6000000000000001E-2</v>
      </c>
      <c r="H5493" s="508">
        <v>4.9000000000000002E-2</v>
      </c>
      <c r="I5493" s="508">
        <v>4.9000000000000002E-2</v>
      </c>
      <c r="J5493" s="508">
        <v>0.05</v>
      </c>
      <c r="K5493" s="508">
        <v>3.1E-2</v>
      </c>
      <c r="L5493" s="508">
        <v>3.1E-2</v>
      </c>
      <c r="M5493" s="508">
        <v>0.03</v>
      </c>
      <c r="N5493" s="508">
        <v>3.2000000000000001E-2</v>
      </c>
      <c r="O5493" s="508">
        <v>2.5999999999999999E-2</v>
      </c>
      <c r="P5493" s="508">
        <v>1.7999999999999999E-2</v>
      </c>
      <c r="Q5493" s="508">
        <v>1.9E-2</v>
      </c>
      <c r="R5493" s="508">
        <v>1.6E-2</v>
      </c>
      <c r="S5493" s="508">
        <v>1.4E-2</v>
      </c>
      <c r="T5493" s="508">
        <v>1.4E-2</v>
      </c>
      <c r="U5493" s="508">
        <v>8.9999999999999993E-3</v>
      </c>
      <c r="V5493" s="508">
        <v>8.0000000000000002E-3</v>
      </c>
      <c r="W5493" s="508">
        <v>8.0000000000000002E-3</v>
      </c>
      <c r="X5493" s="508">
        <v>8.0000000000000002E-3</v>
      </c>
      <c r="Y5493" s="508">
        <v>8.0000000000000002E-3</v>
      </c>
      <c r="Z5493" s="508">
        <v>6.0000000000000001E-3</v>
      </c>
      <c r="AA5493" s="508">
        <v>6.0000000000000001E-3</v>
      </c>
      <c r="AB5493" s="508">
        <v>6.0000000000000001E-3</v>
      </c>
      <c r="AC5493" s="508">
        <v>5.0000000000000001E-3</v>
      </c>
      <c r="AD5493" s="508">
        <v>5.0000000000000001E-3</v>
      </c>
      <c r="AE5493" s="508">
        <v>5.0000000000000001E-3</v>
      </c>
      <c r="AF5493" s="508">
        <v>3.0000000000000001E-3</v>
      </c>
      <c r="AG5493" s="508">
        <v>3.0000000000000001E-3</v>
      </c>
      <c r="AH5493" s="508">
        <v>3.0000000000000001E-3</v>
      </c>
      <c r="AI5493" s="492">
        <v>3.0000000000000001E-3</v>
      </c>
      <c r="AJ5493" s="485"/>
    </row>
    <row r="5494" spans="2:36">
      <c r="B5494" s="136" t="s">
        <v>450</v>
      </c>
      <c r="C5494" s="132" t="s">
        <v>1365</v>
      </c>
      <c r="D5494" s="132" t="s">
        <v>285</v>
      </c>
      <c r="E5494" s="508">
        <v>0.128</v>
      </c>
      <c r="F5494" s="508">
        <v>0.11799999999999999</v>
      </c>
      <c r="G5494" s="508">
        <v>0.11600000000000001</v>
      </c>
      <c r="H5494" s="508">
        <v>0.1</v>
      </c>
      <c r="I5494" s="508">
        <v>0.1</v>
      </c>
      <c r="J5494" s="508">
        <v>0.10299999999999999</v>
      </c>
      <c r="K5494" s="508">
        <v>6.4000000000000001E-2</v>
      </c>
      <c r="L5494" s="508">
        <v>6.2E-2</v>
      </c>
      <c r="M5494" s="508">
        <v>0.06</v>
      </c>
      <c r="N5494" s="508">
        <v>6.6000000000000003E-2</v>
      </c>
      <c r="O5494" s="508">
        <v>5.3999999999999999E-2</v>
      </c>
      <c r="P5494" s="508">
        <v>3.5999999999999997E-2</v>
      </c>
      <c r="Q5494" s="508">
        <v>3.9E-2</v>
      </c>
      <c r="R5494" s="508">
        <v>3.1E-2</v>
      </c>
      <c r="S5494" s="508">
        <v>2.7E-2</v>
      </c>
      <c r="T5494" s="508">
        <v>2.8000000000000001E-2</v>
      </c>
      <c r="U5494" s="508">
        <v>1.6E-2</v>
      </c>
      <c r="V5494" s="508">
        <v>1.4999999999999999E-2</v>
      </c>
      <c r="W5494" s="508">
        <v>1.4E-2</v>
      </c>
      <c r="X5494" s="508">
        <v>0.01</v>
      </c>
      <c r="Y5494" s="508">
        <v>8.9999999999999993E-3</v>
      </c>
      <c r="Z5494" s="508">
        <v>8.0000000000000002E-3</v>
      </c>
      <c r="AA5494" s="508">
        <v>7.0000000000000001E-3</v>
      </c>
      <c r="AB5494" s="508">
        <v>7.0000000000000001E-3</v>
      </c>
      <c r="AC5494" s="508">
        <v>7.0000000000000001E-3</v>
      </c>
      <c r="AD5494" s="508">
        <v>6.0000000000000001E-3</v>
      </c>
      <c r="AE5494" s="508">
        <v>6.0000000000000001E-3</v>
      </c>
      <c r="AF5494" s="508">
        <v>4.0000000000000001E-3</v>
      </c>
      <c r="AG5494" s="508">
        <v>3.0000000000000001E-3</v>
      </c>
      <c r="AH5494" s="508">
        <v>3.0000000000000001E-3</v>
      </c>
      <c r="AI5494" s="492">
        <v>3.0000000000000001E-3</v>
      </c>
      <c r="AJ5494" s="485"/>
    </row>
    <row r="5495" spans="2:36">
      <c r="B5495" s="136" t="s">
        <v>451</v>
      </c>
      <c r="C5495" s="132" t="s">
        <v>1365</v>
      </c>
      <c r="D5495" s="132" t="s">
        <v>285</v>
      </c>
      <c r="E5495" s="508">
        <v>0.121</v>
      </c>
      <c r="F5495" s="508">
        <v>0.111</v>
      </c>
      <c r="G5495" s="508">
        <v>0.109</v>
      </c>
      <c r="H5495" s="508">
        <v>9.2999999999999999E-2</v>
      </c>
      <c r="I5495" s="508">
        <v>9.2999999999999999E-2</v>
      </c>
      <c r="J5495" s="508">
        <v>9.2999999999999999E-2</v>
      </c>
      <c r="K5495" s="508">
        <v>6.2E-2</v>
      </c>
      <c r="L5495" s="508">
        <v>0.06</v>
      </c>
      <c r="M5495" s="508">
        <v>5.8999999999999997E-2</v>
      </c>
      <c r="N5495" s="508">
        <v>5.8000000000000003E-2</v>
      </c>
      <c r="O5495" s="508">
        <v>0.05</v>
      </c>
      <c r="P5495" s="508">
        <v>3.5000000000000003E-2</v>
      </c>
      <c r="Q5495" s="508">
        <v>3.5999999999999997E-2</v>
      </c>
      <c r="R5495" s="508">
        <v>2.9000000000000001E-2</v>
      </c>
      <c r="S5495" s="508">
        <v>2.7E-2</v>
      </c>
      <c r="T5495" s="508">
        <v>2.5999999999999999E-2</v>
      </c>
      <c r="U5495" s="508">
        <v>1.4999999999999999E-2</v>
      </c>
      <c r="V5495" s="508">
        <v>1.2999999999999999E-2</v>
      </c>
      <c r="W5495" s="508">
        <v>1.2999999999999999E-2</v>
      </c>
      <c r="X5495" s="508">
        <v>8.9999999999999993E-3</v>
      </c>
      <c r="Y5495" s="508">
        <v>8.9999999999999993E-3</v>
      </c>
      <c r="Z5495" s="508">
        <v>7.0000000000000001E-3</v>
      </c>
      <c r="AA5495" s="508">
        <v>7.0000000000000001E-3</v>
      </c>
      <c r="AB5495" s="508">
        <v>6.0000000000000001E-3</v>
      </c>
      <c r="AC5495" s="508">
        <v>6.0000000000000001E-3</v>
      </c>
      <c r="AD5495" s="508">
        <v>5.0000000000000001E-3</v>
      </c>
      <c r="AE5495" s="508">
        <v>5.0000000000000001E-3</v>
      </c>
      <c r="AF5495" s="508">
        <v>3.0000000000000001E-3</v>
      </c>
      <c r="AG5495" s="508">
        <v>3.0000000000000001E-3</v>
      </c>
      <c r="AH5495" s="508">
        <v>3.0000000000000001E-3</v>
      </c>
      <c r="AI5495" s="492">
        <v>3.0000000000000001E-3</v>
      </c>
      <c r="AJ5495" s="485"/>
    </row>
    <row r="5496" spans="2:36">
      <c r="B5496" s="136" t="s">
        <v>452</v>
      </c>
      <c r="C5496" s="132" t="s">
        <v>1365</v>
      </c>
      <c r="D5496" s="132" t="s">
        <v>285</v>
      </c>
      <c r="E5496" s="508">
        <v>0.114</v>
      </c>
      <c r="F5496" s="508">
        <v>0.105</v>
      </c>
      <c r="G5496" s="508">
        <v>0.10299999999999999</v>
      </c>
      <c r="H5496" s="508">
        <v>8.8999999999999996E-2</v>
      </c>
      <c r="I5496" s="508">
        <v>8.8999999999999996E-2</v>
      </c>
      <c r="J5496" s="508">
        <v>0.09</v>
      </c>
      <c r="K5496" s="508">
        <v>5.7000000000000002E-2</v>
      </c>
      <c r="L5496" s="508">
        <v>5.6000000000000001E-2</v>
      </c>
      <c r="M5496" s="508">
        <v>5.5E-2</v>
      </c>
      <c r="N5496" s="508">
        <v>5.8000000000000003E-2</v>
      </c>
      <c r="O5496" s="508">
        <v>4.7E-2</v>
      </c>
      <c r="P5496" s="508">
        <v>3.3000000000000002E-2</v>
      </c>
      <c r="Q5496" s="508">
        <v>3.4000000000000002E-2</v>
      </c>
      <c r="R5496" s="508">
        <v>2.8000000000000001E-2</v>
      </c>
      <c r="S5496" s="508">
        <v>2.5000000000000001E-2</v>
      </c>
      <c r="T5496" s="508">
        <v>2.5000000000000001E-2</v>
      </c>
      <c r="U5496" s="508">
        <v>1.4E-2</v>
      </c>
      <c r="V5496" s="508">
        <v>1.2999999999999999E-2</v>
      </c>
      <c r="W5496" s="508">
        <v>1.2999999999999999E-2</v>
      </c>
      <c r="X5496" s="508">
        <v>8.9999999999999993E-3</v>
      </c>
      <c r="Y5496" s="508">
        <v>8.9999999999999993E-3</v>
      </c>
      <c r="Z5496" s="508">
        <v>7.0000000000000001E-3</v>
      </c>
      <c r="AA5496" s="508">
        <v>7.0000000000000001E-3</v>
      </c>
      <c r="AB5496" s="508">
        <v>6.0000000000000001E-3</v>
      </c>
      <c r="AC5496" s="508">
        <v>6.0000000000000001E-3</v>
      </c>
      <c r="AD5496" s="508">
        <v>5.0000000000000001E-3</v>
      </c>
      <c r="AE5496" s="508">
        <v>5.0000000000000001E-3</v>
      </c>
      <c r="AF5496" s="508">
        <v>3.0000000000000001E-3</v>
      </c>
      <c r="AG5496" s="508">
        <v>3.0000000000000001E-3</v>
      </c>
      <c r="AH5496" s="508">
        <v>3.0000000000000001E-3</v>
      </c>
      <c r="AI5496" s="492">
        <v>3.0000000000000001E-3</v>
      </c>
      <c r="AJ5496" s="485"/>
    </row>
    <row r="5497" spans="2:36">
      <c r="B5497" s="136" t="s">
        <v>453</v>
      </c>
      <c r="C5497" s="132" t="s">
        <v>1365</v>
      </c>
      <c r="D5497" s="132" t="s">
        <v>285</v>
      </c>
      <c r="E5497" s="508">
        <v>0.127</v>
      </c>
      <c r="F5497" s="508">
        <v>0.11799999999999999</v>
      </c>
      <c r="G5497" s="508">
        <v>0.11600000000000001</v>
      </c>
      <c r="H5497" s="508">
        <v>9.9000000000000005E-2</v>
      </c>
      <c r="I5497" s="508">
        <v>0.1</v>
      </c>
      <c r="J5497" s="508">
        <v>0.10299999999999999</v>
      </c>
      <c r="K5497" s="508">
        <v>6.3E-2</v>
      </c>
      <c r="L5497" s="508">
        <v>6.0999999999999999E-2</v>
      </c>
      <c r="M5497" s="508">
        <v>0.06</v>
      </c>
      <c r="N5497" s="508">
        <v>6.7000000000000004E-2</v>
      </c>
      <c r="O5497" s="508">
        <v>5.3999999999999999E-2</v>
      </c>
      <c r="P5497" s="508">
        <v>3.5999999999999997E-2</v>
      </c>
      <c r="Q5497" s="508">
        <v>3.9E-2</v>
      </c>
      <c r="R5497" s="508">
        <v>3.1E-2</v>
      </c>
      <c r="S5497" s="508">
        <v>2.7E-2</v>
      </c>
      <c r="T5497" s="508">
        <v>2.8000000000000001E-2</v>
      </c>
      <c r="U5497" s="508">
        <v>1.6E-2</v>
      </c>
      <c r="V5497" s="508">
        <v>1.4999999999999999E-2</v>
      </c>
      <c r="W5497" s="508">
        <v>1.4999999999999999E-2</v>
      </c>
      <c r="X5497" s="508">
        <v>0.01</v>
      </c>
      <c r="Y5497" s="508">
        <v>0.01</v>
      </c>
      <c r="Z5497" s="508">
        <v>8.0000000000000002E-3</v>
      </c>
      <c r="AA5497" s="508">
        <v>8.0000000000000002E-3</v>
      </c>
      <c r="AB5497" s="508">
        <v>7.0000000000000001E-3</v>
      </c>
      <c r="AC5497" s="508">
        <v>7.0000000000000001E-3</v>
      </c>
      <c r="AD5497" s="508">
        <v>6.0000000000000001E-3</v>
      </c>
      <c r="AE5497" s="508">
        <v>6.0000000000000001E-3</v>
      </c>
      <c r="AF5497" s="508">
        <v>4.0000000000000001E-3</v>
      </c>
      <c r="AG5497" s="508">
        <v>4.0000000000000001E-3</v>
      </c>
      <c r="AH5497" s="508">
        <v>4.0000000000000001E-3</v>
      </c>
      <c r="AI5497" s="492">
        <v>4.0000000000000001E-3</v>
      </c>
      <c r="AJ5497" s="485"/>
    </row>
    <row r="5498" spans="2:36">
      <c r="B5498" s="136" t="s">
        <v>454</v>
      </c>
      <c r="C5498" s="132" t="s">
        <v>1365</v>
      </c>
      <c r="D5498" s="132" t="s">
        <v>285</v>
      </c>
      <c r="E5498" s="508">
        <v>0.1</v>
      </c>
      <c r="F5498" s="508">
        <v>9.2999999999999999E-2</v>
      </c>
      <c r="G5498" s="508">
        <v>9.0999999999999998E-2</v>
      </c>
      <c r="H5498" s="508">
        <v>7.8E-2</v>
      </c>
      <c r="I5498" s="508">
        <v>7.8E-2</v>
      </c>
      <c r="J5498" s="508">
        <v>8.2000000000000003E-2</v>
      </c>
      <c r="K5498" s="508">
        <v>4.9000000000000002E-2</v>
      </c>
      <c r="L5498" s="508">
        <v>4.8000000000000001E-2</v>
      </c>
      <c r="M5498" s="508">
        <v>4.7E-2</v>
      </c>
      <c r="N5498" s="508">
        <v>5.1999999999999998E-2</v>
      </c>
      <c r="O5498" s="508">
        <v>4.2000000000000003E-2</v>
      </c>
      <c r="P5498" s="508">
        <v>2.8000000000000001E-2</v>
      </c>
      <c r="Q5498" s="508">
        <v>3.1E-2</v>
      </c>
      <c r="R5498" s="508">
        <v>2.5000000000000001E-2</v>
      </c>
      <c r="S5498" s="508">
        <v>2.1999999999999999E-2</v>
      </c>
      <c r="T5498" s="508">
        <v>2.1999999999999999E-2</v>
      </c>
      <c r="U5498" s="508">
        <v>1.2999999999999999E-2</v>
      </c>
      <c r="V5498" s="508">
        <v>1.2E-2</v>
      </c>
      <c r="W5498" s="508">
        <v>1.2E-2</v>
      </c>
      <c r="X5498" s="508">
        <v>8.9999999999999993E-3</v>
      </c>
      <c r="Y5498" s="508">
        <v>8.9999999999999993E-3</v>
      </c>
      <c r="Z5498" s="508">
        <v>7.0000000000000001E-3</v>
      </c>
      <c r="AA5498" s="508">
        <v>7.0000000000000001E-3</v>
      </c>
      <c r="AB5498" s="508">
        <v>6.0000000000000001E-3</v>
      </c>
      <c r="AC5498" s="508">
        <v>6.0000000000000001E-3</v>
      </c>
      <c r="AD5498" s="508">
        <v>5.0000000000000001E-3</v>
      </c>
      <c r="AE5498" s="508">
        <v>5.0000000000000001E-3</v>
      </c>
      <c r="AF5498" s="508">
        <v>3.0000000000000001E-3</v>
      </c>
      <c r="AG5498" s="508">
        <v>3.0000000000000001E-3</v>
      </c>
      <c r="AH5498" s="508">
        <v>3.0000000000000001E-3</v>
      </c>
      <c r="AI5498" s="492">
        <v>3.0000000000000001E-3</v>
      </c>
      <c r="AJ5498" s="485"/>
    </row>
    <row r="5499" spans="2:36">
      <c r="B5499" s="136" t="s">
        <v>455</v>
      </c>
      <c r="C5499" s="132" t="s">
        <v>1365</v>
      </c>
      <c r="D5499" s="132" t="s">
        <v>285</v>
      </c>
      <c r="E5499" s="508">
        <v>9.8000000000000004E-2</v>
      </c>
      <c r="F5499" s="508">
        <v>9.2999999999999999E-2</v>
      </c>
      <c r="G5499" s="508">
        <v>9.0999999999999998E-2</v>
      </c>
      <c r="H5499" s="508">
        <v>7.6999999999999999E-2</v>
      </c>
      <c r="I5499" s="508">
        <v>7.6999999999999999E-2</v>
      </c>
      <c r="J5499" s="508">
        <v>8.2000000000000003E-2</v>
      </c>
      <c r="K5499" s="508">
        <v>4.8000000000000001E-2</v>
      </c>
      <c r="L5499" s="508">
        <v>4.7E-2</v>
      </c>
      <c r="M5499" s="508">
        <v>4.5999999999999999E-2</v>
      </c>
      <c r="N5499" s="508">
        <v>5.0999999999999997E-2</v>
      </c>
      <c r="O5499" s="508">
        <v>4.2000000000000003E-2</v>
      </c>
      <c r="P5499" s="508">
        <v>2.8000000000000001E-2</v>
      </c>
      <c r="Q5499" s="508">
        <v>0.03</v>
      </c>
      <c r="R5499" s="508">
        <v>2.5000000000000001E-2</v>
      </c>
      <c r="S5499" s="508">
        <v>2.1999999999999999E-2</v>
      </c>
      <c r="T5499" s="508">
        <v>2.3E-2</v>
      </c>
      <c r="U5499" s="508">
        <v>1.2999999999999999E-2</v>
      </c>
      <c r="V5499" s="508">
        <v>1.0999999999999999E-2</v>
      </c>
      <c r="W5499" s="508">
        <v>1.0999999999999999E-2</v>
      </c>
      <c r="X5499" s="508">
        <v>8.0000000000000002E-3</v>
      </c>
      <c r="Y5499" s="508">
        <v>8.0000000000000002E-3</v>
      </c>
      <c r="Z5499" s="508">
        <v>7.0000000000000001E-3</v>
      </c>
      <c r="AA5499" s="508">
        <v>7.0000000000000001E-3</v>
      </c>
      <c r="AB5499" s="508">
        <v>6.0000000000000001E-3</v>
      </c>
      <c r="AC5499" s="508">
        <v>6.0000000000000001E-3</v>
      </c>
      <c r="AD5499" s="508">
        <v>5.0000000000000001E-3</v>
      </c>
      <c r="AE5499" s="508">
        <v>5.0000000000000001E-3</v>
      </c>
      <c r="AF5499" s="508">
        <v>3.0000000000000001E-3</v>
      </c>
      <c r="AG5499" s="508">
        <v>3.0000000000000001E-3</v>
      </c>
      <c r="AH5499" s="508">
        <v>3.0000000000000001E-3</v>
      </c>
      <c r="AI5499" s="492">
        <v>3.0000000000000001E-3</v>
      </c>
      <c r="AJ5499" s="485"/>
    </row>
    <row r="5500" spans="2:36">
      <c r="B5500" s="136" t="s">
        <v>456</v>
      </c>
      <c r="C5500" s="132" t="s">
        <v>1365</v>
      </c>
      <c r="D5500" s="132" t="s">
        <v>285</v>
      </c>
      <c r="E5500" s="508">
        <v>6.5000000000000002E-2</v>
      </c>
      <c r="F5500" s="508">
        <v>6.0999999999999999E-2</v>
      </c>
      <c r="G5500" s="508">
        <v>5.8999999999999997E-2</v>
      </c>
      <c r="H5500" s="508">
        <v>5.0999999999999997E-2</v>
      </c>
      <c r="I5500" s="508">
        <v>5.0999999999999997E-2</v>
      </c>
      <c r="J5500" s="508">
        <v>5.2999999999999999E-2</v>
      </c>
      <c r="K5500" s="508">
        <v>3.2000000000000001E-2</v>
      </c>
      <c r="L5500" s="508">
        <v>3.1E-2</v>
      </c>
      <c r="M5500" s="508">
        <v>3.1E-2</v>
      </c>
      <c r="N5500" s="508">
        <v>3.4000000000000002E-2</v>
      </c>
      <c r="O5500" s="508">
        <v>2.7E-2</v>
      </c>
      <c r="P5500" s="508">
        <v>1.9E-2</v>
      </c>
      <c r="Q5500" s="508">
        <v>0.02</v>
      </c>
      <c r="R5500" s="508">
        <v>1.6E-2</v>
      </c>
      <c r="S5500" s="508">
        <v>1.4999999999999999E-2</v>
      </c>
      <c r="T5500" s="508">
        <v>1.4999999999999999E-2</v>
      </c>
      <c r="U5500" s="508">
        <v>0.01</v>
      </c>
      <c r="V5500" s="508">
        <v>8.9999999999999993E-3</v>
      </c>
      <c r="W5500" s="508">
        <v>8.9999999999999993E-3</v>
      </c>
      <c r="X5500" s="508">
        <v>8.9999999999999993E-3</v>
      </c>
      <c r="Y5500" s="508">
        <v>8.0000000000000002E-3</v>
      </c>
      <c r="Z5500" s="508">
        <v>7.0000000000000001E-3</v>
      </c>
      <c r="AA5500" s="508">
        <v>7.0000000000000001E-3</v>
      </c>
      <c r="AB5500" s="508">
        <v>6.0000000000000001E-3</v>
      </c>
      <c r="AC5500" s="508">
        <v>6.0000000000000001E-3</v>
      </c>
      <c r="AD5500" s="508">
        <v>5.0000000000000001E-3</v>
      </c>
      <c r="AE5500" s="508">
        <v>5.0000000000000001E-3</v>
      </c>
      <c r="AF5500" s="508">
        <v>3.0000000000000001E-3</v>
      </c>
      <c r="AG5500" s="508">
        <v>3.0000000000000001E-3</v>
      </c>
      <c r="AH5500" s="508">
        <v>3.0000000000000001E-3</v>
      </c>
      <c r="AI5500" s="492">
        <v>3.0000000000000001E-3</v>
      </c>
      <c r="AJ5500" s="485"/>
    </row>
    <row r="5501" spans="2:36">
      <c r="B5501" s="136" t="s">
        <v>457</v>
      </c>
      <c r="C5501" s="132" t="s">
        <v>1365</v>
      </c>
      <c r="D5501" s="132" t="s">
        <v>285</v>
      </c>
      <c r="E5501" s="508">
        <v>0.14699999999999999</v>
      </c>
      <c r="F5501" s="508">
        <v>0.13700000000000001</v>
      </c>
      <c r="G5501" s="508">
        <v>0.13500000000000001</v>
      </c>
      <c r="H5501" s="508">
        <v>0.11600000000000001</v>
      </c>
      <c r="I5501" s="508">
        <v>0.11600000000000001</v>
      </c>
      <c r="J5501" s="508">
        <v>0.122</v>
      </c>
      <c r="K5501" s="508">
        <v>7.2999999999999995E-2</v>
      </c>
      <c r="L5501" s="508">
        <v>7.0999999999999994E-2</v>
      </c>
      <c r="M5501" s="508">
        <v>6.9000000000000006E-2</v>
      </c>
      <c r="N5501" s="508">
        <v>7.9000000000000001E-2</v>
      </c>
      <c r="O5501" s="508">
        <v>6.3E-2</v>
      </c>
      <c r="P5501" s="508">
        <v>4.1000000000000002E-2</v>
      </c>
      <c r="Q5501" s="508">
        <v>4.4999999999999998E-2</v>
      </c>
      <c r="R5501" s="508">
        <v>3.5999999999999997E-2</v>
      </c>
      <c r="S5501" s="508">
        <v>3.1E-2</v>
      </c>
      <c r="T5501" s="508">
        <v>3.2000000000000001E-2</v>
      </c>
      <c r="U5501" s="508">
        <v>2.1000000000000001E-2</v>
      </c>
      <c r="V5501" s="508">
        <v>1.9E-2</v>
      </c>
      <c r="W5501" s="508">
        <v>1.9E-2</v>
      </c>
      <c r="X5501" s="508">
        <v>1.2E-2</v>
      </c>
      <c r="Y5501" s="508">
        <v>1.2E-2</v>
      </c>
      <c r="Z5501" s="508">
        <v>0.01</v>
      </c>
      <c r="AA5501" s="508">
        <v>8.9999999999999993E-3</v>
      </c>
      <c r="AB5501" s="508">
        <v>8.0000000000000002E-3</v>
      </c>
      <c r="AC5501" s="508">
        <v>8.0000000000000002E-3</v>
      </c>
      <c r="AD5501" s="508">
        <v>7.0000000000000001E-3</v>
      </c>
      <c r="AE5501" s="508">
        <v>7.0000000000000001E-3</v>
      </c>
      <c r="AF5501" s="508">
        <v>4.0000000000000001E-3</v>
      </c>
      <c r="AG5501" s="508">
        <v>4.0000000000000001E-3</v>
      </c>
      <c r="AH5501" s="508">
        <v>4.0000000000000001E-3</v>
      </c>
      <c r="AI5501" s="492">
        <v>4.0000000000000001E-3</v>
      </c>
      <c r="AJ5501" s="485"/>
    </row>
    <row r="5502" spans="2:36">
      <c r="B5502" s="136" t="s">
        <v>458</v>
      </c>
      <c r="C5502" s="132" t="s">
        <v>1365</v>
      </c>
      <c r="D5502" s="132" t="s">
        <v>285</v>
      </c>
      <c r="E5502" s="508">
        <v>0.10199999999999999</v>
      </c>
      <c r="F5502" s="508">
        <v>9.7000000000000003E-2</v>
      </c>
      <c r="G5502" s="508">
        <v>9.5000000000000001E-2</v>
      </c>
      <c r="H5502" s="508">
        <v>0.08</v>
      </c>
      <c r="I5502" s="508">
        <v>0.08</v>
      </c>
      <c r="J5502" s="508">
        <v>8.4000000000000005E-2</v>
      </c>
      <c r="K5502" s="508">
        <v>5.0999999999999997E-2</v>
      </c>
      <c r="L5502" s="508">
        <v>0.05</v>
      </c>
      <c r="M5502" s="508">
        <v>4.9000000000000002E-2</v>
      </c>
      <c r="N5502" s="508">
        <v>5.1999999999999998E-2</v>
      </c>
      <c r="O5502" s="508">
        <v>4.3999999999999997E-2</v>
      </c>
      <c r="P5502" s="508">
        <v>0.03</v>
      </c>
      <c r="Q5502" s="508">
        <v>3.1E-2</v>
      </c>
      <c r="R5502" s="508">
        <v>2.5999999999999999E-2</v>
      </c>
      <c r="S5502" s="508">
        <v>2.4E-2</v>
      </c>
      <c r="T5502" s="508">
        <v>2.4E-2</v>
      </c>
      <c r="U5502" s="508">
        <v>1.4999999999999999E-2</v>
      </c>
      <c r="V5502" s="508">
        <v>1.2999999999999999E-2</v>
      </c>
      <c r="W5502" s="508">
        <v>1.2999999999999999E-2</v>
      </c>
      <c r="X5502" s="508">
        <v>8.9999999999999993E-3</v>
      </c>
      <c r="Y5502" s="508">
        <v>8.9999999999999993E-3</v>
      </c>
      <c r="Z5502" s="508">
        <v>8.0000000000000002E-3</v>
      </c>
      <c r="AA5502" s="508">
        <v>7.0000000000000001E-3</v>
      </c>
      <c r="AB5502" s="508">
        <v>7.0000000000000001E-3</v>
      </c>
      <c r="AC5502" s="508">
        <v>6.0000000000000001E-3</v>
      </c>
      <c r="AD5502" s="508">
        <v>6.0000000000000001E-3</v>
      </c>
      <c r="AE5502" s="508">
        <v>6.0000000000000001E-3</v>
      </c>
      <c r="AF5502" s="508">
        <v>4.0000000000000001E-3</v>
      </c>
      <c r="AG5502" s="508">
        <v>4.0000000000000001E-3</v>
      </c>
      <c r="AH5502" s="508">
        <v>4.0000000000000001E-3</v>
      </c>
      <c r="AI5502" s="492">
        <v>4.0000000000000001E-3</v>
      </c>
      <c r="AJ5502" s="485"/>
    </row>
    <row r="5503" spans="2:36">
      <c r="B5503" s="136" t="s">
        <v>459</v>
      </c>
      <c r="C5503" s="132" t="s">
        <v>1365</v>
      </c>
      <c r="D5503" s="132" t="s">
        <v>285</v>
      </c>
      <c r="E5503" s="508">
        <v>0.13</v>
      </c>
      <c r="F5503" s="508">
        <v>0.122</v>
      </c>
      <c r="G5503" s="508">
        <v>0.12</v>
      </c>
      <c r="H5503" s="508">
        <v>0.10100000000000001</v>
      </c>
      <c r="I5503" s="508">
        <v>0.10100000000000001</v>
      </c>
      <c r="J5503" s="508">
        <v>0.105</v>
      </c>
      <c r="K5503" s="508">
        <v>6.6000000000000003E-2</v>
      </c>
      <c r="L5503" s="508">
        <v>6.4000000000000001E-2</v>
      </c>
      <c r="M5503" s="508">
        <v>6.2E-2</v>
      </c>
      <c r="N5503" s="508">
        <v>6.6000000000000003E-2</v>
      </c>
      <c r="O5503" s="508">
        <v>5.5E-2</v>
      </c>
      <c r="P5503" s="508">
        <v>3.7999999999999999E-2</v>
      </c>
      <c r="Q5503" s="508">
        <v>0.04</v>
      </c>
      <c r="R5503" s="508">
        <v>3.2000000000000001E-2</v>
      </c>
      <c r="S5503" s="508">
        <v>0.03</v>
      </c>
      <c r="T5503" s="508">
        <v>0.03</v>
      </c>
      <c r="U5503" s="508">
        <v>1.7999999999999999E-2</v>
      </c>
      <c r="V5503" s="508">
        <v>1.4999999999999999E-2</v>
      </c>
      <c r="W5503" s="508">
        <v>1.6E-2</v>
      </c>
      <c r="X5503" s="508">
        <v>0.01</v>
      </c>
      <c r="Y5503" s="508">
        <v>0.01</v>
      </c>
      <c r="Z5503" s="508">
        <v>8.0000000000000002E-3</v>
      </c>
      <c r="AA5503" s="508">
        <v>8.0000000000000002E-3</v>
      </c>
      <c r="AB5503" s="508">
        <v>7.0000000000000001E-3</v>
      </c>
      <c r="AC5503" s="508">
        <v>7.0000000000000001E-3</v>
      </c>
      <c r="AD5503" s="508">
        <v>6.0000000000000001E-3</v>
      </c>
      <c r="AE5503" s="508">
        <v>6.0000000000000001E-3</v>
      </c>
      <c r="AF5503" s="508">
        <v>4.0000000000000001E-3</v>
      </c>
      <c r="AG5503" s="508">
        <v>4.0000000000000001E-3</v>
      </c>
      <c r="AH5503" s="508">
        <v>4.0000000000000001E-3</v>
      </c>
      <c r="AI5503" s="492">
        <v>4.0000000000000001E-3</v>
      </c>
      <c r="AJ5503" s="485"/>
    </row>
    <row r="5504" spans="2:36">
      <c r="B5504" s="136" t="s">
        <v>460</v>
      </c>
      <c r="C5504" s="132" t="s">
        <v>1365</v>
      </c>
      <c r="D5504" s="132" t="s">
        <v>285</v>
      </c>
      <c r="E5504" s="508">
        <v>0.13400000000000001</v>
      </c>
      <c r="F5504" s="508">
        <v>0.124</v>
      </c>
      <c r="G5504" s="508">
        <v>0.122</v>
      </c>
      <c r="H5504" s="508">
        <v>0.104</v>
      </c>
      <c r="I5504" s="508">
        <v>0.105</v>
      </c>
      <c r="J5504" s="508">
        <v>0.107</v>
      </c>
      <c r="K5504" s="508">
        <v>6.7000000000000004E-2</v>
      </c>
      <c r="L5504" s="508">
        <v>6.6000000000000003E-2</v>
      </c>
      <c r="M5504" s="508">
        <v>6.4000000000000001E-2</v>
      </c>
      <c r="N5504" s="508">
        <v>6.8000000000000005E-2</v>
      </c>
      <c r="O5504" s="508">
        <v>5.6000000000000001E-2</v>
      </c>
      <c r="P5504" s="508">
        <v>3.9E-2</v>
      </c>
      <c r="Q5504" s="508">
        <v>0.04</v>
      </c>
      <c r="R5504" s="508">
        <v>3.3000000000000002E-2</v>
      </c>
      <c r="S5504" s="508">
        <v>0.03</v>
      </c>
      <c r="T5504" s="508">
        <v>0.03</v>
      </c>
      <c r="U5504" s="508">
        <v>1.7000000000000001E-2</v>
      </c>
      <c r="V5504" s="508">
        <v>1.4999999999999999E-2</v>
      </c>
      <c r="W5504" s="508">
        <v>1.4999999999999999E-2</v>
      </c>
      <c r="X5504" s="508">
        <v>0.01</v>
      </c>
      <c r="Y5504" s="508">
        <v>0.01</v>
      </c>
      <c r="Z5504" s="508">
        <v>8.0000000000000002E-3</v>
      </c>
      <c r="AA5504" s="508">
        <v>8.0000000000000002E-3</v>
      </c>
      <c r="AB5504" s="508">
        <v>7.0000000000000001E-3</v>
      </c>
      <c r="AC5504" s="508">
        <v>7.0000000000000001E-3</v>
      </c>
      <c r="AD5504" s="508">
        <v>6.0000000000000001E-3</v>
      </c>
      <c r="AE5504" s="508">
        <v>6.0000000000000001E-3</v>
      </c>
      <c r="AF5504" s="508">
        <v>4.0000000000000001E-3</v>
      </c>
      <c r="AG5504" s="508">
        <v>4.0000000000000001E-3</v>
      </c>
      <c r="AH5504" s="508">
        <v>3.0000000000000001E-3</v>
      </c>
      <c r="AI5504" s="492">
        <v>3.0000000000000001E-3</v>
      </c>
      <c r="AJ5504" s="485"/>
    </row>
    <row r="5505" spans="2:36">
      <c r="B5505" s="136" t="s">
        <v>461</v>
      </c>
      <c r="C5505" s="132" t="s">
        <v>1365</v>
      </c>
      <c r="D5505" s="132" t="s">
        <v>285</v>
      </c>
      <c r="E5505" s="508">
        <v>0.15</v>
      </c>
      <c r="F5505" s="508">
        <v>0.14000000000000001</v>
      </c>
      <c r="G5505" s="508">
        <v>0.13700000000000001</v>
      </c>
      <c r="H5505" s="508">
        <v>0.11700000000000001</v>
      </c>
      <c r="I5505" s="508">
        <v>0.11799999999999999</v>
      </c>
      <c r="J5505" s="508">
        <v>0.121</v>
      </c>
      <c r="K5505" s="508">
        <v>7.4999999999999997E-2</v>
      </c>
      <c r="L5505" s="508">
        <v>7.2999999999999995E-2</v>
      </c>
      <c r="M5505" s="508">
        <v>7.1999999999999995E-2</v>
      </c>
      <c r="N5505" s="508">
        <v>7.8E-2</v>
      </c>
      <c r="O5505" s="508">
        <v>6.3E-2</v>
      </c>
      <c r="P5505" s="508">
        <v>4.2999999999999997E-2</v>
      </c>
      <c r="Q5505" s="508">
        <v>4.5999999999999999E-2</v>
      </c>
      <c r="R5505" s="508">
        <v>3.6999999999999998E-2</v>
      </c>
      <c r="S5505" s="508">
        <v>3.3000000000000002E-2</v>
      </c>
      <c r="T5505" s="508">
        <v>3.3000000000000002E-2</v>
      </c>
      <c r="U5505" s="508">
        <v>0.02</v>
      </c>
      <c r="V5505" s="508">
        <v>1.7999999999999999E-2</v>
      </c>
      <c r="W5505" s="508">
        <v>1.7999999999999999E-2</v>
      </c>
      <c r="X5505" s="508">
        <v>1.0999999999999999E-2</v>
      </c>
      <c r="Y5505" s="508">
        <v>1.0999999999999999E-2</v>
      </c>
      <c r="Z5505" s="508">
        <v>8.9999999999999993E-3</v>
      </c>
      <c r="AA5505" s="508">
        <v>8.9999999999999993E-3</v>
      </c>
      <c r="AB5505" s="508">
        <v>8.0000000000000002E-3</v>
      </c>
      <c r="AC5505" s="508">
        <v>7.0000000000000001E-3</v>
      </c>
      <c r="AD5505" s="508">
        <v>6.0000000000000001E-3</v>
      </c>
      <c r="AE5505" s="508">
        <v>6.0000000000000001E-3</v>
      </c>
      <c r="AF5505" s="508">
        <v>4.0000000000000001E-3</v>
      </c>
      <c r="AG5505" s="508">
        <v>4.0000000000000001E-3</v>
      </c>
      <c r="AH5505" s="508">
        <v>4.0000000000000001E-3</v>
      </c>
      <c r="AI5505" s="492">
        <v>4.0000000000000001E-3</v>
      </c>
      <c r="AJ5505" s="485"/>
    </row>
    <row r="5506" spans="2:36">
      <c r="B5506" s="136" t="s">
        <v>462</v>
      </c>
      <c r="C5506" s="132" t="s">
        <v>1365</v>
      </c>
      <c r="D5506" s="132" t="s">
        <v>285</v>
      </c>
      <c r="E5506" s="508">
        <v>7.0000000000000007E-2</v>
      </c>
      <c r="F5506" s="508">
        <v>6.5000000000000002E-2</v>
      </c>
      <c r="G5506" s="508">
        <v>6.4000000000000001E-2</v>
      </c>
      <c r="H5506" s="508">
        <v>5.5E-2</v>
      </c>
      <c r="I5506" s="508">
        <v>5.6000000000000001E-2</v>
      </c>
      <c r="J5506" s="508">
        <v>5.8000000000000003E-2</v>
      </c>
      <c r="K5506" s="508">
        <v>3.4000000000000002E-2</v>
      </c>
      <c r="L5506" s="508">
        <v>3.4000000000000002E-2</v>
      </c>
      <c r="M5506" s="508">
        <v>3.3000000000000002E-2</v>
      </c>
      <c r="N5506" s="508">
        <v>3.7999999999999999E-2</v>
      </c>
      <c r="O5506" s="508">
        <v>0.03</v>
      </c>
      <c r="P5506" s="508">
        <v>0.02</v>
      </c>
      <c r="Q5506" s="508">
        <v>2.1999999999999999E-2</v>
      </c>
      <c r="R5506" s="508">
        <v>1.7000000000000001E-2</v>
      </c>
      <c r="S5506" s="508">
        <v>1.4999999999999999E-2</v>
      </c>
      <c r="T5506" s="508">
        <v>1.6E-2</v>
      </c>
      <c r="U5506" s="508">
        <v>0.01</v>
      </c>
      <c r="V5506" s="508">
        <v>8.9999999999999993E-3</v>
      </c>
      <c r="W5506" s="508">
        <v>8.9999999999999993E-3</v>
      </c>
      <c r="X5506" s="508">
        <v>8.9999999999999993E-3</v>
      </c>
      <c r="Y5506" s="508">
        <v>8.0000000000000002E-3</v>
      </c>
      <c r="Z5506" s="508">
        <v>7.0000000000000001E-3</v>
      </c>
      <c r="AA5506" s="508">
        <v>7.0000000000000001E-3</v>
      </c>
      <c r="AB5506" s="508">
        <v>6.0000000000000001E-3</v>
      </c>
      <c r="AC5506" s="508">
        <v>6.0000000000000001E-3</v>
      </c>
      <c r="AD5506" s="508">
        <v>5.0000000000000001E-3</v>
      </c>
      <c r="AE5506" s="508">
        <v>5.0000000000000001E-3</v>
      </c>
      <c r="AF5506" s="508">
        <v>3.0000000000000001E-3</v>
      </c>
      <c r="AG5506" s="508">
        <v>3.0000000000000001E-3</v>
      </c>
      <c r="AH5506" s="508">
        <v>3.0000000000000001E-3</v>
      </c>
      <c r="AI5506" s="492">
        <v>3.0000000000000001E-3</v>
      </c>
      <c r="AJ5506" s="485"/>
    </row>
    <row r="5507" spans="2:36">
      <c r="B5507" s="136" t="s">
        <v>463</v>
      </c>
      <c r="C5507" s="132" t="s">
        <v>1365</v>
      </c>
      <c r="D5507" s="132" t="s">
        <v>285</v>
      </c>
      <c r="E5507" s="508">
        <v>0.1</v>
      </c>
      <c r="F5507" s="508">
        <v>9.6000000000000002E-2</v>
      </c>
      <c r="G5507" s="508">
        <v>9.4E-2</v>
      </c>
      <c r="H5507" s="508">
        <v>7.9000000000000001E-2</v>
      </c>
      <c r="I5507" s="508">
        <v>7.9000000000000001E-2</v>
      </c>
      <c r="J5507" s="508">
        <v>8.5000000000000006E-2</v>
      </c>
      <c r="K5507" s="508">
        <v>0.05</v>
      </c>
      <c r="L5507" s="508">
        <v>4.8000000000000001E-2</v>
      </c>
      <c r="M5507" s="508">
        <v>4.7E-2</v>
      </c>
      <c r="N5507" s="508">
        <v>5.2999999999999999E-2</v>
      </c>
      <c r="O5507" s="508">
        <v>4.3999999999999997E-2</v>
      </c>
      <c r="P5507" s="508">
        <v>2.9000000000000001E-2</v>
      </c>
      <c r="Q5507" s="508">
        <v>3.1E-2</v>
      </c>
      <c r="R5507" s="508">
        <v>2.5000000000000001E-2</v>
      </c>
      <c r="S5507" s="508">
        <v>2.3E-2</v>
      </c>
      <c r="T5507" s="508">
        <v>2.4E-2</v>
      </c>
      <c r="U5507" s="508">
        <v>1.4E-2</v>
      </c>
      <c r="V5507" s="508">
        <v>1.2E-2</v>
      </c>
      <c r="W5507" s="508">
        <v>1.2E-2</v>
      </c>
      <c r="X5507" s="508">
        <v>8.9999999999999993E-3</v>
      </c>
      <c r="Y5507" s="508">
        <v>8.9999999999999993E-3</v>
      </c>
      <c r="Z5507" s="508">
        <v>7.0000000000000001E-3</v>
      </c>
      <c r="AA5507" s="508">
        <v>7.0000000000000001E-3</v>
      </c>
      <c r="AB5507" s="508">
        <v>6.0000000000000001E-3</v>
      </c>
      <c r="AC5507" s="508">
        <v>6.0000000000000001E-3</v>
      </c>
      <c r="AD5507" s="508">
        <v>5.0000000000000001E-3</v>
      </c>
      <c r="AE5507" s="508">
        <v>5.0000000000000001E-3</v>
      </c>
      <c r="AF5507" s="508">
        <v>3.0000000000000001E-3</v>
      </c>
      <c r="AG5507" s="508">
        <v>3.0000000000000001E-3</v>
      </c>
      <c r="AH5507" s="508">
        <v>3.0000000000000001E-3</v>
      </c>
      <c r="AI5507" s="492">
        <v>3.0000000000000001E-3</v>
      </c>
      <c r="AJ5507" s="485"/>
    </row>
    <row r="5508" spans="2:36">
      <c r="B5508" s="136" t="s">
        <v>464</v>
      </c>
      <c r="C5508" s="132" t="s">
        <v>1365</v>
      </c>
      <c r="D5508" s="132" t="s">
        <v>285</v>
      </c>
      <c r="E5508" s="508">
        <v>0.14499999999999999</v>
      </c>
      <c r="F5508" s="508">
        <v>0.13600000000000001</v>
      </c>
      <c r="G5508" s="508">
        <v>0.13300000000000001</v>
      </c>
      <c r="H5508" s="508">
        <v>0.114</v>
      </c>
      <c r="I5508" s="508">
        <v>0.115</v>
      </c>
      <c r="J5508" s="508">
        <v>0.12</v>
      </c>
      <c r="K5508" s="508">
        <v>7.1999999999999995E-2</v>
      </c>
      <c r="L5508" s="508">
        <v>7.0000000000000007E-2</v>
      </c>
      <c r="M5508" s="508">
        <v>6.8000000000000005E-2</v>
      </c>
      <c r="N5508" s="508">
        <v>7.6999999999999999E-2</v>
      </c>
      <c r="O5508" s="508">
        <v>6.2E-2</v>
      </c>
      <c r="P5508" s="508">
        <v>0.04</v>
      </c>
      <c r="Q5508" s="508">
        <v>4.4999999999999998E-2</v>
      </c>
      <c r="R5508" s="508">
        <v>3.5999999999999997E-2</v>
      </c>
      <c r="S5508" s="508">
        <v>3.1E-2</v>
      </c>
      <c r="T5508" s="508">
        <v>3.2000000000000001E-2</v>
      </c>
      <c r="U5508" s="508">
        <v>1.7999999999999999E-2</v>
      </c>
      <c r="V5508" s="508">
        <v>1.7000000000000001E-2</v>
      </c>
      <c r="W5508" s="508">
        <v>1.6E-2</v>
      </c>
      <c r="X5508" s="508">
        <v>0.01</v>
      </c>
      <c r="Y5508" s="508">
        <v>0.01</v>
      </c>
      <c r="Z5508" s="508">
        <v>8.0000000000000002E-3</v>
      </c>
      <c r="AA5508" s="508">
        <v>8.0000000000000002E-3</v>
      </c>
      <c r="AB5508" s="508">
        <v>7.0000000000000001E-3</v>
      </c>
      <c r="AC5508" s="508">
        <v>7.0000000000000001E-3</v>
      </c>
      <c r="AD5508" s="508">
        <v>6.0000000000000001E-3</v>
      </c>
      <c r="AE5508" s="508">
        <v>6.0000000000000001E-3</v>
      </c>
      <c r="AF5508" s="508">
        <v>4.0000000000000001E-3</v>
      </c>
      <c r="AG5508" s="508">
        <v>4.0000000000000001E-3</v>
      </c>
      <c r="AH5508" s="508">
        <v>4.0000000000000001E-3</v>
      </c>
      <c r="AI5508" s="492">
        <v>4.0000000000000001E-3</v>
      </c>
      <c r="AJ5508" s="485"/>
    </row>
    <row r="5509" spans="2:36">
      <c r="B5509" s="136" t="s">
        <v>465</v>
      </c>
      <c r="C5509" s="132" t="s">
        <v>1365</v>
      </c>
      <c r="D5509" s="132" t="s">
        <v>285</v>
      </c>
      <c r="E5509" s="508">
        <v>0.121</v>
      </c>
      <c r="F5509" s="508">
        <v>0.113</v>
      </c>
      <c r="G5509" s="508">
        <v>0.111</v>
      </c>
      <c r="H5509" s="508">
        <v>9.4E-2</v>
      </c>
      <c r="I5509" s="508">
        <v>9.5000000000000001E-2</v>
      </c>
      <c r="J5509" s="508">
        <v>9.9000000000000005E-2</v>
      </c>
      <c r="K5509" s="508">
        <v>0.06</v>
      </c>
      <c r="L5509" s="508">
        <v>5.8000000000000003E-2</v>
      </c>
      <c r="M5509" s="508">
        <v>5.7000000000000002E-2</v>
      </c>
      <c r="N5509" s="508">
        <v>6.3E-2</v>
      </c>
      <c r="O5509" s="508">
        <v>5.1999999999999998E-2</v>
      </c>
      <c r="P5509" s="508">
        <v>3.4000000000000002E-2</v>
      </c>
      <c r="Q5509" s="508">
        <v>3.6999999999999998E-2</v>
      </c>
      <c r="R5509" s="508">
        <v>0.03</v>
      </c>
      <c r="S5509" s="508">
        <v>2.7E-2</v>
      </c>
      <c r="T5509" s="508">
        <v>2.7E-2</v>
      </c>
      <c r="U5509" s="508">
        <v>1.6E-2</v>
      </c>
      <c r="V5509" s="508">
        <v>1.4E-2</v>
      </c>
      <c r="W5509" s="508">
        <v>1.4E-2</v>
      </c>
      <c r="X5509" s="508">
        <v>0.01</v>
      </c>
      <c r="Y5509" s="508">
        <v>0.01</v>
      </c>
      <c r="Z5509" s="508">
        <v>8.0000000000000002E-3</v>
      </c>
      <c r="AA5509" s="508">
        <v>8.0000000000000002E-3</v>
      </c>
      <c r="AB5509" s="508">
        <v>7.0000000000000001E-3</v>
      </c>
      <c r="AC5509" s="508">
        <v>7.0000000000000001E-3</v>
      </c>
      <c r="AD5509" s="508">
        <v>6.0000000000000001E-3</v>
      </c>
      <c r="AE5509" s="508">
        <v>6.0000000000000001E-3</v>
      </c>
      <c r="AF5509" s="508">
        <v>4.0000000000000001E-3</v>
      </c>
      <c r="AG5509" s="508">
        <v>4.0000000000000001E-3</v>
      </c>
      <c r="AH5509" s="508">
        <v>4.0000000000000001E-3</v>
      </c>
      <c r="AI5509" s="492">
        <v>4.0000000000000001E-3</v>
      </c>
      <c r="AJ5509" s="485"/>
    </row>
    <row r="5510" spans="2:36">
      <c r="B5510" s="136" t="s">
        <v>466</v>
      </c>
      <c r="C5510" s="132" t="s">
        <v>1365</v>
      </c>
      <c r="D5510" s="132" t="s">
        <v>285</v>
      </c>
      <c r="E5510" s="508">
        <v>7.9000000000000001E-2</v>
      </c>
      <c r="F5510" s="508">
        <v>7.2999999999999995E-2</v>
      </c>
      <c r="G5510" s="508">
        <v>7.1999999999999995E-2</v>
      </c>
      <c r="H5510" s="508">
        <v>6.0999999999999999E-2</v>
      </c>
      <c r="I5510" s="508">
        <v>6.2E-2</v>
      </c>
      <c r="J5510" s="508">
        <v>6.2E-2</v>
      </c>
      <c r="K5510" s="508">
        <v>0.04</v>
      </c>
      <c r="L5510" s="508">
        <v>3.9E-2</v>
      </c>
      <c r="M5510" s="508">
        <v>3.7999999999999999E-2</v>
      </c>
      <c r="N5510" s="508">
        <v>3.9E-2</v>
      </c>
      <c r="O5510" s="508">
        <v>3.3000000000000002E-2</v>
      </c>
      <c r="P5510" s="508">
        <v>2.3E-2</v>
      </c>
      <c r="Q5510" s="508">
        <v>2.4E-2</v>
      </c>
      <c r="R5510" s="508">
        <v>0.02</v>
      </c>
      <c r="S5510" s="508">
        <v>1.7999999999999999E-2</v>
      </c>
      <c r="T5510" s="508">
        <v>1.7999999999999999E-2</v>
      </c>
      <c r="U5510" s="508">
        <v>1.0999999999999999E-2</v>
      </c>
      <c r="V5510" s="508">
        <v>0.01</v>
      </c>
      <c r="W5510" s="508">
        <v>0.01</v>
      </c>
      <c r="X5510" s="508">
        <v>8.0000000000000002E-3</v>
      </c>
      <c r="Y5510" s="508">
        <v>8.0000000000000002E-3</v>
      </c>
      <c r="Z5510" s="508">
        <v>7.0000000000000001E-3</v>
      </c>
      <c r="AA5510" s="508">
        <v>7.0000000000000001E-3</v>
      </c>
      <c r="AB5510" s="508">
        <v>6.0000000000000001E-3</v>
      </c>
      <c r="AC5510" s="508">
        <v>6.0000000000000001E-3</v>
      </c>
      <c r="AD5510" s="508">
        <v>5.0000000000000001E-3</v>
      </c>
      <c r="AE5510" s="508">
        <v>5.0000000000000001E-3</v>
      </c>
      <c r="AF5510" s="508">
        <v>3.0000000000000001E-3</v>
      </c>
      <c r="AG5510" s="508">
        <v>3.0000000000000001E-3</v>
      </c>
      <c r="AH5510" s="508">
        <v>3.0000000000000001E-3</v>
      </c>
      <c r="AI5510" s="492">
        <v>3.0000000000000001E-3</v>
      </c>
      <c r="AJ5510" s="485"/>
    </row>
    <row r="5511" spans="2:36">
      <c r="B5511" s="136" t="s">
        <v>467</v>
      </c>
      <c r="C5511" s="132" t="s">
        <v>1365</v>
      </c>
      <c r="D5511" s="132" t="s">
        <v>285</v>
      </c>
      <c r="E5511" s="508">
        <v>0.13700000000000001</v>
      </c>
      <c r="F5511" s="508">
        <v>0.127</v>
      </c>
      <c r="G5511" s="508">
        <v>0.125</v>
      </c>
      <c r="H5511" s="508">
        <v>0.107</v>
      </c>
      <c r="I5511" s="508">
        <v>0.108</v>
      </c>
      <c r="J5511" s="508">
        <v>0.111</v>
      </c>
      <c r="K5511" s="508">
        <v>6.8000000000000005E-2</v>
      </c>
      <c r="L5511" s="508">
        <v>6.7000000000000004E-2</v>
      </c>
      <c r="M5511" s="508">
        <v>6.5000000000000002E-2</v>
      </c>
      <c r="N5511" s="508">
        <v>7.0999999999999994E-2</v>
      </c>
      <c r="O5511" s="508">
        <v>5.8000000000000003E-2</v>
      </c>
      <c r="P5511" s="508">
        <v>3.9E-2</v>
      </c>
      <c r="Q5511" s="508">
        <v>4.2000000000000003E-2</v>
      </c>
      <c r="R5511" s="508">
        <v>3.4000000000000002E-2</v>
      </c>
      <c r="S5511" s="508">
        <v>0.03</v>
      </c>
      <c r="T5511" s="508">
        <v>0.03</v>
      </c>
      <c r="U5511" s="508">
        <v>1.7999999999999999E-2</v>
      </c>
      <c r="V5511" s="508">
        <v>1.6E-2</v>
      </c>
      <c r="W5511" s="508">
        <v>1.6E-2</v>
      </c>
      <c r="X5511" s="508">
        <v>0.01</v>
      </c>
      <c r="Y5511" s="508">
        <v>0.01</v>
      </c>
      <c r="Z5511" s="508">
        <v>8.0000000000000002E-3</v>
      </c>
      <c r="AA5511" s="508">
        <v>8.0000000000000002E-3</v>
      </c>
      <c r="AB5511" s="508">
        <v>7.0000000000000001E-3</v>
      </c>
      <c r="AC5511" s="508">
        <v>7.0000000000000001E-3</v>
      </c>
      <c r="AD5511" s="508">
        <v>6.0000000000000001E-3</v>
      </c>
      <c r="AE5511" s="508">
        <v>6.0000000000000001E-3</v>
      </c>
      <c r="AF5511" s="508">
        <v>4.0000000000000001E-3</v>
      </c>
      <c r="AG5511" s="508">
        <v>4.0000000000000001E-3</v>
      </c>
      <c r="AH5511" s="508">
        <v>4.0000000000000001E-3</v>
      </c>
      <c r="AI5511" s="492">
        <v>4.0000000000000001E-3</v>
      </c>
      <c r="AJ5511" s="485"/>
    </row>
    <row r="5512" spans="2:36">
      <c r="B5512" s="136" t="s">
        <v>468</v>
      </c>
      <c r="C5512" s="132" t="s">
        <v>1365</v>
      </c>
      <c r="D5512" s="132" t="s">
        <v>285</v>
      </c>
      <c r="E5512" s="508">
        <v>0.107</v>
      </c>
      <c r="F5512" s="508">
        <v>0.10199999999999999</v>
      </c>
      <c r="G5512" s="508">
        <v>0.10100000000000001</v>
      </c>
      <c r="H5512" s="508">
        <v>8.4000000000000005E-2</v>
      </c>
      <c r="I5512" s="508">
        <v>8.4000000000000005E-2</v>
      </c>
      <c r="J5512" s="508">
        <v>9.0999999999999998E-2</v>
      </c>
      <c r="K5512" s="508">
        <v>5.2999999999999999E-2</v>
      </c>
      <c r="L5512" s="508">
        <v>5.1999999999999998E-2</v>
      </c>
      <c r="M5512" s="508">
        <v>0.05</v>
      </c>
      <c r="N5512" s="508">
        <v>5.6000000000000001E-2</v>
      </c>
      <c r="O5512" s="508">
        <v>4.7E-2</v>
      </c>
      <c r="P5512" s="508">
        <v>3.1E-2</v>
      </c>
      <c r="Q5512" s="508">
        <v>3.4000000000000002E-2</v>
      </c>
      <c r="R5512" s="508">
        <v>2.7E-2</v>
      </c>
      <c r="S5512" s="508">
        <v>2.5000000000000001E-2</v>
      </c>
      <c r="T5512" s="508">
        <v>2.5000000000000001E-2</v>
      </c>
      <c r="U5512" s="508">
        <v>1.4999999999999999E-2</v>
      </c>
      <c r="V5512" s="508">
        <v>1.2999999999999999E-2</v>
      </c>
      <c r="W5512" s="508">
        <v>1.2999999999999999E-2</v>
      </c>
      <c r="X5512" s="508">
        <v>8.9999999999999993E-3</v>
      </c>
      <c r="Y5512" s="508">
        <v>8.9999999999999993E-3</v>
      </c>
      <c r="Z5512" s="508">
        <v>7.0000000000000001E-3</v>
      </c>
      <c r="AA5512" s="508">
        <v>7.0000000000000001E-3</v>
      </c>
      <c r="AB5512" s="508">
        <v>6.0000000000000001E-3</v>
      </c>
      <c r="AC5512" s="508">
        <v>6.0000000000000001E-3</v>
      </c>
      <c r="AD5512" s="508">
        <v>5.0000000000000001E-3</v>
      </c>
      <c r="AE5512" s="508">
        <v>5.0000000000000001E-3</v>
      </c>
      <c r="AF5512" s="508">
        <v>3.0000000000000001E-3</v>
      </c>
      <c r="AG5512" s="508">
        <v>3.0000000000000001E-3</v>
      </c>
      <c r="AH5512" s="508">
        <v>3.0000000000000001E-3</v>
      </c>
      <c r="AI5512" s="492">
        <v>3.0000000000000001E-3</v>
      </c>
      <c r="AJ5512" s="485"/>
    </row>
    <row r="5513" spans="2:36">
      <c r="B5513" s="136" t="s">
        <v>469</v>
      </c>
      <c r="C5513" s="132" t="s">
        <v>1365</v>
      </c>
      <c r="D5513" s="132" t="s">
        <v>285</v>
      </c>
      <c r="E5513" s="508">
        <v>9.4E-2</v>
      </c>
      <c r="F5513" s="508">
        <v>8.7999999999999995E-2</v>
      </c>
      <c r="G5513" s="508">
        <v>8.5999999999999993E-2</v>
      </c>
      <c r="H5513" s="508">
        <v>7.2999999999999995E-2</v>
      </c>
      <c r="I5513" s="508">
        <v>7.3999999999999996E-2</v>
      </c>
      <c r="J5513" s="508">
        <v>7.6999999999999999E-2</v>
      </c>
      <c r="K5513" s="508">
        <v>4.5999999999999999E-2</v>
      </c>
      <c r="L5513" s="508">
        <v>4.4999999999999998E-2</v>
      </c>
      <c r="M5513" s="508">
        <v>4.3999999999999997E-2</v>
      </c>
      <c r="N5513" s="508">
        <v>4.9000000000000002E-2</v>
      </c>
      <c r="O5513" s="508">
        <v>0.04</v>
      </c>
      <c r="P5513" s="508">
        <v>2.7E-2</v>
      </c>
      <c r="Q5513" s="508">
        <v>2.9000000000000001E-2</v>
      </c>
      <c r="R5513" s="508">
        <v>2.3E-2</v>
      </c>
      <c r="S5513" s="508">
        <v>2.1000000000000001E-2</v>
      </c>
      <c r="T5513" s="508">
        <v>2.1000000000000001E-2</v>
      </c>
      <c r="U5513" s="508">
        <v>1.2999999999999999E-2</v>
      </c>
      <c r="V5513" s="508">
        <v>1.0999999999999999E-2</v>
      </c>
      <c r="W5513" s="508">
        <v>1.0999999999999999E-2</v>
      </c>
      <c r="X5513" s="508">
        <v>8.9999999999999993E-3</v>
      </c>
      <c r="Y5513" s="508">
        <v>8.9999999999999993E-3</v>
      </c>
      <c r="Z5513" s="508">
        <v>7.0000000000000001E-3</v>
      </c>
      <c r="AA5513" s="508">
        <v>7.0000000000000001E-3</v>
      </c>
      <c r="AB5513" s="508">
        <v>6.0000000000000001E-3</v>
      </c>
      <c r="AC5513" s="508">
        <v>6.0000000000000001E-3</v>
      </c>
      <c r="AD5513" s="508">
        <v>5.0000000000000001E-3</v>
      </c>
      <c r="AE5513" s="508">
        <v>5.0000000000000001E-3</v>
      </c>
      <c r="AF5513" s="508">
        <v>3.0000000000000001E-3</v>
      </c>
      <c r="AG5513" s="508">
        <v>3.0000000000000001E-3</v>
      </c>
      <c r="AH5513" s="508">
        <v>3.0000000000000001E-3</v>
      </c>
      <c r="AI5513" s="492">
        <v>3.0000000000000001E-3</v>
      </c>
      <c r="AJ5513" s="485"/>
    </row>
    <row r="5514" spans="2:36">
      <c r="B5514" s="136" t="s">
        <v>470</v>
      </c>
      <c r="C5514" s="132" t="s">
        <v>1365</v>
      </c>
      <c r="D5514" s="132" t="s">
        <v>285</v>
      </c>
      <c r="E5514" s="508">
        <v>0.124</v>
      </c>
      <c r="F5514" s="508">
        <v>0.11600000000000001</v>
      </c>
      <c r="G5514" s="508">
        <v>0.113</v>
      </c>
      <c r="H5514" s="508">
        <v>9.6000000000000002E-2</v>
      </c>
      <c r="I5514" s="508">
        <v>9.7000000000000003E-2</v>
      </c>
      <c r="J5514" s="508">
        <v>9.9000000000000005E-2</v>
      </c>
      <c r="K5514" s="508">
        <v>6.3E-2</v>
      </c>
      <c r="L5514" s="508">
        <v>6.0999999999999999E-2</v>
      </c>
      <c r="M5514" s="508">
        <v>0.06</v>
      </c>
      <c r="N5514" s="508">
        <v>6.2E-2</v>
      </c>
      <c r="O5514" s="508">
        <v>5.1999999999999998E-2</v>
      </c>
      <c r="P5514" s="508">
        <v>3.5999999999999997E-2</v>
      </c>
      <c r="Q5514" s="508">
        <v>3.6999999999999998E-2</v>
      </c>
      <c r="R5514" s="508">
        <v>3.1E-2</v>
      </c>
      <c r="S5514" s="508">
        <v>2.8000000000000001E-2</v>
      </c>
      <c r="T5514" s="508">
        <v>2.8000000000000001E-2</v>
      </c>
      <c r="U5514" s="508">
        <v>1.7999999999999999E-2</v>
      </c>
      <c r="V5514" s="508">
        <v>1.4999999999999999E-2</v>
      </c>
      <c r="W5514" s="508">
        <v>1.4999999999999999E-2</v>
      </c>
      <c r="X5514" s="508">
        <v>0.01</v>
      </c>
      <c r="Y5514" s="508">
        <v>0.01</v>
      </c>
      <c r="Z5514" s="508">
        <v>8.0000000000000002E-3</v>
      </c>
      <c r="AA5514" s="508">
        <v>8.0000000000000002E-3</v>
      </c>
      <c r="AB5514" s="508">
        <v>7.0000000000000001E-3</v>
      </c>
      <c r="AC5514" s="508">
        <v>7.0000000000000001E-3</v>
      </c>
      <c r="AD5514" s="508">
        <v>6.0000000000000001E-3</v>
      </c>
      <c r="AE5514" s="508">
        <v>6.0000000000000001E-3</v>
      </c>
      <c r="AF5514" s="508">
        <v>4.0000000000000001E-3</v>
      </c>
      <c r="AG5514" s="508">
        <v>4.0000000000000001E-3</v>
      </c>
      <c r="AH5514" s="508">
        <v>4.0000000000000001E-3</v>
      </c>
      <c r="AI5514" s="492">
        <v>4.0000000000000001E-3</v>
      </c>
      <c r="AJ5514" s="485"/>
    </row>
    <row r="5515" spans="2:36">
      <c r="B5515" s="136" t="s">
        <v>471</v>
      </c>
      <c r="C5515" s="132" t="s">
        <v>1365</v>
      </c>
      <c r="D5515" s="132" t="s">
        <v>285</v>
      </c>
      <c r="E5515" s="508">
        <v>8.5000000000000006E-2</v>
      </c>
      <c r="F5515" s="508">
        <v>7.9000000000000001E-2</v>
      </c>
      <c r="G5515" s="508">
        <v>7.6999999999999999E-2</v>
      </c>
      <c r="H5515" s="508">
        <v>6.7000000000000004E-2</v>
      </c>
      <c r="I5515" s="508">
        <v>6.7000000000000004E-2</v>
      </c>
      <c r="J5515" s="508">
        <v>6.9000000000000006E-2</v>
      </c>
      <c r="K5515" s="508">
        <v>4.2000000000000003E-2</v>
      </c>
      <c r="L5515" s="508">
        <v>4.1000000000000002E-2</v>
      </c>
      <c r="M5515" s="508">
        <v>0.04</v>
      </c>
      <c r="N5515" s="508">
        <v>4.3999999999999997E-2</v>
      </c>
      <c r="O5515" s="508">
        <v>3.5999999999999997E-2</v>
      </c>
      <c r="P5515" s="508">
        <v>2.4E-2</v>
      </c>
      <c r="Q5515" s="508">
        <v>2.5999999999999999E-2</v>
      </c>
      <c r="R5515" s="508">
        <v>2.1000000000000001E-2</v>
      </c>
      <c r="S5515" s="508">
        <v>1.9E-2</v>
      </c>
      <c r="T5515" s="508">
        <v>1.9E-2</v>
      </c>
      <c r="U5515" s="508">
        <v>1.2999999999999999E-2</v>
      </c>
      <c r="V5515" s="508">
        <v>1.0999999999999999E-2</v>
      </c>
      <c r="W5515" s="508">
        <v>1.0999999999999999E-2</v>
      </c>
      <c r="X5515" s="508">
        <v>8.9999999999999993E-3</v>
      </c>
      <c r="Y5515" s="508">
        <v>8.9999999999999993E-3</v>
      </c>
      <c r="Z5515" s="508">
        <v>8.0000000000000002E-3</v>
      </c>
      <c r="AA5515" s="508">
        <v>7.0000000000000001E-3</v>
      </c>
      <c r="AB5515" s="508">
        <v>7.0000000000000001E-3</v>
      </c>
      <c r="AC5515" s="508">
        <v>6.0000000000000001E-3</v>
      </c>
      <c r="AD5515" s="508">
        <v>6.0000000000000001E-3</v>
      </c>
      <c r="AE5515" s="508">
        <v>6.0000000000000001E-3</v>
      </c>
      <c r="AF5515" s="508">
        <v>4.0000000000000001E-3</v>
      </c>
      <c r="AG5515" s="508">
        <v>4.0000000000000001E-3</v>
      </c>
      <c r="AH5515" s="508">
        <v>4.0000000000000001E-3</v>
      </c>
      <c r="AI5515" s="492">
        <v>3.0000000000000001E-3</v>
      </c>
      <c r="AJ5515" s="485"/>
    </row>
    <row r="5516" spans="2:36">
      <c r="B5516" s="136" t="s">
        <v>472</v>
      </c>
      <c r="C5516" s="132" t="s">
        <v>1365</v>
      </c>
      <c r="D5516" s="132" t="s">
        <v>285</v>
      </c>
      <c r="E5516" s="508">
        <v>0.16700000000000001</v>
      </c>
      <c r="F5516" s="508">
        <v>0.155</v>
      </c>
      <c r="G5516" s="508">
        <v>0.152</v>
      </c>
      <c r="H5516" s="508">
        <v>0.13100000000000001</v>
      </c>
      <c r="I5516" s="508">
        <v>0.13100000000000001</v>
      </c>
      <c r="J5516" s="508">
        <v>0.13700000000000001</v>
      </c>
      <c r="K5516" s="508">
        <v>8.2000000000000003E-2</v>
      </c>
      <c r="L5516" s="508">
        <v>0.08</v>
      </c>
      <c r="M5516" s="508">
        <v>7.8E-2</v>
      </c>
      <c r="N5516" s="508">
        <v>8.7999999999999995E-2</v>
      </c>
      <c r="O5516" s="508">
        <v>7.0999999999999994E-2</v>
      </c>
      <c r="P5516" s="508">
        <v>4.5999999999999999E-2</v>
      </c>
      <c r="Q5516" s="508">
        <v>5.0999999999999997E-2</v>
      </c>
      <c r="R5516" s="508">
        <v>4.1000000000000002E-2</v>
      </c>
      <c r="S5516" s="508">
        <v>3.5000000000000003E-2</v>
      </c>
      <c r="T5516" s="508">
        <v>3.5999999999999997E-2</v>
      </c>
      <c r="U5516" s="508">
        <v>2.1000000000000001E-2</v>
      </c>
      <c r="V5516" s="508">
        <v>0.02</v>
      </c>
      <c r="W5516" s="508">
        <v>0.02</v>
      </c>
      <c r="X5516" s="508">
        <v>1.2E-2</v>
      </c>
      <c r="Y5516" s="508">
        <v>1.0999999999999999E-2</v>
      </c>
      <c r="Z5516" s="508">
        <v>8.9999999999999993E-3</v>
      </c>
      <c r="AA5516" s="508">
        <v>8.9999999999999993E-3</v>
      </c>
      <c r="AB5516" s="508">
        <v>8.0000000000000002E-3</v>
      </c>
      <c r="AC5516" s="508">
        <v>8.0000000000000002E-3</v>
      </c>
      <c r="AD5516" s="508">
        <v>7.0000000000000001E-3</v>
      </c>
      <c r="AE5516" s="508">
        <v>7.0000000000000001E-3</v>
      </c>
      <c r="AF5516" s="508">
        <v>4.0000000000000001E-3</v>
      </c>
      <c r="AG5516" s="508">
        <v>4.0000000000000001E-3</v>
      </c>
      <c r="AH5516" s="508">
        <v>4.0000000000000001E-3</v>
      </c>
      <c r="AI5516" s="492">
        <v>4.0000000000000001E-3</v>
      </c>
      <c r="AJ5516" s="485"/>
    </row>
    <row r="5517" spans="2:36">
      <c r="B5517" s="136" t="s">
        <v>473</v>
      </c>
      <c r="C5517" s="132" t="s">
        <v>1365</v>
      </c>
      <c r="D5517" s="132" t="s">
        <v>285</v>
      </c>
      <c r="E5517" s="508">
        <v>0.11799999999999999</v>
      </c>
      <c r="F5517" s="508">
        <v>0.109</v>
      </c>
      <c r="G5517" s="508">
        <v>0.107</v>
      </c>
      <c r="H5517" s="508">
        <v>9.1999999999999998E-2</v>
      </c>
      <c r="I5517" s="508">
        <v>9.1999999999999998E-2</v>
      </c>
      <c r="J5517" s="508">
        <v>9.2999999999999999E-2</v>
      </c>
      <c r="K5517" s="508">
        <v>5.8999999999999997E-2</v>
      </c>
      <c r="L5517" s="508">
        <v>5.8000000000000003E-2</v>
      </c>
      <c r="M5517" s="508">
        <v>5.6000000000000001E-2</v>
      </c>
      <c r="N5517" s="508">
        <v>5.8999999999999997E-2</v>
      </c>
      <c r="O5517" s="508">
        <v>4.9000000000000002E-2</v>
      </c>
      <c r="P5517" s="508">
        <v>3.4000000000000002E-2</v>
      </c>
      <c r="Q5517" s="508">
        <v>3.5999999999999997E-2</v>
      </c>
      <c r="R5517" s="508">
        <v>2.9000000000000001E-2</v>
      </c>
      <c r="S5517" s="508">
        <v>2.5999999999999999E-2</v>
      </c>
      <c r="T5517" s="508">
        <v>2.5999999999999999E-2</v>
      </c>
      <c r="U5517" s="508">
        <v>1.4999999999999999E-2</v>
      </c>
      <c r="V5517" s="508">
        <v>1.2999999999999999E-2</v>
      </c>
      <c r="W5517" s="508">
        <v>1.2999999999999999E-2</v>
      </c>
      <c r="X5517" s="508">
        <v>8.9999999999999993E-3</v>
      </c>
      <c r="Y5517" s="508">
        <v>8.9999999999999993E-3</v>
      </c>
      <c r="Z5517" s="508">
        <v>7.0000000000000001E-3</v>
      </c>
      <c r="AA5517" s="508">
        <v>7.0000000000000001E-3</v>
      </c>
      <c r="AB5517" s="508">
        <v>6.0000000000000001E-3</v>
      </c>
      <c r="AC5517" s="508">
        <v>6.0000000000000001E-3</v>
      </c>
      <c r="AD5517" s="508">
        <v>5.0000000000000001E-3</v>
      </c>
      <c r="AE5517" s="508">
        <v>5.0000000000000001E-3</v>
      </c>
      <c r="AF5517" s="508">
        <v>3.0000000000000001E-3</v>
      </c>
      <c r="AG5517" s="508">
        <v>3.0000000000000001E-3</v>
      </c>
      <c r="AH5517" s="508">
        <v>3.0000000000000001E-3</v>
      </c>
      <c r="AI5517" s="492">
        <v>3.0000000000000001E-3</v>
      </c>
      <c r="AJ5517" s="485"/>
    </row>
    <row r="5518" spans="2:36">
      <c r="B5518" s="136" t="s">
        <v>474</v>
      </c>
      <c r="C5518" s="132" t="s">
        <v>1365</v>
      </c>
      <c r="D5518" s="132" t="s">
        <v>285</v>
      </c>
      <c r="E5518" s="508">
        <v>8.2000000000000003E-2</v>
      </c>
      <c r="F5518" s="508">
        <v>7.5999999999999998E-2</v>
      </c>
      <c r="G5518" s="508">
        <v>7.4999999999999997E-2</v>
      </c>
      <c r="H5518" s="508">
        <v>6.4000000000000001E-2</v>
      </c>
      <c r="I5518" s="508">
        <v>6.5000000000000002E-2</v>
      </c>
      <c r="J5518" s="508">
        <v>6.7000000000000004E-2</v>
      </c>
      <c r="K5518" s="508">
        <v>4.1000000000000002E-2</v>
      </c>
      <c r="L5518" s="508">
        <v>0.04</v>
      </c>
      <c r="M5518" s="508">
        <v>3.9E-2</v>
      </c>
      <c r="N5518" s="508">
        <v>4.2999999999999997E-2</v>
      </c>
      <c r="O5518" s="508">
        <v>3.5000000000000003E-2</v>
      </c>
      <c r="P5518" s="508">
        <v>2.3E-2</v>
      </c>
      <c r="Q5518" s="508">
        <v>2.5000000000000001E-2</v>
      </c>
      <c r="R5518" s="508">
        <v>0.02</v>
      </c>
      <c r="S5518" s="508">
        <v>1.7999999999999999E-2</v>
      </c>
      <c r="T5518" s="508">
        <v>1.7999999999999999E-2</v>
      </c>
      <c r="U5518" s="508">
        <v>1.0999999999999999E-2</v>
      </c>
      <c r="V5518" s="508">
        <v>0.01</v>
      </c>
      <c r="W5518" s="508">
        <v>0.01</v>
      </c>
      <c r="X5518" s="508">
        <v>8.0000000000000002E-3</v>
      </c>
      <c r="Y5518" s="508">
        <v>8.0000000000000002E-3</v>
      </c>
      <c r="Z5518" s="508">
        <v>7.0000000000000001E-3</v>
      </c>
      <c r="AA5518" s="508">
        <v>7.0000000000000001E-3</v>
      </c>
      <c r="AB5518" s="508">
        <v>6.0000000000000001E-3</v>
      </c>
      <c r="AC5518" s="508">
        <v>6.0000000000000001E-3</v>
      </c>
      <c r="AD5518" s="508">
        <v>5.0000000000000001E-3</v>
      </c>
      <c r="AE5518" s="508">
        <v>5.0000000000000001E-3</v>
      </c>
      <c r="AF5518" s="508">
        <v>3.0000000000000001E-3</v>
      </c>
      <c r="AG5518" s="508">
        <v>3.0000000000000001E-3</v>
      </c>
      <c r="AH5518" s="508">
        <v>3.0000000000000001E-3</v>
      </c>
      <c r="AI5518" s="492">
        <v>3.0000000000000001E-3</v>
      </c>
      <c r="AJ5518" s="485"/>
    </row>
    <row r="5519" spans="2:36">
      <c r="B5519" s="136" t="s">
        <v>475</v>
      </c>
      <c r="C5519" s="132" t="s">
        <v>1365</v>
      </c>
      <c r="D5519" s="132" t="s">
        <v>285</v>
      </c>
      <c r="E5519" s="508">
        <v>0.115</v>
      </c>
      <c r="F5519" s="508">
        <v>0.108</v>
      </c>
      <c r="G5519" s="508">
        <v>0.106</v>
      </c>
      <c r="H5519" s="508">
        <v>0.09</v>
      </c>
      <c r="I5519" s="508">
        <v>9.0999999999999998E-2</v>
      </c>
      <c r="J5519" s="508">
        <v>9.4E-2</v>
      </c>
      <c r="K5519" s="508">
        <v>5.7000000000000002E-2</v>
      </c>
      <c r="L5519" s="508">
        <v>5.6000000000000001E-2</v>
      </c>
      <c r="M5519" s="508">
        <v>5.5E-2</v>
      </c>
      <c r="N5519" s="508">
        <v>0.06</v>
      </c>
      <c r="O5519" s="508">
        <v>4.9000000000000002E-2</v>
      </c>
      <c r="P5519" s="508">
        <v>3.3000000000000002E-2</v>
      </c>
      <c r="Q5519" s="508">
        <v>3.5000000000000003E-2</v>
      </c>
      <c r="R5519" s="508">
        <v>2.8000000000000001E-2</v>
      </c>
      <c r="S5519" s="508">
        <v>2.5000000000000001E-2</v>
      </c>
      <c r="T5519" s="508">
        <v>2.5999999999999999E-2</v>
      </c>
      <c r="U5519" s="508">
        <v>1.4999999999999999E-2</v>
      </c>
      <c r="V5519" s="508">
        <v>1.2999999999999999E-2</v>
      </c>
      <c r="W5519" s="508">
        <v>1.2999999999999999E-2</v>
      </c>
      <c r="X5519" s="508">
        <v>8.9999999999999993E-3</v>
      </c>
      <c r="Y5519" s="508">
        <v>8.9999999999999993E-3</v>
      </c>
      <c r="Z5519" s="508">
        <v>7.0000000000000001E-3</v>
      </c>
      <c r="AA5519" s="508">
        <v>7.0000000000000001E-3</v>
      </c>
      <c r="AB5519" s="508">
        <v>6.0000000000000001E-3</v>
      </c>
      <c r="AC5519" s="508">
        <v>6.0000000000000001E-3</v>
      </c>
      <c r="AD5519" s="508">
        <v>6.0000000000000001E-3</v>
      </c>
      <c r="AE5519" s="508">
        <v>6.0000000000000001E-3</v>
      </c>
      <c r="AF5519" s="508">
        <v>3.0000000000000001E-3</v>
      </c>
      <c r="AG5519" s="508">
        <v>3.0000000000000001E-3</v>
      </c>
      <c r="AH5519" s="508">
        <v>3.0000000000000001E-3</v>
      </c>
      <c r="AI5519" s="492">
        <v>3.0000000000000001E-3</v>
      </c>
      <c r="AJ5519" s="485"/>
    </row>
    <row r="5520" spans="2:36">
      <c r="B5520" s="136" t="s">
        <v>476</v>
      </c>
      <c r="C5520" s="132" t="s">
        <v>1365</v>
      </c>
      <c r="D5520" s="132" t="s">
        <v>285</v>
      </c>
      <c r="E5520" s="508">
        <v>0.11799999999999999</v>
      </c>
      <c r="F5520" s="508">
        <v>0.11</v>
      </c>
      <c r="G5520" s="508">
        <v>0.108</v>
      </c>
      <c r="H5520" s="508">
        <v>9.1999999999999998E-2</v>
      </c>
      <c r="I5520" s="508">
        <v>9.1999999999999998E-2</v>
      </c>
      <c r="J5520" s="508">
        <v>9.4E-2</v>
      </c>
      <c r="K5520" s="508">
        <v>5.8999999999999997E-2</v>
      </c>
      <c r="L5520" s="508">
        <v>5.8000000000000003E-2</v>
      </c>
      <c r="M5520" s="508">
        <v>5.6000000000000001E-2</v>
      </c>
      <c r="N5520" s="508">
        <v>0.06</v>
      </c>
      <c r="O5520" s="508">
        <v>0.05</v>
      </c>
      <c r="P5520" s="508">
        <v>3.4000000000000002E-2</v>
      </c>
      <c r="Q5520" s="508">
        <v>3.5999999999999997E-2</v>
      </c>
      <c r="R5520" s="508">
        <v>2.9000000000000001E-2</v>
      </c>
      <c r="S5520" s="508">
        <v>2.5999999999999999E-2</v>
      </c>
      <c r="T5520" s="508">
        <v>2.5999999999999999E-2</v>
      </c>
      <c r="U5520" s="508">
        <v>1.6E-2</v>
      </c>
      <c r="V5520" s="508">
        <v>1.4E-2</v>
      </c>
      <c r="W5520" s="508">
        <v>1.4999999999999999E-2</v>
      </c>
      <c r="X5520" s="508">
        <v>0.01</v>
      </c>
      <c r="Y5520" s="508">
        <v>0.01</v>
      </c>
      <c r="Z5520" s="508">
        <v>8.0000000000000002E-3</v>
      </c>
      <c r="AA5520" s="508">
        <v>8.0000000000000002E-3</v>
      </c>
      <c r="AB5520" s="508">
        <v>7.0000000000000001E-3</v>
      </c>
      <c r="AC5520" s="508">
        <v>7.0000000000000001E-3</v>
      </c>
      <c r="AD5520" s="508">
        <v>6.0000000000000001E-3</v>
      </c>
      <c r="AE5520" s="508">
        <v>6.0000000000000001E-3</v>
      </c>
      <c r="AF5520" s="508">
        <v>4.0000000000000001E-3</v>
      </c>
      <c r="AG5520" s="508">
        <v>4.0000000000000001E-3</v>
      </c>
      <c r="AH5520" s="508">
        <v>4.0000000000000001E-3</v>
      </c>
      <c r="AI5520" s="492">
        <v>4.0000000000000001E-3</v>
      </c>
      <c r="AJ5520" s="485"/>
    </row>
    <row r="5521" spans="2:36">
      <c r="B5521" s="136" t="s">
        <v>478</v>
      </c>
      <c r="C5521" s="132" t="s">
        <v>1365</v>
      </c>
      <c r="D5521" s="132" t="s">
        <v>285</v>
      </c>
      <c r="E5521" s="508">
        <v>0.126</v>
      </c>
      <c r="F5521" s="508">
        <v>0.11799999999999999</v>
      </c>
      <c r="G5521" s="508">
        <v>0.11600000000000001</v>
      </c>
      <c r="H5521" s="508">
        <v>9.7000000000000003E-2</v>
      </c>
      <c r="I5521" s="508">
        <v>9.8000000000000004E-2</v>
      </c>
      <c r="J5521" s="508">
        <v>0.1</v>
      </c>
      <c r="K5521" s="508">
        <v>6.4000000000000001E-2</v>
      </c>
      <c r="L5521" s="508">
        <v>6.2E-2</v>
      </c>
      <c r="M5521" s="508">
        <v>6.0999999999999999E-2</v>
      </c>
      <c r="N5521" s="508">
        <v>6.2E-2</v>
      </c>
      <c r="O5521" s="508">
        <v>5.2999999999999999E-2</v>
      </c>
      <c r="P5521" s="508">
        <v>3.6999999999999998E-2</v>
      </c>
      <c r="Q5521" s="508">
        <v>3.7999999999999999E-2</v>
      </c>
      <c r="R5521" s="508">
        <v>3.1E-2</v>
      </c>
      <c r="S5521" s="508">
        <v>2.9000000000000001E-2</v>
      </c>
      <c r="T5521" s="508">
        <v>2.9000000000000001E-2</v>
      </c>
      <c r="U5521" s="508">
        <v>1.7000000000000001E-2</v>
      </c>
      <c r="V5521" s="508">
        <v>1.4999999999999999E-2</v>
      </c>
      <c r="W5521" s="508">
        <v>1.4999999999999999E-2</v>
      </c>
      <c r="X5521" s="508">
        <v>0.01</v>
      </c>
      <c r="Y5521" s="508">
        <v>0.01</v>
      </c>
      <c r="Z5521" s="508">
        <v>8.0000000000000002E-3</v>
      </c>
      <c r="AA5521" s="508">
        <v>8.0000000000000002E-3</v>
      </c>
      <c r="AB5521" s="508">
        <v>7.0000000000000001E-3</v>
      </c>
      <c r="AC5521" s="508">
        <v>7.0000000000000001E-3</v>
      </c>
      <c r="AD5521" s="508">
        <v>6.0000000000000001E-3</v>
      </c>
      <c r="AE5521" s="508">
        <v>6.0000000000000001E-3</v>
      </c>
      <c r="AF5521" s="508">
        <v>4.0000000000000001E-3</v>
      </c>
      <c r="AG5521" s="508">
        <v>4.0000000000000001E-3</v>
      </c>
      <c r="AH5521" s="508">
        <v>4.0000000000000001E-3</v>
      </c>
      <c r="AI5521" s="492">
        <v>4.0000000000000001E-3</v>
      </c>
      <c r="AJ5521" s="485"/>
    </row>
    <row r="5522" spans="2:36">
      <c r="B5522" s="136" t="s">
        <v>479</v>
      </c>
      <c r="C5522" s="132" t="s">
        <v>1365</v>
      </c>
      <c r="D5522" s="132" t="s">
        <v>285</v>
      </c>
      <c r="E5522" s="508">
        <v>7.5999999999999998E-2</v>
      </c>
      <c r="F5522" s="508">
        <v>7.0999999999999994E-2</v>
      </c>
      <c r="G5522" s="508">
        <v>7.0000000000000007E-2</v>
      </c>
      <c r="H5522" s="508">
        <v>0.06</v>
      </c>
      <c r="I5522" s="508">
        <v>0.06</v>
      </c>
      <c r="J5522" s="508">
        <v>6.3E-2</v>
      </c>
      <c r="K5522" s="508">
        <v>3.7999999999999999E-2</v>
      </c>
      <c r="L5522" s="508">
        <v>3.6999999999999998E-2</v>
      </c>
      <c r="M5522" s="508">
        <v>3.5999999999999997E-2</v>
      </c>
      <c r="N5522" s="508">
        <v>0.04</v>
      </c>
      <c r="O5522" s="508">
        <v>3.2000000000000001E-2</v>
      </c>
      <c r="P5522" s="508">
        <v>2.1999999999999999E-2</v>
      </c>
      <c r="Q5522" s="508">
        <v>2.4E-2</v>
      </c>
      <c r="R5522" s="508">
        <v>1.9E-2</v>
      </c>
      <c r="S5522" s="508">
        <v>1.7000000000000001E-2</v>
      </c>
      <c r="T5522" s="508">
        <v>1.7000000000000001E-2</v>
      </c>
      <c r="U5522" s="508">
        <v>1.0999999999999999E-2</v>
      </c>
      <c r="V5522" s="508">
        <v>0.01</v>
      </c>
      <c r="W5522" s="508">
        <v>0.01</v>
      </c>
      <c r="X5522" s="508">
        <v>8.9999999999999993E-3</v>
      </c>
      <c r="Y5522" s="508">
        <v>8.9999999999999993E-3</v>
      </c>
      <c r="Z5522" s="508">
        <v>7.0000000000000001E-3</v>
      </c>
      <c r="AA5522" s="508">
        <v>7.0000000000000001E-3</v>
      </c>
      <c r="AB5522" s="508">
        <v>6.0000000000000001E-3</v>
      </c>
      <c r="AC5522" s="508">
        <v>6.0000000000000001E-3</v>
      </c>
      <c r="AD5522" s="508">
        <v>5.0000000000000001E-3</v>
      </c>
      <c r="AE5522" s="508">
        <v>5.0000000000000001E-3</v>
      </c>
      <c r="AF5522" s="508">
        <v>3.0000000000000001E-3</v>
      </c>
      <c r="AG5522" s="508">
        <v>3.0000000000000001E-3</v>
      </c>
      <c r="AH5522" s="508">
        <v>3.0000000000000001E-3</v>
      </c>
      <c r="AI5522" s="492">
        <v>3.0000000000000001E-3</v>
      </c>
      <c r="AJ5522" s="485"/>
    </row>
    <row r="5523" spans="2:36">
      <c r="B5523" s="136" t="s">
        <v>480</v>
      </c>
      <c r="C5523" s="132" t="s">
        <v>1365</v>
      </c>
      <c r="D5523" s="132" t="s">
        <v>285</v>
      </c>
      <c r="E5523" s="508">
        <v>0.13900000000000001</v>
      </c>
      <c r="F5523" s="508">
        <v>0.13100000000000001</v>
      </c>
      <c r="G5523" s="508">
        <v>0.129</v>
      </c>
      <c r="H5523" s="508">
        <v>0.109</v>
      </c>
      <c r="I5523" s="508">
        <v>0.11</v>
      </c>
      <c r="J5523" s="508">
        <v>0.11600000000000001</v>
      </c>
      <c r="K5523" s="508">
        <v>6.9000000000000006E-2</v>
      </c>
      <c r="L5523" s="508">
        <v>6.7000000000000004E-2</v>
      </c>
      <c r="M5523" s="508">
        <v>6.5000000000000002E-2</v>
      </c>
      <c r="N5523" s="508">
        <v>7.3999999999999996E-2</v>
      </c>
      <c r="O5523" s="508">
        <v>0.06</v>
      </c>
      <c r="P5523" s="508">
        <v>3.9E-2</v>
      </c>
      <c r="Q5523" s="508">
        <v>4.2999999999999997E-2</v>
      </c>
      <c r="R5523" s="508">
        <v>3.5000000000000003E-2</v>
      </c>
      <c r="S5523" s="508">
        <v>3.1E-2</v>
      </c>
      <c r="T5523" s="508">
        <v>3.1E-2</v>
      </c>
      <c r="U5523" s="508">
        <v>1.9E-2</v>
      </c>
      <c r="V5523" s="508">
        <v>1.7000000000000001E-2</v>
      </c>
      <c r="W5523" s="508">
        <v>1.7000000000000001E-2</v>
      </c>
      <c r="X5523" s="508">
        <v>1.0999999999999999E-2</v>
      </c>
      <c r="Y5523" s="508">
        <v>1.0999999999999999E-2</v>
      </c>
      <c r="Z5523" s="508">
        <v>8.9999999999999993E-3</v>
      </c>
      <c r="AA5523" s="508">
        <v>8.0000000000000002E-3</v>
      </c>
      <c r="AB5523" s="508">
        <v>7.0000000000000001E-3</v>
      </c>
      <c r="AC5523" s="508">
        <v>7.0000000000000001E-3</v>
      </c>
      <c r="AD5523" s="508">
        <v>6.0000000000000001E-3</v>
      </c>
      <c r="AE5523" s="508">
        <v>6.0000000000000001E-3</v>
      </c>
      <c r="AF5523" s="508">
        <v>4.0000000000000001E-3</v>
      </c>
      <c r="AG5523" s="508">
        <v>4.0000000000000001E-3</v>
      </c>
      <c r="AH5523" s="508">
        <v>4.0000000000000001E-3</v>
      </c>
      <c r="AI5523" s="492">
        <v>4.0000000000000001E-3</v>
      </c>
      <c r="AJ5523" s="485"/>
    </row>
    <row r="5524" spans="2:36">
      <c r="B5524" s="136" t="s">
        <v>481</v>
      </c>
      <c r="C5524" s="132" t="s">
        <v>1365</v>
      </c>
      <c r="D5524" s="132" t="s">
        <v>285</v>
      </c>
      <c r="E5524" s="508">
        <v>0.09</v>
      </c>
      <c r="F5524" s="508">
        <v>8.4000000000000005E-2</v>
      </c>
      <c r="G5524" s="508">
        <v>8.2000000000000003E-2</v>
      </c>
      <c r="H5524" s="508">
        <v>7.0000000000000007E-2</v>
      </c>
      <c r="I5524" s="508">
        <v>7.0000000000000007E-2</v>
      </c>
      <c r="J5524" s="508">
        <v>7.2999999999999995E-2</v>
      </c>
      <c r="K5524" s="508">
        <v>4.4999999999999998E-2</v>
      </c>
      <c r="L5524" s="508">
        <v>4.3999999999999997E-2</v>
      </c>
      <c r="M5524" s="508">
        <v>4.2999999999999997E-2</v>
      </c>
      <c r="N5524" s="508">
        <v>4.5999999999999999E-2</v>
      </c>
      <c r="O5524" s="508">
        <v>3.7999999999999999E-2</v>
      </c>
      <c r="P5524" s="508">
        <v>2.5999999999999999E-2</v>
      </c>
      <c r="Q5524" s="508">
        <v>2.8000000000000001E-2</v>
      </c>
      <c r="R5524" s="508">
        <v>2.1999999999999999E-2</v>
      </c>
      <c r="S5524" s="508">
        <v>0.02</v>
      </c>
      <c r="T5524" s="508">
        <v>0.02</v>
      </c>
      <c r="U5524" s="508">
        <v>1.2E-2</v>
      </c>
      <c r="V5524" s="508">
        <v>1.0999999999999999E-2</v>
      </c>
      <c r="W5524" s="508">
        <v>1.0999999999999999E-2</v>
      </c>
      <c r="X5524" s="508">
        <v>8.9999999999999993E-3</v>
      </c>
      <c r="Y5524" s="508">
        <v>8.9999999999999993E-3</v>
      </c>
      <c r="Z5524" s="508">
        <v>7.0000000000000001E-3</v>
      </c>
      <c r="AA5524" s="508">
        <v>7.0000000000000001E-3</v>
      </c>
      <c r="AB5524" s="508">
        <v>6.0000000000000001E-3</v>
      </c>
      <c r="AC5524" s="508">
        <v>6.0000000000000001E-3</v>
      </c>
      <c r="AD5524" s="508">
        <v>5.0000000000000001E-3</v>
      </c>
      <c r="AE5524" s="508">
        <v>5.0000000000000001E-3</v>
      </c>
      <c r="AF5524" s="508">
        <v>3.0000000000000001E-3</v>
      </c>
      <c r="AG5524" s="508">
        <v>3.0000000000000001E-3</v>
      </c>
      <c r="AH5524" s="508">
        <v>3.0000000000000001E-3</v>
      </c>
      <c r="AI5524" s="492">
        <v>3.0000000000000001E-3</v>
      </c>
      <c r="AJ5524" s="485"/>
    </row>
    <row r="5525" spans="2:36">
      <c r="B5525" s="136" t="s">
        <v>482</v>
      </c>
      <c r="C5525" s="132" t="s">
        <v>1365</v>
      </c>
      <c r="D5525" s="132" t="s">
        <v>285</v>
      </c>
      <c r="E5525" s="508">
        <v>6.5000000000000002E-2</v>
      </c>
      <c r="F5525" s="508">
        <v>6.2E-2</v>
      </c>
      <c r="G5525" s="508">
        <v>0.06</v>
      </c>
      <c r="H5525" s="508">
        <v>5.0999999999999997E-2</v>
      </c>
      <c r="I5525" s="508">
        <v>5.0999999999999997E-2</v>
      </c>
      <c r="J5525" s="508">
        <v>5.3999999999999999E-2</v>
      </c>
      <c r="K5525" s="508">
        <v>3.2000000000000001E-2</v>
      </c>
      <c r="L5525" s="508">
        <v>3.2000000000000001E-2</v>
      </c>
      <c r="M5525" s="508">
        <v>3.1E-2</v>
      </c>
      <c r="N5525" s="508">
        <v>3.4000000000000002E-2</v>
      </c>
      <c r="O5525" s="508">
        <v>2.8000000000000001E-2</v>
      </c>
      <c r="P5525" s="508">
        <v>1.9E-2</v>
      </c>
      <c r="Q5525" s="508">
        <v>0.02</v>
      </c>
      <c r="R5525" s="508">
        <v>1.7000000000000001E-2</v>
      </c>
      <c r="S5525" s="508">
        <v>1.4999999999999999E-2</v>
      </c>
      <c r="T5525" s="508">
        <v>1.4999999999999999E-2</v>
      </c>
      <c r="U5525" s="508">
        <v>0.01</v>
      </c>
      <c r="V5525" s="508">
        <v>8.0000000000000002E-3</v>
      </c>
      <c r="W5525" s="508">
        <v>8.0000000000000002E-3</v>
      </c>
      <c r="X5525" s="508">
        <v>8.0000000000000002E-3</v>
      </c>
      <c r="Y5525" s="508">
        <v>8.0000000000000002E-3</v>
      </c>
      <c r="Z5525" s="508">
        <v>7.0000000000000001E-3</v>
      </c>
      <c r="AA5525" s="508">
        <v>6.0000000000000001E-3</v>
      </c>
      <c r="AB5525" s="508">
        <v>6.0000000000000001E-3</v>
      </c>
      <c r="AC5525" s="508">
        <v>6.0000000000000001E-3</v>
      </c>
      <c r="AD5525" s="508">
        <v>5.0000000000000001E-3</v>
      </c>
      <c r="AE5525" s="508">
        <v>5.0000000000000001E-3</v>
      </c>
      <c r="AF5525" s="508">
        <v>3.0000000000000001E-3</v>
      </c>
      <c r="AG5525" s="508">
        <v>3.0000000000000001E-3</v>
      </c>
      <c r="AH5525" s="508">
        <v>3.0000000000000001E-3</v>
      </c>
      <c r="AI5525" s="492">
        <v>3.0000000000000001E-3</v>
      </c>
      <c r="AJ5525" s="485"/>
    </row>
    <row r="5526" spans="2:36">
      <c r="B5526" s="136" t="s">
        <v>483</v>
      </c>
      <c r="C5526" s="132" t="s">
        <v>1365</v>
      </c>
      <c r="D5526" s="132" t="s">
        <v>285</v>
      </c>
      <c r="E5526" s="508">
        <v>0.12</v>
      </c>
      <c r="F5526" s="508">
        <v>0.112</v>
      </c>
      <c r="G5526" s="508">
        <v>0.11</v>
      </c>
      <c r="H5526" s="508">
        <v>9.2999999999999999E-2</v>
      </c>
      <c r="I5526" s="508">
        <v>9.2999999999999999E-2</v>
      </c>
      <c r="J5526" s="508">
        <v>9.5000000000000001E-2</v>
      </c>
      <c r="K5526" s="508">
        <v>6.0999999999999999E-2</v>
      </c>
      <c r="L5526" s="508">
        <v>5.8999999999999997E-2</v>
      </c>
      <c r="M5526" s="508">
        <v>5.8000000000000003E-2</v>
      </c>
      <c r="N5526" s="508">
        <v>5.8999999999999997E-2</v>
      </c>
      <c r="O5526" s="508">
        <v>0.05</v>
      </c>
      <c r="P5526" s="508">
        <v>3.5000000000000003E-2</v>
      </c>
      <c r="Q5526" s="508">
        <v>3.5999999999999997E-2</v>
      </c>
      <c r="R5526" s="508">
        <v>0.03</v>
      </c>
      <c r="S5526" s="508">
        <v>2.7E-2</v>
      </c>
      <c r="T5526" s="508">
        <v>2.7E-2</v>
      </c>
      <c r="U5526" s="508">
        <v>1.6E-2</v>
      </c>
      <c r="V5526" s="508">
        <v>1.4E-2</v>
      </c>
      <c r="W5526" s="508">
        <v>1.4E-2</v>
      </c>
      <c r="X5526" s="508">
        <v>0.01</v>
      </c>
      <c r="Y5526" s="508">
        <v>8.9999999999999993E-3</v>
      </c>
      <c r="Z5526" s="508">
        <v>8.0000000000000002E-3</v>
      </c>
      <c r="AA5526" s="508">
        <v>8.0000000000000002E-3</v>
      </c>
      <c r="AB5526" s="508">
        <v>7.0000000000000001E-3</v>
      </c>
      <c r="AC5526" s="508">
        <v>7.0000000000000001E-3</v>
      </c>
      <c r="AD5526" s="508">
        <v>6.0000000000000001E-3</v>
      </c>
      <c r="AE5526" s="508">
        <v>6.0000000000000001E-3</v>
      </c>
      <c r="AF5526" s="508">
        <v>4.0000000000000001E-3</v>
      </c>
      <c r="AG5526" s="508">
        <v>4.0000000000000001E-3</v>
      </c>
      <c r="AH5526" s="508">
        <v>4.0000000000000001E-3</v>
      </c>
      <c r="AI5526" s="492">
        <v>3.0000000000000001E-3</v>
      </c>
      <c r="AJ5526" s="485"/>
    </row>
    <row r="5527" spans="2:36">
      <c r="B5527" s="136" t="s">
        <v>484</v>
      </c>
      <c r="C5527" s="132" t="s">
        <v>1365</v>
      </c>
      <c r="D5527" s="132" t="s">
        <v>285</v>
      </c>
      <c r="E5527" s="508">
        <v>0.14799999999999999</v>
      </c>
      <c r="F5527" s="508">
        <v>0.13800000000000001</v>
      </c>
      <c r="G5527" s="508">
        <v>0.13500000000000001</v>
      </c>
      <c r="H5527" s="508">
        <v>0.11600000000000001</v>
      </c>
      <c r="I5527" s="508">
        <v>0.11600000000000001</v>
      </c>
      <c r="J5527" s="508">
        <v>0.122</v>
      </c>
      <c r="K5527" s="508">
        <v>7.2999999999999995E-2</v>
      </c>
      <c r="L5527" s="508">
        <v>7.0999999999999994E-2</v>
      </c>
      <c r="M5527" s="508">
        <v>6.9000000000000006E-2</v>
      </c>
      <c r="N5527" s="508">
        <v>7.9000000000000001E-2</v>
      </c>
      <c r="O5527" s="508">
        <v>6.3E-2</v>
      </c>
      <c r="P5527" s="508">
        <v>4.1000000000000002E-2</v>
      </c>
      <c r="Q5527" s="508">
        <v>4.5999999999999999E-2</v>
      </c>
      <c r="R5527" s="508">
        <v>3.5999999999999997E-2</v>
      </c>
      <c r="S5527" s="508">
        <v>3.2000000000000001E-2</v>
      </c>
      <c r="T5527" s="508">
        <v>3.2000000000000001E-2</v>
      </c>
      <c r="U5527" s="508">
        <v>0.02</v>
      </c>
      <c r="V5527" s="508">
        <v>1.9E-2</v>
      </c>
      <c r="W5527" s="508">
        <v>1.9E-2</v>
      </c>
      <c r="X5527" s="508">
        <v>1.2E-2</v>
      </c>
      <c r="Y5527" s="508">
        <v>1.2E-2</v>
      </c>
      <c r="Z5527" s="508">
        <v>8.9999999999999993E-3</v>
      </c>
      <c r="AA5527" s="508">
        <v>8.9999999999999993E-3</v>
      </c>
      <c r="AB5527" s="508">
        <v>8.0000000000000002E-3</v>
      </c>
      <c r="AC5527" s="508">
        <v>8.0000000000000002E-3</v>
      </c>
      <c r="AD5527" s="508">
        <v>7.0000000000000001E-3</v>
      </c>
      <c r="AE5527" s="508">
        <v>7.0000000000000001E-3</v>
      </c>
      <c r="AF5527" s="508">
        <v>4.0000000000000001E-3</v>
      </c>
      <c r="AG5527" s="508">
        <v>4.0000000000000001E-3</v>
      </c>
      <c r="AH5527" s="508">
        <v>4.0000000000000001E-3</v>
      </c>
      <c r="AI5527" s="492">
        <v>4.0000000000000001E-3</v>
      </c>
      <c r="AJ5527" s="485"/>
    </row>
    <row r="5528" spans="2:36">
      <c r="B5528" s="136" t="s">
        <v>486</v>
      </c>
      <c r="C5528" s="132" t="s">
        <v>1365</v>
      </c>
      <c r="D5528" s="132" t="s">
        <v>285</v>
      </c>
      <c r="E5528" s="508">
        <v>9.7000000000000003E-2</v>
      </c>
      <c r="F5528" s="508">
        <v>9.0999999999999998E-2</v>
      </c>
      <c r="G5528" s="508">
        <v>8.8999999999999996E-2</v>
      </c>
      <c r="H5528" s="508">
        <v>7.5999999999999998E-2</v>
      </c>
      <c r="I5528" s="508">
        <v>7.5999999999999998E-2</v>
      </c>
      <c r="J5528" s="508">
        <v>7.9000000000000001E-2</v>
      </c>
      <c r="K5528" s="508">
        <v>4.9000000000000002E-2</v>
      </c>
      <c r="L5528" s="508">
        <v>4.7E-2</v>
      </c>
      <c r="M5528" s="508">
        <v>4.5999999999999999E-2</v>
      </c>
      <c r="N5528" s="508">
        <v>0.05</v>
      </c>
      <c r="O5528" s="508">
        <v>4.1000000000000002E-2</v>
      </c>
      <c r="P5528" s="508">
        <v>2.8000000000000001E-2</v>
      </c>
      <c r="Q5528" s="508">
        <v>0.03</v>
      </c>
      <c r="R5528" s="508">
        <v>2.4E-2</v>
      </c>
      <c r="S5528" s="508">
        <v>2.1999999999999999E-2</v>
      </c>
      <c r="T5528" s="508">
        <v>2.1999999999999999E-2</v>
      </c>
      <c r="U5528" s="508">
        <v>1.4E-2</v>
      </c>
      <c r="V5528" s="508">
        <v>1.2E-2</v>
      </c>
      <c r="W5528" s="508">
        <v>1.2E-2</v>
      </c>
      <c r="X5528" s="508">
        <v>8.9999999999999993E-3</v>
      </c>
      <c r="Y5528" s="508">
        <v>8.9999999999999993E-3</v>
      </c>
      <c r="Z5528" s="508">
        <v>8.0000000000000002E-3</v>
      </c>
      <c r="AA5528" s="508">
        <v>7.0000000000000001E-3</v>
      </c>
      <c r="AB5528" s="508">
        <v>7.0000000000000001E-3</v>
      </c>
      <c r="AC5528" s="508">
        <v>6.0000000000000001E-3</v>
      </c>
      <c r="AD5528" s="508">
        <v>6.0000000000000001E-3</v>
      </c>
      <c r="AE5528" s="508">
        <v>6.0000000000000001E-3</v>
      </c>
      <c r="AF5528" s="508">
        <v>4.0000000000000001E-3</v>
      </c>
      <c r="AG5528" s="508">
        <v>4.0000000000000001E-3</v>
      </c>
      <c r="AH5528" s="508">
        <v>4.0000000000000001E-3</v>
      </c>
      <c r="AI5528" s="492">
        <v>4.0000000000000001E-3</v>
      </c>
      <c r="AJ5528" s="485"/>
    </row>
    <row r="5529" spans="2:36">
      <c r="B5529" s="136" t="s">
        <v>487</v>
      </c>
      <c r="C5529" s="132" t="s">
        <v>1365</v>
      </c>
      <c r="D5529" s="132" t="s">
        <v>285</v>
      </c>
      <c r="E5529" s="508">
        <v>0.126</v>
      </c>
      <c r="F5529" s="508">
        <v>0.11899999999999999</v>
      </c>
      <c r="G5529" s="508">
        <v>0.11700000000000001</v>
      </c>
      <c r="H5529" s="508">
        <v>9.8000000000000004E-2</v>
      </c>
      <c r="I5529" s="508">
        <v>9.8000000000000004E-2</v>
      </c>
      <c r="J5529" s="508">
        <v>0.10199999999999999</v>
      </c>
      <c r="K5529" s="508">
        <v>6.4000000000000001E-2</v>
      </c>
      <c r="L5529" s="508">
        <v>6.2E-2</v>
      </c>
      <c r="M5529" s="508">
        <v>0.06</v>
      </c>
      <c r="N5529" s="508">
        <v>6.3E-2</v>
      </c>
      <c r="O5529" s="508">
        <v>5.3999999999999999E-2</v>
      </c>
      <c r="P5529" s="508">
        <v>3.6999999999999998E-2</v>
      </c>
      <c r="Q5529" s="508">
        <v>3.7999999999999999E-2</v>
      </c>
      <c r="R5529" s="508">
        <v>3.1E-2</v>
      </c>
      <c r="S5529" s="508">
        <v>2.9000000000000001E-2</v>
      </c>
      <c r="T5529" s="508">
        <v>2.9000000000000001E-2</v>
      </c>
      <c r="U5529" s="508">
        <v>1.7000000000000001E-2</v>
      </c>
      <c r="V5529" s="508">
        <v>1.4999999999999999E-2</v>
      </c>
      <c r="W5529" s="508">
        <v>1.4999999999999999E-2</v>
      </c>
      <c r="X5529" s="508">
        <v>0.01</v>
      </c>
      <c r="Y5529" s="508">
        <v>0.01</v>
      </c>
      <c r="Z5529" s="508">
        <v>8.0000000000000002E-3</v>
      </c>
      <c r="AA5529" s="508">
        <v>8.0000000000000002E-3</v>
      </c>
      <c r="AB5529" s="508">
        <v>7.0000000000000001E-3</v>
      </c>
      <c r="AC5529" s="508">
        <v>7.0000000000000001E-3</v>
      </c>
      <c r="AD5529" s="508">
        <v>6.0000000000000001E-3</v>
      </c>
      <c r="AE5529" s="508">
        <v>6.0000000000000001E-3</v>
      </c>
      <c r="AF5529" s="508">
        <v>4.0000000000000001E-3</v>
      </c>
      <c r="AG5529" s="508">
        <v>4.0000000000000001E-3</v>
      </c>
      <c r="AH5529" s="508">
        <v>4.0000000000000001E-3</v>
      </c>
      <c r="AI5529" s="492">
        <v>4.0000000000000001E-3</v>
      </c>
      <c r="AJ5529" s="485"/>
    </row>
    <row r="5530" spans="2:36">
      <c r="B5530" s="136" t="s">
        <v>488</v>
      </c>
      <c r="C5530" s="132" t="s">
        <v>1365</v>
      </c>
      <c r="D5530" s="132" t="s">
        <v>285</v>
      </c>
      <c r="E5530" s="508">
        <v>0.108</v>
      </c>
      <c r="F5530" s="508">
        <v>0.10199999999999999</v>
      </c>
      <c r="G5530" s="508">
        <v>0.1</v>
      </c>
      <c r="H5530" s="508">
        <v>8.5000000000000006E-2</v>
      </c>
      <c r="I5530" s="508">
        <v>8.5000000000000006E-2</v>
      </c>
      <c r="J5530" s="508">
        <v>0.09</v>
      </c>
      <c r="K5530" s="508">
        <v>5.2999999999999999E-2</v>
      </c>
      <c r="L5530" s="508">
        <v>5.1999999999999998E-2</v>
      </c>
      <c r="M5530" s="508">
        <v>5.0999999999999997E-2</v>
      </c>
      <c r="N5530" s="508">
        <v>5.7000000000000002E-2</v>
      </c>
      <c r="O5530" s="508">
        <v>4.5999999999999999E-2</v>
      </c>
      <c r="P5530" s="508">
        <v>3.1E-2</v>
      </c>
      <c r="Q5530" s="508">
        <v>3.4000000000000002E-2</v>
      </c>
      <c r="R5530" s="508">
        <v>2.7E-2</v>
      </c>
      <c r="S5530" s="508">
        <v>2.4E-2</v>
      </c>
      <c r="T5530" s="508">
        <v>2.5000000000000001E-2</v>
      </c>
      <c r="U5530" s="508">
        <v>1.4E-2</v>
      </c>
      <c r="V5530" s="508">
        <v>1.2999999999999999E-2</v>
      </c>
      <c r="W5530" s="508">
        <v>1.2999999999999999E-2</v>
      </c>
      <c r="X5530" s="508">
        <v>8.9999999999999993E-3</v>
      </c>
      <c r="Y5530" s="508">
        <v>8.9999999999999993E-3</v>
      </c>
      <c r="Z5530" s="508">
        <v>7.0000000000000001E-3</v>
      </c>
      <c r="AA5530" s="508">
        <v>7.0000000000000001E-3</v>
      </c>
      <c r="AB5530" s="508">
        <v>6.0000000000000001E-3</v>
      </c>
      <c r="AC5530" s="508">
        <v>6.0000000000000001E-3</v>
      </c>
      <c r="AD5530" s="508">
        <v>6.0000000000000001E-3</v>
      </c>
      <c r="AE5530" s="508">
        <v>6.0000000000000001E-3</v>
      </c>
      <c r="AF5530" s="508">
        <v>3.0000000000000001E-3</v>
      </c>
      <c r="AG5530" s="508">
        <v>3.0000000000000001E-3</v>
      </c>
      <c r="AH5530" s="508">
        <v>3.0000000000000001E-3</v>
      </c>
      <c r="AI5530" s="492">
        <v>3.0000000000000001E-3</v>
      </c>
      <c r="AJ5530" s="485"/>
    </row>
    <row r="5531" spans="2:36">
      <c r="B5531" s="136" t="s">
        <v>489</v>
      </c>
      <c r="C5531" s="132" t="s">
        <v>1365</v>
      </c>
      <c r="D5531" s="132" t="s">
        <v>285</v>
      </c>
      <c r="E5531" s="508">
        <v>0.14299999999999999</v>
      </c>
      <c r="F5531" s="508">
        <v>0.13300000000000001</v>
      </c>
      <c r="G5531" s="508">
        <v>0.13100000000000001</v>
      </c>
      <c r="H5531" s="508">
        <v>0.111</v>
      </c>
      <c r="I5531" s="508">
        <v>0.112</v>
      </c>
      <c r="J5531" s="508">
        <v>0.11600000000000001</v>
      </c>
      <c r="K5531" s="508">
        <v>7.0999999999999994E-2</v>
      </c>
      <c r="L5531" s="508">
        <v>6.9000000000000006E-2</v>
      </c>
      <c r="M5531" s="508">
        <v>6.8000000000000005E-2</v>
      </c>
      <c r="N5531" s="508">
        <v>7.3999999999999996E-2</v>
      </c>
      <c r="O5531" s="508">
        <v>0.06</v>
      </c>
      <c r="P5531" s="508">
        <v>0.04</v>
      </c>
      <c r="Q5531" s="508">
        <v>4.3999999999999997E-2</v>
      </c>
      <c r="R5531" s="508">
        <v>3.5000000000000003E-2</v>
      </c>
      <c r="S5531" s="508">
        <v>3.1E-2</v>
      </c>
      <c r="T5531" s="508">
        <v>3.1E-2</v>
      </c>
      <c r="U5531" s="508">
        <v>1.9E-2</v>
      </c>
      <c r="V5531" s="508">
        <v>1.7000000000000001E-2</v>
      </c>
      <c r="W5531" s="508">
        <v>1.7000000000000001E-2</v>
      </c>
      <c r="X5531" s="508">
        <v>1.0999999999999999E-2</v>
      </c>
      <c r="Y5531" s="508">
        <v>0.01</v>
      </c>
      <c r="Z5531" s="508">
        <v>8.0000000000000002E-3</v>
      </c>
      <c r="AA5531" s="508">
        <v>8.0000000000000002E-3</v>
      </c>
      <c r="AB5531" s="508">
        <v>7.0000000000000001E-3</v>
      </c>
      <c r="AC5531" s="508">
        <v>7.0000000000000001E-3</v>
      </c>
      <c r="AD5531" s="508">
        <v>6.0000000000000001E-3</v>
      </c>
      <c r="AE5531" s="508">
        <v>6.0000000000000001E-3</v>
      </c>
      <c r="AF5531" s="508">
        <v>4.0000000000000001E-3</v>
      </c>
      <c r="AG5531" s="508">
        <v>4.0000000000000001E-3</v>
      </c>
      <c r="AH5531" s="508">
        <v>4.0000000000000001E-3</v>
      </c>
      <c r="AI5531" s="492">
        <v>4.0000000000000001E-3</v>
      </c>
      <c r="AJ5531" s="485"/>
    </row>
    <row r="5532" spans="2:36">
      <c r="B5532" s="136" t="s">
        <v>490</v>
      </c>
      <c r="C5532" s="132" t="s">
        <v>1365</v>
      </c>
      <c r="D5532" s="132" t="s">
        <v>285</v>
      </c>
      <c r="E5532" s="508">
        <v>0.14899999999999999</v>
      </c>
      <c r="F5532" s="508">
        <v>0.14000000000000001</v>
      </c>
      <c r="G5532" s="508">
        <v>0.13700000000000001</v>
      </c>
      <c r="H5532" s="508">
        <v>0.11600000000000001</v>
      </c>
      <c r="I5532" s="508">
        <v>0.11700000000000001</v>
      </c>
      <c r="J5532" s="508">
        <v>0.123</v>
      </c>
      <c r="K5532" s="508">
        <v>7.3999999999999996E-2</v>
      </c>
      <c r="L5532" s="508">
        <v>7.1999999999999995E-2</v>
      </c>
      <c r="M5532" s="508">
        <v>7.0000000000000007E-2</v>
      </c>
      <c r="N5532" s="508">
        <v>7.8E-2</v>
      </c>
      <c r="O5532" s="508">
        <v>6.4000000000000001E-2</v>
      </c>
      <c r="P5532" s="508">
        <v>4.2000000000000003E-2</v>
      </c>
      <c r="Q5532" s="508">
        <v>4.5999999999999999E-2</v>
      </c>
      <c r="R5532" s="508">
        <v>3.6999999999999998E-2</v>
      </c>
      <c r="S5532" s="508">
        <v>3.3000000000000002E-2</v>
      </c>
      <c r="T5532" s="508">
        <v>3.4000000000000002E-2</v>
      </c>
      <c r="U5532" s="508">
        <v>1.9E-2</v>
      </c>
      <c r="V5532" s="508">
        <v>1.7000000000000001E-2</v>
      </c>
      <c r="W5532" s="508">
        <v>1.7000000000000001E-2</v>
      </c>
      <c r="X5532" s="508">
        <v>0.01</v>
      </c>
      <c r="Y5532" s="508">
        <v>0.01</v>
      </c>
      <c r="Z5532" s="508">
        <v>8.0000000000000002E-3</v>
      </c>
      <c r="AA5532" s="508">
        <v>8.0000000000000002E-3</v>
      </c>
      <c r="AB5532" s="508">
        <v>7.0000000000000001E-3</v>
      </c>
      <c r="AC5532" s="508">
        <v>7.0000000000000001E-3</v>
      </c>
      <c r="AD5532" s="508">
        <v>6.0000000000000001E-3</v>
      </c>
      <c r="AE5532" s="508">
        <v>6.0000000000000001E-3</v>
      </c>
      <c r="AF5532" s="508">
        <v>4.0000000000000001E-3</v>
      </c>
      <c r="AG5532" s="508">
        <v>4.0000000000000001E-3</v>
      </c>
      <c r="AH5532" s="508">
        <v>4.0000000000000001E-3</v>
      </c>
      <c r="AI5532" s="492">
        <v>4.0000000000000001E-3</v>
      </c>
      <c r="AJ5532" s="485"/>
    </row>
    <row r="5533" spans="2:36">
      <c r="B5533" s="136" t="s">
        <v>435</v>
      </c>
      <c r="C5533" s="132" t="s">
        <v>1366</v>
      </c>
      <c r="D5533" s="132" t="s">
        <v>285</v>
      </c>
      <c r="E5533" s="508">
        <v>7.1999999999999995E-2</v>
      </c>
      <c r="F5533" s="508">
        <v>8.2000000000000003E-2</v>
      </c>
      <c r="G5533" s="508">
        <v>8.2000000000000003E-2</v>
      </c>
      <c r="H5533" s="508">
        <v>5.7000000000000002E-2</v>
      </c>
      <c r="I5533" s="508">
        <v>5.7000000000000002E-2</v>
      </c>
      <c r="J5533" s="508">
        <v>5.6000000000000001E-2</v>
      </c>
      <c r="K5533" s="508">
        <v>0.04</v>
      </c>
      <c r="L5533" s="508">
        <v>0.04</v>
      </c>
      <c r="M5533" s="508">
        <v>0.04</v>
      </c>
      <c r="N5533" s="508">
        <v>3.5000000000000003E-2</v>
      </c>
      <c r="O5533" s="508">
        <v>0.03</v>
      </c>
      <c r="P5533" s="508">
        <v>1.7999999999999999E-2</v>
      </c>
      <c r="Q5533" s="508">
        <v>1.4999999999999999E-2</v>
      </c>
      <c r="R5533" s="508">
        <v>1.4999999999999999E-2</v>
      </c>
      <c r="S5533" s="508">
        <v>1.2999999999999999E-2</v>
      </c>
      <c r="T5533" s="508">
        <v>1.2E-2</v>
      </c>
      <c r="U5533" s="508">
        <v>6.0000000000000001E-3</v>
      </c>
      <c r="V5533" s="508">
        <v>5.0000000000000001E-3</v>
      </c>
      <c r="W5533" s="508">
        <v>5.0000000000000001E-3</v>
      </c>
      <c r="X5533" s="508">
        <v>6.0000000000000001E-3</v>
      </c>
      <c r="Y5533" s="508">
        <v>6.0000000000000001E-3</v>
      </c>
      <c r="Z5533" s="508">
        <v>4.0000000000000001E-3</v>
      </c>
      <c r="AA5533" s="508">
        <v>5.0000000000000001E-3</v>
      </c>
      <c r="AB5533" s="508">
        <v>4.0000000000000001E-3</v>
      </c>
      <c r="AC5533" s="508">
        <v>4.0000000000000001E-3</v>
      </c>
      <c r="AD5533" s="508">
        <v>4.0000000000000001E-3</v>
      </c>
      <c r="AE5533" s="508">
        <v>4.0000000000000001E-3</v>
      </c>
      <c r="AF5533" s="508">
        <v>3.0000000000000001E-3</v>
      </c>
      <c r="AG5533" s="508">
        <v>3.0000000000000001E-3</v>
      </c>
      <c r="AH5533" s="508">
        <v>3.0000000000000001E-3</v>
      </c>
      <c r="AI5533" s="492">
        <v>3.0000000000000001E-3</v>
      </c>
      <c r="AJ5533" s="485"/>
    </row>
    <row r="5534" spans="2:36">
      <c r="B5534" s="136" t="s">
        <v>436</v>
      </c>
      <c r="C5534" s="132" t="s">
        <v>1366</v>
      </c>
      <c r="D5534" s="132" t="s">
        <v>285</v>
      </c>
      <c r="E5534" s="508">
        <v>7.0999999999999994E-2</v>
      </c>
      <c r="F5534" s="508">
        <v>8.5999999999999993E-2</v>
      </c>
      <c r="G5534" s="508">
        <v>8.5999999999999993E-2</v>
      </c>
      <c r="H5534" s="508">
        <v>5.8000000000000003E-2</v>
      </c>
      <c r="I5534" s="508">
        <v>5.8000000000000003E-2</v>
      </c>
      <c r="J5534" s="508">
        <v>5.8000000000000003E-2</v>
      </c>
      <c r="K5534" s="508">
        <v>4.1000000000000002E-2</v>
      </c>
      <c r="L5534" s="508">
        <v>4.1000000000000002E-2</v>
      </c>
      <c r="M5534" s="508">
        <v>0.04</v>
      </c>
      <c r="N5534" s="508">
        <v>3.5999999999999997E-2</v>
      </c>
      <c r="O5534" s="508">
        <v>0.03</v>
      </c>
      <c r="P5534" s="508">
        <v>1.7999999999999999E-2</v>
      </c>
      <c r="Q5534" s="508">
        <v>1.6E-2</v>
      </c>
      <c r="R5534" s="508">
        <v>1.4999999999999999E-2</v>
      </c>
      <c r="S5534" s="508">
        <v>1.2999999999999999E-2</v>
      </c>
      <c r="T5534" s="508">
        <v>1.2999999999999999E-2</v>
      </c>
      <c r="U5534" s="508">
        <v>7.0000000000000001E-3</v>
      </c>
      <c r="V5534" s="508">
        <v>5.0000000000000001E-3</v>
      </c>
      <c r="W5534" s="508">
        <v>5.0000000000000001E-3</v>
      </c>
      <c r="X5534" s="508">
        <v>6.0000000000000001E-3</v>
      </c>
      <c r="Y5534" s="508">
        <v>6.0000000000000001E-3</v>
      </c>
      <c r="Z5534" s="508">
        <v>4.0000000000000001E-3</v>
      </c>
      <c r="AA5534" s="508">
        <v>5.0000000000000001E-3</v>
      </c>
      <c r="AB5534" s="508">
        <v>4.0000000000000001E-3</v>
      </c>
      <c r="AC5534" s="508">
        <v>4.0000000000000001E-3</v>
      </c>
      <c r="AD5534" s="508">
        <v>4.0000000000000001E-3</v>
      </c>
      <c r="AE5534" s="508">
        <v>4.0000000000000001E-3</v>
      </c>
      <c r="AF5534" s="508">
        <v>3.0000000000000001E-3</v>
      </c>
      <c r="AG5534" s="508">
        <v>3.0000000000000001E-3</v>
      </c>
      <c r="AH5534" s="508">
        <v>3.0000000000000001E-3</v>
      </c>
      <c r="AI5534" s="492">
        <v>3.0000000000000001E-3</v>
      </c>
      <c r="AJ5534" s="485"/>
    </row>
    <row r="5535" spans="2:36">
      <c r="B5535" s="136" t="s">
        <v>437</v>
      </c>
      <c r="C5535" s="132" t="s">
        <v>1366</v>
      </c>
      <c r="D5535" s="132" t="s">
        <v>285</v>
      </c>
      <c r="E5535" s="508">
        <v>7.0999999999999994E-2</v>
      </c>
      <c r="F5535" s="508">
        <v>8.4000000000000005E-2</v>
      </c>
      <c r="G5535" s="508">
        <v>8.4000000000000005E-2</v>
      </c>
      <c r="H5535" s="508">
        <v>5.8000000000000003E-2</v>
      </c>
      <c r="I5535" s="508">
        <v>5.8000000000000003E-2</v>
      </c>
      <c r="J5535" s="508">
        <v>5.8000000000000003E-2</v>
      </c>
      <c r="K5535" s="508">
        <v>4.2000000000000003E-2</v>
      </c>
      <c r="L5535" s="508">
        <v>4.1000000000000002E-2</v>
      </c>
      <c r="M5535" s="508">
        <v>4.1000000000000002E-2</v>
      </c>
      <c r="N5535" s="508">
        <v>3.5999999999999997E-2</v>
      </c>
      <c r="O5535" s="508">
        <v>0.03</v>
      </c>
      <c r="P5535" s="508">
        <v>1.7999999999999999E-2</v>
      </c>
      <c r="Q5535" s="508">
        <v>1.7000000000000001E-2</v>
      </c>
      <c r="R5535" s="508">
        <v>1.6E-2</v>
      </c>
      <c r="S5535" s="508">
        <v>1.2999999999999999E-2</v>
      </c>
      <c r="T5535" s="508">
        <v>1.2999999999999999E-2</v>
      </c>
      <c r="U5535" s="508">
        <v>7.0000000000000001E-3</v>
      </c>
      <c r="V5535" s="508">
        <v>6.0000000000000001E-3</v>
      </c>
      <c r="W5535" s="508">
        <v>6.0000000000000001E-3</v>
      </c>
      <c r="X5535" s="508">
        <v>6.0000000000000001E-3</v>
      </c>
      <c r="Y5535" s="508">
        <v>6.0000000000000001E-3</v>
      </c>
      <c r="Z5535" s="508">
        <v>4.0000000000000001E-3</v>
      </c>
      <c r="AA5535" s="508">
        <v>5.0000000000000001E-3</v>
      </c>
      <c r="AB5535" s="508">
        <v>4.0000000000000001E-3</v>
      </c>
      <c r="AC5535" s="508">
        <v>4.0000000000000001E-3</v>
      </c>
      <c r="AD5535" s="508">
        <v>4.0000000000000001E-3</v>
      </c>
      <c r="AE5535" s="508">
        <v>4.0000000000000001E-3</v>
      </c>
      <c r="AF5535" s="508">
        <v>3.0000000000000001E-3</v>
      </c>
      <c r="AG5535" s="508">
        <v>3.0000000000000001E-3</v>
      </c>
      <c r="AH5535" s="508">
        <v>3.0000000000000001E-3</v>
      </c>
      <c r="AI5535" s="492">
        <v>3.0000000000000001E-3</v>
      </c>
      <c r="AJ5535" s="485"/>
    </row>
    <row r="5536" spans="2:36">
      <c r="B5536" s="136" t="s">
        <v>438</v>
      </c>
      <c r="C5536" s="132" t="s">
        <v>1366</v>
      </c>
      <c r="D5536" s="132" t="s">
        <v>285</v>
      </c>
      <c r="E5536" s="508">
        <v>7.0999999999999994E-2</v>
      </c>
      <c r="F5536" s="508">
        <v>8.6999999999999994E-2</v>
      </c>
      <c r="G5536" s="508">
        <v>8.6999999999999994E-2</v>
      </c>
      <c r="H5536" s="508">
        <v>5.8000000000000003E-2</v>
      </c>
      <c r="I5536" s="508">
        <v>5.8000000000000003E-2</v>
      </c>
      <c r="J5536" s="508">
        <v>5.8999999999999997E-2</v>
      </c>
      <c r="K5536" s="508">
        <v>4.1000000000000002E-2</v>
      </c>
      <c r="L5536" s="508">
        <v>4.1000000000000002E-2</v>
      </c>
      <c r="M5536" s="508">
        <v>4.1000000000000002E-2</v>
      </c>
      <c r="N5536" s="508">
        <v>3.5999999999999997E-2</v>
      </c>
      <c r="O5536" s="508">
        <v>0.03</v>
      </c>
      <c r="P5536" s="508">
        <v>1.7999999999999999E-2</v>
      </c>
      <c r="Q5536" s="508">
        <v>1.6E-2</v>
      </c>
      <c r="R5536" s="508">
        <v>1.4999999999999999E-2</v>
      </c>
      <c r="S5536" s="508">
        <v>1.2999999999999999E-2</v>
      </c>
      <c r="T5536" s="508">
        <v>1.2999999999999999E-2</v>
      </c>
      <c r="U5536" s="508">
        <v>7.0000000000000001E-3</v>
      </c>
      <c r="V5536" s="508">
        <v>5.0000000000000001E-3</v>
      </c>
      <c r="W5536" s="508">
        <v>5.0000000000000001E-3</v>
      </c>
      <c r="X5536" s="508">
        <v>6.0000000000000001E-3</v>
      </c>
      <c r="Y5536" s="508">
        <v>6.0000000000000001E-3</v>
      </c>
      <c r="Z5536" s="508">
        <v>4.0000000000000001E-3</v>
      </c>
      <c r="AA5536" s="508">
        <v>5.0000000000000001E-3</v>
      </c>
      <c r="AB5536" s="508">
        <v>4.0000000000000001E-3</v>
      </c>
      <c r="AC5536" s="508">
        <v>4.0000000000000001E-3</v>
      </c>
      <c r="AD5536" s="508">
        <v>4.0000000000000001E-3</v>
      </c>
      <c r="AE5536" s="508">
        <v>4.0000000000000001E-3</v>
      </c>
      <c r="AF5536" s="508">
        <v>3.0000000000000001E-3</v>
      </c>
      <c r="AG5536" s="508">
        <v>3.0000000000000001E-3</v>
      </c>
      <c r="AH5536" s="508">
        <v>3.0000000000000001E-3</v>
      </c>
      <c r="AI5536" s="492">
        <v>3.0000000000000001E-3</v>
      </c>
      <c r="AJ5536" s="485"/>
    </row>
    <row r="5537" spans="2:36">
      <c r="B5537" s="136" t="s">
        <v>439</v>
      </c>
      <c r="C5537" s="132" t="s">
        <v>1366</v>
      </c>
      <c r="D5537" s="132" t="s">
        <v>285</v>
      </c>
      <c r="E5537" s="508">
        <v>7.0999999999999994E-2</v>
      </c>
      <c r="F5537" s="508">
        <v>8.6999999999999994E-2</v>
      </c>
      <c r="G5537" s="508">
        <v>8.5999999999999993E-2</v>
      </c>
      <c r="H5537" s="508">
        <v>5.8999999999999997E-2</v>
      </c>
      <c r="I5537" s="508">
        <v>5.8000000000000003E-2</v>
      </c>
      <c r="J5537" s="508">
        <v>6.0999999999999999E-2</v>
      </c>
      <c r="K5537" s="508">
        <v>4.2999999999999997E-2</v>
      </c>
      <c r="L5537" s="508">
        <v>4.2000000000000003E-2</v>
      </c>
      <c r="M5537" s="508">
        <v>4.2000000000000003E-2</v>
      </c>
      <c r="N5537" s="508">
        <v>3.5999999999999997E-2</v>
      </c>
      <c r="O5537" s="508">
        <v>3.1E-2</v>
      </c>
      <c r="P5537" s="508">
        <v>1.7999999999999999E-2</v>
      </c>
      <c r="Q5537" s="508">
        <v>1.7999999999999999E-2</v>
      </c>
      <c r="R5537" s="508">
        <v>1.6E-2</v>
      </c>
      <c r="S5537" s="508">
        <v>1.4E-2</v>
      </c>
      <c r="T5537" s="508">
        <v>1.4E-2</v>
      </c>
      <c r="U5537" s="508">
        <v>7.0000000000000001E-3</v>
      </c>
      <c r="V5537" s="508">
        <v>6.0000000000000001E-3</v>
      </c>
      <c r="W5537" s="508">
        <v>6.0000000000000001E-3</v>
      </c>
      <c r="X5537" s="508">
        <v>6.0000000000000001E-3</v>
      </c>
      <c r="Y5537" s="508">
        <v>6.0000000000000001E-3</v>
      </c>
      <c r="Z5537" s="508">
        <v>4.0000000000000001E-3</v>
      </c>
      <c r="AA5537" s="508">
        <v>5.0000000000000001E-3</v>
      </c>
      <c r="AB5537" s="508">
        <v>4.0000000000000001E-3</v>
      </c>
      <c r="AC5537" s="508">
        <v>4.0000000000000001E-3</v>
      </c>
      <c r="AD5537" s="508">
        <v>4.0000000000000001E-3</v>
      </c>
      <c r="AE5537" s="508">
        <v>4.0000000000000001E-3</v>
      </c>
      <c r="AF5537" s="508">
        <v>3.0000000000000001E-3</v>
      </c>
      <c r="AG5537" s="508">
        <v>3.0000000000000001E-3</v>
      </c>
      <c r="AH5537" s="508">
        <v>3.0000000000000001E-3</v>
      </c>
      <c r="AI5537" s="492">
        <v>3.0000000000000001E-3</v>
      </c>
      <c r="AJ5537" s="485"/>
    </row>
    <row r="5538" spans="2:36">
      <c r="B5538" s="136" t="s">
        <v>440</v>
      </c>
      <c r="C5538" s="132" t="s">
        <v>1366</v>
      </c>
      <c r="D5538" s="132" t="s">
        <v>285</v>
      </c>
      <c r="E5538" s="508">
        <v>7.0999999999999994E-2</v>
      </c>
      <c r="F5538" s="508">
        <v>8.5999999999999993E-2</v>
      </c>
      <c r="G5538" s="508">
        <v>8.5000000000000006E-2</v>
      </c>
      <c r="H5538" s="508">
        <v>5.8000000000000003E-2</v>
      </c>
      <c r="I5538" s="508">
        <v>5.8000000000000003E-2</v>
      </c>
      <c r="J5538" s="508">
        <v>5.8999999999999997E-2</v>
      </c>
      <c r="K5538" s="508">
        <v>4.2000000000000003E-2</v>
      </c>
      <c r="L5538" s="508">
        <v>4.2000000000000003E-2</v>
      </c>
      <c r="M5538" s="508">
        <v>4.1000000000000002E-2</v>
      </c>
      <c r="N5538" s="508">
        <v>3.5999999999999997E-2</v>
      </c>
      <c r="O5538" s="508">
        <v>0.03</v>
      </c>
      <c r="P5538" s="508">
        <v>1.7999999999999999E-2</v>
      </c>
      <c r="Q5538" s="508">
        <v>1.7000000000000001E-2</v>
      </c>
      <c r="R5538" s="508">
        <v>1.6E-2</v>
      </c>
      <c r="S5538" s="508">
        <v>1.2999999999999999E-2</v>
      </c>
      <c r="T5538" s="508">
        <v>1.4E-2</v>
      </c>
      <c r="U5538" s="508">
        <v>7.0000000000000001E-3</v>
      </c>
      <c r="V5538" s="508">
        <v>6.0000000000000001E-3</v>
      </c>
      <c r="W5538" s="508">
        <v>6.0000000000000001E-3</v>
      </c>
      <c r="X5538" s="508">
        <v>6.0000000000000001E-3</v>
      </c>
      <c r="Y5538" s="508">
        <v>6.0000000000000001E-3</v>
      </c>
      <c r="Z5538" s="508">
        <v>4.0000000000000001E-3</v>
      </c>
      <c r="AA5538" s="508">
        <v>5.0000000000000001E-3</v>
      </c>
      <c r="AB5538" s="508">
        <v>4.0000000000000001E-3</v>
      </c>
      <c r="AC5538" s="508">
        <v>4.0000000000000001E-3</v>
      </c>
      <c r="AD5538" s="508">
        <v>4.0000000000000001E-3</v>
      </c>
      <c r="AE5538" s="508">
        <v>4.0000000000000001E-3</v>
      </c>
      <c r="AF5538" s="508">
        <v>3.0000000000000001E-3</v>
      </c>
      <c r="AG5538" s="508">
        <v>3.0000000000000001E-3</v>
      </c>
      <c r="AH5538" s="508">
        <v>3.0000000000000001E-3</v>
      </c>
      <c r="AI5538" s="492">
        <v>3.0000000000000001E-3</v>
      </c>
      <c r="AJ5538" s="485"/>
    </row>
    <row r="5539" spans="2:36">
      <c r="B5539" s="136" t="s">
        <v>441</v>
      </c>
      <c r="C5539" s="132" t="s">
        <v>1366</v>
      </c>
      <c r="D5539" s="132" t="s">
        <v>285</v>
      </c>
      <c r="E5539" s="508">
        <v>7.0000000000000007E-2</v>
      </c>
      <c r="F5539" s="508">
        <v>8.6999999999999994E-2</v>
      </c>
      <c r="G5539" s="508">
        <v>8.6999999999999994E-2</v>
      </c>
      <c r="H5539" s="508">
        <v>5.8999999999999997E-2</v>
      </c>
      <c r="I5539" s="508">
        <v>5.8000000000000003E-2</v>
      </c>
      <c r="J5539" s="508">
        <v>6.2E-2</v>
      </c>
      <c r="K5539" s="508">
        <v>4.2999999999999997E-2</v>
      </c>
      <c r="L5539" s="508">
        <v>4.2999999999999997E-2</v>
      </c>
      <c r="M5539" s="508">
        <v>4.2000000000000003E-2</v>
      </c>
      <c r="N5539" s="508">
        <v>3.5999999999999997E-2</v>
      </c>
      <c r="O5539" s="508">
        <v>3.1E-2</v>
      </c>
      <c r="P5539" s="508">
        <v>1.7999999999999999E-2</v>
      </c>
      <c r="Q5539" s="508">
        <v>1.7999999999999999E-2</v>
      </c>
      <c r="R5539" s="508">
        <v>1.6E-2</v>
      </c>
      <c r="S5539" s="508">
        <v>1.4E-2</v>
      </c>
      <c r="T5539" s="508">
        <v>1.4999999999999999E-2</v>
      </c>
      <c r="U5539" s="508">
        <v>7.0000000000000001E-3</v>
      </c>
      <c r="V5539" s="508">
        <v>6.0000000000000001E-3</v>
      </c>
      <c r="W5539" s="508">
        <v>6.0000000000000001E-3</v>
      </c>
      <c r="X5539" s="508">
        <v>6.0000000000000001E-3</v>
      </c>
      <c r="Y5539" s="508">
        <v>6.0000000000000001E-3</v>
      </c>
      <c r="Z5539" s="508">
        <v>4.0000000000000001E-3</v>
      </c>
      <c r="AA5539" s="508">
        <v>5.0000000000000001E-3</v>
      </c>
      <c r="AB5539" s="508">
        <v>4.0000000000000001E-3</v>
      </c>
      <c r="AC5539" s="508">
        <v>4.0000000000000001E-3</v>
      </c>
      <c r="AD5539" s="508">
        <v>4.0000000000000001E-3</v>
      </c>
      <c r="AE5539" s="508">
        <v>4.0000000000000001E-3</v>
      </c>
      <c r="AF5539" s="508">
        <v>3.0000000000000001E-3</v>
      </c>
      <c r="AG5539" s="508">
        <v>3.0000000000000001E-3</v>
      </c>
      <c r="AH5539" s="508">
        <v>3.0000000000000001E-3</v>
      </c>
      <c r="AI5539" s="492">
        <v>3.0000000000000001E-3</v>
      </c>
      <c r="AJ5539" s="485"/>
    </row>
    <row r="5540" spans="2:36">
      <c r="B5540" s="136" t="s">
        <v>443</v>
      </c>
      <c r="C5540" s="132" t="s">
        <v>1366</v>
      </c>
      <c r="D5540" s="132" t="s">
        <v>285</v>
      </c>
      <c r="E5540" s="508">
        <v>7.1999999999999995E-2</v>
      </c>
      <c r="F5540" s="508">
        <v>7.9000000000000001E-2</v>
      </c>
      <c r="G5540" s="508">
        <v>7.9000000000000001E-2</v>
      </c>
      <c r="H5540" s="508">
        <v>5.7000000000000002E-2</v>
      </c>
      <c r="I5540" s="508">
        <v>5.6000000000000001E-2</v>
      </c>
      <c r="J5540" s="508">
        <v>5.3999999999999999E-2</v>
      </c>
      <c r="K5540" s="508">
        <v>0.04</v>
      </c>
      <c r="L5540" s="508">
        <v>0.04</v>
      </c>
      <c r="M5540" s="508">
        <v>3.9E-2</v>
      </c>
      <c r="N5540" s="508">
        <v>3.5000000000000003E-2</v>
      </c>
      <c r="O5540" s="508">
        <v>0.03</v>
      </c>
      <c r="P5540" s="508">
        <v>1.7999999999999999E-2</v>
      </c>
      <c r="Q5540" s="508">
        <v>1.4999999999999999E-2</v>
      </c>
      <c r="R5540" s="508">
        <v>1.4999999999999999E-2</v>
      </c>
      <c r="S5540" s="508">
        <v>1.2999999999999999E-2</v>
      </c>
      <c r="T5540" s="508">
        <v>1.2E-2</v>
      </c>
      <c r="U5540" s="508">
        <v>6.0000000000000001E-3</v>
      </c>
      <c r="V5540" s="508">
        <v>5.0000000000000001E-3</v>
      </c>
      <c r="W5540" s="508">
        <v>6.0000000000000001E-3</v>
      </c>
      <c r="X5540" s="508">
        <v>6.0000000000000001E-3</v>
      </c>
      <c r="Y5540" s="508">
        <v>6.0000000000000001E-3</v>
      </c>
      <c r="Z5540" s="508">
        <v>4.0000000000000001E-3</v>
      </c>
      <c r="AA5540" s="508">
        <v>5.0000000000000001E-3</v>
      </c>
      <c r="AB5540" s="508">
        <v>4.0000000000000001E-3</v>
      </c>
      <c r="AC5540" s="508">
        <v>4.0000000000000001E-3</v>
      </c>
      <c r="AD5540" s="508">
        <v>4.0000000000000001E-3</v>
      </c>
      <c r="AE5540" s="508">
        <v>4.0000000000000001E-3</v>
      </c>
      <c r="AF5540" s="508">
        <v>3.0000000000000001E-3</v>
      </c>
      <c r="AG5540" s="508">
        <v>3.0000000000000001E-3</v>
      </c>
      <c r="AH5540" s="508">
        <v>3.0000000000000001E-3</v>
      </c>
      <c r="AI5540" s="492">
        <v>3.0000000000000001E-3</v>
      </c>
      <c r="AJ5540" s="485"/>
    </row>
    <row r="5541" spans="2:36">
      <c r="B5541" s="136" t="s">
        <v>445</v>
      </c>
      <c r="C5541" s="132" t="s">
        <v>1366</v>
      </c>
      <c r="D5541" s="132" t="s">
        <v>285</v>
      </c>
      <c r="E5541" s="508">
        <v>7.1999999999999995E-2</v>
      </c>
      <c r="F5541" s="508">
        <v>7.5999999999999998E-2</v>
      </c>
      <c r="G5541" s="508">
        <v>7.5999999999999998E-2</v>
      </c>
      <c r="H5541" s="508">
        <v>5.7000000000000002E-2</v>
      </c>
      <c r="I5541" s="508">
        <v>5.6000000000000001E-2</v>
      </c>
      <c r="J5541" s="508">
        <v>5.3999999999999999E-2</v>
      </c>
      <c r="K5541" s="508">
        <v>4.1000000000000002E-2</v>
      </c>
      <c r="L5541" s="508">
        <v>0.04</v>
      </c>
      <c r="M5541" s="508">
        <v>0.04</v>
      </c>
      <c r="N5541" s="508">
        <v>3.4000000000000002E-2</v>
      </c>
      <c r="O5541" s="508">
        <v>0.03</v>
      </c>
      <c r="P5541" s="508">
        <v>1.7999999999999999E-2</v>
      </c>
      <c r="Q5541" s="508">
        <v>1.6E-2</v>
      </c>
      <c r="R5541" s="508">
        <v>1.4999999999999999E-2</v>
      </c>
      <c r="S5541" s="508">
        <v>1.2999999999999999E-2</v>
      </c>
      <c r="T5541" s="508">
        <v>1.2999999999999999E-2</v>
      </c>
      <c r="U5541" s="508">
        <v>7.0000000000000001E-3</v>
      </c>
      <c r="V5541" s="508">
        <v>6.0000000000000001E-3</v>
      </c>
      <c r="W5541" s="508">
        <v>6.0000000000000001E-3</v>
      </c>
      <c r="X5541" s="508">
        <v>6.0000000000000001E-3</v>
      </c>
      <c r="Y5541" s="508">
        <v>6.0000000000000001E-3</v>
      </c>
      <c r="Z5541" s="508">
        <v>4.0000000000000001E-3</v>
      </c>
      <c r="AA5541" s="508">
        <v>5.0000000000000001E-3</v>
      </c>
      <c r="AB5541" s="508">
        <v>4.0000000000000001E-3</v>
      </c>
      <c r="AC5541" s="508">
        <v>4.0000000000000001E-3</v>
      </c>
      <c r="AD5541" s="508">
        <v>4.0000000000000001E-3</v>
      </c>
      <c r="AE5541" s="508">
        <v>4.0000000000000001E-3</v>
      </c>
      <c r="AF5541" s="508">
        <v>3.0000000000000001E-3</v>
      </c>
      <c r="AG5541" s="508">
        <v>3.0000000000000001E-3</v>
      </c>
      <c r="AH5541" s="508">
        <v>3.0000000000000001E-3</v>
      </c>
      <c r="AI5541" s="492">
        <v>3.0000000000000001E-3</v>
      </c>
      <c r="AJ5541" s="485"/>
    </row>
    <row r="5542" spans="2:36">
      <c r="B5542" s="136" t="s">
        <v>446</v>
      </c>
      <c r="C5542" s="132" t="s">
        <v>1366</v>
      </c>
      <c r="D5542" s="132" t="s">
        <v>285</v>
      </c>
      <c r="E5542" s="508">
        <v>7.1999999999999995E-2</v>
      </c>
      <c r="F5542" s="508">
        <v>7.9000000000000001E-2</v>
      </c>
      <c r="G5542" s="508">
        <v>7.8E-2</v>
      </c>
      <c r="H5542" s="508">
        <v>5.7000000000000002E-2</v>
      </c>
      <c r="I5542" s="508">
        <v>5.7000000000000002E-2</v>
      </c>
      <c r="J5542" s="508">
        <v>5.5E-2</v>
      </c>
      <c r="K5542" s="508">
        <v>4.1000000000000002E-2</v>
      </c>
      <c r="L5542" s="508">
        <v>0.04</v>
      </c>
      <c r="M5542" s="508">
        <v>0.04</v>
      </c>
      <c r="N5542" s="508">
        <v>3.5000000000000003E-2</v>
      </c>
      <c r="O5542" s="508">
        <v>0.03</v>
      </c>
      <c r="P5542" s="508">
        <v>1.7999999999999999E-2</v>
      </c>
      <c r="Q5542" s="508">
        <v>1.6E-2</v>
      </c>
      <c r="R5542" s="508">
        <v>1.4999999999999999E-2</v>
      </c>
      <c r="S5542" s="508">
        <v>1.2999999999999999E-2</v>
      </c>
      <c r="T5542" s="508">
        <v>1.2999999999999999E-2</v>
      </c>
      <c r="U5542" s="508">
        <v>6.0000000000000001E-3</v>
      </c>
      <c r="V5542" s="508">
        <v>6.0000000000000001E-3</v>
      </c>
      <c r="W5542" s="508">
        <v>6.0000000000000001E-3</v>
      </c>
      <c r="X5542" s="508">
        <v>6.0000000000000001E-3</v>
      </c>
      <c r="Y5542" s="508">
        <v>6.0000000000000001E-3</v>
      </c>
      <c r="Z5542" s="508">
        <v>4.0000000000000001E-3</v>
      </c>
      <c r="AA5542" s="508">
        <v>5.0000000000000001E-3</v>
      </c>
      <c r="AB5542" s="508">
        <v>4.0000000000000001E-3</v>
      </c>
      <c r="AC5542" s="508">
        <v>4.0000000000000001E-3</v>
      </c>
      <c r="AD5542" s="508">
        <v>4.0000000000000001E-3</v>
      </c>
      <c r="AE5542" s="508">
        <v>4.0000000000000001E-3</v>
      </c>
      <c r="AF5542" s="508">
        <v>3.0000000000000001E-3</v>
      </c>
      <c r="AG5542" s="508">
        <v>3.0000000000000001E-3</v>
      </c>
      <c r="AH5542" s="508">
        <v>3.0000000000000001E-3</v>
      </c>
      <c r="AI5542" s="492">
        <v>3.0000000000000001E-3</v>
      </c>
      <c r="AJ5542" s="485"/>
    </row>
    <row r="5543" spans="2:36">
      <c r="B5543" s="136" t="s">
        <v>448</v>
      </c>
      <c r="C5543" s="132" t="s">
        <v>1366</v>
      </c>
      <c r="D5543" s="132" t="s">
        <v>285</v>
      </c>
      <c r="E5543" s="508">
        <v>7.0999999999999994E-2</v>
      </c>
      <c r="F5543" s="508">
        <v>8.5999999999999993E-2</v>
      </c>
      <c r="G5543" s="508">
        <v>8.5999999999999993E-2</v>
      </c>
      <c r="H5543" s="508">
        <v>5.8000000000000003E-2</v>
      </c>
      <c r="I5543" s="508">
        <v>5.8000000000000003E-2</v>
      </c>
      <c r="J5543" s="508">
        <v>5.8999999999999997E-2</v>
      </c>
      <c r="K5543" s="508">
        <v>4.1000000000000002E-2</v>
      </c>
      <c r="L5543" s="508">
        <v>4.1000000000000002E-2</v>
      </c>
      <c r="M5543" s="508">
        <v>4.1000000000000002E-2</v>
      </c>
      <c r="N5543" s="508">
        <v>3.5999999999999997E-2</v>
      </c>
      <c r="O5543" s="508">
        <v>0.03</v>
      </c>
      <c r="P5543" s="508">
        <v>1.7999999999999999E-2</v>
      </c>
      <c r="Q5543" s="508">
        <v>1.6E-2</v>
      </c>
      <c r="R5543" s="508">
        <v>1.4999999999999999E-2</v>
      </c>
      <c r="S5543" s="508">
        <v>1.2999999999999999E-2</v>
      </c>
      <c r="T5543" s="508">
        <v>1.2999999999999999E-2</v>
      </c>
      <c r="U5543" s="508">
        <v>7.0000000000000001E-3</v>
      </c>
      <c r="V5543" s="508">
        <v>5.0000000000000001E-3</v>
      </c>
      <c r="W5543" s="508">
        <v>5.0000000000000001E-3</v>
      </c>
      <c r="X5543" s="508">
        <v>6.0000000000000001E-3</v>
      </c>
      <c r="Y5543" s="508">
        <v>6.0000000000000001E-3</v>
      </c>
      <c r="Z5543" s="508">
        <v>4.0000000000000001E-3</v>
      </c>
      <c r="AA5543" s="508">
        <v>5.0000000000000001E-3</v>
      </c>
      <c r="AB5543" s="508">
        <v>4.0000000000000001E-3</v>
      </c>
      <c r="AC5543" s="508">
        <v>4.0000000000000001E-3</v>
      </c>
      <c r="AD5543" s="508">
        <v>4.0000000000000001E-3</v>
      </c>
      <c r="AE5543" s="508">
        <v>4.0000000000000001E-3</v>
      </c>
      <c r="AF5543" s="508">
        <v>3.0000000000000001E-3</v>
      </c>
      <c r="AG5543" s="508">
        <v>3.0000000000000001E-3</v>
      </c>
      <c r="AH5543" s="508">
        <v>3.0000000000000001E-3</v>
      </c>
      <c r="AI5543" s="492">
        <v>3.0000000000000001E-3</v>
      </c>
      <c r="AJ5543" s="485"/>
    </row>
    <row r="5544" spans="2:36">
      <c r="B5544" s="136" t="s">
        <v>449</v>
      </c>
      <c r="C5544" s="132" t="s">
        <v>1366</v>
      </c>
      <c r="D5544" s="132" t="s">
        <v>285</v>
      </c>
      <c r="E5544" s="508">
        <v>7.1999999999999995E-2</v>
      </c>
      <c r="F5544" s="508">
        <v>0.08</v>
      </c>
      <c r="G5544" s="508">
        <v>0.08</v>
      </c>
      <c r="H5544" s="508">
        <v>5.7000000000000002E-2</v>
      </c>
      <c r="I5544" s="508">
        <v>5.7000000000000002E-2</v>
      </c>
      <c r="J5544" s="508">
        <v>5.5E-2</v>
      </c>
      <c r="K5544" s="508">
        <v>4.1000000000000002E-2</v>
      </c>
      <c r="L5544" s="508">
        <v>0.04</v>
      </c>
      <c r="M5544" s="508">
        <v>0.04</v>
      </c>
      <c r="N5544" s="508">
        <v>3.5000000000000003E-2</v>
      </c>
      <c r="O5544" s="508">
        <v>0.03</v>
      </c>
      <c r="P5544" s="508">
        <v>1.7999999999999999E-2</v>
      </c>
      <c r="Q5544" s="508">
        <v>1.6E-2</v>
      </c>
      <c r="R5544" s="508">
        <v>1.4999999999999999E-2</v>
      </c>
      <c r="S5544" s="508">
        <v>1.2999999999999999E-2</v>
      </c>
      <c r="T5544" s="508">
        <v>1.2999999999999999E-2</v>
      </c>
      <c r="U5544" s="508">
        <v>6.0000000000000001E-3</v>
      </c>
      <c r="V5544" s="508">
        <v>5.0000000000000001E-3</v>
      </c>
      <c r="W5544" s="508">
        <v>6.0000000000000001E-3</v>
      </c>
      <c r="X5544" s="508">
        <v>6.0000000000000001E-3</v>
      </c>
      <c r="Y5544" s="508">
        <v>6.0000000000000001E-3</v>
      </c>
      <c r="Z5544" s="508">
        <v>4.0000000000000001E-3</v>
      </c>
      <c r="AA5544" s="508">
        <v>5.0000000000000001E-3</v>
      </c>
      <c r="AB5544" s="508">
        <v>4.0000000000000001E-3</v>
      </c>
      <c r="AC5544" s="508">
        <v>4.0000000000000001E-3</v>
      </c>
      <c r="AD5544" s="508">
        <v>4.0000000000000001E-3</v>
      </c>
      <c r="AE5544" s="508">
        <v>4.0000000000000001E-3</v>
      </c>
      <c r="AF5544" s="508">
        <v>3.0000000000000001E-3</v>
      </c>
      <c r="AG5544" s="508">
        <v>3.0000000000000001E-3</v>
      </c>
      <c r="AH5544" s="508">
        <v>3.0000000000000001E-3</v>
      </c>
      <c r="AI5544" s="492">
        <v>3.0000000000000001E-3</v>
      </c>
      <c r="AJ5544" s="485"/>
    </row>
    <row r="5545" spans="2:36">
      <c r="B5545" s="136" t="s">
        <v>450</v>
      </c>
      <c r="C5545" s="132" t="s">
        <v>1366</v>
      </c>
      <c r="D5545" s="132" t="s">
        <v>285</v>
      </c>
      <c r="E5545" s="508">
        <v>7.0999999999999994E-2</v>
      </c>
      <c r="F5545" s="508">
        <v>8.4000000000000005E-2</v>
      </c>
      <c r="G5545" s="508">
        <v>8.4000000000000005E-2</v>
      </c>
      <c r="H5545" s="508">
        <v>5.8000000000000003E-2</v>
      </c>
      <c r="I5545" s="508">
        <v>5.7000000000000002E-2</v>
      </c>
      <c r="J5545" s="508">
        <v>5.7000000000000002E-2</v>
      </c>
      <c r="K5545" s="508">
        <v>4.1000000000000002E-2</v>
      </c>
      <c r="L5545" s="508">
        <v>0.04</v>
      </c>
      <c r="M5545" s="508">
        <v>0.04</v>
      </c>
      <c r="N5545" s="508">
        <v>3.5999999999999997E-2</v>
      </c>
      <c r="O5545" s="508">
        <v>0.03</v>
      </c>
      <c r="P5545" s="508">
        <v>1.7999999999999999E-2</v>
      </c>
      <c r="Q5545" s="508">
        <v>1.6E-2</v>
      </c>
      <c r="R5545" s="508">
        <v>1.4999999999999999E-2</v>
      </c>
      <c r="S5545" s="508">
        <v>1.2999999999999999E-2</v>
      </c>
      <c r="T5545" s="508">
        <v>1.2E-2</v>
      </c>
      <c r="U5545" s="508">
        <v>6.0000000000000001E-3</v>
      </c>
      <c r="V5545" s="508">
        <v>5.0000000000000001E-3</v>
      </c>
      <c r="W5545" s="508">
        <v>5.0000000000000001E-3</v>
      </c>
      <c r="X5545" s="508">
        <v>6.0000000000000001E-3</v>
      </c>
      <c r="Y5545" s="508">
        <v>6.0000000000000001E-3</v>
      </c>
      <c r="Z5545" s="508">
        <v>4.0000000000000001E-3</v>
      </c>
      <c r="AA5545" s="508">
        <v>5.0000000000000001E-3</v>
      </c>
      <c r="AB5545" s="508">
        <v>4.0000000000000001E-3</v>
      </c>
      <c r="AC5545" s="508">
        <v>4.0000000000000001E-3</v>
      </c>
      <c r="AD5545" s="508">
        <v>4.0000000000000001E-3</v>
      </c>
      <c r="AE5545" s="508">
        <v>4.0000000000000001E-3</v>
      </c>
      <c r="AF5545" s="508">
        <v>3.0000000000000001E-3</v>
      </c>
      <c r="AG5545" s="508">
        <v>3.0000000000000001E-3</v>
      </c>
      <c r="AH5545" s="508">
        <v>3.0000000000000001E-3</v>
      </c>
      <c r="AI5545" s="492">
        <v>3.0000000000000001E-3</v>
      </c>
      <c r="AJ5545" s="485"/>
    </row>
    <row r="5546" spans="2:36">
      <c r="B5546" s="136" t="s">
        <v>451</v>
      </c>
      <c r="C5546" s="132" t="s">
        <v>1366</v>
      </c>
      <c r="D5546" s="132" t="s">
        <v>285</v>
      </c>
      <c r="E5546" s="508">
        <v>7.1999999999999995E-2</v>
      </c>
      <c r="F5546" s="508">
        <v>0.08</v>
      </c>
      <c r="G5546" s="508">
        <v>0.08</v>
      </c>
      <c r="H5546" s="508">
        <v>5.7000000000000002E-2</v>
      </c>
      <c r="I5546" s="508">
        <v>5.7000000000000002E-2</v>
      </c>
      <c r="J5546" s="508">
        <v>5.7000000000000002E-2</v>
      </c>
      <c r="K5546" s="508">
        <v>4.1000000000000002E-2</v>
      </c>
      <c r="L5546" s="508">
        <v>4.1000000000000002E-2</v>
      </c>
      <c r="M5546" s="508">
        <v>4.1000000000000002E-2</v>
      </c>
      <c r="N5546" s="508">
        <v>3.5000000000000003E-2</v>
      </c>
      <c r="O5546" s="508">
        <v>0.03</v>
      </c>
      <c r="P5546" s="508">
        <v>1.7999999999999999E-2</v>
      </c>
      <c r="Q5546" s="508">
        <v>1.7000000000000001E-2</v>
      </c>
      <c r="R5546" s="508">
        <v>1.6E-2</v>
      </c>
      <c r="S5546" s="508">
        <v>1.4E-2</v>
      </c>
      <c r="T5546" s="508">
        <v>1.2999999999999999E-2</v>
      </c>
      <c r="U5546" s="508">
        <v>7.0000000000000001E-3</v>
      </c>
      <c r="V5546" s="508">
        <v>6.0000000000000001E-3</v>
      </c>
      <c r="W5546" s="508">
        <v>6.0000000000000001E-3</v>
      </c>
      <c r="X5546" s="508">
        <v>6.0000000000000001E-3</v>
      </c>
      <c r="Y5546" s="508">
        <v>6.0000000000000001E-3</v>
      </c>
      <c r="Z5546" s="508">
        <v>4.0000000000000001E-3</v>
      </c>
      <c r="AA5546" s="508">
        <v>5.0000000000000001E-3</v>
      </c>
      <c r="AB5546" s="508">
        <v>4.0000000000000001E-3</v>
      </c>
      <c r="AC5546" s="508">
        <v>4.0000000000000001E-3</v>
      </c>
      <c r="AD5546" s="508">
        <v>4.0000000000000001E-3</v>
      </c>
      <c r="AE5546" s="508">
        <v>4.0000000000000001E-3</v>
      </c>
      <c r="AF5546" s="508">
        <v>3.0000000000000001E-3</v>
      </c>
      <c r="AG5546" s="508">
        <v>3.0000000000000001E-3</v>
      </c>
      <c r="AH5546" s="508">
        <v>3.0000000000000001E-3</v>
      </c>
      <c r="AI5546" s="492">
        <v>3.0000000000000001E-3</v>
      </c>
      <c r="AJ5546" s="485"/>
    </row>
    <row r="5547" spans="2:36">
      <c r="B5547" s="136" t="s">
        <v>452</v>
      </c>
      <c r="C5547" s="132" t="s">
        <v>1366</v>
      </c>
      <c r="D5547" s="132" t="s">
        <v>285</v>
      </c>
      <c r="E5547" s="508">
        <v>7.1999999999999995E-2</v>
      </c>
      <c r="F5547" s="508">
        <v>8.1000000000000003E-2</v>
      </c>
      <c r="G5547" s="508">
        <v>8.1000000000000003E-2</v>
      </c>
      <c r="H5547" s="508">
        <v>5.7000000000000002E-2</v>
      </c>
      <c r="I5547" s="508">
        <v>5.7000000000000002E-2</v>
      </c>
      <c r="J5547" s="508">
        <v>5.6000000000000001E-2</v>
      </c>
      <c r="K5547" s="508">
        <v>4.1000000000000002E-2</v>
      </c>
      <c r="L5547" s="508">
        <v>0.04</v>
      </c>
      <c r="M5547" s="508">
        <v>0.04</v>
      </c>
      <c r="N5547" s="508">
        <v>3.5000000000000003E-2</v>
      </c>
      <c r="O5547" s="508">
        <v>0.03</v>
      </c>
      <c r="P5547" s="508">
        <v>1.7999999999999999E-2</v>
      </c>
      <c r="Q5547" s="508">
        <v>1.6E-2</v>
      </c>
      <c r="R5547" s="508">
        <v>1.4999999999999999E-2</v>
      </c>
      <c r="S5547" s="508">
        <v>1.2999999999999999E-2</v>
      </c>
      <c r="T5547" s="508">
        <v>1.2E-2</v>
      </c>
      <c r="U5547" s="508">
        <v>6.0000000000000001E-3</v>
      </c>
      <c r="V5547" s="508">
        <v>5.0000000000000001E-3</v>
      </c>
      <c r="W5547" s="508">
        <v>6.0000000000000001E-3</v>
      </c>
      <c r="X5547" s="508">
        <v>6.0000000000000001E-3</v>
      </c>
      <c r="Y5547" s="508">
        <v>6.0000000000000001E-3</v>
      </c>
      <c r="Z5547" s="508">
        <v>4.0000000000000001E-3</v>
      </c>
      <c r="AA5547" s="508">
        <v>5.0000000000000001E-3</v>
      </c>
      <c r="AB5547" s="508">
        <v>4.0000000000000001E-3</v>
      </c>
      <c r="AC5547" s="508">
        <v>4.0000000000000001E-3</v>
      </c>
      <c r="AD5547" s="508">
        <v>4.0000000000000001E-3</v>
      </c>
      <c r="AE5547" s="508">
        <v>4.0000000000000001E-3</v>
      </c>
      <c r="AF5547" s="508">
        <v>3.0000000000000001E-3</v>
      </c>
      <c r="AG5547" s="508">
        <v>3.0000000000000001E-3</v>
      </c>
      <c r="AH5547" s="508">
        <v>3.0000000000000001E-3</v>
      </c>
      <c r="AI5547" s="492">
        <v>3.0000000000000001E-3</v>
      </c>
      <c r="AJ5547" s="485"/>
    </row>
    <row r="5548" spans="2:36">
      <c r="B5548" s="136" t="s">
        <v>453</v>
      </c>
      <c r="C5548" s="132" t="s">
        <v>1366</v>
      </c>
      <c r="D5548" s="132" t="s">
        <v>285</v>
      </c>
      <c r="E5548" s="508">
        <v>7.0999999999999994E-2</v>
      </c>
      <c r="F5548" s="508">
        <v>8.5000000000000006E-2</v>
      </c>
      <c r="G5548" s="508">
        <v>8.5000000000000006E-2</v>
      </c>
      <c r="H5548" s="508">
        <v>5.8000000000000003E-2</v>
      </c>
      <c r="I5548" s="508">
        <v>5.7000000000000002E-2</v>
      </c>
      <c r="J5548" s="508">
        <v>5.7000000000000002E-2</v>
      </c>
      <c r="K5548" s="508">
        <v>4.1000000000000002E-2</v>
      </c>
      <c r="L5548" s="508">
        <v>0.04</v>
      </c>
      <c r="M5548" s="508">
        <v>0.04</v>
      </c>
      <c r="N5548" s="508">
        <v>3.5999999999999997E-2</v>
      </c>
      <c r="O5548" s="508">
        <v>0.03</v>
      </c>
      <c r="P5548" s="508">
        <v>1.7999999999999999E-2</v>
      </c>
      <c r="Q5548" s="508">
        <v>1.6E-2</v>
      </c>
      <c r="R5548" s="508">
        <v>1.4999999999999999E-2</v>
      </c>
      <c r="S5548" s="508">
        <v>1.2E-2</v>
      </c>
      <c r="T5548" s="508">
        <v>1.2E-2</v>
      </c>
      <c r="U5548" s="508">
        <v>6.0000000000000001E-3</v>
      </c>
      <c r="V5548" s="508">
        <v>5.0000000000000001E-3</v>
      </c>
      <c r="W5548" s="508">
        <v>5.0000000000000001E-3</v>
      </c>
      <c r="X5548" s="508">
        <v>6.0000000000000001E-3</v>
      </c>
      <c r="Y5548" s="508">
        <v>6.0000000000000001E-3</v>
      </c>
      <c r="Z5548" s="508">
        <v>4.0000000000000001E-3</v>
      </c>
      <c r="AA5548" s="508">
        <v>5.0000000000000001E-3</v>
      </c>
      <c r="AB5548" s="508">
        <v>4.0000000000000001E-3</v>
      </c>
      <c r="AC5548" s="508">
        <v>4.0000000000000001E-3</v>
      </c>
      <c r="AD5548" s="508">
        <v>4.0000000000000001E-3</v>
      </c>
      <c r="AE5548" s="508">
        <v>4.0000000000000001E-3</v>
      </c>
      <c r="AF5548" s="508">
        <v>3.0000000000000001E-3</v>
      </c>
      <c r="AG5548" s="508">
        <v>3.0000000000000001E-3</v>
      </c>
      <c r="AH5548" s="508">
        <v>3.0000000000000001E-3</v>
      </c>
      <c r="AI5548" s="492">
        <v>3.0000000000000001E-3</v>
      </c>
      <c r="AJ5548" s="485"/>
    </row>
    <row r="5549" spans="2:36">
      <c r="B5549" s="136" t="s">
        <v>454</v>
      </c>
      <c r="C5549" s="132" t="s">
        <v>1366</v>
      </c>
      <c r="D5549" s="132" t="s">
        <v>285</v>
      </c>
      <c r="E5549" s="508">
        <v>7.0999999999999994E-2</v>
      </c>
      <c r="F5549" s="508">
        <v>8.5999999999999993E-2</v>
      </c>
      <c r="G5549" s="508">
        <v>8.5000000000000006E-2</v>
      </c>
      <c r="H5549" s="508">
        <v>5.8000000000000003E-2</v>
      </c>
      <c r="I5549" s="508">
        <v>5.7000000000000002E-2</v>
      </c>
      <c r="J5549" s="508">
        <v>5.8000000000000003E-2</v>
      </c>
      <c r="K5549" s="508">
        <v>4.1000000000000002E-2</v>
      </c>
      <c r="L5549" s="508">
        <v>4.1000000000000002E-2</v>
      </c>
      <c r="M5549" s="508">
        <v>0.04</v>
      </c>
      <c r="N5549" s="508">
        <v>3.5999999999999997E-2</v>
      </c>
      <c r="O5549" s="508">
        <v>0.03</v>
      </c>
      <c r="P5549" s="508">
        <v>1.7999999999999999E-2</v>
      </c>
      <c r="Q5549" s="508">
        <v>1.6E-2</v>
      </c>
      <c r="R5549" s="508">
        <v>1.4999999999999999E-2</v>
      </c>
      <c r="S5549" s="508">
        <v>1.2999999999999999E-2</v>
      </c>
      <c r="T5549" s="508">
        <v>1.2999999999999999E-2</v>
      </c>
      <c r="U5549" s="508">
        <v>6.0000000000000001E-3</v>
      </c>
      <c r="V5549" s="508">
        <v>5.0000000000000001E-3</v>
      </c>
      <c r="W5549" s="508">
        <v>5.0000000000000001E-3</v>
      </c>
      <c r="X5549" s="508">
        <v>6.0000000000000001E-3</v>
      </c>
      <c r="Y5549" s="508">
        <v>6.0000000000000001E-3</v>
      </c>
      <c r="Z5549" s="508">
        <v>4.0000000000000001E-3</v>
      </c>
      <c r="AA5549" s="508">
        <v>5.0000000000000001E-3</v>
      </c>
      <c r="AB5549" s="508">
        <v>4.0000000000000001E-3</v>
      </c>
      <c r="AC5549" s="508">
        <v>4.0000000000000001E-3</v>
      </c>
      <c r="AD5549" s="508">
        <v>4.0000000000000001E-3</v>
      </c>
      <c r="AE5549" s="508">
        <v>4.0000000000000001E-3</v>
      </c>
      <c r="AF5549" s="508">
        <v>3.0000000000000001E-3</v>
      </c>
      <c r="AG5549" s="508">
        <v>3.0000000000000001E-3</v>
      </c>
      <c r="AH5549" s="508">
        <v>3.0000000000000001E-3</v>
      </c>
      <c r="AI5549" s="492">
        <v>3.0000000000000001E-3</v>
      </c>
      <c r="AJ5549" s="485"/>
    </row>
    <row r="5550" spans="2:36">
      <c r="B5550" s="136" t="s">
        <v>455</v>
      </c>
      <c r="C5550" s="132" t="s">
        <v>1366</v>
      </c>
      <c r="D5550" s="132" t="s">
        <v>285</v>
      </c>
      <c r="E5550" s="508">
        <v>7.0999999999999994E-2</v>
      </c>
      <c r="F5550" s="508">
        <v>8.7999999999999995E-2</v>
      </c>
      <c r="G5550" s="508">
        <v>8.7999999999999995E-2</v>
      </c>
      <c r="H5550" s="508">
        <v>5.8000000000000003E-2</v>
      </c>
      <c r="I5550" s="508">
        <v>5.8000000000000003E-2</v>
      </c>
      <c r="J5550" s="508">
        <v>0.06</v>
      </c>
      <c r="K5550" s="508">
        <v>4.2000000000000003E-2</v>
      </c>
      <c r="L5550" s="508">
        <v>4.1000000000000002E-2</v>
      </c>
      <c r="M5550" s="508">
        <v>4.1000000000000002E-2</v>
      </c>
      <c r="N5550" s="508">
        <v>3.5999999999999997E-2</v>
      </c>
      <c r="O5550" s="508">
        <v>0.03</v>
      </c>
      <c r="P5550" s="508">
        <v>1.7999999999999999E-2</v>
      </c>
      <c r="Q5550" s="508">
        <v>1.7000000000000001E-2</v>
      </c>
      <c r="R5550" s="508">
        <v>1.4999999999999999E-2</v>
      </c>
      <c r="S5550" s="508">
        <v>1.2999999999999999E-2</v>
      </c>
      <c r="T5550" s="508">
        <v>1.2999999999999999E-2</v>
      </c>
      <c r="U5550" s="508">
        <v>7.0000000000000001E-3</v>
      </c>
      <c r="V5550" s="508">
        <v>5.0000000000000001E-3</v>
      </c>
      <c r="W5550" s="508">
        <v>5.0000000000000001E-3</v>
      </c>
      <c r="X5550" s="508">
        <v>6.0000000000000001E-3</v>
      </c>
      <c r="Y5550" s="508">
        <v>6.0000000000000001E-3</v>
      </c>
      <c r="Z5550" s="508">
        <v>4.0000000000000001E-3</v>
      </c>
      <c r="AA5550" s="508">
        <v>5.0000000000000001E-3</v>
      </c>
      <c r="AB5550" s="508">
        <v>4.0000000000000001E-3</v>
      </c>
      <c r="AC5550" s="508">
        <v>4.0000000000000001E-3</v>
      </c>
      <c r="AD5550" s="508">
        <v>4.0000000000000001E-3</v>
      </c>
      <c r="AE5550" s="508">
        <v>4.0000000000000001E-3</v>
      </c>
      <c r="AF5550" s="508">
        <v>3.0000000000000001E-3</v>
      </c>
      <c r="AG5550" s="508">
        <v>3.0000000000000001E-3</v>
      </c>
      <c r="AH5550" s="508">
        <v>3.0000000000000001E-3</v>
      </c>
      <c r="AI5550" s="492">
        <v>3.0000000000000001E-3</v>
      </c>
      <c r="AJ5550" s="485"/>
    </row>
    <row r="5551" spans="2:36">
      <c r="B5551" s="136" t="s">
        <v>456</v>
      </c>
      <c r="C5551" s="132" t="s">
        <v>1366</v>
      </c>
      <c r="D5551" s="132" t="s">
        <v>285</v>
      </c>
      <c r="E5551" s="508">
        <v>7.0999999999999994E-2</v>
      </c>
      <c r="F5551" s="508">
        <v>8.4000000000000005E-2</v>
      </c>
      <c r="G5551" s="508">
        <v>8.4000000000000005E-2</v>
      </c>
      <c r="H5551" s="508">
        <v>5.8000000000000003E-2</v>
      </c>
      <c r="I5551" s="508">
        <v>5.7000000000000002E-2</v>
      </c>
      <c r="J5551" s="508">
        <v>5.8000000000000003E-2</v>
      </c>
      <c r="K5551" s="508">
        <v>4.1000000000000002E-2</v>
      </c>
      <c r="L5551" s="508">
        <v>4.1000000000000002E-2</v>
      </c>
      <c r="M5551" s="508">
        <v>0.04</v>
      </c>
      <c r="N5551" s="508">
        <v>3.5999999999999997E-2</v>
      </c>
      <c r="O5551" s="508">
        <v>0.03</v>
      </c>
      <c r="P5551" s="508">
        <v>1.7999999999999999E-2</v>
      </c>
      <c r="Q5551" s="508">
        <v>1.6E-2</v>
      </c>
      <c r="R5551" s="508">
        <v>1.4999999999999999E-2</v>
      </c>
      <c r="S5551" s="508">
        <v>1.2999999999999999E-2</v>
      </c>
      <c r="T5551" s="508">
        <v>1.2999999999999999E-2</v>
      </c>
      <c r="U5551" s="508">
        <v>7.0000000000000001E-3</v>
      </c>
      <c r="V5551" s="508">
        <v>5.0000000000000001E-3</v>
      </c>
      <c r="W5551" s="508">
        <v>5.0000000000000001E-3</v>
      </c>
      <c r="X5551" s="508">
        <v>6.0000000000000001E-3</v>
      </c>
      <c r="Y5551" s="508">
        <v>6.0000000000000001E-3</v>
      </c>
      <c r="Z5551" s="508">
        <v>4.0000000000000001E-3</v>
      </c>
      <c r="AA5551" s="508">
        <v>5.0000000000000001E-3</v>
      </c>
      <c r="AB5551" s="508">
        <v>4.0000000000000001E-3</v>
      </c>
      <c r="AC5551" s="508">
        <v>4.0000000000000001E-3</v>
      </c>
      <c r="AD5551" s="508">
        <v>4.0000000000000001E-3</v>
      </c>
      <c r="AE5551" s="508">
        <v>4.0000000000000001E-3</v>
      </c>
      <c r="AF5551" s="508">
        <v>3.0000000000000001E-3</v>
      </c>
      <c r="AG5551" s="508">
        <v>3.0000000000000001E-3</v>
      </c>
      <c r="AH5551" s="508">
        <v>3.0000000000000001E-3</v>
      </c>
      <c r="AI5551" s="492">
        <v>3.0000000000000001E-3</v>
      </c>
      <c r="AJ5551" s="485"/>
    </row>
    <row r="5552" spans="2:36">
      <c r="B5552" s="136" t="s">
        <v>457</v>
      </c>
      <c r="C5552" s="132" t="s">
        <v>1366</v>
      </c>
      <c r="D5552" s="132" t="s">
        <v>285</v>
      </c>
      <c r="E5552" s="508">
        <v>7.0999999999999994E-2</v>
      </c>
      <c r="F5552" s="508">
        <v>8.6999999999999994E-2</v>
      </c>
      <c r="G5552" s="508">
        <v>8.6999999999999994E-2</v>
      </c>
      <c r="H5552" s="508">
        <v>5.8000000000000003E-2</v>
      </c>
      <c r="I5552" s="508">
        <v>5.7000000000000002E-2</v>
      </c>
      <c r="J5552" s="508">
        <v>5.8000000000000003E-2</v>
      </c>
      <c r="K5552" s="508">
        <v>4.1000000000000002E-2</v>
      </c>
      <c r="L5552" s="508">
        <v>0.04</v>
      </c>
      <c r="M5552" s="508">
        <v>0.04</v>
      </c>
      <c r="N5552" s="508">
        <v>3.5999999999999997E-2</v>
      </c>
      <c r="O5552" s="508">
        <v>0.03</v>
      </c>
      <c r="P5552" s="508">
        <v>1.7999999999999999E-2</v>
      </c>
      <c r="Q5552" s="508">
        <v>1.4999999999999999E-2</v>
      </c>
      <c r="R5552" s="508">
        <v>1.4999999999999999E-2</v>
      </c>
      <c r="S5552" s="508">
        <v>1.2E-2</v>
      </c>
      <c r="T5552" s="508">
        <v>1.2E-2</v>
      </c>
      <c r="U5552" s="508">
        <v>6.0000000000000001E-3</v>
      </c>
      <c r="V5552" s="508">
        <v>5.0000000000000001E-3</v>
      </c>
      <c r="W5552" s="508">
        <v>5.0000000000000001E-3</v>
      </c>
      <c r="X5552" s="508">
        <v>6.0000000000000001E-3</v>
      </c>
      <c r="Y5552" s="508">
        <v>6.0000000000000001E-3</v>
      </c>
      <c r="Z5552" s="508">
        <v>4.0000000000000001E-3</v>
      </c>
      <c r="AA5552" s="508">
        <v>5.0000000000000001E-3</v>
      </c>
      <c r="AB5552" s="508">
        <v>4.0000000000000001E-3</v>
      </c>
      <c r="AC5552" s="508">
        <v>4.0000000000000001E-3</v>
      </c>
      <c r="AD5552" s="508">
        <v>4.0000000000000001E-3</v>
      </c>
      <c r="AE5552" s="508">
        <v>3.0000000000000001E-3</v>
      </c>
      <c r="AF5552" s="508">
        <v>3.0000000000000001E-3</v>
      </c>
      <c r="AG5552" s="508">
        <v>3.0000000000000001E-3</v>
      </c>
      <c r="AH5552" s="508">
        <v>3.0000000000000001E-3</v>
      </c>
      <c r="AI5552" s="492">
        <v>3.0000000000000001E-3</v>
      </c>
      <c r="AJ5552" s="485"/>
    </row>
    <row r="5553" spans="2:36">
      <c r="B5553" s="136" t="s">
        <v>458</v>
      </c>
      <c r="C5553" s="132" t="s">
        <v>1366</v>
      </c>
      <c r="D5553" s="132" t="s">
        <v>285</v>
      </c>
      <c r="E5553" s="508">
        <v>7.0999999999999994E-2</v>
      </c>
      <c r="F5553" s="508">
        <v>8.6999999999999994E-2</v>
      </c>
      <c r="G5553" s="508">
        <v>8.6999999999999994E-2</v>
      </c>
      <c r="H5553" s="508">
        <v>5.8000000000000003E-2</v>
      </c>
      <c r="I5553" s="508">
        <v>5.8000000000000003E-2</v>
      </c>
      <c r="J5553" s="508">
        <v>6.0999999999999999E-2</v>
      </c>
      <c r="K5553" s="508">
        <v>4.2000000000000003E-2</v>
      </c>
      <c r="L5553" s="508">
        <v>4.2000000000000003E-2</v>
      </c>
      <c r="M5553" s="508">
        <v>4.2000000000000003E-2</v>
      </c>
      <c r="N5553" s="508">
        <v>3.5999999999999997E-2</v>
      </c>
      <c r="O5553" s="508">
        <v>3.1E-2</v>
      </c>
      <c r="P5553" s="508">
        <v>1.7999999999999999E-2</v>
      </c>
      <c r="Q5553" s="508">
        <v>1.7999999999999999E-2</v>
      </c>
      <c r="R5553" s="508">
        <v>1.6E-2</v>
      </c>
      <c r="S5553" s="508">
        <v>1.2999999999999999E-2</v>
      </c>
      <c r="T5553" s="508">
        <v>1.4E-2</v>
      </c>
      <c r="U5553" s="508">
        <v>7.0000000000000001E-3</v>
      </c>
      <c r="V5553" s="508">
        <v>6.0000000000000001E-3</v>
      </c>
      <c r="W5553" s="508">
        <v>5.0000000000000001E-3</v>
      </c>
      <c r="X5553" s="508">
        <v>6.0000000000000001E-3</v>
      </c>
      <c r="Y5553" s="508">
        <v>6.0000000000000001E-3</v>
      </c>
      <c r="Z5553" s="508">
        <v>4.0000000000000001E-3</v>
      </c>
      <c r="AA5553" s="508">
        <v>5.0000000000000001E-3</v>
      </c>
      <c r="AB5553" s="508">
        <v>4.0000000000000001E-3</v>
      </c>
      <c r="AC5553" s="508">
        <v>4.0000000000000001E-3</v>
      </c>
      <c r="AD5553" s="508">
        <v>4.0000000000000001E-3</v>
      </c>
      <c r="AE5553" s="508">
        <v>4.0000000000000001E-3</v>
      </c>
      <c r="AF5553" s="508">
        <v>3.0000000000000001E-3</v>
      </c>
      <c r="AG5553" s="508">
        <v>3.0000000000000001E-3</v>
      </c>
      <c r="AH5553" s="508">
        <v>3.0000000000000001E-3</v>
      </c>
      <c r="AI5553" s="492">
        <v>3.0000000000000001E-3</v>
      </c>
      <c r="AJ5553" s="485"/>
    </row>
    <row r="5554" spans="2:36">
      <c r="B5554" s="136" t="s">
        <v>459</v>
      </c>
      <c r="C5554" s="132" t="s">
        <v>1366</v>
      </c>
      <c r="D5554" s="132" t="s">
        <v>285</v>
      </c>
      <c r="E5554" s="508">
        <v>7.0999999999999994E-2</v>
      </c>
      <c r="F5554" s="508">
        <v>8.6999999999999994E-2</v>
      </c>
      <c r="G5554" s="508">
        <v>8.6999999999999994E-2</v>
      </c>
      <c r="H5554" s="508">
        <v>5.8000000000000003E-2</v>
      </c>
      <c r="I5554" s="508">
        <v>5.8000000000000003E-2</v>
      </c>
      <c r="J5554" s="508">
        <v>6.0999999999999999E-2</v>
      </c>
      <c r="K5554" s="508">
        <v>4.2000000000000003E-2</v>
      </c>
      <c r="L5554" s="508">
        <v>4.2000000000000003E-2</v>
      </c>
      <c r="M5554" s="508">
        <v>4.2000000000000003E-2</v>
      </c>
      <c r="N5554" s="508">
        <v>3.5999999999999997E-2</v>
      </c>
      <c r="O5554" s="508">
        <v>3.1E-2</v>
      </c>
      <c r="P5554" s="508">
        <v>1.7999999999999999E-2</v>
      </c>
      <c r="Q5554" s="508">
        <v>1.7999999999999999E-2</v>
      </c>
      <c r="R5554" s="508">
        <v>1.6E-2</v>
      </c>
      <c r="S5554" s="508">
        <v>1.2999999999999999E-2</v>
      </c>
      <c r="T5554" s="508">
        <v>1.4E-2</v>
      </c>
      <c r="U5554" s="508">
        <v>7.0000000000000001E-3</v>
      </c>
      <c r="V5554" s="508">
        <v>6.0000000000000001E-3</v>
      </c>
      <c r="W5554" s="508">
        <v>5.0000000000000001E-3</v>
      </c>
      <c r="X5554" s="508">
        <v>6.0000000000000001E-3</v>
      </c>
      <c r="Y5554" s="508">
        <v>6.0000000000000001E-3</v>
      </c>
      <c r="Z5554" s="508">
        <v>4.0000000000000001E-3</v>
      </c>
      <c r="AA5554" s="508">
        <v>5.0000000000000001E-3</v>
      </c>
      <c r="AB5554" s="508">
        <v>4.0000000000000001E-3</v>
      </c>
      <c r="AC5554" s="508">
        <v>4.0000000000000001E-3</v>
      </c>
      <c r="AD5554" s="508">
        <v>4.0000000000000001E-3</v>
      </c>
      <c r="AE5554" s="508">
        <v>4.0000000000000001E-3</v>
      </c>
      <c r="AF5554" s="508">
        <v>3.0000000000000001E-3</v>
      </c>
      <c r="AG5554" s="508">
        <v>3.0000000000000001E-3</v>
      </c>
      <c r="AH5554" s="508">
        <v>3.0000000000000001E-3</v>
      </c>
      <c r="AI5554" s="492">
        <v>3.0000000000000001E-3</v>
      </c>
      <c r="AJ5554" s="485"/>
    </row>
    <row r="5555" spans="2:36">
      <c r="B5555" s="136" t="s">
        <v>460</v>
      </c>
      <c r="C5555" s="132" t="s">
        <v>1366</v>
      </c>
      <c r="D5555" s="132" t="s">
        <v>285</v>
      </c>
      <c r="E5555" s="508">
        <v>7.0999999999999994E-2</v>
      </c>
      <c r="F5555" s="508">
        <v>8.4000000000000005E-2</v>
      </c>
      <c r="G5555" s="508">
        <v>8.4000000000000005E-2</v>
      </c>
      <c r="H5555" s="508">
        <v>5.8000000000000003E-2</v>
      </c>
      <c r="I5555" s="508">
        <v>5.7000000000000002E-2</v>
      </c>
      <c r="J5555" s="508">
        <v>5.8000000000000003E-2</v>
      </c>
      <c r="K5555" s="508">
        <v>4.1000000000000002E-2</v>
      </c>
      <c r="L5555" s="508">
        <v>4.1000000000000002E-2</v>
      </c>
      <c r="M5555" s="508">
        <v>4.1000000000000002E-2</v>
      </c>
      <c r="N5555" s="508">
        <v>3.5999999999999997E-2</v>
      </c>
      <c r="O5555" s="508">
        <v>0.03</v>
      </c>
      <c r="P5555" s="508">
        <v>1.7999999999999999E-2</v>
      </c>
      <c r="Q5555" s="508">
        <v>1.7000000000000001E-2</v>
      </c>
      <c r="R5555" s="508">
        <v>1.4999999999999999E-2</v>
      </c>
      <c r="S5555" s="508">
        <v>1.2999999999999999E-2</v>
      </c>
      <c r="T5555" s="508">
        <v>1.2999999999999999E-2</v>
      </c>
      <c r="U5555" s="508">
        <v>7.0000000000000001E-3</v>
      </c>
      <c r="V5555" s="508">
        <v>6.0000000000000001E-3</v>
      </c>
      <c r="W5555" s="508">
        <v>6.0000000000000001E-3</v>
      </c>
      <c r="X5555" s="508">
        <v>6.0000000000000001E-3</v>
      </c>
      <c r="Y5555" s="508">
        <v>6.0000000000000001E-3</v>
      </c>
      <c r="Z5555" s="508">
        <v>4.0000000000000001E-3</v>
      </c>
      <c r="AA5555" s="508">
        <v>5.0000000000000001E-3</v>
      </c>
      <c r="AB5555" s="508">
        <v>4.0000000000000001E-3</v>
      </c>
      <c r="AC5555" s="508">
        <v>4.0000000000000001E-3</v>
      </c>
      <c r="AD5555" s="508">
        <v>4.0000000000000001E-3</v>
      </c>
      <c r="AE5555" s="508">
        <v>4.0000000000000001E-3</v>
      </c>
      <c r="AF5555" s="508">
        <v>3.0000000000000001E-3</v>
      </c>
      <c r="AG5555" s="508">
        <v>3.0000000000000001E-3</v>
      </c>
      <c r="AH5555" s="508">
        <v>3.0000000000000001E-3</v>
      </c>
      <c r="AI5555" s="492">
        <v>3.0000000000000001E-3</v>
      </c>
      <c r="AJ5555" s="485"/>
    </row>
    <row r="5556" spans="2:36">
      <c r="B5556" s="136" t="s">
        <v>461</v>
      </c>
      <c r="C5556" s="132" t="s">
        <v>1366</v>
      </c>
      <c r="D5556" s="132" t="s">
        <v>285</v>
      </c>
      <c r="E5556" s="508">
        <v>7.0999999999999994E-2</v>
      </c>
      <c r="F5556" s="508">
        <v>8.5000000000000006E-2</v>
      </c>
      <c r="G5556" s="508">
        <v>8.4000000000000005E-2</v>
      </c>
      <c r="H5556" s="508">
        <v>5.8000000000000003E-2</v>
      </c>
      <c r="I5556" s="508">
        <v>5.7000000000000002E-2</v>
      </c>
      <c r="J5556" s="508">
        <v>5.8000000000000003E-2</v>
      </c>
      <c r="K5556" s="508">
        <v>4.1000000000000002E-2</v>
      </c>
      <c r="L5556" s="508">
        <v>4.1000000000000002E-2</v>
      </c>
      <c r="M5556" s="508">
        <v>0.04</v>
      </c>
      <c r="N5556" s="508">
        <v>3.5999999999999997E-2</v>
      </c>
      <c r="O5556" s="508">
        <v>0.03</v>
      </c>
      <c r="P5556" s="508">
        <v>1.7999999999999999E-2</v>
      </c>
      <c r="Q5556" s="508">
        <v>1.6E-2</v>
      </c>
      <c r="R5556" s="508">
        <v>1.4999999999999999E-2</v>
      </c>
      <c r="S5556" s="508">
        <v>1.2999999999999999E-2</v>
      </c>
      <c r="T5556" s="508">
        <v>1.2999999999999999E-2</v>
      </c>
      <c r="U5556" s="508">
        <v>6.0000000000000001E-3</v>
      </c>
      <c r="V5556" s="508">
        <v>5.0000000000000001E-3</v>
      </c>
      <c r="W5556" s="508">
        <v>5.0000000000000001E-3</v>
      </c>
      <c r="X5556" s="508">
        <v>6.0000000000000001E-3</v>
      </c>
      <c r="Y5556" s="508">
        <v>6.0000000000000001E-3</v>
      </c>
      <c r="Z5556" s="508">
        <v>4.0000000000000001E-3</v>
      </c>
      <c r="AA5556" s="508">
        <v>5.0000000000000001E-3</v>
      </c>
      <c r="AB5556" s="508">
        <v>4.0000000000000001E-3</v>
      </c>
      <c r="AC5556" s="508">
        <v>4.0000000000000001E-3</v>
      </c>
      <c r="AD5556" s="508">
        <v>4.0000000000000001E-3</v>
      </c>
      <c r="AE5556" s="508">
        <v>4.0000000000000001E-3</v>
      </c>
      <c r="AF5556" s="508">
        <v>3.0000000000000001E-3</v>
      </c>
      <c r="AG5556" s="508">
        <v>3.0000000000000001E-3</v>
      </c>
      <c r="AH5556" s="508">
        <v>3.0000000000000001E-3</v>
      </c>
      <c r="AI5556" s="492">
        <v>3.0000000000000001E-3</v>
      </c>
      <c r="AJ5556" s="485"/>
    </row>
    <row r="5557" spans="2:36">
      <c r="B5557" s="136" t="s">
        <v>462</v>
      </c>
      <c r="C5557" s="132" t="s">
        <v>1366</v>
      </c>
      <c r="D5557" s="132" t="s">
        <v>285</v>
      </c>
      <c r="E5557" s="508">
        <v>7.0999999999999994E-2</v>
      </c>
      <c r="F5557" s="508">
        <v>8.3000000000000004E-2</v>
      </c>
      <c r="G5557" s="508">
        <v>8.3000000000000004E-2</v>
      </c>
      <c r="H5557" s="508">
        <v>5.7000000000000002E-2</v>
      </c>
      <c r="I5557" s="508">
        <v>5.7000000000000002E-2</v>
      </c>
      <c r="J5557" s="508">
        <v>5.6000000000000001E-2</v>
      </c>
      <c r="K5557" s="508">
        <v>0.04</v>
      </c>
      <c r="L5557" s="508">
        <v>0.04</v>
      </c>
      <c r="M5557" s="508">
        <v>3.9E-2</v>
      </c>
      <c r="N5557" s="508">
        <v>3.5000000000000003E-2</v>
      </c>
      <c r="O5557" s="508">
        <v>0.03</v>
      </c>
      <c r="P5557" s="508">
        <v>1.7999999999999999E-2</v>
      </c>
      <c r="Q5557" s="508">
        <v>1.4999999999999999E-2</v>
      </c>
      <c r="R5557" s="508">
        <v>1.4999999999999999E-2</v>
      </c>
      <c r="S5557" s="508">
        <v>1.2E-2</v>
      </c>
      <c r="T5557" s="508">
        <v>1.2E-2</v>
      </c>
      <c r="U5557" s="508">
        <v>6.0000000000000001E-3</v>
      </c>
      <c r="V5557" s="508">
        <v>5.0000000000000001E-3</v>
      </c>
      <c r="W5557" s="508">
        <v>5.0000000000000001E-3</v>
      </c>
      <c r="X5557" s="508">
        <v>6.0000000000000001E-3</v>
      </c>
      <c r="Y5557" s="508">
        <v>6.0000000000000001E-3</v>
      </c>
      <c r="Z5557" s="508">
        <v>4.0000000000000001E-3</v>
      </c>
      <c r="AA5557" s="508">
        <v>5.0000000000000001E-3</v>
      </c>
      <c r="AB5557" s="508">
        <v>4.0000000000000001E-3</v>
      </c>
      <c r="AC5557" s="508">
        <v>4.0000000000000001E-3</v>
      </c>
      <c r="AD5557" s="508">
        <v>4.0000000000000001E-3</v>
      </c>
      <c r="AE5557" s="508">
        <v>3.0000000000000001E-3</v>
      </c>
      <c r="AF5557" s="508">
        <v>3.0000000000000001E-3</v>
      </c>
      <c r="AG5557" s="508">
        <v>3.0000000000000001E-3</v>
      </c>
      <c r="AH5557" s="508">
        <v>3.0000000000000001E-3</v>
      </c>
      <c r="AI5557" s="492">
        <v>3.0000000000000001E-3</v>
      </c>
      <c r="AJ5557" s="485"/>
    </row>
    <row r="5558" spans="2:36">
      <c r="B5558" s="136" t="s">
        <v>463</v>
      </c>
      <c r="C5558" s="132" t="s">
        <v>1366</v>
      </c>
      <c r="D5558" s="132" t="s">
        <v>285</v>
      </c>
      <c r="E5558" s="508">
        <v>7.0000000000000007E-2</v>
      </c>
      <c r="F5558" s="508">
        <v>0.09</v>
      </c>
      <c r="G5558" s="508">
        <v>0.09</v>
      </c>
      <c r="H5558" s="508">
        <v>5.8999999999999997E-2</v>
      </c>
      <c r="I5558" s="508">
        <v>5.8000000000000003E-2</v>
      </c>
      <c r="J5558" s="508">
        <v>6.2E-2</v>
      </c>
      <c r="K5558" s="508">
        <v>4.2999999999999997E-2</v>
      </c>
      <c r="L5558" s="508">
        <v>4.2000000000000003E-2</v>
      </c>
      <c r="M5558" s="508">
        <v>4.2000000000000003E-2</v>
      </c>
      <c r="N5558" s="508">
        <v>3.6999999999999998E-2</v>
      </c>
      <c r="O5558" s="508">
        <v>0.03</v>
      </c>
      <c r="P5558" s="508">
        <v>1.7999999999999999E-2</v>
      </c>
      <c r="Q5558" s="508">
        <v>1.7000000000000001E-2</v>
      </c>
      <c r="R5558" s="508">
        <v>1.6E-2</v>
      </c>
      <c r="S5558" s="508">
        <v>1.2999999999999999E-2</v>
      </c>
      <c r="T5558" s="508">
        <v>1.4E-2</v>
      </c>
      <c r="U5558" s="508">
        <v>7.0000000000000001E-3</v>
      </c>
      <c r="V5558" s="508">
        <v>6.0000000000000001E-3</v>
      </c>
      <c r="W5558" s="508">
        <v>5.0000000000000001E-3</v>
      </c>
      <c r="X5558" s="508">
        <v>6.0000000000000001E-3</v>
      </c>
      <c r="Y5558" s="508">
        <v>6.0000000000000001E-3</v>
      </c>
      <c r="Z5558" s="508">
        <v>4.0000000000000001E-3</v>
      </c>
      <c r="AA5558" s="508">
        <v>5.0000000000000001E-3</v>
      </c>
      <c r="AB5558" s="508">
        <v>4.0000000000000001E-3</v>
      </c>
      <c r="AC5558" s="508">
        <v>4.0000000000000001E-3</v>
      </c>
      <c r="AD5558" s="508">
        <v>4.0000000000000001E-3</v>
      </c>
      <c r="AE5558" s="508">
        <v>4.0000000000000001E-3</v>
      </c>
      <c r="AF5558" s="508">
        <v>3.0000000000000001E-3</v>
      </c>
      <c r="AG5558" s="508">
        <v>3.0000000000000001E-3</v>
      </c>
      <c r="AH5558" s="508">
        <v>3.0000000000000001E-3</v>
      </c>
      <c r="AI5558" s="492">
        <v>3.0000000000000001E-3</v>
      </c>
      <c r="AJ5558" s="485"/>
    </row>
    <row r="5559" spans="2:36">
      <c r="B5559" s="136" t="s">
        <v>464</v>
      </c>
      <c r="C5559" s="132" t="s">
        <v>1366</v>
      </c>
      <c r="D5559" s="132" t="s">
        <v>285</v>
      </c>
      <c r="E5559" s="508">
        <v>7.0999999999999994E-2</v>
      </c>
      <c r="F5559" s="508">
        <v>8.6999999999999994E-2</v>
      </c>
      <c r="G5559" s="508">
        <v>8.6999999999999994E-2</v>
      </c>
      <c r="H5559" s="508">
        <v>5.8000000000000003E-2</v>
      </c>
      <c r="I5559" s="508">
        <v>5.8000000000000003E-2</v>
      </c>
      <c r="J5559" s="508">
        <v>5.8000000000000003E-2</v>
      </c>
      <c r="K5559" s="508">
        <v>4.1000000000000002E-2</v>
      </c>
      <c r="L5559" s="508">
        <v>0.04</v>
      </c>
      <c r="M5559" s="508">
        <v>0.04</v>
      </c>
      <c r="N5559" s="508">
        <v>3.5999999999999997E-2</v>
      </c>
      <c r="O5559" s="508">
        <v>0.03</v>
      </c>
      <c r="P5559" s="508">
        <v>1.7999999999999999E-2</v>
      </c>
      <c r="Q5559" s="508">
        <v>1.4999999999999999E-2</v>
      </c>
      <c r="R5559" s="508">
        <v>1.4999999999999999E-2</v>
      </c>
      <c r="S5559" s="508">
        <v>1.2E-2</v>
      </c>
      <c r="T5559" s="508">
        <v>1.2E-2</v>
      </c>
      <c r="U5559" s="508">
        <v>6.0000000000000001E-3</v>
      </c>
      <c r="V5559" s="508">
        <v>5.0000000000000001E-3</v>
      </c>
      <c r="W5559" s="508">
        <v>5.0000000000000001E-3</v>
      </c>
      <c r="X5559" s="508">
        <v>6.0000000000000001E-3</v>
      </c>
      <c r="Y5559" s="508">
        <v>6.0000000000000001E-3</v>
      </c>
      <c r="Z5559" s="508">
        <v>4.0000000000000001E-3</v>
      </c>
      <c r="AA5559" s="508">
        <v>5.0000000000000001E-3</v>
      </c>
      <c r="AB5559" s="508">
        <v>4.0000000000000001E-3</v>
      </c>
      <c r="AC5559" s="508">
        <v>4.0000000000000001E-3</v>
      </c>
      <c r="AD5559" s="508">
        <v>4.0000000000000001E-3</v>
      </c>
      <c r="AE5559" s="508">
        <v>4.0000000000000001E-3</v>
      </c>
      <c r="AF5559" s="508">
        <v>3.0000000000000001E-3</v>
      </c>
      <c r="AG5559" s="508">
        <v>3.0000000000000001E-3</v>
      </c>
      <c r="AH5559" s="508">
        <v>3.0000000000000001E-3</v>
      </c>
      <c r="AI5559" s="492">
        <v>3.0000000000000001E-3</v>
      </c>
      <c r="AJ5559" s="485"/>
    </row>
    <row r="5560" spans="2:36">
      <c r="B5560" s="136" t="s">
        <v>465</v>
      </c>
      <c r="C5560" s="132" t="s">
        <v>1366</v>
      </c>
      <c r="D5560" s="132" t="s">
        <v>285</v>
      </c>
      <c r="E5560" s="508">
        <v>7.0999999999999994E-2</v>
      </c>
      <c r="F5560" s="508">
        <v>8.7999999999999995E-2</v>
      </c>
      <c r="G5560" s="508">
        <v>8.6999999999999994E-2</v>
      </c>
      <c r="H5560" s="508">
        <v>5.8000000000000003E-2</v>
      </c>
      <c r="I5560" s="508">
        <v>5.8000000000000003E-2</v>
      </c>
      <c r="J5560" s="508">
        <v>5.8999999999999997E-2</v>
      </c>
      <c r="K5560" s="508">
        <v>4.2000000000000003E-2</v>
      </c>
      <c r="L5560" s="508">
        <v>4.1000000000000002E-2</v>
      </c>
      <c r="M5560" s="508">
        <v>4.1000000000000002E-2</v>
      </c>
      <c r="N5560" s="508">
        <v>3.5999999999999997E-2</v>
      </c>
      <c r="O5560" s="508">
        <v>0.03</v>
      </c>
      <c r="P5560" s="508">
        <v>1.7999999999999999E-2</v>
      </c>
      <c r="Q5560" s="508">
        <v>1.6E-2</v>
      </c>
      <c r="R5560" s="508">
        <v>1.4999999999999999E-2</v>
      </c>
      <c r="S5560" s="508">
        <v>1.2999999999999999E-2</v>
      </c>
      <c r="T5560" s="508">
        <v>1.2999999999999999E-2</v>
      </c>
      <c r="U5560" s="508">
        <v>7.0000000000000001E-3</v>
      </c>
      <c r="V5560" s="508">
        <v>5.0000000000000001E-3</v>
      </c>
      <c r="W5560" s="508">
        <v>5.0000000000000001E-3</v>
      </c>
      <c r="X5560" s="508">
        <v>6.0000000000000001E-3</v>
      </c>
      <c r="Y5560" s="508">
        <v>6.0000000000000001E-3</v>
      </c>
      <c r="Z5560" s="508">
        <v>4.0000000000000001E-3</v>
      </c>
      <c r="AA5560" s="508">
        <v>5.0000000000000001E-3</v>
      </c>
      <c r="AB5560" s="508">
        <v>4.0000000000000001E-3</v>
      </c>
      <c r="AC5560" s="508">
        <v>4.0000000000000001E-3</v>
      </c>
      <c r="AD5560" s="508">
        <v>4.0000000000000001E-3</v>
      </c>
      <c r="AE5560" s="508">
        <v>4.0000000000000001E-3</v>
      </c>
      <c r="AF5560" s="508">
        <v>3.0000000000000001E-3</v>
      </c>
      <c r="AG5560" s="508">
        <v>3.0000000000000001E-3</v>
      </c>
      <c r="AH5560" s="508">
        <v>3.0000000000000001E-3</v>
      </c>
      <c r="AI5560" s="492">
        <v>3.0000000000000001E-3</v>
      </c>
      <c r="AJ5560" s="485"/>
    </row>
    <row r="5561" spans="2:36">
      <c r="B5561" s="136" t="s">
        <v>466</v>
      </c>
      <c r="C5561" s="132" t="s">
        <v>1366</v>
      </c>
      <c r="D5561" s="132" t="s">
        <v>285</v>
      </c>
      <c r="E5561" s="508">
        <v>7.1999999999999995E-2</v>
      </c>
      <c r="F5561" s="508">
        <v>8.1000000000000003E-2</v>
      </c>
      <c r="G5561" s="508">
        <v>8.1000000000000003E-2</v>
      </c>
      <c r="H5561" s="508">
        <v>5.7000000000000002E-2</v>
      </c>
      <c r="I5561" s="508">
        <v>5.7000000000000002E-2</v>
      </c>
      <c r="J5561" s="508">
        <v>5.6000000000000001E-2</v>
      </c>
      <c r="K5561" s="508">
        <v>4.1000000000000002E-2</v>
      </c>
      <c r="L5561" s="508">
        <v>4.1000000000000002E-2</v>
      </c>
      <c r="M5561" s="508">
        <v>0.04</v>
      </c>
      <c r="N5561" s="508">
        <v>3.5000000000000003E-2</v>
      </c>
      <c r="O5561" s="508">
        <v>0.03</v>
      </c>
      <c r="P5561" s="508">
        <v>1.7999999999999999E-2</v>
      </c>
      <c r="Q5561" s="508">
        <v>1.6E-2</v>
      </c>
      <c r="R5561" s="508">
        <v>1.4999999999999999E-2</v>
      </c>
      <c r="S5561" s="508">
        <v>1.2999999999999999E-2</v>
      </c>
      <c r="T5561" s="508">
        <v>1.2999999999999999E-2</v>
      </c>
      <c r="U5561" s="508">
        <v>7.0000000000000001E-3</v>
      </c>
      <c r="V5561" s="508">
        <v>6.0000000000000001E-3</v>
      </c>
      <c r="W5561" s="508">
        <v>6.0000000000000001E-3</v>
      </c>
      <c r="X5561" s="508">
        <v>6.0000000000000001E-3</v>
      </c>
      <c r="Y5561" s="508">
        <v>6.0000000000000001E-3</v>
      </c>
      <c r="Z5561" s="508">
        <v>4.0000000000000001E-3</v>
      </c>
      <c r="AA5561" s="508">
        <v>5.0000000000000001E-3</v>
      </c>
      <c r="AB5561" s="508">
        <v>4.0000000000000001E-3</v>
      </c>
      <c r="AC5561" s="508">
        <v>4.0000000000000001E-3</v>
      </c>
      <c r="AD5561" s="508">
        <v>4.0000000000000001E-3</v>
      </c>
      <c r="AE5561" s="508">
        <v>4.0000000000000001E-3</v>
      </c>
      <c r="AF5561" s="508">
        <v>3.0000000000000001E-3</v>
      </c>
      <c r="AG5561" s="508">
        <v>3.0000000000000001E-3</v>
      </c>
      <c r="AH5561" s="508">
        <v>3.0000000000000001E-3</v>
      </c>
      <c r="AI5561" s="492">
        <v>3.0000000000000001E-3</v>
      </c>
      <c r="AJ5561" s="485"/>
    </row>
    <row r="5562" spans="2:36">
      <c r="B5562" s="136" t="s">
        <v>467</v>
      </c>
      <c r="C5562" s="132" t="s">
        <v>1366</v>
      </c>
      <c r="D5562" s="132" t="s">
        <v>285</v>
      </c>
      <c r="E5562" s="508">
        <v>7.0999999999999994E-2</v>
      </c>
      <c r="F5562" s="508">
        <v>8.5000000000000006E-2</v>
      </c>
      <c r="G5562" s="508">
        <v>8.4000000000000005E-2</v>
      </c>
      <c r="H5562" s="508">
        <v>5.8000000000000003E-2</v>
      </c>
      <c r="I5562" s="508">
        <v>5.7000000000000002E-2</v>
      </c>
      <c r="J5562" s="508">
        <v>5.7000000000000002E-2</v>
      </c>
      <c r="K5562" s="508">
        <v>4.1000000000000002E-2</v>
      </c>
      <c r="L5562" s="508">
        <v>4.1000000000000002E-2</v>
      </c>
      <c r="M5562" s="508">
        <v>0.04</v>
      </c>
      <c r="N5562" s="508">
        <v>3.5999999999999997E-2</v>
      </c>
      <c r="O5562" s="508">
        <v>0.03</v>
      </c>
      <c r="P5562" s="508">
        <v>1.7999999999999999E-2</v>
      </c>
      <c r="Q5562" s="508">
        <v>1.6E-2</v>
      </c>
      <c r="R5562" s="508">
        <v>1.4999999999999999E-2</v>
      </c>
      <c r="S5562" s="508">
        <v>1.2999999999999999E-2</v>
      </c>
      <c r="T5562" s="508">
        <v>1.2999999999999999E-2</v>
      </c>
      <c r="U5562" s="508">
        <v>6.0000000000000001E-3</v>
      </c>
      <c r="V5562" s="508">
        <v>5.0000000000000001E-3</v>
      </c>
      <c r="W5562" s="508">
        <v>5.0000000000000001E-3</v>
      </c>
      <c r="X5562" s="508">
        <v>6.0000000000000001E-3</v>
      </c>
      <c r="Y5562" s="508">
        <v>6.0000000000000001E-3</v>
      </c>
      <c r="Z5562" s="508">
        <v>4.0000000000000001E-3</v>
      </c>
      <c r="AA5562" s="508">
        <v>5.0000000000000001E-3</v>
      </c>
      <c r="AB5562" s="508">
        <v>4.0000000000000001E-3</v>
      </c>
      <c r="AC5562" s="508">
        <v>4.0000000000000001E-3</v>
      </c>
      <c r="AD5562" s="508">
        <v>4.0000000000000001E-3</v>
      </c>
      <c r="AE5562" s="508">
        <v>4.0000000000000001E-3</v>
      </c>
      <c r="AF5562" s="508">
        <v>3.0000000000000001E-3</v>
      </c>
      <c r="AG5562" s="508">
        <v>3.0000000000000001E-3</v>
      </c>
      <c r="AH5562" s="508">
        <v>3.0000000000000001E-3</v>
      </c>
      <c r="AI5562" s="492">
        <v>3.0000000000000001E-3</v>
      </c>
      <c r="AJ5562" s="485"/>
    </row>
    <row r="5563" spans="2:36">
      <c r="B5563" s="136" t="s">
        <v>468</v>
      </c>
      <c r="C5563" s="132" t="s">
        <v>1366</v>
      </c>
      <c r="D5563" s="132" t="s">
        <v>285</v>
      </c>
      <c r="E5563" s="508">
        <v>7.0000000000000007E-2</v>
      </c>
      <c r="F5563" s="508">
        <v>9.0999999999999998E-2</v>
      </c>
      <c r="G5563" s="508">
        <v>9.0999999999999998E-2</v>
      </c>
      <c r="H5563" s="508">
        <v>5.8999999999999997E-2</v>
      </c>
      <c r="I5563" s="508">
        <v>5.8000000000000003E-2</v>
      </c>
      <c r="J5563" s="508">
        <v>6.2E-2</v>
      </c>
      <c r="K5563" s="508">
        <v>4.2000000000000003E-2</v>
      </c>
      <c r="L5563" s="508">
        <v>4.2000000000000003E-2</v>
      </c>
      <c r="M5563" s="508">
        <v>4.1000000000000002E-2</v>
      </c>
      <c r="N5563" s="508">
        <v>3.6999999999999998E-2</v>
      </c>
      <c r="O5563" s="508">
        <v>0.03</v>
      </c>
      <c r="P5563" s="508">
        <v>1.7999999999999999E-2</v>
      </c>
      <c r="Q5563" s="508">
        <v>1.7000000000000001E-2</v>
      </c>
      <c r="R5563" s="508">
        <v>1.6E-2</v>
      </c>
      <c r="S5563" s="508">
        <v>1.2999999999999999E-2</v>
      </c>
      <c r="T5563" s="508">
        <v>1.4E-2</v>
      </c>
      <c r="U5563" s="508">
        <v>7.0000000000000001E-3</v>
      </c>
      <c r="V5563" s="508">
        <v>6.0000000000000001E-3</v>
      </c>
      <c r="W5563" s="508">
        <v>5.0000000000000001E-3</v>
      </c>
      <c r="X5563" s="508">
        <v>6.0000000000000001E-3</v>
      </c>
      <c r="Y5563" s="508">
        <v>6.0000000000000001E-3</v>
      </c>
      <c r="Z5563" s="508">
        <v>4.0000000000000001E-3</v>
      </c>
      <c r="AA5563" s="508">
        <v>5.0000000000000001E-3</v>
      </c>
      <c r="AB5563" s="508">
        <v>4.0000000000000001E-3</v>
      </c>
      <c r="AC5563" s="508">
        <v>4.0000000000000001E-3</v>
      </c>
      <c r="AD5563" s="508">
        <v>4.0000000000000001E-3</v>
      </c>
      <c r="AE5563" s="508">
        <v>4.0000000000000001E-3</v>
      </c>
      <c r="AF5563" s="508">
        <v>3.0000000000000001E-3</v>
      </c>
      <c r="AG5563" s="508">
        <v>3.0000000000000001E-3</v>
      </c>
      <c r="AH5563" s="508">
        <v>3.0000000000000001E-3</v>
      </c>
      <c r="AI5563" s="492">
        <v>3.0000000000000001E-3</v>
      </c>
      <c r="AJ5563" s="485"/>
    </row>
    <row r="5564" spans="2:36">
      <c r="B5564" s="136" t="s">
        <v>469</v>
      </c>
      <c r="C5564" s="132" t="s">
        <v>1366</v>
      </c>
      <c r="D5564" s="132" t="s">
        <v>285</v>
      </c>
      <c r="E5564" s="508">
        <v>7.0999999999999994E-2</v>
      </c>
      <c r="F5564" s="508">
        <v>8.5999999999999993E-2</v>
      </c>
      <c r="G5564" s="508">
        <v>8.5999999999999993E-2</v>
      </c>
      <c r="H5564" s="508">
        <v>5.8000000000000003E-2</v>
      </c>
      <c r="I5564" s="508">
        <v>5.8000000000000003E-2</v>
      </c>
      <c r="J5564" s="508">
        <v>5.8000000000000003E-2</v>
      </c>
      <c r="K5564" s="508">
        <v>4.1000000000000002E-2</v>
      </c>
      <c r="L5564" s="508">
        <v>4.1000000000000002E-2</v>
      </c>
      <c r="M5564" s="508">
        <v>0.04</v>
      </c>
      <c r="N5564" s="508">
        <v>3.5999999999999997E-2</v>
      </c>
      <c r="O5564" s="508">
        <v>0.03</v>
      </c>
      <c r="P5564" s="508">
        <v>1.7999999999999999E-2</v>
      </c>
      <c r="Q5564" s="508">
        <v>1.6E-2</v>
      </c>
      <c r="R5564" s="508">
        <v>1.4999999999999999E-2</v>
      </c>
      <c r="S5564" s="508">
        <v>1.2999999999999999E-2</v>
      </c>
      <c r="T5564" s="508">
        <v>1.2999999999999999E-2</v>
      </c>
      <c r="U5564" s="508">
        <v>6.0000000000000001E-3</v>
      </c>
      <c r="V5564" s="508">
        <v>5.0000000000000001E-3</v>
      </c>
      <c r="W5564" s="508">
        <v>5.0000000000000001E-3</v>
      </c>
      <c r="X5564" s="508">
        <v>6.0000000000000001E-3</v>
      </c>
      <c r="Y5564" s="508">
        <v>6.0000000000000001E-3</v>
      </c>
      <c r="Z5564" s="508">
        <v>4.0000000000000001E-3</v>
      </c>
      <c r="AA5564" s="508">
        <v>5.0000000000000001E-3</v>
      </c>
      <c r="AB5564" s="508">
        <v>4.0000000000000001E-3</v>
      </c>
      <c r="AC5564" s="508">
        <v>4.0000000000000001E-3</v>
      </c>
      <c r="AD5564" s="508">
        <v>4.0000000000000001E-3</v>
      </c>
      <c r="AE5564" s="508">
        <v>4.0000000000000001E-3</v>
      </c>
      <c r="AF5564" s="508">
        <v>3.0000000000000001E-3</v>
      </c>
      <c r="AG5564" s="508">
        <v>3.0000000000000001E-3</v>
      </c>
      <c r="AH5564" s="508">
        <v>3.0000000000000001E-3</v>
      </c>
      <c r="AI5564" s="492">
        <v>3.0000000000000001E-3</v>
      </c>
      <c r="AJ5564" s="485"/>
    </row>
    <row r="5565" spans="2:36">
      <c r="B5565" s="136" t="s">
        <v>470</v>
      </c>
      <c r="C5565" s="132" t="s">
        <v>1366</v>
      </c>
      <c r="D5565" s="132" t="s">
        <v>285</v>
      </c>
      <c r="E5565" s="508">
        <v>7.0999999999999994E-2</v>
      </c>
      <c r="F5565" s="508">
        <v>8.4000000000000005E-2</v>
      </c>
      <c r="G5565" s="508">
        <v>8.4000000000000005E-2</v>
      </c>
      <c r="H5565" s="508">
        <v>5.8000000000000003E-2</v>
      </c>
      <c r="I5565" s="508">
        <v>5.7000000000000002E-2</v>
      </c>
      <c r="J5565" s="508">
        <v>5.8000000000000003E-2</v>
      </c>
      <c r="K5565" s="508">
        <v>4.2000000000000003E-2</v>
      </c>
      <c r="L5565" s="508">
        <v>4.1000000000000002E-2</v>
      </c>
      <c r="M5565" s="508">
        <v>4.1000000000000002E-2</v>
      </c>
      <c r="N5565" s="508">
        <v>3.5999999999999997E-2</v>
      </c>
      <c r="O5565" s="508">
        <v>0.03</v>
      </c>
      <c r="P5565" s="508">
        <v>1.7999999999999999E-2</v>
      </c>
      <c r="Q5565" s="508">
        <v>1.7000000000000001E-2</v>
      </c>
      <c r="R5565" s="508">
        <v>1.6E-2</v>
      </c>
      <c r="S5565" s="508">
        <v>1.2999999999999999E-2</v>
      </c>
      <c r="T5565" s="508">
        <v>1.2999999999999999E-2</v>
      </c>
      <c r="U5565" s="508">
        <v>7.0000000000000001E-3</v>
      </c>
      <c r="V5565" s="508">
        <v>6.0000000000000001E-3</v>
      </c>
      <c r="W5565" s="508">
        <v>6.0000000000000001E-3</v>
      </c>
      <c r="X5565" s="508">
        <v>6.0000000000000001E-3</v>
      </c>
      <c r="Y5565" s="508">
        <v>6.0000000000000001E-3</v>
      </c>
      <c r="Z5565" s="508">
        <v>4.0000000000000001E-3</v>
      </c>
      <c r="AA5565" s="508">
        <v>5.0000000000000001E-3</v>
      </c>
      <c r="AB5565" s="508">
        <v>4.0000000000000001E-3</v>
      </c>
      <c r="AC5565" s="508">
        <v>4.0000000000000001E-3</v>
      </c>
      <c r="AD5565" s="508">
        <v>4.0000000000000001E-3</v>
      </c>
      <c r="AE5565" s="508">
        <v>4.0000000000000001E-3</v>
      </c>
      <c r="AF5565" s="508">
        <v>3.0000000000000001E-3</v>
      </c>
      <c r="AG5565" s="508">
        <v>3.0000000000000001E-3</v>
      </c>
      <c r="AH5565" s="508">
        <v>3.0000000000000001E-3</v>
      </c>
      <c r="AI5565" s="492">
        <v>3.0000000000000001E-3</v>
      </c>
      <c r="AJ5565" s="485"/>
    </row>
    <row r="5566" spans="2:36">
      <c r="B5566" s="136" t="s">
        <v>471</v>
      </c>
      <c r="C5566" s="132" t="s">
        <v>1366</v>
      </c>
      <c r="D5566" s="132" t="s">
        <v>285</v>
      </c>
      <c r="E5566" s="508">
        <v>7.0999999999999994E-2</v>
      </c>
      <c r="F5566" s="508">
        <v>8.3000000000000004E-2</v>
      </c>
      <c r="G5566" s="508">
        <v>8.3000000000000004E-2</v>
      </c>
      <c r="H5566" s="508">
        <v>5.8000000000000003E-2</v>
      </c>
      <c r="I5566" s="508">
        <v>5.7000000000000002E-2</v>
      </c>
      <c r="J5566" s="508">
        <v>5.7000000000000002E-2</v>
      </c>
      <c r="K5566" s="508">
        <v>4.1000000000000002E-2</v>
      </c>
      <c r="L5566" s="508">
        <v>4.1000000000000002E-2</v>
      </c>
      <c r="M5566" s="508">
        <v>0.04</v>
      </c>
      <c r="N5566" s="508">
        <v>3.5000000000000003E-2</v>
      </c>
      <c r="O5566" s="508">
        <v>0.03</v>
      </c>
      <c r="P5566" s="508">
        <v>1.7999999999999999E-2</v>
      </c>
      <c r="Q5566" s="508">
        <v>1.6E-2</v>
      </c>
      <c r="R5566" s="508">
        <v>1.4999999999999999E-2</v>
      </c>
      <c r="S5566" s="508">
        <v>1.2999999999999999E-2</v>
      </c>
      <c r="T5566" s="508">
        <v>1.2999999999999999E-2</v>
      </c>
      <c r="U5566" s="508">
        <v>6.0000000000000001E-3</v>
      </c>
      <c r="V5566" s="508">
        <v>5.0000000000000001E-3</v>
      </c>
      <c r="W5566" s="508">
        <v>5.0000000000000001E-3</v>
      </c>
      <c r="X5566" s="508">
        <v>6.0000000000000001E-3</v>
      </c>
      <c r="Y5566" s="508">
        <v>6.0000000000000001E-3</v>
      </c>
      <c r="Z5566" s="508">
        <v>4.0000000000000001E-3</v>
      </c>
      <c r="AA5566" s="508">
        <v>5.0000000000000001E-3</v>
      </c>
      <c r="AB5566" s="508">
        <v>4.0000000000000001E-3</v>
      </c>
      <c r="AC5566" s="508">
        <v>4.0000000000000001E-3</v>
      </c>
      <c r="AD5566" s="508">
        <v>4.0000000000000001E-3</v>
      </c>
      <c r="AE5566" s="508">
        <v>4.0000000000000001E-3</v>
      </c>
      <c r="AF5566" s="508">
        <v>3.0000000000000001E-3</v>
      </c>
      <c r="AG5566" s="508">
        <v>3.0000000000000001E-3</v>
      </c>
      <c r="AH5566" s="508">
        <v>3.0000000000000001E-3</v>
      </c>
      <c r="AI5566" s="492">
        <v>3.0000000000000001E-3</v>
      </c>
      <c r="AJ5566" s="485"/>
    </row>
    <row r="5567" spans="2:36">
      <c r="B5567" s="136" t="s">
        <v>472</v>
      </c>
      <c r="C5567" s="132" t="s">
        <v>1366</v>
      </c>
      <c r="D5567" s="132" t="s">
        <v>285</v>
      </c>
      <c r="E5567" s="508">
        <v>7.0999999999999994E-2</v>
      </c>
      <c r="F5567" s="508">
        <v>8.6999999999999994E-2</v>
      </c>
      <c r="G5567" s="508">
        <v>8.6999999999999994E-2</v>
      </c>
      <c r="H5567" s="508">
        <v>5.8000000000000003E-2</v>
      </c>
      <c r="I5567" s="508">
        <v>5.7000000000000002E-2</v>
      </c>
      <c r="J5567" s="508">
        <v>5.8000000000000003E-2</v>
      </c>
      <c r="K5567" s="508">
        <v>4.1000000000000002E-2</v>
      </c>
      <c r="L5567" s="508">
        <v>0.04</v>
      </c>
      <c r="M5567" s="508">
        <v>0.04</v>
      </c>
      <c r="N5567" s="508">
        <v>3.5999999999999997E-2</v>
      </c>
      <c r="O5567" s="508">
        <v>0.03</v>
      </c>
      <c r="P5567" s="508">
        <v>1.7999999999999999E-2</v>
      </c>
      <c r="Q5567" s="508">
        <v>1.4999999999999999E-2</v>
      </c>
      <c r="R5567" s="508">
        <v>1.4999999999999999E-2</v>
      </c>
      <c r="S5567" s="508">
        <v>1.2E-2</v>
      </c>
      <c r="T5567" s="508">
        <v>1.2E-2</v>
      </c>
      <c r="U5567" s="508">
        <v>6.0000000000000001E-3</v>
      </c>
      <c r="V5567" s="508">
        <v>5.0000000000000001E-3</v>
      </c>
      <c r="W5567" s="508">
        <v>5.0000000000000001E-3</v>
      </c>
      <c r="X5567" s="508">
        <v>6.0000000000000001E-3</v>
      </c>
      <c r="Y5567" s="508">
        <v>6.0000000000000001E-3</v>
      </c>
      <c r="Z5567" s="508">
        <v>4.0000000000000001E-3</v>
      </c>
      <c r="AA5567" s="508">
        <v>5.0000000000000001E-3</v>
      </c>
      <c r="AB5567" s="508">
        <v>4.0000000000000001E-3</v>
      </c>
      <c r="AC5567" s="508">
        <v>4.0000000000000001E-3</v>
      </c>
      <c r="AD5567" s="508">
        <v>4.0000000000000001E-3</v>
      </c>
      <c r="AE5567" s="508">
        <v>3.0000000000000001E-3</v>
      </c>
      <c r="AF5567" s="508">
        <v>3.0000000000000001E-3</v>
      </c>
      <c r="AG5567" s="508">
        <v>3.0000000000000001E-3</v>
      </c>
      <c r="AH5567" s="508">
        <v>3.0000000000000001E-3</v>
      </c>
      <c r="AI5567" s="492">
        <v>3.0000000000000001E-3</v>
      </c>
      <c r="AJ5567" s="485"/>
    </row>
    <row r="5568" spans="2:36">
      <c r="B5568" s="136" t="s">
        <v>473</v>
      </c>
      <c r="C5568" s="132" t="s">
        <v>1366</v>
      </c>
      <c r="D5568" s="132" t="s">
        <v>285</v>
      </c>
      <c r="E5568" s="508">
        <v>7.1999999999999995E-2</v>
      </c>
      <c r="F5568" s="508">
        <v>8.2000000000000003E-2</v>
      </c>
      <c r="G5568" s="508">
        <v>8.2000000000000003E-2</v>
      </c>
      <c r="H5568" s="508">
        <v>5.7000000000000002E-2</v>
      </c>
      <c r="I5568" s="508">
        <v>5.7000000000000002E-2</v>
      </c>
      <c r="J5568" s="508">
        <v>5.6000000000000001E-2</v>
      </c>
      <c r="K5568" s="508">
        <v>4.1000000000000002E-2</v>
      </c>
      <c r="L5568" s="508">
        <v>4.1000000000000002E-2</v>
      </c>
      <c r="M5568" s="508">
        <v>0.04</v>
      </c>
      <c r="N5568" s="508">
        <v>3.5000000000000003E-2</v>
      </c>
      <c r="O5568" s="508">
        <v>0.03</v>
      </c>
      <c r="P5568" s="508">
        <v>1.7999999999999999E-2</v>
      </c>
      <c r="Q5568" s="508">
        <v>1.6E-2</v>
      </c>
      <c r="R5568" s="508">
        <v>1.4999999999999999E-2</v>
      </c>
      <c r="S5568" s="508">
        <v>1.2999999999999999E-2</v>
      </c>
      <c r="T5568" s="508">
        <v>1.2999999999999999E-2</v>
      </c>
      <c r="U5568" s="508">
        <v>7.0000000000000001E-3</v>
      </c>
      <c r="V5568" s="508">
        <v>6.0000000000000001E-3</v>
      </c>
      <c r="W5568" s="508">
        <v>6.0000000000000001E-3</v>
      </c>
      <c r="X5568" s="508">
        <v>6.0000000000000001E-3</v>
      </c>
      <c r="Y5568" s="508">
        <v>6.0000000000000001E-3</v>
      </c>
      <c r="Z5568" s="508">
        <v>4.0000000000000001E-3</v>
      </c>
      <c r="AA5568" s="508">
        <v>5.0000000000000001E-3</v>
      </c>
      <c r="AB5568" s="508">
        <v>4.0000000000000001E-3</v>
      </c>
      <c r="AC5568" s="508">
        <v>4.0000000000000001E-3</v>
      </c>
      <c r="AD5568" s="508">
        <v>4.0000000000000001E-3</v>
      </c>
      <c r="AE5568" s="508">
        <v>4.0000000000000001E-3</v>
      </c>
      <c r="AF5568" s="508">
        <v>3.0000000000000001E-3</v>
      </c>
      <c r="AG5568" s="508">
        <v>3.0000000000000001E-3</v>
      </c>
      <c r="AH5568" s="508">
        <v>3.0000000000000001E-3</v>
      </c>
      <c r="AI5568" s="492">
        <v>3.0000000000000001E-3</v>
      </c>
      <c r="AJ5568" s="485"/>
    </row>
    <row r="5569" spans="2:36">
      <c r="B5569" s="136" t="s">
        <v>474</v>
      </c>
      <c r="C5569" s="132" t="s">
        <v>1366</v>
      </c>
      <c r="D5569" s="132" t="s">
        <v>285</v>
      </c>
      <c r="E5569" s="508">
        <v>7.0999999999999994E-2</v>
      </c>
      <c r="F5569" s="508">
        <v>8.4000000000000005E-2</v>
      </c>
      <c r="G5569" s="508">
        <v>8.4000000000000005E-2</v>
      </c>
      <c r="H5569" s="508">
        <v>5.8000000000000003E-2</v>
      </c>
      <c r="I5569" s="508">
        <v>5.7000000000000002E-2</v>
      </c>
      <c r="J5569" s="508">
        <v>5.7000000000000002E-2</v>
      </c>
      <c r="K5569" s="508">
        <v>4.1000000000000002E-2</v>
      </c>
      <c r="L5569" s="508">
        <v>4.1000000000000002E-2</v>
      </c>
      <c r="M5569" s="508">
        <v>0.04</v>
      </c>
      <c r="N5569" s="508">
        <v>3.5999999999999997E-2</v>
      </c>
      <c r="O5569" s="508">
        <v>0.03</v>
      </c>
      <c r="P5569" s="508">
        <v>1.7999999999999999E-2</v>
      </c>
      <c r="Q5569" s="508">
        <v>1.6E-2</v>
      </c>
      <c r="R5569" s="508">
        <v>1.4999999999999999E-2</v>
      </c>
      <c r="S5569" s="508">
        <v>1.2999999999999999E-2</v>
      </c>
      <c r="T5569" s="508">
        <v>1.2999999999999999E-2</v>
      </c>
      <c r="U5569" s="508">
        <v>6.0000000000000001E-3</v>
      </c>
      <c r="V5569" s="508">
        <v>5.0000000000000001E-3</v>
      </c>
      <c r="W5569" s="508">
        <v>5.0000000000000001E-3</v>
      </c>
      <c r="X5569" s="508">
        <v>6.0000000000000001E-3</v>
      </c>
      <c r="Y5569" s="508">
        <v>6.0000000000000001E-3</v>
      </c>
      <c r="Z5569" s="508">
        <v>4.0000000000000001E-3</v>
      </c>
      <c r="AA5569" s="508">
        <v>5.0000000000000001E-3</v>
      </c>
      <c r="AB5569" s="508">
        <v>4.0000000000000001E-3</v>
      </c>
      <c r="AC5569" s="508">
        <v>4.0000000000000001E-3</v>
      </c>
      <c r="AD5569" s="508">
        <v>4.0000000000000001E-3</v>
      </c>
      <c r="AE5569" s="508">
        <v>4.0000000000000001E-3</v>
      </c>
      <c r="AF5569" s="508">
        <v>3.0000000000000001E-3</v>
      </c>
      <c r="AG5569" s="508">
        <v>3.0000000000000001E-3</v>
      </c>
      <c r="AH5569" s="508">
        <v>3.0000000000000001E-3</v>
      </c>
      <c r="AI5569" s="492">
        <v>3.0000000000000001E-3</v>
      </c>
      <c r="AJ5569" s="485"/>
    </row>
    <row r="5570" spans="2:36">
      <c r="B5570" s="136" t="s">
        <v>475</v>
      </c>
      <c r="C5570" s="132" t="s">
        <v>1366</v>
      </c>
      <c r="D5570" s="132" t="s">
        <v>285</v>
      </c>
      <c r="E5570" s="508">
        <v>7.0999999999999994E-2</v>
      </c>
      <c r="F5570" s="508">
        <v>8.5000000000000006E-2</v>
      </c>
      <c r="G5570" s="508">
        <v>8.5000000000000006E-2</v>
      </c>
      <c r="H5570" s="508">
        <v>5.8000000000000003E-2</v>
      </c>
      <c r="I5570" s="508">
        <v>5.7000000000000002E-2</v>
      </c>
      <c r="J5570" s="508">
        <v>5.8000000000000003E-2</v>
      </c>
      <c r="K5570" s="508">
        <v>4.1000000000000002E-2</v>
      </c>
      <c r="L5570" s="508">
        <v>4.1000000000000002E-2</v>
      </c>
      <c r="M5570" s="508">
        <v>0.04</v>
      </c>
      <c r="N5570" s="508">
        <v>3.5999999999999997E-2</v>
      </c>
      <c r="O5570" s="508">
        <v>0.03</v>
      </c>
      <c r="P5570" s="508">
        <v>1.7999999999999999E-2</v>
      </c>
      <c r="Q5570" s="508">
        <v>1.6E-2</v>
      </c>
      <c r="R5570" s="508">
        <v>1.4999999999999999E-2</v>
      </c>
      <c r="S5570" s="508">
        <v>1.2999999999999999E-2</v>
      </c>
      <c r="T5570" s="508">
        <v>1.2999999999999999E-2</v>
      </c>
      <c r="U5570" s="508">
        <v>6.0000000000000001E-3</v>
      </c>
      <c r="V5570" s="508">
        <v>5.0000000000000001E-3</v>
      </c>
      <c r="W5570" s="508">
        <v>5.0000000000000001E-3</v>
      </c>
      <c r="X5570" s="508">
        <v>6.0000000000000001E-3</v>
      </c>
      <c r="Y5570" s="508">
        <v>6.0000000000000001E-3</v>
      </c>
      <c r="Z5570" s="508">
        <v>4.0000000000000001E-3</v>
      </c>
      <c r="AA5570" s="508">
        <v>5.0000000000000001E-3</v>
      </c>
      <c r="AB5570" s="508">
        <v>4.0000000000000001E-3</v>
      </c>
      <c r="AC5570" s="508">
        <v>4.0000000000000001E-3</v>
      </c>
      <c r="AD5570" s="508">
        <v>4.0000000000000001E-3</v>
      </c>
      <c r="AE5570" s="508">
        <v>4.0000000000000001E-3</v>
      </c>
      <c r="AF5570" s="508">
        <v>3.0000000000000001E-3</v>
      </c>
      <c r="AG5570" s="508">
        <v>3.0000000000000001E-3</v>
      </c>
      <c r="AH5570" s="508">
        <v>3.0000000000000001E-3</v>
      </c>
      <c r="AI5570" s="492">
        <v>3.0000000000000001E-3</v>
      </c>
      <c r="AJ5570" s="485"/>
    </row>
    <row r="5571" spans="2:36">
      <c r="B5571" s="136" t="s">
        <v>476</v>
      </c>
      <c r="C5571" s="132" t="s">
        <v>1366</v>
      </c>
      <c r="D5571" s="132" t="s">
        <v>285</v>
      </c>
      <c r="E5571" s="508">
        <v>7.0999999999999994E-2</v>
      </c>
      <c r="F5571" s="508">
        <v>8.4000000000000005E-2</v>
      </c>
      <c r="G5571" s="508">
        <v>8.4000000000000005E-2</v>
      </c>
      <c r="H5571" s="508">
        <v>5.8000000000000003E-2</v>
      </c>
      <c r="I5571" s="508">
        <v>5.7000000000000002E-2</v>
      </c>
      <c r="J5571" s="508">
        <v>5.8000000000000003E-2</v>
      </c>
      <c r="K5571" s="508">
        <v>4.1000000000000002E-2</v>
      </c>
      <c r="L5571" s="508">
        <v>4.1000000000000002E-2</v>
      </c>
      <c r="M5571" s="508">
        <v>4.1000000000000002E-2</v>
      </c>
      <c r="N5571" s="508">
        <v>3.5999999999999997E-2</v>
      </c>
      <c r="O5571" s="508">
        <v>0.03</v>
      </c>
      <c r="P5571" s="508">
        <v>1.7999999999999999E-2</v>
      </c>
      <c r="Q5571" s="508">
        <v>1.7000000000000001E-2</v>
      </c>
      <c r="R5571" s="508">
        <v>1.4999999999999999E-2</v>
      </c>
      <c r="S5571" s="508">
        <v>1.2999999999999999E-2</v>
      </c>
      <c r="T5571" s="508">
        <v>1.2999999999999999E-2</v>
      </c>
      <c r="U5571" s="508">
        <v>7.0000000000000001E-3</v>
      </c>
      <c r="V5571" s="508">
        <v>6.0000000000000001E-3</v>
      </c>
      <c r="W5571" s="508">
        <v>6.0000000000000001E-3</v>
      </c>
      <c r="X5571" s="508">
        <v>6.0000000000000001E-3</v>
      </c>
      <c r="Y5571" s="508">
        <v>6.0000000000000001E-3</v>
      </c>
      <c r="Z5571" s="508">
        <v>4.0000000000000001E-3</v>
      </c>
      <c r="AA5571" s="508">
        <v>5.0000000000000001E-3</v>
      </c>
      <c r="AB5571" s="508">
        <v>4.0000000000000001E-3</v>
      </c>
      <c r="AC5571" s="508">
        <v>4.0000000000000001E-3</v>
      </c>
      <c r="AD5571" s="508">
        <v>4.0000000000000001E-3</v>
      </c>
      <c r="AE5571" s="508">
        <v>4.0000000000000001E-3</v>
      </c>
      <c r="AF5571" s="508">
        <v>3.0000000000000001E-3</v>
      </c>
      <c r="AG5571" s="508">
        <v>3.0000000000000001E-3</v>
      </c>
      <c r="AH5571" s="508">
        <v>3.0000000000000001E-3</v>
      </c>
      <c r="AI5571" s="492">
        <v>3.0000000000000001E-3</v>
      </c>
      <c r="AJ5571" s="485"/>
    </row>
    <row r="5572" spans="2:36">
      <c r="B5572" s="136" t="s">
        <v>478</v>
      </c>
      <c r="C5572" s="132" t="s">
        <v>1366</v>
      </c>
      <c r="D5572" s="132" t="s">
        <v>285</v>
      </c>
      <c r="E5572" s="508">
        <v>7.0999999999999994E-2</v>
      </c>
      <c r="F5572" s="508">
        <v>8.5000000000000006E-2</v>
      </c>
      <c r="G5572" s="508">
        <v>8.4000000000000005E-2</v>
      </c>
      <c r="H5572" s="508">
        <v>5.8000000000000003E-2</v>
      </c>
      <c r="I5572" s="508">
        <v>5.8000000000000003E-2</v>
      </c>
      <c r="J5572" s="508">
        <v>0.06</v>
      </c>
      <c r="K5572" s="508">
        <v>4.2000000000000003E-2</v>
      </c>
      <c r="L5572" s="508">
        <v>4.2000000000000003E-2</v>
      </c>
      <c r="M5572" s="508">
        <v>4.1000000000000002E-2</v>
      </c>
      <c r="N5572" s="508">
        <v>3.5999999999999997E-2</v>
      </c>
      <c r="O5572" s="508">
        <v>3.1E-2</v>
      </c>
      <c r="P5572" s="508">
        <v>1.7999999999999999E-2</v>
      </c>
      <c r="Q5572" s="508">
        <v>1.7999999999999999E-2</v>
      </c>
      <c r="R5572" s="508">
        <v>1.6E-2</v>
      </c>
      <c r="S5572" s="508">
        <v>1.4E-2</v>
      </c>
      <c r="T5572" s="508">
        <v>1.4E-2</v>
      </c>
      <c r="U5572" s="508">
        <v>7.0000000000000001E-3</v>
      </c>
      <c r="V5572" s="508">
        <v>6.0000000000000001E-3</v>
      </c>
      <c r="W5572" s="508">
        <v>6.0000000000000001E-3</v>
      </c>
      <c r="X5572" s="508">
        <v>6.0000000000000001E-3</v>
      </c>
      <c r="Y5572" s="508">
        <v>6.0000000000000001E-3</v>
      </c>
      <c r="Z5572" s="508">
        <v>4.0000000000000001E-3</v>
      </c>
      <c r="AA5572" s="508">
        <v>5.0000000000000001E-3</v>
      </c>
      <c r="AB5572" s="508">
        <v>4.0000000000000001E-3</v>
      </c>
      <c r="AC5572" s="508">
        <v>4.0000000000000001E-3</v>
      </c>
      <c r="AD5572" s="508">
        <v>4.0000000000000001E-3</v>
      </c>
      <c r="AE5572" s="508">
        <v>4.0000000000000001E-3</v>
      </c>
      <c r="AF5572" s="508">
        <v>3.0000000000000001E-3</v>
      </c>
      <c r="AG5572" s="508">
        <v>3.0000000000000001E-3</v>
      </c>
      <c r="AH5572" s="508">
        <v>3.0000000000000001E-3</v>
      </c>
      <c r="AI5572" s="492">
        <v>3.0000000000000001E-3</v>
      </c>
      <c r="AJ5572" s="485"/>
    </row>
    <row r="5573" spans="2:36">
      <c r="B5573" s="136" t="s">
        <v>479</v>
      </c>
      <c r="C5573" s="132" t="s">
        <v>1366</v>
      </c>
      <c r="D5573" s="132" t="s">
        <v>285</v>
      </c>
      <c r="E5573" s="508">
        <v>7.0999999999999994E-2</v>
      </c>
      <c r="F5573" s="508">
        <v>8.5000000000000006E-2</v>
      </c>
      <c r="G5573" s="508">
        <v>8.5000000000000006E-2</v>
      </c>
      <c r="H5573" s="508">
        <v>5.8000000000000003E-2</v>
      </c>
      <c r="I5573" s="508">
        <v>5.7000000000000002E-2</v>
      </c>
      <c r="J5573" s="508">
        <v>5.8000000000000003E-2</v>
      </c>
      <c r="K5573" s="508">
        <v>4.1000000000000002E-2</v>
      </c>
      <c r="L5573" s="508">
        <v>4.1000000000000002E-2</v>
      </c>
      <c r="M5573" s="508">
        <v>0.04</v>
      </c>
      <c r="N5573" s="508">
        <v>3.5999999999999997E-2</v>
      </c>
      <c r="O5573" s="508">
        <v>0.03</v>
      </c>
      <c r="P5573" s="508">
        <v>1.7999999999999999E-2</v>
      </c>
      <c r="Q5573" s="508">
        <v>1.6E-2</v>
      </c>
      <c r="R5573" s="508">
        <v>1.4999999999999999E-2</v>
      </c>
      <c r="S5573" s="508">
        <v>1.2999999999999999E-2</v>
      </c>
      <c r="T5573" s="508">
        <v>1.2999999999999999E-2</v>
      </c>
      <c r="U5573" s="508">
        <v>7.0000000000000001E-3</v>
      </c>
      <c r="V5573" s="508">
        <v>5.0000000000000001E-3</v>
      </c>
      <c r="W5573" s="508">
        <v>5.0000000000000001E-3</v>
      </c>
      <c r="X5573" s="508">
        <v>6.0000000000000001E-3</v>
      </c>
      <c r="Y5573" s="508">
        <v>6.0000000000000001E-3</v>
      </c>
      <c r="Z5573" s="508">
        <v>4.0000000000000001E-3</v>
      </c>
      <c r="AA5573" s="508">
        <v>5.0000000000000001E-3</v>
      </c>
      <c r="AB5573" s="508">
        <v>4.0000000000000001E-3</v>
      </c>
      <c r="AC5573" s="508">
        <v>4.0000000000000001E-3</v>
      </c>
      <c r="AD5573" s="508">
        <v>4.0000000000000001E-3</v>
      </c>
      <c r="AE5573" s="508">
        <v>4.0000000000000001E-3</v>
      </c>
      <c r="AF5573" s="508">
        <v>3.0000000000000001E-3</v>
      </c>
      <c r="AG5573" s="508">
        <v>3.0000000000000001E-3</v>
      </c>
      <c r="AH5573" s="508">
        <v>3.0000000000000001E-3</v>
      </c>
      <c r="AI5573" s="492">
        <v>3.0000000000000001E-3</v>
      </c>
      <c r="AJ5573" s="485"/>
    </row>
    <row r="5574" spans="2:36">
      <c r="B5574" s="136" t="s">
        <v>480</v>
      </c>
      <c r="C5574" s="132" t="s">
        <v>1366</v>
      </c>
      <c r="D5574" s="132" t="s">
        <v>285</v>
      </c>
      <c r="E5574" s="508">
        <v>7.0999999999999994E-2</v>
      </c>
      <c r="F5574" s="508">
        <v>0.09</v>
      </c>
      <c r="G5574" s="508">
        <v>8.8999999999999996E-2</v>
      </c>
      <c r="H5574" s="508">
        <v>5.8000000000000003E-2</v>
      </c>
      <c r="I5574" s="508">
        <v>5.8000000000000003E-2</v>
      </c>
      <c r="J5574" s="508">
        <v>0.06</v>
      </c>
      <c r="K5574" s="508">
        <v>4.2000000000000003E-2</v>
      </c>
      <c r="L5574" s="508">
        <v>4.1000000000000002E-2</v>
      </c>
      <c r="M5574" s="508">
        <v>4.1000000000000002E-2</v>
      </c>
      <c r="N5574" s="508">
        <v>3.5999999999999997E-2</v>
      </c>
      <c r="O5574" s="508">
        <v>0.03</v>
      </c>
      <c r="P5574" s="508">
        <v>1.7999999999999999E-2</v>
      </c>
      <c r="Q5574" s="508">
        <v>1.6E-2</v>
      </c>
      <c r="R5574" s="508">
        <v>1.4999999999999999E-2</v>
      </c>
      <c r="S5574" s="508">
        <v>1.2999999999999999E-2</v>
      </c>
      <c r="T5574" s="508">
        <v>1.2999999999999999E-2</v>
      </c>
      <c r="U5574" s="508">
        <v>6.0000000000000001E-3</v>
      </c>
      <c r="V5574" s="508">
        <v>5.0000000000000001E-3</v>
      </c>
      <c r="W5574" s="508">
        <v>5.0000000000000001E-3</v>
      </c>
      <c r="X5574" s="508">
        <v>6.0000000000000001E-3</v>
      </c>
      <c r="Y5574" s="508">
        <v>6.0000000000000001E-3</v>
      </c>
      <c r="Z5574" s="508">
        <v>4.0000000000000001E-3</v>
      </c>
      <c r="AA5574" s="508">
        <v>5.0000000000000001E-3</v>
      </c>
      <c r="AB5574" s="508">
        <v>4.0000000000000001E-3</v>
      </c>
      <c r="AC5574" s="508">
        <v>4.0000000000000001E-3</v>
      </c>
      <c r="AD5574" s="508">
        <v>4.0000000000000001E-3</v>
      </c>
      <c r="AE5574" s="508">
        <v>4.0000000000000001E-3</v>
      </c>
      <c r="AF5574" s="508">
        <v>3.0000000000000001E-3</v>
      </c>
      <c r="AG5574" s="508">
        <v>3.0000000000000001E-3</v>
      </c>
      <c r="AH5574" s="508">
        <v>3.0000000000000001E-3</v>
      </c>
      <c r="AI5574" s="492">
        <v>3.0000000000000001E-3</v>
      </c>
      <c r="AJ5574" s="485"/>
    </row>
    <row r="5575" spans="2:36">
      <c r="B5575" s="136" t="s">
        <v>481</v>
      </c>
      <c r="C5575" s="132" t="s">
        <v>1366</v>
      </c>
      <c r="D5575" s="132" t="s">
        <v>285</v>
      </c>
      <c r="E5575" s="508">
        <v>7.0999999999999994E-2</v>
      </c>
      <c r="F5575" s="508">
        <v>8.5000000000000006E-2</v>
      </c>
      <c r="G5575" s="508">
        <v>8.5000000000000006E-2</v>
      </c>
      <c r="H5575" s="508">
        <v>5.8000000000000003E-2</v>
      </c>
      <c r="I5575" s="508">
        <v>5.8000000000000003E-2</v>
      </c>
      <c r="J5575" s="508">
        <v>5.8000000000000003E-2</v>
      </c>
      <c r="K5575" s="508">
        <v>4.1000000000000002E-2</v>
      </c>
      <c r="L5575" s="508">
        <v>4.1000000000000002E-2</v>
      </c>
      <c r="M5575" s="508">
        <v>4.1000000000000002E-2</v>
      </c>
      <c r="N5575" s="508">
        <v>3.5999999999999997E-2</v>
      </c>
      <c r="O5575" s="508">
        <v>0.03</v>
      </c>
      <c r="P5575" s="508">
        <v>1.7999999999999999E-2</v>
      </c>
      <c r="Q5575" s="508">
        <v>1.7000000000000001E-2</v>
      </c>
      <c r="R5575" s="508">
        <v>1.4999999999999999E-2</v>
      </c>
      <c r="S5575" s="508">
        <v>1.2999999999999999E-2</v>
      </c>
      <c r="T5575" s="508">
        <v>1.2999999999999999E-2</v>
      </c>
      <c r="U5575" s="508">
        <v>7.0000000000000001E-3</v>
      </c>
      <c r="V5575" s="508">
        <v>6.0000000000000001E-3</v>
      </c>
      <c r="W5575" s="508">
        <v>5.0000000000000001E-3</v>
      </c>
      <c r="X5575" s="508">
        <v>6.0000000000000001E-3</v>
      </c>
      <c r="Y5575" s="508">
        <v>6.0000000000000001E-3</v>
      </c>
      <c r="Z5575" s="508">
        <v>4.0000000000000001E-3</v>
      </c>
      <c r="AA5575" s="508">
        <v>5.0000000000000001E-3</v>
      </c>
      <c r="AB5575" s="508">
        <v>4.0000000000000001E-3</v>
      </c>
      <c r="AC5575" s="508">
        <v>4.0000000000000001E-3</v>
      </c>
      <c r="AD5575" s="508">
        <v>4.0000000000000001E-3</v>
      </c>
      <c r="AE5575" s="508">
        <v>4.0000000000000001E-3</v>
      </c>
      <c r="AF5575" s="508">
        <v>3.0000000000000001E-3</v>
      </c>
      <c r="AG5575" s="508">
        <v>3.0000000000000001E-3</v>
      </c>
      <c r="AH5575" s="508">
        <v>3.0000000000000001E-3</v>
      </c>
      <c r="AI5575" s="492">
        <v>3.0000000000000001E-3</v>
      </c>
      <c r="AJ5575" s="485"/>
    </row>
    <row r="5576" spans="2:36">
      <c r="B5576" s="136" t="s">
        <v>482</v>
      </c>
      <c r="C5576" s="132" t="s">
        <v>1366</v>
      </c>
      <c r="D5576" s="132" t="s">
        <v>285</v>
      </c>
      <c r="E5576" s="508">
        <v>7.0999999999999994E-2</v>
      </c>
      <c r="F5576" s="508">
        <v>8.5999999999999993E-2</v>
      </c>
      <c r="G5576" s="508">
        <v>8.5999999999999993E-2</v>
      </c>
      <c r="H5576" s="508">
        <v>5.8000000000000003E-2</v>
      </c>
      <c r="I5576" s="508">
        <v>5.8000000000000003E-2</v>
      </c>
      <c r="J5576" s="508">
        <v>0.06</v>
      </c>
      <c r="K5576" s="508">
        <v>4.2000000000000003E-2</v>
      </c>
      <c r="L5576" s="508">
        <v>4.2000000000000003E-2</v>
      </c>
      <c r="M5576" s="508">
        <v>4.1000000000000002E-2</v>
      </c>
      <c r="N5576" s="508">
        <v>3.5999999999999997E-2</v>
      </c>
      <c r="O5576" s="508">
        <v>0.03</v>
      </c>
      <c r="P5576" s="508">
        <v>1.7999999999999999E-2</v>
      </c>
      <c r="Q5576" s="508">
        <v>1.7000000000000001E-2</v>
      </c>
      <c r="R5576" s="508">
        <v>1.6E-2</v>
      </c>
      <c r="S5576" s="508">
        <v>1.2999999999999999E-2</v>
      </c>
      <c r="T5576" s="508">
        <v>1.4E-2</v>
      </c>
      <c r="U5576" s="508">
        <v>7.0000000000000001E-3</v>
      </c>
      <c r="V5576" s="508">
        <v>6.0000000000000001E-3</v>
      </c>
      <c r="W5576" s="508">
        <v>5.0000000000000001E-3</v>
      </c>
      <c r="X5576" s="508">
        <v>6.0000000000000001E-3</v>
      </c>
      <c r="Y5576" s="508">
        <v>6.0000000000000001E-3</v>
      </c>
      <c r="Z5576" s="508">
        <v>4.0000000000000001E-3</v>
      </c>
      <c r="AA5576" s="508">
        <v>5.0000000000000001E-3</v>
      </c>
      <c r="AB5576" s="508">
        <v>4.0000000000000001E-3</v>
      </c>
      <c r="AC5576" s="508">
        <v>4.0000000000000001E-3</v>
      </c>
      <c r="AD5576" s="508">
        <v>4.0000000000000001E-3</v>
      </c>
      <c r="AE5576" s="508">
        <v>4.0000000000000001E-3</v>
      </c>
      <c r="AF5576" s="508">
        <v>3.0000000000000001E-3</v>
      </c>
      <c r="AG5576" s="508">
        <v>3.0000000000000001E-3</v>
      </c>
      <c r="AH5576" s="508">
        <v>3.0000000000000001E-3</v>
      </c>
      <c r="AI5576" s="492">
        <v>3.0000000000000001E-3</v>
      </c>
      <c r="AJ5576" s="485"/>
    </row>
    <row r="5577" spans="2:36">
      <c r="B5577" s="136" t="s">
        <v>483</v>
      </c>
      <c r="C5577" s="132" t="s">
        <v>1366</v>
      </c>
      <c r="D5577" s="132" t="s">
        <v>285</v>
      </c>
      <c r="E5577" s="508">
        <v>7.0999999999999994E-2</v>
      </c>
      <c r="F5577" s="508">
        <v>8.4000000000000005E-2</v>
      </c>
      <c r="G5577" s="508">
        <v>8.4000000000000005E-2</v>
      </c>
      <c r="H5577" s="508">
        <v>5.8000000000000003E-2</v>
      </c>
      <c r="I5577" s="508">
        <v>5.8000000000000003E-2</v>
      </c>
      <c r="J5577" s="508">
        <v>5.8999999999999997E-2</v>
      </c>
      <c r="K5577" s="508">
        <v>4.2000000000000003E-2</v>
      </c>
      <c r="L5577" s="508">
        <v>4.1000000000000002E-2</v>
      </c>
      <c r="M5577" s="508">
        <v>4.1000000000000002E-2</v>
      </c>
      <c r="N5577" s="508">
        <v>3.5999999999999997E-2</v>
      </c>
      <c r="O5577" s="508">
        <v>0.03</v>
      </c>
      <c r="P5577" s="508">
        <v>1.7999999999999999E-2</v>
      </c>
      <c r="Q5577" s="508">
        <v>1.7000000000000001E-2</v>
      </c>
      <c r="R5577" s="508">
        <v>1.6E-2</v>
      </c>
      <c r="S5577" s="508">
        <v>1.2999999999999999E-2</v>
      </c>
      <c r="T5577" s="508">
        <v>1.4E-2</v>
      </c>
      <c r="U5577" s="508">
        <v>7.0000000000000001E-3</v>
      </c>
      <c r="V5577" s="508">
        <v>6.0000000000000001E-3</v>
      </c>
      <c r="W5577" s="508">
        <v>6.0000000000000001E-3</v>
      </c>
      <c r="X5577" s="508">
        <v>6.0000000000000001E-3</v>
      </c>
      <c r="Y5577" s="508">
        <v>6.0000000000000001E-3</v>
      </c>
      <c r="Z5577" s="508">
        <v>4.0000000000000001E-3</v>
      </c>
      <c r="AA5577" s="508">
        <v>5.0000000000000001E-3</v>
      </c>
      <c r="AB5577" s="508">
        <v>4.0000000000000001E-3</v>
      </c>
      <c r="AC5577" s="508">
        <v>4.0000000000000001E-3</v>
      </c>
      <c r="AD5577" s="508">
        <v>4.0000000000000001E-3</v>
      </c>
      <c r="AE5577" s="508">
        <v>4.0000000000000001E-3</v>
      </c>
      <c r="AF5577" s="508">
        <v>3.0000000000000001E-3</v>
      </c>
      <c r="AG5577" s="508">
        <v>3.0000000000000001E-3</v>
      </c>
      <c r="AH5577" s="508">
        <v>3.0000000000000001E-3</v>
      </c>
      <c r="AI5577" s="492">
        <v>3.0000000000000001E-3</v>
      </c>
      <c r="AJ5577" s="485"/>
    </row>
    <row r="5578" spans="2:36">
      <c r="B5578" s="136" t="s">
        <v>484</v>
      </c>
      <c r="C5578" s="132" t="s">
        <v>1366</v>
      </c>
      <c r="D5578" s="132" t="s">
        <v>285</v>
      </c>
      <c r="E5578" s="508">
        <v>7.0999999999999994E-2</v>
      </c>
      <c r="F5578" s="508">
        <v>8.7999999999999995E-2</v>
      </c>
      <c r="G5578" s="508">
        <v>8.6999999999999994E-2</v>
      </c>
      <c r="H5578" s="508">
        <v>5.8000000000000003E-2</v>
      </c>
      <c r="I5578" s="508">
        <v>5.8000000000000003E-2</v>
      </c>
      <c r="J5578" s="508">
        <v>5.8000000000000003E-2</v>
      </c>
      <c r="K5578" s="508">
        <v>4.1000000000000002E-2</v>
      </c>
      <c r="L5578" s="508">
        <v>0.04</v>
      </c>
      <c r="M5578" s="508">
        <v>0.04</v>
      </c>
      <c r="N5578" s="508">
        <v>3.5999999999999997E-2</v>
      </c>
      <c r="O5578" s="508">
        <v>0.03</v>
      </c>
      <c r="P5578" s="508">
        <v>1.7999999999999999E-2</v>
      </c>
      <c r="Q5578" s="508">
        <v>1.4999999999999999E-2</v>
      </c>
      <c r="R5578" s="508">
        <v>1.4999999999999999E-2</v>
      </c>
      <c r="S5578" s="508">
        <v>1.2E-2</v>
      </c>
      <c r="T5578" s="508">
        <v>1.2E-2</v>
      </c>
      <c r="U5578" s="508">
        <v>6.0000000000000001E-3</v>
      </c>
      <c r="V5578" s="508">
        <v>5.0000000000000001E-3</v>
      </c>
      <c r="W5578" s="508">
        <v>5.0000000000000001E-3</v>
      </c>
      <c r="X5578" s="508">
        <v>6.0000000000000001E-3</v>
      </c>
      <c r="Y5578" s="508">
        <v>6.0000000000000001E-3</v>
      </c>
      <c r="Z5578" s="508">
        <v>4.0000000000000001E-3</v>
      </c>
      <c r="AA5578" s="508">
        <v>5.0000000000000001E-3</v>
      </c>
      <c r="AB5578" s="508">
        <v>4.0000000000000001E-3</v>
      </c>
      <c r="AC5578" s="508">
        <v>4.0000000000000001E-3</v>
      </c>
      <c r="AD5578" s="508">
        <v>4.0000000000000001E-3</v>
      </c>
      <c r="AE5578" s="508">
        <v>3.0000000000000001E-3</v>
      </c>
      <c r="AF5578" s="508">
        <v>3.0000000000000001E-3</v>
      </c>
      <c r="AG5578" s="508">
        <v>3.0000000000000001E-3</v>
      </c>
      <c r="AH5578" s="508">
        <v>3.0000000000000001E-3</v>
      </c>
      <c r="AI5578" s="492">
        <v>3.0000000000000001E-3</v>
      </c>
      <c r="AJ5578" s="485"/>
    </row>
    <row r="5579" spans="2:36">
      <c r="B5579" s="136" t="s">
        <v>486</v>
      </c>
      <c r="C5579" s="132" t="s">
        <v>1366</v>
      </c>
      <c r="D5579" s="132" t="s">
        <v>285</v>
      </c>
      <c r="E5579" s="508">
        <v>7.0999999999999994E-2</v>
      </c>
      <c r="F5579" s="508">
        <v>8.5000000000000006E-2</v>
      </c>
      <c r="G5579" s="508">
        <v>8.5000000000000006E-2</v>
      </c>
      <c r="H5579" s="508">
        <v>5.8000000000000003E-2</v>
      </c>
      <c r="I5579" s="508">
        <v>5.8000000000000003E-2</v>
      </c>
      <c r="J5579" s="508">
        <v>5.8999999999999997E-2</v>
      </c>
      <c r="K5579" s="508">
        <v>4.2000000000000003E-2</v>
      </c>
      <c r="L5579" s="508">
        <v>4.1000000000000002E-2</v>
      </c>
      <c r="M5579" s="508">
        <v>4.1000000000000002E-2</v>
      </c>
      <c r="N5579" s="508">
        <v>3.5999999999999997E-2</v>
      </c>
      <c r="O5579" s="508">
        <v>0.03</v>
      </c>
      <c r="P5579" s="508">
        <v>1.7999999999999999E-2</v>
      </c>
      <c r="Q5579" s="508">
        <v>1.7000000000000001E-2</v>
      </c>
      <c r="R5579" s="508">
        <v>1.6E-2</v>
      </c>
      <c r="S5579" s="508">
        <v>1.2999999999999999E-2</v>
      </c>
      <c r="T5579" s="508">
        <v>1.2999999999999999E-2</v>
      </c>
      <c r="U5579" s="508">
        <v>7.0000000000000001E-3</v>
      </c>
      <c r="V5579" s="508">
        <v>6.0000000000000001E-3</v>
      </c>
      <c r="W5579" s="508">
        <v>5.0000000000000001E-3</v>
      </c>
      <c r="X5579" s="508">
        <v>6.0000000000000001E-3</v>
      </c>
      <c r="Y5579" s="508">
        <v>6.0000000000000001E-3</v>
      </c>
      <c r="Z5579" s="508">
        <v>4.0000000000000001E-3</v>
      </c>
      <c r="AA5579" s="508">
        <v>5.0000000000000001E-3</v>
      </c>
      <c r="AB5579" s="508">
        <v>4.0000000000000001E-3</v>
      </c>
      <c r="AC5579" s="508">
        <v>4.0000000000000001E-3</v>
      </c>
      <c r="AD5579" s="508">
        <v>4.0000000000000001E-3</v>
      </c>
      <c r="AE5579" s="508">
        <v>4.0000000000000001E-3</v>
      </c>
      <c r="AF5579" s="508">
        <v>3.0000000000000001E-3</v>
      </c>
      <c r="AG5579" s="508">
        <v>3.0000000000000001E-3</v>
      </c>
      <c r="AH5579" s="508">
        <v>3.0000000000000001E-3</v>
      </c>
      <c r="AI5579" s="492">
        <v>3.0000000000000001E-3</v>
      </c>
      <c r="AJ5579" s="485"/>
    </row>
    <row r="5580" spans="2:36">
      <c r="B5580" s="136" t="s">
        <v>487</v>
      </c>
      <c r="C5580" s="132" t="s">
        <v>1366</v>
      </c>
      <c r="D5580" s="132" t="s">
        <v>285</v>
      </c>
      <c r="E5580" s="508">
        <v>7.0999999999999994E-2</v>
      </c>
      <c r="F5580" s="508">
        <v>8.6999999999999994E-2</v>
      </c>
      <c r="G5580" s="508">
        <v>8.6999999999999994E-2</v>
      </c>
      <c r="H5580" s="508">
        <v>5.8000000000000003E-2</v>
      </c>
      <c r="I5580" s="508">
        <v>5.8000000000000003E-2</v>
      </c>
      <c r="J5580" s="508">
        <v>0.06</v>
      </c>
      <c r="K5580" s="508">
        <v>4.2000000000000003E-2</v>
      </c>
      <c r="L5580" s="508">
        <v>4.2000000000000003E-2</v>
      </c>
      <c r="M5580" s="508">
        <v>4.1000000000000002E-2</v>
      </c>
      <c r="N5580" s="508">
        <v>3.5999999999999997E-2</v>
      </c>
      <c r="O5580" s="508">
        <v>3.1E-2</v>
      </c>
      <c r="P5580" s="508">
        <v>1.7999999999999999E-2</v>
      </c>
      <c r="Q5580" s="508">
        <v>1.7000000000000001E-2</v>
      </c>
      <c r="R5580" s="508">
        <v>1.6E-2</v>
      </c>
      <c r="S5580" s="508">
        <v>1.2999999999999999E-2</v>
      </c>
      <c r="T5580" s="508">
        <v>1.4E-2</v>
      </c>
      <c r="U5580" s="508">
        <v>7.0000000000000001E-3</v>
      </c>
      <c r="V5580" s="508">
        <v>6.0000000000000001E-3</v>
      </c>
      <c r="W5580" s="508">
        <v>6.0000000000000001E-3</v>
      </c>
      <c r="X5580" s="508">
        <v>6.0000000000000001E-3</v>
      </c>
      <c r="Y5580" s="508">
        <v>6.0000000000000001E-3</v>
      </c>
      <c r="Z5580" s="508">
        <v>4.0000000000000001E-3</v>
      </c>
      <c r="AA5580" s="508">
        <v>5.0000000000000001E-3</v>
      </c>
      <c r="AB5580" s="508">
        <v>4.0000000000000001E-3</v>
      </c>
      <c r="AC5580" s="508">
        <v>4.0000000000000001E-3</v>
      </c>
      <c r="AD5580" s="508">
        <v>4.0000000000000001E-3</v>
      </c>
      <c r="AE5580" s="508">
        <v>4.0000000000000001E-3</v>
      </c>
      <c r="AF5580" s="508">
        <v>3.0000000000000001E-3</v>
      </c>
      <c r="AG5580" s="508">
        <v>3.0000000000000001E-3</v>
      </c>
      <c r="AH5580" s="508">
        <v>3.0000000000000001E-3</v>
      </c>
      <c r="AI5580" s="492">
        <v>3.0000000000000001E-3</v>
      </c>
      <c r="AJ5580" s="485"/>
    </row>
    <row r="5581" spans="2:36">
      <c r="B5581" s="136" t="s">
        <v>488</v>
      </c>
      <c r="C5581" s="132" t="s">
        <v>1366</v>
      </c>
      <c r="D5581" s="132" t="s">
        <v>285</v>
      </c>
      <c r="E5581" s="508">
        <v>7.0999999999999994E-2</v>
      </c>
      <c r="F5581" s="508">
        <v>8.7999999999999995E-2</v>
      </c>
      <c r="G5581" s="508">
        <v>8.7999999999999995E-2</v>
      </c>
      <c r="H5581" s="508">
        <v>5.8000000000000003E-2</v>
      </c>
      <c r="I5581" s="508">
        <v>5.8000000000000003E-2</v>
      </c>
      <c r="J5581" s="508">
        <v>5.8999999999999997E-2</v>
      </c>
      <c r="K5581" s="508">
        <v>4.1000000000000002E-2</v>
      </c>
      <c r="L5581" s="508">
        <v>4.1000000000000002E-2</v>
      </c>
      <c r="M5581" s="508">
        <v>4.1000000000000002E-2</v>
      </c>
      <c r="N5581" s="508">
        <v>3.5999999999999997E-2</v>
      </c>
      <c r="O5581" s="508">
        <v>0.03</v>
      </c>
      <c r="P5581" s="508">
        <v>1.7999999999999999E-2</v>
      </c>
      <c r="Q5581" s="508">
        <v>1.6E-2</v>
      </c>
      <c r="R5581" s="508">
        <v>1.4999999999999999E-2</v>
      </c>
      <c r="S5581" s="508">
        <v>1.2999999999999999E-2</v>
      </c>
      <c r="T5581" s="508">
        <v>1.2999999999999999E-2</v>
      </c>
      <c r="U5581" s="508">
        <v>6.0000000000000001E-3</v>
      </c>
      <c r="V5581" s="508">
        <v>5.0000000000000001E-3</v>
      </c>
      <c r="W5581" s="508">
        <v>5.0000000000000001E-3</v>
      </c>
      <c r="X5581" s="508">
        <v>6.0000000000000001E-3</v>
      </c>
      <c r="Y5581" s="508">
        <v>6.0000000000000001E-3</v>
      </c>
      <c r="Z5581" s="508">
        <v>4.0000000000000001E-3</v>
      </c>
      <c r="AA5581" s="508">
        <v>5.0000000000000001E-3</v>
      </c>
      <c r="AB5581" s="508">
        <v>4.0000000000000001E-3</v>
      </c>
      <c r="AC5581" s="508">
        <v>4.0000000000000001E-3</v>
      </c>
      <c r="AD5581" s="508">
        <v>4.0000000000000001E-3</v>
      </c>
      <c r="AE5581" s="508">
        <v>4.0000000000000001E-3</v>
      </c>
      <c r="AF5581" s="508">
        <v>3.0000000000000001E-3</v>
      </c>
      <c r="AG5581" s="508">
        <v>3.0000000000000001E-3</v>
      </c>
      <c r="AH5581" s="508">
        <v>3.0000000000000001E-3</v>
      </c>
      <c r="AI5581" s="492">
        <v>3.0000000000000001E-3</v>
      </c>
      <c r="AJ5581" s="485"/>
    </row>
    <row r="5582" spans="2:36">
      <c r="B5582" s="136" t="s">
        <v>489</v>
      </c>
      <c r="C5582" s="132" t="s">
        <v>1366</v>
      </c>
      <c r="D5582" s="132" t="s">
        <v>285</v>
      </c>
      <c r="E5582" s="508">
        <v>7.0999999999999994E-2</v>
      </c>
      <c r="F5582" s="508">
        <v>8.5999999999999993E-2</v>
      </c>
      <c r="G5582" s="508">
        <v>8.5000000000000006E-2</v>
      </c>
      <c r="H5582" s="508">
        <v>5.8000000000000003E-2</v>
      </c>
      <c r="I5582" s="508">
        <v>5.7000000000000002E-2</v>
      </c>
      <c r="J5582" s="508">
        <v>5.8000000000000003E-2</v>
      </c>
      <c r="K5582" s="508">
        <v>4.1000000000000002E-2</v>
      </c>
      <c r="L5582" s="508">
        <v>4.1000000000000002E-2</v>
      </c>
      <c r="M5582" s="508">
        <v>0.04</v>
      </c>
      <c r="N5582" s="508">
        <v>3.5999999999999997E-2</v>
      </c>
      <c r="O5582" s="508">
        <v>0.03</v>
      </c>
      <c r="P5582" s="508">
        <v>1.7999999999999999E-2</v>
      </c>
      <c r="Q5582" s="508">
        <v>1.6E-2</v>
      </c>
      <c r="R5582" s="508">
        <v>1.4999999999999999E-2</v>
      </c>
      <c r="S5582" s="508">
        <v>1.2999999999999999E-2</v>
      </c>
      <c r="T5582" s="508">
        <v>1.2999999999999999E-2</v>
      </c>
      <c r="U5582" s="508">
        <v>6.0000000000000001E-3</v>
      </c>
      <c r="V5582" s="508">
        <v>5.0000000000000001E-3</v>
      </c>
      <c r="W5582" s="508">
        <v>5.0000000000000001E-3</v>
      </c>
      <c r="X5582" s="508">
        <v>6.0000000000000001E-3</v>
      </c>
      <c r="Y5582" s="508">
        <v>6.0000000000000001E-3</v>
      </c>
      <c r="Z5582" s="508">
        <v>4.0000000000000001E-3</v>
      </c>
      <c r="AA5582" s="508">
        <v>5.0000000000000001E-3</v>
      </c>
      <c r="AB5582" s="508">
        <v>4.0000000000000001E-3</v>
      </c>
      <c r="AC5582" s="508">
        <v>4.0000000000000001E-3</v>
      </c>
      <c r="AD5582" s="508">
        <v>4.0000000000000001E-3</v>
      </c>
      <c r="AE5582" s="508">
        <v>4.0000000000000001E-3</v>
      </c>
      <c r="AF5582" s="508">
        <v>3.0000000000000001E-3</v>
      </c>
      <c r="AG5582" s="508">
        <v>3.0000000000000001E-3</v>
      </c>
      <c r="AH5582" s="508">
        <v>3.0000000000000001E-3</v>
      </c>
      <c r="AI5582" s="492">
        <v>3.0000000000000001E-3</v>
      </c>
      <c r="AJ5582" s="485"/>
    </row>
    <row r="5583" spans="2:36">
      <c r="B5583" s="136" t="s">
        <v>490</v>
      </c>
      <c r="C5583" s="132" t="s">
        <v>1366</v>
      </c>
      <c r="D5583" s="132" t="s">
        <v>285</v>
      </c>
      <c r="E5583" s="508">
        <v>7.0999999999999994E-2</v>
      </c>
      <c r="F5583" s="508">
        <v>0.09</v>
      </c>
      <c r="G5583" s="508">
        <v>8.8999999999999996E-2</v>
      </c>
      <c r="H5583" s="508">
        <v>5.8999999999999997E-2</v>
      </c>
      <c r="I5583" s="508">
        <v>5.8000000000000003E-2</v>
      </c>
      <c r="J5583" s="508">
        <v>0.06</v>
      </c>
      <c r="K5583" s="508">
        <v>4.2000000000000003E-2</v>
      </c>
      <c r="L5583" s="508">
        <v>4.1000000000000002E-2</v>
      </c>
      <c r="M5583" s="508">
        <v>4.1000000000000002E-2</v>
      </c>
      <c r="N5583" s="508">
        <v>3.5999999999999997E-2</v>
      </c>
      <c r="O5583" s="508">
        <v>0.03</v>
      </c>
      <c r="P5583" s="508">
        <v>1.7999999999999999E-2</v>
      </c>
      <c r="Q5583" s="508">
        <v>1.6E-2</v>
      </c>
      <c r="R5583" s="508">
        <v>1.4999999999999999E-2</v>
      </c>
      <c r="S5583" s="508">
        <v>1.2999999999999999E-2</v>
      </c>
      <c r="T5583" s="508">
        <v>1.2999999999999999E-2</v>
      </c>
      <c r="U5583" s="508">
        <v>7.0000000000000001E-3</v>
      </c>
      <c r="V5583" s="508">
        <v>5.0000000000000001E-3</v>
      </c>
      <c r="W5583" s="508">
        <v>5.0000000000000001E-3</v>
      </c>
      <c r="X5583" s="508">
        <v>6.0000000000000001E-3</v>
      </c>
      <c r="Y5583" s="508">
        <v>6.0000000000000001E-3</v>
      </c>
      <c r="Z5583" s="508">
        <v>4.0000000000000001E-3</v>
      </c>
      <c r="AA5583" s="508">
        <v>5.0000000000000001E-3</v>
      </c>
      <c r="AB5583" s="508">
        <v>4.0000000000000001E-3</v>
      </c>
      <c r="AC5583" s="508">
        <v>4.0000000000000001E-3</v>
      </c>
      <c r="AD5583" s="508">
        <v>4.0000000000000001E-3</v>
      </c>
      <c r="AE5583" s="508">
        <v>4.0000000000000001E-3</v>
      </c>
      <c r="AF5583" s="508">
        <v>3.0000000000000001E-3</v>
      </c>
      <c r="AG5583" s="508">
        <v>3.0000000000000001E-3</v>
      </c>
      <c r="AH5583" s="508">
        <v>3.0000000000000001E-3</v>
      </c>
      <c r="AI5583" s="492">
        <v>3.0000000000000001E-3</v>
      </c>
      <c r="AJ5583" s="485"/>
    </row>
    <row r="5584" spans="2:36">
      <c r="B5584" s="136" t="s">
        <v>435</v>
      </c>
      <c r="C5584" s="132" t="s">
        <v>1367</v>
      </c>
      <c r="D5584" s="132" t="s">
        <v>285</v>
      </c>
      <c r="E5584" s="508">
        <v>3.6999999999999998E-2</v>
      </c>
      <c r="F5584" s="508">
        <v>6.5000000000000002E-2</v>
      </c>
      <c r="G5584" s="508">
        <v>5.1999999999999998E-2</v>
      </c>
      <c r="H5584" s="508">
        <v>4.7E-2</v>
      </c>
      <c r="I5584" s="508">
        <v>4.2999999999999997E-2</v>
      </c>
      <c r="J5584" s="508">
        <v>3.5000000000000003E-2</v>
      </c>
      <c r="K5584" s="508">
        <v>0.02</v>
      </c>
      <c r="L5584" s="508">
        <v>0.02</v>
      </c>
      <c r="M5584" s="508">
        <v>0.02</v>
      </c>
      <c r="N5584" s="508">
        <v>2.5999999999999999E-2</v>
      </c>
      <c r="O5584" s="508">
        <v>1.7999999999999999E-2</v>
      </c>
      <c r="P5584" s="508">
        <v>1.2999999999999999E-2</v>
      </c>
      <c r="Q5584" s="508">
        <v>1.6E-2</v>
      </c>
      <c r="R5584" s="508">
        <v>1.4E-2</v>
      </c>
      <c r="S5584" s="508">
        <v>1.2E-2</v>
      </c>
      <c r="T5584" s="508">
        <v>1.0999999999999999E-2</v>
      </c>
      <c r="U5584" s="508">
        <v>7.0000000000000001E-3</v>
      </c>
      <c r="V5584" s="508">
        <v>7.0000000000000001E-3</v>
      </c>
      <c r="W5584" s="508">
        <v>7.0000000000000001E-3</v>
      </c>
      <c r="X5584" s="508">
        <v>7.0000000000000001E-3</v>
      </c>
      <c r="Y5584" s="508">
        <v>7.0000000000000001E-3</v>
      </c>
      <c r="Z5584" s="508">
        <v>5.0000000000000001E-3</v>
      </c>
      <c r="AA5584" s="508">
        <v>5.0000000000000001E-3</v>
      </c>
      <c r="AB5584" s="508">
        <v>5.0000000000000001E-3</v>
      </c>
      <c r="AC5584" s="508">
        <v>3.0000000000000001E-3</v>
      </c>
      <c r="AD5584" s="508">
        <v>4.0000000000000001E-3</v>
      </c>
      <c r="AE5584" s="508">
        <v>5.0000000000000001E-3</v>
      </c>
      <c r="AF5584" s="508">
        <v>3.0000000000000001E-3</v>
      </c>
      <c r="AG5584" s="508">
        <v>3.0000000000000001E-3</v>
      </c>
      <c r="AH5584" s="508">
        <v>3.0000000000000001E-3</v>
      </c>
      <c r="AI5584" s="492">
        <v>3.0000000000000001E-3</v>
      </c>
      <c r="AJ5584" s="485"/>
    </row>
    <row r="5585" spans="2:36">
      <c r="B5585" s="136" t="s">
        <v>436</v>
      </c>
      <c r="C5585" s="132" t="s">
        <v>1367</v>
      </c>
      <c r="D5585" s="132" t="s">
        <v>285</v>
      </c>
      <c r="E5585" s="508">
        <v>0.114</v>
      </c>
      <c r="F5585" s="508">
        <v>0.2</v>
      </c>
      <c r="G5585" s="508">
        <v>0.16</v>
      </c>
      <c r="H5585" s="508">
        <v>0.14299999999999999</v>
      </c>
      <c r="I5585" s="508">
        <v>0.13</v>
      </c>
      <c r="J5585" s="508">
        <v>0.107</v>
      </c>
      <c r="K5585" s="508">
        <v>6.3E-2</v>
      </c>
      <c r="L5585" s="508">
        <v>6.0999999999999999E-2</v>
      </c>
      <c r="M5585" s="508">
        <v>6.2E-2</v>
      </c>
      <c r="N5585" s="508">
        <v>7.8E-2</v>
      </c>
      <c r="O5585" s="508">
        <v>5.6000000000000001E-2</v>
      </c>
      <c r="P5585" s="508">
        <v>0.04</v>
      </c>
      <c r="Q5585" s="508">
        <v>4.5999999999999999E-2</v>
      </c>
      <c r="R5585" s="508">
        <v>4.2000000000000003E-2</v>
      </c>
      <c r="S5585" s="508">
        <v>3.7999999999999999E-2</v>
      </c>
      <c r="T5585" s="508">
        <v>3.3000000000000002E-2</v>
      </c>
      <c r="U5585" s="508">
        <v>0.02</v>
      </c>
      <c r="V5585" s="508">
        <v>1.7999999999999999E-2</v>
      </c>
      <c r="W5585" s="508">
        <v>1.7999999999999999E-2</v>
      </c>
      <c r="X5585" s="508">
        <v>1.0999999999999999E-2</v>
      </c>
      <c r="Y5585" s="508">
        <v>0.01</v>
      </c>
      <c r="Z5585" s="508">
        <v>8.0000000000000002E-3</v>
      </c>
      <c r="AA5585" s="508">
        <v>7.0000000000000001E-3</v>
      </c>
      <c r="AB5585" s="508">
        <v>7.0000000000000001E-3</v>
      </c>
      <c r="AC5585" s="508">
        <v>5.0000000000000001E-3</v>
      </c>
      <c r="AD5585" s="508">
        <v>5.0000000000000001E-3</v>
      </c>
      <c r="AE5585" s="508">
        <v>6.0000000000000001E-3</v>
      </c>
      <c r="AF5585" s="508">
        <v>4.0000000000000001E-3</v>
      </c>
      <c r="AG5585" s="508">
        <v>4.0000000000000001E-3</v>
      </c>
      <c r="AH5585" s="508">
        <v>4.0000000000000001E-3</v>
      </c>
      <c r="AI5585" s="492">
        <v>4.0000000000000001E-3</v>
      </c>
      <c r="AJ5585" s="485"/>
    </row>
    <row r="5586" spans="2:36">
      <c r="B5586" s="136" t="s">
        <v>437</v>
      </c>
      <c r="C5586" s="132" t="s">
        <v>1367</v>
      </c>
      <c r="D5586" s="132" t="s">
        <v>285</v>
      </c>
      <c r="E5586" s="508">
        <v>3.1E-2</v>
      </c>
      <c r="F5586" s="508">
        <v>5.5E-2</v>
      </c>
      <c r="G5586" s="508">
        <v>4.3999999999999997E-2</v>
      </c>
      <c r="H5586" s="508">
        <v>3.9E-2</v>
      </c>
      <c r="I5586" s="508">
        <v>3.5000000000000003E-2</v>
      </c>
      <c r="J5586" s="508">
        <v>0.03</v>
      </c>
      <c r="K5586" s="508">
        <v>1.7000000000000001E-2</v>
      </c>
      <c r="L5586" s="508">
        <v>1.7000000000000001E-2</v>
      </c>
      <c r="M5586" s="508">
        <v>1.7000000000000001E-2</v>
      </c>
      <c r="N5586" s="508">
        <v>2.1000000000000001E-2</v>
      </c>
      <c r="O5586" s="508">
        <v>1.4999999999999999E-2</v>
      </c>
      <c r="P5586" s="508">
        <v>1.0999999999999999E-2</v>
      </c>
      <c r="Q5586" s="508">
        <v>1.2999999999999999E-2</v>
      </c>
      <c r="R5586" s="508">
        <v>1.2E-2</v>
      </c>
      <c r="S5586" s="508">
        <v>1.0999999999999999E-2</v>
      </c>
      <c r="T5586" s="508">
        <v>0.01</v>
      </c>
      <c r="U5586" s="508">
        <v>6.0000000000000001E-3</v>
      </c>
      <c r="V5586" s="508">
        <v>5.0000000000000001E-3</v>
      </c>
      <c r="W5586" s="508">
        <v>5.0000000000000001E-3</v>
      </c>
      <c r="X5586" s="508">
        <v>6.0000000000000001E-3</v>
      </c>
      <c r="Y5586" s="508">
        <v>5.0000000000000001E-3</v>
      </c>
      <c r="Z5586" s="508">
        <v>4.0000000000000001E-3</v>
      </c>
      <c r="AA5586" s="508">
        <v>4.0000000000000001E-3</v>
      </c>
      <c r="AB5586" s="508">
        <v>4.0000000000000001E-3</v>
      </c>
      <c r="AC5586" s="508">
        <v>3.0000000000000001E-3</v>
      </c>
      <c r="AD5586" s="508">
        <v>3.0000000000000001E-3</v>
      </c>
      <c r="AE5586" s="508">
        <v>4.0000000000000001E-3</v>
      </c>
      <c r="AF5586" s="508">
        <v>2E-3</v>
      </c>
      <c r="AG5586" s="508">
        <v>2E-3</v>
      </c>
      <c r="AH5586" s="508">
        <v>2E-3</v>
      </c>
      <c r="AI5586" s="492">
        <v>2E-3</v>
      </c>
      <c r="AJ5586" s="485"/>
    </row>
    <row r="5587" spans="2:36">
      <c r="B5587" s="136" t="s">
        <v>438</v>
      </c>
      <c r="C5587" s="132" t="s">
        <v>1367</v>
      </c>
      <c r="D5587" s="132" t="s">
        <v>285</v>
      </c>
      <c r="E5587" s="508">
        <v>4.2000000000000003E-2</v>
      </c>
      <c r="F5587" s="508">
        <v>7.3999999999999996E-2</v>
      </c>
      <c r="G5587" s="508">
        <v>5.8999999999999997E-2</v>
      </c>
      <c r="H5587" s="508">
        <v>5.2999999999999999E-2</v>
      </c>
      <c r="I5587" s="508">
        <v>4.8000000000000001E-2</v>
      </c>
      <c r="J5587" s="508">
        <v>4.1000000000000002E-2</v>
      </c>
      <c r="K5587" s="508">
        <v>2.3E-2</v>
      </c>
      <c r="L5587" s="508">
        <v>2.1999999999999999E-2</v>
      </c>
      <c r="M5587" s="508">
        <v>2.1999999999999999E-2</v>
      </c>
      <c r="N5587" s="508">
        <v>0.03</v>
      </c>
      <c r="O5587" s="508">
        <v>2.1000000000000001E-2</v>
      </c>
      <c r="P5587" s="508">
        <v>1.4999999999999999E-2</v>
      </c>
      <c r="Q5587" s="508">
        <v>1.7999999999999999E-2</v>
      </c>
      <c r="R5587" s="508">
        <v>1.6E-2</v>
      </c>
      <c r="S5587" s="508">
        <v>1.4E-2</v>
      </c>
      <c r="T5587" s="508">
        <v>1.2999999999999999E-2</v>
      </c>
      <c r="U5587" s="508">
        <v>8.0000000000000002E-3</v>
      </c>
      <c r="V5587" s="508">
        <v>7.0000000000000001E-3</v>
      </c>
      <c r="W5587" s="508">
        <v>7.0000000000000001E-3</v>
      </c>
      <c r="X5587" s="508">
        <v>7.0000000000000001E-3</v>
      </c>
      <c r="Y5587" s="508">
        <v>6.0000000000000001E-3</v>
      </c>
      <c r="Z5587" s="508">
        <v>5.0000000000000001E-3</v>
      </c>
      <c r="AA5587" s="508">
        <v>5.0000000000000001E-3</v>
      </c>
      <c r="AB5587" s="508">
        <v>4.0000000000000001E-3</v>
      </c>
      <c r="AC5587" s="508">
        <v>3.0000000000000001E-3</v>
      </c>
      <c r="AD5587" s="508">
        <v>4.0000000000000001E-3</v>
      </c>
      <c r="AE5587" s="508">
        <v>5.0000000000000001E-3</v>
      </c>
      <c r="AF5587" s="508">
        <v>3.0000000000000001E-3</v>
      </c>
      <c r="AG5587" s="508">
        <v>3.0000000000000001E-3</v>
      </c>
      <c r="AH5587" s="508">
        <v>3.0000000000000001E-3</v>
      </c>
      <c r="AI5587" s="492">
        <v>3.0000000000000001E-3</v>
      </c>
      <c r="AJ5587" s="485"/>
    </row>
    <row r="5588" spans="2:36">
      <c r="B5588" s="136" t="s">
        <v>439</v>
      </c>
      <c r="C5588" s="132" t="s">
        <v>1367</v>
      </c>
      <c r="D5588" s="132" t="s">
        <v>285</v>
      </c>
      <c r="E5588" s="508">
        <v>3.9E-2</v>
      </c>
      <c r="F5588" s="508">
        <v>7.0999999999999994E-2</v>
      </c>
      <c r="G5588" s="508">
        <v>5.7000000000000002E-2</v>
      </c>
      <c r="H5588" s="508">
        <v>4.9000000000000002E-2</v>
      </c>
      <c r="I5588" s="508">
        <v>4.4999999999999998E-2</v>
      </c>
      <c r="J5588" s="508">
        <v>3.7999999999999999E-2</v>
      </c>
      <c r="K5588" s="508">
        <v>2.1999999999999999E-2</v>
      </c>
      <c r="L5588" s="508">
        <v>2.1000000000000001E-2</v>
      </c>
      <c r="M5588" s="508">
        <v>2.1999999999999999E-2</v>
      </c>
      <c r="N5588" s="508">
        <v>2.5999999999999999E-2</v>
      </c>
      <c r="O5588" s="508">
        <v>0.02</v>
      </c>
      <c r="P5588" s="508">
        <v>1.4999999999999999E-2</v>
      </c>
      <c r="Q5588" s="508">
        <v>1.6E-2</v>
      </c>
      <c r="R5588" s="508">
        <v>1.4999999999999999E-2</v>
      </c>
      <c r="S5588" s="508">
        <v>1.4999999999999999E-2</v>
      </c>
      <c r="T5588" s="508">
        <v>1.2E-2</v>
      </c>
      <c r="U5588" s="508">
        <v>7.0000000000000001E-3</v>
      </c>
      <c r="V5588" s="508">
        <v>6.0000000000000001E-3</v>
      </c>
      <c r="W5588" s="508">
        <v>6.0000000000000001E-3</v>
      </c>
      <c r="X5588" s="508">
        <v>6.0000000000000001E-3</v>
      </c>
      <c r="Y5588" s="508">
        <v>5.0000000000000001E-3</v>
      </c>
      <c r="Z5588" s="508">
        <v>4.0000000000000001E-3</v>
      </c>
      <c r="AA5588" s="508">
        <v>4.0000000000000001E-3</v>
      </c>
      <c r="AB5588" s="508">
        <v>4.0000000000000001E-3</v>
      </c>
      <c r="AC5588" s="508">
        <v>3.0000000000000001E-3</v>
      </c>
      <c r="AD5588" s="508">
        <v>3.0000000000000001E-3</v>
      </c>
      <c r="AE5588" s="508">
        <v>4.0000000000000001E-3</v>
      </c>
      <c r="AF5588" s="508">
        <v>2E-3</v>
      </c>
      <c r="AG5588" s="508">
        <v>2E-3</v>
      </c>
      <c r="AH5588" s="508">
        <v>2E-3</v>
      </c>
      <c r="AI5588" s="492">
        <v>2E-3</v>
      </c>
      <c r="AJ5588" s="485"/>
    </row>
    <row r="5589" spans="2:36">
      <c r="B5589" s="136" t="s">
        <v>440</v>
      </c>
      <c r="C5589" s="132" t="s">
        <v>1367</v>
      </c>
      <c r="D5589" s="132" t="s">
        <v>285</v>
      </c>
      <c r="E5589" s="508">
        <v>6.2E-2</v>
      </c>
      <c r="F5589" s="508">
        <v>0.109</v>
      </c>
      <c r="G5589" s="508">
        <v>8.7999999999999995E-2</v>
      </c>
      <c r="H5589" s="508">
        <v>7.6999999999999999E-2</v>
      </c>
      <c r="I5589" s="508">
        <v>7.0000000000000007E-2</v>
      </c>
      <c r="J5589" s="508">
        <v>5.8999999999999997E-2</v>
      </c>
      <c r="K5589" s="508">
        <v>3.4000000000000002E-2</v>
      </c>
      <c r="L5589" s="508">
        <v>3.3000000000000002E-2</v>
      </c>
      <c r="M5589" s="508">
        <v>3.4000000000000002E-2</v>
      </c>
      <c r="N5589" s="508">
        <v>4.2000000000000003E-2</v>
      </c>
      <c r="O5589" s="508">
        <v>3.1E-2</v>
      </c>
      <c r="P5589" s="508">
        <v>2.1999999999999999E-2</v>
      </c>
      <c r="Q5589" s="508">
        <v>2.5000000000000001E-2</v>
      </c>
      <c r="R5589" s="508">
        <v>2.3E-2</v>
      </c>
      <c r="S5589" s="508">
        <v>2.1999999999999999E-2</v>
      </c>
      <c r="T5589" s="508">
        <v>1.9E-2</v>
      </c>
      <c r="U5589" s="508">
        <v>1.2E-2</v>
      </c>
      <c r="V5589" s="508">
        <v>0.01</v>
      </c>
      <c r="W5589" s="508">
        <v>0.01</v>
      </c>
      <c r="X5589" s="508">
        <v>8.0000000000000002E-3</v>
      </c>
      <c r="Y5589" s="508">
        <v>7.0000000000000001E-3</v>
      </c>
      <c r="Z5589" s="508">
        <v>6.0000000000000001E-3</v>
      </c>
      <c r="AA5589" s="508">
        <v>5.0000000000000001E-3</v>
      </c>
      <c r="AB5589" s="508">
        <v>5.0000000000000001E-3</v>
      </c>
      <c r="AC5589" s="508">
        <v>4.0000000000000001E-3</v>
      </c>
      <c r="AD5589" s="508">
        <v>4.0000000000000001E-3</v>
      </c>
      <c r="AE5589" s="508">
        <v>5.0000000000000001E-3</v>
      </c>
      <c r="AF5589" s="508">
        <v>3.0000000000000001E-3</v>
      </c>
      <c r="AG5589" s="508">
        <v>3.0000000000000001E-3</v>
      </c>
      <c r="AH5589" s="508">
        <v>3.0000000000000001E-3</v>
      </c>
      <c r="AI5589" s="492">
        <v>3.0000000000000001E-3</v>
      </c>
      <c r="AJ5589" s="485"/>
    </row>
    <row r="5590" spans="2:36">
      <c r="B5590" s="136" t="s">
        <v>441</v>
      </c>
      <c r="C5590" s="132" t="s">
        <v>1367</v>
      </c>
      <c r="D5590" s="132" t="s">
        <v>285</v>
      </c>
      <c r="E5590" s="508">
        <v>5.8000000000000003E-2</v>
      </c>
      <c r="F5590" s="508">
        <v>0.105</v>
      </c>
      <c r="G5590" s="508">
        <v>8.4000000000000005E-2</v>
      </c>
      <c r="H5590" s="508">
        <v>7.2999999999999995E-2</v>
      </c>
      <c r="I5590" s="508">
        <v>6.6000000000000003E-2</v>
      </c>
      <c r="J5590" s="508">
        <v>5.6000000000000001E-2</v>
      </c>
      <c r="K5590" s="508">
        <v>3.2000000000000001E-2</v>
      </c>
      <c r="L5590" s="508">
        <v>3.2000000000000001E-2</v>
      </c>
      <c r="M5590" s="508">
        <v>3.2000000000000001E-2</v>
      </c>
      <c r="N5590" s="508">
        <v>3.9E-2</v>
      </c>
      <c r="O5590" s="508">
        <v>2.9000000000000001E-2</v>
      </c>
      <c r="P5590" s="508">
        <v>2.1999999999999999E-2</v>
      </c>
      <c r="Q5590" s="508">
        <v>2.4E-2</v>
      </c>
      <c r="R5590" s="508">
        <v>2.1999999999999999E-2</v>
      </c>
      <c r="S5590" s="508">
        <v>2.1999999999999999E-2</v>
      </c>
      <c r="T5590" s="508">
        <v>1.7999999999999999E-2</v>
      </c>
      <c r="U5590" s="508">
        <v>1.2E-2</v>
      </c>
      <c r="V5590" s="508">
        <v>0.01</v>
      </c>
      <c r="W5590" s="508">
        <v>0.01</v>
      </c>
      <c r="X5590" s="508">
        <v>7.0000000000000001E-3</v>
      </c>
      <c r="Y5590" s="508">
        <v>7.0000000000000001E-3</v>
      </c>
      <c r="Z5590" s="508">
        <v>5.0000000000000001E-3</v>
      </c>
      <c r="AA5590" s="508">
        <v>5.0000000000000001E-3</v>
      </c>
      <c r="AB5590" s="508">
        <v>5.0000000000000001E-3</v>
      </c>
      <c r="AC5590" s="508">
        <v>3.0000000000000001E-3</v>
      </c>
      <c r="AD5590" s="508">
        <v>4.0000000000000001E-3</v>
      </c>
      <c r="AE5590" s="508">
        <v>5.0000000000000001E-3</v>
      </c>
      <c r="AF5590" s="508">
        <v>3.0000000000000001E-3</v>
      </c>
      <c r="AG5590" s="508">
        <v>3.0000000000000001E-3</v>
      </c>
      <c r="AH5590" s="508">
        <v>3.0000000000000001E-3</v>
      </c>
      <c r="AI5590" s="492">
        <v>3.0000000000000001E-3</v>
      </c>
      <c r="AJ5590" s="485"/>
    </row>
    <row r="5591" spans="2:36">
      <c r="B5591" s="136" t="s">
        <v>443</v>
      </c>
      <c r="C5591" s="132" t="s">
        <v>1367</v>
      </c>
      <c r="D5591" s="132" t="s">
        <v>285</v>
      </c>
      <c r="E5591" s="508">
        <v>4.9000000000000002E-2</v>
      </c>
      <c r="F5591" s="508">
        <v>8.4000000000000005E-2</v>
      </c>
      <c r="G5591" s="508">
        <v>6.7000000000000004E-2</v>
      </c>
      <c r="H5591" s="508">
        <v>6.2E-2</v>
      </c>
      <c r="I5591" s="508">
        <v>5.6000000000000001E-2</v>
      </c>
      <c r="J5591" s="508">
        <v>4.4999999999999998E-2</v>
      </c>
      <c r="K5591" s="508">
        <v>2.7E-2</v>
      </c>
      <c r="L5591" s="508">
        <v>2.5999999999999999E-2</v>
      </c>
      <c r="M5591" s="508">
        <v>2.7E-2</v>
      </c>
      <c r="N5591" s="508">
        <v>3.4000000000000002E-2</v>
      </c>
      <c r="O5591" s="508">
        <v>2.3E-2</v>
      </c>
      <c r="P5591" s="508">
        <v>1.7000000000000001E-2</v>
      </c>
      <c r="Q5591" s="508">
        <v>0.02</v>
      </c>
      <c r="R5591" s="508">
        <v>1.7999999999999999E-2</v>
      </c>
      <c r="S5591" s="508">
        <v>1.6E-2</v>
      </c>
      <c r="T5591" s="508">
        <v>1.4E-2</v>
      </c>
      <c r="U5591" s="508">
        <v>8.0000000000000002E-3</v>
      </c>
      <c r="V5591" s="508">
        <v>8.0000000000000002E-3</v>
      </c>
      <c r="W5591" s="508">
        <v>8.0000000000000002E-3</v>
      </c>
      <c r="X5591" s="508">
        <v>7.0000000000000001E-3</v>
      </c>
      <c r="Y5591" s="508">
        <v>6.0000000000000001E-3</v>
      </c>
      <c r="Z5591" s="508">
        <v>5.0000000000000001E-3</v>
      </c>
      <c r="AA5591" s="508">
        <v>5.0000000000000001E-3</v>
      </c>
      <c r="AB5591" s="508">
        <v>4.0000000000000001E-3</v>
      </c>
      <c r="AC5591" s="508">
        <v>3.0000000000000001E-3</v>
      </c>
      <c r="AD5591" s="508">
        <v>3.0000000000000001E-3</v>
      </c>
      <c r="AE5591" s="508">
        <v>4.0000000000000001E-3</v>
      </c>
      <c r="AF5591" s="508">
        <v>3.0000000000000001E-3</v>
      </c>
      <c r="AG5591" s="508">
        <v>3.0000000000000001E-3</v>
      </c>
      <c r="AH5591" s="508">
        <v>3.0000000000000001E-3</v>
      </c>
      <c r="AI5591" s="492">
        <v>3.0000000000000001E-3</v>
      </c>
      <c r="AJ5591" s="485"/>
    </row>
    <row r="5592" spans="2:36">
      <c r="B5592" s="136" t="s">
        <v>445</v>
      </c>
      <c r="C5592" s="132" t="s">
        <v>1367</v>
      </c>
      <c r="D5592" s="132" t="s">
        <v>285</v>
      </c>
      <c r="E5592" s="508">
        <v>4.5999999999999999E-2</v>
      </c>
      <c r="F5592" s="508">
        <v>7.8E-2</v>
      </c>
      <c r="G5592" s="508">
        <v>6.2E-2</v>
      </c>
      <c r="H5592" s="508">
        <v>5.7000000000000002E-2</v>
      </c>
      <c r="I5592" s="508">
        <v>5.0999999999999997E-2</v>
      </c>
      <c r="J5592" s="508">
        <v>0.04</v>
      </c>
      <c r="K5592" s="508">
        <v>2.5999999999999999E-2</v>
      </c>
      <c r="L5592" s="508">
        <v>2.5000000000000001E-2</v>
      </c>
      <c r="M5592" s="508">
        <v>2.5000000000000001E-2</v>
      </c>
      <c r="N5592" s="508">
        <v>2.9000000000000001E-2</v>
      </c>
      <c r="O5592" s="508">
        <v>2.1000000000000001E-2</v>
      </c>
      <c r="P5592" s="508">
        <v>1.7000000000000001E-2</v>
      </c>
      <c r="Q5592" s="508">
        <v>1.7999999999999999E-2</v>
      </c>
      <c r="R5592" s="508">
        <v>1.7000000000000001E-2</v>
      </c>
      <c r="S5592" s="508">
        <v>1.4999999999999999E-2</v>
      </c>
      <c r="T5592" s="508">
        <v>1.2999999999999999E-2</v>
      </c>
      <c r="U5592" s="508">
        <v>8.0000000000000002E-3</v>
      </c>
      <c r="V5592" s="508">
        <v>7.0000000000000001E-3</v>
      </c>
      <c r="W5592" s="508">
        <v>8.0000000000000002E-3</v>
      </c>
      <c r="X5592" s="508">
        <v>6.0000000000000001E-3</v>
      </c>
      <c r="Y5592" s="508">
        <v>6.0000000000000001E-3</v>
      </c>
      <c r="Z5592" s="508">
        <v>5.0000000000000001E-3</v>
      </c>
      <c r="AA5592" s="508">
        <v>4.0000000000000001E-3</v>
      </c>
      <c r="AB5592" s="508">
        <v>4.0000000000000001E-3</v>
      </c>
      <c r="AC5592" s="508">
        <v>3.0000000000000001E-3</v>
      </c>
      <c r="AD5592" s="508">
        <v>3.0000000000000001E-3</v>
      </c>
      <c r="AE5592" s="508">
        <v>4.0000000000000001E-3</v>
      </c>
      <c r="AF5592" s="508">
        <v>3.0000000000000001E-3</v>
      </c>
      <c r="AG5592" s="508">
        <v>3.0000000000000001E-3</v>
      </c>
      <c r="AH5592" s="508">
        <v>3.0000000000000001E-3</v>
      </c>
      <c r="AI5592" s="492">
        <v>3.0000000000000001E-3</v>
      </c>
      <c r="AJ5592" s="485"/>
    </row>
    <row r="5593" spans="2:36">
      <c r="B5593" s="136" t="s">
        <v>446</v>
      </c>
      <c r="C5593" s="132" t="s">
        <v>1367</v>
      </c>
      <c r="D5593" s="132" t="s">
        <v>285</v>
      </c>
      <c r="E5593" s="508">
        <v>3.1E-2</v>
      </c>
      <c r="F5593" s="508">
        <v>5.1999999999999998E-2</v>
      </c>
      <c r="G5593" s="508">
        <v>4.2000000000000003E-2</v>
      </c>
      <c r="H5593" s="508">
        <v>3.7999999999999999E-2</v>
      </c>
      <c r="I5593" s="508">
        <v>3.5000000000000003E-2</v>
      </c>
      <c r="J5593" s="508">
        <v>2.8000000000000001E-2</v>
      </c>
      <c r="K5593" s="508">
        <v>1.7000000000000001E-2</v>
      </c>
      <c r="L5593" s="508">
        <v>1.6E-2</v>
      </c>
      <c r="M5593" s="508">
        <v>1.7000000000000001E-2</v>
      </c>
      <c r="N5593" s="508">
        <v>0.02</v>
      </c>
      <c r="O5593" s="508">
        <v>1.4999999999999999E-2</v>
      </c>
      <c r="P5593" s="508">
        <v>1.0999999999999999E-2</v>
      </c>
      <c r="Q5593" s="508">
        <v>1.2E-2</v>
      </c>
      <c r="R5593" s="508">
        <v>1.0999999999999999E-2</v>
      </c>
      <c r="S5593" s="508">
        <v>0.01</v>
      </c>
      <c r="T5593" s="508">
        <v>8.9999999999999993E-3</v>
      </c>
      <c r="U5593" s="508">
        <v>6.0000000000000001E-3</v>
      </c>
      <c r="V5593" s="508">
        <v>6.0000000000000001E-3</v>
      </c>
      <c r="W5593" s="508">
        <v>6.0000000000000001E-3</v>
      </c>
      <c r="X5593" s="508">
        <v>7.0000000000000001E-3</v>
      </c>
      <c r="Y5593" s="508">
        <v>6.0000000000000001E-3</v>
      </c>
      <c r="Z5593" s="508">
        <v>5.0000000000000001E-3</v>
      </c>
      <c r="AA5593" s="508">
        <v>5.0000000000000001E-3</v>
      </c>
      <c r="AB5593" s="508">
        <v>4.0000000000000001E-3</v>
      </c>
      <c r="AC5593" s="508">
        <v>3.0000000000000001E-3</v>
      </c>
      <c r="AD5593" s="508">
        <v>3.0000000000000001E-3</v>
      </c>
      <c r="AE5593" s="508">
        <v>4.0000000000000001E-3</v>
      </c>
      <c r="AF5593" s="508">
        <v>3.0000000000000001E-3</v>
      </c>
      <c r="AG5593" s="508">
        <v>3.0000000000000001E-3</v>
      </c>
      <c r="AH5593" s="508">
        <v>3.0000000000000001E-3</v>
      </c>
      <c r="AI5593" s="492">
        <v>3.0000000000000001E-3</v>
      </c>
      <c r="AJ5593" s="485"/>
    </row>
    <row r="5594" spans="2:36">
      <c r="B5594" s="136" t="s">
        <v>448</v>
      </c>
      <c r="C5594" s="132" t="s">
        <v>1367</v>
      </c>
      <c r="D5594" s="132" t="s">
        <v>285</v>
      </c>
      <c r="E5594" s="508">
        <v>3.9E-2</v>
      </c>
      <c r="F5594" s="508">
        <v>7.0000000000000007E-2</v>
      </c>
      <c r="G5594" s="508">
        <v>5.6000000000000001E-2</v>
      </c>
      <c r="H5594" s="508">
        <v>0.05</v>
      </c>
      <c r="I5594" s="508">
        <v>4.4999999999999998E-2</v>
      </c>
      <c r="J5594" s="508">
        <v>3.7999999999999999E-2</v>
      </c>
      <c r="K5594" s="508">
        <v>2.1000000000000001E-2</v>
      </c>
      <c r="L5594" s="508">
        <v>2.1000000000000001E-2</v>
      </c>
      <c r="M5594" s="508">
        <v>2.1000000000000001E-2</v>
      </c>
      <c r="N5594" s="508">
        <v>2.8000000000000001E-2</v>
      </c>
      <c r="O5594" s="508">
        <v>0.02</v>
      </c>
      <c r="P5594" s="508">
        <v>1.4E-2</v>
      </c>
      <c r="Q5594" s="508">
        <v>1.6E-2</v>
      </c>
      <c r="R5594" s="508">
        <v>1.4999999999999999E-2</v>
      </c>
      <c r="S5594" s="508">
        <v>1.4E-2</v>
      </c>
      <c r="T5594" s="508">
        <v>1.2E-2</v>
      </c>
      <c r="U5594" s="508">
        <v>8.0000000000000002E-3</v>
      </c>
      <c r="V5594" s="508">
        <v>7.0000000000000001E-3</v>
      </c>
      <c r="W5594" s="508">
        <v>8.0000000000000002E-3</v>
      </c>
      <c r="X5594" s="508">
        <v>7.0000000000000001E-3</v>
      </c>
      <c r="Y5594" s="508">
        <v>7.0000000000000001E-3</v>
      </c>
      <c r="Z5594" s="508">
        <v>5.0000000000000001E-3</v>
      </c>
      <c r="AA5594" s="508">
        <v>5.0000000000000001E-3</v>
      </c>
      <c r="AB5594" s="508">
        <v>5.0000000000000001E-3</v>
      </c>
      <c r="AC5594" s="508">
        <v>4.0000000000000001E-3</v>
      </c>
      <c r="AD5594" s="508">
        <v>4.0000000000000001E-3</v>
      </c>
      <c r="AE5594" s="508">
        <v>5.0000000000000001E-3</v>
      </c>
      <c r="AF5594" s="508">
        <v>3.0000000000000001E-3</v>
      </c>
      <c r="AG5594" s="508">
        <v>3.0000000000000001E-3</v>
      </c>
      <c r="AH5594" s="508">
        <v>3.0000000000000001E-3</v>
      </c>
      <c r="AI5594" s="492">
        <v>3.0000000000000001E-3</v>
      </c>
      <c r="AJ5594" s="485"/>
    </row>
    <row r="5595" spans="2:36">
      <c r="B5595" s="136" t="s">
        <v>449</v>
      </c>
      <c r="C5595" s="132" t="s">
        <v>1367</v>
      </c>
      <c r="D5595" s="132" t="s">
        <v>285</v>
      </c>
      <c r="E5595" s="508">
        <v>3.1E-2</v>
      </c>
      <c r="F5595" s="508">
        <v>5.2999999999999999E-2</v>
      </c>
      <c r="G5595" s="508">
        <v>4.2999999999999997E-2</v>
      </c>
      <c r="H5595" s="508">
        <v>3.9E-2</v>
      </c>
      <c r="I5595" s="508">
        <v>3.5000000000000003E-2</v>
      </c>
      <c r="J5595" s="508">
        <v>2.8000000000000001E-2</v>
      </c>
      <c r="K5595" s="508">
        <v>1.7000000000000001E-2</v>
      </c>
      <c r="L5595" s="508">
        <v>1.6E-2</v>
      </c>
      <c r="M5595" s="508">
        <v>1.7000000000000001E-2</v>
      </c>
      <c r="N5595" s="508">
        <v>2.1000000000000001E-2</v>
      </c>
      <c r="O5595" s="508">
        <v>1.4999999999999999E-2</v>
      </c>
      <c r="P5595" s="508">
        <v>1.0999999999999999E-2</v>
      </c>
      <c r="Q5595" s="508">
        <v>1.2999999999999999E-2</v>
      </c>
      <c r="R5595" s="508">
        <v>1.2E-2</v>
      </c>
      <c r="S5595" s="508">
        <v>0.01</v>
      </c>
      <c r="T5595" s="508">
        <v>8.9999999999999993E-3</v>
      </c>
      <c r="U5595" s="508">
        <v>6.0000000000000001E-3</v>
      </c>
      <c r="V5595" s="508">
        <v>5.0000000000000001E-3</v>
      </c>
      <c r="W5595" s="508">
        <v>5.0000000000000001E-3</v>
      </c>
      <c r="X5595" s="508">
        <v>6.0000000000000001E-3</v>
      </c>
      <c r="Y5595" s="508">
        <v>6.0000000000000001E-3</v>
      </c>
      <c r="Z5595" s="508">
        <v>5.0000000000000001E-3</v>
      </c>
      <c r="AA5595" s="508">
        <v>4.0000000000000001E-3</v>
      </c>
      <c r="AB5595" s="508">
        <v>4.0000000000000001E-3</v>
      </c>
      <c r="AC5595" s="508">
        <v>3.0000000000000001E-3</v>
      </c>
      <c r="AD5595" s="508">
        <v>3.0000000000000001E-3</v>
      </c>
      <c r="AE5595" s="508">
        <v>4.0000000000000001E-3</v>
      </c>
      <c r="AF5595" s="508">
        <v>2E-3</v>
      </c>
      <c r="AG5595" s="508">
        <v>2E-3</v>
      </c>
      <c r="AH5595" s="508">
        <v>3.0000000000000001E-3</v>
      </c>
      <c r="AI5595" s="492">
        <v>3.0000000000000001E-3</v>
      </c>
      <c r="AJ5595" s="485"/>
    </row>
    <row r="5596" spans="2:36">
      <c r="B5596" s="136" t="s">
        <v>450</v>
      </c>
      <c r="C5596" s="132" t="s">
        <v>1367</v>
      </c>
      <c r="D5596" s="132" t="s">
        <v>285</v>
      </c>
      <c r="E5596" s="508">
        <v>6.5000000000000002E-2</v>
      </c>
      <c r="F5596" s="508">
        <v>0.114</v>
      </c>
      <c r="G5596" s="508">
        <v>9.0999999999999998E-2</v>
      </c>
      <c r="H5596" s="508">
        <v>8.2000000000000003E-2</v>
      </c>
      <c r="I5596" s="508">
        <v>7.4999999999999997E-2</v>
      </c>
      <c r="J5596" s="508">
        <v>6.2E-2</v>
      </c>
      <c r="K5596" s="508">
        <v>3.5999999999999997E-2</v>
      </c>
      <c r="L5596" s="508">
        <v>3.5000000000000003E-2</v>
      </c>
      <c r="M5596" s="508">
        <v>3.5000000000000003E-2</v>
      </c>
      <c r="N5596" s="508">
        <v>4.4999999999999998E-2</v>
      </c>
      <c r="O5596" s="508">
        <v>3.2000000000000001E-2</v>
      </c>
      <c r="P5596" s="508">
        <v>2.3E-2</v>
      </c>
      <c r="Q5596" s="508">
        <v>2.7E-2</v>
      </c>
      <c r="R5596" s="508">
        <v>2.4E-2</v>
      </c>
      <c r="S5596" s="508">
        <v>2.1000000000000001E-2</v>
      </c>
      <c r="T5596" s="508">
        <v>1.9E-2</v>
      </c>
      <c r="U5596" s="508">
        <v>1.0999999999999999E-2</v>
      </c>
      <c r="V5596" s="508">
        <v>0.01</v>
      </c>
      <c r="W5596" s="508">
        <v>0.01</v>
      </c>
      <c r="X5596" s="508">
        <v>8.0000000000000002E-3</v>
      </c>
      <c r="Y5596" s="508">
        <v>7.0000000000000001E-3</v>
      </c>
      <c r="Z5596" s="508">
        <v>6.0000000000000001E-3</v>
      </c>
      <c r="AA5596" s="508">
        <v>5.0000000000000001E-3</v>
      </c>
      <c r="AB5596" s="508">
        <v>5.0000000000000001E-3</v>
      </c>
      <c r="AC5596" s="508">
        <v>4.0000000000000001E-3</v>
      </c>
      <c r="AD5596" s="508">
        <v>4.0000000000000001E-3</v>
      </c>
      <c r="AE5596" s="508">
        <v>5.0000000000000001E-3</v>
      </c>
      <c r="AF5596" s="508">
        <v>3.0000000000000001E-3</v>
      </c>
      <c r="AG5596" s="508">
        <v>3.0000000000000001E-3</v>
      </c>
      <c r="AH5596" s="508">
        <v>3.0000000000000001E-3</v>
      </c>
      <c r="AI5596" s="492">
        <v>3.0000000000000001E-3</v>
      </c>
      <c r="AJ5596" s="485"/>
    </row>
    <row r="5597" spans="2:36">
      <c r="B5597" s="136" t="s">
        <v>451</v>
      </c>
      <c r="C5597" s="132" t="s">
        <v>1367</v>
      </c>
      <c r="D5597" s="132" t="s">
        <v>285</v>
      </c>
      <c r="E5597" s="508">
        <v>5.6000000000000001E-2</v>
      </c>
      <c r="F5597" s="508">
        <v>9.8000000000000004E-2</v>
      </c>
      <c r="G5597" s="508">
        <v>7.8E-2</v>
      </c>
      <c r="H5597" s="508">
        <v>7.0000000000000007E-2</v>
      </c>
      <c r="I5597" s="508">
        <v>6.3E-2</v>
      </c>
      <c r="J5597" s="508">
        <v>5.0999999999999997E-2</v>
      </c>
      <c r="K5597" s="508">
        <v>3.2000000000000001E-2</v>
      </c>
      <c r="L5597" s="508">
        <v>3.1E-2</v>
      </c>
      <c r="M5597" s="508">
        <v>3.1E-2</v>
      </c>
      <c r="N5597" s="508">
        <v>3.5999999999999997E-2</v>
      </c>
      <c r="O5597" s="508">
        <v>2.7E-2</v>
      </c>
      <c r="P5597" s="508">
        <v>2.1000000000000001E-2</v>
      </c>
      <c r="Q5597" s="508">
        <v>2.1999999999999999E-2</v>
      </c>
      <c r="R5597" s="508">
        <v>2.1000000000000001E-2</v>
      </c>
      <c r="S5597" s="508">
        <v>0.02</v>
      </c>
      <c r="T5597" s="508">
        <v>1.6E-2</v>
      </c>
      <c r="U5597" s="508">
        <v>0.01</v>
      </c>
      <c r="V5597" s="508">
        <v>8.9999999999999993E-3</v>
      </c>
      <c r="W5597" s="508">
        <v>8.9999999999999993E-3</v>
      </c>
      <c r="X5597" s="508">
        <v>7.0000000000000001E-3</v>
      </c>
      <c r="Y5597" s="508">
        <v>6.0000000000000001E-3</v>
      </c>
      <c r="Z5597" s="508">
        <v>5.0000000000000001E-3</v>
      </c>
      <c r="AA5597" s="508">
        <v>5.0000000000000001E-3</v>
      </c>
      <c r="AB5597" s="508">
        <v>4.0000000000000001E-3</v>
      </c>
      <c r="AC5597" s="508">
        <v>3.0000000000000001E-3</v>
      </c>
      <c r="AD5597" s="508">
        <v>3.0000000000000001E-3</v>
      </c>
      <c r="AE5597" s="508">
        <v>4.0000000000000001E-3</v>
      </c>
      <c r="AF5597" s="508">
        <v>3.0000000000000001E-3</v>
      </c>
      <c r="AG5597" s="508">
        <v>3.0000000000000001E-3</v>
      </c>
      <c r="AH5597" s="508">
        <v>3.0000000000000001E-3</v>
      </c>
      <c r="AI5597" s="492">
        <v>3.0000000000000001E-3</v>
      </c>
      <c r="AJ5597" s="485"/>
    </row>
    <row r="5598" spans="2:36">
      <c r="B5598" s="136" t="s">
        <v>452</v>
      </c>
      <c r="C5598" s="132" t="s">
        <v>1367</v>
      </c>
      <c r="D5598" s="132" t="s">
        <v>285</v>
      </c>
      <c r="E5598" s="508">
        <v>5.7000000000000002E-2</v>
      </c>
      <c r="F5598" s="508">
        <v>9.8000000000000004E-2</v>
      </c>
      <c r="G5598" s="508">
        <v>7.8E-2</v>
      </c>
      <c r="H5598" s="508">
        <v>7.0999999999999994E-2</v>
      </c>
      <c r="I5598" s="508">
        <v>6.4000000000000001E-2</v>
      </c>
      <c r="J5598" s="508">
        <v>5.1999999999999998E-2</v>
      </c>
      <c r="K5598" s="508">
        <v>3.1E-2</v>
      </c>
      <c r="L5598" s="508">
        <v>0.03</v>
      </c>
      <c r="M5598" s="508">
        <v>3.1E-2</v>
      </c>
      <c r="N5598" s="508">
        <v>3.7999999999999999E-2</v>
      </c>
      <c r="O5598" s="508">
        <v>2.7E-2</v>
      </c>
      <c r="P5598" s="508">
        <v>0.02</v>
      </c>
      <c r="Q5598" s="508">
        <v>2.3E-2</v>
      </c>
      <c r="R5598" s="508">
        <v>2.1000000000000001E-2</v>
      </c>
      <c r="S5598" s="508">
        <v>1.9E-2</v>
      </c>
      <c r="T5598" s="508">
        <v>1.6E-2</v>
      </c>
      <c r="U5598" s="508">
        <v>8.9999999999999993E-3</v>
      </c>
      <c r="V5598" s="508">
        <v>8.9999999999999993E-3</v>
      </c>
      <c r="W5598" s="508">
        <v>8.9999999999999993E-3</v>
      </c>
      <c r="X5598" s="508">
        <v>7.0000000000000001E-3</v>
      </c>
      <c r="Y5598" s="508">
        <v>7.0000000000000001E-3</v>
      </c>
      <c r="Z5598" s="508">
        <v>5.0000000000000001E-3</v>
      </c>
      <c r="AA5598" s="508">
        <v>5.0000000000000001E-3</v>
      </c>
      <c r="AB5598" s="508">
        <v>4.0000000000000001E-3</v>
      </c>
      <c r="AC5598" s="508">
        <v>3.0000000000000001E-3</v>
      </c>
      <c r="AD5598" s="508">
        <v>4.0000000000000001E-3</v>
      </c>
      <c r="AE5598" s="508">
        <v>4.0000000000000001E-3</v>
      </c>
      <c r="AF5598" s="508">
        <v>3.0000000000000001E-3</v>
      </c>
      <c r="AG5598" s="508">
        <v>3.0000000000000001E-3</v>
      </c>
      <c r="AH5598" s="508">
        <v>3.0000000000000001E-3</v>
      </c>
      <c r="AI5598" s="492">
        <v>3.0000000000000001E-3</v>
      </c>
      <c r="AJ5598" s="485"/>
    </row>
    <row r="5599" spans="2:36">
      <c r="B5599" s="136" t="s">
        <v>453</v>
      </c>
      <c r="C5599" s="132" t="s">
        <v>1367</v>
      </c>
      <c r="D5599" s="132" t="s">
        <v>285</v>
      </c>
      <c r="E5599" s="508">
        <v>6.6000000000000003E-2</v>
      </c>
      <c r="F5599" s="508">
        <v>0.115</v>
      </c>
      <c r="G5599" s="508">
        <v>9.1999999999999998E-2</v>
      </c>
      <c r="H5599" s="508">
        <v>8.3000000000000004E-2</v>
      </c>
      <c r="I5599" s="508">
        <v>7.4999999999999997E-2</v>
      </c>
      <c r="J5599" s="508">
        <v>6.3E-2</v>
      </c>
      <c r="K5599" s="508">
        <v>3.5999999999999997E-2</v>
      </c>
      <c r="L5599" s="508">
        <v>3.5000000000000003E-2</v>
      </c>
      <c r="M5599" s="508">
        <v>3.5000000000000003E-2</v>
      </c>
      <c r="N5599" s="508">
        <v>4.5999999999999999E-2</v>
      </c>
      <c r="O5599" s="508">
        <v>3.2000000000000001E-2</v>
      </c>
      <c r="P5599" s="508">
        <v>2.3E-2</v>
      </c>
      <c r="Q5599" s="508">
        <v>2.7E-2</v>
      </c>
      <c r="R5599" s="508">
        <v>2.4E-2</v>
      </c>
      <c r="S5599" s="508">
        <v>2.1000000000000001E-2</v>
      </c>
      <c r="T5599" s="508">
        <v>1.9E-2</v>
      </c>
      <c r="U5599" s="508">
        <v>1.0999999999999999E-2</v>
      </c>
      <c r="V5599" s="508">
        <v>1.0999999999999999E-2</v>
      </c>
      <c r="W5599" s="508">
        <v>1.0999999999999999E-2</v>
      </c>
      <c r="X5599" s="508">
        <v>8.0000000000000002E-3</v>
      </c>
      <c r="Y5599" s="508">
        <v>8.0000000000000002E-3</v>
      </c>
      <c r="Z5599" s="508">
        <v>6.0000000000000001E-3</v>
      </c>
      <c r="AA5599" s="508">
        <v>6.0000000000000001E-3</v>
      </c>
      <c r="AB5599" s="508">
        <v>5.0000000000000001E-3</v>
      </c>
      <c r="AC5599" s="508">
        <v>4.0000000000000001E-3</v>
      </c>
      <c r="AD5599" s="508">
        <v>4.0000000000000001E-3</v>
      </c>
      <c r="AE5599" s="508">
        <v>5.0000000000000001E-3</v>
      </c>
      <c r="AF5599" s="508">
        <v>3.0000000000000001E-3</v>
      </c>
      <c r="AG5599" s="508">
        <v>3.0000000000000001E-3</v>
      </c>
      <c r="AH5599" s="508">
        <v>3.0000000000000001E-3</v>
      </c>
      <c r="AI5599" s="492">
        <v>3.0000000000000001E-3</v>
      </c>
      <c r="AJ5599" s="485"/>
    </row>
    <row r="5600" spans="2:36">
      <c r="B5600" s="136" t="s">
        <v>454</v>
      </c>
      <c r="C5600" s="132" t="s">
        <v>1367</v>
      </c>
      <c r="D5600" s="132" t="s">
        <v>285</v>
      </c>
      <c r="E5600" s="508">
        <v>5.0999999999999997E-2</v>
      </c>
      <c r="F5600" s="508">
        <v>8.8999999999999996E-2</v>
      </c>
      <c r="G5600" s="508">
        <v>7.1999999999999995E-2</v>
      </c>
      <c r="H5600" s="508">
        <v>6.4000000000000001E-2</v>
      </c>
      <c r="I5600" s="508">
        <v>5.8000000000000003E-2</v>
      </c>
      <c r="J5600" s="508">
        <v>4.9000000000000002E-2</v>
      </c>
      <c r="K5600" s="508">
        <v>2.8000000000000001E-2</v>
      </c>
      <c r="L5600" s="508">
        <v>2.7E-2</v>
      </c>
      <c r="M5600" s="508">
        <v>2.7E-2</v>
      </c>
      <c r="N5600" s="508">
        <v>3.5000000000000003E-2</v>
      </c>
      <c r="O5600" s="508">
        <v>2.5000000000000001E-2</v>
      </c>
      <c r="P5600" s="508">
        <v>1.7999999999999999E-2</v>
      </c>
      <c r="Q5600" s="508">
        <v>2.1000000000000001E-2</v>
      </c>
      <c r="R5600" s="508">
        <v>1.9E-2</v>
      </c>
      <c r="S5600" s="508">
        <v>1.7000000000000001E-2</v>
      </c>
      <c r="T5600" s="508">
        <v>1.4999999999999999E-2</v>
      </c>
      <c r="U5600" s="508">
        <v>8.9999999999999993E-3</v>
      </c>
      <c r="V5600" s="508">
        <v>8.9999999999999993E-3</v>
      </c>
      <c r="W5600" s="508">
        <v>8.9999999999999993E-3</v>
      </c>
      <c r="X5600" s="508">
        <v>7.0000000000000001E-3</v>
      </c>
      <c r="Y5600" s="508">
        <v>7.0000000000000001E-3</v>
      </c>
      <c r="Z5600" s="508">
        <v>5.0000000000000001E-3</v>
      </c>
      <c r="AA5600" s="508">
        <v>5.0000000000000001E-3</v>
      </c>
      <c r="AB5600" s="508">
        <v>5.0000000000000001E-3</v>
      </c>
      <c r="AC5600" s="508">
        <v>3.0000000000000001E-3</v>
      </c>
      <c r="AD5600" s="508">
        <v>4.0000000000000001E-3</v>
      </c>
      <c r="AE5600" s="508">
        <v>5.0000000000000001E-3</v>
      </c>
      <c r="AF5600" s="508">
        <v>3.0000000000000001E-3</v>
      </c>
      <c r="AG5600" s="508">
        <v>3.0000000000000001E-3</v>
      </c>
      <c r="AH5600" s="508">
        <v>3.0000000000000001E-3</v>
      </c>
      <c r="AI5600" s="492">
        <v>3.0000000000000001E-3</v>
      </c>
      <c r="AJ5600" s="485"/>
    </row>
    <row r="5601" spans="2:36">
      <c r="B5601" s="136" t="s">
        <v>455</v>
      </c>
      <c r="C5601" s="132" t="s">
        <v>1367</v>
      </c>
      <c r="D5601" s="132" t="s">
        <v>285</v>
      </c>
      <c r="E5601" s="508">
        <v>0.05</v>
      </c>
      <c r="F5601" s="508">
        <v>8.8999999999999996E-2</v>
      </c>
      <c r="G5601" s="508">
        <v>7.1999999999999995E-2</v>
      </c>
      <c r="H5601" s="508">
        <v>6.3E-2</v>
      </c>
      <c r="I5601" s="508">
        <v>5.7000000000000002E-2</v>
      </c>
      <c r="J5601" s="508">
        <v>4.9000000000000002E-2</v>
      </c>
      <c r="K5601" s="508">
        <v>2.7E-2</v>
      </c>
      <c r="L5601" s="508">
        <v>2.5999999999999999E-2</v>
      </c>
      <c r="M5601" s="508">
        <v>2.7E-2</v>
      </c>
      <c r="N5601" s="508">
        <v>3.5000000000000003E-2</v>
      </c>
      <c r="O5601" s="508">
        <v>2.5000000000000001E-2</v>
      </c>
      <c r="P5601" s="508">
        <v>1.7999999999999999E-2</v>
      </c>
      <c r="Q5601" s="508">
        <v>2.1000000000000001E-2</v>
      </c>
      <c r="R5601" s="508">
        <v>1.9E-2</v>
      </c>
      <c r="S5601" s="508">
        <v>1.7000000000000001E-2</v>
      </c>
      <c r="T5601" s="508">
        <v>1.4999999999999999E-2</v>
      </c>
      <c r="U5601" s="508">
        <v>8.9999999999999993E-3</v>
      </c>
      <c r="V5601" s="508">
        <v>8.0000000000000002E-3</v>
      </c>
      <c r="W5601" s="508">
        <v>8.0000000000000002E-3</v>
      </c>
      <c r="X5601" s="508">
        <v>7.0000000000000001E-3</v>
      </c>
      <c r="Y5601" s="508">
        <v>6.0000000000000001E-3</v>
      </c>
      <c r="Z5601" s="508">
        <v>5.0000000000000001E-3</v>
      </c>
      <c r="AA5601" s="508">
        <v>5.0000000000000001E-3</v>
      </c>
      <c r="AB5601" s="508">
        <v>4.0000000000000001E-3</v>
      </c>
      <c r="AC5601" s="508">
        <v>3.0000000000000001E-3</v>
      </c>
      <c r="AD5601" s="508">
        <v>4.0000000000000001E-3</v>
      </c>
      <c r="AE5601" s="508">
        <v>4.0000000000000001E-3</v>
      </c>
      <c r="AF5601" s="508">
        <v>3.0000000000000001E-3</v>
      </c>
      <c r="AG5601" s="508">
        <v>3.0000000000000001E-3</v>
      </c>
      <c r="AH5601" s="508">
        <v>3.0000000000000001E-3</v>
      </c>
      <c r="AI5601" s="492">
        <v>3.0000000000000001E-3</v>
      </c>
      <c r="AJ5601" s="485"/>
    </row>
    <row r="5602" spans="2:36">
      <c r="B5602" s="136" t="s">
        <v>456</v>
      </c>
      <c r="C5602" s="132" t="s">
        <v>1367</v>
      </c>
      <c r="D5602" s="132" t="s">
        <v>285</v>
      </c>
      <c r="E5602" s="508">
        <v>3.3000000000000002E-2</v>
      </c>
      <c r="F5602" s="508">
        <v>5.7000000000000002E-2</v>
      </c>
      <c r="G5602" s="508">
        <v>4.5999999999999999E-2</v>
      </c>
      <c r="H5602" s="508">
        <v>4.1000000000000002E-2</v>
      </c>
      <c r="I5602" s="508">
        <v>3.6999999999999998E-2</v>
      </c>
      <c r="J5602" s="508">
        <v>3.1E-2</v>
      </c>
      <c r="K5602" s="508">
        <v>1.7999999999999999E-2</v>
      </c>
      <c r="L5602" s="508">
        <v>1.7000000000000001E-2</v>
      </c>
      <c r="M5602" s="508">
        <v>1.7999999999999999E-2</v>
      </c>
      <c r="N5602" s="508">
        <v>2.3E-2</v>
      </c>
      <c r="O5602" s="508">
        <v>1.6E-2</v>
      </c>
      <c r="P5602" s="508">
        <v>1.2E-2</v>
      </c>
      <c r="Q5602" s="508">
        <v>1.4E-2</v>
      </c>
      <c r="R5602" s="508">
        <v>1.2E-2</v>
      </c>
      <c r="S5602" s="508">
        <v>1.0999999999999999E-2</v>
      </c>
      <c r="T5602" s="508">
        <v>0.01</v>
      </c>
      <c r="U5602" s="508">
        <v>7.0000000000000001E-3</v>
      </c>
      <c r="V5602" s="508">
        <v>6.0000000000000001E-3</v>
      </c>
      <c r="W5602" s="508">
        <v>6.0000000000000001E-3</v>
      </c>
      <c r="X5602" s="508">
        <v>7.0000000000000001E-3</v>
      </c>
      <c r="Y5602" s="508">
        <v>6.0000000000000001E-3</v>
      </c>
      <c r="Z5602" s="508">
        <v>5.0000000000000001E-3</v>
      </c>
      <c r="AA5602" s="508">
        <v>5.0000000000000001E-3</v>
      </c>
      <c r="AB5602" s="508">
        <v>4.0000000000000001E-3</v>
      </c>
      <c r="AC5602" s="508">
        <v>3.0000000000000001E-3</v>
      </c>
      <c r="AD5602" s="508">
        <v>4.0000000000000001E-3</v>
      </c>
      <c r="AE5602" s="508">
        <v>5.0000000000000001E-3</v>
      </c>
      <c r="AF5602" s="508">
        <v>3.0000000000000001E-3</v>
      </c>
      <c r="AG5602" s="508">
        <v>3.0000000000000001E-3</v>
      </c>
      <c r="AH5602" s="508">
        <v>3.0000000000000001E-3</v>
      </c>
      <c r="AI5602" s="492">
        <v>3.0000000000000001E-3</v>
      </c>
      <c r="AJ5602" s="485"/>
    </row>
    <row r="5603" spans="2:36">
      <c r="B5603" s="136" t="s">
        <v>457</v>
      </c>
      <c r="C5603" s="132" t="s">
        <v>1367</v>
      </c>
      <c r="D5603" s="132" t="s">
        <v>285</v>
      </c>
      <c r="E5603" s="508">
        <v>7.8E-2</v>
      </c>
      <c r="F5603" s="508">
        <v>0.13700000000000001</v>
      </c>
      <c r="G5603" s="508">
        <v>0.11</v>
      </c>
      <c r="H5603" s="508">
        <v>9.9000000000000005E-2</v>
      </c>
      <c r="I5603" s="508">
        <v>0.09</v>
      </c>
      <c r="J5603" s="508">
        <v>7.5999999999999998E-2</v>
      </c>
      <c r="K5603" s="508">
        <v>4.2000000000000003E-2</v>
      </c>
      <c r="L5603" s="508">
        <v>4.1000000000000002E-2</v>
      </c>
      <c r="M5603" s="508">
        <v>4.2000000000000003E-2</v>
      </c>
      <c r="N5603" s="508">
        <v>5.6000000000000001E-2</v>
      </c>
      <c r="O5603" s="508">
        <v>3.9E-2</v>
      </c>
      <c r="P5603" s="508">
        <v>2.7E-2</v>
      </c>
      <c r="Q5603" s="508">
        <v>3.2000000000000001E-2</v>
      </c>
      <c r="R5603" s="508">
        <v>2.9000000000000001E-2</v>
      </c>
      <c r="S5603" s="508">
        <v>2.5000000000000001E-2</v>
      </c>
      <c r="T5603" s="508">
        <v>2.3E-2</v>
      </c>
      <c r="U5603" s="508">
        <v>1.4999999999999999E-2</v>
      </c>
      <c r="V5603" s="508">
        <v>1.4E-2</v>
      </c>
      <c r="W5603" s="508">
        <v>1.4E-2</v>
      </c>
      <c r="X5603" s="508">
        <v>0.01</v>
      </c>
      <c r="Y5603" s="508">
        <v>8.9999999999999993E-3</v>
      </c>
      <c r="Z5603" s="508">
        <v>7.0000000000000001E-3</v>
      </c>
      <c r="AA5603" s="508">
        <v>7.0000000000000001E-3</v>
      </c>
      <c r="AB5603" s="508">
        <v>6.0000000000000001E-3</v>
      </c>
      <c r="AC5603" s="508">
        <v>5.0000000000000001E-3</v>
      </c>
      <c r="AD5603" s="508">
        <v>5.0000000000000001E-3</v>
      </c>
      <c r="AE5603" s="508">
        <v>6.0000000000000001E-3</v>
      </c>
      <c r="AF5603" s="508">
        <v>4.0000000000000001E-3</v>
      </c>
      <c r="AG5603" s="508">
        <v>4.0000000000000001E-3</v>
      </c>
      <c r="AH5603" s="508">
        <v>4.0000000000000001E-3</v>
      </c>
      <c r="AI5603" s="492">
        <v>4.0000000000000001E-3</v>
      </c>
      <c r="AJ5603" s="485"/>
    </row>
    <row r="5604" spans="2:36">
      <c r="B5604" s="136" t="s">
        <v>458</v>
      </c>
      <c r="C5604" s="132" t="s">
        <v>1367</v>
      </c>
      <c r="D5604" s="132" t="s">
        <v>285</v>
      </c>
      <c r="E5604" s="508">
        <v>4.9000000000000002E-2</v>
      </c>
      <c r="F5604" s="508">
        <v>8.8999999999999996E-2</v>
      </c>
      <c r="G5604" s="508">
        <v>7.0999999999999994E-2</v>
      </c>
      <c r="H5604" s="508">
        <v>6.2E-2</v>
      </c>
      <c r="I5604" s="508">
        <v>5.6000000000000001E-2</v>
      </c>
      <c r="J5604" s="508">
        <v>4.8000000000000001E-2</v>
      </c>
      <c r="K5604" s="508">
        <v>2.7E-2</v>
      </c>
      <c r="L5604" s="508">
        <v>2.7E-2</v>
      </c>
      <c r="M5604" s="508">
        <v>2.7E-2</v>
      </c>
      <c r="N5604" s="508">
        <v>3.4000000000000002E-2</v>
      </c>
      <c r="O5604" s="508">
        <v>2.5000000000000001E-2</v>
      </c>
      <c r="P5604" s="508">
        <v>1.7999999999999999E-2</v>
      </c>
      <c r="Q5604" s="508">
        <v>0.02</v>
      </c>
      <c r="R5604" s="508">
        <v>1.9E-2</v>
      </c>
      <c r="S5604" s="508">
        <v>1.7999999999999999E-2</v>
      </c>
      <c r="T5604" s="508">
        <v>1.4999999999999999E-2</v>
      </c>
      <c r="U5604" s="508">
        <v>0.01</v>
      </c>
      <c r="V5604" s="508">
        <v>8.9999999999999993E-3</v>
      </c>
      <c r="W5604" s="508">
        <v>8.9999999999999993E-3</v>
      </c>
      <c r="X5604" s="508">
        <v>7.0000000000000001E-3</v>
      </c>
      <c r="Y5604" s="508">
        <v>7.0000000000000001E-3</v>
      </c>
      <c r="Z5604" s="508">
        <v>5.0000000000000001E-3</v>
      </c>
      <c r="AA5604" s="508">
        <v>5.0000000000000001E-3</v>
      </c>
      <c r="AB5604" s="508">
        <v>5.0000000000000001E-3</v>
      </c>
      <c r="AC5604" s="508">
        <v>3.0000000000000001E-3</v>
      </c>
      <c r="AD5604" s="508">
        <v>4.0000000000000001E-3</v>
      </c>
      <c r="AE5604" s="508">
        <v>5.0000000000000001E-3</v>
      </c>
      <c r="AF5604" s="508">
        <v>3.0000000000000001E-3</v>
      </c>
      <c r="AG5604" s="508">
        <v>3.0000000000000001E-3</v>
      </c>
      <c r="AH5604" s="508">
        <v>3.0000000000000001E-3</v>
      </c>
      <c r="AI5604" s="492">
        <v>3.0000000000000001E-3</v>
      </c>
      <c r="AJ5604" s="485"/>
    </row>
    <row r="5605" spans="2:36">
      <c r="B5605" s="136" t="s">
        <v>459</v>
      </c>
      <c r="C5605" s="132" t="s">
        <v>1367</v>
      </c>
      <c r="D5605" s="132" t="s">
        <v>285</v>
      </c>
      <c r="E5605" s="508">
        <v>6.3E-2</v>
      </c>
      <c r="F5605" s="508">
        <v>0.112</v>
      </c>
      <c r="G5605" s="508">
        <v>0.09</v>
      </c>
      <c r="H5605" s="508">
        <v>7.9000000000000001E-2</v>
      </c>
      <c r="I5605" s="508">
        <v>7.0999999999999994E-2</v>
      </c>
      <c r="J5605" s="508">
        <v>0.06</v>
      </c>
      <c r="K5605" s="508">
        <v>3.5000000000000003E-2</v>
      </c>
      <c r="L5605" s="508">
        <v>3.4000000000000002E-2</v>
      </c>
      <c r="M5605" s="508">
        <v>3.4000000000000002E-2</v>
      </c>
      <c r="N5605" s="508">
        <v>4.2000000000000003E-2</v>
      </c>
      <c r="O5605" s="508">
        <v>3.1E-2</v>
      </c>
      <c r="P5605" s="508">
        <v>2.3E-2</v>
      </c>
      <c r="Q5605" s="508">
        <v>2.5999999999999999E-2</v>
      </c>
      <c r="R5605" s="508">
        <v>2.4E-2</v>
      </c>
      <c r="S5605" s="508">
        <v>2.3E-2</v>
      </c>
      <c r="T5605" s="508">
        <v>1.9E-2</v>
      </c>
      <c r="U5605" s="508">
        <v>1.2E-2</v>
      </c>
      <c r="V5605" s="508">
        <v>0.01</v>
      </c>
      <c r="W5605" s="508">
        <v>1.0999999999999999E-2</v>
      </c>
      <c r="X5605" s="508">
        <v>8.0000000000000002E-3</v>
      </c>
      <c r="Y5605" s="508">
        <v>7.0000000000000001E-3</v>
      </c>
      <c r="Z5605" s="508">
        <v>6.0000000000000001E-3</v>
      </c>
      <c r="AA5605" s="508">
        <v>5.0000000000000001E-3</v>
      </c>
      <c r="AB5605" s="508">
        <v>5.0000000000000001E-3</v>
      </c>
      <c r="AC5605" s="508">
        <v>4.0000000000000001E-3</v>
      </c>
      <c r="AD5605" s="508">
        <v>4.0000000000000001E-3</v>
      </c>
      <c r="AE5605" s="508">
        <v>5.0000000000000001E-3</v>
      </c>
      <c r="AF5605" s="508">
        <v>3.0000000000000001E-3</v>
      </c>
      <c r="AG5605" s="508">
        <v>3.0000000000000001E-3</v>
      </c>
      <c r="AH5605" s="508">
        <v>3.0000000000000001E-3</v>
      </c>
      <c r="AI5605" s="492">
        <v>3.0000000000000001E-3</v>
      </c>
      <c r="AJ5605" s="485"/>
    </row>
    <row r="5606" spans="2:36">
      <c r="B5606" s="136" t="s">
        <v>460</v>
      </c>
      <c r="C5606" s="132" t="s">
        <v>1367</v>
      </c>
      <c r="D5606" s="132" t="s">
        <v>285</v>
      </c>
      <c r="E5606" s="508">
        <v>6.6000000000000003E-2</v>
      </c>
      <c r="F5606" s="508">
        <v>0.115</v>
      </c>
      <c r="G5606" s="508">
        <v>9.2999999999999999E-2</v>
      </c>
      <c r="H5606" s="508">
        <v>8.2000000000000003E-2</v>
      </c>
      <c r="I5606" s="508">
        <v>7.4999999999999997E-2</v>
      </c>
      <c r="J5606" s="508">
        <v>6.2E-2</v>
      </c>
      <c r="K5606" s="508">
        <v>3.5999999999999997E-2</v>
      </c>
      <c r="L5606" s="508">
        <v>3.5000000000000003E-2</v>
      </c>
      <c r="M5606" s="508">
        <v>3.5999999999999997E-2</v>
      </c>
      <c r="N5606" s="508">
        <v>4.3999999999999997E-2</v>
      </c>
      <c r="O5606" s="508">
        <v>3.2000000000000001E-2</v>
      </c>
      <c r="P5606" s="508">
        <v>2.4E-2</v>
      </c>
      <c r="Q5606" s="508">
        <v>2.7E-2</v>
      </c>
      <c r="R5606" s="508">
        <v>2.5000000000000001E-2</v>
      </c>
      <c r="S5606" s="508">
        <v>2.1999999999999999E-2</v>
      </c>
      <c r="T5606" s="508">
        <v>1.9E-2</v>
      </c>
      <c r="U5606" s="508">
        <v>1.2E-2</v>
      </c>
      <c r="V5606" s="508">
        <v>0.01</v>
      </c>
      <c r="W5606" s="508">
        <v>1.0999999999999999E-2</v>
      </c>
      <c r="X5606" s="508">
        <v>8.0000000000000002E-3</v>
      </c>
      <c r="Y5606" s="508">
        <v>7.0000000000000001E-3</v>
      </c>
      <c r="Z5606" s="508">
        <v>6.0000000000000001E-3</v>
      </c>
      <c r="AA5606" s="508">
        <v>5.0000000000000001E-3</v>
      </c>
      <c r="AB5606" s="508">
        <v>5.0000000000000001E-3</v>
      </c>
      <c r="AC5606" s="508">
        <v>4.0000000000000001E-3</v>
      </c>
      <c r="AD5606" s="508">
        <v>4.0000000000000001E-3</v>
      </c>
      <c r="AE5606" s="508">
        <v>5.0000000000000001E-3</v>
      </c>
      <c r="AF5606" s="508">
        <v>3.0000000000000001E-3</v>
      </c>
      <c r="AG5606" s="508">
        <v>3.0000000000000001E-3</v>
      </c>
      <c r="AH5606" s="508">
        <v>3.0000000000000001E-3</v>
      </c>
      <c r="AI5606" s="492">
        <v>3.0000000000000001E-3</v>
      </c>
      <c r="AJ5606" s="485"/>
    </row>
    <row r="5607" spans="2:36">
      <c r="B5607" s="136" t="s">
        <v>461</v>
      </c>
      <c r="C5607" s="132" t="s">
        <v>1367</v>
      </c>
      <c r="D5607" s="132" t="s">
        <v>285</v>
      </c>
      <c r="E5607" s="508">
        <v>7.4999999999999997E-2</v>
      </c>
      <c r="F5607" s="508">
        <v>0.13200000000000001</v>
      </c>
      <c r="G5607" s="508">
        <v>0.106</v>
      </c>
      <c r="H5607" s="508">
        <v>9.5000000000000001E-2</v>
      </c>
      <c r="I5607" s="508">
        <v>8.5999999999999993E-2</v>
      </c>
      <c r="J5607" s="508">
        <v>7.0999999999999994E-2</v>
      </c>
      <c r="K5607" s="508">
        <v>4.1000000000000002E-2</v>
      </c>
      <c r="L5607" s="508">
        <v>0.04</v>
      </c>
      <c r="M5607" s="508">
        <v>4.1000000000000002E-2</v>
      </c>
      <c r="N5607" s="508">
        <v>5.1999999999999998E-2</v>
      </c>
      <c r="O5607" s="508">
        <v>3.6999999999999998E-2</v>
      </c>
      <c r="P5607" s="508">
        <v>2.7E-2</v>
      </c>
      <c r="Q5607" s="508">
        <v>3.1E-2</v>
      </c>
      <c r="R5607" s="508">
        <v>2.8000000000000001E-2</v>
      </c>
      <c r="S5607" s="508">
        <v>2.5000000000000001E-2</v>
      </c>
      <c r="T5607" s="508">
        <v>2.1999999999999999E-2</v>
      </c>
      <c r="U5607" s="508">
        <v>1.4E-2</v>
      </c>
      <c r="V5607" s="508">
        <v>1.2999999999999999E-2</v>
      </c>
      <c r="W5607" s="508">
        <v>1.2999999999999999E-2</v>
      </c>
      <c r="X5607" s="508">
        <v>8.9999999999999993E-3</v>
      </c>
      <c r="Y5607" s="508">
        <v>8.0000000000000002E-3</v>
      </c>
      <c r="Z5607" s="508">
        <v>7.0000000000000001E-3</v>
      </c>
      <c r="AA5607" s="508">
        <v>6.0000000000000001E-3</v>
      </c>
      <c r="AB5607" s="508">
        <v>6.0000000000000001E-3</v>
      </c>
      <c r="AC5607" s="508">
        <v>4.0000000000000001E-3</v>
      </c>
      <c r="AD5607" s="508">
        <v>4.0000000000000001E-3</v>
      </c>
      <c r="AE5607" s="508">
        <v>5.0000000000000001E-3</v>
      </c>
      <c r="AF5607" s="508">
        <v>3.0000000000000001E-3</v>
      </c>
      <c r="AG5607" s="508">
        <v>3.0000000000000001E-3</v>
      </c>
      <c r="AH5607" s="508">
        <v>3.0000000000000001E-3</v>
      </c>
      <c r="AI5607" s="492">
        <v>3.0000000000000001E-3</v>
      </c>
      <c r="AJ5607" s="485"/>
    </row>
    <row r="5608" spans="2:36">
      <c r="B5608" s="136" t="s">
        <v>462</v>
      </c>
      <c r="C5608" s="132" t="s">
        <v>1367</v>
      </c>
      <c r="D5608" s="132" t="s">
        <v>285</v>
      </c>
      <c r="E5608" s="508">
        <v>3.6999999999999998E-2</v>
      </c>
      <c r="F5608" s="508">
        <v>6.4000000000000001E-2</v>
      </c>
      <c r="G5608" s="508">
        <v>5.0999999999999997E-2</v>
      </c>
      <c r="H5608" s="508">
        <v>4.7E-2</v>
      </c>
      <c r="I5608" s="508">
        <v>4.2000000000000003E-2</v>
      </c>
      <c r="J5608" s="508">
        <v>3.5000000000000003E-2</v>
      </c>
      <c r="K5608" s="508">
        <v>0.02</v>
      </c>
      <c r="L5608" s="508">
        <v>1.9E-2</v>
      </c>
      <c r="M5608" s="508">
        <v>1.9E-2</v>
      </c>
      <c r="N5608" s="508">
        <v>2.5999999999999999E-2</v>
      </c>
      <c r="O5608" s="508">
        <v>1.7999999999999999E-2</v>
      </c>
      <c r="P5608" s="508">
        <v>1.2999999999999999E-2</v>
      </c>
      <c r="Q5608" s="508">
        <v>1.4999999999999999E-2</v>
      </c>
      <c r="R5608" s="508">
        <v>1.4E-2</v>
      </c>
      <c r="S5608" s="508">
        <v>1.2E-2</v>
      </c>
      <c r="T5608" s="508">
        <v>1.0999999999999999E-2</v>
      </c>
      <c r="U5608" s="508">
        <v>7.0000000000000001E-3</v>
      </c>
      <c r="V5608" s="508">
        <v>7.0000000000000001E-3</v>
      </c>
      <c r="W5608" s="508">
        <v>7.0000000000000001E-3</v>
      </c>
      <c r="X5608" s="508">
        <v>7.0000000000000001E-3</v>
      </c>
      <c r="Y5608" s="508">
        <v>7.0000000000000001E-3</v>
      </c>
      <c r="Z5608" s="508">
        <v>5.0000000000000001E-3</v>
      </c>
      <c r="AA5608" s="508">
        <v>5.0000000000000001E-3</v>
      </c>
      <c r="AB5608" s="508">
        <v>5.0000000000000001E-3</v>
      </c>
      <c r="AC5608" s="508">
        <v>3.0000000000000001E-3</v>
      </c>
      <c r="AD5608" s="508">
        <v>4.0000000000000001E-3</v>
      </c>
      <c r="AE5608" s="508">
        <v>5.0000000000000001E-3</v>
      </c>
      <c r="AF5608" s="508">
        <v>3.0000000000000001E-3</v>
      </c>
      <c r="AG5608" s="508">
        <v>3.0000000000000001E-3</v>
      </c>
      <c r="AH5608" s="508">
        <v>3.0000000000000001E-3</v>
      </c>
      <c r="AI5608" s="492">
        <v>3.0000000000000001E-3</v>
      </c>
      <c r="AJ5608" s="485"/>
    </row>
    <row r="5609" spans="2:36">
      <c r="B5609" s="136" t="s">
        <v>463</v>
      </c>
      <c r="C5609" s="132" t="s">
        <v>1367</v>
      </c>
      <c r="D5609" s="132" t="s">
        <v>285</v>
      </c>
      <c r="E5609" s="508">
        <v>5.0999999999999997E-2</v>
      </c>
      <c r="F5609" s="508">
        <v>9.1999999999999998E-2</v>
      </c>
      <c r="G5609" s="508">
        <v>7.3999999999999996E-2</v>
      </c>
      <c r="H5609" s="508">
        <v>6.4000000000000001E-2</v>
      </c>
      <c r="I5609" s="508">
        <v>5.8000000000000003E-2</v>
      </c>
      <c r="J5609" s="508">
        <v>5.0999999999999997E-2</v>
      </c>
      <c r="K5609" s="508">
        <v>2.8000000000000001E-2</v>
      </c>
      <c r="L5609" s="508">
        <v>2.7E-2</v>
      </c>
      <c r="M5609" s="508">
        <v>2.7E-2</v>
      </c>
      <c r="N5609" s="508">
        <v>3.5999999999999997E-2</v>
      </c>
      <c r="O5609" s="508">
        <v>2.5999999999999999E-2</v>
      </c>
      <c r="P5609" s="508">
        <v>1.7999999999999999E-2</v>
      </c>
      <c r="Q5609" s="508">
        <v>2.1000000000000001E-2</v>
      </c>
      <c r="R5609" s="508">
        <v>0.02</v>
      </c>
      <c r="S5609" s="508">
        <v>1.7999999999999999E-2</v>
      </c>
      <c r="T5609" s="508">
        <v>1.6E-2</v>
      </c>
      <c r="U5609" s="508">
        <v>0.01</v>
      </c>
      <c r="V5609" s="508">
        <v>8.9999999999999993E-3</v>
      </c>
      <c r="W5609" s="508">
        <v>8.9999999999999993E-3</v>
      </c>
      <c r="X5609" s="508">
        <v>7.0000000000000001E-3</v>
      </c>
      <c r="Y5609" s="508">
        <v>7.0000000000000001E-3</v>
      </c>
      <c r="Z5609" s="508">
        <v>5.0000000000000001E-3</v>
      </c>
      <c r="AA5609" s="508">
        <v>5.0000000000000001E-3</v>
      </c>
      <c r="AB5609" s="508">
        <v>5.0000000000000001E-3</v>
      </c>
      <c r="AC5609" s="508">
        <v>3.0000000000000001E-3</v>
      </c>
      <c r="AD5609" s="508">
        <v>4.0000000000000001E-3</v>
      </c>
      <c r="AE5609" s="508">
        <v>5.0000000000000001E-3</v>
      </c>
      <c r="AF5609" s="508">
        <v>3.0000000000000001E-3</v>
      </c>
      <c r="AG5609" s="508">
        <v>3.0000000000000001E-3</v>
      </c>
      <c r="AH5609" s="508">
        <v>3.0000000000000001E-3</v>
      </c>
      <c r="AI5609" s="492">
        <v>3.0000000000000001E-3</v>
      </c>
      <c r="AJ5609" s="485"/>
    </row>
    <row r="5610" spans="2:36">
      <c r="B5610" s="136" t="s">
        <v>464</v>
      </c>
      <c r="C5610" s="132" t="s">
        <v>1367</v>
      </c>
      <c r="D5610" s="132" t="s">
        <v>285</v>
      </c>
      <c r="E5610" s="508">
        <v>7.6999999999999999E-2</v>
      </c>
      <c r="F5610" s="508">
        <v>0.13500000000000001</v>
      </c>
      <c r="G5610" s="508">
        <v>0.108</v>
      </c>
      <c r="H5610" s="508">
        <v>9.7000000000000003E-2</v>
      </c>
      <c r="I5610" s="508">
        <v>8.7999999999999995E-2</v>
      </c>
      <c r="J5610" s="508">
        <v>7.3999999999999996E-2</v>
      </c>
      <c r="K5610" s="508">
        <v>4.2000000000000003E-2</v>
      </c>
      <c r="L5610" s="508">
        <v>0.04</v>
      </c>
      <c r="M5610" s="508">
        <v>4.1000000000000002E-2</v>
      </c>
      <c r="N5610" s="508">
        <v>5.5E-2</v>
      </c>
      <c r="O5610" s="508">
        <v>3.7999999999999999E-2</v>
      </c>
      <c r="P5610" s="508">
        <v>2.5999999999999999E-2</v>
      </c>
      <c r="Q5610" s="508">
        <v>3.2000000000000001E-2</v>
      </c>
      <c r="R5610" s="508">
        <v>2.9000000000000001E-2</v>
      </c>
      <c r="S5610" s="508">
        <v>2.5000000000000001E-2</v>
      </c>
      <c r="T5610" s="508">
        <v>2.1999999999999999E-2</v>
      </c>
      <c r="U5610" s="508">
        <v>1.2999999999999999E-2</v>
      </c>
      <c r="V5610" s="508">
        <v>1.2E-2</v>
      </c>
      <c r="W5610" s="508">
        <v>1.2E-2</v>
      </c>
      <c r="X5610" s="508">
        <v>8.0000000000000002E-3</v>
      </c>
      <c r="Y5610" s="508">
        <v>8.0000000000000002E-3</v>
      </c>
      <c r="Z5610" s="508">
        <v>6.0000000000000001E-3</v>
      </c>
      <c r="AA5610" s="508">
        <v>6.0000000000000001E-3</v>
      </c>
      <c r="AB5610" s="508">
        <v>5.0000000000000001E-3</v>
      </c>
      <c r="AC5610" s="508">
        <v>4.0000000000000001E-3</v>
      </c>
      <c r="AD5610" s="508">
        <v>4.0000000000000001E-3</v>
      </c>
      <c r="AE5610" s="508">
        <v>5.0000000000000001E-3</v>
      </c>
      <c r="AF5610" s="508">
        <v>3.0000000000000001E-3</v>
      </c>
      <c r="AG5610" s="508">
        <v>3.0000000000000001E-3</v>
      </c>
      <c r="AH5610" s="508">
        <v>3.0000000000000001E-3</v>
      </c>
      <c r="AI5610" s="492">
        <v>3.0000000000000001E-3</v>
      </c>
      <c r="AJ5610" s="485"/>
    </row>
    <row r="5611" spans="2:36">
      <c r="B5611" s="136" t="s">
        <v>465</v>
      </c>
      <c r="C5611" s="132" t="s">
        <v>1367</v>
      </c>
      <c r="D5611" s="132" t="s">
        <v>285</v>
      </c>
      <c r="E5611" s="508">
        <v>6.2E-2</v>
      </c>
      <c r="F5611" s="508">
        <v>0.109</v>
      </c>
      <c r="G5611" s="508">
        <v>8.7999999999999995E-2</v>
      </c>
      <c r="H5611" s="508">
        <v>7.8E-2</v>
      </c>
      <c r="I5611" s="508">
        <v>7.0000000000000007E-2</v>
      </c>
      <c r="J5611" s="508">
        <v>0.06</v>
      </c>
      <c r="K5611" s="508">
        <v>3.4000000000000002E-2</v>
      </c>
      <c r="L5611" s="508">
        <v>3.3000000000000002E-2</v>
      </c>
      <c r="M5611" s="508">
        <v>3.3000000000000002E-2</v>
      </c>
      <c r="N5611" s="508">
        <v>4.2999999999999997E-2</v>
      </c>
      <c r="O5611" s="508">
        <v>3.1E-2</v>
      </c>
      <c r="P5611" s="508">
        <v>2.1999999999999999E-2</v>
      </c>
      <c r="Q5611" s="508">
        <v>2.5000000000000001E-2</v>
      </c>
      <c r="R5611" s="508">
        <v>2.3E-2</v>
      </c>
      <c r="S5611" s="508">
        <v>2.1000000000000001E-2</v>
      </c>
      <c r="T5611" s="508">
        <v>1.7999999999999999E-2</v>
      </c>
      <c r="U5611" s="508">
        <v>1.0999999999999999E-2</v>
      </c>
      <c r="V5611" s="508">
        <v>0.01</v>
      </c>
      <c r="W5611" s="508">
        <v>0.01</v>
      </c>
      <c r="X5611" s="508">
        <v>8.0000000000000002E-3</v>
      </c>
      <c r="Y5611" s="508">
        <v>7.0000000000000001E-3</v>
      </c>
      <c r="Z5611" s="508">
        <v>6.0000000000000001E-3</v>
      </c>
      <c r="AA5611" s="508">
        <v>5.0000000000000001E-3</v>
      </c>
      <c r="AB5611" s="508">
        <v>5.0000000000000001E-3</v>
      </c>
      <c r="AC5611" s="508">
        <v>4.0000000000000001E-3</v>
      </c>
      <c r="AD5611" s="508">
        <v>4.0000000000000001E-3</v>
      </c>
      <c r="AE5611" s="508">
        <v>5.0000000000000001E-3</v>
      </c>
      <c r="AF5611" s="508">
        <v>3.0000000000000001E-3</v>
      </c>
      <c r="AG5611" s="508">
        <v>3.0000000000000001E-3</v>
      </c>
      <c r="AH5611" s="508">
        <v>3.0000000000000001E-3</v>
      </c>
      <c r="AI5611" s="492">
        <v>3.0000000000000001E-3</v>
      </c>
      <c r="AJ5611" s="485"/>
    </row>
    <row r="5612" spans="2:36">
      <c r="B5612" s="136" t="s">
        <v>466</v>
      </c>
      <c r="C5612" s="132" t="s">
        <v>1367</v>
      </c>
      <c r="D5612" s="132" t="s">
        <v>285</v>
      </c>
      <c r="E5612" s="508">
        <v>3.7999999999999999E-2</v>
      </c>
      <c r="F5612" s="508">
        <v>6.6000000000000003E-2</v>
      </c>
      <c r="G5612" s="508">
        <v>5.2999999999999999E-2</v>
      </c>
      <c r="H5612" s="508">
        <v>4.8000000000000001E-2</v>
      </c>
      <c r="I5612" s="508">
        <v>4.2999999999999997E-2</v>
      </c>
      <c r="J5612" s="508">
        <v>3.5000000000000003E-2</v>
      </c>
      <c r="K5612" s="508">
        <v>2.1000000000000001E-2</v>
      </c>
      <c r="L5612" s="508">
        <v>2.1000000000000001E-2</v>
      </c>
      <c r="M5612" s="508">
        <v>2.1000000000000001E-2</v>
      </c>
      <c r="N5612" s="508">
        <v>2.5000000000000001E-2</v>
      </c>
      <c r="O5612" s="508">
        <v>1.7999999999999999E-2</v>
      </c>
      <c r="P5612" s="508">
        <v>1.4E-2</v>
      </c>
      <c r="Q5612" s="508">
        <v>1.4999999999999999E-2</v>
      </c>
      <c r="R5612" s="508">
        <v>1.4E-2</v>
      </c>
      <c r="S5612" s="508">
        <v>1.2999999999999999E-2</v>
      </c>
      <c r="T5612" s="508">
        <v>1.0999999999999999E-2</v>
      </c>
      <c r="U5612" s="508">
        <v>7.0000000000000001E-3</v>
      </c>
      <c r="V5612" s="508">
        <v>7.0000000000000001E-3</v>
      </c>
      <c r="W5612" s="508">
        <v>7.0000000000000001E-3</v>
      </c>
      <c r="X5612" s="508">
        <v>7.0000000000000001E-3</v>
      </c>
      <c r="Y5612" s="508">
        <v>6.0000000000000001E-3</v>
      </c>
      <c r="Z5612" s="508">
        <v>5.0000000000000001E-3</v>
      </c>
      <c r="AA5612" s="508">
        <v>4.0000000000000001E-3</v>
      </c>
      <c r="AB5612" s="508">
        <v>4.0000000000000001E-3</v>
      </c>
      <c r="AC5612" s="508">
        <v>3.0000000000000001E-3</v>
      </c>
      <c r="AD5612" s="508">
        <v>3.0000000000000001E-3</v>
      </c>
      <c r="AE5612" s="508">
        <v>4.0000000000000001E-3</v>
      </c>
      <c r="AF5612" s="508">
        <v>3.0000000000000001E-3</v>
      </c>
      <c r="AG5612" s="508">
        <v>3.0000000000000001E-3</v>
      </c>
      <c r="AH5612" s="508">
        <v>3.0000000000000001E-3</v>
      </c>
      <c r="AI5612" s="492">
        <v>3.0000000000000001E-3</v>
      </c>
      <c r="AJ5612" s="485"/>
    </row>
    <row r="5613" spans="2:36">
      <c r="B5613" s="136" t="s">
        <v>467</v>
      </c>
      <c r="C5613" s="132" t="s">
        <v>1367</v>
      </c>
      <c r="D5613" s="132" t="s">
        <v>285</v>
      </c>
      <c r="E5613" s="508">
        <v>6.9000000000000006E-2</v>
      </c>
      <c r="F5613" s="508">
        <v>0.122</v>
      </c>
      <c r="G5613" s="508">
        <v>9.8000000000000004E-2</v>
      </c>
      <c r="H5613" s="508">
        <v>8.7999999999999995E-2</v>
      </c>
      <c r="I5613" s="508">
        <v>7.9000000000000001E-2</v>
      </c>
      <c r="J5613" s="508">
        <v>6.6000000000000003E-2</v>
      </c>
      <c r="K5613" s="508">
        <v>3.7999999999999999E-2</v>
      </c>
      <c r="L5613" s="508">
        <v>3.6999999999999998E-2</v>
      </c>
      <c r="M5613" s="508">
        <v>3.7999999999999999E-2</v>
      </c>
      <c r="N5613" s="508">
        <v>4.8000000000000001E-2</v>
      </c>
      <c r="O5613" s="508">
        <v>3.4000000000000002E-2</v>
      </c>
      <c r="P5613" s="508">
        <v>2.4E-2</v>
      </c>
      <c r="Q5613" s="508">
        <v>2.8000000000000001E-2</v>
      </c>
      <c r="R5613" s="508">
        <v>2.5999999999999999E-2</v>
      </c>
      <c r="S5613" s="508">
        <v>2.3E-2</v>
      </c>
      <c r="T5613" s="508">
        <v>0.02</v>
      </c>
      <c r="U5613" s="508">
        <v>1.2E-2</v>
      </c>
      <c r="V5613" s="508">
        <v>1.0999999999999999E-2</v>
      </c>
      <c r="W5613" s="508">
        <v>1.2E-2</v>
      </c>
      <c r="X5613" s="508">
        <v>8.0000000000000002E-3</v>
      </c>
      <c r="Y5613" s="508">
        <v>8.0000000000000002E-3</v>
      </c>
      <c r="Z5613" s="508">
        <v>6.0000000000000001E-3</v>
      </c>
      <c r="AA5613" s="508">
        <v>6.0000000000000001E-3</v>
      </c>
      <c r="AB5613" s="508">
        <v>5.0000000000000001E-3</v>
      </c>
      <c r="AC5613" s="508">
        <v>4.0000000000000001E-3</v>
      </c>
      <c r="AD5613" s="508">
        <v>4.0000000000000001E-3</v>
      </c>
      <c r="AE5613" s="508">
        <v>5.0000000000000001E-3</v>
      </c>
      <c r="AF5613" s="508">
        <v>3.0000000000000001E-3</v>
      </c>
      <c r="AG5613" s="508">
        <v>3.0000000000000001E-3</v>
      </c>
      <c r="AH5613" s="508">
        <v>3.0000000000000001E-3</v>
      </c>
      <c r="AI5613" s="492">
        <v>3.0000000000000001E-3</v>
      </c>
      <c r="AJ5613" s="485"/>
    </row>
    <row r="5614" spans="2:36">
      <c r="B5614" s="136" t="s">
        <v>468</v>
      </c>
      <c r="C5614" s="132" t="s">
        <v>1367</v>
      </c>
      <c r="D5614" s="132" t="s">
        <v>285</v>
      </c>
      <c r="E5614" s="508">
        <v>5.5E-2</v>
      </c>
      <c r="F5614" s="508">
        <v>9.9000000000000005E-2</v>
      </c>
      <c r="G5614" s="508">
        <v>0.08</v>
      </c>
      <c r="H5614" s="508">
        <v>7.0000000000000007E-2</v>
      </c>
      <c r="I5614" s="508">
        <v>6.3E-2</v>
      </c>
      <c r="J5614" s="508">
        <v>5.5E-2</v>
      </c>
      <c r="K5614" s="508">
        <v>0.03</v>
      </c>
      <c r="L5614" s="508">
        <v>2.9000000000000001E-2</v>
      </c>
      <c r="M5614" s="508">
        <v>0.03</v>
      </c>
      <c r="N5614" s="508">
        <v>3.9E-2</v>
      </c>
      <c r="O5614" s="508">
        <v>2.8000000000000001E-2</v>
      </c>
      <c r="P5614" s="508">
        <v>0.02</v>
      </c>
      <c r="Q5614" s="508">
        <v>2.3E-2</v>
      </c>
      <c r="R5614" s="508">
        <v>2.1000000000000001E-2</v>
      </c>
      <c r="S5614" s="508">
        <v>1.9E-2</v>
      </c>
      <c r="T5614" s="508">
        <v>1.7000000000000001E-2</v>
      </c>
      <c r="U5614" s="508">
        <v>0.01</v>
      </c>
      <c r="V5614" s="508">
        <v>8.9999999999999993E-3</v>
      </c>
      <c r="W5614" s="508">
        <v>8.9999999999999993E-3</v>
      </c>
      <c r="X5614" s="508">
        <v>7.0000000000000001E-3</v>
      </c>
      <c r="Y5614" s="508">
        <v>7.0000000000000001E-3</v>
      </c>
      <c r="Z5614" s="508">
        <v>6.0000000000000001E-3</v>
      </c>
      <c r="AA5614" s="508">
        <v>5.0000000000000001E-3</v>
      </c>
      <c r="AB5614" s="508">
        <v>5.0000000000000001E-3</v>
      </c>
      <c r="AC5614" s="508">
        <v>4.0000000000000001E-3</v>
      </c>
      <c r="AD5614" s="508">
        <v>4.0000000000000001E-3</v>
      </c>
      <c r="AE5614" s="508">
        <v>5.0000000000000001E-3</v>
      </c>
      <c r="AF5614" s="508">
        <v>3.0000000000000001E-3</v>
      </c>
      <c r="AG5614" s="508">
        <v>3.0000000000000001E-3</v>
      </c>
      <c r="AH5614" s="508">
        <v>3.0000000000000001E-3</v>
      </c>
      <c r="AI5614" s="492">
        <v>3.0000000000000001E-3</v>
      </c>
      <c r="AJ5614" s="485"/>
    </row>
    <row r="5615" spans="2:36">
      <c r="B5615" s="136" t="s">
        <v>469</v>
      </c>
      <c r="C5615" s="132" t="s">
        <v>1367</v>
      </c>
      <c r="D5615" s="132" t="s">
        <v>285</v>
      </c>
      <c r="E5615" s="508">
        <v>4.8000000000000001E-2</v>
      </c>
      <c r="F5615" s="508">
        <v>8.5000000000000006E-2</v>
      </c>
      <c r="G5615" s="508">
        <v>6.8000000000000005E-2</v>
      </c>
      <c r="H5615" s="508">
        <v>6.0999999999999999E-2</v>
      </c>
      <c r="I5615" s="508">
        <v>5.5E-2</v>
      </c>
      <c r="J5615" s="508">
        <v>4.5999999999999999E-2</v>
      </c>
      <c r="K5615" s="508">
        <v>2.5999999999999999E-2</v>
      </c>
      <c r="L5615" s="508">
        <v>2.5000000000000001E-2</v>
      </c>
      <c r="M5615" s="508">
        <v>2.5999999999999999E-2</v>
      </c>
      <c r="N5615" s="508">
        <v>3.4000000000000002E-2</v>
      </c>
      <c r="O5615" s="508">
        <v>2.4E-2</v>
      </c>
      <c r="P5615" s="508">
        <v>1.7000000000000001E-2</v>
      </c>
      <c r="Q5615" s="508">
        <v>0.02</v>
      </c>
      <c r="R5615" s="508">
        <v>1.7999999999999999E-2</v>
      </c>
      <c r="S5615" s="508">
        <v>1.6E-2</v>
      </c>
      <c r="T5615" s="508">
        <v>1.4E-2</v>
      </c>
      <c r="U5615" s="508">
        <v>8.9999999999999993E-3</v>
      </c>
      <c r="V5615" s="508">
        <v>8.0000000000000002E-3</v>
      </c>
      <c r="W5615" s="508">
        <v>8.0000000000000002E-3</v>
      </c>
      <c r="X5615" s="508">
        <v>7.0000000000000001E-3</v>
      </c>
      <c r="Y5615" s="508">
        <v>7.0000000000000001E-3</v>
      </c>
      <c r="Z5615" s="508">
        <v>5.0000000000000001E-3</v>
      </c>
      <c r="AA5615" s="508">
        <v>5.0000000000000001E-3</v>
      </c>
      <c r="AB5615" s="508">
        <v>5.0000000000000001E-3</v>
      </c>
      <c r="AC5615" s="508">
        <v>3.0000000000000001E-3</v>
      </c>
      <c r="AD5615" s="508">
        <v>4.0000000000000001E-3</v>
      </c>
      <c r="AE5615" s="508">
        <v>5.0000000000000001E-3</v>
      </c>
      <c r="AF5615" s="508">
        <v>3.0000000000000001E-3</v>
      </c>
      <c r="AG5615" s="508">
        <v>3.0000000000000001E-3</v>
      </c>
      <c r="AH5615" s="508">
        <v>3.0000000000000001E-3</v>
      </c>
      <c r="AI5615" s="492">
        <v>3.0000000000000001E-3</v>
      </c>
      <c r="AJ5615" s="485"/>
    </row>
    <row r="5616" spans="2:36">
      <c r="B5616" s="136" t="s">
        <v>470</v>
      </c>
      <c r="C5616" s="132" t="s">
        <v>1367</v>
      </c>
      <c r="D5616" s="132" t="s">
        <v>285</v>
      </c>
      <c r="E5616" s="508">
        <v>0.06</v>
      </c>
      <c r="F5616" s="508">
        <v>0.106</v>
      </c>
      <c r="G5616" s="508">
        <v>8.5000000000000006E-2</v>
      </c>
      <c r="H5616" s="508">
        <v>7.4999999999999997E-2</v>
      </c>
      <c r="I5616" s="508">
        <v>6.8000000000000005E-2</v>
      </c>
      <c r="J5616" s="508">
        <v>5.6000000000000001E-2</v>
      </c>
      <c r="K5616" s="508">
        <v>3.3000000000000002E-2</v>
      </c>
      <c r="L5616" s="508">
        <v>3.2000000000000001E-2</v>
      </c>
      <c r="M5616" s="508">
        <v>3.3000000000000002E-2</v>
      </c>
      <c r="N5616" s="508">
        <v>0.04</v>
      </c>
      <c r="O5616" s="508">
        <v>2.9000000000000001E-2</v>
      </c>
      <c r="P5616" s="508">
        <v>2.1999999999999999E-2</v>
      </c>
      <c r="Q5616" s="508">
        <v>2.4E-2</v>
      </c>
      <c r="R5616" s="508">
        <v>2.3E-2</v>
      </c>
      <c r="S5616" s="508">
        <v>2.1000000000000001E-2</v>
      </c>
      <c r="T5616" s="508">
        <v>1.7999999999999999E-2</v>
      </c>
      <c r="U5616" s="508">
        <v>1.2E-2</v>
      </c>
      <c r="V5616" s="508">
        <v>0.01</v>
      </c>
      <c r="W5616" s="508">
        <v>1.0999999999999999E-2</v>
      </c>
      <c r="X5616" s="508">
        <v>8.0000000000000002E-3</v>
      </c>
      <c r="Y5616" s="508">
        <v>7.0000000000000001E-3</v>
      </c>
      <c r="Z5616" s="508">
        <v>6.0000000000000001E-3</v>
      </c>
      <c r="AA5616" s="508">
        <v>5.0000000000000001E-3</v>
      </c>
      <c r="AB5616" s="508">
        <v>5.0000000000000001E-3</v>
      </c>
      <c r="AC5616" s="508">
        <v>4.0000000000000001E-3</v>
      </c>
      <c r="AD5616" s="508">
        <v>4.0000000000000001E-3</v>
      </c>
      <c r="AE5616" s="508">
        <v>5.0000000000000001E-3</v>
      </c>
      <c r="AF5616" s="508">
        <v>3.0000000000000001E-3</v>
      </c>
      <c r="AG5616" s="508">
        <v>3.0000000000000001E-3</v>
      </c>
      <c r="AH5616" s="508">
        <v>3.0000000000000001E-3</v>
      </c>
      <c r="AI5616" s="492">
        <v>3.0000000000000001E-3</v>
      </c>
      <c r="AJ5616" s="485"/>
    </row>
    <row r="5617" spans="2:36">
      <c r="B5617" s="136" t="s">
        <v>471</v>
      </c>
      <c r="C5617" s="132" t="s">
        <v>1367</v>
      </c>
      <c r="D5617" s="132" t="s">
        <v>285</v>
      </c>
      <c r="E5617" s="508">
        <v>4.2000000000000003E-2</v>
      </c>
      <c r="F5617" s="508">
        <v>7.3999999999999996E-2</v>
      </c>
      <c r="G5617" s="508">
        <v>0.06</v>
      </c>
      <c r="H5617" s="508">
        <v>5.3999999999999999E-2</v>
      </c>
      <c r="I5617" s="508">
        <v>4.9000000000000002E-2</v>
      </c>
      <c r="J5617" s="508">
        <v>0.04</v>
      </c>
      <c r="K5617" s="508">
        <v>2.3E-2</v>
      </c>
      <c r="L5617" s="508">
        <v>2.3E-2</v>
      </c>
      <c r="M5617" s="508">
        <v>2.3E-2</v>
      </c>
      <c r="N5617" s="508">
        <v>0.03</v>
      </c>
      <c r="O5617" s="508">
        <v>2.1000000000000001E-2</v>
      </c>
      <c r="P5617" s="508">
        <v>1.4999999999999999E-2</v>
      </c>
      <c r="Q5617" s="508">
        <v>1.7999999999999999E-2</v>
      </c>
      <c r="R5617" s="508">
        <v>1.6E-2</v>
      </c>
      <c r="S5617" s="508">
        <v>1.4E-2</v>
      </c>
      <c r="T5617" s="508">
        <v>1.2999999999999999E-2</v>
      </c>
      <c r="U5617" s="508">
        <v>8.9999999999999993E-3</v>
      </c>
      <c r="V5617" s="508">
        <v>8.0000000000000002E-3</v>
      </c>
      <c r="W5617" s="508">
        <v>8.0000000000000002E-3</v>
      </c>
      <c r="X5617" s="508">
        <v>7.0000000000000001E-3</v>
      </c>
      <c r="Y5617" s="508">
        <v>7.0000000000000001E-3</v>
      </c>
      <c r="Z5617" s="508">
        <v>6.0000000000000001E-3</v>
      </c>
      <c r="AA5617" s="508">
        <v>5.0000000000000001E-3</v>
      </c>
      <c r="AB5617" s="508">
        <v>5.0000000000000001E-3</v>
      </c>
      <c r="AC5617" s="508">
        <v>3.0000000000000001E-3</v>
      </c>
      <c r="AD5617" s="508">
        <v>4.0000000000000001E-3</v>
      </c>
      <c r="AE5617" s="508">
        <v>5.0000000000000001E-3</v>
      </c>
      <c r="AF5617" s="508">
        <v>3.0000000000000001E-3</v>
      </c>
      <c r="AG5617" s="508">
        <v>3.0000000000000001E-3</v>
      </c>
      <c r="AH5617" s="508">
        <v>3.0000000000000001E-3</v>
      </c>
      <c r="AI5617" s="492">
        <v>3.0000000000000001E-3</v>
      </c>
      <c r="AJ5617" s="485"/>
    </row>
    <row r="5618" spans="2:36">
      <c r="B5618" s="136" t="s">
        <v>472</v>
      </c>
      <c r="C5618" s="132" t="s">
        <v>1367</v>
      </c>
      <c r="D5618" s="132" t="s">
        <v>285</v>
      </c>
      <c r="E5618" s="508">
        <v>8.7999999999999995E-2</v>
      </c>
      <c r="F5618" s="508">
        <v>0.154</v>
      </c>
      <c r="G5618" s="508">
        <v>0.124</v>
      </c>
      <c r="H5618" s="508">
        <v>0.111</v>
      </c>
      <c r="I5618" s="508">
        <v>0.10100000000000001</v>
      </c>
      <c r="J5618" s="508">
        <v>8.5000000000000006E-2</v>
      </c>
      <c r="K5618" s="508">
        <v>4.8000000000000001E-2</v>
      </c>
      <c r="L5618" s="508">
        <v>4.5999999999999999E-2</v>
      </c>
      <c r="M5618" s="508">
        <v>4.7E-2</v>
      </c>
      <c r="N5618" s="508">
        <v>6.3E-2</v>
      </c>
      <c r="O5618" s="508">
        <v>4.2999999999999997E-2</v>
      </c>
      <c r="P5618" s="508">
        <v>0.03</v>
      </c>
      <c r="Q5618" s="508">
        <v>3.5999999999999997E-2</v>
      </c>
      <c r="R5618" s="508">
        <v>3.3000000000000002E-2</v>
      </c>
      <c r="S5618" s="508">
        <v>2.8000000000000001E-2</v>
      </c>
      <c r="T5618" s="508">
        <v>2.5000000000000001E-2</v>
      </c>
      <c r="U5618" s="508">
        <v>1.4999999999999999E-2</v>
      </c>
      <c r="V5618" s="508">
        <v>1.4999999999999999E-2</v>
      </c>
      <c r="W5618" s="508">
        <v>1.4999999999999999E-2</v>
      </c>
      <c r="X5618" s="508">
        <v>0.01</v>
      </c>
      <c r="Y5618" s="508">
        <v>8.9999999999999993E-3</v>
      </c>
      <c r="Z5618" s="508">
        <v>7.0000000000000001E-3</v>
      </c>
      <c r="AA5618" s="508">
        <v>7.0000000000000001E-3</v>
      </c>
      <c r="AB5618" s="508">
        <v>6.0000000000000001E-3</v>
      </c>
      <c r="AC5618" s="508">
        <v>4.0000000000000001E-3</v>
      </c>
      <c r="AD5618" s="508">
        <v>5.0000000000000001E-3</v>
      </c>
      <c r="AE5618" s="508">
        <v>6.0000000000000001E-3</v>
      </c>
      <c r="AF5618" s="508">
        <v>4.0000000000000001E-3</v>
      </c>
      <c r="AG5618" s="508">
        <v>3.0000000000000001E-3</v>
      </c>
      <c r="AH5618" s="508">
        <v>3.0000000000000001E-3</v>
      </c>
      <c r="AI5618" s="492">
        <v>4.0000000000000001E-3</v>
      </c>
      <c r="AJ5618" s="485"/>
    </row>
    <row r="5619" spans="2:36">
      <c r="B5619" s="136" t="s">
        <v>473</v>
      </c>
      <c r="C5619" s="132" t="s">
        <v>1367</v>
      </c>
      <c r="D5619" s="132" t="s">
        <v>285</v>
      </c>
      <c r="E5619" s="508">
        <v>5.8000000000000003E-2</v>
      </c>
      <c r="F5619" s="508">
        <v>0.1</v>
      </c>
      <c r="G5619" s="508">
        <v>0.08</v>
      </c>
      <c r="H5619" s="508">
        <v>7.1999999999999995E-2</v>
      </c>
      <c r="I5619" s="508">
        <v>6.6000000000000003E-2</v>
      </c>
      <c r="J5619" s="508">
        <v>5.2999999999999999E-2</v>
      </c>
      <c r="K5619" s="508">
        <v>3.2000000000000001E-2</v>
      </c>
      <c r="L5619" s="508">
        <v>3.1E-2</v>
      </c>
      <c r="M5619" s="508">
        <v>3.2000000000000001E-2</v>
      </c>
      <c r="N5619" s="508">
        <v>3.9E-2</v>
      </c>
      <c r="O5619" s="508">
        <v>2.8000000000000001E-2</v>
      </c>
      <c r="P5619" s="508">
        <v>2.1000000000000001E-2</v>
      </c>
      <c r="Q5619" s="508">
        <v>2.3E-2</v>
      </c>
      <c r="R5619" s="508">
        <v>2.1000000000000001E-2</v>
      </c>
      <c r="S5619" s="508">
        <v>1.9E-2</v>
      </c>
      <c r="T5619" s="508">
        <v>1.7000000000000001E-2</v>
      </c>
      <c r="U5619" s="508">
        <v>0.01</v>
      </c>
      <c r="V5619" s="508">
        <v>8.9999999999999993E-3</v>
      </c>
      <c r="W5619" s="508">
        <v>8.9999999999999993E-3</v>
      </c>
      <c r="X5619" s="508">
        <v>7.0000000000000001E-3</v>
      </c>
      <c r="Y5619" s="508">
        <v>7.0000000000000001E-3</v>
      </c>
      <c r="Z5619" s="508">
        <v>5.0000000000000001E-3</v>
      </c>
      <c r="AA5619" s="508">
        <v>5.0000000000000001E-3</v>
      </c>
      <c r="AB5619" s="508">
        <v>4.0000000000000001E-3</v>
      </c>
      <c r="AC5619" s="508">
        <v>3.0000000000000001E-3</v>
      </c>
      <c r="AD5619" s="508">
        <v>4.0000000000000001E-3</v>
      </c>
      <c r="AE5619" s="508">
        <v>5.0000000000000001E-3</v>
      </c>
      <c r="AF5619" s="508">
        <v>3.0000000000000001E-3</v>
      </c>
      <c r="AG5619" s="508">
        <v>3.0000000000000001E-3</v>
      </c>
      <c r="AH5619" s="508">
        <v>3.0000000000000001E-3</v>
      </c>
      <c r="AI5619" s="492">
        <v>3.0000000000000001E-3</v>
      </c>
      <c r="AJ5619" s="485"/>
    </row>
    <row r="5620" spans="2:36">
      <c r="B5620" s="136" t="s">
        <v>474</v>
      </c>
      <c r="C5620" s="132" t="s">
        <v>1367</v>
      </c>
      <c r="D5620" s="132" t="s">
        <v>285</v>
      </c>
      <c r="E5620" s="508">
        <v>4.1000000000000002E-2</v>
      </c>
      <c r="F5620" s="508">
        <v>7.2999999999999995E-2</v>
      </c>
      <c r="G5620" s="508">
        <v>5.8000000000000003E-2</v>
      </c>
      <c r="H5620" s="508">
        <v>5.1999999999999998E-2</v>
      </c>
      <c r="I5620" s="508">
        <v>4.7E-2</v>
      </c>
      <c r="J5620" s="508">
        <v>0.04</v>
      </c>
      <c r="K5620" s="508">
        <v>2.3E-2</v>
      </c>
      <c r="L5620" s="508">
        <v>2.1999999999999999E-2</v>
      </c>
      <c r="M5620" s="508">
        <v>2.1999999999999999E-2</v>
      </c>
      <c r="N5620" s="508">
        <v>2.9000000000000001E-2</v>
      </c>
      <c r="O5620" s="508">
        <v>0.02</v>
      </c>
      <c r="P5620" s="508">
        <v>1.4999999999999999E-2</v>
      </c>
      <c r="Q5620" s="508">
        <v>1.7000000000000001E-2</v>
      </c>
      <c r="R5620" s="508">
        <v>1.6E-2</v>
      </c>
      <c r="S5620" s="508">
        <v>1.4E-2</v>
      </c>
      <c r="T5620" s="508">
        <v>1.2E-2</v>
      </c>
      <c r="U5620" s="508">
        <v>8.0000000000000002E-3</v>
      </c>
      <c r="V5620" s="508">
        <v>7.0000000000000001E-3</v>
      </c>
      <c r="W5620" s="508">
        <v>7.0000000000000001E-3</v>
      </c>
      <c r="X5620" s="508">
        <v>7.0000000000000001E-3</v>
      </c>
      <c r="Y5620" s="508">
        <v>6.0000000000000001E-3</v>
      </c>
      <c r="Z5620" s="508">
        <v>5.0000000000000001E-3</v>
      </c>
      <c r="AA5620" s="508">
        <v>5.0000000000000001E-3</v>
      </c>
      <c r="AB5620" s="508">
        <v>4.0000000000000001E-3</v>
      </c>
      <c r="AC5620" s="508">
        <v>3.0000000000000001E-3</v>
      </c>
      <c r="AD5620" s="508">
        <v>4.0000000000000001E-3</v>
      </c>
      <c r="AE5620" s="508">
        <v>4.0000000000000001E-3</v>
      </c>
      <c r="AF5620" s="508">
        <v>3.0000000000000001E-3</v>
      </c>
      <c r="AG5620" s="508">
        <v>3.0000000000000001E-3</v>
      </c>
      <c r="AH5620" s="508">
        <v>3.0000000000000001E-3</v>
      </c>
      <c r="AI5620" s="492">
        <v>3.0000000000000001E-3</v>
      </c>
      <c r="AJ5620" s="485"/>
    </row>
    <row r="5621" spans="2:36">
      <c r="B5621" s="136" t="s">
        <v>475</v>
      </c>
      <c r="C5621" s="132" t="s">
        <v>1367</v>
      </c>
      <c r="D5621" s="132" t="s">
        <v>285</v>
      </c>
      <c r="E5621" s="508">
        <v>5.8999999999999997E-2</v>
      </c>
      <c r="F5621" s="508">
        <v>0.10299999999999999</v>
      </c>
      <c r="G5621" s="508">
        <v>8.3000000000000004E-2</v>
      </c>
      <c r="H5621" s="508">
        <v>7.3999999999999996E-2</v>
      </c>
      <c r="I5621" s="508">
        <v>6.7000000000000004E-2</v>
      </c>
      <c r="J5621" s="508">
        <v>5.6000000000000001E-2</v>
      </c>
      <c r="K5621" s="508">
        <v>3.2000000000000001E-2</v>
      </c>
      <c r="L5621" s="508">
        <v>3.1E-2</v>
      </c>
      <c r="M5621" s="508">
        <v>3.2000000000000001E-2</v>
      </c>
      <c r="N5621" s="508">
        <v>4.1000000000000002E-2</v>
      </c>
      <c r="O5621" s="508">
        <v>2.9000000000000001E-2</v>
      </c>
      <c r="P5621" s="508">
        <v>2.1000000000000001E-2</v>
      </c>
      <c r="Q5621" s="508">
        <v>2.4E-2</v>
      </c>
      <c r="R5621" s="508">
        <v>2.1999999999999999E-2</v>
      </c>
      <c r="S5621" s="508">
        <v>0.02</v>
      </c>
      <c r="T5621" s="508">
        <v>1.7000000000000001E-2</v>
      </c>
      <c r="U5621" s="508">
        <v>0.01</v>
      </c>
      <c r="V5621" s="508">
        <v>0.01</v>
      </c>
      <c r="W5621" s="508">
        <v>0.01</v>
      </c>
      <c r="X5621" s="508">
        <v>7.0000000000000001E-3</v>
      </c>
      <c r="Y5621" s="508">
        <v>7.0000000000000001E-3</v>
      </c>
      <c r="Z5621" s="508">
        <v>6.0000000000000001E-3</v>
      </c>
      <c r="AA5621" s="508">
        <v>5.0000000000000001E-3</v>
      </c>
      <c r="AB5621" s="508">
        <v>5.0000000000000001E-3</v>
      </c>
      <c r="AC5621" s="508">
        <v>4.0000000000000001E-3</v>
      </c>
      <c r="AD5621" s="508">
        <v>4.0000000000000001E-3</v>
      </c>
      <c r="AE5621" s="508">
        <v>5.0000000000000001E-3</v>
      </c>
      <c r="AF5621" s="508">
        <v>3.0000000000000001E-3</v>
      </c>
      <c r="AG5621" s="508">
        <v>3.0000000000000001E-3</v>
      </c>
      <c r="AH5621" s="508">
        <v>3.0000000000000001E-3</v>
      </c>
      <c r="AI5621" s="492">
        <v>3.0000000000000001E-3</v>
      </c>
      <c r="AJ5621" s="485"/>
    </row>
    <row r="5622" spans="2:36">
      <c r="B5622" s="136" t="s">
        <v>476</v>
      </c>
      <c r="C5622" s="132" t="s">
        <v>1367</v>
      </c>
      <c r="D5622" s="132" t="s">
        <v>285</v>
      </c>
      <c r="E5622" s="508">
        <v>5.8000000000000003E-2</v>
      </c>
      <c r="F5622" s="508">
        <v>0.10199999999999999</v>
      </c>
      <c r="G5622" s="508">
        <v>8.2000000000000003E-2</v>
      </c>
      <c r="H5622" s="508">
        <v>7.2999999999999995E-2</v>
      </c>
      <c r="I5622" s="508">
        <v>6.6000000000000003E-2</v>
      </c>
      <c r="J5622" s="508">
        <v>5.3999999999999999E-2</v>
      </c>
      <c r="K5622" s="508">
        <v>3.2000000000000001E-2</v>
      </c>
      <c r="L5622" s="508">
        <v>3.1E-2</v>
      </c>
      <c r="M5622" s="508">
        <v>3.2000000000000001E-2</v>
      </c>
      <c r="N5622" s="508">
        <v>3.9E-2</v>
      </c>
      <c r="O5622" s="508">
        <v>2.8000000000000001E-2</v>
      </c>
      <c r="P5622" s="508">
        <v>2.1000000000000001E-2</v>
      </c>
      <c r="Q5622" s="508">
        <v>2.4E-2</v>
      </c>
      <c r="R5622" s="508">
        <v>2.1999999999999999E-2</v>
      </c>
      <c r="S5622" s="508">
        <v>0.02</v>
      </c>
      <c r="T5622" s="508">
        <v>1.7000000000000001E-2</v>
      </c>
      <c r="U5622" s="508">
        <v>1.0999999999999999E-2</v>
      </c>
      <c r="V5622" s="508">
        <v>0.01</v>
      </c>
      <c r="W5622" s="508">
        <v>0.01</v>
      </c>
      <c r="X5622" s="508">
        <v>8.0000000000000002E-3</v>
      </c>
      <c r="Y5622" s="508">
        <v>7.0000000000000001E-3</v>
      </c>
      <c r="Z5622" s="508">
        <v>6.0000000000000001E-3</v>
      </c>
      <c r="AA5622" s="508">
        <v>5.0000000000000001E-3</v>
      </c>
      <c r="AB5622" s="508">
        <v>5.0000000000000001E-3</v>
      </c>
      <c r="AC5622" s="508">
        <v>4.0000000000000001E-3</v>
      </c>
      <c r="AD5622" s="508">
        <v>4.0000000000000001E-3</v>
      </c>
      <c r="AE5622" s="508">
        <v>5.0000000000000001E-3</v>
      </c>
      <c r="AF5622" s="508">
        <v>3.0000000000000001E-3</v>
      </c>
      <c r="AG5622" s="508">
        <v>3.0000000000000001E-3</v>
      </c>
      <c r="AH5622" s="508">
        <v>3.0000000000000001E-3</v>
      </c>
      <c r="AI5622" s="492">
        <v>3.0000000000000001E-3</v>
      </c>
      <c r="AJ5622" s="485"/>
    </row>
    <row r="5623" spans="2:36">
      <c r="B5623" s="136" t="s">
        <v>478</v>
      </c>
      <c r="C5623" s="132" t="s">
        <v>1367</v>
      </c>
      <c r="D5623" s="132" t="s">
        <v>285</v>
      </c>
      <c r="E5623" s="508">
        <v>0.06</v>
      </c>
      <c r="F5623" s="508">
        <v>0.106</v>
      </c>
      <c r="G5623" s="508">
        <v>8.5000000000000006E-2</v>
      </c>
      <c r="H5623" s="508">
        <v>7.3999999999999996E-2</v>
      </c>
      <c r="I5623" s="508">
        <v>6.8000000000000005E-2</v>
      </c>
      <c r="J5623" s="508">
        <v>5.6000000000000001E-2</v>
      </c>
      <c r="K5623" s="508">
        <v>3.3000000000000002E-2</v>
      </c>
      <c r="L5623" s="508">
        <v>3.2000000000000001E-2</v>
      </c>
      <c r="M5623" s="508">
        <v>3.3000000000000002E-2</v>
      </c>
      <c r="N5623" s="508">
        <v>3.9E-2</v>
      </c>
      <c r="O5623" s="508">
        <v>2.9000000000000001E-2</v>
      </c>
      <c r="P5623" s="508">
        <v>2.1999999999999999E-2</v>
      </c>
      <c r="Q5623" s="508">
        <v>2.4E-2</v>
      </c>
      <c r="R5623" s="508">
        <v>2.3E-2</v>
      </c>
      <c r="S5623" s="508">
        <v>2.1000000000000001E-2</v>
      </c>
      <c r="T5623" s="508">
        <v>1.7999999999999999E-2</v>
      </c>
      <c r="U5623" s="508">
        <v>1.0999999999999999E-2</v>
      </c>
      <c r="V5623" s="508">
        <v>0.01</v>
      </c>
      <c r="W5623" s="508">
        <v>0.01</v>
      </c>
      <c r="X5623" s="508">
        <v>7.0000000000000001E-3</v>
      </c>
      <c r="Y5623" s="508">
        <v>7.0000000000000001E-3</v>
      </c>
      <c r="Z5623" s="508">
        <v>5.0000000000000001E-3</v>
      </c>
      <c r="AA5623" s="508">
        <v>5.0000000000000001E-3</v>
      </c>
      <c r="AB5623" s="508">
        <v>5.0000000000000001E-3</v>
      </c>
      <c r="AC5623" s="508">
        <v>3.0000000000000001E-3</v>
      </c>
      <c r="AD5623" s="508">
        <v>4.0000000000000001E-3</v>
      </c>
      <c r="AE5623" s="508">
        <v>5.0000000000000001E-3</v>
      </c>
      <c r="AF5623" s="508">
        <v>3.0000000000000001E-3</v>
      </c>
      <c r="AG5623" s="508">
        <v>3.0000000000000001E-3</v>
      </c>
      <c r="AH5623" s="508">
        <v>3.0000000000000001E-3</v>
      </c>
      <c r="AI5623" s="492">
        <v>3.0000000000000001E-3</v>
      </c>
      <c r="AJ5623" s="485"/>
    </row>
    <row r="5624" spans="2:36">
      <c r="B5624" s="136" t="s">
        <v>479</v>
      </c>
      <c r="C5624" s="132" t="s">
        <v>1367</v>
      </c>
      <c r="D5624" s="132" t="s">
        <v>285</v>
      </c>
      <c r="E5624" s="508">
        <v>3.9E-2</v>
      </c>
      <c r="F5624" s="508">
        <v>6.8000000000000005E-2</v>
      </c>
      <c r="G5624" s="508">
        <v>5.3999999999999999E-2</v>
      </c>
      <c r="H5624" s="508">
        <v>4.9000000000000002E-2</v>
      </c>
      <c r="I5624" s="508">
        <v>4.3999999999999997E-2</v>
      </c>
      <c r="J5624" s="508">
        <v>3.6999999999999998E-2</v>
      </c>
      <c r="K5624" s="508">
        <v>2.1000000000000001E-2</v>
      </c>
      <c r="L5624" s="508">
        <v>0.02</v>
      </c>
      <c r="M5624" s="508">
        <v>2.1000000000000001E-2</v>
      </c>
      <c r="N5624" s="508">
        <v>2.7E-2</v>
      </c>
      <c r="O5624" s="508">
        <v>1.9E-2</v>
      </c>
      <c r="P5624" s="508">
        <v>1.4E-2</v>
      </c>
      <c r="Q5624" s="508">
        <v>1.6E-2</v>
      </c>
      <c r="R5624" s="508">
        <v>1.4999999999999999E-2</v>
      </c>
      <c r="S5624" s="508">
        <v>1.2999999999999999E-2</v>
      </c>
      <c r="T5624" s="508">
        <v>1.2E-2</v>
      </c>
      <c r="U5624" s="508">
        <v>8.0000000000000002E-3</v>
      </c>
      <c r="V5624" s="508">
        <v>7.0000000000000001E-3</v>
      </c>
      <c r="W5624" s="508">
        <v>7.0000000000000001E-3</v>
      </c>
      <c r="X5624" s="508">
        <v>7.0000000000000001E-3</v>
      </c>
      <c r="Y5624" s="508">
        <v>7.0000000000000001E-3</v>
      </c>
      <c r="Z5624" s="508">
        <v>5.0000000000000001E-3</v>
      </c>
      <c r="AA5624" s="508">
        <v>5.0000000000000001E-3</v>
      </c>
      <c r="AB5624" s="508">
        <v>5.0000000000000001E-3</v>
      </c>
      <c r="AC5624" s="508">
        <v>3.0000000000000001E-3</v>
      </c>
      <c r="AD5624" s="508">
        <v>4.0000000000000001E-3</v>
      </c>
      <c r="AE5624" s="508">
        <v>5.0000000000000001E-3</v>
      </c>
      <c r="AF5624" s="508">
        <v>3.0000000000000001E-3</v>
      </c>
      <c r="AG5624" s="508">
        <v>3.0000000000000001E-3</v>
      </c>
      <c r="AH5624" s="508">
        <v>3.0000000000000001E-3</v>
      </c>
      <c r="AI5624" s="492">
        <v>3.0000000000000001E-3</v>
      </c>
      <c r="AJ5624" s="485"/>
    </row>
    <row r="5625" spans="2:36">
      <c r="B5625" s="136" t="s">
        <v>480</v>
      </c>
      <c r="C5625" s="132" t="s">
        <v>1367</v>
      </c>
      <c r="D5625" s="132" t="s">
        <v>285</v>
      </c>
      <c r="E5625" s="508">
        <v>7.2999999999999995E-2</v>
      </c>
      <c r="F5625" s="508">
        <v>0.13</v>
      </c>
      <c r="G5625" s="508">
        <v>0.104</v>
      </c>
      <c r="H5625" s="508">
        <v>9.1999999999999998E-2</v>
      </c>
      <c r="I5625" s="508">
        <v>8.4000000000000005E-2</v>
      </c>
      <c r="J5625" s="508">
        <v>7.1999999999999995E-2</v>
      </c>
      <c r="K5625" s="508">
        <v>0.04</v>
      </c>
      <c r="L5625" s="508">
        <v>3.7999999999999999E-2</v>
      </c>
      <c r="M5625" s="508">
        <v>3.9E-2</v>
      </c>
      <c r="N5625" s="508">
        <v>5.1999999999999998E-2</v>
      </c>
      <c r="O5625" s="508">
        <v>3.6999999999999998E-2</v>
      </c>
      <c r="P5625" s="508">
        <v>2.5000000000000001E-2</v>
      </c>
      <c r="Q5625" s="508">
        <v>0.03</v>
      </c>
      <c r="R5625" s="508">
        <v>2.8000000000000001E-2</v>
      </c>
      <c r="S5625" s="508">
        <v>2.4E-2</v>
      </c>
      <c r="T5625" s="508">
        <v>2.1999999999999999E-2</v>
      </c>
      <c r="U5625" s="508">
        <v>1.2999999999999999E-2</v>
      </c>
      <c r="V5625" s="508">
        <v>1.2E-2</v>
      </c>
      <c r="W5625" s="508">
        <v>1.2999999999999999E-2</v>
      </c>
      <c r="X5625" s="508">
        <v>8.9999999999999993E-3</v>
      </c>
      <c r="Y5625" s="508">
        <v>8.0000000000000002E-3</v>
      </c>
      <c r="Z5625" s="508">
        <v>7.0000000000000001E-3</v>
      </c>
      <c r="AA5625" s="508">
        <v>6.0000000000000001E-3</v>
      </c>
      <c r="AB5625" s="508">
        <v>6.0000000000000001E-3</v>
      </c>
      <c r="AC5625" s="508">
        <v>4.0000000000000001E-3</v>
      </c>
      <c r="AD5625" s="508">
        <v>4.0000000000000001E-3</v>
      </c>
      <c r="AE5625" s="508">
        <v>6.0000000000000001E-3</v>
      </c>
      <c r="AF5625" s="508">
        <v>3.0000000000000001E-3</v>
      </c>
      <c r="AG5625" s="508">
        <v>3.0000000000000001E-3</v>
      </c>
      <c r="AH5625" s="508">
        <v>3.0000000000000001E-3</v>
      </c>
      <c r="AI5625" s="492">
        <v>3.0000000000000001E-3</v>
      </c>
      <c r="AJ5625" s="485"/>
    </row>
    <row r="5626" spans="2:36">
      <c r="B5626" s="136" t="s">
        <v>481</v>
      </c>
      <c r="C5626" s="132" t="s">
        <v>1367</v>
      </c>
      <c r="D5626" s="132" t="s">
        <v>285</v>
      </c>
      <c r="E5626" s="508">
        <v>4.3999999999999997E-2</v>
      </c>
      <c r="F5626" s="508">
        <v>7.9000000000000001E-2</v>
      </c>
      <c r="G5626" s="508">
        <v>6.3E-2</v>
      </c>
      <c r="H5626" s="508">
        <v>5.6000000000000001E-2</v>
      </c>
      <c r="I5626" s="508">
        <v>5.0999999999999997E-2</v>
      </c>
      <c r="J5626" s="508">
        <v>4.2000000000000003E-2</v>
      </c>
      <c r="K5626" s="508">
        <v>2.4E-2</v>
      </c>
      <c r="L5626" s="508">
        <v>2.4E-2</v>
      </c>
      <c r="M5626" s="508">
        <v>2.4E-2</v>
      </c>
      <c r="N5626" s="508">
        <v>3.1E-2</v>
      </c>
      <c r="O5626" s="508">
        <v>2.1999999999999999E-2</v>
      </c>
      <c r="P5626" s="508">
        <v>1.6E-2</v>
      </c>
      <c r="Q5626" s="508">
        <v>1.7999999999999999E-2</v>
      </c>
      <c r="R5626" s="508">
        <v>1.7000000000000001E-2</v>
      </c>
      <c r="S5626" s="508">
        <v>1.4999999999999999E-2</v>
      </c>
      <c r="T5626" s="508">
        <v>1.2999999999999999E-2</v>
      </c>
      <c r="U5626" s="508">
        <v>8.0000000000000002E-3</v>
      </c>
      <c r="V5626" s="508">
        <v>8.0000000000000002E-3</v>
      </c>
      <c r="W5626" s="508">
        <v>8.0000000000000002E-3</v>
      </c>
      <c r="X5626" s="508">
        <v>7.0000000000000001E-3</v>
      </c>
      <c r="Y5626" s="508">
        <v>7.0000000000000001E-3</v>
      </c>
      <c r="Z5626" s="508">
        <v>5.0000000000000001E-3</v>
      </c>
      <c r="AA5626" s="508">
        <v>5.0000000000000001E-3</v>
      </c>
      <c r="AB5626" s="508">
        <v>4.0000000000000001E-3</v>
      </c>
      <c r="AC5626" s="508">
        <v>3.0000000000000001E-3</v>
      </c>
      <c r="AD5626" s="508">
        <v>4.0000000000000001E-3</v>
      </c>
      <c r="AE5626" s="508">
        <v>5.0000000000000001E-3</v>
      </c>
      <c r="AF5626" s="508">
        <v>3.0000000000000001E-3</v>
      </c>
      <c r="AG5626" s="508">
        <v>3.0000000000000001E-3</v>
      </c>
      <c r="AH5626" s="508">
        <v>3.0000000000000001E-3</v>
      </c>
      <c r="AI5626" s="492">
        <v>3.0000000000000001E-3</v>
      </c>
      <c r="AJ5626" s="485"/>
    </row>
    <row r="5627" spans="2:36">
      <c r="B5627" s="136" t="s">
        <v>482</v>
      </c>
      <c r="C5627" s="132" t="s">
        <v>1367</v>
      </c>
      <c r="D5627" s="132" t="s">
        <v>285</v>
      </c>
      <c r="E5627" s="508">
        <v>3.2000000000000001E-2</v>
      </c>
      <c r="F5627" s="508">
        <v>5.8000000000000003E-2</v>
      </c>
      <c r="G5627" s="508">
        <v>4.5999999999999999E-2</v>
      </c>
      <c r="H5627" s="508">
        <v>4.1000000000000002E-2</v>
      </c>
      <c r="I5627" s="508">
        <v>3.6999999999999998E-2</v>
      </c>
      <c r="J5627" s="508">
        <v>3.1E-2</v>
      </c>
      <c r="K5627" s="508">
        <v>1.7999999999999999E-2</v>
      </c>
      <c r="L5627" s="508">
        <v>1.7000000000000001E-2</v>
      </c>
      <c r="M5627" s="508">
        <v>1.7000000000000001E-2</v>
      </c>
      <c r="N5627" s="508">
        <v>2.1999999999999999E-2</v>
      </c>
      <c r="O5627" s="508">
        <v>1.6E-2</v>
      </c>
      <c r="P5627" s="508">
        <v>1.2E-2</v>
      </c>
      <c r="Q5627" s="508">
        <v>1.4E-2</v>
      </c>
      <c r="R5627" s="508">
        <v>1.2E-2</v>
      </c>
      <c r="S5627" s="508">
        <v>1.2E-2</v>
      </c>
      <c r="T5627" s="508">
        <v>0.01</v>
      </c>
      <c r="U5627" s="508">
        <v>7.0000000000000001E-3</v>
      </c>
      <c r="V5627" s="508">
        <v>6.0000000000000001E-3</v>
      </c>
      <c r="W5627" s="508">
        <v>6.0000000000000001E-3</v>
      </c>
      <c r="X5627" s="508">
        <v>6.0000000000000001E-3</v>
      </c>
      <c r="Y5627" s="508">
        <v>6.0000000000000001E-3</v>
      </c>
      <c r="Z5627" s="508">
        <v>5.0000000000000001E-3</v>
      </c>
      <c r="AA5627" s="508">
        <v>4.0000000000000001E-3</v>
      </c>
      <c r="AB5627" s="508">
        <v>4.0000000000000001E-3</v>
      </c>
      <c r="AC5627" s="508">
        <v>3.0000000000000001E-3</v>
      </c>
      <c r="AD5627" s="508">
        <v>3.0000000000000001E-3</v>
      </c>
      <c r="AE5627" s="508">
        <v>4.0000000000000001E-3</v>
      </c>
      <c r="AF5627" s="508">
        <v>3.0000000000000001E-3</v>
      </c>
      <c r="AG5627" s="508">
        <v>3.0000000000000001E-3</v>
      </c>
      <c r="AH5627" s="508">
        <v>3.0000000000000001E-3</v>
      </c>
      <c r="AI5627" s="492">
        <v>3.0000000000000001E-3</v>
      </c>
      <c r="AJ5627" s="485"/>
    </row>
    <row r="5628" spans="2:36">
      <c r="B5628" s="136" t="s">
        <v>483</v>
      </c>
      <c r="C5628" s="132" t="s">
        <v>1367</v>
      </c>
      <c r="D5628" s="132" t="s">
        <v>285</v>
      </c>
      <c r="E5628" s="508">
        <v>5.7000000000000002E-2</v>
      </c>
      <c r="F5628" s="508">
        <v>0.10100000000000001</v>
      </c>
      <c r="G5628" s="508">
        <v>8.1000000000000003E-2</v>
      </c>
      <c r="H5628" s="508">
        <v>7.1999999999999995E-2</v>
      </c>
      <c r="I5628" s="508">
        <v>6.5000000000000002E-2</v>
      </c>
      <c r="J5628" s="508">
        <v>5.3999999999999999E-2</v>
      </c>
      <c r="K5628" s="508">
        <v>3.2000000000000001E-2</v>
      </c>
      <c r="L5628" s="508">
        <v>3.1E-2</v>
      </c>
      <c r="M5628" s="508">
        <v>3.2000000000000001E-2</v>
      </c>
      <c r="N5628" s="508">
        <v>3.7999999999999999E-2</v>
      </c>
      <c r="O5628" s="508">
        <v>2.8000000000000001E-2</v>
      </c>
      <c r="P5628" s="508">
        <v>2.1000000000000001E-2</v>
      </c>
      <c r="Q5628" s="508">
        <v>2.3E-2</v>
      </c>
      <c r="R5628" s="508">
        <v>2.1999999999999999E-2</v>
      </c>
      <c r="S5628" s="508">
        <v>0.02</v>
      </c>
      <c r="T5628" s="508">
        <v>1.7000000000000001E-2</v>
      </c>
      <c r="U5628" s="508">
        <v>1.0999999999999999E-2</v>
      </c>
      <c r="V5628" s="508">
        <v>8.9999999999999993E-3</v>
      </c>
      <c r="W5628" s="508">
        <v>0.01</v>
      </c>
      <c r="X5628" s="508">
        <v>7.0000000000000001E-3</v>
      </c>
      <c r="Y5628" s="508">
        <v>7.0000000000000001E-3</v>
      </c>
      <c r="Z5628" s="508">
        <v>5.0000000000000001E-3</v>
      </c>
      <c r="AA5628" s="508">
        <v>5.0000000000000001E-3</v>
      </c>
      <c r="AB5628" s="508">
        <v>5.0000000000000001E-3</v>
      </c>
      <c r="AC5628" s="508">
        <v>3.0000000000000001E-3</v>
      </c>
      <c r="AD5628" s="508">
        <v>4.0000000000000001E-3</v>
      </c>
      <c r="AE5628" s="508">
        <v>5.0000000000000001E-3</v>
      </c>
      <c r="AF5628" s="508">
        <v>3.0000000000000001E-3</v>
      </c>
      <c r="AG5628" s="508">
        <v>3.0000000000000001E-3</v>
      </c>
      <c r="AH5628" s="508">
        <v>3.0000000000000001E-3</v>
      </c>
      <c r="AI5628" s="492">
        <v>3.0000000000000001E-3</v>
      </c>
      <c r="AJ5628" s="485"/>
    </row>
    <row r="5629" spans="2:36">
      <c r="B5629" s="136" t="s">
        <v>484</v>
      </c>
      <c r="C5629" s="132" t="s">
        <v>1367</v>
      </c>
      <c r="D5629" s="132" t="s">
        <v>285</v>
      </c>
      <c r="E5629" s="508">
        <v>7.8E-2</v>
      </c>
      <c r="F5629" s="508">
        <v>0.13700000000000001</v>
      </c>
      <c r="G5629" s="508">
        <v>0.11</v>
      </c>
      <c r="H5629" s="508">
        <v>9.9000000000000005E-2</v>
      </c>
      <c r="I5629" s="508">
        <v>0.09</v>
      </c>
      <c r="J5629" s="508">
        <v>7.5999999999999998E-2</v>
      </c>
      <c r="K5629" s="508">
        <v>4.2000000000000003E-2</v>
      </c>
      <c r="L5629" s="508">
        <v>4.1000000000000002E-2</v>
      </c>
      <c r="M5629" s="508">
        <v>4.2000000000000003E-2</v>
      </c>
      <c r="N5629" s="508">
        <v>5.6000000000000001E-2</v>
      </c>
      <c r="O5629" s="508">
        <v>3.9E-2</v>
      </c>
      <c r="P5629" s="508">
        <v>2.7E-2</v>
      </c>
      <c r="Q5629" s="508">
        <v>3.2000000000000001E-2</v>
      </c>
      <c r="R5629" s="508">
        <v>2.9000000000000001E-2</v>
      </c>
      <c r="S5629" s="508">
        <v>2.5000000000000001E-2</v>
      </c>
      <c r="T5629" s="508">
        <v>2.3E-2</v>
      </c>
      <c r="U5629" s="508">
        <v>1.4999999999999999E-2</v>
      </c>
      <c r="V5629" s="508">
        <v>1.4E-2</v>
      </c>
      <c r="W5629" s="508">
        <v>1.4E-2</v>
      </c>
      <c r="X5629" s="508">
        <v>0.01</v>
      </c>
      <c r="Y5629" s="508">
        <v>8.9999999999999993E-3</v>
      </c>
      <c r="Z5629" s="508">
        <v>7.0000000000000001E-3</v>
      </c>
      <c r="AA5629" s="508">
        <v>7.0000000000000001E-3</v>
      </c>
      <c r="AB5629" s="508">
        <v>6.0000000000000001E-3</v>
      </c>
      <c r="AC5629" s="508">
        <v>5.0000000000000001E-3</v>
      </c>
      <c r="AD5629" s="508">
        <v>5.0000000000000001E-3</v>
      </c>
      <c r="AE5629" s="508">
        <v>6.0000000000000001E-3</v>
      </c>
      <c r="AF5629" s="508">
        <v>4.0000000000000001E-3</v>
      </c>
      <c r="AG5629" s="508">
        <v>4.0000000000000001E-3</v>
      </c>
      <c r="AH5629" s="508">
        <v>4.0000000000000001E-3</v>
      </c>
      <c r="AI5629" s="492">
        <v>4.0000000000000001E-3</v>
      </c>
      <c r="AJ5629" s="485"/>
    </row>
    <row r="5630" spans="2:36">
      <c r="B5630" s="136" t="s">
        <v>486</v>
      </c>
      <c r="C5630" s="132" t="s">
        <v>1367</v>
      </c>
      <c r="D5630" s="132" t="s">
        <v>285</v>
      </c>
      <c r="E5630" s="508">
        <v>4.8000000000000001E-2</v>
      </c>
      <c r="F5630" s="508">
        <v>8.5000000000000006E-2</v>
      </c>
      <c r="G5630" s="508">
        <v>6.8000000000000005E-2</v>
      </c>
      <c r="H5630" s="508">
        <v>0.06</v>
      </c>
      <c r="I5630" s="508">
        <v>5.5E-2</v>
      </c>
      <c r="J5630" s="508">
        <v>4.5999999999999999E-2</v>
      </c>
      <c r="K5630" s="508">
        <v>2.5999999999999999E-2</v>
      </c>
      <c r="L5630" s="508">
        <v>2.5999999999999999E-2</v>
      </c>
      <c r="M5630" s="508">
        <v>2.5999999999999999E-2</v>
      </c>
      <c r="N5630" s="508">
        <v>3.3000000000000002E-2</v>
      </c>
      <c r="O5630" s="508">
        <v>2.4E-2</v>
      </c>
      <c r="P5630" s="508">
        <v>1.7000000000000001E-2</v>
      </c>
      <c r="Q5630" s="508">
        <v>0.02</v>
      </c>
      <c r="R5630" s="508">
        <v>1.7999999999999999E-2</v>
      </c>
      <c r="S5630" s="508">
        <v>1.7000000000000001E-2</v>
      </c>
      <c r="T5630" s="508">
        <v>1.4999999999999999E-2</v>
      </c>
      <c r="U5630" s="508">
        <v>0.01</v>
      </c>
      <c r="V5630" s="508">
        <v>8.0000000000000002E-3</v>
      </c>
      <c r="W5630" s="508">
        <v>8.9999999999999993E-3</v>
      </c>
      <c r="X5630" s="508">
        <v>7.0000000000000001E-3</v>
      </c>
      <c r="Y5630" s="508">
        <v>7.0000000000000001E-3</v>
      </c>
      <c r="Z5630" s="508">
        <v>6.0000000000000001E-3</v>
      </c>
      <c r="AA5630" s="508">
        <v>5.0000000000000001E-3</v>
      </c>
      <c r="AB5630" s="508">
        <v>5.0000000000000001E-3</v>
      </c>
      <c r="AC5630" s="508">
        <v>3.0000000000000001E-3</v>
      </c>
      <c r="AD5630" s="508">
        <v>4.0000000000000001E-3</v>
      </c>
      <c r="AE5630" s="508">
        <v>5.0000000000000001E-3</v>
      </c>
      <c r="AF5630" s="508">
        <v>3.0000000000000001E-3</v>
      </c>
      <c r="AG5630" s="508">
        <v>3.0000000000000001E-3</v>
      </c>
      <c r="AH5630" s="508">
        <v>3.0000000000000001E-3</v>
      </c>
      <c r="AI5630" s="492">
        <v>3.0000000000000001E-3</v>
      </c>
      <c r="AJ5630" s="485"/>
    </row>
    <row r="5631" spans="2:36">
      <c r="B5631" s="136" t="s">
        <v>487</v>
      </c>
      <c r="C5631" s="132" t="s">
        <v>1367</v>
      </c>
      <c r="D5631" s="132" t="s">
        <v>285</v>
      </c>
      <c r="E5631" s="508">
        <v>6.0999999999999999E-2</v>
      </c>
      <c r="F5631" s="508">
        <v>0.109</v>
      </c>
      <c r="G5631" s="508">
        <v>8.7999999999999995E-2</v>
      </c>
      <c r="H5631" s="508">
        <v>7.6999999999999999E-2</v>
      </c>
      <c r="I5631" s="508">
        <v>7.0000000000000007E-2</v>
      </c>
      <c r="J5631" s="508">
        <v>5.8000000000000003E-2</v>
      </c>
      <c r="K5631" s="508">
        <v>3.4000000000000002E-2</v>
      </c>
      <c r="L5631" s="508">
        <v>3.3000000000000002E-2</v>
      </c>
      <c r="M5631" s="508">
        <v>3.3000000000000002E-2</v>
      </c>
      <c r="N5631" s="508">
        <v>4.1000000000000002E-2</v>
      </c>
      <c r="O5631" s="508">
        <v>0.03</v>
      </c>
      <c r="P5631" s="508">
        <v>2.1999999999999999E-2</v>
      </c>
      <c r="Q5631" s="508">
        <v>2.5000000000000001E-2</v>
      </c>
      <c r="R5631" s="508">
        <v>2.3E-2</v>
      </c>
      <c r="S5631" s="508">
        <v>2.1999999999999999E-2</v>
      </c>
      <c r="T5631" s="508">
        <v>1.9E-2</v>
      </c>
      <c r="U5631" s="508">
        <v>1.2E-2</v>
      </c>
      <c r="V5631" s="508">
        <v>0.01</v>
      </c>
      <c r="W5631" s="508">
        <v>0.01</v>
      </c>
      <c r="X5631" s="508">
        <v>8.0000000000000002E-3</v>
      </c>
      <c r="Y5631" s="508">
        <v>7.0000000000000001E-3</v>
      </c>
      <c r="Z5631" s="508">
        <v>6.0000000000000001E-3</v>
      </c>
      <c r="AA5631" s="508">
        <v>5.0000000000000001E-3</v>
      </c>
      <c r="AB5631" s="508">
        <v>5.0000000000000001E-3</v>
      </c>
      <c r="AC5631" s="508">
        <v>4.0000000000000001E-3</v>
      </c>
      <c r="AD5631" s="508">
        <v>4.0000000000000001E-3</v>
      </c>
      <c r="AE5631" s="508">
        <v>5.0000000000000001E-3</v>
      </c>
      <c r="AF5631" s="508">
        <v>3.0000000000000001E-3</v>
      </c>
      <c r="AG5631" s="508">
        <v>3.0000000000000001E-3</v>
      </c>
      <c r="AH5631" s="508">
        <v>3.0000000000000001E-3</v>
      </c>
      <c r="AI5631" s="492">
        <v>3.0000000000000001E-3</v>
      </c>
      <c r="AJ5631" s="485"/>
    </row>
    <row r="5632" spans="2:36">
      <c r="B5632" s="136" t="s">
        <v>488</v>
      </c>
      <c r="C5632" s="132" t="s">
        <v>1367</v>
      </c>
      <c r="D5632" s="132" t="s">
        <v>285</v>
      </c>
      <c r="E5632" s="508">
        <v>5.6000000000000001E-2</v>
      </c>
      <c r="F5632" s="508">
        <v>9.9000000000000005E-2</v>
      </c>
      <c r="G5632" s="508">
        <v>0.08</v>
      </c>
      <c r="H5632" s="508">
        <v>7.0999999999999994E-2</v>
      </c>
      <c r="I5632" s="508">
        <v>6.4000000000000001E-2</v>
      </c>
      <c r="J5632" s="508">
        <v>5.5E-2</v>
      </c>
      <c r="K5632" s="508">
        <v>0.03</v>
      </c>
      <c r="L5632" s="508">
        <v>2.9000000000000001E-2</v>
      </c>
      <c r="M5632" s="508">
        <v>0.03</v>
      </c>
      <c r="N5632" s="508">
        <v>0.04</v>
      </c>
      <c r="O5632" s="508">
        <v>2.8000000000000001E-2</v>
      </c>
      <c r="P5632" s="508">
        <v>0.02</v>
      </c>
      <c r="Q5632" s="508">
        <v>2.3E-2</v>
      </c>
      <c r="R5632" s="508">
        <v>2.1000000000000001E-2</v>
      </c>
      <c r="S5632" s="508">
        <v>1.9E-2</v>
      </c>
      <c r="T5632" s="508">
        <v>1.7000000000000001E-2</v>
      </c>
      <c r="U5632" s="508">
        <v>0.01</v>
      </c>
      <c r="V5632" s="508">
        <v>8.9999999999999993E-3</v>
      </c>
      <c r="W5632" s="508">
        <v>8.9999999999999993E-3</v>
      </c>
      <c r="X5632" s="508">
        <v>8.0000000000000002E-3</v>
      </c>
      <c r="Y5632" s="508">
        <v>7.0000000000000001E-3</v>
      </c>
      <c r="Z5632" s="508">
        <v>6.0000000000000001E-3</v>
      </c>
      <c r="AA5632" s="508">
        <v>5.0000000000000001E-3</v>
      </c>
      <c r="AB5632" s="508">
        <v>5.0000000000000001E-3</v>
      </c>
      <c r="AC5632" s="508">
        <v>4.0000000000000001E-3</v>
      </c>
      <c r="AD5632" s="508">
        <v>4.0000000000000001E-3</v>
      </c>
      <c r="AE5632" s="508">
        <v>5.0000000000000001E-3</v>
      </c>
      <c r="AF5632" s="508">
        <v>3.0000000000000001E-3</v>
      </c>
      <c r="AG5632" s="508">
        <v>3.0000000000000001E-3</v>
      </c>
      <c r="AH5632" s="508">
        <v>3.0000000000000001E-3</v>
      </c>
      <c r="AI5632" s="492">
        <v>3.0000000000000001E-3</v>
      </c>
      <c r="AJ5632" s="485"/>
    </row>
    <row r="5633" spans="2:36">
      <c r="B5633" s="136" t="s">
        <v>489</v>
      </c>
      <c r="C5633" s="132" t="s">
        <v>1367</v>
      </c>
      <c r="D5633" s="132" t="s">
        <v>285</v>
      </c>
      <c r="E5633" s="508">
        <v>7.1999999999999995E-2</v>
      </c>
      <c r="F5633" s="508">
        <v>0.127</v>
      </c>
      <c r="G5633" s="508">
        <v>0.10199999999999999</v>
      </c>
      <c r="H5633" s="508">
        <v>9.0999999999999998E-2</v>
      </c>
      <c r="I5633" s="508">
        <v>8.3000000000000004E-2</v>
      </c>
      <c r="J5633" s="508">
        <v>6.9000000000000006E-2</v>
      </c>
      <c r="K5633" s="508">
        <v>0.04</v>
      </c>
      <c r="L5633" s="508">
        <v>3.9E-2</v>
      </c>
      <c r="M5633" s="508">
        <v>3.9E-2</v>
      </c>
      <c r="N5633" s="508">
        <v>0.05</v>
      </c>
      <c r="O5633" s="508">
        <v>3.5999999999999997E-2</v>
      </c>
      <c r="P5633" s="508">
        <v>2.5000000000000001E-2</v>
      </c>
      <c r="Q5633" s="508">
        <v>0.03</v>
      </c>
      <c r="R5633" s="508">
        <v>2.7E-2</v>
      </c>
      <c r="S5633" s="508">
        <v>2.4E-2</v>
      </c>
      <c r="T5633" s="508">
        <v>2.1000000000000001E-2</v>
      </c>
      <c r="U5633" s="508">
        <v>1.2999999999999999E-2</v>
      </c>
      <c r="V5633" s="508">
        <v>1.2E-2</v>
      </c>
      <c r="W5633" s="508">
        <v>1.2E-2</v>
      </c>
      <c r="X5633" s="508">
        <v>8.0000000000000002E-3</v>
      </c>
      <c r="Y5633" s="508">
        <v>8.0000000000000002E-3</v>
      </c>
      <c r="Z5633" s="508">
        <v>6.0000000000000001E-3</v>
      </c>
      <c r="AA5633" s="508">
        <v>6.0000000000000001E-3</v>
      </c>
      <c r="AB5633" s="508">
        <v>5.0000000000000001E-3</v>
      </c>
      <c r="AC5633" s="508">
        <v>4.0000000000000001E-3</v>
      </c>
      <c r="AD5633" s="508">
        <v>4.0000000000000001E-3</v>
      </c>
      <c r="AE5633" s="508">
        <v>5.0000000000000001E-3</v>
      </c>
      <c r="AF5633" s="508">
        <v>3.0000000000000001E-3</v>
      </c>
      <c r="AG5633" s="508">
        <v>3.0000000000000001E-3</v>
      </c>
      <c r="AH5633" s="508">
        <v>3.0000000000000001E-3</v>
      </c>
      <c r="AI5633" s="492">
        <v>3.0000000000000001E-3</v>
      </c>
      <c r="AJ5633" s="485"/>
    </row>
    <row r="5634" spans="2:36">
      <c r="B5634" s="136" t="s">
        <v>490</v>
      </c>
      <c r="C5634" s="132" t="s">
        <v>1367</v>
      </c>
      <c r="D5634" s="132" t="s">
        <v>285</v>
      </c>
      <c r="E5634" s="508">
        <v>7.6999999999999999E-2</v>
      </c>
      <c r="F5634" s="508">
        <v>0.13700000000000001</v>
      </c>
      <c r="G5634" s="508">
        <v>0.11</v>
      </c>
      <c r="H5634" s="508">
        <v>9.7000000000000003E-2</v>
      </c>
      <c r="I5634" s="508">
        <v>8.7999999999999995E-2</v>
      </c>
      <c r="J5634" s="508">
        <v>7.4999999999999997E-2</v>
      </c>
      <c r="K5634" s="508">
        <v>4.2000000000000003E-2</v>
      </c>
      <c r="L5634" s="508">
        <v>4.1000000000000002E-2</v>
      </c>
      <c r="M5634" s="508">
        <v>4.1000000000000002E-2</v>
      </c>
      <c r="N5634" s="508">
        <v>5.3999999999999999E-2</v>
      </c>
      <c r="O5634" s="508">
        <v>3.9E-2</v>
      </c>
      <c r="P5634" s="508">
        <v>2.7E-2</v>
      </c>
      <c r="Q5634" s="508">
        <v>3.2000000000000001E-2</v>
      </c>
      <c r="R5634" s="508">
        <v>2.9000000000000001E-2</v>
      </c>
      <c r="S5634" s="508">
        <v>2.5999999999999999E-2</v>
      </c>
      <c r="T5634" s="508">
        <v>2.3E-2</v>
      </c>
      <c r="U5634" s="508">
        <v>1.2999999999999999E-2</v>
      </c>
      <c r="V5634" s="508">
        <v>1.2E-2</v>
      </c>
      <c r="W5634" s="508">
        <v>1.2999999999999999E-2</v>
      </c>
      <c r="X5634" s="508">
        <v>8.9999999999999993E-3</v>
      </c>
      <c r="Y5634" s="508">
        <v>8.0000000000000002E-3</v>
      </c>
      <c r="Z5634" s="508">
        <v>6.0000000000000001E-3</v>
      </c>
      <c r="AA5634" s="508">
        <v>6.0000000000000001E-3</v>
      </c>
      <c r="AB5634" s="508">
        <v>5.0000000000000001E-3</v>
      </c>
      <c r="AC5634" s="508">
        <v>4.0000000000000001E-3</v>
      </c>
      <c r="AD5634" s="508">
        <v>4.0000000000000001E-3</v>
      </c>
      <c r="AE5634" s="508">
        <v>5.0000000000000001E-3</v>
      </c>
      <c r="AF5634" s="508">
        <v>3.0000000000000001E-3</v>
      </c>
      <c r="AG5634" s="508">
        <v>3.0000000000000001E-3</v>
      </c>
      <c r="AH5634" s="508">
        <v>3.0000000000000001E-3</v>
      </c>
      <c r="AI5634" s="492">
        <v>3.0000000000000001E-3</v>
      </c>
      <c r="AJ5634" s="485"/>
    </row>
    <row r="5635" spans="2:36">
      <c r="B5635" s="136" t="s">
        <v>435</v>
      </c>
      <c r="C5635" s="132" t="s">
        <v>1368</v>
      </c>
      <c r="D5635" s="132" t="s">
        <v>285</v>
      </c>
      <c r="E5635" s="508">
        <v>0.29499999999999998</v>
      </c>
      <c r="F5635" s="508">
        <v>0.34799999999999998</v>
      </c>
      <c r="G5635" s="508">
        <v>0.17699999999999999</v>
      </c>
      <c r="H5635" s="508">
        <v>5.1999999999999998E-2</v>
      </c>
      <c r="I5635" s="508">
        <v>5.1999999999999998E-2</v>
      </c>
      <c r="J5635" s="508">
        <v>0.06</v>
      </c>
      <c r="K5635" s="508">
        <v>3.3000000000000002E-2</v>
      </c>
      <c r="L5635" s="508">
        <v>0.32300000000000001</v>
      </c>
      <c r="M5635" s="508">
        <v>0.24299999999999999</v>
      </c>
      <c r="N5635" s="508">
        <v>0.112</v>
      </c>
      <c r="O5635" s="508">
        <v>0.16400000000000001</v>
      </c>
      <c r="P5635" s="508">
        <v>0.435</v>
      </c>
      <c r="Q5635" s="508">
        <v>0.26500000000000001</v>
      </c>
      <c r="R5635" s="508">
        <v>0.18</v>
      </c>
      <c r="S5635" s="508">
        <v>0.186</v>
      </c>
      <c r="T5635" s="508">
        <v>0.16500000000000001</v>
      </c>
      <c r="U5635" s="508">
        <v>0.123</v>
      </c>
      <c r="V5635" s="508">
        <v>0.191</v>
      </c>
      <c r="W5635" s="508">
        <v>0.16</v>
      </c>
      <c r="X5635" s="508">
        <v>0.16</v>
      </c>
      <c r="Y5635" s="508">
        <v>0.17399999999999999</v>
      </c>
      <c r="Z5635" s="508">
        <v>0.187</v>
      </c>
      <c r="AA5635" s="508">
        <v>1.2E-2</v>
      </c>
      <c r="AB5635" s="508">
        <v>1.2E-2</v>
      </c>
      <c r="AC5635" s="508">
        <v>1.0999999999999999E-2</v>
      </c>
      <c r="AD5635" s="508">
        <v>8.9999999999999993E-3</v>
      </c>
      <c r="AE5635" s="508">
        <v>0.01</v>
      </c>
      <c r="AF5635" s="508">
        <v>6.0000000000000001E-3</v>
      </c>
      <c r="AG5635" s="508">
        <v>6.0000000000000001E-3</v>
      </c>
      <c r="AH5635" s="508">
        <v>6.0000000000000001E-3</v>
      </c>
      <c r="AI5635" s="492">
        <v>6.0000000000000001E-3</v>
      </c>
      <c r="AJ5635" s="485"/>
    </row>
    <row r="5636" spans="2:36">
      <c r="B5636" s="136" t="s">
        <v>436</v>
      </c>
      <c r="C5636" s="132" t="s">
        <v>1368</v>
      </c>
      <c r="D5636" s="132" t="s">
        <v>285</v>
      </c>
      <c r="E5636" s="508">
        <v>0.29399999999999998</v>
      </c>
      <c r="F5636" s="508">
        <v>0.34699999999999998</v>
      </c>
      <c r="G5636" s="508">
        <v>0.17799999999999999</v>
      </c>
      <c r="H5636" s="508">
        <v>5.2999999999999999E-2</v>
      </c>
      <c r="I5636" s="508">
        <v>5.2999999999999999E-2</v>
      </c>
      <c r="J5636" s="508">
        <v>6.2E-2</v>
      </c>
      <c r="K5636" s="508">
        <v>3.3000000000000002E-2</v>
      </c>
      <c r="L5636" s="508">
        <v>0.31900000000000001</v>
      </c>
      <c r="M5636" s="508">
        <v>0.24</v>
      </c>
      <c r="N5636" s="508">
        <v>0.11</v>
      </c>
      <c r="O5636" s="508">
        <v>0.161</v>
      </c>
      <c r="P5636" s="508">
        <v>0.42199999999999999</v>
      </c>
      <c r="Q5636" s="508">
        <v>0.25800000000000001</v>
      </c>
      <c r="R5636" s="508">
        <v>0.17799999999999999</v>
      </c>
      <c r="S5636" s="508">
        <v>0.184</v>
      </c>
      <c r="T5636" s="508">
        <v>0.16300000000000001</v>
      </c>
      <c r="U5636" s="508">
        <v>0.121</v>
      </c>
      <c r="V5636" s="508">
        <v>0.189</v>
      </c>
      <c r="W5636" s="508">
        <v>0.158</v>
      </c>
      <c r="X5636" s="508">
        <v>0.158</v>
      </c>
      <c r="Y5636" s="508">
        <v>0.17199999999999999</v>
      </c>
      <c r="Z5636" s="508">
        <v>0.185</v>
      </c>
      <c r="AA5636" s="508">
        <v>1.2E-2</v>
      </c>
      <c r="AB5636" s="508">
        <v>1.2E-2</v>
      </c>
      <c r="AC5636" s="508">
        <v>1.0999999999999999E-2</v>
      </c>
      <c r="AD5636" s="508">
        <v>8.9999999999999993E-3</v>
      </c>
      <c r="AE5636" s="508">
        <v>0.01</v>
      </c>
      <c r="AF5636" s="508">
        <v>6.0000000000000001E-3</v>
      </c>
      <c r="AG5636" s="508">
        <v>6.0000000000000001E-3</v>
      </c>
      <c r="AH5636" s="508">
        <v>6.0000000000000001E-3</v>
      </c>
      <c r="AI5636" s="492">
        <v>6.0000000000000001E-3</v>
      </c>
      <c r="AJ5636" s="485"/>
    </row>
    <row r="5637" spans="2:36">
      <c r="B5637" s="136" t="s">
        <v>437</v>
      </c>
      <c r="C5637" s="132" t="s">
        <v>1368</v>
      </c>
      <c r="D5637" s="132" t="s">
        <v>285</v>
      </c>
      <c r="E5637" s="508">
        <v>0.29899999999999999</v>
      </c>
      <c r="F5637" s="508">
        <v>0.35299999999999998</v>
      </c>
      <c r="G5637" s="508">
        <v>0.18099999999999999</v>
      </c>
      <c r="H5637" s="508">
        <v>5.3999999999999999E-2</v>
      </c>
      <c r="I5637" s="508">
        <v>5.3999999999999999E-2</v>
      </c>
      <c r="J5637" s="508">
        <v>6.2E-2</v>
      </c>
      <c r="K5637" s="508">
        <v>3.4000000000000002E-2</v>
      </c>
      <c r="L5637" s="508">
        <v>0.32700000000000001</v>
      </c>
      <c r="M5637" s="508">
        <v>0.246</v>
      </c>
      <c r="N5637" s="508">
        <v>0.11600000000000001</v>
      </c>
      <c r="O5637" s="508">
        <v>0.17100000000000001</v>
      </c>
      <c r="P5637" s="508">
        <v>0.45300000000000001</v>
      </c>
      <c r="Q5637" s="508">
        <v>0.27600000000000002</v>
      </c>
      <c r="R5637" s="508">
        <v>0.184</v>
      </c>
      <c r="S5637" s="508">
        <v>0.191</v>
      </c>
      <c r="T5637" s="508">
        <v>0.16900000000000001</v>
      </c>
      <c r="U5637" s="508">
        <v>0.126</v>
      </c>
      <c r="V5637" s="508">
        <v>0.19500000000000001</v>
      </c>
      <c r="W5637" s="508">
        <v>0.16300000000000001</v>
      </c>
      <c r="X5637" s="508">
        <v>0.16400000000000001</v>
      </c>
      <c r="Y5637" s="508">
        <v>0.17799999999999999</v>
      </c>
      <c r="Z5637" s="508">
        <v>0.191</v>
      </c>
      <c r="AA5637" s="508">
        <v>1.2999999999999999E-2</v>
      </c>
      <c r="AB5637" s="508">
        <v>1.2999999999999999E-2</v>
      </c>
      <c r="AC5637" s="508">
        <v>1.0999999999999999E-2</v>
      </c>
      <c r="AD5637" s="508">
        <v>8.9999999999999993E-3</v>
      </c>
      <c r="AE5637" s="508">
        <v>1.0999999999999999E-2</v>
      </c>
      <c r="AF5637" s="508">
        <v>7.0000000000000001E-3</v>
      </c>
      <c r="AG5637" s="508">
        <v>7.0000000000000001E-3</v>
      </c>
      <c r="AH5637" s="508">
        <v>7.0000000000000001E-3</v>
      </c>
      <c r="AI5637" s="492">
        <v>7.0000000000000001E-3</v>
      </c>
      <c r="AJ5637" s="485"/>
    </row>
    <row r="5638" spans="2:36">
      <c r="B5638" s="136" t="s">
        <v>438</v>
      </c>
      <c r="C5638" s="132" t="s">
        <v>1368</v>
      </c>
      <c r="D5638" s="132" t="s">
        <v>285</v>
      </c>
      <c r="E5638" s="508">
        <v>0.29199999999999998</v>
      </c>
      <c r="F5638" s="508">
        <v>0.34499999999999997</v>
      </c>
      <c r="G5638" s="508">
        <v>0.17699999999999999</v>
      </c>
      <c r="H5638" s="508">
        <v>5.2999999999999999E-2</v>
      </c>
      <c r="I5638" s="508">
        <v>5.2999999999999999E-2</v>
      </c>
      <c r="J5638" s="508">
        <v>6.2E-2</v>
      </c>
      <c r="K5638" s="508">
        <v>3.3000000000000002E-2</v>
      </c>
      <c r="L5638" s="508">
        <v>0.315</v>
      </c>
      <c r="M5638" s="508">
        <v>0.23699999999999999</v>
      </c>
      <c r="N5638" s="508">
        <v>0.107</v>
      </c>
      <c r="O5638" s="508">
        <v>0.155</v>
      </c>
      <c r="P5638" s="508">
        <v>0.40600000000000003</v>
      </c>
      <c r="Q5638" s="508">
        <v>0.248</v>
      </c>
      <c r="R5638" s="508">
        <v>0.17399999999999999</v>
      </c>
      <c r="S5638" s="508">
        <v>0.18099999999999999</v>
      </c>
      <c r="T5638" s="508">
        <v>0.16</v>
      </c>
      <c r="U5638" s="508">
        <v>0.11899999999999999</v>
      </c>
      <c r="V5638" s="508">
        <v>0.185</v>
      </c>
      <c r="W5638" s="508">
        <v>0.155</v>
      </c>
      <c r="X5638" s="508">
        <v>0.155</v>
      </c>
      <c r="Y5638" s="508">
        <v>0.16900000000000001</v>
      </c>
      <c r="Z5638" s="508">
        <v>0.18099999999999999</v>
      </c>
      <c r="AA5638" s="508">
        <v>1.2E-2</v>
      </c>
      <c r="AB5638" s="508">
        <v>1.2E-2</v>
      </c>
      <c r="AC5638" s="508">
        <v>1.0999999999999999E-2</v>
      </c>
      <c r="AD5638" s="508">
        <v>8.9999999999999993E-3</v>
      </c>
      <c r="AE5638" s="508">
        <v>0.01</v>
      </c>
      <c r="AF5638" s="508">
        <v>6.0000000000000001E-3</v>
      </c>
      <c r="AG5638" s="508">
        <v>6.0000000000000001E-3</v>
      </c>
      <c r="AH5638" s="508">
        <v>6.0000000000000001E-3</v>
      </c>
      <c r="AI5638" s="492">
        <v>6.0000000000000001E-3</v>
      </c>
      <c r="AJ5638" s="485"/>
    </row>
    <row r="5639" spans="2:36">
      <c r="B5639" s="136" t="s">
        <v>439</v>
      </c>
      <c r="C5639" s="132" t="s">
        <v>1368</v>
      </c>
      <c r="D5639" s="132" t="s">
        <v>285</v>
      </c>
      <c r="E5639" s="508">
        <v>0.29799999999999999</v>
      </c>
      <c r="F5639" s="508">
        <v>0.35199999999999998</v>
      </c>
      <c r="G5639" s="508">
        <v>0.182</v>
      </c>
      <c r="H5639" s="508">
        <v>5.5E-2</v>
      </c>
      <c r="I5639" s="508">
        <v>5.5E-2</v>
      </c>
      <c r="J5639" s="508">
        <v>6.4000000000000001E-2</v>
      </c>
      <c r="K5639" s="508">
        <v>3.5000000000000003E-2</v>
      </c>
      <c r="L5639" s="508">
        <v>0.32400000000000001</v>
      </c>
      <c r="M5639" s="508">
        <v>0.24399999999999999</v>
      </c>
      <c r="N5639" s="508">
        <v>0.114</v>
      </c>
      <c r="O5639" s="508">
        <v>0.16900000000000001</v>
      </c>
      <c r="P5639" s="508">
        <v>0.44400000000000001</v>
      </c>
      <c r="Q5639" s="508">
        <v>0.27100000000000002</v>
      </c>
      <c r="R5639" s="508">
        <v>0.182</v>
      </c>
      <c r="S5639" s="508">
        <v>0.19</v>
      </c>
      <c r="T5639" s="508">
        <v>0.16800000000000001</v>
      </c>
      <c r="U5639" s="508">
        <v>0.125</v>
      </c>
      <c r="V5639" s="508">
        <v>0.193</v>
      </c>
      <c r="W5639" s="508">
        <v>0.16200000000000001</v>
      </c>
      <c r="X5639" s="508">
        <v>0.16200000000000001</v>
      </c>
      <c r="Y5639" s="508">
        <v>0.17599999999999999</v>
      </c>
      <c r="Z5639" s="508">
        <v>0.189</v>
      </c>
      <c r="AA5639" s="508">
        <v>1.2999999999999999E-2</v>
      </c>
      <c r="AB5639" s="508">
        <v>1.2999999999999999E-2</v>
      </c>
      <c r="AC5639" s="508">
        <v>1.0999999999999999E-2</v>
      </c>
      <c r="AD5639" s="508">
        <v>8.9999999999999993E-3</v>
      </c>
      <c r="AE5639" s="508">
        <v>1.0999999999999999E-2</v>
      </c>
      <c r="AF5639" s="508">
        <v>6.0000000000000001E-3</v>
      </c>
      <c r="AG5639" s="508">
        <v>6.0000000000000001E-3</v>
      </c>
      <c r="AH5639" s="508">
        <v>6.0000000000000001E-3</v>
      </c>
      <c r="AI5639" s="492">
        <v>6.0000000000000001E-3</v>
      </c>
      <c r="AJ5639" s="485"/>
    </row>
    <row r="5640" spans="2:36">
      <c r="B5640" s="136" t="s">
        <v>440</v>
      </c>
      <c r="C5640" s="132" t="s">
        <v>1368</v>
      </c>
      <c r="D5640" s="132" t="s">
        <v>285</v>
      </c>
      <c r="E5640" s="508">
        <v>0.29699999999999999</v>
      </c>
      <c r="F5640" s="508">
        <v>0.35</v>
      </c>
      <c r="G5640" s="508">
        <v>0.18</v>
      </c>
      <c r="H5640" s="508">
        <v>5.3999999999999999E-2</v>
      </c>
      <c r="I5640" s="508">
        <v>5.3999999999999999E-2</v>
      </c>
      <c r="J5640" s="508">
        <v>6.3E-2</v>
      </c>
      <c r="K5640" s="508">
        <v>3.4000000000000002E-2</v>
      </c>
      <c r="L5640" s="508">
        <v>0.32300000000000001</v>
      </c>
      <c r="M5640" s="508">
        <v>0.24299999999999999</v>
      </c>
      <c r="N5640" s="508">
        <v>0.113</v>
      </c>
      <c r="O5640" s="508">
        <v>0.16600000000000001</v>
      </c>
      <c r="P5640" s="508">
        <v>0.437</v>
      </c>
      <c r="Q5640" s="508">
        <v>0.26700000000000002</v>
      </c>
      <c r="R5640" s="508">
        <v>0.18099999999999999</v>
      </c>
      <c r="S5640" s="508">
        <v>0.188</v>
      </c>
      <c r="T5640" s="508">
        <v>0.16600000000000001</v>
      </c>
      <c r="U5640" s="508">
        <v>0.123</v>
      </c>
      <c r="V5640" s="508">
        <v>0.192</v>
      </c>
      <c r="W5640" s="508">
        <v>0.16</v>
      </c>
      <c r="X5640" s="508">
        <v>0.161</v>
      </c>
      <c r="Y5640" s="508">
        <v>0.17499999999999999</v>
      </c>
      <c r="Z5640" s="508">
        <v>0.188</v>
      </c>
      <c r="AA5640" s="508">
        <v>1.2999999999999999E-2</v>
      </c>
      <c r="AB5640" s="508">
        <v>1.2999999999999999E-2</v>
      </c>
      <c r="AC5640" s="508">
        <v>1.0999999999999999E-2</v>
      </c>
      <c r="AD5640" s="508">
        <v>8.9999999999999993E-3</v>
      </c>
      <c r="AE5640" s="508">
        <v>0.01</v>
      </c>
      <c r="AF5640" s="508">
        <v>6.0000000000000001E-3</v>
      </c>
      <c r="AG5640" s="508">
        <v>6.0000000000000001E-3</v>
      </c>
      <c r="AH5640" s="508">
        <v>6.0000000000000001E-3</v>
      </c>
      <c r="AI5640" s="492">
        <v>6.0000000000000001E-3</v>
      </c>
      <c r="AJ5640" s="485"/>
    </row>
    <row r="5641" spans="2:36">
      <c r="B5641" s="136" t="s">
        <v>441</v>
      </c>
      <c r="C5641" s="132" t="s">
        <v>1368</v>
      </c>
      <c r="D5641" s="132" t="s">
        <v>285</v>
      </c>
      <c r="E5641" s="508">
        <v>0.29799999999999999</v>
      </c>
      <c r="F5641" s="508">
        <v>0.35299999999999998</v>
      </c>
      <c r="G5641" s="508">
        <v>0.183</v>
      </c>
      <c r="H5641" s="508">
        <v>5.5E-2</v>
      </c>
      <c r="I5641" s="508">
        <v>5.5E-2</v>
      </c>
      <c r="J5641" s="508">
        <v>6.5000000000000002E-2</v>
      </c>
      <c r="K5641" s="508">
        <v>3.5000000000000003E-2</v>
      </c>
      <c r="L5641" s="508">
        <v>0.32300000000000001</v>
      </c>
      <c r="M5641" s="508">
        <v>0.24399999999999999</v>
      </c>
      <c r="N5641" s="508">
        <v>0.114</v>
      </c>
      <c r="O5641" s="508">
        <v>0.16900000000000001</v>
      </c>
      <c r="P5641" s="508">
        <v>0.44400000000000001</v>
      </c>
      <c r="Q5641" s="508">
        <v>0.27</v>
      </c>
      <c r="R5641" s="508">
        <v>0.182</v>
      </c>
      <c r="S5641" s="508">
        <v>0.19</v>
      </c>
      <c r="T5641" s="508">
        <v>0.16800000000000001</v>
      </c>
      <c r="U5641" s="508">
        <v>0.125</v>
      </c>
      <c r="V5641" s="508">
        <v>0.193</v>
      </c>
      <c r="W5641" s="508">
        <v>0.16200000000000001</v>
      </c>
      <c r="X5641" s="508">
        <v>0.16200000000000001</v>
      </c>
      <c r="Y5641" s="508">
        <v>0.17599999999999999</v>
      </c>
      <c r="Z5641" s="508">
        <v>0.189</v>
      </c>
      <c r="AA5641" s="508">
        <v>1.2999999999999999E-2</v>
      </c>
      <c r="AB5641" s="508">
        <v>1.2999999999999999E-2</v>
      </c>
      <c r="AC5641" s="508">
        <v>1.0999999999999999E-2</v>
      </c>
      <c r="AD5641" s="508">
        <v>8.9999999999999993E-3</v>
      </c>
      <c r="AE5641" s="508">
        <v>1.0999999999999999E-2</v>
      </c>
      <c r="AF5641" s="508">
        <v>6.0000000000000001E-3</v>
      </c>
      <c r="AG5641" s="508">
        <v>6.0000000000000001E-3</v>
      </c>
      <c r="AH5641" s="508">
        <v>6.0000000000000001E-3</v>
      </c>
      <c r="AI5641" s="492">
        <v>6.0000000000000001E-3</v>
      </c>
      <c r="AJ5641" s="485"/>
    </row>
    <row r="5642" spans="2:36">
      <c r="B5642" s="136" t="s">
        <v>443</v>
      </c>
      <c r="C5642" s="132" t="s">
        <v>1368</v>
      </c>
      <c r="D5642" s="132" t="s">
        <v>285</v>
      </c>
      <c r="E5642" s="508">
        <v>0.29799999999999999</v>
      </c>
      <c r="F5642" s="508">
        <v>0.35099999999999998</v>
      </c>
      <c r="G5642" s="508">
        <v>0.17799999999999999</v>
      </c>
      <c r="H5642" s="508">
        <v>5.1999999999999998E-2</v>
      </c>
      <c r="I5642" s="508">
        <v>5.1999999999999998E-2</v>
      </c>
      <c r="J5642" s="508">
        <v>5.8999999999999997E-2</v>
      </c>
      <c r="K5642" s="508">
        <v>3.3000000000000002E-2</v>
      </c>
      <c r="L5642" s="508">
        <v>0.32900000000000001</v>
      </c>
      <c r="M5642" s="508">
        <v>0.247</v>
      </c>
      <c r="N5642" s="508">
        <v>0.11600000000000001</v>
      </c>
      <c r="O5642" s="508">
        <v>0.17100000000000001</v>
      </c>
      <c r="P5642" s="508">
        <v>0.45600000000000002</v>
      </c>
      <c r="Q5642" s="508">
        <v>0.27700000000000002</v>
      </c>
      <c r="R5642" s="508">
        <v>0.183</v>
      </c>
      <c r="S5642" s="508">
        <v>0.19</v>
      </c>
      <c r="T5642" s="508">
        <v>0.16800000000000001</v>
      </c>
      <c r="U5642" s="508">
        <v>0.125</v>
      </c>
      <c r="V5642" s="508">
        <v>0.19500000000000001</v>
      </c>
      <c r="W5642" s="508">
        <v>0.16300000000000001</v>
      </c>
      <c r="X5642" s="508">
        <v>0.16400000000000001</v>
      </c>
      <c r="Y5642" s="508">
        <v>0.17799999999999999</v>
      </c>
      <c r="Z5642" s="508">
        <v>0.192</v>
      </c>
      <c r="AA5642" s="508">
        <v>1.2999999999999999E-2</v>
      </c>
      <c r="AB5642" s="508">
        <v>1.2999999999999999E-2</v>
      </c>
      <c r="AC5642" s="508">
        <v>1.0999999999999999E-2</v>
      </c>
      <c r="AD5642" s="508">
        <v>8.9999999999999993E-3</v>
      </c>
      <c r="AE5642" s="508">
        <v>1.0999999999999999E-2</v>
      </c>
      <c r="AF5642" s="508">
        <v>6.0000000000000001E-3</v>
      </c>
      <c r="AG5642" s="508">
        <v>6.0000000000000001E-3</v>
      </c>
      <c r="AH5642" s="508">
        <v>6.0000000000000001E-3</v>
      </c>
      <c r="AI5642" s="492">
        <v>6.0000000000000001E-3</v>
      </c>
      <c r="AJ5642" s="485"/>
    </row>
    <row r="5643" spans="2:36">
      <c r="B5643" s="136" t="s">
        <v>445</v>
      </c>
      <c r="C5643" s="132" t="s">
        <v>1368</v>
      </c>
      <c r="D5643" s="132" t="s">
        <v>285</v>
      </c>
      <c r="E5643" s="508">
        <v>0.307</v>
      </c>
      <c r="F5643" s="508">
        <v>0.36199999999999999</v>
      </c>
      <c r="G5643" s="508">
        <v>0.183</v>
      </c>
      <c r="H5643" s="508">
        <v>5.3999999999999999E-2</v>
      </c>
      <c r="I5643" s="508">
        <v>5.3999999999999999E-2</v>
      </c>
      <c r="J5643" s="508">
        <v>5.8999999999999997E-2</v>
      </c>
      <c r="K5643" s="508">
        <v>3.5000000000000003E-2</v>
      </c>
      <c r="L5643" s="508">
        <v>0.34499999999999997</v>
      </c>
      <c r="M5643" s="508">
        <v>0.25900000000000001</v>
      </c>
      <c r="N5643" s="508">
        <v>0.126</v>
      </c>
      <c r="O5643" s="508">
        <v>0.192</v>
      </c>
      <c r="P5643" s="508">
        <v>0.51700000000000002</v>
      </c>
      <c r="Q5643" s="508">
        <v>0.313</v>
      </c>
      <c r="R5643" s="508">
        <v>0.19600000000000001</v>
      </c>
      <c r="S5643" s="508">
        <v>0.20399999999999999</v>
      </c>
      <c r="T5643" s="508">
        <v>0.18</v>
      </c>
      <c r="U5643" s="508">
        <v>0.13400000000000001</v>
      </c>
      <c r="V5643" s="508">
        <v>0.20899999999999999</v>
      </c>
      <c r="W5643" s="508">
        <v>0.17499999999999999</v>
      </c>
      <c r="X5643" s="508">
        <v>0.17499999999999999</v>
      </c>
      <c r="Y5643" s="508">
        <v>0.19</v>
      </c>
      <c r="Z5643" s="508">
        <v>0.20499999999999999</v>
      </c>
      <c r="AA5643" s="508">
        <v>1.4E-2</v>
      </c>
      <c r="AB5643" s="508">
        <v>1.4E-2</v>
      </c>
      <c r="AC5643" s="508">
        <v>1.2E-2</v>
      </c>
      <c r="AD5643" s="508">
        <v>0.01</v>
      </c>
      <c r="AE5643" s="508">
        <v>1.0999999999999999E-2</v>
      </c>
      <c r="AF5643" s="508">
        <v>7.0000000000000001E-3</v>
      </c>
      <c r="AG5643" s="508">
        <v>7.0000000000000001E-3</v>
      </c>
      <c r="AH5643" s="508">
        <v>7.0000000000000001E-3</v>
      </c>
      <c r="AI5643" s="492">
        <v>7.0000000000000001E-3</v>
      </c>
      <c r="AJ5643" s="485"/>
    </row>
    <row r="5644" spans="2:36">
      <c r="B5644" s="136" t="s">
        <v>446</v>
      </c>
      <c r="C5644" s="132" t="s">
        <v>1368</v>
      </c>
      <c r="D5644" s="132" t="s">
        <v>285</v>
      </c>
      <c r="E5644" s="508">
        <v>0.30299999999999999</v>
      </c>
      <c r="F5644" s="508">
        <v>0.35699999999999998</v>
      </c>
      <c r="G5644" s="508">
        <v>0.18099999999999999</v>
      </c>
      <c r="H5644" s="508">
        <v>5.2999999999999999E-2</v>
      </c>
      <c r="I5644" s="508">
        <v>5.2999999999999999E-2</v>
      </c>
      <c r="J5644" s="508">
        <v>5.8999999999999997E-2</v>
      </c>
      <c r="K5644" s="508">
        <v>3.4000000000000002E-2</v>
      </c>
      <c r="L5644" s="508">
        <v>0.33700000000000002</v>
      </c>
      <c r="M5644" s="508">
        <v>0.253</v>
      </c>
      <c r="N5644" s="508">
        <v>0.121</v>
      </c>
      <c r="O5644" s="508">
        <v>0.182</v>
      </c>
      <c r="P5644" s="508">
        <v>0.48699999999999999</v>
      </c>
      <c r="Q5644" s="508">
        <v>0.29599999999999999</v>
      </c>
      <c r="R5644" s="508">
        <v>0.19</v>
      </c>
      <c r="S5644" s="508">
        <v>0.19700000000000001</v>
      </c>
      <c r="T5644" s="508">
        <v>0.17399999999999999</v>
      </c>
      <c r="U5644" s="508">
        <v>0.13</v>
      </c>
      <c r="V5644" s="508">
        <v>0.20200000000000001</v>
      </c>
      <c r="W5644" s="508">
        <v>0.16900000000000001</v>
      </c>
      <c r="X5644" s="508">
        <v>0.17</v>
      </c>
      <c r="Y5644" s="508">
        <v>0.184</v>
      </c>
      <c r="Z5644" s="508">
        <v>0.19800000000000001</v>
      </c>
      <c r="AA5644" s="508">
        <v>1.2999999999999999E-2</v>
      </c>
      <c r="AB5644" s="508">
        <v>1.2999999999999999E-2</v>
      </c>
      <c r="AC5644" s="508">
        <v>1.2E-2</v>
      </c>
      <c r="AD5644" s="508">
        <v>0.01</v>
      </c>
      <c r="AE5644" s="508">
        <v>1.0999999999999999E-2</v>
      </c>
      <c r="AF5644" s="508">
        <v>7.0000000000000001E-3</v>
      </c>
      <c r="AG5644" s="508">
        <v>7.0000000000000001E-3</v>
      </c>
      <c r="AH5644" s="508">
        <v>7.0000000000000001E-3</v>
      </c>
      <c r="AI5644" s="492">
        <v>7.0000000000000001E-3</v>
      </c>
      <c r="AJ5644" s="485"/>
    </row>
    <row r="5645" spans="2:36">
      <c r="B5645" s="136" t="s">
        <v>448</v>
      </c>
      <c r="C5645" s="132" t="s">
        <v>1368</v>
      </c>
      <c r="D5645" s="132" t="s">
        <v>285</v>
      </c>
      <c r="E5645" s="508">
        <v>0.29399999999999998</v>
      </c>
      <c r="F5645" s="508">
        <v>0.34699999999999998</v>
      </c>
      <c r="G5645" s="508">
        <v>0.17799999999999999</v>
      </c>
      <c r="H5645" s="508">
        <v>5.2999999999999999E-2</v>
      </c>
      <c r="I5645" s="508">
        <v>5.2999999999999999E-2</v>
      </c>
      <c r="J5645" s="508">
        <v>6.2E-2</v>
      </c>
      <c r="K5645" s="508">
        <v>3.3000000000000002E-2</v>
      </c>
      <c r="L5645" s="508">
        <v>0.318</v>
      </c>
      <c r="M5645" s="508">
        <v>0.23899999999999999</v>
      </c>
      <c r="N5645" s="508">
        <v>0.11</v>
      </c>
      <c r="O5645" s="508">
        <v>0.16</v>
      </c>
      <c r="P5645" s="508">
        <v>0.41899999999999998</v>
      </c>
      <c r="Q5645" s="508">
        <v>0.25600000000000001</v>
      </c>
      <c r="R5645" s="508">
        <v>0.17699999999999999</v>
      </c>
      <c r="S5645" s="508">
        <v>0.184</v>
      </c>
      <c r="T5645" s="508">
        <v>0.16300000000000001</v>
      </c>
      <c r="U5645" s="508">
        <v>0.121</v>
      </c>
      <c r="V5645" s="508">
        <v>0.188</v>
      </c>
      <c r="W5645" s="508">
        <v>0.157</v>
      </c>
      <c r="X5645" s="508">
        <v>0.158</v>
      </c>
      <c r="Y5645" s="508">
        <v>0.17100000000000001</v>
      </c>
      <c r="Z5645" s="508">
        <v>0.184</v>
      </c>
      <c r="AA5645" s="508">
        <v>1.2E-2</v>
      </c>
      <c r="AB5645" s="508">
        <v>1.2E-2</v>
      </c>
      <c r="AC5645" s="508">
        <v>1.0999999999999999E-2</v>
      </c>
      <c r="AD5645" s="508">
        <v>8.9999999999999993E-3</v>
      </c>
      <c r="AE5645" s="508">
        <v>0.01</v>
      </c>
      <c r="AF5645" s="508">
        <v>6.0000000000000001E-3</v>
      </c>
      <c r="AG5645" s="508">
        <v>6.0000000000000001E-3</v>
      </c>
      <c r="AH5645" s="508">
        <v>6.0000000000000001E-3</v>
      </c>
      <c r="AI5645" s="492">
        <v>6.0000000000000001E-3</v>
      </c>
      <c r="AJ5645" s="485"/>
    </row>
    <row r="5646" spans="2:36">
      <c r="B5646" s="136" t="s">
        <v>449</v>
      </c>
      <c r="C5646" s="132" t="s">
        <v>1368</v>
      </c>
      <c r="D5646" s="132" t="s">
        <v>285</v>
      </c>
      <c r="E5646" s="508">
        <v>0.3</v>
      </c>
      <c r="F5646" s="508">
        <v>0.35299999999999998</v>
      </c>
      <c r="G5646" s="508">
        <v>0.17899999999999999</v>
      </c>
      <c r="H5646" s="508">
        <v>5.2999999999999999E-2</v>
      </c>
      <c r="I5646" s="508">
        <v>5.2999999999999999E-2</v>
      </c>
      <c r="J5646" s="508">
        <v>0.06</v>
      </c>
      <c r="K5646" s="508">
        <v>3.4000000000000002E-2</v>
      </c>
      <c r="L5646" s="508">
        <v>0.33100000000000002</v>
      </c>
      <c r="M5646" s="508">
        <v>0.249</v>
      </c>
      <c r="N5646" s="508">
        <v>0.11799999999999999</v>
      </c>
      <c r="O5646" s="508">
        <v>0.17399999999999999</v>
      </c>
      <c r="P5646" s="508">
        <v>0.46500000000000002</v>
      </c>
      <c r="Q5646" s="508">
        <v>0.28299999999999997</v>
      </c>
      <c r="R5646" s="508">
        <v>0.185</v>
      </c>
      <c r="S5646" s="508">
        <v>0.193</v>
      </c>
      <c r="T5646" s="508">
        <v>0.17</v>
      </c>
      <c r="U5646" s="508">
        <v>0.127</v>
      </c>
      <c r="V5646" s="508">
        <v>0.19700000000000001</v>
      </c>
      <c r="W5646" s="508">
        <v>0.16500000000000001</v>
      </c>
      <c r="X5646" s="508">
        <v>0.16600000000000001</v>
      </c>
      <c r="Y5646" s="508">
        <v>0.18</v>
      </c>
      <c r="Z5646" s="508">
        <v>0.19400000000000001</v>
      </c>
      <c r="AA5646" s="508">
        <v>1.2999999999999999E-2</v>
      </c>
      <c r="AB5646" s="508">
        <v>1.2999999999999999E-2</v>
      </c>
      <c r="AC5646" s="508">
        <v>1.0999999999999999E-2</v>
      </c>
      <c r="AD5646" s="508">
        <v>8.9999999999999993E-3</v>
      </c>
      <c r="AE5646" s="508">
        <v>1.0999999999999999E-2</v>
      </c>
      <c r="AF5646" s="508">
        <v>7.0000000000000001E-3</v>
      </c>
      <c r="AG5646" s="508">
        <v>7.0000000000000001E-3</v>
      </c>
      <c r="AH5646" s="508">
        <v>7.0000000000000001E-3</v>
      </c>
      <c r="AI5646" s="492">
        <v>7.0000000000000001E-3</v>
      </c>
      <c r="AJ5646" s="485"/>
    </row>
    <row r="5647" spans="2:36">
      <c r="B5647" s="136" t="s">
        <v>450</v>
      </c>
      <c r="C5647" s="132" t="s">
        <v>1368</v>
      </c>
      <c r="D5647" s="132" t="s">
        <v>285</v>
      </c>
      <c r="E5647" s="508">
        <v>0.29299999999999998</v>
      </c>
      <c r="F5647" s="508">
        <v>0.34499999999999997</v>
      </c>
      <c r="G5647" s="508">
        <v>0.17599999999999999</v>
      </c>
      <c r="H5647" s="508">
        <v>5.1999999999999998E-2</v>
      </c>
      <c r="I5647" s="508">
        <v>5.1999999999999998E-2</v>
      </c>
      <c r="J5647" s="508">
        <v>6.0999999999999999E-2</v>
      </c>
      <c r="K5647" s="508">
        <v>3.2000000000000001E-2</v>
      </c>
      <c r="L5647" s="508">
        <v>0.318</v>
      </c>
      <c r="M5647" s="508">
        <v>0.23899999999999999</v>
      </c>
      <c r="N5647" s="508">
        <v>0.109</v>
      </c>
      <c r="O5647" s="508">
        <v>0.159</v>
      </c>
      <c r="P5647" s="508">
        <v>0.41799999999999998</v>
      </c>
      <c r="Q5647" s="508">
        <v>0.255</v>
      </c>
      <c r="R5647" s="508">
        <v>0.17599999999999999</v>
      </c>
      <c r="S5647" s="508">
        <v>0.183</v>
      </c>
      <c r="T5647" s="508">
        <v>0.16200000000000001</v>
      </c>
      <c r="U5647" s="508">
        <v>0.12</v>
      </c>
      <c r="V5647" s="508">
        <v>0.187</v>
      </c>
      <c r="W5647" s="508">
        <v>0.157</v>
      </c>
      <c r="X5647" s="508">
        <v>0.157</v>
      </c>
      <c r="Y5647" s="508">
        <v>0.17100000000000001</v>
      </c>
      <c r="Z5647" s="508">
        <v>0.184</v>
      </c>
      <c r="AA5647" s="508">
        <v>1.2E-2</v>
      </c>
      <c r="AB5647" s="508">
        <v>1.2E-2</v>
      </c>
      <c r="AC5647" s="508">
        <v>1.0999999999999999E-2</v>
      </c>
      <c r="AD5647" s="508">
        <v>8.9999999999999993E-3</v>
      </c>
      <c r="AE5647" s="508">
        <v>0.01</v>
      </c>
      <c r="AF5647" s="508">
        <v>6.0000000000000001E-3</v>
      </c>
      <c r="AG5647" s="508">
        <v>6.0000000000000001E-3</v>
      </c>
      <c r="AH5647" s="508">
        <v>6.0000000000000001E-3</v>
      </c>
      <c r="AI5647" s="492">
        <v>6.0000000000000001E-3</v>
      </c>
      <c r="AJ5647" s="485"/>
    </row>
    <row r="5648" spans="2:36">
      <c r="B5648" s="136" t="s">
        <v>451</v>
      </c>
      <c r="C5648" s="132" t="s">
        <v>1368</v>
      </c>
      <c r="D5648" s="132" t="s">
        <v>285</v>
      </c>
      <c r="E5648" s="508">
        <v>0.30399999999999999</v>
      </c>
      <c r="F5648" s="508">
        <v>0.35799999999999998</v>
      </c>
      <c r="G5648" s="508">
        <v>0.183</v>
      </c>
      <c r="H5648" s="508">
        <v>5.3999999999999999E-2</v>
      </c>
      <c r="I5648" s="508">
        <v>5.3999999999999999E-2</v>
      </c>
      <c r="J5648" s="508">
        <v>6.0999999999999999E-2</v>
      </c>
      <c r="K5648" s="508">
        <v>3.5000000000000003E-2</v>
      </c>
      <c r="L5648" s="508">
        <v>0.33700000000000002</v>
      </c>
      <c r="M5648" s="508">
        <v>0.254</v>
      </c>
      <c r="N5648" s="508">
        <v>0.122</v>
      </c>
      <c r="O5648" s="508">
        <v>0.183</v>
      </c>
      <c r="P5648" s="508">
        <v>0.49</v>
      </c>
      <c r="Q5648" s="508">
        <v>0.29699999999999999</v>
      </c>
      <c r="R5648" s="508">
        <v>0.191</v>
      </c>
      <c r="S5648" s="508">
        <v>0.19800000000000001</v>
      </c>
      <c r="T5648" s="508">
        <v>0.17499999999999999</v>
      </c>
      <c r="U5648" s="508">
        <v>0.13100000000000001</v>
      </c>
      <c r="V5648" s="508">
        <v>0.20300000000000001</v>
      </c>
      <c r="W5648" s="508">
        <v>0.17</v>
      </c>
      <c r="X5648" s="508">
        <v>0.17</v>
      </c>
      <c r="Y5648" s="508">
        <v>0.185</v>
      </c>
      <c r="Z5648" s="508">
        <v>0.19900000000000001</v>
      </c>
      <c r="AA5648" s="508">
        <v>1.2999999999999999E-2</v>
      </c>
      <c r="AB5648" s="508">
        <v>1.2999999999999999E-2</v>
      </c>
      <c r="AC5648" s="508">
        <v>1.2E-2</v>
      </c>
      <c r="AD5648" s="508">
        <v>0.01</v>
      </c>
      <c r="AE5648" s="508">
        <v>1.0999999999999999E-2</v>
      </c>
      <c r="AF5648" s="508">
        <v>7.0000000000000001E-3</v>
      </c>
      <c r="AG5648" s="508">
        <v>7.0000000000000001E-3</v>
      </c>
      <c r="AH5648" s="508">
        <v>7.0000000000000001E-3</v>
      </c>
      <c r="AI5648" s="492">
        <v>7.0000000000000001E-3</v>
      </c>
      <c r="AJ5648" s="485"/>
    </row>
    <row r="5649" spans="2:36">
      <c r="B5649" s="136" t="s">
        <v>452</v>
      </c>
      <c r="C5649" s="132" t="s">
        <v>1368</v>
      </c>
      <c r="D5649" s="132" t="s">
        <v>285</v>
      </c>
      <c r="E5649" s="508">
        <v>0.29799999999999999</v>
      </c>
      <c r="F5649" s="508">
        <v>0.35099999999999998</v>
      </c>
      <c r="G5649" s="508">
        <v>0.17899999999999999</v>
      </c>
      <c r="H5649" s="508">
        <v>5.2999999999999999E-2</v>
      </c>
      <c r="I5649" s="508">
        <v>5.2999999999999999E-2</v>
      </c>
      <c r="J5649" s="508">
        <v>0.06</v>
      </c>
      <c r="K5649" s="508">
        <v>3.3000000000000002E-2</v>
      </c>
      <c r="L5649" s="508">
        <v>0.32700000000000001</v>
      </c>
      <c r="M5649" s="508">
        <v>0.246</v>
      </c>
      <c r="N5649" s="508">
        <v>0.115</v>
      </c>
      <c r="O5649" s="508">
        <v>0.17</v>
      </c>
      <c r="P5649" s="508">
        <v>0.45100000000000001</v>
      </c>
      <c r="Q5649" s="508">
        <v>0.27500000000000002</v>
      </c>
      <c r="R5649" s="508">
        <v>0.183</v>
      </c>
      <c r="S5649" s="508">
        <v>0.19</v>
      </c>
      <c r="T5649" s="508">
        <v>0.16800000000000001</v>
      </c>
      <c r="U5649" s="508">
        <v>0.125</v>
      </c>
      <c r="V5649" s="508">
        <v>0.19500000000000001</v>
      </c>
      <c r="W5649" s="508">
        <v>0.16300000000000001</v>
      </c>
      <c r="X5649" s="508">
        <v>0.16300000000000001</v>
      </c>
      <c r="Y5649" s="508">
        <v>0.17799999999999999</v>
      </c>
      <c r="Z5649" s="508">
        <v>0.191</v>
      </c>
      <c r="AA5649" s="508">
        <v>1.2999999999999999E-2</v>
      </c>
      <c r="AB5649" s="508">
        <v>1.2999999999999999E-2</v>
      </c>
      <c r="AC5649" s="508">
        <v>1.0999999999999999E-2</v>
      </c>
      <c r="AD5649" s="508">
        <v>8.9999999999999993E-3</v>
      </c>
      <c r="AE5649" s="508">
        <v>1.0999999999999999E-2</v>
      </c>
      <c r="AF5649" s="508">
        <v>6.0000000000000001E-3</v>
      </c>
      <c r="AG5649" s="508">
        <v>6.0000000000000001E-3</v>
      </c>
      <c r="AH5649" s="508">
        <v>6.0000000000000001E-3</v>
      </c>
      <c r="AI5649" s="492">
        <v>6.0000000000000001E-3</v>
      </c>
      <c r="AJ5649" s="485"/>
    </row>
    <row r="5650" spans="2:36">
      <c r="B5650" s="136" t="s">
        <v>453</v>
      </c>
      <c r="C5650" s="132" t="s">
        <v>1368</v>
      </c>
      <c r="D5650" s="132" t="s">
        <v>285</v>
      </c>
      <c r="E5650" s="508">
        <v>0.29199999999999998</v>
      </c>
      <c r="F5650" s="508">
        <v>0.34499999999999997</v>
      </c>
      <c r="G5650" s="508">
        <v>0.17599999999999999</v>
      </c>
      <c r="H5650" s="508">
        <v>5.1999999999999998E-2</v>
      </c>
      <c r="I5650" s="508">
        <v>5.1999999999999998E-2</v>
      </c>
      <c r="J5650" s="508">
        <v>6.0999999999999999E-2</v>
      </c>
      <c r="K5650" s="508">
        <v>3.2000000000000001E-2</v>
      </c>
      <c r="L5650" s="508">
        <v>0.317</v>
      </c>
      <c r="M5650" s="508">
        <v>0.23799999999999999</v>
      </c>
      <c r="N5650" s="508">
        <v>0.108</v>
      </c>
      <c r="O5650" s="508">
        <v>0.157</v>
      </c>
      <c r="P5650" s="508">
        <v>0.41099999999999998</v>
      </c>
      <c r="Q5650" s="508">
        <v>0.251</v>
      </c>
      <c r="R5650" s="508">
        <v>0.17499999999999999</v>
      </c>
      <c r="S5650" s="508">
        <v>0.182</v>
      </c>
      <c r="T5650" s="508">
        <v>0.161</v>
      </c>
      <c r="U5650" s="508">
        <v>0.11899999999999999</v>
      </c>
      <c r="V5650" s="508">
        <v>0.186</v>
      </c>
      <c r="W5650" s="508">
        <v>0.156</v>
      </c>
      <c r="X5650" s="508">
        <v>0.156</v>
      </c>
      <c r="Y5650" s="508">
        <v>0.17</v>
      </c>
      <c r="Z5650" s="508">
        <v>0.182</v>
      </c>
      <c r="AA5650" s="508">
        <v>1.2E-2</v>
      </c>
      <c r="AB5650" s="508">
        <v>1.2E-2</v>
      </c>
      <c r="AC5650" s="508">
        <v>1.0999999999999999E-2</v>
      </c>
      <c r="AD5650" s="508">
        <v>8.9999999999999993E-3</v>
      </c>
      <c r="AE5650" s="508">
        <v>0.01</v>
      </c>
      <c r="AF5650" s="508">
        <v>6.0000000000000001E-3</v>
      </c>
      <c r="AG5650" s="508">
        <v>6.0000000000000001E-3</v>
      </c>
      <c r="AH5650" s="508">
        <v>6.0000000000000001E-3</v>
      </c>
      <c r="AI5650" s="492">
        <v>6.0000000000000001E-3</v>
      </c>
      <c r="AJ5650" s="485"/>
    </row>
    <row r="5651" spans="2:36">
      <c r="B5651" s="136" t="s">
        <v>454</v>
      </c>
      <c r="C5651" s="132" t="s">
        <v>1368</v>
      </c>
      <c r="D5651" s="132" t="s">
        <v>285</v>
      </c>
      <c r="E5651" s="508">
        <v>0.29299999999999998</v>
      </c>
      <c r="F5651" s="508">
        <v>0.34599999999999997</v>
      </c>
      <c r="G5651" s="508">
        <v>0.17699999999999999</v>
      </c>
      <c r="H5651" s="508">
        <v>5.2999999999999999E-2</v>
      </c>
      <c r="I5651" s="508">
        <v>5.2999999999999999E-2</v>
      </c>
      <c r="J5651" s="508">
        <v>6.2E-2</v>
      </c>
      <c r="K5651" s="508">
        <v>3.3000000000000002E-2</v>
      </c>
      <c r="L5651" s="508">
        <v>0.318</v>
      </c>
      <c r="M5651" s="508">
        <v>0.23899999999999999</v>
      </c>
      <c r="N5651" s="508">
        <v>0.109</v>
      </c>
      <c r="O5651" s="508">
        <v>0.159</v>
      </c>
      <c r="P5651" s="508">
        <v>0.41599999999999998</v>
      </c>
      <c r="Q5651" s="508">
        <v>0.254</v>
      </c>
      <c r="R5651" s="508">
        <v>0.17599999999999999</v>
      </c>
      <c r="S5651" s="508">
        <v>0.183</v>
      </c>
      <c r="T5651" s="508">
        <v>0.16200000000000001</v>
      </c>
      <c r="U5651" s="508">
        <v>0.12</v>
      </c>
      <c r="V5651" s="508">
        <v>0.187</v>
      </c>
      <c r="W5651" s="508">
        <v>0.157</v>
      </c>
      <c r="X5651" s="508">
        <v>0.157</v>
      </c>
      <c r="Y5651" s="508">
        <v>0.17100000000000001</v>
      </c>
      <c r="Z5651" s="508">
        <v>0.183</v>
      </c>
      <c r="AA5651" s="508">
        <v>1.2E-2</v>
      </c>
      <c r="AB5651" s="508">
        <v>1.2E-2</v>
      </c>
      <c r="AC5651" s="508">
        <v>1.0999999999999999E-2</v>
      </c>
      <c r="AD5651" s="508">
        <v>8.9999999999999993E-3</v>
      </c>
      <c r="AE5651" s="508">
        <v>0.01</v>
      </c>
      <c r="AF5651" s="508">
        <v>6.0000000000000001E-3</v>
      </c>
      <c r="AG5651" s="508">
        <v>6.0000000000000001E-3</v>
      </c>
      <c r="AH5651" s="508">
        <v>6.0000000000000001E-3</v>
      </c>
      <c r="AI5651" s="492">
        <v>6.0000000000000001E-3</v>
      </c>
      <c r="AJ5651" s="485"/>
    </row>
    <row r="5652" spans="2:36">
      <c r="B5652" s="136" t="s">
        <v>455</v>
      </c>
      <c r="C5652" s="132" t="s">
        <v>1368</v>
      </c>
      <c r="D5652" s="132" t="s">
        <v>285</v>
      </c>
      <c r="E5652" s="508">
        <v>0.29199999999999998</v>
      </c>
      <c r="F5652" s="508">
        <v>0.34499999999999997</v>
      </c>
      <c r="G5652" s="508">
        <v>0.17699999999999999</v>
      </c>
      <c r="H5652" s="508">
        <v>5.2999999999999999E-2</v>
      </c>
      <c r="I5652" s="508">
        <v>5.2999999999999999E-2</v>
      </c>
      <c r="J5652" s="508">
        <v>6.3E-2</v>
      </c>
      <c r="K5652" s="508">
        <v>3.3000000000000002E-2</v>
      </c>
      <c r="L5652" s="508">
        <v>0.314</v>
      </c>
      <c r="M5652" s="508">
        <v>0.23599999999999999</v>
      </c>
      <c r="N5652" s="508">
        <v>0.107</v>
      </c>
      <c r="O5652" s="508">
        <v>0.156</v>
      </c>
      <c r="P5652" s="508">
        <v>0.40500000000000003</v>
      </c>
      <c r="Q5652" s="508">
        <v>0.248</v>
      </c>
      <c r="R5652" s="508">
        <v>0.17399999999999999</v>
      </c>
      <c r="S5652" s="508">
        <v>0.18099999999999999</v>
      </c>
      <c r="T5652" s="508">
        <v>0.16</v>
      </c>
      <c r="U5652" s="508">
        <v>0.11899999999999999</v>
      </c>
      <c r="V5652" s="508">
        <v>0.185</v>
      </c>
      <c r="W5652" s="508">
        <v>0.155</v>
      </c>
      <c r="X5652" s="508">
        <v>0.155</v>
      </c>
      <c r="Y5652" s="508">
        <v>0.16800000000000001</v>
      </c>
      <c r="Z5652" s="508">
        <v>0.18099999999999999</v>
      </c>
      <c r="AA5652" s="508">
        <v>1.2E-2</v>
      </c>
      <c r="AB5652" s="508">
        <v>1.2E-2</v>
      </c>
      <c r="AC5652" s="508">
        <v>1.0999999999999999E-2</v>
      </c>
      <c r="AD5652" s="508">
        <v>8.9999999999999993E-3</v>
      </c>
      <c r="AE5652" s="508">
        <v>0.01</v>
      </c>
      <c r="AF5652" s="508">
        <v>6.0000000000000001E-3</v>
      </c>
      <c r="AG5652" s="508">
        <v>6.0000000000000001E-3</v>
      </c>
      <c r="AH5652" s="508">
        <v>6.0000000000000001E-3</v>
      </c>
      <c r="AI5652" s="492">
        <v>6.0000000000000001E-3</v>
      </c>
      <c r="AJ5652" s="485"/>
    </row>
    <row r="5653" spans="2:36">
      <c r="B5653" s="136" t="s">
        <v>456</v>
      </c>
      <c r="C5653" s="132" t="s">
        <v>1368</v>
      </c>
      <c r="D5653" s="132" t="s">
        <v>285</v>
      </c>
      <c r="E5653" s="508">
        <v>0.29499999999999998</v>
      </c>
      <c r="F5653" s="508">
        <v>0.34799999999999998</v>
      </c>
      <c r="G5653" s="508">
        <v>0.17799999999999999</v>
      </c>
      <c r="H5653" s="508">
        <v>5.2999999999999999E-2</v>
      </c>
      <c r="I5653" s="508">
        <v>5.2999999999999999E-2</v>
      </c>
      <c r="J5653" s="508">
        <v>6.0999999999999999E-2</v>
      </c>
      <c r="K5653" s="508">
        <v>3.3000000000000002E-2</v>
      </c>
      <c r="L5653" s="508">
        <v>0.32100000000000001</v>
      </c>
      <c r="M5653" s="508">
        <v>0.24199999999999999</v>
      </c>
      <c r="N5653" s="508">
        <v>0.112</v>
      </c>
      <c r="O5653" s="508">
        <v>0.16400000000000001</v>
      </c>
      <c r="P5653" s="508">
        <v>0.43099999999999999</v>
      </c>
      <c r="Q5653" s="508">
        <v>0.26300000000000001</v>
      </c>
      <c r="R5653" s="508">
        <v>0.17899999999999999</v>
      </c>
      <c r="S5653" s="508">
        <v>0.186</v>
      </c>
      <c r="T5653" s="508">
        <v>0.16500000000000001</v>
      </c>
      <c r="U5653" s="508">
        <v>0.122</v>
      </c>
      <c r="V5653" s="508">
        <v>0.19</v>
      </c>
      <c r="W5653" s="508">
        <v>0.159</v>
      </c>
      <c r="X5653" s="508">
        <v>0.16</v>
      </c>
      <c r="Y5653" s="508">
        <v>0.17299999999999999</v>
      </c>
      <c r="Z5653" s="508">
        <v>0.187</v>
      </c>
      <c r="AA5653" s="508">
        <v>1.2E-2</v>
      </c>
      <c r="AB5653" s="508">
        <v>1.2E-2</v>
      </c>
      <c r="AC5653" s="508">
        <v>1.0999999999999999E-2</v>
      </c>
      <c r="AD5653" s="508">
        <v>8.9999999999999993E-3</v>
      </c>
      <c r="AE5653" s="508">
        <v>0.01</v>
      </c>
      <c r="AF5653" s="508">
        <v>6.0000000000000001E-3</v>
      </c>
      <c r="AG5653" s="508">
        <v>6.0000000000000001E-3</v>
      </c>
      <c r="AH5653" s="508">
        <v>6.0000000000000001E-3</v>
      </c>
      <c r="AI5653" s="492">
        <v>6.0000000000000001E-3</v>
      </c>
      <c r="AJ5653" s="485"/>
    </row>
    <row r="5654" spans="2:36">
      <c r="B5654" s="136" t="s">
        <v>457</v>
      </c>
      <c r="C5654" s="132" t="s">
        <v>1368</v>
      </c>
      <c r="D5654" s="132" t="s">
        <v>285</v>
      </c>
      <c r="E5654" s="508">
        <v>0.28899999999999998</v>
      </c>
      <c r="F5654" s="508">
        <v>0.34100000000000003</v>
      </c>
      <c r="G5654" s="508">
        <v>0.17399999999999999</v>
      </c>
      <c r="H5654" s="508">
        <v>5.1999999999999998E-2</v>
      </c>
      <c r="I5654" s="508">
        <v>5.1999999999999998E-2</v>
      </c>
      <c r="J5654" s="508">
        <v>6.0999999999999999E-2</v>
      </c>
      <c r="K5654" s="508">
        <v>3.1E-2</v>
      </c>
      <c r="L5654" s="508">
        <v>0.31</v>
      </c>
      <c r="M5654" s="508">
        <v>0.23300000000000001</v>
      </c>
      <c r="N5654" s="508">
        <v>0.104</v>
      </c>
      <c r="O5654" s="508">
        <v>0.14899999999999999</v>
      </c>
      <c r="P5654" s="508">
        <v>0.38600000000000001</v>
      </c>
      <c r="Q5654" s="508">
        <v>0.23699999999999999</v>
      </c>
      <c r="R5654" s="508">
        <v>0.17</v>
      </c>
      <c r="S5654" s="508">
        <v>0.17699999999999999</v>
      </c>
      <c r="T5654" s="508">
        <v>0.156</v>
      </c>
      <c r="U5654" s="508">
        <v>0.11600000000000001</v>
      </c>
      <c r="V5654" s="508">
        <v>0.18099999999999999</v>
      </c>
      <c r="W5654" s="508">
        <v>0.151</v>
      </c>
      <c r="X5654" s="508">
        <v>0.152</v>
      </c>
      <c r="Y5654" s="508">
        <v>0.16500000000000001</v>
      </c>
      <c r="Z5654" s="508">
        <v>0.17699999999999999</v>
      </c>
      <c r="AA5654" s="508">
        <v>1.2E-2</v>
      </c>
      <c r="AB5654" s="508">
        <v>1.2E-2</v>
      </c>
      <c r="AC5654" s="508">
        <v>0.01</v>
      </c>
      <c r="AD5654" s="508">
        <v>8.9999999999999993E-3</v>
      </c>
      <c r="AE5654" s="508">
        <v>0.01</v>
      </c>
      <c r="AF5654" s="508">
        <v>6.0000000000000001E-3</v>
      </c>
      <c r="AG5654" s="508">
        <v>6.0000000000000001E-3</v>
      </c>
      <c r="AH5654" s="508">
        <v>6.0000000000000001E-3</v>
      </c>
      <c r="AI5654" s="492">
        <v>6.0000000000000001E-3</v>
      </c>
      <c r="AJ5654" s="485"/>
    </row>
    <row r="5655" spans="2:36">
      <c r="B5655" s="136" t="s">
        <v>458</v>
      </c>
      <c r="C5655" s="132" t="s">
        <v>1368</v>
      </c>
      <c r="D5655" s="132" t="s">
        <v>285</v>
      </c>
      <c r="E5655" s="508">
        <v>0.29599999999999999</v>
      </c>
      <c r="F5655" s="508">
        <v>0.35099999999999998</v>
      </c>
      <c r="G5655" s="508">
        <v>0.18099999999999999</v>
      </c>
      <c r="H5655" s="508">
        <v>5.3999999999999999E-2</v>
      </c>
      <c r="I5655" s="508">
        <v>5.3999999999999999E-2</v>
      </c>
      <c r="J5655" s="508">
        <v>6.4000000000000001E-2</v>
      </c>
      <c r="K5655" s="508">
        <v>3.4000000000000002E-2</v>
      </c>
      <c r="L5655" s="508">
        <v>0.32100000000000001</v>
      </c>
      <c r="M5655" s="508">
        <v>0.24199999999999999</v>
      </c>
      <c r="N5655" s="508">
        <v>0.113</v>
      </c>
      <c r="O5655" s="508">
        <v>0.16600000000000001</v>
      </c>
      <c r="P5655" s="508">
        <v>0.434</v>
      </c>
      <c r="Q5655" s="508">
        <v>0.26500000000000001</v>
      </c>
      <c r="R5655" s="508">
        <v>0.18</v>
      </c>
      <c r="S5655" s="508">
        <v>0.187</v>
      </c>
      <c r="T5655" s="508">
        <v>0.16600000000000001</v>
      </c>
      <c r="U5655" s="508">
        <v>0.123</v>
      </c>
      <c r="V5655" s="508">
        <v>0.191</v>
      </c>
      <c r="W5655" s="508">
        <v>0.16</v>
      </c>
      <c r="X5655" s="508">
        <v>0.16</v>
      </c>
      <c r="Y5655" s="508">
        <v>0.17399999999999999</v>
      </c>
      <c r="Z5655" s="508">
        <v>0.187</v>
      </c>
      <c r="AA5655" s="508">
        <v>1.2999999999999999E-2</v>
      </c>
      <c r="AB5655" s="508">
        <v>1.2999999999999999E-2</v>
      </c>
      <c r="AC5655" s="508">
        <v>1.0999999999999999E-2</v>
      </c>
      <c r="AD5655" s="508">
        <v>8.9999999999999993E-3</v>
      </c>
      <c r="AE5655" s="508">
        <v>0.01</v>
      </c>
      <c r="AF5655" s="508">
        <v>6.0000000000000001E-3</v>
      </c>
      <c r="AG5655" s="508">
        <v>6.0000000000000001E-3</v>
      </c>
      <c r="AH5655" s="508">
        <v>6.0000000000000001E-3</v>
      </c>
      <c r="AI5655" s="492">
        <v>6.0000000000000001E-3</v>
      </c>
      <c r="AJ5655" s="485"/>
    </row>
    <row r="5656" spans="2:36">
      <c r="B5656" s="136" t="s">
        <v>459</v>
      </c>
      <c r="C5656" s="132" t="s">
        <v>1368</v>
      </c>
      <c r="D5656" s="132" t="s">
        <v>285</v>
      </c>
      <c r="E5656" s="508">
        <v>0.29599999999999999</v>
      </c>
      <c r="F5656" s="508">
        <v>0.35099999999999998</v>
      </c>
      <c r="G5656" s="508">
        <v>0.18099999999999999</v>
      </c>
      <c r="H5656" s="508">
        <v>5.3999999999999999E-2</v>
      </c>
      <c r="I5656" s="508">
        <v>5.3999999999999999E-2</v>
      </c>
      <c r="J5656" s="508">
        <v>6.4000000000000001E-2</v>
      </c>
      <c r="K5656" s="508">
        <v>3.4000000000000002E-2</v>
      </c>
      <c r="L5656" s="508">
        <v>0.32200000000000001</v>
      </c>
      <c r="M5656" s="508">
        <v>0.24199999999999999</v>
      </c>
      <c r="N5656" s="508">
        <v>0.113</v>
      </c>
      <c r="O5656" s="508">
        <v>0.16600000000000001</v>
      </c>
      <c r="P5656" s="508">
        <v>0.435</v>
      </c>
      <c r="Q5656" s="508">
        <v>0.26500000000000001</v>
      </c>
      <c r="R5656" s="508">
        <v>0.18</v>
      </c>
      <c r="S5656" s="508">
        <v>0.187</v>
      </c>
      <c r="T5656" s="508">
        <v>0.16600000000000001</v>
      </c>
      <c r="U5656" s="508">
        <v>0.123</v>
      </c>
      <c r="V5656" s="508">
        <v>0.191</v>
      </c>
      <c r="W5656" s="508">
        <v>0.16</v>
      </c>
      <c r="X5656" s="508">
        <v>0.16</v>
      </c>
      <c r="Y5656" s="508">
        <v>0.17399999999999999</v>
      </c>
      <c r="Z5656" s="508">
        <v>0.187</v>
      </c>
      <c r="AA5656" s="508">
        <v>1.2999999999999999E-2</v>
      </c>
      <c r="AB5656" s="508">
        <v>1.2999999999999999E-2</v>
      </c>
      <c r="AC5656" s="508">
        <v>1.0999999999999999E-2</v>
      </c>
      <c r="AD5656" s="508">
        <v>8.9999999999999993E-3</v>
      </c>
      <c r="AE5656" s="508">
        <v>0.01</v>
      </c>
      <c r="AF5656" s="508">
        <v>6.0000000000000001E-3</v>
      </c>
      <c r="AG5656" s="508">
        <v>6.0000000000000001E-3</v>
      </c>
      <c r="AH5656" s="508">
        <v>6.0000000000000001E-3</v>
      </c>
      <c r="AI5656" s="492">
        <v>6.0000000000000001E-3</v>
      </c>
      <c r="AJ5656" s="485"/>
    </row>
    <row r="5657" spans="2:36">
      <c r="B5657" s="136" t="s">
        <v>460</v>
      </c>
      <c r="C5657" s="132" t="s">
        <v>1368</v>
      </c>
      <c r="D5657" s="132" t="s">
        <v>285</v>
      </c>
      <c r="E5657" s="508">
        <v>0.29699999999999999</v>
      </c>
      <c r="F5657" s="508">
        <v>0.35</v>
      </c>
      <c r="G5657" s="508">
        <v>0.17899999999999999</v>
      </c>
      <c r="H5657" s="508">
        <v>5.2999999999999999E-2</v>
      </c>
      <c r="I5657" s="508">
        <v>5.2999999999999999E-2</v>
      </c>
      <c r="J5657" s="508">
        <v>6.2E-2</v>
      </c>
      <c r="K5657" s="508">
        <v>3.4000000000000002E-2</v>
      </c>
      <c r="L5657" s="508">
        <v>0.32400000000000001</v>
      </c>
      <c r="M5657" s="508">
        <v>0.24399999999999999</v>
      </c>
      <c r="N5657" s="508">
        <v>0.114</v>
      </c>
      <c r="O5657" s="508">
        <v>0.16700000000000001</v>
      </c>
      <c r="P5657" s="508">
        <v>0.442</v>
      </c>
      <c r="Q5657" s="508">
        <v>0.26900000000000002</v>
      </c>
      <c r="R5657" s="508">
        <v>0.18099999999999999</v>
      </c>
      <c r="S5657" s="508">
        <v>0.188</v>
      </c>
      <c r="T5657" s="508">
        <v>0.16700000000000001</v>
      </c>
      <c r="U5657" s="508">
        <v>0.124</v>
      </c>
      <c r="V5657" s="508">
        <v>0.193</v>
      </c>
      <c r="W5657" s="508">
        <v>0.161</v>
      </c>
      <c r="X5657" s="508">
        <v>0.16200000000000001</v>
      </c>
      <c r="Y5657" s="508">
        <v>0.17599999999999999</v>
      </c>
      <c r="Z5657" s="508">
        <v>0.189</v>
      </c>
      <c r="AA5657" s="508">
        <v>1.2999999999999999E-2</v>
      </c>
      <c r="AB5657" s="508">
        <v>1.2999999999999999E-2</v>
      </c>
      <c r="AC5657" s="508">
        <v>1.0999999999999999E-2</v>
      </c>
      <c r="AD5657" s="508">
        <v>8.9999999999999993E-3</v>
      </c>
      <c r="AE5657" s="508">
        <v>0.01</v>
      </c>
      <c r="AF5657" s="508">
        <v>6.0000000000000001E-3</v>
      </c>
      <c r="AG5657" s="508">
        <v>6.0000000000000001E-3</v>
      </c>
      <c r="AH5657" s="508">
        <v>6.0000000000000001E-3</v>
      </c>
      <c r="AI5657" s="492">
        <v>6.0000000000000001E-3</v>
      </c>
      <c r="AJ5657" s="485"/>
    </row>
    <row r="5658" spans="2:36">
      <c r="B5658" s="136" t="s">
        <v>461</v>
      </c>
      <c r="C5658" s="132" t="s">
        <v>1368</v>
      </c>
      <c r="D5658" s="132" t="s">
        <v>285</v>
      </c>
      <c r="E5658" s="508">
        <v>0.29399999999999998</v>
      </c>
      <c r="F5658" s="508">
        <v>0.34699999999999998</v>
      </c>
      <c r="G5658" s="508">
        <v>0.17699999999999999</v>
      </c>
      <c r="H5658" s="508">
        <v>5.2999999999999999E-2</v>
      </c>
      <c r="I5658" s="508">
        <v>5.2999999999999999E-2</v>
      </c>
      <c r="J5658" s="508">
        <v>6.0999999999999999E-2</v>
      </c>
      <c r="K5658" s="508">
        <v>3.3000000000000002E-2</v>
      </c>
      <c r="L5658" s="508">
        <v>0.32</v>
      </c>
      <c r="M5658" s="508">
        <v>0.24</v>
      </c>
      <c r="N5658" s="508">
        <v>0.11</v>
      </c>
      <c r="O5658" s="508">
        <v>0.161</v>
      </c>
      <c r="P5658" s="508">
        <v>0.42299999999999999</v>
      </c>
      <c r="Q5658" s="508">
        <v>0.25800000000000001</v>
      </c>
      <c r="R5658" s="508">
        <v>0.17799999999999999</v>
      </c>
      <c r="S5658" s="508">
        <v>0.184</v>
      </c>
      <c r="T5658" s="508">
        <v>0.16300000000000001</v>
      </c>
      <c r="U5658" s="508">
        <v>0.121</v>
      </c>
      <c r="V5658" s="508">
        <v>0.189</v>
      </c>
      <c r="W5658" s="508">
        <v>0.158</v>
      </c>
      <c r="X5658" s="508">
        <v>0.158</v>
      </c>
      <c r="Y5658" s="508">
        <v>0.17199999999999999</v>
      </c>
      <c r="Z5658" s="508">
        <v>0.185</v>
      </c>
      <c r="AA5658" s="508">
        <v>1.2E-2</v>
      </c>
      <c r="AB5658" s="508">
        <v>1.2E-2</v>
      </c>
      <c r="AC5658" s="508">
        <v>1.0999999999999999E-2</v>
      </c>
      <c r="AD5658" s="508">
        <v>8.9999999999999993E-3</v>
      </c>
      <c r="AE5658" s="508">
        <v>0.01</v>
      </c>
      <c r="AF5658" s="508">
        <v>6.0000000000000001E-3</v>
      </c>
      <c r="AG5658" s="508">
        <v>6.0000000000000001E-3</v>
      </c>
      <c r="AH5658" s="508">
        <v>6.0000000000000001E-3</v>
      </c>
      <c r="AI5658" s="492">
        <v>6.0000000000000001E-3</v>
      </c>
      <c r="AJ5658" s="485"/>
    </row>
    <row r="5659" spans="2:36">
      <c r="B5659" s="136" t="s">
        <v>462</v>
      </c>
      <c r="C5659" s="132" t="s">
        <v>1368</v>
      </c>
      <c r="D5659" s="132" t="s">
        <v>285</v>
      </c>
      <c r="E5659" s="508">
        <v>0.29199999999999998</v>
      </c>
      <c r="F5659" s="508">
        <v>0.34499999999999997</v>
      </c>
      <c r="G5659" s="508">
        <v>0.17499999999999999</v>
      </c>
      <c r="H5659" s="508">
        <v>5.1999999999999998E-2</v>
      </c>
      <c r="I5659" s="508">
        <v>5.1999999999999998E-2</v>
      </c>
      <c r="J5659" s="508">
        <v>0.06</v>
      </c>
      <c r="K5659" s="508">
        <v>3.2000000000000001E-2</v>
      </c>
      <c r="L5659" s="508">
        <v>0.318</v>
      </c>
      <c r="M5659" s="508">
        <v>0.23899999999999999</v>
      </c>
      <c r="N5659" s="508">
        <v>0.109</v>
      </c>
      <c r="O5659" s="508">
        <v>0.157</v>
      </c>
      <c r="P5659" s="508">
        <v>0.41299999999999998</v>
      </c>
      <c r="Q5659" s="508">
        <v>0.252</v>
      </c>
      <c r="R5659" s="508">
        <v>0.17499999999999999</v>
      </c>
      <c r="S5659" s="508">
        <v>0.182</v>
      </c>
      <c r="T5659" s="508">
        <v>0.161</v>
      </c>
      <c r="U5659" s="508">
        <v>0.11899999999999999</v>
      </c>
      <c r="V5659" s="508">
        <v>0.186</v>
      </c>
      <c r="W5659" s="508">
        <v>0.156</v>
      </c>
      <c r="X5659" s="508">
        <v>0.156</v>
      </c>
      <c r="Y5659" s="508">
        <v>0.17</v>
      </c>
      <c r="Z5659" s="508">
        <v>0.183</v>
      </c>
      <c r="AA5659" s="508">
        <v>1.2E-2</v>
      </c>
      <c r="AB5659" s="508">
        <v>1.2E-2</v>
      </c>
      <c r="AC5659" s="508">
        <v>1.0999999999999999E-2</v>
      </c>
      <c r="AD5659" s="508">
        <v>8.9999999999999993E-3</v>
      </c>
      <c r="AE5659" s="508">
        <v>0.01</v>
      </c>
      <c r="AF5659" s="508">
        <v>6.0000000000000001E-3</v>
      </c>
      <c r="AG5659" s="508">
        <v>6.0000000000000001E-3</v>
      </c>
      <c r="AH5659" s="508">
        <v>6.0000000000000001E-3</v>
      </c>
      <c r="AI5659" s="492">
        <v>6.0000000000000001E-3</v>
      </c>
      <c r="AJ5659" s="485"/>
    </row>
    <row r="5660" spans="2:36">
      <c r="B5660" s="136" t="s">
        <v>463</v>
      </c>
      <c r="C5660" s="132" t="s">
        <v>1368</v>
      </c>
      <c r="D5660" s="132" t="s">
        <v>285</v>
      </c>
      <c r="E5660" s="508">
        <v>0.29099999999999998</v>
      </c>
      <c r="F5660" s="508">
        <v>0.34399999999999997</v>
      </c>
      <c r="G5660" s="508">
        <v>0.17799999999999999</v>
      </c>
      <c r="H5660" s="508">
        <v>5.3999999999999999E-2</v>
      </c>
      <c r="I5660" s="508">
        <v>5.3999999999999999E-2</v>
      </c>
      <c r="J5660" s="508">
        <v>6.4000000000000001E-2</v>
      </c>
      <c r="K5660" s="508">
        <v>3.3000000000000002E-2</v>
      </c>
      <c r="L5660" s="508">
        <v>0.311</v>
      </c>
      <c r="M5660" s="508">
        <v>0.23400000000000001</v>
      </c>
      <c r="N5660" s="508">
        <v>0.106</v>
      </c>
      <c r="O5660" s="508">
        <v>0.152</v>
      </c>
      <c r="P5660" s="508">
        <v>0.39400000000000002</v>
      </c>
      <c r="Q5660" s="508">
        <v>0.24199999999999999</v>
      </c>
      <c r="R5660" s="508">
        <v>0.17199999999999999</v>
      </c>
      <c r="S5660" s="508">
        <v>0.17899999999999999</v>
      </c>
      <c r="T5660" s="508">
        <v>0.159</v>
      </c>
      <c r="U5660" s="508">
        <v>0.11799999999999999</v>
      </c>
      <c r="V5660" s="508">
        <v>0.182</v>
      </c>
      <c r="W5660" s="508">
        <v>0.153</v>
      </c>
      <c r="X5660" s="508">
        <v>0.153</v>
      </c>
      <c r="Y5660" s="508">
        <v>0.16600000000000001</v>
      </c>
      <c r="Z5660" s="508">
        <v>0.17899999999999999</v>
      </c>
      <c r="AA5660" s="508">
        <v>1.2E-2</v>
      </c>
      <c r="AB5660" s="508">
        <v>1.2E-2</v>
      </c>
      <c r="AC5660" s="508">
        <v>1.0999999999999999E-2</v>
      </c>
      <c r="AD5660" s="508">
        <v>8.9999999999999993E-3</v>
      </c>
      <c r="AE5660" s="508">
        <v>0.01</v>
      </c>
      <c r="AF5660" s="508">
        <v>6.0000000000000001E-3</v>
      </c>
      <c r="AG5660" s="508">
        <v>6.0000000000000001E-3</v>
      </c>
      <c r="AH5660" s="508">
        <v>6.0000000000000001E-3</v>
      </c>
      <c r="AI5660" s="492">
        <v>6.0000000000000001E-3</v>
      </c>
      <c r="AJ5660" s="485"/>
    </row>
    <row r="5661" spans="2:36">
      <c r="B5661" s="136" t="s">
        <v>464</v>
      </c>
      <c r="C5661" s="132" t="s">
        <v>1368</v>
      </c>
      <c r="D5661" s="132" t="s">
        <v>285</v>
      </c>
      <c r="E5661" s="508">
        <v>0.28899999999999998</v>
      </c>
      <c r="F5661" s="508">
        <v>0.34100000000000003</v>
      </c>
      <c r="G5661" s="508">
        <v>0.17399999999999999</v>
      </c>
      <c r="H5661" s="508">
        <v>5.1999999999999998E-2</v>
      </c>
      <c r="I5661" s="508">
        <v>5.1999999999999998E-2</v>
      </c>
      <c r="J5661" s="508">
        <v>6.2E-2</v>
      </c>
      <c r="K5661" s="508">
        <v>3.2000000000000001E-2</v>
      </c>
      <c r="L5661" s="508">
        <v>0.311</v>
      </c>
      <c r="M5661" s="508">
        <v>0.23400000000000001</v>
      </c>
      <c r="N5661" s="508">
        <v>0.104</v>
      </c>
      <c r="O5661" s="508">
        <v>0.15</v>
      </c>
      <c r="P5661" s="508">
        <v>0.38900000000000001</v>
      </c>
      <c r="Q5661" s="508">
        <v>0.23799999999999999</v>
      </c>
      <c r="R5661" s="508">
        <v>0.17100000000000001</v>
      </c>
      <c r="S5661" s="508">
        <v>0.17699999999999999</v>
      </c>
      <c r="T5661" s="508">
        <v>0.157</v>
      </c>
      <c r="U5661" s="508">
        <v>0.11600000000000001</v>
      </c>
      <c r="V5661" s="508">
        <v>0.18099999999999999</v>
      </c>
      <c r="W5661" s="508">
        <v>0.152</v>
      </c>
      <c r="X5661" s="508">
        <v>0.152</v>
      </c>
      <c r="Y5661" s="508">
        <v>0.16500000000000001</v>
      </c>
      <c r="Z5661" s="508">
        <v>0.17799999999999999</v>
      </c>
      <c r="AA5661" s="508">
        <v>1.2E-2</v>
      </c>
      <c r="AB5661" s="508">
        <v>1.2E-2</v>
      </c>
      <c r="AC5661" s="508">
        <v>0.01</v>
      </c>
      <c r="AD5661" s="508">
        <v>8.9999999999999993E-3</v>
      </c>
      <c r="AE5661" s="508">
        <v>0.01</v>
      </c>
      <c r="AF5661" s="508">
        <v>6.0000000000000001E-3</v>
      </c>
      <c r="AG5661" s="508">
        <v>6.0000000000000001E-3</v>
      </c>
      <c r="AH5661" s="508">
        <v>6.0000000000000001E-3</v>
      </c>
      <c r="AI5661" s="492">
        <v>6.0000000000000001E-3</v>
      </c>
      <c r="AJ5661" s="485"/>
    </row>
    <row r="5662" spans="2:36">
      <c r="B5662" s="136" t="s">
        <v>465</v>
      </c>
      <c r="C5662" s="132" t="s">
        <v>1368</v>
      </c>
      <c r="D5662" s="132" t="s">
        <v>285</v>
      </c>
      <c r="E5662" s="508">
        <v>0.29199999999999998</v>
      </c>
      <c r="F5662" s="508">
        <v>0.34499999999999997</v>
      </c>
      <c r="G5662" s="508">
        <v>0.17699999999999999</v>
      </c>
      <c r="H5662" s="508">
        <v>5.2999999999999999E-2</v>
      </c>
      <c r="I5662" s="508">
        <v>5.2999999999999999E-2</v>
      </c>
      <c r="J5662" s="508">
        <v>6.3E-2</v>
      </c>
      <c r="K5662" s="508">
        <v>3.3000000000000002E-2</v>
      </c>
      <c r="L5662" s="508">
        <v>0.315</v>
      </c>
      <c r="M5662" s="508">
        <v>0.23699999999999999</v>
      </c>
      <c r="N5662" s="508">
        <v>0.108</v>
      </c>
      <c r="O5662" s="508">
        <v>0.156</v>
      </c>
      <c r="P5662" s="508">
        <v>0.40699999999999997</v>
      </c>
      <c r="Q5662" s="508">
        <v>0.249</v>
      </c>
      <c r="R5662" s="508">
        <v>0.17499999999999999</v>
      </c>
      <c r="S5662" s="508">
        <v>0.18099999999999999</v>
      </c>
      <c r="T5662" s="508">
        <v>0.161</v>
      </c>
      <c r="U5662" s="508">
        <v>0.11899999999999999</v>
      </c>
      <c r="V5662" s="508">
        <v>0.185</v>
      </c>
      <c r="W5662" s="508">
        <v>0.155</v>
      </c>
      <c r="X5662" s="508">
        <v>0.155</v>
      </c>
      <c r="Y5662" s="508">
        <v>0.16900000000000001</v>
      </c>
      <c r="Z5662" s="508">
        <v>0.182</v>
      </c>
      <c r="AA5662" s="508">
        <v>1.2E-2</v>
      </c>
      <c r="AB5662" s="508">
        <v>1.2E-2</v>
      </c>
      <c r="AC5662" s="508">
        <v>1.0999999999999999E-2</v>
      </c>
      <c r="AD5662" s="508">
        <v>8.9999999999999993E-3</v>
      </c>
      <c r="AE5662" s="508">
        <v>0.01</v>
      </c>
      <c r="AF5662" s="508">
        <v>6.0000000000000001E-3</v>
      </c>
      <c r="AG5662" s="508">
        <v>6.0000000000000001E-3</v>
      </c>
      <c r="AH5662" s="508">
        <v>6.0000000000000001E-3</v>
      </c>
      <c r="AI5662" s="492">
        <v>6.0000000000000001E-3</v>
      </c>
      <c r="AJ5662" s="485"/>
    </row>
    <row r="5663" spans="2:36">
      <c r="B5663" s="136" t="s">
        <v>466</v>
      </c>
      <c r="C5663" s="132" t="s">
        <v>1368</v>
      </c>
      <c r="D5663" s="132" t="s">
        <v>285</v>
      </c>
      <c r="E5663" s="508">
        <v>0.30099999999999999</v>
      </c>
      <c r="F5663" s="508">
        <v>0.35499999999999998</v>
      </c>
      <c r="G5663" s="508">
        <v>0.18099999999999999</v>
      </c>
      <c r="H5663" s="508">
        <v>5.3999999999999999E-2</v>
      </c>
      <c r="I5663" s="508">
        <v>5.3999999999999999E-2</v>
      </c>
      <c r="J5663" s="508">
        <v>6.0999999999999999E-2</v>
      </c>
      <c r="K5663" s="508">
        <v>3.4000000000000002E-2</v>
      </c>
      <c r="L5663" s="508">
        <v>0.33200000000000002</v>
      </c>
      <c r="M5663" s="508">
        <v>0.25</v>
      </c>
      <c r="N5663" s="508">
        <v>0.11899999999999999</v>
      </c>
      <c r="O5663" s="508">
        <v>0.17699999999999999</v>
      </c>
      <c r="P5663" s="508">
        <v>0.47199999999999998</v>
      </c>
      <c r="Q5663" s="508">
        <v>0.28699999999999998</v>
      </c>
      <c r="R5663" s="508">
        <v>0.187</v>
      </c>
      <c r="S5663" s="508">
        <v>0.19500000000000001</v>
      </c>
      <c r="T5663" s="508">
        <v>0.17199999999999999</v>
      </c>
      <c r="U5663" s="508">
        <v>0.128</v>
      </c>
      <c r="V5663" s="508">
        <v>0.19900000000000001</v>
      </c>
      <c r="W5663" s="508">
        <v>0.16700000000000001</v>
      </c>
      <c r="X5663" s="508">
        <v>0.16700000000000001</v>
      </c>
      <c r="Y5663" s="508">
        <v>0.18099999999999999</v>
      </c>
      <c r="Z5663" s="508">
        <v>0.19500000000000001</v>
      </c>
      <c r="AA5663" s="508">
        <v>1.2999999999999999E-2</v>
      </c>
      <c r="AB5663" s="508">
        <v>1.2999999999999999E-2</v>
      </c>
      <c r="AC5663" s="508">
        <v>1.2E-2</v>
      </c>
      <c r="AD5663" s="508">
        <v>0.01</v>
      </c>
      <c r="AE5663" s="508">
        <v>1.0999999999999999E-2</v>
      </c>
      <c r="AF5663" s="508">
        <v>7.0000000000000001E-3</v>
      </c>
      <c r="AG5663" s="508">
        <v>7.0000000000000001E-3</v>
      </c>
      <c r="AH5663" s="508">
        <v>7.0000000000000001E-3</v>
      </c>
      <c r="AI5663" s="492">
        <v>7.0000000000000001E-3</v>
      </c>
      <c r="AJ5663" s="485"/>
    </row>
    <row r="5664" spans="2:36">
      <c r="B5664" s="136" t="s">
        <v>467</v>
      </c>
      <c r="C5664" s="132" t="s">
        <v>1368</v>
      </c>
      <c r="D5664" s="132" t="s">
        <v>285</v>
      </c>
      <c r="E5664" s="508">
        <v>0.29299999999999998</v>
      </c>
      <c r="F5664" s="508">
        <v>0.34599999999999997</v>
      </c>
      <c r="G5664" s="508">
        <v>0.17699999999999999</v>
      </c>
      <c r="H5664" s="508">
        <v>5.2999999999999999E-2</v>
      </c>
      <c r="I5664" s="508">
        <v>5.2999999999999999E-2</v>
      </c>
      <c r="J5664" s="508">
        <v>6.0999999999999999E-2</v>
      </c>
      <c r="K5664" s="508">
        <v>3.3000000000000002E-2</v>
      </c>
      <c r="L5664" s="508">
        <v>0.31900000000000001</v>
      </c>
      <c r="M5664" s="508">
        <v>0.24</v>
      </c>
      <c r="N5664" s="508">
        <v>0.11</v>
      </c>
      <c r="O5664" s="508">
        <v>0.159</v>
      </c>
      <c r="P5664" s="508">
        <v>0.41899999999999998</v>
      </c>
      <c r="Q5664" s="508">
        <v>0.25600000000000001</v>
      </c>
      <c r="R5664" s="508">
        <v>0.17699999999999999</v>
      </c>
      <c r="S5664" s="508">
        <v>0.183</v>
      </c>
      <c r="T5664" s="508">
        <v>0.16200000000000001</v>
      </c>
      <c r="U5664" s="508">
        <v>0.121</v>
      </c>
      <c r="V5664" s="508">
        <v>0.188</v>
      </c>
      <c r="W5664" s="508">
        <v>0.157</v>
      </c>
      <c r="X5664" s="508">
        <v>0.157</v>
      </c>
      <c r="Y5664" s="508">
        <v>0.17100000000000001</v>
      </c>
      <c r="Z5664" s="508">
        <v>0.184</v>
      </c>
      <c r="AA5664" s="508">
        <v>1.2E-2</v>
      </c>
      <c r="AB5664" s="508">
        <v>1.2E-2</v>
      </c>
      <c r="AC5664" s="508">
        <v>1.0999999999999999E-2</v>
      </c>
      <c r="AD5664" s="508">
        <v>8.9999999999999993E-3</v>
      </c>
      <c r="AE5664" s="508">
        <v>0.01</v>
      </c>
      <c r="AF5664" s="508">
        <v>6.0000000000000001E-3</v>
      </c>
      <c r="AG5664" s="508">
        <v>6.0000000000000001E-3</v>
      </c>
      <c r="AH5664" s="508">
        <v>6.0000000000000001E-3</v>
      </c>
      <c r="AI5664" s="492">
        <v>6.0000000000000001E-3</v>
      </c>
      <c r="AJ5664" s="485"/>
    </row>
    <row r="5665" spans="2:36">
      <c r="B5665" s="136" t="s">
        <v>468</v>
      </c>
      <c r="C5665" s="132" t="s">
        <v>1368</v>
      </c>
      <c r="D5665" s="132" t="s">
        <v>285</v>
      </c>
      <c r="E5665" s="508">
        <v>0.28999999999999998</v>
      </c>
      <c r="F5665" s="508">
        <v>0.34300000000000003</v>
      </c>
      <c r="G5665" s="508">
        <v>0.17699999999999999</v>
      </c>
      <c r="H5665" s="508">
        <v>5.2999999999999999E-2</v>
      </c>
      <c r="I5665" s="508">
        <v>5.2999999999999999E-2</v>
      </c>
      <c r="J5665" s="508">
        <v>6.4000000000000001E-2</v>
      </c>
      <c r="K5665" s="508">
        <v>3.3000000000000002E-2</v>
      </c>
      <c r="L5665" s="508">
        <v>0.31</v>
      </c>
      <c r="M5665" s="508">
        <v>0.23300000000000001</v>
      </c>
      <c r="N5665" s="508">
        <v>0.105</v>
      </c>
      <c r="O5665" s="508">
        <v>0.151</v>
      </c>
      <c r="P5665" s="508">
        <v>0.39100000000000001</v>
      </c>
      <c r="Q5665" s="508">
        <v>0.24</v>
      </c>
      <c r="R5665" s="508">
        <v>0.17199999999999999</v>
      </c>
      <c r="S5665" s="508">
        <v>0.17899999999999999</v>
      </c>
      <c r="T5665" s="508">
        <v>0.158</v>
      </c>
      <c r="U5665" s="508">
        <v>0.11700000000000001</v>
      </c>
      <c r="V5665" s="508">
        <v>0.182</v>
      </c>
      <c r="W5665" s="508">
        <v>0.152</v>
      </c>
      <c r="X5665" s="508">
        <v>0.153</v>
      </c>
      <c r="Y5665" s="508">
        <v>0.16600000000000001</v>
      </c>
      <c r="Z5665" s="508">
        <v>0.17799999999999999</v>
      </c>
      <c r="AA5665" s="508">
        <v>1.2E-2</v>
      </c>
      <c r="AB5665" s="508">
        <v>1.2E-2</v>
      </c>
      <c r="AC5665" s="508">
        <v>1.0999999999999999E-2</v>
      </c>
      <c r="AD5665" s="508">
        <v>8.9999999999999993E-3</v>
      </c>
      <c r="AE5665" s="508">
        <v>0.01</v>
      </c>
      <c r="AF5665" s="508">
        <v>6.0000000000000001E-3</v>
      </c>
      <c r="AG5665" s="508">
        <v>6.0000000000000001E-3</v>
      </c>
      <c r="AH5665" s="508">
        <v>6.0000000000000001E-3</v>
      </c>
      <c r="AI5665" s="492">
        <v>6.0000000000000001E-3</v>
      </c>
      <c r="AJ5665" s="485"/>
    </row>
    <row r="5666" spans="2:36">
      <c r="B5666" s="136" t="s">
        <v>469</v>
      </c>
      <c r="C5666" s="132" t="s">
        <v>1368</v>
      </c>
      <c r="D5666" s="132" t="s">
        <v>285</v>
      </c>
      <c r="E5666" s="508">
        <v>0.29299999999999998</v>
      </c>
      <c r="F5666" s="508">
        <v>0.34599999999999997</v>
      </c>
      <c r="G5666" s="508">
        <v>0.17699999999999999</v>
      </c>
      <c r="H5666" s="508">
        <v>5.2999999999999999E-2</v>
      </c>
      <c r="I5666" s="508">
        <v>5.2999999999999999E-2</v>
      </c>
      <c r="J5666" s="508">
        <v>6.2E-2</v>
      </c>
      <c r="K5666" s="508">
        <v>3.3000000000000002E-2</v>
      </c>
      <c r="L5666" s="508">
        <v>0.317</v>
      </c>
      <c r="M5666" s="508">
        <v>0.23799999999999999</v>
      </c>
      <c r="N5666" s="508">
        <v>0.109</v>
      </c>
      <c r="O5666" s="508">
        <v>0.158</v>
      </c>
      <c r="P5666" s="508">
        <v>0.41299999999999998</v>
      </c>
      <c r="Q5666" s="508">
        <v>0.253</v>
      </c>
      <c r="R5666" s="508">
        <v>0.17599999999999999</v>
      </c>
      <c r="S5666" s="508">
        <v>0.182</v>
      </c>
      <c r="T5666" s="508">
        <v>0.16200000000000001</v>
      </c>
      <c r="U5666" s="508">
        <v>0.12</v>
      </c>
      <c r="V5666" s="508">
        <v>0.187</v>
      </c>
      <c r="W5666" s="508">
        <v>0.156</v>
      </c>
      <c r="X5666" s="508">
        <v>0.157</v>
      </c>
      <c r="Y5666" s="508">
        <v>0.17</v>
      </c>
      <c r="Z5666" s="508">
        <v>0.183</v>
      </c>
      <c r="AA5666" s="508">
        <v>1.2E-2</v>
      </c>
      <c r="AB5666" s="508">
        <v>1.2E-2</v>
      </c>
      <c r="AC5666" s="508">
        <v>1.0999999999999999E-2</v>
      </c>
      <c r="AD5666" s="508">
        <v>8.9999999999999993E-3</v>
      </c>
      <c r="AE5666" s="508">
        <v>0.01</v>
      </c>
      <c r="AF5666" s="508">
        <v>6.0000000000000001E-3</v>
      </c>
      <c r="AG5666" s="508">
        <v>6.0000000000000001E-3</v>
      </c>
      <c r="AH5666" s="508">
        <v>6.0000000000000001E-3</v>
      </c>
      <c r="AI5666" s="492">
        <v>6.0000000000000001E-3</v>
      </c>
      <c r="AJ5666" s="485"/>
    </row>
    <row r="5667" spans="2:36">
      <c r="B5667" s="136" t="s">
        <v>470</v>
      </c>
      <c r="C5667" s="132" t="s">
        <v>1368</v>
      </c>
      <c r="D5667" s="132" t="s">
        <v>285</v>
      </c>
      <c r="E5667" s="508">
        <v>0.29799999999999999</v>
      </c>
      <c r="F5667" s="508">
        <v>0.35199999999999998</v>
      </c>
      <c r="G5667" s="508">
        <v>0.18</v>
      </c>
      <c r="H5667" s="508">
        <v>5.3999999999999999E-2</v>
      </c>
      <c r="I5667" s="508">
        <v>5.3999999999999999E-2</v>
      </c>
      <c r="J5667" s="508">
        <v>6.2E-2</v>
      </c>
      <c r="K5667" s="508">
        <v>3.4000000000000002E-2</v>
      </c>
      <c r="L5667" s="508">
        <v>0.32600000000000001</v>
      </c>
      <c r="M5667" s="508">
        <v>0.245</v>
      </c>
      <c r="N5667" s="508">
        <v>0.115</v>
      </c>
      <c r="O5667" s="508">
        <v>0.17</v>
      </c>
      <c r="P5667" s="508">
        <v>0.44900000000000001</v>
      </c>
      <c r="Q5667" s="508">
        <v>0.27300000000000002</v>
      </c>
      <c r="R5667" s="508">
        <v>0.183</v>
      </c>
      <c r="S5667" s="508">
        <v>0.19</v>
      </c>
      <c r="T5667" s="508">
        <v>0.16800000000000001</v>
      </c>
      <c r="U5667" s="508">
        <v>0.125</v>
      </c>
      <c r="V5667" s="508">
        <v>0.19400000000000001</v>
      </c>
      <c r="W5667" s="508">
        <v>0.16200000000000001</v>
      </c>
      <c r="X5667" s="508">
        <v>0.16300000000000001</v>
      </c>
      <c r="Y5667" s="508">
        <v>0.17699999999999999</v>
      </c>
      <c r="Z5667" s="508">
        <v>0.19</v>
      </c>
      <c r="AA5667" s="508">
        <v>1.2999999999999999E-2</v>
      </c>
      <c r="AB5667" s="508">
        <v>1.2999999999999999E-2</v>
      </c>
      <c r="AC5667" s="508">
        <v>1.0999999999999999E-2</v>
      </c>
      <c r="AD5667" s="508">
        <v>8.9999999999999993E-3</v>
      </c>
      <c r="AE5667" s="508">
        <v>1.0999999999999999E-2</v>
      </c>
      <c r="AF5667" s="508">
        <v>6.0000000000000001E-3</v>
      </c>
      <c r="AG5667" s="508">
        <v>6.0000000000000001E-3</v>
      </c>
      <c r="AH5667" s="508">
        <v>6.0000000000000001E-3</v>
      </c>
      <c r="AI5667" s="492">
        <v>6.0000000000000001E-3</v>
      </c>
      <c r="AJ5667" s="485"/>
    </row>
    <row r="5668" spans="2:36">
      <c r="B5668" s="136" t="s">
        <v>471</v>
      </c>
      <c r="C5668" s="132" t="s">
        <v>1368</v>
      </c>
      <c r="D5668" s="132" t="s">
        <v>285</v>
      </c>
      <c r="E5668" s="508">
        <v>0.29599999999999999</v>
      </c>
      <c r="F5668" s="508">
        <v>0.34899999999999998</v>
      </c>
      <c r="G5668" s="508">
        <v>0.17799999999999999</v>
      </c>
      <c r="H5668" s="508">
        <v>5.2999999999999999E-2</v>
      </c>
      <c r="I5668" s="508">
        <v>5.2999999999999999E-2</v>
      </c>
      <c r="J5668" s="508">
        <v>6.0999999999999999E-2</v>
      </c>
      <c r="K5668" s="508">
        <v>3.3000000000000002E-2</v>
      </c>
      <c r="L5668" s="508">
        <v>0.32300000000000001</v>
      </c>
      <c r="M5668" s="508">
        <v>0.24299999999999999</v>
      </c>
      <c r="N5668" s="508">
        <v>0.112</v>
      </c>
      <c r="O5668" s="508">
        <v>0.16500000000000001</v>
      </c>
      <c r="P5668" s="508">
        <v>0.435</v>
      </c>
      <c r="Q5668" s="508">
        <v>0.26500000000000001</v>
      </c>
      <c r="R5668" s="508">
        <v>0.18</v>
      </c>
      <c r="S5668" s="508">
        <v>0.187</v>
      </c>
      <c r="T5668" s="508">
        <v>0.16500000000000001</v>
      </c>
      <c r="U5668" s="508">
        <v>0.123</v>
      </c>
      <c r="V5668" s="508">
        <v>0.191</v>
      </c>
      <c r="W5668" s="508">
        <v>0.16</v>
      </c>
      <c r="X5668" s="508">
        <v>0.16</v>
      </c>
      <c r="Y5668" s="508">
        <v>0.17399999999999999</v>
      </c>
      <c r="Z5668" s="508">
        <v>0.187</v>
      </c>
      <c r="AA5668" s="508">
        <v>1.2E-2</v>
      </c>
      <c r="AB5668" s="508">
        <v>1.2E-2</v>
      </c>
      <c r="AC5668" s="508">
        <v>1.0999999999999999E-2</v>
      </c>
      <c r="AD5668" s="508">
        <v>8.9999999999999993E-3</v>
      </c>
      <c r="AE5668" s="508">
        <v>0.01</v>
      </c>
      <c r="AF5668" s="508">
        <v>6.0000000000000001E-3</v>
      </c>
      <c r="AG5668" s="508">
        <v>6.0000000000000001E-3</v>
      </c>
      <c r="AH5668" s="508">
        <v>6.0000000000000001E-3</v>
      </c>
      <c r="AI5668" s="492">
        <v>6.0000000000000001E-3</v>
      </c>
      <c r="AJ5668" s="485"/>
    </row>
    <row r="5669" spans="2:36">
      <c r="B5669" s="136" t="s">
        <v>472</v>
      </c>
      <c r="C5669" s="132" t="s">
        <v>1368</v>
      </c>
      <c r="D5669" s="132" t="s">
        <v>285</v>
      </c>
      <c r="E5669" s="508">
        <v>0.28899999999999998</v>
      </c>
      <c r="F5669" s="508">
        <v>0.34100000000000003</v>
      </c>
      <c r="G5669" s="508">
        <v>0.17399999999999999</v>
      </c>
      <c r="H5669" s="508">
        <v>5.1999999999999998E-2</v>
      </c>
      <c r="I5669" s="508">
        <v>5.1999999999999998E-2</v>
      </c>
      <c r="J5669" s="508">
        <v>6.0999999999999999E-2</v>
      </c>
      <c r="K5669" s="508">
        <v>3.1E-2</v>
      </c>
      <c r="L5669" s="508">
        <v>0.311</v>
      </c>
      <c r="M5669" s="508">
        <v>0.23400000000000001</v>
      </c>
      <c r="N5669" s="508">
        <v>0.104</v>
      </c>
      <c r="O5669" s="508">
        <v>0.14899999999999999</v>
      </c>
      <c r="P5669" s="508">
        <v>0.38800000000000001</v>
      </c>
      <c r="Q5669" s="508">
        <v>0.23799999999999999</v>
      </c>
      <c r="R5669" s="508">
        <v>0.17100000000000001</v>
      </c>
      <c r="S5669" s="508">
        <v>0.17699999999999999</v>
      </c>
      <c r="T5669" s="508">
        <v>0.157</v>
      </c>
      <c r="U5669" s="508">
        <v>0.11600000000000001</v>
      </c>
      <c r="V5669" s="508">
        <v>0.18099999999999999</v>
      </c>
      <c r="W5669" s="508">
        <v>0.152</v>
      </c>
      <c r="X5669" s="508">
        <v>0.152</v>
      </c>
      <c r="Y5669" s="508">
        <v>0.16500000000000001</v>
      </c>
      <c r="Z5669" s="508">
        <v>0.17799999999999999</v>
      </c>
      <c r="AA5669" s="508">
        <v>1.2E-2</v>
      </c>
      <c r="AB5669" s="508">
        <v>1.2E-2</v>
      </c>
      <c r="AC5669" s="508">
        <v>0.01</v>
      </c>
      <c r="AD5669" s="508">
        <v>8.9999999999999993E-3</v>
      </c>
      <c r="AE5669" s="508">
        <v>0.01</v>
      </c>
      <c r="AF5669" s="508">
        <v>6.0000000000000001E-3</v>
      </c>
      <c r="AG5669" s="508">
        <v>6.0000000000000001E-3</v>
      </c>
      <c r="AH5669" s="508">
        <v>6.0000000000000001E-3</v>
      </c>
      <c r="AI5669" s="492">
        <v>6.0000000000000001E-3</v>
      </c>
      <c r="AJ5669" s="485"/>
    </row>
    <row r="5670" spans="2:36">
      <c r="B5670" s="136" t="s">
        <v>473</v>
      </c>
      <c r="C5670" s="132" t="s">
        <v>1368</v>
      </c>
      <c r="D5670" s="132" t="s">
        <v>285</v>
      </c>
      <c r="E5670" s="508">
        <v>0.29799999999999999</v>
      </c>
      <c r="F5670" s="508">
        <v>0.35199999999999998</v>
      </c>
      <c r="G5670" s="508">
        <v>0.17899999999999999</v>
      </c>
      <c r="H5670" s="508">
        <v>5.2999999999999999E-2</v>
      </c>
      <c r="I5670" s="508">
        <v>5.2999999999999999E-2</v>
      </c>
      <c r="J5670" s="508">
        <v>6.0999999999999999E-2</v>
      </c>
      <c r="K5670" s="508">
        <v>3.4000000000000002E-2</v>
      </c>
      <c r="L5670" s="508">
        <v>0.32800000000000001</v>
      </c>
      <c r="M5670" s="508">
        <v>0.246</v>
      </c>
      <c r="N5670" s="508">
        <v>0.11600000000000001</v>
      </c>
      <c r="O5670" s="508">
        <v>0.17100000000000001</v>
      </c>
      <c r="P5670" s="508">
        <v>0.45300000000000001</v>
      </c>
      <c r="Q5670" s="508">
        <v>0.27600000000000002</v>
      </c>
      <c r="R5670" s="508">
        <v>0.183</v>
      </c>
      <c r="S5670" s="508">
        <v>0.191</v>
      </c>
      <c r="T5670" s="508">
        <v>0.16800000000000001</v>
      </c>
      <c r="U5670" s="508">
        <v>0.125</v>
      </c>
      <c r="V5670" s="508">
        <v>0.19500000000000001</v>
      </c>
      <c r="W5670" s="508">
        <v>0.16300000000000001</v>
      </c>
      <c r="X5670" s="508">
        <v>0.16400000000000001</v>
      </c>
      <c r="Y5670" s="508">
        <v>0.17799999999999999</v>
      </c>
      <c r="Z5670" s="508">
        <v>0.191</v>
      </c>
      <c r="AA5670" s="508">
        <v>1.2999999999999999E-2</v>
      </c>
      <c r="AB5670" s="508">
        <v>1.2999999999999999E-2</v>
      </c>
      <c r="AC5670" s="508">
        <v>1.0999999999999999E-2</v>
      </c>
      <c r="AD5670" s="508">
        <v>8.9999999999999993E-3</v>
      </c>
      <c r="AE5670" s="508">
        <v>1.0999999999999999E-2</v>
      </c>
      <c r="AF5670" s="508">
        <v>7.0000000000000001E-3</v>
      </c>
      <c r="AG5670" s="508">
        <v>6.0000000000000001E-3</v>
      </c>
      <c r="AH5670" s="508">
        <v>6.0000000000000001E-3</v>
      </c>
      <c r="AI5670" s="492">
        <v>6.0000000000000001E-3</v>
      </c>
      <c r="AJ5670" s="485"/>
    </row>
    <row r="5671" spans="2:36">
      <c r="B5671" s="136" t="s">
        <v>474</v>
      </c>
      <c r="C5671" s="132" t="s">
        <v>1368</v>
      </c>
      <c r="D5671" s="132" t="s">
        <v>285</v>
      </c>
      <c r="E5671" s="508">
        <v>0.29499999999999998</v>
      </c>
      <c r="F5671" s="508">
        <v>0.34799999999999998</v>
      </c>
      <c r="G5671" s="508">
        <v>0.17799999999999999</v>
      </c>
      <c r="H5671" s="508">
        <v>5.2999999999999999E-2</v>
      </c>
      <c r="I5671" s="508">
        <v>5.2999999999999999E-2</v>
      </c>
      <c r="J5671" s="508">
        <v>6.0999999999999999E-2</v>
      </c>
      <c r="K5671" s="508">
        <v>3.3000000000000002E-2</v>
      </c>
      <c r="L5671" s="508">
        <v>0.32100000000000001</v>
      </c>
      <c r="M5671" s="508">
        <v>0.24199999999999999</v>
      </c>
      <c r="N5671" s="508">
        <v>0.111</v>
      </c>
      <c r="O5671" s="508">
        <v>0.16300000000000001</v>
      </c>
      <c r="P5671" s="508">
        <v>0.42899999999999999</v>
      </c>
      <c r="Q5671" s="508">
        <v>0.26200000000000001</v>
      </c>
      <c r="R5671" s="508">
        <v>0.17899999999999999</v>
      </c>
      <c r="S5671" s="508">
        <v>0.186</v>
      </c>
      <c r="T5671" s="508">
        <v>0.16400000000000001</v>
      </c>
      <c r="U5671" s="508">
        <v>0.122</v>
      </c>
      <c r="V5671" s="508">
        <v>0.19</v>
      </c>
      <c r="W5671" s="508">
        <v>0.159</v>
      </c>
      <c r="X5671" s="508">
        <v>0.159</v>
      </c>
      <c r="Y5671" s="508">
        <v>0.17299999999999999</v>
      </c>
      <c r="Z5671" s="508">
        <v>0.186</v>
      </c>
      <c r="AA5671" s="508">
        <v>1.2E-2</v>
      </c>
      <c r="AB5671" s="508">
        <v>1.2E-2</v>
      </c>
      <c r="AC5671" s="508">
        <v>1.0999999999999999E-2</v>
      </c>
      <c r="AD5671" s="508">
        <v>8.9999999999999993E-3</v>
      </c>
      <c r="AE5671" s="508">
        <v>0.01</v>
      </c>
      <c r="AF5671" s="508">
        <v>6.0000000000000001E-3</v>
      </c>
      <c r="AG5671" s="508">
        <v>6.0000000000000001E-3</v>
      </c>
      <c r="AH5671" s="508">
        <v>6.0000000000000001E-3</v>
      </c>
      <c r="AI5671" s="492">
        <v>6.0000000000000001E-3</v>
      </c>
      <c r="AJ5671" s="485"/>
    </row>
    <row r="5672" spans="2:36">
      <c r="B5672" s="136" t="s">
        <v>475</v>
      </c>
      <c r="C5672" s="132" t="s">
        <v>1368</v>
      </c>
      <c r="D5672" s="132" t="s">
        <v>285</v>
      </c>
      <c r="E5672" s="508">
        <v>0.29299999999999998</v>
      </c>
      <c r="F5672" s="508">
        <v>0.34599999999999997</v>
      </c>
      <c r="G5672" s="508">
        <v>0.17699999999999999</v>
      </c>
      <c r="H5672" s="508">
        <v>5.2999999999999999E-2</v>
      </c>
      <c r="I5672" s="508">
        <v>5.2999999999999999E-2</v>
      </c>
      <c r="J5672" s="508">
        <v>6.0999999999999999E-2</v>
      </c>
      <c r="K5672" s="508">
        <v>3.3000000000000002E-2</v>
      </c>
      <c r="L5672" s="508">
        <v>0.318</v>
      </c>
      <c r="M5672" s="508">
        <v>0.23899999999999999</v>
      </c>
      <c r="N5672" s="508">
        <v>0.11</v>
      </c>
      <c r="O5672" s="508">
        <v>0.159</v>
      </c>
      <c r="P5672" s="508">
        <v>0.41799999999999998</v>
      </c>
      <c r="Q5672" s="508">
        <v>0.255</v>
      </c>
      <c r="R5672" s="508">
        <v>0.17699999999999999</v>
      </c>
      <c r="S5672" s="508">
        <v>0.183</v>
      </c>
      <c r="T5672" s="508">
        <v>0.16200000000000001</v>
      </c>
      <c r="U5672" s="508">
        <v>0.12</v>
      </c>
      <c r="V5672" s="508">
        <v>0.187</v>
      </c>
      <c r="W5672" s="508">
        <v>0.157</v>
      </c>
      <c r="X5672" s="508">
        <v>0.157</v>
      </c>
      <c r="Y5672" s="508">
        <v>0.17100000000000001</v>
      </c>
      <c r="Z5672" s="508">
        <v>0.184</v>
      </c>
      <c r="AA5672" s="508">
        <v>1.2E-2</v>
      </c>
      <c r="AB5672" s="508">
        <v>1.2E-2</v>
      </c>
      <c r="AC5672" s="508">
        <v>1.0999999999999999E-2</v>
      </c>
      <c r="AD5672" s="508">
        <v>8.9999999999999993E-3</v>
      </c>
      <c r="AE5672" s="508">
        <v>0.01</v>
      </c>
      <c r="AF5672" s="508">
        <v>6.0000000000000001E-3</v>
      </c>
      <c r="AG5672" s="508">
        <v>6.0000000000000001E-3</v>
      </c>
      <c r="AH5672" s="508">
        <v>6.0000000000000001E-3</v>
      </c>
      <c r="AI5672" s="492">
        <v>6.0000000000000001E-3</v>
      </c>
      <c r="AJ5672" s="485"/>
    </row>
    <row r="5673" spans="2:36">
      <c r="B5673" s="136" t="s">
        <v>476</v>
      </c>
      <c r="C5673" s="132" t="s">
        <v>1368</v>
      </c>
      <c r="D5673" s="132" t="s">
        <v>285</v>
      </c>
      <c r="E5673" s="508">
        <v>0.29699999999999999</v>
      </c>
      <c r="F5673" s="508">
        <v>0.35099999999999998</v>
      </c>
      <c r="G5673" s="508">
        <v>0.18</v>
      </c>
      <c r="H5673" s="508">
        <v>5.2999999999999999E-2</v>
      </c>
      <c r="I5673" s="508">
        <v>5.2999999999999999E-2</v>
      </c>
      <c r="J5673" s="508">
        <v>6.2E-2</v>
      </c>
      <c r="K5673" s="508">
        <v>3.4000000000000002E-2</v>
      </c>
      <c r="L5673" s="508">
        <v>0.32400000000000001</v>
      </c>
      <c r="M5673" s="508">
        <v>0.24399999999999999</v>
      </c>
      <c r="N5673" s="508">
        <v>0.114</v>
      </c>
      <c r="O5673" s="508">
        <v>0.16800000000000001</v>
      </c>
      <c r="P5673" s="508">
        <v>0.443</v>
      </c>
      <c r="Q5673" s="508">
        <v>0.27</v>
      </c>
      <c r="R5673" s="508">
        <v>0.182</v>
      </c>
      <c r="S5673" s="508">
        <v>0.189</v>
      </c>
      <c r="T5673" s="508">
        <v>0.16700000000000001</v>
      </c>
      <c r="U5673" s="508">
        <v>0.124</v>
      </c>
      <c r="V5673" s="508">
        <v>0.193</v>
      </c>
      <c r="W5673" s="508">
        <v>0.161</v>
      </c>
      <c r="X5673" s="508">
        <v>0.16200000000000001</v>
      </c>
      <c r="Y5673" s="508">
        <v>0.17599999999999999</v>
      </c>
      <c r="Z5673" s="508">
        <v>0.189</v>
      </c>
      <c r="AA5673" s="508">
        <v>1.2999999999999999E-2</v>
      </c>
      <c r="AB5673" s="508">
        <v>1.2999999999999999E-2</v>
      </c>
      <c r="AC5673" s="508">
        <v>1.0999999999999999E-2</v>
      </c>
      <c r="AD5673" s="508">
        <v>8.9999999999999993E-3</v>
      </c>
      <c r="AE5673" s="508">
        <v>1.0999999999999999E-2</v>
      </c>
      <c r="AF5673" s="508">
        <v>6.0000000000000001E-3</v>
      </c>
      <c r="AG5673" s="508">
        <v>6.0000000000000001E-3</v>
      </c>
      <c r="AH5673" s="508">
        <v>6.0000000000000001E-3</v>
      </c>
      <c r="AI5673" s="492">
        <v>6.0000000000000001E-3</v>
      </c>
      <c r="AJ5673" s="485"/>
    </row>
    <row r="5674" spans="2:36">
      <c r="B5674" s="136" t="s">
        <v>478</v>
      </c>
      <c r="C5674" s="132" t="s">
        <v>1368</v>
      </c>
      <c r="D5674" s="132" t="s">
        <v>285</v>
      </c>
      <c r="E5674" s="508">
        <v>0.3</v>
      </c>
      <c r="F5674" s="508">
        <v>0.35399999999999998</v>
      </c>
      <c r="G5674" s="508">
        <v>0.182</v>
      </c>
      <c r="H5674" s="508">
        <v>5.5E-2</v>
      </c>
      <c r="I5674" s="508">
        <v>5.5E-2</v>
      </c>
      <c r="J5674" s="508">
        <v>6.3E-2</v>
      </c>
      <c r="K5674" s="508">
        <v>3.5000000000000003E-2</v>
      </c>
      <c r="L5674" s="508">
        <v>0.32800000000000001</v>
      </c>
      <c r="M5674" s="508">
        <v>0.247</v>
      </c>
      <c r="N5674" s="508">
        <v>0.11700000000000001</v>
      </c>
      <c r="O5674" s="508">
        <v>0.17399999999999999</v>
      </c>
      <c r="P5674" s="508">
        <v>0.45900000000000002</v>
      </c>
      <c r="Q5674" s="508">
        <v>0.28000000000000003</v>
      </c>
      <c r="R5674" s="508">
        <v>0.185</v>
      </c>
      <c r="S5674" s="508">
        <v>0.193</v>
      </c>
      <c r="T5674" s="508">
        <v>0.17</v>
      </c>
      <c r="U5674" s="508">
        <v>0.127</v>
      </c>
      <c r="V5674" s="508">
        <v>0.19600000000000001</v>
      </c>
      <c r="W5674" s="508">
        <v>0.16400000000000001</v>
      </c>
      <c r="X5674" s="508">
        <v>0.16500000000000001</v>
      </c>
      <c r="Y5674" s="508">
        <v>0.17899999999999999</v>
      </c>
      <c r="Z5674" s="508">
        <v>0.192</v>
      </c>
      <c r="AA5674" s="508">
        <v>1.2999999999999999E-2</v>
      </c>
      <c r="AB5674" s="508">
        <v>1.2999999999999999E-2</v>
      </c>
      <c r="AC5674" s="508">
        <v>1.0999999999999999E-2</v>
      </c>
      <c r="AD5674" s="508">
        <v>0.01</v>
      </c>
      <c r="AE5674" s="508">
        <v>1.0999999999999999E-2</v>
      </c>
      <c r="AF5674" s="508">
        <v>7.0000000000000001E-3</v>
      </c>
      <c r="AG5674" s="508">
        <v>7.0000000000000001E-3</v>
      </c>
      <c r="AH5674" s="508">
        <v>7.0000000000000001E-3</v>
      </c>
      <c r="AI5674" s="492">
        <v>7.0000000000000001E-3</v>
      </c>
      <c r="AJ5674" s="485"/>
    </row>
    <row r="5675" spans="2:36">
      <c r="B5675" s="136" t="s">
        <v>479</v>
      </c>
      <c r="C5675" s="132" t="s">
        <v>1368</v>
      </c>
      <c r="D5675" s="132" t="s">
        <v>285</v>
      </c>
      <c r="E5675" s="508">
        <v>0.29499999999999998</v>
      </c>
      <c r="F5675" s="508">
        <v>0.34799999999999998</v>
      </c>
      <c r="G5675" s="508">
        <v>0.17799999999999999</v>
      </c>
      <c r="H5675" s="508">
        <v>5.2999999999999999E-2</v>
      </c>
      <c r="I5675" s="508">
        <v>5.2999999999999999E-2</v>
      </c>
      <c r="J5675" s="508">
        <v>6.2E-2</v>
      </c>
      <c r="K5675" s="508">
        <v>3.3000000000000002E-2</v>
      </c>
      <c r="L5675" s="508">
        <v>0.32</v>
      </c>
      <c r="M5675" s="508">
        <v>0.24099999999999999</v>
      </c>
      <c r="N5675" s="508">
        <v>0.111</v>
      </c>
      <c r="O5675" s="508">
        <v>0.16200000000000001</v>
      </c>
      <c r="P5675" s="508">
        <v>0.42699999999999999</v>
      </c>
      <c r="Q5675" s="508">
        <v>0.26</v>
      </c>
      <c r="R5675" s="508">
        <v>0.17799999999999999</v>
      </c>
      <c r="S5675" s="508">
        <v>0.185</v>
      </c>
      <c r="T5675" s="508">
        <v>0.16400000000000001</v>
      </c>
      <c r="U5675" s="508">
        <v>0.122</v>
      </c>
      <c r="V5675" s="508">
        <v>0.19</v>
      </c>
      <c r="W5675" s="508">
        <v>0.159</v>
      </c>
      <c r="X5675" s="508">
        <v>0.159</v>
      </c>
      <c r="Y5675" s="508">
        <v>0.17299999999999999</v>
      </c>
      <c r="Z5675" s="508">
        <v>0.186</v>
      </c>
      <c r="AA5675" s="508">
        <v>1.2E-2</v>
      </c>
      <c r="AB5675" s="508">
        <v>1.2E-2</v>
      </c>
      <c r="AC5675" s="508">
        <v>1.0999999999999999E-2</v>
      </c>
      <c r="AD5675" s="508">
        <v>8.9999999999999993E-3</v>
      </c>
      <c r="AE5675" s="508">
        <v>0.01</v>
      </c>
      <c r="AF5675" s="508">
        <v>6.0000000000000001E-3</v>
      </c>
      <c r="AG5675" s="508">
        <v>6.0000000000000001E-3</v>
      </c>
      <c r="AH5675" s="508">
        <v>6.0000000000000001E-3</v>
      </c>
      <c r="AI5675" s="492">
        <v>6.0000000000000001E-3</v>
      </c>
      <c r="AJ5675" s="485"/>
    </row>
    <row r="5676" spans="2:36">
      <c r="B5676" s="136" t="s">
        <v>480</v>
      </c>
      <c r="C5676" s="132" t="s">
        <v>1368</v>
      </c>
      <c r="D5676" s="132" t="s">
        <v>285</v>
      </c>
      <c r="E5676" s="508">
        <v>0.28899999999999998</v>
      </c>
      <c r="F5676" s="508">
        <v>0.34100000000000003</v>
      </c>
      <c r="G5676" s="508">
        <v>0.17499999999999999</v>
      </c>
      <c r="H5676" s="508">
        <v>5.2999999999999999E-2</v>
      </c>
      <c r="I5676" s="508">
        <v>5.2999999999999999E-2</v>
      </c>
      <c r="J5676" s="508">
        <v>6.3E-2</v>
      </c>
      <c r="K5676" s="508">
        <v>3.2000000000000001E-2</v>
      </c>
      <c r="L5676" s="508">
        <v>0.309</v>
      </c>
      <c r="M5676" s="508">
        <v>0.23200000000000001</v>
      </c>
      <c r="N5676" s="508">
        <v>0.104</v>
      </c>
      <c r="O5676" s="508">
        <v>0.14899999999999999</v>
      </c>
      <c r="P5676" s="508">
        <v>0.38400000000000001</v>
      </c>
      <c r="Q5676" s="508">
        <v>0.23599999999999999</v>
      </c>
      <c r="R5676" s="508">
        <v>0.17</v>
      </c>
      <c r="S5676" s="508">
        <v>0.17699999999999999</v>
      </c>
      <c r="T5676" s="508">
        <v>0.157</v>
      </c>
      <c r="U5676" s="508">
        <v>0.11600000000000001</v>
      </c>
      <c r="V5676" s="508">
        <v>0.18099999999999999</v>
      </c>
      <c r="W5676" s="508">
        <v>0.151</v>
      </c>
      <c r="X5676" s="508">
        <v>0.151</v>
      </c>
      <c r="Y5676" s="508">
        <v>0.16500000000000001</v>
      </c>
      <c r="Z5676" s="508">
        <v>0.17699999999999999</v>
      </c>
      <c r="AA5676" s="508">
        <v>1.2E-2</v>
      </c>
      <c r="AB5676" s="508">
        <v>1.2E-2</v>
      </c>
      <c r="AC5676" s="508">
        <v>0.01</v>
      </c>
      <c r="AD5676" s="508">
        <v>8.9999999999999993E-3</v>
      </c>
      <c r="AE5676" s="508">
        <v>0.01</v>
      </c>
      <c r="AF5676" s="508">
        <v>6.0000000000000001E-3</v>
      </c>
      <c r="AG5676" s="508">
        <v>6.0000000000000001E-3</v>
      </c>
      <c r="AH5676" s="508">
        <v>6.0000000000000001E-3</v>
      </c>
      <c r="AI5676" s="492">
        <v>6.0000000000000001E-3</v>
      </c>
      <c r="AJ5676" s="485"/>
    </row>
    <row r="5677" spans="2:36">
      <c r="B5677" s="136" t="s">
        <v>481</v>
      </c>
      <c r="C5677" s="132" t="s">
        <v>1368</v>
      </c>
      <c r="D5677" s="132" t="s">
        <v>285</v>
      </c>
      <c r="E5677" s="508">
        <v>0.29599999999999999</v>
      </c>
      <c r="F5677" s="508">
        <v>0.34899999999999998</v>
      </c>
      <c r="G5677" s="508">
        <v>0.17899999999999999</v>
      </c>
      <c r="H5677" s="508">
        <v>5.2999999999999999E-2</v>
      </c>
      <c r="I5677" s="508">
        <v>5.2999999999999999E-2</v>
      </c>
      <c r="J5677" s="508">
        <v>6.2E-2</v>
      </c>
      <c r="K5677" s="508">
        <v>3.4000000000000002E-2</v>
      </c>
      <c r="L5677" s="508">
        <v>0.32200000000000001</v>
      </c>
      <c r="M5677" s="508">
        <v>0.24199999999999999</v>
      </c>
      <c r="N5677" s="508">
        <v>0.112</v>
      </c>
      <c r="O5677" s="508">
        <v>0.16500000000000001</v>
      </c>
      <c r="P5677" s="508">
        <v>0.434</v>
      </c>
      <c r="Q5677" s="508">
        <v>0.26500000000000001</v>
      </c>
      <c r="R5677" s="508">
        <v>0.18</v>
      </c>
      <c r="S5677" s="508">
        <v>0.187</v>
      </c>
      <c r="T5677" s="508">
        <v>0.16500000000000001</v>
      </c>
      <c r="U5677" s="508">
        <v>0.123</v>
      </c>
      <c r="V5677" s="508">
        <v>0.191</v>
      </c>
      <c r="W5677" s="508">
        <v>0.16</v>
      </c>
      <c r="X5677" s="508">
        <v>0.16</v>
      </c>
      <c r="Y5677" s="508">
        <v>0.17399999999999999</v>
      </c>
      <c r="Z5677" s="508">
        <v>0.187</v>
      </c>
      <c r="AA5677" s="508">
        <v>1.2E-2</v>
      </c>
      <c r="AB5677" s="508">
        <v>1.2E-2</v>
      </c>
      <c r="AC5677" s="508">
        <v>1.0999999999999999E-2</v>
      </c>
      <c r="AD5677" s="508">
        <v>8.9999999999999993E-3</v>
      </c>
      <c r="AE5677" s="508">
        <v>0.01</v>
      </c>
      <c r="AF5677" s="508">
        <v>6.0000000000000001E-3</v>
      </c>
      <c r="AG5677" s="508">
        <v>6.0000000000000001E-3</v>
      </c>
      <c r="AH5677" s="508">
        <v>6.0000000000000001E-3</v>
      </c>
      <c r="AI5677" s="492">
        <v>6.0000000000000001E-3</v>
      </c>
      <c r="AJ5677" s="485"/>
    </row>
    <row r="5678" spans="2:36">
      <c r="B5678" s="136" t="s">
        <v>482</v>
      </c>
      <c r="C5678" s="132" t="s">
        <v>1368</v>
      </c>
      <c r="D5678" s="132" t="s">
        <v>285</v>
      </c>
      <c r="E5678" s="508">
        <v>0.29599999999999999</v>
      </c>
      <c r="F5678" s="508">
        <v>0.34899999999999998</v>
      </c>
      <c r="G5678" s="508">
        <v>0.18</v>
      </c>
      <c r="H5678" s="508">
        <v>5.3999999999999999E-2</v>
      </c>
      <c r="I5678" s="508">
        <v>5.3999999999999999E-2</v>
      </c>
      <c r="J5678" s="508">
        <v>6.3E-2</v>
      </c>
      <c r="K5678" s="508">
        <v>3.4000000000000002E-2</v>
      </c>
      <c r="L5678" s="508">
        <v>0.32100000000000001</v>
      </c>
      <c r="M5678" s="508">
        <v>0.24099999999999999</v>
      </c>
      <c r="N5678" s="508">
        <v>0.112</v>
      </c>
      <c r="O5678" s="508">
        <v>0.16400000000000001</v>
      </c>
      <c r="P5678" s="508">
        <v>0.43</v>
      </c>
      <c r="Q5678" s="508">
        <v>0.26200000000000001</v>
      </c>
      <c r="R5678" s="508">
        <v>0.17899999999999999</v>
      </c>
      <c r="S5678" s="508">
        <v>0.186</v>
      </c>
      <c r="T5678" s="508">
        <v>0.16500000000000001</v>
      </c>
      <c r="U5678" s="508">
        <v>0.123</v>
      </c>
      <c r="V5678" s="508">
        <v>0.19</v>
      </c>
      <c r="W5678" s="508">
        <v>0.159</v>
      </c>
      <c r="X5678" s="508">
        <v>0.159</v>
      </c>
      <c r="Y5678" s="508">
        <v>0.17299999999999999</v>
      </c>
      <c r="Z5678" s="508">
        <v>0.186</v>
      </c>
      <c r="AA5678" s="508">
        <v>1.2E-2</v>
      </c>
      <c r="AB5678" s="508">
        <v>1.2E-2</v>
      </c>
      <c r="AC5678" s="508">
        <v>1.0999999999999999E-2</v>
      </c>
      <c r="AD5678" s="508">
        <v>8.9999999999999993E-3</v>
      </c>
      <c r="AE5678" s="508">
        <v>0.01</v>
      </c>
      <c r="AF5678" s="508">
        <v>6.0000000000000001E-3</v>
      </c>
      <c r="AG5678" s="508">
        <v>6.0000000000000001E-3</v>
      </c>
      <c r="AH5678" s="508">
        <v>6.0000000000000001E-3</v>
      </c>
      <c r="AI5678" s="492">
        <v>6.0000000000000001E-3</v>
      </c>
      <c r="AJ5678" s="485"/>
    </row>
    <row r="5679" spans="2:36">
      <c r="B5679" s="136" t="s">
        <v>483</v>
      </c>
      <c r="C5679" s="132" t="s">
        <v>1368</v>
      </c>
      <c r="D5679" s="132" t="s">
        <v>285</v>
      </c>
      <c r="E5679" s="508">
        <v>0.29899999999999999</v>
      </c>
      <c r="F5679" s="508">
        <v>0.35299999999999998</v>
      </c>
      <c r="G5679" s="508">
        <v>0.182</v>
      </c>
      <c r="H5679" s="508">
        <v>5.3999999999999999E-2</v>
      </c>
      <c r="I5679" s="508">
        <v>5.3999999999999999E-2</v>
      </c>
      <c r="J5679" s="508">
        <v>6.2E-2</v>
      </c>
      <c r="K5679" s="508">
        <v>3.5000000000000003E-2</v>
      </c>
      <c r="L5679" s="508">
        <v>0.32800000000000001</v>
      </c>
      <c r="M5679" s="508">
        <v>0.247</v>
      </c>
      <c r="N5679" s="508">
        <v>0.11600000000000001</v>
      </c>
      <c r="O5679" s="508">
        <v>0.17299999999999999</v>
      </c>
      <c r="P5679" s="508">
        <v>0.45700000000000002</v>
      </c>
      <c r="Q5679" s="508">
        <v>0.27800000000000002</v>
      </c>
      <c r="R5679" s="508">
        <v>0.184</v>
      </c>
      <c r="S5679" s="508">
        <v>0.192</v>
      </c>
      <c r="T5679" s="508">
        <v>0.17</v>
      </c>
      <c r="U5679" s="508">
        <v>0.126</v>
      </c>
      <c r="V5679" s="508">
        <v>0.19600000000000001</v>
      </c>
      <c r="W5679" s="508">
        <v>0.16400000000000001</v>
      </c>
      <c r="X5679" s="508">
        <v>0.16400000000000001</v>
      </c>
      <c r="Y5679" s="508">
        <v>0.17899999999999999</v>
      </c>
      <c r="Z5679" s="508">
        <v>0.192</v>
      </c>
      <c r="AA5679" s="508">
        <v>1.2999999999999999E-2</v>
      </c>
      <c r="AB5679" s="508">
        <v>1.2999999999999999E-2</v>
      </c>
      <c r="AC5679" s="508">
        <v>1.0999999999999999E-2</v>
      </c>
      <c r="AD5679" s="508">
        <v>0.01</v>
      </c>
      <c r="AE5679" s="508">
        <v>1.0999999999999999E-2</v>
      </c>
      <c r="AF5679" s="508">
        <v>7.0000000000000001E-3</v>
      </c>
      <c r="AG5679" s="508">
        <v>7.0000000000000001E-3</v>
      </c>
      <c r="AH5679" s="508">
        <v>7.0000000000000001E-3</v>
      </c>
      <c r="AI5679" s="492">
        <v>7.0000000000000001E-3</v>
      </c>
      <c r="AJ5679" s="485"/>
    </row>
    <row r="5680" spans="2:36">
      <c r="B5680" s="136" t="s">
        <v>484</v>
      </c>
      <c r="C5680" s="132" t="s">
        <v>1368</v>
      </c>
      <c r="D5680" s="132" t="s">
        <v>285</v>
      </c>
      <c r="E5680" s="508">
        <v>0.28899999999999998</v>
      </c>
      <c r="F5680" s="508">
        <v>0.34100000000000003</v>
      </c>
      <c r="G5680" s="508">
        <v>0.17399999999999999</v>
      </c>
      <c r="H5680" s="508">
        <v>5.1999999999999998E-2</v>
      </c>
      <c r="I5680" s="508">
        <v>5.1999999999999998E-2</v>
      </c>
      <c r="J5680" s="508">
        <v>6.2E-2</v>
      </c>
      <c r="K5680" s="508">
        <v>3.2000000000000001E-2</v>
      </c>
      <c r="L5680" s="508">
        <v>0.31</v>
      </c>
      <c r="M5680" s="508">
        <v>0.23300000000000001</v>
      </c>
      <c r="N5680" s="508">
        <v>0.104</v>
      </c>
      <c r="O5680" s="508">
        <v>0.14899999999999999</v>
      </c>
      <c r="P5680" s="508">
        <v>0.38600000000000001</v>
      </c>
      <c r="Q5680" s="508">
        <v>0.23699999999999999</v>
      </c>
      <c r="R5680" s="508">
        <v>0.17</v>
      </c>
      <c r="S5680" s="508">
        <v>0.17699999999999999</v>
      </c>
      <c r="T5680" s="508">
        <v>0.157</v>
      </c>
      <c r="U5680" s="508">
        <v>0.11600000000000001</v>
      </c>
      <c r="V5680" s="508">
        <v>0.18099999999999999</v>
      </c>
      <c r="W5680" s="508">
        <v>0.151</v>
      </c>
      <c r="X5680" s="508">
        <v>0.152</v>
      </c>
      <c r="Y5680" s="508">
        <v>0.16500000000000001</v>
      </c>
      <c r="Z5680" s="508">
        <v>0.17699999999999999</v>
      </c>
      <c r="AA5680" s="508">
        <v>1.2E-2</v>
      </c>
      <c r="AB5680" s="508">
        <v>1.2E-2</v>
      </c>
      <c r="AC5680" s="508">
        <v>0.01</v>
      </c>
      <c r="AD5680" s="508">
        <v>8.9999999999999993E-3</v>
      </c>
      <c r="AE5680" s="508">
        <v>0.01</v>
      </c>
      <c r="AF5680" s="508">
        <v>6.0000000000000001E-3</v>
      </c>
      <c r="AG5680" s="508">
        <v>6.0000000000000001E-3</v>
      </c>
      <c r="AH5680" s="508">
        <v>6.0000000000000001E-3</v>
      </c>
      <c r="AI5680" s="492">
        <v>6.0000000000000001E-3</v>
      </c>
      <c r="AJ5680" s="485"/>
    </row>
    <row r="5681" spans="2:36">
      <c r="B5681" s="136" t="s">
        <v>486</v>
      </c>
      <c r="C5681" s="132" t="s">
        <v>1368</v>
      </c>
      <c r="D5681" s="132" t="s">
        <v>285</v>
      </c>
      <c r="E5681" s="508">
        <v>0.29599999999999999</v>
      </c>
      <c r="F5681" s="508">
        <v>0.35</v>
      </c>
      <c r="G5681" s="508">
        <v>0.18</v>
      </c>
      <c r="H5681" s="508">
        <v>5.3999999999999999E-2</v>
      </c>
      <c r="I5681" s="508">
        <v>5.3999999999999999E-2</v>
      </c>
      <c r="J5681" s="508">
        <v>6.2E-2</v>
      </c>
      <c r="K5681" s="508">
        <v>3.4000000000000002E-2</v>
      </c>
      <c r="L5681" s="508">
        <v>0.32200000000000001</v>
      </c>
      <c r="M5681" s="508">
        <v>0.24199999999999999</v>
      </c>
      <c r="N5681" s="508">
        <v>0.113</v>
      </c>
      <c r="O5681" s="508">
        <v>0.16500000000000001</v>
      </c>
      <c r="P5681" s="508">
        <v>0.435</v>
      </c>
      <c r="Q5681" s="508">
        <v>0.26500000000000001</v>
      </c>
      <c r="R5681" s="508">
        <v>0.18</v>
      </c>
      <c r="S5681" s="508">
        <v>0.187</v>
      </c>
      <c r="T5681" s="508">
        <v>0.16600000000000001</v>
      </c>
      <c r="U5681" s="508">
        <v>0.123</v>
      </c>
      <c r="V5681" s="508">
        <v>0.191</v>
      </c>
      <c r="W5681" s="508">
        <v>0.16</v>
      </c>
      <c r="X5681" s="508">
        <v>0.16</v>
      </c>
      <c r="Y5681" s="508">
        <v>0.17399999999999999</v>
      </c>
      <c r="Z5681" s="508">
        <v>0.187</v>
      </c>
      <c r="AA5681" s="508">
        <v>1.2999999999999999E-2</v>
      </c>
      <c r="AB5681" s="508">
        <v>1.2E-2</v>
      </c>
      <c r="AC5681" s="508">
        <v>1.0999999999999999E-2</v>
      </c>
      <c r="AD5681" s="508">
        <v>8.9999999999999993E-3</v>
      </c>
      <c r="AE5681" s="508">
        <v>0.01</v>
      </c>
      <c r="AF5681" s="508">
        <v>6.0000000000000001E-3</v>
      </c>
      <c r="AG5681" s="508">
        <v>6.0000000000000001E-3</v>
      </c>
      <c r="AH5681" s="508">
        <v>6.0000000000000001E-3</v>
      </c>
      <c r="AI5681" s="492">
        <v>6.0000000000000001E-3</v>
      </c>
      <c r="AJ5681" s="485"/>
    </row>
    <row r="5682" spans="2:36">
      <c r="B5682" s="136" t="s">
        <v>487</v>
      </c>
      <c r="C5682" s="132" t="s">
        <v>1368</v>
      </c>
      <c r="D5682" s="132" t="s">
        <v>285</v>
      </c>
      <c r="E5682" s="508">
        <v>0.29699999999999999</v>
      </c>
      <c r="F5682" s="508">
        <v>0.35099999999999998</v>
      </c>
      <c r="G5682" s="508">
        <v>0.18099999999999999</v>
      </c>
      <c r="H5682" s="508">
        <v>5.3999999999999999E-2</v>
      </c>
      <c r="I5682" s="508">
        <v>5.3999999999999999E-2</v>
      </c>
      <c r="J5682" s="508">
        <v>6.4000000000000001E-2</v>
      </c>
      <c r="K5682" s="508">
        <v>3.4000000000000002E-2</v>
      </c>
      <c r="L5682" s="508">
        <v>0.32200000000000001</v>
      </c>
      <c r="M5682" s="508">
        <v>0.24199999999999999</v>
      </c>
      <c r="N5682" s="508">
        <v>0.113</v>
      </c>
      <c r="O5682" s="508">
        <v>0.16600000000000001</v>
      </c>
      <c r="P5682" s="508">
        <v>0.436</v>
      </c>
      <c r="Q5682" s="508">
        <v>0.26600000000000001</v>
      </c>
      <c r="R5682" s="508">
        <v>0.18</v>
      </c>
      <c r="S5682" s="508">
        <v>0.188</v>
      </c>
      <c r="T5682" s="508">
        <v>0.16600000000000001</v>
      </c>
      <c r="U5682" s="508">
        <v>0.123</v>
      </c>
      <c r="V5682" s="508">
        <v>0.191</v>
      </c>
      <c r="W5682" s="508">
        <v>0.16</v>
      </c>
      <c r="X5682" s="508">
        <v>0.161</v>
      </c>
      <c r="Y5682" s="508">
        <v>0.17399999999999999</v>
      </c>
      <c r="Z5682" s="508">
        <v>0.188</v>
      </c>
      <c r="AA5682" s="508">
        <v>1.2999999999999999E-2</v>
      </c>
      <c r="AB5682" s="508">
        <v>1.2999999999999999E-2</v>
      </c>
      <c r="AC5682" s="508">
        <v>1.0999999999999999E-2</v>
      </c>
      <c r="AD5682" s="508">
        <v>8.9999999999999993E-3</v>
      </c>
      <c r="AE5682" s="508">
        <v>0.01</v>
      </c>
      <c r="AF5682" s="508">
        <v>6.0000000000000001E-3</v>
      </c>
      <c r="AG5682" s="508">
        <v>6.0000000000000001E-3</v>
      </c>
      <c r="AH5682" s="508">
        <v>6.0000000000000001E-3</v>
      </c>
      <c r="AI5682" s="492">
        <v>6.0000000000000001E-3</v>
      </c>
      <c r="AJ5682" s="485"/>
    </row>
    <row r="5683" spans="2:36">
      <c r="B5683" s="136" t="s">
        <v>488</v>
      </c>
      <c r="C5683" s="132" t="s">
        <v>1368</v>
      </c>
      <c r="D5683" s="132" t="s">
        <v>285</v>
      </c>
      <c r="E5683" s="508">
        <v>0.29099999999999998</v>
      </c>
      <c r="F5683" s="508">
        <v>0.34399999999999997</v>
      </c>
      <c r="G5683" s="508">
        <v>0.17599999999999999</v>
      </c>
      <c r="H5683" s="508">
        <v>5.2999999999999999E-2</v>
      </c>
      <c r="I5683" s="508">
        <v>5.2999999999999999E-2</v>
      </c>
      <c r="J5683" s="508">
        <v>6.2E-2</v>
      </c>
      <c r="K5683" s="508">
        <v>3.2000000000000001E-2</v>
      </c>
      <c r="L5683" s="508">
        <v>0.313</v>
      </c>
      <c r="M5683" s="508">
        <v>0.23499999999999999</v>
      </c>
      <c r="N5683" s="508">
        <v>0.106</v>
      </c>
      <c r="O5683" s="508">
        <v>0.153</v>
      </c>
      <c r="P5683" s="508">
        <v>0.39800000000000002</v>
      </c>
      <c r="Q5683" s="508">
        <v>0.24399999999999999</v>
      </c>
      <c r="R5683" s="508">
        <v>0.17299999999999999</v>
      </c>
      <c r="S5683" s="508">
        <v>0.17899999999999999</v>
      </c>
      <c r="T5683" s="508">
        <v>0.159</v>
      </c>
      <c r="U5683" s="508">
        <v>0.11799999999999999</v>
      </c>
      <c r="V5683" s="508">
        <v>0.183</v>
      </c>
      <c r="W5683" s="508">
        <v>0.153</v>
      </c>
      <c r="X5683" s="508">
        <v>0.154</v>
      </c>
      <c r="Y5683" s="508">
        <v>0.16700000000000001</v>
      </c>
      <c r="Z5683" s="508">
        <v>0.18</v>
      </c>
      <c r="AA5683" s="508">
        <v>1.2E-2</v>
      </c>
      <c r="AB5683" s="508">
        <v>1.2E-2</v>
      </c>
      <c r="AC5683" s="508">
        <v>1.0999999999999999E-2</v>
      </c>
      <c r="AD5683" s="508">
        <v>8.9999999999999993E-3</v>
      </c>
      <c r="AE5683" s="508">
        <v>0.01</v>
      </c>
      <c r="AF5683" s="508">
        <v>6.0000000000000001E-3</v>
      </c>
      <c r="AG5683" s="508">
        <v>6.0000000000000001E-3</v>
      </c>
      <c r="AH5683" s="508">
        <v>6.0000000000000001E-3</v>
      </c>
      <c r="AI5683" s="492">
        <v>6.0000000000000001E-3</v>
      </c>
      <c r="AJ5683" s="485"/>
    </row>
    <row r="5684" spans="2:36">
      <c r="B5684" s="136" t="s">
        <v>489</v>
      </c>
      <c r="C5684" s="132" t="s">
        <v>1368</v>
      </c>
      <c r="D5684" s="132" t="s">
        <v>285</v>
      </c>
      <c r="E5684" s="508">
        <v>0.29299999999999998</v>
      </c>
      <c r="F5684" s="508">
        <v>0.34599999999999997</v>
      </c>
      <c r="G5684" s="508">
        <v>0.17699999999999999</v>
      </c>
      <c r="H5684" s="508">
        <v>5.2999999999999999E-2</v>
      </c>
      <c r="I5684" s="508">
        <v>5.2999999999999999E-2</v>
      </c>
      <c r="J5684" s="508">
        <v>6.2E-2</v>
      </c>
      <c r="K5684" s="508">
        <v>3.3000000000000002E-2</v>
      </c>
      <c r="L5684" s="508">
        <v>0.317</v>
      </c>
      <c r="M5684" s="508">
        <v>0.23899999999999999</v>
      </c>
      <c r="N5684" s="508">
        <v>0.109</v>
      </c>
      <c r="O5684" s="508">
        <v>0.158</v>
      </c>
      <c r="P5684" s="508">
        <v>0.41499999999999998</v>
      </c>
      <c r="Q5684" s="508">
        <v>0.253</v>
      </c>
      <c r="R5684" s="508">
        <v>0.17599999999999999</v>
      </c>
      <c r="S5684" s="508">
        <v>0.183</v>
      </c>
      <c r="T5684" s="508">
        <v>0.16200000000000001</v>
      </c>
      <c r="U5684" s="508">
        <v>0.12</v>
      </c>
      <c r="V5684" s="508">
        <v>0.187</v>
      </c>
      <c r="W5684" s="508">
        <v>0.156</v>
      </c>
      <c r="X5684" s="508">
        <v>0.157</v>
      </c>
      <c r="Y5684" s="508">
        <v>0.17</v>
      </c>
      <c r="Z5684" s="508">
        <v>0.183</v>
      </c>
      <c r="AA5684" s="508">
        <v>1.2E-2</v>
      </c>
      <c r="AB5684" s="508">
        <v>1.2E-2</v>
      </c>
      <c r="AC5684" s="508">
        <v>1.0999999999999999E-2</v>
      </c>
      <c r="AD5684" s="508">
        <v>8.9999999999999993E-3</v>
      </c>
      <c r="AE5684" s="508">
        <v>0.01</v>
      </c>
      <c r="AF5684" s="508">
        <v>6.0000000000000001E-3</v>
      </c>
      <c r="AG5684" s="508">
        <v>6.0000000000000001E-3</v>
      </c>
      <c r="AH5684" s="508">
        <v>6.0000000000000001E-3</v>
      </c>
      <c r="AI5684" s="492">
        <v>6.0000000000000001E-3</v>
      </c>
      <c r="AJ5684" s="485"/>
    </row>
    <row r="5685" spans="2:36">
      <c r="B5685" s="136" t="s">
        <v>490</v>
      </c>
      <c r="C5685" s="132" t="s">
        <v>1368</v>
      </c>
      <c r="D5685" s="132" t="s">
        <v>285</v>
      </c>
      <c r="E5685" s="508">
        <v>0.28999999999999998</v>
      </c>
      <c r="F5685" s="508">
        <v>0.34200000000000003</v>
      </c>
      <c r="G5685" s="508">
        <v>0.17599999999999999</v>
      </c>
      <c r="H5685" s="508">
        <v>5.2999999999999999E-2</v>
      </c>
      <c r="I5685" s="508">
        <v>5.2999999999999999E-2</v>
      </c>
      <c r="J5685" s="508">
        <v>6.3E-2</v>
      </c>
      <c r="K5685" s="508">
        <v>3.3000000000000002E-2</v>
      </c>
      <c r="L5685" s="508">
        <v>0.31</v>
      </c>
      <c r="M5685" s="508">
        <v>0.23400000000000001</v>
      </c>
      <c r="N5685" s="508">
        <v>0.105</v>
      </c>
      <c r="O5685" s="508">
        <v>0.151</v>
      </c>
      <c r="P5685" s="508">
        <v>0.39100000000000001</v>
      </c>
      <c r="Q5685" s="508">
        <v>0.24</v>
      </c>
      <c r="R5685" s="508">
        <v>0.17199999999999999</v>
      </c>
      <c r="S5685" s="508">
        <v>0.17799999999999999</v>
      </c>
      <c r="T5685" s="508">
        <v>0.158</v>
      </c>
      <c r="U5685" s="508">
        <v>0.11700000000000001</v>
      </c>
      <c r="V5685" s="508">
        <v>0.182</v>
      </c>
      <c r="W5685" s="508">
        <v>0.152</v>
      </c>
      <c r="X5685" s="508">
        <v>0.153</v>
      </c>
      <c r="Y5685" s="508">
        <v>0.16600000000000001</v>
      </c>
      <c r="Z5685" s="508">
        <v>0.17799999999999999</v>
      </c>
      <c r="AA5685" s="508">
        <v>1.2E-2</v>
      </c>
      <c r="AB5685" s="508">
        <v>1.2E-2</v>
      </c>
      <c r="AC5685" s="508">
        <v>1.0999999999999999E-2</v>
      </c>
      <c r="AD5685" s="508">
        <v>8.9999999999999993E-3</v>
      </c>
      <c r="AE5685" s="508">
        <v>0.01</v>
      </c>
      <c r="AF5685" s="508">
        <v>6.0000000000000001E-3</v>
      </c>
      <c r="AG5685" s="508">
        <v>6.0000000000000001E-3</v>
      </c>
      <c r="AH5685" s="508">
        <v>6.0000000000000001E-3</v>
      </c>
      <c r="AI5685" s="492">
        <v>6.0000000000000001E-3</v>
      </c>
      <c r="AJ5685" s="485"/>
    </row>
    <row r="5686" spans="2:36">
      <c r="B5686" s="136" t="s">
        <v>435</v>
      </c>
      <c r="C5686" s="132" t="s">
        <v>1369</v>
      </c>
      <c r="D5686" s="132" t="s">
        <v>285</v>
      </c>
      <c r="E5686" s="508">
        <v>7.0000000000000007E-2</v>
      </c>
      <c r="F5686" s="508">
        <v>6.6000000000000003E-2</v>
      </c>
      <c r="G5686" s="508">
        <v>6.5000000000000002E-2</v>
      </c>
      <c r="H5686" s="508">
        <v>5.5E-2</v>
      </c>
      <c r="I5686" s="508">
        <v>5.5E-2</v>
      </c>
      <c r="J5686" s="508">
        <v>5.8000000000000003E-2</v>
      </c>
      <c r="K5686" s="508">
        <v>3.5000000000000003E-2</v>
      </c>
      <c r="L5686" s="508">
        <v>3.5000000000000003E-2</v>
      </c>
      <c r="M5686" s="508">
        <v>3.5000000000000003E-2</v>
      </c>
      <c r="N5686" s="508">
        <v>3.6999999999999998E-2</v>
      </c>
      <c r="O5686" s="508">
        <v>2.9000000000000001E-2</v>
      </c>
      <c r="P5686" s="508">
        <v>0.02</v>
      </c>
      <c r="Q5686" s="508">
        <v>2.1999999999999999E-2</v>
      </c>
      <c r="R5686" s="508">
        <v>1.7999999999999999E-2</v>
      </c>
      <c r="S5686" s="508">
        <v>1.6E-2</v>
      </c>
      <c r="T5686" s="508">
        <v>1.6E-2</v>
      </c>
      <c r="U5686" s="508">
        <v>0.01</v>
      </c>
      <c r="V5686" s="508">
        <v>0.01</v>
      </c>
      <c r="W5686" s="508">
        <v>0.01</v>
      </c>
      <c r="X5686" s="508">
        <v>8.9999999999999993E-3</v>
      </c>
      <c r="Y5686" s="508">
        <v>8.0000000000000002E-3</v>
      </c>
      <c r="Z5686" s="508">
        <v>7.0000000000000001E-3</v>
      </c>
      <c r="AA5686" s="508">
        <v>7.0000000000000001E-3</v>
      </c>
      <c r="AB5686" s="508">
        <v>6.0000000000000001E-3</v>
      </c>
      <c r="AC5686" s="508">
        <v>6.0000000000000001E-3</v>
      </c>
      <c r="AD5686" s="508">
        <v>5.0000000000000001E-3</v>
      </c>
      <c r="AE5686" s="508">
        <v>5.0000000000000001E-3</v>
      </c>
      <c r="AF5686" s="508">
        <v>3.0000000000000001E-3</v>
      </c>
      <c r="AG5686" s="508">
        <v>3.0000000000000001E-3</v>
      </c>
      <c r="AH5686" s="508">
        <v>3.0000000000000001E-3</v>
      </c>
      <c r="AI5686" s="492">
        <v>3.0000000000000001E-3</v>
      </c>
      <c r="AJ5686" s="485"/>
    </row>
    <row r="5687" spans="2:36">
      <c r="B5687" s="136" t="s">
        <v>436</v>
      </c>
      <c r="C5687" s="132" t="s">
        <v>1369</v>
      </c>
      <c r="D5687" s="132" t="s">
        <v>285</v>
      </c>
      <c r="E5687" s="508">
        <v>0.215</v>
      </c>
      <c r="F5687" s="508">
        <v>0.20200000000000001</v>
      </c>
      <c r="G5687" s="508">
        <v>0.20100000000000001</v>
      </c>
      <c r="H5687" s="508">
        <v>0.16700000000000001</v>
      </c>
      <c r="I5687" s="508">
        <v>0.16800000000000001</v>
      </c>
      <c r="J5687" s="508">
        <v>0.17399999999999999</v>
      </c>
      <c r="K5687" s="508">
        <v>0.109</v>
      </c>
      <c r="L5687" s="508">
        <v>0.108</v>
      </c>
      <c r="M5687" s="508">
        <v>0.107</v>
      </c>
      <c r="N5687" s="508">
        <v>0.109</v>
      </c>
      <c r="O5687" s="508">
        <v>9.0999999999999998E-2</v>
      </c>
      <c r="P5687" s="508">
        <v>6.2E-2</v>
      </c>
      <c r="Q5687" s="508">
        <v>6.5000000000000002E-2</v>
      </c>
      <c r="R5687" s="508">
        <v>5.5E-2</v>
      </c>
      <c r="S5687" s="508">
        <v>0.05</v>
      </c>
      <c r="T5687" s="508">
        <v>4.9000000000000002E-2</v>
      </c>
      <c r="U5687" s="508">
        <v>2.8000000000000001E-2</v>
      </c>
      <c r="V5687" s="508">
        <v>2.5999999999999999E-2</v>
      </c>
      <c r="W5687" s="508">
        <v>2.5999999999999999E-2</v>
      </c>
      <c r="X5687" s="508">
        <v>1.2999999999999999E-2</v>
      </c>
      <c r="Y5687" s="508">
        <v>1.2999999999999999E-2</v>
      </c>
      <c r="Z5687" s="508">
        <v>0.01</v>
      </c>
      <c r="AA5687" s="508">
        <v>0.01</v>
      </c>
      <c r="AB5687" s="508">
        <v>8.9999999999999993E-3</v>
      </c>
      <c r="AC5687" s="508">
        <v>8.9999999999999993E-3</v>
      </c>
      <c r="AD5687" s="508">
        <v>8.0000000000000002E-3</v>
      </c>
      <c r="AE5687" s="508">
        <v>7.0000000000000001E-3</v>
      </c>
      <c r="AF5687" s="508">
        <v>4.0000000000000001E-3</v>
      </c>
      <c r="AG5687" s="508">
        <v>4.0000000000000001E-3</v>
      </c>
      <c r="AH5687" s="508">
        <v>4.0000000000000001E-3</v>
      </c>
      <c r="AI5687" s="492">
        <v>4.0000000000000001E-3</v>
      </c>
      <c r="AJ5687" s="485"/>
    </row>
    <row r="5688" spans="2:36">
      <c r="B5688" s="136" t="s">
        <v>437</v>
      </c>
      <c r="C5688" s="132" t="s">
        <v>1369</v>
      </c>
      <c r="D5688" s="132" t="s">
        <v>285</v>
      </c>
      <c r="E5688" s="508">
        <v>6.0999999999999999E-2</v>
      </c>
      <c r="F5688" s="508">
        <v>5.8000000000000003E-2</v>
      </c>
      <c r="G5688" s="508">
        <v>5.8000000000000003E-2</v>
      </c>
      <c r="H5688" s="508">
        <v>4.8000000000000001E-2</v>
      </c>
      <c r="I5688" s="508">
        <v>4.8000000000000001E-2</v>
      </c>
      <c r="J5688" s="508">
        <v>0.05</v>
      </c>
      <c r="K5688" s="508">
        <v>3.1E-2</v>
      </c>
      <c r="L5688" s="508">
        <v>3.1E-2</v>
      </c>
      <c r="M5688" s="508">
        <v>0.03</v>
      </c>
      <c r="N5688" s="508">
        <v>3.1E-2</v>
      </c>
      <c r="O5688" s="508">
        <v>2.5999999999999999E-2</v>
      </c>
      <c r="P5688" s="508">
        <v>1.9E-2</v>
      </c>
      <c r="Q5688" s="508">
        <v>1.9E-2</v>
      </c>
      <c r="R5688" s="508">
        <v>1.6E-2</v>
      </c>
      <c r="S5688" s="508">
        <v>1.4999999999999999E-2</v>
      </c>
      <c r="T5688" s="508">
        <v>1.4999999999999999E-2</v>
      </c>
      <c r="U5688" s="508">
        <v>8.0000000000000002E-3</v>
      </c>
      <c r="V5688" s="508">
        <v>7.0000000000000001E-3</v>
      </c>
      <c r="W5688" s="508">
        <v>8.0000000000000002E-3</v>
      </c>
      <c r="X5688" s="508">
        <v>7.0000000000000001E-3</v>
      </c>
      <c r="Y5688" s="508">
        <v>7.0000000000000001E-3</v>
      </c>
      <c r="Z5688" s="508">
        <v>6.0000000000000001E-3</v>
      </c>
      <c r="AA5688" s="508">
        <v>6.0000000000000001E-3</v>
      </c>
      <c r="AB5688" s="508">
        <v>5.0000000000000001E-3</v>
      </c>
      <c r="AC5688" s="508">
        <v>5.0000000000000001E-3</v>
      </c>
      <c r="AD5688" s="508">
        <v>5.0000000000000001E-3</v>
      </c>
      <c r="AE5688" s="508">
        <v>5.0000000000000001E-3</v>
      </c>
      <c r="AF5688" s="508">
        <v>3.0000000000000001E-3</v>
      </c>
      <c r="AG5688" s="508">
        <v>3.0000000000000001E-3</v>
      </c>
      <c r="AH5688" s="508">
        <v>3.0000000000000001E-3</v>
      </c>
      <c r="AI5688" s="492">
        <v>3.0000000000000001E-3</v>
      </c>
      <c r="AJ5688" s="485"/>
    </row>
    <row r="5689" spans="2:36">
      <c r="B5689" s="136" t="s">
        <v>438</v>
      </c>
      <c r="C5689" s="132" t="s">
        <v>1369</v>
      </c>
      <c r="D5689" s="132" t="s">
        <v>285</v>
      </c>
      <c r="E5689" s="508">
        <v>7.6999999999999999E-2</v>
      </c>
      <c r="F5689" s="508">
        <v>7.3999999999999996E-2</v>
      </c>
      <c r="G5689" s="508">
        <v>7.2999999999999995E-2</v>
      </c>
      <c r="H5689" s="508">
        <v>6.0999999999999999E-2</v>
      </c>
      <c r="I5689" s="508">
        <v>6.0999999999999999E-2</v>
      </c>
      <c r="J5689" s="508">
        <v>6.6000000000000003E-2</v>
      </c>
      <c r="K5689" s="508">
        <v>3.7999999999999999E-2</v>
      </c>
      <c r="L5689" s="508">
        <v>3.7999999999999999E-2</v>
      </c>
      <c r="M5689" s="508">
        <v>3.7999999999999999E-2</v>
      </c>
      <c r="N5689" s="508">
        <v>4.1000000000000002E-2</v>
      </c>
      <c r="O5689" s="508">
        <v>3.3000000000000002E-2</v>
      </c>
      <c r="P5689" s="508">
        <v>2.3E-2</v>
      </c>
      <c r="Q5689" s="508">
        <v>2.4E-2</v>
      </c>
      <c r="R5689" s="508">
        <v>2.1000000000000001E-2</v>
      </c>
      <c r="S5689" s="508">
        <v>1.9E-2</v>
      </c>
      <c r="T5689" s="508">
        <v>1.9E-2</v>
      </c>
      <c r="U5689" s="508">
        <v>1.0999999999999999E-2</v>
      </c>
      <c r="V5689" s="508">
        <v>0.01</v>
      </c>
      <c r="W5689" s="508">
        <v>0.01</v>
      </c>
      <c r="X5689" s="508">
        <v>8.0000000000000002E-3</v>
      </c>
      <c r="Y5689" s="508">
        <v>8.0000000000000002E-3</v>
      </c>
      <c r="Z5689" s="508">
        <v>7.0000000000000001E-3</v>
      </c>
      <c r="AA5689" s="508">
        <v>7.0000000000000001E-3</v>
      </c>
      <c r="AB5689" s="508">
        <v>6.0000000000000001E-3</v>
      </c>
      <c r="AC5689" s="508">
        <v>6.0000000000000001E-3</v>
      </c>
      <c r="AD5689" s="508">
        <v>5.0000000000000001E-3</v>
      </c>
      <c r="AE5689" s="508">
        <v>5.0000000000000001E-3</v>
      </c>
      <c r="AF5689" s="508">
        <v>3.0000000000000001E-3</v>
      </c>
      <c r="AG5689" s="508">
        <v>3.0000000000000001E-3</v>
      </c>
      <c r="AH5689" s="508">
        <v>3.0000000000000001E-3</v>
      </c>
      <c r="AI5689" s="492">
        <v>3.0000000000000001E-3</v>
      </c>
      <c r="AJ5689" s="485"/>
    </row>
    <row r="5690" spans="2:36">
      <c r="B5690" s="136" t="s">
        <v>439</v>
      </c>
      <c r="C5690" s="132" t="s">
        <v>1369</v>
      </c>
      <c r="D5690" s="132" t="s">
        <v>285</v>
      </c>
      <c r="E5690" s="508">
        <v>7.9000000000000001E-2</v>
      </c>
      <c r="F5690" s="508">
        <v>7.5999999999999998E-2</v>
      </c>
      <c r="G5690" s="508">
        <v>7.5999999999999998E-2</v>
      </c>
      <c r="H5690" s="508">
        <v>6.2E-2</v>
      </c>
      <c r="I5690" s="508">
        <v>6.2E-2</v>
      </c>
      <c r="J5690" s="508">
        <v>6.6000000000000003E-2</v>
      </c>
      <c r="K5690" s="508">
        <v>0.04</v>
      </c>
      <c r="L5690" s="508">
        <v>0.04</v>
      </c>
      <c r="M5690" s="508">
        <v>3.9E-2</v>
      </c>
      <c r="N5690" s="508">
        <v>3.9E-2</v>
      </c>
      <c r="O5690" s="508">
        <v>3.4000000000000002E-2</v>
      </c>
      <c r="P5690" s="508">
        <v>2.4E-2</v>
      </c>
      <c r="Q5690" s="508">
        <v>2.5000000000000001E-2</v>
      </c>
      <c r="R5690" s="508">
        <v>2.1000000000000001E-2</v>
      </c>
      <c r="S5690" s="508">
        <v>2.1000000000000001E-2</v>
      </c>
      <c r="T5690" s="508">
        <v>0.02</v>
      </c>
      <c r="U5690" s="508">
        <v>1.0999999999999999E-2</v>
      </c>
      <c r="V5690" s="508">
        <v>8.9999999999999993E-3</v>
      </c>
      <c r="W5690" s="508">
        <v>8.9999999999999993E-3</v>
      </c>
      <c r="X5690" s="508">
        <v>7.0000000000000001E-3</v>
      </c>
      <c r="Y5690" s="508">
        <v>7.0000000000000001E-3</v>
      </c>
      <c r="Z5690" s="508">
        <v>6.0000000000000001E-3</v>
      </c>
      <c r="AA5690" s="508">
        <v>6.0000000000000001E-3</v>
      </c>
      <c r="AB5690" s="508">
        <v>5.0000000000000001E-3</v>
      </c>
      <c r="AC5690" s="508">
        <v>5.0000000000000001E-3</v>
      </c>
      <c r="AD5690" s="508">
        <v>5.0000000000000001E-3</v>
      </c>
      <c r="AE5690" s="508">
        <v>5.0000000000000001E-3</v>
      </c>
      <c r="AF5690" s="508">
        <v>3.0000000000000001E-3</v>
      </c>
      <c r="AG5690" s="508">
        <v>3.0000000000000001E-3</v>
      </c>
      <c r="AH5690" s="508">
        <v>3.0000000000000001E-3</v>
      </c>
      <c r="AI5690" s="492">
        <v>3.0000000000000001E-3</v>
      </c>
      <c r="AJ5690" s="485"/>
    </row>
    <row r="5691" spans="2:36">
      <c r="B5691" s="136" t="s">
        <v>440</v>
      </c>
      <c r="C5691" s="132" t="s">
        <v>1369</v>
      </c>
      <c r="D5691" s="132" t="s">
        <v>285</v>
      </c>
      <c r="E5691" s="508">
        <v>0.12</v>
      </c>
      <c r="F5691" s="508">
        <v>0.115</v>
      </c>
      <c r="G5691" s="508">
        <v>0.114</v>
      </c>
      <c r="H5691" s="508">
        <v>9.4E-2</v>
      </c>
      <c r="I5691" s="508">
        <v>9.4E-2</v>
      </c>
      <c r="J5691" s="508">
        <v>9.9000000000000005E-2</v>
      </c>
      <c r="K5691" s="508">
        <v>6.0999999999999999E-2</v>
      </c>
      <c r="L5691" s="508">
        <v>0.06</v>
      </c>
      <c r="M5691" s="508">
        <v>0.06</v>
      </c>
      <c r="N5691" s="508">
        <v>0.06</v>
      </c>
      <c r="O5691" s="508">
        <v>5.0999999999999997E-2</v>
      </c>
      <c r="P5691" s="508">
        <v>3.5999999999999997E-2</v>
      </c>
      <c r="Q5691" s="508">
        <v>3.6999999999999998E-2</v>
      </c>
      <c r="R5691" s="508">
        <v>3.2000000000000001E-2</v>
      </c>
      <c r="S5691" s="508">
        <v>0.03</v>
      </c>
      <c r="T5691" s="508">
        <v>2.9000000000000001E-2</v>
      </c>
      <c r="U5691" s="508">
        <v>1.7000000000000001E-2</v>
      </c>
      <c r="V5691" s="508">
        <v>1.4999999999999999E-2</v>
      </c>
      <c r="W5691" s="508">
        <v>1.4999999999999999E-2</v>
      </c>
      <c r="X5691" s="508">
        <v>0.01</v>
      </c>
      <c r="Y5691" s="508">
        <v>8.9999999999999993E-3</v>
      </c>
      <c r="Z5691" s="508">
        <v>8.0000000000000002E-3</v>
      </c>
      <c r="AA5691" s="508">
        <v>8.0000000000000002E-3</v>
      </c>
      <c r="AB5691" s="508">
        <v>7.0000000000000001E-3</v>
      </c>
      <c r="AC5691" s="508">
        <v>7.0000000000000001E-3</v>
      </c>
      <c r="AD5691" s="508">
        <v>6.0000000000000001E-3</v>
      </c>
      <c r="AE5691" s="508">
        <v>6.0000000000000001E-3</v>
      </c>
      <c r="AF5691" s="508">
        <v>4.0000000000000001E-3</v>
      </c>
      <c r="AG5691" s="508">
        <v>4.0000000000000001E-3</v>
      </c>
      <c r="AH5691" s="508">
        <v>4.0000000000000001E-3</v>
      </c>
      <c r="AI5691" s="492">
        <v>3.0000000000000001E-3</v>
      </c>
      <c r="AJ5691" s="485"/>
    </row>
    <row r="5692" spans="2:36">
      <c r="B5692" s="136" t="s">
        <v>441</v>
      </c>
      <c r="C5692" s="132" t="s">
        <v>1369</v>
      </c>
      <c r="D5692" s="132" t="s">
        <v>285</v>
      </c>
      <c r="E5692" s="508">
        <v>0.11700000000000001</v>
      </c>
      <c r="F5692" s="508">
        <v>0.114</v>
      </c>
      <c r="G5692" s="508">
        <v>0.113</v>
      </c>
      <c r="H5692" s="508">
        <v>9.1999999999999998E-2</v>
      </c>
      <c r="I5692" s="508">
        <v>9.1999999999999998E-2</v>
      </c>
      <c r="J5692" s="508">
        <v>9.8000000000000004E-2</v>
      </c>
      <c r="K5692" s="508">
        <v>0.06</v>
      </c>
      <c r="L5692" s="508">
        <v>0.06</v>
      </c>
      <c r="M5692" s="508">
        <v>5.8999999999999997E-2</v>
      </c>
      <c r="N5692" s="508">
        <v>5.8000000000000003E-2</v>
      </c>
      <c r="O5692" s="508">
        <v>5.0999999999999997E-2</v>
      </c>
      <c r="P5692" s="508">
        <v>3.5999999999999997E-2</v>
      </c>
      <c r="Q5692" s="508">
        <v>3.5999999999999997E-2</v>
      </c>
      <c r="R5692" s="508">
        <v>3.2000000000000001E-2</v>
      </c>
      <c r="S5692" s="508">
        <v>3.1E-2</v>
      </c>
      <c r="T5692" s="508">
        <v>2.9000000000000001E-2</v>
      </c>
      <c r="U5692" s="508">
        <v>1.7999999999999999E-2</v>
      </c>
      <c r="V5692" s="508">
        <v>1.4999999999999999E-2</v>
      </c>
      <c r="W5692" s="508">
        <v>1.6E-2</v>
      </c>
      <c r="X5692" s="508">
        <v>0.01</v>
      </c>
      <c r="Y5692" s="508">
        <v>8.9999999999999993E-3</v>
      </c>
      <c r="Z5692" s="508">
        <v>8.0000000000000002E-3</v>
      </c>
      <c r="AA5692" s="508">
        <v>8.0000000000000002E-3</v>
      </c>
      <c r="AB5692" s="508">
        <v>7.0000000000000001E-3</v>
      </c>
      <c r="AC5692" s="508">
        <v>7.0000000000000001E-3</v>
      </c>
      <c r="AD5692" s="508">
        <v>6.0000000000000001E-3</v>
      </c>
      <c r="AE5692" s="508">
        <v>6.0000000000000001E-3</v>
      </c>
      <c r="AF5692" s="508">
        <v>4.0000000000000001E-3</v>
      </c>
      <c r="AG5692" s="508">
        <v>4.0000000000000001E-3</v>
      </c>
      <c r="AH5692" s="508">
        <v>4.0000000000000001E-3</v>
      </c>
      <c r="AI5692" s="492">
        <v>4.0000000000000001E-3</v>
      </c>
      <c r="AJ5692" s="485"/>
    </row>
    <row r="5693" spans="2:36">
      <c r="B5693" s="136" t="s">
        <v>443</v>
      </c>
      <c r="C5693" s="132" t="s">
        <v>1369</v>
      </c>
      <c r="D5693" s="132" t="s">
        <v>285</v>
      </c>
      <c r="E5693" s="508">
        <v>9.4E-2</v>
      </c>
      <c r="F5693" s="508">
        <v>8.6999999999999994E-2</v>
      </c>
      <c r="G5693" s="508">
        <v>8.5999999999999993E-2</v>
      </c>
      <c r="H5693" s="508">
        <v>7.3999999999999996E-2</v>
      </c>
      <c r="I5693" s="508">
        <v>7.3999999999999996E-2</v>
      </c>
      <c r="J5693" s="508">
        <v>7.4999999999999997E-2</v>
      </c>
      <c r="K5693" s="508">
        <v>4.7E-2</v>
      </c>
      <c r="L5693" s="508">
        <v>4.7E-2</v>
      </c>
      <c r="M5693" s="508">
        <v>4.7E-2</v>
      </c>
      <c r="N5693" s="508">
        <v>4.8000000000000001E-2</v>
      </c>
      <c r="O5693" s="508">
        <v>3.9E-2</v>
      </c>
      <c r="P5693" s="508">
        <v>2.7E-2</v>
      </c>
      <c r="Q5693" s="508">
        <v>2.9000000000000001E-2</v>
      </c>
      <c r="R5693" s="508">
        <v>2.4E-2</v>
      </c>
      <c r="S5693" s="508">
        <v>2.1999999999999999E-2</v>
      </c>
      <c r="T5693" s="508">
        <v>2.1000000000000001E-2</v>
      </c>
      <c r="U5693" s="508">
        <v>1.2E-2</v>
      </c>
      <c r="V5693" s="508">
        <v>1.0999999999999999E-2</v>
      </c>
      <c r="W5693" s="508">
        <v>1.0999999999999999E-2</v>
      </c>
      <c r="X5693" s="508">
        <v>8.0000000000000002E-3</v>
      </c>
      <c r="Y5693" s="508">
        <v>8.0000000000000002E-3</v>
      </c>
      <c r="Z5693" s="508">
        <v>7.0000000000000001E-3</v>
      </c>
      <c r="AA5693" s="508">
        <v>7.0000000000000001E-3</v>
      </c>
      <c r="AB5693" s="508">
        <v>6.0000000000000001E-3</v>
      </c>
      <c r="AC5693" s="508">
        <v>6.0000000000000001E-3</v>
      </c>
      <c r="AD5693" s="508">
        <v>5.0000000000000001E-3</v>
      </c>
      <c r="AE5693" s="508">
        <v>5.0000000000000001E-3</v>
      </c>
      <c r="AF5693" s="508">
        <v>3.0000000000000001E-3</v>
      </c>
      <c r="AG5693" s="508">
        <v>3.0000000000000001E-3</v>
      </c>
      <c r="AH5693" s="508">
        <v>3.0000000000000001E-3</v>
      </c>
      <c r="AI5693" s="492">
        <v>3.0000000000000001E-3</v>
      </c>
      <c r="AJ5693" s="485"/>
    </row>
    <row r="5694" spans="2:36">
      <c r="B5694" s="136" t="s">
        <v>445</v>
      </c>
      <c r="C5694" s="132" t="s">
        <v>1369</v>
      </c>
      <c r="D5694" s="132" t="s">
        <v>285</v>
      </c>
      <c r="E5694" s="508">
        <v>9.4E-2</v>
      </c>
      <c r="F5694" s="508">
        <v>8.5999999999999993E-2</v>
      </c>
      <c r="G5694" s="508">
        <v>8.5000000000000006E-2</v>
      </c>
      <c r="H5694" s="508">
        <v>7.1999999999999995E-2</v>
      </c>
      <c r="I5694" s="508">
        <v>7.2999999999999995E-2</v>
      </c>
      <c r="J5694" s="508">
        <v>7.0999999999999994E-2</v>
      </c>
      <c r="K5694" s="508">
        <v>4.8000000000000001E-2</v>
      </c>
      <c r="L5694" s="508">
        <v>4.8000000000000001E-2</v>
      </c>
      <c r="M5694" s="508">
        <v>4.8000000000000001E-2</v>
      </c>
      <c r="N5694" s="508">
        <v>4.4999999999999998E-2</v>
      </c>
      <c r="O5694" s="508">
        <v>3.7999999999999999E-2</v>
      </c>
      <c r="P5694" s="508">
        <v>2.8000000000000001E-2</v>
      </c>
      <c r="Q5694" s="508">
        <v>2.8000000000000001E-2</v>
      </c>
      <c r="R5694" s="508">
        <v>2.4E-2</v>
      </c>
      <c r="S5694" s="508">
        <v>2.1999999999999999E-2</v>
      </c>
      <c r="T5694" s="508">
        <v>2.1000000000000001E-2</v>
      </c>
      <c r="U5694" s="508">
        <v>1.2999999999999999E-2</v>
      </c>
      <c r="V5694" s="508">
        <v>1.0999999999999999E-2</v>
      </c>
      <c r="W5694" s="508">
        <v>1.2E-2</v>
      </c>
      <c r="X5694" s="508">
        <v>8.9999999999999993E-3</v>
      </c>
      <c r="Y5694" s="508">
        <v>8.0000000000000002E-3</v>
      </c>
      <c r="Z5694" s="508">
        <v>7.0000000000000001E-3</v>
      </c>
      <c r="AA5694" s="508">
        <v>7.0000000000000001E-3</v>
      </c>
      <c r="AB5694" s="508">
        <v>6.0000000000000001E-3</v>
      </c>
      <c r="AC5694" s="508">
        <v>6.0000000000000001E-3</v>
      </c>
      <c r="AD5694" s="508">
        <v>5.0000000000000001E-3</v>
      </c>
      <c r="AE5694" s="508">
        <v>5.0000000000000001E-3</v>
      </c>
      <c r="AF5694" s="508">
        <v>3.0000000000000001E-3</v>
      </c>
      <c r="AG5694" s="508">
        <v>3.0000000000000001E-3</v>
      </c>
      <c r="AH5694" s="508">
        <v>3.0000000000000001E-3</v>
      </c>
      <c r="AI5694" s="492">
        <v>3.0000000000000001E-3</v>
      </c>
      <c r="AJ5694" s="485"/>
    </row>
    <row r="5695" spans="2:36">
      <c r="B5695" s="136" t="s">
        <v>446</v>
      </c>
      <c r="C5695" s="132" t="s">
        <v>1369</v>
      </c>
      <c r="D5695" s="132" t="s">
        <v>285</v>
      </c>
      <c r="E5695" s="508">
        <v>6.0999999999999999E-2</v>
      </c>
      <c r="F5695" s="508">
        <v>5.6000000000000001E-2</v>
      </c>
      <c r="G5695" s="508">
        <v>5.6000000000000001E-2</v>
      </c>
      <c r="H5695" s="508">
        <v>4.7E-2</v>
      </c>
      <c r="I5695" s="508">
        <v>4.7E-2</v>
      </c>
      <c r="J5695" s="508">
        <v>4.8000000000000001E-2</v>
      </c>
      <c r="K5695" s="508">
        <v>3.1E-2</v>
      </c>
      <c r="L5695" s="508">
        <v>3.1E-2</v>
      </c>
      <c r="M5695" s="508">
        <v>0.03</v>
      </c>
      <c r="N5695" s="508">
        <v>0.03</v>
      </c>
      <c r="O5695" s="508">
        <v>2.5000000000000001E-2</v>
      </c>
      <c r="P5695" s="508">
        <v>1.7999999999999999E-2</v>
      </c>
      <c r="Q5695" s="508">
        <v>1.7999999999999999E-2</v>
      </c>
      <c r="R5695" s="508">
        <v>1.6E-2</v>
      </c>
      <c r="S5695" s="508">
        <v>1.4999999999999999E-2</v>
      </c>
      <c r="T5695" s="508">
        <v>1.4E-2</v>
      </c>
      <c r="U5695" s="508">
        <v>8.9999999999999993E-3</v>
      </c>
      <c r="V5695" s="508">
        <v>8.0000000000000002E-3</v>
      </c>
      <c r="W5695" s="508">
        <v>8.0000000000000002E-3</v>
      </c>
      <c r="X5695" s="508">
        <v>8.0000000000000002E-3</v>
      </c>
      <c r="Y5695" s="508">
        <v>8.0000000000000002E-3</v>
      </c>
      <c r="Z5695" s="508">
        <v>7.0000000000000001E-3</v>
      </c>
      <c r="AA5695" s="508">
        <v>7.0000000000000001E-3</v>
      </c>
      <c r="AB5695" s="508">
        <v>6.0000000000000001E-3</v>
      </c>
      <c r="AC5695" s="508">
        <v>6.0000000000000001E-3</v>
      </c>
      <c r="AD5695" s="508">
        <v>5.0000000000000001E-3</v>
      </c>
      <c r="AE5695" s="508">
        <v>5.0000000000000001E-3</v>
      </c>
      <c r="AF5695" s="508">
        <v>3.0000000000000001E-3</v>
      </c>
      <c r="AG5695" s="508">
        <v>3.0000000000000001E-3</v>
      </c>
      <c r="AH5695" s="508">
        <v>3.0000000000000001E-3</v>
      </c>
      <c r="AI5695" s="492">
        <v>3.0000000000000001E-3</v>
      </c>
      <c r="AJ5695" s="485"/>
    </row>
    <row r="5696" spans="2:36">
      <c r="B5696" s="136" t="s">
        <v>448</v>
      </c>
      <c r="C5696" s="132" t="s">
        <v>1369</v>
      </c>
      <c r="D5696" s="132" t="s">
        <v>285</v>
      </c>
      <c r="E5696" s="508">
        <v>7.3999999999999996E-2</v>
      </c>
      <c r="F5696" s="508">
        <v>7.0999999999999994E-2</v>
      </c>
      <c r="G5696" s="508">
        <v>7.0000000000000007E-2</v>
      </c>
      <c r="H5696" s="508">
        <v>5.8000000000000003E-2</v>
      </c>
      <c r="I5696" s="508">
        <v>5.8000000000000003E-2</v>
      </c>
      <c r="J5696" s="508">
        <v>6.2E-2</v>
      </c>
      <c r="K5696" s="508">
        <v>3.6999999999999998E-2</v>
      </c>
      <c r="L5696" s="508">
        <v>3.6999999999999998E-2</v>
      </c>
      <c r="M5696" s="508">
        <v>3.5999999999999997E-2</v>
      </c>
      <c r="N5696" s="508">
        <v>3.9E-2</v>
      </c>
      <c r="O5696" s="508">
        <v>3.2000000000000001E-2</v>
      </c>
      <c r="P5696" s="508">
        <v>2.1999999999999999E-2</v>
      </c>
      <c r="Q5696" s="508">
        <v>2.3E-2</v>
      </c>
      <c r="R5696" s="508">
        <v>0.02</v>
      </c>
      <c r="S5696" s="508">
        <v>1.7999999999999999E-2</v>
      </c>
      <c r="T5696" s="508">
        <v>1.7999999999999999E-2</v>
      </c>
      <c r="U5696" s="508">
        <v>1.2E-2</v>
      </c>
      <c r="V5696" s="508">
        <v>0.01</v>
      </c>
      <c r="W5696" s="508">
        <v>1.0999999999999999E-2</v>
      </c>
      <c r="X5696" s="508">
        <v>8.9999999999999993E-3</v>
      </c>
      <c r="Y5696" s="508">
        <v>8.9999999999999993E-3</v>
      </c>
      <c r="Z5696" s="508">
        <v>7.0000000000000001E-3</v>
      </c>
      <c r="AA5696" s="508">
        <v>7.0000000000000001E-3</v>
      </c>
      <c r="AB5696" s="508">
        <v>6.0000000000000001E-3</v>
      </c>
      <c r="AC5696" s="508">
        <v>6.0000000000000001E-3</v>
      </c>
      <c r="AD5696" s="508">
        <v>6.0000000000000001E-3</v>
      </c>
      <c r="AE5696" s="508">
        <v>6.0000000000000001E-3</v>
      </c>
      <c r="AF5696" s="508">
        <v>3.0000000000000001E-3</v>
      </c>
      <c r="AG5696" s="508">
        <v>3.0000000000000001E-3</v>
      </c>
      <c r="AH5696" s="508">
        <v>3.0000000000000001E-3</v>
      </c>
      <c r="AI5696" s="492">
        <v>3.0000000000000001E-3</v>
      </c>
      <c r="AJ5696" s="485"/>
    </row>
    <row r="5697" spans="2:36">
      <c r="B5697" s="136" t="s">
        <v>449</v>
      </c>
      <c r="C5697" s="132" t="s">
        <v>1369</v>
      </c>
      <c r="D5697" s="132" t="s">
        <v>285</v>
      </c>
      <c r="E5697" s="508">
        <v>0.06</v>
      </c>
      <c r="F5697" s="508">
        <v>5.6000000000000001E-2</v>
      </c>
      <c r="G5697" s="508">
        <v>5.5E-2</v>
      </c>
      <c r="H5697" s="508">
        <v>4.7E-2</v>
      </c>
      <c r="I5697" s="508">
        <v>4.7E-2</v>
      </c>
      <c r="J5697" s="508">
        <v>4.8000000000000001E-2</v>
      </c>
      <c r="K5697" s="508">
        <v>0.03</v>
      </c>
      <c r="L5697" s="508">
        <v>0.03</v>
      </c>
      <c r="M5697" s="508">
        <v>0.03</v>
      </c>
      <c r="N5697" s="508">
        <v>0.03</v>
      </c>
      <c r="O5697" s="508">
        <v>2.5000000000000001E-2</v>
      </c>
      <c r="P5697" s="508">
        <v>1.7999999999999999E-2</v>
      </c>
      <c r="Q5697" s="508">
        <v>1.9E-2</v>
      </c>
      <c r="R5697" s="508">
        <v>1.6E-2</v>
      </c>
      <c r="S5697" s="508">
        <v>1.4E-2</v>
      </c>
      <c r="T5697" s="508">
        <v>1.4E-2</v>
      </c>
      <c r="U5697" s="508">
        <v>8.9999999999999993E-3</v>
      </c>
      <c r="V5697" s="508">
        <v>8.0000000000000002E-3</v>
      </c>
      <c r="W5697" s="508">
        <v>8.0000000000000002E-3</v>
      </c>
      <c r="X5697" s="508">
        <v>8.0000000000000002E-3</v>
      </c>
      <c r="Y5697" s="508">
        <v>8.0000000000000002E-3</v>
      </c>
      <c r="Z5697" s="508">
        <v>6.0000000000000001E-3</v>
      </c>
      <c r="AA5697" s="508">
        <v>6.0000000000000001E-3</v>
      </c>
      <c r="AB5697" s="508">
        <v>6.0000000000000001E-3</v>
      </c>
      <c r="AC5697" s="508">
        <v>5.0000000000000001E-3</v>
      </c>
      <c r="AD5697" s="508">
        <v>5.0000000000000001E-3</v>
      </c>
      <c r="AE5697" s="508">
        <v>5.0000000000000001E-3</v>
      </c>
      <c r="AF5697" s="508">
        <v>3.0000000000000001E-3</v>
      </c>
      <c r="AG5697" s="508">
        <v>3.0000000000000001E-3</v>
      </c>
      <c r="AH5697" s="508">
        <v>3.0000000000000001E-3</v>
      </c>
      <c r="AI5697" s="492">
        <v>3.0000000000000001E-3</v>
      </c>
      <c r="AJ5697" s="485"/>
    </row>
    <row r="5698" spans="2:36">
      <c r="B5698" s="136" t="s">
        <v>450</v>
      </c>
      <c r="C5698" s="132" t="s">
        <v>1369</v>
      </c>
      <c r="D5698" s="132" t="s">
        <v>285</v>
      </c>
      <c r="E5698" s="508">
        <v>0.121</v>
      </c>
      <c r="F5698" s="508">
        <v>0.114</v>
      </c>
      <c r="G5698" s="508">
        <v>0.112</v>
      </c>
      <c r="H5698" s="508">
        <v>9.5000000000000001E-2</v>
      </c>
      <c r="I5698" s="508">
        <v>9.5000000000000001E-2</v>
      </c>
      <c r="J5698" s="508">
        <v>9.9000000000000005E-2</v>
      </c>
      <c r="K5698" s="508">
        <v>6.0999999999999999E-2</v>
      </c>
      <c r="L5698" s="508">
        <v>0.06</v>
      </c>
      <c r="M5698" s="508">
        <v>0.06</v>
      </c>
      <c r="N5698" s="508">
        <v>6.3E-2</v>
      </c>
      <c r="O5698" s="508">
        <v>5.0999999999999997E-2</v>
      </c>
      <c r="P5698" s="508">
        <v>3.5000000000000003E-2</v>
      </c>
      <c r="Q5698" s="508">
        <v>3.6999999999999998E-2</v>
      </c>
      <c r="R5698" s="508">
        <v>3.1E-2</v>
      </c>
      <c r="S5698" s="508">
        <v>2.8000000000000001E-2</v>
      </c>
      <c r="T5698" s="508">
        <v>2.8000000000000001E-2</v>
      </c>
      <c r="U5698" s="508">
        <v>1.6E-2</v>
      </c>
      <c r="V5698" s="508">
        <v>1.4E-2</v>
      </c>
      <c r="W5698" s="508">
        <v>1.4E-2</v>
      </c>
      <c r="X5698" s="508">
        <v>8.9999999999999993E-3</v>
      </c>
      <c r="Y5698" s="508">
        <v>8.9999999999999993E-3</v>
      </c>
      <c r="Z5698" s="508">
        <v>7.0000000000000001E-3</v>
      </c>
      <c r="AA5698" s="508">
        <v>7.0000000000000001E-3</v>
      </c>
      <c r="AB5698" s="508">
        <v>6.0000000000000001E-3</v>
      </c>
      <c r="AC5698" s="508">
        <v>6.0000000000000001E-3</v>
      </c>
      <c r="AD5698" s="508">
        <v>6.0000000000000001E-3</v>
      </c>
      <c r="AE5698" s="508">
        <v>6.0000000000000001E-3</v>
      </c>
      <c r="AF5698" s="508">
        <v>3.0000000000000001E-3</v>
      </c>
      <c r="AG5698" s="508">
        <v>3.0000000000000001E-3</v>
      </c>
      <c r="AH5698" s="508">
        <v>3.0000000000000001E-3</v>
      </c>
      <c r="AI5698" s="492">
        <v>3.0000000000000001E-3</v>
      </c>
      <c r="AJ5698" s="485"/>
    </row>
    <row r="5699" spans="2:36">
      <c r="B5699" s="136" t="s">
        <v>451</v>
      </c>
      <c r="C5699" s="132" t="s">
        <v>1369</v>
      </c>
      <c r="D5699" s="132" t="s">
        <v>285</v>
      </c>
      <c r="E5699" s="508">
        <v>0.114</v>
      </c>
      <c r="F5699" s="508">
        <v>0.107</v>
      </c>
      <c r="G5699" s="508">
        <v>0.106</v>
      </c>
      <c r="H5699" s="508">
        <v>8.8999999999999996E-2</v>
      </c>
      <c r="I5699" s="508">
        <v>8.8999999999999996E-2</v>
      </c>
      <c r="J5699" s="508">
        <v>0.09</v>
      </c>
      <c r="K5699" s="508">
        <v>5.8999999999999997E-2</v>
      </c>
      <c r="L5699" s="508">
        <v>5.8999999999999997E-2</v>
      </c>
      <c r="M5699" s="508">
        <v>5.8000000000000003E-2</v>
      </c>
      <c r="N5699" s="508">
        <v>5.5E-2</v>
      </c>
      <c r="O5699" s="508">
        <v>4.8000000000000001E-2</v>
      </c>
      <c r="P5699" s="508">
        <v>3.5000000000000003E-2</v>
      </c>
      <c r="Q5699" s="508">
        <v>3.4000000000000002E-2</v>
      </c>
      <c r="R5699" s="508">
        <v>0.03</v>
      </c>
      <c r="S5699" s="508">
        <v>2.8000000000000001E-2</v>
      </c>
      <c r="T5699" s="508">
        <v>2.7E-2</v>
      </c>
      <c r="U5699" s="508">
        <v>1.4999999999999999E-2</v>
      </c>
      <c r="V5699" s="508">
        <v>1.2999999999999999E-2</v>
      </c>
      <c r="W5699" s="508">
        <v>1.4E-2</v>
      </c>
      <c r="X5699" s="508">
        <v>8.9999999999999993E-3</v>
      </c>
      <c r="Y5699" s="508">
        <v>8.9999999999999993E-3</v>
      </c>
      <c r="Z5699" s="508">
        <v>7.0000000000000001E-3</v>
      </c>
      <c r="AA5699" s="508">
        <v>7.0000000000000001E-3</v>
      </c>
      <c r="AB5699" s="508">
        <v>6.0000000000000001E-3</v>
      </c>
      <c r="AC5699" s="508">
        <v>6.0000000000000001E-3</v>
      </c>
      <c r="AD5699" s="508">
        <v>5.0000000000000001E-3</v>
      </c>
      <c r="AE5699" s="508">
        <v>5.0000000000000001E-3</v>
      </c>
      <c r="AF5699" s="508">
        <v>3.0000000000000001E-3</v>
      </c>
      <c r="AG5699" s="508">
        <v>3.0000000000000001E-3</v>
      </c>
      <c r="AH5699" s="508">
        <v>3.0000000000000001E-3</v>
      </c>
      <c r="AI5699" s="492">
        <v>3.0000000000000001E-3</v>
      </c>
      <c r="AJ5699" s="485"/>
    </row>
    <row r="5700" spans="2:36">
      <c r="B5700" s="136" t="s">
        <v>452</v>
      </c>
      <c r="C5700" s="132" t="s">
        <v>1369</v>
      </c>
      <c r="D5700" s="132" t="s">
        <v>285</v>
      </c>
      <c r="E5700" s="508">
        <v>0.108</v>
      </c>
      <c r="F5700" s="508">
        <v>0.10100000000000001</v>
      </c>
      <c r="G5700" s="508">
        <v>0.1</v>
      </c>
      <c r="H5700" s="508">
        <v>8.5000000000000006E-2</v>
      </c>
      <c r="I5700" s="508">
        <v>8.5000000000000006E-2</v>
      </c>
      <c r="J5700" s="508">
        <v>8.6999999999999994E-2</v>
      </c>
      <c r="K5700" s="508">
        <v>5.5E-2</v>
      </c>
      <c r="L5700" s="508">
        <v>5.3999999999999999E-2</v>
      </c>
      <c r="M5700" s="508">
        <v>5.3999999999999999E-2</v>
      </c>
      <c r="N5700" s="508">
        <v>5.5E-2</v>
      </c>
      <c r="O5700" s="508">
        <v>4.4999999999999998E-2</v>
      </c>
      <c r="P5700" s="508">
        <v>3.2000000000000001E-2</v>
      </c>
      <c r="Q5700" s="508">
        <v>3.3000000000000002E-2</v>
      </c>
      <c r="R5700" s="508">
        <v>2.8000000000000001E-2</v>
      </c>
      <c r="S5700" s="508">
        <v>2.5000000000000001E-2</v>
      </c>
      <c r="T5700" s="508">
        <v>2.5000000000000001E-2</v>
      </c>
      <c r="U5700" s="508">
        <v>1.4E-2</v>
      </c>
      <c r="V5700" s="508">
        <v>1.2999999999999999E-2</v>
      </c>
      <c r="W5700" s="508">
        <v>1.2999999999999999E-2</v>
      </c>
      <c r="X5700" s="508">
        <v>8.9999999999999993E-3</v>
      </c>
      <c r="Y5700" s="508">
        <v>8.9999999999999993E-3</v>
      </c>
      <c r="Z5700" s="508">
        <v>7.0000000000000001E-3</v>
      </c>
      <c r="AA5700" s="508">
        <v>7.0000000000000001E-3</v>
      </c>
      <c r="AB5700" s="508">
        <v>6.0000000000000001E-3</v>
      </c>
      <c r="AC5700" s="508">
        <v>6.0000000000000001E-3</v>
      </c>
      <c r="AD5700" s="508">
        <v>5.0000000000000001E-3</v>
      </c>
      <c r="AE5700" s="508">
        <v>5.0000000000000001E-3</v>
      </c>
      <c r="AF5700" s="508">
        <v>3.0000000000000001E-3</v>
      </c>
      <c r="AG5700" s="508">
        <v>3.0000000000000001E-3</v>
      </c>
      <c r="AH5700" s="508">
        <v>3.0000000000000001E-3</v>
      </c>
      <c r="AI5700" s="492">
        <v>3.0000000000000001E-3</v>
      </c>
      <c r="AJ5700" s="485"/>
    </row>
    <row r="5701" spans="2:36">
      <c r="B5701" s="136" t="s">
        <v>453</v>
      </c>
      <c r="C5701" s="132" t="s">
        <v>1369</v>
      </c>
      <c r="D5701" s="132" t="s">
        <v>285</v>
      </c>
      <c r="E5701" s="508">
        <v>0.12</v>
      </c>
      <c r="F5701" s="508">
        <v>0.113</v>
      </c>
      <c r="G5701" s="508">
        <v>0.112</v>
      </c>
      <c r="H5701" s="508">
        <v>9.5000000000000001E-2</v>
      </c>
      <c r="I5701" s="508">
        <v>9.5000000000000001E-2</v>
      </c>
      <c r="J5701" s="508">
        <v>0.1</v>
      </c>
      <c r="K5701" s="508">
        <v>0.06</v>
      </c>
      <c r="L5701" s="508">
        <v>5.8999999999999997E-2</v>
      </c>
      <c r="M5701" s="508">
        <v>5.8999999999999997E-2</v>
      </c>
      <c r="N5701" s="508">
        <v>6.3E-2</v>
      </c>
      <c r="O5701" s="508">
        <v>5.0999999999999997E-2</v>
      </c>
      <c r="P5701" s="508">
        <v>3.4000000000000002E-2</v>
      </c>
      <c r="Q5701" s="508">
        <v>3.6999999999999998E-2</v>
      </c>
      <c r="R5701" s="508">
        <v>3.1E-2</v>
      </c>
      <c r="S5701" s="508">
        <v>2.8000000000000001E-2</v>
      </c>
      <c r="T5701" s="508">
        <v>2.8000000000000001E-2</v>
      </c>
      <c r="U5701" s="508">
        <v>1.6E-2</v>
      </c>
      <c r="V5701" s="508">
        <v>1.4999999999999999E-2</v>
      </c>
      <c r="W5701" s="508">
        <v>1.4999999999999999E-2</v>
      </c>
      <c r="X5701" s="508">
        <v>0.01</v>
      </c>
      <c r="Y5701" s="508">
        <v>8.9999999999999993E-3</v>
      </c>
      <c r="Z5701" s="508">
        <v>8.0000000000000002E-3</v>
      </c>
      <c r="AA5701" s="508">
        <v>8.0000000000000002E-3</v>
      </c>
      <c r="AB5701" s="508">
        <v>7.0000000000000001E-3</v>
      </c>
      <c r="AC5701" s="508">
        <v>7.0000000000000001E-3</v>
      </c>
      <c r="AD5701" s="508">
        <v>6.0000000000000001E-3</v>
      </c>
      <c r="AE5701" s="508">
        <v>6.0000000000000001E-3</v>
      </c>
      <c r="AF5701" s="508">
        <v>4.0000000000000001E-3</v>
      </c>
      <c r="AG5701" s="508">
        <v>4.0000000000000001E-3</v>
      </c>
      <c r="AH5701" s="508">
        <v>3.0000000000000001E-3</v>
      </c>
      <c r="AI5701" s="492">
        <v>3.0000000000000001E-3</v>
      </c>
      <c r="AJ5701" s="485"/>
    </row>
    <row r="5702" spans="2:36">
      <c r="B5702" s="136" t="s">
        <v>454</v>
      </c>
      <c r="C5702" s="132" t="s">
        <v>1369</v>
      </c>
      <c r="D5702" s="132" t="s">
        <v>285</v>
      </c>
      <c r="E5702" s="508">
        <v>9.4E-2</v>
      </c>
      <c r="F5702" s="508">
        <v>0.09</v>
      </c>
      <c r="G5702" s="508">
        <v>8.8999999999999996E-2</v>
      </c>
      <c r="H5702" s="508">
        <v>7.4999999999999997E-2</v>
      </c>
      <c r="I5702" s="508">
        <v>7.4999999999999997E-2</v>
      </c>
      <c r="J5702" s="508">
        <v>7.9000000000000001E-2</v>
      </c>
      <c r="K5702" s="508">
        <v>4.7E-2</v>
      </c>
      <c r="L5702" s="508">
        <v>4.7E-2</v>
      </c>
      <c r="M5702" s="508">
        <v>4.7E-2</v>
      </c>
      <c r="N5702" s="508">
        <v>4.9000000000000002E-2</v>
      </c>
      <c r="O5702" s="508">
        <v>0.04</v>
      </c>
      <c r="P5702" s="508">
        <v>2.8000000000000001E-2</v>
      </c>
      <c r="Q5702" s="508">
        <v>0.03</v>
      </c>
      <c r="R5702" s="508">
        <v>2.5000000000000001E-2</v>
      </c>
      <c r="S5702" s="508">
        <v>2.3E-2</v>
      </c>
      <c r="T5702" s="508">
        <v>2.1999999999999999E-2</v>
      </c>
      <c r="U5702" s="508">
        <v>1.2999999999999999E-2</v>
      </c>
      <c r="V5702" s="508">
        <v>1.2E-2</v>
      </c>
      <c r="W5702" s="508">
        <v>1.2E-2</v>
      </c>
      <c r="X5702" s="508">
        <v>8.9999999999999993E-3</v>
      </c>
      <c r="Y5702" s="508">
        <v>8.9999999999999993E-3</v>
      </c>
      <c r="Z5702" s="508">
        <v>7.0000000000000001E-3</v>
      </c>
      <c r="AA5702" s="508">
        <v>7.0000000000000001E-3</v>
      </c>
      <c r="AB5702" s="508">
        <v>6.0000000000000001E-3</v>
      </c>
      <c r="AC5702" s="508">
        <v>6.0000000000000001E-3</v>
      </c>
      <c r="AD5702" s="508">
        <v>5.0000000000000001E-3</v>
      </c>
      <c r="AE5702" s="508">
        <v>5.0000000000000001E-3</v>
      </c>
      <c r="AF5702" s="508">
        <v>3.0000000000000001E-3</v>
      </c>
      <c r="AG5702" s="508">
        <v>3.0000000000000001E-3</v>
      </c>
      <c r="AH5702" s="508">
        <v>3.0000000000000001E-3</v>
      </c>
      <c r="AI5702" s="492">
        <v>3.0000000000000001E-3</v>
      </c>
      <c r="AJ5702" s="485"/>
    </row>
    <row r="5703" spans="2:36">
      <c r="B5703" s="136" t="s">
        <v>455</v>
      </c>
      <c r="C5703" s="132" t="s">
        <v>1369</v>
      </c>
      <c r="D5703" s="132" t="s">
        <v>285</v>
      </c>
      <c r="E5703" s="508">
        <v>9.2999999999999999E-2</v>
      </c>
      <c r="F5703" s="508">
        <v>0.09</v>
      </c>
      <c r="G5703" s="508">
        <v>8.8999999999999996E-2</v>
      </c>
      <c r="H5703" s="508">
        <v>7.2999999999999995E-2</v>
      </c>
      <c r="I5703" s="508">
        <v>7.2999999999999995E-2</v>
      </c>
      <c r="J5703" s="508">
        <v>7.9000000000000001E-2</v>
      </c>
      <c r="K5703" s="508">
        <v>4.5999999999999999E-2</v>
      </c>
      <c r="L5703" s="508">
        <v>4.5999999999999999E-2</v>
      </c>
      <c r="M5703" s="508">
        <v>4.5999999999999999E-2</v>
      </c>
      <c r="N5703" s="508">
        <v>4.9000000000000002E-2</v>
      </c>
      <c r="O5703" s="508">
        <v>0.04</v>
      </c>
      <c r="P5703" s="508">
        <v>2.7E-2</v>
      </c>
      <c r="Q5703" s="508">
        <v>2.9000000000000001E-2</v>
      </c>
      <c r="R5703" s="508">
        <v>2.5000000000000001E-2</v>
      </c>
      <c r="S5703" s="508">
        <v>2.3E-2</v>
      </c>
      <c r="T5703" s="508">
        <v>2.3E-2</v>
      </c>
      <c r="U5703" s="508">
        <v>1.2E-2</v>
      </c>
      <c r="V5703" s="508">
        <v>1.0999999999999999E-2</v>
      </c>
      <c r="W5703" s="508">
        <v>1.0999999999999999E-2</v>
      </c>
      <c r="X5703" s="508">
        <v>8.0000000000000002E-3</v>
      </c>
      <c r="Y5703" s="508">
        <v>8.0000000000000002E-3</v>
      </c>
      <c r="Z5703" s="508">
        <v>7.0000000000000001E-3</v>
      </c>
      <c r="AA5703" s="508">
        <v>7.0000000000000001E-3</v>
      </c>
      <c r="AB5703" s="508">
        <v>6.0000000000000001E-3</v>
      </c>
      <c r="AC5703" s="508">
        <v>6.0000000000000001E-3</v>
      </c>
      <c r="AD5703" s="508">
        <v>5.0000000000000001E-3</v>
      </c>
      <c r="AE5703" s="508">
        <v>5.0000000000000001E-3</v>
      </c>
      <c r="AF5703" s="508">
        <v>3.0000000000000001E-3</v>
      </c>
      <c r="AG5703" s="508">
        <v>3.0000000000000001E-3</v>
      </c>
      <c r="AH5703" s="508">
        <v>3.0000000000000001E-3</v>
      </c>
      <c r="AI5703" s="492">
        <v>3.0000000000000001E-3</v>
      </c>
      <c r="AJ5703" s="485"/>
    </row>
    <row r="5704" spans="2:36">
      <c r="B5704" s="136" t="s">
        <v>456</v>
      </c>
      <c r="C5704" s="132" t="s">
        <v>1369</v>
      </c>
      <c r="D5704" s="132" t="s">
        <v>285</v>
      </c>
      <c r="E5704" s="508">
        <v>6.2E-2</v>
      </c>
      <c r="F5704" s="508">
        <v>5.8999999999999997E-2</v>
      </c>
      <c r="G5704" s="508">
        <v>5.8000000000000003E-2</v>
      </c>
      <c r="H5704" s="508">
        <v>4.9000000000000002E-2</v>
      </c>
      <c r="I5704" s="508">
        <v>4.9000000000000002E-2</v>
      </c>
      <c r="J5704" s="508">
        <v>5.1999999999999998E-2</v>
      </c>
      <c r="K5704" s="508">
        <v>3.1E-2</v>
      </c>
      <c r="L5704" s="508">
        <v>3.1E-2</v>
      </c>
      <c r="M5704" s="508">
        <v>0.03</v>
      </c>
      <c r="N5704" s="508">
        <v>3.2000000000000001E-2</v>
      </c>
      <c r="O5704" s="508">
        <v>2.5999999999999999E-2</v>
      </c>
      <c r="P5704" s="508">
        <v>1.7999999999999999E-2</v>
      </c>
      <c r="Q5704" s="508">
        <v>1.9E-2</v>
      </c>
      <c r="R5704" s="508">
        <v>1.7000000000000001E-2</v>
      </c>
      <c r="S5704" s="508">
        <v>1.4999999999999999E-2</v>
      </c>
      <c r="T5704" s="508">
        <v>1.4999999999999999E-2</v>
      </c>
      <c r="U5704" s="508">
        <v>0.01</v>
      </c>
      <c r="V5704" s="508">
        <v>8.9999999999999993E-3</v>
      </c>
      <c r="W5704" s="508">
        <v>8.9999999999999993E-3</v>
      </c>
      <c r="X5704" s="508">
        <v>8.0000000000000002E-3</v>
      </c>
      <c r="Y5704" s="508">
        <v>8.0000000000000002E-3</v>
      </c>
      <c r="Z5704" s="508">
        <v>7.0000000000000001E-3</v>
      </c>
      <c r="AA5704" s="508">
        <v>7.0000000000000001E-3</v>
      </c>
      <c r="AB5704" s="508">
        <v>6.0000000000000001E-3</v>
      </c>
      <c r="AC5704" s="508">
        <v>6.0000000000000001E-3</v>
      </c>
      <c r="AD5704" s="508">
        <v>5.0000000000000001E-3</v>
      </c>
      <c r="AE5704" s="508">
        <v>5.0000000000000001E-3</v>
      </c>
      <c r="AF5704" s="508">
        <v>3.0000000000000001E-3</v>
      </c>
      <c r="AG5704" s="508">
        <v>3.0000000000000001E-3</v>
      </c>
      <c r="AH5704" s="508">
        <v>3.0000000000000001E-3</v>
      </c>
      <c r="AI5704" s="492">
        <v>3.0000000000000001E-3</v>
      </c>
      <c r="AJ5704" s="485"/>
    </row>
    <row r="5705" spans="2:36">
      <c r="B5705" s="136" t="s">
        <v>457</v>
      </c>
      <c r="C5705" s="132" t="s">
        <v>1369</v>
      </c>
      <c r="D5705" s="132" t="s">
        <v>285</v>
      </c>
      <c r="E5705" s="508">
        <v>0.13900000000000001</v>
      </c>
      <c r="F5705" s="508">
        <v>0.13200000000000001</v>
      </c>
      <c r="G5705" s="508">
        <v>0.13</v>
      </c>
      <c r="H5705" s="508">
        <v>0.11</v>
      </c>
      <c r="I5705" s="508">
        <v>0.11</v>
      </c>
      <c r="J5705" s="508">
        <v>0.11700000000000001</v>
      </c>
      <c r="K5705" s="508">
        <v>6.9000000000000006E-2</v>
      </c>
      <c r="L5705" s="508">
        <v>6.8000000000000005E-2</v>
      </c>
      <c r="M5705" s="508">
        <v>6.8000000000000005E-2</v>
      </c>
      <c r="N5705" s="508">
        <v>7.3999999999999996E-2</v>
      </c>
      <c r="O5705" s="508">
        <v>5.8999999999999997E-2</v>
      </c>
      <c r="P5705" s="508">
        <v>3.9E-2</v>
      </c>
      <c r="Q5705" s="508">
        <v>4.2999999999999997E-2</v>
      </c>
      <c r="R5705" s="508">
        <v>3.5999999999999997E-2</v>
      </c>
      <c r="S5705" s="508">
        <v>3.2000000000000001E-2</v>
      </c>
      <c r="T5705" s="508">
        <v>3.2000000000000001E-2</v>
      </c>
      <c r="U5705" s="508">
        <v>0.02</v>
      </c>
      <c r="V5705" s="508">
        <v>1.9E-2</v>
      </c>
      <c r="W5705" s="508">
        <v>1.7999999999999999E-2</v>
      </c>
      <c r="X5705" s="508">
        <v>1.0999999999999999E-2</v>
      </c>
      <c r="Y5705" s="508">
        <v>1.0999999999999999E-2</v>
      </c>
      <c r="Z5705" s="508">
        <v>8.9999999999999993E-3</v>
      </c>
      <c r="AA5705" s="508">
        <v>8.9999999999999993E-3</v>
      </c>
      <c r="AB5705" s="508">
        <v>8.0000000000000002E-3</v>
      </c>
      <c r="AC5705" s="508">
        <v>8.0000000000000002E-3</v>
      </c>
      <c r="AD5705" s="508">
        <v>7.0000000000000001E-3</v>
      </c>
      <c r="AE5705" s="508">
        <v>7.0000000000000001E-3</v>
      </c>
      <c r="AF5705" s="508">
        <v>4.0000000000000001E-3</v>
      </c>
      <c r="AG5705" s="508">
        <v>4.0000000000000001E-3</v>
      </c>
      <c r="AH5705" s="508">
        <v>4.0000000000000001E-3</v>
      </c>
      <c r="AI5705" s="492">
        <v>4.0000000000000001E-3</v>
      </c>
      <c r="AJ5705" s="485"/>
    </row>
    <row r="5706" spans="2:36">
      <c r="B5706" s="136" t="s">
        <v>458</v>
      </c>
      <c r="C5706" s="132" t="s">
        <v>1369</v>
      </c>
      <c r="D5706" s="132" t="s">
        <v>285</v>
      </c>
      <c r="E5706" s="508">
        <v>9.7000000000000003E-2</v>
      </c>
      <c r="F5706" s="508">
        <v>9.4E-2</v>
      </c>
      <c r="G5706" s="508">
        <v>9.2999999999999999E-2</v>
      </c>
      <c r="H5706" s="508">
        <v>7.5999999999999998E-2</v>
      </c>
      <c r="I5706" s="508">
        <v>7.5999999999999998E-2</v>
      </c>
      <c r="J5706" s="508">
        <v>8.1000000000000003E-2</v>
      </c>
      <c r="K5706" s="508">
        <v>4.9000000000000002E-2</v>
      </c>
      <c r="L5706" s="508">
        <v>4.9000000000000002E-2</v>
      </c>
      <c r="M5706" s="508">
        <v>4.9000000000000002E-2</v>
      </c>
      <c r="N5706" s="508">
        <v>4.9000000000000002E-2</v>
      </c>
      <c r="O5706" s="508">
        <v>4.2000000000000003E-2</v>
      </c>
      <c r="P5706" s="508">
        <v>0.03</v>
      </c>
      <c r="Q5706" s="508">
        <v>0.03</v>
      </c>
      <c r="R5706" s="508">
        <v>2.5999999999999999E-2</v>
      </c>
      <c r="S5706" s="508">
        <v>2.5000000000000001E-2</v>
      </c>
      <c r="T5706" s="508">
        <v>2.4E-2</v>
      </c>
      <c r="U5706" s="508">
        <v>1.4999999999999999E-2</v>
      </c>
      <c r="V5706" s="508">
        <v>1.2999999999999999E-2</v>
      </c>
      <c r="W5706" s="508">
        <v>1.2999999999999999E-2</v>
      </c>
      <c r="X5706" s="508">
        <v>8.9999999999999993E-3</v>
      </c>
      <c r="Y5706" s="508">
        <v>8.9999999999999993E-3</v>
      </c>
      <c r="Z5706" s="508">
        <v>7.0000000000000001E-3</v>
      </c>
      <c r="AA5706" s="508">
        <v>7.0000000000000001E-3</v>
      </c>
      <c r="AB5706" s="508">
        <v>7.0000000000000001E-3</v>
      </c>
      <c r="AC5706" s="508">
        <v>6.0000000000000001E-3</v>
      </c>
      <c r="AD5706" s="508">
        <v>6.0000000000000001E-3</v>
      </c>
      <c r="AE5706" s="508">
        <v>6.0000000000000001E-3</v>
      </c>
      <c r="AF5706" s="508">
        <v>4.0000000000000001E-3</v>
      </c>
      <c r="AG5706" s="508">
        <v>4.0000000000000001E-3</v>
      </c>
      <c r="AH5706" s="508">
        <v>4.0000000000000001E-3</v>
      </c>
      <c r="AI5706" s="492">
        <v>3.0000000000000001E-3</v>
      </c>
      <c r="AJ5706" s="485"/>
    </row>
    <row r="5707" spans="2:36">
      <c r="B5707" s="136" t="s">
        <v>459</v>
      </c>
      <c r="C5707" s="132" t="s">
        <v>1369</v>
      </c>
      <c r="D5707" s="132" t="s">
        <v>285</v>
      </c>
      <c r="E5707" s="508">
        <v>0.123</v>
      </c>
      <c r="F5707" s="508">
        <v>0.11899999999999999</v>
      </c>
      <c r="G5707" s="508">
        <v>0.11799999999999999</v>
      </c>
      <c r="H5707" s="508">
        <v>9.7000000000000003E-2</v>
      </c>
      <c r="I5707" s="508">
        <v>9.7000000000000003E-2</v>
      </c>
      <c r="J5707" s="508">
        <v>0.10199999999999999</v>
      </c>
      <c r="K5707" s="508">
        <v>6.3E-2</v>
      </c>
      <c r="L5707" s="508">
        <v>6.2E-2</v>
      </c>
      <c r="M5707" s="508">
        <v>6.2E-2</v>
      </c>
      <c r="N5707" s="508">
        <v>6.2E-2</v>
      </c>
      <c r="O5707" s="508">
        <v>5.2999999999999999E-2</v>
      </c>
      <c r="P5707" s="508">
        <v>3.6999999999999998E-2</v>
      </c>
      <c r="Q5707" s="508">
        <v>3.7999999999999999E-2</v>
      </c>
      <c r="R5707" s="508">
        <v>3.3000000000000002E-2</v>
      </c>
      <c r="S5707" s="508">
        <v>3.1E-2</v>
      </c>
      <c r="T5707" s="508">
        <v>0.03</v>
      </c>
      <c r="U5707" s="508">
        <v>1.7999999999999999E-2</v>
      </c>
      <c r="V5707" s="508">
        <v>1.4999999999999999E-2</v>
      </c>
      <c r="W5707" s="508">
        <v>1.6E-2</v>
      </c>
      <c r="X5707" s="508">
        <v>0.01</v>
      </c>
      <c r="Y5707" s="508">
        <v>0.01</v>
      </c>
      <c r="Z5707" s="508">
        <v>8.0000000000000002E-3</v>
      </c>
      <c r="AA5707" s="508">
        <v>8.0000000000000002E-3</v>
      </c>
      <c r="AB5707" s="508">
        <v>7.0000000000000001E-3</v>
      </c>
      <c r="AC5707" s="508">
        <v>7.0000000000000001E-3</v>
      </c>
      <c r="AD5707" s="508">
        <v>6.0000000000000001E-3</v>
      </c>
      <c r="AE5707" s="508">
        <v>6.0000000000000001E-3</v>
      </c>
      <c r="AF5707" s="508">
        <v>4.0000000000000001E-3</v>
      </c>
      <c r="AG5707" s="508">
        <v>4.0000000000000001E-3</v>
      </c>
      <c r="AH5707" s="508">
        <v>4.0000000000000001E-3</v>
      </c>
      <c r="AI5707" s="492">
        <v>4.0000000000000001E-3</v>
      </c>
      <c r="AJ5707" s="485"/>
    </row>
    <row r="5708" spans="2:36">
      <c r="B5708" s="136" t="s">
        <v>460</v>
      </c>
      <c r="C5708" s="132" t="s">
        <v>1369</v>
      </c>
      <c r="D5708" s="132" t="s">
        <v>285</v>
      </c>
      <c r="E5708" s="508">
        <v>0.127</v>
      </c>
      <c r="F5708" s="508">
        <v>0.12</v>
      </c>
      <c r="G5708" s="508">
        <v>0.11899999999999999</v>
      </c>
      <c r="H5708" s="508">
        <v>9.9000000000000005E-2</v>
      </c>
      <c r="I5708" s="508">
        <v>9.9000000000000005E-2</v>
      </c>
      <c r="J5708" s="508">
        <v>0.10299999999999999</v>
      </c>
      <c r="K5708" s="508">
        <v>6.4000000000000001E-2</v>
      </c>
      <c r="L5708" s="508">
        <v>6.4000000000000001E-2</v>
      </c>
      <c r="M5708" s="508">
        <v>6.3E-2</v>
      </c>
      <c r="N5708" s="508">
        <v>6.4000000000000001E-2</v>
      </c>
      <c r="O5708" s="508">
        <v>5.3999999999999999E-2</v>
      </c>
      <c r="P5708" s="508">
        <v>3.7999999999999999E-2</v>
      </c>
      <c r="Q5708" s="508">
        <v>3.9E-2</v>
      </c>
      <c r="R5708" s="508">
        <v>3.3000000000000002E-2</v>
      </c>
      <c r="S5708" s="508">
        <v>3.1E-2</v>
      </c>
      <c r="T5708" s="508">
        <v>0.03</v>
      </c>
      <c r="U5708" s="508">
        <v>1.7000000000000001E-2</v>
      </c>
      <c r="V5708" s="508">
        <v>1.4999999999999999E-2</v>
      </c>
      <c r="W5708" s="508">
        <v>1.4999999999999999E-2</v>
      </c>
      <c r="X5708" s="508">
        <v>8.9999999999999993E-3</v>
      </c>
      <c r="Y5708" s="508">
        <v>8.9999999999999993E-3</v>
      </c>
      <c r="Z5708" s="508">
        <v>8.0000000000000002E-3</v>
      </c>
      <c r="AA5708" s="508">
        <v>7.0000000000000001E-3</v>
      </c>
      <c r="AB5708" s="508">
        <v>7.0000000000000001E-3</v>
      </c>
      <c r="AC5708" s="508">
        <v>6.0000000000000001E-3</v>
      </c>
      <c r="AD5708" s="508">
        <v>6.0000000000000001E-3</v>
      </c>
      <c r="AE5708" s="508">
        <v>6.0000000000000001E-3</v>
      </c>
      <c r="AF5708" s="508">
        <v>4.0000000000000001E-3</v>
      </c>
      <c r="AG5708" s="508">
        <v>3.0000000000000001E-3</v>
      </c>
      <c r="AH5708" s="508">
        <v>3.0000000000000001E-3</v>
      </c>
      <c r="AI5708" s="492">
        <v>3.0000000000000001E-3</v>
      </c>
      <c r="AJ5708" s="485"/>
    </row>
    <row r="5709" spans="2:36">
      <c r="B5709" s="136" t="s">
        <v>461</v>
      </c>
      <c r="C5709" s="132" t="s">
        <v>1369</v>
      </c>
      <c r="D5709" s="132" t="s">
        <v>285</v>
      </c>
      <c r="E5709" s="508">
        <v>0.14199999999999999</v>
      </c>
      <c r="F5709" s="508">
        <v>0.13400000000000001</v>
      </c>
      <c r="G5709" s="508">
        <v>0.13300000000000001</v>
      </c>
      <c r="H5709" s="508">
        <v>0.112</v>
      </c>
      <c r="I5709" s="508">
        <v>0.112</v>
      </c>
      <c r="J5709" s="508">
        <v>0.11700000000000001</v>
      </c>
      <c r="K5709" s="508">
        <v>7.1999999999999995E-2</v>
      </c>
      <c r="L5709" s="508">
        <v>7.0999999999999994E-2</v>
      </c>
      <c r="M5709" s="508">
        <v>7.0999999999999994E-2</v>
      </c>
      <c r="N5709" s="508">
        <v>7.2999999999999995E-2</v>
      </c>
      <c r="O5709" s="508">
        <v>0.06</v>
      </c>
      <c r="P5709" s="508">
        <v>4.1000000000000002E-2</v>
      </c>
      <c r="Q5709" s="508">
        <v>4.3999999999999997E-2</v>
      </c>
      <c r="R5709" s="508">
        <v>3.6999999999999998E-2</v>
      </c>
      <c r="S5709" s="508">
        <v>3.4000000000000002E-2</v>
      </c>
      <c r="T5709" s="508">
        <v>3.3000000000000002E-2</v>
      </c>
      <c r="U5709" s="508">
        <v>0.02</v>
      </c>
      <c r="V5709" s="508">
        <v>1.7999999999999999E-2</v>
      </c>
      <c r="W5709" s="508">
        <v>1.7999999999999999E-2</v>
      </c>
      <c r="X5709" s="508">
        <v>1.0999999999999999E-2</v>
      </c>
      <c r="Y5709" s="508">
        <v>1.0999999999999999E-2</v>
      </c>
      <c r="Z5709" s="508">
        <v>8.9999999999999993E-3</v>
      </c>
      <c r="AA5709" s="508">
        <v>8.0000000000000002E-3</v>
      </c>
      <c r="AB5709" s="508">
        <v>7.0000000000000001E-3</v>
      </c>
      <c r="AC5709" s="508">
        <v>7.0000000000000001E-3</v>
      </c>
      <c r="AD5709" s="508">
        <v>6.0000000000000001E-3</v>
      </c>
      <c r="AE5709" s="508">
        <v>6.0000000000000001E-3</v>
      </c>
      <c r="AF5709" s="508">
        <v>4.0000000000000001E-3</v>
      </c>
      <c r="AG5709" s="508">
        <v>4.0000000000000001E-3</v>
      </c>
      <c r="AH5709" s="508">
        <v>4.0000000000000001E-3</v>
      </c>
      <c r="AI5709" s="492">
        <v>4.0000000000000001E-3</v>
      </c>
      <c r="AJ5709" s="485"/>
    </row>
    <row r="5710" spans="2:36">
      <c r="B5710" s="136" t="s">
        <v>462</v>
      </c>
      <c r="C5710" s="132" t="s">
        <v>1369</v>
      </c>
      <c r="D5710" s="132" t="s">
        <v>285</v>
      </c>
      <c r="E5710" s="508">
        <v>6.7000000000000004E-2</v>
      </c>
      <c r="F5710" s="508">
        <v>6.3E-2</v>
      </c>
      <c r="G5710" s="508">
        <v>6.2E-2</v>
      </c>
      <c r="H5710" s="508">
        <v>5.2999999999999999E-2</v>
      </c>
      <c r="I5710" s="508">
        <v>5.2999999999999999E-2</v>
      </c>
      <c r="J5710" s="508">
        <v>5.6000000000000001E-2</v>
      </c>
      <c r="K5710" s="508">
        <v>3.3000000000000002E-2</v>
      </c>
      <c r="L5710" s="508">
        <v>3.3000000000000002E-2</v>
      </c>
      <c r="M5710" s="508">
        <v>3.2000000000000001E-2</v>
      </c>
      <c r="N5710" s="508">
        <v>3.5999999999999997E-2</v>
      </c>
      <c r="O5710" s="508">
        <v>2.8000000000000001E-2</v>
      </c>
      <c r="P5710" s="508">
        <v>1.9E-2</v>
      </c>
      <c r="Q5710" s="508">
        <v>2.1000000000000001E-2</v>
      </c>
      <c r="R5710" s="508">
        <v>1.7999999999999999E-2</v>
      </c>
      <c r="S5710" s="508">
        <v>1.4999999999999999E-2</v>
      </c>
      <c r="T5710" s="508">
        <v>1.4999999999999999E-2</v>
      </c>
      <c r="U5710" s="508">
        <v>0.01</v>
      </c>
      <c r="V5710" s="508">
        <v>8.9999999999999993E-3</v>
      </c>
      <c r="W5710" s="508">
        <v>8.9999999999999993E-3</v>
      </c>
      <c r="X5710" s="508">
        <v>8.0000000000000002E-3</v>
      </c>
      <c r="Y5710" s="508">
        <v>8.0000000000000002E-3</v>
      </c>
      <c r="Z5710" s="508">
        <v>7.0000000000000001E-3</v>
      </c>
      <c r="AA5710" s="508">
        <v>7.0000000000000001E-3</v>
      </c>
      <c r="AB5710" s="508">
        <v>6.0000000000000001E-3</v>
      </c>
      <c r="AC5710" s="508">
        <v>6.0000000000000001E-3</v>
      </c>
      <c r="AD5710" s="508">
        <v>5.0000000000000001E-3</v>
      </c>
      <c r="AE5710" s="508">
        <v>5.0000000000000001E-3</v>
      </c>
      <c r="AF5710" s="508">
        <v>3.0000000000000001E-3</v>
      </c>
      <c r="AG5710" s="508">
        <v>3.0000000000000001E-3</v>
      </c>
      <c r="AH5710" s="508">
        <v>3.0000000000000001E-3</v>
      </c>
      <c r="AI5710" s="492">
        <v>3.0000000000000001E-3</v>
      </c>
      <c r="AJ5710" s="485"/>
    </row>
    <row r="5711" spans="2:36">
      <c r="B5711" s="136" t="s">
        <v>463</v>
      </c>
      <c r="C5711" s="132" t="s">
        <v>1369</v>
      </c>
      <c r="D5711" s="132" t="s">
        <v>285</v>
      </c>
      <c r="E5711" s="508">
        <v>9.5000000000000001E-2</v>
      </c>
      <c r="F5711" s="508">
        <v>9.2999999999999999E-2</v>
      </c>
      <c r="G5711" s="508">
        <v>9.1999999999999998E-2</v>
      </c>
      <c r="H5711" s="508">
        <v>7.4999999999999997E-2</v>
      </c>
      <c r="I5711" s="508">
        <v>7.5999999999999998E-2</v>
      </c>
      <c r="J5711" s="508">
        <v>8.3000000000000004E-2</v>
      </c>
      <c r="K5711" s="508">
        <v>4.8000000000000001E-2</v>
      </c>
      <c r="L5711" s="508">
        <v>4.7E-2</v>
      </c>
      <c r="M5711" s="508">
        <v>4.7E-2</v>
      </c>
      <c r="N5711" s="508">
        <v>0.05</v>
      </c>
      <c r="O5711" s="508">
        <v>4.2000000000000003E-2</v>
      </c>
      <c r="P5711" s="508">
        <v>2.9000000000000001E-2</v>
      </c>
      <c r="Q5711" s="508">
        <v>0.03</v>
      </c>
      <c r="R5711" s="508">
        <v>2.5999999999999999E-2</v>
      </c>
      <c r="S5711" s="508">
        <v>2.4E-2</v>
      </c>
      <c r="T5711" s="508">
        <v>2.4E-2</v>
      </c>
      <c r="U5711" s="508">
        <v>1.4E-2</v>
      </c>
      <c r="V5711" s="508">
        <v>1.2E-2</v>
      </c>
      <c r="W5711" s="508">
        <v>1.2E-2</v>
      </c>
      <c r="X5711" s="508">
        <v>8.9999999999999993E-3</v>
      </c>
      <c r="Y5711" s="508">
        <v>8.9999999999999993E-3</v>
      </c>
      <c r="Z5711" s="508">
        <v>7.0000000000000001E-3</v>
      </c>
      <c r="AA5711" s="508">
        <v>7.0000000000000001E-3</v>
      </c>
      <c r="AB5711" s="508">
        <v>6.0000000000000001E-3</v>
      </c>
      <c r="AC5711" s="508">
        <v>6.0000000000000001E-3</v>
      </c>
      <c r="AD5711" s="508">
        <v>5.0000000000000001E-3</v>
      </c>
      <c r="AE5711" s="508">
        <v>5.0000000000000001E-3</v>
      </c>
      <c r="AF5711" s="508">
        <v>3.0000000000000001E-3</v>
      </c>
      <c r="AG5711" s="508">
        <v>3.0000000000000001E-3</v>
      </c>
      <c r="AH5711" s="508">
        <v>3.0000000000000001E-3</v>
      </c>
      <c r="AI5711" s="492">
        <v>3.0000000000000001E-3</v>
      </c>
      <c r="AJ5711" s="485"/>
    </row>
    <row r="5712" spans="2:36">
      <c r="B5712" s="136" t="s">
        <v>464</v>
      </c>
      <c r="C5712" s="132" t="s">
        <v>1369</v>
      </c>
      <c r="D5712" s="132" t="s">
        <v>285</v>
      </c>
      <c r="E5712" s="508">
        <v>0.13700000000000001</v>
      </c>
      <c r="F5712" s="508">
        <v>0.13</v>
      </c>
      <c r="G5712" s="508">
        <v>0.129</v>
      </c>
      <c r="H5712" s="508">
        <v>0.108</v>
      </c>
      <c r="I5712" s="508">
        <v>0.109</v>
      </c>
      <c r="J5712" s="508">
        <v>0.115</v>
      </c>
      <c r="K5712" s="508">
        <v>6.8000000000000005E-2</v>
      </c>
      <c r="L5712" s="508">
        <v>6.8000000000000005E-2</v>
      </c>
      <c r="M5712" s="508">
        <v>6.7000000000000004E-2</v>
      </c>
      <c r="N5712" s="508">
        <v>7.2999999999999995E-2</v>
      </c>
      <c r="O5712" s="508">
        <v>5.8999999999999997E-2</v>
      </c>
      <c r="P5712" s="508">
        <v>3.9E-2</v>
      </c>
      <c r="Q5712" s="508">
        <v>4.2999999999999997E-2</v>
      </c>
      <c r="R5712" s="508">
        <v>3.5999999999999997E-2</v>
      </c>
      <c r="S5712" s="508">
        <v>3.1E-2</v>
      </c>
      <c r="T5712" s="508">
        <v>3.2000000000000001E-2</v>
      </c>
      <c r="U5712" s="508">
        <v>1.7000000000000001E-2</v>
      </c>
      <c r="V5712" s="508">
        <v>1.6E-2</v>
      </c>
      <c r="W5712" s="508">
        <v>1.6E-2</v>
      </c>
      <c r="X5712" s="508">
        <v>0.01</v>
      </c>
      <c r="Y5712" s="508">
        <v>0.01</v>
      </c>
      <c r="Z5712" s="508">
        <v>8.0000000000000002E-3</v>
      </c>
      <c r="AA5712" s="508">
        <v>8.0000000000000002E-3</v>
      </c>
      <c r="AB5712" s="508">
        <v>7.0000000000000001E-3</v>
      </c>
      <c r="AC5712" s="508">
        <v>7.0000000000000001E-3</v>
      </c>
      <c r="AD5712" s="508">
        <v>6.0000000000000001E-3</v>
      </c>
      <c r="AE5712" s="508">
        <v>6.0000000000000001E-3</v>
      </c>
      <c r="AF5712" s="508">
        <v>4.0000000000000001E-3</v>
      </c>
      <c r="AG5712" s="508">
        <v>4.0000000000000001E-3</v>
      </c>
      <c r="AH5712" s="508">
        <v>3.0000000000000001E-3</v>
      </c>
      <c r="AI5712" s="492">
        <v>3.0000000000000001E-3</v>
      </c>
      <c r="AJ5712" s="485"/>
    </row>
    <row r="5713" spans="2:36">
      <c r="B5713" s="136" t="s">
        <v>465</v>
      </c>
      <c r="C5713" s="132" t="s">
        <v>1369</v>
      </c>
      <c r="D5713" s="132" t="s">
        <v>285</v>
      </c>
      <c r="E5713" s="508">
        <v>0.114</v>
      </c>
      <c r="F5713" s="508">
        <v>0.109</v>
      </c>
      <c r="G5713" s="508">
        <v>0.108</v>
      </c>
      <c r="H5713" s="508">
        <v>0.09</v>
      </c>
      <c r="I5713" s="508">
        <v>0.09</v>
      </c>
      <c r="J5713" s="508">
        <v>9.6000000000000002E-2</v>
      </c>
      <c r="K5713" s="508">
        <v>5.7000000000000002E-2</v>
      </c>
      <c r="L5713" s="508">
        <v>5.7000000000000002E-2</v>
      </c>
      <c r="M5713" s="508">
        <v>5.6000000000000001E-2</v>
      </c>
      <c r="N5713" s="508">
        <v>5.8999999999999997E-2</v>
      </c>
      <c r="O5713" s="508">
        <v>4.9000000000000002E-2</v>
      </c>
      <c r="P5713" s="508">
        <v>3.3000000000000002E-2</v>
      </c>
      <c r="Q5713" s="508">
        <v>3.5999999999999997E-2</v>
      </c>
      <c r="R5713" s="508">
        <v>0.03</v>
      </c>
      <c r="S5713" s="508">
        <v>2.8000000000000001E-2</v>
      </c>
      <c r="T5713" s="508">
        <v>2.7E-2</v>
      </c>
      <c r="U5713" s="508">
        <v>1.6E-2</v>
      </c>
      <c r="V5713" s="508">
        <v>1.4E-2</v>
      </c>
      <c r="W5713" s="508">
        <v>1.4E-2</v>
      </c>
      <c r="X5713" s="508">
        <v>0.01</v>
      </c>
      <c r="Y5713" s="508">
        <v>8.9999999999999993E-3</v>
      </c>
      <c r="Z5713" s="508">
        <v>8.0000000000000002E-3</v>
      </c>
      <c r="AA5713" s="508">
        <v>7.0000000000000001E-3</v>
      </c>
      <c r="AB5713" s="508">
        <v>7.0000000000000001E-3</v>
      </c>
      <c r="AC5713" s="508">
        <v>7.0000000000000001E-3</v>
      </c>
      <c r="AD5713" s="508">
        <v>6.0000000000000001E-3</v>
      </c>
      <c r="AE5713" s="508">
        <v>6.0000000000000001E-3</v>
      </c>
      <c r="AF5713" s="508">
        <v>4.0000000000000001E-3</v>
      </c>
      <c r="AG5713" s="508">
        <v>4.0000000000000001E-3</v>
      </c>
      <c r="AH5713" s="508">
        <v>4.0000000000000001E-3</v>
      </c>
      <c r="AI5713" s="492">
        <v>3.0000000000000001E-3</v>
      </c>
      <c r="AJ5713" s="485"/>
    </row>
    <row r="5714" spans="2:36">
      <c r="B5714" s="136" t="s">
        <v>466</v>
      </c>
      <c r="C5714" s="132" t="s">
        <v>1369</v>
      </c>
      <c r="D5714" s="132" t="s">
        <v>285</v>
      </c>
      <c r="E5714" s="508">
        <v>7.4999999999999997E-2</v>
      </c>
      <c r="F5714" s="508">
        <v>7.0999999999999994E-2</v>
      </c>
      <c r="G5714" s="508">
        <v>7.0000000000000007E-2</v>
      </c>
      <c r="H5714" s="508">
        <v>5.8999999999999997E-2</v>
      </c>
      <c r="I5714" s="508">
        <v>5.8999999999999997E-2</v>
      </c>
      <c r="J5714" s="508">
        <v>0.06</v>
      </c>
      <c r="K5714" s="508">
        <v>3.7999999999999999E-2</v>
      </c>
      <c r="L5714" s="508">
        <v>3.7999999999999999E-2</v>
      </c>
      <c r="M5714" s="508">
        <v>3.7999999999999999E-2</v>
      </c>
      <c r="N5714" s="508">
        <v>3.6999999999999998E-2</v>
      </c>
      <c r="O5714" s="508">
        <v>3.2000000000000001E-2</v>
      </c>
      <c r="P5714" s="508">
        <v>2.3E-2</v>
      </c>
      <c r="Q5714" s="508">
        <v>2.3E-2</v>
      </c>
      <c r="R5714" s="508">
        <v>0.02</v>
      </c>
      <c r="S5714" s="508">
        <v>1.7999999999999999E-2</v>
      </c>
      <c r="T5714" s="508">
        <v>1.7999999999999999E-2</v>
      </c>
      <c r="U5714" s="508">
        <v>1.0999999999999999E-2</v>
      </c>
      <c r="V5714" s="508">
        <v>0.01</v>
      </c>
      <c r="W5714" s="508">
        <v>0.01</v>
      </c>
      <c r="X5714" s="508">
        <v>8.0000000000000002E-3</v>
      </c>
      <c r="Y5714" s="508">
        <v>8.0000000000000002E-3</v>
      </c>
      <c r="Z5714" s="508">
        <v>7.0000000000000001E-3</v>
      </c>
      <c r="AA5714" s="508">
        <v>7.0000000000000001E-3</v>
      </c>
      <c r="AB5714" s="508">
        <v>6.0000000000000001E-3</v>
      </c>
      <c r="AC5714" s="508">
        <v>6.0000000000000001E-3</v>
      </c>
      <c r="AD5714" s="508">
        <v>5.0000000000000001E-3</v>
      </c>
      <c r="AE5714" s="508">
        <v>5.0000000000000001E-3</v>
      </c>
      <c r="AF5714" s="508">
        <v>3.0000000000000001E-3</v>
      </c>
      <c r="AG5714" s="508">
        <v>3.0000000000000001E-3</v>
      </c>
      <c r="AH5714" s="508">
        <v>3.0000000000000001E-3</v>
      </c>
      <c r="AI5714" s="492">
        <v>3.0000000000000001E-3</v>
      </c>
      <c r="AJ5714" s="485"/>
    </row>
    <row r="5715" spans="2:36">
      <c r="B5715" s="136" t="s">
        <v>467</v>
      </c>
      <c r="C5715" s="132" t="s">
        <v>1369</v>
      </c>
      <c r="D5715" s="132" t="s">
        <v>285</v>
      </c>
      <c r="E5715" s="508">
        <v>0.13</v>
      </c>
      <c r="F5715" s="508">
        <v>0.122</v>
      </c>
      <c r="G5715" s="508">
        <v>0.121</v>
      </c>
      <c r="H5715" s="508">
        <v>0.10199999999999999</v>
      </c>
      <c r="I5715" s="508">
        <v>0.10199999999999999</v>
      </c>
      <c r="J5715" s="508">
        <v>0.107</v>
      </c>
      <c r="K5715" s="508">
        <v>6.5000000000000002E-2</v>
      </c>
      <c r="L5715" s="508">
        <v>6.5000000000000002E-2</v>
      </c>
      <c r="M5715" s="508">
        <v>6.4000000000000001E-2</v>
      </c>
      <c r="N5715" s="508">
        <v>6.7000000000000004E-2</v>
      </c>
      <c r="O5715" s="508">
        <v>5.5E-2</v>
      </c>
      <c r="P5715" s="508">
        <v>3.7999999999999999E-2</v>
      </c>
      <c r="Q5715" s="508">
        <v>0.04</v>
      </c>
      <c r="R5715" s="508">
        <v>3.4000000000000002E-2</v>
      </c>
      <c r="S5715" s="508">
        <v>0.03</v>
      </c>
      <c r="T5715" s="508">
        <v>0.03</v>
      </c>
      <c r="U5715" s="508">
        <v>1.7999999999999999E-2</v>
      </c>
      <c r="V5715" s="508">
        <v>1.6E-2</v>
      </c>
      <c r="W5715" s="508">
        <v>1.6E-2</v>
      </c>
      <c r="X5715" s="508">
        <v>0.01</v>
      </c>
      <c r="Y5715" s="508">
        <v>0.01</v>
      </c>
      <c r="Z5715" s="508">
        <v>8.0000000000000002E-3</v>
      </c>
      <c r="AA5715" s="508">
        <v>8.0000000000000002E-3</v>
      </c>
      <c r="AB5715" s="508">
        <v>7.0000000000000001E-3</v>
      </c>
      <c r="AC5715" s="508">
        <v>7.0000000000000001E-3</v>
      </c>
      <c r="AD5715" s="508">
        <v>6.0000000000000001E-3</v>
      </c>
      <c r="AE5715" s="508">
        <v>6.0000000000000001E-3</v>
      </c>
      <c r="AF5715" s="508">
        <v>4.0000000000000001E-3</v>
      </c>
      <c r="AG5715" s="508">
        <v>4.0000000000000001E-3</v>
      </c>
      <c r="AH5715" s="508">
        <v>4.0000000000000001E-3</v>
      </c>
      <c r="AI5715" s="492">
        <v>4.0000000000000001E-3</v>
      </c>
      <c r="AJ5715" s="485"/>
    </row>
    <row r="5716" spans="2:36">
      <c r="B5716" s="136" t="s">
        <v>468</v>
      </c>
      <c r="C5716" s="132" t="s">
        <v>1369</v>
      </c>
      <c r="D5716" s="132" t="s">
        <v>285</v>
      </c>
      <c r="E5716" s="508">
        <v>0.10199999999999999</v>
      </c>
      <c r="F5716" s="508">
        <v>9.9000000000000005E-2</v>
      </c>
      <c r="G5716" s="508">
        <v>9.8000000000000004E-2</v>
      </c>
      <c r="H5716" s="508">
        <v>0.08</v>
      </c>
      <c r="I5716" s="508">
        <v>0.08</v>
      </c>
      <c r="J5716" s="508">
        <v>8.7999999999999995E-2</v>
      </c>
      <c r="K5716" s="508">
        <v>5.0999999999999997E-2</v>
      </c>
      <c r="L5716" s="508">
        <v>0.05</v>
      </c>
      <c r="M5716" s="508">
        <v>0.05</v>
      </c>
      <c r="N5716" s="508">
        <v>5.2999999999999999E-2</v>
      </c>
      <c r="O5716" s="508">
        <v>4.4999999999999998E-2</v>
      </c>
      <c r="P5716" s="508">
        <v>0.03</v>
      </c>
      <c r="Q5716" s="508">
        <v>3.2000000000000001E-2</v>
      </c>
      <c r="R5716" s="508">
        <v>2.7E-2</v>
      </c>
      <c r="S5716" s="508">
        <v>2.5999999999999999E-2</v>
      </c>
      <c r="T5716" s="508">
        <v>2.5000000000000001E-2</v>
      </c>
      <c r="U5716" s="508">
        <v>1.4E-2</v>
      </c>
      <c r="V5716" s="508">
        <v>1.2999999999999999E-2</v>
      </c>
      <c r="W5716" s="508">
        <v>1.2999999999999999E-2</v>
      </c>
      <c r="X5716" s="508">
        <v>8.9999999999999993E-3</v>
      </c>
      <c r="Y5716" s="508">
        <v>8.9999999999999993E-3</v>
      </c>
      <c r="Z5716" s="508">
        <v>7.0000000000000001E-3</v>
      </c>
      <c r="AA5716" s="508">
        <v>7.0000000000000001E-3</v>
      </c>
      <c r="AB5716" s="508">
        <v>6.0000000000000001E-3</v>
      </c>
      <c r="AC5716" s="508">
        <v>6.0000000000000001E-3</v>
      </c>
      <c r="AD5716" s="508">
        <v>5.0000000000000001E-3</v>
      </c>
      <c r="AE5716" s="508">
        <v>5.0000000000000001E-3</v>
      </c>
      <c r="AF5716" s="508">
        <v>3.0000000000000001E-3</v>
      </c>
      <c r="AG5716" s="508">
        <v>3.0000000000000001E-3</v>
      </c>
      <c r="AH5716" s="508">
        <v>3.0000000000000001E-3</v>
      </c>
      <c r="AI5716" s="492">
        <v>3.0000000000000001E-3</v>
      </c>
      <c r="AJ5716" s="485"/>
    </row>
    <row r="5717" spans="2:36">
      <c r="B5717" s="136" t="s">
        <v>469</v>
      </c>
      <c r="C5717" s="132" t="s">
        <v>1369</v>
      </c>
      <c r="D5717" s="132" t="s">
        <v>285</v>
      </c>
      <c r="E5717" s="508">
        <v>8.8999999999999996E-2</v>
      </c>
      <c r="F5717" s="508">
        <v>8.5000000000000006E-2</v>
      </c>
      <c r="G5717" s="508">
        <v>8.4000000000000005E-2</v>
      </c>
      <c r="H5717" s="508">
        <v>7.0000000000000007E-2</v>
      </c>
      <c r="I5717" s="508">
        <v>7.0000000000000007E-2</v>
      </c>
      <c r="J5717" s="508">
        <v>7.4999999999999997E-2</v>
      </c>
      <c r="K5717" s="508">
        <v>4.3999999999999997E-2</v>
      </c>
      <c r="L5717" s="508">
        <v>4.3999999999999997E-2</v>
      </c>
      <c r="M5717" s="508">
        <v>4.3999999999999997E-2</v>
      </c>
      <c r="N5717" s="508">
        <v>4.7E-2</v>
      </c>
      <c r="O5717" s="508">
        <v>3.7999999999999999E-2</v>
      </c>
      <c r="P5717" s="508">
        <v>2.5999999999999999E-2</v>
      </c>
      <c r="Q5717" s="508">
        <v>2.8000000000000001E-2</v>
      </c>
      <c r="R5717" s="508">
        <v>2.4E-2</v>
      </c>
      <c r="S5717" s="508">
        <v>2.1000000000000001E-2</v>
      </c>
      <c r="T5717" s="508">
        <v>2.1000000000000001E-2</v>
      </c>
      <c r="U5717" s="508">
        <v>1.2E-2</v>
      </c>
      <c r="V5717" s="508">
        <v>1.0999999999999999E-2</v>
      </c>
      <c r="W5717" s="508">
        <v>1.0999999999999999E-2</v>
      </c>
      <c r="X5717" s="508">
        <v>8.9999999999999993E-3</v>
      </c>
      <c r="Y5717" s="508">
        <v>8.0000000000000002E-3</v>
      </c>
      <c r="Z5717" s="508">
        <v>7.0000000000000001E-3</v>
      </c>
      <c r="AA5717" s="508">
        <v>7.0000000000000001E-3</v>
      </c>
      <c r="AB5717" s="508">
        <v>6.0000000000000001E-3</v>
      </c>
      <c r="AC5717" s="508">
        <v>6.0000000000000001E-3</v>
      </c>
      <c r="AD5717" s="508">
        <v>5.0000000000000001E-3</v>
      </c>
      <c r="AE5717" s="508">
        <v>5.0000000000000001E-3</v>
      </c>
      <c r="AF5717" s="508">
        <v>3.0000000000000001E-3</v>
      </c>
      <c r="AG5717" s="508">
        <v>3.0000000000000001E-3</v>
      </c>
      <c r="AH5717" s="508">
        <v>3.0000000000000001E-3</v>
      </c>
      <c r="AI5717" s="492">
        <v>3.0000000000000001E-3</v>
      </c>
      <c r="AJ5717" s="485"/>
    </row>
    <row r="5718" spans="2:36">
      <c r="B5718" s="136" t="s">
        <v>470</v>
      </c>
      <c r="C5718" s="132" t="s">
        <v>1369</v>
      </c>
      <c r="D5718" s="132" t="s">
        <v>285</v>
      </c>
      <c r="E5718" s="508">
        <v>0.11799999999999999</v>
      </c>
      <c r="F5718" s="508">
        <v>0.112</v>
      </c>
      <c r="G5718" s="508">
        <v>0.111</v>
      </c>
      <c r="H5718" s="508">
        <v>9.1999999999999998E-2</v>
      </c>
      <c r="I5718" s="508">
        <v>9.1999999999999998E-2</v>
      </c>
      <c r="J5718" s="508">
        <v>9.6000000000000002E-2</v>
      </c>
      <c r="K5718" s="508">
        <v>0.06</v>
      </c>
      <c r="L5718" s="508">
        <v>5.8999999999999997E-2</v>
      </c>
      <c r="M5718" s="508">
        <v>5.8999999999999997E-2</v>
      </c>
      <c r="N5718" s="508">
        <v>5.8999999999999997E-2</v>
      </c>
      <c r="O5718" s="508">
        <v>0.05</v>
      </c>
      <c r="P5718" s="508">
        <v>3.5000000000000003E-2</v>
      </c>
      <c r="Q5718" s="508">
        <v>3.5999999999999997E-2</v>
      </c>
      <c r="R5718" s="508">
        <v>3.1E-2</v>
      </c>
      <c r="S5718" s="508">
        <v>2.9000000000000001E-2</v>
      </c>
      <c r="T5718" s="508">
        <v>2.8000000000000001E-2</v>
      </c>
      <c r="U5718" s="508">
        <v>1.7000000000000001E-2</v>
      </c>
      <c r="V5718" s="508">
        <v>1.4999999999999999E-2</v>
      </c>
      <c r="W5718" s="508">
        <v>1.6E-2</v>
      </c>
      <c r="X5718" s="508">
        <v>0.01</v>
      </c>
      <c r="Y5718" s="508">
        <v>0.01</v>
      </c>
      <c r="Z5718" s="508">
        <v>8.0000000000000002E-3</v>
      </c>
      <c r="AA5718" s="508">
        <v>8.0000000000000002E-3</v>
      </c>
      <c r="AB5718" s="508">
        <v>7.0000000000000001E-3</v>
      </c>
      <c r="AC5718" s="508">
        <v>7.0000000000000001E-3</v>
      </c>
      <c r="AD5718" s="508">
        <v>6.0000000000000001E-3</v>
      </c>
      <c r="AE5718" s="508">
        <v>6.0000000000000001E-3</v>
      </c>
      <c r="AF5718" s="508">
        <v>4.0000000000000001E-3</v>
      </c>
      <c r="AG5718" s="508">
        <v>4.0000000000000001E-3</v>
      </c>
      <c r="AH5718" s="508">
        <v>4.0000000000000001E-3</v>
      </c>
      <c r="AI5718" s="492">
        <v>4.0000000000000001E-3</v>
      </c>
      <c r="AJ5718" s="485"/>
    </row>
    <row r="5719" spans="2:36">
      <c r="B5719" s="136" t="s">
        <v>471</v>
      </c>
      <c r="C5719" s="132" t="s">
        <v>1369</v>
      </c>
      <c r="D5719" s="132" t="s">
        <v>285</v>
      </c>
      <c r="E5719" s="508">
        <v>8.1000000000000003E-2</v>
      </c>
      <c r="F5719" s="508">
        <v>7.5999999999999998E-2</v>
      </c>
      <c r="G5719" s="508">
        <v>7.5999999999999998E-2</v>
      </c>
      <c r="H5719" s="508">
        <v>6.4000000000000001E-2</v>
      </c>
      <c r="I5719" s="508">
        <v>6.4000000000000001E-2</v>
      </c>
      <c r="J5719" s="508">
        <v>6.7000000000000004E-2</v>
      </c>
      <c r="K5719" s="508">
        <v>4.1000000000000002E-2</v>
      </c>
      <c r="L5719" s="508">
        <v>0.04</v>
      </c>
      <c r="M5719" s="508">
        <v>0.04</v>
      </c>
      <c r="N5719" s="508">
        <v>4.2000000000000003E-2</v>
      </c>
      <c r="O5719" s="508">
        <v>3.4000000000000002E-2</v>
      </c>
      <c r="P5719" s="508">
        <v>2.4E-2</v>
      </c>
      <c r="Q5719" s="508">
        <v>2.5000000000000001E-2</v>
      </c>
      <c r="R5719" s="508">
        <v>2.1000000000000001E-2</v>
      </c>
      <c r="S5719" s="508">
        <v>1.9E-2</v>
      </c>
      <c r="T5719" s="508">
        <v>1.9E-2</v>
      </c>
      <c r="U5719" s="508">
        <v>1.2E-2</v>
      </c>
      <c r="V5719" s="508">
        <v>1.0999999999999999E-2</v>
      </c>
      <c r="W5719" s="508">
        <v>1.0999999999999999E-2</v>
      </c>
      <c r="X5719" s="508">
        <v>8.9999999999999993E-3</v>
      </c>
      <c r="Y5719" s="508">
        <v>8.9999999999999993E-3</v>
      </c>
      <c r="Z5719" s="508">
        <v>7.0000000000000001E-3</v>
      </c>
      <c r="AA5719" s="508">
        <v>7.0000000000000001E-3</v>
      </c>
      <c r="AB5719" s="508">
        <v>6.0000000000000001E-3</v>
      </c>
      <c r="AC5719" s="508">
        <v>6.0000000000000001E-3</v>
      </c>
      <c r="AD5719" s="508">
        <v>6.0000000000000001E-3</v>
      </c>
      <c r="AE5719" s="508">
        <v>6.0000000000000001E-3</v>
      </c>
      <c r="AF5719" s="508">
        <v>4.0000000000000001E-3</v>
      </c>
      <c r="AG5719" s="508">
        <v>3.0000000000000001E-3</v>
      </c>
      <c r="AH5719" s="508">
        <v>3.0000000000000001E-3</v>
      </c>
      <c r="AI5719" s="492">
        <v>3.0000000000000001E-3</v>
      </c>
      <c r="AJ5719" s="485"/>
    </row>
    <row r="5720" spans="2:36">
      <c r="B5720" s="136" t="s">
        <v>472</v>
      </c>
      <c r="C5720" s="132" t="s">
        <v>1369</v>
      </c>
      <c r="D5720" s="132" t="s">
        <v>285</v>
      </c>
      <c r="E5720" s="508">
        <v>0.157</v>
      </c>
      <c r="F5720" s="508">
        <v>0.14799999999999999</v>
      </c>
      <c r="G5720" s="508">
        <v>0.14699999999999999</v>
      </c>
      <c r="H5720" s="508">
        <v>0.124</v>
      </c>
      <c r="I5720" s="508">
        <v>0.124</v>
      </c>
      <c r="J5720" s="508">
        <v>0.13100000000000001</v>
      </c>
      <c r="K5720" s="508">
        <v>7.8E-2</v>
      </c>
      <c r="L5720" s="508">
        <v>7.6999999999999999E-2</v>
      </c>
      <c r="M5720" s="508">
        <v>7.6999999999999999E-2</v>
      </c>
      <c r="N5720" s="508">
        <v>8.4000000000000005E-2</v>
      </c>
      <c r="O5720" s="508">
        <v>6.7000000000000004E-2</v>
      </c>
      <c r="P5720" s="508">
        <v>4.3999999999999997E-2</v>
      </c>
      <c r="Q5720" s="508">
        <v>4.9000000000000002E-2</v>
      </c>
      <c r="R5720" s="508">
        <v>4.1000000000000002E-2</v>
      </c>
      <c r="S5720" s="508">
        <v>3.5000000000000003E-2</v>
      </c>
      <c r="T5720" s="508">
        <v>3.5999999999999997E-2</v>
      </c>
      <c r="U5720" s="508">
        <v>2.1000000000000001E-2</v>
      </c>
      <c r="V5720" s="508">
        <v>0.02</v>
      </c>
      <c r="W5720" s="508">
        <v>1.9E-2</v>
      </c>
      <c r="X5720" s="508">
        <v>1.0999999999999999E-2</v>
      </c>
      <c r="Y5720" s="508">
        <v>1.0999999999999999E-2</v>
      </c>
      <c r="Z5720" s="508">
        <v>8.9999999999999993E-3</v>
      </c>
      <c r="AA5720" s="508">
        <v>8.9999999999999993E-3</v>
      </c>
      <c r="AB5720" s="508">
        <v>8.0000000000000002E-3</v>
      </c>
      <c r="AC5720" s="508">
        <v>8.0000000000000002E-3</v>
      </c>
      <c r="AD5720" s="508">
        <v>7.0000000000000001E-3</v>
      </c>
      <c r="AE5720" s="508">
        <v>6.0000000000000001E-3</v>
      </c>
      <c r="AF5720" s="508">
        <v>4.0000000000000001E-3</v>
      </c>
      <c r="AG5720" s="508">
        <v>4.0000000000000001E-3</v>
      </c>
      <c r="AH5720" s="508">
        <v>4.0000000000000001E-3</v>
      </c>
      <c r="AI5720" s="492">
        <v>4.0000000000000001E-3</v>
      </c>
      <c r="AJ5720" s="485"/>
    </row>
    <row r="5721" spans="2:36">
      <c r="B5721" s="136" t="s">
        <v>473</v>
      </c>
      <c r="C5721" s="132" t="s">
        <v>1369</v>
      </c>
      <c r="D5721" s="132" t="s">
        <v>285</v>
      </c>
      <c r="E5721" s="508">
        <v>0.112</v>
      </c>
      <c r="F5721" s="508">
        <v>0.105</v>
      </c>
      <c r="G5721" s="508">
        <v>0.104</v>
      </c>
      <c r="H5721" s="508">
        <v>8.6999999999999994E-2</v>
      </c>
      <c r="I5721" s="508">
        <v>8.7999999999999995E-2</v>
      </c>
      <c r="J5721" s="508">
        <v>0.09</v>
      </c>
      <c r="K5721" s="508">
        <v>5.7000000000000002E-2</v>
      </c>
      <c r="L5721" s="508">
        <v>5.6000000000000001E-2</v>
      </c>
      <c r="M5721" s="508">
        <v>5.6000000000000001E-2</v>
      </c>
      <c r="N5721" s="508">
        <v>5.6000000000000001E-2</v>
      </c>
      <c r="O5721" s="508">
        <v>4.7E-2</v>
      </c>
      <c r="P5721" s="508">
        <v>3.3000000000000002E-2</v>
      </c>
      <c r="Q5721" s="508">
        <v>3.4000000000000002E-2</v>
      </c>
      <c r="R5721" s="508">
        <v>2.9000000000000001E-2</v>
      </c>
      <c r="S5721" s="508">
        <v>2.7E-2</v>
      </c>
      <c r="T5721" s="508">
        <v>2.5999999999999999E-2</v>
      </c>
      <c r="U5721" s="508">
        <v>1.4999999999999999E-2</v>
      </c>
      <c r="V5721" s="508">
        <v>1.2999999999999999E-2</v>
      </c>
      <c r="W5721" s="508">
        <v>1.2999999999999999E-2</v>
      </c>
      <c r="X5721" s="508">
        <v>8.9999999999999993E-3</v>
      </c>
      <c r="Y5721" s="508">
        <v>8.9999999999999993E-3</v>
      </c>
      <c r="Z5721" s="508">
        <v>7.0000000000000001E-3</v>
      </c>
      <c r="AA5721" s="508">
        <v>7.0000000000000001E-3</v>
      </c>
      <c r="AB5721" s="508">
        <v>6.0000000000000001E-3</v>
      </c>
      <c r="AC5721" s="508">
        <v>6.0000000000000001E-3</v>
      </c>
      <c r="AD5721" s="508">
        <v>5.0000000000000001E-3</v>
      </c>
      <c r="AE5721" s="508">
        <v>5.0000000000000001E-3</v>
      </c>
      <c r="AF5721" s="508">
        <v>3.0000000000000001E-3</v>
      </c>
      <c r="AG5721" s="508">
        <v>3.0000000000000001E-3</v>
      </c>
      <c r="AH5721" s="508">
        <v>3.0000000000000001E-3</v>
      </c>
      <c r="AI5721" s="492">
        <v>3.0000000000000001E-3</v>
      </c>
      <c r="AJ5721" s="485"/>
    </row>
    <row r="5722" spans="2:36">
      <c r="B5722" s="136" t="s">
        <v>474</v>
      </c>
      <c r="C5722" s="132" t="s">
        <v>1369</v>
      </c>
      <c r="D5722" s="132" t="s">
        <v>285</v>
      </c>
      <c r="E5722" s="508">
        <v>7.8E-2</v>
      </c>
      <c r="F5722" s="508">
        <v>7.3999999999999996E-2</v>
      </c>
      <c r="G5722" s="508">
        <v>7.2999999999999995E-2</v>
      </c>
      <c r="H5722" s="508">
        <v>6.0999999999999999E-2</v>
      </c>
      <c r="I5722" s="508">
        <v>6.2E-2</v>
      </c>
      <c r="J5722" s="508">
        <v>6.5000000000000002E-2</v>
      </c>
      <c r="K5722" s="508">
        <v>3.9E-2</v>
      </c>
      <c r="L5722" s="508">
        <v>3.9E-2</v>
      </c>
      <c r="M5722" s="508">
        <v>3.7999999999999999E-2</v>
      </c>
      <c r="N5722" s="508">
        <v>4.1000000000000002E-2</v>
      </c>
      <c r="O5722" s="508">
        <v>3.3000000000000002E-2</v>
      </c>
      <c r="P5722" s="508">
        <v>2.3E-2</v>
      </c>
      <c r="Q5722" s="508">
        <v>2.4E-2</v>
      </c>
      <c r="R5722" s="508">
        <v>2.1000000000000001E-2</v>
      </c>
      <c r="S5722" s="508">
        <v>1.9E-2</v>
      </c>
      <c r="T5722" s="508">
        <v>1.7999999999999999E-2</v>
      </c>
      <c r="U5722" s="508">
        <v>1.0999999999999999E-2</v>
      </c>
      <c r="V5722" s="508">
        <v>0.01</v>
      </c>
      <c r="W5722" s="508">
        <v>0.01</v>
      </c>
      <c r="X5722" s="508">
        <v>8.0000000000000002E-3</v>
      </c>
      <c r="Y5722" s="508">
        <v>8.0000000000000002E-3</v>
      </c>
      <c r="Z5722" s="508">
        <v>7.0000000000000001E-3</v>
      </c>
      <c r="AA5722" s="508">
        <v>7.0000000000000001E-3</v>
      </c>
      <c r="AB5722" s="508">
        <v>6.0000000000000001E-3</v>
      </c>
      <c r="AC5722" s="508">
        <v>6.0000000000000001E-3</v>
      </c>
      <c r="AD5722" s="508">
        <v>5.0000000000000001E-3</v>
      </c>
      <c r="AE5722" s="508">
        <v>5.0000000000000001E-3</v>
      </c>
      <c r="AF5722" s="508">
        <v>3.0000000000000001E-3</v>
      </c>
      <c r="AG5722" s="508">
        <v>3.0000000000000001E-3</v>
      </c>
      <c r="AH5722" s="508">
        <v>3.0000000000000001E-3</v>
      </c>
      <c r="AI5722" s="492">
        <v>3.0000000000000001E-3</v>
      </c>
      <c r="AJ5722" s="485"/>
    </row>
    <row r="5723" spans="2:36">
      <c r="B5723" s="136" t="s">
        <v>475</v>
      </c>
      <c r="C5723" s="132" t="s">
        <v>1369</v>
      </c>
      <c r="D5723" s="132" t="s">
        <v>285</v>
      </c>
      <c r="E5723" s="508">
        <v>0.109</v>
      </c>
      <c r="F5723" s="508">
        <v>0.104</v>
      </c>
      <c r="G5723" s="508">
        <v>0.10299999999999999</v>
      </c>
      <c r="H5723" s="508">
        <v>8.5999999999999993E-2</v>
      </c>
      <c r="I5723" s="508">
        <v>8.5999999999999993E-2</v>
      </c>
      <c r="J5723" s="508">
        <v>9.0999999999999998E-2</v>
      </c>
      <c r="K5723" s="508">
        <v>5.5E-2</v>
      </c>
      <c r="L5723" s="508">
        <v>5.3999999999999999E-2</v>
      </c>
      <c r="M5723" s="508">
        <v>5.3999999999999999E-2</v>
      </c>
      <c r="N5723" s="508">
        <v>5.7000000000000002E-2</v>
      </c>
      <c r="O5723" s="508">
        <v>4.7E-2</v>
      </c>
      <c r="P5723" s="508">
        <v>3.2000000000000001E-2</v>
      </c>
      <c r="Q5723" s="508">
        <v>3.4000000000000002E-2</v>
      </c>
      <c r="R5723" s="508">
        <v>2.9000000000000001E-2</v>
      </c>
      <c r="S5723" s="508">
        <v>2.5999999999999999E-2</v>
      </c>
      <c r="T5723" s="508">
        <v>2.5999999999999999E-2</v>
      </c>
      <c r="U5723" s="508">
        <v>1.4999999999999999E-2</v>
      </c>
      <c r="V5723" s="508">
        <v>1.2999999999999999E-2</v>
      </c>
      <c r="W5723" s="508">
        <v>1.2999999999999999E-2</v>
      </c>
      <c r="X5723" s="508">
        <v>8.9999999999999993E-3</v>
      </c>
      <c r="Y5723" s="508">
        <v>8.9999999999999993E-3</v>
      </c>
      <c r="Z5723" s="508">
        <v>7.0000000000000001E-3</v>
      </c>
      <c r="AA5723" s="508">
        <v>7.0000000000000001E-3</v>
      </c>
      <c r="AB5723" s="508">
        <v>6.0000000000000001E-3</v>
      </c>
      <c r="AC5723" s="508">
        <v>6.0000000000000001E-3</v>
      </c>
      <c r="AD5723" s="508">
        <v>5.0000000000000001E-3</v>
      </c>
      <c r="AE5723" s="508">
        <v>5.0000000000000001E-3</v>
      </c>
      <c r="AF5723" s="508">
        <v>3.0000000000000001E-3</v>
      </c>
      <c r="AG5723" s="508">
        <v>3.0000000000000001E-3</v>
      </c>
      <c r="AH5723" s="508">
        <v>3.0000000000000001E-3</v>
      </c>
      <c r="AI5723" s="492">
        <v>3.0000000000000001E-3</v>
      </c>
      <c r="AJ5723" s="485"/>
    </row>
    <row r="5724" spans="2:36">
      <c r="B5724" s="136" t="s">
        <v>476</v>
      </c>
      <c r="C5724" s="132" t="s">
        <v>1369</v>
      </c>
      <c r="D5724" s="132" t="s">
        <v>285</v>
      </c>
      <c r="E5724" s="508">
        <v>0.112</v>
      </c>
      <c r="F5724" s="508">
        <v>0.106</v>
      </c>
      <c r="G5724" s="508">
        <v>0.105</v>
      </c>
      <c r="H5724" s="508">
        <v>8.6999999999999994E-2</v>
      </c>
      <c r="I5724" s="508">
        <v>8.7999999999999995E-2</v>
      </c>
      <c r="J5724" s="508">
        <v>9.0999999999999998E-2</v>
      </c>
      <c r="K5724" s="508">
        <v>5.7000000000000002E-2</v>
      </c>
      <c r="L5724" s="508">
        <v>5.6000000000000001E-2</v>
      </c>
      <c r="M5724" s="508">
        <v>5.6000000000000001E-2</v>
      </c>
      <c r="N5724" s="508">
        <v>5.6000000000000001E-2</v>
      </c>
      <c r="O5724" s="508">
        <v>4.7E-2</v>
      </c>
      <c r="P5724" s="508">
        <v>3.3000000000000002E-2</v>
      </c>
      <c r="Q5724" s="508">
        <v>3.4000000000000002E-2</v>
      </c>
      <c r="R5724" s="508">
        <v>2.9000000000000001E-2</v>
      </c>
      <c r="S5724" s="508">
        <v>2.7E-2</v>
      </c>
      <c r="T5724" s="508">
        <v>2.5999999999999999E-2</v>
      </c>
      <c r="U5724" s="508">
        <v>1.6E-2</v>
      </c>
      <c r="V5724" s="508">
        <v>1.4E-2</v>
      </c>
      <c r="W5724" s="508">
        <v>1.4999999999999999E-2</v>
      </c>
      <c r="X5724" s="508">
        <v>0.01</v>
      </c>
      <c r="Y5724" s="508">
        <v>0.01</v>
      </c>
      <c r="Z5724" s="508">
        <v>8.0000000000000002E-3</v>
      </c>
      <c r="AA5724" s="508">
        <v>8.0000000000000002E-3</v>
      </c>
      <c r="AB5724" s="508">
        <v>7.0000000000000001E-3</v>
      </c>
      <c r="AC5724" s="508">
        <v>7.0000000000000001E-3</v>
      </c>
      <c r="AD5724" s="508">
        <v>6.0000000000000001E-3</v>
      </c>
      <c r="AE5724" s="508">
        <v>6.0000000000000001E-3</v>
      </c>
      <c r="AF5724" s="508">
        <v>4.0000000000000001E-3</v>
      </c>
      <c r="AG5724" s="508">
        <v>4.0000000000000001E-3</v>
      </c>
      <c r="AH5724" s="508">
        <v>4.0000000000000001E-3</v>
      </c>
      <c r="AI5724" s="492">
        <v>4.0000000000000001E-3</v>
      </c>
      <c r="AJ5724" s="485"/>
    </row>
    <row r="5725" spans="2:36">
      <c r="B5725" s="136" t="s">
        <v>478</v>
      </c>
      <c r="C5725" s="132" t="s">
        <v>1369</v>
      </c>
      <c r="D5725" s="132" t="s">
        <v>285</v>
      </c>
      <c r="E5725" s="508">
        <v>0.12</v>
      </c>
      <c r="F5725" s="508">
        <v>0.115</v>
      </c>
      <c r="G5725" s="508">
        <v>0.113</v>
      </c>
      <c r="H5725" s="508">
        <v>9.2999999999999999E-2</v>
      </c>
      <c r="I5725" s="508">
        <v>9.2999999999999999E-2</v>
      </c>
      <c r="J5725" s="508">
        <v>9.7000000000000003E-2</v>
      </c>
      <c r="K5725" s="508">
        <v>6.0999999999999999E-2</v>
      </c>
      <c r="L5725" s="508">
        <v>6.0999999999999999E-2</v>
      </c>
      <c r="M5725" s="508">
        <v>0.06</v>
      </c>
      <c r="N5725" s="508">
        <v>5.8999999999999997E-2</v>
      </c>
      <c r="O5725" s="508">
        <v>5.0999999999999997E-2</v>
      </c>
      <c r="P5725" s="508">
        <v>3.6999999999999998E-2</v>
      </c>
      <c r="Q5725" s="508">
        <v>3.5999999999999997E-2</v>
      </c>
      <c r="R5725" s="508">
        <v>3.2000000000000001E-2</v>
      </c>
      <c r="S5725" s="508">
        <v>3.1E-2</v>
      </c>
      <c r="T5725" s="508">
        <v>2.9000000000000001E-2</v>
      </c>
      <c r="U5725" s="508">
        <v>1.7000000000000001E-2</v>
      </c>
      <c r="V5725" s="508">
        <v>1.4999999999999999E-2</v>
      </c>
      <c r="W5725" s="508">
        <v>1.4999999999999999E-2</v>
      </c>
      <c r="X5725" s="508">
        <v>0.01</v>
      </c>
      <c r="Y5725" s="508">
        <v>8.9999999999999993E-3</v>
      </c>
      <c r="Z5725" s="508">
        <v>8.0000000000000002E-3</v>
      </c>
      <c r="AA5725" s="508">
        <v>8.0000000000000002E-3</v>
      </c>
      <c r="AB5725" s="508">
        <v>7.0000000000000001E-3</v>
      </c>
      <c r="AC5725" s="508">
        <v>7.0000000000000001E-3</v>
      </c>
      <c r="AD5725" s="508">
        <v>6.0000000000000001E-3</v>
      </c>
      <c r="AE5725" s="508">
        <v>6.0000000000000001E-3</v>
      </c>
      <c r="AF5725" s="508">
        <v>4.0000000000000001E-3</v>
      </c>
      <c r="AG5725" s="508">
        <v>4.0000000000000001E-3</v>
      </c>
      <c r="AH5725" s="508">
        <v>4.0000000000000001E-3</v>
      </c>
      <c r="AI5725" s="492">
        <v>4.0000000000000001E-3</v>
      </c>
      <c r="AJ5725" s="485"/>
    </row>
    <row r="5726" spans="2:36">
      <c r="B5726" s="136" t="s">
        <v>479</v>
      </c>
      <c r="C5726" s="132" t="s">
        <v>1369</v>
      </c>
      <c r="D5726" s="132" t="s">
        <v>285</v>
      </c>
      <c r="E5726" s="508">
        <v>7.2999999999999995E-2</v>
      </c>
      <c r="F5726" s="508">
        <v>6.9000000000000006E-2</v>
      </c>
      <c r="G5726" s="508">
        <v>6.8000000000000005E-2</v>
      </c>
      <c r="H5726" s="508">
        <v>5.7000000000000002E-2</v>
      </c>
      <c r="I5726" s="508">
        <v>5.7000000000000002E-2</v>
      </c>
      <c r="J5726" s="508">
        <v>6.0999999999999999E-2</v>
      </c>
      <c r="K5726" s="508">
        <v>3.5999999999999997E-2</v>
      </c>
      <c r="L5726" s="508">
        <v>3.5999999999999997E-2</v>
      </c>
      <c r="M5726" s="508">
        <v>3.5999999999999997E-2</v>
      </c>
      <c r="N5726" s="508">
        <v>3.7999999999999999E-2</v>
      </c>
      <c r="O5726" s="508">
        <v>3.1E-2</v>
      </c>
      <c r="P5726" s="508">
        <v>2.1000000000000001E-2</v>
      </c>
      <c r="Q5726" s="508">
        <v>2.3E-2</v>
      </c>
      <c r="R5726" s="508">
        <v>1.9E-2</v>
      </c>
      <c r="S5726" s="508">
        <v>1.7999999999999999E-2</v>
      </c>
      <c r="T5726" s="508">
        <v>1.7000000000000001E-2</v>
      </c>
      <c r="U5726" s="508">
        <v>1.0999999999999999E-2</v>
      </c>
      <c r="V5726" s="508">
        <v>0.01</v>
      </c>
      <c r="W5726" s="508">
        <v>0.01</v>
      </c>
      <c r="X5726" s="508">
        <v>8.9999999999999993E-3</v>
      </c>
      <c r="Y5726" s="508">
        <v>8.9999999999999993E-3</v>
      </c>
      <c r="Z5726" s="508">
        <v>7.0000000000000001E-3</v>
      </c>
      <c r="AA5726" s="508">
        <v>7.0000000000000001E-3</v>
      </c>
      <c r="AB5726" s="508">
        <v>6.0000000000000001E-3</v>
      </c>
      <c r="AC5726" s="508">
        <v>6.0000000000000001E-3</v>
      </c>
      <c r="AD5726" s="508">
        <v>5.0000000000000001E-3</v>
      </c>
      <c r="AE5726" s="508">
        <v>5.0000000000000001E-3</v>
      </c>
      <c r="AF5726" s="508">
        <v>3.0000000000000001E-3</v>
      </c>
      <c r="AG5726" s="508">
        <v>3.0000000000000001E-3</v>
      </c>
      <c r="AH5726" s="508">
        <v>3.0000000000000001E-3</v>
      </c>
      <c r="AI5726" s="492">
        <v>3.0000000000000001E-3</v>
      </c>
      <c r="AJ5726" s="485"/>
    </row>
    <row r="5727" spans="2:36">
      <c r="B5727" s="136" t="s">
        <v>480</v>
      </c>
      <c r="C5727" s="132" t="s">
        <v>1369</v>
      </c>
      <c r="D5727" s="132" t="s">
        <v>285</v>
      </c>
      <c r="E5727" s="508">
        <v>0.13200000000000001</v>
      </c>
      <c r="F5727" s="508">
        <v>0.126</v>
      </c>
      <c r="G5727" s="508">
        <v>0.125</v>
      </c>
      <c r="H5727" s="508">
        <v>0.104</v>
      </c>
      <c r="I5727" s="508">
        <v>0.104</v>
      </c>
      <c r="J5727" s="508">
        <v>0.112</v>
      </c>
      <c r="K5727" s="508">
        <v>6.6000000000000003E-2</v>
      </c>
      <c r="L5727" s="508">
        <v>6.5000000000000002E-2</v>
      </c>
      <c r="M5727" s="508">
        <v>6.4000000000000001E-2</v>
      </c>
      <c r="N5727" s="508">
        <v>7.0000000000000007E-2</v>
      </c>
      <c r="O5727" s="508">
        <v>5.7000000000000002E-2</v>
      </c>
      <c r="P5727" s="508">
        <v>3.7999999999999999E-2</v>
      </c>
      <c r="Q5727" s="508">
        <v>4.1000000000000002E-2</v>
      </c>
      <c r="R5727" s="508">
        <v>3.5000000000000003E-2</v>
      </c>
      <c r="S5727" s="508">
        <v>3.1E-2</v>
      </c>
      <c r="T5727" s="508">
        <v>3.1E-2</v>
      </c>
      <c r="U5727" s="508">
        <v>1.7999999999999999E-2</v>
      </c>
      <c r="V5727" s="508">
        <v>1.7000000000000001E-2</v>
      </c>
      <c r="W5727" s="508">
        <v>1.7000000000000001E-2</v>
      </c>
      <c r="X5727" s="508">
        <v>0.01</v>
      </c>
      <c r="Y5727" s="508">
        <v>0.01</v>
      </c>
      <c r="Z5727" s="508">
        <v>8.0000000000000002E-3</v>
      </c>
      <c r="AA5727" s="508">
        <v>8.0000000000000002E-3</v>
      </c>
      <c r="AB5727" s="508">
        <v>7.0000000000000001E-3</v>
      </c>
      <c r="AC5727" s="508">
        <v>7.0000000000000001E-3</v>
      </c>
      <c r="AD5727" s="508">
        <v>6.0000000000000001E-3</v>
      </c>
      <c r="AE5727" s="508">
        <v>6.0000000000000001E-3</v>
      </c>
      <c r="AF5727" s="508">
        <v>4.0000000000000001E-3</v>
      </c>
      <c r="AG5727" s="508">
        <v>4.0000000000000001E-3</v>
      </c>
      <c r="AH5727" s="508">
        <v>4.0000000000000001E-3</v>
      </c>
      <c r="AI5727" s="492">
        <v>4.0000000000000001E-3</v>
      </c>
      <c r="AJ5727" s="485"/>
    </row>
    <row r="5728" spans="2:36">
      <c r="B5728" s="136" t="s">
        <v>481</v>
      </c>
      <c r="C5728" s="132" t="s">
        <v>1369</v>
      </c>
      <c r="D5728" s="132" t="s">
        <v>285</v>
      </c>
      <c r="E5728" s="508">
        <v>8.5000000000000006E-2</v>
      </c>
      <c r="F5728" s="508">
        <v>8.1000000000000003E-2</v>
      </c>
      <c r="G5728" s="508">
        <v>0.08</v>
      </c>
      <c r="H5728" s="508">
        <v>6.7000000000000004E-2</v>
      </c>
      <c r="I5728" s="508">
        <v>6.7000000000000004E-2</v>
      </c>
      <c r="J5728" s="508">
        <v>7.0999999999999994E-2</v>
      </c>
      <c r="K5728" s="508">
        <v>4.2999999999999997E-2</v>
      </c>
      <c r="L5728" s="508">
        <v>4.2000000000000003E-2</v>
      </c>
      <c r="M5728" s="508">
        <v>4.2000000000000003E-2</v>
      </c>
      <c r="N5728" s="508">
        <v>4.3999999999999997E-2</v>
      </c>
      <c r="O5728" s="508">
        <v>3.5999999999999997E-2</v>
      </c>
      <c r="P5728" s="508">
        <v>2.5000000000000001E-2</v>
      </c>
      <c r="Q5728" s="508">
        <v>2.5999999999999999E-2</v>
      </c>
      <c r="R5728" s="508">
        <v>2.3E-2</v>
      </c>
      <c r="S5728" s="508">
        <v>2.1000000000000001E-2</v>
      </c>
      <c r="T5728" s="508">
        <v>0.02</v>
      </c>
      <c r="U5728" s="508">
        <v>1.2E-2</v>
      </c>
      <c r="V5728" s="508">
        <v>1.0999999999999999E-2</v>
      </c>
      <c r="W5728" s="508">
        <v>1.0999999999999999E-2</v>
      </c>
      <c r="X5728" s="508">
        <v>8.9999999999999993E-3</v>
      </c>
      <c r="Y5728" s="508">
        <v>8.9999999999999993E-3</v>
      </c>
      <c r="Z5728" s="508">
        <v>7.0000000000000001E-3</v>
      </c>
      <c r="AA5728" s="508">
        <v>7.0000000000000001E-3</v>
      </c>
      <c r="AB5728" s="508">
        <v>6.0000000000000001E-3</v>
      </c>
      <c r="AC5728" s="508">
        <v>6.0000000000000001E-3</v>
      </c>
      <c r="AD5728" s="508">
        <v>5.0000000000000001E-3</v>
      </c>
      <c r="AE5728" s="508">
        <v>5.0000000000000001E-3</v>
      </c>
      <c r="AF5728" s="508">
        <v>3.0000000000000001E-3</v>
      </c>
      <c r="AG5728" s="508">
        <v>3.0000000000000001E-3</v>
      </c>
      <c r="AH5728" s="508">
        <v>3.0000000000000001E-3</v>
      </c>
      <c r="AI5728" s="492">
        <v>3.0000000000000001E-3</v>
      </c>
      <c r="AJ5728" s="485"/>
    </row>
    <row r="5729" spans="2:36">
      <c r="B5729" s="136" t="s">
        <v>482</v>
      </c>
      <c r="C5729" s="132" t="s">
        <v>1369</v>
      </c>
      <c r="D5729" s="132" t="s">
        <v>285</v>
      </c>
      <c r="E5729" s="508">
        <v>6.2E-2</v>
      </c>
      <c r="F5729" s="508">
        <v>0.06</v>
      </c>
      <c r="G5729" s="508">
        <v>5.8999999999999997E-2</v>
      </c>
      <c r="H5729" s="508">
        <v>4.9000000000000002E-2</v>
      </c>
      <c r="I5729" s="508">
        <v>4.9000000000000002E-2</v>
      </c>
      <c r="J5729" s="508">
        <v>5.2999999999999999E-2</v>
      </c>
      <c r="K5729" s="508">
        <v>3.1E-2</v>
      </c>
      <c r="L5729" s="508">
        <v>3.1E-2</v>
      </c>
      <c r="M5729" s="508">
        <v>3.1E-2</v>
      </c>
      <c r="N5729" s="508">
        <v>3.2000000000000001E-2</v>
      </c>
      <c r="O5729" s="508">
        <v>2.7E-2</v>
      </c>
      <c r="P5729" s="508">
        <v>1.9E-2</v>
      </c>
      <c r="Q5729" s="508">
        <v>0.02</v>
      </c>
      <c r="R5729" s="508">
        <v>1.7000000000000001E-2</v>
      </c>
      <c r="S5729" s="508">
        <v>1.6E-2</v>
      </c>
      <c r="T5729" s="508">
        <v>1.6E-2</v>
      </c>
      <c r="U5729" s="508">
        <v>0.01</v>
      </c>
      <c r="V5729" s="508">
        <v>8.0000000000000002E-3</v>
      </c>
      <c r="W5729" s="508">
        <v>8.9999999999999993E-3</v>
      </c>
      <c r="X5729" s="508">
        <v>8.0000000000000002E-3</v>
      </c>
      <c r="Y5729" s="508">
        <v>8.0000000000000002E-3</v>
      </c>
      <c r="Z5729" s="508">
        <v>7.0000000000000001E-3</v>
      </c>
      <c r="AA5729" s="508">
        <v>6.0000000000000001E-3</v>
      </c>
      <c r="AB5729" s="508">
        <v>6.0000000000000001E-3</v>
      </c>
      <c r="AC5729" s="508">
        <v>6.0000000000000001E-3</v>
      </c>
      <c r="AD5729" s="508">
        <v>5.0000000000000001E-3</v>
      </c>
      <c r="AE5729" s="508">
        <v>5.0000000000000001E-3</v>
      </c>
      <c r="AF5729" s="508">
        <v>3.0000000000000001E-3</v>
      </c>
      <c r="AG5729" s="508">
        <v>3.0000000000000001E-3</v>
      </c>
      <c r="AH5729" s="508">
        <v>3.0000000000000001E-3</v>
      </c>
      <c r="AI5729" s="492">
        <v>3.0000000000000001E-3</v>
      </c>
      <c r="AJ5729" s="485"/>
    </row>
    <row r="5730" spans="2:36">
      <c r="B5730" s="136" t="s">
        <v>483</v>
      </c>
      <c r="C5730" s="132" t="s">
        <v>1369</v>
      </c>
      <c r="D5730" s="132" t="s">
        <v>285</v>
      </c>
      <c r="E5730" s="508">
        <v>0.114</v>
      </c>
      <c r="F5730" s="508">
        <v>0.108</v>
      </c>
      <c r="G5730" s="508">
        <v>0.107</v>
      </c>
      <c r="H5730" s="508">
        <v>8.8999999999999996E-2</v>
      </c>
      <c r="I5730" s="508">
        <v>8.8999999999999996E-2</v>
      </c>
      <c r="J5730" s="508">
        <v>9.1999999999999998E-2</v>
      </c>
      <c r="K5730" s="508">
        <v>5.8000000000000003E-2</v>
      </c>
      <c r="L5730" s="508">
        <v>5.8000000000000003E-2</v>
      </c>
      <c r="M5730" s="508">
        <v>5.7000000000000002E-2</v>
      </c>
      <c r="N5730" s="508">
        <v>5.6000000000000001E-2</v>
      </c>
      <c r="O5730" s="508">
        <v>4.8000000000000001E-2</v>
      </c>
      <c r="P5730" s="508">
        <v>3.4000000000000002E-2</v>
      </c>
      <c r="Q5730" s="508">
        <v>3.5000000000000003E-2</v>
      </c>
      <c r="R5730" s="508">
        <v>0.03</v>
      </c>
      <c r="S5730" s="508">
        <v>2.9000000000000001E-2</v>
      </c>
      <c r="T5730" s="508">
        <v>2.7E-2</v>
      </c>
      <c r="U5730" s="508">
        <v>1.6E-2</v>
      </c>
      <c r="V5730" s="508">
        <v>1.4E-2</v>
      </c>
      <c r="W5730" s="508">
        <v>1.4E-2</v>
      </c>
      <c r="X5730" s="508">
        <v>8.9999999999999993E-3</v>
      </c>
      <c r="Y5730" s="508">
        <v>8.9999999999999993E-3</v>
      </c>
      <c r="Z5730" s="508">
        <v>8.0000000000000002E-3</v>
      </c>
      <c r="AA5730" s="508">
        <v>7.0000000000000001E-3</v>
      </c>
      <c r="AB5730" s="508">
        <v>7.0000000000000001E-3</v>
      </c>
      <c r="AC5730" s="508">
        <v>6.0000000000000001E-3</v>
      </c>
      <c r="AD5730" s="508">
        <v>6.0000000000000001E-3</v>
      </c>
      <c r="AE5730" s="508">
        <v>6.0000000000000001E-3</v>
      </c>
      <c r="AF5730" s="508">
        <v>4.0000000000000001E-3</v>
      </c>
      <c r="AG5730" s="508">
        <v>3.0000000000000001E-3</v>
      </c>
      <c r="AH5730" s="508">
        <v>3.0000000000000001E-3</v>
      </c>
      <c r="AI5730" s="492">
        <v>3.0000000000000001E-3</v>
      </c>
      <c r="AJ5730" s="485"/>
    </row>
    <row r="5731" spans="2:36">
      <c r="B5731" s="136" t="s">
        <v>484</v>
      </c>
      <c r="C5731" s="132" t="s">
        <v>1369</v>
      </c>
      <c r="D5731" s="132" t="s">
        <v>285</v>
      </c>
      <c r="E5731" s="508">
        <v>0.13900000000000001</v>
      </c>
      <c r="F5731" s="508">
        <v>0.13200000000000001</v>
      </c>
      <c r="G5731" s="508">
        <v>0.13100000000000001</v>
      </c>
      <c r="H5731" s="508">
        <v>0.11</v>
      </c>
      <c r="I5731" s="508">
        <v>0.11</v>
      </c>
      <c r="J5731" s="508">
        <v>0.11700000000000001</v>
      </c>
      <c r="K5731" s="508">
        <v>6.9000000000000006E-2</v>
      </c>
      <c r="L5731" s="508">
        <v>6.9000000000000006E-2</v>
      </c>
      <c r="M5731" s="508">
        <v>6.8000000000000005E-2</v>
      </c>
      <c r="N5731" s="508">
        <v>7.3999999999999996E-2</v>
      </c>
      <c r="O5731" s="508">
        <v>0.06</v>
      </c>
      <c r="P5731" s="508">
        <v>0.04</v>
      </c>
      <c r="Q5731" s="508">
        <v>4.2999999999999997E-2</v>
      </c>
      <c r="R5731" s="508">
        <v>3.5999999999999997E-2</v>
      </c>
      <c r="S5731" s="508">
        <v>3.2000000000000001E-2</v>
      </c>
      <c r="T5731" s="508">
        <v>3.2000000000000001E-2</v>
      </c>
      <c r="U5731" s="508">
        <v>0.02</v>
      </c>
      <c r="V5731" s="508">
        <v>1.9E-2</v>
      </c>
      <c r="W5731" s="508">
        <v>1.7999999999999999E-2</v>
      </c>
      <c r="X5731" s="508">
        <v>1.0999999999999999E-2</v>
      </c>
      <c r="Y5731" s="508">
        <v>1.0999999999999999E-2</v>
      </c>
      <c r="Z5731" s="508">
        <v>8.9999999999999993E-3</v>
      </c>
      <c r="AA5731" s="508">
        <v>8.9999999999999993E-3</v>
      </c>
      <c r="AB5731" s="508">
        <v>8.0000000000000002E-3</v>
      </c>
      <c r="AC5731" s="508">
        <v>8.0000000000000002E-3</v>
      </c>
      <c r="AD5731" s="508">
        <v>7.0000000000000001E-3</v>
      </c>
      <c r="AE5731" s="508">
        <v>7.0000000000000001E-3</v>
      </c>
      <c r="AF5731" s="508">
        <v>4.0000000000000001E-3</v>
      </c>
      <c r="AG5731" s="508">
        <v>4.0000000000000001E-3</v>
      </c>
      <c r="AH5731" s="508">
        <v>4.0000000000000001E-3</v>
      </c>
      <c r="AI5731" s="492">
        <v>4.0000000000000001E-3</v>
      </c>
      <c r="AJ5731" s="485"/>
    </row>
    <row r="5732" spans="2:36">
      <c r="B5732" s="136" t="s">
        <v>486</v>
      </c>
      <c r="C5732" s="132" t="s">
        <v>1369</v>
      </c>
      <c r="D5732" s="132" t="s">
        <v>285</v>
      </c>
      <c r="E5732" s="508">
        <v>9.1999999999999998E-2</v>
      </c>
      <c r="F5732" s="508">
        <v>8.7999999999999995E-2</v>
      </c>
      <c r="G5732" s="508">
        <v>8.6999999999999994E-2</v>
      </c>
      <c r="H5732" s="508">
        <v>7.1999999999999995E-2</v>
      </c>
      <c r="I5732" s="508">
        <v>7.2999999999999995E-2</v>
      </c>
      <c r="J5732" s="508">
        <v>7.6999999999999999E-2</v>
      </c>
      <c r="K5732" s="508">
        <v>4.7E-2</v>
      </c>
      <c r="L5732" s="508">
        <v>4.5999999999999999E-2</v>
      </c>
      <c r="M5732" s="508">
        <v>4.5999999999999999E-2</v>
      </c>
      <c r="N5732" s="508">
        <v>4.7E-2</v>
      </c>
      <c r="O5732" s="508">
        <v>0.04</v>
      </c>
      <c r="P5732" s="508">
        <v>2.8000000000000001E-2</v>
      </c>
      <c r="Q5732" s="508">
        <v>2.9000000000000001E-2</v>
      </c>
      <c r="R5732" s="508">
        <v>2.5000000000000001E-2</v>
      </c>
      <c r="S5732" s="508">
        <v>2.3E-2</v>
      </c>
      <c r="T5732" s="508">
        <v>2.1999999999999999E-2</v>
      </c>
      <c r="U5732" s="508">
        <v>1.4E-2</v>
      </c>
      <c r="V5732" s="508">
        <v>1.2E-2</v>
      </c>
      <c r="W5732" s="508">
        <v>1.2999999999999999E-2</v>
      </c>
      <c r="X5732" s="508">
        <v>8.9999999999999993E-3</v>
      </c>
      <c r="Y5732" s="508">
        <v>8.9999999999999993E-3</v>
      </c>
      <c r="Z5732" s="508">
        <v>7.0000000000000001E-3</v>
      </c>
      <c r="AA5732" s="508">
        <v>7.0000000000000001E-3</v>
      </c>
      <c r="AB5732" s="508">
        <v>6.0000000000000001E-3</v>
      </c>
      <c r="AC5732" s="508">
        <v>6.0000000000000001E-3</v>
      </c>
      <c r="AD5732" s="508">
        <v>6.0000000000000001E-3</v>
      </c>
      <c r="AE5732" s="508">
        <v>6.0000000000000001E-3</v>
      </c>
      <c r="AF5732" s="508">
        <v>4.0000000000000001E-3</v>
      </c>
      <c r="AG5732" s="508">
        <v>4.0000000000000001E-3</v>
      </c>
      <c r="AH5732" s="508">
        <v>3.0000000000000001E-3</v>
      </c>
      <c r="AI5732" s="492">
        <v>3.0000000000000001E-3</v>
      </c>
      <c r="AJ5732" s="485"/>
    </row>
    <row r="5733" spans="2:36">
      <c r="B5733" s="136" t="s">
        <v>487</v>
      </c>
      <c r="C5733" s="132" t="s">
        <v>1369</v>
      </c>
      <c r="D5733" s="132" t="s">
        <v>285</v>
      </c>
      <c r="E5733" s="508">
        <v>0.12</v>
      </c>
      <c r="F5733" s="508">
        <v>0.115</v>
      </c>
      <c r="G5733" s="508">
        <v>0.114</v>
      </c>
      <c r="H5733" s="508">
        <v>9.4E-2</v>
      </c>
      <c r="I5733" s="508">
        <v>9.4E-2</v>
      </c>
      <c r="J5733" s="508">
        <v>9.9000000000000005E-2</v>
      </c>
      <c r="K5733" s="508">
        <v>6.0999999999999999E-2</v>
      </c>
      <c r="L5733" s="508">
        <v>0.06</v>
      </c>
      <c r="M5733" s="508">
        <v>0.06</v>
      </c>
      <c r="N5733" s="508">
        <v>0.06</v>
      </c>
      <c r="O5733" s="508">
        <v>5.1999999999999998E-2</v>
      </c>
      <c r="P5733" s="508">
        <v>3.5999999999999997E-2</v>
      </c>
      <c r="Q5733" s="508">
        <v>3.6999999999999998E-2</v>
      </c>
      <c r="R5733" s="508">
        <v>3.2000000000000001E-2</v>
      </c>
      <c r="S5733" s="508">
        <v>0.03</v>
      </c>
      <c r="T5733" s="508">
        <v>2.9000000000000001E-2</v>
      </c>
      <c r="U5733" s="508">
        <v>1.7000000000000001E-2</v>
      </c>
      <c r="V5733" s="508">
        <v>1.4999999999999999E-2</v>
      </c>
      <c r="W5733" s="508">
        <v>1.4999999999999999E-2</v>
      </c>
      <c r="X5733" s="508">
        <v>0.01</v>
      </c>
      <c r="Y5733" s="508">
        <v>8.9999999999999993E-3</v>
      </c>
      <c r="Z5733" s="508">
        <v>8.0000000000000002E-3</v>
      </c>
      <c r="AA5733" s="508">
        <v>8.0000000000000002E-3</v>
      </c>
      <c r="AB5733" s="508">
        <v>7.0000000000000001E-3</v>
      </c>
      <c r="AC5733" s="508">
        <v>7.0000000000000001E-3</v>
      </c>
      <c r="AD5733" s="508">
        <v>6.0000000000000001E-3</v>
      </c>
      <c r="AE5733" s="508">
        <v>6.0000000000000001E-3</v>
      </c>
      <c r="AF5733" s="508">
        <v>4.0000000000000001E-3</v>
      </c>
      <c r="AG5733" s="508">
        <v>4.0000000000000001E-3</v>
      </c>
      <c r="AH5733" s="508">
        <v>4.0000000000000001E-3</v>
      </c>
      <c r="AI5733" s="492">
        <v>4.0000000000000001E-3</v>
      </c>
      <c r="AJ5733" s="485"/>
    </row>
    <row r="5734" spans="2:36">
      <c r="B5734" s="136" t="s">
        <v>488</v>
      </c>
      <c r="C5734" s="132" t="s">
        <v>1369</v>
      </c>
      <c r="D5734" s="132" t="s">
        <v>285</v>
      </c>
      <c r="E5734" s="508">
        <v>0.10299999999999999</v>
      </c>
      <c r="F5734" s="508">
        <v>9.8000000000000004E-2</v>
      </c>
      <c r="G5734" s="508">
        <v>9.7000000000000003E-2</v>
      </c>
      <c r="H5734" s="508">
        <v>8.1000000000000003E-2</v>
      </c>
      <c r="I5734" s="508">
        <v>8.1000000000000003E-2</v>
      </c>
      <c r="J5734" s="508">
        <v>8.6999999999999994E-2</v>
      </c>
      <c r="K5734" s="508">
        <v>5.0999999999999997E-2</v>
      </c>
      <c r="L5734" s="508">
        <v>5.0999999999999997E-2</v>
      </c>
      <c r="M5734" s="508">
        <v>0.05</v>
      </c>
      <c r="N5734" s="508">
        <v>5.3999999999999999E-2</v>
      </c>
      <c r="O5734" s="508">
        <v>4.3999999999999997E-2</v>
      </c>
      <c r="P5734" s="508">
        <v>0.03</v>
      </c>
      <c r="Q5734" s="508">
        <v>3.2000000000000001E-2</v>
      </c>
      <c r="R5734" s="508">
        <v>2.7E-2</v>
      </c>
      <c r="S5734" s="508">
        <v>2.5000000000000001E-2</v>
      </c>
      <c r="T5734" s="508">
        <v>2.5000000000000001E-2</v>
      </c>
      <c r="U5734" s="508">
        <v>1.4E-2</v>
      </c>
      <c r="V5734" s="508">
        <v>1.2999999999999999E-2</v>
      </c>
      <c r="W5734" s="508">
        <v>1.2999999999999999E-2</v>
      </c>
      <c r="X5734" s="508">
        <v>8.9999999999999993E-3</v>
      </c>
      <c r="Y5734" s="508">
        <v>8.9999999999999993E-3</v>
      </c>
      <c r="Z5734" s="508">
        <v>7.0000000000000001E-3</v>
      </c>
      <c r="AA5734" s="508">
        <v>7.0000000000000001E-3</v>
      </c>
      <c r="AB5734" s="508">
        <v>6.0000000000000001E-3</v>
      </c>
      <c r="AC5734" s="508">
        <v>6.0000000000000001E-3</v>
      </c>
      <c r="AD5734" s="508">
        <v>5.0000000000000001E-3</v>
      </c>
      <c r="AE5734" s="508">
        <v>5.0000000000000001E-3</v>
      </c>
      <c r="AF5734" s="508">
        <v>3.0000000000000001E-3</v>
      </c>
      <c r="AG5734" s="508">
        <v>3.0000000000000001E-3</v>
      </c>
      <c r="AH5734" s="508">
        <v>3.0000000000000001E-3</v>
      </c>
      <c r="AI5734" s="492">
        <v>3.0000000000000001E-3</v>
      </c>
      <c r="AJ5734" s="485"/>
    </row>
    <row r="5735" spans="2:36">
      <c r="B5735" s="136" t="s">
        <v>489</v>
      </c>
      <c r="C5735" s="132" t="s">
        <v>1369</v>
      </c>
      <c r="D5735" s="132" t="s">
        <v>285</v>
      </c>
      <c r="E5735" s="508">
        <v>0.13500000000000001</v>
      </c>
      <c r="F5735" s="508">
        <v>0.128</v>
      </c>
      <c r="G5735" s="508">
        <v>0.127</v>
      </c>
      <c r="H5735" s="508">
        <v>0.106</v>
      </c>
      <c r="I5735" s="508">
        <v>0.106</v>
      </c>
      <c r="J5735" s="508">
        <v>0.112</v>
      </c>
      <c r="K5735" s="508">
        <v>6.8000000000000005E-2</v>
      </c>
      <c r="L5735" s="508">
        <v>6.7000000000000004E-2</v>
      </c>
      <c r="M5735" s="508">
        <v>6.7000000000000004E-2</v>
      </c>
      <c r="N5735" s="508">
        <v>7.0000000000000007E-2</v>
      </c>
      <c r="O5735" s="508">
        <v>5.7000000000000002E-2</v>
      </c>
      <c r="P5735" s="508">
        <v>3.9E-2</v>
      </c>
      <c r="Q5735" s="508">
        <v>4.2000000000000003E-2</v>
      </c>
      <c r="R5735" s="508">
        <v>3.5000000000000003E-2</v>
      </c>
      <c r="S5735" s="508">
        <v>3.2000000000000001E-2</v>
      </c>
      <c r="T5735" s="508">
        <v>3.1E-2</v>
      </c>
      <c r="U5735" s="508">
        <v>1.7999999999999999E-2</v>
      </c>
      <c r="V5735" s="508">
        <v>1.7000000000000001E-2</v>
      </c>
      <c r="W5735" s="508">
        <v>1.7000000000000001E-2</v>
      </c>
      <c r="X5735" s="508">
        <v>0.01</v>
      </c>
      <c r="Y5735" s="508">
        <v>0.01</v>
      </c>
      <c r="Z5735" s="508">
        <v>8.0000000000000002E-3</v>
      </c>
      <c r="AA5735" s="508">
        <v>8.0000000000000002E-3</v>
      </c>
      <c r="AB5735" s="508">
        <v>7.0000000000000001E-3</v>
      </c>
      <c r="AC5735" s="508">
        <v>7.0000000000000001E-3</v>
      </c>
      <c r="AD5735" s="508">
        <v>6.0000000000000001E-3</v>
      </c>
      <c r="AE5735" s="508">
        <v>6.0000000000000001E-3</v>
      </c>
      <c r="AF5735" s="508">
        <v>4.0000000000000001E-3</v>
      </c>
      <c r="AG5735" s="508">
        <v>4.0000000000000001E-3</v>
      </c>
      <c r="AH5735" s="508">
        <v>4.0000000000000001E-3</v>
      </c>
      <c r="AI5735" s="492">
        <v>4.0000000000000001E-3</v>
      </c>
      <c r="AJ5735" s="485"/>
    </row>
    <row r="5736" spans="2:36">
      <c r="B5736" s="136" t="s">
        <v>490</v>
      </c>
      <c r="C5736" s="132" t="s">
        <v>1369</v>
      </c>
      <c r="D5736" s="132" t="s">
        <v>285</v>
      </c>
      <c r="E5736" s="508">
        <v>0.14099999999999999</v>
      </c>
      <c r="F5736" s="508">
        <v>0.13500000000000001</v>
      </c>
      <c r="G5736" s="508">
        <v>0.13300000000000001</v>
      </c>
      <c r="H5736" s="508">
        <v>0.11</v>
      </c>
      <c r="I5736" s="508">
        <v>0.111</v>
      </c>
      <c r="J5736" s="508">
        <v>0.11899999999999999</v>
      </c>
      <c r="K5736" s="508">
        <v>7.0000000000000007E-2</v>
      </c>
      <c r="L5736" s="508">
        <v>7.0000000000000007E-2</v>
      </c>
      <c r="M5736" s="508">
        <v>6.9000000000000006E-2</v>
      </c>
      <c r="N5736" s="508">
        <v>7.2999999999999995E-2</v>
      </c>
      <c r="O5736" s="508">
        <v>6.0999999999999999E-2</v>
      </c>
      <c r="P5736" s="508">
        <v>0.04</v>
      </c>
      <c r="Q5736" s="508">
        <v>4.3999999999999997E-2</v>
      </c>
      <c r="R5736" s="508">
        <v>3.6999999999999998E-2</v>
      </c>
      <c r="S5736" s="508">
        <v>3.3000000000000002E-2</v>
      </c>
      <c r="T5736" s="508">
        <v>3.3000000000000002E-2</v>
      </c>
      <c r="U5736" s="508">
        <v>1.7999999999999999E-2</v>
      </c>
      <c r="V5736" s="508">
        <v>1.7000000000000001E-2</v>
      </c>
      <c r="W5736" s="508">
        <v>1.7000000000000001E-2</v>
      </c>
      <c r="X5736" s="508">
        <v>0.01</v>
      </c>
      <c r="Y5736" s="508">
        <v>0.01</v>
      </c>
      <c r="Z5736" s="508">
        <v>8.0000000000000002E-3</v>
      </c>
      <c r="AA5736" s="508">
        <v>8.0000000000000002E-3</v>
      </c>
      <c r="AB5736" s="508">
        <v>7.0000000000000001E-3</v>
      </c>
      <c r="AC5736" s="508">
        <v>7.0000000000000001E-3</v>
      </c>
      <c r="AD5736" s="508">
        <v>6.0000000000000001E-3</v>
      </c>
      <c r="AE5736" s="508">
        <v>6.0000000000000001E-3</v>
      </c>
      <c r="AF5736" s="508">
        <v>4.0000000000000001E-3</v>
      </c>
      <c r="AG5736" s="508">
        <v>4.0000000000000001E-3</v>
      </c>
      <c r="AH5736" s="508">
        <v>4.0000000000000001E-3</v>
      </c>
      <c r="AI5736" s="492">
        <v>4.0000000000000001E-3</v>
      </c>
      <c r="AJ5736" s="485"/>
    </row>
    <row r="5737" spans="2:36">
      <c r="B5737" s="136" t="s">
        <v>435</v>
      </c>
      <c r="C5737" s="132" t="s">
        <v>1370</v>
      </c>
      <c r="D5737" s="132" t="s">
        <v>285</v>
      </c>
      <c r="E5737" s="508">
        <v>2.6459999999999999</v>
      </c>
      <c r="F5737" s="508">
        <v>2.617</v>
      </c>
      <c r="G5737" s="508">
        <v>2.4849999999999999</v>
      </c>
      <c r="H5737" s="508">
        <v>1.0569999999999999</v>
      </c>
      <c r="I5737" s="508">
        <v>1.1120000000000001</v>
      </c>
      <c r="J5737" s="508">
        <v>1.0549999999999999</v>
      </c>
      <c r="K5737" s="508">
        <v>1.01</v>
      </c>
      <c r="L5737" s="508">
        <v>1.042</v>
      </c>
      <c r="M5737" s="508">
        <v>1.0629999999999999</v>
      </c>
      <c r="N5737" s="508">
        <v>1.091</v>
      </c>
      <c r="O5737" s="508">
        <v>1.103</v>
      </c>
      <c r="P5737" s="508">
        <v>1.0660000000000001</v>
      </c>
      <c r="Q5737" s="508">
        <v>1.0609999999999999</v>
      </c>
      <c r="R5737" s="508">
        <v>0.71399999999999997</v>
      </c>
      <c r="S5737" s="508">
        <v>0.71</v>
      </c>
      <c r="T5737" s="508">
        <v>0.68799999999999994</v>
      </c>
      <c r="U5737" s="508">
        <v>0.72199999999999998</v>
      </c>
      <c r="V5737" s="508">
        <v>0.72799999999999998</v>
      </c>
      <c r="W5737" s="508">
        <v>0.66</v>
      </c>
      <c r="X5737" s="508">
        <v>0.65700000000000003</v>
      </c>
      <c r="Y5737" s="508">
        <v>0.65800000000000003</v>
      </c>
      <c r="Z5737" s="508">
        <v>0.65900000000000003</v>
      </c>
      <c r="AA5737" s="508">
        <v>3.5000000000000003E-2</v>
      </c>
      <c r="AB5737" s="508">
        <v>3.5000000000000003E-2</v>
      </c>
      <c r="AC5737" s="508">
        <v>3.5999999999999997E-2</v>
      </c>
      <c r="AD5737" s="508">
        <v>3.3000000000000002E-2</v>
      </c>
      <c r="AE5737" s="508">
        <v>3.3000000000000002E-2</v>
      </c>
      <c r="AF5737" s="508">
        <v>2.1999999999999999E-2</v>
      </c>
      <c r="AG5737" s="508">
        <v>2.1000000000000001E-2</v>
      </c>
      <c r="AH5737" s="508">
        <v>2.1000000000000001E-2</v>
      </c>
      <c r="AI5737" s="492">
        <v>2.1000000000000001E-2</v>
      </c>
      <c r="AJ5737" s="485"/>
    </row>
    <row r="5738" spans="2:36">
      <c r="B5738" s="136" t="s">
        <v>436</v>
      </c>
      <c r="C5738" s="132" t="s">
        <v>1370</v>
      </c>
      <c r="D5738" s="132" t="s">
        <v>285</v>
      </c>
      <c r="E5738" s="508">
        <v>2.585</v>
      </c>
      <c r="F5738" s="508">
        <v>2.5579999999999998</v>
      </c>
      <c r="G5738" s="508">
        <v>2.4260000000000002</v>
      </c>
      <c r="H5738" s="508">
        <v>1.026</v>
      </c>
      <c r="I5738" s="508">
        <v>1.0760000000000001</v>
      </c>
      <c r="J5738" s="508">
        <v>1.024</v>
      </c>
      <c r="K5738" s="508">
        <v>0.98399999999999999</v>
      </c>
      <c r="L5738" s="508">
        <v>1.0189999999999999</v>
      </c>
      <c r="M5738" s="508">
        <v>1.0409999999999999</v>
      </c>
      <c r="N5738" s="508">
        <v>1.0589999999999999</v>
      </c>
      <c r="O5738" s="508">
        <v>1.069</v>
      </c>
      <c r="P5738" s="508">
        <v>1.0389999999999999</v>
      </c>
      <c r="Q5738" s="508">
        <v>1.0349999999999999</v>
      </c>
      <c r="R5738" s="508">
        <v>0.68400000000000005</v>
      </c>
      <c r="S5738" s="508">
        <v>0.68100000000000005</v>
      </c>
      <c r="T5738" s="508">
        <v>0.65900000000000003</v>
      </c>
      <c r="U5738" s="508">
        <v>0.69199999999999995</v>
      </c>
      <c r="V5738" s="508">
        <v>0.69799999999999995</v>
      </c>
      <c r="W5738" s="508">
        <v>0.63300000000000001</v>
      </c>
      <c r="X5738" s="508">
        <v>0.63</v>
      </c>
      <c r="Y5738" s="508">
        <v>0.63100000000000001</v>
      </c>
      <c r="Z5738" s="508">
        <v>0.63200000000000001</v>
      </c>
      <c r="AA5738" s="508">
        <v>3.4000000000000002E-2</v>
      </c>
      <c r="AB5738" s="508">
        <v>3.4000000000000002E-2</v>
      </c>
      <c r="AC5738" s="508">
        <v>3.4000000000000002E-2</v>
      </c>
      <c r="AD5738" s="508">
        <v>3.2000000000000001E-2</v>
      </c>
      <c r="AE5738" s="508">
        <v>3.2000000000000001E-2</v>
      </c>
      <c r="AF5738" s="508">
        <v>2.1000000000000001E-2</v>
      </c>
      <c r="AG5738" s="508">
        <v>0.02</v>
      </c>
      <c r="AH5738" s="508">
        <v>0.02</v>
      </c>
      <c r="AI5738" s="492">
        <v>0.02</v>
      </c>
      <c r="AJ5738" s="485"/>
    </row>
    <row r="5739" spans="2:36">
      <c r="B5739" s="136" t="s">
        <v>437</v>
      </c>
      <c r="C5739" s="132" t="s">
        <v>1370</v>
      </c>
      <c r="D5739" s="132" t="s">
        <v>285</v>
      </c>
      <c r="E5739" s="508">
        <v>2.6520000000000001</v>
      </c>
      <c r="F5739" s="508">
        <v>2.6240000000000001</v>
      </c>
      <c r="G5739" s="508">
        <v>2.4900000000000002</v>
      </c>
      <c r="H5739" s="508">
        <v>1.0720000000000001</v>
      </c>
      <c r="I5739" s="508">
        <v>1.125</v>
      </c>
      <c r="J5739" s="508">
        <v>1.069</v>
      </c>
      <c r="K5739" s="508">
        <v>1.0229999999999999</v>
      </c>
      <c r="L5739" s="508">
        <v>1.056</v>
      </c>
      <c r="M5739" s="508">
        <v>1.0780000000000001</v>
      </c>
      <c r="N5739" s="508">
        <v>1.1160000000000001</v>
      </c>
      <c r="O5739" s="508">
        <v>1.127</v>
      </c>
      <c r="P5739" s="508">
        <v>1.0940000000000001</v>
      </c>
      <c r="Q5739" s="508">
        <v>1.089</v>
      </c>
      <c r="R5739" s="508">
        <v>0.71899999999999997</v>
      </c>
      <c r="S5739" s="508">
        <v>0.71599999999999997</v>
      </c>
      <c r="T5739" s="508">
        <v>0.69199999999999995</v>
      </c>
      <c r="U5739" s="508">
        <v>0.72799999999999998</v>
      </c>
      <c r="V5739" s="508">
        <v>0.73399999999999999</v>
      </c>
      <c r="W5739" s="508">
        <v>0.66500000000000004</v>
      </c>
      <c r="X5739" s="508">
        <v>0.66300000000000003</v>
      </c>
      <c r="Y5739" s="508">
        <v>0.66400000000000003</v>
      </c>
      <c r="Z5739" s="508">
        <v>0.66500000000000004</v>
      </c>
      <c r="AA5739" s="508">
        <v>3.5999999999999997E-2</v>
      </c>
      <c r="AB5739" s="508">
        <v>3.5999999999999997E-2</v>
      </c>
      <c r="AC5739" s="508">
        <v>3.5999999999999997E-2</v>
      </c>
      <c r="AD5739" s="508">
        <v>3.4000000000000002E-2</v>
      </c>
      <c r="AE5739" s="508">
        <v>3.4000000000000002E-2</v>
      </c>
      <c r="AF5739" s="508">
        <v>2.1999999999999999E-2</v>
      </c>
      <c r="AG5739" s="508">
        <v>2.1000000000000001E-2</v>
      </c>
      <c r="AH5739" s="508">
        <v>2.1000000000000001E-2</v>
      </c>
      <c r="AI5739" s="492">
        <v>2.1000000000000001E-2</v>
      </c>
      <c r="AJ5739" s="485"/>
    </row>
    <row r="5740" spans="2:36">
      <c r="B5740" s="136" t="s">
        <v>438</v>
      </c>
      <c r="C5740" s="132" t="s">
        <v>1370</v>
      </c>
      <c r="D5740" s="132" t="s">
        <v>285</v>
      </c>
      <c r="E5740" s="508">
        <v>2.57</v>
      </c>
      <c r="F5740" s="508">
        <v>2.5430000000000001</v>
      </c>
      <c r="G5740" s="508">
        <v>2.411</v>
      </c>
      <c r="H5740" s="508">
        <v>1.0129999999999999</v>
      </c>
      <c r="I5740" s="508">
        <v>1.0629999999999999</v>
      </c>
      <c r="J5740" s="508">
        <v>1.0109999999999999</v>
      </c>
      <c r="K5740" s="508">
        <v>0.97299999999999998</v>
      </c>
      <c r="L5740" s="508">
        <v>1.0069999999999999</v>
      </c>
      <c r="M5740" s="508">
        <v>1.03</v>
      </c>
      <c r="N5740" s="508">
        <v>1.042</v>
      </c>
      <c r="O5740" s="508">
        <v>1.0509999999999999</v>
      </c>
      <c r="P5740" s="508">
        <v>1.0209999999999999</v>
      </c>
      <c r="Q5740" s="508">
        <v>1.0169999999999999</v>
      </c>
      <c r="R5740" s="508">
        <v>0.67500000000000004</v>
      </c>
      <c r="S5740" s="508">
        <v>0.67200000000000004</v>
      </c>
      <c r="T5740" s="508">
        <v>0.65</v>
      </c>
      <c r="U5740" s="508">
        <v>0.68300000000000005</v>
      </c>
      <c r="V5740" s="508">
        <v>0.68899999999999995</v>
      </c>
      <c r="W5740" s="508">
        <v>0.624</v>
      </c>
      <c r="X5740" s="508">
        <v>0.622</v>
      </c>
      <c r="Y5740" s="508">
        <v>0.623</v>
      </c>
      <c r="Z5740" s="508">
        <v>0.623</v>
      </c>
      <c r="AA5740" s="508">
        <v>3.4000000000000002E-2</v>
      </c>
      <c r="AB5740" s="508">
        <v>3.4000000000000002E-2</v>
      </c>
      <c r="AC5740" s="508">
        <v>3.4000000000000002E-2</v>
      </c>
      <c r="AD5740" s="508">
        <v>3.2000000000000001E-2</v>
      </c>
      <c r="AE5740" s="508">
        <v>3.2000000000000001E-2</v>
      </c>
      <c r="AF5740" s="508">
        <v>2.1000000000000001E-2</v>
      </c>
      <c r="AG5740" s="508">
        <v>0.02</v>
      </c>
      <c r="AH5740" s="508">
        <v>0.02</v>
      </c>
      <c r="AI5740" s="492">
        <v>0.02</v>
      </c>
      <c r="AJ5740" s="485"/>
    </row>
    <row r="5741" spans="2:36">
      <c r="B5741" s="136" t="s">
        <v>439</v>
      </c>
      <c r="C5741" s="132" t="s">
        <v>1370</v>
      </c>
      <c r="D5741" s="132" t="s">
        <v>285</v>
      </c>
      <c r="E5741" s="508">
        <v>2.665</v>
      </c>
      <c r="F5741" s="508">
        <v>2.6360000000000001</v>
      </c>
      <c r="G5741" s="508">
        <v>2.5019999999999998</v>
      </c>
      <c r="H5741" s="508">
        <v>1.0780000000000001</v>
      </c>
      <c r="I5741" s="508">
        <v>1.1319999999999999</v>
      </c>
      <c r="J5741" s="508">
        <v>1.0760000000000001</v>
      </c>
      <c r="K5741" s="508">
        <v>1.028</v>
      </c>
      <c r="L5741" s="508">
        <v>1.0609999999999999</v>
      </c>
      <c r="M5741" s="508">
        <v>1.083</v>
      </c>
      <c r="N5741" s="508">
        <v>1.125</v>
      </c>
      <c r="O5741" s="508">
        <v>1.135</v>
      </c>
      <c r="P5741" s="508">
        <v>1.1020000000000001</v>
      </c>
      <c r="Q5741" s="508">
        <v>1.0980000000000001</v>
      </c>
      <c r="R5741" s="508">
        <v>0.72299999999999998</v>
      </c>
      <c r="S5741" s="508">
        <v>0.72</v>
      </c>
      <c r="T5741" s="508">
        <v>0.69599999999999995</v>
      </c>
      <c r="U5741" s="508">
        <v>0.73199999999999998</v>
      </c>
      <c r="V5741" s="508">
        <v>0.73799999999999999</v>
      </c>
      <c r="W5741" s="508">
        <v>0.66900000000000004</v>
      </c>
      <c r="X5741" s="508">
        <v>0.66600000000000004</v>
      </c>
      <c r="Y5741" s="508">
        <v>0.66800000000000004</v>
      </c>
      <c r="Z5741" s="508">
        <v>0.66800000000000004</v>
      </c>
      <c r="AA5741" s="508">
        <v>3.5999999999999997E-2</v>
      </c>
      <c r="AB5741" s="508">
        <v>3.5999999999999997E-2</v>
      </c>
      <c r="AC5741" s="508">
        <v>3.5999999999999997E-2</v>
      </c>
      <c r="AD5741" s="508">
        <v>3.4000000000000002E-2</v>
      </c>
      <c r="AE5741" s="508">
        <v>3.4000000000000002E-2</v>
      </c>
      <c r="AF5741" s="508">
        <v>2.1999999999999999E-2</v>
      </c>
      <c r="AG5741" s="508">
        <v>2.1000000000000001E-2</v>
      </c>
      <c r="AH5741" s="508">
        <v>2.1000000000000001E-2</v>
      </c>
      <c r="AI5741" s="492">
        <v>2.1000000000000001E-2</v>
      </c>
      <c r="AJ5741" s="485"/>
    </row>
    <row r="5742" spans="2:36">
      <c r="B5742" s="136" t="s">
        <v>440</v>
      </c>
      <c r="C5742" s="132" t="s">
        <v>1370</v>
      </c>
      <c r="D5742" s="132" t="s">
        <v>285</v>
      </c>
      <c r="E5742" s="508">
        <v>2.6339999999999999</v>
      </c>
      <c r="F5742" s="508">
        <v>2.6059999999999999</v>
      </c>
      <c r="G5742" s="508">
        <v>2.4729999999999999</v>
      </c>
      <c r="H5742" s="508">
        <v>1.0569999999999999</v>
      </c>
      <c r="I5742" s="508">
        <v>1.1100000000000001</v>
      </c>
      <c r="J5742" s="508">
        <v>1.0549999999999999</v>
      </c>
      <c r="K5742" s="508">
        <v>1.01</v>
      </c>
      <c r="L5742" s="508">
        <v>1.044</v>
      </c>
      <c r="M5742" s="508">
        <v>1.0660000000000001</v>
      </c>
      <c r="N5742" s="508">
        <v>1.0980000000000001</v>
      </c>
      <c r="O5742" s="508">
        <v>1.1080000000000001</v>
      </c>
      <c r="P5742" s="508">
        <v>1.075</v>
      </c>
      <c r="Q5742" s="508">
        <v>1.071</v>
      </c>
      <c r="R5742" s="508">
        <v>0.70899999999999996</v>
      </c>
      <c r="S5742" s="508">
        <v>0.70499999999999996</v>
      </c>
      <c r="T5742" s="508">
        <v>0.68200000000000005</v>
      </c>
      <c r="U5742" s="508">
        <v>0.71699999999999997</v>
      </c>
      <c r="V5742" s="508">
        <v>0.72299999999999998</v>
      </c>
      <c r="W5742" s="508">
        <v>0.65500000000000003</v>
      </c>
      <c r="X5742" s="508">
        <v>0.65300000000000002</v>
      </c>
      <c r="Y5742" s="508">
        <v>0.65400000000000003</v>
      </c>
      <c r="Z5742" s="508">
        <v>0.65500000000000003</v>
      </c>
      <c r="AA5742" s="508">
        <v>3.5000000000000003E-2</v>
      </c>
      <c r="AB5742" s="508">
        <v>3.5000000000000003E-2</v>
      </c>
      <c r="AC5742" s="508">
        <v>3.5000000000000003E-2</v>
      </c>
      <c r="AD5742" s="508">
        <v>3.3000000000000002E-2</v>
      </c>
      <c r="AE5742" s="508">
        <v>3.3000000000000002E-2</v>
      </c>
      <c r="AF5742" s="508">
        <v>2.1999999999999999E-2</v>
      </c>
      <c r="AG5742" s="508">
        <v>2.1000000000000001E-2</v>
      </c>
      <c r="AH5742" s="508">
        <v>2.1000000000000001E-2</v>
      </c>
      <c r="AI5742" s="492">
        <v>2.1000000000000001E-2</v>
      </c>
      <c r="AJ5742" s="485"/>
    </row>
    <row r="5743" spans="2:36">
      <c r="B5743" s="136" t="s">
        <v>441</v>
      </c>
      <c r="C5743" s="132" t="s">
        <v>1370</v>
      </c>
      <c r="D5743" s="132" t="s">
        <v>285</v>
      </c>
      <c r="E5743" s="508">
        <v>2.673</v>
      </c>
      <c r="F5743" s="508">
        <v>2.6440000000000001</v>
      </c>
      <c r="G5743" s="508">
        <v>2.5099999999999998</v>
      </c>
      <c r="H5743" s="508">
        <v>1.0840000000000001</v>
      </c>
      <c r="I5743" s="508">
        <v>1.137</v>
      </c>
      <c r="J5743" s="508">
        <v>1.081</v>
      </c>
      <c r="K5743" s="508">
        <v>1.032</v>
      </c>
      <c r="L5743" s="508">
        <v>1.0649999999999999</v>
      </c>
      <c r="M5743" s="508">
        <v>1.0880000000000001</v>
      </c>
      <c r="N5743" s="508">
        <v>1.1319999999999999</v>
      </c>
      <c r="O5743" s="508">
        <v>1.143</v>
      </c>
      <c r="P5743" s="508">
        <v>1.109</v>
      </c>
      <c r="Q5743" s="508">
        <v>1.105</v>
      </c>
      <c r="R5743" s="508">
        <v>0.72699999999999998</v>
      </c>
      <c r="S5743" s="508">
        <v>0.72299999999999998</v>
      </c>
      <c r="T5743" s="508">
        <v>0.7</v>
      </c>
      <c r="U5743" s="508">
        <v>0.73599999999999999</v>
      </c>
      <c r="V5743" s="508">
        <v>0.74199999999999999</v>
      </c>
      <c r="W5743" s="508">
        <v>0.67200000000000004</v>
      </c>
      <c r="X5743" s="508">
        <v>0.67</v>
      </c>
      <c r="Y5743" s="508">
        <v>0.67100000000000004</v>
      </c>
      <c r="Z5743" s="508">
        <v>0.67200000000000004</v>
      </c>
      <c r="AA5743" s="508">
        <v>3.5999999999999997E-2</v>
      </c>
      <c r="AB5743" s="508">
        <v>3.5999999999999997E-2</v>
      </c>
      <c r="AC5743" s="508">
        <v>3.5999999999999997E-2</v>
      </c>
      <c r="AD5743" s="508">
        <v>3.4000000000000002E-2</v>
      </c>
      <c r="AE5743" s="508">
        <v>3.4000000000000002E-2</v>
      </c>
      <c r="AF5743" s="508">
        <v>2.1999999999999999E-2</v>
      </c>
      <c r="AG5743" s="508">
        <v>2.1000000000000001E-2</v>
      </c>
      <c r="AH5743" s="508">
        <v>2.1000000000000001E-2</v>
      </c>
      <c r="AI5743" s="492">
        <v>2.1000000000000001E-2</v>
      </c>
      <c r="AJ5743" s="485"/>
    </row>
    <row r="5744" spans="2:36">
      <c r="B5744" s="136" t="s">
        <v>443</v>
      </c>
      <c r="C5744" s="132" t="s">
        <v>1370</v>
      </c>
      <c r="D5744" s="132" t="s">
        <v>285</v>
      </c>
      <c r="E5744" s="508">
        <v>2.7509999999999999</v>
      </c>
      <c r="F5744" s="508">
        <v>2.7210000000000001</v>
      </c>
      <c r="G5744" s="508">
        <v>2.5880000000000001</v>
      </c>
      <c r="H5744" s="508">
        <v>1.117</v>
      </c>
      <c r="I5744" s="508">
        <v>1.18</v>
      </c>
      <c r="J5744" s="508">
        <v>1.115</v>
      </c>
      <c r="K5744" s="508">
        <v>1.0589999999999999</v>
      </c>
      <c r="L5744" s="508">
        <v>1.089</v>
      </c>
      <c r="M5744" s="508">
        <v>1.1080000000000001</v>
      </c>
      <c r="N5744" s="508">
        <v>1.1579999999999999</v>
      </c>
      <c r="O5744" s="508">
        <v>1.173</v>
      </c>
      <c r="P5744" s="508">
        <v>1.127</v>
      </c>
      <c r="Q5744" s="508">
        <v>1.121</v>
      </c>
      <c r="R5744" s="508">
        <v>0.76600000000000001</v>
      </c>
      <c r="S5744" s="508">
        <v>0.76300000000000001</v>
      </c>
      <c r="T5744" s="508">
        <v>0.73899999999999999</v>
      </c>
      <c r="U5744" s="508">
        <v>0.77500000000000002</v>
      </c>
      <c r="V5744" s="508">
        <v>0.78100000000000003</v>
      </c>
      <c r="W5744" s="508">
        <v>0.70799999999999996</v>
      </c>
      <c r="X5744" s="508">
        <v>0.70499999999999996</v>
      </c>
      <c r="Y5744" s="508">
        <v>0.70599999999999996</v>
      </c>
      <c r="Z5744" s="508">
        <v>0.70699999999999996</v>
      </c>
      <c r="AA5744" s="508">
        <v>3.6999999999999998E-2</v>
      </c>
      <c r="AB5744" s="508">
        <v>3.6999999999999998E-2</v>
      </c>
      <c r="AC5744" s="508">
        <v>3.7999999999999999E-2</v>
      </c>
      <c r="AD5744" s="508">
        <v>3.5000000000000003E-2</v>
      </c>
      <c r="AE5744" s="508">
        <v>3.5000000000000003E-2</v>
      </c>
      <c r="AF5744" s="508">
        <v>2.3E-2</v>
      </c>
      <c r="AG5744" s="508">
        <v>2.1999999999999999E-2</v>
      </c>
      <c r="AH5744" s="508">
        <v>2.1999999999999999E-2</v>
      </c>
      <c r="AI5744" s="492">
        <v>2.1999999999999999E-2</v>
      </c>
      <c r="AJ5744" s="485"/>
    </row>
    <row r="5745" spans="2:36">
      <c r="B5745" s="136" t="s">
        <v>445</v>
      </c>
      <c r="C5745" s="132" t="s">
        <v>1370</v>
      </c>
      <c r="D5745" s="132" t="s">
        <v>285</v>
      </c>
      <c r="E5745" s="508">
        <v>2.9060000000000001</v>
      </c>
      <c r="F5745" s="508">
        <v>2.8740000000000001</v>
      </c>
      <c r="G5745" s="508">
        <v>2.7370000000000001</v>
      </c>
      <c r="H5745" s="508">
        <v>1.23</v>
      </c>
      <c r="I5745" s="508">
        <v>1.298</v>
      </c>
      <c r="J5745" s="508">
        <v>1.2270000000000001</v>
      </c>
      <c r="K5745" s="508">
        <v>1.1559999999999999</v>
      </c>
      <c r="L5745" s="508">
        <v>1.1830000000000001</v>
      </c>
      <c r="M5745" s="508">
        <v>1.202</v>
      </c>
      <c r="N5745" s="508">
        <v>1.3029999999999999</v>
      </c>
      <c r="O5745" s="508">
        <v>1.319</v>
      </c>
      <c r="P5745" s="508">
        <v>1.268</v>
      </c>
      <c r="Q5745" s="508">
        <v>1.2609999999999999</v>
      </c>
      <c r="R5745" s="508">
        <v>0.85099999999999998</v>
      </c>
      <c r="S5745" s="508">
        <v>0.84699999999999998</v>
      </c>
      <c r="T5745" s="508">
        <v>0.81899999999999995</v>
      </c>
      <c r="U5745" s="508">
        <v>0.86099999999999999</v>
      </c>
      <c r="V5745" s="508">
        <v>0.86799999999999999</v>
      </c>
      <c r="W5745" s="508">
        <v>0.78700000000000003</v>
      </c>
      <c r="X5745" s="508">
        <v>0.78400000000000003</v>
      </c>
      <c r="Y5745" s="508">
        <v>0.78500000000000003</v>
      </c>
      <c r="Z5745" s="508">
        <v>0.78600000000000003</v>
      </c>
      <c r="AA5745" s="508">
        <v>4.1000000000000002E-2</v>
      </c>
      <c r="AB5745" s="508">
        <v>4.1000000000000002E-2</v>
      </c>
      <c r="AC5745" s="508">
        <v>4.1000000000000002E-2</v>
      </c>
      <c r="AD5745" s="508">
        <v>3.9E-2</v>
      </c>
      <c r="AE5745" s="508">
        <v>3.9E-2</v>
      </c>
      <c r="AF5745" s="508">
        <v>2.5000000000000001E-2</v>
      </c>
      <c r="AG5745" s="508">
        <v>2.4E-2</v>
      </c>
      <c r="AH5745" s="508">
        <v>2.4E-2</v>
      </c>
      <c r="AI5745" s="492">
        <v>2.4E-2</v>
      </c>
      <c r="AJ5745" s="485"/>
    </row>
    <row r="5746" spans="2:36">
      <c r="B5746" s="136" t="s">
        <v>446</v>
      </c>
      <c r="C5746" s="132" t="s">
        <v>1370</v>
      </c>
      <c r="D5746" s="132" t="s">
        <v>285</v>
      </c>
      <c r="E5746" s="508">
        <v>2.7679999999999998</v>
      </c>
      <c r="F5746" s="508">
        <v>2.738</v>
      </c>
      <c r="G5746" s="508">
        <v>2.6030000000000002</v>
      </c>
      <c r="H5746" s="508">
        <v>1.141</v>
      </c>
      <c r="I5746" s="508">
        <v>1.202</v>
      </c>
      <c r="J5746" s="508">
        <v>1.139</v>
      </c>
      <c r="K5746" s="508">
        <v>1.081</v>
      </c>
      <c r="L5746" s="508">
        <v>1.1120000000000001</v>
      </c>
      <c r="M5746" s="508">
        <v>1.1319999999999999</v>
      </c>
      <c r="N5746" s="508">
        <v>1.196</v>
      </c>
      <c r="O5746" s="508">
        <v>1.21</v>
      </c>
      <c r="P5746" s="508">
        <v>1.167</v>
      </c>
      <c r="Q5746" s="508">
        <v>1.1619999999999999</v>
      </c>
      <c r="R5746" s="508">
        <v>0.77900000000000003</v>
      </c>
      <c r="S5746" s="508">
        <v>0.77500000000000002</v>
      </c>
      <c r="T5746" s="508">
        <v>0.75</v>
      </c>
      <c r="U5746" s="508">
        <v>0.78800000000000003</v>
      </c>
      <c r="V5746" s="508">
        <v>0.79500000000000004</v>
      </c>
      <c r="W5746" s="508">
        <v>0.72</v>
      </c>
      <c r="X5746" s="508">
        <v>0.71799999999999997</v>
      </c>
      <c r="Y5746" s="508">
        <v>0.71899999999999997</v>
      </c>
      <c r="Z5746" s="508">
        <v>0.72</v>
      </c>
      <c r="AA5746" s="508">
        <v>3.7999999999999999E-2</v>
      </c>
      <c r="AB5746" s="508">
        <v>3.7999999999999999E-2</v>
      </c>
      <c r="AC5746" s="508">
        <v>3.7999999999999999E-2</v>
      </c>
      <c r="AD5746" s="508">
        <v>3.5999999999999997E-2</v>
      </c>
      <c r="AE5746" s="508">
        <v>3.5999999999999997E-2</v>
      </c>
      <c r="AF5746" s="508">
        <v>2.3E-2</v>
      </c>
      <c r="AG5746" s="508">
        <v>2.1999999999999999E-2</v>
      </c>
      <c r="AH5746" s="508">
        <v>2.1999999999999999E-2</v>
      </c>
      <c r="AI5746" s="492">
        <v>2.1999999999999999E-2</v>
      </c>
      <c r="AJ5746" s="485"/>
    </row>
    <row r="5747" spans="2:36">
      <c r="B5747" s="136" t="s">
        <v>448</v>
      </c>
      <c r="C5747" s="132" t="s">
        <v>1370</v>
      </c>
      <c r="D5747" s="132" t="s">
        <v>285</v>
      </c>
      <c r="E5747" s="508">
        <v>2.6</v>
      </c>
      <c r="F5747" s="508">
        <v>2.573</v>
      </c>
      <c r="G5747" s="508">
        <v>2.44</v>
      </c>
      <c r="H5747" s="508">
        <v>1.032</v>
      </c>
      <c r="I5747" s="508">
        <v>1.0840000000000001</v>
      </c>
      <c r="J5747" s="508">
        <v>1.03</v>
      </c>
      <c r="K5747" s="508">
        <v>0.98899999999999999</v>
      </c>
      <c r="L5747" s="508">
        <v>1.0229999999999999</v>
      </c>
      <c r="M5747" s="508">
        <v>1.0449999999999999</v>
      </c>
      <c r="N5747" s="508">
        <v>1.0649999999999999</v>
      </c>
      <c r="O5747" s="508">
        <v>1.075</v>
      </c>
      <c r="P5747" s="508">
        <v>1.0429999999999999</v>
      </c>
      <c r="Q5747" s="508">
        <v>1.0389999999999999</v>
      </c>
      <c r="R5747" s="508">
        <v>0.69</v>
      </c>
      <c r="S5747" s="508">
        <v>0.68700000000000006</v>
      </c>
      <c r="T5747" s="508">
        <v>0.66500000000000004</v>
      </c>
      <c r="U5747" s="508">
        <v>0.69899999999999995</v>
      </c>
      <c r="V5747" s="508">
        <v>0.70399999999999996</v>
      </c>
      <c r="W5747" s="508">
        <v>0.63800000000000001</v>
      </c>
      <c r="X5747" s="508">
        <v>0.63600000000000001</v>
      </c>
      <c r="Y5747" s="508">
        <v>0.63700000000000001</v>
      </c>
      <c r="Z5747" s="508">
        <v>0.63800000000000001</v>
      </c>
      <c r="AA5747" s="508">
        <v>3.4000000000000002E-2</v>
      </c>
      <c r="AB5747" s="508">
        <v>3.4000000000000002E-2</v>
      </c>
      <c r="AC5747" s="508">
        <v>3.5000000000000003E-2</v>
      </c>
      <c r="AD5747" s="508">
        <v>3.3000000000000002E-2</v>
      </c>
      <c r="AE5747" s="508">
        <v>3.3000000000000002E-2</v>
      </c>
      <c r="AF5747" s="508">
        <v>2.1000000000000001E-2</v>
      </c>
      <c r="AG5747" s="508">
        <v>0.02</v>
      </c>
      <c r="AH5747" s="508">
        <v>0.02</v>
      </c>
      <c r="AI5747" s="492">
        <v>0.02</v>
      </c>
      <c r="AJ5747" s="485"/>
    </row>
    <row r="5748" spans="2:36">
      <c r="B5748" s="136" t="s">
        <v>449</v>
      </c>
      <c r="C5748" s="132" t="s">
        <v>1370</v>
      </c>
      <c r="D5748" s="132" t="s">
        <v>285</v>
      </c>
      <c r="E5748" s="508">
        <v>2.7570000000000001</v>
      </c>
      <c r="F5748" s="508">
        <v>2.7269999999999999</v>
      </c>
      <c r="G5748" s="508">
        <v>2.593</v>
      </c>
      <c r="H5748" s="508">
        <v>1.127</v>
      </c>
      <c r="I5748" s="508">
        <v>1.1879999999999999</v>
      </c>
      <c r="J5748" s="508">
        <v>1.1240000000000001</v>
      </c>
      <c r="K5748" s="508">
        <v>1.0680000000000001</v>
      </c>
      <c r="L5748" s="508">
        <v>1.097</v>
      </c>
      <c r="M5748" s="508">
        <v>1.117</v>
      </c>
      <c r="N5748" s="508">
        <v>1.173</v>
      </c>
      <c r="O5748" s="508">
        <v>1.1870000000000001</v>
      </c>
      <c r="P5748" s="508">
        <v>1.143</v>
      </c>
      <c r="Q5748" s="508">
        <v>1.1379999999999999</v>
      </c>
      <c r="R5748" s="508">
        <v>0.77</v>
      </c>
      <c r="S5748" s="508">
        <v>0.76700000000000002</v>
      </c>
      <c r="T5748" s="508">
        <v>0.74299999999999999</v>
      </c>
      <c r="U5748" s="508">
        <v>0.77900000000000003</v>
      </c>
      <c r="V5748" s="508">
        <v>0.78600000000000003</v>
      </c>
      <c r="W5748" s="508">
        <v>0.71199999999999997</v>
      </c>
      <c r="X5748" s="508">
        <v>0.70899999999999996</v>
      </c>
      <c r="Y5748" s="508">
        <v>0.71</v>
      </c>
      <c r="Z5748" s="508">
        <v>0.71099999999999997</v>
      </c>
      <c r="AA5748" s="508">
        <v>3.7999999999999999E-2</v>
      </c>
      <c r="AB5748" s="508">
        <v>3.7999999999999999E-2</v>
      </c>
      <c r="AC5748" s="508">
        <v>3.7999999999999999E-2</v>
      </c>
      <c r="AD5748" s="508">
        <v>3.5999999999999997E-2</v>
      </c>
      <c r="AE5748" s="508">
        <v>3.5999999999999997E-2</v>
      </c>
      <c r="AF5748" s="508">
        <v>2.3E-2</v>
      </c>
      <c r="AG5748" s="508">
        <v>2.1999999999999999E-2</v>
      </c>
      <c r="AH5748" s="508">
        <v>2.1999999999999999E-2</v>
      </c>
      <c r="AI5748" s="492">
        <v>2.1999999999999999E-2</v>
      </c>
      <c r="AJ5748" s="485"/>
    </row>
    <row r="5749" spans="2:36">
      <c r="B5749" s="136" t="s">
        <v>450</v>
      </c>
      <c r="C5749" s="132" t="s">
        <v>1370</v>
      </c>
      <c r="D5749" s="132" t="s">
        <v>285</v>
      </c>
      <c r="E5749" s="508">
        <v>2.5960000000000001</v>
      </c>
      <c r="F5749" s="508">
        <v>2.569</v>
      </c>
      <c r="G5749" s="508">
        <v>2.4369999999999998</v>
      </c>
      <c r="H5749" s="508">
        <v>1.028</v>
      </c>
      <c r="I5749" s="508">
        <v>1.08</v>
      </c>
      <c r="J5749" s="508">
        <v>1.0269999999999999</v>
      </c>
      <c r="K5749" s="508">
        <v>0.98599999999999999</v>
      </c>
      <c r="L5749" s="508">
        <v>1.0189999999999999</v>
      </c>
      <c r="M5749" s="508">
        <v>1.042</v>
      </c>
      <c r="N5749" s="508">
        <v>1.0589999999999999</v>
      </c>
      <c r="O5749" s="508">
        <v>1.069</v>
      </c>
      <c r="P5749" s="508">
        <v>1.0369999999999999</v>
      </c>
      <c r="Q5749" s="508">
        <v>1.032</v>
      </c>
      <c r="R5749" s="508">
        <v>0.68899999999999995</v>
      </c>
      <c r="S5749" s="508">
        <v>0.68600000000000005</v>
      </c>
      <c r="T5749" s="508">
        <v>0.66400000000000003</v>
      </c>
      <c r="U5749" s="508">
        <v>0.69699999999999995</v>
      </c>
      <c r="V5749" s="508">
        <v>0.70299999999999996</v>
      </c>
      <c r="W5749" s="508">
        <v>0.63700000000000001</v>
      </c>
      <c r="X5749" s="508">
        <v>0.63400000000000001</v>
      </c>
      <c r="Y5749" s="508">
        <v>0.63600000000000001</v>
      </c>
      <c r="Z5749" s="508">
        <v>0.63600000000000001</v>
      </c>
      <c r="AA5749" s="508">
        <v>3.4000000000000002E-2</v>
      </c>
      <c r="AB5749" s="508">
        <v>3.4000000000000002E-2</v>
      </c>
      <c r="AC5749" s="508">
        <v>3.5000000000000003E-2</v>
      </c>
      <c r="AD5749" s="508">
        <v>3.3000000000000002E-2</v>
      </c>
      <c r="AE5749" s="508">
        <v>3.2000000000000001E-2</v>
      </c>
      <c r="AF5749" s="508">
        <v>2.1000000000000001E-2</v>
      </c>
      <c r="AG5749" s="508">
        <v>0.02</v>
      </c>
      <c r="AH5749" s="508">
        <v>0.02</v>
      </c>
      <c r="AI5749" s="492">
        <v>0.02</v>
      </c>
      <c r="AJ5749" s="485"/>
    </row>
    <row r="5750" spans="2:36">
      <c r="B5750" s="136" t="s">
        <v>451</v>
      </c>
      <c r="C5750" s="132" t="s">
        <v>1370</v>
      </c>
      <c r="D5750" s="132" t="s">
        <v>285</v>
      </c>
      <c r="E5750" s="508">
        <v>2.802</v>
      </c>
      <c r="F5750" s="508">
        <v>2.7709999999999999</v>
      </c>
      <c r="G5750" s="508">
        <v>2.6349999999999998</v>
      </c>
      <c r="H5750" s="508">
        <v>1.165</v>
      </c>
      <c r="I5750" s="508">
        <v>1.2270000000000001</v>
      </c>
      <c r="J5750" s="508">
        <v>1.1619999999999999</v>
      </c>
      <c r="K5750" s="508">
        <v>1.101</v>
      </c>
      <c r="L5750" s="508">
        <v>1.131</v>
      </c>
      <c r="M5750" s="508">
        <v>1.151</v>
      </c>
      <c r="N5750" s="508">
        <v>1.2270000000000001</v>
      </c>
      <c r="O5750" s="508">
        <v>1.2410000000000001</v>
      </c>
      <c r="P5750" s="508">
        <v>1.1970000000000001</v>
      </c>
      <c r="Q5750" s="508">
        <v>1.1919999999999999</v>
      </c>
      <c r="R5750" s="508">
        <v>0.79600000000000004</v>
      </c>
      <c r="S5750" s="508">
        <v>0.79200000000000004</v>
      </c>
      <c r="T5750" s="508">
        <v>0.76600000000000001</v>
      </c>
      <c r="U5750" s="508">
        <v>0.80500000000000005</v>
      </c>
      <c r="V5750" s="508">
        <v>0.81200000000000006</v>
      </c>
      <c r="W5750" s="508">
        <v>0.73599999999999999</v>
      </c>
      <c r="X5750" s="508">
        <v>0.73299999999999998</v>
      </c>
      <c r="Y5750" s="508">
        <v>0.73399999999999999</v>
      </c>
      <c r="Z5750" s="508">
        <v>0.73499999999999999</v>
      </c>
      <c r="AA5750" s="508">
        <v>3.9E-2</v>
      </c>
      <c r="AB5750" s="508">
        <v>3.9E-2</v>
      </c>
      <c r="AC5750" s="508">
        <v>3.9E-2</v>
      </c>
      <c r="AD5750" s="508">
        <v>3.6999999999999998E-2</v>
      </c>
      <c r="AE5750" s="508">
        <v>3.6999999999999998E-2</v>
      </c>
      <c r="AF5750" s="508">
        <v>2.4E-2</v>
      </c>
      <c r="AG5750" s="508">
        <v>2.3E-2</v>
      </c>
      <c r="AH5750" s="508">
        <v>2.3E-2</v>
      </c>
      <c r="AI5750" s="492">
        <v>2.3E-2</v>
      </c>
      <c r="AJ5750" s="485"/>
    </row>
    <row r="5751" spans="2:36">
      <c r="B5751" s="136" t="s">
        <v>452</v>
      </c>
      <c r="C5751" s="132" t="s">
        <v>1370</v>
      </c>
      <c r="D5751" s="132" t="s">
        <v>285</v>
      </c>
      <c r="E5751" s="508">
        <v>2.6709999999999998</v>
      </c>
      <c r="F5751" s="508">
        <v>2.6429999999999998</v>
      </c>
      <c r="G5751" s="508">
        <v>2.5089999999999999</v>
      </c>
      <c r="H5751" s="508">
        <v>1.077</v>
      </c>
      <c r="I5751" s="508">
        <v>1.133</v>
      </c>
      <c r="J5751" s="508">
        <v>1.075</v>
      </c>
      <c r="K5751" s="508">
        <v>1.0269999999999999</v>
      </c>
      <c r="L5751" s="508">
        <v>1.0589999999999999</v>
      </c>
      <c r="M5751" s="508">
        <v>1.08</v>
      </c>
      <c r="N5751" s="508">
        <v>1.117</v>
      </c>
      <c r="O5751" s="508">
        <v>1.129</v>
      </c>
      <c r="P5751" s="508">
        <v>1.0920000000000001</v>
      </c>
      <c r="Q5751" s="508">
        <v>1.087</v>
      </c>
      <c r="R5751" s="508">
        <v>0.72799999999999998</v>
      </c>
      <c r="S5751" s="508">
        <v>0.72499999999999998</v>
      </c>
      <c r="T5751" s="508">
        <v>0.70099999999999996</v>
      </c>
      <c r="U5751" s="508">
        <v>0.73699999999999999</v>
      </c>
      <c r="V5751" s="508">
        <v>0.74299999999999999</v>
      </c>
      <c r="W5751" s="508">
        <v>0.67300000000000004</v>
      </c>
      <c r="X5751" s="508">
        <v>0.67</v>
      </c>
      <c r="Y5751" s="508">
        <v>0.67200000000000004</v>
      </c>
      <c r="Z5751" s="508">
        <v>0.67200000000000004</v>
      </c>
      <c r="AA5751" s="508">
        <v>3.5999999999999997E-2</v>
      </c>
      <c r="AB5751" s="508">
        <v>3.5999999999999997E-2</v>
      </c>
      <c r="AC5751" s="508">
        <v>3.5999999999999997E-2</v>
      </c>
      <c r="AD5751" s="508">
        <v>3.4000000000000002E-2</v>
      </c>
      <c r="AE5751" s="508">
        <v>3.4000000000000002E-2</v>
      </c>
      <c r="AF5751" s="508">
        <v>2.1999999999999999E-2</v>
      </c>
      <c r="AG5751" s="508">
        <v>2.1000000000000001E-2</v>
      </c>
      <c r="AH5751" s="508">
        <v>2.1000000000000001E-2</v>
      </c>
      <c r="AI5751" s="492">
        <v>2.1000000000000001E-2</v>
      </c>
      <c r="AJ5751" s="485"/>
    </row>
    <row r="5752" spans="2:36">
      <c r="B5752" s="136" t="s">
        <v>453</v>
      </c>
      <c r="C5752" s="132" t="s">
        <v>1370</v>
      </c>
      <c r="D5752" s="132" t="s">
        <v>285</v>
      </c>
      <c r="E5752" s="508">
        <v>2.5790000000000002</v>
      </c>
      <c r="F5752" s="508">
        <v>2.552</v>
      </c>
      <c r="G5752" s="508">
        <v>2.4209999999999998</v>
      </c>
      <c r="H5752" s="508">
        <v>1.0169999999999999</v>
      </c>
      <c r="I5752" s="508">
        <v>1.0680000000000001</v>
      </c>
      <c r="J5752" s="508">
        <v>1.0149999999999999</v>
      </c>
      <c r="K5752" s="508">
        <v>0.97699999999999998</v>
      </c>
      <c r="L5752" s="508">
        <v>1.01</v>
      </c>
      <c r="M5752" s="508">
        <v>1.0329999999999999</v>
      </c>
      <c r="N5752" s="508">
        <v>1.0449999999999999</v>
      </c>
      <c r="O5752" s="508">
        <v>1.0549999999999999</v>
      </c>
      <c r="P5752" s="508">
        <v>1.0229999999999999</v>
      </c>
      <c r="Q5752" s="508">
        <v>1.02</v>
      </c>
      <c r="R5752" s="508">
        <v>0.68</v>
      </c>
      <c r="S5752" s="508">
        <v>0.67700000000000005</v>
      </c>
      <c r="T5752" s="508">
        <v>0.65500000000000003</v>
      </c>
      <c r="U5752" s="508">
        <v>0.68799999999999994</v>
      </c>
      <c r="V5752" s="508">
        <v>0.69399999999999995</v>
      </c>
      <c r="W5752" s="508">
        <v>0.629</v>
      </c>
      <c r="X5752" s="508">
        <v>0.626</v>
      </c>
      <c r="Y5752" s="508">
        <v>0.627</v>
      </c>
      <c r="Z5752" s="508">
        <v>0.628</v>
      </c>
      <c r="AA5752" s="508">
        <v>3.4000000000000002E-2</v>
      </c>
      <c r="AB5752" s="508">
        <v>3.4000000000000002E-2</v>
      </c>
      <c r="AC5752" s="508">
        <v>3.4000000000000002E-2</v>
      </c>
      <c r="AD5752" s="508">
        <v>3.2000000000000001E-2</v>
      </c>
      <c r="AE5752" s="508">
        <v>3.2000000000000001E-2</v>
      </c>
      <c r="AF5752" s="508">
        <v>2.1000000000000001E-2</v>
      </c>
      <c r="AG5752" s="508">
        <v>0.02</v>
      </c>
      <c r="AH5752" s="508">
        <v>0.02</v>
      </c>
      <c r="AI5752" s="492">
        <v>0.02</v>
      </c>
      <c r="AJ5752" s="485"/>
    </row>
    <row r="5753" spans="2:36">
      <c r="B5753" s="136" t="s">
        <v>454</v>
      </c>
      <c r="C5753" s="132" t="s">
        <v>1370</v>
      </c>
      <c r="D5753" s="132" t="s">
        <v>285</v>
      </c>
      <c r="E5753" s="508">
        <v>2.6040000000000001</v>
      </c>
      <c r="F5753" s="508">
        <v>2.5760000000000001</v>
      </c>
      <c r="G5753" s="508">
        <v>2.444</v>
      </c>
      <c r="H5753" s="508">
        <v>1.032</v>
      </c>
      <c r="I5753" s="508">
        <v>1.0840000000000001</v>
      </c>
      <c r="J5753" s="508">
        <v>1.03</v>
      </c>
      <c r="K5753" s="508">
        <v>0.98899999999999999</v>
      </c>
      <c r="L5753" s="508">
        <v>1.022</v>
      </c>
      <c r="M5753" s="508">
        <v>1.044</v>
      </c>
      <c r="N5753" s="508">
        <v>1.0629999999999999</v>
      </c>
      <c r="O5753" s="508">
        <v>1.0740000000000001</v>
      </c>
      <c r="P5753" s="508">
        <v>1.0409999999999999</v>
      </c>
      <c r="Q5753" s="508">
        <v>1.0369999999999999</v>
      </c>
      <c r="R5753" s="508">
        <v>0.69199999999999995</v>
      </c>
      <c r="S5753" s="508">
        <v>0.68799999999999994</v>
      </c>
      <c r="T5753" s="508">
        <v>0.66600000000000004</v>
      </c>
      <c r="U5753" s="508">
        <v>0.7</v>
      </c>
      <c r="V5753" s="508">
        <v>0.70599999999999996</v>
      </c>
      <c r="W5753" s="508">
        <v>0.63900000000000001</v>
      </c>
      <c r="X5753" s="508">
        <v>0.63700000000000001</v>
      </c>
      <c r="Y5753" s="508">
        <v>0.63800000000000001</v>
      </c>
      <c r="Z5753" s="508">
        <v>0.63900000000000001</v>
      </c>
      <c r="AA5753" s="508">
        <v>3.5000000000000003E-2</v>
      </c>
      <c r="AB5753" s="508">
        <v>3.4000000000000002E-2</v>
      </c>
      <c r="AC5753" s="508">
        <v>3.5000000000000003E-2</v>
      </c>
      <c r="AD5753" s="508">
        <v>3.3000000000000002E-2</v>
      </c>
      <c r="AE5753" s="508">
        <v>3.3000000000000002E-2</v>
      </c>
      <c r="AF5753" s="508">
        <v>2.1000000000000001E-2</v>
      </c>
      <c r="AG5753" s="508">
        <v>0.02</v>
      </c>
      <c r="AH5753" s="508">
        <v>0.02</v>
      </c>
      <c r="AI5753" s="492">
        <v>0.02</v>
      </c>
      <c r="AJ5753" s="485"/>
    </row>
    <row r="5754" spans="2:36">
      <c r="B5754" s="136" t="s">
        <v>455</v>
      </c>
      <c r="C5754" s="132" t="s">
        <v>1370</v>
      </c>
      <c r="D5754" s="132" t="s">
        <v>285</v>
      </c>
      <c r="E5754" s="508">
        <v>2.552</v>
      </c>
      <c r="F5754" s="508">
        <v>2.5249999999999999</v>
      </c>
      <c r="G5754" s="508">
        <v>2.3940000000000001</v>
      </c>
      <c r="H5754" s="508">
        <v>1.0049999999999999</v>
      </c>
      <c r="I5754" s="508">
        <v>1.0529999999999999</v>
      </c>
      <c r="J5754" s="508">
        <v>1.004</v>
      </c>
      <c r="K5754" s="508">
        <v>0.96699999999999997</v>
      </c>
      <c r="L5754" s="508">
        <v>1.002</v>
      </c>
      <c r="M5754" s="508">
        <v>1.0249999999999999</v>
      </c>
      <c r="N5754" s="508">
        <v>1.0349999999999999</v>
      </c>
      <c r="O5754" s="508">
        <v>1.044</v>
      </c>
      <c r="P5754" s="508">
        <v>1.016</v>
      </c>
      <c r="Q5754" s="508">
        <v>1.0129999999999999</v>
      </c>
      <c r="R5754" s="508">
        <v>0.66700000000000004</v>
      </c>
      <c r="S5754" s="508">
        <v>0.66300000000000003</v>
      </c>
      <c r="T5754" s="508">
        <v>0.64200000000000002</v>
      </c>
      <c r="U5754" s="508">
        <v>0.67500000000000004</v>
      </c>
      <c r="V5754" s="508">
        <v>0.68100000000000005</v>
      </c>
      <c r="W5754" s="508">
        <v>0.61699999999999999</v>
      </c>
      <c r="X5754" s="508">
        <v>0.61399999999999999</v>
      </c>
      <c r="Y5754" s="508">
        <v>0.61499999999999999</v>
      </c>
      <c r="Z5754" s="508">
        <v>0.61599999999999999</v>
      </c>
      <c r="AA5754" s="508">
        <v>3.4000000000000002E-2</v>
      </c>
      <c r="AB5754" s="508">
        <v>3.3000000000000002E-2</v>
      </c>
      <c r="AC5754" s="508">
        <v>3.4000000000000002E-2</v>
      </c>
      <c r="AD5754" s="508">
        <v>3.2000000000000001E-2</v>
      </c>
      <c r="AE5754" s="508">
        <v>3.2000000000000001E-2</v>
      </c>
      <c r="AF5754" s="508">
        <v>2.1000000000000001E-2</v>
      </c>
      <c r="AG5754" s="508">
        <v>0.02</v>
      </c>
      <c r="AH5754" s="508">
        <v>0.02</v>
      </c>
      <c r="AI5754" s="492">
        <v>0.02</v>
      </c>
      <c r="AJ5754" s="485"/>
    </row>
    <row r="5755" spans="2:36">
      <c r="B5755" s="136" t="s">
        <v>456</v>
      </c>
      <c r="C5755" s="132" t="s">
        <v>1370</v>
      </c>
      <c r="D5755" s="132" t="s">
        <v>285</v>
      </c>
      <c r="E5755" s="508">
        <v>2.6219999999999999</v>
      </c>
      <c r="F5755" s="508">
        <v>2.5939999999999999</v>
      </c>
      <c r="G5755" s="508">
        <v>2.4620000000000002</v>
      </c>
      <c r="H5755" s="508">
        <v>1.0469999999999999</v>
      </c>
      <c r="I5755" s="508">
        <v>1.099</v>
      </c>
      <c r="J5755" s="508">
        <v>1.0449999999999999</v>
      </c>
      <c r="K5755" s="508">
        <v>1.0009999999999999</v>
      </c>
      <c r="L5755" s="508">
        <v>1.034</v>
      </c>
      <c r="M5755" s="508">
        <v>1.056</v>
      </c>
      <c r="N5755" s="508">
        <v>1.0820000000000001</v>
      </c>
      <c r="O5755" s="508">
        <v>1.093</v>
      </c>
      <c r="P5755" s="508">
        <v>1.0589999999999999</v>
      </c>
      <c r="Q5755" s="508">
        <v>1.0549999999999999</v>
      </c>
      <c r="R5755" s="508">
        <v>0.70199999999999996</v>
      </c>
      <c r="S5755" s="508">
        <v>0.69899999999999995</v>
      </c>
      <c r="T5755" s="508">
        <v>0.67600000000000005</v>
      </c>
      <c r="U5755" s="508">
        <v>0.71099999999999997</v>
      </c>
      <c r="V5755" s="508">
        <v>0.71599999999999997</v>
      </c>
      <c r="W5755" s="508">
        <v>0.64900000000000002</v>
      </c>
      <c r="X5755" s="508">
        <v>0.64700000000000002</v>
      </c>
      <c r="Y5755" s="508">
        <v>0.64800000000000002</v>
      </c>
      <c r="Z5755" s="508">
        <v>0.64900000000000002</v>
      </c>
      <c r="AA5755" s="508">
        <v>3.5000000000000003E-2</v>
      </c>
      <c r="AB5755" s="508">
        <v>3.5000000000000003E-2</v>
      </c>
      <c r="AC5755" s="508">
        <v>3.5000000000000003E-2</v>
      </c>
      <c r="AD5755" s="508">
        <v>3.3000000000000002E-2</v>
      </c>
      <c r="AE5755" s="508">
        <v>3.3000000000000002E-2</v>
      </c>
      <c r="AF5755" s="508">
        <v>2.1999999999999999E-2</v>
      </c>
      <c r="AG5755" s="508">
        <v>2.1000000000000001E-2</v>
      </c>
      <c r="AH5755" s="508">
        <v>0.02</v>
      </c>
      <c r="AI5755" s="492">
        <v>0.02</v>
      </c>
      <c r="AJ5755" s="485"/>
    </row>
    <row r="5756" spans="2:36">
      <c r="B5756" s="136" t="s">
        <v>457</v>
      </c>
      <c r="C5756" s="132" t="s">
        <v>1370</v>
      </c>
      <c r="D5756" s="132" t="s">
        <v>285</v>
      </c>
      <c r="E5756" s="508">
        <v>2.5430000000000001</v>
      </c>
      <c r="F5756" s="508">
        <v>2.516</v>
      </c>
      <c r="G5756" s="508">
        <v>2.3849999999999998</v>
      </c>
      <c r="H5756" s="508">
        <v>0.99199999999999999</v>
      </c>
      <c r="I5756" s="508">
        <v>1.0409999999999999</v>
      </c>
      <c r="J5756" s="508">
        <v>0.99</v>
      </c>
      <c r="K5756" s="508">
        <v>0.95499999999999996</v>
      </c>
      <c r="L5756" s="508">
        <v>0.98899999999999999</v>
      </c>
      <c r="M5756" s="508">
        <v>1.012</v>
      </c>
      <c r="N5756" s="508">
        <v>1.0129999999999999</v>
      </c>
      <c r="O5756" s="508">
        <v>1.0229999999999999</v>
      </c>
      <c r="P5756" s="508">
        <v>0.99299999999999999</v>
      </c>
      <c r="Q5756" s="508">
        <v>0.98899999999999999</v>
      </c>
      <c r="R5756" s="508">
        <v>0.66</v>
      </c>
      <c r="S5756" s="508">
        <v>0.65700000000000003</v>
      </c>
      <c r="T5756" s="508">
        <v>0.63600000000000001</v>
      </c>
      <c r="U5756" s="508">
        <v>0.66800000000000004</v>
      </c>
      <c r="V5756" s="508">
        <v>0.67300000000000004</v>
      </c>
      <c r="W5756" s="508">
        <v>0.61</v>
      </c>
      <c r="X5756" s="508">
        <v>0.60799999999999998</v>
      </c>
      <c r="Y5756" s="508">
        <v>0.60899999999999999</v>
      </c>
      <c r="Z5756" s="508">
        <v>0.61</v>
      </c>
      <c r="AA5756" s="508">
        <v>3.3000000000000002E-2</v>
      </c>
      <c r="AB5756" s="508">
        <v>3.3000000000000002E-2</v>
      </c>
      <c r="AC5756" s="508">
        <v>3.3000000000000002E-2</v>
      </c>
      <c r="AD5756" s="508">
        <v>3.1E-2</v>
      </c>
      <c r="AE5756" s="508">
        <v>3.1E-2</v>
      </c>
      <c r="AF5756" s="508">
        <v>0.02</v>
      </c>
      <c r="AG5756" s="508">
        <v>1.9E-2</v>
      </c>
      <c r="AH5756" s="508">
        <v>1.9E-2</v>
      </c>
      <c r="AI5756" s="492">
        <v>1.9E-2</v>
      </c>
      <c r="AJ5756" s="485"/>
    </row>
    <row r="5757" spans="2:36">
      <c r="B5757" s="136" t="s">
        <v>458</v>
      </c>
      <c r="C5757" s="132" t="s">
        <v>1370</v>
      </c>
      <c r="D5757" s="132" t="s">
        <v>285</v>
      </c>
      <c r="E5757" s="508">
        <v>2.645</v>
      </c>
      <c r="F5757" s="508">
        <v>2.6160000000000001</v>
      </c>
      <c r="G5757" s="508">
        <v>2.4830000000000001</v>
      </c>
      <c r="H5757" s="508">
        <v>1.0629999999999999</v>
      </c>
      <c r="I5757" s="508">
        <v>1.1160000000000001</v>
      </c>
      <c r="J5757" s="508">
        <v>1.0609999999999999</v>
      </c>
      <c r="K5757" s="508">
        <v>1.0149999999999999</v>
      </c>
      <c r="L5757" s="508">
        <v>1.048</v>
      </c>
      <c r="M5757" s="508">
        <v>1.071</v>
      </c>
      <c r="N5757" s="508">
        <v>1.105</v>
      </c>
      <c r="O5757" s="508">
        <v>1.1160000000000001</v>
      </c>
      <c r="P5757" s="508">
        <v>1.083</v>
      </c>
      <c r="Q5757" s="508">
        <v>1.0780000000000001</v>
      </c>
      <c r="R5757" s="508">
        <v>0.71299999999999997</v>
      </c>
      <c r="S5757" s="508">
        <v>0.70899999999999996</v>
      </c>
      <c r="T5757" s="508">
        <v>0.68600000000000005</v>
      </c>
      <c r="U5757" s="508">
        <v>0.72099999999999997</v>
      </c>
      <c r="V5757" s="508">
        <v>0.72699999999999998</v>
      </c>
      <c r="W5757" s="508">
        <v>0.65900000000000003</v>
      </c>
      <c r="X5757" s="508">
        <v>0.65600000000000003</v>
      </c>
      <c r="Y5757" s="508">
        <v>0.65800000000000003</v>
      </c>
      <c r="Z5757" s="508">
        <v>0.65800000000000003</v>
      </c>
      <c r="AA5757" s="508">
        <v>3.5000000000000003E-2</v>
      </c>
      <c r="AB5757" s="508">
        <v>3.5000000000000003E-2</v>
      </c>
      <c r="AC5757" s="508">
        <v>3.5999999999999997E-2</v>
      </c>
      <c r="AD5757" s="508">
        <v>3.4000000000000002E-2</v>
      </c>
      <c r="AE5757" s="508">
        <v>3.3000000000000002E-2</v>
      </c>
      <c r="AF5757" s="508">
        <v>2.1999999999999999E-2</v>
      </c>
      <c r="AG5757" s="508">
        <v>2.1000000000000001E-2</v>
      </c>
      <c r="AH5757" s="508">
        <v>2.1000000000000001E-2</v>
      </c>
      <c r="AI5757" s="492">
        <v>2.1000000000000001E-2</v>
      </c>
      <c r="AJ5757" s="485"/>
    </row>
    <row r="5758" spans="2:36">
      <c r="B5758" s="136" t="s">
        <v>459</v>
      </c>
      <c r="C5758" s="132" t="s">
        <v>1370</v>
      </c>
      <c r="D5758" s="132" t="s">
        <v>285</v>
      </c>
      <c r="E5758" s="508">
        <v>2.6429999999999998</v>
      </c>
      <c r="F5758" s="508">
        <v>2.6139999999999999</v>
      </c>
      <c r="G5758" s="508">
        <v>2.4809999999999999</v>
      </c>
      <c r="H5758" s="508">
        <v>1.0620000000000001</v>
      </c>
      <c r="I5758" s="508">
        <v>1.115</v>
      </c>
      <c r="J5758" s="508">
        <v>1.06</v>
      </c>
      <c r="K5758" s="508">
        <v>1.014</v>
      </c>
      <c r="L5758" s="508">
        <v>1.048</v>
      </c>
      <c r="M5758" s="508">
        <v>1.07</v>
      </c>
      <c r="N5758" s="508">
        <v>1.1040000000000001</v>
      </c>
      <c r="O5758" s="508">
        <v>1.1140000000000001</v>
      </c>
      <c r="P5758" s="508">
        <v>1.0820000000000001</v>
      </c>
      <c r="Q5758" s="508">
        <v>1.077</v>
      </c>
      <c r="R5758" s="508">
        <v>0.71199999999999997</v>
      </c>
      <c r="S5758" s="508">
        <v>0.70799999999999996</v>
      </c>
      <c r="T5758" s="508">
        <v>0.68500000000000005</v>
      </c>
      <c r="U5758" s="508">
        <v>0.72</v>
      </c>
      <c r="V5758" s="508">
        <v>0.72599999999999998</v>
      </c>
      <c r="W5758" s="508">
        <v>0.65800000000000003</v>
      </c>
      <c r="X5758" s="508">
        <v>0.65600000000000003</v>
      </c>
      <c r="Y5758" s="508">
        <v>0.65700000000000003</v>
      </c>
      <c r="Z5758" s="508">
        <v>0.65800000000000003</v>
      </c>
      <c r="AA5758" s="508">
        <v>3.5000000000000003E-2</v>
      </c>
      <c r="AB5758" s="508">
        <v>3.5000000000000003E-2</v>
      </c>
      <c r="AC5758" s="508">
        <v>3.5999999999999997E-2</v>
      </c>
      <c r="AD5758" s="508">
        <v>3.4000000000000002E-2</v>
      </c>
      <c r="AE5758" s="508">
        <v>3.3000000000000002E-2</v>
      </c>
      <c r="AF5758" s="508">
        <v>2.1999999999999999E-2</v>
      </c>
      <c r="AG5758" s="508">
        <v>2.1000000000000001E-2</v>
      </c>
      <c r="AH5758" s="508">
        <v>2.1000000000000001E-2</v>
      </c>
      <c r="AI5758" s="492">
        <v>2.1000000000000001E-2</v>
      </c>
      <c r="AJ5758" s="485"/>
    </row>
    <row r="5759" spans="2:36">
      <c r="B5759" s="136" t="s">
        <v>460</v>
      </c>
      <c r="C5759" s="132" t="s">
        <v>1370</v>
      </c>
      <c r="D5759" s="132" t="s">
        <v>285</v>
      </c>
      <c r="E5759" s="508">
        <v>2.6440000000000001</v>
      </c>
      <c r="F5759" s="508">
        <v>2.6160000000000001</v>
      </c>
      <c r="G5759" s="508">
        <v>2.4820000000000002</v>
      </c>
      <c r="H5759" s="508">
        <v>1.0620000000000001</v>
      </c>
      <c r="I5759" s="508">
        <v>1.1160000000000001</v>
      </c>
      <c r="J5759" s="508">
        <v>1.06</v>
      </c>
      <c r="K5759" s="508">
        <v>1.0149999999999999</v>
      </c>
      <c r="L5759" s="508">
        <v>1.0469999999999999</v>
      </c>
      <c r="M5759" s="508">
        <v>1.069</v>
      </c>
      <c r="N5759" s="508">
        <v>1.1020000000000001</v>
      </c>
      <c r="O5759" s="508">
        <v>1.113</v>
      </c>
      <c r="P5759" s="508">
        <v>1.079</v>
      </c>
      <c r="Q5759" s="508">
        <v>1.075</v>
      </c>
      <c r="R5759" s="508">
        <v>0.71399999999999997</v>
      </c>
      <c r="S5759" s="508">
        <v>0.71</v>
      </c>
      <c r="T5759" s="508">
        <v>0.68700000000000006</v>
      </c>
      <c r="U5759" s="508">
        <v>0.72199999999999998</v>
      </c>
      <c r="V5759" s="508">
        <v>0.72799999999999998</v>
      </c>
      <c r="W5759" s="508">
        <v>0.66</v>
      </c>
      <c r="X5759" s="508">
        <v>0.65700000000000003</v>
      </c>
      <c r="Y5759" s="508">
        <v>0.65900000000000003</v>
      </c>
      <c r="Z5759" s="508">
        <v>0.65900000000000003</v>
      </c>
      <c r="AA5759" s="508">
        <v>3.5999999999999997E-2</v>
      </c>
      <c r="AB5759" s="508">
        <v>3.5000000000000003E-2</v>
      </c>
      <c r="AC5759" s="508">
        <v>3.5999999999999997E-2</v>
      </c>
      <c r="AD5759" s="508">
        <v>3.4000000000000002E-2</v>
      </c>
      <c r="AE5759" s="508">
        <v>3.4000000000000002E-2</v>
      </c>
      <c r="AF5759" s="508">
        <v>2.1999999999999999E-2</v>
      </c>
      <c r="AG5759" s="508">
        <v>2.1000000000000001E-2</v>
      </c>
      <c r="AH5759" s="508">
        <v>2.1000000000000001E-2</v>
      </c>
      <c r="AI5759" s="492">
        <v>2.1000000000000001E-2</v>
      </c>
      <c r="AJ5759" s="485"/>
    </row>
    <row r="5760" spans="2:36">
      <c r="B5760" s="136" t="s">
        <v>461</v>
      </c>
      <c r="C5760" s="132" t="s">
        <v>1370</v>
      </c>
      <c r="D5760" s="132" t="s">
        <v>285</v>
      </c>
      <c r="E5760" s="508">
        <v>2.6309999999999998</v>
      </c>
      <c r="F5760" s="508">
        <v>2.6030000000000002</v>
      </c>
      <c r="G5760" s="508">
        <v>2.4710000000000001</v>
      </c>
      <c r="H5760" s="508">
        <v>1.048</v>
      </c>
      <c r="I5760" s="508">
        <v>1.1020000000000001</v>
      </c>
      <c r="J5760" s="508">
        <v>1.046</v>
      </c>
      <c r="K5760" s="508">
        <v>1.002</v>
      </c>
      <c r="L5760" s="508">
        <v>1.034</v>
      </c>
      <c r="M5760" s="508">
        <v>1.056</v>
      </c>
      <c r="N5760" s="508">
        <v>1.081</v>
      </c>
      <c r="O5760" s="508">
        <v>1.0920000000000001</v>
      </c>
      <c r="P5760" s="508">
        <v>1.0569999999999999</v>
      </c>
      <c r="Q5760" s="508">
        <v>1.052</v>
      </c>
      <c r="R5760" s="508">
        <v>0.70499999999999996</v>
      </c>
      <c r="S5760" s="508">
        <v>0.70199999999999996</v>
      </c>
      <c r="T5760" s="508">
        <v>0.68</v>
      </c>
      <c r="U5760" s="508">
        <v>0.71299999999999997</v>
      </c>
      <c r="V5760" s="508">
        <v>0.71899999999999997</v>
      </c>
      <c r="W5760" s="508">
        <v>0.65200000000000002</v>
      </c>
      <c r="X5760" s="508">
        <v>0.64900000000000002</v>
      </c>
      <c r="Y5760" s="508">
        <v>0.65</v>
      </c>
      <c r="Z5760" s="508">
        <v>0.65100000000000002</v>
      </c>
      <c r="AA5760" s="508">
        <v>3.5000000000000003E-2</v>
      </c>
      <c r="AB5760" s="508">
        <v>3.5000000000000003E-2</v>
      </c>
      <c r="AC5760" s="508">
        <v>3.5000000000000003E-2</v>
      </c>
      <c r="AD5760" s="508">
        <v>3.3000000000000002E-2</v>
      </c>
      <c r="AE5760" s="508">
        <v>3.3000000000000002E-2</v>
      </c>
      <c r="AF5760" s="508">
        <v>2.1999999999999999E-2</v>
      </c>
      <c r="AG5760" s="508">
        <v>2.1000000000000001E-2</v>
      </c>
      <c r="AH5760" s="508">
        <v>0.02</v>
      </c>
      <c r="AI5760" s="492">
        <v>0.02</v>
      </c>
      <c r="AJ5760" s="485"/>
    </row>
    <row r="5761" spans="2:36">
      <c r="B5761" s="136" t="s">
        <v>462</v>
      </c>
      <c r="C5761" s="132" t="s">
        <v>1370</v>
      </c>
      <c r="D5761" s="132" t="s">
        <v>285</v>
      </c>
      <c r="E5761" s="508">
        <v>2.61</v>
      </c>
      <c r="F5761" s="508">
        <v>2.5819999999999999</v>
      </c>
      <c r="G5761" s="508">
        <v>2.4510000000000001</v>
      </c>
      <c r="H5761" s="508">
        <v>1.0309999999999999</v>
      </c>
      <c r="I5761" s="508">
        <v>1.085</v>
      </c>
      <c r="J5761" s="508">
        <v>1.0289999999999999</v>
      </c>
      <c r="K5761" s="508">
        <v>0.98699999999999999</v>
      </c>
      <c r="L5761" s="508">
        <v>1.02</v>
      </c>
      <c r="M5761" s="508">
        <v>1.0409999999999999</v>
      </c>
      <c r="N5761" s="508">
        <v>1.0569999999999999</v>
      </c>
      <c r="O5761" s="508">
        <v>1.069</v>
      </c>
      <c r="P5761" s="508">
        <v>1.0329999999999999</v>
      </c>
      <c r="Q5761" s="508">
        <v>1.028</v>
      </c>
      <c r="R5761" s="508">
        <v>0.69399999999999995</v>
      </c>
      <c r="S5761" s="508">
        <v>0.69099999999999995</v>
      </c>
      <c r="T5761" s="508">
        <v>0.66900000000000004</v>
      </c>
      <c r="U5761" s="508">
        <v>0.70199999999999996</v>
      </c>
      <c r="V5761" s="508">
        <v>0.70799999999999996</v>
      </c>
      <c r="W5761" s="508">
        <v>0.64100000000000001</v>
      </c>
      <c r="X5761" s="508">
        <v>0.63900000000000001</v>
      </c>
      <c r="Y5761" s="508">
        <v>0.64</v>
      </c>
      <c r="Z5761" s="508">
        <v>0.64100000000000001</v>
      </c>
      <c r="AA5761" s="508">
        <v>3.4000000000000002E-2</v>
      </c>
      <c r="AB5761" s="508">
        <v>3.4000000000000002E-2</v>
      </c>
      <c r="AC5761" s="508">
        <v>3.5000000000000003E-2</v>
      </c>
      <c r="AD5761" s="508">
        <v>3.3000000000000002E-2</v>
      </c>
      <c r="AE5761" s="508">
        <v>3.3000000000000002E-2</v>
      </c>
      <c r="AF5761" s="508">
        <v>2.1000000000000001E-2</v>
      </c>
      <c r="AG5761" s="508">
        <v>0.02</v>
      </c>
      <c r="AH5761" s="508">
        <v>0.02</v>
      </c>
      <c r="AI5761" s="492">
        <v>0.02</v>
      </c>
      <c r="AJ5761" s="485"/>
    </row>
    <row r="5762" spans="2:36">
      <c r="B5762" s="136" t="s">
        <v>463</v>
      </c>
      <c r="C5762" s="132" t="s">
        <v>1370</v>
      </c>
      <c r="D5762" s="132" t="s">
        <v>285</v>
      </c>
      <c r="E5762" s="508">
        <v>2.5569999999999999</v>
      </c>
      <c r="F5762" s="508">
        <v>2.5299999999999998</v>
      </c>
      <c r="G5762" s="508">
        <v>2.3980000000000001</v>
      </c>
      <c r="H5762" s="508">
        <v>1.006</v>
      </c>
      <c r="I5762" s="508">
        <v>1.054</v>
      </c>
      <c r="J5762" s="508">
        <v>1.004</v>
      </c>
      <c r="K5762" s="508">
        <v>0.96599999999999997</v>
      </c>
      <c r="L5762" s="508">
        <v>1.0009999999999999</v>
      </c>
      <c r="M5762" s="508">
        <v>1.0249999999999999</v>
      </c>
      <c r="N5762" s="508">
        <v>1.0349999999999999</v>
      </c>
      <c r="O5762" s="508">
        <v>1.044</v>
      </c>
      <c r="P5762" s="508">
        <v>1.0149999999999999</v>
      </c>
      <c r="Q5762" s="508">
        <v>1.012</v>
      </c>
      <c r="R5762" s="508">
        <v>0.66700000000000004</v>
      </c>
      <c r="S5762" s="508">
        <v>0.66400000000000003</v>
      </c>
      <c r="T5762" s="508">
        <v>0.64200000000000002</v>
      </c>
      <c r="U5762" s="508">
        <v>0.67500000000000004</v>
      </c>
      <c r="V5762" s="508">
        <v>0.68100000000000005</v>
      </c>
      <c r="W5762" s="508">
        <v>0.61699999999999999</v>
      </c>
      <c r="X5762" s="508">
        <v>0.61399999999999999</v>
      </c>
      <c r="Y5762" s="508">
        <v>0.61599999999999999</v>
      </c>
      <c r="Z5762" s="508">
        <v>0.61599999999999999</v>
      </c>
      <c r="AA5762" s="508">
        <v>3.4000000000000002E-2</v>
      </c>
      <c r="AB5762" s="508">
        <v>3.3000000000000002E-2</v>
      </c>
      <c r="AC5762" s="508">
        <v>3.4000000000000002E-2</v>
      </c>
      <c r="AD5762" s="508">
        <v>3.2000000000000001E-2</v>
      </c>
      <c r="AE5762" s="508">
        <v>3.2000000000000001E-2</v>
      </c>
      <c r="AF5762" s="508">
        <v>2.1000000000000001E-2</v>
      </c>
      <c r="AG5762" s="508">
        <v>0.02</v>
      </c>
      <c r="AH5762" s="508">
        <v>0.02</v>
      </c>
      <c r="AI5762" s="492">
        <v>0.02</v>
      </c>
      <c r="AJ5762" s="485"/>
    </row>
    <row r="5763" spans="2:36">
      <c r="B5763" s="136" t="s">
        <v>464</v>
      </c>
      <c r="C5763" s="132" t="s">
        <v>1370</v>
      </c>
      <c r="D5763" s="132" t="s">
        <v>285</v>
      </c>
      <c r="E5763" s="508">
        <v>2.5329999999999999</v>
      </c>
      <c r="F5763" s="508">
        <v>2.5070000000000001</v>
      </c>
      <c r="G5763" s="508">
        <v>2.3759999999999999</v>
      </c>
      <c r="H5763" s="508">
        <v>0.98899999999999999</v>
      </c>
      <c r="I5763" s="508">
        <v>1.0369999999999999</v>
      </c>
      <c r="J5763" s="508">
        <v>0.98699999999999999</v>
      </c>
      <c r="K5763" s="508">
        <v>0.95299999999999996</v>
      </c>
      <c r="L5763" s="508">
        <v>0.98799999999999999</v>
      </c>
      <c r="M5763" s="508">
        <v>1.0109999999999999</v>
      </c>
      <c r="N5763" s="508">
        <v>1.012</v>
      </c>
      <c r="O5763" s="508">
        <v>1.0209999999999999</v>
      </c>
      <c r="P5763" s="508">
        <v>0.99299999999999999</v>
      </c>
      <c r="Q5763" s="508">
        <v>0.98899999999999999</v>
      </c>
      <c r="R5763" s="508">
        <v>0.65700000000000003</v>
      </c>
      <c r="S5763" s="508">
        <v>0.65300000000000002</v>
      </c>
      <c r="T5763" s="508">
        <v>0.63200000000000001</v>
      </c>
      <c r="U5763" s="508">
        <v>0.66400000000000003</v>
      </c>
      <c r="V5763" s="508">
        <v>0.67</v>
      </c>
      <c r="W5763" s="508">
        <v>0.60699999999999998</v>
      </c>
      <c r="X5763" s="508">
        <v>0.60499999999999998</v>
      </c>
      <c r="Y5763" s="508">
        <v>0.60599999999999998</v>
      </c>
      <c r="Z5763" s="508">
        <v>0.60599999999999998</v>
      </c>
      <c r="AA5763" s="508">
        <v>3.3000000000000002E-2</v>
      </c>
      <c r="AB5763" s="508">
        <v>3.3000000000000002E-2</v>
      </c>
      <c r="AC5763" s="508">
        <v>3.3000000000000002E-2</v>
      </c>
      <c r="AD5763" s="508">
        <v>3.1E-2</v>
      </c>
      <c r="AE5763" s="508">
        <v>3.1E-2</v>
      </c>
      <c r="AF5763" s="508">
        <v>0.02</v>
      </c>
      <c r="AG5763" s="508">
        <v>1.9E-2</v>
      </c>
      <c r="AH5763" s="508">
        <v>1.9E-2</v>
      </c>
      <c r="AI5763" s="492">
        <v>1.9E-2</v>
      </c>
      <c r="AJ5763" s="485"/>
    </row>
    <row r="5764" spans="2:36">
      <c r="B5764" s="136" t="s">
        <v>465</v>
      </c>
      <c r="C5764" s="132" t="s">
        <v>1370</v>
      </c>
      <c r="D5764" s="132" t="s">
        <v>285</v>
      </c>
      <c r="E5764" s="508">
        <v>2.556</v>
      </c>
      <c r="F5764" s="508">
        <v>2.5289999999999999</v>
      </c>
      <c r="G5764" s="508">
        <v>2.3969999999999998</v>
      </c>
      <c r="H5764" s="508">
        <v>1.0069999999999999</v>
      </c>
      <c r="I5764" s="508">
        <v>1.056</v>
      </c>
      <c r="J5764" s="508">
        <v>1.0049999999999999</v>
      </c>
      <c r="K5764" s="508">
        <v>0.96899999999999997</v>
      </c>
      <c r="L5764" s="508">
        <v>1.0029999999999999</v>
      </c>
      <c r="M5764" s="508">
        <v>1.026</v>
      </c>
      <c r="N5764" s="508">
        <v>1.0369999999999999</v>
      </c>
      <c r="O5764" s="508">
        <v>1.046</v>
      </c>
      <c r="P5764" s="508">
        <v>1.018</v>
      </c>
      <c r="Q5764" s="508">
        <v>1.014</v>
      </c>
      <c r="R5764" s="508">
        <v>0.66900000000000004</v>
      </c>
      <c r="S5764" s="508">
        <v>0.66500000000000004</v>
      </c>
      <c r="T5764" s="508">
        <v>0.64400000000000002</v>
      </c>
      <c r="U5764" s="508">
        <v>0.67700000000000005</v>
      </c>
      <c r="V5764" s="508">
        <v>0.68300000000000005</v>
      </c>
      <c r="W5764" s="508">
        <v>0.61799999999999999</v>
      </c>
      <c r="X5764" s="508">
        <v>0.61599999999999999</v>
      </c>
      <c r="Y5764" s="508">
        <v>0.61699999999999999</v>
      </c>
      <c r="Z5764" s="508">
        <v>0.61799999999999999</v>
      </c>
      <c r="AA5764" s="508">
        <v>3.4000000000000002E-2</v>
      </c>
      <c r="AB5764" s="508">
        <v>3.4000000000000002E-2</v>
      </c>
      <c r="AC5764" s="508">
        <v>3.4000000000000002E-2</v>
      </c>
      <c r="AD5764" s="508">
        <v>3.2000000000000001E-2</v>
      </c>
      <c r="AE5764" s="508">
        <v>3.2000000000000001E-2</v>
      </c>
      <c r="AF5764" s="508">
        <v>2.1000000000000001E-2</v>
      </c>
      <c r="AG5764" s="508">
        <v>0.02</v>
      </c>
      <c r="AH5764" s="508">
        <v>0.02</v>
      </c>
      <c r="AI5764" s="492">
        <v>0.02</v>
      </c>
      <c r="AJ5764" s="485"/>
    </row>
    <row r="5765" spans="2:36">
      <c r="B5765" s="136" t="s">
        <v>466</v>
      </c>
      <c r="C5765" s="132" t="s">
        <v>1370</v>
      </c>
      <c r="D5765" s="132" t="s">
        <v>285</v>
      </c>
      <c r="E5765" s="508">
        <v>2.706</v>
      </c>
      <c r="F5765" s="508">
        <v>2.677</v>
      </c>
      <c r="G5765" s="508">
        <v>2.5430000000000001</v>
      </c>
      <c r="H5765" s="508">
        <v>1.105</v>
      </c>
      <c r="I5765" s="508">
        <v>1.161</v>
      </c>
      <c r="J5765" s="508">
        <v>1.1020000000000001</v>
      </c>
      <c r="K5765" s="508">
        <v>1.0509999999999999</v>
      </c>
      <c r="L5765" s="508">
        <v>1.0820000000000001</v>
      </c>
      <c r="M5765" s="508">
        <v>1.1040000000000001</v>
      </c>
      <c r="N5765" s="508">
        <v>1.155</v>
      </c>
      <c r="O5765" s="508">
        <v>1.1659999999999999</v>
      </c>
      <c r="P5765" s="508">
        <v>1.129</v>
      </c>
      <c r="Q5765" s="508">
        <v>1.1240000000000001</v>
      </c>
      <c r="R5765" s="508">
        <v>0.748</v>
      </c>
      <c r="S5765" s="508">
        <v>0.74399999999999999</v>
      </c>
      <c r="T5765" s="508">
        <v>0.71899999999999997</v>
      </c>
      <c r="U5765" s="508">
        <v>0.75600000000000001</v>
      </c>
      <c r="V5765" s="508">
        <v>0.76300000000000001</v>
      </c>
      <c r="W5765" s="508">
        <v>0.69099999999999995</v>
      </c>
      <c r="X5765" s="508">
        <v>0.68899999999999995</v>
      </c>
      <c r="Y5765" s="508">
        <v>0.69</v>
      </c>
      <c r="Z5765" s="508">
        <v>0.69099999999999995</v>
      </c>
      <c r="AA5765" s="508">
        <v>3.6999999999999998E-2</v>
      </c>
      <c r="AB5765" s="508">
        <v>3.6999999999999998E-2</v>
      </c>
      <c r="AC5765" s="508">
        <v>3.6999999999999998E-2</v>
      </c>
      <c r="AD5765" s="508">
        <v>3.5000000000000003E-2</v>
      </c>
      <c r="AE5765" s="508">
        <v>3.5000000000000003E-2</v>
      </c>
      <c r="AF5765" s="508">
        <v>2.3E-2</v>
      </c>
      <c r="AG5765" s="508">
        <v>2.1999999999999999E-2</v>
      </c>
      <c r="AH5765" s="508">
        <v>2.1000000000000001E-2</v>
      </c>
      <c r="AI5765" s="492">
        <v>2.1000000000000001E-2</v>
      </c>
      <c r="AJ5765" s="485"/>
    </row>
    <row r="5766" spans="2:36">
      <c r="B5766" s="136" t="s">
        <v>467</v>
      </c>
      <c r="C5766" s="132" t="s">
        <v>1370</v>
      </c>
      <c r="D5766" s="132" t="s">
        <v>285</v>
      </c>
      <c r="E5766" s="508">
        <v>2.62</v>
      </c>
      <c r="F5766" s="508">
        <v>2.5920000000000001</v>
      </c>
      <c r="G5766" s="508">
        <v>2.4590000000000001</v>
      </c>
      <c r="H5766" s="508">
        <v>1.04</v>
      </c>
      <c r="I5766" s="508">
        <v>1.0940000000000001</v>
      </c>
      <c r="J5766" s="508">
        <v>1.038</v>
      </c>
      <c r="K5766" s="508">
        <v>0.995</v>
      </c>
      <c r="L5766" s="508">
        <v>1.028</v>
      </c>
      <c r="M5766" s="508">
        <v>1.05</v>
      </c>
      <c r="N5766" s="508">
        <v>1.071</v>
      </c>
      <c r="O5766" s="508">
        <v>1.0820000000000001</v>
      </c>
      <c r="P5766" s="508">
        <v>1.0469999999999999</v>
      </c>
      <c r="Q5766" s="508">
        <v>1.0429999999999999</v>
      </c>
      <c r="R5766" s="508">
        <v>0.69899999999999995</v>
      </c>
      <c r="S5766" s="508">
        <v>0.69599999999999995</v>
      </c>
      <c r="T5766" s="508">
        <v>0.67400000000000004</v>
      </c>
      <c r="U5766" s="508">
        <v>0.70699999999999996</v>
      </c>
      <c r="V5766" s="508">
        <v>0.71299999999999997</v>
      </c>
      <c r="W5766" s="508">
        <v>0.64600000000000002</v>
      </c>
      <c r="X5766" s="508">
        <v>0.64400000000000002</v>
      </c>
      <c r="Y5766" s="508">
        <v>0.64500000000000002</v>
      </c>
      <c r="Z5766" s="508">
        <v>0.64600000000000002</v>
      </c>
      <c r="AA5766" s="508">
        <v>3.5000000000000003E-2</v>
      </c>
      <c r="AB5766" s="508">
        <v>3.5000000000000003E-2</v>
      </c>
      <c r="AC5766" s="508">
        <v>3.5000000000000003E-2</v>
      </c>
      <c r="AD5766" s="508">
        <v>3.3000000000000002E-2</v>
      </c>
      <c r="AE5766" s="508">
        <v>3.3000000000000002E-2</v>
      </c>
      <c r="AF5766" s="508">
        <v>2.1000000000000001E-2</v>
      </c>
      <c r="AG5766" s="508">
        <v>0.02</v>
      </c>
      <c r="AH5766" s="508">
        <v>0.02</v>
      </c>
      <c r="AI5766" s="492">
        <v>0.02</v>
      </c>
      <c r="AJ5766" s="485"/>
    </row>
    <row r="5767" spans="2:36">
      <c r="B5767" s="136" t="s">
        <v>468</v>
      </c>
      <c r="C5767" s="132" t="s">
        <v>1370</v>
      </c>
      <c r="D5767" s="132" t="s">
        <v>285</v>
      </c>
      <c r="E5767" s="508">
        <v>2.5139999999999998</v>
      </c>
      <c r="F5767" s="508">
        <v>2.488</v>
      </c>
      <c r="G5767" s="508">
        <v>2.3559999999999999</v>
      </c>
      <c r="H5767" s="508">
        <v>0.98499999999999999</v>
      </c>
      <c r="I5767" s="508">
        <v>1.03</v>
      </c>
      <c r="J5767" s="508">
        <v>0.98299999999999998</v>
      </c>
      <c r="K5767" s="508">
        <v>0.95</v>
      </c>
      <c r="L5767" s="508">
        <v>0.98599999999999999</v>
      </c>
      <c r="M5767" s="508">
        <v>1.01</v>
      </c>
      <c r="N5767" s="508">
        <v>1.0129999999999999</v>
      </c>
      <c r="O5767" s="508">
        <v>1.0209999999999999</v>
      </c>
      <c r="P5767" s="508">
        <v>0.997</v>
      </c>
      <c r="Q5767" s="508">
        <v>0.99399999999999999</v>
      </c>
      <c r="R5767" s="508">
        <v>0.64800000000000002</v>
      </c>
      <c r="S5767" s="508">
        <v>0.64500000000000002</v>
      </c>
      <c r="T5767" s="508">
        <v>0.623</v>
      </c>
      <c r="U5767" s="508">
        <v>0.65600000000000003</v>
      </c>
      <c r="V5767" s="508">
        <v>0.66200000000000003</v>
      </c>
      <c r="W5767" s="508">
        <v>0.59899999999999998</v>
      </c>
      <c r="X5767" s="508">
        <v>0.59699999999999998</v>
      </c>
      <c r="Y5767" s="508">
        <v>0.59799999999999998</v>
      </c>
      <c r="Z5767" s="508">
        <v>0.59899999999999998</v>
      </c>
      <c r="AA5767" s="508">
        <v>3.3000000000000002E-2</v>
      </c>
      <c r="AB5767" s="508">
        <v>3.3000000000000002E-2</v>
      </c>
      <c r="AC5767" s="508">
        <v>3.3000000000000002E-2</v>
      </c>
      <c r="AD5767" s="508">
        <v>3.1E-2</v>
      </c>
      <c r="AE5767" s="508">
        <v>3.1E-2</v>
      </c>
      <c r="AF5767" s="508">
        <v>0.02</v>
      </c>
      <c r="AG5767" s="508">
        <v>1.9E-2</v>
      </c>
      <c r="AH5767" s="508">
        <v>1.9E-2</v>
      </c>
      <c r="AI5767" s="492">
        <v>1.9E-2</v>
      </c>
      <c r="AJ5767" s="485"/>
    </row>
    <row r="5768" spans="2:36">
      <c r="B5768" s="136" t="s">
        <v>469</v>
      </c>
      <c r="C5768" s="132" t="s">
        <v>1370</v>
      </c>
      <c r="D5768" s="132" t="s">
        <v>285</v>
      </c>
      <c r="E5768" s="508">
        <v>2.5750000000000002</v>
      </c>
      <c r="F5768" s="508">
        <v>2.5470000000000002</v>
      </c>
      <c r="G5768" s="508">
        <v>2.4159999999999999</v>
      </c>
      <c r="H5768" s="508">
        <v>1.0169999999999999</v>
      </c>
      <c r="I5768" s="508">
        <v>1.0669999999999999</v>
      </c>
      <c r="J5768" s="508">
        <v>1.0149999999999999</v>
      </c>
      <c r="K5768" s="508">
        <v>0.97699999999999998</v>
      </c>
      <c r="L5768" s="508">
        <v>1.0109999999999999</v>
      </c>
      <c r="M5768" s="508">
        <v>1.034</v>
      </c>
      <c r="N5768" s="508">
        <v>1.0469999999999999</v>
      </c>
      <c r="O5768" s="508">
        <v>1.0569999999999999</v>
      </c>
      <c r="P5768" s="508">
        <v>1.026</v>
      </c>
      <c r="Q5768" s="508">
        <v>1.0229999999999999</v>
      </c>
      <c r="R5768" s="508">
        <v>0.67800000000000005</v>
      </c>
      <c r="S5768" s="508">
        <v>0.67500000000000004</v>
      </c>
      <c r="T5768" s="508">
        <v>0.65300000000000002</v>
      </c>
      <c r="U5768" s="508">
        <v>0.68600000000000005</v>
      </c>
      <c r="V5768" s="508">
        <v>0.69199999999999995</v>
      </c>
      <c r="W5768" s="508">
        <v>0.627</v>
      </c>
      <c r="X5768" s="508">
        <v>0.625</v>
      </c>
      <c r="Y5768" s="508">
        <v>0.626</v>
      </c>
      <c r="Z5768" s="508">
        <v>0.627</v>
      </c>
      <c r="AA5768" s="508">
        <v>3.4000000000000002E-2</v>
      </c>
      <c r="AB5768" s="508">
        <v>3.4000000000000002E-2</v>
      </c>
      <c r="AC5768" s="508">
        <v>3.4000000000000002E-2</v>
      </c>
      <c r="AD5768" s="508">
        <v>3.2000000000000001E-2</v>
      </c>
      <c r="AE5768" s="508">
        <v>3.2000000000000001E-2</v>
      </c>
      <c r="AF5768" s="508">
        <v>2.1000000000000001E-2</v>
      </c>
      <c r="AG5768" s="508">
        <v>0.02</v>
      </c>
      <c r="AH5768" s="508">
        <v>0.02</v>
      </c>
      <c r="AI5768" s="492">
        <v>0.02</v>
      </c>
      <c r="AJ5768" s="485"/>
    </row>
    <row r="5769" spans="2:36">
      <c r="B5769" s="136" t="s">
        <v>470</v>
      </c>
      <c r="C5769" s="132" t="s">
        <v>1370</v>
      </c>
      <c r="D5769" s="132" t="s">
        <v>285</v>
      </c>
      <c r="E5769" s="508">
        <v>2.6829999999999998</v>
      </c>
      <c r="F5769" s="508">
        <v>2.6539999999999999</v>
      </c>
      <c r="G5769" s="508">
        <v>2.52</v>
      </c>
      <c r="H5769" s="508">
        <v>1.0860000000000001</v>
      </c>
      <c r="I5769" s="508">
        <v>1.141</v>
      </c>
      <c r="J5769" s="508">
        <v>1.083</v>
      </c>
      <c r="K5769" s="508">
        <v>1.034</v>
      </c>
      <c r="L5769" s="508">
        <v>1.0660000000000001</v>
      </c>
      <c r="M5769" s="508">
        <v>1.087</v>
      </c>
      <c r="N5769" s="508">
        <v>1.1299999999999999</v>
      </c>
      <c r="O5769" s="508">
        <v>1.141</v>
      </c>
      <c r="P5769" s="508">
        <v>1.105</v>
      </c>
      <c r="Q5769" s="508">
        <v>1.1000000000000001</v>
      </c>
      <c r="R5769" s="508">
        <v>0.73299999999999998</v>
      </c>
      <c r="S5769" s="508">
        <v>0.72899999999999998</v>
      </c>
      <c r="T5769" s="508">
        <v>0.70599999999999996</v>
      </c>
      <c r="U5769" s="508">
        <v>0.74199999999999999</v>
      </c>
      <c r="V5769" s="508">
        <v>0.748</v>
      </c>
      <c r="W5769" s="508">
        <v>0.67700000000000005</v>
      </c>
      <c r="X5769" s="508">
        <v>0.67500000000000004</v>
      </c>
      <c r="Y5769" s="508">
        <v>0.67600000000000005</v>
      </c>
      <c r="Z5769" s="508">
        <v>0.67700000000000005</v>
      </c>
      <c r="AA5769" s="508">
        <v>3.5999999999999997E-2</v>
      </c>
      <c r="AB5769" s="508">
        <v>3.5999999999999997E-2</v>
      </c>
      <c r="AC5769" s="508">
        <v>3.5999999999999997E-2</v>
      </c>
      <c r="AD5769" s="508">
        <v>3.4000000000000002E-2</v>
      </c>
      <c r="AE5769" s="508">
        <v>3.4000000000000002E-2</v>
      </c>
      <c r="AF5769" s="508">
        <v>2.1999999999999999E-2</v>
      </c>
      <c r="AG5769" s="508">
        <v>2.1000000000000001E-2</v>
      </c>
      <c r="AH5769" s="508">
        <v>2.1000000000000001E-2</v>
      </c>
      <c r="AI5769" s="492">
        <v>2.1000000000000001E-2</v>
      </c>
      <c r="AJ5769" s="485"/>
    </row>
    <row r="5770" spans="2:36">
      <c r="B5770" s="136" t="s">
        <v>471</v>
      </c>
      <c r="C5770" s="132" t="s">
        <v>1370</v>
      </c>
      <c r="D5770" s="132" t="s">
        <v>285</v>
      </c>
      <c r="E5770" s="508">
        <v>2.6579999999999999</v>
      </c>
      <c r="F5770" s="508">
        <v>2.629</v>
      </c>
      <c r="G5770" s="508">
        <v>2.4969999999999999</v>
      </c>
      <c r="H5770" s="508">
        <v>1.0649999999999999</v>
      </c>
      <c r="I5770" s="508">
        <v>1.1200000000000001</v>
      </c>
      <c r="J5770" s="508">
        <v>1.0629999999999999</v>
      </c>
      <c r="K5770" s="508">
        <v>1.016</v>
      </c>
      <c r="L5770" s="508">
        <v>1.048</v>
      </c>
      <c r="M5770" s="508">
        <v>1.069</v>
      </c>
      <c r="N5770" s="508">
        <v>1.101</v>
      </c>
      <c r="O5770" s="508">
        <v>1.113</v>
      </c>
      <c r="P5770" s="508">
        <v>1.0760000000000001</v>
      </c>
      <c r="Q5770" s="508">
        <v>1.071</v>
      </c>
      <c r="R5770" s="508">
        <v>0.71899999999999997</v>
      </c>
      <c r="S5770" s="508">
        <v>0.71599999999999997</v>
      </c>
      <c r="T5770" s="508">
        <v>0.69299999999999995</v>
      </c>
      <c r="U5770" s="508">
        <v>0.72799999999999998</v>
      </c>
      <c r="V5770" s="508">
        <v>0.73399999999999999</v>
      </c>
      <c r="W5770" s="508">
        <v>0.66500000000000004</v>
      </c>
      <c r="X5770" s="508">
        <v>0.66200000000000003</v>
      </c>
      <c r="Y5770" s="508">
        <v>0.66300000000000003</v>
      </c>
      <c r="Z5770" s="508">
        <v>0.66400000000000003</v>
      </c>
      <c r="AA5770" s="508">
        <v>3.5999999999999997E-2</v>
      </c>
      <c r="AB5770" s="508">
        <v>3.5000000000000003E-2</v>
      </c>
      <c r="AC5770" s="508">
        <v>3.5999999999999997E-2</v>
      </c>
      <c r="AD5770" s="508">
        <v>3.4000000000000002E-2</v>
      </c>
      <c r="AE5770" s="508">
        <v>3.4000000000000002E-2</v>
      </c>
      <c r="AF5770" s="508">
        <v>2.1999999999999999E-2</v>
      </c>
      <c r="AG5770" s="508">
        <v>2.1000000000000001E-2</v>
      </c>
      <c r="AH5770" s="508">
        <v>2.1000000000000001E-2</v>
      </c>
      <c r="AI5770" s="492">
        <v>2.1000000000000001E-2</v>
      </c>
      <c r="AJ5770" s="485"/>
    </row>
    <row r="5771" spans="2:36">
      <c r="B5771" s="136" t="s">
        <v>472</v>
      </c>
      <c r="C5771" s="132" t="s">
        <v>1370</v>
      </c>
      <c r="D5771" s="132" t="s">
        <v>285</v>
      </c>
      <c r="E5771" s="508">
        <v>2.5430000000000001</v>
      </c>
      <c r="F5771" s="508">
        <v>2.5169999999999999</v>
      </c>
      <c r="G5771" s="508">
        <v>2.3860000000000001</v>
      </c>
      <c r="H5771" s="508">
        <v>0.99299999999999999</v>
      </c>
      <c r="I5771" s="508">
        <v>1.042</v>
      </c>
      <c r="J5771" s="508">
        <v>0.99099999999999999</v>
      </c>
      <c r="K5771" s="508">
        <v>0.95599999999999996</v>
      </c>
      <c r="L5771" s="508">
        <v>0.99</v>
      </c>
      <c r="M5771" s="508">
        <v>1.0129999999999999</v>
      </c>
      <c r="N5771" s="508">
        <v>1.014</v>
      </c>
      <c r="O5771" s="508">
        <v>1.024</v>
      </c>
      <c r="P5771" s="508">
        <v>0.99399999999999999</v>
      </c>
      <c r="Q5771" s="508">
        <v>0.99</v>
      </c>
      <c r="R5771" s="508">
        <v>0.66100000000000003</v>
      </c>
      <c r="S5771" s="508">
        <v>0.65800000000000003</v>
      </c>
      <c r="T5771" s="508">
        <v>0.63700000000000001</v>
      </c>
      <c r="U5771" s="508">
        <v>0.66900000000000004</v>
      </c>
      <c r="V5771" s="508">
        <v>0.67400000000000004</v>
      </c>
      <c r="W5771" s="508">
        <v>0.61099999999999999</v>
      </c>
      <c r="X5771" s="508">
        <v>0.60799999999999998</v>
      </c>
      <c r="Y5771" s="508">
        <v>0.61</v>
      </c>
      <c r="Z5771" s="508">
        <v>0.61</v>
      </c>
      <c r="AA5771" s="508">
        <v>3.3000000000000002E-2</v>
      </c>
      <c r="AB5771" s="508">
        <v>3.3000000000000002E-2</v>
      </c>
      <c r="AC5771" s="508">
        <v>3.3000000000000002E-2</v>
      </c>
      <c r="AD5771" s="508">
        <v>3.1E-2</v>
      </c>
      <c r="AE5771" s="508">
        <v>3.1E-2</v>
      </c>
      <c r="AF5771" s="508">
        <v>0.02</v>
      </c>
      <c r="AG5771" s="508">
        <v>1.9E-2</v>
      </c>
      <c r="AH5771" s="508">
        <v>1.9E-2</v>
      </c>
      <c r="AI5771" s="492">
        <v>1.9E-2</v>
      </c>
      <c r="AJ5771" s="485"/>
    </row>
    <row r="5772" spans="2:36">
      <c r="B5772" s="136" t="s">
        <v>473</v>
      </c>
      <c r="C5772" s="132" t="s">
        <v>1370</v>
      </c>
      <c r="D5772" s="132" t="s">
        <v>285</v>
      </c>
      <c r="E5772" s="508">
        <v>2.6880000000000002</v>
      </c>
      <c r="F5772" s="508">
        <v>2.6589999999999998</v>
      </c>
      <c r="G5772" s="508">
        <v>2.5259999999999998</v>
      </c>
      <c r="H5772" s="508">
        <v>1.0880000000000001</v>
      </c>
      <c r="I5772" s="508">
        <v>1.1439999999999999</v>
      </c>
      <c r="J5772" s="508">
        <v>1.085</v>
      </c>
      <c r="K5772" s="508">
        <v>1.036</v>
      </c>
      <c r="L5772" s="508">
        <v>1.0669999999999999</v>
      </c>
      <c r="M5772" s="508">
        <v>1.0880000000000001</v>
      </c>
      <c r="N5772" s="508">
        <v>1.1299999999999999</v>
      </c>
      <c r="O5772" s="508">
        <v>1.143</v>
      </c>
      <c r="P5772" s="508">
        <v>1.1040000000000001</v>
      </c>
      <c r="Q5772" s="508">
        <v>1.1000000000000001</v>
      </c>
      <c r="R5772" s="508">
        <v>0.73599999999999999</v>
      </c>
      <c r="S5772" s="508">
        <v>0.73299999999999998</v>
      </c>
      <c r="T5772" s="508">
        <v>0.70899999999999996</v>
      </c>
      <c r="U5772" s="508">
        <v>0.745</v>
      </c>
      <c r="V5772" s="508">
        <v>0.751</v>
      </c>
      <c r="W5772" s="508">
        <v>0.68</v>
      </c>
      <c r="X5772" s="508">
        <v>0.67800000000000005</v>
      </c>
      <c r="Y5772" s="508">
        <v>0.67900000000000005</v>
      </c>
      <c r="Z5772" s="508">
        <v>0.68</v>
      </c>
      <c r="AA5772" s="508">
        <v>3.5999999999999997E-2</v>
      </c>
      <c r="AB5772" s="508">
        <v>3.5999999999999997E-2</v>
      </c>
      <c r="AC5772" s="508">
        <v>3.6999999999999998E-2</v>
      </c>
      <c r="AD5772" s="508">
        <v>3.4000000000000002E-2</v>
      </c>
      <c r="AE5772" s="508">
        <v>3.4000000000000002E-2</v>
      </c>
      <c r="AF5772" s="508">
        <v>2.1999999999999999E-2</v>
      </c>
      <c r="AG5772" s="508">
        <v>2.1000000000000001E-2</v>
      </c>
      <c r="AH5772" s="508">
        <v>2.1000000000000001E-2</v>
      </c>
      <c r="AI5772" s="492">
        <v>2.1000000000000001E-2</v>
      </c>
      <c r="AJ5772" s="485"/>
    </row>
    <row r="5773" spans="2:36">
      <c r="B5773" s="136" t="s">
        <v>474</v>
      </c>
      <c r="C5773" s="132" t="s">
        <v>1370</v>
      </c>
      <c r="D5773" s="132" t="s">
        <v>285</v>
      </c>
      <c r="E5773" s="508">
        <v>2.625</v>
      </c>
      <c r="F5773" s="508">
        <v>2.597</v>
      </c>
      <c r="G5773" s="508">
        <v>2.4649999999999999</v>
      </c>
      <c r="H5773" s="508">
        <v>1.0469999999999999</v>
      </c>
      <c r="I5773" s="508">
        <v>1.1000000000000001</v>
      </c>
      <c r="J5773" s="508">
        <v>1.0449999999999999</v>
      </c>
      <c r="K5773" s="508">
        <v>1.0009999999999999</v>
      </c>
      <c r="L5773" s="508">
        <v>1.034</v>
      </c>
      <c r="M5773" s="508">
        <v>1.056</v>
      </c>
      <c r="N5773" s="508">
        <v>1.081</v>
      </c>
      <c r="O5773" s="508">
        <v>1.0920000000000001</v>
      </c>
      <c r="P5773" s="508">
        <v>1.0580000000000001</v>
      </c>
      <c r="Q5773" s="508">
        <v>1.0529999999999999</v>
      </c>
      <c r="R5773" s="508">
        <v>0.70399999999999996</v>
      </c>
      <c r="S5773" s="508">
        <v>0.7</v>
      </c>
      <c r="T5773" s="508">
        <v>0.67800000000000005</v>
      </c>
      <c r="U5773" s="508">
        <v>0.71199999999999997</v>
      </c>
      <c r="V5773" s="508">
        <v>0.71799999999999997</v>
      </c>
      <c r="W5773" s="508">
        <v>0.65</v>
      </c>
      <c r="X5773" s="508">
        <v>0.64800000000000002</v>
      </c>
      <c r="Y5773" s="508">
        <v>0.64900000000000002</v>
      </c>
      <c r="Z5773" s="508">
        <v>0.65</v>
      </c>
      <c r="AA5773" s="508">
        <v>3.5000000000000003E-2</v>
      </c>
      <c r="AB5773" s="508">
        <v>3.5000000000000003E-2</v>
      </c>
      <c r="AC5773" s="508">
        <v>3.5000000000000003E-2</v>
      </c>
      <c r="AD5773" s="508">
        <v>3.3000000000000002E-2</v>
      </c>
      <c r="AE5773" s="508">
        <v>3.3000000000000002E-2</v>
      </c>
      <c r="AF5773" s="508">
        <v>2.1999999999999999E-2</v>
      </c>
      <c r="AG5773" s="508">
        <v>2.1000000000000001E-2</v>
      </c>
      <c r="AH5773" s="508">
        <v>0.02</v>
      </c>
      <c r="AI5773" s="492">
        <v>0.02</v>
      </c>
      <c r="AJ5773" s="485"/>
    </row>
    <row r="5774" spans="2:36">
      <c r="B5774" s="136" t="s">
        <v>475</v>
      </c>
      <c r="C5774" s="132" t="s">
        <v>1370</v>
      </c>
      <c r="D5774" s="132" t="s">
        <v>285</v>
      </c>
      <c r="E5774" s="508">
        <v>2.605</v>
      </c>
      <c r="F5774" s="508">
        <v>2.577</v>
      </c>
      <c r="G5774" s="508">
        <v>2.4449999999999998</v>
      </c>
      <c r="H5774" s="508">
        <v>1.0329999999999999</v>
      </c>
      <c r="I5774" s="508">
        <v>1.085</v>
      </c>
      <c r="J5774" s="508">
        <v>1.0309999999999999</v>
      </c>
      <c r="K5774" s="508">
        <v>0.98899999999999999</v>
      </c>
      <c r="L5774" s="508">
        <v>1.0229999999999999</v>
      </c>
      <c r="M5774" s="508">
        <v>1.0449999999999999</v>
      </c>
      <c r="N5774" s="508">
        <v>1.0640000000000001</v>
      </c>
      <c r="O5774" s="508">
        <v>1.0740000000000001</v>
      </c>
      <c r="P5774" s="508">
        <v>1.0409999999999999</v>
      </c>
      <c r="Q5774" s="508">
        <v>1.0369999999999999</v>
      </c>
      <c r="R5774" s="508">
        <v>0.69199999999999995</v>
      </c>
      <c r="S5774" s="508">
        <v>0.68899999999999995</v>
      </c>
      <c r="T5774" s="508">
        <v>0.66700000000000004</v>
      </c>
      <c r="U5774" s="508">
        <v>0.70099999999999996</v>
      </c>
      <c r="V5774" s="508">
        <v>0.70599999999999996</v>
      </c>
      <c r="W5774" s="508">
        <v>0.64</v>
      </c>
      <c r="X5774" s="508">
        <v>0.63800000000000001</v>
      </c>
      <c r="Y5774" s="508">
        <v>0.63900000000000001</v>
      </c>
      <c r="Z5774" s="508">
        <v>0.63900000000000001</v>
      </c>
      <c r="AA5774" s="508">
        <v>3.5000000000000003E-2</v>
      </c>
      <c r="AB5774" s="508">
        <v>3.4000000000000002E-2</v>
      </c>
      <c r="AC5774" s="508">
        <v>3.5000000000000003E-2</v>
      </c>
      <c r="AD5774" s="508">
        <v>3.3000000000000002E-2</v>
      </c>
      <c r="AE5774" s="508">
        <v>3.3000000000000002E-2</v>
      </c>
      <c r="AF5774" s="508">
        <v>2.1000000000000001E-2</v>
      </c>
      <c r="AG5774" s="508">
        <v>0.02</v>
      </c>
      <c r="AH5774" s="508">
        <v>0.02</v>
      </c>
      <c r="AI5774" s="492">
        <v>0.02</v>
      </c>
      <c r="AJ5774" s="485"/>
    </row>
    <row r="5775" spans="2:36">
      <c r="B5775" s="136" t="s">
        <v>476</v>
      </c>
      <c r="C5775" s="132" t="s">
        <v>1370</v>
      </c>
      <c r="D5775" s="132" t="s">
        <v>285</v>
      </c>
      <c r="E5775" s="508">
        <v>2.6429999999999998</v>
      </c>
      <c r="F5775" s="508">
        <v>2.6150000000000002</v>
      </c>
      <c r="G5775" s="508">
        <v>2.4809999999999999</v>
      </c>
      <c r="H5775" s="508">
        <v>1.0620000000000001</v>
      </c>
      <c r="I5775" s="508">
        <v>1.115</v>
      </c>
      <c r="J5775" s="508">
        <v>1.06</v>
      </c>
      <c r="K5775" s="508">
        <v>1.0149999999999999</v>
      </c>
      <c r="L5775" s="508">
        <v>1.048</v>
      </c>
      <c r="M5775" s="508">
        <v>1.07</v>
      </c>
      <c r="N5775" s="508">
        <v>1.103</v>
      </c>
      <c r="O5775" s="508">
        <v>1.113</v>
      </c>
      <c r="P5775" s="508">
        <v>1.08</v>
      </c>
      <c r="Q5775" s="508">
        <v>1.075</v>
      </c>
      <c r="R5775" s="508">
        <v>0.71399999999999997</v>
      </c>
      <c r="S5775" s="508">
        <v>0.71</v>
      </c>
      <c r="T5775" s="508">
        <v>0.68700000000000006</v>
      </c>
      <c r="U5775" s="508">
        <v>0.72199999999999998</v>
      </c>
      <c r="V5775" s="508">
        <v>0.72799999999999998</v>
      </c>
      <c r="W5775" s="508">
        <v>0.66</v>
      </c>
      <c r="X5775" s="508">
        <v>0.65700000000000003</v>
      </c>
      <c r="Y5775" s="508">
        <v>0.65800000000000003</v>
      </c>
      <c r="Z5775" s="508">
        <v>0.65900000000000003</v>
      </c>
      <c r="AA5775" s="508">
        <v>3.5999999999999997E-2</v>
      </c>
      <c r="AB5775" s="508">
        <v>3.5000000000000003E-2</v>
      </c>
      <c r="AC5775" s="508">
        <v>3.5999999999999997E-2</v>
      </c>
      <c r="AD5775" s="508">
        <v>3.4000000000000002E-2</v>
      </c>
      <c r="AE5775" s="508">
        <v>3.4000000000000002E-2</v>
      </c>
      <c r="AF5775" s="508">
        <v>2.1999999999999999E-2</v>
      </c>
      <c r="AG5775" s="508">
        <v>2.1000000000000001E-2</v>
      </c>
      <c r="AH5775" s="508">
        <v>2.1000000000000001E-2</v>
      </c>
      <c r="AI5775" s="492">
        <v>2.1000000000000001E-2</v>
      </c>
      <c r="AJ5775" s="485"/>
    </row>
    <row r="5776" spans="2:36">
      <c r="B5776" s="136" t="s">
        <v>478</v>
      </c>
      <c r="C5776" s="132" t="s">
        <v>1370</v>
      </c>
      <c r="D5776" s="132" t="s">
        <v>285</v>
      </c>
      <c r="E5776" s="508">
        <v>2.6920000000000002</v>
      </c>
      <c r="F5776" s="508">
        <v>2.6629999999999998</v>
      </c>
      <c r="G5776" s="508">
        <v>2.5289999999999999</v>
      </c>
      <c r="H5776" s="508">
        <v>1.097</v>
      </c>
      <c r="I5776" s="508">
        <v>1.1519999999999999</v>
      </c>
      <c r="J5776" s="508">
        <v>1.095</v>
      </c>
      <c r="K5776" s="508">
        <v>1.044</v>
      </c>
      <c r="L5776" s="508">
        <v>1.0760000000000001</v>
      </c>
      <c r="M5776" s="508">
        <v>1.0980000000000001</v>
      </c>
      <c r="N5776" s="508">
        <v>1.147</v>
      </c>
      <c r="O5776" s="508">
        <v>1.159</v>
      </c>
      <c r="P5776" s="508">
        <v>1.123</v>
      </c>
      <c r="Q5776" s="508">
        <v>1.119</v>
      </c>
      <c r="R5776" s="508">
        <v>0.73899999999999999</v>
      </c>
      <c r="S5776" s="508">
        <v>0.73499999999999999</v>
      </c>
      <c r="T5776" s="508">
        <v>0.71099999999999997</v>
      </c>
      <c r="U5776" s="508">
        <v>0.748</v>
      </c>
      <c r="V5776" s="508">
        <v>0.754</v>
      </c>
      <c r="W5776" s="508">
        <v>0.68300000000000005</v>
      </c>
      <c r="X5776" s="508">
        <v>0.68</v>
      </c>
      <c r="Y5776" s="508">
        <v>0.68200000000000005</v>
      </c>
      <c r="Z5776" s="508">
        <v>0.68300000000000005</v>
      </c>
      <c r="AA5776" s="508">
        <v>3.6999999999999998E-2</v>
      </c>
      <c r="AB5776" s="508">
        <v>3.5999999999999997E-2</v>
      </c>
      <c r="AC5776" s="508">
        <v>3.6999999999999998E-2</v>
      </c>
      <c r="AD5776" s="508">
        <v>3.5000000000000003E-2</v>
      </c>
      <c r="AE5776" s="508">
        <v>3.5000000000000003E-2</v>
      </c>
      <c r="AF5776" s="508">
        <v>2.3E-2</v>
      </c>
      <c r="AG5776" s="508">
        <v>2.1000000000000001E-2</v>
      </c>
      <c r="AH5776" s="508">
        <v>2.1000000000000001E-2</v>
      </c>
      <c r="AI5776" s="492">
        <v>2.1000000000000001E-2</v>
      </c>
      <c r="AJ5776" s="485"/>
    </row>
    <row r="5777" spans="2:36">
      <c r="B5777" s="136" t="s">
        <v>479</v>
      </c>
      <c r="C5777" s="132" t="s">
        <v>1370</v>
      </c>
      <c r="D5777" s="132" t="s">
        <v>285</v>
      </c>
      <c r="E5777" s="508">
        <v>2.6</v>
      </c>
      <c r="F5777" s="508">
        <v>2.573</v>
      </c>
      <c r="G5777" s="508">
        <v>2.44</v>
      </c>
      <c r="H5777" s="508">
        <v>1.0349999999999999</v>
      </c>
      <c r="I5777" s="508">
        <v>1.0860000000000001</v>
      </c>
      <c r="J5777" s="508">
        <v>1.0329999999999999</v>
      </c>
      <c r="K5777" s="508">
        <v>0.99199999999999999</v>
      </c>
      <c r="L5777" s="508">
        <v>1.0249999999999999</v>
      </c>
      <c r="M5777" s="508">
        <v>1.048</v>
      </c>
      <c r="N5777" s="508">
        <v>1.069</v>
      </c>
      <c r="O5777" s="508">
        <v>1.079</v>
      </c>
      <c r="P5777" s="508">
        <v>1.0469999999999999</v>
      </c>
      <c r="Q5777" s="508">
        <v>1.0429999999999999</v>
      </c>
      <c r="R5777" s="508">
        <v>0.69199999999999995</v>
      </c>
      <c r="S5777" s="508">
        <v>0.68799999999999994</v>
      </c>
      <c r="T5777" s="508">
        <v>0.66600000000000004</v>
      </c>
      <c r="U5777" s="508">
        <v>0.7</v>
      </c>
      <c r="V5777" s="508">
        <v>0.70599999999999996</v>
      </c>
      <c r="W5777" s="508">
        <v>0.63900000000000001</v>
      </c>
      <c r="X5777" s="508">
        <v>0.63700000000000001</v>
      </c>
      <c r="Y5777" s="508">
        <v>0.63800000000000001</v>
      </c>
      <c r="Z5777" s="508">
        <v>0.63900000000000001</v>
      </c>
      <c r="AA5777" s="508">
        <v>3.5000000000000003E-2</v>
      </c>
      <c r="AB5777" s="508">
        <v>3.4000000000000002E-2</v>
      </c>
      <c r="AC5777" s="508">
        <v>3.5000000000000003E-2</v>
      </c>
      <c r="AD5777" s="508">
        <v>3.3000000000000002E-2</v>
      </c>
      <c r="AE5777" s="508">
        <v>3.3000000000000002E-2</v>
      </c>
      <c r="AF5777" s="508">
        <v>2.1000000000000001E-2</v>
      </c>
      <c r="AG5777" s="508">
        <v>0.02</v>
      </c>
      <c r="AH5777" s="508">
        <v>0.02</v>
      </c>
      <c r="AI5777" s="492">
        <v>0.02</v>
      </c>
      <c r="AJ5777" s="485"/>
    </row>
    <row r="5778" spans="2:36">
      <c r="B5778" s="136" t="s">
        <v>480</v>
      </c>
      <c r="C5778" s="132" t="s">
        <v>1370</v>
      </c>
      <c r="D5778" s="132" t="s">
        <v>285</v>
      </c>
      <c r="E5778" s="508">
        <v>2.52</v>
      </c>
      <c r="F5778" s="508">
        <v>2.4929999999999999</v>
      </c>
      <c r="G5778" s="508">
        <v>2.3620000000000001</v>
      </c>
      <c r="H5778" s="508">
        <v>0.98299999999999998</v>
      </c>
      <c r="I5778" s="508">
        <v>1.03</v>
      </c>
      <c r="J5778" s="508">
        <v>0.98099999999999998</v>
      </c>
      <c r="K5778" s="508">
        <v>0.94799999999999995</v>
      </c>
      <c r="L5778" s="508">
        <v>0.98299999999999998</v>
      </c>
      <c r="M5778" s="508">
        <v>1.0069999999999999</v>
      </c>
      <c r="N5778" s="508">
        <v>1.0069999999999999</v>
      </c>
      <c r="O5778" s="508">
        <v>1.016</v>
      </c>
      <c r="P5778" s="508">
        <v>0.98899999999999999</v>
      </c>
      <c r="Q5778" s="508">
        <v>0.98599999999999999</v>
      </c>
      <c r="R5778" s="508">
        <v>0.65</v>
      </c>
      <c r="S5778" s="508">
        <v>0.64700000000000002</v>
      </c>
      <c r="T5778" s="508">
        <v>0.626</v>
      </c>
      <c r="U5778" s="508">
        <v>0.65800000000000003</v>
      </c>
      <c r="V5778" s="508">
        <v>0.66300000000000003</v>
      </c>
      <c r="W5778" s="508">
        <v>0.60099999999999998</v>
      </c>
      <c r="X5778" s="508">
        <v>0.59899999999999998</v>
      </c>
      <c r="Y5778" s="508">
        <v>0.6</v>
      </c>
      <c r="Z5778" s="508">
        <v>0.6</v>
      </c>
      <c r="AA5778" s="508">
        <v>3.3000000000000002E-2</v>
      </c>
      <c r="AB5778" s="508">
        <v>3.3000000000000002E-2</v>
      </c>
      <c r="AC5778" s="508">
        <v>3.3000000000000002E-2</v>
      </c>
      <c r="AD5778" s="508">
        <v>3.1E-2</v>
      </c>
      <c r="AE5778" s="508">
        <v>3.1E-2</v>
      </c>
      <c r="AF5778" s="508">
        <v>0.02</v>
      </c>
      <c r="AG5778" s="508">
        <v>1.9E-2</v>
      </c>
      <c r="AH5778" s="508">
        <v>1.9E-2</v>
      </c>
      <c r="AI5778" s="492">
        <v>1.9E-2</v>
      </c>
      <c r="AJ5778" s="485"/>
    </row>
    <row r="5779" spans="2:36">
      <c r="B5779" s="136" t="s">
        <v>481</v>
      </c>
      <c r="C5779" s="132" t="s">
        <v>1370</v>
      </c>
      <c r="D5779" s="132" t="s">
        <v>285</v>
      </c>
      <c r="E5779" s="508">
        <v>2.621</v>
      </c>
      <c r="F5779" s="508">
        <v>2.593</v>
      </c>
      <c r="G5779" s="508">
        <v>2.4609999999999999</v>
      </c>
      <c r="H5779" s="508">
        <v>1.048</v>
      </c>
      <c r="I5779" s="508">
        <v>1.1000000000000001</v>
      </c>
      <c r="J5779" s="508">
        <v>1.046</v>
      </c>
      <c r="K5779" s="508">
        <v>1.0029999999999999</v>
      </c>
      <c r="L5779" s="508">
        <v>1.036</v>
      </c>
      <c r="M5779" s="508">
        <v>1.0580000000000001</v>
      </c>
      <c r="N5779" s="508">
        <v>1.0860000000000001</v>
      </c>
      <c r="O5779" s="508">
        <v>1.0960000000000001</v>
      </c>
      <c r="P5779" s="508">
        <v>1.0629999999999999</v>
      </c>
      <c r="Q5779" s="508">
        <v>1.0589999999999999</v>
      </c>
      <c r="R5779" s="508">
        <v>0.70199999999999996</v>
      </c>
      <c r="S5779" s="508">
        <v>0.69899999999999995</v>
      </c>
      <c r="T5779" s="508">
        <v>0.67600000000000005</v>
      </c>
      <c r="U5779" s="508">
        <v>0.71099999999999997</v>
      </c>
      <c r="V5779" s="508">
        <v>0.71699999999999997</v>
      </c>
      <c r="W5779" s="508">
        <v>0.64900000000000002</v>
      </c>
      <c r="X5779" s="508">
        <v>0.64700000000000002</v>
      </c>
      <c r="Y5779" s="508">
        <v>0.64800000000000002</v>
      </c>
      <c r="Z5779" s="508">
        <v>0.64900000000000002</v>
      </c>
      <c r="AA5779" s="508">
        <v>3.5000000000000003E-2</v>
      </c>
      <c r="AB5779" s="508">
        <v>3.5000000000000003E-2</v>
      </c>
      <c r="AC5779" s="508">
        <v>3.5000000000000003E-2</v>
      </c>
      <c r="AD5779" s="508">
        <v>3.3000000000000002E-2</v>
      </c>
      <c r="AE5779" s="508">
        <v>3.3000000000000002E-2</v>
      </c>
      <c r="AF5779" s="508">
        <v>2.1999999999999999E-2</v>
      </c>
      <c r="AG5779" s="508">
        <v>2.1000000000000001E-2</v>
      </c>
      <c r="AH5779" s="508">
        <v>0.02</v>
      </c>
      <c r="AI5779" s="492">
        <v>0.02</v>
      </c>
      <c r="AJ5779" s="485"/>
    </row>
    <row r="5780" spans="2:36">
      <c r="B5780" s="136" t="s">
        <v>482</v>
      </c>
      <c r="C5780" s="132" t="s">
        <v>1370</v>
      </c>
      <c r="D5780" s="132" t="s">
        <v>285</v>
      </c>
      <c r="E5780" s="508">
        <v>2.6280000000000001</v>
      </c>
      <c r="F5780" s="508">
        <v>2.6</v>
      </c>
      <c r="G5780" s="508">
        <v>2.4670000000000001</v>
      </c>
      <c r="H5780" s="508">
        <v>1.052</v>
      </c>
      <c r="I5780" s="508">
        <v>1.1040000000000001</v>
      </c>
      <c r="J5780" s="508">
        <v>1.05</v>
      </c>
      <c r="K5780" s="508">
        <v>1.006</v>
      </c>
      <c r="L5780" s="508">
        <v>1.0389999999999999</v>
      </c>
      <c r="M5780" s="508">
        <v>1.0609999999999999</v>
      </c>
      <c r="N5780" s="508">
        <v>1.0900000000000001</v>
      </c>
      <c r="O5780" s="508">
        <v>1.101</v>
      </c>
      <c r="P5780" s="508">
        <v>1.0680000000000001</v>
      </c>
      <c r="Q5780" s="508">
        <v>1.0640000000000001</v>
      </c>
      <c r="R5780" s="508">
        <v>0.70499999999999996</v>
      </c>
      <c r="S5780" s="508">
        <v>0.70099999999999996</v>
      </c>
      <c r="T5780" s="508">
        <v>0.67900000000000005</v>
      </c>
      <c r="U5780" s="508">
        <v>0.71299999999999997</v>
      </c>
      <c r="V5780" s="508">
        <v>0.71899999999999997</v>
      </c>
      <c r="W5780" s="508">
        <v>0.65200000000000002</v>
      </c>
      <c r="X5780" s="508">
        <v>0.64900000000000002</v>
      </c>
      <c r="Y5780" s="508">
        <v>0.65</v>
      </c>
      <c r="Z5780" s="508">
        <v>0.65100000000000002</v>
      </c>
      <c r="AA5780" s="508">
        <v>3.5000000000000003E-2</v>
      </c>
      <c r="AB5780" s="508">
        <v>3.5000000000000003E-2</v>
      </c>
      <c r="AC5780" s="508">
        <v>3.5000000000000003E-2</v>
      </c>
      <c r="AD5780" s="508">
        <v>3.3000000000000002E-2</v>
      </c>
      <c r="AE5780" s="508">
        <v>3.3000000000000002E-2</v>
      </c>
      <c r="AF5780" s="508">
        <v>2.1999999999999999E-2</v>
      </c>
      <c r="AG5780" s="508">
        <v>2.1000000000000001E-2</v>
      </c>
      <c r="AH5780" s="508">
        <v>0.02</v>
      </c>
      <c r="AI5780" s="492">
        <v>0.02</v>
      </c>
      <c r="AJ5780" s="485"/>
    </row>
    <row r="5781" spans="2:36">
      <c r="B5781" s="136" t="s">
        <v>483</v>
      </c>
      <c r="C5781" s="132" t="s">
        <v>1370</v>
      </c>
      <c r="D5781" s="132" t="s">
        <v>285</v>
      </c>
      <c r="E5781" s="508">
        <v>2.68</v>
      </c>
      <c r="F5781" s="508">
        <v>2.6509999999999998</v>
      </c>
      <c r="G5781" s="508">
        <v>2.5169999999999999</v>
      </c>
      <c r="H5781" s="508">
        <v>1.0880000000000001</v>
      </c>
      <c r="I5781" s="508">
        <v>1.143</v>
      </c>
      <c r="J5781" s="508">
        <v>1.0860000000000001</v>
      </c>
      <c r="K5781" s="508">
        <v>1.0369999999999999</v>
      </c>
      <c r="L5781" s="508">
        <v>1.069</v>
      </c>
      <c r="M5781" s="508">
        <v>1.091</v>
      </c>
      <c r="N5781" s="508">
        <v>1.1359999999999999</v>
      </c>
      <c r="O5781" s="508">
        <v>1.147</v>
      </c>
      <c r="P5781" s="508">
        <v>1.1120000000000001</v>
      </c>
      <c r="Q5781" s="508">
        <v>1.1080000000000001</v>
      </c>
      <c r="R5781" s="508">
        <v>0.73299999999999998</v>
      </c>
      <c r="S5781" s="508">
        <v>0.72899999999999998</v>
      </c>
      <c r="T5781" s="508">
        <v>0.70499999999999996</v>
      </c>
      <c r="U5781" s="508">
        <v>0.74199999999999999</v>
      </c>
      <c r="V5781" s="508">
        <v>0.748</v>
      </c>
      <c r="W5781" s="508">
        <v>0.67800000000000005</v>
      </c>
      <c r="X5781" s="508">
        <v>0.67500000000000004</v>
      </c>
      <c r="Y5781" s="508">
        <v>0.67600000000000005</v>
      </c>
      <c r="Z5781" s="508">
        <v>0.67700000000000005</v>
      </c>
      <c r="AA5781" s="508">
        <v>3.5999999999999997E-2</v>
      </c>
      <c r="AB5781" s="508">
        <v>3.5999999999999997E-2</v>
      </c>
      <c r="AC5781" s="508">
        <v>3.5999999999999997E-2</v>
      </c>
      <c r="AD5781" s="508">
        <v>3.4000000000000002E-2</v>
      </c>
      <c r="AE5781" s="508">
        <v>3.4000000000000002E-2</v>
      </c>
      <c r="AF5781" s="508">
        <v>2.1999999999999999E-2</v>
      </c>
      <c r="AG5781" s="508">
        <v>2.1000000000000001E-2</v>
      </c>
      <c r="AH5781" s="508">
        <v>2.1000000000000001E-2</v>
      </c>
      <c r="AI5781" s="492">
        <v>2.1000000000000001E-2</v>
      </c>
      <c r="AJ5781" s="485"/>
    </row>
    <row r="5782" spans="2:36">
      <c r="B5782" s="136" t="s">
        <v>484</v>
      </c>
      <c r="C5782" s="132" t="s">
        <v>1370</v>
      </c>
      <c r="D5782" s="132" t="s">
        <v>285</v>
      </c>
      <c r="E5782" s="508">
        <v>2.5379999999999998</v>
      </c>
      <c r="F5782" s="508">
        <v>2.512</v>
      </c>
      <c r="G5782" s="508">
        <v>2.3809999999999998</v>
      </c>
      <c r="H5782" s="508">
        <v>0.99</v>
      </c>
      <c r="I5782" s="508">
        <v>1.0389999999999999</v>
      </c>
      <c r="J5782" s="508">
        <v>0.98799999999999999</v>
      </c>
      <c r="K5782" s="508">
        <v>0.95399999999999996</v>
      </c>
      <c r="L5782" s="508">
        <v>0.98799999999999999</v>
      </c>
      <c r="M5782" s="508">
        <v>1.0109999999999999</v>
      </c>
      <c r="N5782" s="508">
        <v>1.012</v>
      </c>
      <c r="O5782" s="508">
        <v>1.022</v>
      </c>
      <c r="P5782" s="508">
        <v>0.99199999999999999</v>
      </c>
      <c r="Q5782" s="508">
        <v>0.98799999999999999</v>
      </c>
      <c r="R5782" s="508">
        <v>0.65800000000000003</v>
      </c>
      <c r="S5782" s="508">
        <v>0.65500000000000003</v>
      </c>
      <c r="T5782" s="508">
        <v>0.63400000000000001</v>
      </c>
      <c r="U5782" s="508">
        <v>0.66600000000000004</v>
      </c>
      <c r="V5782" s="508">
        <v>0.67200000000000004</v>
      </c>
      <c r="W5782" s="508">
        <v>0.60799999999999998</v>
      </c>
      <c r="X5782" s="508">
        <v>0.60599999999999998</v>
      </c>
      <c r="Y5782" s="508">
        <v>0.60699999999999998</v>
      </c>
      <c r="Z5782" s="508">
        <v>0.60799999999999998</v>
      </c>
      <c r="AA5782" s="508">
        <v>3.3000000000000002E-2</v>
      </c>
      <c r="AB5782" s="508">
        <v>3.3000000000000002E-2</v>
      </c>
      <c r="AC5782" s="508">
        <v>3.3000000000000002E-2</v>
      </c>
      <c r="AD5782" s="508">
        <v>3.1E-2</v>
      </c>
      <c r="AE5782" s="508">
        <v>3.1E-2</v>
      </c>
      <c r="AF5782" s="508">
        <v>0.02</v>
      </c>
      <c r="AG5782" s="508">
        <v>1.9E-2</v>
      </c>
      <c r="AH5782" s="508">
        <v>1.9E-2</v>
      </c>
      <c r="AI5782" s="492">
        <v>1.9E-2</v>
      </c>
      <c r="AJ5782" s="485"/>
    </row>
    <row r="5783" spans="2:36">
      <c r="B5783" s="136" t="s">
        <v>486</v>
      </c>
      <c r="C5783" s="132" t="s">
        <v>1370</v>
      </c>
      <c r="D5783" s="132" t="s">
        <v>285</v>
      </c>
      <c r="E5783" s="508">
        <v>2.6269999999999998</v>
      </c>
      <c r="F5783" s="508">
        <v>2.5979999999999999</v>
      </c>
      <c r="G5783" s="508">
        <v>2.4649999999999999</v>
      </c>
      <c r="H5783" s="508">
        <v>1.052</v>
      </c>
      <c r="I5783" s="508">
        <v>1.1040000000000001</v>
      </c>
      <c r="J5783" s="508">
        <v>1.05</v>
      </c>
      <c r="K5783" s="508">
        <v>1.006</v>
      </c>
      <c r="L5783" s="508">
        <v>1.0389999999999999</v>
      </c>
      <c r="M5783" s="508">
        <v>1.0620000000000001</v>
      </c>
      <c r="N5783" s="508">
        <v>1.091</v>
      </c>
      <c r="O5783" s="508">
        <v>1.101</v>
      </c>
      <c r="P5783" s="508">
        <v>1.069</v>
      </c>
      <c r="Q5783" s="508">
        <v>1.0649999999999999</v>
      </c>
      <c r="R5783" s="508">
        <v>0.70499999999999996</v>
      </c>
      <c r="S5783" s="508">
        <v>0.70099999999999996</v>
      </c>
      <c r="T5783" s="508">
        <v>0.67800000000000005</v>
      </c>
      <c r="U5783" s="508">
        <v>0.71299999999999997</v>
      </c>
      <c r="V5783" s="508">
        <v>0.71899999999999997</v>
      </c>
      <c r="W5783" s="508">
        <v>0.65200000000000002</v>
      </c>
      <c r="X5783" s="508">
        <v>0.64900000000000002</v>
      </c>
      <c r="Y5783" s="508">
        <v>0.65</v>
      </c>
      <c r="Z5783" s="508">
        <v>0.65100000000000002</v>
      </c>
      <c r="AA5783" s="508">
        <v>3.5000000000000003E-2</v>
      </c>
      <c r="AB5783" s="508">
        <v>3.5000000000000003E-2</v>
      </c>
      <c r="AC5783" s="508">
        <v>3.5000000000000003E-2</v>
      </c>
      <c r="AD5783" s="508">
        <v>3.3000000000000002E-2</v>
      </c>
      <c r="AE5783" s="508">
        <v>3.3000000000000002E-2</v>
      </c>
      <c r="AF5783" s="508">
        <v>2.1999999999999999E-2</v>
      </c>
      <c r="AG5783" s="508">
        <v>2.1000000000000001E-2</v>
      </c>
      <c r="AH5783" s="508">
        <v>0.02</v>
      </c>
      <c r="AI5783" s="492">
        <v>0.02</v>
      </c>
      <c r="AJ5783" s="485"/>
    </row>
    <row r="5784" spans="2:36">
      <c r="B5784" s="136" t="s">
        <v>487</v>
      </c>
      <c r="C5784" s="132" t="s">
        <v>1370</v>
      </c>
      <c r="D5784" s="132" t="s">
        <v>285</v>
      </c>
      <c r="E5784" s="508">
        <v>2.6230000000000002</v>
      </c>
      <c r="F5784" s="508">
        <v>2.5950000000000002</v>
      </c>
      <c r="G5784" s="508">
        <v>2.4609999999999999</v>
      </c>
      <c r="H5784" s="508">
        <v>1.052</v>
      </c>
      <c r="I5784" s="508">
        <v>1.1040000000000001</v>
      </c>
      <c r="J5784" s="508">
        <v>1.05</v>
      </c>
      <c r="K5784" s="508">
        <v>1.0069999999999999</v>
      </c>
      <c r="L5784" s="508">
        <v>1.04</v>
      </c>
      <c r="M5784" s="508">
        <v>1.0629999999999999</v>
      </c>
      <c r="N5784" s="508">
        <v>1.0940000000000001</v>
      </c>
      <c r="O5784" s="508">
        <v>1.1040000000000001</v>
      </c>
      <c r="P5784" s="508">
        <v>1.0720000000000001</v>
      </c>
      <c r="Q5784" s="508">
        <v>1.069</v>
      </c>
      <c r="R5784" s="508">
        <v>0.70299999999999996</v>
      </c>
      <c r="S5784" s="508">
        <v>0.69899999999999995</v>
      </c>
      <c r="T5784" s="508">
        <v>0.67600000000000005</v>
      </c>
      <c r="U5784" s="508">
        <v>0.71099999999999997</v>
      </c>
      <c r="V5784" s="508">
        <v>0.71699999999999997</v>
      </c>
      <c r="W5784" s="508">
        <v>0.65</v>
      </c>
      <c r="X5784" s="508">
        <v>0.64800000000000002</v>
      </c>
      <c r="Y5784" s="508">
        <v>0.64900000000000002</v>
      </c>
      <c r="Z5784" s="508">
        <v>0.65</v>
      </c>
      <c r="AA5784" s="508">
        <v>3.5000000000000003E-2</v>
      </c>
      <c r="AB5784" s="508">
        <v>3.5000000000000003E-2</v>
      </c>
      <c r="AC5784" s="508">
        <v>3.5000000000000003E-2</v>
      </c>
      <c r="AD5784" s="508">
        <v>3.3000000000000002E-2</v>
      </c>
      <c r="AE5784" s="508">
        <v>3.3000000000000002E-2</v>
      </c>
      <c r="AF5784" s="508">
        <v>2.1999999999999999E-2</v>
      </c>
      <c r="AG5784" s="508">
        <v>2.1000000000000001E-2</v>
      </c>
      <c r="AH5784" s="508">
        <v>0.02</v>
      </c>
      <c r="AI5784" s="492">
        <v>0.02</v>
      </c>
      <c r="AJ5784" s="485"/>
    </row>
    <row r="5785" spans="2:36">
      <c r="B5785" s="136" t="s">
        <v>488</v>
      </c>
      <c r="C5785" s="132" t="s">
        <v>1370</v>
      </c>
      <c r="D5785" s="132" t="s">
        <v>285</v>
      </c>
      <c r="E5785" s="508">
        <v>2.5579999999999998</v>
      </c>
      <c r="F5785" s="508">
        <v>2.5310000000000001</v>
      </c>
      <c r="G5785" s="508">
        <v>2.399</v>
      </c>
      <c r="H5785" s="508">
        <v>1.0049999999999999</v>
      </c>
      <c r="I5785" s="508">
        <v>1.054</v>
      </c>
      <c r="J5785" s="508">
        <v>1.0029999999999999</v>
      </c>
      <c r="K5785" s="508">
        <v>0.96599999999999997</v>
      </c>
      <c r="L5785" s="508">
        <v>1</v>
      </c>
      <c r="M5785" s="508">
        <v>1.0229999999999999</v>
      </c>
      <c r="N5785" s="508">
        <v>1.032</v>
      </c>
      <c r="O5785" s="508">
        <v>1.0409999999999999</v>
      </c>
      <c r="P5785" s="508">
        <v>1.012</v>
      </c>
      <c r="Q5785" s="508">
        <v>1.008</v>
      </c>
      <c r="R5785" s="508">
        <v>0.66900000000000004</v>
      </c>
      <c r="S5785" s="508">
        <v>0.66500000000000004</v>
      </c>
      <c r="T5785" s="508">
        <v>0.64400000000000002</v>
      </c>
      <c r="U5785" s="508">
        <v>0.67600000000000005</v>
      </c>
      <c r="V5785" s="508">
        <v>0.68200000000000005</v>
      </c>
      <c r="W5785" s="508">
        <v>0.61799999999999999</v>
      </c>
      <c r="X5785" s="508">
        <v>0.61599999999999999</v>
      </c>
      <c r="Y5785" s="508">
        <v>0.61699999999999999</v>
      </c>
      <c r="Z5785" s="508">
        <v>0.61699999999999999</v>
      </c>
      <c r="AA5785" s="508">
        <v>3.4000000000000002E-2</v>
      </c>
      <c r="AB5785" s="508">
        <v>3.3000000000000002E-2</v>
      </c>
      <c r="AC5785" s="508">
        <v>3.4000000000000002E-2</v>
      </c>
      <c r="AD5785" s="508">
        <v>3.2000000000000001E-2</v>
      </c>
      <c r="AE5785" s="508">
        <v>3.2000000000000001E-2</v>
      </c>
      <c r="AF5785" s="508">
        <v>2.1000000000000001E-2</v>
      </c>
      <c r="AG5785" s="508">
        <v>0.02</v>
      </c>
      <c r="AH5785" s="508">
        <v>0.02</v>
      </c>
      <c r="AI5785" s="492">
        <v>0.02</v>
      </c>
      <c r="AJ5785" s="485"/>
    </row>
    <row r="5786" spans="2:36">
      <c r="B5786" s="136" t="s">
        <v>489</v>
      </c>
      <c r="C5786" s="132" t="s">
        <v>1370</v>
      </c>
      <c r="D5786" s="132" t="s">
        <v>285</v>
      </c>
      <c r="E5786" s="508">
        <v>2.597</v>
      </c>
      <c r="F5786" s="508">
        <v>2.569</v>
      </c>
      <c r="G5786" s="508">
        <v>2.4369999999999998</v>
      </c>
      <c r="H5786" s="508">
        <v>1.028</v>
      </c>
      <c r="I5786" s="508">
        <v>1.08</v>
      </c>
      <c r="J5786" s="508">
        <v>1.026</v>
      </c>
      <c r="K5786" s="508">
        <v>0.98599999999999999</v>
      </c>
      <c r="L5786" s="508">
        <v>1.0189999999999999</v>
      </c>
      <c r="M5786" s="508">
        <v>1.0409999999999999</v>
      </c>
      <c r="N5786" s="508">
        <v>1.0589999999999999</v>
      </c>
      <c r="O5786" s="508">
        <v>1.069</v>
      </c>
      <c r="P5786" s="508">
        <v>1.0369999999999999</v>
      </c>
      <c r="Q5786" s="508">
        <v>1.0329999999999999</v>
      </c>
      <c r="R5786" s="508">
        <v>0.68799999999999994</v>
      </c>
      <c r="S5786" s="508">
        <v>0.68500000000000005</v>
      </c>
      <c r="T5786" s="508">
        <v>0.66300000000000003</v>
      </c>
      <c r="U5786" s="508">
        <v>0.69599999999999995</v>
      </c>
      <c r="V5786" s="508">
        <v>0.70199999999999996</v>
      </c>
      <c r="W5786" s="508">
        <v>0.63600000000000001</v>
      </c>
      <c r="X5786" s="508">
        <v>0.63400000000000001</v>
      </c>
      <c r="Y5786" s="508">
        <v>0.63500000000000001</v>
      </c>
      <c r="Z5786" s="508">
        <v>0.63600000000000001</v>
      </c>
      <c r="AA5786" s="508">
        <v>3.4000000000000002E-2</v>
      </c>
      <c r="AB5786" s="508">
        <v>3.4000000000000002E-2</v>
      </c>
      <c r="AC5786" s="508">
        <v>3.4000000000000002E-2</v>
      </c>
      <c r="AD5786" s="508">
        <v>3.3000000000000002E-2</v>
      </c>
      <c r="AE5786" s="508">
        <v>3.2000000000000001E-2</v>
      </c>
      <c r="AF5786" s="508">
        <v>2.1000000000000001E-2</v>
      </c>
      <c r="AG5786" s="508">
        <v>0.02</v>
      </c>
      <c r="AH5786" s="508">
        <v>0.02</v>
      </c>
      <c r="AI5786" s="492">
        <v>0.02</v>
      </c>
      <c r="AJ5786" s="485"/>
    </row>
    <row r="5787" spans="2:36">
      <c r="B5787" s="136" t="s">
        <v>490</v>
      </c>
      <c r="C5787" s="132" t="s">
        <v>1370</v>
      </c>
      <c r="D5787" s="132" t="s">
        <v>285</v>
      </c>
      <c r="E5787" s="508">
        <v>2.5169999999999999</v>
      </c>
      <c r="F5787" s="508">
        <v>2.4910000000000001</v>
      </c>
      <c r="G5787" s="508">
        <v>2.36</v>
      </c>
      <c r="H5787" s="508">
        <v>0.98399999999999999</v>
      </c>
      <c r="I5787" s="508">
        <v>1.03</v>
      </c>
      <c r="J5787" s="508">
        <v>0.98299999999999998</v>
      </c>
      <c r="K5787" s="508">
        <v>0.95</v>
      </c>
      <c r="L5787" s="508">
        <v>0.98499999999999999</v>
      </c>
      <c r="M5787" s="508">
        <v>1.0089999999999999</v>
      </c>
      <c r="N5787" s="508">
        <v>1.0109999999999999</v>
      </c>
      <c r="O5787" s="508">
        <v>1.0189999999999999</v>
      </c>
      <c r="P5787" s="508">
        <v>0.99399999999999999</v>
      </c>
      <c r="Q5787" s="508">
        <v>0.99</v>
      </c>
      <c r="R5787" s="508">
        <v>0.65</v>
      </c>
      <c r="S5787" s="508">
        <v>0.64600000000000002</v>
      </c>
      <c r="T5787" s="508">
        <v>0.625</v>
      </c>
      <c r="U5787" s="508">
        <v>0.65800000000000003</v>
      </c>
      <c r="V5787" s="508">
        <v>0.66300000000000003</v>
      </c>
      <c r="W5787" s="508">
        <v>0.60099999999999998</v>
      </c>
      <c r="X5787" s="508">
        <v>0.59899999999999998</v>
      </c>
      <c r="Y5787" s="508">
        <v>0.6</v>
      </c>
      <c r="Z5787" s="508">
        <v>0.6</v>
      </c>
      <c r="AA5787" s="508">
        <v>3.3000000000000002E-2</v>
      </c>
      <c r="AB5787" s="508">
        <v>3.3000000000000002E-2</v>
      </c>
      <c r="AC5787" s="508">
        <v>3.3000000000000002E-2</v>
      </c>
      <c r="AD5787" s="508">
        <v>3.1E-2</v>
      </c>
      <c r="AE5787" s="508">
        <v>3.1E-2</v>
      </c>
      <c r="AF5787" s="508">
        <v>0.02</v>
      </c>
      <c r="AG5787" s="508">
        <v>1.9E-2</v>
      </c>
      <c r="AH5787" s="508">
        <v>1.9E-2</v>
      </c>
      <c r="AI5787" s="492">
        <v>1.9E-2</v>
      </c>
      <c r="AJ5787" s="485"/>
    </row>
    <row r="5788" spans="2:36">
      <c r="B5788" s="136" t="s">
        <v>435</v>
      </c>
      <c r="C5788" s="132" t="s">
        <v>1371</v>
      </c>
      <c r="D5788" s="132" t="s">
        <v>285</v>
      </c>
      <c r="E5788" s="508">
        <v>1.0720000000000001</v>
      </c>
      <c r="F5788" s="508">
        <v>1.0720000000000001</v>
      </c>
      <c r="G5788" s="508">
        <v>1.0720000000000001</v>
      </c>
      <c r="H5788" s="508">
        <v>0.94099999999999995</v>
      </c>
      <c r="I5788" s="508">
        <v>0.94099999999999995</v>
      </c>
      <c r="J5788" s="508">
        <v>0.94099999999999995</v>
      </c>
      <c r="K5788" s="508">
        <v>0.60199999999999998</v>
      </c>
      <c r="L5788" s="508">
        <v>0.60199999999999998</v>
      </c>
      <c r="M5788" s="508">
        <v>0.60199999999999998</v>
      </c>
      <c r="N5788" s="508">
        <v>0.99099999999999999</v>
      </c>
      <c r="O5788" s="508">
        <v>0.99099999999999999</v>
      </c>
      <c r="P5788" s="508">
        <v>0.99099999999999999</v>
      </c>
      <c r="Q5788" s="508">
        <v>0.99099999999999999</v>
      </c>
      <c r="R5788" s="508">
        <v>0.47299999999999998</v>
      </c>
      <c r="S5788" s="508">
        <v>0.47299999999999998</v>
      </c>
      <c r="T5788" s="508">
        <v>0.47299999999999998</v>
      </c>
      <c r="U5788" s="508">
        <v>0.47299999999999998</v>
      </c>
      <c r="V5788" s="508">
        <v>0.47299999999999998</v>
      </c>
      <c r="W5788" s="508">
        <v>0.42599999999999999</v>
      </c>
      <c r="X5788" s="508">
        <v>0.42599999999999999</v>
      </c>
      <c r="Y5788" s="508">
        <v>0.42599999999999999</v>
      </c>
      <c r="Z5788" s="508">
        <v>0.42599999999999999</v>
      </c>
      <c r="AA5788" s="508">
        <v>1.7999999999999999E-2</v>
      </c>
      <c r="AB5788" s="508">
        <v>1.7999999999999999E-2</v>
      </c>
      <c r="AC5788" s="508">
        <v>1.7999999999999999E-2</v>
      </c>
      <c r="AD5788" s="508">
        <v>1.6E-2</v>
      </c>
      <c r="AE5788" s="508">
        <v>1.6E-2</v>
      </c>
      <c r="AF5788" s="508">
        <v>0.01</v>
      </c>
      <c r="AG5788" s="508">
        <v>8.9999999999999993E-3</v>
      </c>
      <c r="AH5788" s="508">
        <v>8.9999999999999993E-3</v>
      </c>
      <c r="AI5788" s="492">
        <v>8.9999999999999993E-3</v>
      </c>
      <c r="AJ5788" s="485"/>
    </row>
    <row r="5789" spans="2:36">
      <c r="B5789" s="136" t="s">
        <v>436</v>
      </c>
      <c r="C5789" s="132" t="s">
        <v>1371</v>
      </c>
      <c r="D5789" s="132" t="s">
        <v>285</v>
      </c>
      <c r="E5789" s="508">
        <v>1.0680000000000001</v>
      </c>
      <c r="F5789" s="508">
        <v>1.0680000000000001</v>
      </c>
      <c r="G5789" s="508">
        <v>1.0680000000000001</v>
      </c>
      <c r="H5789" s="508">
        <v>0.93200000000000005</v>
      </c>
      <c r="I5789" s="508">
        <v>0.93200000000000005</v>
      </c>
      <c r="J5789" s="508">
        <v>0.93200000000000005</v>
      </c>
      <c r="K5789" s="508">
        <v>0.59099999999999997</v>
      </c>
      <c r="L5789" s="508">
        <v>0.59099999999999997</v>
      </c>
      <c r="M5789" s="508">
        <v>0.59099999999999997</v>
      </c>
      <c r="N5789" s="508">
        <v>0.96699999999999997</v>
      </c>
      <c r="O5789" s="508">
        <v>0.96699999999999997</v>
      </c>
      <c r="P5789" s="508">
        <v>0.96699999999999997</v>
      </c>
      <c r="Q5789" s="508">
        <v>0.96699999999999997</v>
      </c>
      <c r="R5789" s="508">
        <v>0.46100000000000002</v>
      </c>
      <c r="S5789" s="508">
        <v>0.46100000000000002</v>
      </c>
      <c r="T5789" s="508">
        <v>0.46100000000000002</v>
      </c>
      <c r="U5789" s="508">
        <v>0.46100000000000002</v>
      </c>
      <c r="V5789" s="508">
        <v>0.46100000000000002</v>
      </c>
      <c r="W5789" s="508">
        <v>0.41599999999999998</v>
      </c>
      <c r="X5789" s="508">
        <v>0.41599999999999998</v>
      </c>
      <c r="Y5789" s="508">
        <v>0.41599999999999998</v>
      </c>
      <c r="Z5789" s="508">
        <v>0.41599999999999998</v>
      </c>
      <c r="AA5789" s="508">
        <v>1.7000000000000001E-2</v>
      </c>
      <c r="AB5789" s="508">
        <v>1.7000000000000001E-2</v>
      </c>
      <c r="AC5789" s="508">
        <v>1.7000000000000001E-2</v>
      </c>
      <c r="AD5789" s="508">
        <v>1.4999999999999999E-2</v>
      </c>
      <c r="AE5789" s="508">
        <v>1.4999999999999999E-2</v>
      </c>
      <c r="AF5789" s="508">
        <v>8.9999999999999993E-3</v>
      </c>
      <c r="AG5789" s="508">
        <v>8.9999999999999993E-3</v>
      </c>
      <c r="AH5789" s="508">
        <v>8.9999999999999993E-3</v>
      </c>
      <c r="AI5789" s="492">
        <v>8.9999999999999993E-3</v>
      </c>
      <c r="AJ5789" s="485"/>
    </row>
    <row r="5790" spans="2:36">
      <c r="B5790" s="136" t="s">
        <v>437</v>
      </c>
      <c r="C5790" s="132" t="s">
        <v>1371</v>
      </c>
      <c r="D5790" s="132" t="s">
        <v>285</v>
      </c>
      <c r="E5790" s="508">
        <v>1.089</v>
      </c>
      <c r="F5790" s="508">
        <v>1.089</v>
      </c>
      <c r="G5790" s="508">
        <v>1.089</v>
      </c>
      <c r="H5790" s="508">
        <v>0.96499999999999997</v>
      </c>
      <c r="I5790" s="508">
        <v>0.96499999999999997</v>
      </c>
      <c r="J5790" s="508">
        <v>0.96499999999999997</v>
      </c>
      <c r="K5790" s="508">
        <v>0.626</v>
      </c>
      <c r="L5790" s="508">
        <v>0.626</v>
      </c>
      <c r="M5790" s="508">
        <v>0.626</v>
      </c>
      <c r="N5790" s="508">
        <v>1.026</v>
      </c>
      <c r="O5790" s="508">
        <v>1.026</v>
      </c>
      <c r="P5790" s="508">
        <v>1.026</v>
      </c>
      <c r="Q5790" s="508">
        <v>1.026</v>
      </c>
      <c r="R5790" s="508">
        <v>0.48199999999999998</v>
      </c>
      <c r="S5790" s="508">
        <v>0.48199999999999998</v>
      </c>
      <c r="T5790" s="508">
        <v>0.48199999999999998</v>
      </c>
      <c r="U5790" s="508">
        <v>0.48199999999999998</v>
      </c>
      <c r="V5790" s="508">
        <v>0.48199999999999998</v>
      </c>
      <c r="W5790" s="508">
        <v>0.434</v>
      </c>
      <c r="X5790" s="508">
        <v>0.434</v>
      </c>
      <c r="Y5790" s="508">
        <v>0.434</v>
      </c>
      <c r="Z5790" s="508">
        <v>0.434</v>
      </c>
      <c r="AA5790" s="508">
        <v>1.7999999999999999E-2</v>
      </c>
      <c r="AB5790" s="508">
        <v>1.7999999999999999E-2</v>
      </c>
      <c r="AC5790" s="508">
        <v>1.7999999999999999E-2</v>
      </c>
      <c r="AD5790" s="508">
        <v>1.6E-2</v>
      </c>
      <c r="AE5790" s="508">
        <v>1.6E-2</v>
      </c>
      <c r="AF5790" s="508">
        <v>0.01</v>
      </c>
      <c r="AG5790" s="508">
        <v>0.01</v>
      </c>
      <c r="AH5790" s="508">
        <v>0.01</v>
      </c>
      <c r="AI5790" s="492">
        <v>0.01</v>
      </c>
      <c r="AJ5790" s="485"/>
    </row>
    <row r="5791" spans="2:36">
      <c r="B5791" s="136" t="s">
        <v>438</v>
      </c>
      <c r="C5791" s="132" t="s">
        <v>1371</v>
      </c>
      <c r="D5791" s="132" t="s">
        <v>285</v>
      </c>
      <c r="E5791" s="508">
        <v>1.0649999999999999</v>
      </c>
      <c r="F5791" s="508">
        <v>1.0649999999999999</v>
      </c>
      <c r="G5791" s="508">
        <v>1.0649999999999999</v>
      </c>
      <c r="H5791" s="508">
        <v>0.92300000000000004</v>
      </c>
      <c r="I5791" s="508">
        <v>0.92300000000000004</v>
      </c>
      <c r="J5791" s="508">
        <v>0.92300000000000004</v>
      </c>
      <c r="K5791" s="508">
        <v>0.57699999999999996</v>
      </c>
      <c r="L5791" s="508">
        <v>0.57699999999999996</v>
      </c>
      <c r="M5791" s="508">
        <v>0.57699999999999996</v>
      </c>
      <c r="N5791" s="508">
        <v>0.94299999999999995</v>
      </c>
      <c r="O5791" s="508">
        <v>0.94299999999999995</v>
      </c>
      <c r="P5791" s="508">
        <v>0.94299999999999995</v>
      </c>
      <c r="Q5791" s="508">
        <v>0.94299999999999995</v>
      </c>
      <c r="R5791" s="508">
        <v>0.45400000000000001</v>
      </c>
      <c r="S5791" s="508">
        <v>0.45400000000000001</v>
      </c>
      <c r="T5791" s="508">
        <v>0.45400000000000001</v>
      </c>
      <c r="U5791" s="508">
        <v>0.45400000000000001</v>
      </c>
      <c r="V5791" s="508">
        <v>0.45400000000000001</v>
      </c>
      <c r="W5791" s="508">
        <v>0.40899999999999997</v>
      </c>
      <c r="X5791" s="508">
        <v>0.40899999999999997</v>
      </c>
      <c r="Y5791" s="508">
        <v>0.40899999999999997</v>
      </c>
      <c r="Z5791" s="508">
        <v>0.40899999999999997</v>
      </c>
      <c r="AA5791" s="508">
        <v>1.7000000000000001E-2</v>
      </c>
      <c r="AB5791" s="508">
        <v>1.7000000000000001E-2</v>
      </c>
      <c r="AC5791" s="508">
        <v>1.7000000000000001E-2</v>
      </c>
      <c r="AD5791" s="508">
        <v>1.4999999999999999E-2</v>
      </c>
      <c r="AE5791" s="508">
        <v>1.4999999999999999E-2</v>
      </c>
      <c r="AF5791" s="508">
        <v>8.9999999999999993E-3</v>
      </c>
      <c r="AG5791" s="508">
        <v>8.9999999999999993E-3</v>
      </c>
      <c r="AH5791" s="508">
        <v>8.9999999999999993E-3</v>
      </c>
      <c r="AI5791" s="492">
        <v>8.9999999999999993E-3</v>
      </c>
      <c r="AJ5791" s="485"/>
    </row>
    <row r="5792" spans="2:36">
      <c r="B5792" s="136" t="s">
        <v>439</v>
      </c>
      <c r="C5792" s="132" t="s">
        <v>1371</v>
      </c>
      <c r="D5792" s="132" t="s">
        <v>285</v>
      </c>
      <c r="E5792" s="508">
        <v>1.1080000000000001</v>
      </c>
      <c r="F5792" s="508">
        <v>1.1080000000000001</v>
      </c>
      <c r="G5792" s="508">
        <v>1.109</v>
      </c>
      <c r="H5792" s="508">
        <v>0.97799999999999998</v>
      </c>
      <c r="I5792" s="508">
        <v>0.97799999999999998</v>
      </c>
      <c r="J5792" s="508">
        <v>0.97799999999999998</v>
      </c>
      <c r="K5792" s="508">
        <v>0.627</v>
      </c>
      <c r="L5792" s="508">
        <v>0.627</v>
      </c>
      <c r="M5792" s="508">
        <v>0.627</v>
      </c>
      <c r="N5792" s="508">
        <v>1.0249999999999999</v>
      </c>
      <c r="O5792" s="508">
        <v>1.0249999999999999</v>
      </c>
      <c r="P5792" s="508">
        <v>1.0249999999999999</v>
      </c>
      <c r="Q5792" s="508">
        <v>1.0249999999999999</v>
      </c>
      <c r="R5792" s="508">
        <v>0.48199999999999998</v>
      </c>
      <c r="S5792" s="508">
        <v>0.48199999999999998</v>
      </c>
      <c r="T5792" s="508">
        <v>0.48199999999999998</v>
      </c>
      <c r="U5792" s="508">
        <v>0.48199999999999998</v>
      </c>
      <c r="V5792" s="508">
        <v>0.48199999999999998</v>
      </c>
      <c r="W5792" s="508">
        <v>0.435</v>
      </c>
      <c r="X5792" s="508">
        <v>0.435</v>
      </c>
      <c r="Y5792" s="508">
        <v>0.435</v>
      </c>
      <c r="Z5792" s="508">
        <v>0.435</v>
      </c>
      <c r="AA5792" s="508">
        <v>1.7999999999999999E-2</v>
      </c>
      <c r="AB5792" s="508">
        <v>1.7999999999999999E-2</v>
      </c>
      <c r="AC5792" s="508">
        <v>1.7999999999999999E-2</v>
      </c>
      <c r="AD5792" s="508">
        <v>1.6E-2</v>
      </c>
      <c r="AE5792" s="508">
        <v>1.6E-2</v>
      </c>
      <c r="AF5792" s="508">
        <v>0.01</v>
      </c>
      <c r="AG5792" s="508">
        <v>0.01</v>
      </c>
      <c r="AH5792" s="508">
        <v>0.01</v>
      </c>
      <c r="AI5792" s="492">
        <v>0.01</v>
      </c>
      <c r="AJ5792" s="485"/>
    </row>
    <row r="5793" spans="2:36">
      <c r="B5793" s="136" t="s">
        <v>440</v>
      </c>
      <c r="C5793" s="132" t="s">
        <v>1371</v>
      </c>
      <c r="D5793" s="132" t="s">
        <v>285</v>
      </c>
      <c r="E5793" s="508">
        <v>1.089</v>
      </c>
      <c r="F5793" s="508">
        <v>1.089</v>
      </c>
      <c r="G5793" s="508">
        <v>1.089</v>
      </c>
      <c r="H5793" s="508">
        <v>0.95799999999999996</v>
      </c>
      <c r="I5793" s="508">
        <v>0.95799999999999996</v>
      </c>
      <c r="J5793" s="508">
        <v>0.95799999999999996</v>
      </c>
      <c r="K5793" s="508">
        <v>0.61199999999999999</v>
      </c>
      <c r="L5793" s="508">
        <v>0.61199999999999999</v>
      </c>
      <c r="M5793" s="508">
        <v>0.61199999999999999</v>
      </c>
      <c r="N5793" s="508">
        <v>1.002</v>
      </c>
      <c r="O5793" s="508">
        <v>1.002</v>
      </c>
      <c r="P5793" s="508">
        <v>1.002</v>
      </c>
      <c r="Q5793" s="508">
        <v>1.002</v>
      </c>
      <c r="R5793" s="508">
        <v>0.47399999999999998</v>
      </c>
      <c r="S5793" s="508">
        <v>0.47399999999999998</v>
      </c>
      <c r="T5793" s="508">
        <v>0.47399999999999998</v>
      </c>
      <c r="U5793" s="508">
        <v>0.47399999999999998</v>
      </c>
      <c r="V5793" s="508">
        <v>0.47399999999999998</v>
      </c>
      <c r="W5793" s="508">
        <v>0.42799999999999999</v>
      </c>
      <c r="X5793" s="508">
        <v>0.42799999999999999</v>
      </c>
      <c r="Y5793" s="508">
        <v>0.42799999999999999</v>
      </c>
      <c r="Z5793" s="508">
        <v>0.42799999999999999</v>
      </c>
      <c r="AA5793" s="508">
        <v>1.7999999999999999E-2</v>
      </c>
      <c r="AB5793" s="508">
        <v>1.7999999999999999E-2</v>
      </c>
      <c r="AC5793" s="508">
        <v>1.7999999999999999E-2</v>
      </c>
      <c r="AD5793" s="508">
        <v>1.6E-2</v>
      </c>
      <c r="AE5793" s="508">
        <v>1.6E-2</v>
      </c>
      <c r="AF5793" s="508">
        <v>0.01</v>
      </c>
      <c r="AG5793" s="508">
        <v>0.01</v>
      </c>
      <c r="AH5793" s="508">
        <v>0.01</v>
      </c>
      <c r="AI5793" s="492">
        <v>0.01</v>
      </c>
      <c r="AJ5793" s="485"/>
    </row>
    <row r="5794" spans="2:36">
      <c r="B5794" s="136" t="s">
        <v>441</v>
      </c>
      <c r="C5794" s="132" t="s">
        <v>1371</v>
      </c>
      <c r="D5794" s="132" t="s">
        <v>285</v>
      </c>
      <c r="E5794" s="508">
        <v>1.117</v>
      </c>
      <c r="F5794" s="508">
        <v>1.117</v>
      </c>
      <c r="G5794" s="508">
        <v>1.117</v>
      </c>
      <c r="H5794" s="508">
        <v>0.98499999999999999</v>
      </c>
      <c r="I5794" s="508">
        <v>0.98499999999999999</v>
      </c>
      <c r="J5794" s="508">
        <v>0.98499999999999999</v>
      </c>
      <c r="K5794" s="508">
        <v>0.63</v>
      </c>
      <c r="L5794" s="508">
        <v>0.63</v>
      </c>
      <c r="M5794" s="508">
        <v>0.63</v>
      </c>
      <c r="N5794" s="508">
        <v>1.0289999999999999</v>
      </c>
      <c r="O5794" s="508">
        <v>1.0289999999999999</v>
      </c>
      <c r="P5794" s="508">
        <v>1.0289999999999999</v>
      </c>
      <c r="Q5794" s="508">
        <v>1.0289999999999999</v>
      </c>
      <c r="R5794" s="508">
        <v>0.48299999999999998</v>
      </c>
      <c r="S5794" s="508">
        <v>0.48299999999999998</v>
      </c>
      <c r="T5794" s="508">
        <v>0.48299999999999998</v>
      </c>
      <c r="U5794" s="508">
        <v>0.48299999999999998</v>
      </c>
      <c r="V5794" s="508">
        <v>0.48299999999999998</v>
      </c>
      <c r="W5794" s="508">
        <v>0.436</v>
      </c>
      <c r="X5794" s="508">
        <v>0.436</v>
      </c>
      <c r="Y5794" s="508">
        <v>0.436</v>
      </c>
      <c r="Z5794" s="508">
        <v>0.436</v>
      </c>
      <c r="AA5794" s="508">
        <v>1.7999999999999999E-2</v>
      </c>
      <c r="AB5794" s="508">
        <v>1.7999999999999999E-2</v>
      </c>
      <c r="AC5794" s="508">
        <v>1.7999999999999999E-2</v>
      </c>
      <c r="AD5794" s="508">
        <v>1.6E-2</v>
      </c>
      <c r="AE5794" s="508">
        <v>1.6E-2</v>
      </c>
      <c r="AF5794" s="508">
        <v>0.01</v>
      </c>
      <c r="AG5794" s="508">
        <v>0.01</v>
      </c>
      <c r="AH5794" s="508">
        <v>0.01</v>
      </c>
      <c r="AI5794" s="492">
        <v>0.01</v>
      </c>
      <c r="AJ5794" s="485"/>
    </row>
    <row r="5795" spans="2:36">
      <c r="B5795" s="136" t="s">
        <v>443</v>
      </c>
      <c r="C5795" s="132" t="s">
        <v>1371</v>
      </c>
      <c r="D5795" s="132" t="s">
        <v>285</v>
      </c>
      <c r="E5795" s="508">
        <v>1.089</v>
      </c>
      <c r="F5795" s="508">
        <v>1.089</v>
      </c>
      <c r="G5795" s="508">
        <v>1.089</v>
      </c>
      <c r="H5795" s="508">
        <v>0.96599999999999997</v>
      </c>
      <c r="I5795" s="508">
        <v>0.96599999999999997</v>
      </c>
      <c r="J5795" s="508">
        <v>0.96599999999999997</v>
      </c>
      <c r="K5795" s="508">
        <v>0.627</v>
      </c>
      <c r="L5795" s="508">
        <v>0.627</v>
      </c>
      <c r="M5795" s="508">
        <v>0.627</v>
      </c>
      <c r="N5795" s="508">
        <v>1.0389999999999999</v>
      </c>
      <c r="O5795" s="508">
        <v>1.0389999999999999</v>
      </c>
      <c r="P5795" s="508">
        <v>1.0389999999999999</v>
      </c>
      <c r="Q5795" s="508">
        <v>1.0389999999999999</v>
      </c>
      <c r="R5795" s="508">
        <v>0.49199999999999999</v>
      </c>
      <c r="S5795" s="508">
        <v>0.49199999999999999</v>
      </c>
      <c r="T5795" s="508">
        <v>0.49199999999999999</v>
      </c>
      <c r="U5795" s="508">
        <v>0.49199999999999999</v>
      </c>
      <c r="V5795" s="508">
        <v>0.49199999999999999</v>
      </c>
      <c r="W5795" s="508">
        <v>0.44400000000000001</v>
      </c>
      <c r="X5795" s="508">
        <v>0.44400000000000001</v>
      </c>
      <c r="Y5795" s="508">
        <v>0.44400000000000001</v>
      </c>
      <c r="Z5795" s="508">
        <v>0.44400000000000001</v>
      </c>
      <c r="AA5795" s="508">
        <v>1.7999999999999999E-2</v>
      </c>
      <c r="AB5795" s="508">
        <v>1.7999999999999999E-2</v>
      </c>
      <c r="AC5795" s="508">
        <v>1.7999999999999999E-2</v>
      </c>
      <c r="AD5795" s="508">
        <v>1.6E-2</v>
      </c>
      <c r="AE5795" s="508">
        <v>1.6E-2</v>
      </c>
      <c r="AF5795" s="508">
        <v>0.01</v>
      </c>
      <c r="AG5795" s="508">
        <v>0.01</v>
      </c>
      <c r="AH5795" s="508">
        <v>0.01</v>
      </c>
      <c r="AI5795" s="492">
        <v>0.01</v>
      </c>
      <c r="AJ5795" s="485"/>
    </row>
    <row r="5796" spans="2:36">
      <c r="B5796" s="136" t="s">
        <v>445</v>
      </c>
      <c r="C5796" s="132" t="s">
        <v>1371</v>
      </c>
      <c r="D5796" s="132" t="s">
        <v>285</v>
      </c>
      <c r="E5796" s="508">
        <v>1.1200000000000001</v>
      </c>
      <c r="F5796" s="508">
        <v>1.1200000000000001</v>
      </c>
      <c r="G5796" s="508">
        <v>1.1200000000000001</v>
      </c>
      <c r="H5796" s="508">
        <v>1.024</v>
      </c>
      <c r="I5796" s="508">
        <v>1.024</v>
      </c>
      <c r="J5796" s="508">
        <v>1.024</v>
      </c>
      <c r="K5796" s="508">
        <v>0.69899999999999995</v>
      </c>
      <c r="L5796" s="508">
        <v>0.69899999999999995</v>
      </c>
      <c r="M5796" s="508">
        <v>0.69899999999999995</v>
      </c>
      <c r="N5796" s="508">
        <v>1.1599999999999999</v>
      </c>
      <c r="O5796" s="508">
        <v>1.1599999999999999</v>
      </c>
      <c r="P5796" s="508">
        <v>1.1599999999999999</v>
      </c>
      <c r="Q5796" s="508">
        <v>1.1599999999999999</v>
      </c>
      <c r="R5796" s="508">
        <v>0.53200000000000003</v>
      </c>
      <c r="S5796" s="508">
        <v>0.53200000000000003</v>
      </c>
      <c r="T5796" s="508">
        <v>0.53200000000000003</v>
      </c>
      <c r="U5796" s="508">
        <v>0.53200000000000003</v>
      </c>
      <c r="V5796" s="508">
        <v>0.53200000000000003</v>
      </c>
      <c r="W5796" s="508">
        <v>0.48</v>
      </c>
      <c r="X5796" s="508">
        <v>0.48</v>
      </c>
      <c r="Y5796" s="508">
        <v>0.48</v>
      </c>
      <c r="Z5796" s="508">
        <v>0.48</v>
      </c>
      <c r="AA5796" s="508">
        <v>1.9E-2</v>
      </c>
      <c r="AB5796" s="508">
        <v>1.9E-2</v>
      </c>
      <c r="AC5796" s="508">
        <v>1.9E-2</v>
      </c>
      <c r="AD5796" s="508">
        <v>1.7000000000000001E-2</v>
      </c>
      <c r="AE5796" s="508">
        <v>1.7000000000000001E-2</v>
      </c>
      <c r="AF5796" s="508">
        <v>1.0999999999999999E-2</v>
      </c>
      <c r="AG5796" s="508">
        <v>0.01</v>
      </c>
      <c r="AH5796" s="508">
        <v>0.01</v>
      </c>
      <c r="AI5796" s="492">
        <v>0.01</v>
      </c>
      <c r="AJ5796" s="485"/>
    </row>
    <row r="5797" spans="2:36">
      <c r="B5797" s="136" t="s">
        <v>446</v>
      </c>
      <c r="C5797" s="132" t="s">
        <v>1371</v>
      </c>
      <c r="D5797" s="132" t="s">
        <v>285</v>
      </c>
      <c r="E5797" s="508">
        <v>1.0980000000000001</v>
      </c>
      <c r="F5797" s="508">
        <v>1.0980000000000001</v>
      </c>
      <c r="G5797" s="508">
        <v>1.0980000000000001</v>
      </c>
      <c r="H5797" s="508">
        <v>0.98799999999999999</v>
      </c>
      <c r="I5797" s="508">
        <v>0.98799999999999999</v>
      </c>
      <c r="J5797" s="508">
        <v>0.98799999999999999</v>
      </c>
      <c r="K5797" s="508">
        <v>0.65900000000000003</v>
      </c>
      <c r="L5797" s="508">
        <v>0.65900000000000003</v>
      </c>
      <c r="M5797" s="508">
        <v>0.65900000000000003</v>
      </c>
      <c r="N5797" s="508">
        <v>1.0900000000000001</v>
      </c>
      <c r="O5797" s="508">
        <v>1.0900000000000001</v>
      </c>
      <c r="P5797" s="508">
        <v>1.0900000000000001</v>
      </c>
      <c r="Q5797" s="508">
        <v>1.0900000000000001</v>
      </c>
      <c r="R5797" s="508">
        <v>0.50600000000000001</v>
      </c>
      <c r="S5797" s="508">
        <v>0.50600000000000001</v>
      </c>
      <c r="T5797" s="508">
        <v>0.50600000000000001</v>
      </c>
      <c r="U5797" s="508">
        <v>0.50600000000000001</v>
      </c>
      <c r="V5797" s="508">
        <v>0.50600000000000001</v>
      </c>
      <c r="W5797" s="508">
        <v>0.45700000000000002</v>
      </c>
      <c r="X5797" s="508">
        <v>0.45700000000000002</v>
      </c>
      <c r="Y5797" s="508">
        <v>0.45700000000000002</v>
      </c>
      <c r="Z5797" s="508">
        <v>0.45700000000000002</v>
      </c>
      <c r="AA5797" s="508">
        <v>1.9E-2</v>
      </c>
      <c r="AB5797" s="508">
        <v>1.9E-2</v>
      </c>
      <c r="AC5797" s="508">
        <v>1.9E-2</v>
      </c>
      <c r="AD5797" s="508">
        <v>1.6E-2</v>
      </c>
      <c r="AE5797" s="508">
        <v>1.6E-2</v>
      </c>
      <c r="AF5797" s="508">
        <v>0.01</v>
      </c>
      <c r="AG5797" s="508">
        <v>0.01</v>
      </c>
      <c r="AH5797" s="508">
        <v>0.01</v>
      </c>
      <c r="AI5797" s="492">
        <v>0.01</v>
      </c>
      <c r="AJ5797" s="485"/>
    </row>
    <row r="5798" spans="2:36">
      <c r="B5798" s="136" t="s">
        <v>448</v>
      </c>
      <c r="C5798" s="132" t="s">
        <v>1371</v>
      </c>
      <c r="D5798" s="132" t="s">
        <v>285</v>
      </c>
      <c r="E5798" s="508">
        <v>1.073</v>
      </c>
      <c r="F5798" s="508">
        <v>1.073</v>
      </c>
      <c r="G5798" s="508">
        <v>1.073</v>
      </c>
      <c r="H5798" s="508">
        <v>0.93600000000000005</v>
      </c>
      <c r="I5798" s="508">
        <v>0.93600000000000005</v>
      </c>
      <c r="J5798" s="508">
        <v>0.93600000000000005</v>
      </c>
      <c r="K5798" s="508">
        <v>0.59</v>
      </c>
      <c r="L5798" s="508">
        <v>0.59</v>
      </c>
      <c r="M5798" s="508">
        <v>0.59</v>
      </c>
      <c r="N5798" s="508">
        <v>0.96699999999999997</v>
      </c>
      <c r="O5798" s="508">
        <v>0.96699999999999997</v>
      </c>
      <c r="P5798" s="508">
        <v>0.96699999999999997</v>
      </c>
      <c r="Q5798" s="508">
        <v>0.96699999999999997</v>
      </c>
      <c r="R5798" s="508">
        <v>0.46200000000000002</v>
      </c>
      <c r="S5798" s="508">
        <v>0.46200000000000002</v>
      </c>
      <c r="T5798" s="508">
        <v>0.46200000000000002</v>
      </c>
      <c r="U5798" s="508">
        <v>0.46200000000000002</v>
      </c>
      <c r="V5798" s="508">
        <v>0.46200000000000002</v>
      </c>
      <c r="W5798" s="508">
        <v>0.41699999999999998</v>
      </c>
      <c r="X5798" s="508">
        <v>0.41699999999999998</v>
      </c>
      <c r="Y5798" s="508">
        <v>0.41699999999999998</v>
      </c>
      <c r="Z5798" s="508">
        <v>0.41699999999999998</v>
      </c>
      <c r="AA5798" s="508">
        <v>1.7000000000000001E-2</v>
      </c>
      <c r="AB5798" s="508">
        <v>1.7000000000000001E-2</v>
      </c>
      <c r="AC5798" s="508">
        <v>1.7000000000000001E-2</v>
      </c>
      <c r="AD5798" s="508">
        <v>1.4999999999999999E-2</v>
      </c>
      <c r="AE5798" s="508">
        <v>1.4999999999999999E-2</v>
      </c>
      <c r="AF5798" s="508">
        <v>0.01</v>
      </c>
      <c r="AG5798" s="508">
        <v>8.9999999999999993E-3</v>
      </c>
      <c r="AH5798" s="508">
        <v>8.9999999999999993E-3</v>
      </c>
      <c r="AI5798" s="492">
        <v>8.9999999999999993E-3</v>
      </c>
      <c r="AJ5798" s="485"/>
    </row>
    <row r="5799" spans="2:36">
      <c r="B5799" s="136" t="s">
        <v>449</v>
      </c>
      <c r="C5799" s="132" t="s">
        <v>1371</v>
      </c>
      <c r="D5799" s="132" t="s">
        <v>285</v>
      </c>
      <c r="E5799" s="508">
        <v>1.0980000000000001</v>
      </c>
      <c r="F5799" s="508">
        <v>1.0980000000000001</v>
      </c>
      <c r="G5799" s="508">
        <v>1.0980000000000001</v>
      </c>
      <c r="H5799" s="508">
        <v>0.97799999999999998</v>
      </c>
      <c r="I5799" s="508">
        <v>0.97799999999999998</v>
      </c>
      <c r="J5799" s="508">
        <v>0.97799999999999998</v>
      </c>
      <c r="K5799" s="508">
        <v>0.63900000000000001</v>
      </c>
      <c r="L5799" s="508">
        <v>0.63900000000000001</v>
      </c>
      <c r="M5799" s="508">
        <v>0.63900000000000001</v>
      </c>
      <c r="N5799" s="508">
        <v>1.0569999999999999</v>
      </c>
      <c r="O5799" s="508">
        <v>1.0569999999999999</v>
      </c>
      <c r="P5799" s="508">
        <v>1.0569999999999999</v>
      </c>
      <c r="Q5799" s="508">
        <v>1.0569999999999999</v>
      </c>
      <c r="R5799" s="508">
        <v>0.497</v>
      </c>
      <c r="S5799" s="508">
        <v>0.497</v>
      </c>
      <c r="T5799" s="508">
        <v>0.497</v>
      </c>
      <c r="U5799" s="508">
        <v>0.497</v>
      </c>
      <c r="V5799" s="508">
        <v>0.497</v>
      </c>
      <c r="W5799" s="508">
        <v>0.44800000000000001</v>
      </c>
      <c r="X5799" s="508">
        <v>0.44800000000000001</v>
      </c>
      <c r="Y5799" s="508">
        <v>0.44800000000000001</v>
      </c>
      <c r="Z5799" s="508">
        <v>0.44800000000000001</v>
      </c>
      <c r="AA5799" s="508">
        <v>1.7999999999999999E-2</v>
      </c>
      <c r="AB5799" s="508">
        <v>1.7999999999999999E-2</v>
      </c>
      <c r="AC5799" s="508">
        <v>1.7999999999999999E-2</v>
      </c>
      <c r="AD5799" s="508">
        <v>1.6E-2</v>
      </c>
      <c r="AE5799" s="508">
        <v>1.6E-2</v>
      </c>
      <c r="AF5799" s="508">
        <v>0.01</v>
      </c>
      <c r="AG5799" s="508">
        <v>0.01</v>
      </c>
      <c r="AH5799" s="508">
        <v>0.01</v>
      </c>
      <c r="AI5799" s="492">
        <v>0.01</v>
      </c>
      <c r="AJ5799" s="485"/>
    </row>
    <row r="5800" spans="2:36">
      <c r="B5800" s="136" t="s">
        <v>450</v>
      </c>
      <c r="C5800" s="132" t="s">
        <v>1371</v>
      </c>
      <c r="D5800" s="132" t="s">
        <v>285</v>
      </c>
      <c r="E5800" s="508">
        <v>1.0640000000000001</v>
      </c>
      <c r="F5800" s="508">
        <v>1.0640000000000001</v>
      </c>
      <c r="G5800" s="508">
        <v>1.0640000000000001</v>
      </c>
      <c r="H5800" s="508">
        <v>0.92700000000000005</v>
      </c>
      <c r="I5800" s="508">
        <v>0.92700000000000005</v>
      </c>
      <c r="J5800" s="508">
        <v>0.92700000000000005</v>
      </c>
      <c r="K5800" s="508">
        <v>0.58599999999999997</v>
      </c>
      <c r="L5800" s="508">
        <v>0.58599999999999997</v>
      </c>
      <c r="M5800" s="508">
        <v>0.58599999999999997</v>
      </c>
      <c r="N5800" s="508">
        <v>0.96199999999999997</v>
      </c>
      <c r="O5800" s="508">
        <v>0.96199999999999997</v>
      </c>
      <c r="P5800" s="508">
        <v>0.96199999999999997</v>
      </c>
      <c r="Q5800" s="508">
        <v>0.96199999999999997</v>
      </c>
      <c r="R5800" s="508">
        <v>0.46100000000000002</v>
      </c>
      <c r="S5800" s="508">
        <v>0.46100000000000002</v>
      </c>
      <c r="T5800" s="508">
        <v>0.46100000000000002</v>
      </c>
      <c r="U5800" s="508">
        <v>0.46100000000000002</v>
      </c>
      <c r="V5800" s="508">
        <v>0.46100000000000002</v>
      </c>
      <c r="W5800" s="508">
        <v>0.41599999999999998</v>
      </c>
      <c r="X5800" s="508">
        <v>0.41599999999999998</v>
      </c>
      <c r="Y5800" s="508">
        <v>0.41599999999999998</v>
      </c>
      <c r="Z5800" s="508">
        <v>0.41599999999999998</v>
      </c>
      <c r="AA5800" s="508">
        <v>1.7000000000000001E-2</v>
      </c>
      <c r="AB5800" s="508">
        <v>1.7000000000000001E-2</v>
      </c>
      <c r="AC5800" s="508">
        <v>1.7000000000000001E-2</v>
      </c>
      <c r="AD5800" s="508">
        <v>1.4999999999999999E-2</v>
      </c>
      <c r="AE5800" s="508">
        <v>1.4999999999999999E-2</v>
      </c>
      <c r="AF5800" s="508">
        <v>8.9999999999999993E-3</v>
      </c>
      <c r="AG5800" s="508">
        <v>8.9999999999999993E-3</v>
      </c>
      <c r="AH5800" s="508">
        <v>8.9999999999999993E-3</v>
      </c>
      <c r="AI5800" s="492">
        <v>8.9999999999999993E-3</v>
      </c>
      <c r="AJ5800" s="485"/>
    </row>
    <row r="5801" spans="2:36">
      <c r="B5801" s="136" t="s">
        <v>451</v>
      </c>
      <c r="C5801" s="132" t="s">
        <v>1371</v>
      </c>
      <c r="D5801" s="132" t="s">
        <v>285</v>
      </c>
      <c r="E5801" s="508">
        <v>1.1180000000000001</v>
      </c>
      <c r="F5801" s="508">
        <v>1.1180000000000001</v>
      </c>
      <c r="G5801" s="508">
        <v>1.1180000000000001</v>
      </c>
      <c r="H5801" s="508">
        <v>1.008</v>
      </c>
      <c r="I5801" s="508">
        <v>1.008</v>
      </c>
      <c r="J5801" s="508">
        <v>1.008</v>
      </c>
      <c r="K5801" s="508">
        <v>0.67200000000000004</v>
      </c>
      <c r="L5801" s="508">
        <v>0.67200000000000004</v>
      </c>
      <c r="M5801" s="508">
        <v>0.67200000000000004</v>
      </c>
      <c r="N5801" s="508">
        <v>1.109</v>
      </c>
      <c r="O5801" s="508">
        <v>1.109</v>
      </c>
      <c r="P5801" s="508">
        <v>1.109</v>
      </c>
      <c r="Q5801" s="508">
        <v>1.109</v>
      </c>
      <c r="R5801" s="508">
        <v>0.51300000000000001</v>
      </c>
      <c r="S5801" s="508">
        <v>0.51300000000000001</v>
      </c>
      <c r="T5801" s="508">
        <v>0.51300000000000001</v>
      </c>
      <c r="U5801" s="508">
        <v>0.51300000000000001</v>
      </c>
      <c r="V5801" s="508">
        <v>0.51300000000000001</v>
      </c>
      <c r="W5801" s="508">
        <v>0.46300000000000002</v>
      </c>
      <c r="X5801" s="508">
        <v>0.46300000000000002</v>
      </c>
      <c r="Y5801" s="508">
        <v>0.46300000000000002</v>
      </c>
      <c r="Z5801" s="508">
        <v>0.46300000000000002</v>
      </c>
      <c r="AA5801" s="508">
        <v>1.9E-2</v>
      </c>
      <c r="AB5801" s="508">
        <v>1.9E-2</v>
      </c>
      <c r="AC5801" s="508">
        <v>1.9E-2</v>
      </c>
      <c r="AD5801" s="508">
        <v>1.7000000000000001E-2</v>
      </c>
      <c r="AE5801" s="508">
        <v>1.7000000000000001E-2</v>
      </c>
      <c r="AF5801" s="508">
        <v>0.01</v>
      </c>
      <c r="AG5801" s="508">
        <v>0.01</v>
      </c>
      <c r="AH5801" s="508">
        <v>0.01</v>
      </c>
      <c r="AI5801" s="492">
        <v>0.01</v>
      </c>
      <c r="AJ5801" s="485"/>
    </row>
    <row r="5802" spans="2:36">
      <c r="B5802" s="136" t="s">
        <v>452</v>
      </c>
      <c r="C5802" s="132" t="s">
        <v>1371</v>
      </c>
      <c r="D5802" s="132" t="s">
        <v>285</v>
      </c>
      <c r="E5802" s="508">
        <v>1.079</v>
      </c>
      <c r="F5802" s="508">
        <v>1.079</v>
      </c>
      <c r="G5802" s="508">
        <v>1.079</v>
      </c>
      <c r="H5802" s="508">
        <v>0.95499999999999996</v>
      </c>
      <c r="I5802" s="508">
        <v>0.95499999999999996</v>
      </c>
      <c r="J5802" s="508">
        <v>0.95499999999999996</v>
      </c>
      <c r="K5802" s="508">
        <v>0.61899999999999999</v>
      </c>
      <c r="L5802" s="508">
        <v>0.61899999999999999</v>
      </c>
      <c r="M5802" s="508">
        <v>0.61899999999999999</v>
      </c>
      <c r="N5802" s="508">
        <v>1.02</v>
      </c>
      <c r="O5802" s="508">
        <v>1.02</v>
      </c>
      <c r="P5802" s="508">
        <v>1.02</v>
      </c>
      <c r="Q5802" s="508">
        <v>1.02</v>
      </c>
      <c r="R5802" s="508">
        <v>0.48199999999999998</v>
      </c>
      <c r="S5802" s="508">
        <v>0.48199999999999998</v>
      </c>
      <c r="T5802" s="508">
        <v>0.48199999999999998</v>
      </c>
      <c r="U5802" s="508">
        <v>0.48199999999999998</v>
      </c>
      <c r="V5802" s="508">
        <v>0.48199999999999998</v>
      </c>
      <c r="W5802" s="508">
        <v>0.435</v>
      </c>
      <c r="X5802" s="508">
        <v>0.435</v>
      </c>
      <c r="Y5802" s="508">
        <v>0.435</v>
      </c>
      <c r="Z5802" s="508">
        <v>0.435</v>
      </c>
      <c r="AA5802" s="508">
        <v>1.7999999999999999E-2</v>
      </c>
      <c r="AB5802" s="508">
        <v>1.7999999999999999E-2</v>
      </c>
      <c r="AC5802" s="508">
        <v>1.7999999999999999E-2</v>
      </c>
      <c r="AD5802" s="508">
        <v>1.6E-2</v>
      </c>
      <c r="AE5802" s="508">
        <v>1.6E-2</v>
      </c>
      <c r="AF5802" s="508">
        <v>0.01</v>
      </c>
      <c r="AG5802" s="508">
        <v>0.01</v>
      </c>
      <c r="AH5802" s="508">
        <v>0.01</v>
      </c>
      <c r="AI5802" s="492">
        <v>0.01</v>
      </c>
      <c r="AJ5802" s="485"/>
    </row>
    <row r="5803" spans="2:36">
      <c r="B5803" s="136" t="s">
        <v>453</v>
      </c>
      <c r="C5803" s="132" t="s">
        <v>1371</v>
      </c>
      <c r="D5803" s="132" t="s">
        <v>285</v>
      </c>
      <c r="E5803" s="508">
        <v>1.0589999999999999</v>
      </c>
      <c r="F5803" s="508">
        <v>1.0589999999999999</v>
      </c>
      <c r="G5803" s="508">
        <v>1.0589999999999999</v>
      </c>
      <c r="H5803" s="508">
        <v>0.91900000000000004</v>
      </c>
      <c r="I5803" s="508">
        <v>0.91900000000000004</v>
      </c>
      <c r="J5803" s="508">
        <v>0.91900000000000004</v>
      </c>
      <c r="K5803" s="508">
        <v>0.57799999999999996</v>
      </c>
      <c r="L5803" s="508">
        <v>0.57799999999999996</v>
      </c>
      <c r="M5803" s="508">
        <v>0.57799999999999996</v>
      </c>
      <c r="N5803" s="508">
        <v>0.94699999999999995</v>
      </c>
      <c r="O5803" s="508">
        <v>0.94699999999999995</v>
      </c>
      <c r="P5803" s="508">
        <v>0.94699999999999995</v>
      </c>
      <c r="Q5803" s="508">
        <v>0.94699999999999995</v>
      </c>
      <c r="R5803" s="508">
        <v>0.45600000000000002</v>
      </c>
      <c r="S5803" s="508">
        <v>0.45600000000000002</v>
      </c>
      <c r="T5803" s="508">
        <v>0.45600000000000002</v>
      </c>
      <c r="U5803" s="508">
        <v>0.45600000000000002</v>
      </c>
      <c r="V5803" s="508">
        <v>0.45600000000000002</v>
      </c>
      <c r="W5803" s="508">
        <v>0.41099999999999998</v>
      </c>
      <c r="X5803" s="508">
        <v>0.41099999999999998</v>
      </c>
      <c r="Y5803" s="508">
        <v>0.41099999999999998</v>
      </c>
      <c r="Z5803" s="508">
        <v>0.41099999999999998</v>
      </c>
      <c r="AA5803" s="508">
        <v>1.7000000000000001E-2</v>
      </c>
      <c r="AB5803" s="508">
        <v>1.7000000000000001E-2</v>
      </c>
      <c r="AC5803" s="508">
        <v>1.7000000000000001E-2</v>
      </c>
      <c r="AD5803" s="508">
        <v>1.4999999999999999E-2</v>
      </c>
      <c r="AE5803" s="508">
        <v>1.4999999999999999E-2</v>
      </c>
      <c r="AF5803" s="508">
        <v>8.9999999999999993E-3</v>
      </c>
      <c r="AG5803" s="508">
        <v>8.9999999999999993E-3</v>
      </c>
      <c r="AH5803" s="508">
        <v>8.9999999999999993E-3</v>
      </c>
      <c r="AI5803" s="492">
        <v>8.9999999999999993E-3</v>
      </c>
      <c r="AJ5803" s="485"/>
    </row>
    <row r="5804" spans="2:36">
      <c r="B5804" s="136" t="s">
        <v>454</v>
      </c>
      <c r="C5804" s="132" t="s">
        <v>1371</v>
      </c>
      <c r="D5804" s="132" t="s">
        <v>285</v>
      </c>
      <c r="E5804" s="508">
        <v>1.073</v>
      </c>
      <c r="F5804" s="508">
        <v>1.073</v>
      </c>
      <c r="G5804" s="508">
        <v>1.073</v>
      </c>
      <c r="H5804" s="508">
        <v>0.93400000000000005</v>
      </c>
      <c r="I5804" s="508">
        <v>0.93400000000000005</v>
      </c>
      <c r="J5804" s="508">
        <v>0.93400000000000005</v>
      </c>
      <c r="K5804" s="508">
        <v>0.58799999999999997</v>
      </c>
      <c r="L5804" s="508">
        <v>0.58799999999999997</v>
      </c>
      <c r="M5804" s="508">
        <v>0.58799999999999997</v>
      </c>
      <c r="N5804" s="508">
        <v>0.96299999999999997</v>
      </c>
      <c r="O5804" s="508">
        <v>0.96299999999999997</v>
      </c>
      <c r="P5804" s="508">
        <v>0.96299999999999997</v>
      </c>
      <c r="Q5804" s="508">
        <v>0.96299999999999997</v>
      </c>
      <c r="R5804" s="508">
        <v>0.46200000000000002</v>
      </c>
      <c r="S5804" s="508">
        <v>0.46200000000000002</v>
      </c>
      <c r="T5804" s="508">
        <v>0.46200000000000002</v>
      </c>
      <c r="U5804" s="508">
        <v>0.46200000000000002</v>
      </c>
      <c r="V5804" s="508">
        <v>0.46200000000000002</v>
      </c>
      <c r="W5804" s="508">
        <v>0.41699999999999998</v>
      </c>
      <c r="X5804" s="508">
        <v>0.41699999999999998</v>
      </c>
      <c r="Y5804" s="508">
        <v>0.41699999999999998</v>
      </c>
      <c r="Z5804" s="508">
        <v>0.41699999999999998</v>
      </c>
      <c r="AA5804" s="508">
        <v>1.7000000000000001E-2</v>
      </c>
      <c r="AB5804" s="508">
        <v>1.7000000000000001E-2</v>
      </c>
      <c r="AC5804" s="508">
        <v>1.7000000000000001E-2</v>
      </c>
      <c r="AD5804" s="508">
        <v>1.4999999999999999E-2</v>
      </c>
      <c r="AE5804" s="508">
        <v>1.4999999999999999E-2</v>
      </c>
      <c r="AF5804" s="508">
        <v>8.9999999999999993E-3</v>
      </c>
      <c r="AG5804" s="508">
        <v>8.9999999999999993E-3</v>
      </c>
      <c r="AH5804" s="508">
        <v>8.9999999999999993E-3</v>
      </c>
      <c r="AI5804" s="492">
        <v>8.9999999999999993E-3</v>
      </c>
      <c r="AJ5804" s="485"/>
    </row>
    <row r="5805" spans="2:36">
      <c r="B5805" s="136" t="s">
        <v>455</v>
      </c>
      <c r="C5805" s="132" t="s">
        <v>1371</v>
      </c>
      <c r="D5805" s="132" t="s">
        <v>285</v>
      </c>
      <c r="E5805" s="508">
        <v>1.0629999999999999</v>
      </c>
      <c r="F5805" s="508">
        <v>1.0629999999999999</v>
      </c>
      <c r="G5805" s="508">
        <v>1.0640000000000001</v>
      </c>
      <c r="H5805" s="508">
        <v>0.92100000000000004</v>
      </c>
      <c r="I5805" s="508">
        <v>0.92100000000000004</v>
      </c>
      <c r="J5805" s="508">
        <v>0.92100000000000004</v>
      </c>
      <c r="K5805" s="508">
        <v>0.57599999999999996</v>
      </c>
      <c r="L5805" s="508">
        <v>0.57599999999999996</v>
      </c>
      <c r="M5805" s="508">
        <v>0.57599999999999996</v>
      </c>
      <c r="N5805" s="508">
        <v>0.93899999999999995</v>
      </c>
      <c r="O5805" s="508">
        <v>0.93899999999999995</v>
      </c>
      <c r="P5805" s="508">
        <v>0.93899999999999995</v>
      </c>
      <c r="Q5805" s="508">
        <v>0.93899999999999995</v>
      </c>
      <c r="R5805" s="508">
        <v>0.45100000000000001</v>
      </c>
      <c r="S5805" s="508">
        <v>0.45100000000000001</v>
      </c>
      <c r="T5805" s="508">
        <v>0.45100000000000001</v>
      </c>
      <c r="U5805" s="508">
        <v>0.45100000000000001</v>
      </c>
      <c r="V5805" s="508">
        <v>0.45100000000000001</v>
      </c>
      <c r="W5805" s="508">
        <v>0.40699999999999997</v>
      </c>
      <c r="X5805" s="508">
        <v>0.40699999999999997</v>
      </c>
      <c r="Y5805" s="508">
        <v>0.40699999999999997</v>
      </c>
      <c r="Z5805" s="508">
        <v>0.40699999999999997</v>
      </c>
      <c r="AA5805" s="508">
        <v>1.7000000000000001E-2</v>
      </c>
      <c r="AB5805" s="508">
        <v>1.7000000000000001E-2</v>
      </c>
      <c r="AC5805" s="508">
        <v>1.7000000000000001E-2</v>
      </c>
      <c r="AD5805" s="508">
        <v>1.4999999999999999E-2</v>
      </c>
      <c r="AE5805" s="508">
        <v>1.4999999999999999E-2</v>
      </c>
      <c r="AF5805" s="508">
        <v>8.9999999999999993E-3</v>
      </c>
      <c r="AG5805" s="508">
        <v>8.9999999999999993E-3</v>
      </c>
      <c r="AH5805" s="508">
        <v>8.9999999999999993E-3</v>
      </c>
      <c r="AI5805" s="492">
        <v>8.9999999999999993E-3</v>
      </c>
      <c r="AJ5805" s="485"/>
    </row>
    <row r="5806" spans="2:36">
      <c r="B5806" s="136" t="s">
        <v>456</v>
      </c>
      <c r="C5806" s="132" t="s">
        <v>1371</v>
      </c>
      <c r="D5806" s="132" t="s">
        <v>285</v>
      </c>
      <c r="E5806" s="508">
        <v>1.0760000000000001</v>
      </c>
      <c r="F5806" s="508">
        <v>1.0760000000000001</v>
      </c>
      <c r="G5806" s="508">
        <v>1.0760000000000001</v>
      </c>
      <c r="H5806" s="508">
        <v>0.94299999999999995</v>
      </c>
      <c r="I5806" s="508">
        <v>0.94299999999999995</v>
      </c>
      <c r="J5806" s="508">
        <v>0.94299999999999995</v>
      </c>
      <c r="K5806" s="508">
        <v>0.60099999999999998</v>
      </c>
      <c r="L5806" s="508">
        <v>0.60099999999999998</v>
      </c>
      <c r="M5806" s="508">
        <v>0.60099999999999998</v>
      </c>
      <c r="N5806" s="508">
        <v>0.98599999999999999</v>
      </c>
      <c r="O5806" s="508">
        <v>0.98599999999999999</v>
      </c>
      <c r="P5806" s="508">
        <v>0.98599999999999999</v>
      </c>
      <c r="Q5806" s="508">
        <v>0.98599999999999999</v>
      </c>
      <c r="R5806" s="508">
        <v>0.46899999999999997</v>
      </c>
      <c r="S5806" s="508">
        <v>0.46899999999999997</v>
      </c>
      <c r="T5806" s="508">
        <v>0.46899999999999997</v>
      </c>
      <c r="U5806" s="508">
        <v>0.46899999999999997</v>
      </c>
      <c r="V5806" s="508">
        <v>0.46899999999999997</v>
      </c>
      <c r="W5806" s="508">
        <v>0.42299999999999999</v>
      </c>
      <c r="X5806" s="508">
        <v>0.42299999999999999</v>
      </c>
      <c r="Y5806" s="508">
        <v>0.42299999999999999</v>
      </c>
      <c r="Z5806" s="508">
        <v>0.42299999999999999</v>
      </c>
      <c r="AA5806" s="508">
        <v>1.7999999999999999E-2</v>
      </c>
      <c r="AB5806" s="508">
        <v>1.7999999999999999E-2</v>
      </c>
      <c r="AC5806" s="508">
        <v>1.7999999999999999E-2</v>
      </c>
      <c r="AD5806" s="508">
        <v>1.4999999999999999E-2</v>
      </c>
      <c r="AE5806" s="508">
        <v>1.4999999999999999E-2</v>
      </c>
      <c r="AF5806" s="508">
        <v>0.01</v>
      </c>
      <c r="AG5806" s="508">
        <v>8.9999999999999993E-3</v>
      </c>
      <c r="AH5806" s="508">
        <v>8.9999999999999993E-3</v>
      </c>
      <c r="AI5806" s="492">
        <v>8.9999999999999993E-3</v>
      </c>
      <c r="AJ5806" s="485"/>
    </row>
    <row r="5807" spans="2:36">
      <c r="B5807" s="136" t="s">
        <v>457</v>
      </c>
      <c r="C5807" s="132" t="s">
        <v>1371</v>
      </c>
      <c r="D5807" s="132" t="s">
        <v>285</v>
      </c>
      <c r="E5807" s="508">
        <v>1.0489999999999999</v>
      </c>
      <c r="F5807" s="508">
        <v>1.0489999999999999</v>
      </c>
      <c r="G5807" s="508">
        <v>1.0489999999999999</v>
      </c>
      <c r="H5807" s="508">
        <v>0.90100000000000002</v>
      </c>
      <c r="I5807" s="508">
        <v>0.90100000000000002</v>
      </c>
      <c r="J5807" s="508">
        <v>0.90100000000000002</v>
      </c>
      <c r="K5807" s="508">
        <v>0.55500000000000005</v>
      </c>
      <c r="L5807" s="508">
        <v>0.55500000000000005</v>
      </c>
      <c r="M5807" s="508">
        <v>0.55500000000000005</v>
      </c>
      <c r="N5807" s="508">
        <v>0.90800000000000003</v>
      </c>
      <c r="O5807" s="508">
        <v>0.90800000000000003</v>
      </c>
      <c r="P5807" s="508">
        <v>0.90800000000000003</v>
      </c>
      <c r="Q5807" s="508">
        <v>0.90800000000000003</v>
      </c>
      <c r="R5807" s="508">
        <v>0.442</v>
      </c>
      <c r="S5807" s="508">
        <v>0.442</v>
      </c>
      <c r="T5807" s="508">
        <v>0.442</v>
      </c>
      <c r="U5807" s="508">
        <v>0.442</v>
      </c>
      <c r="V5807" s="508">
        <v>0.442</v>
      </c>
      <c r="W5807" s="508">
        <v>0.39900000000000002</v>
      </c>
      <c r="X5807" s="508">
        <v>0.39900000000000002</v>
      </c>
      <c r="Y5807" s="508">
        <v>0.39900000000000002</v>
      </c>
      <c r="Z5807" s="508">
        <v>0.39900000000000002</v>
      </c>
      <c r="AA5807" s="508">
        <v>1.7000000000000001E-2</v>
      </c>
      <c r="AB5807" s="508">
        <v>1.7000000000000001E-2</v>
      </c>
      <c r="AC5807" s="508">
        <v>1.7000000000000001E-2</v>
      </c>
      <c r="AD5807" s="508">
        <v>1.4999999999999999E-2</v>
      </c>
      <c r="AE5807" s="508">
        <v>1.4999999999999999E-2</v>
      </c>
      <c r="AF5807" s="508">
        <v>8.9999999999999993E-3</v>
      </c>
      <c r="AG5807" s="508">
        <v>8.9999999999999993E-3</v>
      </c>
      <c r="AH5807" s="508">
        <v>8.9999999999999993E-3</v>
      </c>
      <c r="AI5807" s="492">
        <v>8.9999999999999993E-3</v>
      </c>
      <c r="AJ5807" s="485"/>
    </row>
    <row r="5808" spans="2:36">
      <c r="B5808" s="136" t="s">
        <v>458</v>
      </c>
      <c r="C5808" s="132" t="s">
        <v>1371</v>
      </c>
      <c r="D5808" s="132" t="s">
        <v>285</v>
      </c>
      <c r="E5808" s="508">
        <v>1.1000000000000001</v>
      </c>
      <c r="F5808" s="508">
        <v>1.1000000000000001</v>
      </c>
      <c r="G5808" s="508">
        <v>1.1000000000000001</v>
      </c>
      <c r="H5808" s="508">
        <v>0.96599999999999997</v>
      </c>
      <c r="I5808" s="508">
        <v>0.96599999999999997</v>
      </c>
      <c r="J5808" s="508">
        <v>0.96599999999999997</v>
      </c>
      <c r="K5808" s="508">
        <v>0.61499999999999999</v>
      </c>
      <c r="L5808" s="508">
        <v>0.61499999999999999</v>
      </c>
      <c r="M5808" s="508">
        <v>0.61499999999999999</v>
      </c>
      <c r="N5808" s="508">
        <v>1.0049999999999999</v>
      </c>
      <c r="O5808" s="508">
        <v>1.0049999999999999</v>
      </c>
      <c r="P5808" s="508">
        <v>1.0049999999999999</v>
      </c>
      <c r="Q5808" s="508">
        <v>1.0049999999999999</v>
      </c>
      <c r="R5808" s="508">
        <v>0.47499999999999998</v>
      </c>
      <c r="S5808" s="508">
        <v>0.47499999999999998</v>
      </c>
      <c r="T5808" s="508">
        <v>0.47499999999999998</v>
      </c>
      <c r="U5808" s="508">
        <v>0.47499999999999998</v>
      </c>
      <c r="V5808" s="508">
        <v>0.47499999999999998</v>
      </c>
      <c r="W5808" s="508">
        <v>0.42899999999999999</v>
      </c>
      <c r="X5808" s="508">
        <v>0.42899999999999999</v>
      </c>
      <c r="Y5808" s="508">
        <v>0.42899999999999999</v>
      </c>
      <c r="Z5808" s="508">
        <v>0.42899999999999999</v>
      </c>
      <c r="AA5808" s="508">
        <v>1.7999999999999999E-2</v>
      </c>
      <c r="AB5808" s="508">
        <v>1.7999999999999999E-2</v>
      </c>
      <c r="AC5808" s="508">
        <v>1.7999999999999999E-2</v>
      </c>
      <c r="AD5808" s="508">
        <v>1.6E-2</v>
      </c>
      <c r="AE5808" s="508">
        <v>1.6E-2</v>
      </c>
      <c r="AF5808" s="508">
        <v>0.01</v>
      </c>
      <c r="AG5808" s="508">
        <v>0.01</v>
      </c>
      <c r="AH5808" s="508">
        <v>0.01</v>
      </c>
      <c r="AI5808" s="492">
        <v>0.01</v>
      </c>
      <c r="AJ5808" s="485"/>
    </row>
    <row r="5809" spans="2:36">
      <c r="B5809" s="136" t="s">
        <v>459</v>
      </c>
      <c r="C5809" s="132" t="s">
        <v>1371</v>
      </c>
      <c r="D5809" s="132" t="s">
        <v>285</v>
      </c>
      <c r="E5809" s="508">
        <v>1.099</v>
      </c>
      <c r="F5809" s="508">
        <v>1.099</v>
      </c>
      <c r="G5809" s="508">
        <v>1.099</v>
      </c>
      <c r="H5809" s="508">
        <v>0.96499999999999997</v>
      </c>
      <c r="I5809" s="508">
        <v>0.96499999999999997</v>
      </c>
      <c r="J5809" s="508">
        <v>0.96499999999999997</v>
      </c>
      <c r="K5809" s="508">
        <v>0.61499999999999999</v>
      </c>
      <c r="L5809" s="508">
        <v>0.61499999999999999</v>
      </c>
      <c r="M5809" s="508">
        <v>0.61499999999999999</v>
      </c>
      <c r="N5809" s="508">
        <v>1.0049999999999999</v>
      </c>
      <c r="O5809" s="508">
        <v>1.0049999999999999</v>
      </c>
      <c r="P5809" s="508">
        <v>1.0049999999999999</v>
      </c>
      <c r="Q5809" s="508">
        <v>1.0049999999999999</v>
      </c>
      <c r="R5809" s="508">
        <v>0.47499999999999998</v>
      </c>
      <c r="S5809" s="508">
        <v>0.47499999999999998</v>
      </c>
      <c r="T5809" s="508">
        <v>0.47499999999999998</v>
      </c>
      <c r="U5809" s="508">
        <v>0.47499999999999998</v>
      </c>
      <c r="V5809" s="508">
        <v>0.47499999999999998</v>
      </c>
      <c r="W5809" s="508">
        <v>0.42899999999999999</v>
      </c>
      <c r="X5809" s="508">
        <v>0.42899999999999999</v>
      </c>
      <c r="Y5809" s="508">
        <v>0.42899999999999999</v>
      </c>
      <c r="Z5809" s="508">
        <v>0.42899999999999999</v>
      </c>
      <c r="AA5809" s="508">
        <v>1.7999999999999999E-2</v>
      </c>
      <c r="AB5809" s="508">
        <v>1.7999999999999999E-2</v>
      </c>
      <c r="AC5809" s="508">
        <v>1.7999999999999999E-2</v>
      </c>
      <c r="AD5809" s="508">
        <v>1.6E-2</v>
      </c>
      <c r="AE5809" s="508">
        <v>1.6E-2</v>
      </c>
      <c r="AF5809" s="508">
        <v>0.01</v>
      </c>
      <c r="AG5809" s="508">
        <v>0.01</v>
      </c>
      <c r="AH5809" s="508">
        <v>0.01</v>
      </c>
      <c r="AI5809" s="492">
        <v>0.01</v>
      </c>
      <c r="AJ5809" s="485"/>
    </row>
    <row r="5810" spans="2:36">
      <c r="B5810" s="136" t="s">
        <v>460</v>
      </c>
      <c r="C5810" s="132" t="s">
        <v>1371</v>
      </c>
      <c r="D5810" s="132" t="s">
        <v>285</v>
      </c>
      <c r="E5810" s="508">
        <v>1.0840000000000001</v>
      </c>
      <c r="F5810" s="508">
        <v>1.0840000000000001</v>
      </c>
      <c r="G5810" s="508">
        <v>1.0840000000000001</v>
      </c>
      <c r="H5810" s="508">
        <v>0.95499999999999996</v>
      </c>
      <c r="I5810" s="508">
        <v>0.95499999999999996</v>
      </c>
      <c r="J5810" s="508">
        <v>0.95499999999999996</v>
      </c>
      <c r="K5810" s="508">
        <v>0.61399999999999999</v>
      </c>
      <c r="L5810" s="508">
        <v>0.61399999999999999</v>
      </c>
      <c r="M5810" s="508">
        <v>0.61399999999999999</v>
      </c>
      <c r="N5810" s="508">
        <v>1.0069999999999999</v>
      </c>
      <c r="O5810" s="508">
        <v>1.0069999999999999</v>
      </c>
      <c r="P5810" s="508">
        <v>1.0069999999999999</v>
      </c>
      <c r="Q5810" s="508">
        <v>1.0069999999999999</v>
      </c>
      <c r="R5810" s="508">
        <v>0.47599999999999998</v>
      </c>
      <c r="S5810" s="508">
        <v>0.47599999999999998</v>
      </c>
      <c r="T5810" s="508">
        <v>0.47599999999999998</v>
      </c>
      <c r="U5810" s="508">
        <v>0.47599999999999998</v>
      </c>
      <c r="V5810" s="508">
        <v>0.47599999999999998</v>
      </c>
      <c r="W5810" s="508">
        <v>0.43</v>
      </c>
      <c r="X5810" s="508">
        <v>0.43</v>
      </c>
      <c r="Y5810" s="508">
        <v>0.43</v>
      </c>
      <c r="Z5810" s="508">
        <v>0.43</v>
      </c>
      <c r="AA5810" s="508">
        <v>1.7999999999999999E-2</v>
      </c>
      <c r="AB5810" s="508">
        <v>1.7999999999999999E-2</v>
      </c>
      <c r="AC5810" s="508">
        <v>1.7999999999999999E-2</v>
      </c>
      <c r="AD5810" s="508">
        <v>1.6E-2</v>
      </c>
      <c r="AE5810" s="508">
        <v>1.6E-2</v>
      </c>
      <c r="AF5810" s="508">
        <v>0.01</v>
      </c>
      <c r="AG5810" s="508">
        <v>0.01</v>
      </c>
      <c r="AH5810" s="508">
        <v>0.01</v>
      </c>
      <c r="AI5810" s="492">
        <v>0.01</v>
      </c>
      <c r="AJ5810" s="485"/>
    </row>
    <row r="5811" spans="2:36">
      <c r="B5811" s="136" t="s">
        <v>461</v>
      </c>
      <c r="C5811" s="132" t="s">
        <v>1371</v>
      </c>
      <c r="D5811" s="132" t="s">
        <v>285</v>
      </c>
      <c r="E5811" s="508">
        <v>1.079</v>
      </c>
      <c r="F5811" s="508">
        <v>1.079</v>
      </c>
      <c r="G5811" s="508">
        <v>1.079</v>
      </c>
      <c r="H5811" s="508">
        <v>0.94199999999999995</v>
      </c>
      <c r="I5811" s="508">
        <v>0.94199999999999995</v>
      </c>
      <c r="J5811" s="508">
        <v>0.94199999999999995</v>
      </c>
      <c r="K5811" s="508">
        <v>0.59599999999999997</v>
      </c>
      <c r="L5811" s="508">
        <v>0.59599999999999997</v>
      </c>
      <c r="M5811" s="508">
        <v>0.59599999999999997</v>
      </c>
      <c r="N5811" s="508">
        <v>0.97799999999999998</v>
      </c>
      <c r="O5811" s="508">
        <v>0.97799999999999998</v>
      </c>
      <c r="P5811" s="508">
        <v>0.97799999999999998</v>
      </c>
      <c r="Q5811" s="508">
        <v>0.97799999999999998</v>
      </c>
      <c r="R5811" s="508">
        <v>0.46800000000000003</v>
      </c>
      <c r="S5811" s="508">
        <v>0.46800000000000003</v>
      </c>
      <c r="T5811" s="508">
        <v>0.46800000000000003</v>
      </c>
      <c r="U5811" s="508">
        <v>0.46800000000000003</v>
      </c>
      <c r="V5811" s="508">
        <v>0.46800000000000003</v>
      </c>
      <c r="W5811" s="508">
        <v>0.42199999999999999</v>
      </c>
      <c r="X5811" s="508">
        <v>0.42199999999999999</v>
      </c>
      <c r="Y5811" s="508">
        <v>0.42199999999999999</v>
      </c>
      <c r="Z5811" s="508">
        <v>0.42199999999999999</v>
      </c>
      <c r="AA5811" s="508">
        <v>1.7999999999999999E-2</v>
      </c>
      <c r="AB5811" s="508">
        <v>1.7999999999999999E-2</v>
      </c>
      <c r="AC5811" s="508">
        <v>1.7999999999999999E-2</v>
      </c>
      <c r="AD5811" s="508">
        <v>1.4999999999999999E-2</v>
      </c>
      <c r="AE5811" s="508">
        <v>1.4999999999999999E-2</v>
      </c>
      <c r="AF5811" s="508">
        <v>0.01</v>
      </c>
      <c r="AG5811" s="508">
        <v>8.9999999999999993E-3</v>
      </c>
      <c r="AH5811" s="508">
        <v>8.9999999999999993E-3</v>
      </c>
      <c r="AI5811" s="492">
        <v>8.9999999999999993E-3</v>
      </c>
      <c r="AJ5811" s="485"/>
    </row>
    <row r="5812" spans="2:36">
      <c r="B5812" s="136" t="s">
        <v>462</v>
      </c>
      <c r="C5812" s="132" t="s">
        <v>1371</v>
      </c>
      <c r="D5812" s="132" t="s">
        <v>285</v>
      </c>
      <c r="E5812" s="508">
        <v>1.0620000000000001</v>
      </c>
      <c r="F5812" s="508">
        <v>1.0620000000000001</v>
      </c>
      <c r="G5812" s="508">
        <v>1.0620000000000001</v>
      </c>
      <c r="H5812" s="508">
        <v>0.92200000000000004</v>
      </c>
      <c r="I5812" s="508">
        <v>0.92200000000000004</v>
      </c>
      <c r="J5812" s="508">
        <v>0.92200000000000004</v>
      </c>
      <c r="K5812" s="508">
        <v>0.57899999999999996</v>
      </c>
      <c r="L5812" s="508">
        <v>0.57899999999999996</v>
      </c>
      <c r="M5812" s="508">
        <v>0.57899999999999996</v>
      </c>
      <c r="N5812" s="508">
        <v>0.95299999999999996</v>
      </c>
      <c r="O5812" s="508">
        <v>0.95299999999999996</v>
      </c>
      <c r="P5812" s="508">
        <v>0.95299999999999996</v>
      </c>
      <c r="Q5812" s="508">
        <v>0.95299999999999996</v>
      </c>
      <c r="R5812" s="508">
        <v>0.46</v>
      </c>
      <c r="S5812" s="508">
        <v>0.46</v>
      </c>
      <c r="T5812" s="508">
        <v>0.46</v>
      </c>
      <c r="U5812" s="508">
        <v>0.46</v>
      </c>
      <c r="V5812" s="508">
        <v>0.46</v>
      </c>
      <c r="W5812" s="508">
        <v>0.41499999999999998</v>
      </c>
      <c r="X5812" s="508">
        <v>0.41499999999999998</v>
      </c>
      <c r="Y5812" s="508">
        <v>0.41499999999999998</v>
      </c>
      <c r="Z5812" s="508">
        <v>0.41499999999999998</v>
      </c>
      <c r="AA5812" s="508">
        <v>1.7000000000000001E-2</v>
      </c>
      <c r="AB5812" s="508">
        <v>1.7000000000000001E-2</v>
      </c>
      <c r="AC5812" s="508">
        <v>1.7000000000000001E-2</v>
      </c>
      <c r="AD5812" s="508">
        <v>1.4999999999999999E-2</v>
      </c>
      <c r="AE5812" s="508">
        <v>1.4999999999999999E-2</v>
      </c>
      <c r="AF5812" s="508">
        <v>8.9999999999999993E-3</v>
      </c>
      <c r="AG5812" s="508">
        <v>8.9999999999999993E-3</v>
      </c>
      <c r="AH5812" s="508">
        <v>8.9999999999999993E-3</v>
      </c>
      <c r="AI5812" s="492">
        <v>8.9999999999999993E-3</v>
      </c>
      <c r="AJ5812" s="485"/>
    </row>
    <row r="5813" spans="2:36">
      <c r="B5813" s="136" t="s">
        <v>463</v>
      </c>
      <c r="C5813" s="132" t="s">
        <v>1371</v>
      </c>
      <c r="D5813" s="132" t="s">
        <v>285</v>
      </c>
      <c r="E5813" s="508">
        <v>1.0760000000000001</v>
      </c>
      <c r="F5813" s="508">
        <v>1.0760000000000001</v>
      </c>
      <c r="G5813" s="508">
        <v>1.0760000000000001</v>
      </c>
      <c r="H5813" s="508">
        <v>0.92800000000000005</v>
      </c>
      <c r="I5813" s="508">
        <v>0.92800000000000005</v>
      </c>
      <c r="J5813" s="508">
        <v>0.92800000000000005</v>
      </c>
      <c r="K5813" s="508">
        <v>0.57299999999999995</v>
      </c>
      <c r="L5813" s="508">
        <v>0.57299999999999995</v>
      </c>
      <c r="M5813" s="508">
        <v>0.57299999999999995</v>
      </c>
      <c r="N5813" s="508">
        <v>0.93200000000000005</v>
      </c>
      <c r="O5813" s="508">
        <v>0.93200000000000005</v>
      </c>
      <c r="P5813" s="508">
        <v>0.93200000000000005</v>
      </c>
      <c r="Q5813" s="508">
        <v>0.93200000000000005</v>
      </c>
      <c r="R5813" s="508">
        <v>0.44900000000000001</v>
      </c>
      <c r="S5813" s="508">
        <v>0.44900000000000001</v>
      </c>
      <c r="T5813" s="508">
        <v>0.44900000000000001</v>
      </c>
      <c r="U5813" s="508">
        <v>0.44900000000000001</v>
      </c>
      <c r="V5813" s="508">
        <v>0.44900000000000001</v>
      </c>
      <c r="W5813" s="508">
        <v>0.40500000000000003</v>
      </c>
      <c r="X5813" s="508">
        <v>0.40500000000000003</v>
      </c>
      <c r="Y5813" s="508">
        <v>0.40500000000000003</v>
      </c>
      <c r="Z5813" s="508">
        <v>0.40500000000000003</v>
      </c>
      <c r="AA5813" s="508">
        <v>1.7000000000000001E-2</v>
      </c>
      <c r="AB5813" s="508">
        <v>1.7000000000000001E-2</v>
      </c>
      <c r="AC5813" s="508">
        <v>1.7000000000000001E-2</v>
      </c>
      <c r="AD5813" s="508">
        <v>1.4999999999999999E-2</v>
      </c>
      <c r="AE5813" s="508">
        <v>1.4999999999999999E-2</v>
      </c>
      <c r="AF5813" s="508">
        <v>8.9999999999999993E-3</v>
      </c>
      <c r="AG5813" s="508">
        <v>8.9999999999999993E-3</v>
      </c>
      <c r="AH5813" s="508">
        <v>8.9999999999999993E-3</v>
      </c>
      <c r="AI5813" s="492">
        <v>8.9999999999999993E-3</v>
      </c>
      <c r="AJ5813" s="485"/>
    </row>
    <row r="5814" spans="2:36">
      <c r="B5814" s="136" t="s">
        <v>464</v>
      </c>
      <c r="C5814" s="132" t="s">
        <v>1371</v>
      </c>
      <c r="D5814" s="132" t="s">
        <v>285</v>
      </c>
      <c r="E5814" s="508">
        <v>1.0469999999999999</v>
      </c>
      <c r="F5814" s="508">
        <v>1.0469999999999999</v>
      </c>
      <c r="G5814" s="508">
        <v>1.0469999999999999</v>
      </c>
      <c r="H5814" s="508">
        <v>0.9</v>
      </c>
      <c r="I5814" s="508">
        <v>0.9</v>
      </c>
      <c r="J5814" s="508">
        <v>0.9</v>
      </c>
      <c r="K5814" s="508">
        <v>0.55700000000000005</v>
      </c>
      <c r="L5814" s="508">
        <v>0.55700000000000005</v>
      </c>
      <c r="M5814" s="508">
        <v>0.55700000000000005</v>
      </c>
      <c r="N5814" s="508">
        <v>0.91</v>
      </c>
      <c r="O5814" s="508">
        <v>0.91</v>
      </c>
      <c r="P5814" s="508">
        <v>0.91</v>
      </c>
      <c r="Q5814" s="508">
        <v>0.91</v>
      </c>
      <c r="R5814" s="508">
        <v>0.442</v>
      </c>
      <c r="S5814" s="508">
        <v>0.442</v>
      </c>
      <c r="T5814" s="508">
        <v>0.442</v>
      </c>
      <c r="U5814" s="508">
        <v>0.442</v>
      </c>
      <c r="V5814" s="508">
        <v>0.442</v>
      </c>
      <c r="W5814" s="508">
        <v>0.39900000000000002</v>
      </c>
      <c r="X5814" s="508">
        <v>0.39900000000000002</v>
      </c>
      <c r="Y5814" s="508">
        <v>0.39900000000000002</v>
      </c>
      <c r="Z5814" s="508">
        <v>0.39900000000000002</v>
      </c>
      <c r="AA5814" s="508">
        <v>1.7000000000000001E-2</v>
      </c>
      <c r="AB5814" s="508">
        <v>1.7000000000000001E-2</v>
      </c>
      <c r="AC5814" s="508">
        <v>1.7000000000000001E-2</v>
      </c>
      <c r="AD5814" s="508">
        <v>1.4999999999999999E-2</v>
      </c>
      <c r="AE5814" s="508">
        <v>1.4999999999999999E-2</v>
      </c>
      <c r="AF5814" s="508">
        <v>8.9999999999999993E-3</v>
      </c>
      <c r="AG5814" s="508">
        <v>8.9999999999999993E-3</v>
      </c>
      <c r="AH5814" s="508">
        <v>8.9999999999999993E-3</v>
      </c>
      <c r="AI5814" s="492">
        <v>8.9999999999999993E-3</v>
      </c>
      <c r="AJ5814" s="485"/>
    </row>
    <row r="5815" spans="2:36">
      <c r="B5815" s="136" t="s">
        <v>465</v>
      </c>
      <c r="C5815" s="132" t="s">
        <v>1371</v>
      </c>
      <c r="D5815" s="132" t="s">
        <v>285</v>
      </c>
      <c r="E5815" s="508">
        <v>1.0620000000000001</v>
      </c>
      <c r="F5815" s="508">
        <v>1.0620000000000001</v>
      </c>
      <c r="G5815" s="508">
        <v>1.0620000000000001</v>
      </c>
      <c r="H5815" s="508">
        <v>0.92</v>
      </c>
      <c r="I5815" s="508">
        <v>0.92</v>
      </c>
      <c r="J5815" s="508">
        <v>0.92</v>
      </c>
      <c r="K5815" s="508">
        <v>0.57699999999999996</v>
      </c>
      <c r="L5815" s="508">
        <v>0.57699999999999996</v>
      </c>
      <c r="M5815" s="508">
        <v>0.57699999999999996</v>
      </c>
      <c r="N5815" s="508">
        <v>0.94099999999999995</v>
      </c>
      <c r="O5815" s="508">
        <v>0.94099999999999995</v>
      </c>
      <c r="P5815" s="508">
        <v>0.94099999999999995</v>
      </c>
      <c r="Q5815" s="508">
        <v>0.94099999999999995</v>
      </c>
      <c r="R5815" s="508">
        <v>0.45200000000000001</v>
      </c>
      <c r="S5815" s="508">
        <v>0.45200000000000001</v>
      </c>
      <c r="T5815" s="508">
        <v>0.45200000000000001</v>
      </c>
      <c r="U5815" s="508">
        <v>0.45200000000000001</v>
      </c>
      <c r="V5815" s="508">
        <v>0.45200000000000001</v>
      </c>
      <c r="W5815" s="508">
        <v>0.40799999999999997</v>
      </c>
      <c r="X5815" s="508">
        <v>0.40799999999999997</v>
      </c>
      <c r="Y5815" s="508">
        <v>0.40799999999999997</v>
      </c>
      <c r="Z5815" s="508">
        <v>0.40799999999999997</v>
      </c>
      <c r="AA5815" s="508">
        <v>1.7000000000000001E-2</v>
      </c>
      <c r="AB5815" s="508">
        <v>1.7000000000000001E-2</v>
      </c>
      <c r="AC5815" s="508">
        <v>1.7000000000000001E-2</v>
      </c>
      <c r="AD5815" s="508">
        <v>1.4999999999999999E-2</v>
      </c>
      <c r="AE5815" s="508">
        <v>1.4999999999999999E-2</v>
      </c>
      <c r="AF5815" s="508">
        <v>8.9999999999999993E-3</v>
      </c>
      <c r="AG5815" s="508">
        <v>8.9999999999999993E-3</v>
      </c>
      <c r="AH5815" s="508">
        <v>8.9999999999999993E-3</v>
      </c>
      <c r="AI5815" s="492">
        <v>8.9999999999999993E-3</v>
      </c>
      <c r="AJ5815" s="485"/>
    </row>
    <row r="5816" spans="2:36">
      <c r="B5816" s="136" t="s">
        <v>466</v>
      </c>
      <c r="C5816" s="132" t="s">
        <v>1371</v>
      </c>
      <c r="D5816" s="132" t="s">
        <v>285</v>
      </c>
      <c r="E5816" s="508">
        <v>1.0940000000000001</v>
      </c>
      <c r="F5816" s="508">
        <v>1.0940000000000001</v>
      </c>
      <c r="G5816" s="508">
        <v>1.0940000000000001</v>
      </c>
      <c r="H5816" s="508">
        <v>0.97699999999999998</v>
      </c>
      <c r="I5816" s="508">
        <v>0.97699999999999998</v>
      </c>
      <c r="J5816" s="508">
        <v>0.97699999999999998</v>
      </c>
      <c r="K5816" s="508">
        <v>0.64300000000000002</v>
      </c>
      <c r="L5816" s="508">
        <v>0.64300000000000002</v>
      </c>
      <c r="M5816" s="508">
        <v>0.64300000000000002</v>
      </c>
      <c r="N5816" s="508">
        <v>1.0589999999999999</v>
      </c>
      <c r="O5816" s="508">
        <v>1.0589999999999999</v>
      </c>
      <c r="P5816" s="508">
        <v>1.0589999999999999</v>
      </c>
      <c r="Q5816" s="508">
        <v>1.0589999999999999</v>
      </c>
      <c r="R5816" s="508">
        <v>0.49399999999999999</v>
      </c>
      <c r="S5816" s="508">
        <v>0.49399999999999999</v>
      </c>
      <c r="T5816" s="508">
        <v>0.49399999999999999</v>
      </c>
      <c r="U5816" s="508">
        <v>0.49399999999999999</v>
      </c>
      <c r="V5816" s="508">
        <v>0.49399999999999999</v>
      </c>
      <c r="W5816" s="508">
        <v>0.44600000000000001</v>
      </c>
      <c r="X5816" s="508">
        <v>0.44600000000000001</v>
      </c>
      <c r="Y5816" s="508">
        <v>0.44600000000000001</v>
      </c>
      <c r="Z5816" s="508">
        <v>0.44600000000000001</v>
      </c>
      <c r="AA5816" s="508">
        <v>1.7999999999999999E-2</v>
      </c>
      <c r="AB5816" s="508">
        <v>1.7999999999999999E-2</v>
      </c>
      <c r="AC5816" s="508">
        <v>1.7999999999999999E-2</v>
      </c>
      <c r="AD5816" s="508">
        <v>1.6E-2</v>
      </c>
      <c r="AE5816" s="508">
        <v>1.6E-2</v>
      </c>
      <c r="AF5816" s="508">
        <v>0.01</v>
      </c>
      <c r="AG5816" s="508">
        <v>0.01</v>
      </c>
      <c r="AH5816" s="508">
        <v>0.01</v>
      </c>
      <c r="AI5816" s="492">
        <v>0.01</v>
      </c>
      <c r="AJ5816" s="485"/>
    </row>
    <row r="5817" spans="2:36">
      <c r="B5817" s="136" t="s">
        <v>467</v>
      </c>
      <c r="C5817" s="132" t="s">
        <v>1371</v>
      </c>
      <c r="D5817" s="132" t="s">
        <v>285</v>
      </c>
      <c r="E5817" s="508">
        <v>1.0740000000000001</v>
      </c>
      <c r="F5817" s="508">
        <v>1.0740000000000001</v>
      </c>
      <c r="G5817" s="508">
        <v>1.0740000000000001</v>
      </c>
      <c r="H5817" s="508">
        <v>0.93600000000000005</v>
      </c>
      <c r="I5817" s="508">
        <v>0.93600000000000005</v>
      </c>
      <c r="J5817" s="508">
        <v>0.93600000000000005</v>
      </c>
      <c r="K5817" s="508">
        <v>0.59</v>
      </c>
      <c r="L5817" s="508">
        <v>0.59</v>
      </c>
      <c r="M5817" s="508">
        <v>0.59</v>
      </c>
      <c r="N5817" s="508">
        <v>0.96899999999999997</v>
      </c>
      <c r="O5817" s="508">
        <v>0.96899999999999997</v>
      </c>
      <c r="P5817" s="508">
        <v>0.96899999999999997</v>
      </c>
      <c r="Q5817" s="508">
        <v>0.96899999999999997</v>
      </c>
      <c r="R5817" s="508">
        <v>0.46500000000000002</v>
      </c>
      <c r="S5817" s="508">
        <v>0.46500000000000002</v>
      </c>
      <c r="T5817" s="508">
        <v>0.46500000000000002</v>
      </c>
      <c r="U5817" s="508">
        <v>0.46500000000000002</v>
      </c>
      <c r="V5817" s="508">
        <v>0.46500000000000002</v>
      </c>
      <c r="W5817" s="508">
        <v>0.41899999999999998</v>
      </c>
      <c r="X5817" s="508">
        <v>0.41899999999999998</v>
      </c>
      <c r="Y5817" s="508">
        <v>0.41899999999999998</v>
      </c>
      <c r="Z5817" s="508">
        <v>0.41899999999999998</v>
      </c>
      <c r="AA5817" s="508">
        <v>1.7000000000000001E-2</v>
      </c>
      <c r="AB5817" s="508">
        <v>1.7000000000000001E-2</v>
      </c>
      <c r="AC5817" s="508">
        <v>1.7000000000000001E-2</v>
      </c>
      <c r="AD5817" s="508">
        <v>1.4999999999999999E-2</v>
      </c>
      <c r="AE5817" s="508">
        <v>1.4999999999999999E-2</v>
      </c>
      <c r="AF5817" s="508">
        <v>0.01</v>
      </c>
      <c r="AG5817" s="508">
        <v>8.9999999999999993E-3</v>
      </c>
      <c r="AH5817" s="508">
        <v>8.9999999999999993E-3</v>
      </c>
      <c r="AI5817" s="492">
        <v>8.9999999999999993E-3</v>
      </c>
      <c r="AJ5817" s="485"/>
    </row>
    <row r="5818" spans="2:36">
      <c r="B5818" s="136" t="s">
        <v>468</v>
      </c>
      <c r="C5818" s="132" t="s">
        <v>1371</v>
      </c>
      <c r="D5818" s="132" t="s">
        <v>285</v>
      </c>
      <c r="E5818" s="508">
        <v>1.0569999999999999</v>
      </c>
      <c r="F5818" s="508">
        <v>1.0569999999999999</v>
      </c>
      <c r="G5818" s="508">
        <v>1.0569999999999999</v>
      </c>
      <c r="H5818" s="508">
        <v>0.91100000000000003</v>
      </c>
      <c r="I5818" s="508">
        <v>0.91100000000000003</v>
      </c>
      <c r="J5818" s="508">
        <v>0.91100000000000003</v>
      </c>
      <c r="K5818" s="508">
        <v>0.56499999999999995</v>
      </c>
      <c r="L5818" s="508">
        <v>0.56499999999999995</v>
      </c>
      <c r="M5818" s="508">
        <v>0.56499999999999995</v>
      </c>
      <c r="N5818" s="508">
        <v>0.91600000000000004</v>
      </c>
      <c r="O5818" s="508">
        <v>0.91600000000000004</v>
      </c>
      <c r="P5818" s="508">
        <v>0.91600000000000004</v>
      </c>
      <c r="Q5818" s="508">
        <v>0.91600000000000004</v>
      </c>
      <c r="R5818" s="508">
        <v>0.441</v>
      </c>
      <c r="S5818" s="508">
        <v>0.441</v>
      </c>
      <c r="T5818" s="508">
        <v>0.441</v>
      </c>
      <c r="U5818" s="508">
        <v>0.441</v>
      </c>
      <c r="V5818" s="508">
        <v>0.441</v>
      </c>
      <c r="W5818" s="508">
        <v>0.39800000000000002</v>
      </c>
      <c r="X5818" s="508">
        <v>0.39800000000000002</v>
      </c>
      <c r="Y5818" s="508">
        <v>0.39800000000000002</v>
      </c>
      <c r="Z5818" s="508">
        <v>0.39800000000000002</v>
      </c>
      <c r="AA5818" s="508">
        <v>1.7000000000000001E-2</v>
      </c>
      <c r="AB5818" s="508">
        <v>1.7000000000000001E-2</v>
      </c>
      <c r="AC5818" s="508">
        <v>1.7000000000000001E-2</v>
      </c>
      <c r="AD5818" s="508">
        <v>1.4999999999999999E-2</v>
      </c>
      <c r="AE5818" s="508">
        <v>1.4999999999999999E-2</v>
      </c>
      <c r="AF5818" s="508">
        <v>8.9999999999999993E-3</v>
      </c>
      <c r="AG5818" s="508">
        <v>8.9999999999999993E-3</v>
      </c>
      <c r="AH5818" s="508">
        <v>8.9999999999999993E-3</v>
      </c>
      <c r="AI5818" s="492">
        <v>8.9999999999999993E-3</v>
      </c>
      <c r="AJ5818" s="485"/>
    </row>
    <row r="5819" spans="2:36">
      <c r="B5819" s="136" t="s">
        <v>469</v>
      </c>
      <c r="C5819" s="132" t="s">
        <v>1371</v>
      </c>
      <c r="D5819" s="132" t="s">
        <v>285</v>
      </c>
      <c r="E5819" s="508">
        <v>1.0620000000000001</v>
      </c>
      <c r="F5819" s="508">
        <v>1.0620000000000001</v>
      </c>
      <c r="G5819" s="508">
        <v>1.0620000000000001</v>
      </c>
      <c r="H5819" s="508">
        <v>0.92300000000000004</v>
      </c>
      <c r="I5819" s="508">
        <v>0.92300000000000004</v>
      </c>
      <c r="J5819" s="508">
        <v>0.92300000000000004</v>
      </c>
      <c r="K5819" s="508">
        <v>0.58199999999999996</v>
      </c>
      <c r="L5819" s="508">
        <v>0.58199999999999996</v>
      </c>
      <c r="M5819" s="508">
        <v>0.58199999999999996</v>
      </c>
      <c r="N5819" s="508">
        <v>0.95199999999999996</v>
      </c>
      <c r="O5819" s="508">
        <v>0.95199999999999996</v>
      </c>
      <c r="P5819" s="508">
        <v>0.95199999999999996</v>
      </c>
      <c r="Q5819" s="508">
        <v>0.95199999999999996</v>
      </c>
      <c r="R5819" s="508">
        <v>0.45600000000000002</v>
      </c>
      <c r="S5819" s="508">
        <v>0.45600000000000002</v>
      </c>
      <c r="T5819" s="508">
        <v>0.45600000000000002</v>
      </c>
      <c r="U5819" s="508">
        <v>0.45600000000000002</v>
      </c>
      <c r="V5819" s="508">
        <v>0.45600000000000002</v>
      </c>
      <c r="W5819" s="508">
        <v>0.41199999999999998</v>
      </c>
      <c r="X5819" s="508">
        <v>0.41199999999999998</v>
      </c>
      <c r="Y5819" s="508">
        <v>0.41199999999999998</v>
      </c>
      <c r="Z5819" s="508">
        <v>0.41199999999999998</v>
      </c>
      <c r="AA5819" s="508">
        <v>1.7000000000000001E-2</v>
      </c>
      <c r="AB5819" s="508">
        <v>1.7000000000000001E-2</v>
      </c>
      <c r="AC5819" s="508">
        <v>1.7000000000000001E-2</v>
      </c>
      <c r="AD5819" s="508">
        <v>1.4999999999999999E-2</v>
      </c>
      <c r="AE5819" s="508">
        <v>1.4999999999999999E-2</v>
      </c>
      <c r="AF5819" s="508">
        <v>8.9999999999999993E-3</v>
      </c>
      <c r="AG5819" s="508">
        <v>8.9999999999999993E-3</v>
      </c>
      <c r="AH5819" s="508">
        <v>8.9999999999999993E-3</v>
      </c>
      <c r="AI5819" s="492">
        <v>8.9999999999999993E-3</v>
      </c>
      <c r="AJ5819" s="485"/>
    </row>
    <row r="5820" spans="2:36">
      <c r="B5820" s="136" t="s">
        <v>470</v>
      </c>
      <c r="C5820" s="132" t="s">
        <v>1371</v>
      </c>
      <c r="D5820" s="132" t="s">
        <v>285</v>
      </c>
      <c r="E5820" s="508">
        <v>1.097</v>
      </c>
      <c r="F5820" s="508">
        <v>1.097</v>
      </c>
      <c r="G5820" s="508">
        <v>1.097</v>
      </c>
      <c r="H5820" s="508">
        <v>0.97</v>
      </c>
      <c r="I5820" s="508">
        <v>0.97</v>
      </c>
      <c r="J5820" s="508">
        <v>0.97</v>
      </c>
      <c r="K5820" s="508">
        <v>0.625</v>
      </c>
      <c r="L5820" s="508">
        <v>0.625</v>
      </c>
      <c r="M5820" s="508">
        <v>0.625</v>
      </c>
      <c r="N5820" s="508">
        <v>1.0269999999999999</v>
      </c>
      <c r="O5820" s="508">
        <v>1.0269999999999999</v>
      </c>
      <c r="P5820" s="508">
        <v>1.0269999999999999</v>
      </c>
      <c r="Q5820" s="508">
        <v>1.0269999999999999</v>
      </c>
      <c r="R5820" s="508">
        <v>0.48399999999999999</v>
      </c>
      <c r="S5820" s="508">
        <v>0.48399999999999999</v>
      </c>
      <c r="T5820" s="508">
        <v>0.48399999999999999</v>
      </c>
      <c r="U5820" s="508">
        <v>0.48399999999999999</v>
      </c>
      <c r="V5820" s="508">
        <v>0.48399999999999999</v>
      </c>
      <c r="W5820" s="508">
        <v>0.437</v>
      </c>
      <c r="X5820" s="508">
        <v>0.437</v>
      </c>
      <c r="Y5820" s="508">
        <v>0.437</v>
      </c>
      <c r="Z5820" s="508">
        <v>0.437</v>
      </c>
      <c r="AA5820" s="508">
        <v>1.7999999999999999E-2</v>
      </c>
      <c r="AB5820" s="508">
        <v>1.7999999999999999E-2</v>
      </c>
      <c r="AC5820" s="508">
        <v>1.7999999999999999E-2</v>
      </c>
      <c r="AD5820" s="508">
        <v>1.6E-2</v>
      </c>
      <c r="AE5820" s="508">
        <v>1.6E-2</v>
      </c>
      <c r="AF5820" s="508">
        <v>0.01</v>
      </c>
      <c r="AG5820" s="508">
        <v>0.01</v>
      </c>
      <c r="AH5820" s="508">
        <v>0.01</v>
      </c>
      <c r="AI5820" s="492">
        <v>0.01</v>
      </c>
      <c r="AJ5820" s="485"/>
    </row>
    <row r="5821" spans="2:36">
      <c r="B5821" s="136" t="s">
        <v>471</v>
      </c>
      <c r="C5821" s="132" t="s">
        <v>1371</v>
      </c>
      <c r="D5821" s="132" t="s">
        <v>285</v>
      </c>
      <c r="E5821" s="508">
        <v>1.0820000000000001</v>
      </c>
      <c r="F5821" s="508">
        <v>1.0820000000000001</v>
      </c>
      <c r="G5821" s="508">
        <v>1.0820000000000001</v>
      </c>
      <c r="H5821" s="508">
        <v>0.95</v>
      </c>
      <c r="I5821" s="508">
        <v>0.95</v>
      </c>
      <c r="J5821" s="508">
        <v>0.95</v>
      </c>
      <c r="K5821" s="508">
        <v>0.60599999999999998</v>
      </c>
      <c r="L5821" s="508">
        <v>0.60599999999999998</v>
      </c>
      <c r="M5821" s="508">
        <v>0.60599999999999998</v>
      </c>
      <c r="N5821" s="508">
        <v>0.998</v>
      </c>
      <c r="O5821" s="508">
        <v>0.998</v>
      </c>
      <c r="P5821" s="508">
        <v>0.998</v>
      </c>
      <c r="Q5821" s="508">
        <v>0.998</v>
      </c>
      <c r="R5821" s="508">
        <v>0.47499999999999998</v>
      </c>
      <c r="S5821" s="508">
        <v>0.47499999999999998</v>
      </c>
      <c r="T5821" s="508">
        <v>0.47499999999999998</v>
      </c>
      <c r="U5821" s="508">
        <v>0.47499999999999998</v>
      </c>
      <c r="V5821" s="508">
        <v>0.47499999999999998</v>
      </c>
      <c r="W5821" s="508">
        <v>0.42899999999999999</v>
      </c>
      <c r="X5821" s="508">
        <v>0.42899999999999999</v>
      </c>
      <c r="Y5821" s="508">
        <v>0.42899999999999999</v>
      </c>
      <c r="Z5821" s="508">
        <v>0.42899999999999999</v>
      </c>
      <c r="AA5821" s="508">
        <v>1.7999999999999999E-2</v>
      </c>
      <c r="AB5821" s="508">
        <v>1.7999999999999999E-2</v>
      </c>
      <c r="AC5821" s="508">
        <v>1.7999999999999999E-2</v>
      </c>
      <c r="AD5821" s="508">
        <v>1.6E-2</v>
      </c>
      <c r="AE5821" s="508">
        <v>1.6E-2</v>
      </c>
      <c r="AF5821" s="508">
        <v>0.01</v>
      </c>
      <c r="AG5821" s="508">
        <v>0.01</v>
      </c>
      <c r="AH5821" s="508">
        <v>8.9999999999999993E-3</v>
      </c>
      <c r="AI5821" s="492">
        <v>8.9999999999999993E-3</v>
      </c>
      <c r="AJ5821" s="485"/>
    </row>
    <row r="5822" spans="2:36">
      <c r="B5822" s="136" t="s">
        <v>472</v>
      </c>
      <c r="C5822" s="132" t="s">
        <v>1371</v>
      </c>
      <c r="D5822" s="132" t="s">
        <v>285</v>
      </c>
      <c r="E5822" s="508">
        <v>1.048</v>
      </c>
      <c r="F5822" s="508">
        <v>1.048</v>
      </c>
      <c r="G5822" s="508">
        <v>1.0489999999999999</v>
      </c>
      <c r="H5822" s="508">
        <v>0.90100000000000002</v>
      </c>
      <c r="I5822" s="508">
        <v>0.90100000000000002</v>
      </c>
      <c r="J5822" s="508">
        <v>0.90100000000000002</v>
      </c>
      <c r="K5822" s="508">
        <v>0.55600000000000005</v>
      </c>
      <c r="L5822" s="508">
        <v>0.55600000000000005</v>
      </c>
      <c r="M5822" s="508">
        <v>0.55600000000000005</v>
      </c>
      <c r="N5822" s="508">
        <v>0.91</v>
      </c>
      <c r="O5822" s="508">
        <v>0.91</v>
      </c>
      <c r="P5822" s="508">
        <v>0.91</v>
      </c>
      <c r="Q5822" s="508">
        <v>0.91</v>
      </c>
      <c r="R5822" s="508">
        <v>0.443</v>
      </c>
      <c r="S5822" s="508">
        <v>0.443</v>
      </c>
      <c r="T5822" s="508">
        <v>0.443</v>
      </c>
      <c r="U5822" s="508">
        <v>0.443</v>
      </c>
      <c r="V5822" s="508">
        <v>0.443</v>
      </c>
      <c r="W5822" s="508">
        <v>0.4</v>
      </c>
      <c r="X5822" s="508">
        <v>0.4</v>
      </c>
      <c r="Y5822" s="508">
        <v>0.4</v>
      </c>
      <c r="Z5822" s="508">
        <v>0.4</v>
      </c>
      <c r="AA5822" s="508">
        <v>1.7000000000000001E-2</v>
      </c>
      <c r="AB5822" s="508">
        <v>1.7000000000000001E-2</v>
      </c>
      <c r="AC5822" s="508">
        <v>1.7000000000000001E-2</v>
      </c>
      <c r="AD5822" s="508">
        <v>1.4999999999999999E-2</v>
      </c>
      <c r="AE5822" s="508">
        <v>1.4999999999999999E-2</v>
      </c>
      <c r="AF5822" s="508">
        <v>8.9999999999999993E-3</v>
      </c>
      <c r="AG5822" s="508">
        <v>8.9999999999999993E-3</v>
      </c>
      <c r="AH5822" s="508">
        <v>8.9999999999999993E-3</v>
      </c>
      <c r="AI5822" s="492">
        <v>8.9999999999999993E-3</v>
      </c>
      <c r="AJ5822" s="485"/>
    </row>
    <row r="5823" spans="2:36">
      <c r="B5823" s="136" t="s">
        <v>473</v>
      </c>
      <c r="C5823" s="132" t="s">
        <v>1371</v>
      </c>
      <c r="D5823" s="132" t="s">
        <v>285</v>
      </c>
      <c r="E5823" s="508">
        <v>1.089</v>
      </c>
      <c r="F5823" s="508">
        <v>1.0880000000000001</v>
      </c>
      <c r="G5823" s="508">
        <v>1.089</v>
      </c>
      <c r="H5823" s="508">
        <v>0.96399999999999997</v>
      </c>
      <c r="I5823" s="508">
        <v>0.96399999999999997</v>
      </c>
      <c r="J5823" s="508">
        <v>0.96399999999999997</v>
      </c>
      <c r="K5823" s="508">
        <v>0.625</v>
      </c>
      <c r="L5823" s="508">
        <v>0.625</v>
      </c>
      <c r="M5823" s="508">
        <v>0.625</v>
      </c>
      <c r="N5823" s="508">
        <v>1.0289999999999999</v>
      </c>
      <c r="O5823" s="508">
        <v>1.0289999999999999</v>
      </c>
      <c r="P5823" s="508">
        <v>1.0289999999999999</v>
      </c>
      <c r="Q5823" s="508">
        <v>1.0289999999999999</v>
      </c>
      <c r="R5823" s="508">
        <v>0.48499999999999999</v>
      </c>
      <c r="S5823" s="508">
        <v>0.48499999999999999</v>
      </c>
      <c r="T5823" s="508">
        <v>0.48499999999999999</v>
      </c>
      <c r="U5823" s="508">
        <v>0.48499999999999999</v>
      </c>
      <c r="V5823" s="508">
        <v>0.48499999999999999</v>
      </c>
      <c r="W5823" s="508">
        <v>0.438</v>
      </c>
      <c r="X5823" s="508">
        <v>0.438</v>
      </c>
      <c r="Y5823" s="508">
        <v>0.438</v>
      </c>
      <c r="Z5823" s="508">
        <v>0.438</v>
      </c>
      <c r="AA5823" s="508">
        <v>1.7999999999999999E-2</v>
      </c>
      <c r="AB5823" s="508">
        <v>1.7999999999999999E-2</v>
      </c>
      <c r="AC5823" s="508">
        <v>1.7999999999999999E-2</v>
      </c>
      <c r="AD5823" s="508">
        <v>1.6E-2</v>
      </c>
      <c r="AE5823" s="508">
        <v>1.6E-2</v>
      </c>
      <c r="AF5823" s="508">
        <v>0.01</v>
      </c>
      <c r="AG5823" s="508">
        <v>0.01</v>
      </c>
      <c r="AH5823" s="508">
        <v>0.01</v>
      </c>
      <c r="AI5823" s="492">
        <v>0.01</v>
      </c>
      <c r="AJ5823" s="485"/>
    </row>
    <row r="5824" spans="2:36">
      <c r="B5824" s="136" t="s">
        <v>474</v>
      </c>
      <c r="C5824" s="132" t="s">
        <v>1371</v>
      </c>
      <c r="D5824" s="132" t="s">
        <v>285</v>
      </c>
      <c r="E5824" s="508">
        <v>1.0740000000000001</v>
      </c>
      <c r="F5824" s="508">
        <v>1.0740000000000001</v>
      </c>
      <c r="G5824" s="508">
        <v>1.0740000000000001</v>
      </c>
      <c r="H5824" s="508">
        <v>0.94099999999999995</v>
      </c>
      <c r="I5824" s="508">
        <v>0.94099999999999995</v>
      </c>
      <c r="J5824" s="508">
        <v>0.94</v>
      </c>
      <c r="K5824" s="508">
        <v>0.59899999999999998</v>
      </c>
      <c r="L5824" s="508">
        <v>0.59899999999999998</v>
      </c>
      <c r="M5824" s="508">
        <v>0.59899999999999998</v>
      </c>
      <c r="N5824" s="508">
        <v>0.98299999999999998</v>
      </c>
      <c r="O5824" s="508">
        <v>0.98299999999999998</v>
      </c>
      <c r="P5824" s="508">
        <v>0.98299999999999998</v>
      </c>
      <c r="Q5824" s="508">
        <v>0.98299999999999998</v>
      </c>
      <c r="R5824" s="508">
        <v>0.46899999999999997</v>
      </c>
      <c r="S5824" s="508">
        <v>0.46899999999999997</v>
      </c>
      <c r="T5824" s="508">
        <v>0.46899999999999997</v>
      </c>
      <c r="U5824" s="508">
        <v>0.46899999999999997</v>
      </c>
      <c r="V5824" s="508">
        <v>0.46899999999999997</v>
      </c>
      <c r="W5824" s="508">
        <v>0.42299999999999999</v>
      </c>
      <c r="X5824" s="508">
        <v>0.42299999999999999</v>
      </c>
      <c r="Y5824" s="508">
        <v>0.42299999999999999</v>
      </c>
      <c r="Z5824" s="508">
        <v>0.42299999999999999</v>
      </c>
      <c r="AA5824" s="508">
        <v>1.7999999999999999E-2</v>
      </c>
      <c r="AB5824" s="508">
        <v>1.7999999999999999E-2</v>
      </c>
      <c r="AC5824" s="508">
        <v>1.7999999999999999E-2</v>
      </c>
      <c r="AD5824" s="508">
        <v>1.4999999999999999E-2</v>
      </c>
      <c r="AE5824" s="508">
        <v>1.4999999999999999E-2</v>
      </c>
      <c r="AF5824" s="508">
        <v>0.01</v>
      </c>
      <c r="AG5824" s="508">
        <v>8.9999999999999993E-3</v>
      </c>
      <c r="AH5824" s="508">
        <v>8.9999999999999993E-3</v>
      </c>
      <c r="AI5824" s="492">
        <v>8.9999999999999993E-3</v>
      </c>
      <c r="AJ5824" s="485"/>
    </row>
    <row r="5825" spans="2:36">
      <c r="B5825" s="136" t="s">
        <v>475</v>
      </c>
      <c r="C5825" s="132" t="s">
        <v>1371</v>
      </c>
      <c r="D5825" s="132" t="s">
        <v>285</v>
      </c>
      <c r="E5825" s="508">
        <v>1.07</v>
      </c>
      <c r="F5825" s="508">
        <v>1.07</v>
      </c>
      <c r="G5825" s="508">
        <v>1.07</v>
      </c>
      <c r="H5825" s="508">
        <v>0.93200000000000005</v>
      </c>
      <c r="I5825" s="508">
        <v>0.93200000000000005</v>
      </c>
      <c r="J5825" s="508">
        <v>0.93200000000000005</v>
      </c>
      <c r="K5825" s="508">
        <v>0.58799999999999997</v>
      </c>
      <c r="L5825" s="508">
        <v>0.58799999999999997</v>
      </c>
      <c r="M5825" s="508">
        <v>0.58799999999999997</v>
      </c>
      <c r="N5825" s="508">
        <v>0.96399999999999997</v>
      </c>
      <c r="O5825" s="508">
        <v>0.96399999999999997</v>
      </c>
      <c r="P5825" s="508">
        <v>0.96399999999999997</v>
      </c>
      <c r="Q5825" s="508">
        <v>0.96399999999999997</v>
      </c>
      <c r="R5825" s="508">
        <v>0.46200000000000002</v>
      </c>
      <c r="S5825" s="508">
        <v>0.46200000000000002</v>
      </c>
      <c r="T5825" s="508">
        <v>0.46200000000000002</v>
      </c>
      <c r="U5825" s="508">
        <v>0.46200000000000002</v>
      </c>
      <c r="V5825" s="508">
        <v>0.46200000000000002</v>
      </c>
      <c r="W5825" s="508">
        <v>0.41699999999999998</v>
      </c>
      <c r="X5825" s="508">
        <v>0.41699999999999998</v>
      </c>
      <c r="Y5825" s="508">
        <v>0.41699999999999998</v>
      </c>
      <c r="Z5825" s="508">
        <v>0.41699999999999998</v>
      </c>
      <c r="AA5825" s="508">
        <v>1.7000000000000001E-2</v>
      </c>
      <c r="AB5825" s="508">
        <v>1.7000000000000001E-2</v>
      </c>
      <c r="AC5825" s="508">
        <v>1.7000000000000001E-2</v>
      </c>
      <c r="AD5825" s="508">
        <v>1.4999999999999999E-2</v>
      </c>
      <c r="AE5825" s="508">
        <v>1.4999999999999999E-2</v>
      </c>
      <c r="AF5825" s="508">
        <v>8.9999999999999993E-3</v>
      </c>
      <c r="AG5825" s="508">
        <v>8.9999999999999993E-3</v>
      </c>
      <c r="AH5825" s="508">
        <v>8.9999999999999993E-3</v>
      </c>
      <c r="AI5825" s="492">
        <v>8.9999999999999993E-3</v>
      </c>
      <c r="AJ5825" s="485"/>
    </row>
    <row r="5826" spans="2:36">
      <c r="B5826" s="136" t="s">
        <v>476</v>
      </c>
      <c r="C5826" s="132" t="s">
        <v>1371</v>
      </c>
      <c r="D5826" s="132" t="s">
        <v>285</v>
      </c>
      <c r="E5826" s="508">
        <v>1.0840000000000001</v>
      </c>
      <c r="F5826" s="508">
        <v>1.0840000000000001</v>
      </c>
      <c r="G5826" s="508">
        <v>1.0840000000000001</v>
      </c>
      <c r="H5826" s="508">
        <v>0.95499999999999996</v>
      </c>
      <c r="I5826" s="508">
        <v>0.95499999999999996</v>
      </c>
      <c r="J5826" s="508">
        <v>0.95499999999999996</v>
      </c>
      <c r="K5826" s="508">
        <v>0.61499999999999999</v>
      </c>
      <c r="L5826" s="508">
        <v>0.61499999999999999</v>
      </c>
      <c r="M5826" s="508">
        <v>0.61499999999999999</v>
      </c>
      <c r="N5826" s="508">
        <v>1.008</v>
      </c>
      <c r="O5826" s="508">
        <v>1.008</v>
      </c>
      <c r="P5826" s="508">
        <v>1.008</v>
      </c>
      <c r="Q5826" s="508">
        <v>1.008</v>
      </c>
      <c r="R5826" s="508">
        <v>0.47599999999999998</v>
      </c>
      <c r="S5826" s="508">
        <v>0.47599999999999998</v>
      </c>
      <c r="T5826" s="508">
        <v>0.47599999999999998</v>
      </c>
      <c r="U5826" s="508">
        <v>0.47599999999999998</v>
      </c>
      <c r="V5826" s="508">
        <v>0.47599999999999998</v>
      </c>
      <c r="W5826" s="508">
        <v>0.43</v>
      </c>
      <c r="X5826" s="508">
        <v>0.43</v>
      </c>
      <c r="Y5826" s="508">
        <v>0.43</v>
      </c>
      <c r="Z5826" s="508">
        <v>0.43</v>
      </c>
      <c r="AA5826" s="508">
        <v>1.7999999999999999E-2</v>
      </c>
      <c r="AB5826" s="508">
        <v>1.7999999999999999E-2</v>
      </c>
      <c r="AC5826" s="508">
        <v>1.7999999999999999E-2</v>
      </c>
      <c r="AD5826" s="508">
        <v>1.6E-2</v>
      </c>
      <c r="AE5826" s="508">
        <v>1.6E-2</v>
      </c>
      <c r="AF5826" s="508">
        <v>0.01</v>
      </c>
      <c r="AG5826" s="508">
        <v>0.01</v>
      </c>
      <c r="AH5826" s="508">
        <v>0.01</v>
      </c>
      <c r="AI5826" s="492">
        <v>0.01</v>
      </c>
      <c r="AJ5826" s="485"/>
    </row>
    <row r="5827" spans="2:36">
      <c r="B5827" s="136" t="s">
        <v>478</v>
      </c>
      <c r="C5827" s="132" t="s">
        <v>1371</v>
      </c>
      <c r="D5827" s="132" t="s">
        <v>285</v>
      </c>
      <c r="E5827" s="508">
        <v>1.1080000000000001</v>
      </c>
      <c r="F5827" s="508">
        <v>1.1080000000000001</v>
      </c>
      <c r="G5827" s="508">
        <v>1.1080000000000001</v>
      </c>
      <c r="H5827" s="508">
        <v>0.98499999999999999</v>
      </c>
      <c r="I5827" s="508">
        <v>0.98499999999999999</v>
      </c>
      <c r="J5827" s="508">
        <v>0.98499999999999999</v>
      </c>
      <c r="K5827" s="508">
        <v>0.64</v>
      </c>
      <c r="L5827" s="508">
        <v>0.64</v>
      </c>
      <c r="M5827" s="508">
        <v>0.64</v>
      </c>
      <c r="N5827" s="508">
        <v>1.0489999999999999</v>
      </c>
      <c r="O5827" s="508">
        <v>1.0489999999999999</v>
      </c>
      <c r="P5827" s="508">
        <v>1.0489999999999999</v>
      </c>
      <c r="Q5827" s="508">
        <v>1.0489999999999999</v>
      </c>
      <c r="R5827" s="508">
        <v>0.49</v>
      </c>
      <c r="S5827" s="508">
        <v>0.49</v>
      </c>
      <c r="T5827" s="508">
        <v>0.49</v>
      </c>
      <c r="U5827" s="508">
        <v>0.49</v>
      </c>
      <c r="V5827" s="508">
        <v>0.49</v>
      </c>
      <c r="W5827" s="508">
        <v>0.442</v>
      </c>
      <c r="X5827" s="508">
        <v>0.442</v>
      </c>
      <c r="Y5827" s="508">
        <v>0.442</v>
      </c>
      <c r="Z5827" s="508">
        <v>0.442</v>
      </c>
      <c r="AA5827" s="508">
        <v>1.7999999999999999E-2</v>
      </c>
      <c r="AB5827" s="508">
        <v>1.7999999999999999E-2</v>
      </c>
      <c r="AC5827" s="508">
        <v>1.7999999999999999E-2</v>
      </c>
      <c r="AD5827" s="508">
        <v>1.6E-2</v>
      </c>
      <c r="AE5827" s="508">
        <v>1.6E-2</v>
      </c>
      <c r="AF5827" s="508">
        <v>0.01</v>
      </c>
      <c r="AG5827" s="508">
        <v>0.01</v>
      </c>
      <c r="AH5827" s="508">
        <v>0.01</v>
      </c>
      <c r="AI5827" s="492">
        <v>0.01</v>
      </c>
      <c r="AJ5827" s="485"/>
    </row>
    <row r="5828" spans="2:36">
      <c r="B5828" s="136" t="s">
        <v>479</v>
      </c>
      <c r="C5828" s="132" t="s">
        <v>1371</v>
      </c>
      <c r="D5828" s="132" t="s">
        <v>285</v>
      </c>
      <c r="E5828" s="508">
        <v>1.07</v>
      </c>
      <c r="F5828" s="508">
        <v>1.07</v>
      </c>
      <c r="G5828" s="508">
        <v>1.07</v>
      </c>
      <c r="H5828" s="508">
        <v>0.93600000000000005</v>
      </c>
      <c r="I5828" s="508">
        <v>0.93600000000000005</v>
      </c>
      <c r="J5828" s="508">
        <v>0.93600000000000005</v>
      </c>
      <c r="K5828" s="508">
        <v>0.59599999999999997</v>
      </c>
      <c r="L5828" s="508">
        <v>0.59599999999999997</v>
      </c>
      <c r="M5828" s="508">
        <v>0.59599999999999997</v>
      </c>
      <c r="N5828" s="508">
        <v>0.97499999999999998</v>
      </c>
      <c r="O5828" s="508">
        <v>0.97499999999999998</v>
      </c>
      <c r="P5828" s="508">
        <v>0.97499999999999998</v>
      </c>
      <c r="Q5828" s="508">
        <v>0.97499999999999998</v>
      </c>
      <c r="R5828" s="508">
        <v>0.46500000000000002</v>
      </c>
      <c r="S5828" s="508">
        <v>0.46500000000000002</v>
      </c>
      <c r="T5828" s="508">
        <v>0.46500000000000002</v>
      </c>
      <c r="U5828" s="508">
        <v>0.46500000000000002</v>
      </c>
      <c r="V5828" s="508">
        <v>0.46500000000000002</v>
      </c>
      <c r="W5828" s="508">
        <v>0.41899999999999998</v>
      </c>
      <c r="X5828" s="508">
        <v>0.41899999999999998</v>
      </c>
      <c r="Y5828" s="508">
        <v>0.41899999999999998</v>
      </c>
      <c r="Z5828" s="508">
        <v>0.41899999999999998</v>
      </c>
      <c r="AA5828" s="508">
        <v>1.7000000000000001E-2</v>
      </c>
      <c r="AB5828" s="508">
        <v>1.7000000000000001E-2</v>
      </c>
      <c r="AC5828" s="508">
        <v>1.7000000000000001E-2</v>
      </c>
      <c r="AD5828" s="508">
        <v>1.4999999999999999E-2</v>
      </c>
      <c r="AE5828" s="508">
        <v>1.4999999999999999E-2</v>
      </c>
      <c r="AF5828" s="508">
        <v>0.01</v>
      </c>
      <c r="AG5828" s="508">
        <v>8.9999999999999993E-3</v>
      </c>
      <c r="AH5828" s="508">
        <v>8.9999999999999993E-3</v>
      </c>
      <c r="AI5828" s="492">
        <v>8.9999999999999993E-3</v>
      </c>
      <c r="AJ5828" s="485"/>
    </row>
    <row r="5829" spans="2:36">
      <c r="B5829" s="136" t="s">
        <v>480</v>
      </c>
      <c r="C5829" s="132" t="s">
        <v>1371</v>
      </c>
      <c r="D5829" s="132" t="s">
        <v>285</v>
      </c>
      <c r="E5829" s="508">
        <v>1.05</v>
      </c>
      <c r="F5829" s="508">
        <v>1.05</v>
      </c>
      <c r="G5829" s="508">
        <v>1.05</v>
      </c>
      <c r="H5829" s="508">
        <v>0.90200000000000002</v>
      </c>
      <c r="I5829" s="508">
        <v>0.90200000000000002</v>
      </c>
      <c r="J5829" s="508">
        <v>0.90200000000000002</v>
      </c>
      <c r="K5829" s="508">
        <v>0.55600000000000005</v>
      </c>
      <c r="L5829" s="508">
        <v>0.55600000000000005</v>
      </c>
      <c r="M5829" s="508">
        <v>0.55600000000000005</v>
      </c>
      <c r="N5829" s="508">
        <v>0.90500000000000003</v>
      </c>
      <c r="O5829" s="508">
        <v>0.90500000000000003</v>
      </c>
      <c r="P5829" s="508">
        <v>0.90500000000000003</v>
      </c>
      <c r="Q5829" s="508">
        <v>0.90500000000000003</v>
      </c>
      <c r="R5829" s="508">
        <v>0.439</v>
      </c>
      <c r="S5829" s="508">
        <v>0.439</v>
      </c>
      <c r="T5829" s="508">
        <v>0.439</v>
      </c>
      <c r="U5829" s="508">
        <v>0.439</v>
      </c>
      <c r="V5829" s="508">
        <v>0.439</v>
      </c>
      <c r="W5829" s="508">
        <v>0.39600000000000002</v>
      </c>
      <c r="X5829" s="508">
        <v>0.39600000000000002</v>
      </c>
      <c r="Y5829" s="508">
        <v>0.39600000000000002</v>
      </c>
      <c r="Z5829" s="508">
        <v>0.39600000000000002</v>
      </c>
      <c r="AA5829" s="508">
        <v>1.7000000000000001E-2</v>
      </c>
      <c r="AB5829" s="508">
        <v>1.7000000000000001E-2</v>
      </c>
      <c r="AC5829" s="508">
        <v>1.7000000000000001E-2</v>
      </c>
      <c r="AD5829" s="508">
        <v>1.4999999999999999E-2</v>
      </c>
      <c r="AE5829" s="508">
        <v>1.4999999999999999E-2</v>
      </c>
      <c r="AF5829" s="508">
        <v>8.9999999999999993E-3</v>
      </c>
      <c r="AG5829" s="508">
        <v>8.9999999999999993E-3</v>
      </c>
      <c r="AH5829" s="508">
        <v>8.9999999999999993E-3</v>
      </c>
      <c r="AI5829" s="492">
        <v>8.9999999999999993E-3</v>
      </c>
      <c r="AJ5829" s="485"/>
    </row>
    <row r="5830" spans="2:36">
      <c r="B5830" s="136" t="s">
        <v>481</v>
      </c>
      <c r="C5830" s="132" t="s">
        <v>1371</v>
      </c>
      <c r="D5830" s="132" t="s">
        <v>285</v>
      </c>
      <c r="E5830" s="508">
        <v>1.079</v>
      </c>
      <c r="F5830" s="508">
        <v>1.079</v>
      </c>
      <c r="G5830" s="508">
        <v>1.079</v>
      </c>
      <c r="H5830" s="508">
        <v>0.94699999999999995</v>
      </c>
      <c r="I5830" s="508">
        <v>0.94699999999999995</v>
      </c>
      <c r="J5830" s="508">
        <v>0.94699999999999995</v>
      </c>
      <c r="K5830" s="508">
        <v>0.60499999999999998</v>
      </c>
      <c r="L5830" s="508">
        <v>0.60499999999999998</v>
      </c>
      <c r="M5830" s="508">
        <v>0.60499999999999998</v>
      </c>
      <c r="N5830" s="508">
        <v>0.99099999999999999</v>
      </c>
      <c r="O5830" s="508">
        <v>0.99099999999999999</v>
      </c>
      <c r="P5830" s="508">
        <v>0.99099999999999999</v>
      </c>
      <c r="Q5830" s="508">
        <v>0.99099999999999999</v>
      </c>
      <c r="R5830" s="508">
        <v>0.47</v>
      </c>
      <c r="S5830" s="508">
        <v>0.47</v>
      </c>
      <c r="T5830" s="508">
        <v>0.47</v>
      </c>
      <c r="U5830" s="508">
        <v>0.47</v>
      </c>
      <c r="V5830" s="508">
        <v>0.47</v>
      </c>
      <c r="W5830" s="508">
        <v>0.42399999999999999</v>
      </c>
      <c r="X5830" s="508">
        <v>0.42399999999999999</v>
      </c>
      <c r="Y5830" s="508">
        <v>0.42399999999999999</v>
      </c>
      <c r="Z5830" s="508">
        <v>0.42399999999999999</v>
      </c>
      <c r="AA5830" s="508">
        <v>1.7999999999999999E-2</v>
      </c>
      <c r="AB5830" s="508">
        <v>1.7999999999999999E-2</v>
      </c>
      <c r="AC5830" s="508">
        <v>1.7999999999999999E-2</v>
      </c>
      <c r="AD5830" s="508">
        <v>1.6E-2</v>
      </c>
      <c r="AE5830" s="508">
        <v>1.6E-2</v>
      </c>
      <c r="AF5830" s="508">
        <v>0.01</v>
      </c>
      <c r="AG5830" s="508">
        <v>8.9999999999999993E-3</v>
      </c>
      <c r="AH5830" s="508">
        <v>8.9999999999999993E-3</v>
      </c>
      <c r="AI5830" s="492">
        <v>8.9999999999999993E-3</v>
      </c>
      <c r="AJ5830" s="485"/>
    </row>
    <row r="5831" spans="2:36">
      <c r="B5831" s="136" t="s">
        <v>482</v>
      </c>
      <c r="C5831" s="132" t="s">
        <v>1371</v>
      </c>
      <c r="D5831" s="132" t="s">
        <v>285</v>
      </c>
      <c r="E5831" s="508">
        <v>1.089</v>
      </c>
      <c r="F5831" s="508">
        <v>1.089</v>
      </c>
      <c r="G5831" s="508">
        <v>1.089</v>
      </c>
      <c r="H5831" s="508">
        <v>0.95399999999999996</v>
      </c>
      <c r="I5831" s="508">
        <v>0.95399999999999996</v>
      </c>
      <c r="J5831" s="508">
        <v>0.95399999999999996</v>
      </c>
      <c r="K5831" s="508">
        <v>0.60599999999999998</v>
      </c>
      <c r="L5831" s="508">
        <v>0.60599999999999998</v>
      </c>
      <c r="M5831" s="508">
        <v>0.60599999999999998</v>
      </c>
      <c r="N5831" s="508">
        <v>0.99199999999999999</v>
      </c>
      <c r="O5831" s="508">
        <v>0.99199999999999999</v>
      </c>
      <c r="P5831" s="508">
        <v>0.99199999999999999</v>
      </c>
      <c r="Q5831" s="508">
        <v>0.99199999999999999</v>
      </c>
      <c r="R5831" s="508">
        <v>0.47099999999999997</v>
      </c>
      <c r="S5831" s="508">
        <v>0.47099999999999997</v>
      </c>
      <c r="T5831" s="508">
        <v>0.47099999999999997</v>
      </c>
      <c r="U5831" s="508">
        <v>0.47099999999999997</v>
      </c>
      <c r="V5831" s="508">
        <v>0.47099999999999997</v>
      </c>
      <c r="W5831" s="508">
        <v>0.42499999999999999</v>
      </c>
      <c r="X5831" s="508">
        <v>0.42499999999999999</v>
      </c>
      <c r="Y5831" s="508">
        <v>0.42499999999999999</v>
      </c>
      <c r="Z5831" s="508">
        <v>0.42499999999999999</v>
      </c>
      <c r="AA5831" s="508">
        <v>1.7999999999999999E-2</v>
      </c>
      <c r="AB5831" s="508">
        <v>1.7999999999999999E-2</v>
      </c>
      <c r="AC5831" s="508">
        <v>1.7999999999999999E-2</v>
      </c>
      <c r="AD5831" s="508">
        <v>1.6E-2</v>
      </c>
      <c r="AE5831" s="508">
        <v>1.6E-2</v>
      </c>
      <c r="AF5831" s="508">
        <v>0.01</v>
      </c>
      <c r="AG5831" s="508">
        <v>8.9999999999999993E-3</v>
      </c>
      <c r="AH5831" s="508">
        <v>8.9999999999999993E-3</v>
      </c>
      <c r="AI5831" s="492">
        <v>8.9999999999999993E-3</v>
      </c>
      <c r="AJ5831" s="485"/>
    </row>
    <row r="5832" spans="2:36">
      <c r="B5832" s="136" t="s">
        <v>483</v>
      </c>
      <c r="C5832" s="132" t="s">
        <v>1371</v>
      </c>
      <c r="D5832" s="132" t="s">
        <v>285</v>
      </c>
      <c r="E5832" s="508">
        <v>1.1000000000000001</v>
      </c>
      <c r="F5832" s="508">
        <v>1.1000000000000001</v>
      </c>
      <c r="G5832" s="508">
        <v>1.1000000000000001</v>
      </c>
      <c r="H5832" s="508">
        <v>0.97599999999999998</v>
      </c>
      <c r="I5832" s="508">
        <v>0.97599999999999998</v>
      </c>
      <c r="J5832" s="508">
        <v>0.97599999999999998</v>
      </c>
      <c r="K5832" s="508">
        <v>0.63400000000000001</v>
      </c>
      <c r="L5832" s="508">
        <v>0.63400000000000001</v>
      </c>
      <c r="M5832" s="508">
        <v>0.63400000000000001</v>
      </c>
      <c r="N5832" s="508">
        <v>1.04</v>
      </c>
      <c r="O5832" s="508">
        <v>1.04</v>
      </c>
      <c r="P5832" s="508">
        <v>1.04</v>
      </c>
      <c r="Q5832" s="508">
        <v>1.04</v>
      </c>
      <c r="R5832" s="508">
        <v>0.48699999999999999</v>
      </c>
      <c r="S5832" s="508">
        <v>0.48699999999999999</v>
      </c>
      <c r="T5832" s="508">
        <v>0.48699999999999999</v>
      </c>
      <c r="U5832" s="508">
        <v>0.48699999999999999</v>
      </c>
      <c r="V5832" s="508">
        <v>0.48699999999999999</v>
      </c>
      <c r="W5832" s="508">
        <v>0.44</v>
      </c>
      <c r="X5832" s="508">
        <v>0.44</v>
      </c>
      <c r="Y5832" s="508">
        <v>0.44</v>
      </c>
      <c r="Z5832" s="508">
        <v>0.44</v>
      </c>
      <c r="AA5832" s="508">
        <v>1.7999999999999999E-2</v>
      </c>
      <c r="AB5832" s="508">
        <v>1.7999999999999999E-2</v>
      </c>
      <c r="AC5832" s="508">
        <v>1.7999999999999999E-2</v>
      </c>
      <c r="AD5832" s="508">
        <v>1.6E-2</v>
      </c>
      <c r="AE5832" s="508">
        <v>1.6E-2</v>
      </c>
      <c r="AF5832" s="508">
        <v>0.01</v>
      </c>
      <c r="AG5832" s="508">
        <v>0.01</v>
      </c>
      <c r="AH5832" s="508">
        <v>0.01</v>
      </c>
      <c r="AI5832" s="492">
        <v>0.01</v>
      </c>
      <c r="AJ5832" s="485"/>
    </row>
    <row r="5833" spans="2:36">
      <c r="B5833" s="136" t="s">
        <v>484</v>
      </c>
      <c r="C5833" s="132" t="s">
        <v>1371</v>
      </c>
      <c r="D5833" s="132" t="s">
        <v>285</v>
      </c>
      <c r="E5833" s="508">
        <v>1.0489999999999999</v>
      </c>
      <c r="F5833" s="508">
        <v>1.0489999999999999</v>
      </c>
      <c r="G5833" s="508">
        <v>1.0489999999999999</v>
      </c>
      <c r="H5833" s="508">
        <v>0.90100000000000002</v>
      </c>
      <c r="I5833" s="508">
        <v>0.90100000000000002</v>
      </c>
      <c r="J5833" s="508">
        <v>0.90100000000000002</v>
      </c>
      <c r="K5833" s="508">
        <v>0.55500000000000005</v>
      </c>
      <c r="L5833" s="508">
        <v>0.55500000000000005</v>
      </c>
      <c r="M5833" s="508">
        <v>0.55500000000000005</v>
      </c>
      <c r="N5833" s="508">
        <v>0.90800000000000003</v>
      </c>
      <c r="O5833" s="508">
        <v>0.90800000000000003</v>
      </c>
      <c r="P5833" s="508">
        <v>0.90800000000000003</v>
      </c>
      <c r="Q5833" s="508">
        <v>0.90800000000000003</v>
      </c>
      <c r="R5833" s="508">
        <v>0.442</v>
      </c>
      <c r="S5833" s="508">
        <v>0.442</v>
      </c>
      <c r="T5833" s="508">
        <v>0.442</v>
      </c>
      <c r="U5833" s="508">
        <v>0.442</v>
      </c>
      <c r="V5833" s="508">
        <v>0.442</v>
      </c>
      <c r="W5833" s="508">
        <v>0.39900000000000002</v>
      </c>
      <c r="X5833" s="508">
        <v>0.39900000000000002</v>
      </c>
      <c r="Y5833" s="508">
        <v>0.39900000000000002</v>
      </c>
      <c r="Z5833" s="508">
        <v>0.39900000000000002</v>
      </c>
      <c r="AA5833" s="508">
        <v>1.7000000000000001E-2</v>
      </c>
      <c r="AB5833" s="508">
        <v>1.7000000000000001E-2</v>
      </c>
      <c r="AC5833" s="508">
        <v>1.7000000000000001E-2</v>
      </c>
      <c r="AD5833" s="508">
        <v>1.4999999999999999E-2</v>
      </c>
      <c r="AE5833" s="508">
        <v>1.4999999999999999E-2</v>
      </c>
      <c r="AF5833" s="508">
        <v>8.9999999999999993E-3</v>
      </c>
      <c r="AG5833" s="508">
        <v>8.9999999999999993E-3</v>
      </c>
      <c r="AH5833" s="508">
        <v>8.9999999999999993E-3</v>
      </c>
      <c r="AI5833" s="492">
        <v>8.9999999999999993E-3</v>
      </c>
      <c r="AJ5833" s="485"/>
    </row>
    <row r="5834" spans="2:36">
      <c r="B5834" s="136" t="s">
        <v>486</v>
      </c>
      <c r="C5834" s="132" t="s">
        <v>1371</v>
      </c>
      <c r="D5834" s="132" t="s">
        <v>285</v>
      </c>
      <c r="E5834" s="508">
        <v>1.0840000000000001</v>
      </c>
      <c r="F5834" s="508">
        <v>1.0840000000000001</v>
      </c>
      <c r="G5834" s="508">
        <v>1.085</v>
      </c>
      <c r="H5834" s="508">
        <v>0.95199999999999996</v>
      </c>
      <c r="I5834" s="508">
        <v>0.95199999999999996</v>
      </c>
      <c r="J5834" s="508">
        <v>0.95199999999999996</v>
      </c>
      <c r="K5834" s="508">
        <v>0.60799999999999998</v>
      </c>
      <c r="L5834" s="508">
        <v>0.60799999999999998</v>
      </c>
      <c r="M5834" s="508">
        <v>0.60799999999999998</v>
      </c>
      <c r="N5834" s="508">
        <v>0.996</v>
      </c>
      <c r="O5834" s="508">
        <v>0.996</v>
      </c>
      <c r="P5834" s="508">
        <v>0.996</v>
      </c>
      <c r="Q5834" s="508">
        <v>0.996</v>
      </c>
      <c r="R5834" s="508">
        <v>0.47199999999999998</v>
      </c>
      <c r="S5834" s="508">
        <v>0.47199999999999998</v>
      </c>
      <c r="T5834" s="508">
        <v>0.47199999999999998</v>
      </c>
      <c r="U5834" s="508">
        <v>0.47199999999999998</v>
      </c>
      <c r="V5834" s="508">
        <v>0.47199999999999998</v>
      </c>
      <c r="W5834" s="508">
        <v>0.42599999999999999</v>
      </c>
      <c r="X5834" s="508">
        <v>0.42599999999999999</v>
      </c>
      <c r="Y5834" s="508">
        <v>0.42599999999999999</v>
      </c>
      <c r="Z5834" s="508">
        <v>0.42599999999999999</v>
      </c>
      <c r="AA5834" s="508">
        <v>1.7999999999999999E-2</v>
      </c>
      <c r="AB5834" s="508">
        <v>1.7999999999999999E-2</v>
      </c>
      <c r="AC5834" s="508">
        <v>1.7999999999999999E-2</v>
      </c>
      <c r="AD5834" s="508">
        <v>1.6E-2</v>
      </c>
      <c r="AE5834" s="508">
        <v>1.6E-2</v>
      </c>
      <c r="AF5834" s="508">
        <v>0.01</v>
      </c>
      <c r="AG5834" s="508">
        <v>0.01</v>
      </c>
      <c r="AH5834" s="508">
        <v>8.9999999999999993E-3</v>
      </c>
      <c r="AI5834" s="492">
        <v>8.9999999999999993E-3</v>
      </c>
      <c r="AJ5834" s="485"/>
    </row>
    <row r="5835" spans="2:36">
      <c r="B5835" s="136" t="s">
        <v>487</v>
      </c>
      <c r="C5835" s="132" t="s">
        <v>1371</v>
      </c>
      <c r="D5835" s="132" t="s">
        <v>285</v>
      </c>
      <c r="E5835" s="508">
        <v>1.0920000000000001</v>
      </c>
      <c r="F5835" s="508">
        <v>1.0920000000000001</v>
      </c>
      <c r="G5835" s="508">
        <v>1.0920000000000001</v>
      </c>
      <c r="H5835" s="508">
        <v>0.95899999999999996</v>
      </c>
      <c r="I5835" s="508">
        <v>0.95899999999999996</v>
      </c>
      <c r="J5835" s="508">
        <v>0.95899999999999996</v>
      </c>
      <c r="K5835" s="508">
        <v>0.61299999999999999</v>
      </c>
      <c r="L5835" s="508">
        <v>0.61299999999999999</v>
      </c>
      <c r="M5835" s="508">
        <v>0.61299999999999999</v>
      </c>
      <c r="N5835" s="508">
        <v>1</v>
      </c>
      <c r="O5835" s="508">
        <v>1</v>
      </c>
      <c r="P5835" s="508">
        <v>1</v>
      </c>
      <c r="Q5835" s="508">
        <v>1</v>
      </c>
      <c r="R5835" s="508">
        <v>0.47299999999999998</v>
      </c>
      <c r="S5835" s="508">
        <v>0.47299999999999998</v>
      </c>
      <c r="T5835" s="508">
        <v>0.47299999999999998</v>
      </c>
      <c r="U5835" s="508">
        <v>0.47299999999999998</v>
      </c>
      <c r="V5835" s="508">
        <v>0.47299999999999998</v>
      </c>
      <c r="W5835" s="508">
        <v>0.42599999999999999</v>
      </c>
      <c r="X5835" s="508">
        <v>0.42599999999999999</v>
      </c>
      <c r="Y5835" s="508">
        <v>0.42599999999999999</v>
      </c>
      <c r="Z5835" s="508">
        <v>0.42599999999999999</v>
      </c>
      <c r="AA5835" s="508">
        <v>1.7999999999999999E-2</v>
      </c>
      <c r="AB5835" s="508">
        <v>1.7999999999999999E-2</v>
      </c>
      <c r="AC5835" s="508">
        <v>1.7999999999999999E-2</v>
      </c>
      <c r="AD5835" s="508">
        <v>1.6E-2</v>
      </c>
      <c r="AE5835" s="508">
        <v>1.6E-2</v>
      </c>
      <c r="AF5835" s="508">
        <v>0.01</v>
      </c>
      <c r="AG5835" s="508">
        <v>0.01</v>
      </c>
      <c r="AH5835" s="508">
        <v>0.01</v>
      </c>
      <c r="AI5835" s="492">
        <v>0.01</v>
      </c>
      <c r="AJ5835" s="485"/>
    </row>
    <row r="5836" spans="2:36">
      <c r="B5836" s="136" t="s">
        <v>488</v>
      </c>
      <c r="C5836" s="132" t="s">
        <v>1371</v>
      </c>
      <c r="D5836" s="132" t="s">
        <v>285</v>
      </c>
      <c r="E5836" s="508">
        <v>1.0620000000000001</v>
      </c>
      <c r="F5836" s="508">
        <v>1.0620000000000001</v>
      </c>
      <c r="G5836" s="508">
        <v>1.0620000000000001</v>
      </c>
      <c r="H5836" s="508">
        <v>0.91800000000000004</v>
      </c>
      <c r="I5836" s="508">
        <v>0.91800000000000004</v>
      </c>
      <c r="J5836" s="508">
        <v>0.91800000000000004</v>
      </c>
      <c r="K5836" s="508">
        <v>0.56999999999999995</v>
      </c>
      <c r="L5836" s="508">
        <v>0.56999999999999995</v>
      </c>
      <c r="M5836" s="508">
        <v>0.56999999999999995</v>
      </c>
      <c r="N5836" s="508">
        <v>0.93100000000000005</v>
      </c>
      <c r="O5836" s="508">
        <v>0.93100000000000005</v>
      </c>
      <c r="P5836" s="508">
        <v>0.93100000000000005</v>
      </c>
      <c r="Q5836" s="508">
        <v>0.93100000000000005</v>
      </c>
      <c r="R5836" s="508">
        <v>0.44900000000000001</v>
      </c>
      <c r="S5836" s="508">
        <v>0.44900000000000001</v>
      </c>
      <c r="T5836" s="508">
        <v>0.44900000000000001</v>
      </c>
      <c r="U5836" s="508">
        <v>0.44900000000000001</v>
      </c>
      <c r="V5836" s="508">
        <v>0.44900000000000001</v>
      </c>
      <c r="W5836" s="508">
        <v>0.40500000000000003</v>
      </c>
      <c r="X5836" s="508">
        <v>0.40500000000000003</v>
      </c>
      <c r="Y5836" s="508">
        <v>0.40500000000000003</v>
      </c>
      <c r="Z5836" s="508">
        <v>0.40500000000000003</v>
      </c>
      <c r="AA5836" s="508">
        <v>1.7000000000000001E-2</v>
      </c>
      <c r="AB5836" s="508">
        <v>1.7000000000000001E-2</v>
      </c>
      <c r="AC5836" s="508">
        <v>1.7000000000000001E-2</v>
      </c>
      <c r="AD5836" s="508">
        <v>1.4999999999999999E-2</v>
      </c>
      <c r="AE5836" s="508">
        <v>1.4999999999999999E-2</v>
      </c>
      <c r="AF5836" s="508">
        <v>8.9999999999999993E-3</v>
      </c>
      <c r="AG5836" s="508">
        <v>8.9999999999999993E-3</v>
      </c>
      <c r="AH5836" s="508">
        <v>8.9999999999999993E-3</v>
      </c>
      <c r="AI5836" s="492">
        <v>8.9999999999999993E-3</v>
      </c>
      <c r="AJ5836" s="485"/>
    </row>
    <row r="5837" spans="2:36">
      <c r="B5837" s="136" t="s">
        <v>489</v>
      </c>
      <c r="C5837" s="132" t="s">
        <v>1371</v>
      </c>
      <c r="D5837" s="132" t="s">
        <v>285</v>
      </c>
      <c r="E5837" s="508">
        <v>1.07</v>
      </c>
      <c r="F5837" s="508">
        <v>1.07</v>
      </c>
      <c r="G5837" s="508">
        <v>1.07</v>
      </c>
      <c r="H5837" s="508">
        <v>0.93100000000000005</v>
      </c>
      <c r="I5837" s="508">
        <v>0.93100000000000005</v>
      </c>
      <c r="J5837" s="508">
        <v>0.93100000000000005</v>
      </c>
      <c r="K5837" s="508">
        <v>0.58499999999999996</v>
      </c>
      <c r="L5837" s="508">
        <v>0.58499999999999996</v>
      </c>
      <c r="M5837" s="508">
        <v>0.58499999999999996</v>
      </c>
      <c r="N5837" s="508">
        <v>0.95899999999999996</v>
      </c>
      <c r="O5837" s="508">
        <v>0.95899999999999996</v>
      </c>
      <c r="P5837" s="508">
        <v>0.95899999999999996</v>
      </c>
      <c r="Q5837" s="508">
        <v>0.95899999999999996</v>
      </c>
      <c r="R5837" s="508">
        <v>0.46</v>
      </c>
      <c r="S5837" s="508">
        <v>0.46</v>
      </c>
      <c r="T5837" s="508">
        <v>0.46</v>
      </c>
      <c r="U5837" s="508">
        <v>0.46</v>
      </c>
      <c r="V5837" s="508">
        <v>0.46</v>
      </c>
      <c r="W5837" s="508">
        <v>0.41499999999999998</v>
      </c>
      <c r="X5837" s="508">
        <v>0.41499999999999998</v>
      </c>
      <c r="Y5837" s="508">
        <v>0.41499999999999998</v>
      </c>
      <c r="Z5837" s="508">
        <v>0.41499999999999998</v>
      </c>
      <c r="AA5837" s="508">
        <v>1.7000000000000001E-2</v>
      </c>
      <c r="AB5837" s="508">
        <v>1.7000000000000001E-2</v>
      </c>
      <c r="AC5837" s="508">
        <v>1.7000000000000001E-2</v>
      </c>
      <c r="AD5837" s="508">
        <v>1.4999999999999999E-2</v>
      </c>
      <c r="AE5837" s="508">
        <v>1.4999999999999999E-2</v>
      </c>
      <c r="AF5837" s="508">
        <v>8.9999999999999993E-3</v>
      </c>
      <c r="AG5837" s="508">
        <v>8.9999999999999993E-3</v>
      </c>
      <c r="AH5837" s="508">
        <v>8.9999999999999993E-3</v>
      </c>
      <c r="AI5837" s="492">
        <v>8.9999999999999993E-3</v>
      </c>
      <c r="AJ5837" s="485"/>
    </row>
    <row r="5838" spans="2:36">
      <c r="B5838" s="136" t="s">
        <v>490</v>
      </c>
      <c r="C5838" s="132" t="s">
        <v>1371</v>
      </c>
      <c r="D5838" s="132" t="s">
        <v>285</v>
      </c>
      <c r="E5838" s="508">
        <v>1.05</v>
      </c>
      <c r="F5838" s="508">
        <v>1.05</v>
      </c>
      <c r="G5838" s="508">
        <v>1.05</v>
      </c>
      <c r="H5838" s="508">
        <v>0.90400000000000003</v>
      </c>
      <c r="I5838" s="508">
        <v>0.90400000000000003</v>
      </c>
      <c r="J5838" s="508">
        <v>0.90400000000000003</v>
      </c>
      <c r="K5838" s="508">
        <v>0.56100000000000005</v>
      </c>
      <c r="L5838" s="508">
        <v>0.56100000000000005</v>
      </c>
      <c r="M5838" s="508">
        <v>0.56100000000000005</v>
      </c>
      <c r="N5838" s="508">
        <v>0.91300000000000003</v>
      </c>
      <c r="O5838" s="508">
        <v>0.91300000000000003</v>
      </c>
      <c r="P5838" s="508">
        <v>0.91300000000000003</v>
      </c>
      <c r="Q5838" s="508">
        <v>0.91300000000000003</v>
      </c>
      <c r="R5838" s="508">
        <v>0.44</v>
      </c>
      <c r="S5838" s="508">
        <v>0.44</v>
      </c>
      <c r="T5838" s="508">
        <v>0.44</v>
      </c>
      <c r="U5838" s="508">
        <v>0.44</v>
      </c>
      <c r="V5838" s="508">
        <v>0.44</v>
      </c>
      <c r="W5838" s="508">
        <v>0.39700000000000002</v>
      </c>
      <c r="X5838" s="508">
        <v>0.39700000000000002</v>
      </c>
      <c r="Y5838" s="508">
        <v>0.39700000000000002</v>
      </c>
      <c r="Z5838" s="508">
        <v>0.39700000000000002</v>
      </c>
      <c r="AA5838" s="508">
        <v>1.7000000000000001E-2</v>
      </c>
      <c r="AB5838" s="508">
        <v>1.7000000000000001E-2</v>
      </c>
      <c r="AC5838" s="508">
        <v>1.7000000000000001E-2</v>
      </c>
      <c r="AD5838" s="508">
        <v>1.4999999999999999E-2</v>
      </c>
      <c r="AE5838" s="508">
        <v>1.4999999999999999E-2</v>
      </c>
      <c r="AF5838" s="508">
        <v>8.9999999999999993E-3</v>
      </c>
      <c r="AG5838" s="508">
        <v>8.9999999999999993E-3</v>
      </c>
      <c r="AH5838" s="508">
        <v>8.9999999999999993E-3</v>
      </c>
      <c r="AI5838" s="492">
        <v>8.9999999999999993E-3</v>
      </c>
      <c r="AJ5838" s="485"/>
    </row>
    <row r="5839" spans="2:36">
      <c r="B5839" s="136" t="s">
        <v>435</v>
      </c>
      <c r="C5839" s="132" t="s">
        <v>1372</v>
      </c>
      <c r="D5839" s="132" t="s">
        <v>285</v>
      </c>
      <c r="E5839" s="508">
        <v>0.109</v>
      </c>
      <c r="F5839" s="508">
        <v>0.11</v>
      </c>
      <c r="G5839" s="508">
        <v>0.11</v>
      </c>
      <c r="H5839" s="508">
        <v>0.115</v>
      </c>
      <c r="I5839" s="508">
        <v>0.115</v>
      </c>
      <c r="J5839" s="508">
        <v>8.8999999999999996E-2</v>
      </c>
      <c r="K5839" s="508">
        <v>6.5000000000000002E-2</v>
      </c>
      <c r="L5839" s="508">
        <v>6.5000000000000002E-2</v>
      </c>
      <c r="M5839" s="508">
        <v>6.5000000000000002E-2</v>
      </c>
      <c r="N5839" s="508">
        <v>0.08</v>
      </c>
      <c r="O5839" s="508">
        <v>5.7000000000000002E-2</v>
      </c>
      <c r="P5839" s="508">
        <v>4.2000000000000003E-2</v>
      </c>
      <c r="Q5839" s="508">
        <v>3.9E-2</v>
      </c>
      <c r="R5839" s="508">
        <v>3.7999999999999999E-2</v>
      </c>
      <c r="S5839" s="508">
        <v>0.04</v>
      </c>
      <c r="T5839" s="508">
        <v>3.3000000000000002E-2</v>
      </c>
      <c r="U5839" s="508">
        <v>3.2000000000000001E-2</v>
      </c>
      <c r="V5839" s="508">
        <v>1.9E-2</v>
      </c>
      <c r="W5839" s="508">
        <v>2.4E-2</v>
      </c>
      <c r="X5839" s="508">
        <v>0.02</v>
      </c>
      <c r="Y5839" s="508">
        <v>0.02</v>
      </c>
      <c r="Z5839" s="508">
        <v>1.6E-2</v>
      </c>
      <c r="AA5839" s="508">
        <v>1.6E-2</v>
      </c>
      <c r="AB5839" s="508">
        <v>1.4999999999999999E-2</v>
      </c>
      <c r="AC5839" s="508">
        <v>1.4999999999999999E-2</v>
      </c>
      <c r="AD5839" s="508">
        <v>1.2999999999999999E-2</v>
      </c>
      <c r="AE5839" s="508">
        <v>1.2999999999999999E-2</v>
      </c>
      <c r="AF5839" s="508">
        <v>8.0000000000000002E-3</v>
      </c>
      <c r="AG5839" s="508">
        <v>8.0000000000000002E-3</v>
      </c>
      <c r="AH5839" s="508">
        <v>8.0000000000000002E-3</v>
      </c>
      <c r="AI5839" s="492">
        <v>8.0000000000000002E-3</v>
      </c>
      <c r="AJ5839" s="485"/>
    </row>
    <row r="5840" spans="2:36">
      <c r="B5840" s="136" t="s">
        <v>436</v>
      </c>
      <c r="C5840" s="132" t="s">
        <v>1372</v>
      </c>
      <c r="D5840" s="132" t="s">
        <v>285</v>
      </c>
      <c r="E5840" s="508">
        <v>0.309</v>
      </c>
      <c r="F5840" s="508">
        <v>0.33400000000000002</v>
      </c>
      <c r="G5840" s="508">
        <v>0.33400000000000002</v>
      </c>
      <c r="H5840" s="508">
        <v>0.32900000000000001</v>
      </c>
      <c r="I5840" s="508">
        <v>0.32900000000000001</v>
      </c>
      <c r="J5840" s="508">
        <v>0.28199999999999997</v>
      </c>
      <c r="K5840" s="508">
        <v>0.19500000000000001</v>
      </c>
      <c r="L5840" s="508">
        <v>0.19500000000000001</v>
      </c>
      <c r="M5840" s="508">
        <v>0.19500000000000001</v>
      </c>
      <c r="N5840" s="508">
        <v>0.23</v>
      </c>
      <c r="O5840" s="508">
        <v>0.183</v>
      </c>
      <c r="P5840" s="508">
        <v>0.13300000000000001</v>
      </c>
      <c r="Q5840" s="508">
        <v>0.11799999999999999</v>
      </c>
      <c r="R5840" s="508">
        <v>0.115</v>
      </c>
      <c r="S5840" s="508">
        <v>0.13400000000000001</v>
      </c>
      <c r="T5840" s="508">
        <v>0.109</v>
      </c>
      <c r="U5840" s="508">
        <v>9.8000000000000004E-2</v>
      </c>
      <c r="V5840" s="508">
        <v>5.6000000000000001E-2</v>
      </c>
      <c r="W5840" s="508">
        <v>7.1999999999999995E-2</v>
      </c>
      <c r="X5840" s="508">
        <v>2.5000000000000001E-2</v>
      </c>
      <c r="Y5840" s="508">
        <v>2.5000000000000001E-2</v>
      </c>
      <c r="Z5840" s="508">
        <v>2.1000000000000001E-2</v>
      </c>
      <c r="AA5840" s="508">
        <v>2.1000000000000001E-2</v>
      </c>
      <c r="AB5840" s="508">
        <v>1.9E-2</v>
      </c>
      <c r="AC5840" s="508">
        <v>1.9E-2</v>
      </c>
      <c r="AD5840" s="508">
        <v>1.6E-2</v>
      </c>
      <c r="AE5840" s="508">
        <v>1.6E-2</v>
      </c>
      <c r="AF5840" s="508">
        <v>0.01</v>
      </c>
      <c r="AG5840" s="508">
        <v>0.01</v>
      </c>
      <c r="AH5840" s="508">
        <v>0.01</v>
      </c>
      <c r="AI5840" s="492">
        <v>0.01</v>
      </c>
      <c r="AJ5840" s="485"/>
    </row>
    <row r="5841" spans="2:36">
      <c r="B5841" s="136" t="s">
        <v>437</v>
      </c>
      <c r="C5841" s="132" t="s">
        <v>1372</v>
      </c>
      <c r="D5841" s="132" t="s">
        <v>285</v>
      </c>
      <c r="E5841" s="508">
        <v>0.104</v>
      </c>
      <c r="F5841" s="508">
        <v>0.112</v>
      </c>
      <c r="G5841" s="508">
        <v>0.112</v>
      </c>
      <c r="H5841" s="508">
        <v>0.109</v>
      </c>
      <c r="I5841" s="508">
        <v>0.109</v>
      </c>
      <c r="J5841" s="508">
        <v>9.6000000000000002E-2</v>
      </c>
      <c r="K5841" s="508">
        <v>6.8000000000000005E-2</v>
      </c>
      <c r="L5841" s="508">
        <v>6.8000000000000005E-2</v>
      </c>
      <c r="M5841" s="508">
        <v>6.8000000000000005E-2</v>
      </c>
      <c r="N5841" s="508">
        <v>7.1999999999999995E-2</v>
      </c>
      <c r="O5841" s="508">
        <v>6.3E-2</v>
      </c>
      <c r="P5841" s="508">
        <v>4.7E-2</v>
      </c>
      <c r="Q5841" s="508">
        <v>3.9E-2</v>
      </c>
      <c r="R5841" s="508">
        <v>3.9E-2</v>
      </c>
      <c r="S5841" s="508">
        <v>4.7E-2</v>
      </c>
      <c r="T5841" s="508">
        <v>3.7999999999999999E-2</v>
      </c>
      <c r="U5841" s="508">
        <v>3.2000000000000001E-2</v>
      </c>
      <c r="V5841" s="508">
        <v>1.7999999999999999E-2</v>
      </c>
      <c r="W5841" s="508">
        <v>2.3E-2</v>
      </c>
      <c r="X5841" s="508">
        <v>0.02</v>
      </c>
      <c r="Y5841" s="508">
        <v>0.02</v>
      </c>
      <c r="Z5841" s="508">
        <v>1.6E-2</v>
      </c>
      <c r="AA5841" s="508">
        <v>1.6E-2</v>
      </c>
      <c r="AB5841" s="508">
        <v>1.4999999999999999E-2</v>
      </c>
      <c r="AC5841" s="508">
        <v>1.4999999999999999E-2</v>
      </c>
      <c r="AD5841" s="508">
        <v>1.2999999999999999E-2</v>
      </c>
      <c r="AE5841" s="508">
        <v>1.2999999999999999E-2</v>
      </c>
      <c r="AF5841" s="508">
        <v>8.0000000000000002E-3</v>
      </c>
      <c r="AG5841" s="508">
        <v>8.0000000000000002E-3</v>
      </c>
      <c r="AH5841" s="508">
        <v>8.0000000000000002E-3</v>
      </c>
      <c r="AI5841" s="492">
        <v>8.0000000000000002E-3</v>
      </c>
      <c r="AJ5841" s="485"/>
    </row>
    <row r="5842" spans="2:36">
      <c r="B5842" s="136" t="s">
        <v>438</v>
      </c>
      <c r="C5842" s="132" t="s">
        <v>1372</v>
      </c>
      <c r="D5842" s="132" t="s">
        <v>285</v>
      </c>
      <c r="E5842" s="508">
        <v>0.124</v>
      </c>
      <c r="F5842" s="508">
        <v>0.13500000000000001</v>
      </c>
      <c r="G5842" s="508">
        <v>0.13500000000000001</v>
      </c>
      <c r="H5842" s="508">
        <v>0.13500000000000001</v>
      </c>
      <c r="I5842" s="508">
        <v>0.13500000000000001</v>
      </c>
      <c r="J5842" s="508">
        <v>0.115</v>
      </c>
      <c r="K5842" s="508">
        <v>7.8E-2</v>
      </c>
      <c r="L5842" s="508">
        <v>7.8E-2</v>
      </c>
      <c r="M5842" s="508">
        <v>7.8E-2</v>
      </c>
      <c r="N5842" s="508">
        <v>9.6000000000000002E-2</v>
      </c>
      <c r="O5842" s="508">
        <v>7.3999999999999996E-2</v>
      </c>
      <c r="P5842" s="508">
        <v>5.3999999999999999E-2</v>
      </c>
      <c r="Q5842" s="508">
        <v>4.8000000000000001E-2</v>
      </c>
      <c r="R5842" s="508">
        <v>4.7E-2</v>
      </c>
      <c r="S5842" s="508">
        <v>5.3999999999999999E-2</v>
      </c>
      <c r="T5842" s="508">
        <v>4.3999999999999997E-2</v>
      </c>
      <c r="U5842" s="508">
        <v>4.1000000000000002E-2</v>
      </c>
      <c r="V5842" s="508">
        <v>2.3E-2</v>
      </c>
      <c r="W5842" s="508">
        <v>2.9000000000000001E-2</v>
      </c>
      <c r="X5842" s="508">
        <v>2.1000000000000001E-2</v>
      </c>
      <c r="Y5842" s="508">
        <v>2.1000000000000001E-2</v>
      </c>
      <c r="Z5842" s="508">
        <v>1.7999999999999999E-2</v>
      </c>
      <c r="AA5842" s="508">
        <v>1.7999999999999999E-2</v>
      </c>
      <c r="AB5842" s="508">
        <v>1.6E-2</v>
      </c>
      <c r="AC5842" s="508">
        <v>1.6E-2</v>
      </c>
      <c r="AD5842" s="508">
        <v>1.4E-2</v>
      </c>
      <c r="AE5842" s="508">
        <v>1.4E-2</v>
      </c>
      <c r="AF5842" s="508">
        <v>8.9999999999999993E-3</v>
      </c>
      <c r="AG5842" s="508">
        <v>8.9999999999999993E-3</v>
      </c>
      <c r="AH5842" s="508">
        <v>8.9999999999999993E-3</v>
      </c>
      <c r="AI5842" s="492">
        <v>8.9999999999999993E-3</v>
      </c>
      <c r="AJ5842" s="485"/>
    </row>
    <row r="5843" spans="2:36">
      <c r="B5843" s="136" t="s">
        <v>439</v>
      </c>
      <c r="C5843" s="132" t="s">
        <v>1372</v>
      </c>
      <c r="D5843" s="132" t="s">
        <v>285</v>
      </c>
      <c r="E5843" s="508">
        <v>0.13400000000000001</v>
      </c>
      <c r="F5843" s="508">
        <v>0.14899999999999999</v>
      </c>
      <c r="G5843" s="508">
        <v>0.14899999999999999</v>
      </c>
      <c r="H5843" s="508">
        <v>0.13900000000000001</v>
      </c>
      <c r="I5843" s="508">
        <v>0.13900000000000001</v>
      </c>
      <c r="J5843" s="508">
        <v>0.129</v>
      </c>
      <c r="K5843" s="508">
        <v>0.09</v>
      </c>
      <c r="L5843" s="508">
        <v>0.09</v>
      </c>
      <c r="M5843" s="508">
        <v>0.09</v>
      </c>
      <c r="N5843" s="508">
        <v>9.2999999999999999E-2</v>
      </c>
      <c r="O5843" s="508">
        <v>8.5000000000000006E-2</v>
      </c>
      <c r="P5843" s="508">
        <v>6.5000000000000002E-2</v>
      </c>
      <c r="Q5843" s="508">
        <v>5.1999999999999998E-2</v>
      </c>
      <c r="R5843" s="508">
        <v>5.2999999999999999E-2</v>
      </c>
      <c r="S5843" s="508">
        <v>6.6000000000000003E-2</v>
      </c>
      <c r="T5843" s="508">
        <v>5.2999999999999999E-2</v>
      </c>
      <c r="U5843" s="508">
        <v>4.2000000000000003E-2</v>
      </c>
      <c r="V5843" s="508">
        <v>2.3E-2</v>
      </c>
      <c r="W5843" s="508">
        <v>0.03</v>
      </c>
      <c r="X5843" s="508">
        <v>0.02</v>
      </c>
      <c r="Y5843" s="508">
        <v>0.02</v>
      </c>
      <c r="Z5843" s="508">
        <v>1.7000000000000001E-2</v>
      </c>
      <c r="AA5843" s="508">
        <v>1.7000000000000001E-2</v>
      </c>
      <c r="AB5843" s="508">
        <v>1.4999999999999999E-2</v>
      </c>
      <c r="AC5843" s="508">
        <v>1.4999999999999999E-2</v>
      </c>
      <c r="AD5843" s="508">
        <v>1.2999999999999999E-2</v>
      </c>
      <c r="AE5843" s="508">
        <v>1.2999999999999999E-2</v>
      </c>
      <c r="AF5843" s="508">
        <v>8.9999999999999993E-3</v>
      </c>
      <c r="AG5843" s="508">
        <v>8.9999999999999993E-3</v>
      </c>
      <c r="AH5843" s="508">
        <v>8.0000000000000002E-3</v>
      </c>
      <c r="AI5843" s="492">
        <v>8.0000000000000002E-3</v>
      </c>
      <c r="AJ5843" s="485"/>
    </row>
    <row r="5844" spans="2:36">
      <c r="B5844" s="136" t="s">
        <v>440</v>
      </c>
      <c r="C5844" s="132" t="s">
        <v>1372</v>
      </c>
      <c r="D5844" s="132" t="s">
        <v>285</v>
      </c>
      <c r="E5844" s="508">
        <v>0.19</v>
      </c>
      <c r="F5844" s="508">
        <v>0.20599999999999999</v>
      </c>
      <c r="G5844" s="508">
        <v>0.20599999999999999</v>
      </c>
      <c r="H5844" s="508">
        <v>0.19800000000000001</v>
      </c>
      <c r="I5844" s="508">
        <v>0.19800000000000001</v>
      </c>
      <c r="J5844" s="508">
        <v>0.17599999999999999</v>
      </c>
      <c r="K5844" s="508">
        <v>0.123</v>
      </c>
      <c r="L5844" s="508">
        <v>0.123</v>
      </c>
      <c r="M5844" s="508">
        <v>0.123</v>
      </c>
      <c r="N5844" s="508">
        <v>0.13500000000000001</v>
      </c>
      <c r="O5844" s="508">
        <v>0.115</v>
      </c>
      <c r="P5844" s="508">
        <v>8.5999999999999993E-2</v>
      </c>
      <c r="Q5844" s="508">
        <v>7.2999999999999995E-2</v>
      </c>
      <c r="R5844" s="508">
        <v>7.1999999999999995E-2</v>
      </c>
      <c r="S5844" s="508">
        <v>8.5999999999999993E-2</v>
      </c>
      <c r="T5844" s="508">
        <v>7.0000000000000007E-2</v>
      </c>
      <c r="U5844" s="508">
        <v>6.2E-2</v>
      </c>
      <c r="V5844" s="508">
        <v>3.4000000000000002E-2</v>
      </c>
      <c r="W5844" s="508">
        <v>4.4999999999999998E-2</v>
      </c>
      <c r="X5844" s="508">
        <v>2.3E-2</v>
      </c>
      <c r="Y5844" s="508">
        <v>2.3E-2</v>
      </c>
      <c r="Z5844" s="508">
        <v>1.9E-2</v>
      </c>
      <c r="AA5844" s="508">
        <v>1.9E-2</v>
      </c>
      <c r="AB5844" s="508">
        <v>1.7000000000000001E-2</v>
      </c>
      <c r="AC5844" s="508">
        <v>1.7000000000000001E-2</v>
      </c>
      <c r="AD5844" s="508">
        <v>1.4999999999999999E-2</v>
      </c>
      <c r="AE5844" s="508">
        <v>1.4999999999999999E-2</v>
      </c>
      <c r="AF5844" s="508">
        <v>8.9999999999999993E-3</v>
      </c>
      <c r="AG5844" s="508">
        <v>8.9999999999999993E-3</v>
      </c>
      <c r="AH5844" s="508">
        <v>8.9999999999999993E-3</v>
      </c>
      <c r="AI5844" s="492">
        <v>8.9999999999999993E-3</v>
      </c>
      <c r="AJ5844" s="485"/>
    </row>
    <row r="5845" spans="2:36">
      <c r="B5845" s="136" t="s">
        <v>441</v>
      </c>
      <c r="C5845" s="132" t="s">
        <v>1372</v>
      </c>
      <c r="D5845" s="132" t="s">
        <v>285</v>
      </c>
      <c r="E5845" s="508">
        <v>0.19500000000000001</v>
      </c>
      <c r="F5845" s="508">
        <v>0.219</v>
      </c>
      <c r="G5845" s="508">
        <v>0.219</v>
      </c>
      <c r="H5845" s="508">
        <v>0.2</v>
      </c>
      <c r="I5845" s="508">
        <v>0.2</v>
      </c>
      <c r="J5845" s="508">
        <v>0.19</v>
      </c>
      <c r="K5845" s="508">
        <v>0.13200000000000001</v>
      </c>
      <c r="L5845" s="508">
        <v>0.13200000000000001</v>
      </c>
      <c r="M5845" s="508">
        <v>0.13200000000000001</v>
      </c>
      <c r="N5845" s="508">
        <v>0.13300000000000001</v>
      </c>
      <c r="O5845" s="508">
        <v>0.126</v>
      </c>
      <c r="P5845" s="508">
        <v>9.6000000000000002E-2</v>
      </c>
      <c r="Q5845" s="508">
        <v>7.6999999999999999E-2</v>
      </c>
      <c r="R5845" s="508">
        <v>7.6999999999999999E-2</v>
      </c>
      <c r="S5845" s="508">
        <v>9.8000000000000004E-2</v>
      </c>
      <c r="T5845" s="508">
        <v>7.9000000000000001E-2</v>
      </c>
      <c r="U5845" s="508">
        <v>6.9000000000000006E-2</v>
      </c>
      <c r="V5845" s="508">
        <v>3.6999999999999998E-2</v>
      </c>
      <c r="W5845" s="508">
        <v>0.05</v>
      </c>
      <c r="X5845" s="508">
        <v>2.5000000000000001E-2</v>
      </c>
      <c r="Y5845" s="508">
        <v>2.5000000000000001E-2</v>
      </c>
      <c r="Z5845" s="508">
        <v>0.02</v>
      </c>
      <c r="AA5845" s="508">
        <v>0.02</v>
      </c>
      <c r="AB5845" s="508">
        <v>1.7999999999999999E-2</v>
      </c>
      <c r="AC5845" s="508">
        <v>1.7999999999999999E-2</v>
      </c>
      <c r="AD5845" s="508">
        <v>1.6E-2</v>
      </c>
      <c r="AE5845" s="508">
        <v>1.6E-2</v>
      </c>
      <c r="AF5845" s="508">
        <v>0.01</v>
      </c>
      <c r="AG5845" s="508">
        <v>0.01</v>
      </c>
      <c r="AH5845" s="508">
        <v>0.01</v>
      </c>
      <c r="AI5845" s="492">
        <v>0.01</v>
      </c>
      <c r="AJ5845" s="485"/>
    </row>
    <row r="5846" spans="2:36">
      <c r="B5846" s="136" t="s">
        <v>443</v>
      </c>
      <c r="C5846" s="132" t="s">
        <v>1372</v>
      </c>
      <c r="D5846" s="132" t="s">
        <v>285</v>
      </c>
      <c r="E5846" s="508">
        <v>0.13800000000000001</v>
      </c>
      <c r="F5846" s="508">
        <v>0.128</v>
      </c>
      <c r="G5846" s="508">
        <v>0.128</v>
      </c>
      <c r="H5846" s="508">
        <v>0.14000000000000001</v>
      </c>
      <c r="I5846" s="508">
        <v>0.14000000000000001</v>
      </c>
      <c r="J5846" s="508">
        <v>9.9000000000000005E-2</v>
      </c>
      <c r="K5846" s="508">
        <v>0.08</v>
      </c>
      <c r="L5846" s="508">
        <v>0.08</v>
      </c>
      <c r="M5846" s="508">
        <v>0.08</v>
      </c>
      <c r="N5846" s="508">
        <v>9.2999999999999999E-2</v>
      </c>
      <c r="O5846" s="508">
        <v>6.4000000000000001E-2</v>
      </c>
      <c r="P5846" s="508">
        <v>4.7E-2</v>
      </c>
      <c r="Q5846" s="508">
        <v>4.4999999999999998E-2</v>
      </c>
      <c r="R5846" s="508">
        <v>4.2999999999999997E-2</v>
      </c>
      <c r="S5846" s="508">
        <v>4.2999999999999997E-2</v>
      </c>
      <c r="T5846" s="508">
        <v>3.5999999999999997E-2</v>
      </c>
      <c r="U5846" s="508">
        <v>3.2000000000000001E-2</v>
      </c>
      <c r="V5846" s="508">
        <v>0.02</v>
      </c>
      <c r="W5846" s="508">
        <v>2.4E-2</v>
      </c>
      <c r="X5846" s="508">
        <v>1.7000000000000001E-2</v>
      </c>
      <c r="Y5846" s="508">
        <v>1.7000000000000001E-2</v>
      </c>
      <c r="Z5846" s="508">
        <v>1.4E-2</v>
      </c>
      <c r="AA5846" s="508">
        <v>1.4E-2</v>
      </c>
      <c r="AB5846" s="508">
        <v>1.2E-2</v>
      </c>
      <c r="AC5846" s="508">
        <v>1.2E-2</v>
      </c>
      <c r="AD5846" s="508">
        <v>1.0999999999999999E-2</v>
      </c>
      <c r="AE5846" s="508">
        <v>1.0999999999999999E-2</v>
      </c>
      <c r="AF5846" s="508">
        <v>7.0000000000000001E-3</v>
      </c>
      <c r="AG5846" s="508">
        <v>7.0000000000000001E-3</v>
      </c>
      <c r="AH5846" s="508">
        <v>7.0000000000000001E-3</v>
      </c>
      <c r="AI5846" s="492">
        <v>7.0000000000000001E-3</v>
      </c>
      <c r="AJ5846" s="485"/>
    </row>
    <row r="5847" spans="2:36">
      <c r="B5847" s="136" t="s">
        <v>445</v>
      </c>
      <c r="C5847" s="132" t="s">
        <v>1372</v>
      </c>
      <c r="D5847" s="132" t="s">
        <v>285</v>
      </c>
      <c r="E5847" s="508">
        <v>0.14899999999999999</v>
      </c>
      <c r="F5847" s="508">
        <v>0.13900000000000001</v>
      </c>
      <c r="G5847" s="508">
        <v>0.13900000000000001</v>
      </c>
      <c r="H5847" s="508">
        <v>0.14099999999999999</v>
      </c>
      <c r="I5847" s="508">
        <v>0.14099999999999999</v>
      </c>
      <c r="J5847" s="508">
        <v>0.11</v>
      </c>
      <c r="K5847" s="508">
        <v>9.2999999999999999E-2</v>
      </c>
      <c r="L5847" s="508">
        <v>9.2999999999999999E-2</v>
      </c>
      <c r="M5847" s="508">
        <v>9.2999999999999999E-2</v>
      </c>
      <c r="N5847" s="508">
        <v>8.3000000000000004E-2</v>
      </c>
      <c r="O5847" s="508">
        <v>7.3999999999999996E-2</v>
      </c>
      <c r="P5847" s="508">
        <v>5.7000000000000002E-2</v>
      </c>
      <c r="Q5847" s="508">
        <v>4.7E-2</v>
      </c>
      <c r="R5847" s="508">
        <v>4.5999999999999999E-2</v>
      </c>
      <c r="S5847" s="508">
        <v>5.1999999999999998E-2</v>
      </c>
      <c r="T5847" s="508">
        <v>4.2999999999999997E-2</v>
      </c>
      <c r="U5847" s="508">
        <v>3.6999999999999998E-2</v>
      </c>
      <c r="V5847" s="508">
        <v>2.3E-2</v>
      </c>
      <c r="W5847" s="508">
        <v>2.8000000000000001E-2</v>
      </c>
      <c r="X5847" s="508">
        <v>1.7999999999999999E-2</v>
      </c>
      <c r="Y5847" s="508">
        <v>1.7999999999999999E-2</v>
      </c>
      <c r="Z5847" s="508">
        <v>1.4999999999999999E-2</v>
      </c>
      <c r="AA5847" s="508">
        <v>1.4999999999999999E-2</v>
      </c>
      <c r="AB5847" s="508">
        <v>1.2999999999999999E-2</v>
      </c>
      <c r="AC5847" s="508">
        <v>1.2999999999999999E-2</v>
      </c>
      <c r="AD5847" s="508">
        <v>1.2E-2</v>
      </c>
      <c r="AE5847" s="508">
        <v>1.2E-2</v>
      </c>
      <c r="AF5847" s="508">
        <v>8.0000000000000002E-3</v>
      </c>
      <c r="AG5847" s="508">
        <v>8.0000000000000002E-3</v>
      </c>
      <c r="AH5847" s="508">
        <v>7.0000000000000001E-3</v>
      </c>
      <c r="AI5847" s="492">
        <v>7.0000000000000001E-3</v>
      </c>
      <c r="AJ5847" s="485"/>
    </row>
    <row r="5848" spans="2:36">
      <c r="B5848" s="136" t="s">
        <v>446</v>
      </c>
      <c r="C5848" s="132" t="s">
        <v>1372</v>
      </c>
      <c r="D5848" s="132" t="s">
        <v>285</v>
      </c>
      <c r="E5848" s="508">
        <v>9.9000000000000005E-2</v>
      </c>
      <c r="F5848" s="508">
        <v>9.7000000000000003E-2</v>
      </c>
      <c r="G5848" s="508">
        <v>9.7000000000000003E-2</v>
      </c>
      <c r="H5848" s="508">
        <v>9.9000000000000005E-2</v>
      </c>
      <c r="I5848" s="508">
        <v>9.9000000000000005E-2</v>
      </c>
      <c r="J5848" s="508">
        <v>7.9000000000000001E-2</v>
      </c>
      <c r="K5848" s="508">
        <v>6.2E-2</v>
      </c>
      <c r="L5848" s="508">
        <v>6.2E-2</v>
      </c>
      <c r="M5848" s="508">
        <v>6.2E-2</v>
      </c>
      <c r="N5848" s="508">
        <v>6.3E-2</v>
      </c>
      <c r="O5848" s="508">
        <v>5.1999999999999998E-2</v>
      </c>
      <c r="P5848" s="508">
        <v>3.9E-2</v>
      </c>
      <c r="Q5848" s="508">
        <v>3.4000000000000002E-2</v>
      </c>
      <c r="R5848" s="508">
        <v>3.3000000000000002E-2</v>
      </c>
      <c r="S5848" s="508">
        <v>3.6999999999999998E-2</v>
      </c>
      <c r="T5848" s="508">
        <v>0.03</v>
      </c>
      <c r="U5848" s="508">
        <v>2.9000000000000001E-2</v>
      </c>
      <c r="V5848" s="508">
        <v>1.7000000000000001E-2</v>
      </c>
      <c r="W5848" s="508">
        <v>2.1999999999999999E-2</v>
      </c>
      <c r="X5848" s="508">
        <v>0.02</v>
      </c>
      <c r="Y5848" s="508">
        <v>0.02</v>
      </c>
      <c r="Z5848" s="508">
        <v>1.6E-2</v>
      </c>
      <c r="AA5848" s="508">
        <v>1.6E-2</v>
      </c>
      <c r="AB5848" s="508">
        <v>1.4E-2</v>
      </c>
      <c r="AC5848" s="508">
        <v>1.4E-2</v>
      </c>
      <c r="AD5848" s="508">
        <v>1.2999999999999999E-2</v>
      </c>
      <c r="AE5848" s="508">
        <v>1.2999999999999999E-2</v>
      </c>
      <c r="AF5848" s="508">
        <v>8.0000000000000002E-3</v>
      </c>
      <c r="AG5848" s="508">
        <v>8.0000000000000002E-3</v>
      </c>
      <c r="AH5848" s="508">
        <v>8.0000000000000002E-3</v>
      </c>
      <c r="AI5848" s="492">
        <v>8.0000000000000002E-3</v>
      </c>
      <c r="AJ5848" s="485"/>
    </row>
    <row r="5849" spans="2:36">
      <c r="B5849" s="136" t="s">
        <v>448</v>
      </c>
      <c r="C5849" s="132" t="s">
        <v>1372</v>
      </c>
      <c r="D5849" s="132" t="s">
        <v>285</v>
      </c>
      <c r="E5849" s="508">
        <v>0.11899999999999999</v>
      </c>
      <c r="F5849" s="508">
        <v>0.128</v>
      </c>
      <c r="G5849" s="508">
        <v>0.128</v>
      </c>
      <c r="H5849" s="508">
        <v>0.128</v>
      </c>
      <c r="I5849" s="508">
        <v>0.128</v>
      </c>
      <c r="J5849" s="508">
        <v>0.108</v>
      </c>
      <c r="K5849" s="508">
        <v>7.4999999999999997E-2</v>
      </c>
      <c r="L5849" s="508">
        <v>7.4999999999999997E-2</v>
      </c>
      <c r="M5849" s="508">
        <v>7.4999999999999997E-2</v>
      </c>
      <c r="N5849" s="508">
        <v>0.09</v>
      </c>
      <c r="O5849" s="508">
        <v>7.0000000000000007E-2</v>
      </c>
      <c r="P5849" s="508">
        <v>5.0999999999999997E-2</v>
      </c>
      <c r="Q5849" s="508">
        <v>4.5999999999999999E-2</v>
      </c>
      <c r="R5849" s="508">
        <v>4.4999999999999998E-2</v>
      </c>
      <c r="S5849" s="508">
        <v>5.0999999999999997E-2</v>
      </c>
      <c r="T5849" s="508">
        <v>4.2000000000000003E-2</v>
      </c>
      <c r="U5849" s="508">
        <v>4.1000000000000002E-2</v>
      </c>
      <c r="V5849" s="508">
        <v>2.3E-2</v>
      </c>
      <c r="W5849" s="508">
        <v>0.03</v>
      </c>
      <c r="X5849" s="508">
        <v>2.1999999999999999E-2</v>
      </c>
      <c r="Y5849" s="508">
        <v>2.1999999999999999E-2</v>
      </c>
      <c r="Z5849" s="508">
        <v>1.7999999999999999E-2</v>
      </c>
      <c r="AA5849" s="508">
        <v>1.7999999999999999E-2</v>
      </c>
      <c r="AB5849" s="508">
        <v>1.6E-2</v>
      </c>
      <c r="AC5849" s="508">
        <v>1.6E-2</v>
      </c>
      <c r="AD5849" s="508">
        <v>1.4999999999999999E-2</v>
      </c>
      <c r="AE5849" s="508">
        <v>1.4999999999999999E-2</v>
      </c>
      <c r="AF5849" s="508">
        <v>8.9999999999999993E-3</v>
      </c>
      <c r="AG5849" s="508">
        <v>8.9999999999999993E-3</v>
      </c>
      <c r="AH5849" s="508">
        <v>8.9999999999999993E-3</v>
      </c>
      <c r="AI5849" s="492">
        <v>8.9999999999999993E-3</v>
      </c>
      <c r="AJ5849" s="485"/>
    </row>
    <row r="5850" spans="2:36">
      <c r="B5850" s="136" t="s">
        <v>449</v>
      </c>
      <c r="C5850" s="132" t="s">
        <v>1372</v>
      </c>
      <c r="D5850" s="132" t="s">
        <v>285</v>
      </c>
      <c r="E5850" s="508">
        <v>9.6000000000000002E-2</v>
      </c>
      <c r="F5850" s="508">
        <v>9.2999999999999999E-2</v>
      </c>
      <c r="G5850" s="508">
        <v>9.2999999999999999E-2</v>
      </c>
      <c r="H5850" s="508">
        <v>9.7000000000000003E-2</v>
      </c>
      <c r="I5850" s="508">
        <v>9.7000000000000003E-2</v>
      </c>
      <c r="J5850" s="508">
        <v>7.3999999999999996E-2</v>
      </c>
      <c r="K5850" s="508">
        <v>5.8000000000000003E-2</v>
      </c>
      <c r="L5850" s="508">
        <v>5.8000000000000003E-2</v>
      </c>
      <c r="M5850" s="508">
        <v>5.8000000000000003E-2</v>
      </c>
      <c r="N5850" s="508">
        <v>6.3E-2</v>
      </c>
      <c r="O5850" s="508">
        <v>4.9000000000000002E-2</v>
      </c>
      <c r="P5850" s="508">
        <v>3.5999999999999997E-2</v>
      </c>
      <c r="Q5850" s="508">
        <v>3.2000000000000001E-2</v>
      </c>
      <c r="R5850" s="508">
        <v>3.1E-2</v>
      </c>
      <c r="S5850" s="508">
        <v>3.4000000000000002E-2</v>
      </c>
      <c r="T5850" s="508">
        <v>2.8000000000000001E-2</v>
      </c>
      <c r="U5850" s="508">
        <v>2.5999999999999999E-2</v>
      </c>
      <c r="V5850" s="508">
        <v>1.4999999999999999E-2</v>
      </c>
      <c r="W5850" s="508">
        <v>1.9E-2</v>
      </c>
      <c r="X5850" s="508">
        <v>1.7999999999999999E-2</v>
      </c>
      <c r="Y5850" s="508">
        <v>1.7999999999999999E-2</v>
      </c>
      <c r="Z5850" s="508">
        <v>1.4999999999999999E-2</v>
      </c>
      <c r="AA5850" s="508">
        <v>1.4999999999999999E-2</v>
      </c>
      <c r="AB5850" s="508">
        <v>1.2999999999999999E-2</v>
      </c>
      <c r="AC5850" s="508">
        <v>1.2999999999999999E-2</v>
      </c>
      <c r="AD5850" s="508">
        <v>1.2E-2</v>
      </c>
      <c r="AE5850" s="508">
        <v>1.2E-2</v>
      </c>
      <c r="AF5850" s="508">
        <v>7.0000000000000001E-3</v>
      </c>
      <c r="AG5850" s="508">
        <v>7.0000000000000001E-3</v>
      </c>
      <c r="AH5850" s="508">
        <v>7.0000000000000001E-3</v>
      </c>
      <c r="AI5850" s="492">
        <v>7.0000000000000001E-3</v>
      </c>
      <c r="AJ5850" s="485"/>
    </row>
    <row r="5851" spans="2:36">
      <c r="B5851" s="136" t="s">
        <v>450</v>
      </c>
      <c r="C5851" s="132" t="s">
        <v>1372</v>
      </c>
      <c r="D5851" s="132" t="s">
        <v>285</v>
      </c>
      <c r="E5851" s="508">
        <v>0.18</v>
      </c>
      <c r="F5851" s="508">
        <v>0.188</v>
      </c>
      <c r="G5851" s="508">
        <v>0.188</v>
      </c>
      <c r="H5851" s="508">
        <v>0.193</v>
      </c>
      <c r="I5851" s="508">
        <v>0.193</v>
      </c>
      <c r="J5851" s="508">
        <v>0.156</v>
      </c>
      <c r="K5851" s="508">
        <v>0.11</v>
      </c>
      <c r="L5851" s="508">
        <v>0.11</v>
      </c>
      <c r="M5851" s="508">
        <v>0.11</v>
      </c>
      <c r="N5851" s="508">
        <v>0.13600000000000001</v>
      </c>
      <c r="O5851" s="508">
        <v>0.1</v>
      </c>
      <c r="P5851" s="508">
        <v>7.1999999999999995E-2</v>
      </c>
      <c r="Q5851" s="508">
        <v>6.7000000000000004E-2</v>
      </c>
      <c r="R5851" s="508">
        <v>6.5000000000000002E-2</v>
      </c>
      <c r="S5851" s="508">
        <v>7.0999999999999994E-2</v>
      </c>
      <c r="T5851" s="508">
        <v>5.8999999999999997E-2</v>
      </c>
      <c r="U5851" s="508">
        <v>5.1999999999999998E-2</v>
      </c>
      <c r="V5851" s="508">
        <v>0.03</v>
      </c>
      <c r="W5851" s="508">
        <v>3.7999999999999999E-2</v>
      </c>
      <c r="X5851" s="508">
        <v>2.1000000000000001E-2</v>
      </c>
      <c r="Y5851" s="508">
        <v>2.1000000000000001E-2</v>
      </c>
      <c r="Z5851" s="508">
        <v>1.7000000000000001E-2</v>
      </c>
      <c r="AA5851" s="508">
        <v>1.7000000000000001E-2</v>
      </c>
      <c r="AB5851" s="508">
        <v>1.4999999999999999E-2</v>
      </c>
      <c r="AC5851" s="508">
        <v>1.4999999999999999E-2</v>
      </c>
      <c r="AD5851" s="508">
        <v>1.2999999999999999E-2</v>
      </c>
      <c r="AE5851" s="508">
        <v>1.2999999999999999E-2</v>
      </c>
      <c r="AF5851" s="508">
        <v>8.9999999999999993E-3</v>
      </c>
      <c r="AG5851" s="508">
        <v>8.0000000000000002E-3</v>
      </c>
      <c r="AH5851" s="508">
        <v>8.0000000000000002E-3</v>
      </c>
      <c r="AI5851" s="492">
        <v>8.0000000000000002E-3</v>
      </c>
      <c r="AJ5851" s="485"/>
    </row>
    <row r="5852" spans="2:36">
      <c r="B5852" s="136" t="s">
        <v>451</v>
      </c>
      <c r="C5852" s="132" t="s">
        <v>1372</v>
      </c>
      <c r="D5852" s="132" t="s">
        <v>285</v>
      </c>
      <c r="E5852" s="508">
        <v>0.183</v>
      </c>
      <c r="F5852" s="508">
        <v>0.185</v>
      </c>
      <c r="G5852" s="508">
        <v>0.185</v>
      </c>
      <c r="H5852" s="508">
        <v>0.17899999999999999</v>
      </c>
      <c r="I5852" s="508">
        <v>0.17899999999999999</v>
      </c>
      <c r="J5852" s="508">
        <v>0.153</v>
      </c>
      <c r="K5852" s="508">
        <v>0.11799999999999999</v>
      </c>
      <c r="L5852" s="508">
        <v>0.11799999999999999</v>
      </c>
      <c r="M5852" s="508">
        <v>0.11799999999999999</v>
      </c>
      <c r="N5852" s="508">
        <v>0.112</v>
      </c>
      <c r="O5852" s="508">
        <v>0.10199999999999999</v>
      </c>
      <c r="P5852" s="508">
        <v>7.8E-2</v>
      </c>
      <c r="Q5852" s="508">
        <v>6.4000000000000001E-2</v>
      </c>
      <c r="R5852" s="508">
        <v>6.3E-2</v>
      </c>
      <c r="S5852" s="508">
        <v>7.4999999999999997E-2</v>
      </c>
      <c r="T5852" s="508">
        <v>6.0999999999999999E-2</v>
      </c>
      <c r="U5852" s="508">
        <v>5.0999999999999997E-2</v>
      </c>
      <c r="V5852" s="508">
        <v>2.9000000000000001E-2</v>
      </c>
      <c r="W5852" s="508">
        <v>3.7999999999999999E-2</v>
      </c>
      <c r="X5852" s="508">
        <v>0.02</v>
      </c>
      <c r="Y5852" s="508">
        <v>0.02</v>
      </c>
      <c r="Z5852" s="508">
        <v>1.6E-2</v>
      </c>
      <c r="AA5852" s="508">
        <v>1.6E-2</v>
      </c>
      <c r="AB5852" s="508">
        <v>1.4999999999999999E-2</v>
      </c>
      <c r="AC5852" s="508">
        <v>1.4999999999999999E-2</v>
      </c>
      <c r="AD5852" s="508">
        <v>1.2999999999999999E-2</v>
      </c>
      <c r="AE5852" s="508">
        <v>1.2999999999999999E-2</v>
      </c>
      <c r="AF5852" s="508">
        <v>8.0000000000000002E-3</v>
      </c>
      <c r="AG5852" s="508">
        <v>8.0000000000000002E-3</v>
      </c>
      <c r="AH5852" s="508">
        <v>8.0000000000000002E-3</v>
      </c>
      <c r="AI5852" s="492">
        <v>8.0000000000000002E-3</v>
      </c>
      <c r="AJ5852" s="485"/>
    </row>
    <row r="5853" spans="2:36">
      <c r="B5853" s="136" t="s">
        <v>452</v>
      </c>
      <c r="C5853" s="132" t="s">
        <v>1372</v>
      </c>
      <c r="D5853" s="132" t="s">
        <v>285</v>
      </c>
      <c r="E5853" s="508">
        <v>0.16400000000000001</v>
      </c>
      <c r="F5853" s="508">
        <v>0.16500000000000001</v>
      </c>
      <c r="G5853" s="508">
        <v>0.16500000000000001</v>
      </c>
      <c r="H5853" s="508">
        <v>0.17</v>
      </c>
      <c r="I5853" s="508">
        <v>0.17</v>
      </c>
      <c r="J5853" s="508">
        <v>0.13500000000000001</v>
      </c>
      <c r="K5853" s="508">
        <v>0.10100000000000001</v>
      </c>
      <c r="L5853" s="508">
        <v>0.10100000000000001</v>
      </c>
      <c r="M5853" s="508">
        <v>0.10100000000000001</v>
      </c>
      <c r="N5853" s="508">
        <v>0.115</v>
      </c>
      <c r="O5853" s="508">
        <v>8.7999999999999995E-2</v>
      </c>
      <c r="P5853" s="508">
        <v>6.5000000000000002E-2</v>
      </c>
      <c r="Q5853" s="508">
        <v>5.8000000000000003E-2</v>
      </c>
      <c r="R5853" s="508">
        <v>5.6000000000000001E-2</v>
      </c>
      <c r="S5853" s="508">
        <v>6.2E-2</v>
      </c>
      <c r="T5853" s="508">
        <v>5.0999999999999997E-2</v>
      </c>
      <c r="U5853" s="508">
        <v>4.3999999999999997E-2</v>
      </c>
      <c r="V5853" s="508">
        <v>2.5999999999999999E-2</v>
      </c>
      <c r="W5853" s="508">
        <v>3.2000000000000001E-2</v>
      </c>
      <c r="X5853" s="508">
        <v>1.9E-2</v>
      </c>
      <c r="Y5853" s="508">
        <v>1.9E-2</v>
      </c>
      <c r="Z5853" s="508">
        <v>1.6E-2</v>
      </c>
      <c r="AA5853" s="508">
        <v>1.6E-2</v>
      </c>
      <c r="AB5853" s="508">
        <v>1.4E-2</v>
      </c>
      <c r="AC5853" s="508">
        <v>1.4E-2</v>
      </c>
      <c r="AD5853" s="508">
        <v>1.2E-2</v>
      </c>
      <c r="AE5853" s="508">
        <v>1.2E-2</v>
      </c>
      <c r="AF5853" s="508">
        <v>8.0000000000000002E-3</v>
      </c>
      <c r="AG5853" s="508">
        <v>8.0000000000000002E-3</v>
      </c>
      <c r="AH5853" s="508">
        <v>8.0000000000000002E-3</v>
      </c>
      <c r="AI5853" s="492">
        <v>8.0000000000000002E-3</v>
      </c>
      <c r="AJ5853" s="485"/>
    </row>
    <row r="5854" spans="2:36">
      <c r="B5854" s="136" t="s">
        <v>453</v>
      </c>
      <c r="C5854" s="132" t="s">
        <v>1372</v>
      </c>
      <c r="D5854" s="132" t="s">
        <v>285</v>
      </c>
      <c r="E5854" s="508">
        <v>0.17799999999999999</v>
      </c>
      <c r="F5854" s="508">
        <v>0.188</v>
      </c>
      <c r="G5854" s="508">
        <v>0.188</v>
      </c>
      <c r="H5854" s="508">
        <v>0.193</v>
      </c>
      <c r="I5854" s="508">
        <v>0.193</v>
      </c>
      <c r="J5854" s="508">
        <v>0.155</v>
      </c>
      <c r="K5854" s="508">
        <v>0.108</v>
      </c>
      <c r="L5854" s="508">
        <v>0.108</v>
      </c>
      <c r="M5854" s="508">
        <v>0.108</v>
      </c>
      <c r="N5854" s="508">
        <v>0.13800000000000001</v>
      </c>
      <c r="O5854" s="508">
        <v>0.1</v>
      </c>
      <c r="P5854" s="508">
        <v>7.0999999999999994E-2</v>
      </c>
      <c r="Q5854" s="508">
        <v>6.7000000000000004E-2</v>
      </c>
      <c r="R5854" s="508">
        <v>6.5000000000000002E-2</v>
      </c>
      <c r="S5854" s="508">
        <v>7.0999999999999994E-2</v>
      </c>
      <c r="T5854" s="508">
        <v>5.8000000000000003E-2</v>
      </c>
      <c r="U5854" s="508">
        <v>5.2999999999999999E-2</v>
      </c>
      <c r="V5854" s="508">
        <v>3.1E-2</v>
      </c>
      <c r="W5854" s="508">
        <v>3.9E-2</v>
      </c>
      <c r="X5854" s="508">
        <v>2.1000000000000001E-2</v>
      </c>
      <c r="Y5854" s="508">
        <v>2.1000000000000001E-2</v>
      </c>
      <c r="Z5854" s="508">
        <v>1.7000000000000001E-2</v>
      </c>
      <c r="AA5854" s="508">
        <v>1.7000000000000001E-2</v>
      </c>
      <c r="AB5854" s="508">
        <v>1.4999999999999999E-2</v>
      </c>
      <c r="AC5854" s="508">
        <v>1.4999999999999999E-2</v>
      </c>
      <c r="AD5854" s="508">
        <v>1.4E-2</v>
      </c>
      <c r="AE5854" s="508">
        <v>1.4E-2</v>
      </c>
      <c r="AF5854" s="508">
        <v>8.9999999999999993E-3</v>
      </c>
      <c r="AG5854" s="508">
        <v>8.9999999999999993E-3</v>
      </c>
      <c r="AH5854" s="508">
        <v>8.9999999999999993E-3</v>
      </c>
      <c r="AI5854" s="492">
        <v>8.9999999999999993E-3</v>
      </c>
      <c r="AJ5854" s="485"/>
    </row>
    <row r="5855" spans="2:36">
      <c r="B5855" s="136" t="s">
        <v>454</v>
      </c>
      <c r="C5855" s="132" t="s">
        <v>1372</v>
      </c>
      <c r="D5855" s="132" t="s">
        <v>285</v>
      </c>
      <c r="E5855" s="508">
        <v>0.14699999999999999</v>
      </c>
      <c r="F5855" s="508">
        <v>0.156</v>
      </c>
      <c r="G5855" s="508">
        <v>0.156</v>
      </c>
      <c r="H5855" s="508">
        <v>0.157</v>
      </c>
      <c r="I5855" s="508">
        <v>0.157</v>
      </c>
      <c r="J5855" s="508">
        <v>0.13</v>
      </c>
      <c r="K5855" s="508">
        <v>9.0999999999999998E-2</v>
      </c>
      <c r="L5855" s="508">
        <v>9.0999999999999998E-2</v>
      </c>
      <c r="M5855" s="508">
        <v>9.0999999999999998E-2</v>
      </c>
      <c r="N5855" s="508">
        <v>0.111</v>
      </c>
      <c r="O5855" s="508">
        <v>8.4000000000000005E-2</v>
      </c>
      <c r="P5855" s="508">
        <v>6.0999999999999999E-2</v>
      </c>
      <c r="Q5855" s="508">
        <v>5.5E-2</v>
      </c>
      <c r="R5855" s="508">
        <v>5.3999999999999999E-2</v>
      </c>
      <c r="S5855" s="508">
        <v>6.0999999999999999E-2</v>
      </c>
      <c r="T5855" s="508">
        <v>0.05</v>
      </c>
      <c r="U5855" s="508">
        <v>4.5999999999999999E-2</v>
      </c>
      <c r="V5855" s="508">
        <v>2.5999999999999999E-2</v>
      </c>
      <c r="W5855" s="508">
        <v>3.3000000000000002E-2</v>
      </c>
      <c r="X5855" s="508">
        <v>2.1000000000000001E-2</v>
      </c>
      <c r="Y5855" s="508">
        <v>2.1000000000000001E-2</v>
      </c>
      <c r="Z5855" s="508">
        <v>1.7000000000000001E-2</v>
      </c>
      <c r="AA5855" s="508">
        <v>1.7000000000000001E-2</v>
      </c>
      <c r="AB5855" s="508">
        <v>1.4999999999999999E-2</v>
      </c>
      <c r="AC5855" s="508">
        <v>1.4999999999999999E-2</v>
      </c>
      <c r="AD5855" s="508">
        <v>1.4E-2</v>
      </c>
      <c r="AE5855" s="508">
        <v>1.4E-2</v>
      </c>
      <c r="AF5855" s="508">
        <v>8.9999999999999993E-3</v>
      </c>
      <c r="AG5855" s="508">
        <v>8.9999999999999993E-3</v>
      </c>
      <c r="AH5855" s="508">
        <v>8.9999999999999993E-3</v>
      </c>
      <c r="AI5855" s="492">
        <v>8.9999999999999993E-3</v>
      </c>
      <c r="AJ5855" s="485"/>
    </row>
    <row r="5856" spans="2:36">
      <c r="B5856" s="136" t="s">
        <v>455</v>
      </c>
      <c r="C5856" s="132" t="s">
        <v>1372</v>
      </c>
      <c r="D5856" s="132" t="s">
        <v>285</v>
      </c>
      <c r="E5856" s="508">
        <v>0.14899999999999999</v>
      </c>
      <c r="F5856" s="508">
        <v>0.16700000000000001</v>
      </c>
      <c r="G5856" s="508">
        <v>0.16700000000000001</v>
      </c>
      <c r="H5856" s="508">
        <v>0.16300000000000001</v>
      </c>
      <c r="I5856" s="508">
        <v>0.16300000000000001</v>
      </c>
      <c r="J5856" s="508">
        <v>0.14399999999999999</v>
      </c>
      <c r="K5856" s="508">
        <v>9.5000000000000001E-2</v>
      </c>
      <c r="L5856" s="508">
        <v>9.5000000000000001E-2</v>
      </c>
      <c r="M5856" s="508">
        <v>9.5000000000000001E-2</v>
      </c>
      <c r="N5856" s="508">
        <v>0.11600000000000001</v>
      </c>
      <c r="O5856" s="508">
        <v>9.2999999999999999E-2</v>
      </c>
      <c r="P5856" s="508">
        <v>6.8000000000000005E-2</v>
      </c>
      <c r="Q5856" s="508">
        <v>0.06</v>
      </c>
      <c r="R5856" s="508">
        <v>5.8999999999999997E-2</v>
      </c>
      <c r="S5856" s="508">
        <v>6.9000000000000006E-2</v>
      </c>
      <c r="T5856" s="508">
        <v>5.6000000000000001E-2</v>
      </c>
      <c r="U5856" s="508">
        <v>4.8000000000000001E-2</v>
      </c>
      <c r="V5856" s="508">
        <v>2.7E-2</v>
      </c>
      <c r="W5856" s="508">
        <v>3.5000000000000003E-2</v>
      </c>
      <c r="X5856" s="508">
        <v>2.1000000000000001E-2</v>
      </c>
      <c r="Y5856" s="508">
        <v>2.1000000000000001E-2</v>
      </c>
      <c r="Z5856" s="508">
        <v>1.7999999999999999E-2</v>
      </c>
      <c r="AA5856" s="508">
        <v>1.7999999999999999E-2</v>
      </c>
      <c r="AB5856" s="508">
        <v>1.6E-2</v>
      </c>
      <c r="AC5856" s="508">
        <v>1.6E-2</v>
      </c>
      <c r="AD5856" s="508">
        <v>1.4E-2</v>
      </c>
      <c r="AE5856" s="508">
        <v>1.4E-2</v>
      </c>
      <c r="AF5856" s="508">
        <v>8.9999999999999993E-3</v>
      </c>
      <c r="AG5856" s="508">
        <v>8.9999999999999993E-3</v>
      </c>
      <c r="AH5856" s="508">
        <v>8.9999999999999993E-3</v>
      </c>
      <c r="AI5856" s="492">
        <v>8.9999999999999993E-3</v>
      </c>
      <c r="AJ5856" s="485"/>
    </row>
    <row r="5857" spans="2:36">
      <c r="B5857" s="136" t="s">
        <v>456</v>
      </c>
      <c r="C5857" s="132" t="s">
        <v>1372</v>
      </c>
      <c r="D5857" s="132" t="s">
        <v>285</v>
      </c>
      <c r="E5857" s="508">
        <v>0.10100000000000001</v>
      </c>
      <c r="F5857" s="508">
        <v>0.107</v>
      </c>
      <c r="G5857" s="508">
        <v>0.107</v>
      </c>
      <c r="H5857" s="508">
        <v>0.108</v>
      </c>
      <c r="I5857" s="508">
        <v>0.108</v>
      </c>
      <c r="J5857" s="508">
        <v>0.09</v>
      </c>
      <c r="K5857" s="508">
        <v>6.3E-2</v>
      </c>
      <c r="L5857" s="508">
        <v>6.3E-2</v>
      </c>
      <c r="M5857" s="508">
        <v>6.3E-2</v>
      </c>
      <c r="N5857" s="508">
        <v>7.4999999999999997E-2</v>
      </c>
      <c r="O5857" s="508">
        <v>5.8000000000000003E-2</v>
      </c>
      <c r="P5857" s="508">
        <v>4.2999999999999997E-2</v>
      </c>
      <c r="Q5857" s="508">
        <v>3.7999999999999999E-2</v>
      </c>
      <c r="R5857" s="508">
        <v>3.6999999999999998E-2</v>
      </c>
      <c r="S5857" s="508">
        <v>4.2999999999999997E-2</v>
      </c>
      <c r="T5857" s="508">
        <v>3.5000000000000003E-2</v>
      </c>
      <c r="U5857" s="508">
        <v>3.4000000000000002E-2</v>
      </c>
      <c r="V5857" s="508">
        <v>1.9E-2</v>
      </c>
      <c r="W5857" s="508">
        <v>2.5000000000000001E-2</v>
      </c>
      <c r="X5857" s="508">
        <v>2.1000000000000001E-2</v>
      </c>
      <c r="Y5857" s="508">
        <v>2.1000000000000001E-2</v>
      </c>
      <c r="Z5857" s="508">
        <v>1.7999999999999999E-2</v>
      </c>
      <c r="AA5857" s="508">
        <v>1.7999999999999999E-2</v>
      </c>
      <c r="AB5857" s="508">
        <v>1.6E-2</v>
      </c>
      <c r="AC5857" s="508">
        <v>1.6E-2</v>
      </c>
      <c r="AD5857" s="508">
        <v>1.4E-2</v>
      </c>
      <c r="AE5857" s="508">
        <v>1.4E-2</v>
      </c>
      <c r="AF5857" s="508">
        <v>8.9999999999999993E-3</v>
      </c>
      <c r="AG5857" s="508">
        <v>8.9999999999999993E-3</v>
      </c>
      <c r="AH5857" s="508">
        <v>8.9999999999999993E-3</v>
      </c>
      <c r="AI5857" s="492">
        <v>8.9999999999999993E-3</v>
      </c>
      <c r="AJ5857" s="485"/>
    </row>
    <row r="5858" spans="2:36">
      <c r="B5858" s="136" t="s">
        <v>457</v>
      </c>
      <c r="C5858" s="132" t="s">
        <v>1372</v>
      </c>
      <c r="D5858" s="132" t="s">
        <v>285</v>
      </c>
      <c r="E5858" s="508">
        <v>0.2</v>
      </c>
      <c r="F5858" s="508">
        <v>0.21299999999999999</v>
      </c>
      <c r="G5858" s="508">
        <v>0.21299999999999999</v>
      </c>
      <c r="H5858" s="508">
        <v>0.221</v>
      </c>
      <c r="I5858" s="508">
        <v>0.221</v>
      </c>
      <c r="J5858" s="508">
        <v>0.17699999999999999</v>
      </c>
      <c r="K5858" s="508">
        <v>0.12</v>
      </c>
      <c r="L5858" s="508">
        <v>0.12</v>
      </c>
      <c r="M5858" s="508">
        <v>0.12</v>
      </c>
      <c r="N5858" s="508">
        <v>0.16300000000000001</v>
      </c>
      <c r="O5858" s="508">
        <v>0.113</v>
      </c>
      <c r="P5858" s="508">
        <v>7.9000000000000001E-2</v>
      </c>
      <c r="Q5858" s="508">
        <v>7.6999999999999999E-2</v>
      </c>
      <c r="R5858" s="508">
        <v>7.3999999999999996E-2</v>
      </c>
      <c r="S5858" s="508">
        <v>7.9000000000000001E-2</v>
      </c>
      <c r="T5858" s="508">
        <v>6.6000000000000003E-2</v>
      </c>
      <c r="U5858" s="508">
        <v>6.4000000000000001E-2</v>
      </c>
      <c r="V5858" s="508">
        <v>3.6999999999999998E-2</v>
      </c>
      <c r="W5858" s="508">
        <v>4.7E-2</v>
      </c>
      <c r="X5858" s="508">
        <v>2.3E-2</v>
      </c>
      <c r="Y5858" s="508">
        <v>2.3E-2</v>
      </c>
      <c r="Z5858" s="508">
        <v>1.9E-2</v>
      </c>
      <c r="AA5858" s="508">
        <v>1.9E-2</v>
      </c>
      <c r="AB5858" s="508">
        <v>1.7000000000000001E-2</v>
      </c>
      <c r="AC5858" s="508">
        <v>1.7000000000000001E-2</v>
      </c>
      <c r="AD5858" s="508">
        <v>1.4999999999999999E-2</v>
      </c>
      <c r="AE5858" s="508">
        <v>1.4999999999999999E-2</v>
      </c>
      <c r="AF5858" s="508">
        <v>0.01</v>
      </c>
      <c r="AG5858" s="508">
        <v>0.01</v>
      </c>
      <c r="AH5858" s="508">
        <v>0.01</v>
      </c>
      <c r="AI5858" s="492">
        <v>0.01</v>
      </c>
      <c r="AJ5858" s="485"/>
    </row>
    <row r="5859" spans="2:36">
      <c r="B5859" s="136" t="s">
        <v>458</v>
      </c>
      <c r="C5859" s="132" t="s">
        <v>1372</v>
      </c>
      <c r="D5859" s="132" t="s">
        <v>285</v>
      </c>
      <c r="E5859" s="508">
        <v>0.16</v>
      </c>
      <c r="F5859" s="508">
        <v>0.17699999999999999</v>
      </c>
      <c r="G5859" s="508">
        <v>0.17699999999999999</v>
      </c>
      <c r="H5859" s="508">
        <v>0.16700000000000001</v>
      </c>
      <c r="I5859" s="508">
        <v>0.16700000000000001</v>
      </c>
      <c r="J5859" s="508">
        <v>0.152</v>
      </c>
      <c r="K5859" s="508">
        <v>0.105</v>
      </c>
      <c r="L5859" s="508">
        <v>0.105</v>
      </c>
      <c r="M5859" s="508">
        <v>0.105</v>
      </c>
      <c r="N5859" s="508">
        <v>0.113</v>
      </c>
      <c r="O5859" s="508">
        <v>0.1</v>
      </c>
      <c r="P5859" s="508">
        <v>7.4999999999999997E-2</v>
      </c>
      <c r="Q5859" s="508">
        <v>6.2E-2</v>
      </c>
      <c r="R5859" s="508">
        <v>6.2E-2</v>
      </c>
      <c r="S5859" s="508">
        <v>7.5999999999999998E-2</v>
      </c>
      <c r="T5859" s="508">
        <v>6.2E-2</v>
      </c>
      <c r="U5859" s="508">
        <v>5.6000000000000001E-2</v>
      </c>
      <c r="V5859" s="508">
        <v>3.1E-2</v>
      </c>
      <c r="W5859" s="508">
        <v>4.1000000000000002E-2</v>
      </c>
      <c r="X5859" s="508">
        <v>2.4E-2</v>
      </c>
      <c r="Y5859" s="508">
        <v>2.4E-2</v>
      </c>
      <c r="Z5859" s="508">
        <v>1.9E-2</v>
      </c>
      <c r="AA5859" s="508">
        <v>1.9E-2</v>
      </c>
      <c r="AB5859" s="508">
        <v>1.7000000000000001E-2</v>
      </c>
      <c r="AC5859" s="508">
        <v>1.7000000000000001E-2</v>
      </c>
      <c r="AD5859" s="508">
        <v>1.4999999999999999E-2</v>
      </c>
      <c r="AE5859" s="508">
        <v>1.4999999999999999E-2</v>
      </c>
      <c r="AF5859" s="508">
        <v>0.01</v>
      </c>
      <c r="AG5859" s="508">
        <v>0.01</v>
      </c>
      <c r="AH5859" s="508">
        <v>0.01</v>
      </c>
      <c r="AI5859" s="492">
        <v>0.01</v>
      </c>
      <c r="AJ5859" s="485"/>
    </row>
    <row r="5860" spans="2:36">
      <c r="B5860" s="136" t="s">
        <v>459</v>
      </c>
      <c r="C5860" s="132" t="s">
        <v>1372</v>
      </c>
      <c r="D5860" s="132" t="s">
        <v>285</v>
      </c>
      <c r="E5860" s="508">
        <v>0.19700000000000001</v>
      </c>
      <c r="F5860" s="508">
        <v>0.218</v>
      </c>
      <c r="G5860" s="508">
        <v>0.218</v>
      </c>
      <c r="H5860" s="508">
        <v>0.20499999999999999</v>
      </c>
      <c r="I5860" s="508">
        <v>0.20499999999999999</v>
      </c>
      <c r="J5860" s="508">
        <v>0.187</v>
      </c>
      <c r="K5860" s="508">
        <v>0.13</v>
      </c>
      <c r="L5860" s="508">
        <v>0.13</v>
      </c>
      <c r="M5860" s="508">
        <v>0.13</v>
      </c>
      <c r="N5860" s="508">
        <v>0.13900000000000001</v>
      </c>
      <c r="O5860" s="508">
        <v>0.123</v>
      </c>
      <c r="P5860" s="508">
        <v>9.1999999999999998E-2</v>
      </c>
      <c r="Q5860" s="508">
        <v>7.6999999999999999E-2</v>
      </c>
      <c r="R5860" s="508">
        <v>7.5999999999999998E-2</v>
      </c>
      <c r="S5860" s="508">
        <v>9.2999999999999999E-2</v>
      </c>
      <c r="T5860" s="508">
        <v>7.5999999999999998E-2</v>
      </c>
      <c r="U5860" s="508">
        <v>6.7000000000000004E-2</v>
      </c>
      <c r="V5860" s="508">
        <v>3.6999999999999998E-2</v>
      </c>
      <c r="W5860" s="508">
        <v>4.8000000000000001E-2</v>
      </c>
      <c r="X5860" s="508">
        <v>2.3E-2</v>
      </c>
      <c r="Y5860" s="508">
        <v>2.3E-2</v>
      </c>
      <c r="Z5860" s="508">
        <v>1.9E-2</v>
      </c>
      <c r="AA5860" s="508">
        <v>1.9E-2</v>
      </c>
      <c r="AB5860" s="508">
        <v>1.7000000000000001E-2</v>
      </c>
      <c r="AC5860" s="508">
        <v>1.7000000000000001E-2</v>
      </c>
      <c r="AD5860" s="508">
        <v>1.4999999999999999E-2</v>
      </c>
      <c r="AE5860" s="508">
        <v>1.4999999999999999E-2</v>
      </c>
      <c r="AF5860" s="508">
        <v>0.01</v>
      </c>
      <c r="AG5860" s="508">
        <v>0.01</v>
      </c>
      <c r="AH5860" s="508">
        <v>0.01</v>
      </c>
      <c r="AI5860" s="492">
        <v>0.01</v>
      </c>
      <c r="AJ5860" s="485"/>
    </row>
    <row r="5861" spans="2:36">
      <c r="B5861" s="136" t="s">
        <v>460</v>
      </c>
      <c r="C5861" s="132" t="s">
        <v>1372</v>
      </c>
      <c r="D5861" s="132" t="s">
        <v>285</v>
      </c>
      <c r="E5861" s="508">
        <v>0.19600000000000001</v>
      </c>
      <c r="F5861" s="508">
        <v>0.20699999999999999</v>
      </c>
      <c r="G5861" s="508">
        <v>0.20699999999999999</v>
      </c>
      <c r="H5861" s="508">
        <v>0.20399999999999999</v>
      </c>
      <c r="I5861" s="508">
        <v>0.20399999999999999</v>
      </c>
      <c r="J5861" s="508">
        <v>0.17399999999999999</v>
      </c>
      <c r="K5861" s="508">
        <v>0.124</v>
      </c>
      <c r="L5861" s="508">
        <v>0.124</v>
      </c>
      <c r="M5861" s="508">
        <v>0.124</v>
      </c>
      <c r="N5861" s="508">
        <v>0.13800000000000001</v>
      </c>
      <c r="O5861" s="508">
        <v>0.114</v>
      </c>
      <c r="P5861" s="508">
        <v>8.4000000000000005E-2</v>
      </c>
      <c r="Q5861" s="508">
        <v>7.2999999999999995E-2</v>
      </c>
      <c r="R5861" s="508">
        <v>7.1999999999999995E-2</v>
      </c>
      <c r="S5861" s="508">
        <v>8.3000000000000004E-2</v>
      </c>
      <c r="T5861" s="508">
        <v>6.8000000000000005E-2</v>
      </c>
      <c r="U5861" s="508">
        <v>5.8000000000000003E-2</v>
      </c>
      <c r="V5861" s="508">
        <v>3.3000000000000002E-2</v>
      </c>
      <c r="W5861" s="508">
        <v>4.2999999999999997E-2</v>
      </c>
      <c r="X5861" s="508">
        <v>2.1000000000000001E-2</v>
      </c>
      <c r="Y5861" s="508">
        <v>2.1000000000000001E-2</v>
      </c>
      <c r="Z5861" s="508">
        <v>1.7000000000000001E-2</v>
      </c>
      <c r="AA5861" s="508">
        <v>1.7000000000000001E-2</v>
      </c>
      <c r="AB5861" s="508">
        <v>1.6E-2</v>
      </c>
      <c r="AC5861" s="508">
        <v>1.6E-2</v>
      </c>
      <c r="AD5861" s="508">
        <v>1.4E-2</v>
      </c>
      <c r="AE5861" s="508">
        <v>1.4E-2</v>
      </c>
      <c r="AF5861" s="508">
        <v>8.9999999999999993E-3</v>
      </c>
      <c r="AG5861" s="508">
        <v>8.9999999999999993E-3</v>
      </c>
      <c r="AH5861" s="508">
        <v>8.9999999999999993E-3</v>
      </c>
      <c r="AI5861" s="492">
        <v>8.9999999999999993E-3</v>
      </c>
      <c r="AJ5861" s="485"/>
    </row>
    <row r="5862" spans="2:36">
      <c r="B5862" s="136" t="s">
        <v>461</v>
      </c>
      <c r="C5862" s="132" t="s">
        <v>1372</v>
      </c>
      <c r="D5862" s="132" t="s">
        <v>285</v>
      </c>
      <c r="E5862" s="508">
        <v>0.21</v>
      </c>
      <c r="F5862" s="508">
        <v>0.218</v>
      </c>
      <c r="G5862" s="508">
        <v>0.218</v>
      </c>
      <c r="H5862" s="508">
        <v>0.22</v>
      </c>
      <c r="I5862" s="508">
        <v>0.22</v>
      </c>
      <c r="J5862" s="508">
        <v>0.18</v>
      </c>
      <c r="K5862" s="508">
        <v>0.129</v>
      </c>
      <c r="L5862" s="508">
        <v>0.129</v>
      </c>
      <c r="M5862" s="508">
        <v>0.129</v>
      </c>
      <c r="N5862" s="508">
        <v>0.154</v>
      </c>
      <c r="O5862" s="508">
        <v>0.11700000000000001</v>
      </c>
      <c r="P5862" s="508">
        <v>8.5000000000000006E-2</v>
      </c>
      <c r="Q5862" s="508">
        <v>7.6999999999999999E-2</v>
      </c>
      <c r="R5862" s="508">
        <v>7.4999999999999997E-2</v>
      </c>
      <c r="S5862" s="508">
        <v>8.4000000000000005E-2</v>
      </c>
      <c r="T5862" s="508">
        <v>6.9000000000000006E-2</v>
      </c>
      <c r="U5862" s="508">
        <v>6.4000000000000001E-2</v>
      </c>
      <c r="V5862" s="508">
        <v>3.6999999999999998E-2</v>
      </c>
      <c r="W5862" s="508">
        <v>4.7E-2</v>
      </c>
      <c r="X5862" s="508">
        <v>2.1999999999999999E-2</v>
      </c>
      <c r="Y5862" s="508">
        <v>2.1999999999999999E-2</v>
      </c>
      <c r="Z5862" s="508">
        <v>1.7999999999999999E-2</v>
      </c>
      <c r="AA5862" s="508">
        <v>1.7999999999999999E-2</v>
      </c>
      <c r="AB5862" s="508">
        <v>1.6E-2</v>
      </c>
      <c r="AC5862" s="508">
        <v>1.6E-2</v>
      </c>
      <c r="AD5862" s="508">
        <v>1.4999999999999999E-2</v>
      </c>
      <c r="AE5862" s="508">
        <v>1.4999999999999999E-2</v>
      </c>
      <c r="AF5862" s="508">
        <v>8.9999999999999993E-3</v>
      </c>
      <c r="AG5862" s="508">
        <v>8.9999999999999993E-3</v>
      </c>
      <c r="AH5862" s="508">
        <v>8.9999999999999993E-3</v>
      </c>
      <c r="AI5862" s="492">
        <v>8.9999999999999993E-3</v>
      </c>
      <c r="AJ5862" s="485"/>
    </row>
    <row r="5863" spans="2:36">
      <c r="B5863" s="136" t="s">
        <v>462</v>
      </c>
      <c r="C5863" s="132" t="s">
        <v>1372</v>
      </c>
      <c r="D5863" s="132" t="s">
        <v>285</v>
      </c>
      <c r="E5863" s="508">
        <v>0.10199999999999999</v>
      </c>
      <c r="F5863" s="508">
        <v>0.10199999999999999</v>
      </c>
      <c r="G5863" s="508">
        <v>0.10199999999999999</v>
      </c>
      <c r="H5863" s="508">
        <v>0.11</v>
      </c>
      <c r="I5863" s="508">
        <v>0.11</v>
      </c>
      <c r="J5863" s="508">
        <v>8.2000000000000003E-2</v>
      </c>
      <c r="K5863" s="508">
        <v>0.06</v>
      </c>
      <c r="L5863" s="508">
        <v>0.06</v>
      </c>
      <c r="M5863" s="508">
        <v>0.06</v>
      </c>
      <c r="N5863" s="508">
        <v>7.9000000000000001E-2</v>
      </c>
      <c r="O5863" s="508">
        <v>5.2999999999999999E-2</v>
      </c>
      <c r="P5863" s="508">
        <v>3.6999999999999998E-2</v>
      </c>
      <c r="Q5863" s="508">
        <v>3.6999999999999998E-2</v>
      </c>
      <c r="R5863" s="508">
        <v>3.5000000000000003E-2</v>
      </c>
      <c r="S5863" s="508">
        <v>3.5999999999999997E-2</v>
      </c>
      <c r="T5863" s="508">
        <v>0.03</v>
      </c>
      <c r="U5863" s="508">
        <v>0.03</v>
      </c>
      <c r="V5863" s="508">
        <v>1.7999999999999999E-2</v>
      </c>
      <c r="W5863" s="508">
        <v>2.1999999999999999E-2</v>
      </c>
      <c r="X5863" s="508">
        <v>1.9E-2</v>
      </c>
      <c r="Y5863" s="508">
        <v>1.9E-2</v>
      </c>
      <c r="Z5863" s="508">
        <v>1.6E-2</v>
      </c>
      <c r="AA5863" s="508">
        <v>1.6E-2</v>
      </c>
      <c r="AB5863" s="508">
        <v>1.4E-2</v>
      </c>
      <c r="AC5863" s="508">
        <v>1.4E-2</v>
      </c>
      <c r="AD5863" s="508">
        <v>1.2999999999999999E-2</v>
      </c>
      <c r="AE5863" s="508">
        <v>1.2999999999999999E-2</v>
      </c>
      <c r="AF5863" s="508">
        <v>8.0000000000000002E-3</v>
      </c>
      <c r="AG5863" s="508">
        <v>8.0000000000000002E-3</v>
      </c>
      <c r="AH5863" s="508">
        <v>8.0000000000000002E-3</v>
      </c>
      <c r="AI5863" s="492">
        <v>8.0000000000000002E-3</v>
      </c>
      <c r="AJ5863" s="485"/>
    </row>
    <row r="5864" spans="2:36">
      <c r="B5864" s="136" t="s">
        <v>463</v>
      </c>
      <c r="C5864" s="132" t="s">
        <v>1372</v>
      </c>
      <c r="D5864" s="132" t="s">
        <v>285</v>
      </c>
      <c r="E5864" s="508">
        <v>0.154</v>
      </c>
      <c r="F5864" s="508">
        <v>0.17599999999999999</v>
      </c>
      <c r="G5864" s="508">
        <v>0.17599999999999999</v>
      </c>
      <c r="H5864" s="508">
        <v>0.16800000000000001</v>
      </c>
      <c r="I5864" s="508">
        <v>0.16800000000000001</v>
      </c>
      <c r="J5864" s="508">
        <v>0.153</v>
      </c>
      <c r="K5864" s="508">
        <v>0.1</v>
      </c>
      <c r="L5864" s="508">
        <v>0.1</v>
      </c>
      <c r="M5864" s="508">
        <v>0.1</v>
      </c>
      <c r="N5864" s="508">
        <v>0.121</v>
      </c>
      <c r="O5864" s="508">
        <v>9.9000000000000005E-2</v>
      </c>
      <c r="P5864" s="508">
        <v>7.2999999999999995E-2</v>
      </c>
      <c r="Q5864" s="508">
        <v>6.3E-2</v>
      </c>
      <c r="R5864" s="508">
        <v>6.2E-2</v>
      </c>
      <c r="S5864" s="508">
        <v>7.4999999999999997E-2</v>
      </c>
      <c r="T5864" s="508">
        <v>6.0999999999999999E-2</v>
      </c>
      <c r="U5864" s="508">
        <v>5.3999999999999999E-2</v>
      </c>
      <c r="V5864" s="508">
        <v>2.9000000000000001E-2</v>
      </c>
      <c r="W5864" s="508">
        <v>3.9E-2</v>
      </c>
      <c r="X5864" s="508">
        <v>2.3E-2</v>
      </c>
      <c r="Y5864" s="508">
        <v>2.3E-2</v>
      </c>
      <c r="Z5864" s="508">
        <v>1.9E-2</v>
      </c>
      <c r="AA5864" s="508">
        <v>1.9E-2</v>
      </c>
      <c r="AB5864" s="508">
        <v>1.7000000000000001E-2</v>
      </c>
      <c r="AC5864" s="508">
        <v>1.7000000000000001E-2</v>
      </c>
      <c r="AD5864" s="508">
        <v>1.4999999999999999E-2</v>
      </c>
      <c r="AE5864" s="508">
        <v>1.4999999999999999E-2</v>
      </c>
      <c r="AF5864" s="508">
        <v>0.01</v>
      </c>
      <c r="AG5864" s="508">
        <v>0.01</v>
      </c>
      <c r="AH5864" s="508">
        <v>0.01</v>
      </c>
      <c r="AI5864" s="492">
        <v>0.01</v>
      </c>
      <c r="AJ5864" s="485"/>
    </row>
    <row r="5865" spans="2:36">
      <c r="B5865" s="136" t="s">
        <v>464</v>
      </c>
      <c r="C5865" s="132" t="s">
        <v>1372</v>
      </c>
      <c r="D5865" s="132" t="s">
        <v>285</v>
      </c>
      <c r="E5865" s="508">
        <v>0.20100000000000001</v>
      </c>
      <c r="F5865" s="508">
        <v>0.218</v>
      </c>
      <c r="G5865" s="508">
        <v>0.218</v>
      </c>
      <c r="H5865" s="508">
        <v>0.223</v>
      </c>
      <c r="I5865" s="508">
        <v>0.223</v>
      </c>
      <c r="J5865" s="508">
        <v>0.183</v>
      </c>
      <c r="K5865" s="508">
        <v>0.122</v>
      </c>
      <c r="L5865" s="508">
        <v>0.122</v>
      </c>
      <c r="M5865" s="508">
        <v>0.122</v>
      </c>
      <c r="N5865" s="508">
        <v>0.16300000000000001</v>
      </c>
      <c r="O5865" s="508">
        <v>0.11700000000000001</v>
      </c>
      <c r="P5865" s="508">
        <v>8.3000000000000004E-2</v>
      </c>
      <c r="Q5865" s="508">
        <v>7.8E-2</v>
      </c>
      <c r="R5865" s="508">
        <v>7.5999999999999998E-2</v>
      </c>
      <c r="S5865" s="508">
        <v>8.3000000000000004E-2</v>
      </c>
      <c r="T5865" s="508">
        <v>6.9000000000000006E-2</v>
      </c>
      <c r="U5865" s="508">
        <v>6.0999999999999999E-2</v>
      </c>
      <c r="V5865" s="508">
        <v>3.5000000000000003E-2</v>
      </c>
      <c r="W5865" s="508">
        <v>4.4999999999999998E-2</v>
      </c>
      <c r="X5865" s="508">
        <v>2.1999999999999999E-2</v>
      </c>
      <c r="Y5865" s="508">
        <v>2.1999999999999999E-2</v>
      </c>
      <c r="Z5865" s="508">
        <v>1.7999999999999999E-2</v>
      </c>
      <c r="AA5865" s="508">
        <v>1.7999999999999999E-2</v>
      </c>
      <c r="AB5865" s="508">
        <v>1.6E-2</v>
      </c>
      <c r="AC5865" s="508">
        <v>1.6E-2</v>
      </c>
      <c r="AD5865" s="508">
        <v>1.4E-2</v>
      </c>
      <c r="AE5865" s="508">
        <v>1.4E-2</v>
      </c>
      <c r="AF5865" s="508">
        <v>8.9999999999999993E-3</v>
      </c>
      <c r="AG5865" s="508">
        <v>8.9999999999999993E-3</v>
      </c>
      <c r="AH5865" s="508">
        <v>8.9999999999999993E-3</v>
      </c>
      <c r="AI5865" s="492">
        <v>8.9999999999999993E-3</v>
      </c>
      <c r="AJ5865" s="485"/>
    </row>
    <row r="5866" spans="2:36">
      <c r="B5866" s="136" t="s">
        <v>465</v>
      </c>
      <c r="C5866" s="132" t="s">
        <v>1372</v>
      </c>
      <c r="D5866" s="132" t="s">
        <v>285</v>
      </c>
      <c r="E5866" s="508">
        <v>0.17699999999999999</v>
      </c>
      <c r="F5866" s="508">
        <v>0.19700000000000001</v>
      </c>
      <c r="G5866" s="508">
        <v>0.19700000000000001</v>
      </c>
      <c r="H5866" s="508">
        <v>0.193</v>
      </c>
      <c r="I5866" s="508">
        <v>0.193</v>
      </c>
      <c r="J5866" s="508">
        <v>0.16800000000000001</v>
      </c>
      <c r="K5866" s="508">
        <v>0.112</v>
      </c>
      <c r="L5866" s="508">
        <v>0.112</v>
      </c>
      <c r="M5866" s="508">
        <v>0.112</v>
      </c>
      <c r="N5866" s="508">
        <v>0.13800000000000001</v>
      </c>
      <c r="O5866" s="508">
        <v>0.108</v>
      </c>
      <c r="P5866" s="508">
        <v>7.9000000000000001E-2</v>
      </c>
      <c r="Q5866" s="508">
        <v>7.0000000000000007E-2</v>
      </c>
      <c r="R5866" s="508">
        <v>6.9000000000000006E-2</v>
      </c>
      <c r="S5866" s="508">
        <v>0.08</v>
      </c>
      <c r="T5866" s="508">
        <v>6.5000000000000002E-2</v>
      </c>
      <c r="U5866" s="508">
        <v>5.8999999999999997E-2</v>
      </c>
      <c r="V5866" s="508">
        <v>3.3000000000000002E-2</v>
      </c>
      <c r="W5866" s="508">
        <v>4.2999999999999997E-2</v>
      </c>
      <c r="X5866" s="508">
        <v>2.3E-2</v>
      </c>
      <c r="Y5866" s="508">
        <v>2.3E-2</v>
      </c>
      <c r="Z5866" s="508">
        <v>1.9E-2</v>
      </c>
      <c r="AA5866" s="508">
        <v>1.9E-2</v>
      </c>
      <c r="AB5866" s="508">
        <v>1.7000000000000001E-2</v>
      </c>
      <c r="AC5866" s="508">
        <v>1.7000000000000001E-2</v>
      </c>
      <c r="AD5866" s="508">
        <v>1.4999999999999999E-2</v>
      </c>
      <c r="AE5866" s="508">
        <v>1.4999999999999999E-2</v>
      </c>
      <c r="AF5866" s="508">
        <v>0.01</v>
      </c>
      <c r="AG5866" s="508">
        <v>8.9999999999999993E-3</v>
      </c>
      <c r="AH5866" s="508">
        <v>8.9999999999999993E-3</v>
      </c>
      <c r="AI5866" s="492">
        <v>8.9999999999999993E-3</v>
      </c>
      <c r="AJ5866" s="485"/>
    </row>
    <row r="5867" spans="2:36">
      <c r="B5867" s="136" t="s">
        <v>466</v>
      </c>
      <c r="C5867" s="132" t="s">
        <v>1372</v>
      </c>
      <c r="D5867" s="132" t="s">
        <v>285</v>
      </c>
      <c r="E5867" s="508">
        <v>0.124</v>
      </c>
      <c r="F5867" s="508">
        <v>0.127</v>
      </c>
      <c r="G5867" s="508">
        <v>0.127</v>
      </c>
      <c r="H5867" s="508">
        <v>0.126</v>
      </c>
      <c r="I5867" s="508">
        <v>0.126</v>
      </c>
      <c r="J5867" s="508">
        <v>0.106</v>
      </c>
      <c r="K5867" s="508">
        <v>7.9000000000000001E-2</v>
      </c>
      <c r="L5867" s="508">
        <v>7.9000000000000001E-2</v>
      </c>
      <c r="M5867" s="508">
        <v>7.9000000000000001E-2</v>
      </c>
      <c r="N5867" s="508">
        <v>8.2000000000000003E-2</v>
      </c>
      <c r="O5867" s="508">
        <v>7.0000000000000007E-2</v>
      </c>
      <c r="P5867" s="508">
        <v>5.2999999999999999E-2</v>
      </c>
      <c r="Q5867" s="508">
        <v>4.3999999999999997E-2</v>
      </c>
      <c r="R5867" s="508">
        <v>4.3999999999999997E-2</v>
      </c>
      <c r="S5867" s="508">
        <v>5.0999999999999997E-2</v>
      </c>
      <c r="T5867" s="508">
        <v>4.2000000000000003E-2</v>
      </c>
      <c r="U5867" s="508">
        <v>3.6999999999999998E-2</v>
      </c>
      <c r="V5867" s="508">
        <v>2.1999999999999999E-2</v>
      </c>
      <c r="W5867" s="508">
        <v>2.8000000000000001E-2</v>
      </c>
      <c r="X5867" s="508">
        <v>0.02</v>
      </c>
      <c r="Y5867" s="508">
        <v>0.02</v>
      </c>
      <c r="Z5867" s="508">
        <v>1.7000000000000001E-2</v>
      </c>
      <c r="AA5867" s="508">
        <v>1.7000000000000001E-2</v>
      </c>
      <c r="AB5867" s="508">
        <v>1.4999999999999999E-2</v>
      </c>
      <c r="AC5867" s="508">
        <v>1.4999999999999999E-2</v>
      </c>
      <c r="AD5867" s="508">
        <v>1.2999999999999999E-2</v>
      </c>
      <c r="AE5867" s="508">
        <v>1.2999999999999999E-2</v>
      </c>
      <c r="AF5867" s="508">
        <v>8.9999999999999993E-3</v>
      </c>
      <c r="AG5867" s="508">
        <v>8.9999999999999993E-3</v>
      </c>
      <c r="AH5867" s="508">
        <v>8.0000000000000002E-3</v>
      </c>
      <c r="AI5867" s="492">
        <v>8.0000000000000002E-3</v>
      </c>
      <c r="AJ5867" s="485"/>
    </row>
    <row r="5868" spans="2:36">
      <c r="B5868" s="136" t="s">
        <v>467</v>
      </c>
      <c r="C5868" s="132" t="s">
        <v>1372</v>
      </c>
      <c r="D5868" s="132" t="s">
        <v>285</v>
      </c>
      <c r="E5868" s="508">
        <v>0.192</v>
      </c>
      <c r="F5868" s="508">
        <v>0.19900000000000001</v>
      </c>
      <c r="G5868" s="508">
        <v>0.19900000000000001</v>
      </c>
      <c r="H5868" s="508">
        <v>0.20300000000000001</v>
      </c>
      <c r="I5868" s="508">
        <v>0.20300000000000001</v>
      </c>
      <c r="J5868" s="508">
        <v>0.16400000000000001</v>
      </c>
      <c r="K5868" s="508">
        <v>0.11700000000000001</v>
      </c>
      <c r="L5868" s="508">
        <v>0.11700000000000001</v>
      </c>
      <c r="M5868" s="508">
        <v>0.11700000000000001</v>
      </c>
      <c r="N5868" s="508">
        <v>0.14299999999999999</v>
      </c>
      <c r="O5868" s="508">
        <v>0.106</v>
      </c>
      <c r="P5868" s="508">
        <v>7.6999999999999999E-2</v>
      </c>
      <c r="Q5868" s="508">
        <v>7.0999999999999994E-2</v>
      </c>
      <c r="R5868" s="508">
        <v>6.9000000000000006E-2</v>
      </c>
      <c r="S5868" s="508">
        <v>7.4999999999999997E-2</v>
      </c>
      <c r="T5868" s="508">
        <v>6.2E-2</v>
      </c>
      <c r="U5868" s="508">
        <v>5.7000000000000002E-2</v>
      </c>
      <c r="V5868" s="508">
        <v>3.3000000000000002E-2</v>
      </c>
      <c r="W5868" s="508">
        <v>4.2000000000000003E-2</v>
      </c>
      <c r="X5868" s="508">
        <v>2.1000000000000001E-2</v>
      </c>
      <c r="Y5868" s="508">
        <v>2.1000000000000001E-2</v>
      </c>
      <c r="Z5868" s="508">
        <v>1.7000000000000001E-2</v>
      </c>
      <c r="AA5868" s="508">
        <v>1.7000000000000001E-2</v>
      </c>
      <c r="AB5868" s="508">
        <v>1.6E-2</v>
      </c>
      <c r="AC5868" s="508">
        <v>1.6E-2</v>
      </c>
      <c r="AD5868" s="508">
        <v>1.4E-2</v>
      </c>
      <c r="AE5868" s="508">
        <v>1.4E-2</v>
      </c>
      <c r="AF5868" s="508">
        <v>8.9999999999999993E-3</v>
      </c>
      <c r="AG5868" s="508">
        <v>8.9999999999999993E-3</v>
      </c>
      <c r="AH5868" s="508">
        <v>8.9999999999999993E-3</v>
      </c>
      <c r="AI5868" s="492">
        <v>8.9999999999999993E-3</v>
      </c>
      <c r="AJ5868" s="485"/>
    </row>
    <row r="5869" spans="2:36">
      <c r="B5869" s="136" t="s">
        <v>468</v>
      </c>
      <c r="C5869" s="132" t="s">
        <v>1372</v>
      </c>
      <c r="D5869" s="132" t="s">
        <v>285</v>
      </c>
      <c r="E5869" s="508">
        <v>0.16600000000000001</v>
      </c>
      <c r="F5869" s="508">
        <v>0.19500000000000001</v>
      </c>
      <c r="G5869" s="508">
        <v>0.19500000000000001</v>
      </c>
      <c r="H5869" s="508">
        <v>0.185</v>
      </c>
      <c r="I5869" s="508">
        <v>0.185</v>
      </c>
      <c r="J5869" s="508">
        <v>0.17100000000000001</v>
      </c>
      <c r="K5869" s="508">
        <v>0.109</v>
      </c>
      <c r="L5869" s="508">
        <v>0.109</v>
      </c>
      <c r="M5869" s="508">
        <v>0.109</v>
      </c>
      <c r="N5869" s="508">
        <v>0.13300000000000001</v>
      </c>
      <c r="O5869" s="508">
        <v>0.11</v>
      </c>
      <c r="P5869" s="508">
        <v>0.08</v>
      </c>
      <c r="Q5869" s="508">
        <v>7.0000000000000007E-2</v>
      </c>
      <c r="R5869" s="508">
        <v>6.9000000000000006E-2</v>
      </c>
      <c r="S5869" s="508">
        <v>8.4000000000000005E-2</v>
      </c>
      <c r="T5869" s="508">
        <v>6.8000000000000005E-2</v>
      </c>
      <c r="U5869" s="508">
        <v>0.06</v>
      </c>
      <c r="V5869" s="508">
        <v>3.2000000000000001E-2</v>
      </c>
      <c r="W5869" s="508">
        <v>4.2999999999999997E-2</v>
      </c>
      <c r="X5869" s="508">
        <v>2.4E-2</v>
      </c>
      <c r="Y5869" s="508">
        <v>2.4E-2</v>
      </c>
      <c r="Z5869" s="508">
        <v>0.02</v>
      </c>
      <c r="AA5869" s="508">
        <v>0.02</v>
      </c>
      <c r="AB5869" s="508">
        <v>1.7999999999999999E-2</v>
      </c>
      <c r="AC5869" s="508">
        <v>1.7999999999999999E-2</v>
      </c>
      <c r="AD5869" s="508">
        <v>1.6E-2</v>
      </c>
      <c r="AE5869" s="508">
        <v>1.6E-2</v>
      </c>
      <c r="AF5869" s="508">
        <v>0.01</v>
      </c>
      <c r="AG5869" s="508">
        <v>0.01</v>
      </c>
      <c r="AH5869" s="508">
        <v>0.01</v>
      </c>
      <c r="AI5869" s="492">
        <v>0.01</v>
      </c>
      <c r="AJ5869" s="485"/>
    </row>
    <row r="5870" spans="2:36">
      <c r="B5870" s="136" t="s">
        <v>469</v>
      </c>
      <c r="C5870" s="132" t="s">
        <v>1372</v>
      </c>
      <c r="D5870" s="132" t="s">
        <v>285</v>
      </c>
      <c r="E5870" s="508">
        <v>0.13900000000000001</v>
      </c>
      <c r="F5870" s="508">
        <v>0.151</v>
      </c>
      <c r="G5870" s="508">
        <v>0.151</v>
      </c>
      <c r="H5870" s="508">
        <v>0.152</v>
      </c>
      <c r="I5870" s="508">
        <v>0.152</v>
      </c>
      <c r="J5870" s="508">
        <v>0.127</v>
      </c>
      <c r="K5870" s="508">
        <v>8.6999999999999994E-2</v>
      </c>
      <c r="L5870" s="508">
        <v>8.6999999999999994E-2</v>
      </c>
      <c r="M5870" s="508">
        <v>8.6999999999999994E-2</v>
      </c>
      <c r="N5870" s="508">
        <v>0.108</v>
      </c>
      <c r="O5870" s="508">
        <v>8.2000000000000003E-2</v>
      </c>
      <c r="P5870" s="508">
        <v>5.8999999999999997E-2</v>
      </c>
      <c r="Q5870" s="508">
        <v>5.3999999999999999E-2</v>
      </c>
      <c r="R5870" s="508">
        <v>5.1999999999999998E-2</v>
      </c>
      <c r="S5870" s="508">
        <v>5.8999999999999997E-2</v>
      </c>
      <c r="T5870" s="508">
        <v>4.9000000000000002E-2</v>
      </c>
      <c r="U5870" s="508">
        <v>4.3999999999999997E-2</v>
      </c>
      <c r="V5870" s="508">
        <v>2.5000000000000001E-2</v>
      </c>
      <c r="W5870" s="508">
        <v>3.2000000000000001E-2</v>
      </c>
      <c r="X5870" s="508">
        <v>2.1000000000000001E-2</v>
      </c>
      <c r="Y5870" s="508">
        <v>2.1000000000000001E-2</v>
      </c>
      <c r="Z5870" s="508">
        <v>1.7000000000000001E-2</v>
      </c>
      <c r="AA5870" s="508">
        <v>1.7000000000000001E-2</v>
      </c>
      <c r="AB5870" s="508">
        <v>1.6E-2</v>
      </c>
      <c r="AC5870" s="508">
        <v>1.6E-2</v>
      </c>
      <c r="AD5870" s="508">
        <v>1.4E-2</v>
      </c>
      <c r="AE5870" s="508">
        <v>1.4E-2</v>
      </c>
      <c r="AF5870" s="508">
        <v>8.9999999999999993E-3</v>
      </c>
      <c r="AG5870" s="508">
        <v>8.9999999999999993E-3</v>
      </c>
      <c r="AH5870" s="508">
        <v>8.9999999999999993E-3</v>
      </c>
      <c r="AI5870" s="492">
        <v>8.9999999999999993E-3</v>
      </c>
      <c r="AJ5870" s="485"/>
    </row>
    <row r="5871" spans="2:36">
      <c r="B5871" s="136" t="s">
        <v>470</v>
      </c>
      <c r="C5871" s="132" t="s">
        <v>1372</v>
      </c>
      <c r="D5871" s="132" t="s">
        <v>285</v>
      </c>
      <c r="E5871" s="508">
        <v>0.184</v>
      </c>
      <c r="F5871" s="508">
        <v>0.19400000000000001</v>
      </c>
      <c r="G5871" s="508">
        <v>0.19400000000000001</v>
      </c>
      <c r="H5871" s="508">
        <v>0.189</v>
      </c>
      <c r="I5871" s="508">
        <v>0.189</v>
      </c>
      <c r="J5871" s="508">
        <v>0.16200000000000001</v>
      </c>
      <c r="K5871" s="508">
        <v>0.11799999999999999</v>
      </c>
      <c r="L5871" s="508">
        <v>0.11799999999999999</v>
      </c>
      <c r="M5871" s="508">
        <v>0.11799999999999999</v>
      </c>
      <c r="N5871" s="508">
        <v>0.126</v>
      </c>
      <c r="O5871" s="508">
        <v>0.107</v>
      </c>
      <c r="P5871" s="508">
        <v>0.08</v>
      </c>
      <c r="Q5871" s="508">
        <v>6.8000000000000005E-2</v>
      </c>
      <c r="R5871" s="508">
        <v>6.7000000000000004E-2</v>
      </c>
      <c r="S5871" s="508">
        <v>7.9000000000000001E-2</v>
      </c>
      <c r="T5871" s="508">
        <v>6.4000000000000001E-2</v>
      </c>
      <c r="U5871" s="508">
        <v>5.8999999999999997E-2</v>
      </c>
      <c r="V5871" s="508">
        <v>3.3000000000000002E-2</v>
      </c>
      <c r="W5871" s="508">
        <v>4.2999999999999997E-2</v>
      </c>
      <c r="X5871" s="508">
        <v>2.1999999999999999E-2</v>
      </c>
      <c r="Y5871" s="508">
        <v>2.1999999999999999E-2</v>
      </c>
      <c r="Z5871" s="508">
        <v>1.9E-2</v>
      </c>
      <c r="AA5871" s="508">
        <v>1.9E-2</v>
      </c>
      <c r="AB5871" s="508">
        <v>1.7000000000000001E-2</v>
      </c>
      <c r="AC5871" s="508">
        <v>1.7000000000000001E-2</v>
      </c>
      <c r="AD5871" s="508">
        <v>1.4999999999999999E-2</v>
      </c>
      <c r="AE5871" s="508">
        <v>1.4999999999999999E-2</v>
      </c>
      <c r="AF5871" s="508">
        <v>8.9999999999999993E-3</v>
      </c>
      <c r="AG5871" s="508">
        <v>8.9999999999999993E-3</v>
      </c>
      <c r="AH5871" s="508">
        <v>8.9999999999999993E-3</v>
      </c>
      <c r="AI5871" s="492">
        <v>8.9999999999999993E-3</v>
      </c>
      <c r="AJ5871" s="485"/>
    </row>
    <row r="5872" spans="2:36">
      <c r="B5872" s="136" t="s">
        <v>471</v>
      </c>
      <c r="C5872" s="132" t="s">
        <v>1372</v>
      </c>
      <c r="D5872" s="132" t="s">
        <v>285</v>
      </c>
      <c r="E5872" s="508">
        <v>0.126</v>
      </c>
      <c r="F5872" s="508">
        <v>0.129</v>
      </c>
      <c r="G5872" s="508">
        <v>0.129</v>
      </c>
      <c r="H5872" s="508">
        <v>0.13200000000000001</v>
      </c>
      <c r="I5872" s="508">
        <v>0.13200000000000001</v>
      </c>
      <c r="J5872" s="508">
        <v>0.106</v>
      </c>
      <c r="K5872" s="508">
        <v>7.6999999999999999E-2</v>
      </c>
      <c r="L5872" s="508">
        <v>7.6999999999999999E-2</v>
      </c>
      <c r="M5872" s="508">
        <v>7.6999999999999999E-2</v>
      </c>
      <c r="N5872" s="508">
        <v>9.0999999999999998E-2</v>
      </c>
      <c r="O5872" s="508">
        <v>6.9000000000000006E-2</v>
      </c>
      <c r="P5872" s="508">
        <v>5.0999999999999997E-2</v>
      </c>
      <c r="Q5872" s="508">
        <v>4.5999999999999999E-2</v>
      </c>
      <c r="R5872" s="508">
        <v>4.4999999999999998E-2</v>
      </c>
      <c r="S5872" s="508">
        <v>4.9000000000000002E-2</v>
      </c>
      <c r="T5872" s="508">
        <v>0.04</v>
      </c>
      <c r="U5872" s="508">
        <v>3.9E-2</v>
      </c>
      <c r="V5872" s="508">
        <v>2.3E-2</v>
      </c>
      <c r="W5872" s="508">
        <v>2.9000000000000001E-2</v>
      </c>
      <c r="X5872" s="508">
        <v>2.1000000000000001E-2</v>
      </c>
      <c r="Y5872" s="508">
        <v>2.1000000000000001E-2</v>
      </c>
      <c r="Z5872" s="508">
        <v>1.7000000000000001E-2</v>
      </c>
      <c r="AA5872" s="508">
        <v>1.7000000000000001E-2</v>
      </c>
      <c r="AB5872" s="508">
        <v>1.4999999999999999E-2</v>
      </c>
      <c r="AC5872" s="508">
        <v>1.4999999999999999E-2</v>
      </c>
      <c r="AD5872" s="508">
        <v>1.4E-2</v>
      </c>
      <c r="AE5872" s="508">
        <v>1.4E-2</v>
      </c>
      <c r="AF5872" s="508">
        <v>8.9999999999999993E-3</v>
      </c>
      <c r="AG5872" s="508">
        <v>8.9999999999999993E-3</v>
      </c>
      <c r="AH5872" s="508">
        <v>8.9999999999999993E-3</v>
      </c>
      <c r="AI5872" s="492">
        <v>8.9999999999999993E-3</v>
      </c>
      <c r="AJ5872" s="485"/>
    </row>
    <row r="5873" spans="2:36">
      <c r="B5873" s="136" t="s">
        <v>472</v>
      </c>
      <c r="C5873" s="132" t="s">
        <v>1372</v>
      </c>
      <c r="D5873" s="132" t="s">
        <v>285</v>
      </c>
      <c r="E5873" s="508">
        <v>0.223</v>
      </c>
      <c r="F5873" s="508">
        <v>0.23699999999999999</v>
      </c>
      <c r="G5873" s="508">
        <v>0.23699999999999999</v>
      </c>
      <c r="H5873" s="508">
        <v>0.246</v>
      </c>
      <c r="I5873" s="508">
        <v>0.246</v>
      </c>
      <c r="J5873" s="508">
        <v>0.19600000000000001</v>
      </c>
      <c r="K5873" s="508">
        <v>0.13300000000000001</v>
      </c>
      <c r="L5873" s="508">
        <v>0.13300000000000001</v>
      </c>
      <c r="M5873" s="508">
        <v>0.13300000000000001</v>
      </c>
      <c r="N5873" s="508">
        <v>0.18099999999999999</v>
      </c>
      <c r="O5873" s="508">
        <v>0.125</v>
      </c>
      <c r="P5873" s="508">
        <v>8.7999999999999995E-2</v>
      </c>
      <c r="Q5873" s="508">
        <v>8.5000000000000006E-2</v>
      </c>
      <c r="R5873" s="508">
        <v>8.2000000000000003E-2</v>
      </c>
      <c r="S5873" s="508">
        <v>8.7999999999999995E-2</v>
      </c>
      <c r="T5873" s="508">
        <v>7.2999999999999995E-2</v>
      </c>
      <c r="U5873" s="508">
        <v>6.8000000000000005E-2</v>
      </c>
      <c r="V5873" s="508">
        <v>0.04</v>
      </c>
      <c r="W5873" s="508">
        <v>0.05</v>
      </c>
      <c r="X5873" s="508">
        <v>2.3E-2</v>
      </c>
      <c r="Y5873" s="508">
        <v>2.3E-2</v>
      </c>
      <c r="Z5873" s="508">
        <v>1.9E-2</v>
      </c>
      <c r="AA5873" s="508">
        <v>1.9E-2</v>
      </c>
      <c r="AB5873" s="508">
        <v>1.7000000000000001E-2</v>
      </c>
      <c r="AC5873" s="508">
        <v>1.7000000000000001E-2</v>
      </c>
      <c r="AD5873" s="508">
        <v>1.4999999999999999E-2</v>
      </c>
      <c r="AE5873" s="508">
        <v>1.4999999999999999E-2</v>
      </c>
      <c r="AF5873" s="508">
        <v>8.9999999999999993E-3</v>
      </c>
      <c r="AG5873" s="508">
        <v>8.9999999999999993E-3</v>
      </c>
      <c r="AH5873" s="508">
        <v>8.9999999999999993E-3</v>
      </c>
      <c r="AI5873" s="492">
        <v>8.9999999999999993E-3</v>
      </c>
      <c r="AJ5873" s="485"/>
    </row>
    <row r="5874" spans="2:36">
      <c r="B5874" s="136" t="s">
        <v>473</v>
      </c>
      <c r="C5874" s="132" t="s">
        <v>1372</v>
      </c>
      <c r="D5874" s="132" t="s">
        <v>285</v>
      </c>
      <c r="E5874" s="508">
        <v>0.17100000000000001</v>
      </c>
      <c r="F5874" s="508">
        <v>0.17399999999999999</v>
      </c>
      <c r="G5874" s="508">
        <v>0.17399999999999999</v>
      </c>
      <c r="H5874" s="508">
        <v>0.17599999999999999</v>
      </c>
      <c r="I5874" s="508">
        <v>0.17599999999999999</v>
      </c>
      <c r="J5874" s="508">
        <v>0.14299999999999999</v>
      </c>
      <c r="K5874" s="508">
        <v>0.107</v>
      </c>
      <c r="L5874" s="508">
        <v>0.107</v>
      </c>
      <c r="M5874" s="508">
        <v>0.107</v>
      </c>
      <c r="N5874" s="508">
        <v>0.11799999999999999</v>
      </c>
      <c r="O5874" s="508">
        <v>9.4E-2</v>
      </c>
      <c r="P5874" s="508">
        <v>7.0000000000000007E-2</v>
      </c>
      <c r="Q5874" s="508">
        <v>6.0999999999999999E-2</v>
      </c>
      <c r="R5874" s="508">
        <v>0.06</v>
      </c>
      <c r="S5874" s="508">
        <v>6.7000000000000004E-2</v>
      </c>
      <c r="T5874" s="508">
        <v>5.5E-2</v>
      </c>
      <c r="U5874" s="508">
        <v>4.7E-2</v>
      </c>
      <c r="V5874" s="508">
        <v>2.8000000000000001E-2</v>
      </c>
      <c r="W5874" s="508">
        <v>3.5000000000000003E-2</v>
      </c>
      <c r="X5874" s="508">
        <v>0.02</v>
      </c>
      <c r="Y5874" s="508">
        <v>0.02</v>
      </c>
      <c r="Z5874" s="508">
        <v>1.6E-2</v>
      </c>
      <c r="AA5874" s="508">
        <v>1.6E-2</v>
      </c>
      <c r="AB5874" s="508">
        <v>1.4E-2</v>
      </c>
      <c r="AC5874" s="508">
        <v>1.4E-2</v>
      </c>
      <c r="AD5874" s="508">
        <v>1.2999999999999999E-2</v>
      </c>
      <c r="AE5874" s="508">
        <v>1.2999999999999999E-2</v>
      </c>
      <c r="AF5874" s="508">
        <v>8.0000000000000002E-3</v>
      </c>
      <c r="AG5874" s="508">
        <v>8.0000000000000002E-3</v>
      </c>
      <c r="AH5874" s="508">
        <v>8.0000000000000002E-3</v>
      </c>
      <c r="AI5874" s="492">
        <v>8.0000000000000002E-3</v>
      </c>
      <c r="AJ5874" s="485"/>
    </row>
    <row r="5875" spans="2:36">
      <c r="B5875" s="136" t="s">
        <v>474</v>
      </c>
      <c r="C5875" s="132" t="s">
        <v>1372</v>
      </c>
      <c r="D5875" s="132" t="s">
        <v>285</v>
      </c>
      <c r="E5875" s="508">
        <v>0.123</v>
      </c>
      <c r="F5875" s="508">
        <v>0.129</v>
      </c>
      <c r="G5875" s="508">
        <v>0.129</v>
      </c>
      <c r="H5875" s="508">
        <v>0.13100000000000001</v>
      </c>
      <c r="I5875" s="508">
        <v>0.13100000000000001</v>
      </c>
      <c r="J5875" s="508">
        <v>0.107</v>
      </c>
      <c r="K5875" s="508">
        <v>7.5999999999999998E-2</v>
      </c>
      <c r="L5875" s="508">
        <v>7.5999999999999998E-2</v>
      </c>
      <c r="M5875" s="508">
        <v>7.5999999999999998E-2</v>
      </c>
      <c r="N5875" s="508">
        <v>9.0999999999999998E-2</v>
      </c>
      <c r="O5875" s="508">
        <v>6.9000000000000006E-2</v>
      </c>
      <c r="P5875" s="508">
        <v>0.05</v>
      </c>
      <c r="Q5875" s="508">
        <v>4.5999999999999999E-2</v>
      </c>
      <c r="R5875" s="508">
        <v>4.3999999999999997E-2</v>
      </c>
      <c r="S5875" s="508">
        <v>0.05</v>
      </c>
      <c r="T5875" s="508">
        <v>4.1000000000000002E-2</v>
      </c>
      <c r="U5875" s="508">
        <v>3.6999999999999998E-2</v>
      </c>
      <c r="V5875" s="508">
        <v>2.1000000000000001E-2</v>
      </c>
      <c r="W5875" s="508">
        <v>2.7E-2</v>
      </c>
      <c r="X5875" s="508">
        <v>0.02</v>
      </c>
      <c r="Y5875" s="508">
        <v>0.02</v>
      </c>
      <c r="Z5875" s="508">
        <v>1.6E-2</v>
      </c>
      <c r="AA5875" s="508">
        <v>1.6E-2</v>
      </c>
      <c r="AB5875" s="508">
        <v>1.4999999999999999E-2</v>
      </c>
      <c r="AC5875" s="508">
        <v>1.4999999999999999E-2</v>
      </c>
      <c r="AD5875" s="508">
        <v>1.2999999999999999E-2</v>
      </c>
      <c r="AE5875" s="508">
        <v>1.2999999999999999E-2</v>
      </c>
      <c r="AF5875" s="508">
        <v>8.0000000000000002E-3</v>
      </c>
      <c r="AG5875" s="508">
        <v>8.0000000000000002E-3</v>
      </c>
      <c r="AH5875" s="508">
        <v>8.0000000000000002E-3</v>
      </c>
      <c r="AI5875" s="492">
        <v>8.0000000000000002E-3</v>
      </c>
      <c r="AJ5875" s="485"/>
    </row>
    <row r="5876" spans="2:36">
      <c r="B5876" s="136" t="s">
        <v>475</v>
      </c>
      <c r="C5876" s="132" t="s">
        <v>1372</v>
      </c>
      <c r="D5876" s="132" t="s">
        <v>285</v>
      </c>
      <c r="E5876" s="508">
        <v>0.16600000000000001</v>
      </c>
      <c r="F5876" s="508">
        <v>0.17499999999999999</v>
      </c>
      <c r="G5876" s="508">
        <v>0.17499999999999999</v>
      </c>
      <c r="H5876" s="508">
        <v>0.17699999999999999</v>
      </c>
      <c r="I5876" s="508">
        <v>0.17699999999999999</v>
      </c>
      <c r="J5876" s="508">
        <v>0.14499999999999999</v>
      </c>
      <c r="K5876" s="508">
        <v>0.10199999999999999</v>
      </c>
      <c r="L5876" s="508">
        <v>0.10199999999999999</v>
      </c>
      <c r="M5876" s="508">
        <v>0.10199999999999999</v>
      </c>
      <c r="N5876" s="508">
        <v>0.125</v>
      </c>
      <c r="O5876" s="508">
        <v>9.4E-2</v>
      </c>
      <c r="P5876" s="508">
        <v>6.8000000000000005E-2</v>
      </c>
      <c r="Q5876" s="508">
        <v>6.2E-2</v>
      </c>
      <c r="R5876" s="508">
        <v>0.06</v>
      </c>
      <c r="S5876" s="508">
        <v>6.7000000000000004E-2</v>
      </c>
      <c r="T5876" s="508">
        <v>5.5E-2</v>
      </c>
      <c r="U5876" s="508">
        <v>4.9000000000000002E-2</v>
      </c>
      <c r="V5876" s="508">
        <v>2.8000000000000001E-2</v>
      </c>
      <c r="W5876" s="508">
        <v>3.5999999999999997E-2</v>
      </c>
      <c r="X5876" s="508">
        <v>2.1000000000000001E-2</v>
      </c>
      <c r="Y5876" s="508">
        <v>2.1000000000000001E-2</v>
      </c>
      <c r="Z5876" s="508">
        <v>1.7000000000000001E-2</v>
      </c>
      <c r="AA5876" s="508">
        <v>1.7000000000000001E-2</v>
      </c>
      <c r="AB5876" s="508">
        <v>1.4999999999999999E-2</v>
      </c>
      <c r="AC5876" s="508">
        <v>1.4999999999999999E-2</v>
      </c>
      <c r="AD5876" s="508">
        <v>1.4E-2</v>
      </c>
      <c r="AE5876" s="508">
        <v>1.2999999999999999E-2</v>
      </c>
      <c r="AF5876" s="508">
        <v>8.9999999999999993E-3</v>
      </c>
      <c r="AG5876" s="508">
        <v>8.9999999999999993E-3</v>
      </c>
      <c r="AH5876" s="508">
        <v>8.0000000000000002E-3</v>
      </c>
      <c r="AI5876" s="492">
        <v>8.0000000000000002E-3</v>
      </c>
      <c r="AJ5876" s="485"/>
    </row>
    <row r="5877" spans="2:36">
      <c r="B5877" s="136" t="s">
        <v>476</v>
      </c>
      <c r="C5877" s="132" t="s">
        <v>1372</v>
      </c>
      <c r="D5877" s="132" t="s">
        <v>285</v>
      </c>
      <c r="E5877" s="508">
        <v>0.17499999999999999</v>
      </c>
      <c r="F5877" s="508">
        <v>0.186</v>
      </c>
      <c r="G5877" s="508">
        <v>0.186</v>
      </c>
      <c r="H5877" s="508">
        <v>0.183</v>
      </c>
      <c r="I5877" s="508">
        <v>0.183</v>
      </c>
      <c r="J5877" s="508">
        <v>0.156</v>
      </c>
      <c r="K5877" s="508">
        <v>0.112</v>
      </c>
      <c r="L5877" s="508">
        <v>0.112</v>
      </c>
      <c r="M5877" s="508">
        <v>0.112</v>
      </c>
      <c r="N5877" s="508">
        <v>0.124</v>
      </c>
      <c r="O5877" s="508">
        <v>0.10199999999999999</v>
      </c>
      <c r="P5877" s="508">
        <v>7.5999999999999998E-2</v>
      </c>
      <c r="Q5877" s="508">
        <v>6.5000000000000002E-2</v>
      </c>
      <c r="R5877" s="508">
        <v>6.4000000000000001E-2</v>
      </c>
      <c r="S5877" s="508">
        <v>7.4999999999999997E-2</v>
      </c>
      <c r="T5877" s="508">
        <v>6.0999999999999999E-2</v>
      </c>
      <c r="U5877" s="508">
        <v>5.6000000000000001E-2</v>
      </c>
      <c r="V5877" s="508">
        <v>3.2000000000000001E-2</v>
      </c>
      <c r="W5877" s="508">
        <v>4.1000000000000002E-2</v>
      </c>
      <c r="X5877" s="508">
        <v>2.1999999999999999E-2</v>
      </c>
      <c r="Y5877" s="508">
        <v>2.1999999999999999E-2</v>
      </c>
      <c r="Z5877" s="508">
        <v>1.7999999999999999E-2</v>
      </c>
      <c r="AA5877" s="508">
        <v>1.7999999999999999E-2</v>
      </c>
      <c r="AB5877" s="508">
        <v>1.6E-2</v>
      </c>
      <c r="AC5877" s="508">
        <v>1.6E-2</v>
      </c>
      <c r="AD5877" s="508">
        <v>1.4999999999999999E-2</v>
      </c>
      <c r="AE5877" s="508">
        <v>1.4999999999999999E-2</v>
      </c>
      <c r="AF5877" s="508">
        <v>8.9999999999999993E-3</v>
      </c>
      <c r="AG5877" s="508">
        <v>8.9999999999999993E-3</v>
      </c>
      <c r="AH5877" s="508">
        <v>8.9999999999999993E-3</v>
      </c>
      <c r="AI5877" s="492">
        <v>8.9999999999999993E-3</v>
      </c>
      <c r="AJ5877" s="485"/>
    </row>
    <row r="5878" spans="2:36">
      <c r="B5878" s="136" t="s">
        <v>478</v>
      </c>
      <c r="C5878" s="132" t="s">
        <v>1372</v>
      </c>
      <c r="D5878" s="132" t="s">
        <v>285</v>
      </c>
      <c r="E5878" s="508">
        <v>0.19400000000000001</v>
      </c>
      <c r="F5878" s="508">
        <v>0.21099999999999999</v>
      </c>
      <c r="G5878" s="508">
        <v>0.21099999999999999</v>
      </c>
      <c r="H5878" s="508">
        <v>0.19800000000000001</v>
      </c>
      <c r="I5878" s="508">
        <v>0.19800000000000001</v>
      </c>
      <c r="J5878" s="508">
        <v>0.18</v>
      </c>
      <c r="K5878" s="508">
        <v>0.129</v>
      </c>
      <c r="L5878" s="508">
        <v>0.129</v>
      </c>
      <c r="M5878" s="508">
        <v>0.129</v>
      </c>
      <c r="N5878" s="508">
        <v>0.13</v>
      </c>
      <c r="O5878" s="508">
        <v>0.11899999999999999</v>
      </c>
      <c r="P5878" s="508">
        <v>9.0999999999999998E-2</v>
      </c>
      <c r="Q5878" s="508">
        <v>7.3999999999999996E-2</v>
      </c>
      <c r="R5878" s="508">
        <v>7.2999999999999995E-2</v>
      </c>
      <c r="S5878" s="508">
        <v>0.09</v>
      </c>
      <c r="T5878" s="508">
        <v>7.2999999999999995E-2</v>
      </c>
      <c r="U5878" s="508">
        <v>6.4000000000000001E-2</v>
      </c>
      <c r="V5878" s="508">
        <v>3.5000000000000003E-2</v>
      </c>
      <c r="W5878" s="508">
        <v>4.7E-2</v>
      </c>
      <c r="X5878" s="508">
        <v>2.3E-2</v>
      </c>
      <c r="Y5878" s="508">
        <v>2.3E-2</v>
      </c>
      <c r="Z5878" s="508">
        <v>1.9E-2</v>
      </c>
      <c r="AA5878" s="508">
        <v>1.9E-2</v>
      </c>
      <c r="AB5878" s="508">
        <v>1.7000000000000001E-2</v>
      </c>
      <c r="AC5878" s="508">
        <v>1.7000000000000001E-2</v>
      </c>
      <c r="AD5878" s="508">
        <v>1.4999999999999999E-2</v>
      </c>
      <c r="AE5878" s="508">
        <v>1.4999999999999999E-2</v>
      </c>
      <c r="AF5878" s="508">
        <v>0.01</v>
      </c>
      <c r="AG5878" s="508">
        <v>0.01</v>
      </c>
      <c r="AH5878" s="508">
        <v>0.01</v>
      </c>
      <c r="AI5878" s="492">
        <v>0.01</v>
      </c>
      <c r="AJ5878" s="485"/>
    </row>
    <row r="5879" spans="2:36">
      <c r="B5879" s="136" t="s">
        <v>479</v>
      </c>
      <c r="C5879" s="132" t="s">
        <v>1372</v>
      </c>
      <c r="D5879" s="132" t="s">
        <v>285</v>
      </c>
      <c r="E5879" s="508">
        <v>0.11799999999999999</v>
      </c>
      <c r="F5879" s="508">
        <v>0.127</v>
      </c>
      <c r="G5879" s="508">
        <v>0.127</v>
      </c>
      <c r="H5879" s="508">
        <v>0.126</v>
      </c>
      <c r="I5879" s="508">
        <v>0.126</v>
      </c>
      <c r="J5879" s="508">
        <v>0.107</v>
      </c>
      <c r="K5879" s="508">
        <v>7.3999999999999996E-2</v>
      </c>
      <c r="L5879" s="508">
        <v>7.3999999999999996E-2</v>
      </c>
      <c r="M5879" s="508">
        <v>7.3999999999999996E-2</v>
      </c>
      <c r="N5879" s="508">
        <v>8.7999999999999995E-2</v>
      </c>
      <c r="O5879" s="508">
        <v>6.9000000000000006E-2</v>
      </c>
      <c r="P5879" s="508">
        <v>5.0999999999999997E-2</v>
      </c>
      <c r="Q5879" s="508">
        <v>4.4999999999999998E-2</v>
      </c>
      <c r="R5879" s="508">
        <v>4.3999999999999997E-2</v>
      </c>
      <c r="S5879" s="508">
        <v>5.0999999999999997E-2</v>
      </c>
      <c r="T5879" s="508">
        <v>4.1000000000000002E-2</v>
      </c>
      <c r="U5879" s="508">
        <v>0.04</v>
      </c>
      <c r="V5879" s="508">
        <v>2.3E-2</v>
      </c>
      <c r="W5879" s="508">
        <v>2.9000000000000001E-2</v>
      </c>
      <c r="X5879" s="508">
        <v>2.1999999999999999E-2</v>
      </c>
      <c r="Y5879" s="508">
        <v>2.1999999999999999E-2</v>
      </c>
      <c r="Z5879" s="508">
        <v>1.7999999999999999E-2</v>
      </c>
      <c r="AA5879" s="508">
        <v>1.7999999999999999E-2</v>
      </c>
      <c r="AB5879" s="508">
        <v>1.6E-2</v>
      </c>
      <c r="AC5879" s="508">
        <v>1.6E-2</v>
      </c>
      <c r="AD5879" s="508">
        <v>1.4999999999999999E-2</v>
      </c>
      <c r="AE5879" s="508">
        <v>1.4999999999999999E-2</v>
      </c>
      <c r="AF5879" s="508">
        <v>8.9999999999999993E-3</v>
      </c>
      <c r="AG5879" s="508">
        <v>8.9999999999999993E-3</v>
      </c>
      <c r="AH5879" s="508">
        <v>8.9999999999999993E-3</v>
      </c>
      <c r="AI5879" s="492">
        <v>8.9999999999999993E-3</v>
      </c>
      <c r="AJ5879" s="485"/>
    </row>
    <row r="5880" spans="2:36">
      <c r="B5880" s="136" t="s">
        <v>480</v>
      </c>
      <c r="C5880" s="132" t="s">
        <v>1372</v>
      </c>
      <c r="D5880" s="132" t="s">
        <v>285</v>
      </c>
      <c r="E5880" s="508">
        <v>0.19900000000000001</v>
      </c>
      <c r="F5880" s="508">
        <v>0.224</v>
      </c>
      <c r="G5880" s="508">
        <v>0.224</v>
      </c>
      <c r="H5880" s="508">
        <v>0.222</v>
      </c>
      <c r="I5880" s="508">
        <v>0.222</v>
      </c>
      <c r="J5880" s="508">
        <v>0.192</v>
      </c>
      <c r="K5880" s="508">
        <v>0.125</v>
      </c>
      <c r="L5880" s="508">
        <v>0.125</v>
      </c>
      <c r="M5880" s="508">
        <v>0.125</v>
      </c>
      <c r="N5880" s="508">
        <v>0.16200000000000001</v>
      </c>
      <c r="O5880" s="508">
        <v>0.123</v>
      </c>
      <c r="P5880" s="508">
        <v>8.7999999999999995E-2</v>
      </c>
      <c r="Q5880" s="508">
        <v>0.08</v>
      </c>
      <c r="R5880" s="508">
        <v>7.8E-2</v>
      </c>
      <c r="S5880" s="508">
        <v>0.09</v>
      </c>
      <c r="T5880" s="508">
        <v>7.3999999999999996E-2</v>
      </c>
      <c r="U5880" s="508">
        <v>6.9000000000000006E-2</v>
      </c>
      <c r="V5880" s="508">
        <v>3.7999999999999999E-2</v>
      </c>
      <c r="W5880" s="508">
        <v>0.05</v>
      </c>
      <c r="X5880" s="508">
        <v>2.4E-2</v>
      </c>
      <c r="Y5880" s="508">
        <v>2.4E-2</v>
      </c>
      <c r="Z5880" s="508">
        <v>0.02</v>
      </c>
      <c r="AA5880" s="508">
        <v>0.02</v>
      </c>
      <c r="AB5880" s="508">
        <v>1.7999999999999999E-2</v>
      </c>
      <c r="AC5880" s="508">
        <v>1.7999999999999999E-2</v>
      </c>
      <c r="AD5880" s="508">
        <v>1.6E-2</v>
      </c>
      <c r="AE5880" s="508">
        <v>1.6E-2</v>
      </c>
      <c r="AF5880" s="508">
        <v>0.01</v>
      </c>
      <c r="AG5880" s="508">
        <v>0.01</v>
      </c>
      <c r="AH5880" s="508">
        <v>0.01</v>
      </c>
      <c r="AI5880" s="492">
        <v>0.01</v>
      </c>
      <c r="AJ5880" s="485"/>
    </row>
    <row r="5881" spans="2:36">
      <c r="B5881" s="136" t="s">
        <v>481</v>
      </c>
      <c r="C5881" s="132" t="s">
        <v>1372</v>
      </c>
      <c r="D5881" s="132" t="s">
        <v>285</v>
      </c>
      <c r="E5881" s="508">
        <v>0.13700000000000001</v>
      </c>
      <c r="F5881" s="508">
        <v>0.14699999999999999</v>
      </c>
      <c r="G5881" s="508">
        <v>0.14699999999999999</v>
      </c>
      <c r="H5881" s="508">
        <v>0.14499999999999999</v>
      </c>
      <c r="I5881" s="508">
        <v>0.14499999999999999</v>
      </c>
      <c r="J5881" s="508">
        <v>0.125</v>
      </c>
      <c r="K5881" s="508">
        <v>8.6999999999999994E-2</v>
      </c>
      <c r="L5881" s="508">
        <v>8.6999999999999994E-2</v>
      </c>
      <c r="M5881" s="508">
        <v>8.6999999999999994E-2</v>
      </c>
      <c r="N5881" s="508">
        <v>0.1</v>
      </c>
      <c r="O5881" s="508">
        <v>8.1000000000000003E-2</v>
      </c>
      <c r="P5881" s="508">
        <v>0.06</v>
      </c>
      <c r="Q5881" s="508">
        <v>5.1999999999999998E-2</v>
      </c>
      <c r="R5881" s="508">
        <v>5.0999999999999997E-2</v>
      </c>
      <c r="S5881" s="508">
        <v>0.06</v>
      </c>
      <c r="T5881" s="508">
        <v>4.9000000000000002E-2</v>
      </c>
      <c r="U5881" s="508">
        <v>4.3999999999999997E-2</v>
      </c>
      <c r="V5881" s="508">
        <v>2.5000000000000001E-2</v>
      </c>
      <c r="W5881" s="508">
        <v>3.2000000000000001E-2</v>
      </c>
      <c r="X5881" s="508">
        <v>2.1000000000000001E-2</v>
      </c>
      <c r="Y5881" s="508">
        <v>2.1000000000000001E-2</v>
      </c>
      <c r="Z5881" s="508">
        <v>1.7999999999999999E-2</v>
      </c>
      <c r="AA5881" s="508">
        <v>1.7999999999999999E-2</v>
      </c>
      <c r="AB5881" s="508">
        <v>1.6E-2</v>
      </c>
      <c r="AC5881" s="508">
        <v>1.6E-2</v>
      </c>
      <c r="AD5881" s="508">
        <v>1.4E-2</v>
      </c>
      <c r="AE5881" s="508">
        <v>1.4E-2</v>
      </c>
      <c r="AF5881" s="508">
        <v>8.9999999999999993E-3</v>
      </c>
      <c r="AG5881" s="508">
        <v>8.9999999999999993E-3</v>
      </c>
      <c r="AH5881" s="508">
        <v>8.9999999999999993E-3</v>
      </c>
      <c r="AI5881" s="492">
        <v>8.9999999999999993E-3</v>
      </c>
      <c r="AJ5881" s="485"/>
    </row>
    <row r="5882" spans="2:36">
      <c r="B5882" s="136" t="s">
        <v>482</v>
      </c>
      <c r="C5882" s="132" t="s">
        <v>1372</v>
      </c>
      <c r="D5882" s="132" t="s">
        <v>285</v>
      </c>
      <c r="E5882" s="508">
        <v>0.105</v>
      </c>
      <c r="F5882" s="508">
        <v>0.115</v>
      </c>
      <c r="G5882" s="508">
        <v>0.115</v>
      </c>
      <c r="H5882" s="508">
        <v>0.111</v>
      </c>
      <c r="I5882" s="508">
        <v>0.111</v>
      </c>
      <c r="J5882" s="508">
        <v>9.8000000000000004E-2</v>
      </c>
      <c r="K5882" s="508">
        <v>6.8000000000000005E-2</v>
      </c>
      <c r="L5882" s="508">
        <v>6.8000000000000005E-2</v>
      </c>
      <c r="M5882" s="508">
        <v>6.8000000000000005E-2</v>
      </c>
      <c r="N5882" s="508">
        <v>7.5999999999999998E-2</v>
      </c>
      <c r="O5882" s="508">
        <v>6.4000000000000001E-2</v>
      </c>
      <c r="P5882" s="508">
        <v>4.8000000000000001E-2</v>
      </c>
      <c r="Q5882" s="508">
        <v>4.1000000000000002E-2</v>
      </c>
      <c r="R5882" s="508">
        <v>0.04</v>
      </c>
      <c r="S5882" s="508">
        <v>4.8000000000000001E-2</v>
      </c>
      <c r="T5882" s="508">
        <v>3.9E-2</v>
      </c>
      <c r="U5882" s="508">
        <v>3.5999999999999997E-2</v>
      </c>
      <c r="V5882" s="508">
        <v>0.02</v>
      </c>
      <c r="W5882" s="508">
        <v>2.5999999999999999E-2</v>
      </c>
      <c r="X5882" s="508">
        <v>2.1999999999999999E-2</v>
      </c>
      <c r="Y5882" s="508">
        <v>2.1999999999999999E-2</v>
      </c>
      <c r="Z5882" s="508">
        <v>1.7999999999999999E-2</v>
      </c>
      <c r="AA5882" s="508">
        <v>1.7999999999999999E-2</v>
      </c>
      <c r="AB5882" s="508">
        <v>1.6E-2</v>
      </c>
      <c r="AC5882" s="508">
        <v>1.6E-2</v>
      </c>
      <c r="AD5882" s="508">
        <v>1.4E-2</v>
      </c>
      <c r="AE5882" s="508">
        <v>1.4E-2</v>
      </c>
      <c r="AF5882" s="508">
        <v>8.9999999999999993E-3</v>
      </c>
      <c r="AG5882" s="508">
        <v>8.9999999999999993E-3</v>
      </c>
      <c r="AH5882" s="508">
        <v>8.9999999999999993E-3</v>
      </c>
      <c r="AI5882" s="492">
        <v>8.9999999999999993E-3</v>
      </c>
      <c r="AJ5882" s="485"/>
    </row>
    <row r="5883" spans="2:36">
      <c r="B5883" s="136" t="s">
        <v>483</v>
      </c>
      <c r="C5883" s="132" t="s">
        <v>1372</v>
      </c>
      <c r="D5883" s="132" t="s">
        <v>285</v>
      </c>
      <c r="E5883" s="508">
        <v>0.183</v>
      </c>
      <c r="F5883" s="508">
        <v>0.19700000000000001</v>
      </c>
      <c r="G5883" s="508">
        <v>0.19700000000000001</v>
      </c>
      <c r="H5883" s="508">
        <v>0.188</v>
      </c>
      <c r="I5883" s="508">
        <v>0.188</v>
      </c>
      <c r="J5883" s="508">
        <v>0.16700000000000001</v>
      </c>
      <c r="K5883" s="508">
        <v>0.12</v>
      </c>
      <c r="L5883" s="508">
        <v>0.12</v>
      </c>
      <c r="M5883" s="508">
        <v>0.12</v>
      </c>
      <c r="N5883" s="508">
        <v>0.124</v>
      </c>
      <c r="O5883" s="508">
        <v>0.11</v>
      </c>
      <c r="P5883" s="508">
        <v>8.3000000000000004E-2</v>
      </c>
      <c r="Q5883" s="508">
        <v>6.9000000000000006E-2</v>
      </c>
      <c r="R5883" s="508">
        <v>6.8000000000000005E-2</v>
      </c>
      <c r="S5883" s="508">
        <v>8.3000000000000004E-2</v>
      </c>
      <c r="T5883" s="508">
        <v>6.7000000000000004E-2</v>
      </c>
      <c r="U5883" s="508">
        <v>5.8999999999999997E-2</v>
      </c>
      <c r="V5883" s="508">
        <v>3.3000000000000002E-2</v>
      </c>
      <c r="W5883" s="508">
        <v>4.2999999999999997E-2</v>
      </c>
      <c r="X5883" s="508">
        <v>2.1999999999999999E-2</v>
      </c>
      <c r="Y5883" s="508">
        <v>2.1999999999999999E-2</v>
      </c>
      <c r="Z5883" s="508">
        <v>1.7999999999999999E-2</v>
      </c>
      <c r="AA5883" s="508">
        <v>1.7999999999999999E-2</v>
      </c>
      <c r="AB5883" s="508">
        <v>1.7000000000000001E-2</v>
      </c>
      <c r="AC5883" s="508">
        <v>1.7000000000000001E-2</v>
      </c>
      <c r="AD5883" s="508">
        <v>1.4999999999999999E-2</v>
      </c>
      <c r="AE5883" s="508">
        <v>1.4999999999999999E-2</v>
      </c>
      <c r="AF5883" s="508">
        <v>8.9999999999999993E-3</v>
      </c>
      <c r="AG5883" s="508">
        <v>8.9999999999999993E-3</v>
      </c>
      <c r="AH5883" s="508">
        <v>8.9999999999999993E-3</v>
      </c>
      <c r="AI5883" s="492">
        <v>8.9999999999999993E-3</v>
      </c>
      <c r="AJ5883" s="485"/>
    </row>
    <row r="5884" spans="2:36">
      <c r="B5884" s="136" t="s">
        <v>484</v>
      </c>
      <c r="C5884" s="132" t="s">
        <v>1372</v>
      </c>
      <c r="D5884" s="132" t="s">
        <v>285</v>
      </c>
      <c r="E5884" s="508">
        <v>0.20200000000000001</v>
      </c>
      <c r="F5884" s="508">
        <v>0.218</v>
      </c>
      <c r="G5884" s="508">
        <v>0.218</v>
      </c>
      <c r="H5884" s="508">
        <v>0.224</v>
      </c>
      <c r="I5884" s="508">
        <v>0.224</v>
      </c>
      <c r="J5884" s="508">
        <v>0.182</v>
      </c>
      <c r="K5884" s="508">
        <v>0.122</v>
      </c>
      <c r="L5884" s="508">
        <v>0.122</v>
      </c>
      <c r="M5884" s="508">
        <v>0.122</v>
      </c>
      <c r="N5884" s="508">
        <v>0.16500000000000001</v>
      </c>
      <c r="O5884" s="508">
        <v>0.11600000000000001</v>
      </c>
      <c r="P5884" s="508">
        <v>8.2000000000000003E-2</v>
      </c>
      <c r="Q5884" s="508">
        <v>7.8E-2</v>
      </c>
      <c r="R5884" s="508">
        <v>7.5999999999999998E-2</v>
      </c>
      <c r="S5884" s="508">
        <v>8.3000000000000004E-2</v>
      </c>
      <c r="T5884" s="508">
        <v>6.8000000000000005E-2</v>
      </c>
      <c r="U5884" s="508">
        <v>6.6000000000000003E-2</v>
      </c>
      <c r="V5884" s="508">
        <v>3.7999999999999999E-2</v>
      </c>
      <c r="W5884" s="508">
        <v>4.8000000000000001E-2</v>
      </c>
      <c r="X5884" s="508">
        <v>2.3E-2</v>
      </c>
      <c r="Y5884" s="508">
        <v>2.3E-2</v>
      </c>
      <c r="Z5884" s="508">
        <v>1.9E-2</v>
      </c>
      <c r="AA5884" s="508">
        <v>1.9E-2</v>
      </c>
      <c r="AB5884" s="508">
        <v>1.7000000000000001E-2</v>
      </c>
      <c r="AC5884" s="508">
        <v>1.7000000000000001E-2</v>
      </c>
      <c r="AD5884" s="508">
        <v>1.4999999999999999E-2</v>
      </c>
      <c r="AE5884" s="508">
        <v>1.4999999999999999E-2</v>
      </c>
      <c r="AF5884" s="508">
        <v>0.01</v>
      </c>
      <c r="AG5884" s="508">
        <v>0.01</v>
      </c>
      <c r="AH5884" s="508">
        <v>0.01</v>
      </c>
      <c r="AI5884" s="492">
        <v>0.01</v>
      </c>
      <c r="AJ5884" s="485"/>
    </row>
    <row r="5885" spans="2:36">
      <c r="B5885" s="136" t="s">
        <v>486</v>
      </c>
      <c r="C5885" s="132" t="s">
        <v>1372</v>
      </c>
      <c r="D5885" s="132" t="s">
        <v>285</v>
      </c>
      <c r="E5885" s="508">
        <v>0.14899999999999999</v>
      </c>
      <c r="F5885" s="508">
        <v>0.16200000000000001</v>
      </c>
      <c r="G5885" s="508">
        <v>0.16200000000000001</v>
      </c>
      <c r="H5885" s="508">
        <v>0.157</v>
      </c>
      <c r="I5885" s="508">
        <v>0.157</v>
      </c>
      <c r="J5885" s="508">
        <v>0.13700000000000001</v>
      </c>
      <c r="K5885" s="508">
        <v>9.6000000000000002E-2</v>
      </c>
      <c r="L5885" s="508">
        <v>9.6000000000000002E-2</v>
      </c>
      <c r="M5885" s="508">
        <v>9.6000000000000002E-2</v>
      </c>
      <c r="N5885" s="508">
        <v>0.107</v>
      </c>
      <c r="O5885" s="508">
        <v>0.09</v>
      </c>
      <c r="P5885" s="508">
        <v>6.7000000000000004E-2</v>
      </c>
      <c r="Q5885" s="508">
        <v>5.7000000000000002E-2</v>
      </c>
      <c r="R5885" s="508">
        <v>5.6000000000000001E-2</v>
      </c>
      <c r="S5885" s="508">
        <v>6.7000000000000004E-2</v>
      </c>
      <c r="T5885" s="508">
        <v>5.3999999999999999E-2</v>
      </c>
      <c r="U5885" s="508">
        <v>0.05</v>
      </c>
      <c r="V5885" s="508">
        <v>2.8000000000000001E-2</v>
      </c>
      <c r="W5885" s="508">
        <v>3.6999999999999998E-2</v>
      </c>
      <c r="X5885" s="508">
        <v>2.3E-2</v>
      </c>
      <c r="Y5885" s="508">
        <v>2.3E-2</v>
      </c>
      <c r="Z5885" s="508">
        <v>1.9E-2</v>
      </c>
      <c r="AA5885" s="508">
        <v>1.9E-2</v>
      </c>
      <c r="AB5885" s="508">
        <v>1.7000000000000001E-2</v>
      </c>
      <c r="AC5885" s="508">
        <v>1.7000000000000001E-2</v>
      </c>
      <c r="AD5885" s="508">
        <v>1.4999999999999999E-2</v>
      </c>
      <c r="AE5885" s="508">
        <v>1.4999999999999999E-2</v>
      </c>
      <c r="AF5885" s="508">
        <v>0.01</v>
      </c>
      <c r="AG5885" s="508">
        <v>0.01</v>
      </c>
      <c r="AH5885" s="508">
        <v>8.9999999999999993E-3</v>
      </c>
      <c r="AI5885" s="492">
        <v>8.9999999999999993E-3</v>
      </c>
      <c r="AJ5885" s="485"/>
    </row>
    <row r="5886" spans="2:36">
      <c r="B5886" s="136" t="s">
        <v>487</v>
      </c>
      <c r="C5886" s="132" t="s">
        <v>1372</v>
      </c>
      <c r="D5886" s="132" t="s">
        <v>285</v>
      </c>
      <c r="E5886" s="508">
        <v>0.193</v>
      </c>
      <c r="F5886" s="508">
        <v>0.214</v>
      </c>
      <c r="G5886" s="508">
        <v>0.214</v>
      </c>
      <c r="H5886" s="508">
        <v>0.20200000000000001</v>
      </c>
      <c r="I5886" s="508">
        <v>0.20200000000000001</v>
      </c>
      <c r="J5886" s="508">
        <v>0.185</v>
      </c>
      <c r="K5886" s="508">
        <v>0.127</v>
      </c>
      <c r="L5886" s="508">
        <v>0.127</v>
      </c>
      <c r="M5886" s="508">
        <v>0.127</v>
      </c>
      <c r="N5886" s="508">
        <v>0.13700000000000001</v>
      </c>
      <c r="O5886" s="508">
        <v>0.121</v>
      </c>
      <c r="P5886" s="508">
        <v>9.0999999999999998E-2</v>
      </c>
      <c r="Q5886" s="508">
        <v>7.5999999999999998E-2</v>
      </c>
      <c r="R5886" s="508">
        <v>7.4999999999999997E-2</v>
      </c>
      <c r="S5886" s="508">
        <v>9.1999999999999998E-2</v>
      </c>
      <c r="T5886" s="508">
        <v>7.4999999999999997E-2</v>
      </c>
      <c r="U5886" s="508">
        <v>6.6000000000000003E-2</v>
      </c>
      <c r="V5886" s="508">
        <v>3.5999999999999997E-2</v>
      </c>
      <c r="W5886" s="508">
        <v>4.7E-2</v>
      </c>
      <c r="X5886" s="508">
        <v>2.4E-2</v>
      </c>
      <c r="Y5886" s="508">
        <v>2.4E-2</v>
      </c>
      <c r="Z5886" s="508">
        <v>1.9E-2</v>
      </c>
      <c r="AA5886" s="508">
        <v>1.9E-2</v>
      </c>
      <c r="AB5886" s="508">
        <v>1.7000000000000001E-2</v>
      </c>
      <c r="AC5886" s="508">
        <v>1.7000000000000001E-2</v>
      </c>
      <c r="AD5886" s="508">
        <v>1.4999999999999999E-2</v>
      </c>
      <c r="AE5886" s="508">
        <v>1.4999999999999999E-2</v>
      </c>
      <c r="AF5886" s="508">
        <v>0.01</v>
      </c>
      <c r="AG5886" s="508">
        <v>0.01</v>
      </c>
      <c r="AH5886" s="508">
        <v>0.01</v>
      </c>
      <c r="AI5886" s="492">
        <v>0.01</v>
      </c>
      <c r="AJ5886" s="485"/>
    </row>
    <row r="5887" spans="2:36">
      <c r="B5887" s="136" t="s">
        <v>488</v>
      </c>
      <c r="C5887" s="132" t="s">
        <v>1372</v>
      </c>
      <c r="D5887" s="132" t="s">
        <v>285</v>
      </c>
      <c r="E5887" s="508">
        <v>0.159</v>
      </c>
      <c r="F5887" s="508">
        <v>0.17399999999999999</v>
      </c>
      <c r="G5887" s="508">
        <v>0.17399999999999999</v>
      </c>
      <c r="H5887" s="508">
        <v>0.17399999999999999</v>
      </c>
      <c r="I5887" s="508">
        <v>0.17399999999999999</v>
      </c>
      <c r="J5887" s="508">
        <v>0.14699999999999999</v>
      </c>
      <c r="K5887" s="508">
        <v>9.9000000000000005E-2</v>
      </c>
      <c r="L5887" s="508">
        <v>9.9000000000000005E-2</v>
      </c>
      <c r="M5887" s="508">
        <v>9.9000000000000005E-2</v>
      </c>
      <c r="N5887" s="508">
        <v>0.125</v>
      </c>
      <c r="O5887" s="508">
        <v>9.5000000000000001E-2</v>
      </c>
      <c r="P5887" s="508">
        <v>6.9000000000000006E-2</v>
      </c>
      <c r="Q5887" s="508">
        <v>6.2E-2</v>
      </c>
      <c r="R5887" s="508">
        <v>6.0999999999999999E-2</v>
      </c>
      <c r="S5887" s="508">
        <v>7.0000000000000007E-2</v>
      </c>
      <c r="T5887" s="508">
        <v>5.7000000000000002E-2</v>
      </c>
      <c r="U5887" s="508">
        <v>5.0999999999999997E-2</v>
      </c>
      <c r="V5887" s="508">
        <v>2.9000000000000001E-2</v>
      </c>
      <c r="W5887" s="508">
        <v>3.6999999999999998E-2</v>
      </c>
      <c r="X5887" s="508">
        <v>2.1999999999999999E-2</v>
      </c>
      <c r="Y5887" s="508">
        <v>2.1999999999999999E-2</v>
      </c>
      <c r="Z5887" s="508">
        <v>1.7999999999999999E-2</v>
      </c>
      <c r="AA5887" s="508">
        <v>1.7999999999999999E-2</v>
      </c>
      <c r="AB5887" s="508">
        <v>1.6E-2</v>
      </c>
      <c r="AC5887" s="508">
        <v>1.6E-2</v>
      </c>
      <c r="AD5887" s="508">
        <v>1.4E-2</v>
      </c>
      <c r="AE5887" s="508">
        <v>1.4E-2</v>
      </c>
      <c r="AF5887" s="508">
        <v>8.9999999999999993E-3</v>
      </c>
      <c r="AG5887" s="508">
        <v>8.9999999999999993E-3</v>
      </c>
      <c r="AH5887" s="508">
        <v>8.9999999999999993E-3</v>
      </c>
      <c r="AI5887" s="492">
        <v>8.9999999999999993E-3</v>
      </c>
      <c r="AJ5887" s="485"/>
    </row>
    <row r="5888" spans="2:36">
      <c r="B5888" s="136" t="s">
        <v>489</v>
      </c>
      <c r="C5888" s="132" t="s">
        <v>1372</v>
      </c>
      <c r="D5888" s="132" t="s">
        <v>285</v>
      </c>
      <c r="E5888" s="508">
        <v>0.20100000000000001</v>
      </c>
      <c r="F5888" s="508">
        <v>0.214</v>
      </c>
      <c r="G5888" s="508">
        <v>0.214</v>
      </c>
      <c r="H5888" s="508">
        <v>0.215</v>
      </c>
      <c r="I5888" s="508">
        <v>0.215</v>
      </c>
      <c r="J5888" s="508">
        <v>0.17799999999999999</v>
      </c>
      <c r="K5888" s="508">
        <v>0.124</v>
      </c>
      <c r="L5888" s="508">
        <v>0.124</v>
      </c>
      <c r="M5888" s="508">
        <v>0.124</v>
      </c>
      <c r="N5888" s="508">
        <v>0.152</v>
      </c>
      <c r="O5888" s="508">
        <v>0.115</v>
      </c>
      <c r="P5888" s="508">
        <v>8.4000000000000005E-2</v>
      </c>
      <c r="Q5888" s="508">
        <v>7.5999999999999998E-2</v>
      </c>
      <c r="R5888" s="508">
        <v>7.3999999999999996E-2</v>
      </c>
      <c r="S5888" s="508">
        <v>8.3000000000000004E-2</v>
      </c>
      <c r="T5888" s="508">
        <v>6.8000000000000005E-2</v>
      </c>
      <c r="U5888" s="508">
        <v>6.2E-2</v>
      </c>
      <c r="V5888" s="508">
        <v>3.5000000000000003E-2</v>
      </c>
      <c r="W5888" s="508">
        <v>4.4999999999999998E-2</v>
      </c>
      <c r="X5888" s="508">
        <v>2.1999999999999999E-2</v>
      </c>
      <c r="Y5888" s="508">
        <v>2.1999999999999999E-2</v>
      </c>
      <c r="Z5888" s="508">
        <v>1.7999999999999999E-2</v>
      </c>
      <c r="AA5888" s="508">
        <v>1.7999999999999999E-2</v>
      </c>
      <c r="AB5888" s="508">
        <v>1.6E-2</v>
      </c>
      <c r="AC5888" s="508">
        <v>1.6E-2</v>
      </c>
      <c r="AD5888" s="508">
        <v>1.4E-2</v>
      </c>
      <c r="AE5888" s="508">
        <v>1.4E-2</v>
      </c>
      <c r="AF5888" s="508">
        <v>8.9999999999999993E-3</v>
      </c>
      <c r="AG5888" s="508">
        <v>8.9999999999999993E-3</v>
      </c>
      <c r="AH5888" s="508">
        <v>8.9999999999999993E-3</v>
      </c>
      <c r="AI5888" s="492">
        <v>8.9999999999999993E-3</v>
      </c>
      <c r="AJ5888" s="485"/>
    </row>
    <row r="5889" spans="2:36">
      <c r="B5889" s="136" t="s">
        <v>490</v>
      </c>
      <c r="C5889" s="132" t="s">
        <v>1372</v>
      </c>
      <c r="D5889" s="132" t="s">
        <v>285</v>
      </c>
      <c r="E5889" s="508">
        <v>0.21299999999999999</v>
      </c>
      <c r="F5889" s="508">
        <v>0.24299999999999999</v>
      </c>
      <c r="G5889" s="508">
        <v>0.24299999999999999</v>
      </c>
      <c r="H5889" s="508">
        <v>0.23699999999999999</v>
      </c>
      <c r="I5889" s="508">
        <v>0.23699999999999999</v>
      </c>
      <c r="J5889" s="508">
        <v>0.20899999999999999</v>
      </c>
      <c r="K5889" s="508">
        <v>0.13600000000000001</v>
      </c>
      <c r="L5889" s="508">
        <v>0.13600000000000001</v>
      </c>
      <c r="M5889" s="508">
        <v>0.13600000000000001</v>
      </c>
      <c r="N5889" s="508">
        <v>0.17199999999999999</v>
      </c>
      <c r="O5889" s="508">
        <v>0.13400000000000001</v>
      </c>
      <c r="P5889" s="508">
        <v>9.7000000000000003E-2</v>
      </c>
      <c r="Q5889" s="508">
        <v>8.6999999999999994E-2</v>
      </c>
      <c r="R5889" s="508">
        <v>8.5000000000000006E-2</v>
      </c>
      <c r="S5889" s="508">
        <v>0.1</v>
      </c>
      <c r="T5889" s="508">
        <v>8.1000000000000003E-2</v>
      </c>
      <c r="U5889" s="508">
        <v>7.1999999999999995E-2</v>
      </c>
      <c r="V5889" s="508">
        <v>0.04</v>
      </c>
      <c r="W5889" s="508">
        <v>5.1999999999999998E-2</v>
      </c>
      <c r="X5889" s="508">
        <v>2.4E-2</v>
      </c>
      <c r="Y5889" s="508">
        <v>2.4E-2</v>
      </c>
      <c r="Z5889" s="508">
        <v>1.9E-2</v>
      </c>
      <c r="AA5889" s="508">
        <v>1.9E-2</v>
      </c>
      <c r="AB5889" s="508">
        <v>1.7000000000000001E-2</v>
      </c>
      <c r="AC5889" s="508">
        <v>1.7000000000000001E-2</v>
      </c>
      <c r="AD5889" s="508">
        <v>1.4999999999999999E-2</v>
      </c>
      <c r="AE5889" s="508">
        <v>1.4999999999999999E-2</v>
      </c>
      <c r="AF5889" s="508">
        <v>0.01</v>
      </c>
      <c r="AG5889" s="508">
        <v>0.01</v>
      </c>
      <c r="AH5889" s="508">
        <v>0.01</v>
      </c>
      <c r="AI5889" s="492">
        <v>0.01</v>
      </c>
      <c r="AJ5889" s="485"/>
    </row>
    <row r="5890" spans="2:36">
      <c r="B5890" s="136" t="s">
        <v>435</v>
      </c>
      <c r="C5890" s="132" t="s">
        <v>1373</v>
      </c>
      <c r="D5890" s="132" t="s">
        <v>285</v>
      </c>
      <c r="E5890" s="508">
        <v>1.8280000000000001</v>
      </c>
      <c r="F5890" s="508">
        <v>1.768</v>
      </c>
      <c r="G5890" s="508">
        <v>1.87</v>
      </c>
      <c r="H5890" s="508">
        <v>1.0740000000000001</v>
      </c>
      <c r="I5890" s="508">
        <v>1.0900000000000001</v>
      </c>
      <c r="J5890" s="508">
        <v>1.0349999999999999</v>
      </c>
      <c r="K5890" s="508">
        <v>0.622</v>
      </c>
      <c r="L5890" s="508">
        <v>0.66</v>
      </c>
      <c r="M5890" s="508">
        <v>0.64100000000000001</v>
      </c>
      <c r="N5890" s="508">
        <v>0.95199999999999996</v>
      </c>
      <c r="O5890" s="508">
        <v>0.93</v>
      </c>
      <c r="P5890" s="508">
        <v>0.88600000000000001</v>
      </c>
      <c r="Q5890" s="508">
        <v>0.875</v>
      </c>
      <c r="R5890" s="508">
        <v>0.51600000000000001</v>
      </c>
      <c r="S5890" s="508">
        <v>0.501</v>
      </c>
      <c r="T5890" s="508">
        <v>0.51300000000000001</v>
      </c>
      <c r="U5890" s="508">
        <v>0.504</v>
      </c>
      <c r="V5890" s="508">
        <v>0.50800000000000001</v>
      </c>
      <c r="W5890" s="508">
        <v>0.46200000000000002</v>
      </c>
      <c r="X5890" s="508">
        <v>0.45800000000000002</v>
      </c>
      <c r="Y5890" s="508">
        <v>0.46400000000000002</v>
      </c>
      <c r="Z5890" s="508">
        <v>0.46300000000000002</v>
      </c>
      <c r="AA5890" s="508">
        <v>1.9E-2</v>
      </c>
      <c r="AB5890" s="508">
        <v>1.7999999999999999E-2</v>
      </c>
      <c r="AC5890" s="508">
        <v>0.02</v>
      </c>
      <c r="AD5890" s="508">
        <v>1.7999999999999999E-2</v>
      </c>
      <c r="AE5890" s="508">
        <v>1.7000000000000001E-2</v>
      </c>
      <c r="AF5890" s="508">
        <v>0.01</v>
      </c>
      <c r="AG5890" s="508">
        <v>0.01</v>
      </c>
      <c r="AH5890" s="508">
        <v>0.01</v>
      </c>
      <c r="AI5890" s="492">
        <v>0.01</v>
      </c>
      <c r="AJ5890" s="485"/>
    </row>
    <row r="5891" spans="2:36">
      <c r="B5891" s="136" t="s">
        <v>436</v>
      </c>
      <c r="C5891" s="132" t="s">
        <v>1373</v>
      </c>
      <c r="D5891" s="132" t="s">
        <v>285</v>
      </c>
      <c r="E5891" s="508">
        <v>1.784</v>
      </c>
      <c r="F5891" s="508">
        <v>1.7250000000000001</v>
      </c>
      <c r="G5891" s="508">
        <v>1.8260000000000001</v>
      </c>
      <c r="H5891" s="508">
        <v>1.0409999999999999</v>
      </c>
      <c r="I5891" s="508">
        <v>1.056</v>
      </c>
      <c r="J5891" s="508">
        <v>1.0029999999999999</v>
      </c>
      <c r="K5891" s="508">
        <v>0.59399999999999997</v>
      </c>
      <c r="L5891" s="508">
        <v>0.63600000000000001</v>
      </c>
      <c r="M5891" s="508">
        <v>0.61499999999999999</v>
      </c>
      <c r="N5891" s="508">
        <v>0.90600000000000003</v>
      </c>
      <c r="O5891" s="508">
        <v>0.88700000000000001</v>
      </c>
      <c r="P5891" s="508">
        <v>0.85</v>
      </c>
      <c r="Q5891" s="508">
        <v>0.84</v>
      </c>
      <c r="R5891" s="508">
        <v>0.498</v>
      </c>
      <c r="S5891" s="508">
        <v>0.48399999999999999</v>
      </c>
      <c r="T5891" s="508">
        <v>0.49399999999999999</v>
      </c>
      <c r="U5891" s="508">
        <v>0.48599999999999999</v>
      </c>
      <c r="V5891" s="508">
        <v>0.49</v>
      </c>
      <c r="W5891" s="508">
        <v>0.44600000000000001</v>
      </c>
      <c r="X5891" s="508">
        <v>0.442</v>
      </c>
      <c r="Y5891" s="508">
        <v>0.44700000000000001</v>
      </c>
      <c r="Z5891" s="508">
        <v>0.44700000000000001</v>
      </c>
      <c r="AA5891" s="508">
        <v>1.9E-2</v>
      </c>
      <c r="AB5891" s="508">
        <v>1.7999999999999999E-2</v>
      </c>
      <c r="AC5891" s="508">
        <v>1.9E-2</v>
      </c>
      <c r="AD5891" s="508">
        <v>1.7000000000000001E-2</v>
      </c>
      <c r="AE5891" s="508">
        <v>1.7000000000000001E-2</v>
      </c>
      <c r="AF5891" s="508">
        <v>0.01</v>
      </c>
      <c r="AG5891" s="508">
        <v>0.01</v>
      </c>
      <c r="AH5891" s="508">
        <v>0.01</v>
      </c>
      <c r="AI5891" s="492">
        <v>0.01</v>
      </c>
      <c r="AJ5891" s="485"/>
    </row>
    <row r="5892" spans="2:36">
      <c r="B5892" s="136" t="s">
        <v>437</v>
      </c>
      <c r="C5892" s="132" t="s">
        <v>1373</v>
      </c>
      <c r="D5892" s="132" t="s">
        <v>285</v>
      </c>
      <c r="E5892" s="508">
        <v>1.847</v>
      </c>
      <c r="F5892" s="508">
        <v>1.786</v>
      </c>
      <c r="G5892" s="508">
        <v>1.89</v>
      </c>
      <c r="H5892" s="508">
        <v>1.0960000000000001</v>
      </c>
      <c r="I5892" s="508">
        <v>1.1120000000000001</v>
      </c>
      <c r="J5892" s="508">
        <v>1.0569999999999999</v>
      </c>
      <c r="K5892" s="508">
        <v>0.64400000000000002</v>
      </c>
      <c r="L5892" s="508">
        <v>0.68400000000000005</v>
      </c>
      <c r="M5892" s="508">
        <v>0.66400000000000003</v>
      </c>
      <c r="N5892" s="508">
        <v>0.98399999999999999</v>
      </c>
      <c r="O5892" s="508">
        <v>0.96399999999999997</v>
      </c>
      <c r="P5892" s="508">
        <v>0.92200000000000004</v>
      </c>
      <c r="Q5892" s="508">
        <v>0.91100000000000003</v>
      </c>
      <c r="R5892" s="508">
        <v>0.52400000000000002</v>
      </c>
      <c r="S5892" s="508">
        <v>0.50700000000000001</v>
      </c>
      <c r="T5892" s="508">
        <v>0.52100000000000002</v>
      </c>
      <c r="U5892" s="508">
        <v>0.51</v>
      </c>
      <c r="V5892" s="508">
        <v>0.51500000000000001</v>
      </c>
      <c r="W5892" s="508">
        <v>0.46899999999999997</v>
      </c>
      <c r="X5892" s="508">
        <v>0.46500000000000002</v>
      </c>
      <c r="Y5892" s="508">
        <v>0.47099999999999997</v>
      </c>
      <c r="Z5892" s="508">
        <v>0.47</v>
      </c>
      <c r="AA5892" s="508">
        <v>0.02</v>
      </c>
      <c r="AB5892" s="508">
        <v>1.9E-2</v>
      </c>
      <c r="AC5892" s="508">
        <v>0.02</v>
      </c>
      <c r="AD5892" s="508">
        <v>1.7999999999999999E-2</v>
      </c>
      <c r="AE5892" s="508">
        <v>1.7000000000000001E-2</v>
      </c>
      <c r="AF5892" s="508">
        <v>1.0999999999999999E-2</v>
      </c>
      <c r="AG5892" s="508">
        <v>0.01</v>
      </c>
      <c r="AH5892" s="508">
        <v>0.01</v>
      </c>
      <c r="AI5892" s="492">
        <v>0.01</v>
      </c>
      <c r="AJ5892" s="485"/>
    </row>
    <row r="5893" spans="2:36">
      <c r="B5893" s="136" t="s">
        <v>438</v>
      </c>
      <c r="C5893" s="132" t="s">
        <v>1373</v>
      </c>
      <c r="D5893" s="132" t="s">
        <v>285</v>
      </c>
      <c r="E5893" s="508">
        <v>1.7649999999999999</v>
      </c>
      <c r="F5893" s="508">
        <v>1.706</v>
      </c>
      <c r="G5893" s="508">
        <v>1.806</v>
      </c>
      <c r="H5893" s="508">
        <v>1.0229999999999999</v>
      </c>
      <c r="I5893" s="508">
        <v>1.038</v>
      </c>
      <c r="J5893" s="508">
        <v>0.98499999999999999</v>
      </c>
      <c r="K5893" s="508">
        <v>0.57499999999999996</v>
      </c>
      <c r="L5893" s="508">
        <v>0.61799999999999999</v>
      </c>
      <c r="M5893" s="508">
        <v>0.59699999999999998</v>
      </c>
      <c r="N5893" s="508">
        <v>0.876</v>
      </c>
      <c r="O5893" s="508">
        <v>0.85899999999999999</v>
      </c>
      <c r="P5893" s="508">
        <v>0.82299999999999995</v>
      </c>
      <c r="Q5893" s="508">
        <v>0.81399999999999995</v>
      </c>
      <c r="R5893" s="508">
        <v>0.48799999999999999</v>
      </c>
      <c r="S5893" s="508">
        <v>0.47499999999999998</v>
      </c>
      <c r="T5893" s="508">
        <v>0.48499999999999999</v>
      </c>
      <c r="U5893" s="508">
        <v>0.47799999999999998</v>
      </c>
      <c r="V5893" s="508">
        <v>0.48099999999999998</v>
      </c>
      <c r="W5893" s="508">
        <v>0.438</v>
      </c>
      <c r="X5893" s="508">
        <v>0.434</v>
      </c>
      <c r="Y5893" s="508">
        <v>0.439</v>
      </c>
      <c r="Z5893" s="508">
        <v>0.438</v>
      </c>
      <c r="AA5893" s="508">
        <v>1.9E-2</v>
      </c>
      <c r="AB5893" s="508">
        <v>1.7999999999999999E-2</v>
      </c>
      <c r="AC5893" s="508">
        <v>1.9E-2</v>
      </c>
      <c r="AD5893" s="508">
        <v>1.7000000000000001E-2</v>
      </c>
      <c r="AE5893" s="508">
        <v>1.6E-2</v>
      </c>
      <c r="AF5893" s="508">
        <v>0.01</v>
      </c>
      <c r="AG5893" s="508">
        <v>0.01</v>
      </c>
      <c r="AH5893" s="508">
        <v>0.01</v>
      </c>
      <c r="AI5893" s="492">
        <v>0.01</v>
      </c>
      <c r="AJ5893" s="485"/>
    </row>
    <row r="5894" spans="2:36">
      <c r="B5894" s="136" t="s">
        <v>439</v>
      </c>
      <c r="C5894" s="132" t="s">
        <v>1373</v>
      </c>
      <c r="D5894" s="132" t="s">
        <v>285</v>
      </c>
      <c r="E5894" s="508">
        <v>1.85</v>
      </c>
      <c r="F5894" s="508">
        <v>1.7889999999999999</v>
      </c>
      <c r="G5894" s="508">
        <v>1.893</v>
      </c>
      <c r="H5894" s="508">
        <v>1.0980000000000001</v>
      </c>
      <c r="I5894" s="508">
        <v>1.113</v>
      </c>
      <c r="J5894" s="508">
        <v>1.06</v>
      </c>
      <c r="K5894" s="508">
        <v>0.64200000000000002</v>
      </c>
      <c r="L5894" s="508">
        <v>0.68300000000000005</v>
      </c>
      <c r="M5894" s="508">
        <v>0.66300000000000003</v>
      </c>
      <c r="N5894" s="508">
        <v>0.98</v>
      </c>
      <c r="O5894" s="508">
        <v>0.96099999999999997</v>
      </c>
      <c r="P5894" s="508">
        <v>0.92100000000000004</v>
      </c>
      <c r="Q5894" s="508">
        <v>0.91100000000000003</v>
      </c>
      <c r="R5894" s="508">
        <v>0.52300000000000002</v>
      </c>
      <c r="S5894" s="508">
        <v>0.50600000000000001</v>
      </c>
      <c r="T5894" s="508">
        <v>0.52</v>
      </c>
      <c r="U5894" s="508">
        <v>0.50900000000000001</v>
      </c>
      <c r="V5894" s="508">
        <v>0.51400000000000001</v>
      </c>
      <c r="W5894" s="508">
        <v>0.46800000000000003</v>
      </c>
      <c r="X5894" s="508">
        <v>0.46400000000000002</v>
      </c>
      <c r="Y5894" s="508">
        <v>0.47</v>
      </c>
      <c r="Z5894" s="508">
        <v>0.46899999999999997</v>
      </c>
      <c r="AA5894" s="508">
        <v>0.02</v>
      </c>
      <c r="AB5894" s="508">
        <v>1.9E-2</v>
      </c>
      <c r="AC5894" s="508">
        <v>0.02</v>
      </c>
      <c r="AD5894" s="508">
        <v>1.7999999999999999E-2</v>
      </c>
      <c r="AE5894" s="508">
        <v>1.7000000000000001E-2</v>
      </c>
      <c r="AF5894" s="508">
        <v>1.0999999999999999E-2</v>
      </c>
      <c r="AG5894" s="508">
        <v>0.01</v>
      </c>
      <c r="AH5894" s="508">
        <v>0.01</v>
      </c>
      <c r="AI5894" s="492">
        <v>0.01</v>
      </c>
      <c r="AJ5894" s="485"/>
    </row>
    <row r="5895" spans="2:36">
      <c r="B5895" s="136" t="s">
        <v>440</v>
      </c>
      <c r="C5895" s="132" t="s">
        <v>1373</v>
      </c>
      <c r="D5895" s="132" t="s">
        <v>285</v>
      </c>
      <c r="E5895" s="508">
        <v>1.8260000000000001</v>
      </c>
      <c r="F5895" s="508">
        <v>1.7649999999999999</v>
      </c>
      <c r="G5895" s="508">
        <v>1.8680000000000001</v>
      </c>
      <c r="H5895" s="508">
        <v>1.077</v>
      </c>
      <c r="I5895" s="508">
        <v>1.0920000000000001</v>
      </c>
      <c r="J5895" s="508">
        <v>1.038</v>
      </c>
      <c r="K5895" s="508">
        <v>0.624</v>
      </c>
      <c r="L5895" s="508">
        <v>0.66500000000000004</v>
      </c>
      <c r="M5895" s="508">
        <v>0.64500000000000002</v>
      </c>
      <c r="N5895" s="508">
        <v>0.95299999999999996</v>
      </c>
      <c r="O5895" s="508">
        <v>0.93300000000000005</v>
      </c>
      <c r="P5895" s="508">
        <v>0.89400000000000002</v>
      </c>
      <c r="Q5895" s="508">
        <v>0.88400000000000001</v>
      </c>
      <c r="R5895" s="508">
        <v>0.51400000000000001</v>
      </c>
      <c r="S5895" s="508">
        <v>0.498</v>
      </c>
      <c r="T5895" s="508">
        <v>0.51100000000000001</v>
      </c>
      <c r="U5895" s="508">
        <v>0.501</v>
      </c>
      <c r="V5895" s="508">
        <v>0.50600000000000001</v>
      </c>
      <c r="W5895" s="508">
        <v>0.46</v>
      </c>
      <c r="X5895" s="508">
        <v>0.45600000000000002</v>
      </c>
      <c r="Y5895" s="508">
        <v>0.46200000000000002</v>
      </c>
      <c r="Z5895" s="508">
        <v>0.46100000000000002</v>
      </c>
      <c r="AA5895" s="508">
        <v>0.02</v>
      </c>
      <c r="AB5895" s="508">
        <v>1.7999999999999999E-2</v>
      </c>
      <c r="AC5895" s="508">
        <v>0.02</v>
      </c>
      <c r="AD5895" s="508">
        <v>1.7999999999999999E-2</v>
      </c>
      <c r="AE5895" s="508">
        <v>1.7000000000000001E-2</v>
      </c>
      <c r="AF5895" s="508">
        <v>0.01</v>
      </c>
      <c r="AG5895" s="508">
        <v>0.01</v>
      </c>
      <c r="AH5895" s="508">
        <v>0.01</v>
      </c>
      <c r="AI5895" s="492">
        <v>0.01</v>
      </c>
      <c r="AJ5895" s="485"/>
    </row>
    <row r="5896" spans="2:36">
      <c r="B5896" s="136" t="s">
        <v>441</v>
      </c>
      <c r="C5896" s="132" t="s">
        <v>1373</v>
      </c>
      <c r="D5896" s="132" t="s">
        <v>285</v>
      </c>
      <c r="E5896" s="508">
        <v>1.8560000000000001</v>
      </c>
      <c r="F5896" s="508">
        <v>1.794</v>
      </c>
      <c r="G5896" s="508">
        <v>1.899</v>
      </c>
      <c r="H5896" s="508">
        <v>1.103</v>
      </c>
      <c r="I5896" s="508">
        <v>1.1180000000000001</v>
      </c>
      <c r="J5896" s="508">
        <v>1.0640000000000001</v>
      </c>
      <c r="K5896" s="508">
        <v>0.64500000000000002</v>
      </c>
      <c r="L5896" s="508">
        <v>0.68600000000000005</v>
      </c>
      <c r="M5896" s="508">
        <v>0.66600000000000004</v>
      </c>
      <c r="N5896" s="508">
        <v>0.98399999999999999</v>
      </c>
      <c r="O5896" s="508">
        <v>0.96499999999999997</v>
      </c>
      <c r="P5896" s="508">
        <v>0.92700000000000005</v>
      </c>
      <c r="Q5896" s="508">
        <v>0.91700000000000004</v>
      </c>
      <c r="R5896" s="508">
        <v>0.52500000000000002</v>
      </c>
      <c r="S5896" s="508">
        <v>0.50700000000000001</v>
      </c>
      <c r="T5896" s="508">
        <v>0.52100000000000002</v>
      </c>
      <c r="U5896" s="508">
        <v>0.51100000000000001</v>
      </c>
      <c r="V5896" s="508">
        <v>0.51600000000000001</v>
      </c>
      <c r="W5896" s="508">
        <v>0.47</v>
      </c>
      <c r="X5896" s="508">
        <v>0.46500000000000002</v>
      </c>
      <c r="Y5896" s="508">
        <v>0.47099999999999997</v>
      </c>
      <c r="Z5896" s="508">
        <v>0.47099999999999997</v>
      </c>
      <c r="AA5896" s="508">
        <v>0.02</v>
      </c>
      <c r="AB5896" s="508">
        <v>1.9E-2</v>
      </c>
      <c r="AC5896" s="508">
        <v>0.02</v>
      </c>
      <c r="AD5896" s="508">
        <v>1.7999999999999999E-2</v>
      </c>
      <c r="AE5896" s="508">
        <v>1.7999999999999999E-2</v>
      </c>
      <c r="AF5896" s="508">
        <v>1.0999999999999999E-2</v>
      </c>
      <c r="AG5896" s="508">
        <v>0.01</v>
      </c>
      <c r="AH5896" s="508">
        <v>0.01</v>
      </c>
      <c r="AI5896" s="492">
        <v>0.01</v>
      </c>
      <c r="AJ5896" s="485"/>
    </row>
    <row r="5897" spans="2:36">
      <c r="B5897" s="136" t="s">
        <v>443</v>
      </c>
      <c r="C5897" s="132" t="s">
        <v>1373</v>
      </c>
      <c r="D5897" s="132" t="s">
        <v>285</v>
      </c>
      <c r="E5897" s="508">
        <v>1.8979999999999999</v>
      </c>
      <c r="F5897" s="508">
        <v>1.837</v>
      </c>
      <c r="G5897" s="508">
        <v>1.9410000000000001</v>
      </c>
      <c r="H5897" s="508">
        <v>1.131</v>
      </c>
      <c r="I5897" s="508">
        <v>1.147</v>
      </c>
      <c r="J5897" s="508">
        <v>1.089</v>
      </c>
      <c r="K5897" s="508">
        <v>0.67</v>
      </c>
      <c r="L5897" s="508">
        <v>0.70599999999999996</v>
      </c>
      <c r="M5897" s="508">
        <v>0.68799999999999994</v>
      </c>
      <c r="N5897" s="508">
        <v>1.03</v>
      </c>
      <c r="O5897" s="508">
        <v>1.004</v>
      </c>
      <c r="P5897" s="508">
        <v>0.95299999999999996</v>
      </c>
      <c r="Q5897" s="508">
        <v>0.93899999999999995</v>
      </c>
      <c r="R5897" s="508">
        <v>0.54600000000000004</v>
      </c>
      <c r="S5897" s="508">
        <v>0.52800000000000002</v>
      </c>
      <c r="T5897" s="508">
        <v>0.54200000000000004</v>
      </c>
      <c r="U5897" s="508">
        <v>0.53100000000000003</v>
      </c>
      <c r="V5897" s="508">
        <v>0.53600000000000003</v>
      </c>
      <c r="W5897" s="508">
        <v>0.48799999999999999</v>
      </c>
      <c r="X5897" s="508">
        <v>0.48399999999999999</v>
      </c>
      <c r="Y5897" s="508">
        <v>0.49</v>
      </c>
      <c r="Z5897" s="508">
        <v>0.48899999999999999</v>
      </c>
      <c r="AA5897" s="508">
        <v>0.02</v>
      </c>
      <c r="AB5897" s="508">
        <v>1.9E-2</v>
      </c>
      <c r="AC5897" s="508">
        <v>2.1000000000000001E-2</v>
      </c>
      <c r="AD5897" s="508">
        <v>1.9E-2</v>
      </c>
      <c r="AE5897" s="508">
        <v>1.7999999999999999E-2</v>
      </c>
      <c r="AF5897" s="508">
        <v>1.0999999999999999E-2</v>
      </c>
      <c r="AG5897" s="508">
        <v>1.0999999999999999E-2</v>
      </c>
      <c r="AH5897" s="508">
        <v>1.0999999999999999E-2</v>
      </c>
      <c r="AI5897" s="492">
        <v>1.0999999999999999E-2</v>
      </c>
      <c r="AJ5897" s="485"/>
    </row>
    <row r="5898" spans="2:36">
      <c r="B5898" s="136" t="s">
        <v>445</v>
      </c>
      <c r="C5898" s="132" t="s">
        <v>1373</v>
      </c>
      <c r="D5898" s="132" t="s">
        <v>285</v>
      </c>
      <c r="E5898" s="508">
        <v>2.0259999999999998</v>
      </c>
      <c r="F5898" s="508">
        <v>1.9610000000000001</v>
      </c>
      <c r="G5898" s="508">
        <v>2.0710000000000002</v>
      </c>
      <c r="H5898" s="508">
        <v>1.2470000000000001</v>
      </c>
      <c r="I5898" s="508">
        <v>1.264</v>
      </c>
      <c r="J5898" s="508">
        <v>1.2030000000000001</v>
      </c>
      <c r="K5898" s="508">
        <v>0.78200000000000003</v>
      </c>
      <c r="L5898" s="508">
        <v>0.81100000000000005</v>
      </c>
      <c r="M5898" s="508">
        <v>0.79700000000000004</v>
      </c>
      <c r="N5898" s="508">
        <v>1.2030000000000001</v>
      </c>
      <c r="O5898" s="508">
        <v>1.1719999999999999</v>
      </c>
      <c r="P5898" s="508">
        <v>1.111</v>
      </c>
      <c r="Q5898" s="508">
        <v>1.095</v>
      </c>
      <c r="R5898" s="508">
        <v>0.60199999999999998</v>
      </c>
      <c r="S5898" s="508">
        <v>0.57799999999999996</v>
      </c>
      <c r="T5898" s="508">
        <v>0.59699999999999998</v>
      </c>
      <c r="U5898" s="508">
        <v>0.58299999999999996</v>
      </c>
      <c r="V5898" s="508">
        <v>0.59</v>
      </c>
      <c r="W5898" s="508">
        <v>0.53800000000000003</v>
      </c>
      <c r="X5898" s="508">
        <v>0.53200000000000003</v>
      </c>
      <c r="Y5898" s="508">
        <v>0.54100000000000004</v>
      </c>
      <c r="Z5898" s="508">
        <v>0.54</v>
      </c>
      <c r="AA5898" s="508">
        <v>2.1999999999999999E-2</v>
      </c>
      <c r="AB5898" s="508">
        <v>2.1000000000000001E-2</v>
      </c>
      <c r="AC5898" s="508">
        <v>2.3E-2</v>
      </c>
      <c r="AD5898" s="508">
        <v>0.02</v>
      </c>
      <c r="AE5898" s="508">
        <v>0.02</v>
      </c>
      <c r="AF5898" s="508">
        <v>1.2E-2</v>
      </c>
      <c r="AG5898" s="508">
        <v>1.2E-2</v>
      </c>
      <c r="AH5898" s="508">
        <v>1.2E-2</v>
      </c>
      <c r="AI5898" s="492">
        <v>1.2E-2</v>
      </c>
      <c r="AJ5898" s="485"/>
    </row>
    <row r="5899" spans="2:36">
      <c r="B5899" s="136" t="s">
        <v>446</v>
      </c>
      <c r="C5899" s="132" t="s">
        <v>1373</v>
      </c>
      <c r="D5899" s="132" t="s">
        <v>285</v>
      </c>
      <c r="E5899" s="508">
        <v>1.9339999999999999</v>
      </c>
      <c r="F5899" s="508">
        <v>1.871</v>
      </c>
      <c r="G5899" s="508">
        <v>1.978</v>
      </c>
      <c r="H5899" s="508">
        <v>1.1679999999999999</v>
      </c>
      <c r="I5899" s="508">
        <v>1.1839999999999999</v>
      </c>
      <c r="J5899" s="508">
        <v>1.127</v>
      </c>
      <c r="K5899" s="508">
        <v>0.71</v>
      </c>
      <c r="L5899" s="508">
        <v>0.74399999999999999</v>
      </c>
      <c r="M5899" s="508">
        <v>0.72699999999999998</v>
      </c>
      <c r="N5899" s="508">
        <v>1.0900000000000001</v>
      </c>
      <c r="O5899" s="508">
        <v>1.0640000000000001</v>
      </c>
      <c r="P5899" s="508">
        <v>1.0109999999999999</v>
      </c>
      <c r="Q5899" s="508">
        <v>0.997</v>
      </c>
      <c r="R5899" s="508">
        <v>0.56299999999999994</v>
      </c>
      <c r="S5899" s="508">
        <v>0.54300000000000004</v>
      </c>
      <c r="T5899" s="508">
        <v>0.55900000000000005</v>
      </c>
      <c r="U5899" s="508">
        <v>0.54600000000000004</v>
      </c>
      <c r="V5899" s="508">
        <v>0.55200000000000005</v>
      </c>
      <c r="W5899" s="508">
        <v>0.503</v>
      </c>
      <c r="X5899" s="508">
        <v>0.498</v>
      </c>
      <c r="Y5899" s="508">
        <v>0.505</v>
      </c>
      <c r="Z5899" s="508">
        <v>0.505</v>
      </c>
      <c r="AA5899" s="508">
        <v>2.1000000000000001E-2</v>
      </c>
      <c r="AB5899" s="508">
        <v>0.02</v>
      </c>
      <c r="AC5899" s="508">
        <v>2.1000000000000001E-2</v>
      </c>
      <c r="AD5899" s="508">
        <v>1.9E-2</v>
      </c>
      <c r="AE5899" s="508">
        <v>1.7999999999999999E-2</v>
      </c>
      <c r="AF5899" s="508">
        <v>1.0999999999999999E-2</v>
      </c>
      <c r="AG5899" s="508">
        <v>1.0999999999999999E-2</v>
      </c>
      <c r="AH5899" s="508">
        <v>1.0999999999999999E-2</v>
      </c>
      <c r="AI5899" s="492">
        <v>1.0999999999999999E-2</v>
      </c>
      <c r="AJ5899" s="485"/>
    </row>
    <row r="5900" spans="2:36">
      <c r="B5900" s="136" t="s">
        <v>448</v>
      </c>
      <c r="C5900" s="132" t="s">
        <v>1373</v>
      </c>
      <c r="D5900" s="132" t="s">
        <v>285</v>
      </c>
      <c r="E5900" s="508">
        <v>1.792</v>
      </c>
      <c r="F5900" s="508">
        <v>1.732</v>
      </c>
      <c r="G5900" s="508">
        <v>1.8340000000000001</v>
      </c>
      <c r="H5900" s="508">
        <v>1.046</v>
      </c>
      <c r="I5900" s="508">
        <v>1.0609999999999999</v>
      </c>
      <c r="J5900" s="508">
        <v>1.008</v>
      </c>
      <c r="K5900" s="508">
        <v>0.59599999999999997</v>
      </c>
      <c r="L5900" s="508">
        <v>0.63700000000000001</v>
      </c>
      <c r="M5900" s="508">
        <v>0.61699999999999999</v>
      </c>
      <c r="N5900" s="508">
        <v>0.90900000000000003</v>
      </c>
      <c r="O5900" s="508">
        <v>0.89</v>
      </c>
      <c r="P5900" s="508">
        <v>0.85199999999999998</v>
      </c>
      <c r="Q5900" s="508">
        <v>0.84199999999999997</v>
      </c>
      <c r="R5900" s="508">
        <v>0.5</v>
      </c>
      <c r="S5900" s="508">
        <v>0.48599999999999999</v>
      </c>
      <c r="T5900" s="508">
        <v>0.497</v>
      </c>
      <c r="U5900" s="508">
        <v>0.48799999999999999</v>
      </c>
      <c r="V5900" s="508">
        <v>0.49299999999999999</v>
      </c>
      <c r="W5900" s="508">
        <v>0.44800000000000001</v>
      </c>
      <c r="X5900" s="508">
        <v>0.44400000000000001</v>
      </c>
      <c r="Y5900" s="508">
        <v>0.44900000000000001</v>
      </c>
      <c r="Z5900" s="508">
        <v>0.44900000000000001</v>
      </c>
      <c r="AA5900" s="508">
        <v>1.9E-2</v>
      </c>
      <c r="AB5900" s="508">
        <v>1.7999999999999999E-2</v>
      </c>
      <c r="AC5900" s="508">
        <v>1.9E-2</v>
      </c>
      <c r="AD5900" s="508">
        <v>1.7000000000000001E-2</v>
      </c>
      <c r="AE5900" s="508">
        <v>1.7000000000000001E-2</v>
      </c>
      <c r="AF5900" s="508">
        <v>0.01</v>
      </c>
      <c r="AG5900" s="508">
        <v>0.01</v>
      </c>
      <c r="AH5900" s="508">
        <v>0.01</v>
      </c>
      <c r="AI5900" s="492">
        <v>0.01</v>
      </c>
      <c r="AJ5900" s="485"/>
    </row>
    <row r="5901" spans="2:36">
      <c r="B5901" s="136" t="s">
        <v>449</v>
      </c>
      <c r="C5901" s="132" t="s">
        <v>1373</v>
      </c>
      <c r="D5901" s="132" t="s">
        <v>285</v>
      </c>
      <c r="E5901" s="508">
        <v>1.91</v>
      </c>
      <c r="F5901" s="508">
        <v>1.8480000000000001</v>
      </c>
      <c r="G5901" s="508">
        <v>1.9530000000000001</v>
      </c>
      <c r="H5901" s="508">
        <v>1.1439999999999999</v>
      </c>
      <c r="I5901" s="508">
        <v>1.1599999999999999</v>
      </c>
      <c r="J5901" s="508">
        <v>1.1020000000000001</v>
      </c>
      <c r="K5901" s="508">
        <v>0.68300000000000005</v>
      </c>
      <c r="L5901" s="508">
        <v>0.71899999999999997</v>
      </c>
      <c r="M5901" s="508">
        <v>0.70099999999999996</v>
      </c>
      <c r="N5901" s="508">
        <v>1.0489999999999999</v>
      </c>
      <c r="O5901" s="508">
        <v>1.024</v>
      </c>
      <c r="P5901" s="508">
        <v>0.97299999999999998</v>
      </c>
      <c r="Q5901" s="508">
        <v>0.96</v>
      </c>
      <c r="R5901" s="508">
        <v>0.55100000000000005</v>
      </c>
      <c r="S5901" s="508">
        <v>0.53200000000000003</v>
      </c>
      <c r="T5901" s="508">
        <v>0.54700000000000004</v>
      </c>
      <c r="U5901" s="508">
        <v>0.53600000000000003</v>
      </c>
      <c r="V5901" s="508">
        <v>0.54100000000000004</v>
      </c>
      <c r="W5901" s="508">
        <v>0.49299999999999999</v>
      </c>
      <c r="X5901" s="508">
        <v>0.48799999999999999</v>
      </c>
      <c r="Y5901" s="508">
        <v>0.49399999999999999</v>
      </c>
      <c r="Z5901" s="508">
        <v>0.49399999999999999</v>
      </c>
      <c r="AA5901" s="508">
        <v>2.1000000000000001E-2</v>
      </c>
      <c r="AB5901" s="508">
        <v>1.9E-2</v>
      </c>
      <c r="AC5901" s="508">
        <v>2.1000000000000001E-2</v>
      </c>
      <c r="AD5901" s="508">
        <v>1.9E-2</v>
      </c>
      <c r="AE5901" s="508">
        <v>1.7999999999999999E-2</v>
      </c>
      <c r="AF5901" s="508">
        <v>1.0999999999999999E-2</v>
      </c>
      <c r="AG5901" s="508">
        <v>1.0999999999999999E-2</v>
      </c>
      <c r="AH5901" s="508">
        <v>1.0999999999999999E-2</v>
      </c>
      <c r="AI5901" s="492">
        <v>1.0999999999999999E-2</v>
      </c>
      <c r="AJ5901" s="485"/>
    </row>
    <row r="5902" spans="2:36">
      <c r="B5902" s="136" t="s">
        <v>450</v>
      </c>
      <c r="C5902" s="132" t="s">
        <v>1373</v>
      </c>
      <c r="D5902" s="132" t="s">
        <v>285</v>
      </c>
      <c r="E5902" s="508">
        <v>1.788</v>
      </c>
      <c r="F5902" s="508">
        <v>1.7290000000000001</v>
      </c>
      <c r="G5902" s="508">
        <v>1.83</v>
      </c>
      <c r="H5902" s="508">
        <v>1.042</v>
      </c>
      <c r="I5902" s="508">
        <v>1.0569999999999999</v>
      </c>
      <c r="J5902" s="508">
        <v>1.004</v>
      </c>
      <c r="K5902" s="508">
        <v>0.59299999999999997</v>
      </c>
      <c r="L5902" s="508">
        <v>0.63400000000000001</v>
      </c>
      <c r="M5902" s="508">
        <v>0.61399999999999999</v>
      </c>
      <c r="N5902" s="508">
        <v>0.90600000000000003</v>
      </c>
      <c r="O5902" s="508">
        <v>0.88700000000000001</v>
      </c>
      <c r="P5902" s="508">
        <v>0.84799999999999998</v>
      </c>
      <c r="Q5902" s="508">
        <v>0.83699999999999997</v>
      </c>
      <c r="R5902" s="508">
        <v>0.499</v>
      </c>
      <c r="S5902" s="508">
        <v>0.48599999999999999</v>
      </c>
      <c r="T5902" s="508">
        <v>0.496</v>
      </c>
      <c r="U5902" s="508">
        <v>0.48799999999999999</v>
      </c>
      <c r="V5902" s="508">
        <v>0.49199999999999999</v>
      </c>
      <c r="W5902" s="508">
        <v>0.44700000000000001</v>
      </c>
      <c r="X5902" s="508">
        <v>0.44400000000000001</v>
      </c>
      <c r="Y5902" s="508">
        <v>0.44900000000000001</v>
      </c>
      <c r="Z5902" s="508">
        <v>0.44800000000000001</v>
      </c>
      <c r="AA5902" s="508">
        <v>1.9E-2</v>
      </c>
      <c r="AB5902" s="508">
        <v>1.7999999999999999E-2</v>
      </c>
      <c r="AC5902" s="508">
        <v>1.9E-2</v>
      </c>
      <c r="AD5902" s="508">
        <v>1.7000000000000001E-2</v>
      </c>
      <c r="AE5902" s="508">
        <v>1.7000000000000001E-2</v>
      </c>
      <c r="AF5902" s="508">
        <v>0.01</v>
      </c>
      <c r="AG5902" s="508">
        <v>0.01</v>
      </c>
      <c r="AH5902" s="508">
        <v>0.01</v>
      </c>
      <c r="AI5902" s="492">
        <v>0.01</v>
      </c>
      <c r="AJ5902" s="485"/>
    </row>
    <row r="5903" spans="2:36">
      <c r="B5903" s="136" t="s">
        <v>451</v>
      </c>
      <c r="C5903" s="132" t="s">
        <v>1373</v>
      </c>
      <c r="D5903" s="132" t="s">
        <v>285</v>
      </c>
      <c r="E5903" s="508">
        <v>1.956</v>
      </c>
      <c r="F5903" s="508">
        <v>1.893</v>
      </c>
      <c r="G5903" s="508">
        <v>2.0009999999999999</v>
      </c>
      <c r="H5903" s="508">
        <v>1.1879999999999999</v>
      </c>
      <c r="I5903" s="508">
        <v>1.204</v>
      </c>
      <c r="J5903" s="508">
        <v>1.1459999999999999</v>
      </c>
      <c r="K5903" s="508">
        <v>0.72599999999999998</v>
      </c>
      <c r="L5903" s="508">
        <v>0.76</v>
      </c>
      <c r="M5903" s="508">
        <v>0.74299999999999999</v>
      </c>
      <c r="N5903" s="508">
        <v>1.1140000000000001</v>
      </c>
      <c r="O5903" s="508">
        <v>1.0880000000000001</v>
      </c>
      <c r="P5903" s="508">
        <v>1.036</v>
      </c>
      <c r="Q5903" s="508">
        <v>1.022</v>
      </c>
      <c r="R5903" s="508">
        <v>0.57099999999999995</v>
      </c>
      <c r="S5903" s="508">
        <v>0.54900000000000004</v>
      </c>
      <c r="T5903" s="508">
        <v>0.56599999999999995</v>
      </c>
      <c r="U5903" s="508">
        <v>0.55300000000000005</v>
      </c>
      <c r="V5903" s="508">
        <v>0.56000000000000005</v>
      </c>
      <c r="W5903" s="508">
        <v>0.51</v>
      </c>
      <c r="X5903" s="508">
        <v>0.505</v>
      </c>
      <c r="Y5903" s="508">
        <v>0.51200000000000001</v>
      </c>
      <c r="Z5903" s="508">
        <v>0.51200000000000001</v>
      </c>
      <c r="AA5903" s="508">
        <v>2.1000000000000001E-2</v>
      </c>
      <c r="AB5903" s="508">
        <v>0.02</v>
      </c>
      <c r="AC5903" s="508">
        <v>2.1999999999999999E-2</v>
      </c>
      <c r="AD5903" s="508">
        <v>0.02</v>
      </c>
      <c r="AE5903" s="508">
        <v>1.9E-2</v>
      </c>
      <c r="AF5903" s="508">
        <v>1.0999999999999999E-2</v>
      </c>
      <c r="AG5903" s="508">
        <v>1.0999999999999999E-2</v>
      </c>
      <c r="AH5903" s="508">
        <v>1.0999999999999999E-2</v>
      </c>
      <c r="AI5903" s="492">
        <v>1.0999999999999999E-2</v>
      </c>
      <c r="AJ5903" s="485"/>
    </row>
    <row r="5904" spans="2:36">
      <c r="B5904" s="136" t="s">
        <v>452</v>
      </c>
      <c r="C5904" s="132" t="s">
        <v>1373</v>
      </c>
      <c r="D5904" s="132" t="s">
        <v>285</v>
      </c>
      <c r="E5904" s="508">
        <v>1.8540000000000001</v>
      </c>
      <c r="F5904" s="508">
        <v>1.7929999999999999</v>
      </c>
      <c r="G5904" s="508">
        <v>1.897</v>
      </c>
      <c r="H5904" s="508">
        <v>1.099</v>
      </c>
      <c r="I5904" s="508">
        <v>1.1140000000000001</v>
      </c>
      <c r="J5904" s="508">
        <v>1.0589999999999999</v>
      </c>
      <c r="K5904" s="508">
        <v>0.64500000000000002</v>
      </c>
      <c r="L5904" s="508">
        <v>0.68300000000000005</v>
      </c>
      <c r="M5904" s="508">
        <v>0.66500000000000004</v>
      </c>
      <c r="N5904" s="508">
        <v>0.98899999999999999</v>
      </c>
      <c r="O5904" s="508">
        <v>0.96599999999999997</v>
      </c>
      <c r="P5904" s="508">
        <v>0.92</v>
      </c>
      <c r="Q5904" s="508">
        <v>0.90800000000000003</v>
      </c>
      <c r="R5904" s="508">
        <v>0.52800000000000002</v>
      </c>
      <c r="S5904" s="508">
        <v>0.51100000000000001</v>
      </c>
      <c r="T5904" s="508">
        <v>0.52400000000000002</v>
      </c>
      <c r="U5904" s="508">
        <v>0.51400000000000001</v>
      </c>
      <c r="V5904" s="508">
        <v>0.51900000000000002</v>
      </c>
      <c r="W5904" s="508">
        <v>0.47299999999999998</v>
      </c>
      <c r="X5904" s="508">
        <v>0.46800000000000003</v>
      </c>
      <c r="Y5904" s="508">
        <v>0.47399999999999998</v>
      </c>
      <c r="Z5904" s="508">
        <v>0.47399999999999998</v>
      </c>
      <c r="AA5904" s="508">
        <v>0.02</v>
      </c>
      <c r="AB5904" s="508">
        <v>1.9E-2</v>
      </c>
      <c r="AC5904" s="508">
        <v>0.02</v>
      </c>
      <c r="AD5904" s="508">
        <v>1.7999999999999999E-2</v>
      </c>
      <c r="AE5904" s="508">
        <v>1.7000000000000001E-2</v>
      </c>
      <c r="AF5904" s="508">
        <v>1.0999999999999999E-2</v>
      </c>
      <c r="AG5904" s="508">
        <v>0.01</v>
      </c>
      <c r="AH5904" s="508">
        <v>0.01</v>
      </c>
      <c r="AI5904" s="492">
        <v>0.01</v>
      </c>
      <c r="AJ5904" s="485"/>
    </row>
    <row r="5905" spans="2:36">
      <c r="B5905" s="136" t="s">
        <v>453</v>
      </c>
      <c r="C5905" s="132" t="s">
        <v>1373</v>
      </c>
      <c r="D5905" s="132" t="s">
        <v>285</v>
      </c>
      <c r="E5905" s="508">
        <v>1.772</v>
      </c>
      <c r="F5905" s="508">
        <v>1.714</v>
      </c>
      <c r="G5905" s="508">
        <v>1.8140000000000001</v>
      </c>
      <c r="H5905" s="508">
        <v>1.028</v>
      </c>
      <c r="I5905" s="508">
        <v>1.0429999999999999</v>
      </c>
      <c r="J5905" s="508">
        <v>0.99</v>
      </c>
      <c r="K5905" s="508">
        <v>0.58099999999999996</v>
      </c>
      <c r="L5905" s="508">
        <v>0.622</v>
      </c>
      <c r="M5905" s="508">
        <v>0.60199999999999998</v>
      </c>
      <c r="N5905" s="508">
        <v>0.88700000000000001</v>
      </c>
      <c r="O5905" s="508">
        <v>0.86799999999999999</v>
      </c>
      <c r="P5905" s="508">
        <v>0.83</v>
      </c>
      <c r="Q5905" s="508">
        <v>0.82</v>
      </c>
      <c r="R5905" s="508">
        <v>0.49199999999999999</v>
      </c>
      <c r="S5905" s="508">
        <v>0.47899999999999998</v>
      </c>
      <c r="T5905" s="508">
        <v>0.49</v>
      </c>
      <c r="U5905" s="508">
        <v>0.48199999999999998</v>
      </c>
      <c r="V5905" s="508">
        <v>0.48599999999999999</v>
      </c>
      <c r="W5905" s="508">
        <v>0.441</v>
      </c>
      <c r="X5905" s="508">
        <v>0.438</v>
      </c>
      <c r="Y5905" s="508">
        <v>0.442</v>
      </c>
      <c r="Z5905" s="508">
        <v>0.442</v>
      </c>
      <c r="AA5905" s="508">
        <v>1.9E-2</v>
      </c>
      <c r="AB5905" s="508">
        <v>1.7999999999999999E-2</v>
      </c>
      <c r="AC5905" s="508">
        <v>1.9E-2</v>
      </c>
      <c r="AD5905" s="508">
        <v>1.7000000000000001E-2</v>
      </c>
      <c r="AE5905" s="508">
        <v>1.6E-2</v>
      </c>
      <c r="AF5905" s="508">
        <v>0.01</v>
      </c>
      <c r="AG5905" s="508">
        <v>0.01</v>
      </c>
      <c r="AH5905" s="508">
        <v>0.01</v>
      </c>
      <c r="AI5905" s="492">
        <v>0.01</v>
      </c>
      <c r="AJ5905" s="485"/>
    </row>
    <row r="5906" spans="2:36">
      <c r="B5906" s="136" t="s">
        <v>454</v>
      </c>
      <c r="C5906" s="132" t="s">
        <v>1373</v>
      </c>
      <c r="D5906" s="132" t="s">
        <v>285</v>
      </c>
      <c r="E5906" s="508">
        <v>1.792</v>
      </c>
      <c r="F5906" s="508">
        <v>1.7330000000000001</v>
      </c>
      <c r="G5906" s="508">
        <v>1.8340000000000001</v>
      </c>
      <c r="H5906" s="508">
        <v>1.0449999999999999</v>
      </c>
      <c r="I5906" s="508">
        <v>1.06</v>
      </c>
      <c r="J5906" s="508">
        <v>1.0069999999999999</v>
      </c>
      <c r="K5906" s="508">
        <v>0.59399999999999997</v>
      </c>
      <c r="L5906" s="508">
        <v>0.63500000000000001</v>
      </c>
      <c r="M5906" s="508">
        <v>0.61499999999999999</v>
      </c>
      <c r="N5906" s="508">
        <v>0.90700000000000003</v>
      </c>
      <c r="O5906" s="508">
        <v>0.88800000000000001</v>
      </c>
      <c r="P5906" s="508">
        <v>0.85</v>
      </c>
      <c r="Q5906" s="508">
        <v>0.84</v>
      </c>
      <c r="R5906" s="508">
        <v>0.5</v>
      </c>
      <c r="S5906" s="508">
        <v>0.48599999999999999</v>
      </c>
      <c r="T5906" s="508">
        <v>0.497</v>
      </c>
      <c r="U5906" s="508">
        <v>0.48799999999999999</v>
      </c>
      <c r="V5906" s="508">
        <v>0.49299999999999999</v>
      </c>
      <c r="W5906" s="508">
        <v>0.44800000000000001</v>
      </c>
      <c r="X5906" s="508">
        <v>0.44400000000000001</v>
      </c>
      <c r="Y5906" s="508">
        <v>0.44900000000000001</v>
      </c>
      <c r="Z5906" s="508">
        <v>0.44900000000000001</v>
      </c>
      <c r="AA5906" s="508">
        <v>1.9E-2</v>
      </c>
      <c r="AB5906" s="508">
        <v>1.7999999999999999E-2</v>
      </c>
      <c r="AC5906" s="508">
        <v>1.9E-2</v>
      </c>
      <c r="AD5906" s="508">
        <v>1.7000000000000001E-2</v>
      </c>
      <c r="AE5906" s="508">
        <v>1.7000000000000001E-2</v>
      </c>
      <c r="AF5906" s="508">
        <v>0.01</v>
      </c>
      <c r="AG5906" s="508">
        <v>0.01</v>
      </c>
      <c r="AH5906" s="508">
        <v>0.01</v>
      </c>
      <c r="AI5906" s="492">
        <v>0.01</v>
      </c>
      <c r="AJ5906" s="485"/>
    </row>
    <row r="5907" spans="2:36">
      <c r="B5907" s="136" t="s">
        <v>455</v>
      </c>
      <c r="C5907" s="132" t="s">
        <v>1373</v>
      </c>
      <c r="D5907" s="132" t="s">
        <v>285</v>
      </c>
      <c r="E5907" s="508">
        <v>1.7529999999999999</v>
      </c>
      <c r="F5907" s="508">
        <v>1.694</v>
      </c>
      <c r="G5907" s="508">
        <v>1.794</v>
      </c>
      <c r="H5907" s="508">
        <v>1.0149999999999999</v>
      </c>
      <c r="I5907" s="508">
        <v>1.0289999999999999</v>
      </c>
      <c r="J5907" s="508">
        <v>0.97799999999999998</v>
      </c>
      <c r="K5907" s="508">
        <v>0.56899999999999995</v>
      </c>
      <c r="L5907" s="508">
        <v>0.61299999999999999</v>
      </c>
      <c r="M5907" s="508">
        <v>0.59199999999999997</v>
      </c>
      <c r="N5907" s="508">
        <v>0.86699999999999999</v>
      </c>
      <c r="O5907" s="508">
        <v>0.85</v>
      </c>
      <c r="P5907" s="508">
        <v>0.81599999999999995</v>
      </c>
      <c r="Q5907" s="508">
        <v>0.80800000000000005</v>
      </c>
      <c r="R5907" s="508">
        <v>0.48399999999999999</v>
      </c>
      <c r="S5907" s="508">
        <v>0.47099999999999997</v>
      </c>
      <c r="T5907" s="508">
        <v>0.48099999999999998</v>
      </c>
      <c r="U5907" s="508">
        <v>0.47299999999999998</v>
      </c>
      <c r="V5907" s="508">
        <v>0.47699999999999998</v>
      </c>
      <c r="W5907" s="508">
        <v>0.433</v>
      </c>
      <c r="X5907" s="508">
        <v>0.43</v>
      </c>
      <c r="Y5907" s="508">
        <v>0.434</v>
      </c>
      <c r="Z5907" s="508">
        <v>0.434</v>
      </c>
      <c r="AA5907" s="508">
        <v>1.7999999999999999E-2</v>
      </c>
      <c r="AB5907" s="508">
        <v>1.7000000000000001E-2</v>
      </c>
      <c r="AC5907" s="508">
        <v>1.9E-2</v>
      </c>
      <c r="AD5907" s="508">
        <v>1.7000000000000001E-2</v>
      </c>
      <c r="AE5907" s="508">
        <v>1.6E-2</v>
      </c>
      <c r="AF5907" s="508">
        <v>0.01</v>
      </c>
      <c r="AG5907" s="508">
        <v>0.01</v>
      </c>
      <c r="AH5907" s="508">
        <v>0.01</v>
      </c>
      <c r="AI5907" s="492">
        <v>0.01</v>
      </c>
      <c r="AJ5907" s="485"/>
    </row>
    <row r="5908" spans="2:36">
      <c r="B5908" s="136" t="s">
        <v>456</v>
      </c>
      <c r="C5908" s="132" t="s">
        <v>1373</v>
      </c>
      <c r="D5908" s="132" t="s">
        <v>285</v>
      </c>
      <c r="E5908" s="508">
        <v>1.8129999999999999</v>
      </c>
      <c r="F5908" s="508">
        <v>1.7529999999999999</v>
      </c>
      <c r="G5908" s="508">
        <v>1.855</v>
      </c>
      <c r="H5908" s="508">
        <v>1.0640000000000001</v>
      </c>
      <c r="I5908" s="508">
        <v>1.079</v>
      </c>
      <c r="J5908" s="508">
        <v>1.0249999999999999</v>
      </c>
      <c r="K5908" s="508">
        <v>0.61299999999999999</v>
      </c>
      <c r="L5908" s="508">
        <v>0.65300000000000002</v>
      </c>
      <c r="M5908" s="508">
        <v>0.63300000000000001</v>
      </c>
      <c r="N5908" s="508">
        <v>0.93600000000000005</v>
      </c>
      <c r="O5908" s="508">
        <v>0.91600000000000004</v>
      </c>
      <c r="P5908" s="508">
        <v>0.876</v>
      </c>
      <c r="Q5908" s="508">
        <v>0.86499999999999999</v>
      </c>
      <c r="R5908" s="508">
        <v>0.50900000000000001</v>
      </c>
      <c r="S5908" s="508">
        <v>0.49399999999999999</v>
      </c>
      <c r="T5908" s="508">
        <v>0.50600000000000001</v>
      </c>
      <c r="U5908" s="508">
        <v>0.497</v>
      </c>
      <c r="V5908" s="508">
        <v>0.501</v>
      </c>
      <c r="W5908" s="508">
        <v>0.45600000000000002</v>
      </c>
      <c r="X5908" s="508">
        <v>0.45200000000000001</v>
      </c>
      <c r="Y5908" s="508">
        <v>0.45700000000000002</v>
      </c>
      <c r="Z5908" s="508">
        <v>0.45700000000000002</v>
      </c>
      <c r="AA5908" s="508">
        <v>1.9E-2</v>
      </c>
      <c r="AB5908" s="508">
        <v>1.7999999999999999E-2</v>
      </c>
      <c r="AC5908" s="508">
        <v>0.02</v>
      </c>
      <c r="AD5908" s="508">
        <v>1.7999999999999999E-2</v>
      </c>
      <c r="AE5908" s="508">
        <v>1.7000000000000001E-2</v>
      </c>
      <c r="AF5908" s="508">
        <v>0.01</v>
      </c>
      <c r="AG5908" s="508">
        <v>0.01</v>
      </c>
      <c r="AH5908" s="508">
        <v>0.01</v>
      </c>
      <c r="AI5908" s="492">
        <v>0.01</v>
      </c>
      <c r="AJ5908" s="485"/>
    </row>
    <row r="5909" spans="2:36">
      <c r="B5909" s="136" t="s">
        <v>457</v>
      </c>
      <c r="C5909" s="132" t="s">
        <v>1373</v>
      </c>
      <c r="D5909" s="132" t="s">
        <v>285</v>
      </c>
      <c r="E5909" s="508">
        <v>1.7350000000000001</v>
      </c>
      <c r="F5909" s="508">
        <v>1.677</v>
      </c>
      <c r="G5909" s="508">
        <v>1.7749999999999999</v>
      </c>
      <c r="H5909" s="508">
        <v>0.995</v>
      </c>
      <c r="I5909" s="508">
        <v>1.01</v>
      </c>
      <c r="J5909" s="508">
        <v>0.95699999999999996</v>
      </c>
      <c r="K5909" s="508">
        <v>0.54900000000000004</v>
      </c>
      <c r="L5909" s="508">
        <v>0.59199999999999997</v>
      </c>
      <c r="M5909" s="508">
        <v>0.57099999999999995</v>
      </c>
      <c r="N5909" s="508">
        <v>0.83699999999999997</v>
      </c>
      <c r="O5909" s="508">
        <v>0.82</v>
      </c>
      <c r="P5909" s="508">
        <v>0.78500000000000003</v>
      </c>
      <c r="Q5909" s="508">
        <v>0.77600000000000002</v>
      </c>
      <c r="R5909" s="508">
        <v>0.47599999999999998</v>
      </c>
      <c r="S5909" s="508">
        <v>0.46500000000000002</v>
      </c>
      <c r="T5909" s="508">
        <v>0.47299999999999998</v>
      </c>
      <c r="U5909" s="508">
        <v>0.46600000000000003</v>
      </c>
      <c r="V5909" s="508">
        <v>0.47</v>
      </c>
      <c r="W5909" s="508">
        <v>0.42699999999999999</v>
      </c>
      <c r="X5909" s="508">
        <v>0.42399999999999999</v>
      </c>
      <c r="Y5909" s="508">
        <v>0.42699999999999999</v>
      </c>
      <c r="Z5909" s="508">
        <v>0.42699999999999999</v>
      </c>
      <c r="AA5909" s="508">
        <v>1.7999999999999999E-2</v>
      </c>
      <c r="AB5909" s="508">
        <v>1.7000000000000001E-2</v>
      </c>
      <c r="AC5909" s="508">
        <v>1.7999999999999999E-2</v>
      </c>
      <c r="AD5909" s="508">
        <v>1.6E-2</v>
      </c>
      <c r="AE5909" s="508">
        <v>1.6E-2</v>
      </c>
      <c r="AF5909" s="508">
        <v>0.01</v>
      </c>
      <c r="AG5909" s="508">
        <v>0.01</v>
      </c>
      <c r="AH5909" s="508">
        <v>8.9999999999999993E-3</v>
      </c>
      <c r="AI5909" s="492">
        <v>8.9999999999999993E-3</v>
      </c>
      <c r="AJ5909" s="485"/>
    </row>
    <row r="5910" spans="2:36">
      <c r="B5910" s="136" t="s">
        <v>458</v>
      </c>
      <c r="C5910" s="132" t="s">
        <v>1373</v>
      </c>
      <c r="D5910" s="132" t="s">
        <v>285</v>
      </c>
      <c r="E5910" s="508">
        <v>1.831</v>
      </c>
      <c r="F5910" s="508">
        <v>1.7709999999999999</v>
      </c>
      <c r="G5910" s="508">
        <v>1.8740000000000001</v>
      </c>
      <c r="H5910" s="508">
        <v>1.081</v>
      </c>
      <c r="I5910" s="508">
        <v>1.0960000000000001</v>
      </c>
      <c r="J5910" s="508">
        <v>1.042</v>
      </c>
      <c r="K5910" s="508">
        <v>0.626</v>
      </c>
      <c r="L5910" s="508">
        <v>0.66700000000000004</v>
      </c>
      <c r="M5910" s="508">
        <v>0.64700000000000002</v>
      </c>
      <c r="N5910" s="508">
        <v>0.95599999999999996</v>
      </c>
      <c r="O5910" s="508">
        <v>0.93600000000000005</v>
      </c>
      <c r="P5910" s="508">
        <v>0.89800000000000002</v>
      </c>
      <c r="Q5910" s="508">
        <v>0.88800000000000001</v>
      </c>
      <c r="R5910" s="508">
        <v>0.51500000000000001</v>
      </c>
      <c r="S5910" s="508">
        <v>0.499</v>
      </c>
      <c r="T5910" s="508">
        <v>0.51200000000000001</v>
      </c>
      <c r="U5910" s="508">
        <v>0.502</v>
      </c>
      <c r="V5910" s="508">
        <v>0.50700000000000001</v>
      </c>
      <c r="W5910" s="508">
        <v>0.46100000000000002</v>
      </c>
      <c r="X5910" s="508">
        <v>0.45700000000000002</v>
      </c>
      <c r="Y5910" s="508">
        <v>0.46300000000000002</v>
      </c>
      <c r="Z5910" s="508">
        <v>0.46200000000000002</v>
      </c>
      <c r="AA5910" s="508">
        <v>0.02</v>
      </c>
      <c r="AB5910" s="508">
        <v>1.7999999999999999E-2</v>
      </c>
      <c r="AC5910" s="508">
        <v>0.02</v>
      </c>
      <c r="AD5910" s="508">
        <v>1.7999999999999999E-2</v>
      </c>
      <c r="AE5910" s="508">
        <v>1.7000000000000001E-2</v>
      </c>
      <c r="AF5910" s="508">
        <v>1.0999999999999999E-2</v>
      </c>
      <c r="AG5910" s="508">
        <v>0.01</v>
      </c>
      <c r="AH5910" s="508">
        <v>0.01</v>
      </c>
      <c r="AI5910" s="492">
        <v>0.01</v>
      </c>
      <c r="AJ5910" s="485"/>
    </row>
    <row r="5911" spans="2:36">
      <c r="B5911" s="136" t="s">
        <v>459</v>
      </c>
      <c r="C5911" s="132" t="s">
        <v>1373</v>
      </c>
      <c r="D5911" s="132" t="s">
        <v>285</v>
      </c>
      <c r="E5911" s="508">
        <v>1.83</v>
      </c>
      <c r="F5911" s="508">
        <v>1.77</v>
      </c>
      <c r="G5911" s="508">
        <v>1.873</v>
      </c>
      <c r="H5911" s="508">
        <v>1.08</v>
      </c>
      <c r="I5911" s="508">
        <v>1.095</v>
      </c>
      <c r="J5911" s="508">
        <v>1.042</v>
      </c>
      <c r="K5911" s="508">
        <v>0.625</v>
      </c>
      <c r="L5911" s="508">
        <v>0.66700000000000004</v>
      </c>
      <c r="M5911" s="508">
        <v>0.64600000000000002</v>
      </c>
      <c r="N5911" s="508">
        <v>0.95499999999999996</v>
      </c>
      <c r="O5911" s="508">
        <v>0.93600000000000005</v>
      </c>
      <c r="P5911" s="508">
        <v>0.89700000000000002</v>
      </c>
      <c r="Q5911" s="508">
        <v>0.88700000000000001</v>
      </c>
      <c r="R5911" s="508">
        <v>0.51500000000000001</v>
      </c>
      <c r="S5911" s="508">
        <v>0.499</v>
      </c>
      <c r="T5911" s="508">
        <v>0.51200000000000001</v>
      </c>
      <c r="U5911" s="508">
        <v>0.502</v>
      </c>
      <c r="V5911" s="508">
        <v>0.50700000000000001</v>
      </c>
      <c r="W5911" s="508">
        <v>0.46100000000000002</v>
      </c>
      <c r="X5911" s="508">
        <v>0.45700000000000002</v>
      </c>
      <c r="Y5911" s="508">
        <v>0.46200000000000002</v>
      </c>
      <c r="Z5911" s="508">
        <v>0.46200000000000002</v>
      </c>
      <c r="AA5911" s="508">
        <v>0.02</v>
      </c>
      <c r="AB5911" s="508">
        <v>1.7999999999999999E-2</v>
      </c>
      <c r="AC5911" s="508">
        <v>0.02</v>
      </c>
      <c r="AD5911" s="508">
        <v>1.7999999999999999E-2</v>
      </c>
      <c r="AE5911" s="508">
        <v>1.7000000000000001E-2</v>
      </c>
      <c r="AF5911" s="508">
        <v>1.0999999999999999E-2</v>
      </c>
      <c r="AG5911" s="508">
        <v>0.01</v>
      </c>
      <c r="AH5911" s="508">
        <v>0.01</v>
      </c>
      <c r="AI5911" s="492">
        <v>0.01</v>
      </c>
      <c r="AJ5911" s="485"/>
    </row>
    <row r="5912" spans="2:36">
      <c r="B5912" s="136" t="s">
        <v>460</v>
      </c>
      <c r="C5912" s="132" t="s">
        <v>1373</v>
      </c>
      <c r="D5912" s="132" t="s">
        <v>285</v>
      </c>
      <c r="E5912" s="508">
        <v>1.833</v>
      </c>
      <c r="F5912" s="508">
        <v>1.7729999999999999</v>
      </c>
      <c r="G5912" s="508">
        <v>1.8759999999999999</v>
      </c>
      <c r="H5912" s="508">
        <v>1.083</v>
      </c>
      <c r="I5912" s="508">
        <v>1.0980000000000001</v>
      </c>
      <c r="J5912" s="508">
        <v>1.044</v>
      </c>
      <c r="K5912" s="508">
        <v>0.63</v>
      </c>
      <c r="L5912" s="508">
        <v>0.67</v>
      </c>
      <c r="M5912" s="508">
        <v>0.65</v>
      </c>
      <c r="N5912" s="508">
        <v>0.96299999999999997</v>
      </c>
      <c r="O5912" s="508">
        <v>0.94299999999999995</v>
      </c>
      <c r="P5912" s="508">
        <v>0.90100000000000002</v>
      </c>
      <c r="Q5912" s="508">
        <v>0.89</v>
      </c>
      <c r="R5912" s="508">
        <v>0.51800000000000002</v>
      </c>
      <c r="S5912" s="508">
        <v>0.502</v>
      </c>
      <c r="T5912" s="508">
        <v>0.51500000000000001</v>
      </c>
      <c r="U5912" s="508">
        <v>0.505</v>
      </c>
      <c r="V5912" s="508">
        <v>0.51</v>
      </c>
      <c r="W5912" s="508">
        <v>0.46400000000000002</v>
      </c>
      <c r="X5912" s="508">
        <v>0.46</v>
      </c>
      <c r="Y5912" s="508">
        <v>0.46500000000000002</v>
      </c>
      <c r="Z5912" s="508">
        <v>0.46500000000000002</v>
      </c>
      <c r="AA5912" s="508">
        <v>0.02</v>
      </c>
      <c r="AB5912" s="508">
        <v>1.7999999999999999E-2</v>
      </c>
      <c r="AC5912" s="508">
        <v>0.02</v>
      </c>
      <c r="AD5912" s="508">
        <v>1.7999999999999999E-2</v>
      </c>
      <c r="AE5912" s="508">
        <v>1.7000000000000001E-2</v>
      </c>
      <c r="AF5912" s="508">
        <v>1.0999999999999999E-2</v>
      </c>
      <c r="AG5912" s="508">
        <v>0.01</v>
      </c>
      <c r="AH5912" s="508">
        <v>0.01</v>
      </c>
      <c r="AI5912" s="492">
        <v>0.01</v>
      </c>
      <c r="AJ5912" s="485"/>
    </row>
    <row r="5913" spans="2:36">
      <c r="B5913" s="136" t="s">
        <v>461</v>
      </c>
      <c r="C5913" s="132" t="s">
        <v>1373</v>
      </c>
      <c r="D5913" s="132" t="s">
        <v>285</v>
      </c>
      <c r="E5913" s="508">
        <v>1.8129999999999999</v>
      </c>
      <c r="F5913" s="508">
        <v>1.7529999999999999</v>
      </c>
      <c r="G5913" s="508">
        <v>1.855</v>
      </c>
      <c r="H5913" s="508">
        <v>1.0620000000000001</v>
      </c>
      <c r="I5913" s="508">
        <v>1.077</v>
      </c>
      <c r="J5913" s="508">
        <v>1.0229999999999999</v>
      </c>
      <c r="K5913" s="508">
        <v>0.60799999999999998</v>
      </c>
      <c r="L5913" s="508">
        <v>0.64900000000000002</v>
      </c>
      <c r="M5913" s="508">
        <v>0.629</v>
      </c>
      <c r="N5913" s="508">
        <v>0.93</v>
      </c>
      <c r="O5913" s="508">
        <v>0.91</v>
      </c>
      <c r="P5913" s="508">
        <v>0.86899999999999999</v>
      </c>
      <c r="Q5913" s="508">
        <v>0.85799999999999998</v>
      </c>
      <c r="R5913" s="508">
        <v>0.50800000000000001</v>
      </c>
      <c r="S5913" s="508">
        <v>0.49399999999999999</v>
      </c>
      <c r="T5913" s="508">
        <v>0.505</v>
      </c>
      <c r="U5913" s="508">
        <v>0.497</v>
      </c>
      <c r="V5913" s="508">
        <v>0.501</v>
      </c>
      <c r="W5913" s="508">
        <v>0.45500000000000002</v>
      </c>
      <c r="X5913" s="508">
        <v>0.45200000000000001</v>
      </c>
      <c r="Y5913" s="508">
        <v>0.45700000000000002</v>
      </c>
      <c r="Z5913" s="508">
        <v>0.45600000000000002</v>
      </c>
      <c r="AA5913" s="508">
        <v>1.9E-2</v>
      </c>
      <c r="AB5913" s="508">
        <v>1.7999999999999999E-2</v>
      </c>
      <c r="AC5913" s="508">
        <v>0.02</v>
      </c>
      <c r="AD5913" s="508">
        <v>1.7000000000000001E-2</v>
      </c>
      <c r="AE5913" s="508">
        <v>1.7000000000000001E-2</v>
      </c>
      <c r="AF5913" s="508">
        <v>0.01</v>
      </c>
      <c r="AG5913" s="508">
        <v>0.01</v>
      </c>
      <c r="AH5913" s="508">
        <v>0.01</v>
      </c>
      <c r="AI5913" s="492">
        <v>0.01</v>
      </c>
      <c r="AJ5913" s="485"/>
    </row>
    <row r="5914" spans="2:36">
      <c r="B5914" s="136" t="s">
        <v>462</v>
      </c>
      <c r="C5914" s="132" t="s">
        <v>1373</v>
      </c>
      <c r="D5914" s="132" t="s">
        <v>285</v>
      </c>
      <c r="E5914" s="508">
        <v>1.792</v>
      </c>
      <c r="F5914" s="508">
        <v>1.7330000000000001</v>
      </c>
      <c r="G5914" s="508">
        <v>1.833</v>
      </c>
      <c r="H5914" s="508">
        <v>1.042</v>
      </c>
      <c r="I5914" s="508">
        <v>1.0569999999999999</v>
      </c>
      <c r="J5914" s="508">
        <v>1.002</v>
      </c>
      <c r="K5914" s="508">
        <v>0.59</v>
      </c>
      <c r="L5914" s="508">
        <v>0.63100000000000001</v>
      </c>
      <c r="M5914" s="508">
        <v>0.61099999999999999</v>
      </c>
      <c r="N5914" s="508">
        <v>0.90300000000000002</v>
      </c>
      <c r="O5914" s="508">
        <v>0.88300000000000001</v>
      </c>
      <c r="P5914" s="508">
        <v>0.84199999999999997</v>
      </c>
      <c r="Q5914" s="508">
        <v>0.83099999999999996</v>
      </c>
      <c r="R5914" s="508">
        <v>0.5</v>
      </c>
      <c r="S5914" s="508">
        <v>0.48699999999999999</v>
      </c>
      <c r="T5914" s="508">
        <v>0.497</v>
      </c>
      <c r="U5914" s="508">
        <v>0.48899999999999999</v>
      </c>
      <c r="V5914" s="508">
        <v>0.49299999999999999</v>
      </c>
      <c r="W5914" s="508">
        <v>0.44800000000000001</v>
      </c>
      <c r="X5914" s="508">
        <v>0.44500000000000001</v>
      </c>
      <c r="Y5914" s="508">
        <v>0.44900000000000001</v>
      </c>
      <c r="Z5914" s="508">
        <v>0.44900000000000001</v>
      </c>
      <c r="AA5914" s="508">
        <v>1.9E-2</v>
      </c>
      <c r="AB5914" s="508">
        <v>1.7999999999999999E-2</v>
      </c>
      <c r="AC5914" s="508">
        <v>1.9E-2</v>
      </c>
      <c r="AD5914" s="508">
        <v>1.7000000000000001E-2</v>
      </c>
      <c r="AE5914" s="508">
        <v>1.7000000000000001E-2</v>
      </c>
      <c r="AF5914" s="508">
        <v>0.01</v>
      </c>
      <c r="AG5914" s="508">
        <v>0.01</v>
      </c>
      <c r="AH5914" s="508">
        <v>0.01</v>
      </c>
      <c r="AI5914" s="492">
        <v>0.01</v>
      </c>
      <c r="AJ5914" s="485"/>
    </row>
    <row r="5915" spans="2:36">
      <c r="B5915" s="136" t="s">
        <v>463</v>
      </c>
      <c r="C5915" s="132" t="s">
        <v>1373</v>
      </c>
      <c r="D5915" s="132" t="s">
        <v>285</v>
      </c>
      <c r="E5915" s="508">
        <v>1.7509999999999999</v>
      </c>
      <c r="F5915" s="508">
        <v>1.6930000000000001</v>
      </c>
      <c r="G5915" s="508">
        <v>1.7929999999999999</v>
      </c>
      <c r="H5915" s="508">
        <v>1.012</v>
      </c>
      <c r="I5915" s="508">
        <v>1.0269999999999999</v>
      </c>
      <c r="J5915" s="508">
        <v>0.97499999999999998</v>
      </c>
      <c r="K5915" s="508">
        <v>0.56299999999999994</v>
      </c>
      <c r="L5915" s="508">
        <v>0.60799999999999998</v>
      </c>
      <c r="M5915" s="508">
        <v>0.58599999999999997</v>
      </c>
      <c r="N5915" s="508">
        <v>0.85699999999999998</v>
      </c>
      <c r="O5915" s="508">
        <v>0.84099999999999997</v>
      </c>
      <c r="P5915" s="508">
        <v>0.80900000000000005</v>
      </c>
      <c r="Q5915" s="508">
        <v>0.80100000000000005</v>
      </c>
      <c r="R5915" s="508">
        <v>0.48099999999999998</v>
      </c>
      <c r="S5915" s="508">
        <v>0.46899999999999997</v>
      </c>
      <c r="T5915" s="508">
        <v>0.47799999999999998</v>
      </c>
      <c r="U5915" s="508">
        <v>0.47099999999999997</v>
      </c>
      <c r="V5915" s="508">
        <v>0.47399999999999998</v>
      </c>
      <c r="W5915" s="508">
        <v>0.43099999999999999</v>
      </c>
      <c r="X5915" s="508">
        <v>0.42799999999999999</v>
      </c>
      <c r="Y5915" s="508">
        <v>0.432</v>
      </c>
      <c r="Z5915" s="508">
        <v>0.432</v>
      </c>
      <c r="AA5915" s="508">
        <v>1.7999999999999999E-2</v>
      </c>
      <c r="AB5915" s="508">
        <v>1.7000000000000001E-2</v>
      </c>
      <c r="AC5915" s="508">
        <v>1.9E-2</v>
      </c>
      <c r="AD5915" s="508">
        <v>1.7000000000000001E-2</v>
      </c>
      <c r="AE5915" s="508">
        <v>1.6E-2</v>
      </c>
      <c r="AF5915" s="508">
        <v>0.01</v>
      </c>
      <c r="AG5915" s="508">
        <v>0.01</v>
      </c>
      <c r="AH5915" s="508">
        <v>0.01</v>
      </c>
      <c r="AI5915" s="492">
        <v>0.01</v>
      </c>
      <c r="AJ5915" s="485"/>
    </row>
    <row r="5916" spans="2:36">
      <c r="B5916" s="136" t="s">
        <v>464</v>
      </c>
      <c r="C5916" s="132" t="s">
        <v>1373</v>
      </c>
      <c r="D5916" s="132" t="s">
        <v>285</v>
      </c>
      <c r="E5916" s="508">
        <v>1.73</v>
      </c>
      <c r="F5916" s="508">
        <v>1.6719999999999999</v>
      </c>
      <c r="G5916" s="508">
        <v>1.77</v>
      </c>
      <c r="H5916" s="508">
        <v>0.99299999999999999</v>
      </c>
      <c r="I5916" s="508">
        <v>1.0069999999999999</v>
      </c>
      <c r="J5916" s="508">
        <v>0.95499999999999996</v>
      </c>
      <c r="K5916" s="508">
        <v>0.54900000000000004</v>
      </c>
      <c r="L5916" s="508">
        <v>0.59199999999999997</v>
      </c>
      <c r="M5916" s="508">
        <v>0.57099999999999995</v>
      </c>
      <c r="N5916" s="508">
        <v>0.83599999999999997</v>
      </c>
      <c r="O5916" s="508">
        <v>0.81899999999999995</v>
      </c>
      <c r="P5916" s="508">
        <v>0.78500000000000003</v>
      </c>
      <c r="Q5916" s="508">
        <v>0.77600000000000002</v>
      </c>
      <c r="R5916" s="508">
        <v>0.47399999999999998</v>
      </c>
      <c r="S5916" s="508">
        <v>0.46300000000000002</v>
      </c>
      <c r="T5916" s="508">
        <v>0.47199999999999998</v>
      </c>
      <c r="U5916" s="508">
        <v>0.46500000000000002</v>
      </c>
      <c r="V5916" s="508">
        <v>0.46800000000000003</v>
      </c>
      <c r="W5916" s="508">
        <v>0.42499999999999999</v>
      </c>
      <c r="X5916" s="508">
        <v>0.42199999999999999</v>
      </c>
      <c r="Y5916" s="508">
        <v>0.42599999999999999</v>
      </c>
      <c r="Z5916" s="508">
        <v>0.42599999999999999</v>
      </c>
      <c r="AA5916" s="508">
        <v>1.7999999999999999E-2</v>
      </c>
      <c r="AB5916" s="508">
        <v>1.7000000000000001E-2</v>
      </c>
      <c r="AC5916" s="508">
        <v>1.7999999999999999E-2</v>
      </c>
      <c r="AD5916" s="508">
        <v>1.6E-2</v>
      </c>
      <c r="AE5916" s="508">
        <v>1.6E-2</v>
      </c>
      <c r="AF5916" s="508">
        <v>0.01</v>
      </c>
      <c r="AG5916" s="508">
        <v>0.01</v>
      </c>
      <c r="AH5916" s="508">
        <v>8.9999999999999993E-3</v>
      </c>
      <c r="AI5916" s="492">
        <v>8.9999999999999993E-3</v>
      </c>
      <c r="AJ5916" s="485"/>
    </row>
    <row r="5917" spans="2:36">
      <c r="B5917" s="136" t="s">
        <v>465</v>
      </c>
      <c r="C5917" s="132" t="s">
        <v>1373</v>
      </c>
      <c r="D5917" s="132" t="s">
        <v>285</v>
      </c>
      <c r="E5917" s="508">
        <v>1.756</v>
      </c>
      <c r="F5917" s="508">
        <v>1.6970000000000001</v>
      </c>
      <c r="G5917" s="508">
        <v>1.7969999999999999</v>
      </c>
      <c r="H5917" s="508">
        <v>1.0169999999999999</v>
      </c>
      <c r="I5917" s="508">
        <v>1.032</v>
      </c>
      <c r="J5917" s="508">
        <v>0.98</v>
      </c>
      <c r="K5917" s="508">
        <v>0.57199999999999995</v>
      </c>
      <c r="L5917" s="508">
        <v>0.61499999999999999</v>
      </c>
      <c r="M5917" s="508">
        <v>0.59399999999999997</v>
      </c>
      <c r="N5917" s="508">
        <v>0.871</v>
      </c>
      <c r="O5917" s="508">
        <v>0.85399999999999998</v>
      </c>
      <c r="P5917" s="508">
        <v>0.81899999999999995</v>
      </c>
      <c r="Q5917" s="508">
        <v>0.81</v>
      </c>
      <c r="R5917" s="508">
        <v>0.48499999999999999</v>
      </c>
      <c r="S5917" s="508">
        <v>0.47199999999999998</v>
      </c>
      <c r="T5917" s="508">
        <v>0.48199999999999998</v>
      </c>
      <c r="U5917" s="508">
        <v>0.47499999999999998</v>
      </c>
      <c r="V5917" s="508">
        <v>0.47799999999999998</v>
      </c>
      <c r="W5917" s="508">
        <v>0.435</v>
      </c>
      <c r="X5917" s="508">
        <v>0.432</v>
      </c>
      <c r="Y5917" s="508">
        <v>0.436</v>
      </c>
      <c r="Z5917" s="508">
        <v>0.436</v>
      </c>
      <c r="AA5917" s="508">
        <v>1.9E-2</v>
      </c>
      <c r="AB5917" s="508">
        <v>1.7000000000000001E-2</v>
      </c>
      <c r="AC5917" s="508">
        <v>1.9E-2</v>
      </c>
      <c r="AD5917" s="508">
        <v>1.7000000000000001E-2</v>
      </c>
      <c r="AE5917" s="508">
        <v>1.6E-2</v>
      </c>
      <c r="AF5917" s="508">
        <v>0.01</v>
      </c>
      <c r="AG5917" s="508">
        <v>0.01</v>
      </c>
      <c r="AH5917" s="508">
        <v>0.01</v>
      </c>
      <c r="AI5917" s="492">
        <v>0.01</v>
      </c>
      <c r="AJ5917" s="485"/>
    </row>
    <row r="5918" spans="2:36">
      <c r="B5918" s="136" t="s">
        <v>466</v>
      </c>
      <c r="C5918" s="132" t="s">
        <v>1373</v>
      </c>
      <c r="D5918" s="132" t="s">
        <v>285</v>
      </c>
      <c r="E5918" s="508">
        <v>1.89</v>
      </c>
      <c r="F5918" s="508">
        <v>1.8280000000000001</v>
      </c>
      <c r="G5918" s="508">
        <v>1.9330000000000001</v>
      </c>
      <c r="H5918" s="508">
        <v>1.1319999999999999</v>
      </c>
      <c r="I5918" s="508">
        <v>1.1479999999999999</v>
      </c>
      <c r="J5918" s="508">
        <v>1.0920000000000001</v>
      </c>
      <c r="K5918" s="508">
        <v>0.67700000000000005</v>
      </c>
      <c r="L5918" s="508">
        <v>0.71399999999999997</v>
      </c>
      <c r="M5918" s="508">
        <v>0.69599999999999995</v>
      </c>
      <c r="N5918" s="508">
        <v>1.038</v>
      </c>
      <c r="O5918" s="508">
        <v>1.014</v>
      </c>
      <c r="P5918" s="508">
        <v>0.96699999999999997</v>
      </c>
      <c r="Q5918" s="508">
        <v>0.95399999999999996</v>
      </c>
      <c r="R5918" s="508">
        <v>0.54300000000000004</v>
      </c>
      <c r="S5918" s="508">
        <v>0.52500000000000002</v>
      </c>
      <c r="T5918" s="508">
        <v>0.54</v>
      </c>
      <c r="U5918" s="508">
        <v>0.52800000000000002</v>
      </c>
      <c r="V5918" s="508">
        <v>0.53400000000000003</v>
      </c>
      <c r="W5918" s="508">
        <v>0.48599999999999999</v>
      </c>
      <c r="X5918" s="508">
        <v>0.48199999999999998</v>
      </c>
      <c r="Y5918" s="508">
        <v>0.48799999999999999</v>
      </c>
      <c r="Z5918" s="508">
        <v>0.48699999999999999</v>
      </c>
      <c r="AA5918" s="508">
        <v>0.02</v>
      </c>
      <c r="AB5918" s="508">
        <v>1.9E-2</v>
      </c>
      <c r="AC5918" s="508">
        <v>2.1000000000000001E-2</v>
      </c>
      <c r="AD5918" s="508">
        <v>1.9E-2</v>
      </c>
      <c r="AE5918" s="508">
        <v>1.7999999999999999E-2</v>
      </c>
      <c r="AF5918" s="508">
        <v>1.0999999999999999E-2</v>
      </c>
      <c r="AG5918" s="508">
        <v>1.0999999999999999E-2</v>
      </c>
      <c r="AH5918" s="508">
        <v>1.0999999999999999E-2</v>
      </c>
      <c r="AI5918" s="492">
        <v>1.0999999999999999E-2</v>
      </c>
      <c r="AJ5918" s="485"/>
    </row>
    <row r="5919" spans="2:36">
      <c r="B5919" s="136" t="s">
        <v>467</v>
      </c>
      <c r="C5919" s="132" t="s">
        <v>1373</v>
      </c>
      <c r="D5919" s="132" t="s">
        <v>285</v>
      </c>
      <c r="E5919" s="508">
        <v>1.8029999999999999</v>
      </c>
      <c r="F5919" s="508">
        <v>1.7430000000000001</v>
      </c>
      <c r="G5919" s="508">
        <v>1.845</v>
      </c>
      <c r="H5919" s="508">
        <v>1.0529999999999999</v>
      </c>
      <c r="I5919" s="508">
        <v>1.0680000000000001</v>
      </c>
      <c r="J5919" s="508">
        <v>1.014</v>
      </c>
      <c r="K5919" s="508">
        <v>0.6</v>
      </c>
      <c r="L5919" s="508">
        <v>0.64100000000000001</v>
      </c>
      <c r="M5919" s="508">
        <v>0.621</v>
      </c>
      <c r="N5919" s="508">
        <v>0.91800000000000004</v>
      </c>
      <c r="O5919" s="508">
        <v>0.89800000000000002</v>
      </c>
      <c r="P5919" s="508">
        <v>0.85799999999999998</v>
      </c>
      <c r="Q5919" s="508">
        <v>0.84699999999999998</v>
      </c>
      <c r="R5919" s="508">
        <v>0.504</v>
      </c>
      <c r="S5919" s="508">
        <v>0.49</v>
      </c>
      <c r="T5919" s="508">
        <v>0.501</v>
      </c>
      <c r="U5919" s="508">
        <v>0.49299999999999999</v>
      </c>
      <c r="V5919" s="508">
        <v>0.497</v>
      </c>
      <c r="W5919" s="508">
        <v>0.45200000000000001</v>
      </c>
      <c r="X5919" s="508">
        <v>0.44800000000000001</v>
      </c>
      <c r="Y5919" s="508">
        <v>0.45300000000000001</v>
      </c>
      <c r="Z5919" s="508">
        <v>0.45300000000000001</v>
      </c>
      <c r="AA5919" s="508">
        <v>1.9E-2</v>
      </c>
      <c r="AB5919" s="508">
        <v>1.7999999999999999E-2</v>
      </c>
      <c r="AC5919" s="508">
        <v>1.9E-2</v>
      </c>
      <c r="AD5919" s="508">
        <v>1.7000000000000001E-2</v>
      </c>
      <c r="AE5919" s="508">
        <v>1.7000000000000001E-2</v>
      </c>
      <c r="AF5919" s="508">
        <v>0.01</v>
      </c>
      <c r="AG5919" s="508">
        <v>0.01</v>
      </c>
      <c r="AH5919" s="508">
        <v>0.01</v>
      </c>
      <c r="AI5919" s="492">
        <v>0.01</v>
      </c>
      <c r="AJ5919" s="485"/>
    </row>
    <row r="5920" spans="2:36">
      <c r="B5920" s="136" t="s">
        <v>468</v>
      </c>
      <c r="C5920" s="132" t="s">
        <v>1373</v>
      </c>
      <c r="D5920" s="132" t="s">
        <v>285</v>
      </c>
      <c r="E5920" s="508">
        <v>1.7190000000000001</v>
      </c>
      <c r="F5920" s="508">
        <v>1.661</v>
      </c>
      <c r="G5920" s="508">
        <v>1.76</v>
      </c>
      <c r="H5920" s="508">
        <v>0.98899999999999999</v>
      </c>
      <c r="I5920" s="508">
        <v>1.0029999999999999</v>
      </c>
      <c r="J5920" s="508">
        <v>0.95299999999999996</v>
      </c>
      <c r="K5920" s="508">
        <v>0.54700000000000004</v>
      </c>
      <c r="L5920" s="508">
        <v>0.59199999999999997</v>
      </c>
      <c r="M5920" s="508">
        <v>0.56999999999999995</v>
      </c>
      <c r="N5920" s="508">
        <v>0.83</v>
      </c>
      <c r="O5920" s="508">
        <v>0.81599999999999995</v>
      </c>
      <c r="P5920" s="508">
        <v>0.78700000000000003</v>
      </c>
      <c r="Q5920" s="508">
        <v>0.77900000000000003</v>
      </c>
      <c r="R5920" s="508">
        <v>0.46899999999999997</v>
      </c>
      <c r="S5920" s="508">
        <v>0.45800000000000002</v>
      </c>
      <c r="T5920" s="508">
        <v>0.46700000000000003</v>
      </c>
      <c r="U5920" s="508">
        <v>0.46</v>
      </c>
      <c r="V5920" s="508">
        <v>0.46300000000000002</v>
      </c>
      <c r="W5920" s="508">
        <v>0.42099999999999999</v>
      </c>
      <c r="X5920" s="508">
        <v>0.41799999999999998</v>
      </c>
      <c r="Y5920" s="508">
        <v>0.42199999999999999</v>
      </c>
      <c r="Z5920" s="508">
        <v>0.42099999999999999</v>
      </c>
      <c r="AA5920" s="508">
        <v>1.7999999999999999E-2</v>
      </c>
      <c r="AB5920" s="508">
        <v>1.7000000000000001E-2</v>
      </c>
      <c r="AC5920" s="508">
        <v>1.7999999999999999E-2</v>
      </c>
      <c r="AD5920" s="508">
        <v>1.6E-2</v>
      </c>
      <c r="AE5920" s="508">
        <v>1.6E-2</v>
      </c>
      <c r="AF5920" s="508">
        <v>0.01</v>
      </c>
      <c r="AG5920" s="508">
        <v>8.9999999999999993E-3</v>
      </c>
      <c r="AH5920" s="508">
        <v>8.9999999999999993E-3</v>
      </c>
      <c r="AI5920" s="492">
        <v>8.9999999999999993E-3</v>
      </c>
      <c r="AJ5920" s="485"/>
    </row>
    <row r="5921" spans="2:36">
      <c r="B5921" s="136" t="s">
        <v>469</v>
      </c>
      <c r="C5921" s="132" t="s">
        <v>1373</v>
      </c>
      <c r="D5921" s="132" t="s">
        <v>285</v>
      </c>
      <c r="E5921" s="508">
        <v>1.772</v>
      </c>
      <c r="F5921" s="508">
        <v>1.7130000000000001</v>
      </c>
      <c r="G5921" s="508">
        <v>1.8129999999999999</v>
      </c>
      <c r="H5921" s="508">
        <v>1.0289999999999999</v>
      </c>
      <c r="I5921" s="508">
        <v>1.044</v>
      </c>
      <c r="J5921" s="508">
        <v>0.99199999999999999</v>
      </c>
      <c r="K5921" s="508">
        <v>0.58199999999999996</v>
      </c>
      <c r="L5921" s="508">
        <v>0.624</v>
      </c>
      <c r="M5921" s="508">
        <v>0.60399999999999998</v>
      </c>
      <c r="N5921" s="508">
        <v>0.88900000000000001</v>
      </c>
      <c r="O5921" s="508">
        <v>0.87</v>
      </c>
      <c r="P5921" s="508">
        <v>0.83299999999999996</v>
      </c>
      <c r="Q5921" s="508">
        <v>0.82399999999999995</v>
      </c>
      <c r="R5921" s="508">
        <v>0.49199999999999999</v>
      </c>
      <c r="S5921" s="508">
        <v>0.47899999999999998</v>
      </c>
      <c r="T5921" s="508">
        <v>0.48899999999999999</v>
      </c>
      <c r="U5921" s="508">
        <v>0.48099999999999998</v>
      </c>
      <c r="V5921" s="508">
        <v>0.48499999999999999</v>
      </c>
      <c r="W5921" s="508">
        <v>0.441</v>
      </c>
      <c r="X5921" s="508">
        <v>0.438</v>
      </c>
      <c r="Y5921" s="508">
        <v>0.442</v>
      </c>
      <c r="Z5921" s="508">
        <v>0.442</v>
      </c>
      <c r="AA5921" s="508">
        <v>1.9E-2</v>
      </c>
      <c r="AB5921" s="508">
        <v>1.7999999999999999E-2</v>
      </c>
      <c r="AC5921" s="508">
        <v>1.9E-2</v>
      </c>
      <c r="AD5921" s="508">
        <v>1.7000000000000001E-2</v>
      </c>
      <c r="AE5921" s="508">
        <v>1.6E-2</v>
      </c>
      <c r="AF5921" s="508">
        <v>0.01</v>
      </c>
      <c r="AG5921" s="508">
        <v>0.01</v>
      </c>
      <c r="AH5921" s="508">
        <v>0.01</v>
      </c>
      <c r="AI5921" s="492">
        <v>0.01</v>
      </c>
      <c r="AJ5921" s="485"/>
    </row>
    <row r="5922" spans="2:36">
      <c r="B5922" s="136" t="s">
        <v>470</v>
      </c>
      <c r="C5922" s="132" t="s">
        <v>1373</v>
      </c>
      <c r="D5922" s="132" t="s">
        <v>285</v>
      </c>
      <c r="E5922" s="508">
        <v>1.8620000000000001</v>
      </c>
      <c r="F5922" s="508">
        <v>1.8</v>
      </c>
      <c r="G5922" s="508">
        <v>1.9039999999999999</v>
      </c>
      <c r="H5922" s="508">
        <v>1.1060000000000001</v>
      </c>
      <c r="I5922" s="508">
        <v>1.121</v>
      </c>
      <c r="J5922" s="508">
        <v>1.0660000000000001</v>
      </c>
      <c r="K5922" s="508">
        <v>0.64900000000000002</v>
      </c>
      <c r="L5922" s="508">
        <v>0.68799999999999994</v>
      </c>
      <c r="M5922" s="508">
        <v>0.66900000000000004</v>
      </c>
      <c r="N5922" s="508">
        <v>0.99299999999999999</v>
      </c>
      <c r="O5922" s="508">
        <v>0.97199999999999998</v>
      </c>
      <c r="P5922" s="508">
        <v>0.92800000000000005</v>
      </c>
      <c r="Q5922" s="508">
        <v>0.91700000000000004</v>
      </c>
      <c r="R5922" s="508">
        <v>0.52900000000000003</v>
      </c>
      <c r="S5922" s="508">
        <v>0.51200000000000001</v>
      </c>
      <c r="T5922" s="508">
        <v>0.52600000000000002</v>
      </c>
      <c r="U5922" s="508">
        <v>0.51500000000000001</v>
      </c>
      <c r="V5922" s="508">
        <v>0.52</v>
      </c>
      <c r="W5922" s="508">
        <v>0.47399999999999998</v>
      </c>
      <c r="X5922" s="508">
        <v>0.46899999999999997</v>
      </c>
      <c r="Y5922" s="508">
        <v>0.47499999999999998</v>
      </c>
      <c r="Z5922" s="508">
        <v>0.47499999999999998</v>
      </c>
      <c r="AA5922" s="508">
        <v>0.02</v>
      </c>
      <c r="AB5922" s="508">
        <v>1.9E-2</v>
      </c>
      <c r="AC5922" s="508">
        <v>0.02</v>
      </c>
      <c r="AD5922" s="508">
        <v>1.7999999999999999E-2</v>
      </c>
      <c r="AE5922" s="508">
        <v>1.7999999999999999E-2</v>
      </c>
      <c r="AF5922" s="508">
        <v>1.0999999999999999E-2</v>
      </c>
      <c r="AG5922" s="508">
        <v>0.01</v>
      </c>
      <c r="AH5922" s="508">
        <v>0.01</v>
      </c>
      <c r="AI5922" s="492">
        <v>0.01</v>
      </c>
      <c r="AJ5922" s="485"/>
    </row>
    <row r="5923" spans="2:36">
      <c r="B5923" s="136" t="s">
        <v>471</v>
      </c>
      <c r="C5923" s="132" t="s">
        <v>1373</v>
      </c>
      <c r="D5923" s="132" t="s">
        <v>285</v>
      </c>
      <c r="E5923" s="508">
        <v>1.8360000000000001</v>
      </c>
      <c r="F5923" s="508">
        <v>1.7749999999999999</v>
      </c>
      <c r="G5923" s="508">
        <v>1.8779999999999999</v>
      </c>
      <c r="H5923" s="508">
        <v>1.081</v>
      </c>
      <c r="I5923" s="508">
        <v>1.0960000000000001</v>
      </c>
      <c r="J5923" s="508">
        <v>1.0409999999999999</v>
      </c>
      <c r="K5923" s="508">
        <v>0.626</v>
      </c>
      <c r="L5923" s="508">
        <v>0.66500000000000004</v>
      </c>
      <c r="M5923" s="508">
        <v>0.64600000000000002</v>
      </c>
      <c r="N5923" s="508">
        <v>0.95799999999999996</v>
      </c>
      <c r="O5923" s="508">
        <v>0.93700000000000006</v>
      </c>
      <c r="P5923" s="508">
        <v>0.89400000000000002</v>
      </c>
      <c r="Q5923" s="508">
        <v>0.88300000000000001</v>
      </c>
      <c r="R5923" s="508">
        <v>0.51800000000000002</v>
      </c>
      <c r="S5923" s="508">
        <v>0.503</v>
      </c>
      <c r="T5923" s="508">
        <v>0.51500000000000001</v>
      </c>
      <c r="U5923" s="508">
        <v>0.50600000000000001</v>
      </c>
      <c r="V5923" s="508">
        <v>0.51</v>
      </c>
      <c r="W5923" s="508">
        <v>0.46400000000000002</v>
      </c>
      <c r="X5923" s="508">
        <v>0.46</v>
      </c>
      <c r="Y5923" s="508">
        <v>0.46600000000000003</v>
      </c>
      <c r="Z5923" s="508">
        <v>0.46500000000000002</v>
      </c>
      <c r="AA5923" s="508">
        <v>0.02</v>
      </c>
      <c r="AB5923" s="508">
        <v>1.7999999999999999E-2</v>
      </c>
      <c r="AC5923" s="508">
        <v>0.02</v>
      </c>
      <c r="AD5923" s="508">
        <v>1.7999999999999999E-2</v>
      </c>
      <c r="AE5923" s="508">
        <v>1.7000000000000001E-2</v>
      </c>
      <c r="AF5923" s="508">
        <v>0.01</v>
      </c>
      <c r="AG5923" s="508">
        <v>0.01</v>
      </c>
      <c r="AH5923" s="508">
        <v>0.01</v>
      </c>
      <c r="AI5923" s="492">
        <v>0.01</v>
      </c>
      <c r="AJ5923" s="485"/>
    </row>
    <row r="5924" spans="2:36">
      <c r="B5924" s="136" t="s">
        <v>472</v>
      </c>
      <c r="C5924" s="132" t="s">
        <v>1373</v>
      </c>
      <c r="D5924" s="132" t="s">
        <v>285</v>
      </c>
      <c r="E5924" s="508">
        <v>1.736</v>
      </c>
      <c r="F5924" s="508">
        <v>1.6779999999999999</v>
      </c>
      <c r="G5924" s="508">
        <v>1.7769999999999999</v>
      </c>
      <c r="H5924" s="508">
        <v>0.996</v>
      </c>
      <c r="I5924" s="508">
        <v>1.0109999999999999</v>
      </c>
      <c r="J5924" s="508">
        <v>0.95899999999999996</v>
      </c>
      <c r="K5924" s="508">
        <v>0.55100000000000005</v>
      </c>
      <c r="L5924" s="508">
        <v>0.59399999999999997</v>
      </c>
      <c r="M5924" s="508">
        <v>0.57299999999999995</v>
      </c>
      <c r="N5924" s="508">
        <v>0.84</v>
      </c>
      <c r="O5924" s="508">
        <v>0.82199999999999995</v>
      </c>
      <c r="P5924" s="508">
        <v>0.78700000000000003</v>
      </c>
      <c r="Q5924" s="508">
        <v>0.77800000000000002</v>
      </c>
      <c r="R5924" s="508">
        <v>0.47599999999999998</v>
      </c>
      <c r="S5924" s="508">
        <v>0.46500000000000002</v>
      </c>
      <c r="T5924" s="508">
        <v>0.47399999999999998</v>
      </c>
      <c r="U5924" s="508">
        <v>0.46700000000000003</v>
      </c>
      <c r="V5924" s="508">
        <v>0.47</v>
      </c>
      <c r="W5924" s="508">
        <v>0.42699999999999999</v>
      </c>
      <c r="X5924" s="508">
        <v>0.42399999999999999</v>
      </c>
      <c r="Y5924" s="508">
        <v>0.42799999999999999</v>
      </c>
      <c r="Z5924" s="508">
        <v>0.42799999999999999</v>
      </c>
      <c r="AA5924" s="508">
        <v>1.7999999999999999E-2</v>
      </c>
      <c r="AB5924" s="508">
        <v>1.7000000000000001E-2</v>
      </c>
      <c r="AC5924" s="508">
        <v>1.7999999999999999E-2</v>
      </c>
      <c r="AD5924" s="508">
        <v>1.6E-2</v>
      </c>
      <c r="AE5924" s="508">
        <v>1.6E-2</v>
      </c>
      <c r="AF5924" s="508">
        <v>0.01</v>
      </c>
      <c r="AG5924" s="508">
        <v>0.01</v>
      </c>
      <c r="AH5924" s="508">
        <v>0.01</v>
      </c>
      <c r="AI5924" s="492">
        <v>0.01</v>
      </c>
      <c r="AJ5924" s="485"/>
    </row>
    <row r="5925" spans="2:36">
      <c r="B5925" s="136" t="s">
        <v>473</v>
      </c>
      <c r="C5925" s="132" t="s">
        <v>1373</v>
      </c>
      <c r="D5925" s="132" t="s">
        <v>285</v>
      </c>
      <c r="E5925" s="508">
        <v>1.8660000000000001</v>
      </c>
      <c r="F5925" s="508">
        <v>1.8049999999999999</v>
      </c>
      <c r="G5925" s="508">
        <v>1.909</v>
      </c>
      <c r="H5925" s="508">
        <v>1.109</v>
      </c>
      <c r="I5925" s="508">
        <v>1.1240000000000001</v>
      </c>
      <c r="J5925" s="508">
        <v>1.069</v>
      </c>
      <c r="K5925" s="508">
        <v>0.65300000000000002</v>
      </c>
      <c r="L5925" s="508">
        <v>0.69099999999999995</v>
      </c>
      <c r="M5925" s="508">
        <v>0.67200000000000004</v>
      </c>
      <c r="N5925" s="508">
        <v>1.0009999999999999</v>
      </c>
      <c r="O5925" s="508">
        <v>0.97799999999999998</v>
      </c>
      <c r="P5925" s="508">
        <v>0.93200000000000005</v>
      </c>
      <c r="Q5925" s="508">
        <v>0.92</v>
      </c>
      <c r="R5925" s="508">
        <v>0.53200000000000003</v>
      </c>
      <c r="S5925" s="508">
        <v>0.51500000000000001</v>
      </c>
      <c r="T5925" s="508">
        <v>0.52900000000000003</v>
      </c>
      <c r="U5925" s="508">
        <v>0.51800000000000002</v>
      </c>
      <c r="V5925" s="508">
        <v>0.52300000000000002</v>
      </c>
      <c r="W5925" s="508">
        <v>0.47599999999999998</v>
      </c>
      <c r="X5925" s="508">
        <v>0.47199999999999998</v>
      </c>
      <c r="Y5925" s="508">
        <v>0.47799999999999998</v>
      </c>
      <c r="Z5925" s="508">
        <v>0.47699999999999998</v>
      </c>
      <c r="AA5925" s="508">
        <v>0.02</v>
      </c>
      <c r="AB5925" s="508">
        <v>1.9E-2</v>
      </c>
      <c r="AC5925" s="508">
        <v>0.02</v>
      </c>
      <c r="AD5925" s="508">
        <v>1.7999999999999999E-2</v>
      </c>
      <c r="AE5925" s="508">
        <v>1.7999999999999999E-2</v>
      </c>
      <c r="AF5925" s="508">
        <v>1.0999999999999999E-2</v>
      </c>
      <c r="AG5925" s="508">
        <v>1.0999999999999999E-2</v>
      </c>
      <c r="AH5925" s="508">
        <v>1.0999999999999999E-2</v>
      </c>
      <c r="AI5925" s="492">
        <v>1.0999999999999999E-2</v>
      </c>
      <c r="AJ5925" s="485"/>
    </row>
    <row r="5926" spans="2:36">
      <c r="B5926" s="136" t="s">
        <v>474</v>
      </c>
      <c r="C5926" s="132" t="s">
        <v>1373</v>
      </c>
      <c r="D5926" s="132" t="s">
        <v>285</v>
      </c>
      <c r="E5926" s="508">
        <v>1.8129999999999999</v>
      </c>
      <c r="F5926" s="508">
        <v>1.7529999999999999</v>
      </c>
      <c r="G5926" s="508">
        <v>1.855</v>
      </c>
      <c r="H5926" s="508">
        <v>1.0629999999999999</v>
      </c>
      <c r="I5926" s="508">
        <v>1.0780000000000001</v>
      </c>
      <c r="J5926" s="508">
        <v>1.024</v>
      </c>
      <c r="K5926" s="508">
        <v>0.61199999999999999</v>
      </c>
      <c r="L5926" s="508">
        <v>0.65200000000000002</v>
      </c>
      <c r="M5926" s="508">
        <v>0.63200000000000001</v>
      </c>
      <c r="N5926" s="508">
        <v>0.93500000000000005</v>
      </c>
      <c r="O5926" s="508">
        <v>0.91500000000000004</v>
      </c>
      <c r="P5926" s="508">
        <v>0.874</v>
      </c>
      <c r="Q5926" s="508">
        <v>0.86299999999999999</v>
      </c>
      <c r="R5926" s="508">
        <v>0.50900000000000001</v>
      </c>
      <c r="S5926" s="508">
        <v>0.495</v>
      </c>
      <c r="T5926" s="508">
        <v>0.50600000000000001</v>
      </c>
      <c r="U5926" s="508">
        <v>0.497</v>
      </c>
      <c r="V5926" s="508">
        <v>0.502</v>
      </c>
      <c r="W5926" s="508">
        <v>0.45600000000000002</v>
      </c>
      <c r="X5926" s="508">
        <v>0.45200000000000001</v>
      </c>
      <c r="Y5926" s="508">
        <v>0.45800000000000002</v>
      </c>
      <c r="Z5926" s="508">
        <v>0.45700000000000002</v>
      </c>
      <c r="AA5926" s="508">
        <v>1.9E-2</v>
      </c>
      <c r="AB5926" s="508">
        <v>1.7999999999999999E-2</v>
      </c>
      <c r="AC5926" s="508">
        <v>0.02</v>
      </c>
      <c r="AD5926" s="508">
        <v>1.7999999999999999E-2</v>
      </c>
      <c r="AE5926" s="508">
        <v>1.7000000000000001E-2</v>
      </c>
      <c r="AF5926" s="508">
        <v>0.01</v>
      </c>
      <c r="AG5926" s="508">
        <v>0.01</v>
      </c>
      <c r="AH5926" s="508">
        <v>0.01</v>
      </c>
      <c r="AI5926" s="492">
        <v>0.01</v>
      </c>
      <c r="AJ5926" s="485"/>
    </row>
    <row r="5927" spans="2:36">
      <c r="B5927" s="136" t="s">
        <v>475</v>
      </c>
      <c r="C5927" s="132" t="s">
        <v>1373</v>
      </c>
      <c r="D5927" s="132" t="s">
        <v>285</v>
      </c>
      <c r="E5927" s="508">
        <v>1.7929999999999999</v>
      </c>
      <c r="F5927" s="508">
        <v>1.734</v>
      </c>
      <c r="G5927" s="508">
        <v>1.835</v>
      </c>
      <c r="H5927" s="508">
        <v>1.046</v>
      </c>
      <c r="I5927" s="508">
        <v>1.0609999999999999</v>
      </c>
      <c r="J5927" s="508">
        <v>1.0069999999999999</v>
      </c>
      <c r="K5927" s="508">
        <v>0.59499999999999997</v>
      </c>
      <c r="L5927" s="508">
        <v>0.63600000000000001</v>
      </c>
      <c r="M5927" s="508">
        <v>0.61599999999999999</v>
      </c>
      <c r="N5927" s="508">
        <v>0.90900000000000003</v>
      </c>
      <c r="O5927" s="508">
        <v>0.89</v>
      </c>
      <c r="P5927" s="508">
        <v>0.85099999999999998</v>
      </c>
      <c r="Q5927" s="508">
        <v>0.84099999999999997</v>
      </c>
      <c r="R5927" s="508">
        <v>0.501</v>
      </c>
      <c r="S5927" s="508">
        <v>0.48699999999999999</v>
      </c>
      <c r="T5927" s="508">
        <v>0.498</v>
      </c>
      <c r="U5927" s="508">
        <v>0.48899999999999999</v>
      </c>
      <c r="V5927" s="508">
        <v>0.49299999999999999</v>
      </c>
      <c r="W5927" s="508">
        <v>0.44900000000000001</v>
      </c>
      <c r="X5927" s="508">
        <v>0.44500000000000001</v>
      </c>
      <c r="Y5927" s="508">
        <v>0.45</v>
      </c>
      <c r="Z5927" s="508">
        <v>0.44900000000000001</v>
      </c>
      <c r="AA5927" s="508">
        <v>1.9E-2</v>
      </c>
      <c r="AB5927" s="508">
        <v>1.7999999999999999E-2</v>
      </c>
      <c r="AC5927" s="508">
        <v>1.9E-2</v>
      </c>
      <c r="AD5927" s="508">
        <v>1.7000000000000001E-2</v>
      </c>
      <c r="AE5927" s="508">
        <v>1.7000000000000001E-2</v>
      </c>
      <c r="AF5927" s="508">
        <v>0.01</v>
      </c>
      <c r="AG5927" s="508">
        <v>0.01</v>
      </c>
      <c r="AH5927" s="508">
        <v>0.01</v>
      </c>
      <c r="AI5927" s="492">
        <v>0.01</v>
      </c>
      <c r="AJ5927" s="485"/>
    </row>
    <row r="5928" spans="2:36">
      <c r="B5928" s="136" t="s">
        <v>476</v>
      </c>
      <c r="C5928" s="132" t="s">
        <v>1373</v>
      </c>
      <c r="D5928" s="132" t="s">
        <v>285</v>
      </c>
      <c r="E5928" s="508">
        <v>1.8340000000000001</v>
      </c>
      <c r="F5928" s="508">
        <v>1.7729999999999999</v>
      </c>
      <c r="G5928" s="508">
        <v>1.8759999999999999</v>
      </c>
      <c r="H5928" s="508">
        <v>1.083</v>
      </c>
      <c r="I5928" s="508">
        <v>1.0980000000000001</v>
      </c>
      <c r="J5928" s="508">
        <v>1.044</v>
      </c>
      <c r="K5928" s="508">
        <v>0.63100000000000001</v>
      </c>
      <c r="L5928" s="508">
        <v>0.67100000000000004</v>
      </c>
      <c r="M5928" s="508">
        <v>0.65100000000000002</v>
      </c>
      <c r="N5928" s="508">
        <v>0.96499999999999997</v>
      </c>
      <c r="O5928" s="508">
        <v>0.94399999999999995</v>
      </c>
      <c r="P5928" s="508">
        <v>0.90200000000000002</v>
      </c>
      <c r="Q5928" s="508">
        <v>0.89200000000000002</v>
      </c>
      <c r="R5928" s="508">
        <v>0.51800000000000002</v>
      </c>
      <c r="S5928" s="508">
        <v>0.502</v>
      </c>
      <c r="T5928" s="508">
        <v>0.51500000000000001</v>
      </c>
      <c r="U5928" s="508">
        <v>0.505</v>
      </c>
      <c r="V5928" s="508">
        <v>0.51</v>
      </c>
      <c r="W5928" s="508">
        <v>0.46400000000000002</v>
      </c>
      <c r="X5928" s="508">
        <v>0.46</v>
      </c>
      <c r="Y5928" s="508">
        <v>0.46600000000000003</v>
      </c>
      <c r="Z5928" s="508">
        <v>0.46500000000000002</v>
      </c>
      <c r="AA5928" s="508">
        <v>0.02</v>
      </c>
      <c r="AB5928" s="508">
        <v>1.7999999999999999E-2</v>
      </c>
      <c r="AC5928" s="508">
        <v>0.02</v>
      </c>
      <c r="AD5928" s="508">
        <v>1.7999999999999999E-2</v>
      </c>
      <c r="AE5928" s="508">
        <v>1.7000000000000001E-2</v>
      </c>
      <c r="AF5928" s="508">
        <v>1.0999999999999999E-2</v>
      </c>
      <c r="AG5928" s="508">
        <v>0.01</v>
      </c>
      <c r="AH5928" s="508">
        <v>0.01</v>
      </c>
      <c r="AI5928" s="492">
        <v>0.01</v>
      </c>
      <c r="AJ5928" s="485"/>
    </row>
    <row r="5929" spans="2:36">
      <c r="B5929" s="136" t="s">
        <v>478</v>
      </c>
      <c r="C5929" s="132" t="s">
        <v>1373</v>
      </c>
      <c r="D5929" s="132" t="s">
        <v>285</v>
      </c>
      <c r="E5929" s="508">
        <v>1.8759999999999999</v>
      </c>
      <c r="F5929" s="508">
        <v>1.8140000000000001</v>
      </c>
      <c r="G5929" s="508">
        <v>1.919</v>
      </c>
      <c r="H5929" s="508">
        <v>1.121</v>
      </c>
      <c r="I5929" s="508">
        <v>1.1359999999999999</v>
      </c>
      <c r="J5929" s="508">
        <v>1.0820000000000001</v>
      </c>
      <c r="K5929" s="508">
        <v>0.66400000000000003</v>
      </c>
      <c r="L5929" s="508">
        <v>0.70299999999999996</v>
      </c>
      <c r="M5929" s="508">
        <v>0.68400000000000005</v>
      </c>
      <c r="N5929" s="508">
        <v>1.016</v>
      </c>
      <c r="O5929" s="508">
        <v>0.99399999999999999</v>
      </c>
      <c r="P5929" s="508">
        <v>0.95199999999999996</v>
      </c>
      <c r="Q5929" s="508">
        <v>0.94099999999999995</v>
      </c>
      <c r="R5929" s="508">
        <v>0.53500000000000003</v>
      </c>
      <c r="S5929" s="508">
        <v>0.51700000000000002</v>
      </c>
      <c r="T5929" s="508">
        <v>0.53200000000000003</v>
      </c>
      <c r="U5929" s="508">
        <v>0.52100000000000002</v>
      </c>
      <c r="V5929" s="508">
        <v>0.52600000000000002</v>
      </c>
      <c r="W5929" s="508">
        <v>0.47899999999999998</v>
      </c>
      <c r="X5929" s="508">
        <v>0.47399999999999998</v>
      </c>
      <c r="Y5929" s="508">
        <v>0.48099999999999998</v>
      </c>
      <c r="Z5929" s="508">
        <v>0.48</v>
      </c>
      <c r="AA5929" s="508">
        <v>0.02</v>
      </c>
      <c r="AB5929" s="508">
        <v>1.9E-2</v>
      </c>
      <c r="AC5929" s="508">
        <v>2.1000000000000001E-2</v>
      </c>
      <c r="AD5929" s="508">
        <v>1.7999999999999999E-2</v>
      </c>
      <c r="AE5929" s="508">
        <v>1.7999999999999999E-2</v>
      </c>
      <c r="AF5929" s="508">
        <v>1.0999999999999999E-2</v>
      </c>
      <c r="AG5929" s="508">
        <v>1.0999999999999999E-2</v>
      </c>
      <c r="AH5929" s="508">
        <v>1.0999999999999999E-2</v>
      </c>
      <c r="AI5929" s="492">
        <v>1.0999999999999999E-2</v>
      </c>
      <c r="AJ5929" s="485"/>
    </row>
    <row r="5930" spans="2:36">
      <c r="B5930" s="136" t="s">
        <v>479</v>
      </c>
      <c r="C5930" s="132" t="s">
        <v>1373</v>
      </c>
      <c r="D5930" s="132" t="s">
        <v>285</v>
      </c>
      <c r="E5930" s="508">
        <v>1.796</v>
      </c>
      <c r="F5930" s="508">
        <v>1.7370000000000001</v>
      </c>
      <c r="G5930" s="508">
        <v>1.8380000000000001</v>
      </c>
      <c r="H5930" s="508">
        <v>1.0509999999999999</v>
      </c>
      <c r="I5930" s="508">
        <v>1.0660000000000001</v>
      </c>
      <c r="J5930" s="508">
        <v>1.0129999999999999</v>
      </c>
      <c r="K5930" s="508">
        <v>0.60199999999999998</v>
      </c>
      <c r="L5930" s="508">
        <v>0.64300000000000002</v>
      </c>
      <c r="M5930" s="508">
        <v>0.623</v>
      </c>
      <c r="N5930" s="508">
        <v>0.92</v>
      </c>
      <c r="O5930" s="508">
        <v>0.9</v>
      </c>
      <c r="P5930" s="508">
        <v>0.86199999999999999</v>
      </c>
      <c r="Q5930" s="508">
        <v>0.85199999999999998</v>
      </c>
      <c r="R5930" s="508">
        <v>0.503</v>
      </c>
      <c r="S5930" s="508">
        <v>0.48799999999999999</v>
      </c>
      <c r="T5930" s="508">
        <v>0.5</v>
      </c>
      <c r="U5930" s="508">
        <v>0.49099999999999999</v>
      </c>
      <c r="V5930" s="508">
        <v>0.495</v>
      </c>
      <c r="W5930" s="508">
        <v>0.45</v>
      </c>
      <c r="X5930" s="508">
        <v>0.44700000000000001</v>
      </c>
      <c r="Y5930" s="508">
        <v>0.45200000000000001</v>
      </c>
      <c r="Z5930" s="508">
        <v>0.45100000000000001</v>
      </c>
      <c r="AA5930" s="508">
        <v>1.9E-2</v>
      </c>
      <c r="AB5930" s="508">
        <v>1.7999999999999999E-2</v>
      </c>
      <c r="AC5930" s="508">
        <v>1.9E-2</v>
      </c>
      <c r="AD5930" s="508">
        <v>1.7000000000000001E-2</v>
      </c>
      <c r="AE5930" s="508">
        <v>1.7000000000000001E-2</v>
      </c>
      <c r="AF5930" s="508">
        <v>0.01</v>
      </c>
      <c r="AG5930" s="508">
        <v>0.01</v>
      </c>
      <c r="AH5930" s="508">
        <v>0.01</v>
      </c>
      <c r="AI5930" s="492">
        <v>0.01</v>
      </c>
      <c r="AJ5930" s="485"/>
    </row>
    <row r="5931" spans="2:36">
      <c r="B5931" s="136" t="s">
        <v>480</v>
      </c>
      <c r="C5931" s="132" t="s">
        <v>1373</v>
      </c>
      <c r="D5931" s="132" t="s">
        <v>285</v>
      </c>
      <c r="E5931" s="508">
        <v>1.7190000000000001</v>
      </c>
      <c r="F5931" s="508">
        <v>1.661</v>
      </c>
      <c r="G5931" s="508">
        <v>1.7589999999999999</v>
      </c>
      <c r="H5931" s="508">
        <v>0.98499999999999999</v>
      </c>
      <c r="I5931" s="508">
        <v>0.999</v>
      </c>
      <c r="J5931" s="508">
        <v>0.94799999999999995</v>
      </c>
      <c r="K5931" s="508">
        <v>0.54200000000000004</v>
      </c>
      <c r="L5931" s="508">
        <v>0.58699999999999997</v>
      </c>
      <c r="M5931" s="508">
        <v>0.56499999999999995</v>
      </c>
      <c r="N5931" s="508">
        <v>0.82399999999999995</v>
      </c>
      <c r="O5931" s="508">
        <v>0.80900000000000005</v>
      </c>
      <c r="P5931" s="508">
        <v>0.77700000000000002</v>
      </c>
      <c r="Q5931" s="508">
        <v>0.76900000000000002</v>
      </c>
      <c r="R5931" s="508">
        <v>0.46899999999999997</v>
      </c>
      <c r="S5931" s="508">
        <v>0.45800000000000002</v>
      </c>
      <c r="T5931" s="508">
        <v>0.46700000000000003</v>
      </c>
      <c r="U5931" s="508">
        <v>0.46</v>
      </c>
      <c r="V5931" s="508">
        <v>0.46300000000000002</v>
      </c>
      <c r="W5931" s="508">
        <v>0.42099999999999999</v>
      </c>
      <c r="X5931" s="508">
        <v>0.41799999999999998</v>
      </c>
      <c r="Y5931" s="508">
        <v>0.42199999999999999</v>
      </c>
      <c r="Z5931" s="508">
        <v>0.42099999999999999</v>
      </c>
      <c r="AA5931" s="508">
        <v>1.7999999999999999E-2</v>
      </c>
      <c r="AB5931" s="508">
        <v>1.7000000000000001E-2</v>
      </c>
      <c r="AC5931" s="508">
        <v>1.7999999999999999E-2</v>
      </c>
      <c r="AD5931" s="508">
        <v>1.6E-2</v>
      </c>
      <c r="AE5931" s="508">
        <v>1.6E-2</v>
      </c>
      <c r="AF5931" s="508">
        <v>0.01</v>
      </c>
      <c r="AG5931" s="508">
        <v>8.9999999999999993E-3</v>
      </c>
      <c r="AH5931" s="508">
        <v>8.9999999999999993E-3</v>
      </c>
      <c r="AI5931" s="492">
        <v>8.9999999999999993E-3</v>
      </c>
      <c r="AJ5931" s="485"/>
    </row>
    <row r="5932" spans="2:36">
      <c r="B5932" s="136" t="s">
        <v>481</v>
      </c>
      <c r="C5932" s="132" t="s">
        <v>1373</v>
      </c>
      <c r="D5932" s="132" t="s">
        <v>285</v>
      </c>
      <c r="E5932" s="508">
        <v>1.8149999999999999</v>
      </c>
      <c r="F5932" s="508">
        <v>1.7549999999999999</v>
      </c>
      <c r="G5932" s="508">
        <v>1.857</v>
      </c>
      <c r="H5932" s="508">
        <v>1.0669999999999999</v>
      </c>
      <c r="I5932" s="508">
        <v>1.0820000000000001</v>
      </c>
      <c r="J5932" s="508">
        <v>1.028</v>
      </c>
      <c r="K5932" s="508">
        <v>0.61599999999999999</v>
      </c>
      <c r="L5932" s="508">
        <v>0.65700000000000003</v>
      </c>
      <c r="M5932" s="508">
        <v>0.63700000000000001</v>
      </c>
      <c r="N5932" s="508">
        <v>0.94099999999999995</v>
      </c>
      <c r="O5932" s="508">
        <v>0.92100000000000004</v>
      </c>
      <c r="P5932" s="508">
        <v>0.88100000000000001</v>
      </c>
      <c r="Q5932" s="508">
        <v>0.871</v>
      </c>
      <c r="R5932" s="508">
        <v>0.51</v>
      </c>
      <c r="S5932" s="508">
        <v>0.495</v>
      </c>
      <c r="T5932" s="508">
        <v>0.50700000000000001</v>
      </c>
      <c r="U5932" s="508">
        <v>0.498</v>
      </c>
      <c r="V5932" s="508">
        <v>0.502</v>
      </c>
      <c r="W5932" s="508">
        <v>0.45700000000000002</v>
      </c>
      <c r="X5932" s="508">
        <v>0.45300000000000001</v>
      </c>
      <c r="Y5932" s="508">
        <v>0.45800000000000002</v>
      </c>
      <c r="Z5932" s="508">
        <v>0.45800000000000002</v>
      </c>
      <c r="AA5932" s="508">
        <v>1.9E-2</v>
      </c>
      <c r="AB5932" s="508">
        <v>1.7999999999999999E-2</v>
      </c>
      <c r="AC5932" s="508">
        <v>0.02</v>
      </c>
      <c r="AD5932" s="508">
        <v>1.7999999999999999E-2</v>
      </c>
      <c r="AE5932" s="508">
        <v>1.7000000000000001E-2</v>
      </c>
      <c r="AF5932" s="508">
        <v>0.01</v>
      </c>
      <c r="AG5932" s="508">
        <v>0.01</v>
      </c>
      <c r="AH5932" s="508">
        <v>0.01</v>
      </c>
      <c r="AI5932" s="492">
        <v>0.01</v>
      </c>
      <c r="AJ5932" s="485"/>
    </row>
    <row r="5933" spans="2:36">
      <c r="B5933" s="136" t="s">
        <v>482</v>
      </c>
      <c r="C5933" s="132" t="s">
        <v>1373</v>
      </c>
      <c r="D5933" s="132" t="s">
        <v>285</v>
      </c>
      <c r="E5933" s="508">
        <v>1.8180000000000001</v>
      </c>
      <c r="F5933" s="508">
        <v>1.7569999999999999</v>
      </c>
      <c r="G5933" s="508">
        <v>1.86</v>
      </c>
      <c r="H5933" s="508">
        <v>1.069</v>
      </c>
      <c r="I5933" s="508">
        <v>1.0840000000000001</v>
      </c>
      <c r="J5933" s="508">
        <v>1.03</v>
      </c>
      <c r="K5933" s="508">
        <v>0.61599999999999999</v>
      </c>
      <c r="L5933" s="508">
        <v>0.65700000000000003</v>
      </c>
      <c r="M5933" s="508">
        <v>0.63700000000000001</v>
      </c>
      <c r="N5933" s="508">
        <v>0.94</v>
      </c>
      <c r="O5933" s="508">
        <v>0.92100000000000004</v>
      </c>
      <c r="P5933" s="508">
        <v>0.88200000000000001</v>
      </c>
      <c r="Q5933" s="508">
        <v>0.872</v>
      </c>
      <c r="R5933" s="508">
        <v>0.51</v>
      </c>
      <c r="S5933" s="508">
        <v>0.495</v>
      </c>
      <c r="T5933" s="508">
        <v>0.50700000000000001</v>
      </c>
      <c r="U5933" s="508">
        <v>0.498</v>
      </c>
      <c r="V5933" s="508">
        <v>0.502</v>
      </c>
      <c r="W5933" s="508">
        <v>0.45700000000000002</v>
      </c>
      <c r="X5933" s="508">
        <v>0.45300000000000001</v>
      </c>
      <c r="Y5933" s="508">
        <v>0.45800000000000002</v>
      </c>
      <c r="Z5933" s="508">
        <v>0.45800000000000002</v>
      </c>
      <c r="AA5933" s="508">
        <v>1.9E-2</v>
      </c>
      <c r="AB5933" s="508">
        <v>1.7999999999999999E-2</v>
      </c>
      <c r="AC5933" s="508">
        <v>0.02</v>
      </c>
      <c r="AD5933" s="508">
        <v>1.7999999999999999E-2</v>
      </c>
      <c r="AE5933" s="508">
        <v>1.7000000000000001E-2</v>
      </c>
      <c r="AF5933" s="508">
        <v>0.01</v>
      </c>
      <c r="AG5933" s="508">
        <v>0.01</v>
      </c>
      <c r="AH5933" s="508">
        <v>0.01</v>
      </c>
      <c r="AI5933" s="492">
        <v>0.01</v>
      </c>
      <c r="AJ5933" s="485"/>
    </row>
    <row r="5934" spans="2:36">
      <c r="B5934" s="136" t="s">
        <v>483</v>
      </c>
      <c r="C5934" s="132" t="s">
        <v>1373</v>
      </c>
      <c r="D5934" s="132" t="s">
        <v>285</v>
      </c>
      <c r="E5934" s="508">
        <v>1.867</v>
      </c>
      <c r="F5934" s="508">
        <v>1.8049999999999999</v>
      </c>
      <c r="G5934" s="508">
        <v>1.91</v>
      </c>
      <c r="H5934" s="508">
        <v>1.113</v>
      </c>
      <c r="I5934" s="508">
        <v>1.1279999999999999</v>
      </c>
      <c r="J5934" s="508">
        <v>1.073</v>
      </c>
      <c r="K5934" s="508">
        <v>0.65700000000000003</v>
      </c>
      <c r="L5934" s="508">
        <v>0.69599999999999995</v>
      </c>
      <c r="M5934" s="508">
        <v>0.67700000000000005</v>
      </c>
      <c r="N5934" s="508">
        <v>1.0049999999999999</v>
      </c>
      <c r="O5934" s="508">
        <v>0.98399999999999999</v>
      </c>
      <c r="P5934" s="508">
        <v>0.94099999999999995</v>
      </c>
      <c r="Q5934" s="508">
        <v>0.93</v>
      </c>
      <c r="R5934" s="508">
        <v>0.53200000000000003</v>
      </c>
      <c r="S5934" s="508">
        <v>0.51400000000000001</v>
      </c>
      <c r="T5934" s="508">
        <v>0.52800000000000002</v>
      </c>
      <c r="U5934" s="508">
        <v>0.51700000000000002</v>
      </c>
      <c r="V5934" s="508">
        <v>0.52300000000000002</v>
      </c>
      <c r="W5934" s="508">
        <v>0.47599999999999998</v>
      </c>
      <c r="X5934" s="508">
        <v>0.47199999999999998</v>
      </c>
      <c r="Y5934" s="508">
        <v>0.47799999999999998</v>
      </c>
      <c r="Z5934" s="508">
        <v>0.47699999999999998</v>
      </c>
      <c r="AA5934" s="508">
        <v>0.02</v>
      </c>
      <c r="AB5934" s="508">
        <v>1.9E-2</v>
      </c>
      <c r="AC5934" s="508">
        <v>2.1000000000000001E-2</v>
      </c>
      <c r="AD5934" s="508">
        <v>1.7999999999999999E-2</v>
      </c>
      <c r="AE5934" s="508">
        <v>1.7999999999999999E-2</v>
      </c>
      <c r="AF5934" s="508">
        <v>1.0999999999999999E-2</v>
      </c>
      <c r="AG5934" s="508">
        <v>1.0999999999999999E-2</v>
      </c>
      <c r="AH5934" s="508">
        <v>1.0999999999999999E-2</v>
      </c>
      <c r="AI5934" s="492">
        <v>1.0999999999999999E-2</v>
      </c>
      <c r="AJ5934" s="485"/>
    </row>
    <row r="5935" spans="2:36">
      <c r="B5935" s="136" t="s">
        <v>484</v>
      </c>
      <c r="C5935" s="132" t="s">
        <v>1373</v>
      </c>
      <c r="D5935" s="132" t="s">
        <v>285</v>
      </c>
      <c r="E5935" s="508">
        <v>1.732</v>
      </c>
      <c r="F5935" s="508">
        <v>1.6739999999999999</v>
      </c>
      <c r="G5935" s="508">
        <v>1.772</v>
      </c>
      <c r="H5935" s="508">
        <v>0.99299999999999999</v>
      </c>
      <c r="I5935" s="508">
        <v>1.008</v>
      </c>
      <c r="J5935" s="508">
        <v>0.95599999999999996</v>
      </c>
      <c r="K5935" s="508">
        <v>0.54800000000000004</v>
      </c>
      <c r="L5935" s="508">
        <v>0.59099999999999997</v>
      </c>
      <c r="M5935" s="508">
        <v>0.56999999999999995</v>
      </c>
      <c r="N5935" s="508">
        <v>0.83499999999999996</v>
      </c>
      <c r="O5935" s="508">
        <v>0.81799999999999995</v>
      </c>
      <c r="P5935" s="508">
        <v>0.78400000000000003</v>
      </c>
      <c r="Q5935" s="508">
        <v>0.77500000000000002</v>
      </c>
      <c r="R5935" s="508">
        <v>0.47499999999999998</v>
      </c>
      <c r="S5935" s="508">
        <v>0.46300000000000002</v>
      </c>
      <c r="T5935" s="508">
        <v>0.47199999999999998</v>
      </c>
      <c r="U5935" s="508">
        <v>0.46500000000000002</v>
      </c>
      <c r="V5935" s="508">
        <v>0.46899999999999997</v>
      </c>
      <c r="W5935" s="508">
        <v>0.42499999999999999</v>
      </c>
      <c r="X5935" s="508">
        <v>0.42299999999999999</v>
      </c>
      <c r="Y5935" s="508">
        <v>0.42599999999999999</v>
      </c>
      <c r="Z5935" s="508">
        <v>0.42599999999999999</v>
      </c>
      <c r="AA5935" s="508">
        <v>1.7999999999999999E-2</v>
      </c>
      <c r="AB5935" s="508">
        <v>1.7000000000000001E-2</v>
      </c>
      <c r="AC5935" s="508">
        <v>1.7999999999999999E-2</v>
      </c>
      <c r="AD5935" s="508">
        <v>1.6E-2</v>
      </c>
      <c r="AE5935" s="508">
        <v>1.6E-2</v>
      </c>
      <c r="AF5935" s="508">
        <v>0.01</v>
      </c>
      <c r="AG5935" s="508">
        <v>0.01</v>
      </c>
      <c r="AH5935" s="508">
        <v>8.9999999999999993E-3</v>
      </c>
      <c r="AI5935" s="492">
        <v>8.9999999999999993E-3</v>
      </c>
      <c r="AJ5935" s="485"/>
    </row>
    <row r="5936" spans="2:36">
      <c r="B5936" s="136" t="s">
        <v>486</v>
      </c>
      <c r="C5936" s="132" t="s">
        <v>1373</v>
      </c>
      <c r="D5936" s="132" t="s">
        <v>285</v>
      </c>
      <c r="E5936" s="508">
        <v>1.819</v>
      </c>
      <c r="F5936" s="508">
        <v>1.7589999999999999</v>
      </c>
      <c r="G5936" s="508">
        <v>1.8620000000000001</v>
      </c>
      <c r="H5936" s="508">
        <v>1.071</v>
      </c>
      <c r="I5936" s="508">
        <v>1.0860000000000001</v>
      </c>
      <c r="J5936" s="508">
        <v>1.032</v>
      </c>
      <c r="K5936" s="508">
        <v>0.61899999999999999</v>
      </c>
      <c r="L5936" s="508">
        <v>0.66</v>
      </c>
      <c r="M5936" s="508">
        <v>0.64</v>
      </c>
      <c r="N5936" s="508">
        <v>0.94599999999999995</v>
      </c>
      <c r="O5936" s="508">
        <v>0.92600000000000005</v>
      </c>
      <c r="P5936" s="508">
        <v>0.88700000000000001</v>
      </c>
      <c r="Q5936" s="508">
        <v>0.876</v>
      </c>
      <c r="R5936" s="508">
        <v>0.51200000000000001</v>
      </c>
      <c r="S5936" s="508">
        <v>0.496</v>
      </c>
      <c r="T5936" s="508">
        <v>0.50800000000000001</v>
      </c>
      <c r="U5936" s="508">
        <v>0.499</v>
      </c>
      <c r="V5936" s="508">
        <v>0.504</v>
      </c>
      <c r="W5936" s="508">
        <v>0.45800000000000002</v>
      </c>
      <c r="X5936" s="508">
        <v>0.45400000000000001</v>
      </c>
      <c r="Y5936" s="508">
        <v>0.46</v>
      </c>
      <c r="Z5936" s="508">
        <v>0.45900000000000002</v>
      </c>
      <c r="AA5936" s="508">
        <v>1.9E-2</v>
      </c>
      <c r="AB5936" s="508">
        <v>1.7999999999999999E-2</v>
      </c>
      <c r="AC5936" s="508">
        <v>0.02</v>
      </c>
      <c r="AD5936" s="508">
        <v>1.7999999999999999E-2</v>
      </c>
      <c r="AE5936" s="508">
        <v>1.7000000000000001E-2</v>
      </c>
      <c r="AF5936" s="508">
        <v>0.01</v>
      </c>
      <c r="AG5936" s="508">
        <v>0.01</v>
      </c>
      <c r="AH5936" s="508">
        <v>0.01</v>
      </c>
      <c r="AI5936" s="492">
        <v>0.01</v>
      </c>
      <c r="AJ5936" s="485"/>
    </row>
    <row r="5937" spans="2:36">
      <c r="B5937" s="136" t="s">
        <v>487</v>
      </c>
      <c r="C5937" s="132" t="s">
        <v>1373</v>
      </c>
      <c r="D5937" s="132" t="s">
        <v>285</v>
      </c>
      <c r="E5937" s="508">
        <v>1.819</v>
      </c>
      <c r="F5937" s="508">
        <v>1.758</v>
      </c>
      <c r="G5937" s="508">
        <v>1.861</v>
      </c>
      <c r="H5937" s="508">
        <v>1.0720000000000001</v>
      </c>
      <c r="I5937" s="508">
        <v>1.087</v>
      </c>
      <c r="J5937" s="508">
        <v>1.034</v>
      </c>
      <c r="K5937" s="508">
        <v>0.62</v>
      </c>
      <c r="L5937" s="508">
        <v>0.66200000000000003</v>
      </c>
      <c r="M5937" s="508">
        <v>0.64100000000000001</v>
      </c>
      <c r="N5937" s="508">
        <v>0.94599999999999995</v>
      </c>
      <c r="O5937" s="508">
        <v>0.92800000000000005</v>
      </c>
      <c r="P5937" s="508">
        <v>0.89</v>
      </c>
      <c r="Q5937" s="508">
        <v>0.88</v>
      </c>
      <c r="R5937" s="508">
        <v>0.51100000000000001</v>
      </c>
      <c r="S5937" s="508">
        <v>0.495</v>
      </c>
      <c r="T5937" s="508">
        <v>0.50800000000000001</v>
      </c>
      <c r="U5937" s="508">
        <v>0.498</v>
      </c>
      <c r="V5937" s="508">
        <v>0.503</v>
      </c>
      <c r="W5937" s="508">
        <v>0.45800000000000002</v>
      </c>
      <c r="X5937" s="508">
        <v>0.45300000000000001</v>
      </c>
      <c r="Y5937" s="508">
        <v>0.45900000000000002</v>
      </c>
      <c r="Z5937" s="508">
        <v>0.45800000000000002</v>
      </c>
      <c r="AA5937" s="508">
        <v>1.9E-2</v>
      </c>
      <c r="AB5937" s="508">
        <v>1.7999999999999999E-2</v>
      </c>
      <c r="AC5937" s="508">
        <v>0.02</v>
      </c>
      <c r="AD5937" s="508">
        <v>1.7999999999999999E-2</v>
      </c>
      <c r="AE5937" s="508">
        <v>1.7000000000000001E-2</v>
      </c>
      <c r="AF5937" s="508">
        <v>0.01</v>
      </c>
      <c r="AG5937" s="508">
        <v>0.01</v>
      </c>
      <c r="AH5937" s="508">
        <v>0.01</v>
      </c>
      <c r="AI5937" s="492">
        <v>0.01</v>
      </c>
      <c r="AJ5937" s="485"/>
    </row>
    <row r="5938" spans="2:36">
      <c r="B5938" s="136" t="s">
        <v>488</v>
      </c>
      <c r="C5938" s="132" t="s">
        <v>1373</v>
      </c>
      <c r="D5938" s="132" t="s">
        <v>285</v>
      </c>
      <c r="E5938" s="508">
        <v>1.7529999999999999</v>
      </c>
      <c r="F5938" s="508">
        <v>1.694</v>
      </c>
      <c r="G5938" s="508">
        <v>1.794</v>
      </c>
      <c r="H5938" s="508">
        <v>1.012</v>
      </c>
      <c r="I5938" s="508">
        <v>1.0269999999999999</v>
      </c>
      <c r="J5938" s="508">
        <v>0.97499999999999998</v>
      </c>
      <c r="K5938" s="508">
        <v>0.56499999999999995</v>
      </c>
      <c r="L5938" s="508">
        <v>0.60799999999999998</v>
      </c>
      <c r="M5938" s="508">
        <v>0.58699999999999997</v>
      </c>
      <c r="N5938" s="508">
        <v>0.86099999999999999</v>
      </c>
      <c r="O5938" s="508">
        <v>0.84399999999999997</v>
      </c>
      <c r="P5938" s="508">
        <v>0.80900000000000005</v>
      </c>
      <c r="Q5938" s="508">
        <v>0.8</v>
      </c>
      <c r="R5938" s="508">
        <v>0.48299999999999998</v>
      </c>
      <c r="S5938" s="508">
        <v>0.47099999999999997</v>
      </c>
      <c r="T5938" s="508">
        <v>0.48</v>
      </c>
      <c r="U5938" s="508">
        <v>0.47299999999999998</v>
      </c>
      <c r="V5938" s="508">
        <v>0.47599999999999998</v>
      </c>
      <c r="W5938" s="508">
        <v>0.433</v>
      </c>
      <c r="X5938" s="508">
        <v>0.43</v>
      </c>
      <c r="Y5938" s="508">
        <v>0.434</v>
      </c>
      <c r="Z5938" s="508">
        <v>0.434</v>
      </c>
      <c r="AA5938" s="508">
        <v>1.7999999999999999E-2</v>
      </c>
      <c r="AB5938" s="508">
        <v>1.7000000000000001E-2</v>
      </c>
      <c r="AC5938" s="508">
        <v>1.9E-2</v>
      </c>
      <c r="AD5938" s="508">
        <v>1.7000000000000001E-2</v>
      </c>
      <c r="AE5938" s="508">
        <v>1.6E-2</v>
      </c>
      <c r="AF5938" s="508">
        <v>0.01</v>
      </c>
      <c r="AG5938" s="508">
        <v>0.01</v>
      </c>
      <c r="AH5938" s="508">
        <v>0.01</v>
      </c>
      <c r="AI5938" s="492">
        <v>0.01</v>
      </c>
      <c r="AJ5938" s="485"/>
    </row>
    <row r="5939" spans="2:36">
      <c r="B5939" s="136" t="s">
        <v>489</v>
      </c>
      <c r="C5939" s="132" t="s">
        <v>1373</v>
      </c>
      <c r="D5939" s="132" t="s">
        <v>285</v>
      </c>
      <c r="E5939" s="508">
        <v>1.7869999999999999</v>
      </c>
      <c r="F5939" s="508">
        <v>1.7270000000000001</v>
      </c>
      <c r="G5939" s="508">
        <v>1.8280000000000001</v>
      </c>
      <c r="H5939" s="508">
        <v>1.0409999999999999</v>
      </c>
      <c r="I5939" s="508">
        <v>1.056</v>
      </c>
      <c r="J5939" s="508">
        <v>1.002</v>
      </c>
      <c r="K5939" s="508">
        <v>0.59</v>
      </c>
      <c r="L5939" s="508">
        <v>0.63200000000000001</v>
      </c>
      <c r="M5939" s="508">
        <v>0.61199999999999999</v>
      </c>
      <c r="N5939" s="508">
        <v>0.90100000000000002</v>
      </c>
      <c r="O5939" s="508">
        <v>0.88300000000000001</v>
      </c>
      <c r="P5939" s="508">
        <v>0.84399999999999997</v>
      </c>
      <c r="Q5939" s="508">
        <v>0.83399999999999996</v>
      </c>
      <c r="R5939" s="508">
        <v>0.498</v>
      </c>
      <c r="S5939" s="508">
        <v>0.48399999999999999</v>
      </c>
      <c r="T5939" s="508">
        <v>0.495</v>
      </c>
      <c r="U5939" s="508">
        <v>0.48599999999999999</v>
      </c>
      <c r="V5939" s="508">
        <v>0.49099999999999999</v>
      </c>
      <c r="W5939" s="508">
        <v>0.44600000000000001</v>
      </c>
      <c r="X5939" s="508">
        <v>0.442</v>
      </c>
      <c r="Y5939" s="508">
        <v>0.44700000000000001</v>
      </c>
      <c r="Z5939" s="508">
        <v>0.44700000000000001</v>
      </c>
      <c r="AA5939" s="508">
        <v>1.9E-2</v>
      </c>
      <c r="AB5939" s="508">
        <v>1.7999999999999999E-2</v>
      </c>
      <c r="AC5939" s="508">
        <v>1.9E-2</v>
      </c>
      <c r="AD5939" s="508">
        <v>1.7000000000000001E-2</v>
      </c>
      <c r="AE5939" s="508">
        <v>1.7000000000000001E-2</v>
      </c>
      <c r="AF5939" s="508">
        <v>0.01</v>
      </c>
      <c r="AG5939" s="508">
        <v>0.01</v>
      </c>
      <c r="AH5939" s="508">
        <v>0.01</v>
      </c>
      <c r="AI5939" s="492">
        <v>0.01</v>
      </c>
      <c r="AJ5939" s="485"/>
    </row>
    <row r="5940" spans="2:36">
      <c r="B5940" s="136" t="s">
        <v>490</v>
      </c>
      <c r="C5940" s="132" t="s">
        <v>1373</v>
      </c>
      <c r="D5940" s="132" t="s">
        <v>285</v>
      </c>
      <c r="E5940" s="508">
        <v>1.72</v>
      </c>
      <c r="F5940" s="508">
        <v>1.6619999999999999</v>
      </c>
      <c r="G5940" s="508">
        <v>1.7609999999999999</v>
      </c>
      <c r="H5940" s="508">
        <v>0.98799999999999999</v>
      </c>
      <c r="I5940" s="508">
        <v>1.0029999999999999</v>
      </c>
      <c r="J5940" s="508">
        <v>0.95199999999999996</v>
      </c>
      <c r="K5940" s="508">
        <v>0.54700000000000004</v>
      </c>
      <c r="L5940" s="508">
        <v>0.59099999999999997</v>
      </c>
      <c r="M5940" s="508">
        <v>0.56999999999999995</v>
      </c>
      <c r="N5940" s="508">
        <v>0.83099999999999996</v>
      </c>
      <c r="O5940" s="508">
        <v>0.81599999999999995</v>
      </c>
      <c r="P5940" s="508">
        <v>0.78400000000000003</v>
      </c>
      <c r="Q5940" s="508">
        <v>0.77600000000000002</v>
      </c>
      <c r="R5940" s="508">
        <v>0.47</v>
      </c>
      <c r="S5940" s="508">
        <v>0.45900000000000002</v>
      </c>
      <c r="T5940" s="508">
        <v>0.46800000000000003</v>
      </c>
      <c r="U5940" s="508">
        <v>0.46100000000000002</v>
      </c>
      <c r="V5940" s="508">
        <v>0.46400000000000002</v>
      </c>
      <c r="W5940" s="508">
        <v>0.42199999999999999</v>
      </c>
      <c r="X5940" s="508">
        <v>0.41899999999999998</v>
      </c>
      <c r="Y5940" s="508">
        <v>0.42299999999999999</v>
      </c>
      <c r="Z5940" s="508">
        <v>0.42199999999999999</v>
      </c>
      <c r="AA5940" s="508">
        <v>1.7999999999999999E-2</v>
      </c>
      <c r="AB5940" s="508">
        <v>1.7000000000000001E-2</v>
      </c>
      <c r="AC5940" s="508">
        <v>1.7999999999999999E-2</v>
      </c>
      <c r="AD5940" s="508">
        <v>1.6E-2</v>
      </c>
      <c r="AE5940" s="508">
        <v>1.6E-2</v>
      </c>
      <c r="AF5940" s="508">
        <v>0.01</v>
      </c>
      <c r="AG5940" s="508">
        <v>8.9999999999999993E-3</v>
      </c>
      <c r="AH5940" s="508">
        <v>8.9999999999999993E-3</v>
      </c>
      <c r="AI5940" s="492">
        <v>8.9999999999999993E-3</v>
      </c>
      <c r="AJ5940" s="485"/>
    </row>
    <row r="5941" spans="2:36">
      <c r="B5941" s="136" t="s">
        <v>435</v>
      </c>
      <c r="C5941" s="132" t="s">
        <v>1374</v>
      </c>
      <c r="D5941" s="132" t="s">
        <v>285</v>
      </c>
      <c r="E5941" s="508">
        <v>0.123</v>
      </c>
      <c r="F5941" s="508">
        <v>0.11700000000000001</v>
      </c>
      <c r="G5941" s="508">
        <v>0.115</v>
      </c>
      <c r="H5941" s="508">
        <v>9.8000000000000004E-2</v>
      </c>
      <c r="I5941" s="508">
        <v>9.7000000000000003E-2</v>
      </c>
      <c r="J5941" s="508">
        <v>9.0999999999999998E-2</v>
      </c>
      <c r="K5941" s="508">
        <v>6.7000000000000004E-2</v>
      </c>
      <c r="L5941" s="508">
        <v>6.6000000000000003E-2</v>
      </c>
      <c r="M5941" s="508">
        <v>6.6000000000000003E-2</v>
      </c>
      <c r="N5941" s="508">
        <v>7.3999999999999996E-2</v>
      </c>
      <c r="O5941" s="508">
        <v>0.06</v>
      </c>
      <c r="P5941" s="508">
        <v>4.3999999999999997E-2</v>
      </c>
      <c r="Q5941" s="508">
        <v>3.5000000000000003E-2</v>
      </c>
      <c r="R5941" s="508">
        <v>0.04</v>
      </c>
      <c r="S5941" s="508">
        <v>4.2999999999999997E-2</v>
      </c>
      <c r="T5941" s="508">
        <v>3.5999999999999997E-2</v>
      </c>
      <c r="U5941" s="508">
        <v>3.7999999999999999E-2</v>
      </c>
      <c r="V5941" s="508">
        <v>1.9E-2</v>
      </c>
      <c r="W5941" s="508"/>
      <c r="X5941" s="508">
        <v>1.7999999999999999E-2</v>
      </c>
      <c r="Y5941" s="508"/>
      <c r="Z5941" s="508"/>
      <c r="AA5941" s="508"/>
      <c r="AB5941" s="508"/>
      <c r="AC5941" s="508"/>
      <c r="AD5941" s="508"/>
      <c r="AE5941" s="508"/>
      <c r="AF5941" s="508"/>
      <c r="AG5941" s="508"/>
      <c r="AH5941" s="508"/>
      <c r="AI5941" s="492"/>
      <c r="AJ5941" s="485"/>
    </row>
    <row r="5942" spans="2:36">
      <c r="B5942" s="136" t="s">
        <v>436</v>
      </c>
      <c r="C5942" s="132" t="s">
        <v>1374</v>
      </c>
      <c r="D5942" s="132" t="s">
        <v>285</v>
      </c>
      <c r="E5942" s="508">
        <v>0.36699999999999999</v>
      </c>
      <c r="F5942" s="508">
        <v>0.372</v>
      </c>
      <c r="G5942" s="508">
        <v>0.36299999999999999</v>
      </c>
      <c r="H5942" s="508">
        <v>0.29099999999999998</v>
      </c>
      <c r="I5942" s="508">
        <v>0.28599999999999998</v>
      </c>
      <c r="J5942" s="508">
        <v>0.29899999999999999</v>
      </c>
      <c r="K5942" s="508">
        <v>0.20699999999999999</v>
      </c>
      <c r="L5942" s="508">
        <v>0.20399999999999999</v>
      </c>
      <c r="M5942" s="508">
        <v>0.20200000000000001</v>
      </c>
      <c r="N5942" s="508">
        <v>0.20799999999999999</v>
      </c>
      <c r="O5942" s="508">
        <v>0.19400000000000001</v>
      </c>
      <c r="P5942" s="508">
        <v>0.14199999999999999</v>
      </c>
      <c r="Q5942" s="508">
        <v>0.11</v>
      </c>
      <c r="R5942" s="508">
        <v>0.123</v>
      </c>
      <c r="S5942" s="508">
        <v>0.14499999999999999</v>
      </c>
      <c r="T5942" s="508">
        <v>0.12</v>
      </c>
      <c r="U5942" s="508">
        <v>0.114</v>
      </c>
      <c r="V5942" s="508">
        <v>5.6000000000000001E-2</v>
      </c>
      <c r="W5942" s="508"/>
      <c r="X5942" s="508">
        <v>2.1999999999999999E-2</v>
      </c>
      <c r="Y5942" s="508"/>
      <c r="Z5942" s="508"/>
      <c r="AA5942" s="508"/>
      <c r="AB5942" s="508"/>
      <c r="AC5942" s="508"/>
      <c r="AD5942" s="508"/>
      <c r="AE5942" s="508"/>
      <c r="AF5942" s="508"/>
      <c r="AG5942" s="508"/>
      <c r="AH5942" s="508"/>
      <c r="AI5942" s="492"/>
      <c r="AJ5942" s="485"/>
    </row>
    <row r="5943" spans="2:36">
      <c r="B5943" s="136" t="s">
        <v>437</v>
      </c>
      <c r="C5943" s="132" t="s">
        <v>1374</v>
      </c>
      <c r="D5943" s="132" t="s">
        <v>285</v>
      </c>
      <c r="E5943" s="508">
        <v>0.11700000000000001</v>
      </c>
      <c r="F5943" s="508">
        <v>0.122</v>
      </c>
      <c r="G5943" s="508">
        <v>0.12</v>
      </c>
      <c r="H5943" s="508">
        <v>9.4E-2</v>
      </c>
      <c r="I5943" s="508">
        <v>9.2999999999999999E-2</v>
      </c>
      <c r="J5943" s="508">
        <v>0.10199999999999999</v>
      </c>
      <c r="K5943" s="508">
        <v>7.0999999999999994E-2</v>
      </c>
      <c r="L5943" s="508">
        <v>7.0999999999999994E-2</v>
      </c>
      <c r="M5943" s="508">
        <v>7.0000000000000007E-2</v>
      </c>
      <c r="N5943" s="508">
        <v>6.7000000000000004E-2</v>
      </c>
      <c r="O5943" s="508">
        <v>6.8000000000000005E-2</v>
      </c>
      <c r="P5943" s="508">
        <v>5.0999999999999997E-2</v>
      </c>
      <c r="Q5943" s="508">
        <v>3.7999999999999999E-2</v>
      </c>
      <c r="R5943" s="508">
        <v>4.2999999999999997E-2</v>
      </c>
      <c r="S5943" s="508">
        <v>5.2999999999999999E-2</v>
      </c>
      <c r="T5943" s="508">
        <v>4.2999999999999997E-2</v>
      </c>
      <c r="U5943" s="508">
        <v>3.7999999999999999E-2</v>
      </c>
      <c r="V5943" s="508">
        <v>1.9E-2</v>
      </c>
      <c r="W5943" s="508"/>
      <c r="X5943" s="508">
        <v>1.9E-2</v>
      </c>
      <c r="Y5943" s="508"/>
      <c r="Z5943" s="508"/>
      <c r="AA5943" s="508"/>
      <c r="AB5943" s="508"/>
      <c r="AC5943" s="508"/>
      <c r="AD5943" s="508"/>
      <c r="AE5943" s="508"/>
      <c r="AF5943" s="508"/>
      <c r="AG5943" s="508"/>
      <c r="AH5943" s="508"/>
      <c r="AI5943" s="492"/>
      <c r="AJ5943" s="485"/>
    </row>
    <row r="5944" spans="2:36">
      <c r="B5944" s="136" t="s">
        <v>438</v>
      </c>
      <c r="C5944" s="132" t="s">
        <v>1374</v>
      </c>
      <c r="D5944" s="132" t="s">
        <v>285</v>
      </c>
      <c r="E5944" s="508">
        <v>0.13600000000000001</v>
      </c>
      <c r="F5944" s="508">
        <v>0.14099999999999999</v>
      </c>
      <c r="G5944" s="508">
        <v>0.13900000000000001</v>
      </c>
      <c r="H5944" s="508">
        <v>0.112</v>
      </c>
      <c r="I5944" s="508">
        <v>0.111</v>
      </c>
      <c r="J5944" s="508">
        <v>0.11700000000000001</v>
      </c>
      <c r="K5944" s="508">
        <v>7.9000000000000001E-2</v>
      </c>
      <c r="L5944" s="508">
        <v>7.8E-2</v>
      </c>
      <c r="M5944" s="508">
        <v>7.8E-2</v>
      </c>
      <c r="N5944" s="508">
        <v>8.4000000000000005E-2</v>
      </c>
      <c r="O5944" s="508">
        <v>7.5999999999999998E-2</v>
      </c>
      <c r="P5944" s="508">
        <v>5.6000000000000001E-2</v>
      </c>
      <c r="Q5944" s="508">
        <v>4.3999999999999997E-2</v>
      </c>
      <c r="R5944" s="508">
        <v>0.05</v>
      </c>
      <c r="S5944" s="508">
        <v>5.8000000000000003E-2</v>
      </c>
      <c r="T5944" s="508">
        <v>4.8000000000000001E-2</v>
      </c>
      <c r="U5944" s="508">
        <v>4.7E-2</v>
      </c>
      <c r="V5944" s="508">
        <v>2.3E-2</v>
      </c>
      <c r="W5944" s="508"/>
      <c r="X5944" s="508">
        <v>0.02</v>
      </c>
      <c r="Y5944" s="508"/>
      <c r="Z5944" s="508"/>
      <c r="AA5944" s="508"/>
      <c r="AB5944" s="508"/>
      <c r="AC5944" s="508"/>
      <c r="AD5944" s="508"/>
      <c r="AE5944" s="508"/>
      <c r="AF5944" s="508"/>
      <c r="AG5944" s="508"/>
      <c r="AH5944" s="508"/>
      <c r="AI5944" s="492"/>
      <c r="AJ5944" s="485"/>
    </row>
    <row r="5945" spans="2:36">
      <c r="B5945" s="136" t="s">
        <v>439</v>
      </c>
      <c r="C5945" s="132" t="s">
        <v>1374</v>
      </c>
      <c r="D5945" s="132" t="s">
        <v>285</v>
      </c>
      <c r="E5945" s="508">
        <v>0.155</v>
      </c>
      <c r="F5945" s="508">
        <v>0.16600000000000001</v>
      </c>
      <c r="G5945" s="508">
        <v>0.16300000000000001</v>
      </c>
      <c r="H5945" s="508">
        <v>0.123</v>
      </c>
      <c r="I5945" s="508">
        <v>0.122</v>
      </c>
      <c r="J5945" s="508">
        <v>0.14000000000000001</v>
      </c>
      <c r="K5945" s="508">
        <v>9.7000000000000003E-2</v>
      </c>
      <c r="L5945" s="508">
        <v>9.6000000000000002E-2</v>
      </c>
      <c r="M5945" s="508">
        <v>9.5000000000000001E-2</v>
      </c>
      <c r="N5945" s="508">
        <v>8.5000000000000006E-2</v>
      </c>
      <c r="O5945" s="508">
        <v>9.4E-2</v>
      </c>
      <c r="P5945" s="508">
        <v>7.0999999999999994E-2</v>
      </c>
      <c r="Q5945" s="508">
        <v>5.0999999999999997E-2</v>
      </c>
      <c r="R5945" s="508">
        <v>5.8000000000000003E-2</v>
      </c>
      <c r="S5945" s="508">
        <v>7.3999999999999996E-2</v>
      </c>
      <c r="T5945" s="508">
        <v>0.06</v>
      </c>
      <c r="U5945" s="508">
        <v>0.05</v>
      </c>
      <c r="V5945" s="508">
        <v>2.4E-2</v>
      </c>
      <c r="W5945" s="508"/>
      <c r="X5945" s="508">
        <v>0.02</v>
      </c>
      <c r="Y5945" s="508"/>
      <c r="Z5945" s="508"/>
      <c r="AA5945" s="508"/>
      <c r="AB5945" s="508"/>
      <c r="AC5945" s="508"/>
      <c r="AD5945" s="508"/>
      <c r="AE5945" s="508"/>
      <c r="AF5945" s="508"/>
      <c r="AG5945" s="508"/>
      <c r="AH5945" s="508"/>
      <c r="AI5945" s="492"/>
      <c r="AJ5945" s="485"/>
    </row>
    <row r="5946" spans="2:36">
      <c r="B5946" s="136" t="s">
        <v>440</v>
      </c>
      <c r="C5946" s="132" t="s">
        <v>1374</v>
      </c>
      <c r="D5946" s="132" t="s">
        <v>285</v>
      </c>
      <c r="E5946" s="508">
        <v>0.222</v>
      </c>
      <c r="F5946" s="508">
        <v>0.22900000000000001</v>
      </c>
      <c r="G5946" s="508">
        <v>0.224</v>
      </c>
      <c r="H5946" s="508">
        <v>0.17599999999999999</v>
      </c>
      <c r="I5946" s="508">
        <v>0.17299999999999999</v>
      </c>
      <c r="J5946" s="508">
        <v>0.188</v>
      </c>
      <c r="K5946" s="508">
        <v>0.13100000000000001</v>
      </c>
      <c r="L5946" s="508">
        <v>0.13</v>
      </c>
      <c r="M5946" s="508">
        <v>0.128</v>
      </c>
      <c r="N5946" s="508">
        <v>0.124</v>
      </c>
      <c r="O5946" s="508">
        <v>0.124</v>
      </c>
      <c r="P5946" s="508">
        <v>9.2999999999999999E-2</v>
      </c>
      <c r="Q5946" s="508">
        <v>6.9000000000000006E-2</v>
      </c>
      <c r="R5946" s="508">
        <v>7.8E-2</v>
      </c>
      <c r="S5946" s="508">
        <v>9.6000000000000002E-2</v>
      </c>
      <c r="T5946" s="508">
        <v>7.8E-2</v>
      </c>
      <c r="U5946" s="508">
        <v>7.2999999999999995E-2</v>
      </c>
      <c r="V5946" s="508">
        <v>3.5000000000000003E-2</v>
      </c>
      <c r="W5946" s="508"/>
      <c r="X5946" s="508">
        <v>2.1000000000000001E-2</v>
      </c>
      <c r="Y5946" s="508"/>
      <c r="Z5946" s="508"/>
      <c r="AA5946" s="508"/>
      <c r="AB5946" s="508"/>
      <c r="AC5946" s="508"/>
      <c r="AD5946" s="508"/>
      <c r="AE5946" s="508"/>
      <c r="AF5946" s="508"/>
      <c r="AG5946" s="508"/>
      <c r="AH5946" s="508"/>
      <c r="AI5946" s="492"/>
      <c r="AJ5946" s="485"/>
    </row>
    <row r="5947" spans="2:36">
      <c r="B5947" s="136" t="s">
        <v>441</v>
      </c>
      <c r="C5947" s="132" t="s">
        <v>1374</v>
      </c>
      <c r="D5947" s="132" t="s">
        <v>285</v>
      </c>
      <c r="E5947" s="508">
        <v>0.23200000000000001</v>
      </c>
      <c r="F5947" s="508">
        <v>0.248</v>
      </c>
      <c r="G5947" s="508">
        <v>0.24299999999999999</v>
      </c>
      <c r="H5947" s="508">
        <v>0.182</v>
      </c>
      <c r="I5947" s="508">
        <v>0.17899999999999999</v>
      </c>
      <c r="J5947" s="508">
        <v>0.21</v>
      </c>
      <c r="K5947" s="508">
        <v>0.14399999999999999</v>
      </c>
      <c r="L5947" s="508">
        <v>0.14199999999999999</v>
      </c>
      <c r="M5947" s="508">
        <v>0.14099999999999999</v>
      </c>
      <c r="N5947" s="508">
        <v>0.123</v>
      </c>
      <c r="O5947" s="508">
        <v>0.13900000000000001</v>
      </c>
      <c r="P5947" s="508">
        <v>0.107</v>
      </c>
      <c r="Q5947" s="508">
        <v>7.5999999999999998E-2</v>
      </c>
      <c r="R5947" s="508">
        <v>8.5000000000000006E-2</v>
      </c>
      <c r="S5947" s="508">
        <v>0.111</v>
      </c>
      <c r="T5947" s="508">
        <v>0.09</v>
      </c>
      <c r="U5947" s="508">
        <v>8.2000000000000003E-2</v>
      </c>
      <c r="V5947" s="508">
        <v>3.9E-2</v>
      </c>
      <c r="W5947" s="508"/>
      <c r="X5947" s="508">
        <v>2.4E-2</v>
      </c>
      <c r="Y5947" s="508"/>
      <c r="Z5947" s="508"/>
      <c r="AA5947" s="508"/>
      <c r="AB5947" s="508"/>
      <c r="AC5947" s="508"/>
      <c r="AD5947" s="508"/>
      <c r="AE5947" s="508"/>
      <c r="AF5947" s="508"/>
      <c r="AG5947" s="508"/>
      <c r="AH5947" s="508"/>
      <c r="AI5947" s="492"/>
      <c r="AJ5947" s="485"/>
    </row>
    <row r="5948" spans="2:36">
      <c r="B5948" s="136" t="s">
        <v>443</v>
      </c>
      <c r="C5948" s="132" t="s">
        <v>1374</v>
      </c>
      <c r="D5948" s="132" t="s">
        <v>285</v>
      </c>
      <c r="E5948" s="508">
        <v>0.16400000000000001</v>
      </c>
      <c r="F5948" s="508">
        <v>0.14499999999999999</v>
      </c>
      <c r="G5948" s="508">
        <v>0.14199999999999999</v>
      </c>
      <c r="H5948" s="508">
        <v>0.126</v>
      </c>
      <c r="I5948" s="508">
        <v>0.124</v>
      </c>
      <c r="J5948" s="508">
        <v>0.105</v>
      </c>
      <c r="K5948" s="508">
        <v>8.5000000000000006E-2</v>
      </c>
      <c r="L5948" s="508">
        <v>8.3000000000000004E-2</v>
      </c>
      <c r="M5948" s="508">
        <v>8.2000000000000003E-2</v>
      </c>
      <c r="N5948" s="508">
        <v>9.1999999999999998E-2</v>
      </c>
      <c r="O5948" s="508">
        <v>6.9000000000000006E-2</v>
      </c>
      <c r="P5948" s="508">
        <v>0.05</v>
      </c>
      <c r="Q5948" s="508">
        <v>4.2000000000000003E-2</v>
      </c>
      <c r="R5948" s="508">
        <v>4.7E-2</v>
      </c>
      <c r="S5948" s="508">
        <v>4.7E-2</v>
      </c>
      <c r="T5948" s="508">
        <v>3.9E-2</v>
      </c>
      <c r="U5948" s="508">
        <v>3.9E-2</v>
      </c>
      <c r="V5948" s="508">
        <v>0.02</v>
      </c>
      <c r="W5948" s="508"/>
      <c r="X5948" s="508">
        <v>1.6E-2</v>
      </c>
      <c r="Y5948" s="508"/>
      <c r="Z5948" s="508"/>
      <c r="AA5948" s="508"/>
      <c r="AB5948" s="508"/>
      <c r="AC5948" s="508"/>
      <c r="AD5948" s="508"/>
      <c r="AE5948" s="508"/>
      <c r="AF5948" s="508"/>
      <c r="AG5948" s="508"/>
      <c r="AH5948" s="508"/>
      <c r="AI5948" s="492"/>
      <c r="AJ5948" s="485"/>
    </row>
    <row r="5949" spans="2:36">
      <c r="B5949" s="136" t="s">
        <v>445</v>
      </c>
      <c r="C5949" s="132" t="s">
        <v>1374</v>
      </c>
      <c r="D5949" s="132" t="s">
        <v>285</v>
      </c>
      <c r="E5949" s="508">
        <v>0.187</v>
      </c>
      <c r="F5949" s="508">
        <v>0.17</v>
      </c>
      <c r="G5949" s="508">
        <v>0.16600000000000001</v>
      </c>
      <c r="H5949" s="508">
        <v>0.13800000000000001</v>
      </c>
      <c r="I5949" s="508">
        <v>0.13500000000000001</v>
      </c>
      <c r="J5949" s="508">
        <v>0.127</v>
      </c>
      <c r="K5949" s="508">
        <v>0.104</v>
      </c>
      <c r="L5949" s="508">
        <v>0.10299999999999999</v>
      </c>
      <c r="M5949" s="508">
        <v>0.10199999999999999</v>
      </c>
      <c r="N5949" s="508">
        <v>0.09</v>
      </c>
      <c r="O5949" s="508">
        <v>8.5000000000000006E-2</v>
      </c>
      <c r="P5949" s="508">
        <v>6.5000000000000002E-2</v>
      </c>
      <c r="Q5949" s="508">
        <v>4.8000000000000001E-2</v>
      </c>
      <c r="R5949" s="508">
        <v>5.3999999999999999E-2</v>
      </c>
      <c r="S5949" s="508">
        <v>6.2E-2</v>
      </c>
      <c r="T5949" s="508">
        <v>0.05</v>
      </c>
      <c r="U5949" s="508">
        <v>4.7E-2</v>
      </c>
      <c r="V5949" s="508">
        <v>2.4E-2</v>
      </c>
      <c r="W5949" s="508"/>
      <c r="X5949" s="508">
        <v>1.7999999999999999E-2</v>
      </c>
      <c r="Y5949" s="508"/>
      <c r="Z5949" s="508"/>
      <c r="AA5949" s="508"/>
      <c r="AB5949" s="508"/>
      <c r="AC5949" s="508"/>
      <c r="AD5949" s="508"/>
      <c r="AE5949" s="508"/>
      <c r="AF5949" s="508"/>
      <c r="AG5949" s="508"/>
      <c r="AH5949" s="508"/>
      <c r="AI5949" s="492"/>
      <c r="AJ5949" s="485"/>
    </row>
    <row r="5950" spans="2:36">
      <c r="B5950" s="136" t="s">
        <v>446</v>
      </c>
      <c r="C5950" s="132" t="s">
        <v>1374</v>
      </c>
      <c r="D5950" s="132" t="s">
        <v>285</v>
      </c>
      <c r="E5950" s="508">
        <v>0.11600000000000001</v>
      </c>
      <c r="F5950" s="508">
        <v>0.11</v>
      </c>
      <c r="G5950" s="508">
        <v>0.108</v>
      </c>
      <c r="H5950" s="508">
        <v>0.09</v>
      </c>
      <c r="I5950" s="508">
        <v>8.7999999999999995E-2</v>
      </c>
      <c r="J5950" s="508">
        <v>8.5999999999999993E-2</v>
      </c>
      <c r="K5950" s="508">
        <v>6.6000000000000003E-2</v>
      </c>
      <c r="L5950" s="508">
        <v>6.6000000000000003E-2</v>
      </c>
      <c r="M5950" s="508">
        <v>6.5000000000000002E-2</v>
      </c>
      <c r="N5950" s="508">
        <v>6.2E-2</v>
      </c>
      <c r="O5950" s="508">
        <v>5.7000000000000002E-2</v>
      </c>
      <c r="P5950" s="508">
        <v>4.2999999999999997E-2</v>
      </c>
      <c r="Q5950" s="508">
        <v>3.3000000000000002E-2</v>
      </c>
      <c r="R5950" s="508">
        <v>3.6999999999999998E-2</v>
      </c>
      <c r="S5950" s="508">
        <v>4.2000000000000003E-2</v>
      </c>
      <c r="T5950" s="508">
        <v>3.5000000000000003E-2</v>
      </c>
      <c r="U5950" s="508">
        <v>3.5999999999999997E-2</v>
      </c>
      <c r="V5950" s="508">
        <v>1.7999999999999999E-2</v>
      </c>
      <c r="W5950" s="508"/>
      <c r="X5950" s="508">
        <v>1.9E-2</v>
      </c>
      <c r="Y5950" s="508"/>
      <c r="Z5950" s="508"/>
      <c r="AA5950" s="508"/>
      <c r="AB5950" s="508"/>
      <c r="AC5950" s="508"/>
      <c r="AD5950" s="508"/>
      <c r="AE5950" s="508"/>
      <c r="AF5950" s="508"/>
      <c r="AG5950" s="508"/>
      <c r="AH5950" s="508"/>
      <c r="AI5950" s="492"/>
      <c r="AJ5950" s="485"/>
    </row>
    <row r="5951" spans="2:36">
      <c r="B5951" s="136" t="s">
        <v>448</v>
      </c>
      <c r="C5951" s="132" t="s">
        <v>1374</v>
      </c>
      <c r="D5951" s="132" t="s">
        <v>285</v>
      </c>
      <c r="E5951" s="508">
        <v>0.13200000000000001</v>
      </c>
      <c r="F5951" s="508">
        <v>0.13600000000000001</v>
      </c>
      <c r="G5951" s="508">
        <v>0.13300000000000001</v>
      </c>
      <c r="H5951" s="508">
        <v>0.108</v>
      </c>
      <c r="I5951" s="508">
        <v>0.107</v>
      </c>
      <c r="J5951" s="508">
        <v>0.111</v>
      </c>
      <c r="K5951" s="508">
        <v>7.6999999999999999E-2</v>
      </c>
      <c r="L5951" s="508">
        <v>7.5999999999999998E-2</v>
      </c>
      <c r="M5951" s="508">
        <v>7.5999999999999998E-2</v>
      </c>
      <c r="N5951" s="508">
        <v>0.08</v>
      </c>
      <c r="O5951" s="508">
        <v>7.2999999999999995E-2</v>
      </c>
      <c r="P5951" s="508">
        <v>5.3999999999999999E-2</v>
      </c>
      <c r="Q5951" s="508">
        <v>4.2000000000000003E-2</v>
      </c>
      <c r="R5951" s="508">
        <v>4.8000000000000001E-2</v>
      </c>
      <c r="S5951" s="508">
        <v>5.6000000000000001E-2</v>
      </c>
      <c r="T5951" s="508">
        <v>4.5999999999999999E-2</v>
      </c>
      <c r="U5951" s="508">
        <v>4.8000000000000001E-2</v>
      </c>
      <c r="V5951" s="508">
        <v>2.3E-2</v>
      </c>
      <c r="W5951" s="508"/>
      <c r="X5951" s="508">
        <v>2.1000000000000001E-2</v>
      </c>
      <c r="Y5951" s="508"/>
      <c r="Z5951" s="508"/>
      <c r="AA5951" s="508"/>
      <c r="AB5951" s="508"/>
      <c r="AC5951" s="508"/>
      <c r="AD5951" s="508"/>
      <c r="AE5951" s="508"/>
      <c r="AF5951" s="508"/>
      <c r="AG5951" s="508"/>
      <c r="AH5951" s="508"/>
      <c r="AI5951" s="492"/>
      <c r="AJ5951" s="485"/>
    </row>
    <row r="5952" spans="2:36">
      <c r="B5952" s="136" t="s">
        <v>449</v>
      </c>
      <c r="C5952" s="132" t="s">
        <v>1374</v>
      </c>
      <c r="D5952" s="132" t="s">
        <v>285</v>
      </c>
      <c r="E5952" s="508">
        <v>0.111</v>
      </c>
      <c r="F5952" s="508">
        <v>0.10299999999999999</v>
      </c>
      <c r="G5952" s="508">
        <v>0.10100000000000001</v>
      </c>
      <c r="H5952" s="508">
        <v>8.5999999999999993E-2</v>
      </c>
      <c r="I5952" s="508">
        <v>8.5000000000000006E-2</v>
      </c>
      <c r="J5952" s="508">
        <v>7.9000000000000001E-2</v>
      </c>
      <c r="K5952" s="508">
        <v>6.0999999999999999E-2</v>
      </c>
      <c r="L5952" s="508">
        <v>6.0999999999999999E-2</v>
      </c>
      <c r="M5952" s="508">
        <v>0.06</v>
      </c>
      <c r="N5952" s="508">
        <v>6.2E-2</v>
      </c>
      <c r="O5952" s="508">
        <v>5.2999999999999999E-2</v>
      </c>
      <c r="P5952" s="508">
        <v>3.9E-2</v>
      </c>
      <c r="Q5952" s="508">
        <v>3.1E-2</v>
      </c>
      <c r="R5952" s="508">
        <v>3.5000000000000003E-2</v>
      </c>
      <c r="S5952" s="508">
        <v>3.7999999999999999E-2</v>
      </c>
      <c r="T5952" s="508">
        <v>3.2000000000000001E-2</v>
      </c>
      <c r="U5952" s="508">
        <v>3.1E-2</v>
      </c>
      <c r="V5952" s="508">
        <v>1.6E-2</v>
      </c>
      <c r="W5952" s="508"/>
      <c r="X5952" s="508">
        <v>1.7000000000000001E-2</v>
      </c>
      <c r="Y5952" s="508"/>
      <c r="Z5952" s="508"/>
      <c r="AA5952" s="508"/>
      <c r="AB5952" s="508"/>
      <c r="AC5952" s="508"/>
      <c r="AD5952" s="508"/>
      <c r="AE5952" s="508"/>
      <c r="AF5952" s="508"/>
      <c r="AG5952" s="508"/>
      <c r="AH5952" s="508"/>
      <c r="AI5952" s="492"/>
      <c r="AJ5952" s="485"/>
    </row>
    <row r="5953" spans="2:36">
      <c r="B5953" s="136" t="s">
        <v>450</v>
      </c>
      <c r="C5953" s="132" t="s">
        <v>1374</v>
      </c>
      <c r="D5953" s="132" t="s">
        <v>285</v>
      </c>
      <c r="E5953" s="508">
        <v>0.20599999999999999</v>
      </c>
      <c r="F5953" s="508">
        <v>0.20300000000000001</v>
      </c>
      <c r="G5953" s="508">
        <v>0.19900000000000001</v>
      </c>
      <c r="H5953" s="508">
        <v>0.16600000000000001</v>
      </c>
      <c r="I5953" s="508">
        <v>0.16300000000000001</v>
      </c>
      <c r="J5953" s="508">
        <v>0.161</v>
      </c>
      <c r="K5953" s="508">
        <v>0.114</v>
      </c>
      <c r="L5953" s="508">
        <v>0.112</v>
      </c>
      <c r="M5953" s="508">
        <v>0.111</v>
      </c>
      <c r="N5953" s="508">
        <v>0.123</v>
      </c>
      <c r="O5953" s="508">
        <v>0.105</v>
      </c>
      <c r="P5953" s="508">
        <v>7.5999999999999998E-2</v>
      </c>
      <c r="Q5953" s="508">
        <v>6.0999999999999999E-2</v>
      </c>
      <c r="R5953" s="508">
        <v>6.9000000000000006E-2</v>
      </c>
      <c r="S5953" s="508">
        <v>7.6999999999999999E-2</v>
      </c>
      <c r="T5953" s="508">
        <v>6.4000000000000001E-2</v>
      </c>
      <c r="U5953" s="508">
        <v>6.0999999999999999E-2</v>
      </c>
      <c r="V5953" s="508">
        <v>0.03</v>
      </c>
      <c r="W5953" s="508"/>
      <c r="X5953" s="508">
        <v>1.9E-2</v>
      </c>
      <c r="Y5953" s="508"/>
      <c r="Z5953" s="508"/>
      <c r="AA5953" s="508"/>
      <c r="AB5953" s="508"/>
      <c r="AC5953" s="508"/>
      <c r="AD5953" s="508"/>
      <c r="AE5953" s="508"/>
      <c r="AF5953" s="508"/>
      <c r="AG5953" s="508"/>
      <c r="AH5953" s="508"/>
      <c r="AI5953" s="492"/>
      <c r="AJ5953" s="485"/>
    </row>
    <row r="5954" spans="2:36">
      <c r="B5954" s="136" t="s">
        <v>451</v>
      </c>
      <c r="C5954" s="132" t="s">
        <v>1374</v>
      </c>
      <c r="D5954" s="132" t="s">
        <v>285</v>
      </c>
      <c r="E5954" s="508">
        <v>0.22700000000000001</v>
      </c>
      <c r="F5954" s="508">
        <v>0.221</v>
      </c>
      <c r="G5954" s="508">
        <v>0.216</v>
      </c>
      <c r="H5954" s="508">
        <v>0.17100000000000001</v>
      </c>
      <c r="I5954" s="508">
        <v>0.16800000000000001</v>
      </c>
      <c r="J5954" s="508">
        <v>0.17399999999999999</v>
      </c>
      <c r="K5954" s="508">
        <v>0.13100000000000001</v>
      </c>
      <c r="L5954" s="508">
        <v>0.13</v>
      </c>
      <c r="M5954" s="508">
        <v>0.129</v>
      </c>
      <c r="N5954" s="508">
        <v>0.113</v>
      </c>
      <c r="O5954" s="508">
        <v>0.11600000000000001</v>
      </c>
      <c r="P5954" s="508">
        <v>8.7999999999999995E-2</v>
      </c>
      <c r="Q5954" s="508">
        <v>6.4000000000000001E-2</v>
      </c>
      <c r="R5954" s="508">
        <v>7.1999999999999995E-2</v>
      </c>
      <c r="S5954" s="508">
        <v>8.7999999999999995E-2</v>
      </c>
      <c r="T5954" s="508">
        <v>7.0999999999999994E-2</v>
      </c>
      <c r="U5954" s="508">
        <v>6.3E-2</v>
      </c>
      <c r="V5954" s="508">
        <v>3.1E-2</v>
      </c>
      <c r="W5954" s="508"/>
      <c r="X5954" s="508">
        <v>0.02</v>
      </c>
      <c r="Y5954" s="508"/>
      <c r="Z5954" s="508"/>
      <c r="AA5954" s="508"/>
      <c r="AB5954" s="508"/>
      <c r="AC5954" s="508"/>
      <c r="AD5954" s="508"/>
      <c r="AE5954" s="508"/>
      <c r="AF5954" s="508"/>
      <c r="AG5954" s="508"/>
      <c r="AH5954" s="508"/>
      <c r="AI5954" s="492"/>
      <c r="AJ5954" s="485"/>
    </row>
    <row r="5955" spans="2:36">
      <c r="B5955" s="136" t="s">
        <v>452</v>
      </c>
      <c r="C5955" s="132" t="s">
        <v>1374</v>
      </c>
      <c r="D5955" s="132" t="s">
        <v>285</v>
      </c>
      <c r="E5955" s="508">
        <v>0.193</v>
      </c>
      <c r="F5955" s="508">
        <v>0.185</v>
      </c>
      <c r="G5955" s="508">
        <v>0.18</v>
      </c>
      <c r="H5955" s="508">
        <v>0.151</v>
      </c>
      <c r="I5955" s="508">
        <v>0.14799999999999999</v>
      </c>
      <c r="J5955" s="508">
        <v>0.14299999999999999</v>
      </c>
      <c r="K5955" s="508">
        <v>0.106</v>
      </c>
      <c r="L5955" s="508">
        <v>0.105</v>
      </c>
      <c r="M5955" s="508">
        <v>0.104</v>
      </c>
      <c r="N5955" s="508">
        <v>0.108</v>
      </c>
      <c r="O5955" s="508">
        <v>9.4E-2</v>
      </c>
      <c r="P5955" s="508">
        <v>6.9000000000000006E-2</v>
      </c>
      <c r="Q5955" s="508">
        <v>5.5E-2</v>
      </c>
      <c r="R5955" s="508">
        <v>6.0999999999999999E-2</v>
      </c>
      <c r="S5955" s="508">
        <v>6.9000000000000006E-2</v>
      </c>
      <c r="T5955" s="508">
        <v>5.7000000000000002E-2</v>
      </c>
      <c r="U5955" s="508">
        <v>5.1999999999999998E-2</v>
      </c>
      <c r="V5955" s="508">
        <v>2.5999999999999999E-2</v>
      </c>
      <c r="W5955" s="508"/>
      <c r="X5955" s="508">
        <v>1.7999999999999999E-2</v>
      </c>
      <c r="Y5955" s="508"/>
      <c r="Z5955" s="508"/>
      <c r="AA5955" s="508"/>
      <c r="AB5955" s="508"/>
      <c r="AC5955" s="508"/>
      <c r="AD5955" s="508"/>
      <c r="AE5955" s="508"/>
      <c r="AF5955" s="508"/>
      <c r="AG5955" s="508"/>
      <c r="AH5955" s="508"/>
      <c r="AI5955" s="492"/>
      <c r="AJ5955" s="485"/>
    </row>
    <row r="5956" spans="2:36">
      <c r="B5956" s="136" t="s">
        <v>453</v>
      </c>
      <c r="C5956" s="132" t="s">
        <v>1374</v>
      </c>
      <c r="D5956" s="132" t="s">
        <v>285</v>
      </c>
      <c r="E5956" s="508">
        <v>0.20200000000000001</v>
      </c>
      <c r="F5956" s="508">
        <v>0.2</v>
      </c>
      <c r="G5956" s="508">
        <v>0.19600000000000001</v>
      </c>
      <c r="H5956" s="508">
        <v>0.16400000000000001</v>
      </c>
      <c r="I5956" s="508">
        <v>0.161</v>
      </c>
      <c r="J5956" s="508">
        <v>0.159</v>
      </c>
      <c r="K5956" s="508">
        <v>0.111</v>
      </c>
      <c r="L5956" s="508">
        <v>0.11</v>
      </c>
      <c r="M5956" s="508">
        <v>0.109</v>
      </c>
      <c r="N5956" s="508">
        <v>0.123</v>
      </c>
      <c r="O5956" s="508">
        <v>0.10299999999999999</v>
      </c>
      <c r="P5956" s="508">
        <v>7.4999999999999997E-2</v>
      </c>
      <c r="Q5956" s="508">
        <v>6.0999999999999999E-2</v>
      </c>
      <c r="R5956" s="508">
        <v>6.8000000000000005E-2</v>
      </c>
      <c r="S5956" s="508">
        <v>7.5999999999999998E-2</v>
      </c>
      <c r="T5956" s="508">
        <v>6.3E-2</v>
      </c>
      <c r="U5956" s="508">
        <v>6.2E-2</v>
      </c>
      <c r="V5956" s="508">
        <v>3.1E-2</v>
      </c>
      <c r="W5956" s="508"/>
      <c r="X5956" s="508">
        <v>1.9E-2</v>
      </c>
      <c r="Y5956" s="508"/>
      <c r="Z5956" s="508"/>
      <c r="AA5956" s="508"/>
      <c r="AB5956" s="508"/>
      <c r="AC5956" s="508"/>
      <c r="AD5956" s="508"/>
      <c r="AE5956" s="508"/>
      <c r="AF5956" s="508"/>
      <c r="AG5956" s="508"/>
      <c r="AH5956" s="508"/>
      <c r="AI5956" s="492"/>
      <c r="AJ5956" s="485"/>
    </row>
    <row r="5957" spans="2:36">
      <c r="B5957" s="136" t="s">
        <v>454</v>
      </c>
      <c r="C5957" s="132" t="s">
        <v>1374</v>
      </c>
      <c r="D5957" s="132" t="s">
        <v>285</v>
      </c>
      <c r="E5957" s="508">
        <v>0.16600000000000001</v>
      </c>
      <c r="F5957" s="508">
        <v>0.16700000000000001</v>
      </c>
      <c r="G5957" s="508">
        <v>0.16400000000000001</v>
      </c>
      <c r="H5957" s="508">
        <v>0.13400000000000001</v>
      </c>
      <c r="I5957" s="508">
        <v>0.13200000000000001</v>
      </c>
      <c r="J5957" s="508">
        <v>0.13500000000000001</v>
      </c>
      <c r="K5957" s="508">
        <v>9.4E-2</v>
      </c>
      <c r="L5957" s="508">
        <v>9.2999999999999999E-2</v>
      </c>
      <c r="M5957" s="508">
        <v>9.1999999999999998E-2</v>
      </c>
      <c r="N5957" s="508">
        <v>9.9000000000000005E-2</v>
      </c>
      <c r="O5957" s="508">
        <v>8.7999999999999995E-2</v>
      </c>
      <c r="P5957" s="508">
        <v>6.5000000000000002E-2</v>
      </c>
      <c r="Q5957" s="508">
        <v>5.0999999999999997E-2</v>
      </c>
      <c r="R5957" s="508">
        <v>5.8000000000000003E-2</v>
      </c>
      <c r="S5957" s="508">
        <v>6.6000000000000003E-2</v>
      </c>
      <c r="T5957" s="508">
        <v>5.5E-2</v>
      </c>
      <c r="U5957" s="508">
        <v>5.3999999999999999E-2</v>
      </c>
      <c r="V5957" s="508">
        <v>2.5999999999999999E-2</v>
      </c>
      <c r="W5957" s="508"/>
      <c r="X5957" s="508">
        <v>1.9E-2</v>
      </c>
      <c r="Y5957" s="508"/>
      <c r="Z5957" s="508"/>
      <c r="AA5957" s="508"/>
      <c r="AB5957" s="508"/>
      <c r="AC5957" s="508"/>
      <c r="AD5957" s="508"/>
      <c r="AE5957" s="508"/>
      <c r="AF5957" s="508"/>
      <c r="AG5957" s="508"/>
      <c r="AH5957" s="508"/>
      <c r="AI5957" s="492"/>
      <c r="AJ5957" s="485"/>
    </row>
    <row r="5958" spans="2:36">
      <c r="B5958" s="136" t="s">
        <v>455</v>
      </c>
      <c r="C5958" s="132" t="s">
        <v>1374</v>
      </c>
      <c r="D5958" s="132" t="s">
        <v>285</v>
      </c>
      <c r="E5958" s="508">
        <v>0.16500000000000001</v>
      </c>
      <c r="F5958" s="508">
        <v>0.17499999999999999</v>
      </c>
      <c r="G5958" s="508">
        <v>0.17199999999999999</v>
      </c>
      <c r="H5958" s="508">
        <v>0.13600000000000001</v>
      </c>
      <c r="I5958" s="508">
        <v>0.13400000000000001</v>
      </c>
      <c r="J5958" s="508">
        <v>0.14699999999999999</v>
      </c>
      <c r="K5958" s="508">
        <v>9.8000000000000004E-2</v>
      </c>
      <c r="L5958" s="508">
        <v>9.7000000000000003E-2</v>
      </c>
      <c r="M5958" s="508">
        <v>9.6000000000000002E-2</v>
      </c>
      <c r="N5958" s="508">
        <v>0.10100000000000001</v>
      </c>
      <c r="O5958" s="508">
        <v>9.6000000000000002E-2</v>
      </c>
      <c r="P5958" s="508">
        <v>7.0999999999999994E-2</v>
      </c>
      <c r="Q5958" s="508">
        <v>5.5E-2</v>
      </c>
      <c r="R5958" s="508">
        <v>6.2E-2</v>
      </c>
      <c r="S5958" s="508">
        <v>7.3999999999999996E-2</v>
      </c>
      <c r="T5958" s="508">
        <v>6.0999999999999999E-2</v>
      </c>
      <c r="U5958" s="508">
        <v>5.6000000000000001E-2</v>
      </c>
      <c r="V5958" s="508">
        <v>2.7E-2</v>
      </c>
      <c r="W5958" s="508"/>
      <c r="X5958" s="508">
        <v>0.02</v>
      </c>
      <c r="Y5958" s="508"/>
      <c r="Z5958" s="508"/>
      <c r="AA5958" s="508"/>
      <c r="AB5958" s="508"/>
      <c r="AC5958" s="508"/>
      <c r="AD5958" s="508"/>
      <c r="AE5958" s="508"/>
      <c r="AF5958" s="508"/>
      <c r="AG5958" s="508"/>
      <c r="AH5958" s="508"/>
      <c r="AI5958" s="492"/>
      <c r="AJ5958" s="485"/>
    </row>
    <row r="5959" spans="2:36">
      <c r="B5959" s="136" t="s">
        <v>456</v>
      </c>
      <c r="C5959" s="132" t="s">
        <v>1374</v>
      </c>
      <c r="D5959" s="132" t="s">
        <v>285</v>
      </c>
      <c r="E5959" s="508">
        <v>0.112</v>
      </c>
      <c r="F5959" s="508">
        <v>0.114</v>
      </c>
      <c r="G5959" s="508">
        <v>0.112</v>
      </c>
      <c r="H5959" s="508">
        <v>9.0999999999999998E-2</v>
      </c>
      <c r="I5959" s="508">
        <v>0.09</v>
      </c>
      <c r="J5959" s="508">
        <v>9.2999999999999999E-2</v>
      </c>
      <c r="K5959" s="508">
        <v>6.5000000000000002E-2</v>
      </c>
      <c r="L5959" s="508">
        <v>6.5000000000000002E-2</v>
      </c>
      <c r="M5959" s="508">
        <v>6.4000000000000001E-2</v>
      </c>
      <c r="N5959" s="508">
        <v>6.7000000000000004E-2</v>
      </c>
      <c r="O5959" s="508">
        <v>6.0999999999999999E-2</v>
      </c>
      <c r="P5959" s="508">
        <v>4.5999999999999999E-2</v>
      </c>
      <c r="Q5959" s="508">
        <v>3.5000000000000003E-2</v>
      </c>
      <c r="R5959" s="508">
        <v>0.04</v>
      </c>
      <c r="S5959" s="508">
        <v>4.7E-2</v>
      </c>
      <c r="T5959" s="508">
        <v>3.9E-2</v>
      </c>
      <c r="U5959" s="508">
        <v>0.04</v>
      </c>
      <c r="V5959" s="508">
        <v>1.9E-2</v>
      </c>
      <c r="W5959" s="508"/>
      <c r="X5959" s="508">
        <v>0.02</v>
      </c>
      <c r="Y5959" s="508"/>
      <c r="Z5959" s="508"/>
      <c r="AA5959" s="508"/>
      <c r="AB5959" s="508"/>
      <c r="AC5959" s="508"/>
      <c r="AD5959" s="508"/>
      <c r="AE5959" s="508"/>
      <c r="AF5959" s="508"/>
      <c r="AG5959" s="508"/>
      <c r="AH5959" s="508"/>
      <c r="AI5959" s="492"/>
      <c r="AJ5959" s="485"/>
    </row>
    <row r="5960" spans="2:36">
      <c r="B5960" s="136" t="s">
        <v>457</v>
      </c>
      <c r="C5960" s="132" t="s">
        <v>1374</v>
      </c>
      <c r="D5960" s="132" t="s">
        <v>285</v>
      </c>
      <c r="E5960" s="508">
        <v>0.22500000000000001</v>
      </c>
      <c r="F5960" s="508">
        <v>0.224</v>
      </c>
      <c r="G5960" s="508">
        <v>0.219</v>
      </c>
      <c r="H5960" s="508">
        <v>0.185</v>
      </c>
      <c r="I5960" s="508">
        <v>0.182</v>
      </c>
      <c r="J5960" s="508">
        <v>0.17699999999999999</v>
      </c>
      <c r="K5960" s="508">
        <v>0.122</v>
      </c>
      <c r="L5960" s="508">
        <v>0.12</v>
      </c>
      <c r="M5960" s="508">
        <v>0.11899999999999999</v>
      </c>
      <c r="N5960" s="508">
        <v>0.14199999999999999</v>
      </c>
      <c r="O5960" s="508">
        <v>0.114</v>
      </c>
      <c r="P5960" s="508">
        <v>8.2000000000000003E-2</v>
      </c>
      <c r="Q5960" s="508">
        <v>6.8000000000000005E-2</v>
      </c>
      <c r="R5960" s="508">
        <v>7.6999999999999999E-2</v>
      </c>
      <c r="S5960" s="508">
        <v>8.3000000000000004E-2</v>
      </c>
      <c r="T5960" s="508">
        <v>7.0000000000000007E-2</v>
      </c>
      <c r="U5960" s="508">
        <v>7.3999999999999996E-2</v>
      </c>
      <c r="V5960" s="508">
        <v>3.5999999999999997E-2</v>
      </c>
      <c r="W5960" s="508"/>
      <c r="X5960" s="508">
        <v>0.02</v>
      </c>
      <c r="Y5960" s="508"/>
      <c r="Z5960" s="508"/>
      <c r="AA5960" s="508"/>
      <c r="AB5960" s="508"/>
      <c r="AC5960" s="508"/>
      <c r="AD5960" s="508"/>
      <c r="AE5960" s="508"/>
      <c r="AF5960" s="508"/>
      <c r="AG5960" s="508"/>
      <c r="AH5960" s="508"/>
      <c r="AI5960" s="492"/>
      <c r="AJ5960" s="485"/>
    </row>
    <row r="5961" spans="2:36">
      <c r="B5961" s="136" t="s">
        <v>458</v>
      </c>
      <c r="C5961" s="132" t="s">
        <v>1374</v>
      </c>
      <c r="D5961" s="132" t="s">
        <v>285</v>
      </c>
      <c r="E5961" s="508">
        <v>0.186</v>
      </c>
      <c r="F5961" s="508">
        <v>0.19500000000000001</v>
      </c>
      <c r="G5961" s="508">
        <v>0.192</v>
      </c>
      <c r="H5961" s="508">
        <v>0.14799999999999999</v>
      </c>
      <c r="I5961" s="508">
        <v>0.14499999999999999</v>
      </c>
      <c r="J5961" s="508">
        <v>0.16400000000000001</v>
      </c>
      <c r="K5961" s="508">
        <v>0.113</v>
      </c>
      <c r="L5961" s="508">
        <v>0.111</v>
      </c>
      <c r="M5961" s="508">
        <v>0.11</v>
      </c>
      <c r="N5961" s="508">
        <v>0.10299999999999999</v>
      </c>
      <c r="O5961" s="508">
        <v>0.108</v>
      </c>
      <c r="P5961" s="508">
        <v>8.2000000000000003E-2</v>
      </c>
      <c r="Q5961" s="508">
        <v>0.06</v>
      </c>
      <c r="R5961" s="508">
        <v>6.8000000000000005E-2</v>
      </c>
      <c r="S5961" s="508">
        <v>8.5000000000000006E-2</v>
      </c>
      <c r="T5961" s="508">
        <v>6.9000000000000006E-2</v>
      </c>
      <c r="U5961" s="508">
        <v>6.6000000000000003E-2</v>
      </c>
      <c r="V5961" s="508">
        <v>3.2000000000000001E-2</v>
      </c>
      <c r="W5961" s="508"/>
      <c r="X5961" s="508">
        <v>2.1999999999999999E-2</v>
      </c>
      <c r="Y5961" s="508"/>
      <c r="Z5961" s="508"/>
      <c r="AA5961" s="508"/>
      <c r="AB5961" s="508"/>
      <c r="AC5961" s="508"/>
      <c r="AD5961" s="508"/>
      <c r="AE5961" s="508"/>
      <c r="AF5961" s="508"/>
      <c r="AG5961" s="508"/>
      <c r="AH5961" s="508"/>
      <c r="AI5961" s="492"/>
      <c r="AJ5961" s="485"/>
    </row>
    <row r="5962" spans="2:36">
      <c r="B5962" s="136" t="s">
        <v>459</v>
      </c>
      <c r="C5962" s="132" t="s">
        <v>1374</v>
      </c>
      <c r="D5962" s="132" t="s">
        <v>285</v>
      </c>
      <c r="E5962" s="508">
        <v>0.23300000000000001</v>
      </c>
      <c r="F5962" s="508">
        <v>0.24299999999999999</v>
      </c>
      <c r="G5962" s="508">
        <v>0.23899999999999999</v>
      </c>
      <c r="H5962" s="508">
        <v>0.184</v>
      </c>
      <c r="I5962" s="508">
        <v>0.18099999999999999</v>
      </c>
      <c r="J5962" s="508">
        <v>0.20200000000000001</v>
      </c>
      <c r="K5962" s="508">
        <v>0.13900000000000001</v>
      </c>
      <c r="L5962" s="508">
        <v>0.13800000000000001</v>
      </c>
      <c r="M5962" s="508">
        <v>0.13700000000000001</v>
      </c>
      <c r="N5962" s="508">
        <v>0.128</v>
      </c>
      <c r="O5962" s="508">
        <v>0.13400000000000001</v>
      </c>
      <c r="P5962" s="508">
        <v>0.10100000000000001</v>
      </c>
      <c r="Q5962" s="508">
        <v>7.3999999999999996E-2</v>
      </c>
      <c r="R5962" s="508">
        <v>8.3000000000000004E-2</v>
      </c>
      <c r="S5962" s="508">
        <v>0.104</v>
      </c>
      <c r="T5962" s="508">
        <v>8.5000000000000006E-2</v>
      </c>
      <c r="U5962" s="508">
        <v>7.9000000000000001E-2</v>
      </c>
      <c r="V5962" s="508">
        <v>3.7999999999999999E-2</v>
      </c>
      <c r="W5962" s="508"/>
      <c r="X5962" s="508">
        <v>2.1999999999999999E-2</v>
      </c>
      <c r="Y5962" s="508"/>
      <c r="Z5962" s="508"/>
      <c r="AA5962" s="508"/>
      <c r="AB5962" s="508"/>
      <c r="AC5962" s="508"/>
      <c r="AD5962" s="508"/>
      <c r="AE5962" s="508"/>
      <c r="AF5962" s="508"/>
      <c r="AG5962" s="508"/>
      <c r="AH5962" s="508"/>
      <c r="AI5962" s="492"/>
      <c r="AJ5962" s="485"/>
    </row>
    <row r="5963" spans="2:36">
      <c r="B5963" s="136" t="s">
        <v>460</v>
      </c>
      <c r="C5963" s="132" t="s">
        <v>1374</v>
      </c>
      <c r="D5963" s="132" t="s">
        <v>285</v>
      </c>
      <c r="E5963" s="508">
        <v>0.23</v>
      </c>
      <c r="F5963" s="508">
        <v>0.23100000000000001</v>
      </c>
      <c r="G5963" s="508">
        <v>0.22600000000000001</v>
      </c>
      <c r="H5963" s="508">
        <v>0.18099999999999999</v>
      </c>
      <c r="I5963" s="508">
        <v>0.17799999999999999</v>
      </c>
      <c r="J5963" s="508">
        <v>0.186</v>
      </c>
      <c r="K5963" s="508">
        <v>0.13200000000000001</v>
      </c>
      <c r="L5963" s="508">
        <v>0.13100000000000001</v>
      </c>
      <c r="M5963" s="508">
        <v>0.129</v>
      </c>
      <c r="N5963" s="508">
        <v>0.128</v>
      </c>
      <c r="O5963" s="508">
        <v>0.122</v>
      </c>
      <c r="P5963" s="508">
        <v>9.0999999999999998E-2</v>
      </c>
      <c r="Q5963" s="508">
        <v>6.9000000000000006E-2</v>
      </c>
      <c r="R5963" s="508">
        <v>7.8E-2</v>
      </c>
      <c r="S5963" s="508">
        <v>9.2999999999999999E-2</v>
      </c>
      <c r="T5963" s="508">
        <v>7.5999999999999998E-2</v>
      </c>
      <c r="U5963" s="508">
        <v>6.9000000000000006E-2</v>
      </c>
      <c r="V5963" s="508">
        <v>3.4000000000000002E-2</v>
      </c>
      <c r="W5963" s="508"/>
      <c r="X5963" s="508">
        <v>0.02</v>
      </c>
      <c r="Y5963" s="508"/>
      <c r="Z5963" s="508"/>
      <c r="AA5963" s="508"/>
      <c r="AB5963" s="508"/>
      <c r="AC5963" s="508"/>
      <c r="AD5963" s="508"/>
      <c r="AE5963" s="508"/>
      <c r="AF5963" s="508"/>
      <c r="AG5963" s="508"/>
      <c r="AH5963" s="508"/>
      <c r="AI5963" s="492"/>
      <c r="AJ5963" s="485"/>
    </row>
    <row r="5964" spans="2:36">
      <c r="B5964" s="136" t="s">
        <v>461</v>
      </c>
      <c r="C5964" s="132" t="s">
        <v>1374</v>
      </c>
      <c r="D5964" s="132" t="s">
        <v>285</v>
      </c>
      <c r="E5964" s="508">
        <v>0.247</v>
      </c>
      <c r="F5964" s="508">
        <v>0.24199999999999999</v>
      </c>
      <c r="G5964" s="508">
        <v>0.23599999999999999</v>
      </c>
      <c r="H5964" s="508">
        <v>0.19500000000000001</v>
      </c>
      <c r="I5964" s="508">
        <v>0.191</v>
      </c>
      <c r="J5964" s="508">
        <v>0.19</v>
      </c>
      <c r="K5964" s="508">
        <v>0.13600000000000001</v>
      </c>
      <c r="L5964" s="508">
        <v>0.13400000000000001</v>
      </c>
      <c r="M5964" s="508">
        <v>0.13300000000000001</v>
      </c>
      <c r="N5964" s="508">
        <v>0.14199999999999999</v>
      </c>
      <c r="O5964" s="508">
        <v>0.124</v>
      </c>
      <c r="P5964" s="508">
        <v>9.0999999999999998E-2</v>
      </c>
      <c r="Q5964" s="508">
        <v>7.1999999999999995E-2</v>
      </c>
      <c r="R5964" s="508">
        <v>8.1000000000000003E-2</v>
      </c>
      <c r="S5964" s="508">
        <v>9.0999999999999998E-2</v>
      </c>
      <c r="T5964" s="508">
        <v>7.4999999999999997E-2</v>
      </c>
      <c r="U5964" s="508">
        <v>7.4999999999999997E-2</v>
      </c>
      <c r="V5964" s="508">
        <v>3.6999999999999998E-2</v>
      </c>
      <c r="W5964" s="508"/>
      <c r="X5964" s="508">
        <v>0.02</v>
      </c>
      <c r="Y5964" s="508"/>
      <c r="Z5964" s="508"/>
      <c r="AA5964" s="508"/>
      <c r="AB5964" s="508"/>
      <c r="AC5964" s="508"/>
      <c r="AD5964" s="508"/>
      <c r="AE5964" s="508"/>
      <c r="AF5964" s="508"/>
      <c r="AG5964" s="508"/>
      <c r="AH5964" s="508"/>
      <c r="AI5964" s="492"/>
      <c r="AJ5964" s="485"/>
    </row>
    <row r="5965" spans="2:36">
      <c r="B5965" s="136" t="s">
        <v>462</v>
      </c>
      <c r="C5965" s="132" t="s">
        <v>1374</v>
      </c>
      <c r="D5965" s="132" t="s">
        <v>285</v>
      </c>
      <c r="E5965" s="508">
        <v>0.112</v>
      </c>
      <c r="F5965" s="508">
        <v>0.107</v>
      </c>
      <c r="G5965" s="508">
        <v>0.104</v>
      </c>
      <c r="H5965" s="508">
        <v>9.1999999999999998E-2</v>
      </c>
      <c r="I5965" s="508">
        <v>0.09</v>
      </c>
      <c r="J5965" s="508">
        <v>8.2000000000000003E-2</v>
      </c>
      <c r="K5965" s="508">
        <v>0.06</v>
      </c>
      <c r="L5965" s="508">
        <v>5.8999999999999997E-2</v>
      </c>
      <c r="M5965" s="508">
        <v>5.8999999999999997E-2</v>
      </c>
      <c r="N5965" s="508">
        <v>7.0999999999999994E-2</v>
      </c>
      <c r="O5965" s="508">
        <v>5.2999999999999999E-2</v>
      </c>
      <c r="P5965" s="508">
        <v>3.7999999999999999E-2</v>
      </c>
      <c r="Q5965" s="508">
        <v>3.2000000000000001E-2</v>
      </c>
      <c r="R5965" s="508">
        <v>3.6999999999999998E-2</v>
      </c>
      <c r="S5965" s="508">
        <v>3.7999999999999999E-2</v>
      </c>
      <c r="T5965" s="508">
        <v>3.2000000000000001E-2</v>
      </c>
      <c r="U5965" s="508">
        <v>3.5000000000000003E-2</v>
      </c>
      <c r="V5965" s="508">
        <v>1.7000000000000001E-2</v>
      </c>
      <c r="W5965" s="508"/>
      <c r="X5965" s="508">
        <v>1.7999999999999999E-2</v>
      </c>
      <c r="Y5965" s="508"/>
      <c r="Z5965" s="508"/>
      <c r="AA5965" s="508"/>
      <c r="AB5965" s="508"/>
      <c r="AC5965" s="508"/>
      <c r="AD5965" s="508"/>
      <c r="AE5965" s="508"/>
      <c r="AF5965" s="508"/>
      <c r="AG5965" s="508"/>
      <c r="AH5965" s="508"/>
      <c r="AI5965" s="492"/>
      <c r="AJ5965" s="485"/>
    </row>
    <row r="5966" spans="2:36">
      <c r="B5966" s="136" t="s">
        <v>463</v>
      </c>
      <c r="C5966" s="132" t="s">
        <v>1374</v>
      </c>
      <c r="D5966" s="132" t="s">
        <v>285</v>
      </c>
      <c r="E5966" s="508">
        <v>0.17199999999999999</v>
      </c>
      <c r="F5966" s="508">
        <v>0.185</v>
      </c>
      <c r="G5966" s="508">
        <v>0.182</v>
      </c>
      <c r="H5966" s="508">
        <v>0.14099999999999999</v>
      </c>
      <c r="I5966" s="508">
        <v>0.13900000000000001</v>
      </c>
      <c r="J5966" s="508">
        <v>0.157</v>
      </c>
      <c r="K5966" s="508">
        <v>0.104</v>
      </c>
      <c r="L5966" s="508">
        <v>0.10299999999999999</v>
      </c>
      <c r="M5966" s="508">
        <v>0.10199999999999999</v>
      </c>
      <c r="N5966" s="508">
        <v>0.104</v>
      </c>
      <c r="O5966" s="508">
        <v>0.10299999999999999</v>
      </c>
      <c r="P5966" s="508">
        <v>7.6999999999999999E-2</v>
      </c>
      <c r="Q5966" s="508">
        <v>5.8000000000000003E-2</v>
      </c>
      <c r="R5966" s="508">
        <v>6.5000000000000002E-2</v>
      </c>
      <c r="S5966" s="508">
        <v>8.1000000000000003E-2</v>
      </c>
      <c r="T5966" s="508">
        <v>6.6000000000000003E-2</v>
      </c>
      <c r="U5966" s="508">
        <v>6.3E-2</v>
      </c>
      <c r="V5966" s="508">
        <v>0.03</v>
      </c>
      <c r="W5966" s="508"/>
      <c r="X5966" s="508">
        <v>2.1000000000000001E-2</v>
      </c>
      <c r="Y5966" s="508"/>
      <c r="Z5966" s="508"/>
      <c r="AA5966" s="508"/>
      <c r="AB5966" s="508"/>
      <c r="AC5966" s="508"/>
      <c r="AD5966" s="508"/>
      <c r="AE5966" s="508"/>
      <c r="AF5966" s="508"/>
      <c r="AG5966" s="508"/>
      <c r="AH5966" s="508"/>
      <c r="AI5966" s="492"/>
      <c r="AJ5966" s="485"/>
    </row>
    <row r="5967" spans="2:36">
      <c r="B5967" s="136" t="s">
        <v>464</v>
      </c>
      <c r="C5967" s="132" t="s">
        <v>1374</v>
      </c>
      <c r="D5967" s="132" t="s">
        <v>285</v>
      </c>
      <c r="E5967" s="508">
        <v>0.224</v>
      </c>
      <c r="F5967" s="508">
        <v>0.22800000000000001</v>
      </c>
      <c r="G5967" s="508">
        <v>0.223</v>
      </c>
      <c r="H5967" s="508">
        <v>0.185</v>
      </c>
      <c r="I5967" s="508">
        <v>0.182</v>
      </c>
      <c r="J5967" s="508">
        <v>0.184</v>
      </c>
      <c r="K5967" s="508">
        <v>0.125</v>
      </c>
      <c r="L5967" s="508">
        <v>0.123</v>
      </c>
      <c r="M5967" s="508">
        <v>0.122</v>
      </c>
      <c r="N5967" s="508">
        <v>0.14099999999999999</v>
      </c>
      <c r="O5967" s="508">
        <v>0.11799999999999999</v>
      </c>
      <c r="P5967" s="508">
        <v>8.5000000000000006E-2</v>
      </c>
      <c r="Q5967" s="508">
        <v>7.0000000000000007E-2</v>
      </c>
      <c r="R5967" s="508">
        <v>7.8E-2</v>
      </c>
      <c r="S5967" s="508">
        <v>8.7999999999999995E-2</v>
      </c>
      <c r="T5967" s="508">
        <v>7.2999999999999995E-2</v>
      </c>
      <c r="U5967" s="508">
        <v>7.0000000000000007E-2</v>
      </c>
      <c r="V5967" s="508">
        <v>3.4000000000000002E-2</v>
      </c>
      <c r="W5967" s="508"/>
      <c r="X5967" s="508">
        <v>1.9E-2</v>
      </c>
      <c r="Y5967" s="508"/>
      <c r="Z5967" s="508"/>
      <c r="AA5967" s="508"/>
      <c r="AB5967" s="508"/>
      <c r="AC5967" s="508"/>
      <c r="AD5967" s="508"/>
      <c r="AE5967" s="508"/>
      <c r="AF5967" s="508"/>
      <c r="AG5967" s="508"/>
      <c r="AH5967" s="508"/>
      <c r="AI5967" s="492"/>
      <c r="AJ5967" s="485"/>
    </row>
    <row r="5968" spans="2:36">
      <c r="B5968" s="136" t="s">
        <v>465</v>
      </c>
      <c r="C5968" s="132" t="s">
        <v>1374</v>
      </c>
      <c r="D5968" s="132" t="s">
        <v>285</v>
      </c>
      <c r="E5968" s="508">
        <v>0.19900000000000001</v>
      </c>
      <c r="F5968" s="508">
        <v>0.20799999999999999</v>
      </c>
      <c r="G5968" s="508">
        <v>0.20399999999999999</v>
      </c>
      <c r="H5968" s="508">
        <v>0.16300000000000001</v>
      </c>
      <c r="I5968" s="508">
        <v>0.16</v>
      </c>
      <c r="J5968" s="508">
        <v>0.17199999999999999</v>
      </c>
      <c r="K5968" s="508">
        <v>0.11600000000000001</v>
      </c>
      <c r="L5968" s="508">
        <v>0.115</v>
      </c>
      <c r="M5968" s="508">
        <v>0.114</v>
      </c>
      <c r="N5968" s="508">
        <v>0.12</v>
      </c>
      <c r="O5968" s="508">
        <v>0.112</v>
      </c>
      <c r="P5968" s="508">
        <v>8.3000000000000004E-2</v>
      </c>
      <c r="Q5968" s="508">
        <v>6.4000000000000001E-2</v>
      </c>
      <c r="R5968" s="508">
        <v>7.1999999999999995E-2</v>
      </c>
      <c r="S5968" s="508">
        <v>8.5999999999999993E-2</v>
      </c>
      <c r="T5968" s="508">
        <v>7.0999999999999994E-2</v>
      </c>
      <c r="U5968" s="508">
        <v>6.8000000000000005E-2</v>
      </c>
      <c r="V5968" s="508">
        <v>3.3000000000000002E-2</v>
      </c>
      <c r="W5968" s="508"/>
      <c r="X5968" s="508">
        <v>2.1000000000000001E-2</v>
      </c>
      <c r="Y5968" s="508"/>
      <c r="Z5968" s="508"/>
      <c r="AA5968" s="508"/>
      <c r="AB5968" s="508"/>
      <c r="AC5968" s="508"/>
      <c r="AD5968" s="508"/>
      <c r="AE5968" s="508"/>
      <c r="AF5968" s="508"/>
      <c r="AG5968" s="508"/>
      <c r="AH5968" s="508"/>
      <c r="AI5968" s="492"/>
      <c r="AJ5968" s="485"/>
    </row>
    <row r="5969" spans="2:36">
      <c r="B5969" s="136" t="s">
        <v>466</v>
      </c>
      <c r="C5969" s="132" t="s">
        <v>1374</v>
      </c>
      <c r="D5969" s="132" t="s">
        <v>285</v>
      </c>
      <c r="E5969" s="508">
        <v>0.14399999999999999</v>
      </c>
      <c r="F5969" s="508">
        <v>0.14299999999999999</v>
      </c>
      <c r="G5969" s="508">
        <v>0.14000000000000001</v>
      </c>
      <c r="H5969" s="508">
        <v>0.113</v>
      </c>
      <c r="I5969" s="508">
        <v>0.111</v>
      </c>
      <c r="J5969" s="508">
        <v>0.115</v>
      </c>
      <c r="K5969" s="508">
        <v>8.4000000000000005E-2</v>
      </c>
      <c r="L5969" s="508">
        <v>8.3000000000000004E-2</v>
      </c>
      <c r="M5969" s="508">
        <v>8.3000000000000004E-2</v>
      </c>
      <c r="N5969" s="508">
        <v>7.9000000000000001E-2</v>
      </c>
      <c r="O5969" s="508">
        <v>7.6999999999999999E-2</v>
      </c>
      <c r="P5969" s="508">
        <v>5.7000000000000002E-2</v>
      </c>
      <c r="Q5969" s="508">
        <v>4.2999999999999997E-2</v>
      </c>
      <c r="R5969" s="508">
        <v>4.8000000000000001E-2</v>
      </c>
      <c r="S5969" s="508">
        <v>5.8000000000000003E-2</v>
      </c>
      <c r="T5969" s="508">
        <v>4.8000000000000001E-2</v>
      </c>
      <c r="U5969" s="508">
        <v>4.4999999999999998E-2</v>
      </c>
      <c r="V5969" s="508">
        <v>2.1999999999999999E-2</v>
      </c>
      <c r="W5969" s="508"/>
      <c r="X5969" s="508">
        <v>0.02</v>
      </c>
      <c r="Y5969" s="508"/>
      <c r="Z5969" s="508"/>
      <c r="AA5969" s="508"/>
      <c r="AB5969" s="508"/>
      <c r="AC5969" s="508"/>
      <c r="AD5969" s="508"/>
      <c r="AE5969" s="508"/>
      <c r="AF5969" s="508"/>
      <c r="AG5969" s="508"/>
      <c r="AH5969" s="508"/>
      <c r="AI5969" s="492"/>
      <c r="AJ5969" s="485"/>
    </row>
    <row r="5970" spans="2:36">
      <c r="B5970" s="136" t="s">
        <v>467</v>
      </c>
      <c r="C5970" s="132" t="s">
        <v>1374</v>
      </c>
      <c r="D5970" s="132" t="s">
        <v>285</v>
      </c>
      <c r="E5970" s="508">
        <v>0.223</v>
      </c>
      <c r="F5970" s="508">
        <v>0.218</v>
      </c>
      <c r="G5970" s="508">
        <v>0.21299999999999999</v>
      </c>
      <c r="H5970" s="508">
        <v>0.17699999999999999</v>
      </c>
      <c r="I5970" s="508">
        <v>0.17399999999999999</v>
      </c>
      <c r="J5970" s="508">
        <v>0.17100000000000001</v>
      </c>
      <c r="K5970" s="508">
        <v>0.122</v>
      </c>
      <c r="L5970" s="508">
        <v>0.121</v>
      </c>
      <c r="M5970" s="508">
        <v>0.11899999999999999</v>
      </c>
      <c r="N5970" s="508">
        <v>0.13100000000000001</v>
      </c>
      <c r="O5970" s="508">
        <v>0.111</v>
      </c>
      <c r="P5970" s="508">
        <v>8.2000000000000003E-2</v>
      </c>
      <c r="Q5970" s="508">
        <v>6.5000000000000002E-2</v>
      </c>
      <c r="R5970" s="508">
        <v>7.2999999999999995E-2</v>
      </c>
      <c r="S5970" s="508">
        <v>8.2000000000000003E-2</v>
      </c>
      <c r="T5970" s="508">
        <v>6.8000000000000005E-2</v>
      </c>
      <c r="U5970" s="508">
        <v>6.7000000000000004E-2</v>
      </c>
      <c r="V5970" s="508">
        <v>3.3000000000000002E-2</v>
      </c>
      <c r="W5970" s="508"/>
      <c r="X5970" s="508">
        <v>1.9E-2</v>
      </c>
      <c r="Y5970" s="508"/>
      <c r="Z5970" s="508"/>
      <c r="AA5970" s="508"/>
      <c r="AB5970" s="508"/>
      <c r="AC5970" s="508"/>
      <c r="AD5970" s="508"/>
      <c r="AE5970" s="508"/>
      <c r="AF5970" s="508"/>
      <c r="AG5970" s="508"/>
      <c r="AH5970" s="508"/>
      <c r="AI5970" s="492"/>
      <c r="AJ5970" s="485"/>
    </row>
    <row r="5971" spans="2:36">
      <c r="B5971" s="136" t="s">
        <v>468</v>
      </c>
      <c r="C5971" s="132" t="s">
        <v>1374</v>
      </c>
      <c r="D5971" s="132" t="s">
        <v>285</v>
      </c>
      <c r="E5971" s="508">
        <v>0.18099999999999999</v>
      </c>
      <c r="F5971" s="508">
        <v>0.2</v>
      </c>
      <c r="G5971" s="508">
        <v>0.19700000000000001</v>
      </c>
      <c r="H5971" s="508">
        <v>0.152</v>
      </c>
      <c r="I5971" s="508">
        <v>0.15</v>
      </c>
      <c r="J5971" s="508">
        <v>0.17299999999999999</v>
      </c>
      <c r="K5971" s="508">
        <v>0.112</v>
      </c>
      <c r="L5971" s="508">
        <v>0.111</v>
      </c>
      <c r="M5971" s="508">
        <v>0.11</v>
      </c>
      <c r="N5971" s="508">
        <v>0.112</v>
      </c>
      <c r="O5971" s="508">
        <v>0.113</v>
      </c>
      <c r="P5971" s="508">
        <v>8.4000000000000005E-2</v>
      </c>
      <c r="Q5971" s="508">
        <v>6.3E-2</v>
      </c>
      <c r="R5971" s="508">
        <v>7.0999999999999994E-2</v>
      </c>
      <c r="S5971" s="508">
        <v>8.8999999999999996E-2</v>
      </c>
      <c r="T5971" s="508">
        <v>7.2999999999999995E-2</v>
      </c>
      <c r="U5971" s="508">
        <v>6.9000000000000006E-2</v>
      </c>
      <c r="V5971" s="508">
        <v>3.2000000000000001E-2</v>
      </c>
      <c r="W5971" s="508"/>
      <c r="X5971" s="508">
        <v>2.1999999999999999E-2</v>
      </c>
      <c r="Y5971" s="508"/>
      <c r="Z5971" s="508"/>
      <c r="AA5971" s="508"/>
      <c r="AB5971" s="508"/>
      <c r="AC5971" s="508"/>
      <c r="AD5971" s="508"/>
      <c r="AE5971" s="508"/>
      <c r="AF5971" s="508"/>
      <c r="AG5971" s="508"/>
      <c r="AH5971" s="508"/>
      <c r="AI5971" s="492"/>
      <c r="AJ5971" s="485"/>
    </row>
    <row r="5972" spans="2:36">
      <c r="B5972" s="136" t="s">
        <v>469</v>
      </c>
      <c r="C5972" s="132" t="s">
        <v>1374</v>
      </c>
      <c r="D5972" s="132" t="s">
        <v>285</v>
      </c>
      <c r="E5972" s="508">
        <v>0.155</v>
      </c>
      <c r="F5972" s="508">
        <v>0.159</v>
      </c>
      <c r="G5972" s="508">
        <v>0.156</v>
      </c>
      <c r="H5972" s="508">
        <v>0.127</v>
      </c>
      <c r="I5972" s="508">
        <v>0.125</v>
      </c>
      <c r="J5972" s="508">
        <v>0.13</v>
      </c>
      <c r="K5972" s="508">
        <v>8.8999999999999996E-2</v>
      </c>
      <c r="L5972" s="508">
        <v>8.7999999999999995E-2</v>
      </c>
      <c r="M5972" s="508">
        <v>8.6999999999999994E-2</v>
      </c>
      <c r="N5972" s="508">
        <v>9.5000000000000001E-2</v>
      </c>
      <c r="O5972" s="508">
        <v>8.5000000000000006E-2</v>
      </c>
      <c r="P5972" s="508">
        <v>6.2E-2</v>
      </c>
      <c r="Q5972" s="508">
        <v>4.9000000000000002E-2</v>
      </c>
      <c r="R5972" s="508">
        <v>5.5E-2</v>
      </c>
      <c r="S5972" s="508">
        <v>6.4000000000000001E-2</v>
      </c>
      <c r="T5972" s="508">
        <v>5.2999999999999999E-2</v>
      </c>
      <c r="U5972" s="508">
        <v>5.1999999999999998E-2</v>
      </c>
      <c r="V5972" s="508">
        <v>2.5000000000000001E-2</v>
      </c>
      <c r="W5972" s="508"/>
      <c r="X5972" s="508">
        <v>0.02</v>
      </c>
      <c r="Y5972" s="508"/>
      <c r="Z5972" s="508"/>
      <c r="AA5972" s="508"/>
      <c r="AB5972" s="508"/>
      <c r="AC5972" s="508"/>
      <c r="AD5972" s="508"/>
      <c r="AE5972" s="508"/>
      <c r="AF5972" s="508"/>
      <c r="AG5972" s="508"/>
      <c r="AH5972" s="508"/>
      <c r="AI5972" s="492"/>
      <c r="AJ5972" s="485"/>
    </row>
    <row r="5973" spans="2:36">
      <c r="B5973" s="136" t="s">
        <v>470</v>
      </c>
      <c r="C5973" s="132" t="s">
        <v>1374</v>
      </c>
      <c r="D5973" s="132" t="s">
        <v>285</v>
      </c>
      <c r="E5973" s="508">
        <v>0.22</v>
      </c>
      <c r="F5973" s="508">
        <v>0.22</v>
      </c>
      <c r="G5973" s="508">
        <v>0.215</v>
      </c>
      <c r="H5973" s="508">
        <v>0.17100000000000001</v>
      </c>
      <c r="I5973" s="508">
        <v>0.16800000000000001</v>
      </c>
      <c r="J5973" s="508">
        <v>0.17699999999999999</v>
      </c>
      <c r="K5973" s="508">
        <v>0.127</v>
      </c>
      <c r="L5973" s="508">
        <v>0.125</v>
      </c>
      <c r="M5973" s="508">
        <v>0.124</v>
      </c>
      <c r="N5973" s="508">
        <v>0.11899999999999999</v>
      </c>
      <c r="O5973" s="508">
        <v>0.11700000000000001</v>
      </c>
      <c r="P5973" s="508">
        <v>8.6999999999999994E-2</v>
      </c>
      <c r="Q5973" s="508">
        <v>6.5000000000000002E-2</v>
      </c>
      <c r="R5973" s="508">
        <v>7.3999999999999996E-2</v>
      </c>
      <c r="S5973" s="508">
        <v>8.8999999999999996E-2</v>
      </c>
      <c r="T5973" s="508">
        <v>7.1999999999999995E-2</v>
      </c>
      <c r="U5973" s="508">
        <v>7.0000000000000007E-2</v>
      </c>
      <c r="V5973" s="508">
        <v>3.4000000000000002E-2</v>
      </c>
      <c r="W5973" s="508"/>
      <c r="X5973" s="508">
        <v>2.1000000000000001E-2</v>
      </c>
      <c r="Y5973" s="508"/>
      <c r="Z5973" s="508"/>
      <c r="AA5973" s="508"/>
      <c r="AB5973" s="508"/>
      <c r="AC5973" s="508"/>
      <c r="AD5973" s="508"/>
      <c r="AE5973" s="508"/>
      <c r="AF5973" s="508"/>
      <c r="AG5973" s="508"/>
      <c r="AH5973" s="508"/>
      <c r="AI5973" s="492"/>
      <c r="AJ5973" s="485"/>
    </row>
    <row r="5974" spans="2:36">
      <c r="B5974" s="136" t="s">
        <v>471</v>
      </c>
      <c r="C5974" s="132" t="s">
        <v>1374</v>
      </c>
      <c r="D5974" s="132" t="s">
        <v>285</v>
      </c>
      <c r="E5974" s="508">
        <v>0.14399999999999999</v>
      </c>
      <c r="F5974" s="508">
        <v>0.14099999999999999</v>
      </c>
      <c r="G5974" s="508">
        <v>0.13800000000000001</v>
      </c>
      <c r="H5974" s="508">
        <v>0.115</v>
      </c>
      <c r="I5974" s="508">
        <v>0.113</v>
      </c>
      <c r="J5974" s="508">
        <v>0.111</v>
      </c>
      <c r="K5974" s="508">
        <v>8.1000000000000003E-2</v>
      </c>
      <c r="L5974" s="508">
        <v>0.08</v>
      </c>
      <c r="M5974" s="508">
        <v>7.9000000000000001E-2</v>
      </c>
      <c r="N5974" s="508">
        <v>8.4000000000000005E-2</v>
      </c>
      <c r="O5974" s="508">
        <v>7.2999999999999995E-2</v>
      </c>
      <c r="P5974" s="508">
        <v>5.3999999999999999E-2</v>
      </c>
      <c r="Q5974" s="508">
        <v>4.2000000000000003E-2</v>
      </c>
      <c r="R5974" s="508">
        <v>4.8000000000000001E-2</v>
      </c>
      <c r="S5974" s="508">
        <v>5.3999999999999999E-2</v>
      </c>
      <c r="T5974" s="508">
        <v>4.4999999999999998E-2</v>
      </c>
      <c r="U5974" s="508">
        <v>4.7E-2</v>
      </c>
      <c r="V5974" s="508">
        <v>2.3E-2</v>
      </c>
      <c r="W5974" s="508"/>
      <c r="X5974" s="508">
        <v>0.02</v>
      </c>
      <c r="Y5974" s="508"/>
      <c r="Z5974" s="508"/>
      <c r="AA5974" s="508"/>
      <c r="AB5974" s="508"/>
      <c r="AC5974" s="508"/>
      <c r="AD5974" s="508"/>
      <c r="AE5974" s="508"/>
      <c r="AF5974" s="508"/>
      <c r="AG5974" s="508"/>
      <c r="AH5974" s="508"/>
      <c r="AI5974" s="492"/>
      <c r="AJ5974" s="485"/>
    </row>
    <row r="5975" spans="2:36">
      <c r="B5975" s="136" t="s">
        <v>472</v>
      </c>
      <c r="C5975" s="132" t="s">
        <v>1374</v>
      </c>
      <c r="D5975" s="132" t="s">
        <v>285</v>
      </c>
      <c r="E5975" s="508">
        <v>0.253</v>
      </c>
      <c r="F5975" s="508">
        <v>0.251</v>
      </c>
      <c r="G5975" s="508">
        <v>0.245</v>
      </c>
      <c r="H5975" s="508">
        <v>0.20699999999999999</v>
      </c>
      <c r="I5975" s="508">
        <v>0.20300000000000001</v>
      </c>
      <c r="J5975" s="508">
        <v>0.19800000000000001</v>
      </c>
      <c r="K5975" s="508">
        <v>0.13600000000000001</v>
      </c>
      <c r="L5975" s="508">
        <v>0.13500000000000001</v>
      </c>
      <c r="M5975" s="508">
        <v>0.13300000000000001</v>
      </c>
      <c r="N5975" s="508">
        <v>0.158</v>
      </c>
      <c r="O5975" s="508">
        <v>0.127</v>
      </c>
      <c r="P5975" s="508">
        <v>9.0999999999999998E-2</v>
      </c>
      <c r="Q5975" s="508">
        <v>7.5999999999999998E-2</v>
      </c>
      <c r="R5975" s="508">
        <v>8.5000000000000006E-2</v>
      </c>
      <c r="S5975" s="508">
        <v>9.1999999999999998E-2</v>
      </c>
      <c r="T5975" s="508">
        <v>7.6999999999999999E-2</v>
      </c>
      <c r="U5975" s="508">
        <v>7.8E-2</v>
      </c>
      <c r="V5975" s="508">
        <v>3.7999999999999999E-2</v>
      </c>
      <c r="W5975" s="508"/>
      <c r="X5975" s="508">
        <v>0.02</v>
      </c>
      <c r="Y5975" s="508"/>
      <c r="Z5975" s="508"/>
      <c r="AA5975" s="508"/>
      <c r="AB5975" s="508"/>
      <c r="AC5975" s="508"/>
      <c r="AD5975" s="508"/>
      <c r="AE5975" s="508"/>
      <c r="AF5975" s="508"/>
      <c r="AG5975" s="508"/>
      <c r="AH5975" s="508"/>
      <c r="AI5975" s="492"/>
      <c r="AJ5975" s="485"/>
    </row>
    <row r="5976" spans="2:36">
      <c r="B5976" s="136" t="s">
        <v>473</v>
      </c>
      <c r="C5976" s="132" t="s">
        <v>1374</v>
      </c>
      <c r="D5976" s="132" t="s">
        <v>285</v>
      </c>
      <c r="E5976" s="508">
        <v>0.20300000000000001</v>
      </c>
      <c r="F5976" s="508">
        <v>0.19700000000000001</v>
      </c>
      <c r="G5976" s="508">
        <v>0.192</v>
      </c>
      <c r="H5976" s="508">
        <v>0.158</v>
      </c>
      <c r="I5976" s="508">
        <v>0.156</v>
      </c>
      <c r="J5976" s="508">
        <v>0.154</v>
      </c>
      <c r="K5976" s="508">
        <v>0.114</v>
      </c>
      <c r="L5976" s="508">
        <v>0.112</v>
      </c>
      <c r="M5976" s="508">
        <v>0.111</v>
      </c>
      <c r="N5976" s="508">
        <v>0.112</v>
      </c>
      <c r="O5976" s="508">
        <v>0.10199999999999999</v>
      </c>
      <c r="P5976" s="508">
        <v>7.4999999999999997E-2</v>
      </c>
      <c r="Q5976" s="508">
        <v>5.8000000000000003E-2</v>
      </c>
      <c r="R5976" s="508">
        <v>6.5000000000000002E-2</v>
      </c>
      <c r="S5976" s="508">
        <v>7.4999999999999997E-2</v>
      </c>
      <c r="T5976" s="508">
        <v>6.2E-2</v>
      </c>
      <c r="U5976" s="508">
        <v>5.7000000000000002E-2</v>
      </c>
      <c r="V5976" s="508">
        <v>2.8000000000000001E-2</v>
      </c>
      <c r="W5976" s="508"/>
      <c r="X5976" s="508">
        <v>1.7999999999999999E-2</v>
      </c>
      <c r="Y5976" s="508"/>
      <c r="Z5976" s="508"/>
      <c r="AA5976" s="508"/>
      <c r="AB5976" s="508"/>
      <c r="AC5976" s="508"/>
      <c r="AD5976" s="508"/>
      <c r="AE5976" s="508"/>
      <c r="AF5976" s="508"/>
      <c r="AG5976" s="508"/>
      <c r="AH5976" s="508"/>
      <c r="AI5976" s="492"/>
      <c r="AJ5976" s="485"/>
    </row>
    <row r="5977" spans="2:36">
      <c r="B5977" s="136" t="s">
        <v>474</v>
      </c>
      <c r="C5977" s="132" t="s">
        <v>1374</v>
      </c>
      <c r="D5977" s="132" t="s">
        <v>285</v>
      </c>
      <c r="E5977" s="508">
        <v>0.13900000000000001</v>
      </c>
      <c r="F5977" s="508">
        <v>0.13800000000000001</v>
      </c>
      <c r="G5977" s="508">
        <v>0.13500000000000001</v>
      </c>
      <c r="H5977" s="508">
        <v>0.112</v>
      </c>
      <c r="I5977" s="508">
        <v>0.11</v>
      </c>
      <c r="J5977" s="508">
        <v>0.11</v>
      </c>
      <c r="K5977" s="508">
        <v>7.9000000000000001E-2</v>
      </c>
      <c r="L5977" s="508">
        <v>7.8E-2</v>
      </c>
      <c r="M5977" s="508">
        <v>7.6999999999999999E-2</v>
      </c>
      <c r="N5977" s="508">
        <v>8.3000000000000004E-2</v>
      </c>
      <c r="O5977" s="508">
        <v>7.2999999999999995E-2</v>
      </c>
      <c r="P5977" s="508">
        <v>5.2999999999999999E-2</v>
      </c>
      <c r="Q5977" s="508">
        <v>4.2000000000000003E-2</v>
      </c>
      <c r="R5977" s="508">
        <v>4.8000000000000001E-2</v>
      </c>
      <c r="S5977" s="508">
        <v>5.3999999999999999E-2</v>
      </c>
      <c r="T5977" s="508">
        <v>4.4999999999999998E-2</v>
      </c>
      <c r="U5977" s="508">
        <v>4.3999999999999997E-2</v>
      </c>
      <c r="V5977" s="508">
        <v>2.1999999999999999E-2</v>
      </c>
      <c r="W5977" s="508"/>
      <c r="X5977" s="508">
        <v>1.9E-2</v>
      </c>
      <c r="Y5977" s="508"/>
      <c r="Z5977" s="508"/>
      <c r="AA5977" s="508"/>
      <c r="AB5977" s="508"/>
      <c r="AC5977" s="508"/>
      <c r="AD5977" s="508"/>
      <c r="AE5977" s="508"/>
      <c r="AF5977" s="508"/>
      <c r="AG5977" s="508"/>
      <c r="AH5977" s="508"/>
      <c r="AI5977" s="492"/>
      <c r="AJ5977" s="485"/>
    </row>
    <row r="5978" spans="2:36">
      <c r="B5978" s="136" t="s">
        <v>475</v>
      </c>
      <c r="C5978" s="132" t="s">
        <v>1374</v>
      </c>
      <c r="D5978" s="132" t="s">
        <v>285</v>
      </c>
      <c r="E5978" s="508">
        <v>0.189</v>
      </c>
      <c r="F5978" s="508">
        <v>0.188</v>
      </c>
      <c r="G5978" s="508">
        <v>0.184</v>
      </c>
      <c r="H5978" s="508">
        <v>0.152</v>
      </c>
      <c r="I5978" s="508">
        <v>0.15</v>
      </c>
      <c r="J5978" s="508">
        <v>0.15</v>
      </c>
      <c r="K5978" s="508">
        <v>0.106</v>
      </c>
      <c r="L5978" s="508">
        <v>0.105</v>
      </c>
      <c r="M5978" s="508">
        <v>0.104</v>
      </c>
      <c r="N5978" s="508">
        <v>0.113</v>
      </c>
      <c r="O5978" s="508">
        <v>9.8000000000000004E-2</v>
      </c>
      <c r="P5978" s="508">
        <v>7.1999999999999995E-2</v>
      </c>
      <c r="Q5978" s="508">
        <v>5.7000000000000002E-2</v>
      </c>
      <c r="R5978" s="508">
        <v>6.4000000000000001E-2</v>
      </c>
      <c r="S5978" s="508">
        <v>7.2999999999999995E-2</v>
      </c>
      <c r="T5978" s="508">
        <v>0.06</v>
      </c>
      <c r="U5978" s="508">
        <v>5.8000000000000003E-2</v>
      </c>
      <c r="V5978" s="508">
        <v>2.8000000000000001E-2</v>
      </c>
      <c r="W5978" s="508"/>
      <c r="X5978" s="508">
        <v>1.9E-2</v>
      </c>
      <c r="Y5978" s="508"/>
      <c r="Z5978" s="508"/>
      <c r="AA5978" s="508"/>
      <c r="AB5978" s="508"/>
      <c r="AC5978" s="508"/>
      <c r="AD5978" s="508"/>
      <c r="AE5978" s="508"/>
      <c r="AF5978" s="508"/>
      <c r="AG5978" s="508"/>
      <c r="AH5978" s="508"/>
      <c r="AI5978" s="492"/>
      <c r="AJ5978" s="485"/>
    </row>
    <row r="5979" spans="2:36">
      <c r="B5979" s="136" t="s">
        <v>476</v>
      </c>
      <c r="C5979" s="132" t="s">
        <v>1374</v>
      </c>
      <c r="D5979" s="132" t="s">
        <v>285</v>
      </c>
      <c r="E5979" s="508">
        <v>0.20399999999999999</v>
      </c>
      <c r="F5979" s="508">
        <v>0.20599999999999999</v>
      </c>
      <c r="G5979" s="508">
        <v>0.20200000000000001</v>
      </c>
      <c r="H5979" s="508">
        <v>0.16200000000000001</v>
      </c>
      <c r="I5979" s="508">
        <v>0.159</v>
      </c>
      <c r="J5979" s="508">
        <v>0.16700000000000001</v>
      </c>
      <c r="K5979" s="508">
        <v>0.11799999999999999</v>
      </c>
      <c r="L5979" s="508">
        <v>0.11700000000000001</v>
      </c>
      <c r="M5979" s="508">
        <v>0.11600000000000001</v>
      </c>
      <c r="N5979" s="508">
        <v>0.115</v>
      </c>
      <c r="O5979" s="508">
        <v>0.11</v>
      </c>
      <c r="P5979" s="508">
        <v>8.2000000000000003E-2</v>
      </c>
      <c r="Q5979" s="508">
        <v>6.2E-2</v>
      </c>
      <c r="R5979" s="508">
        <v>7.0000000000000007E-2</v>
      </c>
      <c r="S5979" s="508">
        <v>8.4000000000000005E-2</v>
      </c>
      <c r="T5979" s="508">
        <v>6.9000000000000006E-2</v>
      </c>
      <c r="U5979" s="508">
        <v>6.6000000000000003E-2</v>
      </c>
      <c r="V5979" s="508">
        <v>3.2000000000000001E-2</v>
      </c>
      <c r="W5979" s="508"/>
      <c r="X5979" s="508">
        <v>2.1000000000000001E-2</v>
      </c>
      <c r="Y5979" s="508"/>
      <c r="Z5979" s="508"/>
      <c r="AA5979" s="508"/>
      <c r="AB5979" s="508"/>
      <c r="AC5979" s="508"/>
      <c r="AD5979" s="508"/>
      <c r="AE5979" s="508"/>
      <c r="AF5979" s="508"/>
      <c r="AG5979" s="508"/>
      <c r="AH5979" s="508"/>
      <c r="AI5979" s="492"/>
      <c r="AJ5979" s="485"/>
    </row>
    <row r="5980" spans="2:36">
      <c r="B5980" s="136" t="s">
        <v>478</v>
      </c>
      <c r="C5980" s="132" t="s">
        <v>1374</v>
      </c>
      <c r="D5980" s="132" t="s">
        <v>285</v>
      </c>
      <c r="E5980" s="508">
        <v>0.23300000000000001</v>
      </c>
      <c r="F5980" s="508">
        <v>0.24099999999999999</v>
      </c>
      <c r="G5980" s="508">
        <v>0.23599999999999999</v>
      </c>
      <c r="H5980" s="508">
        <v>0.18099999999999999</v>
      </c>
      <c r="I5980" s="508">
        <v>0.17799999999999999</v>
      </c>
      <c r="J5980" s="508">
        <v>0.2</v>
      </c>
      <c r="K5980" s="508">
        <v>0.14000000000000001</v>
      </c>
      <c r="L5980" s="508">
        <v>0.13900000000000001</v>
      </c>
      <c r="M5980" s="508">
        <v>0.13800000000000001</v>
      </c>
      <c r="N5980" s="508">
        <v>0.123</v>
      </c>
      <c r="O5980" s="508">
        <v>0.13200000000000001</v>
      </c>
      <c r="P5980" s="508">
        <v>0.10100000000000001</v>
      </c>
      <c r="Q5980" s="508">
        <v>7.2999999999999995E-2</v>
      </c>
      <c r="R5980" s="508">
        <v>8.1000000000000003E-2</v>
      </c>
      <c r="S5980" s="508">
        <v>0.10299999999999999</v>
      </c>
      <c r="T5980" s="508">
        <v>8.4000000000000005E-2</v>
      </c>
      <c r="U5980" s="508">
        <v>7.6999999999999999E-2</v>
      </c>
      <c r="V5980" s="508">
        <v>3.6999999999999998E-2</v>
      </c>
      <c r="W5980" s="508"/>
      <c r="X5980" s="508">
        <v>2.1999999999999999E-2</v>
      </c>
      <c r="Y5980" s="508"/>
      <c r="Z5980" s="508"/>
      <c r="AA5980" s="508"/>
      <c r="AB5980" s="508"/>
      <c r="AC5980" s="508"/>
      <c r="AD5980" s="508"/>
      <c r="AE5980" s="508"/>
      <c r="AF5980" s="508"/>
      <c r="AG5980" s="508"/>
      <c r="AH5980" s="508"/>
      <c r="AI5980" s="492"/>
      <c r="AJ5980" s="485"/>
    </row>
    <row r="5981" spans="2:36">
      <c r="B5981" s="136" t="s">
        <v>479</v>
      </c>
      <c r="C5981" s="132" t="s">
        <v>1374</v>
      </c>
      <c r="D5981" s="132" t="s">
        <v>285</v>
      </c>
      <c r="E5981" s="508">
        <v>0.13100000000000001</v>
      </c>
      <c r="F5981" s="508">
        <v>0.13400000000000001</v>
      </c>
      <c r="G5981" s="508">
        <v>0.13200000000000001</v>
      </c>
      <c r="H5981" s="508">
        <v>0.107</v>
      </c>
      <c r="I5981" s="508">
        <v>0.105</v>
      </c>
      <c r="J5981" s="508">
        <v>0.11</v>
      </c>
      <c r="K5981" s="508">
        <v>7.5999999999999998E-2</v>
      </c>
      <c r="L5981" s="508">
        <v>7.5999999999999998E-2</v>
      </c>
      <c r="M5981" s="508">
        <v>7.4999999999999997E-2</v>
      </c>
      <c r="N5981" s="508">
        <v>7.9000000000000001E-2</v>
      </c>
      <c r="O5981" s="508">
        <v>7.2999999999999995E-2</v>
      </c>
      <c r="P5981" s="508">
        <v>5.3999999999999999E-2</v>
      </c>
      <c r="Q5981" s="508">
        <v>4.1000000000000002E-2</v>
      </c>
      <c r="R5981" s="508">
        <v>4.7E-2</v>
      </c>
      <c r="S5981" s="508">
        <v>5.5E-2</v>
      </c>
      <c r="T5981" s="508">
        <v>4.5999999999999999E-2</v>
      </c>
      <c r="U5981" s="508">
        <v>4.7E-2</v>
      </c>
      <c r="V5981" s="508">
        <v>2.3E-2</v>
      </c>
      <c r="W5981" s="508"/>
      <c r="X5981" s="508">
        <v>2.1000000000000001E-2</v>
      </c>
      <c r="Y5981" s="508"/>
      <c r="Z5981" s="508"/>
      <c r="AA5981" s="508"/>
      <c r="AB5981" s="508"/>
      <c r="AC5981" s="508"/>
      <c r="AD5981" s="508"/>
      <c r="AE5981" s="508"/>
      <c r="AF5981" s="508"/>
      <c r="AG5981" s="508"/>
      <c r="AH5981" s="508"/>
      <c r="AI5981" s="492"/>
      <c r="AJ5981" s="485"/>
    </row>
    <row r="5982" spans="2:36">
      <c r="B5982" s="136" t="s">
        <v>480</v>
      </c>
      <c r="C5982" s="132" t="s">
        <v>1374</v>
      </c>
      <c r="D5982" s="132" t="s">
        <v>285</v>
      </c>
      <c r="E5982" s="508">
        <v>0.221</v>
      </c>
      <c r="F5982" s="508">
        <v>0.23300000000000001</v>
      </c>
      <c r="G5982" s="508">
        <v>0.22800000000000001</v>
      </c>
      <c r="H5982" s="508">
        <v>0.183</v>
      </c>
      <c r="I5982" s="508">
        <v>0.18099999999999999</v>
      </c>
      <c r="J5982" s="508">
        <v>0.193</v>
      </c>
      <c r="K5982" s="508">
        <v>0.128</v>
      </c>
      <c r="L5982" s="508">
        <v>0.126</v>
      </c>
      <c r="M5982" s="508">
        <v>0.125</v>
      </c>
      <c r="N5982" s="508">
        <v>0.13800000000000001</v>
      </c>
      <c r="O5982" s="508">
        <v>0.125</v>
      </c>
      <c r="P5982" s="508">
        <v>9.0999999999999998E-2</v>
      </c>
      <c r="Q5982" s="508">
        <v>7.1999999999999995E-2</v>
      </c>
      <c r="R5982" s="508">
        <v>8.1000000000000003E-2</v>
      </c>
      <c r="S5982" s="508">
        <v>9.5000000000000001E-2</v>
      </c>
      <c r="T5982" s="508">
        <v>7.9000000000000001E-2</v>
      </c>
      <c r="U5982" s="508">
        <v>7.8E-2</v>
      </c>
      <c r="V5982" s="508">
        <v>3.7999999999999999E-2</v>
      </c>
      <c r="W5982" s="508"/>
      <c r="X5982" s="508">
        <v>2.1000000000000001E-2</v>
      </c>
      <c r="Y5982" s="508"/>
      <c r="Z5982" s="508"/>
      <c r="AA5982" s="508"/>
      <c r="AB5982" s="508"/>
      <c r="AC5982" s="508"/>
      <c r="AD5982" s="508"/>
      <c r="AE5982" s="508"/>
      <c r="AF5982" s="508"/>
      <c r="AG5982" s="508"/>
      <c r="AH5982" s="508"/>
      <c r="AI5982" s="492"/>
      <c r="AJ5982" s="485"/>
    </row>
    <row r="5983" spans="2:36">
      <c r="B5983" s="136" t="s">
        <v>481</v>
      </c>
      <c r="C5983" s="132" t="s">
        <v>1374</v>
      </c>
      <c r="D5983" s="132" t="s">
        <v>285</v>
      </c>
      <c r="E5983" s="508">
        <v>0.155</v>
      </c>
      <c r="F5983" s="508">
        <v>0.159</v>
      </c>
      <c r="G5983" s="508">
        <v>0.156</v>
      </c>
      <c r="H5983" s="508">
        <v>0.125</v>
      </c>
      <c r="I5983" s="508">
        <v>0.123</v>
      </c>
      <c r="J5983" s="508">
        <v>0.13100000000000001</v>
      </c>
      <c r="K5983" s="508">
        <v>9.0999999999999998E-2</v>
      </c>
      <c r="L5983" s="508">
        <v>0.09</v>
      </c>
      <c r="M5983" s="508">
        <v>0.09</v>
      </c>
      <c r="N5983" s="508">
        <v>0.09</v>
      </c>
      <c r="O5983" s="508">
        <v>8.5999999999999993E-2</v>
      </c>
      <c r="P5983" s="508">
        <v>6.4000000000000001E-2</v>
      </c>
      <c r="Q5983" s="508">
        <v>4.9000000000000002E-2</v>
      </c>
      <c r="R5983" s="508">
        <v>5.5E-2</v>
      </c>
      <c r="S5983" s="508">
        <v>6.6000000000000003E-2</v>
      </c>
      <c r="T5983" s="508">
        <v>5.3999999999999999E-2</v>
      </c>
      <c r="U5983" s="508">
        <v>5.1999999999999998E-2</v>
      </c>
      <c r="V5983" s="508">
        <v>2.5000000000000001E-2</v>
      </c>
      <c r="W5983" s="508"/>
      <c r="X5983" s="508">
        <v>0.02</v>
      </c>
      <c r="Y5983" s="508"/>
      <c r="Z5983" s="508"/>
      <c r="AA5983" s="508"/>
      <c r="AB5983" s="508"/>
      <c r="AC5983" s="508"/>
      <c r="AD5983" s="508"/>
      <c r="AE5983" s="508"/>
      <c r="AF5983" s="508"/>
      <c r="AG5983" s="508"/>
      <c r="AH5983" s="508"/>
      <c r="AI5983" s="492"/>
      <c r="AJ5983" s="485"/>
    </row>
    <row r="5984" spans="2:36">
      <c r="B5984" s="136" t="s">
        <v>482</v>
      </c>
      <c r="C5984" s="132" t="s">
        <v>1374</v>
      </c>
      <c r="D5984" s="132" t="s">
        <v>285</v>
      </c>
      <c r="E5984" s="508">
        <v>0.11700000000000001</v>
      </c>
      <c r="F5984" s="508">
        <v>0.123</v>
      </c>
      <c r="G5984" s="508">
        <v>0.121</v>
      </c>
      <c r="H5984" s="508">
        <v>9.5000000000000001E-2</v>
      </c>
      <c r="I5984" s="508">
        <v>9.4E-2</v>
      </c>
      <c r="J5984" s="508">
        <v>0.10299999999999999</v>
      </c>
      <c r="K5984" s="508">
        <v>7.0999999999999994E-2</v>
      </c>
      <c r="L5984" s="508">
        <v>7.0000000000000007E-2</v>
      </c>
      <c r="M5984" s="508">
        <v>7.0000000000000007E-2</v>
      </c>
      <c r="N5984" s="508">
        <v>6.9000000000000006E-2</v>
      </c>
      <c r="O5984" s="508">
        <v>6.8000000000000005E-2</v>
      </c>
      <c r="P5984" s="508">
        <v>5.0999999999999997E-2</v>
      </c>
      <c r="Q5984" s="508">
        <v>3.7999999999999999E-2</v>
      </c>
      <c r="R5984" s="508">
        <v>4.2999999999999997E-2</v>
      </c>
      <c r="S5984" s="508">
        <v>5.2999999999999999E-2</v>
      </c>
      <c r="T5984" s="508">
        <v>4.3999999999999997E-2</v>
      </c>
      <c r="U5984" s="508">
        <v>4.2000000000000003E-2</v>
      </c>
      <c r="V5984" s="508">
        <v>0.02</v>
      </c>
      <c r="W5984" s="508"/>
      <c r="X5984" s="508">
        <v>2.1000000000000001E-2</v>
      </c>
      <c r="Y5984" s="508"/>
      <c r="Z5984" s="508"/>
      <c r="AA5984" s="508"/>
      <c r="AB5984" s="508"/>
      <c r="AC5984" s="508"/>
      <c r="AD5984" s="508"/>
      <c r="AE5984" s="508"/>
      <c r="AF5984" s="508"/>
      <c r="AG5984" s="508"/>
      <c r="AH5984" s="508"/>
      <c r="AI5984" s="492"/>
      <c r="AJ5984" s="485"/>
    </row>
    <row r="5985" spans="2:36">
      <c r="B5985" s="136" t="s">
        <v>483</v>
      </c>
      <c r="C5985" s="132" t="s">
        <v>1374</v>
      </c>
      <c r="D5985" s="132" t="s">
        <v>285</v>
      </c>
      <c r="E5985" s="508">
        <v>0.218</v>
      </c>
      <c r="F5985" s="508">
        <v>0.223</v>
      </c>
      <c r="G5985" s="508">
        <v>0.218</v>
      </c>
      <c r="H5985" s="508">
        <v>0.17</v>
      </c>
      <c r="I5985" s="508">
        <v>0.16700000000000001</v>
      </c>
      <c r="J5985" s="508">
        <v>0.183</v>
      </c>
      <c r="K5985" s="508">
        <v>0.129</v>
      </c>
      <c r="L5985" s="508">
        <v>0.128</v>
      </c>
      <c r="M5985" s="508">
        <v>0.127</v>
      </c>
      <c r="N5985" s="508">
        <v>0.11700000000000001</v>
      </c>
      <c r="O5985" s="508">
        <v>0.121</v>
      </c>
      <c r="P5985" s="508">
        <v>9.0999999999999998E-2</v>
      </c>
      <c r="Q5985" s="508">
        <v>6.7000000000000004E-2</v>
      </c>
      <c r="R5985" s="508">
        <v>7.4999999999999997E-2</v>
      </c>
      <c r="S5985" s="508">
        <v>9.4E-2</v>
      </c>
      <c r="T5985" s="508">
        <v>7.5999999999999998E-2</v>
      </c>
      <c r="U5985" s="508">
        <v>7.0999999999999994E-2</v>
      </c>
      <c r="V5985" s="508">
        <v>3.4000000000000002E-2</v>
      </c>
      <c r="W5985" s="508"/>
      <c r="X5985" s="508">
        <v>2.1000000000000001E-2</v>
      </c>
      <c r="Y5985" s="508"/>
      <c r="Z5985" s="508"/>
      <c r="AA5985" s="508"/>
      <c r="AB5985" s="508"/>
      <c r="AC5985" s="508"/>
      <c r="AD5985" s="508"/>
      <c r="AE5985" s="508"/>
      <c r="AF5985" s="508"/>
      <c r="AG5985" s="508"/>
      <c r="AH5985" s="508"/>
      <c r="AI5985" s="492"/>
      <c r="AJ5985" s="485"/>
    </row>
    <row r="5986" spans="2:36">
      <c r="B5986" s="136" t="s">
        <v>484</v>
      </c>
      <c r="C5986" s="132" t="s">
        <v>1374</v>
      </c>
      <c r="D5986" s="132" t="s">
        <v>285</v>
      </c>
      <c r="E5986" s="508">
        <v>0.22700000000000001</v>
      </c>
      <c r="F5986" s="508">
        <v>0.22900000000000001</v>
      </c>
      <c r="G5986" s="508">
        <v>0.224</v>
      </c>
      <c r="H5986" s="508">
        <v>0.187</v>
      </c>
      <c r="I5986" s="508">
        <v>0.184</v>
      </c>
      <c r="J5986" s="508">
        <v>0.183</v>
      </c>
      <c r="K5986" s="508">
        <v>0.125</v>
      </c>
      <c r="L5986" s="508">
        <v>0.123</v>
      </c>
      <c r="M5986" s="508">
        <v>0.122</v>
      </c>
      <c r="N5986" s="508">
        <v>0.14299999999999999</v>
      </c>
      <c r="O5986" s="508">
        <v>0.11799999999999999</v>
      </c>
      <c r="P5986" s="508">
        <v>8.5000000000000006E-2</v>
      </c>
      <c r="Q5986" s="508">
        <v>7.0000000000000007E-2</v>
      </c>
      <c r="R5986" s="508">
        <v>7.8E-2</v>
      </c>
      <c r="S5986" s="508">
        <v>8.6999999999999994E-2</v>
      </c>
      <c r="T5986" s="508">
        <v>7.1999999999999995E-2</v>
      </c>
      <c r="U5986" s="508">
        <v>7.5999999999999998E-2</v>
      </c>
      <c r="V5986" s="508">
        <v>3.6999999999999998E-2</v>
      </c>
      <c r="W5986" s="508"/>
      <c r="X5986" s="508">
        <v>0.02</v>
      </c>
      <c r="Y5986" s="508"/>
      <c r="Z5986" s="508"/>
      <c r="AA5986" s="508"/>
      <c r="AB5986" s="508"/>
      <c r="AC5986" s="508"/>
      <c r="AD5986" s="508"/>
      <c r="AE5986" s="508"/>
      <c r="AF5986" s="508"/>
      <c r="AG5986" s="508"/>
      <c r="AH5986" s="508"/>
      <c r="AI5986" s="492"/>
      <c r="AJ5986" s="485"/>
    </row>
    <row r="5987" spans="2:36">
      <c r="B5987" s="136" t="s">
        <v>486</v>
      </c>
      <c r="C5987" s="132" t="s">
        <v>1374</v>
      </c>
      <c r="D5987" s="132" t="s">
        <v>285</v>
      </c>
      <c r="E5987" s="508">
        <v>0.17</v>
      </c>
      <c r="F5987" s="508">
        <v>0.17599999999999999</v>
      </c>
      <c r="G5987" s="508">
        <v>0.17299999999999999</v>
      </c>
      <c r="H5987" s="508">
        <v>0.13700000000000001</v>
      </c>
      <c r="I5987" s="508">
        <v>0.13500000000000001</v>
      </c>
      <c r="J5987" s="508">
        <v>0.14499999999999999</v>
      </c>
      <c r="K5987" s="508">
        <v>0.10100000000000001</v>
      </c>
      <c r="L5987" s="508">
        <v>0.1</v>
      </c>
      <c r="M5987" s="508">
        <v>9.9000000000000005E-2</v>
      </c>
      <c r="N5987" s="508">
        <v>9.8000000000000004E-2</v>
      </c>
      <c r="O5987" s="508">
        <v>9.6000000000000002E-2</v>
      </c>
      <c r="P5987" s="508">
        <v>7.1999999999999995E-2</v>
      </c>
      <c r="Q5987" s="508">
        <v>5.3999999999999999E-2</v>
      </c>
      <c r="R5987" s="508">
        <v>6.0999999999999999E-2</v>
      </c>
      <c r="S5987" s="508">
        <v>7.3999999999999996E-2</v>
      </c>
      <c r="T5987" s="508">
        <v>6.0999999999999999E-2</v>
      </c>
      <c r="U5987" s="508">
        <v>5.8999999999999997E-2</v>
      </c>
      <c r="V5987" s="508">
        <v>2.9000000000000001E-2</v>
      </c>
      <c r="W5987" s="508"/>
      <c r="X5987" s="508">
        <v>2.1000000000000001E-2</v>
      </c>
      <c r="Y5987" s="508"/>
      <c r="Z5987" s="508"/>
      <c r="AA5987" s="508"/>
      <c r="AB5987" s="508"/>
      <c r="AC5987" s="508"/>
      <c r="AD5987" s="508"/>
      <c r="AE5987" s="508"/>
      <c r="AF5987" s="508"/>
      <c r="AG5987" s="508"/>
      <c r="AH5987" s="508"/>
      <c r="AI5987" s="492"/>
      <c r="AJ5987" s="485"/>
    </row>
    <row r="5988" spans="2:36">
      <c r="B5988" s="136" t="s">
        <v>487</v>
      </c>
      <c r="C5988" s="132" t="s">
        <v>1374</v>
      </c>
      <c r="D5988" s="132" t="s">
        <v>285</v>
      </c>
      <c r="E5988" s="508">
        <v>0.22500000000000001</v>
      </c>
      <c r="F5988" s="508">
        <v>0.23699999999999999</v>
      </c>
      <c r="G5988" s="508">
        <v>0.23300000000000001</v>
      </c>
      <c r="H5988" s="508">
        <v>0.17899999999999999</v>
      </c>
      <c r="I5988" s="508">
        <v>0.17599999999999999</v>
      </c>
      <c r="J5988" s="508">
        <v>0.19900000000000001</v>
      </c>
      <c r="K5988" s="508">
        <v>0.13600000000000001</v>
      </c>
      <c r="L5988" s="508">
        <v>0.13400000000000001</v>
      </c>
      <c r="M5988" s="508">
        <v>0.13300000000000001</v>
      </c>
      <c r="N5988" s="508">
        <v>0.125</v>
      </c>
      <c r="O5988" s="508">
        <v>0.13100000000000001</v>
      </c>
      <c r="P5988" s="508">
        <v>9.9000000000000005E-2</v>
      </c>
      <c r="Q5988" s="508">
        <v>7.1999999999999995E-2</v>
      </c>
      <c r="R5988" s="508">
        <v>8.1000000000000003E-2</v>
      </c>
      <c r="S5988" s="508">
        <v>0.10199999999999999</v>
      </c>
      <c r="T5988" s="508">
        <v>8.4000000000000005E-2</v>
      </c>
      <c r="U5988" s="508">
        <v>7.6999999999999999E-2</v>
      </c>
      <c r="V5988" s="508">
        <v>3.6999999999999998E-2</v>
      </c>
      <c r="W5988" s="508"/>
      <c r="X5988" s="508">
        <v>2.1999999999999999E-2</v>
      </c>
      <c r="Y5988" s="508"/>
      <c r="Z5988" s="508"/>
      <c r="AA5988" s="508"/>
      <c r="AB5988" s="508"/>
      <c r="AC5988" s="508"/>
      <c r="AD5988" s="508"/>
      <c r="AE5988" s="508"/>
      <c r="AF5988" s="508"/>
      <c r="AG5988" s="508"/>
      <c r="AH5988" s="508"/>
      <c r="AI5988" s="492"/>
      <c r="AJ5988" s="485"/>
    </row>
    <row r="5989" spans="2:36">
      <c r="B5989" s="136" t="s">
        <v>488</v>
      </c>
      <c r="C5989" s="132" t="s">
        <v>1374</v>
      </c>
      <c r="D5989" s="132" t="s">
        <v>285</v>
      </c>
      <c r="E5989" s="508">
        <v>0.17699999999999999</v>
      </c>
      <c r="F5989" s="508">
        <v>0.183</v>
      </c>
      <c r="G5989" s="508">
        <v>0.17899999999999999</v>
      </c>
      <c r="H5989" s="508">
        <v>0.14499999999999999</v>
      </c>
      <c r="I5989" s="508">
        <v>0.14299999999999999</v>
      </c>
      <c r="J5989" s="508">
        <v>0.15</v>
      </c>
      <c r="K5989" s="508">
        <v>0.10199999999999999</v>
      </c>
      <c r="L5989" s="508">
        <v>0.10100000000000001</v>
      </c>
      <c r="M5989" s="508">
        <v>0.1</v>
      </c>
      <c r="N5989" s="508">
        <v>0.109</v>
      </c>
      <c r="O5989" s="508">
        <v>9.8000000000000004E-2</v>
      </c>
      <c r="P5989" s="508">
        <v>7.1999999999999995E-2</v>
      </c>
      <c r="Q5989" s="508">
        <v>5.6000000000000001E-2</v>
      </c>
      <c r="R5989" s="508">
        <v>6.4000000000000001E-2</v>
      </c>
      <c r="S5989" s="508">
        <v>7.3999999999999996E-2</v>
      </c>
      <c r="T5989" s="508">
        <v>6.2E-2</v>
      </c>
      <c r="U5989" s="508">
        <v>5.8999999999999997E-2</v>
      </c>
      <c r="V5989" s="508">
        <v>2.8000000000000001E-2</v>
      </c>
      <c r="W5989" s="508"/>
      <c r="X5989" s="508">
        <v>0.02</v>
      </c>
      <c r="Y5989" s="508"/>
      <c r="Z5989" s="508"/>
      <c r="AA5989" s="508"/>
      <c r="AB5989" s="508"/>
      <c r="AC5989" s="508"/>
      <c r="AD5989" s="508"/>
      <c r="AE5989" s="508"/>
      <c r="AF5989" s="508"/>
      <c r="AG5989" s="508"/>
      <c r="AH5989" s="508"/>
      <c r="AI5989" s="492"/>
      <c r="AJ5989" s="485"/>
    </row>
    <row r="5990" spans="2:36">
      <c r="B5990" s="136" t="s">
        <v>489</v>
      </c>
      <c r="C5990" s="132" t="s">
        <v>1374</v>
      </c>
      <c r="D5990" s="132" t="s">
        <v>285</v>
      </c>
      <c r="E5990" s="508">
        <v>0.23200000000000001</v>
      </c>
      <c r="F5990" s="508">
        <v>0.23300000000000001</v>
      </c>
      <c r="G5990" s="508">
        <v>0.22700000000000001</v>
      </c>
      <c r="H5990" s="508">
        <v>0.186</v>
      </c>
      <c r="I5990" s="508">
        <v>0.183</v>
      </c>
      <c r="J5990" s="508">
        <v>0.186</v>
      </c>
      <c r="K5990" s="508">
        <v>0.13</v>
      </c>
      <c r="L5990" s="508">
        <v>0.128</v>
      </c>
      <c r="M5990" s="508">
        <v>0.127</v>
      </c>
      <c r="N5990" s="508">
        <v>0.13700000000000001</v>
      </c>
      <c r="O5990" s="508">
        <v>0.121</v>
      </c>
      <c r="P5990" s="508">
        <v>8.8999999999999996E-2</v>
      </c>
      <c r="Q5990" s="508">
        <v>7.0000000000000007E-2</v>
      </c>
      <c r="R5990" s="508">
        <v>7.9000000000000001E-2</v>
      </c>
      <c r="S5990" s="508">
        <v>0.09</v>
      </c>
      <c r="T5990" s="508">
        <v>7.3999999999999996E-2</v>
      </c>
      <c r="U5990" s="508">
        <v>7.1999999999999995E-2</v>
      </c>
      <c r="V5990" s="508">
        <v>3.5000000000000003E-2</v>
      </c>
      <c r="W5990" s="508"/>
      <c r="X5990" s="508">
        <v>0.02</v>
      </c>
      <c r="Y5990" s="508"/>
      <c r="Z5990" s="508"/>
      <c r="AA5990" s="508"/>
      <c r="AB5990" s="508"/>
      <c r="AC5990" s="508"/>
      <c r="AD5990" s="508"/>
      <c r="AE5990" s="508"/>
      <c r="AF5990" s="508"/>
      <c r="AG5990" s="508"/>
      <c r="AH5990" s="508"/>
      <c r="AI5990" s="492"/>
      <c r="AJ5990" s="485"/>
    </row>
    <row r="5991" spans="2:36">
      <c r="B5991" s="136" t="s">
        <v>490</v>
      </c>
      <c r="C5991" s="132" t="s">
        <v>1374</v>
      </c>
      <c r="D5991" s="132" t="s">
        <v>285</v>
      </c>
      <c r="E5991" s="508">
        <v>0.23699999999999999</v>
      </c>
      <c r="F5991" s="508">
        <v>0.253</v>
      </c>
      <c r="G5991" s="508">
        <v>0.248</v>
      </c>
      <c r="H5991" s="508">
        <v>0.19700000000000001</v>
      </c>
      <c r="I5991" s="508">
        <v>0.19400000000000001</v>
      </c>
      <c r="J5991" s="508">
        <v>0.21199999999999999</v>
      </c>
      <c r="K5991" s="508">
        <v>0.13900000000000001</v>
      </c>
      <c r="L5991" s="508">
        <v>0.13800000000000001</v>
      </c>
      <c r="M5991" s="508">
        <v>0.13700000000000001</v>
      </c>
      <c r="N5991" s="508">
        <v>0.14699999999999999</v>
      </c>
      <c r="O5991" s="508">
        <v>0.13800000000000001</v>
      </c>
      <c r="P5991" s="508">
        <v>0.10100000000000001</v>
      </c>
      <c r="Q5991" s="508">
        <v>7.9000000000000001E-2</v>
      </c>
      <c r="R5991" s="508">
        <v>8.7999999999999995E-2</v>
      </c>
      <c r="S5991" s="508">
        <v>0.106</v>
      </c>
      <c r="T5991" s="508">
        <v>8.6999999999999994E-2</v>
      </c>
      <c r="U5991" s="508">
        <v>8.2000000000000003E-2</v>
      </c>
      <c r="V5991" s="508">
        <v>3.9E-2</v>
      </c>
      <c r="W5991" s="508"/>
      <c r="X5991" s="508">
        <v>2.1000000000000001E-2</v>
      </c>
      <c r="Y5991" s="508"/>
      <c r="Z5991" s="508"/>
      <c r="AA5991" s="508"/>
      <c r="AB5991" s="508"/>
      <c r="AC5991" s="508"/>
      <c r="AD5991" s="508"/>
      <c r="AE5991" s="508"/>
      <c r="AF5991" s="508"/>
      <c r="AG5991" s="508"/>
      <c r="AH5991" s="508"/>
      <c r="AI5991" s="492"/>
      <c r="AJ5991" s="485"/>
    </row>
    <row r="5992" spans="2:36">
      <c r="B5992" s="136" t="s">
        <v>435</v>
      </c>
      <c r="C5992" s="132" t="s">
        <v>1375</v>
      </c>
      <c r="D5992" s="132" t="s">
        <v>285</v>
      </c>
      <c r="E5992" s="508">
        <v>1.9139999999999999</v>
      </c>
      <c r="F5992" s="508">
        <v>1.857</v>
      </c>
      <c r="G5992" s="508">
        <v>1.7869999999999999</v>
      </c>
      <c r="H5992" s="508">
        <v>1.006</v>
      </c>
      <c r="I5992" s="508">
        <v>1.004</v>
      </c>
      <c r="J5992" s="508">
        <v>1.0269999999999999</v>
      </c>
      <c r="K5992" s="508">
        <v>0.72399999999999998</v>
      </c>
      <c r="L5992" s="508">
        <v>0.72</v>
      </c>
      <c r="M5992" s="508">
        <v>0.72399999999999998</v>
      </c>
      <c r="N5992" s="508">
        <v>0.96499999999999997</v>
      </c>
      <c r="O5992" s="508">
        <v>0.97699999999999998</v>
      </c>
      <c r="P5992" s="508">
        <v>0.96599999999999997</v>
      </c>
      <c r="Q5992" s="508">
        <v>0.98299999999999998</v>
      </c>
      <c r="R5992" s="508">
        <v>0.53200000000000003</v>
      </c>
      <c r="S5992" s="508">
        <v>0.52400000000000002</v>
      </c>
      <c r="T5992" s="508">
        <v>0.52200000000000002</v>
      </c>
      <c r="U5992" s="508">
        <v>0.52300000000000002</v>
      </c>
      <c r="V5992" s="508">
        <v>0.51200000000000001</v>
      </c>
      <c r="W5992" s="508">
        <v>0.46400000000000002</v>
      </c>
      <c r="X5992" s="508">
        <v>0.46200000000000002</v>
      </c>
      <c r="Y5992" s="508">
        <v>0.46500000000000002</v>
      </c>
      <c r="Z5992" s="508">
        <v>0.46400000000000002</v>
      </c>
      <c r="AA5992" s="508">
        <v>0.02</v>
      </c>
      <c r="AB5992" s="508">
        <v>1.9E-2</v>
      </c>
      <c r="AC5992" s="508">
        <v>0.02</v>
      </c>
      <c r="AD5992" s="508">
        <v>1.7999999999999999E-2</v>
      </c>
      <c r="AE5992" s="508">
        <v>1.7000000000000001E-2</v>
      </c>
      <c r="AF5992" s="508">
        <v>0.01</v>
      </c>
      <c r="AG5992" s="508">
        <v>0.01</v>
      </c>
      <c r="AH5992" s="508">
        <v>0.01</v>
      </c>
      <c r="AI5992" s="492">
        <v>0.01</v>
      </c>
      <c r="AJ5992" s="485"/>
    </row>
    <row r="5993" spans="2:36">
      <c r="B5993" s="136" t="s">
        <v>436</v>
      </c>
      <c r="C5993" s="132" t="s">
        <v>1375</v>
      </c>
      <c r="D5993" s="132" t="s">
        <v>285</v>
      </c>
      <c r="E5993" s="508">
        <v>1.867</v>
      </c>
      <c r="F5993" s="508">
        <v>1.8109999999999999</v>
      </c>
      <c r="G5993" s="508">
        <v>1.7410000000000001</v>
      </c>
      <c r="H5993" s="508">
        <v>0.97499999999999998</v>
      </c>
      <c r="I5993" s="508">
        <v>0.97299999999999998</v>
      </c>
      <c r="J5993" s="508">
        <v>0.995</v>
      </c>
      <c r="K5993" s="508">
        <v>0.7</v>
      </c>
      <c r="L5993" s="508">
        <v>0.69599999999999995</v>
      </c>
      <c r="M5993" s="508">
        <v>0.70099999999999996</v>
      </c>
      <c r="N5993" s="508">
        <v>0.92200000000000004</v>
      </c>
      <c r="O5993" s="508">
        <v>0.93200000000000005</v>
      </c>
      <c r="P5993" s="508">
        <v>0.92200000000000004</v>
      </c>
      <c r="Q5993" s="508">
        <v>0.93700000000000006</v>
      </c>
      <c r="R5993" s="508">
        <v>0.51200000000000001</v>
      </c>
      <c r="S5993" s="508">
        <v>0.505</v>
      </c>
      <c r="T5993" s="508">
        <v>0.503</v>
      </c>
      <c r="U5993" s="508">
        <v>0.504</v>
      </c>
      <c r="V5993" s="508">
        <v>0.49299999999999999</v>
      </c>
      <c r="W5993" s="508">
        <v>0.44700000000000001</v>
      </c>
      <c r="X5993" s="508">
        <v>0.44500000000000001</v>
      </c>
      <c r="Y5993" s="508">
        <v>0.44800000000000001</v>
      </c>
      <c r="Z5993" s="508">
        <v>0.44700000000000001</v>
      </c>
      <c r="AA5993" s="508">
        <v>1.9E-2</v>
      </c>
      <c r="AB5993" s="508">
        <v>1.7999999999999999E-2</v>
      </c>
      <c r="AC5993" s="508">
        <v>1.9E-2</v>
      </c>
      <c r="AD5993" s="508">
        <v>1.7000000000000001E-2</v>
      </c>
      <c r="AE5993" s="508">
        <v>1.7000000000000001E-2</v>
      </c>
      <c r="AF5993" s="508">
        <v>0.01</v>
      </c>
      <c r="AG5993" s="508">
        <v>0.01</v>
      </c>
      <c r="AH5993" s="508">
        <v>0.01</v>
      </c>
      <c r="AI5993" s="492">
        <v>0.01</v>
      </c>
      <c r="AJ5993" s="485"/>
    </row>
    <row r="5994" spans="2:36">
      <c r="B5994" s="136" t="s">
        <v>437</v>
      </c>
      <c r="C5994" s="132" t="s">
        <v>1375</v>
      </c>
      <c r="D5994" s="132" t="s">
        <v>285</v>
      </c>
      <c r="E5994" s="508">
        <v>1.9339999999999999</v>
      </c>
      <c r="F5994" s="508">
        <v>1.8759999999999999</v>
      </c>
      <c r="G5994" s="508">
        <v>1.8049999999999999</v>
      </c>
      <c r="H5994" s="508">
        <v>1.03</v>
      </c>
      <c r="I5994" s="508">
        <v>1.028</v>
      </c>
      <c r="J5994" s="508">
        <v>1.05</v>
      </c>
      <c r="K5994" s="508">
        <v>0.748</v>
      </c>
      <c r="L5994" s="508">
        <v>0.74399999999999999</v>
      </c>
      <c r="M5994" s="508">
        <v>0.748</v>
      </c>
      <c r="N5994" s="508">
        <v>0.999</v>
      </c>
      <c r="O5994" s="508">
        <v>1.0109999999999999</v>
      </c>
      <c r="P5994" s="508">
        <v>1</v>
      </c>
      <c r="Q5994" s="508">
        <v>1.0169999999999999</v>
      </c>
      <c r="R5994" s="508">
        <v>0.54100000000000004</v>
      </c>
      <c r="S5994" s="508">
        <v>0.53200000000000003</v>
      </c>
      <c r="T5994" s="508">
        <v>0.53</v>
      </c>
      <c r="U5994" s="508">
        <v>0.53100000000000003</v>
      </c>
      <c r="V5994" s="508">
        <v>0.51800000000000002</v>
      </c>
      <c r="W5994" s="508">
        <v>0.47</v>
      </c>
      <c r="X5994" s="508">
        <v>0.46700000000000003</v>
      </c>
      <c r="Y5994" s="508">
        <v>0.47099999999999997</v>
      </c>
      <c r="Z5994" s="508">
        <v>0.47</v>
      </c>
      <c r="AA5994" s="508">
        <v>0.02</v>
      </c>
      <c r="AB5994" s="508">
        <v>1.9E-2</v>
      </c>
      <c r="AC5994" s="508">
        <v>0.02</v>
      </c>
      <c r="AD5994" s="508">
        <v>1.7999999999999999E-2</v>
      </c>
      <c r="AE5994" s="508">
        <v>1.7000000000000001E-2</v>
      </c>
      <c r="AF5994" s="508">
        <v>0.01</v>
      </c>
      <c r="AG5994" s="508">
        <v>0.01</v>
      </c>
      <c r="AH5994" s="508">
        <v>0.01</v>
      </c>
      <c r="AI5994" s="492">
        <v>0.01</v>
      </c>
      <c r="AJ5994" s="485"/>
    </row>
    <row r="5995" spans="2:36">
      <c r="B5995" s="136" t="s">
        <v>438</v>
      </c>
      <c r="C5995" s="132" t="s">
        <v>1375</v>
      </c>
      <c r="D5995" s="132" t="s">
        <v>285</v>
      </c>
      <c r="E5995" s="508">
        <v>1.8460000000000001</v>
      </c>
      <c r="F5995" s="508">
        <v>1.79</v>
      </c>
      <c r="G5995" s="508">
        <v>1.722</v>
      </c>
      <c r="H5995" s="508">
        <v>0.95599999999999996</v>
      </c>
      <c r="I5995" s="508">
        <v>0.95399999999999996</v>
      </c>
      <c r="J5995" s="508">
        <v>0.97499999999999998</v>
      </c>
      <c r="K5995" s="508">
        <v>0.68200000000000005</v>
      </c>
      <c r="L5995" s="508">
        <v>0.67800000000000005</v>
      </c>
      <c r="M5995" s="508">
        <v>0.68300000000000005</v>
      </c>
      <c r="N5995" s="508">
        <v>0.89200000000000002</v>
      </c>
      <c r="O5995" s="508">
        <v>0.90300000000000002</v>
      </c>
      <c r="P5995" s="508">
        <v>0.89300000000000002</v>
      </c>
      <c r="Q5995" s="508">
        <v>0.90700000000000003</v>
      </c>
      <c r="R5995" s="508">
        <v>0.502</v>
      </c>
      <c r="S5995" s="508">
        <v>0.495</v>
      </c>
      <c r="T5995" s="508">
        <v>0.49399999999999999</v>
      </c>
      <c r="U5995" s="508">
        <v>0.49399999999999999</v>
      </c>
      <c r="V5995" s="508">
        <v>0.48399999999999999</v>
      </c>
      <c r="W5995" s="508">
        <v>0.439</v>
      </c>
      <c r="X5995" s="508">
        <v>0.437</v>
      </c>
      <c r="Y5995" s="508">
        <v>0.44</v>
      </c>
      <c r="Z5995" s="508">
        <v>0.439</v>
      </c>
      <c r="AA5995" s="508">
        <v>1.9E-2</v>
      </c>
      <c r="AB5995" s="508">
        <v>1.7999999999999999E-2</v>
      </c>
      <c r="AC5995" s="508">
        <v>1.9E-2</v>
      </c>
      <c r="AD5995" s="508">
        <v>1.7000000000000001E-2</v>
      </c>
      <c r="AE5995" s="508">
        <v>1.6E-2</v>
      </c>
      <c r="AF5995" s="508">
        <v>0.01</v>
      </c>
      <c r="AG5995" s="508">
        <v>0.01</v>
      </c>
      <c r="AH5995" s="508">
        <v>0.01</v>
      </c>
      <c r="AI5995" s="492">
        <v>0.01</v>
      </c>
      <c r="AJ5995" s="485"/>
    </row>
    <row r="5996" spans="2:36">
      <c r="B5996" s="136" t="s">
        <v>439</v>
      </c>
      <c r="C5996" s="132" t="s">
        <v>1375</v>
      </c>
      <c r="D5996" s="132" t="s">
        <v>285</v>
      </c>
      <c r="E5996" s="508">
        <v>1.9379999999999999</v>
      </c>
      <c r="F5996" s="508">
        <v>1.88</v>
      </c>
      <c r="G5996" s="508">
        <v>1.8080000000000001</v>
      </c>
      <c r="H5996" s="508">
        <v>1.032</v>
      </c>
      <c r="I5996" s="508">
        <v>1.03</v>
      </c>
      <c r="J5996" s="508">
        <v>1.052</v>
      </c>
      <c r="K5996" s="508">
        <v>0.747</v>
      </c>
      <c r="L5996" s="508">
        <v>0.74399999999999999</v>
      </c>
      <c r="M5996" s="508">
        <v>0.748</v>
      </c>
      <c r="N5996" s="508">
        <v>0.996</v>
      </c>
      <c r="O5996" s="508">
        <v>1.0069999999999999</v>
      </c>
      <c r="P5996" s="508">
        <v>0.996</v>
      </c>
      <c r="Q5996" s="508">
        <v>1.012</v>
      </c>
      <c r="R5996" s="508">
        <v>0.54</v>
      </c>
      <c r="S5996" s="508">
        <v>0.53100000000000003</v>
      </c>
      <c r="T5996" s="508">
        <v>0.52900000000000003</v>
      </c>
      <c r="U5996" s="508">
        <v>0.53</v>
      </c>
      <c r="V5996" s="508">
        <v>0.51700000000000002</v>
      </c>
      <c r="W5996" s="508">
        <v>0.46899999999999997</v>
      </c>
      <c r="X5996" s="508">
        <v>0.46600000000000003</v>
      </c>
      <c r="Y5996" s="508">
        <v>0.47</v>
      </c>
      <c r="Z5996" s="508">
        <v>0.46899999999999997</v>
      </c>
      <c r="AA5996" s="508">
        <v>0.02</v>
      </c>
      <c r="AB5996" s="508">
        <v>1.9E-2</v>
      </c>
      <c r="AC5996" s="508">
        <v>0.02</v>
      </c>
      <c r="AD5996" s="508">
        <v>1.7999999999999999E-2</v>
      </c>
      <c r="AE5996" s="508">
        <v>1.7000000000000001E-2</v>
      </c>
      <c r="AF5996" s="508">
        <v>0.01</v>
      </c>
      <c r="AG5996" s="508">
        <v>0.01</v>
      </c>
      <c r="AH5996" s="508">
        <v>0.01</v>
      </c>
      <c r="AI5996" s="492">
        <v>0.01</v>
      </c>
      <c r="AJ5996" s="485"/>
    </row>
    <row r="5997" spans="2:36">
      <c r="B5997" s="136" t="s">
        <v>440</v>
      </c>
      <c r="C5997" s="132" t="s">
        <v>1375</v>
      </c>
      <c r="D5997" s="132" t="s">
        <v>285</v>
      </c>
      <c r="E5997" s="508">
        <v>1.911</v>
      </c>
      <c r="F5997" s="508">
        <v>1.8540000000000001</v>
      </c>
      <c r="G5997" s="508">
        <v>1.784</v>
      </c>
      <c r="H5997" s="508">
        <v>1.01</v>
      </c>
      <c r="I5997" s="508">
        <v>1.008</v>
      </c>
      <c r="J5997" s="508">
        <v>1.03</v>
      </c>
      <c r="K5997" s="508">
        <v>0.72899999999999998</v>
      </c>
      <c r="L5997" s="508">
        <v>0.72499999999999998</v>
      </c>
      <c r="M5997" s="508">
        <v>0.73</v>
      </c>
      <c r="N5997" s="508">
        <v>0.96799999999999997</v>
      </c>
      <c r="O5997" s="508">
        <v>0.98</v>
      </c>
      <c r="P5997" s="508">
        <v>0.96899999999999997</v>
      </c>
      <c r="Q5997" s="508">
        <v>0.98499999999999999</v>
      </c>
      <c r="R5997" s="508">
        <v>0.53</v>
      </c>
      <c r="S5997" s="508">
        <v>0.52200000000000002</v>
      </c>
      <c r="T5997" s="508">
        <v>0.52</v>
      </c>
      <c r="U5997" s="508">
        <v>0.52</v>
      </c>
      <c r="V5997" s="508">
        <v>0.50900000000000001</v>
      </c>
      <c r="W5997" s="508">
        <v>0.46100000000000002</v>
      </c>
      <c r="X5997" s="508">
        <v>0.45900000000000002</v>
      </c>
      <c r="Y5997" s="508">
        <v>0.46300000000000002</v>
      </c>
      <c r="Z5997" s="508">
        <v>0.46100000000000002</v>
      </c>
      <c r="AA5997" s="508">
        <v>0.02</v>
      </c>
      <c r="AB5997" s="508">
        <v>1.9E-2</v>
      </c>
      <c r="AC5997" s="508">
        <v>0.02</v>
      </c>
      <c r="AD5997" s="508">
        <v>1.7999999999999999E-2</v>
      </c>
      <c r="AE5997" s="508">
        <v>1.7000000000000001E-2</v>
      </c>
      <c r="AF5997" s="508">
        <v>0.01</v>
      </c>
      <c r="AG5997" s="508">
        <v>0.01</v>
      </c>
      <c r="AH5997" s="508">
        <v>0.01</v>
      </c>
      <c r="AI5997" s="492">
        <v>0.01</v>
      </c>
      <c r="AJ5997" s="485"/>
    </row>
    <row r="5998" spans="2:36">
      <c r="B5998" s="136" t="s">
        <v>441</v>
      </c>
      <c r="C5998" s="132" t="s">
        <v>1375</v>
      </c>
      <c r="D5998" s="132" t="s">
        <v>285</v>
      </c>
      <c r="E5998" s="508">
        <v>1.9430000000000001</v>
      </c>
      <c r="F5998" s="508">
        <v>1.885</v>
      </c>
      <c r="G5998" s="508">
        <v>1.8129999999999999</v>
      </c>
      <c r="H5998" s="508">
        <v>1.0369999999999999</v>
      </c>
      <c r="I5998" s="508">
        <v>1.0349999999999999</v>
      </c>
      <c r="J5998" s="508">
        <v>1.0569999999999999</v>
      </c>
      <c r="K5998" s="508">
        <v>0.751</v>
      </c>
      <c r="L5998" s="508">
        <v>0.747</v>
      </c>
      <c r="M5998" s="508">
        <v>0.752</v>
      </c>
      <c r="N5998" s="508">
        <v>1</v>
      </c>
      <c r="O5998" s="508">
        <v>1.0109999999999999</v>
      </c>
      <c r="P5998" s="508">
        <v>1.0009999999999999</v>
      </c>
      <c r="Q5998" s="508">
        <v>1.016</v>
      </c>
      <c r="R5998" s="508">
        <v>0.54100000000000004</v>
      </c>
      <c r="S5998" s="508">
        <v>0.53200000000000003</v>
      </c>
      <c r="T5998" s="508">
        <v>0.53</v>
      </c>
      <c r="U5998" s="508">
        <v>0.53100000000000003</v>
      </c>
      <c r="V5998" s="508">
        <v>0.51800000000000002</v>
      </c>
      <c r="W5998" s="508">
        <v>0.47</v>
      </c>
      <c r="X5998" s="508">
        <v>0.46700000000000003</v>
      </c>
      <c r="Y5998" s="508">
        <v>0.47099999999999997</v>
      </c>
      <c r="Z5998" s="508">
        <v>0.47</v>
      </c>
      <c r="AA5998" s="508">
        <v>0.02</v>
      </c>
      <c r="AB5998" s="508">
        <v>1.9E-2</v>
      </c>
      <c r="AC5998" s="508">
        <v>0.02</v>
      </c>
      <c r="AD5998" s="508">
        <v>1.7999999999999999E-2</v>
      </c>
      <c r="AE5998" s="508">
        <v>1.7999999999999999E-2</v>
      </c>
      <c r="AF5998" s="508">
        <v>0.01</v>
      </c>
      <c r="AG5998" s="508">
        <v>0.01</v>
      </c>
      <c r="AH5998" s="508">
        <v>0.01</v>
      </c>
      <c r="AI5998" s="492">
        <v>0.01</v>
      </c>
      <c r="AJ5998" s="485"/>
    </row>
    <row r="5999" spans="2:36">
      <c r="B5999" s="136" t="s">
        <v>443</v>
      </c>
      <c r="C5999" s="132" t="s">
        <v>1375</v>
      </c>
      <c r="D5999" s="132" t="s">
        <v>285</v>
      </c>
      <c r="E5999" s="508">
        <v>1.9890000000000001</v>
      </c>
      <c r="F5999" s="508">
        <v>1.931</v>
      </c>
      <c r="G5999" s="508">
        <v>1.859</v>
      </c>
      <c r="H5999" s="508">
        <v>1.0609999999999999</v>
      </c>
      <c r="I5999" s="508">
        <v>1.0589999999999999</v>
      </c>
      <c r="J5999" s="508">
        <v>1.083</v>
      </c>
      <c r="K5999" s="508">
        <v>0.76800000000000002</v>
      </c>
      <c r="L5999" s="508">
        <v>0.76500000000000001</v>
      </c>
      <c r="M5999" s="508">
        <v>0.76900000000000002</v>
      </c>
      <c r="N5999" s="508">
        <v>1.04</v>
      </c>
      <c r="O5999" s="508">
        <v>1.0549999999999999</v>
      </c>
      <c r="P5999" s="508">
        <v>1.0409999999999999</v>
      </c>
      <c r="Q5999" s="508">
        <v>1.0620000000000001</v>
      </c>
      <c r="R5999" s="508">
        <v>0.56399999999999995</v>
      </c>
      <c r="S5999" s="508">
        <v>0.55500000000000005</v>
      </c>
      <c r="T5999" s="508">
        <v>0.55300000000000005</v>
      </c>
      <c r="U5999" s="508">
        <v>0.55300000000000005</v>
      </c>
      <c r="V5999" s="508">
        <v>0.54100000000000004</v>
      </c>
      <c r="W5999" s="508">
        <v>0.49</v>
      </c>
      <c r="X5999" s="508">
        <v>0.48799999999999999</v>
      </c>
      <c r="Y5999" s="508">
        <v>0.49199999999999999</v>
      </c>
      <c r="Z5999" s="508">
        <v>0.49099999999999999</v>
      </c>
      <c r="AA5999" s="508">
        <v>0.02</v>
      </c>
      <c r="AB5999" s="508">
        <v>1.9E-2</v>
      </c>
      <c r="AC5999" s="508">
        <v>2.1000000000000001E-2</v>
      </c>
      <c r="AD5999" s="508">
        <v>1.9E-2</v>
      </c>
      <c r="AE5999" s="508">
        <v>1.7999999999999999E-2</v>
      </c>
      <c r="AF5999" s="508">
        <v>1.0999999999999999E-2</v>
      </c>
      <c r="AG5999" s="508">
        <v>1.0999999999999999E-2</v>
      </c>
      <c r="AH5999" s="508">
        <v>1.0999999999999999E-2</v>
      </c>
      <c r="AI5999" s="492">
        <v>1.0999999999999999E-2</v>
      </c>
      <c r="AJ5999" s="485"/>
    </row>
    <row r="6000" spans="2:36">
      <c r="B6000" s="136" t="s">
        <v>445</v>
      </c>
      <c r="C6000" s="132" t="s">
        <v>1375</v>
      </c>
      <c r="D6000" s="132" t="s">
        <v>285</v>
      </c>
      <c r="E6000" s="508">
        <v>2.1269999999999998</v>
      </c>
      <c r="F6000" s="508">
        <v>2.0649999999999999</v>
      </c>
      <c r="G6000" s="508">
        <v>1.9890000000000001</v>
      </c>
      <c r="H6000" s="508">
        <v>1.1779999999999999</v>
      </c>
      <c r="I6000" s="508">
        <v>1.1759999999999999</v>
      </c>
      <c r="J6000" s="508">
        <v>1.202</v>
      </c>
      <c r="K6000" s="508">
        <v>0.874</v>
      </c>
      <c r="L6000" s="508">
        <v>0.87</v>
      </c>
      <c r="M6000" s="508">
        <v>0.873</v>
      </c>
      <c r="N6000" s="508">
        <v>1.212</v>
      </c>
      <c r="O6000" s="508">
        <v>1.2290000000000001</v>
      </c>
      <c r="P6000" s="508">
        <v>1.2130000000000001</v>
      </c>
      <c r="Q6000" s="508">
        <v>1.2370000000000001</v>
      </c>
      <c r="R6000" s="508">
        <v>0.625</v>
      </c>
      <c r="S6000" s="508">
        <v>0.61199999999999999</v>
      </c>
      <c r="T6000" s="508">
        <v>0.61</v>
      </c>
      <c r="U6000" s="508">
        <v>0.61099999999999999</v>
      </c>
      <c r="V6000" s="508">
        <v>0.59399999999999997</v>
      </c>
      <c r="W6000" s="508">
        <v>0.53900000000000003</v>
      </c>
      <c r="X6000" s="508">
        <v>0.53500000000000003</v>
      </c>
      <c r="Y6000" s="508">
        <v>0.54100000000000004</v>
      </c>
      <c r="Z6000" s="508">
        <v>0.54</v>
      </c>
      <c r="AA6000" s="508">
        <v>2.1999999999999999E-2</v>
      </c>
      <c r="AB6000" s="508">
        <v>2.1000000000000001E-2</v>
      </c>
      <c r="AC6000" s="508">
        <v>2.3E-2</v>
      </c>
      <c r="AD6000" s="508">
        <v>0.02</v>
      </c>
      <c r="AE6000" s="508">
        <v>0.02</v>
      </c>
      <c r="AF6000" s="508">
        <v>1.2E-2</v>
      </c>
      <c r="AG6000" s="508">
        <v>1.2E-2</v>
      </c>
      <c r="AH6000" s="508">
        <v>1.2E-2</v>
      </c>
      <c r="AI6000" s="492">
        <v>1.2E-2</v>
      </c>
      <c r="AJ6000" s="485"/>
    </row>
    <row r="6001" spans="2:36">
      <c r="B6001" s="136" t="s">
        <v>446</v>
      </c>
      <c r="C6001" s="132" t="s">
        <v>1375</v>
      </c>
      <c r="D6001" s="132" t="s">
        <v>285</v>
      </c>
      <c r="E6001" s="508">
        <v>2.028</v>
      </c>
      <c r="F6001" s="508">
        <v>1.968</v>
      </c>
      <c r="G6001" s="508">
        <v>1.895</v>
      </c>
      <c r="H6001" s="508">
        <v>1.1000000000000001</v>
      </c>
      <c r="I6001" s="508">
        <v>1.0980000000000001</v>
      </c>
      <c r="J6001" s="508">
        <v>1.1220000000000001</v>
      </c>
      <c r="K6001" s="508">
        <v>0.80700000000000005</v>
      </c>
      <c r="L6001" s="508">
        <v>0.80400000000000005</v>
      </c>
      <c r="M6001" s="508">
        <v>0.80700000000000005</v>
      </c>
      <c r="N6001" s="508">
        <v>1.1020000000000001</v>
      </c>
      <c r="O6001" s="508">
        <v>1.1160000000000001</v>
      </c>
      <c r="P6001" s="508">
        <v>1.1020000000000001</v>
      </c>
      <c r="Q6001" s="508">
        <v>1.123</v>
      </c>
      <c r="R6001" s="508">
        <v>0.58199999999999996</v>
      </c>
      <c r="S6001" s="508">
        <v>0.57199999999999995</v>
      </c>
      <c r="T6001" s="508">
        <v>0.56999999999999995</v>
      </c>
      <c r="U6001" s="508">
        <v>0.57099999999999995</v>
      </c>
      <c r="V6001" s="508">
        <v>0.55600000000000005</v>
      </c>
      <c r="W6001" s="508">
        <v>0.504</v>
      </c>
      <c r="X6001" s="508">
        <v>0.501</v>
      </c>
      <c r="Y6001" s="508">
        <v>0.50600000000000001</v>
      </c>
      <c r="Z6001" s="508">
        <v>0.505</v>
      </c>
      <c r="AA6001" s="508">
        <v>2.1000000000000001E-2</v>
      </c>
      <c r="AB6001" s="508">
        <v>0.02</v>
      </c>
      <c r="AC6001" s="508">
        <v>2.1000000000000001E-2</v>
      </c>
      <c r="AD6001" s="508">
        <v>1.9E-2</v>
      </c>
      <c r="AE6001" s="508">
        <v>1.9E-2</v>
      </c>
      <c r="AF6001" s="508">
        <v>1.0999999999999999E-2</v>
      </c>
      <c r="AG6001" s="508">
        <v>1.0999999999999999E-2</v>
      </c>
      <c r="AH6001" s="508">
        <v>1.0999999999999999E-2</v>
      </c>
      <c r="AI6001" s="492">
        <v>1.0999999999999999E-2</v>
      </c>
      <c r="AJ6001" s="485"/>
    </row>
    <row r="6002" spans="2:36">
      <c r="B6002" s="136" t="s">
        <v>448</v>
      </c>
      <c r="C6002" s="132" t="s">
        <v>1375</v>
      </c>
      <c r="D6002" s="132" t="s">
        <v>285</v>
      </c>
      <c r="E6002" s="508">
        <v>1.875</v>
      </c>
      <c r="F6002" s="508">
        <v>1.819</v>
      </c>
      <c r="G6002" s="508">
        <v>1.75</v>
      </c>
      <c r="H6002" s="508">
        <v>0.97899999999999998</v>
      </c>
      <c r="I6002" s="508">
        <v>0.97699999999999998</v>
      </c>
      <c r="J6002" s="508">
        <v>0.999</v>
      </c>
      <c r="K6002" s="508">
        <v>0.70099999999999996</v>
      </c>
      <c r="L6002" s="508">
        <v>0.69799999999999995</v>
      </c>
      <c r="M6002" s="508">
        <v>0.70199999999999996</v>
      </c>
      <c r="N6002" s="508">
        <v>0.92500000000000004</v>
      </c>
      <c r="O6002" s="508">
        <v>0.93500000000000005</v>
      </c>
      <c r="P6002" s="508">
        <v>0.92500000000000004</v>
      </c>
      <c r="Q6002" s="508">
        <v>0.94099999999999995</v>
      </c>
      <c r="R6002" s="508">
        <v>0.51500000000000001</v>
      </c>
      <c r="S6002" s="508">
        <v>0.50700000000000001</v>
      </c>
      <c r="T6002" s="508">
        <v>0.50600000000000001</v>
      </c>
      <c r="U6002" s="508">
        <v>0.50600000000000001</v>
      </c>
      <c r="V6002" s="508">
        <v>0.496</v>
      </c>
      <c r="W6002" s="508">
        <v>0.44900000000000001</v>
      </c>
      <c r="X6002" s="508">
        <v>0.44700000000000001</v>
      </c>
      <c r="Y6002" s="508">
        <v>0.45</v>
      </c>
      <c r="Z6002" s="508">
        <v>0.44900000000000001</v>
      </c>
      <c r="AA6002" s="508">
        <v>1.9E-2</v>
      </c>
      <c r="AB6002" s="508">
        <v>1.7999999999999999E-2</v>
      </c>
      <c r="AC6002" s="508">
        <v>1.9E-2</v>
      </c>
      <c r="AD6002" s="508">
        <v>1.7000000000000001E-2</v>
      </c>
      <c r="AE6002" s="508">
        <v>1.7000000000000001E-2</v>
      </c>
      <c r="AF6002" s="508">
        <v>0.01</v>
      </c>
      <c r="AG6002" s="508">
        <v>0.01</v>
      </c>
      <c r="AH6002" s="508">
        <v>0.01</v>
      </c>
      <c r="AI6002" s="492">
        <v>0.01</v>
      </c>
      <c r="AJ6002" s="485"/>
    </row>
    <row r="6003" spans="2:36">
      <c r="B6003" s="136" t="s">
        <v>449</v>
      </c>
      <c r="C6003" s="132" t="s">
        <v>1375</v>
      </c>
      <c r="D6003" s="132" t="s">
        <v>285</v>
      </c>
      <c r="E6003" s="508">
        <v>2.0019999999999998</v>
      </c>
      <c r="F6003" s="508">
        <v>1.9430000000000001</v>
      </c>
      <c r="G6003" s="508">
        <v>1.87</v>
      </c>
      <c r="H6003" s="508">
        <v>1.075</v>
      </c>
      <c r="I6003" s="508">
        <v>1.073</v>
      </c>
      <c r="J6003" s="508">
        <v>1.097</v>
      </c>
      <c r="K6003" s="508">
        <v>0.78200000000000003</v>
      </c>
      <c r="L6003" s="508">
        <v>0.77800000000000002</v>
      </c>
      <c r="M6003" s="508">
        <v>0.78200000000000003</v>
      </c>
      <c r="N6003" s="508">
        <v>1.06</v>
      </c>
      <c r="O6003" s="508">
        <v>1.0740000000000001</v>
      </c>
      <c r="P6003" s="508">
        <v>1.0609999999999999</v>
      </c>
      <c r="Q6003" s="508">
        <v>1.081</v>
      </c>
      <c r="R6003" s="508">
        <v>0.56899999999999995</v>
      </c>
      <c r="S6003" s="508">
        <v>0.56000000000000005</v>
      </c>
      <c r="T6003" s="508">
        <v>0.55700000000000005</v>
      </c>
      <c r="U6003" s="508">
        <v>0.55800000000000005</v>
      </c>
      <c r="V6003" s="508">
        <v>0.54500000000000004</v>
      </c>
      <c r="W6003" s="508">
        <v>0.49399999999999999</v>
      </c>
      <c r="X6003" s="508">
        <v>0.49099999999999999</v>
      </c>
      <c r="Y6003" s="508">
        <v>0.496</v>
      </c>
      <c r="Z6003" s="508">
        <v>0.495</v>
      </c>
      <c r="AA6003" s="508">
        <v>2.1000000000000001E-2</v>
      </c>
      <c r="AB6003" s="508">
        <v>0.02</v>
      </c>
      <c r="AC6003" s="508">
        <v>2.1000000000000001E-2</v>
      </c>
      <c r="AD6003" s="508">
        <v>1.9E-2</v>
      </c>
      <c r="AE6003" s="508">
        <v>1.7999999999999999E-2</v>
      </c>
      <c r="AF6003" s="508">
        <v>1.0999999999999999E-2</v>
      </c>
      <c r="AG6003" s="508">
        <v>1.0999999999999999E-2</v>
      </c>
      <c r="AH6003" s="508">
        <v>1.0999999999999999E-2</v>
      </c>
      <c r="AI6003" s="492">
        <v>1.0999999999999999E-2</v>
      </c>
      <c r="AJ6003" s="485"/>
    </row>
    <row r="6004" spans="2:36">
      <c r="B6004" s="136" t="s">
        <v>450</v>
      </c>
      <c r="C6004" s="132" t="s">
        <v>1375</v>
      </c>
      <c r="D6004" s="132" t="s">
        <v>285</v>
      </c>
      <c r="E6004" s="508">
        <v>1.871</v>
      </c>
      <c r="F6004" s="508">
        <v>1.8160000000000001</v>
      </c>
      <c r="G6004" s="508">
        <v>1.746</v>
      </c>
      <c r="H6004" s="508">
        <v>0.97499999999999998</v>
      </c>
      <c r="I6004" s="508">
        <v>0.97299999999999998</v>
      </c>
      <c r="J6004" s="508">
        <v>0.995</v>
      </c>
      <c r="K6004" s="508">
        <v>0.69799999999999995</v>
      </c>
      <c r="L6004" s="508">
        <v>0.69399999999999995</v>
      </c>
      <c r="M6004" s="508">
        <v>0.69899999999999995</v>
      </c>
      <c r="N6004" s="508">
        <v>0.92100000000000004</v>
      </c>
      <c r="O6004" s="508">
        <v>0.93200000000000005</v>
      </c>
      <c r="P6004" s="508">
        <v>0.92200000000000004</v>
      </c>
      <c r="Q6004" s="508">
        <v>0.93799999999999994</v>
      </c>
      <c r="R6004" s="508">
        <v>0.51400000000000001</v>
      </c>
      <c r="S6004" s="508">
        <v>0.50700000000000001</v>
      </c>
      <c r="T6004" s="508">
        <v>0.505</v>
      </c>
      <c r="U6004" s="508">
        <v>0.50600000000000001</v>
      </c>
      <c r="V6004" s="508">
        <v>0.495</v>
      </c>
      <c r="W6004" s="508">
        <v>0.44900000000000001</v>
      </c>
      <c r="X6004" s="508">
        <v>0.44700000000000001</v>
      </c>
      <c r="Y6004" s="508">
        <v>0.45</v>
      </c>
      <c r="Z6004" s="508">
        <v>0.44900000000000001</v>
      </c>
      <c r="AA6004" s="508">
        <v>1.9E-2</v>
      </c>
      <c r="AB6004" s="508">
        <v>1.7999999999999999E-2</v>
      </c>
      <c r="AC6004" s="508">
        <v>1.9E-2</v>
      </c>
      <c r="AD6004" s="508">
        <v>1.7000000000000001E-2</v>
      </c>
      <c r="AE6004" s="508">
        <v>1.7000000000000001E-2</v>
      </c>
      <c r="AF6004" s="508">
        <v>0.01</v>
      </c>
      <c r="AG6004" s="508">
        <v>0.01</v>
      </c>
      <c r="AH6004" s="508">
        <v>0.01</v>
      </c>
      <c r="AI6004" s="492">
        <v>0.01</v>
      </c>
      <c r="AJ6004" s="485"/>
    </row>
    <row r="6005" spans="2:36">
      <c r="B6005" s="136" t="s">
        <v>451</v>
      </c>
      <c r="C6005" s="132" t="s">
        <v>1375</v>
      </c>
      <c r="D6005" s="132" t="s">
        <v>285</v>
      </c>
      <c r="E6005" s="508">
        <v>2.052</v>
      </c>
      <c r="F6005" s="508">
        <v>1.9910000000000001</v>
      </c>
      <c r="G6005" s="508">
        <v>1.917</v>
      </c>
      <c r="H6005" s="508">
        <v>1.121</v>
      </c>
      <c r="I6005" s="508">
        <v>1.1180000000000001</v>
      </c>
      <c r="J6005" s="508">
        <v>1.143</v>
      </c>
      <c r="K6005" s="508">
        <v>0.82399999999999995</v>
      </c>
      <c r="L6005" s="508">
        <v>0.82</v>
      </c>
      <c r="M6005" s="508">
        <v>0.82399999999999995</v>
      </c>
      <c r="N6005" s="508">
        <v>1.1259999999999999</v>
      </c>
      <c r="O6005" s="508">
        <v>1.1399999999999999</v>
      </c>
      <c r="P6005" s="508">
        <v>1.127</v>
      </c>
      <c r="Q6005" s="508">
        <v>1.147</v>
      </c>
      <c r="R6005" s="508">
        <v>0.59099999999999997</v>
      </c>
      <c r="S6005" s="508">
        <v>0.57999999999999996</v>
      </c>
      <c r="T6005" s="508">
        <v>0.57699999999999996</v>
      </c>
      <c r="U6005" s="508">
        <v>0.57799999999999996</v>
      </c>
      <c r="V6005" s="508">
        <v>0.56299999999999994</v>
      </c>
      <c r="W6005" s="508">
        <v>0.51100000000000001</v>
      </c>
      <c r="X6005" s="508">
        <v>0.50800000000000001</v>
      </c>
      <c r="Y6005" s="508">
        <v>0.51300000000000001</v>
      </c>
      <c r="Z6005" s="508">
        <v>0.51100000000000001</v>
      </c>
      <c r="AA6005" s="508">
        <v>2.1000000000000001E-2</v>
      </c>
      <c r="AB6005" s="508">
        <v>0.02</v>
      </c>
      <c r="AC6005" s="508">
        <v>2.1999999999999999E-2</v>
      </c>
      <c r="AD6005" s="508">
        <v>1.9E-2</v>
      </c>
      <c r="AE6005" s="508">
        <v>1.9E-2</v>
      </c>
      <c r="AF6005" s="508">
        <v>1.0999999999999999E-2</v>
      </c>
      <c r="AG6005" s="508">
        <v>1.0999999999999999E-2</v>
      </c>
      <c r="AH6005" s="508">
        <v>1.0999999999999999E-2</v>
      </c>
      <c r="AI6005" s="492">
        <v>1.0999999999999999E-2</v>
      </c>
      <c r="AJ6005" s="485"/>
    </row>
    <row r="6006" spans="2:36">
      <c r="B6006" s="136" t="s">
        <v>452</v>
      </c>
      <c r="C6006" s="132" t="s">
        <v>1375</v>
      </c>
      <c r="D6006" s="132" t="s">
        <v>285</v>
      </c>
      <c r="E6006" s="508">
        <v>1.9419999999999999</v>
      </c>
      <c r="F6006" s="508">
        <v>1.885</v>
      </c>
      <c r="G6006" s="508">
        <v>1.8140000000000001</v>
      </c>
      <c r="H6006" s="508">
        <v>1.0309999999999999</v>
      </c>
      <c r="I6006" s="508">
        <v>1.0289999999999999</v>
      </c>
      <c r="J6006" s="508">
        <v>1.052</v>
      </c>
      <c r="K6006" s="508">
        <v>0.747</v>
      </c>
      <c r="L6006" s="508">
        <v>0.74299999999999999</v>
      </c>
      <c r="M6006" s="508">
        <v>0.747</v>
      </c>
      <c r="N6006" s="508">
        <v>1.002</v>
      </c>
      <c r="O6006" s="508">
        <v>1.0149999999999999</v>
      </c>
      <c r="P6006" s="508">
        <v>1.0029999999999999</v>
      </c>
      <c r="Q6006" s="508">
        <v>1.0209999999999999</v>
      </c>
      <c r="R6006" s="508">
        <v>0.54500000000000004</v>
      </c>
      <c r="S6006" s="508">
        <v>0.53600000000000003</v>
      </c>
      <c r="T6006" s="508">
        <v>0.53400000000000003</v>
      </c>
      <c r="U6006" s="508">
        <v>0.53500000000000003</v>
      </c>
      <c r="V6006" s="508">
        <v>0.52300000000000002</v>
      </c>
      <c r="W6006" s="508">
        <v>0.47399999999999998</v>
      </c>
      <c r="X6006" s="508">
        <v>0.47099999999999997</v>
      </c>
      <c r="Y6006" s="508">
        <v>0.47599999999999998</v>
      </c>
      <c r="Z6006" s="508">
        <v>0.47399999999999998</v>
      </c>
      <c r="AA6006" s="508">
        <v>0.02</v>
      </c>
      <c r="AB6006" s="508">
        <v>1.9E-2</v>
      </c>
      <c r="AC6006" s="508">
        <v>0.02</v>
      </c>
      <c r="AD6006" s="508">
        <v>1.7999999999999999E-2</v>
      </c>
      <c r="AE6006" s="508">
        <v>1.7999999999999999E-2</v>
      </c>
      <c r="AF6006" s="508">
        <v>0.01</v>
      </c>
      <c r="AG6006" s="508">
        <v>0.01</v>
      </c>
      <c r="AH6006" s="508">
        <v>0.01</v>
      </c>
      <c r="AI6006" s="492">
        <v>0.01</v>
      </c>
      <c r="AJ6006" s="485"/>
    </row>
    <row r="6007" spans="2:36">
      <c r="B6007" s="136" t="s">
        <v>453</v>
      </c>
      <c r="C6007" s="132" t="s">
        <v>1375</v>
      </c>
      <c r="D6007" s="132" t="s">
        <v>285</v>
      </c>
      <c r="E6007" s="508">
        <v>1.8540000000000001</v>
      </c>
      <c r="F6007" s="508">
        <v>1.7989999999999999</v>
      </c>
      <c r="G6007" s="508">
        <v>1.73</v>
      </c>
      <c r="H6007" s="508">
        <v>0.96099999999999997</v>
      </c>
      <c r="I6007" s="508">
        <v>0.95899999999999996</v>
      </c>
      <c r="J6007" s="508">
        <v>0.98099999999999998</v>
      </c>
      <c r="K6007" s="508">
        <v>0.68600000000000005</v>
      </c>
      <c r="L6007" s="508">
        <v>0.68200000000000005</v>
      </c>
      <c r="M6007" s="508">
        <v>0.68700000000000006</v>
      </c>
      <c r="N6007" s="508">
        <v>0.90200000000000002</v>
      </c>
      <c r="O6007" s="508">
        <v>0.91300000000000003</v>
      </c>
      <c r="P6007" s="508">
        <v>0.90200000000000002</v>
      </c>
      <c r="Q6007" s="508">
        <v>0.91800000000000004</v>
      </c>
      <c r="R6007" s="508">
        <v>0.50700000000000001</v>
      </c>
      <c r="S6007" s="508">
        <v>0.5</v>
      </c>
      <c r="T6007" s="508">
        <v>0.498</v>
      </c>
      <c r="U6007" s="508">
        <v>0.499</v>
      </c>
      <c r="V6007" s="508">
        <v>0.48899999999999999</v>
      </c>
      <c r="W6007" s="508">
        <v>0.443</v>
      </c>
      <c r="X6007" s="508">
        <v>0.441</v>
      </c>
      <c r="Y6007" s="508">
        <v>0.44400000000000001</v>
      </c>
      <c r="Z6007" s="508">
        <v>0.443</v>
      </c>
      <c r="AA6007" s="508">
        <v>1.9E-2</v>
      </c>
      <c r="AB6007" s="508">
        <v>1.7999999999999999E-2</v>
      </c>
      <c r="AC6007" s="508">
        <v>1.9E-2</v>
      </c>
      <c r="AD6007" s="508">
        <v>1.7000000000000001E-2</v>
      </c>
      <c r="AE6007" s="508">
        <v>1.7000000000000001E-2</v>
      </c>
      <c r="AF6007" s="508">
        <v>0.01</v>
      </c>
      <c r="AG6007" s="508">
        <v>0.01</v>
      </c>
      <c r="AH6007" s="508">
        <v>0.01</v>
      </c>
      <c r="AI6007" s="492">
        <v>0.01</v>
      </c>
      <c r="AJ6007" s="485"/>
    </row>
    <row r="6008" spans="2:36">
      <c r="B6008" s="136" t="s">
        <v>454</v>
      </c>
      <c r="C6008" s="132" t="s">
        <v>1375</v>
      </c>
      <c r="D6008" s="132" t="s">
        <v>285</v>
      </c>
      <c r="E6008" s="508">
        <v>1.8759999999999999</v>
      </c>
      <c r="F6008" s="508">
        <v>1.82</v>
      </c>
      <c r="G6008" s="508">
        <v>1.75</v>
      </c>
      <c r="H6008" s="508">
        <v>0.97799999999999998</v>
      </c>
      <c r="I6008" s="508">
        <v>0.97599999999999998</v>
      </c>
      <c r="J6008" s="508">
        <v>0.998</v>
      </c>
      <c r="K6008" s="508">
        <v>0.7</v>
      </c>
      <c r="L6008" s="508">
        <v>0.69599999999999995</v>
      </c>
      <c r="M6008" s="508">
        <v>0.7</v>
      </c>
      <c r="N6008" s="508">
        <v>0.92200000000000004</v>
      </c>
      <c r="O6008" s="508">
        <v>0.93300000000000005</v>
      </c>
      <c r="P6008" s="508">
        <v>0.92300000000000004</v>
      </c>
      <c r="Q6008" s="508">
        <v>0.93799999999999994</v>
      </c>
      <c r="R6008" s="508">
        <v>0.51500000000000001</v>
      </c>
      <c r="S6008" s="508">
        <v>0.50700000000000001</v>
      </c>
      <c r="T6008" s="508">
        <v>0.50600000000000001</v>
      </c>
      <c r="U6008" s="508">
        <v>0.50600000000000001</v>
      </c>
      <c r="V6008" s="508">
        <v>0.496</v>
      </c>
      <c r="W6008" s="508">
        <v>0.44900000000000001</v>
      </c>
      <c r="X6008" s="508">
        <v>0.44700000000000001</v>
      </c>
      <c r="Y6008" s="508">
        <v>0.45100000000000001</v>
      </c>
      <c r="Z6008" s="508">
        <v>0.45</v>
      </c>
      <c r="AA6008" s="508">
        <v>1.9E-2</v>
      </c>
      <c r="AB6008" s="508">
        <v>1.7999999999999999E-2</v>
      </c>
      <c r="AC6008" s="508">
        <v>1.9E-2</v>
      </c>
      <c r="AD6008" s="508">
        <v>1.7000000000000001E-2</v>
      </c>
      <c r="AE6008" s="508">
        <v>1.7000000000000001E-2</v>
      </c>
      <c r="AF6008" s="508">
        <v>0.01</v>
      </c>
      <c r="AG6008" s="508">
        <v>0.01</v>
      </c>
      <c r="AH6008" s="508">
        <v>0.01</v>
      </c>
      <c r="AI6008" s="492">
        <v>0.01</v>
      </c>
      <c r="AJ6008" s="485"/>
    </row>
    <row r="6009" spans="2:36">
      <c r="B6009" s="136" t="s">
        <v>455</v>
      </c>
      <c r="C6009" s="132" t="s">
        <v>1375</v>
      </c>
      <c r="D6009" s="132" t="s">
        <v>285</v>
      </c>
      <c r="E6009" s="508">
        <v>1.833</v>
      </c>
      <c r="F6009" s="508">
        <v>1.778</v>
      </c>
      <c r="G6009" s="508">
        <v>1.7090000000000001</v>
      </c>
      <c r="H6009" s="508">
        <v>0.94899999999999995</v>
      </c>
      <c r="I6009" s="508">
        <v>0.94699999999999995</v>
      </c>
      <c r="J6009" s="508">
        <v>0.96799999999999997</v>
      </c>
      <c r="K6009" s="508">
        <v>0.67700000000000005</v>
      </c>
      <c r="L6009" s="508">
        <v>0.67400000000000004</v>
      </c>
      <c r="M6009" s="508">
        <v>0.67800000000000005</v>
      </c>
      <c r="N6009" s="508">
        <v>0.88400000000000001</v>
      </c>
      <c r="O6009" s="508">
        <v>0.89300000000000002</v>
      </c>
      <c r="P6009" s="508">
        <v>0.88400000000000001</v>
      </c>
      <c r="Q6009" s="508">
        <v>0.89800000000000002</v>
      </c>
      <c r="R6009" s="508">
        <v>0.497</v>
      </c>
      <c r="S6009" s="508">
        <v>0.49</v>
      </c>
      <c r="T6009" s="508">
        <v>0.48899999999999999</v>
      </c>
      <c r="U6009" s="508">
        <v>0.48899999999999999</v>
      </c>
      <c r="V6009" s="508">
        <v>0.47899999999999998</v>
      </c>
      <c r="W6009" s="508">
        <v>0.435</v>
      </c>
      <c r="X6009" s="508">
        <v>0.432</v>
      </c>
      <c r="Y6009" s="508">
        <v>0.436</v>
      </c>
      <c r="Z6009" s="508">
        <v>0.435</v>
      </c>
      <c r="AA6009" s="508">
        <v>1.9E-2</v>
      </c>
      <c r="AB6009" s="508">
        <v>1.7999999999999999E-2</v>
      </c>
      <c r="AC6009" s="508">
        <v>1.9E-2</v>
      </c>
      <c r="AD6009" s="508">
        <v>1.7000000000000001E-2</v>
      </c>
      <c r="AE6009" s="508">
        <v>1.6E-2</v>
      </c>
      <c r="AF6009" s="508">
        <v>0.01</v>
      </c>
      <c r="AG6009" s="508">
        <v>0.01</v>
      </c>
      <c r="AH6009" s="508">
        <v>0.01</v>
      </c>
      <c r="AI6009" s="492">
        <v>0.01</v>
      </c>
      <c r="AJ6009" s="485"/>
    </row>
    <row r="6010" spans="2:36">
      <c r="B6010" s="136" t="s">
        <v>456</v>
      </c>
      <c r="C6010" s="132" t="s">
        <v>1375</v>
      </c>
      <c r="D6010" s="132" t="s">
        <v>285</v>
      </c>
      <c r="E6010" s="508">
        <v>1.897</v>
      </c>
      <c r="F6010" s="508">
        <v>1.841</v>
      </c>
      <c r="G6010" s="508">
        <v>1.7709999999999999</v>
      </c>
      <c r="H6010" s="508">
        <v>0.997</v>
      </c>
      <c r="I6010" s="508">
        <v>0.995</v>
      </c>
      <c r="J6010" s="508">
        <v>1.0169999999999999</v>
      </c>
      <c r="K6010" s="508">
        <v>0.71699999999999997</v>
      </c>
      <c r="L6010" s="508">
        <v>0.71299999999999997</v>
      </c>
      <c r="M6010" s="508">
        <v>0.71799999999999997</v>
      </c>
      <c r="N6010" s="508">
        <v>0.95099999999999996</v>
      </c>
      <c r="O6010" s="508">
        <v>0.96199999999999997</v>
      </c>
      <c r="P6010" s="508">
        <v>0.95199999999999996</v>
      </c>
      <c r="Q6010" s="508">
        <v>0.96799999999999997</v>
      </c>
      <c r="R6010" s="508">
        <v>0.52500000000000002</v>
      </c>
      <c r="S6010" s="508">
        <v>0.51700000000000002</v>
      </c>
      <c r="T6010" s="508">
        <v>0.51500000000000001</v>
      </c>
      <c r="U6010" s="508">
        <v>0.51600000000000001</v>
      </c>
      <c r="V6010" s="508">
        <v>0.505</v>
      </c>
      <c r="W6010" s="508">
        <v>0.45700000000000002</v>
      </c>
      <c r="X6010" s="508">
        <v>0.45500000000000002</v>
      </c>
      <c r="Y6010" s="508">
        <v>0.45900000000000002</v>
      </c>
      <c r="Z6010" s="508">
        <v>0.45800000000000002</v>
      </c>
      <c r="AA6010" s="508">
        <v>1.9E-2</v>
      </c>
      <c r="AB6010" s="508">
        <v>1.7999999999999999E-2</v>
      </c>
      <c r="AC6010" s="508">
        <v>0.02</v>
      </c>
      <c r="AD6010" s="508">
        <v>1.7999999999999999E-2</v>
      </c>
      <c r="AE6010" s="508">
        <v>1.7000000000000001E-2</v>
      </c>
      <c r="AF6010" s="508">
        <v>0.01</v>
      </c>
      <c r="AG6010" s="508">
        <v>0.01</v>
      </c>
      <c r="AH6010" s="508">
        <v>0.01</v>
      </c>
      <c r="AI6010" s="492">
        <v>0.01</v>
      </c>
      <c r="AJ6010" s="485"/>
    </row>
    <row r="6011" spans="2:36">
      <c r="B6011" s="136" t="s">
        <v>457</v>
      </c>
      <c r="C6011" s="132" t="s">
        <v>1375</v>
      </c>
      <c r="D6011" s="132" t="s">
        <v>285</v>
      </c>
      <c r="E6011" s="508">
        <v>1.8140000000000001</v>
      </c>
      <c r="F6011" s="508">
        <v>1.7589999999999999</v>
      </c>
      <c r="G6011" s="508">
        <v>1.6919999999999999</v>
      </c>
      <c r="H6011" s="508">
        <v>0.92700000000000005</v>
      </c>
      <c r="I6011" s="508">
        <v>0.92600000000000005</v>
      </c>
      <c r="J6011" s="508">
        <v>0.94699999999999995</v>
      </c>
      <c r="K6011" s="508">
        <v>0.65600000000000003</v>
      </c>
      <c r="L6011" s="508">
        <v>0.65300000000000002</v>
      </c>
      <c r="M6011" s="508">
        <v>0.65700000000000003</v>
      </c>
      <c r="N6011" s="508">
        <v>0.85299999999999998</v>
      </c>
      <c r="O6011" s="508">
        <v>0.86299999999999999</v>
      </c>
      <c r="P6011" s="508">
        <v>0.85299999999999998</v>
      </c>
      <c r="Q6011" s="508">
        <v>0.86699999999999999</v>
      </c>
      <c r="R6011" s="508">
        <v>0.48899999999999999</v>
      </c>
      <c r="S6011" s="508">
        <v>0.48299999999999998</v>
      </c>
      <c r="T6011" s="508">
        <v>0.48099999999999998</v>
      </c>
      <c r="U6011" s="508">
        <v>0.48199999999999998</v>
      </c>
      <c r="V6011" s="508">
        <v>0.47299999999999998</v>
      </c>
      <c r="W6011" s="508">
        <v>0.42899999999999999</v>
      </c>
      <c r="X6011" s="508">
        <v>0.42699999999999999</v>
      </c>
      <c r="Y6011" s="508">
        <v>0.42899999999999999</v>
      </c>
      <c r="Z6011" s="508">
        <v>0.42899999999999999</v>
      </c>
      <c r="AA6011" s="508">
        <v>1.7999999999999999E-2</v>
      </c>
      <c r="AB6011" s="508">
        <v>1.7000000000000001E-2</v>
      </c>
      <c r="AC6011" s="508">
        <v>1.7999999999999999E-2</v>
      </c>
      <c r="AD6011" s="508">
        <v>1.7000000000000001E-2</v>
      </c>
      <c r="AE6011" s="508">
        <v>1.6E-2</v>
      </c>
      <c r="AF6011" s="508">
        <v>0.01</v>
      </c>
      <c r="AG6011" s="508">
        <v>8.9999999999999993E-3</v>
      </c>
      <c r="AH6011" s="508">
        <v>8.9999999999999993E-3</v>
      </c>
      <c r="AI6011" s="492">
        <v>8.9999999999999993E-3</v>
      </c>
      <c r="AJ6011" s="485"/>
    </row>
    <row r="6012" spans="2:36">
      <c r="B6012" s="136" t="s">
        <v>458</v>
      </c>
      <c r="C6012" s="132" t="s">
        <v>1375</v>
      </c>
      <c r="D6012" s="132" t="s">
        <v>285</v>
      </c>
      <c r="E6012" s="508">
        <v>1.917</v>
      </c>
      <c r="F6012" s="508">
        <v>1.86</v>
      </c>
      <c r="G6012" s="508">
        <v>1.7889999999999999</v>
      </c>
      <c r="H6012" s="508">
        <v>1.0149999999999999</v>
      </c>
      <c r="I6012" s="508">
        <v>1.012</v>
      </c>
      <c r="J6012" s="508">
        <v>1.0349999999999999</v>
      </c>
      <c r="K6012" s="508">
        <v>0.73199999999999998</v>
      </c>
      <c r="L6012" s="508">
        <v>0.72799999999999998</v>
      </c>
      <c r="M6012" s="508">
        <v>0.73299999999999998</v>
      </c>
      <c r="N6012" s="508">
        <v>0.97099999999999997</v>
      </c>
      <c r="O6012" s="508">
        <v>0.98199999999999998</v>
      </c>
      <c r="P6012" s="508">
        <v>0.97199999999999998</v>
      </c>
      <c r="Q6012" s="508">
        <v>0.98699999999999999</v>
      </c>
      <c r="R6012" s="508">
        <v>0.53100000000000003</v>
      </c>
      <c r="S6012" s="508">
        <v>0.52300000000000002</v>
      </c>
      <c r="T6012" s="508">
        <v>0.52100000000000002</v>
      </c>
      <c r="U6012" s="508">
        <v>0.52100000000000002</v>
      </c>
      <c r="V6012" s="508">
        <v>0.50900000000000001</v>
      </c>
      <c r="W6012" s="508">
        <v>0.46200000000000002</v>
      </c>
      <c r="X6012" s="508">
        <v>0.45900000000000002</v>
      </c>
      <c r="Y6012" s="508">
        <v>0.46300000000000002</v>
      </c>
      <c r="Z6012" s="508">
        <v>0.46200000000000002</v>
      </c>
      <c r="AA6012" s="508">
        <v>0.02</v>
      </c>
      <c r="AB6012" s="508">
        <v>1.9E-2</v>
      </c>
      <c r="AC6012" s="508">
        <v>0.02</v>
      </c>
      <c r="AD6012" s="508">
        <v>1.7999999999999999E-2</v>
      </c>
      <c r="AE6012" s="508">
        <v>1.7000000000000001E-2</v>
      </c>
      <c r="AF6012" s="508">
        <v>0.01</v>
      </c>
      <c r="AG6012" s="508">
        <v>0.01</v>
      </c>
      <c r="AH6012" s="508">
        <v>0.01</v>
      </c>
      <c r="AI6012" s="492">
        <v>0.01</v>
      </c>
      <c r="AJ6012" s="485"/>
    </row>
    <row r="6013" spans="2:36">
      <c r="B6013" s="136" t="s">
        <v>459</v>
      </c>
      <c r="C6013" s="132" t="s">
        <v>1375</v>
      </c>
      <c r="D6013" s="132" t="s">
        <v>285</v>
      </c>
      <c r="E6013" s="508">
        <v>1.9159999999999999</v>
      </c>
      <c r="F6013" s="508">
        <v>1.859</v>
      </c>
      <c r="G6013" s="508">
        <v>1.788</v>
      </c>
      <c r="H6013" s="508">
        <v>1.014</v>
      </c>
      <c r="I6013" s="508">
        <v>1.012</v>
      </c>
      <c r="J6013" s="508">
        <v>1.034</v>
      </c>
      <c r="K6013" s="508">
        <v>0.73099999999999998</v>
      </c>
      <c r="L6013" s="508">
        <v>0.72699999999999998</v>
      </c>
      <c r="M6013" s="508">
        <v>0.73199999999999998</v>
      </c>
      <c r="N6013" s="508">
        <v>0.97</v>
      </c>
      <c r="O6013" s="508">
        <v>0.98099999999999998</v>
      </c>
      <c r="P6013" s="508">
        <v>0.97099999999999997</v>
      </c>
      <c r="Q6013" s="508">
        <v>0.98599999999999999</v>
      </c>
      <c r="R6013" s="508">
        <v>0.53100000000000003</v>
      </c>
      <c r="S6013" s="508">
        <v>0.52200000000000002</v>
      </c>
      <c r="T6013" s="508">
        <v>0.52</v>
      </c>
      <c r="U6013" s="508">
        <v>0.52100000000000002</v>
      </c>
      <c r="V6013" s="508">
        <v>0.50900000000000001</v>
      </c>
      <c r="W6013" s="508">
        <v>0.46200000000000002</v>
      </c>
      <c r="X6013" s="508">
        <v>0.45900000000000002</v>
      </c>
      <c r="Y6013" s="508">
        <v>0.46300000000000002</v>
      </c>
      <c r="Z6013" s="508">
        <v>0.46200000000000002</v>
      </c>
      <c r="AA6013" s="508">
        <v>0.02</v>
      </c>
      <c r="AB6013" s="508">
        <v>1.9E-2</v>
      </c>
      <c r="AC6013" s="508">
        <v>0.02</v>
      </c>
      <c r="AD6013" s="508">
        <v>1.7999999999999999E-2</v>
      </c>
      <c r="AE6013" s="508">
        <v>1.7000000000000001E-2</v>
      </c>
      <c r="AF6013" s="508">
        <v>0.01</v>
      </c>
      <c r="AG6013" s="508">
        <v>0.01</v>
      </c>
      <c r="AH6013" s="508">
        <v>0.01</v>
      </c>
      <c r="AI6013" s="492">
        <v>0.01</v>
      </c>
      <c r="AJ6013" s="485"/>
    </row>
    <row r="6014" spans="2:36">
      <c r="B6014" s="136" t="s">
        <v>460</v>
      </c>
      <c r="C6014" s="132" t="s">
        <v>1375</v>
      </c>
      <c r="D6014" s="132" t="s">
        <v>285</v>
      </c>
      <c r="E6014" s="508">
        <v>1.92</v>
      </c>
      <c r="F6014" s="508">
        <v>1.863</v>
      </c>
      <c r="G6014" s="508">
        <v>1.792</v>
      </c>
      <c r="H6014" s="508">
        <v>1.016</v>
      </c>
      <c r="I6014" s="508">
        <v>1.014</v>
      </c>
      <c r="J6014" s="508">
        <v>1.036</v>
      </c>
      <c r="K6014" s="508">
        <v>0.73399999999999999</v>
      </c>
      <c r="L6014" s="508">
        <v>0.73</v>
      </c>
      <c r="M6014" s="508">
        <v>0.73499999999999999</v>
      </c>
      <c r="N6014" s="508">
        <v>0.97799999999999998</v>
      </c>
      <c r="O6014" s="508">
        <v>0.99</v>
      </c>
      <c r="P6014" s="508">
        <v>0.97899999999999998</v>
      </c>
      <c r="Q6014" s="508">
        <v>0.995</v>
      </c>
      <c r="R6014" s="508">
        <v>0.53400000000000003</v>
      </c>
      <c r="S6014" s="508">
        <v>0.52600000000000002</v>
      </c>
      <c r="T6014" s="508">
        <v>0.52400000000000002</v>
      </c>
      <c r="U6014" s="508">
        <v>0.52500000000000002</v>
      </c>
      <c r="V6014" s="508">
        <v>0.51300000000000001</v>
      </c>
      <c r="W6014" s="508">
        <v>0.46500000000000002</v>
      </c>
      <c r="X6014" s="508">
        <v>0.46200000000000002</v>
      </c>
      <c r="Y6014" s="508">
        <v>0.46600000000000003</v>
      </c>
      <c r="Z6014" s="508">
        <v>0.46500000000000002</v>
      </c>
      <c r="AA6014" s="508">
        <v>0.02</v>
      </c>
      <c r="AB6014" s="508">
        <v>1.9E-2</v>
      </c>
      <c r="AC6014" s="508">
        <v>0.02</v>
      </c>
      <c r="AD6014" s="508">
        <v>1.7999999999999999E-2</v>
      </c>
      <c r="AE6014" s="508">
        <v>1.7000000000000001E-2</v>
      </c>
      <c r="AF6014" s="508">
        <v>0.01</v>
      </c>
      <c r="AG6014" s="508">
        <v>0.01</v>
      </c>
      <c r="AH6014" s="508">
        <v>0.01</v>
      </c>
      <c r="AI6014" s="492">
        <v>0.01</v>
      </c>
      <c r="AJ6014" s="485"/>
    </row>
    <row r="6015" spans="2:36">
      <c r="B6015" s="136" t="s">
        <v>461</v>
      </c>
      <c r="C6015" s="132" t="s">
        <v>1375</v>
      </c>
      <c r="D6015" s="132" t="s">
        <v>285</v>
      </c>
      <c r="E6015" s="508">
        <v>1.8979999999999999</v>
      </c>
      <c r="F6015" s="508">
        <v>1.841</v>
      </c>
      <c r="G6015" s="508">
        <v>1.7709999999999999</v>
      </c>
      <c r="H6015" s="508">
        <v>0.99399999999999999</v>
      </c>
      <c r="I6015" s="508">
        <v>0.99199999999999999</v>
      </c>
      <c r="J6015" s="508">
        <v>1.014</v>
      </c>
      <c r="K6015" s="508">
        <v>0.71299999999999997</v>
      </c>
      <c r="L6015" s="508">
        <v>0.70899999999999996</v>
      </c>
      <c r="M6015" s="508">
        <v>0.71299999999999997</v>
      </c>
      <c r="N6015" s="508">
        <v>0.94399999999999995</v>
      </c>
      <c r="O6015" s="508">
        <v>0.95599999999999996</v>
      </c>
      <c r="P6015" s="508">
        <v>0.94499999999999995</v>
      </c>
      <c r="Q6015" s="508">
        <v>0.96099999999999997</v>
      </c>
      <c r="R6015" s="508">
        <v>0.52400000000000002</v>
      </c>
      <c r="S6015" s="508">
        <v>0.51600000000000001</v>
      </c>
      <c r="T6015" s="508">
        <v>0.51400000000000001</v>
      </c>
      <c r="U6015" s="508">
        <v>0.51500000000000001</v>
      </c>
      <c r="V6015" s="508">
        <v>0.504</v>
      </c>
      <c r="W6015" s="508">
        <v>0.45700000000000002</v>
      </c>
      <c r="X6015" s="508">
        <v>0.45500000000000002</v>
      </c>
      <c r="Y6015" s="508">
        <v>0.45800000000000002</v>
      </c>
      <c r="Z6015" s="508">
        <v>0.45700000000000002</v>
      </c>
      <c r="AA6015" s="508">
        <v>1.9E-2</v>
      </c>
      <c r="AB6015" s="508">
        <v>1.7999999999999999E-2</v>
      </c>
      <c r="AC6015" s="508">
        <v>0.02</v>
      </c>
      <c r="AD6015" s="508">
        <v>1.7999999999999999E-2</v>
      </c>
      <c r="AE6015" s="508">
        <v>1.7000000000000001E-2</v>
      </c>
      <c r="AF6015" s="508">
        <v>0.01</v>
      </c>
      <c r="AG6015" s="508">
        <v>0.01</v>
      </c>
      <c r="AH6015" s="508">
        <v>0.01</v>
      </c>
      <c r="AI6015" s="492">
        <v>0.01</v>
      </c>
      <c r="AJ6015" s="485"/>
    </row>
    <row r="6016" spans="2:36">
      <c r="B6016" s="136" t="s">
        <v>462</v>
      </c>
      <c r="C6016" s="132" t="s">
        <v>1375</v>
      </c>
      <c r="D6016" s="132" t="s">
        <v>285</v>
      </c>
      <c r="E6016" s="508">
        <v>1.875</v>
      </c>
      <c r="F6016" s="508">
        <v>1.819</v>
      </c>
      <c r="G6016" s="508">
        <v>1.75</v>
      </c>
      <c r="H6016" s="508">
        <v>0.97299999999999998</v>
      </c>
      <c r="I6016" s="508">
        <v>0.97099999999999997</v>
      </c>
      <c r="J6016" s="508">
        <v>0.99399999999999999</v>
      </c>
      <c r="K6016" s="508">
        <v>0.69399999999999995</v>
      </c>
      <c r="L6016" s="508">
        <v>0.69099999999999995</v>
      </c>
      <c r="M6016" s="508">
        <v>0.69499999999999995</v>
      </c>
      <c r="N6016" s="508">
        <v>0.91700000000000004</v>
      </c>
      <c r="O6016" s="508">
        <v>0.92800000000000005</v>
      </c>
      <c r="P6016" s="508">
        <v>0.91800000000000004</v>
      </c>
      <c r="Q6016" s="508">
        <v>0.93400000000000005</v>
      </c>
      <c r="R6016" s="508">
        <v>0.51500000000000001</v>
      </c>
      <c r="S6016" s="508">
        <v>0.50800000000000001</v>
      </c>
      <c r="T6016" s="508">
        <v>0.50600000000000001</v>
      </c>
      <c r="U6016" s="508">
        <v>0.50700000000000001</v>
      </c>
      <c r="V6016" s="508">
        <v>0.497</v>
      </c>
      <c r="W6016" s="508">
        <v>0.45</v>
      </c>
      <c r="X6016" s="508">
        <v>0.44800000000000001</v>
      </c>
      <c r="Y6016" s="508">
        <v>0.45100000000000001</v>
      </c>
      <c r="Z6016" s="508">
        <v>0.45100000000000001</v>
      </c>
      <c r="AA6016" s="508">
        <v>1.9E-2</v>
      </c>
      <c r="AB6016" s="508">
        <v>1.7999999999999999E-2</v>
      </c>
      <c r="AC6016" s="508">
        <v>1.9E-2</v>
      </c>
      <c r="AD6016" s="508">
        <v>1.7000000000000001E-2</v>
      </c>
      <c r="AE6016" s="508">
        <v>1.7000000000000001E-2</v>
      </c>
      <c r="AF6016" s="508">
        <v>0.01</v>
      </c>
      <c r="AG6016" s="508">
        <v>0.01</v>
      </c>
      <c r="AH6016" s="508">
        <v>0.01</v>
      </c>
      <c r="AI6016" s="492">
        <v>0.01</v>
      </c>
      <c r="AJ6016" s="485"/>
    </row>
    <row r="6017" spans="2:36">
      <c r="B6017" s="136" t="s">
        <v>463</v>
      </c>
      <c r="C6017" s="132" t="s">
        <v>1375</v>
      </c>
      <c r="D6017" s="132" t="s">
        <v>285</v>
      </c>
      <c r="E6017" s="508">
        <v>1.831</v>
      </c>
      <c r="F6017" s="508">
        <v>1.776</v>
      </c>
      <c r="G6017" s="508">
        <v>1.7070000000000001</v>
      </c>
      <c r="H6017" s="508">
        <v>0.94599999999999995</v>
      </c>
      <c r="I6017" s="508">
        <v>0.94399999999999995</v>
      </c>
      <c r="J6017" s="508">
        <v>0.96499999999999997</v>
      </c>
      <c r="K6017" s="508">
        <v>0.67300000000000004</v>
      </c>
      <c r="L6017" s="508">
        <v>0.66900000000000004</v>
      </c>
      <c r="M6017" s="508">
        <v>0.67400000000000004</v>
      </c>
      <c r="N6017" s="508">
        <v>0.874</v>
      </c>
      <c r="O6017" s="508">
        <v>0.88300000000000001</v>
      </c>
      <c r="P6017" s="508">
        <v>0.874</v>
      </c>
      <c r="Q6017" s="508">
        <v>0.88700000000000001</v>
      </c>
      <c r="R6017" s="508">
        <v>0.49399999999999999</v>
      </c>
      <c r="S6017" s="508">
        <v>0.48799999999999999</v>
      </c>
      <c r="T6017" s="508">
        <v>0.48599999999999999</v>
      </c>
      <c r="U6017" s="508">
        <v>0.48599999999999999</v>
      </c>
      <c r="V6017" s="508">
        <v>0.47699999999999998</v>
      </c>
      <c r="W6017" s="508">
        <v>0.432</v>
      </c>
      <c r="X6017" s="508">
        <v>0.43</v>
      </c>
      <c r="Y6017" s="508">
        <v>0.433</v>
      </c>
      <c r="Z6017" s="508">
        <v>0.432</v>
      </c>
      <c r="AA6017" s="508">
        <v>1.7999999999999999E-2</v>
      </c>
      <c r="AB6017" s="508">
        <v>1.7999999999999999E-2</v>
      </c>
      <c r="AC6017" s="508">
        <v>1.9E-2</v>
      </c>
      <c r="AD6017" s="508">
        <v>1.7000000000000001E-2</v>
      </c>
      <c r="AE6017" s="508">
        <v>1.6E-2</v>
      </c>
      <c r="AF6017" s="508">
        <v>0.01</v>
      </c>
      <c r="AG6017" s="508">
        <v>0.01</v>
      </c>
      <c r="AH6017" s="508">
        <v>0.01</v>
      </c>
      <c r="AI6017" s="492">
        <v>0.01</v>
      </c>
      <c r="AJ6017" s="485"/>
    </row>
    <row r="6018" spans="2:36">
      <c r="B6018" s="136" t="s">
        <v>464</v>
      </c>
      <c r="C6018" s="132" t="s">
        <v>1375</v>
      </c>
      <c r="D6018" s="132" t="s">
        <v>285</v>
      </c>
      <c r="E6018" s="508">
        <v>1.8080000000000001</v>
      </c>
      <c r="F6018" s="508">
        <v>1.754</v>
      </c>
      <c r="G6018" s="508">
        <v>1.6859999999999999</v>
      </c>
      <c r="H6018" s="508">
        <v>0.92600000000000005</v>
      </c>
      <c r="I6018" s="508">
        <v>0.92400000000000004</v>
      </c>
      <c r="J6018" s="508">
        <v>0.94499999999999995</v>
      </c>
      <c r="K6018" s="508">
        <v>0.65700000000000003</v>
      </c>
      <c r="L6018" s="508">
        <v>0.65300000000000002</v>
      </c>
      <c r="M6018" s="508">
        <v>0.65800000000000003</v>
      </c>
      <c r="N6018" s="508">
        <v>0.85199999999999998</v>
      </c>
      <c r="O6018" s="508">
        <v>0.86199999999999999</v>
      </c>
      <c r="P6018" s="508">
        <v>0.85299999999999998</v>
      </c>
      <c r="Q6018" s="508">
        <v>0.86599999999999999</v>
      </c>
      <c r="R6018" s="508">
        <v>0.48699999999999999</v>
      </c>
      <c r="S6018" s="508">
        <v>0.48099999999999998</v>
      </c>
      <c r="T6018" s="508">
        <v>0.48</v>
      </c>
      <c r="U6018" s="508">
        <v>0.48</v>
      </c>
      <c r="V6018" s="508">
        <v>0.47099999999999997</v>
      </c>
      <c r="W6018" s="508">
        <v>0.42699999999999999</v>
      </c>
      <c r="X6018" s="508">
        <v>0.42499999999999999</v>
      </c>
      <c r="Y6018" s="508">
        <v>0.42799999999999999</v>
      </c>
      <c r="Z6018" s="508">
        <v>0.42699999999999999</v>
      </c>
      <c r="AA6018" s="508">
        <v>1.7999999999999999E-2</v>
      </c>
      <c r="AB6018" s="508">
        <v>1.7000000000000001E-2</v>
      </c>
      <c r="AC6018" s="508">
        <v>1.7999999999999999E-2</v>
      </c>
      <c r="AD6018" s="508">
        <v>1.6E-2</v>
      </c>
      <c r="AE6018" s="508">
        <v>1.6E-2</v>
      </c>
      <c r="AF6018" s="508">
        <v>0.01</v>
      </c>
      <c r="AG6018" s="508">
        <v>8.9999999999999993E-3</v>
      </c>
      <c r="AH6018" s="508">
        <v>8.9999999999999993E-3</v>
      </c>
      <c r="AI6018" s="492">
        <v>8.9999999999999993E-3</v>
      </c>
      <c r="AJ6018" s="485"/>
    </row>
    <row r="6019" spans="2:36">
      <c r="B6019" s="136" t="s">
        <v>465</v>
      </c>
      <c r="C6019" s="132" t="s">
        <v>1375</v>
      </c>
      <c r="D6019" s="132" t="s">
        <v>285</v>
      </c>
      <c r="E6019" s="508">
        <v>1.837</v>
      </c>
      <c r="F6019" s="508">
        <v>1.7809999999999999</v>
      </c>
      <c r="G6019" s="508">
        <v>1.7130000000000001</v>
      </c>
      <c r="H6019" s="508">
        <v>0.95099999999999996</v>
      </c>
      <c r="I6019" s="508">
        <v>0.94899999999999995</v>
      </c>
      <c r="J6019" s="508">
        <v>0.97</v>
      </c>
      <c r="K6019" s="508">
        <v>0.67900000000000005</v>
      </c>
      <c r="L6019" s="508">
        <v>0.67600000000000005</v>
      </c>
      <c r="M6019" s="508">
        <v>0.68</v>
      </c>
      <c r="N6019" s="508">
        <v>0.88800000000000001</v>
      </c>
      <c r="O6019" s="508">
        <v>0.89700000000000002</v>
      </c>
      <c r="P6019" s="508">
        <v>0.88800000000000001</v>
      </c>
      <c r="Q6019" s="508">
        <v>0.90200000000000002</v>
      </c>
      <c r="R6019" s="508">
        <v>0.499</v>
      </c>
      <c r="S6019" s="508">
        <v>0.49199999999999999</v>
      </c>
      <c r="T6019" s="508">
        <v>0.49099999999999999</v>
      </c>
      <c r="U6019" s="508">
        <v>0.49099999999999999</v>
      </c>
      <c r="V6019" s="508">
        <v>0.48099999999999998</v>
      </c>
      <c r="W6019" s="508">
        <v>0.436</v>
      </c>
      <c r="X6019" s="508">
        <v>0.434</v>
      </c>
      <c r="Y6019" s="508">
        <v>0.437</v>
      </c>
      <c r="Z6019" s="508">
        <v>0.436</v>
      </c>
      <c r="AA6019" s="508">
        <v>1.9E-2</v>
      </c>
      <c r="AB6019" s="508">
        <v>1.7999999999999999E-2</v>
      </c>
      <c r="AC6019" s="508">
        <v>1.9E-2</v>
      </c>
      <c r="AD6019" s="508">
        <v>1.7000000000000001E-2</v>
      </c>
      <c r="AE6019" s="508">
        <v>1.6E-2</v>
      </c>
      <c r="AF6019" s="508">
        <v>0.01</v>
      </c>
      <c r="AG6019" s="508">
        <v>0.01</v>
      </c>
      <c r="AH6019" s="508">
        <v>0.01</v>
      </c>
      <c r="AI6019" s="492">
        <v>0.01</v>
      </c>
      <c r="AJ6019" s="485"/>
    </row>
    <row r="6020" spans="2:36">
      <c r="B6020" s="136" t="s">
        <v>466</v>
      </c>
      <c r="C6020" s="132" t="s">
        <v>1375</v>
      </c>
      <c r="D6020" s="132" t="s">
        <v>285</v>
      </c>
      <c r="E6020" s="508">
        <v>1.9810000000000001</v>
      </c>
      <c r="F6020" s="508">
        <v>1.9219999999999999</v>
      </c>
      <c r="G6020" s="508">
        <v>1.85</v>
      </c>
      <c r="H6020" s="508">
        <v>1.0649999999999999</v>
      </c>
      <c r="I6020" s="508">
        <v>1.0629999999999999</v>
      </c>
      <c r="J6020" s="508">
        <v>1.087</v>
      </c>
      <c r="K6020" s="508">
        <v>0.77800000000000002</v>
      </c>
      <c r="L6020" s="508">
        <v>0.77400000000000002</v>
      </c>
      <c r="M6020" s="508">
        <v>0.77800000000000002</v>
      </c>
      <c r="N6020" s="508">
        <v>1.0509999999999999</v>
      </c>
      <c r="O6020" s="508">
        <v>1.0640000000000001</v>
      </c>
      <c r="P6020" s="508">
        <v>1.052</v>
      </c>
      <c r="Q6020" s="508">
        <v>1.07</v>
      </c>
      <c r="R6020" s="508">
        <v>0.56100000000000005</v>
      </c>
      <c r="S6020" s="508">
        <v>0.55200000000000005</v>
      </c>
      <c r="T6020" s="508">
        <v>0.55000000000000004</v>
      </c>
      <c r="U6020" s="508">
        <v>0.55100000000000005</v>
      </c>
      <c r="V6020" s="508">
        <v>0.53700000000000003</v>
      </c>
      <c r="W6020" s="508">
        <v>0.48699999999999999</v>
      </c>
      <c r="X6020" s="508">
        <v>0.48399999999999999</v>
      </c>
      <c r="Y6020" s="508">
        <v>0.48899999999999999</v>
      </c>
      <c r="Z6020" s="508">
        <v>0.48799999999999999</v>
      </c>
      <c r="AA6020" s="508">
        <v>2.1000000000000001E-2</v>
      </c>
      <c r="AB6020" s="508">
        <v>1.9E-2</v>
      </c>
      <c r="AC6020" s="508">
        <v>2.1000000000000001E-2</v>
      </c>
      <c r="AD6020" s="508">
        <v>1.9E-2</v>
      </c>
      <c r="AE6020" s="508">
        <v>1.7999999999999999E-2</v>
      </c>
      <c r="AF6020" s="508">
        <v>1.0999999999999999E-2</v>
      </c>
      <c r="AG6020" s="508">
        <v>1.0999999999999999E-2</v>
      </c>
      <c r="AH6020" s="508">
        <v>1.0999999999999999E-2</v>
      </c>
      <c r="AI6020" s="492">
        <v>1.0999999999999999E-2</v>
      </c>
      <c r="AJ6020" s="485"/>
    </row>
    <row r="6021" spans="2:36">
      <c r="B6021" s="136" t="s">
        <v>467</v>
      </c>
      <c r="C6021" s="132" t="s">
        <v>1375</v>
      </c>
      <c r="D6021" s="132" t="s">
        <v>285</v>
      </c>
      <c r="E6021" s="508">
        <v>1.887</v>
      </c>
      <c r="F6021" s="508">
        <v>1.831</v>
      </c>
      <c r="G6021" s="508">
        <v>1.7609999999999999</v>
      </c>
      <c r="H6021" s="508">
        <v>0.98499999999999999</v>
      </c>
      <c r="I6021" s="508">
        <v>0.98299999999999998</v>
      </c>
      <c r="J6021" s="508">
        <v>1.006</v>
      </c>
      <c r="K6021" s="508">
        <v>0.70499999999999996</v>
      </c>
      <c r="L6021" s="508">
        <v>0.70099999999999996</v>
      </c>
      <c r="M6021" s="508">
        <v>0.70599999999999996</v>
      </c>
      <c r="N6021" s="508">
        <v>0.93200000000000005</v>
      </c>
      <c r="O6021" s="508">
        <v>0.94399999999999995</v>
      </c>
      <c r="P6021" s="508">
        <v>0.93300000000000005</v>
      </c>
      <c r="Q6021" s="508">
        <v>0.94899999999999995</v>
      </c>
      <c r="R6021" s="508">
        <v>0.51900000000000002</v>
      </c>
      <c r="S6021" s="508">
        <v>0.51200000000000001</v>
      </c>
      <c r="T6021" s="508">
        <v>0.51</v>
      </c>
      <c r="U6021" s="508">
        <v>0.51100000000000001</v>
      </c>
      <c r="V6021" s="508">
        <v>0.5</v>
      </c>
      <c r="W6021" s="508">
        <v>0.45400000000000001</v>
      </c>
      <c r="X6021" s="508">
        <v>0.45100000000000001</v>
      </c>
      <c r="Y6021" s="508">
        <v>0.45500000000000002</v>
      </c>
      <c r="Z6021" s="508">
        <v>0.45400000000000001</v>
      </c>
      <c r="AA6021" s="508">
        <v>1.9E-2</v>
      </c>
      <c r="AB6021" s="508">
        <v>1.7999999999999999E-2</v>
      </c>
      <c r="AC6021" s="508">
        <v>1.9E-2</v>
      </c>
      <c r="AD6021" s="508">
        <v>1.7000000000000001E-2</v>
      </c>
      <c r="AE6021" s="508">
        <v>1.7000000000000001E-2</v>
      </c>
      <c r="AF6021" s="508">
        <v>0.01</v>
      </c>
      <c r="AG6021" s="508">
        <v>0.01</v>
      </c>
      <c r="AH6021" s="508">
        <v>0.01</v>
      </c>
      <c r="AI6021" s="492">
        <v>0.01</v>
      </c>
      <c r="AJ6021" s="485"/>
    </row>
    <row r="6022" spans="2:36">
      <c r="B6022" s="136" t="s">
        <v>468</v>
      </c>
      <c r="C6022" s="132" t="s">
        <v>1375</v>
      </c>
      <c r="D6022" s="132" t="s">
        <v>285</v>
      </c>
      <c r="E6022" s="508">
        <v>1.796</v>
      </c>
      <c r="F6022" s="508">
        <v>1.742</v>
      </c>
      <c r="G6022" s="508">
        <v>1.6739999999999999</v>
      </c>
      <c r="H6022" s="508">
        <v>0.92300000000000004</v>
      </c>
      <c r="I6022" s="508">
        <v>0.92100000000000004</v>
      </c>
      <c r="J6022" s="508">
        <v>0.94199999999999995</v>
      </c>
      <c r="K6022" s="508">
        <v>0.65700000000000003</v>
      </c>
      <c r="L6022" s="508">
        <v>0.65300000000000002</v>
      </c>
      <c r="M6022" s="508">
        <v>0.65900000000000003</v>
      </c>
      <c r="N6022" s="508">
        <v>0.84899999999999998</v>
      </c>
      <c r="O6022" s="508">
        <v>0.85699999999999998</v>
      </c>
      <c r="P6022" s="508">
        <v>0.84899999999999998</v>
      </c>
      <c r="Q6022" s="508">
        <v>0.86099999999999999</v>
      </c>
      <c r="R6022" s="508">
        <v>0.48199999999999998</v>
      </c>
      <c r="S6022" s="508">
        <v>0.47499999999999998</v>
      </c>
      <c r="T6022" s="508">
        <v>0.47399999999999998</v>
      </c>
      <c r="U6022" s="508">
        <v>0.47399999999999998</v>
      </c>
      <c r="V6022" s="508">
        <v>0.46500000000000002</v>
      </c>
      <c r="W6022" s="508">
        <v>0.42199999999999999</v>
      </c>
      <c r="X6022" s="508">
        <v>0.42</v>
      </c>
      <c r="Y6022" s="508">
        <v>0.42299999999999999</v>
      </c>
      <c r="Z6022" s="508">
        <v>0.42199999999999999</v>
      </c>
      <c r="AA6022" s="508">
        <v>1.7999999999999999E-2</v>
      </c>
      <c r="AB6022" s="508">
        <v>1.7000000000000001E-2</v>
      </c>
      <c r="AC6022" s="508">
        <v>1.7999999999999999E-2</v>
      </c>
      <c r="AD6022" s="508">
        <v>1.6E-2</v>
      </c>
      <c r="AE6022" s="508">
        <v>1.6E-2</v>
      </c>
      <c r="AF6022" s="508">
        <v>0.01</v>
      </c>
      <c r="AG6022" s="508">
        <v>8.9999999999999993E-3</v>
      </c>
      <c r="AH6022" s="508">
        <v>8.9999999999999993E-3</v>
      </c>
      <c r="AI6022" s="492">
        <v>8.9999999999999993E-3</v>
      </c>
      <c r="AJ6022" s="485"/>
    </row>
    <row r="6023" spans="2:36">
      <c r="B6023" s="136" t="s">
        <v>469</v>
      </c>
      <c r="C6023" s="132" t="s">
        <v>1375</v>
      </c>
      <c r="D6023" s="132" t="s">
        <v>285</v>
      </c>
      <c r="E6023" s="508">
        <v>1.853</v>
      </c>
      <c r="F6023" s="508">
        <v>1.798</v>
      </c>
      <c r="G6023" s="508">
        <v>1.7290000000000001</v>
      </c>
      <c r="H6023" s="508">
        <v>0.96299999999999997</v>
      </c>
      <c r="I6023" s="508">
        <v>0.96099999999999997</v>
      </c>
      <c r="J6023" s="508">
        <v>0.98199999999999998</v>
      </c>
      <c r="K6023" s="508">
        <v>0.68899999999999995</v>
      </c>
      <c r="L6023" s="508">
        <v>0.68500000000000005</v>
      </c>
      <c r="M6023" s="508">
        <v>0.69</v>
      </c>
      <c r="N6023" s="508">
        <v>0.90400000000000003</v>
      </c>
      <c r="O6023" s="508">
        <v>0.91500000000000004</v>
      </c>
      <c r="P6023" s="508">
        <v>0.90500000000000003</v>
      </c>
      <c r="Q6023" s="508">
        <v>0.92</v>
      </c>
      <c r="R6023" s="508">
        <v>0.50600000000000001</v>
      </c>
      <c r="S6023" s="508">
        <v>0.499</v>
      </c>
      <c r="T6023" s="508">
        <v>0.498</v>
      </c>
      <c r="U6023" s="508">
        <v>0.498</v>
      </c>
      <c r="V6023" s="508">
        <v>0.48799999999999999</v>
      </c>
      <c r="W6023" s="508">
        <v>0.442</v>
      </c>
      <c r="X6023" s="508">
        <v>0.44</v>
      </c>
      <c r="Y6023" s="508">
        <v>0.44400000000000001</v>
      </c>
      <c r="Z6023" s="508">
        <v>0.443</v>
      </c>
      <c r="AA6023" s="508">
        <v>1.9E-2</v>
      </c>
      <c r="AB6023" s="508">
        <v>1.7999999999999999E-2</v>
      </c>
      <c r="AC6023" s="508">
        <v>1.9E-2</v>
      </c>
      <c r="AD6023" s="508">
        <v>1.7000000000000001E-2</v>
      </c>
      <c r="AE6023" s="508">
        <v>1.7000000000000001E-2</v>
      </c>
      <c r="AF6023" s="508">
        <v>0.01</v>
      </c>
      <c r="AG6023" s="508">
        <v>0.01</v>
      </c>
      <c r="AH6023" s="508">
        <v>0.01</v>
      </c>
      <c r="AI6023" s="492">
        <v>0.01</v>
      </c>
      <c r="AJ6023" s="485"/>
    </row>
    <row r="6024" spans="2:36">
      <c r="B6024" s="136" t="s">
        <v>470</v>
      </c>
      <c r="C6024" s="132" t="s">
        <v>1375</v>
      </c>
      <c r="D6024" s="132" t="s">
        <v>285</v>
      </c>
      <c r="E6024" s="508">
        <v>1.95</v>
      </c>
      <c r="F6024" s="508">
        <v>1.8919999999999999</v>
      </c>
      <c r="G6024" s="508">
        <v>1.82</v>
      </c>
      <c r="H6024" s="508">
        <v>1.038</v>
      </c>
      <c r="I6024" s="508">
        <v>1.036</v>
      </c>
      <c r="J6024" s="508">
        <v>1.0589999999999999</v>
      </c>
      <c r="K6024" s="508">
        <v>0.752</v>
      </c>
      <c r="L6024" s="508">
        <v>0.748</v>
      </c>
      <c r="M6024" s="508">
        <v>0.752</v>
      </c>
      <c r="N6024" s="508">
        <v>1.0069999999999999</v>
      </c>
      <c r="O6024" s="508">
        <v>1.0189999999999999</v>
      </c>
      <c r="P6024" s="508">
        <v>1.008</v>
      </c>
      <c r="Q6024" s="508">
        <v>1.0249999999999999</v>
      </c>
      <c r="R6024" s="508">
        <v>0.54600000000000004</v>
      </c>
      <c r="S6024" s="508">
        <v>0.53700000000000003</v>
      </c>
      <c r="T6024" s="508">
        <v>0.53500000000000003</v>
      </c>
      <c r="U6024" s="508">
        <v>0.53600000000000003</v>
      </c>
      <c r="V6024" s="508">
        <v>0.52300000000000002</v>
      </c>
      <c r="W6024" s="508">
        <v>0.47499999999999998</v>
      </c>
      <c r="X6024" s="508">
        <v>0.47199999999999998</v>
      </c>
      <c r="Y6024" s="508">
        <v>0.47599999999999998</v>
      </c>
      <c r="Z6024" s="508">
        <v>0.47499999999999998</v>
      </c>
      <c r="AA6024" s="508">
        <v>0.02</v>
      </c>
      <c r="AB6024" s="508">
        <v>1.9E-2</v>
      </c>
      <c r="AC6024" s="508">
        <v>0.02</v>
      </c>
      <c r="AD6024" s="508">
        <v>1.7999999999999999E-2</v>
      </c>
      <c r="AE6024" s="508">
        <v>1.7999999999999999E-2</v>
      </c>
      <c r="AF6024" s="508">
        <v>1.0999999999999999E-2</v>
      </c>
      <c r="AG6024" s="508">
        <v>0.01</v>
      </c>
      <c r="AH6024" s="508">
        <v>0.01</v>
      </c>
      <c r="AI6024" s="492">
        <v>0.01</v>
      </c>
      <c r="AJ6024" s="485"/>
    </row>
    <row r="6025" spans="2:36">
      <c r="B6025" s="136" t="s">
        <v>471</v>
      </c>
      <c r="C6025" s="132" t="s">
        <v>1375</v>
      </c>
      <c r="D6025" s="132" t="s">
        <v>285</v>
      </c>
      <c r="E6025" s="508">
        <v>1.9219999999999999</v>
      </c>
      <c r="F6025" s="508">
        <v>1.865</v>
      </c>
      <c r="G6025" s="508">
        <v>1.794</v>
      </c>
      <c r="H6025" s="508">
        <v>1.0129999999999999</v>
      </c>
      <c r="I6025" s="508">
        <v>1.0109999999999999</v>
      </c>
      <c r="J6025" s="508">
        <v>1.034</v>
      </c>
      <c r="K6025" s="508">
        <v>0.72899999999999998</v>
      </c>
      <c r="L6025" s="508">
        <v>0.72499999999999998</v>
      </c>
      <c r="M6025" s="508">
        <v>0.73</v>
      </c>
      <c r="N6025" s="508">
        <v>0.97199999999999998</v>
      </c>
      <c r="O6025" s="508">
        <v>0.98399999999999999</v>
      </c>
      <c r="P6025" s="508">
        <v>0.97299999999999998</v>
      </c>
      <c r="Q6025" s="508">
        <v>0.99</v>
      </c>
      <c r="R6025" s="508">
        <v>0.53500000000000003</v>
      </c>
      <c r="S6025" s="508">
        <v>0.52600000000000002</v>
      </c>
      <c r="T6025" s="508">
        <v>0.52500000000000002</v>
      </c>
      <c r="U6025" s="508">
        <v>0.52500000000000002</v>
      </c>
      <c r="V6025" s="508">
        <v>0.51400000000000001</v>
      </c>
      <c r="W6025" s="508">
        <v>0.46600000000000003</v>
      </c>
      <c r="X6025" s="508">
        <v>0.46300000000000002</v>
      </c>
      <c r="Y6025" s="508">
        <v>0.46700000000000003</v>
      </c>
      <c r="Z6025" s="508">
        <v>0.46600000000000003</v>
      </c>
      <c r="AA6025" s="508">
        <v>0.02</v>
      </c>
      <c r="AB6025" s="508">
        <v>1.9E-2</v>
      </c>
      <c r="AC6025" s="508">
        <v>0.02</v>
      </c>
      <c r="AD6025" s="508">
        <v>1.7999999999999999E-2</v>
      </c>
      <c r="AE6025" s="508">
        <v>1.7000000000000001E-2</v>
      </c>
      <c r="AF6025" s="508">
        <v>0.01</v>
      </c>
      <c r="AG6025" s="508">
        <v>0.01</v>
      </c>
      <c r="AH6025" s="508">
        <v>0.01</v>
      </c>
      <c r="AI6025" s="492">
        <v>0.01</v>
      </c>
      <c r="AJ6025" s="485"/>
    </row>
    <row r="6026" spans="2:36">
      <c r="B6026" s="136" t="s">
        <v>472</v>
      </c>
      <c r="C6026" s="132" t="s">
        <v>1375</v>
      </c>
      <c r="D6026" s="132" t="s">
        <v>285</v>
      </c>
      <c r="E6026" s="508">
        <v>1.8149999999999999</v>
      </c>
      <c r="F6026" s="508">
        <v>1.7609999999999999</v>
      </c>
      <c r="G6026" s="508">
        <v>1.6930000000000001</v>
      </c>
      <c r="H6026" s="508">
        <v>0.92900000000000005</v>
      </c>
      <c r="I6026" s="508">
        <v>0.92700000000000005</v>
      </c>
      <c r="J6026" s="508">
        <v>0.94799999999999995</v>
      </c>
      <c r="K6026" s="508">
        <v>0.65800000000000003</v>
      </c>
      <c r="L6026" s="508">
        <v>0.65400000000000003</v>
      </c>
      <c r="M6026" s="508">
        <v>0.65900000000000003</v>
      </c>
      <c r="N6026" s="508">
        <v>0.85499999999999998</v>
      </c>
      <c r="O6026" s="508">
        <v>0.86499999999999999</v>
      </c>
      <c r="P6026" s="508">
        <v>0.85599999999999998</v>
      </c>
      <c r="Q6026" s="508">
        <v>0.87</v>
      </c>
      <c r="R6026" s="508">
        <v>0.49</v>
      </c>
      <c r="S6026" s="508">
        <v>0.48299999999999998</v>
      </c>
      <c r="T6026" s="508">
        <v>0.48199999999999998</v>
      </c>
      <c r="U6026" s="508">
        <v>0.48299999999999998</v>
      </c>
      <c r="V6026" s="508">
        <v>0.47399999999999998</v>
      </c>
      <c r="W6026" s="508">
        <v>0.42899999999999999</v>
      </c>
      <c r="X6026" s="508">
        <v>0.42699999999999999</v>
      </c>
      <c r="Y6026" s="508">
        <v>0.43</v>
      </c>
      <c r="Z6026" s="508">
        <v>0.42899999999999999</v>
      </c>
      <c r="AA6026" s="508">
        <v>1.7999999999999999E-2</v>
      </c>
      <c r="AB6026" s="508">
        <v>1.7000000000000001E-2</v>
      </c>
      <c r="AC6026" s="508">
        <v>1.7999999999999999E-2</v>
      </c>
      <c r="AD6026" s="508">
        <v>1.7000000000000001E-2</v>
      </c>
      <c r="AE6026" s="508">
        <v>1.6E-2</v>
      </c>
      <c r="AF6026" s="508">
        <v>0.01</v>
      </c>
      <c r="AG6026" s="508">
        <v>8.9999999999999993E-3</v>
      </c>
      <c r="AH6026" s="508">
        <v>8.9999999999999993E-3</v>
      </c>
      <c r="AI6026" s="492">
        <v>8.9999999999999993E-3</v>
      </c>
      <c r="AJ6026" s="485"/>
    </row>
    <row r="6027" spans="2:36">
      <c r="B6027" s="136" t="s">
        <v>473</v>
      </c>
      <c r="C6027" s="132" t="s">
        <v>1375</v>
      </c>
      <c r="D6027" s="132" t="s">
        <v>285</v>
      </c>
      <c r="E6027" s="508">
        <v>1.9550000000000001</v>
      </c>
      <c r="F6027" s="508">
        <v>1.897</v>
      </c>
      <c r="G6027" s="508">
        <v>1.825</v>
      </c>
      <c r="H6027" s="508">
        <v>1.0409999999999999</v>
      </c>
      <c r="I6027" s="508">
        <v>1.0389999999999999</v>
      </c>
      <c r="J6027" s="508">
        <v>1.0620000000000001</v>
      </c>
      <c r="K6027" s="508">
        <v>0.755</v>
      </c>
      <c r="L6027" s="508">
        <v>0.751</v>
      </c>
      <c r="M6027" s="508">
        <v>0.755</v>
      </c>
      <c r="N6027" s="508">
        <v>1.014</v>
      </c>
      <c r="O6027" s="508">
        <v>1.0269999999999999</v>
      </c>
      <c r="P6027" s="508">
        <v>1.0149999999999999</v>
      </c>
      <c r="Q6027" s="508">
        <v>1.0329999999999999</v>
      </c>
      <c r="R6027" s="508">
        <v>0.54900000000000004</v>
      </c>
      <c r="S6027" s="508">
        <v>0.54</v>
      </c>
      <c r="T6027" s="508">
        <v>0.53900000000000003</v>
      </c>
      <c r="U6027" s="508">
        <v>0.53900000000000003</v>
      </c>
      <c r="V6027" s="508">
        <v>0.52700000000000002</v>
      </c>
      <c r="W6027" s="508">
        <v>0.47799999999999998</v>
      </c>
      <c r="X6027" s="508">
        <v>0.47499999999999998</v>
      </c>
      <c r="Y6027" s="508">
        <v>0.47899999999999998</v>
      </c>
      <c r="Z6027" s="508">
        <v>0.47799999999999998</v>
      </c>
      <c r="AA6027" s="508">
        <v>0.02</v>
      </c>
      <c r="AB6027" s="508">
        <v>1.9E-2</v>
      </c>
      <c r="AC6027" s="508">
        <v>0.02</v>
      </c>
      <c r="AD6027" s="508">
        <v>1.7999999999999999E-2</v>
      </c>
      <c r="AE6027" s="508">
        <v>1.7999999999999999E-2</v>
      </c>
      <c r="AF6027" s="508">
        <v>1.0999999999999999E-2</v>
      </c>
      <c r="AG6027" s="508">
        <v>0.01</v>
      </c>
      <c r="AH6027" s="508">
        <v>0.01</v>
      </c>
      <c r="AI6027" s="492">
        <v>0.01</v>
      </c>
      <c r="AJ6027" s="485"/>
    </row>
    <row r="6028" spans="2:36">
      <c r="B6028" s="136" t="s">
        <v>474</v>
      </c>
      <c r="C6028" s="132" t="s">
        <v>1375</v>
      </c>
      <c r="D6028" s="132" t="s">
        <v>285</v>
      </c>
      <c r="E6028" s="508">
        <v>1.8979999999999999</v>
      </c>
      <c r="F6028" s="508">
        <v>1.841</v>
      </c>
      <c r="G6028" s="508">
        <v>1.7709999999999999</v>
      </c>
      <c r="H6028" s="508">
        <v>0.996</v>
      </c>
      <c r="I6028" s="508">
        <v>0.99399999999999999</v>
      </c>
      <c r="J6028" s="508">
        <v>1.016</v>
      </c>
      <c r="K6028" s="508">
        <v>0.71599999999999997</v>
      </c>
      <c r="L6028" s="508">
        <v>0.71199999999999997</v>
      </c>
      <c r="M6028" s="508">
        <v>0.71599999999999997</v>
      </c>
      <c r="N6028" s="508">
        <v>0.95</v>
      </c>
      <c r="O6028" s="508">
        <v>0.96099999999999997</v>
      </c>
      <c r="P6028" s="508">
        <v>0.95</v>
      </c>
      <c r="Q6028" s="508">
        <v>0.96699999999999997</v>
      </c>
      <c r="R6028" s="508">
        <v>0.52500000000000002</v>
      </c>
      <c r="S6028" s="508">
        <v>0.51700000000000002</v>
      </c>
      <c r="T6028" s="508">
        <v>0.51500000000000001</v>
      </c>
      <c r="U6028" s="508">
        <v>0.51600000000000001</v>
      </c>
      <c r="V6028" s="508">
        <v>0.505</v>
      </c>
      <c r="W6028" s="508">
        <v>0.45800000000000002</v>
      </c>
      <c r="X6028" s="508">
        <v>0.45500000000000002</v>
      </c>
      <c r="Y6028" s="508">
        <v>0.45900000000000002</v>
      </c>
      <c r="Z6028" s="508">
        <v>0.45800000000000002</v>
      </c>
      <c r="AA6028" s="508">
        <v>1.9E-2</v>
      </c>
      <c r="AB6028" s="508">
        <v>1.7999999999999999E-2</v>
      </c>
      <c r="AC6028" s="508">
        <v>0.02</v>
      </c>
      <c r="AD6028" s="508">
        <v>1.7999999999999999E-2</v>
      </c>
      <c r="AE6028" s="508">
        <v>1.7000000000000001E-2</v>
      </c>
      <c r="AF6028" s="508">
        <v>0.01</v>
      </c>
      <c r="AG6028" s="508">
        <v>0.01</v>
      </c>
      <c r="AH6028" s="508">
        <v>0.01</v>
      </c>
      <c r="AI6028" s="492">
        <v>0.01</v>
      </c>
      <c r="AJ6028" s="485"/>
    </row>
    <row r="6029" spans="2:36">
      <c r="B6029" s="136" t="s">
        <v>475</v>
      </c>
      <c r="C6029" s="132" t="s">
        <v>1375</v>
      </c>
      <c r="D6029" s="132" t="s">
        <v>285</v>
      </c>
      <c r="E6029" s="508">
        <v>1.877</v>
      </c>
      <c r="F6029" s="508">
        <v>1.821</v>
      </c>
      <c r="G6029" s="508">
        <v>1.7509999999999999</v>
      </c>
      <c r="H6029" s="508">
        <v>0.97799999999999998</v>
      </c>
      <c r="I6029" s="508">
        <v>0.97599999999999998</v>
      </c>
      <c r="J6029" s="508">
        <v>0.999</v>
      </c>
      <c r="K6029" s="508">
        <v>0.7</v>
      </c>
      <c r="L6029" s="508">
        <v>0.69699999999999995</v>
      </c>
      <c r="M6029" s="508">
        <v>0.70099999999999996</v>
      </c>
      <c r="N6029" s="508">
        <v>0.92400000000000004</v>
      </c>
      <c r="O6029" s="508">
        <v>0.93500000000000005</v>
      </c>
      <c r="P6029" s="508">
        <v>0.92500000000000004</v>
      </c>
      <c r="Q6029" s="508">
        <v>0.94</v>
      </c>
      <c r="R6029" s="508">
        <v>0.51500000000000001</v>
      </c>
      <c r="S6029" s="508">
        <v>0.50800000000000001</v>
      </c>
      <c r="T6029" s="508">
        <v>0.50700000000000001</v>
      </c>
      <c r="U6029" s="508">
        <v>0.50700000000000001</v>
      </c>
      <c r="V6029" s="508">
        <v>0.497</v>
      </c>
      <c r="W6029" s="508">
        <v>0.45</v>
      </c>
      <c r="X6029" s="508">
        <v>0.44800000000000001</v>
      </c>
      <c r="Y6029" s="508">
        <v>0.45100000000000001</v>
      </c>
      <c r="Z6029" s="508">
        <v>0.45</v>
      </c>
      <c r="AA6029" s="508">
        <v>1.9E-2</v>
      </c>
      <c r="AB6029" s="508">
        <v>1.7999999999999999E-2</v>
      </c>
      <c r="AC6029" s="508">
        <v>1.9E-2</v>
      </c>
      <c r="AD6029" s="508">
        <v>1.7000000000000001E-2</v>
      </c>
      <c r="AE6029" s="508">
        <v>1.7000000000000001E-2</v>
      </c>
      <c r="AF6029" s="508">
        <v>0.01</v>
      </c>
      <c r="AG6029" s="508">
        <v>0.01</v>
      </c>
      <c r="AH6029" s="508">
        <v>0.01</v>
      </c>
      <c r="AI6029" s="492">
        <v>0.01</v>
      </c>
      <c r="AJ6029" s="485"/>
    </row>
    <row r="6030" spans="2:36">
      <c r="B6030" s="136" t="s">
        <v>476</v>
      </c>
      <c r="C6030" s="132" t="s">
        <v>1375</v>
      </c>
      <c r="D6030" s="132" t="s">
        <v>285</v>
      </c>
      <c r="E6030" s="508">
        <v>1.92</v>
      </c>
      <c r="F6030" s="508">
        <v>1.863</v>
      </c>
      <c r="G6030" s="508">
        <v>1.792</v>
      </c>
      <c r="H6030" s="508">
        <v>1.016</v>
      </c>
      <c r="I6030" s="508">
        <v>1.014</v>
      </c>
      <c r="J6030" s="508">
        <v>1.0369999999999999</v>
      </c>
      <c r="K6030" s="508">
        <v>0.73499999999999999</v>
      </c>
      <c r="L6030" s="508">
        <v>0.73099999999999998</v>
      </c>
      <c r="M6030" s="508">
        <v>0.73499999999999999</v>
      </c>
      <c r="N6030" s="508">
        <v>0.97899999999999998</v>
      </c>
      <c r="O6030" s="508">
        <v>0.99099999999999999</v>
      </c>
      <c r="P6030" s="508">
        <v>0.98</v>
      </c>
      <c r="Q6030" s="508">
        <v>0.996</v>
      </c>
      <c r="R6030" s="508">
        <v>0.53500000000000003</v>
      </c>
      <c r="S6030" s="508">
        <v>0.52600000000000002</v>
      </c>
      <c r="T6030" s="508">
        <v>0.52400000000000002</v>
      </c>
      <c r="U6030" s="508">
        <v>0.52500000000000002</v>
      </c>
      <c r="V6030" s="508">
        <v>0.51300000000000001</v>
      </c>
      <c r="W6030" s="508">
        <v>0.46500000000000002</v>
      </c>
      <c r="X6030" s="508">
        <v>0.46300000000000002</v>
      </c>
      <c r="Y6030" s="508">
        <v>0.46700000000000003</v>
      </c>
      <c r="Z6030" s="508">
        <v>0.46500000000000002</v>
      </c>
      <c r="AA6030" s="508">
        <v>0.02</v>
      </c>
      <c r="AB6030" s="508">
        <v>1.9E-2</v>
      </c>
      <c r="AC6030" s="508">
        <v>0.02</v>
      </c>
      <c r="AD6030" s="508">
        <v>1.7999999999999999E-2</v>
      </c>
      <c r="AE6030" s="508">
        <v>1.7000000000000001E-2</v>
      </c>
      <c r="AF6030" s="508">
        <v>0.01</v>
      </c>
      <c r="AG6030" s="508">
        <v>0.01</v>
      </c>
      <c r="AH6030" s="508">
        <v>0.01</v>
      </c>
      <c r="AI6030" s="492">
        <v>0.01</v>
      </c>
      <c r="AJ6030" s="485"/>
    </row>
    <row r="6031" spans="2:36">
      <c r="B6031" s="136" t="s">
        <v>478</v>
      </c>
      <c r="C6031" s="132" t="s">
        <v>1375</v>
      </c>
      <c r="D6031" s="132" t="s">
        <v>285</v>
      </c>
      <c r="E6031" s="508">
        <v>1.966</v>
      </c>
      <c r="F6031" s="508">
        <v>1.907</v>
      </c>
      <c r="G6031" s="508">
        <v>1.835</v>
      </c>
      <c r="H6031" s="508">
        <v>1.0549999999999999</v>
      </c>
      <c r="I6031" s="508">
        <v>1.052</v>
      </c>
      <c r="J6031" s="508">
        <v>1.075</v>
      </c>
      <c r="K6031" s="508">
        <v>0.76800000000000002</v>
      </c>
      <c r="L6031" s="508">
        <v>0.76400000000000001</v>
      </c>
      <c r="M6031" s="508">
        <v>0.76800000000000002</v>
      </c>
      <c r="N6031" s="508">
        <v>1.03</v>
      </c>
      <c r="O6031" s="508">
        <v>1.042</v>
      </c>
      <c r="P6031" s="508">
        <v>1.0309999999999999</v>
      </c>
      <c r="Q6031" s="508">
        <v>1.048</v>
      </c>
      <c r="R6031" s="508">
        <v>0.55300000000000005</v>
      </c>
      <c r="S6031" s="508">
        <v>0.54300000000000004</v>
      </c>
      <c r="T6031" s="508">
        <v>0.54100000000000004</v>
      </c>
      <c r="U6031" s="508">
        <v>0.54200000000000004</v>
      </c>
      <c r="V6031" s="508">
        <v>0.52800000000000002</v>
      </c>
      <c r="W6031" s="508">
        <v>0.48</v>
      </c>
      <c r="X6031" s="508">
        <v>0.47699999999999998</v>
      </c>
      <c r="Y6031" s="508">
        <v>0.48099999999999998</v>
      </c>
      <c r="Z6031" s="508">
        <v>0.48</v>
      </c>
      <c r="AA6031" s="508">
        <v>0.02</v>
      </c>
      <c r="AB6031" s="508">
        <v>1.9E-2</v>
      </c>
      <c r="AC6031" s="508">
        <v>2.1000000000000001E-2</v>
      </c>
      <c r="AD6031" s="508">
        <v>1.7999999999999999E-2</v>
      </c>
      <c r="AE6031" s="508">
        <v>1.7999999999999999E-2</v>
      </c>
      <c r="AF6031" s="508">
        <v>1.0999999999999999E-2</v>
      </c>
      <c r="AG6031" s="508">
        <v>0.01</v>
      </c>
      <c r="AH6031" s="508">
        <v>0.01</v>
      </c>
      <c r="AI6031" s="492">
        <v>0.01</v>
      </c>
      <c r="AJ6031" s="485"/>
    </row>
    <row r="6032" spans="2:36">
      <c r="B6032" s="136" t="s">
        <v>479</v>
      </c>
      <c r="C6032" s="132" t="s">
        <v>1375</v>
      </c>
      <c r="D6032" s="132" t="s">
        <v>285</v>
      </c>
      <c r="E6032" s="508">
        <v>1.88</v>
      </c>
      <c r="F6032" s="508">
        <v>1.8240000000000001</v>
      </c>
      <c r="G6032" s="508">
        <v>1.754</v>
      </c>
      <c r="H6032" s="508">
        <v>0.98399999999999999</v>
      </c>
      <c r="I6032" s="508">
        <v>0.98199999999999998</v>
      </c>
      <c r="J6032" s="508">
        <v>1.004</v>
      </c>
      <c r="K6032" s="508">
        <v>0.70799999999999996</v>
      </c>
      <c r="L6032" s="508">
        <v>0.70399999999999996</v>
      </c>
      <c r="M6032" s="508">
        <v>0.70799999999999996</v>
      </c>
      <c r="N6032" s="508">
        <v>0.93500000000000005</v>
      </c>
      <c r="O6032" s="508">
        <v>0.94599999999999995</v>
      </c>
      <c r="P6032" s="508">
        <v>0.93600000000000005</v>
      </c>
      <c r="Q6032" s="508">
        <v>0.95099999999999996</v>
      </c>
      <c r="R6032" s="508">
        <v>0.51800000000000002</v>
      </c>
      <c r="S6032" s="508">
        <v>0.51</v>
      </c>
      <c r="T6032" s="508">
        <v>0.50800000000000001</v>
      </c>
      <c r="U6032" s="508">
        <v>0.50900000000000001</v>
      </c>
      <c r="V6032" s="508">
        <v>0.498</v>
      </c>
      <c r="W6032" s="508">
        <v>0.45200000000000001</v>
      </c>
      <c r="X6032" s="508">
        <v>0.44900000000000001</v>
      </c>
      <c r="Y6032" s="508">
        <v>0.45300000000000001</v>
      </c>
      <c r="Z6032" s="508">
        <v>0.45200000000000001</v>
      </c>
      <c r="AA6032" s="508">
        <v>1.9E-2</v>
      </c>
      <c r="AB6032" s="508">
        <v>1.7999999999999999E-2</v>
      </c>
      <c r="AC6032" s="508">
        <v>1.9E-2</v>
      </c>
      <c r="AD6032" s="508">
        <v>1.7000000000000001E-2</v>
      </c>
      <c r="AE6032" s="508">
        <v>1.7000000000000001E-2</v>
      </c>
      <c r="AF6032" s="508">
        <v>0.01</v>
      </c>
      <c r="AG6032" s="508">
        <v>0.01</v>
      </c>
      <c r="AH6032" s="508">
        <v>0.01</v>
      </c>
      <c r="AI6032" s="492">
        <v>0.01</v>
      </c>
      <c r="AJ6032" s="485"/>
    </row>
    <row r="6033" spans="2:36">
      <c r="B6033" s="136" t="s">
        <v>480</v>
      </c>
      <c r="C6033" s="132" t="s">
        <v>1375</v>
      </c>
      <c r="D6033" s="132" t="s">
        <v>285</v>
      </c>
      <c r="E6033" s="508">
        <v>1.7969999999999999</v>
      </c>
      <c r="F6033" s="508">
        <v>1.742</v>
      </c>
      <c r="G6033" s="508">
        <v>1.675</v>
      </c>
      <c r="H6033" s="508">
        <v>0.91900000000000004</v>
      </c>
      <c r="I6033" s="508">
        <v>0.91700000000000004</v>
      </c>
      <c r="J6033" s="508">
        <v>0.93799999999999994</v>
      </c>
      <c r="K6033" s="508">
        <v>0.65100000000000002</v>
      </c>
      <c r="L6033" s="508">
        <v>0.64700000000000002</v>
      </c>
      <c r="M6033" s="508">
        <v>0.65200000000000002</v>
      </c>
      <c r="N6033" s="508">
        <v>0.84199999999999997</v>
      </c>
      <c r="O6033" s="508">
        <v>0.85099999999999998</v>
      </c>
      <c r="P6033" s="508">
        <v>0.84199999999999997</v>
      </c>
      <c r="Q6033" s="508">
        <v>0.85499999999999998</v>
      </c>
      <c r="R6033" s="508">
        <v>0.48199999999999998</v>
      </c>
      <c r="S6033" s="508">
        <v>0.47599999999999998</v>
      </c>
      <c r="T6033" s="508">
        <v>0.47399999999999998</v>
      </c>
      <c r="U6033" s="508">
        <v>0.47499999999999998</v>
      </c>
      <c r="V6033" s="508">
        <v>0.46600000000000003</v>
      </c>
      <c r="W6033" s="508">
        <v>0.42199999999999999</v>
      </c>
      <c r="X6033" s="508">
        <v>0.42</v>
      </c>
      <c r="Y6033" s="508">
        <v>0.42299999999999999</v>
      </c>
      <c r="Z6033" s="508">
        <v>0.42199999999999999</v>
      </c>
      <c r="AA6033" s="508">
        <v>1.7999999999999999E-2</v>
      </c>
      <c r="AB6033" s="508">
        <v>1.7000000000000001E-2</v>
      </c>
      <c r="AC6033" s="508">
        <v>1.7999999999999999E-2</v>
      </c>
      <c r="AD6033" s="508">
        <v>1.6E-2</v>
      </c>
      <c r="AE6033" s="508">
        <v>1.6E-2</v>
      </c>
      <c r="AF6033" s="508">
        <v>8.9999999999999993E-3</v>
      </c>
      <c r="AG6033" s="508">
        <v>8.9999999999999993E-3</v>
      </c>
      <c r="AH6033" s="508">
        <v>8.9999999999999993E-3</v>
      </c>
      <c r="AI6033" s="492">
        <v>8.9999999999999993E-3</v>
      </c>
      <c r="AJ6033" s="485"/>
    </row>
    <row r="6034" spans="2:36">
      <c r="B6034" s="136" t="s">
        <v>481</v>
      </c>
      <c r="C6034" s="132" t="s">
        <v>1375</v>
      </c>
      <c r="D6034" s="132" t="s">
        <v>285</v>
      </c>
      <c r="E6034" s="508">
        <v>1.9</v>
      </c>
      <c r="F6034" s="508">
        <v>1.843</v>
      </c>
      <c r="G6034" s="508">
        <v>1.7729999999999999</v>
      </c>
      <c r="H6034" s="508">
        <v>1</v>
      </c>
      <c r="I6034" s="508">
        <v>0.998</v>
      </c>
      <c r="J6034" s="508">
        <v>1.02</v>
      </c>
      <c r="K6034" s="508">
        <v>0.72099999999999997</v>
      </c>
      <c r="L6034" s="508">
        <v>0.71699999999999997</v>
      </c>
      <c r="M6034" s="508">
        <v>0.72099999999999997</v>
      </c>
      <c r="N6034" s="508">
        <v>0.95599999999999996</v>
      </c>
      <c r="O6034" s="508">
        <v>0.96699999999999997</v>
      </c>
      <c r="P6034" s="508">
        <v>0.95699999999999996</v>
      </c>
      <c r="Q6034" s="508">
        <v>0.97199999999999998</v>
      </c>
      <c r="R6034" s="508">
        <v>0.52600000000000002</v>
      </c>
      <c r="S6034" s="508">
        <v>0.51800000000000002</v>
      </c>
      <c r="T6034" s="508">
        <v>0.51600000000000001</v>
      </c>
      <c r="U6034" s="508">
        <v>0.51700000000000002</v>
      </c>
      <c r="V6034" s="508">
        <v>0.505</v>
      </c>
      <c r="W6034" s="508">
        <v>0.45800000000000002</v>
      </c>
      <c r="X6034" s="508">
        <v>0.45500000000000002</v>
      </c>
      <c r="Y6034" s="508">
        <v>0.45900000000000002</v>
      </c>
      <c r="Z6034" s="508">
        <v>0.45800000000000002</v>
      </c>
      <c r="AA6034" s="508">
        <v>1.9E-2</v>
      </c>
      <c r="AB6034" s="508">
        <v>1.7999999999999999E-2</v>
      </c>
      <c r="AC6034" s="508">
        <v>0.02</v>
      </c>
      <c r="AD6034" s="508">
        <v>1.7999999999999999E-2</v>
      </c>
      <c r="AE6034" s="508">
        <v>1.7000000000000001E-2</v>
      </c>
      <c r="AF6034" s="508">
        <v>0.01</v>
      </c>
      <c r="AG6034" s="508">
        <v>0.01</v>
      </c>
      <c r="AH6034" s="508">
        <v>0.01</v>
      </c>
      <c r="AI6034" s="492">
        <v>0.01</v>
      </c>
      <c r="AJ6034" s="485"/>
    </row>
    <row r="6035" spans="2:36">
      <c r="B6035" s="136" t="s">
        <v>482</v>
      </c>
      <c r="C6035" s="132" t="s">
        <v>1375</v>
      </c>
      <c r="D6035" s="132" t="s">
        <v>285</v>
      </c>
      <c r="E6035" s="508">
        <v>1.903</v>
      </c>
      <c r="F6035" s="508">
        <v>1.8460000000000001</v>
      </c>
      <c r="G6035" s="508">
        <v>1.7749999999999999</v>
      </c>
      <c r="H6035" s="508">
        <v>1.002</v>
      </c>
      <c r="I6035" s="508">
        <v>1</v>
      </c>
      <c r="J6035" s="508">
        <v>1.022</v>
      </c>
      <c r="K6035" s="508">
        <v>0.72099999999999997</v>
      </c>
      <c r="L6035" s="508">
        <v>0.71799999999999997</v>
      </c>
      <c r="M6035" s="508">
        <v>0.72199999999999998</v>
      </c>
      <c r="N6035" s="508">
        <v>0.95599999999999996</v>
      </c>
      <c r="O6035" s="508">
        <v>0.96599999999999997</v>
      </c>
      <c r="P6035" s="508">
        <v>0.95599999999999996</v>
      </c>
      <c r="Q6035" s="508">
        <v>0.97199999999999998</v>
      </c>
      <c r="R6035" s="508">
        <v>0.52600000000000002</v>
      </c>
      <c r="S6035" s="508">
        <v>0.51800000000000002</v>
      </c>
      <c r="T6035" s="508">
        <v>0.51600000000000001</v>
      </c>
      <c r="U6035" s="508">
        <v>0.51600000000000001</v>
      </c>
      <c r="V6035" s="508">
        <v>0.505</v>
      </c>
      <c r="W6035" s="508">
        <v>0.45800000000000002</v>
      </c>
      <c r="X6035" s="508">
        <v>0.45500000000000002</v>
      </c>
      <c r="Y6035" s="508">
        <v>0.45900000000000002</v>
      </c>
      <c r="Z6035" s="508">
        <v>0.45800000000000002</v>
      </c>
      <c r="AA6035" s="508">
        <v>1.9E-2</v>
      </c>
      <c r="AB6035" s="508">
        <v>1.7999999999999999E-2</v>
      </c>
      <c r="AC6035" s="508">
        <v>0.02</v>
      </c>
      <c r="AD6035" s="508">
        <v>1.7999999999999999E-2</v>
      </c>
      <c r="AE6035" s="508">
        <v>1.7000000000000001E-2</v>
      </c>
      <c r="AF6035" s="508">
        <v>0.01</v>
      </c>
      <c r="AG6035" s="508">
        <v>0.01</v>
      </c>
      <c r="AH6035" s="508">
        <v>0.01</v>
      </c>
      <c r="AI6035" s="492">
        <v>0.01</v>
      </c>
      <c r="AJ6035" s="485"/>
    </row>
    <row r="6036" spans="2:36">
      <c r="B6036" s="136" t="s">
        <v>483</v>
      </c>
      <c r="C6036" s="132" t="s">
        <v>1375</v>
      </c>
      <c r="D6036" s="132" t="s">
        <v>285</v>
      </c>
      <c r="E6036" s="508">
        <v>1.956</v>
      </c>
      <c r="F6036" s="508">
        <v>1.897</v>
      </c>
      <c r="G6036" s="508">
        <v>1.825</v>
      </c>
      <c r="H6036" s="508">
        <v>1.046</v>
      </c>
      <c r="I6036" s="508">
        <v>1.044</v>
      </c>
      <c r="J6036" s="508">
        <v>1.0669999999999999</v>
      </c>
      <c r="K6036" s="508">
        <v>0.76</v>
      </c>
      <c r="L6036" s="508">
        <v>0.75700000000000001</v>
      </c>
      <c r="M6036" s="508">
        <v>0.76100000000000001</v>
      </c>
      <c r="N6036" s="508">
        <v>1.02</v>
      </c>
      <c r="O6036" s="508">
        <v>1.032</v>
      </c>
      <c r="P6036" s="508">
        <v>1.02</v>
      </c>
      <c r="Q6036" s="508">
        <v>1.038</v>
      </c>
      <c r="R6036" s="508">
        <v>0.54900000000000004</v>
      </c>
      <c r="S6036" s="508">
        <v>0.54</v>
      </c>
      <c r="T6036" s="508">
        <v>0.53800000000000003</v>
      </c>
      <c r="U6036" s="508">
        <v>0.53900000000000003</v>
      </c>
      <c r="V6036" s="508">
        <v>0.52500000000000002</v>
      </c>
      <c r="W6036" s="508">
        <v>0.47699999999999998</v>
      </c>
      <c r="X6036" s="508">
        <v>0.47399999999999998</v>
      </c>
      <c r="Y6036" s="508">
        <v>0.47799999999999998</v>
      </c>
      <c r="Z6036" s="508">
        <v>0.47699999999999998</v>
      </c>
      <c r="AA6036" s="508">
        <v>0.02</v>
      </c>
      <c r="AB6036" s="508">
        <v>1.9E-2</v>
      </c>
      <c r="AC6036" s="508">
        <v>0.02</v>
      </c>
      <c r="AD6036" s="508">
        <v>1.7999999999999999E-2</v>
      </c>
      <c r="AE6036" s="508">
        <v>1.7999999999999999E-2</v>
      </c>
      <c r="AF6036" s="508">
        <v>1.0999999999999999E-2</v>
      </c>
      <c r="AG6036" s="508">
        <v>0.01</v>
      </c>
      <c r="AH6036" s="508">
        <v>0.01</v>
      </c>
      <c r="AI6036" s="492">
        <v>0.01</v>
      </c>
      <c r="AJ6036" s="485"/>
    </row>
    <row r="6037" spans="2:36">
      <c r="B6037" s="136" t="s">
        <v>484</v>
      </c>
      <c r="C6037" s="132" t="s">
        <v>1375</v>
      </c>
      <c r="D6037" s="132" t="s">
        <v>285</v>
      </c>
      <c r="E6037" s="508">
        <v>1.8109999999999999</v>
      </c>
      <c r="F6037" s="508">
        <v>1.756</v>
      </c>
      <c r="G6037" s="508">
        <v>1.6890000000000001</v>
      </c>
      <c r="H6037" s="508">
        <v>0.92600000000000005</v>
      </c>
      <c r="I6037" s="508">
        <v>0.92400000000000004</v>
      </c>
      <c r="J6037" s="508">
        <v>0.94499999999999995</v>
      </c>
      <c r="K6037" s="508">
        <v>0.65600000000000003</v>
      </c>
      <c r="L6037" s="508">
        <v>0.65200000000000002</v>
      </c>
      <c r="M6037" s="508">
        <v>0.65700000000000003</v>
      </c>
      <c r="N6037" s="508">
        <v>0.85099999999999998</v>
      </c>
      <c r="O6037" s="508">
        <v>0.86099999999999999</v>
      </c>
      <c r="P6037" s="508">
        <v>0.85099999999999998</v>
      </c>
      <c r="Q6037" s="508">
        <v>0.86499999999999999</v>
      </c>
      <c r="R6037" s="508">
        <v>0.48699999999999999</v>
      </c>
      <c r="S6037" s="508">
        <v>0.48099999999999998</v>
      </c>
      <c r="T6037" s="508">
        <v>0.48</v>
      </c>
      <c r="U6037" s="508">
        <v>0.48</v>
      </c>
      <c r="V6037" s="508">
        <v>0.47199999999999998</v>
      </c>
      <c r="W6037" s="508">
        <v>0.42699999999999999</v>
      </c>
      <c r="X6037" s="508">
        <v>0.42599999999999999</v>
      </c>
      <c r="Y6037" s="508">
        <v>0.42799999999999999</v>
      </c>
      <c r="Z6037" s="508">
        <v>0.42699999999999999</v>
      </c>
      <c r="AA6037" s="508">
        <v>1.7999999999999999E-2</v>
      </c>
      <c r="AB6037" s="508">
        <v>1.7000000000000001E-2</v>
      </c>
      <c r="AC6037" s="508">
        <v>1.7999999999999999E-2</v>
      </c>
      <c r="AD6037" s="508">
        <v>1.6E-2</v>
      </c>
      <c r="AE6037" s="508">
        <v>1.6E-2</v>
      </c>
      <c r="AF6037" s="508">
        <v>0.01</v>
      </c>
      <c r="AG6037" s="508">
        <v>8.9999999999999993E-3</v>
      </c>
      <c r="AH6037" s="508">
        <v>8.9999999999999993E-3</v>
      </c>
      <c r="AI6037" s="492">
        <v>8.9999999999999993E-3</v>
      </c>
      <c r="AJ6037" s="485"/>
    </row>
    <row r="6038" spans="2:36">
      <c r="B6038" s="136" t="s">
        <v>486</v>
      </c>
      <c r="C6038" s="132" t="s">
        <v>1375</v>
      </c>
      <c r="D6038" s="132" t="s">
        <v>285</v>
      </c>
      <c r="E6038" s="508">
        <v>1.9039999999999999</v>
      </c>
      <c r="F6038" s="508">
        <v>1.8480000000000001</v>
      </c>
      <c r="G6038" s="508">
        <v>1.7769999999999999</v>
      </c>
      <c r="H6038" s="508">
        <v>1.004</v>
      </c>
      <c r="I6038" s="508">
        <v>1.002</v>
      </c>
      <c r="J6038" s="508">
        <v>1.024</v>
      </c>
      <c r="K6038" s="508">
        <v>0.72399999999999998</v>
      </c>
      <c r="L6038" s="508">
        <v>0.72099999999999997</v>
      </c>
      <c r="M6038" s="508">
        <v>0.72499999999999998</v>
      </c>
      <c r="N6038" s="508">
        <v>0.96099999999999997</v>
      </c>
      <c r="O6038" s="508">
        <v>0.97199999999999998</v>
      </c>
      <c r="P6038" s="508">
        <v>0.96199999999999997</v>
      </c>
      <c r="Q6038" s="508">
        <v>0.97699999999999998</v>
      </c>
      <c r="R6038" s="508">
        <v>0.52700000000000002</v>
      </c>
      <c r="S6038" s="508">
        <v>0.51900000000000002</v>
      </c>
      <c r="T6038" s="508">
        <v>0.51700000000000002</v>
      </c>
      <c r="U6038" s="508">
        <v>0.51800000000000002</v>
      </c>
      <c r="V6038" s="508">
        <v>0.50600000000000001</v>
      </c>
      <c r="W6038" s="508">
        <v>0.45900000000000002</v>
      </c>
      <c r="X6038" s="508">
        <v>0.45700000000000002</v>
      </c>
      <c r="Y6038" s="508">
        <v>0.46</v>
      </c>
      <c r="Z6038" s="508">
        <v>0.45900000000000002</v>
      </c>
      <c r="AA6038" s="508">
        <v>0.02</v>
      </c>
      <c r="AB6038" s="508">
        <v>1.7999999999999999E-2</v>
      </c>
      <c r="AC6038" s="508">
        <v>0.02</v>
      </c>
      <c r="AD6038" s="508">
        <v>1.7999999999999999E-2</v>
      </c>
      <c r="AE6038" s="508">
        <v>1.7000000000000001E-2</v>
      </c>
      <c r="AF6038" s="508">
        <v>0.01</v>
      </c>
      <c r="AG6038" s="508">
        <v>0.01</v>
      </c>
      <c r="AH6038" s="508">
        <v>0.01</v>
      </c>
      <c r="AI6038" s="492">
        <v>0.01</v>
      </c>
      <c r="AJ6038" s="485"/>
    </row>
    <row r="6039" spans="2:36">
      <c r="B6039" s="136" t="s">
        <v>487</v>
      </c>
      <c r="C6039" s="132" t="s">
        <v>1375</v>
      </c>
      <c r="D6039" s="132" t="s">
        <v>285</v>
      </c>
      <c r="E6039" s="508">
        <v>1.9039999999999999</v>
      </c>
      <c r="F6039" s="508">
        <v>1.847</v>
      </c>
      <c r="G6039" s="508">
        <v>1.776</v>
      </c>
      <c r="H6039" s="508">
        <v>1.006</v>
      </c>
      <c r="I6039" s="508">
        <v>1.004</v>
      </c>
      <c r="J6039" s="508">
        <v>1.026</v>
      </c>
      <c r="K6039" s="508">
        <v>0.72599999999999998</v>
      </c>
      <c r="L6039" s="508">
        <v>0.72299999999999998</v>
      </c>
      <c r="M6039" s="508">
        <v>0.72699999999999998</v>
      </c>
      <c r="N6039" s="508">
        <v>0.96199999999999997</v>
      </c>
      <c r="O6039" s="508">
        <v>0.97299999999999998</v>
      </c>
      <c r="P6039" s="508">
        <v>0.96299999999999997</v>
      </c>
      <c r="Q6039" s="508">
        <v>0.97799999999999998</v>
      </c>
      <c r="R6039" s="508">
        <v>0.52600000000000002</v>
      </c>
      <c r="S6039" s="508">
        <v>0.51800000000000002</v>
      </c>
      <c r="T6039" s="508">
        <v>0.51600000000000001</v>
      </c>
      <c r="U6039" s="508">
        <v>0.51700000000000002</v>
      </c>
      <c r="V6039" s="508">
        <v>0.505</v>
      </c>
      <c r="W6039" s="508">
        <v>0.45800000000000002</v>
      </c>
      <c r="X6039" s="508">
        <v>0.45600000000000002</v>
      </c>
      <c r="Y6039" s="508">
        <v>0.45900000000000002</v>
      </c>
      <c r="Z6039" s="508">
        <v>0.45800000000000002</v>
      </c>
      <c r="AA6039" s="508">
        <v>0.02</v>
      </c>
      <c r="AB6039" s="508">
        <v>1.7999999999999999E-2</v>
      </c>
      <c r="AC6039" s="508">
        <v>0.02</v>
      </c>
      <c r="AD6039" s="508">
        <v>1.7999999999999999E-2</v>
      </c>
      <c r="AE6039" s="508">
        <v>1.7000000000000001E-2</v>
      </c>
      <c r="AF6039" s="508">
        <v>0.01</v>
      </c>
      <c r="AG6039" s="508">
        <v>0.01</v>
      </c>
      <c r="AH6039" s="508">
        <v>0.01</v>
      </c>
      <c r="AI6039" s="492">
        <v>0.01</v>
      </c>
      <c r="AJ6039" s="485"/>
    </row>
    <row r="6040" spans="2:36">
      <c r="B6040" s="136" t="s">
        <v>488</v>
      </c>
      <c r="C6040" s="132" t="s">
        <v>1375</v>
      </c>
      <c r="D6040" s="132" t="s">
        <v>285</v>
      </c>
      <c r="E6040" s="508">
        <v>1.833</v>
      </c>
      <c r="F6040" s="508">
        <v>1.778</v>
      </c>
      <c r="G6040" s="508">
        <v>1.7090000000000001</v>
      </c>
      <c r="H6040" s="508">
        <v>0.94499999999999995</v>
      </c>
      <c r="I6040" s="508">
        <v>0.94299999999999995</v>
      </c>
      <c r="J6040" s="508">
        <v>0.96499999999999997</v>
      </c>
      <c r="K6040" s="508">
        <v>0.67300000000000004</v>
      </c>
      <c r="L6040" s="508">
        <v>0.66900000000000004</v>
      </c>
      <c r="M6040" s="508">
        <v>0.67400000000000004</v>
      </c>
      <c r="N6040" s="508">
        <v>0.877</v>
      </c>
      <c r="O6040" s="508">
        <v>0.88700000000000001</v>
      </c>
      <c r="P6040" s="508">
        <v>0.878</v>
      </c>
      <c r="Q6040" s="508">
        <v>0.89200000000000002</v>
      </c>
      <c r="R6040" s="508">
        <v>0.496</v>
      </c>
      <c r="S6040" s="508">
        <v>0.49</v>
      </c>
      <c r="T6040" s="508">
        <v>0.48799999999999999</v>
      </c>
      <c r="U6040" s="508">
        <v>0.48899999999999999</v>
      </c>
      <c r="V6040" s="508">
        <v>0.47899999999999998</v>
      </c>
      <c r="W6040" s="508">
        <v>0.434</v>
      </c>
      <c r="X6040" s="508">
        <v>0.432</v>
      </c>
      <c r="Y6040" s="508">
        <v>0.435</v>
      </c>
      <c r="Z6040" s="508">
        <v>0.435</v>
      </c>
      <c r="AA6040" s="508">
        <v>1.9E-2</v>
      </c>
      <c r="AB6040" s="508">
        <v>1.7999999999999999E-2</v>
      </c>
      <c r="AC6040" s="508">
        <v>1.9E-2</v>
      </c>
      <c r="AD6040" s="508">
        <v>1.7000000000000001E-2</v>
      </c>
      <c r="AE6040" s="508">
        <v>1.6E-2</v>
      </c>
      <c r="AF6040" s="508">
        <v>0.01</v>
      </c>
      <c r="AG6040" s="508">
        <v>0.01</v>
      </c>
      <c r="AH6040" s="508">
        <v>0.01</v>
      </c>
      <c r="AI6040" s="492">
        <v>0.01</v>
      </c>
      <c r="AJ6040" s="485"/>
    </row>
    <row r="6041" spans="2:36">
      <c r="B6041" s="136" t="s">
        <v>489</v>
      </c>
      <c r="C6041" s="132" t="s">
        <v>1375</v>
      </c>
      <c r="D6041" s="132" t="s">
        <v>285</v>
      </c>
      <c r="E6041" s="508">
        <v>1.87</v>
      </c>
      <c r="F6041" s="508">
        <v>1.8140000000000001</v>
      </c>
      <c r="G6041" s="508">
        <v>1.744</v>
      </c>
      <c r="H6041" s="508">
        <v>0.97299999999999998</v>
      </c>
      <c r="I6041" s="508">
        <v>0.97099999999999997</v>
      </c>
      <c r="J6041" s="508">
        <v>0.99299999999999999</v>
      </c>
      <c r="K6041" s="508">
        <v>0.69599999999999995</v>
      </c>
      <c r="L6041" s="508">
        <v>0.69199999999999995</v>
      </c>
      <c r="M6041" s="508">
        <v>0.69699999999999995</v>
      </c>
      <c r="N6041" s="508">
        <v>0.91700000000000004</v>
      </c>
      <c r="O6041" s="508">
        <v>0.92700000000000005</v>
      </c>
      <c r="P6041" s="508">
        <v>0.91700000000000004</v>
      </c>
      <c r="Q6041" s="508">
        <v>0.93200000000000005</v>
      </c>
      <c r="R6041" s="508">
        <v>0.51200000000000001</v>
      </c>
      <c r="S6041" s="508">
        <v>0.505</v>
      </c>
      <c r="T6041" s="508">
        <v>0.503</v>
      </c>
      <c r="U6041" s="508">
        <v>0.504</v>
      </c>
      <c r="V6041" s="508">
        <v>0.49399999999999999</v>
      </c>
      <c r="W6041" s="508">
        <v>0.44700000000000001</v>
      </c>
      <c r="X6041" s="508">
        <v>0.44500000000000001</v>
      </c>
      <c r="Y6041" s="508">
        <v>0.44900000000000001</v>
      </c>
      <c r="Z6041" s="508">
        <v>0.44800000000000001</v>
      </c>
      <c r="AA6041" s="508">
        <v>1.9E-2</v>
      </c>
      <c r="AB6041" s="508">
        <v>1.7999999999999999E-2</v>
      </c>
      <c r="AC6041" s="508">
        <v>1.9E-2</v>
      </c>
      <c r="AD6041" s="508">
        <v>1.7000000000000001E-2</v>
      </c>
      <c r="AE6041" s="508">
        <v>1.7000000000000001E-2</v>
      </c>
      <c r="AF6041" s="508">
        <v>0.01</v>
      </c>
      <c r="AG6041" s="508">
        <v>0.01</v>
      </c>
      <c r="AH6041" s="508">
        <v>0.01</v>
      </c>
      <c r="AI6041" s="492">
        <v>0.01</v>
      </c>
      <c r="AJ6041" s="485"/>
    </row>
    <row r="6042" spans="2:36">
      <c r="B6042" s="136" t="s">
        <v>490</v>
      </c>
      <c r="C6042" s="132" t="s">
        <v>1375</v>
      </c>
      <c r="D6042" s="132" t="s">
        <v>285</v>
      </c>
      <c r="E6042" s="508">
        <v>1.798</v>
      </c>
      <c r="F6042" s="508">
        <v>1.744</v>
      </c>
      <c r="G6042" s="508">
        <v>1.6759999999999999</v>
      </c>
      <c r="H6042" s="508">
        <v>0.92200000000000004</v>
      </c>
      <c r="I6042" s="508">
        <v>0.92100000000000004</v>
      </c>
      <c r="J6042" s="508">
        <v>0.94099999999999995</v>
      </c>
      <c r="K6042" s="508">
        <v>0.65600000000000003</v>
      </c>
      <c r="L6042" s="508">
        <v>0.65200000000000002</v>
      </c>
      <c r="M6042" s="508">
        <v>0.65700000000000003</v>
      </c>
      <c r="N6042" s="508">
        <v>0.84899999999999998</v>
      </c>
      <c r="O6042" s="508">
        <v>0.85799999999999998</v>
      </c>
      <c r="P6042" s="508">
        <v>0.84899999999999998</v>
      </c>
      <c r="Q6042" s="508">
        <v>0.86199999999999999</v>
      </c>
      <c r="R6042" s="508">
        <v>0.48299999999999998</v>
      </c>
      <c r="S6042" s="508">
        <v>0.47699999999999998</v>
      </c>
      <c r="T6042" s="508">
        <v>0.47499999999999998</v>
      </c>
      <c r="U6042" s="508">
        <v>0.47599999999999998</v>
      </c>
      <c r="V6042" s="508">
        <v>0.46700000000000003</v>
      </c>
      <c r="W6042" s="508">
        <v>0.42299999999999999</v>
      </c>
      <c r="X6042" s="508">
        <v>0.42099999999999999</v>
      </c>
      <c r="Y6042" s="508">
        <v>0.42399999999999999</v>
      </c>
      <c r="Z6042" s="508">
        <v>0.42299999999999999</v>
      </c>
      <c r="AA6042" s="508">
        <v>1.7999999999999999E-2</v>
      </c>
      <c r="AB6042" s="508">
        <v>1.7000000000000001E-2</v>
      </c>
      <c r="AC6042" s="508">
        <v>1.7999999999999999E-2</v>
      </c>
      <c r="AD6042" s="508">
        <v>1.6E-2</v>
      </c>
      <c r="AE6042" s="508">
        <v>1.6E-2</v>
      </c>
      <c r="AF6042" s="508">
        <v>0.01</v>
      </c>
      <c r="AG6042" s="508">
        <v>8.9999999999999993E-3</v>
      </c>
      <c r="AH6042" s="508">
        <v>8.9999999999999993E-3</v>
      </c>
      <c r="AI6042" s="492">
        <v>8.9999999999999993E-3</v>
      </c>
      <c r="AJ6042" s="485"/>
    </row>
    <row r="6043" spans="2:36">
      <c r="B6043" s="136" t="s">
        <v>435</v>
      </c>
      <c r="C6043" s="132" t="s">
        <v>1376</v>
      </c>
      <c r="D6043" s="132" t="s">
        <v>285</v>
      </c>
      <c r="E6043" s="508">
        <v>0.222</v>
      </c>
      <c r="F6043" s="508">
        <v>0.18099999999999999</v>
      </c>
      <c r="G6043" s="508">
        <v>0.16500000000000001</v>
      </c>
      <c r="H6043" s="508">
        <v>0.14000000000000001</v>
      </c>
      <c r="I6043" s="508">
        <v>0.13300000000000001</v>
      </c>
      <c r="J6043" s="508">
        <v>0.113</v>
      </c>
      <c r="K6043" s="508">
        <v>8.3000000000000004E-2</v>
      </c>
      <c r="L6043" s="508">
        <v>0.08</v>
      </c>
      <c r="M6043" s="508">
        <v>7.8E-2</v>
      </c>
      <c r="N6043" s="508">
        <v>8.8999999999999996E-2</v>
      </c>
      <c r="O6043" s="508">
        <v>6.8000000000000005E-2</v>
      </c>
      <c r="P6043" s="508">
        <v>4.8000000000000001E-2</v>
      </c>
      <c r="Q6043" s="508">
        <v>4.1000000000000002E-2</v>
      </c>
      <c r="R6043" s="508">
        <v>4.3999999999999997E-2</v>
      </c>
      <c r="S6043" s="508">
        <v>4.5999999999999999E-2</v>
      </c>
      <c r="T6043" s="508">
        <v>3.7999999999999999E-2</v>
      </c>
      <c r="U6043" s="508">
        <v>3.9E-2</v>
      </c>
      <c r="V6043" s="508">
        <v>2.1000000000000001E-2</v>
      </c>
      <c r="W6043" s="508">
        <v>2.5999999999999999E-2</v>
      </c>
      <c r="X6043" s="508">
        <v>0.02</v>
      </c>
      <c r="Y6043" s="508">
        <v>0.02</v>
      </c>
      <c r="Z6043" s="508">
        <v>1.6E-2</v>
      </c>
      <c r="AA6043" s="508">
        <v>1.6E-2</v>
      </c>
      <c r="AB6043" s="508">
        <v>1.4E-2</v>
      </c>
      <c r="AC6043" s="508">
        <v>1.4E-2</v>
      </c>
      <c r="AD6043" s="508">
        <v>1.2999999999999999E-2</v>
      </c>
      <c r="AE6043" s="508">
        <v>1.2999999999999999E-2</v>
      </c>
      <c r="AF6043" s="508">
        <v>8.0000000000000002E-3</v>
      </c>
      <c r="AG6043" s="508">
        <v>8.0000000000000002E-3</v>
      </c>
      <c r="AH6043" s="508">
        <v>8.0000000000000002E-3</v>
      </c>
      <c r="AI6043" s="492">
        <v>8.0000000000000002E-3</v>
      </c>
      <c r="AJ6043" s="485"/>
    </row>
    <row r="6044" spans="2:36">
      <c r="B6044" s="136" t="s">
        <v>436</v>
      </c>
      <c r="C6044" s="132" t="s">
        <v>1376</v>
      </c>
      <c r="D6044" s="132" t="s">
        <v>285</v>
      </c>
      <c r="E6044" s="508">
        <v>0.71299999999999997</v>
      </c>
      <c r="F6044" s="508">
        <v>0.59199999999999997</v>
      </c>
      <c r="G6044" s="508">
        <v>0.53400000000000003</v>
      </c>
      <c r="H6044" s="508">
        <v>0.42499999999999999</v>
      </c>
      <c r="I6044" s="508">
        <v>0.40100000000000002</v>
      </c>
      <c r="J6044" s="508">
        <v>0.373</v>
      </c>
      <c r="K6044" s="508">
        <v>0.25800000000000001</v>
      </c>
      <c r="L6044" s="508">
        <v>0.249</v>
      </c>
      <c r="M6044" s="508">
        <v>0.24199999999999999</v>
      </c>
      <c r="N6044" s="508">
        <v>0.253</v>
      </c>
      <c r="O6044" s="508">
        <v>0.22</v>
      </c>
      <c r="P6044" s="508">
        <v>0.157</v>
      </c>
      <c r="Q6044" s="508">
        <v>0.128</v>
      </c>
      <c r="R6044" s="508">
        <v>0.13500000000000001</v>
      </c>
      <c r="S6044" s="508">
        <v>0.153</v>
      </c>
      <c r="T6044" s="508">
        <v>0.126</v>
      </c>
      <c r="U6044" s="508">
        <v>0.115</v>
      </c>
      <c r="V6044" s="508">
        <v>5.8999999999999997E-2</v>
      </c>
      <c r="W6044" s="508">
        <v>7.6999999999999999E-2</v>
      </c>
      <c r="X6044" s="508">
        <v>2.5000000000000001E-2</v>
      </c>
      <c r="Y6044" s="508">
        <v>2.5000000000000001E-2</v>
      </c>
      <c r="Z6044" s="508">
        <v>0.02</v>
      </c>
      <c r="AA6044" s="508">
        <v>0.02</v>
      </c>
      <c r="AB6044" s="508">
        <v>1.7000000000000001E-2</v>
      </c>
      <c r="AC6044" s="508">
        <v>1.7000000000000001E-2</v>
      </c>
      <c r="AD6044" s="508">
        <v>1.4999999999999999E-2</v>
      </c>
      <c r="AE6044" s="508">
        <v>1.4999999999999999E-2</v>
      </c>
      <c r="AF6044" s="508">
        <v>8.9999999999999993E-3</v>
      </c>
      <c r="AG6044" s="508">
        <v>8.9999999999999993E-3</v>
      </c>
      <c r="AH6044" s="508">
        <v>8.9999999999999993E-3</v>
      </c>
      <c r="AI6044" s="492">
        <v>8.9999999999999993E-3</v>
      </c>
      <c r="AJ6044" s="485"/>
    </row>
    <row r="6045" spans="2:36">
      <c r="B6045" s="136" t="s">
        <v>437</v>
      </c>
      <c r="C6045" s="132" t="s">
        <v>1376</v>
      </c>
      <c r="D6045" s="132" t="s">
        <v>285</v>
      </c>
      <c r="E6045" s="508">
        <v>0.19900000000000001</v>
      </c>
      <c r="F6045" s="508">
        <v>0.17399999999999999</v>
      </c>
      <c r="G6045" s="508">
        <v>0.161</v>
      </c>
      <c r="H6045" s="508">
        <v>0.129</v>
      </c>
      <c r="I6045" s="508">
        <v>0.123</v>
      </c>
      <c r="J6045" s="508">
        <v>0.12</v>
      </c>
      <c r="K6045" s="508">
        <v>8.4000000000000005E-2</v>
      </c>
      <c r="L6045" s="508">
        <v>8.2000000000000003E-2</v>
      </c>
      <c r="M6045" s="508">
        <v>0.08</v>
      </c>
      <c r="N6045" s="508">
        <v>7.9000000000000001E-2</v>
      </c>
      <c r="O6045" s="508">
        <v>7.3999999999999996E-2</v>
      </c>
      <c r="P6045" s="508">
        <v>5.3999999999999999E-2</v>
      </c>
      <c r="Q6045" s="508">
        <v>4.2000000000000003E-2</v>
      </c>
      <c r="R6045" s="508">
        <v>4.4999999999999998E-2</v>
      </c>
      <c r="S6045" s="508">
        <v>5.3999999999999999E-2</v>
      </c>
      <c r="T6045" s="508">
        <v>4.4999999999999998E-2</v>
      </c>
      <c r="U6045" s="508">
        <v>3.7999999999999999E-2</v>
      </c>
      <c r="V6045" s="508">
        <v>1.9E-2</v>
      </c>
      <c r="W6045" s="508">
        <v>2.5999999999999999E-2</v>
      </c>
      <c r="X6045" s="508">
        <v>2.1000000000000001E-2</v>
      </c>
      <c r="Y6045" s="508">
        <v>2.1000000000000001E-2</v>
      </c>
      <c r="Z6045" s="508">
        <v>1.7000000000000001E-2</v>
      </c>
      <c r="AA6045" s="508">
        <v>1.7000000000000001E-2</v>
      </c>
      <c r="AB6045" s="508">
        <v>1.4999999999999999E-2</v>
      </c>
      <c r="AC6045" s="508">
        <v>1.4999999999999999E-2</v>
      </c>
      <c r="AD6045" s="508">
        <v>1.2999999999999999E-2</v>
      </c>
      <c r="AE6045" s="508">
        <v>1.2999999999999999E-2</v>
      </c>
      <c r="AF6045" s="508">
        <v>8.0000000000000002E-3</v>
      </c>
      <c r="AG6045" s="508">
        <v>8.0000000000000002E-3</v>
      </c>
      <c r="AH6045" s="508">
        <v>8.0000000000000002E-3</v>
      </c>
      <c r="AI6045" s="492">
        <v>8.0000000000000002E-3</v>
      </c>
      <c r="AJ6045" s="485"/>
    </row>
    <row r="6046" spans="2:36">
      <c r="B6046" s="136" t="s">
        <v>438</v>
      </c>
      <c r="C6046" s="132" t="s">
        <v>1376</v>
      </c>
      <c r="D6046" s="132" t="s">
        <v>285</v>
      </c>
      <c r="E6046" s="508">
        <v>0.23799999999999999</v>
      </c>
      <c r="F6046" s="508">
        <v>0.20699999999999999</v>
      </c>
      <c r="G6046" s="508">
        <v>0.191</v>
      </c>
      <c r="H6046" s="508">
        <v>0.156</v>
      </c>
      <c r="I6046" s="508">
        <v>0.14899999999999999</v>
      </c>
      <c r="J6046" s="508">
        <v>0.14000000000000001</v>
      </c>
      <c r="K6046" s="508">
        <v>9.5000000000000001E-2</v>
      </c>
      <c r="L6046" s="508">
        <v>9.1999999999999998E-2</v>
      </c>
      <c r="M6046" s="508">
        <v>0.09</v>
      </c>
      <c r="N6046" s="508">
        <v>0.10100000000000001</v>
      </c>
      <c r="O6046" s="508">
        <v>8.5000000000000006E-2</v>
      </c>
      <c r="P6046" s="508">
        <v>6.0999999999999999E-2</v>
      </c>
      <c r="Q6046" s="508">
        <v>0.05</v>
      </c>
      <c r="R6046" s="508">
        <v>5.2999999999999999E-2</v>
      </c>
      <c r="S6046" s="508">
        <v>6.0999999999999999E-2</v>
      </c>
      <c r="T6046" s="508">
        <v>0.05</v>
      </c>
      <c r="U6046" s="508">
        <v>4.7E-2</v>
      </c>
      <c r="V6046" s="508">
        <v>2.4E-2</v>
      </c>
      <c r="W6046" s="508">
        <v>3.1E-2</v>
      </c>
      <c r="X6046" s="508">
        <v>2.1000000000000001E-2</v>
      </c>
      <c r="Y6046" s="508">
        <v>2.1000000000000001E-2</v>
      </c>
      <c r="Z6046" s="508">
        <v>1.7000000000000001E-2</v>
      </c>
      <c r="AA6046" s="508">
        <v>1.7000000000000001E-2</v>
      </c>
      <c r="AB6046" s="508">
        <v>1.4999999999999999E-2</v>
      </c>
      <c r="AC6046" s="508">
        <v>1.4999999999999999E-2</v>
      </c>
      <c r="AD6046" s="508">
        <v>1.4E-2</v>
      </c>
      <c r="AE6046" s="508">
        <v>1.4E-2</v>
      </c>
      <c r="AF6046" s="508">
        <v>8.9999999999999993E-3</v>
      </c>
      <c r="AG6046" s="508">
        <v>8.9999999999999993E-3</v>
      </c>
      <c r="AH6046" s="508">
        <v>8.9999999999999993E-3</v>
      </c>
      <c r="AI6046" s="492">
        <v>8.9999999999999993E-3</v>
      </c>
      <c r="AJ6046" s="485"/>
    </row>
    <row r="6047" spans="2:36">
      <c r="B6047" s="136" t="s">
        <v>439</v>
      </c>
      <c r="C6047" s="132" t="s">
        <v>1376</v>
      </c>
      <c r="D6047" s="132" t="s">
        <v>285</v>
      </c>
      <c r="E6047" s="508">
        <v>0.26900000000000002</v>
      </c>
      <c r="F6047" s="508">
        <v>0.23799999999999999</v>
      </c>
      <c r="G6047" s="508">
        <v>0.219</v>
      </c>
      <c r="H6047" s="508">
        <v>0.16900000000000001</v>
      </c>
      <c r="I6047" s="508">
        <v>0.16200000000000001</v>
      </c>
      <c r="J6047" s="508">
        <v>0.16400000000000001</v>
      </c>
      <c r="K6047" s="508">
        <v>0.113</v>
      </c>
      <c r="L6047" s="508">
        <v>0.11</v>
      </c>
      <c r="M6047" s="508">
        <v>0.108</v>
      </c>
      <c r="N6047" s="508">
        <v>0.10199999999999999</v>
      </c>
      <c r="O6047" s="508">
        <v>0.10199999999999999</v>
      </c>
      <c r="P6047" s="508">
        <v>7.5999999999999998E-2</v>
      </c>
      <c r="Q6047" s="508">
        <v>5.7000000000000002E-2</v>
      </c>
      <c r="R6047" s="508">
        <v>6.0999999999999999E-2</v>
      </c>
      <c r="S6047" s="508">
        <v>7.5999999999999998E-2</v>
      </c>
      <c r="T6047" s="508">
        <v>6.2E-2</v>
      </c>
      <c r="U6047" s="508">
        <v>0.05</v>
      </c>
      <c r="V6047" s="508">
        <v>2.5000000000000001E-2</v>
      </c>
      <c r="W6047" s="508">
        <v>3.3000000000000002E-2</v>
      </c>
      <c r="X6047" s="508">
        <v>2.1000000000000001E-2</v>
      </c>
      <c r="Y6047" s="508">
        <v>2.1000000000000001E-2</v>
      </c>
      <c r="Z6047" s="508">
        <v>1.7000000000000001E-2</v>
      </c>
      <c r="AA6047" s="508">
        <v>1.7000000000000001E-2</v>
      </c>
      <c r="AB6047" s="508">
        <v>1.4999999999999999E-2</v>
      </c>
      <c r="AC6047" s="508">
        <v>1.4999999999999999E-2</v>
      </c>
      <c r="AD6047" s="508">
        <v>1.4E-2</v>
      </c>
      <c r="AE6047" s="508">
        <v>1.4E-2</v>
      </c>
      <c r="AF6047" s="508">
        <v>8.9999999999999993E-3</v>
      </c>
      <c r="AG6047" s="508">
        <v>8.9999999999999993E-3</v>
      </c>
      <c r="AH6047" s="508">
        <v>8.9999999999999993E-3</v>
      </c>
      <c r="AI6047" s="492">
        <v>8.9999999999999993E-3</v>
      </c>
      <c r="AJ6047" s="485"/>
    </row>
    <row r="6048" spans="2:36">
      <c r="B6048" s="136" t="s">
        <v>440</v>
      </c>
      <c r="C6048" s="132" t="s">
        <v>1376</v>
      </c>
      <c r="D6048" s="132" t="s">
        <v>285</v>
      </c>
      <c r="E6048" s="508">
        <v>0.40500000000000003</v>
      </c>
      <c r="F6048" s="508">
        <v>0.34499999999999997</v>
      </c>
      <c r="G6048" s="508">
        <v>0.315</v>
      </c>
      <c r="H6048" s="508">
        <v>0.249</v>
      </c>
      <c r="I6048" s="508">
        <v>0.23599999999999999</v>
      </c>
      <c r="J6048" s="508">
        <v>0.22700000000000001</v>
      </c>
      <c r="K6048" s="508">
        <v>0.158</v>
      </c>
      <c r="L6048" s="508">
        <v>0.153</v>
      </c>
      <c r="M6048" s="508">
        <v>0.15</v>
      </c>
      <c r="N6048" s="508">
        <v>0.14899999999999999</v>
      </c>
      <c r="O6048" s="508">
        <v>0.13800000000000001</v>
      </c>
      <c r="P6048" s="508">
        <v>0.1</v>
      </c>
      <c r="Q6048" s="508">
        <v>7.9000000000000001E-2</v>
      </c>
      <c r="R6048" s="508">
        <v>8.4000000000000005E-2</v>
      </c>
      <c r="S6048" s="508">
        <v>9.9000000000000005E-2</v>
      </c>
      <c r="T6048" s="508">
        <v>8.1000000000000003E-2</v>
      </c>
      <c r="U6048" s="508">
        <v>7.2999999999999995E-2</v>
      </c>
      <c r="V6048" s="508">
        <v>3.6999999999999998E-2</v>
      </c>
      <c r="W6048" s="508">
        <v>4.9000000000000002E-2</v>
      </c>
      <c r="X6048" s="508">
        <v>2.3E-2</v>
      </c>
      <c r="Y6048" s="508">
        <v>2.3E-2</v>
      </c>
      <c r="Z6048" s="508">
        <v>1.9E-2</v>
      </c>
      <c r="AA6048" s="508">
        <v>1.9E-2</v>
      </c>
      <c r="AB6048" s="508">
        <v>1.7000000000000001E-2</v>
      </c>
      <c r="AC6048" s="508">
        <v>1.6E-2</v>
      </c>
      <c r="AD6048" s="508">
        <v>1.4999999999999999E-2</v>
      </c>
      <c r="AE6048" s="508">
        <v>1.4999999999999999E-2</v>
      </c>
      <c r="AF6048" s="508">
        <v>8.9999999999999993E-3</v>
      </c>
      <c r="AG6048" s="508">
        <v>8.9999999999999993E-3</v>
      </c>
      <c r="AH6048" s="508">
        <v>8.9999999999999993E-3</v>
      </c>
      <c r="AI6048" s="492">
        <v>8.9999999999999993E-3</v>
      </c>
      <c r="AJ6048" s="485"/>
    </row>
    <row r="6049" spans="2:36">
      <c r="B6049" s="136" t="s">
        <v>441</v>
      </c>
      <c r="C6049" s="132" t="s">
        <v>1376</v>
      </c>
      <c r="D6049" s="132" t="s">
        <v>285</v>
      </c>
      <c r="E6049" s="508">
        <v>0.41699999999999998</v>
      </c>
      <c r="F6049" s="508">
        <v>0.36399999999999999</v>
      </c>
      <c r="G6049" s="508">
        <v>0.33300000000000002</v>
      </c>
      <c r="H6049" s="508">
        <v>0.254</v>
      </c>
      <c r="I6049" s="508">
        <v>0.24099999999999999</v>
      </c>
      <c r="J6049" s="508">
        <v>0.248</v>
      </c>
      <c r="K6049" s="508">
        <v>0.17</v>
      </c>
      <c r="L6049" s="508">
        <v>0.16600000000000001</v>
      </c>
      <c r="M6049" s="508">
        <v>0.16200000000000001</v>
      </c>
      <c r="N6049" s="508">
        <v>0.14799999999999999</v>
      </c>
      <c r="O6049" s="508">
        <v>0.152</v>
      </c>
      <c r="P6049" s="508">
        <v>0.113</v>
      </c>
      <c r="Q6049" s="508">
        <v>8.5000000000000006E-2</v>
      </c>
      <c r="R6049" s="508">
        <v>9.0999999999999998E-2</v>
      </c>
      <c r="S6049" s="508">
        <v>0.114</v>
      </c>
      <c r="T6049" s="508">
        <v>9.1999999999999998E-2</v>
      </c>
      <c r="U6049" s="508">
        <v>8.2000000000000003E-2</v>
      </c>
      <c r="V6049" s="508">
        <v>4.1000000000000002E-2</v>
      </c>
      <c r="W6049" s="508">
        <v>5.5E-2</v>
      </c>
      <c r="X6049" s="508">
        <v>2.5000000000000001E-2</v>
      </c>
      <c r="Y6049" s="508">
        <v>2.5000000000000001E-2</v>
      </c>
      <c r="Z6049" s="508">
        <v>0.02</v>
      </c>
      <c r="AA6049" s="508">
        <v>0.02</v>
      </c>
      <c r="AB6049" s="508">
        <v>1.7999999999999999E-2</v>
      </c>
      <c r="AC6049" s="508">
        <v>1.7999999999999999E-2</v>
      </c>
      <c r="AD6049" s="508">
        <v>1.6E-2</v>
      </c>
      <c r="AE6049" s="508">
        <v>1.6E-2</v>
      </c>
      <c r="AF6049" s="508">
        <v>0.01</v>
      </c>
      <c r="AG6049" s="508">
        <v>0.01</v>
      </c>
      <c r="AH6049" s="508">
        <v>0.01</v>
      </c>
      <c r="AI6049" s="492">
        <v>0.01</v>
      </c>
      <c r="AJ6049" s="485"/>
    </row>
    <row r="6050" spans="2:36">
      <c r="B6050" s="136" t="s">
        <v>443</v>
      </c>
      <c r="C6050" s="132" t="s">
        <v>1376</v>
      </c>
      <c r="D6050" s="132" t="s">
        <v>285</v>
      </c>
      <c r="E6050" s="508">
        <v>0.31900000000000001</v>
      </c>
      <c r="F6050" s="508">
        <v>0.24299999999999999</v>
      </c>
      <c r="G6050" s="508">
        <v>0.217</v>
      </c>
      <c r="H6050" s="508">
        <v>0.186</v>
      </c>
      <c r="I6050" s="508">
        <v>0.17599999999999999</v>
      </c>
      <c r="J6050" s="508">
        <v>0.13800000000000001</v>
      </c>
      <c r="K6050" s="508">
        <v>0.108</v>
      </c>
      <c r="L6050" s="508">
        <v>0.104</v>
      </c>
      <c r="M6050" s="508">
        <v>0.10100000000000001</v>
      </c>
      <c r="N6050" s="508">
        <v>0.112</v>
      </c>
      <c r="O6050" s="508">
        <v>8.1000000000000003E-2</v>
      </c>
      <c r="P6050" s="508">
        <v>5.7000000000000002E-2</v>
      </c>
      <c r="Q6050" s="508">
        <v>0.05</v>
      </c>
      <c r="R6050" s="508">
        <v>5.1999999999999998E-2</v>
      </c>
      <c r="S6050" s="508">
        <v>5.0999999999999997E-2</v>
      </c>
      <c r="T6050" s="508">
        <v>4.2000000000000003E-2</v>
      </c>
      <c r="U6050" s="508">
        <v>0.04</v>
      </c>
      <c r="V6050" s="508">
        <v>2.1999999999999999E-2</v>
      </c>
      <c r="W6050" s="508">
        <v>2.5999999999999999E-2</v>
      </c>
      <c r="X6050" s="508">
        <v>1.7999999999999999E-2</v>
      </c>
      <c r="Y6050" s="508">
        <v>1.7000000000000001E-2</v>
      </c>
      <c r="Z6050" s="508">
        <v>1.4E-2</v>
      </c>
      <c r="AA6050" s="508">
        <v>1.4E-2</v>
      </c>
      <c r="AB6050" s="508">
        <v>1.2999999999999999E-2</v>
      </c>
      <c r="AC6050" s="508">
        <v>1.2E-2</v>
      </c>
      <c r="AD6050" s="508">
        <v>1.0999999999999999E-2</v>
      </c>
      <c r="AE6050" s="508">
        <v>1.0999999999999999E-2</v>
      </c>
      <c r="AF6050" s="508">
        <v>7.0000000000000001E-3</v>
      </c>
      <c r="AG6050" s="508">
        <v>7.0000000000000001E-3</v>
      </c>
      <c r="AH6050" s="508">
        <v>7.0000000000000001E-3</v>
      </c>
      <c r="AI6050" s="492">
        <v>7.0000000000000001E-3</v>
      </c>
      <c r="AJ6050" s="485"/>
    </row>
    <row r="6051" spans="2:36">
      <c r="B6051" s="136" t="s">
        <v>445</v>
      </c>
      <c r="C6051" s="132" t="s">
        <v>1376</v>
      </c>
      <c r="D6051" s="132" t="s">
        <v>285</v>
      </c>
      <c r="E6051" s="508">
        <v>0.35199999999999998</v>
      </c>
      <c r="F6051" s="508">
        <v>0.27200000000000002</v>
      </c>
      <c r="G6051" s="508">
        <v>0.245</v>
      </c>
      <c r="H6051" s="508">
        <v>0.20100000000000001</v>
      </c>
      <c r="I6051" s="508">
        <v>0.189</v>
      </c>
      <c r="J6051" s="508">
        <v>0.16</v>
      </c>
      <c r="K6051" s="508">
        <v>0.128</v>
      </c>
      <c r="L6051" s="508">
        <v>0.124</v>
      </c>
      <c r="M6051" s="508">
        <v>0.121</v>
      </c>
      <c r="N6051" s="508">
        <v>0.11</v>
      </c>
      <c r="O6051" s="508">
        <v>9.7000000000000003E-2</v>
      </c>
      <c r="P6051" s="508">
        <v>7.1999999999999995E-2</v>
      </c>
      <c r="Q6051" s="508">
        <v>5.6000000000000001E-2</v>
      </c>
      <c r="R6051" s="508">
        <v>5.8999999999999997E-2</v>
      </c>
      <c r="S6051" s="508">
        <v>6.5000000000000002E-2</v>
      </c>
      <c r="T6051" s="508">
        <v>5.2999999999999999E-2</v>
      </c>
      <c r="U6051" s="508">
        <v>4.7E-2</v>
      </c>
      <c r="V6051" s="508">
        <v>2.5999999999999999E-2</v>
      </c>
      <c r="W6051" s="508">
        <v>3.2000000000000001E-2</v>
      </c>
      <c r="X6051" s="508">
        <v>0.02</v>
      </c>
      <c r="Y6051" s="508">
        <v>0.02</v>
      </c>
      <c r="Z6051" s="508">
        <v>1.6E-2</v>
      </c>
      <c r="AA6051" s="508">
        <v>1.6E-2</v>
      </c>
      <c r="AB6051" s="508">
        <v>1.4E-2</v>
      </c>
      <c r="AC6051" s="508">
        <v>1.4E-2</v>
      </c>
      <c r="AD6051" s="508">
        <v>1.2999999999999999E-2</v>
      </c>
      <c r="AE6051" s="508">
        <v>1.2E-2</v>
      </c>
      <c r="AF6051" s="508">
        <v>8.0000000000000002E-3</v>
      </c>
      <c r="AG6051" s="508">
        <v>8.0000000000000002E-3</v>
      </c>
      <c r="AH6051" s="508">
        <v>8.0000000000000002E-3</v>
      </c>
      <c r="AI6051" s="492">
        <v>8.0000000000000002E-3</v>
      </c>
      <c r="AJ6051" s="485"/>
    </row>
    <row r="6052" spans="2:36">
      <c r="B6052" s="136" t="s">
        <v>446</v>
      </c>
      <c r="C6052" s="132" t="s">
        <v>1376</v>
      </c>
      <c r="D6052" s="132" t="s">
        <v>285</v>
      </c>
      <c r="E6052" s="508">
        <v>0.20599999999999999</v>
      </c>
      <c r="F6052" s="508">
        <v>0.16700000000000001</v>
      </c>
      <c r="G6052" s="508">
        <v>0.152</v>
      </c>
      <c r="H6052" s="508">
        <v>0.126</v>
      </c>
      <c r="I6052" s="508">
        <v>0.12</v>
      </c>
      <c r="J6052" s="508">
        <v>0.105</v>
      </c>
      <c r="K6052" s="508">
        <v>0.08</v>
      </c>
      <c r="L6052" s="508">
        <v>7.8E-2</v>
      </c>
      <c r="M6052" s="508">
        <v>7.5999999999999998E-2</v>
      </c>
      <c r="N6052" s="508">
        <v>7.4999999999999997E-2</v>
      </c>
      <c r="O6052" s="508">
        <v>6.4000000000000001E-2</v>
      </c>
      <c r="P6052" s="508">
        <v>4.7E-2</v>
      </c>
      <c r="Q6052" s="508">
        <v>3.7999999999999999E-2</v>
      </c>
      <c r="R6052" s="508">
        <v>0.04</v>
      </c>
      <c r="S6052" s="508">
        <v>4.3999999999999997E-2</v>
      </c>
      <c r="T6052" s="508">
        <v>3.5999999999999997E-2</v>
      </c>
      <c r="U6052" s="508">
        <v>3.5999999999999997E-2</v>
      </c>
      <c r="V6052" s="508">
        <v>1.9E-2</v>
      </c>
      <c r="W6052" s="508">
        <v>2.4E-2</v>
      </c>
      <c r="X6052" s="508">
        <v>2.1000000000000001E-2</v>
      </c>
      <c r="Y6052" s="508">
        <v>2.1000000000000001E-2</v>
      </c>
      <c r="Z6052" s="508">
        <v>1.7000000000000001E-2</v>
      </c>
      <c r="AA6052" s="508">
        <v>1.7000000000000001E-2</v>
      </c>
      <c r="AB6052" s="508">
        <v>1.4999999999999999E-2</v>
      </c>
      <c r="AC6052" s="508">
        <v>1.4999999999999999E-2</v>
      </c>
      <c r="AD6052" s="508">
        <v>1.2999999999999999E-2</v>
      </c>
      <c r="AE6052" s="508">
        <v>1.2999999999999999E-2</v>
      </c>
      <c r="AF6052" s="508">
        <v>8.0000000000000002E-3</v>
      </c>
      <c r="AG6052" s="508">
        <v>8.0000000000000002E-3</v>
      </c>
      <c r="AH6052" s="508">
        <v>8.0000000000000002E-3</v>
      </c>
      <c r="AI6052" s="492">
        <v>8.0000000000000002E-3</v>
      </c>
      <c r="AJ6052" s="485"/>
    </row>
    <row r="6053" spans="2:36">
      <c r="B6053" s="136" t="s">
        <v>448</v>
      </c>
      <c r="C6053" s="132" t="s">
        <v>1376</v>
      </c>
      <c r="D6053" s="132" t="s">
        <v>285</v>
      </c>
      <c r="E6053" s="508">
        <v>0.23300000000000001</v>
      </c>
      <c r="F6053" s="508">
        <v>0.20100000000000001</v>
      </c>
      <c r="G6053" s="508">
        <v>0.184</v>
      </c>
      <c r="H6053" s="508">
        <v>0.15</v>
      </c>
      <c r="I6053" s="508">
        <v>0.14299999999999999</v>
      </c>
      <c r="J6053" s="508">
        <v>0.13400000000000001</v>
      </c>
      <c r="K6053" s="508">
        <v>9.2999999999999999E-2</v>
      </c>
      <c r="L6053" s="508">
        <v>0.09</v>
      </c>
      <c r="M6053" s="508">
        <v>8.7999999999999995E-2</v>
      </c>
      <c r="N6053" s="508">
        <v>9.6000000000000002E-2</v>
      </c>
      <c r="O6053" s="508">
        <v>8.2000000000000003E-2</v>
      </c>
      <c r="P6053" s="508">
        <v>5.8999999999999997E-2</v>
      </c>
      <c r="Q6053" s="508">
        <v>4.8000000000000001E-2</v>
      </c>
      <c r="R6053" s="508">
        <v>5.0999999999999997E-2</v>
      </c>
      <c r="S6053" s="508">
        <v>5.8000000000000003E-2</v>
      </c>
      <c r="T6053" s="508">
        <v>4.8000000000000001E-2</v>
      </c>
      <c r="U6053" s="508">
        <v>4.8000000000000001E-2</v>
      </c>
      <c r="V6053" s="508">
        <v>2.5000000000000001E-2</v>
      </c>
      <c r="W6053" s="508">
        <v>3.2000000000000001E-2</v>
      </c>
      <c r="X6053" s="508">
        <v>2.3E-2</v>
      </c>
      <c r="Y6053" s="508">
        <v>2.1999999999999999E-2</v>
      </c>
      <c r="Z6053" s="508">
        <v>1.7999999999999999E-2</v>
      </c>
      <c r="AA6053" s="508">
        <v>1.7999999999999999E-2</v>
      </c>
      <c r="AB6053" s="508">
        <v>1.6E-2</v>
      </c>
      <c r="AC6053" s="508">
        <v>1.6E-2</v>
      </c>
      <c r="AD6053" s="508">
        <v>1.4E-2</v>
      </c>
      <c r="AE6053" s="508">
        <v>1.4E-2</v>
      </c>
      <c r="AF6053" s="508">
        <v>8.9999999999999993E-3</v>
      </c>
      <c r="AG6053" s="508">
        <v>8.9999999999999993E-3</v>
      </c>
      <c r="AH6053" s="508">
        <v>8.9999999999999993E-3</v>
      </c>
      <c r="AI6053" s="492">
        <v>8.9999999999999993E-3</v>
      </c>
      <c r="AJ6053" s="485"/>
    </row>
    <row r="6054" spans="2:36">
      <c r="B6054" s="136" t="s">
        <v>449</v>
      </c>
      <c r="C6054" s="132" t="s">
        <v>1376</v>
      </c>
      <c r="D6054" s="132" t="s">
        <v>285</v>
      </c>
      <c r="E6054" s="508">
        <v>0.2</v>
      </c>
      <c r="F6054" s="508">
        <v>0.16</v>
      </c>
      <c r="G6054" s="508">
        <v>0.14499999999999999</v>
      </c>
      <c r="H6054" s="508">
        <v>0.122</v>
      </c>
      <c r="I6054" s="508">
        <v>0.11600000000000001</v>
      </c>
      <c r="J6054" s="508">
        <v>9.8000000000000004E-2</v>
      </c>
      <c r="K6054" s="508">
        <v>7.4999999999999997E-2</v>
      </c>
      <c r="L6054" s="508">
        <v>7.2999999999999995E-2</v>
      </c>
      <c r="M6054" s="508">
        <v>7.0999999999999994E-2</v>
      </c>
      <c r="N6054" s="508">
        <v>7.3999999999999996E-2</v>
      </c>
      <c r="O6054" s="508">
        <v>0.06</v>
      </c>
      <c r="P6054" s="508">
        <v>4.2999999999999997E-2</v>
      </c>
      <c r="Q6054" s="508">
        <v>3.5999999999999997E-2</v>
      </c>
      <c r="R6054" s="508">
        <v>3.7999999999999999E-2</v>
      </c>
      <c r="S6054" s="508">
        <v>0.04</v>
      </c>
      <c r="T6054" s="508">
        <v>3.3000000000000002E-2</v>
      </c>
      <c r="U6054" s="508">
        <v>3.2000000000000001E-2</v>
      </c>
      <c r="V6054" s="508">
        <v>1.7000000000000001E-2</v>
      </c>
      <c r="W6054" s="508">
        <v>2.1000000000000001E-2</v>
      </c>
      <c r="X6054" s="508">
        <v>1.9E-2</v>
      </c>
      <c r="Y6054" s="508">
        <v>1.9E-2</v>
      </c>
      <c r="Z6054" s="508">
        <v>1.4999999999999999E-2</v>
      </c>
      <c r="AA6054" s="508">
        <v>1.4999999999999999E-2</v>
      </c>
      <c r="AB6054" s="508">
        <v>1.4E-2</v>
      </c>
      <c r="AC6054" s="508">
        <v>1.2999999999999999E-2</v>
      </c>
      <c r="AD6054" s="508">
        <v>1.2E-2</v>
      </c>
      <c r="AE6054" s="508">
        <v>1.2E-2</v>
      </c>
      <c r="AF6054" s="508">
        <v>8.0000000000000002E-3</v>
      </c>
      <c r="AG6054" s="508">
        <v>8.0000000000000002E-3</v>
      </c>
      <c r="AH6054" s="508">
        <v>8.0000000000000002E-3</v>
      </c>
      <c r="AI6054" s="492">
        <v>8.0000000000000002E-3</v>
      </c>
      <c r="AJ6054" s="485"/>
    </row>
    <row r="6055" spans="2:36">
      <c r="B6055" s="136" t="s">
        <v>450</v>
      </c>
      <c r="C6055" s="132" t="s">
        <v>1376</v>
      </c>
      <c r="D6055" s="132" t="s">
        <v>285</v>
      </c>
      <c r="E6055" s="508">
        <v>0.38700000000000001</v>
      </c>
      <c r="F6055" s="508">
        <v>0.31900000000000001</v>
      </c>
      <c r="G6055" s="508">
        <v>0.28899999999999998</v>
      </c>
      <c r="H6055" s="508">
        <v>0.23899999999999999</v>
      </c>
      <c r="I6055" s="508">
        <v>0.22600000000000001</v>
      </c>
      <c r="J6055" s="508">
        <v>0.20100000000000001</v>
      </c>
      <c r="K6055" s="508">
        <v>0.14099999999999999</v>
      </c>
      <c r="L6055" s="508">
        <v>0.13700000000000001</v>
      </c>
      <c r="M6055" s="508">
        <v>0.13300000000000001</v>
      </c>
      <c r="N6055" s="508">
        <v>0.14899999999999999</v>
      </c>
      <c r="O6055" s="508">
        <v>0.11899999999999999</v>
      </c>
      <c r="P6055" s="508">
        <v>8.4000000000000005E-2</v>
      </c>
      <c r="Q6055" s="508">
        <v>7.0999999999999994E-2</v>
      </c>
      <c r="R6055" s="508">
        <v>7.4999999999999997E-2</v>
      </c>
      <c r="S6055" s="508">
        <v>8.1000000000000003E-2</v>
      </c>
      <c r="T6055" s="508">
        <v>6.7000000000000004E-2</v>
      </c>
      <c r="U6055" s="508">
        <v>6.2E-2</v>
      </c>
      <c r="V6055" s="508">
        <v>3.2000000000000001E-2</v>
      </c>
      <c r="W6055" s="508">
        <v>4.1000000000000002E-2</v>
      </c>
      <c r="X6055" s="508">
        <v>2.1000000000000001E-2</v>
      </c>
      <c r="Y6055" s="508">
        <v>0.02</v>
      </c>
      <c r="Z6055" s="508">
        <v>1.7000000000000001E-2</v>
      </c>
      <c r="AA6055" s="508">
        <v>1.6E-2</v>
      </c>
      <c r="AB6055" s="508">
        <v>1.4999999999999999E-2</v>
      </c>
      <c r="AC6055" s="508">
        <v>1.4999999999999999E-2</v>
      </c>
      <c r="AD6055" s="508">
        <v>1.2999999999999999E-2</v>
      </c>
      <c r="AE6055" s="508">
        <v>1.2999999999999999E-2</v>
      </c>
      <c r="AF6055" s="508">
        <v>8.0000000000000002E-3</v>
      </c>
      <c r="AG6055" s="508">
        <v>8.0000000000000002E-3</v>
      </c>
      <c r="AH6055" s="508">
        <v>8.0000000000000002E-3</v>
      </c>
      <c r="AI6055" s="492">
        <v>8.0000000000000002E-3</v>
      </c>
      <c r="AJ6055" s="485"/>
    </row>
    <row r="6056" spans="2:36">
      <c r="B6056" s="136" t="s">
        <v>451</v>
      </c>
      <c r="C6056" s="132" t="s">
        <v>1376</v>
      </c>
      <c r="D6056" s="132" t="s">
        <v>285</v>
      </c>
      <c r="E6056" s="508">
        <v>0.42399999999999999</v>
      </c>
      <c r="F6056" s="508">
        <v>0.34300000000000003</v>
      </c>
      <c r="G6056" s="508">
        <v>0.311</v>
      </c>
      <c r="H6056" s="508">
        <v>0.246</v>
      </c>
      <c r="I6056" s="508">
        <v>0.23300000000000001</v>
      </c>
      <c r="J6056" s="508">
        <v>0.214</v>
      </c>
      <c r="K6056" s="508">
        <v>0.16</v>
      </c>
      <c r="L6056" s="508">
        <v>0.155</v>
      </c>
      <c r="M6056" s="508">
        <v>0.151</v>
      </c>
      <c r="N6056" s="508">
        <v>0.13700000000000001</v>
      </c>
      <c r="O6056" s="508">
        <v>0.13</v>
      </c>
      <c r="P6056" s="508">
        <v>9.6000000000000002E-2</v>
      </c>
      <c r="Q6056" s="508">
        <v>7.3999999999999996E-2</v>
      </c>
      <c r="R6056" s="508">
        <v>7.8E-2</v>
      </c>
      <c r="S6056" s="508">
        <v>9.1999999999999998E-2</v>
      </c>
      <c r="T6056" s="508">
        <v>7.4999999999999997E-2</v>
      </c>
      <c r="U6056" s="508">
        <v>6.3E-2</v>
      </c>
      <c r="V6056" s="508">
        <v>3.3000000000000002E-2</v>
      </c>
      <c r="W6056" s="508">
        <v>4.2999999999999997E-2</v>
      </c>
      <c r="X6056" s="508">
        <v>2.1000000000000001E-2</v>
      </c>
      <c r="Y6056" s="508">
        <v>2.1000000000000001E-2</v>
      </c>
      <c r="Z6056" s="508">
        <v>1.7000000000000001E-2</v>
      </c>
      <c r="AA6056" s="508">
        <v>1.7000000000000001E-2</v>
      </c>
      <c r="AB6056" s="508">
        <v>1.4999999999999999E-2</v>
      </c>
      <c r="AC6056" s="508">
        <v>1.4999999999999999E-2</v>
      </c>
      <c r="AD6056" s="508">
        <v>1.2999999999999999E-2</v>
      </c>
      <c r="AE6056" s="508">
        <v>1.2999999999999999E-2</v>
      </c>
      <c r="AF6056" s="508">
        <v>8.0000000000000002E-3</v>
      </c>
      <c r="AG6056" s="508">
        <v>8.0000000000000002E-3</v>
      </c>
      <c r="AH6056" s="508">
        <v>8.0000000000000002E-3</v>
      </c>
      <c r="AI6056" s="492">
        <v>8.0000000000000002E-3</v>
      </c>
      <c r="AJ6056" s="485"/>
    </row>
    <row r="6057" spans="2:36">
      <c r="B6057" s="136" t="s">
        <v>452</v>
      </c>
      <c r="C6057" s="132" t="s">
        <v>1376</v>
      </c>
      <c r="D6057" s="132" t="s">
        <v>285</v>
      </c>
      <c r="E6057" s="508">
        <v>0.36099999999999999</v>
      </c>
      <c r="F6057" s="508">
        <v>0.29199999999999998</v>
      </c>
      <c r="G6057" s="508">
        <v>0.26400000000000001</v>
      </c>
      <c r="H6057" s="508">
        <v>0.218</v>
      </c>
      <c r="I6057" s="508">
        <v>0.20699999999999999</v>
      </c>
      <c r="J6057" s="508">
        <v>0.18</v>
      </c>
      <c r="K6057" s="508">
        <v>0.13200000000000001</v>
      </c>
      <c r="L6057" s="508">
        <v>0.127</v>
      </c>
      <c r="M6057" s="508">
        <v>0.124</v>
      </c>
      <c r="N6057" s="508">
        <v>0.13200000000000001</v>
      </c>
      <c r="O6057" s="508">
        <v>0.107</v>
      </c>
      <c r="P6057" s="508">
        <v>7.5999999999999998E-2</v>
      </c>
      <c r="Q6057" s="508">
        <v>6.4000000000000001E-2</v>
      </c>
      <c r="R6057" s="508">
        <v>6.7000000000000004E-2</v>
      </c>
      <c r="S6057" s="508">
        <v>7.2999999999999995E-2</v>
      </c>
      <c r="T6057" s="508">
        <v>0.06</v>
      </c>
      <c r="U6057" s="508">
        <v>5.2999999999999999E-2</v>
      </c>
      <c r="V6057" s="508">
        <v>2.8000000000000001E-2</v>
      </c>
      <c r="W6057" s="508">
        <v>3.5000000000000003E-2</v>
      </c>
      <c r="X6057" s="508">
        <v>1.9E-2</v>
      </c>
      <c r="Y6057" s="508">
        <v>1.9E-2</v>
      </c>
      <c r="Z6057" s="508">
        <v>1.6E-2</v>
      </c>
      <c r="AA6057" s="508">
        <v>1.6E-2</v>
      </c>
      <c r="AB6057" s="508">
        <v>1.4E-2</v>
      </c>
      <c r="AC6057" s="508">
        <v>1.4E-2</v>
      </c>
      <c r="AD6057" s="508">
        <v>1.2E-2</v>
      </c>
      <c r="AE6057" s="508">
        <v>1.2E-2</v>
      </c>
      <c r="AF6057" s="508">
        <v>8.0000000000000002E-3</v>
      </c>
      <c r="AG6057" s="508">
        <v>8.0000000000000002E-3</v>
      </c>
      <c r="AH6057" s="508">
        <v>8.0000000000000002E-3</v>
      </c>
      <c r="AI6057" s="492">
        <v>8.0000000000000002E-3</v>
      </c>
      <c r="AJ6057" s="485"/>
    </row>
    <row r="6058" spans="2:36">
      <c r="B6058" s="136" t="s">
        <v>453</v>
      </c>
      <c r="C6058" s="132" t="s">
        <v>1376</v>
      </c>
      <c r="D6058" s="132" t="s">
        <v>285</v>
      </c>
      <c r="E6058" s="508">
        <v>0.378</v>
      </c>
      <c r="F6058" s="508">
        <v>0.314</v>
      </c>
      <c r="G6058" s="508">
        <v>0.28499999999999998</v>
      </c>
      <c r="H6058" s="508">
        <v>0.23599999999999999</v>
      </c>
      <c r="I6058" s="508">
        <v>0.223</v>
      </c>
      <c r="J6058" s="508">
        <v>0.19800000000000001</v>
      </c>
      <c r="K6058" s="508">
        <v>0.13800000000000001</v>
      </c>
      <c r="L6058" s="508">
        <v>0.13400000000000001</v>
      </c>
      <c r="M6058" s="508">
        <v>0.13</v>
      </c>
      <c r="N6058" s="508">
        <v>0.14899999999999999</v>
      </c>
      <c r="O6058" s="508">
        <v>0.11700000000000001</v>
      </c>
      <c r="P6058" s="508">
        <v>8.2000000000000003E-2</v>
      </c>
      <c r="Q6058" s="508">
        <v>7.0999999999999994E-2</v>
      </c>
      <c r="R6058" s="508">
        <v>7.3999999999999996E-2</v>
      </c>
      <c r="S6058" s="508">
        <v>0.08</v>
      </c>
      <c r="T6058" s="508">
        <v>6.7000000000000004E-2</v>
      </c>
      <c r="U6058" s="508">
        <v>6.3E-2</v>
      </c>
      <c r="V6058" s="508">
        <v>3.3000000000000002E-2</v>
      </c>
      <c r="W6058" s="508">
        <v>4.2000000000000003E-2</v>
      </c>
      <c r="X6058" s="508">
        <v>2.1000000000000001E-2</v>
      </c>
      <c r="Y6058" s="508">
        <v>2.1000000000000001E-2</v>
      </c>
      <c r="Z6058" s="508">
        <v>1.7000000000000001E-2</v>
      </c>
      <c r="AA6058" s="508">
        <v>1.7000000000000001E-2</v>
      </c>
      <c r="AB6058" s="508">
        <v>1.4999999999999999E-2</v>
      </c>
      <c r="AC6058" s="508">
        <v>1.4999999999999999E-2</v>
      </c>
      <c r="AD6058" s="508">
        <v>1.2999999999999999E-2</v>
      </c>
      <c r="AE6058" s="508">
        <v>1.2999999999999999E-2</v>
      </c>
      <c r="AF6058" s="508">
        <v>8.0000000000000002E-3</v>
      </c>
      <c r="AG6058" s="508">
        <v>8.0000000000000002E-3</v>
      </c>
      <c r="AH6058" s="508">
        <v>8.0000000000000002E-3</v>
      </c>
      <c r="AI6058" s="492">
        <v>8.0000000000000002E-3</v>
      </c>
      <c r="AJ6058" s="485"/>
    </row>
    <row r="6059" spans="2:36">
      <c r="B6059" s="136" t="s">
        <v>454</v>
      </c>
      <c r="C6059" s="132" t="s">
        <v>1376</v>
      </c>
      <c r="D6059" s="132" t="s">
        <v>285</v>
      </c>
      <c r="E6059" s="508">
        <v>0.30199999999999999</v>
      </c>
      <c r="F6059" s="508">
        <v>0.254</v>
      </c>
      <c r="G6059" s="508">
        <v>0.23200000000000001</v>
      </c>
      <c r="H6059" s="508">
        <v>0.19</v>
      </c>
      <c r="I6059" s="508">
        <v>0.18</v>
      </c>
      <c r="J6059" s="508">
        <v>0.16500000000000001</v>
      </c>
      <c r="K6059" s="508">
        <v>0.115</v>
      </c>
      <c r="L6059" s="508">
        <v>0.111</v>
      </c>
      <c r="M6059" s="508">
        <v>0.109</v>
      </c>
      <c r="N6059" s="508">
        <v>0.11899999999999999</v>
      </c>
      <c r="O6059" s="508">
        <v>9.9000000000000005E-2</v>
      </c>
      <c r="P6059" s="508">
        <v>7.0999999999999994E-2</v>
      </c>
      <c r="Q6059" s="508">
        <v>5.8999999999999997E-2</v>
      </c>
      <c r="R6059" s="508">
        <v>6.2E-2</v>
      </c>
      <c r="S6059" s="508">
        <v>6.9000000000000006E-2</v>
      </c>
      <c r="T6059" s="508">
        <v>5.7000000000000002E-2</v>
      </c>
      <c r="U6059" s="508">
        <v>5.3999999999999999E-2</v>
      </c>
      <c r="V6059" s="508">
        <v>2.8000000000000001E-2</v>
      </c>
      <c r="W6059" s="508">
        <v>3.5999999999999997E-2</v>
      </c>
      <c r="X6059" s="508">
        <v>2.1000000000000001E-2</v>
      </c>
      <c r="Y6059" s="508">
        <v>2.1000000000000001E-2</v>
      </c>
      <c r="Z6059" s="508">
        <v>1.7000000000000001E-2</v>
      </c>
      <c r="AA6059" s="508">
        <v>1.7000000000000001E-2</v>
      </c>
      <c r="AB6059" s="508">
        <v>1.4999999999999999E-2</v>
      </c>
      <c r="AC6059" s="508">
        <v>1.4999999999999999E-2</v>
      </c>
      <c r="AD6059" s="508">
        <v>1.2999999999999999E-2</v>
      </c>
      <c r="AE6059" s="508">
        <v>1.2999999999999999E-2</v>
      </c>
      <c r="AF6059" s="508">
        <v>8.9999999999999993E-3</v>
      </c>
      <c r="AG6059" s="508">
        <v>8.9999999999999993E-3</v>
      </c>
      <c r="AH6059" s="508">
        <v>8.0000000000000002E-3</v>
      </c>
      <c r="AI6059" s="492">
        <v>8.0000000000000002E-3</v>
      </c>
      <c r="AJ6059" s="485"/>
    </row>
    <row r="6060" spans="2:36">
      <c r="B6060" s="136" t="s">
        <v>455</v>
      </c>
      <c r="C6060" s="132" t="s">
        <v>1376</v>
      </c>
      <c r="D6060" s="132" t="s">
        <v>285</v>
      </c>
      <c r="E6060" s="508">
        <v>0.28899999999999998</v>
      </c>
      <c r="F6060" s="508">
        <v>0.255</v>
      </c>
      <c r="G6060" s="508">
        <v>0.23499999999999999</v>
      </c>
      <c r="H6060" s="508">
        <v>0.188</v>
      </c>
      <c r="I6060" s="508">
        <v>0.18</v>
      </c>
      <c r="J6060" s="508">
        <v>0.17499999999999999</v>
      </c>
      <c r="K6060" s="508">
        <v>0.11700000000000001</v>
      </c>
      <c r="L6060" s="508">
        <v>0.114</v>
      </c>
      <c r="M6060" s="508">
        <v>0.111</v>
      </c>
      <c r="N6060" s="508">
        <v>0.12</v>
      </c>
      <c r="O6060" s="508">
        <v>0.107</v>
      </c>
      <c r="P6060" s="508">
        <v>7.5999999999999998E-2</v>
      </c>
      <c r="Q6060" s="508">
        <v>6.2E-2</v>
      </c>
      <c r="R6060" s="508">
        <v>6.6000000000000003E-2</v>
      </c>
      <c r="S6060" s="508">
        <v>7.6999999999999999E-2</v>
      </c>
      <c r="T6060" s="508">
        <v>6.4000000000000001E-2</v>
      </c>
      <c r="U6060" s="508">
        <v>5.6000000000000001E-2</v>
      </c>
      <c r="V6060" s="508">
        <v>2.8000000000000001E-2</v>
      </c>
      <c r="W6060" s="508">
        <v>3.6999999999999998E-2</v>
      </c>
      <c r="X6060" s="508">
        <v>2.1000000000000001E-2</v>
      </c>
      <c r="Y6060" s="508">
        <v>2.1000000000000001E-2</v>
      </c>
      <c r="Z6060" s="508">
        <v>1.7000000000000001E-2</v>
      </c>
      <c r="AA6060" s="508">
        <v>1.7000000000000001E-2</v>
      </c>
      <c r="AB6060" s="508">
        <v>1.4999999999999999E-2</v>
      </c>
      <c r="AC6060" s="508">
        <v>1.4999999999999999E-2</v>
      </c>
      <c r="AD6060" s="508">
        <v>1.4E-2</v>
      </c>
      <c r="AE6060" s="508">
        <v>1.4E-2</v>
      </c>
      <c r="AF6060" s="508">
        <v>8.9999999999999993E-3</v>
      </c>
      <c r="AG6060" s="508">
        <v>8.9999999999999993E-3</v>
      </c>
      <c r="AH6060" s="508">
        <v>8.9999999999999993E-3</v>
      </c>
      <c r="AI6060" s="492">
        <v>8.9999999999999993E-3</v>
      </c>
      <c r="AJ6060" s="485"/>
    </row>
    <row r="6061" spans="2:36">
      <c r="B6061" s="136" t="s">
        <v>456</v>
      </c>
      <c r="C6061" s="132" t="s">
        <v>1376</v>
      </c>
      <c r="D6061" s="132" t="s">
        <v>285</v>
      </c>
      <c r="E6061" s="508">
        <v>0.19400000000000001</v>
      </c>
      <c r="F6061" s="508">
        <v>0.16700000000000001</v>
      </c>
      <c r="G6061" s="508">
        <v>0.153</v>
      </c>
      <c r="H6061" s="508">
        <v>0.126</v>
      </c>
      <c r="I6061" s="508">
        <v>0.121</v>
      </c>
      <c r="J6061" s="508">
        <v>0.112</v>
      </c>
      <c r="K6061" s="508">
        <v>7.8E-2</v>
      </c>
      <c r="L6061" s="508">
        <v>7.5999999999999998E-2</v>
      </c>
      <c r="M6061" s="508">
        <v>7.4999999999999997E-2</v>
      </c>
      <c r="N6061" s="508">
        <v>0.08</v>
      </c>
      <c r="O6061" s="508">
        <v>6.8000000000000005E-2</v>
      </c>
      <c r="P6061" s="508">
        <v>4.9000000000000002E-2</v>
      </c>
      <c r="Q6061" s="508">
        <v>0.04</v>
      </c>
      <c r="R6061" s="508">
        <v>4.2999999999999997E-2</v>
      </c>
      <c r="S6061" s="508">
        <v>4.9000000000000002E-2</v>
      </c>
      <c r="T6061" s="508">
        <v>0.04</v>
      </c>
      <c r="U6061" s="508">
        <v>0.04</v>
      </c>
      <c r="V6061" s="508">
        <v>2.1000000000000001E-2</v>
      </c>
      <c r="W6061" s="508">
        <v>2.7E-2</v>
      </c>
      <c r="X6061" s="508">
        <v>2.1999999999999999E-2</v>
      </c>
      <c r="Y6061" s="508">
        <v>2.1999999999999999E-2</v>
      </c>
      <c r="Z6061" s="508">
        <v>1.7999999999999999E-2</v>
      </c>
      <c r="AA6061" s="508">
        <v>1.7999999999999999E-2</v>
      </c>
      <c r="AB6061" s="508">
        <v>1.6E-2</v>
      </c>
      <c r="AC6061" s="508">
        <v>1.6E-2</v>
      </c>
      <c r="AD6061" s="508">
        <v>1.4E-2</v>
      </c>
      <c r="AE6061" s="508">
        <v>1.4E-2</v>
      </c>
      <c r="AF6061" s="508">
        <v>8.9999999999999993E-3</v>
      </c>
      <c r="AG6061" s="508">
        <v>8.9999999999999993E-3</v>
      </c>
      <c r="AH6061" s="508">
        <v>8.9999999999999993E-3</v>
      </c>
      <c r="AI6061" s="492">
        <v>8.9999999999999993E-3</v>
      </c>
      <c r="AJ6061" s="485"/>
    </row>
    <row r="6062" spans="2:36">
      <c r="B6062" s="136" t="s">
        <v>457</v>
      </c>
      <c r="C6062" s="132" t="s">
        <v>1376</v>
      </c>
      <c r="D6062" s="132" t="s">
        <v>285</v>
      </c>
      <c r="E6062" s="508">
        <v>0.42799999999999999</v>
      </c>
      <c r="F6062" s="508">
        <v>0.35599999999999998</v>
      </c>
      <c r="G6062" s="508">
        <v>0.32200000000000001</v>
      </c>
      <c r="H6062" s="508">
        <v>0.26800000000000002</v>
      </c>
      <c r="I6062" s="508">
        <v>0.254</v>
      </c>
      <c r="J6062" s="508">
        <v>0.223</v>
      </c>
      <c r="K6062" s="508">
        <v>0.153</v>
      </c>
      <c r="L6062" s="508">
        <v>0.14799999999999999</v>
      </c>
      <c r="M6062" s="508">
        <v>0.14399999999999999</v>
      </c>
      <c r="N6062" s="508">
        <v>0.17199999999999999</v>
      </c>
      <c r="O6062" s="508">
        <v>0.13100000000000001</v>
      </c>
      <c r="P6062" s="508">
        <v>9.0999999999999998E-2</v>
      </c>
      <c r="Q6062" s="508">
        <v>0.08</v>
      </c>
      <c r="R6062" s="508">
        <v>8.4000000000000005E-2</v>
      </c>
      <c r="S6062" s="508">
        <v>8.8999999999999996E-2</v>
      </c>
      <c r="T6062" s="508">
        <v>7.3999999999999996E-2</v>
      </c>
      <c r="U6062" s="508">
        <v>7.4999999999999997E-2</v>
      </c>
      <c r="V6062" s="508">
        <v>3.9E-2</v>
      </c>
      <c r="W6062" s="508">
        <v>4.9000000000000002E-2</v>
      </c>
      <c r="X6062" s="508">
        <v>2.3E-2</v>
      </c>
      <c r="Y6062" s="508">
        <v>2.1999999999999999E-2</v>
      </c>
      <c r="Z6062" s="508">
        <v>1.7999999999999999E-2</v>
      </c>
      <c r="AA6062" s="508">
        <v>1.7999999999999999E-2</v>
      </c>
      <c r="AB6062" s="508">
        <v>1.6E-2</v>
      </c>
      <c r="AC6062" s="508">
        <v>1.6E-2</v>
      </c>
      <c r="AD6062" s="508">
        <v>1.4E-2</v>
      </c>
      <c r="AE6062" s="508">
        <v>1.4E-2</v>
      </c>
      <c r="AF6062" s="508">
        <v>8.9999999999999993E-3</v>
      </c>
      <c r="AG6062" s="508">
        <v>8.9999999999999993E-3</v>
      </c>
      <c r="AH6062" s="508">
        <v>8.9999999999999993E-3</v>
      </c>
      <c r="AI6062" s="492">
        <v>8.9999999999999993E-3</v>
      </c>
      <c r="AJ6062" s="485"/>
    </row>
    <row r="6063" spans="2:36">
      <c r="B6063" s="136" t="s">
        <v>458</v>
      </c>
      <c r="C6063" s="132" t="s">
        <v>1376</v>
      </c>
      <c r="D6063" s="132" t="s">
        <v>285</v>
      </c>
      <c r="E6063" s="508">
        <v>0.33</v>
      </c>
      <c r="F6063" s="508">
        <v>0.28699999999999998</v>
      </c>
      <c r="G6063" s="508">
        <v>0.26300000000000001</v>
      </c>
      <c r="H6063" s="508">
        <v>0.20499999999999999</v>
      </c>
      <c r="I6063" s="508">
        <v>0.19500000000000001</v>
      </c>
      <c r="J6063" s="508">
        <v>0.19400000000000001</v>
      </c>
      <c r="K6063" s="508">
        <v>0.13400000000000001</v>
      </c>
      <c r="L6063" s="508">
        <v>0.13</v>
      </c>
      <c r="M6063" s="508">
        <v>0.127</v>
      </c>
      <c r="N6063" s="508">
        <v>0.124</v>
      </c>
      <c r="O6063" s="508">
        <v>0.11899999999999999</v>
      </c>
      <c r="P6063" s="508">
        <v>8.7999999999999995E-2</v>
      </c>
      <c r="Q6063" s="508">
        <v>6.8000000000000005E-2</v>
      </c>
      <c r="R6063" s="508">
        <v>7.1999999999999995E-2</v>
      </c>
      <c r="S6063" s="508">
        <v>8.7999999999999995E-2</v>
      </c>
      <c r="T6063" s="508">
        <v>7.1999999999999995E-2</v>
      </c>
      <c r="U6063" s="508">
        <v>6.6000000000000003E-2</v>
      </c>
      <c r="V6063" s="508">
        <v>3.3000000000000002E-2</v>
      </c>
      <c r="W6063" s="508">
        <v>4.3999999999999997E-2</v>
      </c>
      <c r="X6063" s="508">
        <v>2.4E-2</v>
      </c>
      <c r="Y6063" s="508">
        <v>2.4E-2</v>
      </c>
      <c r="Z6063" s="508">
        <v>0.02</v>
      </c>
      <c r="AA6063" s="508">
        <v>1.9E-2</v>
      </c>
      <c r="AB6063" s="508">
        <v>1.7000000000000001E-2</v>
      </c>
      <c r="AC6063" s="508">
        <v>1.7000000000000001E-2</v>
      </c>
      <c r="AD6063" s="508">
        <v>1.4999999999999999E-2</v>
      </c>
      <c r="AE6063" s="508">
        <v>1.4999999999999999E-2</v>
      </c>
      <c r="AF6063" s="508">
        <v>0.01</v>
      </c>
      <c r="AG6063" s="508">
        <v>0.01</v>
      </c>
      <c r="AH6063" s="508">
        <v>0.01</v>
      </c>
      <c r="AI6063" s="492">
        <v>0.01</v>
      </c>
      <c r="AJ6063" s="485"/>
    </row>
    <row r="6064" spans="2:36">
      <c r="B6064" s="136" t="s">
        <v>459</v>
      </c>
      <c r="C6064" s="132" t="s">
        <v>1376</v>
      </c>
      <c r="D6064" s="132" t="s">
        <v>285</v>
      </c>
      <c r="E6064" s="508">
        <v>0.42399999999999999</v>
      </c>
      <c r="F6064" s="508">
        <v>0.36499999999999999</v>
      </c>
      <c r="G6064" s="508">
        <v>0.33300000000000002</v>
      </c>
      <c r="H6064" s="508">
        <v>0.25900000000000001</v>
      </c>
      <c r="I6064" s="508">
        <v>0.246</v>
      </c>
      <c r="J6064" s="508">
        <v>0.24299999999999999</v>
      </c>
      <c r="K6064" s="508">
        <v>0.16700000000000001</v>
      </c>
      <c r="L6064" s="508">
        <v>0.16300000000000001</v>
      </c>
      <c r="M6064" s="508">
        <v>0.159</v>
      </c>
      <c r="N6064" s="508">
        <v>0.154</v>
      </c>
      <c r="O6064" s="508">
        <v>0.14799999999999999</v>
      </c>
      <c r="P6064" s="508">
        <v>0.108</v>
      </c>
      <c r="Q6064" s="508">
        <v>8.4000000000000005E-2</v>
      </c>
      <c r="R6064" s="508">
        <v>8.8999999999999996E-2</v>
      </c>
      <c r="S6064" s="508">
        <v>0.108</v>
      </c>
      <c r="T6064" s="508">
        <v>8.7999999999999995E-2</v>
      </c>
      <c r="U6064" s="508">
        <v>7.9000000000000001E-2</v>
      </c>
      <c r="V6064" s="508">
        <v>0.04</v>
      </c>
      <c r="W6064" s="508">
        <v>5.2999999999999999E-2</v>
      </c>
      <c r="X6064" s="508">
        <v>2.4E-2</v>
      </c>
      <c r="Y6064" s="508">
        <v>2.4E-2</v>
      </c>
      <c r="Z6064" s="508">
        <v>1.9E-2</v>
      </c>
      <c r="AA6064" s="508">
        <v>1.9E-2</v>
      </c>
      <c r="AB6064" s="508">
        <v>1.7000000000000001E-2</v>
      </c>
      <c r="AC6064" s="508">
        <v>1.7000000000000001E-2</v>
      </c>
      <c r="AD6064" s="508">
        <v>1.4999999999999999E-2</v>
      </c>
      <c r="AE6064" s="508">
        <v>1.4999999999999999E-2</v>
      </c>
      <c r="AF6064" s="508">
        <v>0.01</v>
      </c>
      <c r="AG6064" s="508">
        <v>0.01</v>
      </c>
      <c r="AH6064" s="508">
        <v>0.01</v>
      </c>
      <c r="AI6064" s="492">
        <v>0.01</v>
      </c>
      <c r="AJ6064" s="485"/>
    </row>
    <row r="6065" spans="2:36">
      <c r="B6065" s="136" t="s">
        <v>460</v>
      </c>
      <c r="C6065" s="132" t="s">
        <v>1376</v>
      </c>
      <c r="D6065" s="132" t="s">
        <v>285</v>
      </c>
      <c r="E6065" s="508">
        <v>0.42799999999999999</v>
      </c>
      <c r="F6065" s="508">
        <v>0.35699999999999998</v>
      </c>
      <c r="G6065" s="508">
        <v>0.32400000000000001</v>
      </c>
      <c r="H6065" s="508">
        <v>0.26</v>
      </c>
      <c r="I6065" s="508">
        <v>0.246</v>
      </c>
      <c r="J6065" s="508">
        <v>0.22900000000000001</v>
      </c>
      <c r="K6065" s="508">
        <v>0.16200000000000001</v>
      </c>
      <c r="L6065" s="508">
        <v>0.157</v>
      </c>
      <c r="M6065" s="508">
        <v>0.153</v>
      </c>
      <c r="N6065" s="508">
        <v>0.155</v>
      </c>
      <c r="O6065" s="508">
        <v>0.13800000000000001</v>
      </c>
      <c r="P6065" s="508">
        <v>9.9000000000000005E-2</v>
      </c>
      <c r="Q6065" s="508">
        <v>0.08</v>
      </c>
      <c r="R6065" s="508">
        <v>8.4000000000000005E-2</v>
      </c>
      <c r="S6065" s="508">
        <v>9.7000000000000003E-2</v>
      </c>
      <c r="T6065" s="508">
        <v>0.08</v>
      </c>
      <c r="U6065" s="508">
        <v>7.0000000000000007E-2</v>
      </c>
      <c r="V6065" s="508">
        <v>3.5999999999999997E-2</v>
      </c>
      <c r="W6065" s="508">
        <v>4.7E-2</v>
      </c>
      <c r="X6065" s="508">
        <v>2.1999999999999999E-2</v>
      </c>
      <c r="Y6065" s="508">
        <v>2.1000000000000001E-2</v>
      </c>
      <c r="Z6065" s="508">
        <v>1.7000000000000001E-2</v>
      </c>
      <c r="AA6065" s="508">
        <v>1.7000000000000001E-2</v>
      </c>
      <c r="AB6065" s="508">
        <v>1.4999999999999999E-2</v>
      </c>
      <c r="AC6065" s="508">
        <v>1.4999999999999999E-2</v>
      </c>
      <c r="AD6065" s="508">
        <v>1.4E-2</v>
      </c>
      <c r="AE6065" s="508">
        <v>1.4E-2</v>
      </c>
      <c r="AF6065" s="508">
        <v>8.9999999999999993E-3</v>
      </c>
      <c r="AG6065" s="508">
        <v>8.9999999999999993E-3</v>
      </c>
      <c r="AH6065" s="508">
        <v>8.9999999999999993E-3</v>
      </c>
      <c r="AI6065" s="492">
        <v>8.9999999999999993E-3</v>
      </c>
      <c r="AJ6065" s="485"/>
    </row>
    <row r="6066" spans="2:36">
      <c r="B6066" s="136" t="s">
        <v>461</v>
      </c>
      <c r="C6066" s="132" t="s">
        <v>1376</v>
      </c>
      <c r="D6066" s="132" t="s">
        <v>285</v>
      </c>
      <c r="E6066" s="508">
        <v>0.47499999999999998</v>
      </c>
      <c r="F6066" s="508">
        <v>0.38700000000000001</v>
      </c>
      <c r="G6066" s="508">
        <v>0.34899999999999998</v>
      </c>
      <c r="H6066" s="508">
        <v>0.28399999999999997</v>
      </c>
      <c r="I6066" s="508">
        <v>0.26900000000000002</v>
      </c>
      <c r="J6066" s="508">
        <v>0.23899999999999999</v>
      </c>
      <c r="K6066" s="508">
        <v>0.17</v>
      </c>
      <c r="L6066" s="508">
        <v>0.16400000000000001</v>
      </c>
      <c r="M6066" s="508">
        <v>0.16</v>
      </c>
      <c r="N6066" s="508">
        <v>0.17199999999999999</v>
      </c>
      <c r="O6066" s="508">
        <v>0.14099999999999999</v>
      </c>
      <c r="P6066" s="508">
        <v>0.10100000000000001</v>
      </c>
      <c r="Q6066" s="508">
        <v>8.4000000000000005E-2</v>
      </c>
      <c r="R6066" s="508">
        <v>8.7999999999999995E-2</v>
      </c>
      <c r="S6066" s="508">
        <v>9.7000000000000003E-2</v>
      </c>
      <c r="T6066" s="508">
        <v>0.08</v>
      </c>
      <c r="U6066" s="508">
        <v>7.5999999999999998E-2</v>
      </c>
      <c r="V6066" s="508">
        <v>0.04</v>
      </c>
      <c r="W6066" s="508">
        <v>0.05</v>
      </c>
      <c r="X6066" s="508">
        <v>2.1999999999999999E-2</v>
      </c>
      <c r="Y6066" s="508">
        <v>2.1999999999999999E-2</v>
      </c>
      <c r="Z6066" s="508">
        <v>1.7999999999999999E-2</v>
      </c>
      <c r="AA6066" s="508">
        <v>1.7999999999999999E-2</v>
      </c>
      <c r="AB6066" s="508">
        <v>1.6E-2</v>
      </c>
      <c r="AC6066" s="508">
        <v>1.6E-2</v>
      </c>
      <c r="AD6066" s="508">
        <v>1.4E-2</v>
      </c>
      <c r="AE6066" s="508">
        <v>1.4E-2</v>
      </c>
      <c r="AF6066" s="508">
        <v>8.9999999999999993E-3</v>
      </c>
      <c r="AG6066" s="508">
        <v>8.9999999999999993E-3</v>
      </c>
      <c r="AH6066" s="508">
        <v>8.9999999999999993E-3</v>
      </c>
      <c r="AI6066" s="492">
        <v>8.9999999999999993E-3</v>
      </c>
      <c r="AJ6066" s="485"/>
    </row>
    <row r="6067" spans="2:36">
      <c r="B6067" s="136" t="s">
        <v>462</v>
      </c>
      <c r="C6067" s="132" t="s">
        <v>1376</v>
      </c>
      <c r="D6067" s="132" t="s">
        <v>285</v>
      </c>
      <c r="E6067" s="508">
        <v>0.20399999999999999</v>
      </c>
      <c r="F6067" s="508">
        <v>0.16600000000000001</v>
      </c>
      <c r="G6067" s="508">
        <v>0.151</v>
      </c>
      <c r="H6067" s="508">
        <v>0.13</v>
      </c>
      <c r="I6067" s="508">
        <v>0.124</v>
      </c>
      <c r="J6067" s="508">
        <v>0.10299999999999999</v>
      </c>
      <c r="K6067" s="508">
        <v>7.3999999999999996E-2</v>
      </c>
      <c r="L6067" s="508">
        <v>7.1999999999999995E-2</v>
      </c>
      <c r="M6067" s="508">
        <v>7.0000000000000007E-2</v>
      </c>
      <c r="N6067" s="508">
        <v>8.5000000000000006E-2</v>
      </c>
      <c r="O6067" s="508">
        <v>6.0999999999999999E-2</v>
      </c>
      <c r="P6067" s="508">
        <v>4.2999999999999997E-2</v>
      </c>
      <c r="Q6067" s="508">
        <v>3.7999999999999999E-2</v>
      </c>
      <c r="R6067" s="508">
        <v>0.04</v>
      </c>
      <c r="S6067" s="508">
        <v>4.1000000000000002E-2</v>
      </c>
      <c r="T6067" s="508">
        <v>3.4000000000000002E-2</v>
      </c>
      <c r="U6067" s="508">
        <v>3.5000000000000003E-2</v>
      </c>
      <c r="V6067" s="508">
        <v>1.9E-2</v>
      </c>
      <c r="W6067" s="508">
        <v>2.3E-2</v>
      </c>
      <c r="X6067" s="508">
        <v>1.9E-2</v>
      </c>
      <c r="Y6067" s="508">
        <v>1.9E-2</v>
      </c>
      <c r="Z6067" s="508">
        <v>1.6E-2</v>
      </c>
      <c r="AA6067" s="508">
        <v>1.6E-2</v>
      </c>
      <c r="AB6067" s="508">
        <v>1.4E-2</v>
      </c>
      <c r="AC6067" s="508">
        <v>1.4E-2</v>
      </c>
      <c r="AD6067" s="508">
        <v>1.2E-2</v>
      </c>
      <c r="AE6067" s="508">
        <v>1.2E-2</v>
      </c>
      <c r="AF6067" s="508">
        <v>8.0000000000000002E-3</v>
      </c>
      <c r="AG6067" s="508">
        <v>8.0000000000000002E-3</v>
      </c>
      <c r="AH6067" s="508">
        <v>8.0000000000000002E-3</v>
      </c>
      <c r="AI6067" s="492">
        <v>8.0000000000000002E-3</v>
      </c>
      <c r="AJ6067" s="485"/>
    </row>
    <row r="6068" spans="2:36">
      <c r="B6068" s="136" t="s">
        <v>463</v>
      </c>
      <c r="C6068" s="132" t="s">
        <v>1376</v>
      </c>
      <c r="D6068" s="132" t="s">
        <v>285</v>
      </c>
      <c r="E6068" s="508">
        <v>0.30199999999999999</v>
      </c>
      <c r="F6068" s="508">
        <v>0.26900000000000002</v>
      </c>
      <c r="G6068" s="508">
        <v>0.248</v>
      </c>
      <c r="H6068" s="508">
        <v>0.19500000000000001</v>
      </c>
      <c r="I6068" s="508">
        <v>0.187</v>
      </c>
      <c r="J6068" s="508">
        <v>0.186</v>
      </c>
      <c r="K6068" s="508">
        <v>0.123</v>
      </c>
      <c r="L6068" s="508">
        <v>0.12</v>
      </c>
      <c r="M6068" s="508">
        <v>0.11700000000000001</v>
      </c>
      <c r="N6068" s="508">
        <v>0.124</v>
      </c>
      <c r="O6068" s="508">
        <v>0.114</v>
      </c>
      <c r="P6068" s="508">
        <v>8.2000000000000003E-2</v>
      </c>
      <c r="Q6068" s="508">
        <v>6.5000000000000002E-2</v>
      </c>
      <c r="R6068" s="508">
        <v>7.0000000000000007E-2</v>
      </c>
      <c r="S6068" s="508">
        <v>8.4000000000000005E-2</v>
      </c>
      <c r="T6068" s="508">
        <v>6.9000000000000006E-2</v>
      </c>
      <c r="U6068" s="508">
        <v>6.3E-2</v>
      </c>
      <c r="V6068" s="508">
        <v>3.1E-2</v>
      </c>
      <c r="W6068" s="508">
        <v>4.2000000000000003E-2</v>
      </c>
      <c r="X6068" s="508">
        <v>2.3E-2</v>
      </c>
      <c r="Y6068" s="508">
        <v>2.3E-2</v>
      </c>
      <c r="Z6068" s="508">
        <v>1.9E-2</v>
      </c>
      <c r="AA6068" s="508">
        <v>1.9E-2</v>
      </c>
      <c r="AB6068" s="508">
        <v>1.7000000000000001E-2</v>
      </c>
      <c r="AC6068" s="508">
        <v>1.6E-2</v>
      </c>
      <c r="AD6068" s="508">
        <v>1.4999999999999999E-2</v>
      </c>
      <c r="AE6068" s="508">
        <v>1.4999999999999999E-2</v>
      </c>
      <c r="AF6068" s="508">
        <v>8.9999999999999993E-3</v>
      </c>
      <c r="AG6068" s="508">
        <v>8.9999999999999993E-3</v>
      </c>
      <c r="AH6068" s="508">
        <v>8.9999999999999993E-3</v>
      </c>
      <c r="AI6068" s="492">
        <v>8.9999999999999993E-3</v>
      </c>
      <c r="AJ6068" s="485"/>
    </row>
    <row r="6069" spans="2:36">
      <c r="B6069" s="136" t="s">
        <v>464</v>
      </c>
      <c r="C6069" s="132" t="s">
        <v>1376</v>
      </c>
      <c r="D6069" s="132" t="s">
        <v>285</v>
      </c>
      <c r="E6069" s="508">
        <v>0.42</v>
      </c>
      <c r="F6069" s="508">
        <v>0.35499999999999998</v>
      </c>
      <c r="G6069" s="508">
        <v>0.32200000000000001</v>
      </c>
      <c r="H6069" s="508">
        <v>0.26500000000000001</v>
      </c>
      <c r="I6069" s="508">
        <v>0.252</v>
      </c>
      <c r="J6069" s="508">
        <v>0.22800000000000001</v>
      </c>
      <c r="K6069" s="508">
        <v>0.154</v>
      </c>
      <c r="L6069" s="508">
        <v>0.14899999999999999</v>
      </c>
      <c r="M6069" s="508">
        <v>0.14499999999999999</v>
      </c>
      <c r="N6069" s="508">
        <v>0.17100000000000001</v>
      </c>
      <c r="O6069" s="508">
        <v>0.13500000000000001</v>
      </c>
      <c r="P6069" s="508">
        <v>9.4E-2</v>
      </c>
      <c r="Q6069" s="508">
        <v>8.1000000000000003E-2</v>
      </c>
      <c r="R6069" s="508">
        <v>8.5999999999999993E-2</v>
      </c>
      <c r="S6069" s="508">
        <v>9.2999999999999999E-2</v>
      </c>
      <c r="T6069" s="508">
        <v>7.6999999999999999E-2</v>
      </c>
      <c r="U6069" s="508">
        <v>7.0999999999999994E-2</v>
      </c>
      <c r="V6069" s="508">
        <v>3.6999999999999998E-2</v>
      </c>
      <c r="W6069" s="508">
        <v>4.7E-2</v>
      </c>
      <c r="X6069" s="508">
        <v>2.1000000000000001E-2</v>
      </c>
      <c r="Y6069" s="508">
        <v>2.1000000000000001E-2</v>
      </c>
      <c r="Z6069" s="508">
        <v>1.7000000000000001E-2</v>
      </c>
      <c r="AA6069" s="508">
        <v>1.7000000000000001E-2</v>
      </c>
      <c r="AB6069" s="508">
        <v>1.4999999999999999E-2</v>
      </c>
      <c r="AC6069" s="508">
        <v>1.4999999999999999E-2</v>
      </c>
      <c r="AD6069" s="508">
        <v>1.2999999999999999E-2</v>
      </c>
      <c r="AE6069" s="508">
        <v>1.2999999999999999E-2</v>
      </c>
      <c r="AF6069" s="508">
        <v>8.0000000000000002E-3</v>
      </c>
      <c r="AG6069" s="508">
        <v>8.0000000000000002E-3</v>
      </c>
      <c r="AH6069" s="508">
        <v>8.0000000000000002E-3</v>
      </c>
      <c r="AI6069" s="492">
        <v>8.0000000000000002E-3</v>
      </c>
      <c r="AJ6069" s="485"/>
    </row>
    <row r="6070" spans="2:36">
      <c r="B6070" s="136" t="s">
        <v>465</v>
      </c>
      <c r="C6070" s="132" t="s">
        <v>1376</v>
      </c>
      <c r="D6070" s="132" t="s">
        <v>285</v>
      </c>
      <c r="E6070" s="508">
        <v>0.35799999999999998</v>
      </c>
      <c r="F6070" s="508">
        <v>0.311</v>
      </c>
      <c r="G6070" s="508">
        <v>0.28399999999999997</v>
      </c>
      <c r="H6070" s="508">
        <v>0.22900000000000001</v>
      </c>
      <c r="I6070" s="508">
        <v>0.218</v>
      </c>
      <c r="J6070" s="508">
        <v>0.20799999999999999</v>
      </c>
      <c r="K6070" s="508">
        <v>0.14000000000000001</v>
      </c>
      <c r="L6070" s="508">
        <v>0.13600000000000001</v>
      </c>
      <c r="M6070" s="508">
        <v>0.13300000000000001</v>
      </c>
      <c r="N6070" s="508">
        <v>0.14499999999999999</v>
      </c>
      <c r="O6070" s="508">
        <v>0.126</v>
      </c>
      <c r="P6070" s="508">
        <v>8.8999999999999996E-2</v>
      </c>
      <c r="Q6070" s="508">
        <v>7.2999999999999995E-2</v>
      </c>
      <c r="R6070" s="508">
        <v>7.8E-2</v>
      </c>
      <c r="S6070" s="508">
        <v>0.09</v>
      </c>
      <c r="T6070" s="508">
        <v>7.3999999999999996E-2</v>
      </c>
      <c r="U6070" s="508">
        <v>6.9000000000000006E-2</v>
      </c>
      <c r="V6070" s="508">
        <v>3.5000000000000003E-2</v>
      </c>
      <c r="W6070" s="508">
        <v>4.5999999999999999E-2</v>
      </c>
      <c r="X6070" s="508">
        <v>2.3E-2</v>
      </c>
      <c r="Y6070" s="508">
        <v>2.1999999999999999E-2</v>
      </c>
      <c r="Z6070" s="508">
        <v>1.7999999999999999E-2</v>
      </c>
      <c r="AA6070" s="508">
        <v>1.7999999999999999E-2</v>
      </c>
      <c r="AB6070" s="508">
        <v>1.6E-2</v>
      </c>
      <c r="AC6070" s="508">
        <v>1.6E-2</v>
      </c>
      <c r="AD6070" s="508">
        <v>1.4E-2</v>
      </c>
      <c r="AE6070" s="508">
        <v>1.4E-2</v>
      </c>
      <c r="AF6070" s="508">
        <v>8.9999999999999993E-3</v>
      </c>
      <c r="AG6070" s="508">
        <v>8.9999999999999993E-3</v>
      </c>
      <c r="AH6070" s="508">
        <v>8.9999999999999993E-3</v>
      </c>
      <c r="AI6070" s="492">
        <v>8.9999999999999993E-3</v>
      </c>
      <c r="AJ6070" s="485"/>
    </row>
    <row r="6071" spans="2:36">
      <c r="B6071" s="136" t="s">
        <v>466</v>
      </c>
      <c r="C6071" s="132" t="s">
        <v>1376</v>
      </c>
      <c r="D6071" s="132" t="s">
        <v>285</v>
      </c>
      <c r="E6071" s="508">
        <v>0.255</v>
      </c>
      <c r="F6071" s="508">
        <v>0.21299999999999999</v>
      </c>
      <c r="G6071" s="508">
        <v>0.19500000000000001</v>
      </c>
      <c r="H6071" s="508">
        <v>0.158</v>
      </c>
      <c r="I6071" s="508">
        <v>0.15</v>
      </c>
      <c r="J6071" s="508">
        <v>0.13900000000000001</v>
      </c>
      <c r="K6071" s="508">
        <v>0.10100000000000001</v>
      </c>
      <c r="L6071" s="508">
        <v>9.8000000000000004E-2</v>
      </c>
      <c r="M6071" s="508">
        <v>9.6000000000000002E-2</v>
      </c>
      <c r="N6071" s="508">
        <v>9.4E-2</v>
      </c>
      <c r="O6071" s="508">
        <v>8.5000000000000006E-2</v>
      </c>
      <c r="P6071" s="508">
        <v>6.2E-2</v>
      </c>
      <c r="Q6071" s="508">
        <v>4.9000000000000002E-2</v>
      </c>
      <c r="R6071" s="508">
        <v>5.1999999999999998E-2</v>
      </c>
      <c r="S6071" s="508">
        <v>0.06</v>
      </c>
      <c r="T6071" s="508">
        <v>4.9000000000000002E-2</v>
      </c>
      <c r="U6071" s="508">
        <v>4.5999999999999999E-2</v>
      </c>
      <c r="V6071" s="508">
        <v>2.4E-2</v>
      </c>
      <c r="W6071" s="508">
        <v>3.1E-2</v>
      </c>
      <c r="X6071" s="508">
        <v>2.1000000000000001E-2</v>
      </c>
      <c r="Y6071" s="508">
        <v>2.1000000000000001E-2</v>
      </c>
      <c r="Z6071" s="508">
        <v>1.7000000000000001E-2</v>
      </c>
      <c r="AA6071" s="508">
        <v>1.7000000000000001E-2</v>
      </c>
      <c r="AB6071" s="508">
        <v>1.4999999999999999E-2</v>
      </c>
      <c r="AC6071" s="508">
        <v>1.4999999999999999E-2</v>
      </c>
      <c r="AD6071" s="508">
        <v>1.4E-2</v>
      </c>
      <c r="AE6071" s="508">
        <v>1.4E-2</v>
      </c>
      <c r="AF6071" s="508">
        <v>8.9999999999999993E-3</v>
      </c>
      <c r="AG6071" s="508">
        <v>8.9999999999999993E-3</v>
      </c>
      <c r="AH6071" s="508">
        <v>8.9999999999999993E-3</v>
      </c>
      <c r="AI6071" s="492">
        <v>8.9999999999999993E-3</v>
      </c>
      <c r="AJ6071" s="485"/>
    </row>
    <row r="6072" spans="2:36">
      <c r="B6072" s="136" t="s">
        <v>467</v>
      </c>
      <c r="C6072" s="132" t="s">
        <v>1376</v>
      </c>
      <c r="D6072" s="132" t="s">
        <v>285</v>
      </c>
      <c r="E6072" s="508">
        <v>0.42599999999999999</v>
      </c>
      <c r="F6072" s="508">
        <v>0.34799999999999998</v>
      </c>
      <c r="G6072" s="508">
        <v>0.314</v>
      </c>
      <c r="H6072" s="508">
        <v>0.25800000000000001</v>
      </c>
      <c r="I6072" s="508">
        <v>0.24399999999999999</v>
      </c>
      <c r="J6072" s="508">
        <v>0.215</v>
      </c>
      <c r="K6072" s="508">
        <v>0.153</v>
      </c>
      <c r="L6072" s="508">
        <v>0.14799999999999999</v>
      </c>
      <c r="M6072" s="508">
        <v>0.14399999999999999</v>
      </c>
      <c r="N6072" s="508">
        <v>0.158</v>
      </c>
      <c r="O6072" s="508">
        <v>0.127</v>
      </c>
      <c r="P6072" s="508">
        <v>0.09</v>
      </c>
      <c r="Q6072" s="508">
        <v>7.5999999999999998E-2</v>
      </c>
      <c r="R6072" s="508">
        <v>0.08</v>
      </c>
      <c r="S6072" s="508">
        <v>8.6999999999999994E-2</v>
      </c>
      <c r="T6072" s="508">
        <v>7.1999999999999995E-2</v>
      </c>
      <c r="U6072" s="508">
        <v>6.8000000000000005E-2</v>
      </c>
      <c r="V6072" s="508">
        <v>3.5000000000000003E-2</v>
      </c>
      <c r="W6072" s="508">
        <v>4.4999999999999998E-2</v>
      </c>
      <c r="X6072" s="508">
        <v>2.1000000000000001E-2</v>
      </c>
      <c r="Y6072" s="508">
        <v>2.1000000000000001E-2</v>
      </c>
      <c r="Z6072" s="508">
        <v>1.7000000000000001E-2</v>
      </c>
      <c r="AA6072" s="508">
        <v>1.7000000000000001E-2</v>
      </c>
      <c r="AB6072" s="508">
        <v>1.4999999999999999E-2</v>
      </c>
      <c r="AC6072" s="508">
        <v>1.4999999999999999E-2</v>
      </c>
      <c r="AD6072" s="508">
        <v>1.2999999999999999E-2</v>
      </c>
      <c r="AE6072" s="508">
        <v>1.2999999999999999E-2</v>
      </c>
      <c r="AF6072" s="508">
        <v>8.0000000000000002E-3</v>
      </c>
      <c r="AG6072" s="508">
        <v>8.0000000000000002E-3</v>
      </c>
      <c r="AH6072" s="508">
        <v>8.0000000000000002E-3</v>
      </c>
      <c r="AI6072" s="492">
        <v>8.0000000000000002E-3</v>
      </c>
      <c r="AJ6072" s="485"/>
    </row>
    <row r="6073" spans="2:36">
      <c r="B6073" s="136" t="s">
        <v>468</v>
      </c>
      <c r="C6073" s="132" t="s">
        <v>1376</v>
      </c>
      <c r="D6073" s="132" t="s">
        <v>285</v>
      </c>
      <c r="E6073" s="508">
        <v>0.31</v>
      </c>
      <c r="F6073" s="508">
        <v>0.28399999999999997</v>
      </c>
      <c r="G6073" s="508">
        <v>0.26300000000000001</v>
      </c>
      <c r="H6073" s="508">
        <v>0.20699999999999999</v>
      </c>
      <c r="I6073" s="508">
        <v>0.19800000000000001</v>
      </c>
      <c r="J6073" s="508">
        <v>0.20300000000000001</v>
      </c>
      <c r="K6073" s="508">
        <v>0.13100000000000001</v>
      </c>
      <c r="L6073" s="508">
        <v>0.128</v>
      </c>
      <c r="M6073" s="508">
        <v>0.125</v>
      </c>
      <c r="N6073" s="508">
        <v>0.13400000000000001</v>
      </c>
      <c r="O6073" s="508">
        <v>0.124</v>
      </c>
      <c r="P6073" s="508">
        <v>8.8999999999999996E-2</v>
      </c>
      <c r="Q6073" s="508">
        <v>7.0999999999999994E-2</v>
      </c>
      <c r="R6073" s="508">
        <v>7.5999999999999998E-2</v>
      </c>
      <c r="S6073" s="508">
        <v>9.1999999999999998E-2</v>
      </c>
      <c r="T6073" s="508">
        <v>7.5999999999999998E-2</v>
      </c>
      <c r="U6073" s="508">
        <v>6.9000000000000006E-2</v>
      </c>
      <c r="V6073" s="508">
        <v>3.4000000000000002E-2</v>
      </c>
      <c r="W6073" s="508">
        <v>4.5999999999999999E-2</v>
      </c>
      <c r="X6073" s="508">
        <v>2.4E-2</v>
      </c>
      <c r="Y6073" s="508">
        <v>2.3E-2</v>
      </c>
      <c r="Z6073" s="508">
        <v>1.9E-2</v>
      </c>
      <c r="AA6073" s="508">
        <v>1.9E-2</v>
      </c>
      <c r="AB6073" s="508">
        <v>1.7000000000000001E-2</v>
      </c>
      <c r="AC6073" s="508">
        <v>1.7000000000000001E-2</v>
      </c>
      <c r="AD6073" s="508">
        <v>1.4999999999999999E-2</v>
      </c>
      <c r="AE6073" s="508">
        <v>1.4999999999999999E-2</v>
      </c>
      <c r="AF6073" s="508">
        <v>0.01</v>
      </c>
      <c r="AG6073" s="508">
        <v>0.01</v>
      </c>
      <c r="AH6073" s="508">
        <v>0.01</v>
      </c>
      <c r="AI6073" s="492">
        <v>0.01</v>
      </c>
      <c r="AJ6073" s="485"/>
    </row>
    <row r="6074" spans="2:36">
      <c r="B6074" s="136" t="s">
        <v>469</v>
      </c>
      <c r="C6074" s="132" t="s">
        <v>1376</v>
      </c>
      <c r="D6074" s="132" t="s">
        <v>285</v>
      </c>
      <c r="E6074" s="508">
        <v>0.27600000000000002</v>
      </c>
      <c r="F6074" s="508">
        <v>0.23699999999999999</v>
      </c>
      <c r="G6074" s="508">
        <v>0.217</v>
      </c>
      <c r="H6074" s="508">
        <v>0.17799999999999999</v>
      </c>
      <c r="I6074" s="508">
        <v>0.17</v>
      </c>
      <c r="J6074" s="508">
        <v>0.157</v>
      </c>
      <c r="K6074" s="508">
        <v>0.108</v>
      </c>
      <c r="L6074" s="508">
        <v>0.105</v>
      </c>
      <c r="M6074" s="508">
        <v>0.10199999999999999</v>
      </c>
      <c r="N6074" s="508">
        <v>0.114</v>
      </c>
      <c r="O6074" s="508">
        <v>9.5000000000000001E-2</v>
      </c>
      <c r="P6074" s="508">
        <v>6.7000000000000004E-2</v>
      </c>
      <c r="Q6074" s="508">
        <v>5.6000000000000001E-2</v>
      </c>
      <c r="R6074" s="508">
        <v>0.06</v>
      </c>
      <c r="S6074" s="508">
        <v>6.7000000000000004E-2</v>
      </c>
      <c r="T6074" s="508">
        <v>5.5E-2</v>
      </c>
      <c r="U6074" s="508">
        <v>5.1999999999999998E-2</v>
      </c>
      <c r="V6074" s="508">
        <v>2.7E-2</v>
      </c>
      <c r="W6074" s="508">
        <v>3.4000000000000002E-2</v>
      </c>
      <c r="X6074" s="508">
        <v>2.1000000000000001E-2</v>
      </c>
      <c r="Y6074" s="508">
        <v>2.1000000000000001E-2</v>
      </c>
      <c r="Z6074" s="508">
        <v>1.7000000000000001E-2</v>
      </c>
      <c r="AA6074" s="508">
        <v>1.7000000000000001E-2</v>
      </c>
      <c r="AB6074" s="508">
        <v>1.4999999999999999E-2</v>
      </c>
      <c r="AC6074" s="508">
        <v>1.4999999999999999E-2</v>
      </c>
      <c r="AD6074" s="508">
        <v>1.4E-2</v>
      </c>
      <c r="AE6074" s="508">
        <v>1.2999999999999999E-2</v>
      </c>
      <c r="AF6074" s="508">
        <v>8.9999999999999993E-3</v>
      </c>
      <c r="AG6074" s="508">
        <v>8.9999999999999993E-3</v>
      </c>
      <c r="AH6074" s="508">
        <v>8.9999999999999993E-3</v>
      </c>
      <c r="AI6074" s="492">
        <v>8.9999999999999993E-3</v>
      </c>
      <c r="AJ6074" s="485"/>
    </row>
    <row r="6075" spans="2:36">
      <c r="B6075" s="136" t="s">
        <v>470</v>
      </c>
      <c r="C6075" s="132" t="s">
        <v>1376</v>
      </c>
      <c r="D6075" s="132" t="s">
        <v>285</v>
      </c>
      <c r="E6075" s="508">
        <v>0.40799999999999997</v>
      </c>
      <c r="F6075" s="508">
        <v>0.33900000000000002</v>
      </c>
      <c r="G6075" s="508">
        <v>0.307</v>
      </c>
      <c r="H6075" s="508">
        <v>0.245</v>
      </c>
      <c r="I6075" s="508">
        <v>0.23200000000000001</v>
      </c>
      <c r="J6075" s="508">
        <v>0.216</v>
      </c>
      <c r="K6075" s="508">
        <v>0.154</v>
      </c>
      <c r="L6075" s="508">
        <v>0.15</v>
      </c>
      <c r="M6075" s="508">
        <v>0.14599999999999999</v>
      </c>
      <c r="N6075" s="508">
        <v>0.14399999999999999</v>
      </c>
      <c r="O6075" s="508">
        <v>0.13100000000000001</v>
      </c>
      <c r="P6075" s="508">
        <v>9.5000000000000001E-2</v>
      </c>
      <c r="Q6075" s="508">
        <v>7.4999999999999997E-2</v>
      </c>
      <c r="R6075" s="508">
        <v>0.08</v>
      </c>
      <c r="S6075" s="508">
        <v>9.1999999999999998E-2</v>
      </c>
      <c r="T6075" s="508">
        <v>7.5999999999999998E-2</v>
      </c>
      <c r="U6075" s="508">
        <v>7.0999999999999994E-2</v>
      </c>
      <c r="V6075" s="508">
        <v>3.5999999999999997E-2</v>
      </c>
      <c r="W6075" s="508">
        <v>4.7E-2</v>
      </c>
      <c r="X6075" s="508">
        <v>2.3E-2</v>
      </c>
      <c r="Y6075" s="508">
        <v>2.3E-2</v>
      </c>
      <c r="Z6075" s="508">
        <v>1.9E-2</v>
      </c>
      <c r="AA6075" s="508">
        <v>1.9E-2</v>
      </c>
      <c r="AB6075" s="508">
        <v>1.7000000000000001E-2</v>
      </c>
      <c r="AC6075" s="508">
        <v>1.6E-2</v>
      </c>
      <c r="AD6075" s="508">
        <v>1.4999999999999999E-2</v>
      </c>
      <c r="AE6075" s="508">
        <v>1.4E-2</v>
      </c>
      <c r="AF6075" s="508">
        <v>8.9999999999999993E-3</v>
      </c>
      <c r="AG6075" s="508">
        <v>8.9999999999999993E-3</v>
      </c>
      <c r="AH6075" s="508">
        <v>8.9999999999999993E-3</v>
      </c>
      <c r="AI6075" s="492">
        <v>8.9999999999999993E-3</v>
      </c>
      <c r="AJ6075" s="485"/>
    </row>
    <row r="6076" spans="2:36">
      <c r="B6076" s="136" t="s">
        <v>471</v>
      </c>
      <c r="C6076" s="132" t="s">
        <v>1376</v>
      </c>
      <c r="D6076" s="132" t="s">
        <v>285</v>
      </c>
      <c r="E6076" s="508">
        <v>0.26300000000000001</v>
      </c>
      <c r="F6076" s="508">
        <v>0.217</v>
      </c>
      <c r="G6076" s="508">
        <v>0.19700000000000001</v>
      </c>
      <c r="H6076" s="508">
        <v>0.16300000000000001</v>
      </c>
      <c r="I6076" s="508">
        <v>0.155</v>
      </c>
      <c r="J6076" s="508">
        <v>0.13700000000000001</v>
      </c>
      <c r="K6076" s="508">
        <v>9.9000000000000005E-2</v>
      </c>
      <c r="L6076" s="508">
        <v>9.6000000000000002E-2</v>
      </c>
      <c r="M6076" s="508">
        <v>9.4E-2</v>
      </c>
      <c r="N6076" s="508">
        <v>0.10100000000000001</v>
      </c>
      <c r="O6076" s="508">
        <v>8.3000000000000004E-2</v>
      </c>
      <c r="P6076" s="508">
        <v>5.8999999999999997E-2</v>
      </c>
      <c r="Q6076" s="508">
        <v>4.9000000000000002E-2</v>
      </c>
      <c r="R6076" s="508">
        <v>5.1999999999999998E-2</v>
      </c>
      <c r="S6076" s="508">
        <v>5.7000000000000002E-2</v>
      </c>
      <c r="T6076" s="508">
        <v>4.7E-2</v>
      </c>
      <c r="U6076" s="508">
        <v>4.7E-2</v>
      </c>
      <c r="V6076" s="508">
        <v>2.5000000000000001E-2</v>
      </c>
      <c r="W6076" s="508">
        <v>3.1E-2</v>
      </c>
      <c r="X6076" s="508">
        <v>2.1000000000000001E-2</v>
      </c>
      <c r="Y6076" s="508">
        <v>2.1000000000000001E-2</v>
      </c>
      <c r="Z6076" s="508">
        <v>1.7000000000000001E-2</v>
      </c>
      <c r="AA6076" s="508">
        <v>1.7000000000000001E-2</v>
      </c>
      <c r="AB6076" s="508">
        <v>1.4999999999999999E-2</v>
      </c>
      <c r="AC6076" s="508">
        <v>1.4999999999999999E-2</v>
      </c>
      <c r="AD6076" s="508">
        <v>1.4E-2</v>
      </c>
      <c r="AE6076" s="508">
        <v>1.4E-2</v>
      </c>
      <c r="AF6076" s="508">
        <v>8.9999999999999993E-3</v>
      </c>
      <c r="AG6076" s="508">
        <v>8.9999999999999993E-3</v>
      </c>
      <c r="AH6076" s="508">
        <v>8.9999999999999993E-3</v>
      </c>
      <c r="AI6076" s="492">
        <v>8.9999999999999993E-3</v>
      </c>
      <c r="AJ6076" s="485"/>
    </row>
    <row r="6077" spans="2:36">
      <c r="B6077" s="136" t="s">
        <v>472</v>
      </c>
      <c r="C6077" s="132" t="s">
        <v>1376</v>
      </c>
      <c r="D6077" s="132" t="s">
        <v>285</v>
      </c>
      <c r="E6077" s="508">
        <v>0.48699999999999999</v>
      </c>
      <c r="F6077" s="508">
        <v>0.40200000000000002</v>
      </c>
      <c r="G6077" s="508">
        <v>0.36299999999999999</v>
      </c>
      <c r="H6077" s="508">
        <v>0.30099999999999999</v>
      </c>
      <c r="I6077" s="508">
        <v>0.28499999999999998</v>
      </c>
      <c r="J6077" s="508">
        <v>0.25</v>
      </c>
      <c r="K6077" s="508">
        <v>0.17199999999999999</v>
      </c>
      <c r="L6077" s="508">
        <v>0.16600000000000001</v>
      </c>
      <c r="M6077" s="508">
        <v>0.161</v>
      </c>
      <c r="N6077" s="508">
        <v>0.192</v>
      </c>
      <c r="O6077" s="508">
        <v>0.14599999999999999</v>
      </c>
      <c r="P6077" s="508">
        <v>0.10100000000000001</v>
      </c>
      <c r="Q6077" s="508">
        <v>8.8999999999999996E-2</v>
      </c>
      <c r="R6077" s="508">
        <v>9.2999999999999999E-2</v>
      </c>
      <c r="S6077" s="508">
        <v>9.9000000000000005E-2</v>
      </c>
      <c r="T6077" s="508">
        <v>8.2000000000000003E-2</v>
      </c>
      <c r="U6077" s="508">
        <v>7.9000000000000001E-2</v>
      </c>
      <c r="V6077" s="508">
        <v>4.1000000000000002E-2</v>
      </c>
      <c r="W6077" s="508">
        <v>5.1999999999999998E-2</v>
      </c>
      <c r="X6077" s="508">
        <v>2.1999999999999999E-2</v>
      </c>
      <c r="Y6077" s="508">
        <v>2.1999999999999999E-2</v>
      </c>
      <c r="Z6077" s="508">
        <v>1.7999999999999999E-2</v>
      </c>
      <c r="AA6077" s="508">
        <v>1.7000000000000001E-2</v>
      </c>
      <c r="AB6077" s="508">
        <v>1.6E-2</v>
      </c>
      <c r="AC6077" s="508">
        <v>1.4999999999999999E-2</v>
      </c>
      <c r="AD6077" s="508">
        <v>1.4E-2</v>
      </c>
      <c r="AE6077" s="508">
        <v>1.2999999999999999E-2</v>
      </c>
      <c r="AF6077" s="508">
        <v>8.9999999999999993E-3</v>
      </c>
      <c r="AG6077" s="508">
        <v>8.0000000000000002E-3</v>
      </c>
      <c r="AH6077" s="508">
        <v>8.0000000000000002E-3</v>
      </c>
      <c r="AI6077" s="492">
        <v>8.0000000000000002E-3</v>
      </c>
      <c r="AJ6077" s="485"/>
    </row>
    <row r="6078" spans="2:36">
      <c r="B6078" s="136" t="s">
        <v>473</v>
      </c>
      <c r="C6078" s="132" t="s">
        <v>1376</v>
      </c>
      <c r="D6078" s="132" t="s">
        <v>285</v>
      </c>
      <c r="E6078" s="508">
        <v>0.38100000000000001</v>
      </c>
      <c r="F6078" s="508">
        <v>0.309</v>
      </c>
      <c r="G6078" s="508">
        <v>0.28000000000000003</v>
      </c>
      <c r="H6078" s="508">
        <v>0.22800000000000001</v>
      </c>
      <c r="I6078" s="508">
        <v>0.216</v>
      </c>
      <c r="J6078" s="508">
        <v>0.192</v>
      </c>
      <c r="K6078" s="508">
        <v>0.14000000000000001</v>
      </c>
      <c r="L6078" s="508">
        <v>0.13600000000000001</v>
      </c>
      <c r="M6078" s="508">
        <v>0.13200000000000001</v>
      </c>
      <c r="N6078" s="508">
        <v>0.13600000000000001</v>
      </c>
      <c r="O6078" s="508">
        <v>0.115</v>
      </c>
      <c r="P6078" s="508">
        <v>8.3000000000000004E-2</v>
      </c>
      <c r="Q6078" s="508">
        <v>6.8000000000000005E-2</v>
      </c>
      <c r="R6078" s="508">
        <v>7.0999999999999994E-2</v>
      </c>
      <c r="S6078" s="508">
        <v>7.9000000000000001E-2</v>
      </c>
      <c r="T6078" s="508">
        <v>6.5000000000000002E-2</v>
      </c>
      <c r="U6078" s="508">
        <v>5.7000000000000002E-2</v>
      </c>
      <c r="V6078" s="508">
        <v>0.03</v>
      </c>
      <c r="W6078" s="508">
        <v>3.7999999999999999E-2</v>
      </c>
      <c r="X6078" s="508">
        <v>0.02</v>
      </c>
      <c r="Y6078" s="508">
        <v>0.02</v>
      </c>
      <c r="Z6078" s="508">
        <v>1.6E-2</v>
      </c>
      <c r="AA6078" s="508">
        <v>1.6E-2</v>
      </c>
      <c r="AB6078" s="508">
        <v>1.4E-2</v>
      </c>
      <c r="AC6078" s="508">
        <v>1.4E-2</v>
      </c>
      <c r="AD6078" s="508">
        <v>1.2999999999999999E-2</v>
      </c>
      <c r="AE6078" s="508">
        <v>1.2999999999999999E-2</v>
      </c>
      <c r="AF6078" s="508">
        <v>8.0000000000000002E-3</v>
      </c>
      <c r="AG6078" s="508">
        <v>8.0000000000000002E-3</v>
      </c>
      <c r="AH6078" s="508">
        <v>8.0000000000000002E-3</v>
      </c>
      <c r="AI6078" s="492">
        <v>8.0000000000000002E-3</v>
      </c>
      <c r="AJ6078" s="485"/>
    </row>
    <row r="6079" spans="2:36">
      <c r="B6079" s="136" t="s">
        <v>474</v>
      </c>
      <c r="C6079" s="132" t="s">
        <v>1376</v>
      </c>
      <c r="D6079" s="132" t="s">
        <v>285</v>
      </c>
      <c r="E6079" s="508">
        <v>0.249</v>
      </c>
      <c r="F6079" s="508">
        <v>0.20899999999999999</v>
      </c>
      <c r="G6079" s="508">
        <v>0.191</v>
      </c>
      <c r="H6079" s="508">
        <v>0.157</v>
      </c>
      <c r="I6079" s="508">
        <v>0.15</v>
      </c>
      <c r="J6079" s="508">
        <v>0.13500000000000001</v>
      </c>
      <c r="K6079" s="508">
        <v>9.6000000000000002E-2</v>
      </c>
      <c r="L6079" s="508">
        <v>9.2999999999999999E-2</v>
      </c>
      <c r="M6079" s="508">
        <v>9.0999999999999998E-2</v>
      </c>
      <c r="N6079" s="508">
        <v>9.9000000000000005E-2</v>
      </c>
      <c r="O6079" s="508">
        <v>8.2000000000000003E-2</v>
      </c>
      <c r="P6079" s="508">
        <v>5.8000000000000003E-2</v>
      </c>
      <c r="Q6079" s="508">
        <v>4.8000000000000001E-2</v>
      </c>
      <c r="R6079" s="508">
        <v>5.0999999999999997E-2</v>
      </c>
      <c r="S6079" s="508">
        <v>5.7000000000000002E-2</v>
      </c>
      <c r="T6079" s="508">
        <v>4.7E-2</v>
      </c>
      <c r="U6079" s="508">
        <v>4.3999999999999997E-2</v>
      </c>
      <c r="V6079" s="508">
        <v>2.3E-2</v>
      </c>
      <c r="W6079" s="508">
        <v>2.9000000000000001E-2</v>
      </c>
      <c r="X6079" s="508">
        <v>0.02</v>
      </c>
      <c r="Y6079" s="508">
        <v>0.02</v>
      </c>
      <c r="Z6079" s="508">
        <v>1.7000000000000001E-2</v>
      </c>
      <c r="AA6079" s="508">
        <v>1.6E-2</v>
      </c>
      <c r="AB6079" s="508">
        <v>1.4999999999999999E-2</v>
      </c>
      <c r="AC6079" s="508">
        <v>1.4999999999999999E-2</v>
      </c>
      <c r="AD6079" s="508">
        <v>1.2999999999999999E-2</v>
      </c>
      <c r="AE6079" s="508">
        <v>1.2999999999999999E-2</v>
      </c>
      <c r="AF6079" s="508">
        <v>8.0000000000000002E-3</v>
      </c>
      <c r="AG6079" s="508">
        <v>8.0000000000000002E-3</v>
      </c>
      <c r="AH6079" s="508">
        <v>8.0000000000000002E-3</v>
      </c>
      <c r="AI6079" s="492">
        <v>8.0000000000000002E-3</v>
      </c>
      <c r="AJ6079" s="485"/>
    </row>
    <row r="6080" spans="2:36">
      <c r="B6080" s="136" t="s">
        <v>475</v>
      </c>
      <c r="C6080" s="132" t="s">
        <v>1376</v>
      </c>
      <c r="D6080" s="132" t="s">
        <v>285</v>
      </c>
      <c r="E6080" s="508">
        <v>0.35199999999999998</v>
      </c>
      <c r="F6080" s="508">
        <v>0.29199999999999998</v>
      </c>
      <c r="G6080" s="508">
        <v>0.26600000000000001</v>
      </c>
      <c r="H6080" s="508">
        <v>0.218</v>
      </c>
      <c r="I6080" s="508">
        <v>0.20699999999999999</v>
      </c>
      <c r="J6080" s="508">
        <v>0.186</v>
      </c>
      <c r="K6080" s="508">
        <v>0.13</v>
      </c>
      <c r="L6080" s="508">
        <v>0.126</v>
      </c>
      <c r="M6080" s="508">
        <v>0.123</v>
      </c>
      <c r="N6080" s="508">
        <v>0.13600000000000001</v>
      </c>
      <c r="O6080" s="508">
        <v>0.111</v>
      </c>
      <c r="P6080" s="508">
        <v>7.9000000000000001E-2</v>
      </c>
      <c r="Q6080" s="508">
        <v>6.6000000000000003E-2</v>
      </c>
      <c r="R6080" s="508">
        <v>7.0000000000000007E-2</v>
      </c>
      <c r="S6080" s="508">
        <v>7.6999999999999999E-2</v>
      </c>
      <c r="T6080" s="508">
        <v>6.3E-2</v>
      </c>
      <c r="U6080" s="508">
        <v>5.8999999999999997E-2</v>
      </c>
      <c r="V6080" s="508">
        <v>0.03</v>
      </c>
      <c r="W6080" s="508">
        <v>3.9E-2</v>
      </c>
      <c r="X6080" s="508">
        <v>2.1000000000000001E-2</v>
      </c>
      <c r="Y6080" s="508">
        <v>0.02</v>
      </c>
      <c r="Z6080" s="508">
        <v>1.7000000000000001E-2</v>
      </c>
      <c r="AA6080" s="508">
        <v>1.7000000000000001E-2</v>
      </c>
      <c r="AB6080" s="508">
        <v>1.4999999999999999E-2</v>
      </c>
      <c r="AC6080" s="508">
        <v>1.4999999999999999E-2</v>
      </c>
      <c r="AD6080" s="508">
        <v>1.2999999999999999E-2</v>
      </c>
      <c r="AE6080" s="508">
        <v>1.2999999999999999E-2</v>
      </c>
      <c r="AF6080" s="508">
        <v>8.0000000000000002E-3</v>
      </c>
      <c r="AG6080" s="508">
        <v>8.0000000000000002E-3</v>
      </c>
      <c r="AH6080" s="508">
        <v>8.0000000000000002E-3</v>
      </c>
      <c r="AI6080" s="492">
        <v>8.0000000000000002E-3</v>
      </c>
      <c r="AJ6080" s="485"/>
    </row>
    <row r="6081" spans="2:36">
      <c r="B6081" s="136" t="s">
        <v>476</v>
      </c>
      <c r="C6081" s="132" t="s">
        <v>1376</v>
      </c>
      <c r="D6081" s="132" t="s">
        <v>285</v>
      </c>
      <c r="E6081" s="508">
        <v>0.374</v>
      </c>
      <c r="F6081" s="508">
        <v>0.314</v>
      </c>
      <c r="G6081" s="508">
        <v>0.28599999999999998</v>
      </c>
      <c r="H6081" s="508">
        <v>0.23</v>
      </c>
      <c r="I6081" s="508">
        <v>0.218</v>
      </c>
      <c r="J6081" s="508">
        <v>0.20399999999999999</v>
      </c>
      <c r="K6081" s="508">
        <v>0.14399999999999999</v>
      </c>
      <c r="L6081" s="508">
        <v>0.13900000000000001</v>
      </c>
      <c r="M6081" s="508">
        <v>0.13600000000000001</v>
      </c>
      <c r="N6081" s="508">
        <v>0.13800000000000001</v>
      </c>
      <c r="O6081" s="508">
        <v>0.123</v>
      </c>
      <c r="P6081" s="508">
        <v>8.8999999999999996E-2</v>
      </c>
      <c r="Q6081" s="508">
        <v>7.0999999999999994E-2</v>
      </c>
      <c r="R6081" s="508">
        <v>7.5999999999999998E-2</v>
      </c>
      <c r="S6081" s="508">
        <v>8.6999999999999994E-2</v>
      </c>
      <c r="T6081" s="508">
        <v>7.1999999999999995E-2</v>
      </c>
      <c r="U6081" s="508">
        <v>6.7000000000000004E-2</v>
      </c>
      <c r="V6081" s="508">
        <v>3.4000000000000002E-2</v>
      </c>
      <c r="W6081" s="508">
        <v>4.4999999999999998E-2</v>
      </c>
      <c r="X6081" s="508">
        <v>2.3E-2</v>
      </c>
      <c r="Y6081" s="508">
        <v>2.3E-2</v>
      </c>
      <c r="Z6081" s="508">
        <v>1.7999999999999999E-2</v>
      </c>
      <c r="AA6081" s="508">
        <v>1.7999999999999999E-2</v>
      </c>
      <c r="AB6081" s="508">
        <v>1.6E-2</v>
      </c>
      <c r="AC6081" s="508">
        <v>1.6E-2</v>
      </c>
      <c r="AD6081" s="508">
        <v>1.4E-2</v>
      </c>
      <c r="AE6081" s="508">
        <v>1.4E-2</v>
      </c>
      <c r="AF6081" s="508">
        <v>8.9999999999999993E-3</v>
      </c>
      <c r="AG6081" s="508">
        <v>8.9999999999999993E-3</v>
      </c>
      <c r="AH6081" s="508">
        <v>8.9999999999999993E-3</v>
      </c>
      <c r="AI6081" s="492">
        <v>8.9999999999999993E-3</v>
      </c>
      <c r="AJ6081" s="485"/>
    </row>
    <row r="6082" spans="2:36">
      <c r="B6082" s="136" t="s">
        <v>478</v>
      </c>
      <c r="C6082" s="132" t="s">
        <v>1376</v>
      </c>
      <c r="D6082" s="132" t="s">
        <v>285</v>
      </c>
      <c r="E6082" s="508">
        <v>0.42399999999999999</v>
      </c>
      <c r="F6082" s="508">
        <v>0.36099999999999999</v>
      </c>
      <c r="G6082" s="508">
        <v>0.32900000000000001</v>
      </c>
      <c r="H6082" s="508">
        <v>0.25600000000000001</v>
      </c>
      <c r="I6082" s="508">
        <v>0.24299999999999999</v>
      </c>
      <c r="J6082" s="508">
        <v>0.23899999999999999</v>
      </c>
      <c r="K6082" s="508">
        <v>0.16800000000000001</v>
      </c>
      <c r="L6082" s="508">
        <v>0.16400000000000001</v>
      </c>
      <c r="M6082" s="508">
        <v>0.16</v>
      </c>
      <c r="N6082" s="508">
        <v>0.14799999999999999</v>
      </c>
      <c r="O6082" s="508">
        <v>0.14599999999999999</v>
      </c>
      <c r="P6082" s="508">
        <v>0.108</v>
      </c>
      <c r="Q6082" s="508">
        <v>8.2000000000000003E-2</v>
      </c>
      <c r="R6082" s="508">
        <v>8.6999999999999994E-2</v>
      </c>
      <c r="S6082" s="508">
        <v>0.107</v>
      </c>
      <c r="T6082" s="508">
        <v>8.6999999999999994E-2</v>
      </c>
      <c r="U6082" s="508">
        <v>7.6999999999999999E-2</v>
      </c>
      <c r="V6082" s="508">
        <v>3.9E-2</v>
      </c>
      <c r="W6082" s="508">
        <v>5.1999999999999998E-2</v>
      </c>
      <c r="X6082" s="508">
        <v>2.4E-2</v>
      </c>
      <c r="Y6082" s="508">
        <v>2.4E-2</v>
      </c>
      <c r="Z6082" s="508">
        <v>1.9E-2</v>
      </c>
      <c r="AA6082" s="508">
        <v>1.9E-2</v>
      </c>
      <c r="AB6082" s="508">
        <v>1.7000000000000001E-2</v>
      </c>
      <c r="AC6082" s="508">
        <v>1.7000000000000001E-2</v>
      </c>
      <c r="AD6082" s="508">
        <v>1.4999999999999999E-2</v>
      </c>
      <c r="AE6082" s="508">
        <v>1.4999999999999999E-2</v>
      </c>
      <c r="AF6082" s="508">
        <v>0.01</v>
      </c>
      <c r="AG6082" s="508">
        <v>0.01</v>
      </c>
      <c r="AH6082" s="508">
        <v>0.01</v>
      </c>
      <c r="AI6082" s="492">
        <v>0.01</v>
      </c>
      <c r="AJ6082" s="485"/>
    </row>
    <row r="6083" spans="2:36">
      <c r="B6083" s="136" t="s">
        <v>479</v>
      </c>
      <c r="C6083" s="132" t="s">
        <v>1376</v>
      </c>
      <c r="D6083" s="132" t="s">
        <v>285</v>
      </c>
      <c r="E6083" s="508">
        <v>0.22800000000000001</v>
      </c>
      <c r="F6083" s="508">
        <v>0.19700000000000001</v>
      </c>
      <c r="G6083" s="508">
        <v>0.18099999999999999</v>
      </c>
      <c r="H6083" s="508">
        <v>0.14799999999999999</v>
      </c>
      <c r="I6083" s="508">
        <v>0.14099999999999999</v>
      </c>
      <c r="J6083" s="508">
        <v>0.13200000000000001</v>
      </c>
      <c r="K6083" s="508">
        <v>9.0999999999999998E-2</v>
      </c>
      <c r="L6083" s="508">
        <v>8.8999999999999996E-2</v>
      </c>
      <c r="M6083" s="508">
        <v>8.6999999999999994E-2</v>
      </c>
      <c r="N6083" s="508">
        <v>9.4E-2</v>
      </c>
      <c r="O6083" s="508">
        <v>8.1000000000000003E-2</v>
      </c>
      <c r="P6083" s="508">
        <v>5.8000000000000003E-2</v>
      </c>
      <c r="Q6083" s="508">
        <v>4.7E-2</v>
      </c>
      <c r="R6083" s="508">
        <v>0.05</v>
      </c>
      <c r="S6083" s="508">
        <v>5.7000000000000002E-2</v>
      </c>
      <c r="T6083" s="508">
        <v>4.7E-2</v>
      </c>
      <c r="U6083" s="508">
        <v>4.7E-2</v>
      </c>
      <c r="V6083" s="508">
        <v>2.4E-2</v>
      </c>
      <c r="W6083" s="508">
        <v>3.1E-2</v>
      </c>
      <c r="X6083" s="508">
        <v>2.1999999999999999E-2</v>
      </c>
      <c r="Y6083" s="508">
        <v>2.1999999999999999E-2</v>
      </c>
      <c r="Z6083" s="508">
        <v>1.7999999999999999E-2</v>
      </c>
      <c r="AA6083" s="508">
        <v>1.7999999999999999E-2</v>
      </c>
      <c r="AB6083" s="508">
        <v>1.6E-2</v>
      </c>
      <c r="AC6083" s="508">
        <v>1.6E-2</v>
      </c>
      <c r="AD6083" s="508">
        <v>1.4E-2</v>
      </c>
      <c r="AE6083" s="508">
        <v>1.4E-2</v>
      </c>
      <c r="AF6083" s="508">
        <v>8.9999999999999993E-3</v>
      </c>
      <c r="AG6083" s="508">
        <v>8.9999999999999993E-3</v>
      </c>
      <c r="AH6083" s="508">
        <v>8.9999999999999993E-3</v>
      </c>
      <c r="AI6083" s="492">
        <v>8.9999999999999993E-3</v>
      </c>
      <c r="AJ6083" s="485"/>
    </row>
    <row r="6084" spans="2:36">
      <c r="B6084" s="136" t="s">
        <v>480</v>
      </c>
      <c r="C6084" s="132" t="s">
        <v>1376</v>
      </c>
      <c r="D6084" s="132" t="s">
        <v>285</v>
      </c>
      <c r="E6084" s="508">
        <v>0.40300000000000002</v>
      </c>
      <c r="F6084" s="508">
        <v>0.35099999999999998</v>
      </c>
      <c r="G6084" s="508">
        <v>0.32100000000000001</v>
      </c>
      <c r="H6084" s="508">
        <v>0.25900000000000001</v>
      </c>
      <c r="I6084" s="508">
        <v>0.246</v>
      </c>
      <c r="J6084" s="508">
        <v>0.23499999999999999</v>
      </c>
      <c r="K6084" s="508">
        <v>0.155</v>
      </c>
      <c r="L6084" s="508">
        <v>0.151</v>
      </c>
      <c r="M6084" s="508">
        <v>0.14699999999999999</v>
      </c>
      <c r="N6084" s="508">
        <v>0.16600000000000001</v>
      </c>
      <c r="O6084" s="508">
        <v>0.14000000000000001</v>
      </c>
      <c r="P6084" s="508">
        <v>9.9000000000000005E-2</v>
      </c>
      <c r="Q6084" s="508">
        <v>8.3000000000000004E-2</v>
      </c>
      <c r="R6084" s="508">
        <v>8.7999999999999995E-2</v>
      </c>
      <c r="S6084" s="508">
        <v>0.1</v>
      </c>
      <c r="T6084" s="508">
        <v>8.3000000000000004E-2</v>
      </c>
      <c r="U6084" s="508">
        <v>7.9000000000000001E-2</v>
      </c>
      <c r="V6084" s="508">
        <v>0.04</v>
      </c>
      <c r="W6084" s="508">
        <v>5.1999999999999998E-2</v>
      </c>
      <c r="X6084" s="508">
        <v>2.3E-2</v>
      </c>
      <c r="Y6084" s="508">
        <v>2.3E-2</v>
      </c>
      <c r="Z6084" s="508">
        <v>1.9E-2</v>
      </c>
      <c r="AA6084" s="508">
        <v>1.9E-2</v>
      </c>
      <c r="AB6084" s="508">
        <v>1.7000000000000001E-2</v>
      </c>
      <c r="AC6084" s="508">
        <v>1.7000000000000001E-2</v>
      </c>
      <c r="AD6084" s="508">
        <v>1.4999999999999999E-2</v>
      </c>
      <c r="AE6084" s="508">
        <v>1.4999999999999999E-2</v>
      </c>
      <c r="AF6084" s="508">
        <v>8.9999999999999993E-3</v>
      </c>
      <c r="AG6084" s="508">
        <v>8.9999999999999993E-3</v>
      </c>
      <c r="AH6084" s="508">
        <v>8.9999999999999993E-3</v>
      </c>
      <c r="AI6084" s="492">
        <v>8.9999999999999993E-3</v>
      </c>
      <c r="AJ6084" s="485"/>
    </row>
    <row r="6085" spans="2:36">
      <c r="B6085" s="136" t="s">
        <v>481</v>
      </c>
      <c r="C6085" s="132" t="s">
        <v>1376</v>
      </c>
      <c r="D6085" s="132" t="s">
        <v>285</v>
      </c>
      <c r="E6085" s="508">
        <v>0.27600000000000002</v>
      </c>
      <c r="F6085" s="508">
        <v>0.23599999999999999</v>
      </c>
      <c r="G6085" s="508">
        <v>0.217</v>
      </c>
      <c r="H6085" s="508">
        <v>0.17499999999999999</v>
      </c>
      <c r="I6085" s="508">
        <v>0.16600000000000001</v>
      </c>
      <c r="J6085" s="508">
        <v>0.157</v>
      </c>
      <c r="K6085" s="508">
        <v>0.109</v>
      </c>
      <c r="L6085" s="508">
        <v>0.107</v>
      </c>
      <c r="M6085" s="508">
        <v>0.104</v>
      </c>
      <c r="N6085" s="508">
        <v>0.108</v>
      </c>
      <c r="O6085" s="508">
        <v>9.6000000000000002E-2</v>
      </c>
      <c r="P6085" s="508">
        <v>6.9000000000000006E-2</v>
      </c>
      <c r="Q6085" s="508">
        <v>5.6000000000000001E-2</v>
      </c>
      <c r="R6085" s="508">
        <v>5.8999999999999997E-2</v>
      </c>
      <c r="S6085" s="508">
        <v>6.9000000000000006E-2</v>
      </c>
      <c r="T6085" s="508">
        <v>5.6000000000000001E-2</v>
      </c>
      <c r="U6085" s="508">
        <v>5.1999999999999998E-2</v>
      </c>
      <c r="V6085" s="508">
        <v>2.7E-2</v>
      </c>
      <c r="W6085" s="508">
        <v>3.5000000000000003E-2</v>
      </c>
      <c r="X6085" s="508">
        <v>2.1999999999999999E-2</v>
      </c>
      <c r="Y6085" s="508">
        <v>2.1999999999999999E-2</v>
      </c>
      <c r="Z6085" s="508">
        <v>1.7999999999999999E-2</v>
      </c>
      <c r="AA6085" s="508">
        <v>1.7999999999999999E-2</v>
      </c>
      <c r="AB6085" s="508">
        <v>1.6E-2</v>
      </c>
      <c r="AC6085" s="508">
        <v>1.6E-2</v>
      </c>
      <c r="AD6085" s="508">
        <v>1.4E-2</v>
      </c>
      <c r="AE6085" s="508">
        <v>1.4E-2</v>
      </c>
      <c r="AF6085" s="508">
        <v>8.9999999999999993E-3</v>
      </c>
      <c r="AG6085" s="508">
        <v>8.9999999999999993E-3</v>
      </c>
      <c r="AH6085" s="508">
        <v>8.9999999999999993E-3</v>
      </c>
      <c r="AI6085" s="492">
        <v>8.9999999999999993E-3</v>
      </c>
      <c r="AJ6085" s="485"/>
    </row>
    <row r="6086" spans="2:36">
      <c r="B6086" s="136" t="s">
        <v>482</v>
      </c>
      <c r="C6086" s="132" t="s">
        <v>1376</v>
      </c>
      <c r="D6086" s="132" t="s">
        <v>285</v>
      </c>
      <c r="E6086" s="508">
        <v>0.20100000000000001</v>
      </c>
      <c r="F6086" s="508">
        <v>0.17599999999999999</v>
      </c>
      <c r="G6086" s="508">
        <v>0.16300000000000001</v>
      </c>
      <c r="H6086" s="508">
        <v>0.13</v>
      </c>
      <c r="I6086" s="508">
        <v>0.124</v>
      </c>
      <c r="J6086" s="508">
        <v>0.121</v>
      </c>
      <c r="K6086" s="508">
        <v>8.4000000000000005E-2</v>
      </c>
      <c r="L6086" s="508">
        <v>8.2000000000000003E-2</v>
      </c>
      <c r="M6086" s="508">
        <v>0.08</v>
      </c>
      <c r="N6086" s="508">
        <v>8.2000000000000003E-2</v>
      </c>
      <c r="O6086" s="508">
        <v>7.4999999999999997E-2</v>
      </c>
      <c r="P6086" s="508">
        <v>5.5E-2</v>
      </c>
      <c r="Q6086" s="508">
        <v>4.2999999999999997E-2</v>
      </c>
      <c r="R6086" s="508">
        <v>4.5999999999999999E-2</v>
      </c>
      <c r="S6086" s="508">
        <v>5.5E-2</v>
      </c>
      <c r="T6086" s="508">
        <v>4.4999999999999998E-2</v>
      </c>
      <c r="U6086" s="508">
        <v>4.2000000000000003E-2</v>
      </c>
      <c r="V6086" s="508">
        <v>2.1000000000000001E-2</v>
      </c>
      <c r="W6086" s="508">
        <v>2.8000000000000001E-2</v>
      </c>
      <c r="X6086" s="508">
        <v>2.1999999999999999E-2</v>
      </c>
      <c r="Y6086" s="508">
        <v>2.1999999999999999E-2</v>
      </c>
      <c r="Z6086" s="508">
        <v>1.7999999999999999E-2</v>
      </c>
      <c r="AA6086" s="508">
        <v>1.7999999999999999E-2</v>
      </c>
      <c r="AB6086" s="508">
        <v>1.6E-2</v>
      </c>
      <c r="AC6086" s="508">
        <v>1.6E-2</v>
      </c>
      <c r="AD6086" s="508">
        <v>1.4E-2</v>
      </c>
      <c r="AE6086" s="508">
        <v>1.4E-2</v>
      </c>
      <c r="AF6086" s="508">
        <v>8.9999999999999993E-3</v>
      </c>
      <c r="AG6086" s="508">
        <v>8.9999999999999993E-3</v>
      </c>
      <c r="AH6086" s="508">
        <v>8.9999999999999993E-3</v>
      </c>
      <c r="AI6086" s="492">
        <v>8.9999999999999993E-3</v>
      </c>
      <c r="AJ6086" s="485"/>
    </row>
    <row r="6087" spans="2:36">
      <c r="B6087" s="136" t="s">
        <v>483</v>
      </c>
      <c r="C6087" s="132" t="s">
        <v>1376</v>
      </c>
      <c r="D6087" s="132" t="s">
        <v>285</v>
      </c>
      <c r="E6087" s="508">
        <v>0.39600000000000002</v>
      </c>
      <c r="F6087" s="508">
        <v>0.33500000000000002</v>
      </c>
      <c r="G6087" s="508">
        <v>0.30599999999999999</v>
      </c>
      <c r="H6087" s="508">
        <v>0.24</v>
      </c>
      <c r="I6087" s="508">
        <v>0.22800000000000001</v>
      </c>
      <c r="J6087" s="508">
        <v>0.22</v>
      </c>
      <c r="K6087" s="508">
        <v>0.156</v>
      </c>
      <c r="L6087" s="508">
        <v>0.151</v>
      </c>
      <c r="M6087" s="508">
        <v>0.14799999999999999</v>
      </c>
      <c r="N6087" s="508">
        <v>0.14099999999999999</v>
      </c>
      <c r="O6087" s="508">
        <v>0.13400000000000001</v>
      </c>
      <c r="P6087" s="508">
        <v>9.8000000000000004E-2</v>
      </c>
      <c r="Q6087" s="508">
        <v>7.5999999999999998E-2</v>
      </c>
      <c r="R6087" s="508">
        <v>8.1000000000000003E-2</v>
      </c>
      <c r="S6087" s="508">
        <v>9.7000000000000003E-2</v>
      </c>
      <c r="T6087" s="508">
        <v>7.9000000000000001E-2</v>
      </c>
      <c r="U6087" s="508">
        <v>7.0999999999999994E-2</v>
      </c>
      <c r="V6087" s="508">
        <v>3.5999999999999997E-2</v>
      </c>
      <c r="W6087" s="508">
        <v>4.7E-2</v>
      </c>
      <c r="X6087" s="508">
        <v>2.3E-2</v>
      </c>
      <c r="Y6087" s="508">
        <v>2.3E-2</v>
      </c>
      <c r="Z6087" s="508">
        <v>1.9E-2</v>
      </c>
      <c r="AA6087" s="508">
        <v>1.9E-2</v>
      </c>
      <c r="AB6087" s="508">
        <v>1.7000000000000001E-2</v>
      </c>
      <c r="AC6087" s="508">
        <v>1.7000000000000001E-2</v>
      </c>
      <c r="AD6087" s="508">
        <v>1.4999999999999999E-2</v>
      </c>
      <c r="AE6087" s="508">
        <v>1.4999999999999999E-2</v>
      </c>
      <c r="AF6087" s="508">
        <v>8.9999999999999993E-3</v>
      </c>
      <c r="AG6087" s="508">
        <v>8.9999999999999993E-3</v>
      </c>
      <c r="AH6087" s="508">
        <v>8.9999999999999993E-3</v>
      </c>
      <c r="AI6087" s="492">
        <v>8.9999999999999993E-3</v>
      </c>
      <c r="AJ6087" s="485"/>
    </row>
    <row r="6088" spans="2:36">
      <c r="B6088" s="136" t="s">
        <v>484</v>
      </c>
      <c r="C6088" s="132" t="s">
        <v>1376</v>
      </c>
      <c r="D6088" s="132" t="s">
        <v>285</v>
      </c>
      <c r="E6088" s="508">
        <v>0.42899999999999999</v>
      </c>
      <c r="F6088" s="508">
        <v>0.35899999999999999</v>
      </c>
      <c r="G6088" s="508">
        <v>0.32600000000000001</v>
      </c>
      <c r="H6088" s="508">
        <v>0.26900000000000002</v>
      </c>
      <c r="I6088" s="508">
        <v>0.255</v>
      </c>
      <c r="J6088" s="508">
        <v>0.22900000000000001</v>
      </c>
      <c r="K6088" s="508">
        <v>0.155</v>
      </c>
      <c r="L6088" s="508">
        <v>0.15</v>
      </c>
      <c r="M6088" s="508">
        <v>0.14599999999999999</v>
      </c>
      <c r="N6088" s="508">
        <v>0.17299999999999999</v>
      </c>
      <c r="O6088" s="508">
        <v>0.13500000000000001</v>
      </c>
      <c r="P6088" s="508">
        <v>9.4E-2</v>
      </c>
      <c r="Q6088" s="508">
        <v>8.1000000000000003E-2</v>
      </c>
      <c r="R6088" s="508">
        <v>8.5999999999999993E-2</v>
      </c>
      <c r="S6088" s="508">
        <v>9.1999999999999998E-2</v>
      </c>
      <c r="T6088" s="508">
        <v>7.6999999999999999E-2</v>
      </c>
      <c r="U6088" s="508">
        <v>7.6999999999999999E-2</v>
      </c>
      <c r="V6088" s="508">
        <v>0.04</v>
      </c>
      <c r="W6088" s="508">
        <v>5.0999999999999997E-2</v>
      </c>
      <c r="X6088" s="508">
        <v>2.3E-2</v>
      </c>
      <c r="Y6088" s="508">
        <v>2.3E-2</v>
      </c>
      <c r="Z6088" s="508">
        <v>1.7999999999999999E-2</v>
      </c>
      <c r="AA6088" s="508">
        <v>1.7999999999999999E-2</v>
      </c>
      <c r="AB6088" s="508">
        <v>1.6E-2</v>
      </c>
      <c r="AC6088" s="508">
        <v>1.6E-2</v>
      </c>
      <c r="AD6088" s="508">
        <v>1.4E-2</v>
      </c>
      <c r="AE6088" s="508">
        <v>1.4E-2</v>
      </c>
      <c r="AF6088" s="508">
        <v>8.9999999999999993E-3</v>
      </c>
      <c r="AG6088" s="508">
        <v>8.9999999999999993E-3</v>
      </c>
      <c r="AH6088" s="508">
        <v>8.9999999999999993E-3</v>
      </c>
      <c r="AI6088" s="492">
        <v>8.9999999999999993E-3</v>
      </c>
      <c r="AJ6088" s="485"/>
    </row>
    <row r="6089" spans="2:36">
      <c r="B6089" s="136" t="s">
        <v>486</v>
      </c>
      <c r="C6089" s="132" t="s">
        <v>1376</v>
      </c>
      <c r="D6089" s="132" t="s">
        <v>285</v>
      </c>
      <c r="E6089" s="508">
        <v>0.30399999999999999</v>
      </c>
      <c r="F6089" s="508">
        <v>0.26100000000000001</v>
      </c>
      <c r="G6089" s="508">
        <v>0.23899999999999999</v>
      </c>
      <c r="H6089" s="508">
        <v>0.191</v>
      </c>
      <c r="I6089" s="508">
        <v>0.182</v>
      </c>
      <c r="J6089" s="508">
        <v>0.17399999999999999</v>
      </c>
      <c r="K6089" s="508">
        <v>0.121</v>
      </c>
      <c r="L6089" s="508">
        <v>0.11799999999999999</v>
      </c>
      <c r="M6089" s="508">
        <v>0.115</v>
      </c>
      <c r="N6089" s="508">
        <v>0.11700000000000001</v>
      </c>
      <c r="O6089" s="508">
        <v>0.106</v>
      </c>
      <c r="P6089" s="508">
        <v>7.6999999999999999E-2</v>
      </c>
      <c r="Q6089" s="508">
        <v>6.0999999999999999E-2</v>
      </c>
      <c r="R6089" s="508">
        <v>6.5000000000000002E-2</v>
      </c>
      <c r="S6089" s="508">
        <v>7.6999999999999999E-2</v>
      </c>
      <c r="T6089" s="508">
        <v>6.3E-2</v>
      </c>
      <c r="U6089" s="508">
        <v>0.06</v>
      </c>
      <c r="V6089" s="508">
        <v>0.03</v>
      </c>
      <c r="W6089" s="508">
        <v>0.04</v>
      </c>
      <c r="X6089" s="508">
        <v>2.3E-2</v>
      </c>
      <c r="Y6089" s="508">
        <v>2.3E-2</v>
      </c>
      <c r="Z6089" s="508">
        <v>1.9E-2</v>
      </c>
      <c r="AA6089" s="508">
        <v>1.9E-2</v>
      </c>
      <c r="AB6089" s="508">
        <v>1.7000000000000001E-2</v>
      </c>
      <c r="AC6089" s="508">
        <v>1.7000000000000001E-2</v>
      </c>
      <c r="AD6089" s="508">
        <v>1.4999999999999999E-2</v>
      </c>
      <c r="AE6089" s="508">
        <v>1.4999999999999999E-2</v>
      </c>
      <c r="AF6089" s="508">
        <v>8.9999999999999993E-3</v>
      </c>
      <c r="AG6089" s="508">
        <v>8.9999999999999993E-3</v>
      </c>
      <c r="AH6089" s="508">
        <v>8.9999999999999993E-3</v>
      </c>
      <c r="AI6089" s="492">
        <v>8.9999999999999993E-3</v>
      </c>
      <c r="AJ6089" s="485"/>
    </row>
    <row r="6090" spans="2:36">
      <c r="B6090" s="136" t="s">
        <v>487</v>
      </c>
      <c r="C6090" s="132" t="s">
        <v>1376</v>
      </c>
      <c r="D6090" s="132" t="s">
        <v>285</v>
      </c>
      <c r="E6090" s="508">
        <v>0.40400000000000003</v>
      </c>
      <c r="F6090" s="508">
        <v>0.35099999999999998</v>
      </c>
      <c r="G6090" s="508">
        <v>0.32100000000000001</v>
      </c>
      <c r="H6090" s="508">
        <v>0.251</v>
      </c>
      <c r="I6090" s="508">
        <v>0.23799999999999999</v>
      </c>
      <c r="J6090" s="508">
        <v>0.23699999999999999</v>
      </c>
      <c r="K6090" s="508">
        <v>0.16200000000000001</v>
      </c>
      <c r="L6090" s="508">
        <v>0.158</v>
      </c>
      <c r="M6090" s="508">
        <v>0.154</v>
      </c>
      <c r="N6090" s="508">
        <v>0.15</v>
      </c>
      <c r="O6090" s="508">
        <v>0.14499999999999999</v>
      </c>
      <c r="P6090" s="508">
        <v>0.106</v>
      </c>
      <c r="Q6090" s="508">
        <v>8.2000000000000003E-2</v>
      </c>
      <c r="R6090" s="508">
        <v>8.6999999999999994E-2</v>
      </c>
      <c r="S6090" s="508">
        <v>0.106</v>
      </c>
      <c r="T6090" s="508">
        <v>8.5999999999999993E-2</v>
      </c>
      <c r="U6090" s="508">
        <v>7.6999999999999999E-2</v>
      </c>
      <c r="V6090" s="508">
        <v>3.9E-2</v>
      </c>
      <c r="W6090" s="508">
        <v>5.1999999999999998E-2</v>
      </c>
      <c r="X6090" s="508">
        <v>2.4E-2</v>
      </c>
      <c r="Y6090" s="508">
        <v>2.4E-2</v>
      </c>
      <c r="Z6090" s="508">
        <v>1.9E-2</v>
      </c>
      <c r="AA6090" s="508">
        <v>1.9E-2</v>
      </c>
      <c r="AB6090" s="508">
        <v>1.7000000000000001E-2</v>
      </c>
      <c r="AC6090" s="508">
        <v>1.7000000000000001E-2</v>
      </c>
      <c r="AD6090" s="508">
        <v>1.4999999999999999E-2</v>
      </c>
      <c r="AE6090" s="508">
        <v>1.4999999999999999E-2</v>
      </c>
      <c r="AF6090" s="508">
        <v>0.01</v>
      </c>
      <c r="AG6090" s="508">
        <v>0.01</v>
      </c>
      <c r="AH6090" s="508">
        <v>0.01</v>
      </c>
      <c r="AI6090" s="492">
        <v>0.01</v>
      </c>
      <c r="AJ6090" s="485"/>
    </row>
    <row r="6091" spans="2:36">
      <c r="B6091" s="136" t="s">
        <v>488</v>
      </c>
      <c r="C6091" s="132" t="s">
        <v>1376</v>
      </c>
      <c r="D6091" s="132" t="s">
        <v>285</v>
      </c>
      <c r="E6091" s="508">
        <v>0.31900000000000001</v>
      </c>
      <c r="F6091" s="508">
        <v>0.27500000000000002</v>
      </c>
      <c r="G6091" s="508">
        <v>0.251</v>
      </c>
      <c r="H6091" s="508">
        <v>0.20399999999999999</v>
      </c>
      <c r="I6091" s="508">
        <v>0.19500000000000001</v>
      </c>
      <c r="J6091" s="508">
        <v>0.182</v>
      </c>
      <c r="K6091" s="508">
        <v>0.123</v>
      </c>
      <c r="L6091" s="508">
        <v>0.12</v>
      </c>
      <c r="M6091" s="508">
        <v>0.11700000000000001</v>
      </c>
      <c r="N6091" s="508">
        <v>0.13100000000000001</v>
      </c>
      <c r="O6091" s="508">
        <v>0.11</v>
      </c>
      <c r="P6091" s="508">
        <v>7.8E-2</v>
      </c>
      <c r="Q6091" s="508">
        <v>6.5000000000000002E-2</v>
      </c>
      <c r="R6091" s="508">
        <v>6.9000000000000006E-2</v>
      </c>
      <c r="S6091" s="508">
        <v>7.8E-2</v>
      </c>
      <c r="T6091" s="508">
        <v>6.4000000000000001E-2</v>
      </c>
      <c r="U6091" s="508">
        <v>5.8999999999999997E-2</v>
      </c>
      <c r="V6091" s="508">
        <v>0.03</v>
      </c>
      <c r="W6091" s="508">
        <v>3.9E-2</v>
      </c>
      <c r="X6091" s="508">
        <v>2.1000000000000001E-2</v>
      </c>
      <c r="Y6091" s="508">
        <v>2.1000000000000001E-2</v>
      </c>
      <c r="Z6091" s="508">
        <v>1.7000000000000001E-2</v>
      </c>
      <c r="AA6091" s="508">
        <v>1.7000000000000001E-2</v>
      </c>
      <c r="AB6091" s="508">
        <v>1.4999999999999999E-2</v>
      </c>
      <c r="AC6091" s="508">
        <v>1.4999999999999999E-2</v>
      </c>
      <c r="AD6091" s="508">
        <v>1.4E-2</v>
      </c>
      <c r="AE6091" s="508">
        <v>1.4E-2</v>
      </c>
      <c r="AF6091" s="508">
        <v>8.9999999999999993E-3</v>
      </c>
      <c r="AG6091" s="508">
        <v>8.9999999999999993E-3</v>
      </c>
      <c r="AH6091" s="508">
        <v>8.9999999999999993E-3</v>
      </c>
      <c r="AI6091" s="492">
        <v>8.9999999999999993E-3</v>
      </c>
      <c r="AJ6091" s="485"/>
    </row>
    <row r="6092" spans="2:36">
      <c r="B6092" s="136" t="s">
        <v>489</v>
      </c>
      <c r="C6092" s="132" t="s">
        <v>1376</v>
      </c>
      <c r="D6092" s="132" t="s">
        <v>285</v>
      </c>
      <c r="E6092" s="508">
        <v>0.439</v>
      </c>
      <c r="F6092" s="508">
        <v>0.36499999999999999</v>
      </c>
      <c r="G6092" s="508">
        <v>0.33</v>
      </c>
      <c r="H6092" s="508">
        <v>0.26900000000000002</v>
      </c>
      <c r="I6092" s="508">
        <v>0.254</v>
      </c>
      <c r="J6092" s="508">
        <v>0.23100000000000001</v>
      </c>
      <c r="K6092" s="508">
        <v>0.161</v>
      </c>
      <c r="L6092" s="508">
        <v>0.156</v>
      </c>
      <c r="M6092" s="508">
        <v>0.151</v>
      </c>
      <c r="N6092" s="508">
        <v>0.16600000000000001</v>
      </c>
      <c r="O6092" s="508">
        <v>0.13700000000000001</v>
      </c>
      <c r="P6092" s="508">
        <v>9.7000000000000003E-2</v>
      </c>
      <c r="Q6092" s="508">
        <v>8.1000000000000003E-2</v>
      </c>
      <c r="R6092" s="508">
        <v>8.5999999999999993E-2</v>
      </c>
      <c r="S6092" s="508">
        <v>9.5000000000000001E-2</v>
      </c>
      <c r="T6092" s="508">
        <v>7.8E-2</v>
      </c>
      <c r="U6092" s="508">
        <v>7.2999999999999995E-2</v>
      </c>
      <c r="V6092" s="508">
        <v>3.7999999999999999E-2</v>
      </c>
      <c r="W6092" s="508">
        <v>4.8000000000000001E-2</v>
      </c>
      <c r="X6092" s="508">
        <v>2.1999999999999999E-2</v>
      </c>
      <c r="Y6092" s="508">
        <v>2.1999999999999999E-2</v>
      </c>
      <c r="Z6092" s="508">
        <v>1.7999999999999999E-2</v>
      </c>
      <c r="AA6092" s="508">
        <v>1.7999999999999999E-2</v>
      </c>
      <c r="AB6092" s="508">
        <v>1.6E-2</v>
      </c>
      <c r="AC6092" s="508">
        <v>1.4999999999999999E-2</v>
      </c>
      <c r="AD6092" s="508">
        <v>1.4E-2</v>
      </c>
      <c r="AE6092" s="508">
        <v>1.4E-2</v>
      </c>
      <c r="AF6092" s="508">
        <v>8.9999999999999993E-3</v>
      </c>
      <c r="AG6092" s="508">
        <v>8.9999999999999993E-3</v>
      </c>
      <c r="AH6092" s="508">
        <v>8.9999999999999993E-3</v>
      </c>
      <c r="AI6092" s="492">
        <v>8.9999999999999993E-3</v>
      </c>
      <c r="AJ6092" s="485"/>
    </row>
    <row r="6093" spans="2:36">
      <c r="B6093" s="136" t="s">
        <v>490</v>
      </c>
      <c r="C6093" s="132" t="s">
        <v>1376</v>
      </c>
      <c r="D6093" s="132" t="s">
        <v>285</v>
      </c>
      <c r="E6093" s="508">
        <v>0.43</v>
      </c>
      <c r="F6093" s="508">
        <v>0.378</v>
      </c>
      <c r="G6093" s="508">
        <v>0.34599999999999997</v>
      </c>
      <c r="H6093" s="508">
        <v>0.27700000000000002</v>
      </c>
      <c r="I6093" s="508">
        <v>0.26400000000000001</v>
      </c>
      <c r="J6093" s="508">
        <v>0.25600000000000001</v>
      </c>
      <c r="K6093" s="508">
        <v>0.16800000000000001</v>
      </c>
      <c r="L6093" s="508">
        <v>0.16400000000000001</v>
      </c>
      <c r="M6093" s="508">
        <v>0.16</v>
      </c>
      <c r="N6093" s="508">
        <v>0.17599999999999999</v>
      </c>
      <c r="O6093" s="508">
        <v>0.154</v>
      </c>
      <c r="P6093" s="508">
        <v>0.109</v>
      </c>
      <c r="Q6093" s="508">
        <v>0.09</v>
      </c>
      <c r="R6093" s="508">
        <v>9.5000000000000001E-2</v>
      </c>
      <c r="S6093" s="508">
        <v>0.11</v>
      </c>
      <c r="T6093" s="508">
        <v>9.0999999999999998E-2</v>
      </c>
      <c r="U6093" s="508">
        <v>8.2000000000000003E-2</v>
      </c>
      <c r="V6093" s="508">
        <v>4.2000000000000003E-2</v>
      </c>
      <c r="W6093" s="508">
        <v>5.5E-2</v>
      </c>
      <c r="X6093" s="508">
        <v>2.3E-2</v>
      </c>
      <c r="Y6093" s="508">
        <v>2.3E-2</v>
      </c>
      <c r="Z6093" s="508">
        <v>1.9E-2</v>
      </c>
      <c r="AA6093" s="508">
        <v>1.7999999999999999E-2</v>
      </c>
      <c r="AB6093" s="508">
        <v>1.6E-2</v>
      </c>
      <c r="AC6093" s="508">
        <v>1.6E-2</v>
      </c>
      <c r="AD6093" s="508">
        <v>1.4999999999999999E-2</v>
      </c>
      <c r="AE6093" s="508">
        <v>1.4E-2</v>
      </c>
      <c r="AF6093" s="508">
        <v>8.9999999999999993E-3</v>
      </c>
      <c r="AG6093" s="508">
        <v>8.9999999999999993E-3</v>
      </c>
      <c r="AH6093" s="508">
        <v>8.9999999999999993E-3</v>
      </c>
      <c r="AI6093" s="492">
        <v>8.9999999999999993E-3</v>
      </c>
      <c r="AJ6093" s="485"/>
    </row>
    <row r="6094" spans="2:36">
      <c r="B6094" s="136" t="s">
        <v>435</v>
      </c>
      <c r="C6094" s="132" t="s">
        <v>1377</v>
      </c>
      <c r="D6094" s="132" t="s">
        <v>285</v>
      </c>
      <c r="E6094" s="508"/>
      <c r="F6094" s="508"/>
      <c r="G6094" s="508"/>
      <c r="H6094" s="508"/>
      <c r="I6094" s="508"/>
      <c r="J6094" s="508">
        <v>0.309</v>
      </c>
      <c r="K6094" s="508">
        <v>0.309</v>
      </c>
      <c r="L6094" s="508">
        <v>0.309</v>
      </c>
      <c r="M6094" s="508">
        <v>0.309</v>
      </c>
      <c r="N6094" s="508">
        <v>0.309</v>
      </c>
      <c r="O6094" s="508">
        <v>0.309</v>
      </c>
      <c r="P6094" s="508">
        <v>0.23400000000000001</v>
      </c>
      <c r="Q6094" s="508">
        <v>0.23400000000000001</v>
      </c>
      <c r="R6094" s="508">
        <v>0.23400000000000001</v>
      </c>
      <c r="S6094" s="508">
        <v>0.23400000000000001</v>
      </c>
      <c r="T6094" s="508">
        <v>0.23400000000000001</v>
      </c>
      <c r="U6094" s="508">
        <v>0.17799999999999999</v>
      </c>
      <c r="V6094" s="508">
        <v>8.0000000000000002E-3</v>
      </c>
      <c r="W6094" s="508">
        <v>8.0000000000000002E-3</v>
      </c>
      <c r="X6094" s="508">
        <v>8.0000000000000002E-3</v>
      </c>
      <c r="Y6094" s="508">
        <v>8.0000000000000002E-3</v>
      </c>
      <c r="Z6094" s="508">
        <v>7.0000000000000001E-3</v>
      </c>
      <c r="AA6094" s="508">
        <v>3.0000000000000001E-3</v>
      </c>
      <c r="AB6094" s="508">
        <v>2E-3</v>
      </c>
      <c r="AC6094" s="508">
        <v>2E-3</v>
      </c>
      <c r="AD6094" s="508">
        <v>2E-3</v>
      </c>
      <c r="AE6094" s="508">
        <v>2E-3</v>
      </c>
      <c r="AF6094" s="508">
        <v>1E-3</v>
      </c>
      <c r="AG6094" s="508">
        <v>1E-3</v>
      </c>
      <c r="AH6094" s="508">
        <v>1E-3</v>
      </c>
      <c r="AI6094" s="492">
        <v>1E-3</v>
      </c>
      <c r="AJ6094" s="485"/>
    </row>
    <row r="6095" spans="2:36">
      <c r="B6095" s="136" t="s">
        <v>436</v>
      </c>
      <c r="C6095" s="132" t="s">
        <v>1377</v>
      </c>
      <c r="D6095" s="132" t="s">
        <v>285</v>
      </c>
      <c r="E6095" s="508"/>
      <c r="F6095" s="508"/>
      <c r="G6095" s="508"/>
      <c r="H6095" s="508"/>
      <c r="I6095" s="508"/>
      <c r="J6095" s="508">
        <v>0.33</v>
      </c>
      <c r="K6095" s="508">
        <v>0.33</v>
      </c>
      <c r="L6095" s="508">
        <v>0.33</v>
      </c>
      <c r="M6095" s="508">
        <v>0.33</v>
      </c>
      <c r="N6095" s="508">
        <v>0.32900000000000001</v>
      </c>
      <c r="O6095" s="508">
        <v>0.32900000000000001</v>
      </c>
      <c r="P6095" s="508">
        <v>0.25</v>
      </c>
      <c r="Q6095" s="508">
        <v>0.25</v>
      </c>
      <c r="R6095" s="508">
        <v>0.25</v>
      </c>
      <c r="S6095" s="508">
        <v>0.25</v>
      </c>
      <c r="T6095" s="508">
        <v>0.25</v>
      </c>
      <c r="U6095" s="508">
        <v>0.189</v>
      </c>
      <c r="V6095" s="508">
        <v>8.0000000000000002E-3</v>
      </c>
      <c r="W6095" s="508">
        <v>8.0000000000000002E-3</v>
      </c>
      <c r="X6095" s="508">
        <v>8.0000000000000002E-3</v>
      </c>
      <c r="Y6095" s="508">
        <v>8.0000000000000002E-3</v>
      </c>
      <c r="Z6095" s="508">
        <v>7.0000000000000001E-3</v>
      </c>
      <c r="AA6095" s="508">
        <v>3.0000000000000001E-3</v>
      </c>
      <c r="AB6095" s="508">
        <v>2E-3</v>
      </c>
      <c r="AC6095" s="508">
        <v>2E-3</v>
      </c>
      <c r="AD6095" s="508">
        <v>2E-3</v>
      </c>
      <c r="AE6095" s="508">
        <v>2E-3</v>
      </c>
      <c r="AF6095" s="508">
        <v>1E-3</v>
      </c>
      <c r="AG6095" s="508">
        <v>1E-3</v>
      </c>
      <c r="AH6095" s="508">
        <v>1E-3</v>
      </c>
      <c r="AI6095" s="492">
        <v>1E-3</v>
      </c>
      <c r="AJ6095" s="485"/>
    </row>
    <row r="6096" spans="2:36">
      <c r="B6096" s="136" t="s">
        <v>437</v>
      </c>
      <c r="C6096" s="132" t="s">
        <v>1377</v>
      </c>
      <c r="D6096" s="132" t="s">
        <v>285</v>
      </c>
      <c r="E6096" s="508"/>
      <c r="F6096" s="508"/>
      <c r="G6096" s="508"/>
      <c r="H6096" s="508"/>
      <c r="I6096" s="508"/>
      <c r="J6096" s="508">
        <v>0.32600000000000001</v>
      </c>
      <c r="K6096" s="508">
        <v>0.32500000000000001</v>
      </c>
      <c r="L6096" s="508">
        <v>0.32500000000000001</v>
      </c>
      <c r="M6096" s="508">
        <v>0.32500000000000001</v>
      </c>
      <c r="N6096" s="508">
        <v>0.32500000000000001</v>
      </c>
      <c r="O6096" s="508">
        <v>0.32500000000000001</v>
      </c>
      <c r="P6096" s="508">
        <v>0.247</v>
      </c>
      <c r="Q6096" s="508">
        <v>0.247</v>
      </c>
      <c r="R6096" s="508">
        <v>0.247</v>
      </c>
      <c r="S6096" s="508">
        <v>0.247</v>
      </c>
      <c r="T6096" s="508">
        <v>0.246</v>
      </c>
      <c r="U6096" s="508">
        <v>0.187</v>
      </c>
      <c r="V6096" s="508">
        <v>8.9999999999999993E-3</v>
      </c>
      <c r="W6096" s="508">
        <v>8.9999999999999993E-3</v>
      </c>
      <c r="X6096" s="508">
        <v>8.9999999999999993E-3</v>
      </c>
      <c r="Y6096" s="508">
        <v>8.9999999999999993E-3</v>
      </c>
      <c r="Z6096" s="508">
        <v>7.0000000000000001E-3</v>
      </c>
      <c r="AA6096" s="508">
        <v>3.0000000000000001E-3</v>
      </c>
      <c r="AB6096" s="508">
        <v>2E-3</v>
      </c>
      <c r="AC6096" s="508">
        <v>2E-3</v>
      </c>
      <c r="AD6096" s="508">
        <v>2E-3</v>
      </c>
      <c r="AE6096" s="508">
        <v>2E-3</v>
      </c>
      <c r="AF6096" s="508">
        <v>1E-3</v>
      </c>
      <c r="AG6096" s="508">
        <v>1E-3</v>
      </c>
      <c r="AH6096" s="508">
        <v>1E-3</v>
      </c>
      <c r="AI6096" s="492">
        <v>1E-3</v>
      </c>
      <c r="AJ6096" s="485"/>
    </row>
    <row r="6097" spans="2:36">
      <c r="B6097" s="136" t="s">
        <v>438</v>
      </c>
      <c r="C6097" s="132" t="s">
        <v>1377</v>
      </c>
      <c r="D6097" s="132" t="s">
        <v>285</v>
      </c>
      <c r="E6097" s="508"/>
      <c r="F6097" s="508"/>
      <c r="G6097" s="508"/>
      <c r="H6097" s="508"/>
      <c r="I6097" s="508"/>
      <c r="J6097" s="508">
        <v>0.33200000000000002</v>
      </c>
      <c r="K6097" s="508">
        <v>0.33200000000000002</v>
      </c>
      <c r="L6097" s="508">
        <v>0.33200000000000002</v>
      </c>
      <c r="M6097" s="508">
        <v>0.33200000000000002</v>
      </c>
      <c r="N6097" s="508">
        <v>0.33200000000000002</v>
      </c>
      <c r="O6097" s="508">
        <v>0.33200000000000002</v>
      </c>
      <c r="P6097" s="508">
        <v>0.252</v>
      </c>
      <c r="Q6097" s="508">
        <v>0.251</v>
      </c>
      <c r="R6097" s="508">
        <v>0.251</v>
      </c>
      <c r="S6097" s="508">
        <v>0.251</v>
      </c>
      <c r="T6097" s="508">
        <v>0.251</v>
      </c>
      <c r="U6097" s="508">
        <v>0.191</v>
      </c>
      <c r="V6097" s="508">
        <v>8.0000000000000002E-3</v>
      </c>
      <c r="W6097" s="508">
        <v>8.0000000000000002E-3</v>
      </c>
      <c r="X6097" s="508">
        <v>8.0000000000000002E-3</v>
      </c>
      <c r="Y6097" s="508">
        <v>8.0000000000000002E-3</v>
      </c>
      <c r="Z6097" s="508">
        <v>7.0000000000000001E-3</v>
      </c>
      <c r="AA6097" s="508">
        <v>3.0000000000000001E-3</v>
      </c>
      <c r="AB6097" s="508">
        <v>2E-3</v>
      </c>
      <c r="AC6097" s="508">
        <v>2E-3</v>
      </c>
      <c r="AD6097" s="508">
        <v>2E-3</v>
      </c>
      <c r="AE6097" s="508">
        <v>2E-3</v>
      </c>
      <c r="AF6097" s="508">
        <v>1E-3</v>
      </c>
      <c r="AG6097" s="508">
        <v>1E-3</v>
      </c>
      <c r="AH6097" s="508">
        <v>1E-3</v>
      </c>
      <c r="AI6097" s="492">
        <v>1E-3</v>
      </c>
      <c r="AJ6097" s="485"/>
    </row>
    <row r="6098" spans="2:36">
      <c r="B6098" s="136" t="s">
        <v>439</v>
      </c>
      <c r="C6098" s="132" t="s">
        <v>1377</v>
      </c>
      <c r="D6098" s="132" t="s">
        <v>285</v>
      </c>
      <c r="E6098" s="508"/>
      <c r="F6098" s="508"/>
      <c r="G6098" s="508"/>
      <c r="H6098" s="508"/>
      <c r="I6098" s="508"/>
      <c r="J6098" s="508">
        <v>0.33700000000000002</v>
      </c>
      <c r="K6098" s="508">
        <v>0.33700000000000002</v>
      </c>
      <c r="L6098" s="508">
        <v>0.33700000000000002</v>
      </c>
      <c r="M6098" s="508">
        <v>0.33700000000000002</v>
      </c>
      <c r="N6098" s="508">
        <v>0.33700000000000002</v>
      </c>
      <c r="O6098" s="508">
        <v>0.33700000000000002</v>
      </c>
      <c r="P6098" s="508">
        <v>0.25600000000000001</v>
      </c>
      <c r="Q6098" s="508">
        <v>0.255</v>
      </c>
      <c r="R6098" s="508">
        <v>0.255</v>
      </c>
      <c r="S6098" s="508">
        <v>0.255</v>
      </c>
      <c r="T6098" s="508">
        <v>0.255</v>
      </c>
      <c r="U6098" s="508">
        <v>0.19400000000000001</v>
      </c>
      <c r="V6098" s="508">
        <v>8.9999999999999993E-3</v>
      </c>
      <c r="W6098" s="508">
        <v>8.9999999999999993E-3</v>
      </c>
      <c r="X6098" s="508">
        <v>8.9999999999999993E-3</v>
      </c>
      <c r="Y6098" s="508">
        <v>8.9999999999999993E-3</v>
      </c>
      <c r="Z6098" s="508">
        <v>7.0000000000000001E-3</v>
      </c>
      <c r="AA6098" s="508">
        <v>3.0000000000000001E-3</v>
      </c>
      <c r="AB6098" s="508">
        <v>3.0000000000000001E-3</v>
      </c>
      <c r="AC6098" s="508">
        <v>3.0000000000000001E-3</v>
      </c>
      <c r="AD6098" s="508">
        <v>2E-3</v>
      </c>
      <c r="AE6098" s="508">
        <v>2E-3</v>
      </c>
      <c r="AF6098" s="508">
        <v>1E-3</v>
      </c>
      <c r="AG6098" s="508">
        <v>1E-3</v>
      </c>
      <c r="AH6098" s="508">
        <v>1E-3</v>
      </c>
      <c r="AI6098" s="492">
        <v>1E-3</v>
      </c>
      <c r="AJ6098" s="485"/>
    </row>
    <row r="6099" spans="2:36">
      <c r="B6099" s="136" t="s">
        <v>440</v>
      </c>
      <c r="C6099" s="132" t="s">
        <v>1377</v>
      </c>
      <c r="D6099" s="132" t="s">
        <v>285</v>
      </c>
      <c r="E6099" s="508"/>
      <c r="F6099" s="508"/>
      <c r="G6099" s="508"/>
      <c r="H6099" s="508"/>
      <c r="I6099" s="508"/>
      <c r="J6099" s="508">
        <v>0.33</v>
      </c>
      <c r="K6099" s="508">
        <v>0.33</v>
      </c>
      <c r="L6099" s="508">
        <v>0.33</v>
      </c>
      <c r="M6099" s="508">
        <v>0.33</v>
      </c>
      <c r="N6099" s="508">
        <v>0.33</v>
      </c>
      <c r="O6099" s="508">
        <v>0.33</v>
      </c>
      <c r="P6099" s="508">
        <v>0.25</v>
      </c>
      <c r="Q6099" s="508">
        <v>0.25</v>
      </c>
      <c r="R6099" s="508">
        <v>0.25</v>
      </c>
      <c r="S6099" s="508">
        <v>0.25</v>
      </c>
      <c r="T6099" s="508">
        <v>0.25</v>
      </c>
      <c r="U6099" s="508">
        <v>0.19</v>
      </c>
      <c r="V6099" s="508">
        <v>8.9999999999999993E-3</v>
      </c>
      <c r="W6099" s="508">
        <v>8.9999999999999993E-3</v>
      </c>
      <c r="X6099" s="508">
        <v>8.9999999999999993E-3</v>
      </c>
      <c r="Y6099" s="508">
        <v>8.9999999999999993E-3</v>
      </c>
      <c r="Z6099" s="508">
        <v>7.0000000000000001E-3</v>
      </c>
      <c r="AA6099" s="508">
        <v>3.0000000000000001E-3</v>
      </c>
      <c r="AB6099" s="508">
        <v>2E-3</v>
      </c>
      <c r="AC6099" s="508">
        <v>2E-3</v>
      </c>
      <c r="AD6099" s="508">
        <v>2E-3</v>
      </c>
      <c r="AE6099" s="508">
        <v>2E-3</v>
      </c>
      <c r="AF6099" s="508">
        <v>1E-3</v>
      </c>
      <c r="AG6099" s="508">
        <v>1E-3</v>
      </c>
      <c r="AH6099" s="508">
        <v>1E-3</v>
      </c>
      <c r="AI6099" s="492">
        <v>1E-3</v>
      </c>
      <c r="AJ6099" s="485"/>
    </row>
    <row r="6100" spans="2:36">
      <c r="B6100" s="136" t="s">
        <v>441</v>
      </c>
      <c r="C6100" s="132" t="s">
        <v>1377</v>
      </c>
      <c r="D6100" s="132" t="s">
        <v>285</v>
      </c>
      <c r="E6100" s="508"/>
      <c r="F6100" s="508"/>
      <c r="G6100" s="508"/>
      <c r="H6100" s="508"/>
      <c r="I6100" s="508"/>
      <c r="J6100" s="508">
        <v>0.34200000000000003</v>
      </c>
      <c r="K6100" s="508">
        <v>0.34200000000000003</v>
      </c>
      <c r="L6100" s="508">
        <v>0.34200000000000003</v>
      </c>
      <c r="M6100" s="508">
        <v>0.34200000000000003</v>
      </c>
      <c r="N6100" s="508">
        <v>0.34200000000000003</v>
      </c>
      <c r="O6100" s="508">
        <v>0.34200000000000003</v>
      </c>
      <c r="P6100" s="508">
        <v>0.25900000000000001</v>
      </c>
      <c r="Q6100" s="508">
        <v>0.25900000000000001</v>
      </c>
      <c r="R6100" s="508">
        <v>0.25900000000000001</v>
      </c>
      <c r="S6100" s="508">
        <v>0.25900000000000001</v>
      </c>
      <c r="T6100" s="508">
        <v>0.25900000000000001</v>
      </c>
      <c r="U6100" s="508">
        <v>0.19600000000000001</v>
      </c>
      <c r="V6100" s="508">
        <v>8.9999999999999993E-3</v>
      </c>
      <c r="W6100" s="508">
        <v>8.9999999999999993E-3</v>
      </c>
      <c r="X6100" s="508">
        <v>8.9999999999999993E-3</v>
      </c>
      <c r="Y6100" s="508">
        <v>8.9999999999999993E-3</v>
      </c>
      <c r="Z6100" s="508">
        <v>7.0000000000000001E-3</v>
      </c>
      <c r="AA6100" s="508">
        <v>3.0000000000000001E-3</v>
      </c>
      <c r="AB6100" s="508">
        <v>3.0000000000000001E-3</v>
      </c>
      <c r="AC6100" s="508">
        <v>3.0000000000000001E-3</v>
      </c>
      <c r="AD6100" s="508">
        <v>2E-3</v>
      </c>
      <c r="AE6100" s="508">
        <v>2E-3</v>
      </c>
      <c r="AF6100" s="508">
        <v>1E-3</v>
      </c>
      <c r="AG6100" s="508">
        <v>1E-3</v>
      </c>
      <c r="AH6100" s="508">
        <v>1E-3</v>
      </c>
      <c r="AI6100" s="492">
        <v>1E-3</v>
      </c>
      <c r="AJ6100" s="485"/>
    </row>
    <row r="6101" spans="2:36">
      <c r="B6101" s="136" t="s">
        <v>443</v>
      </c>
      <c r="C6101" s="132" t="s">
        <v>1377</v>
      </c>
      <c r="D6101" s="132" t="s">
        <v>285</v>
      </c>
      <c r="E6101" s="508"/>
      <c r="F6101" s="508"/>
      <c r="G6101" s="508"/>
      <c r="H6101" s="508"/>
      <c r="I6101" s="508"/>
      <c r="J6101" s="508">
        <v>0.29299999999999998</v>
      </c>
      <c r="K6101" s="508">
        <v>0.29299999999999998</v>
      </c>
      <c r="L6101" s="508">
        <v>0.29299999999999998</v>
      </c>
      <c r="M6101" s="508">
        <v>0.29299999999999998</v>
      </c>
      <c r="N6101" s="508">
        <v>0.29199999999999998</v>
      </c>
      <c r="O6101" s="508">
        <v>0.29199999999999998</v>
      </c>
      <c r="P6101" s="508">
        <v>0.222</v>
      </c>
      <c r="Q6101" s="508">
        <v>0.222</v>
      </c>
      <c r="R6101" s="508">
        <v>0.222</v>
      </c>
      <c r="S6101" s="508">
        <v>0.222</v>
      </c>
      <c r="T6101" s="508">
        <v>0.222</v>
      </c>
      <c r="U6101" s="508">
        <v>0.16800000000000001</v>
      </c>
      <c r="V6101" s="508">
        <v>8.0000000000000002E-3</v>
      </c>
      <c r="W6101" s="508">
        <v>8.0000000000000002E-3</v>
      </c>
      <c r="X6101" s="508">
        <v>8.0000000000000002E-3</v>
      </c>
      <c r="Y6101" s="508">
        <v>8.0000000000000002E-3</v>
      </c>
      <c r="Z6101" s="508">
        <v>7.0000000000000001E-3</v>
      </c>
      <c r="AA6101" s="508">
        <v>2E-3</v>
      </c>
      <c r="AB6101" s="508">
        <v>2E-3</v>
      </c>
      <c r="AC6101" s="508">
        <v>2E-3</v>
      </c>
      <c r="AD6101" s="508">
        <v>2E-3</v>
      </c>
      <c r="AE6101" s="508">
        <v>2E-3</v>
      </c>
      <c r="AF6101" s="508">
        <v>1E-3</v>
      </c>
      <c r="AG6101" s="508">
        <v>1E-3</v>
      </c>
      <c r="AH6101" s="508">
        <v>1E-3</v>
      </c>
      <c r="AI6101" s="492">
        <v>1E-3</v>
      </c>
      <c r="AJ6101" s="485"/>
    </row>
    <row r="6102" spans="2:36">
      <c r="B6102" s="136" t="s">
        <v>445</v>
      </c>
      <c r="C6102" s="132" t="s">
        <v>1377</v>
      </c>
      <c r="D6102" s="132" t="s">
        <v>285</v>
      </c>
      <c r="E6102" s="508"/>
      <c r="F6102" s="508"/>
      <c r="G6102" s="508"/>
      <c r="H6102" s="508"/>
      <c r="I6102" s="508"/>
      <c r="J6102" s="508">
        <v>0.28499999999999998</v>
      </c>
      <c r="K6102" s="508">
        <v>0.28499999999999998</v>
      </c>
      <c r="L6102" s="508">
        <v>0.28499999999999998</v>
      </c>
      <c r="M6102" s="508">
        <v>0.28499999999999998</v>
      </c>
      <c r="N6102" s="508">
        <v>0.28499999999999998</v>
      </c>
      <c r="O6102" s="508">
        <v>0.28499999999999998</v>
      </c>
      <c r="P6102" s="508">
        <v>0.216</v>
      </c>
      <c r="Q6102" s="508">
        <v>0.216</v>
      </c>
      <c r="R6102" s="508">
        <v>0.216</v>
      </c>
      <c r="S6102" s="508">
        <v>0.216</v>
      </c>
      <c r="T6102" s="508">
        <v>0.216</v>
      </c>
      <c r="U6102" s="508">
        <v>0.16400000000000001</v>
      </c>
      <c r="V6102" s="508">
        <v>8.0000000000000002E-3</v>
      </c>
      <c r="W6102" s="508">
        <v>8.0000000000000002E-3</v>
      </c>
      <c r="X6102" s="508">
        <v>8.0000000000000002E-3</v>
      </c>
      <c r="Y6102" s="508">
        <v>8.0000000000000002E-3</v>
      </c>
      <c r="Z6102" s="508">
        <v>7.0000000000000001E-3</v>
      </c>
      <c r="AA6102" s="508">
        <v>3.0000000000000001E-3</v>
      </c>
      <c r="AB6102" s="508">
        <v>2E-3</v>
      </c>
      <c r="AC6102" s="508">
        <v>2E-3</v>
      </c>
      <c r="AD6102" s="508">
        <v>2E-3</v>
      </c>
      <c r="AE6102" s="508">
        <v>2E-3</v>
      </c>
      <c r="AF6102" s="508">
        <v>1E-3</v>
      </c>
      <c r="AG6102" s="508">
        <v>1E-3</v>
      </c>
      <c r="AH6102" s="508">
        <v>1E-3</v>
      </c>
      <c r="AI6102" s="492">
        <v>1E-3</v>
      </c>
      <c r="AJ6102" s="485"/>
    </row>
    <row r="6103" spans="2:36">
      <c r="B6103" s="136" t="s">
        <v>446</v>
      </c>
      <c r="C6103" s="132" t="s">
        <v>1377</v>
      </c>
      <c r="D6103" s="132" t="s">
        <v>285</v>
      </c>
      <c r="E6103" s="508"/>
      <c r="F6103" s="508"/>
      <c r="G6103" s="508"/>
      <c r="H6103" s="508"/>
      <c r="I6103" s="508"/>
      <c r="J6103" s="508">
        <v>0.29799999999999999</v>
      </c>
      <c r="K6103" s="508">
        <v>0.29799999999999999</v>
      </c>
      <c r="L6103" s="508">
        <v>0.29799999999999999</v>
      </c>
      <c r="M6103" s="508">
        <v>0.29799999999999999</v>
      </c>
      <c r="N6103" s="508">
        <v>0.29799999999999999</v>
      </c>
      <c r="O6103" s="508">
        <v>0.29799999999999999</v>
      </c>
      <c r="P6103" s="508">
        <v>0.22600000000000001</v>
      </c>
      <c r="Q6103" s="508">
        <v>0.22600000000000001</v>
      </c>
      <c r="R6103" s="508">
        <v>0.22600000000000001</v>
      </c>
      <c r="S6103" s="508">
        <v>0.22600000000000001</v>
      </c>
      <c r="T6103" s="508">
        <v>0.22600000000000001</v>
      </c>
      <c r="U6103" s="508">
        <v>0.17100000000000001</v>
      </c>
      <c r="V6103" s="508">
        <v>8.0000000000000002E-3</v>
      </c>
      <c r="W6103" s="508">
        <v>8.0000000000000002E-3</v>
      </c>
      <c r="X6103" s="508">
        <v>8.0000000000000002E-3</v>
      </c>
      <c r="Y6103" s="508">
        <v>8.0000000000000002E-3</v>
      </c>
      <c r="Z6103" s="508">
        <v>7.0000000000000001E-3</v>
      </c>
      <c r="AA6103" s="508">
        <v>3.0000000000000001E-3</v>
      </c>
      <c r="AB6103" s="508">
        <v>2E-3</v>
      </c>
      <c r="AC6103" s="508">
        <v>2E-3</v>
      </c>
      <c r="AD6103" s="508">
        <v>2E-3</v>
      </c>
      <c r="AE6103" s="508">
        <v>2E-3</v>
      </c>
      <c r="AF6103" s="508">
        <v>1E-3</v>
      </c>
      <c r="AG6103" s="508">
        <v>1E-3</v>
      </c>
      <c r="AH6103" s="508">
        <v>1E-3</v>
      </c>
      <c r="AI6103" s="492">
        <v>1E-3</v>
      </c>
      <c r="AJ6103" s="485"/>
    </row>
    <row r="6104" spans="2:36">
      <c r="B6104" s="136" t="s">
        <v>448</v>
      </c>
      <c r="C6104" s="132" t="s">
        <v>1377</v>
      </c>
      <c r="D6104" s="132" t="s">
        <v>285</v>
      </c>
      <c r="E6104" s="508"/>
      <c r="F6104" s="508"/>
      <c r="G6104" s="508"/>
      <c r="H6104" s="508"/>
      <c r="I6104" s="508"/>
      <c r="J6104" s="508">
        <v>0.32700000000000001</v>
      </c>
      <c r="K6104" s="508">
        <v>0.32700000000000001</v>
      </c>
      <c r="L6104" s="508">
        <v>0.32700000000000001</v>
      </c>
      <c r="M6104" s="508">
        <v>0.32700000000000001</v>
      </c>
      <c r="N6104" s="508">
        <v>0.32700000000000001</v>
      </c>
      <c r="O6104" s="508">
        <v>0.32700000000000001</v>
      </c>
      <c r="P6104" s="508">
        <v>0.248</v>
      </c>
      <c r="Q6104" s="508">
        <v>0.248</v>
      </c>
      <c r="R6104" s="508">
        <v>0.248</v>
      </c>
      <c r="S6104" s="508">
        <v>0.248</v>
      </c>
      <c r="T6104" s="508">
        <v>0.248</v>
      </c>
      <c r="U6104" s="508">
        <v>0.188</v>
      </c>
      <c r="V6104" s="508">
        <v>8.0000000000000002E-3</v>
      </c>
      <c r="W6104" s="508">
        <v>8.0000000000000002E-3</v>
      </c>
      <c r="X6104" s="508">
        <v>8.0000000000000002E-3</v>
      </c>
      <c r="Y6104" s="508">
        <v>8.0000000000000002E-3</v>
      </c>
      <c r="Z6104" s="508">
        <v>7.0000000000000001E-3</v>
      </c>
      <c r="AA6104" s="508">
        <v>3.0000000000000001E-3</v>
      </c>
      <c r="AB6104" s="508">
        <v>2E-3</v>
      </c>
      <c r="AC6104" s="508">
        <v>2E-3</v>
      </c>
      <c r="AD6104" s="508">
        <v>2E-3</v>
      </c>
      <c r="AE6104" s="508">
        <v>2E-3</v>
      </c>
      <c r="AF6104" s="508">
        <v>1E-3</v>
      </c>
      <c r="AG6104" s="508">
        <v>1E-3</v>
      </c>
      <c r="AH6104" s="508">
        <v>1E-3</v>
      </c>
      <c r="AI6104" s="492">
        <v>1E-3</v>
      </c>
      <c r="AJ6104" s="485"/>
    </row>
    <row r="6105" spans="2:36">
      <c r="B6105" s="136" t="s">
        <v>449</v>
      </c>
      <c r="C6105" s="132" t="s">
        <v>1377</v>
      </c>
      <c r="D6105" s="132" t="s">
        <v>285</v>
      </c>
      <c r="E6105" s="508"/>
      <c r="F6105" s="508"/>
      <c r="G6105" s="508"/>
      <c r="H6105" s="508"/>
      <c r="I6105" s="508"/>
      <c r="J6105" s="508">
        <v>0.29899999999999999</v>
      </c>
      <c r="K6105" s="508">
        <v>0.29899999999999999</v>
      </c>
      <c r="L6105" s="508">
        <v>0.29899999999999999</v>
      </c>
      <c r="M6105" s="508">
        <v>0.29899999999999999</v>
      </c>
      <c r="N6105" s="508">
        <v>0.29899999999999999</v>
      </c>
      <c r="O6105" s="508">
        <v>0.29899999999999999</v>
      </c>
      <c r="P6105" s="508">
        <v>0.22700000000000001</v>
      </c>
      <c r="Q6105" s="508">
        <v>0.22700000000000001</v>
      </c>
      <c r="R6105" s="508">
        <v>0.22700000000000001</v>
      </c>
      <c r="S6105" s="508">
        <v>0.22700000000000001</v>
      </c>
      <c r="T6105" s="508">
        <v>0.22700000000000001</v>
      </c>
      <c r="U6105" s="508">
        <v>0.17199999999999999</v>
      </c>
      <c r="V6105" s="508">
        <v>8.0000000000000002E-3</v>
      </c>
      <c r="W6105" s="508">
        <v>8.0000000000000002E-3</v>
      </c>
      <c r="X6105" s="508">
        <v>8.0000000000000002E-3</v>
      </c>
      <c r="Y6105" s="508">
        <v>8.0000000000000002E-3</v>
      </c>
      <c r="Z6105" s="508">
        <v>7.0000000000000001E-3</v>
      </c>
      <c r="AA6105" s="508">
        <v>3.0000000000000001E-3</v>
      </c>
      <c r="AB6105" s="508">
        <v>2E-3</v>
      </c>
      <c r="AC6105" s="508">
        <v>2E-3</v>
      </c>
      <c r="AD6105" s="508">
        <v>2E-3</v>
      </c>
      <c r="AE6105" s="508">
        <v>2E-3</v>
      </c>
      <c r="AF6105" s="508">
        <v>1E-3</v>
      </c>
      <c r="AG6105" s="508">
        <v>1E-3</v>
      </c>
      <c r="AH6105" s="508">
        <v>1E-3</v>
      </c>
      <c r="AI6105" s="492">
        <v>1E-3</v>
      </c>
      <c r="AJ6105" s="485"/>
    </row>
    <row r="6106" spans="2:36">
      <c r="B6106" s="136" t="s">
        <v>450</v>
      </c>
      <c r="C6106" s="132" t="s">
        <v>1377</v>
      </c>
      <c r="D6106" s="132" t="s">
        <v>285</v>
      </c>
      <c r="E6106" s="508"/>
      <c r="F6106" s="508"/>
      <c r="G6106" s="508"/>
      <c r="H6106" s="508"/>
      <c r="I6106" s="508"/>
      <c r="J6106" s="508">
        <v>0.32</v>
      </c>
      <c r="K6106" s="508">
        <v>0.32</v>
      </c>
      <c r="L6106" s="508">
        <v>0.32</v>
      </c>
      <c r="M6106" s="508">
        <v>0.32</v>
      </c>
      <c r="N6106" s="508">
        <v>0.32</v>
      </c>
      <c r="O6106" s="508">
        <v>0.32</v>
      </c>
      <c r="P6106" s="508">
        <v>0.24299999999999999</v>
      </c>
      <c r="Q6106" s="508">
        <v>0.24299999999999999</v>
      </c>
      <c r="R6106" s="508">
        <v>0.24299999999999999</v>
      </c>
      <c r="S6106" s="508">
        <v>0.24199999999999999</v>
      </c>
      <c r="T6106" s="508">
        <v>0.24199999999999999</v>
      </c>
      <c r="U6106" s="508">
        <v>0.184</v>
      </c>
      <c r="V6106" s="508">
        <v>8.0000000000000002E-3</v>
      </c>
      <c r="W6106" s="508">
        <v>8.0000000000000002E-3</v>
      </c>
      <c r="X6106" s="508">
        <v>8.0000000000000002E-3</v>
      </c>
      <c r="Y6106" s="508">
        <v>8.0000000000000002E-3</v>
      </c>
      <c r="Z6106" s="508">
        <v>7.0000000000000001E-3</v>
      </c>
      <c r="AA6106" s="508">
        <v>3.0000000000000001E-3</v>
      </c>
      <c r="AB6106" s="508">
        <v>2E-3</v>
      </c>
      <c r="AC6106" s="508">
        <v>2E-3</v>
      </c>
      <c r="AD6106" s="508">
        <v>2E-3</v>
      </c>
      <c r="AE6106" s="508">
        <v>2E-3</v>
      </c>
      <c r="AF6106" s="508">
        <v>1E-3</v>
      </c>
      <c r="AG6106" s="508">
        <v>1E-3</v>
      </c>
      <c r="AH6106" s="508">
        <v>1E-3</v>
      </c>
      <c r="AI6106" s="492">
        <v>1E-3</v>
      </c>
      <c r="AJ6106" s="485"/>
    </row>
    <row r="6107" spans="2:36">
      <c r="B6107" s="136" t="s">
        <v>451</v>
      </c>
      <c r="C6107" s="132" t="s">
        <v>1377</v>
      </c>
      <c r="D6107" s="132" t="s">
        <v>285</v>
      </c>
      <c r="E6107" s="508"/>
      <c r="F6107" s="508"/>
      <c r="G6107" s="508"/>
      <c r="H6107" s="508"/>
      <c r="I6107" s="508"/>
      <c r="J6107" s="508">
        <v>0.307</v>
      </c>
      <c r="K6107" s="508">
        <v>0.307</v>
      </c>
      <c r="L6107" s="508">
        <v>0.307</v>
      </c>
      <c r="M6107" s="508">
        <v>0.307</v>
      </c>
      <c r="N6107" s="508">
        <v>0.307</v>
      </c>
      <c r="O6107" s="508">
        <v>0.307</v>
      </c>
      <c r="P6107" s="508">
        <v>0.23300000000000001</v>
      </c>
      <c r="Q6107" s="508">
        <v>0.23300000000000001</v>
      </c>
      <c r="R6107" s="508">
        <v>0.23200000000000001</v>
      </c>
      <c r="S6107" s="508">
        <v>0.23200000000000001</v>
      </c>
      <c r="T6107" s="508">
        <v>0.23200000000000001</v>
      </c>
      <c r="U6107" s="508">
        <v>0.17599999999999999</v>
      </c>
      <c r="V6107" s="508">
        <v>8.9999999999999993E-3</v>
      </c>
      <c r="W6107" s="508">
        <v>8.9999999999999993E-3</v>
      </c>
      <c r="X6107" s="508">
        <v>8.9999999999999993E-3</v>
      </c>
      <c r="Y6107" s="508">
        <v>8.0000000000000002E-3</v>
      </c>
      <c r="Z6107" s="508">
        <v>7.0000000000000001E-3</v>
      </c>
      <c r="AA6107" s="508">
        <v>3.0000000000000001E-3</v>
      </c>
      <c r="AB6107" s="508">
        <v>2E-3</v>
      </c>
      <c r="AC6107" s="508">
        <v>2E-3</v>
      </c>
      <c r="AD6107" s="508">
        <v>2E-3</v>
      </c>
      <c r="AE6107" s="508">
        <v>2E-3</v>
      </c>
      <c r="AF6107" s="508">
        <v>1E-3</v>
      </c>
      <c r="AG6107" s="508">
        <v>1E-3</v>
      </c>
      <c r="AH6107" s="508">
        <v>1E-3</v>
      </c>
      <c r="AI6107" s="492">
        <v>1E-3</v>
      </c>
      <c r="AJ6107" s="485"/>
    </row>
    <row r="6108" spans="2:36">
      <c r="B6108" s="136" t="s">
        <v>452</v>
      </c>
      <c r="C6108" s="132" t="s">
        <v>1377</v>
      </c>
      <c r="D6108" s="132" t="s">
        <v>285</v>
      </c>
      <c r="E6108" s="508"/>
      <c r="F6108" s="508"/>
      <c r="G6108" s="508"/>
      <c r="H6108" s="508"/>
      <c r="I6108" s="508"/>
      <c r="J6108" s="508">
        <v>0.309</v>
      </c>
      <c r="K6108" s="508">
        <v>0.309</v>
      </c>
      <c r="L6108" s="508">
        <v>0.309</v>
      </c>
      <c r="M6108" s="508">
        <v>0.309</v>
      </c>
      <c r="N6108" s="508">
        <v>0.309</v>
      </c>
      <c r="O6108" s="508">
        <v>0.309</v>
      </c>
      <c r="P6108" s="508">
        <v>0.23400000000000001</v>
      </c>
      <c r="Q6108" s="508">
        <v>0.23400000000000001</v>
      </c>
      <c r="R6108" s="508">
        <v>0.23400000000000001</v>
      </c>
      <c r="S6108" s="508">
        <v>0.23400000000000001</v>
      </c>
      <c r="T6108" s="508">
        <v>0.23400000000000001</v>
      </c>
      <c r="U6108" s="508">
        <v>0.17699999999999999</v>
      </c>
      <c r="V6108" s="508">
        <v>8.0000000000000002E-3</v>
      </c>
      <c r="W6108" s="508">
        <v>8.0000000000000002E-3</v>
      </c>
      <c r="X6108" s="508">
        <v>8.0000000000000002E-3</v>
      </c>
      <c r="Y6108" s="508">
        <v>8.0000000000000002E-3</v>
      </c>
      <c r="Z6108" s="508">
        <v>7.0000000000000001E-3</v>
      </c>
      <c r="AA6108" s="508">
        <v>3.0000000000000001E-3</v>
      </c>
      <c r="AB6108" s="508">
        <v>2E-3</v>
      </c>
      <c r="AC6108" s="508">
        <v>2E-3</v>
      </c>
      <c r="AD6108" s="508">
        <v>2E-3</v>
      </c>
      <c r="AE6108" s="508">
        <v>2E-3</v>
      </c>
      <c r="AF6108" s="508">
        <v>1E-3</v>
      </c>
      <c r="AG6108" s="508">
        <v>1E-3</v>
      </c>
      <c r="AH6108" s="508">
        <v>1E-3</v>
      </c>
      <c r="AI6108" s="492">
        <v>1E-3</v>
      </c>
      <c r="AJ6108" s="485"/>
    </row>
    <row r="6109" spans="2:36">
      <c r="B6109" s="136" t="s">
        <v>453</v>
      </c>
      <c r="C6109" s="132" t="s">
        <v>1377</v>
      </c>
      <c r="D6109" s="132" t="s">
        <v>285</v>
      </c>
      <c r="E6109" s="508"/>
      <c r="F6109" s="508"/>
      <c r="G6109" s="508"/>
      <c r="H6109" s="508"/>
      <c r="I6109" s="508"/>
      <c r="J6109" s="508">
        <v>0.32200000000000001</v>
      </c>
      <c r="K6109" s="508">
        <v>0.32200000000000001</v>
      </c>
      <c r="L6109" s="508">
        <v>0.32200000000000001</v>
      </c>
      <c r="M6109" s="508">
        <v>0.32200000000000001</v>
      </c>
      <c r="N6109" s="508">
        <v>0.32200000000000001</v>
      </c>
      <c r="O6109" s="508">
        <v>0.32200000000000001</v>
      </c>
      <c r="P6109" s="508">
        <v>0.24399999999999999</v>
      </c>
      <c r="Q6109" s="508">
        <v>0.24399999999999999</v>
      </c>
      <c r="R6109" s="508">
        <v>0.24399999999999999</v>
      </c>
      <c r="S6109" s="508">
        <v>0.24399999999999999</v>
      </c>
      <c r="T6109" s="508">
        <v>0.24399999999999999</v>
      </c>
      <c r="U6109" s="508">
        <v>0.185</v>
      </c>
      <c r="V6109" s="508">
        <v>8.0000000000000002E-3</v>
      </c>
      <c r="W6109" s="508">
        <v>8.0000000000000002E-3</v>
      </c>
      <c r="X6109" s="508">
        <v>8.0000000000000002E-3</v>
      </c>
      <c r="Y6109" s="508">
        <v>8.0000000000000002E-3</v>
      </c>
      <c r="Z6109" s="508">
        <v>7.0000000000000001E-3</v>
      </c>
      <c r="AA6109" s="508">
        <v>3.0000000000000001E-3</v>
      </c>
      <c r="AB6109" s="508">
        <v>2E-3</v>
      </c>
      <c r="AC6109" s="508">
        <v>2E-3</v>
      </c>
      <c r="AD6109" s="508">
        <v>2E-3</v>
      </c>
      <c r="AE6109" s="508">
        <v>2E-3</v>
      </c>
      <c r="AF6109" s="508">
        <v>1E-3</v>
      </c>
      <c r="AG6109" s="508">
        <v>1E-3</v>
      </c>
      <c r="AH6109" s="508">
        <v>1E-3</v>
      </c>
      <c r="AI6109" s="492">
        <v>1E-3</v>
      </c>
      <c r="AJ6109" s="485"/>
    </row>
    <row r="6110" spans="2:36">
      <c r="B6110" s="136" t="s">
        <v>454</v>
      </c>
      <c r="C6110" s="132" t="s">
        <v>1377</v>
      </c>
      <c r="D6110" s="132" t="s">
        <v>285</v>
      </c>
      <c r="E6110" s="508"/>
      <c r="F6110" s="508"/>
      <c r="G6110" s="508"/>
      <c r="H6110" s="508"/>
      <c r="I6110" s="508"/>
      <c r="J6110" s="508">
        <v>0.32500000000000001</v>
      </c>
      <c r="K6110" s="508">
        <v>0.32500000000000001</v>
      </c>
      <c r="L6110" s="508">
        <v>0.32500000000000001</v>
      </c>
      <c r="M6110" s="508">
        <v>0.32500000000000001</v>
      </c>
      <c r="N6110" s="508">
        <v>0.32500000000000001</v>
      </c>
      <c r="O6110" s="508">
        <v>0.32500000000000001</v>
      </c>
      <c r="P6110" s="508">
        <v>0.246</v>
      </c>
      <c r="Q6110" s="508">
        <v>0.246</v>
      </c>
      <c r="R6110" s="508">
        <v>0.246</v>
      </c>
      <c r="S6110" s="508">
        <v>0.246</v>
      </c>
      <c r="T6110" s="508">
        <v>0.246</v>
      </c>
      <c r="U6110" s="508">
        <v>0.186</v>
      </c>
      <c r="V6110" s="508">
        <v>8.0000000000000002E-3</v>
      </c>
      <c r="W6110" s="508">
        <v>8.0000000000000002E-3</v>
      </c>
      <c r="X6110" s="508">
        <v>8.0000000000000002E-3</v>
      </c>
      <c r="Y6110" s="508">
        <v>8.0000000000000002E-3</v>
      </c>
      <c r="Z6110" s="508">
        <v>7.0000000000000001E-3</v>
      </c>
      <c r="AA6110" s="508">
        <v>3.0000000000000001E-3</v>
      </c>
      <c r="AB6110" s="508">
        <v>2E-3</v>
      </c>
      <c r="AC6110" s="508">
        <v>2E-3</v>
      </c>
      <c r="AD6110" s="508">
        <v>2E-3</v>
      </c>
      <c r="AE6110" s="508">
        <v>2E-3</v>
      </c>
      <c r="AF6110" s="508">
        <v>1E-3</v>
      </c>
      <c r="AG6110" s="508">
        <v>1E-3</v>
      </c>
      <c r="AH6110" s="508">
        <v>1E-3</v>
      </c>
      <c r="AI6110" s="492">
        <v>1E-3</v>
      </c>
      <c r="AJ6110" s="485"/>
    </row>
    <row r="6111" spans="2:36">
      <c r="B6111" s="136" t="s">
        <v>455</v>
      </c>
      <c r="C6111" s="132" t="s">
        <v>1377</v>
      </c>
      <c r="D6111" s="132" t="s">
        <v>285</v>
      </c>
      <c r="E6111" s="508"/>
      <c r="F6111" s="508"/>
      <c r="G6111" s="508"/>
      <c r="H6111" s="508"/>
      <c r="I6111" s="508"/>
      <c r="J6111" s="508">
        <v>0.33900000000000002</v>
      </c>
      <c r="K6111" s="508">
        <v>0.33900000000000002</v>
      </c>
      <c r="L6111" s="508">
        <v>0.33900000000000002</v>
      </c>
      <c r="M6111" s="508">
        <v>0.33900000000000002</v>
      </c>
      <c r="N6111" s="508">
        <v>0.33900000000000002</v>
      </c>
      <c r="O6111" s="508">
        <v>0.33900000000000002</v>
      </c>
      <c r="P6111" s="508">
        <v>0.25700000000000001</v>
      </c>
      <c r="Q6111" s="508">
        <v>0.25700000000000001</v>
      </c>
      <c r="R6111" s="508">
        <v>0.25700000000000001</v>
      </c>
      <c r="S6111" s="508">
        <v>0.25700000000000001</v>
      </c>
      <c r="T6111" s="508">
        <v>0.25700000000000001</v>
      </c>
      <c r="U6111" s="508">
        <v>0.19500000000000001</v>
      </c>
      <c r="V6111" s="508">
        <v>8.9999999999999993E-3</v>
      </c>
      <c r="W6111" s="508">
        <v>8.9999999999999993E-3</v>
      </c>
      <c r="X6111" s="508">
        <v>8.9999999999999993E-3</v>
      </c>
      <c r="Y6111" s="508">
        <v>8.0000000000000002E-3</v>
      </c>
      <c r="Z6111" s="508">
        <v>7.0000000000000001E-3</v>
      </c>
      <c r="AA6111" s="508">
        <v>3.0000000000000001E-3</v>
      </c>
      <c r="AB6111" s="508">
        <v>2E-3</v>
      </c>
      <c r="AC6111" s="508">
        <v>2E-3</v>
      </c>
      <c r="AD6111" s="508">
        <v>2E-3</v>
      </c>
      <c r="AE6111" s="508">
        <v>2E-3</v>
      </c>
      <c r="AF6111" s="508">
        <v>1E-3</v>
      </c>
      <c r="AG6111" s="508">
        <v>1E-3</v>
      </c>
      <c r="AH6111" s="508">
        <v>1E-3</v>
      </c>
      <c r="AI6111" s="492">
        <v>1E-3</v>
      </c>
      <c r="AJ6111" s="485"/>
    </row>
    <row r="6112" spans="2:36">
      <c r="B6112" s="136" t="s">
        <v>456</v>
      </c>
      <c r="C6112" s="132" t="s">
        <v>1377</v>
      </c>
      <c r="D6112" s="132" t="s">
        <v>285</v>
      </c>
      <c r="E6112" s="508"/>
      <c r="F6112" s="508"/>
      <c r="G6112" s="508"/>
      <c r="H6112" s="508"/>
      <c r="I6112" s="508"/>
      <c r="J6112" s="508">
        <v>0.32200000000000001</v>
      </c>
      <c r="K6112" s="508">
        <v>0.32200000000000001</v>
      </c>
      <c r="L6112" s="508">
        <v>0.32200000000000001</v>
      </c>
      <c r="M6112" s="508">
        <v>0.32200000000000001</v>
      </c>
      <c r="N6112" s="508">
        <v>0.32200000000000001</v>
      </c>
      <c r="O6112" s="508">
        <v>0.32200000000000001</v>
      </c>
      <c r="P6112" s="508">
        <v>0.24399999999999999</v>
      </c>
      <c r="Q6112" s="508">
        <v>0.24399999999999999</v>
      </c>
      <c r="R6112" s="508">
        <v>0.24399999999999999</v>
      </c>
      <c r="S6112" s="508">
        <v>0.24399999999999999</v>
      </c>
      <c r="T6112" s="508">
        <v>0.24399999999999999</v>
      </c>
      <c r="U6112" s="508">
        <v>0.185</v>
      </c>
      <c r="V6112" s="508">
        <v>8.0000000000000002E-3</v>
      </c>
      <c r="W6112" s="508">
        <v>8.0000000000000002E-3</v>
      </c>
      <c r="X6112" s="508">
        <v>8.0000000000000002E-3</v>
      </c>
      <c r="Y6112" s="508">
        <v>8.0000000000000002E-3</v>
      </c>
      <c r="Z6112" s="508">
        <v>7.0000000000000001E-3</v>
      </c>
      <c r="AA6112" s="508">
        <v>3.0000000000000001E-3</v>
      </c>
      <c r="AB6112" s="508">
        <v>2E-3</v>
      </c>
      <c r="AC6112" s="508">
        <v>2E-3</v>
      </c>
      <c r="AD6112" s="508">
        <v>2E-3</v>
      </c>
      <c r="AE6112" s="508">
        <v>2E-3</v>
      </c>
      <c r="AF6112" s="508">
        <v>1E-3</v>
      </c>
      <c r="AG6112" s="508">
        <v>1E-3</v>
      </c>
      <c r="AH6112" s="508">
        <v>1E-3</v>
      </c>
      <c r="AI6112" s="492">
        <v>1E-3</v>
      </c>
      <c r="AJ6112" s="485"/>
    </row>
    <row r="6113" spans="2:36">
      <c r="B6113" s="136" t="s">
        <v>457</v>
      </c>
      <c r="C6113" s="132" t="s">
        <v>1377</v>
      </c>
      <c r="D6113" s="132" t="s">
        <v>285</v>
      </c>
      <c r="E6113" s="508"/>
      <c r="F6113" s="508"/>
      <c r="G6113" s="508"/>
      <c r="H6113" s="508"/>
      <c r="I6113" s="508"/>
      <c r="J6113" s="508">
        <v>0.32700000000000001</v>
      </c>
      <c r="K6113" s="508">
        <v>0.32700000000000001</v>
      </c>
      <c r="L6113" s="508">
        <v>0.32700000000000001</v>
      </c>
      <c r="M6113" s="508">
        <v>0.32700000000000001</v>
      </c>
      <c r="N6113" s="508">
        <v>0.32700000000000001</v>
      </c>
      <c r="O6113" s="508">
        <v>0.32700000000000001</v>
      </c>
      <c r="P6113" s="508">
        <v>0.248</v>
      </c>
      <c r="Q6113" s="508">
        <v>0.248</v>
      </c>
      <c r="R6113" s="508">
        <v>0.248</v>
      </c>
      <c r="S6113" s="508">
        <v>0.248</v>
      </c>
      <c r="T6113" s="508">
        <v>0.248</v>
      </c>
      <c r="U6113" s="508">
        <v>0.188</v>
      </c>
      <c r="V6113" s="508">
        <v>8.0000000000000002E-3</v>
      </c>
      <c r="W6113" s="508">
        <v>8.0000000000000002E-3</v>
      </c>
      <c r="X6113" s="508">
        <v>8.0000000000000002E-3</v>
      </c>
      <c r="Y6113" s="508">
        <v>8.0000000000000002E-3</v>
      </c>
      <c r="Z6113" s="508">
        <v>7.0000000000000001E-3</v>
      </c>
      <c r="AA6113" s="508">
        <v>3.0000000000000001E-3</v>
      </c>
      <c r="AB6113" s="508">
        <v>2E-3</v>
      </c>
      <c r="AC6113" s="508">
        <v>2E-3</v>
      </c>
      <c r="AD6113" s="508">
        <v>2E-3</v>
      </c>
      <c r="AE6113" s="508">
        <v>2E-3</v>
      </c>
      <c r="AF6113" s="508">
        <v>1E-3</v>
      </c>
      <c r="AG6113" s="508">
        <v>1E-3</v>
      </c>
      <c r="AH6113" s="508">
        <v>1E-3</v>
      </c>
      <c r="AI6113" s="492">
        <v>1E-3</v>
      </c>
      <c r="AJ6113" s="485"/>
    </row>
    <row r="6114" spans="2:36">
      <c r="B6114" s="136" t="s">
        <v>458</v>
      </c>
      <c r="C6114" s="132" t="s">
        <v>1377</v>
      </c>
      <c r="D6114" s="132" t="s">
        <v>285</v>
      </c>
      <c r="E6114" s="508"/>
      <c r="F6114" s="508"/>
      <c r="G6114" s="508"/>
      <c r="H6114" s="508"/>
      <c r="I6114" s="508"/>
      <c r="J6114" s="508">
        <v>0.33600000000000002</v>
      </c>
      <c r="K6114" s="508">
        <v>0.33600000000000002</v>
      </c>
      <c r="L6114" s="508">
        <v>0.33600000000000002</v>
      </c>
      <c r="M6114" s="508">
        <v>0.33600000000000002</v>
      </c>
      <c r="N6114" s="508">
        <v>0.33600000000000002</v>
      </c>
      <c r="O6114" s="508">
        <v>0.33600000000000002</v>
      </c>
      <c r="P6114" s="508">
        <v>0.254</v>
      </c>
      <c r="Q6114" s="508">
        <v>0.254</v>
      </c>
      <c r="R6114" s="508">
        <v>0.254</v>
      </c>
      <c r="S6114" s="508">
        <v>0.254</v>
      </c>
      <c r="T6114" s="508">
        <v>0.254</v>
      </c>
      <c r="U6114" s="508">
        <v>0.193</v>
      </c>
      <c r="V6114" s="508">
        <v>8.9999999999999993E-3</v>
      </c>
      <c r="W6114" s="508">
        <v>8.9999999999999993E-3</v>
      </c>
      <c r="X6114" s="508">
        <v>8.9999999999999993E-3</v>
      </c>
      <c r="Y6114" s="508">
        <v>8.9999999999999993E-3</v>
      </c>
      <c r="Z6114" s="508">
        <v>7.0000000000000001E-3</v>
      </c>
      <c r="AA6114" s="508">
        <v>3.0000000000000001E-3</v>
      </c>
      <c r="AB6114" s="508">
        <v>2E-3</v>
      </c>
      <c r="AC6114" s="508">
        <v>2E-3</v>
      </c>
      <c r="AD6114" s="508">
        <v>2E-3</v>
      </c>
      <c r="AE6114" s="508">
        <v>2E-3</v>
      </c>
      <c r="AF6114" s="508">
        <v>1E-3</v>
      </c>
      <c r="AG6114" s="508">
        <v>1E-3</v>
      </c>
      <c r="AH6114" s="508">
        <v>1E-3</v>
      </c>
      <c r="AI6114" s="492">
        <v>1E-3</v>
      </c>
      <c r="AJ6114" s="485"/>
    </row>
    <row r="6115" spans="2:36">
      <c r="B6115" s="136" t="s">
        <v>459</v>
      </c>
      <c r="C6115" s="132" t="s">
        <v>1377</v>
      </c>
      <c r="D6115" s="132" t="s">
        <v>285</v>
      </c>
      <c r="E6115" s="508"/>
      <c r="F6115" s="508"/>
      <c r="G6115" s="508"/>
      <c r="H6115" s="508"/>
      <c r="I6115" s="508"/>
      <c r="J6115" s="508">
        <v>0.33600000000000002</v>
      </c>
      <c r="K6115" s="508">
        <v>0.33600000000000002</v>
      </c>
      <c r="L6115" s="508">
        <v>0.33600000000000002</v>
      </c>
      <c r="M6115" s="508">
        <v>0.33600000000000002</v>
      </c>
      <c r="N6115" s="508">
        <v>0.33600000000000002</v>
      </c>
      <c r="O6115" s="508">
        <v>0.33600000000000002</v>
      </c>
      <c r="P6115" s="508">
        <v>0.254</v>
      </c>
      <c r="Q6115" s="508">
        <v>0.254</v>
      </c>
      <c r="R6115" s="508">
        <v>0.254</v>
      </c>
      <c r="S6115" s="508">
        <v>0.254</v>
      </c>
      <c r="T6115" s="508">
        <v>0.254</v>
      </c>
      <c r="U6115" s="508">
        <v>0.193</v>
      </c>
      <c r="V6115" s="508">
        <v>8.9999999999999993E-3</v>
      </c>
      <c r="W6115" s="508">
        <v>8.9999999999999993E-3</v>
      </c>
      <c r="X6115" s="508">
        <v>8.9999999999999993E-3</v>
      </c>
      <c r="Y6115" s="508">
        <v>8.9999999999999993E-3</v>
      </c>
      <c r="Z6115" s="508">
        <v>7.0000000000000001E-3</v>
      </c>
      <c r="AA6115" s="508">
        <v>3.0000000000000001E-3</v>
      </c>
      <c r="AB6115" s="508">
        <v>2E-3</v>
      </c>
      <c r="AC6115" s="508">
        <v>2E-3</v>
      </c>
      <c r="AD6115" s="508">
        <v>2E-3</v>
      </c>
      <c r="AE6115" s="508">
        <v>2E-3</v>
      </c>
      <c r="AF6115" s="508">
        <v>1E-3</v>
      </c>
      <c r="AG6115" s="508">
        <v>1E-3</v>
      </c>
      <c r="AH6115" s="508">
        <v>1E-3</v>
      </c>
      <c r="AI6115" s="492">
        <v>1E-3</v>
      </c>
      <c r="AJ6115" s="485"/>
    </row>
    <row r="6116" spans="2:36">
      <c r="B6116" s="136" t="s">
        <v>460</v>
      </c>
      <c r="C6116" s="132" t="s">
        <v>1377</v>
      </c>
      <c r="D6116" s="132" t="s">
        <v>285</v>
      </c>
      <c r="E6116" s="508"/>
      <c r="F6116" s="508"/>
      <c r="G6116" s="508"/>
      <c r="H6116" s="508"/>
      <c r="I6116" s="508"/>
      <c r="J6116" s="508">
        <v>0.32300000000000001</v>
      </c>
      <c r="K6116" s="508">
        <v>0.32300000000000001</v>
      </c>
      <c r="L6116" s="508">
        <v>0.32300000000000001</v>
      </c>
      <c r="M6116" s="508">
        <v>0.32300000000000001</v>
      </c>
      <c r="N6116" s="508">
        <v>0.32300000000000001</v>
      </c>
      <c r="O6116" s="508">
        <v>0.32200000000000001</v>
      </c>
      <c r="P6116" s="508">
        <v>0.24399999999999999</v>
      </c>
      <c r="Q6116" s="508">
        <v>0.24399999999999999</v>
      </c>
      <c r="R6116" s="508">
        <v>0.24399999999999999</v>
      </c>
      <c r="S6116" s="508">
        <v>0.24399999999999999</v>
      </c>
      <c r="T6116" s="508">
        <v>0.24399999999999999</v>
      </c>
      <c r="U6116" s="508">
        <v>0.185</v>
      </c>
      <c r="V6116" s="508">
        <v>8.0000000000000002E-3</v>
      </c>
      <c r="W6116" s="508">
        <v>8.0000000000000002E-3</v>
      </c>
      <c r="X6116" s="508">
        <v>8.0000000000000002E-3</v>
      </c>
      <c r="Y6116" s="508">
        <v>8.0000000000000002E-3</v>
      </c>
      <c r="Z6116" s="508">
        <v>7.0000000000000001E-3</v>
      </c>
      <c r="AA6116" s="508">
        <v>3.0000000000000001E-3</v>
      </c>
      <c r="AB6116" s="508">
        <v>2E-3</v>
      </c>
      <c r="AC6116" s="508">
        <v>2E-3</v>
      </c>
      <c r="AD6116" s="508">
        <v>2E-3</v>
      </c>
      <c r="AE6116" s="508">
        <v>2E-3</v>
      </c>
      <c r="AF6116" s="508">
        <v>1E-3</v>
      </c>
      <c r="AG6116" s="508">
        <v>1E-3</v>
      </c>
      <c r="AH6116" s="508">
        <v>1E-3</v>
      </c>
      <c r="AI6116" s="492">
        <v>1E-3</v>
      </c>
      <c r="AJ6116" s="485"/>
    </row>
    <row r="6117" spans="2:36">
      <c r="B6117" s="136" t="s">
        <v>461</v>
      </c>
      <c r="C6117" s="132" t="s">
        <v>1377</v>
      </c>
      <c r="D6117" s="132" t="s">
        <v>285</v>
      </c>
      <c r="E6117" s="508"/>
      <c r="F6117" s="508"/>
      <c r="G6117" s="508"/>
      <c r="H6117" s="508"/>
      <c r="I6117" s="508"/>
      <c r="J6117" s="508">
        <v>0.32</v>
      </c>
      <c r="K6117" s="508">
        <v>0.32</v>
      </c>
      <c r="L6117" s="508">
        <v>0.32</v>
      </c>
      <c r="M6117" s="508">
        <v>0.32</v>
      </c>
      <c r="N6117" s="508">
        <v>0.32</v>
      </c>
      <c r="O6117" s="508">
        <v>0.32</v>
      </c>
      <c r="P6117" s="508">
        <v>0.24299999999999999</v>
      </c>
      <c r="Q6117" s="508">
        <v>0.24199999999999999</v>
      </c>
      <c r="R6117" s="508">
        <v>0.24199999999999999</v>
      </c>
      <c r="S6117" s="508">
        <v>0.24199999999999999</v>
      </c>
      <c r="T6117" s="508">
        <v>0.24199999999999999</v>
      </c>
      <c r="U6117" s="508">
        <v>0.184</v>
      </c>
      <c r="V6117" s="508">
        <v>8.0000000000000002E-3</v>
      </c>
      <c r="W6117" s="508">
        <v>8.0000000000000002E-3</v>
      </c>
      <c r="X6117" s="508">
        <v>8.0000000000000002E-3</v>
      </c>
      <c r="Y6117" s="508">
        <v>8.0000000000000002E-3</v>
      </c>
      <c r="Z6117" s="508">
        <v>7.0000000000000001E-3</v>
      </c>
      <c r="AA6117" s="508">
        <v>3.0000000000000001E-3</v>
      </c>
      <c r="AB6117" s="508">
        <v>2E-3</v>
      </c>
      <c r="AC6117" s="508">
        <v>2E-3</v>
      </c>
      <c r="AD6117" s="508">
        <v>2E-3</v>
      </c>
      <c r="AE6117" s="508">
        <v>2E-3</v>
      </c>
      <c r="AF6117" s="508">
        <v>1E-3</v>
      </c>
      <c r="AG6117" s="508">
        <v>1E-3</v>
      </c>
      <c r="AH6117" s="508">
        <v>1E-3</v>
      </c>
      <c r="AI6117" s="492">
        <v>1E-3</v>
      </c>
      <c r="AJ6117" s="485"/>
    </row>
    <row r="6118" spans="2:36">
      <c r="B6118" s="136" t="s">
        <v>462</v>
      </c>
      <c r="C6118" s="132" t="s">
        <v>1377</v>
      </c>
      <c r="D6118" s="132" t="s">
        <v>285</v>
      </c>
      <c r="E6118" s="508"/>
      <c r="F6118" s="508"/>
      <c r="G6118" s="508"/>
      <c r="H6118" s="508"/>
      <c r="I6118" s="508"/>
      <c r="J6118" s="508">
        <v>0.312</v>
      </c>
      <c r="K6118" s="508">
        <v>0.312</v>
      </c>
      <c r="L6118" s="508">
        <v>0.312</v>
      </c>
      <c r="M6118" s="508">
        <v>0.312</v>
      </c>
      <c r="N6118" s="508">
        <v>0.312</v>
      </c>
      <c r="O6118" s="508">
        <v>0.311</v>
      </c>
      <c r="P6118" s="508">
        <v>0.23599999999999999</v>
      </c>
      <c r="Q6118" s="508">
        <v>0.23599999999999999</v>
      </c>
      <c r="R6118" s="508">
        <v>0.23599999999999999</v>
      </c>
      <c r="S6118" s="508">
        <v>0.23599999999999999</v>
      </c>
      <c r="T6118" s="508">
        <v>0.23599999999999999</v>
      </c>
      <c r="U6118" s="508">
        <v>0.17899999999999999</v>
      </c>
      <c r="V6118" s="508">
        <v>8.0000000000000002E-3</v>
      </c>
      <c r="W6118" s="508">
        <v>8.0000000000000002E-3</v>
      </c>
      <c r="X6118" s="508">
        <v>8.0000000000000002E-3</v>
      </c>
      <c r="Y6118" s="508">
        <v>8.0000000000000002E-3</v>
      </c>
      <c r="Z6118" s="508">
        <v>7.0000000000000001E-3</v>
      </c>
      <c r="AA6118" s="508">
        <v>3.0000000000000001E-3</v>
      </c>
      <c r="AB6118" s="508">
        <v>2E-3</v>
      </c>
      <c r="AC6118" s="508">
        <v>2E-3</v>
      </c>
      <c r="AD6118" s="508">
        <v>2E-3</v>
      </c>
      <c r="AE6118" s="508">
        <v>2E-3</v>
      </c>
      <c r="AF6118" s="508">
        <v>1E-3</v>
      </c>
      <c r="AG6118" s="508">
        <v>1E-3</v>
      </c>
      <c r="AH6118" s="508">
        <v>1E-3</v>
      </c>
      <c r="AI6118" s="492">
        <v>1E-3</v>
      </c>
      <c r="AJ6118" s="485"/>
    </row>
    <row r="6119" spans="2:36">
      <c r="B6119" s="136" t="s">
        <v>463</v>
      </c>
      <c r="C6119" s="132" t="s">
        <v>1377</v>
      </c>
      <c r="D6119" s="132" t="s">
        <v>285</v>
      </c>
      <c r="E6119" s="508"/>
      <c r="F6119" s="508"/>
      <c r="G6119" s="508"/>
      <c r="H6119" s="508"/>
      <c r="I6119" s="508"/>
      <c r="J6119" s="508">
        <v>0.34599999999999997</v>
      </c>
      <c r="K6119" s="508">
        <v>0.34599999999999997</v>
      </c>
      <c r="L6119" s="508">
        <v>0.34599999999999997</v>
      </c>
      <c r="M6119" s="508">
        <v>0.34599999999999997</v>
      </c>
      <c r="N6119" s="508">
        <v>0.34599999999999997</v>
      </c>
      <c r="O6119" s="508">
        <v>0.34599999999999997</v>
      </c>
      <c r="P6119" s="508">
        <v>0.26200000000000001</v>
      </c>
      <c r="Q6119" s="508">
        <v>0.26200000000000001</v>
      </c>
      <c r="R6119" s="508">
        <v>0.26200000000000001</v>
      </c>
      <c r="S6119" s="508">
        <v>0.26200000000000001</v>
      </c>
      <c r="T6119" s="508">
        <v>0.26200000000000001</v>
      </c>
      <c r="U6119" s="508">
        <v>0.19900000000000001</v>
      </c>
      <c r="V6119" s="508">
        <v>8.9999999999999993E-3</v>
      </c>
      <c r="W6119" s="508">
        <v>8.9999999999999993E-3</v>
      </c>
      <c r="X6119" s="508">
        <v>8.9999999999999993E-3</v>
      </c>
      <c r="Y6119" s="508">
        <v>8.9999999999999993E-3</v>
      </c>
      <c r="Z6119" s="508">
        <v>7.0000000000000001E-3</v>
      </c>
      <c r="AA6119" s="508">
        <v>3.0000000000000001E-3</v>
      </c>
      <c r="AB6119" s="508">
        <v>2E-3</v>
      </c>
      <c r="AC6119" s="508">
        <v>2E-3</v>
      </c>
      <c r="AD6119" s="508">
        <v>2E-3</v>
      </c>
      <c r="AE6119" s="508">
        <v>2E-3</v>
      </c>
      <c r="AF6119" s="508">
        <v>1E-3</v>
      </c>
      <c r="AG6119" s="508">
        <v>1E-3</v>
      </c>
      <c r="AH6119" s="508">
        <v>1E-3</v>
      </c>
      <c r="AI6119" s="492">
        <v>1E-3</v>
      </c>
      <c r="AJ6119" s="485"/>
    </row>
    <row r="6120" spans="2:36">
      <c r="B6120" s="136" t="s">
        <v>464</v>
      </c>
      <c r="C6120" s="132" t="s">
        <v>1377</v>
      </c>
      <c r="D6120" s="132" t="s">
        <v>285</v>
      </c>
      <c r="E6120" s="508"/>
      <c r="F6120" s="508"/>
      <c r="G6120" s="508"/>
      <c r="H6120" s="508"/>
      <c r="I6120" s="508"/>
      <c r="J6120" s="508">
        <v>0.33100000000000002</v>
      </c>
      <c r="K6120" s="508">
        <v>0.33100000000000002</v>
      </c>
      <c r="L6120" s="508">
        <v>0.33100000000000002</v>
      </c>
      <c r="M6120" s="508">
        <v>0.33100000000000002</v>
      </c>
      <c r="N6120" s="508">
        <v>0.33100000000000002</v>
      </c>
      <c r="O6120" s="508">
        <v>0.33100000000000002</v>
      </c>
      <c r="P6120" s="508">
        <v>0.251</v>
      </c>
      <c r="Q6120" s="508">
        <v>0.25</v>
      </c>
      <c r="R6120" s="508">
        <v>0.25</v>
      </c>
      <c r="S6120" s="508">
        <v>0.25</v>
      </c>
      <c r="T6120" s="508">
        <v>0.25</v>
      </c>
      <c r="U6120" s="508">
        <v>0.19</v>
      </c>
      <c r="V6120" s="508">
        <v>8.0000000000000002E-3</v>
      </c>
      <c r="W6120" s="508">
        <v>8.0000000000000002E-3</v>
      </c>
      <c r="X6120" s="508">
        <v>8.0000000000000002E-3</v>
      </c>
      <c r="Y6120" s="508">
        <v>8.0000000000000002E-3</v>
      </c>
      <c r="Z6120" s="508">
        <v>7.0000000000000001E-3</v>
      </c>
      <c r="AA6120" s="508">
        <v>3.0000000000000001E-3</v>
      </c>
      <c r="AB6120" s="508">
        <v>2E-3</v>
      </c>
      <c r="AC6120" s="508">
        <v>2E-3</v>
      </c>
      <c r="AD6120" s="508">
        <v>2E-3</v>
      </c>
      <c r="AE6120" s="508">
        <v>2E-3</v>
      </c>
      <c r="AF6120" s="508">
        <v>1E-3</v>
      </c>
      <c r="AG6120" s="508">
        <v>1E-3</v>
      </c>
      <c r="AH6120" s="508">
        <v>1E-3</v>
      </c>
      <c r="AI6120" s="492">
        <v>1E-3</v>
      </c>
      <c r="AJ6120" s="485"/>
    </row>
    <row r="6121" spans="2:36">
      <c r="B6121" s="136" t="s">
        <v>465</v>
      </c>
      <c r="C6121" s="132" t="s">
        <v>1377</v>
      </c>
      <c r="D6121" s="132" t="s">
        <v>285</v>
      </c>
      <c r="E6121" s="508"/>
      <c r="F6121" s="508"/>
      <c r="G6121" s="508"/>
      <c r="H6121" s="508"/>
      <c r="I6121" s="508"/>
      <c r="J6121" s="508">
        <v>0.33600000000000002</v>
      </c>
      <c r="K6121" s="508">
        <v>0.33600000000000002</v>
      </c>
      <c r="L6121" s="508">
        <v>0.33600000000000002</v>
      </c>
      <c r="M6121" s="508">
        <v>0.33600000000000002</v>
      </c>
      <c r="N6121" s="508">
        <v>0.33500000000000002</v>
      </c>
      <c r="O6121" s="508">
        <v>0.33500000000000002</v>
      </c>
      <c r="P6121" s="508">
        <v>0.254</v>
      </c>
      <c r="Q6121" s="508">
        <v>0.254</v>
      </c>
      <c r="R6121" s="508">
        <v>0.254</v>
      </c>
      <c r="S6121" s="508">
        <v>0.254</v>
      </c>
      <c r="T6121" s="508">
        <v>0.254</v>
      </c>
      <c r="U6121" s="508">
        <v>0.193</v>
      </c>
      <c r="V6121" s="508">
        <v>8.9999999999999993E-3</v>
      </c>
      <c r="W6121" s="508">
        <v>8.0000000000000002E-3</v>
      </c>
      <c r="X6121" s="508">
        <v>8.0000000000000002E-3</v>
      </c>
      <c r="Y6121" s="508">
        <v>8.0000000000000002E-3</v>
      </c>
      <c r="Z6121" s="508">
        <v>7.0000000000000001E-3</v>
      </c>
      <c r="AA6121" s="508">
        <v>3.0000000000000001E-3</v>
      </c>
      <c r="AB6121" s="508">
        <v>2E-3</v>
      </c>
      <c r="AC6121" s="508">
        <v>2E-3</v>
      </c>
      <c r="AD6121" s="508">
        <v>2E-3</v>
      </c>
      <c r="AE6121" s="508">
        <v>2E-3</v>
      </c>
      <c r="AF6121" s="508">
        <v>1E-3</v>
      </c>
      <c r="AG6121" s="508">
        <v>1E-3</v>
      </c>
      <c r="AH6121" s="508">
        <v>1E-3</v>
      </c>
      <c r="AI6121" s="492">
        <v>1E-3</v>
      </c>
      <c r="AJ6121" s="485"/>
    </row>
    <row r="6122" spans="2:36">
      <c r="B6122" s="136" t="s">
        <v>466</v>
      </c>
      <c r="C6122" s="132" t="s">
        <v>1377</v>
      </c>
      <c r="D6122" s="132" t="s">
        <v>285</v>
      </c>
      <c r="E6122" s="508"/>
      <c r="F6122" s="508"/>
      <c r="G6122" s="508"/>
      <c r="H6122" s="508"/>
      <c r="I6122" s="508"/>
      <c r="J6122" s="508">
        <v>0.312</v>
      </c>
      <c r="K6122" s="508">
        <v>0.312</v>
      </c>
      <c r="L6122" s="508">
        <v>0.312</v>
      </c>
      <c r="M6122" s="508">
        <v>0.312</v>
      </c>
      <c r="N6122" s="508">
        <v>0.312</v>
      </c>
      <c r="O6122" s="508">
        <v>0.312</v>
      </c>
      <c r="P6122" s="508">
        <v>0.23599999999999999</v>
      </c>
      <c r="Q6122" s="508">
        <v>0.23599999999999999</v>
      </c>
      <c r="R6122" s="508">
        <v>0.23599999999999999</v>
      </c>
      <c r="S6122" s="508">
        <v>0.23599999999999999</v>
      </c>
      <c r="T6122" s="508">
        <v>0.23599999999999999</v>
      </c>
      <c r="U6122" s="508">
        <v>0.17899999999999999</v>
      </c>
      <c r="V6122" s="508">
        <v>8.0000000000000002E-3</v>
      </c>
      <c r="W6122" s="508">
        <v>8.0000000000000002E-3</v>
      </c>
      <c r="X6122" s="508">
        <v>8.0000000000000002E-3</v>
      </c>
      <c r="Y6122" s="508">
        <v>8.0000000000000002E-3</v>
      </c>
      <c r="Z6122" s="508">
        <v>7.0000000000000001E-3</v>
      </c>
      <c r="AA6122" s="508">
        <v>3.0000000000000001E-3</v>
      </c>
      <c r="AB6122" s="508">
        <v>2E-3</v>
      </c>
      <c r="AC6122" s="508">
        <v>2E-3</v>
      </c>
      <c r="AD6122" s="508">
        <v>2E-3</v>
      </c>
      <c r="AE6122" s="508">
        <v>2E-3</v>
      </c>
      <c r="AF6122" s="508">
        <v>1E-3</v>
      </c>
      <c r="AG6122" s="508">
        <v>1E-3</v>
      </c>
      <c r="AH6122" s="508">
        <v>1E-3</v>
      </c>
      <c r="AI6122" s="492">
        <v>1E-3</v>
      </c>
      <c r="AJ6122" s="485"/>
    </row>
    <row r="6123" spans="2:36">
      <c r="B6123" s="136" t="s">
        <v>467</v>
      </c>
      <c r="C6123" s="132" t="s">
        <v>1377</v>
      </c>
      <c r="D6123" s="132" t="s">
        <v>285</v>
      </c>
      <c r="E6123" s="508"/>
      <c r="F6123" s="508"/>
      <c r="G6123" s="508"/>
      <c r="H6123" s="508"/>
      <c r="I6123" s="508"/>
      <c r="J6123" s="508">
        <v>0.32</v>
      </c>
      <c r="K6123" s="508">
        <v>0.32</v>
      </c>
      <c r="L6123" s="508">
        <v>0.32</v>
      </c>
      <c r="M6123" s="508">
        <v>0.32</v>
      </c>
      <c r="N6123" s="508">
        <v>0.32</v>
      </c>
      <c r="O6123" s="508">
        <v>0.31900000000000001</v>
      </c>
      <c r="P6123" s="508">
        <v>0.24199999999999999</v>
      </c>
      <c r="Q6123" s="508">
        <v>0.24199999999999999</v>
      </c>
      <c r="R6123" s="508">
        <v>0.24199999999999999</v>
      </c>
      <c r="S6123" s="508">
        <v>0.24199999999999999</v>
      </c>
      <c r="T6123" s="508">
        <v>0.24199999999999999</v>
      </c>
      <c r="U6123" s="508">
        <v>0.184</v>
      </c>
      <c r="V6123" s="508">
        <v>8.0000000000000002E-3</v>
      </c>
      <c r="W6123" s="508">
        <v>8.0000000000000002E-3</v>
      </c>
      <c r="X6123" s="508">
        <v>8.0000000000000002E-3</v>
      </c>
      <c r="Y6123" s="508">
        <v>8.0000000000000002E-3</v>
      </c>
      <c r="Z6123" s="508">
        <v>7.0000000000000001E-3</v>
      </c>
      <c r="AA6123" s="508">
        <v>3.0000000000000001E-3</v>
      </c>
      <c r="AB6123" s="508">
        <v>2E-3</v>
      </c>
      <c r="AC6123" s="508">
        <v>2E-3</v>
      </c>
      <c r="AD6123" s="508">
        <v>2E-3</v>
      </c>
      <c r="AE6123" s="508">
        <v>2E-3</v>
      </c>
      <c r="AF6123" s="508">
        <v>1E-3</v>
      </c>
      <c r="AG6123" s="508">
        <v>1E-3</v>
      </c>
      <c r="AH6123" s="508">
        <v>1E-3</v>
      </c>
      <c r="AI6123" s="492">
        <v>1E-3</v>
      </c>
      <c r="AJ6123" s="485"/>
    </row>
    <row r="6124" spans="2:36">
      <c r="B6124" s="136" t="s">
        <v>468</v>
      </c>
      <c r="C6124" s="132" t="s">
        <v>1377</v>
      </c>
      <c r="D6124" s="132" t="s">
        <v>285</v>
      </c>
      <c r="E6124" s="508"/>
      <c r="F6124" s="508"/>
      <c r="G6124" s="508"/>
      <c r="H6124" s="508"/>
      <c r="I6124" s="508"/>
      <c r="J6124" s="508">
        <v>0.35199999999999998</v>
      </c>
      <c r="K6124" s="508">
        <v>0.35199999999999998</v>
      </c>
      <c r="L6124" s="508">
        <v>0.35199999999999998</v>
      </c>
      <c r="M6124" s="508">
        <v>0.35199999999999998</v>
      </c>
      <c r="N6124" s="508">
        <v>0.35199999999999998</v>
      </c>
      <c r="O6124" s="508">
        <v>0.35199999999999998</v>
      </c>
      <c r="P6124" s="508">
        <v>0.26700000000000002</v>
      </c>
      <c r="Q6124" s="508">
        <v>0.26700000000000002</v>
      </c>
      <c r="R6124" s="508">
        <v>0.26600000000000001</v>
      </c>
      <c r="S6124" s="508">
        <v>0.26600000000000001</v>
      </c>
      <c r="T6124" s="508">
        <v>0.26600000000000001</v>
      </c>
      <c r="U6124" s="508">
        <v>0.20200000000000001</v>
      </c>
      <c r="V6124" s="508">
        <v>8.9999999999999993E-3</v>
      </c>
      <c r="W6124" s="508">
        <v>8.9999999999999993E-3</v>
      </c>
      <c r="X6124" s="508">
        <v>8.9999999999999993E-3</v>
      </c>
      <c r="Y6124" s="508">
        <v>8.9999999999999993E-3</v>
      </c>
      <c r="Z6124" s="508">
        <v>7.0000000000000001E-3</v>
      </c>
      <c r="AA6124" s="508">
        <v>3.0000000000000001E-3</v>
      </c>
      <c r="AB6124" s="508">
        <v>3.0000000000000001E-3</v>
      </c>
      <c r="AC6124" s="508">
        <v>3.0000000000000001E-3</v>
      </c>
      <c r="AD6124" s="508">
        <v>2E-3</v>
      </c>
      <c r="AE6124" s="508">
        <v>2E-3</v>
      </c>
      <c r="AF6124" s="508">
        <v>1E-3</v>
      </c>
      <c r="AG6124" s="508">
        <v>1E-3</v>
      </c>
      <c r="AH6124" s="508">
        <v>1E-3</v>
      </c>
      <c r="AI6124" s="492">
        <v>1E-3</v>
      </c>
      <c r="AJ6124" s="485"/>
    </row>
    <row r="6125" spans="2:36">
      <c r="B6125" s="136" t="s">
        <v>469</v>
      </c>
      <c r="C6125" s="132" t="s">
        <v>1377</v>
      </c>
      <c r="D6125" s="132" t="s">
        <v>285</v>
      </c>
      <c r="E6125" s="508"/>
      <c r="F6125" s="508"/>
      <c r="G6125" s="508"/>
      <c r="H6125" s="508"/>
      <c r="I6125" s="508"/>
      <c r="J6125" s="508">
        <v>0.32800000000000001</v>
      </c>
      <c r="K6125" s="508">
        <v>0.32800000000000001</v>
      </c>
      <c r="L6125" s="508">
        <v>0.32800000000000001</v>
      </c>
      <c r="M6125" s="508">
        <v>0.32800000000000001</v>
      </c>
      <c r="N6125" s="508">
        <v>0.32800000000000001</v>
      </c>
      <c r="O6125" s="508">
        <v>0.32800000000000001</v>
      </c>
      <c r="P6125" s="508">
        <v>0.248</v>
      </c>
      <c r="Q6125" s="508">
        <v>0.248</v>
      </c>
      <c r="R6125" s="508">
        <v>0.248</v>
      </c>
      <c r="S6125" s="508">
        <v>0.248</v>
      </c>
      <c r="T6125" s="508">
        <v>0.248</v>
      </c>
      <c r="U6125" s="508">
        <v>0.188</v>
      </c>
      <c r="V6125" s="508">
        <v>8.0000000000000002E-3</v>
      </c>
      <c r="W6125" s="508">
        <v>8.0000000000000002E-3</v>
      </c>
      <c r="X6125" s="508">
        <v>8.0000000000000002E-3</v>
      </c>
      <c r="Y6125" s="508">
        <v>8.0000000000000002E-3</v>
      </c>
      <c r="Z6125" s="508">
        <v>7.0000000000000001E-3</v>
      </c>
      <c r="AA6125" s="508">
        <v>3.0000000000000001E-3</v>
      </c>
      <c r="AB6125" s="508">
        <v>2E-3</v>
      </c>
      <c r="AC6125" s="508">
        <v>2E-3</v>
      </c>
      <c r="AD6125" s="508">
        <v>2E-3</v>
      </c>
      <c r="AE6125" s="508">
        <v>2E-3</v>
      </c>
      <c r="AF6125" s="508">
        <v>1E-3</v>
      </c>
      <c r="AG6125" s="508">
        <v>1E-3</v>
      </c>
      <c r="AH6125" s="508">
        <v>1E-3</v>
      </c>
      <c r="AI6125" s="492">
        <v>1E-3</v>
      </c>
      <c r="AJ6125" s="485"/>
    </row>
    <row r="6126" spans="2:36">
      <c r="B6126" s="136" t="s">
        <v>470</v>
      </c>
      <c r="C6126" s="132" t="s">
        <v>1377</v>
      </c>
      <c r="D6126" s="132" t="s">
        <v>285</v>
      </c>
      <c r="E6126" s="508"/>
      <c r="F6126" s="508"/>
      <c r="G6126" s="508"/>
      <c r="H6126" s="508"/>
      <c r="I6126" s="508"/>
      <c r="J6126" s="508">
        <v>0.32100000000000001</v>
      </c>
      <c r="K6126" s="508">
        <v>0.32100000000000001</v>
      </c>
      <c r="L6126" s="508">
        <v>0.32100000000000001</v>
      </c>
      <c r="M6126" s="508">
        <v>0.32100000000000001</v>
      </c>
      <c r="N6126" s="508">
        <v>0.32100000000000001</v>
      </c>
      <c r="O6126" s="508">
        <v>0.32100000000000001</v>
      </c>
      <c r="P6126" s="508">
        <v>0.24299999999999999</v>
      </c>
      <c r="Q6126" s="508">
        <v>0.24299999999999999</v>
      </c>
      <c r="R6126" s="508">
        <v>0.24299999999999999</v>
      </c>
      <c r="S6126" s="508">
        <v>0.24299999999999999</v>
      </c>
      <c r="T6126" s="508">
        <v>0.24299999999999999</v>
      </c>
      <c r="U6126" s="508">
        <v>0.184</v>
      </c>
      <c r="V6126" s="508">
        <v>8.9999999999999993E-3</v>
      </c>
      <c r="W6126" s="508">
        <v>8.9999999999999993E-3</v>
      </c>
      <c r="X6126" s="508">
        <v>8.0000000000000002E-3</v>
      </c>
      <c r="Y6126" s="508">
        <v>8.0000000000000002E-3</v>
      </c>
      <c r="Z6126" s="508">
        <v>7.0000000000000001E-3</v>
      </c>
      <c r="AA6126" s="508">
        <v>3.0000000000000001E-3</v>
      </c>
      <c r="AB6126" s="508">
        <v>2E-3</v>
      </c>
      <c r="AC6126" s="508">
        <v>2E-3</v>
      </c>
      <c r="AD6126" s="508">
        <v>2E-3</v>
      </c>
      <c r="AE6126" s="508">
        <v>2E-3</v>
      </c>
      <c r="AF6126" s="508">
        <v>1E-3</v>
      </c>
      <c r="AG6126" s="508">
        <v>1E-3</v>
      </c>
      <c r="AH6126" s="508">
        <v>1E-3</v>
      </c>
      <c r="AI6126" s="492">
        <v>1E-3</v>
      </c>
      <c r="AJ6126" s="485"/>
    </row>
    <row r="6127" spans="2:36">
      <c r="B6127" s="136" t="s">
        <v>471</v>
      </c>
      <c r="C6127" s="132" t="s">
        <v>1377</v>
      </c>
      <c r="D6127" s="132" t="s">
        <v>285</v>
      </c>
      <c r="E6127" s="508"/>
      <c r="F6127" s="508"/>
      <c r="G6127" s="508"/>
      <c r="H6127" s="508"/>
      <c r="I6127" s="508"/>
      <c r="J6127" s="508">
        <v>0.315</v>
      </c>
      <c r="K6127" s="508">
        <v>0.315</v>
      </c>
      <c r="L6127" s="508">
        <v>0.315</v>
      </c>
      <c r="M6127" s="508">
        <v>0.315</v>
      </c>
      <c r="N6127" s="508">
        <v>0.314</v>
      </c>
      <c r="O6127" s="508">
        <v>0.314</v>
      </c>
      <c r="P6127" s="508">
        <v>0.23799999999999999</v>
      </c>
      <c r="Q6127" s="508">
        <v>0.23799999999999999</v>
      </c>
      <c r="R6127" s="508">
        <v>0.23799999999999999</v>
      </c>
      <c r="S6127" s="508">
        <v>0.23799999999999999</v>
      </c>
      <c r="T6127" s="508">
        <v>0.23799999999999999</v>
      </c>
      <c r="U6127" s="508">
        <v>0.18099999999999999</v>
      </c>
      <c r="V6127" s="508">
        <v>8.0000000000000002E-3</v>
      </c>
      <c r="W6127" s="508">
        <v>8.0000000000000002E-3</v>
      </c>
      <c r="X6127" s="508">
        <v>8.0000000000000002E-3</v>
      </c>
      <c r="Y6127" s="508">
        <v>8.0000000000000002E-3</v>
      </c>
      <c r="Z6127" s="508">
        <v>7.0000000000000001E-3</v>
      </c>
      <c r="AA6127" s="508">
        <v>3.0000000000000001E-3</v>
      </c>
      <c r="AB6127" s="508">
        <v>2E-3</v>
      </c>
      <c r="AC6127" s="508">
        <v>2E-3</v>
      </c>
      <c r="AD6127" s="508">
        <v>2E-3</v>
      </c>
      <c r="AE6127" s="508">
        <v>2E-3</v>
      </c>
      <c r="AF6127" s="508">
        <v>1E-3</v>
      </c>
      <c r="AG6127" s="508">
        <v>1E-3</v>
      </c>
      <c r="AH6127" s="508">
        <v>1E-3</v>
      </c>
      <c r="AI6127" s="492">
        <v>1E-3</v>
      </c>
      <c r="AJ6127" s="485"/>
    </row>
    <row r="6128" spans="2:36">
      <c r="B6128" s="136" t="s">
        <v>472</v>
      </c>
      <c r="C6128" s="132" t="s">
        <v>1377</v>
      </c>
      <c r="D6128" s="132" t="s">
        <v>285</v>
      </c>
      <c r="E6128" s="508"/>
      <c r="F6128" s="508"/>
      <c r="G6128" s="508"/>
      <c r="H6128" s="508"/>
      <c r="I6128" s="508"/>
      <c r="J6128" s="508">
        <v>0.32700000000000001</v>
      </c>
      <c r="K6128" s="508">
        <v>0.32700000000000001</v>
      </c>
      <c r="L6128" s="508">
        <v>0.32700000000000001</v>
      </c>
      <c r="M6128" s="508">
        <v>0.32700000000000001</v>
      </c>
      <c r="N6128" s="508">
        <v>0.32600000000000001</v>
      </c>
      <c r="O6128" s="508">
        <v>0.32600000000000001</v>
      </c>
      <c r="P6128" s="508">
        <v>0.247</v>
      </c>
      <c r="Q6128" s="508">
        <v>0.247</v>
      </c>
      <c r="R6128" s="508">
        <v>0.247</v>
      </c>
      <c r="S6128" s="508">
        <v>0.247</v>
      </c>
      <c r="T6128" s="508">
        <v>0.247</v>
      </c>
      <c r="U6128" s="508">
        <v>0.187</v>
      </c>
      <c r="V6128" s="508">
        <v>8.0000000000000002E-3</v>
      </c>
      <c r="W6128" s="508">
        <v>8.0000000000000002E-3</v>
      </c>
      <c r="X6128" s="508">
        <v>8.0000000000000002E-3</v>
      </c>
      <c r="Y6128" s="508">
        <v>8.0000000000000002E-3</v>
      </c>
      <c r="Z6128" s="508">
        <v>7.0000000000000001E-3</v>
      </c>
      <c r="AA6128" s="508">
        <v>3.0000000000000001E-3</v>
      </c>
      <c r="AB6128" s="508">
        <v>2E-3</v>
      </c>
      <c r="AC6128" s="508">
        <v>2E-3</v>
      </c>
      <c r="AD6128" s="508">
        <v>2E-3</v>
      </c>
      <c r="AE6128" s="508">
        <v>2E-3</v>
      </c>
      <c r="AF6128" s="508">
        <v>1E-3</v>
      </c>
      <c r="AG6128" s="508">
        <v>1E-3</v>
      </c>
      <c r="AH6128" s="508">
        <v>1E-3</v>
      </c>
      <c r="AI6128" s="492">
        <v>1E-3</v>
      </c>
      <c r="AJ6128" s="485"/>
    </row>
    <row r="6129" spans="2:36">
      <c r="B6129" s="136" t="s">
        <v>473</v>
      </c>
      <c r="C6129" s="132" t="s">
        <v>1377</v>
      </c>
      <c r="D6129" s="132" t="s">
        <v>285</v>
      </c>
      <c r="E6129" s="508"/>
      <c r="F6129" s="508"/>
      <c r="G6129" s="508"/>
      <c r="H6129" s="508"/>
      <c r="I6129" s="508"/>
      <c r="J6129" s="508">
        <v>0.312</v>
      </c>
      <c r="K6129" s="508">
        <v>0.312</v>
      </c>
      <c r="L6129" s="508">
        <v>0.311</v>
      </c>
      <c r="M6129" s="508">
        <v>0.311</v>
      </c>
      <c r="N6129" s="508">
        <v>0.311</v>
      </c>
      <c r="O6129" s="508">
        <v>0.311</v>
      </c>
      <c r="P6129" s="508">
        <v>0.23599999999999999</v>
      </c>
      <c r="Q6129" s="508">
        <v>0.23599999999999999</v>
      </c>
      <c r="R6129" s="508">
        <v>0.23599999999999999</v>
      </c>
      <c r="S6129" s="508">
        <v>0.23599999999999999</v>
      </c>
      <c r="T6129" s="508">
        <v>0.23599999999999999</v>
      </c>
      <c r="U6129" s="508">
        <v>0.17899999999999999</v>
      </c>
      <c r="V6129" s="508">
        <v>8.0000000000000002E-3</v>
      </c>
      <c r="W6129" s="508">
        <v>8.0000000000000002E-3</v>
      </c>
      <c r="X6129" s="508">
        <v>8.0000000000000002E-3</v>
      </c>
      <c r="Y6129" s="508">
        <v>8.0000000000000002E-3</v>
      </c>
      <c r="Z6129" s="508">
        <v>7.0000000000000001E-3</v>
      </c>
      <c r="AA6129" s="508">
        <v>3.0000000000000001E-3</v>
      </c>
      <c r="AB6129" s="508">
        <v>2E-3</v>
      </c>
      <c r="AC6129" s="508">
        <v>2E-3</v>
      </c>
      <c r="AD6129" s="508">
        <v>2E-3</v>
      </c>
      <c r="AE6129" s="508">
        <v>2E-3</v>
      </c>
      <c r="AF6129" s="508">
        <v>1E-3</v>
      </c>
      <c r="AG6129" s="508">
        <v>1E-3</v>
      </c>
      <c r="AH6129" s="508">
        <v>1E-3</v>
      </c>
      <c r="AI6129" s="492">
        <v>1E-3</v>
      </c>
      <c r="AJ6129" s="485"/>
    </row>
    <row r="6130" spans="2:36">
      <c r="B6130" s="136" t="s">
        <v>474</v>
      </c>
      <c r="C6130" s="132" t="s">
        <v>1377</v>
      </c>
      <c r="D6130" s="132" t="s">
        <v>285</v>
      </c>
      <c r="E6130" s="508"/>
      <c r="F6130" s="508"/>
      <c r="G6130" s="508"/>
      <c r="H6130" s="508"/>
      <c r="I6130" s="508"/>
      <c r="J6130" s="508">
        <v>0.31900000000000001</v>
      </c>
      <c r="K6130" s="508">
        <v>0.31900000000000001</v>
      </c>
      <c r="L6130" s="508">
        <v>0.31900000000000001</v>
      </c>
      <c r="M6130" s="508">
        <v>0.31900000000000001</v>
      </c>
      <c r="N6130" s="508">
        <v>0.31900000000000001</v>
      </c>
      <c r="O6130" s="508">
        <v>0.31900000000000001</v>
      </c>
      <c r="P6130" s="508">
        <v>0.24199999999999999</v>
      </c>
      <c r="Q6130" s="508">
        <v>0.24199999999999999</v>
      </c>
      <c r="R6130" s="508">
        <v>0.24199999999999999</v>
      </c>
      <c r="S6130" s="508">
        <v>0.24199999999999999</v>
      </c>
      <c r="T6130" s="508">
        <v>0.24099999999999999</v>
      </c>
      <c r="U6130" s="508">
        <v>0.183</v>
      </c>
      <c r="V6130" s="508">
        <v>8.0000000000000002E-3</v>
      </c>
      <c r="W6130" s="508">
        <v>8.0000000000000002E-3</v>
      </c>
      <c r="X6130" s="508">
        <v>8.0000000000000002E-3</v>
      </c>
      <c r="Y6130" s="508">
        <v>8.0000000000000002E-3</v>
      </c>
      <c r="Z6130" s="508">
        <v>7.0000000000000001E-3</v>
      </c>
      <c r="AA6130" s="508">
        <v>3.0000000000000001E-3</v>
      </c>
      <c r="AB6130" s="508">
        <v>2E-3</v>
      </c>
      <c r="AC6130" s="508">
        <v>2E-3</v>
      </c>
      <c r="AD6130" s="508">
        <v>2E-3</v>
      </c>
      <c r="AE6130" s="508">
        <v>2E-3</v>
      </c>
      <c r="AF6130" s="508">
        <v>1E-3</v>
      </c>
      <c r="AG6130" s="508">
        <v>1E-3</v>
      </c>
      <c r="AH6130" s="508">
        <v>1E-3</v>
      </c>
      <c r="AI6130" s="492">
        <v>1E-3</v>
      </c>
      <c r="AJ6130" s="485"/>
    </row>
    <row r="6131" spans="2:36">
      <c r="B6131" s="136" t="s">
        <v>475</v>
      </c>
      <c r="C6131" s="132" t="s">
        <v>1377</v>
      </c>
      <c r="D6131" s="132" t="s">
        <v>285</v>
      </c>
      <c r="E6131" s="508"/>
      <c r="F6131" s="508"/>
      <c r="G6131" s="508"/>
      <c r="H6131" s="508"/>
      <c r="I6131" s="508"/>
      <c r="J6131" s="508">
        <v>0.32200000000000001</v>
      </c>
      <c r="K6131" s="508">
        <v>0.32200000000000001</v>
      </c>
      <c r="L6131" s="508">
        <v>0.32200000000000001</v>
      </c>
      <c r="M6131" s="508">
        <v>0.32200000000000001</v>
      </c>
      <c r="N6131" s="508">
        <v>0.32200000000000001</v>
      </c>
      <c r="O6131" s="508">
        <v>0.32200000000000001</v>
      </c>
      <c r="P6131" s="508">
        <v>0.24399999999999999</v>
      </c>
      <c r="Q6131" s="508">
        <v>0.24399999999999999</v>
      </c>
      <c r="R6131" s="508">
        <v>0.24399999999999999</v>
      </c>
      <c r="S6131" s="508">
        <v>0.24399999999999999</v>
      </c>
      <c r="T6131" s="508">
        <v>0.24399999999999999</v>
      </c>
      <c r="U6131" s="508">
        <v>0.185</v>
      </c>
      <c r="V6131" s="508">
        <v>8.0000000000000002E-3</v>
      </c>
      <c r="W6131" s="508">
        <v>8.0000000000000002E-3</v>
      </c>
      <c r="X6131" s="508">
        <v>8.0000000000000002E-3</v>
      </c>
      <c r="Y6131" s="508">
        <v>8.0000000000000002E-3</v>
      </c>
      <c r="Z6131" s="508">
        <v>7.0000000000000001E-3</v>
      </c>
      <c r="AA6131" s="508">
        <v>3.0000000000000001E-3</v>
      </c>
      <c r="AB6131" s="508">
        <v>2E-3</v>
      </c>
      <c r="AC6131" s="508">
        <v>2E-3</v>
      </c>
      <c r="AD6131" s="508">
        <v>2E-3</v>
      </c>
      <c r="AE6131" s="508">
        <v>2E-3</v>
      </c>
      <c r="AF6131" s="508">
        <v>1E-3</v>
      </c>
      <c r="AG6131" s="508">
        <v>1E-3</v>
      </c>
      <c r="AH6131" s="508">
        <v>1E-3</v>
      </c>
      <c r="AI6131" s="492">
        <v>1E-3</v>
      </c>
      <c r="AJ6131" s="485"/>
    </row>
    <row r="6132" spans="2:36">
      <c r="B6132" s="136" t="s">
        <v>476</v>
      </c>
      <c r="C6132" s="132" t="s">
        <v>1377</v>
      </c>
      <c r="D6132" s="132" t="s">
        <v>285</v>
      </c>
      <c r="E6132" s="508"/>
      <c r="F6132" s="508"/>
      <c r="G6132" s="508"/>
      <c r="H6132" s="508"/>
      <c r="I6132" s="508"/>
      <c r="J6132" s="508">
        <v>0.32300000000000001</v>
      </c>
      <c r="K6132" s="508">
        <v>0.32300000000000001</v>
      </c>
      <c r="L6132" s="508">
        <v>0.32300000000000001</v>
      </c>
      <c r="M6132" s="508">
        <v>0.32300000000000001</v>
      </c>
      <c r="N6132" s="508">
        <v>0.32300000000000001</v>
      </c>
      <c r="O6132" s="508">
        <v>0.32300000000000001</v>
      </c>
      <c r="P6132" s="508">
        <v>0.245</v>
      </c>
      <c r="Q6132" s="508">
        <v>0.245</v>
      </c>
      <c r="R6132" s="508">
        <v>0.245</v>
      </c>
      <c r="S6132" s="508">
        <v>0.245</v>
      </c>
      <c r="T6132" s="508">
        <v>0.24399999999999999</v>
      </c>
      <c r="U6132" s="508">
        <v>0.185</v>
      </c>
      <c r="V6132" s="508">
        <v>8.0000000000000002E-3</v>
      </c>
      <c r="W6132" s="508">
        <v>8.0000000000000002E-3</v>
      </c>
      <c r="X6132" s="508">
        <v>8.0000000000000002E-3</v>
      </c>
      <c r="Y6132" s="508">
        <v>8.0000000000000002E-3</v>
      </c>
      <c r="Z6132" s="508">
        <v>7.0000000000000001E-3</v>
      </c>
      <c r="AA6132" s="508">
        <v>3.0000000000000001E-3</v>
      </c>
      <c r="AB6132" s="508">
        <v>2E-3</v>
      </c>
      <c r="AC6132" s="508">
        <v>2E-3</v>
      </c>
      <c r="AD6132" s="508">
        <v>2E-3</v>
      </c>
      <c r="AE6132" s="508">
        <v>2E-3</v>
      </c>
      <c r="AF6132" s="508">
        <v>1E-3</v>
      </c>
      <c r="AG6132" s="508">
        <v>1E-3</v>
      </c>
      <c r="AH6132" s="508">
        <v>1E-3</v>
      </c>
      <c r="AI6132" s="492">
        <v>1E-3</v>
      </c>
      <c r="AJ6132" s="485"/>
    </row>
    <row r="6133" spans="2:36">
      <c r="B6133" s="136" t="s">
        <v>478</v>
      </c>
      <c r="C6133" s="132" t="s">
        <v>1377</v>
      </c>
      <c r="D6133" s="132" t="s">
        <v>285</v>
      </c>
      <c r="E6133" s="508"/>
      <c r="F6133" s="508"/>
      <c r="G6133" s="508"/>
      <c r="H6133" s="508"/>
      <c r="I6133" s="508"/>
      <c r="J6133" s="508">
        <v>0.32900000000000001</v>
      </c>
      <c r="K6133" s="508">
        <v>0.32900000000000001</v>
      </c>
      <c r="L6133" s="508">
        <v>0.32900000000000001</v>
      </c>
      <c r="M6133" s="508">
        <v>0.32900000000000001</v>
      </c>
      <c r="N6133" s="508">
        <v>0.32900000000000001</v>
      </c>
      <c r="O6133" s="508">
        <v>0.32900000000000001</v>
      </c>
      <c r="P6133" s="508">
        <v>0.249</v>
      </c>
      <c r="Q6133" s="508">
        <v>0.249</v>
      </c>
      <c r="R6133" s="508">
        <v>0.249</v>
      </c>
      <c r="S6133" s="508">
        <v>0.249</v>
      </c>
      <c r="T6133" s="508">
        <v>0.249</v>
      </c>
      <c r="U6133" s="508">
        <v>0.189</v>
      </c>
      <c r="V6133" s="508">
        <v>8.9999999999999993E-3</v>
      </c>
      <c r="W6133" s="508">
        <v>8.9999999999999993E-3</v>
      </c>
      <c r="X6133" s="508">
        <v>8.9999999999999993E-3</v>
      </c>
      <c r="Y6133" s="508">
        <v>8.9999999999999993E-3</v>
      </c>
      <c r="Z6133" s="508">
        <v>7.0000000000000001E-3</v>
      </c>
      <c r="AA6133" s="508">
        <v>3.0000000000000001E-3</v>
      </c>
      <c r="AB6133" s="508">
        <v>2E-3</v>
      </c>
      <c r="AC6133" s="508">
        <v>2E-3</v>
      </c>
      <c r="AD6133" s="508">
        <v>2E-3</v>
      </c>
      <c r="AE6133" s="508">
        <v>2E-3</v>
      </c>
      <c r="AF6133" s="508">
        <v>1E-3</v>
      </c>
      <c r="AG6133" s="508">
        <v>1E-3</v>
      </c>
      <c r="AH6133" s="508">
        <v>1E-3</v>
      </c>
      <c r="AI6133" s="492">
        <v>1E-3</v>
      </c>
      <c r="AJ6133" s="485"/>
    </row>
    <row r="6134" spans="2:36">
      <c r="B6134" s="136" t="s">
        <v>479</v>
      </c>
      <c r="C6134" s="132" t="s">
        <v>1377</v>
      </c>
      <c r="D6134" s="132" t="s">
        <v>285</v>
      </c>
      <c r="E6134" s="508"/>
      <c r="F6134" s="508"/>
      <c r="G6134" s="508"/>
      <c r="H6134" s="508"/>
      <c r="I6134" s="508"/>
      <c r="J6134" s="508">
        <v>0.32600000000000001</v>
      </c>
      <c r="K6134" s="508">
        <v>0.32600000000000001</v>
      </c>
      <c r="L6134" s="508">
        <v>0.32600000000000001</v>
      </c>
      <c r="M6134" s="508">
        <v>0.32600000000000001</v>
      </c>
      <c r="N6134" s="508">
        <v>0.32600000000000001</v>
      </c>
      <c r="O6134" s="508">
        <v>0.32600000000000001</v>
      </c>
      <c r="P6134" s="508">
        <v>0.247</v>
      </c>
      <c r="Q6134" s="508">
        <v>0.247</v>
      </c>
      <c r="R6134" s="508">
        <v>0.247</v>
      </c>
      <c r="S6134" s="508">
        <v>0.247</v>
      </c>
      <c r="T6134" s="508">
        <v>0.247</v>
      </c>
      <c r="U6134" s="508">
        <v>0.187</v>
      </c>
      <c r="V6134" s="508">
        <v>8.0000000000000002E-3</v>
      </c>
      <c r="W6134" s="508">
        <v>8.0000000000000002E-3</v>
      </c>
      <c r="X6134" s="508">
        <v>8.0000000000000002E-3</v>
      </c>
      <c r="Y6134" s="508">
        <v>8.0000000000000002E-3</v>
      </c>
      <c r="Z6134" s="508">
        <v>7.0000000000000001E-3</v>
      </c>
      <c r="AA6134" s="508">
        <v>3.0000000000000001E-3</v>
      </c>
      <c r="AB6134" s="508">
        <v>2E-3</v>
      </c>
      <c r="AC6134" s="508">
        <v>2E-3</v>
      </c>
      <c r="AD6134" s="508">
        <v>2E-3</v>
      </c>
      <c r="AE6134" s="508">
        <v>2E-3</v>
      </c>
      <c r="AF6134" s="508">
        <v>1E-3</v>
      </c>
      <c r="AG6134" s="508">
        <v>1E-3</v>
      </c>
      <c r="AH6134" s="508">
        <v>1E-3</v>
      </c>
      <c r="AI6134" s="492">
        <v>1E-3</v>
      </c>
      <c r="AJ6134" s="485"/>
    </row>
    <row r="6135" spans="2:36">
      <c r="B6135" s="136" t="s">
        <v>480</v>
      </c>
      <c r="C6135" s="132" t="s">
        <v>1377</v>
      </c>
      <c r="D6135" s="132" t="s">
        <v>285</v>
      </c>
      <c r="E6135" s="508"/>
      <c r="F6135" s="508"/>
      <c r="G6135" s="508"/>
      <c r="H6135" s="508"/>
      <c r="I6135" s="508"/>
      <c r="J6135" s="508">
        <v>0.34100000000000003</v>
      </c>
      <c r="K6135" s="508">
        <v>0.34100000000000003</v>
      </c>
      <c r="L6135" s="508">
        <v>0.34100000000000003</v>
      </c>
      <c r="M6135" s="508">
        <v>0.34100000000000003</v>
      </c>
      <c r="N6135" s="508">
        <v>0.34</v>
      </c>
      <c r="O6135" s="508">
        <v>0.34</v>
      </c>
      <c r="P6135" s="508">
        <v>0.25800000000000001</v>
      </c>
      <c r="Q6135" s="508">
        <v>0.25800000000000001</v>
      </c>
      <c r="R6135" s="508">
        <v>0.25800000000000001</v>
      </c>
      <c r="S6135" s="508">
        <v>0.25800000000000001</v>
      </c>
      <c r="T6135" s="508">
        <v>0.25800000000000001</v>
      </c>
      <c r="U6135" s="508">
        <v>0.19600000000000001</v>
      </c>
      <c r="V6135" s="508">
        <v>8.0000000000000002E-3</v>
      </c>
      <c r="W6135" s="508">
        <v>8.0000000000000002E-3</v>
      </c>
      <c r="X6135" s="508">
        <v>8.0000000000000002E-3</v>
      </c>
      <c r="Y6135" s="508">
        <v>8.0000000000000002E-3</v>
      </c>
      <c r="Z6135" s="508">
        <v>7.0000000000000001E-3</v>
      </c>
      <c r="AA6135" s="508">
        <v>3.0000000000000001E-3</v>
      </c>
      <c r="AB6135" s="508">
        <v>2E-3</v>
      </c>
      <c r="AC6135" s="508">
        <v>2E-3</v>
      </c>
      <c r="AD6135" s="508">
        <v>2E-3</v>
      </c>
      <c r="AE6135" s="508">
        <v>2E-3</v>
      </c>
      <c r="AF6135" s="508">
        <v>1E-3</v>
      </c>
      <c r="AG6135" s="508">
        <v>1E-3</v>
      </c>
      <c r="AH6135" s="508">
        <v>1E-3</v>
      </c>
      <c r="AI6135" s="492">
        <v>1E-3</v>
      </c>
      <c r="AJ6135" s="485"/>
    </row>
    <row r="6136" spans="2:36">
      <c r="B6136" s="136" t="s">
        <v>481</v>
      </c>
      <c r="C6136" s="132" t="s">
        <v>1377</v>
      </c>
      <c r="D6136" s="132" t="s">
        <v>285</v>
      </c>
      <c r="E6136" s="508"/>
      <c r="F6136" s="508"/>
      <c r="G6136" s="508"/>
      <c r="H6136" s="508"/>
      <c r="I6136" s="508"/>
      <c r="J6136" s="508">
        <v>0.32600000000000001</v>
      </c>
      <c r="K6136" s="508">
        <v>0.32600000000000001</v>
      </c>
      <c r="L6136" s="508">
        <v>0.32600000000000001</v>
      </c>
      <c r="M6136" s="508">
        <v>0.32600000000000001</v>
      </c>
      <c r="N6136" s="508">
        <v>0.32600000000000001</v>
      </c>
      <c r="O6136" s="508">
        <v>0.32600000000000001</v>
      </c>
      <c r="P6136" s="508">
        <v>0.247</v>
      </c>
      <c r="Q6136" s="508">
        <v>0.247</v>
      </c>
      <c r="R6136" s="508">
        <v>0.247</v>
      </c>
      <c r="S6136" s="508">
        <v>0.247</v>
      </c>
      <c r="T6136" s="508">
        <v>0.247</v>
      </c>
      <c r="U6136" s="508">
        <v>0.187</v>
      </c>
      <c r="V6136" s="508">
        <v>8.9999999999999993E-3</v>
      </c>
      <c r="W6136" s="508">
        <v>8.0000000000000002E-3</v>
      </c>
      <c r="X6136" s="508">
        <v>8.0000000000000002E-3</v>
      </c>
      <c r="Y6136" s="508">
        <v>8.0000000000000002E-3</v>
      </c>
      <c r="Z6136" s="508">
        <v>7.0000000000000001E-3</v>
      </c>
      <c r="AA6136" s="508">
        <v>3.0000000000000001E-3</v>
      </c>
      <c r="AB6136" s="508">
        <v>2E-3</v>
      </c>
      <c r="AC6136" s="508">
        <v>2E-3</v>
      </c>
      <c r="AD6136" s="508">
        <v>2E-3</v>
      </c>
      <c r="AE6136" s="508">
        <v>2E-3</v>
      </c>
      <c r="AF6136" s="508">
        <v>1E-3</v>
      </c>
      <c r="AG6136" s="508">
        <v>1E-3</v>
      </c>
      <c r="AH6136" s="508">
        <v>1E-3</v>
      </c>
      <c r="AI6136" s="492">
        <v>1E-3</v>
      </c>
      <c r="AJ6136" s="485"/>
    </row>
    <row r="6137" spans="2:36">
      <c r="B6137" s="136" t="s">
        <v>482</v>
      </c>
      <c r="C6137" s="132" t="s">
        <v>1377</v>
      </c>
      <c r="D6137" s="132" t="s">
        <v>285</v>
      </c>
      <c r="E6137" s="508"/>
      <c r="F6137" s="508"/>
      <c r="G6137" s="508"/>
      <c r="H6137" s="508"/>
      <c r="I6137" s="508"/>
      <c r="J6137" s="508">
        <v>0.33200000000000002</v>
      </c>
      <c r="K6137" s="508">
        <v>0.33200000000000002</v>
      </c>
      <c r="L6137" s="508">
        <v>0.33200000000000002</v>
      </c>
      <c r="M6137" s="508">
        <v>0.33200000000000002</v>
      </c>
      <c r="N6137" s="508">
        <v>0.33100000000000002</v>
      </c>
      <c r="O6137" s="508">
        <v>0.33100000000000002</v>
      </c>
      <c r="P6137" s="508">
        <v>0.251</v>
      </c>
      <c r="Q6137" s="508">
        <v>0.251</v>
      </c>
      <c r="R6137" s="508">
        <v>0.251</v>
      </c>
      <c r="S6137" s="508">
        <v>0.251</v>
      </c>
      <c r="T6137" s="508">
        <v>0.251</v>
      </c>
      <c r="U6137" s="508">
        <v>0.19</v>
      </c>
      <c r="V6137" s="508">
        <v>8.9999999999999993E-3</v>
      </c>
      <c r="W6137" s="508">
        <v>8.9999999999999993E-3</v>
      </c>
      <c r="X6137" s="508">
        <v>8.9999999999999993E-3</v>
      </c>
      <c r="Y6137" s="508">
        <v>8.9999999999999993E-3</v>
      </c>
      <c r="Z6137" s="508">
        <v>7.0000000000000001E-3</v>
      </c>
      <c r="AA6137" s="508">
        <v>3.0000000000000001E-3</v>
      </c>
      <c r="AB6137" s="508">
        <v>2E-3</v>
      </c>
      <c r="AC6137" s="508">
        <v>2E-3</v>
      </c>
      <c r="AD6137" s="508">
        <v>2E-3</v>
      </c>
      <c r="AE6137" s="508">
        <v>2E-3</v>
      </c>
      <c r="AF6137" s="508">
        <v>1E-3</v>
      </c>
      <c r="AG6137" s="508">
        <v>1E-3</v>
      </c>
      <c r="AH6137" s="508">
        <v>1E-3</v>
      </c>
      <c r="AI6137" s="492">
        <v>1E-3</v>
      </c>
      <c r="AJ6137" s="485"/>
    </row>
    <row r="6138" spans="2:36">
      <c r="B6138" s="136" t="s">
        <v>483</v>
      </c>
      <c r="C6138" s="132" t="s">
        <v>1377</v>
      </c>
      <c r="D6138" s="132" t="s">
        <v>285</v>
      </c>
      <c r="E6138" s="508"/>
      <c r="F6138" s="508"/>
      <c r="G6138" s="508"/>
      <c r="H6138" s="508"/>
      <c r="I6138" s="508"/>
      <c r="J6138" s="508">
        <v>0.32500000000000001</v>
      </c>
      <c r="K6138" s="508">
        <v>0.32500000000000001</v>
      </c>
      <c r="L6138" s="508">
        <v>0.32500000000000001</v>
      </c>
      <c r="M6138" s="508">
        <v>0.32500000000000001</v>
      </c>
      <c r="N6138" s="508">
        <v>0.32500000000000001</v>
      </c>
      <c r="O6138" s="508">
        <v>0.32500000000000001</v>
      </c>
      <c r="P6138" s="508">
        <v>0.247</v>
      </c>
      <c r="Q6138" s="508">
        <v>0.246</v>
      </c>
      <c r="R6138" s="508">
        <v>0.246</v>
      </c>
      <c r="S6138" s="508">
        <v>0.246</v>
      </c>
      <c r="T6138" s="508">
        <v>0.246</v>
      </c>
      <c r="U6138" s="508">
        <v>0.187</v>
      </c>
      <c r="V6138" s="508">
        <v>8.9999999999999993E-3</v>
      </c>
      <c r="W6138" s="508">
        <v>8.9999999999999993E-3</v>
      </c>
      <c r="X6138" s="508">
        <v>8.9999999999999993E-3</v>
      </c>
      <c r="Y6138" s="508">
        <v>8.9999999999999993E-3</v>
      </c>
      <c r="Z6138" s="508">
        <v>7.0000000000000001E-3</v>
      </c>
      <c r="AA6138" s="508">
        <v>3.0000000000000001E-3</v>
      </c>
      <c r="AB6138" s="508">
        <v>2E-3</v>
      </c>
      <c r="AC6138" s="508">
        <v>2E-3</v>
      </c>
      <c r="AD6138" s="508">
        <v>2E-3</v>
      </c>
      <c r="AE6138" s="508">
        <v>2E-3</v>
      </c>
      <c r="AF6138" s="508">
        <v>1E-3</v>
      </c>
      <c r="AG6138" s="508">
        <v>1E-3</v>
      </c>
      <c r="AH6138" s="508">
        <v>1E-3</v>
      </c>
      <c r="AI6138" s="492">
        <v>1E-3</v>
      </c>
      <c r="AJ6138" s="485"/>
    </row>
    <row r="6139" spans="2:36">
      <c r="B6139" s="136" t="s">
        <v>484</v>
      </c>
      <c r="C6139" s="132" t="s">
        <v>1377</v>
      </c>
      <c r="D6139" s="132" t="s">
        <v>285</v>
      </c>
      <c r="E6139" s="508"/>
      <c r="F6139" s="508"/>
      <c r="G6139" s="508"/>
      <c r="H6139" s="508"/>
      <c r="I6139" s="508"/>
      <c r="J6139" s="508">
        <v>0.33</v>
      </c>
      <c r="K6139" s="508">
        <v>0.33</v>
      </c>
      <c r="L6139" s="508">
        <v>0.33</v>
      </c>
      <c r="M6139" s="508">
        <v>0.33</v>
      </c>
      <c r="N6139" s="508">
        <v>0.33</v>
      </c>
      <c r="O6139" s="508">
        <v>0.33</v>
      </c>
      <c r="P6139" s="508">
        <v>0.25</v>
      </c>
      <c r="Q6139" s="508">
        <v>0.25</v>
      </c>
      <c r="R6139" s="508">
        <v>0.25</v>
      </c>
      <c r="S6139" s="508">
        <v>0.25</v>
      </c>
      <c r="T6139" s="508">
        <v>0.25</v>
      </c>
      <c r="U6139" s="508">
        <v>0.189</v>
      </c>
      <c r="V6139" s="508">
        <v>8.0000000000000002E-3</v>
      </c>
      <c r="W6139" s="508">
        <v>8.0000000000000002E-3</v>
      </c>
      <c r="X6139" s="508">
        <v>8.0000000000000002E-3</v>
      </c>
      <c r="Y6139" s="508">
        <v>8.0000000000000002E-3</v>
      </c>
      <c r="Z6139" s="508">
        <v>7.0000000000000001E-3</v>
      </c>
      <c r="AA6139" s="508">
        <v>3.0000000000000001E-3</v>
      </c>
      <c r="AB6139" s="508">
        <v>2E-3</v>
      </c>
      <c r="AC6139" s="508">
        <v>2E-3</v>
      </c>
      <c r="AD6139" s="508">
        <v>2E-3</v>
      </c>
      <c r="AE6139" s="508">
        <v>2E-3</v>
      </c>
      <c r="AF6139" s="508">
        <v>1E-3</v>
      </c>
      <c r="AG6139" s="508">
        <v>1E-3</v>
      </c>
      <c r="AH6139" s="508">
        <v>1E-3</v>
      </c>
      <c r="AI6139" s="492">
        <v>1E-3</v>
      </c>
      <c r="AJ6139" s="485"/>
    </row>
    <row r="6140" spans="2:36">
      <c r="B6140" s="136" t="s">
        <v>486</v>
      </c>
      <c r="C6140" s="132" t="s">
        <v>1377</v>
      </c>
      <c r="D6140" s="132" t="s">
        <v>285</v>
      </c>
      <c r="E6140" s="508"/>
      <c r="F6140" s="508"/>
      <c r="G6140" s="508"/>
      <c r="H6140" s="508"/>
      <c r="I6140" s="508"/>
      <c r="J6140" s="508">
        <v>0.32900000000000001</v>
      </c>
      <c r="K6140" s="508">
        <v>0.32900000000000001</v>
      </c>
      <c r="L6140" s="508">
        <v>0.32900000000000001</v>
      </c>
      <c r="M6140" s="508">
        <v>0.32900000000000001</v>
      </c>
      <c r="N6140" s="508">
        <v>0.32900000000000001</v>
      </c>
      <c r="O6140" s="508">
        <v>0.32900000000000001</v>
      </c>
      <c r="P6140" s="508">
        <v>0.249</v>
      </c>
      <c r="Q6140" s="508">
        <v>0.249</v>
      </c>
      <c r="R6140" s="508">
        <v>0.249</v>
      </c>
      <c r="S6140" s="508">
        <v>0.249</v>
      </c>
      <c r="T6140" s="508">
        <v>0.249</v>
      </c>
      <c r="U6140" s="508">
        <v>0.189</v>
      </c>
      <c r="V6140" s="508">
        <v>8.9999999999999993E-3</v>
      </c>
      <c r="W6140" s="508">
        <v>8.9999999999999993E-3</v>
      </c>
      <c r="X6140" s="508">
        <v>8.9999999999999993E-3</v>
      </c>
      <c r="Y6140" s="508">
        <v>8.9999999999999993E-3</v>
      </c>
      <c r="Z6140" s="508">
        <v>7.0000000000000001E-3</v>
      </c>
      <c r="AA6140" s="508">
        <v>3.0000000000000001E-3</v>
      </c>
      <c r="AB6140" s="508">
        <v>2E-3</v>
      </c>
      <c r="AC6140" s="508">
        <v>2E-3</v>
      </c>
      <c r="AD6140" s="508">
        <v>2E-3</v>
      </c>
      <c r="AE6140" s="508">
        <v>2E-3</v>
      </c>
      <c r="AF6140" s="508">
        <v>1E-3</v>
      </c>
      <c r="AG6140" s="508">
        <v>1E-3</v>
      </c>
      <c r="AH6140" s="508">
        <v>1E-3</v>
      </c>
      <c r="AI6140" s="492">
        <v>1E-3</v>
      </c>
      <c r="AJ6140" s="485"/>
    </row>
    <row r="6141" spans="2:36">
      <c r="B6141" s="136" t="s">
        <v>487</v>
      </c>
      <c r="C6141" s="132" t="s">
        <v>1377</v>
      </c>
      <c r="D6141" s="132" t="s">
        <v>285</v>
      </c>
      <c r="E6141" s="508"/>
      <c r="F6141" s="508"/>
      <c r="G6141" s="508"/>
      <c r="H6141" s="508"/>
      <c r="I6141" s="508"/>
      <c r="J6141" s="508">
        <v>0.33700000000000002</v>
      </c>
      <c r="K6141" s="508">
        <v>0.33700000000000002</v>
      </c>
      <c r="L6141" s="508">
        <v>0.33700000000000002</v>
      </c>
      <c r="M6141" s="508">
        <v>0.33700000000000002</v>
      </c>
      <c r="N6141" s="508">
        <v>0.33700000000000002</v>
      </c>
      <c r="O6141" s="508">
        <v>0.33700000000000002</v>
      </c>
      <c r="P6141" s="508">
        <v>0.255</v>
      </c>
      <c r="Q6141" s="508">
        <v>0.255</v>
      </c>
      <c r="R6141" s="508">
        <v>0.255</v>
      </c>
      <c r="S6141" s="508">
        <v>0.255</v>
      </c>
      <c r="T6141" s="508">
        <v>0.255</v>
      </c>
      <c r="U6141" s="508">
        <v>0.193</v>
      </c>
      <c r="V6141" s="508">
        <v>8.9999999999999993E-3</v>
      </c>
      <c r="W6141" s="508">
        <v>8.9999999999999993E-3</v>
      </c>
      <c r="X6141" s="508">
        <v>8.9999999999999993E-3</v>
      </c>
      <c r="Y6141" s="508">
        <v>8.9999999999999993E-3</v>
      </c>
      <c r="Z6141" s="508">
        <v>7.0000000000000001E-3</v>
      </c>
      <c r="AA6141" s="508">
        <v>3.0000000000000001E-3</v>
      </c>
      <c r="AB6141" s="508">
        <v>3.0000000000000001E-3</v>
      </c>
      <c r="AC6141" s="508">
        <v>3.0000000000000001E-3</v>
      </c>
      <c r="AD6141" s="508">
        <v>2E-3</v>
      </c>
      <c r="AE6141" s="508">
        <v>2E-3</v>
      </c>
      <c r="AF6141" s="508">
        <v>1E-3</v>
      </c>
      <c r="AG6141" s="508">
        <v>1E-3</v>
      </c>
      <c r="AH6141" s="508">
        <v>1E-3</v>
      </c>
      <c r="AI6141" s="492">
        <v>1E-3</v>
      </c>
      <c r="AJ6141" s="485"/>
    </row>
    <row r="6142" spans="2:36">
      <c r="B6142" s="136" t="s">
        <v>488</v>
      </c>
      <c r="C6142" s="132" t="s">
        <v>1377</v>
      </c>
      <c r="D6142" s="132" t="s">
        <v>285</v>
      </c>
      <c r="E6142" s="508"/>
      <c r="F6142" s="508"/>
      <c r="G6142" s="508"/>
      <c r="H6142" s="508"/>
      <c r="I6142" s="508"/>
      <c r="J6142" s="508">
        <v>0.33400000000000002</v>
      </c>
      <c r="K6142" s="508">
        <v>0.33400000000000002</v>
      </c>
      <c r="L6142" s="508">
        <v>0.33400000000000002</v>
      </c>
      <c r="M6142" s="508">
        <v>0.33400000000000002</v>
      </c>
      <c r="N6142" s="508">
        <v>0.33400000000000002</v>
      </c>
      <c r="O6142" s="508">
        <v>0.33400000000000002</v>
      </c>
      <c r="P6142" s="508">
        <v>0.253</v>
      </c>
      <c r="Q6142" s="508">
        <v>0.253</v>
      </c>
      <c r="R6142" s="508">
        <v>0.253</v>
      </c>
      <c r="S6142" s="508">
        <v>0.253</v>
      </c>
      <c r="T6142" s="508">
        <v>0.253</v>
      </c>
      <c r="U6142" s="508">
        <v>0.192</v>
      </c>
      <c r="V6142" s="508">
        <v>8.0000000000000002E-3</v>
      </c>
      <c r="W6142" s="508">
        <v>8.0000000000000002E-3</v>
      </c>
      <c r="X6142" s="508">
        <v>8.0000000000000002E-3</v>
      </c>
      <c r="Y6142" s="508">
        <v>8.0000000000000002E-3</v>
      </c>
      <c r="Z6142" s="508">
        <v>7.0000000000000001E-3</v>
      </c>
      <c r="AA6142" s="508">
        <v>3.0000000000000001E-3</v>
      </c>
      <c r="AB6142" s="508">
        <v>2E-3</v>
      </c>
      <c r="AC6142" s="508">
        <v>2E-3</v>
      </c>
      <c r="AD6142" s="508">
        <v>2E-3</v>
      </c>
      <c r="AE6142" s="508">
        <v>2E-3</v>
      </c>
      <c r="AF6142" s="508">
        <v>1E-3</v>
      </c>
      <c r="AG6142" s="508">
        <v>1E-3</v>
      </c>
      <c r="AH6142" s="508">
        <v>1E-3</v>
      </c>
      <c r="AI6142" s="492">
        <v>1E-3</v>
      </c>
      <c r="AJ6142" s="485"/>
    </row>
    <row r="6143" spans="2:36">
      <c r="B6143" s="136" t="s">
        <v>489</v>
      </c>
      <c r="C6143" s="132" t="s">
        <v>1377</v>
      </c>
      <c r="D6143" s="132" t="s">
        <v>285</v>
      </c>
      <c r="E6143" s="508"/>
      <c r="F6143" s="508"/>
      <c r="G6143" s="508"/>
      <c r="H6143" s="508"/>
      <c r="I6143" s="508"/>
      <c r="J6143" s="508">
        <v>0.32500000000000001</v>
      </c>
      <c r="K6143" s="508">
        <v>0.32500000000000001</v>
      </c>
      <c r="L6143" s="508">
        <v>0.32500000000000001</v>
      </c>
      <c r="M6143" s="508">
        <v>0.32500000000000001</v>
      </c>
      <c r="N6143" s="508">
        <v>0.32500000000000001</v>
      </c>
      <c r="O6143" s="508">
        <v>0.32500000000000001</v>
      </c>
      <c r="P6143" s="508">
        <v>0.246</v>
      </c>
      <c r="Q6143" s="508">
        <v>0.246</v>
      </c>
      <c r="R6143" s="508">
        <v>0.246</v>
      </c>
      <c r="S6143" s="508">
        <v>0.246</v>
      </c>
      <c r="T6143" s="508">
        <v>0.246</v>
      </c>
      <c r="U6143" s="508">
        <v>0.187</v>
      </c>
      <c r="V6143" s="508">
        <v>8.0000000000000002E-3</v>
      </c>
      <c r="W6143" s="508">
        <v>8.0000000000000002E-3</v>
      </c>
      <c r="X6143" s="508">
        <v>8.0000000000000002E-3</v>
      </c>
      <c r="Y6143" s="508">
        <v>8.0000000000000002E-3</v>
      </c>
      <c r="Z6143" s="508">
        <v>7.0000000000000001E-3</v>
      </c>
      <c r="AA6143" s="508">
        <v>3.0000000000000001E-3</v>
      </c>
      <c r="AB6143" s="508">
        <v>2E-3</v>
      </c>
      <c r="AC6143" s="508">
        <v>2E-3</v>
      </c>
      <c r="AD6143" s="508">
        <v>2E-3</v>
      </c>
      <c r="AE6143" s="508">
        <v>2E-3</v>
      </c>
      <c r="AF6143" s="508">
        <v>1E-3</v>
      </c>
      <c r="AG6143" s="508">
        <v>1E-3</v>
      </c>
      <c r="AH6143" s="508">
        <v>1E-3</v>
      </c>
      <c r="AI6143" s="492">
        <v>1E-3</v>
      </c>
      <c r="AJ6143" s="485"/>
    </row>
    <row r="6144" spans="2:36">
      <c r="B6144" s="136" t="s">
        <v>490</v>
      </c>
      <c r="C6144" s="132" t="s">
        <v>1377</v>
      </c>
      <c r="D6144" s="132" t="s">
        <v>285</v>
      </c>
      <c r="E6144" s="508"/>
      <c r="F6144" s="508"/>
      <c r="G6144" s="508"/>
      <c r="H6144" s="508"/>
      <c r="I6144" s="508"/>
      <c r="J6144" s="508">
        <v>0.34300000000000003</v>
      </c>
      <c r="K6144" s="508">
        <v>0.34300000000000003</v>
      </c>
      <c r="L6144" s="508">
        <v>0.34300000000000003</v>
      </c>
      <c r="M6144" s="508">
        <v>0.34300000000000003</v>
      </c>
      <c r="N6144" s="508">
        <v>0.34300000000000003</v>
      </c>
      <c r="O6144" s="508">
        <v>0.34300000000000003</v>
      </c>
      <c r="P6144" s="508">
        <v>0.26</v>
      </c>
      <c r="Q6144" s="508">
        <v>0.26</v>
      </c>
      <c r="R6144" s="508">
        <v>0.26</v>
      </c>
      <c r="S6144" s="508">
        <v>0.26</v>
      </c>
      <c r="T6144" s="508">
        <v>0.26</v>
      </c>
      <c r="U6144" s="508">
        <v>0.19700000000000001</v>
      </c>
      <c r="V6144" s="508">
        <v>8.9999999999999993E-3</v>
      </c>
      <c r="W6144" s="508">
        <v>8.9999999999999993E-3</v>
      </c>
      <c r="X6144" s="508">
        <v>8.0000000000000002E-3</v>
      </c>
      <c r="Y6144" s="508">
        <v>8.0000000000000002E-3</v>
      </c>
      <c r="Z6144" s="508">
        <v>7.0000000000000001E-3</v>
      </c>
      <c r="AA6144" s="508">
        <v>3.0000000000000001E-3</v>
      </c>
      <c r="AB6144" s="508">
        <v>2E-3</v>
      </c>
      <c r="AC6144" s="508">
        <v>2E-3</v>
      </c>
      <c r="AD6144" s="508">
        <v>2E-3</v>
      </c>
      <c r="AE6144" s="508">
        <v>2E-3</v>
      </c>
      <c r="AF6144" s="508">
        <v>1E-3</v>
      </c>
      <c r="AG6144" s="508">
        <v>1E-3</v>
      </c>
      <c r="AH6144" s="508">
        <v>1E-3</v>
      </c>
      <c r="AI6144" s="492">
        <v>1E-3</v>
      </c>
      <c r="AJ6144" s="485"/>
    </row>
    <row r="6145" spans="2:36">
      <c r="B6145" s="136" t="s">
        <v>435</v>
      </c>
      <c r="C6145" s="132" t="s">
        <v>1378</v>
      </c>
      <c r="D6145" s="132" t="s">
        <v>285</v>
      </c>
      <c r="E6145" s="508">
        <v>2.2519999999999998</v>
      </c>
      <c r="F6145" s="508">
        <v>2.2519999999999998</v>
      </c>
      <c r="G6145" s="508">
        <v>2.2519999999999998</v>
      </c>
      <c r="H6145" s="508">
        <v>0.84199999999999997</v>
      </c>
      <c r="I6145" s="508">
        <v>0.84199999999999997</v>
      </c>
      <c r="J6145" s="508">
        <v>0.84199999999999997</v>
      </c>
      <c r="K6145" s="508">
        <v>0.98</v>
      </c>
      <c r="L6145" s="508">
        <v>0.98</v>
      </c>
      <c r="M6145" s="508">
        <v>0.98</v>
      </c>
      <c r="N6145" s="508">
        <v>1.0429999999999999</v>
      </c>
      <c r="O6145" s="508">
        <v>1.0429999999999999</v>
      </c>
      <c r="P6145" s="508">
        <v>1.0429999999999999</v>
      </c>
      <c r="Q6145" s="508">
        <v>1.0429999999999999</v>
      </c>
      <c r="R6145" s="508">
        <v>0.76900000000000002</v>
      </c>
      <c r="S6145" s="508">
        <v>0.76900000000000002</v>
      </c>
      <c r="T6145" s="508">
        <v>0.76900000000000002</v>
      </c>
      <c r="U6145" s="508">
        <v>0.76900000000000002</v>
      </c>
      <c r="V6145" s="508">
        <v>0.76900000000000002</v>
      </c>
      <c r="W6145" s="508">
        <v>0.66700000000000004</v>
      </c>
      <c r="X6145" s="508">
        <v>0.66700000000000004</v>
      </c>
      <c r="Y6145" s="508">
        <v>0.66700000000000004</v>
      </c>
      <c r="Z6145" s="508">
        <v>0.627</v>
      </c>
      <c r="AA6145" s="508">
        <v>2.8000000000000001E-2</v>
      </c>
      <c r="AB6145" s="508">
        <v>2.4E-2</v>
      </c>
      <c r="AC6145" s="508">
        <v>2.4E-2</v>
      </c>
      <c r="AD6145" s="508">
        <v>0.02</v>
      </c>
      <c r="AE6145" s="508">
        <v>0.02</v>
      </c>
      <c r="AF6145" s="508">
        <v>1.6E-2</v>
      </c>
      <c r="AG6145" s="508">
        <v>1.6E-2</v>
      </c>
      <c r="AH6145" s="508">
        <v>1.6E-2</v>
      </c>
      <c r="AI6145" s="492">
        <v>1.6E-2</v>
      </c>
      <c r="AJ6145" s="485"/>
    </row>
    <row r="6146" spans="2:36">
      <c r="B6146" s="136" t="s">
        <v>436</v>
      </c>
      <c r="C6146" s="132" t="s">
        <v>1378</v>
      </c>
      <c r="D6146" s="132" t="s">
        <v>285</v>
      </c>
      <c r="E6146" s="508">
        <v>2.2759999999999998</v>
      </c>
      <c r="F6146" s="508">
        <v>2.2759999999999998</v>
      </c>
      <c r="G6146" s="508">
        <v>2.2759999999999998</v>
      </c>
      <c r="H6146" s="508">
        <v>0.83899999999999997</v>
      </c>
      <c r="I6146" s="508">
        <v>0.83899999999999997</v>
      </c>
      <c r="J6146" s="508">
        <v>0.83899999999999997</v>
      </c>
      <c r="K6146" s="508">
        <v>0.98699999999999999</v>
      </c>
      <c r="L6146" s="508">
        <v>0.98599999999999999</v>
      </c>
      <c r="M6146" s="508">
        <v>0.98599999999999999</v>
      </c>
      <c r="N6146" s="508">
        <v>1.038</v>
      </c>
      <c r="O6146" s="508">
        <v>1.038</v>
      </c>
      <c r="P6146" s="508">
        <v>1.038</v>
      </c>
      <c r="Q6146" s="508">
        <v>1.038</v>
      </c>
      <c r="R6146" s="508">
        <v>0.754</v>
      </c>
      <c r="S6146" s="508">
        <v>0.754</v>
      </c>
      <c r="T6146" s="508">
        <v>0.754</v>
      </c>
      <c r="U6146" s="508">
        <v>0.754</v>
      </c>
      <c r="V6146" s="508">
        <v>0.754</v>
      </c>
      <c r="W6146" s="508">
        <v>0.65400000000000003</v>
      </c>
      <c r="X6146" s="508">
        <v>0.65400000000000003</v>
      </c>
      <c r="Y6146" s="508">
        <v>0.65400000000000003</v>
      </c>
      <c r="Z6146" s="508">
        <v>0.61399999999999999</v>
      </c>
      <c r="AA6146" s="508">
        <v>2.8000000000000001E-2</v>
      </c>
      <c r="AB6146" s="508">
        <v>2.4E-2</v>
      </c>
      <c r="AC6146" s="508">
        <v>2.4E-2</v>
      </c>
      <c r="AD6146" s="508">
        <v>0.02</v>
      </c>
      <c r="AE6146" s="508">
        <v>0.02</v>
      </c>
      <c r="AF6146" s="508">
        <v>1.6E-2</v>
      </c>
      <c r="AG6146" s="508">
        <v>1.6E-2</v>
      </c>
      <c r="AH6146" s="508">
        <v>1.6E-2</v>
      </c>
      <c r="AI6146" s="492">
        <v>1.6E-2</v>
      </c>
      <c r="AJ6146" s="485"/>
    </row>
    <row r="6147" spans="2:36">
      <c r="B6147" s="136" t="s">
        <v>437</v>
      </c>
      <c r="C6147" s="132" t="s">
        <v>1378</v>
      </c>
      <c r="D6147" s="132" t="s">
        <v>285</v>
      </c>
      <c r="E6147" s="508">
        <v>2.2909999999999999</v>
      </c>
      <c r="F6147" s="508">
        <v>2.2909999999999999</v>
      </c>
      <c r="G6147" s="508">
        <v>2.29</v>
      </c>
      <c r="H6147" s="508">
        <v>0.86799999999999999</v>
      </c>
      <c r="I6147" s="508">
        <v>0.86799999999999999</v>
      </c>
      <c r="J6147" s="508">
        <v>0.86799999999999999</v>
      </c>
      <c r="K6147" s="508">
        <v>1.008</v>
      </c>
      <c r="L6147" s="508">
        <v>1.008</v>
      </c>
      <c r="M6147" s="508">
        <v>1.008</v>
      </c>
      <c r="N6147" s="508">
        <v>1.0860000000000001</v>
      </c>
      <c r="O6147" s="508">
        <v>1.0860000000000001</v>
      </c>
      <c r="P6147" s="508">
        <v>1.0860000000000001</v>
      </c>
      <c r="Q6147" s="508">
        <v>1.0860000000000001</v>
      </c>
      <c r="R6147" s="508">
        <v>0.78900000000000003</v>
      </c>
      <c r="S6147" s="508">
        <v>0.78900000000000003</v>
      </c>
      <c r="T6147" s="508">
        <v>0.78900000000000003</v>
      </c>
      <c r="U6147" s="508">
        <v>0.78900000000000003</v>
      </c>
      <c r="V6147" s="508">
        <v>0.78900000000000003</v>
      </c>
      <c r="W6147" s="508">
        <v>0.68500000000000005</v>
      </c>
      <c r="X6147" s="508">
        <v>0.68500000000000005</v>
      </c>
      <c r="Y6147" s="508">
        <v>0.68500000000000005</v>
      </c>
      <c r="Z6147" s="508">
        <v>0.64300000000000002</v>
      </c>
      <c r="AA6147" s="508">
        <v>2.9000000000000001E-2</v>
      </c>
      <c r="AB6147" s="508">
        <v>2.5000000000000001E-2</v>
      </c>
      <c r="AC6147" s="508">
        <v>2.5000000000000001E-2</v>
      </c>
      <c r="AD6147" s="508">
        <v>0.02</v>
      </c>
      <c r="AE6147" s="508">
        <v>0.02</v>
      </c>
      <c r="AF6147" s="508">
        <v>1.7000000000000001E-2</v>
      </c>
      <c r="AG6147" s="508">
        <v>1.6E-2</v>
      </c>
      <c r="AH6147" s="508">
        <v>1.6E-2</v>
      </c>
      <c r="AI6147" s="492">
        <v>1.6E-2</v>
      </c>
      <c r="AJ6147" s="485"/>
    </row>
    <row r="6148" spans="2:36">
      <c r="B6148" s="136" t="s">
        <v>438</v>
      </c>
      <c r="C6148" s="132" t="s">
        <v>1378</v>
      </c>
      <c r="D6148" s="132" t="s">
        <v>285</v>
      </c>
      <c r="E6148" s="508">
        <v>2.2770000000000001</v>
      </c>
      <c r="F6148" s="508">
        <v>2.2770000000000001</v>
      </c>
      <c r="G6148" s="508">
        <v>2.2770000000000001</v>
      </c>
      <c r="H6148" s="508">
        <v>0.82799999999999996</v>
      </c>
      <c r="I6148" s="508">
        <v>0.82799999999999996</v>
      </c>
      <c r="J6148" s="508">
        <v>0.82799999999999996</v>
      </c>
      <c r="K6148" s="508">
        <v>0.97899999999999998</v>
      </c>
      <c r="L6148" s="508">
        <v>0.97899999999999998</v>
      </c>
      <c r="M6148" s="508">
        <v>0.97899999999999998</v>
      </c>
      <c r="N6148" s="508">
        <v>1.018</v>
      </c>
      <c r="O6148" s="508">
        <v>1.018</v>
      </c>
      <c r="P6148" s="508">
        <v>1.018</v>
      </c>
      <c r="Q6148" s="508">
        <v>1.018</v>
      </c>
      <c r="R6148" s="508">
        <v>0.74</v>
      </c>
      <c r="S6148" s="508">
        <v>0.74</v>
      </c>
      <c r="T6148" s="508">
        <v>0.74</v>
      </c>
      <c r="U6148" s="508">
        <v>0.74</v>
      </c>
      <c r="V6148" s="508">
        <v>0.74</v>
      </c>
      <c r="W6148" s="508">
        <v>0.64200000000000002</v>
      </c>
      <c r="X6148" s="508">
        <v>0.64200000000000002</v>
      </c>
      <c r="Y6148" s="508">
        <v>0.64200000000000002</v>
      </c>
      <c r="Z6148" s="508">
        <v>0.60299999999999998</v>
      </c>
      <c r="AA6148" s="508">
        <v>2.8000000000000001E-2</v>
      </c>
      <c r="AB6148" s="508">
        <v>2.4E-2</v>
      </c>
      <c r="AC6148" s="508">
        <v>2.4E-2</v>
      </c>
      <c r="AD6148" s="508">
        <v>1.9E-2</v>
      </c>
      <c r="AE6148" s="508">
        <v>1.9E-2</v>
      </c>
      <c r="AF6148" s="508">
        <v>1.6E-2</v>
      </c>
      <c r="AG6148" s="508">
        <v>1.6E-2</v>
      </c>
      <c r="AH6148" s="508">
        <v>1.6E-2</v>
      </c>
      <c r="AI6148" s="492">
        <v>1.6E-2</v>
      </c>
      <c r="AJ6148" s="485"/>
    </row>
    <row r="6149" spans="2:36">
      <c r="B6149" s="136" t="s">
        <v>439</v>
      </c>
      <c r="C6149" s="132" t="s">
        <v>1378</v>
      </c>
      <c r="D6149" s="132" t="s">
        <v>285</v>
      </c>
      <c r="E6149" s="508">
        <v>2.3239999999999998</v>
      </c>
      <c r="F6149" s="508">
        <v>2.323</v>
      </c>
      <c r="G6149" s="508">
        <v>2.323</v>
      </c>
      <c r="H6149" s="508">
        <v>0.874</v>
      </c>
      <c r="I6149" s="508">
        <v>0.874</v>
      </c>
      <c r="J6149" s="508">
        <v>0.874</v>
      </c>
      <c r="K6149" s="508">
        <v>1.0189999999999999</v>
      </c>
      <c r="L6149" s="508">
        <v>1.0189999999999999</v>
      </c>
      <c r="M6149" s="508">
        <v>1.0189999999999999</v>
      </c>
      <c r="N6149" s="508">
        <v>1.0920000000000001</v>
      </c>
      <c r="O6149" s="508">
        <v>1.0920000000000001</v>
      </c>
      <c r="P6149" s="508">
        <v>1.0920000000000001</v>
      </c>
      <c r="Q6149" s="508">
        <v>1.0920000000000001</v>
      </c>
      <c r="R6149" s="508">
        <v>0.78900000000000003</v>
      </c>
      <c r="S6149" s="508">
        <v>0.78900000000000003</v>
      </c>
      <c r="T6149" s="508">
        <v>0.78900000000000003</v>
      </c>
      <c r="U6149" s="508">
        <v>0.78900000000000003</v>
      </c>
      <c r="V6149" s="508">
        <v>0.78900000000000003</v>
      </c>
      <c r="W6149" s="508">
        <v>0.68500000000000005</v>
      </c>
      <c r="X6149" s="508">
        <v>0.68500000000000005</v>
      </c>
      <c r="Y6149" s="508">
        <v>0.68500000000000005</v>
      </c>
      <c r="Z6149" s="508">
        <v>0.64300000000000002</v>
      </c>
      <c r="AA6149" s="508">
        <v>2.9000000000000001E-2</v>
      </c>
      <c r="AB6149" s="508">
        <v>2.5000000000000001E-2</v>
      </c>
      <c r="AC6149" s="508">
        <v>2.5000000000000001E-2</v>
      </c>
      <c r="AD6149" s="508">
        <v>2.1000000000000001E-2</v>
      </c>
      <c r="AE6149" s="508">
        <v>2.1000000000000001E-2</v>
      </c>
      <c r="AF6149" s="508">
        <v>1.7000000000000001E-2</v>
      </c>
      <c r="AG6149" s="508">
        <v>1.6E-2</v>
      </c>
      <c r="AH6149" s="508">
        <v>1.6E-2</v>
      </c>
      <c r="AI6149" s="492">
        <v>1.6E-2</v>
      </c>
      <c r="AJ6149" s="485"/>
    </row>
    <row r="6150" spans="2:36">
      <c r="B6150" s="136" t="s">
        <v>440</v>
      </c>
      <c r="C6150" s="132" t="s">
        <v>1378</v>
      </c>
      <c r="D6150" s="132" t="s">
        <v>285</v>
      </c>
      <c r="E6150" s="508">
        <v>2.2970000000000002</v>
      </c>
      <c r="F6150" s="508">
        <v>2.2970000000000002</v>
      </c>
      <c r="G6150" s="508">
        <v>2.2970000000000002</v>
      </c>
      <c r="H6150" s="508">
        <v>0.85799999999999998</v>
      </c>
      <c r="I6150" s="508">
        <v>0.85799999999999998</v>
      </c>
      <c r="J6150" s="508">
        <v>0.85799999999999998</v>
      </c>
      <c r="K6150" s="508">
        <v>1.0029999999999999</v>
      </c>
      <c r="L6150" s="508">
        <v>1.0029999999999999</v>
      </c>
      <c r="M6150" s="508">
        <v>1.0029999999999999</v>
      </c>
      <c r="N6150" s="508">
        <v>1.069</v>
      </c>
      <c r="O6150" s="508">
        <v>1.069</v>
      </c>
      <c r="P6150" s="508">
        <v>1.0680000000000001</v>
      </c>
      <c r="Q6150" s="508">
        <v>1.0680000000000001</v>
      </c>
      <c r="R6150" s="508">
        <v>0.77600000000000002</v>
      </c>
      <c r="S6150" s="508">
        <v>0.77500000000000002</v>
      </c>
      <c r="T6150" s="508">
        <v>0.77500000000000002</v>
      </c>
      <c r="U6150" s="508">
        <v>0.77500000000000002</v>
      </c>
      <c r="V6150" s="508">
        <v>0.77500000000000002</v>
      </c>
      <c r="W6150" s="508">
        <v>0.67300000000000004</v>
      </c>
      <c r="X6150" s="508">
        <v>0.67300000000000004</v>
      </c>
      <c r="Y6150" s="508">
        <v>0.67300000000000004</v>
      </c>
      <c r="Z6150" s="508">
        <v>0.63200000000000001</v>
      </c>
      <c r="AA6150" s="508">
        <v>2.9000000000000001E-2</v>
      </c>
      <c r="AB6150" s="508">
        <v>2.5000000000000001E-2</v>
      </c>
      <c r="AC6150" s="508">
        <v>2.5000000000000001E-2</v>
      </c>
      <c r="AD6150" s="508">
        <v>0.02</v>
      </c>
      <c r="AE6150" s="508">
        <v>0.02</v>
      </c>
      <c r="AF6150" s="508">
        <v>1.6E-2</v>
      </c>
      <c r="AG6150" s="508">
        <v>1.6E-2</v>
      </c>
      <c r="AH6150" s="508">
        <v>1.6E-2</v>
      </c>
      <c r="AI6150" s="492">
        <v>1.6E-2</v>
      </c>
      <c r="AJ6150" s="485"/>
    </row>
    <row r="6151" spans="2:36">
      <c r="B6151" s="136" t="s">
        <v>441</v>
      </c>
      <c r="C6151" s="132" t="s">
        <v>1378</v>
      </c>
      <c r="D6151" s="132" t="s">
        <v>285</v>
      </c>
      <c r="E6151" s="508">
        <v>2.3370000000000002</v>
      </c>
      <c r="F6151" s="508">
        <v>2.3370000000000002</v>
      </c>
      <c r="G6151" s="508">
        <v>2.3370000000000002</v>
      </c>
      <c r="H6151" s="508">
        <v>0.878</v>
      </c>
      <c r="I6151" s="508">
        <v>0.878</v>
      </c>
      <c r="J6151" s="508">
        <v>0.878</v>
      </c>
      <c r="K6151" s="508">
        <v>1.0249999999999999</v>
      </c>
      <c r="L6151" s="508">
        <v>1.0249999999999999</v>
      </c>
      <c r="M6151" s="508">
        <v>1.0249999999999999</v>
      </c>
      <c r="N6151" s="508">
        <v>1.099</v>
      </c>
      <c r="O6151" s="508">
        <v>1.099</v>
      </c>
      <c r="P6151" s="508">
        <v>1.099</v>
      </c>
      <c r="Q6151" s="508">
        <v>1.099</v>
      </c>
      <c r="R6151" s="508">
        <v>0.79200000000000004</v>
      </c>
      <c r="S6151" s="508">
        <v>0.79200000000000004</v>
      </c>
      <c r="T6151" s="508">
        <v>0.79200000000000004</v>
      </c>
      <c r="U6151" s="508">
        <v>0.79200000000000004</v>
      </c>
      <c r="V6151" s="508">
        <v>0.79200000000000004</v>
      </c>
      <c r="W6151" s="508">
        <v>0.68700000000000006</v>
      </c>
      <c r="X6151" s="508">
        <v>0.68700000000000006</v>
      </c>
      <c r="Y6151" s="508">
        <v>0.68700000000000006</v>
      </c>
      <c r="Z6151" s="508">
        <v>0.64500000000000002</v>
      </c>
      <c r="AA6151" s="508">
        <v>2.9000000000000001E-2</v>
      </c>
      <c r="AB6151" s="508">
        <v>2.5000000000000001E-2</v>
      </c>
      <c r="AC6151" s="508">
        <v>2.5000000000000001E-2</v>
      </c>
      <c r="AD6151" s="508">
        <v>2.1000000000000001E-2</v>
      </c>
      <c r="AE6151" s="508">
        <v>2.1000000000000001E-2</v>
      </c>
      <c r="AF6151" s="508">
        <v>1.7000000000000001E-2</v>
      </c>
      <c r="AG6151" s="508">
        <v>1.6E-2</v>
      </c>
      <c r="AH6151" s="508">
        <v>1.6E-2</v>
      </c>
      <c r="AI6151" s="492">
        <v>1.6E-2</v>
      </c>
      <c r="AJ6151" s="485"/>
    </row>
    <row r="6152" spans="2:36">
      <c r="B6152" s="136" t="s">
        <v>443</v>
      </c>
      <c r="C6152" s="132" t="s">
        <v>1378</v>
      </c>
      <c r="D6152" s="132" t="s">
        <v>285</v>
      </c>
      <c r="E6152" s="508">
        <v>2.2450000000000001</v>
      </c>
      <c r="F6152" s="508">
        <v>2.2450000000000001</v>
      </c>
      <c r="G6152" s="508">
        <v>2.2450000000000001</v>
      </c>
      <c r="H6152" s="508">
        <v>0.86</v>
      </c>
      <c r="I6152" s="508">
        <v>0.86</v>
      </c>
      <c r="J6152" s="508">
        <v>0.86</v>
      </c>
      <c r="K6152" s="508">
        <v>0.98699999999999999</v>
      </c>
      <c r="L6152" s="508">
        <v>0.98699999999999999</v>
      </c>
      <c r="M6152" s="508">
        <v>0.98699999999999999</v>
      </c>
      <c r="N6152" s="508">
        <v>1.07</v>
      </c>
      <c r="O6152" s="508">
        <v>1.07</v>
      </c>
      <c r="P6152" s="508">
        <v>1.07</v>
      </c>
      <c r="Q6152" s="508">
        <v>1.07</v>
      </c>
      <c r="R6152" s="508">
        <v>0.79800000000000004</v>
      </c>
      <c r="S6152" s="508">
        <v>0.79800000000000004</v>
      </c>
      <c r="T6152" s="508">
        <v>0.79800000000000004</v>
      </c>
      <c r="U6152" s="508">
        <v>0.79800000000000004</v>
      </c>
      <c r="V6152" s="508">
        <v>0.79800000000000004</v>
      </c>
      <c r="W6152" s="508">
        <v>0.69199999999999995</v>
      </c>
      <c r="X6152" s="508">
        <v>0.69199999999999995</v>
      </c>
      <c r="Y6152" s="508">
        <v>0.69199999999999995</v>
      </c>
      <c r="Z6152" s="508">
        <v>0.65</v>
      </c>
      <c r="AA6152" s="508">
        <v>2.9000000000000001E-2</v>
      </c>
      <c r="AB6152" s="508">
        <v>2.5000000000000001E-2</v>
      </c>
      <c r="AC6152" s="508">
        <v>2.5000000000000001E-2</v>
      </c>
      <c r="AD6152" s="508">
        <v>0.02</v>
      </c>
      <c r="AE6152" s="508">
        <v>0.02</v>
      </c>
      <c r="AF6152" s="508">
        <v>1.6E-2</v>
      </c>
      <c r="AG6152" s="508">
        <v>1.6E-2</v>
      </c>
      <c r="AH6152" s="508">
        <v>1.6E-2</v>
      </c>
      <c r="AI6152" s="492">
        <v>1.6E-2</v>
      </c>
      <c r="AJ6152" s="485"/>
    </row>
    <row r="6153" spans="2:36">
      <c r="B6153" s="136" t="s">
        <v>445</v>
      </c>
      <c r="C6153" s="132" t="s">
        <v>1378</v>
      </c>
      <c r="D6153" s="132" t="s">
        <v>285</v>
      </c>
      <c r="E6153" s="508">
        <v>2.2629999999999999</v>
      </c>
      <c r="F6153" s="508">
        <v>2.2629999999999999</v>
      </c>
      <c r="G6153" s="508">
        <v>2.2629999999999999</v>
      </c>
      <c r="H6153" s="508">
        <v>0.91900000000000004</v>
      </c>
      <c r="I6153" s="508">
        <v>0.91800000000000004</v>
      </c>
      <c r="J6153" s="508">
        <v>0.91800000000000004</v>
      </c>
      <c r="K6153" s="508">
        <v>1.032</v>
      </c>
      <c r="L6153" s="508">
        <v>1.032</v>
      </c>
      <c r="M6153" s="508">
        <v>1.0309999999999999</v>
      </c>
      <c r="N6153" s="508">
        <v>1.1719999999999999</v>
      </c>
      <c r="O6153" s="508">
        <v>1.1719999999999999</v>
      </c>
      <c r="P6153" s="508">
        <v>1.1719999999999999</v>
      </c>
      <c r="Q6153" s="508">
        <v>1.1719999999999999</v>
      </c>
      <c r="R6153" s="508">
        <v>0.86899999999999999</v>
      </c>
      <c r="S6153" s="508">
        <v>0.86899999999999999</v>
      </c>
      <c r="T6153" s="508">
        <v>0.86899999999999999</v>
      </c>
      <c r="U6153" s="508">
        <v>0.86899999999999999</v>
      </c>
      <c r="V6153" s="508">
        <v>0.86899999999999999</v>
      </c>
      <c r="W6153" s="508">
        <v>0.754</v>
      </c>
      <c r="X6153" s="508">
        <v>0.754</v>
      </c>
      <c r="Y6153" s="508">
        <v>0.754</v>
      </c>
      <c r="Z6153" s="508">
        <v>0.70799999999999996</v>
      </c>
      <c r="AA6153" s="508">
        <v>3.1E-2</v>
      </c>
      <c r="AB6153" s="508">
        <v>2.7E-2</v>
      </c>
      <c r="AC6153" s="508">
        <v>2.7E-2</v>
      </c>
      <c r="AD6153" s="508">
        <v>2.1999999999999999E-2</v>
      </c>
      <c r="AE6153" s="508">
        <v>2.1999999999999999E-2</v>
      </c>
      <c r="AF6153" s="508">
        <v>1.7999999999999999E-2</v>
      </c>
      <c r="AG6153" s="508">
        <v>1.7999999999999999E-2</v>
      </c>
      <c r="AH6153" s="508">
        <v>1.7000000000000001E-2</v>
      </c>
      <c r="AI6153" s="492">
        <v>1.7000000000000001E-2</v>
      </c>
      <c r="AJ6153" s="485"/>
    </row>
    <row r="6154" spans="2:36">
      <c r="B6154" s="136" t="s">
        <v>446</v>
      </c>
      <c r="C6154" s="132" t="s">
        <v>1378</v>
      </c>
      <c r="D6154" s="132" t="s">
        <v>285</v>
      </c>
      <c r="E6154" s="508">
        <v>2.2610000000000001</v>
      </c>
      <c r="F6154" s="508">
        <v>2.2610000000000001</v>
      </c>
      <c r="G6154" s="508">
        <v>2.2610000000000001</v>
      </c>
      <c r="H6154" s="508">
        <v>0.88800000000000001</v>
      </c>
      <c r="I6154" s="508">
        <v>0.88800000000000001</v>
      </c>
      <c r="J6154" s="508">
        <v>0.88800000000000001</v>
      </c>
      <c r="K6154" s="508">
        <v>1.012</v>
      </c>
      <c r="L6154" s="508">
        <v>1.012</v>
      </c>
      <c r="M6154" s="508">
        <v>1.012</v>
      </c>
      <c r="N6154" s="508">
        <v>1.121</v>
      </c>
      <c r="O6154" s="508">
        <v>1.121</v>
      </c>
      <c r="P6154" s="508">
        <v>1.121</v>
      </c>
      <c r="Q6154" s="508">
        <v>1.121</v>
      </c>
      <c r="R6154" s="508">
        <v>0.82699999999999996</v>
      </c>
      <c r="S6154" s="508">
        <v>0.82699999999999996</v>
      </c>
      <c r="T6154" s="508">
        <v>0.82699999999999996</v>
      </c>
      <c r="U6154" s="508">
        <v>0.82699999999999996</v>
      </c>
      <c r="V6154" s="508">
        <v>0.82699999999999996</v>
      </c>
      <c r="W6154" s="508">
        <v>0.71799999999999997</v>
      </c>
      <c r="X6154" s="508">
        <v>0.71799999999999997</v>
      </c>
      <c r="Y6154" s="508">
        <v>0.71799999999999997</v>
      </c>
      <c r="Z6154" s="508">
        <v>0.67400000000000004</v>
      </c>
      <c r="AA6154" s="508">
        <v>0.03</v>
      </c>
      <c r="AB6154" s="508">
        <v>2.5999999999999999E-2</v>
      </c>
      <c r="AC6154" s="508">
        <v>2.5999999999999999E-2</v>
      </c>
      <c r="AD6154" s="508">
        <v>2.1000000000000001E-2</v>
      </c>
      <c r="AE6154" s="508">
        <v>2.1000000000000001E-2</v>
      </c>
      <c r="AF6154" s="508">
        <v>1.7000000000000001E-2</v>
      </c>
      <c r="AG6154" s="508">
        <v>1.7000000000000001E-2</v>
      </c>
      <c r="AH6154" s="508">
        <v>1.7000000000000001E-2</v>
      </c>
      <c r="AI6154" s="492">
        <v>1.7000000000000001E-2</v>
      </c>
      <c r="AJ6154" s="485"/>
    </row>
    <row r="6155" spans="2:36">
      <c r="B6155" s="136" t="s">
        <v>448</v>
      </c>
      <c r="C6155" s="132" t="s">
        <v>1378</v>
      </c>
      <c r="D6155" s="132" t="s">
        <v>285</v>
      </c>
      <c r="E6155" s="508">
        <v>2.278</v>
      </c>
      <c r="F6155" s="508">
        <v>2.278</v>
      </c>
      <c r="G6155" s="508">
        <v>2.278</v>
      </c>
      <c r="H6155" s="508">
        <v>0.83799999999999997</v>
      </c>
      <c r="I6155" s="508">
        <v>0.83799999999999997</v>
      </c>
      <c r="J6155" s="508">
        <v>0.83799999999999997</v>
      </c>
      <c r="K6155" s="508">
        <v>0.98499999999999999</v>
      </c>
      <c r="L6155" s="508">
        <v>0.98499999999999999</v>
      </c>
      <c r="M6155" s="508">
        <v>0.98499999999999999</v>
      </c>
      <c r="N6155" s="508">
        <v>1.0349999999999999</v>
      </c>
      <c r="O6155" s="508">
        <v>1.0349999999999999</v>
      </c>
      <c r="P6155" s="508">
        <v>1.0349999999999999</v>
      </c>
      <c r="Q6155" s="508">
        <v>1.0349999999999999</v>
      </c>
      <c r="R6155" s="508">
        <v>0.754</v>
      </c>
      <c r="S6155" s="508">
        <v>0.754</v>
      </c>
      <c r="T6155" s="508">
        <v>0.754</v>
      </c>
      <c r="U6155" s="508">
        <v>0.754</v>
      </c>
      <c r="V6155" s="508">
        <v>0.754</v>
      </c>
      <c r="W6155" s="508">
        <v>0.65400000000000003</v>
      </c>
      <c r="X6155" s="508">
        <v>0.65400000000000003</v>
      </c>
      <c r="Y6155" s="508">
        <v>0.65400000000000003</v>
      </c>
      <c r="Z6155" s="508">
        <v>0.61499999999999999</v>
      </c>
      <c r="AA6155" s="508">
        <v>2.8000000000000001E-2</v>
      </c>
      <c r="AB6155" s="508">
        <v>2.4E-2</v>
      </c>
      <c r="AC6155" s="508">
        <v>2.4E-2</v>
      </c>
      <c r="AD6155" s="508">
        <v>0.02</v>
      </c>
      <c r="AE6155" s="508">
        <v>0.02</v>
      </c>
      <c r="AF6155" s="508">
        <v>1.6E-2</v>
      </c>
      <c r="AG6155" s="508">
        <v>1.6E-2</v>
      </c>
      <c r="AH6155" s="508">
        <v>1.6E-2</v>
      </c>
      <c r="AI6155" s="492">
        <v>1.6E-2</v>
      </c>
      <c r="AJ6155" s="485"/>
    </row>
    <row r="6156" spans="2:36">
      <c r="B6156" s="136" t="s">
        <v>449</v>
      </c>
      <c r="C6156" s="132" t="s">
        <v>1378</v>
      </c>
      <c r="D6156" s="132" t="s">
        <v>285</v>
      </c>
      <c r="E6156" s="508">
        <v>2.262</v>
      </c>
      <c r="F6156" s="508">
        <v>2.262</v>
      </c>
      <c r="G6156" s="508">
        <v>2.262</v>
      </c>
      <c r="H6156" s="508">
        <v>0.872</v>
      </c>
      <c r="I6156" s="508">
        <v>0.872</v>
      </c>
      <c r="J6156" s="508">
        <v>0.872</v>
      </c>
      <c r="K6156" s="508">
        <v>1.0009999999999999</v>
      </c>
      <c r="L6156" s="508">
        <v>1.0009999999999999</v>
      </c>
      <c r="M6156" s="508">
        <v>1.0009999999999999</v>
      </c>
      <c r="N6156" s="508">
        <v>1.0920000000000001</v>
      </c>
      <c r="O6156" s="508">
        <v>1.0920000000000001</v>
      </c>
      <c r="P6156" s="508">
        <v>1.0920000000000001</v>
      </c>
      <c r="Q6156" s="508">
        <v>1.0920000000000001</v>
      </c>
      <c r="R6156" s="508">
        <v>0.80900000000000005</v>
      </c>
      <c r="S6156" s="508">
        <v>0.80900000000000005</v>
      </c>
      <c r="T6156" s="508">
        <v>0.80900000000000005</v>
      </c>
      <c r="U6156" s="508">
        <v>0.80900000000000005</v>
      </c>
      <c r="V6156" s="508">
        <v>0.80800000000000005</v>
      </c>
      <c r="W6156" s="508">
        <v>0.70199999999999996</v>
      </c>
      <c r="X6156" s="508">
        <v>0.70199999999999996</v>
      </c>
      <c r="Y6156" s="508">
        <v>0.70099999999999996</v>
      </c>
      <c r="Z6156" s="508">
        <v>0.65900000000000003</v>
      </c>
      <c r="AA6156" s="508">
        <v>2.9000000000000001E-2</v>
      </c>
      <c r="AB6156" s="508">
        <v>2.5000000000000001E-2</v>
      </c>
      <c r="AC6156" s="508">
        <v>2.5000000000000001E-2</v>
      </c>
      <c r="AD6156" s="508">
        <v>2.1000000000000001E-2</v>
      </c>
      <c r="AE6156" s="508">
        <v>2.1000000000000001E-2</v>
      </c>
      <c r="AF6156" s="508">
        <v>1.7000000000000001E-2</v>
      </c>
      <c r="AG6156" s="508">
        <v>1.7000000000000001E-2</v>
      </c>
      <c r="AH6156" s="508">
        <v>1.7000000000000001E-2</v>
      </c>
      <c r="AI6156" s="492">
        <v>1.7000000000000001E-2</v>
      </c>
      <c r="AJ6156" s="485"/>
    </row>
    <row r="6157" spans="2:36">
      <c r="B6157" s="136" t="s">
        <v>450</v>
      </c>
      <c r="C6157" s="132" t="s">
        <v>1378</v>
      </c>
      <c r="D6157" s="132" t="s">
        <v>285</v>
      </c>
      <c r="E6157" s="508">
        <v>2.2599999999999998</v>
      </c>
      <c r="F6157" s="508">
        <v>2.2599999999999998</v>
      </c>
      <c r="G6157" s="508">
        <v>2.2599999999999998</v>
      </c>
      <c r="H6157" s="508">
        <v>0.83199999999999996</v>
      </c>
      <c r="I6157" s="508">
        <v>0.83199999999999996</v>
      </c>
      <c r="J6157" s="508">
        <v>0.83199999999999996</v>
      </c>
      <c r="K6157" s="508">
        <v>0.35799999999999998</v>
      </c>
      <c r="L6157" s="508">
        <v>0.35799999999999998</v>
      </c>
      <c r="M6157" s="508">
        <v>0.35799999999999998</v>
      </c>
      <c r="N6157" s="508">
        <v>0.61199999999999999</v>
      </c>
      <c r="O6157" s="508">
        <v>0.61199999999999999</v>
      </c>
      <c r="P6157" s="508">
        <v>0.437</v>
      </c>
      <c r="Q6157" s="508">
        <v>0.437</v>
      </c>
      <c r="R6157" s="508">
        <v>0.32300000000000001</v>
      </c>
      <c r="S6157" s="508">
        <v>0.32300000000000001</v>
      </c>
      <c r="T6157" s="508">
        <v>0.32200000000000001</v>
      </c>
      <c r="U6157" s="508">
        <v>0.32200000000000001</v>
      </c>
      <c r="V6157" s="508">
        <v>0.32200000000000001</v>
      </c>
      <c r="W6157" s="508">
        <v>0.29099999999999998</v>
      </c>
      <c r="X6157" s="508">
        <v>0.29099999999999998</v>
      </c>
      <c r="Y6157" s="508">
        <v>0.29099999999999998</v>
      </c>
      <c r="Z6157" s="508">
        <v>0.27400000000000002</v>
      </c>
      <c r="AA6157" s="508">
        <v>2.8000000000000001E-2</v>
      </c>
      <c r="AB6157" s="508">
        <v>2.4E-2</v>
      </c>
      <c r="AC6157" s="508">
        <v>2.4E-2</v>
      </c>
      <c r="AD6157" s="508">
        <v>0.02</v>
      </c>
      <c r="AE6157" s="508">
        <v>0.02</v>
      </c>
      <c r="AF6157" s="508">
        <v>1.6E-2</v>
      </c>
      <c r="AG6157" s="508">
        <v>1.6E-2</v>
      </c>
      <c r="AH6157" s="508">
        <v>1.6E-2</v>
      </c>
      <c r="AI6157" s="492">
        <v>1.6E-2</v>
      </c>
      <c r="AJ6157" s="485"/>
    </row>
    <row r="6158" spans="2:36">
      <c r="B6158" s="136" t="s">
        <v>451</v>
      </c>
      <c r="C6158" s="132" t="s">
        <v>1378</v>
      </c>
      <c r="D6158" s="132" t="s">
        <v>285</v>
      </c>
      <c r="E6158" s="508">
        <v>2.2909999999999999</v>
      </c>
      <c r="F6158" s="508">
        <v>2.2909999999999999</v>
      </c>
      <c r="G6158" s="508">
        <v>2.2909999999999999</v>
      </c>
      <c r="H6158" s="508">
        <v>0.90300000000000002</v>
      </c>
      <c r="I6158" s="508">
        <v>0.90300000000000002</v>
      </c>
      <c r="J6158" s="508">
        <v>0.90300000000000002</v>
      </c>
      <c r="K6158" s="508">
        <v>1.0289999999999999</v>
      </c>
      <c r="L6158" s="508">
        <v>1.0289999999999999</v>
      </c>
      <c r="M6158" s="508">
        <v>1.0289999999999999</v>
      </c>
      <c r="N6158" s="508">
        <v>1.1439999999999999</v>
      </c>
      <c r="O6158" s="508">
        <v>1.143</v>
      </c>
      <c r="P6158" s="508">
        <v>1.143</v>
      </c>
      <c r="Q6158" s="508">
        <v>1.143</v>
      </c>
      <c r="R6158" s="508">
        <v>0.83899999999999997</v>
      </c>
      <c r="S6158" s="508">
        <v>0.83899999999999997</v>
      </c>
      <c r="T6158" s="508">
        <v>0.83899999999999997</v>
      </c>
      <c r="U6158" s="508">
        <v>0.83899999999999997</v>
      </c>
      <c r="V6158" s="508">
        <v>0.83899999999999997</v>
      </c>
      <c r="W6158" s="508">
        <v>0.72799999999999998</v>
      </c>
      <c r="X6158" s="508">
        <v>0.72799999999999998</v>
      </c>
      <c r="Y6158" s="508">
        <v>0.72799999999999998</v>
      </c>
      <c r="Z6158" s="508">
        <v>0.68400000000000005</v>
      </c>
      <c r="AA6158" s="508">
        <v>0.03</v>
      </c>
      <c r="AB6158" s="508">
        <v>2.5999999999999999E-2</v>
      </c>
      <c r="AC6158" s="508">
        <v>2.5999999999999999E-2</v>
      </c>
      <c r="AD6158" s="508">
        <v>2.1000000000000001E-2</v>
      </c>
      <c r="AE6158" s="508">
        <v>2.1000000000000001E-2</v>
      </c>
      <c r="AF6158" s="508">
        <v>1.7000000000000001E-2</v>
      </c>
      <c r="AG6158" s="508">
        <v>1.7000000000000001E-2</v>
      </c>
      <c r="AH6158" s="508">
        <v>1.7000000000000001E-2</v>
      </c>
      <c r="AI6158" s="492">
        <v>1.7000000000000001E-2</v>
      </c>
      <c r="AJ6158" s="485"/>
    </row>
    <row r="6159" spans="2:36">
      <c r="B6159" s="136" t="s">
        <v>452</v>
      </c>
      <c r="C6159" s="132" t="s">
        <v>1378</v>
      </c>
      <c r="D6159" s="132" t="s">
        <v>285</v>
      </c>
      <c r="E6159" s="508">
        <v>2.258</v>
      </c>
      <c r="F6159" s="508">
        <v>2.258</v>
      </c>
      <c r="G6159" s="508">
        <v>2.258</v>
      </c>
      <c r="H6159" s="508">
        <v>0.85699999999999998</v>
      </c>
      <c r="I6159" s="508">
        <v>0.85699999999999998</v>
      </c>
      <c r="J6159" s="508">
        <v>0.85699999999999998</v>
      </c>
      <c r="K6159" s="508">
        <v>0.99199999999999999</v>
      </c>
      <c r="L6159" s="508">
        <v>0.99199999999999999</v>
      </c>
      <c r="M6159" s="508">
        <v>0.99199999999999999</v>
      </c>
      <c r="N6159" s="508">
        <v>1.0680000000000001</v>
      </c>
      <c r="O6159" s="508">
        <v>1.0680000000000001</v>
      </c>
      <c r="P6159" s="508">
        <v>1.0680000000000001</v>
      </c>
      <c r="Q6159" s="508">
        <v>1.0680000000000001</v>
      </c>
      <c r="R6159" s="508">
        <v>0.78600000000000003</v>
      </c>
      <c r="S6159" s="508">
        <v>0.78600000000000003</v>
      </c>
      <c r="T6159" s="508">
        <v>0.78600000000000003</v>
      </c>
      <c r="U6159" s="508">
        <v>0.78600000000000003</v>
      </c>
      <c r="V6159" s="508">
        <v>0.78600000000000003</v>
      </c>
      <c r="W6159" s="508">
        <v>0.68200000000000005</v>
      </c>
      <c r="X6159" s="508">
        <v>0.68200000000000005</v>
      </c>
      <c r="Y6159" s="508">
        <v>0.68200000000000005</v>
      </c>
      <c r="Z6159" s="508">
        <v>0.64</v>
      </c>
      <c r="AA6159" s="508">
        <v>2.9000000000000001E-2</v>
      </c>
      <c r="AB6159" s="508">
        <v>2.5000000000000001E-2</v>
      </c>
      <c r="AC6159" s="508">
        <v>2.5000000000000001E-2</v>
      </c>
      <c r="AD6159" s="508">
        <v>0.02</v>
      </c>
      <c r="AE6159" s="508">
        <v>0.02</v>
      </c>
      <c r="AF6159" s="508">
        <v>1.6E-2</v>
      </c>
      <c r="AG6159" s="508">
        <v>1.6E-2</v>
      </c>
      <c r="AH6159" s="508">
        <v>1.6E-2</v>
      </c>
      <c r="AI6159" s="492">
        <v>1.6E-2</v>
      </c>
      <c r="AJ6159" s="485"/>
    </row>
    <row r="6160" spans="2:36">
      <c r="B6160" s="136" t="s">
        <v>453</v>
      </c>
      <c r="C6160" s="132" t="s">
        <v>1378</v>
      </c>
      <c r="D6160" s="132" t="s">
        <v>285</v>
      </c>
      <c r="E6160" s="508">
        <v>2.258</v>
      </c>
      <c r="F6160" s="508">
        <v>2.258</v>
      </c>
      <c r="G6160" s="508">
        <v>2.258</v>
      </c>
      <c r="H6160" s="508">
        <v>0.82499999999999996</v>
      </c>
      <c r="I6160" s="508">
        <v>0.82499999999999996</v>
      </c>
      <c r="J6160" s="508">
        <v>0.82499999999999996</v>
      </c>
      <c r="K6160" s="508">
        <v>0.97199999999999998</v>
      </c>
      <c r="L6160" s="508">
        <v>0.97199999999999998</v>
      </c>
      <c r="M6160" s="508">
        <v>0.97199999999999998</v>
      </c>
      <c r="N6160" s="508">
        <v>1.0149999999999999</v>
      </c>
      <c r="O6160" s="508">
        <v>1.0149999999999999</v>
      </c>
      <c r="P6160" s="508">
        <v>1.0149999999999999</v>
      </c>
      <c r="Q6160" s="508">
        <v>1.0149999999999999</v>
      </c>
      <c r="R6160" s="508">
        <v>0.74199999999999999</v>
      </c>
      <c r="S6160" s="508">
        <v>0.74199999999999999</v>
      </c>
      <c r="T6160" s="508">
        <v>0.74199999999999999</v>
      </c>
      <c r="U6160" s="508">
        <v>0.74199999999999999</v>
      </c>
      <c r="V6160" s="508">
        <v>0.74199999999999999</v>
      </c>
      <c r="W6160" s="508">
        <v>0.64400000000000002</v>
      </c>
      <c r="X6160" s="508">
        <v>0.64400000000000002</v>
      </c>
      <c r="Y6160" s="508">
        <v>0.64400000000000002</v>
      </c>
      <c r="Z6160" s="508">
        <v>0.60499999999999998</v>
      </c>
      <c r="AA6160" s="508">
        <v>2.8000000000000001E-2</v>
      </c>
      <c r="AB6160" s="508">
        <v>2.4E-2</v>
      </c>
      <c r="AC6160" s="508">
        <v>2.4E-2</v>
      </c>
      <c r="AD6160" s="508">
        <v>1.9E-2</v>
      </c>
      <c r="AE6160" s="508">
        <v>1.9E-2</v>
      </c>
      <c r="AF6160" s="508">
        <v>1.6E-2</v>
      </c>
      <c r="AG6160" s="508">
        <v>1.6E-2</v>
      </c>
      <c r="AH6160" s="508">
        <v>1.4999999999999999E-2</v>
      </c>
      <c r="AI6160" s="492">
        <v>1.4999999999999999E-2</v>
      </c>
      <c r="AJ6160" s="485"/>
    </row>
    <row r="6161" spans="2:36">
      <c r="B6161" s="136" t="s">
        <v>454</v>
      </c>
      <c r="C6161" s="132" t="s">
        <v>1378</v>
      </c>
      <c r="D6161" s="132" t="s">
        <v>285</v>
      </c>
      <c r="E6161" s="508">
        <v>2.274</v>
      </c>
      <c r="F6161" s="508">
        <v>2.274</v>
      </c>
      <c r="G6161" s="508">
        <v>2.274</v>
      </c>
      <c r="H6161" s="508">
        <v>0.83499999999999996</v>
      </c>
      <c r="I6161" s="508">
        <v>0.83499999999999996</v>
      </c>
      <c r="J6161" s="508">
        <v>0.83499999999999996</v>
      </c>
      <c r="K6161" s="508">
        <v>0.98199999999999998</v>
      </c>
      <c r="L6161" s="508">
        <v>0.98199999999999998</v>
      </c>
      <c r="M6161" s="508">
        <v>0.98199999999999998</v>
      </c>
      <c r="N6161" s="508">
        <v>1.03</v>
      </c>
      <c r="O6161" s="508">
        <v>1.03</v>
      </c>
      <c r="P6161" s="508">
        <v>1.03</v>
      </c>
      <c r="Q6161" s="508">
        <v>1.03</v>
      </c>
      <c r="R6161" s="508">
        <v>0.752</v>
      </c>
      <c r="S6161" s="508">
        <v>0.752</v>
      </c>
      <c r="T6161" s="508">
        <v>0.752</v>
      </c>
      <c r="U6161" s="508">
        <v>0.752</v>
      </c>
      <c r="V6161" s="508">
        <v>0.752</v>
      </c>
      <c r="W6161" s="508">
        <v>0.65300000000000002</v>
      </c>
      <c r="X6161" s="508">
        <v>0.65300000000000002</v>
      </c>
      <c r="Y6161" s="508">
        <v>0.65300000000000002</v>
      </c>
      <c r="Z6161" s="508">
        <v>0.61299999999999999</v>
      </c>
      <c r="AA6161" s="508">
        <v>2.8000000000000001E-2</v>
      </c>
      <c r="AB6161" s="508">
        <v>2.4E-2</v>
      </c>
      <c r="AC6161" s="508">
        <v>2.4E-2</v>
      </c>
      <c r="AD6161" s="508">
        <v>0.02</v>
      </c>
      <c r="AE6161" s="508">
        <v>0.02</v>
      </c>
      <c r="AF6161" s="508">
        <v>1.6E-2</v>
      </c>
      <c r="AG6161" s="508">
        <v>1.6E-2</v>
      </c>
      <c r="AH6161" s="508">
        <v>1.6E-2</v>
      </c>
      <c r="AI6161" s="492">
        <v>1.6E-2</v>
      </c>
      <c r="AJ6161" s="485"/>
    </row>
    <row r="6162" spans="2:36">
      <c r="B6162" s="136" t="s">
        <v>455</v>
      </c>
      <c r="C6162" s="132" t="s">
        <v>1378</v>
      </c>
      <c r="D6162" s="132" t="s">
        <v>285</v>
      </c>
      <c r="E6162" s="508">
        <v>2.2850000000000001</v>
      </c>
      <c r="F6162" s="508">
        <v>2.2850000000000001</v>
      </c>
      <c r="G6162" s="508">
        <v>2.2850000000000001</v>
      </c>
      <c r="H6162" s="508">
        <v>0.82899999999999996</v>
      </c>
      <c r="I6162" s="508">
        <v>0.82899999999999996</v>
      </c>
      <c r="J6162" s="508">
        <v>0.82899999999999996</v>
      </c>
      <c r="K6162" s="508">
        <v>0.98299999999999998</v>
      </c>
      <c r="L6162" s="508">
        <v>0.98299999999999998</v>
      </c>
      <c r="M6162" s="508">
        <v>0.98299999999999998</v>
      </c>
      <c r="N6162" s="508">
        <v>1.0209999999999999</v>
      </c>
      <c r="O6162" s="508">
        <v>1.0209999999999999</v>
      </c>
      <c r="P6162" s="508">
        <v>1.0209999999999999</v>
      </c>
      <c r="Q6162" s="508">
        <v>1.0209999999999999</v>
      </c>
      <c r="R6162" s="508">
        <v>0.73799999999999999</v>
      </c>
      <c r="S6162" s="508">
        <v>0.73799999999999999</v>
      </c>
      <c r="T6162" s="508">
        <v>0.73799999999999999</v>
      </c>
      <c r="U6162" s="508">
        <v>0.73799999999999999</v>
      </c>
      <c r="V6162" s="508">
        <v>0.73699999999999999</v>
      </c>
      <c r="W6162" s="508">
        <v>0.64</v>
      </c>
      <c r="X6162" s="508">
        <v>0.64</v>
      </c>
      <c r="Y6162" s="508">
        <v>0.64</v>
      </c>
      <c r="Z6162" s="508">
        <v>0.60099999999999998</v>
      </c>
      <c r="AA6162" s="508">
        <v>2.8000000000000001E-2</v>
      </c>
      <c r="AB6162" s="508">
        <v>2.4E-2</v>
      </c>
      <c r="AC6162" s="508">
        <v>2.4E-2</v>
      </c>
      <c r="AD6162" s="508">
        <v>1.9E-2</v>
      </c>
      <c r="AE6162" s="508">
        <v>1.9E-2</v>
      </c>
      <c r="AF6162" s="508">
        <v>1.6E-2</v>
      </c>
      <c r="AG6162" s="508">
        <v>1.6E-2</v>
      </c>
      <c r="AH6162" s="508">
        <v>1.6E-2</v>
      </c>
      <c r="AI6162" s="492">
        <v>1.4999999999999999E-2</v>
      </c>
      <c r="AJ6162" s="485"/>
    </row>
    <row r="6163" spans="2:36">
      <c r="B6163" s="136" t="s">
        <v>456</v>
      </c>
      <c r="C6163" s="132" t="s">
        <v>1378</v>
      </c>
      <c r="D6163" s="132" t="s">
        <v>285</v>
      </c>
      <c r="E6163" s="508">
        <v>2.274</v>
      </c>
      <c r="F6163" s="508">
        <v>2.274</v>
      </c>
      <c r="G6163" s="508">
        <v>2.274</v>
      </c>
      <c r="H6163" s="508">
        <v>0.84599999999999997</v>
      </c>
      <c r="I6163" s="508">
        <v>0.84599999999999997</v>
      </c>
      <c r="J6163" s="508">
        <v>0.84599999999999997</v>
      </c>
      <c r="K6163" s="508">
        <v>0.98899999999999999</v>
      </c>
      <c r="L6163" s="508">
        <v>0.98899999999999999</v>
      </c>
      <c r="M6163" s="508">
        <v>0.98899999999999999</v>
      </c>
      <c r="N6163" s="508">
        <v>1.0489999999999999</v>
      </c>
      <c r="O6163" s="508">
        <v>1.0489999999999999</v>
      </c>
      <c r="P6163" s="508">
        <v>1.048</v>
      </c>
      <c r="Q6163" s="508">
        <v>1.048</v>
      </c>
      <c r="R6163" s="508">
        <v>0.76600000000000001</v>
      </c>
      <c r="S6163" s="508">
        <v>0.76600000000000001</v>
      </c>
      <c r="T6163" s="508">
        <v>0.76600000000000001</v>
      </c>
      <c r="U6163" s="508">
        <v>0.76600000000000001</v>
      </c>
      <c r="V6163" s="508">
        <v>0.76600000000000001</v>
      </c>
      <c r="W6163" s="508">
        <v>0.66400000000000003</v>
      </c>
      <c r="X6163" s="508">
        <v>0.66400000000000003</v>
      </c>
      <c r="Y6163" s="508">
        <v>0.66400000000000003</v>
      </c>
      <c r="Z6163" s="508">
        <v>0.624</v>
      </c>
      <c r="AA6163" s="508">
        <v>2.8000000000000001E-2</v>
      </c>
      <c r="AB6163" s="508">
        <v>2.4E-2</v>
      </c>
      <c r="AC6163" s="508">
        <v>2.4E-2</v>
      </c>
      <c r="AD6163" s="508">
        <v>0.02</v>
      </c>
      <c r="AE6163" s="508">
        <v>0.02</v>
      </c>
      <c r="AF6163" s="508">
        <v>1.6E-2</v>
      </c>
      <c r="AG6163" s="508">
        <v>1.6E-2</v>
      </c>
      <c r="AH6163" s="508">
        <v>1.6E-2</v>
      </c>
      <c r="AI6163" s="492">
        <v>1.6E-2</v>
      </c>
      <c r="AJ6163" s="485"/>
    </row>
    <row r="6164" spans="2:36">
      <c r="B6164" s="136" t="s">
        <v>457</v>
      </c>
      <c r="C6164" s="132" t="s">
        <v>1378</v>
      </c>
      <c r="D6164" s="132" t="s">
        <v>285</v>
      </c>
      <c r="E6164" s="508">
        <v>2.2559999999999998</v>
      </c>
      <c r="F6164" s="508">
        <v>2.2559999999999998</v>
      </c>
      <c r="G6164" s="508">
        <v>2.2559999999999998</v>
      </c>
      <c r="H6164" s="508">
        <v>0.80800000000000005</v>
      </c>
      <c r="I6164" s="508">
        <v>0.80700000000000005</v>
      </c>
      <c r="J6164" s="508">
        <v>0.80700000000000005</v>
      </c>
      <c r="K6164" s="508">
        <v>0.96</v>
      </c>
      <c r="L6164" s="508">
        <v>0.96</v>
      </c>
      <c r="M6164" s="508">
        <v>0.96</v>
      </c>
      <c r="N6164" s="508">
        <v>0.98499999999999999</v>
      </c>
      <c r="O6164" s="508">
        <v>0.98399999999999999</v>
      </c>
      <c r="P6164" s="508">
        <v>0.98399999999999999</v>
      </c>
      <c r="Q6164" s="508">
        <v>0.98399999999999999</v>
      </c>
      <c r="R6164" s="508">
        <v>0.71899999999999997</v>
      </c>
      <c r="S6164" s="508">
        <v>0.71899999999999997</v>
      </c>
      <c r="T6164" s="508">
        <v>0.71899999999999997</v>
      </c>
      <c r="U6164" s="508">
        <v>0.71899999999999997</v>
      </c>
      <c r="V6164" s="508">
        <v>0.71899999999999997</v>
      </c>
      <c r="W6164" s="508">
        <v>0.624</v>
      </c>
      <c r="X6164" s="508">
        <v>0.624</v>
      </c>
      <c r="Y6164" s="508">
        <v>0.624</v>
      </c>
      <c r="Z6164" s="508">
        <v>0.58599999999999997</v>
      </c>
      <c r="AA6164" s="508">
        <v>2.7E-2</v>
      </c>
      <c r="AB6164" s="508">
        <v>2.3E-2</v>
      </c>
      <c r="AC6164" s="508">
        <v>2.3E-2</v>
      </c>
      <c r="AD6164" s="508">
        <v>1.9E-2</v>
      </c>
      <c r="AE6164" s="508">
        <v>1.9E-2</v>
      </c>
      <c r="AF6164" s="508">
        <v>1.4999999999999999E-2</v>
      </c>
      <c r="AG6164" s="508">
        <v>1.4999999999999999E-2</v>
      </c>
      <c r="AH6164" s="508">
        <v>1.4999999999999999E-2</v>
      </c>
      <c r="AI6164" s="492">
        <v>1.4999999999999999E-2</v>
      </c>
      <c r="AJ6164" s="485"/>
    </row>
    <row r="6165" spans="2:36">
      <c r="B6165" s="136" t="s">
        <v>458</v>
      </c>
      <c r="C6165" s="132" t="s">
        <v>1378</v>
      </c>
      <c r="D6165" s="132" t="s">
        <v>285</v>
      </c>
      <c r="E6165" s="508">
        <v>2.3140000000000001</v>
      </c>
      <c r="F6165" s="508">
        <v>2.3140000000000001</v>
      </c>
      <c r="G6165" s="508">
        <v>2.3140000000000001</v>
      </c>
      <c r="H6165" s="508">
        <v>0.86299999999999999</v>
      </c>
      <c r="I6165" s="508">
        <v>0.86299999999999999</v>
      </c>
      <c r="J6165" s="508">
        <v>0.86299999999999999</v>
      </c>
      <c r="K6165" s="508">
        <v>1.01</v>
      </c>
      <c r="L6165" s="508">
        <v>1.0089999999999999</v>
      </c>
      <c r="M6165" s="508">
        <v>1.0089999999999999</v>
      </c>
      <c r="N6165" s="508">
        <v>1.0740000000000001</v>
      </c>
      <c r="O6165" s="508">
        <v>1.0740000000000001</v>
      </c>
      <c r="P6165" s="508">
        <v>1.0740000000000001</v>
      </c>
      <c r="Q6165" s="508">
        <v>1.0740000000000001</v>
      </c>
      <c r="R6165" s="508">
        <v>0.77800000000000002</v>
      </c>
      <c r="S6165" s="508">
        <v>0.77800000000000002</v>
      </c>
      <c r="T6165" s="508">
        <v>0.77800000000000002</v>
      </c>
      <c r="U6165" s="508">
        <v>0.77700000000000002</v>
      </c>
      <c r="V6165" s="508">
        <v>0.77700000000000002</v>
      </c>
      <c r="W6165" s="508">
        <v>0.67500000000000004</v>
      </c>
      <c r="X6165" s="508">
        <v>0.67500000000000004</v>
      </c>
      <c r="Y6165" s="508">
        <v>0.67500000000000004</v>
      </c>
      <c r="Z6165" s="508">
        <v>0.63400000000000001</v>
      </c>
      <c r="AA6165" s="508">
        <v>2.9000000000000001E-2</v>
      </c>
      <c r="AB6165" s="508">
        <v>2.5000000000000001E-2</v>
      </c>
      <c r="AC6165" s="508">
        <v>2.5000000000000001E-2</v>
      </c>
      <c r="AD6165" s="508">
        <v>0.02</v>
      </c>
      <c r="AE6165" s="508">
        <v>0.02</v>
      </c>
      <c r="AF6165" s="508">
        <v>1.6E-2</v>
      </c>
      <c r="AG6165" s="508">
        <v>1.6E-2</v>
      </c>
      <c r="AH6165" s="508">
        <v>1.6E-2</v>
      </c>
      <c r="AI6165" s="492">
        <v>1.6E-2</v>
      </c>
      <c r="AJ6165" s="485"/>
    </row>
    <row r="6166" spans="2:36">
      <c r="B6166" s="136" t="s">
        <v>459</v>
      </c>
      <c r="C6166" s="132" t="s">
        <v>1378</v>
      </c>
      <c r="D6166" s="132" t="s">
        <v>285</v>
      </c>
      <c r="E6166" s="508">
        <v>2.3130000000000002</v>
      </c>
      <c r="F6166" s="508">
        <v>2.3130000000000002</v>
      </c>
      <c r="G6166" s="508">
        <v>2.3130000000000002</v>
      </c>
      <c r="H6166" s="508">
        <v>0.86199999999999999</v>
      </c>
      <c r="I6166" s="508">
        <v>0.86199999999999999</v>
      </c>
      <c r="J6166" s="508">
        <v>0.86199999999999999</v>
      </c>
      <c r="K6166" s="508">
        <v>1.0089999999999999</v>
      </c>
      <c r="L6166" s="508">
        <v>1.0089999999999999</v>
      </c>
      <c r="M6166" s="508">
        <v>1.0089999999999999</v>
      </c>
      <c r="N6166" s="508">
        <v>1.0740000000000001</v>
      </c>
      <c r="O6166" s="508">
        <v>1.0740000000000001</v>
      </c>
      <c r="P6166" s="508">
        <v>1.0740000000000001</v>
      </c>
      <c r="Q6166" s="508">
        <v>1.0740000000000001</v>
      </c>
      <c r="R6166" s="508">
        <v>0.77700000000000002</v>
      </c>
      <c r="S6166" s="508">
        <v>0.77700000000000002</v>
      </c>
      <c r="T6166" s="508">
        <v>0.77700000000000002</v>
      </c>
      <c r="U6166" s="508">
        <v>0.77700000000000002</v>
      </c>
      <c r="V6166" s="508">
        <v>0.77700000000000002</v>
      </c>
      <c r="W6166" s="508">
        <v>0.67400000000000004</v>
      </c>
      <c r="X6166" s="508">
        <v>0.67400000000000004</v>
      </c>
      <c r="Y6166" s="508">
        <v>0.67400000000000004</v>
      </c>
      <c r="Z6166" s="508">
        <v>0.63300000000000001</v>
      </c>
      <c r="AA6166" s="508">
        <v>2.9000000000000001E-2</v>
      </c>
      <c r="AB6166" s="508">
        <v>2.5000000000000001E-2</v>
      </c>
      <c r="AC6166" s="508">
        <v>2.5000000000000001E-2</v>
      </c>
      <c r="AD6166" s="508">
        <v>0.02</v>
      </c>
      <c r="AE6166" s="508">
        <v>0.02</v>
      </c>
      <c r="AF6166" s="508">
        <v>1.6E-2</v>
      </c>
      <c r="AG6166" s="508">
        <v>1.6E-2</v>
      </c>
      <c r="AH6166" s="508">
        <v>1.6E-2</v>
      </c>
      <c r="AI6166" s="492">
        <v>1.6E-2</v>
      </c>
      <c r="AJ6166" s="485"/>
    </row>
    <row r="6167" spans="2:36">
      <c r="B6167" s="136" t="s">
        <v>460</v>
      </c>
      <c r="C6167" s="132" t="s">
        <v>1378</v>
      </c>
      <c r="D6167" s="132" t="s">
        <v>285</v>
      </c>
      <c r="E6167" s="508">
        <v>2.282</v>
      </c>
      <c r="F6167" s="508">
        <v>2.282</v>
      </c>
      <c r="G6167" s="508">
        <v>2.282</v>
      </c>
      <c r="H6167" s="508">
        <v>0.85699999999999998</v>
      </c>
      <c r="I6167" s="508">
        <v>0.85699999999999998</v>
      </c>
      <c r="J6167" s="508">
        <v>0.85699999999999998</v>
      </c>
      <c r="K6167" s="508">
        <v>0.998</v>
      </c>
      <c r="L6167" s="508">
        <v>0.998</v>
      </c>
      <c r="M6167" s="508">
        <v>0.998</v>
      </c>
      <c r="N6167" s="508">
        <v>1.0669999999999999</v>
      </c>
      <c r="O6167" s="508">
        <v>1.0669999999999999</v>
      </c>
      <c r="P6167" s="508">
        <v>1.0669999999999999</v>
      </c>
      <c r="Q6167" s="508">
        <v>1.0669999999999999</v>
      </c>
      <c r="R6167" s="508">
        <v>0.77800000000000002</v>
      </c>
      <c r="S6167" s="508">
        <v>0.77800000000000002</v>
      </c>
      <c r="T6167" s="508">
        <v>0.77800000000000002</v>
      </c>
      <c r="U6167" s="508">
        <v>0.77800000000000002</v>
      </c>
      <c r="V6167" s="508">
        <v>0.77800000000000002</v>
      </c>
      <c r="W6167" s="508">
        <v>0.67500000000000004</v>
      </c>
      <c r="X6167" s="508">
        <v>0.67500000000000004</v>
      </c>
      <c r="Y6167" s="508">
        <v>0.67500000000000004</v>
      </c>
      <c r="Z6167" s="508">
        <v>0.63400000000000001</v>
      </c>
      <c r="AA6167" s="508">
        <v>2.9000000000000001E-2</v>
      </c>
      <c r="AB6167" s="508">
        <v>2.5000000000000001E-2</v>
      </c>
      <c r="AC6167" s="508">
        <v>2.5000000000000001E-2</v>
      </c>
      <c r="AD6167" s="508">
        <v>0.02</v>
      </c>
      <c r="AE6167" s="508">
        <v>0.02</v>
      </c>
      <c r="AF6167" s="508">
        <v>1.6E-2</v>
      </c>
      <c r="AG6167" s="508">
        <v>1.6E-2</v>
      </c>
      <c r="AH6167" s="508">
        <v>1.6E-2</v>
      </c>
      <c r="AI6167" s="492">
        <v>1.6E-2</v>
      </c>
      <c r="AJ6167" s="485"/>
    </row>
    <row r="6168" spans="2:36">
      <c r="B6168" s="136" t="s">
        <v>461</v>
      </c>
      <c r="C6168" s="132" t="s">
        <v>1378</v>
      </c>
      <c r="D6168" s="132" t="s">
        <v>285</v>
      </c>
      <c r="E6168" s="508">
        <v>2.2730000000000001</v>
      </c>
      <c r="F6168" s="508">
        <v>2.2730000000000001</v>
      </c>
      <c r="G6168" s="508">
        <v>2.2730000000000001</v>
      </c>
      <c r="H6168" s="508">
        <v>0.84099999999999997</v>
      </c>
      <c r="I6168" s="508">
        <v>0.84099999999999997</v>
      </c>
      <c r="J6168" s="508">
        <v>0.84099999999999997</v>
      </c>
      <c r="K6168" s="508">
        <v>0.98399999999999999</v>
      </c>
      <c r="L6168" s="508">
        <v>0.98399999999999999</v>
      </c>
      <c r="M6168" s="508">
        <v>0.98399999999999999</v>
      </c>
      <c r="N6168" s="508">
        <v>1.0389999999999999</v>
      </c>
      <c r="O6168" s="508">
        <v>1.0389999999999999</v>
      </c>
      <c r="P6168" s="508">
        <v>1.0389999999999999</v>
      </c>
      <c r="Q6168" s="508">
        <v>1.0389999999999999</v>
      </c>
      <c r="R6168" s="508">
        <v>0.76100000000000001</v>
      </c>
      <c r="S6168" s="508">
        <v>0.76100000000000001</v>
      </c>
      <c r="T6168" s="508">
        <v>0.76100000000000001</v>
      </c>
      <c r="U6168" s="508">
        <v>0.76100000000000001</v>
      </c>
      <c r="V6168" s="508">
        <v>0.76100000000000001</v>
      </c>
      <c r="W6168" s="508">
        <v>0.66100000000000003</v>
      </c>
      <c r="X6168" s="508">
        <v>0.66100000000000003</v>
      </c>
      <c r="Y6168" s="508">
        <v>0.66100000000000003</v>
      </c>
      <c r="Z6168" s="508">
        <v>0.62</v>
      </c>
      <c r="AA6168" s="508">
        <v>2.8000000000000001E-2</v>
      </c>
      <c r="AB6168" s="508">
        <v>2.4E-2</v>
      </c>
      <c r="AC6168" s="508">
        <v>2.4E-2</v>
      </c>
      <c r="AD6168" s="508">
        <v>0.02</v>
      </c>
      <c r="AE6168" s="508">
        <v>0.02</v>
      </c>
      <c r="AF6168" s="508">
        <v>1.6E-2</v>
      </c>
      <c r="AG6168" s="508">
        <v>1.6E-2</v>
      </c>
      <c r="AH6168" s="508">
        <v>1.6E-2</v>
      </c>
      <c r="AI6168" s="492">
        <v>1.6E-2</v>
      </c>
      <c r="AJ6168" s="485"/>
    </row>
    <row r="6169" spans="2:36">
      <c r="B6169" s="136" t="s">
        <v>462</v>
      </c>
      <c r="C6169" s="132" t="s">
        <v>1378</v>
      </c>
      <c r="D6169" s="132" t="s">
        <v>285</v>
      </c>
      <c r="E6169" s="508">
        <v>2.246</v>
      </c>
      <c r="F6169" s="508">
        <v>2.246</v>
      </c>
      <c r="G6169" s="508">
        <v>2.246</v>
      </c>
      <c r="H6169" s="508">
        <v>0.82399999999999995</v>
      </c>
      <c r="I6169" s="508">
        <v>0.82399999999999995</v>
      </c>
      <c r="J6169" s="508">
        <v>0.82399999999999995</v>
      </c>
      <c r="K6169" s="508">
        <v>0.96699999999999997</v>
      </c>
      <c r="L6169" s="508">
        <v>0.96599999999999997</v>
      </c>
      <c r="M6169" s="508">
        <v>0.96599999999999997</v>
      </c>
      <c r="N6169" s="508">
        <v>1.0109999999999999</v>
      </c>
      <c r="O6169" s="508">
        <v>1.0109999999999999</v>
      </c>
      <c r="P6169" s="508">
        <v>1.0109999999999999</v>
      </c>
      <c r="Q6169" s="508">
        <v>1.0109999999999999</v>
      </c>
      <c r="R6169" s="508">
        <v>0.747</v>
      </c>
      <c r="S6169" s="508">
        <v>0.747</v>
      </c>
      <c r="T6169" s="508">
        <v>0.747</v>
      </c>
      <c r="U6169" s="508">
        <v>0.747</v>
      </c>
      <c r="V6169" s="508">
        <v>0.747</v>
      </c>
      <c r="W6169" s="508">
        <v>0.64800000000000002</v>
      </c>
      <c r="X6169" s="508">
        <v>0.64800000000000002</v>
      </c>
      <c r="Y6169" s="508">
        <v>0.64800000000000002</v>
      </c>
      <c r="Z6169" s="508">
        <v>0.60799999999999998</v>
      </c>
      <c r="AA6169" s="508">
        <v>2.8000000000000001E-2</v>
      </c>
      <c r="AB6169" s="508">
        <v>2.4E-2</v>
      </c>
      <c r="AC6169" s="508">
        <v>2.4E-2</v>
      </c>
      <c r="AD6169" s="508">
        <v>1.9E-2</v>
      </c>
      <c r="AE6169" s="508">
        <v>1.9E-2</v>
      </c>
      <c r="AF6169" s="508">
        <v>1.6E-2</v>
      </c>
      <c r="AG6169" s="508">
        <v>1.6E-2</v>
      </c>
      <c r="AH6169" s="508">
        <v>1.6E-2</v>
      </c>
      <c r="AI6169" s="492">
        <v>1.6E-2</v>
      </c>
      <c r="AJ6169" s="485"/>
    </row>
    <row r="6170" spans="2:36">
      <c r="B6170" s="136" t="s">
        <v>463</v>
      </c>
      <c r="C6170" s="132" t="s">
        <v>1378</v>
      </c>
      <c r="D6170" s="132" t="s">
        <v>285</v>
      </c>
      <c r="E6170" s="508">
        <v>2.3069999999999999</v>
      </c>
      <c r="F6170" s="508">
        <v>2.3069999999999999</v>
      </c>
      <c r="G6170" s="508">
        <v>2.3069999999999999</v>
      </c>
      <c r="H6170" s="508">
        <v>0.82899999999999996</v>
      </c>
      <c r="I6170" s="508">
        <v>0.82899999999999996</v>
      </c>
      <c r="J6170" s="508">
        <v>0.82899999999999996</v>
      </c>
      <c r="K6170" s="508">
        <v>0.98699999999999999</v>
      </c>
      <c r="L6170" s="508">
        <v>0.98699999999999999</v>
      </c>
      <c r="M6170" s="508">
        <v>0.98699999999999999</v>
      </c>
      <c r="N6170" s="508">
        <v>1.018</v>
      </c>
      <c r="O6170" s="508">
        <v>1.018</v>
      </c>
      <c r="P6170" s="508">
        <v>1.018</v>
      </c>
      <c r="Q6170" s="508">
        <v>1.018</v>
      </c>
      <c r="R6170" s="508">
        <v>0.73399999999999999</v>
      </c>
      <c r="S6170" s="508">
        <v>0.73399999999999999</v>
      </c>
      <c r="T6170" s="508">
        <v>0.73399999999999999</v>
      </c>
      <c r="U6170" s="508">
        <v>0.73399999999999999</v>
      </c>
      <c r="V6170" s="508">
        <v>0.73399999999999999</v>
      </c>
      <c r="W6170" s="508">
        <v>0.63700000000000001</v>
      </c>
      <c r="X6170" s="508">
        <v>0.63700000000000001</v>
      </c>
      <c r="Y6170" s="508">
        <v>0.63700000000000001</v>
      </c>
      <c r="Z6170" s="508">
        <v>0.59799999999999998</v>
      </c>
      <c r="AA6170" s="508">
        <v>2.7E-2</v>
      </c>
      <c r="AB6170" s="508">
        <v>2.4E-2</v>
      </c>
      <c r="AC6170" s="508">
        <v>2.4E-2</v>
      </c>
      <c r="AD6170" s="508">
        <v>1.9E-2</v>
      </c>
      <c r="AE6170" s="508">
        <v>1.9E-2</v>
      </c>
      <c r="AF6170" s="508">
        <v>1.6E-2</v>
      </c>
      <c r="AG6170" s="508">
        <v>1.6E-2</v>
      </c>
      <c r="AH6170" s="508">
        <v>1.4999999999999999E-2</v>
      </c>
      <c r="AI6170" s="492">
        <v>1.4999999999999999E-2</v>
      </c>
      <c r="AJ6170" s="485"/>
    </row>
    <row r="6171" spans="2:36">
      <c r="B6171" s="136" t="s">
        <v>464</v>
      </c>
      <c r="C6171" s="132" t="s">
        <v>1378</v>
      </c>
      <c r="D6171" s="132" t="s">
        <v>285</v>
      </c>
      <c r="E6171" s="508">
        <v>2.2589999999999999</v>
      </c>
      <c r="F6171" s="508">
        <v>2.2589999999999999</v>
      </c>
      <c r="G6171" s="508">
        <v>2.2589999999999999</v>
      </c>
      <c r="H6171" s="508">
        <v>0.81</v>
      </c>
      <c r="I6171" s="508">
        <v>0.81</v>
      </c>
      <c r="J6171" s="508">
        <v>0.81</v>
      </c>
      <c r="K6171" s="508">
        <v>0.96299999999999997</v>
      </c>
      <c r="L6171" s="508">
        <v>0.96299999999999997</v>
      </c>
      <c r="M6171" s="508">
        <v>0.96299999999999997</v>
      </c>
      <c r="N6171" s="508">
        <v>0.99</v>
      </c>
      <c r="O6171" s="508">
        <v>0.99</v>
      </c>
      <c r="P6171" s="508">
        <v>0.99</v>
      </c>
      <c r="Q6171" s="508">
        <v>0.99</v>
      </c>
      <c r="R6171" s="508">
        <v>0.72</v>
      </c>
      <c r="S6171" s="508">
        <v>0.72</v>
      </c>
      <c r="T6171" s="508">
        <v>0.72</v>
      </c>
      <c r="U6171" s="508">
        <v>0.72</v>
      </c>
      <c r="V6171" s="508">
        <v>0.72</v>
      </c>
      <c r="W6171" s="508">
        <v>0.625</v>
      </c>
      <c r="X6171" s="508">
        <v>0.625</v>
      </c>
      <c r="Y6171" s="508">
        <v>0.625</v>
      </c>
      <c r="Z6171" s="508">
        <v>0.58699999999999997</v>
      </c>
      <c r="AA6171" s="508">
        <v>2.7E-2</v>
      </c>
      <c r="AB6171" s="508">
        <v>2.3E-2</v>
      </c>
      <c r="AC6171" s="508">
        <v>2.3E-2</v>
      </c>
      <c r="AD6171" s="508">
        <v>1.9E-2</v>
      </c>
      <c r="AE6171" s="508">
        <v>1.9E-2</v>
      </c>
      <c r="AF6171" s="508">
        <v>1.4999999999999999E-2</v>
      </c>
      <c r="AG6171" s="508">
        <v>1.4999999999999999E-2</v>
      </c>
      <c r="AH6171" s="508">
        <v>1.4999999999999999E-2</v>
      </c>
      <c r="AI6171" s="492">
        <v>1.4999999999999999E-2</v>
      </c>
      <c r="AJ6171" s="485"/>
    </row>
    <row r="6172" spans="2:36">
      <c r="B6172" s="136" t="s">
        <v>465</v>
      </c>
      <c r="C6172" s="132" t="s">
        <v>1378</v>
      </c>
      <c r="D6172" s="132" t="s">
        <v>285</v>
      </c>
      <c r="E6172" s="508">
        <v>2.2789999999999999</v>
      </c>
      <c r="F6172" s="508">
        <v>2.2789999999999999</v>
      </c>
      <c r="G6172" s="508">
        <v>2.2789999999999999</v>
      </c>
      <c r="H6172" s="508">
        <v>0.82899999999999996</v>
      </c>
      <c r="I6172" s="508">
        <v>0.82799999999999996</v>
      </c>
      <c r="J6172" s="508">
        <v>0.82799999999999996</v>
      </c>
      <c r="K6172" s="508">
        <v>0.98099999999999998</v>
      </c>
      <c r="L6172" s="508">
        <v>0.98099999999999998</v>
      </c>
      <c r="M6172" s="508">
        <v>0.98099999999999998</v>
      </c>
      <c r="N6172" s="508">
        <v>1.0209999999999999</v>
      </c>
      <c r="O6172" s="508">
        <v>1.0209999999999999</v>
      </c>
      <c r="P6172" s="508">
        <v>1.0209999999999999</v>
      </c>
      <c r="Q6172" s="508">
        <v>1.0209999999999999</v>
      </c>
      <c r="R6172" s="508">
        <v>0.73899999999999999</v>
      </c>
      <c r="S6172" s="508">
        <v>0.73899999999999999</v>
      </c>
      <c r="T6172" s="508">
        <v>0.73899999999999999</v>
      </c>
      <c r="U6172" s="508">
        <v>0.73899999999999999</v>
      </c>
      <c r="V6172" s="508">
        <v>0.73899999999999999</v>
      </c>
      <c r="W6172" s="508">
        <v>0.64100000000000001</v>
      </c>
      <c r="X6172" s="508">
        <v>0.64100000000000001</v>
      </c>
      <c r="Y6172" s="508">
        <v>0.64100000000000001</v>
      </c>
      <c r="Z6172" s="508">
        <v>0.60199999999999998</v>
      </c>
      <c r="AA6172" s="508">
        <v>2.8000000000000001E-2</v>
      </c>
      <c r="AB6172" s="508">
        <v>2.4E-2</v>
      </c>
      <c r="AC6172" s="508">
        <v>2.4E-2</v>
      </c>
      <c r="AD6172" s="508">
        <v>1.9E-2</v>
      </c>
      <c r="AE6172" s="508">
        <v>1.9E-2</v>
      </c>
      <c r="AF6172" s="508">
        <v>1.6E-2</v>
      </c>
      <c r="AG6172" s="508">
        <v>1.6E-2</v>
      </c>
      <c r="AH6172" s="508">
        <v>1.6E-2</v>
      </c>
      <c r="AI6172" s="492">
        <v>1.6E-2</v>
      </c>
      <c r="AJ6172" s="485"/>
    </row>
    <row r="6173" spans="2:36">
      <c r="B6173" s="136" t="s">
        <v>466</v>
      </c>
      <c r="C6173" s="132" t="s">
        <v>1378</v>
      </c>
      <c r="D6173" s="132" t="s">
        <v>285</v>
      </c>
      <c r="E6173" s="508">
        <v>2.2759999999999998</v>
      </c>
      <c r="F6173" s="508">
        <v>2.2759999999999998</v>
      </c>
      <c r="G6173" s="508">
        <v>2.2759999999999998</v>
      </c>
      <c r="H6173" s="508">
        <v>0.879</v>
      </c>
      <c r="I6173" s="508">
        <v>0.879</v>
      </c>
      <c r="J6173" s="508">
        <v>0.878</v>
      </c>
      <c r="K6173" s="508">
        <v>1.0109999999999999</v>
      </c>
      <c r="L6173" s="508">
        <v>1.0109999999999999</v>
      </c>
      <c r="M6173" s="508">
        <v>1.0109999999999999</v>
      </c>
      <c r="N6173" s="508">
        <v>1.105</v>
      </c>
      <c r="O6173" s="508">
        <v>1.105</v>
      </c>
      <c r="P6173" s="508">
        <v>1.105</v>
      </c>
      <c r="Q6173" s="508">
        <v>1.105</v>
      </c>
      <c r="R6173" s="508">
        <v>0.80900000000000005</v>
      </c>
      <c r="S6173" s="508">
        <v>0.80900000000000005</v>
      </c>
      <c r="T6173" s="508">
        <v>0.80900000000000005</v>
      </c>
      <c r="U6173" s="508">
        <v>0.80900000000000005</v>
      </c>
      <c r="V6173" s="508">
        <v>0.80900000000000005</v>
      </c>
      <c r="W6173" s="508">
        <v>0.70199999999999996</v>
      </c>
      <c r="X6173" s="508">
        <v>0.70199999999999996</v>
      </c>
      <c r="Y6173" s="508">
        <v>0.70199999999999996</v>
      </c>
      <c r="Z6173" s="508">
        <v>0.65900000000000003</v>
      </c>
      <c r="AA6173" s="508">
        <v>2.9000000000000001E-2</v>
      </c>
      <c r="AB6173" s="508">
        <v>2.5000000000000001E-2</v>
      </c>
      <c r="AC6173" s="508">
        <v>2.5000000000000001E-2</v>
      </c>
      <c r="AD6173" s="508">
        <v>2.1000000000000001E-2</v>
      </c>
      <c r="AE6173" s="508">
        <v>2.1000000000000001E-2</v>
      </c>
      <c r="AF6173" s="508">
        <v>1.7000000000000001E-2</v>
      </c>
      <c r="AG6173" s="508">
        <v>1.7000000000000001E-2</v>
      </c>
      <c r="AH6173" s="508">
        <v>1.7000000000000001E-2</v>
      </c>
      <c r="AI6173" s="492">
        <v>1.7000000000000001E-2</v>
      </c>
      <c r="AJ6173" s="485"/>
    </row>
    <row r="6174" spans="2:36">
      <c r="B6174" s="136" t="s">
        <v>467</v>
      </c>
      <c r="C6174" s="132" t="s">
        <v>1378</v>
      </c>
      <c r="D6174" s="132" t="s">
        <v>285</v>
      </c>
      <c r="E6174" s="508">
        <v>2.2679999999999998</v>
      </c>
      <c r="F6174" s="508">
        <v>2.2679999999999998</v>
      </c>
      <c r="G6174" s="508">
        <v>2.2679999999999998</v>
      </c>
      <c r="H6174" s="508">
        <v>0.83599999999999997</v>
      </c>
      <c r="I6174" s="508">
        <v>0.83599999999999997</v>
      </c>
      <c r="J6174" s="508">
        <v>0.83599999999999997</v>
      </c>
      <c r="K6174" s="508">
        <v>0.98</v>
      </c>
      <c r="L6174" s="508">
        <v>0.98</v>
      </c>
      <c r="M6174" s="508">
        <v>0.98</v>
      </c>
      <c r="N6174" s="508">
        <v>1.03</v>
      </c>
      <c r="O6174" s="508">
        <v>1.03</v>
      </c>
      <c r="P6174" s="508">
        <v>1.03</v>
      </c>
      <c r="Q6174" s="508">
        <v>1.03</v>
      </c>
      <c r="R6174" s="508">
        <v>0.75600000000000001</v>
      </c>
      <c r="S6174" s="508">
        <v>0.75600000000000001</v>
      </c>
      <c r="T6174" s="508">
        <v>0.75600000000000001</v>
      </c>
      <c r="U6174" s="508">
        <v>0.75600000000000001</v>
      </c>
      <c r="V6174" s="508">
        <v>0.75600000000000001</v>
      </c>
      <c r="W6174" s="508">
        <v>0.65600000000000003</v>
      </c>
      <c r="X6174" s="508">
        <v>0.65600000000000003</v>
      </c>
      <c r="Y6174" s="508">
        <v>0.65600000000000003</v>
      </c>
      <c r="Z6174" s="508">
        <v>0.61599999999999999</v>
      </c>
      <c r="AA6174" s="508">
        <v>2.8000000000000001E-2</v>
      </c>
      <c r="AB6174" s="508">
        <v>2.4E-2</v>
      </c>
      <c r="AC6174" s="508">
        <v>2.4E-2</v>
      </c>
      <c r="AD6174" s="508">
        <v>0.02</v>
      </c>
      <c r="AE6174" s="508">
        <v>0.02</v>
      </c>
      <c r="AF6174" s="508">
        <v>1.6E-2</v>
      </c>
      <c r="AG6174" s="508">
        <v>1.6E-2</v>
      </c>
      <c r="AH6174" s="508">
        <v>1.6E-2</v>
      </c>
      <c r="AI6174" s="492">
        <v>1.6E-2</v>
      </c>
      <c r="AJ6174" s="485"/>
    </row>
    <row r="6175" spans="2:36">
      <c r="B6175" s="136" t="s">
        <v>468</v>
      </c>
      <c r="C6175" s="132" t="s">
        <v>1378</v>
      </c>
      <c r="D6175" s="132" t="s">
        <v>285</v>
      </c>
      <c r="E6175" s="508">
        <v>2.2970000000000002</v>
      </c>
      <c r="F6175" s="508">
        <v>2.2970000000000002</v>
      </c>
      <c r="G6175" s="508">
        <v>2.2970000000000002</v>
      </c>
      <c r="H6175" s="508">
        <v>0.82299999999999995</v>
      </c>
      <c r="I6175" s="508">
        <v>0.82299999999999995</v>
      </c>
      <c r="J6175" s="508">
        <v>0.82299999999999995</v>
      </c>
      <c r="K6175" s="508">
        <v>0.98299999999999998</v>
      </c>
      <c r="L6175" s="508">
        <v>0.98299999999999998</v>
      </c>
      <c r="M6175" s="508">
        <v>0.98299999999999998</v>
      </c>
      <c r="N6175" s="508">
        <v>1.012</v>
      </c>
      <c r="O6175" s="508">
        <v>1.012</v>
      </c>
      <c r="P6175" s="508">
        <v>1.012</v>
      </c>
      <c r="Q6175" s="508">
        <v>1.012</v>
      </c>
      <c r="R6175" s="508">
        <v>0.72299999999999998</v>
      </c>
      <c r="S6175" s="508">
        <v>0.72299999999999998</v>
      </c>
      <c r="T6175" s="508">
        <v>0.72299999999999998</v>
      </c>
      <c r="U6175" s="508">
        <v>0.72299999999999998</v>
      </c>
      <c r="V6175" s="508">
        <v>0.72299999999999998</v>
      </c>
      <c r="W6175" s="508">
        <v>0.628</v>
      </c>
      <c r="X6175" s="508">
        <v>0.628</v>
      </c>
      <c r="Y6175" s="508">
        <v>0.628</v>
      </c>
      <c r="Z6175" s="508">
        <v>0.58899999999999997</v>
      </c>
      <c r="AA6175" s="508">
        <v>2.7E-2</v>
      </c>
      <c r="AB6175" s="508">
        <v>2.3E-2</v>
      </c>
      <c r="AC6175" s="508">
        <v>2.3E-2</v>
      </c>
      <c r="AD6175" s="508">
        <v>1.9E-2</v>
      </c>
      <c r="AE6175" s="508">
        <v>1.9E-2</v>
      </c>
      <c r="AF6175" s="508">
        <v>1.6E-2</v>
      </c>
      <c r="AG6175" s="508">
        <v>1.4999999999999999E-2</v>
      </c>
      <c r="AH6175" s="508">
        <v>1.4999999999999999E-2</v>
      </c>
      <c r="AI6175" s="492">
        <v>1.4999999999999999E-2</v>
      </c>
      <c r="AJ6175" s="485"/>
    </row>
    <row r="6176" spans="2:36">
      <c r="B6176" s="136" t="s">
        <v>469</v>
      </c>
      <c r="C6176" s="132" t="s">
        <v>1378</v>
      </c>
      <c r="D6176" s="132" t="s">
        <v>285</v>
      </c>
      <c r="E6176" s="508">
        <v>2.2679999999999998</v>
      </c>
      <c r="F6176" s="508">
        <v>2.2679999999999998</v>
      </c>
      <c r="G6176" s="508">
        <v>2.2679999999999998</v>
      </c>
      <c r="H6176" s="508">
        <v>0.83</v>
      </c>
      <c r="I6176" s="508">
        <v>0.83</v>
      </c>
      <c r="J6176" s="508">
        <v>0.83</v>
      </c>
      <c r="K6176" s="508">
        <v>0.97899999999999998</v>
      </c>
      <c r="L6176" s="508">
        <v>0.97899999999999998</v>
      </c>
      <c r="M6176" s="508">
        <v>0.97899999999999998</v>
      </c>
      <c r="N6176" s="508">
        <v>1.024</v>
      </c>
      <c r="O6176" s="508">
        <v>1.024</v>
      </c>
      <c r="P6176" s="508">
        <v>1.024</v>
      </c>
      <c r="Q6176" s="508">
        <v>1.024</v>
      </c>
      <c r="R6176" s="508">
        <v>0.745</v>
      </c>
      <c r="S6176" s="508">
        <v>0.745</v>
      </c>
      <c r="T6176" s="508">
        <v>0.745</v>
      </c>
      <c r="U6176" s="508">
        <v>0.745</v>
      </c>
      <c r="V6176" s="508">
        <v>0.745</v>
      </c>
      <c r="W6176" s="508">
        <v>0.64600000000000002</v>
      </c>
      <c r="X6176" s="508">
        <v>0.64600000000000002</v>
      </c>
      <c r="Y6176" s="508">
        <v>0.64600000000000002</v>
      </c>
      <c r="Z6176" s="508">
        <v>0.60699999999999998</v>
      </c>
      <c r="AA6176" s="508">
        <v>2.8000000000000001E-2</v>
      </c>
      <c r="AB6176" s="508">
        <v>2.4E-2</v>
      </c>
      <c r="AC6176" s="508">
        <v>2.4E-2</v>
      </c>
      <c r="AD6176" s="508">
        <v>0.02</v>
      </c>
      <c r="AE6176" s="508">
        <v>0.02</v>
      </c>
      <c r="AF6176" s="508">
        <v>1.6E-2</v>
      </c>
      <c r="AG6176" s="508">
        <v>1.6E-2</v>
      </c>
      <c r="AH6176" s="508">
        <v>1.6E-2</v>
      </c>
      <c r="AI6176" s="492">
        <v>1.6E-2</v>
      </c>
      <c r="AJ6176" s="485"/>
    </row>
    <row r="6177" spans="2:36">
      <c r="B6177" s="136" t="s">
        <v>470</v>
      </c>
      <c r="C6177" s="132" t="s">
        <v>1378</v>
      </c>
      <c r="D6177" s="132" t="s">
        <v>285</v>
      </c>
      <c r="E6177" s="508">
        <v>2.2909999999999999</v>
      </c>
      <c r="F6177" s="508">
        <v>2.2909999999999999</v>
      </c>
      <c r="G6177" s="508">
        <v>2.2909999999999999</v>
      </c>
      <c r="H6177" s="508">
        <v>0.86699999999999999</v>
      </c>
      <c r="I6177" s="508">
        <v>0.86699999999999999</v>
      </c>
      <c r="J6177" s="508">
        <v>0.86699999999999999</v>
      </c>
      <c r="K6177" s="508">
        <v>1.006</v>
      </c>
      <c r="L6177" s="508">
        <v>1.006</v>
      </c>
      <c r="M6177" s="508">
        <v>1.006</v>
      </c>
      <c r="N6177" s="508">
        <v>1.0820000000000001</v>
      </c>
      <c r="O6177" s="508">
        <v>1.0820000000000001</v>
      </c>
      <c r="P6177" s="508">
        <v>1.0820000000000001</v>
      </c>
      <c r="Q6177" s="508">
        <v>1.0820000000000001</v>
      </c>
      <c r="R6177" s="508">
        <v>0.79100000000000004</v>
      </c>
      <c r="S6177" s="508">
        <v>0.79100000000000004</v>
      </c>
      <c r="T6177" s="508">
        <v>0.79100000000000004</v>
      </c>
      <c r="U6177" s="508">
        <v>0.79</v>
      </c>
      <c r="V6177" s="508">
        <v>0.79</v>
      </c>
      <c r="W6177" s="508">
        <v>0.68600000000000005</v>
      </c>
      <c r="X6177" s="508">
        <v>0.68600000000000005</v>
      </c>
      <c r="Y6177" s="508">
        <v>0.68600000000000005</v>
      </c>
      <c r="Z6177" s="508">
        <v>0.64400000000000002</v>
      </c>
      <c r="AA6177" s="508">
        <v>2.9000000000000001E-2</v>
      </c>
      <c r="AB6177" s="508">
        <v>2.5000000000000001E-2</v>
      </c>
      <c r="AC6177" s="508">
        <v>2.5000000000000001E-2</v>
      </c>
      <c r="AD6177" s="508">
        <v>0.02</v>
      </c>
      <c r="AE6177" s="508">
        <v>0.02</v>
      </c>
      <c r="AF6177" s="508">
        <v>1.7000000000000001E-2</v>
      </c>
      <c r="AG6177" s="508">
        <v>1.6E-2</v>
      </c>
      <c r="AH6177" s="508">
        <v>1.6E-2</v>
      </c>
      <c r="AI6177" s="492">
        <v>1.6E-2</v>
      </c>
      <c r="AJ6177" s="485"/>
    </row>
    <row r="6178" spans="2:36">
      <c r="B6178" s="136" t="s">
        <v>471</v>
      </c>
      <c r="C6178" s="132" t="s">
        <v>1378</v>
      </c>
      <c r="D6178" s="132" t="s">
        <v>285</v>
      </c>
      <c r="E6178" s="508">
        <v>2.2690000000000001</v>
      </c>
      <c r="F6178" s="508">
        <v>2.2690000000000001</v>
      </c>
      <c r="G6178" s="508">
        <v>2.2690000000000001</v>
      </c>
      <c r="H6178" s="508">
        <v>0.84799999999999998</v>
      </c>
      <c r="I6178" s="508">
        <v>0.84799999999999998</v>
      </c>
      <c r="J6178" s="508">
        <v>0.84799999999999998</v>
      </c>
      <c r="K6178" s="508">
        <v>0.98799999999999999</v>
      </c>
      <c r="L6178" s="508">
        <v>0.98799999999999999</v>
      </c>
      <c r="M6178" s="508">
        <v>0.98799999999999999</v>
      </c>
      <c r="N6178" s="508">
        <v>1.052</v>
      </c>
      <c r="O6178" s="508">
        <v>1.052</v>
      </c>
      <c r="P6178" s="508">
        <v>1.052</v>
      </c>
      <c r="Q6178" s="508">
        <v>1.052</v>
      </c>
      <c r="R6178" s="508">
        <v>0.77300000000000002</v>
      </c>
      <c r="S6178" s="508">
        <v>0.77300000000000002</v>
      </c>
      <c r="T6178" s="508">
        <v>0.77300000000000002</v>
      </c>
      <c r="U6178" s="508">
        <v>0.77300000000000002</v>
      </c>
      <c r="V6178" s="508">
        <v>0.77300000000000002</v>
      </c>
      <c r="W6178" s="508">
        <v>0.67100000000000004</v>
      </c>
      <c r="X6178" s="508">
        <v>0.67100000000000004</v>
      </c>
      <c r="Y6178" s="508">
        <v>0.67100000000000004</v>
      </c>
      <c r="Z6178" s="508">
        <v>0.63</v>
      </c>
      <c r="AA6178" s="508">
        <v>2.8000000000000001E-2</v>
      </c>
      <c r="AB6178" s="508">
        <v>2.4E-2</v>
      </c>
      <c r="AC6178" s="508">
        <v>2.4E-2</v>
      </c>
      <c r="AD6178" s="508">
        <v>0.02</v>
      </c>
      <c r="AE6178" s="508">
        <v>0.02</v>
      </c>
      <c r="AF6178" s="508">
        <v>1.6E-2</v>
      </c>
      <c r="AG6178" s="508">
        <v>1.6E-2</v>
      </c>
      <c r="AH6178" s="508">
        <v>1.6E-2</v>
      </c>
      <c r="AI6178" s="492">
        <v>1.6E-2</v>
      </c>
      <c r="AJ6178" s="485"/>
    </row>
    <row r="6179" spans="2:36">
      <c r="B6179" s="136" t="s">
        <v>472</v>
      </c>
      <c r="C6179" s="132" t="s">
        <v>1378</v>
      </c>
      <c r="D6179" s="132" t="s">
        <v>285</v>
      </c>
      <c r="E6179" s="508">
        <v>2.2549999999999999</v>
      </c>
      <c r="F6179" s="508">
        <v>2.2549999999999999</v>
      </c>
      <c r="G6179" s="508">
        <v>2.254</v>
      </c>
      <c r="H6179" s="508">
        <v>0.80800000000000005</v>
      </c>
      <c r="I6179" s="508">
        <v>0.80800000000000005</v>
      </c>
      <c r="J6179" s="508">
        <v>0.80800000000000005</v>
      </c>
      <c r="K6179" s="508">
        <v>0.96</v>
      </c>
      <c r="L6179" s="508">
        <v>0.96</v>
      </c>
      <c r="M6179" s="508">
        <v>0.96</v>
      </c>
      <c r="N6179" s="508">
        <v>0.98599999999999999</v>
      </c>
      <c r="O6179" s="508">
        <v>0.98599999999999999</v>
      </c>
      <c r="P6179" s="508">
        <v>0.98599999999999999</v>
      </c>
      <c r="Q6179" s="508">
        <v>0.98599999999999999</v>
      </c>
      <c r="R6179" s="508">
        <v>0.72099999999999997</v>
      </c>
      <c r="S6179" s="508">
        <v>0.72099999999999997</v>
      </c>
      <c r="T6179" s="508">
        <v>0.72099999999999997</v>
      </c>
      <c r="U6179" s="508">
        <v>0.72099999999999997</v>
      </c>
      <c r="V6179" s="508">
        <v>0.72099999999999997</v>
      </c>
      <c r="W6179" s="508">
        <v>0.625</v>
      </c>
      <c r="X6179" s="508">
        <v>0.625</v>
      </c>
      <c r="Y6179" s="508">
        <v>0.625</v>
      </c>
      <c r="Z6179" s="508">
        <v>0.58699999999999997</v>
      </c>
      <c r="AA6179" s="508">
        <v>2.7E-2</v>
      </c>
      <c r="AB6179" s="508">
        <v>2.3E-2</v>
      </c>
      <c r="AC6179" s="508">
        <v>2.3E-2</v>
      </c>
      <c r="AD6179" s="508">
        <v>1.9E-2</v>
      </c>
      <c r="AE6179" s="508">
        <v>1.9E-2</v>
      </c>
      <c r="AF6179" s="508">
        <v>1.4999999999999999E-2</v>
      </c>
      <c r="AG6179" s="508">
        <v>1.4999999999999999E-2</v>
      </c>
      <c r="AH6179" s="508">
        <v>1.4999999999999999E-2</v>
      </c>
      <c r="AI6179" s="492">
        <v>1.4999999999999999E-2</v>
      </c>
      <c r="AJ6179" s="485"/>
    </row>
    <row r="6180" spans="2:36">
      <c r="B6180" s="136" t="s">
        <v>473</v>
      </c>
      <c r="C6180" s="132" t="s">
        <v>1378</v>
      </c>
      <c r="D6180" s="132" t="s">
        <v>285</v>
      </c>
      <c r="E6180" s="508">
        <v>2.2709999999999999</v>
      </c>
      <c r="F6180" s="508">
        <v>2.27</v>
      </c>
      <c r="G6180" s="508">
        <v>2.27</v>
      </c>
      <c r="H6180" s="508">
        <v>0.86299999999999999</v>
      </c>
      <c r="I6180" s="508">
        <v>0.86299999999999999</v>
      </c>
      <c r="J6180" s="508">
        <v>0.86299999999999999</v>
      </c>
      <c r="K6180" s="508">
        <v>0.999</v>
      </c>
      <c r="L6180" s="508">
        <v>0.999</v>
      </c>
      <c r="M6180" s="508">
        <v>0.998</v>
      </c>
      <c r="N6180" s="508">
        <v>1.0780000000000001</v>
      </c>
      <c r="O6180" s="508">
        <v>1.0780000000000001</v>
      </c>
      <c r="P6180" s="508">
        <v>1.0780000000000001</v>
      </c>
      <c r="Q6180" s="508">
        <v>1.0780000000000001</v>
      </c>
      <c r="R6180" s="508">
        <v>0.79200000000000004</v>
      </c>
      <c r="S6180" s="508">
        <v>0.79200000000000004</v>
      </c>
      <c r="T6180" s="508">
        <v>0.79200000000000004</v>
      </c>
      <c r="U6180" s="508">
        <v>0.79200000000000004</v>
      </c>
      <c r="V6180" s="508">
        <v>0.79200000000000004</v>
      </c>
      <c r="W6180" s="508">
        <v>0.68700000000000006</v>
      </c>
      <c r="X6180" s="508">
        <v>0.68700000000000006</v>
      </c>
      <c r="Y6180" s="508">
        <v>0.68700000000000006</v>
      </c>
      <c r="Z6180" s="508">
        <v>0.64500000000000002</v>
      </c>
      <c r="AA6180" s="508">
        <v>2.9000000000000001E-2</v>
      </c>
      <c r="AB6180" s="508">
        <v>2.5000000000000001E-2</v>
      </c>
      <c r="AC6180" s="508">
        <v>2.5000000000000001E-2</v>
      </c>
      <c r="AD6180" s="508">
        <v>0.02</v>
      </c>
      <c r="AE6180" s="508">
        <v>0.02</v>
      </c>
      <c r="AF6180" s="508">
        <v>1.6E-2</v>
      </c>
      <c r="AG6180" s="508">
        <v>1.6E-2</v>
      </c>
      <c r="AH6180" s="508">
        <v>1.6E-2</v>
      </c>
      <c r="AI6180" s="492">
        <v>1.6E-2</v>
      </c>
      <c r="AJ6180" s="485"/>
    </row>
    <row r="6181" spans="2:36">
      <c r="B6181" s="136" t="s">
        <v>474</v>
      </c>
      <c r="C6181" s="132" t="s">
        <v>1378</v>
      </c>
      <c r="D6181" s="132" t="s">
        <v>285</v>
      </c>
      <c r="E6181" s="508">
        <v>2.2669999999999999</v>
      </c>
      <c r="F6181" s="508">
        <v>2.2669999999999999</v>
      </c>
      <c r="G6181" s="508">
        <v>2.2669999999999999</v>
      </c>
      <c r="H6181" s="508">
        <v>0.84299999999999997</v>
      </c>
      <c r="I6181" s="508">
        <v>0.84299999999999997</v>
      </c>
      <c r="J6181" s="508">
        <v>0.84299999999999997</v>
      </c>
      <c r="K6181" s="508">
        <v>0.98499999999999999</v>
      </c>
      <c r="L6181" s="508">
        <v>0.98499999999999999</v>
      </c>
      <c r="M6181" s="508">
        <v>0.98499999999999999</v>
      </c>
      <c r="N6181" s="508">
        <v>1.0429999999999999</v>
      </c>
      <c r="O6181" s="508">
        <v>1.0429999999999999</v>
      </c>
      <c r="P6181" s="508">
        <v>1.0429999999999999</v>
      </c>
      <c r="Q6181" s="508">
        <v>1.0429999999999999</v>
      </c>
      <c r="R6181" s="508">
        <v>0.76400000000000001</v>
      </c>
      <c r="S6181" s="508">
        <v>0.76400000000000001</v>
      </c>
      <c r="T6181" s="508">
        <v>0.76400000000000001</v>
      </c>
      <c r="U6181" s="508">
        <v>0.76400000000000001</v>
      </c>
      <c r="V6181" s="508">
        <v>0.76400000000000001</v>
      </c>
      <c r="W6181" s="508">
        <v>0.66300000000000003</v>
      </c>
      <c r="X6181" s="508">
        <v>0.66300000000000003</v>
      </c>
      <c r="Y6181" s="508">
        <v>0.66300000000000003</v>
      </c>
      <c r="Z6181" s="508">
        <v>0.623</v>
      </c>
      <c r="AA6181" s="508">
        <v>2.8000000000000001E-2</v>
      </c>
      <c r="AB6181" s="508">
        <v>2.4E-2</v>
      </c>
      <c r="AC6181" s="508">
        <v>2.4E-2</v>
      </c>
      <c r="AD6181" s="508">
        <v>0.02</v>
      </c>
      <c r="AE6181" s="508">
        <v>0.02</v>
      </c>
      <c r="AF6181" s="508">
        <v>1.6E-2</v>
      </c>
      <c r="AG6181" s="508">
        <v>1.6E-2</v>
      </c>
      <c r="AH6181" s="508">
        <v>1.6E-2</v>
      </c>
      <c r="AI6181" s="492">
        <v>1.6E-2</v>
      </c>
      <c r="AJ6181" s="485"/>
    </row>
    <row r="6182" spans="2:36">
      <c r="B6182" s="136" t="s">
        <v>475</v>
      </c>
      <c r="C6182" s="132" t="s">
        <v>1378</v>
      </c>
      <c r="D6182" s="132" t="s">
        <v>285</v>
      </c>
      <c r="E6182" s="508">
        <v>2.2679999999999998</v>
      </c>
      <c r="F6182" s="508">
        <v>2.2679999999999998</v>
      </c>
      <c r="G6182" s="508">
        <v>2.2679999999999998</v>
      </c>
      <c r="H6182" s="508">
        <v>0.83499999999999996</v>
      </c>
      <c r="I6182" s="508">
        <v>0.83399999999999996</v>
      </c>
      <c r="J6182" s="508">
        <v>0.83399999999999996</v>
      </c>
      <c r="K6182" s="508">
        <v>0.98</v>
      </c>
      <c r="L6182" s="508">
        <v>0.98</v>
      </c>
      <c r="M6182" s="508">
        <v>0.98</v>
      </c>
      <c r="N6182" s="508">
        <v>1.0289999999999999</v>
      </c>
      <c r="O6182" s="508">
        <v>1.0289999999999999</v>
      </c>
      <c r="P6182" s="508">
        <v>1.0289999999999999</v>
      </c>
      <c r="Q6182" s="508">
        <v>1.0289999999999999</v>
      </c>
      <c r="R6182" s="508">
        <v>0.753</v>
      </c>
      <c r="S6182" s="508">
        <v>0.753</v>
      </c>
      <c r="T6182" s="508">
        <v>0.753</v>
      </c>
      <c r="U6182" s="508">
        <v>0.753</v>
      </c>
      <c r="V6182" s="508">
        <v>0.753</v>
      </c>
      <c r="W6182" s="508">
        <v>0.65300000000000002</v>
      </c>
      <c r="X6182" s="508">
        <v>0.65300000000000002</v>
      </c>
      <c r="Y6182" s="508">
        <v>0.65300000000000002</v>
      </c>
      <c r="Z6182" s="508">
        <v>0.61299999999999999</v>
      </c>
      <c r="AA6182" s="508">
        <v>2.8000000000000001E-2</v>
      </c>
      <c r="AB6182" s="508">
        <v>2.4E-2</v>
      </c>
      <c r="AC6182" s="508">
        <v>2.4E-2</v>
      </c>
      <c r="AD6182" s="508">
        <v>0.02</v>
      </c>
      <c r="AE6182" s="508">
        <v>0.02</v>
      </c>
      <c r="AF6182" s="508">
        <v>1.6E-2</v>
      </c>
      <c r="AG6182" s="508">
        <v>1.6E-2</v>
      </c>
      <c r="AH6182" s="508">
        <v>1.6E-2</v>
      </c>
      <c r="AI6182" s="492">
        <v>1.6E-2</v>
      </c>
      <c r="AJ6182" s="485"/>
    </row>
    <row r="6183" spans="2:36">
      <c r="B6183" s="136" t="s">
        <v>476</v>
      </c>
      <c r="C6183" s="132" t="s">
        <v>1378</v>
      </c>
      <c r="D6183" s="132" t="s">
        <v>285</v>
      </c>
      <c r="E6183" s="508">
        <v>2.282</v>
      </c>
      <c r="F6183" s="508">
        <v>2.282</v>
      </c>
      <c r="G6183" s="508">
        <v>2.282</v>
      </c>
      <c r="H6183" s="508">
        <v>0.85799999999999998</v>
      </c>
      <c r="I6183" s="508">
        <v>0.85799999999999998</v>
      </c>
      <c r="J6183" s="508">
        <v>0.85799999999999998</v>
      </c>
      <c r="K6183" s="508">
        <v>0.999</v>
      </c>
      <c r="L6183" s="508">
        <v>0.999</v>
      </c>
      <c r="M6183" s="508">
        <v>0.999</v>
      </c>
      <c r="N6183" s="508">
        <v>1.069</v>
      </c>
      <c r="O6183" s="508">
        <v>1.069</v>
      </c>
      <c r="P6183" s="508">
        <v>1.069</v>
      </c>
      <c r="Q6183" s="508">
        <v>1.069</v>
      </c>
      <c r="R6183" s="508">
        <v>0.77900000000000003</v>
      </c>
      <c r="S6183" s="508">
        <v>0.77900000000000003</v>
      </c>
      <c r="T6183" s="508">
        <v>0.77900000000000003</v>
      </c>
      <c r="U6183" s="508">
        <v>0.77900000000000003</v>
      </c>
      <c r="V6183" s="508">
        <v>0.77900000000000003</v>
      </c>
      <c r="W6183" s="508">
        <v>0.67600000000000005</v>
      </c>
      <c r="X6183" s="508">
        <v>0.67600000000000005</v>
      </c>
      <c r="Y6183" s="508">
        <v>0.67600000000000005</v>
      </c>
      <c r="Z6183" s="508">
        <v>0.63500000000000001</v>
      </c>
      <c r="AA6183" s="508">
        <v>2.9000000000000001E-2</v>
      </c>
      <c r="AB6183" s="508">
        <v>2.5000000000000001E-2</v>
      </c>
      <c r="AC6183" s="508">
        <v>2.5000000000000001E-2</v>
      </c>
      <c r="AD6183" s="508">
        <v>0.02</v>
      </c>
      <c r="AE6183" s="508">
        <v>0.02</v>
      </c>
      <c r="AF6183" s="508">
        <v>1.6E-2</v>
      </c>
      <c r="AG6183" s="508">
        <v>1.6E-2</v>
      </c>
      <c r="AH6183" s="508">
        <v>1.6E-2</v>
      </c>
      <c r="AI6183" s="492">
        <v>1.6E-2</v>
      </c>
      <c r="AJ6183" s="485"/>
    </row>
    <row r="6184" spans="2:36">
      <c r="B6184" s="136" t="s">
        <v>478</v>
      </c>
      <c r="C6184" s="132" t="s">
        <v>1378</v>
      </c>
      <c r="D6184" s="132" t="s">
        <v>285</v>
      </c>
      <c r="E6184" s="508">
        <v>2.3119999999999998</v>
      </c>
      <c r="F6184" s="508">
        <v>2.3119999999999998</v>
      </c>
      <c r="G6184" s="508">
        <v>2.3119999999999998</v>
      </c>
      <c r="H6184" s="508">
        <v>0.88200000000000001</v>
      </c>
      <c r="I6184" s="508">
        <v>0.88200000000000001</v>
      </c>
      <c r="J6184" s="508">
        <v>0.88200000000000001</v>
      </c>
      <c r="K6184" s="508">
        <v>1.022</v>
      </c>
      <c r="L6184" s="508">
        <v>1.022</v>
      </c>
      <c r="M6184" s="508">
        <v>1.022</v>
      </c>
      <c r="N6184" s="508">
        <v>1.107</v>
      </c>
      <c r="O6184" s="508">
        <v>1.107</v>
      </c>
      <c r="P6184" s="508">
        <v>1.107</v>
      </c>
      <c r="Q6184" s="508">
        <v>1.107</v>
      </c>
      <c r="R6184" s="508">
        <v>0.80300000000000005</v>
      </c>
      <c r="S6184" s="508">
        <v>0.80300000000000005</v>
      </c>
      <c r="T6184" s="508">
        <v>0.80300000000000005</v>
      </c>
      <c r="U6184" s="508">
        <v>0.80300000000000005</v>
      </c>
      <c r="V6184" s="508">
        <v>0.80300000000000005</v>
      </c>
      <c r="W6184" s="508">
        <v>0.69699999999999995</v>
      </c>
      <c r="X6184" s="508">
        <v>0.69699999999999995</v>
      </c>
      <c r="Y6184" s="508">
        <v>0.69699999999999995</v>
      </c>
      <c r="Z6184" s="508">
        <v>0.65400000000000003</v>
      </c>
      <c r="AA6184" s="508">
        <v>2.9000000000000001E-2</v>
      </c>
      <c r="AB6184" s="508">
        <v>2.5000000000000001E-2</v>
      </c>
      <c r="AC6184" s="508">
        <v>2.5000000000000001E-2</v>
      </c>
      <c r="AD6184" s="508">
        <v>2.1000000000000001E-2</v>
      </c>
      <c r="AE6184" s="508">
        <v>2.1000000000000001E-2</v>
      </c>
      <c r="AF6184" s="508">
        <v>1.7000000000000001E-2</v>
      </c>
      <c r="AG6184" s="508">
        <v>1.7000000000000001E-2</v>
      </c>
      <c r="AH6184" s="508">
        <v>1.7000000000000001E-2</v>
      </c>
      <c r="AI6184" s="492">
        <v>1.7000000000000001E-2</v>
      </c>
      <c r="AJ6184" s="485"/>
    </row>
    <row r="6185" spans="2:36">
      <c r="B6185" s="136" t="s">
        <v>479</v>
      </c>
      <c r="C6185" s="132" t="s">
        <v>1378</v>
      </c>
      <c r="D6185" s="132" t="s">
        <v>285</v>
      </c>
      <c r="E6185" s="508">
        <v>2.2730000000000001</v>
      </c>
      <c r="F6185" s="508">
        <v>2.2730000000000001</v>
      </c>
      <c r="G6185" s="508">
        <v>2.2730000000000001</v>
      </c>
      <c r="H6185" s="508">
        <v>0.84199999999999997</v>
      </c>
      <c r="I6185" s="508">
        <v>0.84199999999999997</v>
      </c>
      <c r="J6185" s="508">
        <v>0.84199999999999997</v>
      </c>
      <c r="K6185" s="508">
        <v>0.98699999999999999</v>
      </c>
      <c r="L6185" s="508">
        <v>0.98699999999999999</v>
      </c>
      <c r="M6185" s="508">
        <v>0.98699999999999999</v>
      </c>
      <c r="N6185" s="508">
        <v>1.0429999999999999</v>
      </c>
      <c r="O6185" s="508">
        <v>1.0429999999999999</v>
      </c>
      <c r="P6185" s="508">
        <v>1.0429999999999999</v>
      </c>
      <c r="Q6185" s="508">
        <v>1.0429999999999999</v>
      </c>
      <c r="R6185" s="508">
        <v>0.75900000000000001</v>
      </c>
      <c r="S6185" s="508">
        <v>0.75900000000000001</v>
      </c>
      <c r="T6185" s="508">
        <v>0.75900000000000001</v>
      </c>
      <c r="U6185" s="508">
        <v>0.75900000000000001</v>
      </c>
      <c r="V6185" s="508">
        <v>0.75900000000000001</v>
      </c>
      <c r="W6185" s="508">
        <v>0.65900000000000003</v>
      </c>
      <c r="X6185" s="508">
        <v>0.65900000000000003</v>
      </c>
      <c r="Y6185" s="508">
        <v>0.65900000000000003</v>
      </c>
      <c r="Z6185" s="508">
        <v>0.61899999999999999</v>
      </c>
      <c r="AA6185" s="508">
        <v>2.8000000000000001E-2</v>
      </c>
      <c r="AB6185" s="508">
        <v>2.4E-2</v>
      </c>
      <c r="AC6185" s="508">
        <v>2.4E-2</v>
      </c>
      <c r="AD6185" s="508">
        <v>0.02</v>
      </c>
      <c r="AE6185" s="508">
        <v>0.02</v>
      </c>
      <c r="AF6185" s="508">
        <v>1.6E-2</v>
      </c>
      <c r="AG6185" s="508">
        <v>1.6E-2</v>
      </c>
      <c r="AH6185" s="508">
        <v>1.6E-2</v>
      </c>
      <c r="AI6185" s="492">
        <v>1.6E-2</v>
      </c>
      <c r="AJ6185" s="485"/>
    </row>
    <row r="6186" spans="2:36">
      <c r="B6186" s="136" t="s">
        <v>480</v>
      </c>
      <c r="C6186" s="132" t="s">
        <v>1378</v>
      </c>
      <c r="D6186" s="132" t="s">
        <v>285</v>
      </c>
      <c r="E6186" s="508">
        <v>2.2749999999999999</v>
      </c>
      <c r="F6186" s="508">
        <v>2.2749999999999999</v>
      </c>
      <c r="G6186" s="508">
        <v>2.2749999999999999</v>
      </c>
      <c r="H6186" s="508">
        <v>0.81200000000000006</v>
      </c>
      <c r="I6186" s="508">
        <v>0.81200000000000006</v>
      </c>
      <c r="J6186" s="508">
        <v>0.81200000000000006</v>
      </c>
      <c r="K6186" s="508">
        <v>0.96899999999999997</v>
      </c>
      <c r="L6186" s="508">
        <v>0.96899999999999997</v>
      </c>
      <c r="M6186" s="508">
        <v>0.96899999999999997</v>
      </c>
      <c r="N6186" s="508">
        <v>0.99299999999999999</v>
      </c>
      <c r="O6186" s="508">
        <v>0.99299999999999999</v>
      </c>
      <c r="P6186" s="508">
        <v>0.99299999999999999</v>
      </c>
      <c r="Q6186" s="508">
        <v>0.99299999999999999</v>
      </c>
      <c r="R6186" s="508">
        <v>0.71699999999999997</v>
      </c>
      <c r="S6186" s="508">
        <v>0.71699999999999997</v>
      </c>
      <c r="T6186" s="508">
        <v>0.71699999999999997</v>
      </c>
      <c r="U6186" s="508">
        <v>0.71699999999999997</v>
      </c>
      <c r="V6186" s="508">
        <v>0.71699999999999997</v>
      </c>
      <c r="W6186" s="508">
        <v>0.622</v>
      </c>
      <c r="X6186" s="508">
        <v>0.622</v>
      </c>
      <c r="Y6186" s="508">
        <v>0.622</v>
      </c>
      <c r="Z6186" s="508">
        <v>0.58399999999999996</v>
      </c>
      <c r="AA6186" s="508">
        <v>2.7E-2</v>
      </c>
      <c r="AB6186" s="508">
        <v>2.3E-2</v>
      </c>
      <c r="AC6186" s="508">
        <v>2.3E-2</v>
      </c>
      <c r="AD6186" s="508">
        <v>1.9E-2</v>
      </c>
      <c r="AE6186" s="508">
        <v>1.9E-2</v>
      </c>
      <c r="AF6186" s="508">
        <v>1.4999999999999999E-2</v>
      </c>
      <c r="AG6186" s="508">
        <v>1.4999999999999999E-2</v>
      </c>
      <c r="AH6186" s="508">
        <v>1.4999999999999999E-2</v>
      </c>
      <c r="AI6186" s="492">
        <v>1.4999999999999999E-2</v>
      </c>
      <c r="AJ6186" s="485"/>
    </row>
    <row r="6187" spans="2:36">
      <c r="B6187" s="136" t="s">
        <v>481</v>
      </c>
      <c r="C6187" s="132" t="s">
        <v>1378</v>
      </c>
      <c r="D6187" s="132" t="s">
        <v>285</v>
      </c>
      <c r="E6187" s="508">
        <v>2.282</v>
      </c>
      <c r="F6187" s="508">
        <v>2.282</v>
      </c>
      <c r="G6187" s="508">
        <v>2.282</v>
      </c>
      <c r="H6187" s="508">
        <v>0.85</v>
      </c>
      <c r="I6187" s="508">
        <v>0.85</v>
      </c>
      <c r="J6187" s="508">
        <v>0.85</v>
      </c>
      <c r="K6187" s="508">
        <v>0.995</v>
      </c>
      <c r="L6187" s="508">
        <v>0.995</v>
      </c>
      <c r="M6187" s="508">
        <v>0.995</v>
      </c>
      <c r="N6187" s="508">
        <v>1.0569999999999999</v>
      </c>
      <c r="O6187" s="508">
        <v>1.0569999999999999</v>
      </c>
      <c r="P6187" s="508">
        <v>1.0569999999999999</v>
      </c>
      <c r="Q6187" s="508">
        <v>1.056</v>
      </c>
      <c r="R6187" s="508">
        <v>0.76900000000000002</v>
      </c>
      <c r="S6187" s="508">
        <v>0.76900000000000002</v>
      </c>
      <c r="T6187" s="508">
        <v>0.76900000000000002</v>
      </c>
      <c r="U6187" s="508">
        <v>0.76900000000000002</v>
      </c>
      <c r="V6187" s="508">
        <v>0.76900000000000002</v>
      </c>
      <c r="W6187" s="508">
        <v>0.66700000000000004</v>
      </c>
      <c r="X6187" s="508">
        <v>0.66700000000000004</v>
      </c>
      <c r="Y6187" s="508">
        <v>0.66700000000000004</v>
      </c>
      <c r="Z6187" s="508">
        <v>0.627</v>
      </c>
      <c r="AA6187" s="508">
        <v>2.8000000000000001E-2</v>
      </c>
      <c r="AB6187" s="508">
        <v>2.4E-2</v>
      </c>
      <c r="AC6187" s="508">
        <v>2.4E-2</v>
      </c>
      <c r="AD6187" s="508">
        <v>0.02</v>
      </c>
      <c r="AE6187" s="508">
        <v>0.02</v>
      </c>
      <c r="AF6187" s="508">
        <v>1.6E-2</v>
      </c>
      <c r="AG6187" s="508">
        <v>1.6E-2</v>
      </c>
      <c r="AH6187" s="508">
        <v>1.6E-2</v>
      </c>
      <c r="AI6187" s="492">
        <v>1.6E-2</v>
      </c>
      <c r="AJ6187" s="485"/>
    </row>
    <row r="6188" spans="2:36">
      <c r="B6188" s="136" t="s">
        <v>482</v>
      </c>
      <c r="C6188" s="132" t="s">
        <v>1378</v>
      </c>
      <c r="D6188" s="132" t="s">
        <v>285</v>
      </c>
      <c r="E6188" s="508">
        <v>2.298</v>
      </c>
      <c r="F6188" s="508">
        <v>2.298</v>
      </c>
      <c r="G6188" s="508">
        <v>2.298</v>
      </c>
      <c r="H6188" s="508">
        <v>0.85399999999999998</v>
      </c>
      <c r="I6188" s="508">
        <v>0.85399999999999998</v>
      </c>
      <c r="J6188" s="508">
        <v>0.85399999999999998</v>
      </c>
      <c r="K6188" s="508">
        <v>1</v>
      </c>
      <c r="L6188" s="508">
        <v>1</v>
      </c>
      <c r="M6188" s="508">
        <v>1</v>
      </c>
      <c r="N6188" s="508">
        <v>1.06</v>
      </c>
      <c r="O6188" s="508">
        <v>1.06</v>
      </c>
      <c r="P6188" s="508">
        <v>1.06</v>
      </c>
      <c r="Q6188" s="508">
        <v>1.06</v>
      </c>
      <c r="R6188" s="508">
        <v>0.77</v>
      </c>
      <c r="S6188" s="508">
        <v>0.77</v>
      </c>
      <c r="T6188" s="508">
        <v>0.77</v>
      </c>
      <c r="U6188" s="508">
        <v>0.76900000000000002</v>
      </c>
      <c r="V6188" s="508">
        <v>0.76900000000000002</v>
      </c>
      <c r="W6188" s="508">
        <v>0.66800000000000004</v>
      </c>
      <c r="X6188" s="508">
        <v>0.66800000000000004</v>
      </c>
      <c r="Y6188" s="508">
        <v>0.66800000000000004</v>
      </c>
      <c r="Z6188" s="508">
        <v>0.627</v>
      </c>
      <c r="AA6188" s="508">
        <v>2.8000000000000001E-2</v>
      </c>
      <c r="AB6188" s="508">
        <v>2.4E-2</v>
      </c>
      <c r="AC6188" s="508">
        <v>2.4E-2</v>
      </c>
      <c r="AD6188" s="508">
        <v>0.02</v>
      </c>
      <c r="AE6188" s="508">
        <v>0.02</v>
      </c>
      <c r="AF6188" s="508">
        <v>1.6E-2</v>
      </c>
      <c r="AG6188" s="508">
        <v>1.6E-2</v>
      </c>
      <c r="AH6188" s="508">
        <v>1.6E-2</v>
      </c>
      <c r="AI6188" s="492">
        <v>1.6E-2</v>
      </c>
      <c r="AJ6188" s="485"/>
    </row>
    <row r="6189" spans="2:36">
      <c r="B6189" s="136" t="s">
        <v>483</v>
      </c>
      <c r="C6189" s="132" t="s">
        <v>1378</v>
      </c>
      <c r="D6189" s="132" t="s">
        <v>285</v>
      </c>
      <c r="E6189" s="508">
        <v>2.2999999999999998</v>
      </c>
      <c r="F6189" s="508">
        <v>2.2999999999999998</v>
      </c>
      <c r="G6189" s="508">
        <v>2.2999999999999998</v>
      </c>
      <c r="H6189" s="508">
        <v>0.875</v>
      </c>
      <c r="I6189" s="508">
        <v>0.875</v>
      </c>
      <c r="J6189" s="508">
        <v>0.875</v>
      </c>
      <c r="K6189" s="508">
        <v>1.0149999999999999</v>
      </c>
      <c r="L6189" s="508">
        <v>1.0149999999999999</v>
      </c>
      <c r="M6189" s="508">
        <v>1.0149999999999999</v>
      </c>
      <c r="N6189" s="508">
        <v>1.0980000000000001</v>
      </c>
      <c r="O6189" s="508">
        <v>1.0980000000000001</v>
      </c>
      <c r="P6189" s="508">
        <v>1.0980000000000001</v>
      </c>
      <c r="Q6189" s="508">
        <v>1.097</v>
      </c>
      <c r="R6189" s="508">
        <v>0.79800000000000004</v>
      </c>
      <c r="S6189" s="508">
        <v>0.79800000000000004</v>
      </c>
      <c r="T6189" s="508">
        <v>0.79800000000000004</v>
      </c>
      <c r="U6189" s="508">
        <v>0.79800000000000004</v>
      </c>
      <c r="V6189" s="508">
        <v>0.79800000000000004</v>
      </c>
      <c r="W6189" s="508">
        <v>0.69199999999999995</v>
      </c>
      <c r="X6189" s="508">
        <v>0.69199999999999995</v>
      </c>
      <c r="Y6189" s="508">
        <v>0.69199999999999995</v>
      </c>
      <c r="Z6189" s="508">
        <v>0.65</v>
      </c>
      <c r="AA6189" s="508">
        <v>2.9000000000000001E-2</v>
      </c>
      <c r="AB6189" s="508">
        <v>2.5000000000000001E-2</v>
      </c>
      <c r="AC6189" s="508">
        <v>2.5000000000000001E-2</v>
      </c>
      <c r="AD6189" s="508">
        <v>2.1000000000000001E-2</v>
      </c>
      <c r="AE6189" s="508">
        <v>2.1000000000000001E-2</v>
      </c>
      <c r="AF6189" s="508">
        <v>1.7000000000000001E-2</v>
      </c>
      <c r="AG6189" s="508">
        <v>1.7000000000000001E-2</v>
      </c>
      <c r="AH6189" s="508">
        <v>1.6E-2</v>
      </c>
      <c r="AI6189" s="492">
        <v>1.6E-2</v>
      </c>
      <c r="AJ6189" s="485"/>
    </row>
    <row r="6190" spans="2:36">
      <c r="B6190" s="136" t="s">
        <v>484</v>
      </c>
      <c r="C6190" s="132" t="s">
        <v>1378</v>
      </c>
      <c r="D6190" s="132" t="s">
        <v>285</v>
      </c>
      <c r="E6190" s="508">
        <v>2.2599999999999998</v>
      </c>
      <c r="F6190" s="508">
        <v>2.2599999999999998</v>
      </c>
      <c r="G6190" s="508">
        <v>2.2599999999999998</v>
      </c>
      <c r="H6190" s="508">
        <v>0.80800000000000005</v>
      </c>
      <c r="I6190" s="508">
        <v>0.80800000000000005</v>
      </c>
      <c r="J6190" s="508">
        <v>0.80800000000000005</v>
      </c>
      <c r="K6190" s="508">
        <v>0.96199999999999997</v>
      </c>
      <c r="L6190" s="508">
        <v>0.96199999999999997</v>
      </c>
      <c r="M6190" s="508">
        <v>0.96199999999999997</v>
      </c>
      <c r="N6190" s="508">
        <v>0.98599999999999999</v>
      </c>
      <c r="O6190" s="508">
        <v>0.98599999999999999</v>
      </c>
      <c r="P6190" s="508">
        <v>0.98599999999999999</v>
      </c>
      <c r="Q6190" s="508">
        <v>0.98599999999999999</v>
      </c>
      <c r="R6190" s="508">
        <v>0.71899999999999997</v>
      </c>
      <c r="S6190" s="508">
        <v>0.71899999999999997</v>
      </c>
      <c r="T6190" s="508">
        <v>0.71899999999999997</v>
      </c>
      <c r="U6190" s="508">
        <v>0.71899999999999997</v>
      </c>
      <c r="V6190" s="508">
        <v>0.71899999999999997</v>
      </c>
      <c r="W6190" s="508">
        <v>0.624</v>
      </c>
      <c r="X6190" s="508">
        <v>0.624</v>
      </c>
      <c r="Y6190" s="508">
        <v>0.624</v>
      </c>
      <c r="Z6190" s="508">
        <v>0.58599999999999997</v>
      </c>
      <c r="AA6190" s="508">
        <v>2.7E-2</v>
      </c>
      <c r="AB6190" s="508">
        <v>2.3E-2</v>
      </c>
      <c r="AC6190" s="508">
        <v>2.3E-2</v>
      </c>
      <c r="AD6190" s="508">
        <v>1.9E-2</v>
      </c>
      <c r="AE6190" s="508">
        <v>1.9E-2</v>
      </c>
      <c r="AF6190" s="508">
        <v>1.4999999999999999E-2</v>
      </c>
      <c r="AG6190" s="508">
        <v>1.4999999999999999E-2</v>
      </c>
      <c r="AH6190" s="508">
        <v>1.4999999999999999E-2</v>
      </c>
      <c r="AI6190" s="492">
        <v>1.4999999999999999E-2</v>
      </c>
      <c r="AJ6190" s="485"/>
    </row>
    <row r="6191" spans="2:36">
      <c r="B6191" s="136" t="s">
        <v>486</v>
      </c>
      <c r="C6191" s="132" t="s">
        <v>1378</v>
      </c>
      <c r="D6191" s="132" t="s">
        <v>285</v>
      </c>
      <c r="E6191" s="508">
        <v>2.29</v>
      </c>
      <c r="F6191" s="508">
        <v>2.29</v>
      </c>
      <c r="G6191" s="508">
        <v>2.29</v>
      </c>
      <c r="H6191" s="508">
        <v>0.85399999999999998</v>
      </c>
      <c r="I6191" s="508">
        <v>0.85399999999999998</v>
      </c>
      <c r="J6191" s="508">
        <v>0.85399999999999998</v>
      </c>
      <c r="K6191" s="508">
        <v>0.999</v>
      </c>
      <c r="L6191" s="508">
        <v>0.999</v>
      </c>
      <c r="M6191" s="508">
        <v>0.999</v>
      </c>
      <c r="N6191" s="508">
        <v>1.0620000000000001</v>
      </c>
      <c r="O6191" s="508">
        <v>1.0620000000000001</v>
      </c>
      <c r="P6191" s="508">
        <v>1.0620000000000001</v>
      </c>
      <c r="Q6191" s="508">
        <v>1.0620000000000001</v>
      </c>
      <c r="R6191" s="508">
        <v>0.77200000000000002</v>
      </c>
      <c r="S6191" s="508">
        <v>0.77200000000000002</v>
      </c>
      <c r="T6191" s="508">
        <v>0.77200000000000002</v>
      </c>
      <c r="U6191" s="508">
        <v>0.77200000000000002</v>
      </c>
      <c r="V6191" s="508">
        <v>0.77200000000000002</v>
      </c>
      <c r="W6191" s="508">
        <v>0.67</v>
      </c>
      <c r="X6191" s="508">
        <v>0.67</v>
      </c>
      <c r="Y6191" s="508">
        <v>0.67</v>
      </c>
      <c r="Z6191" s="508">
        <v>0.629</v>
      </c>
      <c r="AA6191" s="508">
        <v>2.8000000000000001E-2</v>
      </c>
      <c r="AB6191" s="508">
        <v>2.4E-2</v>
      </c>
      <c r="AC6191" s="508">
        <v>2.4E-2</v>
      </c>
      <c r="AD6191" s="508">
        <v>0.02</v>
      </c>
      <c r="AE6191" s="508">
        <v>0.02</v>
      </c>
      <c r="AF6191" s="508">
        <v>1.6E-2</v>
      </c>
      <c r="AG6191" s="508">
        <v>1.6E-2</v>
      </c>
      <c r="AH6191" s="508">
        <v>1.6E-2</v>
      </c>
      <c r="AI6191" s="492">
        <v>1.6E-2</v>
      </c>
      <c r="AJ6191" s="485"/>
    </row>
    <row r="6192" spans="2:36">
      <c r="B6192" s="136" t="s">
        <v>487</v>
      </c>
      <c r="C6192" s="132" t="s">
        <v>1378</v>
      </c>
      <c r="D6192" s="132" t="s">
        <v>285</v>
      </c>
      <c r="E6192" s="508">
        <v>2.3079999999999998</v>
      </c>
      <c r="F6192" s="508">
        <v>2.3079999999999998</v>
      </c>
      <c r="G6192" s="508">
        <v>2.3079999999999998</v>
      </c>
      <c r="H6192" s="508">
        <v>0.86</v>
      </c>
      <c r="I6192" s="508">
        <v>0.86</v>
      </c>
      <c r="J6192" s="508">
        <v>0.86</v>
      </c>
      <c r="K6192" s="508">
        <v>1.008</v>
      </c>
      <c r="L6192" s="508">
        <v>1.008</v>
      </c>
      <c r="M6192" s="508">
        <v>1.008</v>
      </c>
      <c r="N6192" s="508">
        <v>1.0720000000000001</v>
      </c>
      <c r="O6192" s="508">
        <v>1.0720000000000001</v>
      </c>
      <c r="P6192" s="508">
        <v>1.0720000000000001</v>
      </c>
      <c r="Q6192" s="508">
        <v>1.0720000000000001</v>
      </c>
      <c r="R6192" s="508">
        <v>0.77400000000000002</v>
      </c>
      <c r="S6192" s="508">
        <v>0.77400000000000002</v>
      </c>
      <c r="T6192" s="508">
        <v>0.77400000000000002</v>
      </c>
      <c r="U6192" s="508">
        <v>0.77400000000000002</v>
      </c>
      <c r="V6192" s="508">
        <v>0.77400000000000002</v>
      </c>
      <c r="W6192" s="508">
        <v>0.67200000000000004</v>
      </c>
      <c r="X6192" s="508">
        <v>0.67200000000000004</v>
      </c>
      <c r="Y6192" s="508">
        <v>0.67200000000000004</v>
      </c>
      <c r="Z6192" s="508">
        <v>0.63100000000000001</v>
      </c>
      <c r="AA6192" s="508">
        <v>2.9000000000000001E-2</v>
      </c>
      <c r="AB6192" s="508">
        <v>2.5000000000000001E-2</v>
      </c>
      <c r="AC6192" s="508">
        <v>2.5000000000000001E-2</v>
      </c>
      <c r="AD6192" s="508">
        <v>0.02</v>
      </c>
      <c r="AE6192" s="508">
        <v>0.02</v>
      </c>
      <c r="AF6192" s="508">
        <v>1.6E-2</v>
      </c>
      <c r="AG6192" s="508">
        <v>1.6E-2</v>
      </c>
      <c r="AH6192" s="508">
        <v>1.6E-2</v>
      </c>
      <c r="AI6192" s="492">
        <v>1.6E-2</v>
      </c>
      <c r="AJ6192" s="485"/>
    </row>
    <row r="6193" spans="2:36">
      <c r="B6193" s="136" t="s">
        <v>488</v>
      </c>
      <c r="C6193" s="132" t="s">
        <v>1378</v>
      </c>
      <c r="D6193" s="132" t="s">
        <v>285</v>
      </c>
      <c r="E6193" s="508">
        <v>2.2770000000000001</v>
      </c>
      <c r="F6193" s="508">
        <v>2.2770000000000001</v>
      </c>
      <c r="G6193" s="508">
        <v>2.2770000000000001</v>
      </c>
      <c r="H6193" s="508">
        <v>0.82299999999999995</v>
      </c>
      <c r="I6193" s="508">
        <v>0.82199999999999995</v>
      </c>
      <c r="J6193" s="508">
        <v>0.82199999999999995</v>
      </c>
      <c r="K6193" s="508">
        <v>0.97499999999999998</v>
      </c>
      <c r="L6193" s="508">
        <v>0.97499999999999998</v>
      </c>
      <c r="M6193" s="508">
        <v>0.97499999999999998</v>
      </c>
      <c r="N6193" s="508">
        <v>1.0089999999999999</v>
      </c>
      <c r="O6193" s="508">
        <v>1.0089999999999999</v>
      </c>
      <c r="P6193" s="508">
        <v>1.0089999999999999</v>
      </c>
      <c r="Q6193" s="508">
        <v>1.0089999999999999</v>
      </c>
      <c r="R6193" s="508">
        <v>0.73299999999999998</v>
      </c>
      <c r="S6193" s="508">
        <v>0.73299999999999998</v>
      </c>
      <c r="T6193" s="508">
        <v>0.73299999999999998</v>
      </c>
      <c r="U6193" s="508">
        <v>0.73299999999999998</v>
      </c>
      <c r="V6193" s="508">
        <v>0.73299999999999998</v>
      </c>
      <c r="W6193" s="508">
        <v>0.63600000000000001</v>
      </c>
      <c r="X6193" s="508">
        <v>0.63600000000000001</v>
      </c>
      <c r="Y6193" s="508">
        <v>0.63600000000000001</v>
      </c>
      <c r="Z6193" s="508">
        <v>0.59699999999999998</v>
      </c>
      <c r="AA6193" s="508">
        <v>2.7E-2</v>
      </c>
      <c r="AB6193" s="508">
        <v>2.3E-2</v>
      </c>
      <c r="AC6193" s="508">
        <v>2.3E-2</v>
      </c>
      <c r="AD6193" s="508">
        <v>1.9E-2</v>
      </c>
      <c r="AE6193" s="508">
        <v>1.9E-2</v>
      </c>
      <c r="AF6193" s="508">
        <v>1.6E-2</v>
      </c>
      <c r="AG6193" s="508">
        <v>1.4999999999999999E-2</v>
      </c>
      <c r="AH6193" s="508">
        <v>1.4999999999999999E-2</v>
      </c>
      <c r="AI6193" s="492">
        <v>1.4999999999999999E-2</v>
      </c>
      <c r="AJ6193" s="485"/>
    </row>
    <row r="6194" spans="2:36">
      <c r="B6194" s="136" t="s">
        <v>489</v>
      </c>
      <c r="C6194" s="132" t="s">
        <v>1378</v>
      </c>
      <c r="D6194" s="132" t="s">
        <v>285</v>
      </c>
      <c r="E6194" s="508">
        <v>2.2719999999999998</v>
      </c>
      <c r="F6194" s="508">
        <v>2.2719999999999998</v>
      </c>
      <c r="G6194" s="508">
        <v>2.2719999999999998</v>
      </c>
      <c r="H6194" s="508">
        <v>0.83299999999999996</v>
      </c>
      <c r="I6194" s="508">
        <v>0.83299999999999996</v>
      </c>
      <c r="J6194" s="508">
        <v>0.83299999999999996</v>
      </c>
      <c r="K6194" s="508">
        <v>0.98</v>
      </c>
      <c r="L6194" s="508">
        <v>0.98</v>
      </c>
      <c r="M6194" s="508">
        <v>0.98</v>
      </c>
      <c r="N6194" s="508">
        <v>1.0269999999999999</v>
      </c>
      <c r="O6194" s="508">
        <v>1.0269999999999999</v>
      </c>
      <c r="P6194" s="508">
        <v>1.0269999999999999</v>
      </c>
      <c r="Q6194" s="508">
        <v>1.0269999999999999</v>
      </c>
      <c r="R6194" s="508">
        <v>0.75</v>
      </c>
      <c r="S6194" s="508">
        <v>0.75</v>
      </c>
      <c r="T6194" s="508">
        <v>0.75</v>
      </c>
      <c r="U6194" s="508">
        <v>0.75</v>
      </c>
      <c r="V6194" s="508">
        <v>0.75</v>
      </c>
      <c r="W6194" s="508">
        <v>0.65100000000000002</v>
      </c>
      <c r="X6194" s="508">
        <v>0.65100000000000002</v>
      </c>
      <c r="Y6194" s="508">
        <v>0.65100000000000002</v>
      </c>
      <c r="Z6194" s="508">
        <v>0.61099999999999999</v>
      </c>
      <c r="AA6194" s="508">
        <v>2.8000000000000001E-2</v>
      </c>
      <c r="AB6194" s="508">
        <v>2.4E-2</v>
      </c>
      <c r="AC6194" s="508">
        <v>2.4E-2</v>
      </c>
      <c r="AD6194" s="508">
        <v>0.02</v>
      </c>
      <c r="AE6194" s="508">
        <v>0.02</v>
      </c>
      <c r="AF6194" s="508">
        <v>1.6E-2</v>
      </c>
      <c r="AG6194" s="508">
        <v>1.6E-2</v>
      </c>
      <c r="AH6194" s="508">
        <v>1.6E-2</v>
      </c>
      <c r="AI6194" s="492">
        <v>1.6E-2</v>
      </c>
      <c r="AJ6194" s="485"/>
    </row>
    <row r="6195" spans="2:36">
      <c r="B6195" s="136" t="s">
        <v>490</v>
      </c>
      <c r="C6195" s="132" t="s">
        <v>1378</v>
      </c>
      <c r="D6195" s="132" t="s">
        <v>285</v>
      </c>
      <c r="E6195" s="508">
        <v>2.278</v>
      </c>
      <c r="F6195" s="508">
        <v>2.278</v>
      </c>
      <c r="G6195" s="508">
        <v>2.278</v>
      </c>
      <c r="H6195" s="508">
        <v>0.81699999999999995</v>
      </c>
      <c r="I6195" s="508">
        <v>0.81699999999999995</v>
      </c>
      <c r="J6195" s="508">
        <v>0.81699999999999995</v>
      </c>
      <c r="K6195" s="508">
        <v>0.97399999999999998</v>
      </c>
      <c r="L6195" s="508">
        <v>0.97399999999999998</v>
      </c>
      <c r="M6195" s="508">
        <v>0.97399999999999998</v>
      </c>
      <c r="N6195" s="508">
        <v>1.002</v>
      </c>
      <c r="O6195" s="508">
        <v>1.002</v>
      </c>
      <c r="P6195" s="508">
        <v>1.002</v>
      </c>
      <c r="Q6195" s="508">
        <v>1.002</v>
      </c>
      <c r="R6195" s="508">
        <v>0.72099999999999997</v>
      </c>
      <c r="S6195" s="508">
        <v>0.72099999999999997</v>
      </c>
      <c r="T6195" s="508">
        <v>0.72099999999999997</v>
      </c>
      <c r="U6195" s="508">
        <v>0.72099999999999997</v>
      </c>
      <c r="V6195" s="508">
        <v>0.72099999999999997</v>
      </c>
      <c r="W6195" s="508">
        <v>0.626</v>
      </c>
      <c r="X6195" s="508">
        <v>0.626</v>
      </c>
      <c r="Y6195" s="508">
        <v>0.626</v>
      </c>
      <c r="Z6195" s="508">
        <v>0.58799999999999997</v>
      </c>
      <c r="AA6195" s="508">
        <v>2.7E-2</v>
      </c>
      <c r="AB6195" s="508">
        <v>2.3E-2</v>
      </c>
      <c r="AC6195" s="508">
        <v>2.3E-2</v>
      </c>
      <c r="AD6195" s="508">
        <v>1.9E-2</v>
      </c>
      <c r="AE6195" s="508">
        <v>1.9E-2</v>
      </c>
      <c r="AF6195" s="508">
        <v>1.4999999999999999E-2</v>
      </c>
      <c r="AG6195" s="508">
        <v>1.4999999999999999E-2</v>
      </c>
      <c r="AH6195" s="508">
        <v>1.4999999999999999E-2</v>
      </c>
      <c r="AI6195" s="492">
        <v>1.4999999999999999E-2</v>
      </c>
      <c r="AJ6195" s="485"/>
    </row>
    <row r="6196" spans="2:36">
      <c r="B6196" s="136" t="s">
        <v>435</v>
      </c>
      <c r="C6196" s="132" t="s">
        <v>1362</v>
      </c>
      <c r="D6196" s="132" t="s">
        <v>1380</v>
      </c>
      <c r="E6196" s="508">
        <v>1.9E-2</v>
      </c>
      <c r="F6196" s="508">
        <v>1.9E-2</v>
      </c>
      <c r="G6196" s="508">
        <v>1.9E-2</v>
      </c>
      <c r="H6196" s="508">
        <v>1.9E-2</v>
      </c>
      <c r="I6196" s="508">
        <v>1.9E-2</v>
      </c>
      <c r="J6196" s="508">
        <v>1.7999999999999999E-2</v>
      </c>
      <c r="K6196" s="508">
        <v>1.9E-2</v>
      </c>
      <c r="L6196" s="508">
        <v>1.9E-2</v>
      </c>
      <c r="M6196" s="508">
        <v>1.7999999999999999E-2</v>
      </c>
      <c r="N6196" s="508">
        <v>1.9E-2</v>
      </c>
      <c r="O6196" s="508">
        <v>1.9E-2</v>
      </c>
      <c r="P6196" s="508">
        <v>1.9E-2</v>
      </c>
      <c r="Q6196" s="508">
        <v>1.9E-2</v>
      </c>
      <c r="R6196" s="508">
        <v>1.9E-2</v>
      </c>
      <c r="S6196" s="508">
        <v>1.9E-2</v>
      </c>
      <c r="T6196" s="508">
        <v>1.9E-2</v>
      </c>
      <c r="U6196" s="508">
        <v>1.9E-2</v>
      </c>
      <c r="V6196" s="508">
        <v>1.9E-2</v>
      </c>
      <c r="W6196" s="508">
        <v>1.9E-2</v>
      </c>
      <c r="X6196" s="508">
        <v>1.9E-2</v>
      </c>
      <c r="Y6196" s="508">
        <v>1.9E-2</v>
      </c>
      <c r="Z6196" s="508">
        <v>1.9E-2</v>
      </c>
      <c r="AA6196" s="508">
        <v>1.9E-2</v>
      </c>
      <c r="AB6196" s="508">
        <v>1.9E-2</v>
      </c>
      <c r="AC6196" s="508">
        <v>1.9E-2</v>
      </c>
      <c r="AD6196" s="508">
        <v>1.9E-2</v>
      </c>
      <c r="AE6196" s="508">
        <v>1.9E-2</v>
      </c>
      <c r="AF6196" s="508">
        <v>1.9E-2</v>
      </c>
      <c r="AG6196" s="508">
        <v>1.9E-2</v>
      </c>
      <c r="AH6196" s="508">
        <v>1.9E-2</v>
      </c>
      <c r="AI6196" s="492">
        <v>1.9E-2</v>
      </c>
      <c r="AJ6196" s="485"/>
    </row>
    <row r="6197" spans="2:36">
      <c r="B6197" s="136" t="s">
        <v>436</v>
      </c>
      <c r="C6197" s="132" t="s">
        <v>1362</v>
      </c>
      <c r="D6197" s="132" t="s">
        <v>1380</v>
      </c>
      <c r="E6197" s="508">
        <v>1.7000000000000001E-2</v>
      </c>
      <c r="F6197" s="508">
        <v>1.7000000000000001E-2</v>
      </c>
      <c r="G6197" s="508">
        <v>1.7000000000000001E-2</v>
      </c>
      <c r="H6197" s="508">
        <v>1.7000000000000001E-2</v>
      </c>
      <c r="I6197" s="508">
        <v>1.7000000000000001E-2</v>
      </c>
      <c r="J6197" s="508">
        <v>1.6E-2</v>
      </c>
      <c r="K6197" s="508">
        <v>1.7000000000000001E-2</v>
      </c>
      <c r="L6197" s="508">
        <v>1.7000000000000001E-2</v>
      </c>
      <c r="M6197" s="508">
        <v>1.6E-2</v>
      </c>
      <c r="N6197" s="508">
        <v>1.7000000000000001E-2</v>
      </c>
      <c r="O6197" s="508">
        <v>1.7000000000000001E-2</v>
      </c>
      <c r="P6197" s="508">
        <v>1.6E-2</v>
      </c>
      <c r="Q6197" s="508">
        <v>1.7000000000000001E-2</v>
      </c>
      <c r="R6197" s="508">
        <v>1.6E-2</v>
      </c>
      <c r="S6197" s="508">
        <v>1.7000000000000001E-2</v>
      </c>
      <c r="T6197" s="508">
        <v>1.7000000000000001E-2</v>
      </c>
      <c r="U6197" s="508">
        <v>1.7000000000000001E-2</v>
      </c>
      <c r="V6197" s="508">
        <v>1.6E-2</v>
      </c>
      <c r="W6197" s="508">
        <v>1.7000000000000001E-2</v>
      </c>
      <c r="X6197" s="508">
        <v>1.6E-2</v>
      </c>
      <c r="Y6197" s="508">
        <v>1.7000000000000001E-2</v>
      </c>
      <c r="Z6197" s="508">
        <v>1.7000000000000001E-2</v>
      </c>
      <c r="AA6197" s="508">
        <v>1.7000000000000001E-2</v>
      </c>
      <c r="AB6197" s="508">
        <v>1.6E-2</v>
      </c>
      <c r="AC6197" s="508">
        <v>1.7000000000000001E-2</v>
      </c>
      <c r="AD6197" s="508">
        <v>1.7000000000000001E-2</v>
      </c>
      <c r="AE6197" s="508">
        <v>1.7000000000000001E-2</v>
      </c>
      <c r="AF6197" s="508">
        <v>1.7000000000000001E-2</v>
      </c>
      <c r="AG6197" s="508">
        <v>1.7000000000000001E-2</v>
      </c>
      <c r="AH6197" s="508">
        <v>1.7000000000000001E-2</v>
      </c>
      <c r="AI6197" s="492">
        <v>1.7000000000000001E-2</v>
      </c>
      <c r="AJ6197" s="485"/>
    </row>
    <row r="6198" spans="2:36">
      <c r="B6198" s="136" t="s">
        <v>437</v>
      </c>
      <c r="C6198" s="132" t="s">
        <v>1362</v>
      </c>
      <c r="D6198" s="132" t="s">
        <v>1380</v>
      </c>
      <c r="E6198" s="508">
        <v>1.9E-2</v>
      </c>
      <c r="F6198" s="508">
        <v>1.9E-2</v>
      </c>
      <c r="G6198" s="508">
        <v>1.9E-2</v>
      </c>
      <c r="H6198" s="508">
        <v>1.9E-2</v>
      </c>
      <c r="I6198" s="508">
        <v>1.9E-2</v>
      </c>
      <c r="J6198" s="508">
        <v>1.7999999999999999E-2</v>
      </c>
      <c r="K6198" s="508">
        <v>1.9E-2</v>
      </c>
      <c r="L6198" s="508">
        <v>1.9E-2</v>
      </c>
      <c r="M6198" s="508">
        <v>1.9E-2</v>
      </c>
      <c r="N6198" s="508">
        <v>1.9E-2</v>
      </c>
      <c r="O6198" s="508">
        <v>1.9E-2</v>
      </c>
      <c r="P6198" s="508">
        <v>1.9E-2</v>
      </c>
      <c r="Q6198" s="508">
        <v>1.9E-2</v>
      </c>
      <c r="R6198" s="508">
        <v>1.9E-2</v>
      </c>
      <c r="S6198" s="508">
        <v>1.9E-2</v>
      </c>
      <c r="T6198" s="508">
        <v>1.9E-2</v>
      </c>
      <c r="U6198" s="508">
        <v>1.9E-2</v>
      </c>
      <c r="V6198" s="508">
        <v>1.9E-2</v>
      </c>
      <c r="W6198" s="508">
        <v>1.9E-2</v>
      </c>
      <c r="X6198" s="508">
        <v>1.9E-2</v>
      </c>
      <c r="Y6198" s="508">
        <v>1.9E-2</v>
      </c>
      <c r="Z6198" s="508">
        <v>1.9E-2</v>
      </c>
      <c r="AA6198" s="508">
        <v>1.9E-2</v>
      </c>
      <c r="AB6198" s="508">
        <v>1.9E-2</v>
      </c>
      <c r="AC6198" s="508">
        <v>1.9E-2</v>
      </c>
      <c r="AD6198" s="508">
        <v>1.9E-2</v>
      </c>
      <c r="AE6198" s="508">
        <v>1.9E-2</v>
      </c>
      <c r="AF6198" s="508">
        <v>1.9E-2</v>
      </c>
      <c r="AG6198" s="508">
        <v>1.9E-2</v>
      </c>
      <c r="AH6198" s="508">
        <v>1.9E-2</v>
      </c>
      <c r="AI6198" s="492">
        <v>1.9E-2</v>
      </c>
      <c r="AJ6198" s="485"/>
    </row>
    <row r="6199" spans="2:36">
      <c r="B6199" s="136" t="s">
        <v>438</v>
      </c>
      <c r="C6199" s="132" t="s">
        <v>1362</v>
      </c>
      <c r="D6199" s="132" t="s">
        <v>1380</v>
      </c>
      <c r="E6199" s="508">
        <v>1.6E-2</v>
      </c>
      <c r="F6199" s="508">
        <v>1.6E-2</v>
      </c>
      <c r="G6199" s="508">
        <v>1.6E-2</v>
      </c>
      <c r="H6199" s="508">
        <v>1.6E-2</v>
      </c>
      <c r="I6199" s="508">
        <v>1.6E-2</v>
      </c>
      <c r="J6199" s="508">
        <v>1.4999999999999999E-2</v>
      </c>
      <c r="K6199" s="508">
        <v>1.6E-2</v>
      </c>
      <c r="L6199" s="508">
        <v>1.6E-2</v>
      </c>
      <c r="M6199" s="508">
        <v>1.6E-2</v>
      </c>
      <c r="N6199" s="508">
        <v>1.6E-2</v>
      </c>
      <c r="O6199" s="508">
        <v>1.6E-2</v>
      </c>
      <c r="P6199" s="508">
        <v>1.6E-2</v>
      </c>
      <c r="Q6199" s="508">
        <v>1.6E-2</v>
      </c>
      <c r="R6199" s="508">
        <v>1.6E-2</v>
      </c>
      <c r="S6199" s="508">
        <v>1.6E-2</v>
      </c>
      <c r="T6199" s="508">
        <v>1.6E-2</v>
      </c>
      <c r="U6199" s="508">
        <v>1.6E-2</v>
      </c>
      <c r="V6199" s="508">
        <v>1.6E-2</v>
      </c>
      <c r="W6199" s="508">
        <v>1.6E-2</v>
      </c>
      <c r="X6199" s="508">
        <v>1.6E-2</v>
      </c>
      <c r="Y6199" s="508">
        <v>1.6E-2</v>
      </c>
      <c r="Z6199" s="508">
        <v>1.6E-2</v>
      </c>
      <c r="AA6199" s="508">
        <v>1.6E-2</v>
      </c>
      <c r="AB6199" s="508">
        <v>1.6E-2</v>
      </c>
      <c r="AC6199" s="508">
        <v>1.6E-2</v>
      </c>
      <c r="AD6199" s="508">
        <v>1.6E-2</v>
      </c>
      <c r="AE6199" s="508">
        <v>1.6E-2</v>
      </c>
      <c r="AF6199" s="508">
        <v>1.6E-2</v>
      </c>
      <c r="AG6199" s="508">
        <v>1.6E-2</v>
      </c>
      <c r="AH6199" s="508">
        <v>1.6E-2</v>
      </c>
      <c r="AI6199" s="492">
        <v>1.6E-2</v>
      </c>
      <c r="AJ6199" s="485"/>
    </row>
    <row r="6200" spans="2:36">
      <c r="B6200" s="136" t="s">
        <v>439</v>
      </c>
      <c r="C6200" s="132" t="s">
        <v>1362</v>
      </c>
      <c r="D6200" s="132" t="s">
        <v>1380</v>
      </c>
      <c r="E6200" s="508">
        <v>0.02</v>
      </c>
      <c r="F6200" s="508">
        <v>0.02</v>
      </c>
      <c r="G6200" s="508">
        <v>0.02</v>
      </c>
      <c r="H6200" s="508">
        <v>0.02</v>
      </c>
      <c r="I6200" s="508">
        <v>0.02</v>
      </c>
      <c r="J6200" s="508">
        <v>1.9E-2</v>
      </c>
      <c r="K6200" s="508">
        <v>0.02</v>
      </c>
      <c r="L6200" s="508">
        <v>0.02</v>
      </c>
      <c r="M6200" s="508">
        <v>1.9E-2</v>
      </c>
      <c r="N6200" s="508">
        <v>0.02</v>
      </c>
      <c r="O6200" s="508">
        <v>0.02</v>
      </c>
      <c r="P6200" s="508">
        <v>1.9E-2</v>
      </c>
      <c r="Q6200" s="508">
        <v>0.02</v>
      </c>
      <c r="R6200" s="508">
        <v>1.9E-2</v>
      </c>
      <c r="S6200" s="508">
        <v>0.02</v>
      </c>
      <c r="T6200" s="508">
        <v>0.02</v>
      </c>
      <c r="U6200" s="508">
        <v>0.02</v>
      </c>
      <c r="V6200" s="508">
        <v>0.02</v>
      </c>
      <c r="W6200" s="508">
        <v>0.02</v>
      </c>
      <c r="X6200" s="508">
        <v>1.9E-2</v>
      </c>
      <c r="Y6200" s="508">
        <v>0.02</v>
      </c>
      <c r="Z6200" s="508">
        <v>0.02</v>
      </c>
      <c r="AA6200" s="508">
        <v>0.02</v>
      </c>
      <c r="AB6200" s="508">
        <v>1.9E-2</v>
      </c>
      <c r="AC6200" s="508">
        <v>0.02</v>
      </c>
      <c r="AD6200" s="508">
        <v>0.02</v>
      </c>
      <c r="AE6200" s="508">
        <v>0.02</v>
      </c>
      <c r="AF6200" s="508">
        <v>0.02</v>
      </c>
      <c r="AG6200" s="508">
        <v>0.02</v>
      </c>
      <c r="AH6200" s="508">
        <v>0.02</v>
      </c>
      <c r="AI6200" s="492">
        <v>0.02</v>
      </c>
      <c r="AJ6200" s="485"/>
    </row>
    <row r="6201" spans="2:36">
      <c r="B6201" s="136" t="s">
        <v>440</v>
      </c>
      <c r="C6201" s="132" t="s">
        <v>1362</v>
      </c>
      <c r="D6201" s="132" t="s">
        <v>1380</v>
      </c>
      <c r="E6201" s="508">
        <v>1.7999999999999999E-2</v>
      </c>
      <c r="F6201" s="508">
        <v>1.7999999999999999E-2</v>
      </c>
      <c r="G6201" s="508">
        <v>1.9E-2</v>
      </c>
      <c r="H6201" s="508">
        <v>1.9E-2</v>
      </c>
      <c r="I6201" s="508">
        <v>1.7999999999999999E-2</v>
      </c>
      <c r="J6201" s="508">
        <v>1.7999999999999999E-2</v>
      </c>
      <c r="K6201" s="508">
        <v>1.9E-2</v>
      </c>
      <c r="L6201" s="508">
        <v>1.9E-2</v>
      </c>
      <c r="M6201" s="508">
        <v>1.7999999999999999E-2</v>
      </c>
      <c r="N6201" s="508">
        <v>1.7999999999999999E-2</v>
      </c>
      <c r="O6201" s="508">
        <v>1.7999999999999999E-2</v>
      </c>
      <c r="P6201" s="508">
        <v>1.7999999999999999E-2</v>
      </c>
      <c r="Q6201" s="508">
        <v>1.7999999999999999E-2</v>
      </c>
      <c r="R6201" s="508">
        <v>1.7999999999999999E-2</v>
      </c>
      <c r="S6201" s="508">
        <v>1.9E-2</v>
      </c>
      <c r="T6201" s="508">
        <v>1.9E-2</v>
      </c>
      <c r="U6201" s="508">
        <v>1.7999999999999999E-2</v>
      </c>
      <c r="V6201" s="508">
        <v>1.7999999999999999E-2</v>
      </c>
      <c r="W6201" s="508">
        <v>1.7999999999999999E-2</v>
      </c>
      <c r="X6201" s="508">
        <v>1.7999999999999999E-2</v>
      </c>
      <c r="Y6201" s="508">
        <v>1.7999999999999999E-2</v>
      </c>
      <c r="Z6201" s="508">
        <v>1.7999999999999999E-2</v>
      </c>
      <c r="AA6201" s="508">
        <v>1.7999999999999999E-2</v>
      </c>
      <c r="AB6201" s="508">
        <v>1.7999999999999999E-2</v>
      </c>
      <c r="AC6201" s="508">
        <v>1.9E-2</v>
      </c>
      <c r="AD6201" s="508">
        <v>1.9E-2</v>
      </c>
      <c r="AE6201" s="508">
        <v>1.7999999999999999E-2</v>
      </c>
      <c r="AF6201" s="508">
        <v>1.7999999999999999E-2</v>
      </c>
      <c r="AG6201" s="508">
        <v>1.7999999999999999E-2</v>
      </c>
      <c r="AH6201" s="508">
        <v>1.7999999999999999E-2</v>
      </c>
      <c r="AI6201" s="492">
        <v>1.7999999999999999E-2</v>
      </c>
      <c r="AJ6201" s="485"/>
    </row>
    <row r="6202" spans="2:36">
      <c r="B6202" s="136" t="s">
        <v>441</v>
      </c>
      <c r="C6202" s="132" t="s">
        <v>1362</v>
      </c>
      <c r="D6202" s="132" t="s">
        <v>1380</v>
      </c>
      <c r="E6202" s="508">
        <v>0.02</v>
      </c>
      <c r="F6202" s="508">
        <v>0.02</v>
      </c>
      <c r="G6202" s="508">
        <v>0.02</v>
      </c>
      <c r="H6202" s="508">
        <v>0.02</v>
      </c>
      <c r="I6202" s="508">
        <v>0.02</v>
      </c>
      <c r="J6202" s="508">
        <v>1.9E-2</v>
      </c>
      <c r="K6202" s="508">
        <v>0.02</v>
      </c>
      <c r="L6202" s="508">
        <v>0.02</v>
      </c>
      <c r="M6202" s="508">
        <v>0.02</v>
      </c>
      <c r="N6202" s="508">
        <v>0.02</v>
      </c>
      <c r="O6202" s="508">
        <v>0.02</v>
      </c>
      <c r="P6202" s="508">
        <v>0.02</v>
      </c>
      <c r="Q6202" s="508">
        <v>0.02</v>
      </c>
      <c r="R6202" s="508">
        <v>0.02</v>
      </c>
      <c r="S6202" s="508">
        <v>0.02</v>
      </c>
      <c r="T6202" s="508">
        <v>0.02</v>
      </c>
      <c r="U6202" s="508">
        <v>0.02</v>
      </c>
      <c r="V6202" s="508">
        <v>0.02</v>
      </c>
      <c r="W6202" s="508">
        <v>0.02</v>
      </c>
      <c r="X6202" s="508">
        <v>0.02</v>
      </c>
      <c r="Y6202" s="508">
        <v>0.02</v>
      </c>
      <c r="Z6202" s="508">
        <v>0.02</v>
      </c>
      <c r="AA6202" s="508">
        <v>0.02</v>
      </c>
      <c r="AB6202" s="508">
        <v>0.02</v>
      </c>
      <c r="AC6202" s="508">
        <v>0.02</v>
      </c>
      <c r="AD6202" s="508">
        <v>0.02</v>
      </c>
      <c r="AE6202" s="508">
        <v>0.02</v>
      </c>
      <c r="AF6202" s="508">
        <v>0.02</v>
      </c>
      <c r="AG6202" s="508">
        <v>0.02</v>
      </c>
      <c r="AH6202" s="508">
        <v>0.02</v>
      </c>
      <c r="AI6202" s="492">
        <v>0.02</v>
      </c>
      <c r="AJ6202" s="485"/>
    </row>
    <row r="6203" spans="2:36">
      <c r="B6203" s="136" t="s">
        <v>443</v>
      </c>
      <c r="C6203" s="132" t="s">
        <v>1362</v>
      </c>
      <c r="D6203" s="132" t="s">
        <v>1380</v>
      </c>
      <c r="E6203" s="508">
        <v>2.3E-2</v>
      </c>
      <c r="F6203" s="508">
        <v>2.3E-2</v>
      </c>
      <c r="G6203" s="508">
        <v>2.3E-2</v>
      </c>
      <c r="H6203" s="508">
        <v>2.3E-2</v>
      </c>
      <c r="I6203" s="508">
        <v>2.3E-2</v>
      </c>
      <c r="J6203" s="508">
        <v>2.1999999999999999E-2</v>
      </c>
      <c r="K6203" s="508">
        <v>2.3E-2</v>
      </c>
      <c r="L6203" s="508">
        <v>2.3E-2</v>
      </c>
      <c r="M6203" s="508">
        <v>2.1999999999999999E-2</v>
      </c>
      <c r="N6203" s="508">
        <v>2.3E-2</v>
      </c>
      <c r="O6203" s="508">
        <v>2.3E-2</v>
      </c>
      <c r="P6203" s="508">
        <v>2.3E-2</v>
      </c>
      <c r="Q6203" s="508">
        <v>2.3E-2</v>
      </c>
      <c r="R6203" s="508">
        <v>2.3E-2</v>
      </c>
      <c r="S6203" s="508">
        <v>2.3E-2</v>
      </c>
      <c r="T6203" s="508">
        <v>2.3E-2</v>
      </c>
      <c r="U6203" s="508">
        <v>2.3E-2</v>
      </c>
      <c r="V6203" s="508">
        <v>2.3E-2</v>
      </c>
      <c r="W6203" s="508">
        <v>2.3E-2</v>
      </c>
      <c r="X6203" s="508">
        <v>2.3E-2</v>
      </c>
      <c r="Y6203" s="508">
        <v>2.3E-2</v>
      </c>
      <c r="Z6203" s="508">
        <v>2.3E-2</v>
      </c>
      <c r="AA6203" s="508">
        <v>2.3E-2</v>
      </c>
      <c r="AB6203" s="508">
        <v>2.3E-2</v>
      </c>
      <c r="AC6203" s="508">
        <v>2.3E-2</v>
      </c>
      <c r="AD6203" s="508">
        <v>2.3E-2</v>
      </c>
      <c r="AE6203" s="508">
        <v>2.3E-2</v>
      </c>
      <c r="AF6203" s="508">
        <v>2.3E-2</v>
      </c>
      <c r="AG6203" s="508">
        <v>2.3E-2</v>
      </c>
      <c r="AH6203" s="508">
        <v>2.3E-2</v>
      </c>
      <c r="AI6203" s="492">
        <v>2.3E-2</v>
      </c>
      <c r="AJ6203" s="485"/>
    </row>
    <row r="6204" spans="2:36">
      <c r="B6204" s="136" t="s">
        <v>445</v>
      </c>
      <c r="C6204" s="132" t="s">
        <v>1362</v>
      </c>
      <c r="D6204" s="132" t="s">
        <v>1380</v>
      </c>
      <c r="E6204" s="508">
        <v>2.9000000000000001E-2</v>
      </c>
      <c r="F6204" s="508">
        <v>2.9000000000000001E-2</v>
      </c>
      <c r="G6204" s="508">
        <v>2.9000000000000001E-2</v>
      </c>
      <c r="H6204" s="508">
        <v>2.9000000000000001E-2</v>
      </c>
      <c r="I6204" s="508">
        <v>2.9000000000000001E-2</v>
      </c>
      <c r="J6204" s="508">
        <v>2.8000000000000001E-2</v>
      </c>
      <c r="K6204" s="508">
        <v>2.9000000000000001E-2</v>
      </c>
      <c r="L6204" s="508">
        <v>2.9000000000000001E-2</v>
      </c>
      <c r="M6204" s="508">
        <v>2.8000000000000001E-2</v>
      </c>
      <c r="N6204" s="508">
        <v>2.9000000000000001E-2</v>
      </c>
      <c r="O6204" s="508">
        <v>2.9000000000000001E-2</v>
      </c>
      <c r="P6204" s="508">
        <v>2.9000000000000001E-2</v>
      </c>
      <c r="Q6204" s="508">
        <v>2.9000000000000001E-2</v>
      </c>
      <c r="R6204" s="508">
        <v>2.9000000000000001E-2</v>
      </c>
      <c r="S6204" s="508">
        <v>2.9000000000000001E-2</v>
      </c>
      <c r="T6204" s="508">
        <v>2.9000000000000001E-2</v>
      </c>
      <c r="U6204" s="508">
        <v>2.9000000000000001E-2</v>
      </c>
      <c r="V6204" s="508">
        <v>2.9000000000000001E-2</v>
      </c>
      <c r="W6204" s="508">
        <v>2.9000000000000001E-2</v>
      </c>
      <c r="X6204" s="508">
        <v>2.9000000000000001E-2</v>
      </c>
      <c r="Y6204" s="508">
        <v>2.9000000000000001E-2</v>
      </c>
      <c r="Z6204" s="508">
        <v>2.9000000000000001E-2</v>
      </c>
      <c r="AA6204" s="508">
        <v>2.9000000000000001E-2</v>
      </c>
      <c r="AB6204" s="508">
        <v>2.9000000000000001E-2</v>
      </c>
      <c r="AC6204" s="508">
        <v>2.9000000000000001E-2</v>
      </c>
      <c r="AD6204" s="508">
        <v>2.9000000000000001E-2</v>
      </c>
      <c r="AE6204" s="508">
        <v>2.9000000000000001E-2</v>
      </c>
      <c r="AF6204" s="508">
        <v>2.9000000000000001E-2</v>
      </c>
      <c r="AG6204" s="508">
        <v>2.9000000000000001E-2</v>
      </c>
      <c r="AH6204" s="508">
        <v>2.9000000000000001E-2</v>
      </c>
      <c r="AI6204" s="492">
        <v>2.9000000000000001E-2</v>
      </c>
      <c r="AJ6204" s="485"/>
    </row>
    <row r="6205" spans="2:36">
      <c r="B6205" s="136" t="s">
        <v>446</v>
      </c>
      <c r="C6205" s="132" t="s">
        <v>1362</v>
      </c>
      <c r="D6205" s="132" t="s">
        <v>1380</v>
      </c>
      <c r="E6205" s="508">
        <v>2.4E-2</v>
      </c>
      <c r="F6205" s="508">
        <v>2.4E-2</v>
      </c>
      <c r="G6205" s="508">
        <v>2.4E-2</v>
      </c>
      <c r="H6205" s="508">
        <v>2.4E-2</v>
      </c>
      <c r="I6205" s="508">
        <v>2.4E-2</v>
      </c>
      <c r="J6205" s="508">
        <v>2.3E-2</v>
      </c>
      <c r="K6205" s="508">
        <v>2.4E-2</v>
      </c>
      <c r="L6205" s="508">
        <v>2.4E-2</v>
      </c>
      <c r="M6205" s="508">
        <v>2.3E-2</v>
      </c>
      <c r="N6205" s="508">
        <v>2.4E-2</v>
      </c>
      <c r="O6205" s="508">
        <v>2.4E-2</v>
      </c>
      <c r="P6205" s="508">
        <v>2.3E-2</v>
      </c>
      <c r="Q6205" s="508">
        <v>2.4E-2</v>
      </c>
      <c r="R6205" s="508">
        <v>2.3E-2</v>
      </c>
      <c r="S6205" s="508">
        <v>2.4E-2</v>
      </c>
      <c r="T6205" s="508">
        <v>2.4E-2</v>
      </c>
      <c r="U6205" s="508">
        <v>2.4E-2</v>
      </c>
      <c r="V6205" s="508">
        <v>2.3E-2</v>
      </c>
      <c r="W6205" s="508">
        <v>2.4E-2</v>
      </c>
      <c r="X6205" s="508">
        <v>2.3E-2</v>
      </c>
      <c r="Y6205" s="508">
        <v>2.3E-2</v>
      </c>
      <c r="Z6205" s="508">
        <v>2.4E-2</v>
      </c>
      <c r="AA6205" s="508">
        <v>2.3E-2</v>
      </c>
      <c r="AB6205" s="508">
        <v>2.3E-2</v>
      </c>
      <c r="AC6205" s="508">
        <v>2.4E-2</v>
      </c>
      <c r="AD6205" s="508">
        <v>2.4E-2</v>
      </c>
      <c r="AE6205" s="508">
        <v>2.3E-2</v>
      </c>
      <c r="AF6205" s="508">
        <v>2.3E-2</v>
      </c>
      <c r="AG6205" s="508">
        <v>2.3E-2</v>
      </c>
      <c r="AH6205" s="508">
        <v>2.3E-2</v>
      </c>
      <c r="AI6205" s="492">
        <v>2.3E-2</v>
      </c>
      <c r="AJ6205" s="485"/>
    </row>
    <row r="6206" spans="2:36">
      <c r="B6206" s="136" t="s">
        <v>448</v>
      </c>
      <c r="C6206" s="132" t="s">
        <v>1362</v>
      </c>
      <c r="D6206" s="132" t="s">
        <v>1380</v>
      </c>
      <c r="E6206" s="508">
        <v>0.26400000000000001</v>
      </c>
      <c r="F6206" s="508">
        <v>0.315</v>
      </c>
      <c r="G6206" s="508">
        <v>8.2000000000000003E-2</v>
      </c>
      <c r="H6206" s="508">
        <v>0.14699999999999999</v>
      </c>
      <c r="I6206" s="508">
        <v>0.106</v>
      </c>
      <c r="J6206" s="508">
        <v>8.7999999999999995E-2</v>
      </c>
      <c r="K6206" s="508">
        <v>5.2999999999999999E-2</v>
      </c>
      <c r="L6206" s="508">
        <v>5.0999999999999997E-2</v>
      </c>
      <c r="M6206" s="508">
        <v>3.6999999999999998E-2</v>
      </c>
      <c r="N6206" s="508">
        <v>2.9000000000000001E-2</v>
      </c>
      <c r="O6206" s="508">
        <v>2.1999999999999999E-2</v>
      </c>
      <c r="P6206" s="508">
        <v>1.4E-2</v>
      </c>
      <c r="Q6206" s="508">
        <v>2.5999999999999999E-2</v>
      </c>
      <c r="R6206" s="508">
        <v>8.0000000000000002E-3</v>
      </c>
      <c r="S6206" s="508">
        <v>1.2E-2</v>
      </c>
      <c r="T6206" s="508">
        <v>0.01</v>
      </c>
      <c r="U6206" s="508">
        <v>8.9999999999999993E-3</v>
      </c>
      <c r="V6206" s="508">
        <v>1.4E-2</v>
      </c>
      <c r="W6206" s="508">
        <v>0.01</v>
      </c>
      <c r="X6206" s="508">
        <v>1.2E-2</v>
      </c>
      <c r="Y6206" s="508">
        <v>6.0000000000000001E-3</v>
      </c>
      <c r="Z6206" s="508">
        <v>7.0000000000000001E-3</v>
      </c>
      <c r="AA6206" s="508">
        <v>4.0000000000000001E-3</v>
      </c>
      <c r="AB6206" s="508">
        <v>1.4E-2</v>
      </c>
      <c r="AC6206" s="508">
        <v>5.0000000000000001E-3</v>
      </c>
      <c r="AD6206" s="508">
        <v>7.0000000000000001E-3</v>
      </c>
      <c r="AE6206" s="508">
        <v>0.01</v>
      </c>
      <c r="AF6206" s="508">
        <v>1.9E-2</v>
      </c>
      <c r="AG6206" s="508">
        <v>0.02</v>
      </c>
      <c r="AH6206" s="508">
        <v>0.02</v>
      </c>
      <c r="AI6206" s="492">
        <v>1.9E-2</v>
      </c>
      <c r="AJ6206" s="485"/>
    </row>
    <row r="6207" spans="2:36">
      <c r="B6207" s="136" t="s">
        <v>449</v>
      </c>
      <c r="C6207" s="132" t="s">
        <v>1362</v>
      </c>
      <c r="D6207" s="132" t="s">
        <v>1380</v>
      </c>
      <c r="E6207" s="508">
        <v>2.3E-2</v>
      </c>
      <c r="F6207" s="508">
        <v>2.3E-2</v>
      </c>
      <c r="G6207" s="508">
        <v>2.3E-2</v>
      </c>
      <c r="H6207" s="508">
        <v>2.3E-2</v>
      </c>
      <c r="I6207" s="508">
        <v>2.3E-2</v>
      </c>
      <c r="J6207" s="508">
        <v>2.1999999999999999E-2</v>
      </c>
      <c r="K6207" s="508">
        <v>2.3E-2</v>
      </c>
      <c r="L6207" s="508">
        <v>2.3E-2</v>
      </c>
      <c r="M6207" s="508">
        <v>2.3E-2</v>
      </c>
      <c r="N6207" s="508">
        <v>2.3E-2</v>
      </c>
      <c r="O6207" s="508">
        <v>2.3E-2</v>
      </c>
      <c r="P6207" s="508">
        <v>2.3E-2</v>
      </c>
      <c r="Q6207" s="508">
        <v>2.3E-2</v>
      </c>
      <c r="R6207" s="508">
        <v>2.3E-2</v>
      </c>
      <c r="S6207" s="508">
        <v>2.3E-2</v>
      </c>
      <c r="T6207" s="508">
        <v>2.3E-2</v>
      </c>
      <c r="U6207" s="508">
        <v>2.3E-2</v>
      </c>
      <c r="V6207" s="508">
        <v>2.3E-2</v>
      </c>
      <c r="W6207" s="508">
        <v>2.3E-2</v>
      </c>
      <c r="X6207" s="508">
        <v>2.3E-2</v>
      </c>
      <c r="Y6207" s="508">
        <v>2.3E-2</v>
      </c>
      <c r="Z6207" s="508">
        <v>2.3E-2</v>
      </c>
      <c r="AA6207" s="508">
        <v>2.3E-2</v>
      </c>
      <c r="AB6207" s="508">
        <v>2.3E-2</v>
      </c>
      <c r="AC6207" s="508">
        <v>2.3E-2</v>
      </c>
      <c r="AD6207" s="508">
        <v>2.3E-2</v>
      </c>
      <c r="AE6207" s="508">
        <v>2.3E-2</v>
      </c>
      <c r="AF6207" s="508">
        <v>2.3E-2</v>
      </c>
      <c r="AG6207" s="508">
        <v>2.3E-2</v>
      </c>
      <c r="AH6207" s="508">
        <v>2.3E-2</v>
      </c>
      <c r="AI6207" s="492">
        <v>2.3E-2</v>
      </c>
      <c r="AJ6207" s="485"/>
    </row>
    <row r="6208" spans="2:36">
      <c r="B6208" s="136" t="s">
        <v>450</v>
      </c>
      <c r="C6208" s="132" t="s">
        <v>1362</v>
      </c>
      <c r="D6208" s="132" t="s">
        <v>1380</v>
      </c>
      <c r="E6208" s="508">
        <v>1.7000000000000001E-2</v>
      </c>
      <c r="F6208" s="508">
        <v>1.7000000000000001E-2</v>
      </c>
      <c r="G6208" s="508">
        <v>1.7000000000000001E-2</v>
      </c>
      <c r="H6208" s="508">
        <v>1.7000000000000001E-2</v>
      </c>
      <c r="I6208" s="508">
        <v>1.7000000000000001E-2</v>
      </c>
      <c r="J6208" s="508">
        <v>1.6E-2</v>
      </c>
      <c r="K6208" s="508">
        <v>1.7000000000000001E-2</v>
      </c>
      <c r="L6208" s="508">
        <v>1.7000000000000001E-2</v>
      </c>
      <c r="M6208" s="508">
        <v>1.7000000000000001E-2</v>
      </c>
      <c r="N6208" s="508">
        <v>1.7000000000000001E-2</v>
      </c>
      <c r="O6208" s="508">
        <v>1.7000000000000001E-2</v>
      </c>
      <c r="P6208" s="508">
        <v>1.7000000000000001E-2</v>
      </c>
      <c r="Q6208" s="508">
        <v>1.7000000000000001E-2</v>
      </c>
      <c r="R6208" s="508">
        <v>1.7000000000000001E-2</v>
      </c>
      <c r="S6208" s="508">
        <v>1.7000000000000001E-2</v>
      </c>
      <c r="T6208" s="508">
        <v>1.7000000000000001E-2</v>
      </c>
      <c r="U6208" s="508">
        <v>1.7000000000000001E-2</v>
      </c>
      <c r="V6208" s="508">
        <v>1.7000000000000001E-2</v>
      </c>
      <c r="W6208" s="508">
        <v>1.7000000000000001E-2</v>
      </c>
      <c r="X6208" s="508">
        <v>1.7000000000000001E-2</v>
      </c>
      <c r="Y6208" s="508">
        <v>1.7000000000000001E-2</v>
      </c>
      <c r="Z6208" s="508">
        <v>1.7000000000000001E-2</v>
      </c>
      <c r="AA6208" s="508">
        <v>1.7000000000000001E-2</v>
      </c>
      <c r="AB6208" s="508">
        <v>1.7000000000000001E-2</v>
      </c>
      <c r="AC6208" s="508">
        <v>1.7000000000000001E-2</v>
      </c>
      <c r="AD6208" s="508">
        <v>1.7000000000000001E-2</v>
      </c>
      <c r="AE6208" s="508">
        <v>1.7000000000000001E-2</v>
      </c>
      <c r="AF6208" s="508">
        <v>1.7000000000000001E-2</v>
      </c>
      <c r="AG6208" s="508">
        <v>1.7000000000000001E-2</v>
      </c>
      <c r="AH6208" s="508">
        <v>1.7000000000000001E-2</v>
      </c>
      <c r="AI6208" s="492">
        <v>1.7000000000000001E-2</v>
      </c>
      <c r="AJ6208" s="485"/>
    </row>
    <row r="6209" spans="2:36">
      <c r="B6209" s="136" t="s">
        <v>451</v>
      </c>
      <c r="C6209" s="132" t="s">
        <v>1362</v>
      </c>
      <c r="D6209" s="132" t="s">
        <v>1380</v>
      </c>
      <c r="E6209" s="508">
        <v>2.5000000000000001E-2</v>
      </c>
      <c r="F6209" s="508">
        <v>2.5000000000000001E-2</v>
      </c>
      <c r="G6209" s="508">
        <v>2.5000000000000001E-2</v>
      </c>
      <c r="H6209" s="508">
        <v>2.5000000000000001E-2</v>
      </c>
      <c r="I6209" s="508">
        <v>2.5000000000000001E-2</v>
      </c>
      <c r="J6209" s="508">
        <v>2.4E-2</v>
      </c>
      <c r="K6209" s="508">
        <v>2.5000000000000001E-2</v>
      </c>
      <c r="L6209" s="508">
        <v>2.5000000000000001E-2</v>
      </c>
      <c r="M6209" s="508">
        <v>2.4E-2</v>
      </c>
      <c r="N6209" s="508">
        <v>2.5000000000000001E-2</v>
      </c>
      <c r="O6209" s="508">
        <v>2.5000000000000001E-2</v>
      </c>
      <c r="P6209" s="508">
        <v>2.5000000000000001E-2</v>
      </c>
      <c r="Q6209" s="508">
        <v>2.5000000000000001E-2</v>
      </c>
      <c r="R6209" s="508">
        <v>2.5000000000000001E-2</v>
      </c>
      <c r="S6209" s="508">
        <v>2.5000000000000001E-2</v>
      </c>
      <c r="T6209" s="508">
        <v>2.5000000000000001E-2</v>
      </c>
      <c r="U6209" s="508">
        <v>2.5000000000000001E-2</v>
      </c>
      <c r="V6209" s="508">
        <v>2.5000000000000001E-2</v>
      </c>
      <c r="W6209" s="508">
        <v>2.5000000000000001E-2</v>
      </c>
      <c r="X6209" s="508">
        <v>2.5000000000000001E-2</v>
      </c>
      <c r="Y6209" s="508">
        <v>2.5000000000000001E-2</v>
      </c>
      <c r="Z6209" s="508">
        <v>2.5000000000000001E-2</v>
      </c>
      <c r="AA6209" s="508">
        <v>2.5000000000000001E-2</v>
      </c>
      <c r="AB6209" s="508">
        <v>2.5000000000000001E-2</v>
      </c>
      <c r="AC6209" s="508">
        <v>2.5000000000000001E-2</v>
      </c>
      <c r="AD6209" s="508">
        <v>2.5000000000000001E-2</v>
      </c>
      <c r="AE6209" s="508">
        <v>2.5000000000000001E-2</v>
      </c>
      <c r="AF6209" s="508">
        <v>2.5000000000000001E-2</v>
      </c>
      <c r="AG6209" s="508">
        <v>2.5000000000000001E-2</v>
      </c>
      <c r="AH6209" s="508">
        <v>2.5000000000000001E-2</v>
      </c>
      <c r="AI6209" s="492">
        <v>2.5000000000000001E-2</v>
      </c>
      <c r="AJ6209" s="485"/>
    </row>
    <row r="6210" spans="2:36">
      <c r="B6210" s="136" t="s">
        <v>452</v>
      </c>
      <c r="C6210" s="132" t="s">
        <v>1362</v>
      </c>
      <c r="D6210" s="132" t="s">
        <v>1380</v>
      </c>
      <c r="E6210" s="508">
        <v>0.02</v>
      </c>
      <c r="F6210" s="508">
        <v>0.02</v>
      </c>
      <c r="G6210" s="508">
        <v>0.02</v>
      </c>
      <c r="H6210" s="508">
        <v>0.02</v>
      </c>
      <c r="I6210" s="508">
        <v>0.02</v>
      </c>
      <c r="J6210" s="508">
        <v>1.9E-2</v>
      </c>
      <c r="K6210" s="508">
        <v>0.02</v>
      </c>
      <c r="L6210" s="508">
        <v>0.02</v>
      </c>
      <c r="M6210" s="508">
        <v>1.9E-2</v>
      </c>
      <c r="N6210" s="508">
        <v>0.02</v>
      </c>
      <c r="O6210" s="508">
        <v>0.02</v>
      </c>
      <c r="P6210" s="508">
        <v>0.02</v>
      </c>
      <c r="Q6210" s="508">
        <v>0.02</v>
      </c>
      <c r="R6210" s="508">
        <v>0.02</v>
      </c>
      <c r="S6210" s="508">
        <v>0.02</v>
      </c>
      <c r="T6210" s="508">
        <v>0.02</v>
      </c>
      <c r="U6210" s="508">
        <v>0.02</v>
      </c>
      <c r="V6210" s="508">
        <v>0.02</v>
      </c>
      <c r="W6210" s="508">
        <v>0.02</v>
      </c>
      <c r="X6210" s="508">
        <v>0.02</v>
      </c>
      <c r="Y6210" s="508">
        <v>0.02</v>
      </c>
      <c r="Z6210" s="508">
        <v>0.02</v>
      </c>
      <c r="AA6210" s="508">
        <v>0.02</v>
      </c>
      <c r="AB6210" s="508">
        <v>0.02</v>
      </c>
      <c r="AC6210" s="508">
        <v>0.02</v>
      </c>
      <c r="AD6210" s="508">
        <v>0.02</v>
      </c>
      <c r="AE6210" s="508">
        <v>0.02</v>
      </c>
      <c r="AF6210" s="508">
        <v>0.02</v>
      </c>
      <c r="AG6210" s="508">
        <v>0.02</v>
      </c>
      <c r="AH6210" s="508">
        <v>0.02</v>
      </c>
      <c r="AI6210" s="492">
        <v>0.02</v>
      </c>
      <c r="AJ6210" s="485"/>
    </row>
    <row r="6211" spans="2:36">
      <c r="B6211" s="136" t="s">
        <v>453</v>
      </c>
      <c r="C6211" s="132" t="s">
        <v>1362</v>
      </c>
      <c r="D6211" s="132" t="s">
        <v>1380</v>
      </c>
      <c r="E6211" s="508">
        <v>1.6E-2</v>
      </c>
      <c r="F6211" s="508">
        <v>1.6E-2</v>
      </c>
      <c r="G6211" s="508">
        <v>1.6E-2</v>
      </c>
      <c r="H6211" s="508">
        <v>1.7000000000000001E-2</v>
      </c>
      <c r="I6211" s="508">
        <v>1.6E-2</v>
      </c>
      <c r="J6211" s="508">
        <v>1.6E-2</v>
      </c>
      <c r="K6211" s="508">
        <v>1.6E-2</v>
      </c>
      <c r="L6211" s="508">
        <v>1.6E-2</v>
      </c>
      <c r="M6211" s="508">
        <v>1.6E-2</v>
      </c>
      <c r="N6211" s="508">
        <v>1.6E-2</v>
      </c>
      <c r="O6211" s="508">
        <v>1.6E-2</v>
      </c>
      <c r="P6211" s="508">
        <v>1.6E-2</v>
      </c>
      <c r="Q6211" s="508">
        <v>1.6E-2</v>
      </c>
      <c r="R6211" s="508">
        <v>1.6E-2</v>
      </c>
      <c r="S6211" s="508">
        <v>1.6E-2</v>
      </c>
      <c r="T6211" s="508">
        <v>1.6E-2</v>
      </c>
      <c r="U6211" s="508">
        <v>1.6E-2</v>
      </c>
      <c r="V6211" s="508">
        <v>1.6E-2</v>
      </c>
      <c r="W6211" s="508">
        <v>1.6E-2</v>
      </c>
      <c r="X6211" s="508">
        <v>1.6E-2</v>
      </c>
      <c r="Y6211" s="508">
        <v>1.6E-2</v>
      </c>
      <c r="Z6211" s="508">
        <v>1.6E-2</v>
      </c>
      <c r="AA6211" s="508">
        <v>1.6E-2</v>
      </c>
      <c r="AB6211" s="508">
        <v>1.6E-2</v>
      </c>
      <c r="AC6211" s="508">
        <v>1.6E-2</v>
      </c>
      <c r="AD6211" s="508">
        <v>1.6E-2</v>
      </c>
      <c r="AE6211" s="508">
        <v>1.6E-2</v>
      </c>
      <c r="AF6211" s="508">
        <v>1.6E-2</v>
      </c>
      <c r="AG6211" s="508">
        <v>1.6E-2</v>
      </c>
      <c r="AH6211" s="508">
        <v>1.6E-2</v>
      </c>
      <c r="AI6211" s="492">
        <v>1.6E-2</v>
      </c>
      <c r="AJ6211" s="485"/>
    </row>
    <row r="6212" spans="2:36">
      <c r="B6212" s="136" t="s">
        <v>454</v>
      </c>
      <c r="C6212" s="132" t="s">
        <v>1362</v>
      </c>
      <c r="D6212" s="132" t="s">
        <v>1380</v>
      </c>
      <c r="E6212" s="508">
        <v>1.7000000000000001E-2</v>
      </c>
      <c r="F6212" s="508">
        <v>1.7000000000000001E-2</v>
      </c>
      <c r="G6212" s="508">
        <v>1.7000000000000001E-2</v>
      </c>
      <c r="H6212" s="508">
        <v>1.7000000000000001E-2</v>
      </c>
      <c r="I6212" s="508">
        <v>1.7000000000000001E-2</v>
      </c>
      <c r="J6212" s="508">
        <v>1.7000000000000001E-2</v>
      </c>
      <c r="K6212" s="508">
        <v>1.7000000000000001E-2</v>
      </c>
      <c r="L6212" s="508">
        <v>1.7000000000000001E-2</v>
      </c>
      <c r="M6212" s="508">
        <v>1.7000000000000001E-2</v>
      </c>
      <c r="N6212" s="508">
        <v>1.7000000000000001E-2</v>
      </c>
      <c r="O6212" s="508">
        <v>1.7000000000000001E-2</v>
      </c>
      <c r="P6212" s="508">
        <v>1.7000000000000001E-2</v>
      </c>
      <c r="Q6212" s="508">
        <v>1.7000000000000001E-2</v>
      </c>
      <c r="R6212" s="508">
        <v>1.7000000000000001E-2</v>
      </c>
      <c r="S6212" s="508">
        <v>1.7000000000000001E-2</v>
      </c>
      <c r="T6212" s="508">
        <v>1.7000000000000001E-2</v>
      </c>
      <c r="U6212" s="508">
        <v>1.7000000000000001E-2</v>
      </c>
      <c r="V6212" s="508">
        <v>1.7000000000000001E-2</v>
      </c>
      <c r="W6212" s="508">
        <v>1.7000000000000001E-2</v>
      </c>
      <c r="X6212" s="508">
        <v>1.7000000000000001E-2</v>
      </c>
      <c r="Y6212" s="508">
        <v>1.7000000000000001E-2</v>
      </c>
      <c r="Z6212" s="508">
        <v>1.7000000000000001E-2</v>
      </c>
      <c r="AA6212" s="508">
        <v>1.7000000000000001E-2</v>
      </c>
      <c r="AB6212" s="508">
        <v>1.7000000000000001E-2</v>
      </c>
      <c r="AC6212" s="508">
        <v>1.7000000000000001E-2</v>
      </c>
      <c r="AD6212" s="508">
        <v>1.7000000000000001E-2</v>
      </c>
      <c r="AE6212" s="508">
        <v>1.7000000000000001E-2</v>
      </c>
      <c r="AF6212" s="508">
        <v>1.7000000000000001E-2</v>
      </c>
      <c r="AG6212" s="508">
        <v>1.7000000000000001E-2</v>
      </c>
      <c r="AH6212" s="508">
        <v>1.7000000000000001E-2</v>
      </c>
      <c r="AI6212" s="492">
        <v>1.7000000000000001E-2</v>
      </c>
      <c r="AJ6212" s="485"/>
    </row>
    <row r="6213" spans="2:36">
      <c r="B6213" s="136" t="s">
        <v>455</v>
      </c>
      <c r="C6213" s="132" t="s">
        <v>1362</v>
      </c>
      <c r="D6213" s="132" t="s">
        <v>1380</v>
      </c>
      <c r="E6213" s="508">
        <v>1.4999999999999999E-2</v>
      </c>
      <c r="F6213" s="508">
        <v>1.4999999999999999E-2</v>
      </c>
      <c r="G6213" s="508">
        <v>1.4999999999999999E-2</v>
      </c>
      <c r="H6213" s="508">
        <v>1.6E-2</v>
      </c>
      <c r="I6213" s="508">
        <v>1.4999999999999999E-2</v>
      </c>
      <c r="J6213" s="508">
        <v>1.4999999999999999E-2</v>
      </c>
      <c r="K6213" s="508">
        <v>1.4999999999999999E-2</v>
      </c>
      <c r="L6213" s="508">
        <v>1.4999999999999999E-2</v>
      </c>
      <c r="M6213" s="508">
        <v>1.4999999999999999E-2</v>
      </c>
      <c r="N6213" s="508">
        <v>1.4999999999999999E-2</v>
      </c>
      <c r="O6213" s="508">
        <v>1.4999999999999999E-2</v>
      </c>
      <c r="P6213" s="508">
        <v>1.4999999999999999E-2</v>
      </c>
      <c r="Q6213" s="508">
        <v>1.4999999999999999E-2</v>
      </c>
      <c r="R6213" s="508">
        <v>1.4999999999999999E-2</v>
      </c>
      <c r="S6213" s="508">
        <v>1.4999999999999999E-2</v>
      </c>
      <c r="T6213" s="508">
        <v>1.4999999999999999E-2</v>
      </c>
      <c r="U6213" s="508">
        <v>1.4999999999999999E-2</v>
      </c>
      <c r="V6213" s="508">
        <v>1.4999999999999999E-2</v>
      </c>
      <c r="W6213" s="508">
        <v>1.4999999999999999E-2</v>
      </c>
      <c r="X6213" s="508">
        <v>1.4999999999999999E-2</v>
      </c>
      <c r="Y6213" s="508">
        <v>1.4999999999999999E-2</v>
      </c>
      <c r="Z6213" s="508">
        <v>1.4999999999999999E-2</v>
      </c>
      <c r="AA6213" s="508">
        <v>1.4999999999999999E-2</v>
      </c>
      <c r="AB6213" s="508">
        <v>1.4999999999999999E-2</v>
      </c>
      <c r="AC6213" s="508">
        <v>1.4999999999999999E-2</v>
      </c>
      <c r="AD6213" s="508">
        <v>1.4999999999999999E-2</v>
      </c>
      <c r="AE6213" s="508">
        <v>1.4999999999999999E-2</v>
      </c>
      <c r="AF6213" s="508">
        <v>1.4999999999999999E-2</v>
      </c>
      <c r="AG6213" s="508">
        <v>1.4999999999999999E-2</v>
      </c>
      <c r="AH6213" s="508">
        <v>1.4999999999999999E-2</v>
      </c>
      <c r="AI6213" s="492">
        <v>1.4999999999999999E-2</v>
      </c>
      <c r="AJ6213" s="485"/>
    </row>
    <row r="6214" spans="2:36">
      <c r="B6214" s="136" t="s">
        <v>456</v>
      </c>
      <c r="C6214" s="132" t="s">
        <v>1362</v>
      </c>
      <c r="D6214" s="132" t="s">
        <v>1380</v>
      </c>
      <c r="E6214" s="508">
        <v>1.7999999999999999E-2</v>
      </c>
      <c r="F6214" s="508">
        <v>1.7999999999999999E-2</v>
      </c>
      <c r="G6214" s="508">
        <v>1.7999999999999999E-2</v>
      </c>
      <c r="H6214" s="508">
        <v>1.7999999999999999E-2</v>
      </c>
      <c r="I6214" s="508">
        <v>1.7999999999999999E-2</v>
      </c>
      <c r="J6214" s="508">
        <v>1.7000000000000001E-2</v>
      </c>
      <c r="K6214" s="508">
        <v>1.7999999999999999E-2</v>
      </c>
      <c r="L6214" s="508">
        <v>1.7999999999999999E-2</v>
      </c>
      <c r="M6214" s="508">
        <v>1.7999999999999999E-2</v>
      </c>
      <c r="N6214" s="508">
        <v>1.7999999999999999E-2</v>
      </c>
      <c r="O6214" s="508">
        <v>1.7999999999999999E-2</v>
      </c>
      <c r="P6214" s="508">
        <v>1.7999999999999999E-2</v>
      </c>
      <c r="Q6214" s="508">
        <v>1.7999999999999999E-2</v>
      </c>
      <c r="R6214" s="508">
        <v>1.7999999999999999E-2</v>
      </c>
      <c r="S6214" s="508">
        <v>1.7999999999999999E-2</v>
      </c>
      <c r="T6214" s="508">
        <v>1.7999999999999999E-2</v>
      </c>
      <c r="U6214" s="508">
        <v>1.7999999999999999E-2</v>
      </c>
      <c r="V6214" s="508">
        <v>1.7999999999999999E-2</v>
      </c>
      <c r="W6214" s="508">
        <v>1.7999999999999999E-2</v>
      </c>
      <c r="X6214" s="508">
        <v>1.7999999999999999E-2</v>
      </c>
      <c r="Y6214" s="508">
        <v>1.7999999999999999E-2</v>
      </c>
      <c r="Z6214" s="508">
        <v>1.7999999999999999E-2</v>
      </c>
      <c r="AA6214" s="508">
        <v>1.7999999999999999E-2</v>
      </c>
      <c r="AB6214" s="508">
        <v>1.7999999999999999E-2</v>
      </c>
      <c r="AC6214" s="508">
        <v>1.7999999999999999E-2</v>
      </c>
      <c r="AD6214" s="508">
        <v>1.7999999999999999E-2</v>
      </c>
      <c r="AE6214" s="508">
        <v>1.7999999999999999E-2</v>
      </c>
      <c r="AF6214" s="508">
        <v>1.7999999999999999E-2</v>
      </c>
      <c r="AG6214" s="508">
        <v>1.7999999999999999E-2</v>
      </c>
      <c r="AH6214" s="508">
        <v>1.7999999999999999E-2</v>
      </c>
      <c r="AI6214" s="492">
        <v>1.7999999999999999E-2</v>
      </c>
      <c r="AJ6214" s="485"/>
    </row>
    <row r="6215" spans="2:36">
      <c r="B6215" s="136" t="s">
        <v>457</v>
      </c>
      <c r="C6215" s="132" t="s">
        <v>1362</v>
      </c>
      <c r="D6215" s="132" t="s">
        <v>1380</v>
      </c>
      <c r="E6215" s="508">
        <v>1.4999999999999999E-2</v>
      </c>
      <c r="F6215" s="508">
        <v>1.4999999999999999E-2</v>
      </c>
      <c r="G6215" s="508">
        <v>1.4999999999999999E-2</v>
      </c>
      <c r="H6215" s="508">
        <v>1.4999999999999999E-2</v>
      </c>
      <c r="I6215" s="508">
        <v>1.4999999999999999E-2</v>
      </c>
      <c r="J6215" s="508">
        <v>1.4E-2</v>
      </c>
      <c r="K6215" s="508">
        <v>1.4999999999999999E-2</v>
      </c>
      <c r="L6215" s="508">
        <v>1.4999999999999999E-2</v>
      </c>
      <c r="M6215" s="508">
        <v>1.4999999999999999E-2</v>
      </c>
      <c r="N6215" s="508">
        <v>1.4999999999999999E-2</v>
      </c>
      <c r="O6215" s="508">
        <v>1.4999999999999999E-2</v>
      </c>
      <c r="P6215" s="508">
        <v>1.4999999999999999E-2</v>
      </c>
      <c r="Q6215" s="508">
        <v>1.4999999999999999E-2</v>
      </c>
      <c r="R6215" s="508">
        <v>1.4999999999999999E-2</v>
      </c>
      <c r="S6215" s="508">
        <v>1.4999999999999999E-2</v>
      </c>
      <c r="T6215" s="508">
        <v>1.4999999999999999E-2</v>
      </c>
      <c r="U6215" s="508">
        <v>1.4999999999999999E-2</v>
      </c>
      <c r="V6215" s="508">
        <v>1.4999999999999999E-2</v>
      </c>
      <c r="W6215" s="508">
        <v>1.4999999999999999E-2</v>
      </c>
      <c r="X6215" s="508">
        <v>1.4999999999999999E-2</v>
      </c>
      <c r="Y6215" s="508">
        <v>1.4999999999999999E-2</v>
      </c>
      <c r="Z6215" s="508">
        <v>1.4999999999999999E-2</v>
      </c>
      <c r="AA6215" s="508">
        <v>1.4999999999999999E-2</v>
      </c>
      <c r="AB6215" s="508">
        <v>1.4999999999999999E-2</v>
      </c>
      <c r="AC6215" s="508">
        <v>1.4999999999999999E-2</v>
      </c>
      <c r="AD6215" s="508">
        <v>1.4999999999999999E-2</v>
      </c>
      <c r="AE6215" s="508">
        <v>1.4999999999999999E-2</v>
      </c>
      <c r="AF6215" s="508">
        <v>1.4999999999999999E-2</v>
      </c>
      <c r="AG6215" s="508">
        <v>1.4999999999999999E-2</v>
      </c>
      <c r="AH6215" s="508">
        <v>1.4999999999999999E-2</v>
      </c>
      <c r="AI6215" s="492">
        <v>1.4999999999999999E-2</v>
      </c>
      <c r="AJ6215" s="485"/>
    </row>
    <row r="6216" spans="2:36">
      <c r="B6216" s="136" t="s">
        <v>458</v>
      </c>
      <c r="C6216" s="132" t="s">
        <v>1362</v>
      </c>
      <c r="D6216" s="132" t="s">
        <v>1380</v>
      </c>
      <c r="E6216" s="508">
        <v>1.9E-2</v>
      </c>
      <c r="F6216" s="508">
        <v>1.9E-2</v>
      </c>
      <c r="G6216" s="508">
        <v>1.9E-2</v>
      </c>
      <c r="H6216" s="508">
        <v>1.9E-2</v>
      </c>
      <c r="I6216" s="508">
        <v>1.9E-2</v>
      </c>
      <c r="J6216" s="508">
        <v>1.7999999999999999E-2</v>
      </c>
      <c r="K6216" s="508">
        <v>1.9E-2</v>
      </c>
      <c r="L6216" s="508">
        <v>1.9E-2</v>
      </c>
      <c r="M6216" s="508">
        <v>1.7999999999999999E-2</v>
      </c>
      <c r="N6216" s="508">
        <v>1.9E-2</v>
      </c>
      <c r="O6216" s="508">
        <v>1.9E-2</v>
      </c>
      <c r="P6216" s="508">
        <v>1.9E-2</v>
      </c>
      <c r="Q6216" s="508">
        <v>1.9E-2</v>
      </c>
      <c r="R6216" s="508">
        <v>1.9E-2</v>
      </c>
      <c r="S6216" s="508">
        <v>1.9E-2</v>
      </c>
      <c r="T6216" s="508">
        <v>1.9E-2</v>
      </c>
      <c r="U6216" s="508">
        <v>1.9E-2</v>
      </c>
      <c r="V6216" s="508">
        <v>1.9E-2</v>
      </c>
      <c r="W6216" s="508">
        <v>1.9E-2</v>
      </c>
      <c r="X6216" s="508">
        <v>1.9E-2</v>
      </c>
      <c r="Y6216" s="508">
        <v>1.9E-2</v>
      </c>
      <c r="Z6216" s="508">
        <v>1.9E-2</v>
      </c>
      <c r="AA6216" s="508">
        <v>1.9E-2</v>
      </c>
      <c r="AB6216" s="508">
        <v>1.9E-2</v>
      </c>
      <c r="AC6216" s="508">
        <v>1.9E-2</v>
      </c>
      <c r="AD6216" s="508">
        <v>1.9E-2</v>
      </c>
      <c r="AE6216" s="508">
        <v>1.9E-2</v>
      </c>
      <c r="AF6216" s="508">
        <v>1.9E-2</v>
      </c>
      <c r="AG6216" s="508">
        <v>1.9E-2</v>
      </c>
      <c r="AH6216" s="508">
        <v>1.9E-2</v>
      </c>
      <c r="AI6216" s="492">
        <v>1.9E-2</v>
      </c>
      <c r="AJ6216" s="485"/>
    </row>
    <row r="6217" spans="2:36">
      <c r="B6217" s="136" t="s">
        <v>459</v>
      </c>
      <c r="C6217" s="132" t="s">
        <v>1362</v>
      </c>
      <c r="D6217" s="132" t="s">
        <v>1380</v>
      </c>
      <c r="E6217" s="508">
        <v>1.9E-2</v>
      </c>
      <c r="F6217" s="508">
        <v>1.9E-2</v>
      </c>
      <c r="G6217" s="508">
        <v>1.9E-2</v>
      </c>
      <c r="H6217" s="508">
        <v>1.9E-2</v>
      </c>
      <c r="I6217" s="508">
        <v>1.9E-2</v>
      </c>
      <c r="J6217" s="508">
        <v>1.7999999999999999E-2</v>
      </c>
      <c r="K6217" s="508">
        <v>1.9E-2</v>
      </c>
      <c r="L6217" s="508">
        <v>1.9E-2</v>
      </c>
      <c r="M6217" s="508">
        <v>1.7999999999999999E-2</v>
      </c>
      <c r="N6217" s="508">
        <v>1.9E-2</v>
      </c>
      <c r="O6217" s="508">
        <v>1.9E-2</v>
      </c>
      <c r="P6217" s="508">
        <v>1.9E-2</v>
      </c>
      <c r="Q6217" s="508">
        <v>1.9E-2</v>
      </c>
      <c r="R6217" s="508">
        <v>1.9E-2</v>
      </c>
      <c r="S6217" s="508">
        <v>1.9E-2</v>
      </c>
      <c r="T6217" s="508">
        <v>1.9E-2</v>
      </c>
      <c r="U6217" s="508">
        <v>1.9E-2</v>
      </c>
      <c r="V6217" s="508">
        <v>1.9E-2</v>
      </c>
      <c r="W6217" s="508">
        <v>1.9E-2</v>
      </c>
      <c r="X6217" s="508">
        <v>1.9E-2</v>
      </c>
      <c r="Y6217" s="508">
        <v>1.9E-2</v>
      </c>
      <c r="Z6217" s="508">
        <v>1.9E-2</v>
      </c>
      <c r="AA6217" s="508">
        <v>1.9E-2</v>
      </c>
      <c r="AB6217" s="508">
        <v>1.9E-2</v>
      </c>
      <c r="AC6217" s="508">
        <v>1.9E-2</v>
      </c>
      <c r="AD6217" s="508">
        <v>1.9E-2</v>
      </c>
      <c r="AE6217" s="508">
        <v>1.9E-2</v>
      </c>
      <c r="AF6217" s="508">
        <v>1.9E-2</v>
      </c>
      <c r="AG6217" s="508">
        <v>1.9E-2</v>
      </c>
      <c r="AH6217" s="508">
        <v>1.9E-2</v>
      </c>
      <c r="AI6217" s="492">
        <v>1.9E-2</v>
      </c>
      <c r="AJ6217" s="485"/>
    </row>
    <row r="6218" spans="2:36">
      <c r="B6218" s="136" t="s">
        <v>460</v>
      </c>
      <c r="C6218" s="132" t="s">
        <v>1362</v>
      </c>
      <c r="D6218" s="132" t="s">
        <v>1380</v>
      </c>
      <c r="E6218" s="508">
        <v>1.9E-2</v>
      </c>
      <c r="F6218" s="508">
        <v>1.9E-2</v>
      </c>
      <c r="G6218" s="508">
        <v>1.9E-2</v>
      </c>
      <c r="H6218" s="508">
        <v>1.9E-2</v>
      </c>
      <c r="I6218" s="508">
        <v>1.9E-2</v>
      </c>
      <c r="J6218" s="508">
        <v>1.7999999999999999E-2</v>
      </c>
      <c r="K6218" s="508">
        <v>1.9E-2</v>
      </c>
      <c r="L6218" s="508">
        <v>1.9E-2</v>
      </c>
      <c r="M6218" s="508">
        <v>1.7999999999999999E-2</v>
      </c>
      <c r="N6218" s="508">
        <v>1.9E-2</v>
      </c>
      <c r="O6218" s="508">
        <v>1.9E-2</v>
      </c>
      <c r="P6218" s="508">
        <v>1.9E-2</v>
      </c>
      <c r="Q6218" s="508">
        <v>1.9E-2</v>
      </c>
      <c r="R6218" s="508">
        <v>1.9E-2</v>
      </c>
      <c r="S6218" s="508">
        <v>1.9E-2</v>
      </c>
      <c r="T6218" s="508">
        <v>1.9E-2</v>
      </c>
      <c r="U6218" s="508">
        <v>1.9E-2</v>
      </c>
      <c r="V6218" s="508">
        <v>1.9E-2</v>
      </c>
      <c r="W6218" s="508">
        <v>1.9E-2</v>
      </c>
      <c r="X6218" s="508">
        <v>1.9E-2</v>
      </c>
      <c r="Y6218" s="508">
        <v>1.9E-2</v>
      </c>
      <c r="Z6218" s="508">
        <v>1.9E-2</v>
      </c>
      <c r="AA6218" s="508">
        <v>1.9E-2</v>
      </c>
      <c r="AB6218" s="508">
        <v>1.9E-2</v>
      </c>
      <c r="AC6218" s="508">
        <v>1.9E-2</v>
      </c>
      <c r="AD6218" s="508">
        <v>1.9E-2</v>
      </c>
      <c r="AE6218" s="508">
        <v>1.9E-2</v>
      </c>
      <c r="AF6218" s="508">
        <v>1.9E-2</v>
      </c>
      <c r="AG6218" s="508">
        <v>1.9E-2</v>
      </c>
      <c r="AH6218" s="508">
        <v>1.9E-2</v>
      </c>
      <c r="AI6218" s="492">
        <v>1.9E-2</v>
      </c>
      <c r="AJ6218" s="485"/>
    </row>
    <row r="6219" spans="2:36">
      <c r="B6219" s="136" t="s">
        <v>461</v>
      </c>
      <c r="C6219" s="132" t="s">
        <v>1362</v>
      </c>
      <c r="D6219" s="132" t="s">
        <v>1380</v>
      </c>
      <c r="E6219" s="508">
        <v>1.7999999999999999E-2</v>
      </c>
      <c r="F6219" s="508">
        <v>1.7999999999999999E-2</v>
      </c>
      <c r="G6219" s="508">
        <v>1.7999999999999999E-2</v>
      </c>
      <c r="H6219" s="508">
        <v>1.7999999999999999E-2</v>
      </c>
      <c r="I6219" s="508">
        <v>1.7999999999999999E-2</v>
      </c>
      <c r="J6219" s="508">
        <v>1.7999999999999999E-2</v>
      </c>
      <c r="K6219" s="508">
        <v>1.7999999999999999E-2</v>
      </c>
      <c r="L6219" s="508">
        <v>1.7999999999999999E-2</v>
      </c>
      <c r="M6219" s="508">
        <v>1.7999999999999999E-2</v>
      </c>
      <c r="N6219" s="508">
        <v>1.7999999999999999E-2</v>
      </c>
      <c r="O6219" s="508">
        <v>1.7999999999999999E-2</v>
      </c>
      <c r="P6219" s="508">
        <v>1.7999999999999999E-2</v>
      </c>
      <c r="Q6219" s="508">
        <v>1.7999999999999999E-2</v>
      </c>
      <c r="R6219" s="508">
        <v>1.7999999999999999E-2</v>
      </c>
      <c r="S6219" s="508">
        <v>1.7999999999999999E-2</v>
      </c>
      <c r="T6219" s="508">
        <v>1.7999999999999999E-2</v>
      </c>
      <c r="U6219" s="508">
        <v>1.7999999999999999E-2</v>
      </c>
      <c r="V6219" s="508">
        <v>1.7999999999999999E-2</v>
      </c>
      <c r="W6219" s="508">
        <v>1.7999999999999999E-2</v>
      </c>
      <c r="X6219" s="508">
        <v>1.7999999999999999E-2</v>
      </c>
      <c r="Y6219" s="508">
        <v>1.7999999999999999E-2</v>
      </c>
      <c r="Z6219" s="508">
        <v>1.7999999999999999E-2</v>
      </c>
      <c r="AA6219" s="508">
        <v>1.7999999999999999E-2</v>
      </c>
      <c r="AB6219" s="508">
        <v>1.7999999999999999E-2</v>
      </c>
      <c r="AC6219" s="508">
        <v>1.7999999999999999E-2</v>
      </c>
      <c r="AD6219" s="508">
        <v>1.7999999999999999E-2</v>
      </c>
      <c r="AE6219" s="508">
        <v>1.7999999999999999E-2</v>
      </c>
      <c r="AF6219" s="508">
        <v>1.7999999999999999E-2</v>
      </c>
      <c r="AG6219" s="508">
        <v>1.7999999999999999E-2</v>
      </c>
      <c r="AH6219" s="508">
        <v>1.7999999999999999E-2</v>
      </c>
      <c r="AI6219" s="492">
        <v>1.7999999999999999E-2</v>
      </c>
      <c r="AJ6219" s="485"/>
    </row>
    <row r="6220" spans="2:36">
      <c r="B6220" s="136" t="s">
        <v>462</v>
      </c>
      <c r="C6220" s="132" t="s">
        <v>1362</v>
      </c>
      <c r="D6220" s="132" t="s">
        <v>1380</v>
      </c>
      <c r="E6220" s="508">
        <v>1.7000000000000001E-2</v>
      </c>
      <c r="F6220" s="508">
        <v>1.7000000000000001E-2</v>
      </c>
      <c r="G6220" s="508">
        <v>1.7999999999999999E-2</v>
      </c>
      <c r="H6220" s="508">
        <v>1.7999999999999999E-2</v>
      </c>
      <c r="I6220" s="508">
        <v>1.7000000000000001E-2</v>
      </c>
      <c r="J6220" s="508">
        <v>1.7000000000000001E-2</v>
      </c>
      <c r="K6220" s="508">
        <v>1.7000000000000001E-2</v>
      </c>
      <c r="L6220" s="508">
        <v>1.7000000000000001E-2</v>
      </c>
      <c r="M6220" s="508">
        <v>1.7000000000000001E-2</v>
      </c>
      <c r="N6220" s="508">
        <v>1.7000000000000001E-2</v>
      </c>
      <c r="O6220" s="508">
        <v>1.7000000000000001E-2</v>
      </c>
      <c r="P6220" s="508">
        <v>1.7000000000000001E-2</v>
      </c>
      <c r="Q6220" s="508">
        <v>1.7000000000000001E-2</v>
      </c>
      <c r="R6220" s="508">
        <v>1.7000000000000001E-2</v>
      </c>
      <c r="S6220" s="508">
        <v>1.7999999999999999E-2</v>
      </c>
      <c r="T6220" s="508">
        <v>1.7999999999999999E-2</v>
      </c>
      <c r="U6220" s="508">
        <v>1.7000000000000001E-2</v>
      </c>
      <c r="V6220" s="508">
        <v>1.7000000000000001E-2</v>
      </c>
      <c r="W6220" s="508">
        <v>1.7000000000000001E-2</v>
      </c>
      <c r="X6220" s="508">
        <v>1.7000000000000001E-2</v>
      </c>
      <c r="Y6220" s="508">
        <v>1.7000000000000001E-2</v>
      </c>
      <c r="Z6220" s="508">
        <v>1.7000000000000001E-2</v>
      </c>
      <c r="AA6220" s="508">
        <v>1.7000000000000001E-2</v>
      </c>
      <c r="AB6220" s="508">
        <v>1.7000000000000001E-2</v>
      </c>
      <c r="AC6220" s="508">
        <v>1.7000000000000001E-2</v>
      </c>
      <c r="AD6220" s="508">
        <v>1.7000000000000001E-2</v>
      </c>
      <c r="AE6220" s="508">
        <v>1.7000000000000001E-2</v>
      </c>
      <c r="AF6220" s="508">
        <v>1.7000000000000001E-2</v>
      </c>
      <c r="AG6220" s="508">
        <v>1.7000000000000001E-2</v>
      </c>
      <c r="AH6220" s="508">
        <v>1.7000000000000001E-2</v>
      </c>
      <c r="AI6220" s="492">
        <v>1.7000000000000001E-2</v>
      </c>
      <c r="AJ6220" s="485"/>
    </row>
    <row r="6221" spans="2:36">
      <c r="B6221" s="136" t="s">
        <v>463</v>
      </c>
      <c r="C6221" s="132" t="s">
        <v>1362</v>
      </c>
      <c r="D6221" s="132" t="s">
        <v>1380</v>
      </c>
      <c r="E6221" s="508">
        <v>1.6E-2</v>
      </c>
      <c r="F6221" s="508">
        <v>1.6E-2</v>
      </c>
      <c r="G6221" s="508">
        <v>1.6E-2</v>
      </c>
      <c r="H6221" s="508">
        <v>1.6E-2</v>
      </c>
      <c r="I6221" s="508">
        <v>1.4999999999999999E-2</v>
      </c>
      <c r="J6221" s="508">
        <v>1.4999999999999999E-2</v>
      </c>
      <c r="K6221" s="508">
        <v>1.6E-2</v>
      </c>
      <c r="L6221" s="508">
        <v>1.6E-2</v>
      </c>
      <c r="M6221" s="508">
        <v>1.4999999999999999E-2</v>
      </c>
      <c r="N6221" s="508">
        <v>1.6E-2</v>
      </c>
      <c r="O6221" s="508">
        <v>1.4999999999999999E-2</v>
      </c>
      <c r="P6221" s="508">
        <v>1.4999999999999999E-2</v>
      </c>
      <c r="Q6221" s="508">
        <v>1.6E-2</v>
      </c>
      <c r="R6221" s="508">
        <v>1.4999999999999999E-2</v>
      </c>
      <c r="S6221" s="508">
        <v>1.6E-2</v>
      </c>
      <c r="T6221" s="508">
        <v>1.6E-2</v>
      </c>
      <c r="U6221" s="508">
        <v>1.4999999999999999E-2</v>
      </c>
      <c r="V6221" s="508">
        <v>1.4999999999999999E-2</v>
      </c>
      <c r="W6221" s="508">
        <v>1.6E-2</v>
      </c>
      <c r="X6221" s="508">
        <v>1.4999999999999999E-2</v>
      </c>
      <c r="Y6221" s="508">
        <v>1.4999999999999999E-2</v>
      </c>
      <c r="Z6221" s="508">
        <v>1.4999999999999999E-2</v>
      </c>
      <c r="AA6221" s="508">
        <v>1.4999999999999999E-2</v>
      </c>
      <c r="AB6221" s="508">
        <v>1.4999999999999999E-2</v>
      </c>
      <c r="AC6221" s="508">
        <v>1.6E-2</v>
      </c>
      <c r="AD6221" s="508">
        <v>1.6E-2</v>
      </c>
      <c r="AE6221" s="508">
        <v>1.4999999999999999E-2</v>
      </c>
      <c r="AF6221" s="508">
        <v>1.4999999999999999E-2</v>
      </c>
      <c r="AG6221" s="508">
        <v>1.4999999999999999E-2</v>
      </c>
      <c r="AH6221" s="508">
        <v>1.4999999999999999E-2</v>
      </c>
      <c r="AI6221" s="492">
        <v>1.4999999999999999E-2</v>
      </c>
      <c r="AJ6221" s="485"/>
    </row>
    <row r="6222" spans="2:36">
      <c r="B6222" s="136" t="s">
        <v>464</v>
      </c>
      <c r="C6222" s="132" t="s">
        <v>1362</v>
      </c>
      <c r="D6222" s="132" t="s">
        <v>1380</v>
      </c>
      <c r="E6222" s="508">
        <v>1.4999999999999999E-2</v>
      </c>
      <c r="F6222" s="508">
        <v>1.4999999999999999E-2</v>
      </c>
      <c r="G6222" s="508">
        <v>1.4999999999999999E-2</v>
      </c>
      <c r="H6222" s="508">
        <v>1.4999999999999999E-2</v>
      </c>
      <c r="I6222" s="508">
        <v>1.4999999999999999E-2</v>
      </c>
      <c r="J6222" s="508">
        <v>1.4E-2</v>
      </c>
      <c r="K6222" s="508">
        <v>1.4999999999999999E-2</v>
      </c>
      <c r="L6222" s="508">
        <v>1.4999999999999999E-2</v>
      </c>
      <c r="M6222" s="508">
        <v>1.4E-2</v>
      </c>
      <c r="N6222" s="508">
        <v>1.4999999999999999E-2</v>
      </c>
      <c r="O6222" s="508">
        <v>1.4999999999999999E-2</v>
      </c>
      <c r="P6222" s="508">
        <v>1.4E-2</v>
      </c>
      <c r="Q6222" s="508">
        <v>1.4999999999999999E-2</v>
      </c>
      <c r="R6222" s="508">
        <v>1.4E-2</v>
      </c>
      <c r="S6222" s="508">
        <v>1.4999999999999999E-2</v>
      </c>
      <c r="T6222" s="508">
        <v>1.4999999999999999E-2</v>
      </c>
      <c r="U6222" s="508">
        <v>1.4999999999999999E-2</v>
      </c>
      <c r="V6222" s="508">
        <v>1.4E-2</v>
      </c>
      <c r="W6222" s="508">
        <v>1.4999999999999999E-2</v>
      </c>
      <c r="X6222" s="508">
        <v>1.4E-2</v>
      </c>
      <c r="Y6222" s="508">
        <v>1.4999999999999999E-2</v>
      </c>
      <c r="Z6222" s="508">
        <v>1.4999999999999999E-2</v>
      </c>
      <c r="AA6222" s="508">
        <v>1.4999999999999999E-2</v>
      </c>
      <c r="AB6222" s="508">
        <v>1.4E-2</v>
      </c>
      <c r="AC6222" s="508">
        <v>1.4999999999999999E-2</v>
      </c>
      <c r="AD6222" s="508">
        <v>1.4999999999999999E-2</v>
      </c>
      <c r="AE6222" s="508">
        <v>1.4999999999999999E-2</v>
      </c>
      <c r="AF6222" s="508">
        <v>1.4999999999999999E-2</v>
      </c>
      <c r="AG6222" s="508">
        <v>1.4999999999999999E-2</v>
      </c>
      <c r="AH6222" s="508">
        <v>1.4999999999999999E-2</v>
      </c>
      <c r="AI6222" s="492">
        <v>1.4999999999999999E-2</v>
      </c>
      <c r="AJ6222" s="485"/>
    </row>
    <row r="6223" spans="2:36">
      <c r="B6223" s="136" t="s">
        <v>465</v>
      </c>
      <c r="C6223" s="132" t="s">
        <v>1362</v>
      </c>
      <c r="D6223" s="132" t="s">
        <v>1380</v>
      </c>
      <c r="E6223" s="508">
        <v>1.6E-2</v>
      </c>
      <c r="F6223" s="508">
        <v>1.4999999999999999E-2</v>
      </c>
      <c r="G6223" s="508">
        <v>1.6E-2</v>
      </c>
      <c r="H6223" s="508">
        <v>1.6E-2</v>
      </c>
      <c r="I6223" s="508">
        <v>1.4999999999999999E-2</v>
      </c>
      <c r="J6223" s="508">
        <v>1.4999999999999999E-2</v>
      </c>
      <c r="K6223" s="508">
        <v>1.6E-2</v>
      </c>
      <c r="L6223" s="508">
        <v>1.6E-2</v>
      </c>
      <c r="M6223" s="508">
        <v>1.4999999999999999E-2</v>
      </c>
      <c r="N6223" s="508">
        <v>1.4999999999999999E-2</v>
      </c>
      <c r="O6223" s="508">
        <v>1.4999999999999999E-2</v>
      </c>
      <c r="P6223" s="508">
        <v>1.4999999999999999E-2</v>
      </c>
      <c r="Q6223" s="508">
        <v>1.4999999999999999E-2</v>
      </c>
      <c r="R6223" s="508">
        <v>1.4999999999999999E-2</v>
      </c>
      <c r="S6223" s="508">
        <v>1.6E-2</v>
      </c>
      <c r="T6223" s="508">
        <v>1.6E-2</v>
      </c>
      <c r="U6223" s="508">
        <v>1.4999999999999999E-2</v>
      </c>
      <c r="V6223" s="508">
        <v>1.4999999999999999E-2</v>
      </c>
      <c r="W6223" s="508">
        <v>1.4999999999999999E-2</v>
      </c>
      <c r="X6223" s="508">
        <v>1.4999999999999999E-2</v>
      </c>
      <c r="Y6223" s="508">
        <v>1.4999999999999999E-2</v>
      </c>
      <c r="Z6223" s="508">
        <v>1.4999999999999999E-2</v>
      </c>
      <c r="AA6223" s="508">
        <v>1.4999999999999999E-2</v>
      </c>
      <c r="AB6223" s="508">
        <v>1.4999999999999999E-2</v>
      </c>
      <c r="AC6223" s="508">
        <v>1.6E-2</v>
      </c>
      <c r="AD6223" s="508">
        <v>1.6E-2</v>
      </c>
      <c r="AE6223" s="508">
        <v>1.4999999999999999E-2</v>
      </c>
      <c r="AF6223" s="508">
        <v>1.4999999999999999E-2</v>
      </c>
      <c r="AG6223" s="508">
        <v>1.4999999999999999E-2</v>
      </c>
      <c r="AH6223" s="508">
        <v>1.4999999999999999E-2</v>
      </c>
      <c r="AI6223" s="492">
        <v>1.4999999999999999E-2</v>
      </c>
      <c r="AJ6223" s="485"/>
    </row>
    <row r="6224" spans="2:36">
      <c r="B6224" s="136" t="s">
        <v>466</v>
      </c>
      <c r="C6224" s="132" t="s">
        <v>1362</v>
      </c>
      <c r="D6224" s="132" t="s">
        <v>1380</v>
      </c>
      <c r="E6224" s="508">
        <v>2.1000000000000001E-2</v>
      </c>
      <c r="F6224" s="508">
        <v>2.1000000000000001E-2</v>
      </c>
      <c r="G6224" s="508">
        <v>2.1000000000000001E-2</v>
      </c>
      <c r="H6224" s="508">
        <v>2.1000000000000001E-2</v>
      </c>
      <c r="I6224" s="508">
        <v>2.1000000000000001E-2</v>
      </c>
      <c r="J6224" s="508">
        <v>0.02</v>
      </c>
      <c r="K6224" s="508">
        <v>2.1000000000000001E-2</v>
      </c>
      <c r="L6224" s="508">
        <v>2.1000000000000001E-2</v>
      </c>
      <c r="M6224" s="508">
        <v>2.1000000000000001E-2</v>
      </c>
      <c r="N6224" s="508">
        <v>2.1000000000000001E-2</v>
      </c>
      <c r="O6224" s="508">
        <v>2.1000000000000001E-2</v>
      </c>
      <c r="P6224" s="508">
        <v>2.1000000000000001E-2</v>
      </c>
      <c r="Q6224" s="508">
        <v>2.1000000000000001E-2</v>
      </c>
      <c r="R6224" s="508">
        <v>2.1000000000000001E-2</v>
      </c>
      <c r="S6224" s="508">
        <v>2.1000000000000001E-2</v>
      </c>
      <c r="T6224" s="508">
        <v>2.1000000000000001E-2</v>
      </c>
      <c r="U6224" s="508">
        <v>2.1000000000000001E-2</v>
      </c>
      <c r="V6224" s="508">
        <v>2.1000000000000001E-2</v>
      </c>
      <c r="W6224" s="508">
        <v>2.1000000000000001E-2</v>
      </c>
      <c r="X6224" s="508">
        <v>2.1000000000000001E-2</v>
      </c>
      <c r="Y6224" s="508">
        <v>2.1000000000000001E-2</v>
      </c>
      <c r="Z6224" s="508">
        <v>2.1000000000000001E-2</v>
      </c>
      <c r="AA6224" s="508">
        <v>2.1000000000000001E-2</v>
      </c>
      <c r="AB6224" s="508">
        <v>2.1000000000000001E-2</v>
      </c>
      <c r="AC6224" s="508">
        <v>2.1000000000000001E-2</v>
      </c>
      <c r="AD6224" s="508">
        <v>2.1000000000000001E-2</v>
      </c>
      <c r="AE6224" s="508">
        <v>2.1000000000000001E-2</v>
      </c>
      <c r="AF6224" s="508">
        <v>2.1000000000000001E-2</v>
      </c>
      <c r="AG6224" s="508">
        <v>2.1000000000000001E-2</v>
      </c>
      <c r="AH6224" s="508">
        <v>2.1000000000000001E-2</v>
      </c>
      <c r="AI6224" s="492">
        <v>2.1000000000000001E-2</v>
      </c>
      <c r="AJ6224" s="485"/>
    </row>
    <row r="6225" spans="2:36">
      <c r="B6225" s="136" t="s">
        <v>467</v>
      </c>
      <c r="C6225" s="132" t="s">
        <v>1362</v>
      </c>
      <c r="D6225" s="132" t="s">
        <v>1380</v>
      </c>
      <c r="E6225" s="508">
        <v>1.7999999999999999E-2</v>
      </c>
      <c r="F6225" s="508">
        <v>1.7999999999999999E-2</v>
      </c>
      <c r="G6225" s="508">
        <v>1.7999999999999999E-2</v>
      </c>
      <c r="H6225" s="508">
        <v>1.7999999999999999E-2</v>
      </c>
      <c r="I6225" s="508">
        <v>1.7999999999999999E-2</v>
      </c>
      <c r="J6225" s="508">
        <v>1.7000000000000001E-2</v>
      </c>
      <c r="K6225" s="508">
        <v>1.7999999999999999E-2</v>
      </c>
      <c r="L6225" s="508">
        <v>1.7999999999999999E-2</v>
      </c>
      <c r="M6225" s="508">
        <v>1.7000000000000001E-2</v>
      </c>
      <c r="N6225" s="508">
        <v>1.7999999999999999E-2</v>
      </c>
      <c r="O6225" s="508">
        <v>1.7999999999999999E-2</v>
      </c>
      <c r="P6225" s="508">
        <v>1.7999999999999999E-2</v>
      </c>
      <c r="Q6225" s="508">
        <v>1.7999999999999999E-2</v>
      </c>
      <c r="R6225" s="508">
        <v>1.7999999999999999E-2</v>
      </c>
      <c r="S6225" s="508">
        <v>1.7999999999999999E-2</v>
      </c>
      <c r="T6225" s="508">
        <v>1.7999999999999999E-2</v>
      </c>
      <c r="U6225" s="508">
        <v>1.7999999999999999E-2</v>
      </c>
      <c r="V6225" s="508">
        <v>1.7999999999999999E-2</v>
      </c>
      <c r="W6225" s="508">
        <v>1.7999999999999999E-2</v>
      </c>
      <c r="X6225" s="508">
        <v>1.7999999999999999E-2</v>
      </c>
      <c r="Y6225" s="508">
        <v>1.7999999999999999E-2</v>
      </c>
      <c r="Z6225" s="508">
        <v>1.7999999999999999E-2</v>
      </c>
      <c r="AA6225" s="508">
        <v>1.7999999999999999E-2</v>
      </c>
      <c r="AB6225" s="508">
        <v>1.7999999999999999E-2</v>
      </c>
      <c r="AC6225" s="508">
        <v>1.7999999999999999E-2</v>
      </c>
      <c r="AD6225" s="508">
        <v>1.7999999999999999E-2</v>
      </c>
      <c r="AE6225" s="508">
        <v>1.7999999999999999E-2</v>
      </c>
      <c r="AF6225" s="508">
        <v>1.7999999999999999E-2</v>
      </c>
      <c r="AG6225" s="508">
        <v>1.7999999999999999E-2</v>
      </c>
      <c r="AH6225" s="508">
        <v>1.7999999999999999E-2</v>
      </c>
      <c r="AI6225" s="492">
        <v>1.7999999999999999E-2</v>
      </c>
      <c r="AJ6225" s="485"/>
    </row>
    <row r="6226" spans="2:36">
      <c r="B6226" s="136" t="s">
        <v>468</v>
      </c>
      <c r="C6226" s="132" t="s">
        <v>1362</v>
      </c>
      <c r="D6226" s="132" t="s">
        <v>1380</v>
      </c>
      <c r="E6226" s="508">
        <v>1.4E-2</v>
      </c>
      <c r="F6226" s="508">
        <v>1.4E-2</v>
      </c>
      <c r="G6226" s="508">
        <v>1.4E-2</v>
      </c>
      <c r="H6226" s="508">
        <v>1.4E-2</v>
      </c>
      <c r="I6226" s="508">
        <v>1.4E-2</v>
      </c>
      <c r="J6226" s="508">
        <v>1.2999999999999999E-2</v>
      </c>
      <c r="K6226" s="508">
        <v>1.4E-2</v>
      </c>
      <c r="L6226" s="508">
        <v>1.4E-2</v>
      </c>
      <c r="M6226" s="508">
        <v>1.4E-2</v>
      </c>
      <c r="N6226" s="508">
        <v>1.4E-2</v>
      </c>
      <c r="O6226" s="508">
        <v>1.4E-2</v>
      </c>
      <c r="P6226" s="508">
        <v>1.4E-2</v>
      </c>
      <c r="Q6226" s="508">
        <v>1.4E-2</v>
      </c>
      <c r="R6226" s="508">
        <v>1.4E-2</v>
      </c>
      <c r="S6226" s="508">
        <v>1.4E-2</v>
      </c>
      <c r="T6226" s="508">
        <v>1.4E-2</v>
      </c>
      <c r="U6226" s="508">
        <v>1.4E-2</v>
      </c>
      <c r="V6226" s="508">
        <v>1.4E-2</v>
      </c>
      <c r="W6226" s="508">
        <v>1.4E-2</v>
      </c>
      <c r="X6226" s="508">
        <v>1.4E-2</v>
      </c>
      <c r="Y6226" s="508">
        <v>1.4E-2</v>
      </c>
      <c r="Z6226" s="508">
        <v>1.4E-2</v>
      </c>
      <c r="AA6226" s="508">
        <v>1.4E-2</v>
      </c>
      <c r="AB6226" s="508">
        <v>1.4E-2</v>
      </c>
      <c r="AC6226" s="508">
        <v>1.4E-2</v>
      </c>
      <c r="AD6226" s="508">
        <v>1.4E-2</v>
      </c>
      <c r="AE6226" s="508">
        <v>1.4E-2</v>
      </c>
      <c r="AF6226" s="508">
        <v>1.4E-2</v>
      </c>
      <c r="AG6226" s="508">
        <v>1.4E-2</v>
      </c>
      <c r="AH6226" s="508">
        <v>1.4E-2</v>
      </c>
      <c r="AI6226" s="492">
        <v>1.4E-2</v>
      </c>
      <c r="AJ6226" s="485"/>
    </row>
    <row r="6227" spans="2:36">
      <c r="B6227" s="136" t="s">
        <v>469</v>
      </c>
      <c r="C6227" s="132" t="s">
        <v>1362</v>
      </c>
      <c r="D6227" s="132" t="s">
        <v>1380</v>
      </c>
      <c r="E6227" s="508">
        <v>1.6E-2</v>
      </c>
      <c r="F6227" s="508">
        <v>1.6E-2</v>
      </c>
      <c r="G6227" s="508">
        <v>1.6E-2</v>
      </c>
      <c r="H6227" s="508">
        <v>1.6E-2</v>
      </c>
      <c r="I6227" s="508">
        <v>1.6E-2</v>
      </c>
      <c r="J6227" s="508">
        <v>1.6E-2</v>
      </c>
      <c r="K6227" s="508">
        <v>1.6E-2</v>
      </c>
      <c r="L6227" s="508">
        <v>1.6E-2</v>
      </c>
      <c r="M6227" s="508">
        <v>1.6E-2</v>
      </c>
      <c r="N6227" s="508">
        <v>1.6E-2</v>
      </c>
      <c r="O6227" s="508">
        <v>1.6E-2</v>
      </c>
      <c r="P6227" s="508">
        <v>1.6E-2</v>
      </c>
      <c r="Q6227" s="508">
        <v>1.6E-2</v>
      </c>
      <c r="R6227" s="508">
        <v>1.6E-2</v>
      </c>
      <c r="S6227" s="508">
        <v>1.6E-2</v>
      </c>
      <c r="T6227" s="508">
        <v>1.6E-2</v>
      </c>
      <c r="U6227" s="508">
        <v>1.6E-2</v>
      </c>
      <c r="V6227" s="508">
        <v>1.6E-2</v>
      </c>
      <c r="W6227" s="508">
        <v>1.6E-2</v>
      </c>
      <c r="X6227" s="508">
        <v>1.6E-2</v>
      </c>
      <c r="Y6227" s="508">
        <v>1.6E-2</v>
      </c>
      <c r="Z6227" s="508">
        <v>1.6E-2</v>
      </c>
      <c r="AA6227" s="508">
        <v>1.6E-2</v>
      </c>
      <c r="AB6227" s="508">
        <v>1.6E-2</v>
      </c>
      <c r="AC6227" s="508">
        <v>1.6E-2</v>
      </c>
      <c r="AD6227" s="508">
        <v>1.6E-2</v>
      </c>
      <c r="AE6227" s="508">
        <v>1.6E-2</v>
      </c>
      <c r="AF6227" s="508">
        <v>1.6E-2</v>
      </c>
      <c r="AG6227" s="508">
        <v>1.6E-2</v>
      </c>
      <c r="AH6227" s="508">
        <v>1.6E-2</v>
      </c>
      <c r="AI6227" s="492">
        <v>1.6E-2</v>
      </c>
      <c r="AJ6227" s="485"/>
    </row>
    <row r="6228" spans="2:36">
      <c r="B6228" s="136" t="s">
        <v>470</v>
      </c>
      <c r="C6228" s="132" t="s">
        <v>1362</v>
      </c>
      <c r="D6228" s="132" t="s">
        <v>1380</v>
      </c>
      <c r="E6228" s="508">
        <v>0.02</v>
      </c>
      <c r="F6228" s="508">
        <v>0.02</v>
      </c>
      <c r="G6228" s="508">
        <v>0.02</v>
      </c>
      <c r="H6228" s="508">
        <v>2.1000000000000001E-2</v>
      </c>
      <c r="I6228" s="508">
        <v>0.02</v>
      </c>
      <c r="J6228" s="508">
        <v>0.02</v>
      </c>
      <c r="K6228" s="508">
        <v>0.02</v>
      </c>
      <c r="L6228" s="508">
        <v>0.02</v>
      </c>
      <c r="M6228" s="508">
        <v>0.02</v>
      </c>
      <c r="N6228" s="508">
        <v>0.02</v>
      </c>
      <c r="O6228" s="508">
        <v>0.02</v>
      </c>
      <c r="P6228" s="508">
        <v>0.02</v>
      </c>
      <c r="Q6228" s="508">
        <v>0.02</v>
      </c>
      <c r="R6228" s="508">
        <v>0.02</v>
      </c>
      <c r="S6228" s="508">
        <v>0.02</v>
      </c>
      <c r="T6228" s="508">
        <v>2.1000000000000001E-2</v>
      </c>
      <c r="U6228" s="508">
        <v>0.02</v>
      </c>
      <c r="V6228" s="508">
        <v>0.02</v>
      </c>
      <c r="W6228" s="508">
        <v>0.02</v>
      </c>
      <c r="X6228" s="508">
        <v>0.02</v>
      </c>
      <c r="Y6228" s="508">
        <v>0.02</v>
      </c>
      <c r="Z6228" s="508">
        <v>0.02</v>
      </c>
      <c r="AA6228" s="508">
        <v>0.02</v>
      </c>
      <c r="AB6228" s="508">
        <v>0.02</v>
      </c>
      <c r="AC6228" s="508">
        <v>0.02</v>
      </c>
      <c r="AD6228" s="508">
        <v>0.02</v>
      </c>
      <c r="AE6228" s="508">
        <v>0.02</v>
      </c>
      <c r="AF6228" s="508">
        <v>0.02</v>
      </c>
      <c r="AG6228" s="508">
        <v>0.02</v>
      </c>
      <c r="AH6228" s="508">
        <v>0.02</v>
      </c>
      <c r="AI6228" s="492">
        <v>0.02</v>
      </c>
      <c r="AJ6228" s="485"/>
    </row>
    <row r="6229" spans="2:36">
      <c r="B6229" s="136" t="s">
        <v>471</v>
      </c>
      <c r="C6229" s="132" t="s">
        <v>1362</v>
      </c>
      <c r="D6229" s="132" t="s">
        <v>1380</v>
      </c>
      <c r="E6229" s="508">
        <v>1.9E-2</v>
      </c>
      <c r="F6229" s="508">
        <v>1.9E-2</v>
      </c>
      <c r="G6229" s="508">
        <v>1.9E-2</v>
      </c>
      <c r="H6229" s="508">
        <v>0.02</v>
      </c>
      <c r="I6229" s="508">
        <v>1.9E-2</v>
      </c>
      <c r="J6229" s="508">
        <v>1.9E-2</v>
      </c>
      <c r="K6229" s="508">
        <v>1.9E-2</v>
      </c>
      <c r="L6229" s="508">
        <v>1.9E-2</v>
      </c>
      <c r="M6229" s="508">
        <v>1.9E-2</v>
      </c>
      <c r="N6229" s="508">
        <v>1.9E-2</v>
      </c>
      <c r="O6229" s="508">
        <v>1.9E-2</v>
      </c>
      <c r="P6229" s="508">
        <v>1.9E-2</v>
      </c>
      <c r="Q6229" s="508">
        <v>1.9E-2</v>
      </c>
      <c r="R6229" s="508">
        <v>1.9E-2</v>
      </c>
      <c r="S6229" s="508">
        <v>1.9E-2</v>
      </c>
      <c r="T6229" s="508">
        <v>1.9E-2</v>
      </c>
      <c r="U6229" s="508">
        <v>1.9E-2</v>
      </c>
      <c r="V6229" s="508">
        <v>1.9E-2</v>
      </c>
      <c r="W6229" s="508">
        <v>1.9E-2</v>
      </c>
      <c r="X6229" s="508">
        <v>1.9E-2</v>
      </c>
      <c r="Y6229" s="508">
        <v>1.9E-2</v>
      </c>
      <c r="Z6229" s="508">
        <v>1.9E-2</v>
      </c>
      <c r="AA6229" s="508">
        <v>1.9E-2</v>
      </c>
      <c r="AB6229" s="508">
        <v>1.9E-2</v>
      </c>
      <c r="AC6229" s="508">
        <v>1.9E-2</v>
      </c>
      <c r="AD6229" s="508">
        <v>1.9E-2</v>
      </c>
      <c r="AE6229" s="508">
        <v>1.9E-2</v>
      </c>
      <c r="AF6229" s="508">
        <v>1.9E-2</v>
      </c>
      <c r="AG6229" s="508">
        <v>1.9E-2</v>
      </c>
      <c r="AH6229" s="508">
        <v>1.9E-2</v>
      </c>
      <c r="AI6229" s="492">
        <v>1.9E-2</v>
      </c>
      <c r="AJ6229" s="485"/>
    </row>
    <row r="6230" spans="2:36">
      <c r="B6230" s="136" t="s">
        <v>472</v>
      </c>
      <c r="C6230" s="132" t="s">
        <v>1362</v>
      </c>
      <c r="D6230" s="132" t="s">
        <v>1380</v>
      </c>
      <c r="E6230" s="508">
        <v>1.4999999999999999E-2</v>
      </c>
      <c r="F6230" s="508">
        <v>1.4999999999999999E-2</v>
      </c>
      <c r="G6230" s="508">
        <v>1.4999999999999999E-2</v>
      </c>
      <c r="H6230" s="508">
        <v>1.4999999999999999E-2</v>
      </c>
      <c r="I6230" s="508">
        <v>1.4999999999999999E-2</v>
      </c>
      <c r="J6230" s="508">
        <v>1.4E-2</v>
      </c>
      <c r="K6230" s="508">
        <v>1.4999999999999999E-2</v>
      </c>
      <c r="L6230" s="508">
        <v>1.4999999999999999E-2</v>
      </c>
      <c r="M6230" s="508">
        <v>1.4999999999999999E-2</v>
      </c>
      <c r="N6230" s="508">
        <v>1.4999999999999999E-2</v>
      </c>
      <c r="O6230" s="508">
        <v>1.4999999999999999E-2</v>
      </c>
      <c r="P6230" s="508">
        <v>1.4999999999999999E-2</v>
      </c>
      <c r="Q6230" s="508">
        <v>1.4999999999999999E-2</v>
      </c>
      <c r="R6230" s="508">
        <v>1.4999999999999999E-2</v>
      </c>
      <c r="S6230" s="508">
        <v>1.4999999999999999E-2</v>
      </c>
      <c r="T6230" s="508">
        <v>1.4999999999999999E-2</v>
      </c>
      <c r="U6230" s="508">
        <v>1.4999999999999999E-2</v>
      </c>
      <c r="V6230" s="508">
        <v>1.4999999999999999E-2</v>
      </c>
      <c r="W6230" s="508">
        <v>1.4999999999999999E-2</v>
      </c>
      <c r="X6230" s="508">
        <v>1.4999999999999999E-2</v>
      </c>
      <c r="Y6230" s="508">
        <v>1.4999999999999999E-2</v>
      </c>
      <c r="Z6230" s="508">
        <v>1.4999999999999999E-2</v>
      </c>
      <c r="AA6230" s="508">
        <v>1.4999999999999999E-2</v>
      </c>
      <c r="AB6230" s="508">
        <v>1.4999999999999999E-2</v>
      </c>
      <c r="AC6230" s="508">
        <v>1.4999999999999999E-2</v>
      </c>
      <c r="AD6230" s="508">
        <v>1.4999999999999999E-2</v>
      </c>
      <c r="AE6230" s="508">
        <v>1.4999999999999999E-2</v>
      </c>
      <c r="AF6230" s="508">
        <v>1.4999999999999999E-2</v>
      </c>
      <c r="AG6230" s="508">
        <v>1.4999999999999999E-2</v>
      </c>
      <c r="AH6230" s="508">
        <v>1.4999999999999999E-2</v>
      </c>
      <c r="AI6230" s="492">
        <v>1.4999999999999999E-2</v>
      </c>
      <c r="AJ6230" s="485"/>
    </row>
    <row r="6231" spans="2:36">
      <c r="B6231" s="136" t="s">
        <v>473</v>
      </c>
      <c r="C6231" s="132" t="s">
        <v>1362</v>
      </c>
      <c r="D6231" s="132" t="s">
        <v>1380</v>
      </c>
      <c r="E6231" s="508">
        <v>2.1000000000000001E-2</v>
      </c>
      <c r="F6231" s="508">
        <v>0.02</v>
      </c>
      <c r="G6231" s="508">
        <v>2.1000000000000001E-2</v>
      </c>
      <c r="H6231" s="508">
        <v>2.1000000000000001E-2</v>
      </c>
      <c r="I6231" s="508">
        <v>0.02</v>
      </c>
      <c r="J6231" s="508">
        <v>0.02</v>
      </c>
      <c r="K6231" s="508">
        <v>2.1000000000000001E-2</v>
      </c>
      <c r="L6231" s="508">
        <v>2.1000000000000001E-2</v>
      </c>
      <c r="M6231" s="508">
        <v>0.02</v>
      </c>
      <c r="N6231" s="508">
        <v>0.02</v>
      </c>
      <c r="O6231" s="508">
        <v>0.02</v>
      </c>
      <c r="P6231" s="508">
        <v>0.02</v>
      </c>
      <c r="Q6231" s="508">
        <v>0.02</v>
      </c>
      <c r="R6231" s="508">
        <v>0.02</v>
      </c>
      <c r="S6231" s="508">
        <v>2.1000000000000001E-2</v>
      </c>
      <c r="T6231" s="508">
        <v>2.1000000000000001E-2</v>
      </c>
      <c r="U6231" s="508">
        <v>0.02</v>
      </c>
      <c r="V6231" s="508">
        <v>0.02</v>
      </c>
      <c r="W6231" s="508">
        <v>0.02</v>
      </c>
      <c r="X6231" s="508">
        <v>0.02</v>
      </c>
      <c r="Y6231" s="508">
        <v>0.02</v>
      </c>
      <c r="Z6231" s="508">
        <v>0.02</v>
      </c>
      <c r="AA6231" s="508">
        <v>0.02</v>
      </c>
      <c r="AB6231" s="508">
        <v>0.02</v>
      </c>
      <c r="AC6231" s="508">
        <v>2.1000000000000001E-2</v>
      </c>
      <c r="AD6231" s="508">
        <v>2.1000000000000001E-2</v>
      </c>
      <c r="AE6231" s="508">
        <v>0.02</v>
      </c>
      <c r="AF6231" s="508">
        <v>0.02</v>
      </c>
      <c r="AG6231" s="508">
        <v>0.02</v>
      </c>
      <c r="AH6231" s="508">
        <v>0.02</v>
      </c>
      <c r="AI6231" s="492">
        <v>0.02</v>
      </c>
      <c r="AJ6231" s="485"/>
    </row>
    <row r="6232" spans="2:36">
      <c r="B6232" s="136" t="s">
        <v>474</v>
      </c>
      <c r="C6232" s="132" t="s">
        <v>1362</v>
      </c>
      <c r="D6232" s="132" t="s">
        <v>1380</v>
      </c>
      <c r="E6232" s="508">
        <v>1.7999999999999999E-2</v>
      </c>
      <c r="F6232" s="508">
        <v>1.7999999999999999E-2</v>
      </c>
      <c r="G6232" s="508">
        <v>1.7999999999999999E-2</v>
      </c>
      <c r="H6232" s="508">
        <v>1.7999999999999999E-2</v>
      </c>
      <c r="I6232" s="508">
        <v>1.7999999999999999E-2</v>
      </c>
      <c r="J6232" s="508">
        <v>1.7000000000000001E-2</v>
      </c>
      <c r="K6232" s="508">
        <v>1.7999999999999999E-2</v>
      </c>
      <c r="L6232" s="508">
        <v>1.7999999999999999E-2</v>
      </c>
      <c r="M6232" s="508">
        <v>1.7999999999999999E-2</v>
      </c>
      <c r="N6232" s="508">
        <v>1.7999999999999999E-2</v>
      </c>
      <c r="O6232" s="508">
        <v>1.7999999999999999E-2</v>
      </c>
      <c r="P6232" s="508">
        <v>1.7999999999999999E-2</v>
      </c>
      <c r="Q6232" s="508">
        <v>1.7999999999999999E-2</v>
      </c>
      <c r="R6232" s="508">
        <v>1.7999999999999999E-2</v>
      </c>
      <c r="S6232" s="508">
        <v>1.7999999999999999E-2</v>
      </c>
      <c r="T6232" s="508">
        <v>1.7999999999999999E-2</v>
      </c>
      <c r="U6232" s="508">
        <v>1.7999999999999999E-2</v>
      </c>
      <c r="V6232" s="508">
        <v>1.7999999999999999E-2</v>
      </c>
      <c r="W6232" s="508">
        <v>1.7999999999999999E-2</v>
      </c>
      <c r="X6232" s="508">
        <v>1.7999999999999999E-2</v>
      </c>
      <c r="Y6232" s="508">
        <v>1.7999999999999999E-2</v>
      </c>
      <c r="Z6232" s="508">
        <v>1.7999999999999999E-2</v>
      </c>
      <c r="AA6232" s="508">
        <v>1.7999999999999999E-2</v>
      </c>
      <c r="AB6232" s="508">
        <v>1.7999999999999999E-2</v>
      </c>
      <c r="AC6232" s="508">
        <v>1.7999999999999999E-2</v>
      </c>
      <c r="AD6232" s="508">
        <v>1.7999999999999999E-2</v>
      </c>
      <c r="AE6232" s="508">
        <v>1.7999999999999999E-2</v>
      </c>
      <c r="AF6232" s="508">
        <v>1.7999999999999999E-2</v>
      </c>
      <c r="AG6232" s="508">
        <v>1.7999999999999999E-2</v>
      </c>
      <c r="AH6232" s="508">
        <v>1.7999999999999999E-2</v>
      </c>
      <c r="AI6232" s="492">
        <v>1.7999999999999999E-2</v>
      </c>
      <c r="AJ6232" s="485"/>
    </row>
    <row r="6233" spans="2:36">
      <c r="B6233" s="136" t="s">
        <v>475</v>
      </c>
      <c r="C6233" s="132" t="s">
        <v>1362</v>
      </c>
      <c r="D6233" s="132" t="s">
        <v>1380</v>
      </c>
      <c r="E6233" s="508">
        <v>1.7000000000000001E-2</v>
      </c>
      <c r="F6233" s="508">
        <v>1.7000000000000001E-2</v>
      </c>
      <c r="G6233" s="508">
        <v>1.7000000000000001E-2</v>
      </c>
      <c r="H6233" s="508">
        <v>1.7000000000000001E-2</v>
      </c>
      <c r="I6233" s="508">
        <v>1.7000000000000001E-2</v>
      </c>
      <c r="J6233" s="508">
        <v>1.7000000000000001E-2</v>
      </c>
      <c r="K6233" s="508">
        <v>1.7000000000000001E-2</v>
      </c>
      <c r="L6233" s="508">
        <v>1.7000000000000001E-2</v>
      </c>
      <c r="M6233" s="508">
        <v>1.7000000000000001E-2</v>
      </c>
      <c r="N6233" s="508">
        <v>1.7000000000000001E-2</v>
      </c>
      <c r="O6233" s="508">
        <v>1.7000000000000001E-2</v>
      </c>
      <c r="P6233" s="508">
        <v>1.7000000000000001E-2</v>
      </c>
      <c r="Q6233" s="508">
        <v>1.7000000000000001E-2</v>
      </c>
      <c r="R6233" s="508">
        <v>1.7000000000000001E-2</v>
      </c>
      <c r="S6233" s="508">
        <v>1.7000000000000001E-2</v>
      </c>
      <c r="T6233" s="508">
        <v>1.7000000000000001E-2</v>
      </c>
      <c r="U6233" s="508">
        <v>1.7000000000000001E-2</v>
      </c>
      <c r="V6233" s="508">
        <v>1.7000000000000001E-2</v>
      </c>
      <c r="W6233" s="508">
        <v>1.7000000000000001E-2</v>
      </c>
      <c r="X6233" s="508">
        <v>1.7000000000000001E-2</v>
      </c>
      <c r="Y6233" s="508">
        <v>1.7000000000000001E-2</v>
      </c>
      <c r="Z6233" s="508">
        <v>1.7000000000000001E-2</v>
      </c>
      <c r="AA6233" s="508">
        <v>1.7000000000000001E-2</v>
      </c>
      <c r="AB6233" s="508">
        <v>1.7000000000000001E-2</v>
      </c>
      <c r="AC6233" s="508">
        <v>1.7000000000000001E-2</v>
      </c>
      <c r="AD6233" s="508">
        <v>1.7000000000000001E-2</v>
      </c>
      <c r="AE6233" s="508">
        <v>1.7000000000000001E-2</v>
      </c>
      <c r="AF6233" s="508">
        <v>1.7000000000000001E-2</v>
      </c>
      <c r="AG6233" s="508">
        <v>1.7000000000000001E-2</v>
      </c>
      <c r="AH6233" s="508">
        <v>1.7000000000000001E-2</v>
      </c>
      <c r="AI6233" s="492">
        <v>1.7000000000000001E-2</v>
      </c>
      <c r="AJ6233" s="485"/>
    </row>
    <row r="6234" spans="2:36">
      <c r="B6234" s="136" t="s">
        <v>476</v>
      </c>
      <c r="C6234" s="132" t="s">
        <v>1362</v>
      </c>
      <c r="D6234" s="132" t="s">
        <v>1380</v>
      </c>
      <c r="E6234" s="508">
        <v>1.9E-2</v>
      </c>
      <c r="F6234" s="508">
        <v>1.9E-2</v>
      </c>
      <c r="G6234" s="508">
        <v>1.9E-2</v>
      </c>
      <c r="H6234" s="508">
        <v>1.9E-2</v>
      </c>
      <c r="I6234" s="508">
        <v>1.9E-2</v>
      </c>
      <c r="J6234" s="508">
        <v>1.7999999999999999E-2</v>
      </c>
      <c r="K6234" s="508">
        <v>1.9E-2</v>
      </c>
      <c r="L6234" s="508">
        <v>1.9E-2</v>
      </c>
      <c r="M6234" s="508">
        <v>1.7999999999999999E-2</v>
      </c>
      <c r="N6234" s="508">
        <v>1.9E-2</v>
      </c>
      <c r="O6234" s="508">
        <v>1.9E-2</v>
      </c>
      <c r="P6234" s="508">
        <v>1.9E-2</v>
      </c>
      <c r="Q6234" s="508">
        <v>1.9E-2</v>
      </c>
      <c r="R6234" s="508">
        <v>1.9E-2</v>
      </c>
      <c r="S6234" s="508">
        <v>1.9E-2</v>
      </c>
      <c r="T6234" s="508">
        <v>1.9E-2</v>
      </c>
      <c r="U6234" s="508">
        <v>1.9E-2</v>
      </c>
      <c r="V6234" s="508">
        <v>1.9E-2</v>
      </c>
      <c r="W6234" s="508">
        <v>1.9E-2</v>
      </c>
      <c r="X6234" s="508">
        <v>1.9E-2</v>
      </c>
      <c r="Y6234" s="508">
        <v>1.9E-2</v>
      </c>
      <c r="Z6234" s="508">
        <v>1.9E-2</v>
      </c>
      <c r="AA6234" s="508">
        <v>1.9E-2</v>
      </c>
      <c r="AB6234" s="508">
        <v>1.9E-2</v>
      </c>
      <c r="AC6234" s="508">
        <v>1.9E-2</v>
      </c>
      <c r="AD6234" s="508">
        <v>1.9E-2</v>
      </c>
      <c r="AE6234" s="508">
        <v>1.9E-2</v>
      </c>
      <c r="AF6234" s="508">
        <v>1.9E-2</v>
      </c>
      <c r="AG6234" s="508">
        <v>1.9E-2</v>
      </c>
      <c r="AH6234" s="508">
        <v>1.9E-2</v>
      </c>
      <c r="AI6234" s="492">
        <v>1.9E-2</v>
      </c>
      <c r="AJ6234" s="485"/>
    </row>
    <row r="6235" spans="2:36">
      <c r="B6235" s="136" t="s">
        <v>478</v>
      </c>
      <c r="C6235" s="132" t="s">
        <v>1362</v>
      </c>
      <c r="D6235" s="132" t="s">
        <v>1380</v>
      </c>
      <c r="E6235" s="508">
        <v>2.1000000000000001E-2</v>
      </c>
      <c r="F6235" s="508">
        <v>2.1000000000000001E-2</v>
      </c>
      <c r="G6235" s="508">
        <v>2.1000000000000001E-2</v>
      </c>
      <c r="H6235" s="508">
        <v>2.1000000000000001E-2</v>
      </c>
      <c r="I6235" s="508">
        <v>2.1000000000000001E-2</v>
      </c>
      <c r="J6235" s="508">
        <v>0.02</v>
      </c>
      <c r="K6235" s="508">
        <v>2.1000000000000001E-2</v>
      </c>
      <c r="L6235" s="508">
        <v>2.1000000000000001E-2</v>
      </c>
      <c r="M6235" s="508">
        <v>0.02</v>
      </c>
      <c r="N6235" s="508">
        <v>2.1000000000000001E-2</v>
      </c>
      <c r="O6235" s="508">
        <v>2.1000000000000001E-2</v>
      </c>
      <c r="P6235" s="508">
        <v>2.1000000000000001E-2</v>
      </c>
      <c r="Q6235" s="508">
        <v>2.1000000000000001E-2</v>
      </c>
      <c r="R6235" s="508">
        <v>2.1000000000000001E-2</v>
      </c>
      <c r="S6235" s="508">
        <v>2.1000000000000001E-2</v>
      </c>
      <c r="T6235" s="508">
        <v>2.1000000000000001E-2</v>
      </c>
      <c r="U6235" s="508">
        <v>2.1000000000000001E-2</v>
      </c>
      <c r="V6235" s="508">
        <v>2.1000000000000001E-2</v>
      </c>
      <c r="W6235" s="508">
        <v>2.1000000000000001E-2</v>
      </c>
      <c r="X6235" s="508">
        <v>2.1000000000000001E-2</v>
      </c>
      <c r="Y6235" s="508">
        <v>2.1000000000000001E-2</v>
      </c>
      <c r="Z6235" s="508">
        <v>2.1000000000000001E-2</v>
      </c>
      <c r="AA6235" s="508">
        <v>2.1000000000000001E-2</v>
      </c>
      <c r="AB6235" s="508">
        <v>2.1000000000000001E-2</v>
      </c>
      <c r="AC6235" s="508">
        <v>2.1000000000000001E-2</v>
      </c>
      <c r="AD6235" s="508">
        <v>2.1000000000000001E-2</v>
      </c>
      <c r="AE6235" s="508">
        <v>2.1000000000000001E-2</v>
      </c>
      <c r="AF6235" s="508">
        <v>2.1000000000000001E-2</v>
      </c>
      <c r="AG6235" s="508">
        <v>2.1000000000000001E-2</v>
      </c>
      <c r="AH6235" s="508">
        <v>2.1000000000000001E-2</v>
      </c>
      <c r="AI6235" s="492">
        <v>2.1000000000000001E-2</v>
      </c>
      <c r="AJ6235" s="485"/>
    </row>
    <row r="6236" spans="2:36">
      <c r="B6236" s="136" t="s">
        <v>479</v>
      </c>
      <c r="C6236" s="132" t="s">
        <v>1362</v>
      </c>
      <c r="D6236" s="132" t="s">
        <v>1380</v>
      </c>
      <c r="E6236" s="508">
        <v>1.7000000000000001E-2</v>
      </c>
      <c r="F6236" s="508">
        <v>1.7000000000000001E-2</v>
      </c>
      <c r="G6236" s="508">
        <v>1.7000000000000001E-2</v>
      </c>
      <c r="H6236" s="508">
        <v>1.7000000000000001E-2</v>
      </c>
      <c r="I6236" s="508">
        <v>1.7000000000000001E-2</v>
      </c>
      <c r="J6236" s="508">
        <v>1.7000000000000001E-2</v>
      </c>
      <c r="K6236" s="508">
        <v>1.7000000000000001E-2</v>
      </c>
      <c r="L6236" s="508">
        <v>1.7000000000000001E-2</v>
      </c>
      <c r="M6236" s="508">
        <v>1.7000000000000001E-2</v>
      </c>
      <c r="N6236" s="508">
        <v>1.7000000000000001E-2</v>
      </c>
      <c r="O6236" s="508">
        <v>1.7000000000000001E-2</v>
      </c>
      <c r="P6236" s="508">
        <v>1.7000000000000001E-2</v>
      </c>
      <c r="Q6236" s="508">
        <v>1.7000000000000001E-2</v>
      </c>
      <c r="R6236" s="508">
        <v>1.7000000000000001E-2</v>
      </c>
      <c r="S6236" s="508">
        <v>1.7000000000000001E-2</v>
      </c>
      <c r="T6236" s="508">
        <v>1.7000000000000001E-2</v>
      </c>
      <c r="U6236" s="508">
        <v>1.7000000000000001E-2</v>
      </c>
      <c r="V6236" s="508">
        <v>1.7000000000000001E-2</v>
      </c>
      <c r="W6236" s="508">
        <v>1.7000000000000001E-2</v>
      </c>
      <c r="X6236" s="508">
        <v>1.7000000000000001E-2</v>
      </c>
      <c r="Y6236" s="508">
        <v>1.7000000000000001E-2</v>
      </c>
      <c r="Z6236" s="508">
        <v>1.7000000000000001E-2</v>
      </c>
      <c r="AA6236" s="508">
        <v>1.7000000000000001E-2</v>
      </c>
      <c r="AB6236" s="508">
        <v>1.7000000000000001E-2</v>
      </c>
      <c r="AC6236" s="508">
        <v>1.7000000000000001E-2</v>
      </c>
      <c r="AD6236" s="508">
        <v>1.7000000000000001E-2</v>
      </c>
      <c r="AE6236" s="508">
        <v>1.7000000000000001E-2</v>
      </c>
      <c r="AF6236" s="508">
        <v>1.7000000000000001E-2</v>
      </c>
      <c r="AG6236" s="508">
        <v>1.7000000000000001E-2</v>
      </c>
      <c r="AH6236" s="508">
        <v>1.7000000000000001E-2</v>
      </c>
      <c r="AI6236" s="492">
        <v>1.7000000000000001E-2</v>
      </c>
      <c r="AJ6236" s="485"/>
    </row>
    <row r="6237" spans="2:36">
      <c r="B6237" s="136" t="s">
        <v>480</v>
      </c>
      <c r="C6237" s="132" t="s">
        <v>1362</v>
      </c>
      <c r="D6237" s="132" t="s">
        <v>1380</v>
      </c>
      <c r="E6237" s="508">
        <v>1.4E-2</v>
      </c>
      <c r="F6237" s="508">
        <v>1.4E-2</v>
      </c>
      <c r="G6237" s="508">
        <v>1.4E-2</v>
      </c>
      <c r="H6237" s="508">
        <v>1.4E-2</v>
      </c>
      <c r="I6237" s="508">
        <v>1.4E-2</v>
      </c>
      <c r="J6237" s="508">
        <v>1.4E-2</v>
      </c>
      <c r="K6237" s="508">
        <v>1.4E-2</v>
      </c>
      <c r="L6237" s="508">
        <v>1.4E-2</v>
      </c>
      <c r="M6237" s="508">
        <v>1.4E-2</v>
      </c>
      <c r="N6237" s="508">
        <v>1.4E-2</v>
      </c>
      <c r="O6237" s="508">
        <v>1.4E-2</v>
      </c>
      <c r="P6237" s="508">
        <v>1.4E-2</v>
      </c>
      <c r="Q6237" s="508">
        <v>1.4E-2</v>
      </c>
      <c r="R6237" s="508">
        <v>1.4E-2</v>
      </c>
      <c r="S6237" s="508">
        <v>1.4E-2</v>
      </c>
      <c r="T6237" s="508">
        <v>1.4E-2</v>
      </c>
      <c r="U6237" s="508">
        <v>1.4E-2</v>
      </c>
      <c r="V6237" s="508">
        <v>1.4E-2</v>
      </c>
      <c r="W6237" s="508">
        <v>1.4E-2</v>
      </c>
      <c r="X6237" s="508">
        <v>1.4E-2</v>
      </c>
      <c r="Y6237" s="508">
        <v>1.4E-2</v>
      </c>
      <c r="Z6237" s="508">
        <v>1.4E-2</v>
      </c>
      <c r="AA6237" s="508">
        <v>1.4E-2</v>
      </c>
      <c r="AB6237" s="508">
        <v>1.4E-2</v>
      </c>
      <c r="AC6237" s="508">
        <v>1.4E-2</v>
      </c>
      <c r="AD6237" s="508">
        <v>1.4E-2</v>
      </c>
      <c r="AE6237" s="508">
        <v>1.4E-2</v>
      </c>
      <c r="AF6237" s="508">
        <v>1.4E-2</v>
      </c>
      <c r="AG6237" s="508">
        <v>1.4E-2</v>
      </c>
      <c r="AH6237" s="508">
        <v>1.4E-2</v>
      </c>
      <c r="AI6237" s="492">
        <v>1.4E-2</v>
      </c>
      <c r="AJ6237" s="485"/>
    </row>
    <row r="6238" spans="2:36">
      <c r="B6238" s="136" t="s">
        <v>481</v>
      </c>
      <c r="C6238" s="132" t="s">
        <v>1362</v>
      </c>
      <c r="D6238" s="132" t="s">
        <v>1380</v>
      </c>
      <c r="E6238" s="508">
        <v>1.7999999999999999E-2</v>
      </c>
      <c r="F6238" s="508">
        <v>1.7999999999999999E-2</v>
      </c>
      <c r="G6238" s="508">
        <v>1.7999999999999999E-2</v>
      </c>
      <c r="H6238" s="508">
        <v>1.7999999999999999E-2</v>
      </c>
      <c r="I6238" s="508">
        <v>1.7999999999999999E-2</v>
      </c>
      <c r="J6238" s="508">
        <v>1.7000000000000001E-2</v>
      </c>
      <c r="K6238" s="508">
        <v>1.7999999999999999E-2</v>
      </c>
      <c r="L6238" s="508">
        <v>1.7999999999999999E-2</v>
      </c>
      <c r="M6238" s="508">
        <v>1.7999999999999999E-2</v>
      </c>
      <c r="N6238" s="508">
        <v>1.7999999999999999E-2</v>
      </c>
      <c r="O6238" s="508">
        <v>1.7999999999999999E-2</v>
      </c>
      <c r="P6238" s="508">
        <v>1.7999999999999999E-2</v>
      </c>
      <c r="Q6238" s="508">
        <v>1.7999999999999999E-2</v>
      </c>
      <c r="R6238" s="508">
        <v>1.7999999999999999E-2</v>
      </c>
      <c r="S6238" s="508">
        <v>1.7999999999999999E-2</v>
      </c>
      <c r="T6238" s="508">
        <v>1.7999999999999999E-2</v>
      </c>
      <c r="U6238" s="508">
        <v>1.7999999999999999E-2</v>
      </c>
      <c r="V6238" s="508">
        <v>1.7999999999999999E-2</v>
      </c>
      <c r="W6238" s="508">
        <v>1.7999999999999999E-2</v>
      </c>
      <c r="X6238" s="508">
        <v>1.7999999999999999E-2</v>
      </c>
      <c r="Y6238" s="508">
        <v>1.7999999999999999E-2</v>
      </c>
      <c r="Z6238" s="508">
        <v>1.7999999999999999E-2</v>
      </c>
      <c r="AA6238" s="508">
        <v>1.7999999999999999E-2</v>
      </c>
      <c r="AB6238" s="508">
        <v>1.7999999999999999E-2</v>
      </c>
      <c r="AC6238" s="508">
        <v>1.7999999999999999E-2</v>
      </c>
      <c r="AD6238" s="508">
        <v>1.7999999999999999E-2</v>
      </c>
      <c r="AE6238" s="508">
        <v>1.7999999999999999E-2</v>
      </c>
      <c r="AF6238" s="508">
        <v>1.7999999999999999E-2</v>
      </c>
      <c r="AG6238" s="508">
        <v>1.7999999999999999E-2</v>
      </c>
      <c r="AH6238" s="508">
        <v>1.7999999999999999E-2</v>
      </c>
      <c r="AI6238" s="492">
        <v>1.7999999999999999E-2</v>
      </c>
      <c r="AJ6238" s="485"/>
    </row>
    <row r="6239" spans="2:36">
      <c r="B6239" s="136" t="s">
        <v>482</v>
      </c>
      <c r="C6239" s="132" t="s">
        <v>1362</v>
      </c>
      <c r="D6239" s="132" t="s">
        <v>1380</v>
      </c>
      <c r="E6239" s="508">
        <v>1.7999999999999999E-2</v>
      </c>
      <c r="F6239" s="508">
        <v>1.7999999999999999E-2</v>
      </c>
      <c r="G6239" s="508">
        <v>1.7999999999999999E-2</v>
      </c>
      <c r="H6239" s="508">
        <v>1.7999999999999999E-2</v>
      </c>
      <c r="I6239" s="508">
        <v>1.7999999999999999E-2</v>
      </c>
      <c r="J6239" s="508">
        <v>1.7999999999999999E-2</v>
      </c>
      <c r="K6239" s="508">
        <v>1.7999999999999999E-2</v>
      </c>
      <c r="L6239" s="508">
        <v>1.7999999999999999E-2</v>
      </c>
      <c r="M6239" s="508">
        <v>1.7999999999999999E-2</v>
      </c>
      <c r="N6239" s="508">
        <v>1.7999999999999999E-2</v>
      </c>
      <c r="O6239" s="508">
        <v>1.7999999999999999E-2</v>
      </c>
      <c r="P6239" s="508">
        <v>1.7999999999999999E-2</v>
      </c>
      <c r="Q6239" s="508">
        <v>1.7999999999999999E-2</v>
      </c>
      <c r="R6239" s="508">
        <v>1.7999999999999999E-2</v>
      </c>
      <c r="S6239" s="508">
        <v>1.7999999999999999E-2</v>
      </c>
      <c r="T6239" s="508">
        <v>1.7999999999999999E-2</v>
      </c>
      <c r="U6239" s="508">
        <v>1.7999999999999999E-2</v>
      </c>
      <c r="V6239" s="508">
        <v>1.7999999999999999E-2</v>
      </c>
      <c r="W6239" s="508">
        <v>1.7999999999999999E-2</v>
      </c>
      <c r="X6239" s="508">
        <v>1.7999999999999999E-2</v>
      </c>
      <c r="Y6239" s="508">
        <v>1.7999999999999999E-2</v>
      </c>
      <c r="Z6239" s="508">
        <v>1.7999999999999999E-2</v>
      </c>
      <c r="AA6239" s="508">
        <v>1.7999999999999999E-2</v>
      </c>
      <c r="AB6239" s="508">
        <v>1.7999999999999999E-2</v>
      </c>
      <c r="AC6239" s="508">
        <v>1.7999999999999999E-2</v>
      </c>
      <c r="AD6239" s="508">
        <v>1.7999999999999999E-2</v>
      </c>
      <c r="AE6239" s="508">
        <v>1.7999999999999999E-2</v>
      </c>
      <c r="AF6239" s="508">
        <v>1.7999999999999999E-2</v>
      </c>
      <c r="AG6239" s="508">
        <v>1.7999999999999999E-2</v>
      </c>
      <c r="AH6239" s="508">
        <v>1.7999999999999999E-2</v>
      </c>
      <c r="AI6239" s="492">
        <v>1.7999999999999999E-2</v>
      </c>
      <c r="AJ6239" s="485"/>
    </row>
    <row r="6240" spans="2:36">
      <c r="B6240" s="136" t="s">
        <v>483</v>
      </c>
      <c r="C6240" s="132" t="s">
        <v>1362</v>
      </c>
      <c r="D6240" s="132" t="s">
        <v>1380</v>
      </c>
      <c r="E6240" s="508">
        <v>0.02</v>
      </c>
      <c r="F6240" s="508">
        <v>0.02</v>
      </c>
      <c r="G6240" s="508">
        <v>0.02</v>
      </c>
      <c r="H6240" s="508">
        <v>0.02</v>
      </c>
      <c r="I6240" s="508">
        <v>0.02</v>
      </c>
      <c r="J6240" s="508">
        <v>1.9E-2</v>
      </c>
      <c r="K6240" s="508">
        <v>0.02</v>
      </c>
      <c r="L6240" s="508">
        <v>0.02</v>
      </c>
      <c r="M6240" s="508">
        <v>0.02</v>
      </c>
      <c r="N6240" s="508">
        <v>0.02</v>
      </c>
      <c r="O6240" s="508">
        <v>0.02</v>
      </c>
      <c r="P6240" s="508">
        <v>0.02</v>
      </c>
      <c r="Q6240" s="508">
        <v>0.02</v>
      </c>
      <c r="R6240" s="508">
        <v>0.02</v>
      </c>
      <c r="S6240" s="508">
        <v>0.02</v>
      </c>
      <c r="T6240" s="508">
        <v>0.02</v>
      </c>
      <c r="U6240" s="508">
        <v>0.02</v>
      </c>
      <c r="V6240" s="508">
        <v>0.02</v>
      </c>
      <c r="W6240" s="508">
        <v>0.02</v>
      </c>
      <c r="X6240" s="508">
        <v>0.02</v>
      </c>
      <c r="Y6240" s="508">
        <v>0.02</v>
      </c>
      <c r="Z6240" s="508">
        <v>0.02</v>
      </c>
      <c r="AA6240" s="508">
        <v>0.02</v>
      </c>
      <c r="AB6240" s="508">
        <v>0.02</v>
      </c>
      <c r="AC6240" s="508">
        <v>0.02</v>
      </c>
      <c r="AD6240" s="508">
        <v>0.02</v>
      </c>
      <c r="AE6240" s="508">
        <v>0.02</v>
      </c>
      <c r="AF6240" s="508">
        <v>0.02</v>
      </c>
      <c r="AG6240" s="508">
        <v>0.02</v>
      </c>
      <c r="AH6240" s="508">
        <v>0.02</v>
      </c>
      <c r="AI6240" s="492">
        <v>0.02</v>
      </c>
      <c r="AJ6240" s="485"/>
    </row>
    <row r="6241" spans="2:36">
      <c r="B6241" s="136" t="s">
        <v>484</v>
      </c>
      <c r="C6241" s="132" t="s">
        <v>1362</v>
      </c>
      <c r="D6241" s="132" t="s">
        <v>1380</v>
      </c>
      <c r="E6241" s="508">
        <v>1.4999999999999999E-2</v>
      </c>
      <c r="F6241" s="508">
        <v>1.4999999999999999E-2</v>
      </c>
      <c r="G6241" s="508">
        <v>1.4999999999999999E-2</v>
      </c>
      <c r="H6241" s="508">
        <v>1.4999999999999999E-2</v>
      </c>
      <c r="I6241" s="508">
        <v>1.4999999999999999E-2</v>
      </c>
      <c r="J6241" s="508">
        <v>1.4E-2</v>
      </c>
      <c r="K6241" s="508">
        <v>1.4999999999999999E-2</v>
      </c>
      <c r="L6241" s="508">
        <v>1.4999999999999999E-2</v>
      </c>
      <c r="M6241" s="508">
        <v>1.4E-2</v>
      </c>
      <c r="N6241" s="508">
        <v>1.4999999999999999E-2</v>
      </c>
      <c r="O6241" s="508">
        <v>1.4999999999999999E-2</v>
      </c>
      <c r="P6241" s="508">
        <v>1.4999999999999999E-2</v>
      </c>
      <c r="Q6241" s="508">
        <v>1.4999999999999999E-2</v>
      </c>
      <c r="R6241" s="508">
        <v>1.4999999999999999E-2</v>
      </c>
      <c r="S6241" s="508">
        <v>1.4999999999999999E-2</v>
      </c>
      <c r="T6241" s="508">
        <v>1.4999999999999999E-2</v>
      </c>
      <c r="U6241" s="508">
        <v>1.4999999999999999E-2</v>
      </c>
      <c r="V6241" s="508">
        <v>1.4999999999999999E-2</v>
      </c>
      <c r="W6241" s="508">
        <v>1.4999999999999999E-2</v>
      </c>
      <c r="X6241" s="508">
        <v>1.4999999999999999E-2</v>
      </c>
      <c r="Y6241" s="508">
        <v>1.4999999999999999E-2</v>
      </c>
      <c r="Z6241" s="508">
        <v>1.4999999999999999E-2</v>
      </c>
      <c r="AA6241" s="508">
        <v>1.4999999999999999E-2</v>
      </c>
      <c r="AB6241" s="508">
        <v>1.4999999999999999E-2</v>
      </c>
      <c r="AC6241" s="508">
        <v>1.4999999999999999E-2</v>
      </c>
      <c r="AD6241" s="508">
        <v>1.4999999999999999E-2</v>
      </c>
      <c r="AE6241" s="508">
        <v>1.4999999999999999E-2</v>
      </c>
      <c r="AF6241" s="508">
        <v>1.4999999999999999E-2</v>
      </c>
      <c r="AG6241" s="508">
        <v>1.4999999999999999E-2</v>
      </c>
      <c r="AH6241" s="508">
        <v>1.4999999999999999E-2</v>
      </c>
      <c r="AI6241" s="492">
        <v>1.4999999999999999E-2</v>
      </c>
      <c r="AJ6241" s="485"/>
    </row>
    <row r="6242" spans="2:36">
      <c r="B6242" s="136" t="s">
        <v>486</v>
      </c>
      <c r="C6242" s="132" t="s">
        <v>1362</v>
      </c>
      <c r="D6242" s="132" t="s">
        <v>1380</v>
      </c>
      <c r="E6242" s="508">
        <v>1.7999999999999999E-2</v>
      </c>
      <c r="F6242" s="508">
        <v>1.7999999999999999E-2</v>
      </c>
      <c r="G6242" s="508">
        <v>1.7999999999999999E-2</v>
      </c>
      <c r="H6242" s="508">
        <v>1.7999999999999999E-2</v>
      </c>
      <c r="I6242" s="508">
        <v>1.7999999999999999E-2</v>
      </c>
      <c r="J6242" s="508">
        <v>1.7000000000000001E-2</v>
      </c>
      <c r="K6242" s="508">
        <v>1.7999999999999999E-2</v>
      </c>
      <c r="L6242" s="508">
        <v>1.7999999999999999E-2</v>
      </c>
      <c r="M6242" s="508">
        <v>1.7999999999999999E-2</v>
      </c>
      <c r="N6242" s="508">
        <v>1.7999999999999999E-2</v>
      </c>
      <c r="O6242" s="508">
        <v>1.7999999999999999E-2</v>
      </c>
      <c r="P6242" s="508">
        <v>1.7999999999999999E-2</v>
      </c>
      <c r="Q6242" s="508">
        <v>1.7999999999999999E-2</v>
      </c>
      <c r="R6242" s="508">
        <v>1.7999999999999999E-2</v>
      </c>
      <c r="S6242" s="508">
        <v>1.7999999999999999E-2</v>
      </c>
      <c r="T6242" s="508">
        <v>1.7999999999999999E-2</v>
      </c>
      <c r="U6242" s="508">
        <v>1.7999999999999999E-2</v>
      </c>
      <c r="V6242" s="508">
        <v>1.7999999999999999E-2</v>
      </c>
      <c r="W6242" s="508">
        <v>1.7999999999999999E-2</v>
      </c>
      <c r="X6242" s="508">
        <v>1.7999999999999999E-2</v>
      </c>
      <c r="Y6242" s="508">
        <v>1.7999999999999999E-2</v>
      </c>
      <c r="Z6242" s="508">
        <v>1.7999999999999999E-2</v>
      </c>
      <c r="AA6242" s="508">
        <v>1.7999999999999999E-2</v>
      </c>
      <c r="AB6242" s="508">
        <v>1.7999999999999999E-2</v>
      </c>
      <c r="AC6242" s="508">
        <v>1.7999999999999999E-2</v>
      </c>
      <c r="AD6242" s="508">
        <v>1.7999999999999999E-2</v>
      </c>
      <c r="AE6242" s="508">
        <v>1.7999999999999999E-2</v>
      </c>
      <c r="AF6242" s="508">
        <v>1.7999999999999999E-2</v>
      </c>
      <c r="AG6242" s="508">
        <v>1.7999999999999999E-2</v>
      </c>
      <c r="AH6242" s="508">
        <v>1.7999999999999999E-2</v>
      </c>
      <c r="AI6242" s="492">
        <v>1.7999999999999999E-2</v>
      </c>
      <c r="AJ6242" s="485"/>
    </row>
    <row r="6243" spans="2:36">
      <c r="B6243" s="136" t="s">
        <v>487</v>
      </c>
      <c r="C6243" s="132" t="s">
        <v>1362</v>
      </c>
      <c r="D6243" s="132" t="s">
        <v>1380</v>
      </c>
      <c r="E6243" s="508">
        <v>1.7999999999999999E-2</v>
      </c>
      <c r="F6243" s="508">
        <v>1.7999999999999999E-2</v>
      </c>
      <c r="G6243" s="508">
        <v>1.7999999999999999E-2</v>
      </c>
      <c r="H6243" s="508">
        <v>1.7999999999999999E-2</v>
      </c>
      <c r="I6243" s="508">
        <v>1.7999999999999999E-2</v>
      </c>
      <c r="J6243" s="508">
        <v>1.7000000000000001E-2</v>
      </c>
      <c r="K6243" s="508">
        <v>1.7999999999999999E-2</v>
      </c>
      <c r="L6243" s="508">
        <v>1.7999999999999999E-2</v>
      </c>
      <c r="M6243" s="508">
        <v>1.7999999999999999E-2</v>
      </c>
      <c r="N6243" s="508">
        <v>1.7999999999999999E-2</v>
      </c>
      <c r="O6243" s="508">
        <v>1.7999999999999999E-2</v>
      </c>
      <c r="P6243" s="508">
        <v>1.7999999999999999E-2</v>
      </c>
      <c r="Q6243" s="508">
        <v>1.7999999999999999E-2</v>
      </c>
      <c r="R6243" s="508">
        <v>1.7999999999999999E-2</v>
      </c>
      <c r="S6243" s="508">
        <v>1.7999999999999999E-2</v>
      </c>
      <c r="T6243" s="508">
        <v>1.7999999999999999E-2</v>
      </c>
      <c r="U6243" s="508">
        <v>1.7999999999999999E-2</v>
      </c>
      <c r="V6243" s="508">
        <v>1.7999999999999999E-2</v>
      </c>
      <c r="W6243" s="508">
        <v>1.7999999999999999E-2</v>
      </c>
      <c r="X6243" s="508">
        <v>1.7999999999999999E-2</v>
      </c>
      <c r="Y6243" s="508">
        <v>1.7999999999999999E-2</v>
      </c>
      <c r="Z6243" s="508">
        <v>1.7999999999999999E-2</v>
      </c>
      <c r="AA6243" s="508">
        <v>1.7999999999999999E-2</v>
      </c>
      <c r="AB6243" s="508">
        <v>1.7999999999999999E-2</v>
      </c>
      <c r="AC6243" s="508">
        <v>1.7999999999999999E-2</v>
      </c>
      <c r="AD6243" s="508">
        <v>1.7999999999999999E-2</v>
      </c>
      <c r="AE6243" s="508">
        <v>1.7999999999999999E-2</v>
      </c>
      <c r="AF6243" s="508">
        <v>1.7999999999999999E-2</v>
      </c>
      <c r="AG6243" s="508">
        <v>1.7999999999999999E-2</v>
      </c>
      <c r="AH6243" s="508">
        <v>1.7999999999999999E-2</v>
      </c>
      <c r="AI6243" s="492">
        <v>1.7999999999999999E-2</v>
      </c>
      <c r="AJ6243" s="485"/>
    </row>
    <row r="6244" spans="2:36">
      <c r="B6244" s="136" t="s">
        <v>488</v>
      </c>
      <c r="C6244" s="132" t="s">
        <v>1362</v>
      </c>
      <c r="D6244" s="132" t="s">
        <v>1380</v>
      </c>
      <c r="E6244" s="508">
        <v>1.6E-2</v>
      </c>
      <c r="F6244" s="508">
        <v>1.6E-2</v>
      </c>
      <c r="G6244" s="508">
        <v>1.6E-2</v>
      </c>
      <c r="H6244" s="508">
        <v>1.6E-2</v>
      </c>
      <c r="I6244" s="508">
        <v>1.4999999999999999E-2</v>
      </c>
      <c r="J6244" s="508">
        <v>1.4999999999999999E-2</v>
      </c>
      <c r="K6244" s="508">
        <v>1.6E-2</v>
      </c>
      <c r="L6244" s="508">
        <v>1.6E-2</v>
      </c>
      <c r="M6244" s="508">
        <v>1.4999999999999999E-2</v>
      </c>
      <c r="N6244" s="508">
        <v>1.6E-2</v>
      </c>
      <c r="O6244" s="508">
        <v>1.4999999999999999E-2</v>
      </c>
      <c r="P6244" s="508">
        <v>1.4999999999999999E-2</v>
      </c>
      <c r="Q6244" s="508">
        <v>1.6E-2</v>
      </c>
      <c r="R6244" s="508">
        <v>1.4999999999999999E-2</v>
      </c>
      <c r="S6244" s="508">
        <v>1.6E-2</v>
      </c>
      <c r="T6244" s="508">
        <v>1.6E-2</v>
      </c>
      <c r="U6244" s="508">
        <v>1.6E-2</v>
      </c>
      <c r="V6244" s="508">
        <v>1.4999999999999999E-2</v>
      </c>
      <c r="W6244" s="508">
        <v>1.6E-2</v>
      </c>
      <c r="X6244" s="508">
        <v>1.4999999999999999E-2</v>
      </c>
      <c r="Y6244" s="508">
        <v>1.4999999999999999E-2</v>
      </c>
      <c r="Z6244" s="508">
        <v>1.4999999999999999E-2</v>
      </c>
      <c r="AA6244" s="508">
        <v>1.4999999999999999E-2</v>
      </c>
      <c r="AB6244" s="508">
        <v>1.4999999999999999E-2</v>
      </c>
      <c r="AC6244" s="508">
        <v>1.6E-2</v>
      </c>
      <c r="AD6244" s="508">
        <v>1.6E-2</v>
      </c>
      <c r="AE6244" s="508">
        <v>1.4999999999999999E-2</v>
      </c>
      <c r="AF6244" s="508">
        <v>1.4999999999999999E-2</v>
      </c>
      <c r="AG6244" s="508">
        <v>1.4999999999999999E-2</v>
      </c>
      <c r="AH6244" s="508">
        <v>1.4999999999999999E-2</v>
      </c>
      <c r="AI6244" s="492">
        <v>1.4999999999999999E-2</v>
      </c>
      <c r="AJ6244" s="485"/>
    </row>
    <row r="6245" spans="2:36">
      <c r="B6245" s="136" t="s">
        <v>489</v>
      </c>
      <c r="C6245" s="132" t="s">
        <v>1362</v>
      </c>
      <c r="D6245" s="132" t="s">
        <v>1380</v>
      </c>
      <c r="E6245" s="508">
        <v>1.7000000000000001E-2</v>
      </c>
      <c r="F6245" s="508">
        <v>1.7000000000000001E-2</v>
      </c>
      <c r="G6245" s="508">
        <v>1.7000000000000001E-2</v>
      </c>
      <c r="H6245" s="508">
        <v>1.7000000000000001E-2</v>
      </c>
      <c r="I6245" s="508">
        <v>1.7000000000000001E-2</v>
      </c>
      <c r="J6245" s="508">
        <v>1.6E-2</v>
      </c>
      <c r="K6245" s="508">
        <v>1.7000000000000001E-2</v>
      </c>
      <c r="L6245" s="508">
        <v>1.7000000000000001E-2</v>
      </c>
      <c r="M6245" s="508">
        <v>1.7000000000000001E-2</v>
      </c>
      <c r="N6245" s="508">
        <v>1.7000000000000001E-2</v>
      </c>
      <c r="O6245" s="508">
        <v>1.7000000000000001E-2</v>
      </c>
      <c r="P6245" s="508">
        <v>1.7000000000000001E-2</v>
      </c>
      <c r="Q6245" s="508">
        <v>1.7000000000000001E-2</v>
      </c>
      <c r="R6245" s="508">
        <v>1.7000000000000001E-2</v>
      </c>
      <c r="S6245" s="508">
        <v>1.7000000000000001E-2</v>
      </c>
      <c r="T6245" s="508">
        <v>1.7000000000000001E-2</v>
      </c>
      <c r="U6245" s="508">
        <v>1.7000000000000001E-2</v>
      </c>
      <c r="V6245" s="508">
        <v>1.7000000000000001E-2</v>
      </c>
      <c r="W6245" s="508">
        <v>1.7000000000000001E-2</v>
      </c>
      <c r="X6245" s="508">
        <v>1.7000000000000001E-2</v>
      </c>
      <c r="Y6245" s="508">
        <v>1.7000000000000001E-2</v>
      </c>
      <c r="Z6245" s="508">
        <v>1.7000000000000001E-2</v>
      </c>
      <c r="AA6245" s="508">
        <v>1.7000000000000001E-2</v>
      </c>
      <c r="AB6245" s="508">
        <v>1.7000000000000001E-2</v>
      </c>
      <c r="AC6245" s="508">
        <v>1.7000000000000001E-2</v>
      </c>
      <c r="AD6245" s="508">
        <v>1.7000000000000001E-2</v>
      </c>
      <c r="AE6245" s="508">
        <v>1.7000000000000001E-2</v>
      </c>
      <c r="AF6245" s="508">
        <v>1.7000000000000001E-2</v>
      </c>
      <c r="AG6245" s="508">
        <v>1.7000000000000001E-2</v>
      </c>
      <c r="AH6245" s="508">
        <v>1.7000000000000001E-2</v>
      </c>
      <c r="AI6245" s="492">
        <v>1.7000000000000001E-2</v>
      </c>
      <c r="AJ6245" s="485"/>
    </row>
    <row r="6246" spans="2:36">
      <c r="B6246" s="136" t="s">
        <v>490</v>
      </c>
      <c r="C6246" s="132" t="s">
        <v>1362</v>
      </c>
      <c r="D6246" s="132" t="s">
        <v>1380</v>
      </c>
      <c r="E6246" s="508">
        <v>1.4E-2</v>
      </c>
      <c r="F6246" s="508">
        <v>1.4E-2</v>
      </c>
      <c r="G6246" s="508">
        <v>1.4E-2</v>
      </c>
      <c r="H6246" s="508">
        <v>1.4E-2</v>
      </c>
      <c r="I6246" s="508">
        <v>1.4E-2</v>
      </c>
      <c r="J6246" s="508">
        <v>1.4E-2</v>
      </c>
      <c r="K6246" s="508">
        <v>1.4E-2</v>
      </c>
      <c r="L6246" s="508">
        <v>1.4E-2</v>
      </c>
      <c r="M6246" s="508">
        <v>1.4E-2</v>
      </c>
      <c r="N6246" s="508">
        <v>1.4E-2</v>
      </c>
      <c r="O6246" s="508">
        <v>1.4E-2</v>
      </c>
      <c r="P6246" s="508">
        <v>1.4E-2</v>
      </c>
      <c r="Q6246" s="508">
        <v>1.4E-2</v>
      </c>
      <c r="R6246" s="508">
        <v>1.4E-2</v>
      </c>
      <c r="S6246" s="508">
        <v>1.4E-2</v>
      </c>
      <c r="T6246" s="508">
        <v>1.4E-2</v>
      </c>
      <c r="U6246" s="508">
        <v>1.4E-2</v>
      </c>
      <c r="V6246" s="508">
        <v>1.4E-2</v>
      </c>
      <c r="W6246" s="508">
        <v>1.4E-2</v>
      </c>
      <c r="X6246" s="508">
        <v>1.4E-2</v>
      </c>
      <c r="Y6246" s="508">
        <v>1.4E-2</v>
      </c>
      <c r="Z6246" s="508">
        <v>1.4E-2</v>
      </c>
      <c r="AA6246" s="508">
        <v>1.4E-2</v>
      </c>
      <c r="AB6246" s="508">
        <v>1.4E-2</v>
      </c>
      <c r="AC6246" s="508">
        <v>1.4E-2</v>
      </c>
      <c r="AD6246" s="508">
        <v>1.4E-2</v>
      </c>
      <c r="AE6246" s="508">
        <v>1.4E-2</v>
      </c>
      <c r="AF6246" s="508">
        <v>1.4E-2</v>
      </c>
      <c r="AG6246" s="508">
        <v>1.4E-2</v>
      </c>
      <c r="AH6246" s="508">
        <v>1.4E-2</v>
      </c>
      <c r="AI6246" s="492">
        <v>1.4E-2</v>
      </c>
      <c r="AJ6246" s="485"/>
    </row>
    <row r="6247" spans="2:36">
      <c r="B6247" s="136" t="s">
        <v>435</v>
      </c>
      <c r="C6247" s="132" t="s">
        <v>1363</v>
      </c>
      <c r="D6247" s="132" t="s">
        <v>1380</v>
      </c>
      <c r="E6247" s="508">
        <v>1.7999999999999999E-2</v>
      </c>
      <c r="F6247" s="508">
        <v>1.7999999999999999E-2</v>
      </c>
      <c r="G6247" s="508">
        <v>1.7999999999999999E-2</v>
      </c>
      <c r="H6247" s="508">
        <v>1.7999999999999999E-2</v>
      </c>
      <c r="I6247" s="508">
        <v>1.7999999999999999E-2</v>
      </c>
      <c r="J6247" s="508">
        <v>1.7999999999999999E-2</v>
      </c>
      <c r="K6247" s="508">
        <v>1.7999999999999999E-2</v>
      </c>
      <c r="L6247" s="508">
        <v>1.7999999999999999E-2</v>
      </c>
      <c r="M6247" s="508">
        <v>1.7999999999999999E-2</v>
      </c>
      <c r="N6247" s="508">
        <v>1.7999999999999999E-2</v>
      </c>
      <c r="O6247" s="508">
        <v>1.7999999999999999E-2</v>
      </c>
      <c r="P6247" s="508">
        <v>1.7999999999999999E-2</v>
      </c>
      <c r="Q6247" s="508">
        <v>1.9E-2</v>
      </c>
      <c r="R6247" s="508">
        <v>1.7999999999999999E-2</v>
      </c>
      <c r="S6247" s="508">
        <v>1.7999999999999999E-2</v>
      </c>
      <c r="T6247" s="508">
        <v>1.7999999999999999E-2</v>
      </c>
      <c r="U6247" s="508">
        <v>1.7999999999999999E-2</v>
      </c>
      <c r="V6247" s="508">
        <v>1.7000000000000001E-2</v>
      </c>
      <c r="W6247" s="508">
        <v>1.7000000000000001E-2</v>
      </c>
      <c r="X6247" s="508">
        <v>1.7000000000000001E-2</v>
      </c>
      <c r="Y6247" s="508">
        <v>1.7000000000000001E-2</v>
      </c>
      <c r="Z6247" s="508">
        <v>1.7000000000000001E-2</v>
      </c>
      <c r="AA6247" s="508">
        <v>1.7000000000000001E-2</v>
      </c>
      <c r="AB6247" s="508">
        <v>1.7000000000000001E-2</v>
      </c>
      <c r="AC6247" s="508">
        <v>1.7999999999999999E-2</v>
      </c>
      <c r="AD6247" s="508">
        <v>1.7999999999999999E-2</v>
      </c>
      <c r="AE6247" s="508">
        <v>1.7000000000000001E-2</v>
      </c>
      <c r="AF6247" s="508">
        <v>1.7000000000000001E-2</v>
      </c>
      <c r="AG6247" s="508">
        <v>1.7000000000000001E-2</v>
      </c>
      <c r="AH6247" s="508">
        <v>1.7000000000000001E-2</v>
      </c>
      <c r="AI6247" s="492">
        <v>1.7000000000000001E-2</v>
      </c>
      <c r="AJ6247" s="485"/>
    </row>
    <row r="6248" spans="2:36">
      <c r="B6248" s="136" t="s">
        <v>436</v>
      </c>
      <c r="C6248" s="132" t="s">
        <v>1363</v>
      </c>
      <c r="D6248" s="132" t="s">
        <v>1380</v>
      </c>
      <c r="E6248" s="508">
        <v>1.6E-2</v>
      </c>
      <c r="F6248" s="508">
        <v>1.6E-2</v>
      </c>
      <c r="G6248" s="508">
        <v>1.6E-2</v>
      </c>
      <c r="H6248" s="508">
        <v>1.6E-2</v>
      </c>
      <c r="I6248" s="508">
        <v>1.6E-2</v>
      </c>
      <c r="J6248" s="508">
        <v>1.6E-2</v>
      </c>
      <c r="K6248" s="508">
        <v>1.6E-2</v>
      </c>
      <c r="L6248" s="508">
        <v>1.6E-2</v>
      </c>
      <c r="M6248" s="508">
        <v>1.6E-2</v>
      </c>
      <c r="N6248" s="508">
        <v>1.6E-2</v>
      </c>
      <c r="O6248" s="508">
        <v>1.6E-2</v>
      </c>
      <c r="P6248" s="508">
        <v>1.6E-2</v>
      </c>
      <c r="Q6248" s="508">
        <v>1.7000000000000001E-2</v>
      </c>
      <c r="R6248" s="508">
        <v>1.6E-2</v>
      </c>
      <c r="S6248" s="508">
        <v>1.6E-2</v>
      </c>
      <c r="T6248" s="508">
        <v>1.6E-2</v>
      </c>
      <c r="U6248" s="508">
        <v>1.6E-2</v>
      </c>
      <c r="V6248" s="508">
        <v>1.4999999999999999E-2</v>
      </c>
      <c r="W6248" s="508">
        <v>1.4999999999999999E-2</v>
      </c>
      <c r="X6248" s="508">
        <v>1.4999999999999999E-2</v>
      </c>
      <c r="Y6248" s="508">
        <v>1.4999999999999999E-2</v>
      </c>
      <c r="Z6248" s="508">
        <v>1.4999999999999999E-2</v>
      </c>
      <c r="AA6248" s="508">
        <v>1.4999999999999999E-2</v>
      </c>
      <c r="AB6248" s="508">
        <v>1.4999999999999999E-2</v>
      </c>
      <c r="AC6248" s="508">
        <v>1.6E-2</v>
      </c>
      <c r="AD6248" s="508">
        <v>1.6E-2</v>
      </c>
      <c r="AE6248" s="508">
        <v>1.4999999999999999E-2</v>
      </c>
      <c r="AF6248" s="508">
        <v>1.4999999999999999E-2</v>
      </c>
      <c r="AG6248" s="508">
        <v>1.4999999999999999E-2</v>
      </c>
      <c r="AH6248" s="508">
        <v>1.4999999999999999E-2</v>
      </c>
      <c r="AI6248" s="492">
        <v>1.4999999999999999E-2</v>
      </c>
      <c r="AJ6248" s="485"/>
    </row>
    <row r="6249" spans="2:36">
      <c r="B6249" s="136" t="s">
        <v>437</v>
      </c>
      <c r="C6249" s="132" t="s">
        <v>1363</v>
      </c>
      <c r="D6249" s="132" t="s">
        <v>1380</v>
      </c>
      <c r="E6249" s="508">
        <v>1.9E-2</v>
      </c>
      <c r="F6249" s="508">
        <v>1.7999999999999999E-2</v>
      </c>
      <c r="G6249" s="508">
        <v>1.7999999999999999E-2</v>
      </c>
      <c r="H6249" s="508">
        <v>1.9E-2</v>
      </c>
      <c r="I6249" s="508">
        <v>1.9E-2</v>
      </c>
      <c r="J6249" s="508">
        <v>1.7999999999999999E-2</v>
      </c>
      <c r="K6249" s="508">
        <v>1.9E-2</v>
      </c>
      <c r="L6249" s="508">
        <v>1.7999999999999999E-2</v>
      </c>
      <c r="M6249" s="508">
        <v>1.9E-2</v>
      </c>
      <c r="N6249" s="508">
        <v>1.7999999999999999E-2</v>
      </c>
      <c r="O6249" s="508">
        <v>1.9E-2</v>
      </c>
      <c r="P6249" s="508">
        <v>1.9E-2</v>
      </c>
      <c r="Q6249" s="508">
        <v>1.9E-2</v>
      </c>
      <c r="R6249" s="508">
        <v>1.9E-2</v>
      </c>
      <c r="S6249" s="508">
        <v>1.9E-2</v>
      </c>
      <c r="T6249" s="508">
        <v>1.9E-2</v>
      </c>
      <c r="U6249" s="508">
        <v>1.9E-2</v>
      </c>
      <c r="V6249" s="508">
        <v>1.7000000000000001E-2</v>
      </c>
      <c r="W6249" s="508">
        <v>1.7999999999999999E-2</v>
      </c>
      <c r="X6249" s="508">
        <v>1.7000000000000001E-2</v>
      </c>
      <c r="Y6249" s="508">
        <v>1.7000000000000001E-2</v>
      </c>
      <c r="Z6249" s="508">
        <v>1.7999999999999999E-2</v>
      </c>
      <c r="AA6249" s="508">
        <v>1.7999999999999999E-2</v>
      </c>
      <c r="AB6249" s="508">
        <v>1.7000000000000001E-2</v>
      </c>
      <c r="AC6249" s="508">
        <v>1.7999999999999999E-2</v>
      </c>
      <c r="AD6249" s="508">
        <v>1.7999999999999999E-2</v>
      </c>
      <c r="AE6249" s="508">
        <v>1.7999999999999999E-2</v>
      </c>
      <c r="AF6249" s="508">
        <v>1.7999999999999999E-2</v>
      </c>
      <c r="AG6249" s="508">
        <v>1.7999999999999999E-2</v>
      </c>
      <c r="AH6249" s="508">
        <v>1.7999999999999999E-2</v>
      </c>
      <c r="AI6249" s="492">
        <v>1.7999999999999999E-2</v>
      </c>
      <c r="AJ6249" s="485"/>
    </row>
    <row r="6250" spans="2:36">
      <c r="B6250" s="136" t="s">
        <v>438</v>
      </c>
      <c r="C6250" s="132" t="s">
        <v>1363</v>
      </c>
      <c r="D6250" s="132" t="s">
        <v>1380</v>
      </c>
      <c r="E6250" s="508">
        <v>1.4999999999999999E-2</v>
      </c>
      <c r="F6250" s="508">
        <v>1.4999999999999999E-2</v>
      </c>
      <c r="G6250" s="508">
        <v>1.4999999999999999E-2</v>
      </c>
      <c r="H6250" s="508">
        <v>1.4999999999999999E-2</v>
      </c>
      <c r="I6250" s="508">
        <v>1.4999999999999999E-2</v>
      </c>
      <c r="J6250" s="508">
        <v>1.4999999999999999E-2</v>
      </c>
      <c r="K6250" s="508">
        <v>1.6E-2</v>
      </c>
      <c r="L6250" s="508">
        <v>1.4999999999999999E-2</v>
      </c>
      <c r="M6250" s="508">
        <v>1.6E-2</v>
      </c>
      <c r="N6250" s="508">
        <v>1.4999999999999999E-2</v>
      </c>
      <c r="O6250" s="508">
        <v>1.4999999999999999E-2</v>
      </c>
      <c r="P6250" s="508">
        <v>1.4999999999999999E-2</v>
      </c>
      <c r="Q6250" s="508">
        <v>1.6E-2</v>
      </c>
      <c r="R6250" s="508">
        <v>1.6E-2</v>
      </c>
      <c r="S6250" s="508">
        <v>1.6E-2</v>
      </c>
      <c r="T6250" s="508">
        <v>1.4999999999999999E-2</v>
      </c>
      <c r="U6250" s="508">
        <v>1.6E-2</v>
      </c>
      <c r="V6250" s="508">
        <v>1.4E-2</v>
      </c>
      <c r="W6250" s="508">
        <v>1.4999999999999999E-2</v>
      </c>
      <c r="X6250" s="508">
        <v>1.4E-2</v>
      </c>
      <c r="Y6250" s="508">
        <v>1.4999999999999999E-2</v>
      </c>
      <c r="Z6250" s="508">
        <v>1.4999999999999999E-2</v>
      </c>
      <c r="AA6250" s="508">
        <v>1.4999999999999999E-2</v>
      </c>
      <c r="AB6250" s="508">
        <v>1.4E-2</v>
      </c>
      <c r="AC6250" s="508">
        <v>1.4999999999999999E-2</v>
      </c>
      <c r="AD6250" s="508">
        <v>1.4999999999999999E-2</v>
      </c>
      <c r="AE6250" s="508">
        <v>1.4999999999999999E-2</v>
      </c>
      <c r="AF6250" s="508">
        <v>1.4999999999999999E-2</v>
      </c>
      <c r="AG6250" s="508">
        <v>1.4999999999999999E-2</v>
      </c>
      <c r="AH6250" s="508">
        <v>1.4999999999999999E-2</v>
      </c>
      <c r="AI6250" s="492">
        <v>1.4999999999999999E-2</v>
      </c>
      <c r="AJ6250" s="485"/>
    </row>
    <row r="6251" spans="2:36">
      <c r="B6251" s="136" t="s">
        <v>439</v>
      </c>
      <c r="C6251" s="132" t="s">
        <v>1363</v>
      </c>
      <c r="D6251" s="132" t="s">
        <v>1380</v>
      </c>
      <c r="E6251" s="508">
        <v>1.9E-2</v>
      </c>
      <c r="F6251" s="508">
        <v>1.9E-2</v>
      </c>
      <c r="G6251" s="508">
        <v>1.7999999999999999E-2</v>
      </c>
      <c r="H6251" s="508">
        <v>1.9E-2</v>
      </c>
      <c r="I6251" s="508">
        <v>1.9E-2</v>
      </c>
      <c r="J6251" s="508">
        <v>1.9E-2</v>
      </c>
      <c r="K6251" s="508">
        <v>1.9E-2</v>
      </c>
      <c r="L6251" s="508">
        <v>1.9E-2</v>
      </c>
      <c r="M6251" s="508">
        <v>1.9E-2</v>
      </c>
      <c r="N6251" s="508">
        <v>1.9E-2</v>
      </c>
      <c r="O6251" s="508">
        <v>1.9E-2</v>
      </c>
      <c r="P6251" s="508">
        <v>1.9E-2</v>
      </c>
      <c r="Q6251" s="508">
        <v>0.02</v>
      </c>
      <c r="R6251" s="508">
        <v>1.9E-2</v>
      </c>
      <c r="S6251" s="508">
        <v>1.9E-2</v>
      </c>
      <c r="T6251" s="508">
        <v>1.9E-2</v>
      </c>
      <c r="U6251" s="508">
        <v>1.9E-2</v>
      </c>
      <c r="V6251" s="508">
        <v>1.7999999999999999E-2</v>
      </c>
      <c r="W6251" s="508">
        <v>1.7999999999999999E-2</v>
      </c>
      <c r="X6251" s="508">
        <v>1.7000000000000001E-2</v>
      </c>
      <c r="Y6251" s="508">
        <v>1.7999999999999999E-2</v>
      </c>
      <c r="Z6251" s="508">
        <v>1.7999999999999999E-2</v>
      </c>
      <c r="AA6251" s="508">
        <v>1.7999999999999999E-2</v>
      </c>
      <c r="AB6251" s="508">
        <v>1.7000000000000001E-2</v>
      </c>
      <c r="AC6251" s="508">
        <v>1.9E-2</v>
      </c>
      <c r="AD6251" s="508">
        <v>1.7999999999999999E-2</v>
      </c>
      <c r="AE6251" s="508">
        <v>1.7999999999999999E-2</v>
      </c>
      <c r="AF6251" s="508">
        <v>1.7999999999999999E-2</v>
      </c>
      <c r="AG6251" s="508">
        <v>1.7999999999999999E-2</v>
      </c>
      <c r="AH6251" s="508">
        <v>1.7999999999999999E-2</v>
      </c>
      <c r="AI6251" s="492">
        <v>1.7999999999999999E-2</v>
      </c>
      <c r="AJ6251" s="485"/>
    </row>
    <row r="6252" spans="2:36">
      <c r="B6252" s="136" t="s">
        <v>440</v>
      </c>
      <c r="C6252" s="132" t="s">
        <v>1363</v>
      </c>
      <c r="D6252" s="132" t="s">
        <v>1380</v>
      </c>
      <c r="E6252" s="508">
        <v>1.7999999999999999E-2</v>
      </c>
      <c r="F6252" s="508">
        <v>1.7999999999999999E-2</v>
      </c>
      <c r="G6252" s="508">
        <v>1.7000000000000001E-2</v>
      </c>
      <c r="H6252" s="508">
        <v>1.7999999999999999E-2</v>
      </c>
      <c r="I6252" s="508">
        <v>1.7999999999999999E-2</v>
      </c>
      <c r="J6252" s="508">
        <v>1.7000000000000001E-2</v>
      </c>
      <c r="K6252" s="508">
        <v>1.7999999999999999E-2</v>
      </c>
      <c r="L6252" s="508">
        <v>1.7000000000000001E-2</v>
      </c>
      <c r="M6252" s="508">
        <v>1.7999999999999999E-2</v>
      </c>
      <c r="N6252" s="508">
        <v>1.7999999999999999E-2</v>
      </c>
      <c r="O6252" s="508">
        <v>1.7999999999999999E-2</v>
      </c>
      <c r="P6252" s="508">
        <v>1.7999999999999999E-2</v>
      </c>
      <c r="Q6252" s="508">
        <v>1.7999999999999999E-2</v>
      </c>
      <c r="R6252" s="508">
        <v>1.7999999999999999E-2</v>
      </c>
      <c r="S6252" s="508">
        <v>1.7999999999999999E-2</v>
      </c>
      <c r="T6252" s="508">
        <v>1.7999999999999999E-2</v>
      </c>
      <c r="U6252" s="508">
        <v>1.7999999999999999E-2</v>
      </c>
      <c r="V6252" s="508">
        <v>1.7000000000000001E-2</v>
      </c>
      <c r="W6252" s="508">
        <v>1.7000000000000001E-2</v>
      </c>
      <c r="X6252" s="508">
        <v>1.6E-2</v>
      </c>
      <c r="Y6252" s="508">
        <v>1.7000000000000001E-2</v>
      </c>
      <c r="Z6252" s="508">
        <v>1.7000000000000001E-2</v>
      </c>
      <c r="AA6252" s="508">
        <v>1.7000000000000001E-2</v>
      </c>
      <c r="AB6252" s="508">
        <v>1.6E-2</v>
      </c>
      <c r="AC6252" s="508">
        <v>1.7999999999999999E-2</v>
      </c>
      <c r="AD6252" s="508">
        <v>1.7000000000000001E-2</v>
      </c>
      <c r="AE6252" s="508">
        <v>1.7000000000000001E-2</v>
      </c>
      <c r="AF6252" s="508">
        <v>1.7000000000000001E-2</v>
      </c>
      <c r="AG6252" s="508">
        <v>1.7000000000000001E-2</v>
      </c>
      <c r="AH6252" s="508">
        <v>1.7000000000000001E-2</v>
      </c>
      <c r="AI6252" s="492">
        <v>1.7000000000000001E-2</v>
      </c>
      <c r="AJ6252" s="485"/>
    </row>
    <row r="6253" spans="2:36">
      <c r="B6253" s="136" t="s">
        <v>441</v>
      </c>
      <c r="C6253" s="132" t="s">
        <v>1363</v>
      </c>
      <c r="D6253" s="132" t="s">
        <v>1380</v>
      </c>
      <c r="E6253" s="508">
        <v>1.9E-2</v>
      </c>
      <c r="F6253" s="508">
        <v>1.9E-2</v>
      </c>
      <c r="G6253" s="508">
        <v>1.9E-2</v>
      </c>
      <c r="H6253" s="508">
        <v>1.9E-2</v>
      </c>
      <c r="I6253" s="508">
        <v>1.9E-2</v>
      </c>
      <c r="J6253" s="508">
        <v>1.9E-2</v>
      </c>
      <c r="K6253" s="508">
        <v>1.9E-2</v>
      </c>
      <c r="L6253" s="508">
        <v>1.9E-2</v>
      </c>
      <c r="M6253" s="508">
        <v>0.02</v>
      </c>
      <c r="N6253" s="508">
        <v>1.9E-2</v>
      </c>
      <c r="O6253" s="508">
        <v>1.9E-2</v>
      </c>
      <c r="P6253" s="508">
        <v>1.9E-2</v>
      </c>
      <c r="Q6253" s="508">
        <v>0.02</v>
      </c>
      <c r="R6253" s="508">
        <v>0.02</v>
      </c>
      <c r="S6253" s="508">
        <v>1.9E-2</v>
      </c>
      <c r="T6253" s="508">
        <v>1.9E-2</v>
      </c>
      <c r="U6253" s="508">
        <v>1.9E-2</v>
      </c>
      <c r="V6253" s="508">
        <v>1.7999999999999999E-2</v>
      </c>
      <c r="W6253" s="508">
        <v>1.7999999999999999E-2</v>
      </c>
      <c r="X6253" s="508">
        <v>1.7999999999999999E-2</v>
      </c>
      <c r="Y6253" s="508">
        <v>1.7999999999999999E-2</v>
      </c>
      <c r="Z6253" s="508">
        <v>1.7999999999999999E-2</v>
      </c>
      <c r="AA6253" s="508">
        <v>1.7999999999999999E-2</v>
      </c>
      <c r="AB6253" s="508">
        <v>1.7999999999999999E-2</v>
      </c>
      <c r="AC6253" s="508">
        <v>1.9E-2</v>
      </c>
      <c r="AD6253" s="508">
        <v>1.9E-2</v>
      </c>
      <c r="AE6253" s="508">
        <v>1.7999999999999999E-2</v>
      </c>
      <c r="AF6253" s="508">
        <v>1.7999999999999999E-2</v>
      </c>
      <c r="AG6253" s="508">
        <v>1.7999999999999999E-2</v>
      </c>
      <c r="AH6253" s="508">
        <v>1.7999999999999999E-2</v>
      </c>
      <c r="AI6253" s="492">
        <v>1.7999999999999999E-2</v>
      </c>
      <c r="AJ6253" s="485"/>
    </row>
    <row r="6254" spans="2:36">
      <c r="B6254" s="136" t="s">
        <v>443</v>
      </c>
      <c r="C6254" s="132" t="s">
        <v>1363</v>
      </c>
      <c r="D6254" s="132" t="s">
        <v>1380</v>
      </c>
      <c r="E6254" s="508">
        <v>2.1999999999999999E-2</v>
      </c>
      <c r="F6254" s="508">
        <v>2.1999999999999999E-2</v>
      </c>
      <c r="G6254" s="508">
        <v>2.1000000000000001E-2</v>
      </c>
      <c r="H6254" s="508">
        <v>2.1999999999999999E-2</v>
      </c>
      <c r="I6254" s="508">
        <v>2.1999999999999999E-2</v>
      </c>
      <c r="J6254" s="508">
        <v>2.1000000000000001E-2</v>
      </c>
      <c r="K6254" s="508">
        <v>2.1999999999999999E-2</v>
      </c>
      <c r="L6254" s="508">
        <v>2.1000000000000001E-2</v>
      </c>
      <c r="M6254" s="508">
        <v>2.1999999999999999E-2</v>
      </c>
      <c r="N6254" s="508">
        <v>2.1999999999999999E-2</v>
      </c>
      <c r="O6254" s="508">
        <v>2.1999999999999999E-2</v>
      </c>
      <c r="P6254" s="508">
        <v>2.1999999999999999E-2</v>
      </c>
      <c r="Q6254" s="508">
        <v>2.3E-2</v>
      </c>
      <c r="R6254" s="508">
        <v>2.1999999999999999E-2</v>
      </c>
      <c r="S6254" s="508">
        <v>2.1999999999999999E-2</v>
      </c>
      <c r="T6254" s="508">
        <v>2.1999999999999999E-2</v>
      </c>
      <c r="U6254" s="508">
        <v>2.1999999999999999E-2</v>
      </c>
      <c r="V6254" s="508">
        <v>0.02</v>
      </c>
      <c r="W6254" s="508">
        <v>2.1000000000000001E-2</v>
      </c>
      <c r="X6254" s="508">
        <v>0.02</v>
      </c>
      <c r="Y6254" s="508">
        <v>0.02</v>
      </c>
      <c r="Z6254" s="508">
        <v>2.1000000000000001E-2</v>
      </c>
      <c r="AA6254" s="508">
        <v>2.1000000000000001E-2</v>
      </c>
      <c r="AB6254" s="508">
        <v>0.02</v>
      </c>
      <c r="AC6254" s="508">
        <v>2.1999999999999999E-2</v>
      </c>
      <c r="AD6254" s="508">
        <v>2.1000000000000001E-2</v>
      </c>
      <c r="AE6254" s="508">
        <v>2.1000000000000001E-2</v>
      </c>
      <c r="AF6254" s="508">
        <v>2.1000000000000001E-2</v>
      </c>
      <c r="AG6254" s="508">
        <v>2.1000000000000001E-2</v>
      </c>
      <c r="AH6254" s="508">
        <v>2.1000000000000001E-2</v>
      </c>
      <c r="AI6254" s="492">
        <v>2.1000000000000001E-2</v>
      </c>
      <c r="AJ6254" s="485"/>
    </row>
    <row r="6255" spans="2:36">
      <c r="B6255" s="136" t="s">
        <v>445</v>
      </c>
      <c r="C6255" s="132" t="s">
        <v>1363</v>
      </c>
      <c r="D6255" s="132" t="s">
        <v>1380</v>
      </c>
      <c r="E6255" s="508">
        <v>2.8000000000000001E-2</v>
      </c>
      <c r="F6255" s="508">
        <v>2.8000000000000001E-2</v>
      </c>
      <c r="G6255" s="508">
        <v>2.7E-2</v>
      </c>
      <c r="H6255" s="508">
        <v>2.8000000000000001E-2</v>
      </c>
      <c r="I6255" s="508">
        <v>2.8000000000000001E-2</v>
      </c>
      <c r="J6255" s="508">
        <v>2.7E-2</v>
      </c>
      <c r="K6255" s="508">
        <v>2.8000000000000001E-2</v>
      </c>
      <c r="L6255" s="508">
        <v>2.7E-2</v>
      </c>
      <c r="M6255" s="508">
        <v>2.8000000000000001E-2</v>
      </c>
      <c r="N6255" s="508">
        <v>2.7E-2</v>
      </c>
      <c r="O6255" s="508">
        <v>2.8000000000000001E-2</v>
      </c>
      <c r="P6255" s="508">
        <v>2.8000000000000001E-2</v>
      </c>
      <c r="Q6255" s="508">
        <v>2.9000000000000001E-2</v>
      </c>
      <c r="R6255" s="508">
        <v>2.8000000000000001E-2</v>
      </c>
      <c r="S6255" s="508">
        <v>2.8000000000000001E-2</v>
      </c>
      <c r="T6255" s="508">
        <v>2.8000000000000001E-2</v>
      </c>
      <c r="U6255" s="508">
        <v>2.8000000000000001E-2</v>
      </c>
      <c r="V6255" s="508">
        <v>2.5999999999999999E-2</v>
      </c>
      <c r="W6255" s="508">
        <v>2.7E-2</v>
      </c>
      <c r="X6255" s="508">
        <v>2.5000000000000001E-2</v>
      </c>
      <c r="Y6255" s="508">
        <v>2.5999999999999999E-2</v>
      </c>
      <c r="Z6255" s="508">
        <v>2.5999999999999999E-2</v>
      </c>
      <c r="AA6255" s="508">
        <v>2.5999999999999999E-2</v>
      </c>
      <c r="AB6255" s="508">
        <v>2.5000000000000001E-2</v>
      </c>
      <c r="AC6255" s="508">
        <v>2.7E-2</v>
      </c>
      <c r="AD6255" s="508">
        <v>2.7E-2</v>
      </c>
      <c r="AE6255" s="508">
        <v>2.5999999999999999E-2</v>
      </c>
      <c r="AF6255" s="508">
        <v>2.5999999999999999E-2</v>
      </c>
      <c r="AG6255" s="508">
        <v>2.5999999999999999E-2</v>
      </c>
      <c r="AH6255" s="508">
        <v>2.5999999999999999E-2</v>
      </c>
      <c r="AI6255" s="492">
        <v>2.5999999999999999E-2</v>
      </c>
      <c r="AJ6255" s="485"/>
    </row>
    <row r="6256" spans="2:36">
      <c r="B6256" s="136" t="s">
        <v>446</v>
      </c>
      <c r="C6256" s="132" t="s">
        <v>1363</v>
      </c>
      <c r="D6256" s="132" t="s">
        <v>1380</v>
      </c>
      <c r="E6256" s="508">
        <v>2.3E-2</v>
      </c>
      <c r="F6256" s="508">
        <v>2.3E-2</v>
      </c>
      <c r="G6256" s="508">
        <v>2.1999999999999999E-2</v>
      </c>
      <c r="H6256" s="508">
        <v>2.3E-2</v>
      </c>
      <c r="I6256" s="508">
        <v>2.3E-2</v>
      </c>
      <c r="J6256" s="508">
        <v>2.1999999999999999E-2</v>
      </c>
      <c r="K6256" s="508">
        <v>2.3E-2</v>
      </c>
      <c r="L6256" s="508">
        <v>2.1999999999999999E-2</v>
      </c>
      <c r="M6256" s="508">
        <v>2.3E-2</v>
      </c>
      <c r="N6256" s="508">
        <v>2.1999999999999999E-2</v>
      </c>
      <c r="O6256" s="508">
        <v>2.3E-2</v>
      </c>
      <c r="P6256" s="508">
        <v>2.3E-2</v>
      </c>
      <c r="Q6256" s="508">
        <v>2.3E-2</v>
      </c>
      <c r="R6256" s="508">
        <v>2.3E-2</v>
      </c>
      <c r="S6256" s="508">
        <v>2.3E-2</v>
      </c>
      <c r="T6256" s="508">
        <v>2.3E-2</v>
      </c>
      <c r="U6256" s="508">
        <v>2.3E-2</v>
      </c>
      <c r="V6256" s="508">
        <v>2.1000000000000001E-2</v>
      </c>
      <c r="W6256" s="508">
        <v>2.1999999999999999E-2</v>
      </c>
      <c r="X6256" s="508">
        <v>2.1000000000000001E-2</v>
      </c>
      <c r="Y6256" s="508">
        <v>2.1000000000000001E-2</v>
      </c>
      <c r="Z6256" s="508">
        <v>2.1999999999999999E-2</v>
      </c>
      <c r="AA6256" s="508">
        <v>2.1999999999999999E-2</v>
      </c>
      <c r="AB6256" s="508">
        <v>2.1000000000000001E-2</v>
      </c>
      <c r="AC6256" s="508">
        <v>2.1999999999999999E-2</v>
      </c>
      <c r="AD6256" s="508">
        <v>2.1999999999999999E-2</v>
      </c>
      <c r="AE6256" s="508">
        <v>2.1999999999999999E-2</v>
      </c>
      <c r="AF6256" s="508">
        <v>2.1999999999999999E-2</v>
      </c>
      <c r="AG6256" s="508">
        <v>2.1999999999999999E-2</v>
      </c>
      <c r="AH6256" s="508">
        <v>2.1999999999999999E-2</v>
      </c>
      <c r="AI6256" s="492">
        <v>2.1999999999999999E-2</v>
      </c>
      <c r="AJ6256" s="485"/>
    </row>
    <row r="6257" spans="2:36">
      <c r="B6257" s="136" t="s">
        <v>448</v>
      </c>
      <c r="C6257" s="132" t="s">
        <v>1363</v>
      </c>
      <c r="D6257" s="132" t="s">
        <v>1380</v>
      </c>
      <c r="E6257" s="508">
        <v>1.7000000000000001E-2</v>
      </c>
      <c r="F6257" s="508">
        <v>1.6E-2</v>
      </c>
      <c r="G6257" s="508">
        <v>1.6E-2</v>
      </c>
      <c r="H6257" s="508">
        <v>1.7000000000000001E-2</v>
      </c>
      <c r="I6257" s="508">
        <v>1.7000000000000001E-2</v>
      </c>
      <c r="J6257" s="508">
        <v>1.6E-2</v>
      </c>
      <c r="K6257" s="508">
        <v>1.7000000000000001E-2</v>
      </c>
      <c r="L6257" s="508">
        <v>1.6E-2</v>
      </c>
      <c r="M6257" s="508">
        <v>1.7000000000000001E-2</v>
      </c>
      <c r="N6257" s="508">
        <v>1.6E-2</v>
      </c>
      <c r="O6257" s="508">
        <v>1.7000000000000001E-2</v>
      </c>
      <c r="P6257" s="508">
        <v>1.7000000000000001E-2</v>
      </c>
      <c r="Q6257" s="508">
        <v>1.7000000000000001E-2</v>
      </c>
      <c r="R6257" s="508">
        <v>1.7000000000000001E-2</v>
      </c>
      <c r="S6257" s="508">
        <v>1.7000000000000001E-2</v>
      </c>
      <c r="T6257" s="508">
        <v>1.7000000000000001E-2</v>
      </c>
      <c r="U6257" s="508">
        <v>1.7000000000000001E-2</v>
      </c>
      <c r="V6257" s="508">
        <v>1.4999999999999999E-2</v>
      </c>
      <c r="W6257" s="508">
        <v>1.6E-2</v>
      </c>
      <c r="X6257" s="508">
        <v>1.4999999999999999E-2</v>
      </c>
      <c r="Y6257" s="508">
        <v>1.6E-2</v>
      </c>
      <c r="Z6257" s="508">
        <v>1.6E-2</v>
      </c>
      <c r="AA6257" s="508">
        <v>1.6E-2</v>
      </c>
      <c r="AB6257" s="508">
        <v>1.4999999999999999E-2</v>
      </c>
      <c r="AC6257" s="508">
        <v>1.6E-2</v>
      </c>
      <c r="AD6257" s="508">
        <v>1.6E-2</v>
      </c>
      <c r="AE6257" s="508">
        <v>1.6E-2</v>
      </c>
      <c r="AF6257" s="508">
        <v>1.6E-2</v>
      </c>
      <c r="AG6257" s="508">
        <v>1.6E-2</v>
      </c>
      <c r="AH6257" s="508">
        <v>1.6E-2</v>
      </c>
      <c r="AI6257" s="492">
        <v>1.6E-2</v>
      </c>
      <c r="AJ6257" s="485"/>
    </row>
    <row r="6258" spans="2:36">
      <c r="B6258" s="136" t="s">
        <v>449</v>
      </c>
      <c r="C6258" s="132" t="s">
        <v>1363</v>
      </c>
      <c r="D6258" s="132" t="s">
        <v>1380</v>
      </c>
      <c r="E6258" s="508">
        <v>2.1999999999999999E-2</v>
      </c>
      <c r="F6258" s="508">
        <v>2.1999999999999999E-2</v>
      </c>
      <c r="G6258" s="508">
        <v>2.1000000000000001E-2</v>
      </c>
      <c r="H6258" s="508">
        <v>2.1999999999999999E-2</v>
      </c>
      <c r="I6258" s="508">
        <v>2.1999999999999999E-2</v>
      </c>
      <c r="J6258" s="508">
        <v>2.1999999999999999E-2</v>
      </c>
      <c r="K6258" s="508">
        <v>2.1999999999999999E-2</v>
      </c>
      <c r="L6258" s="508">
        <v>2.1999999999999999E-2</v>
      </c>
      <c r="M6258" s="508">
        <v>2.3E-2</v>
      </c>
      <c r="N6258" s="508">
        <v>2.1999999999999999E-2</v>
      </c>
      <c r="O6258" s="508">
        <v>2.1999999999999999E-2</v>
      </c>
      <c r="P6258" s="508">
        <v>2.1999999999999999E-2</v>
      </c>
      <c r="Q6258" s="508">
        <v>2.3E-2</v>
      </c>
      <c r="R6258" s="508">
        <v>2.1999999999999999E-2</v>
      </c>
      <c r="S6258" s="508">
        <v>2.1999999999999999E-2</v>
      </c>
      <c r="T6258" s="508">
        <v>2.1999999999999999E-2</v>
      </c>
      <c r="U6258" s="508">
        <v>2.1999999999999999E-2</v>
      </c>
      <c r="V6258" s="508">
        <v>2.1000000000000001E-2</v>
      </c>
      <c r="W6258" s="508">
        <v>2.1000000000000001E-2</v>
      </c>
      <c r="X6258" s="508">
        <v>0.02</v>
      </c>
      <c r="Y6258" s="508">
        <v>2.1000000000000001E-2</v>
      </c>
      <c r="Z6258" s="508">
        <v>2.1000000000000001E-2</v>
      </c>
      <c r="AA6258" s="508">
        <v>2.1000000000000001E-2</v>
      </c>
      <c r="AB6258" s="508">
        <v>0.02</v>
      </c>
      <c r="AC6258" s="508">
        <v>2.1999999999999999E-2</v>
      </c>
      <c r="AD6258" s="508">
        <v>2.1999999999999999E-2</v>
      </c>
      <c r="AE6258" s="508">
        <v>2.1000000000000001E-2</v>
      </c>
      <c r="AF6258" s="508">
        <v>2.1000000000000001E-2</v>
      </c>
      <c r="AG6258" s="508">
        <v>2.1000000000000001E-2</v>
      </c>
      <c r="AH6258" s="508">
        <v>2.1000000000000001E-2</v>
      </c>
      <c r="AI6258" s="492">
        <v>2.1000000000000001E-2</v>
      </c>
      <c r="AJ6258" s="485"/>
    </row>
    <row r="6259" spans="2:36">
      <c r="B6259" s="136" t="s">
        <v>450</v>
      </c>
      <c r="C6259" s="132" t="s">
        <v>1363</v>
      </c>
      <c r="D6259" s="132" t="s">
        <v>1380</v>
      </c>
      <c r="E6259" s="508">
        <v>1.7000000000000001E-2</v>
      </c>
      <c r="F6259" s="508">
        <v>1.7000000000000001E-2</v>
      </c>
      <c r="G6259" s="508">
        <v>1.6E-2</v>
      </c>
      <c r="H6259" s="508">
        <v>1.7000000000000001E-2</v>
      </c>
      <c r="I6259" s="508">
        <v>1.7000000000000001E-2</v>
      </c>
      <c r="J6259" s="508">
        <v>1.6E-2</v>
      </c>
      <c r="K6259" s="508">
        <v>1.7000000000000001E-2</v>
      </c>
      <c r="L6259" s="508">
        <v>1.6E-2</v>
      </c>
      <c r="M6259" s="508">
        <v>1.7000000000000001E-2</v>
      </c>
      <c r="N6259" s="508">
        <v>1.6E-2</v>
      </c>
      <c r="O6259" s="508">
        <v>1.7000000000000001E-2</v>
      </c>
      <c r="P6259" s="508">
        <v>1.7000000000000001E-2</v>
      </c>
      <c r="Q6259" s="508">
        <v>1.7000000000000001E-2</v>
      </c>
      <c r="R6259" s="508">
        <v>1.7000000000000001E-2</v>
      </c>
      <c r="S6259" s="508">
        <v>1.7000000000000001E-2</v>
      </c>
      <c r="T6259" s="508">
        <v>1.7000000000000001E-2</v>
      </c>
      <c r="U6259" s="508">
        <v>1.7000000000000001E-2</v>
      </c>
      <c r="V6259" s="508">
        <v>1.6E-2</v>
      </c>
      <c r="W6259" s="508">
        <v>1.6E-2</v>
      </c>
      <c r="X6259" s="508">
        <v>1.6E-2</v>
      </c>
      <c r="Y6259" s="508">
        <v>1.6E-2</v>
      </c>
      <c r="Z6259" s="508">
        <v>1.6E-2</v>
      </c>
      <c r="AA6259" s="508">
        <v>1.6E-2</v>
      </c>
      <c r="AB6259" s="508">
        <v>1.6E-2</v>
      </c>
      <c r="AC6259" s="508">
        <v>1.6E-2</v>
      </c>
      <c r="AD6259" s="508">
        <v>1.6E-2</v>
      </c>
      <c r="AE6259" s="508">
        <v>1.6E-2</v>
      </c>
      <c r="AF6259" s="508">
        <v>1.6E-2</v>
      </c>
      <c r="AG6259" s="508">
        <v>1.6E-2</v>
      </c>
      <c r="AH6259" s="508">
        <v>1.6E-2</v>
      </c>
      <c r="AI6259" s="492">
        <v>1.6E-2</v>
      </c>
      <c r="AJ6259" s="485"/>
    </row>
    <row r="6260" spans="2:36">
      <c r="B6260" s="136" t="s">
        <v>451</v>
      </c>
      <c r="C6260" s="132" t="s">
        <v>1363</v>
      </c>
      <c r="D6260" s="132" t="s">
        <v>1380</v>
      </c>
      <c r="E6260" s="508">
        <v>2.4E-2</v>
      </c>
      <c r="F6260" s="508">
        <v>2.4E-2</v>
      </c>
      <c r="G6260" s="508">
        <v>2.3E-2</v>
      </c>
      <c r="H6260" s="508">
        <v>2.4E-2</v>
      </c>
      <c r="I6260" s="508">
        <v>2.4E-2</v>
      </c>
      <c r="J6260" s="508">
        <v>2.3E-2</v>
      </c>
      <c r="K6260" s="508">
        <v>2.4E-2</v>
      </c>
      <c r="L6260" s="508">
        <v>2.3E-2</v>
      </c>
      <c r="M6260" s="508">
        <v>2.4E-2</v>
      </c>
      <c r="N6260" s="508">
        <v>2.4E-2</v>
      </c>
      <c r="O6260" s="508">
        <v>2.4E-2</v>
      </c>
      <c r="P6260" s="508">
        <v>2.4E-2</v>
      </c>
      <c r="Q6260" s="508">
        <v>2.5000000000000001E-2</v>
      </c>
      <c r="R6260" s="508">
        <v>2.4E-2</v>
      </c>
      <c r="S6260" s="508">
        <v>2.4E-2</v>
      </c>
      <c r="T6260" s="508">
        <v>2.4E-2</v>
      </c>
      <c r="U6260" s="508">
        <v>2.4E-2</v>
      </c>
      <c r="V6260" s="508">
        <v>2.1999999999999999E-2</v>
      </c>
      <c r="W6260" s="508">
        <v>2.3E-2</v>
      </c>
      <c r="X6260" s="508">
        <v>2.1999999999999999E-2</v>
      </c>
      <c r="Y6260" s="508">
        <v>2.1999999999999999E-2</v>
      </c>
      <c r="Z6260" s="508">
        <v>2.3E-2</v>
      </c>
      <c r="AA6260" s="508">
        <v>2.3E-2</v>
      </c>
      <c r="AB6260" s="508">
        <v>2.1999999999999999E-2</v>
      </c>
      <c r="AC6260" s="508">
        <v>2.4E-2</v>
      </c>
      <c r="AD6260" s="508">
        <v>2.3E-2</v>
      </c>
      <c r="AE6260" s="508">
        <v>2.3E-2</v>
      </c>
      <c r="AF6260" s="508">
        <v>2.3E-2</v>
      </c>
      <c r="AG6260" s="508">
        <v>2.3E-2</v>
      </c>
      <c r="AH6260" s="508">
        <v>2.3E-2</v>
      </c>
      <c r="AI6260" s="492">
        <v>2.3E-2</v>
      </c>
      <c r="AJ6260" s="485"/>
    </row>
    <row r="6261" spans="2:36">
      <c r="B6261" s="136" t="s">
        <v>452</v>
      </c>
      <c r="C6261" s="132" t="s">
        <v>1363</v>
      </c>
      <c r="D6261" s="132" t="s">
        <v>1380</v>
      </c>
      <c r="E6261" s="508">
        <v>1.9E-2</v>
      </c>
      <c r="F6261" s="508">
        <v>1.9E-2</v>
      </c>
      <c r="G6261" s="508">
        <v>1.9E-2</v>
      </c>
      <c r="H6261" s="508">
        <v>1.9E-2</v>
      </c>
      <c r="I6261" s="508">
        <v>1.9E-2</v>
      </c>
      <c r="J6261" s="508">
        <v>1.9E-2</v>
      </c>
      <c r="K6261" s="508">
        <v>1.9E-2</v>
      </c>
      <c r="L6261" s="508">
        <v>1.9E-2</v>
      </c>
      <c r="M6261" s="508">
        <v>1.9E-2</v>
      </c>
      <c r="N6261" s="508">
        <v>1.9E-2</v>
      </c>
      <c r="O6261" s="508">
        <v>1.9E-2</v>
      </c>
      <c r="P6261" s="508">
        <v>1.9E-2</v>
      </c>
      <c r="Q6261" s="508">
        <v>0.02</v>
      </c>
      <c r="R6261" s="508">
        <v>1.9E-2</v>
      </c>
      <c r="S6261" s="508">
        <v>1.9E-2</v>
      </c>
      <c r="T6261" s="508">
        <v>1.9E-2</v>
      </c>
      <c r="U6261" s="508">
        <v>1.9E-2</v>
      </c>
      <c r="V6261" s="508">
        <v>1.7999999999999999E-2</v>
      </c>
      <c r="W6261" s="508">
        <v>1.7999999999999999E-2</v>
      </c>
      <c r="X6261" s="508">
        <v>1.7999999999999999E-2</v>
      </c>
      <c r="Y6261" s="508">
        <v>1.7999999999999999E-2</v>
      </c>
      <c r="Z6261" s="508">
        <v>1.7999999999999999E-2</v>
      </c>
      <c r="AA6261" s="508">
        <v>1.7999999999999999E-2</v>
      </c>
      <c r="AB6261" s="508">
        <v>1.7999999999999999E-2</v>
      </c>
      <c r="AC6261" s="508">
        <v>1.9E-2</v>
      </c>
      <c r="AD6261" s="508">
        <v>1.9E-2</v>
      </c>
      <c r="AE6261" s="508">
        <v>1.7999999999999999E-2</v>
      </c>
      <c r="AF6261" s="508">
        <v>1.7999999999999999E-2</v>
      </c>
      <c r="AG6261" s="508">
        <v>1.7999999999999999E-2</v>
      </c>
      <c r="AH6261" s="508">
        <v>1.7999999999999999E-2</v>
      </c>
      <c r="AI6261" s="492">
        <v>1.7999999999999999E-2</v>
      </c>
      <c r="AJ6261" s="485"/>
    </row>
    <row r="6262" spans="2:36">
      <c r="B6262" s="136" t="s">
        <v>453</v>
      </c>
      <c r="C6262" s="132" t="s">
        <v>1363</v>
      </c>
      <c r="D6262" s="132" t="s">
        <v>1380</v>
      </c>
      <c r="E6262" s="508">
        <v>1.6E-2</v>
      </c>
      <c r="F6262" s="508">
        <v>1.6E-2</v>
      </c>
      <c r="G6262" s="508">
        <v>1.4999999999999999E-2</v>
      </c>
      <c r="H6262" s="508">
        <v>1.6E-2</v>
      </c>
      <c r="I6262" s="508">
        <v>1.6E-2</v>
      </c>
      <c r="J6262" s="508">
        <v>1.4999999999999999E-2</v>
      </c>
      <c r="K6262" s="508">
        <v>1.6E-2</v>
      </c>
      <c r="L6262" s="508">
        <v>1.4999999999999999E-2</v>
      </c>
      <c r="M6262" s="508">
        <v>1.6E-2</v>
      </c>
      <c r="N6262" s="508">
        <v>1.6E-2</v>
      </c>
      <c r="O6262" s="508">
        <v>1.6E-2</v>
      </c>
      <c r="P6262" s="508">
        <v>1.6E-2</v>
      </c>
      <c r="Q6262" s="508">
        <v>1.6E-2</v>
      </c>
      <c r="R6262" s="508">
        <v>1.6E-2</v>
      </c>
      <c r="S6262" s="508">
        <v>1.6E-2</v>
      </c>
      <c r="T6262" s="508">
        <v>1.6E-2</v>
      </c>
      <c r="U6262" s="508">
        <v>1.6E-2</v>
      </c>
      <c r="V6262" s="508">
        <v>1.4999999999999999E-2</v>
      </c>
      <c r="W6262" s="508">
        <v>1.4999999999999999E-2</v>
      </c>
      <c r="X6262" s="508">
        <v>1.4E-2</v>
      </c>
      <c r="Y6262" s="508">
        <v>1.4999999999999999E-2</v>
      </c>
      <c r="Z6262" s="508">
        <v>1.4999999999999999E-2</v>
      </c>
      <c r="AA6262" s="508">
        <v>1.4999999999999999E-2</v>
      </c>
      <c r="AB6262" s="508">
        <v>1.4E-2</v>
      </c>
      <c r="AC6262" s="508">
        <v>1.6E-2</v>
      </c>
      <c r="AD6262" s="508">
        <v>1.4999999999999999E-2</v>
      </c>
      <c r="AE6262" s="508">
        <v>1.4999999999999999E-2</v>
      </c>
      <c r="AF6262" s="508">
        <v>1.4999999999999999E-2</v>
      </c>
      <c r="AG6262" s="508">
        <v>1.4999999999999999E-2</v>
      </c>
      <c r="AH6262" s="508">
        <v>1.4999999999999999E-2</v>
      </c>
      <c r="AI6262" s="492">
        <v>1.4999999999999999E-2</v>
      </c>
      <c r="AJ6262" s="485"/>
    </row>
    <row r="6263" spans="2:36">
      <c r="B6263" s="136" t="s">
        <v>454</v>
      </c>
      <c r="C6263" s="132" t="s">
        <v>1363</v>
      </c>
      <c r="D6263" s="132" t="s">
        <v>1380</v>
      </c>
      <c r="E6263" s="508">
        <v>1.7000000000000001E-2</v>
      </c>
      <c r="F6263" s="508">
        <v>1.7000000000000001E-2</v>
      </c>
      <c r="G6263" s="508">
        <v>1.6E-2</v>
      </c>
      <c r="H6263" s="508">
        <v>1.7000000000000001E-2</v>
      </c>
      <c r="I6263" s="508">
        <v>1.7000000000000001E-2</v>
      </c>
      <c r="J6263" s="508">
        <v>1.6E-2</v>
      </c>
      <c r="K6263" s="508">
        <v>1.7000000000000001E-2</v>
      </c>
      <c r="L6263" s="508">
        <v>1.6E-2</v>
      </c>
      <c r="M6263" s="508">
        <v>1.7000000000000001E-2</v>
      </c>
      <c r="N6263" s="508">
        <v>1.6E-2</v>
      </c>
      <c r="O6263" s="508">
        <v>1.7000000000000001E-2</v>
      </c>
      <c r="P6263" s="508">
        <v>1.7000000000000001E-2</v>
      </c>
      <c r="Q6263" s="508">
        <v>1.7000000000000001E-2</v>
      </c>
      <c r="R6263" s="508">
        <v>1.7000000000000001E-2</v>
      </c>
      <c r="S6263" s="508">
        <v>1.7000000000000001E-2</v>
      </c>
      <c r="T6263" s="508">
        <v>1.7000000000000001E-2</v>
      </c>
      <c r="U6263" s="508">
        <v>1.7000000000000001E-2</v>
      </c>
      <c r="V6263" s="508">
        <v>1.4999999999999999E-2</v>
      </c>
      <c r="W6263" s="508">
        <v>1.6E-2</v>
      </c>
      <c r="X6263" s="508">
        <v>1.4999999999999999E-2</v>
      </c>
      <c r="Y6263" s="508">
        <v>1.6E-2</v>
      </c>
      <c r="Z6263" s="508">
        <v>1.6E-2</v>
      </c>
      <c r="AA6263" s="508">
        <v>1.6E-2</v>
      </c>
      <c r="AB6263" s="508">
        <v>1.4999999999999999E-2</v>
      </c>
      <c r="AC6263" s="508">
        <v>1.6E-2</v>
      </c>
      <c r="AD6263" s="508">
        <v>1.6E-2</v>
      </c>
      <c r="AE6263" s="508">
        <v>1.6E-2</v>
      </c>
      <c r="AF6263" s="508">
        <v>1.6E-2</v>
      </c>
      <c r="AG6263" s="508">
        <v>1.6E-2</v>
      </c>
      <c r="AH6263" s="508">
        <v>1.6E-2</v>
      </c>
      <c r="AI6263" s="492">
        <v>1.6E-2</v>
      </c>
      <c r="AJ6263" s="485"/>
    </row>
    <row r="6264" spans="2:36">
      <c r="B6264" s="136" t="s">
        <v>455</v>
      </c>
      <c r="C6264" s="132" t="s">
        <v>1363</v>
      </c>
      <c r="D6264" s="132" t="s">
        <v>1380</v>
      </c>
      <c r="E6264" s="508">
        <v>1.4999999999999999E-2</v>
      </c>
      <c r="F6264" s="508">
        <v>1.4999999999999999E-2</v>
      </c>
      <c r="G6264" s="508">
        <v>1.4E-2</v>
      </c>
      <c r="H6264" s="508">
        <v>1.4999999999999999E-2</v>
      </c>
      <c r="I6264" s="508">
        <v>1.4999999999999999E-2</v>
      </c>
      <c r="J6264" s="508">
        <v>1.4999999999999999E-2</v>
      </c>
      <c r="K6264" s="508">
        <v>1.4999999999999999E-2</v>
      </c>
      <c r="L6264" s="508">
        <v>1.4999999999999999E-2</v>
      </c>
      <c r="M6264" s="508">
        <v>1.4999999999999999E-2</v>
      </c>
      <c r="N6264" s="508">
        <v>1.4999999999999999E-2</v>
      </c>
      <c r="O6264" s="508">
        <v>1.4999999999999999E-2</v>
      </c>
      <c r="P6264" s="508">
        <v>1.4999999999999999E-2</v>
      </c>
      <c r="Q6264" s="508">
        <v>1.4999999999999999E-2</v>
      </c>
      <c r="R6264" s="508">
        <v>1.4999999999999999E-2</v>
      </c>
      <c r="S6264" s="508">
        <v>1.4999999999999999E-2</v>
      </c>
      <c r="T6264" s="508">
        <v>1.4999999999999999E-2</v>
      </c>
      <c r="U6264" s="508">
        <v>1.4999999999999999E-2</v>
      </c>
      <c r="V6264" s="508">
        <v>1.4E-2</v>
      </c>
      <c r="W6264" s="508">
        <v>1.4E-2</v>
      </c>
      <c r="X6264" s="508">
        <v>1.4E-2</v>
      </c>
      <c r="Y6264" s="508">
        <v>1.4E-2</v>
      </c>
      <c r="Z6264" s="508">
        <v>1.4E-2</v>
      </c>
      <c r="AA6264" s="508">
        <v>1.4E-2</v>
      </c>
      <c r="AB6264" s="508">
        <v>1.4E-2</v>
      </c>
      <c r="AC6264" s="508">
        <v>1.4999999999999999E-2</v>
      </c>
      <c r="AD6264" s="508">
        <v>1.4E-2</v>
      </c>
      <c r="AE6264" s="508">
        <v>1.4E-2</v>
      </c>
      <c r="AF6264" s="508">
        <v>1.4E-2</v>
      </c>
      <c r="AG6264" s="508">
        <v>1.4E-2</v>
      </c>
      <c r="AH6264" s="508">
        <v>1.4E-2</v>
      </c>
      <c r="AI6264" s="492">
        <v>1.4E-2</v>
      </c>
      <c r="AJ6264" s="485"/>
    </row>
    <row r="6265" spans="2:36">
      <c r="B6265" s="136" t="s">
        <v>456</v>
      </c>
      <c r="C6265" s="132" t="s">
        <v>1363</v>
      </c>
      <c r="D6265" s="132" t="s">
        <v>1380</v>
      </c>
      <c r="E6265" s="508">
        <v>1.7000000000000001E-2</v>
      </c>
      <c r="F6265" s="508">
        <v>1.7000000000000001E-2</v>
      </c>
      <c r="G6265" s="508">
        <v>1.7000000000000001E-2</v>
      </c>
      <c r="H6265" s="508">
        <v>1.7000000000000001E-2</v>
      </c>
      <c r="I6265" s="508">
        <v>1.7000000000000001E-2</v>
      </c>
      <c r="J6265" s="508">
        <v>1.7000000000000001E-2</v>
      </c>
      <c r="K6265" s="508">
        <v>1.7999999999999999E-2</v>
      </c>
      <c r="L6265" s="508">
        <v>1.7000000000000001E-2</v>
      </c>
      <c r="M6265" s="508">
        <v>1.7999999999999999E-2</v>
      </c>
      <c r="N6265" s="508">
        <v>1.7000000000000001E-2</v>
      </c>
      <c r="O6265" s="508">
        <v>1.7000000000000001E-2</v>
      </c>
      <c r="P6265" s="508">
        <v>1.7000000000000001E-2</v>
      </c>
      <c r="Q6265" s="508">
        <v>1.7999999999999999E-2</v>
      </c>
      <c r="R6265" s="508">
        <v>1.7999999999999999E-2</v>
      </c>
      <c r="S6265" s="508">
        <v>1.7000000000000001E-2</v>
      </c>
      <c r="T6265" s="508">
        <v>1.7000000000000001E-2</v>
      </c>
      <c r="U6265" s="508">
        <v>1.7999999999999999E-2</v>
      </c>
      <c r="V6265" s="508">
        <v>1.6E-2</v>
      </c>
      <c r="W6265" s="508">
        <v>1.7000000000000001E-2</v>
      </c>
      <c r="X6265" s="508">
        <v>1.6E-2</v>
      </c>
      <c r="Y6265" s="508">
        <v>1.6E-2</v>
      </c>
      <c r="Z6265" s="508">
        <v>1.7000000000000001E-2</v>
      </c>
      <c r="AA6265" s="508">
        <v>1.6E-2</v>
      </c>
      <c r="AB6265" s="508">
        <v>1.6E-2</v>
      </c>
      <c r="AC6265" s="508">
        <v>1.7000000000000001E-2</v>
      </c>
      <c r="AD6265" s="508">
        <v>1.7000000000000001E-2</v>
      </c>
      <c r="AE6265" s="508">
        <v>1.6E-2</v>
      </c>
      <c r="AF6265" s="508">
        <v>1.6E-2</v>
      </c>
      <c r="AG6265" s="508">
        <v>1.6E-2</v>
      </c>
      <c r="AH6265" s="508">
        <v>1.6E-2</v>
      </c>
      <c r="AI6265" s="492">
        <v>1.6E-2</v>
      </c>
      <c r="AJ6265" s="485"/>
    </row>
    <row r="6266" spans="2:36">
      <c r="B6266" s="136" t="s">
        <v>457</v>
      </c>
      <c r="C6266" s="132" t="s">
        <v>1363</v>
      </c>
      <c r="D6266" s="132" t="s">
        <v>1380</v>
      </c>
      <c r="E6266" s="508">
        <v>1.4E-2</v>
      </c>
      <c r="F6266" s="508">
        <v>1.4E-2</v>
      </c>
      <c r="G6266" s="508">
        <v>1.4E-2</v>
      </c>
      <c r="H6266" s="508">
        <v>1.4E-2</v>
      </c>
      <c r="I6266" s="508">
        <v>1.4E-2</v>
      </c>
      <c r="J6266" s="508">
        <v>1.4E-2</v>
      </c>
      <c r="K6266" s="508">
        <v>1.4999999999999999E-2</v>
      </c>
      <c r="L6266" s="508">
        <v>1.4E-2</v>
      </c>
      <c r="M6266" s="508">
        <v>1.4999999999999999E-2</v>
      </c>
      <c r="N6266" s="508">
        <v>1.4E-2</v>
      </c>
      <c r="O6266" s="508">
        <v>1.4E-2</v>
      </c>
      <c r="P6266" s="508">
        <v>1.4E-2</v>
      </c>
      <c r="Q6266" s="508">
        <v>1.4999999999999999E-2</v>
      </c>
      <c r="R6266" s="508">
        <v>1.4999999999999999E-2</v>
      </c>
      <c r="S6266" s="508">
        <v>1.4E-2</v>
      </c>
      <c r="T6266" s="508">
        <v>1.4E-2</v>
      </c>
      <c r="U6266" s="508">
        <v>1.4999999999999999E-2</v>
      </c>
      <c r="V6266" s="508">
        <v>1.2999999999999999E-2</v>
      </c>
      <c r="W6266" s="508">
        <v>1.4E-2</v>
      </c>
      <c r="X6266" s="508">
        <v>1.2999999999999999E-2</v>
      </c>
      <c r="Y6266" s="508">
        <v>1.4E-2</v>
      </c>
      <c r="Z6266" s="508">
        <v>1.4E-2</v>
      </c>
      <c r="AA6266" s="508">
        <v>1.4E-2</v>
      </c>
      <c r="AB6266" s="508">
        <v>1.2999999999999999E-2</v>
      </c>
      <c r="AC6266" s="508">
        <v>1.4E-2</v>
      </c>
      <c r="AD6266" s="508">
        <v>1.4E-2</v>
      </c>
      <c r="AE6266" s="508">
        <v>1.4E-2</v>
      </c>
      <c r="AF6266" s="508">
        <v>1.4E-2</v>
      </c>
      <c r="AG6266" s="508">
        <v>1.4E-2</v>
      </c>
      <c r="AH6266" s="508">
        <v>1.4E-2</v>
      </c>
      <c r="AI6266" s="492">
        <v>1.4E-2</v>
      </c>
      <c r="AJ6266" s="485"/>
    </row>
    <row r="6267" spans="2:36">
      <c r="B6267" s="136" t="s">
        <v>458</v>
      </c>
      <c r="C6267" s="132" t="s">
        <v>1363</v>
      </c>
      <c r="D6267" s="132" t="s">
        <v>1380</v>
      </c>
      <c r="E6267" s="508">
        <v>1.7999999999999999E-2</v>
      </c>
      <c r="F6267" s="508">
        <v>1.7999999999999999E-2</v>
      </c>
      <c r="G6267" s="508">
        <v>1.7999999999999999E-2</v>
      </c>
      <c r="H6267" s="508">
        <v>1.7999999999999999E-2</v>
      </c>
      <c r="I6267" s="508">
        <v>1.7999999999999999E-2</v>
      </c>
      <c r="J6267" s="508">
        <v>1.7999999999999999E-2</v>
      </c>
      <c r="K6267" s="508">
        <v>1.7999999999999999E-2</v>
      </c>
      <c r="L6267" s="508">
        <v>1.7999999999999999E-2</v>
      </c>
      <c r="M6267" s="508">
        <v>1.9E-2</v>
      </c>
      <c r="N6267" s="508">
        <v>1.7999999999999999E-2</v>
      </c>
      <c r="O6267" s="508">
        <v>1.7999999999999999E-2</v>
      </c>
      <c r="P6267" s="508">
        <v>1.7999999999999999E-2</v>
      </c>
      <c r="Q6267" s="508">
        <v>1.9E-2</v>
      </c>
      <c r="R6267" s="508">
        <v>1.7999999999999999E-2</v>
      </c>
      <c r="S6267" s="508">
        <v>1.7999999999999999E-2</v>
      </c>
      <c r="T6267" s="508">
        <v>1.7999999999999999E-2</v>
      </c>
      <c r="U6267" s="508">
        <v>1.7999999999999999E-2</v>
      </c>
      <c r="V6267" s="508">
        <v>1.7000000000000001E-2</v>
      </c>
      <c r="W6267" s="508">
        <v>1.7000000000000001E-2</v>
      </c>
      <c r="X6267" s="508">
        <v>1.7000000000000001E-2</v>
      </c>
      <c r="Y6267" s="508">
        <v>1.7000000000000001E-2</v>
      </c>
      <c r="Z6267" s="508">
        <v>1.7000000000000001E-2</v>
      </c>
      <c r="AA6267" s="508">
        <v>1.7000000000000001E-2</v>
      </c>
      <c r="AB6267" s="508">
        <v>1.7000000000000001E-2</v>
      </c>
      <c r="AC6267" s="508">
        <v>1.7999999999999999E-2</v>
      </c>
      <c r="AD6267" s="508">
        <v>1.7999999999999999E-2</v>
      </c>
      <c r="AE6267" s="508">
        <v>1.7000000000000001E-2</v>
      </c>
      <c r="AF6267" s="508">
        <v>1.7000000000000001E-2</v>
      </c>
      <c r="AG6267" s="508">
        <v>1.7000000000000001E-2</v>
      </c>
      <c r="AH6267" s="508">
        <v>1.7000000000000001E-2</v>
      </c>
      <c r="AI6267" s="492">
        <v>1.7000000000000001E-2</v>
      </c>
      <c r="AJ6267" s="485"/>
    </row>
    <row r="6268" spans="2:36">
      <c r="B6268" s="136" t="s">
        <v>459</v>
      </c>
      <c r="C6268" s="132" t="s">
        <v>1363</v>
      </c>
      <c r="D6268" s="132" t="s">
        <v>1380</v>
      </c>
      <c r="E6268" s="508">
        <v>1.7999999999999999E-2</v>
      </c>
      <c r="F6268" s="508">
        <v>1.7999999999999999E-2</v>
      </c>
      <c r="G6268" s="508">
        <v>1.7999999999999999E-2</v>
      </c>
      <c r="H6268" s="508">
        <v>1.7999999999999999E-2</v>
      </c>
      <c r="I6268" s="508">
        <v>1.7999999999999999E-2</v>
      </c>
      <c r="J6268" s="508">
        <v>1.7999999999999999E-2</v>
      </c>
      <c r="K6268" s="508">
        <v>1.7999999999999999E-2</v>
      </c>
      <c r="L6268" s="508">
        <v>1.7999999999999999E-2</v>
      </c>
      <c r="M6268" s="508">
        <v>1.7999999999999999E-2</v>
      </c>
      <c r="N6268" s="508">
        <v>1.7999999999999999E-2</v>
      </c>
      <c r="O6268" s="508">
        <v>1.7999999999999999E-2</v>
      </c>
      <c r="P6268" s="508">
        <v>1.7999999999999999E-2</v>
      </c>
      <c r="Q6268" s="508">
        <v>1.9E-2</v>
      </c>
      <c r="R6268" s="508">
        <v>1.7999999999999999E-2</v>
      </c>
      <c r="S6268" s="508">
        <v>1.7999999999999999E-2</v>
      </c>
      <c r="T6268" s="508">
        <v>1.7999999999999999E-2</v>
      </c>
      <c r="U6268" s="508">
        <v>1.7999999999999999E-2</v>
      </c>
      <c r="V6268" s="508">
        <v>1.7000000000000001E-2</v>
      </c>
      <c r="W6268" s="508">
        <v>1.7000000000000001E-2</v>
      </c>
      <c r="X6268" s="508">
        <v>1.7000000000000001E-2</v>
      </c>
      <c r="Y6268" s="508">
        <v>1.7000000000000001E-2</v>
      </c>
      <c r="Z6268" s="508">
        <v>1.7000000000000001E-2</v>
      </c>
      <c r="AA6268" s="508">
        <v>1.7000000000000001E-2</v>
      </c>
      <c r="AB6268" s="508">
        <v>1.7000000000000001E-2</v>
      </c>
      <c r="AC6268" s="508">
        <v>1.7999999999999999E-2</v>
      </c>
      <c r="AD6268" s="508">
        <v>1.7999999999999999E-2</v>
      </c>
      <c r="AE6268" s="508">
        <v>1.7000000000000001E-2</v>
      </c>
      <c r="AF6268" s="508">
        <v>1.7000000000000001E-2</v>
      </c>
      <c r="AG6268" s="508">
        <v>1.7000000000000001E-2</v>
      </c>
      <c r="AH6268" s="508">
        <v>1.7000000000000001E-2</v>
      </c>
      <c r="AI6268" s="492">
        <v>1.7000000000000001E-2</v>
      </c>
      <c r="AJ6268" s="485"/>
    </row>
    <row r="6269" spans="2:36">
      <c r="B6269" s="136" t="s">
        <v>460</v>
      </c>
      <c r="C6269" s="132" t="s">
        <v>1363</v>
      </c>
      <c r="D6269" s="132" t="s">
        <v>1380</v>
      </c>
      <c r="E6269" s="508">
        <v>1.7999999999999999E-2</v>
      </c>
      <c r="F6269" s="508">
        <v>1.7999999999999999E-2</v>
      </c>
      <c r="G6269" s="508">
        <v>1.7999999999999999E-2</v>
      </c>
      <c r="H6269" s="508">
        <v>1.7999999999999999E-2</v>
      </c>
      <c r="I6269" s="508">
        <v>1.7999999999999999E-2</v>
      </c>
      <c r="J6269" s="508">
        <v>1.7999999999999999E-2</v>
      </c>
      <c r="K6269" s="508">
        <v>1.7999999999999999E-2</v>
      </c>
      <c r="L6269" s="508">
        <v>1.7999999999999999E-2</v>
      </c>
      <c r="M6269" s="508">
        <v>1.7999999999999999E-2</v>
      </c>
      <c r="N6269" s="508">
        <v>1.7999999999999999E-2</v>
      </c>
      <c r="O6269" s="508">
        <v>1.7999999999999999E-2</v>
      </c>
      <c r="P6269" s="508">
        <v>1.7999999999999999E-2</v>
      </c>
      <c r="Q6269" s="508">
        <v>1.9E-2</v>
      </c>
      <c r="R6269" s="508">
        <v>1.7999999999999999E-2</v>
      </c>
      <c r="S6269" s="508">
        <v>1.7999999999999999E-2</v>
      </c>
      <c r="T6269" s="508">
        <v>1.7999999999999999E-2</v>
      </c>
      <c r="U6269" s="508">
        <v>1.7999999999999999E-2</v>
      </c>
      <c r="V6269" s="508">
        <v>1.7000000000000001E-2</v>
      </c>
      <c r="W6269" s="508">
        <v>1.7000000000000001E-2</v>
      </c>
      <c r="X6269" s="508">
        <v>1.7000000000000001E-2</v>
      </c>
      <c r="Y6269" s="508">
        <v>1.7000000000000001E-2</v>
      </c>
      <c r="Z6269" s="508">
        <v>1.7000000000000001E-2</v>
      </c>
      <c r="AA6269" s="508">
        <v>1.7000000000000001E-2</v>
      </c>
      <c r="AB6269" s="508">
        <v>1.7000000000000001E-2</v>
      </c>
      <c r="AC6269" s="508">
        <v>1.7999999999999999E-2</v>
      </c>
      <c r="AD6269" s="508">
        <v>1.7999999999999999E-2</v>
      </c>
      <c r="AE6269" s="508">
        <v>1.7000000000000001E-2</v>
      </c>
      <c r="AF6269" s="508">
        <v>1.7000000000000001E-2</v>
      </c>
      <c r="AG6269" s="508">
        <v>1.7000000000000001E-2</v>
      </c>
      <c r="AH6269" s="508">
        <v>1.7000000000000001E-2</v>
      </c>
      <c r="AI6269" s="492">
        <v>1.7000000000000001E-2</v>
      </c>
      <c r="AJ6269" s="485"/>
    </row>
    <row r="6270" spans="2:36">
      <c r="B6270" s="136" t="s">
        <v>461</v>
      </c>
      <c r="C6270" s="132" t="s">
        <v>1363</v>
      </c>
      <c r="D6270" s="132" t="s">
        <v>1380</v>
      </c>
      <c r="E6270" s="508">
        <v>1.7999999999999999E-2</v>
      </c>
      <c r="F6270" s="508">
        <v>1.7999999999999999E-2</v>
      </c>
      <c r="G6270" s="508">
        <v>1.7000000000000001E-2</v>
      </c>
      <c r="H6270" s="508">
        <v>1.7999999999999999E-2</v>
      </c>
      <c r="I6270" s="508">
        <v>1.7999999999999999E-2</v>
      </c>
      <c r="J6270" s="508">
        <v>1.7000000000000001E-2</v>
      </c>
      <c r="K6270" s="508">
        <v>1.7999999999999999E-2</v>
      </c>
      <c r="L6270" s="508">
        <v>1.7000000000000001E-2</v>
      </c>
      <c r="M6270" s="508">
        <v>1.7999999999999999E-2</v>
      </c>
      <c r="N6270" s="508">
        <v>1.7000000000000001E-2</v>
      </c>
      <c r="O6270" s="508">
        <v>1.7999999999999999E-2</v>
      </c>
      <c r="P6270" s="508">
        <v>1.7999999999999999E-2</v>
      </c>
      <c r="Q6270" s="508">
        <v>1.7999999999999999E-2</v>
      </c>
      <c r="R6270" s="508">
        <v>1.7999999999999999E-2</v>
      </c>
      <c r="S6270" s="508">
        <v>1.7999999999999999E-2</v>
      </c>
      <c r="T6270" s="508">
        <v>1.7999999999999999E-2</v>
      </c>
      <c r="U6270" s="508">
        <v>1.7999999999999999E-2</v>
      </c>
      <c r="V6270" s="508">
        <v>1.6E-2</v>
      </c>
      <c r="W6270" s="508">
        <v>1.7000000000000001E-2</v>
      </c>
      <c r="X6270" s="508">
        <v>1.6E-2</v>
      </c>
      <c r="Y6270" s="508">
        <v>1.7000000000000001E-2</v>
      </c>
      <c r="Z6270" s="508">
        <v>1.7000000000000001E-2</v>
      </c>
      <c r="AA6270" s="508">
        <v>1.7000000000000001E-2</v>
      </c>
      <c r="AB6270" s="508">
        <v>1.6E-2</v>
      </c>
      <c r="AC6270" s="508">
        <v>1.7000000000000001E-2</v>
      </c>
      <c r="AD6270" s="508">
        <v>1.7000000000000001E-2</v>
      </c>
      <c r="AE6270" s="508">
        <v>1.7000000000000001E-2</v>
      </c>
      <c r="AF6270" s="508">
        <v>1.7000000000000001E-2</v>
      </c>
      <c r="AG6270" s="508">
        <v>1.7000000000000001E-2</v>
      </c>
      <c r="AH6270" s="508">
        <v>1.7000000000000001E-2</v>
      </c>
      <c r="AI6270" s="492">
        <v>1.7000000000000001E-2</v>
      </c>
      <c r="AJ6270" s="485"/>
    </row>
    <row r="6271" spans="2:36">
      <c r="B6271" s="136" t="s">
        <v>462</v>
      </c>
      <c r="C6271" s="132" t="s">
        <v>1363</v>
      </c>
      <c r="D6271" s="132" t="s">
        <v>1380</v>
      </c>
      <c r="E6271" s="508">
        <v>1.7000000000000001E-2</v>
      </c>
      <c r="F6271" s="508">
        <v>1.7000000000000001E-2</v>
      </c>
      <c r="G6271" s="508">
        <v>1.6E-2</v>
      </c>
      <c r="H6271" s="508">
        <v>1.7000000000000001E-2</v>
      </c>
      <c r="I6271" s="508">
        <v>1.7000000000000001E-2</v>
      </c>
      <c r="J6271" s="508">
        <v>1.6E-2</v>
      </c>
      <c r="K6271" s="508">
        <v>1.7000000000000001E-2</v>
      </c>
      <c r="L6271" s="508">
        <v>1.6E-2</v>
      </c>
      <c r="M6271" s="508">
        <v>1.7000000000000001E-2</v>
      </c>
      <c r="N6271" s="508">
        <v>1.7000000000000001E-2</v>
      </c>
      <c r="O6271" s="508">
        <v>1.7000000000000001E-2</v>
      </c>
      <c r="P6271" s="508">
        <v>1.7000000000000001E-2</v>
      </c>
      <c r="Q6271" s="508">
        <v>1.7000000000000001E-2</v>
      </c>
      <c r="R6271" s="508">
        <v>1.7000000000000001E-2</v>
      </c>
      <c r="S6271" s="508">
        <v>1.7000000000000001E-2</v>
      </c>
      <c r="T6271" s="508">
        <v>1.7000000000000001E-2</v>
      </c>
      <c r="U6271" s="508">
        <v>1.7000000000000001E-2</v>
      </c>
      <c r="V6271" s="508">
        <v>1.6E-2</v>
      </c>
      <c r="W6271" s="508">
        <v>1.6E-2</v>
      </c>
      <c r="X6271" s="508">
        <v>1.4999999999999999E-2</v>
      </c>
      <c r="Y6271" s="508">
        <v>1.6E-2</v>
      </c>
      <c r="Z6271" s="508">
        <v>1.6E-2</v>
      </c>
      <c r="AA6271" s="508">
        <v>1.6E-2</v>
      </c>
      <c r="AB6271" s="508">
        <v>1.4999999999999999E-2</v>
      </c>
      <c r="AC6271" s="508">
        <v>1.7000000000000001E-2</v>
      </c>
      <c r="AD6271" s="508">
        <v>1.6E-2</v>
      </c>
      <c r="AE6271" s="508">
        <v>1.6E-2</v>
      </c>
      <c r="AF6271" s="508">
        <v>1.6E-2</v>
      </c>
      <c r="AG6271" s="508">
        <v>1.6E-2</v>
      </c>
      <c r="AH6271" s="508">
        <v>1.6E-2</v>
      </c>
      <c r="AI6271" s="492">
        <v>1.6E-2</v>
      </c>
      <c r="AJ6271" s="485"/>
    </row>
    <row r="6272" spans="2:36">
      <c r="B6272" s="136" t="s">
        <v>463</v>
      </c>
      <c r="C6272" s="132" t="s">
        <v>1363</v>
      </c>
      <c r="D6272" s="132" t="s">
        <v>1380</v>
      </c>
      <c r="E6272" s="508">
        <v>1.4999999999999999E-2</v>
      </c>
      <c r="F6272" s="508">
        <v>1.4999999999999999E-2</v>
      </c>
      <c r="G6272" s="508">
        <v>1.4E-2</v>
      </c>
      <c r="H6272" s="508">
        <v>1.4999999999999999E-2</v>
      </c>
      <c r="I6272" s="508">
        <v>1.4999999999999999E-2</v>
      </c>
      <c r="J6272" s="508">
        <v>1.4999999999999999E-2</v>
      </c>
      <c r="K6272" s="508">
        <v>1.4999999999999999E-2</v>
      </c>
      <c r="L6272" s="508">
        <v>1.4999999999999999E-2</v>
      </c>
      <c r="M6272" s="508">
        <v>1.4999999999999999E-2</v>
      </c>
      <c r="N6272" s="508">
        <v>1.4999999999999999E-2</v>
      </c>
      <c r="O6272" s="508">
        <v>1.4999999999999999E-2</v>
      </c>
      <c r="P6272" s="508">
        <v>1.4999999999999999E-2</v>
      </c>
      <c r="Q6272" s="508">
        <v>1.4999999999999999E-2</v>
      </c>
      <c r="R6272" s="508">
        <v>1.4999999999999999E-2</v>
      </c>
      <c r="S6272" s="508">
        <v>1.4999999999999999E-2</v>
      </c>
      <c r="T6272" s="508">
        <v>1.4999999999999999E-2</v>
      </c>
      <c r="U6272" s="508">
        <v>1.4999999999999999E-2</v>
      </c>
      <c r="V6272" s="508">
        <v>1.4E-2</v>
      </c>
      <c r="W6272" s="508">
        <v>1.4E-2</v>
      </c>
      <c r="X6272" s="508">
        <v>1.4E-2</v>
      </c>
      <c r="Y6272" s="508">
        <v>1.4E-2</v>
      </c>
      <c r="Z6272" s="508">
        <v>1.4E-2</v>
      </c>
      <c r="AA6272" s="508">
        <v>1.4E-2</v>
      </c>
      <c r="AB6272" s="508">
        <v>1.4E-2</v>
      </c>
      <c r="AC6272" s="508">
        <v>1.4999999999999999E-2</v>
      </c>
      <c r="AD6272" s="508">
        <v>1.4999999999999999E-2</v>
      </c>
      <c r="AE6272" s="508">
        <v>1.4E-2</v>
      </c>
      <c r="AF6272" s="508">
        <v>1.4E-2</v>
      </c>
      <c r="AG6272" s="508">
        <v>1.4E-2</v>
      </c>
      <c r="AH6272" s="508">
        <v>1.4E-2</v>
      </c>
      <c r="AI6272" s="492">
        <v>1.4E-2</v>
      </c>
      <c r="AJ6272" s="485"/>
    </row>
    <row r="6273" spans="2:36">
      <c r="B6273" s="136" t="s">
        <v>464</v>
      </c>
      <c r="C6273" s="132" t="s">
        <v>1363</v>
      </c>
      <c r="D6273" s="132" t="s">
        <v>1380</v>
      </c>
      <c r="E6273" s="508">
        <v>1.4E-2</v>
      </c>
      <c r="F6273" s="508">
        <v>1.4E-2</v>
      </c>
      <c r="G6273" s="508">
        <v>1.4E-2</v>
      </c>
      <c r="H6273" s="508">
        <v>1.4E-2</v>
      </c>
      <c r="I6273" s="508">
        <v>1.4E-2</v>
      </c>
      <c r="J6273" s="508">
        <v>1.4E-2</v>
      </c>
      <c r="K6273" s="508">
        <v>1.4E-2</v>
      </c>
      <c r="L6273" s="508">
        <v>1.4E-2</v>
      </c>
      <c r="M6273" s="508">
        <v>1.4E-2</v>
      </c>
      <c r="N6273" s="508">
        <v>1.4E-2</v>
      </c>
      <c r="O6273" s="508">
        <v>1.4E-2</v>
      </c>
      <c r="P6273" s="508">
        <v>1.4E-2</v>
      </c>
      <c r="Q6273" s="508">
        <v>1.4999999999999999E-2</v>
      </c>
      <c r="R6273" s="508">
        <v>1.4E-2</v>
      </c>
      <c r="S6273" s="508">
        <v>1.4E-2</v>
      </c>
      <c r="T6273" s="508">
        <v>1.4E-2</v>
      </c>
      <c r="U6273" s="508">
        <v>1.4E-2</v>
      </c>
      <c r="V6273" s="508">
        <v>1.2999999999999999E-2</v>
      </c>
      <c r="W6273" s="508">
        <v>1.4E-2</v>
      </c>
      <c r="X6273" s="508">
        <v>1.2999999999999999E-2</v>
      </c>
      <c r="Y6273" s="508">
        <v>1.2999999999999999E-2</v>
      </c>
      <c r="Z6273" s="508">
        <v>1.2999999999999999E-2</v>
      </c>
      <c r="AA6273" s="508">
        <v>1.2999999999999999E-2</v>
      </c>
      <c r="AB6273" s="508">
        <v>1.2999999999999999E-2</v>
      </c>
      <c r="AC6273" s="508">
        <v>1.4E-2</v>
      </c>
      <c r="AD6273" s="508">
        <v>1.4E-2</v>
      </c>
      <c r="AE6273" s="508">
        <v>1.2999999999999999E-2</v>
      </c>
      <c r="AF6273" s="508">
        <v>1.2999999999999999E-2</v>
      </c>
      <c r="AG6273" s="508">
        <v>1.2999999999999999E-2</v>
      </c>
      <c r="AH6273" s="508">
        <v>1.2999999999999999E-2</v>
      </c>
      <c r="AI6273" s="492">
        <v>1.2999999999999999E-2</v>
      </c>
      <c r="AJ6273" s="485"/>
    </row>
    <row r="6274" spans="2:36">
      <c r="B6274" s="136" t="s">
        <v>465</v>
      </c>
      <c r="C6274" s="132" t="s">
        <v>1363</v>
      </c>
      <c r="D6274" s="132" t="s">
        <v>1380</v>
      </c>
      <c r="E6274" s="508">
        <v>1.4999999999999999E-2</v>
      </c>
      <c r="F6274" s="508">
        <v>1.4999999999999999E-2</v>
      </c>
      <c r="G6274" s="508">
        <v>1.4E-2</v>
      </c>
      <c r="H6274" s="508">
        <v>1.4999999999999999E-2</v>
      </c>
      <c r="I6274" s="508">
        <v>1.4999999999999999E-2</v>
      </c>
      <c r="J6274" s="508">
        <v>1.4999999999999999E-2</v>
      </c>
      <c r="K6274" s="508">
        <v>1.4999999999999999E-2</v>
      </c>
      <c r="L6274" s="508">
        <v>1.4999999999999999E-2</v>
      </c>
      <c r="M6274" s="508">
        <v>1.4999999999999999E-2</v>
      </c>
      <c r="N6274" s="508">
        <v>1.4999999999999999E-2</v>
      </c>
      <c r="O6274" s="508">
        <v>1.4999999999999999E-2</v>
      </c>
      <c r="P6274" s="508">
        <v>1.4999999999999999E-2</v>
      </c>
      <c r="Q6274" s="508">
        <v>1.4999999999999999E-2</v>
      </c>
      <c r="R6274" s="508">
        <v>1.4999999999999999E-2</v>
      </c>
      <c r="S6274" s="508">
        <v>1.4999999999999999E-2</v>
      </c>
      <c r="T6274" s="508">
        <v>1.4999999999999999E-2</v>
      </c>
      <c r="U6274" s="508">
        <v>1.4999999999999999E-2</v>
      </c>
      <c r="V6274" s="508">
        <v>1.4E-2</v>
      </c>
      <c r="W6274" s="508">
        <v>1.4E-2</v>
      </c>
      <c r="X6274" s="508">
        <v>1.4E-2</v>
      </c>
      <c r="Y6274" s="508">
        <v>1.4E-2</v>
      </c>
      <c r="Z6274" s="508">
        <v>1.4E-2</v>
      </c>
      <c r="AA6274" s="508">
        <v>1.4E-2</v>
      </c>
      <c r="AB6274" s="508">
        <v>1.4E-2</v>
      </c>
      <c r="AC6274" s="508">
        <v>1.4999999999999999E-2</v>
      </c>
      <c r="AD6274" s="508">
        <v>1.4999999999999999E-2</v>
      </c>
      <c r="AE6274" s="508">
        <v>1.4E-2</v>
      </c>
      <c r="AF6274" s="508">
        <v>1.4E-2</v>
      </c>
      <c r="AG6274" s="508">
        <v>1.4E-2</v>
      </c>
      <c r="AH6274" s="508">
        <v>1.4E-2</v>
      </c>
      <c r="AI6274" s="492">
        <v>1.4E-2</v>
      </c>
      <c r="AJ6274" s="485"/>
    </row>
    <row r="6275" spans="2:36">
      <c r="B6275" s="136" t="s">
        <v>466</v>
      </c>
      <c r="C6275" s="132" t="s">
        <v>1363</v>
      </c>
      <c r="D6275" s="132" t="s">
        <v>1380</v>
      </c>
      <c r="E6275" s="508">
        <v>2.1000000000000001E-2</v>
      </c>
      <c r="F6275" s="508">
        <v>0.02</v>
      </c>
      <c r="G6275" s="508">
        <v>0.02</v>
      </c>
      <c r="H6275" s="508">
        <v>2.1000000000000001E-2</v>
      </c>
      <c r="I6275" s="508">
        <v>2.1000000000000001E-2</v>
      </c>
      <c r="J6275" s="508">
        <v>0.02</v>
      </c>
      <c r="K6275" s="508">
        <v>2.1000000000000001E-2</v>
      </c>
      <c r="L6275" s="508">
        <v>0.02</v>
      </c>
      <c r="M6275" s="508">
        <v>2.1000000000000001E-2</v>
      </c>
      <c r="N6275" s="508">
        <v>0.02</v>
      </c>
      <c r="O6275" s="508">
        <v>2.1000000000000001E-2</v>
      </c>
      <c r="P6275" s="508">
        <v>2.1000000000000001E-2</v>
      </c>
      <c r="Q6275" s="508">
        <v>2.1000000000000001E-2</v>
      </c>
      <c r="R6275" s="508">
        <v>2.1000000000000001E-2</v>
      </c>
      <c r="S6275" s="508">
        <v>2.1000000000000001E-2</v>
      </c>
      <c r="T6275" s="508">
        <v>0.02</v>
      </c>
      <c r="U6275" s="508">
        <v>2.1000000000000001E-2</v>
      </c>
      <c r="V6275" s="508">
        <v>1.9E-2</v>
      </c>
      <c r="W6275" s="508">
        <v>0.02</v>
      </c>
      <c r="X6275" s="508">
        <v>1.9E-2</v>
      </c>
      <c r="Y6275" s="508">
        <v>1.9E-2</v>
      </c>
      <c r="Z6275" s="508">
        <v>0.02</v>
      </c>
      <c r="AA6275" s="508">
        <v>1.9E-2</v>
      </c>
      <c r="AB6275" s="508">
        <v>1.9E-2</v>
      </c>
      <c r="AC6275" s="508">
        <v>0.02</v>
      </c>
      <c r="AD6275" s="508">
        <v>0.02</v>
      </c>
      <c r="AE6275" s="508">
        <v>1.9E-2</v>
      </c>
      <c r="AF6275" s="508">
        <v>1.9E-2</v>
      </c>
      <c r="AG6275" s="508">
        <v>1.9E-2</v>
      </c>
      <c r="AH6275" s="508">
        <v>1.9E-2</v>
      </c>
      <c r="AI6275" s="492">
        <v>1.9E-2</v>
      </c>
      <c r="AJ6275" s="485"/>
    </row>
    <row r="6276" spans="2:36">
      <c r="B6276" s="136" t="s">
        <v>467</v>
      </c>
      <c r="C6276" s="132" t="s">
        <v>1363</v>
      </c>
      <c r="D6276" s="132" t="s">
        <v>1380</v>
      </c>
      <c r="E6276" s="508">
        <v>1.7000000000000001E-2</v>
      </c>
      <c r="F6276" s="508">
        <v>1.7000000000000001E-2</v>
      </c>
      <c r="G6276" s="508">
        <v>1.7000000000000001E-2</v>
      </c>
      <c r="H6276" s="508">
        <v>1.7000000000000001E-2</v>
      </c>
      <c r="I6276" s="508">
        <v>1.7000000000000001E-2</v>
      </c>
      <c r="J6276" s="508">
        <v>1.7000000000000001E-2</v>
      </c>
      <c r="K6276" s="508">
        <v>1.7000000000000001E-2</v>
      </c>
      <c r="L6276" s="508">
        <v>1.7000000000000001E-2</v>
      </c>
      <c r="M6276" s="508">
        <v>1.7000000000000001E-2</v>
      </c>
      <c r="N6276" s="508">
        <v>1.7000000000000001E-2</v>
      </c>
      <c r="O6276" s="508">
        <v>1.7000000000000001E-2</v>
      </c>
      <c r="P6276" s="508">
        <v>1.7000000000000001E-2</v>
      </c>
      <c r="Q6276" s="508">
        <v>1.7999999999999999E-2</v>
      </c>
      <c r="R6276" s="508">
        <v>1.7000000000000001E-2</v>
      </c>
      <c r="S6276" s="508">
        <v>1.7000000000000001E-2</v>
      </c>
      <c r="T6276" s="508">
        <v>1.7000000000000001E-2</v>
      </c>
      <c r="U6276" s="508">
        <v>1.7000000000000001E-2</v>
      </c>
      <c r="V6276" s="508">
        <v>1.6E-2</v>
      </c>
      <c r="W6276" s="508">
        <v>1.6E-2</v>
      </c>
      <c r="X6276" s="508">
        <v>1.6E-2</v>
      </c>
      <c r="Y6276" s="508">
        <v>1.6E-2</v>
      </c>
      <c r="Z6276" s="508">
        <v>1.6E-2</v>
      </c>
      <c r="AA6276" s="508">
        <v>1.6E-2</v>
      </c>
      <c r="AB6276" s="508">
        <v>1.6E-2</v>
      </c>
      <c r="AC6276" s="508">
        <v>1.7000000000000001E-2</v>
      </c>
      <c r="AD6276" s="508">
        <v>1.7000000000000001E-2</v>
      </c>
      <c r="AE6276" s="508">
        <v>1.6E-2</v>
      </c>
      <c r="AF6276" s="508">
        <v>1.6E-2</v>
      </c>
      <c r="AG6276" s="508">
        <v>1.6E-2</v>
      </c>
      <c r="AH6276" s="508">
        <v>1.6E-2</v>
      </c>
      <c r="AI6276" s="492">
        <v>1.6E-2</v>
      </c>
      <c r="AJ6276" s="485"/>
    </row>
    <row r="6277" spans="2:36">
      <c r="B6277" s="136" t="s">
        <v>468</v>
      </c>
      <c r="C6277" s="132" t="s">
        <v>1363</v>
      </c>
      <c r="D6277" s="132" t="s">
        <v>1380</v>
      </c>
      <c r="E6277" s="508">
        <v>1.4E-2</v>
      </c>
      <c r="F6277" s="508">
        <v>1.2999999999999999E-2</v>
      </c>
      <c r="G6277" s="508">
        <v>1.2999999999999999E-2</v>
      </c>
      <c r="H6277" s="508">
        <v>1.4E-2</v>
      </c>
      <c r="I6277" s="508">
        <v>1.4E-2</v>
      </c>
      <c r="J6277" s="508">
        <v>1.2999999999999999E-2</v>
      </c>
      <c r="K6277" s="508">
        <v>1.4E-2</v>
      </c>
      <c r="L6277" s="508">
        <v>1.2999999999999999E-2</v>
      </c>
      <c r="M6277" s="508">
        <v>1.4E-2</v>
      </c>
      <c r="N6277" s="508">
        <v>1.2999999999999999E-2</v>
      </c>
      <c r="O6277" s="508">
        <v>1.4E-2</v>
      </c>
      <c r="P6277" s="508">
        <v>1.4E-2</v>
      </c>
      <c r="Q6277" s="508">
        <v>1.4E-2</v>
      </c>
      <c r="R6277" s="508">
        <v>1.4E-2</v>
      </c>
      <c r="S6277" s="508">
        <v>1.4E-2</v>
      </c>
      <c r="T6277" s="508">
        <v>1.2999999999999999E-2</v>
      </c>
      <c r="U6277" s="508">
        <v>1.4E-2</v>
      </c>
      <c r="V6277" s="508">
        <v>1.2999999999999999E-2</v>
      </c>
      <c r="W6277" s="508">
        <v>1.2999999999999999E-2</v>
      </c>
      <c r="X6277" s="508">
        <v>1.2E-2</v>
      </c>
      <c r="Y6277" s="508">
        <v>1.2999999999999999E-2</v>
      </c>
      <c r="Z6277" s="508">
        <v>1.2999999999999999E-2</v>
      </c>
      <c r="AA6277" s="508">
        <v>1.2999999999999999E-2</v>
      </c>
      <c r="AB6277" s="508">
        <v>1.2E-2</v>
      </c>
      <c r="AC6277" s="508">
        <v>1.2999999999999999E-2</v>
      </c>
      <c r="AD6277" s="508">
        <v>1.2999999999999999E-2</v>
      </c>
      <c r="AE6277" s="508">
        <v>1.2999999999999999E-2</v>
      </c>
      <c r="AF6277" s="508">
        <v>1.2999999999999999E-2</v>
      </c>
      <c r="AG6277" s="508">
        <v>1.2999999999999999E-2</v>
      </c>
      <c r="AH6277" s="508">
        <v>1.2999999999999999E-2</v>
      </c>
      <c r="AI6277" s="492">
        <v>1.2999999999999999E-2</v>
      </c>
      <c r="AJ6277" s="485"/>
    </row>
    <row r="6278" spans="2:36">
      <c r="B6278" s="136" t="s">
        <v>469</v>
      </c>
      <c r="C6278" s="132" t="s">
        <v>1363</v>
      </c>
      <c r="D6278" s="132" t="s">
        <v>1380</v>
      </c>
      <c r="E6278" s="508">
        <v>1.6E-2</v>
      </c>
      <c r="F6278" s="508">
        <v>1.6E-2</v>
      </c>
      <c r="G6278" s="508">
        <v>1.4999999999999999E-2</v>
      </c>
      <c r="H6278" s="508">
        <v>1.6E-2</v>
      </c>
      <c r="I6278" s="508">
        <v>1.6E-2</v>
      </c>
      <c r="J6278" s="508">
        <v>1.4999999999999999E-2</v>
      </c>
      <c r="K6278" s="508">
        <v>1.6E-2</v>
      </c>
      <c r="L6278" s="508">
        <v>1.4999999999999999E-2</v>
      </c>
      <c r="M6278" s="508">
        <v>1.6E-2</v>
      </c>
      <c r="N6278" s="508">
        <v>1.4999999999999999E-2</v>
      </c>
      <c r="O6278" s="508">
        <v>1.6E-2</v>
      </c>
      <c r="P6278" s="508">
        <v>1.6E-2</v>
      </c>
      <c r="Q6278" s="508">
        <v>1.6E-2</v>
      </c>
      <c r="R6278" s="508">
        <v>1.6E-2</v>
      </c>
      <c r="S6278" s="508">
        <v>1.6E-2</v>
      </c>
      <c r="T6278" s="508">
        <v>1.6E-2</v>
      </c>
      <c r="U6278" s="508">
        <v>1.6E-2</v>
      </c>
      <c r="V6278" s="508">
        <v>1.4999999999999999E-2</v>
      </c>
      <c r="W6278" s="508">
        <v>1.4999999999999999E-2</v>
      </c>
      <c r="X6278" s="508">
        <v>1.4E-2</v>
      </c>
      <c r="Y6278" s="508">
        <v>1.4999999999999999E-2</v>
      </c>
      <c r="Z6278" s="508">
        <v>1.4999999999999999E-2</v>
      </c>
      <c r="AA6278" s="508">
        <v>1.4999999999999999E-2</v>
      </c>
      <c r="AB6278" s="508">
        <v>1.4E-2</v>
      </c>
      <c r="AC6278" s="508">
        <v>1.4999999999999999E-2</v>
      </c>
      <c r="AD6278" s="508">
        <v>1.4999999999999999E-2</v>
      </c>
      <c r="AE6278" s="508">
        <v>1.4999999999999999E-2</v>
      </c>
      <c r="AF6278" s="508">
        <v>1.4999999999999999E-2</v>
      </c>
      <c r="AG6278" s="508">
        <v>1.4999999999999999E-2</v>
      </c>
      <c r="AH6278" s="508">
        <v>1.4999999999999999E-2</v>
      </c>
      <c r="AI6278" s="492">
        <v>1.4999999999999999E-2</v>
      </c>
      <c r="AJ6278" s="485"/>
    </row>
    <row r="6279" spans="2:36">
      <c r="B6279" s="136" t="s">
        <v>470</v>
      </c>
      <c r="C6279" s="132" t="s">
        <v>1363</v>
      </c>
      <c r="D6279" s="132" t="s">
        <v>1380</v>
      </c>
      <c r="E6279" s="508">
        <v>0.02</v>
      </c>
      <c r="F6279" s="508">
        <v>0.02</v>
      </c>
      <c r="G6279" s="508">
        <v>1.9E-2</v>
      </c>
      <c r="H6279" s="508">
        <v>0.02</v>
      </c>
      <c r="I6279" s="508">
        <v>0.02</v>
      </c>
      <c r="J6279" s="508">
        <v>1.9E-2</v>
      </c>
      <c r="K6279" s="508">
        <v>0.02</v>
      </c>
      <c r="L6279" s="508">
        <v>1.9E-2</v>
      </c>
      <c r="M6279" s="508">
        <v>0.02</v>
      </c>
      <c r="N6279" s="508">
        <v>1.9E-2</v>
      </c>
      <c r="O6279" s="508">
        <v>0.02</v>
      </c>
      <c r="P6279" s="508">
        <v>0.02</v>
      </c>
      <c r="Q6279" s="508">
        <v>0.02</v>
      </c>
      <c r="R6279" s="508">
        <v>0.02</v>
      </c>
      <c r="S6279" s="508">
        <v>0.02</v>
      </c>
      <c r="T6279" s="508">
        <v>0.02</v>
      </c>
      <c r="U6279" s="508">
        <v>0.02</v>
      </c>
      <c r="V6279" s="508">
        <v>1.7999999999999999E-2</v>
      </c>
      <c r="W6279" s="508">
        <v>1.9E-2</v>
      </c>
      <c r="X6279" s="508">
        <v>1.7999999999999999E-2</v>
      </c>
      <c r="Y6279" s="508">
        <v>1.7999999999999999E-2</v>
      </c>
      <c r="Z6279" s="508">
        <v>1.9E-2</v>
      </c>
      <c r="AA6279" s="508">
        <v>1.9E-2</v>
      </c>
      <c r="AB6279" s="508">
        <v>1.7999999999999999E-2</v>
      </c>
      <c r="AC6279" s="508">
        <v>1.9E-2</v>
      </c>
      <c r="AD6279" s="508">
        <v>1.9E-2</v>
      </c>
      <c r="AE6279" s="508">
        <v>1.9E-2</v>
      </c>
      <c r="AF6279" s="508">
        <v>1.9E-2</v>
      </c>
      <c r="AG6279" s="508">
        <v>1.9E-2</v>
      </c>
      <c r="AH6279" s="508">
        <v>1.9E-2</v>
      </c>
      <c r="AI6279" s="492">
        <v>1.9E-2</v>
      </c>
      <c r="AJ6279" s="485"/>
    </row>
    <row r="6280" spans="2:36">
      <c r="B6280" s="136" t="s">
        <v>471</v>
      </c>
      <c r="C6280" s="132" t="s">
        <v>1363</v>
      </c>
      <c r="D6280" s="132" t="s">
        <v>1380</v>
      </c>
      <c r="E6280" s="508">
        <v>1.9E-2</v>
      </c>
      <c r="F6280" s="508">
        <v>1.9E-2</v>
      </c>
      <c r="G6280" s="508">
        <v>1.7999999999999999E-2</v>
      </c>
      <c r="H6280" s="508">
        <v>1.9E-2</v>
      </c>
      <c r="I6280" s="508">
        <v>1.9E-2</v>
      </c>
      <c r="J6280" s="508">
        <v>1.7999999999999999E-2</v>
      </c>
      <c r="K6280" s="508">
        <v>1.9E-2</v>
      </c>
      <c r="L6280" s="508">
        <v>1.7999999999999999E-2</v>
      </c>
      <c r="M6280" s="508">
        <v>1.9E-2</v>
      </c>
      <c r="N6280" s="508">
        <v>1.7999999999999999E-2</v>
      </c>
      <c r="O6280" s="508">
        <v>1.9E-2</v>
      </c>
      <c r="P6280" s="508">
        <v>1.9E-2</v>
      </c>
      <c r="Q6280" s="508">
        <v>1.9E-2</v>
      </c>
      <c r="R6280" s="508">
        <v>1.9E-2</v>
      </c>
      <c r="S6280" s="508">
        <v>1.9E-2</v>
      </c>
      <c r="T6280" s="508">
        <v>1.9E-2</v>
      </c>
      <c r="U6280" s="508">
        <v>1.9E-2</v>
      </c>
      <c r="V6280" s="508">
        <v>1.7000000000000001E-2</v>
      </c>
      <c r="W6280" s="508">
        <v>1.7999999999999999E-2</v>
      </c>
      <c r="X6280" s="508">
        <v>1.7000000000000001E-2</v>
      </c>
      <c r="Y6280" s="508">
        <v>1.7000000000000001E-2</v>
      </c>
      <c r="Z6280" s="508">
        <v>1.7999999999999999E-2</v>
      </c>
      <c r="AA6280" s="508">
        <v>1.7999999999999999E-2</v>
      </c>
      <c r="AB6280" s="508">
        <v>1.7000000000000001E-2</v>
      </c>
      <c r="AC6280" s="508">
        <v>1.7999999999999999E-2</v>
      </c>
      <c r="AD6280" s="508">
        <v>1.7999999999999999E-2</v>
      </c>
      <c r="AE6280" s="508">
        <v>1.7999999999999999E-2</v>
      </c>
      <c r="AF6280" s="508">
        <v>1.7999999999999999E-2</v>
      </c>
      <c r="AG6280" s="508">
        <v>1.7999999999999999E-2</v>
      </c>
      <c r="AH6280" s="508">
        <v>1.7999999999999999E-2</v>
      </c>
      <c r="AI6280" s="492">
        <v>1.7999999999999999E-2</v>
      </c>
      <c r="AJ6280" s="485"/>
    </row>
    <row r="6281" spans="2:36">
      <c r="B6281" s="136" t="s">
        <v>472</v>
      </c>
      <c r="C6281" s="132" t="s">
        <v>1363</v>
      </c>
      <c r="D6281" s="132" t="s">
        <v>1380</v>
      </c>
      <c r="E6281" s="508">
        <v>1.4E-2</v>
      </c>
      <c r="F6281" s="508">
        <v>1.4E-2</v>
      </c>
      <c r="G6281" s="508">
        <v>1.4E-2</v>
      </c>
      <c r="H6281" s="508">
        <v>1.4E-2</v>
      </c>
      <c r="I6281" s="508">
        <v>1.4E-2</v>
      </c>
      <c r="J6281" s="508">
        <v>1.4E-2</v>
      </c>
      <c r="K6281" s="508">
        <v>1.4999999999999999E-2</v>
      </c>
      <c r="L6281" s="508">
        <v>1.4E-2</v>
      </c>
      <c r="M6281" s="508">
        <v>1.4999999999999999E-2</v>
      </c>
      <c r="N6281" s="508">
        <v>1.4E-2</v>
      </c>
      <c r="O6281" s="508">
        <v>1.4E-2</v>
      </c>
      <c r="P6281" s="508">
        <v>1.4E-2</v>
      </c>
      <c r="Q6281" s="508">
        <v>1.4999999999999999E-2</v>
      </c>
      <c r="R6281" s="508">
        <v>1.4999999999999999E-2</v>
      </c>
      <c r="S6281" s="508">
        <v>1.4999999999999999E-2</v>
      </c>
      <c r="T6281" s="508">
        <v>1.4E-2</v>
      </c>
      <c r="U6281" s="508">
        <v>1.4999999999999999E-2</v>
      </c>
      <c r="V6281" s="508">
        <v>1.2999999999999999E-2</v>
      </c>
      <c r="W6281" s="508">
        <v>1.4E-2</v>
      </c>
      <c r="X6281" s="508">
        <v>1.2999999999999999E-2</v>
      </c>
      <c r="Y6281" s="508">
        <v>1.4E-2</v>
      </c>
      <c r="Z6281" s="508">
        <v>1.4E-2</v>
      </c>
      <c r="AA6281" s="508">
        <v>1.4E-2</v>
      </c>
      <c r="AB6281" s="508">
        <v>1.2999999999999999E-2</v>
      </c>
      <c r="AC6281" s="508">
        <v>1.4E-2</v>
      </c>
      <c r="AD6281" s="508">
        <v>1.4E-2</v>
      </c>
      <c r="AE6281" s="508">
        <v>1.4E-2</v>
      </c>
      <c r="AF6281" s="508">
        <v>1.4E-2</v>
      </c>
      <c r="AG6281" s="508">
        <v>1.4E-2</v>
      </c>
      <c r="AH6281" s="508">
        <v>1.4E-2</v>
      </c>
      <c r="AI6281" s="492">
        <v>1.4E-2</v>
      </c>
      <c r="AJ6281" s="485"/>
    </row>
    <row r="6282" spans="2:36">
      <c r="B6282" s="136" t="s">
        <v>473</v>
      </c>
      <c r="C6282" s="132" t="s">
        <v>1363</v>
      </c>
      <c r="D6282" s="132" t="s">
        <v>1380</v>
      </c>
      <c r="E6282" s="508">
        <v>0.02</v>
      </c>
      <c r="F6282" s="508">
        <v>0.02</v>
      </c>
      <c r="G6282" s="508">
        <v>1.9E-2</v>
      </c>
      <c r="H6282" s="508">
        <v>0.02</v>
      </c>
      <c r="I6282" s="508">
        <v>0.02</v>
      </c>
      <c r="J6282" s="508">
        <v>1.9E-2</v>
      </c>
      <c r="K6282" s="508">
        <v>0.02</v>
      </c>
      <c r="L6282" s="508">
        <v>1.9E-2</v>
      </c>
      <c r="M6282" s="508">
        <v>0.02</v>
      </c>
      <c r="N6282" s="508">
        <v>0.02</v>
      </c>
      <c r="O6282" s="508">
        <v>0.02</v>
      </c>
      <c r="P6282" s="508">
        <v>0.02</v>
      </c>
      <c r="Q6282" s="508">
        <v>0.02</v>
      </c>
      <c r="R6282" s="508">
        <v>0.02</v>
      </c>
      <c r="S6282" s="508">
        <v>0.02</v>
      </c>
      <c r="T6282" s="508">
        <v>0.02</v>
      </c>
      <c r="U6282" s="508">
        <v>0.02</v>
      </c>
      <c r="V6282" s="508">
        <v>1.7999999999999999E-2</v>
      </c>
      <c r="W6282" s="508">
        <v>1.9E-2</v>
      </c>
      <c r="X6282" s="508">
        <v>1.7999999999999999E-2</v>
      </c>
      <c r="Y6282" s="508">
        <v>1.9E-2</v>
      </c>
      <c r="Z6282" s="508">
        <v>1.9E-2</v>
      </c>
      <c r="AA6282" s="508">
        <v>1.9E-2</v>
      </c>
      <c r="AB6282" s="508">
        <v>1.7999999999999999E-2</v>
      </c>
      <c r="AC6282" s="508">
        <v>1.9E-2</v>
      </c>
      <c r="AD6282" s="508">
        <v>1.9E-2</v>
      </c>
      <c r="AE6282" s="508">
        <v>1.9E-2</v>
      </c>
      <c r="AF6282" s="508">
        <v>1.9E-2</v>
      </c>
      <c r="AG6282" s="508">
        <v>1.9E-2</v>
      </c>
      <c r="AH6282" s="508">
        <v>1.9E-2</v>
      </c>
      <c r="AI6282" s="492">
        <v>1.9E-2</v>
      </c>
      <c r="AJ6282" s="485"/>
    </row>
    <row r="6283" spans="2:36">
      <c r="B6283" s="136" t="s">
        <v>474</v>
      </c>
      <c r="C6283" s="132" t="s">
        <v>1363</v>
      </c>
      <c r="D6283" s="132" t="s">
        <v>1380</v>
      </c>
      <c r="E6283" s="508">
        <v>1.7000000000000001E-2</v>
      </c>
      <c r="F6283" s="508">
        <v>1.7000000000000001E-2</v>
      </c>
      <c r="G6283" s="508">
        <v>1.7000000000000001E-2</v>
      </c>
      <c r="H6283" s="508">
        <v>1.7999999999999999E-2</v>
      </c>
      <c r="I6283" s="508">
        <v>1.7000000000000001E-2</v>
      </c>
      <c r="J6283" s="508">
        <v>1.7000000000000001E-2</v>
      </c>
      <c r="K6283" s="508">
        <v>1.7999999999999999E-2</v>
      </c>
      <c r="L6283" s="508">
        <v>1.7000000000000001E-2</v>
      </c>
      <c r="M6283" s="508">
        <v>1.7999999999999999E-2</v>
      </c>
      <c r="N6283" s="508">
        <v>1.7000000000000001E-2</v>
      </c>
      <c r="O6283" s="508">
        <v>1.7000000000000001E-2</v>
      </c>
      <c r="P6283" s="508">
        <v>1.7000000000000001E-2</v>
      </c>
      <c r="Q6283" s="508">
        <v>1.7999999999999999E-2</v>
      </c>
      <c r="R6283" s="508">
        <v>1.7999999999999999E-2</v>
      </c>
      <c r="S6283" s="508">
        <v>1.7999999999999999E-2</v>
      </c>
      <c r="T6283" s="508">
        <v>1.7000000000000001E-2</v>
      </c>
      <c r="U6283" s="508">
        <v>1.7999999999999999E-2</v>
      </c>
      <c r="V6283" s="508">
        <v>1.6E-2</v>
      </c>
      <c r="W6283" s="508">
        <v>1.7000000000000001E-2</v>
      </c>
      <c r="X6283" s="508">
        <v>1.6E-2</v>
      </c>
      <c r="Y6283" s="508">
        <v>1.6E-2</v>
      </c>
      <c r="Z6283" s="508">
        <v>1.7000000000000001E-2</v>
      </c>
      <c r="AA6283" s="508">
        <v>1.7000000000000001E-2</v>
      </c>
      <c r="AB6283" s="508">
        <v>1.6E-2</v>
      </c>
      <c r="AC6283" s="508">
        <v>1.7000000000000001E-2</v>
      </c>
      <c r="AD6283" s="508">
        <v>1.7000000000000001E-2</v>
      </c>
      <c r="AE6283" s="508">
        <v>1.7000000000000001E-2</v>
      </c>
      <c r="AF6283" s="508">
        <v>1.7000000000000001E-2</v>
      </c>
      <c r="AG6283" s="508">
        <v>1.7000000000000001E-2</v>
      </c>
      <c r="AH6283" s="508">
        <v>1.7000000000000001E-2</v>
      </c>
      <c r="AI6283" s="492">
        <v>1.7000000000000001E-2</v>
      </c>
      <c r="AJ6283" s="485"/>
    </row>
    <row r="6284" spans="2:36">
      <c r="B6284" s="136" t="s">
        <v>475</v>
      </c>
      <c r="C6284" s="132" t="s">
        <v>1363</v>
      </c>
      <c r="D6284" s="132" t="s">
        <v>1380</v>
      </c>
      <c r="E6284" s="508">
        <v>1.7000000000000001E-2</v>
      </c>
      <c r="F6284" s="508">
        <v>1.7000000000000001E-2</v>
      </c>
      <c r="G6284" s="508">
        <v>1.6E-2</v>
      </c>
      <c r="H6284" s="508">
        <v>1.7000000000000001E-2</v>
      </c>
      <c r="I6284" s="508">
        <v>1.7000000000000001E-2</v>
      </c>
      <c r="J6284" s="508">
        <v>1.6E-2</v>
      </c>
      <c r="K6284" s="508">
        <v>1.7000000000000001E-2</v>
      </c>
      <c r="L6284" s="508">
        <v>1.6E-2</v>
      </c>
      <c r="M6284" s="508">
        <v>1.7000000000000001E-2</v>
      </c>
      <c r="N6284" s="508">
        <v>1.6E-2</v>
      </c>
      <c r="O6284" s="508">
        <v>1.7000000000000001E-2</v>
      </c>
      <c r="P6284" s="508">
        <v>1.7000000000000001E-2</v>
      </c>
      <c r="Q6284" s="508">
        <v>1.7000000000000001E-2</v>
      </c>
      <c r="R6284" s="508">
        <v>1.7000000000000001E-2</v>
      </c>
      <c r="S6284" s="508">
        <v>1.7000000000000001E-2</v>
      </c>
      <c r="T6284" s="508">
        <v>1.7000000000000001E-2</v>
      </c>
      <c r="U6284" s="508">
        <v>1.7000000000000001E-2</v>
      </c>
      <c r="V6284" s="508">
        <v>1.4999999999999999E-2</v>
      </c>
      <c r="W6284" s="508">
        <v>1.6E-2</v>
      </c>
      <c r="X6284" s="508">
        <v>1.4999999999999999E-2</v>
      </c>
      <c r="Y6284" s="508">
        <v>1.6E-2</v>
      </c>
      <c r="Z6284" s="508">
        <v>1.6E-2</v>
      </c>
      <c r="AA6284" s="508">
        <v>1.6E-2</v>
      </c>
      <c r="AB6284" s="508">
        <v>1.4999999999999999E-2</v>
      </c>
      <c r="AC6284" s="508">
        <v>1.6E-2</v>
      </c>
      <c r="AD6284" s="508">
        <v>1.6E-2</v>
      </c>
      <c r="AE6284" s="508">
        <v>1.6E-2</v>
      </c>
      <c r="AF6284" s="508">
        <v>1.6E-2</v>
      </c>
      <c r="AG6284" s="508">
        <v>1.6E-2</v>
      </c>
      <c r="AH6284" s="508">
        <v>1.6E-2</v>
      </c>
      <c r="AI6284" s="492">
        <v>1.6E-2</v>
      </c>
      <c r="AJ6284" s="485"/>
    </row>
    <row r="6285" spans="2:36">
      <c r="B6285" s="136" t="s">
        <v>476</v>
      </c>
      <c r="C6285" s="132" t="s">
        <v>1363</v>
      </c>
      <c r="D6285" s="132" t="s">
        <v>1380</v>
      </c>
      <c r="E6285" s="508">
        <v>1.7999999999999999E-2</v>
      </c>
      <c r="F6285" s="508">
        <v>1.7999999999999999E-2</v>
      </c>
      <c r="G6285" s="508">
        <v>1.7999999999999999E-2</v>
      </c>
      <c r="H6285" s="508">
        <v>1.7999999999999999E-2</v>
      </c>
      <c r="I6285" s="508">
        <v>1.7999999999999999E-2</v>
      </c>
      <c r="J6285" s="508">
        <v>1.7999999999999999E-2</v>
      </c>
      <c r="K6285" s="508">
        <v>1.7999999999999999E-2</v>
      </c>
      <c r="L6285" s="508">
        <v>1.7999999999999999E-2</v>
      </c>
      <c r="M6285" s="508">
        <v>1.7999999999999999E-2</v>
      </c>
      <c r="N6285" s="508">
        <v>1.7999999999999999E-2</v>
      </c>
      <c r="O6285" s="508">
        <v>1.7999999999999999E-2</v>
      </c>
      <c r="P6285" s="508">
        <v>1.7999999999999999E-2</v>
      </c>
      <c r="Q6285" s="508">
        <v>1.9E-2</v>
      </c>
      <c r="R6285" s="508">
        <v>1.7999999999999999E-2</v>
      </c>
      <c r="S6285" s="508">
        <v>1.7999999999999999E-2</v>
      </c>
      <c r="T6285" s="508">
        <v>1.7999999999999999E-2</v>
      </c>
      <c r="U6285" s="508">
        <v>1.7999999999999999E-2</v>
      </c>
      <c r="V6285" s="508">
        <v>1.7000000000000001E-2</v>
      </c>
      <c r="W6285" s="508">
        <v>1.7000000000000001E-2</v>
      </c>
      <c r="X6285" s="508">
        <v>1.7000000000000001E-2</v>
      </c>
      <c r="Y6285" s="508">
        <v>1.7000000000000001E-2</v>
      </c>
      <c r="Z6285" s="508">
        <v>1.7000000000000001E-2</v>
      </c>
      <c r="AA6285" s="508">
        <v>1.7000000000000001E-2</v>
      </c>
      <c r="AB6285" s="508">
        <v>1.7000000000000001E-2</v>
      </c>
      <c r="AC6285" s="508">
        <v>1.7999999999999999E-2</v>
      </c>
      <c r="AD6285" s="508">
        <v>1.7999999999999999E-2</v>
      </c>
      <c r="AE6285" s="508">
        <v>1.7000000000000001E-2</v>
      </c>
      <c r="AF6285" s="508">
        <v>1.7000000000000001E-2</v>
      </c>
      <c r="AG6285" s="508">
        <v>1.7000000000000001E-2</v>
      </c>
      <c r="AH6285" s="508">
        <v>1.7000000000000001E-2</v>
      </c>
      <c r="AI6285" s="492">
        <v>1.7000000000000001E-2</v>
      </c>
      <c r="AJ6285" s="485"/>
    </row>
    <row r="6286" spans="2:36">
      <c r="B6286" s="136" t="s">
        <v>478</v>
      </c>
      <c r="C6286" s="132" t="s">
        <v>1363</v>
      </c>
      <c r="D6286" s="132" t="s">
        <v>1380</v>
      </c>
      <c r="E6286" s="508">
        <v>0.02</v>
      </c>
      <c r="F6286" s="508">
        <v>0.02</v>
      </c>
      <c r="G6286" s="508">
        <v>1.9E-2</v>
      </c>
      <c r="H6286" s="508">
        <v>0.02</v>
      </c>
      <c r="I6286" s="508">
        <v>0.02</v>
      </c>
      <c r="J6286" s="508">
        <v>0.02</v>
      </c>
      <c r="K6286" s="508">
        <v>0.02</v>
      </c>
      <c r="L6286" s="508">
        <v>0.02</v>
      </c>
      <c r="M6286" s="508">
        <v>0.02</v>
      </c>
      <c r="N6286" s="508">
        <v>0.02</v>
      </c>
      <c r="O6286" s="508">
        <v>0.02</v>
      </c>
      <c r="P6286" s="508">
        <v>0.02</v>
      </c>
      <c r="Q6286" s="508">
        <v>2.1000000000000001E-2</v>
      </c>
      <c r="R6286" s="508">
        <v>0.02</v>
      </c>
      <c r="S6286" s="508">
        <v>0.02</v>
      </c>
      <c r="T6286" s="508">
        <v>0.02</v>
      </c>
      <c r="U6286" s="508">
        <v>0.02</v>
      </c>
      <c r="V6286" s="508">
        <v>1.9E-2</v>
      </c>
      <c r="W6286" s="508">
        <v>1.9E-2</v>
      </c>
      <c r="X6286" s="508">
        <v>1.7999999999999999E-2</v>
      </c>
      <c r="Y6286" s="508">
        <v>1.9E-2</v>
      </c>
      <c r="Z6286" s="508">
        <v>1.9E-2</v>
      </c>
      <c r="AA6286" s="508">
        <v>1.9E-2</v>
      </c>
      <c r="AB6286" s="508">
        <v>1.7999999999999999E-2</v>
      </c>
      <c r="AC6286" s="508">
        <v>0.02</v>
      </c>
      <c r="AD6286" s="508">
        <v>0.02</v>
      </c>
      <c r="AE6286" s="508">
        <v>1.9E-2</v>
      </c>
      <c r="AF6286" s="508">
        <v>1.9E-2</v>
      </c>
      <c r="AG6286" s="508">
        <v>1.9E-2</v>
      </c>
      <c r="AH6286" s="508">
        <v>1.9E-2</v>
      </c>
      <c r="AI6286" s="492">
        <v>1.9E-2</v>
      </c>
      <c r="AJ6286" s="485"/>
    </row>
    <row r="6287" spans="2:36">
      <c r="B6287" s="136" t="s">
        <v>479</v>
      </c>
      <c r="C6287" s="132" t="s">
        <v>1363</v>
      </c>
      <c r="D6287" s="132" t="s">
        <v>1380</v>
      </c>
      <c r="E6287" s="508">
        <v>1.7000000000000001E-2</v>
      </c>
      <c r="F6287" s="508">
        <v>1.7000000000000001E-2</v>
      </c>
      <c r="G6287" s="508">
        <v>1.6E-2</v>
      </c>
      <c r="H6287" s="508">
        <v>1.7000000000000001E-2</v>
      </c>
      <c r="I6287" s="508">
        <v>1.7000000000000001E-2</v>
      </c>
      <c r="J6287" s="508">
        <v>1.6E-2</v>
      </c>
      <c r="K6287" s="508">
        <v>1.7000000000000001E-2</v>
      </c>
      <c r="L6287" s="508">
        <v>1.6E-2</v>
      </c>
      <c r="M6287" s="508">
        <v>1.7000000000000001E-2</v>
      </c>
      <c r="N6287" s="508">
        <v>1.6E-2</v>
      </c>
      <c r="O6287" s="508">
        <v>1.7000000000000001E-2</v>
      </c>
      <c r="P6287" s="508">
        <v>1.7000000000000001E-2</v>
      </c>
      <c r="Q6287" s="508">
        <v>1.7000000000000001E-2</v>
      </c>
      <c r="R6287" s="508">
        <v>1.7000000000000001E-2</v>
      </c>
      <c r="S6287" s="508">
        <v>1.7000000000000001E-2</v>
      </c>
      <c r="T6287" s="508">
        <v>1.7000000000000001E-2</v>
      </c>
      <c r="U6287" s="508">
        <v>1.7000000000000001E-2</v>
      </c>
      <c r="V6287" s="508">
        <v>1.4999999999999999E-2</v>
      </c>
      <c r="W6287" s="508">
        <v>1.6E-2</v>
      </c>
      <c r="X6287" s="508">
        <v>1.4999999999999999E-2</v>
      </c>
      <c r="Y6287" s="508">
        <v>1.6E-2</v>
      </c>
      <c r="Z6287" s="508">
        <v>1.6E-2</v>
      </c>
      <c r="AA6287" s="508">
        <v>1.6E-2</v>
      </c>
      <c r="AB6287" s="508">
        <v>1.4999999999999999E-2</v>
      </c>
      <c r="AC6287" s="508">
        <v>1.6E-2</v>
      </c>
      <c r="AD6287" s="508">
        <v>1.6E-2</v>
      </c>
      <c r="AE6287" s="508">
        <v>1.6E-2</v>
      </c>
      <c r="AF6287" s="508">
        <v>1.6E-2</v>
      </c>
      <c r="AG6287" s="508">
        <v>1.6E-2</v>
      </c>
      <c r="AH6287" s="508">
        <v>1.6E-2</v>
      </c>
      <c r="AI6287" s="492">
        <v>1.6E-2</v>
      </c>
      <c r="AJ6287" s="485"/>
    </row>
    <row r="6288" spans="2:36">
      <c r="B6288" s="136" t="s">
        <v>480</v>
      </c>
      <c r="C6288" s="132" t="s">
        <v>1363</v>
      </c>
      <c r="D6288" s="132" t="s">
        <v>1380</v>
      </c>
      <c r="E6288" s="508">
        <v>1.4E-2</v>
      </c>
      <c r="F6288" s="508">
        <v>1.4E-2</v>
      </c>
      <c r="G6288" s="508">
        <v>1.2999999999999999E-2</v>
      </c>
      <c r="H6288" s="508">
        <v>1.4E-2</v>
      </c>
      <c r="I6288" s="508">
        <v>1.4E-2</v>
      </c>
      <c r="J6288" s="508">
        <v>1.2999999999999999E-2</v>
      </c>
      <c r="K6288" s="508">
        <v>1.4E-2</v>
      </c>
      <c r="L6288" s="508">
        <v>1.2999999999999999E-2</v>
      </c>
      <c r="M6288" s="508">
        <v>1.4E-2</v>
      </c>
      <c r="N6288" s="508">
        <v>1.2999999999999999E-2</v>
      </c>
      <c r="O6288" s="508">
        <v>1.4E-2</v>
      </c>
      <c r="P6288" s="508">
        <v>1.4E-2</v>
      </c>
      <c r="Q6288" s="508">
        <v>1.4E-2</v>
      </c>
      <c r="R6288" s="508">
        <v>1.4E-2</v>
      </c>
      <c r="S6288" s="508">
        <v>1.4E-2</v>
      </c>
      <c r="T6288" s="508">
        <v>1.4E-2</v>
      </c>
      <c r="U6288" s="508">
        <v>1.4E-2</v>
      </c>
      <c r="V6288" s="508">
        <v>1.2999999999999999E-2</v>
      </c>
      <c r="W6288" s="508">
        <v>1.2999999999999999E-2</v>
      </c>
      <c r="X6288" s="508">
        <v>1.2999999999999999E-2</v>
      </c>
      <c r="Y6288" s="508">
        <v>1.2999999999999999E-2</v>
      </c>
      <c r="Z6288" s="508">
        <v>1.2999999999999999E-2</v>
      </c>
      <c r="AA6288" s="508">
        <v>1.2999999999999999E-2</v>
      </c>
      <c r="AB6288" s="508">
        <v>1.2999999999999999E-2</v>
      </c>
      <c r="AC6288" s="508">
        <v>1.2999999999999999E-2</v>
      </c>
      <c r="AD6288" s="508">
        <v>1.2999999999999999E-2</v>
      </c>
      <c r="AE6288" s="508">
        <v>1.2999999999999999E-2</v>
      </c>
      <c r="AF6288" s="508">
        <v>1.2999999999999999E-2</v>
      </c>
      <c r="AG6288" s="508">
        <v>1.2999999999999999E-2</v>
      </c>
      <c r="AH6288" s="508">
        <v>1.2999999999999999E-2</v>
      </c>
      <c r="AI6288" s="492">
        <v>1.2999999999999999E-2</v>
      </c>
      <c r="AJ6288" s="485"/>
    </row>
    <row r="6289" spans="2:36">
      <c r="B6289" s="136" t="s">
        <v>481</v>
      </c>
      <c r="C6289" s="132" t="s">
        <v>1363</v>
      </c>
      <c r="D6289" s="132" t="s">
        <v>1380</v>
      </c>
      <c r="E6289" s="508">
        <v>1.7000000000000001E-2</v>
      </c>
      <c r="F6289" s="508">
        <v>1.7000000000000001E-2</v>
      </c>
      <c r="G6289" s="508">
        <v>1.7000000000000001E-2</v>
      </c>
      <c r="H6289" s="508">
        <v>1.7000000000000001E-2</v>
      </c>
      <c r="I6289" s="508">
        <v>1.7000000000000001E-2</v>
      </c>
      <c r="J6289" s="508">
        <v>1.7000000000000001E-2</v>
      </c>
      <c r="K6289" s="508">
        <v>1.7999999999999999E-2</v>
      </c>
      <c r="L6289" s="508">
        <v>1.7000000000000001E-2</v>
      </c>
      <c r="M6289" s="508">
        <v>1.7999999999999999E-2</v>
      </c>
      <c r="N6289" s="508">
        <v>1.7000000000000001E-2</v>
      </c>
      <c r="O6289" s="508">
        <v>1.7000000000000001E-2</v>
      </c>
      <c r="P6289" s="508">
        <v>1.7000000000000001E-2</v>
      </c>
      <c r="Q6289" s="508">
        <v>1.7999999999999999E-2</v>
      </c>
      <c r="R6289" s="508">
        <v>1.7999999999999999E-2</v>
      </c>
      <c r="S6289" s="508">
        <v>1.7000000000000001E-2</v>
      </c>
      <c r="T6289" s="508">
        <v>1.7000000000000001E-2</v>
      </c>
      <c r="U6289" s="508">
        <v>1.7999999999999999E-2</v>
      </c>
      <c r="V6289" s="508">
        <v>1.6E-2</v>
      </c>
      <c r="W6289" s="508">
        <v>1.7000000000000001E-2</v>
      </c>
      <c r="X6289" s="508">
        <v>1.6E-2</v>
      </c>
      <c r="Y6289" s="508">
        <v>1.6E-2</v>
      </c>
      <c r="Z6289" s="508">
        <v>1.7000000000000001E-2</v>
      </c>
      <c r="AA6289" s="508">
        <v>1.6E-2</v>
      </c>
      <c r="AB6289" s="508">
        <v>1.6E-2</v>
      </c>
      <c r="AC6289" s="508">
        <v>1.7000000000000001E-2</v>
      </c>
      <c r="AD6289" s="508">
        <v>1.7000000000000001E-2</v>
      </c>
      <c r="AE6289" s="508">
        <v>1.6E-2</v>
      </c>
      <c r="AF6289" s="508">
        <v>1.6E-2</v>
      </c>
      <c r="AG6289" s="508">
        <v>1.6E-2</v>
      </c>
      <c r="AH6289" s="508">
        <v>1.6E-2</v>
      </c>
      <c r="AI6289" s="492">
        <v>1.6E-2</v>
      </c>
      <c r="AJ6289" s="485"/>
    </row>
    <row r="6290" spans="2:36">
      <c r="B6290" s="136" t="s">
        <v>482</v>
      </c>
      <c r="C6290" s="132" t="s">
        <v>1363</v>
      </c>
      <c r="D6290" s="132" t="s">
        <v>1380</v>
      </c>
      <c r="E6290" s="508">
        <v>1.7999999999999999E-2</v>
      </c>
      <c r="F6290" s="508">
        <v>1.7999999999999999E-2</v>
      </c>
      <c r="G6290" s="508">
        <v>1.7000000000000001E-2</v>
      </c>
      <c r="H6290" s="508">
        <v>1.7999999999999999E-2</v>
      </c>
      <c r="I6290" s="508">
        <v>1.7999999999999999E-2</v>
      </c>
      <c r="J6290" s="508">
        <v>1.7000000000000001E-2</v>
      </c>
      <c r="K6290" s="508">
        <v>1.7999999999999999E-2</v>
      </c>
      <c r="L6290" s="508">
        <v>1.7000000000000001E-2</v>
      </c>
      <c r="M6290" s="508">
        <v>1.7999999999999999E-2</v>
      </c>
      <c r="N6290" s="508">
        <v>1.7000000000000001E-2</v>
      </c>
      <c r="O6290" s="508">
        <v>1.7999999999999999E-2</v>
      </c>
      <c r="P6290" s="508">
        <v>1.7999999999999999E-2</v>
      </c>
      <c r="Q6290" s="508">
        <v>1.7999999999999999E-2</v>
      </c>
      <c r="R6290" s="508">
        <v>1.7999999999999999E-2</v>
      </c>
      <c r="S6290" s="508">
        <v>1.7999999999999999E-2</v>
      </c>
      <c r="T6290" s="508">
        <v>1.7999999999999999E-2</v>
      </c>
      <c r="U6290" s="508">
        <v>1.7999999999999999E-2</v>
      </c>
      <c r="V6290" s="508">
        <v>1.6E-2</v>
      </c>
      <c r="W6290" s="508">
        <v>1.7000000000000001E-2</v>
      </c>
      <c r="X6290" s="508">
        <v>1.6E-2</v>
      </c>
      <c r="Y6290" s="508">
        <v>1.7000000000000001E-2</v>
      </c>
      <c r="Z6290" s="508">
        <v>1.7000000000000001E-2</v>
      </c>
      <c r="AA6290" s="508">
        <v>1.7000000000000001E-2</v>
      </c>
      <c r="AB6290" s="508">
        <v>1.6E-2</v>
      </c>
      <c r="AC6290" s="508">
        <v>1.7000000000000001E-2</v>
      </c>
      <c r="AD6290" s="508">
        <v>1.7000000000000001E-2</v>
      </c>
      <c r="AE6290" s="508">
        <v>1.7000000000000001E-2</v>
      </c>
      <c r="AF6290" s="508">
        <v>1.7000000000000001E-2</v>
      </c>
      <c r="AG6290" s="508">
        <v>1.7000000000000001E-2</v>
      </c>
      <c r="AH6290" s="508">
        <v>1.7000000000000001E-2</v>
      </c>
      <c r="AI6290" s="492">
        <v>1.7000000000000001E-2</v>
      </c>
      <c r="AJ6290" s="485"/>
    </row>
    <row r="6291" spans="2:36">
      <c r="B6291" s="136" t="s">
        <v>483</v>
      </c>
      <c r="C6291" s="132" t="s">
        <v>1363</v>
      </c>
      <c r="D6291" s="132" t="s">
        <v>1380</v>
      </c>
      <c r="E6291" s="508">
        <v>0.02</v>
      </c>
      <c r="F6291" s="508">
        <v>1.9E-2</v>
      </c>
      <c r="G6291" s="508">
        <v>1.9E-2</v>
      </c>
      <c r="H6291" s="508">
        <v>0.02</v>
      </c>
      <c r="I6291" s="508">
        <v>0.02</v>
      </c>
      <c r="J6291" s="508">
        <v>1.9E-2</v>
      </c>
      <c r="K6291" s="508">
        <v>0.02</v>
      </c>
      <c r="L6291" s="508">
        <v>1.9E-2</v>
      </c>
      <c r="M6291" s="508">
        <v>0.02</v>
      </c>
      <c r="N6291" s="508">
        <v>1.9E-2</v>
      </c>
      <c r="O6291" s="508">
        <v>0.02</v>
      </c>
      <c r="P6291" s="508">
        <v>0.02</v>
      </c>
      <c r="Q6291" s="508">
        <v>0.02</v>
      </c>
      <c r="R6291" s="508">
        <v>0.02</v>
      </c>
      <c r="S6291" s="508">
        <v>0.02</v>
      </c>
      <c r="T6291" s="508">
        <v>0.02</v>
      </c>
      <c r="U6291" s="508">
        <v>0.02</v>
      </c>
      <c r="V6291" s="508">
        <v>1.7999999999999999E-2</v>
      </c>
      <c r="W6291" s="508">
        <v>1.9E-2</v>
      </c>
      <c r="X6291" s="508">
        <v>1.7999999999999999E-2</v>
      </c>
      <c r="Y6291" s="508">
        <v>1.7999999999999999E-2</v>
      </c>
      <c r="Z6291" s="508">
        <v>1.9E-2</v>
      </c>
      <c r="AA6291" s="508">
        <v>1.9E-2</v>
      </c>
      <c r="AB6291" s="508">
        <v>1.7999999999999999E-2</v>
      </c>
      <c r="AC6291" s="508">
        <v>1.9E-2</v>
      </c>
      <c r="AD6291" s="508">
        <v>1.9E-2</v>
      </c>
      <c r="AE6291" s="508">
        <v>1.9E-2</v>
      </c>
      <c r="AF6291" s="508">
        <v>1.9E-2</v>
      </c>
      <c r="AG6291" s="508">
        <v>1.9E-2</v>
      </c>
      <c r="AH6291" s="508">
        <v>1.9E-2</v>
      </c>
      <c r="AI6291" s="492">
        <v>1.9E-2</v>
      </c>
      <c r="AJ6291" s="485"/>
    </row>
    <row r="6292" spans="2:36">
      <c r="B6292" s="136" t="s">
        <v>484</v>
      </c>
      <c r="C6292" s="132" t="s">
        <v>1363</v>
      </c>
      <c r="D6292" s="132" t="s">
        <v>1380</v>
      </c>
      <c r="E6292" s="508">
        <v>1.4E-2</v>
      </c>
      <c r="F6292" s="508">
        <v>1.4E-2</v>
      </c>
      <c r="G6292" s="508">
        <v>1.4E-2</v>
      </c>
      <c r="H6292" s="508">
        <v>1.4E-2</v>
      </c>
      <c r="I6292" s="508">
        <v>1.4E-2</v>
      </c>
      <c r="J6292" s="508">
        <v>1.4E-2</v>
      </c>
      <c r="K6292" s="508">
        <v>1.4E-2</v>
      </c>
      <c r="L6292" s="508">
        <v>1.4E-2</v>
      </c>
      <c r="M6292" s="508">
        <v>1.4E-2</v>
      </c>
      <c r="N6292" s="508">
        <v>1.4E-2</v>
      </c>
      <c r="O6292" s="508">
        <v>1.4E-2</v>
      </c>
      <c r="P6292" s="508">
        <v>1.4E-2</v>
      </c>
      <c r="Q6292" s="508">
        <v>1.4999999999999999E-2</v>
      </c>
      <c r="R6292" s="508">
        <v>1.4E-2</v>
      </c>
      <c r="S6292" s="508">
        <v>1.4E-2</v>
      </c>
      <c r="T6292" s="508">
        <v>1.4E-2</v>
      </c>
      <c r="U6292" s="508">
        <v>1.4E-2</v>
      </c>
      <c r="V6292" s="508">
        <v>1.2999999999999999E-2</v>
      </c>
      <c r="W6292" s="508">
        <v>1.4E-2</v>
      </c>
      <c r="X6292" s="508">
        <v>1.2999999999999999E-2</v>
      </c>
      <c r="Y6292" s="508">
        <v>1.2999999999999999E-2</v>
      </c>
      <c r="Z6292" s="508">
        <v>1.4E-2</v>
      </c>
      <c r="AA6292" s="508">
        <v>1.4E-2</v>
      </c>
      <c r="AB6292" s="508">
        <v>1.2999999999999999E-2</v>
      </c>
      <c r="AC6292" s="508">
        <v>1.4E-2</v>
      </c>
      <c r="AD6292" s="508">
        <v>1.4E-2</v>
      </c>
      <c r="AE6292" s="508">
        <v>1.4E-2</v>
      </c>
      <c r="AF6292" s="508">
        <v>1.4E-2</v>
      </c>
      <c r="AG6292" s="508">
        <v>1.4E-2</v>
      </c>
      <c r="AH6292" s="508">
        <v>1.4E-2</v>
      </c>
      <c r="AI6292" s="492">
        <v>1.4E-2</v>
      </c>
      <c r="AJ6292" s="485"/>
    </row>
    <row r="6293" spans="2:36">
      <c r="B6293" s="136" t="s">
        <v>486</v>
      </c>
      <c r="C6293" s="132" t="s">
        <v>1363</v>
      </c>
      <c r="D6293" s="132" t="s">
        <v>1380</v>
      </c>
      <c r="E6293" s="508">
        <v>1.7999999999999999E-2</v>
      </c>
      <c r="F6293" s="508">
        <v>1.7000000000000001E-2</v>
      </c>
      <c r="G6293" s="508">
        <v>1.7000000000000001E-2</v>
      </c>
      <c r="H6293" s="508">
        <v>1.7999999999999999E-2</v>
      </c>
      <c r="I6293" s="508">
        <v>1.7999999999999999E-2</v>
      </c>
      <c r="J6293" s="508">
        <v>1.7000000000000001E-2</v>
      </c>
      <c r="K6293" s="508">
        <v>1.7999999999999999E-2</v>
      </c>
      <c r="L6293" s="508">
        <v>1.7000000000000001E-2</v>
      </c>
      <c r="M6293" s="508">
        <v>1.7999999999999999E-2</v>
      </c>
      <c r="N6293" s="508">
        <v>1.7000000000000001E-2</v>
      </c>
      <c r="O6293" s="508">
        <v>1.7999999999999999E-2</v>
      </c>
      <c r="P6293" s="508">
        <v>1.7999999999999999E-2</v>
      </c>
      <c r="Q6293" s="508">
        <v>1.7999999999999999E-2</v>
      </c>
      <c r="R6293" s="508">
        <v>1.7999999999999999E-2</v>
      </c>
      <c r="S6293" s="508">
        <v>1.7999999999999999E-2</v>
      </c>
      <c r="T6293" s="508">
        <v>1.7999999999999999E-2</v>
      </c>
      <c r="U6293" s="508">
        <v>1.7999999999999999E-2</v>
      </c>
      <c r="V6293" s="508">
        <v>1.6E-2</v>
      </c>
      <c r="W6293" s="508">
        <v>1.7000000000000001E-2</v>
      </c>
      <c r="X6293" s="508">
        <v>1.6E-2</v>
      </c>
      <c r="Y6293" s="508">
        <v>1.6E-2</v>
      </c>
      <c r="Z6293" s="508">
        <v>1.7000000000000001E-2</v>
      </c>
      <c r="AA6293" s="508">
        <v>1.7000000000000001E-2</v>
      </c>
      <c r="AB6293" s="508">
        <v>1.6E-2</v>
      </c>
      <c r="AC6293" s="508">
        <v>1.7000000000000001E-2</v>
      </c>
      <c r="AD6293" s="508">
        <v>1.7000000000000001E-2</v>
      </c>
      <c r="AE6293" s="508">
        <v>1.7000000000000001E-2</v>
      </c>
      <c r="AF6293" s="508">
        <v>1.7000000000000001E-2</v>
      </c>
      <c r="AG6293" s="508">
        <v>1.7000000000000001E-2</v>
      </c>
      <c r="AH6293" s="508">
        <v>1.7000000000000001E-2</v>
      </c>
      <c r="AI6293" s="492">
        <v>1.7000000000000001E-2</v>
      </c>
      <c r="AJ6293" s="485"/>
    </row>
    <row r="6294" spans="2:36">
      <c r="B6294" s="136" t="s">
        <v>487</v>
      </c>
      <c r="C6294" s="132" t="s">
        <v>1363</v>
      </c>
      <c r="D6294" s="132" t="s">
        <v>1380</v>
      </c>
      <c r="E6294" s="508">
        <v>1.7999999999999999E-2</v>
      </c>
      <c r="F6294" s="508">
        <v>1.7000000000000001E-2</v>
      </c>
      <c r="G6294" s="508">
        <v>1.7000000000000001E-2</v>
      </c>
      <c r="H6294" s="508">
        <v>1.7999999999999999E-2</v>
      </c>
      <c r="I6294" s="508">
        <v>1.7000000000000001E-2</v>
      </c>
      <c r="J6294" s="508">
        <v>1.7000000000000001E-2</v>
      </c>
      <c r="K6294" s="508">
        <v>1.7999999999999999E-2</v>
      </c>
      <c r="L6294" s="508">
        <v>1.7000000000000001E-2</v>
      </c>
      <c r="M6294" s="508">
        <v>1.7999999999999999E-2</v>
      </c>
      <c r="N6294" s="508">
        <v>1.7000000000000001E-2</v>
      </c>
      <c r="O6294" s="508">
        <v>1.7000000000000001E-2</v>
      </c>
      <c r="P6294" s="508">
        <v>1.7000000000000001E-2</v>
      </c>
      <c r="Q6294" s="508">
        <v>1.7999999999999999E-2</v>
      </c>
      <c r="R6294" s="508">
        <v>1.7999999999999999E-2</v>
      </c>
      <c r="S6294" s="508">
        <v>1.7999999999999999E-2</v>
      </c>
      <c r="T6294" s="508">
        <v>1.7000000000000001E-2</v>
      </c>
      <c r="U6294" s="508">
        <v>1.7999999999999999E-2</v>
      </c>
      <c r="V6294" s="508">
        <v>1.6E-2</v>
      </c>
      <c r="W6294" s="508">
        <v>1.7000000000000001E-2</v>
      </c>
      <c r="X6294" s="508">
        <v>1.6E-2</v>
      </c>
      <c r="Y6294" s="508">
        <v>1.6E-2</v>
      </c>
      <c r="Z6294" s="508">
        <v>1.7000000000000001E-2</v>
      </c>
      <c r="AA6294" s="508">
        <v>1.7000000000000001E-2</v>
      </c>
      <c r="AB6294" s="508">
        <v>1.6E-2</v>
      </c>
      <c r="AC6294" s="508">
        <v>1.7000000000000001E-2</v>
      </c>
      <c r="AD6294" s="508">
        <v>1.7000000000000001E-2</v>
      </c>
      <c r="AE6294" s="508">
        <v>1.7000000000000001E-2</v>
      </c>
      <c r="AF6294" s="508">
        <v>1.7000000000000001E-2</v>
      </c>
      <c r="AG6294" s="508">
        <v>1.7000000000000001E-2</v>
      </c>
      <c r="AH6294" s="508">
        <v>1.7000000000000001E-2</v>
      </c>
      <c r="AI6294" s="492">
        <v>1.7000000000000001E-2</v>
      </c>
      <c r="AJ6294" s="485"/>
    </row>
    <row r="6295" spans="2:36">
      <c r="B6295" s="136" t="s">
        <v>488</v>
      </c>
      <c r="C6295" s="132" t="s">
        <v>1363</v>
      </c>
      <c r="D6295" s="132" t="s">
        <v>1380</v>
      </c>
      <c r="E6295" s="508">
        <v>1.4999999999999999E-2</v>
      </c>
      <c r="F6295" s="508">
        <v>1.4999999999999999E-2</v>
      </c>
      <c r="G6295" s="508">
        <v>1.4999999999999999E-2</v>
      </c>
      <c r="H6295" s="508">
        <v>1.4999999999999999E-2</v>
      </c>
      <c r="I6295" s="508">
        <v>1.4999999999999999E-2</v>
      </c>
      <c r="J6295" s="508">
        <v>1.4999999999999999E-2</v>
      </c>
      <c r="K6295" s="508">
        <v>1.4999999999999999E-2</v>
      </c>
      <c r="L6295" s="508">
        <v>1.4999999999999999E-2</v>
      </c>
      <c r="M6295" s="508">
        <v>1.4999999999999999E-2</v>
      </c>
      <c r="N6295" s="508">
        <v>1.4999999999999999E-2</v>
      </c>
      <c r="O6295" s="508">
        <v>1.4999999999999999E-2</v>
      </c>
      <c r="P6295" s="508">
        <v>1.4999999999999999E-2</v>
      </c>
      <c r="Q6295" s="508">
        <v>1.4999999999999999E-2</v>
      </c>
      <c r="R6295" s="508">
        <v>1.4999999999999999E-2</v>
      </c>
      <c r="S6295" s="508">
        <v>1.4999999999999999E-2</v>
      </c>
      <c r="T6295" s="508">
        <v>1.4999999999999999E-2</v>
      </c>
      <c r="U6295" s="508">
        <v>1.4999999999999999E-2</v>
      </c>
      <c r="V6295" s="508">
        <v>1.4E-2</v>
      </c>
      <c r="W6295" s="508">
        <v>1.4E-2</v>
      </c>
      <c r="X6295" s="508">
        <v>1.4E-2</v>
      </c>
      <c r="Y6295" s="508">
        <v>1.4E-2</v>
      </c>
      <c r="Z6295" s="508">
        <v>1.4E-2</v>
      </c>
      <c r="AA6295" s="508">
        <v>1.4E-2</v>
      </c>
      <c r="AB6295" s="508">
        <v>1.4E-2</v>
      </c>
      <c r="AC6295" s="508">
        <v>1.4999999999999999E-2</v>
      </c>
      <c r="AD6295" s="508">
        <v>1.4999999999999999E-2</v>
      </c>
      <c r="AE6295" s="508">
        <v>1.4E-2</v>
      </c>
      <c r="AF6295" s="508">
        <v>1.4E-2</v>
      </c>
      <c r="AG6295" s="508">
        <v>1.4E-2</v>
      </c>
      <c r="AH6295" s="508">
        <v>1.4E-2</v>
      </c>
      <c r="AI6295" s="492">
        <v>1.4E-2</v>
      </c>
      <c r="AJ6295" s="485"/>
    </row>
    <row r="6296" spans="2:36">
      <c r="B6296" s="136" t="s">
        <v>489</v>
      </c>
      <c r="C6296" s="132" t="s">
        <v>1363</v>
      </c>
      <c r="D6296" s="132" t="s">
        <v>1380</v>
      </c>
      <c r="E6296" s="508">
        <v>1.6E-2</v>
      </c>
      <c r="F6296" s="508">
        <v>1.6E-2</v>
      </c>
      <c r="G6296" s="508">
        <v>1.6E-2</v>
      </c>
      <c r="H6296" s="508">
        <v>1.6E-2</v>
      </c>
      <c r="I6296" s="508">
        <v>1.6E-2</v>
      </c>
      <c r="J6296" s="508">
        <v>1.6E-2</v>
      </c>
      <c r="K6296" s="508">
        <v>1.7000000000000001E-2</v>
      </c>
      <c r="L6296" s="508">
        <v>1.6E-2</v>
      </c>
      <c r="M6296" s="508">
        <v>1.7000000000000001E-2</v>
      </c>
      <c r="N6296" s="508">
        <v>1.6E-2</v>
      </c>
      <c r="O6296" s="508">
        <v>1.6E-2</v>
      </c>
      <c r="P6296" s="508">
        <v>1.6E-2</v>
      </c>
      <c r="Q6296" s="508">
        <v>1.7000000000000001E-2</v>
      </c>
      <c r="R6296" s="508">
        <v>1.7000000000000001E-2</v>
      </c>
      <c r="S6296" s="508">
        <v>1.6E-2</v>
      </c>
      <c r="T6296" s="508">
        <v>1.6E-2</v>
      </c>
      <c r="U6296" s="508">
        <v>1.7000000000000001E-2</v>
      </c>
      <c r="V6296" s="508">
        <v>1.4999999999999999E-2</v>
      </c>
      <c r="W6296" s="508">
        <v>1.6E-2</v>
      </c>
      <c r="X6296" s="508">
        <v>1.4999999999999999E-2</v>
      </c>
      <c r="Y6296" s="508">
        <v>1.4999999999999999E-2</v>
      </c>
      <c r="Z6296" s="508">
        <v>1.6E-2</v>
      </c>
      <c r="AA6296" s="508">
        <v>1.6E-2</v>
      </c>
      <c r="AB6296" s="508">
        <v>1.4999999999999999E-2</v>
      </c>
      <c r="AC6296" s="508">
        <v>1.6E-2</v>
      </c>
      <c r="AD6296" s="508">
        <v>1.6E-2</v>
      </c>
      <c r="AE6296" s="508">
        <v>1.6E-2</v>
      </c>
      <c r="AF6296" s="508">
        <v>1.6E-2</v>
      </c>
      <c r="AG6296" s="508">
        <v>1.6E-2</v>
      </c>
      <c r="AH6296" s="508">
        <v>1.6E-2</v>
      </c>
      <c r="AI6296" s="492">
        <v>1.6E-2</v>
      </c>
      <c r="AJ6296" s="485"/>
    </row>
    <row r="6297" spans="2:36">
      <c r="B6297" s="136" t="s">
        <v>490</v>
      </c>
      <c r="C6297" s="132" t="s">
        <v>1363</v>
      </c>
      <c r="D6297" s="132" t="s">
        <v>1380</v>
      </c>
      <c r="E6297" s="508">
        <v>1.4E-2</v>
      </c>
      <c r="F6297" s="508">
        <v>1.4E-2</v>
      </c>
      <c r="G6297" s="508">
        <v>1.2999999999999999E-2</v>
      </c>
      <c r="H6297" s="508">
        <v>1.4E-2</v>
      </c>
      <c r="I6297" s="508">
        <v>1.4E-2</v>
      </c>
      <c r="J6297" s="508">
        <v>1.2999999999999999E-2</v>
      </c>
      <c r="K6297" s="508">
        <v>1.4E-2</v>
      </c>
      <c r="L6297" s="508">
        <v>1.2999999999999999E-2</v>
      </c>
      <c r="M6297" s="508">
        <v>1.4E-2</v>
      </c>
      <c r="N6297" s="508">
        <v>1.2999999999999999E-2</v>
      </c>
      <c r="O6297" s="508">
        <v>1.4E-2</v>
      </c>
      <c r="P6297" s="508">
        <v>1.4E-2</v>
      </c>
      <c r="Q6297" s="508">
        <v>1.4E-2</v>
      </c>
      <c r="R6297" s="508">
        <v>1.4E-2</v>
      </c>
      <c r="S6297" s="508">
        <v>1.4E-2</v>
      </c>
      <c r="T6297" s="508">
        <v>1.4E-2</v>
      </c>
      <c r="U6297" s="508">
        <v>1.4E-2</v>
      </c>
      <c r="V6297" s="508">
        <v>1.2999999999999999E-2</v>
      </c>
      <c r="W6297" s="508">
        <v>1.2999999999999999E-2</v>
      </c>
      <c r="X6297" s="508">
        <v>1.2E-2</v>
      </c>
      <c r="Y6297" s="508">
        <v>1.2999999999999999E-2</v>
      </c>
      <c r="Z6297" s="508">
        <v>1.2999999999999999E-2</v>
      </c>
      <c r="AA6297" s="508">
        <v>1.2999999999999999E-2</v>
      </c>
      <c r="AB6297" s="508">
        <v>1.2999999999999999E-2</v>
      </c>
      <c r="AC6297" s="508">
        <v>1.2999999999999999E-2</v>
      </c>
      <c r="AD6297" s="508">
        <v>1.2999999999999999E-2</v>
      </c>
      <c r="AE6297" s="508">
        <v>1.2999999999999999E-2</v>
      </c>
      <c r="AF6297" s="508">
        <v>1.2999999999999999E-2</v>
      </c>
      <c r="AG6297" s="508">
        <v>1.2999999999999999E-2</v>
      </c>
      <c r="AH6297" s="508">
        <v>1.2999999999999999E-2</v>
      </c>
      <c r="AI6297" s="492">
        <v>1.2999999999999999E-2</v>
      </c>
      <c r="AJ6297" s="485"/>
    </row>
    <row r="6298" spans="2:36">
      <c r="B6298" s="136" t="s">
        <v>435</v>
      </c>
      <c r="C6298" s="132" t="s">
        <v>1364</v>
      </c>
      <c r="D6298" s="132" t="s">
        <v>1380</v>
      </c>
      <c r="E6298" s="508">
        <v>6.0000000000000001E-3</v>
      </c>
      <c r="F6298" s="508">
        <v>6.0000000000000001E-3</v>
      </c>
      <c r="G6298" s="508">
        <v>6.0000000000000001E-3</v>
      </c>
      <c r="H6298" s="508">
        <v>6.0000000000000001E-3</v>
      </c>
      <c r="I6298" s="508">
        <v>6.0000000000000001E-3</v>
      </c>
      <c r="J6298" s="508">
        <v>6.0000000000000001E-3</v>
      </c>
      <c r="K6298" s="508">
        <v>6.0000000000000001E-3</v>
      </c>
      <c r="L6298" s="508">
        <v>6.0000000000000001E-3</v>
      </c>
      <c r="M6298" s="508">
        <v>6.0000000000000001E-3</v>
      </c>
      <c r="N6298" s="508">
        <v>6.0000000000000001E-3</v>
      </c>
      <c r="O6298" s="508">
        <v>6.0000000000000001E-3</v>
      </c>
      <c r="P6298" s="508">
        <v>6.0000000000000001E-3</v>
      </c>
      <c r="Q6298" s="508">
        <v>6.0000000000000001E-3</v>
      </c>
      <c r="R6298" s="508">
        <v>6.0000000000000001E-3</v>
      </c>
      <c r="S6298" s="508">
        <v>6.0000000000000001E-3</v>
      </c>
      <c r="T6298" s="508">
        <v>6.0000000000000001E-3</v>
      </c>
      <c r="U6298" s="508">
        <v>6.0000000000000001E-3</v>
      </c>
      <c r="V6298" s="508">
        <v>6.0000000000000001E-3</v>
      </c>
      <c r="W6298" s="508">
        <v>6.0000000000000001E-3</v>
      </c>
      <c r="X6298" s="508">
        <v>6.0000000000000001E-3</v>
      </c>
      <c r="Y6298" s="508">
        <v>6.0000000000000001E-3</v>
      </c>
      <c r="Z6298" s="508">
        <v>6.0000000000000001E-3</v>
      </c>
      <c r="AA6298" s="508">
        <v>6.0000000000000001E-3</v>
      </c>
      <c r="AB6298" s="508">
        <v>6.0000000000000001E-3</v>
      </c>
      <c r="AC6298" s="508">
        <v>6.0000000000000001E-3</v>
      </c>
      <c r="AD6298" s="508">
        <v>6.0000000000000001E-3</v>
      </c>
      <c r="AE6298" s="508">
        <v>6.0000000000000001E-3</v>
      </c>
      <c r="AF6298" s="508">
        <v>6.0000000000000001E-3</v>
      </c>
      <c r="AG6298" s="508">
        <v>6.0000000000000001E-3</v>
      </c>
      <c r="AH6298" s="508">
        <v>6.0000000000000001E-3</v>
      </c>
      <c r="AI6298" s="492">
        <v>6.0000000000000001E-3</v>
      </c>
      <c r="AJ6298" s="485"/>
    </row>
    <row r="6299" spans="2:36">
      <c r="B6299" s="136" t="s">
        <v>436</v>
      </c>
      <c r="C6299" s="132" t="s">
        <v>1364</v>
      </c>
      <c r="D6299" s="132" t="s">
        <v>1380</v>
      </c>
      <c r="E6299" s="508">
        <v>5.0000000000000001E-3</v>
      </c>
      <c r="F6299" s="508">
        <v>5.0000000000000001E-3</v>
      </c>
      <c r="G6299" s="508">
        <v>5.0000000000000001E-3</v>
      </c>
      <c r="H6299" s="508">
        <v>5.0000000000000001E-3</v>
      </c>
      <c r="I6299" s="508">
        <v>5.0000000000000001E-3</v>
      </c>
      <c r="J6299" s="508">
        <v>5.0000000000000001E-3</v>
      </c>
      <c r="K6299" s="508">
        <v>5.0000000000000001E-3</v>
      </c>
      <c r="L6299" s="508">
        <v>5.0000000000000001E-3</v>
      </c>
      <c r="M6299" s="508">
        <v>5.0000000000000001E-3</v>
      </c>
      <c r="N6299" s="508">
        <v>5.0000000000000001E-3</v>
      </c>
      <c r="O6299" s="508">
        <v>5.0000000000000001E-3</v>
      </c>
      <c r="P6299" s="508">
        <v>5.0000000000000001E-3</v>
      </c>
      <c r="Q6299" s="508">
        <v>5.0000000000000001E-3</v>
      </c>
      <c r="R6299" s="508">
        <v>5.0000000000000001E-3</v>
      </c>
      <c r="S6299" s="508">
        <v>5.0000000000000001E-3</v>
      </c>
      <c r="T6299" s="508">
        <v>5.0000000000000001E-3</v>
      </c>
      <c r="U6299" s="508">
        <v>5.0000000000000001E-3</v>
      </c>
      <c r="V6299" s="508">
        <v>5.0000000000000001E-3</v>
      </c>
      <c r="W6299" s="508">
        <v>5.0000000000000001E-3</v>
      </c>
      <c r="X6299" s="508">
        <v>5.0000000000000001E-3</v>
      </c>
      <c r="Y6299" s="508">
        <v>5.0000000000000001E-3</v>
      </c>
      <c r="Z6299" s="508">
        <v>5.0000000000000001E-3</v>
      </c>
      <c r="AA6299" s="508">
        <v>5.0000000000000001E-3</v>
      </c>
      <c r="AB6299" s="508">
        <v>5.0000000000000001E-3</v>
      </c>
      <c r="AC6299" s="508">
        <v>5.0000000000000001E-3</v>
      </c>
      <c r="AD6299" s="508">
        <v>5.0000000000000001E-3</v>
      </c>
      <c r="AE6299" s="508">
        <v>5.0000000000000001E-3</v>
      </c>
      <c r="AF6299" s="508">
        <v>5.0000000000000001E-3</v>
      </c>
      <c r="AG6299" s="508">
        <v>5.0000000000000001E-3</v>
      </c>
      <c r="AH6299" s="508">
        <v>5.0000000000000001E-3</v>
      </c>
      <c r="AI6299" s="492">
        <v>5.0000000000000001E-3</v>
      </c>
      <c r="AJ6299" s="485"/>
    </row>
    <row r="6300" spans="2:36">
      <c r="B6300" s="136" t="s">
        <v>437</v>
      </c>
      <c r="C6300" s="132" t="s">
        <v>1364</v>
      </c>
      <c r="D6300" s="132" t="s">
        <v>1380</v>
      </c>
      <c r="E6300" s="508">
        <v>6.0000000000000001E-3</v>
      </c>
      <c r="F6300" s="508">
        <v>6.0000000000000001E-3</v>
      </c>
      <c r="G6300" s="508">
        <v>6.0000000000000001E-3</v>
      </c>
      <c r="H6300" s="508">
        <v>6.0000000000000001E-3</v>
      </c>
      <c r="I6300" s="508">
        <v>6.0000000000000001E-3</v>
      </c>
      <c r="J6300" s="508">
        <v>6.0000000000000001E-3</v>
      </c>
      <c r="K6300" s="508">
        <v>6.0000000000000001E-3</v>
      </c>
      <c r="L6300" s="508">
        <v>6.0000000000000001E-3</v>
      </c>
      <c r="M6300" s="508">
        <v>6.0000000000000001E-3</v>
      </c>
      <c r="N6300" s="508">
        <v>6.0000000000000001E-3</v>
      </c>
      <c r="O6300" s="508">
        <v>6.0000000000000001E-3</v>
      </c>
      <c r="P6300" s="508">
        <v>6.0000000000000001E-3</v>
      </c>
      <c r="Q6300" s="508">
        <v>6.0000000000000001E-3</v>
      </c>
      <c r="R6300" s="508">
        <v>6.0000000000000001E-3</v>
      </c>
      <c r="S6300" s="508">
        <v>6.0000000000000001E-3</v>
      </c>
      <c r="T6300" s="508">
        <v>6.0000000000000001E-3</v>
      </c>
      <c r="U6300" s="508">
        <v>6.0000000000000001E-3</v>
      </c>
      <c r="V6300" s="508">
        <v>6.0000000000000001E-3</v>
      </c>
      <c r="W6300" s="508">
        <v>6.0000000000000001E-3</v>
      </c>
      <c r="X6300" s="508">
        <v>6.0000000000000001E-3</v>
      </c>
      <c r="Y6300" s="508">
        <v>6.0000000000000001E-3</v>
      </c>
      <c r="Z6300" s="508">
        <v>6.0000000000000001E-3</v>
      </c>
      <c r="AA6300" s="508">
        <v>6.0000000000000001E-3</v>
      </c>
      <c r="AB6300" s="508">
        <v>6.0000000000000001E-3</v>
      </c>
      <c r="AC6300" s="508">
        <v>6.0000000000000001E-3</v>
      </c>
      <c r="AD6300" s="508">
        <v>6.0000000000000001E-3</v>
      </c>
      <c r="AE6300" s="508">
        <v>6.0000000000000001E-3</v>
      </c>
      <c r="AF6300" s="508">
        <v>6.0000000000000001E-3</v>
      </c>
      <c r="AG6300" s="508">
        <v>6.0000000000000001E-3</v>
      </c>
      <c r="AH6300" s="508">
        <v>6.0000000000000001E-3</v>
      </c>
      <c r="AI6300" s="492">
        <v>6.0000000000000001E-3</v>
      </c>
      <c r="AJ6300" s="485"/>
    </row>
    <row r="6301" spans="2:36">
      <c r="B6301" s="136" t="s">
        <v>438</v>
      </c>
      <c r="C6301" s="132" t="s">
        <v>1364</v>
      </c>
      <c r="D6301" s="132" t="s">
        <v>1380</v>
      </c>
      <c r="E6301" s="508">
        <v>5.0000000000000001E-3</v>
      </c>
      <c r="F6301" s="508">
        <v>5.0000000000000001E-3</v>
      </c>
      <c r="G6301" s="508">
        <v>5.0000000000000001E-3</v>
      </c>
      <c r="H6301" s="508">
        <v>5.0000000000000001E-3</v>
      </c>
      <c r="I6301" s="508">
        <v>5.0000000000000001E-3</v>
      </c>
      <c r="J6301" s="508">
        <v>5.0000000000000001E-3</v>
      </c>
      <c r="K6301" s="508">
        <v>5.0000000000000001E-3</v>
      </c>
      <c r="L6301" s="508">
        <v>5.0000000000000001E-3</v>
      </c>
      <c r="M6301" s="508">
        <v>5.0000000000000001E-3</v>
      </c>
      <c r="N6301" s="508">
        <v>5.0000000000000001E-3</v>
      </c>
      <c r="O6301" s="508">
        <v>5.0000000000000001E-3</v>
      </c>
      <c r="P6301" s="508">
        <v>5.0000000000000001E-3</v>
      </c>
      <c r="Q6301" s="508">
        <v>5.0000000000000001E-3</v>
      </c>
      <c r="R6301" s="508">
        <v>5.0000000000000001E-3</v>
      </c>
      <c r="S6301" s="508">
        <v>5.0000000000000001E-3</v>
      </c>
      <c r="T6301" s="508">
        <v>5.0000000000000001E-3</v>
      </c>
      <c r="U6301" s="508">
        <v>5.0000000000000001E-3</v>
      </c>
      <c r="V6301" s="508">
        <v>5.0000000000000001E-3</v>
      </c>
      <c r="W6301" s="508">
        <v>5.0000000000000001E-3</v>
      </c>
      <c r="X6301" s="508">
        <v>5.0000000000000001E-3</v>
      </c>
      <c r="Y6301" s="508">
        <v>5.0000000000000001E-3</v>
      </c>
      <c r="Z6301" s="508">
        <v>5.0000000000000001E-3</v>
      </c>
      <c r="AA6301" s="508">
        <v>5.0000000000000001E-3</v>
      </c>
      <c r="AB6301" s="508">
        <v>5.0000000000000001E-3</v>
      </c>
      <c r="AC6301" s="508">
        <v>5.0000000000000001E-3</v>
      </c>
      <c r="AD6301" s="508">
        <v>5.0000000000000001E-3</v>
      </c>
      <c r="AE6301" s="508">
        <v>5.0000000000000001E-3</v>
      </c>
      <c r="AF6301" s="508">
        <v>5.0000000000000001E-3</v>
      </c>
      <c r="AG6301" s="508">
        <v>5.0000000000000001E-3</v>
      </c>
      <c r="AH6301" s="508">
        <v>5.0000000000000001E-3</v>
      </c>
      <c r="AI6301" s="492">
        <v>5.0000000000000001E-3</v>
      </c>
      <c r="AJ6301" s="485"/>
    </row>
    <row r="6302" spans="2:36">
      <c r="B6302" s="136" t="s">
        <v>439</v>
      </c>
      <c r="C6302" s="132" t="s">
        <v>1364</v>
      </c>
      <c r="D6302" s="132" t="s">
        <v>1380</v>
      </c>
      <c r="E6302" s="508">
        <v>6.0000000000000001E-3</v>
      </c>
      <c r="F6302" s="508">
        <v>6.0000000000000001E-3</v>
      </c>
      <c r="G6302" s="508">
        <v>6.0000000000000001E-3</v>
      </c>
      <c r="H6302" s="508">
        <v>6.0000000000000001E-3</v>
      </c>
      <c r="I6302" s="508">
        <v>6.0000000000000001E-3</v>
      </c>
      <c r="J6302" s="508">
        <v>6.0000000000000001E-3</v>
      </c>
      <c r="K6302" s="508">
        <v>6.0000000000000001E-3</v>
      </c>
      <c r="L6302" s="508">
        <v>6.0000000000000001E-3</v>
      </c>
      <c r="M6302" s="508">
        <v>6.0000000000000001E-3</v>
      </c>
      <c r="N6302" s="508">
        <v>6.0000000000000001E-3</v>
      </c>
      <c r="O6302" s="508">
        <v>6.0000000000000001E-3</v>
      </c>
      <c r="P6302" s="508">
        <v>6.0000000000000001E-3</v>
      </c>
      <c r="Q6302" s="508">
        <v>6.0000000000000001E-3</v>
      </c>
      <c r="R6302" s="508">
        <v>6.0000000000000001E-3</v>
      </c>
      <c r="S6302" s="508">
        <v>6.0000000000000001E-3</v>
      </c>
      <c r="T6302" s="508">
        <v>6.0000000000000001E-3</v>
      </c>
      <c r="U6302" s="508">
        <v>6.0000000000000001E-3</v>
      </c>
      <c r="V6302" s="508">
        <v>6.0000000000000001E-3</v>
      </c>
      <c r="W6302" s="508">
        <v>6.0000000000000001E-3</v>
      </c>
      <c r="X6302" s="508">
        <v>6.0000000000000001E-3</v>
      </c>
      <c r="Y6302" s="508">
        <v>6.0000000000000001E-3</v>
      </c>
      <c r="Z6302" s="508">
        <v>6.0000000000000001E-3</v>
      </c>
      <c r="AA6302" s="508">
        <v>6.0000000000000001E-3</v>
      </c>
      <c r="AB6302" s="508">
        <v>6.0000000000000001E-3</v>
      </c>
      <c r="AC6302" s="508">
        <v>6.0000000000000001E-3</v>
      </c>
      <c r="AD6302" s="508">
        <v>6.0000000000000001E-3</v>
      </c>
      <c r="AE6302" s="508">
        <v>6.0000000000000001E-3</v>
      </c>
      <c r="AF6302" s="508">
        <v>6.0000000000000001E-3</v>
      </c>
      <c r="AG6302" s="508">
        <v>6.0000000000000001E-3</v>
      </c>
      <c r="AH6302" s="508">
        <v>6.0000000000000001E-3</v>
      </c>
      <c r="AI6302" s="492">
        <v>6.0000000000000001E-3</v>
      </c>
      <c r="AJ6302" s="485"/>
    </row>
    <row r="6303" spans="2:36">
      <c r="B6303" s="136" t="s">
        <v>440</v>
      </c>
      <c r="C6303" s="132" t="s">
        <v>1364</v>
      </c>
      <c r="D6303" s="132" t="s">
        <v>1380</v>
      </c>
      <c r="E6303" s="508">
        <v>6.0000000000000001E-3</v>
      </c>
      <c r="F6303" s="508">
        <v>6.0000000000000001E-3</v>
      </c>
      <c r="G6303" s="508">
        <v>6.0000000000000001E-3</v>
      </c>
      <c r="H6303" s="508">
        <v>6.0000000000000001E-3</v>
      </c>
      <c r="I6303" s="508">
        <v>6.0000000000000001E-3</v>
      </c>
      <c r="J6303" s="508">
        <v>6.0000000000000001E-3</v>
      </c>
      <c r="K6303" s="508">
        <v>6.0000000000000001E-3</v>
      </c>
      <c r="L6303" s="508">
        <v>6.0000000000000001E-3</v>
      </c>
      <c r="M6303" s="508">
        <v>6.0000000000000001E-3</v>
      </c>
      <c r="N6303" s="508">
        <v>6.0000000000000001E-3</v>
      </c>
      <c r="O6303" s="508">
        <v>6.0000000000000001E-3</v>
      </c>
      <c r="P6303" s="508">
        <v>6.0000000000000001E-3</v>
      </c>
      <c r="Q6303" s="508">
        <v>6.0000000000000001E-3</v>
      </c>
      <c r="R6303" s="508">
        <v>6.0000000000000001E-3</v>
      </c>
      <c r="S6303" s="508">
        <v>6.0000000000000001E-3</v>
      </c>
      <c r="T6303" s="508">
        <v>6.0000000000000001E-3</v>
      </c>
      <c r="U6303" s="508">
        <v>6.0000000000000001E-3</v>
      </c>
      <c r="V6303" s="508">
        <v>6.0000000000000001E-3</v>
      </c>
      <c r="W6303" s="508">
        <v>6.0000000000000001E-3</v>
      </c>
      <c r="X6303" s="508">
        <v>6.0000000000000001E-3</v>
      </c>
      <c r="Y6303" s="508">
        <v>6.0000000000000001E-3</v>
      </c>
      <c r="Z6303" s="508">
        <v>6.0000000000000001E-3</v>
      </c>
      <c r="AA6303" s="508">
        <v>6.0000000000000001E-3</v>
      </c>
      <c r="AB6303" s="508">
        <v>6.0000000000000001E-3</v>
      </c>
      <c r="AC6303" s="508">
        <v>6.0000000000000001E-3</v>
      </c>
      <c r="AD6303" s="508">
        <v>6.0000000000000001E-3</v>
      </c>
      <c r="AE6303" s="508">
        <v>6.0000000000000001E-3</v>
      </c>
      <c r="AF6303" s="508">
        <v>6.0000000000000001E-3</v>
      </c>
      <c r="AG6303" s="508">
        <v>6.0000000000000001E-3</v>
      </c>
      <c r="AH6303" s="508">
        <v>6.0000000000000001E-3</v>
      </c>
      <c r="AI6303" s="492">
        <v>6.0000000000000001E-3</v>
      </c>
      <c r="AJ6303" s="485"/>
    </row>
    <row r="6304" spans="2:36">
      <c r="B6304" s="136" t="s">
        <v>441</v>
      </c>
      <c r="C6304" s="132" t="s">
        <v>1364</v>
      </c>
      <c r="D6304" s="132" t="s">
        <v>1380</v>
      </c>
      <c r="E6304" s="508">
        <v>6.0000000000000001E-3</v>
      </c>
      <c r="F6304" s="508">
        <v>6.0000000000000001E-3</v>
      </c>
      <c r="G6304" s="508">
        <v>6.0000000000000001E-3</v>
      </c>
      <c r="H6304" s="508">
        <v>6.0000000000000001E-3</v>
      </c>
      <c r="I6304" s="508">
        <v>6.0000000000000001E-3</v>
      </c>
      <c r="J6304" s="508">
        <v>6.0000000000000001E-3</v>
      </c>
      <c r="K6304" s="508">
        <v>6.0000000000000001E-3</v>
      </c>
      <c r="L6304" s="508">
        <v>6.0000000000000001E-3</v>
      </c>
      <c r="M6304" s="508">
        <v>6.0000000000000001E-3</v>
      </c>
      <c r="N6304" s="508">
        <v>6.0000000000000001E-3</v>
      </c>
      <c r="O6304" s="508">
        <v>6.0000000000000001E-3</v>
      </c>
      <c r="P6304" s="508">
        <v>6.0000000000000001E-3</v>
      </c>
      <c r="Q6304" s="508">
        <v>6.0000000000000001E-3</v>
      </c>
      <c r="R6304" s="508">
        <v>6.0000000000000001E-3</v>
      </c>
      <c r="S6304" s="508">
        <v>6.0000000000000001E-3</v>
      </c>
      <c r="T6304" s="508">
        <v>6.0000000000000001E-3</v>
      </c>
      <c r="U6304" s="508">
        <v>6.0000000000000001E-3</v>
      </c>
      <c r="V6304" s="508">
        <v>6.0000000000000001E-3</v>
      </c>
      <c r="W6304" s="508">
        <v>6.0000000000000001E-3</v>
      </c>
      <c r="X6304" s="508">
        <v>6.0000000000000001E-3</v>
      </c>
      <c r="Y6304" s="508">
        <v>6.0000000000000001E-3</v>
      </c>
      <c r="Z6304" s="508">
        <v>6.0000000000000001E-3</v>
      </c>
      <c r="AA6304" s="508">
        <v>6.0000000000000001E-3</v>
      </c>
      <c r="AB6304" s="508">
        <v>6.0000000000000001E-3</v>
      </c>
      <c r="AC6304" s="508">
        <v>6.0000000000000001E-3</v>
      </c>
      <c r="AD6304" s="508">
        <v>6.0000000000000001E-3</v>
      </c>
      <c r="AE6304" s="508">
        <v>6.0000000000000001E-3</v>
      </c>
      <c r="AF6304" s="508">
        <v>6.0000000000000001E-3</v>
      </c>
      <c r="AG6304" s="508">
        <v>6.0000000000000001E-3</v>
      </c>
      <c r="AH6304" s="508">
        <v>6.0000000000000001E-3</v>
      </c>
      <c r="AI6304" s="492">
        <v>6.0000000000000001E-3</v>
      </c>
      <c r="AJ6304" s="485"/>
    </row>
    <row r="6305" spans="2:36">
      <c r="B6305" s="136" t="s">
        <v>443</v>
      </c>
      <c r="C6305" s="132" t="s">
        <v>1364</v>
      </c>
      <c r="D6305" s="132" t="s">
        <v>1380</v>
      </c>
      <c r="E6305" s="508">
        <v>6.0000000000000001E-3</v>
      </c>
      <c r="F6305" s="508">
        <v>6.0000000000000001E-3</v>
      </c>
      <c r="G6305" s="508">
        <v>6.0000000000000001E-3</v>
      </c>
      <c r="H6305" s="508">
        <v>6.0000000000000001E-3</v>
      </c>
      <c r="I6305" s="508">
        <v>6.0000000000000001E-3</v>
      </c>
      <c r="J6305" s="508">
        <v>6.0000000000000001E-3</v>
      </c>
      <c r="K6305" s="508">
        <v>6.0000000000000001E-3</v>
      </c>
      <c r="L6305" s="508">
        <v>6.0000000000000001E-3</v>
      </c>
      <c r="M6305" s="508">
        <v>6.0000000000000001E-3</v>
      </c>
      <c r="N6305" s="508">
        <v>6.0000000000000001E-3</v>
      </c>
      <c r="O6305" s="508">
        <v>6.0000000000000001E-3</v>
      </c>
      <c r="P6305" s="508">
        <v>6.0000000000000001E-3</v>
      </c>
      <c r="Q6305" s="508">
        <v>6.0000000000000001E-3</v>
      </c>
      <c r="R6305" s="508">
        <v>6.0000000000000001E-3</v>
      </c>
      <c r="S6305" s="508">
        <v>6.0000000000000001E-3</v>
      </c>
      <c r="T6305" s="508">
        <v>6.0000000000000001E-3</v>
      </c>
      <c r="U6305" s="508">
        <v>6.0000000000000001E-3</v>
      </c>
      <c r="V6305" s="508">
        <v>6.0000000000000001E-3</v>
      </c>
      <c r="W6305" s="508">
        <v>6.0000000000000001E-3</v>
      </c>
      <c r="X6305" s="508">
        <v>6.0000000000000001E-3</v>
      </c>
      <c r="Y6305" s="508">
        <v>6.0000000000000001E-3</v>
      </c>
      <c r="Z6305" s="508">
        <v>6.0000000000000001E-3</v>
      </c>
      <c r="AA6305" s="508">
        <v>6.0000000000000001E-3</v>
      </c>
      <c r="AB6305" s="508">
        <v>6.0000000000000001E-3</v>
      </c>
      <c r="AC6305" s="508">
        <v>6.0000000000000001E-3</v>
      </c>
      <c r="AD6305" s="508">
        <v>6.0000000000000001E-3</v>
      </c>
      <c r="AE6305" s="508">
        <v>6.0000000000000001E-3</v>
      </c>
      <c r="AF6305" s="508">
        <v>6.0000000000000001E-3</v>
      </c>
      <c r="AG6305" s="508">
        <v>6.0000000000000001E-3</v>
      </c>
      <c r="AH6305" s="508">
        <v>6.0000000000000001E-3</v>
      </c>
      <c r="AI6305" s="492">
        <v>6.0000000000000001E-3</v>
      </c>
      <c r="AJ6305" s="485"/>
    </row>
    <row r="6306" spans="2:36">
      <c r="B6306" s="136" t="s">
        <v>445</v>
      </c>
      <c r="C6306" s="132" t="s">
        <v>1364</v>
      </c>
      <c r="D6306" s="132" t="s">
        <v>1380</v>
      </c>
      <c r="E6306" s="508">
        <v>7.0000000000000001E-3</v>
      </c>
      <c r="F6306" s="508">
        <v>7.0000000000000001E-3</v>
      </c>
      <c r="G6306" s="508">
        <v>7.0000000000000001E-3</v>
      </c>
      <c r="H6306" s="508">
        <v>7.0000000000000001E-3</v>
      </c>
      <c r="I6306" s="508">
        <v>7.0000000000000001E-3</v>
      </c>
      <c r="J6306" s="508">
        <v>7.0000000000000001E-3</v>
      </c>
      <c r="K6306" s="508">
        <v>7.0000000000000001E-3</v>
      </c>
      <c r="L6306" s="508">
        <v>7.0000000000000001E-3</v>
      </c>
      <c r="M6306" s="508">
        <v>7.0000000000000001E-3</v>
      </c>
      <c r="N6306" s="508">
        <v>7.0000000000000001E-3</v>
      </c>
      <c r="O6306" s="508">
        <v>7.0000000000000001E-3</v>
      </c>
      <c r="P6306" s="508">
        <v>7.0000000000000001E-3</v>
      </c>
      <c r="Q6306" s="508">
        <v>7.0000000000000001E-3</v>
      </c>
      <c r="R6306" s="508">
        <v>7.0000000000000001E-3</v>
      </c>
      <c r="S6306" s="508">
        <v>7.0000000000000001E-3</v>
      </c>
      <c r="T6306" s="508">
        <v>7.0000000000000001E-3</v>
      </c>
      <c r="U6306" s="508">
        <v>7.0000000000000001E-3</v>
      </c>
      <c r="V6306" s="508">
        <v>7.0000000000000001E-3</v>
      </c>
      <c r="W6306" s="508">
        <v>7.0000000000000001E-3</v>
      </c>
      <c r="X6306" s="508">
        <v>7.0000000000000001E-3</v>
      </c>
      <c r="Y6306" s="508">
        <v>7.0000000000000001E-3</v>
      </c>
      <c r="Z6306" s="508">
        <v>7.0000000000000001E-3</v>
      </c>
      <c r="AA6306" s="508">
        <v>7.0000000000000001E-3</v>
      </c>
      <c r="AB6306" s="508">
        <v>7.0000000000000001E-3</v>
      </c>
      <c r="AC6306" s="508">
        <v>7.0000000000000001E-3</v>
      </c>
      <c r="AD6306" s="508">
        <v>7.0000000000000001E-3</v>
      </c>
      <c r="AE6306" s="508">
        <v>7.0000000000000001E-3</v>
      </c>
      <c r="AF6306" s="508">
        <v>7.0000000000000001E-3</v>
      </c>
      <c r="AG6306" s="508">
        <v>7.0000000000000001E-3</v>
      </c>
      <c r="AH6306" s="508">
        <v>7.0000000000000001E-3</v>
      </c>
      <c r="AI6306" s="492">
        <v>7.0000000000000001E-3</v>
      </c>
      <c r="AJ6306" s="485"/>
    </row>
    <row r="6307" spans="2:36">
      <c r="B6307" s="136" t="s">
        <v>446</v>
      </c>
      <c r="C6307" s="132" t="s">
        <v>1364</v>
      </c>
      <c r="D6307" s="132" t="s">
        <v>1380</v>
      </c>
      <c r="E6307" s="508">
        <v>7.0000000000000001E-3</v>
      </c>
      <c r="F6307" s="508">
        <v>7.0000000000000001E-3</v>
      </c>
      <c r="G6307" s="508">
        <v>7.0000000000000001E-3</v>
      </c>
      <c r="H6307" s="508">
        <v>7.0000000000000001E-3</v>
      </c>
      <c r="I6307" s="508">
        <v>7.0000000000000001E-3</v>
      </c>
      <c r="J6307" s="508">
        <v>7.0000000000000001E-3</v>
      </c>
      <c r="K6307" s="508">
        <v>7.0000000000000001E-3</v>
      </c>
      <c r="L6307" s="508">
        <v>7.0000000000000001E-3</v>
      </c>
      <c r="M6307" s="508">
        <v>7.0000000000000001E-3</v>
      </c>
      <c r="N6307" s="508">
        <v>7.0000000000000001E-3</v>
      </c>
      <c r="O6307" s="508">
        <v>7.0000000000000001E-3</v>
      </c>
      <c r="P6307" s="508">
        <v>7.0000000000000001E-3</v>
      </c>
      <c r="Q6307" s="508">
        <v>7.0000000000000001E-3</v>
      </c>
      <c r="R6307" s="508">
        <v>7.0000000000000001E-3</v>
      </c>
      <c r="S6307" s="508">
        <v>7.0000000000000001E-3</v>
      </c>
      <c r="T6307" s="508">
        <v>7.0000000000000001E-3</v>
      </c>
      <c r="U6307" s="508">
        <v>7.0000000000000001E-3</v>
      </c>
      <c r="V6307" s="508">
        <v>7.0000000000000001E-3</v>
      </c>
      <c r="W6307" s="508">
        <v>7.0000000000000001E-3</v>
      </c>
      <c r="X6307" s="508">
        <v>7.0000000000000001E-3</v>
      </c>
      <c r="Y6307" s="508">
        <v>7.0000000000000001E-3</v>
      </c>
      <c r="Z6307" s="508">
        <v>7.0000000000000001E-3</v>
      </c>
      <c r="AA6307" s="508">
        <v>7.0000000000000001E-3</v>
      </c>
      <c r="AB6307" s="508">
        <v>7.0000000000000001E-3</v>
      </c>
      <c r="AC6307" s="508">
        <v>7.0000000000000001E-3</v>
      </c>
      <c r="AD6307" s="508">
        <v>7.0000000000000001E-3</v>
      </c>
      <c r="AE6307" s="508">
        <v>7.0000000000000001E-3</v>
      </c>
      <c r="AF6307" s="508">
        <v>7.0000000000000001E-3</v>
      </c>
      <c r="AG6307" s="508">
        <v>7.0000000000000001E-3</v>
      </c>
      <c r="AH6307" s="508">
        <v>7.0000000000000001E-3</v>
      </c>
      <c r="AI6307" s="492">
        <v>7.0000000000000001E-3</v>
      </c>
      <c r="AJ6307" s="485"/>
    </row>
    <row r="6308" spans="2:36">
      <c r="B6308" s="136" t="s">
        <v>448</v>
      </c>
      <c r="C6308" s="132" t="s">
        <v>1364</v>
      </c>
      <c r="D6308" s="132" t="s">
        <v>1380</v>
      </c>
      <c r="E6308" s="508">
        <v>1.0999999999999999E-2</v>
      </c>
      <c r="F6308" s="508">
        <v>1.0999999999999999E-2</v>
      </c>
      <c r="G6308" s="508">
        <v>1.0999999999999999E-2</v>
      </c>
      <c r="H6308" s="508">
        <v>1.0999999999999999E-2</v>
      </c>
      <c r="I6308" s="508">
        <v>1.0999999999999999E-2</v>
      </c>
      <c r="J6308" s="508">
        <v>1.0999999999999999E-2</v>
      </c>
      <c r="K6308" s="508">
        <v>1.0999999999999999E-2</v>
      </c>
      <c r="L6308" s="508">
        <v>1.0999999999999999E-2</v>
      </c>
      <c r="M6308" s="508">
        <v>1.0999999999999999E-2</v>
      </c>
      <c r="N6308" s="508">
        <v>1.0999999999999999E-2</v>
      </c>
      <c r="O6308" s="508">
        <v>1.0999999999999999E-2</v>
      </c>
      <c r="P6308" s="508">
        <v>1.0999999999999999E-2</v>
      </c>
      <c r="Q6308" s="508">
        <v>1.0999999999999999E-2</v>
      </c>
      <c r="R6308" s="508">
        <v>1.0999999999999999E-2</v>
      </c>
      <c r="S6308" s="508">
        <v>1.0999999999999999E-2</v>
      </c>
      <c r="T6308" s="508">
        <v>1.0999999999999999E-2</v>
      </c>
      <c r="U6308" s="508">
        <v>1.0999999999999999E-2</v>
      </c>
      <c r="V6308" s="508">
        <v>1.0999999999999999E-2</v>
      </c>
      <c r="W6308" s="508">
        <v>1.0999999999999999E-2</v>
      </c>
      <c r="X6308" s="508">
        <v>1.0999999999999999E-2</v>
      </c>
      <c r="Y6308" s="508">
        <v>1.0999999999999999E-2</v>
      </c>
      <c r="Z6308" s="508">
        <v>1.0999999999999999E-2</v>
      </c>
      <c r="AA6308" s="508">
        <v>1.0999999999999999E-2</v>
      </c>
      <c r="AB6308" s="508">
        <v>1.0999999999999999E-2</v>
      </c>
      <c r="AC6308" s="508">
        <v>1.0999999999999999E-2</v>
      </c>
      <c r="AD6308" s="508">
        <v>1.0999999999999999E-2</v>
      </c>
      <c r="AE6308" s="508">
        <v>1.0999999999999999E-2</v>
      </c>
      <c r="AF6308" s="508">
        <v>1.0999999999999999E-2</v>
      </c>
      <c r="AG6308" s="508">
        <v>1.0999999999999999E-2</v>
      </c>
      <c r="AH6308" s="508">
        <v>1.0999999999999999E-2</v>
      </c>
      <c r="AI6308" s="492">
        <v>1.0999999999999999E-2</v>
      </c>
      <c r="AJ6308" s="485"/>
    </row>
    <row r="6309" spans="2:36">
      <c r="B6309" s="136" t="s">
        <v>449</v>
      </c>
      <c r="C6309" s="132" t="s">
        <v>1364</v>
      </c>
      <c r="D6309" s="132" t="s">
        <v>1380</v>
      </c>
      <c r="E6309" s="508">
        <v>6.0000000000000001E-3</v>
      </c>
      <c r="F6309" s="508">
        <v>6.0000000000000001E-3</v>
      </c>
      <c r="G6309" s="508">
        <v>6.0000000000000001E-3</v>
      </c>
      <c r="H6309" s="508">
        <v>6.0000000000000001E-3</v>
      </c>
      <c r="I6309" s="508">
        <v>6.0000000000000001E-3</v>
      </c>
      <c r="J6309" s="508">
        <v>6.0000000000000001E-3</v>
      </c>
      <c r="K6309" s="508">
        <v>6.0000000000000001E-3</v>
      </c>
      <c r="L6309" s="508">
        <v>6.0000000000000001E-3</v>
      </c>
      <c r="M6309" s="508">
        <v>6.0000000000000001E-3</v>
      </c>
      <c r="N6309" s="508">
        <v>6.0000000000000001E-3</v>
      </c>
      <c r="O6309" s="508">
        <v>6.0000000000000001E-3</v>
      </c>
      <c r="P6309" s="508">
        <v>6.0000000000000001E-3</v>
      </c>
      <c r="Q6309" s="508">
        <v>6.0000000000000001E-3</v>
      </c>
      <c r="R6309" s="508">
        <v>6.0000000000000001E-3</v>
      </c>
      <c r="S6309" s="508">
        <v>6.0000000000000001E-3</v>
      </c>
      <c r="T6309" s="508">
        <v>6.0000000000000001E-3</v>
      </c>
      <c r="U6309" s="508">
        <v>6.0000000000000001E-3</v>
      </c>
      <c r="V6309" s="508">
        <v>6.0000000000000001E-3</v>
      </c>
      <c r="W6309" s="508">
        <v>6.0000000000000001E-3</v>
      </c>
      <c r="X6309" s="508">
        <v>6.0000000000000001E-3</v>
      </c>
      <c r="Y6309" s="508">
        <v>6.0000000000000001E-3</v>
      </c>
      <c r="Z6309" s="508">
        <v>6.0000000000000001E-3</v>
      </c>
      <c r="AA6309" s="508">
        <v>6.0000000000000001E-3</v>
      </c>
      <c r="AB6309" s="508">
        <v>6.0000000000000001E-3</v>
      </c>
      <c r="AC6309" s="508">
        <v>6.0000000000000001E-3</v>
      </c>
      <c r="AD6309" s="508">
        <v>6.0000000000000001E-3</v>
      </c>
      <c r="AE6309" s="508">
        <v>6.0000000000000001E-3</v>
      </c>
      <c r="AF6309" s="508">
        <v>6.0000000000000001E-3</v>
      </c>
      <c r="AG6309" s="508">
        <v>6.0000000000000001E-3</v>
      </c>
      <c r="AH6309" s="508">
        <v>6.0000000000000001E-3</v>
      </c>
      <c r="AI6309" s="492">
        <v>6.0000000000000001E-3</v>
      </c>
      <c r="AJ6309" s="485"/>
    </row>
    <row r="6310" spans="2:36">
      <c r="B6310" s="136" t="s">
        <v>450</v>
      </c>
      <c r="C6310" s="132" t="s">
        <v>1364</v>
      </c>
      <c r="D6310" s="132" t="s">
        <v>1380</v>
      </c>
      <c r="E6310" s="508">
        <v>5.0000000000000001E-3</v>
      </c>
      <c r="F6310" s="508">
        <v>5.0000000000000001E-3</v>
      </c>
      <c r="G6310" s="508">
        <v>4.0000000000000001E-3</v>
      </c>
      <c r="H6310" s="508">
        <v>4.0000000000000001E-3</v>
      </c>
      <c r="I6310" s="508">
        <v>4.0000000000000001E-3</v>
      </c>
      <c r="J6310" s="508">
        <v>5.0000000000000001E-3</v>
      </c>
      <c r="K6310" s="508">
        <v>5.0000000000000001E-3</v>
      </c>
      <c r="L6310" s="508">
        <v>4.0000000000000001E-3</v>
      </c>
      <c r="M6310" s="508">
        <v>5.0000000000000001E-3</v>
      </c>
      <c r="N6310" s="508">
        <v>4.0000000000000001E-3</v>
      </c>
      <c r="O6310" s="508">
        <v>5.0000000000000001E-3</v>
      </c>
      <c r="P6310" s="508">
        <v>5.0000000000000001E-3</v>
      </c>
      <c r="Q6310" s="508">
        <v>5.0000000000000001E-3</v>
      </c>
      <c r="R6310" s="508">
        <v>4.0000000000000001E-3</v>
      </c>
      <c r="S6310" s="508">
        <v>5.0000000000000001E-3</v>
      </c>
      <c r="T6310" s="508">
        <v>5.0000000000000001E-3</v>
      </c>
      <c r="U6310" s="508">
        <v>5.0000000000000001E-3</v>
      </c>
      <c r="V6310" s="508">
        <v>5.0000000000000001E-3</v>
      </c>
      <c r="W6310" s="508">
        <v>5.0000000000000001E-3</v>
      </c>
      <c r="X6310" s="508">
        <v>5.0000000000000001E-3</v>
      </c>
      <c r="Y6310" s="508">
        <v>5.0000000000000001E-3</v>
      </c>
      <c r="Z6310" s="508">
        <v>5.0000000000000001E-3</v>
      </c>
      <c r="AA6310" s="508">
        <v>5.0000000000000001E-3</v>
      </c>
      <c r="AB6310" s="508">
        <v>5.0000000000000001E-3</v>
      </c>
      <c r="AC6310" s="508">
        <v>4.0000000000000001E-3</v>
      </c>
      <c r="AD6310" s="508">
        <v>4.0000000000000001E-3</v>
      </c>
      <c r="AE6310" s="508">
        <v>5.0000000000000001E-3</v>
      </c>
      <c r="AF6310" s="508">
        <v>5.0000000000000001E-3</v>
      </c>
      <c r="AG6310" s="508">
        <v>5.0000000000000001E-3</v>
      </c>
      <c r="AH6310" s="508">
        <v>5.0000000000000001E-3</v>
      </c>
      <c r="AI6310" s="492">
        <v>5.0000000000000001E-3</v>
      </c>
      <c r="AJ6310" s="485"/>
    </row>
    <row r="6311" spans="2:36">
      <c r="B6311" s="136" t="s">
        <v>451</v>
      </c>
      <c r="C6311" s="132" t="s">
        <v>1364</v>
      </c>
      <c r="D6311" s="132" t="s">
        <v>1380</v>
      </c>
      <c r="E6311" s="508">
        <v>7.0000000000000001E-3</v>
      </c>
      <c r="F6311" s="508">
        <v>7.0000000000000001E-3</v>
      </c>
      <c r="G6311" s="508">
        <v>7.0000000000000001E-3</v>
      </c>
      <c r="H6311" s="508">
        <v>7.0000000000000001E-3</v>
      </c>
      <c r="I6311" s="508">
        <v>7.0000000000000001E-3</v>
      </c>
      <c r="J6311" s="508">
        <v>7.0000000000000001E-3</v>
      </c>
      <c r="K6311" s="508">
        <v>7.0000000000000001E-3</v>
      </c>
      <c r="L6311" s="508">
        <v>7.0000000000000001E-3</v>
      </c>
      <c r="M6311" s="508">
        <v>7.0000000000000001E-3</v>
      </c>
      <c r="N6311" s="508">
        <v>7.0000000000000001E-3</v>
      </c>
      <c r="O6311" s="508">
        <v>7.0000000000000001E-3</v>
      </c>
      <c r="P6311" s="508">
        <v>7.0000000000000001E-3</v>
      </c>
      <c r="Q6311" s="508">
        <v>7.0000000000000001E-3</v>
      </c>
      <c r="R6311" s="508">
        <v>7.0000000000000001E-3</v>
      </c>
      <c r="S6311" s="508">
        <v>7.0000000000000001E-3</v>
      </c>
      <c r="T6311" s="508">
        <v>7.0000000000000001E-3</v>
      </c>
      <c r="U6311" s="508">
        <v>7.0000000000000001E-3</v>
      </c>
      <c r="V6311" s="508">
        <v>7.0000000000000001E-3</v>
      </c>
      <c r="W6311" s="508">
        <v>7.0000000000000001E-3</v>
      </c>
      <c r="X6311" s="508">
        <v>7.0000000000000001E-3</v>
      </c>
      <c r="Y6311" s="508">
        <v>7.0000000000000001E-3</v>
      </c>
      <c r="Z6311" s="508">
        <v>7.0000000000000001E-3</v>
      </c>
      <c r="AA6311" s="508">
        <v>7.0000000000000001E-3</v>
      </c>
      <c r="AB6311" s="508">
        <v>7.0000000000000001E-3</v>
      </c>
      <c r="AC6311" s="508">
        <v>7.0000000000000001E-3</v>
      </c>
      <c r="AD6311" s="508">
        <v>7.0000000000000001E-3</v>
      </c>
      <c r="AE6311" s="508">
        <v>7.0000000000000001E-3</v>
      </c>
      <c r="AF6311" s="508">
        <v>7.0000000000000001E-3</v>
      </c>
      <c r="AG6311" s="508">
        <v>7.0000000000000001E-3</v>
      </c>
      <c r="AH6311" s="508">
        <v>7.0000000000000001E-3</v>
      </c>
      <c r="AI6311" s="492">
        <v>7.0000000000000001E-3</v>
      </c>
      <c r="AJ6311" s="485"/>
    </row>
    <row r="6312" spans="2:36">
      <c r="B6312" s="136" t="s">
        <v>452</v>
      </c>
      <c r="C6312" s="132" t="s">
        <v>1364</v>
      </c>
      <c r="D6312" s="132" t="s">
        <v>1380</v>
      </c>
      <c r="E6312" s="508">
        <v>6.0000000000000001E-3</v>
      </c>
      <c r="F6312" s="508">
        <v>6.0000000000000001E-3</v>
      </c>
      <c r="G6312" s="508">
        <v>6.0000000000000001E-3</v>
      </c>
      <c r="H6312" s="508">
        <v>6.0000000000000001E-3</v>
      </c>
      <c r="I6312" s="508">
        <v>6.0000000000000001E-3</v>
      </c>
      <c r="J6312" s="508">
        <v>6.0000000000000001E-3</v>
      </c>
      <c r="K6312" s="508">
        <v>6.0000000000000001E-3</v>
      </c>
      <c r="L6312" s="508">
        <v>6.0000000000000001E-3</v>
      </c>
      <c r="M6312" s="508">
        <v>6.0000000000000001E-3</v>
      </c>
      <c r="N6312" s="508">
        <v>6.0000000000000001E-3</v>
      </c>
      <c r="O6312" s="508">
        <v>6.0000000000000001E-3</v>
      </c>
      <c r="P6312" s="508">
        <v>6.0000000000000001E-3</v>
      </c>
      <c r="Q6312" s="508">
        <v>6.0000000000000001E-3</v>
      </c>
      <c r="R6312" s="508">
        <v>6.0000000000000001E-3</v>
      </c>
      <c r="S6312" s="508">
        <v>6.0000000000000001E-3</v>
      </c>
      <c r="T6312" s="508">
        <v>6.0000000000000001E-3</v>
      </c>
      <c r="U6312" s="508">
        <v>6.0000000000000001E-3</v>
      </c>
      <c r="V6312" s="508">
        <v>6.0000000000000001E-3</v>
      </c>
      <c r="W6312" s="508">
        <v>6.0000000000000001E-3</v>
      </c>
      <c r="X6312" s="508">
        <v>6.0000000000000001E-3</v>
      </c>
      <c r="Y6312" s="508">
        <v>6.0000000000000001E-3</v>
      </c>
      <c r="Z6312" s="508">
        <v>6.0000000000000001E-3</v>
      </c>
      <c r="AA6312" s="508">
        <v>6.0000000000000001E-3</v>
      </c>
      <c r="AB6312" s="508">
        <v>6.0000000000000001E-3</v>
      </c>
      <c r="AC6312" s="508">
        <v>6.0000000000000001E-3</v>
      </c>
      <c r="AD6312" s="508">
        <v>6.0000000000000001E-3</v>
      </c>
      <c r="AE6312" s="508">
        <v>6.0000000000000001E-3</v>
      </c>
      <c r="AF6312" s="508">
        <v>6.0000000000000001E-3</v>
      </c>
      <c r="AG6312" s="508">
        <v>6.0000000000000001E-3</v>
      </c>
      <c r="AH6312" s="508">
        <v>6.0000000000000001E-3</v>
      </c>
      <c r="AI6312" s="492">
        <v>6.0000000000000001E-3</v>
      </c>
      <c r="AJ6312" s="485"/>
    </row>
    <row r="6313" spans="2:36">
      <c r="B6313" s="136" t="s">
        <v>453</v>
      </c>
      <c r="C6313" s="132" t="s">
        <v>1364</v>
      </c>
      <c r="D6313" s="132" t="s">
        <v>1380</v>
      </c>
      <c r="E6313" s="508">
        <v>5.0000000000000001E-3</v>
      </c>
      <c r="F6313" s="508">
        <v>5.0000000000000001E-3</v>
      </c>
      <c r="G6313" s="508">
        <v>5.0000000000000001E-3</v>
      </c>
      <c r="H6313" s="508">
        <v>5.0000000000000001E-3</v>
      </c>
      <c r="I6313" s="508">
        <v>5.0000000000000001E-3</v>
      </c>
      <c r="J6313" s="508">
        <v>5.0000000000000001E-3</v>
      </c>
      <c r="K6313" s="508">
        <v>5.0000000000000001E-3</v>
      </c>
      <c r="L6313" s="508">
        <v>5.0000000000000001E-3</v>
      </c>
      <c r="M6313" s="508">
        <v>5.0000000000000001E-3</v>
      </c>
      <c r="N6313" s="508">
        <v>5.0000000000000001E-3</v>
      </c>
      <c r="O6313" s="508">
        <v>5.0000000000000001E-3</v>
      </c>
      <c r="P6313" s="508">
        <v>5.0000000000000001E-3</v>
      </c>
      <c r="Q6313" s="508">
        <v>5.0000000000000001E-3</v>
      </c>
      <c r="R6313" s="508">
        <v>5.0000000000000001E-3</v>
      </c>
      <c r="S6313" s="508">
        <v>5.0000000000000001E-3</v>
      </c>
      <c r="T6313" s="508">
        <v>5.0000000000000001E-3</v>
      </c>
      <c r="U6313" s="508">
        <v>5.0000000000000001E-3</v>
      </c>
      <c r="V6313" s="508">
        <v>5.0000000000000001E-3</v>
      </c>
      <c r="W6313" s="508">
        <v>5.0000000000000001E-3</v>
      </c>
      <c r="X6313" s="508">
        <v>5.0000000000000001E-3</v>
      </c>
      <c r="Y6313" s="508">
        <v>5.0000000000000001E-3</v>
      </c>
      <c r="Z6313" s="508">
        <v>5.0000000000000001E-3</v>
      </c>
      <c r="AA6313" s="508">
        <v>5.0000000000000001E-3</v>
      </c>
      <c r="AB6313" s="508">
        <v>5.0000000000000001E-3</v>
      </c>
      <c r="AC6313" s="508">
        <v>5.0000000000000001E-3</v>
      </c>
      <c r="AD6313" s="508">
        <v>5.0000000000000001E-3</v>
      </c>
      <c r="AE6313" s="508">
        <v>5.0000000000000001E-3</v>
      </c>
      <c r="AF6313" s="508">
        <v>5.0000000000000001E-3</v>
      </c>
      <c r="AG6313" s="508">
        <v>5.0000000000000001E-3</v>
      </c>
      <c r="AH6313" s="508">
        <v>5.0000000000000001E-3</v>
      </c>
      <c r="AI6313" s="492">
        <v>5.0000000000000001E-3</v>
      </c>
      <c r="AJ6313" s="485"/>
    </row>
    <row r="6314" spans="2:36">
      <c r="B6314" s="136" t="s">
        <v>454</v>
      </c>
      <c r="C6314" s="132" t="s">
        <v>1364</v>
      </c>
      <c r="D6314" s="132" t="s">
        <v>1380</v>
      </c>
      <c r="E6314" s="508">
        <v>5.0000000000000001E-3</v>
      </c>
      <c r="F6314" s="508">
        <v>5.0000000000000001E-3</v>
      </c>
      <c r="G6314" s="508">
        <v>5.0000000000000001E-3</v>
      </c>
      <c r="H6314" s="508">
        <v>5.0000000000000001E-3</v>
      </c>
      <c r="I6314" s="508">
        <v>5.0000000000000001E-3</v>
      </c>
      <c r="J6314" s="508">
        <v>5.0000000000000001E-3</v>
      </c>
      <c r="K6314" s="508">
        <v>5.0000000000000001E-3</v>
      </c>
      <c r="L6314" s="508">
        <v>5.0000000000000001E-3</v>
      </c>
      <c r="M6314" s="508">
        <v>5.0000000000000001E-3</v>
      </c>
      <c r="N6314" s="508">
        <v>5.0000000000000001E-3</v>
      </c>
      <c r="O6314" s="508">
        <v>5.0000000000000001E-3</v>
      </c>
      <c r="P6314" s="508">
        <v>5.0000000000000001E-3</v>
      </c>
      <c r="Q6314" s="508">
        <v>5.0000000000000001E-3</v>
      </c>
      <c r="R6314" s="508">
        <v>5.0000000000000001E-3</v>
      </c>
      <c r="S6314" s="508">
        <v>5.0000000000000001E-3</v>
      </c>
      <c r="T6314" s="508">
        <v>5.0000000000000001E-3</v>
      </c>
      <c r="U6314" s="508">
        <v>5.0000000000000001E-3</v>
      </c>
      <c r="V6314" s="508">
        <v>5.0000000000000001E-3</v>
      </c>
      <c r="W6314" s="508">
        <v>5.0000000000000001E-3</v>
      </c>
      <c r="X6314" s="508">
        <v>5.0000000000000001E-3</v>
      </c>
      <c r="Y6314" s="508">
        <v>5.0000000000000001E-3</v>
      </c>
      <c r="Z6314" s="508">
        <v>5.0000000000000001E-3</v>
      </c>
      <c r="AA6314" s="508">
        <v>5.0000000000000001E-3</v>
      </c>
      <c r="AB6314" s="508">
        <v>5.0000000000000001E-3</v>
      </c>
      <c r="AC6314" s="508">
        <v>5.0000000000000001E-3</v>
      </c>
      <c r="AD6314" s="508">
        <v>5.0000000000000001E-3</v>
      </c>
      <c r="AE6314" s="508">
        <v>5.0000000000000001E-3</v>
      </c>
      <c r="AF6314" s="508">
        <v>5.0000000000000001E-3</v>
      </c>
      <c r="AG6314" s="508">
        <v>5.0000000000000001E-3</v>
      </c>
      <c r="AH6314" s="508">
        <v>5.0000000000000001E-3</v>
      </c>
      <c r="AI6314" s="492">
        <v>5.0000000000000001E-3</v>
      </c>
      <c r="AJ6314" s="485"/>
    </row>
    <row r="6315" spans="2:36">
      <c r="B6315" s="136" t="s">
        <v>455</v>
      </c>
      <c r="C6315" s="132" t="s">
        <v>1364</v>
      </c>
      <c r="D6315" s="132" t="s">
        <v>1380</v>
      </c>
      <c r="E6315" s="508">
        <v>5.0000000000000001E-3</v>
      </c>
      <c r="F6315" s="508">
        <v>5.0000000000000001E-3</v>
      </c>
      <c r="G6315" s="508">
        <v>5.0000000000000001E-3</v>
      </c>
      <c r="H6315" s="508">
        <v>5.0000000000000001E-3</v>
      </c>
      <c r="I6315" s="508">
        <v>5.0000000000000001E-3</v>
      </c>
      <c r="J6315" s="508">
        <v>5.0000000000000001E-3</v>
      </c>
      <c r="K6315" s="508">
        <v>5.0000000000000001E-3</v>
      </c>
      <c r="L6315" s="508">
        <v>5.0000000000000001E-3</v>
      </c>
      <c r="M6315" s="508">
        <v>5.0000000000000001E-3</v>
      </c>
      <c r="N6315" s="508">
        <v>5.0000000000000001E-3</v>
      </c>
      <c r="O6315" s="508">
        <v>5.0000000000000001E-3</v>
      </c>
      <c r="P6315" s="508">
        <v>5.0000000000000001E-3</v>
      </c>
      <c r="Q6315" s="508">
        <v>5.0000000000000001E-3</v>
      </c>
      <c r="R6315" s="508">
        <v>5.0000000000000001E-3</v>
      </c>
      <c r="S6315" s="508">
        <v>5.0000000000000001E-3</v>
      </c>
      <c r="T6315" s="508">
        <v>5.0000000000000001E-3</v>
      </c>
      <c r="U6315" s="508">
        <v>5.0000000000000001E-3</v>
      </c>
      <c r="V6315" s="508">
        <v>5.0000000000000001E-3</v>
      </c>
      <c r="W6315" s="508">
        <v>5.0000000000000001E-3</v>
      </c>
      <c r="X6315" s="508">
        <v>5.0000000000000001E-3</v>
      </c>
      <c r="Y6315" s="508">
        <v>5.0000000000000001E-3</v>
      </c>
      <c r="Z6315" s="508">
        <v>5.0000000000000001E-3</v>
      </c>
      <c r="AA6315" s="508">
        <v>5.0000000000000001E-3</v>
      </c>
      <c r="AB6315" s="508">
        <v>5.0000000000000001E-3</v>
      </c>
      <c r="AC6315" s="508">
        <v>5.0000000000000001E-3</v>
      </c>
      <c r="AD6315" s="508">
        <v>5.0000000000000001E-3</v>
      </c>
      <c r="AE6315" s="508">
        <v>5.0000000000000001E-3</v>
      </c>
      <c r="AF6315" s="508">
        <v>5.0000000000000001E-3</v>
      </c>
      <c r="AG6315" s="508">
        <v>5.0000000000000001E-3</v>
      </c>
      <c r="AH6315" s="508">
        <v>5.0000000000000001E-3</v>
      </c>
      <c r="AI6315" s="492">
        <v>5.0000000000000001E-3</v>
      </c>
      <c r="AJ6315" s="485"/>
    </row>
    <row r="6316" spans="2:36">
      <c r="B6316" s="136" t="s">
        <v>456</v>
      </c>
      <c r="C6316" s="132" t="s">
        <v>1364</v>
      </c>
      <c r="D6316" s="132" t="s">
        <v>1380</v>
      </c>
      <c r="E6316" s="508">
        <v>6.0000000000000001E-3</v>
      </c>
      <c r="F6316" s="508">
        <v>6.0000000000000001E-3</v>
      </c>
      <c r="G6316" s="508">
        <v>6.0000000000000001E-3</v>
      </c>
      <c r="H6316" s="508">
        <v>6.0000000000000001E-3</v>
      </c>
      <c r="I6316" s="508">
        <v>6.0000000000000001E-3</v>
      </c>
      <c r="J6316" s="508">
        <v>6.0000000000000001E-3</v>
      </c>
      <c r="K6316" s="508">
        <v>6.0000000000000001E-3</v>
      </c>
      <c r="L6316" s="508">
        <v>6.0000000000000001E-3</v>
      </c>
      <c r="M6316" s="508">
        <v>6.0000000000000001E-3</v>
      </c>
      <c r="N6316" s="508">
        <v>6.0000000000000001E-3</v>
      </c>
      <c r="O6316" s="508">
        <v>6.0000000000000001E-3</v>
      </c>
      <c r="P6316" s="508">
        <v>6.0000000000000001E-3</v>
      </c>
      <c r="Q6316" s="508">
        <v>6.0000000000000001E-3</v>
      </c>
      <c r="R6316" s="508">
        <v>6.0000000000000001E-3</v>
      </c>
      <c r="S6316" s="508">
        <v>6.0000000000000001E-3</v>
      </c>
      <c r="T6316" s="508">
        <v>6.0000000000000001E-3</v>
      </c>
      <c r="U6316" s="508">
        <v>6.0000000000000001E-3</v>
      </c>
      <c r="V6316" s="508">
        <v>6.0000000000000001E-3</v>
      </c>
      <c r="W6316" s="508">
        <v>6.0000000000000001E-3</v>
      </c>
      <c r="X6316" s="508">
        <v>6.0000000000000001E-3</v>
      </c>
      <c r="Y6316" s="508">
        <v>6.0000000000000001E-3</v>
      </c>
      <c r="Z6316" s="508">
        <v>6.0000000000000001E-3</v>
      </c>
      <c r="AA6316" s="508">
        <v>6.0000000000000001E-3</v>
      </c>
      <c r="AB6316" s="508">
        <v>6.0000000000000001E-3</v>
      </c>
      <c r="AC6316" s="508">
        <v>6.0000000000000001E-3</v>
      </c>
      <c r="AD6316" s="508">
        <v>6.0000000000000001E-3</v>
      </c>
      <c r="AE6316" s="508">
        <v>6.0000000000000001E-3</v>
      </c>
      <c r="AF6316" s="508">
        <v>6.0000000000000001E-3</v>
      </c>
      <c r="AG6316" s="508">
        <v>6.0000000000000001E-3</v>
      </c>
      <c r="AH6316" s="508">
        <v>6.0000000000000001E-3</v>
      </c>
      <c r="AI6316" s="492">
        <v>6.0000000000000001E-3</v>
      </c>
      <c r="AJ6316" s="485"/>
    </row>
    <row r="6317" spans="2:36">
      <c r="B6317" s="136" t="s">
        <v>457</v>
      </c>
      <c r="C6317" s="132" t="s">
        <v>1364</v>
      </c>
      <c r="D6317" s="132" t="s">
        <v>1380</v>
      </c>
      <c r="E6317" s="508">
        <v>5.0000000000000001E-3</v>
      </c>
      <c r="F6317" s="508">
        <v>5.0000000000000001E-3</v>
      </c>
      <c r="G6317" s="508">
        <v>5.0000000000000001E-3</v>
      </c>
      <c r="H6317" s="508">
        <v>5.0000000000000001E-3</v>
      </c>
      <c r="I6317" s="508">
        <v>5.0000000000000001E-3</v>
      </c>
      <c r="J6317" s="508">
        <v>5.0000000000000001E-3</v>
      </c>
      <c r="K6317" s="508">
        <v>5.0000000000000001E-3</v>
      </c>
      <c r="L6317" s="508">
        <v>5.0000000000000001E-3</v>
      </c>
      <c r="M6317" s="508">
        <v>5.0000000000000001E-3</v>
      </c>
      <c r="N6317" s="508">
        <v>5.0000000000000001E-3</v>
      </c>
      <c r="O6317" s="508">
        <v>5.0000000000000001E-3</v>
      </c>
      <c r="P6317" s="508">
        <v>5.0000000000000001E-3</v>
      </c>
      <c r="Q6317" s="508">
        <v>5.0000000000000001E-3</v>
      </c>
      <c r="R6317" s="508">
        <v>5.0000000000000001E-3</v>
      </c>
      <c r="S6317" s="508">
        <v>5.0000000000000001E-3</v>
      </c>
      <c r="T6317" s="508">
        <v>5.0000000000000001E-3</v>
      </c>
      <c r="U6317" s="508">
        <v>5.0000000000000001E-3</v>
      </c>
      <c r="V6317" s="508">
        <v>5.0000000000000001E-3</v>
      </c>
      <c r="W6317" s="508">
        <v>5.0000000000000001E-3</v>
      </c>
      <c r="X6317" s="508">
        <v>5.0000000000000001E-3</v>
      </c>
      <c r="Y6317" s="508">
        <v>5.0000000000000001E-3</v>
      </c>
      <c r="Z6317" s="508">
        <v>5.0000000000000001E-3</v>
      </c>
      <c r="AA6317" s="508">
        <v>5.0000000000000001E-3</v>
      </c>
      <c r="AB6317" s="508">
        <v>5.0000000000000001E-3</v>
      </c>
      <c r="AC6317" s="508">
        <v>5.0000000000000001E-3</v>
      </c>
      <c r="AD6317" s="508">
        <v>5.0000000000000001E-3</v>
      </c>
      <c r="AE6317" s="508">
        <v>5.0000000000000001E-3</v>
      </c>
      <c r="AF6317" s="508">
        <v>5.0000000000000001E-3</v>
      </c>
      <c r="AG6317" s="508">
        <v>5.0000000000000001E-3</v>
      </c>
      <c r="AH6317" s="508">
        <v>5.0000000000000001E-3</v>
      </c>
      <c r="AI6317" s="492">
        <v>5.0000000000000001E-3</v>
      </c>
      <c r="AJ6317" s="485"/>
    </row>
    <row r="6318" spans="2:36">
      <c r="B6318" s="136" t="s">
        <v>458</v>
      </c>
      <c r="C6318" s="132" t="s">
        <v>1364</v>
      </c>
      <c r="D6318" s="132" t="s">
        <v>1380</v>
      </c>
      <c r="E6318" s="508">
        <v>6.0000000000000001E-3</v>
      </c>
      <c r="F6318" s="508">
        <v>6.0000000000000001E-3</v>
      </c>
      <c r="G6318" s="508">
        <v>6.0000000000000001E-3</v>
      </c>
      <c r="H6318" s="508">
        <v>6.0000000000000001E-3</v>
      </c>
      <c r="I6318" s="508">
        <v>6.0000000000000001E-3</v>
      </c>
      <c r="J6318" s="508">
        <v>6.0000000000000001E-3</v>
      </c>
      <c r="K6318" s="508">
        <v>6.0000000000000001E-3</v>
      </c>
      <c r="L6318" s="508">
        <v>6.0000000000000001E-3</v>
      </c>
      <c r="M6318" s="508">
        <v>6.0000000000000001E-3</v>
      </c>
      <c r="N6318" s="508">
        <v>6.0000000000000001E-3</v>
      </c>
      <c r="O6318" s="508">
        <v>6.0000000000000001E-3</v>
      </c>
      <c r="P6318" s="508">
        <v>6.0000000000000001E-3</v>
      </c>
      <c r="Q6318" s="508">
        <v>6.0000000000000001E-3</v>
      </c>
      <c r="R6318" s="508">
        <v>6.0000000000000001E-3</v>
      </c>
      <c r="S6318" s="508">
        <v>6.0000000000000001E-3</v>
      </c>
      <c r="T6318" s="508">
        <v>6.0000000000000001E-3</v>
      </c>
      <c r="U6318" s="508">
        <v>6.0000000000000001E-3</v>
      </c>
      <c r="V6318" s="508">
        <v>6.0000000000000001E-3</v>
      </c>
      <c r="W6318" s="508">
        <v>6.0000000000000001E-3</v>
      </c>
      <c r="X6318" s="508">
        <v>6.0000000000000001E-3</v>
      </c>
      <c r="Y6318" s="508">
        <v>6.0000000000000001E-3</v>
      </c>
      <c r="Z6318" s="508">
        <v>6.0000000000000001E-3</v>
      </c>
      <c r="AA6318" s="508">
        <v>6.0000000000000001E-3</v>
      </c>
      <c r="AB6318" s="508">
        <v>6.0000000000000001E-3</v>
      </c>
      <c r="AC6318" s="508">
        <v>6.0000000000000001E-3</v>
      </c>
      <c r="AD6318" s="508">
        <v>6.0000000000000001E-3</v>
      </c>
      <c r="AE6318" s="508">
        <v>6.0000000000000001E-3</v>
      </c>
      <c r="AF6318" s="508">
        <v>6.0000000000000001E-3</v>
      </c>
      <c r="AG6318" s="508">
        <v>6.0000000000000001E-3</v>
      </c>
      <c r="AH6318" s="508">
        <v>6.0000000000000001E-3</v>
      </c>
      <c r="AI6318" s="492">
        <v>6.0000000000000001E-3</v>
      </c>
      <c r="AJ6318" s="485"/>
    </row>
    <row r="6319" spans="2:36">
      <c r="B6319" s="136" t="s">
        <v>459</v>
      </c>
      <c r="C6319" s="132" t="s">
        <v>1364</v>
      </c>
      <c r="D6319" s="132" t="s">
        <v>1380</v>
      </c>
      <c r="E6319" s="508">
        <v>6.0000000000000001E-3</v>
      </c>
      <c r="F6319" s="508">
        <v>6.0000000000000001E-3</v>
      </c>
      <c r="G6319" s="508">
        <v>6.0000000000000001E-3</v>
      </c>
      <c r="H6319" s="508">
        <v>6.0000000000000001E-3</v>
      </c>
      <c r="I6319" s="508">
        <v>6.0000000000000001E-3</v>
      </c>
      <c r="J6319" s="508">
        <v>6.0000000000000001E-3</v>
      </c>
      <c r="K6319" s="508">
        <v>6.0000000000000001E-3</v>
      </c>
      <c r="L6319" s="508">
        <v>6.0000000000000001E-3</v>
      </c>
      <c r="M6319" s="508">
        <v>6.0000000000000001E-3</v>
      </c>
      <c r="N6319" s="508">
        <v>6.0000000000000001E-3</v>
      </c>
      <c r="O6319" s="508">
        <v>6.0000000000000001E-3</v>
      </c>
      <c r="P6319" s="508">
        <v>6.0000000000000001E-3</v>
      </c>
      <c r="Q6319" s="508">
        <v>6.0000000000000001E-3</v>
      </c>
      <c r="R6319" s="508">
        <v>6.0000000000000001E-3</v>
      </c>
      <c r="S6319" s="508">
        <v>6.0000000000000001E-3</v>
      </c>
      <c r="T6319" s="508">
        <v>6.0000000000000001E-3</v>
      </c>
      <c r="U6319" s="508">
        <v>6.0000000000000001E-3</v>
      </c>
      <c r="V6319" s="508">
        <v>6.0000000000000001E-3</v>
      </c>
      <c r="W6319" s="508">
        <v>6.0000000000000001E-3</v>
      </c>
      <c r="X6319" s="508">
        <v>6.0000000000000001E-3</v>
      </c>
      <c r="Y6319" s="508">
        <v>6.0000000000000001E-3</v>
      </c>
      <c r="Z6319" s="508">
        <v>6.0000000000000001E-3</v>
      </c>
      <c r="AA6319" s="508">
        <v>6.0000000000000001E-3</v>
      </c>
      <c r="AB6319" s="508">
        <v>6.0000000000000001E-3</v>
      </c>
      <c r="AC6319" s="508">
        <v>6.0000000000000001E-3</v>
      </c>
      <c r="AD6319" s="508">
        <v>6.0000000000000001E-3</v>
      </c>
      <c r="AE6319" s="508">
        <v>6.0000000000000001E-3</v>
      </c>
      <c r="AF6319" s="508">
        <v>6.0000000000000001E-3</v>
      </c>
      <c r="AG6319" s="508">
        <v>6.0000000000000001E-3</v>
      </c>
      <c r="AH6319" s="508">
        <v>6.0000000000000001E-3</v>
      </c>
      <c r="AI6319" s="492">
        <v>6.0000000000000001E-3</v>
      </c>
      <c r="AJ6319" s="485"/>
    </row>
    <row r="6320" spans="2:36">
      <c r="B6320" s="136" t="s">
        <v>460</v>
      </c>
      <c r="C6320" s="132" t="s">
        <v>1364</v>
      </c>
      <c r="D6320" s="132" t="s">
        <v>1380</v>
      </c>
      <c r="E6320" s="508">
        <v>6.0000000000000001E-3</v>
      </c>
      <c r="F6320" s="508">
        <v>6.0000000000000001E-3</v>
      </c>
      <c r="G6320" s="508">
        <v>6.0000000000000001E-3</v>
      </c>
      <c r="H6320" s="508">
        <v>6.0000000000000001E-3</v>
      </c>
      <c r="I6320" s="508">
        <v>6.0000000000000001E-3</v>
      </c>
      <c r="J6320" s="508">
        <v>6.0000000000000001E-3</v>
      </c>
      <c r="K6320" s="508">
        <v>6.0000000000000001E-3</v>
      </c>
      <c r="L6320" s="508">
        <v>6.0000000000000001E-3</v>
      </c>
      <c r="M6320" s="508">
        <v>6.0000000000000001E-3</v>
      </c>
      <c r="N6320" s="508">
        <v>6.0000000000000001E-3</v>
      </c>
      <c r="O6320" s="508">
        <v>6.0000000000000001E-3</v>
      </c>
      <c r="P6320" s="508">
        <v>6.0000000000000001E-3</v>
      </c>
      <c r="Q6320" s="508">
        <v>6.0000000000000001E-3</v>
      </c>
      <c r="R6320" s="508">
        <v>6.0000000000000001E-3</v>
      </c>
      <c r="S6320" s="508">
        <v>6.0000000000000001E-3</v>
      </c>
      <c r="T6320" s="508">
        <v>6.0000000000000001E-3</v>
      </c>
      <c r="U6320" s="508">
        <v>6.0000000000000001E-3</v>
      </c>
      <c r="V6320" s="508">
        <v>6.0000000000000001E-3</v>
      </c>
      <c r="W6320" s="508">
        <v>6.0000000000000001E-3</v>
      </c>
      <c r="X6320" s="508">
        <v>6.0000000000000001E-3</v>
      </c>
      <c r="Y6320" s="508">
        <v>6.0000000000000001E-3</v>
      </c>
      <c r="Z6320" s="508">
        <v>6.0000000000000001E-3</v>
      </c>
      <c r="AA6320" s="508">
        <v>6.0000000000000001E-3</v>
      </c>
      <c r="AB6320" s="508">
        <v>6.0000000000000001E-3</v>
      </c>
      <c r="AC6320" s="508">
        <v>6.0000000000000001E-3</v>
      </c>
      <c r="AD6320" s="508">
        <v>6.0000000000000001E-3</v>
      </c>
      <c r="AE6320" s="508">
        <v>6.0000000000000001E-3</v>
      </c>
      <c r="AF6320" s="508">
        <v>6.0000000000000001E-3</v>
      </c>
      <c r="AG6320" s="508">
        <v>6.0000000000000001E-3</v>
      </c>
      <c r="AH6320" s="508">
        <v>6.0000000000000001E-3</v>
      </c>
      <c r="AI6320" s="492">
        <v>6.0000000000000001E-3</v>
      </c>
      <c r="AJ6320" s="485"/>
    </row>
    <row r="6321" spans="2:36">
      <c r="B6321" s="136" t="s">
        <v>461</v>
      </c>
      <c r="C6321" s="132" t="s">
        <v>1364</v>
      </c>
      <c r="D6321" s="132" t="s">
        <v>1380</v>
      </c>
      <c r="E6321" s="508">
        <v>5.0000000000000001E-3</v>
      </c>
      <c r="F6321" s="508">
        <v>5.0000000000000001E-3</v>
      </c>
      <c r="G6321" s="508">
        <v>5.0000000000000001E-3</v>
      </c>
      <c r="H6321" s="508">
        <v>5.0000000000000001E-3</v>
      </c>
      <c r="I6321" s="508">
        <v>5.0000000000000001E-3</v>
      </c>
      <c r="J6321" s="508">
        <v>5.0000000000000001E-3</v>
      </c>
      <c r="K6321" s="508">
        <v>5.0000000000000001E-3</v>
      </c>
      <c r="L6321" s="508">
        <v>5.0000000000000001E-3</v>
      </c>
      <c r="M6321" s="508">
        <v>5.0000000000000001E-3</v>
      </c>
      <c r="N6321" s="508">
        <v>5.0000000000000001E-3</v>
      </c>
      <c r="O6321" s="508">
        <v>5.0000000000000001E-3</v>
      </c>
      <c r="P6321" s="508">
        <v>5.0000000000000001E-3</v>
      </c>
      <c r="Q6321" s="508">
        <v>5.0000000000000001E-3</v>
      </c>
      <c r="R6321" s="508">
        <v>5.0000000000000001E-3</v>
      </c>
      <c r="S6321" s="508">
        <v>5.0000000000000001E-3</v>
      </c>
      <c r="T6321" s="508">
        <v>5.0000000000000001E-3</v>
      </c>
      <c r="U6321" s="508">
        <v>5.0000000000000001E-3</v>
      </c>
      <c r="V6321" s="508">
        <v>5.0000000000000001E-3</v>
      </c>
      <c r="W6321" s="508">
        <v>5.0000000000000001E-3</v>
      </c>
      <c r="X6321" s="508">
        <v>5.0000000000000001E-3</v>
      </c>
      <c r="Y6321" s="508">
        <v>5.0000000000000001E-3</v>
      </c>
      <c r="Z6321" s="508">
        <v>5.0000000000000001E-3</v>
      </c>
      <c r="AA6321" s="508">
        <v>5.0000000000000001E-3</v>
      </c>
      <c r="AB6321" s="508">
        <v>5.0000000000000001E-3</v>
      </c>
      <c r="AC6321" s="508">
        <v>5.0000000000000001E-3</v>
      </c>
      <c r="AD6321" s="508">
        <v>5.0000000000000001E-3</v>
      </c>
      <c r="AE6321" s="508">
        <v>5.0000000000000001E-3</v>
      </c>
      <c r="AF6321" s="508">
        <v>5.0000000000000001E-3</v>
      </c>
      <c r="AG6321" s="508">
        <v>5.0000000000000001E-3</v>
      </c>
      <c r="AH6321" s="508">
        <v>5.0000000000000001E-3</v>
      </c>
      <c r="AI6321" s="492">
        <v>5.0000000000000001E-3</v>
      </c>
      <c r="AJ6321" s="485"/>
    </row>
    <row r="6322" spans="2:36">
      <c r="B6322" s="136" t="s">
        <v>462</v>
      </c>
      <c r="C6322" s="132" t="s">
        <v>1364</v>
      </c>
      <c r="D6322" s="132" t="s">
        <v>1380</v>
      </c>
      <c r="E6322" s="508">
        <v>5.0000000000000001E-3</v>
      </c>
      <c r="F6322" s="508">
        <v>5.0000000000000001E-3</v>
      </c>
      <c r="G6322" s="508">
        <v>5.0000000000000001E-3</v>
      </c>
      <c r="H6322" s="508">
        <v>5.0000000000000001E-3</v>
      </c>
      <c r="I6322" s="508">
        <v>5.0000000000000001E-3</v>
      </c>
      <c r="J6322" s="508">
        <v>5.0000000000000001E-3</v>
      </c>
      <c r="K6322" s="508">
        <v>5.0000000000000001E-3</v>
      </c>
      <c r="L6322" s="508">
        <v>5.0000000000000001E-3</v>
      </c>
      <c r="M6322" s="508">
        <v>5.0000000000000001E-3</v>
      </c>
      <c r="N6322" s="508">
        <v>5.0000000000000001E-3</v>
      </c>
      <c r="O6322" s="508">
        <v>5.0000000000000001E-3</v>
      </c>
      <c r="P6322" s="508">
        <v>5.0000000000000001E-3</v>
      </c>
      <c r="Q6322" s="508">
        <v>5.0000000000000001E-3</v>
      </c>
      <c r="R6322" s="508">
        <v>5.0000000000000001E-3</v>
      </c>
      <c r="S6322" s="508">
        <v>5.0000000000000001E-3</v>
      </c>
      <c r="T6322" s="508">
        <v>5.0000000000000001E-3</v>
      </c>
      <c r="U6322" s="508">
        <v>5.0000000000000001E-3</v>
      </c>
      <c r="V6322" s="508">
        <v>5.0000000000000001E-3</v>
      </c>
      <c r="W6322" s="508">
        <v>5.0000000000000001E-3</v>
      </c>
      <c r="X6322" s="508">
        <v>5.0000000000000001E-3</v>
      </c>
      <c r="Y6322" s="508">
        <v>5.0000000000000001E-3</v>
      </c>
      <c r="Z6322" s="508">
        <v>5.0000000000000001E-3</v>
      </c>
      <c r="AA6322" s="508">
        <v>5.0000000000000001E-3</v>
      </c>
      <c r="AB6322" s="508">
        <v>5.0000000000000001E-3</v>
      </c>
      <c r="AC6322" s="508">
        <v>5.0000000000000001E-3</v>
      </c>
      <c r="AD6322" s="508">
        <v>5.0000000000000001E-3</v>
      </c>
      <c r="AE6322" s="508">
        <v>5.0000000000000001E-3</v>
      </c>
      <c r="AF6322" s="508">
        <v>5.0000000000000001E-3</v>
      </c>
      <c r="AG6322" s="508">
        <v>5.0000000000000001E-3</v>
      </c>
      <c r="AH6322" s="508">
        <v>5.0000000000000001E-3</v>
      </c>
      <c r="AI6322" s="492">
        <v>5.0000000000000001E-3</v>
      </c>
      <c r="AJ6322" s="485"/>
    </row>
    <row r="6323" spans="2:36">
      <c r="B6323" s="136" t="s">
        <v>463</v>
      </c>
      <c r="C6323" s="132" t="s">
        <v>1364</v>
      </c>
      <c r="D6323" s="132" t="s">
        <v>1380</v>
      </c>
      <c r="E6323" s="508">
        <v>5.0000000000000001E-3</v>
      </c>
      <c r="F6323" s="508">
        <v>5.0000000000000001E-3</v>
      </c>
      <c r="G6323" s="508">
        <v>5.0000000000000001E-3</v>
      </c>
      <c r="H6323" s="508">
        <v>5.0000000000000001E-3</v>
      </c>
      <c r="I6323" s="508">
        <v>5.0000000000000001E-3</v>
      </c>
      <c r="J6323" s="508">
        <v>5.0000000000000001E-3</v>
      </c>
      <c r="K6323" s="508">
        <v>5.0000000000000001E-3</v>
      </c>
      <c r="L6323" s="508">
        <v>5.0000000000000001E-3</v>
      </c>
      <c r="M6323" s="508">
        <v>5.0000000000000001E-3</v>
      </c>
      <c r="N6323" s="508">
        <v>5.0000000000000001E-3</v>
      </c>
      <c r="O6323" s="508">
        <v>5.0000000000000001E-3</v>
      </c>
      <c r="P6323" s="508">
        <v>5.0000000000000001E-3</v>
      </c>
      <c r="Q6323" s="508">
        <v>5.0000000000000001E-3</v>
      </c>
      <c r="R6323" s="508">
        <v>5.0000000000000001E-3</v>
      </c>
      <c r="S6323" s="508">
        <v>5.0000000000000001E-3</v>
      </c>
      <c r="T6323" s="508">
        <v>5.0000000000000001E-3</v>
      </c>
      <c r="U6323" s="508">
        <v>5.0000000000000001E-3</v>
      </c>
      <c r="V6323" s="508">
        <v>5.0000000000000001E-3</v>
      </c>
      <c r="W6323" s="508">
        <v>5.0000000000000001E-3</v>
      </c>
      <c r="X6323" s="508">
        <v>5.0000000000000001E-3</v>
      </c>
      <c r="Y6323" s="508">
        <v>5.0000000000000001E-3</v>
      </c>
      <c r="Z6323" s="508">
        <v>5.0000000000000001E-3</v>
      </c>
      <c r="AA6323" s="508">
        <v>5.0000000000000001E-3</v>
      </c>
      <c r="AB6323" s="508">
        <v>5.0000000000000001E-3</v>
      </c>
      <c r="AC6323" s="508">
        <v>5.0000000000000001E-3</v>
      </c>
      <c r="AD6323" s="508">
        <v>5.0000000000000001E-3</v>
      </c>
      <c r="AE6323" s="508">
        <v>5.0000000000000001E-3</v>
      </c>
      <c r="AF6323" s="508">
        <v>5.0000000000000001E-3</v>
      </c>
      <c r="AG6323" s="508">
        <v>5.0000000000000001E-3</v>
      </c>
      <c r="AH6323" s="508">
        <v>5.0000000000000001E-3</v>
      </c>
      <c r="AI6323" s="492">
        <v>5.0000000000000001E-3</v>
      </c>
      <c r="AJ6323" s="485"/>
    </row>
    <row r="6324" spans="2:36">
      <c r="B6324" s="136" t="s">
        <v>464</v>
      </c>
      <c r="C6324" s="132" t="s">
        <v>1364</v>
      </c>
      <c r="D6324" s="132" t="s">
        <v>1380</v>
      </c>
      <c r="E6324" s="508">
        <v>5.0000000000000001E-3</v>
      </c>
      <c r="F6324" s="508">
        <v>5.0000000000000001E-3</v>
      </c>
      <c r="G6324" s="508">
        <v>5.0000000000000001E-3</v>
      </c>
      <c r="H6324" s="508">
        <v>5.0000000000000001E-3</v>
      </c>
      <c r="I6324" s="508">
        <v>5.0000000000000001E-3</v>
      </c>
      <c r="J6324" s="508">
        <v>5.0000000000000001E-3</v>
      </c>
      <c r="K6324" s="508">
        <v>5.0000000000000001E-3</v>
      </c>
      <c r="L6324" s="508">
        <v>5.0000000000000001E-3</v>
      </c>
      <c r="M6324" s="508">
        <v>5.0000000000000001E-3</v>
      </c>
      <c r="N6324" s="508">
        <v>5.0000000000000001E-3</v>
      </c>
      <c r="O6324" s="508">
        <v>5.0000000000000001E-3</v>
      </c>
      <c r="P6324" s="508">
        <v>5.0000000000000001E-3</v>
      </c>
      <c r="Q6324" s="508">
        <v>5.0000000000000001E-3</v>
      </c>
      <c r="R6324" s="508">
        <v>5.0000000000000001E-3</v>
      </c>
      <c r="S6324" s="508">
        <v>5.0000000000000001E-3</v>
      </c>
      <c r="T6324" s="508">
        <v>5.0000000000000001E-3</v>
      </c>
      <c r="U6324" s="508">
        <v>5.0000000000000001E-3</v>
      </c>
      <c r="V6324" s="508">
        <v>5.0000000000000001E-3</v>
      </c>
      <c r="W6324" s="508">
        <v>5.0000000000000001E-3</v>
      </c>
      <c r="X6324" s="508">
        <v>5.0000000000000001E-3</v>
      </c>
      <c r="Y6324" s="508">
        <v>5.0000000000000001E-3</v>
      </c>
      <c r="Z6324" s="508">
        <v>5.0000000000000001E-3</v>
      </c>
      <c r="AA6324" s="508">
        <v>5.0000000000000001E-3</v>
      </c>
      <c r="AB6324" s="508">
        <v>5.0000000000000001E-3</v>
      </c>
      <c r="AC6324" s="508">
        <v>5.0000000000000001E-3</v>
      </c>
      <c r="AD6324" s="508">
        <v>5.0000000000000001E-3</v>
      </c>
      <c r="AE6324" s="508">
        <v>5.0000000000000001E-3</v>
      </c>
      <c r="AF6324" s="508">
        <v>5.0000000000000001E-3</v>
      </c>
      <c r="AG6324" s="508">
        <v>5.0000000000000001E-3</v>
      </c>
      <c r="AH6324" s="508">
        <v>5.0000000000000001E-3</v>
      </c>
      <c r="AI6324" s="492">
        <v>5.0000000000000001E-3</v>
      </c>
      <c r="AJ6324" s="485"/>
    </row>
    <row r="6325" spans="2:36">
      <c r="B6325" s="136" t="s">
        <v>465</v>
      </c>
      <c r="C6325" s="132" t="s">
        <v>1364</v>
      </c>
      <c r="D6325" s="132" t="s">
        <v>1380</v>
      </c>
      <c r="E6325" s="508">
        <v>5.0000000000000001E-3</v>
      </c>
      <c r="F6325" s="508">
        <v>5.0000000000000001E-3</v>
      </c>
      <c r="G6325" s="508">
        <v>5.0000000000000001E-3</v>
      </c>
      <c r="H6325" s="508">
        <v>5.0000000000000001E-3</v>
      </c>
      <c r="I6325" s="508">
        <v>5.0000000000000001E-3</v>
      </c>
      <c r="J6325" s="508">
        <v>5.0000000000000001E-3</v>
      </c>
      <c r="K6325" s="508">
        <v>5.0000000000000001E-3</v>
      </c>
      <c r="L6325" s="508">
        <v>5.0000000000000001E-3</v>
      </c>
      <c r="M6325" s="508">
        <v>5.0000000000000001E-3</v>
      </c>
      <c r="N6325" s="508">
        <v>5.0000000000000001E-3</v>
      </c>
      <c r="O6325" s="508">
        <v>5.0000000000000001E-3</v>
      </c>
      <c r="P6325" s="508">
        <v>5.0000000000000001E-3</v>
      </c>
      <c r="Q6325" s="508">
        <v>5.0000000000000001E-3</v>
      </c>
      <c r="R6325" s="508">
        <v>5.0000000000000001E-3</v>
      </c>
      <c r="S6325" s="508">
        <v>5.0000000000000001E-3</v>
      </c>
      <c r="T6325" s="508">
        <v>5.0000000000000001E-3</v>
      </c>
      <c r="U6325" s="508">
        <v>5.0000000000000001E-3</v>
      </c>
      <c r="V6325" s="508">
        <v>5.0000000000000001E-3</v>
      </c>
      <c r="W6325" s="508">
        <v>5.0000000000000001E-3</v>
      </c>
      <c r="X6325" s="508">
        <v>5.0000000000000001E-3</v>
      </c>
      <c r="Y6325" s="508">
        <v>5.0000000000000001E-3</v>
      </c>
      <c r="Z6325" s="508">
        <v>5.0000000000000001E-3</v>
      </c>
      <c r="AA6325" s="508">
        <v>5.0000000000000001E-3</v>
      </c>
      <c r="AB6325" s="508">
        <v>5.0000000000000001E-3</v>
      </c>
      <c r="AC6325" s="508">
        <v>5.0000000000000001E-3</v>
      </c>
      <c r="AD6325" s="508">
        <v>5.0000000000000001E-3</v>
      </c>
      <c r="AE6325" s="508">
        <v>5.0000000000000001E-3</v>
      </c>
      <c r="AF6325" s="508">
        <v>5.0000000000000001E-3</v>
      </c>
      <c r="AG6325" s="508">
        <v>5.0000000000000001E-3</v>
      </c>
      <c r="AH6325" s="508">
        <v>5.0000000000000001E-3</v>
      </c>
      <c r="AI6325" s="492">
        <v>5.0000000000000001E-3</v>
      </c>
      <c r="AJ6325" s="485"/>
    </row>
    <row r="6326" spans="2:36">
      <c r="B6326" s="136" t="s">
        <v>466</v>
      </c>
      <c r="C6326" s="132" t="s">
        <v>1364</v>
      </c>
      <c r="D6326" s="132" t="s">
        <v>1380</v>
      </c>
      <c r="E6326" s="508">
        <v>6.0000000000000001E-3</v>
      </c>
      <c r="F6326" s="508">
        <v>6.0000000000000001E-3</v>
      </c>
      <c r="G6326" s="508">
        <v>6.0000000000000001E-3</v>
      </c>
      <c r="H6326" s="508">
        <v>6.0000000000000001E-3</v>
      </c>
      <c r="I6326" s="508">
        <v>6.0000000000000001E-3</v>
      </c>
      <c r="J6326" s="508">
        <v>6.0000000000000001E-3</v>
      </c>
      <c r="K6326" s="508">
        <v>6.0000000000000001E-3</v>
      </c>
      <c r="L6326" s="508">
        <v>6.0000000000000001E-3</v>
      </c>
      <c r="M6326" s="508">
        <v>6.0000000000000001E-3</v>
      </c>
      <c r="N6326" s="508">
        <v>6.0000000000000001E-3</v>
      </c>
      <c r="O6326" s="508">
        <v>6.0000000000000001E-3</v>
      </c>
      <c r="P6326" s="508">
        <v>6.0000000000000001E-3</v>
      </c>
      <c r="Q6326" s="508">
        <v>6.0000000000000001E-3</v>
      </c>
      <c r="R6326" s="508">
        <v>6.0000000000000001E-3</v>
      </c>
      <c r="S6326" s="508">
        <v>6.0000000000000001E-3</v>
      </c>
      <c r="T6326" s="508">
        <v>6.0000000000000001E-3</v>
      </c>
      <c r="U6326" s="508">
        <v>6.0000000000000001E-3</v>
      </c>
      <c r="V6326" s="508">
        <v>6.0000000000000001E-3</v>
      </c>
      <c r="W6326" s="508">
        <v>6.0000000000000001E-3</v>
      </c>
      <c r="X6326" s="508">
        <v>6.0000000000000001E-3</v>
      </c>
      <c r="Y6326" s="508">
        <v>6.0000000000000001E-3</v>
      </c>
      <c r="Z6326" s="508">
        <v>6.0000000000000001E-3</v>
      </c>
      <c r="AA6326" s="508">
        <v>6.0000000000000001E-3</v>
      </c>
      <c r="AB6326" s="508">
        <v>6.0000000000000001E-3</v>
      </c>
      <c r="AC6326" s="508">
        <v>6.0000000000000001E-3</v>
      </c>
      <c r="AD6326" s="508">
        <v>6.0000000000000001E-3</v>
      </c>
      <c r="AE6326" s="508">
        <v>6.0000000000000001E-3</v>
      </c>
      <c r="AF6326" s="508">
        <v>6.0000000000000001E-3</v>
      </c>
      <c r="AG6326" s="508">
        <v>6.0000000000000001E-3</v>
      </c>
      <c r="AH6326" s="508">
        <v>6.0000000000000001E-3</v>
      </c>
      <c r="AI6326" s="492">
        <v>6.0000000000000001E-3</v>
      </c>
      <c r="AJ6326" s="485"/>
    </row>
    <row r="6327" spans="2:36">
      <c r="B6327" s="136" t="s">
        <v>467</v>
      </c>
      <c r="C6327" s="132" t="s">
        <v>1364</v>
      </c>
      <c r="D6327" s="132" t="s">
        <v>1380</v>
      </c>
      <c r="E6327" s="508">
        <v>5.0000000000000001E-3</v>
      </c>
      <c r="F6327" s="508">
        <v>5.0000000000000001E-3</v>
      </c>
      <c r="G6327" s="508">
        <v>5.0000000000000001E-3</v>
      </c>
      <c r="H6327" s="508">
        <v>5.0000000000000001E-3</v>
      </c>
      <c r="I6327" s="508">
        <v>5.0000000000000001E-3</v>
      </c>
      <c r="J6327" s="508">
        <v>5.0000000000000001E-3</v>
      </c>
      <c r="K6327" s="508">
        <v>5.0000000000000001E-3</v>
      </c>
      <c r="L6327" s="508">
        <v>5.0000000000000001E-3</v>
      </c>
      <c r="M6327" s="508">
        <v>5.0000000000000001E-3</v>
      </c>
      <c r="N6327" s="508">
        <v>5.0000000000000001E-3</v>
      </c>
      <c r="O6327" s="508">
        <v>5.0000000000000001E-3</v>
      </c>
      <c r="P6327" s="508">
        <v>5.0000000000000001E-3</v>
      </c>
      <c r="Q6327" s="508">
        <v>5.0000000000000001E-3</v>
      </c>
      <c r="R6327" s="508">
        <v>5.0000000000000001E-3</v>
      </c>
      <c r="S6327" s="508">
        <v>5.0000000000000001E-3</v>
      </c>
      <c r="T6327" s="508">
        <v>5.0000000000000001E-3</v>
      </c>
      <c r="U6327" s="508">
        <v>5.0000000000000001E-3</v>
      </c>
      <c r="V6327" s="508">
        <v>5.0000000000000001E-3</v>
      </c>
      <c r="W6327" s="508">
        <v>5.0000000000000001E-3</v>
      </c>
      <c r="X6327" s="508">
        <v>5.0000000000000001E-3</v>
      </c>
      <c r="Y6327" s="508">
        <v>5.0000000000000001E-3</v>
      </c>
      <c r="Z6327" s="508">
        <v>5.0000000000000001E-3</v>
      </c>
      <c r="AA6327" s="508">
        <v>5.0000000000000001E-3</v>
      </c>
      <c r="AB6327" s="508">
        <v>5.0000000000000001E-3</v>
      </c>
      <c r="AC6327" s="508">
        <v>5.0000000000000001E-3</v>
      </c>
      <c r="AD6327" s="508">
        <v>5.0000000000000001E-3</v>
      </c>
      <c r="AE6327" s="508">
        <v>5.0000000000000001E-3</v>
      </c>
      <c r="AF6327" s="508">
        <v>5.0000000000000001E-3</v>
      </c>
      <c r="AG6327" s="508">
        <v>5.0000000000000001E-3</v>
      </c>
      <c r="AH6327" s="508">
        <v>5.0000000000000001E-3</v>
      </c>
      <c r="AI6327" s="492">
        <v>5.0000000000000001E-3</v>
      </c>
      <c r="AJ6327" s="485"/>
    </row>
    <row r="6328" spans="2:36">
      <c r="B6328" s="136" t="s">
        <v>468</v>
      </c>
      <c r="C6328" s="132" t="s">
        <v>1364</v>
      </c>
      <c r="D6328" s="132" t="s">
        <v>1380</v>
      </c>
      <c r="E6328" s="508">
        <v>5.0000000000000001E-3</v>
      </c>
      <c r="F6328" s="508">
        <v>5.0000000000000001E-3</v>
      </c>
      <c r="G6328" s="508">
        <v>5.0000000000000001E-3</v>
      </c>
      <c r="H6328" s="508">
        <v>5.0000000000000001E-3</v>
      </c>
      <c r="I6328" s="508">
        <v>5.0000000000000001E-3</v>
      </c>
      <c r="J6328" s="508">
        <v>5.0000000000000001E-3</v>
      </c>
      <c r="K6328" s="508">
        <v>5.0000000000000001E-3</v>
      </c>
      <c r="L6328" s="508">
        <v>5.0000000000000001E-3</v>
      </c>
      <c r="M6328" s="508">
        <v>5.0000000000000001E-3</v>
      </c>
      <c r="N6328" s="508">
        <v>5.0000000000000001E-3</v>
      </c>
      <c r="O6328" s="508">
        <v>5.0000000000000001E-3</v>
      </c>
      <c r="P6328" s="508">
        <v>5.0000000000000001E-3</v>
      </c>
      <c r="Q6328" s="508">
        <v>5.0000000000000001E-3</v>
      </c>
      <c r="R6328" s="508">
        <v>5.0000000000000001E-3</v>
      </c>
      <c r="S6328" s="508">
        <v>5.0000000000000001E-3</v>
      </c>
      <c r="T6328" s="508">
        <v>5.0000000000000001E-3</v>
      </c>
      <c r="U6328" s="508">
        <v>5.0000000000000001E-3</v>
      </c>
      <c r="V6328" s="508">
        <v>5.0000000000000001E-3</v>
      </c>
      <c r="W6328" s="508">
        <v>5.0000000000000001E-3</v>
      </c>
      <c r="X6328" s="508">
        <v>5.0000000000000001E-3</v>
      </c>
      <c r="Y6328" s="508">
        <v>5.0000000000000001E-3</v>
      </c>
      <c r="Z6328" s="508">
        <v>5.0000000000000001E-3</v>
      </c>
      <c r="AA6328" s="508">
        <v>5.0000000000000001E-3</v>
      </c>
      <c r="AB6328" s="508">
        <v>5.0000000000000001E-3</v>
      </c>
      <c r="AC6328" s="508">
        <v>5.0000000000000001E-3</v>
      </c>
      <c r="AD6328" s="508">
        <v>5.0000000000000001E-3</v>
      </c>
      <c r="AE6328" s="508">
        <v>5.0000000000000001E-3</v>
      </c>
      <c r="AF6328" s="508">
        <v>5.0000000000000001E-3</v>
      </c>
      <c r="AG6328" s="508">
        <v>5.0000000000000001E-3</v>
      </c>
      <c r="AH6328" s="508">
        <v>5.0000000000000001E-3</v>
      </c>
      <c r="AI6328" s="492">
        <v>5.0000000000000001E-3</v>
      </c>
      <c r="AJ6328" s="485"/>
    </row>
    <row r="6329" spans="2:36">
      <c r="B6329" s="136" t="s">
        <v>469</v>
      </c>
      <c r="C6329" s="132" t="s">
        <v>1364</v>
      </c>
      <c r="D6329" s="132" t="s">
        <v>1380</v>
      </c>
      <c r="E6329" s="508">
        <v>5.0000000000000001E-3</v>
      </c>
      <c r="F6329" s="508">
        <v>5.0000000000000001E-3</v>
      </c>
      <c r="G6329" s="508">
        <v>5.0000000000000001E-3</v>
      </c>
      <c r="H6329" s="508">
        <v>5.0000000000000001E-3</v>
      </c>
      <c r="I6329" s="508">
        <v>5.0000000000000001E-3</v>
      </c>
      <c r="J6329" s="508">
        <v>5.0000000000000001E-3</v>
      </c>
      <c r="K6329" s="508">
        <v>5.0000000000000001E-3</v>
      </c>
      <c r="L6329" s="508">
        <v>5.0000000000000001E-3</v>
      </c>
      <c r="M6329" s="508">
        <v>5.0000000000000001E-3</v>
      </c>
      <c r="N6329" s="508">
        <v>5.0000000000000001E-3</v>
      </c>
      <c r="O6329" s="508">
        <v>5.0000000000000001E-3</v>
      </c>
      <c r="P6329" s="508">
        <v>5.0000000000000001E-3</v>
      </c>
      <c r="Q6329" s="508">
        <v>5.0000000000000001E-3</v>
      </c>
      <c r="R6329" s="508">
        <v>5.0000000000000001E-3</v>
      </c>
      <c r="S6329" s="508">
        <v>5.0000000000000001E-3</v>
      </c>
      <c r="T6329" s="508">
        <v>5.0000000000000001E-3</v>
      </c>
      <c r="U6329" s="508">
        <v>5.0000000000000001E-3</v>
      </c>
      <c r="V6329" s="508">
        <v>5.0000000000000001E-3</v>
      </c>
      <c r="W6329" s="508">
        <v>5.0000000000000001E-3</v>
      </c>
      <c r="X6329" s="508">
        <v>5.0000000000000001E-3</v>
      </c>
      <c r="Y6329" s="508">
        <v>5.0000000000000001E-3</v>
      </c>
      <c r="Z6329" s="508">
        <v>5.0000000000000001E-3</v>
      </c>
      <c r="AA6329" s="508">
        <v>5.0000000000000001E-3</v>
      </c>
      <c r="AB6329" s="508">
        <v>5.0000000000000001E-3</v>
      </c>
      <c r="AC6329" s="508">
        <v>5.0000000000000001E-3</v>
      </c>
      <c r="AD6329" s="508">
        <v>5.0000000000000001E-3</v>
      </c>
      <c r="AE6329" s="508">
        <v>5.0000000000000001E-3</v>
      </c>
      <c r="AF6329" s="508">
        <v>5.0000000000000001E-3</v>
      </c>
      <c r="AG6329" s="508">
        <v>5.0000000000000001E-3</v>
      </c>
      <c r="AH6329" s="508">
        <v>5.0000000000000001E-3</v>
      </c>
      <c r="AI6329" s="492">
        <v>5.0000000000000001E-3</v>
      </c>
      <c r="AJ6329" s="485"/>
    </row>
    <row r="6330" spans="2:36">
      <c r="B6330" s="136" t="s">
        <v>470</v>
      </c>
      <c r="C6330" s="132" t="s">
        <v>1364</v>
      </c>
      <c r="D6330" s="132" t="s">
        <v>1380</v>
      </c>
      <c r="E6330" s="508">
        <v>6.0000000000000001E-3</v>
      </c>
      <c r="F6330" s="508">
        <v>6.0000000000000001E-3</v>
      </c>
      <c r="G6330" s="508">
        <v>6.0000000000000001E-3</v>
      </c>
      <c r="H6330" s="508">
        <v>6.0000000000000001E-3</v>
      </c>
      <c r="I6330" s="508">
        <v>6.0000000000000001E-3</v>
      </c>
      <c r="J6330" s="508">
        <v>6.0000000000000001E-3</v>
      </c>
      <c r="K6330" s="508">
        <v>6.0000000000000001E-3</v>
      </c>
      <c r="L6330" s="508">
        <v>6.0000000000000001E-3</v>
      </c>
      <c r="M6330" s="508">
        <v>6.0000000000000001E-3</v>
      </c>
      <c r="N6330" s="508">
        <v>6.0000000000000001E-3</v>
      </c>
      <c r="O6330" s="508">
        <v>6.0000000000000001E-3</v>
      </c>
      <c r="P6330" s="508">
        <v>6.0000000000000001E-3</v>
      </c>
      <c r="Q6330" s="508">
        <v>6.0000000000000001E-3</v>
      </c>
      <c r="R6330" s="508">
        <v>6.0000000000000001E-3</v>
      </c>
      <c r="S6330" s="508">
        <v>6.0000000000000001E-3</v>
      </c>
      <c r="T6330" s="508">
        <v>6.0000000000000001E-3</v>
      </c>
      <c r="U6330" s="508">
        <v>6.0000000000000001E-3</v>
      </c>
      <c r="V6330" s="508">
        <v>6.0000000000000001E-3</v>
      </c>
      <c r="W6330" s="508">
        <v>6.0000000000000001E-3</v>
      </c>
      <c r="X6330" s="508">
        <v>6.0000000000000001E-3</v>
      </c>
      <c r="Y6330" s="508">
        <v>6.0000000000000001E-3</v>
      </c>
      <c r="Z6330" s="508">
        <v>6.0000000000000001E-3</v>
      </c>
      <c r="AA6330" s="508">
        <v>6.0000000000000001E-3</v>
      </c>
      <c r="AB6330" s="508">
        <v>6.0000000000000001E-3</v>
      </c>
      <c r="AC6330" s="508">
        <v>6.0000000000000001E-3</v>
      </c>
      <c r="AD6330" s="508">
        <v>6.0000000000000001E-3</v>
      </c>
      <c r="AE6330" s="508">
        <v>6.0000000000000001E-3</v>
      </c>
      <c r="AF6330" s="508">
        <v>6.0000000000000001E-3</v>
      </c>
      <c r="AG6330" s="508">
        <v>6.0000000000000001E-3</v>
      </c>
      <c r="AH6330" s="508">
        <v>6.0000000000000001E-3</v>
      </c>
      <c r="AI6330" s="492">
        <v>6.0000000000000001E-3</v>
      </c>
      <c r="AJ6330" s="485"/>
    </row>
    <row r="6331" spans="2:36">
      <c r="B6331" s="136" t="s">
        <v>471</v>
      </c>
      <c r="C6331" s="132" t="s">
        <v>1364</v>
      </c>
      <c r="D6331" s="132" t="s">
        <v>1380</v>
      </c>
      <c r="E6331" s="508">
        <v>6.0000000000000001E-3</v>
      </c>
      <c r="F6331" s="508">
        <v>6.0000000000000001E-3</v>
      </c>
      <c r="G6331" s="508">
        <v>6.0000000000000001E-3</v>
      </c>
      <c r="H6331" s="508">
        <v>6.0000000000000001E-3</v>
      </c>
      <c r="I6331" s="508">
        <v>6.0000000000000001E-3</v>
      </c>
      <c r="J6331" s="508">
        <v>6.0000000000000001E-3</v>
      </c>
      <c r="K6331" s="508">
        <v>6.0000000000000001E-3</v>
      </c>
      <c r="L6331" s="508">
        <v>6.0000000000000001E-3</v>
      </c>
      <c r="M6331" s="508">
        <v>6.0000000000000001E-3</v>
      </c>
      <c r="N6331" s="508">
        <v>6.0000000000000001E-3</v>
      </c>
      <c r="O6331" s="508">
        <v>6.0000000000000001E-3</v>
      </c>
      <c r="P6331" s="508">
        <v>6.0000000000000001E-3</v>
      </c>
      <c r="Q6331" s="508">
        <v>6.0000000000000001E-3</v>
      </c>
      <c r="R6331" s="508">
        <v>6.0000000000000001E-3</v>
      </c>
      <c r="S6331" s="508">
        <v>6.0000000000000001E-3</v>
      </c>
      <c r="T6331" s="508">
        <v>6.0000000000000001E-3</v>
      </c>
      <c r="U6331" s="508">
        <v>6.0000000000000001E-3</v>
      </c>
      <c r="V6331" s="508">
        <v>6.0000000000000001E-3</v>
      </c>
      <c r="W6331" s="508">
        <v>6.0000000000000001E-3</v>
      </c>
      <c r="X6331" s="508">
        <v>6.0000000000000001E-3</v>
      </c>
      <c r="Y6331" s="508">
        <v>6.0000000000000001E-3</v>
      </c>
      <c r="Z6331" s="508">
        <v>6.0000000000000001E-3</v>
      </c>
      <c r="AA6331" s="508">
        <v>6.0000000000000001E-3</v>
      </c>
      <c r="AB6331" s="508">
        <v>6.0000000000000001E-3</v>
      </c>
      <c r="AC6331" s="508">
        <v>6.0000000000000001E-3</v>
      </c>
      <c r="AD6331" s="508">
        <v>6.0000000000000001E-3</v>
      </c>
      <c r="AE6331" s="508">
        <v>6.0000000000000001E-3</v>
      </c>
      <c r="AF6331" s="508">
        <v>6.0000000000000001E-3</v>
      </c>
      <c r="AG6331" s="508">
        <v>6.0000000000000001E-3</v>
      </c>
      <c r="AH6331" s="508">
        <v>6.0000000000000001E-3</v>
      </c>
      <c r="AI6331" s="492">
        <v>6.0000000000000001E-3</v>
      </c>
      <c r="AJ6331" s="485"/>
    </row>
    <row r="6332" spans="2:36">
      <c r="B6332" s="136" t="s">
        <v>472</v>
      </c>
      <c r="C6332" s="132" t="s">
        <v>1364</v>
      </c>
      <c r="D6332" s="132" t="s">
        <v>1380</v>
      </c>
      <c r="E6332" s="508">
        <v>5.0000000000000001E-3</v>
      </c>
      <c r="F6332" s="508">
        <v>5.0000000000000001E-3</v>
      </c>
      <c r="G6332" s="508">
        <v>5.0000000000000001E-3</v>
      </c>
      <c r="H6332" s="508">
        <v>5.0000000000000001E-3</v>
      </c>
      <c r="I6332" s="508">
        <v>5.0000000000000001E-3</v>
      </c>
      <c r="J6332" s="508">
        <v>5.0000000000000001E-3</v>
      </c>
      <c r="K6332" s="508">
        <v>5.0000000000000001E-3</v>
      </c>
      <c r="L6332" s="508">
        <v>5.0000000000000001E-3</v>
      </c>
      <c r="M6332" s="508">
        <v>5.0000000000000001E-3</v>
      </c>
      <c r="N6332" s="508">
        <v>5.0000000000000001E-3</v>
      </c>
      <c r="O6332" s="508">
        <v>5.0000000000000001E-3</v>
      </c>
      <c r="P6332" s="508">
        <v>5.0000000000000001E-3</v>
      </c>
      <c r="Q6332" s="508">
        <v>5.0000000000000001E-3</v>
      </c>
      <c r="R6332" s="508">
        <v>5.0000000000000001E-3</v>
      </c>
      <c r="S6332" s="508">
        <v>5.0000000000000001E-3</v>
      </c>
      <c r="T6332" s="508">
        <v>5.0000000000000001E-3</v>
      </c>
      <c r="U6332" s="508">
        <v>5.0000000000000001E-3</v>
      </c>
      <c r="V6332" s="508">
        <v>5.0000000000000001E-3</v>
      </c>
      <c r="W6332" s="508">
        <v>5.0000000000000001E-3</v>
      </c>
      <c r="X6332" s="508">
        <v>5.0000000000000001E-3</v>
      </c>
      <c r="Y6332" s="508">
        <v>5.0000000000000001E-3</v>
      </c>
      <c r="Z6332" s="508">
        <v>5.0000000000000001E-3</v>
      </c>
      <c r="AA6332" s="508">
        <v>5.0000000000000001E-3</v>
      </c>
      <c r="AB6332" s="508">
        <v>5.0000000000000001E-3</v>
      </c>
      <c r="AC6332" s="508">
        <v>5.0000000000000001E-3</v>
      </c>
      <c r="AD6332" s="508">
        <v>5.0000000000000001E-3</v>
      </c>
      <c r="AE6332" s="508">
        <v>5.0000000000000001E-3</v>
      </c>
      <c r="AF6332" s="508">
        <v>5.0000000000000001E-3</v>
      </c>
      <c r="AG6332" s="508">
        <v>5.0000000000000001E-3</v>
      </c>
      <c r="AH6332" s="508">
        <v>5.0000000000000001E-3</v>
      </c>
      <c r="AI6332" s="492">
        <v>5.0000000000000001E-3</v>
      </c>
      <c r="AJ6332" s="485"/>
    </row>
    <row r="6333" spans="2:36">
      <c r="B6333" s="136" t="s">
        <v>473</v>
      </c>
      <c r="C6333" s="132" t="s">
        <v>1364</v>
      </c>
      <c r="D6333" s="132" t="s">
        <v>1380</v>
      </c>
      <c r="E6333" s="508">
        <v>6.0000000000000001E-3</v>
      </c>
      <c r="F6333" s="508">
        <v>6.0000000000000001E-3</v>
      </c>
      <c r="G6333" s="508">
        <v>6.0000000000000001E-3</v>
      </c>
      <c r="H6333" s="508">
        <v>6.0000000000000001E-3</v>
      </c>
      <c r="I6333" s="508">
        <v>6.0000000000000001E-3</v>
      </c>
      <c r="J6333" s="508">
        <v>6.0000000000000001E-3</v>
      </c>
      <c r="K6333" s="508">
        <v>6.0000000000000001E-3</v>
      </c>
      <c r="L6333" s="508">
        <v>6.0000000000000001E-3</v>
      </c>
      <c r="M6333" s="508">
        <v>6.0000000000000001E-3</v>
      </c>
      <c r="N6333" s="508">
        <v>6.0000000000000001E-3</v>
      </c>
      <c r="O6333" s="508">
        <v>6.0000000000000001E-3</v>
      </c>
      <c r="P6333" s="508">
        <v>6.0000000000000001E-3</v>
      </c>
      <c r="Q6333" s="508">
        <v>6.0000000000000001E-3</v>
      </c>
      <c r="R6333" s="508">
        <v>6.0000000000000001E-3</v>
      </c>
      <c r="S6333" s="508">
        <v>6.0000000000000001E-3</v>
      </c>
      <c r="T6333" s="508">
        <v>6.0000000000000001E-3</v>
      </c>
      <c r="U6333" s="508">
        <v>6.0000000000000001E-3</v>
      </c>
      <c r="V6333" s="508">
        <v>6.0000000000000001E-3</v>
      </c>
      <c r="W6333" s="508">
        <v>6.0000000000000001E-3</v>
      </c>
      <c r="X6333" s="508">
        <v>6.0000000000000001E-3</v>
      </c>
      <c r="Y6333" s="508">
        <v>6.0000000000000001E-3</v>
      </c>
      <c r="Z6333" s="508">
        <v>6.0000000000000001E-3</v>
      </c>
      <c r="AA6333" s="508">
        <v>6.0000000000000001E-3</v>
      </c>
      <c r="AB6333" s="508">
        <v>6.0000000000000001E-3</v>
      </c>
      <c r="AC6333" s="508">
        <v>6.0000000000000001E-3</v>
      </c>
      <c r="AD6333" s="508">
        <v>6.0000000000000001E-3</v>
      </c>
      <c r="AE6333" s="508">
        <v>6.0000000000000001E-3</v>
      </c>
      <c r="AF6333" s="508">
        <v>6.0000000000000001E-3</v>
      </c>
      <c r="AG6333" s="508">
        <v>6.0000000000000001E-3</v>
      </c>
      <c r="AH6333" s="508">
        <v>6.0000000000000001E-3</v>
      </c>
      <c r="AI6333" s="492">
        <v>6.0000000000000001E-3</v>
      </c>
      <c r="AJ6333" s="485"/>
    </row>
    <row r="6334" spans="2:36">
      <c r="B6334" s="136" t="s">
        <v>474</v>
      </c>
      <c r="C6334" s="132" t="s">
        <v>1364</v>
      </c>
      <c r="D6334" s="132" t="s">
        <v>1380</v>
      </c>
      <c r="E6334" s="508">
        <v>6.0000000000000001E-3</v>
      </c>
      <c r="F6334" s="508">
        <v>6.0000000000000001E-3</v>
      </c>
      <c r="G6334" s="508">
        <v>6.0000000000000001E-3</v>
      </c>
      <c r="H6334" s="508">
        <v>6.0000000000000001E-3</v>
      </c>
      <c r="I6334" s="508">
        <v>6.0000000000000001E-3</v>
      </c>
      <c r="J6334" s="508">
        <v>6.0000000000000001E-3</v>
      </c>
      <c r="K6334" s="508">
        <v>6.0000000000000001E-3</v>
      </c>
      <c r="L6334" s="508">
        <v>6.0000000000000001E-3</v>
      </c>
      <c r="M6334" s="508">
        <v>6.0000000000000001E-3</v>
      </c>
      <c r="N6334" s="508">
        <v>6.0000000000000001E-3</v>
      </c>
      <c r="O6334" s="508">
        <v>6.0000000000000001E-3</v>
      </c>
      <c r="P6334" s="508">
        <v>6.0000000000000001E-3</v>
      </c>
      <c r="Q6334" s="508">
        <v>6.0000000000000001E-3</v>
      </c>
      <c r="R6334" s="508">
        <v>6.0000000000000001E-3</v>
      </c>
      <c r="S6334" s="508">
        <v>6.0000000000000001E-3</v>
      </c>
      <c r="T6334" s="508">
        <v>6.0000000000000001E-3</v>
      </c>
      <c r="U6334" s="508">
        <v>6.0000000000000001E-3</v>
      </c>
      <c r="V6334" s="508">
        <v>6.0000000000000001E-3</v>
      </c>
      <c r="W6334" s="508">
        <v>6.0000000000000001E-3</v>
      </c>
      <c r="X6334" s="508">
        <v>6.0000000000000001E-3</v>
      </c>
      <c r="Y6334" s="508">
        <v>6.0000000000000001E-3</v>
      </c>
      <c r="Z6334" s="508">
        <v>6.0000000000000001E-3</v>
      </c>
      <c r="AA6334" s="508">
        <v>6.0000000000000001E-3</v>
      </c>
      <c r="AB6334" s="508">
        <v>6.0000000000000001E-3</v>
      </c>
      <c r="AC6334" s="508">
        <v>6.0000000000000001E-3</v>
      </c>
      <c r="AD6334" s="508">
        <v>6.0000000000000001E-3</v>
      </c>
      <c r="AE6334" s="508">
        <v>6.0000000000000001E-3</v>
      </c>
      <c r="AF6334" s="508">
        <v>6.0000000000000001E-3</v>
      </c>
      <c r="AG6334" s="508">
        <v>6.0000000000000001E-3</v>
      </c>
      <c r="AH6334" s="508">
        <v>6.0000000000000001E-3</v>
      </c>
      <c r="AI6334" s="492">
        <v>6.0000000000000001E-3</v>
      </c>
      <c r="AJ6334" s="485"/>
    </row>
    <row r="6335" spans="2:36">
      <c r="B6335" s="136" t="s">
        <v>475</v>
      </c>
      <c r="C6335" s="132" t="s">
        <v>1364</v>
      </c>
      <c r="D6335" s="132" t="s">
        <v>1380</v>
      </c>
      <c r="E6335" s="508">
        <v>5.0000000000000001E-3</v>
      </c>
      <c r="F6335" s="508">
        <v>5.0000000000000001E-3</v>
      </c>
      <c r="G6335" s="508">
        <v>5.0000000000000001E-3</v>
      </c>
      <c r="H6335" s="508">
        <v>5.0000000000000001E-3</v>
      </c>
      <c r="I6335" s="508">
        <v>5.0000000000000001E-3</v>
      </c>
      <c r="J6335" s="508">
        <v>5.0000000000000001E-3</v>
      </c>
      <c r="K6335" s="508">
        <v>5.0000000000000001E-3</v>
      </c>
      <c r="L6335" s="508">
        <v>5.0000000000000001E-3</v>
      </c>
      <c r="M6335" s="508">
        <v>5.0000000000000001E-3</v>
      </c>
      <c r="N6335" s="508">
        <v>5.0000000000000001E-3</v>
      </c>
      <c r="O6335" s="508">
        <v>5.0000000000000001E-3</v>
      </c>
      <c r="P6335" s="508">
        <v>5.0000000000000001E-3</v>
      </c>
      <c r="Q6335" s="508">
        <v>5.0000000000000001E-3</v>
      </c>
      <c r="R6335" s="508">
        <v>5.0000000000000001E-3</v>
      </c>
      <c r="S6335" s="508">
        <v>5.0000000000000001E-3</v>
      </c>
      <c r="T6335" s="508">
        <v>5.0000000000000001E-3</v>
      </c>
      <c r="U6335" s="508">
        <v>5.0000000000000001E-3</v>
      </c>
      <c r="V6335" s="508">
        <v>5.0000000000000001E-3</v>
      </c>
      <c r="W6335" s="508">
        <v>5.0000000000000001E-3</v>
      </c>
      <c r="X6335" s="508">
        <v>5.0000000000000001E-3</v>
      </c>
      <c r="Y6335" s="508">
        <v>5.0000000000000001E-3</v>
      </c>
      <c r="Z6335" s="508">
        <v>5.0000000000000001E-3</v>
      </c>
      <c r="AA6335" s="508">
        <v>5.0000000000000001E-3</v>
      </c>
      <c r="AB6335" s="508">
        <v>5.0000000000000001E-3</v>
      </c>
      <c r="AC6335" s="508">
        <v>5.0000000000000001E-3</v>
      </c>
      <c r="AD6335" s="508">
        <v>5.0000000000000001E-3</v>
      </c>
      <c r="AE6335" s="508">
        <v>5.0000000000000001E-3</v>
      </c>
      <c r="AF6335" s="508">
        <v>5.0000000000000001E-3</v>
      </c>
      <c r="AG6335" s="508">
        <v>5.0000000000000001E-3</v>
      </c>
      <c r="AH6335" s="508">
        <v>5.0000000000000001E-3</v>
      </c>
      <c r="AI6335" s="492">
        <v>5.0000000000000001E-3</v>
      </c>
      <c r="AJ6335" s="485"/>
    </row>
    <row r="6336" spans="2:36">
      <c r="B6336" s="136" t="s">
        <v>476</v>
      </c>
      <c r="C6336" s="132" t="s">
        <v>1364</v>
      </c>
      <c r="D6336" s="132" t="s">
        <v>1380</v>
      </c>
      <c r="E6336" s="508">
        <v>6.0000000000000001E-3</v>
      </c>
      <c r="F6336" s="508">
        <v>6.0000000000000001E-3</v>
      </c>
      <c r="G6336" s="508">
        <v>6.0000000000000001E-3</v>
      </c>
      <c r="H6336" s="508">
        <v>6.0000000000000001E-3</v>
      </c>
      <c r="I6336" s="508">
        <v>6.0000000000000001E-3</v>
      </c>
      <c r="J6336" s="508">
        <v>6.0000000000000001E-3</v>
      </c>
      <c r="K6336" s="508">
        <v>6.0000000000000001E-3</v>
      </c>
      <c r="L6336" s="508">
        <v>6.0000000000000001E-3</v>
      </c>
      <c r="M6336" s="508">
        <v>6.0000000000000001E-3</v>
      </c>
      <c r="N6336" s="508">
        <v>6.0000000000000001E-3</v>
      </c>
      <c r="O6336" s="508">
        <v>6.0000000000000001E-3</v>
      </c>
      <c r="P6336" s="508">
        <v>6.0000000000000001E-3</v>
      </c>
      <c r="Q6336" s="508">
        <v>6.0000000000000001E-3</v>
      </c>
      <c r="R6336" s="508">
        <v>6.0000000000000001E-3</v>
      </c>
      <c r="S6336" s="508">
        <v>6.0000000000000001E-3</v>
      </c>
      <c r="T6336" s="508">
        <v>6.0000000000000001E-3</v>
      </c>
      <c r="U6336" s="508">
        <v>6.0000000000000001E-3</v>
      </c>
      <c r="V6336" s="508">
        <v>6.0000000000000001E-3</v>
      </c>
      <c r="W6336" s="508">
        <v>6.0000000000000001E-3</v>
      </c>
      <c r="X6336" s="508">
        <v>6.0000000000000001E-3</v>
      </c>
      <c r="Y6336" s="508">
        <v>6.0000000000000001E-3</v>
      </c>
      <c r="Z6336" s="508">
        <v>6.0000000000000001E-3</v>
      </c>
      <c r="AA6336" s="508">
        <v>6.0000000000000001E-3</v>
      </c>
      <c r="AB6336" s="508">
        <v>6.0000000000000001E-3</v>
      </c>
      <c r="AC6336" s="508">
        <v>6.0000000000000001E-3</v>
      </c>
      <c r="AD6336" s="508">
        <v>6.0000000000000001E-3</v>
      </c>
      <c r="AE6336" s="508">
        <v>6.0000000000000001E-3</v>
      </c>
      <c r="AF6336" s="508">
        <v>6.0000000000000001E-3</v>
      </c>
      <c r="AG6336" s="508">
        <v>6.0000000000000001E-3</v>
      </c>
      <c r="AH6336" s="508">
        <v>6.0000000000000001E-3</v>
      </c>
      <c r="AI6336" s="492">
        <v>6.0000000000000001E-3</v>
      </c>
      <c r="AJ6336" s="485"/>
    </row>
    <row r="6337" spans="2:36">
      <c r="B6337" s="136" t="s">
        <v>478</v>
      </c>
      <c r="C6337" s="132" t="s">
        <v>1364</v>
      </c>
      <c r="D6337" s="132" t="s">
        <v>1380</v>
      </c>
      <c r="E6337" s="508">
        <v>6.0000000000000001E-3</v>
      </c>
      <c r="F6337" s="508">
        <v>6.0000000000000001E-3</v>
      </c>
      <c r="G6337" s="508">
        <v>6.0000000000000001E-3</v>
      </c>
      <c r="H6337" s="508">
        <v>6.0000000000000001E-3</v>
      </c>
      <c r="I6337" s="508">
        <v>6.0000000000000001E-3</v>
      </c>
      <c r="J6337" s="508">
        <v>6.0000000000000001E-3</v>
      </c>
      <c r="K6337" s="508">
        <v>6.0000000000000001E-3</v>
      </c>
      <c r="L6337" s="508">
        <v>6.0000000000000001E-3</v>
      </c>
      <c r="M6337" s="508">
        <v>6.0000000000000001E-3</v>
      </c>
      <c r="N6337" s="508">
        <v>6.0000000000000001E-3</v>
      </c>
      <c r="O6337" s="508">
        <v>6.0000000000000001E-3</v>
      </c>
      <c r="P6337" s="508">
        <v>6.0000000000000001E-3</v>
      </c>
      <c r="Q6337" s="508">
        <v>6.0000000000000001E-3</v>
      </c>
      <c r="R6337" s="508">
        <v>6.0000000000000001E-3</v>
      </c>
      <c r="S6337" s="508">
        <v>6.0000000000000001E-3</v>
      </c>
      <c r="T6337" s="508">
        <v>6.0000000000000001E-3</v>
      </c>
      <c r="U6337" s="508">
        <v>6.0000000000000001E-3</v>
      </c>
      <c r="V6337" s="508">
        <v>6.0000000000000001E-3</v>
      </c>
      <c r="W6337" s="508">
        <v>6.0000000000000001E-3</v>
      </c>
      <c r="X6337" s="508">
        <v>6.0000000000000001E-3</v>
      </c>
      <c r="Y6337" s="508">
        <v>6.0000000000000001E-3</v>
      </c>
      <c r="Z6337" s="508">
        <v>6.0000000000000001E-3</v>
      </c>
      <c r="AA6337" s="508">
        <v>6.0000000000000001E-3</v>
      </c>
      <c r="AB6337" s="508">
        <v>6.0000000000000001E-3</v>
      </c>
      <c r="AC6337" s="508">
        <v>6.0000000000000001E-3</v>
      </c>
      <c r="AD6337" s="508">
        <v>6.0000000000000001E-3</v>
      </c>
      <c r="AE6337" s="508">
        <v>6.0000000000000001E-3</v>
      </c>
      <c r="AF6337" s="508">
        <v>6.0000000000000001E-3</v>
      </c>
      <c r="AG6337" s="508">
        <v>6.0000000000000001E-3</v>
      </c>
      <c r="AH6337" s="508">
        <v>6.0000000000000001E-3</v>
      </c>
      <c r="AI6337" s="492">
        <v>6.0000000000000001E-3</v>
      </c>
      <c r="AJ6337" s="485"/>
    </row>
    <row r="6338" spans="2:36">
      <c r="B6338" s="136" t="s">
        <v>479</v>
      </c>
      <c r="C6338" s="132" t="s">
        <v>1364</v>
      </c>
      <c r="D6338" s="132" t="s">
        <v>1380</v>
      </c>
      <c r="E6338" s="508">
        <v>6.0000000000000001E-3</v>
      </c>
      <c r="F6338" s="508">
        <v>6.0000000000000001E-3</v>
      </c>
      <c r="G6338" s="508">
        <v>5.0000000000000001E-3</v>
      </c>
      <c r="H6338" s="508">
        <v>5.0000000000000001E-3</v>
      </c>
      <c r="I6338" s="508">
        <v>5.0000000000000001E-3</v>
      </c>
      <c r="J6338" s="508">
        <v>6.0000000000000001E-3</v>
      </c>
      <c r="K6338" s="508">
        <v>6.0000000000000001E-3</v>
      </c>
      <c r="L6338" s="508">
        <v>5.0000000000000001E-3</v>
      </c>
      <c r="M6338" s="508">
        <v>6.0000000000000001E-3</v>
      </c>
      <c r="N6338" s="508">
        <v>5.0000000000000001E-3</v>
      </c>
      <c r="O6338" s="508">
        <v>6.0000000000000001E-3</v>
      </c>
      <c r="P6338" s="508">
        <v>6.0000000000000001E-3</v>
      </c>
      <c r="Q6338" s="508">
        <v>6.0000000000000001E-3</v>
      </c>
      <c r="R6338" s="508">
        <v>5.0000000000000001E-3</v>
      </c>
      <c r="S6338" s="508">
        <v>6.0000000000000001E-3</v>
      </c>
      <c r="T6338" s="508">
        <v>6.0000000000000001E-3</v>
      </c>
      <c r="U6338" s="508">
        <v>6.0000000000000001E-3</v>
      </c>
      <c r="V6338" s="508">
        <v>5.0000000000000001E-3</v>
      </c>
      <c r="W6338" s="508">
        <v>5.0000000000000001E-3</v>
      </c>
      <c r="X6338" s="508">
        <v>5.0000000000000001E-3</v>
      </c>
      <c r="Y6338" s="508">
        <v>6.0000000000000001E-3</v>
      </c>
      <c r="Z6338" s="508">
        <v>6.0000000000000001E-3</v>
      </c>
      <c r="AA6338" s="508">
        <v>5.0000000000000001E-3</v>
      </c>
      <c r="AB6338" s="508">
        <v>5.0000000000000001E-3</v>
      </c>
      <c r="AC6338" s="508">
        <v>5.0000000000000001E-3</v>
      </c>
      <c r="AD6338" s="508">
        <v>5.0000000000000001E-3</v>
      </c>
      <c r="AE6338" s="508">
        <v>5.0000000000000001E-3</v>
      </c>
      <c r="AF6338" s="508">
        <v>5.0000000000000001E-3</v>
      </c>
      <c r="AG6338" s="508">
        <v>5.0000000000000001E-3</v>
      </c>
      <c r="AH6338" s="508">
        <v>5.0000000000000001E-3</v>
      </c>
      <c r="AI6338" s="492">
        <v>5.0000000000000001E-3</v>
      </c>
      <c r="AJ6338" s="485"/>
    </row>
    <row r="6339" spans="2:36">
      <c r="B6339" s="136" t="s">
        <v>480</v>
      </c>
      <c r="C6339" s="132" t="s">
        <v>1364</v>
      </c>
      <c r="D6339" s="132" t="s">
        <v>1380</v>
      </c>
      <c r="E6339" s="508">
        <v>5.0000000000000001E-3</v>
      </c>
      <c r="F6339" s="508">
        <v>5.0000000000000001E-3</v>
      </c>
      <c r="G6339" s="508">
        <v>5.0000000000000001E-3</v>
      </c>
      <c r="H6339" s="508">
        <v>4.0000000000000001E-3</v>
      </c>
      <c r="I6339" s="508">
        <v>4.0000000000000001E-3</v>
      </c>
      <c r="J6339" s="508">
        <v>5.0000000000000001E-3</v>
      </c>
      <c r="K6339" s="508">
        <v>5.0000000000000001E-3</v>
      </c>
      <c r="L6339" s="508">
        <v>4.0000000000000001E-3</v>
      </c>
      <c r="M6339" s="508">
        <v>5.0000000000000001E-3</v>
      </c>
      <c r="N6339" s="508">
        <v>5.0000000000000001E-3</v>
      </c>
      <c r="O6339" s="508">
        <v>5.0000000000000001E-3</v>
      </c>
      <c r="P6339" s="508">
        <v>5.0000000000000001E-3</v>
      </c>
      <c r="Q6339" s="508">
        <v>5.0000000000000001E-3</v>
      </c>
      <c r="R6339" s="508">
        <v>5.0000000000000001E-3</v>
      </c>
      <c r="S6339" s="508">
        <v>5.0000000000000001E-3</v>
      </c>
      <c r="T6339" s="508">
        <v>5.0000000000000001E-3</v>
      </c>
      <c r="U6339" s="508">
        <v>5.0000000000000001E-3</v>
      </c>
      <c r="V6339" s="508">
        <v>5.0000000000000001E-3</v>
      </c>
      <c r="W6339" s="508">
        <v>5.0000000000000001E-3</v>
      </c>
      <c r="X6339" s="508">
        <v>5.0000000000000001E-3</v>
      </c>
      <c r="Y6339" s="508">
        <v>5.0000000000000001E-3</v>
      </c>
      <c r="Z6339" s="508">
        <v>5.0000000000000001E-3</v>
      </c>
      <c r="AA6339" s="508">
        <v>5.0000000000000001E-3</v>
      </c>
      <c r="AB6339" s="508">
        <v>5.0000000000000001E-3</v>
      </c>
      <c r="AC6339" s="508">
        <v>5.0000000000000001E-3</v>
      </c>
      <c r="AD6339" s="508">
        <v>5.0000000000000001E-3</v>
      </c>
      <c r="AE6339" s="508">
        <v>5.0000000000000001E-3</v>
      </c>
      <c r="AF6339" s="508">
        <v>5.0000000000000001E-3</v>
      </c>
      <c r="AG6339" s="508">
        <v>5.0000000000000001E-3</v>
      </c>
      <c r="AH6339" s="508">
        <v>5.0000000000000001E-3</v>
      </c>
      <c r="AI6339" s="492">
        <v>5.0000000000000001E-3</v>
      </c>
      <c r="AJ6339" s="485"/>
    </row>
    <row r="6340" spans="2:36">
      <c r="B6340" s="136" t="s">
        <v>481</v>
      </c>
      <c r="C6340" s="132" t="s">
        <v>1364</v>
      </c>
      <c r="D6340" s="132" t="s">
        <v>1380</v>
      </c>
      <c r="E6340" s="508">
        <v>6.0000000000000001E-3</v>
      </c>
      <c r="F6340" s="508">
        <v>6.0000000000000001E-3</v>
      </c>
      <c r="G6340" s="508">
        <v>6.0000000000000001E-3</v>
      </c>
      <c r="H6340" s="508">
        <v>6.0000000000000001E-3</v>
      </c>
      <c r="I6340" s="508">
        <v>6.0000000000000001E-3</v>
      </c>
      <c r="J6340" s="508">
        <v>6.0000000000000001E-3</v>
      </c>
      <c r="K6340" s="508">
        <v>6.0000000000000001E-3</v>
      </c>
      <c r="L6340" s="508">
        <v>6.0000000000000001E-3</v>
      </c>
      <c r="M6340" s="508">
        <v>6.0000000000000001E-3</v>
      </c>
      <c r="N6340" s="508">
        <v>6.0000000000000001E-3</v>
      </c>
      <c r="O6340" s="508">
        <v>6.0000000000000001E-3</v>
      </c>
      <c r="P6340" s="508">
        <v>6.0000000000000001E-3</v>
      </c>
      <c r="Q6340" s="508">
        <v>6.0000000000000001E-3</v>
      </c>
      <c r="R6340" s="508">
        <v>6.0000000000000001E-3</v>
      </c>
      <c r="S6340" s="508">
        <v>6.0000000000000001E-3</v>
      </c>
      <c r="T6340" s="508">
        <v>6.0000000000000001E-3</v>
      </c>
      <c r="U6340" s="508">
        <v>6.0000000000000001E-3</v>
      </c>
      <c r="V6340" s="508">
        <v>6.0000000000000001E-3</v>
      </c>
      <c r="W6340" s="508">
        <v>6.0000000000000001E-3</v>
      </c>
      <c r="X6340" s="508">
        <v>6.0000000000000001E-3</v>
      </c>
      <c r="Y6340" s="508">
        <v>6.0000000000000001E-3</v>
      </c>
      <c r="Z6340" s="508">
        <v>6.0000000000000001E-3</v>
      </c>
      <c r="AA6340" s="508">
        <v>6.0000000000000001E-3</v>
      </c>
      <c r="AB6340" s="508">
        <v>6.0000000000000001E-3</v>
      </c>
      <c r="AC6340" s="508">
        <v>6.0000000000000001E-3</v>
      </c>
      <c r="AD6340" s="508">
        <v>6.0000000000000001E-3</v>
      </c>
      <c r="AE6340" s="508">
        <v>6.0000000000000001E-3</v>
      </c>
      <c r="AF6340" s="508">
        <v>6.0000000000000001E-3</v>
      </c>
      <c r="AG6340" s="508">
        <v>6.0000000000000001E-3</v>
      </c>
      <c r="AH6340" s="508">
        <v>6.0000000000000001E-3</v>
      </c>
      <c r="AI6340" s="492">
        <v>6.0000000000000001E-3</v>
      </c>
      <c r="AJ6340" s="485"/>
    </row>
    <row r="6341" spans="2:36">
      <c r="B6341" s="136" t="s">
        <v>482</v>
      </c>
      <c r="C6341" s="132" t="s">
        <v>1364</v>
      </c>
      <c r="D6341" s="132" t="s">
        <v>1380</v>
      </c>
      <c r="E6341" s="508">
        <v>6.0000000000000001E-3</v>
      </c>
      <c r="F6341" s="508">
        <v>6.0000000000000001E-3</v>
      </c>
      <c r="G6341" s="508">
        <v>5.0000000000000001E-3</v>
      </c>
      <c r="H6341" s="508">
        <v>5.0000000000000001E-3</v>
      </c>
      <c r="I6341" s="508">
        <v>5.0000000000000001E-3</v>
      </c>
      <c r="J6341" s="508">
        <v>6.0000000000000001E-3</v>
      </c>
      <c r="K6341" s="508">
        <v>6.0000000000000001E-3</v>
      </c>
      <c r="L6341" s="508">
        <v>5.0000000000000001E-3</v>
      </c>
      <c r="M6341" s="508">
        <v>6.0000000000000001E-3</v>
      </c>
      <c r="N6341" s="508">
        <v>5.0000000000000001E-3</v>
      </c>
      <c r="O6341" s="508">
        <v>6.0000000000000001E-3</v>
      </c>
      <c r="P6341" s="508">
        <v>6.0000000000000001E-3</v>
      </c>
      <c r="Q6341" s="508">
        <v>6.0000000000000001E-3</v>
      </c>
      <c r="R6341" s="508">
        <v>5.0000000000000001E-3</v>
      </c>
      <c r="S6341" s="508">
        <v>6.0000000000000001E-3</v>
      </c>
      <c r="T6341" s="508">
        <v>6.0000000000000001E-3</v>
      </c>
      <c r="U6341" s="508">
        <v>6.0000000000000001E-3</v>
      </c>
      <c r="V6341" s="508">
        <v>6.0000000000000001E-3</v>
      </c>
      <c r="W6341" s="508">
        <v>6.0000000000000001E-3</v>
      </c>
      <c r="X6341" s="508">
        <v>6.0000000000000001E-3</v>
      </c>
      <c r="Y6341" s="508">
        <v>6.0000000000000001E-3</v>
      </c>
      <c r="Z6341" s="508">
        <v>6.0000000000000001E-3</v>
      </c>
      <c r="AA6341" s="508">
        <v>6.0000000000000001E-3</v>
      </c>
      <c r="AB6341" s="508">
        <v>6.0000000000000001E-3</v>
      </c>
      <c r="AC6341" s="508">
        <v>5.0000000000000001E-3</v>
      </c>
      <c r="AD6341" s="508">
        <v>5.0000000000000001E-3</v>
      </c>
      <c r="AE6341" s="508">
        <v>6.0000000000000001E-3</v>
      </c>
      <c r="AF6341" s="508">
        <v>6.0000000000000001E-3</v>
      </c>
      <c r="AG6341" s="508">
        <v>6.0000000000000001E-3</v>
      </c>
      <c r="AH6341" s="508">
        <v>6.0000000000000001E-3</v>
      </c>
      <c r="AI6341" s="492">
        <v>6.0000000000000001E-3</v>
      </c>
      <c r="AJ6341" s="485"/>
    </row>
    <row r="6342" spans="2:36">
      <c r="B6342" s="136" t="s">
        <v>483</v>
      </c>
      <c r="C6342" s="132" t="s">
        <v>1364</v>
      </c>
      <c r="D6342" s="132" t="s">
        <v>1380</v>
      </c>
      <c r="E6342" s="508">
        <v>6.0000000000000001E-3</v>
      </c>
      <c r="F6342" s="508">
        <v>6.0000000000000001E-3</v>
      </c>
      <c r="G6342" s="508">
        <v>6.0000000000000001E-3</v>
      </c>
      <c r="H6342" s="508">
        <v>6.0000000000000001E-3</v>
      </c>
      <c r="I6342" s="508">
        <v>6.0000000000000001E-3</v>
      </c>
      <c r="J6342" s="508">
        <v>6.0000000000000001E-3</v>
      </c>
      <c r="K6342" s="508">
        <v>6.0000000000000001E-3</v>
      </c>
      <c r="L6342" s="508">
        <v>6.0000000000000001E-3</v>
      </c>
      <c r="M6342" s="508">
        <v>6.0000000000000001E-3</v>
      </c>
      <c r="N6342" s="508">
        <v>6.0000000000000001E-3</v>
      </c>
      <c r="O6342" s="508">
        <v>6.0000000000000001E-3</v>
      </c>
      <c r="P6342" s="508">
        <v>6.0000000000000001E-3</v>
      </c>
      <c r="Q6342" s="508">
        <v>6.0000000000000001E-3</v>
      </c>
      <c r="R6342" s="508">
        <v>6.0000000000000001E-3</v>
      </c>
      <c r="S6342" s="508">
        <v>6.0000000000000001E-3</v>
      </c>
      <c r="T6342" s="508">
        <v>6.0000000000000001E-3</v>
      </c>
      <c r="U6342" s="508">
        <v>6.0000000000000001E-3</v>
      </c>
      <c r="V6342" s="508">
        <v>6.0000000000000001E-3</v>
      </c>
      <c r="W6342" s="508">
        <v>6.0000000000000001E-3</v>
      </c>
      <c r="X6342" s="508">
        <v>6.0000000000000001E-3</v>
      </c>
      <c r="Y6342" s="508">
        <v>6.0000000000000001E-3</v>
      </c>
      <c r="Z6342" s="508">
        <v>6.0000000000000001E-3</v>
      </c>
      <c r="AA6342" s="508">
        <v>6.0000000000000001E-3</v>
      </c>
      <c r="AB6342" s="508">
        <v>6.0000000000000001E-3</v>
      </c>
      <c r="AC6342" s="508">
        <v>6.0000000000000001E-3</v>
      </c>
      <c r="AD6342" s="508">
        <v>6.0000000000000001E-3</v>
      </c>
      <c r="AE6342" s="508">
        <v>6.0000000000000001E-3</v>
      </c>
      <c r="AF6342" s="508">
        <v>6.0000000000000001E-3</v>
      </c>
      <c r="AG6342" s="508">
        <v>6.0000000000000001E-3</v>
      </c>
      <c r="AH6342" s="508">
        <v>6.0000000000000001E-3</v>
      </c>
      <c r="AI6342" s="492">
        <v>6.0000000000000001E-3</v>
      </c>
      <c r="AJ6342" s="485"/>
    </row>
    <row r="6343" spans="2:36">
      <c r="B6343" s="136" t="s">
        <v>484</v>
      </c>
      <c r="C6343" s="132" t="s">
        <v>1364</v>
      </c>
      <c r="D6343" s="132" t="s">
        <v>1380</v>
      </c>
      <c r="E6343" s="508">
        <v>5.0000000000000001E-3</v>
      </c>
      <c r="F6343" s="508">
        <v>5.0000000000000001E-3</v>
      </c>
      <c r="G6343" s="508">
        <v>5.0000000000000001E-3</v>
      </c>
      <c r="H6343" s="508">
        <v>5.0000000000000001E-3</v>
      </c>
      <c r="I6343" s="508">
        <v>5.0000000000000001E-3</v>
      </c>
      <c r="J6343" s="508">
        <v>5.0000000000000001E-3</v>
      </c>
      <c r="K6343" s="508">
        <v>5.0000000000000001E-3</v>
      </c>
      <c r="L6343" s="508">
        <v>5.0000000000000001E-3</v>
      </c>
      <c r="M6343" s="508">
        <v>5.0000000000000001E-3</v>
      </c>
      <c r="N6343" s="508">
        <v>5.0000000000000001E-3</v>
      </c>
      <c r="O6343" s="508">
        <v>5.0000000000000001E-3</v>
      </c>
      <c r="P6343" s="508">
        <v>5.0000000000000001E-3</v>
      </c>
      <c r="Q6343" s="508">
        <v>5.0000000000000001E-3</v>
      </c>
      <c r="R6343" s="508">
        <v>5.0000000000000001E-3</v>
      </c>
      <c r="S6343" s="508">
        <v>5.0000000000000001E-3</v>
      </c>
      <c r="T6343" s="508">
        <v>5.0000000000000001E-3</v>
      </c>
      <c r="U6343" s="508">
        <v>5.0000000000000001E-3</v>
      </c>
      <c r="V6343" s="508">
        <v>5.0000000000000001E-3</v>
      </c>
      <c r="W6343" s="508">
        <v>5.0000000000000001E-3</v>
      </c>
      <c r="X6343" s="508">
        <v>5.0000000000000001E-3</v>
      </c>
      <c r="Y6343" s="508">
        <v>5.0000000000000001E-3</v>
      </c>
      <c r="Z6343" s="508">
        <v>5.0000000000000001E-3</v>
      </c>
      <c r="AA6343" s="508">
        <v>5.0000000000000001E-3</v>
      </c>
      <c r="AB6343" s="508">
        <v>5.0000000000000001E-3</v>
      </c>
      <c r="AC6343" s="508">
        <v>5.0000000000000001E-3</v>
      </c>
      <c r="AD6343" s="508">
        <v>5.0000000000000001E-3</v>
      </c>
      <c r="AE6343" s="508">
        <v>5.0000000000000001E-3</v>
      </c>
      <c r="AF6343" s="508">
        <v>5.0000000000000001E-3</v>
      </c>
      <c r="AG6343" s="508">
        <v>5.0000000000000001E-3</v>
      </c>
      <c r="AH6343" s="508">
        <v>5.0000000000000001E-3</v>
      </c>
      <c r="AI6343" s="492">
        <v>5.0000000000000001E-3</v>
      </c>
      <c r="AJ6343" s="485"/>
    </row>
    <row r="6344" spans="2:36">
      <c r="B6344" s="136" t="s">
        <v>486</v>
      </c>
      <c r="C6344" s="132" t="s">
        <v>1364</v>
      </c>
      <c r="D6344" s="132" t="s">
        <v>1380</v>
      </c>
      <c r="E6344" s="508">
        <v>6.0000000000000001E-3</v>
      </c>
      <c r="F6344" s="508">
        <v>6.0000000000000001E-3</v>
      </c>
      <c r="G6344" s="508">
        <v>6.0000000000000001E-3</v>
      </c>
      <c r="H6344" s="508">
        <v>6.0000000000000001E-3</v>
      </c>
      <c r="I6344" s="508">
        <v>6.0000000000000001E-3</v>
      </c>
      <c r="J6344" s="508">
        <v>6.0000000000000001E-3</v>
      </c>
      <c r="K6344" s="508">
        <v>6.0000000000000001E-3</v>
      </c>
      <c r="L6344" s="508">
        <v>6.0000000000000001E-3</v>
      </c>
      <c r="M6344" s="508">
        <v>6.0000000000000001E-3</v>
      </c>
      <c r="N6344" s="508">
        <v>6.0000000000000001E-3</v>
      </c>
      <c r="O6344" s="508">
        <v>6.0000000000000001E-3</v>
      </c>
      <c r="P6344" s="508">
        <v>6.0000000000000001E-3</v>
      </c>
      <c r="Q6344" s="508">
        <v>6.0000000000000001E-3</v>
      </c>
      <c r="R6344" s="508">
        <v>6.0000000000000001E-3</v>
      </c>
      <c r="S6344" s="508">
        <v>6.0000000000000001E-3</v>
      </c>
      <c r="T6344" s="508">
        <v>6.0000000000000001E-3</v>
      </c>
      <c r="U6344" s="508">
        <v>6.0000000000000001E-3</v>
      </c>
      <c r="V6344" s="508">
        <v>6.0000000000000001E-3</v>
      </c>
      <c r="W6344" s="508">
        <v>6.0000000000000001E-3</v>
      </c>
      <c r="X6344" s="508">
        <v>6.0000000000000001E-3</v>
      </c>
      <c r="Y6344" s="508">
        <v>6.0000000000000001E-3</v>
      </c>
      <c r="Z6344" s="508">
        <v>6.0000000000000001E-3</v>
      </c>
      <c r="AA6344" s="508">
        <v>6.0000000000000001E-3</v>
      </c>
      <c r="AB6344" s="508">
        <v>6.0000000000000001E-3</v>
      </c>
      <c r="AC6344" s="508">
        <v>6.0000000000000001E-3</v>
      </c>
      <c r="AD6344" s="508">
        <v>6.0000000000000001E-3</v>
      </c>
      <c r="AE6344" s="508">
        <v>6.0000000000000001E-3</v>
      </c>
      <c r="AF6344" s="508">
        <v>6.0000000000000001E-3</v>
      </c>
      <c r="AG6344" s="508">
        <v>6.0000000000000001E-3</v>
      </c>
      <c r="AH6344" s="508">
        <v>6.0000000000000001E-3</v>
      </c>
      <c r="AI6344" s="492">
        <v>6.0000000000000001E-3</v>
      </c>
      <c r="AJ6344" s="485"/>
    </row>
    <row r="6345" spans="2:36">
      <c r="B6345" s="136" t="s">
        <v>487</v>
      </c>
      <c r="C6345" s="132" t="s">
        <v>1364</v>
      </c>
      <c r="D6345" s="132" t="s">
        <v>1380</v>
      </c>
      <c r="E6345" s="508">
        <v>6.0000000000000001E-3</v>
      </c>
      <c r="F6345" s="508">
        <v>6.0000000000000001E-3</v>
      </c>
      <c r="G6345" s="508">
        <v>6.0000000000000001E-3</v>
      </c>
      <c r="H6345" s="508">
        <v>6.0000000000000001E-3</v>
      </c>
      <c r="I6345" s="508">
        <v>6.0000000000000001E-3</v>
      </c>
      <c r="J6345" s="508">
        <v>6.0000000000000001E-3</v>
      </c>
      <c r="K6345" s="508">
        <v>6.0000000000000001E-3</v>
      </c>
      <c r="L6345" s="508">
        <v>6.0000000000000001E-3</v>
      </c>
      <c r="M6345" s="508">
        <v>6.0000000000000001E-3</v>
      </c>
      <c r="N6345" s="508">
        <v>6.0000000000000001E-3</v>
      </c>
      <c r="O6345" s="508">
        <v>6.0000000000000001E-3</v>
      </c>
      <c r="P6345" s="508">
        <v>6.0000000000000001E-3</v>
      </c>
      <c r="Q6345" s="508">
        <v>6.0000000000000001E-3</v>
      </c>
      <c r="R6345" s="508">
        <v>6.0000000000000001E-3</v>
      </c>
      <c r="S6345" s="508">
        <v>6.0000000000000001E-3</v>
      </c>
      <c r="T6345" s="508">
        <v>6.0000000000000001E-3</v>
      </c>
      <c r="U6345" s="508">
        <v>6.0000000000000001E-3</v>
      </c>
      <c r="V6345" s="508">
        <v>6.0000000000000001E-3</v>
      </c>
      <c r="W6345" s="508">
        <v>6.0000000000000001E-3</v>
      </c>
      <c r="X6345" s="508">
        <v>6.0000000000000001E-3</v>
      </c>
      <c r="Y6345" s="508">
        <v>6.0000000000000001E-3</v>
      </c>
      <c r="Z6345" s="508">
        <v>6.0000000000000001E-3</v>
      </c>
      <c r="AA6345" s="508">
        <v>6.0000000000000001E-3</v>
      </c>
      <c r="AB6345" s="508">
        <v>6.0000000000000001E-3</v>
      </c>
      <c r="AC6345" s="508">
        <v>6.0000000000000001E-3</v>
      </c>
      <c r="AD6345" s="508">
        <v>6.0000000000000001E-3</v>
      </c>
      <c r="AE6345" s="508">
        <v>6.0000000000000001E-3</v>
      </c>
      <c r="AF6345" s="508">
        <v>6.0000000000000001E-3</v>
      </c>
      <c r="AG6345" s="508">
        <v>6.0000000000000001E-3</v>
      </c>
      <c r="AH6345" s="508">
        <v>6.0000000000000001E-3</v>
      </c>
      <c r="AI6345" s="492">
        <v>6.0000000000000001E-3</v>
      </c>
      <c r="AJ6345" s="485"/>
    </row>
    <row r="6346" spans="2:36">
      <c r="B6346" s="136" t="s">
        <v>488</v>
      </c>
      <c r="C6346" s="132" t="s">
        <v>1364</v>
      </c>
      <c r="D6346" s="132" t="s">
        <v>1380</v>
      </c>
      <c r="E6346" s="508">
        <v>5.0000000000000001E-3</v>
      </c>
      <c r="F6346" s="508">
        <v>5.0000000000000001E-3</v>
      </c>
      <c r="G6346" s="508">
        <v>5.0000000000000001E-3</v>
      </c>
      <c r="H6346" s="508">
        <v>5.0000000000000001E-3</v>
      </c>
      <c r="I6346" s="508">
        <v>5.0000000000000001E-3</v>
      </c>
      <c r="J6346" s="508">
        <v>5.0000000000000001E-3</v>
      </c>
      <c r="K6346" s="508">
        <v>5.0000000000000001E-3</v>
      </c>
      <c r="L6346" s="508">
        <v>5.0000000000000001E-3</v>
      </c>
      <c r="M6346" s="508">
        <v>5.0000000000000001E-3</v>
      </c>
      <c r="N6346" s="508">
        <v>5.0000000000000001E-3</v>
      </c>
      <c r="O6346" s="508">
        <v>5.0000000000000001E-3</v>
      </c>
      <c r="P6346" s="508">
        <v>5.0000000000000001E-3</v>
      </c>
      <c r="Q6346" s="508">
        <v>5.0000000000000001E-3</v>
      </c>
      <c r="R6346" s="508">
        <v>5.0000000000000001E-3</v>
      </c>
      <c r="S6346" s="508">
        <v>5.0000000000000001E-3</v>
      </c>
      <c r="T6346" s="508">
        <v>5.0000000000000001E-3</v>
      </c>
      <c r="U6346" s="508">
        <v>5.0000000000000001E-3</v>
      </c>
      <c r="V6346" s="508">
        <v>5.0000000000000001E-3</v>
      </c>
      <c r="W6346" s="508">
        <v>5.0000000000000001E-3</v>
      </c>
      <c r="X6346" s="508">
        <v>5.0000000000000001E-3</v>
      </c>
      <c r="Y6346" s="508">
        <v>5.0000000000000001E-3</v>
      </c>
      <c r="Z6346" s="508">
        <v>5.0000000000000001E-3</v>
      </c>
      <c r="AA6346" s="508">
        <v>5.0000000000000001E-3</v>
      </c>
      <c r="AB6346" s="508">
        <v>5.0000000000000001E-3</v>
      </c>
      <c r="AC6346" s="508">
        <v>5.0000000000000001E-3</v>
      </c>
      <c r="AD6346" s="508">
        <v>5.0000000000000001E-3</v>
      </c>
      <c r="AE6346" s="508">
        <v>5.0000000000000001E-3</v>
      </c>
      <c r="AF6346" s="508">
        <v>5.0000000000000001E-3</v>
      </c>
      <c r="AG6346" s="508">
        <v>5.0000000000000001E-3</v>
      </c>
      <c r="AH6346" s="508">
        <v>5.0000000000000001E-3</v>
      </c>
      <c r="AI6346" s="492">
        <v>5.0000000000000001E-3</v>
      </c>
      <c r="AJ6346" s="485"/>
    </row>
    <row r="6347" spans="2:36">
      <c r="B6347" s="136" t="s">
        <v>489</v>
      </c>
      <c r="C6347" s="132" t="s">
        <v>1364</v>
      </c>
      <c r="D6347" s="132" t="s">
        <v>1380</v>
      </c>
      <c r="E6347" s="508">
        <v>5.0000000000000001E-3</v>
      </c>
      <c r="F6347" s="508">
        <v>5.0000000000000001E-3</v>
      </c>
      <c r="G6347" s="508">
        <v>5.0000000000000001E-3</v>
      </c>
      <c r="H6347" s="508">
        <v>5.0000000000000001E-3</v>
      </c>
      <c r="I6347" s="508">
        <v>5.0000000000000001E-3</v>
      </c>
      <c r="J6347" s="508">
        <v>5.0000000000000001E-3</v>
      </c>
      <c r="K6347" s="508">
        <v>5.0000000000000001E-3</v>
      </c>
      <c r="L6347" s="508">
        <v>5.0000000000000001E-3</v>
      </c>
      <c r="M6347" s="508">
        <v>5.0000000000000001E-3</v>
      </c>
      <c r="N6347" s="508">
        <v>5.0000000000000001E-3</v>
      </c>
      <c r="O6347" s="508">
        <v>5.0000000000000001E-3</v>
      </c>
      <c r="P6347" s="508">
        <v>5.0000000000000001E-3</v>
      </c>
      <c r="Q6347" s="508">
        <v>5.0000000000000001E-3</v>
      </c>
      <c r="R6347" s="508">
        <v>5.0000000000000001E-3</v>
      </c>
      <c r="S6347" s="508">
        <v>5.0000000000000001E-3</v>
      </c>
      <c r="T6347" s="508">
        <v>5.0000000000000001E-3</v>
      </c>
      <c r="U6347" s="508">
        <v>5.0000000000000001E-3</v>
      </c>
      <c r="V6347" s="508">
        <v>5.0000000000000001E-3</v>
      </c>
      <c r="W6347" s="508">
        <v>5.0000000000000001E-3</v>
      </c>
      <c r="X6347" s="508">
        <v>5.0000000000000001E-3</v>
      </c>
      <c r="Y6347" s="508">
        <v>5.0000000000000001E-3</v>
      </c>
      <c r="Z6347" s="508">
        <v>5.0000000000000001E-3</v>
      </c>
      <c r="AA6347" s="508">
        <v>5.0000000000000001E-3</v>
      </c>
      <c r="AB6347" s="508">
        <v>5.0000000000000001E-3</v>
      </c>
      <c r="AC6347" s="508">
        <v>5.0000000000000001E-3</v>
      </c>
      <c r="AD6347" s="508">
        <v>5.0000000000000001E-3</v>
      </c>
      <c r="AE6347" s="508">
        <v>5.0000000000000001E-3</v>
      </c>
      <c r="AF6347" s="508">
        <v>5.0000000000000001E-3</v>
      </c>
      <c r="AG6347" s="508">
        <v>5.0000000000000001E-3</v>
      </c>
      <c r="AH6347" s="508">
        <v>5.0000000000000001E-3</v>
      </c>
      <c r="AI6347" s="492">
        <v>5.0000000000000001E-3</v>
      </c>
      <c r="AJ6347" s="485"/>
    </row>
    <row r="6348" spans="2:36">
      <c r="B6348" s="136" t="s">
        <v>490</v>
      </c>
      <c r="C6348" s="132" t="s">
        <v>1364</v>
      </c>
      <c r="D6348" s="132" t="s">
        <v>1380</v>
      </c>
      <c r="E6348" s="508">
        <v>5.0000000000000001E-3</v>
      </c>
      <c r="F6348" s="508">
        <v>5.0000000000000001E-3</v>
      </c>
      <c r="G6348" s="508">
        <v>5.0000000000000001E-3</v>
      </c>
      <c r="H6348" s="508">
        <v>5.0000000000000001E-3</v>
      </c>
      <c r="I6348" s="508">
        <v>5.0000000000000001E-3</v>
      </c>
      <c r="J6348" s="508">
        <v>5.0000000000000001E-3</v>
      </c>
      <c r="K6348" s="508">
        <v>5.0000000000000001E-3</v>
      </c>
      <c r="L6348" s="508">
        <v>5.0000000000000001E-3</v>
      </c>
      <c r="M6348" s="508">
        <v>5.0000000000000001E-3</v>
      </c>
      <c r="N6348" s="508">
        <v>5.0000000000000001E-3</v>
      </c>
      <c r="O6348" s="508">
        <v>5.0000000000000001E-3</v>
      </c>
      <c r="P6348" s="508">
        <v>5.0000000000000001E-3</v>
      </c>
      <c r="Q6348" s="508">
        <v>5.0000000000000001E-3</v>
      </c>
      <c r="R6348" s="508">
        <v>5.0000000000000001E-3</v>
      </c>
      <c r="S6348" s="508">
        <v>5.0000000000000001E-3</v>
      </c>
      <c r="T6348" s="508">
        <v>5.0000000000000001E-3</v>
      </c>
      <c r="U6348" s="508">
        <v>5.0000000000000001E-3</v>
      </c>
      <c r="V6348" s="508">
        <v>5.0000000000000001E-3</v>
      </c>
      <c r="W6348" s="508">
        <v>5.0000000000000001E-3</v>
      </c>
      <c r="X6348" s="508">
        <v>5.0000000000000001E-3</v>
      </c>
      <c r="Y6348" s="508">
        <v>5.0000000000000001E-3</v>
      </c>
      <c r="Z6348" s="508">
        <v>5.0000000000000001E-3</v>
      </c>
      <c r="AA6348" s="508">
        <v>5.0000000000000001E-3</v>
      </c>
      <c r="AB6348" s="508">
        <v>5.0000000000000001E-3</v>
      </c>
      <c r="AC6348" s="508">
        <v>5.0000000000000001E-3</v>
      </c>
      <c r="AD6348" s="508">
        <v>5.0000000000000001E-3</v>
      </c>
      <c r="AE6348" s="508">
        <v>5.0000000000000001E-3</v>
      </c>
      <c r="AF6348" s="508">
        <v>5.0000000000000001E-3</v>
      </c>
      <c r="AG6348" s="508">
        <v>5.0000000000000001E-3</v>
      </c>
      <c r="AH6348" s="508">
        <v>5.0000000000000001E-3</v>
      </c>
      <c r="AI6348" s="492">
        <v>5.0000000000000001E-3</v>
      </c>
      <c r="AJ6348" s="485"/>
    </row>
    <row r="6349" spans="2:36">
      <c r="B6349" s="136" t="s">
        <v>435</v>
      </c>
      <c r="C6349" s="132" t="s">
        <v>1365</v>
      </c>
      <c r="D6349" s="132" t="s">
        <v>1380</v>
      </c>
      <c r="E6349" s="508">
        <v>6.0000000000000001E-3</v>
      </c>
      <c r="F6349" s="508">
        <v>6.0000000000000001E-3</v>
      </c>
      <c r="G6349" s="508">
        <v>6.0000000000000001E-3</v>
      </c>
      <c r="H6349" s="508">
        <v>6.0000000000000001E-3</v>
      </c>
      <c r="I6349" s="508">
        <v>6.0000000000000001E-3</v>
      </c>
      <c r="J6349" s="508">
        <v>6.0000000000000001E-3</v>
      </c>
      <c r="K6349" s="508">
        <v>6.0000000000000001E-3</v>
      </c>
      <c r="L6349" s="508">
        <v>6.0000000000000001E-3</v>
      </c>
      <c r="M6349" s="508">
        <v>6.0000000000000001E-3</v>
      </c>
      <c r="N6349" s="508">
        <v>6.0000000000000001E-3</v>
      </c>
      <c r="O6349" s="508">
        <v>6.0000000000000001E-3</v>
      </c>
      <c r="P6349" s="508">
        <v>6.0000000000000001E-3</v>
      </c>
      <c r="Q6349" s="508">
        <v>6.0000000000000001E-3</v>
      </c>
      <c r="R6349" s="508">
        <v>6.0000000000000001E-3</v>
      </c>
      <c r="S6349" s="508">
        <v>6.0000000000000001E-3</v>
      </c>
      <c r="T6349" s="508">
        <v>6.0000000000000001E-3</v>
      </c>
      <c r="U6349" s="508">
        <v>6.0000000000000001E-3</v>
      </c>
      <c r="V6349" s="508">
        <v>6.0000000000000001E-3</v>
      </c>
      <c r="W6349" s="508">
        <v>6.0000000000000001E-3</v>
      </c>
      <c r="X6349" s="508">
        <v>6.0000000000000001E-3</v>
      </c>
      <c r="Y6349" s="508">
        <v>6.0000000000000001E-3</v>
      </c>
      <c r="Z6349" s="508">
        <v>6.0000000000000001E-3</v>
      </c>
      <c r="AA6349" s="508">
        <v>6.0000000000000001E-3</v>
      </c>
      <c r="AB6349" s="508">
        <v>6.0000000000000001E-3</v>
      </c>
      <c r="AC6349" s="508">
        <v>6.0000000000000001E-3</v>
      </c>
      <c r="AD6349" s="508">
        <v>6.0000000000000001E-3</v>
      </c>
      <c r="AE6349" s="508">
        <v>6.0000000000000001E-3</v>
      </c>
      <c r="AF6349" s="508">
        <v>6.0000000000000001E-3</v>
      </c>
      <c r="AG6349" s="508">
        <v>6.0000000000000001E-3</v>
      </c>
      <c r="AH6349" s="508">
        <v>6.0000000000000001E-3</v>
      </c>
      <c r="AI6349" s="492">
        <v>6.0000000000000001E-3</v>
      </c>
      <c r="AJ6349" s="485"/>
    </row>
    <row r="6350" spans="2:36">
      <c r="B6350" s="136" t="s">
        <v>436</v>
      </c>
      <c r="C6350" s="132" t="s">
        <v>1365</v>
      </c>
      <c r="D6350" s="132" t="s">
        <v>1380</v>
      </c>
      <c r="E6350" s="508">
        <v>5.0000000000000001E-3</v>
      </c>
      <c r="F6350" s="508">
        <v>5.0000000000000001E-3</v>
      </c>
      <c r="G6350" s="508">
        <v>5.0000000000000001E-3</v>
      </c>
      <c r="H6350" s="508">
        <v>5.0000000000000001E-3</v>
      </c>
      <c r="I6350" s="508">
        <v>5.0000000000000001E-3</v>
      </c>
      <c r="J6350" s="508">
        <v>5.0000000000000001E-3</v>
      </c>
      <c r="K6350" s="508">
        <v>5.0000000000000001E-3</v>
      </c>
      <c r="L6350" s="508">
        <v>5.0000000000000001E-3</v>
      </c>
      <c r="M6350" s="508">
        <v>5.0000000000000001E-3</v>
      </c>
      <c r="N6350" s="508">
        <v>5.0000000000000001E-3</v>
      </c>
      <c r="O6350" s="508">
        <v>5.0000000000000001E-3</v>
      </c>
      <c r="P6350" s="508">
        <v>5.0000000000000001E-3</v>
      </c>
      <c r="Q6350" s="508">
        <v>5.0000000000000001E-3</v>
      </c>
      <c r="R6350" s="508">
        <v>5.0000000000000001E-3</v>
      </c>
      <c r="S6350" s="508">
        <v>5.0000000000000001E-3</v>
      </c>
      <c r="T6350" s="508">
        <v>5.0000000000000001E-3</v>
      </c>
      <c r="U6350" s="508">
        <v>5.0000000000000001E-3</v>
      </c>
      <c r="V6350" s="508">
        <v>5.0000000000000001E-3</v>
      </c>
      <c r="W6350" s="508">
        <v>5.0000000000000001E-3</v>
      </c>
      <c r="X6350" s="508">
        <v>5.0000000000000001E-3</v>
      </c>
      <c r="Y6350" s="508">
        <v>5.0000000000000001E-3</v>
      </c>
      <c r="Z6350" s="508">
        <v>5.0000000000000001E-3</v>
      </c>
      <c r="AA6350" s="508">
        <v>5.0000000000000001E-3</v>
      </c>
      <c r="AB6350" s="508">
        <v>5.0000000000000001E-3</v>
      </c>
      <c r="AC6350" s="508">
        <v>5.0000000000000001E-3</v>
      </c>
      <c r="AD6350" s="508">
        <v>5.0000000000000001E-3</v>
      </c>
      <c r="AE6350" s="508">
        <v>5.0000000000000001E-3</v>
      </c>
      <c r="AF6350" s="508">
        <v>5.0000000000000001E-3</v>
      </c>
      <c r="AG6350" s="508">
        <v>5.0000000000000001E-3</v>
      </c>
      <c r="AH6350" s="508">
        <v>5.0000000000000001E-3</v>
      </c>
      <c r="AI6350" s="492">
        <v>5.0000000000000001E-3</v>
      </c>
      <c r="AJ6350" s="485"/>
    </row>
    <row r="6351" spans="2:36">
      <c r="B6351" s="136" t="s">
        <v>437</v>
      </c>
      <c r="C6351" s="132" t="s">
        <v>1365</v>
      </c>
      <c r="D6351" s="132" t="s">
        <v>1380</v>
      </c>
      <c r="E6351" s="508">
        <v>6.0000000000000001E-3</v>
      </c>
      <c r="F6351" s="508">
        <v>6.0000000000000001E-3</v>
      </c>
      <c r="G6351" s="508">
        <v>6.0000000000000001E-3</v>
      </c>
      <c r="H6351" s="508">
        <v>6.0000000000000001E-3</v>
      </c>
      <c r="I6351" s="508">
        <v>6.0000000000000001E-3</v>
      </c>
      <c r="J6351" s="508">
        <v>6.0000000000000001E-3</v>
      </c>
      <c r="K6351" s="508">
        <v>6.0000000000000001E-3</v>
      </c>
      <c r="L6351" s="508">
        <v>6.0000000000000001E-3</v>
      </c>
      <c r="M6351" s="508">
        <v>6.0000000000000001E-3</v>
      </c>
      <c r="N6351" s="508">
        <v>6.0000000000000001E-3</v>
      </c>
      <c r="O6351" s="508">
        <v>6.0000000000000001E-3</v>
      </c>
      <c r="P6351" s="508">
        <v>6.0000000000000001E-3</v>
      </c>
      <c r="Q6351" s="508">
        <v>6.0000000000000001E-3</v>
      </c>
      <c r="R6351" s="508">
        <v>6.0000000000000001E-3</v>
      </c>
      <c r="S6351" s="508">
        <v>6.0000000000000001E-3</v>
      </c>
      <c r="T6351" s="508">
        <v>6.0000000000000001E-3</v>
      </c>
      <c r="U6351" s="508">
        <v>6.0000000000000001E-3</v>
      </c>
      <c r="V6351" s="508">
        <v>6.0000000000000001E-3</v>
      </c>
      <c r="W6351" s="508">
        <v>6.0000000000000001E-3</v>
      </c>
      <c r="X6351" s="508">
        <v>6.0000000000000001E-3</v>
      </c>
      <c r="Y6351" s="508">
        <v>6.0000000000000001E-3</v>
      </c>
      <c r="Z6351" s="508">
        <v>6.0000000000000001E-3</v>
      </c>
      <c r="AA6351" s="508">
        <v>6.0000000000000001E-3</v>
      </c>
      <c r="AB6351" s="508">
        <v>6.0000000000000001E-3</v>
      </c>
      <c r="AC6351" s="508">
        <v>6.0000000000000001E-3</v>
      </c>
      <c r="AD6351" s="508">
        <v>6.0000000000000001E-3</v>
      </c>
      <c r="AE6351" s="508">
        <v>6.0000000000000001E-3</v>
      </c>
      <c r="AF6351" s="508">
        <v>6.0000000000000001E-3</v>
      </c>
      <c r="AG6351" s="508">
        <v>6.0000000000000001E-3</v>
      </c>
      <c r="AH6351" s="508">
        <v>6.0000000000000001E-3</v>
      </c>
      <c r="AI6351" s="492">
        <v>6.0000000000000001E-3</v>
      </c>
      <c r="AJ6351" s="485"/>
    </row>
    <row r="6352" spans="2:36">
      <c r="B6352" s="136" t="s">
        <v>438</v>
      </c>
      <c r="C6352" s="132" t="s">
        <v>1365</v>
      </c>
      <c r="D6352" s="132" t="s">
        <v>1380</v>
      </c>
      <c r="E6352" s="508">
        <v>5.0000000000000001E-3</v>
      </c>
      <c r="F6352" s="508">
        <v>5.0000000000000001E-3</v>
      </c>
      <c r="G6352" s="508">
        <v>5.0000000000000001E-3</v>
      </c>
      <c r="H6352" s="508">
        <v>5.0000000000000001E-3</v>
      </c>
      <c r="I6352" s="508">
        <v>5.0000000000000001E-3</v>
      </c>
      <c r="J6352" s="508">
        <v>5.0000000000000001E-3</v>
      </c>
      <c r="K6352" s="508">
        <v>5.0000000000000001E-3</v>
      </c>
      <c r="L6352" s="508">
        <v>5.0000000000000001E-3</v>
      </c>
      <c r="M6352" s="508">
        <v>5.0000000000000001E-3</v>
      </c>
      <c r="N6352" s="508">
        <v>5.0000000000000001E-3</v>
      </c>
      <c r="O6352" s="508">
        <v>5.0000000000000001E-3</v>
      </c>
      <c r="P6352" s="508">
        <v>5.0000000000000001E-3</v>
      </c>
      <c r="Q6352" s="508">
        <v>5.0000000000000001E-3</v>
      </c>
      <c r="R6352" s="508">
        <v>5.0000000000000001E-3</v>
      </c>
      <c r="S6352" s="508">
        <v>5.0000000000000001E-3</v>
      </c>
      <c r="T6352" s="508">
        <v>5.0000000000000001E-3</v>
      </c>
      <c r="U6352" s="508">
        <v>5.0000000000000001E-3</v>
      </c>
      <c r="V6352" s="508">
        <v>5.0000000000000001E-3</v>
      </c>
      <c r="W6352" s="508">
        <v>5.0000000000000001E-3</v>
      </c>
      <c r="X6352" s="508">
        <v>5.0000000000000001E-3</v>
      </c>
      <c r="Y6352" s="508">
        <v>5.0000000000000001E-3</v>
      </c>
      <c r="Z6352" s="508">
        <v>5.0000000000000001E-3</v>
      </c>
      <c r="AA6352" s="508">
        <v>5.0000000000000001E-3</v>
      </c>
      <c r="AB6352" s="508">
        <v>5.0000000000000001E-3</v>
      </c>
      <c r="AC6352" s="508">
        <v>5.0000000000000001E-3</v>
      </c>
      <c r="AD6352" s="508">
        <v>5.0000000000000001E-3</v>
      </c>
      <c r="AE6352" s="508">
        <v>5.0000000000000001E-3</v>
      </c>
      <c r="AF6352" s="508">
        <v>5.0000000000000001E-3</v>
      </c>
      <c r="AG6352" s="508">
        <v>5.0000000000000001E-3</v>
      </c>
      <c r="AH6352" s="508">
        <v>5.0000000000000001E-3</v>
      </c>
      <c r="AI6352" s="492">
        <v>5.0000000000000001E-3</v>
      </c>
      <c r="AJ6352" s="485"/>
    </row>
    <row r="6353" spans="2:36">
      <c r="B6353" s="136" t="s">
        <v>439</v>
      </c>
      <c r="C6353" s="132" t="s">
        <v>1365</v>
      </c>
      <c r="D6353" s="132" t="s">
        <v>1380</v>
      </c>
      <c r="E6353" s="508">
        <v>6.0000000000000001E-3</v>
      </c>
      <c r="F6353" s="508">
        <v>6.0000000000000001E-3</v>
      </c>
      <c r="G6353" s="508">
        <v>6.0000000000000001E-3</v>
      </c>
      <c r="H6353" s="508">
        <v>6.0000000000000001E-3</v>
      </c>
      <c r="I6353" s="508">
        <v>6.0000000000000001E-3</v>
      </c>
      <c r="J6353" s="508">
        <v>6.0000000000000001E-3</v>
      </c>
      <c r="K6353" s="508">
        <v>6.0000000000000001E-3</v>
      </c>
      <c r="L6353" s="508">
        <v>6.0000000000000001E-3</v>
      </c>
      <c r="M6353" s="508">
        <v>6.0000000000000001E-3</v>
      </c>
      <c r="N6353" s="508">
        <v>6.0000000000000001E-3</v>
      </c>
      <c r="O6353" s="508">
        <v>6.0000000000000001E-3</v>
      </c>
      <c r="P6353" s="508">
        <v>6.0000000000000001E-3</v>
      </c>
      <c r="Q6353" s="508">
        <v>6.0000000000000001E-3</v>
      </c>
      <c r="R6353" s="508">
        <v>6.0000000000000001E-3</v>
      </c>
      <c r="S6353" s="508">
        <v>6.0000000000000001E-3</v>
      </c>
      <c r="T6353" s="508">
        <v>6.0000000000000001E-3</v>
      </c>
      <c r="U6353" s="508">
        <v>6.0000000000000001E-3</v>
      </c>
      <c r="V6353" s="508">
        <v>6.0000000000000001E-3</v>
      </c>
      <c r="W6353" s="508">
        <v>6.0000000000000001E-3</v>
      </c>
      <c r="X6353" s="508">
        <v>6.0000000000000001E-3</v>
      </c>
      <c r="Y6353" s="508">
        <v>6.0000000000000001E-3</v>
      </c>
      <c r="Z6353" s="508">
        <v>6.0000000000000001E-3</v>
      </c>
      <c r="AA6353" s="508">
        <v>6.0000000000000001E-3</v>
      </c>
      <c r="AB6353" s="508">
        <v>6.0000000000000001E-3</v>
      </c>
      <c r="AC6353" s="508">
        <v>6.0000000000000001E-3</v>
      </c>
      <c r="AD6353" s="508">
        <v>6.0000000000000001E-3</v>
      </c>
      <c r="AE6353" s="508">
        <v>6.0000000000000001E-3</v>
      </c>
      <c r="AF6353" s="508">
        <v>6.0000000000000001E-3</v>
      </c>
      <c r="AG6353" s="508">
        <v>6.0000000000000001E-3</v>
      </c>
      <c r="AH6353" s="508">
        <v>6.0000000000000001E-3</v>
      </c>
      <c r="AI6353" s="492">
        <v>6.0000000000000001E-3</v>
      </c>
      <c r="AJ6353" s="485"/>
    </row>
    <row r="6354" spans="2:36">
      <c r="B6354" s="136" t="s">
        <v>440</v>
      </c>
      <c r="C6354" s="132" t="s">
        <v>1365</v>
      </c>
      <c r="D6354" s="132" t="s">
        <v>1380</v>
      </c>
      <c r="E6354" s="508">
        <v>6.0000000000000001E-3</v>
      </c>
      <c r="F6354" s="508">
        <v>6.0000000000000001E-3</v>
      </c>
      <c r="G6354" s="508">
        <v>6.0000000000000001E-3</v>
      </c>
      <c r="H6354" s="508">
        <v>6.0000000000000001E-3</v>
      </c>
      <c r="I6354" s="508">
        <v>6.0000000000000001E-3</v>
      </c>
      <c r="J6354" s="508">
        <v>6.0000000000000001E-3</v>
      </c>
      <c r="K6354" s="508">
        <v>6.0000000000000001E-3</v>
      </c>
      <c r="L6354" s="508">
        <v>6.0000000000000001E-3</v>
      </c>
      <c r="M6354" s="508">
        <v>6.0000000000000001E-3</v>
      </c>
      <c r="N6354" s="508">
        <v>6.0000000000000001E-3</v>
      </c>
      <c r="O6354" s="508">
        <v>6.0000000000000001E-3</v>
      </c>
      <c r="P6354" s="508">
        <v>6.0000000000000001E-3</v>
      </c>
      <c r="Q6354" s="508">
        <v>6.0000000000000001E-3</v>
      </c>
      <c r="R6354" s="508">
        <v>6.0000000000000001E-3</v>
      </c>
      <c r="S6354" s="508">
        <v>6.0000000000000001E-3</v>
      </c>
      <c r="T6354" s="508">
        <v>6.0000000000000001E-3</v>
      </c>
      <c r="U6354" s="508">
        <v>6.0000000000000001E-3</v>
      </c>
      <c r="V6354" s="508">
        <v>6.0000000000000001E-3</v>
      </c>
      <c r="W6354" s="508">
        <v>6.0000000000000001E-3</v>
      </c>
      <c r="X6354" s="508">
        <v>6.0000000000000001E-3</v>
      </c>
      <c r="Y6354" s="508">
        <v>6.0000000000000001E-3</v>
      </c>
      <c r="Z6354" s="508">
        <v>6.0000000000000001E-3</v>
      </c>
      <c r="AA6354" s="508">
        <v>6.0000000000000001E-3</v>
      </c>
      <c r="AB6354" s="508">
        <v>6.0000000000000001E-3</v>
      </c>
      <c r="AC6354" s="508">
        <v>6.0000000000000001E-3</v>
      </c>
      <c r="AD6354" s="508">
        <v>6.0000000000000001E-3</v>
      </c>
      <c r="AE6354" s="508">
        <v>6.0000000000000001E-3</v>
      </c>
      <c r="AF6354" s="508">
        <v>6.0000000000000001E-3</v>
      </c>
      <c r="AG6354" s="508">
        <v>6.0000000000000001E-3</v>
      </c>
      <c r="AH6354" s="508">
        <v>6.0000000000000001E-3</v>
      </c>
      <c r="AI6354" s="492">
        <v>6.0000000000000001E-3</v>
      </c>
      <c r="AJ6354" s="485"/>
    </row>
    <row r="6355" spans="2:36">
      <c r="B6355" s="136" t="s">
        <v>441</v>
      </c>
      <c r="C6355" s="132" t="s">
        <v>1365</v>
      </c>
      <c r="D6355" s="132" t="s">
        <v>1380</v>
      </c>
      <c r="E6355" s="508">
        <v>6.0000000000000001E-3</v>
      </c>
      <c r="F6355" s="508">
        <v>6.0000000000000001E-3</v>
      </c>
      <c r="G6355" s="508">
        <v>6.0000000000000001E-3</v>
      </c>
      <c r="H6355" s="508">
        <v>6.0000000000000001E-3</v>
      </c>
      <c r="I6355" s="508">
        <v>6.0000000000000001E-3</v>
      </c>
      <c r="J6355" s="508">
        <v>6.0000000000000001E-3</v>
      </c>
      <c r="K6355" s="508">
        <v>6.0000000000000001E-3</v>
      </c>
      <c r="L6355" s="508">
        <v>6.0000000000000001E-3</v>
      </c>
      <c r="M6355" s="508">
        <v>6.0000000000000001E-3</v>
      </c>
      <c r="N6355" s="508">
        <v>6.0000000000000001E-3</v>
      </c>
      <c r="O6355" s="508">
        <v>6.0000000000000001E-3</v>
      </c>
      <c r="P6355" s="508">
        <v>6.0000000000000001E-3</v>
      </c>
      <c r="Q6355" s="508">
        <v>6.0000000000000001E-3</v>
      </c>
      <c r="R6355" s="508">
        <v>6.0000000000000001E-3</v>
      </c>
      <c r="S6355" s="508">
        <v>6.0000000000000001E-3</v>
      </c>
      <c r="T6355" s="508">
        <v>6.0000000000000001E-3</v>
      </c>
      <c r="U6355" s="508">
        <v>6.0000000000000001E-3</v>
      </c>
      <c r="V6355" s="508">
        <v>6.0000000000000001E-3</v>
      </c>
      <c r="W6355" s="508">
        <v>6.0000000000000001E-3</v>
      </c>
      <c r="X6355" s="508">
        <v>6.0000000000000001E-3</v>
      </c>
      <c r="Y6355" s="508">
        <v>6.0000000000000001E-3</v>
      </c>
      <c r="Z6355" s="508">
        <v>6.0000000000000001E-3</v>
      </c>
      <c r="AA6355" s="508">
        <v>6.0000000000000001E-3</v>
      </c>
      <c r="AB6355" s="508">
        <v>6.0000000000000001E-3</v>
      </c>
      <c r="AC6355" s="508">
        <v>6.0000000000000001E-3</v>
      </c>
      <c r="AD6355" s="508">
        <v>6.0000000000000001E-3</v>
      </c>
      <c r="AE6355" s="508">
        <v>6.0000000000000001E-3</v>
      </c>
      <c r="AF6355" s="508">
        <v>6.0000000000000001E-3</v>
      </c>
      <c r="AG6355" s="508">
        <v>6.0000000000000001E-3</v>
      </c>
      <c r="AH6355" s="508">
        <v>6.0000000000000001E-3</v>
      </c>
      <c r="AI6355" s="492">
        <v>6.0000000000000001E-3</v>
      </c>
      <c r="AJ6355" s="485"/>
    </row>
    <row r="6356" spans="2:36">
      <c r="B6356" s="136" t="s">
        <v>443</v>
      </c>
      <c r="C6356" s="132" t="s">
        <v>1365</v>
      </c>
      <c r="D6356" s="132" t="s">
        <v>1380</v>
      </c>
      <c r="E6356" s="508">
        <v>6.0000000000000001E-3</v>
      </c>
      <c r="F6356" s="508">
        <v>6.0000000000000001E-3</v>
      </c>
      <c r="G6356" s="508">
        <v>6.0000000000000001E-3</v>
      </c>
      <c r="H6356" s="508">
        <v>6.0000000000000001E-3</v>
      </c>
      <c r="I6356" s="508">
        <v>6.0000000000000001E-3</v>
      </c>
      <c r="J6356" s="508">
        <v>6.0000000000000001E-3</v>
      </c>
      <c r="K6356" s="508">
        <v>6.0000000000000001E-3</v>
      </c>
      <c r="L6356" s="508">
        <v>6.0000000000000001E-3</v>
      </c>
      <c r="M6356" s="508">
        <v>6.0000000000000001E-3</v>
      </c>
      <c r="N6356" s="508">
        <v>6.0000000000000001E-3</v>
      </c>
      <c r="O6356" s="508">
        <v>6.0000000000000001E-3</v>
      </c>
      <c r="P6356" s="508">
        <v>6.0000000000000001E-3</v>
      </c>
      <c r="Q6356" s="508">
        <v>6.0000000000000001E-3</v>
      </c>
      <c r="R6356" s="508">
        <v>6.0000000000000001E-3</v>
      </c>
      <c r="S6356" s="508">
        <v>6.0000000000000001E-3</v>
      </c>
      <c r="T6356" s="508">
        <v>6.0000000000000001E-3</v>
      </c>
      <c r="U6356" s="508">
        <v>6.0000000000000001E-3</v>
      </c>
      <c r="V6356" s="508">
        <v>6.0000000000000001E-3</v>
      </c>
      <c r="W6356" s="508">
        <v>6.0000000000000001E-3</v>
      </c>
      <c r="X6356" s="508">
        <v>6.0000000000000001E-3</v>
      </c>
      <c r="Y6356" s="508">
        <v>6.0000000000000001E-3</v>
      </c>
      <c r="Z6356" s="508">
        <v>6.0000000000000001E-3</v>
      </c>
      <c r="AA6356" s="508">
        <v>6.0000000000000001E-3</v>
      </c>
      <c r="AB6356" s="508">
        <v>6.0000000000000001E-3</v>
      </c>
      <c r="AC6356" s="508">
        <v>6.0000000000000001E-3</v>
      </c>
      <c r="AD6356" s="508">
        <v>6.0000000000000001E-3</v>
      </c>
      <c r="AE6356" s="508">
        <v>6.0000000000000001E-3</v>
      </c>
      <c r="AF6356" s="508">
        <v>6.0000000000000001E-3</v>
      </c>
      <c r="AG6356" s="508">
        <v>6.0000000000000001E-3</v>
      </c>
      <c r="AH6356" s="508">
        <v>6.0000000000000001E-3</v>
      </c>
      <c r="AI6356" s="492">
        <v>6.0000000000000001E-3</v>
      </c>
      <c r="AJ6356" s="485"/>
    </row>
    <row r="6357" spans="2:36">
      <c r="B6357" s="136" t="s">
        <v>445</v>
      </c>
      <c r="C6357" s="132" t="s">
        <v>1365</v>
      </c>
      <c r="D6357" s="132" t="s">
        <v>1380</v>
      </c>
      <c r="E6357" s="508">
        <v>7.0000000000000001E-3</v>
      </c>
      <c r="F6357" s="508">
        <v>7.0000000000000001E-3</v>
      </c>
      <c r="G6357" s="508">
        <v>7.0000000000000001E-3</v>
      </c>
      <c r="H6357" s="508">
        <v>7.0000000000000001E-3</v>
      </c>
      <c r="I6357" s="508">
        <v>7.0000000000000001E-3</v>
      </c>
      <c r="J6357" s="508">
        <v>7.0000000000000001E-3</v>
      </c>
      <c r="K6357" s="508">
        <v>7.0000000000000001E-3</v>
      </c>
      <c r="L6357" s="508">
        <v>7.0000000000000001E-3</v>
      </c>
      <c r="M6357" s="508">
        <v>7.0000000000000001E-3</v>
      </c>
      <c r="N6357" s="508">
        <v>7.0000000000000001E-3</v>
      </c>
      <c r="O6357" s="508">
        <v>7.0000000000000001E-3</v>
      </c>
      <c r="P6357" s="508">
        <v>7.0000000000000001E-3</v>
      </c>
      <c r="Q6357" s="508">
        <v>7.0000000000000001E-3</v>
      </c>
      <c r="R6357" s="508">
        <v>7.0000000000000001E-3</v>
      </c>
      <c r="S6357" s="508">
        <v>7.0000000000000001E-3</v>
      </c>
      <c r="T6357" s="508">
        <v>7.0000000000000001E-3</v>
      </c>
      <c r="U6357" s="508">
        <v>7.0000000000000001E-3</v>
      </c>
      <c r="V6357" s="508">
        <v>7.0000000000000001E-3</v>
      </c>
      <c r="W6357" s="508">
        <v>7.0000000000000001E-3</v>
      </c>
      <c r="X6357" s="508">
        <v>7.0000000000000001E-3</v>
      </c>
      <c r="Y6357" s="508">
        <v>7.0000000000000001E-3</v>
      </c>
      <c r="Z6357" s="508">
        <v>7.0000000000000001E-3</v>
      </c>
      <c r="AA6357" s="508">
        <v>7.0000000000000001E-3</v>
      </c>
      <c r="AB6357" s="508">
        <v>7.0000000000000001E-3</v>
      </c>
      <c r="AC6357" s="508">
        <v>7.0000000000000001E-3</v>
      </c>
      <c r="AD6357" s="508">
        <v>7.0000000000000001E-3</v>
      </c>
      <c r="AE6357" s="508">
        <v>7.0000000000000001E-3</v>
      </c>
      <c r="AF6357" s="508">
        <v>7.0000000000000001E-3</v>
      </c>
      <c r="AG6357" s="508">
        <v>7.0000000000000001E-3</v>
      </c>
      <c r="AH6357" s="508">
        <v>7.0000000000000001E-3</v>
      </c>
      <c r="AI6357" s="492">
        <v>7.0000000000000001E-3</v>
      </c>
      <c r="AJ6357" s="485"/>
    </row>
    <row r="6358" spans="2:36">
      <c r="B6358" s="136" t="s">
        <v>446</v>
      </c>
      <c r="C6358" s="132" t="s">
        <v>1365</v>
      </c>
      <c r="D6358" s="132" t="s">
        <v>1380</v>
      </c>
      <c r="E6358" s="508">
        <v>7.0000000000000001E-3</v>
      </c>
      <c r="F6358" s="508">
        <v>7.0000000000000001E-3</v>
      </c>
      <c r="G6358" s="508">
        <v>7.0000000000000001E-3</v>
      </c>
      <c r="H6358" s="508">
        <v>7.0000000000000001E-3</v>
      </c>
      <c r="I6358" s="508">
        <v>7.0000000000000001E-3</v>
      </c>
      <c r="J6358" s="508">
        <v>7.0000000000000001E-3</v>
      </c>
      <c r="K6358" s="508">
        <v>7.0000000000000001E-3</v>
      </c>
      <c r="L6358" s="508">
        <v>7.0000000000000001E-3</v>
      </c>
      <c r="M6358" s="508">
        <v>7.0000000000000001E-3</v>
      </c>
      <c r="N6358" s="508">
        <v>7.0000000000000001E-3</v>
      </c>
      <c r="O6358" s="508">
        <v>7.0000000000000001E-3</v>
      </c>
      <c r="P6358" s="508">
        <v>7.0000000000000001E-3</v>
      </c>
      <c r="Q6358" s="508">
        <v>7.0000000000000001E-3</v>
      </c>
      <c r="R6358" s="508">
        <v>7.0000000000000001E-3</v>
      </c>
      <c r="S6358" s="508">
        <v>7.0000000000000001E-3</v>
      </c>
      <c r="T6358" s="508">
        <v>7.0000000000000001E-3</v>
      </c>
      <c r="U6358" s="508">
        <v>7.0000000000000001E-3</v>
      </c>
      <c r="V6358" s="508">
        <v>7.0000000000000001E-3</v>
      </c>
      <c r="W6358" s="508">
        <v>7.0000000000000001E-3</v>
      </c>
      <c r="X6358" s="508">
        <v>7.0000000000000001E-3</v>
      </c>
      <c r="Y6358" s="508">
        <v>7.0000000000000001E-3</v>
      </c>
      <c r="Z6358" s="508">
        <v>7.0000000000000001E-3</v>
      </c>
      <c r="AA6358" s="508">
        <v>7.0000000000000001E-3</v>
      </c>
      <c r="AB6358" s="508">
        <v>7.0000000000000001E-3</v>
      </c>
      <c r="AC6358" s="508">
        <v>7.0000000000000001E-3</v>
      </c>
      <c r="AD6358" s="508">
        <v>7.0000000000000001E-3</v>
      </c>
      <c r="AE6358" s="508">
        <v>7.0000000000000001E-3</v>
      </c>
      <c r="AF6358" s="508">
        <v>7.0000000000000001E-3</v>
      </c>
      <c r="AG6358" s="508">
        <v>7.0000000000000001E-3</v>
      </c>
      <c r="AH6358" s="508">
        <v>7.0000000000000001E-3</v>
      </c>
      <c r="AI6358" s="492">
        <v>7.0000000000000001E-3</v>
      </c>
      <c r="AJ6358" s="485"/>
    </row>
    <row r="6359" spans="2:36">
      <c r="B6359" s="136" t="s">
        <v>448</v>
      </c>
      <c r="C6359" s="132" t="s">
        <v>1365</v>
      </c>
      <c r="D6359" s="132" t="s">
        <v>1380</v>
      </c>
      <c r="E6359" s="508">
        <v>1.4999999999999999E-2</v>
      </c>
      <c r="F6359" s="508">
        <v>1.4999999999999999E-2</v>
      </c>
      <c r="G6359" s="508">
        <v>1.6E-2</v>
      </c>
      <c r="H6359" s="508">
        <v>1.4999999999999999E-2</v>
      </c>
      <c r="I6359" s="508">
        <v>1.6E-2</v>
      </c>
      <c r="J6359" s="508">
        <v>1.6E-2</v>
      </c>
      <c r="K6359" s="508">
        <v>1.6E-2</v>
      </c>
      <c r="L6359" s="508">
        <v>1.6E-2</v>
      </c>
      <c r="M6359" s="508">
        <v>1.6E-2</v>
      </c>
      <c r="N6359" s="508">
        <v>1.4999999999999999E-2</v>
      </c>
      <c r="O6359" s="508">
        <v>1.4999999999999999E-2</v>
      </c>
      <c r="P6359" s="508">
        <v>1.6E-2</v>
      </c>
      <c r="Q6359" s="508">
        <v>1.6E-2</v>
      </c>
      <c r="R6359" s="508">
        <v>1.4999999999999999E-2</v>
      </c>
      <c r="S6359" s="508">
        <v>1.6E-2</v>
      </c>
      <c r="T6359" s="508">
        <v>1.6E-2</v>
      </c>
      <c r="U6359" s="508">
        <v>1.6E-2</v>
      </c>
      <c r="V6359" s="508">
        <v>1.6E-2</v>
      </c>
      <c r="W6359" s="508">
        <v>1.4999999999999999E-2</v>
      </c>
      <c r="X6359" s="508">
        <v>1.6E-2</v>
      </c>
      <c r="Y6359" s="508">
        <v>1.6E-2</v>
      </c>
      <c r="Z6359" s="508">
        <v>1.4999999999999999E-2</v>
      </c>
      <c r="AA6359" s="508">
        <v>1.4999999999999999E-2</v>
      </c>
      <c r="AB6359" s="508">
        <v>1.6E-2</v>
      </c>
      <c r="AC6359" s="508">
        <v>1.4999999999999999E-2</v>
      </c>
      <c r="AD6359" s="508">
        <v>1.6E-2</v>
      </c>
      <c r="AE6359" s="508">
        <v>1.6E-2</v>
      </c>
      <c r="AF6359" s="508">
        <v>1.6E-2</v>
      </c>
      <c r="AG6359" s="508">
        <v>1.6E-2</v>
      </c>
      <c r="AH6359" s="508">
        <v>1.6E-2</v>
      </c>
      <c r="AI6359" s="492">
        <v>1.6E-2</v>
      </c>
      <c r="AJ6359" s="485"/>
    </row>
    <row r="6360" spans="2:36">
      <c r="B6360" s="136" t="s">
        <v>449</v>
      </c>
      <c r="C6360" s="132" t="s">
        <v>1365</v>
      </c>
      <c r="D6360" s="132" t="s">
        <v>1380</v>
      </c>
      <c r="E6360" s="508">
        <v>6.0000000000000001E-3</v>
      </c>
      <c r="F6360" s="508">
        <v>6.0000000000000001E-3</v>
      </c>
      <c r="G6360" s="508">
        <v>6.0000000000000001E-3</v>
      </c>
      <c r="H6360" s="508">
        <v>6.0000000000000001E-3</v>
      </c>
      <c r="I6360" s="508">
        <v>6.0000000000000001E-3</v>
      </c>
      <c r="J6360" s="508">
        <v>6.0000000000000001E-3</v>
      </c>
      <c r="K6360" s="508">
        <v>6.0000000000000001E-3</v>
      </c>
      <c r="L6360" s="508">
        <v>6.0000000000000001E-3</v>
      </c>
      <c r="M6360" s="508">
        <v>6.0000000000000001E-3</v>
      </c>
      <c r="N6360" s="508">
        <v>6.0000000000000001E-3</v>
      </c>
      <c r="O6360" s="508">
        <v>6.0000000000000001E-3</v>
      </c>
      <c r="P6360" s="508">
        <v>6.0000000000000001E-3</v>
      </c>
      <c r="Q6360" s="508">
        <v>6.0000000000000001E-3</v>
      </c>
      <c r="R6360" s="508">
        <v>6.0000000000000001E-3</v>
      </c>
      <c r="S6360" s="508">
        <v>6.0000000000000001E-3</v>
      </c>
      <c r="T6360" s="508">
        <v>6.0000000000000001E-3</v>
      </c>
      <c r="U6360" s="508">
        <v>6.0000000000000001E-3</v>
      </c>
      <c r="V6360" s="508">
        <v>6.0000000000000001E-3</v>
      </c>
      <c r="W6360" s="508">
        <v>6.0000000000000001E-3</v>
      </c>
      <c r="X6360" s="508">
        <v>6.0000000000000001E-3</v>
      </c>
      <c r="Y6360" s="508">
        <v>6.0000000000000001E-3</v>
      </c>
      <c r="Z6360" s="508">
        <v>6.0000000000000001E-3</v>
      </c>
      <c r="AA6360" s="508">
        <v>6.0000000000000001E-3</v>
      </c>
      <c r="AB6360" s="508">
        <v>6.0000000000000001E-3</v>
      </c>
      <c r="AC6360" s="508">
        <v>6.0000000000000001E-3</v>
      </c>
      <c r="AD6360" s="508">
        <v>6.0000000000000001E-3</v>
      </c>
      <c r="AE6360" s="508">
        <v>6.0000000000000001E-3</v>
      </c>
      <c r="AF6360" s="508">
        <v>6.0000000000000001E-3</v>
      </c>
      <c r="AG6360" s="508">
        <v>6.0000000000000001E-3</v>
      </c>
      <c r="AH6360" s="508">
        <v>6.0000000000000001E-3</v>
      </c>
      <c r="AI6360" s="492">
        <v>6.0000000000000001E-3</v>
      </c>
      <c r="AJ6360" s="485"/>
    </row>
    <row r="6361" spans="2:36">
      <c r="B6361" s="136" t="s">
        <v>450</v>
      </c>
      <c r="C6361" s="132" t="s">
        <v>1365</v>
      </c>
      <c r="D6361" s="132" t="s">
        <v>1380</v>
      </c>
      <c r="E6361" s="508">
        <v>4.0000000000000001E-3</v>
      </c>
      <c r="F6361" s="508">
        <v>4.0000000000000001E-3</v>
      </c>
      <c r="G6361" s="508">
        <v>4.0000000000000001E-3</v>
      </c>
      <c r="H6361" s="508">
        <v>4.0000000000000001E-3</v>
      </c>
      <c r="I6361" s="508">
        <v>4.0000000000000001E-3</v>
      </c>
      <c r="J6361" s="508">
        <v>4.0000000000000001E-3</v>
      </c>
      <c r="K6361" s="508">
        <v>4.0000000000000001E-3</v>
      </c>
      <c r="L6361" s="508">
        <v>4.0000000000000001E-3</v>
      </c>
      <c r="M6361" s="508">
        <v>4.0000000000000001E-3</v>
      </c>
      <c r="N6361" s="508">
        <v>4.0000000000000001E-3</v>
      </c>
      <c r="O6361" s="508">
        <v>4.0000000000000001E-3</v>
      </c>
      <c r="P6361" s="508">
        <v>4.0000000000000001E-3</v>
      </c>
      <c r="Q6361" s="508">
        <v>4.0000000000000001E-3</v>
      </c>
      <c r="R6361" s="508">
        <v>4.0000000000000001E-3</v>
      </c>
      <c r="S6361" s="508">
        <v>4.0000000000000001E-3</v>
      </c>
      <c r="T6361" s="508">
        <v>4.0000000000000001E-3</v>
      </c>
      <c r="U6361" s="508">
        <v>4.0000000000000001E-3</v>
      </c>
      <c r="V6361" s="508">
        <v>4.0000000000000001E-3</v>
      </c>
      <c r="W6361" s="508">
        <v>4.0000000000000001E-3</v>
      </c>
      <c r="X6361" s="508">
        <v>4.0000000000000001E-3</v>
      </c>
      <c r="Y6361" s="508">
        <v>4.0000000000000001E-3</v>
      </c>
      <c r="Z6361" s="508">
        <v>4.0000000000000001E-3</v>
      </c>
      <c r="AA6361" s="508">
        <v>4.0000000000000001E-3</v>
      </c>
      <c r="AB6361" s="508">
        <v>4.0000000000000001E-3</v>
      </c>
      <c r="AC6361" s="508">
        <v>4.0000000000000001E-3</v>
      </c>
      <c r="AD6361" s="508">
        <v>4.0000000000000001E-3</v>
      </c>
      <c r="AE6361" s="508">
        <v>4.0000000000000001E-3</v>
      </c>
      <c r="AF6361" s="508">
        <v>4.0000000000000001E-3</v>
      </c>
      <c r="AG6361" s="508">
        <v>4.0000000000000001E-3</v>
      </c>
      <c r="AH6361" s="508">
        <v>4.0000000000000001E-3</v>
      </c>
      <c r="AI6361" s="492">
        <v>4.0000000000000001E-3</v>
      </c>
      <c r="AJ6361" s="485"/>
    </row>
    <row r="6362" spans="2:36">
      <c r="B6362" s="136" t="s">
        <v>451</v>
      </c>
      <c r="C6362" s="132" t="s">
        <v>1365</v>
      </c>
      <c r="D6362" s="132" t="s">
        <v>1380</v>
      </c>
      <c r="E6362" s="508">
        <v>7.0000000000000001E-3</v>
      </c>
      <c r="F6362" s="508">
        <v>7.0000000000000001E-3</v>
      </c>
      <c r="G6362" s="508">
        <v>7.0000000000000001E-3</v>
      </c>
      <c r="H6362" s="508">
        <v>7.0000000000000001E-3</v>
      </c>
      <c r="I6362" s="508">
        <v>7.0000000000000001E-3</v>
      </c>
      <c r="J6362" s="508">
        <v>7.0000000000000001E-3</v>
      </c>
      <c r="K6362" s="508">
        <v>7.0000000000000001E-3</v>
      </c>
      <c r="L6362" s="508">
        <v>7.0000000000000001E-3</v>
      </c>
      <c r="M6362" s="508">
        <v>7.0000000000000001E-3</v>
      </c>
      <c r="N6362" s="508">
        <v>7.0000000000000001E-3</v>
      </c>
      <c r="O6362" s="508">
        <v>7.0000000000000001E-3</v>
      </c>
      <c r="P6362" s="508">
        <v>7.0000000000000001E-3</v>
      </c>
      <c r="Q6362" s="508">
        <v>7.0000000000000001E-3</v>
      </c>
      <c r="R6362" s="508">
        <v>7.0000000000000001E-3</v>
      </c>
      <c r="S6362" s="508">
        <v>7.0000000000000001E-3</v>
      </c>
      <c r="T6362" s="508">
        <v>7.0000000000000001E-3</v>
      </c>
      <c r="U6362" s="508">
        <v>7.0000000000000001E-3</v>
      </c>
      <c r="V6362" s="508">
        <v>7.0000000000000001E-3</v>
      </c>
      <c r="W6362" s="508">
        <v>7.0000000000000001E-3</v>
      </c>
      <c r="X6362" s="508">
        <v>7.0000000000000001E-3</v>
      </c>
      <c r="Y6362" s="508">
        <v>7.0000000000000001E-3</v>
      </c>
      <c r="Z6362" s="508">
        <v>7.0000000000000001E-3</v>
      </c>
      <c r="AA6362" s="508">
        <v>7.0000000000000001E-3</v>
      </c>
      <c r="AB6362" s="508">
        <v>7.0000000000000001E-3</v>
      </c>
      <c r="AC6362" s="508">
        <v>7.0000000000000001E-3</v>
      </c>
      <c r="AD6362" s="508">
        <v>7.0000000000000001E-3</v>
      </c>
      <c r="AE6362" s="508">
        <v>7.0000000000000001E-3</v>
      </c>
      <c r="AF6362" s="508">
        <v>7.0000000000000001E-3</v>
      </c>
      <c r="AG6362" s="508">
        <v>7.0000000000000001E-3</v>
      </c>
      <c r="AH6362" s="508">
        <v>7.0000000000000001E-3</v>
      </c>
      <c r="AI6362" s="492">
        <v>7.0000000000000001E-3</v>
      </c>
      <c r="AJ6362" s="485"/>
    </row>
    <row r="6363" spans="2:36">
      <c r="B6363" s="136" t="s">
        <v>452</v>
      </c>
      <c r="C6363" s="132" t="s">
        <v>1365</v>
      </c>
      <c r="D6363" s="132" t="s">
        <v>1380</v>
      </c>
      <c r="E6363" s="508">
        <v>6.0000000000000001E-3</v>
      </c>
      <c r="F6363" s="508">
        <v>6.0000000000000001E-3</v>
      </c>
      <c r="G6363" s="508">
        <v>6.0000000000000001E-3</v>
      </c>
      <c r="H6363" s="508">
        <v>6.0000000000000001E-3</v>
      </c>
      <c r="I6363" s="508">
        <v>6.0000000000000001E-3</v>
      </c>
      <c r="J6363" s="508">
        <v>6.0000000000000001E-3</v>
      </c>
      <c r="K6363" s="508">
        <v>6.0000000000000001E-3</v>
      </c>
      <c r="L6363" s="508">
        <v>6.0000000000000001E-3</v>
      </c>
      <c r="M6363" s="508">
        <v>6.0000000000000001E-3</v>
      </c>
      <c r="N6363" s="508">
        <v>6.0000000000000001E-3</v>
      </c>
      <c r="O6363" s="508">
        <v>6.0000000000000001E-3</v>
      </c>
      <c r="P6363" s="508">
        <v>6.0000000000000001E-3</v>
      </c>
      <c r="Q6363" s="508">
        <v>6.0000000000000001E-3</v>
      </c>
      <c r="R6363" s="508">
        <v>6.0000000000000001E-3</v>
      </c>
      <c r="S6363" s="508">
        <v>6.0000000000000001E-3</v>
      </c>
      <c r="T6363" s="508">
        <v>6.0000000000000001E-3</v>
      </c>
      <c r="U6363" s="508">
        <v>6.0000000000000001E-3</v>
      </c>
      <c r="V6363" s="508">
        <v>6.0000000000000001E-3</v>
      </c>
      <c r="W6363" s="508">
        <v>6.0000000000000001E-3</v>
      </c>
      <c r="X6363" s="508">
        <v>6.0000000000000001E-3</v>
      </c>
      <c r="Y6363" s="508">
        <v>6.0000000000000001E-3</v>
      </c>
      <c r="Z6363" s="508">
        <v>6.0000000000000001E-3</v>
      </c>
      <c r="AA6363" s="508">
        <v>6.0000000000000001E-3</v>
      </c>
      <c r="AB6363" s="508">
        <v>6.0000000000000001E-3</v>
      </c>
      <c r="AC6363" s="508">
        <v>6.0000000000000001E-3</v>
      </c>
      <c r="AD6363" s="508">
        <v>6.0000000000000001E-3</v>
      </c>
      <c r="AE6363" s="508">
        <v>6.0000000000000001E-3</v>
      </c>
      <c r="AF6363" s="508">
        <v>6.0000000000000001E-3</v>
      </c>
      <c r="AG6363" s="508">
        <v>6.0000000000000001E-3</v>
      </c>
      <c r="AH6363" s="508">
        <v>6.0000000000000001E-3</v>
      </c>
      <c r="AI6363" s="492">
        <v>6.0000000000000001E-3</v>
      </c>
      <c r="AJ6363" s="485"/>
    </row>
    <row r="6364" spans="2:36">
      <c r="B6364" s="136" t="s">
        <v>453</v>
      </c>
      <c r="C6364" s="132" t="s">
        <v>1365</v>
      </c>
      <c r="D6364" s="132" t="s">
        <v>1380</v>
      </c>
      <c r="E6364" s="508">
        <v>5.0000000000000001E-3</v>
      </c>
      <c r="F6364" s="508">
        <v>5.0000000000000001E-3</v>
      </c>
      <c r="G6364" s="508">
        <v>5.0000000000000001E-3</v>
      </c>
      <c r="H6364" s="508">
        <v>5.0000000000000001E-3</v>
      </c>
      <c r="I6364" s="508">
        <v>5.0000000000000001E-3</v>
      </c>
      <c r="J6364" s="508">
        <v>5.0000000000000001E-3</v>
      </c>
      <c r="K6364" s="508">
        <v>5.0000000000000001E-3</v>
      </c>
      <c r="L6364" s="508">
        <v>5.0000000000000001E-3</v>
      </c>
      <c r="M6364" s="508">
        <v>5.0000000000000001E-3</v>
      </c>
      <c r="N6364" s="508">
        <v>5.0000000000000001E-3</v>
      </c>
      <c r="O6364" s="508">
        <v>5.0000000000000001E-3</v>
      </c>
      <c r="P6364" s="508">
        <v>5.0000000000000001E-3</v>
      </c>
      <c r="Q6364" s="508">
        <v>5.0000000000000001E-3</v>
      </c>
      <c r="R6364" s="508">
        <v>5.0000000000000001E-3</v>
      </c>
      <c r="S6364" s="508">
        <v>5.0000000000000001E-3</v>
      </c>
      <c r="T6364" s="508">
        <v>5.0000000000000001E-3</v>
      </c>
      <c r="U6364" s="508">
        <v>5.0000000000000001E-3</v>
      </c>
      <c r="V6364" s="508">
        <v>5.0000000000000001E-3</v>
      </c>
      <c r="W6364" s="508">
        <v>5.0000000000000001E-3</v>
      </c>
      <c r="X6364" s="508">
        <v>5.0000000000000001E-3</v>
      </c>
      <c r="Y6364" s="508">
        <v>5.0000000000000001E-3</v>
      </c>
      <c r="Z6364" s="508">
        <v>5.0000000000000001E-3</v>
      </c>
      <c r="AA6364" s="508">
        <v>5.0000000000000001E-3</v>
      </c>
      <c r="AB6364" s="508">
        <v>5.0000000000000001E-3</v>
      </c>
      <c r="AC6364" s="508">
        <v>5.0000000000000001E-3</v>
      </c>
      <c r="AD6364" s="508">
        <v>5.0000000000000001E-3</v>
      </c>
      <c r="AE6364" s="508">
        <v>5.0000000000000001E-3</v>
      </c>
      <c r="AF6364" s="508">
        <v>5.0000000000000001E-3</v>
      </c>
      <c r="AG6364" s="508">
        <v>5.0000000000000001E-3</v>
      </c>
      <c r="AH6364" s="508">
        <v>5.0000000000000001E-3</v>
      </c>
      <c r="AI6364" s="492">
        <v>5.0000000000000001E-3</v>
      </c>
      <c r="AJ6364" s="485"/>
    </row>
    <row r="6365" spans="2:36">
      <c r="B6365" s="136" t="s">
        <v>454</v>
      </c>
      <c r="C6365" s="132" t="s">
        <v>1365</v>
      </c>
      <c r="D6365" s="132" t="s">
        <v>1380</v>
      </c>
      <c r="E6365" s="508">
        <v>5.0000000000000001E-3</v>
      </c>
      <c r="F6365" s="508">
        <v>5.0000000000000001E-3</v>
      </c>
      <c r="G6365" s="508">
        <v>5.0000000000000001E-3</v>
      </c>
      <c r="H6365" s="508">
        <v>5.0000000000000001E-3</v>
      </c>
      <c r="I6365" s="508">
        <v>5.0000000000000001E-3</v>
      </c>
      <c r="J6365" s="508">
        <v>5.0000000000000001E-3</v>
      </c>
      <c r="K6365" s="508">
        <v>5.0000000000000001E-3</v>
      </c>
      <c r="L6365" s="508">
        <v>5.0000000000000001E-3</v>
      </c>
      <c r="M6365" s="508">
        <v>5.0000000000000001E-3</v>
      </c>
      <c r="N6365" s="508">
        <v>5.0000000000000001E-3</v>
      </c>
      <c r="O6365" s="508">
        <v>5.0000000000000001E-3</v>
      </c>
      <c r="P6365" s="508">
        <v>5.0000000000000001E-3</v>
      </c>
      <c r="Q6365" s="508">
        <v>5.0000000000000001E-3</v>
      </c>
      <c r="R6365" s="508">
        <v>5.0000000000000001E-3</v>
      </c>
      <c r="S6365" s="508">
        <v>5.0000000000000001E-3</v>
      </c>
      <c r="T6365" s="508">
        <v>5.0000000000000001E-3</v>
      </c>
      <c r="U6365" s="508">
        <v>5.0000000000000001E-3</v>
      </c>
      <c r="V6365" s="508">
        <v>5.0000000000000001E-3</v>
      </c>
      <c r="W6365" s="508">
        <v>5.0000000000000001E-3</v>
      </c>
      <c r="X6365" s="508">
        <v>5.0000000000000001E-3</v>
      </c>
      <c r="Y6365" s="508">
        <v>5.0000000000000001E-3</v>
      </c>
      <c r="Z6365" s="508">
        <v>5.0000000000000001E-3</v>
      </c>
      <c r="AA6365" s="508">
        <v>5.0000000000000001E-3</v>
      </c>
      <c r="AB6365" s="508">
        <v>5.0000000000000001E-3</v>
      </c>
      <c r="AC6365" s="508">
        <v>5.0000000000000001E-3</v>
      </c>
      <c r="AD6365" s="508">
        <v>5.0000000000000001E-3</v>
      </c>
      <c r="AE6365" s="508">
        <v>5.0000000000000001E-3</v>
      </c>
      <c r="AF6365" s="508">
        <v>5.0000000000000001E-3</v>
      </c>
      <c r="AG6365" s="508">
        <v>5.0000000000000001E-3</v>
      </c>
      <c r="AH6365" s="508">
        <v>5.0000000000000001E-3</v>
      </c>
      <c r="AI6365" s="492">
        <v>5.0000000000000001E-3</v>
      </c>
      <c r="AJ6365" s="485"/>
    </row>
    <row r="6366" spans="2:36">
      <c r="B6366" s="136" t="s">
        <v>455</v>
      </c>
      <c r="C6366" s="132" t="s">
        <v>1365</v>
      </c>
      <c r="D6366" s="132" t="s">
        <v>1380</v>
      </c>
      <c r="E6366" s="508">
        <v>5.0000000000000001E-3</v>
      </c>
      <c r="F6366" s="508">
        <v>5.0000000000000001E-3</v>
      </c>
      <c r="G6366" s="508">
        <v>5.0000000000000001E-3</v>
      </c>
      <c r="H6366" s="508">
        <v>5.0000000000000001E-3</v>
      </c>
      <c r="I6366" s="508">
        <v>5.0000000000000001E-3</v>
      </c>
      <c r="J6366" s="508">
        <v>5.0000000000000001E-3</v>
      </c>
      <c r="K6366" s="508">
        <v>5.0000000000000001E-3</v>
      </c>
      <c r="L6366" s="508">
        <v>5.0000000000000001E-3</v>
      </c>
      <c r="M6366" s="508">
        <v>5.0000000000000001E-3</v>
      </c>
      <c r="N6366" s="508">
        <v>5.0000000000000001E-3</v>
      </c>
      <c r="O6366" s="508">
        <v>5.0000000000000001E-3</v>
      </c>
      <c r="P6366" s="508">
        <v>5.0000000000000001E-3</v>
      </c>
      <c r="Q6366" s="508">
        <v>5.0000000000000001E-3</v>
      </c>
      <c r="R6366" s="508">
        <v>5.0000000000000001E-3</v>
      </c>
      <c r="S6366" s="508">
        <v>5.0000000000000001E-3</v>
      </c>
      <c r="T6366" s="508">
        <v>5.0000000000000001E-3</v>
      </c>
      <c r="U6366" s="508">
        <v>5.0000000000000001E-3</v>
      </c>
      <c r="V6366" s="508">
        <v>5.0000000000000001E-3</v>
      </c>
      <c r="W6366" s="508">
        <v>5.0000000000000001E-3</v>
      </c>
      <c r="X6366" s="508">
        <v>5.0000000000000001E-3</v>
      </c>
      <c r="Y6366" s="508">
        <v>5.0000000000000001E-3</v>
      </c>
      <c r="Z6366" s="508">
        <v>5.0000000000000001E-3</v>
      </c>
      <c r="AA6366" s="508">
        <v>5.0000000000000001E-3</v>
      </c>
      <c r="AB6366" s="508">
        <v>5.0000000000000001E-3</v>
      </c>
      <c r="AC6366" s="508">
        <v>5.0000000000000001E-3</v>
      </c>
      <c r="AD6366" s="508">
        <v>5.0000000000000001E-3</v>
      </c>
      <c r="AE6366" s="508">
        <v>5.0000000000000001E-3</v>
      </c>
      <c r="AF6366" s="508">
        <v>5.0000000000000001E-3</v>
      </c>
      <c r="AG6366" s="508">
        <v>5.0000000000000001E-3</v>
      </c>
      <c r="AH6366" s="508">
        <v>5.0000000000000001E-3</v>
      </c>
      <c r="AI6366" s="492">
        <v>5.0000000000000001E-3</v>
      </c>
      <c r="AJ6366" s="485"/>
    </row>
    <row r="6367" spans="2:36">
      <c r="B6367" s="136" t="s">
        <v>456</v>
      </c>
      <c r="C6367" s="132" t="s">
        <v>1365</v>
      </c>
      <c r="D6367" s="132" t="s">
        <v>1380</v>
      </c>
      <c r="E6367" s="508">
        <v>6.0000000000000001E-3</v>
      </c>
      <c r="F6367" s="508">
        <v>6.0000000000000001E-3</v>
      </c>
      <c r="G6367" s="508">
        <v>6.0000000000000001E-3</v>
      </c>
      <c r="H6367" s="508">
        <v>6.0000000000000001E-3</v>
      </c>
      <c r="I6367" s="508">
        <v>6.0000000000000001E-3</v>
      </c>
      <c r="J6367" s="508">
        <v>6.0000000000000001E-3</v>
      </c>
      <c r="K6367" s="508">
        <v>6.0000000000000001E-3</v>
      </c>
      <c r="L6367" s="508">
        <v>6.0000000000000001E-3</v>
      </c>
      <c r="M6367" s="508">
        <v>6.0000000000000001E-3</v>
      </c>
      <c r="N6367" s="508">
        <v>6.0000000000000001E-3</v>
      </c>
      <c r="O6367" s="508">
        <v>6.0000000000000001E-3</v>
      </c>
      <c r="P6367" s="508">
        <v>6.0000000000000001E-3</v>
      </c>
      <c r="Q6367" s="508">
        <v>6.0000000000000001E-3</v>
      </c>
      <c r="R6367" s="508">
        <v>6.0000000000000001E-3</v>
      </c>
      <c r="S6367" s="508">
        <v>6.0000000000000001E-3</v>
      </c>
      <c r="T6367" s="508">
        <v>6.0000000000000001E-3</v>
      </c>
      <c r="U6367" s="508">
        <v>6.0000000000000001E-3</v>
      </c>
      <c r="V6367" s="508">
        <v>6.0000000000000001E-3</v>
      </c>
      <c r="W6367" s="508">
        <v>6.0000000000000001E-3</v>
      </c>
      <c r="X6367" s="508">
        <v>6.0000000000000001E-3</v>
      </c>
      <c r="Y6367" s="508">
        <v>6.0000000000000001E-3</v>
      </c>
      <c r="Z6367" s="508">
        <v>6.0000000000000001E-3</v>
      </c>
      <c r="AA6367" s="508">
        <v>6.0000000000000001E-3</v>
      </c>
      <c r="AB6367" s="508">
        <v>6.0000000000000001E-3</v>
      </c>
      <c r="AC6367" s="508">
        <v>6.0000000000000001E-3</v>
      </c>
      <c r="AD6367" s="508">
        <v>6.0000000000000001E-3</v>
      </c>
      <c r="AE6367" s="508">
        <v>6.0000000000000001E-3</v>
      </c>
      <c r="AF6367" s="508">
        <v>6.0000000000000001E-3</v>
      </c>
      <c r="AG6367" s="508">
        <v>6.0000000000000001E-3</v>
      </c>
      <c r="AH6367" s="508">
        <v>6.0000000000000001E-3</v>
      </c>
      <c r="AI6367" s="492">
        <v>6.0000000000000001E-3</v>
      </c>
      <c r="AJ6367" s="485"/>
    </row>
    <row r="6368" spans="2:36">
      <c r="B6368" s="136" t="s">
        <v>457</v>
      </c>
      <c r="C6368" s="132" t="s">
        <v>1365</v>
      </c>
      <c r="D6368" s="132" t="s">
        <v>1380</v>
      </c>
      <c r="E6368" s="508">
        <v>5.0000000000000001E-3</v>
      </c>
      <c r="F6368" s="508">
        <v>5.0000000000000001E-3</v>
      </c>
      <c r="G6368" s="508">
        <v>5.0000000000000001E-3</v>
      </c>
      <c r="H6368" s="508">
        <v>5.0000000000000001E-3</v>
      </c>
      <c r="I6368" s="508">
        <v>5.0000000000000001E-3</v>
      </c>
      <c r="J6368" s="508">
        <v>5.0000000000000001E-3</v>
      </c>
      <c r="K6368" s="508">
        <v>5.0000000000000001E-3</v>
      </c>
      <c r="L6368" s="508">
        <v>5.0000000000000001E-3</v>
      </c>
      <c r="M6368" s="508">
        <v>5.0000000000000001E-3</v>
      </c>
      <c r="N6368" s="508">
        <v>5.0000000000000001E-3</v>
      </c>
      <c r="O6368" s="508">
        <v>5.0000000000000001E-3</v>
      </c>
      <c r="P6368" s="508">
        <v>5.0000000000000001E-3</v>
      </c>
      <c r="Q6368" s="508">
        <v>5.0000000000000001E-3</v>
      </c>
      <c r="R6368" s="508">
        <v>5.0000000000000001E-3</v>
      </c>
      <c r="S6368" s="508">
        <v>5.0000000000000001E-3</v>
      </c>
      <c r="T6368" s="508">
        <v>5.0000000000000001E-3</v>
      </c>
      <c r="U6368" s="508">
        <v>5.0000000000000001E-3</v>
      </c>
      <c r="V6368" s="508">
        <v>5.0000000000000001E-3</v>
      </c>
      <c r="W6368" s="508">
        <v>5.0000000000000001E-3</v>
      </c>
      <c r="X6368" s="508">
        <v>5.0000000000000001E-3</v>
      </c>
      <c r="Y6368" s="508">
        <v>5.0000000000000001E-3</v>
      </c>
      <c r="Z6368" s="508">
        <v>5.0000000000000001E-3</v>
      </c>
      <c r="AA6368" s="508">
        <v>5.0000000000000001E-3</v>
      </c>
      <c r="AB6368" s="508">
        <v>5.0000000000000001E-3</v>
      </c>
      <c r="AC6368" s="508">
        <v>5.0000000000000001E-3</v>
      </c>
      <c r="AD6368" s="508">
        <v>5.0000000000000001E-3</v>
      </c>
      <c r="AE6368" s="508">
        <v>5.0000000000000001E-3</v>
      </c>
      <c r="AF6368" s="508">
        <v>5.0000000000000001E-3</v>
      </c>
      <c r="AG6368" s="508">
        <v>5.0000000000000001E-3</v>
      </c>
      <c r="AH6368" s="508">
        <v>5.0000000000000001E-3</v>
      </c>
      <c r="AI6368" s="492">
        <v>5.0000000000000001E-3</v>
      </c>
      <c r="AJ6368" s="485"/>
    </row>
    <row r="6369" spans="2:36">
      <c r="B6369" s="136" t="s">
        <v>458</v>
      </c>
      <c r="C6369" s="132" t="s">
        <v>1365</v>
      </c>
      <c r="D6369" s="132" t="s">
        <v>1380</v>
      </c>
      <c r="E6369" s="508">
        <v>6.0000000000000001E-3</v>
      </c>
      <c r="F6369" s="508">
        <v>6.0000000000000001E-3</v>
      </c>
      <c r="G6369" s="508">
        <v>6.0000000000000001E-3</v>
      </c>
      <c r="H6369" s="508">
        <v>6.0000000000000001E-3</v>
      </c>
      <c r="I6369" s="508">
        <v>6.0000000000000001E-3</v>
      </c>
      <c r="J6369" s="508">
        <v>6.0000000000000001E-3</v>
      </c>
      <c r="K6369" s="508">
        <v>6.0000000000000001E-3</v>
      </c>
      <c r="L6369" s="508">
        <v>6.0000000000000001E-3</v>
      </c>
      <c r="M6369" s="508">
        <v>6.0000000000000001E-3</v>
      </c>
      <c r="N6369" s="508">
        <v>6.0000000000000001E-3</v>
      </c>
      <c r="O6369" s="508">
        <v>6.0000000000000001E-3</v>
      </c>
      <c r="P6369" s="508">
        <v>6.0000000000000001E-3</v>
      </c>
      <c r="Q6369" s="508">
        <v>6.0000000000000001E-3</v>
      </c>
      <c r="R6369" s="508">
        <v>6.0000000000000001E-3</v>
      </c>
      <c r="S6369" s="508">
        <v>6.0000000000000001E-3</v>
      </c>
      <c r="T6369" s="508">
        <v>6.0000000000000001E-3</v>
      </c>
      <c r="U6369" s="508">
        <v>6.0000000000000001E-3</v>
      </c>
      <c r="V6369" s="508">
        <v>6.0000000000000001E-3</v>
      </c>
      <c r="W6369" s="508">
        <v>6.0000000000000001E-3</v>
      </c>
      <c r="X6369" s="508">
        <v>6.0000000000000001E-3</v>
      </c>
      <c r="Y6369" s="508">
        <v>6.0000000000000001E-3</v>
      </c>
      <c r="Z6369" s="508">
        <v>6.0000000000000001E-3</v>
      </c>
      <c r="AA6369" s="508">
        <v>6.0000000000000001E-3</v>
      </c>
      <c r="AB6369" s="508">
        <v>6.0000000000000001E-3</v>
      </c>
      <c r="AC6369" s="508">
        <v>6.0000000000000001E-3</v>
      </c>
      <c r="AD6369" s="508">
        <v>6.0000000000000001E-3</v>
      </c>
      <c r="AE6369" s="508">
        <v>6.0000000000000001E-3</v>
      </c>
      <c r="AF6369" s="508">
        <v>6.0000000000000001E-3</v>
      </c>
      <c r="AG6369" s="508">
        <v>6.0000000000000001E-3</v>
      </c>
      <c r="AH6369" s="508">
        <v>6.0000000000000001E-3</v>
      </c>
      <c r="AI6369" s="492">
        <v>6.0000000000000001E-3</v>
      </c>
      <c r="AJ6369" s="485"/>
    </row>
    <row r="6370" spans="2:36">
      <c r="B6370" s="136" t="s">
        <v>459</v>
      </c>
      <c r="C6370" s="132" t="s">
        <v>1365</v>
      </c>
      <c r="D6370" s="132" t="s">
        <v>1380</v>
      </c>
      <c r="E6370" s="508">
        <v>6.0000000000000001E-3</v>
      </c>
      <c r="F6370" s="508">
        <v>6.0000000000000001E-3</v>
      </c>
      <c r="G6370" s="508">
        <v>6.0000000000000001E-3</v>
      </c>
      <c r="H6370" s="508">
        <v>6.0000000000000001E-3</v>
      </c>
      <c r="I6370" s="508">
        <v>6.0000000000000001E-3</v>
      </c>
      <c r="J6370" s="508">
        <v>6.0000000000000001E-3</v>
      </c>
      <c r="K6370" s="508">
        <v>6.0000000000000001E-3</v>
      </c>
      <c r="L6370" s="508">
        <v>6.0000000000000001E-3</v>
      </c>
      <c r="M6370" s="508">
        <v>6.0000000000000001E-3</v>
      </c>
      <c r="N6370" s="508">
        <v>6.0000000000000001E-3</v>
      </c>
      <c r="O6370" s="508">
        <v>6.0000000000000001E-3</v>
      </c>
      <c r="P6370" s="508">
        <v>6.0000000000000001E-3</v>
      </c>
      <c r="Q6370" s="508">
        <v>6.0000000000000001E-3</v>
      </c>
      <c r="R6370" s="508">
        <v>6.0000000000000001E-3</v>
      </c>
      <c r="S6370" s="508">
        <v>6.0000000000000001E-3</v>
      </c>
      <c r="T6370" s="508">
        <v>6.0000000000000001E-3</v>
      </c>
      <c r="U6370" s="508">
        <v>6.0000000000000001E-3</v>
      </c>
      <c r="V6370" s="508">
        <v>6.0000000000000001E-3</v>
      </c>
      <c r="W6370" s="508">
        <v>6.0000000000000001E-3</v>
      </c>
      <c r="X6370" s="508">
        <v>6.0000000000000001E-3</v>
      </c>
      <c r="Y6370" s="508">
        <v>6.0000000000000001E-3</v>
      </c>
      <c r="Z6370" s="508">
        <v>6.0000000000000001E-3</v>
      </c>
      <c r="AA6370" s="508">
        <v>6.0000000000000001E-3</v>
      </c>
      <c r="AB6370" s="508">
        <v>6.0000000000000001E-3</v>
      </c>
      <c r="AC6370" s="508">
        <v>6.0000000000000001E-3</v>
      </c>
      <c r="AD6370" s="508">
        <v>6.0000000000000001E-3</v>
      </c>
      <c r="AE6370" s="508">
        <v>6.0000000000000001E-3</v>
      </c>
      <c r="AF6370" s="508">
        <v>6.0000000000000001E-3</v>
      </c>
      <c r="AG6370" s="508">
        <v>6.0000000000000001E-3</v>
      </c>
      <c r="AH6370" s="508">
        <v>6.0000000000000001E-3</v>
      </c>
      <c r="AI6370" s="492">
        <v>6.0000000000000001E-3</v>
      </c>
      <c r="AJ6370" s="485"/>
    </row>
    <row r="6371" spans="2:36">
      <c r="B6371" s="136" t="s">
        <v>460</v>
      </c>
      <c r="C6371" s="132" t="s">
        <v>1365</v>
      </c>
      <c r="D6371" s="132" t="s">
        <v>1380</v>
      </c>
      <c r="E6371" s="508">
        <v>6.0000000000000001E-3</v>
      </c>
      <c r="F6371" s="508">
        <v>6.0000000000000001E-3</v>
      </c>
      <c r="G6371" s="508">
        <v>6.0000000000000001E-3</v>
      </c>
      <c r="H6371" s="508">
        <v>6.0000000000000001E-3</v>
      </c>
      <c r="I6371" s="508">
        <v>6.0000000000000001E-3</v>
      </c>
      <c r="J6371" s="508">
        <v>6.0000000000000001E-3</v>
      </c>
      <c r="K6371" s="508">
        <v>6.0000000000000001E-3</v>
      </c>
      <c r="L6371" s="508">
        <v>6.0000000000000001E-3</v>
      </c>
      <c r="M6371" s="508">
        <v>6.0000000000000001E-3</v>
      </c>
      <c r="N6371" s="508">
        <v>6.0000000000000001E-3</v>
      </c>
      <c r="O6371" s="508">
        <v>6.0000000000000001E-3</v>
      </c>
      <c r="P6371" s="508">
        <v>6.0000000000000001E-3</v>
      </c>
      <c r="Q6371" s="508">
        <v>6.0000000000000001E-3</v>
      </c>
      <c r="R6371" s="508">
        <v>6.0000000000000001E-3</v>
      </c>
      <c r="S6371" s="508">
        <v>6.0000000000000001E-3</v>
      </c>
      <c r="T6371" s="508">
        <v>6.0000000000000001E-3</v>
      </c>
      <c r="U6371" s="508">
        <v>6.0000000000000001E-3</v>
      </c>
      <c r="V6371" s="508">
        <v>6.0000000000000001E-3</v>
      </c>
      <c r="W6371" s="508">
        <v>6.0000000000000001E-3</v>
      </c>
      <c r="X6371" s="508">
        <v>6.0000000000000001E-3</v>
      </c>
      <c r="Y6371" s="508">
        <v>6.0000000000000001E-3</v>
      </c>
      <c r="Z6371" s="508">
        <v>6.0000000000000001E-3</v>
      </c>
      <c r="AA6371" s="508">
        <v>6.0000000000000001E-3</v>
      </c>
      <c r="AB6371" s="508">
        <v>6.0000000000000001E-3</v>
      </c>
      <c r="AC6371" s="508">
        <v>6.0000000000000001E-3</v>
      </c>
      <c r="AD6371" s="508">
        <v>6.0000000000000001E-3</v>
      </c>
      <c r="AE6371" s="508">
        <v>6.0000000000000001E-3</v>
      </c>
      <c r="AF6371" s="508">
        <v>6.0000000000000001E-3</v>
      </c>
      <c r="AG6371" s="508">
        <v>6.0000000000000001E-3</v>
      </c>
      <c r="AH6371" s="508">
        <v>6.0000000000000001E-3</v>
      </c>
      <c r="AI6371" s="492">
        <v>6.0000000000000001E-3</v>
      </c>
      <c r="AJ6371" s="485"/>
    </row>
    <row r="6372" spans="2:36">
      <c r="B6372" s="136" t="s">
        <v>461</v>
      </c>
      <c r="C6372" s="132" t="s">
        <v>1365</v>
      </c>
      <c r="D6372" s="132" t="s">
        <v>1380</v>
      </c>
      <c r="E6372" s="508">
        <v>5.0000000000000001E-3</v>
      </c>
      <c r="F6372" s="508">
        <v>5.0000000000000001E-3</v>
      </c>
      <c r="G6372" s="508">
        <v>5.0000000000000001E-3</v>
      </c>
      <c r="H6372" s="508">
        <v>5.0000000000000001E-3</v>
      </c>
      <c r="I6372" s="508">
        <v>5.0000000000000001E-3</v>
      </c>
      <c r="J6372" s="508">
        <v>5.0000000000000001E-3</v>
      </c>
      <c r="K6372" s="508">
        <v>5.0000000000000001E-3</v>
      </c>
      <c r="L6372" s="508">
        <v>5.0000000000000001E-3</v>
      </c>
      <c r="M6372" s="508">
        <v>5.0000000000000001E-3</v>
      </c>
      <c r="N6372" s="508">
        <v>5.0000000000000001E-3</v>
      </c>
      <c r="O6372" s="508">
        <v>5.0000000000000001E-3</v>
      </c>
      <c r="P6372" s="508">
        <v>5.0000000000000001E-3</v>
      </c>
      <c r="Q6372" s="508">
        <v>5.0000000000000001E-3</v>
      </c>
      <c r="R6372" s="508">
        <v>5.0000000000000001E-3</v>
      </c>
      <c r="S6372" s="508">
        <v>5.0000000000000001E-3</v>
      </c>
      <c r="T6372" s="508">
        <v>5.0000000000000001E-3</v>
      </c>
      <c r="U6372" s="508">
        <v>5.0000000000000001E-3</v>
      </c>
      <c r="V6372" s="508">
        <v>5.0000000000000001E-3</v>
      </c>
      <c r="W6372" s="508">
        <v>5.0000000000000001E-3</v>
      </c>
      <c r="X6372" s="508">
        <v>5.0000000000000001E-3</v>
      </c>
      <c r="Y6372" s="508">
        <v>5.0000000000000001E-3</v>
      </c>
      <c r="Z6372" s="508">
        <v>5.0000000000000001E-3</v>
      </c>
      <c r="AA6372" s="508">
        <v>5.0000000000000001E-3</v>
      </c>
      <c r="AB6372" s="508">
        <v>5.0000000000000001E-3</v>
      </c>
      <c r="AC6372" s="508">
        <v>5.0000000000000001E-3</v>
      </c>
      <c r="AD6372" s="508">
        <v>5.0000000000000001E-3</v>
      </c>
      <c r="AE6372" s="508">
        <v>5.0000000000000001E-3</v>
      </c>
      <c r="AF6372" s="508">
        <v>5.0000000000000001E-3</v>
      </c>
      <c r="AG6372" s="508">
        <v>5.0000000000000001E-3</v>
      </c>
      <c r="AH6372" s="508">
        <v>5.0000000000000001E-3</v>
      </c>
      <c r="AI6372" s="492">
        <v>5.0000000000000001E-3</v>
      </c>
      <c r="AJ6372" s="485"/>
    </row>
    <row r="6373" spans="2:36">
      <c r="B6373" s="136" t="s">
        <v>462</v>
      </c>
      <c r="C6373" s="132" t="s">
        <v>1365</v>
      </c>
      <c r="D6373" s="132" t="s">
        <v>1380</v>
      </c>
      <c r="E6373" s="508">
        <v>5.0000000000000001E-3</v>
      </c>
      <c r="F6373" s="508">
        <v>5.0000000000000001E-3</v>
      </c>
      <c r="G6373" s="508">
        <v>5.0000000000000001E-3</v>
      </c>
      <c r="H6373" s="508">
        <v>5.0000000000000001E-3</v>
      </c>
      <c r="I6373" s="508">
        <v>5.0000000000000001E-3</v>
      </c>
      <c r="J6373" s="508">
        <v>5.0000000000000001E-3</v>
      </c>
      <c r="K6373" s="508">
        <v>5.0000000000000001E-3</v>
      </c>
      <c r="L6373" s="508">
        <v>5.0000000000000001E-3</v>
      </c>
      <c r="M6373" s="508">
        <v>5.0000000000000001E-3</v>
      </c>
      <c r="N6373" s="508">
        <v>5.0000000000000001E-3</v>
      </c>
      <c r="O6373" s="508">
        <v>5.0000000000000001E-3</v>
      </c>
      <c r="P6373" s="508">
        <v>5.0000000000000001E-3</v>
      </c>
      <c r="Q6373" s="508">
        <v>5.0000000000000001E-3</v>
      </c>
      <c r="R6373" s="508">
        <v>5.0000000000000001E-3</v>
      </c>
      <c r="S6373" s="508">
        <v>5.0000000000000001E-3</v>
      </c>
      <c r="T6373" s="508">
        <v>5.0000000000000001E-3</v>
      </c>
      <c r="U6373" s="508">
        <v>5.0000000000000001E-3</v>
      </c>
      <c r="V6373" s="508">
        <v>5.0000000000000001E-3</v>
      </c>
      <c r="W6373" s="508">
        <v>5.0000000000000001E-3</v>
      </c>
      <c r="X6373" s="508">
        <v>5.0000000000000001E-3</v>
      </c>
      <c r="Y6373" s="508">
        <v>5.0000000000000001E-3</v>
      </c>
      <c r="Z6373" s="508">
        <v>5.0000000000000001E-3</v>
      </c>
      <c r="AA6373" s="508">
        <v>5.0000000000000001E-3</v>
      </c>
      <c r="AB6373" s="508">
        <v>5.0000000000000001E-3</v>
      </c>
      <c r="AC6373" s="508">
        <v>5.0000000000000001E-3</v>
      </c>
      <c r="AD6373" s="508">
        <v>5.0000000000000001E-3</v>
      </c>
      <c r="AE6373" s="508">
        <v>5.0000000000000001E-3</v>
      </c>
      <c r="AF6373" s="508">
        <v>5.0000000000000001E-3</v>
      </c>
      <c r="AG6373" s="508">
        <v>5.0000000000000001E-3</v>
      </c>
      <c r="AH6373" s="508">
        <v>5.0000000000000001E-3</v>
      </c>
      <c r="AI6373" s="492">
        <v>5.0000000000000001E-3</v>
      </c>
      <c r="AJ6373" s="485"/>
    </row>
    <row r="6374" spans="2:36">
      <c r="B6374" s="136" t="s">
        <v>463</v>
      </c>
      <c r="C6374" s="132" t="s">
        <v>1365</v>
      </c>
      <c r="D6374" s="132" t="s">
        <v>1380</v>
      </c>
      <c r="E6374" s="508">
        <v>5.0000000000000001E-3</v>
      </c>
      <c r="F6374" s="508">
        <v>5.0000000000000001E-3</v>
      </c>
      <c r="G6374" s="508">
        <v>5.0000000000000001E-3</v>
      </c>
      <c r="H6374" s="508">
        <v>5.0000000000000001E-3</v>
      </c>
      <c r="I6374" s="508">
        <v>5.0000000000000001E-3</v>
      </c>
      <c r="J6374" s="508">
        <v>5.0000000000000001E-3</v>
      </c>
      <c r="K6374" s="508">
        <v>5.0000000000000001E-3</v>
      </c>
      <c r="L6374" s="508">
        <v>5.0000000000000001E-3</v>
      </c>
      <c r="M6374" s="508">
        <v>5.0000000000000001E-3</v>
      </c>
      <c r="N6374" s="508">
        <v>5.0000000000000001E-3</v>
      </c>
      <c r="O6374" s="508">
        <v>5.0000000000000001E-3</v>
      </c>
      <c r="P6374" s="508">
        <v>5.0000000000000001E-3</v>
      </c>
      <c r="Q6374" s="508">
        <v>5.0000000000000001E-3</v>
      </c>
      <c r="R6374" s="508">
        <v>5.0000000000000001E-3</v>
      </c>
      <c r="S6374" s="508">
        <v>5.0000000000000001E-3</v>
      </c>
      <c r="T6374" s="508">
        <v>5.0000000000000001E-3</v>
      </c>
      <c r="U6374" s="508">
        <v>5.0000000000000001E-3</v>
      </c>
      <c r="V6374" s="508">
        <v>5.0000000000000001E-3</v>
      </c>
      <c r="W6374" s="508">
        <v>5.0000000000000001E-3</v>
      </c>
      <c r="X6374" s="508">
        <v>5.0000000000000001E-3</v>
      </c>
      <c r="Y6374" s="508">
        <v>5.0000000000000001E-3</v>
      </c>
      <c r="Z6374" s="508">
        <v>5.0000000000000001E-3</v>
      </c>
      <c r="AA6374" s="508">
        <v>5.0000000000000001E-3</v>
      </c>
      <c r="AB6374" s="508">
        <v>5.0000000000000001E-3</v>
      </c>
      <c r="AC6374" s="508">
        <v>5.0000000000000001E-3</v>
      </c>
      <c r="AD6374" s="508">
        <v>5.0000000000000001E-3</v>
      </c>
      <c r="AE6374" s="508">
        <v>5.0000000000000001E-3</v>
      </c>
      <c r="AF6374" s="508">
        <v>5.0000000000000001E-3</v>
      </c>
      <c r="AG6374" s="508">
        <v>5.0000000000000001E-3</v>
      </c>
      <c r="AH6374" s="508">
        <v>5.0000000000000001E-3</v>
      </c>
      <c r="AI6374" s="492">
        <v>5.0000000000000001E-3</v>
      </c>
      <c r="AJ6374" s="485"/>
    </row>
    <row r="6375" spans="2:36">
      <c r="B6375" s="136" t="s">
        <v>464</v>
      </c>
      <c r="C6375" s="132" t="s">
        <v>1365</v>
      </c>
      <c r="D6375" s="132" t="s">
        <v>1380</v>
      </c>
      <c r="E6375" s="508">
        <v>5.0000000000000001E-3</v>
      </c>
      <c r="F6375" s="508">
        <v>5.0000000000000001E-3</v>
      </c>
      <c r="G6375" s="508">
        <v>5.0000000000000001E-3</v>
      </c>
      <c r="H6375" s="508">
        <v>5.0000000000000001E-3</v>
      </c>
      <c r="I6375" s="508">
        <v>5.0000000000000001E-3</v>
      </c>
      <c r="J6375" s="508">
        <v>5.0000000000000001E-3</v>
      </c>
      <c r="K6375" s="508">
        <v>5.0000000000000001E-3</v>
      </c>
      <c r="L6375" s="508">
        <v>5.0000000000000001E-3</v>
      </c>
      <c r="M6375" s="508">
        <v>5.0000000000000001E-3</v>
      </c>
      <c r="N6375" s="508">
        <v>5.0000000000000001E-3</v>
      </c>
      <c r="O6375" s="508">
        <v>5.0000000000000001E-3</v>
      </c>
      <c r="P6375" s="508">
        <v>5.0000000000000001E-3</v>
      </c>
      <c r="Q6375" s="508">
        <v>5.0000000000000001E-3</v>
      </c>
      <c r="R6375" s="508">
        <v>5.0000000000000001E-3</v>
      </c>
      <c r="S6375" s="508">
        <v>5.0000000000000001E-3</v>
      </c>
      <c r="T6375" s="508">
        <v>5.0000000000000001E-3</v>
      </c>
      <c r="U6375" s="508">
        <v>5.0000000000000001E-3</v>
      </c>
      <c r="V6375" s="508">
        <v>5.0000000000000001E-3</v>
      </c>
      <c r="W6375" s="508">
        <v>5.0000000000000001E-3</v>
      </c>
      <c r="X6375" s="508">
        <v>5.0000000000000001E-3</v>
      </c>
      <c r="Y6375" s="508">
        <v>5.0000000000000001E-3</v>
      </c>
      <c r="Z6375" s="508">
        <v>5.0000000000000001E-3</v>
      </c>
      <c r="AA6375" s="508">
        <v>5.0000000000000001E-3</v>
      </c>
      <c r="AB6375" s="508">
        <v>5.0000000000000001E-3</v>
      </c>
      <c r="AC6375" s="508">
        <v>5.0000000000000001E-3</v>
      </c>
      <c r="AD6375" s="508">
        <v>5.0000000000000001E-3</v>
      </c>
      <c r="AE6375" s="508">
        <v>5.0000000000000001E-3</v>
      </c>
      <c r="AF6375" s="508">
        <v>5.0000000000000001E-3</v>
      </c>
      <c r="AG6375" s="508">
        <v>5.0000000000000001E-3</v>
      </c>
      <c r="AH6375" s="508">
        <v>5.0000000000000001E-3</v>
      </c>
      <c r="AI6375" s="492">
        <v>5.0000000000000001E-3</v>
      </c>
      <c r="AJ6375" s="485"/>
    </row>
    <row r="6376" spans="2:36">
      <c r="B6376" s="136" t="s">
        <v>465</v>
      </c>
      <c r="C6376" s="132" t="s">
        <v>1365</v>
      </c>
      <c r="D6376" s="132" t="s">
        <v>1380</v>
      </c>
      <c r="E6376" s="508">
        <v>5.0000000000000001E-3</v>
      </c>
      <c r="F6376" s="508">
        <v>5.0000000000000001E-3</v>
      </c>
      <c r="G6376" s="508">
        <v>5.0000000000000001E-3</v>
      </c>
      <c r="H6376" s="508">
        <v>5.0000000000000001E-3</v>
      </c>
      <c r="I6376" s="508">
        <v>5.0000000000000001E-3</v>
      </c>
      <c r="J6376" s="508">
        <v>5.0000000000000001E-3</v>
      </c>
      <c r="K6376" s="508">
        <v>5.0000000000000001E-3</v>
      </c>
      <c r="L6376" s="508">
        <v>5.0000000000000001E-3</v>
      </c>
      <c r="M6376" s="508">
        <v>5.0000000000000001E-3</v>
      </c>
      <c r="N6376" s="508">
        <v>5.0000000000000001E-3</v>
      </c>
      <c r="O6376" s="508">
        <v>5.0000000000000001E-3</v>
      </c>
      <c r="P6376" s="508">
        <v>5.0000000000000001E-3</v>
      </c>
      <c r="Q6376" s="508">
        <v>5.0000000000000001E-3</v>
      </c>
      <c r="R6376" s="508">
        <v>5.0000000000000001E-3</v>
      </c>
      <c r="S6376" s="508">
        <v>5.0000000000000001E-3</v>
      </c>
      <c r="T6376" s="508">
        <v>5.0000000000000001E-3</v>
      </c>
      <c r="U6376" s="508">
        <v>5.0000000000000001E-3</v>
      </c>
      <c r="V6376" s="508">
        <v>5.0000000000000001E-3</v>
      </c>
      <c r="W6376" s="508">
        <v>5.0000000000000001E-3</v>
      </c>
      <c r="X6376" s="508">
        <v>5.0000000000000001E-3</v>
      </c>
      <c r="Y6376" s="508">
        <v>5.0000000000000001E-3</v>
      </c>
      <c r="Z6376" s="508">
        <v>5.0000000000000001E-3</v>
      </c>
      <c r="AA6376" s="508">
        <v>5.0000000000000001E-3</v>
      </c>
      <c r="AB6376" s="508">
        <v>5.0000000000000001E-3</v>
      </c>
      <c r="AC6376" s="508">
        <v>5.0000000000000001E-3</v>
      </c>
      <c r="AD6376" s="508">
        <v>5.0000000000000001E-3</v>
      </c>
      <c r="AE6376" s="508">
        <v>5.0000000000000001E-3</v>
      </c>
      <c r="AF6376" s="508">
        <v>5.0000000000000001E-3</v>
      </c>
      <c r="AG6376" s="508">
        <v>5.0000000000000001E-3</v>
      </c>
      <c r="AH6376" s="508">
        <v>5.0000000000000001E-3</v>
      </c>
      <c r="AI6376" s="492">
        <v>5.0000000000000001E-3</v>
      </c>
      <c r="AJ6376" s="485"/>
    </row>
    <row r="6377" spans="2:36">
      <c r="B6377" s="136" t="s">
        <v>466</v>
      </c>
      <c r="C6377" s="132" t="s">
        <v>1365</v>
      </c>
      <c r="D6377" s="132" t="s">
        <v>1380</v>
      </c>
      <c r="E6377" s="508">
        <v>6.0000000000000001E-3</v>
      </c>
      <c r="F6377" s="508">
        <v>6.0000000000000001E-3</v>
      </c>
      <c r="G6377" s="508">
        <v>6.0000000000000001E-3</v>
      </c>
      <c r="H6377" s="508">
        <v>6.0000000000000001E-3</v>
      </c>
      <c r="I6377" s="508">
        <v>6.0000000000000001E-3</v>
      </c>
      <c r="J6377" s="508">
        <v>6.0000000000000001E-3</v>
      </c>
      <c r="K6377" s="508">
        <v>6.0000000000000001E-3</v>
      </c>
      <c r="L6377" s="508">
        <v>6.0000000000000001E-3</v>
      </c>
      <c r="M6377" s="508">
        <v>6.0000000000000001E-3</v>
      </c>
      <c r="N6377" s="508">
        <v>6.0000000000000001E-3</v>
      </c>
      <c r="O6377" s="508">
        <v>6.0000000000000001E-3</v>
      </c>
      <c r="P6377" s="508">
        <v>6.0000000000000001E-3</v>
      </c>
      <c r="Q6377" s="508">
        <v>6.0000000000000001E-3</v>
      </c>
      <c r="R6377" s="508">
        <v>6.0000000000000001E-3</v>
      </c>
      <c r="S6377" s="508">
        <v>6.0000000000000001E-3</v>
      </c>
      <c r="T6377" s="508">
        <v>6.0000000000000001E-3</v>
      </c>
      <c r="U6377" s="508">
        <v>6.0000000000000001E-3</v>
      </c>
      <c r="V6377" s="508">
        <v>6.0000000000000001E-3</v>
      </c>
      <c r="W6377" s="508">
        <v>6.0000000000000001E-3</v>
      </c>
      <c r="X6377" s="508">
        <v>6.0000000000000001E-3</v>
      </c>
      <c r="Y6377" s="508">
        <v>6.0000000000000001E-3</v>
      </c>
      <c r="Z6377" s="508">
        <v>6.0000000000000001E-3</v>
      </c>
      <c r="AA6377" s="508">
        <v>6.0000000000000001E-3</v>
      </c>
      <c r="AB6377" s="508">
        <v>6.0000000000000001E-3</v>
      </c>
      <c r="AC6377" s="508">
        <v>6.0000000000000001E-3</v>
      </c>
      <c r="AD6377" s="508">
        <v>6.0000000000000001E-3</v>
      </c>
      <c r="AE6377" s="508">
        <v>6.0000000000000001E-3</v>
      </c>
      <c r="AF6377" s="508">
        <v>6.0000000000000001E-3</v>
      </c>
      <c r="AG6377" s="508">
        <v>6.0000000000000001E-3</v>
      </c>
      <c r="AH6377" s="508">
        <v>6.0000000000000001E-3</v>
      </c>
      <c r="AI6377" s="492">
        <v>6.0000000000000001E-3</v>
      </c>
      <c r="AJ6377" s="485"/>
    </row>
    <row r="6378" spans="2:36">
      <c r="B6378" s="136" t="s">
        <v>467</v>
      </c>
      <c r="C6378" s="132" t="s">
        <v>1365</v>
      </c>
      <c r="D6378" s="132" t="s">
        <v>1380</v>
      </c>
      <c r="E6378" s="508">
        <v>5.0000000000000001E-3</v>
      </c>
      <c r="F6378" s="508">
        <v>5.0000000000000001E-3</v>
      </c>
      <c r="G6378" s="508">
        <v>5.0000000000000001E-3</v>
      </c>
      <c r="H6378" s="508">
        <v>5.0000000000000001E-3</v>
      </c>
      <c r="I6378" s="508">
        <v>5.0000000000000001E-3</v>
      </c>
      <c r="J6378" s="508">
        <v>5.0000000000000001E-3</v>
      </c>
      <c r="K6378" s="508">
        <v>5.0000000000000001E-3</v>
      </c>
      <c r="L6378" s="508">
        <v>5.0000000000000001E-3</v>
      </c>
      <c r="M6378" s="508">
        <v>5.0000000000000001E-3</v>
      </c>
      <c r="N6378" s="508">
        <v>5.0000000000000001E-3</v>
      </c>
      <c r="O6378" s="508">
        <v>5.0000000000000001E-3</v>
      </c>
      <c r="P6378" s="508">
        <v>5.0000000000000001E-3</v>
      </c>
      <c r="Q6378" s="508">
        <v>5.0000000000000001E-3</v>
      </c>
      <c r="R6378" s="508">
        <v>5.0000000000000001E-3</v>
      </c>
      <c r="S6378" s="508">
        <v>5.0000000000000001E-3</v>
      </c>
      <c r="T6378" s="508">
        <v>5.0000000000000001E-3</v>
      </c>
      <c r="U6378" s="508">
        <v>5.0000000000000001E-3</v>
      </c>
      <c r="V6378" s="508">
        <v>5.0000000000000001E-3</v>
      </c>
      <c r="W6378" s="508">
        <v>5.0000000000000001E-3</v>
      </c>
      <c r="X6378" s="508">
        <v>5.0000000000000001E-3</v>
      </c>
      <c r="Y6378" s="508">
        <v>5.0000000000000001E-3</v>
      </c>
      <c r="Z6378" s="508">
        <v>5.0000000000000001E-3</v>
      </c>
      <c r="AA6378" s="508">
        <v>5.0000000000000001E-3</v>
      </c>
      <c r="AB6378" s="508">
        <v>5.0000000000000001E-3</v>
      </c>
      <c r="AC6378" s="508">
        <v>5.0000000000000001E-3</v>
      </c>
      <c r="AD6378" s="508">
        <v>5.0000000000000001E-3</v>
      </c>
      <c r="AE6378" s="508">
        <v>5.0000000000000001E-3</v>
      </c>
      <c r="AF6378" s="508">
        <v>5.0000000000000001E-3</v>
      </c>
      <c r="AG6378" s="508">
        <v>5.0000000000000001E-3</v>
      </c>
      <c r="AH6378" s="508">
        <v>5.0000000000000001E-3</v>
      </c>
      <c r="AI6378" s="492">
        <v>5.0000000000000001E-3</v>
      </c>
      <c r="AJ6378" s="485"/>
    </row>
    <row r="6379" spans="2:36">
      <c r="B6379" s="136" t="s">
        <v>468</v>
      </c>
      <c r="C6379" s="132" t="s">
        <v>1365</v>
      </c>
      <c r="D6379" s="132" t="s">
        <v>1380</v>
      </c>
      <c r="E6379" s="508">
        <v>5.0000000000000001E-3</v>
      </c>
      <c r="F6379" s="508">
        <v>5.0000000000000001E-3</v>
      </c>
      <c r="G6379" s="508">
        <v>5.0000000000000001E-3</v>
      </c>
      <c r="H6379" s="508">
        <v>5.0000000000000001E-3</v>
      </c>
      <c r="I6379" s="508">
        <v>5.0000000000000001E-3</v>
      </c>
      <c r="J6379" s="508">
        <v>5.0000000000000001E-3</v>
      </c>
      <c r="K6379" s="508">
        <v>5.0000000000000001E-3</v>
      </c>
      <c r="L6379" s="508">
        <v>5.0000000000000001E-3</v>
      </c>
      <c r="M6379" s="508">
        <v>5.0000000000000001E-3</v>
      </c>
      <c r="N6379" s="508">
        <v>5.0000000000000001E-3</v>
      </c>
      <c r="O6379" s="508">
        <v>5.0000000000000001E-3</v>
      </c>
      <c r="P6379" s="508">
        <v>5.0000000000000001E-3</v>
      </c>
      <c r="Q6379" s="508">
        <v>5.0000000000000001E-3</v>
      </c>
      <c r="R6379" s="508">
        <v>5.0000000000000001E-3</v>
      </c>
      <c r="S6379" s="508">
        <v>5.0000000000000001E-3</v>
      </c>
      <c r="T6379" s="508">
        <v>5.0000000000000001E-3</v>
      </c>
      <c r="U6379" s="508">
        <v>5.0000000000000001E-3</v>
      </c>
      <c r="V6379" s="508">
        <v>5.0000000000000001E-3</v>
      </c>
      <c r="W6379" s="508">
        <v>5.0000000000000001E-3</v>
      </c>
      <c r="X6379" s="508">
        <v>5.0000000000000001E-3</v>
      </c>
      <c r="Y6379" s="508">
        <v>5.0000000000000001E-3</v>
      </c>
      <c r="Z6379" s="508">
        <v>5.0000000000000001E-3</v>
      </c>
      <c r="AA6379" s="508">
        <v>5.0000000000000001E-3</v>
      </c>
      <c r="AB6379" s="508">
        <v>5.0000000000000001E-3</v>
      </c>
      <c r="AC6379" s="508">
        <v>5.0000000000000001E-3</v>
      </c>
      <c r="AD6379" s="508">
        <v>5.0000000000000001E-3</v>
      </c>
      <c r="AE6379" s="508">
        <v>5.0000000000000001E-3</v>
      </c>
      <c r="AF6379" s="508">
        <v>5.0000000000000001E-3</v>
      </c>
      <c r="AG6379" s="508">
        <v>5.0000000000000001E-3</v>
      </c>
      <c r="AH6379" s="508">
        <v>5.0000000000000001E-3</v>
      </c>
      <c r="AI6379" s="492">
        <v>5.0000000000000001E-3</v>
      </c>
      <c r="AJ6379" s="485"/>
    </row>
    <row r="6380" spans="2:36">
      <c r="B6380" s="136" t="s">
        <v>469</v>
      </c>
      <c r="C6380" s="132" t="s">
        <v>1365</v>
      </c>
      <c r="D6380" s="132" t="s">
        <v>1380</v>
      </c>
      <c r="E6380" s="508">
        <v>5.0000000000000001E-3</v>
      </c>
      <c r="F6380" s="508">
        <v>5.0000000000000001E-3</v>
      </c>
      <c r="G6380" s="508">
        <v>5.0000000000000001E-3</v>
      </c>
      <c r="H6380" s="508">
        <v>5.0000000000000001E-3</v>
      </c>
      <c r="I6380" s="508">
        <v>5.0000000000000001E-3</v>
      </c>
      <c r="J6380" s="508">
        <v>5.0000000000000001E-3</v>
      </c>
      <c r="K6380" s="508">
        <v>5.0000000000000001E-3</v>
      </c>
      <c r="L6380" s="508">
        <v>5.0000000000000001E-3</v>
      </c>
      <c r="M6380" s="508">
        <v>5.0000000000000001E-3</v>
      </c>
      <c r="N6380" s="508">
        <v>5.0000000000000001E-3</v>
      </c>
      <c r="O6380" s="508">
        <v>5.0000000000000001E-3</v>
      </c>
      <c r="P6380" s="508">
        <v>5.0000000000000001E-3</v>
      </c>
      <c r="Q6380" s="508">
        <v>5.0000000000000001E-3</v>
      </c>
      <c r="R6380" s="508">
        <v>5.0000000000000001E-3</v>
      </c>
      <c r="S6380" s="508">
        <v>5.0000000000000001E-3</v>
      </c>
      <c r="T6380" s="508">
        <v>5.0000000000000001E-3</v>
      </c>
      <c r="U6380" s="508">
        <v>5.0000000000000001E-3</v>
      </c>
      <c r="V6380" s="508">
        <v>5.0000000000000001E-3</v>
      </c>
      <c r="W6380" s="508">
        <v>5.0000000000000001E-3</v>
      </c>
      <c r="X6380" s="508">
        <v>5.0000000000000001E-3</v>
      </c>
      <c r="Y6380" s="508">
        <v>5.0000000000000001E-3</v>
      </c>
      <c r="Z6380" s="508">
        <v>5.0000000000000001E-3</v>
      </c>
      <c r="AA6380" s="508">
        <v>5.0000000000000001E-3</v>
      </c>
      <c r="AB6380" s="508">
        <v>5.0000000000000001E-3</v>
      </c>
      <c r="AC6380" s="508">
        <v>5.0000000000000001E-3</v>
      </c>
      <c r="AD6380" s="508">
        <v>5.0000000000000001E-3</v>
      </c>
      <c r="AE6380" s="508">
        <v>5.0000000000000001E-3</v>
      </c>
      <c r="AF6380" s="508">
        <v>5.0000000000000001E-3</v>
      </c>
      <c r="AG6380" s="508">
        <v>5.0000000000000001E-3</v>
      </c>
      <c r="AH6380" s="508">
        <v>5.0000000000000001E-3</v>
      </c>
      <c r="AI6380" s="492">
        <v>5.0000000000000001E-3</v>
      </c>
      <c r="AJ6380" s="485"/>
    </row>
    <row r="6381" spans="2:36">
      <c r="B6381" s="136" t="s">
        <v>470</v>
      </c>
      <c r="C6381" s="132" t="s">
        <v>1365</v>
      </c>
      <c r="D6381" s="132" t="s">
        <v>1380</v>
      </c>
      <c r="E6381" s="508">
        <v>6.0000000000000001E-3</v>
      </c>
      <c r="F6381" s="508">
        <v>6.0000000000000001E-3</v>
      </c>
      <c r="G6381" s="508">
        <v>6.0000000000000001E-3</v>
      </c>
      <c r="H6381" s="508">
        <v>6.0000000000000001E-3</v>
      </c>
      <c r="I6381" s="508">
        <v>6.0000000000000001E-3</v>
      </c>
      <c r="J6381" s="508">
        <v>6.0000000000000001E-3</v>
      </c>
      <c r="K6381" s="508">
        <v>6.0000000000000001E-3</v>
      </c>
      <c r="L6381" s="508">
        <v>6.0000000000000001E-3</v>
      </c>
      <c r="M6381" s="508">
        <v>6.0000000000000001E-3</v>
      </c>
      <c r="N6381" s="508">
        <v>6.0000000000000001E-3</v>
      </c>
      <c r="O6381" s="508">
        <v>6.0000000000000001E-3</v>
      </c>
      <c r="P6381" s="508">
        <v>6.0000000000000001E-3</v>
      </c>
      <c r="Q6381" s="508">
        <v>6.0000000000000001E-3</v>
      </c>
      <c r="R6381" s="508">
        <v>6.0000000000000001E-3</v>
      </c>
      <c r="S6381" s="508">
        <v>6.0000000000000001E-3</v>
      </c>
      <c r="T6381" s="508">
        <v>6.0000000000000001E-3</v>
      </c>
      <c r="U6381" s="508">
        <v>6.0000000000000001E-3</v>
      </c>
      <c r="V6381" s="508">
        <v>6.0000000000000001E-3</v>
      </c>
      <c r="W6381" s="508">
        <v>6.0000000000000001E-3</v>
      </c>
      <c r="X6381" s="508">
        <v>6.0000000000000001E-3</v>
      </c>
      <c r="Y6381" s="508">
        <v>6.0000000000000001E-3</v>
      </c>
      <c r="Z6381" s="508">
        <v>6.0000000000000001E-3</v>
      </c>
      <c r="AA6381" s="508">
        <v>6.0000000000000001E-3</v>
      </c>
      <c r="AB6381" s="508">
        <v>6.0000000000000001E-3</v>
      </c>
      <c r="AC6381" s="508">
        <v>6.0000000000000001E-3</v>
      </c>
      <c r="AD6381" s="508">
        <v>6.0000000000000001E-3</v>
      </c>
      <c r="AE6381" s="508">
        <v>6.0000000000000001E-3</v>
      </c>
      <c r="AF6381" s="508">
        <v>6.0000000000000001E-3</v>
      </c>
      <c r="AG6381" s="508">
        <v>6.0000000000000001E-3</v>
      </c>
      <c r="AH6381" s="508">
        <v>6.0000000000000001E-3</v>
      </c>
      <c r="AI6381" s="492">
        <v>6.0000000000000001E-3</v>
      </c>
      <c r="AJ6381" s="485"/>
    </row>
    <row r="6382" spans="2:36">
      <c r="B6382" s="136" t="s">
        <v>471</v>
      </c>
      <c r="C6382" s="132" t="s">
        <v>1365</v>
      </c>
      <c r="D6382" s="132" t="s">
        <v>1380</v>
      </c>
      <c r="E6382" s="508">
        <v>6.0000000000000001E-3</v>
      </c>
      <c r="F6382" s="508">
        <v>6.0000000000000001E-3</v>
      </c>
      <c r="G6382" s="508">
        <v>6.0000000000000001E-3</v>
      </c>
      <c r="H6382" s="508">
        <v>6.0000000000000001E-3</v>
      </c>
      <c r="I6382" s="508">
        <v>6.0000000000000001E-3</v>
      </c>
      <c r="J6382" s="508">
        <v>6.0000000000000001E-3</v>
      </c>
      <c r="K6382" s="508">
        <v>6.0000000000000001E-3</v>
      </c>
      <c r="L6382" s="508">
        <v>6.0000000000000001E-3</v>
      </c>
      <c r="M6382" s="508">
        <v>6.0000000000000001E-3</v>
      </c>
      <c r="N6382" s="508">
        <v>6.0000000000000001E-3</v>
      </c>
      <c r="O6382" s="508">
        <v>6.0000000000000001E-3</v>
      </c>
      <c r="P6382" s="508">
        <v>6.0000000000000001E-3</v>
      </c>
      <c r="Q6382" s="508">
        <v>6.0000000000000001E-3</v>
      </c>
      <c r="R6382" s="508">
        <v>6.0000000000000001E-3</v>
      </c>
      <c r="S6382" s="508">
        <v>6.0000000000000001E-3</v>
      </c>
      <c r="T6382" s="508">
        <v>6.0000000000000001E-3</v>
      </c>
      <c r="U6382" s="508">
        <v>6.0000000000000001E-3</v>
      </c>
      <c r="V6382" s="508">
        <v>6.0000000000000001E-3</v>
      </c>
      <c r="W6382" s="508">
        <v>6.0000000000000001E-3</v>
      </c>
      <c r="X6382" s="508">
        <v>6.0000000000000001E-3</v>
      </c>
      <c r="Y6382" s="508">
        <v>6.0000000000000001E-3</v>
      </c>
      <c r="Z6382" s="508">
        <v>6.0000000000000001E-3</v>
      </c>
      <c r="AA6382" s="508">
        <v>6.0000000000000001E-3</v>
      </c>
      <c r="AB6382" s="508">
        <v>6.0000000000000001E-3</v>
      </c>
      <c r="AC6382" s="508">
        <v>6.0000000000000001E-3</v>
      </c>
      <c r="AD6382" s="508">
        <v>6.0000000000000001E-3</v>
      </c>
      <c r="AE6382" s="508">
        <v>6.0000000000000001E-3</v>
      </c>
      <c r="AF6382" s="508">
        <v>6.0000000000000001E-3</v>
      </c>
      <c r="AG6382" s="508">
        <v>6.0000000000000001E-3</v>
      </c>
      <c r="AH6382" s="508">
        <v>6.0000000000000001E-3</v>
      </c>
      <c r="AI6382" s="492">
        <v>6.0000000000000001E-3</v>
      </c>
      <c r="AJ6382" s="485"/>
    </row>
    <row r="6383" spans="2:36">
      <c r="B6383" s="136" t="s">
        <v>472</v>
      </c>
      <c r="C6383" s="132" t="s">
        <v>1365</v>
      </c>
      <c r="D6383" s="132" t="s">
        <v>1380</v>
      </c>
      <c r="E6383" s="508">
        <v>5.0000000000000001E-3</v>
      </c>
      <c r="F6383" s="508">
        <v>5.0000000000000001E-3</v>
      </c>
      <c r="G6383" s="508">
        <v>5.0000000000000001E-3</v>
      </c>
      <c r="H6383" s="508">
        <v>5.0000000000000001E-3</v>
      </c>
      <c r="I6383" s="508">
        <v>5.0000000000000001E-3</v>
      </c>
      <c r="J6383" s="508">
        <v>5.0000000000000001E-3</v>
      </c>
      <c r="K6383" s="508">
        <v>5.0000000000000001E-3</v>
      </c>
      <c r="L6383" s="508">
        <v>5.0000000000000001E-3</v>
      </c>
      <c r="M6383" s="508">
        <v>5.0000000000000001E-3</v>
      </c>
      <c r="N6383" s="508">
        <v>5.0000000000000001E-3</v>
      </c>
      <c r="O6383" s="508">
        <v>5.0000000000000001E-3</v>
      </c>
      <c r="P6383" s="508">
        <v>5.0000000000000001E-3</v>
      </c>
      <c r="Q6383" s="508">
        <v>5.0000000000000001E-3</v>
      </c>
      <c r="R6383" s="508">
        <v>5.0000000000000001E-3</v>
      </c>
      <c r="S6383" s="508">
        <v>5.0000000000000001E-3</v>
      </c>
      <c r="T6383" s="508">
        <v>5.0000000000000001E-3</v>
      </c>
      <c r="U6383" s="508">
        <v>5.0000000000000001E-3</v>
      </c>
      <c r="V6383" s="508">
        <v>5.0000000000000001E-3</v>
      </c>
      <c r="W6383" s="508">
        <v>5.0000000000000001E-3</v>
      </c>
      <c r="X6383" s="508">
        <v>5.0000000000000001E-3</v>
      </c>
      <c r="Y6383" s="508">
        <v>5.0000000000000001E-3</v>
      </c>
      <c r="Z6383" s="508">
        <v>5.0000000000000001E-3</v>
      </c>
      <c r="AA6383" s="508">
        <v>5.0000000000000001E-3</v>
      </c>
      <c r="AB6383" s="508">
        <v>5.0000000000000001E-3</v>
      </c>
      <c r="AC6383" s="508">
        <v>5.0000000000000001E-3</v>
      </c>
      <c r="AD6383" s="508">
        <v>5.0000000000000001E-3</v>
      </c>
      <c r="AE6383" s="508">
        <v>5.0000000000000001E-3</v>
      </c>
      <c r="AF6383" s="508">
        <v>5.0000000000000001E-3</v>
      </c>
      <c r="AG6383" s="508">
        <v>5.0000000000000001E-3</v>
      </c>
      <c r="AH6383" s="508">
        <v>5.0000000000000001E-3</v>
      </c>
      <c r="AI6383" s="492">
        <v>5.0000000000000001E-3</v>
      </c>
      <c r="AJ6383" s="485"/>
    </row>
    <row r="6384" spans="2:36">
      <c r="B6384" s="136" t="s">
        <v>473</v>
      </c>
      <c r="C6384" s="132" t="s">
        <v>1365</v>
      </c>
      <c r="D6384" s="132" t="s">
        <v>1380</v>
      </c>
      <c r="E6384" s="508">
        <v>6.0000000000000001E-3</v>
      </c>
      <c r="F6384" s="508">
        <v>6.0000000000000001E-3</v>
      </c>
      <c r="G6384" s="508">
        <v>6.0000000000000001E-3</v>
      </c>
      <c r="H6384" s="508">
        <v>6.0000000000000001E-3</v>
      </c>
      <c r="I6384" s="508">
        <v>6.0000000000000001E-3</v>
      </c>
      <c r="J6384" s="508">
        <v>6.0000000000000001E-3</v>
      </c>
      <c r="K6384" s="508">
        <v>6.0000000000000001E-3</v>
      </c>
      <c r="L6384" s="508">
        <v>6.0000000000000001E-3</v>
      </c>
      <c r="M6384" s="508">
        <v>6.0000000000000001E-3</v>
      </c>
      <c r="N6384" s="508">
        <v>6.0000000000000001E-3</v>
      </c>
      <c r="O6384" s="508">
        <v>6.0000000000000001E-3</v>
      </c>
      <c r="P6384" s="508">
        <v>6.0000000000000001E-3</v>
      </c>
      <c r="Q6384" s="508">
        <v>6.0000000000000001E-3</v>
      </c>
      <c r="R6384" s="508">
        <v>6.0000000000000001E-3</v>
      </c>
      <c r="S6384" s="508">
        <v>6.0000000000000001E-3</v>
      </c>
      <c r="T6384" s="508">
        <v>6.0000000000000001E-3</v>
      </c>
      <c r="U6384" s="508">
        <v>6.0000000000000001E-3</v>
      </c>
      <c r="V6384" s="508">
        <v>6.0000000000000001E-3</v>
      </c>
      <c r="W6384" s="508">
        <v>6.0000000000000001E-3</v>
      </c>
      <c r="X6384" s="508">
        <v>6.0000000000000001E-3</v>
      </c>
      <c r="Y6384" s="508">
        <v>6.0000000000000001E-3</v>
      </c>
      <c r="Z6384" s="508">
        <v>6.0000000000000001E-3</v>
      </c>
      <c r="AA6384" s="508">
        <v>6.0000000000000001E-3</v>
      </c>
      <c r="AB6384" s="508">
        <v>6.0000000000000001E-3</v>
      </c>
      <c r="AC6384" s="508">
        <v>6.0000000000000001E-3</v>
      </c>
      <c r="AD6384" s="508">
        <v>6.0000000000000001E-3</v>
      </c>
      <c r="AE6384" s="508">
        <v>6.0000000000000001E-3</v>
      </c>
      <c r="AF6384" s="508">
        <v>6.0000000000000001E-3</v>
      </c>
      <c r="AG6384" s="508">
        <v>6.0000000000000001E-3</v>
      </c>
      <c r="AH6384" s="508">
        <v>6.0000000000000001E-3</v>
      </c>
      <c r="AI6384" s="492">
        <v>6.0000000000000001E-3</v>
      </c>
      <c r="AJ6384" s="485"/>
    </row>
    <row r="6385" spans="2:36">
      <c r="B6385" s="136" t="s">
        <v>474</v>
      </c>
      <c r="C6385" s="132" t="s">
        <v>1365</v>
      </c>
      <c r="D6385" s="132" t="s">
        <v>1380</v>
      </c>
      <c r="E6385" s="508">
        <v>6.0000000000000001E-3</v>
      </c>
      <c r="F6385" s="508">
        <v>6.0000000000000001E-3</v>
      </c>
      <c r="G6385" s="508">
        <v>6.0000000000000001E-3</v>
      </c>
      <c r="H6385" s="508">
        <v>6.0000000000000001E-3</v>
      </c>
      <c r="I6385" s="508">
        <v>6.0000000000000001E-3</v>
      </c>
      <c r="J6385" s="508">
        <v>6.0000000000000001E-3</v>
      </c>
      <c r="K6385" s="508">
        <v>6.0000000000000001E-3</v>
      </c>
      <c r="L6385" s="508">
        <v>6.0000000000000001E-3</v>
      </c>
      <c r="M6385" s="508">
        <v>5.0000000000000001E-3</v>
      </c>
      <c r="N6385" s="508">
        <v>6.0000000000000001E-3</v>
      </c>
      <c r="O6385" s="508">
        <v>6.0000000000000001E-3</v>
      </c>
      <c r="P6385" s="508">
        <v>6.0000000000000001E-3</v>
      </c>
      <c r="Q6385" s="508">
        <v>6.0000000000000001E-3</v>
      </c>
      <c r="R6385" s="508">
        <v>5.0000000000000001E-3</v>
      </c>
      <c r="S6385" s="508">
        <v>6.0000000000000001E-3</v>
      </c>
      <c r="T6385" s="508">
        <v>6.0000000000000001E-3</v>
      </c>
      <c r="U6385" s="508">
        <v>6.0000000000000001E-3</v>
      </c>
      <c r="V6385" s="508">
        <v>6.0000000000000001E-3</v>
      </c>
      <c r="W6385" s="508">
        <v>6.0000000000000001E-3</v>
      </c>
      <c r="X6385" s="508">
        <v>6.0000000000000001E-3</v>
      </c>
      <c r="Y6385" s="508">
        <v>6.0000000000000001E-3</v>
      </c>
      <c r="Z6385" s="508">
        <v>6.0000000000000001E-3</v>
      </c>
      <c r="AA6385" s="508">
        <v>6.0000000000000001E-3</v>
      </c>
      <c r="AB6385" s="508">
        <v>6.0000000000000001E-3</v>
      </c>
      <c r="AC6385" s="508">
        <v>6.0000000000000001E-3</v>
      </c>
      <c r="AD6385" s="508">
        <v>5.0000000000000001E-3</v>
      </c>
      <c r="AE6385" s="508">
        <v>6.0000000000000001E-3</v>
      </c>
      <c r="AF6385" s="508">
        <v>6.0000000000000001E-3</v>
      </c>
      <c r="AG6385" s="508">
        <v>6.0000000000000001E-3</v>
      </c>
      <c r="AH6385" s="508">
        <v>6.0000000000000001E-3</v>
      </c>
      <c r="AI6385" s="492">
        <v>6.0000000000000001E-3</v>
      </c>
      <c r="AJ6385" s="485"/>
    </row>
    <row r="6386" spans="2:36">
      <c r="B6386" s="136" t="s">
        <v>475</v>
      </c>
      <c r="C6386" s="132" t="s">
        <v>1365</v>
      </c>
      <c r="D6386" s="132" t="s">
        <v>1380</v>
      </c>
      <c r="E6386" s="508">
        <v>5.0000000000000001E-3</v>
      </c>
      <c r="F6386" s="508">
        <v>5.0000000000000001E-3</v>
      </c>
      <c r="G6386" s="508">
        <v>5.0000000000000001E-3</v>
      </c>
      <c r="H6386" s="508">
        <v>5.0000000000000001E-3</v>
      </c>
      <c r="I6386" s="508">
        <v>5.0000000000000001E-3</v>
      </c>
      <c r="J6386" s="508">
        <v>5.0000000000000001E-3</v>
      </c>
      <c r="K6386" s="508">
        <v>5.0000000000000001E-3</v>
      </c>
      <c r="L6386" s="508">
        <v>5.0000000000000001E-3</v>
      </c>
      <c r="M6386" s="508">
        <v>5.0000000000000001E-3</v>
      </c>
      <c r="N6386" s="508">
        <v>5.0000000000000001E-3</v>
      </c>
      <c r="O6386" s="508">
        <v>5.0000000000000001E-3</v>
      </c>
      <c r="P6386" s="508">
        <v>5.0000000000000001E-3</v>
      </c>
      <c r="Q6386" s="508">
        <v>5.0000000000000001E-3</v>
      </c>
      <c r="R6386" s="508">
        <v>5.0000000000000001E-3</v>
      </c>
      <c r="S6386" s="508">
        <v>5.0000000000000001E-3</v>
      </c>
      <c r="T6386" s="508">
        <v>5.0000000000000001E-3</v>
      </c>
      <c r="U6386" s="508">
        <v>5.0000000000000001E-3</v>
      </c>
      <c r="V6386" s="508">
        <v>5.0000000000000001E-3</v>
      </c>
      <c r="W6386" s="508">
        <v>5.0000000000000001E-3</v>
      </c>
      <c r="X6386" s="508">
        <v>5.0000000000000001E-3</v>
      </c>
      <c r="Y6386" s="508">
        <v>5.0000000000000001E-3</v>
      </c>
      <c r="Z6386" s="508">
        <v>5.0000000000000001E-3</v>
      </c>
      <c r="AA6386" s="508">
        <v>5.0000000000000001E-3</v>
      </c>
      <c r="AB6386" s="508">
        <v>5.0000000000000001E-3</v>
      </c>
      <c r="AC6386" s="508">
        <v>5.0000000000000001E-3</v>
      </c>
      <c r="AD6386" s="508">
        <v>5.0000000000000001E-3</v>
      </c>
      <c r="AE6386" s="508">
        <v>5.0000000000000001E-3</v>
      </c>
      <c r="AF6386" s="508">
        <v>5.0000000000000001E-3</v>
      </c>
      <c r="AG6386" s="508">
        <v>5.0000000000000001E-3</v>
      </c>
      <c r="AH6386" s="508">
        <v>5.0000000000000001E-3</v>
      </c>
      <c r="AI6386" s="492">
        <v>5.0000000000000001E-3</v>
      </c>
      <c r="AJ6386" s="485"/>
    </row>
    <row r="6387" spans="2:36">
      <c r="B6387" s="136" t="s">
        <v>476</v>
      </c>
      <c r="C6387" s="132" t="s">
        <v>1365</v>
      </c>
      <c r="D6387" s="132" t="s">
        <v>1380</v>
      </c>
      <c r="E6387" s="508">
        <v>6.0000000000000001E-3</v>
      </c>
      <c r="F6387" s="508">
        <v>6.0000000000000001E-3</v>
      </c>
      <c r="G6387" s="508">
        <v>6.0000000000000001E-3</v>
      </c>
      <c r="H6387" s="508">
        <v>6.0000000000000001E-3</v>
      </c>
      <c r="I6387" s="508">
        <v>6.0000000000000001E-3</v>
      </c>
      <c r="J6387" s="508">
        <v>6.0000000000000001E-3</v>
      </c>
      <c r="K6387" s="508">
        <v>6.0000000000000001E-3</v>
      </c>
      <c r="L6387" s="508">
        <v>6.0000000000000001E-3</v>
      </c>
      <c r="M6387" s="508">
        <v>6.0000000000000001E-3</v>
      </c>
      <c r="N6387" s="508">
        <v>6.0000000000000001E-3</v>
      </c>
      <c r="O6387" s="508">
        <v>6.0000000000000001E-3</v>
      </c>
      <c r="P6387" s="508">
        <v>6.0000000000000001E-3</v>
      </c>
      <c r="Q6387" s="508">
        <v>6.0000000000000001E-3</v>
      </c>
      <c r="R6387" s="508">
        <v>6.0000000000000001E-3</v>
      </c>
      <c r="S6387" s="508">
        <v>6.0000000000000001E-3</v>
      </c>
      <c r="T6387" s="508">
        <v>6.0000000000000001E-3</v>
      </c>
      <c r="U6387" s="508">
        <v>6.0000000000000001E-3</v>
      </c>
      <c r="V6387" s="508">
        <v>6.0000000000000001E-3</v>
      </c>
      <c r="W6387" s="508">
        <v>6.0000000000000001E-3</v>
      </c>
      <c r="X6387" s="508">
        <v>6.0000000000000001E-3</v>
      </c>
      <c r="Y6387" s="508">
        <v>6.0000000000000001E-3</v>
      </c>
      <c r="Z6387" s="508">
        <v>6.0000000000000001E-3</v>
      </c>
      <c r="AA6387" s="508">
        <v>6.0000000000000001E-3</v>
      </c>
      <c r="AB6387" s="508">
        <v>6.0000000000000001E-3</v>
      </c>
      <c r="AC6387" s="508">
        <v>6.0000000000000001E-3</v>
      </c>
      <c r="AD6387" s="508">
        <v>6.0000000000000001E-3</v>
      </c>
      <c r="AE6387" s="508">
        <v>6.0000000000000001E-3</v>
      </c>
      <c r="AF6387" s="508">
        <v>6.0000000000000001E-3</v>
      </c>
      <c r="AG6387" s="508">
        <v>6.0000000000000001E-3</v>
      </c>
      <c r="AH6387" s="508">
        <v>6.0000000000000001E-3</v>
      </c>
      <c r="AI6387" s="492">
        <v>6.0000000000000001E-3</v>
      </c>
      <c r="AJ6387" s="485"/>
    </row>
    <row r="6388" spans="2:36">
      <c r="B6388" s="136" t="s">
        <v>478</v>
      </c>
      <c r="C6388" s="132" t="s">
        <v>1365</v>
      </c>
      <c r="D6388" s="132" t="s">
        <v>1380</v>
      </c>
      <c r="E6388" s="508">
        <v>6.0000000000000001E-3</v>
      </c>
      <c r="F6388" s="508">
        <v>6.0000000000000001E-3</v>
      </c>
      <c r="G6388" s="508">
        <v>6.0000000000000001E-3</v>
      </c>
      <c r="H6388" s="508">
        <v>6.0000000000000001E-3</v>
      </c>
      <c r="I6388" s="508">
        <v>6.0000000000000001E-3</v>
      </c>
      <c r="J6388" s="508">
        <v>6.0000000000000001E-3</v>
      </c>
      <c r="K6388" s="508">
        <v>6.0000000000000001E-3</v>
      </c>
      <c r="L6388" s="508">
        <v>6.0000000000000001E-3</v>
      </c>
      <c r="M6388" s="508">
        <v>6.0000000000000001E-3</v>
      </c>
      <c r="N6388" s="508">
        <v>6.0000000000000001E-3</v>
      </c>
      <c r="O6388" s="508">
        <v>6.0000000000000001E-3</v>
      </c>
      <c r="P6388" s="508">
        <v>6.0000000000000001E-3</v>
      </c>
      <c r="Q6388" s="508">
        <v>6.0000000000000001E-3</v>
      </c>
      <c r="R6388" s="508">
        <v>6.0000000000000001E-3</v>
      </c>
      <c r="S6388" s="508">
        <v>6.0000000000000001E-3</v>
      </c>
      <c r="T6388" s="508">
        <v>6.0000000000000001E-3</v>
      </c>
      <c r="U6388" s="508">
        <v>6.0000000000000001E-3</v>
      </c>
      <c r="V6388" s="508">
        <v>6.0000000000000001E-3</v>
      </c>
      <c r="W6388" s="508">
        <v>6.0000000000000001E-3</v>
      </c>
      <c r="X6388" s="508">
        <v>6.0000000000000001E-3</v>
      </c>
      <c r="Y6388" s="508">
        <v>6.0000000000000001E-3</v>
      </c>
      <c r="Z6388" s="508">
        <v>6.0000000000000001E-3</v>
      </c>
      <c r="AA6388" s="508">
        <v>6.0000000000000001E-3</v>
      </c>
      <c r="AB6388" s="508">
        <v>6.0000000000000001E-3</v>
      </c>
      <c r="AC6388" s="508">
        <v>6.0000000000000001E-3</v>
      </c>
      <c r="AD6388" s="508">
        <v>6.0000000000000001E-3</v>
      </c>
      <c r="AE6388" s="508">
        <v>6.0000000000000001E-3</v>
      </c>
      <c r="AF6388" s="508">
        <v>6.0000000000000001E-3</v>
      </c>
      <c r="AG6388" s="508">
        <v>6.0000000000000001E-3</v>
      </c>
      <c r="AH6388" s="508">
        <v>6.0000000000000001E-3</v>
      </c>
      <c r="AI6388" s="492">
        <v>6.0000000000000001E-3</v>
      </c>
      <c r="AJ6388" s="485"/>
    </row>
    <row r="6389" spans="2:36">
      <c r="B6389" s="136" t="s">
        <v>479</v>
      </c>
      <c r="C6389" s="132" t="s">
        <v>1365</v>
      </c>
      <c r="D6389" s="132" t="s">
        <v>1380</v>
      </c>
      <c r="E6389" s="508">
        <v>5.0000000000000001E-3</v>
      </c>
      <c r="F6389" s="508">
        <v>5.0000000000000001E-3</v>
      </c>
      <c r="G6389" s="508">
        <v>5.0000000000000001E-3</v>
      </c>
      <c r="H6389" s="508">
        <v>5.0000000000000001E-3</v>
      </c>
      <c r="I6389" s="508">
        <v>5.0000000000000001E-3</v>
      </c>
      <c r="J6389" s="508">
        <v>5.0000000000000001E-3</v>
      </c>
      <c r="K6389" s="508">
        <v>5.0000000000000001E-3</v>
      </c>
      <c r="L6389" s="508">
        <v>5.0000000000000001E-3</v>
      </c>
      <c r="M6389" s="508">
        <v>5.0000000000000001E-3</v>
      </c>
      <c r="N6389" s="508">
        <v>5.0000000000000001E-3</v>
      </c>
      <c r="O6389" s="508">
        <v>5.0000000000000001E-3</v>
      </c>
      <c r="P6389" s="508">
        <v>5.0000000000000001E-3</v>
      </c>
      <c r="Q6389" s="508">
        <v>5.0000000000000001E-3</v>
      </c>
      <c r="R6389" s="508">
        <v>5.0000000000000001E-3</v>
      </c>
      <c r="S6389" s="508">
        <v>5.0000000000000001E-3</v>
      </c>
      <c r="T6389" s="508">
        <v>5.0000000000000001E-3</v>
      </c>
      <c r="U6389" s="508">
        <v>5.0000000000000001E-3</v>
      </c>
      <c r="V6389" s="508">
        <v>5.0000000000000001E-3</v>
      </c>
      <c r="W6389" s="508">
        <v>5.0000000000000001E-3</v>
      </c>
      <c r="X6389" s="508">
        <v>5.0000000000000001E-3</v>
      </c>
      <c r="Y6389" s="508">
        <v>5.0000000000000001E-3</v>
      </c>
      <c r="Z6389" s="508">
        <v>5.0000000000000001E-3</v>
      </c>
      <c r="AA6389" s="508">
        <v>5.0000000000000001E-3</v>
      </c>
      <c r="AB6389" s="508">
        <v>5.0000000000000001E-3</v>
      </c>
      <c r="AC6389" s="508">
        <v>5.0000000000000001E-3</v>
      </c>
      <c r="AD6389" s="508">
        <v>5.0000000000000001E-3</v>
      </c>
      <c r="AE6389" s="508">
        <v>5.0000000000000001E-3</v>
      </c>
      <c r="AF6389" s="508">
        <v>5.0000000000000001E-3</v>
      </c>
      <c r="AG6389" s="508">
        <v>5.0000000000000001E-3</v>
      </c>
      <c r="AH6389" s="508">
        <v>5.0000000000000001E-3</v>
      </c>
      <c r="AI6389" s="492">
        <v>5.0000000000000001E-3</v>
      </c>
      <c r="AJ6389" s="485"/>
    </row>
    <row r="6390" spans="2:36">
      <c r="B6390" s="136" t="s">
        <v>480</v>
      </c>
      <c r="C6390" s="132" t="s">
        <v>1365</v>
      </c>
      <c r="D6390" s="132" t="s">
        <v>1380</v>
      </c>
      <c r="E6390" s="508">
        <v>4.0000000000000001E-3</v>
      </c>
      <c r="F6390" s="508">
        <v>4.0000000000000001E-3</v>
      </c>
      <c r="G6390" s="508">
        <v>4.0000000000000001E-3</v>
      </c>
      <c r="H6390" s="508">
        <v>4.0000000000000001E-3</v>
      </c>
      <c r="I6390" s="508">
        <v>4.0000000000000001E-3</v>
      </c>
      <c r="J6390" s="508">
        <v>4.0000000000000001E-3</v>
      </c>
      <c r="K6390" s="508">
        <v>4.0000000000000001E-3</v>
      </c>
      <c r="L6390" s="508">
        <v>4.0000000000000001E-3</v>
      </c>
      <c r="M6390" s="508">
        <v>4.0000000000000001E-3</v>
      </c>
      <c r="N6390" s="508">
        <v>4.0000000000000001E-3</v>
      </c>
      <c r="O6390" s="508">
        <v>4.0000000000000001E-3</v>
      </c>
      <c r="P6390" s="508">
        <v>4.0000000000000001E-3</v>
      </c>
      <c r="Q6390" s="508">
        <v>4.0000000000000001E-3</v>
      </c>
      <c r="R6390" s="508">
        <v>4.0000000000000001E-3</v>
      </c>
      <c r="S6390" s="508">
        <v>4.0000000000000001E-3</v>
      </c>
      <c r="T6390" s="508">
        <v>4.0000000000000001E-3</v>
      </c>
      <c r="U6390" s="508">
        <v>4.0000000000000001E-3</v>
      </c>
      <c r="V6390" s="508">
        <v>4.0000000000000001E-3</v>
      </c>
      <c r="W6390" s="508">
        <v>4.0000000000000001E-3</v>
      </c>
      <c r="X6390" s="508">
        <v>4.0000000000000001E-3</v>
      </c>
      <c r="Y6390" s="508">
        <v>4.0000000000000001E-3</v>
      </c>
      <c r="Z6390" s="508">
        <v>4.0000000000000001E-3</v>
      </c>
      <c r="AA6390" s="508">
        <v>4.0000000000000001E-3</v>
      </c>
      <c r="AB6390" s="508">
        <v>4.0000000000000001E-3</v>
      </c>
      <c r="AC6390" s="508">
        <v>4.0000000000000001E-3</v>
      </c>
      <c r="AD6390" s="508">
        <v>4.0000000000000001E-3</v>
      </c>
      <c r="AE6390" s="508">
        <v>4.0000000000000001E-3</v>
      </c>
      <c r="AF6390" s="508">
        <v>4.0000000000000001E-3</v>
      </c>
      <c r="AG6390" s="508">
        <v>4.0000000000000001E-3</v>
      </c>
      <c r="AH6390" s="508">
        <v>4.0000000000000001E-3</v>
      </c>
      <c r="AI6390" s="492">
        <v>4.0000000000000001E-3</v>
      </c>
      <c r="AJ6390" s="485"/>
    </row>
    <row r="6391" spans="2:36">
      <c r="B6391" s="136" t="s">
        <v>481</v>
      </c>
      <c r="C6391" s="132" t="s">
        <v>1365</v>
      </c>
      <c r="D6391" s="132" t="s">
        <v>1380</v>
      </c>
      <c r="E6391" s="508">
        <v>6.0000000000000001E-3</v>
      </c>
      <c r="F6391" s="508">
        <v>6.0000000000000001E-3</v>
      </c>
      <c r="G6391" s="508">
        <v>6.0000000000000001E-3</v>
      </c>
      <c r="H6391" s="508">
        <v>6.0000000000000001E-3</v>
      </c>
      <c r="I6391" s="508">
        <v>6.0000000000000001E-3</v>
      </c>
      <c r="J6391" s="508">
        <v>6.0000000000000001E-3</v>
      </c>
      <c r="K6391" s="508">
        <v>6.0000000000000001E-3</v>
      </c>
      <c r="L6391" s="508">
        <v>6.0000000000000001E-3</v>
      </c>
      <c r="M6391" s="508">
        <v>6.0000000000000001E-3</v>
      </c>
      <c r="N6391" s="508">
        <v>6.0000000000000001E-3</v>
      </c>
      <c r="O6391" s="508">
        <v>6.0000000000000001E-3</v>
      </c>
      <c r="P6391" s="508">
        <v>6.0000000000000001E-3</v>
      </c>
      <c r="Q6391" s="508">
        <v>6.0000000000000001E-3</v>
      </c>
      <c r="R6391" s="508">
        <v>6.0000000000000001E-3</v>
      </c>
      <c r="S6391" s="508">
        <v>6.0000000000000001E-3</v>
      </c>
      <c r="T6391" s="508">
        <v>6.0000000000000001E-3</v>
      </c>
      <c r="U6391" s="508">
        <v>6.0000000000000001E-3</v>
      </c>
      <c r="V6391" s="508">
        <v>6.0000000000000001E-3</v>
      </c>
      <c r="W6391" s="508">
        <v>6.0000000000000001E-3</v>
      </c>
      <c r="X6391" s="508">
        <v>6.0000000000000001E-3</v>
      </c>
      <c r="Y6391" s="508">
        <v>6.0000000000000001E-3</v>
      </c>
      <c r="Z6391" s="508">
        <v>6.0000000000000001E-3</v>
      </c>
      <c r="AA6391" s="508">
        <v>6.0000000000000001E-3</v>
      </c>
      <c r="AB6391" s="508">
        <v>6.0000000000000001E-3</v>
      </c>
      <c r="AC6391" s="508">
        <v>6.0000000000000001E-3</v>
      </c>
      <c r="AD6391" s="508">
        <v>6.0000000000000001E-3</v>
      </c>
      <c r="AE6391" s="508">
        <v>6.0000000000000001E-3</v>
      </c>
      <c r="AF6391" s="508">
        <v>6.0000000000000001E-3</v>
      </c>
      <c r="AG6391" s="508">
        <v>6.0000000000000001E-3</v>
      </c>
      <c r="AH6391" s="508">
        <v>6.0000000000000001E-3</v>
      </c>
      <c r="AI6391" s="492">
        <v>6.0000000000000001E-3</v>
      </c>
      <c r="AJ6391" s="485"/>
    </row>
    <row r="6392" spans="2:36">
      <c r="B6392" s="136" t="s">
        <v>482</v>
      </c>
      <c r="C6392" s="132" t="s">
        <v>1365</v>
      </c>
      <c r="D6392" s="132" t="s">
        <v>1380</v>
      </c>
      <c r="E6392" s="508">
        <v>5.0000000000000001E-3</v>
      </c>
      <c r="F6392" s="508">
        <v>5.0000000000000001E-3</v>
      </c>
      <c r="G6392" s="508">
        <v>5.0000000000000001E-3</v>
      </c>
      <c r="H6392" s="508">
        <v>5.0000000000000001E-3</v>
      </c>
      <c r="I6392" s="508">
        <v>5.0000000000000001E-3</v>
      </c>
      <c r="J6392" s="508">
        <v>5.0000000000000001E-3</v>
      </c>
      <c r="K6392" s="508">
        <v>5.0000000000000001E-3</v>
      </c>
      <c r="L6392" s="508">
        <v>5.0000000000000001E-3</v>
      </c>
      <c r="M6392" s="508">
        <v>5.0000000000000001E-3</v>
      </c>
      <c r="N6392" s="508">
        <v>5.0000000000000001E-3</v>
      </c>
      <c r="O6392" s="508">
        <v>5.0000000000000001E-3</v>
      </c>
      <c r="P6392" s="508">
        <v>5.0000000000000001E-3</v>
      </c>
      <c r="Q6392" s="508">
        <v>5.0000000000000001E-3</v>
      </c>
      <c r="R6392" s="508">
        <v>5.0000000000000001E-3</v>
      </c>
      <c r="S6392" s="508">
        <v>5.0000000000000001E-3</v>
      </c>
      <c r="T6392" s="508">
        <v>5.0000000000000001E-3</v>
      </c>
      <c r="U6392" s="508">
        <v>5.0000000000000001E-3</v>
      </c>
      <c r="V6392" s="508">
        <v>5.0000000000000001E-3</v>
      </c>
      <c r="W6392" s="508">
        <v>5.0000000000000001E-3</v>
      </c>
      <c r="X6392" s="508">
        <v>5.0000000000000001E-3</v>
      </c>
      <c r="Y6392" s="508">
        <v>5.0000000000000001E-3</v>
      </c>
      <c r="Z6392" s="508">
        <v>5.0000000000000001E-3</v>
      </c>
      <c r="AA6392" s="508">
        <v>5.0000000000000001E-3</v>
      </c>
      <c r="AB6392" s="508">
        <v>5.0000000000000001E-3</v>
      </c>
      <c r="AC6392" s="508">
        <v>5.0000000000000001E-3</v>
      </c>
      <c r="AD6392" s="508">
        <v>5.0000000000000001E-3</v>
      </c>
      <c r="AE6392" s="508">
        <v>5.0000000000000001E-3</v>
      </c>
      <c r="AF6392" s="508">
        <v>5.0000000000000001E-3</v>
      </c>
      <c r="AG6392" s="508">
        <v>5.0000000000000001E-3</v>
      </c>
      <c r="AH6392" s="508">
        <v>5.0000000000000001E-3</v>
      </c>
      <c r="AI6392" s="492">
        <v>5.0000000000000001E-3</v>
      </c>
      <c r="AJ6392" s="485"/>
    </row>
    <row r="6393" spans="2:36">
      <c r="B6393" s="136" t="s">
        <v>483</v>
      </c>
      <c r="C6393" s="132" t="s">
        <v>1365</v>
      </c>
      <c r="D6393" s="132" t="s">
        <v>1380</v>
      </c>
      <c r="E6393" s="508">
        <v>6.0000000000000001E-3</v>
      </c>
      <c r="F6393" s="508">
        <v>6.0000000000000001E-3</v>
      </c>
      <c r="G6393" s="508">
        <v>6.0000000000000001E-3</v>
      </c>
      <c r="H6393" s="508">
        <v>6.0000000000000001E-3</v>
      </c>
      <c r="I6393" s="508">
        <v>6.0000000000000001E-3</v>
      </c>
      <c r="J6393" s="508">
        <v>6.0000000000000001E-3</v>
      </c>
      <c r="K6393" s="508">
        <v>6.0000000000000001E-3</v>
      </c>
      <c r="L6393" s="508">
        <v>6.0000000000000001E-3</v>
      </c>
      <c r="M6393" s="508">
        <v>6.0000000000000001E-3</v>
      </c>
      <c r="N6393" s="508">
        <v>6.0000000000000001E-3</v>
      </c>
      <c r="O6393" s="508">
        <v>6.0000000000000001E-3</v>
      </c>
      <c r="P6393" s="508">
        <v>6.0000000000000001E-3</v>
      </c>
      <c r="Q6393" s="508">
        <v>6.0000000000000001E-3</v>
      </c>
      <c r="R6393" s="508">
        <v>6.0000000000000001E-3</v>
      </c>
      <c r="S6393" s="508">
        <v>6.0000000000000001E-3</v>
      </c>
      <c r="T6393" s="508">
        <v>6.0000000000000001E-3</v>
      </c>
      <c r="U6393" s="508">
        <v>6.0000000000000001E-3</v>
      </c>
      <c r="V6393" s="508">
        <v>6.0000000000000001E-3</v>
      </c>
      <c r="W6393" s="508">
        <v>6.0000000000000001E-3</v>
      </c>
      <c r="X6393" s="508">
        <v>6.0000000000000001E-3</v>
      </c>
      <c r="Y6393" s="508">
        <v>6.0000000000000001E-3</v>
      </c>
      <c r="Z6393" s="508">
        <v>6.0000000000000001E-3</v>
      </c>
      <c r="AA6393" s="508">
        <v>6.0000000000000001E-3</v>
      </c>
      <c r="AB6393" s="508">
        <v>6.0000000000000001E-3</v>
      </c>
      <c r="AC6393" s="508">
        <v>6.0000000000000001E-3</v>
      </c>
      <c r="AD6393" s="508">
        <v>6.0000000000000001E-3</v>
      </c>
      <c r="AE6393" s="508">
        <v>6.0000000000000001E-3</v>
      </c>
      <c r="AF6393" s="508">
        <v>6.0000000000000001E-3</v>
      </c>
      <c r="AG6393" s="508">
        <v>6.0000000000000001E-3</v>
      </c>
      <c r="AH6393" s="508">
        <v>6.0000000000000001E-3</v>
      </c>
      <c r="AI6393" s="492">
        <v>6.0000000000000001E-3</v>
      </c>
      <c r="AJ6393" s="485"/>
    </row>
    <row r="6394" spans="2:36">
      <c r="B6394" s="136" t="s">
        <v>484</v>
      </c>
      <c r="C6394" s="132" t="s">
        <v>1365</v>
      </c>
      <c r="D6394" s="132" t="s">
        <v>1380</v>
      </c>
      <c r="E6394" s="508">
        <v>5.0000000000000001E-3</v>
      </c>
      <c r="F6394" s="508">
        <v>5.0000000000000001E-3</v>
      </c>
      <c r="G6394" s="508">
        <v>5.0000000000000001E-3</v>
      </c>
      <c r="H6394" s="508">
        <v>5.0000000000000001E-3</v>
      </c>
      <c r="I6394" s="508">
        <v>5.0000000000000001E-3</v>
      </c>
      <c r="J6394" s="508">
        <v>5.0000000000000001E-3</v>
      </c>
      <c r="K6394" s="508">
        <v>5.0000000000000001E-3</v>
      </c>
      <c r="L6394" s="508">
        <v>5.0000000000000001E-3</v>
      </c>
      <c r="M6394" s="508">
        <v>5.0000000000000001E-3</v>
      </c>
      <c r="N6394" s="508">
        <v>5.0000000000000001E-3</v>
      </c>
      <c r="O6394" s="508">
        <v>5.0000000000000001E-3</v>
      </c>
      <c r="P6394" s="508">
        <v>5.0000000000000001E-3</v>
      </c>
      <c r="Q6394" s="508">
        <v>5.0000000000000001E-3</v>
      </c>
      <c r="R6394" s="508">
        <v>5.0000000000000001E-3</v>
      </c>
      <c r="S6394" s="508">
        <v>5.0000000000000001E-3</v>
      </c>
      <c r="T6394" s="508">
        <v>5.0000000000000001E-3</v>
      </c>
      <c r="U6394" s="508">
        <v>5.0000000000000001E-3</v>
      </c>
      <c r="V6394" s="508">
        <v>5.0000000000000001E-3</v>
      </c>
      <c r="W6394" s="508">
        <v>5.0000000000000001E-3</v>
      </c>
      <c r="X6394" s="508">
        <v>5.0000000000000001E-3</v>
      </c>
      <c r="Y6394" s="508">
        <v>5.0000000000000001E-3</v>
      </c>
      <c r="Z6394" s="508">
        <v>5.0000000000000001E-3</v>
      </c>
      <c r="AA6394" s="508">
        <v>5.0000000000000001E-3</v>
      </c>
      <c r="AB6394" s="508">
        <v>5.0000000000000001E-3</v>
      </c>
      <c r="AC6394" s="508">
        <v>5.0000000000000001E-3</v>
      </c>
      <c r="AD6394" s="508">
        <v>5.0000000000000001E-3</v>
      </c>
      <c r="AE6394" s="508">
        <v>5.0000000000000001E-3</v>
      </c>
      <c r="AF6394" s="508">
        <v>5.0000000000000001E-3</v>
      </c>
      <c r="AG6394" s="508">
        <v>5.0000000000000001E-3</v>
      </c>
      <c r="AH6394" s="508">
        <v>5.0000000000000001E-3</v>
      </c>
      <c r="AI6394" s="492">
        <v>5.0000000000000001E-3</v>
      </c>
      <c r="AJ6394" s="485"/>
    </row>
    <row r="6395" spans="2:36">
      <c r="B6395" s="136" t="s">
        <v>486</v>
      </c>
      <c r="C6395" s="132" t="s">
        <v>1365</v>
      </c>
      <c r="D6395" s="132" t="s">
        <v>1380</v>
      </c>
      <c r="E6395" s="508">
        <v>6.0000000000000001E-3</v>
      </c>
      <c r="F6395" s="508">
        <v>6.0000000000000001E-3</v>
      </c>
      <c r="G6395" s="508">
        <v>6.0000000000000001E-3</v>
      </c>
      <c r="H6395" s="508">
        <v>6.0000000000000001E-3</v>
      </c>
      <c r="I6395" s="508">
        <v>6.0000000000000001E-3</v>
      </c>
      <c r="J6395" s="508">
        <v>6.0000000000000001E-3</v>
      </c>
      <c r="K6395" s="508">
        <v>6.0000000000000001E-3</v>
      </c>
      <c r="L6395" s="508">
        <v>6.0000000000000001E-3</v>
      </c>
      <c r="M6395" s="508">
        <v>6.0000000000000001E-3</v>
      </c>
      <c r="N6395" s="508">
        <v>6.0000000000000001E-3</v>
      </c>
      <c r="O6395" s="508">
        <v>6.0000000000000001E-3</v>
      </c>
      <c r="P6395" s="508">
        <v>6.0000000000000001E-3</v>
      </c>
      <c r="Q6395" s="508">
        <v>6.0000000000000001E-3</v>
      </c>
      <c r="R6395" s="508">
        <v>6.0000000000000001E-3</v>
      </c>
      <c r="S6395" s="508">
        <v>6.0000000000000001E-3</v>
      </c>
      <c r="T6395" s="508">
        <v>6.0000000000000001E-3</v>
      </c>
      <c r="U6395" s="508">
        <v>6.0000000000000001E-3</v>
      </c>
      <c r="V6395" s="508">
        <v>6.0000000000000001E-3</v>
      </c>
      <c r="W6395" s="508">
        <v>6.0000000000000001E-3</v>
      </c>
      <c r="X6395" s="508">
        <v>6.0000000000000001E-3</v>
      </c>
      <c r="Y6395" s="508">
        <v>6.0000000000000001E-3</v>
      </c>
      <c r="Z6395" s="508">
        <v>6.0000000000000001E-3</v>
      </c>
      <c r="AA6395" s="508">
        <v>6.0000000000000001E-3</v>
      </c>
      <c r="AB6395" s="508">
        <v>6.0000000000000001E-3</v>
      </c>
      <c r="AC6395" s="508">
        <v>6.0000000000000001E-3</v>
      </c>
      <c r="AD6395" s="508">
        <v>6.0000000000000001E-3</v>
      </c>
      <c r="AE6395" s="508">
        <v>6.0000000000000001E-3</v>
      </c>
      <c r="AF6395" s="508">
        <v>6.0000000000000001E-3</v>
      </c>
      <c r="AG6395" s="508">
        <v>6.0000000000000001E-3</v>
      </c>
      <c r="AH6395" s="508">
        <v>6.0000000000000001E-3</v>
      </c>
      <c r="AI6395" s="492">
        <v>6.0000000000000001E-3</v>
      </c>
      <c r="AJ6395" s="485"/>
    </row>
    <row r="6396" spans="2:36">
      <c r="B6396" s="136" t="s">
        <v>487</v>
      </c>
      <c r="C6396" s="132" t="s">
        <v>1365</v>
      </c>
      <c r="D6396" s="132" t="s">
        <v>1380</v>
      </c>
      <c r="E6396" s="508">
        <v>6.0000000000000001E-3</v>
      </c>
      <c r="F6396" s="508">
        <v>6.0000000000000001E-3</v>
      </c>
      <c r="G6396" s="508">
        <v>6.0000000000000001E-3</v>
      </c>
      <c r="H6396" s="508">
        <v>6.0000000000000001E-3</v>
      </c>
      <c r="I6396" s="508">
        <v>6.0000000000000001E-3</v>
      </c>
      <c r="J6396" s="508">
        <v>6.0000000000000001E-3</v>
      </c>
      <c r="K6396" s="508">
        <v>6.0000000000000001E-3</v>
      </c>
      <c r="L6396" s="508">
        <v>6.0000000000000001E-3</v>
      </c>
      <c r="M6396" s="508">
        <v>6.0000000000000001E-3</v>
      </c>
      <c r="N6396" s="508">
        <v>6.0000000000000001E-3</v>
      </c>
      <c r="O6396" s="508">
        <v>6.0000000000000001E-3</v>
      </c>
      <c r="P6396" s="508">
        <v>6.0000000000000001E-3</v>
      </c>
      <c r="Q6396" s="508">
        <v>6.0000000000000001E-3</v>
      </c>
      <c r="R6396" s="508">
        <v>6.0000000000000001E-3</v>
      </c>
      <c r="S6396" s="508">
        <v>6.0000000000000001E-3</v>
      </c>
      <c r="T6396" s="508">
        <v>6.0000000000000001E-3</v>
      </c>
      <c r="U6396" s="508">
        <v>6.0000000000000001E-3</v>
      </c>
      <c r="V6396" s="508">
        <v>6.0000000000000001E-3</v>
      </c>
      <c r="W6396" s="508">
        <v>6.0000000000000001E-3</v>
      </c>
      <c r="X6396" s="508">
        <v>6.0000000000000001E-3</v>
      </c>
      <c r="Y6396" s="508">
        <v>6.0000000000000001E-3</v>
      </c>
      <c r="Z6396" s="508">
        <v>6.0000000000000001E-3</v>
      </c>
      <c r="AA6396" s="508">
        <v>6.0000000000000001E-3</v>
      </c>
      <c r="AB6396" s="508">
        <v>6.0000000000000001E-3</v>
      </c>
      <c r="AC6396" s="508">
        <v>6.0000000000000001E-3</v>
      </c>
      <c r="AD6396" s="508">
        <v>6.0000000000000001E-3</v>
      </c>
      <c r="AE6396" s="508">
        <v>6.0000000000000001E-3</v>
      </c>
      <c r="AF6396" s="508">
        <v>6.0000000000000001E-3</v>
      </c>
      <c r="AG6396" s="508">
        <v>6.0000000000000001E-3</v>
      </c>
      <c r="AH6396" s="508">
        <v>6.0000000000000001E-3</v>
      </c>
      <c r="AI6396" s="492">
        <v>6.0000000000000001E-3</v>
      </c>
      <c r="AJ6396" s="485"/>
    </row>
    <row r="6397" spans="2:36">
      <c r="B6397" s="136" t="s">
        <v>488</v>
      </c>
      <c r="C6397" s="132" t="s">
        <v>1365</v>
      </c>
      <c r="D6397" s="132" t="s">
        <v>1380</v>
      </c>
      <c r="E6397" s="508">
        <v>5.0000000000000001E-3</v>
      </c>
      <c r="F6397" s="508">
        <v>5.0000000000000001E-3</v>
      </c>
      <c r="G6397" s="508">
        <v>5.0000000000000001E-3</v>
      </c>
      <c r="H6397" s="508">
        <v>5.0000000000000001E-3</v>
      </c>
      <c r="I6397" s="508">
        <v>5.0000000000000001E-3</v>
      </c>
      <c r="J6397" s="508">
        <v>5.0000000000000001E-3</v>
      </c>
      <c r="K6397" s="508">
        <v>5.0000000000000001E-3</v>
      </c>
      <c r="L6397" s="508">
        <v>5.0000000000000001E-3</v>
      </c>
      <c r="M6397" s="508">
        <v>5.0000000000000001E-3</v>
      </c>
      <c r="N6397" s="508">
        <v>5.0000000000000001E-3</v>
      </c>
      <c r="O6397" s="508">
        <v>5.0000000000000001E-3</v>
      </c>
      <c r="P6397" s="508">
        <v>5.0000000000000001E-3</v>
      </c>
      <c r="Q6397" s="508">
        <v>5.0000000000000001E-3</v>
      </c>
      <c r="R6397" s="508">
        <v>5.0000000000000001E-3</v>
      </c>
      <c r="S6397" s="508">
        <v>5.0000000000000001E-3</v>
      </c>
      <c r="T6397" s="508">
        <v>5.0000000000000001E-3</v>
      </c>
      <c r="U6397" s="508">
        <v>5.0000000000000001E-3</v>
      </c>
      <c r="V6397" s="508">
        <v>5.0000000000000001E-3</v>
      </c>
      <c r="W6397" s="508">
        <v>5.0000000000000001E-3</v>
      </c>
      <c r="X6397" s="508">
        <v>5.0000000000000001E-3</v>
      </c>
      <c r="Y6397" s="508">
        <v>5.0000000000000001E-3</v>
      </c>
      <c r="Z6397" s="508">
        <v>5.0000000000000001E-3</v>
      </c>
      <c r="AA6397" s="508">
        <v>5.0000000000000001E-3</v>
      </c>
      <c r="AB6397" s="508">
        <v>5.0000000000000001E-3</v>
      </c>
      <c r="AC6397" s="508">
        <v>5.0000000000000001E-3</v>
      </c>
      <c r="AD6397" s="508">
        <v>5.0000000000000001E-3</v>
      </c>
      <c r="AE6397" s="508">
        <v>5.0000000000000001E-3</v>
      </c>
      <c r="AF6397" s="508">
        <v>5.0000000000000001E-3</v>
      </c>
      <c r="AG6397" s="508">
        <v>5.0000000000000001E-3</v>
      </c>
      <c r="AH6397" s="508">
        <v>5.0000000000000001E-3</v>
      </c>
      <c r="AI6397" s="492">
        <v>5.0000000000000001E-3</v>
      </c>
      <c r="AJ6397" s="485"/>
    </row>
    <row r="6398" spans="2:36">
      <c r="B6398" s="136" t="s">
        <v>489</v>
      </c>
      <c r="C6398" s="132" t="s">
        <v>1365</v>
      </c>
      <c r="D6398" s="132" t="s">
        <v>1380</v>
      </c>
      <c r="E6398" s="508">
        <v>5.0000000000000001E-3</v>
      </c>
      <c r="F6398" s="508">
        <v>5.0000000000000001E-3</v>
      </c>
      <c r="G6398" s="508">
        <v>5.0000000000000001E-3</v>
      </c>
      <c r="H6398" s="508">
        <v>5.0000000000000001E-3</v>
      </c>
      <c r="I6398" s="508">
        <v>5.0000000000000001E-3</v>
      </c>
      <c r="J6398" s="508">
        <v>5.0000000000000001E-3</v>
      </c>
      <c r="K6398" s="508">
        <v>5.0000000000000001E-3</v>
      </c>
      <c r="L6398" s="508">
        <v>5.0000000000000001E-3</v>
      </c>
      <c r="M6398" s="508">
        <v>5.0000000000000001E-3</v>
      </c>
      <c r="N6398" s="508">
        <v>5.0000000000000001E-3</v>
      </c>
      <c r="O6398" s="508">
        <v>5.0000000000000001E-3</v>
      </c>
      <c r="P6398" s="508">
        <v>5.0000000000000001E-3</v>
      </c>
      <c r="Q6398" s="508">
        <v>5.0000000000000001E-3</v>
      </c>
      <c r="R6398" s="508">
        <v>5.0000000000000001E-3</v>
      </c>
      <c r="S6398" s="508">
        <v>5.0000000000000001E-3</v>
      </c>
      <c r="T6398" s="508">
        <v>5.0000000000000001E-3</v>
      </c>
      <c r="U6398" s="508">
        <v>5.0000000000000001E-3</v>
      </c>
      <c r="V6398" s="508">
        <v>5.0000000000000001E-3</v>
      </c>
      <c r="W6398" s="508">
        <v>5.0000000000000001E-3</v>
      </c>
      <c r="X6398" s="508">
        <v>5.0000000000000001E-3</v>
      </c>
      <c r="Y6398" s="508">
        <v>5.0000000000000001E-3</v>
      </c>
      <c r="Z6398" s="508">
        <v>5.0000000000000001E-3</v>
      </c>
      <c r="AA6398" s="508">
        <v>5.0000000000000001E-3</v>
      </c>
      <c r="AB6398" s="508">
        <v>5.0000000000000001E-3</v>
      </c>
      <c r="AC6398" s="508">
        <v>5.0000000000000001E-3</v>
      </c>
      <c r="AD6398" s="508">
        <v>5.0000000000000001E-3</v>
      </c>
      <c r="AE6398" s="508">
        <v>5.0000000000000001E-3</v>
      </c>
      <c r="AF6398" s="508">
        <v>5.0000000000000001E-3</v>
      </c>
      <c r="AG6398" s="508">
        <v>5.0000000000000001E-3</v>
      </c>
      <c r="AH6398" s="508">
        <v>5.0000000000000001E-3</v>
      </c>
      <c r="AI6398" s="492">
        <v>5.0000000000000001E-3</v>
      </c>
      <c r="AJ6398" s="485"/>
    </row>
    <row r="6399" spans="2:36">
      <c r="B6399" s="136" t="s">
        <v>490</v>
      </c>
      <c r="C6399" s="132" t="s">
        <v>1365</v>
      </c>
      <c r="D6399" s="132" t="s">
        <v>1380</v>
      </c>
      <c r="E6399" s="508">
        <v>5.0000000000000001E-3</v>
      </c>
      <c r="F6399" s="508">
        <v>5.0000000000000001E-3</v>
      </c>
      <c r="G6399" s="508">
        <v>5.0000000000000001E-3</v>
      </c>
      <c r="H6399" s="508">
        <v>5.0000000000000001E-3</v>
      </c>
      <c r="I6399" s="508">
        <v>5.0000000000000001E-3</v>
      </c>
      <c r="J6399" s="508">
        <v>5.0000000000000001E-3</v>
      </c>
      <c r="K6399" s="508">
        <v>5.0000000000000001E-3</v>
      </c>
      <c r="L6399" s="508">
        <v>5.0000000000000001E-3</v>
      </c>
      <c r="M6399" s="508">
        <v>5.0000000000000001E-3</v>
      </c>
      <c r="N6399" s="508">
        <v>5.0000000000000001E-3</v>
      </c>
      <c r="O6399" s="508">
        <v>5.0000000000000001E-3</v>
      </c>
      <c r="P6399" s="508">
        <v>5.0000000000000001E-3</v>
      </c>
      <c r="Q6399" s="508">
        <v>5.0000000000000001E-3</v>
      </c>
      <c r="R6399" s="508">
        <v>5.0000000000000001E-3</v>
      </c>
      <c r="S6399" s="508">
        <v>5.0000000000000001E-3</v>
      </c>
      <c r="T6399" s="508">
        <v>5.0000000000000001E-3</v>
      </c>
      <c r="U6399" s="508">
        <v>5.0000000000000001E-3</v>
      </c>
      <c r="V6399" s="508">
        <v>5.0000000000000001E-3</v>
      </c>
      <c r="W6399" s="508">
        <v>5.0000000000000001E-3</v>
      </c>
      <c r="X6399" s="508">
        <v>5.0000000000000001E-3</v>
      </c>
      <c r="Y6399" s="508">
        <v>5.0000000000000001E-3</v>
      </c>
      <c r="Z6399" s="508">
        <v>5.0000000000000001E-3</v>
      </c>
      <c r="AA6399" s="508">
        <v>5.0000000000000001E-3</v>
      </c>
      <c r="AB6399" s="508">
        <v>5.0000000000000001E-3</v>
      </c>
      <c r="AC6399" s="508">
        <v>5.0000000000000001E-3</v>
      </c>
      <c r="AD6399" s="508">
        <v>5.0000000000000001E-3</v>
      </c>
      <c r="AE6399" s="508">
        <v>5.0000000000000001E-3</v>
      </c>
      <c r="AF6399" s="508">
        <v>5.0000000000000001E-3</v>
      </c>
      <c r="AG6399" s="508">
        <v>5.0000000000000001E-3</v>
      </c>
      <c r="AH6399" s="508">
        <v>5.0000000000000001E-3</v>
      </c>
      <c r="AI6399" s="492">
        <v>5.0000000000000001E-3</v>
      </c>
      <c r="AJ6399" s="485"/>
    </row>
    <row r="6400" spans="2:36">
      <c r="B6400" s="136" t="s">
        <v>435</v>
      </c>
      <c r="C6400" s="132" t="s">
        <v>1366</v>
      </c>
      <c r="D6400" s="132" t="s">
        <v>1380</v>
      </c>
      <c r="E6400" s="508">
        <v>4.0000000000000001E-3</v>
      </c>
      <c r="F6400" s="508">
        <v>4.0000000000000001E-3</v>
      </c>
      <c r="G6400" s="508">
        <v>4.0000000000000001E-3</v>
      </c>
      <c r="H6400" s="508">
        <v>4.0000000000000001E-3</v>
      </c>
      <c r="I6400" s="508">
        <v>4.0000000000000001E-3</v>
      </c>
      <c r="J6400" s="508">
        <v>4.0000000000000001E-3</v>
      </c>
      <c r="K6400" s="508">
        <v>4.0000000000000001E-3</v>
      </c>
      <c r="L6400" s="508">
        <v>4.0000000000000001E-3</v>
      </c>
      <c r="M6400" s="508">
        <v>4.0000000000000001E-3</v>
      </c>
      <c r="N6400" s="508">
        <v>4.0000000000000001E-3</v>
      </c>
      <c r="O6400" s="508">
        <v>4.0000000000000001E-3</v>
      </c>
      <c r="P6400" s="508">
        <v>4.0000000000000001E-3</v>
      </c>
      <c r="Q6400" s="508">
        <v>4.0000000000000001E-3</v>
      </c>
      <c r="R6400" s="508">
        <v>4.0000000000000001E-3</v>
      </c>
      <c r="S6400" s="508">
        <v>4.0000000000000001E-3</v>
      </c>
      <c r="T6400" s="508">
        <v>4.0000000000000001E-3</v>
      </c>
      <c r="U6400" s="508">
        <v>4.0000000000000001E-3</v>
      </c>
      <c r="V6400" s="508">
        <v>4.0000000000000001E-3</v>
      </c>
      <c r="W6400" s="508">
        <v>4.0000000000000001E-3</v>
      </c>
      <c r="X6400" s="508">
        <v>4.0000000000000001E-3</v>
      </c>
      <c r="Y6400" s="508">
        <v>4.0000000000000001E-3</v>
      </c>
      <c r="Z6400" s="508">
        <v>4.0000000000000001E-3</v>
      </c>
      <c r="AA6400" s="508">
        <v>4.0000000000000001E-3</v>
      </c>
      <c r="AB6400" s="508">
        <v>4.0000000000000001E-3</v>
      </c>
      <c r="AC6400" s="508">
        <v>4.0000000000000001E-3</v>
      </c>
      <c r="AD6400" s="508">
        <v>4.0000000000000001E-3</v>
      </c>
      <c r="AE6400" s="508">
        <v>4.0000000000000001E-3</v>
      </c>
      <c r="AF6400" s="508">
        <v>4.0000000000000001E-3</v>
      </c>
      <c r="AG6400" s="508">
        <v>4.0000000000000001E-3</v>
      </c>
      <c r="AH6400" s="508">
        <v>4.0000000000000001E-3</v>
      </c>
      <c r="AI6400" s="492">
        <v>4.0000000000000001E-3</v>
      </c>
      <c r="AJ6400" s="485"/>
    </row>
    <row r="6401" spans="2:36">
      <c r="B6401" s="136" t="s">
        <v>436</v>
      </c>
      <c r="C6401" s="132" t="s">
        <v>1366</v>
      </c>
      <c r="D6401" s="132" t="s">
        <v>1380</v>
      </c>
      <c r="E6401" s="508">
        <v>4.0000000000000001E-3</v>
      </c>
      <c r="F6401" s="508">
        <v>4.0000000000000001E-3</v>
      </c>
      <c r="G6401" s="508">
        <v>4.0000000000000001E-3</v>
      </c>
      <c r="H6401" s="508">
        <v>4.0000000000000001E-3</v>
      </c>
      <c r="I6401" s="508">
        <v>4.0000000000000001E-3</v>
      </c>
      <c r="J6401" s="508">
        <v>4.0000000000000001E-3</v>
      </c>
      <c r="K6401" s="508">
        <v>4.0000000000000001E-3</v>
      </c>
      <c r="L6401" s="508">
        <v>4.0000000000000001E-3</v>
      </c>
      <c r="M6401" s="508">
        <v>4.0000000000000001E-3</v>
      </c>
      <c r="N6401" s="508">
        <v>4.0000000000000001E-3</v>
      </c>
      <c r="O6401" s="508">
        <v>4.0000000000000001E-3</v>
      </c>
      <c r="P6401" s="508">
        <v>4.0000000000000001E-3</v>
      </c>
      <c r="Q6401" s="508">
        <v>4.0000000000000001E-3</v>
      </c>
      <c r="R6401" s="508">
        <v>4.0000000000000001E-3</v>
      </c>
      <c r="S6401" s="508">
        <v>4.0000000000000001E-3</v>
      </c>
      <c r="T6401" s="508">
        <v>4.0000000000000001E-3</v>
      </c>
      <c r="U6401" s="508">
        <v>4.0000000000000001E-3</v>
      </c>
      <c r="V6401" s="508">
        <v>4.0000000000000001E-3</v>
      </c>
      <c r="W6401" s="508">
        <v>4.0000000000000001E-3</v>
      </c>
      <c r="X6401" s="508">
        <v>4.0000000000000001E-3</v>
      </c>
      <c r="Y6401" s="508">
        <v>4.0000000000000001E-3</v>
      </c>
      <c r="Z6401" s="508">
        <v>4.0000000000000001E-3</v>
      </c>
      <c r="AA6401" s="508">
        <v>4.0000000000000001E-3</v>
      </c>
      <c r="AB6401" s="508">
        <v>4.0000000000000001E-3</v>
      </c>
      <c r="AC6401" s="508">
        <v>4.0000000000000001E-3</v>
      </c>
      <c r="AD6401" s="508">
        <v>4.0000000000000001E-3</v>
      </c>
      <c r="AE6401" s="508">
        <v>4.0000000000000001E-3</v>
      </c>
      <c r="AF6401" s="508">
        <v>4.0000000000000001E-3</v>
      </c>
      <c r="AG6401" s="508">
        <v>4.0000000000000001E-3</v>
      </c>
      <c r="AH6401" s="508">
        <v>4.0000000000000001E-3</v>
      </c>
      <c r="AI6401" s="492">
        <v>4.0000000000000001E-3</v>
      </c>
      <c r="AJ6401" s="485"/>
    </row>
    <row r="6402" spans="2:36">
      <c r="B6402" s="136" t="s">
        <v>437</v>
      </c>
      <c r="C6402" s="132" t="s">
        <v>1366</v>
      </c>
      <c r="D6402" s="132" t="s">
        <v>1380</v>
      </c>
      <c r="E6402" s="508">
        <v>4.0000000000000001E-3</v>
      </c>
      <c r="F6402" s="508">
        <v>4.0000000000000001E-3</v>
      </c>
      <c r="G6402" s="508">
        <v>4.0000000000000001E-3</v>
      </c>
      <c r="H6402" s="508">
        <v>4.0000000000000001E-3</v>
      </c>
      <c r="I6402" s="508">
        <v>4.0000000000000001E-3</v>
      </c>
      <c r="J6402" s="508">
        <v>4.0000000000000001E-3</v>
      </c>
      <c r="K6402" s="508">
        <v>4.0000000000000001E-3</v>
      </c>
      <c r="L6402" s="508">
        <v>4.0000000000000001E-3</v>
      </c>
      <c r="M6402" s="508">
        <v>4.0000000000000001E-3</v>
      </c>
      <c r="N6402" s="508">
        <v>4.0000000000000001E-3</v>
      </c>
      <c r="O6402" s="508">
        <v>4.0000000000000001E-3</v>
      </c>
      <c r="P6402" s="508">
        <v>4.0000000000000001E-3</v>
      </c>
      <c r="Q6402" s="508">
        <v>4.0000000000000001E-3</v>
      </c>
      <c r="R6402" s="508">
        <v>4.0000000000000001E-3</v>
      </c>
      <c r="S6402" s="508">
        <v>4.0000000000000001E-3</v>
      </c>
      <c r="T6402" s="508">
        <v>4.0000000000000001E-3</v>
      </c>
      <c r="U6402" s="508">
        <v>4.0000000000000001E-3</v>
      </c>
      <c r="V6402" s="508">
        <v>4.0000000000000001E-3</v>
      </c>
      <c r="W6402" s="508">
        <v>4.0000000000000001E-3</v>
      </c>
      <c r="X6402" s="508">
        <v>4.0000000000000001E-3</v>
      </c>
      <c r="Y6402" s="508">
        <v>4.0000000000000001E-3</v>
      </c>
      <c r="Z6402" s="508">
        <v>4.0000000000000001E-3</v>
      </c>
      <c r="AA6402" s="508">
        <v>4.0000000000000001E-3</v>
      </c>
      <c r="AB6402" s="508">
        <v>4.0000000000000001E-3</v>
      </c>
      <c r="AC6402" s="508">
        <v>4.0000000000000001E-3</v>
      </c>
      <c r="AD6402" s="508">
        <v>4.0000000000000001E-3</v>
      </c>
      <c r="AE6402" s="508">
        <v>4.0000000000000001E-3</v>
      </c>
      <c r="AF6402" s="508">
        <v>4.0000000000000001E-3</v>
      </c>
      <c r="AG6402" s="508">
        <v>4.0000000000000001E-3</v>
      </c>
      <c r="AH6402" s="508">
        <v>4.0000000000000001E-3</v>
      </c>
      <c r="AI6402" s="492">
        <v>4.0000000000000001E-3</v>
      </c>
      <c r="AJ6402" s="485"/>
    </row>
    <row r="6403" spans="2:36">
      <c r="B6403" s="136" t="s">
        <v>438</v>
      </c>
      <c r="C6403" s="132" t="s">
        <v>1366</v>
      </c>
      <c r="D6403" s="132" t="s">
        <v>1380</v>
      </c>
      <c r="E6403" s="508">
        <v>4.0000000000000001E-3</v>
      </c>
      <c r="F6403" s="508">
        <v>4.0000000000000001E-3</v>
      </c>
      <c r="G6403" s="508">
        <v>4.0000000000000001E-3</v>
      </c>
      <c r="H6403" s="508">
        <v>4.0000000000000001E-3</v>
      </c>
      <c r="I6403" s="508">
        <v>4.0000000000000001E-3</v>
      </c>
      <c r="J6403" s="508">
        <v>4.0000000000000001E-3</v>
      </c>
      <c r="K6403" s="508">
        <v>4.0000000000000001E-3</v>
      </c>
      <c r="L6403" s="508">
        <v>4.0000000000000001E-3</v>
      </c>
      <c r="M6403" s="508">
        <v>4.0000000000000001E-3</v>
      </c>
      <c r="N6403" s="508">
        <v>4.0000000000000001E-3</v>
      </c>
      <c r="O6403" s="508">
        <v>4.0000000000000001E-3</v>
      </c>
      <c r="P6403" s="508">
        <v>4.0000000000000001E-3</v>
      </c>
      <c r="Q6403" s="508">
        <v>4.0000000000000001E-3</v>
      </c>
      <c r="R6403" s="508">
        <v>4.0000000000000001E-3</v>
      </c>
      <c r="S6403" s="508">
        <v>4.0000000000000001E-3</v>
      </c>
      <c r="T6403" s="508">
        <v>4.0000000000000001E-3</v>
      </c>
      <c r="U6403" s="508">
        <v>4.0000000000000001E-3</v>
      </c>
      <c r="V6403" s="508">
        <v>4.0000000000000001E-3</v>
      </c>
      <c r="W6403" s="508">
        <v>4.0000000000000001E-3</v>
      </c>
      <c r="X6403" s="508">
        <v>4.0000000000000001E-3</v>
      </c>
      <c r="Y6403" s="508">
        <v>4.0000000000000001E-3</v>
      </c>
      <c r="Z6403" s="508">
        <v>4.0000000000000001E-3</v>
      </c>
      <c r="AA6403" s="508">
        <v>4.0000000000000001E-3</v>
      </c>
      <c r="AB6403" s="508">
        <v>4.0000000000000001E-3</v>
      </c>
      <c r="AC6403" s="508">
        <v>4.0000000000000001E-3</v>
      </c>
      <c r="AD6403" s="508">
        <v>4.0000000000000001E-3</v>
      </c>
      <c r="AE6403" s="508">
        <v>4.0000000000000001E-3</v>
      </c>
      <c r="AF6403" s="508">
        <v>4.0000000000000001E-3</v>
      </c>
      <c r="AG6403" s="508">
        <v>4.0000000000000001E-3</v>
      </c>
      <c r="AH6403" s="508">
        <v>4.0000000000000001E-3</v>
      </c>
      <c r="AI6403" s="492">
        <v>4.0000000000000001E-3</v>
      </c>
      <c r="AJ6403" s="485"/>
    </row>
    <row r="6404" spans="2:36">
      <c r="B6404" s="136" t="s">
        <v>439</v>
      </c>
      <c r="C6404" s="132" t="s">
        <v>1366</v>
      </c>
      <c r="D6404" s="132" t="s">
        <v>1380</v>
      </c>
      <c r="E6404" s="508">
        <v>4.0000000000000001E-3</v>
      </c>
      <c r="F6404" s="508">
        <v>4.0000000000000001E-3</v>
      </c>
      <c r="G6404" s="508">
        <v>4.0000000000000001E-3</v>
      </c>
      <c r="H6404" s="508">
        <v>4.0000000000000001E-3</v>
      </c>
      <c r="I6404" s="508">
        <v>4.0000000000000001E-3</v>
      </c>
      <c r="J6404" s="508">
        <v>4.0000000000000001E-3</v>
      </c>
      <c r="K6404" s="508">
        <v>4.0000000000000001E-3</v>
      </c>
      <c r="L6404" s="508">
        <v>4.0000000000000001E-3</v>
      </c>
      <c r="M6404" s="508">
        <v>4.0000000000000001E-3</v>
      </c>
      <c r="N6404" s="508">
        <v>4.0000000000000001E-3</v>
      </c>
      <c r="O6404" s="508">
        <v>4.0000000000000001E-3</v>
      </c>
      <c r="P6404" s="508">
        <v>4.0000000000000001E-3</v>
      </c>
      <c r="Q6404" s="508">
        <v>4.0000000000000001E-3</v>
      </c>
      <c r="R6404" s="508">
        <v>4.0000000000000001E-3</v>
      </c>
      <c r="S6404" s="508">
        <v>4.0000000000000001E-3</v>
      </c>
      <c r="T6404" s="508">
        <v>4.0000000000000001E-3</v>
      </c>
      <c r="U6404" s="508">
        <v>4.0000000000000001E-3</v>
      </c>
      <c r="V6404" s="508">
        <v>4.0000000000000001E-3</v>
      </c>
      <c r="W6404" s="508">
        <v>4.0000000000000001E-3</v>
      </c>
      <c r="X6404" s="508">
        <v>4.0000000000000001E-3</v>
      </c>
      <c r="Y6404" s="508">
        <v>4.0000000000000001E-3</v>
      </c>
      <c r="Z6404" s="508">
        <v>4.0000000000000001E-3</v>
      </c>
      <c r="AA6404" s="508">
        <v>4.0000000000000001E-3</v>
      </c>
      <c r="AB6404" s="508">
        <v>4.0000000000000001E-3</v>
      </c>
      <c r="AC6404" s="508">
        <v>4.0000000000000001E-3</v>
      </c>
      <c r="AD6404" s="508">
        <v>4.0000000000000001E-3</v>
      </c>
      <c r="AE6404" s="508">
        <v>4.0000000000000001E-3</v>
      </c>
      <c r="AF6404" s="508">
        <v>4.0000000000000001E-3</v>
      </c>
      <c r="AG6404" s="508">
        <v>4.0000000000000001E-3</v>
      </c>
      <c r="AH6404" s="508">
        <v>4.0000000000000001E-3</v>
      </c>
      <c r="AI6404" s="492">
        <v>4.0000000000000001E-3</v>
      </c>
      <c r="AJ6404" s="485"/>
    </row>
    <row r="6405" spans="2:36">
      <c r="B6405" s="136" t="s">
        <v>440</v>
      </c>
      <c r="C6405" s="132" t="s">
        <v>1366</v>
      </c>
      <c r="D6405" s="132" t="s">
        <v>1380</v>
      </c>
      <c r="E6405" s="508">
        <v>4.0000000000000001E-3</v>
      </c>
      <c r="F6405" s="508">
        <v>4.0000000000000001E-3</v>
      </c>
      <c r="G6405" s="508">
        <v>4.0000000000000001E-3</v>
      </c>
      <c r="H6405" s="508">
        <v>4.0000000000000001E-3</v>
      </c>
      <c r="I6405" s="508">
        <v>4.0000000000000001E-3</v>
      </c>
      <c r="J6405" s="508">
        <v>4.0000000000000001E-3</v>
      </c>
      <c r="K6405" s="508">
        <v>4.0000000000000001E-3</v>
      </c>
      <c r="L6405" s="508">
        <v>4.0000000000000001E-3</v>
      </c>
      <c r="M6405" s="508">
        <v>4.0000000000000001E-3</v>
      </c>
      <c r="N6405" s="508">
        <v>4.0000000000000001E-3</v>
      </c>
      <c r="O6405" s="508">
        <v>4.0000000000000001E-3</v>
      </c>
      <c r="P6405" s="508">
        <v>4.0000000000000001E-3</v>
      </c>
      <c r="Q6405" s="508">
        <v>4.0000000000000001E-3</v>
      </c>
      <c r="R6405" s="508">
        <v>4.0000000000000001E-3</v>
      </c>
      <c r="S6405" s="508">
        <v>4.0000000000000001E-3</v>
      </c>
      <c r="T6405" s="508">
        <v>4.0000000000000001E-3</v>
      </c>
      <c r="U6405" s="508">
        <v>4.0000000000000001E-3</v>
      </c>
      <c r="V6405" s="508">
        <v>4.0000000000000001E-3</v>
      </c>
      <c r="W6405" s="508">
        <v>4.0000000000000001E-3</v>
      </c>
      <c r="X6405" s="508">
        <v>4.0000000000000001E-3</v>
      </c>
      <c r="Y6405" s="508">
        <v>4.0000000000000001E-3</v>
      </c>
      <c r="Z6405" s="508">
        <v>4.0000000000000001E-3</v>
      </c>
      <c r="AA6405" s="508">
        <v>4.0000000000000001E-3</v>
      </c>
      <c r="AB6405" s="508">
        <v>4.0000000000000001E-3</v>
      </c>
      <c r="AC6405" s="508">
        <v>4.0000000000000001E-3</v>
      </c>
      <c r="AD6405" s="508">
        <v>4.0000000000000001E-3</v>
      </c>
      <c r="AE6405" s="508">
        <v>4.0000000000000001E-3</v>
      </c>
      <c r="AF6405" s="508">
        <v>4.0000000000000001E-3</v>
      </c>
      <c r="AG6405" s="508">
        <v>4.0000000000000001E-3</v>
      </c>
      <c r="AH6405" s="508">
        <v>4.0000000000000001E-3</v>
      </c>
      <c r="AI6405" s="492">
        <v>4.0000000000000001E-3</v>
      </c>
      <c r="AJ6405" s="485"/>
    </row>
    <row r="6406" spans="2:36">
      <c r="B6406" s="136" t="s">
        <v>441</v>
      </c>
      <c r="C6406" s="132" t="s">
        <v>1366</v>
      </c>
      <c r="D6406" s="132" t="s">
        <v>1380</v>
      </c>
      <c r="E6406" s="508">
        <v>4.0000000000000001E-3</v>
      </c>
      <c r="F6406" s="508">
        <v>4.0000000000000001E-3</v>
      </c>
      <c r="G6406" s="508">
        <v>4.0000000000000001E-3</v>
      </c>
      <c r="H6406" s="508">
        <v>4.0000000000000001E-3</v>
      </c>
      <c r="I6406" s="508">
        <v>4.0000000000000001E-3</v>
      </c>
      <c r="J6406" s="508">
        <v>4.0000000000000001E-3</v>
      </c>
      <c r="K6406" s="508">
        <v>4.0000000000000001E-3</v>
      </c>
      <c r="L6406" s="508">
        <v>4.0000000000000001E-3</v>
      </c>
      <c r="M6406" s="508">
        <v>4.0000000000000001E-3</v>
      </c>
      <c r="N6406" s="508">
        <v>4.0000000000000001E-3</v>
      </c>
      <c r="O6406" s="508">
        <v>4.0000000000000001E-3</v>
      </c>
      <c r="P6406" s="508">
        <v>4.0000000000000001E-3</v>
      </c>
      <c r="Q6406" s="508">
        <v>4.0000000000000001E-3</v>
      </c>
      <c r="R6406" s="508">
        <v>4.0000000000000001E-3</v>
      </c>
      <c r="S6406" s="508">
        <v>4.0000000000000001E-3</v>
      </c>
      <c r="T6406" s="508">
        <v>4.0000000000000001E-3</v>
      </c>
      <c r="U6406" s="508">
        <v>4.0000000000000001E-3</v>
      </c>
      <c r="V6406" s="508">
        <v>4.0000000000000001E-3</v>
      </c>
      <c r="W6406" s="508">
        <v>4.0000000000000001E-3</v>
      </c>
      <c r="X6406" s="508">
        <v>4.0000000000000001E-3</v>
      </c>
      <c r="Y6406" s="508">
        <v>4.0000000000000001E-3</v>
      </c>
      <c r="Z6406" s="508">
        <v>4.0000000000000001E-3</v>
      </c>
      <c r="AA6406" s="508">
        <v>4.0000000000000001E-3</v>
      </c>
      <c r="AB6406" s="508">
        <v>4.0000000000000001E-3</v>
      </c>
      <c r="AC6406" s="508">
        <v>4.0000000000000001E-3</v>
      </c>
      <c r="AD6406" s="508">
        <v>4.0000000000000001E-3</v>
      </c>
      <c r="AE6406" s="508">
        <v>4.0000000000000001E-3</v>
      </c>
      <c r="AF6406" s="508">
        <v>4.0000000000000001E-3</v>
      </c>
      <c r="AG6406" s="508">
        <v>4.0000000000000001E-3</v>
      </c>
      <c r="AH6406" s="508">
        <v>4.0000000000000001E-3</v>
      </c>
      <c r="AI6406" s="492">
        <v>4.0000000000000001E-3</v>
      </c>
      <c r="AJ6406" s="485"/>
    </row>
    <row r="6407" spans="2:36">
      <c r="B6407" s="136" t="s">
        <v>443</v>
      </c>
      <c r="C6407" s="132" t="s">
        <v>1366</v>
      </c>
      <c r="D6407" s="132" t="s">
        <v>1380</v>
      </c>
      <c r="E6407" s="508">
        <v>4.0000000000000001E-3</v>
      </c>
      <c r="F6407" s="508">
        <v>4.0000000000000001E-3</v>
      </c>
      <c r="G6407" s="508">
        <v>4.0000000000000001E-3</v>
      </c>
      <c r="H6407" s="508">
        <v>4.0000000000000001E-3</v>
      </c>
      <c r="I6407" s="508">
        <v>4.0000000000000001E-3</v>
      </c>
      <c r="J6407" s="508">
        <v>4.0000000000000001E-3</v>
      </c>
      <c r="K6407" s="508">
        <v>4.0000000000000001E-3</v>
      </c>
      <c r="L6407" s="508">
        <v>4.0000000000000001E-3</v>
      </c>
      <c r="M6407" s="508">
        <v>4.0000000000000001E-3</v>
      </c>
      <c r="N6407" s="508">
        <v>4.0000000000000001E-3</v>
      </c>
      <c r="O6407" s="508">
        <v>4.0000000000000001E-3</v>
      </c>
      <c r="P6407" s="508">
        <v>4.0000000000000001E-3</v>
      </c>
      <c r="Q6407" s="508">
        <v>4.0000000000000001E-3</v>
      </c>
      <c r="R6407" s="508">
        <v>4.0000000000000001E-3</v>
      </c>
      <c r="S6407" s="508">
        <v>4.0000000000000001E-3</v>
      </c>
      <c r="T6407" s="508">
        <v>4.0000000000000001E-3</v>
      </c>
      <c r="U6407" s="508">
        <v>4.0000000000000001E-3</v>
      </c>
      <c r="V6407" s="508">
        <v>4.0000000000000001E-3</v>
      </c>
      <c r="W6407" s="508">
        <v>4.0000000000000001E-3</v>
      </c>
      <c r="X6407" s="508">
        <v>4.0000000000000001E-3</v>
      </c>
      <c r="Y6407" s="508">
        <v>4.0000000000000001E-3</v>
      </c>
      <c r="Z6407" s="508">
        <v>4.0000000000000001E-3</v>
      </c>
      <c r="AA6407" s="508">
        <v>4.0000000000000001E-3</v>
      </c>
      <c r="AB6407" s="508">
        <v>4.0000000000000001E-3</v>
      </c>
      <c r="AC6407" s="508">
        <v>4.0000000000000001E-3</v>
      </c>
      <c r="AD6407" s="508">
        <v>4.0000000000000001E-3</v>
      </c>
      <c r="AE6407" s="508">
        <v>4.0000000000000001E-3</v>
      </c>
      <c r="AF6407" s="508">
        <v>4.0000000000000001E-3</v>
      </c>
      <c r="AG6407" s="508">
        <v>4.0000000000000001E-3</v>
      </c>
      <c r="AH6407" s="508">
        <v>4.0000000000000001E-3</v>
      </c>
      <c r="AI6407" s="492">
        <v>4.0000000000000001E-3</v>
      </c>
      <c r="AJ6407" s="485"/>
    </row>
    <row r="6408" spans="2:36">
      <c r="B6408" s="136" t="s">
        <v>445</v>
      </c>
      <c r="C6408" s="132" t="s">
        <v>1366</v>
      </c>
      <c r="D6408" s="132" t="s">
        <v>1380</v>
      </c>
      <c r="E6408" s="508">
        <v>5.0000000000000001E-3</v>
      </c>
      <c r="F6408" s="508">
        <v>5.0000000000000001E-3</v>
      </c>
      <c r="G6408" s="508">
        <v>5.0000000000000001E-3</v>
      </c>
      <c r="H6408" s="508">
        <v>5.0000000000000001E-3</v>
      </c>
      <c r="I6408" s="508">
        <v>5.0000000000000001E-3</v>
      </c>
      <c r="J6408" s="508">
        <v>5.0000000000000001E-3</v>
      </c>
      <c r="K6408" s="508">
        <v>5.0000000000000001E-3</v>
      </c>
      <c r="L6408" s="508">
        <v>5.0000000000000001E-3</v>
      </c>
      <c r="M6408" s="508">
        <v>5.0000000000000001E-3</v>
      </c>
      <c r="N6408" s="508">
        <v>5.0000000000000001E-3</v>
      </c>
      <c r="O6408" s="508">
        <v>5.0000000000000001E-3</v>
      </c>
      <c r="P6408" s="508">
        <v>5.0000000000000001E-3</v>
      </c>
      <c r="Q6408" s="508">
        <v>5.0000000000000001E-3</v>
      </c>
      <c r="R6408" s="508">
        <v>5.0000000000000001E-3</v>
      </c>
      <c r="S6408" s="508">
        <v>5.0000000000000001E-3</v>
      </c>
      <c r="T6408" s="508">
        <v>5.0000000000000001E-3</v>
      </c>
      <c r="U6408" s="508">
        <v>5.0000000000000001E-3</v>
      </c>
      <c r="V6408" s="508">
        <v>5.0000000000000001E-3</v>
      </c>
      <c r="W6408" s="508">
        <v>5.0000000000000001E-3</v>
      </c>
      <c r="X6408" s="508">
        <v>5.0000000000000001E-3</v>
      </c>
      <c r="Y6408" s="508">
        <v>5.0000000000000001E-3</v>
      </c>
      <c r="Z6408" s="508">
        <v>5.0000000000000001E-3</v>
      </c>
      <c r="AA6408" s="508">
        <v>5.0000000000000001E-3</v>
      </c>
      <c r="AB6408" s="508">
        <v>5.0000000000000001E-3</v>
      </c>
      <c r="AC6408" s="508">
        <v>5.0000000000000001E-3</v>
      </c>
      <c r="AD6408" s="508">
        <v>5.0000000000000001E-3</v>
      </c>
      <c r="AE6408" s="508">
        <v>5.0000000000000001E-3</v>
      </c>
      <c r="AF6408" s="508">
        <v>5.0000000000000001E-3</v>
      </c>
      <c r="AG6408" s="508">
        <v>5.0000000000000001E-3</v>
      </c>
      <c r="AH6408" s="508">
        <v>5.0000000000000001E-3</v>
      </c>
      <c r="AI6408" s="492">
        <v>5.0000000000000001E-3</v>
      </c>
      <c r="AJ6408" s="485"/>
    </row>
    <row r="6409" spans="2:36">
      <c r="B6409" s="136" t="s">
        <v>446</v>
      </c>
      <c r="C6409" s="132" t="s">
        <v>1366</v>
      </c>
      <c r="D6409" s="132" t="s">
        <v>1380</v>
      </c>
      <c r="E6409" s="508">
        <v>5.0000000000000001E-3</v>
      </c>
      <c r="F6409" s="508">
        <v>5.0000000000000001E-3</v>
      </c>
      <c r="G6409" s="508">
        <v>5.0000000000000001E-3</v>
      </c>
      <c r="H6409" s="508">
        <v>5.0000000000000001E-3</v>
      </c>
      <c r="I6409" s="508">
        <v>5.0000000000000001E-3</v>
      </c>
      <c r="J6409" s="508">
        <v>5.0000000000000001E-3</v>
      </c>
      <c r="K6409" s="508">
        <v>5.0000000000000001E-3</v>
      </c>
      <c r="L6409" s="508">
        <v>5.0000000000000001E-3</v>
      </c>
      <c r="M6409" s="508">
        <v>5.0000000000000001E-3</v>
      </c>
      <c r="N6409" s="508">
        <v>5.0000000000000001E-3</v>
      </c>
      <c r="O6409" s="508">
        <v>5.0000000000000001E-3</v>
      </c>
      <c r="P6409" s="508">
        <v>5.0000000000000001E-3</v>
      </c>
      <c r="Q6409" s="508">
        <v>5.0000000000000001E-3</v>
      </c>
      <c r="R6409" s="508">
        <v>5.0000000000000001E-3</v>
      </c>
      <c r="S6409" s="508">
        <v>5.0000000000000001E-3</v>
      </c>
      <c r="T6409" s="508">
        <v>5.0000000000000001E-3</v>
      </c>
      <c r="U6409" s="508">
        <v>5.0000000000000001E-3</v>
      </c>
      <c r="V6409" s="508">
        <v>5.0000000000000001E-3</v>
      </c>
      <c r="W6409" s="508">
        <v>5.0000000000000001E-3</v>
      </c>
      <c r="X6409" s="508">
        <v>5.0000000000000001E-3</v>
      </c>
      <c r="Y6409" s="508">
        <v>5.0000000000000001E-3</v>
      </c>
      <c r="Z6409" s="508">
        <v>5.0000000000000001E-3</v>
      </c>
      <c r="AA6409" s="508">
        <v>5.0000000000000001E-3</v>
      </c>
      <c r="AB6409" s="508">
        <v>5.0000000000000001E-3</v>
      </c>
      <c r="AC6409" s="508">
        <v>5.0000000000000001E-3</v>
      </c>
      <c r="AD6409" s="508">
        <v>5.0000000000000001E-3</v>
      </c>
      <c r="AE6409" s="508">
        <v>5.0000000000000001E-3</v>
      </c>
      <c r="AF6409" s="508">
        <v>5.0000000000000001E-3</v>
      </c>
      <c r="AG6409" s="508">
        <v>5.0000000000000001E-3</v>
      </c>
      <c r="AH6409" s="508">
        <v>5.0000000000000001E-3</v>
      </c>
      <c r="AI6409" s="492">
        <v>5.0000000000000001E-3</v>
      </c>
      <c r="AJ6409" s="485"/>
    </row>
    <row r="6410" spans="2:36">
      <c r="B6410" s="136" t="s">
        <v>448</v>
      </c>
      <c r="C6410" s="132" t="s">
        <v>1366</v>
      </c>
      <c r="D6410" s="132" t="s">
        <v>1380</v>
      </c>
      <c r="E6410" s="508">
        <v>4.0000000000000001E-3</v>
      </c>
      <c r="F6410" s="508">
        <v>4.0000000000000001E-3</v>
      </c>
      <c r="G6410" s="508">
        <v>4.0000000000000001E-3</v>
      </c>
      <c r="H6410" s="508">
        <v>4.0000000000000001E-3</v>
      </c>
      <c r="I6410" s="508">
        <v>4.0000000000000001E-3</v>
      </c>
      <c r="J6410" s="508">
        <v>4.0000000000000001E-3</v>
      </c>
      <c r="K6410" s="508">
        <v>4.0000000000000001E-3</v>
      </c>
      <c r="L6410" s="508">
        <v>4.0000000000000001E-3</v>
      </c>
      <c r="M6410" s="508">
        <v>4.0000000000000001E-3</v>
      </c>
      <c r="N6410" s="508">
        <v>4.0000000000000001E-3</v>
      </c>
      <c r="O6410" s="508">
        <v>4.0000000000000001E-3</v>
      </c>
      <c r="P6410" s="508">
        <v>4.0000000000000001E-3</v>
      </c>
      <c r="Q6410" s="508">
        <v>4.0000000000000001E-3</v>
      </c>
      <c r="R6410" s="508">
        <v>4.0000000000000001E-3</v>
      </c>
      <c r="S6410" s="508">
        <v>4.0000000000000001E-3</v>
      </c>
      <c r="T6410" s="508">
        <v>4.0000000000000001E-3</v>
      </c>
      <c r="U6410" s="508">
        <v>4.0000000000000001E-3</v>
      </c>
      <c r="V6410" s="508">
        <v>4.0000000000000001E-3</v>
      </c>
      <c r="W6410" s="508">
        <v>4.0000000000000001E-3</v>
      </c>
      <c r="X6410" s="508">
        <v>4.0000000000000001E-3</v>
      </c>
      <c r="Y6410" s="508">
        <v>4.0000000000000001E-3</v>
      </c>
      <c r="Z6410" s="508">
        <v>4.0000000000000001E-3</v>
      </c>
      <c r="AA6410" s="508">
        <v>4.0000000000000001E-3</v>
      </c>
      <c r="AB6410" s="508">
        <v>4.0000000000000001E-3</v>
      </c>
      <c r="AC6410" s="508">
        <v>4.0000000000000001E-3</v>
      </c>
      <c r="AD6410" s="508">
        <v>4.0000000000000001E-3</v>
      </c>
      <c r="AE6410" s="508">
        <v>4.0000000000000001E-3</v>
      </c>
      <c r="AF6410" s="508">
        <v>4.0000000000000001E-3</v>
      </c>
      <c r="AG6410" s="508">
        <v>4.0000000000000001E-3</v>
      </c>
      <c r="AH6410" s="508">
        <v>4.0000000000000001E-3</v>
      </c>
      <c r="AI6410" s="492">
        <v>4.0000000000000001E-3</v>
      </c>
      <c r="AJ6410" s="485"/>
    </row>
    <row r="6411" spans="2:36">
      <c r="B6411" s="136" t="s">
        <v>449</v>
      </c>
      <c r="C6411" s="132" t="s">
        <v>1366</v>
      </c>
      <c r="D6411" s="132" t="s">
        <v>1380</v>
      </c>
      <c r="E6411" s="508">
        <v>4.0000000000000001E-3</v>
      </c>
      <c r="F6411" s="508">
        <v>4.0000000000000001E-3</v>
      </c>
      <c r="G6411" s="508">
        <v>4.0000000000000001E-3</v>
      </c>
      <c r="H6411" s="508">
        <v>4.0000000000000001E-3</v>
      </c>
      <c r="I6411" s="508">
        <v>4.0000000000000001E-3</v>
      </c>
      <c r="J6411" s="508">
        <v>4.0000000000000001E-3</v>
      </c>
      <c r="K6411" s="508">
        <v>4.0000000000000001E-3</v>
      </c>
      <c r="L6411" s="508">
        <v>4.0000000000000001E-3</v>
      </c>
      <c r="M6411" s="508">
        <v>4.0000000000000001E-3</v>
      </c>
      <c r="N6411" s="508">
        <v>4.0000000000000001E-3</v>
      </c>
      <c r="O6411" s="508">
        <v>4.0000000000000001E-3</v>
      </c>
      <c r="P6411" s="508">
        <v>4.0000000000000001E-3</v>
      </c>
      <c r="Q6411" s="508">
        <v>4.0000000000000001E-3</v>
      </c>
      <c r="R6411" s="508">
        <v>4.0000000000000001E-3</v>
      </c>
      <c r="S6411" s="508">
        <v>4.0000000000000001E-3</v>
      </c>
      <c r="T6411" s="508">
        <v>4.0000000000000001E-3</v>
      </c>
      <c r="U6411" s="508">
        <v>4.0000000000000001E-3</v>
      </c>
      <c r="V6411" s="508">
        <v>4.0000000000000001E-3</v>
      </c>
      <c r="W6411" s="508">
        <v>4.0000000000000001E-3</v>
      </c>
      <c r="X6411" s="508">
        <v>4.0000000000000001E-3</v>
      </c>
      <c r="Y6411" s="508">
        <v>4.0000000000000001E-3</v>
      </c>
      <c r="Z6411" s="508">
        <v>4.0000000000000001E-3</v>
      </c>
      <c r="AA6411" s="508">
        <v>4.0000000000000001E-3</v>
      </c>
      <c r="AB6411" s="508">
        <v>4.0000000000000001E-3</v>
      </c>
      <c r="AC6411" s="508">
        <v>4.0000000000000001E-3</v>
      </c>
      <c r="AD6411" s="508">
        <v>4.0000000000000001E-3</v>
      </c>
      <c r="AE6411" s="508">
        <v>4.0000000000000001E-3</v>
      </c>
      <c r="AF6411" s="508">
        <v>4.0000000000000001E-3</v>
      </c>
      <c r="AG6411" s="508">
        <v>4.0000000000000001E-3</v>
      </c>
      <c r="AH6411" s="508">
        <v>4.0000000000000001E-3</v>
      </c>
      <c r="AI6411" s="492">
        <v>4.0000000000000001E-3</v>
      </c>
      <c r="AJ6411" s="485"/>
    </row>
    <row r="6412" spans="2:36">
      <c r="B6412" s="136" t="s">
        <v>450</v>
      </c>
      <c r="C6412" s="132" t="s">
        <v>1366</v>
      </c>
      <c r="D6412" s="132" t="s">
        <v>1380</v>
      </c>
      <c r="E6412" s="508">
        <v>4.0000000000000001E-3</v>
      </c>
      <c r="F6412" s="508">
        <v>4.0000000000000001E-3</v>
      </c>
      <c r="G6412" s="508">
        <v>4.0000000000000001E-3</v>
      </c>
      <c r="H6412" s="508">
        <v>4.0000000000000001E-3</v>
      </c>
      <c r="I6412" s="508">
        <v>4.0000000000000001E-3</v>
      </c>
      <c r="J6412" s="508">
        <v>4.0000000000000001E-3</v>
      </c>
      <c r="K6412" s="508">
        <v>4.0000000000000001E-3</v>
      </c>
      <c r="L6412" s="508">
        <v>4.0000000000000001E-3</v>
      </c>
      <c r="M6412" s="508">
        <v>4.0000000000000001E-3</v>
      </c>
      <c r="N6412" s="508">
        <v>4.0000000000000001E-3</v>
      </c>
      <c r="O6412" s="508">
        <v>4.0000000000000001E-3</v>
      </c>
      <c r="P6412" s="508">
        <v>4.0000000000000001E-3</v>
      </c>
      <c r="Q6412" s="508">
        <v>4.0000000000000001E-3</v>
      </c>
      <c r="R6412" s="508">
        <v>4.0000000000000001E-3</v>
      </c>
      <c r="S6412" s="508">
        <v>4.0000000000000001E-3</v>
      </c>
      <c r="T6412" s="508">
        <v>4.0000000000000001E-3</v>
      </c>
      <c r="U6412" s="508">
        <v>4.0000000000000001E-3</v>
      </c>
      <c r="V6412" s="508">
        <v>4.0000000000000001E-3</v>
      </c>
      <c r="W6412" s="508">
        <v>4.0000000000000001E-3</v>
      </c>
      <c r="X6412" s="508">
        <v>4.0000000000000001E-3</v>
      </c>
      <c r="Y6412" s="508">
        <v>4.0000000000000001E-3</v>
      </c>
      <c r="Z6412" s="508">
        <v>4.0000000000000001E-3</v>
      </c>
      <c r="AA6412" s="508">
        <v>4.0000000000000001E-3</v>
      </c>
      <c r="AB6412" s="508">
        <v>4.0000000000000001E-3</v>
      </c>
      <c r="AC6412" s="508">
        <v>4.0000000000000001E-3</v>
      </c>
      <c r="AD6412" s="508">
        <v>4.0000000000000001E-3</v>
      </c>
      <c r="AE6412" s="508">
        <v>4.0000000000000001E-3</v>
      </c>
      <c r="AF6412" s="508">
        <v>4.0000000000000001E-3</v>
      </c>
      <c r="AG6412" s="508">
        <v>4.0000000000000001E-3</v>
      </c>
      <c r="AH6412" s="508">
        <v>4.0000000000000001E-3</v>
      </c>
      <c r="AI6412" s="492">
        <v>4.0000000000000001E-3</v>
      </c>
      <c r="AJ6412" s="485"/>
    </row>
    <row r="6413" spans="2:36">
      <c r="B6413" s="136" t="s">
        <v>451</v>
      </c>
      <c r="C6413" s="132" t="s">
        <v>1366</v>
      </c>
      <c r="D6413" s="132" t="s">
        <v>1380</v>
      </c>
      <c r="E6413" s="508">
        <v>5.0000000000000001E-3</v>
      </c>
      <c r="F6413" s="508">
        <v>5.0000000000000001E-3</v>
      </c>
      <c r="G6413" s="508">
        <v>5.0000000000000001E-3</v>
      </c>
      <c r="H6413" s="508">
        <v>5.0000000000000001E-3</v>
      </c>
      <c r="I6413" s="508">
        <v>5.0000000000000001E-3</v>
      </c>
      <c r="J6413" s="508">
        <v>5.0000000000000001E-3</v>
      </c>
      <c r="K6413" s="508">
        <v>5.0000000000000001E-3</v>
      </c>
      <c r="L6413" s="508">
        <v>5.0000000000000001E-3</v>
      </c>
      <c r="M6413" s="508">
        <v>5.0000000000000001E-3</v>
      </c>
      <c r="N6413" s="508">
        <v>5.0000000000000001E-3</v>
      </c>
      <c r="O6413" s="508">
        <v>5.0000000000000001E-3</v>
      </c>
      <c r="P6413" s="508">
        <v>5.0000000000000001E-3</v>
      </c>
      <c r="Q6413" s="508">
        <v>5.0000000000000001E-3</v>
      </c>
      <c r="R6413" s="508">
        <v>5.0000000000000001E-3</v>
      </c>
      <c r="S6413" s="508">
        <v>5.0000000000000001E-3</v>
      </c>
      <c r="T6413" s="508">
        <v>5.0000000000000001E-3</v>
      </c>
      <c r="U6413" s="508">
        <v>5.0000000000000001E-3</v>
      </c>
      <c r="V6413" s="508">
        <v>5.0000000000000001E-3</v>
      </c>
      <c r="W6413" s="508">
        <v>5.0000000000000001E-3</v>
      </c>
      <c r="X6413" s="508">
        <v>5.0000000000000001E-3</v>
      </c>
      <c r="Y6413" s="508">
        <v>5.0000000000000001E-3</v>
      </c>
      <c r="Z6413" s="508">
        <v>5.0000000000000001E-3</v>
      </c>
      <c r="AA6413" s="508">
        <v>5.0000000000000001E-3</v>
      </c>
      <c r="AB6413" s="508">
        <v>5.0000000000000001E-3</v>
      </c>
      <c r="AC6413" s="508">
        <v>5.0000000000000001E-3</v>
      </c>
      <c r="AD6413" s="508">
        <v>5.0000000000000001E-3</v>
      </c>
      <c r="AE6413" s="508">
        <v>5.0000000000000001E-3</v>
      </c>
      <c r="AF6413" s="508">
        <v>5.0000000000000001E-3</v>
      </c>
      <c r="AG6413" s="508">
        <v>5.0000000000000001E-3</v>
      </c>
      <c r="AH6413" s="508">
        <v>5.0000000000000001E-3</v>
      </c>
      <c r="AI6413" s="492">
        <v>5.0000000000000001E-3</v>
      </c>
      <c r="AJ6413" s="485"/>
    </row>
    <row r="6414" spans="2:36">
      <c r="B6414" s="136" t="s">
        <v>452</v>
      </c>
      <c r="C6414" s="132" t="s">
        <v>1366</v>
      </c>
      <c r="D6414" s="132" t="s">
        <v>1380</v>
      </c>
      <c r="E6414" s="508">
        <v>4.0000000000000001E-3</v>
      </c>
      <c r="F6414" s="508">
        <v>4.0000000000000001E-3</v>
      </c>
      <c r="G6414" s="508">
        <v>4.0000000000000001E-3</v>
      </c>
      <c r="H6414" s="508">
        <v>4.0000000000000001E-3</v>
      </c>
      <c r="I6414" s="508">
        <v>4.0000000000000001E-3</v>
      </c>
      <c r="J6414" s="508">
        <v>4.0000000000000001E-3</v>
      </c>
      <c r="K6414" s="508">
        <v>4.0000000000000001E-3</v>
      </c>
      <c r="L6414" s="508">
        <v>4.0000000000000001E-3</v>
      </c>
      <c r="M6414" s="508">
        <v>4.0000000000000001E-3</v>
      </c>
      <c r="N6414" s="508">
        <v>4.0000000000000001E-3</v>
      </c>
      <c r="O6414" s="508">
        <v>4.0000000000000001E-3</v>
      </c>
      <c r="P6414" s="508">
        <v>4.0000000000000001E-3</v>
      </c>
      <c r="Q6414" s="508">
        <v>4.0000000000000001E-3</v>
      </c>
      <c r="R6414" s="508">
        <v>4.0000000000000001E-3</v>
      </c>
      <c r="S6414" s="508">
        <v>4.0000000000000001E-3</v>
      </c>
      <c r="T6414" s="508">
        <v>4.0000000000000001E-3</v>
      </c>
      <c r="U6414" s="508">
        <v>4.0000000000000001E-3</v>
      </c>
      <c r="V6414" s="508">
        <v>4.0000000000000001E-3</v>
      </c>
      <c r="W6414" s="508">
        <v>4.0000000000000001E-3</v>
      </c>
      <c r="X6414" s="508">
        <v>4.0000000000000001E-3</v>
      </c>
      <c r="Y6414" s="508">
        <v>4.0000000000000001E-3</v>
      </c>
      <c r="Z6414" s="508">
        <v>4.0000000000000001E-3</v>
      </c>
      <c r="AA6414" s="508">
        <v>4.0000000000000001E-3</v>
      </c>
      <c r="AB6414" s="508">
        <v>4.0000000000000001E-3</v>
      </c>
      <c r="AC6414" s="508">
        <v>4.0000000000000001E-3</v>
      </c>
      <c r="AD6414" s="508">
        <v>4.0000000000000001E-3</v>
      </c>
      <c r="AE6414" s="508">
        <v>4.0000000000000001E-3</v>
      </c>
      <c r="AF6414" s="508">
        <v>4.0000000000000001E-3</v>
      </c>
      <c r="AG6414" s="508">
        <v>4.0000000000000001E-3</v>
      </c>
      <c r="AH6414" s="508">
        <v>4.0000000000000001E-3</v>
      </c>
      <c r="AI6414" s="492">
        <v>4.0000000000000001E-3</v>
      </c>
      <c r="AJ6414" s="485"/>
    </row>
    <row r="6415" spans="2:36">
      <c r="B6415" s="136" t="s">
        <v>453</v>
      </c>
      <c r="C6415" s="132" t="s">
        <v>1366</v>
      </c>
      <c r="D6415" s="132" t="s">
        <v>1380</v>
      </c>
      <c r="E6415" s="508">
        <v>4.0000000000000001E-3</v>
      </c>
      <c r="F6415" s="508">
        <v>4.0000000000000001E-3</v>
      </c>
      <c r="G6415" s="508">
        <v>4.0000000000000001E-3</v>
      </c>
      <c r="H6415" s="508">
        <v>4.0000000000000001E-3</v>
      </c>
      <c r="I6415" s="508">
        <v>4.0000000000000001E-3</v>
      </c>
      <c r="J6415" s="508">
        <v>4.0000000000000001E-3</v>
      </c>
      <c r="K6415" s="508">
        <v>4.0000000000000001E-3</v>
      </c>
      <c r="L6415" s="508">
        <v>4.0000000000000001E-3</v>
      </c>
      <c r="M6415" s="508">
        <v>4.0000000000000001E-3</v>
      </c>
      <c r="N6415" s="508">
        <v>4.0000000000000001E-3</v>
      </c>
      <c r="O6415" s="508">
        <v>4.0000000000000001E-3</v>
      </c>
      <c r="P6415" s="508">
        <v>4.0000000000000001E-3</v>
      </c>
      <c r="Q6415" s="508">
        <v>4.0000000000000001E-3</v>
      </c>
      <c r="R6415" s="508">
        <v>4.0000000000000001E-3</v>
      </c>
      <c r="S6415" s="508">
        <v>4.0000000000000001E-3</v>
      </c>
      <c r="T6415" s="508">
        <v>4.0000000000000001E-3</v>
      </c>
      <c r="U6415" s="508">
        <v>4.0000000000000001E-3</v>
      </c>
      <c r="V6415" s="508">
        <v>4.0000000000000001E-3</v>
      </c>
      <c r="W6415" s="508">
        <v>4.0000000000000001E-3</v>
      </c>
      <c r="X6415" s="508">
        <v>4.0000000000000001E-3</v>
      </c>
      <c r="Y6415" s="508">
        <v>4.0000000000000001E-3</v>
      </c>
      <c r="Z6415" s="508">
        <v>4.0000000000000001E-3</v>
      </c>
      <c r="AA6415" s="508">
        <v>4.0000000000000001E-3</v>
      </c>
      <c r="AB6415" s="508">
        <v>4.0000000000000001E-3</v>
      </c>
      <c r="AC6415" s="508">
        <v>4.0000000000000001E-3</v>
      </c>
      <c r="AD6415" s="508">
        <v>4.0000000000000001E-3</v>
      </c>
      <c r="AE6415" s="508">
        <v>4.0000000000000001E-3</v>
      </c>
      <c r="AF6415" s="508">
        <v>4.0000000000000001E-3</v>
      </c>
      <c r="AG6415" s="508">
        <v>4.0000000000000001E-3</v>
      </c>
      <c r="AH6415" s="508">
        <v>4.0000000000000001E-3</v>
      </c>
      <c r="AI6415" s="492">
        <v>4.0000000000000001E-3</v>
      </c>
      <c r="AJ6415" s="485"/>
    </row>
    <row r="6416" spans="2:36">
      <c r="B6416" s="136" t="s">
        <v>454</v>
      </c>
      <c r="C6416" s="132" t="s">
        <v>1366</v>
      </c>
      <c r="D6416" s="132" t="s">
        <v>1380</v>
      </c>
      <c r="E6416" s="508">
        <v>4.0000000000000001E-3</v>
      </c>
      <c r="F6416" s="508">
        <v>4.0000000000000001E-3</v>
      </c>
      <c r="G6416" s="508">
        <v>4.0000000000000001E-3</v>
      </c>
      <c r="H6416" s="508">
        <v>4.0000000000000001E-3</v>
      </c>
      <c r="I6416" s="508">
        <v>4.0000000000000001E-3</v>
      </c>
      <c r="J6416" s="508">
        <v>4.0000000000000001E-3</v>
      </c>
      <c r="K6416" s="508">
        <v>4.0000000000000001E-3</v>
      </c>
      <c r="L6416" s="508">
        <v>4.0000000000000001E-3</v>
      </c>
      <c r="M6416" s="508">
        <v>4.0000000000000001E-3</v>
      </c>
      <c r="N6416" s="508">
        <v>4.0000000000000001E-3</v>
      </c>
      <c r="O6416" s="508">
        <v>4.0000000000000001E-3</v>
      </c>
      <c r="P6416" s="508">
        <v>4.0000000000000001E-3</v>
      </c>
      <c r="Q6416" s="508">
        <v>4.0000000000000001E-3</v>
      </c>
      <c r="R6416" s="508">
        <v>4.0000000000000001E-3</v>
      </c>
      <c r="S6416" s="508">
        <v>4.0000000000000001E-3</v>
      </c>
      <c r="T6416" s="508">
        <v>4.0000000000000001E-3</v>
      </c>
      <c r="U6416" s="508">
        <v>4.0000000000000001E-3</v>
      </c>
      <c r="V6416" s="508">
        <v>4.0000000000000001E-3</v>
      </c>
      <c r="W6416" s="508">
        <v>4.0000000000000001E-3</v>
      </c>
      <c r="X6416" s="508">
        <v>4.0000000000000001E-3</v>
      </c>
      <c r="Y6416" s="508">
        <v>4.0000000000000001E-3</v>
      </c>
      <c r="Z6416" s="508">
        <v>4.0000000000000001E-3</v>
      </c>
      <c r="AA6416" s="508">
        <v>4.0000000000000001E-3</v>
      </c>
      <c r="AB6416" s="508">
        <v>4.0000000000000001E-3</v>
      </c>
      <c r="AC6416" s="508">
        <v>4.0000000000000001E-3</v>
      </c>
      <c r="AD6416" s="508">
        <v>4.0000000000000001E-3</v>
      </c>
      <c r="AE6416" s="508">
        <v>4.0000000000000001E-3</v>
      </c>
      <c r="AF6416" s="508">
        <v>4.0000000000000001E-3</v>
      </c>
      <c r="AG6416" s="508">
        <v>4.0000000000000001E-3</v>
      </c>
      <c r="AH6416" s="508">
        <v>4.0000000000000001E-3</v>
      </c>
      <c r="AI6416" s="492">
        <v>4.0000000000000001E-3</v>
      </c>
      <c r="AJ6416" s="485"/>
    </row>
    <row r="6417" spans="2:36">
      <c r="B6417" s="136" t="s">
        <v>455</v>
      </c>
      <c r="C6417" s="132" t="s">
        <v>1366</v>
      </c>
      <c r="D6417" s="132" t="s">
        <v>1380</v>
      </c>
      <c r="E6417" s="508">
        <v>3.0000000000000001E-3</v>
      </c>
      <c r="F6417" s="508">
        <v>3.0000000000000001E-3</v>
      </c>
      <c r="G6417" s="508">
        <v>3.0000000000000001E-3</v>
      </c>
      <c r="H6417" s="508">
        <v>3.0000000000000001E-3</v>
      </c>
      <c r="I6417" s="508">
        <v>3.0000000000000001E-3</v>
      </c>
      <c r="J6417" s="508">
        <v>3.0000000000000001E-3</v>
      </c>
      <c r="K6417" s="508">
        <v>3.0000000000000001E-3</v>
      </c>
      <c r="L6417" s="508">
        <v>3.0000000000000001E-3</v>
      </c>
      <c r="M6417" s="508">
        <v>3.0000000000000001E-3</v>
      </c>
      <c r="N6417" s="508">
        <v>3.0000000000000001E-3</v>
      </c>
      <c r="O6417" s="508">
        <v>3.0000000000000001E-3</v>
      </c>
      <c r="P6417" s="508">
        <v>3.0000000000000001E-3</v>
      </c>
      <c r="Q6417" s="508">
        <v>3.0000000000000001E-3</v>
      </c>
      <c r="R6417" s="508">
        <v>3.0000000000000001E-3</v>
      </c>
      <c r="S6417" s="508">
        <v>3.0000000000000001E-3</v>
      </c>
      <c r="T6417" s="508">
        <v>3.0000000000000001E-3</v>
      </c>
      <c r="U6417" s="508">
        <v>3.0000000000000001E-3</v>
      </c>
      <c r="V6417" s="508">
        <v>3.0000000000000001E-3</v>
      </c>
      <c r="W6417" s="508">
        <v>3.0000000000000001E-3</v>
      </c>
      <c r="X6417" s="508">
        <v>3.0000000000000001E-3</v>
      </c>
      <c r="Y6417" s="508">
        <v>3.0000000000000001E-3</v>
      </c>
      <c r="Z6417" s="508">
        <v>3.0000000000000001E-3</v>
      </c>
      <c r="AA6417" s="508">
        <v>3.0000000000000001E-3</v>
      </c>
      <c r="AB6417" s="508">
        <v>3.0000000000000001E-3</v>
      </c>
      <c r="AC6417" s="508">
        <v>3.0000000000000001E-3</v>
      </c>
      <c r="AD6417" s="508">
        <v>3.0000000000000001E-3</v>
      </c>
      <c r="AE6417" s="508">
        <v>3.0000000000000001E-3</v>
      </c>
      <c r="AF6417" s="508">
        <v>3.0000000000000001E-3</v>
      </c>
      <c r="AG6417" s="508">
        <v>3.0000000000000001E-3</v>
      </c>
      <c r="AH6417" s="508">
        <v>3.0000000000000001E-3</v>
      </c>
      <c r="AI6417" s="492">
        <v>3.0000000000000001E-3</v>
      </c>
      <c r="AJ6417" s="485"/>
    </row>
    <row r="6418" spans="2:36">
      <c r="B6418" s="136" t="s">
        <v>456</v>
      </c>
      <c r="C6418" s="132" t="s">
        <v>1366</v>
      </c>
      <c r="D6418" s="132" t="s">
        <v>1380</v>
      </c>
      <c r="E6418" s="508">
        <v>4.0000000000000001E-3</v>
      </c>
      <c r="F6418" s="508">
        <v>4.0000000000000001E-3</v>
      </c>
      <c r="G6418" s="508">
        <v>4.0000000000000001E-3</v>
      </c>
      <c r="H6418" s="508">
        <v>4.0000000000000001E-3</v>
      </c>
      <c r="I6418" s="508">
        <v>4.0000000000000001E-3</v>
      </c>
      <c r="J6418" s="508">
        <v>4.0000000000000001E-3</v>
      </c>
      <c r="K6418" s="508">
        <v>4.0000000000000001E-3</v>
      </c>
      <c r="L6418" s="508">
        <v>4.0000000000000001E-3</v>
      </c>
      <c r="M6418" s="508">
        <v>4.0000000000000001E-3</v>
      </c>
      <c r="N6418" s="508">
        <v>4.0000000000000001E-3</v>
      </c>
      <c r="O6418" s="508">
        <v>4.0000000000000001E-3</v>
      </c>
      <c r="P6418" s="508">
        <v>4.0000000000000001E-3</v>
      </c>
      <c r="Q6418" s="508">
        <v>4.0000000000000001E-3</v>
      </c>
      <c r="R6418" s="508">
        <v>4.0000000000000001E-3</v>
      </c>
      <c r="S6418" s="508">
        <v>4.0000000000000001E-3</v>
      </c>
      <c r="T6418" s="508">
        <v>4.0000000000000001E-3</v>
      </c>
      <c r="U6418" s="508">
        <v>4.0000000000000001E-3</v>
      </c>
      <c r="V6418" s="508">
        <v>4.0000000000000001E-3</v>
      </c>
      <c r="W6418" s="508">
        <v>4.0000000000000001E-3</v>
      </c>
      <c r="X6418" s="508">
        <v>4.0000000000000001E-3</v>
      </c>
      <c r="Y6418" s="508">
        <v>4.0000000000000001E-3</v>
      </c>
      <c r="Z6418" s="508">
        <v>4.0000000000000001E-3</v>
      </c>
      <c r="AA6418" s="508">
        <v>4.0000000000000001E-3</v>
      </c>
      <c r="AB6418" s="508">
        <v>4.0000000000000001E-3</v>
      </c>
      <c r="AC6418" s="508">
        <v>4.0000000000000001E-3</v>
      </c>
      <c r="AD6418" s="508">
        <v>4.0000000000000001E-3</v>
      </c>
      <c r="AE6418" s="508">
        <v>4.0000000000000001E-3</v>
      </c>
      <c r="AF6418" s="508">
        <v>4.0000000000000001E-3</v>
      </c>
      <c r="AG6418" s="508">
        <v>4.0000000000000001E-3</v>
      </c>
      <c r="AH6418" s="508">
        <v>4.0000000000000001E-3</v>
      </c>
      <c r="AI6418" s="492">
        <v>4.0000000000000001E-3</v>
      </c>
      <c r="AJ6418" s="485"/>
    </row>
    <row r="6419" spans="2:36">
      <c r="B6419" s="136" t="s">
        <v>457</v>
      </c>
      <c r="C6419" s="132" t="s">
        <v>1366</v>
      </c>
      <c r="D6419" s="132" t="s">
        <v>1380</v>
      </c>
      <c r="E6419" s="508">
        <v>3.0000000000000001E-3</v>
      </c>
      <c r="F6419" s="508">
        <v>3.0000000000000001E-3</v>
      </c>
      <c r="G6419" s="508">
        <v>3.0000000000000001E-3</v>
      </c>
      <c r="H6419" s="508">
        <v>3.0000000000000001E-3</v>
      </c>
      <c r="I6419" s="508">
        <v>3.0000000000000001E-3</v>
      </c>
      <c r="J6419" s="508">
        <v>3.0000000000000001E-3</v>
      </c>
      <c r="K6419" s="508">
        <v>3.0000000000000001E-3</v>
      </c>
      <c r="L6419" s="508">
        <v>3.0000000000000001E-3</v>
      </c>
      <c r="M6419" s="508">
        <v>3.0000000000000001E-3</v>
      </c>
      <c r="N6419" s="508">
        <v>3.0000000000000001E-3</v>
      </c>
      <c r="O6419" s="508">
        <v>3.0000000000000001E-3</v>
      </c>
      <c r="P6419" s="508">
        <v>3.0000000000000001E-3</v>
      </c>
      <c r="Q6419" s="508">
        <v>3.0000000000000001E-3</v>
      </c>
      <c r="R6419" s="508">
        <v>3.0000000000000001E-3</v>
      </c>
      <c r="S6419" s="508">
        <v>3.0000000000000001E-3</v>
      </c>
      <c r="T6419" s="508">
        <v>3.0000000000000001E-3</v>
      </c>
      <c r="U6419" s="508">
        <v>3.0000000000000001E-3</v>
      </c>
      <c r="V6419" s="508">
        <v>3.0000000000000001E-3</v>
      </c>
      <c r="W6419" s="508">
        <v>3.0000000000000001E-3</v>
      </c>
      <c r="X6419" s="508">
        <v>3.0000000000000001E-3</v>
      </c>
      <c r="Y6419" s="508">
        <v>3.0000000000000001E-3</v>
      </c>
      <c r="Z6419" s="508">
        <v>3.0000000000000001E-3</v>
      </c>
      <c r="AA6419" s="508">
        <v>3.0000000000000001E-3</v>
      </c>
      <c r="AB6419" s="508">
        <v>3.0000000000000001E-3</v>
      </c>
      <c r="AC6419" s="508">
        <v>3.0000000000000001E-3</v>
      </c>
      <c r="AD6419" s="508">
        <v>3.0000000000000001E-3</v>
      </c>
      <c r="AE6419" s="508">
        <v>3.0000000000000001E-3</v>
      </c>
      <c r="AF6419" s="508">
        <v>3.0000000000000001E-3</v>
      </c>
      <c r="AG6419" s="508">
        <v>3.0000000000000001E-3</v>
      </c>
      <c r="AH6419" s="508">
        <v>3.0000000000000001E-3</v>
      </c>
      <c r="AI6419" s="492">
        <v>3.0000000000000001E-3</v>
      </c>
      <c r="AJ6419" s="485"/>
    </row>
    <row r="6420" spans="2:36">
      <c r="B6420" s="136" t="s">
        <v>458</v>
      </c>
      <c r="C6420" s="132" t="s">
        <v>1366</v>
      </c>
      <c r="D6420" s="132" t="s">
        <v>1380</v>
      </c>
      <c r="E6420" s="508">
        <v>4.0000000000000001E-3</v>
      </c>
      <c r="F6420" s="508">
        <v>4.0000000000000001E-3</v>
      </c>
      <c r="G6420" s="508">
        <v>4.0000000000000001E-3</v>
      </c>
      <c r="H6420" s="508">
        <v>4.0000000000000001E-3</v>
      </c>
      <c r="I6420" s="508">
        <v>4.0000000000000001E-3</v>
      </c>
      <c r="J6420" s="508">
        <v>4.0000000000000001E-3</v>
      </c>
      <c r="K6420" s="508">
        <v>4.0000000000000001E-3</v>
      </c>
      <c r="L6420" s="508">
        <v>4.0000000000000001E-3</v>
      </c>
      <c r="M6420" s="508">
        <v>4.0000000000000001E-3</v>
      </c>
      <c r="N6420" s="508">
        <v>4.0000000000000001E-3</v>
      </c>
      <c r="O6420" s="508">
        <v>4.0000000000000001E-3</v>
      </c>
      <c r="P6420" s="508">
        <v>4.0000000000000001E-3</v>
      </c>
      <c r="Q6420" s="508">
        <v>4.0000000000000001E-3</v>
      </c>
      <c r="R6420" s="508">
        <v>4.0000000000000001E-3</v>
      </c>
      <c r="S6420" s="508">
        <v>4.0000000000000001E-3</v>
      </c>
      <c r="T6420" s="508">
        <v>4.0000000000000001E-3</v>
      </c>
      <c r="U6420" s="508">
        <v>4.0000000000000001E-3</v>
      </c>
      <c r="V6420" s="508">
        <v>4.0000000000000001E-3</v>
      </c>
      <c r="W6420" s="508">
        <v>4.0000000000000001E-3</v>
      </c>
      <c r="X6420" s="508">
        <v>4.0000000000000001E-3</v>
      </c>
      <c r="Y6420" s="508">
        <v>4.0000000000000001E-3</v>
      </c>
      <c r="Z6420" s="508">
        <v>4.0000000000000001E-3</v>
      </c>
      <c r="AA6420" s="508">
        <v>4.0000000000000001E-3</v>
      </c>
      <c r="AB6420" s="508">
        <v>4.0000000000000001E-3</v>
      </c>
      <c r="AC6420" s="508">
        <v>4.0000000000000001E-3</v>
      </c>
      <c r="AD6420" s="508">
        <v>4.0000000000000001E-3</v>
      </c>
      <c r="AE6420" s="508">
        <v>4.0000000000000001E-3</v>
      </c>
      <c r="AF6420" s="508">
        <v>4.0000000000000001E-3</v>
      </c>
      <c r="AG6420" s="508">
        <v>4.0000000000000001E-3</v>
      </c>
      <c r="AH6420" s="508">
        <v>4.0000000000000001E-3</v>
      </c>
      <c r="AI6420" s="492">
        <v>4.0000000000000001E-3</v>
      </c>
      <c r="AJ6420" s="485"/>
    </row>
    <row r="6421" spans="2:36">
      <c r="B6421" s="136" t="s">
        <v>459</v>
      </c>
      <c r="C6421" s="132" t="s">
        <v>1366</v>
      </c>
      <c r="D6421" s="132" t="s">
        <v>1380</v>
      </c>
      <c r="E6421" s="508">
        <v>4.0000000000000001E-3</v>
      </c>
      <c r="F6421" s="508">
        <v>4.0000000000000001E-3</v>
      </c>
      <c r="G6421" s="508">
        <v>4.0000000000000001E-3</v>
      </c>
      <c r="H6421" s="508">
        <v>4.0000000000000001E-3</v>
      </c>
      <c r="I6421" s="508">
        <v>4.0000000000000001E-3</v>
      </c>
      <c r="J6421" s="508">
        <v>4.0000000000000001E-3</v>
      </c>
      <c r="K6421" s="508">
        <v>4.0000000000000001E-3</v>
      </c>
      <c r="L6421" s="508">
        <v>4.0000000000000001E-3</v>
      </c>
      <c r="M6421" s="508">
        <v>4.0000000000000001E-3</v>
      </c>
      <c r="N6421" s="508">
        <v>4.0000000000000001E-3</v>
      </c>
      <c r="O6421" s="508">
        <v>4.0000000000000001E-3</v>
      </c>
      <c r="P6421" s="508">
        <v>4.0000000000000001E-3</v>
      </c>
      <c r="Q6421" s="508">
        <v>4.0000000000000001E-3</v>
      </c>
      <c r="R6421" s="508">
        <v>4.0000000000000001E-3</v>
      </c>
      <c r="S6421" s="508">
        <v>4.0000000000000001E-3</v>
      </c>
      <c r="T6421" s="508">
        <v>4.0000000000000001E-3</v>
      </c>
      <c r="U6421" s="508">
        <v>4.0000000000000001E-3</v>
      </c>
      <c r="V6421" s="508">
        <v>4.0000000000000001E-3</v>
      </c>
      <c r="W6421" s="508">
        <v>4.0000000000000001E-3</v>
      </c>
      <c r="X6421" s="508">
        <v>4.0000000000000001E-3</v>
      </c>
      <c r="Y6421" s="508">
        <v>4.0000000000000001E-3</v>
      </c>
      <c r="Z6421" s="508">
        <v>4.0000000000000001E-3</v>
      </c>
      <c r="AA6421" s="508">
        <v>4.0000000000000001E-3</v>
      </c>
      <c r="AB6421" s="508">
        <v>4.0000000000000001E-3</v>
      </c>
      <c r="AC6421" s="508">
        <v>4.0000000000000001E-3</v>
      </c>
      <c r="AD6421" s="508">
        <v>4.0000000000000001E-3</v>
      </c>
      <c r="AE6421" s="508">
        <v>4.0000000000000001E-3</v>
      </c>
      <c r="AF6421" s="508">
        <v>4.0000000000000001E-3</v>
      </c>
      <c r="AG6421" s="508">
        <v>4.0000000000000001E-3</v>
      </c>
      <c r="AH6421" s="508">
        <v>4.0000000000000001E-3</v>
      </c>
      <c r="AI6421" s="492">
        <v>4.0000000000000001E-3</v>
      </c>
      <c r="AJ6421" s="485"/>
    </row>
    <row r="6422" spans="2:36">
      <c r="B6422" s="136" t="s">
        <v>460</v>
      </c>
      <c r="C6422" s="132" t="s">
        <v>1366</v>
      </c>
      <c r="D6422" s="132" t="s">
        <v>1380</v>
      </c>
      <c r="E6422" s="508">
        <v>4.0000000000000001E-3</v>
      </c>
      <c r="F6422" s="508">
        <v>4.0000000000000001E-3</v>
      </c>
      <c r="G6422" s="508">
        <v>4.0000000000000001E-3</v>
      </c>
      <c r="H6422" s="508">
        <v>4.0000000000000001E-3</v>
      </c>
      <c r="I6422" s="508">
        <v>4.0000000000000001E-3</v>
      </c>
      <c r="J6422" s="508">
        <v>4.0000000000000001E-3</v>
      </c>
      <c r="K6422" s="508">
        <v>4.0000000000000001E-3</v>
      </c>
      <c r="L6422" s="508">
        <v>4.0000000000000001E-3</v>
      </c>
      <c r="M6422" s="508">
        <v>4.0000000000000001E-3</v>
      </c>
      <c r="N6422" s="508">
        <v>4.0000000000000001E-3</v>
      </c>
      <c r="O6422" s="508">
        <v>4.0000000000000001E-3</v>
      </c>
      <c r="P6422" s="508">
        <v>4.0000000000000001E-3</v>
      </c>
      <c r="Q6422" s="508">
        <v>4.0000000000000001E-3</v>
      </c>
      <c r="R6422" s="508">
        <v>4.0000000000000001E-3</v>
      </c>
      <c r="S6422" s="508">
        <v>4.0000000000000001E-3</v>
      </c>
      <c r="T6422" s="508">
        <v>4.0000000000000001E-3</v>
      </c>
      <c r="U6422" s="508">
        <v>4.0000000000000001E-3</v>
      </c>
      <c r="V6422" s="508">
        <v>4.0000000000000001E-3</v>
      </c>
      <c r="W6422" s="508">
        <v>4.0000000000000001E-3</v>
      </c>
      <c r="X6422" s="508">
        <v>4.0000000000000001E-3</v>
      </c>
      <c r="Y6422" s="508">
        <v>4.0000000000000001E-3</v>
      </c>
      <c r="Z6422" s="508">
        <v>4.0000000000000001E-3</v>
      </c>
      <c r="AA6422" s="508">
        <v>4.0000000000000001E-3</v>
      </c>
      <c r="AB6422" s="508">
        <v>4.0000000000000001E-3</v>
      </c>
      <c r="AC6422" s="508">
        <v>4.0000000000000001E-3</v>
      </c>
      <c r="AD6422" s="508">
        <v>4.0000000000000001E-3</v>
      </c>
      <c r="AE6422" s="508">
        <v>4.0000000000000001E-3</v>
      </c>
      <c r="AF6422" s="508">
        <v>4.0000000000000001E-3</v>
      </c>
      <c r="AG6422" s="508">
        <v>4.0000000000000001E-3</v>
      </c>
      <c r="AH6422" s="508">
        <v>4.0000000000000001E-3</v>
      </c>
      <c r="AI6422" s="492">
        <v>4.0000000000000001E-3</v>
      </c>
      <c r="AJ6422" s="485"/>
    </row>
    <row r="6423" spans="2:36">
      <c r="B6423" s="136" t="s">
        <v>461</v>
      </c>
      <c r="C6423" s="132" t="s">
        <v>1366</v>
      </c>
      <c r="D6423" s="132" t="s">
        <v>1380</v>
      </c>
      <c r="E6423" s="508">
        <v>4.0000000000000001E-3</v>
      </c>
      <c r="F6423" s="508">
        <v>4.0000000000000001E-3</v>
      </c>
      <c r="G6423" s="508">
        <v>4.0000000000000001E-3</v>
      </c>
      <c r="H6423" s="508">
        <v>4.0000000000000001E-3</v>
      </c>
      <c r="I6423" s="508">
        <v>4.0000000000000001E-3</v>
      </c>
      <c r="J6423" s="508">
        <v>4.0000000000000001E-3</v>
      </c>
      <c r="K6423" s="508">
        <v>4.0000000000000001E-3</v>
      </c>
      <c r="L6423" s="508">
        <v>4.0000000000000001E-3</v>
      </c>
      <c r="M6423" s="508">
        <v>4.0000000000000001E-3</v>
      </c>
      <c r="N6423" s="508">
        <v>4.0000000000000001E-3</v>
      </c>
      <c r="O6423" s="508">
        <v>4.0000000000000001E-3</v>
      </c>
      <c r="P6423" s="508">
        <v>4.0000000000000001E-3</v>
      </c>
      <c r="Q6423" s="508">
        <v>4.0000000000000001E-3</v>
      </c>
      <c r="R6423" s="508">
        <v>4.0000000000000001E-3</v>
      </c>
      <c r="S6423" s="508">
        <v>4.0000000000000001E-3</v>
      </c>
      <c r="T6423" s="508">
        <v>4.0000000000000001E-3</v>
      </c>
      <c r="U6423" s="508">
        <v>4.0000000000000001E-3</v>
      </c>
      <c r="V6423" s="508">
        <v>4.0000000000000001E-3</v>
      </c>
      <c r="W6423" s="508">
        <v>4.0000000000000001E-3</v>
      </c>
      <c r="X6423" s="508">
        <v>4.0000000000000001E-3</v>
      </c>
      <c r="Y6423" s="508">
        <v>4.0000000000000001E-3</v>
      </c>
      <c r="Z6423" s="508">
        <v>4.0000000000000001E-3</v>
      </c>
      <c r="AA6423" s="508">
        <v>4.0000000000000001E-3</v>
      </c>
      <c r="AB6423" s="508">
        <v>4.0000000000000001E-3</v>
      </c>
      <c r="AC6423" s="508">
        <v>4.0000000000000001E-3</v>
      </c>
      <c r="AD6423" s="508">
        <v>4.0000000000000001E-3</v>
      </c>
      <c r="AE6423" s="508">
        <v>4.0000000000000001E-3</v>
      </c>
      <c r="AF6423" s="508">
        <v>4.0000000000000001E-3</v>
      </c>
      <c r="AG6423" s="508">
        <v>4.0000000000000001E-3</v>
      </c>
      <c r="AH6423" s="508">
        <v>4.0000000000000001E-3</v>
      </c>
      <c r="AI6423" s="492">
        <v>4.0000000000000001E-3</v>
      </c>
      <c r="AJ6423" s="485"/>
    </row>
    <row r="6424" spans="2:36">
      <c r="B6424" s="136" t="s">
        <v>462</v>
      </c>
      <c r="C6424" s="132" t="s">
        <v>1366</v>
      </c>
      <c r="D6424" s="132" t="s">
        <v>1380</v>
      </c>
      <c r="E6424" s="508">
        <v>4.0000000000000001E-3</v>
      </c>
      <c r="F6424" s="508">
        <v>4.0000000000000001E-3</v>
      </c>
      <c r="G6424" s="508">
        <v>4.0000000000000001E-3</v>
      </c>
      <c r="H6424" s="508">
        <v>4.0000000000000001E-3</v>
      </c>
      <c r="I6424" s="508">
        <v>4.0000000000000001E-3</v>
      </c>
      <c r="J6424" s="508">
        <v>4.0000000000000001E-3</v>
      </c>
      <c r="K6424" s="508">
        <v>4.0000000000000001E-3</v>
      </c>
      <c r="L6424" s="508">
        <v>4.0000000000000001E-3</v>
      </c>
      <c r="M6424" s="508">
        <v>4.0000000000000001E-3</v>
      </c>
      <c r="N6424" s="508">
        <v>4.0000000000000001E-3</v>
      </c>
      <c r="O6424" s="508">
        <v>4.0000000000000001E-3</v>
      </c>
      <c r="P6424" s="508">
        <v>4.0000000000000001E-3</v>
      </c>
      <c r="Q6424" s="508">
        <v>4.0000000000000001E-3</v>
      </c>
      <c r="R6424" s="508">
        <v>4.0000000000000001E-3</v>
      </c>
      <c r="S6424" s="508">
        <v>4.0000000000000001E-3</v>
      </c>
      <c r="T6424" s="508">
        <v>4.0000000000000001E-3</v>
      </c>
      <c r="U6424" s="508">
        <v>4.0000000000000001E-3</v>
      </c>
      <c r="V6424" s="508">
        <v>4.0000000000000001E-3</v>
      </c>
      <c r="W6424" s="508">
        <v>4.0000000000000001E-3</v>
      </c>
      <c r="X6424" s="508">
        <v>4.0000000000000001E-3</v>
      </c>
      <c r="Y6424" s="508">
        <v>4.0000000000000001E-3</v>
      </c>
      <c r="Z6424" s="508">
        <v>4.0000000000000001E-3</v>
      </c>
      <c r="AA6424" s="508">
        <v>4.0000000000000001E-3</v>
      </c>
      <c r="AB6424" s="508">
        <v>4.0000000000000001E-3</v>
      </c>
      <c r="AC6424" s="508">
        <v>4.0000000000000001E-3</v>
      </c>
      <c r="AD6424" s="508">
        <v>4.0000000000000001E-3</v>
      </c>
      <c r="AE6424" s="508">
        <v>4.0000000000000001E-3</v>
      </c>
      <c r="AF6424" s="508">
        <v>4.0000000000000001E-3</v>
      </c>
      <c r="AG6424" s="508">
        <v>4.0000000000000001E-3</v>
      </c>
      <c r="AH6424" s="508">
        <v>4.0000000000000001E-3</v>
      </c>
      <c r="AI6424" s="492">
        <v>4.0000000000000001E-3</v>
      </c>
      <c r="AJ6424" s="485"/>
    </row>
    <row r="6425" spans="2:36">
      <c r="B6425" s="136" t="s">
        <v>463</v>
      </c>
      <c r="C6425" s="132" t="s">
        <v>1366</v>
      </c>
      <c r="D6425" s="132" t="s">
        <v>1380</v>
      </c>
      <c r="E6425" s="508">
        <v>3.0000000000000001E-3</v>
      </c>
      <c r="F6425" s="508">
        <v>3.0000000000000001E-3</v>
      </c>
      <c r="G6425" s="508">
        <v>3.0000000000000001E-3</v>
      </c>
      <c r="H6425" s="508">
        <v>3.0000000000000001E-3</v>
      </c>
      <c r="I6425" s="508">
        <v>3.0000000000000001E-3</v>
      </c>
      <c r="J6425" s="508">
        <v>3.0000000000000001E-3</v>
      </c>
      <c r="K6425" s="508">
        <v>3.0000000000000001E-3</v>
      </c>
      <c r="L6425" s="508">
        <v>3.0000000000000001E-3</v>
      </c>
      <c r="M6425" s="508">
        <v>3.0000000000000001E-3</v>
      </c>
      <c r="N6425" s="508">
        <v>3.0000000000000001E-3</v>
      </c>
      <c r="O6425" s="508">
        <v>3.0000000000000001E-3</v>
      </c>
      <c r="P6425" s="508">
        <v>3.0000000000000001E-3</v>
      </c>
      <c r="Q6425" s="508">
        <v>3.0000000000000001E-3</v>
      </c>
      <c r="R6425" s="508">
        <v>3.0000000000000001E-3</v>
      </c>
      <c r="S6425" s="508">
        <v>3.0000000000000001E-3</v>
      </c>
      <c r="T6425" s="508">
        <v>3.0000000000000001E-3</v>
      </c>
      <c r="U6425" s="508">
        <v>3.0000000000000001E-3</v>
      </c>
      <c r="V6425" s="508">
        <v>3.0000000000000001E-3</v>
      </c>
      <c r="W6425" s="508">
        <v>3.0000000000000001E-3</v>
      </c>
      <c r="X6425" s="508">
        <v>3.0000000000000001E-3</v>
      </c>
      <c r="Y6425" s="508">
        <v>3.0000000000000001E-3</v>
      </c>
      <c r="Z6425" s="508">
        <v>3.0000000000000001E-3</v>
      </c>
      <c r="AA6425" s="508">
        <v>3.0000000000000001E-3</v>
      </c>
      <c r="AB6425" s="508">
        <v>3.0000000000000001E-3</v>
      </c>
      <c r="AC6425" s="508">
        <v>3.0000000000000001E-3</v>
      </c>
      <c r="AD6425" s="508">
        <v>3.0000000000000001E-3</v>
      </c>
      <c r="AE6425" s="508">
        <v>3.0000000000000001E-3</v>
      </c>
      <c r="AF6425" s="508">
        <v>3.0000000000000001E-3</v>
      </c>
      <c r="AG6425" s="508">
        <v>3.0000000000000001E-3</v>
      </c>
      <c r="AH6425" s="508">
        <v>3.0000000000000001E-3</v>
      </c>
      <c r="AI6425" s="492">
        <v>3.0000000000000001E-3</v>
      </c>
      <c r="AJ6425" s="485"/>
    </row>
    <row r="6426" spans="2:36">
      <c r="B6426" s="136" t="s">
        <v>464</v>
      </c>
      <c r="C6426" s="132" t="s">
        <v>1366</v>
      </c>
      <c r="D6426" s="132" t="s">
        <v>1380</v>
      </c>
      <c r="E6426" s="508">
        <v>3.0000000000000001E-3</v>
      </c>
      <c r="F6426" s="508">
        <v>3.0000000000000001E-3</v>
      </c>
      <c r="G6426" s="508">
        <v>3.0000000000000001E-3</v>
      </c>
      <c r="H6426" s="508">
        <v>3.0000000000000001E-3</v>
      </c>
      <c r="I6426" s="508">
        <v>3.0000000000000001E-3</v>
      </c>
      <c r="J6426" s="508">
        <v>3.0000000000000001E-3</v>
      </c>
      <c r="K6426" s="508">
        <v>3.0000000000000001E-3</v>
      </c>
      <c r="L6426" s="508">
        <v>3.0000000000000001E-3</v>
      </c>
      <c r="M6426" s="508">
        <v>3.0000000000000001E-3</v>
      </c>
      <c r="N6426" s="508">
        <v>3.0000000000000001E-3</v>
      </c>
      <c r="O6426" s="508">
        <v>3.0000000000000001E-3</v>
      </c>
      <c r="P6426" s="508">
        <v>3.0000000000000001E-3</v>
      </c>
      <c r="Q6426" s="508">
        <v>3.0000000000000001E-3</v>
      </c>
      <c r="R6426" s="508">
        <v>3.0000000000000001E-3</v>
      </c>
      <c r="S6426" s="508">
        <v>3.0000000000000001E-3</v>
      </c>
      <c r="T6426" s="508">
        <v>3.0000000000000001E-3</v>
      </c>
      <c r="U6426" s="508">
        <v>3.0000000000000001E-3</v>
      </c>
      <c r="V6426" s="508">
        <v>3.0000000000000001E-3</v>
      </c>
      <c r="W6426" s="508">
        <v>3.0000000000000001E-3</v>
      </c>
      <c r="X6426" s="508">
        <v>3.0000000000000001E-3</v>
      </c>
      <c r="Y6426" s="508">
        <v>3.0000000000000001E-3</v>
      </c>
      <c r="Z6426" s="508">
        <v>3.0000000000000001E-3</v>
      </c>
      <c r="AA6426" s="508">
        <v>3.0000000000000001E-3</v>
      </c>
      <c r="AB6426" s="508">
        <v>3.0000000000000001E-3</v>
      </c>
      <c r="AC6426" s="508">
        <v>3.0000000000000001E-3</v>
      </c>
      <c r="AD6426" s="508">
        <v>3.0000000000000001E-3</v>
      </c>
      <c r="AE6426" s="508">
        <v>3.0000000000000001E-3</v>
      </c>
      <c r="AF6426" s="508">
        <v>3.0000000000000001E-3</v>
      </c>
      <c r="AG6426" s="508">
        <v>3.0000000000000001E-3</v>
      </c>
      <c r="AH6426" s="508">
        <v>3.0000000000000001E-3</v>
      </c>
      <c r="AI6426" s="492">
        <v>3.0000000000000001E-3</v>
      </c>
      <c r="AJ6426" s="485"/>
    </row>
    <row r="6427" spans="2:36">
      <c r="B6427" s="136" t="s">
        <v>465</v>
      </c>
      <c r="C6427" s="132" t="s">
        <v>1366</v>
      </c>
      <c r="D6427" s="132" t="s">
        <v>1380</v>
      </c>
      <c r="E6427" s="508">
        <v>4.0000000000000001E-3</v>
      </c>
      <c r="F6427" s="508">
        <v>4.0000000000000001E-3</v>
      </c>
      <c r="G6427" s="508">
        <v>4.0000000000000001E-3</v>
      </c>
      <c r="H6427" s="508">
        <v>4.0000000000000001E-3</v>
      </c>
      <c r="I6427" s="508">
        <v>4.0000000000000001E-3</v>
      </c>
      <c r="J6427" s="508">
        <v>4.0000000000000001E-3</v>
      </c>
      <c r="K6427" s="508">
        <v>4.0000000000000001E-3</v>
      </c>
      <c r="L6427" s="508">
        <v>4.0000000000000001E-3</v>
      </c>
      <c r="M6427" s="508">
        <v>4.0000000000000001E-3</v>
      </c>
      <c r="N6427" s="508">
        <v>4.0000000000000001E-3</v>
      </c>
      <c r="O6427" s="508">
        <v>4.0000000000000001E-3</v>
      </c>
      <c r="P6427" s="508">
        <v>4.0000000000000001E-3</v>
      </c>
      <c r="Q6427" s="508">
        <v>4.0000000000000001E-3</v>
      </c>
      <c r="R6427" s="508">
        <v>4.0000000000000001E-3</v>
      </c>
      <c r="S6427" s="508">
        <v>4.0000000000000001E-3</v>
      </c>
      <c r="T6427" s="508">
        <v>4.0000000000000001E-3</v>
      </c>
      <c r="U6427" s="508">
        <v>4.0000000000000001E-3</v>
      </c>
      <c r="V6427" s="508">
        <v>4.0000000000000001E-3</v>
      </c>
      <c r="W6427" s="508">
        <v>4.0000000000000001E-3</v>
      </c>
      <c r="X6427" s="508">
        <v>4.0000000000000001E-3</v>
      </c>
      <c r="Y6427" s="508">
        <v>4.0000000000000001E-3</v>
      </c>
      <c r="Z6427" s="508">
        <v>4.0000000000000001E-3</v>
      </c>
      <c r="AA6427" s="508">
        <v>4.0000000000000001E-3</v>
      </c>
      <c r="AB6427" s="508">
        <v>4.0000000000000001E-3</v>
      </c>
      <c r="AC6427" s="508">
        <v>4.0000000000000001E-3</v>
      </c>
      <c r="AD6427" s="508">
        <v>4.0000000000000001E-3</v>
      </c>
      <c r="AE6427" s="508">
        <v>4.0000000000000001E-3</v>
      </c>
      <c r="AF6427" s="508">
        <v>4.0000000000000001E-3</v>
      </c>
      <c r="AG6427" s="508">
        <v>4.0000000000000001E-3</v>
      </c>
      <c r="AH6427" s="508">
        <v>4.0000000000000001E-3</v>
      </c>
      <c r="AI6427" s="492">
        <v>4.0000000000000001E-3</v>
      </c>
      <c r="AJ6427" s="485"/>
    </row>
    <row r="6428" spans="2:36">
      <c r="B6428" s="136" t="s">
        <v>466</v>
      </c>
      <c r="C6428" s="132" t="s">
        <v>1366</v>
      </c>
      <c r="D6428" s="132" t="s">
        <v>1380</v>
      </c>
      <c r="E6428" s="508">
        <v>4.0000000000000001E-3</v>
      </c>
      <c r="F6428" s="508">
        <v>4.0000000000000001E-3</v>
      </c>
      <c r="G6428" s="508">
        <v>4.0000000000000001E-3</v>
      </c>
      <c r="H6428" s="508">
        <v>4.0000000000000001E-3</v>
      </c>
      <c r="I6428" s="508">
        <v>4.0000000000000001E-3</v>
      </c>
      <c r="J6428" s="508">
        <v>4.0000000000000001E-3</v>
      </c>
      <c r="K6428" s="508">
        <v>4.0000000000000001E-3</v>
      </c>
      <c r="L6428" s="508">
        <v>4.0000000000000001E-3</v>
      </c>
      <c r="M6428" s="508">
        <v>4.0000000000000001E-3</v>
      </c>
      <c r="N6428" s="508">
        <v>4.0000000000000001E-3</v>
      </c>
      <c r="O6428" s="508">
        <v>4.0000000000000001E-3</v>
      </c>
      <c r="P6428" s="508">
        <v>4.0000000000000001E-3</v>
      </c>
      <c r="Q6428" s="508">
        <v>4.0000000000000001E-3</v>
      </c>
      <c r="R6428" s="508">
        <v>4.0000000000000001E-3</v>
      </c>
      <c r="S6428" s="508">
        <v>4.0000000000000001E-3</v>
      </c>
      <c r="T6428" s="508">
        <v>4.0000000000000001E-3</v>
      </c>
      <c r="U6428" s="508">
        <v>4.0000000000000001E-3</v>
      </c>
      <c r="V6428" s="508">
        <v>4.0000000000000001E-3</v>
      </c>
      <c r="W6428" s="508">
        <v>4.0000000000000001E-3</v>
      </c>
      <c r="X6428" s="508">
        <v>4.0000000000000001E-3</v>
      </c>
      <c r="Y6428" s="508">
        <v>4.0000000000000001E-3</v>
      </c>
      <c r="Z6428" s="508">
        <v>4.0000000000000001E-3</v>
      </c>
      <c r="AA6428" s="508">
        <v>4.0000000000000001E-3</v>
      </c>
      <c r="AB6428" s="508">
        <v>4.0000000000000001E-3</v>
      </c>
      <c r="AC6428" s="508">
        <v>4.0000000000000001E-3</v>
      </c>
      <c r="AD6428" s="508">
        <v>4.0000000000000001E-3</v>
      </c>
      <c r="AE6428" s="508">
        <v>4.0000000000000001E-3</v>
      </c>
      <c r="AF6428" s="508">
        <v>4.0000000000000001E-3</v>
      </c>
      <c r="AG6428" s="508">
        <v>4.0000000000000001E-3</v>
      </c>
      <c r="AH6428" s="508">
        <v>4.0000000000000001E-3</v>
      </c>
      <c r="AI6428" s="492">
        <v>4.0000000000000001E-3</v>
      </c>
      <c r="AJ6428" s="485"/>
    </row>
    <row r="6429" spans="2:36">
      <c r="B6429" s="136" t="s">
        <v>467</v>
      </c>
      <c r="C6429" s="132" t="s">
        <v>1366</v>
      </c>
      <c r="D6429" s="132" t="s">
        <v>1380</v>
      </c>
      <c r="E6429" s="508">
        <v>4.0000000000000001E-3</v>
      </c>
      <c r="F6429" s="508">
        <v>4.0000000000000001E-3</v>
      </c>
      <c r="G6429" s="508">
        <v>4.0000000000000001E-3</v>
      </c>
      <c r="H6429" s="508">
        <v>4.0000000000000001E-3</v>
      </c>
      <c r="I6429" s="508">
        <v>4.0000000000000001E-3</v>
      </c>
      <c r="J6429" s="508">
        <v>4.0000000000000001E-3</v>
      </c>
      <c r="K6429" s="508">
        <v>4.0000000000000001E-3</v>
      </c>
      <c r="L6429" s="508">
        <v>4.0000000000000001E-3</v>
      </c>
      <c r="M6429" s="508">
        <v>4.0000000000000001E-3</v>
      </c>
      <c r="N6429" s="508">
        <v>4.0000000000000001E-3</v>
      </c>
      <c r="O6429" s="508">
        <v>4.0000000000000001E-3</v>
      </c>
      <c r="P6429" s="508">
        <v>4.0000000000000001E-3</v>
      </c>
      <c r="Q6429" s="508">
        <v>4.0000000000000001E-3</v>
      </c>
      <c r="R6429" s="508">
        <v>4.0000000000000001E-3</v>
      </c>
      <c r="S6429" s="508">
        <v>4.0000000000000001E-3</v>
      </c>
      <c r="T6429" s="508">
        <v>4.0000000000000001E-3</v>
      </c>
      <c r="U6429" s="508">
        <v>4.0000000000000001E-3</v>
      </c>
      <c r="V6429" s="508">
        <v>4.0000000000000001E-3</v>
      </c>
      <c r="W6429" s="508">
        <v>4.0000000000000001E-3</v>
      </c>
      <c r="X6429" s="508">
        <v>4.0000000000000001E-3</v>
      </c>
      <c r="Y6429" s="508">
        <v>4.0000000000000001E-3</v>
      </c>
      <c r="Z6429" s="508">
        <v>4.0000000000000001E-3</v>
      </c>
      <c r="AA6429" s="508">
        <v>4.0000000000000001E-3</v>
      </c>
      <c r="AB6429" s="508">
        <v>4.0000000000000001E-3</v>
      </c>
      <c r="AC6429" s="508">
        <v>4.0000000000000001E-3</v>
      </c>
      <c r="AD6429" s="508">
        <v>4.0000000000000001E-3</v>
      </c>
      <c r="AE6429" s="508">
        <v>4.0000000000000001E-3</v>
      </c>
      <c r="AF6429" s="508">
        <v>4.0000000000000001E-3</v>
      </c>
      <c r="AG6429" s="508">
        <v>4.0000000000000001E-3</v>
      </c>
      <c r="AH6429" s="508">
        <v>4.0000000000000001E-3</v>
      </c>
      <c r="AI6429" s="492">
        <v>4.0000000000000001E-3</v>
      </c>
      <c r="AJ6429" s="485"/>
    </row>
    <row r="6430" spans="2:36">
      <c r="B6430" s="136" t="s">
        <v>468</v>
      </c>
      <c r="C6430" s="132" t="s">
        <v>1366</v>
      </c>
      <c r="D6430" s="132" t="s">
        <v>1380</v>
      </c>
      <c r="E6430" s="508">
        <v>3.0000000000000001E-3</v>
      </c>
      <c r="F6430" s="508">
        <v>3.0000000000000001E-3</v>
      </c>
      <c r="G6430" s="508">
        <v>3.0000000000000001E-3</v>
      </c>
      <c r="H6430" s="508">
        <v>3.0000000000000001E-3</v>
      </c>
      <c r="I6430" s="508">
        <v>3.0000000000000001E-3</v>
      </c>
      <c r="J6430" s="508">
        <v>3.0000000000000001E-3</v>
      </c>
      <c r="K6430" s="508">
        <v>3.0000000000000001E-3</v>
      </c>
      <c r="L6430" s="508">
        <v>3.0000000000000001E-3</v>
      </c>
      <c r="M6430" s="508">
        <v>3.0000000000000001E-3</v>
      </c>
      <c r="N6430" s="508">
        <v>3.0000000000000001E-3</v>
      </c>
      <c r="O6430" s="508">
        <v>3.0000000000000001E-3</v>
      </c>
      <c r="P6430" s="508">
        <v>3.0000000000000001E-3</v>
      </c>
      <c r="Q6430" s="508">
        <v>3.0000000000000001E-3</v>
      </c>
      <c r="R6430" s="508">
        <v>3.0000000000000001E-3</v>
      </c>
      <c r="S6430" s="508">
        <v>3.0000000000000001E-3</v>
      </c>
      <c r="T6430" s="508">
        <v>3.0000000000000001E-3</v>
      </c>
      <c r="U6430" s="508">
        <v>3.0000000000000001E-3</v>
      </c>
      <c r="V6430" s="508">
        <v>3.0000000000000001E-3</v>
      </c>
      <c r="W6430" s="508">
        <v>3.0000000000000001E-3</v>
      </c>
      <c r="X6430" s="508">
        <v>3.0000000000000001E-3</v>
      </c>
      <c r="Y6430" s="508">
        <v>3.0000000000000001E-3</v>
      </c>
      <c r="Z6430" s="508">
        <v>3.0000000000000001E-3</v>
      </c>
      <c r="AA6430" s="508">
        <v>3.0000000000000001E-3</v>
      </c>
      <c r="AB6430" s="508">
        <v>3.0000000000000001E-3</v>
      </c>
      <c r="AC6430" s="508">
        <v>3.0000000000000001E-3</v>
      </c>
      <c r="AD6430" s="508">
        <v>3.0000000000000001E-3</v>
      </c>
      <c r="AE6430" s="508">
        <v>3.0000000000000001E-3</v>
      </c>
      <c r="AF6430" s="508">
        <v>3.0000000000000001E-3</v>
      </c>
      <c r="AG6430" s="508">
        <v>3.0000000000000001E-3</v>
      </c>
      <c r="AH6430" s="508">
        <v>3.0000000000000001E-3</v>
      </c>
      <c r="AI6430" s="492">
        <v>3.0000000000000001E-3</v>
      </c>
      <c r="AJ6430" s="485"/>
    </row>
    <row r="6431" spans="2:36">
      <c r="B6431" s="136" t="s">
        <v>469</v>
      </c>
      <c r="C6431" s="132" t="s">
        <v>1366</v>
      </c>
      <c r="D6431" s="132" t="s">
        <v>1380</v>
      </c>
      <c r="E6431" s="508">
        <v>4.0000000000000001E-3</v>
      </c>
      <c r="F6431" s="508">
        <v>4.0000000000000001E-3</v>
      </c>
      <c r="G6431" s="508">
        <v>4.0000000000000001E-3</v>
      </c>
      <c r="H6431" s="508">
        <v>4.0000000000000001E-3</v>
      </c>
      <c r="I6431" s="508">
        <v>4.0000000000000001E-3</v>
      </c>
      <c r="J6431" s="508">
        <v>4.0000000000000001E-3</v>
      </c>
      <c r="K6431" s="508">
        <v>4.0000000000000001E-3</v>
      </c>
      <c r="L6431" s="508">
        <v>4.0000000000000001E-3</v>
      </c>
      <c r="M6431" s="508">
        <v>4.0000000000000001E-3</v>
      </c>
      <c r="N6431" s="508">
        <v>4.0000000000000001E-3</v>
      </c>
      <c r="O6431" s="508">
        <v>4.0000000000000001E-3</v>
      </c>
      <c r="P6431" s="508">
        <v>4.0000000000000001E-3</v>
      </c>
      <c r="Q6431" s="508">
        <v>4.0000000000000001E-3</v>
      </c>
      <c r="R6431" s="508">
        <v>4.0000000000000001E-3</v>
      </c>
      <c r="S6431" s="508">
        <v>4.0000000000000001E-3</v>
      </c>
      <c r="T6431" s="508">
        <v>4.0000000000000001E-3</v>
      </c>
      <c r="U6431" s="508">
        <v>4.0000000000000001E-3</v>
      </c>
      <c r="V6431" s="508">
        <v>4.0000000000000001E-3</v>
      </c>
      <c r="W6431" s="508">
        <v>4.0000000000000001E-3</v>
      </c>
      <c r="X6431" s="508">
        <v>4.0000000000000001E-3</v>
      </c>
      <c r="Y6431" s="508">
        <v>4.0000000000000001E-3</v>
      </c>
      <c r="Z6431" s="508">
        <v>4.0000000000000001E-3</v>
      </c>
      <c r="AA6431" s="508">
        <v>4.0000000000000001E-3</v>
      </c>
      <c r="AB6431" s="508">
        <v>4.0000000000000001E-3</v>
      </c>
      <c r="AC6431" s="508">
        <v>4.0000000000000001E-3</v>
      </c>
      <c r="AD6431" s="508">
        <v>4.0000000000000001E-3</v>
      </c>
      <c r="AE6431" s="508">
        <v>4.0000000000000001E-3</v>
      </c>
      <c r="AF6431" s="508">
        <v>4.0000000000000001E-3</v>
      </c>
      <c r="AG6431" s="508">
        <v>4.0000000000000001E-3</v>
      </c>
      <c r="AH6431" s="508">
        <v>4.0000000000000001E-3</v>
      </c>
      <c r="AI6431" s="492">
        <v>4.0000000000000001E-3</v>
      </c>
      <c r="AJ6431" s="485"/>
    </row>
    <row r="6432" spans="2:36">
      <c r="B6432" s="136" t="s">
        <v>470</v>
      </c>
      <c r="C6432" s="132" t="s">
        <v>1366</v>
      </c>
      <c r="D6432" s="132" t="s">
        <v>1380</v>
      </c>
      <c r="E6432" s="508">
        <v>4.0000000000000001E-3</v>
      </c>
      <c r="F6432" s="508">
        <v>4.0000000000000001E-3</v>
      </c>
      <c r="G6432" s="508">
        <v>4.0000000000000001E-3</v>
      </c>
      <c r="H6432" s="508">
        <v>4.0000000000000001E-3</v>
      </c>
      <c r="I6432" s="508">
        <v>4.0000000000000001E-3</v>
      </c>
      <c r="J6432" s="508">
        <v>4.0000000000000001E-3</v>
      </c>
      <c r="K6432" s="508">
        <v>4.0000000000000001E-3</v>
      </c>
      <c r="L6432" s="508">
        <v>4.0000000000000001E-3</v>
      </c>
      <c r="M6432" s="508">
        <v>4.0000000000000001E-3</v>
      </c>
      <c r="N6432" s="508">
        <v>4.0000000000000001E-3</v>
      </c>
      <c r="O6432" s="508">
        <v>4.0000000000000001E-3</v>
      </c>
      <c r="P6432" s="508">
        <v>4.0000000000000001E-3</v>
      </c>
      <c r="Q6432" s="508">
        <v>4.0000000000000001E-3</v>
      </c>
      <c r="R6432" s="508">
        <v>4.0000000000000001E-3</v>
      </c>
      <c r="S6432" s="508">
        <v>4.0000000000000001E-3</v>
      </c>
      <c r="T6432" s="508">
        <v>4.0000000000000001E-3</v>
      </c>
      <c r="U6432" s="508">
        <v>4.0000000000000001E-3</v>
      </c>
      <c r="V6432" s="508">
        <v>4.0000000000000001E-3</v>
      </c>
      <c r="W6432" s="508">
        <v>4.0000000000000001E-3</v>
      </c>
      <c r="X6432" s="508">
        <v>4.0000000000000001E-3</v>
      </c>
      <c r="Y6432" s="508">
        <v>4.0000000000000001E-3</v>
      </c>
      <c r="Z6432" s="508">
        <v>4.0000000000000001E-3</v>
      </c>
      <c r="AA6432" s="508">
        <v>4.0000000000000001E-3</v>
      </c>
      <c r="AB6432" s="508">
        <v>4.0000000000000001E-3</v>
      </c>
      <c r="AC6432" s="508">
        <v>4.0000000000000001E-3</v>
      </c>
      <c r="AD6432" s="508">
        <v>4.0000000000000001E-3</v>
      </c>
      <c r="AE6432" s="508">
        <v>4.0000000000000001E-3</v>
      </c>
      <c r="AF6432" s="508">
        <v>4.0000000000000001E-3</v>
      </c>
      <c r="AG6432" s="508">
        <v>4.0000000000000001E-3</v>
      </c>
      <c r="AH6432" s="508">
        <v>4.0000000000000001E-3</v>
      </c>
      <c r="AI6432" s="492">
        <v>4.0000000000000001E-3</v>
      </c>
      <c r="AJ6432" s="485"/>
    </row>
    <row r="6433" spans="2:36">
      <c r="B6433" s="136" t="s">
        <v>471</v>
      </c>
      <c r="C6433" s="132" t="s">
        <v>1366</v>
      </c>
      <c r="D6433" s="132" t="s">
        <v>1380</v>
      </c>
      <c r="E6433" s="508">
        <v>4.0000000000000001E-3</v>
      </c>
      <c r="F6433" s="508">
        <v>4.0000000000000001E-3</v>
      </c>
      <c r="G6433" s="508">
        <v>4.0000000000000001E-3</v>
      </c>
      <c r="H6433" s="508">
        <v>4.0000000000000001E-3</v>
      </c>
      <c r="I6433" s="508">
        <v>4.0000000000000001E-3</v>
      </c>
      <c r="J6433" s="508">
        <v>4.0000000000000001E-3</v>
      </c>
      <c r="K6433" s="508">
        <v>4.0000000000000001E-3</v>
      </c>
      <c r="L6433" s="508">
        <v>4.0000000000000001E-3</v>
      </c>
      <c r="M6433" s="508">
        <v>4.0000000000000001E-3</v>
      </c>
      <c r="N6433" s="508">
        <v>4.0000000000000001E-3</v>
      </c>
      <c r="O6433" s="508">
        <v>4.0000000000000001E-3</v>
      </c>
      <c r="P6433" s="508">
        <v>4.0000000000000001E-3</v>
      </c>
      <c r="Q6433" s="508">
        <v>4.0000000000000001E-3</v>
      </c>
      <c r="R6433" s="508">
        <v>4.0000000000000001E-3</v>
      </c>
      <c r="S6433" s="508">
        <v>4.0000000000000001E-3</v>
      </c>
      <c r="T6433" s="508">
        <v>4.0000000000000001E-3</v>
      </c>
      <c r="U6433" s="508">
        <v>4.0000000000000001E-3</v>
      </c>
      <c r="V6433" s="508">
        <v>4.0000000000000001E-3</v>
      </c>
      <c r="W6433" s="508">
        <v>4.0000000000000001E-3</v>
      </c>
      <c r="X6433" s="508">
        <v>4.0000000000000001E-3</v>
      </c>
      <c r="Y6433" s="508">
        <v>4.0000000000000001E-3</v>
      </c>
      <c r="Z6433" s="508">
        <v>4.0000000000000001E-3</v>
      </c>
      <c r="AA6433" s="508">
        <v>4.0000000000000001E-3</v>
      </c>
      <c r="AB6433" s="508">
        <v>4.0000000000000001E-3</v>
      </c>
      <c r="AC6433" s="508">
        <v>4.0000000000000001E-3</v>
      </c>
      <c r="AD6433" s="508">
        <v>4.0000000000000001E-3</v>
      </c>
      <c r="AE6433" s="508">
        <v>4.0000000000000001E-3</v>
      </c>
      <c r="AF6433" s="508">
        <v>4.0000000000000001E-3</v>
      </c>
      <c r="AG6433" s="508">
        <v>4.0000000000000001E-3</v>
      </c>
      <c r="AH6433" s="508">
        <v>4.0000000000000001E-3</v>
      </c>
      <c r="AI6433" s="492">
        <v>4.0000000000000001E-3</v>
      </c>
      <c r="AJ6433" s="485"/>
    </row>
    <row r="6434" spans="2:36">
      <c r="B6434" s="136" t="s">
        <v>472</v>
      </c>
      <c r="C6434" s="132" t="s">
        <v>1366</v>
      </c>
      <c r="D6434" s="132" t="s">
        <v>1380</v>
      </c>
      <c r="E6434" s="508">
        <v>3.0000000000000001E-3</v>
      </c>
      <c r="F6434" s="508">
        <v>3.0000000000000001E-3</v>
      </c>
      <c r="G6434" s="508">
        <v>3.0000000000000001E-3</v>
      </c>
      <c r="H6434" s="508">
        <v>3.0000000000000001E-3</v>
      </c>
      <c r="I6434" s="508">
        <v>3.0000000000000001E-3</v>
      </c>
      <c r="J6434" s="508">
        <v>3.0000000000000001E-3</v>
      </c>
      <c r="K6434" s="508">
        <v>3.0000000000000001E-3</v>
      </c>
      <c r="L6434" s="508">
        <v>3.0000000000000001E-3</v>
      </c>
      <c r="M6434" s="508">
        <v>3.0000000000000001E-3</v>
      </c>
      <c r="N6434" s="508">
        <v>3.0000000000000001E-3</v>
      </c>
      <c r="O6434" s="508">
        <v>3.0000000000000001E-3</v>
      </c>
      <c r="P6434" s="508">
        <v>3.0000000000000001E-3</v>
      </c>
      <c r="Q6434" s="508">
        <v>3.0000000000000001E-3</v>
      </c>
      <c r="R6434" s="508">
        <v>3.0000000000000001E-3</v>
      </c>
      <c r="S6434" s="508">
        <v>3.0000000000000001E-3</v>
      </c>
      <c r="T6434" s="508">
        <v>3.0000000000000001E-3</v>
      </c>
      <c r="U6434" s="508">
        <v>3.0000000000000001E-3</v>
      </c>
      <c r="V6434" s="508">
        <v>3.0000000000000001E-3</v>
      </c>
      <c r="W6434" s="508">
        <v>3.0000000000000001E-3</v>
      </c>
      <c r="X6434" s="508">
        <v>3.0000000000000001E-3</v>
      </c>
      <c r="Y6434" s="508">
        <v>3.0000000000000001E-3</v>
      </c>
      <c r="Z6434" s="508">
        <v>3.0000000000000001E-3</v>
      </c>
      <c r="AA6434" s="508">
        <v>3.0000000000000001E-3</v>
      </c>
      <c r="AB6434" s="508">
        <v>3.0000000000000001E-3</v>
      </c>
      <c r="AC6434" s="508">
        <v>3.0000000000000001E-3</v>
      </c>
      <c r="AD6434" s="508">
        <v>3.0000000000000001E-3</v>
      </c>
      <c r="AE6434" s="508">
        <v>3.0000000000000001E-3</v>
      </c>
      <c r="AF6434" s="508">
        <v>3.0000000000000001E-3</v>
      </c>
      <c r="AG6434" s="508">
        <v>3.0000000000000001E-3</v>
      </c>
      <c r="AH6434" s="508">
        <v>3.0000000000000001E-3</v>
      </c>
      <c r="AI6434" s="492">
        <v>3.0000000000000001E-3</v>
      </c>
      <c r="AJ6434" s="485"/>
    </row>
    <row r="6435" spans="2:36">
      <c r="B6435" s="136" t="s">
        <v>473</v>
      </c>
      <c r="C6435" s="132" t="s">
        <v>1366</v>
      </c>
      <c r="D6435" s="132" t="s">
        <v>1380</v>
      </c>
      <c r="E6435" s="508">
        <v>4.0000000000000001E-3</v>
      </c>
      <c r="F6435" s="508">
        <v>4.0000000000000001E-3</v>
      </c>
      <c r="G6435" s="508">
        <v>4.0000000000000001E-3</v>
      </c>
      <c r="H6435" s="508">
        <v>4.0000000000000001E-3</v>
      </c>
      <c r="I6435" s="508">
        <v>4.0000000000000001E-3</v>
      </c>
      <c r="J6435" s="508">
        <v>4.0000000000000001E-3</v>
      </c>
      <c r="K6435" s="508">
        <v>4.0000000000000001E-3</v>
      </c>
      <c r="L6435" s="508">
        <v>4.0000000000000001E-3</v>
      </c>
      <c r="M6435" s="508">
        <v>4.0000000000000001E-3</v>
      </c>
      <c r="N6435" s="508">
        <v>4.0000000000000001E-3</v>
      </c>
      <c r="O6435" s="508">
        <v>4.0000000000000001E-3</v>
      </c>
      <c r="P6435" s="508">
        <v>4.0000000000000001E-3</v>
      </c>
      <c r="Q6435" s="508">
        <v>4.0000000000000001E-3</v>
      </c>
      <c r="R6435" s="508">
        <v>4.0000000000000001E-3</v>
      </c>
      <c r="S6435" s="508">
        <v>4.0000000000000001E-3</v>
      </c>
      <c r="T6435" s="508">
        <v>4.0000000000000001E-3</v>
      </c>
      <c r="U6435" s="508">
        <v>4.0000000000000001E-3</v>
      </c>
      <c r="V6435" s="508">
        <v>4.0000000000000001E-3</v>
      </c>
      <c r="W6435" s="508">
        <v>4.0000000000000001E-3</v>
      </c>
      <c r="X6435" s="508">
        <v>4.0000000000000001E-3</v>
      </c>
      <c r="Y6435" s="508">
        <v>4.0000000000000001E-3</v>
      </c>
      <c r="Z6435" s="508">
        <v>4.0000000000000001E-3</v>
      </c>
      <c r="AA6435" s="508">
        <v>4.0000000000000001E-3</v>
      </c>
      <c r="AB6435" s="508">
        <v>4.0000000000000001E-3</v>
      </c>
      <c r="AC6435" s="508">
        <v>4.0000000000000001E-3</v>
      </c>
      <c r="AD6435" s="508">
        <v>4.0000000000000001E-3</v>
      </c>
      <c r="AE6435" s="508">
        <v>4.0000000000000001E-3</v>
      </c>
      <c r="AF6435" s="508">
        <v>4.0000000000000001E-3</v>
      </c>
      <c r="AG6435" s="508">
        <v>4.0000000000000001E-3</v>
      </c>
      <c r="AH6435" s="508">
        <v>4.0000000000000001E-3</v>
      </c>
      <c r="AI6435" s="492">
        <v>4.0000000000000001E-3</v>
      </c>
      <c r="AJ6435" s="485"/>
    </row>
    <row r="6436" spans="2:36">
      <c r="B6436" s="136" t="s">
        <v>474</v>
      </c>
      <c r="C6436" s="132" t="s">
        <v>1366</v>
      </c>
      <c r="D6436" s="132" t="s">
        <v>1380</v>
      </c>
      <c r="E6436" s="508">
        <v>4.0000000000000001E-3</v>
      </c>
      <c r="F6436" s="508">
        <v>4.0000000000000001E-3</v>
      </c>
      <c r="G6436" s="508">
        <v>4.0000000000000001E-3</v>
      </c>
      <c r="H6436" s="508">
        <v>4.0000000000000001E-3</v>
      </c>
      <c r="I6436" s="508">
        <v>4.0000000000000001E-3</v>
      </c>
      <c r="J6436" s="508">
        <v>4.0000000000000001E-3</v>
      </c>
      <c r="K6436" s="508">
        <v>4.0000000000000001E-3</v>
      </c>
      <c r="L6436" s="508">
        <v>4.0000000000000001E-3</v>
      </c>
      <c r="M6436" s="508">
        <v>4.0000000000000001E-3</v>
      </c>
      <c r="N6436" s="508">
        <v>4.0000000000000001E-3</v>
      </c>
      <c r="O6436" s="508">
        <v>4.0000000000000001E-3</v>
      </c>
      <c r="P6436" s="508">
        <v>4.0000000000000001E-3</v>
      </c>
      <c r="Q6436" s="508">
        <v>4.0000000000000001E-3</v>
      </c>
      <c r="R6436" s="508">
        <v>4.0000000000000001E-3</v>
      </c>
      <c r="S6436" s="508">
        <v>4.0000000000000001E-3</v>
      </c>
      <c r="T6436" s="508">
        <v>4.0000000000000001E-3</v>
      </c>
      <c r="U6436" s="508">
        <v>4.0000000000000001E-3</v>
      </c>
      <c r="V6436" s="508">
        <v>4.0000000000000001E-3</v>
      </c>
      <c r="W6436" s="508">
        <v>4.0000000000000001E-3</v>
      </c>
      <c r="X6436" s="508">
        <v>4.0000000000000001E-3</v>
      </c>
      <c r="Y6436" s="508">
        <v>4.0000000000000001E-3</v>
      </c>
      <c r="Z6436" s="508">
        <v>4.0000000000000001E-3</v>
      </c>
      <c r="AA6436" s="508">
        <v>4.0000000000000001E-3</v>
      </c>
      <c r="AB6436" s="508">
        <v>4.0000000000000001E-3</v>
      </c>
      <c r="AC6436" s="508">
        <v>4.0000000000000001E-3</v>
      </c>
      <c r="AD6436" s="508">
        <v>4.0000000000000001E-3</v>
      </c>
      <c r="AE6436" s="508">
        <v>4.0000000000000001E-3</v>
      </c>
      <c r="AF6436" s="508">
        <v>4.0000000000000001E-3</v>
      </c>
      <c r="AG6436" s="508">
        <v>4.0000000000000001E-3</v>
      </c>
      <c r="AH6436" s="508">
        <v>4.0000000000000001E-3</v>
      </c>
      <c r="AI6436" s="492">
        <v>4.0000000000000001E-3</v>
      </c>
      <c r="AJ6436" s="485"/>
    </row>
    <row r="6437" spans="2:36">
      <c r="B6437" s="136" t="s">
        <v>475</v>
      </c>
      <c r="C6437" s="132" t="s">
        <v>1366</v>
      </c>
      <c r="D6437" s="132" t="s">
        <v>1380</v>
      </c>
      <c r="E6437" s="508">
        <v>4.0000000000000001E-3</v>
      </c>
      <c r="F6437" s="508">
        <v>4.0000000000000001E-3</v>
      </c>
      <c r="G6437" s="508">
        <v>4.0000000000000001E-3</v>
      </c>
      <c r="H6437" s="508">
        <v>4.0000000000000001E-3</v>
      </c>
      <c r="I6437" s="508">
        <v>4.0000000000000001E-3</v>
      </c>
      <c r="J6437" s="508">
        <v>4.0000000000000001E-3</v>
      </c>
      <c r="K6437" s="508">
        <v>4.0000000000000001E-3</v>
      </c>
      <c r="L6437" s="508">
        <v>4.0000000000000001E-3</v>
      </c>
      <c r="M6437" s="508">
        <v>4.0000000000000001E-3</v>
      </c>
      <c r="N6437" s="508">
        <v>4.0000000000000001E-3</v>
      </c>
      <c r="O6437" s="508">
        <v>4.0000000000000001E-3</v>
      </c>
      <c r="P6437" s="508">
        <v>4.0000000000000001E-3</v>
      </c>
      <c r="Q6437" s="508">
        <v>4.0000000000000001E-3</v>
      </c>
      <c r="R6437" s="508">
        <v>4.0000000000000001E-3</v>
      </c>
      <c r="S6437" s="508">
        <v>4.0000000000000001E-3</v>
      </c>
      <c r="T6437" s="508">
        <v>4.0000000000000001E-3</v>
      </c>
      <c r="U6437" s="508">
        <v>4.0000000000000001E-3</v>
      </c>
      <c r="V6437" s="508">
        <v>4.0000000000000001E-3</v>
      </c>
      <c r="W6437" s="508">
        <v>4.0000000000000001E-3</v>
      </c>
      <c r="X6437" s="508">
        <v>4.0000000000000001E-3</v>
      </c>
      <c r="Y6437" s="508">
        <v>4.0000000000000001E-3</v>
      </c>
      <c r="Z6437" s="508">
        <v>4.0000000000000001E-3</v>
      </c>
      <c r="AA6437" s="508">
        <v>4.0000000000000001E-3</v>
      </c>
      <c r="AB6437" s="508">
        <v>4.0000000000000001E-3</v>
      </c>
      <c r="AC6437" s="508">
        <v>4.0000000000000001E-3</v>
      </c>
      <c r="AD6437" s="508">
        <v>4.0000000000000001E-3</v>
      </c>
      <c r="AE6437" s="508">
        <v>4.0000000000000001E-3</v>
      </c>
      <c r="AF6437" s="508">
        <v>4.0000000000000001E-3</v>
      </c>
      <c r="AG6437" s="508">
        <v>4.0000000000000001E-3</v>
      </c>
      <c r="AH6437" s="508">
        <v>4.0000000000000001E-3</v>
      </c>
      <c r="AI6437" s="492">
        <v>4.0000000000000001E-3</v>
      </c>
      <c r="AJ6437" s="485"/>
    </row>
    <row r="6438" spans="2:36">
      <c r="B6438" s="136" t="s">
        <v>476</v>
      </c>
      <c r="C6438" s="132" t="s">
        <v>1366</v>
      </c>
      <c r="D6438" s="132" t="s">
        <v>1380</v>
      </c>
      <c r="E6438" s="508">
        <v>4.0000000000000001E-3</v>
      </c>
      <c r="F6438" s="508">
        <v>4.0000000000000001E-3</v>
      </c>
      <c r="G6438" s="508">
        <v>4.0000000000000001E-3</v>
      </c>
      <c r="H6438" s="508">
        <v>4.0000000000000001E-3</v>
      </c>
      <c r="I6438" s="508">
        <v>4.0000000000000001E-3</v>
      </c>
      <c r="J6438" s="508">
        <v>4.0000000000000001E-3</v>
      </c>
      <c r="K6438" s="508">
        <v>4.0000000000000001E-3</v>
      </c>
      <c r="L6438" s="508">
        <v>4.0000000000000001E-3</v>
      </c>
      <c r="M6438" s="508">
        <v>4.0000000000000001E-3</v>
      </c>
      <c r="N6438" s="508">
        <v>4.0000000000000001E-3</v>
      </c>
      <c r="O6438" s="508">
        <v>4.0000000000000001E-3</v>
      </c>
      <c r="P6438" s="508">
        <v>4.0000000000000001E-3</v>
      </c>
      <c r="Q6438" s="508">
        <v>4.0000000000000001E-3</v>
      </c>
      <c r="R6438" s="508">
        <v>4.0000000000000001E-3</v>
      </c>
      <c r="S6438" s="508">
        <v>4.0000000000000001E-3</v>
      </c>
      <c r="T6438" s="508">
        <v>4.0000000000000001E-3</v>
      </c>
      <c r="U6438" s="508">
        <v>4.0000000000000001E-3</v>
      </c>
      <c r="V6438" s="508">
        <v>4.0000000000000001E-3</v>
      </c>
      <c r="W6438" s="508">
        <v>4.0000000000000001E-3</v>
      </c>
      <c r="X6438" s="508">
        <v>4.0000000000000001E-3</v>
      </c>
      <c r="Y6438" s="508">
        <v>4.0000000000000001E-3</v>
      </c>
      <c r="Z6438" s="508">
        <v>4.0000000000000001E-3</v>
      </c>
      <c r="AA6438" s="508">
        <v>4.0000000000000001E-3</v>
      </c>
      <c r="AB6438" s="508">
        <v>4.0000000000000001E-3</v>
      </c>
      <c r="AC6438" s="508">
        <v>4.0000000000000001E-3</v>
      </c>
      <c r="AD6438" s="508">
        <v>4.0000000000000001E-3</v>
      </c>
      <c r="AE6438" s="508">
        <v>4.0000000000000001E-3</v>
      </c>
      <c r="AF6438" s="508">
        <v>4.0000000000000001E-3</v>
      </c>
      <c r="AG6438" s="508">
        <v>4.0000000000000001E-3</v>
      </c>
      <c r="AH6438" s="508">
        <v>4.0000000000000001E-3</v>
      </c>
      <c r="AI6438" s="492">
        <v>4.0000000000000001E-3</v>
      </c>
      <c r="AJ6438" s="485"/>
    </row>
    <row r="6439" spans="2:36">
      <c r="B6439" s="136" t="s">
        <v>478</v>
      </c>
      <c r="C6439" s="132" t="s">
        <v>1366</v>
      </c>
      <c r="D6439" s="132" t="s">
        <v>1380</v>
      </c>
      <c r="E6439" s="508">
        <v>4.0000000000000001E-3</v>
      </c>
      <c r="F6439" s="508">
        <v>4.0000000000000001E-3</v>
      </c>
      <c r="G6439" s="508">
        <v>4.0000000000000001E-3</v>
      </c>
      <c r="H6439" s="508">
        <v>4.0000000000000001E-3</v>
      </c>
      <c r="I6439" s="508">
        <v>4.0000000000000001E-3</v>
      </c>
      <c r="J6439" s="508">
        <v>4.0000000000000001E-3</v>
      </c>
      <c r="K6439" s="508">
        <v>4.0000000000000001E-3</v>
      </c>
      <c r="L6439" s="508">
        <v>4.0000000000000001E-3</v>
      </c>
      <c r="M6439" s="508">
        <v>4.0000000000000001E-3</v>
      </c>
      <c r="N6439" s="508">
        <v>4.0000000000000001E-3</v>
      </c>
      <c r="O6439" s="508">
        <v>4.0000000000000001E-3</v>
      </c>
      <c r="P6439" s="508">
        <v>4.0000000000000001E-3</v>
      </c>
      <c r="Q6439" s="508">
        <v>4.0000000000000001E-3</v>
      </c>
      <c r="R6439" s="508">
        <v>4.0000000000000001E-3</v>
      </c>
      <c r="S6439" s="508">
        <v>4.0000000000000001E-3</v>
      </c>
      <c r="T6439" s="508">
        <v>4.0000000000000001E-3</v>
      </c>
      <c r="U6439" s="508">
        <v>4.0000000000000001E-3</v>
      </c>
      <c r="V6439" s="508">
        <v>4.0000000000000001E-3</v>
      </c>
      <c r="W6439" s="508">
        <v>4.0000000000000001E-3</v>
      </c>
      <c r="X6439" s="508">
        <v>4.0000000000000001E-3</v>
      </c>
      <c r="Y6439" s="508">
        <v>4.0000000000000001E-3</v>
      </c>
      <c r="Z6439" s="508">
        <v>4.0000000000000001E-3</v>
      </c>
      <c r="AA6439" s="508">
        <v>4.0000000000000001E-3</v>
      </c>
      <c r="AB6439" s="508">
        <v>4.0000000000000001E-3</v>
      </c>
      <c r="AC6439" s="508">
        <v>4.0000000000000001E-3</v>
      </c>
      <c r="AD6439" s="508">
        <v>4.0000000000000001E-3</v>
      </c>
      <c r="AE6439" s="508">
        <v>4.0000000000000001E-3</v>
      </c>
      <c r="AF6439" s="508">
        <v>4.0000000000000001E-3</v>
      </c>
      <c r="AG6439" s="508">
        <v>4.0000000000000001E-3</v>
      </c>
      <c r="AH6439" s="508">
        <v>4.0000000000000001E-3</v>
      </c>
      <c r="AI6439" s="492">
        <v>4.0000000000000001E-3</v>
      </c>
      <c r="AJ6439" s="485"/>
    </row>
    <row r="6440" spans="2:36">
      <c r="B6440" s="136" t="s">
        <v>479</v>
      </c>
      <c r="C6440" s="132" t="s">
        <v>1366</v>
      </c>
      <c r="D6440" s="132" t="s">
        <v>1380</v>
      </c>
      <c r="E6440" s="508">
        <v>4.0000000000000001E-3</v>
      </c>
      <c r="F6440" s="508">
        <v>4.0000000000000001E-3</v>
      </c>
      <c r="G6440" s="508">
        <v>4.0000000000000001E-3</v>
      </c>
      <c r="H6440" s="508">
        <v>4.0000000000000001E-3</v>
      </c>
      <c r="I6440" s="508">
        <v>4.0000000000000001E-3</v>
      </c>
      <c r="J6440" s="508">
        <v>4.0000000000000001E-3</v>
      </c>
      <c r="K6440" s="508">
        <v>4.0000000000000001E-3</v>
      </c>
      <c r="L6440" s="508">
        <v>4.0000000000000001E-3</v>
      </c>
      <c r="M6440" s="508">
        <v>4.0000000000000001E-3</v>
      </c>
      <c r="N6440" s="508">
        <v>4.0000000000000001E-3</v>
      </c>
      <c r="O6440" s="508">
        <v>4.0000000000000001E-3</v>
      </c>
      <c r="P6440" s="508">
        <v>4.0000000000000001E-3</v>
      </c>
      <c r="Q6440" s="508">
        <v>4.0000000000000001E-3</v>
      </c>
      <c r="R6440" s="508">
        <v>4.0000000000000001E-3</v>
      </c>
      <c r="S6440" s="508">
        <v>4.0000000000000001E-3</v>
      </c>
      <c r="T6440" s="508">
        <v>4.0000000000000001E-3</v>
      </c>
      <c r="U6440" s="508">
        <v>4.0000000000000001E-3</v>
      </c>
      <c r="V6440" s="508">
        <v>4.0000000000000001E-3</v>
      </c>
      <c r="W6440" s="508">
        <v>4.0000000000000001E-3</v>
      </c>
      <c r="X6440" s="508">
        <v>4.0000000000000001E-3</v>
      </c>
      <c r="Y6440" s="508">
        <v>4.0000000000000001E-3</v>
      </c>
      <c r="Z6440" s="508">
        <v>4.0000000000000001E-3</v>
      </c>
      <c r="AA6440" s="508">
        <v>4.0000000000000001E-3</v>
      </c>
      <c r="AB6440" s="508">
        <v>4.0000000000000001E-3</v>
      </c>
      <c r="AC6440" s="508">
        <v>4.0000000000000001E-3</v>
      </c>
      <c r="AD6440" s="508">
        <v>4.0000000000000001E-3</v>
      </c>
      <c r="AE6440" s="508">
        <v>4.0000000000000001E-3</v>
      </c>
      <c r="AF6440" s="508">
        <v>4.0000000000000001E-3</v>
      </c>
      <c r="AG6440" s="508">
        <v>4.0000000000000001E-3</v>
      </c>
      <c r="AH6440" s="508">
        <v>4.0000000000000001E-3</v>
      </c>
      <c r="AI6440" s="492">
        <v>4.0000000000000001E-3</v>
      </c>
      <c r="AJ6440" s="485"/>
    </row>
    <row r="6441" spans="2:36">
      <c r="B6441" s="136" t="s">
        <v>480</v>
      </c>
      <c r="C6441" s="132" t="s">
        <v>1366</v>
      </c>
      <c r="D6441" s="132" t="s">
        <v>1380</v>
      </c>
      <c r="E6441" s="508">
        <v>3.0000000000000001E-3</v>
      </c>
      <c r="F6441" s="508">
        <v>3.0000000000000001E-3</v>
      </c>
      <c r="G6441" s="508">
        <v>3.0000000000000001E-3</v>
      </c>
      <c r="H6441" s="508">
        <v>3.0000000000000001E-3</v>
      </c>
      <c r="I6441" s="508">
        <v>3.0000000000000001E-3</v>
      </c>
      <c r="J6441" s="508">
        <v>3.0000000000000001E-3</v>
      </c>
      <c r="K6441" s="508">
        <v>3.0000000000000001E-3</v>
      </c>
      <c r="L6441" s="508">
        <v>3.0000000000000001E-3</v>
      </c>
      <c r="M6441" s="508">
        <v>3.0000000000000001E-3</v>
      </c>
      <c r="N6441" s="508">
        <v>3.0000000000000001E-3</v>
      </c>
      <c r="O6441" s="508">
        <v>3.0000000000000001E-3</v>
      </c>
      <c r="P6441" s="508">
        <v>3.0000000000000001E-3</v>
      </c>
      <c r="Q6441" s="508">
        <v>3.0000000000000001E-3</v>
      </c>
      <c r="R6441" s="508">
        <v>3.0000000000000001E-3</v>
      </c>
      <c r="S6441" s="508">
        <v>3.0000000000000001E-3</v>
      </c>
      <c r="T6441" s="508">
        <v>3.0000000000000001E-3</v>
      </c>
      <c r="U6441" s="508">
        <v>3.0000000000000001E-3</v>
      </c>
      <c r="V6441" s="508">
        <v>3.0000000000000001E-3</v>
      </c>
      <c r="W6441" s="508">
        <v>3.0000000000000001E-3</v>
      </c>
      <c r="X6441" s="508">
        <v>3.0000000000000001E-3</v>
      </c>
      <c r="Y6441" s="508">
        <v>3.0000000000000001E-3</v>
      </c>
      <c r="Z6441" s="508">
        <v>3.0000000000000001E-3</v>
      </c>
      <c r="AA6441" s="508">
        <v>3.0000000000000001E-3</v>
      </c>
      <c r="AB6441" s="508">
        <v>3.0000000000000001E-3</v>
      </c>
      <c r="AC6441" s="508">
        <v>3.0000000000000001E-3</v>
      </c>
      <c r="AD6441" s="508">
        <v>3.0000000000000001E-3</v>
      </c>
      <c r="AE6441" s="508">
        <v>3.0000000000000001E-3</v>
      </c>
      <c r="AF6441" s="508">
        <v>3.0000000000000001E-3</v>
      </c>
      <c r="AG6441" s="508">
        <v>3.0000000000000001E-3</v>
      </c>
      <c r="AH6441" s="508">
        <v>3.0000000000000001E-3</v>
      </c>
      <c r="AI6441" s="492">
        <v>3.0000000000000001E-3</v>
      </c>
      <c r="AJ6441" s="485"/>
    </row>
    <row r="6442" spans="2:36">
      <c r="B6442" s="136" t="s">
        <v>481</v>
      </c>
      <c r="C6442" s="132" t="s">
        <v>1366</v>
      </c>
      <c r="D6442" s="132" t="s">
        <v>1380</v>
      </c>
      <c r="E6442" s="508">
        <v>4.0000000000000001E-3</v>
      </c>
      <c r="F6442" s="508">
        <v>4.0000000000000001E-3</v>
      </c>
      <c r="G6442" s="508">
        <v>4.0000000000000001E-3</v>
      </c>
      <c r="H6442" s="508">
        <v>4.0000000000000001E-3</v>
      </c>
      <c r="I6442" s="508">
        <v>4.0000000000000001E-3</v>
      </c>
      <c r="J6442" s="508">
        <v>4.0000000000000001E-3</v>
      </c>
      <c r="K6442" s="508">
        <v>4.0000000000000001E-3</v>
      </c>
      <c r="L6442" s="508">
        <v>4.0000000000000001E-3</v>
      </c>
      <c r="M6442" s="508">
        <v>4.0000000000000001E-3</v>
      </c>
      <c r="N6442" s="508">
        <v>4.0000000000000001E-3</v>
      </c>
      <c r="O6442" s="508">
        <v>4.0000000000000001E-3</v>
      </c>
      <c r="P6442" s="508">
        <v>4.0000000000000001E-3</v>
      </c>
      <c r="Q6442" s="508">
        <v>4.0000000000000001E-3</v>
      </c>
      <c r="R6442" s="508">
        <v>4.0000000000000001E-3</v>
      </c>
      <c r="S6442" s="508">
        <v>4.0000000000000001E-3</v>
      </c>
      <c r="T6442" s="508">
        <v>4.0000000000000001E-3</v>
      </c>
      <c r="U6442" s="508">
        <v>4.0000000000000001E-3</v>
      </c>
      <c r="V6442" s="508">
        <v>4.0000000000000001E-3</v>
      </c>
      <c r="W6442" s="508">
        <v>4.0000000000000001E-3</v>
      </c>
      <c r="X6442" s="508">
        <v>4.0000000000000001E-3</v>
      </c>
      <c r="Y6442" s="508">
        <v>4.0000000000000001E-3</v>
      </c>
      <c r="Z6442" s="508">
        <v>4.0000000000000001E-3</v>
      </c>
      <c r="AA6442" s="508">
        <v>4.0000000000000001E-3</v>
      </c>
      <c r="AB6442" s="508">
        <v>4.0000000000000001E-3</v>
      </c>
      <c r="AC6442" s="508">
        <v>4.0000000000000001E-3</v>
      </c>
      <c r="AD6442" s="508">
        <v>4.0000000000000001E-3</v>
      </c>
      <c r="AE6442" s="508">
        <v>4.0000000000000001E-3</v>
      </c>
      <c r="AF6442" s="508">
        <v>4.0000000000000001E-3</v>
      </c>
      <c r="AG6442" s="508">
        <v>4.0000000000000001E-3</v>
      </c>
      <c r="AH6442" s="508">
        <v>4.0000000000000001E-3</v>
      </c>
      <c r="AI6442" s="492">
        <v>4.0000000000000001E-3</v>
      </c>
      <c r="AJ6442" s="485"/>
    </row>
    <row r="6443" spans="2:36">
      <c r="B6443" s="136" t="s">
        <v>482</v>
      </c>
      <c r="C6443" s="132" t="s">
        <v>1366</v>
      </c>
      <c r="D6443" s="132" t="s">
        <v>1380</v>
      </c>
      <c r="E6443" s="508">
        <v>4.0000000000000001E-3</v>
      </c>
      <c r="F6443" s="508">
        <v>4.0000000000000001E-3</v>
      </c>
      <c r="G6443" s="508">
        <v>4.0000000000000001E-3</v>
      </c>
      <c r="H6443" s="508">
        <v>4.0000000000000001E-3</v>
      </c>
      <c r="I6443" s="508">
        <v>4.0000000000000001E-3</v>
      </c>
      <c r="J6443" s="508">
        <v>4.0000000000000001E-3</v>
      </c>
      <c r="K6443" s="508">
        <v>4.0000000000000001E-3</v>
      </c>
      <c r="L6443" s="508">
        <v>4.0000000000000001E-3</v>
      </c>
      <c r="M6443" s="508">
        <v>4.0000000000000001E-3</v>
      </c>
      <c r="N6443" s="508">
        <v>4.0000000000000001E-3</v>
      </c>
      <c r="O6443" s="508">
        <v>4.0000000000000001E-3</v>
      </c>
      <c r="P6443" s="508">
        <v>4.0000000000000001E-3</v>
      </c>
      <c r="Q6443" s="508">
        <v>4.0000000000000001E-3</v>
      </c>
      <c r="R6443" s="508">
        <v>4.0000000000000001E-3</v>
      </c>
      <c r="S6443" s="508">
        <v>4.0000000000000001E-3</v>
      </c>
      <c r="T6443" s="508">
        <v>4.0000000000000001E-3</v>
      </c>
      <c r="U6443" s="508">
        <v>4.0000000000000001E-3</v>
      </c>
      <c r="V6443" s="508">
        <v>4.0000000000000001E-3</v>
      </c>
      <c r="W6443" s="508">
        <v>4.0000000000000001E-3</v>
      </c>
      <c r="X6443" s="508">
        <v>4.0000000000000001E-3</v>
      </c>
      <c r="Y6443" s="508">
        <v>4.0000000000000001E-3</v>
      </c>
      <c r="Z6443" s="508">
        <v>4.0000000000000001E-3</v>
      </c>
      <c r="AA6443" s="508">
        <v>4.0000000000000001E-3</v>
      </c>
      <c r="AB6443" s="508">
        <v>4.0000000000000001E-3</v>
      </c>
      <c r="AC6443" s="508">
        <v>4.0000000000000001E-3</v>
      </c>
      <c r="AD6443" s="508">
        <v>4.0000000000000001E-3</v>
      </c>
      <c r="AE6443" s="508">
        <v>4.0000000000000001E-3</v>
      </c>
      <c r="AF6443" s="508">
        <v>4.0000000000000001E-3</v>
      </c>
      <c r="AG6443" s="508">
        <v>4.0000000000000001E-3</v>
      </c>
      <c r="AH6443" s="508">
        <v>4.0000000000000001E-3</v>
      </c>
      <c r="AI6443" s="492">
        <v>4.0000000000000001E-3</v>
      </c>
      <c r="AJ6443" s="485"/>
    </row>
    <row r="6444" spans="2:36">
      <c r="B6444" s="136" t="s">
        <v>483</v>
      </c>
      <c r="C6444" s="132" t="s">
        <v>1366</v>
      </c>
      <c r="D6444" s="132" t="s">
        <v>1380</v>
      </c>
      <c r="E6444" s="508">
        <v>4.0000000000000001E-3</v>
      </c>
      <c r="F6444" s="508">
        <v>4.0000000000000001E-3</v>
      </c>
      <c r="G6444" s="508">
        <v>4.0000000000000001E-3</v>
      </c>
      <c r="H6444" s="508">
        <v>4.0000000000000001E-3</v>
      </c>
      <c r="I6444" s="508">
        <v>4.0000000000000001E-3</v>
      </c>
      <c r="J6444" s="508">
        <v>4.0000000000000001E-3</v>
      </c>
      <c r="K6444" s="508">
        <v>4.0000000000000001E-3</v>
      </c>
      <c r="L6444" s="508">
        <v>4.0000000000000001E-3</v>
      </c>
      <c r="M6444" s="508">
        <v>4.0000000000000001E-3</v>
      </c>
      <c r="N6444" s="508">
        <v>4.0000000000000001E-3</v>
      </c>
      <c r="O6444" s="508">
        <v>4.0000000000000001E-3</v>
      </c>
      <c r="P6444" s="508">
        <v>4.0000000000000001E-3</v>
      </c>
      <c r="Q6444" s="508">
        <v>4.0000000000000001E-3</v>
      </c>
      <c r="R6444" s="508">
        <v>4.0000000000000001E-3</v>
      </c>
      <c r="S6444" s="508">
        <v>4.0000000000000001E-3</v>
      </c>
      <c r="T6444" s="508">
        <v>4.0000000000000001E-3</v>
      </c>
      <c r="U6444" s="508">
        <v>4.0000000000000001E-3</v>
      </c>
      <c r="V6444" s="508">
        <v>4.0000000000000001E-3</v>
      </c>
      <c r="W6444" s="508">
        <v>4.0000000000000001E-3</v>
      </c>
      <c r="X6444" s="508">
        <v>4.0000000000000001E-3</v>
      </c>
      <c r="Y6444" s="508">
        <v>4.0000000000000001E-3</v>
      </c>
      <c r="Z6444" s="508">
        <v>4.0000000000000001E-3</v>
      </c>
      <c r="AA6444" s="508">
        <v>4.0000000000000001E-3</v>
      </c>
      <c r="AB6444" s="508">
        <v>4.0000000000000001E-3</v>
      </c>
      <c r="AC6444" s="508">
        <v>4.0000000000000001E-3</v>
      </c>
      <c r="AD6444" s="508">
        <v>4.0000000000000001E-3</v>
      </c>
      <c r="AE6444" s="508">
        <v>4.0000000000000001E-3</v>
      </c>
      <c r="AF6444" s="508">
        <v>4.0000000000000001E-3</v>
      </c>
      <c r="AG6444" s="508">
        <v>4.0000000000000001E-3</v>
      </c>
      <c r="AH6444" s="508">
        <v>4.0000000000000001E-3</v>
      </c>
      <c r="AI6444" s="492">
        <v>4.0000000000000001E-3</v>
      </c>
      <c r="AJ6444" s="485"/>
    </row>
    <row r="6445" spans="2:36">
      <c r="B6445" s="136" t="s">
        <v>484</v>
      </c>
      <c r="C6445" s="132" t="s">
        <v>1366</v>
      </c>
      <c r="D6445" s="132" t="s">
        <v>1380</v>
      </c>
      <c r="E6445" s="508">
        <v>3.0000000000000001E-3</v>
      </c>
      <c r="F6445" s="508">
        <v>3.0000000000000001E-3</v>
      </c>
      <c r="G6445" s="508">
        <v>3.0000000000000001E-3</v>
      </c>
      <c r="H6445" s="508">
        <v>3.0000000000000001E-3</v>
      </c>
      <c r="I6445" s="508">
        <v>3.0000000000000001E-3</v>
      </c>
      <c r="J6445" s="508">
        <v>3.0000000000000001E-3</v>
      </c>
      <c r="K6445" s="508">
        <v>3.0000000000000001E-3</v>
      </c>
      <c r="L6445" s="508">
        <v>3.0000000000000001E-3</v>
      </c>
      <c r="M6445" s="508">
        <v>3.0000000000000001E-3</v>
      </c>
      <c r="N6445" s="508">
        <v>3.0000000000000001E-3</v>
      </c>
      <c r="O6445" s="508">
        <v>3.0000000000000001E-3</v>
      </c>
      <c r="P6445" s="508">
        <v>3.0000000000000001E-3</v>
      </c>
      <c r="Q6445" s="508">
        <v>3.0000000000000001E-3</v>
      </c>
      <c r="R6445" s="508">
        <v>3.0000000000000001E-3</v>
      </c>
      <c r="S6445" s="508">
        <v>3.0000000000000001E-3</v>
      </c>
      <c r="T6445" s="508">
        <v>3.0000000000000001E-3</v>
      </c>
      <c r="U6445" s="508">
        <v>3.0000000000000001E-3</v>
      </c>
      <c r="V6445" s="508">
        <v>3.0000000000000001E-3</v>
      </c>
      <c r="W6445" s="508">
        <v>3.0000000000000001E-3</v>
      </c>
      <c r="X6445" s="508">
        <v>3.0000000000000001E-3</v>
      </c>
      <c r="Y6445" s="508">
        <v>3.0000000000000001E-3</v>
      </c>
      <c r="Z6445" s="508">
        <v>3.0000000000000001E-3</v>
      </c>
      <c r="AA6445" s="508">
        <v>3.0000000000000001E-3</v>
      </c>
      <c r="AB6445" s="508">
        <v>3.0000000000000001E-3</v>
      </c>
      <c r="AC6445" s="508">
        <v>3.0000000000000001E-3</v>
      </c>
      <c r="AD6445" s="508">
        <v>3.0000000000000001E-3</v>
      </c>
      <c r="AE6445" s="508">
        <v>3.0000000000000001E-3</v>
      </c>
      <c r="AF6445" s="508">
        <v>3.0000000000000001E-3</v>
      </c>
      <c r="AG6445" s="508">
        <v>3.0000000000000001E-3</v>
      </c>
      <c r="AH6445" s="508">
        <v>3.0000000000000001E-3</v>
      </c>
      <c r="AI6445" s="492">
        <v>3.0000000000000001E-3</v>
      </c>
      <c r="AJ6445" s="485"/>
    </row>
    <row r="6446" spans="2:36">
      <c r="B6446" s="136" t="s">
        <v>486</v>
      </c>
      <c r="C6446" s="132" t="s">
        <v>1366</v>
      </c>
      <c r="D6446" s="132" t="s">
        <v>1380</v>
      </c>
      <c r="E6446" s="508">
        <v>4.0000000000000001E-3</v>
      </c>
      <c r="F6446" s="508">
        <v>4.0000000000000001E-3</v>
      </c>
      <c r="G6446" s="508">
        <v>4.0000000000000001E-3</v>
      </c>
      <c r="H6446" s="508">
        <v>4.0000000000000001E-3</v>
      </c>
      <c r="I6446" s="508">
        <v>4.0000000000000001E-3</v>
      </c>
      <c r="J6446" s="508">
        <v>4.0000000000000001E-3</v>
      </c>
      <c r="K6446" s="508">
        <v>4.0000000000000001E-3</v>
      </c>
      <c r="L6446" s="508">
        <v>4.0000000000000001E-3</v>
      </c>
      <c r="M6446" s="508">
        <v>4.0000000000000001E-3</v>
      </c>
      <c r="N6446" s="508">
        <v>4.0000000000000001E-3</v>
      </c>
      <c r="O6446" s="508">
        <v>4.0000000000000001E-3</v>
      </c>
      <c r="P6446" s="508">
        <v>4.0000000000000001E-3</v>
      </c>
      <c r="Q6446" s="508">
        <v>4.0000000000000001E-3</v>
      </c>
      <c r="R6446" s="508">
        <v>4.0000000000000001E-3</v>
      </c>
      <c r="S6446" s="508">
        <v>4.0000000000000001E-3</v>
      </c>
      <c r="T6446" s="508">
        <v>4.0000000000000001E-3</v>
      </c>
      <c r="U6446" s="508">
        <v>4.0000000000000001E-3</v>
      </c>
      <c r="V6446" s="508">
        <v>4.0000000000000001E-3</v>
      </c>
      <c r="W6446" s="508">
        <v>4.0000000000000001E-3</v>
      </c>
      <c r="X6446" s="508">
        <v>4.0000000000000001E-3</v>
      </c>
      <c r="Y6446" s="508">
        <v>4.0000000000000001E-3</v>
      </c>
      <c r="Z6446" s="508">
        <v>4.0000000000000001E-3</v>
      </c>
      <c r="AA6446" s="508">
        <v>4.0000000000000001E-3</v>
      </c>
      <c r="AB6446" s="508">
        <v>4.0000000000000001E-3</v>
      </c>
      <c r="AC6446" s="508">
        <v>4.0000000000000001E-3</v>
      </c>
      <c r="AD6446" s="508">
        <v>4.0000000000000001E-3</v>
      </c>
      <c r="AE6446" s="508">
        <v>4.0000000000000001E-3</v>
      </c>
      <c r="AF6446" s="508">
        <v>4.0000000000000001E-3</v>
      </c>
      <c r="AG6446" s="508">
        <v>4.0000000000000001E-3</v>
      </c>
      <c r="AH6446" s="508">
        <v>4.0000000000000001E-3</v>
      </c>
      <c r="AI6446" s="492">
        <v>4.0000000000000001E-3</v>
      </c>
      <c r="AJ6446" s="485"/>
    </row>
    <row r="6447" spans="2:36">
      <c r="B6447" s="136" t="s">
        <v>487</v>
      </c>
      <c r="C6447" s="132" t="s">
        <v>1366</v>
      </c>
      <c r="D6447" s="132" t="s">
        <v>1380</v>
      </c>
      <c r="E6447" s="508">
        <v>4.0000000000000001E-3</v>
      </c>
      <c r="F6447" s="508">
        <v>4.0000000000000001E-3</v>
      </c>
      <c r="G6447" s="508">
        <v>4.0000000000000001E-3</v>
      </c>
      <c r="H6447" s="508">
        <v>4.0000000000000001E-3</v>
      </c>
      <c r="I6447" s="508">
        <v>4.0000000000000001E-3</v>
      </c>
      <c r="J6447" s="508">
        <v>4.0000000000000001E-3</v>
      </c>
      <c r="K6447" s="508">
        <v>4.0000000000000001E-3</v>
      </c>
      <c r="L6447" s="508">
        <v>4.0000000000000001E-3</v>
      </c>
      <c r="M6447" s="508">
        <v>4.0000000000000001E-3</v>
      </c>
      <c r="N6447" s="508">
        <v>4.0000000000000001E-3</v>
      </c>
      <c r="O6447" s="508">
        <v>4.0000000000000001E-3</v>
      </c>
      <c r="P6447" s="508">
        <v>4.0000000000000001E-3</v>
      </c>
      <c r="Q6447" s="508">
        <v>4.0000000000000001E-3</v>
      </c>
      <c r="R6447" s="508">
        <v>4.0000000000000001E-3</v>
      </c>
      <c r="S6447" s="508">
        <v>4.0000000000000001E-3</v>
      </c>
      <c r="T6447" s="508">
        <v>4.0000000000000001E-3</v>
      </c>
      <c r="U6447" s="508">
        <v>4.0000000000000001E-3</v>
      </c>
      <c r="V6447" s="508">
        <v>4.0000000000000001E-3</v>
      </c>
      <c r="W6447" s="508">
        <v>4.0000000000000001E-3</v>
      </c>
      <c r="X6447" s="508">
        <v>4.0000000000000001E-3</v>
      </c>
      <c r="Y6447" s="508">
        <v>4.0000000000000001E-3</v>
      </c>
      <c r="Z6447" s="508">
        <v>4.0000000000000001E-3</v>
      </c>
      <c r="AA6447" s="508">
        <v>4.0000000000000001E-3</v>
      </c>
      <c r="AB6447" s="508">
        <v>4.0000000000000001E-3</v>
      </c>
      <c r="AC6447" s="508">
        <v>4.0000000000000001E-3</v>
      </c>
      <c r="AD6447" s="508">
        <v>4.0000000000000001E-3</v>
      </c>
      <c r="AE6447" s="508">
        <v>4.0000000000000001E-3</v>
      </c>
      <c r="AF6447" s="508">
        <v>4.0000000000000001E-3</v>
      </c>
      <c r="AG6447" s="508">
        <v>4.0000000000000001E-3</v>
      </c>
      <c r="AH6447" s="508">
        <v>4.0000000000000001E-3</v>
      </c>
      <c r="AI6447" s="492">
        <v>4.0000000000000001E-3</v>
      </c>
      <c r="AJ6447" s="485"/>
    </row>
    <row r="6448" spans="2:36">
      <c r="B6448" s="136" t="s">
        <v>488</v>
      </c>
      <c r="C6448" s="132" t="s">
        <v>1366</v>
      </c>
      <c r="D6448" s="132" t="s">
        <v>1380</v>
      </c>
      <c r="E6448" s="508">
        <v>3.0000000000000001E-3</v>
      </c>
      <c r="F6448" s="508">
        <v>3.0000000000000001E-3</v>
      </c>
      <c r="G6448" s="508">
        <v>3.0000000000000001E-3</v>
      </c>
      <c r="H6448" s="508">
        <v>3.0000000000000001E-3</v>
      </c>
      <c r="I6448" s="508">
        <v>3.0000000000000001E-3</v>
      </c>
      <c r="J6448" s="508">
        <v>3.0000000000000001E-3</v>
      </c>
      <c r="K6448" s="508">
        <v>3.0000000000000001E-3</v>
      </c>
      <c r="L6448" s="508">
        <v>3.0000000000000001E-3</v>
      </c>
      <c r="M6448" s="508">
        <v>3.0000000000000001E-3</v>
      </c>
      <c r="N6448" s="508">
        <v>3.0000000000000001E-3</v>
      </c>
      <c r="O6448" s="508">
        <v>3.0000000000000001E-3</v>
      </c>
      <c r="P6448" s="508">
        <v>3.0000000000000001E-3</v>
      </c>
      <c r="Q6448" s="508">
        <v>3.0000000000000001E-3</v>
      </c>
      <c r="R6448" s="508">
        <v>3.0000000000000001E-3</v>
      </c>
      <c r="S6448" s="508">
        <v>3.0000000000000001E-3</v>
      </c>
      <c r="T6448" s="508">
        <v>3.0000000000000001E-3</v>
      </c>
      <c r="U6448" s="508">
        <v>3.0000000000000001E-3</v>
      </c>
      <c r="V6448" s="508">
        <v>3.0000000000000001E-3</v>
      </c>
      <c r="W6448" s="508">
        <v>3.0000000000000001E-3</v>
      </c>
      <c r="X6448" s="508">
        <v>3.0000000000000001E-3</v>
      </c>
      <c r="Y6448" s="508">
        <v>3.0000000000000001E-3</v>
      </c>
      <c r="Z6448" s="508">
        <v>3.0000000000000001E-3</v>
      </c>
      <c r="AA6448" s="508">
        <v>3.0000000000000001E-3</v>
      </c>
      <c r="AB6448" s="508">
        <v>3.0000000000000001E-3</v>
      </c>
      <c r="AC6448" s="508">
        <v>3.0000000000000001E-3</v>
      </c>
      <c r="AD6448" s="508">
        <v>3.0000000000000001E-3</v>
      </c>
      <c r="AE6448" s="508">
        <v>3.0000000000000001E-3</v>
      </c>
      <c r="AF6448" s="508">
        <v>3.0000000000000001E-3</v>
      </c>
      <c r="AG6448" s="508">
        <v>3.0000000000000001E-3</v>
      </c>
      <c r="AH6448" s="508">
        <v>3.0000000000000001E-3</v>
      </c>
      <c r="AI6448" s="492">
        <v>3.0000000000000001E-3</v>
      </c>
      <c r="AJ6448" s="485"/>
    </row>
    <row r="6449" spans="2:36">
      <c r="B6449" s="136" t="s">
        <v>489</v>
      </c>
      <c r="C6449" s="132" t="s">
        <v>1366</v>
      </c>
      <c r="D6449" s="132" t="s">
        <v>1380</v>
      </c>
      <c r="E6449" s="508">
        <v>4.0000000000000001E-3</v>
      </c>
      <c r="F6449" s="508">
        <v>4.0000000000000001E-3</v>
      </c>
      <c r="G6449" s="508">
        <v>4.0000000000000001E-3</v>
      </c>
      <c r="H6449" s="508">
        <v>4.0000000000000001E-3</v>
      </c>
      <c r="I6449" s="508">
        <v>4.0000000000000001E-3</v>
      </c>
      <c r="J6449" s="508">
        <v>4.0000000000000001E-3</v>
      </c>
      <c r="K6449" s="508">
        <v>4.0000000000000001E-3</v>
      </c>
      <c r="L6449" s="508">
        <v>4.0000000000000001E-3</v>
      </c>
      <c r="M6449" s="508">
        <v>4.0000000000000001E-3</v>
      </c>
      <c r="N6449" s="508">
        <v>4.0000000000000001E-3</v>
      </c>
      <c r="O6449" s="508">
        <v>4.0000000000000001E-3</v>
      </c>
      <c r="P6449" s="508">
        <v>4.0000000000000001E-3</v>
      </c>
      <c r="Q6449" s="508">
        <v>4.0000000000000001E-3</v>
      </c>
      <c r="R6449" s="508">
        <v>4.0000000000000001E-3</v>
      </c>
      <c r="S6449" s="508">
        <v>4.0000000000000001E-3</v>
      </c>
      <c r="T6449" s="508">
        <v>4.0000000000000001E-3</v>
      </c>
      <c r="U6449" s="508">
        <v>4.0000000000000001E-3</v>
      </c>
      <c r="V6449" s="508">
        <v>4.0000000000000001E-3</v>
      </c>
      <c r="W6449" s="508">
        <v>4.0000000000000001E-3</v>
      </c>
      <c r="X6449" s="508">
        <v>4.0000000000000001E-3</v>
      </c>
      <c r="Y6449" s="508">
        <v>4.0000000000000001E-3</v>
      </c>
      <c r="Z6449" s="508">
        <v>4.0000000000000001E-3</v>
      </c>
      <c r="AA6449" s="508">
        <v>4.0000000000000001E-3</v>
      </c>
      <c r="AB6449" s="508">
        <v>4.0000000000000001E-3</v>
      </c>
      <c r="AC6449" s="508">
        <v>4.0000000000000001E-3</v>
      </c>
      <c r="AD6449" s="508">
        <v>4.0000000000000001E-3</v>
      </c>
      <c r="AE6449" s="508">
        <v>4.0000000000000001E-3</v>
      </c>
      <c r="AF6449" s="508">
        <v>4.0000000000000001E-3</v>
      </c>
      <c r="AG6449" s="508">
        <v>4.0000000000000001E-3</v>
      </c>
      <c r="AH6449" s="508">
        <v>4.0000000000000001E-3</v>
      </c>
      <c r="AI6449" s="492">
        <v>4.0000000000000001E-3</v>
      </c>
      <c r="AJ6449" s="485"/>
    </row>
    <row r="6450" spans="2:36">
      <c r="B6450" s="136" t="s">
        <v>490</v>
      </c>
      <c r="C6450" s="132" t="s">
        <v>1366</v>
      </c>
      <c r="D6450" s="132" t="s">
        <v>1380</v>
      </c>
      <c r="E6450" s="508">
        <v>3.0000000000000001E-3</v>
      </c>
      <c r="F6450" s="508">
        <v>3.0000000000000001E-3</v>
      </c>
      <c r="G6450" s="508">
        <v>3.0000000000000001E-3</v>
      </c>
      <c r="H6450" s="508">
        <v>3.0000000000000001E-3</v>
      </c>
      <c r="I6450" s="508">
        <v>3.0000000000000001E-3</v>
      </c>
      <c r="J6450" s="508">
        <v>3.0000000000000001E-3</v>
      </c>
      <c r="K6450" s="508">
        <v>3.0000000000000001E-3</v>
      </c>
      <c r="L6450" s="508">
        <v>3.0000000000000001E-3</v>
      </c>
      <c r="M6450" s="508">
        <v>3.0000000000000001E-3</v>
      </c>
      <c r="N6450" s="508">
        <v>3.0000000000000001E-3</v>
      </c>
      <c r="O6450" s="508">
        <v>3.0000000000000001E-3</v>
      </c>
      <c r="P6450" s="508">
        <v>3.0000000000000001E-3</v>
      </c>
      <c r="Q6450" s="508">
        <v>3.0000000000000001E-3</v>
      </c>
      <c r="R6450" s="508">
        <v>3.0000000000000001E-3</v>
      </c>
      <c r="S6450" s="508">
        <v>3.0000000000000001E-3</v>
      </c>
      <c r="T6450" s="508">
        <v>3.0000000000000001E-3</v>
      </c>
      <c r="U6450" s="508">
        <v>3.0000000000000001E-3</v>
      </c>
      <c r="V6450" s="508">
        <v>3.0000000000000001E-3</v>
      </c>
      <c r="W6450" s="508">
        <v>3.0000000000000001E-3</v>
      </c>
      <c r="X6450" s="508">
        <v>3.0000000000000001E-3</v>
      </c>
      <c r="Y6450" s="508">
        <v>3.0000000000000001E-3</v>
      </c>
      <c r="Z6450" s="508">
        <v>3.0000000000000001E-3</v>
      </c>
      <c r="AA6450" s="508">
        <v>3.0000000000000001E-3</v>
      </c>
      <c r="AB6450" s="508">
        <v>3.0000000000000001E-3</v>
      </c>
      <c r="AC6450" s="508">
        <v>3.0000000000000001E-3</v>
      </c>
      <c r="AD6450" s="508">
        <v>3.0000000000000001E-3</v>
      </c>
      <c r="AE6450" s="508">
        <v>3.0000000000000001E-3</v>
      </c>
      <c r="AF6450" s="508">
        <v>3.0000000000000001E-3</v>
      </c>
      <c r="AG6450" s="508">
        <v>3.0000000000000001E-3</v>
      </c>
      <c r="AH6450" s="508">
        <v>3.0000000000000001E-3</v>
      </c>
      <c r="AI6450" s="492">
        <v>3.0000000000000001E-3</v>
      </c>
      <c r="AJ6450" s="485"/>
    </row>
    <row r="6451" spans="2:36">
      <c r="B6451" s="136" t="s">
        <v>435</v>
      </c>
      <c r="C6451" s="132" t="s">
        <v>1367</v>
      </c>
      <c r="D6451" s="132" t="s">
        <v>1380</v>
      </c>
      <c r="E6451" s="508">
        <v>4.0000000000000001E-3</v>
      </c>
      <c r="F6451" s="508">
        <v>4.0000000000000001E-3</v>
      </c>
      <c r="G6451" s="508">
        <v>4.0000000000000001E-3</v>
      </c>
      <c r="H6451" s="508">
        <v>4.0000000000000001E-3</v>
      </c>
      <c r="I6451" s="508">
        <v>4.0000000000000001E-3</v>
      </c>
      <c r="J6451" s="508">
        <v>4.0000000000000001E-3</v>
      </c>
      <c r="K6451" s="508">
        <v>4.0000000000000001E-3</v>
      </c>
      <c r="L6451" s="508">
        <v>4.0000000000000001E-3</v>
      </c>
      <c r="M6451" s="508">
        <v>4.0000000000000001E-3</v>
      </c>
      <c r="N6451" s="508">
        <v>4.0000000000000001E-3</v>
      </c>
      <c r="O6451" s="508">
        <v>4.0000000000000001E-3</v>
      </c>
      <c r="P6451" s="508">
        <v>4.0000000000000001E-3</v>
      </c>
      <c r="Q6451" s="508">
        <v>4.0000000000000001E-3</v>
      </c>
      <c r="R6451" s="508">
        <v>4.0000000000000001E-3</v>
      </c>
      <c r="S6451" s="508">
        <v>4.0000000000000001E-3</v>
      </c>
      <c r="T6451" s="508">
        <v>4.0000000000000001E-3</v>
      </c>
      <c r="U6451" s="508">
        <v>4.0000000000000001E-3</v>
      </c>
      <c r="V6451" s="508">
        <v>4.0000000000000001E-3</v>
      </c>
      <c r="W6451" s="508">
        <v>4.0000000000000001E-3</v>
      </c>
      <c r="X6451" s="508">
        <v>4.0000000000000001E-3</v>
      </c>
      <c r="Y6451" s="508">
        <v>4.0000000000000001E-3</v>
      </c>
      <c r="Z6451" s="508">
        <v>4.0000000000000001E-3</v>
      </c>
      <c r="AA6451" s="508">
        <v>4.0000000000000001E-3</v>
      </c>
      <c r="AB6451" s="508">
        <v>4.0000000000000001E-3</v>
      </c>
      <c r="AC6451" s="508">
        <v>4.0000000000000001E-3</v>
      </c>
      <c r="AD6451" s="508">
        <v>4.0000000000000001E-3</v>
      </c>
      <c r="AE6451" s="508">
        <v>4.0000000000000001E-3</v>
      </c>
      <c r="AF6451" s="508">
        <v>4.0000000000000001E-3</v>
      </c>
      <c r="AG6451" s="508">
        <v>4.0000000000000001E-3</v>
      </c>
      <c r="AH6451" s="508">
        <v>4.0000000000000001E-3</v>
      </c>
      <c r="AI6451" s="492">
        <v>4.0000000000000001E-3</v>
      </c>
      <c r="AJ6451" s="485"/>
    </row>
    <row r="6452" spans="2:36">
      <c r="B6452" s="136" t="s">
        <v>436</v>
      </c>
      <c r="C6452" s="132" t="s">
        <v>1367</v>
      </c>
      <c r="D6452" s="132" t="s">
        <v>1380</v>
      </c>
      <c r="E6452" s="508">
        <v>4.0000000000000001E-3</v>
      </c>
      <c r="F6452" s="508">
        <v>4.0000000000000001E-3</v>
      </c>
      <c r="G6452" s="508">
        <v>4.0000000000000001E-3</v>
      </c>
      <c r="H6452" s="508">
        <v>4.0000000000000001E-3</v>
      </c>
      <c r="I6452" s="508">
        <v>4.0000000000000001E-3</v>
      </c>
      <c r="J6452" s="508">
        <v>4.0000000000000001E-3</v>
      </c>
      <c r="K6452" s="508">
        <v>4.0000000000000001E-3</v>
      </c>
      <c r="L6452" s="508">
        <v>4.0000000000000001E-3</v>
      </c>
      <c r="M6452" s="508">
        <v>4.0000000000000001E-3</v>
      </c>
      <c r="N6452" s="508">
        <v>4.0000000000000001E-3</v>
      </c>
      <c r="O6452" s="508">
        <v>4.0000000000000001E-3</v>
      </c>
      <c r="P6452" s="508">
        <v>4.0000000000000001E-3</v>
      </c>
      <c r="Q6452" s="508">
        <v>4.0000000000000001E-3</v>
      </c>
      <c r="R6452" s="508">
        <v>4.0000000000000001E-3</v>
      </c>
      <c r="S6452" s="508">
        <v>4.0000000000000001E-3</v>
      </c>
      <c r="T6452" s="508">
        <v>4.0000000000000001E-3</v>
      </c>
      <c r="U6452" s="508">
        <v>4.0000000000000001E-3</v>
      </c>
      <c r="V6452" s="508">
        <v>4.0000000000000001E-3</v>
      </c>
      <c r="W6452" s="508">
        <v>4.0000000000000001E-3</v>
      </c>
      <c r="X6452" s="508">
        <v>4.0000000000000001E-3</v>
      </c>
      <c r="Y6452" s="508">
        <v>4.0000000000000001E-3</v>
      </c>
      <c r="Z6452" s="508">
        <v>4.0000000000000001E-3</v>
      </c>
      <c r="AA6452" s="508">
        <v>4.0000000000000001E-3</v>
      </c>
      <c r="AB6452" s="508">
        <v>4.0000000000000001E-3</v>
      </c>
      <c r="AC6452" s="508">
        <v>4.0000000000000001E-3</v>
      </c>
      <c r="AD6452" s="508">
        <v>4.0000000000000001E-3</v>
      </c>
      <c r="AE6452" s="508">
        <v>4.0000000000000001E-3</v>
      </c>
      <c r="AF6452" s="508">
        <v>4.0000000000000001E-3</v>
      </c>
      <c r="AG6452" s="508">
        <v>4.0000000000000001E-3</v>
      </c>
      <c r="AH6452" s="508">
        <v>4.0000000000000001E-3</v>
      </c>
      <c r="AI6452" s="492">
        <v>4.0000000000000001E-3</v>
      </c>
      <c r="AJ6452" s="485"/>
    </row>
    <row r="6453" spans="2:36">
      <c r="B6453" s="136" t="s">
        <v>437</v>
      </c>
      <c r="C6453" s="132" t="s">
        <v>1367</v>
      </c>
      <c r="D6453" s="132" t="s">
        <v>1380</v>
      </c>
      <c r="E6453" s="508">
        <v>4.0000000000000001E-3</v>
      </c>
      <c r="F6453" s="508">
        <v>4.0000000000000001E-3</v>
      </c>
      <c r="G6453" s="508">
        <v>4.0000000000000001E-3</v>
      </c>
      <c r="H6453" s="508">
        <v>4.0000000000000001E-3</v>
      </c>
      <c r="I6453" s="508">
        <v>4.0000000000000001E-3</v>
      </c>
      <c r="J6453" s="508">
        <v>4.0000000000000001E-3</v>
      </c>
      <c r="K6453" s="508">
        <v>4.0000000000000001E-3</v>
      </c>
      <c r="L6453" s="508">
        <v>4.0000000000000001E-3</v>
      </c>
      <c r="M6453" s="508">
        <v>4.0000000000000001E-3</v>
      </c>
      <c r="N6453" s="508">
        <v>4.0000000000000001E-3</v>
      </c>
      <c r="O6453" s="508">
        <v>4.0000000000000001E-3</v>
      </c>
      <c r="P6453" s="508">
        <v>4.0000000000000001E-3</v>
      </c>
      <c r="Q6453" s="508">
        <v>4.0000000000000001E-3</v>
      </c>
      <c r="R6453" s="508">
        <v>4.0000000000000001E-3</v>
      </c>
      <c r="S6453" s="508">
        <v>4.0000000000000001E-3</v>
      </c>
      <c r="T6453" s="508">
        <v>4.0000000000000001E-3</v>
      </c>
      <c r="U6453" s="508">
        <v>4.0000000000000001E-3</v>
      </c>
      <c r="V6453" s="508">
        <v>4.0000000000000001E-3</v>
      </c>
      <c r="W6453" s="508">
        <v>4.0000000000000001E-3</v>
      </c>
      <c r="X6453" s="508">
        <v>4.0000000000000001E-3</v>
      </c>
      <c r="Y6453" s="508">
        <v>4.0000000000000001E-3</v>
      </c>
      <c r="Z6453" s="508">
        <v>4.0000000000000001E-3</v>
      </c>
      <c r="AA6453" s="508">
        <v>4.0000000000000001E-3</v>
      </c>
      <c r="AB6453" s="508">
        <v>4.0000000000000001E-3</v>
      </c>
      <c r="AC6453" s="508">
        <v>4.0000000000000001E-3</v>
      </c>
      <c r="AD6453" s="508">
        <v>4.0000000000000001E-3</v>
      </c>
      <c r="AE6453" s="508">
        <v>4.0000000000000001E-3</v>
      </c>
      <c r="AF6453" s="508">
        <v>4.0000000000000001E-3</v>
      </c>
      <c r="AG6453" s="508">
        <v>4.0000000000000001E-3</v>
      </c>
      <c r="AH6453" s="508">
        <v>4.0000000000000001E-3</v>
      </c>
      <c r="AI6453" s="492">
        <v>4.0000000000000001E-3</v>
      </c>
      <c r="AJ6453" s="485"/>
    </row>
    <row r="6454" spans="2:36">
      <c r="B6454" s="136" t="s">
        <v>438</v>
      </c>
      <c r="C6454" s="132" t="s">
        <v>1367</v>
      </c>
      <c r="D6454" s="132" t="s">
        <v>1380</v>
      </c>
      <c r="E6454" s="508">
        <v>4.0000000000000001E-3</v>
      </c>
      <c r="F6454" s="508">
        <v>4.0000000000000001E-3</v>
      </c>
      <c r="G6454" s="508">
        <v>4.0000000000000001E-3</v>
      </c>
      <c r="H6454" s="508">
        <v>4.0000000000000001E-3</v>
      </c>
      <c r="I6454" s="508">
        <v>4.0000000000000001E-3</v>
      </c>
      <c r="J6454" s="508">
        <v>4.0000000000000001E-3</v>
      </c>
      <c r="K6454" s="508">
        <v>4.0000000000000001E-3</v>
      </c>
      <c r="L6454" s="508">
        <v>4.0000000000000001E-3</v>
      </c>
      <c r="M6454" s="508">
        <v>4.0000000000000001E-3</v>
      </c>
      <c r="N6454" s="508">
        <v>4.0000000000000001E-3</v>
      </c>
      <c r="O6454" s="508">
        <v>4.0000000000000001E-3</v>
      </c>
      <c r="P6454" s="508">
        <v>4.0000000000000001E-3</v>
      </c>
      <c r="Q6454" s="508">
        <v>4.0000000000000001E-3</v>
      </c>
      <c r="R6454" s="508">
        <v>4.0000000000000001E-3</v>
      </c>
      <c r="S6454" s="508">
        <v>4.0000000000000001E-3</v>
      </c>
      <c r="T6454" s="508">
        <v>4.0000000000000001E-3</v>
      </c>
      <c r="U6454" s="508">
        <v>4.0000000000000001E-3</v>
      </c>
      <c r="V6454" s="508">
        <v>4.0000000000000001E-3</v>
      </c>
      <c r="W6454" s="508">
        <v>4.0000000000000001E-3</v>
      </c>
      <c r="X6454" s="508">
        <v>4.0000000000000001E-3</v>
      </c>
      <c r="Y6454" s="508">
        <v>4.0000000000000001E-3</v>
      </c>
      <c r="Z6454" s="508">
        <v>4.0000000000000001E-3</v>
      </c>
      <c r="AA6454" s="508">
        <v>4.0000000000000001E-3</v>
      </c>
      <c r="AB6454" s="508">
        <v>4.0000000000000001E-3</v>
      </c>
      <c r="AC6454" s="508">
        <v>4.0000000000000001E-3</v>
      </c>
      <c r="AD6454" s="508">
        <v>4.0000000000000001E-3</v>
      </c>
      <c r="AE6454" s="508">
        <v>4.0000000000000001E-3</v>
      </c>
      <c r="AF6454" s="508">
        <v>4.0000000000000001E-3</v>
      </c>
      <c r="AG6454" s="508">
        <v>4.0000000000000001E-3</v>
      </c>
      <c r="AH6454" s="508">
        <v>4.0000000000000001E-3</v>
      </c>
      <c r="AI6454" s="492">
        <v>4.0000000000000001E-3</v>
      </c>
      <c r="AJ6454" s="485"/>
    </row>
    <row r="6455" spans="2:36">
      <c r="B6455" s="136" t="s">
        <v>439</v>
      </c>
      <c r="C6455" s="132" t="s">
        <v>1367</v>
      </c>
      <c r="D6455" s="132" t="s">
        <v>1380</v>
      </c>
      <c r="E6455" s="508">
        <v>4.0000000000000001E-3</v>
      </c>
      <c r="F6455" s="508">
        <v>4.0000000000000001E-3</v>
      </c>
      <c r="G6455" s="508">
        <v>4.0000000000000001E-3</v>
      </c>
      <c r="H6455" s="508">
        <v>4.0000000000000001E-3</v>
      </c>
      <c r="I6455" s="508">
        <v>4.0000000000000001E-3</v>
      </c>
      <c r="J6455" s="508">
        <v>4.0000000000000001E-3</v>
      </c>
      <c r="K6455" s="508">
        <v>4.0000000000000001E-3</v>
      </c>
      <c r="L6455" s="508">
        <v>4.0000000000000001E-3</v>
      </c>
      <c r="M6455" s="508">
        <v>4.0000000000000001E-3</v>
      </c>
      <c r="N6455" s="508">
        <v>4.0000000000000001E-3</v>
      </c>
      <c r="O6455" s="508">
        <v>4.0000000000000001E-3</v>
      </c>
      <c r="P6455" s="508">
        <v>4.0000000000000001E-3</v>
      </c>
      <c r="Q6455" s="508">
        <v>4.0000000000000001E-3</v>
      </c>
      <c r="R6455" s="508">
        <v>4.0000000000000001E-3</v>
      </c>
      <c r="S6455" s="508">
        <v>4.0000000000000001E-3</v>
      </c>
      <c r="T6455" s="508">
        <v>4.0000000000000001E-3</v>
      </c>
      <c r="U6455" s="508">
        <v>4.0000000000000001E-3</v>
      </c>
      <c r="V6455" s="508">
        <v>4.0000000000000001E-3</v>
      </c>
      <c r="W6455" s="508">
        <v>4.0000000000000001E-3</v>
      </c>
      <c r="X6455" s="508">
        <v>4.0000000000000001E-3</v>
      </c>
      <c r="Y6455" s="508">
        <v>4.0000000000000001E-3</v>
      </c>
      <c r="Z6455" s="508">
        <v>4.0000000000000001E-3</v>
      </c>
      <c r="AA6455" s="508">
        <v>4.0000000000000001E-3</v>
      </c>
      <c r="AB6455" s="508">
        <v>4.0000000000000001E-3</v>
      </c>
      <c r="AC6455" s="508">
        <v>4.0000000000000001E-3</v>
      </c>
      <c r="AD6455" s="508">
        <v>4.0000000000000001E-3</v>
      </c>
      <c r="AE6455" s="508">
        <v>4.0000000000000001E-3</v>
      </c>
      <c r="AF6455" s="508">
        <v>4.0000000000000001E-3</v>
      </c>
      <c r="AG6455" s="508">
        <v>4.0000000000000001E-3</v>
      </c>
      <c r="AH6455" s="508">
        <v>4.0000000000000001E-3</v>
      </c>
      <c r="AI6455" s="492">
        <v>4.0000000000000001E-3</v>
      </c>
      <c r="AJ6455" s="485"/>
    </row>
    <row r="6456" spans="2:36">
      <c r="B6456" s="136" t="s">
        <v>440</v>
      </c>
      <c r="C6456" s="132" t="s">
        <v>1367</v>
      </c>
      <c r="D6456" s="132" t="s">
        <v>1380</v>
      </c>
      <c r="E6456" s="508">
        <v>4.0000000000000001E-3</v>
      </c>
      <c r="F6456" s="508">
        <v>4.0000000000000001E-3</v>
      </c>
      <c r="G6456" s="508">
        <v>4.0000000000000001E-3</v>
      </c>
      <c r="H6456" s="508">
        <v>4.0000000000000001E-3</v>
      </c>
      <c r="I6456" s="508">
        <v>4.0000000000000001E-3</v>
      </c>
      <c r="J6456" s="508">
        <v>4.0000000000000001E-3</v>
      </c>
      <c r="K6456" s="508">
        <v>4.0000000000000001E-3</v>
      </c>
      <c r="L6456" s="508">
        <v>4.0000000000000001E-3</v>
      </c>
      <c r="M6456" s="508">
        <v>4.0000000000000001E-3</v>
      </c>
      <c r="N6456" s="508">
        <v>4.0000000000000001E-3</v>
      </c>
      <c r="O6456" s="508">
        <v>4.0000000000000001E-3</v>
      </c>
      <c r="P6456" s="508">
        <v>4.0000000000000001E-3</v>
      </c>
      <c r="Q6456" s="508">
        <v>4.0000000000000001E-3</v>
      </c>
      <c r="R6456" s="508">
        <v>4.0000000000000001E-3</v>
      </c>
      <c r="S6456" s="508">
        <v>4.0000000000000001E-3</v>
      </c>
      <c r="T6456" s="508">
        <v>4.0000000000000001E-3</v>
      </c>
      <c r="U6456" s="508">
        <v>4.0000000000000001E-3</v>
      </c>
      <c r="V6456" s="508">
        <v>4.0000000000000001E-3</v>
      </c>
      <c r="W6456" s="508">
        <v>4.0000000000000001E-3</v>
      </c>
      <c r="X6456" s="508">
        <v>4.0000000000000001E-3</v>
      </c>
      <c r="Y6456" s="508">
        <v>4.0000000000000001E-3</v>
      </c>
      <c r="Z6456" s="508">
        <v>4.0000000000000001E-3</v>
      </c>
      <c r="AA6456" s="508">
        <v>4.0000000000000001E-3</v>
      </c>
      <c r="AB6456" s="508">
        <v>4.0000000000000001E-3</v>
      </c>
      <c r="AC6456" s="508">
        <v>4.0000000000000001E-3</v>
      </c>
      <c r="AD6456" s="508">
        <v>4.0000000000000001E-3</v>
      </c>
      <c r="AE6456" s="508">
        <v>4.0000000000000001E-3</v>
      </c>
      <c r="AF6456" s="508">
        <v>4.0000000000000001E-3</v>
      </c>
      <c r="AG6456" s="508">
        <v>4.0000000000000001E-3</v>
      </c>
      <c r="AH6456" s="508">
        <v>4.0000000000000001E-3</v>
      </c>
      <c r="AI6456" s="492">
        <v>4.0000000000000001E-3</v>
      </c>
      <c r="AJ6456" s="485"/>
    </row>
    <row r="6457" spans="2:36">
      <c r="B6457" s="136" t="s">
        <v>441</v>
      </c>
      <c r="C6457" s="132" t="s">
        <v>1367</v>
      </c>
      <c r="D6457" s="132" t="s">
        <v>1380</v>
      </c>
      <c r="E6457" s="508">
        <v>4.0000000000000001E-3</v>
      </c>
      <c r="F6457" s="508">
        <v>4.0000000000000001E-3</v>
      </c>
      <c r="G6457" s="508">
        <v>4.0000000000000001E-3</v>
      </c>
      <c r="H6457" s="508">
        <v>4.0000000000000001E-3</v>
      </c>
      <c r="I6457" s="508">
        <v>4.0000000000000001E-3</v>
      </c>
      <c r="J6457" s="508">
        <v>4.0000000000000001E-3</v>
      </c>
      <c r="K6457" s="508">
        <v>4.0000000000000001E-3</v>
      </c>
      <c r="L6457" s="508">
        <v>4.0000000000000001E-3</v>
      </c>
      <c r="M6457" s="508">
        <v>4.0000000000000001E-3</v>
      </c>
      <c r="N6457" s="508">
        <v>4.0000000000000001E-3</v>
      </c>
      <c r="O6457" s="508">
        <v>4.0000000000000001E-3</v>
      </c>
      <c r="P6457" s="508">
        <v>4.0000000000000001E-3</v>
      </c>
      <c r="Q6457" s="508">
        <v>4.0000000000000001E-3</v>
      </c>
      <c r="R6457" s="508">
        <v>4.0000000000000001E-3</v>
      </c>
      <c r="S6457" s="508">
        <v>4.0000000000000001E-3</v>
      </c>
      <c r="T6457" s="508">
        <v>4.0000000000000001E-3</v>
      </c>
      <c r="U6457" s="508">
        <v>4.0000000000000001E-3</v>
      </c>
      <c r="V6457" s="508">
        <v>4.0000000000000001E-3</v>
      </c>
      <c r="W6457" s="508">
        <v>4.0000000000000001E-3</v>
      </c>
      <c r="X6457" s="508">
        <v>4.0000000000000001E-3</v>
      </c>
      <c r="Y6457" s="508">
        <v>4.0000000000000001E-3</v>
      </c>
      <c r="Z6457" s="508">
        <v>4.0000000000000001E-3</v>
      </c>
      <c r="AA6457" s="508">
        <v>4.0000000000000001E-3</v>
      </c>
      <c r="AB6457" s="508">
        <v>4.0000000000000001E-3</v>
      </c>
      <c r="AC6457" s="508">
        <v>4.0000000000000001E-3</v>
      </c>
      <c r="AD6457" s="508">
        <v>4.0000000000000001E-3</v>
      </c>
      <c r="AE6457" s="508">
        <v>4.0000000000000001E-3</v>
      </c>
      <c r="AF6457" s="508">
        <v>4.0000000000000001E-3</v>
      </c>
      <c r="AG6457" s="508">
        <v>4.0000000000000001E-3</v>
      </c>
      <c r="AH6457" s="508">
        <v>4.0000000000000001E-3</v>
      </c>
      <c r="AI6457" s="492">
        <v>4.0000000000000001E-3</v>
      </c>
      <c r="AJ6457" s="485"/>
    </row>
    <row r="6458" spans="2:36">
      <c r="B6458" s="136" t="s">
        <v>443</v>
      </c>
      <c r="C6458" s="132" t="s">
        <v>1367</v>
      </c>
      <c r="D6458" s="132" t="s">
        <v>1380</v>
      </c>
      <c r="E6458" s="508">
        <v>4.0000000000000001E-3</v>
      </c>
      <c r="F6458" s="508">
        <v>4.0000000000000001E-3</v>
      </c>
      <c r="G6458" s="508">
        <v>4.0000000000000001E-3</v>
      </c>
      <c r="H6458" s="508">
        <v>4.0000000000000001E-3</v>
      </c>
      <c r="I6458" s="508">
        <v>4.0000000000000001E-3</v>
      </c>
      <c r="J6458" s="508">
        <v>4.0000000000000001E-3</v>
      </c>
      <c r="K6458" s="508">
        <v>4.0000000000000001E-3</v>
      </c>
      <c r="L6458" s="508">
        <v>4.0000000000000001E-3</v>
      </c>
      <c r="M6458" s="508">
        <v>4.0000000000000001E-3</v>
      </c>
      <c r="N6458" s="508">
        <v>4.0000000000000001E-3</v>
      </c>
      <c r="O6458" s="508">
        <v>4.0000000000000001E-3</v>
      </c>
      <c r="P6458" s="508">
        <v>4.0000000000000001E-3</v>
      </c>
      <c r="Q6458" s="508">
        <v>4.0000000000000001E-3</v>
      </c>
      <c r="R6458" s="508">
        <v>4.0000000000000001E-3</v>
      </c>
      <c r="S6458" s="508">
        <v>4.0000000000000001E-3</v>
      </c>
      <c r="T6458" s="508">
        <v>4.0000000000000001E-3</v>
      </c>
      <c r="U6458" s="508">
        <v>4.0000000000000001E-3</v>
      </c>
      <c r="V6458" s="508">
        <v>4.0000000000000001E-3</v>
      </c>
      <c r="W6458" s="508">
        <v>4.0000000000000001E-3</v>
      </c>
      <c r="X6458" s="508">
        <v>4.0000000000000001E-3</v>
      </c>
      <c r="Y6458" s="508">
        <v>4.0000000000000001E-3</v>
      </c>
      <c r="Z6458" s="508">
        <v>4.0000000000000001E-3</v>
      </c>
      <c r="AA6458" s="508">
        <v>4.0000000000000001E-3</v>
      </c>
      <c r="AB6458" s="508">
        <v>4.0000000000000001E-3</v>
      </c>
      <c r="AC6458" s="508">
        <v>4.0000000000000001E-3</v>
      </c>
      <c r="AD6458" s="508">
        <v>4.0000000000000001E-3</v>
      </c>
      <c r="AE6458" s="508">
        <v>4.0000000000000001E-3</v>
      </c>
      <c r="AF6458" s="508">
        <v>4.0000000000000001E-3</v>
      </c>
      <c r="AG6458" s="508">
        <v>4.0000000000000001E-3</v>
      </c>
      <c r="AH6458" s="508">
        <v>4.0000000000000001E-3</v>
      </c>
      <c r="AI6458" s="492">
        <v>4.0000000000000001E-3</v>
      </c>
      <c r="AJ6458" s="485"/>
    </row>
    <row r="6459" spans="2:36">
      <c r="B6459" s="136" t="s">
        <v>445</v>
      </c>
      <c r="C6459" s="132" t="s">
        <v>1367</v>
      </c>
      <c r="D6459" s="132" t="s">
        <v>1380</v>
      </c>
      <c r="E6459" s="508">
        <v>5.0000000000000001E-3</v>
      </c>
      <c r="F6459" s="508">
        <v>5.0000000000000001E-3</v>
      </c>
      <c r="G6459" s="508">
        <v>5.0000000000000001E-3</v>
      </c>
      <c r="H6459" s="508">
        <v>5.0000000000000001E-3</v>
      </c>
      <c r="I6459" s="508">
        <v>5.0000000000000001E-3</v>
      </c>
      <c r="J6459" s="508">
        <v>5.0000000000000001E-3</v>
      </c>
      <c r="K6459" s="508">
        <v>5.0000000000000001E-3</v>
      </c>
      <c r="L6459" s="508">
        <v>5.0000000000000001E-3</v>
      </c>
      <c r="M6459" s="508">
        <v>5.0000000000000001E-3</v>
      </c>
      <c r="N6459" s="508">
        <v>5.0000000000000001E-3</v>
      </c>
      <c r="O6459" s="508">
        <v>5.0000000000000001E-3</v>
      </c>
      <c r="P6459" s="508">
        <v>5.0000000000000001E-3</v>
      </c>
      <c r="Q6459" s="508">
        <v>5.0000000000000001E-3</v>
      </c>
      <c r="R6459" s="508">
        <v>5.0000000000000001E-3</v>
      </c>
      <c r="S6459" s="508">
        <v>5.0000000000000001E-3</v>
      </c>
      <c r="T6459" s="508">
        <v>5.0000000000000001E-3</v>
      </c>
      <c r="U6459" s="508">
        <v>5.0000000000000001E-3</v>
      </c>
      <c r="V6459" s="508">
        <v>5.0000000000000001E-3</v>
      </c>
      <c r="W6459" s="508">
        <v>5.0000000000000001E-3</v>
      </c>
      <c r="X6459" s="508">
        <v>5.0000000000000001E-3</v>
      </c>
      <c r="Y6459" s="508">
        <v>5.0000000000000001E-3</v>
      </c>
      <c r="Z6459" s="508">
        <v>5.0000000000000001E-3</v>
      </c>
      <c r="AA6459" s="508">
        <v>5.0000000000000001E-3</v>
      </c>
      <c r="AB6459" s="508">
        <v>5.0000000000000001E-3</v>
      </c>
      <c r="AC6459" s="508">
        <v>5.0000000000000001E-3</v>
      </c>
      <c r="AD6459" s="508">
        <v>5.0000000000000001E-3</v>
      </c>
      <c r="AE6459" s="508">
        <v>5.0000000000000001E-3</v>
      </c>
      <c r="AF6459" s="508">
        <v>5.0000000000000001E-3</v>
      </c>
      <c r="AG6459" s="508">
        <v>5.0000000000000001E-3</v>
      </c>
      <c r="AH6459" s="508">
        <v>5.0000000000000001E-3</v>
      </c>
      <c r="AI6459" s="492">
        <v>5.0000000000000001E-3</v>
      </c>
      <c r="AJ6459" s="485"/>
    </row>
    <row r="6460" spans="2:36">
      <c r="B6460" s="136" t="s">
        <v>446</v>
      </c>
      <c r="C6460" s="132" t="s">
        <v>1367</v>
      </c>
      <c r="D6460" s="132" t="s">
        <v>1380</v>
      </c>
      <c r="E6460" s="508">
        <v>5.0000000000000001E-3</v>
      </c>
      <c r="F6460" s="508">
        <v>5.0000000000000001E-3</v>
      </c>
      <c r="G6460" s="508">
        <v>5.0000000000000001E-3</v>
      </c>
      <c r="H6460" s="508">
        <v>5.0000000000000001E-3</v>
      </c>
      <c r="I6460" s="508">
        <v>5.0000000000000001E-3</v>
      </c>
      <c r="J6460" s="508">
        <v>5.0000000000000001E-3</v>
      </c>
      <c r="K6460" s="508">
        <v>5.0000000000000001E-3</v>
      </c>
      <c r="L6460" s="508">
        <v>5.0000000000000001E-3</v>
      </c>
      <c r="M6460" s="508">
        <v>5.0000000000000001E-3</v>
      </c>
      <c r="N6460" s="508">
        <v>5.0000000000000001E-3</v>
      </c>
      <c r="O6460" s="508">
        <v>5.0000000000000001E-3</v>
      </c>
      <c r="P6460" s="508">
        <v>5.0000000000000001E-3</v>
      </c>
      <c r="Q6460" s="508">
        <v>5.0000000000000001E-3</v>
      </c>
      <c r="R6460" s="508">
        <v>5.0000000000000001E-3</v>
      </c>
      <c r="S6460" s="508">
        <v>5.0000000000000001E-3</v>
      </c>
      <c r="T6460" s="508">
        <v>5.0000000000000001E-3</v>
      </c>
      <c r="U6460" s="508">
        <v>5.0000000000000001E-3</v>
      </c>
      <c r="V6460" s="508">
        <v>5.0000000000000001E-3</v>
      </c>
      <c r="W6460" s="508">
        <v>5.0000000000000001E-3</v>
      </c>
      <c r="X6460" s="508">
        <v>5.0000000000000001E-3</v>
      </c>
      <c r="Y6460" s="508">
        <v>5.0000000000000001E-3</v>
      </c>
      <c r="Z6460" s="508">
        <v>5.0000000000000001E-3</v>
      </c>
      <c r="AA6460" s="508">
        <v>5.0000000000000001E-3</v>
      </c>
      <c r="AB6460" s="508">
        <v>5.0000000000000001E-3</v>
      </c>
      <c r="AC6460" s="508">
        <v>5.0000000000000001E-3</v>
      </c>
      <c r="AD6460" s="508">
        <v>5.0000000000000001E-3</v>
      </c>
      <c r="AE6460" s="508">
        <v>5.0000000000000001E-3</v>
      </c>
      <c r="AF6460" s="508">
        <v>5.0000000000000001E-3</v>
      </c>
      <c r="AG6460" s="508">
        <v>5.0000000000000001E-3</v>
      </c>
      <c r="AH6460" s="508">
        <v>5.0000000000000001E-3</v>
      </c>
      <c r="AI6460" s="492">
        <v>5.0000000000000001E-3</v>
      </c>
      <c r="AJ6460" s="485"/>
    </row>
    <row r="6461" spans="2:36">
      <c r="B6461" s="136" t="s">
        <v>448</v>
      </c>
      <c r="C6461" s="132" t="s">
        <v>1367</v>
      </c>
      <c r="D6461" s="132" t="s">
        <v>1380</v>
      </c>
      <c r="E6461" s="508">
        <v>4.0000000000000001E-3</v>
      </c>
      <c r="F6461" s="508">
        <v>4.0000000000000001E-3</v>
      </c>
      <c r="G6461" s="508">
        <v>4.0000000000000001E-3</v>
      </c>
      <c r="H6461" s="508">
        <v>4.0000000000000001E-3</v>
      </c>
      <c r="I6461" s="508">
        <v>4.0000000000000001E-3</v>
      </c>
      <c r="J6461" s="508">
        <v>4.0000000000000001E-3</v>
      </c>
      <c r="K6461" s="508">
        <v>4.0000000000000001E-3</v>
      </c>
      <c r="L6461" s="508">
        <v>4.0000000000000001E-3</v>
      </c>
      <c r="M6461" s="508">
        <v>4.0000000000000001E-3</v>
      </c>
      <c r="N6461" s="508">
        <v>4.0000000000000001E-3</v>
      </c>
      <c r="O6461" s="508">
        <v>4.0000000000000001E-3</v>
      </c>
      <c r="P6461" s="508">
        <v>4.0000000000000001E-3</v>
      </c>
      <c r="Q6461" s="508">
        <v>4.0000000000000001E-3</v>
      </c>
      <c r="R6461" s="508">
        <v>4.0000000000000001E-3</v>
      </c>
      <c r="S6461" s="508">
        <v>4.0000000000000001E-3</v>
      </c>
      <c r="T6461" s="508">
        <v>4.0000000000000001E-3</v>
      </c>
      <c r="U6461" s="508">
        <v>4.0000000000000001E-3</v>
      </c>
      <c r="V6461" s="508">
        <v>4.0000000000000001E-3</v>
      </c>
      <c r="W6461" s="508">
        <v>4.0000000000000001E-3</v>
      </c>
      <c r="X6461" s="508">
        <v>4.0000000000000001E-3</v>
      </c>
      <c r="Y6461" s="508">
        <v>4.0000000000000001E-3</v>
      </c>
      <c r="Z6461" s="508">
        <v>4.0000000000000001E-3</v>
      </c>
      <c r="AA6461" s="508">
        <v>4.0000000000000001E-3</v>
      </c>
      <c r="AB6461" s="508">
        <v>4.0000000000000001E-3</v>
      </c>
      <c r="AC6461" s="508">
        <v>4.0000000000000001E-3</v>
      </c>
      <c r="AD6461" s="508">
        <v>4.0000000000000001E-3</v>
      </c>
      <c r="AE6461" s="508">
        <v>4.0000000000000001E-3</v>
      </c>
      <c r="AF6461" s="508">
        <v>4.0000000000000001E-3</v>
      </c>
      <c r="AG6461" s="508">
        <v>4.0000000000000001E-3</v>
      </c>
      <c r="AH6461" s="508">
        <v>4.0000000000000001E-3</v>
      </c>
      <c r="AI6461" s="492">
        <v>4.0000000000000001E-3</v>
      </c>
      <c r="AJ6461" s="485"/>
    </row>
    <row r="6462" spans="2:36">
      <c r="B6462" s="136" t="s">
        <v>449</v>
      </c>
      <c r="C6462" s="132" t="s">
        <v>1367</v>
      </c>
      <c r="D6462" s="132" t="s">
        <v>1380</v>
      </c>
      <c r="E6462" s="508">
        <v>4.0000000000000001E-3</v>
      </c>
      <c r="F6462" s="508">
        <v>4.0000000000000001E-3</v>
      </c>
      <c r="G6462" s="508">
        <v>4.0000000000000001E-3</v>
      </c>
      <c r="H6462" s="508">
        <v>4.0000000000000001E-3</v>
      </c>
      <c r="I6462" s="508">
        <v>4.0000000000000001E-3</v>
      </c>
      <c r="J6462" s="508">
        <v>4.0000000000000001E-3</v>
      </c>
      <c r="K6462" s="508">
        <v>4.0000000000000001E-3</v>
      </c>
      <c r="L6462" s="508">
        <v>4.0000000000000001E-3</v>
      </c>
      <c r="M6462" s="508">
        <v>4.0000000000000001E-3</v>
      </c>
      <c r="N6462" s="508">
        <v>4.0000000000000001E-3</v>
      </c>
      <c r="O6462" s="508">
        <v>4.0000000000000001E-3</v>
      </c>
      <c r="P6462" s="508">
        <v>4.0000000000000001E-3</v>
      </c>
      <c r="Q6462" s="508">
        <v>4.0000000000000001E-3</v>
      </c>
      <c r="R6462" s="508">
        <v>4.0000000000000001E-3</v>
      </c>
      <c r="S6462" s="508">
        <v>4.0000000000000001E-3</v>
      </c>
      <c r="T6462" s="508">
        <v>4.0000000000000001E-3</v>
      </c>
      <c r="U6462" s="508">
        <v>4.0000000000000001E-3</v>
      </c>
      <c r="V6462" s="508">
        <v>4.0000000000000001E-3</v>
      </c>
      <c r="W6462" s="508">
        <v>4.0000000000000001E-3</v>
      </c>
      <c r="X6462" s="508">
        <v>4.0000000000000001E-3</v>
      </c>
      <c r="Y6462" s="508">
        <v>4.0000000000000001E-3</v>
      </c>
      <c r="Z6462" s="508">
        <v>4.0000000000000001E-3</v>
      </c>
      <c r="AA6462" s="508">
        <v>4.0000000000000001E-3</v>
      </c>
      <c r="AB6462" s="508">
        <v>4.0000000000000001E-3</v>
      </c>
      <c r="AC6462" s="508">
        <v>4.0000000000000001E-3</v>
      </c>
      <c r="AD6462" s="508">
        <v>4.0000000000000001E-3</v>
      </c>
      <c r="AE6462" s="508">
        <v>4.0000000000000001E-3</v>
      </c>
      <c r="AF6462" s="508">
        <v>4.0000000000000001E-3</v>
      </c>
      <c r="AG6462" s="508">
        <v>4.0000000000000001E-3</v>
      </c>
      <c r="AH6462" s="508">
        <v>4.0000000000000001E-3</v>
      </c>
      <c r="AI6462" s="492">
        <v>4.0000000000000001E-3</v>
      </c>
      <c r="AJ6462" s="485"/>
    </row>
    <row r="6463" spans="2:36">
      <c r="B6463" s="136" t="s">
        <v>450</v>
      </c>
      <c r="C6463" s="132" t="s">
        <v>1367</v>
      </c>
      <c r="D6463" s="132" t="s">
        <v>1380</v>
      </c>
      <c r="E6463" s="508">
        <v>4.0000000000000001E-3</v>
      </c>
      <c r="F6463" s="508">
        <v>4.0000000000000001E-3</v>
      </c>
      <c r="G6463" s="508">
        <v>4.0000000000000001E-3</v>
      </c>
      <c r="H6463" s="508">
        <v>4.0000000000000001E-3</v>
      </c>
      <c r="I6463" s="508">
        <v>4.0000000000000001E-3</v>
      </c>
      <c r="J6463" s="508">
        <v>4.0000000000000001E-3</v>
      </c>
      <c r="K6463" s="508">
        <v>4.0000000000000001E-3</v>
      </c>
      <c r="L6463" s="508">
        <v>4.0000000000000001E-3</v>
      </c>
      <c r="M6463" s="508">
        <v>4.0000000000000001E-3</v>
      </c>
      <c r="N6463" s="508">
        <v>4.0000000000000001E-3</v>
      </c>
      <c r="O6463" s="508">
        <v>4.0000000000000001E-3</v>
      </c>
      <c r="P6463" s="508">
        <v>4.0000000000000001E-3</v>
      </c>
      <c r="Q6463" s="508">
        <v>4.0000000000000001E-3</v>
      </c>
      <c r="R6463" s="508">
        <v>4.0000000000000001E-3</v>
      </c>
      <c r="S6463" s="508">
        <v>4.0000000000000001E-3</v>
      </c>
      <c r="T6463" s="508">
        <v>4.0000000000000001E-3</v>
      </c>
      <c r="U6463" s="508">
        <v>4.0000000000000001E-3</v>
      </c>
      <c r="V6463" s="508">
        <v>4.0000000000000001E-3</v>
      </c>
      <c r="W6463" s="508">
        <v>4.0000000000000001E-3</v>
      </c>
      <c r="X6463" s="508">
        <v>4.0000000000000001E-3</v>
      </c>
      <c r="Y6463" s="508">
        <v>4.0000000000000001E-3</v>
      </c>
      <c r="Z6463" s="508">
        <v>4.0000000000000001E-3</v>
      </c>
      <c r="AA6463" s="508">
        <v>4.0000000000000001E-3</v>
      </c>
      <c r="AB6463" s="508">
        <v>4.0000000000000001E-3</v>
      </c>
      <c r="AC6463" s="508">
        <v>4.0000000000000001E-3</v>
      </c>
      <c r="AD6463" s="508">
        <v>4.0000000000000001E-3</v>
      </c>
      <c r="AE6463" s="508">
        <v>4.0000000000000001E-3</v>
      </c>
      <c r="AF6463" s="508">
        <v>4.0000000000000001E-3</v>
      </c>
      <c r="AG6463" s="508">
        <v>4.0000000000000001E-3</v>
      </c>
      <c r="AH6463" s="508">
        <v>4.0000000000000001E-3</v>
      </c>
      <c r="AI6463" s="492">
        <v>4.0000000000000001E-3</v>
      </c>
      <c r="AJ6463" s="485"/>
    </row>
    <row r="6464" spans="2:36">
      <c r="B6464" s="136" t="s">
        <v>451</v>
      </c>
      <c r="C6464" s="132" t="s">
        <v>1367</v>
      </c>
      <c r="D6464" s="132" t="s">
        <v>1380</v>
      </c>
      <c r="E6464" s="508">
        <v>5.0000000000000001E-3</v>
      </c>
      <c r="F6464" s="508">
        <v>5.0000000000000001E-3</v>
      </c>
      <c r="G6464" s="508">
        <v>5.0000000000000001E-3</v>
      </c>
      <c r="H6464" s="508">
        <v>5.0000000000000001E-3</v>
      </c>
      <c r="I6464" s="508">
        <v>5.0000000000000001E-3</v>
      </c>
      <c r="J6464" s="508">
        <v>5.0000000000000001E-3</v>
      </c>
      <c r="K6464" s="508">
        <v>5.0000000000000001E-3</v>
      </c>
      <c r="L6464" s="508">
        <v>5.0000000000000001E-3</v>
      </c>
      <c r="M6464" s="508">
        <v>5.0000000000000001E-3</v>
      </c>
      <c r="N6464" s="508">
        <v>5.0000000000000001E-3</v>
      </c>
      <c r="O6464" s="508">
        <v>5.0000000000000001E-3</v>
      </c>
      <c r="P6464" s="508">
        <v>5.0000000000000001E-3</v>
      </c>
      <c r="Q6464" s="508">
        <v>5.0000000000000001E-3</v>
      </c>
      <c r="R6464" s="508">
        <v>5.0000000000000001E-3</v>
      </c>
      <c r="S6464" s="508">
        <v>5.0000000000000001E-3</v>
      </c>
      <c r="T6464" s="508">
        <v>5.0000000000000001E-3</v>
      </c>
      <c r="U6464" s="508">
        <v>5.0000000000000001E-3</v>
      </c>
      <c r="V6464" s="508">
        <v>5.0000000000000001E-3</v>
      </c>
      <c r="W6464" s="508">
        <v>5.0000000000000001E-3</v>
      </c>
      <c r="X6464" s="508">
        <v>5.0000000000000001E-3</v>
      </c>
      <c r="Y6464" s="508">
        <v>5.0000000000000001E-3</v>
      </c>
      <c r="Z6464" s="508">
        <v>5.0000000000000001E-3</v>
      </c>
      <c r="AA6464" s="508">
        <v>5.0000000000000001E-3</v>
      </c>
      <c r="AB6464" s="508">
        <v>5.0000000000000001E-3</v>
      </c>
      <c r="AC6464" s="508">
        <v>5.0000000000000001E-3</v>
      </c>
      <c r="AD6464" s="508">
        <v>5.0000000000000001E-3</v>
      </c>
      <c r="AE6464" s="508">
        <v>5.0000000000000001E-3</v>
      </c>
      <c r="AF6464" s="508">
        <v>5.0000000000000001E-3</v>
      </c>
      <c r="AG6464" s="508">
        <v>5.0000000000000001E-3</v>
      </c>
      <c r="AH6464" s="508">
        <v>5.0000000000000001E-3</v>
      </c>
      <c r="AI6464" s="492">
        <v>5.0000000000000001E-3</v>
      </c>
      <c r="AJ6464" s="485"/>
    </row>
    <row r="6465" spans="2:36">
      <c r="B6465" s="136" t="s">
        <v>452</v>
      </c>
      <c r="C6465" s="132" t="s">
        <v>1367</v>
      </c>
      <c r="D6465" s="132" t="s">
        <v>1380</v>
      </c>
      <c r="E6465" s="508">
        <v>4.0000000000000001E-3</v>
      </c>
      <c r="F6465" s="508">
        <v>4.0000000000000001E-3</v>
      </c>
      <c r="G6465" s="508">
        <v>4.0000000000000001E-3</v>
      </c>
      <c r="H6465" s="508">
        <v>4.0000000000000001E-3</v>
      </c>
      <c r="I6465" s="508">
        <v>4.0000000000000001E-3</v>
      </c>
      <c r="J6465" s="508">
        <v>4.0000000000000001E-3</v>
      </c>
      <c r="K6465" s="508">
        <v>4.0000000000000001E-3</v>
      </c>
      <c r="L6465" s="508">
        <v>4.0000000000000001E-3</v>
      </c>
      <c r="M6465" s="508">
        <v>4.0000000000000001E-3</v>
      </c>
      <c r="N6465" s="508">
        <v>4.0000000000000001E-3</v>
      </c>
      <c r="O6465" s="508">
        <v>4.0000000000000001E-3</v>
      </c>
      <c r="P6465" s="508">
        <v>4.0000000000000001E-3</v>
      </c>
      <c r="Q6465" s="508">
        <v>4.0000000000000001E-3</v>
      </c>
      <c r="R6465" s="508">
        <v>4.0000000000000001E-3</v>
      </c>
      <c r="S6465" s="508">
        <v>4.0000000000000001E-3</v>
      </c>
      <c r="T6465" s="508">
        <v>4.0000000000000001E-3</v>
      </c>
      <c r="U6465" s="508">
        <v>4.0000000000000001E-3</v>
      </c>
      <c r="V6465" s="508">
        <v>4.0000000000000001E-3</v>
      </c>
      <c r="W6465" s="508">
        <v>4.0000000000000001E-3</v>
      </c>
      <c r="X6465" s="508">
        <v>4.0000000000000001E-3</v>
      </c>
      <c r="Y6465" s="508">
        <v>4.0000000000000001E-3</v>
      </c>
      <c r="Z6465" s="508">
        <v>4.0000000000000001E-3</v>
      </c>
      <c r="AA6465" s="508">
        <v>4.0000000000000001E-3</v>
      </c>
      <c r="AB6465" s="508">
        <v>4.0000000000000001E-3</v>
      </c>
      <c r="AC6465" s="508">
        <v>4.0000000000000001E-3</v>
      </c>
      <c r="AD6465" s="508">
        <v>4.0000000000000001E-3</v>
      </c>
      <c r="AE6465" s="508">
        <v>4.0000000000000001E-3</v>
      </c>
      <c r="AF6465" s="508">
        <v>4.0000000000000001E-3</v>
      </c>
      <c r="AG6465" s="508">
        <v>4.0000000000000001E-3</v>
      </c>
      <c r="AH6465" s="508">
        <v>4.0000000000000001E-3</v>
      </c>
      <c r="AI6465" s="492">
        <v>4.0000000000000001E-3</v>
      </c>
      <c r="AJ6465" s="485"/>
    </row>
    <row r="6466" spans="2:36">
      <c r="B6466" s="136" t="s">
        <v>453</v>
      </c>
      <c r="C6466" s="132" t="s">
        <v>1367</v>
      </c>
      <c r="D6466" s="132" t="s">
        <v>1380</v>
      </c>
      <c r="E6466" s="508">
        <v>4.0000000000000001E-3</v>
      </c>
      <c r="F6466" s="508">
        <v>4.0000000000000001E-3</v>
      </c>
      <c r="G6466" s="508">
        <v>4.0000000000000001E-3</v>
      </c>
      <c r="H6466" s="508">
        <v>4.0000000000000001E-3</v>
      </c>
      <c r="I6466" s="508">
        <v>4.0000000000000001E-3</v>
      </c>
      <c r="J6466" s="508">
        <v>4.0000000000000001E-3</v>
      </c>
      <c r="K6466" s="508">
        <v>4.0000000000000001E-3</v>
      </c>
      <c r="L6466" s="508">
        <v>4.0000000000000001E-3</v>
      </c>
      <c r="M6466" s="508">
        <v>4.0000000000000001E-3</v>
      </c>
      <c r="N6466" s="508">
        <v>4.0000000000000001E-3</v>
      </c>
      <c r="O6466" s="508">
        <v>4.0000000000000001E-3</v>
      </c>
      <c r="P6466" s="508">
        <v>4.0000000000000001E-3</v>
      </c>
      <c r="Q6466" s="508">
        <v>4.0000000000000001E-3</v>
      </c>
      <c r="R6466" s="508">
        <v>4.0000000000000001E-3</v>
      </c>
      <c r="S6466" s="508">
        <v>4.0000000000000001E-3</v>
      </c>
      <c r="T6466" s="508">
        <v>4.0000000000000001E-3</v>
      </c>
      <c r="U6466" s="508">
        <v>4.0000000000000001E-3</v>
      </c>
      <c r="V6466" s="508">
        <v>4.0000000000000001E-3</v>
      </c>
      <c r="W6466" s="508">
        <v>4.0000000000000001E-3</v>
      </c>
      <c r="X6466" s="508">
        <v>4.0000000000000001E-3</v>
      </c>
      <c r="Y6466" s="508">
        <v>4.0000000000000001E-3</v>
      </c>
      <c r="Z6466" s="508">
        <v>4.0000000000000001E-3</v>
      </c>
      <c r="AA6466" s="508">
        <v>4.0000000000000001E-3</v>
      </c>
      <c r="AB6466" s="508">
        <v>4.0000000000000001E-3</v>
      </c>
      <c r="AC6466" s="508">
        <v>4.0000000000000001E-3</v>
      </c>
      <c r="AD6466" s="508">
        <v>4.0000000000000001E-3</v>
      </c>
      <c r="AE6466" s="508">
        <v>4.0000000000000001E-3</v>
      </c>
      <c r="AF6466" s="508">
        <v>4.0000000000000001E-3</v>
      </c>
      <c r="AG6466" s="508">
        <v>4.0000000000000001E-3</v>
      </c>
      <c r="AH6466" s="508">
        <v>4.0000000000000001E-3</v>
      </c>
      <c r="AI6466" s="492">
        <v>4.0000000000000001E-3</v>
      </c>
      <c r="AJ6466" s="485"/>
    </row>
    <row r="6467" spans="2:36">
      <c r="B6467" s="136" t="s">
        <v>454</v>
      </c>
      <c r="C6467" s="132" t="s">
        <v>1367</v>
      </c>
      <c r="D6467" s="132" t="s">
        <v>1380</v>
      </c>
      <c r="E6467" s="508">
        <v>4.0000000000000001E-3</v>
      </c>
      <c r="F6467" s="508">
        <v>4.0000000000000001E-3</v>
      </c>
      <c r="G6467" s="508">
        <v>4.0000000000000001E-3</v>
      </c>
      <c r="H6467" s="508">
        <v>4.0000000000000001E-3</v>
      </c>
      <c r="I6467" s="508">
        <v>4.0000000000000001E-3</v>
      </c>
      <c r="J6467" s="508">
        <v>4.0000000000000001E-3</v>
      </c>
      <c r="K6467" s="508">
        <v>4.0000000000000001E-3</v>
      </c>
      <c r="L6467" s="508">
        <v>4.0000000000000001E-3</v>
      </c>
      <c r="M6467" s="508">
        <v>4.0000000000000001E-3</v>
      </c>
      <c r="N6467" s="508">
        <v>4.0000000000000001E-3</v>
      </c>
      <c r="O6467" s="508">
        <v>4.0000000000000001E-3</v>
      </c>
      <c r="P6467" s="508">
        <v>4.0000000000000001E-3</v>
      </c>
      <c r="Q6467" s="508">
        <v>4.0000000000000001E-3</v>
      </c>
      <c r="R6467" s="508">
        <v>4.0000000000000001E-3</v>
      </c>
      <c r="S6467" s="508">
        <v>4.0000000000000001E-3</v>
      </c>
      <c r="T6467" s="508">
        <v>4.0000000000000001E-3</v>
      </c>
      <c r="U6467" s="508">
        <v>4.0000000000000001E-3</v>
      </c>
      <c r="V6467" s="508">
        <v>4.0000000000000001E-3</v>
      </c>
      <c r="W6467" s="508">
        <v>4.0000000000000001E-3</v>
      </c>
      <c r="X6467" s="508">
        <v>4.0000000000000001E-3</v>
      </c>
      <c r="Y6467" s="508">
        <v>4.0000000000000001E-3</v>
      </c>
      <c r="Z6467" s="508">
        <v>4.0000000000000001E-3</v>
      </c>
      <c r="AA6467" s="508">
        <v>4.0000000000000001E-3</v>
      </c>
      <c r="AB6467" s="508">
        <v>4.0000000000000001E-3</v>
      </c>
      <c r="AC6467" s="508">
        <v>4.0000000000000001E-3</v>
      </c>
      <c r="AD6467" s="508">
        <v>4.0000000000000001E-3</v>
      </c>
      <c r="AE6467" s="508">
        <v>4.0000000000000001E-3</v>
      </c>
      <c r="AF6467" s="508">
        <v>4.0000000000000001E-3</v>
      </c>
      <c r="AG6467" s="508">
        <v>4.0000000000000001E-3</v>
      </c>
      <c r="AH6467" s="508">
        <v>4.0000000000000001E-3</v>
      </c>
      <c r="AI6467" s="492">
        <v>4.0000000000000001E-3</v>
      </c>
      <c r="AJ6467" s="485"/>
    </row>
    <row r="6468" spans="2:36">
      <c r="B6468" s="136" t="s">
        <v>455</v>
      </c>
      <c r="C6468" s="132" t="s">
        <v>1367</v>
      </c>
      <c r="D6468" s="132" t="s">
        <v>1380</v>
      </c>
      <c r="E6468" s="508">
        <v>3.0000000000000001E-3</v>
      </c>
      <c r="F6468" s="508">
        <v>3.0000000000000001E-3</v>
      </c>
      <c r="G6468" s="508">
        <v>3.0000000000000001E-3</v>
      </c>
      <c r="H6468" s="508">
        <v>3.0000000000000001E-3</v>
      </c>
      <c r="I6468" s="508">
        <v>3.0000000000000001E-3</v>
      </c>
      <c r="J6468" s="508">
        <v>3.0000000000000001E-3</v>
      </c>
      <c r="K6468" s="508">
        <v>3.0000000000000001E-3</v>
      </c>
      <c r="L6468" s="508">
        <v>3.0000000000000001E-3</v>
      </c>
      <c r="M6468" s="508">
        <v>3.0000000000000001E-3</v>
      </c>
      <c r="N6468" s="508">
        <v>3.0000000000000001E-3</v>
      </c>
      <c r="O6468" s="508">
        <v>3.0000000000000001E-3</v>
      </c>
      <c r="P6468" s="508">
        <v>3.0000000000000001E-3</v>
      </c>
      <c r="Q6468" s="508">
        <v>3.0000000000000001E-3</v>
      </c>
      <c r="R6468" s="508">
        <v>3.0000000000000001E-3</v>
      </c>
      <c r="S6468" s="508">
        <v>3.0000000000000001E-3</v>
      </c>
      <c r="T6468" s="508">
        <v>3.0000000000000001E-3</v>
      </c>
      <c r="U6468" s="508">
        <v>3.0000000000000001E-3</v>
      </c>
      <c r="V6468" s="508">
        <v>3.0000000000000001E-3</v>
      </c>
      <c r="W6468" s="508">
        <v>3.0000000000000001E-3</v>
      </c>
      <c r="X6468" s="508">
        <v>3.0000000000000001E-3</v>
      </c>
      <c r="Y6468" s="508">
        <v>3.0000000000000001E-3</v>
      </c>
      <c r="Z6468" s="508">
        <v>3.0000000000000001E-3</v>
      </c>
      <c r="AA6468" s="508">
        <v>3.0000000000000001E-3</v>
      </c>
      <c r="AB6468" s="508">
        <v>3.0000000000000001E-3</v>
      </c>
      <c r="AC6468" s="508">
        <v>3.0000000000000001E-3</v>
      </c>
      <c r="AD6468" s="508">
        <v>3.0000000000000001E-3</v>
      </c>
      <c r="AE6468" s="508">
        <v>3.0000000000000001E-3</v>
      </c>
      <c r="AF6468" s="508">
        <v>3.0000000000000001E-3</v>
      </c>
      <c r="AG6468" s="508">
        <v>3.0000000000000001E-3</v>
      </c>
      <c r="AH6468" s="508">
        <v>3.0000000000000001E-3</v>
      </c>
      <c r="AI6468" s="492">
        <v>3.0000000000000001E-3</v>
      </c>
      <c r="AJ6468" s="485"/>
    </row>
    <row r="6469" spans="2:36">
      <c r="B6469" s="136" t="s">
        <v>456</v>
      </c>
      <c r="C6469" s="132" t="s">
        <v>1367</v>
      </c>
      <c r="D6469" s="132" t="s">
        <v>1380</v>
      </c>
      <c r="E6469" s="508">
        <v>4.0000000000000001E-3</v>
      </c>
      <c r="F6469" s="508">
        <v>4.0000000000000001E-3</v>
      </c>
      <c r="G6469" s="508">
        <v>4.0000000000000001E-3</v>
      </c>
      <c r="H6469" s="508">
        <v>4.0000000000000001E-3</v>
      </c>
      <c r="I6469" s="508">
        <v>4.0000000000000001E-3</v>
      </c>
      <c r="J6469" s="508">
        <v>4.0000000000000001E-3</v>
      </c>
      <c r="K6469" s="508">
        <v>4.0000000000000001E-3</v>
      </c>
      <c r="L6469" s="508">
        <v>4.0000000000000001E-3</v>
      </c>
      <c r="M6469" s="508">
        <v>4.0000000000000001E-3</v>
      </c>
      <c r="N6469" s="508">
        <v>4.0000000000000001E-3</v>
      </c>
      <c r="O6469" s="508">
        <v>4.0000000000000001E-3</v>
      </c>
      <c r="P6469" s="508">
        <v>4.0000000000000001E-3</v>
      </c>
      <c r="Q6469" s="508">
        <v>4.0000000000000001E-3</v>
      </c>
      <c r="R6469" s="508">
        <v>4.0000000000000001E-3</v>
      </c>
      <c r="S6469" s="508">
        <v>4.0000000000000001E-3</v>
      </c>
      <c r="T6469" s="508">
        <v>4.0000000000000001E-3</v>
      </c>
      <c r="U6469" s="508">
        <v>4.0000000000000001E-3</v>
      </c>
      <c r="V6469" s="508">
        <v>4.0000000000000001E-3</v>
      </c>
      <c r="W6469" s="508">
        <v>4.0000000000000001E-3</v>
      </c>
      <c r="X6469" s="508">
        <v>4.0000000000000001E-3</v>
      </c>
      <c r="Y6469" s="508">
        <v>4.0000000000000001E-3</v>
      </c>
      <c r="Z6469" s="508">
        <v>4.0000000000000001E-3</v>
      </c>
      <c r="AA6469" s="508">
        <v>4.0000000000000001E-3</v>
      </c>
      <c r="AB6469" s="508">
        <v>4.0000000000000001E-3</v>
      </c>
      <c r="AC6469" s="508">
        <v>4.0000000000000001E-3</v>
      </c>
      <c r="AD6469" s="508">
        <v>4.0000000000000001E-3</v>
      </c>
      <c r="AE6469" s="508">
        <v>4.0000000000000001E-3</v>
      </c>
      <c r="AF6469" s="508">
        <v>4.0000000000000001E-3</v>
      </c>
      <c r="AG6469" s="508">
        <v>4.0000000000000001E-3</v>
      </c>
      <c r="AH6469" s="508">
        <v>4.0000000000000001E-3</v>
      </c>
      <c r="AI6469" s="492">
        <v>4.0000000000000001E-3</v>
      </c>
      <c r="AJ6469" s="485"/>
    </row>
    <row r="6470" spans="2:36">
      <c r="B6470" s="136" t="s">
        <v>457</v>
      </c>
      <c r="C6470" s="132" t="s">
        <v>1367</v>
      </c>
      <c r="D6470" s="132" t="s">
        <v>1380</v>
      </c>
      <c r="E6470" s="508">
        <v>3.0000000000000001E-3</v>
      </c>
      <c r="F6470" s="508">
        <v>3.0000000000000001E-3</v>
      </c>
      <c r="G6470" s="508">
        <v>3.0000000000000001E-3</v>
      </c>
      <c r="H6470" s="508">
        <v>3.0000000000000001E-3</v>
      </c>
      <c r="I6470" s="508">
        <v>3.0000000000000001E-3</v>
      </c>
      <c r="J6470" s="508">
        <v>3.0000000000000001E-3</v>
      </c>
      <c r="K6470" s="508">
        <v>3.0000000000000001E-3</v>
      </c>
      <c r="L6470" s="508">
        <v>3.0000000000000001E-3</v>
      </c>
      <c r="M6470" s="508">
        <v>3.0000000000000001E-3</v>
      </c>
      <c r="N6470" s="508">
        <v>3.0000000000000001E-3</v>
      </c>
      <c r="O6470" s="508">
        <v>3.0000000000000001E-3</v>
      </c>
      <c r="P6470" s="508">
        <v>3.0000000000000001E-3</v>
      </c>
      <c r="Q6470" s="508">
        <v>3.0000000000000001E-3</v>
      </c>
      <c r="R6470" s="508">
        <v>3.0000000000000001E-3</v>
      </c>
      <c r="S6470" s="508">
        <v>3.0000000000000001E-3</v>
      </c>
      <c r="T6470" s="508">
        <v>3.0000000000000001E-3</v>
      </c>
      <c r="U6470" s="508">
        <v>3.0000000000000001E-3</v>
      </c>
      <c r="V6470" s="508">
        <v>3.0000000000000001E-3</v>
      </c>
      <c r="W6470" s="508">
        <v>3.0000000000000001E-3</v>
      </c>
      <c r="X6470" s="508">
        <v>3.0000000000000001E-3</v>
      </c>
      <c r="Y6470" s="508">
        <v>3.0000000000000001E-3</v>
      </c>
      <c r="Z6470" s="508">
        <v>3.0000000000000001E-3</v>
      </c>
      <c r="AA6470" s="508">
        <v>3.0000000000000001E-3</v>
      </c>
      <c r="AB6470" s="508">
        <v>3.0000000000000001E-3</v>
      </c>
      <c r="AC6470" s="508">
        <v>3.0000000000000001E-3</v>
      </c>
      <c r="AD6470" s="508">
        <v>3.0000000000000001E-3</v>
      </c>
      <c r="AE6470" s="508">
        <v>3.0000000000000001E-3</v>
      </c>
      <c r="AF6470" s="508">
        <v>3.0000000000000001E-3</v>
      </c>
      <c r="AG6470" s="508">
        <v>3.0000000000000001E-3</v>
      </c>
      <c r="AH6470" s="508">
        <v>3.0000000000000001E-3</v>
      </c>
      <c r="AI6470" s="492">
        <v>3.0000000000000001E-3</v>
      </c>
      <c r="AJ6470" s="485"/>
    </row>
    <row r="6471" spans="2:36">
      <c r="B6471" s="136" t="s">
        <v>458</v>
      </c>
      <c r="C6471" s="132" t="s">
        <v>1367</v>
      </c>
      <c r="D6471" s="132" t="s">
        <v>1380</v>
      </c>
      <c r="E6471" s="508">
        <v>4.0000000000000001E-3</v>
      </c>
      <c r="F6471" s="508">
        <v>4.0000000000000001E-3</v>
      </c>
      <c r="G6471" s="508">
        <v>4.0000000000000001E-3</v>
      </c>
      <c r="H6471" s="508">
        <v>4.0000000000000001E-3</v>
      </c>
      <c r="I6471" s="508">
        <v>4.0000000000000001E-3</v>
      </c>
      <c r="J6471" s="508">
        <v>4.0000000000000001E-3</v>
      </c>
      <c r="K6471" s="508">
        <v>4.0000000000000001E-3</v>
      </c>
      <c r="L6471" s="508">
        <v>4.0000000000000001E-3</v>
      </c>
      <c r="M6471" s="508">
        <v>4.0000000000000001E-3</v>
      </c>
      <c r="N6471" s="508">
        <v>4.0000000000000001E-3</v>
      </c>
      <c r="O6471" s="508">
        <v>4.0000000000000001E-3</v>
      </c>
      <c r="P6471" s="508">
        <v>4.0000000000000001E-3</v>
      </c>
      <c r="Q6471" s="508">
        <v>4.0000000000000001E-3</v>
      </c>
      <c r="R6471" s="508">
        <v>4.0000000000000001E-3</v>
      </c>
      <c r="S6471" s="508">
        <v>4.0000000000000001E-3</v>
      </c>
      <c r="T6471" s="508">
        <v>4.0000000000000001E-3</v>
      </c>
      <c r="U6471" s="508">
        <v>4.0000000000000001E-3</v>
      </c>
      <c r="V6471" s="508">
        <v>4.0000000000000001E-3</v>
      </c>
      <c r="W6471" s="508">
        <v>4.0000000000000001E-3</v>
      </c>
      <c r="X6471" s="508">
        <v>4.0000000000000001E-3</v>
      </c>
      <c r="Y6471" s="508">
        <v>4.0000000000000001E-3</v>
      </c>
      <c r="Z6471" s="508">
        <v>4.0000000000000001E-3</v>
      </c>
      <c r="AA6471" s="508">
        <v>4.0000000000000001E-3</v>
      </c>
      <c r="AB6471" s="508">
        <v>4.0000000000000001E-3</v>
      </c>
      <c r="AC6471" s="508">
        <v>4.0000000000000001E-3</v>
      </c>
      <c r="AD6471" s="508">
        <v>4.0000000000000001E-3</v>
      </c>
      <c r="AE6471" s="508">
        <v>4.0000000000000001E-3</v>
      </c>
      <c r="AF6471" s="508">
        <v>4.0000000000000001E-3</v>
      </c>
      <c r="AG6471" s="508">
        <v>4.0000000000000001E-3</v>
      </c>
      <c r="AH6471" s="508">
        <v>4.0000000000000001E-3</v>
      </c>
      <c r="AI6471" s="492">
        <v>4.0000000000000001E-3</v>
      </c>
      <c r="AJ6471" s="485"/>
    </row>
    <row r="6472" spans="2:36">
      <c r="B6472" s="136" t="s">
        <v>459</v>
      </c>
      <c r="C6472" s="132" t="s">
        <v>1367</v>
      </c>
      <c r="D6472" s="132" t="s">
        <v>1380</v>
      </c>
      <c r="E6472" s="508">
        <v>4.0000000000000001E-3</v>
      </c>
      <c r="F6472" s="508">
        <v>4.0000000000000001E-3</v>
      </c>
      <c r="G6472" s="508">
        <v>4.0000000000000001E-3</v>
      </c>
      <c r="H6472" s="508">
        <v>4.0000000000000001E-3</v>
      </c>
      <c r="I6472" s="508">
        <v>4.0000000000000001E-3</v>
      </c>
      <c r="J6472" s="508">
        <v>4.0000000000000001E-3</v>
      </c>
      <c r="K6472" s="508">
        <v>4.0000000000000001E-3</v>
      </c>
      <c r="L6472" s="508">
        <v>4.0000000000000001E-3</v>
      </c>
      <c r="M6472" s="508">
        <v>4.0000000000000001E-3</v>
      </c>
      <c r="N6472" s="508">
        <v>4.0000000000000001E-3</v>
      </c>
      <c r="O6472" s="508">
        <v>4.0000000000000001E-3</v>
      </c>
      <c r="P6472" s="508">
        <v>4.0000000000000001E-3</v>
      </c>
      <c r="Q6472" s="508">
        <v>4.0000000000000001E-3</v>
      </c>
      <c r="R6472" s="508">
        <v>4.0000000000000001E-3</v>
      </c>
      <c r="S6472" s="508">
        <v>4.0000000000000001E-3</v>
      </c>
      <c r="T6472" s="508">
        <v>4.0000000000000001E-3</v>
      </c>
      <c r="U6472" s="508">
        <v>4.0000000000000001E-3</v>
      </c>
      <c r="V6472" s="508">
        <v>4.0000000000000001E-3</v>
      </c>
      <c r="W6472" s="508">
        <v>4.0000000000000001E-3</v>
      </c>
      <c r="X6472" s="508">
        <v>4.0000000000000001E-3</v>
      </c>
      <c r="Y6472" s="508">
        <v>4.0000000000000001E-3</v>
      </c>
      <c r="Z6472" s="508">
        <v>4.0000000000000001E-3</v>
      </c>
      <c r="AA6472" s="508">
        <v>4.0000000000000001E-3</v>
      </c>
      <c r="AB6472" s="508">
        <v>4.0000000000000001E-3</v>
      </c>
      <c r="AC6472" s="508">
        <v>4.0000000000000001E-3</v>
      </c>
      <c r="AD6472" s="508">
        <v>4.0000000000000001E-3</v>
      </c>
      <c r="AE6472" s="508">
        <v>4.0000000000000001E-3</v>
      </c>
      <c r="AF6472" s="508">
        <v>4.0000000000000001E-3</v>
      </c>
      <c r="AG6472" s="508">
        <v>4.0000000000000001E-3</v>
      </c>
      <c r="AH6472" s="508">
        <v>4.0000000000000001E-3</v>
      </c>
      <c r="AI6472" s="492">
        <v>4.0000000000000001E-3</v>
      </c>
      <c r="AJ6472" s="485"/>
    </row>
    <row r="6473" spans="2:36">
      <c r="B6473" s="136" t="s">
        <v>460</v>
      </c>
      <c r="C6473" s="132" t="s">
        <v>1367</v>
      </c>
      <c r="D6473" s="132" t="s">
        <v>1380</v>
      </c>
      <c r="E6473" s="508">
        <v>4.0000000000000001E-3</v>
      </c>
      <c r="F6473" s="508">
        <v>4.0000000000000001E-3</v>
      </c>
      <c r="G6473" s="508">
        <v>4.0000000000000001E-3</v>
      </c>
      <c r="H6473" s="508">
        <v>4.0000000000000001E-3</v>
      </c>
      <c r="I6473" s="508">
        <v>4.0000000000000001E-3</v>
      </c>
      <c r="J6473" s="508">
        <v>4.0000000000000001E-3</v>
      </c>
      <c r="K6473" s="508">
        <v>4.0000000000000001E-3</v>
      </c>
      <c r="L6473" s="508">
        <v>4.0000000000000001E-3</v>
      </c>
      <c r="M6473" s="508">
        <v>4.0000000000000001E-3</v>
      </c>
      <c r="N6473" s="508">
        <v>4.0000000000000001E-3</v>
      </c>
      <c r="O6473" s="508">
        <v>4.0000000000000001E-3</v>
      </c>
      <c r="P6473" s="508">
        <v>4.0000000000000001E-3</v>
      </c>
      <c r="Q6473" s="508">
        <v>4.0000000000000001E-3</v>
      </c>
      <c r="R6473" s="508">
        <v>4.0000000000000001E-3</v>
      </c>
      <c r="S6473" s="508">
        <v>4.0000000000000001E-3</v>
      </c>
      <c r="T6473" s="508">
        <v>4.0000000000000001E-3</v>
      </c>
      <c r="U6473" s="508">
        <v>4.0000000000000001E-3</v>
      </c>
      <c r="V6473" s="508">
        <v>4.0000000000000001E-3</v>
      </c>
      <c r="W6473" s="508">
        <v>4.0000000000000001E-3</v>
      </c>
      <c r="X6473" s="508">
        <v>4.0000000000000001E-3</v>
      </c>
      <c r="Y6473" s="508">
        <v>4.0000000000000001E-3</v>
      </c>
      <c r="Z6473" s="508">
        <v>4.0000000000000001E-3</v>
      </c>
      <c r="AA6473" s="508">
        <v>4.0000000000000001E-3</v>
      </c>
      <c r="AB6473" s="508">
        <v>4.0000000000000001E-3</v>
      </c>
      <c r="AC6473" s="508">
        <v>4.0000000000000001E-3</v>
      </c>
      <c r="AD6473" s="508">
        <v>4.0000000000000001E-3</v>
      </c>
      <c r="AE6473" s="508">
        <v>4.0000000000000001E-3</v>
      </c>
      <c r="AF6473" s="508">
        <v>4.0000000000000001E-3</v>
      </c>
      <c r="AG6473" s="508">
        <v>4.0000000000000001E-3</v>
      </c>
      <c r="AH6473" s="508">
        <v>4.0000000000000001E-3</v>
      </c>
      <c r="AI6473" s="492">
        <v>4.0000000000000001E-3</v>
      </c>
      <c r="AJ6473" s="485"/>
    </row>
    <row r="6474" spans="2:36">
      <c r="B6474" s="136" t="s">
        <v>461</v>
      </c>
      <c r="C6474" s="132" t="s">
        <v>1367</v>
      </c>
      <c r="D6474" s="132" t="s">
        <v>1380</v>
      </c>
      <c r="E6474" s="508">
        <v>4.0000000000000001E-3</v>
      </c>
      <c r="F6474" s="508">
        <v>4.0000000000000001E-3</v>
      </c>
      <c r="G6474" s="508">
        <v>4.0000000000000001E-3</v>
      </c>
      <c r="H6474" s="508">
        <v>4.0000000000000001E-3</v>
      </c>
      <c r="I6474" s="508">
        <v>4.0000000000000001E-3</v>
      </c>
      <c r="J6474" s="508">
        <v>4.0000000000000001E-3</v>
      </c>
      <c r="K6474" s="508">
        <v>4.0000000000000001E-3</v>
      </c>
      <c r="L6474" s="508">
        <v>4.0000000000000001E-3</v>
      </c>
      <c r="M6474" s="508">
        <v>4.0000000000000001E-3</v>
      </c>
      <c r="N6474" s="508">
        <v>4.0000000000000001E-3</v>
      </c>
      <c r="O6474" s="508">
        <v>4.0000000000000001E-3</v>
      </c>
      <c r="P6474" s="508">
        <v>4.0000000000000001E-3</v>
      </c>
      <c r="Q6474" s="508">
        <v>4.0000000000000001E-3</v>
      </c>
      <c r="R6474" s="508">
        <v>4.0000000000000001E-3</v>
      </c>
      <c r="S6474" s="508">
        <v>4.0000000000000001E-3</v>
      </c>
      <c r="T6474" s="508">
        <v>4.0000000000000001E-3</v>
      </c>
      <c r="U6474" s="508">
        <v>4.0000000000000001E-3</v>
      </c>
      <c r="V6474" s="508">
        <v>4.0000000000000001E-3</v>
      </c>
      <c r="W6474" s="508">
        <v>4.0000000000000001E-3</v>
      </c>
      <c r="X6474" s="508">
        <v>4.0000000000000001E-3</v>
      </c>
      <c r="Y6474" s="508">
        <v>4.0000000000000001E-3</v>
      </c>
      <c r="Z6474" s="508">
        <v>4.0000000000000001E-3</v>
      </c>
      <c r="AA6474" s="508">
        <v>4.0000000000000001E-3</v>
      </c>
      <c r="AB6474" s="508">
        <v>4.0000000000000001E-3</v>
      </c>
      <c r="AC6474" s="508">
        <v>4.0000000000000001E-3</v>
      </c>
      <c r="AD6474" s="508">
        <v>4.0000000000000001E-3</v>
      </c>
      <c r="AE6474" s="508">
        <v>4.0000000000000001E-3</v>
      </c>
      <c r="AF6474" s="508">
        <v>4.0000000000000001E-3</v>
      </c>
      <c r="AG6474" s="508">
        <v>4.0000000000000001E-3</v>
      </c>
      <c r="AH6474" s="508">
        <v>4.0000000000000001E-3</v>
      </c>
      <c r="AI6474" s="492">
        <v>4.0000000000000001E-3</v>
      </c>
      <c r="AJ6474" s="485"/>
    </row>
    <row r="6475" spans="2:36">
      <c r="B6475" s="136" t="s">
        <v>462</v>
      </c>
      <c r="C6475" s="132" t="s">
        <v>1367</v>
      </c>
      <c r="D6475" s="132" t="s">
        <v>1380</v>
      </c>
      <c r="E6475" s="508">
        <v>4.0000000000000001E-3</v>
      </c>
      <c r="F6475" s="508">
        <v>4.0000000000000001E-3</v>
      </c>
      <c r="G6475" s="508">
        <v>4.0000000000000001E-3</v>
      </c>
      <c r="H6475" s="508">
        <v>4.0000000000000001E-3</v>
      </c>
      <c r="I6475" s="508">
        <v>4.0000000000000001E-3</v>
      </c>
      <c r="J6475" s="508">
        <v>4.0000000000000001E-3</v>
      </c>
      <c r="K6475" s="508">
        <v>4.0000000000000001E-3</v>
      </c>
      <c r="L6475" s="508">
        <v>4.0000000000000001E-3</v>
      </c>
      <c r="M6475" s="508">
        <v>4.0000000000000001E-3</v>
      </c>
      <c r="N6475" s="508">
        <v>4.0000000000000001E-3</v>
      </c>
      <c r="O6475" s="508">
        <v>4.0000000000000001E-3</v>
      </c>
      <c r="P6475" s="508">
        <v>4.0000000000000001E-3</v>
      </c>
      <c r="Q6475" s="508">
        <v>4.0000000000000001E-3</v>
      </c>
      <c r="R6475" s="508">
        <v>4.0000000000000001E-3</v>
      </c>
      <c r="S6475" s="508">
        <v>4.0000000000000001E-3</v>
      </c>
      <c r="T6475" s="508">
        <v>4.0000000000000001E-3</v>
      </c>
      <c r="U6475" s="508">
        <v>4.0000000000000001E-3</v>
      </c>
      <c r="V6475" s="508">
        <v>4.0000000000000001E-3</v>
      </c>
      <c r="W6475" s="508">
        <v>4.0000000000000001E-3</v>
      </c>
      <c r="X6475" s="508">
        <v>4.0000000000000001E-3</v>
      </c>
      <c r="Y6475" s="508">
        <v>4.0000000000000001E-3</v>
      </c>
      <c r="Z6475" s="508">
        <v>4.0000000000000001E-3</v>
      </c>
      <c r="AA6475" s="508">
        <v>4.0000000000000001E-3</v>
      </c>
      <c r="AB6475" s="508">
        <v>4.0000000000000001E-3</v>
      </c>
      <c r="AC6475" s="508">
        <v>4.0000000000000001E-3</v>
      </c>
      <c r="AD6475" s="508">
        <v>4.0000000000000001E-3</v>
      </c>
      <c r="AE6475" s="508">
        <v>4.0000000000000001E-3</v>
      </c>
      <c r="AF6475" s="508">
        <v>4.0000000000000001E-3</v>
      </c>
      <c r="AG6475" s="508">
        <v>4.0000000000000001E-3</v>
      </c>
      <c r="AH6475" s="508">
        <v>4.0000000000000001E-3</v>
      </c>
      <c r="AI6475" s="492">
        <v>4.0000000000000001E-3</v>
      </c>
      <c r="AJ6475" s="485"/>
    </row>
    <row r="6476" spans="2:36">
      <c r="B6476" s="136" t="s">
        <v>463</v>
      </c>
      <c r="C6476" s="132" t="s">
        <v>1367</v>
      </c>
      <c r="D6476" s="132" t="s">
        <v>1380</v>
      </c>
      <c r="E6476" s="508">
        <v>3.0000000000000001E-3</v>
      </c>
      <c r="F6476" s="508">
        <v>3.0000000000000001E-3</v>
      </c>
      <c r="G6476" s="508">
        <v>3.0000000000000001E-3</v>
      </c>
      <c r="H6476" s="508">
        <v>3.0000000000000001E-3</v>
      </c>
      <c r="I6476" s="508">
        <v>3.0000000000000001E-3</v>
      </c>
      <c r="J6476" s="508">
        <v>3.0000000000000001E-3</v>
      </c>
      <c r="K6476" s="508">
        <v>3.0000000000000001E-3</v>
      </c>
      <c r="L6476" s="508">
        <v>3.0000000000000001E-3</v>
      </c>
      <c r="M6476" s="508">
        <v>3.0000000000000001E-3</v>
      </c>
      <c r="N6476" s="508">
        <v>3.0000000000000001E-3</v>
      </c>
      <c r="O6476" s="508">
        <v>3.0000000000000001E-3</v>
      </c>
      <c r="P6476" s="508">
        <v>3.0000000000000001E-3</v>
      </c>
      <c r="Q6476" s="508">
        <v>3.0000000000000001E-3</v>
      </c>
      <c r="R6476" s="508">
        <v>3.0000000000000001E-3</v>
      </c>
      <c r="S6476" s="508">
        <v>3.0000000000000001E-3</v>
      </c>
      <c r="T6476" s="508">
        <v>3.0000000000000001E-3</v>
      </c>
      <c r="U6476" s="508">
        <v>3.0000000000000001E-3</v>
      </c>
      <c r="V6476" s="508">
        <v>3.0000000000000001E-3</v>
      </c>
      <c r="W6476" s="508">
        <v>3.0000000000000001E-3</v>
      </c>
      <c r="X6476" s="508">
        <v>3.0000000000000001E-3</v>
      </c>
      <c r="Y6476" s="508">
        <v>3.0000000000000001E-3</v>
      </c>
      <c r="Z6476" s="508">
        <v>3.0000000000000001E-3</v>
      </c>
      <c r="AA6476" s="508">
        <v>3.0000000000000001E-3</v>
      </c>
      <c r="AB6476" s="508">
        <v>3.0000000000000001E-3</v>
      </c>
      <c r="AC6476" s="508">
        <v>3.0000000000000001E-3</v>
      </c>
      <c r="AD6476" s="508">
        <v>3.0000000000000001E-3</v>
      </c>
      <c r="AE6476" s="508">
        <v>3.0000000000000001E-3</v>
      </c>
      <c r="AF6476" s="508">
        <v>3.0000000000000001E-3</v>
      </c>
      <c r="AG6476" s="508">
        <v>3.0000000000000001E-3</v>
      </c>
      <c r="AH6476" s="508">
        <v>3.0000000000000001E-3</v>
      </c>
      <c r="AI6476" s="492">
        <v>3.0000000000000001E-3</v>
      </c>
      <c r="AJ6476" s="485"/>
    </row>
    <row r="6477" spans="2:36">
      <c r="B6477" s="136" t="s">
        <v>464</v>
      </c>
      <c r="C6477" s="132" t="s">
        <v>1367</v>
      </c>
      <c r="D6477" s="132" t="s">
        <v>1380</v>
      </c>
      <c r="E6477" s="508">
        <v>3.0000000000000001E-3</v>
      </c>
      <c r="F6477" s="508">
        <v>3.0000000000000001E-3</v>
      </c>
      <c r="G6477" s="508">
        <v>3.0000000000000001E-3</v>
      </c>
      <c r="H6477" s="508">
        <v>3.0000000000000001E-3</v>
      </c>
      <c r="I6477" s="508">
        <v>3.0000000000000001E-3</v>
      </c>
      <c r="J6477" s="508">
        <v>3.0000000000000001E-3</v>
      </c>
      <c r="K6477" s="508">
        <v>3.0000000000000001E-3</v>
      </c>
      <c r="L6477" s="508">
        <v>3.0000000000000001E-3</v>
      </c>
      <c r="M6477" s="508">
        <v>3.0000000000000001E-3</v>
      </c>
      <c r="N6477" s="508">
        <v>3.0000000000000001E-3</v>
      </c>
      <c r="O6477" s="508">
        <v>3.0000000000000001E-3</v>
      </c>
      <c r="P6477" s="508">
        <v>3.0000000000000001E-3</v>
      </c>
      <c r="Q6477" s="508">
        <v>3.0000000000000001E-3</v>
      </c>
      <c r="R6477" s="508">
        <v>3.0000000000000001E-3</v>
      </c>
      <c r="S6477" s="508">
        <v>3.0000000000000001E-3</v>
      </c>
      <c r="T6477" s="508">
        <v>3.0000000000000001E-3</v>
      </c>
      <c r="U6477" s="508">
        <v>3.0000000000000001E-3</v>
      </c>
      <c r="V6477" s="508">
        <v>3.0000000000000001E-3</v>
      </c>
      <c r="W6477" s="508">
        <v>3.0000000000000001E-3</v>
      </c>
      <c r="X6477" s="508">
        <v>3.0000000000000001E-3</v>
      </c>
      <c r="Y6477" s="508">
        <v>3.0000000000000001E-3</v>
      </c>
      <c r="Z6477" s="508">
        <v>3.0000000000000001E-3</v>
      </c>
      <c r="AA6477" s="508">
        <v>3.0000000000000001E-3</v>
      </c>
      <c r="AB6477" s="508">
        <v>3.0000000000000001E-3</v>
      </c>
      <c r="AC6477" s="508">
        <v>3.0000000000000001E-3</v>
      </c>
      <c r="AD6477" s="508">
        <v>3.0000000000000001E-3</v>
      </c>
      <c r="AE6477" s="508">
        <v>3.0000000000000001E-3</v>
      </c>
      <c r="AF6477" s="508">
        <v>3.0000000000000001E-3</v>
      </c>
      <c r="AG6477" s="508">
        <v>3.0000000000000001E-3</v>
      </c>
      <c r="AH6477" s="508">
        <v>3.0000000000000001E-3</v>
      </c>
      <c r="AI6477" s="492">
        <v>3.0000000000000001E-3</v>
      </c>
      <c r="AJ6477" s="485"/>
    </row>
    <row r="6478" spans="2:36">
      <c r="B6478" s="136" t="s">
        <v>465</v>
      </c>
      <c r="C6478" s="132" t="s">
        <v>1367</v>
      </c>
      <c r="D6478" s="132" t="s">
        <v>1380</v>
      </c>
      <c r="E6478" s="508">
        <v>4.0000000000000001E-3</v>
      </c>
      <c r="F6478" s="508">
        <v>4.0000000000000001E-3</v>
      </c>
      <c r="G6478" s="508">
        <v>4.0000000000000001E-3</v>
      </c>
      <c r="H6478" s="508">
        <v>4.0000000000000001E-3</v>
      </c>
      <c r="I6478" s="508">
        <v>4.0000000000000001E-3</v>
      </c>
      <c r="J6478" s="508">
        <v>4.0000000000000001E-3</v>
      </c>
      <c r="K6478" s="508">
        <v>4.0000000000000001E-3</v>
      </c>
      <c r="L6478" s="508">
        <v>4.0000000000000001E-3</v>
      </c>
      <c r="M6478" s="508">
        <v>4.0000000000000001E-3</v>
      </c>
      <c r="N6478" s="508">
        <v>4.0000000000000001E-3</v>
      </c>
      <c r="O6478" s="508">
        <v>4.0000000000000001E-3</v>
      </c>
      <c r="P6478" s="508">
        <v>4.0000000000000001E-3</v>
      </c>
      <c r="Q6478" s="508">
        <v>4.0000000000000001E-3</v>
      </c>
      <c r="R6478" s="508">
        <v>4.0000000000000001E-3</v>
      </c>
      <c r="S6478" s="508">
        <v>4.0000000000000001E-3</v>
      </c>
      <c r="T6478" s="508">
        <v>4.0000000000000001E-3</v>
      </c>
      <c r="U6478" s="508">
        <v>4.0000000000000001E-3</v>
      </c>
      <c r="V6478" s="508">
        <v>4.0000000000000001E-3</v>
      </c>
      <c r="W6478" s="508">
        <v>4.0000000000000001E-3</v>
      </c>
      <c r="X6478" s="508">
        <v>4.0000000000000001E-3</v>
      </c>
      <c r="Y6478" s="508">
        <v>4.0000000000000001E-3</v>
      </c>
      <c r="Z6478" s="508">
        <v>4.0000000000000001E-3</v>
      </c>
      <c r="AA6478" s="508">
        <v>4.0000000000000001E-3</v>
      </c>
      <c r="AB6478" s="508">
        <v>4.0000000000000001E-3</v>
      </c>
      <c r="AC6478" s="508">
        <v>4.0000000000000001E-3</v>
      </c>
      <c r="AD6478" s="508">
        <v>4.0000000000000001E-3</v>
      </c>
      <c r="AE6478" s="508">
        <v>4.0000000000000001E-3</v>
      </c>
      <c r="AF6478" s="508">
        <v>4.0000000000000001E-3</v>
      </c>
      <c r="AG6478" s="508">
        <v>4.0000000000000001E-3</v>
      </c>
      <c r="AH6478" s="508">
        <v>4.0000000000000001E-3</v>
      </c>
      <c r="AI6478" s="492">
        <v>4.0000000000000001E-3</v>
      </c>
      <c r="AJ6478" s="485"/>
    </row>
    <row r="6479" spans="2:36">
      <c r="B6479" s="136" t="s">
        <v>466</v>
      </c>
      <c r="C6479" s="132" t="s">
        <v>1367</v>
      </c>
      <c r="D6479" s="132" t="s">
        <v>1380</v>
      </c>
      <c r="E6479" s="508">
        <v>4.0000000000000001E-3</v>
      </c>
      <c r="F6479" s="508">
        <v>4.0000000000000001E-3</v>
      </c>
      <c r="G6479" s="508">
        <v>4.0000000000000001E-3</v>
      </c>
      <c r="H6479" s="508">
        <v>4.0000000000000001E-3</v>
      </c>
      <c r="I6479" s="508">
        <v>4.0000000000000001E-3</v>
      </c>
      <c r="J6479" s="508">
        <v>4.0000000000000001E-3</v>
      </c>
      <c r="K6479" s="508">
        <v>4.0000000000000001E-3</v>
      </c>
      <c r="L6479" s="508">
        <v>4.0000000000000001E-3</v>
      </c>
      <c r="M6479" s="508">
        <v>4.0000000000000001E-3</v>
      </c>
      <c r="N6479" s="508">
        <v>4.0000000000000001E-3</v>
      </c>
      <c r="O6479" s="508">
        <v>4.0000000000000001E-3</v>
      </c>
      <c r="P6479" s="508">
        <v>4.0000000000000001E-3</v>
      </c>
      <c r="Q6479" s="508">
        <v>4.0000000000000001E-3</v>
      </c>
      <c r="R6479" s="508">
        <v>4.0000000000000001E-3</v>
      </c>
      <c r="S6479" s="508">
        <v>4.0000000000000001E-3</v>
      </c>
      <c r="T6479" s="508">
        <v>4.0000000000000001E-3</v>
      </c>
      <c r="U6479" s="508">
        <v>4.0000000000000001E-3</v>
      </c>
      <c r="V6479" s="508">
        <v>4.0000000000000001E-3</v>
      </c>
      <c r="W6479" s="508">
        <v>4.0000000000000001E-3</v>
      </c>
      <c r="X6479" s="508">
        <v>4.0000000000000001E-3</v>
      </c>
      <c r="Y6479" s="508">
        <v>4.0000000000000001E-3</v>
      </c>
      <c r="Z6479" s="508">
        <v>4.0000000000000001E-3</v>
      </c>
      <c r="AA6479" s="508">
        <v>4.0000000000000001E-3</v>
      </c>
      <c r="AB6479" s="508">
        <v>4.0000000000000001E-3</v>
      </c>
      <c r="AC6479" s="508">
        <v>4.0000000000000001E-3</v>
      </c>
      <c r="AD6479" s="508">
        <v>4.0000000000000001E-3</v>
      </c>
      <c r="AE6479" s="508">
        <v>4.0000000000000001E-3</v>
      </c>
      <c r="AF6479" s="508">
        <v>4.0000000000000001E-3</v>
      </c>
      <c r="AG6479" s="508">
        <v>4.0000000000000001E-3</v>
      </c>
      <c r="AH6479" s="508">
        <v>4.0000000000000001E-3</v>
      </c>
      <c r="AI6479" s="492">
        <v>4.0000000000000001E-3</v>
      </c>
      <c r="AJ6479" s="485"/>
    </row>
    <row r="6480" spans="2:36">
      <c r="B6480" s="136" t="s">
        <v>467</v>
      </c>
      <c r="C6480" s="132" t="s">
        <v>1367</v>
      </c>
      <c r="D6480" s="132" t="s">
        <v>1380</v>
      </c>
      <c r="E6480" s="508">
        <v>4.0000000000000001E-3</v>
      </c>
      <c r="F6480" s="508">
        <v>4.0000000000000001E-3</v>
      </c>
      <c r="G6480" s="508">
        <v>4.0000000000000001E-3</v>
      </c>
      <c r="H6480" s="508">
        <v>4.0000000000000001E-3</v>
      </c>
      <c r="I6480" s="508">
        <v>4.0000000000000001E-3</v>
      </c>
      <c r="J6480" s="508">
        <v>4.0000000000000001E-3</v>
      </c>
      <c r="K6480" s="508">
        <v>4.0000000000000001E-3</v>
      </c>
      <c r="L6480" s="508">
        <v>4.0000000000000001E-3</v>
      </c>
      <c r="M6480" s="508">
        <v>4.0000000000000001E-3</v>
      </c>
      <c r="N6480" s="508">
        <v>4.0000000000000001E-3</v>
      </c>
      <c r="O6480" s="508">
        <v>4.0000000000000001E-3</v>
      </c>
      <c r="P6480" s="508">
        <v>4.0000000000000001E-3</v>
      </c>
      <c r="Q6480" s="508">
        <v>4.0000000000000001E-3</v>
      </c>
      <c r="R6480" s="508">
        <v>4.0000000000000001E-3</v>
      </c>
      <c r="S6480" s="508">
        <v>4.0000000000000001E-3</v>
      </c>
      <c r="T6480" s="508">
        <v>4.0000000000000001E-3</v>
      </c>
      <c r="U6480" s="508">
        <v>4.0000000000000001E-3</v>
      </c>
      <c r="V6480" s="508">
        <v>4.0000000000000001E-3</v>
      </c>
      <c r="W6480" s="508">
        <v>4.0000000000000001E-3</v>
      </c>
      <c r="X6480" s="508">
        <v>4.0000000000000001E-3</v>
      </c>
      <c r="Y6480" s="508">
        <v>4.0000000000000001E-3</v>
      </c>
      <c r="Z6480" s="508">
        <v>4.0000000000000001E-3</v>
      </c>
      <c r="AA6480" s="508">
        <v>4.0000000000000001E-3</v>
      </c>
      <c r="AB6480" s="508">
        <v>4.0000000000000001E-3</v>
      </c>
      <c r="AC6480" s="508">
        <v>4.0000000000000001E-3</v>
      </c>
      <c r="AD6480" s="508">
        <v>4.0000000000000001E-3</v>
      </c>
      <c r="AE6480" s="508">
        <v>4.0000000000000001E-3</v>
      </c>
      <c r="AF6480" s="508">
        <v>4.0000000000000001E-3</v>
      </c>
      <c r="AG6480" s="508">
        <v>4.0000000000000001E-3</v>
      </c>
      <c r="AH6480" s="508">
        <v>4.0000000000000001E-3</v>
      </c>
      <c r="AI6480" s="492">
        <v>4.0000000000000001E-3</v>
      </c>
      <c r="AJ6480" s="485"/>
    </row>
    <row r="6481" spans="2:36">
      <c r="B6481" s="136" t="s">
        <v>468</v>
      </c>
      <c r="C6481" s="132" t="s">
        <v>1367</v>
      </c>
      <c r="D6481" s="132" t="s">
        <v>1380</v>
      </c>
      <c r="E6481" s="508">
        <v>3.0000000000000001E-3</v>
      </c>
      <c r="F6481" s="508">
        <v>3.0000000000000001E-3</v>
      </c>
      <c r="G6481" s="508">
        <v>3.0000000000000001E-3</v>
      </c>
      <c r="H6481" s="508">
        <v>3.0000000000000001E-3</v>
      </c>
      <c r="I6481" s="508">
        <v>3.0000000000000001E-3</v>
      </c>
      <c r="J6481" s="508">
        <v>3.0000000000000001E-3</v>
      </c>
      <c r="K6481" s="508">
        <v>3.0000000000000001E-3</v>
      </c>
      <c r="L6481" s="508">
        <v>3.0000000000000001E-3</v>
      </c>
      <c r="M6481" s="508">
        <v>3.0000000000000001E-3</v>
      </c>
      <c r="N6481" s="508">
        <v>3.0000000000000001E-3</v>
      </c>
      <c r="O6481" s="508">
        <v>3.0000000000000001E-3</v>
      </c>
      <c r="P6481" s="508">
        <v>3.0000000000000001E-3</v>
      </c>
      <c r="Q6481" s="508">
        <v>3.0000000000000001E-3</v>
      </c>
      <c r="R6481" s="508">
        <v>3.0000000000000001E-3</v>
      </c>
      <c r="S6481" s="508">
        <v>3.0000000000000001E-3</v>
      </c>
      <c r="T6481" s="508">
        <v>3.0000000000000001E-3</v>
      </c>
      <c r="U6481" s="508">
        <v>3.0000000000000001E-3</v>
      </c>
      <c r="V6481" s="508">
        <v>3.0000000000000001E-3</v>
      </c>
      <c r="W6481" s="508">
        <v>3.0000000000000001E-3</v>
      </c>
      <c r="X6481" s="508">
        <v>3.0000000000000001E-3</v>
      </c>
      <c r="Y6481" s="508">
        <v>3.0000000000000001E-3</v>
      </c>
      <c r="Z6481" s="508">
        <v>3.0000000000000001E-3</v>
      </c>
      <c r="AA6481" s="508">
        <v>3.0000000000000001E-3</v>
      </c>
      <c r="AB6481" s="508">
        <v>3.0000000000000001E-3</v>
      </c>
      <c r="AC6481" s="508">
        <v>3.0000000000000001E-3</v>
      </c>
      <c r="AD6481" s="508">
        <v>3.0000000000000001E-3</v>
      </c>
      <c r="AE6481" s="508">
        <v>3.0000000000000001E-3</v>
      </c>
      <c r="AF6481" s="508">
        <v>3.0000000000000001E-3</v>
      </c>
      <c r="AG6481" s="508">
        <v>3.0000000000000001E-3</v>
      </c>
      <c r="AH6481" s="508">
        <v>3.0000000000000001E-3</v>
      </c>
      <c r="AI6481" s="492">
        <v>3.0000000000000001E-3</v>
      </c>
      <c r="AJ6481" s="485"/>
    </row>
    <row r="6482" spans="2:36">
      <c r="B6482" s="136" t="s">
        <v>469</v>
      </c>
      <c r="C6482" s="132" t="s">
        <v>1367</v>
      </c>
      <c r="D6482" s="132" t="s">
        <v>1380</v>
      </c>
      <c r="E6482" s="508">
        <v>4.0000000000000001E-3</v>
      </c>
      <c r="F6482" s="508">
        <v>4.0000000000000001E-3</v>
      </c>
      <c r="G6482" s="508">
        <v>4.0000000000000001E-3</v>
      </c>
      <c r="H6482" s="508">
        <v>4.0000000000000001E-3</v>
      </c>
      <c r="I6482" s="508">
        <v>4.0000000000000001E-3</v>
      </c>
      <c r="J6482" s="508">
        <v>4.0000000000000001E-3</v>
      </c>
      <c r="K6482" s="508">
        <v>4.0000000000000001E-3</v>
      </c>
      <c r="L6482" s="508">
        <v>4.0000000000000001E-3</v>
      </c>
      <c r="M6482" s="508">
        <v>4.0000000000000001E-3</v>
      </c>
      <c r="N6482" s="508">
        <v>4.0000000000000001E-3</v>
      </c>
      <c r="O6482" s="508">
        <v>4.0000000000000001E-3</v>
      </c>
      <c r="P6482" s="508">
        <v>4.0000000000000001E-3</v>
      </c>
      <c r="Q6482" s="508">
        <v>4.0000000000000001E-3</v>
      </c>
      <c r="R6482" s="508">
        <v>4.0000000000000001E-3</v>
      </c>
      <c r="S6482" s="508">
        <v>4.0000000000000001E-3</v>
      </c>
      <c r="T6482" s="508">
        <v>4.0000000000000001E-3</v>
      </c>
      <c r="U6482" s="508">
        <v>4.0000000000000001E-3</v>
      </c>
      <c r="V6482" s="508">
        <v>4.0000000000000001E-3</v>
      </c>
      <c r="W6482" s="508">
        <v>4.0000000000000001E-3</v>
      </c>
      <c r="X6482" s="508">
        <v>4.0000000000000001E-3</v>
      </c>
      <c r="Y6482" s="508">
        <v>4.0000000000000001E-3</v>
      </c>
      <c r="Z6482" s="508">
        <v>4.0000000000000001E-3</v>
      </c>
      <c r="AA6482" s="508">
        <v>4.0000000000000001E-3</v>
      </c>
      <c r="AB6482" s="508">
        <v>4.0000000000000001E-3</v>
      </c>
      <c r="AC6482" s="508">
        <v>4.0000000000000001E-3</v>
      </c>
      <c r="AD6482" s="508">
        <v>4.0000000000000001E-3</v>
      </c>
      <c r="AE6482" s="508">
        <v>4.0000000000000001E-3</v>
      </c>
      <c r="AF6482" s="508">
        <v>4.0000000000000001E-3</v>
      </c>
      <c r="AG6482" s="508">
        <v>4.0000000000000001E-3</v>
      </c>
      <c r="AH6482" s="508">
        <v>4.0000000000000001E-3</v>
      </c>
      <c r="AI6482" s="492">
        <v>4.0000000000000001E-3</v>
      </c>
      <c r="AJ6482" s="485"/>
    </row>
    <row r="6483" spans="2:36">
      <c r="B6483" s="136" t="s">
        <v>470</v>
      </c>
      <c r="C6483" s="132" t="s">
        <v>1367</v>
      </c>
      <c r="D6483" s="132" t="s">
        <v>1380</v>
      </c>
      <c r="E6483" s="508">
        <v>4.0000000000000001E-3</v>
      </c>
      <c r="F6483" s="508">
        <v>4.0000000000000001E-3</v>
      </c>
      <c r="G6483" s="508">
        <v>4.0000000000000001E-3</v>
      </c>
      <c r="H6483" s="508">
        <v>4.0000000000000001E-3</v>
      </c>
      <c r="I6483" s="508">
        <v>4.0000000000000001E-3</v>
      </c>
      <c r="J6483" s="508">
        <v>4.0000000000000001E-3</v>
      </c>
      <c r="K6483" s="508">
        <v>4.0000000000000001E-3</v>
      </c>
      <c r="L6483" s="508">
        <v>4.0000000000000001E-3</v>
      </c>
      <c r="M6483" s="508">
        <v>4.0000000000000001E-3</v>
      </c>
      <c r="N6483" s="508">
        <v>4.0000000000000001E-3</v>
      </c>
      <c r="O6483" s="508">
        <v>4.0000000000000001E-3</v>
      </c>
      <c r="P6483" s="508">
        <v>4.0000000000000001E-3</v>
      </c>
      <c r="Q6483" s="508">
        <v>4.0000000000000001E-3</v>
      </c>
      <c r="R6483" s="508">
        <v>4.0000000000000001E-3</v>
      </c>
      <c r="S6483" s="508">
        <v>4.0000000000000001E-3</v>
      </c>
      <c r="T6483" s="508">
        <v>4.0000000000000001E-3</v>
      </c>
      <c r="U6483" s="508">
        <v>4.0000000000000001E-3</v>
      </c>
      <c r="V6483" s="508">
        <v>4.0000000000000001E-3</v>
      </c>
      <c r="W6483" s="508">
        <v>4.0000000000000001E-3</v>
      </c>
      <c r="X6483" s="508">
        <v>4.0000000000000001E-3</v>
      </c>
      <c r="Y6483" s="508">
        <v>4.0000000000000001E-3</v>
      </c>
      <c r="Z6483" s="508">
        <v>4.0000000000000001E-3</v>
      </c>
      <c r="AA6483" s="508">
        <v>4.0000000000000001E-3</v>
      </c>
      <c r="AB6483" s="508">
        <v>4.0000000000000001E-3</v>
      </c>
      <c r="AC6483" s="508">
        <v>4.0000000000000001E-3</v>
      </c>
      <c r="AD6483" s="508">
        <v>4.0000000000000001E-3</v>
      </c>
      <c r="AE6483" s="508">
        <v>4.0000000000000001E-3</v>
      </c>
      <c r="AF6483" s="508">
        <v>4.0000000000000001E-3</v>
      </c>
      <c r="AG6483" s="508">
        <v>4.0000000000000001E-3</v>
      </c>
      <c r="AH6483" s="508">
        <v>4.0000000000000001E-3</v>
      </c>
      <c r="AI6483" s="492">
        <v>4.0000000000000001E-3</v>
      </c>
      <c r="AJ6483" s="485"/>
    </row>
    <row r="6484" spans="2:36">
      <c r="B6484" s="136" t="s">
        <v>471</v>
      </c>
      <c r="C6484" s="132" t="s">
        <v>1367</v>
      </c>
      <c r="D6484" s="132" t="s">
        <v>1380</v>
      </c>
      <c r="E6484" s="508">
        <v>4.0000000000000001E-3</v>
      </c>
      <c r="F6484" s="508">
        <v>4.0000000000000001E-3</v>
      </c>
      <c r="G6484" s="508">
        <v>4.0000000000000001E-3</v>
      </c>
      <c r="H6484" s="508">
        <v>4.0000000000000001E-3</v>
      </c>
      <c r="I6484" s="508">
        <v>4.0000000000000001E-3</v>
      </c>
      <c r="J6484" s="508">
        <v>4.0000000000000001E-3</v>
      </c>
      <c r="K6484" s="508">
        <v>4.0000000000000001E-3</v>
      </c>
      <c r="L6484" s="508">
        <v>4.0000000000000001E-3</v>
      </c>
      <c r="M6484" s="508">
        <v>4.0000000000000001E-3</v>
      </c>
      <c r="N6484" s="508">
        <v>4.0000000000000001E-3</v>
      </c>
      <c r="O6484" s="508">
        <v>4.0000000000000001E-3</v>
      </c>
      <c r="P6484" s="508">
        <v>4.0000000000000001E-3</v>
      </c>
      <c r="Q6484" s="508">
        <v>4.0000000000000001E-3</v>
      </c>
      <c r="R6484" s="508">
        <v>4.0000000000000001E-3</v>
      </c>
      <c r="S6484" s="508">
        <v>4.0000000000000001E-3</v>
      </c>
      <c r="T6484" s="508">
        <v>4.0000000000000001E-3</v>
      </c>
      <c r="U6484" s="508">
        <v>4.0000000000000001E-3</v>
      </c>
      <c r="V6484" s="508">
        <v>4.0000000000000001E-3</v>
      </c>
      <c r="W6484" s="508">
        <v>4.0000000000000001E-3</v>
      </c>
      <c r="X6484" s="508">
        <v>4.0000000000000001E-3</v>
      </c>
      <c r="Y6484" s="508">
        <v>4.0000000000000001E-3</v>
      </c>
      <c r="Z6484" s="508">
        <v>4.0000000000000001E-3</v>
      </c>
      <c r="AA6484" s="508">
        <v>4.0000000000000001E-3</v>
      </c>
      <c r="AB6484" s="508">
        <v>4.0000000000000001E-3</v>
      </c>
      <c r="AC6484" s="508">
        <v>4.0000000000000001E-3</v>
      </c>
      <c r="AD6484" s="508">
        <v>4.0000000000000001E-3</v>
      </c>
      <c r="AE6484" s="508">
        <v>4.0000000000000001E-3</v>
      </c>
      <c r="AF6484" s="508">
        <v>4.0000000000000001E-3</v>
      </c>
      <c r="AG6484" s="508">
        <v>4.0000000000000001E-3</v>
      </c>
      <c r="AH6484" s="508">
        <v>4.0000000000000001E-3</v>
      </c>
      <c r="AI6484" s="492">
        <v>4.0000000000000001E-3</v>
      </c>
      <c r="AJ6484" s="485"/>
    </row>
    <row r="6485" spans="2:36">
      <c r="B6485" s="136" t="s">
        <v>472</v>
      </c>
      <c r="C6485" s="132" t="s">
        <v>1367</v>
      </c>
      <c r="D6485" s="132" t="s">
        <v>1380</v>
      </c>
      <c r="E6485" s="508">
        <v>3.0000000000000001E-3</v>
      </c>
      <c r="F6485" s="508">
        <v>3.0000000000000001E-3</v>
      </c>
      <c r="G6485" s="508">
        <v>3.0000000000000001E-3</v>
      </c>
      <c r="H6485" s="508">
        <v>3.0000000000000001E-3</v>
      </c>
      <c r="I6485" s="508">
        <v>3.0000000000000001E-3</v>
      </c>
      <c r="J6485" s="508">
        <v>3.0000000000000001E-3</v>
      </c>
      <c r="K6485" s="508">
        <v>3.0000000000000001E-3</v>
      </c>
      <c r="L6485" s="508">
        <v>3.0000000000000001E-3</v>
      </c>
      <c r="M6485" s="508">
        <v>3.0000000000000001E-3</v>
      </c>
      <c r="N6485" s="508">
        <v>3.0000000000000001E-3</v>
      </c>
      <c r="O6485" s="508">
        <v>3.0000000000000001E-3</v>
      </c>
      <c r="P6485" s="508">
        <v>3.0000000000000001E-3</v>
      </c>
      <c r="Q6485" s="508">
        <v>3.0000000000000001E-3</v>
      </c>
      <c r="R6485" s="508">
        <v>3.0000000000000001E-3</v>
      </c>
      <c r="S6485" s="508">
        <v>3.0000000000000001E-3</v>
      </c>
      <c r="T6485" s="508">
        <v>3.0000000000000001E-3</v>
      </c>
      <c r="U6485" s="508">
        <v>3.0000000000000001E-3</v>
      </c>
      <c r="V6485" s="508">
        <v>3.0000000000000001E-3</v>
      </c>
      <c r="W6485" s="508">
        <v>3.0000000000000001E-3</v>
      </c>
      <c r="X6485" s="508">
        <v>3.0000000000000001E-3</v>
      </c>
      <c r="Y6485" s="508">
        <v>3.0000000000000001E-3</v>
      </c>
      <c r="Z6485" s="508">
        <v>3.0000000000000001E-3</v>
      </c>
      <c r="AA6485" s="508">
        <v>3.0000000000000001E-3</v>
      </c>
      <c r="AB6485" s="508">
        <v>3.0000000000000001E-3</v>
      </c>
      <c r="AC6485" s="508">
        <v>3.0000000000000001E-3</v>
      </c>
      <c r="AD6485" s="508">
        <v>3.0000000000000001E-3</v>
      </c>
      <c r="AE6485" s="508">
        <v>3.0000000000000001E-3</v>
      </c>
      <c r="AF6485" s="508">
        <v>3.0000000000000001E-3</v>
      </c>
      <c r="AG6485" s="508">
        <v>3.0000000000000001E-3</v>
      </c>
      <c r="AH6485" s="508">
        <v>3.0000000000000001E-3</v>
      </c>
      <c r="AI6485" s="492">
        <v>3.0000000000000001E-3</v>
      </c>
      <c r="AJ6485" s="485"/>
    </row>
    <row r="6486" spans="2:36">
      <c r="B6486" s="136" t="s">
        <v>473</v>
      </c>
      <c r="C6486" s="132" t="s">
        <v>1367</v>
      </c>
      <c r="D6486" s="132" t="s">
        <v>1380</v>
      </c>
      <c r="E6486" s="508">
        <v>4.0000000000000001E-3</v>
      </c>
      <c r="F6486" s="508">
        <v>4.0000000000000001E-3</v>
      </c>
      <c r="G6486" s="508">
        <v>4.0000000000000001E-3</v>
      </c>
      <c r="H6486" s="508">
        <v>4.0000000000000001E-3</v>
      </c>
      <c r="I6486" s="508">
        <v>4.0000000000000001E-3</v>
      </c>
      <c r="J6486" s="508">
        <v>4.0000000000000001E-3</v>
      </c>
      <c r="K6486" s="508">
        <v>4.0000000000000001E-3</v>
      </c>
      <c r="L6486" s="508">
        <v>4.0000000000000001E-3</v>
      </c>
      <c r="M6486" s="508">
        <v>4.0000000000000001E-3</v>
      </c>
      <c r="N6486" s="508">
        <v>4.0000000000000001E-3</v>
      </c>
      <c r="O6486" s="508">
        <v>4.0000000000000001E-3</v>
      </c>
      <c r="P6486" s="508">
        <v>4.0000000000000001E-3</v>
      </c>
      <c r="Q6486" s="508">
        <v>4.0000000000000001E-3</v>
      </c>
      <c r="R6486" s="508">
        <v>4.0000000000000001E-3</v>
      </c>
      <c r="S6486" s="508">
        <v>4.0000000000000001E-3</v>
      </c>
      <c r="T6486" s="508">
        <v>4.0000000000000001E-3</v>
      </c>
      <c r="U6486" s="508">
        <v>4.0000000000000001E-3</v>
      </c>
      <c r="V6486" s="508">
        <v>4.0000000000000001E-3</v>
      </c>
      <c r="W6486" s="508">
        <v>4.0000000000000001E-3</v>
      </c>
      <c r="X6486" s="508">
        <v>4.0000000000000001E-3</v>
      </c>
      <c r="Y6486" s="508">
        <v>4.0000000000000001E-3</v>
      </c>
      <c r="Z6486" s="508">
        <v>4.0000000000000001E-3</v>
      </c>
      <c r="AA6486" s="508">
        <v>4.0000000000000001E-3</v>
      </c>
      <c r="AB6486" s="508">
        <v>4.0000000000000001E-3</v>
      </c>
      <c r="AC6486" s="508">
        <v>4.0000000000000001E-3</v>
      </c>
      <c r="AD6486" s="508">
        <v>4.0000000000000001E-3</v>
      </c>
      <c r="AE6486" s="508">
        <v>4.0000000000000001E-3</v>
      </c>
      <c r="AF6486" s="508">
        <v>4.0000000000000001E-3</v>
      </c>
      <c r="AG6486" s="508">
        <v>4.0000000000000001E-3</v>
      </c>
      <c r="AH6486" s="508">
        <v>4.0000000000000001E-3</v>
      </c>
      <c r="AI6486" s="492">
        <v>4.0000000000000001E-3</v>
      </c>
      <c r="AJ6486" s="485"/>
    </row>
    <row r="6487" spans="2:36">
      <c r="B6487" s="136" t="s">
        <v>474</v>
      </c>
      <c r="C6487" s="132" t="s">
        <v>1367</v>
      </c>
      <c r="D6487" s="132" t="s">
        <v>1380</v>
      </c>
      <c r="E6487" s="508">
        <v>4.0000000000000001E-3</v>
      </c>
      <c r="F6487" s="508">
        <v>4.0000000000000001E-3</v>
      </c>
      <c r="G6487" s="508">
        <v>4.0000000000000001E-3</v>
      </c>
      <c r="H6487" s="508">
        <v>4.0000000000000001E-3</v>
      </c>
      <c r="I6487" s="508">
        <v>4.0000000000000001E-3</v>
      </c>
      <c r="J6487" s="508">
        <v>4.0000000000000001E-3</v>
      </c>
      <c r="K6487" s="508">
        <v>4.0000000000000001E-3</v>
      </c>
      <c r="L6487" s="508">
        <v>4.0000000000000001E-3</v>
      </c>
      <c r="M6487" s="508">
        <v>4.0000000000000001E-3</v>
      </c>
      <c r="N6487" s="508">
        <v>4.0000000000000001E-3</v>
      </c>
      <c r="O6487" s="508">
        <v>4.0000000000000001E-3</v>
      </c>
      <c r="P6487" s="508">
        <v>4.0000000000000001E-3</v>
      </c>
      <c r="Q6487" s="508">
        <v>4.0000000000000001E-3</v>
      </c>
      <c r="R6487" s="508">
        <v>4.0000000000000001E-3</v>
      </c>
      <c r="S6487" s="508">
        <v>4.0000000000000001E-3</v>
      </c>
      <c r="T6487" s="508">
        <v>4.0000000000000001E-3</v>
      </c>
      <c r="U6487" s="508">
        <v>4.0000000000000001E-3</v>
      </c>
      <c r="V6487" s="508">
        <v>4.0000000000000001E-3</v>
      </c>
      <c r="W6487" s="508">
        <v>4.0000000000000001E-3</v>
      </c>
      <c r="X6487" s="508">
        <v>4.0000000000000001E-3</v>
      </c>
      <c r="Y6487" s="508">
        <v>4.0000000000000001E-3</v>
      </c>
      <c r="Z6487" s="508">
        <v>4.0000000000000001E-3</v>
      </c>
      <c r="AA6487" s="508">
        <v>4.0000000000000001E-3</v>
      </c>
      <c r="AB6487" s="508">
        <v>4.0000000000000001E-3</v>
      </c>
      <c r="AC6487" s="508">
        <v>4.0000000000000001E-3</v>
      </c>
      <c r="AD6487" s="508">
        <v>4.0000000000000001E-3</v>
      </c>
      <c r="AE6487" s="508">
        <v>4.0000000000000001E-3</v>
      </c>
      <c r="AF6487" s="508">
        <v>4.0000000000000001E-3</v>
      </c>
      <c r="AG6487" s="508">
        <v>4.0000000000000001E-3</v>
      </c>
      <c r="AH6487" s="508">
        <v>4.0000000000000001E-3</v>
      </c>
      <c r="AI6487" s="492">
        <v>4.0000000000000001E-3</v>
      </c>
      <c r="AJ6487" s="485"/>
    </row>
    <row r="6488" spans="2:36">
      <c r="B6488" s="136" t="s">
        <v>475</v>
      </c>
      <c r="C6488" s="132" t="s">
        <v>1367</v>
      </c>
      <c r="D6488" s="132" t="s">
        <v>1380</v>
      </c>
      <c r="E6488" s="508">
        <v>4.0000000000000001E-3</v>
      </c>
      <c r="F6488" s="508">
        <v>4.0000000000000001E-3</v>
      </c>
      <c r="G6488" s="508">
        <v>4.0000000000000001E-3</v>
      </c>
      <c r="H6488" s="508">
        <v>4.0000000000000001E-3</v>
      </c>
      <c r="I6488" s="508">
        <v>4.0000000000000001E-3</v>
      </c>
      <c r="J6488" s="508">
        <v>4.0000000000000001E-3</v>
      </c>
      <c r="K6488" s="508">
        <v>4.0000000000000001E-3</v>
      </c>
      <c r="L6488" s="508">
        <v>4.0000000000000001E-3</v>
      </c>
      <c r="M6488" s="508">
        <v>4.0000000000000001E-3</v>
      </c>
      <c r="N6488" s="508">
        <v>4.0000000000000001E-3</v>
      </c>
      <c r="O6488" s="508">
        <v>4.0000000000000001E-3</v>
      </c>
      <c r="P6488" s="508">
        <v>4.0000000000000001E-3</v>
      </c>
      <c r="Q6488" s="508">
        <v>4.0000000000000001E-3</v>
      </c>
      <c r="R6488" s="508">
        <v>4.0000000000000001E-3</v>
      </c>
      <c r="S6488" s="508">
        <v>4.0000000000000001E-3</v>
      </c>
      <c r="T6488" s="508">
        <v>4.0000000000000001E-3</v>
      </c>
      <c r="U6488" s="508">
        <v>4.0000000000000001E-3</v>
      </c>
      <c r="V6488" s="508">
        <v>4.0000000000000001E-3</v>
      </c>
      <c r="W6488" s="508">
        <v>4.0000000000000001E-3</v>
      </c>
      <c r="X6488" s="508">
        <v>4.0000000000000001E-3</v>
      </c>
      <c r="Y6488" s="508">
        <v>4.0000000000000001E-3</v>
      </c>
      <c r="Z6488" s="508">
        <v>4.0000000000000001E-3</v>
      </c>
      <c r="AA6488" s="508">
        <v>4.0000000000000001E-3</v>
      </c>
      <c r="AB6488" s="508">
        <v>4.0000000000000001E-3</v>
      </c>
      <c r="AC6488" s="508">
        <v>4.0000000000000001E-3</v>
      </c>
      <c r="AD6488" s="508">
        <v>4.0000000000000001E-3</v>
      </c>
      <c r="AE6488" s="508">
        <v>4.0000000000000001E-3</v>
      </c>
      <c r="AF6488" s="508">
        <v>4.0000000000000001E-3</v>
      </c>
      <c r="AG6488" s="508">
        <v>4.0000000000000001E-3</v>
      </c>
      <c r="AH6488" s="508">
        <v>4.0000000000000001E-3</v>
      </c>
      <c r="AI6488" s="492">
        <v>4.0000000000000001E-3</v>
      </c>
      <c r="AJ6488" s="485"/>
    </row>
    <row r="6489" spans="2:36">
      <c r="B6489" s="136" t="s">
        <v>476</v>
      </c>
      <c r="C6489" s="132" t="s">
        <v>1367</v>
      </c>
      <c r="D6489" s="132" t="s">
        <v>1380</v>
      </c>
      <c r="E6489" s="508">
        <v>4.0000000000000001E-3</v>
      </c>
      <c r="F6489" s="508">
        <v>4.0000000000000001E-3</v>
      </c>
      <c r="G6489" s="508">
        <v>4.0000000000000001E-3</v>
      </c>
      <c r="H6489" s="508">
        <v>4.0000000000000001E-3</v>
      </c>
      <c r="I6489" s="508">
        <v>4.0000000000000001E-3</v>
      </c>
      <c r="J6489" s="508">
        <v>4.0000000000000001E-3</v>
      </c>
      <c r="K6489" s="508">
        <v>4.0000000000000001E-3</v>
      </c>
      <c r="L6489" s="508">
        <v>4.0000000000000001E-3</v>
      </c>
      <c r="M6489" s="508">
        <v>4.0000000000000001E-3</v>
      </c>
      <c r="N6489" s="508">
        <v>4.0000000000000001E-3</v>
      </c>
      <c r="O6489" s="508">
        <v>4.0000000000000001E-3</v>
      </c>
      <c r="P6489" s="508">
        <v>4.0000000000000001E-3</v>
      </c>
      <c r="Q6489" s="508">
        <v>4.0000000000000001E-3</v>
      </c>
      <c r="R6489" s="508">
        <v>4.0000000000000001E-3</v>
      </c>
      <c r="S6489" s="508">
        <v>4.0000000000000001E-3</v>
      </c>
      <c r="T6489" s="508">
        <v>4.0000000000000001E-3</v>
      </c>
      <c r="U6489" s="508">
        <v>4.0000000000000001E-3</v>
      </c>
      <c r="V6489" s="508">
        <v>4.0000000000000001E-3</v>
      </c>
      <c r="W6489" s="508">
        <v>4.0000000000000001E-3</v>
      </c>
      <c r="X6489" s="508">
        <v>4.0000000000000001E-3</v>
      </c>
      <c r="Y6489" s="508">
        <v>4.0000000000000001E-3</v>
      </c>
      <c r="Z6489" s="508">
        <v>4.0000000000000001E-3</v>
      </c>
      <c r="AA6489" s="508">
        <v>4.0000000000000001E-3</v>
      </c>
      <c r="AB6489" s="508">
        <v>4.0000000000000001E-3</v>
      </c>
      <c r="AC6489" s="508">
        <v>4.0000000000000001E-3</v>
      </c>
      <c r="AD6489" s="508">
        <v>4.0000000000000001E-3</v>
      </c>
      <c r="AE6489" s="508">
        <v>4.0000000000000001E-3</v>
      </c>
      <c r="AF6489" s="508">
        <v>4.0000000000000001E-3</v>
      </c>
      <c r="AG6489" s="508">
        <v>4.0000000000000001E-3</v>
      </c>
      <c r="AH6489" s="508">
        <v>4.0000000000000001E-3</v>
      </c>
      <c r="AI6489" s="492">
        <v>4.0000000000000001E-3</v>
      </c>
      <c r="AJ6489" s="485"/>
    </row>
    <row r="6490" spans="2:36">
      <c r="B6490" s="136" t="s">
        <v>478</v>
      </c>
      <c r="C6490" s="132" t="s">
        <v>1367</v>
      </c>
      <c r="D6490" s="132" t="s">
        <v>1380</v>
      </c>
      <c r="E6490" s="508">
        <v>4.0000000000000001E-3</v>
      </c>
      <c r="F6490" s="508">
        <v>4.0000000000000001E-3</v>
      </c>
      <c r="G6490" s="508">
        <v>4.0000000000000001E-3</v>
      </c>
      <c r="H6490" s="508">
        <v>4.0000000000000001E-3</v>
      </c>
      <c r="I6490" s="508">
        <v>4.0000000000000001E-3</v>
      </c>
      <c r="J6490" s="508">
        <v>4.0000000000000001E-3</v>
      </c>
      <c r="K6490" s="508">
        <v>4.0000000000000001E-3</v>
      </c>
      <c r="L6490" s="508">
        <v>4.0000000000000001E-3</v>
      </c>
      <c r="M6490" s="508">
        <v>4.0000000000000001E-3</v>
      </c>
      <c r="N6490" s="508">
        <v>4.0000000000000001E-3</v>
      </c>
      <c r="O6490" s="508">
        <v>4.0000000000000001E-3</v>
      </c>
      <c r="P6490" s="508">
        <v>4.0000000000000001E-3</v>
      </c>
      <c r="Q6490" s="508">
        <v>4.0000000000000001E-3</v>
      </c>
      <c r="R6490" s="508">
        <v>4.0000000000000001E-3</v>
      </c>
      <c r="S6490" s="508">
        <v>4.0000000000000001E-3</v>
      </c>
      <c r="T6490" s="508">
        <v>4.0000000000000001E-3</v>
      </c>
      <c r="U6490" s="508">
        <v>4.0000000000000001E-3</v>
      </c>
      <c r="V6490" s="508">
        <v>4.0000000000000001E-3</v>
      </c>
      <c r="W6490" s="508">
        <v>4.0000000000000001E-3</v>
      </c>
      <c r="X6490" s="508">
        <v>4.0000000000000001E-3</v>
      </c>
      <c r="Y6490" s="508">
        <v>4.0000000000000001E-3</v>
      </c>
      <c r="Z6490" s="508">
        <v>4.0000000000000001E-3</v>
      </c>
      <c r="AA6490" s="508">
        <v>4.0000000000000001E-3</v>
      </c>
      <c r="AB6490" s="508">
        <v>4.0000000000000001E-3</v>
      </c>
      <c r="AC6490" s="508">
        <v>4.0000000000000001E-3</v>
      </c>
      <c r="AD6490" s="508">
        <v>4.0000000000000001E-3</v>
      </c>
      <c r="AE6490" s="508">
        <v>4.0000000000000001E-3</v>
      </c>
      <c r="AF6490" s="508">
        <v>4.0000000000000001E-3</v>
      </c>
      <c r="AG6490" s="508">
        <v>4.0000000000000001E-3</v>
      </c>
      <c r="AH6490" s="508">
        <v>4.0000000000000001E-3</v>
      </c>
      <c r="AI6490" s="492">
        <v>4.0000000000000001E-3</v>
      </c>
      <c r="AJ6490" s="485"/>
    </row>
    <row r="6491" spans="2:36">
      <c r="B6491" s="136" t="s">
        <v>479</v>
      </c>
      <c r="C6491" s="132" t="s">
        <v>1367</v>
      </c>
      <c r="D6491" s="132" t="s">
        <v>1380</v>
      </c>
      <c r="E6491" s="508">
        <v>4.0000000000000001E-3</v>
      </c>
      <c r="F6491" s="508">
        <v>4.0000000000000001E-3</v>
      </c>
      <c r="G6491" s="508">
        <v>4.0000000000000001E-3</v>
      </c>
      <c r="H6491" s="508">
        <v>4.0000000000000001E-3</v>
      </c>
      <c r="I6491" s="508">
        <v>4.0000000000000001E-3</v>
      </c>
      <c r="J6491" s="508">
        <v>4.0000000000000001E-3</v>
      </c>
      <c r="K6491" s="508">
        <v>4.0000000000000001E-3</v>
      </c>
      <c r="L6491" s="508">
        <v>4.0000000000000001E-3</v>
      </c>
      <c r="M6491" s="508">
        <v>4.0000000000000001E-3</v>
      </c>
      <c r="N6491" s="508">
        <v>4.0000000000000001E-3</v>
      </c>
      <c r="O6491" s="508">
        <v>4.0000000000000001E-3</v>
      </c>
      <c r="P6491" s="508">
        <v>4.0000000000000001E-3</v>
      </c>
      <c r="Q6491" s="508">
        <v>4.0000000000000001E-3</v>
      </c>
      <c r="R6491" s="508">
        <v>4.0000000000000001E-3</v>
      </c>
      <c r="S6491" s="508">
        <v>4.0000000000000001E-3</v>
      </c>
      <c r="T6491" s="508">
        <v>4.0000000000000001E-3</v>
      </c>
      <c r="U6491" s="508">
        <v>4.0000000000000001E-3</v>
      </c>
      <c r="V6491" s="508">
        <v>4.0000000000000001E-3</v>
      </c>
      <c r="W6491" s="508">
        <v>4.0000000000000001E-3</v>
      </c>
      <c r="X6491" s="508">
        <v>4.0000000000000001E-3</v>
      </c>
      <c r="Y6491" s="508">
        <v>4.0000000000000001E-3</v>
      </c>
      <c r="Z6491" s="508">
        <v>4.0000000000000001E-3</v>
      </c>
      <c r="AA6491" s="508">
        <v>4.0000000000000001E-3</v>
      </c>
      <c r="AB6491" s="508">
        <v>4.0000000000000001E-3</v>
      </c>
      <c r="AC6491" s="508">
        <v>4.0000000000000001E-3</v>
      </c>
      <c r="AD6491" s="508">
        <v>4.0000000000000001E-3</v>
      </c>
      <c r="AE6491" s="508">
        <v>4.0000000000000001E-3</v>
      </c>
      <c r="AF6491" s="508">
        <v>4.0000000000000001E-3</v>
      </c>
      <c r="AG6491" s="508">
        <v>4.0000000000000001E-3</v>
      </c>
      <c r="AH6491" s="508">
        <v>4.0000000000000001E-3</v>
      </c>
      <c r="AI6491" s="492">
        <v>4.0000000000000001E-3</v>
      </c>
      <c r="AJ6491" s="485"/>
    </row>
    <row r="6492" spans="2:36">
      <c r="B6492" s="136" t="s">
        <v>480</v>
      </c>
      <c r="C6492" s="132" t="s">
        <v>1367</v>
      </c>
      <c r="D6492" s="132" t="s">
        <v>1380</v>
      </c>
      <c r="E6492" s="508">
        <v>3.0000000000000001E-3</v>
      </c>
      <c r="F6492" s="508">
        <v>3.0000000000000001E-3</v>
      </c>
      <c r="G6492" s="508">
        <v>3.0000000000000001E-3</v>
      </c>
      <c r="H6492" s="508">
        <v>3.0000000000000001E-3</v>
      </c>
      <c r="I6492" s="508">
        <v>3.0000000000000001E-3</v>
      </c>
      <c r="J6492" s="508">
        <v>3.0000000000000001E-3</v>
      </c>
      <c r="K6492" s="508">
        <v>3.0000000000000001E-3</v>
      </c>
      <c r="L6492" s="508">
        <v>3.0000000000000001E-3</v>
      </c>
      <c r="M6492" s="508">
        <v>3.0000000000000001E-3</v>
      </c>
      <c r="N6492" s="508">
        <v>3.0000000000000001E-3</v>
      </c>
      <c r="O6492" s="508">
        <v>3.0000000000000001E-3</v>
      </c>
      <c r="P6492" s="508">
        <v>3.0000000000000001E-3</v>
      </c>
      <c r="Q6492" s="508">
        <v>3.0000000000000001E-3</v>
      </c>
      <c r="R6492" s="508">
        <v>3.0000000000000001E-3</v>
      </c>
      <c r="S6492" s="508">
        <v>3.0000000000000001E-3</v>
      </c>
      <c r="T6492" s="508">
        <v>3.0000000000000001E-3</v>
      </c>
      <c r="U6492" s="508">
        <v>3.0000000000000001E-3</v>
      </c>
      <c r="V6492" s="508">
        <v>3.0000000000000001E-3</v>
      </c>
      <c r="W6492" s="508">
        <v>3.0000000000000001E-3</v>
      </c>
      <c r="X6492" s="508">
        <v>3.0000000000000001E-3</v>
      </c>
      <c r="Y6492" s="508">
        <v>3.0000000000000001E-3</v>
      </c>
      <c r="Z6492" s="508">
        <v>3.0000000000000001E-3</v>
      </c>
      <c r="AA6492" s="508">
        <v>3.0000000000000001E-3</v>
      </c>
      <c r="AB6492" s="508">
        <v>3.0000000000000001E-3</v>
      </c>
      <c r="AC6492" s="508">
        <v>3.0000000000000001E-3</v>
      </c>
      <c r="AD6492" s="508">
        <v>3.0000000000000001E-3</v>
      </c>
      <c r="AE6492" s="508">
        <v>3.0000000000000001E-3</v>
      </c>
      <c r="AF6492" s="508">
        <v>3.0000000000000001E-3</v>
      </c>
      <c r="AG6492" s="508">
        <v>3.0000000000000001E-3</v>
      </c>
      <c r="AH6492" s="508">
        <v>3.0000000000000001E-3</v>
      </c>
      <c r="AI6492" s="492">
        <v>3.0000000000000001E-3</v>
      </c>
      <c r="AJ6492" s="485"/>
    </row>
    <row r="6493" spans="2:36">
      <c r="B6493" s="136" t="s">
        <v>481</v>
      </c>
      <c r="C6493" s="132" t="s">
        <v>1367</v>
      </c>
      <c r="D6493" s="132" t="s">
        <v>1380</v>
      </c>
      <c r="E6493" s="508">
        <v>4.0000000000000001E-3</v>
      </c>
      <c r="F6493" s="508">
        <v>4.0000000000000001E-3</v>
      </c>
      <c r="G6493" s="508">
        <v>4.0000000000000001E-3</v>
      </c>
      <c r="H6493" s="508">
        <v>4.0000000000000001E-3</v>
      </c>
      <c r="I6493" s="508">
        <v>4.0000000000000001E-3</v>
      </c>
      <c r="J6493" s="508">
        <v>4.0000000000000001E-3</v>
      </c>
      <c r="K6493" s="508">
        <v>4.0000000000000001E-3</v>
      </c>
      <c r="L6493" s="508">
        <v>4.0000000000000001E-3</v>
      </c>
      <c r="M6493" s="508">
        <v>4.0000000000000001E-3</v>
      </c>
      <c r="N6493" s="508">
        <v>4.0000000000000001E-3</v>
      </c>
      <c r="O6493" s="508">
        <v>4.0000000000000001E-3</v>
      </c>
      <c r="P6493" s="508">
        <v>4.0000000000000001E-3</v>
      </c>
      <c r="Q6493" s="508">
        <v>4.0000000000000001E-3</v>
      </c>
      <c r="R6493" s="508">
        <v>4.0000000000000001E-3</v>
      </c>
      <c r="S6493" s="508">
        <v>4.0000000000000001E-3</v>
      </c>
      <c r="T6493" s="508">
        <v>4.0000000000000001E-3</v>
      </c>
      <c r="U6493" s="508">
        <v>4.0000000000000001E-3</v>
      </c>
      <c r="V6493" s="508">
        <v>4.0000000000000001E-3</v>
      </c>
      <c r="W6493" s="508">
        <v>4.0000000000000001E-3</v>
      </c>
      <c r="X6493" s="508">
        <v>4.0000000000000001E-3</v>
      </c>
      <c r="Y6493" s="508">
        <v>4.0000000000000001E-3</v>
      </c>
      <c r="Z6493" s="508">
        <v>4.0000000000000001E-3</v>
      </c>
      <c r="AA6493" s="508">
        <v>4.0000000000000001E-3</v>
      </c>
      <c r="AB6493" s="508">
        <v>4.0000000000000001E-3</v>
      </c>
      <c r="AC6493" s="508">
        <v>4.0000000000000001E-3</v>
      </c>
      <c r="AD6493" s="508">
        <v>4.0000000000000001E-3</v>
      </c>
      <c r="AE6493" s="508">
        <v>4.0000000000000001E-3</v>
      </c>
      <c r="AF6493" s="508">
        <v>4.0000000000000001E-3</v>
      </c>
      <c r="AG6493" s="508">
        <v>4.0000000000000001E-3</v>
      </c>
      <c r="AH6493" s="508">
        <v>4.0000000000000001E-3</v>
      </c>
      <c r="AI6493" s="492">
        <v>4.0000000000000001E-3</v>
      </c>
      <c r="AJ6493" s="485"/>
    </row>
    <row r="6494" spans="2:36">
      <c r="B6494" s="136" t="s">
        <v>482</v>
      </c>
      <c r="C6494" s="132" t="s">
        <v>1367</v>
      </c>
      <c r="D6494" s="132" t="s">
        <v>1380</v>
      </c>
      <c r="E6494" s="508">
        <v>4.0000000000000001E-3</v>
      </c>
      <c r="F6494" s="508">
        <v>4.0000000000000001E-3</v>
      </c>
      <c r="G6494" s="508">
        <v>4.0000000000000001E-3</v>
      </c>
      <c r="H6494" s="508">
        <v>4.0000000000000001E-3</v>
      </c>
      <c r="I6494" s="508">
        <v>4.0000000000000001E-3</v>
      </c>
      <c r="J6494" s="508">
        <v>4.0000000000000001E-3</v>
      </c>
      <c r="K6494" s="508">
        <v>4.0000000000000001E-3</v>
      </c>
      <c r="L6494" s="508">
        <v>4.0000000000000001E-3</v>
      </c>
      <c r="M6494" s="508">
        <v>4.0000000000000001E-3</v>
      </c>
      <c r="N6494" s="508">
        <v>4.0000000000000001E-3</v>
      </c>
      <c r="O6494" s="508">
        <v>4.0000000000000001E-3</v>
      </c>
      <c r="P6494" s="508">
        <v>4.0000000000000001E-3</v>
      </c>
      <c r="Q6494" s="508">
        <v>4.0000000000000001E-3</v>
      </c>
      <c r="R6494" s="508">
        <v>4.0000000000000001E-3</v>
      </c>
      <c r="S6494" s="508">
        <v>4.0000000000000001E-3</v>
      </c>
      <c r="T6494" s="508">
        <v>4.0000000000000001E-3</v>
      </c>
      <c r="U6494" s="508">
        <v>4.0000000000000001E-3</v>
      </c>
      <c r="V6494" s="508">
        <v>4.0000000000000001E-3</v>
      </c>
      <c r="W6494" s="508">
        <v>4.0000000000000001E-3</v>
      </c>
      <c r="X6494" s="508">
        <v>4.0000000000000001E-3</v>
      </c>
      <c r="Y6494" s="508">
        <v>4.0000000000000001E-3</v>
      </c>
      <c r="Z6494" s="508">
        <v>4.0000000000000001E-3</v>
      </c>
      <c r="AA6494" s="508">
        <v>4.0000000000000001E-3</v>
      </c>
      <c r="AB6494" s="508">
        <v>4.0000000000000001E-3</v>
      </c>
      <c r="AC6494" s="508">
        <v>4.0000000000000001E-3</v>
      </c>
      <c r="AD6494" s="508">
        <v>4.0000000000000001E-3</v>
      </c>
      <c r="AE6494" s="508">
        <v>4.0000000000000001E-3</v>
      </c>
      <c r="AF6494" s="508">
        <v>4.0000000000000001E-3</v>
      </c>
      <c r="AG6494" s="508">
        <v>4.0000000000000001E-3</v>
      </c>
      <c r="AH6494" s="508">
        <v>4.0000000000000001E-3</v>
      </c>
      <c r="AI6494" s="492">
        <v>4.0000000000000001E-3</v>
      </c>
      <c r="AJ6494" s="485"/>
    </row>
    <row r="6495" spans="2:36">
      <c r="B6495" s="136" t="s">
        <v>483</v>
      </c>
      <c r="C6495" s="132" t="s">
        <v>1367</v>
      </c>
      <c r="D6495" s="132" t="s">
        <v>1380</v>
      </c>
      <c r="E6495" s="508">
        <v>4.0000000000000001E-3</v>
      </c>
      <c r="F6495" s="508">
        <v>4.0000000000000001E-3</v>
      </c>
      <c r="G6495" s="508">
        <v>4.0000000000000001E-3</v>
      </c>
      <c r="H6495" s="508">
        <v>4.0000000000000001E-3</v>
      </c>
      <c r="I6495" s="508">
        <v>4.0000000000000001E-3</v>
      </c>
      <c r="J6495" s="508">
        <v>4.0000000000000001E-3</v>
      </c>
      <c r="K6495" s="508">
        <v>4.0000000000000001E-3</v>
      </c>
      <c r="L6495" s="508">
        <v>4.0000000000000001E-3</v>
      </c>
      <c r="M6495" s="508">
        <v>4.0000000000000001E-3</v>
      </c>
      <c r="N6495" s="508">
        <v>4.0000000000000001E-3</v>
      </c>
      <c r="O6495" s="508">
        <v>4.0000000000000001E-3</v>
      </c>
      <c r="P6495" s="508">
        <v>4.0000000000000001E-3</v>
      </c>
      <c r="Q6495" s="508">
        <v>4.0000000000000001E-3</v>
      </c>
      <c r="R6495" s="508">
        <v>4.0000000000000001E-3</v>
      </c>
      <c r="S6495" s="508">
        <v>4.0000000000000001E-3</v>
      </c>
      <c r="T6495" s="508">
        <v>4.0000000000000001E-3</v>
      </c>
      <c r="U6495" s="508">
        <v>4.0000000000000001E-3</v>
      </c>
      <c r="V6495" s="508">
        <v>4.0000000000000001E-3</v>
      </c>
      <c r="W6495" s="508">
        <v>4.0000000000000001E-3</v>
      </c>
      <c r="X6495" s="508">
        <v>4.0000000000000001E-3</v>
      </c>
      <c r="Y6495" s="508">
        <v>4.0000000000000001E-3</v>
      </c>
      <c r="Z6495" s="508">
        <v>4.0000000000000001E-3</v>
      </c>
      <c r="AA6495" s="508">
        <v>4.0000000000000001E-3</v>
      </c>
      <c r="AB6495" s="508">
        <v>4.0000000000000001E-3</v>
      </c>
      <c r="AC6495" s="508">
        <v>4.0000000000000001E-3</v>
      </c>
      <c r="AD6495" s="508">
        <v>4.0000000000000001E-3</v>
      </c>
      <c r="AE6495" s="508">
        <v>4.0000000000000001E-3</v>
      </c>
      <c r="AF6495" s="508">
        <v>4.0000000000000001E-3</v>
      </c>
      <c r="AG6495" s="508">
        <v>4.0000000000000001E-3</v>
      </c>
      <c r="AH6495" s="508">
        <v>4.0000000000000001E-3</v>
      </c>
      <c r="AI6495" s="492">
        <v>4.0000000000000001E-3</v>
      </c>
      <c r="AJ6495" s="485"/>
    </row>
    <row r="6496" spans="2:36">
      <c r="B6496" s="136" t="s">
        <v>484</v>
      </c>
      <c r="C6496" s="132" t="s">
        <v>1367</v>
      </c>
      <c r="D6496" s="132" t="s">
        <v>1380</v>
      </c>
      <c r="E6496" s="508">
        <v>3.0000000000000001E-3</v>
      </c>
      <c r="F6496" s="508">
        <v>3.0000000000000001E-3</v>
      </c>
      <c r="G6496" s="508">
        <v>3.0000000000000001E-3</v>
      </c>
      <c r="H6496" s="508">
        <v>3.0000000000000001E-3</v>
      </c>
      <c r="I6496" s="508">
        <v>3.0000000000000001E-3</v>
      </c>
      <c r="J6496" s="508">
        <v>3.0000000000000001E-3</v>
      </c>
      <c r="K6496" s="508">
        <v>3.0000000000000001E-3</v>
      </c>
      <c r="L6496" s="508">
        <v>3.0000000000000001E-3</v>
      </c>
      <c r="M6496" s="508">
        <v>3.0000000000000001E-3</v>
      </c>
      <c r="N6496" s="508">
        <v>3.0000000000000001E-3</v>
      </c>
      <c r="O6496" s="508">
        <v>3.0000000000000001E-3</v>
      </c>
      <c r="P6496" s="508">
        <v>3.0000000000000001E-3</v>
      </c>
      <c r="Q6496" s="508">
        <v>3.0000000000000001E-3</v>
      </c>
      <c r="R6496" s="508">
        <v>3.0000000000000001E-3</v>
      </c>
      <c r="S6496" s="508">
        <v>3.0000000000000001E-3</v>
      </c>
      <c r="T6496" s="508">
        <v>3.0000000000000001E-3</v>
      </c>
      <c r="U6496" s="508">
        <v>3.0000000000000001E-3</v>
      </c>
      <c r="V6496" s="508">
        <v>3.0000000000000001E-3</v>
      </c>
      <c r="W6496" s="508">
        <v>3.0000000000000001E-3</v>
      </c>
      <c r="X6496" s="508">
        <v>3.0000000000000001E-3</v>
      </c>
      <c r="Y6496" s="508">
        <v>3.0000000000000001E-3</v>
      </c>
      <c r="Z6496" s="508">
        <v>3.0000000000000001E-3</v>
      </c>
      <c r="AA6496" s="508">
        <v>3.0000000000000001E-3</v>
      </c>
      <c r="AB6496" s="508">
        <v>3.0000000000000001E-3</v>
      </c>
      <c r="AC6496" s="508">
        <v>3.0000000000000001E-3</v>
      </c>
      <c r="AD6496" s="508">
        <v>3.0000000000000001E-3</v>
      </c>
      <c r="AE6496" s="508">
        <v>3.0000000000000001E-3</v>
      </c>
      <c r="AF6496" s="508">
        <v>3.0000000000000001E-3</v>
      </c>
      <c r="AG6496" s="508">
        <v>3.0000000000000001E-3</v>
      </c>
      <c r="AH6496" s="508">
        <v>3.0000000000000001E-3</v>
      </c>
      <c r="AI6496" s="492">
        <v>3.0000000000000001E-3</v>
      </c>
      <c r="AJ6496" s="485"/>
    </row>
    <row r="6497" spans="2:36">
      <c r="B6497" s="136" t="s">
        <v>486</v>
      </c>
      <c r="C6497" s="132" t="s">
        <v>1367</v>
      </c>
      <c r="D6497" s="132" t="s">
        <v>1380</v>
      </c>
      <c r="E6497" s="508">
        <v>4.0000000000000001E-3</v>
      </c>
      <c r="F6497" s="508">
        <v>4.0000000000000001E-3</v>
      </c>
      <c r="G6497" s="508">
        <v>4.0000000000000001E-3</v>
      </c>
      <c r="H6497" s="508">
        <v>4.0000000000000001E-3</v>
      </c>
      <c r="I6497" s="508">
        <v>4.0000000000000001E-3</v>
      </c>
      <c r="J6497" s="508">
        <v>4.0000000000000001E-3</v>
      </c>
      <c r="K6497" s="508">
        <v>4.0000000000000001E-3</v>
      </c>
      <c r="L6497" s="508">
        <v>4.0000000000000001E-3</v>
      </c>
      <c r="M6497" s="508">
        <v>4.0000000000000001E-3</v>
      </c>
      <c r="N6497" s="508">
        <v>4.0000000000000001E-3</v>
      </c>
      <c r="O6497" s="508">
        <v>4.0000000000000001E-3</v>
      </c>
      <c r="P6497" s="508">
        <v>4.0000000000000001E-3</v>
      </c>
      <c r="Q6497" s="508">
        <v>4.0000000000000001E-3</v>
      </c>
      <c r="R6497" s="508">
        <v>4.0000000000000001E-3</v>
      </c>
      <c r="S6497" s="508">
        <v>4.0000000000000001E-3</v>
      </c>
      <c r="T6497" s="508">
        <v>4.0000000000000001E-3</v>
      </c>
      <c r="U6497" s="508">
        <v>4.0000000000000001E-3</v>
      </c>
      <c r="V6497" s="508">
        <v>4.0000000000000001E-3</v>
      </c>
      <c r="W6497" s="508">
        <v>4.0000000000000001E-3</v>
      </c>
      <c r="X6497" s="508">
        <v>4.0000000000000001E-3</v>
      </c>
      <c r="Y6497" s="508">
        <v>4.0000000000000001E-3</v>
      </c>
      <c r="Z6497" s="508">
        <v>4.0000000000000001E-3</v>
      </c>
      <c r="AA6497" s="508">
        <v>4.0000000000000001E-3</v>
      </c>
      <c r="AB6497" s="508">
        <v>4.0000000000000001E-3</v>
      </c>
      <c r="AC6497" s="508">
        <v>4.0000000000000001E-3</v>
      </c>
      <c r="AD6497" s="508">
        <v>4.0000000000000001E-3</v>
      </c>
      <c r="AE6497" s="508">
        <v>4.0000000000000001E-3</v>
      </c>
      <c r="AF6497" s="508">
        <v>4.0000000000000001E-3</v>
      </c>
      <c r="AG6497" s="508">
        <v>4.0000000000000001E-3</v>
      </c>
      <c r="AH6497" s="508">
        <v>4.0000000000000001E-3</v>
      </c>
      <c r="AI6497" s="492">
        <v>4.0000000000000001E-3</v>
      </c>
      <c r="AJ6497" s="485"/>
    </row>
    <row r="6498" spans="2:36">
      <c r="B6498" s="136" t="s">
        <v>487</v>
      </c>
      <c r="C6498" s="132" t="s">
        <v>1367</v>
      </c>
      <c r="D6498" s="132" t="s">
        <v>1380</v>
      </c>
      <c r="E6498" s="508">
        <v>4.0000000000000001E-3</v>
      </c>
      <c r="F6498" s="508">
        <v>4.0000000000000001E-3</v>
      </c>
      <c r="G6498" s="508">
        <v>4.0000000000000001E-3</v>
      </c>
      <c r="H6498" s="508">
        <v>4.0000000000000001E-3</v>
      </c>
      <c r="I6498" s="508">
        <v>4.0000000000000001E-3</v>
      </c>
      <c r="J6498" s="508">
        <v>4.0000000000000001E-3</v>
      </c>
      <c r="K6498" s="508">
        <v>4.0000000000000001E-3</v>
      </c>
      <c r="L6498" s="508">
        <v>4.0000000000000001E-3</v>
      </c>
      <c r="M6498" s="508">
        <v>4.0000000000000001E-3</v>
      </c>
      <c r="N6498" s="508">
        <v>4.0000000000000001E-3</v>
      </c>
      <c r="O6498" s="508">
        <v>4.0000000000000001E-3</v>
      </c>
      <c r="P6498" s="508">
        <v>4.0000000000000001E-3</v>
      </c>
      <c r="Q6498" s="508">
        <v>4.0000000000000001E-3</v>
      </c>
      <c r="R6498" s="508">
        <v>4.0000000000000001E-3</v>
      </c>
      <c r="S6498" s="508">
        <v>4.0000000000000001E-3</v>
      </c>
      <c r="T6498" s="508">
        <v>4.0000000000000001E-3</v>
      </c>
      <c r="U6498" s="508">
        <v>4.0000000000000001E-3</v>
      </c>
      <c r="V6498" s="508">
        <v>4.0000000000000001E-3</v>
      </c>
      <c r="W6498" s="508">
        <v>4.0000000000000001E-3</v>
      </c>
      <c r="X6498" s="508">
        <v>4.0000000000000001E-3</v>
      </c>
      <c r="Y6498" s="508">
        <v>4.0000000000000001E-3</v>
      </c>
      <c r="Z6498" s="508">
        <v>4.0000000000000001E-3</v>
      </c>
      <c r="AA6498" s="508">
        <v>4.0000000000000001E-3</v>
      </c>
      <c r="AB6498" s="508">
        <v>4.0000000000000001E-3</v>
      </c>
      <c r="AC6498" s="508">
        <v>4.0000000000000001E-3</v>
      </c>
      <c r="AD6498" s="508">
        <v>4.0000000000000001E-3</v>
      </c>
      <c r="AE6498" s="508">
        <v>4.0000000000000001E-3</v>
      </c>
      <c r="AF6498" s="508">
        <v>4.0000000000000001E-3</v>
      </c>
      <c r="AG6498" s="508">
        <v>4.0000000000000001E-3</v>
      </c>
      <c r="AH6498" s="508">
        <v>4.0000000000000001E-3</v>
      </c>
      <c r="AI6498" s="492">
        <v>4.0000000000000001E-3</v>
      </c>
      <c r="AJ6498" s="485"/>
    </row>
    <row r="6499" spans="2:36">
      <c r="B6499" s="136" t="s">
        <v>488</v>
      </c>
      <c r="C6499" s="132" t="s">
        <v>1367</v>
      </c>
      <c r="D6499" s="132" t="s">
        <v>1380</v>
      </c>
      <c r="E6499" s="508">
        <v>3.0000000000000001E-3</v>
      </c>
      <c r="F6499" s="508">
        <v>3.0000000000000001E-3</v>
      </c>
      <c r="G6499" s="508">
        <v>3.0000000000000001E-3</v>
      </c>
      <c r="H6499" s="508">
        <v>3.0000000000000001E-3</v>
      </c>
      <c r="I6499" s="508">
        <v>3.0000000000000001E-3</v>
      </c>
      <c r="J6499" s="508">
        <v>3.0000000000000001E-3</v>
      </c>
      <c r="K6499" s="508">
        <v>3.0000000000000001E-3</v>
      </c>
      <c r="L6499" s="508">
        <v>3.0000000000000001E-3</v>
      </c>
      <c r="M6499" s="508">
        <v>3.0000000000000001E-3</v>
      </c>
      <c r="N6499" s="508">
        <v>3.0000000000000001E-3</v>
      </c>
      <c r="O6499" s="508">
        <v>3.0000000000000001E-3</v>
      </c>
      <c r="P6499" s="508">
        <v>3.0000000000000001E-3</v>
      </c>
      <c r="Q6499" s="508">
        <v>3.0000000000000001E-3</v>
      </c>
      <c r="R6499" s="508">
        <v>3.0000000000000001E-3</v>
      </c>
      <c r="S6499" s="508">
        <v>3.0000000000000001E-3</v>
      </c>
      <c r="T6499" s="508">
        <v>3.0000000000000001E-3</v>
      </c>
      <c r="U6499" s="508">
        <v>3.0000000000000001E-3</v>
      </c>
      <c r="V6499" s="508">
        <v>3.0000000000000001E-3</v>
      </c>
      <c r="W6499" s="508">
        <v>3.0000000000000001E-3</v>
      </c>
      <c r="X6499" s="508">
        <v>3.0000000000000001E-3</v>
      </c>
      <c r="Y6499" s="508">
        <v>3.0000000000000001E-3</v>
      </c>
      <c r="Z6499" s="508">
        <v>3.0000000000000001E-3</v>
      </c>
      <c r="AA6499" s="508">
        <v>3.0000000000000001E-3</v>
      </c>
      <c r="AB6499" s="508">
        <v>3.0000000000000001E-3</v>
      </c>
      <c r="AC6499" s="508">
        <v>3.0000000000000001E-3</v>
      </c>
      <c r="AD6499" s="508">
        <v>3.0000000000000001E-3</v>
      </c>
      <c r="AE6499" s="508">
        <v>3.0000000000000001E-3</v>
      </c>
      <c r="AF6499" s="508">
        <v>3.0000000000000001E-3</v>
      </c>
      <c r="AG6499" s="508">
        <v>3.0000000000000001E-3</v>
      </c>
      <c r="AH6499" s="508">
        <v>3.0000000000000001E-3</v>
      </c>
      <c r="AI6499" s="492">
        <v>3.0000000000000001E-3</v>
      </c>
      <c r="AJ6499" s="485"/>
    </row>
    <row r="6500" spans="2:36">
      <c r="B6500" s="136" t="s">
        <v>489</v>
      </c>
      <c r="C6500" s="132" t="s">
        <v>1367</v>
      </c>
      <c r="D6500" s="132" t="s">
        <v>1380</v>
      </c>
      <c r="E6500" s="508">
        <v>4.0000000000000001E-3</v>
      </c>
      <c r="F6500" s="508">
        <v>4.0000000000000001E-3</v>
      </c>
      <c r="G6500" s="508">
        <v>4.0000000000000001E-3</v>
      </c>
      <c r="H6500" s="508">
        <v>4.0000000000000001E-3</v>
      </c>
      <c r="I6500" s="508">
        <v>4.0000000000000001E-3</v>
      </c>
      <c r="J6500" s="508">
        <v>4.0000000000000001E-3</v>
      </c>
      <c r="K6500" s="508">
        <v>4.0000000000000001E-3</v>
      </c>
      <c r="L6500" s="508">
        <v>4.0000000000000001E-3</v>
      </c>
      <c r="M6500" s="508">
        <v>4.0000000000000001E-3</v>
      </c>
      <c r="N6500" s="508">
        <v>4.0000000000000001E-3</v>
      </c>
      <c r="O6500" s="508">
        <v>4.0000000000000001E-3</v>
      </c>
      <c r="P6500" s="508">
        <v>4.0000000000000001E-3</v>
      </c>
      <c r="Q6500" s="508">
        <v>4.0000000000000001E-3</v>
      </c>
      <c r="R6500" s="508">
        <v>4.0000000000000001E-3</v>
      </c>
      <c r="S6500" s="508">
        <v>4.0000000000000001E-3</v>
      </c>
      <c r="T6500" s="508">
        <v>4.0000000000000001E-3</v>
      </c>
      <c r="U6500" s="508">
        <v>4.0000000000000001E-3</v>
      </c>
      <c r="V6500" s="508">
        <v>4.0000000000000001E-3</v>
      </c>
      <c r="W6500" s="508">
        <v>4.0000000000000001E-3</v>
      </c>
      <c r="X6500" s="508">
        <v>4.0000000000000001E-3</v>
      </c>
      <c r="Y6500" s="508">
        <v>4.0000000000000001E-3</v>
      </c>
      <c r="Z6500" s="508">
        <v>4.0000000000000001E-3</v>
      </c>
      <c r="AA6500" s="508">
        <v>4.0000000000000001E-3</v>
      </c>
      <c r="AB6500" s="508">
        <v>4.0000000000000001E-3</v>
      </c>
      <c r="AC6500" s="508">
        <v>4.0000000000000001E-3</v>
      </c>
      <c r="AD6500" s="508">
        <v>4.0000000000000001E-3</v>
      </c>
      <c r="AE6500" s="508">
        <v>4.0000000000000001E-3</v>
      </c>
      <c r="AF6500" s="508">
        <v>4.0000000000000001E-3</v>
      </c>
      <c r="AG6500" s="508">
        <v>4.0000000000000001E-3</v>
      </c>
      <c r="AH6500" s="508">
        <v>4.0000000000000001E-3</v>
      </c>
      <c r="AI6500" s="492">
        <v>4.0000000000000001E-3</v>
      </c>
      <c r="AJ6500" s="485"/>
    </row>
    <row r="6501" spans="2:36">
      <c r="B6501" s="136" t="s">
        <v>490</v>
      </c>
      <c r="C6501" s="132" t="s">
        <v>1367</v>
      </c>
      <c r="D6501" s="132" t="s">
        <v>1380</v>
      </c>
      <c r="E6501" s="508">
        <v>3.0000000000000001E-3</v>
      </c>
      <c r="F6501" s="508">
        <v>3.0000000000000001E-3</v>
      </c>
      <c r="G6501" s="508">
        <v>3.0000000000000001E-3</v>
      </c>
      <c r="H6501" s="508">
        <v>3.0000000000000001E-3</v>
      </c>
      <c r="I6501" s="508">
        <v>3.0000000000000001E-3</v>
      </c>
      <c r="J6501" s="508">
        <v>3.0000000000000001E-3</v>
      </c>
      <c r="K6501" s="508">
        <v>3.0000000000000001E-3</v>
      </c>
      <c r="L6501" s="508">
        <v>3.0000000000000001E-3</v>
      </c>
      <c r="M6501" s="508">
        <v>3.0000000000000001E-3</v>
      </c>
      <c r="N6501" s="508">
        <v>3.0000000000000001E-3</v>
      </c>
      <c r="O6501" s="508">
        <v>3.0000000000000001E-3</v>
      </c>
      <c r="P6501" s="508">
        <v>3.0000000000000001E-3</v>
      </c>
      <c r="Q6501" s="508">
        <v>3.0000000000000001E-3</v>
      </c>
      <c r="R6501" s="508">
        <v>3.0000000000000001E-3</v>
      </c>
      <c r="S6501" s="508">
        <v>3.0000000000000001E-3</v>
      </c>
      <c r="T6501" s="508">
        <v>3.0000000000000001E-3</v>
      </c>
      <c r="U6501" s="508">
        <v>3.0000000000000001E-3</v>
      </c>
      <c r="V6501" s="508">
        <v>3.0000000000000001E-3</v>
      </c>
      <c r="W6501" s="508">
        <v>3.0000000000000001E-3</v>
      </c>
      <c r="X6501" s="508">
        <v>3.0000000000000001E-3</v>
      </c>
      <c r="Y6501" s="508">
        <v>3.0000000000000001E-3</v>
      </c>
      <c r="Z6501" s="508">
        <v>3.0000000000000001E-3</v>
      </c>
      <c r="AA6501" s="508">
        <v>3.0000000000000001E-3</v>
      </c>
      <c r="AB6501" s="508">
        <v>3.0000000000000001E-3</v>
      </c>
      <c r="AC6501" s="508">
        <v>3.0000000000000001E-3</v>
      </c>
      <c r="AD6501" s="508">
        <v>3.0000000000000001E-3</v>
      </c>
      <c r="AE6501" s="508">
        <v>3.0000000000000001E-3</v>
      </c>
      <c r="AF6501" s="508">
        <v>3.0000000000000001E-3</v>
      </c>
      <c r="AG6501" s="508">
        <v>3.0000000000000001E-3</v>
      </c>
      <c r="AH6501" s="508">
        <v>3.0000000000000001E-3</v>
      </c>
      <c r="AI6501" s="492">
        <v>3.0000000000000001E-3</v>
      </c>
      <c r="AJ6501" s="485"/>
    </row>
    <row r="6502" spans="2:36">
      <c r="B6502" s="136" t="s">
        <v>435</v>
      </c>
      <c r="C6502" s="132" t="s">
        <v>1368</v>
      </c>
      <c r="D6502" s="132" t="s">
        <v>1380</v>
      </c>
      <c r="E6502" s="508">
        <v>6.0000000000000001E-3</v>
      </c>
      <c r="F6502" s="508">
        <v>6.0000000000000001E-3</v>
      </c>
      <c r="G6502" s="508">
        <v>6.0000000000000001E-3</v>
      </c>
      <c r="H6502" s="508">
        <v>6.0000000000000001E-3</v>
      </c>
      <c r="I6502" s="508">
        <v>6.0000000000000001E-3</v>
      </c>
      <c r="J6502" s="508">
        <v>6.0000000000000001E-3</v>
      </c>
      <c r="K6502" s="508">
        <v>6.0000000000000001E-3</v>
      </c>
      <c r="L6502" s="508">
        <v>6.0000000000000001E-3</v>
      </c>
      <c r="M6502" s="508">
        <v>6.0000000000000001E-3</v>
      </c>
      <c r="N6502" s="508">
        <v>6.0000000000000001E-3</v>
      </c>
      <c r="O6502" s="508">
        <v>6.0000000000000001E-3</v>
      </c>
      <c r="P6502" s="508">
        <v>6.0000000000000001E-3</v>
      </c>
      <c r="Q6502" s="508">
        <v>6.0000000000000001E-3</v>
      </c>
      <c r="R6502" s="508">
        <v>6.0000000000000001E-3</v>
      </c>
      <c r="S6502" s="508">
        <v>6.0000000000000001E-3</v>
      </c>
      <c r="T6502" s="508">
        <v>6.0000000000000001E-3</v>
      </c>
      <c r="U6502" s="508">
        <v>6.0000000000000001E-3</v>
      </c>
      <c r="V6502" s="508">
        <v>6.0000000000000001E-3</v>
      </c>
      <c r="W6502" s="508">
        <v>6.0000000000000001E-3</v>
      </c>
      <c r="X6502" s="508">
        <v>6.0000000000000001E-3</v>
      </c>
      <c r="Y6502" s="508">
        <v>6.0000000000000001E-3</v>
      </c>
      <c r="Z6502" s="508">
        <v>6.0000000000000001E-3</v>
      </c>
      <c r="AA6502" s="508">
        <v>6.0000000000000001E-3</v>
      </c>
      <c r="AB6502" s="508">
        <v>6.0000000000000001E-3</v>
      </c>
      <c r="AC6502" s="508">
        <v>6.0000000000000001E-3</v>
      </c>
      <c r="AD6502" s="508">
        <v>6.0000000000000001E-3</v>
      </c>
      <c r="AE6502" s="508">
        <v>6.0000000000000001E-3</v>
      </c>
      <c r="AF6502" s="508">
        <v>6.0000000000000001E-3</v>
      </c>
      <c r="AG6502" s="508">
        <v>6.0000000000000001E-3</v>
      </c>
      <c r="AH6502" s="508">
        <v>6.0000000000000001E-3</v>
      </c>
      <c r="AI6502" s="492">
        <v>6.0000000000000001E-3</v>
      </c>
      <c r="AJ6502" s="485"/>
    </row>
    <row r="6503" spans="2:36">
      <c r="B6503" s="136" t="s">
        <v>436</v>
      </c>
      <c r="C6503" s="132" t="s">
        <v>1368</v>
      </c>
      <c r="D6503" s="132" t="s">
        <v>1380</v>
      </c>
      <c r="E6503" s="508">
        <v>5.0000000000000001E-3</v>
      </c>
      <c r="F6503" s="508">
        <v>5.0000000000000001E-3</v>
      </c>
      <c r="G6503" s="508">
        <v>5.0000000000000001E-3</v>
      </c>
      <c r="H6503" s="508">
        <v>5.0000000000000001E-3</v>
      </c>
      <c r="I6503" s="508">
        <v>5.0000000000000001E-3</v>
      </c>
      <c r="J6503" s="508">
        <v>5.0000000000000001E-3</v>
      </c>
      <c r="K6503" s="508">
        <v>5.0000000000000001E-3</v>
      </c>
      <c r="L6503" s="508">
        <v>5.0000000000000001E-3</v>
      </c>
      <c r="M6503" s="508">
        <v>5.0000000000000001E-3</v>
      </c>
      <c r="N6503" s="508">
        <v>5.0000000000000001E-3</v>
      </c>
      <c r="O6503" s="508">
        <v>5.0000000000000001E-3</v>
      </c>
      <c r="P6503" s="508">
        <v>5.0000000000000001E-3</v>
      </c>
      <c r="Q6503" s="508">
        <v>5.0000000000000001E-3</v>
      </c>
      <c r="R6503" s="508">
        <v>5.0000000000000001E-3</v>
      </c>
      <c r="S6503" s="508">
        <v>5.0000000000000001E-3</v>
      </c>
      <c r="T6503" s="508">
        <v>5.0000000000000001E-3</v>
      </c>
      <c r="U6503" s="508">
        <v>5.0000000000000001E-3</v>
      </c>
      <c r="V6503" s="508">
        <v>5.0000000000000001E-3</v>
      </c>
      <c r="W6503" s="508">
        <v>5.0000000000000001E-3</v>
      </c>
      <c r="X6503" s="508">
        <v>5.0000000000000001E-3</v>
      </c>
      <c r="Y6503" s="508">
        <v>5.0000000000000001E-3</v>
      </c>
      <c r="Z6503" s="508">
        <v>5.0000000000000001E-3</v>
      </c>
      <c r="AA6503" s="508">
        <v>5.0000000000000001E-3</v>
      </c>
      <c r="AB6503" s="508">
        <v>5.0000000000000001E-3</v>
      </c>
      <c r="AC6503" s="508">
        <v>5.0000000000000001E-3</v>
      </c>
      <c r="AD6503" s="508">
        <v>5.0000000000000001E-3</v>
      </c>
      <c r="AE6503" s="508">
        <v>5.0000000000000001E-3</v>
      </c>
      <c r="AF6503" s="508">
        <v>5.0000000000000001E-3</v>
      </c>
      <c r="AG6503" s="508">
        <v>5.0000000000000001E-3</v>
      </c>
      <c r="AH6503" s="508">
        <v>5.0000000000000001E-3</v>
      </c>
      <c r="AI6503" s="492">
        <v>5.0000000000000001E-3</v>
      </c>
      <c r="AJ6503" s="485"/>
    </row>
    <row r="6504" spans="2:36">
      <c r="B6504" s="136" t="s">
        <v>437</v>
      </c>
      <c r="C6504" s="132" t="s">
        <v>1368</v>
      </c>
      <c r="D6504" s="132" t="s">
        <v>1380</v>
      </c>
      <c r="E6504" s="508">
        <v>6.0000000000000001E-3</v>
      </c>
      <c r="F6504" s="508">
        <v>6.0000000000000001E-3</v>
      </c>
      <c r="G6504" s="508">
        <v>6.0000000000000001E-3</v>
      </c>
      <c r="H6504" s="508">
        <v>6.0000000000000001E-3</v>
      </c>
      <c r="I6504" s="508">
        <v>6.0000000000000001E-3</v>
      </c>
      <c r="J6504" s="508">
        <v>6.0000000000000001E-3</v>
      </c>
      <c r="K6504" s="508">
        <v>6.0000000000000001E-3</v>
      </c>
      <c r="L6504" s="508">
        <v>6.0000000000000001E-3</v>
      </c>
      <c r="M6504" s="508">
        <v>6.0000000000000001E-3</v>
      </c>
      <c r="N6504" s="508">
        <v>6.0000000000000001E-3</v>
      </c>
      <c r="O6504" s="508">
        <v>6.0000000000000001E-3</v>
      </c>
      <c r="P6504" s="508">
        <v>6.0000000000000001E-3</v>
      </c>
      <c r="Q6504" s="508">
        <v>6.0000000000000001E-3</v>
      </c>
      <c r="R6504" s="508">
        <v>6.0000000000000001E-3</v>
      </c>
      <c r="S6504" s="508">
        <v>6.0000000000000001E-3</v>
      </c>
      <c r="T6504" s="508">
        <v>6.0000000000000001E-3</v>
      </c>
      <c r="U6504" s="508">
        <v>6.0000000000000001E-3</v>
      </c>
      <c r="V6504" s="508">
        <v>6.0000000000000001E-3</v>
      </c>
      <c r="W6504" s="508">
        <v>6.0000000000000001E-3</v>
      </c>
      <c r="X6504" s="508">
        <v>6.0000000000000001E-3</v>
      </c>
      <c r="Y6504" s="508">
        <v>6.0000000000000001E-3</v>
      </c>
      <c r="Z6504" s="508">
        <v>6.0000000000000001E-3</v>
      </c>
      <c r="AA6504" s="508">
        <v>6.0000000000000001E-3</v>
      </c>
      <c r="AB6504" s="508">
        <v>6.0000000000000001E-3</v>
      </c>
      <c r="AC6504" s="508">
        <v>6.0000000000000001E-3</v>
      </c>
      <c r="AD6504" s="508">
        <v>6.0000000000000001E-3</v>
      </c>
      <c r="AE6504" s="508">
        <v>6.0000000000000001E-3</v>
      </c>
      <c r="AF6504" s="508">
        <v>6.0000000000000001E-3</v>
      </c>
      <c r="AG6504" s="508">
        <v>6.0000000000000001E-3</v>
      </c>
      <c r="AH6504" s="508">
        <v>6.0000000000000001E-3</v>
      </c>
      <c r="AI6504" s="492">
        <v>6.0000000000000001E-3</v>
      </c>
      <c r="AJ6504" s="485"/>
    </row>
    <row r="6505" spans="2:36">
      <c r="B6505" s="136" t="s">
        <v>438</v>
      </c>
      <c r="C6505" s="132" t="s">
        <v>1368</v>
      </c>
      <c r="D6505" s="132" t="s">
        <v>1380</v>
      </c>
      <c r="E6505" s="508">
        <v>5.0000000000000001E-3</v>
      </c>
      <c r="F6505" s="508">
        <v>5.0000000000000001E-3</v>
      </c>
      <c r="G6505" s="508">
        <v>5.0000000000000001E-3</v>
      </c>
      <c r="H6505" s="508">
        <v>5.0000000000000001E-3</v>
      </c>
      <c r="I6505" s="508">
        <v>5.0000000000000001E-3</v>
      </c>
      <c r="J6505" s="508">
        <v>5.0000000000000001E-3</v>
      </c>
      <c r="K6505" s="508">
        <v>5.0000000000000001E-3</v>
      </c>
      <c r="L6505" s="508">
        <v>5.0000000000000001E-3</v>
      </c>
      <c r="M6505" s="508">
        <v>5.0000000000000001E-3</v>
      </c>
      <c r="N6505" s="508">
        <v>5.0000000000000001E-3</v>
      </c>
      <c r="O6505" s="508">
        <v>5.0000000000000001E-3</v>
      </c>
      <c r="P6505" s="508">
        <v>5.0000000000000001E-3</v>
      </c>
      <c r="Q6505" s="508">
        <v>5.0000000000000001E-3</v>
      </c>
      <c r="R6505" s="508">
        <v>5.0000000000000001E-3</v>
      </c>
      <c r="S6505" s="508">
        <v>5.0000000000000001E-3</v>
      </c>
      <c r="T6505" s="508">
        <v>5.0000000000000001E-3</v>
      </c>
      <c r="U6505" s="508">
        <v>5.0000000000000001E-3</v>
      </c>
      <c r="V6505" s="508">
        <v>5.0000000000000001E-3</v>
      </c>
      <c r="W6505" s="508">
        <v>5.0000000000000001E-3</v>
      </c>
      <c r="X6505" s="508">
        <v>5.0000000000000001E-3</v>
      </c>
      <c r="Y6505" s="508">
        <v>5.0000000000000001E-3</v>
      </c>
      <c r="Z6505" s="508">
        <v>5.0000000000000001E-3</v>
      </c>
      <c r="AA6505" s="508">
        <v>5.0000000000000001E-3</v>
      </c>
      <c r="AB6505" s="508">
        <v>5.0000000000000001E-3</v>
      </c>
      <c r="AC6505" s="508">
        <v>5.0000000000000001E-3</v>
      </c>
      <c r="AD6505" s="508">
        <v>5.0000000000000001E-3</v>
      </c>
      <c r="AE6505" s="508">
        <v>5.0000000000000001E-3</v>
      </c>
      <c r="AF6505" s="508">
        <v>5.0000000000000001E-3</v>
      </c>
      <c r="AG6505" s="508">
        <v>5.0000000000000001E-3</v>
      </c>
      <c r="AH6505" s="508">
        <v>5.0000000000000001E-3</v>
      </c>
      <c r="AI6505" s="492">
        <v>5.0000000000000001E-3</v>
      </c>
      <c r="AJ6505" s="485"/>
    </row>
    <row r="6506" spans="2:36">
      <c r="B6506" s="136" t="s">
        <v>439</v>
      </c>
      <c r="C6506" s="132" t="s">
        <v>1368</v>
      </c>
      <c r="D6506" s="132" t="s">
        <v>1380</v>
      </c>
      <c r="E6506" s="508">
        <v>6.0000000000000001E-3</v>
      </c>
      <c r="F6506" s="508">
        <v>6.0000000000000001E-3</v>
      </c>
      <c r="G6506" s="508">
        <v>6.0000000000000001E-3</v>
      </c>
      <c r="H6506" s="508">
        <v>6.0000000000000001E-3</v>
      </c>
      <c r="I6506" s="508">
        <v>6.0000000000000001E-3</v>
      </c>
      <c r="J6506" s="508">
        <v>6.0000000000000001E-3</v>
      </c>
      <c r="K6506" s="508">
        <v>6.0000000000000001E-3</v>
      </c>
      <c r="L6506" s="508">
        <v>6.0000000000000001E-3</v>
      </c>
      <c r="M6506" s="508">
        <v>6.0000000000000001E-3</v>
      </c>
      <c r="N6506" s="508">
        <v>6.0000000000000001E-3</v>
      </c>
      <c r="O6506" s="508">
        <v>6.0000000000000001E-3</v>
      </c>
      <c r="P6506" s="508">
        <v>6.0000000000000001E-3</v>
      </c>
      <c r="Q6506" s="508">
        <v>6.0000000000000001E-3</v>
      </c>
      <c r="R6506" s="508">
        <v>6.0000000000000001E-3</v>
      </c>
      <c r="S6506" s="508">
        <v>6.0000000000000001E-3</v>
      </c>
      <c r="T6506" s="508">
        <v>6.0000000000000001E-3</v>
      </c>
      <c r="U6506" s="508">
        <v>6.0000000000000001E-3</v>
      </c>
      <c r="V6506" s="508">
        <v>6.0000000000000001E-3</v>
      </c>
      <c r="W6506" s="508">
        <v>6.0000000000000001E-3</v>
      </c>
      <c r="X6506" s="508">
        <v>6.0000000000000001E-3</v>
      </c>
      <c r="Y6506" s="508">
        <v>6.0000000000000001E-3</v>
      </c>
      <c r="Z6506" s="508">
        <v>6.0000000000000001E-3</v>
      </c>
      <c r="AA6506" s="508">
        <v>6.0000000000000001E-3</v>
      </c>
      <c r="AB6506" s="508">
        <v>6.0000000000000001E-3</v>
      </c>
      <c r="AC6506" s="508">
        <v>6.0000000000000001E-3</v>
      </c>
      <c r="AD6506" s="508">
        <v>6.0000000000000001E-3</v>
      </c>
      <c r="AE6506" s="508">
        <v>6.0000000000000001E-3</v>
      </c>
      <c r="AF6506" s="508">
        <v>6.0000000000000001E-3</v>
      </c>
      <c r="AG6506" s="508">
        <v>6.0000000000000001E-3</v>
      </c>
      <c r="AH6506" s="508">
        <v>6.0000000000000001E-3</v>
      </c>
      <c r="AI6506" s="492">
        <v>6.0000000000000001E-3</v>
      </c>
      <c r="AJ6506" s="485"/>
    </row>
    <row r="6507" spans="2:36">
      <c r="B6507" s="136" t="s">
        <v>440</v>
      </c>
      <c r="C6507" s="132" t="s">
        <v>1368</v>
      </c>
      <c r="D6507" s="132" t="s">
        <v>1380</v>
      </c>
      <c r="E6507" s="508">
        <v>6.0000000000000001E-3</v>
      </c>
      <c r="F6507" s="508">
        <v>6.0000000000000001E-3</v>
      </c>
      <c r="G6507" s="508">
        <v>6.0000000000000001E-3</v>
      </c>
      <c r="H6507" s="508">
        <v>6.0000000000000001E-3</v>
      </c>
      <c r="I6507" s="508">
        <v>6.0000000000000001E-3</v>
      </c>
      <c r="J6507" s="508">
        <v>6.0000000000000001E-3</v>
      </c>
      <c r="K6507" s="508">
        <v>6.0000000000000001E-3</v>
      </c>
      <c r="L6507" s="508">
        <v>6.0000000000000001E-3</v>
      </c>
      <c r="M6507" s="508">
        <v>6.0000000000000001E-3</v>
      </c>
      <c r="N6507" s="508">
        <v>6.0000000000000001E-3</v>
      </c>
      <c r="O6507" s="508">
        <v>6.0000000000000001E-3</v>
      </c>
      <c r="P6507" s="508">
        <v>6.0000000000000001E-3</v>
      </c>
      <c r="Q6507" s="508">
        <v>6.0000000000000001E-3</v>
      </c>
      <c r="R6507" s="508">
        <v>6.0000000000000001E-3</v>
      </c>
      <c r="S6507" s="508">
        <v>6.0000000000000001E-3</v>
      </c>
      <c r="T6507" s="508">
        <v>6.0000000000000001E-3</v>
      </c>
      <c r="U6507" s="508">
        <v>6.0000000000000001E-3</v>
      </c>
      <c r="V6507" s="508">
        <v>6.0000000000000001E-3</v>
      </c>
      <c r="W6507" s="508">
        <v>6.0000000000000001E-3</v>
      </c>
      <c r="X6507" s="508">
        <v>6.0000000000000001E-3</v>
      </c>
      <c r="Y6507" s="508">
        <v>6.0000000000000001E-3</v>
      </c>
      <c r="Z6507" s="508">
        <v>6.0000000000000001E-3</v>
      </c>
      <c r="AA6507" s="508">
        <v>6.0000000000000001E-3</v>
      </c>
      <c r="AB6507" s="508">
        <v>6.0000000000000001E-3</v>
      </c>
      <c r="AC6507" s="508">
        <v>6.0000000000000001E-3</v>
      </c>
      <c r="AD6507" s="508">
        <v>6.0000000000000001E-3</v>
      </c>
      <c r="AE6507" s="508">
        <v>6.0000000000000001E-3</v>
      </c>
      <c r="AF6507" s="508">
        <v>6.0000000000000001E-3</v>
      </c>
      <c r="AG6507" s="508">
        <v>6.0000000000000001E-3</v>
      </c>
      <c r="AH6507" s="508">
        <v>6.0000000000000001E-3</v>
      </c>
      <c r="AI6507" s="492">
        <v>6.0000000000000001E-3</v>
      </c>
      <c r="AJ6507" s="485"/>
    </row>
    <row r="6508" spans="2:36">
      <c r="B6508" s="136" t="s">
        <v>441</v>
      </c>
      <c r="C6508" s="132" t="s">
        <v>1368</v>
      </c>
      <c r="D6508" s="132" t="s">
        <v>1380</v>
      </c>
      <c r="E6508" s="508">
        <v>6.0000000000000001E-3</v>
      </c>
      <c r="F6508" s="508">
        <v>6.0000000000000001E-3</v>
      </c>
      <c r="G6508" s="508">
        <v>6.0000000000000001E-3</v>
      </c>
      <c r="H6508" s="508">
        <v>6.0000000000000001E-3</v>
      </c>
      <c r="I6508" s="508">
        <v>6.0000000000000001E-3</v>
      </c>
      <c r="J6508" s="508">
        <v>6.0000000000000001E-3</v>
      </c>
      <c r="K6508" s="508">
        <v>6.0000000000000001E-3</v>
      </c>
      <c r="L6508" s="508">
        <v>6.0000000000000001E-3</v>
      </c>
      <c r="M6508" s="508">
        <v>6.0000000000000001E-3</v>
      </c>
      <c r="N6508" s="508">
        <v>6.0000000000000001E-3</v>
      </c>
      <c r="O6508" s="508">
        <v>6.0000000000000001E-3</v>
      </c>
      <c r="P6508" s="508">
        <v>6.0000000000000001E-3</v>
      </c>
      <c r="Q6508" s="508">
        <v>6.0000000000000001E-3</v>
      </c>
      <c r="R6508" s="508">
        <v>6.0000000000000001E-3</v>
      </c>
      <c r="S6508" s="508">
        <v>6.0000000000000001E-3</v>
      </c>
      <c r="T6508" s="508">
        <v>6.0000000000000001E-3</v>
      </c>
      <c r="U6508" s="508">
        <v>6.0000000000000001E-3</v>
      </c>
      <c r="V6508" s="508">
        <v>6.0000000000000001E-3</v>
      </c>
      <c r="W6508" s="508">
        <v>6.0000000000000001E-3</v>
      </c>
      <c r="X6508" s="508">
        <v>6.0000000000000001E-3</v>
      </c>
      <c r="Y6508" s="508">
        <v>6.0000000000000001E-3</v>
      </c>
      <c r="Z6508" s="508">
        <v>6.0000000000000001E-3</v>
      </c>
      <c r="AA6508" s="508">
        <v>6.0000000000000001E-3</v>
      </c>
      <c r="AB6508" s="508">
        <v>6.0000000000000001E-3</v>
      </c>
      <c r="AC6508" s="508">
        <v>6.0000000000000001E-3</v>
      </c>
      <c r="AD6508" s="508">
        <v>6.0000000000000001E-3</v>
      </c>
      <c r="AE6508" s="508">
        <v>6.0000000000000001E-3</v>
      </c>
      <c r="AF6508" s="508">
        <v>6.0000000000000001E-3</v>
      </c>
      <c r="AG6508" s="508">
        <v>6.0000000000000001E-3</v>
      </c>
      <c r="AH6508" s="508">
        <v>6.0000000000000001E-3</v>
      </c>
      <c r="AI6508" s="492">
        <v>6.0000000000000001E-3</v>
      </c>
      <c r="AJ6508" s="485"/>
    </row>
    <row r="6509" spans="2:36">
      <c r="B6509" s="136" t="s">
        <v>443</v>
      </c>
      <c r="C6509" s="132" t="s">
        <v>1368</v>
      </c>
      <c r="D6509" s="132" t="s">
        <v>1380</v>
      </c>
      <c r="E6509" s="508">
        <v>6.0000000000000001E-3</v>
      </c>
      <c r="F6509" s="508">
        <v>6.0000000000000001E-3</v>
      </c>
      <c r="G6509" s="508">
        <v>6.0000000000000001E-3</v>
      </c>
      <c r="H6509" s="508">
        <v>6.0000000000000001E-3</v>
      </c>
      <c r="I6509" s="508">
        <v>6.0000000000000001E-3</v>
      </c>
      <c r="J6509" s="508">
        <v>6.0000000000000001E-3</v>
      </c>
      <c r="K6509" s="508">
        <v>6.0000000000000001E-3</v>
      </c>
      <c r="L6509" s="508">
        <v>6.0000000000000001E-3</v>
      </c>
      <c r="M6509" s="508">
        <v>6.0000000000000001E-3</v>
      </c>
      <c r="N6509" s="508">
        <v>6.0000000000000001E-3</v>
      </c>
      <c r="O6509" s="508">
        <v>6.0000000000000001E-3</v>
      </c>
      <c r="P6509" s="508">
        <v>6.0000000000000001E-3</v>
      </c>
      <c r="Q6509" s="508">
        <v>6.0000000000000001E-3</v>
      </c>
      <c r="R6509" s="508">
        <v>6.0000000000000001E-3</v>
      </c>
      <c r="S6509" s="508">
        <v>6.0000000000000001E-3</v>
      </c>
      <c r="T6509" s="508">
        <v>6.0000000000000001E-3</v>
      </c>
      <c r="U6509" s="508">
        <v>6.0000000000000001E-3</v>
      </c>
      <c r="V6509" s="508">
        <v>6.0000000000000001E-3</v>
      </c>
      <c r="W6509" s="508">
        <v>6.0000000000000001E-3</v>
      </c>
      <c r="X6509" s="508">
        <v>6.0000000000000001E-3</v>
      </c>
      <c r="Y6509" s="508">
        <v>6.0000000000000001E-3</v>
      </c>
      <c r="Z6509" s="508">
        <v>6.0000000000000001E-3</v>
      </c>
      <c r="AA6509" s="508">
        <v>6.0000000000000001E-3</v>
      </c>
      <c r="AB6509" s="508">
        <v>6.0000000000000001E-3</v>
      </c>
      <c r="AC6509" s="508">
        <v>6.0000000000000001E-3</v>
      </c>
      <c r="AD6509" s="508">
        <v>6.0000000000000001E-3</v>
      </c>
      <c r="AE6509" s="508">
        <v>6.0000000000000001E-3</v>
      </c>
      <c r="AF6509" s="508">
        <v>6.0000000000000001E-3</v>
      </c>
      <c r="AG6509" s="508">
        <v>6.0000000000000001E-3</v>
      </c>
      <c r="AH6509" s="508">
        <v>6.0000000000000001E-3</v>
      </c>
      <c r="AI6509" s="492">
        <v>6.0000000000000001E-3</v>
      </c>
      <c r="AJ6509" s="485"/>
    </row>
    <row r="6510" spans="2:36">
      <c r="B6510" s="136" t="s">
        <v>445</v>
      </c>
      <c r="C6510" s="132" t="s">
        <v>1368</v>
      </c>
      <c r="D6510" s="132" t="s">
        <v>1380</v>
      </c>
      <c r="E6510" s="508">
        <v>7.0000000000000001E-3</v>
      </c>
      <c r="F6510" s="508">
        <v>7.0000000000000001E-3</v>
      </c>
      <c r="G6510" s="508">
        <v>7.0000000000000001E-3</v>
      </c>
      <c r="H6510" s="508">
        <v>7.0000000000000001E-3</v>
      </c>
      <c r="I6510" s="508">
        <v>7.0000000000000001E-3</v>
      </c>
      <c r="J6510" s="508">
        <v>7.0000000000000001E-3</v>
      </c>
      <c r="K6510" s="508">
        <v>7.0000000000000001E-3</v>
      </c>
      <c r="L6510" s="508">
        <v>7.0000000000000001E-3</v>
      </c>
      <c r="M6510" s="508">
        <v>7.0000000000000001E-3</v>
      </c>
      <c r="N6510" s="508">
        <v>7.0000000000000001E-3</v>
      </c>
      <c r="O6510" s="508">
        <v>7.0000000000000001E-3</v>
      </c>
      <c r="P6510" s="508">
        <v>7.0000000000000001E-3</v>
      </c>
      <c r="Q6510" s="508">
        <v>7.0000000000000001E-3</v>
      </c>
      <c r="R6510" s="508">
        <v>7.0000000000000001E-3</v>
      </c>
      <c r="S6510" s="508">
        <v>7.0000000000000001E-3</v>
      </c>
      <c r="T6510" s="508">
        <v>7.0000000000000001E-3</v>
      </c>
      <c r="U6510" s="508">
        <v>7.0000000000000001E-3</v>
      </c>
      <c r="V6510" s="508">
        <v>7.0000000000000001E-3</v>
      </c>
      <c r="W6510" s="508">
        <v>7.0000000000000001E-3</v>
      </c>
      <c r="X6510" s="508">
        <v>7.0000000000000001E-3</v>
      </c>
      <c r="Y6510" s="508">
        <v>7.0000000000000001E-3</v>
      </c>
      <c r="Z6510" s="508">
        <v>7.0000000000000001E-3</v>
      </c>
      <c r="AA6510" s="508">
        <v>7.0000000000000001E-3</v>
      </c>
      <c r="AB6510" s="508">
        <v>7.0000000000000001E-3</v>
      </c>
      <c r="AC6510" s="508">
        <v>7.0000000000000001E-3</v>
      </c>
      <c r="AD6510" s="508">
        <v>7.0000000000000001E-3</v>
      </c>
      <c r="AE6510" s="508">
        <v>7.0000000000000001E-3</v>
      </c>
      <c r="AF6510" s="508">
        <v>7.0000000000000001E-3</v>
      </c>
      <c r="AG6510" s="508">
        <v>7.0000000000000001E-3</v>
      </c>
      <c r="AH6510" s="508">
        <v>7.0000000000000001E-3</v>
      </c>
      <c r="AI6510" s="492">
        <v>7.0000000000000001E-3</v>
      </c>
      <c r="AJ6510" s="485"/>
    </row>
    <row r="6511" spans="2:36">
      <c r="B6511" s="136" t="s">
        <v>446</v>
      </c>
      <c r="C6511" s="132" t="s">
        <v>1368</v>
      </c>
      <c r="D6511" s="132" t="s">
        <v>1380</v>
      </c>
      <c r="E6511" s="508">
        <v>7.0000000000000001E-3</v>
      </c>
      <c r="F6511" s="508">
        <v>7.0000000000000001E-3</v>
      </c>
      <c r="G6511" s="508">
        <v>7.0000000000000001E-3</v>
      </c>
      <c r="H6511" s="508">
        <v>7.0000000000000001E-3</v>
      </c>
      <c r="I6511" s="508">
        <v>7.0000000000000001E-3</v>
      </c>
      <c r="J6511" s="508">
        <v>7.0000000000000001E-3</v>
      </c>
      <c r="K6511" s="508">
        <v>7.0000000000000001E-3</v>
      </c>
      <c r="L6511" s="508">
        <v>7.0000000000000001E-3</v>
      </c>
      <c r="M6511" s="508">
        <v>7.0000000000000001E-3</v>
      </c>
      <c r="N6511" s="508">
        <v>7.0000000000000001E-3</v>
      </c>
      <c r="O6511" s="508">
        <v>7.0000000000000001E-3</v>
      </c>
      <c r="P6511" s="508">
        <v>7.0000000000000001E-3</v>
      </c>
      <c r="Q6511" s="508">
        <v>7.0000000000000001E-3</v>
      </c>
      <c r="R6511" s="508">
        <v>7.0000000000000001E-3</v>
      </c>
      <c r="S6511" s="508">
        <v>7.0000000000000001E-3</v>
      </c>
      <c r="T6511" s="508">
        <v>7.0000000000000001E-3</v>
      </c>
      <c r="U6511" s="508">
        <v>7.0000000000000001E-3</v>
      </c>
      <c r="V6511" s="508">
        <v>7.0000000000000001E-3</v>
      </c>
      <c r="W6511" s="508">
        <v>7.0000000000000001E-3</v>
      </c>
      <c r="X6511" s="508">
        <v>7.0000000000000001E-3</v>
      </c>
      <c r="Y6511" s="508">
        <v>7.0000000000000001E-3</v>
      </c>
      <c r="Z6511" s="508">
        <v>7.0000000000000001E-3</v>
      </c>
      <c r="AA6511" s="508">
        <v>7.0000000000000001E-3</v>
      </c>
      <c r="AB6511" s="508">
        <v>7.0000000000000001E-3</v>
      </c>
      <c r="AC6511" s="508">
        <v>7.0000000000000001E-3</v>
      </c>
      <c r="AD6511" s="508">
        <v>7.0000000000000001E-3</v>
      </c>
      <c r="AE6511" s="508">
        <v>7.0000000000000001E-3</v>
      </c>
      <c r="AF6511" s="508">
        <v>7.0000000000000001E-3</v>
      </c>
      <c r="AG6511" s="508">
        <v>7.0000000000000001E-3</v>
      </c>
      <c r="AH6511" s="508">
        <v>7.0000000000000001E-3</v>
      </c>
      <c r="AI6511" s="492">
        <v>7.0000000000000001E-3</v>
      </c>
      <c r="AJ6511" s="485"/>
    </row>
    <row r="6512" spans="2:36">
      <c r="B6512" s="136" t="s">
        <v>448</v>
      </c>
      <c r="C6512" s="132" t="s">
        <v>1368</v>
      </c>
      <c r="D6512" s="132" t="s">
        <v>1380</v>
      </c>
      <c r="E6512" s="508">
        <v>5.0000000000000001E-3</v>
      </c>
      <c r="F6512" s="508">
        <v>5.0000000000000001E-3</v>
      </c>
      <c r="G6512" s="508">
        <v>5.0000000000000001E-3</v>
      </c>
      <c r="H6512" s="508">
        <v>5.0000000000000001E-3</v>
      </c>
      <c r="I6512" s="508">
        <v>5.0000000000000001E-3</v>
      </c>
      <c r="J6512" s="508">
        <v>5.0000000000000001E-3</v>
      </c>
      <c r="K6512" s="508">
        <v>5.0000000000000001E-3</v>
      </c>
      <c r="L6512" s="508">
        <v>5.0000000000000001E-3</v>
      </c>
      <c r="M6512" s="508">
        <v>5.0000000000000001E-3</v>
      </c>
      <c r="N6512" s="508">
        <v>5.0000000000000001E-3</v>
      </c>
      <c r="O6512" s="508">
        <v>5.0000000000000001E-3</v>
      </c>
      <c r="P6512" s="508">
        <v>5.0000000000000001E-3</v>
      </c>
      <c r="Q6512" s="508">
        <v>5.0000000000000001E-3</v>
      </c>
      <c r="R6512" s="508">
        <v>5.0000000000000001E-3</v>
      </c>
      <c r="S6512" s="508">
        <v>5.0000000000000001E-3</v>
      </c>
      <c r="T6512" s="508">
        <v>5.0000000000000001E-3</v>
      </c>
      <c r="U6512" s="508">
        <v>5.0000000000000001E-3</v>
      </c>
      <c r="V6512" s="508">
        <v>5.0000000000000001E-3</v>
      </c>
      <c r="W6512" s="508">
        <v>5.0000000000000001E-3</v>
      </c>
      <c r="X6512" s="508">
        <v>5.0000000000000001E-3</v>
      </c>
      <c r="Y6512" s="508">
        <v>5.0000000000000001E-3</v>
      </c>
      <c r="Z6512" s="508">
        <v>5.0000000000000001E-3</v>
      </c>
      <c r="AA6512" s="508">
        <v>5.0000000000000001E-3</v>
      </c>
      <c r="AB6512" s="508">
        <v>5.0000000000000001E-3</v>
      </c>
      <c r="AC6512" s="508">
        <v>5.0000000000000001E-3</v>
      </c>
      <c r="AD6512" s="508">
        <v>5.0000000000000001E-3</v>
      </c>
      <c r="AE6512" s="508">
        <v>5.0000000000000001E-3</v>
      </c>
      <c r="AF6512" s="508">
        <v>5.0000000000000001E-3</v>
      </c>
      <c r="AG6512" s="508">
        <v>5.0000000000000001E-3</v>
      </c>
      <c r="AH6512" s="508">
        <v>5.0000000000000001E-3</v>
      </c>
      <c r="AI6512" s="492">
        <v>5.0000000000000001E-3</v>
      </c>
      <c r="AJ6512" s="485"/>
    </row>
    <row r="6513" spans="2:36">
      <c r="B6513" s="136" t="s">
        <v>449</v>
      </c>
      <c r="C6513" s="132" t="s">
        <v>1368</v>
      </c>
      <c r="D6513" s="132" t="s">
        <v>1380</v>
      </c>
      <c r="E6513" s="508">
        <v>6.0000000000000001E-3</v>
      </c>
      <c r="F6513" s="508">
        <v>6.0000000000000001E-3</v>
      </c>
      <c r="G6513" s="508">
        <v>6.0000000000000001E-3</v>
      </c>
      <c r="H6513" s="508">
        <v>6.0000000000000001E-3</v>
      </c>
      <c r="I6513" s="508">
        <v>6.0000000000000001E-3</v>
      </c>
      <c r="J6513" s="508">
        <v>6.0000000000000001E-3</v>
      </c>
      <c r="K6513" s="508">
        <v>6.0000000000000001E-3</v>
      </c>
      <c r="L6513" s="508">
        <v>6.0000000000000001E-3</v>
      </c>
      <c r="M6513" s="508">
        <v>6.0000000000000001E-3</v>
      </c>
      <c r="N6513" s="508">
        <v>6.0000000000000001E-3</v>
      </c>
      <c r="O6513" s="508">
        <v>6.0000000000000001E-3</v>
      </c>
      <c r="P6513" s="508">
        <v>6.0000000000000001E-3</v>
      </c>
      <c r="Q6513" s="508">
        <v>6.0000000000000001E-3</v>
      </c>
      <c r="R6513" s="508">
        <v>6.0000000000000001E-3</v>
      </c>
      <c r="S6513" s="508">
        <v>6.0000000000000001E-3</v>
      </c>
      <c r="T6513" s="508">
        <v>6.0000000000000001E-3</v>
      </c>
      <c r="U6513" s="508">
        <v>6.0000000000000001E-3</v>
      </c>
      <c r="V6513" s="508">
        <v>6.0000000000000001E-3</v>
      </c>
      <c r="W6513" s="508">
        <v>6.0000000000000001E-3</v>
      </c>
      <c r="X6513" s="508">
        <v>6.0000000000000001E-3</v>
      </c>
      <c r="Y6513" s="508">
        <v>6.0000000000000001E-3</v>
      </c>
      <c r="Z6513" s="508">
        <v>6.0000000000000001E-3</v>
      </c>
      <c r="AA6513" s="508">
        <v>6.0000000000000001E-3</v>
      </c>
      <c r="AB6513" s="508">
        <v>6.0000000000000001E-3</v>
      </c>
      <c r="AC6513" s="508">
        <v>6.0000000000000001E-3</v>
      </c>
      <c r="AD6513" s="508">
        <v>6.0000000000000001E-3</v>
      </c>
      <c r="AE6513" s="508">
        <v>6.0000000000000001E-3</v>
      </c>
      <c r="AF6513" s="508">
        <v>6.0000000000000001E-3</v>
      </c>
      <c r="AG6513" s="508">
        <v>6.0000000000000001E-3</v>
      </c>
      <c r="AH6513" s="508">
        <v>6.0000000000000001E-3</v>
      </c>
      <c r="AI6513" s="492">
        <v>6.0000000000000001E-3</v>
      </c>
      <c r="AJ6513" s="485"/>
    </row>
    <row r="6514" spans="2:36">
      <c r="B6514" s="136" t="s">
        <v>450</v>
      </c>
      <c r="C6514" s="132" t="s">
        <v>1368</v>
      </c>
      <c r="D6514" s="132" t="s">
        <v>1380</v>
      </c>
      <c r="E6514" s="508">
        <v>4.0000000000000001E-3</v>
      </c>
      <c r="F6514" s="508">
        <v>4.0000000000000001E-3</v>
      </c>
      <c r="G6514" s="508">
        <v>4.0000000000000001E-3</v>
      </c>
      <c r="H6514" s="508">
        <v>4.0000000000000001E-3</v>
      </c>
      <c r="I6514" s="508">
        <v>4.0000000000000001E-3</v>
      </c>
      <c r="J6514" s="508">
        <v>4.0000000000000001E-3</v>
      </c>
      <c r="K6514" s="508">
        <v>4.0000000000000001E-3</v>
      </c>
      <c r="L6514" s="508">
        <v>5.0000000000000001E-3</v>
      </c>
      <c r="M6514" s="508">
        <v>5.0000000000000001E-3</v>
      </c>
      <c r="N6514" s="508">
        <v>4.0000000000000001E-3</v>
      </c>
      <c r="O6514" s="508">
        <v>4.0000000000000001E-3</v>
      </c>
      <c r="P6514" s="508">
        <v>5.0000000000000001E-3</v>
      </c>
      <c r="Q6514" s="508">
        <v>4.0000000000000001E-3</v>
      </c>
      <c r="R6514" s="508">
        <v>5.0000000000000001E-3</v>
      </c>
      <c r="S6514" s="508">
        <v>5.0000000000000001E-3</v>
      </c>
      <c r="T6514" s="508">
        <v>4.0000000000000001E-3</v>
      </c>
      <c r="U6514" s="508">
        <v>4.0000000000000001E-3</v>
      </c>
      <c r="V6514" s="508">
        <v>5.0000000000000001E-3</v>
      </c>
      <c r="W6514" s="508">
        <v>5.0000000000000001E-3</v>
      </c>
      <c r="X6514" s="508">
        <v>5.0000000000000001E-3</v>
      </c>
      <c r="Y6514" s="508">
        <v>5.0000000000000001E-3</v>
      </c>
      <c r="Z6514" s="508">
        <v>5.0000000000000001E-3</v>
      </c>
      <c r="AA6514" s="508">
        <v>5.0000000000000001E-3</v>
      </c>
      <c r="AB6514" s="508">
        <v>5.0000000000000001E-3</v>
      </c>
      <c r="AC6514" s="508">
        <v>5.0000000000000001E-3</v>
      </c>
      <c r="AD6514" s="508">
        <v>5.0000000000000001E-3</v>
      </c>
      <c r="AE6514" s="508">
        <v>5.0000000000000001E-3</v>
      </c>
      <c r="AF6514" s="508">
        <v>5.0000000000000001E-3</v>
      </c>
      <c r="AG6514" s="508">
        <v>5.0000000000000001E-3</v>
      </c>
      <c r="AH6514" s="508">
        <v>5.0000000000000001E-3</v>
      </c>
      <c r="AI6514" s="492">
        <v>5.0000000000000001E-3</v>
      </c>
      <c r="AJ6514" s="485"/>
    </row>
    <row r="6515" spans="2:36">
      <c r="B6515" s="136" t="s">
        <v>451</v>
      </c>
      <c r="C6515" s="132" t="s">
        <v>1368</v>
      </c>
      <c r="D6515" s="132" t="s">
        <v>1380</v>
      </c>
      <c r="E6515" s="508">
        <v>7.0000000000000001E-3</v>
      </c>
      <c r="F6515" s="508">
        <v>7.0000000000000001E-3</v>
      </c>
      <c r="G6515" s="508">
        <v>7.0000000000000001E-3</v>
      </c>
      <c r="H6515" s="508">
        <v>7.0000000000000001E-3</v>
      </c>
      <c r="I6515" s="508">
        <v>7.0000000000000001E-3</v>
      </c>
      <c r="J6515" s="508">
        <v>7.0000000000000001E-3</v>
      </c>
      <c r="K6515" s="508">
        <v>7.0000000000000001E-3</v>
      </c>
      <c r="L6515" s="508">
        <v>7.0000000000000001E-3</v>
      </c>
      <c r="M6515" s="508">
        <v>7.0000000000000001E-3</v>
      </c>
      <c r="N6515" s="508">
        <v>7.0000000000000001E-3</v>
      </c>
      <c r="O6515" s="508">
        <v>7.0000000000000001E-3</v>
      </c>
      <c r="P6515" s="508">
        <v>7.0000000000000001E-3</v>
      </c>
      <c r="Q6515" s="508">
        <v>7.0000000000000001E-3</v>
      </c>
      <c r="R6515" s="508">
        <v>7.0000000000000001E-3</v>
      </c>
      <c r="S6515" s="508">
        <v>7.0000000000000001E-3</v>
      </c>
      <c r="T6515" s="508">
        <v>7.0000000000000001E-3</v>
      </c>
      <c r="U6515" s="508">
        <v>7.0000000000000001E-3</v>
      </c>
      <c r="V6515" s="508">
        <v>7.0000000000000001E-3</v>
      </c>
      <c r="W6515" s="508">
        <v>7.0000000000000001E-3</v>
      </c>
      <c r="X6515" s="508">
        <v>7.0000000000000001E-3</v>
      </c>
      <c r="Y6515" s="508">
        <v>7.0000000000000001E-3</v>
      </c>
      <c r="Z6515" s="508">
        <v>7.0000000000000001E-3</v>
      </c>
      <c r="AA6515" s="508">
        <v>7.0000000000000001E-3</v>
      </c>
      <c r="AB6515" s="508">
        <v>7.0000000000000001E-3</v>
      </c>
      <c r="AC6515" s="508">
        <v>7.0000000000000001E-3</v>
      </c>
      <c r="AD6515" s="508">
        <v>7.0000000000000001E-3</v>
      </c>
      <c r="AE6515" s="508">
        <v>7.0000000000000001E-3</v>
      </c>
      <c r="AF6515" s="508">
        <v>7.0000000000000001E-3</v>
      </c>
      <c r="AG6515" s="508">
        <v>7.0000000000000001E-3</v>
      </c>
      <c r="AH6515" s="508">
        <v>7.0000000000000001E-3</v>
      </c>
      <c r="AI6515" s="492">
        <v>7.0000000000000001E-3</v>
      </c>
      <c r="AJ6515" s="485"/>
    </row>
    <row r="6516" spans="2:36">
      <c r="B6516" s="136" t="s">
        <v>452</v>
      </c>
      <c r="C6516" s="132" t="s">
        <v>1368</v>
      </c>
      <c r="D6516" s="132" t="s">
        <v>1380</v>
      </c>
      <c r="E6516" s="508">
        <v>6.0000000000000001E-3</v>
      </c>
      <c r="F6516" s="508">
        <v>6.0000000000000001E-3</v>
      </c>
      <c r="G6516" s="508">
        <v>6.0000000000000001E-3</v>
      </c>
      <c r="H6516" s="508">
        <v>6.0000000000000001E-3</v>
      </c>
      <c r="I6516" s="508">
        <v>6.0000000000000001E-3</v>
      </c>
      <c r="J6516" s="508">
        <v>6.0000000000000001E-3</v>
      </c>
      <c r="K6516" s="508">
        <v>6.0000000000000001E-3</v>
      </c>
      <c r="L6516" s="508">
        <v>6.0000000000000001E-3</v>
      </c>
      <c r="M6516" s="508">
        <v>6.0000000000000001E-3</v>
      </c>
      <c r="N6516" s="508">
        <v>6.0000000000000001E-3</v>
      </c>
      <c r="O6516" s="508">
        <v>6.0000000000000001E-3</v>
      </c>
      <c r="P6516" s="508">
        <v>6.0000000000000001E-3</v>
      </c>
      <c r="Q6516" s="508">
        <v>6.0000000000000001E-3</v>
      </c>
      <c r="R6516" s="508">
        <v>6.0000000000000001E-3</v>
      </c>
      <c r="S6516" s="508">
        <v>6.0000000000000001E-3</v>
      </c>
      <c r="T6516" s="508">
        <v>6.0000000000000001E-3</v>
      </c>
      <c r="U6516" s="508">
        <v>6.0000000000000001E-3</v>
      </c>
      <c r="V6516" s="508">
        <v>6.0000000000000001E-3</v>
      </c>
      <c r="W6516" s="508">
        <v>6.0000000000000001E-3</v>
      </c>
      <c r="X6516" s="508">
        <v>6.0000000000000001E-3</v>
      </c>
      <c r="Y6516" s="508">
        <v>6.0000000000000001E-3</v>
      </c>
      <c r="Z6516" s="508">
        <v>6.0000000000000001E-3</v>
      </c>
      <c r="AA6516" s="508">
        <v>6.0000000000000001E-3</v>
      </c>
      <c r="AB6516" s="508">
        <v>6.0000000000000001E-3</v>
      </c>
      <c r="AC6516" s="508">
        <v>6.0000000000000001E-3</v>
      </c>
      <c r="AD6516" s="508">
        <v>6.0000000000000001E-3</v>
      </c>
      <c r="AE6516" s="508">
        <v>6.0000000000000001E-3</v>
      </c>
      <c r="AF6516" s="508">
        <v>6.0000000000000001E-3</v>
      </c>
      <c r="AG6516" s="508">
        <v>6.0000000000000001E-3</v>
      </c>
      <c r="AH6516" s="508">
        <v>6.0000000000000001E-3</v>
      </c>
      <c r="AI6516" s="492">
        <v>6.0000000000000001E-3</v>
      </c>
      <c r="AJ6516" s="485"/>
    </row>
    <row r="6517" spans="2:36">
      <c r="B6517" s="136" t="s">
        <v>453</v>
      </c>
      <c r="C6517" s="132" t="s">
        <v>1368</v>
      </c>
      <c r="D6517" s="132" t="s">
        <v>1380</v>
      </c>
      <c r="E6517" s="508">
        <v>5.0000000000000001E-3</v>
      </c>
      <c r="F6517" s="508">
        <v>5.0000000000000001E-3</v>
      </c>
      <c r="G6517" s="508">
        <v>5.0000000000000001E-3</v>
      </c>
      <c r="H6517" s="508">
        <v>5.0000000000000001E-3</v>
      </c>
      <c r="I6517" s="508">
        <v>5.0000000000000001E-3</v>
      </c>
      <c r="J6517" s="508">
        <v>5.0000000000000001E-3</v>
      </c>
      <c r="K6517" s="508">
        <v>5.0000000000000001E-3</v>
      </c>
      <c r="L6517" s="508">
        <v>5.0000000000000001E-3</v>
      </c>
      <c r="M6517" s="508">
        <v>5.0000000000000001E-3</v>
      </c>
      <c r="N6517" s="508">
        <v>5.0000000000000001E-3</v>
      </c>
      <c r="O6517" s="508">
        <v>5.0000000000000001E-3</v>
      </c>
      <c r="P6517" s="508">
        <v>5.0000000000000001E-3</v>
      </c>
      <c r="Q6517" s="508">
        <v>5.0000000000000001E-3</v>
      </c>
      <c r="R6517" s="508">
        <v>5.0000000000000001E-3</v>
      </c>
      <c r="S6517" s="508">
        <v>5.0000000000000001E-3</v>
      </c>
      <c r="T6517" s="508">
        <v>5.0000000000000001E-3</v>
      </c>
      <c r="U6517" s="508">
        <v>5.0000000000000001E-3</v>
      </c>
      <c r="V6517" s="508">
        <v>5.0000000000000001E-3</v>
      </c>
      <c r="W6517" s="508">
        <v>5.0000000000000001E-3</v>
      </c>
      <c r="X6517" s="508">
        <v>5.0000000000000001E-3</v>
      </c>
      <c r="Y6517" s="508">
        <v>5.0000000000000001E-3</v>
      </c>
      <c r="Z6517" s="508">
        <v>5.0000000000000001E-3</v>
      </c>
      <c r="AA6517" s="508">
        <v>5.0000000000000001E-3</v>
      </c>
      <c r="AB6517" s="508">
        <v>5.0000000000000001E-3</v>
      </c>
      <c r="AC6517" s="508">
        <v>5.0000000000000001E-3</v>
      </c>
      <c r="AD6517" s="508">
        <v>5.0000000000000001E-3</v>
      </c>
      <c r="AE6517" s="508">
        <v>5.0000000000000001E-3</v>
      </c>
      <c r="AF6517" s="508">
        <v>5.0000000000000001E-3</v>
      </c>
      <c r="AG6517" s="508">
        <v>5.0000000000000001E-3</v>
      </c>
      <c r="AH6517" s="508">
        <v>5.0000000000000001E-3</v>
      </c>
      <c r="AI6517" s="492">
        <v>5.0000000000000001E-3</v>
      </c>
      <c r="AJ6517" s="485"/>
    </row>
    <row r="6518" spans="2:36">
      <c r="B6518" s="136" t="s">
        <v>454</v>
      </c>
      <c r="C6518" s="132" t="s">
        <v>1368</v>
      </c>
      <c r="D6518" s="132" t="s">
        <v>1380</v>
      </c>
      <c r="E6518" s="508">
        <v>5.0000000000000001E-3</v>
      </c>
      <c r="F6518" s="508">
        <v>5.0000000000000001E-3</v>
      </c>
      <c r="G6518" s="508">
        <v>5.0000000000000001E-3</v>
      </c>
      <c r="H6518" s="508">
        <v>5.0000000000000001E-3</v>
      </c>
      <c r="I6518" s="508">
        <v>5.0000000000000001E-3</v>
      </c>
      <c r="J6518" s="508">
        <v>5.0000000000000001E-3</v>
      </c>
      <c r="K6518" s="508">
        <v>5.0000000000000001E-3</v>
      </c>
      <c r="L6518" s="508">
        <v>5.0000000000000001E-3</v>
      </c>
      <c r="M6518" s="508">
        <v>5.0000000000000001E-3</v>
      </c>
      <c r="N6518" s="508">
        <v>5.0000000000000001E-3</v>
      </c>
      <c r="O6518" s="508">
        <v>5.0000000000000001E-3</v>
      </c>
      <c r="P6518" s="508">
        <v>5.0000000000000001E-3</v>
      </c>
      <c r="Q6518" s="508">
        <v>5.0000000000000001E-3</v>
      </c>
      <c r="R6518" s="508">
        <v>5.0000000000000001E-3</v>
      </c>
      <c r="S6518" s="508">
        <v>5.0000000000000001E-3</v>
      </c>
      <c r="T6518" s="508">
        <v>5.0000000000000001E-3</v>
      </c>
      <c r="U6518" s="508">
        <v>5.0000000000000001E-3</v>
      </c>
      <c r="V6518" s="508">
        <v>5.0000000000000001E-3</v>
      </c>
      <c r="W6518" s="508">
        <v>5.0000000000000001E-3</v>
      </c>
      <c r="X6518" s="508">
        <v>5.0000000000000001E-3</v>
      </c>
      <c r="Y6518" s="508">
        <v>5.0000000000000001E-3</v>
      </c>
      <c r="Z6518" s="508">
        <v>5.0000000000000001E-3</v>
      </c>
      <c r="AA6518" s="508">
        <v>5.0000000000000001E-3</v>
      </c>
      <c r="AB6518" s="508">
        <v>5.0000000000000001E-3</v>
      </c>
      <c r="AC6518" s="508">
        <v>5.0000000000000001E-3</v>
      </c>
      <c r="AD6518" s="508">
        <v>5.0000000000000001E-3</v>
      </c>
      <c r="AE6518" s="508">
        <v>5.0000000000000001E-3</v>
      </c>
      <c r="AF6518" s="508">
        <v>5.0000000000000001E-3</v>
      </c>
      <c r="AG6518" s="508">
        <v>5.0000000000000001E-3</v>
      </c>
      <c r="AH6518" s="508">
        <v>5.0000000000000001E-3</v>
      </c>
      <c r="AI6518" s="492">
        <v>5.0000000000000001E-3</v>
      </c>
      <c r="AJ6518" s="485"/>
    </row>
    <row r="6519" spans="2:36">
      <c r="B6519" s="136" t="s">
        <v>455</v>
      </c>
      <c r="C6519" s="132" t="s">
        <v>1368</v>
      </c>
      <c r="D6519" s="132" t="s">
        <v>1380</v>
      </c>
      <c r="E6519" s="508">
        <v>5.0000000000000001E-3</v>
      </c>
      <c r="F6519" s="508">
        <v>5.0000000000000001E-3</v>
      </c>
      <c r="G6519" s="508">
        <v>5.0000000000000001E-3</v>
      </c>
      <c r="H6519" s="508">
        <v>5.0000000000000001E-3</v>
      </c>
      <c r="I6519" s="508">
        <v>5.0000000000000001E-3</v>
      </c>
      <c r="J6519" s="508">
        <v>5.0000000000000001E-3</v>
      </c>
      <c r="K6519" s="508">
        <v>5.0000000000000001E-3</v>
      </c>
      <c r="L6519" s="508">
        <v>5.0000000000000001E-3</v>
      </c>
      <c r="M6519" s="508">
        <v>5.0000000000000001E-3</v>
      </c>
      <c r="N6519" s="508">
        <v>5.0000000000000001E-3</v>
      </c>
      <c r="O6519" s="508">
        <v>5.0000000000000001E-3</v>
      </c>
      <c r="P6519" s="508">
        <v>5.0000000000000001E-3</v>
      </c>
      <c r="Q6519" s="508">
        <v>5.0000000000000001E-3</v>
      </c>
      <c r="R6519" s="508">
        <v>5.0000000000000001E-3</v>
      </c>
      <c r="S6519" s="508">
        <v>5.0000000000000001E-3</v>
      </c>
      <c r="T6519" s="508">
        <v>5.0000000000000001E-3</v>
      </c>
      <c r="U6519" s="508">
        <v>5.0000000000000001E-3</v>
      </c>
      <c r="V6519" s="508">
        <v>5.0000000000000001E-3</v>
      </c>
      <c r="W6519" s="508">
        <v>5.0000000000000001E-3</v>
      </c>
      <c r="X6519" s="508">
        <v>5.0000000000000001E-3</v>
      </c>
      <c r="Y6519" s="508">
        <v>5.0000000000000001E-3</v>
      </c>
      <c r="Z6519" s="508">
        <v>5.0000000000000001E-3</v>
      </c>
      <c r="AA6519" s="508">
        <v>5.0000000000000001E-3</v>
      </c>
      <c r="AB6519" s="508">
        <v>5.0000000000000001E-3</v>
      </c>
      <c r="AC6519" s="508">
        <v>5.0000000000000001E-3</v>
      </c>
      <c r="AD6519" s="508">
        <v>5.0000000000000001E-3</v>
      </c>
      <c r="AE6519" s="508">
        <v>5.0000000000000001E-3</v>
      </c>
      <c r="AF6519" s="508">
        <v>5.0000000000000001E-3</v>
      </c>
      <c r="AG6519" s="508">
        <v>5.0000000000000001E-3</v>
      </c>
      <c r="AH6519" s="508">
        <v>5.0000000000000001E-3</v>
      </c>
      <c r="AI6519" s="492">
        <v>5.0000000000000001E-3</v>
      </c>
      <c r="AJ6519" s="485"/>
    </row>
    <row r="6520" spans="2:36">
      <c r="B6520" s="136" t="s">
        <v>456</v>
      </c>
      <c r="C6520" s="132" t="s">
        <v>1368</v>
      </c>
      <c r="D6520" s="132" t="s">
        <v>1380</v>
      </c>
      <c r="E6520" s="508">
        <v>6.0000000000000001E-3</v>
      </c>
      <c r="F6520" s="508">
        <v>6.0000000000000001E-3</v>
      </c>
      <c r="G6520" s="508">
        <v>6.0000000000000001E-3</v>
      </c>
      <c r="H6520" s="508">
        <v>5.0000000000000001E-3</v>
      </c>
      <c r="I6520" s="508">
        <v>5.0000000000000001E-3</v>
      </c>
      <c r="J6520" s="508">
        <v>5.0000000000000001E-3</v>
      </c>
      <c r="K6520" s="508">
        <v>5.0000000000000001E-3</v>
      </c>
      <c r="L6520" s="508">
        <v>6.0000000000000001E-3</v>
      </c>
      <c r="M6520" s="508">
        <v>6.0000000000000001E-3</v>
      </c>
      <c r="N6520" s="508">
        <v>5.0000000000000001E-3</v>
      </c>
      <c r="O6520" s="508">
        <v>6.0000000000000001E-3</v>
      </c>
      <c r="P6520" s="508">
        <v>6.0000000000000001E-3</v>
      </c>
      <c r="Q6520" s="508">
        <v>6.0000000000000001E-3</v>
      </c>
      <c r="R6520" s="508">
        <v>6.0000000000000001E-3</v>
      </c>
      <c r="S6520" s="508">
        <v>6.0000000000000001E-3</v>
      </c>
      <c r="T6520" s="508">
        <v>6.0000000000000001E-3</v>
      </c>
      <c r="U6520" s="508">
        <v>6.0000000000000001E-3</v>
      </c>
      <c r="V6520" s="508">
        <v>6.0000000000000001E-3</v>
      </c>
      <c r="W6520" s="508">
        <v>6.0000000000000001E-3</v>
      </c>
      <c r="X6520" s="508">
        <v>6.0000000000000001E-3</v>
      </c>
      <c r="Y6520" s="508">
        <v>6.0000000000000001E-3</v>
      </c>
      <c r="Z6520" s="508">
        <v>6.0000000000000001E-3</v>
      </c>
      <c r="AA6520" s="508">
        <v>6.0000000000000001E-3</v>
      </c>
      <c r="AB6520" s="508">
        <v>6.0000000000000001E-3</v>
      </c>
      <c r="AC6520" s="508">
        <v>6.0000000000000001E-3</v>
      </c>
      <c r="AD6520" s="508">
        <v>6.0000000000000001E-3</v>
      </c>
      <c r="AE6520" s="508">
        <v>6.0000000000000001E-3</v>
      </c>
      <c r="AF6520" s="508">
        <v>6.0000000000000001E-3</v>
      </c>
      <c r="AG6520" s="508">
        <v>6.0000000000000001E-3</v>
      </c>
      <c r="AH6520" s="508">
        <v>6.0000000000000001E-3</v>
      </c>
      <c r="AI6520" s="492">
        <v>6.0000000000000001E-3</v>
      </c>
      <c r="AJ6520" s="485"/>
    </row>
    <row r="6521" spans="2:36">
      <c r="B6521" s="136" t="s">
        <v>457</v>
      </c>
      <c r="C6521" s="132" t="s">
        <v>1368</v>
      </c>
      <c r="D6521" s="132" t="s">
        <v>1380</v>
      </c>
      <c r="E6521" s="508">
        <v>5.0000000000000001E-3</v>
      </c>
      <c r="F6521" s="508">
        <v>5.0000000000000001E-3</v>
      </c>
      <c r="G6521" s="508">
        <v>5.0000000000000001E-3</v>
      </c>
      <c r="H6521" s="508">
        <v>5.0000000000000001E-3</v>
      </c>
      <c r="I6521" s="508">
        <v>5.0000000000000001E-3</v>
      </c>
      <c r="J6521" s="508">
        <v>5.0000000000000001E-3</v>
      </c>
      <c r="K6521" s="508">
        <v>5.0000000000000001E-3</v>
      </c>
      <c r="L6521" s="508">
        <v>5.0000000000000001E-3</v>
      </c>
      <c r="M6521" s="508">
        <v>5.0000000000000001E-3</v>
      </c>
      <c r="N6521" s="508">
        <v>5.0000000000000001E-3</v>
      </c>
      <c r="O6521" s="508">
        <v>5.0000000000000001E-3</v>
      </c>
      <c r="P6521" s="508">
        <v>5.0000000000000001E-3</v>
      </c>
      <c r="Q6521" s="508">
        <v>5.0000000000000001E-3</v>
      </c>
      <c r="R6521" s="508">
        <v>5.0000000000000001E-3</v>
      </c>
      <c r="S6521" s="508">
        <v>5.0000000000000001E-3</v>
      </c>
      <c r="T6521" s="508">
        <v>5.0000000000000001E-3</v>
      </c>
      <c r="U6521" s="508">
        <v>5.0000000000000001E-3</v>
      </c>
      <c r="V6521" s="508">
        <v>5.0000000000000001E-3</v>
      </c>
      <c r="W6521" s="508">
        <v>5.0000000000000001E-3</v>
      </c>
      <c r="X6521" s="508">
        <v>5.0000000000000001E-3</v>
      </c>
      <c r="Y6521" s="508">
        <v>5.0000000000000001E-3</v>
      </c>
      <c r="Z6521" s="508">
        <v>5.0000000000000001E-3</v>
      </c>
      <c r="AA6521" s="508">
        <v>5.0000000000000001E-3</v>
      </c>
      <c r="AB6521" s="508">
        <v>5.0000000000000001E-3</v>
      </c>
      <c r="AC6521" s="508">
        <v>5.0000000000000001E-3</v>
      </c>
      <c r="AD6521" s="508">
        <v>5.0000000000000001E-3</v>
      </c>
      <c r="AE6521" s="508">
        <v>5.0000000000000001E-3</v>
      </c>
      <c r="AF6521" s="508">
        <v>5.0000000000000001E-3</v>
      </c>
      <c r="AG6521" s="508">
        <v>5.0000000000000001E-3</v>
      </c>
      <c r="AH6521" s="508">
        <v>5.0000000000000001E-3</v>
      </c>
      <c r="AI6521" s="492">
        <v>5.0000000000000001E-3</v>
      </c>
      <c r="AJ6521" s="485"/>
    </row>
    <row r="6522" spans="2:36">
      <c r="B6522" s="136" t="s">
        <v>458</v>
      </c>
      <c r="C6522" s="132" t="s">
        <v>1368</v>
      </c>
      <c r="D6522" s="132" t="s">
        <v>1380</v>
      </c>
      <c r="E6522" s="508">
        <v>6.0000000000000001E-3</v>
      </c>
      <c r="F6522" s="508">
        <v>6.0000000000000001E-3</v>
      </c>
      <c r="G6522" s="508">
        <v>5.0000000000000001E-3</v>
      </c>
      <c r="H6522" s="508">
        <v>5.0000000000000001E-3</v>
      </c>
      <c r="I6522" s="508">
        <v>5.0000000000000001E-3</v>
      </c>
      <c r="J6522" s="508">
        <v>5.0000000000000001E-3</v>
      </c>
      <c r="K6522" s="508">
        <v>5.0000000000000001E-3</v>
      </c>
      <c r="L6522" s="508">
        <v>6.0000000000000001E-3</v>
      </c>
      <c r="M6522" s="508">
        <v>6.0000000000000001E-3</v>
      </c>
      <c r="N6522" s="508">
        <v>5.0000000000000001E-3</v>
      </c>
      <c r="O6522" s="508">
        <v>5.0000000000000001E-3</v>
      </c>
      <c r="P6522" s="508">
        <v>6.0000000000000001E-3</v>
      </c>
      <c r="Q6522" s="508">
        <v>6.0000000000000001E-3</v>
      </c>
      <c r="R6522" s="508">
        <v>6.0000000000000001E-3</v>
      </c>
      <c r="S6522" s="508">
        <v>6.0000000000000001E-3</v>
      </c>
      <c r="T6522" s="508">
        <v>6.0000000000000001E-3</v>
      </c>
      <c r="U6522" s="508">
        <v>6.0000000000000001E-3</v>
      </c>
      <c r="V6522" s="508">
        <v>6.0000000000000001E-3</v>
      </c>
      <c r="W6522" s="508">
        <v>6.0000000000000001E-3</v>
      </c>
      <c r="X6522" s="508">
        <v>6.0000000000000001E-3</v>
      </c>
      <c r="Y6522" s="508">
        <v>6.0000000000000001E-3</v>
      </c>
      <c r="Z6522" s="508">
        <v>6.0000000000000001E-3</v>
      </c>
      <c r="AA6522" s="508">
        <v>6.0000000000000001E-3</v>
      </c>
      <c r="AB6522" s="508">
        <v>6.0000000000000001E-3</v>
      </c>
      <c r="AC6522" s="508">
        <v>6.0000000000000001E-3</v>
      </c>
      <c r="AD6522" s="508">
        <v>6.0000000000000001E-3</v>
      </c>
      <c r="AE6522" s="508">
        <v>6.0000000000000001E-3</v>
      </c>
      <c r="AF6522" s="508">
        <v>6.0000000000000001E-3</v>
      </c>
      <c r="AG6522" s="508">
        <v>6.0000000000000001E-3</v>
      </c>
      <c r="AH6522" s="508">
        <v>6.0000000000000001E-3</v>
      </c>
      <c r="AI6522" s="492">
        <v>6.0000000000000001E-3</v>
      </c>
      <c r="AJ6522" s="485"/>
    </row>
    <row r="6523" spans="2:36">
      <c r="B6523" s="136" t="s">
        <v>459</v>
      </c>
      <c r="C6523" s="132" t="s">
        <v>1368</v>
      </c>
      <c r="D6523" s="132" t="s">
        <v>1380</v>
      </c>
      <c r="E6523" s="508">
        <v>6.0000000000000001E-3</v>
      </c>
      <c r="F6523" s="508">
        <v>6.0000000000000001E-3</v>
      </c>
      <c r="G6523" s="508">
        <v>5.0000000000000001E-3</v>
      </c>
      <c r="H6523" s="508">
        <v>5.0000000000000001E-3</v>
      </c>
      <c r="I6523" s="508">
        <v>5.0000000000000001E-3</v>
      </c>
      <c r="J6523" s="508">
        <v>5.0000000000000001E-3</v>
      </c>
      <c r="K6523" s="508">
        <v>5.0000000000000001E-3</v>
      </c>
      <c r="L6523" s="508">
        <v>6.0000000000000001E-3</v>
      </c>
      <c r="M6523" s="508">
        <v>6.0000000000000001E-3</v>
      </c>
      <c r="N6523" s="508">
        <v>5.0000000000000001E-3</v>
      </c>
      <c r="O6523" s="508">
        <v>6.0000000000000001E-3</v>
      </c>
      <c r="P6523" s="508">
        <v>6.0000000000000001E-3</v>
      </c>
      <c r="Q6523" s="508">
        <v>6.0000000000000001E-3</v>
      </c>
      <c r="R6523" s="508">
        <v>6.0000000000000001E-3</v>
      </c>
      <c r="S6523" s="508">
        <v>6.0000000000000001E-3</v>
      </c>
      <c r="T6523" s="508">
        <v>6.0000000000000001E-3</v>
      </c>
      <c r="U6523" s="508">
        <v>6.0000000000000001E-3</v>
      </c>
      <c r="V6523" s="508">
        <v>6.0000000000000001E-3</v>
      </c>
      <c r="W6523" s="508">
        <v>6.0000000000000001E-3</v>
      </c>
      <c r="X6523" s="508">
        <v>6.0000000000000001E-3</v>
      </c>
      <c r="Y6523" s="508">
        <v>6.0000000000000001E-3</v>
      </c>
      <c r="Z6523" s="508">
        <v>6.0000000000000001E-3</v>
      </c>
      <c r="AA6523" s="508">
        <v>6.0000000000000001E-3</v>
      </c>
      <c r="AB6523" s="508">
        <v>6.0000000000000001E-3</v>
      </c>
      <c r="AC6523" s="508">
        <v>6.0000000000000001E-3</v>
      </c>
      <c r="AD6523" s="508">
        <v>6.0000000000000001E-3</v>
      </c>
      <c r="AE6523" s="508">
        <v>6.0000000000000001E-3</v>
      </c>
      <c r="AF6523" s="508">
        <v>6.0000000000000001E-3</v>
      </c>
      <c r="AG6523" s="508">
        <v>6.0000000000000001E-3</v>
      </c>
      <c r="AH6523" s="508">
        <v>6.0000000000000001E-3</v>
      </c>
      <c r="AI6523" s="492">
        <v>6.0000000000000001E-3</v>
      </c>
      <c r="AJ6523" s="485"/>
    </row>
    <row r="6524" spans="2:36">
      <c r="B6524" s="136" t="s">
        <v>460</v>
      </c>
      <c r="C6524" s="132" t="s">
        <v>1368</v>
      </c>
      <c r="D6524" s="132" t="s">
        <v>1380</v>
      </c>
      <c r="E6524" s="508">
        <v>6.0000000000000001E-3</v>
      </c>
      <c r="F6524" s="508">
        <v>6.0000000000000001E-3</v>
      </c>
      <c r="G6524" s="508">
        <v>6.0000000000000001E-3</v>
      </c>
      <c r="H6524" s="508">
        <v>6.0000000000000001E-3</v>
      </c>
      <c r="I6524" s="508">
        <v>6.0000000000000001E-3</v>
      </c>
      <c r="J6524" s="508">
        <v>6.0000000000000001E-3</v>
      </c>
      <c r="K6524" s="508">
        <v>6.0000000000000001E-3</v>
      </c>
      <c r="L6524" s="508">
        <v>6.0000000000000001E-3</v>
      </c>
      <c r="M6524" s="508">
        <v>6.0000000000000001E-3</v>
      </c>
      <c r="N6524" s="508">
        <v>6.0000000000000001E-3</v>
      </c>
      <c r="O6524" s="508">
        <v>6.0000000000000001E-3</v>
      </c>
      <c r="P6524" s="508">
        <v>6.0000000000000001E-3</v>
      </c>
      <c r="Q6524" s="508">
        <v>6.0000000000000001E-3</v>
      </c>
      <c r="R6524" s="508">
        <v>6.0000000000000001E-3</v>
      </c>
      <c r="S6524" s="508">
        <v>6.0000000000000001E-3</v>
      </c>
      <c r="T6524" s="508">
        <v>6.0000000000000001E-3</v>
      </c>
      <c r="U6524" s="508">
        <v>6.0000000000000001E-3</v>
      </c>
      <c r="V6524" s="508">
        <v>6.0000000000000001E-3</v>
      </c>
      <c r="W6524" s="508">
        <v>6.0000000000000001E-3</v>
      </c>
      <c r="X6524" s="508">
        <v>6.0000000000000001E-3</v>
      </c>
      <c r="Y6524" s="508">
        <v>6.0000000000000001E-3</v>
      </c>
      <c r="Z6524" s="508">
        <v>6.0000000000000001E-3</v>
      </c>
      <c r="AA6524" s="508">
        <v>6.0000000000000001E-3</v>
      </c>
      <c r="AB6524" s="508">
        <v>6.0000000000000001E-3</v>
      </c>
      <c r="AC6524" s="508">
        <v>6.0000000000000001E-3</v>
      </c>
      <c r="AD6524" s="508">
        <v>6.0000000000000001E-3</v>
      </c>
      <c r="AE6524" s="508">
        <v>6.0000000000000001E-3</v>
      </c>
      <c r="AF6524" s="508">
        <v>6.0000000000000001E-3</v>
      </c>
      <c r="AG6524" s="508">
        <v>6.0000000000000001E-3</v>
      </c>
      <c r="AH6524" s="508">
        <v>6.0000000000000001E-3</v>
      </c>
      <c r="AI6524" s="492">
        <v>6.0000000000000001E-3</v>
      </c>
      <c r="AJ6524" s="485"/>
    </row>
    <row r="6525" spans="2:36">
      <c r="B6525" s="136" t="s">
        <v>461</v>
      </c>
      <c r="C6525" s="132" t="s">
        <v>1368</v>
      </c>
      <c r="D6525" s="132" t="s">
        <v>1380</v>
      </c>
      <c r="E6525" s="508">
        <v>5.0000000000000001E-3</v>
      </c>
      <c r="F6525" s="508">
        <v>5.0000000000000001E-3</v>
      </c>
      <c r="G6525" s="508">
        <v>5.0000000000000001E-3</v>
      </c>
      <c r="H6525" s="508">
        <v>5.0000000000000001E-3</v>
      </c>
      <c r="I6525" s="508">
        <v>5.0000000000000001E-3</v>
      </c>
      <c r="J6525" s="508">
        <v>5.0000000000000001E-3</v>
      </c>
      <c r="K6525" s="508">
        <v>5.0000000000000001E-3</v>
      </c>
      <c r="L6525" s="508">
        <v>5.0000000000000001E-3</v>
      </c>
      <c r="M6525" s="508">
        <v>5.0000000000000001E-3</v>
      </c>
      <c r="N6525" s="508">
        <v>5.0000000000000001E-3</v>
      </c>
      <c r="O6525" s="508">
        <v>5.0000000000000001E-3</v>
      </c>
      <c r="P6525" s="508">
        <v>5.0000000000000001E-3</v>
      </c>
      <c r="Q6525" s="508">
        <v>5.0000000000000001E-3</v>
      </c>
      <c r="R6525" s="508">
        <v>5.0000000000000001E-3</v>
      </c>
      <c r="S6525" s="508">
        <v>5.0000000000000001E-3</v>
      </c>
      <c r="T6525" s="508">
        <v>5.0000000000000001E-3</v>
      </c>
      <c r="U6525" s="508">
        <v>5.0000000000000001E-3</v>
      </c>
      <c r="V6525" s="508">
        <v>5.0000000000000001E-3</v>
      </c>
      <c r="W6525" s="508">
        <v>5.0000000000000001E-3</v>
      </c>
      <c r="X6525" s="508">
        <v>5.0000000000000001E-3</v>
      </c>
      <c r="Y6525" s="508">
        <v>5.0000000000000001E-3</v>
      </c>
      <c r="Z6525" s="508">
        <v>5.0000000000000001E-3</v>
      </c>
      <c r="AA6525" s="508">
        <v>5.0000000000000001E-3</v>
      </c>
      <c r="AB6525" s="508">
        <v>5.0000000000000001E-3</v>
      </c>
      <c r="AC6525" s="508">
        <v>5.0000000000000001E-3</v>
      </c>
      <c r="AD6525" s="508">
        <v>5.0000000000000001E-3</v>
      </c>
      <c r="AE6525" s="508">
        <v>5.0000000000000001E-3</v>
      </c>
      <c r="AF6525" s="508">
        <v>5.0000000000000001E-3</v>
      </c>
      <c r="AG6525" s="508">
        <v>5.0000000000000001E-3</v>
      </c>
      <c r="AH6525" s="508">
        <v>5.0000000000000001E-3</v>
      </c>
      <c r="AI6525" s="492">
        <v>5.0000000000000001E-3</v>
      </c>
      <c r="AJ6525" s="485"/>
    </row>
    <row r="6526" spans="2:36">
      <c r="B6526" s="136" t="s">
        <v>462</v>
      </c>
      <c r="C6526" s="132" t="s">
        <v>1368</v>
      </c>
      <c r="D6526" s="132" t="s">
        <v>1380</v>
      </c>
      <c r="E6526" s="508">
        <v>5.0000000000000001E-3</v>
      </c>
      <c r="F6526" s="508">
        <v>5.0000000000000001E-3</v>
      </c>
      <c r="G6526" s="508">
        <v>5.0000000000000001E-3</v>
      </c>
      <c r="H6526" s="508">
        <v>5.0000000000000001E-3</v>
      </c>
      <c r="I6526" s="508">
        <v>5.0000000000000001E-3</v>
      </c>
      <c r="J6526" s="508">
        <v>5.0000000000000001E-3</v>
      </c>
      <c r="K6526" s="508">
        <v>5.0000000000000001E-3</v>
      </c>
      <c r="L6526" s="508">
        <v>5.0000000000000001E-3</v>
      </c>
      <c r="M6526" s="508">
        <v>5.0000000000000001E-3</v>
      </c>
      <c r="N6526" s="508">
        <v>5.0000000000000001E-3</v>
      </c>
      <c r="O6526" s="508">
        <v>5.0000000000000001E-3</v>
      </c>
      <c r="P6526" s="508">
        <v>5.0000000000000001E-3</v>
      </c>
      <c r="Q6526" s="508">
        <v>5.0000000000000001E-3</v>
      </c>
      <c r="R6526" s="508">
        <v>5.0000000000000001E-3</v>
      </c>
      <c r="S6526" s="508">
        <v>5.0000000000000001E-3</v>
      </c>
      <c r="T6526" s="508">
        <v>5.0000000000000001E-3</v>
      </c>
      <c r="U6526" s="508">
        <v>5.0000000000000001E-3</v>
      </c>
      <c r="V6526" s="508">
        <v>5.0000000000000001E-3</v>
      </c>
      <c r="W6526" s="508">
        <v>5.0000000000000001E-3</v>
      </c>
      <c r="X6526" s="508">
        <v>5.0000000000000001E-3</v>
      </c>
      <c r="Y6526" s="508">
        <v>5.0000000000000001E-3</v>
      </c>
      <c r="Z6526" s="508">
        <v>5.0000000000000001E-3</v>
      </c>
      <c r="AA6526" s="508">
        <v>5.0000000000000001E-3</v>
      </c>
      <c r="AB6526" s="508">
        <v>5.0000000000000001E-3</v>
      </c>
      <c r="AC6526" s="508">
        <v>5.0000000000000001E-3</v>
      </c>
      <c r="AD6526" s="508">
        <v>5.0000000000000001E-3</v>
      </c>
      <c r="AE6526" s="508">
        <v>5.0000000000000001E-3</v>
      </c>
      <c r="AF6526" s="508">
        <v>5.0000000000000001E-3</v>
      </c>
      <c r="AG6526" s="508">
        <v>5.0000000000000001E-3</v>
      </c>
      <c r="AH6526" s="508">
        <v>5.0000000000000001E-3</v>
      </c>
      <c r="AI6526" s="492">
        <v>5.0000000000000001E-3</v>
      </c>
      <c r="AJ6526" s="485"/>
    </row>
    <row r="6527" spans="2:36">
      <c r="B6527" s="136" t="s">
        <v>463</v>
      </c>
      <c r="C6527" s="132" t="s">
        <v>1368</v>
      </c>
      <c r="D6527" s="132" t="s">
        <v>1380</v>
      </c>
      <c r="E6527" s="508">
        <v>5.0000000000000001E-3</v>
      </c>
      <c r="F6527" s="508">
        <v>5.0000000000000001E-3</v>
      </c>
      <c r="G6527" s="508">
        <v>5.0000000000000001E-3</v>
      </c>
      <c r="H6527" s="508">
        <v>5.0000000000000001E-3</v>
      </c>
      <c r="I6527" s="508">
        <v>5.0000000000000001E-3</v>
      </c>
      <c r="J6527" s="508">
        <v>5.0000000000000001E-3</v>
      </c>
      <c r="K6527" s="508">
        <v>5.0000000000000001E-3</v>
      </c>
      <c r="L6527" s="508">
        <v>5.0000000000000001E-3</v>
      </c>
      <c r="M6527" s="508">
        <v>5.0000000000000001E-3</v>
      </c>
      <c r="N6527" s="508">
        <v>5.0000000000000001E-3</v>
      </c>
      <c r="O6527" s="508">
        <v>5.0000000000000001E-3</v>
      </c>
      <c r="P6527" s="508">
        <v>5.0000000000000001E-3</v>
      </c>
      <c r="Q6527" s="508">
        <v>5.0000000000000001E-3</v>
      </c>
      <c r="R6527" s="508">
        <v>5.0000000000000001E-3</v>
      </c>
      <c r="S6527" s="508">
        <v>5.0000000000000001E-3</v>
      </c>
      <c r="T6527" s="508">
        <v>5.0000000000000001E-3</v>
      </c>
      <c r="U6527" s="508">
        <v>5.0000000000000001E-3</v>
      </c>
      <c r="V6527" s="508">
        <v>5.0000000000000001E-3</v>
      </c>
      <c r="W6527" s="508">
        <v>5.0000000000000001E-3</v>
      </c>
      <c r="X6527" s="508">
        <v>5.0000000000000001E-3</v>
      </c>
      <c r="Y6527" s="508">
        <v>5.0000000000000001E-3</v>
      </c>
      <c r="Z6527" s="508">
        <v>5.0000000000000001E-3</v>
      </c>
      <c r="AA6527" s="508">
        <v>5.0000000000000001E-3</v>
      </c>
      <c r="AB6527" s="508">
        <v>5.0000000000000001E-3</v>
      </c>
      <c r="AC6527" s="508">
        <v>5.0000000000000001E-3</v>
      </c>
      <c r="AD6527" s="508">
        <v>5.0000000000000001E-3</v>
      </c>
      <c r="AE6527" s="508">
        <v>5.0000000000000001E-3</v>
      </c>
      <c r="AF6527" s="508">
        <v>5.0000000000000001E-3</v>
      </c>
      <c r="AG6527" s="508">
        <v>5.0000000000000001E-3</v>
      </c>
      <c r="AH6527" s="508">
        <v>5.0000000000000001E-3</v>
      </c>
      <c r="AI6527" s="492">
        <v>5.0000000000000001E-3</v>
      </c>
      <c r="AJ6527" s="485"/>
    </row>
    <row r="6528" spans="2:36">
      <c r="B6528" s="136" t="s">
        <v>464</v>
      </c>
      <c r="C6528" s="132" t="s">
        <v>1368</v>
      </c>
      <c r="D6528" s="132" t="s">
        <v>1380</v>
      </c>
      <c r="E6528" s="508">
        <v>5.0000000000000001E-3</v>
      </c>
      <c r="F6528" s="508">
        <v>5.0000000000000001E-3</v>
      </c>
      <c r="G6528" s="508">
        <v>5.0000000000000001E-3</v>
      </c>
      <c r="H6528" s="508">
        <v>5.0000000000000001E-3</v>
      </c>
      <c r="I6528" s="508">
        <v>5.0000000000000001E-3</v>
      </c>
      <c r="J6528" s="508">
        <v>5.0000000000000001E-3</v>
      </c>
      <c r="K6528" s="508">
        <v>5.0000000000000001E-3</v>
      </c>
      <c r="L6528" s="508">
        <v>5.0000000000000001E-3</v>
      </c>
      <c r="M6528" s="508">
        <v>5.0000000000000001E-3</v>
      </c>
      <c r="N6528" s="508">
        <v>5.0000000000000001E-3</v>
      </c>
      <c r="O6528" s="508">
        <v>5.0000000000000001E-3</v>
      </c>
      <c r="P6528" s="508">
        <v>5.0000000000000001E-3</v>
      </c>
      <c r="Q6528" s="508">
        <v>5.0000000000000001E-3</v>
      </c>
      <c r="R6528" s="508">
        <v>5.0000000000000001E-3</v>
      </c>
      <c r="S6528" s="508">
        <v>5.0000000000000001E-3</v>
      </c>
      <c r="T6528" s="508">
        <v>5.0000000000000001E-3</v>
      </c>
      <c r="U6528" s="508">
        <v>5.0000000000000001E-3</v>
      </c>
      <c r="V6528" s="508">
        <v>5.0000000000000001E-3</v>
      </c>
      <c r="W6528" s="508">
        <v>5.0000000000000001E-3</v>
      </c>
      <c r="X6528" s="508">
        <v>5.0000000000000001E-3</v>
      </c>
      <c r="Y6528" s="508">
        <v>5.0000000000000001E-3</v>
      </c>
      <c r="Z6528" s="508">
        <v>5.0000000000000001E-3</v>
      </c>
      <c r="AA6528" s="508">
        <v>5.0000000000000001E-3</v>
      </c>
      <c r="AB6528" s="508">
        <v>5.0000000000000001E-3</v>
      </c>
      <c r="AC6528" s="508">
        <v>5.0000000000000001E-3</v>
      </c>
      <c r="AD6528" s="508">
        <v>5.0000000000000001E-3</v>
      </c>
      <c r="AE6528" s="508">
        <v>5.0000000000000001E-3</v>
      </c>
      <c r="AF6528" s="508">
        <v>5.0000000000000001E-3</v>
      </c>
      <c r="AG6528" s="508">
        <v>5.0000000000000001E-3</v>
      </c>
      <c r="AH6528" s="508">
        <v>5.0000000000000001E-3</v>
      </c>
      <c r="AI6528" s="492">
        <v>5.0000000000000001E-3</v>
      </c>
      <c r="AJ6528" s="485"/>
    </row>
    <row r="6529" spans="2:36">
      <c r="B6529" s="136" t="s">
        <v>465</v>
      </c>
      <c r="C6529" s="132" t="s">
        <v>1368</v>
      </c>
      <c r="D6529" s="132" t="s">
        <v>1380</v>
      </c>
      <c r="E6529" s="508">
        <v>5.0000000000000001E-3</v>
      </c>
      <c r="F6529" s="508">
        <v>5.0000000000000001E-3</v>
      </c>
      <c r="G6529" s="508">
        <v>5.0000000000000001E-3</v>
      </c>
      <c r="H6529" s="508">
        <v>5.0000000000000001E-3</v>
      </c>
      <c r="I6529" s="508">
        <v>5.0000000000000001E-3</v>
      </c>
      <c r="J6529" s="508">
        <v>5.0000000000000001E-3</v>
      </c>
      <c r="K6529" s="508">
        <v>5.0000000000000001E-3</v>
      </c>
      <c r="L6529" s="508">
        <v>5.0000000000000001E-3</v>
      </c>
      <c r="M6529" s="508">
        <v>5.0000000000000001E-3</v>
      </c>
      <c r="N6529" s="508">
        <v>5.0000000000000001E-3</v>
      </c>
      <c r="O6529" s="508">
        <v>5.0000000000000001E-3</v>
      </c>
      <c r="P6529" s="508">
        <v>5.0000000000000001E-3</v>
      </c>
      <c r="Q6529" s="508">
        <v>5.0000000000000001E-3</v>
      </c>
      <c r="R6529" s="508">
        <v>5.0000000000000001E-3</v>
      </c>
      <c r="S6529" s="508">
        <v>5.0000000000000001E-3</v>
      </c>
      <c r="T6529" s="508">
        <v>5.0000000000000001E-3</v>
      </c>
      <c r="U6529" s="508">
        <v>5.0000000000000001E-3</v>
      </c>
      <c r="V6529" s="508">
        <v>5.0000000000000001E-3</v>
      </c>
      <c r="W6529" s="508">
        <v>5.0000000000000001E-3</v>
      </c>
      <c r="X6529" s="508">
        <v>5.0000000000000001E-3</v>
      </c>
      <c r="Y6529" s="508">
        <v>5.0000000000000001E-3</v>
      </c>
      <c r="Z6529" s="508">
        <v>5.0000000000000001E-3</v>
      </c>
      <c r="AA6529" s="508">
        <v>5.0000000000000001E-3</v>
      </c>
      <c r="AB6529" s="508">
        <v>5.0000000000000001E-3</v>
      </c>
      <c r="AC6529" s="508">
        <v>5.0000000000000001E-3</v>
      </c>
      <c r="AD6529" s="508">
        <v>5.0000000000000001E-3</v>
      </c>
      <c r="AE6529" s="508">
        <v>5.0000000000000001E-3</v>
      </c>
      <c r="AF6529" s="508">
        <v>5.0000000000000001E-3</v>
      </c>
      <c r="AG6529" s="508">
        <v>5.0000000000000001E-3</v>
      </c>
      <c r="AH6529" s="508">
        <v>5.0000000000000001E-3</v>
      </c>
      <c r="AI6529" s="492">
        <v>5.0000000000000001E-3</v>
      </c>
      <c r="AJ6529" s="485"/>
    </row>
    <row r="6530" spans="2:36">
      <c r="B6530" s="136" t="s">
        <v>466</v>
      </c>
      <c r="C6530" s="132" t="s">
        <v>1368</v>
      </c>
      <c r="D6530" s="132" t="s">
        <v>1380</v>
      </c>
      <c r="E6530" s="508">
        <v>6.0000000000000001E-3</v>
      </c>
      <c r="F6530" s="508">
        <v>6.0000000000000001E-3</v>
      </c>
      <c r="G6530" s="508">
        <v>6.0000000000000001E-3</v>
      </c>
      <c r="H6530" s="508">
        <v>6.0000000000000001E-3</v>
      </c>
      <c r="I6530" s="508">
        <v>6.0000000000000001E-3</v>
      </c>
      <c r="J6530" s="508">
        <v>6.0000000000000001E-3</v>
      </c>
      <c r="K6530" s="508">
        <v>6.0000000000000001E-3</v>
      </c>
      <c r="L6530" s="508">
        <v>6.0000000000000001E-3</v>
      </c>
      <c r="M6530" s="508">
        <v>6.0000000000000001E-3</v>
      </c>
      <c r="N6530" s="508">
        <v>6.0000000000000001E-3</v>
      </c>
      <c r="O6530" s="508">
        <v>6.0000000000000001E-3</v>
      </c>
      <c r="P6530" s="508">
        <v>6.0000000000000001E-3</v>
      </c>
      <c r="Q6530" s="508">
        <v>6.0000000000000001E-3</v>
      </c>
      <c r="R6530" s="508">
        <v>6.0000000000000001E-3</v>
      </c>
      <c r="S6530" s="508">
        <v>6.0000000000000001E-3</v>
      </c>
      <c r="T6530" s="508">
        <v>6.0000000000000001E-3</v>
      </c>
      <c r="U6530" s="508">
        <v>6.0000000000000001E-3</v>
      </c>
      <c r="V6530" s="508">
        <v>6.0000000000000001E-3</v>
      </c>
      <c r="W6530" s="508">
        <v>6.0000000000000001E-3</v>
      </c>
      <c r="X6530" s="508">
        <v>6.0000000000000001E-3</v>
      </c>
      <c r="Y6530" s="508">
        <v>6.0000000000000001E-3</v>
      </c>
      <c r="Z6530" s="508">
        <v>6.0000000000000001E-3</v>
      </c>
      <c r="AA6530" s="508">
        <v>6.0000000000000001E-3</v>
      </c>
      <c r="AB6530" s="508">
        <v>6.0000000000000001E-3</v>
      </c>
      <c r="AC6530" s="508">
        <v>6.0000000000000001E-3</v>
      </c>
      <c r="AD6530" s="508">
        <v>6.0000000000000001E-3</v>
      </c>
      <c r="AE6530" s="508">
        <v>6.0000000000000001E-3</v>
      </c>
      <c r="AF6530" s="508">
        <v>6.0000000000000001E-3</v>
      </c>
      <c r="AG6530" s="508">
        <v>6.0000000000000001E-3</v>
      </c>
      <c r="AH6530" s="508">
        <v>6.0000000000000001E-3</v>
      </c>
      <c r="AI6530" s="492">
        <v>6.0000000000000001E-3</v>
      </c>
      <c r="AJ6530" s="485"/>
    </row>
    <row r="6531" spans="2:36">
      <c r="B6531" s="136" t="s">
        <v>467</v>
      </c>
      <c r="C6531" s="132" t="s">
        <v>1368</v>
      </c>
      <c r="D6531" s="132" t="s">
        <v>1380</v>
      </c>
      <c r="E6531" s="508">
        <v>5.0000000000000001E-3</v>
      </c>
      <c r="F6531" s="508">
        <v>5.0000000000000001E-3</v>
      </c>
      <c r="G6531" s="508">
        <v>5.0000000000000001E-3</v>
      </c>
      <c r="H6531" s="508">
        <v>5.0000000000000001E-3</v>
      </c>
      <c r="I6531" s="508">
        <v>5.0000000000000001E-3</v>
      </c>
      <c r="J6531" s="508">
        <v>5.0000000000000001E-3</v>
      </c>
      <c r="K6531" s="508">
        <v>5.0000000000000001E-3</v>
      </c>
      <c r="L6531" s="508">
        <v>5.0000000000000001E-3</v>
      </c>
      <c r="M6531" s="508">
        <v>5.0000000000000001E-3</v>
      </c>
      <c r="N6531" s="508">
        <v>5.0000000000000001E-3</v>
      </c>
      <c r="O6531" s="508">
        <v>5.0000000000000001E-3</v>
      </c>
      <c r="P6531" s="508">
        <v>5.0000000000000001E-3</v>
      </c>
      <c r="Q6531" s="508">
        <v>5.0000000000000001E-3</v>
      </c>
      <c r="R6531" s="508">
        <v>5.0000000000000001E-3</v>
      </c>
      <c r="S6531" s="508">
        <v>5.0000000000000001E-3</v>
      </c>
      <c r="T6531" s="508">
        <v>5.0000000000000001E-3</v>
      </c>
      <c r="U6531" s="508">
        <v>5.0000000000000001E-3</v>
      </c>
      <c r="V6531" s="508">
        <v>5.0000000000000001E-3</v>
      </c>
      <c r="W6531" s="508">
        <v>5.0000000000000001E-3</v>
      </c>
      <c r="X6531" s="508">
        <v>5.0000000000000001E-3</v>
      </c>
      <c r="Y6531" s="508">
        <v>5.0000000000000001E-3</v>
      </c>
      <c r="Z6531" s="508">
        <v>5.0000000000000001E-3</v>
      </c>
      <c r="AA6531" s="508">
        <v>5.0000000000000001E-3</v>
      </c>
      <c r="AB6531" s="508">
        <v>5.0000000000000001E-3</v>
      </c>
      <c r="AC6531" s="508">
        <v>5.0000000000000001E-3</v>
      </c>
      <c r="AD6531" s="508">
        <v>5.0000000000000001E-3</v>
      </c>
      <c r="AE6531" s="508">
        <v>5.0000000000000001E-3</v>
      </c>
      <c r="AF6531" s="508">
        <v>5.0000000000000001E-3</v>
      </c>
      <c r="AG6531" s="508">
        <v>5.0000000000000001E-3</v>
      </c>
      <c r="AH6531" s="508">
        <v>5.0000000000000001E-3</v>
      </c>
      <c r="AI6531" s="492">
        <v>5.0000000000000001E-3</v>
      </c>
      <c r="AJ6531" s="485"/>
    </row>
    <row r="6532" spans="2:36">
      <c r="B6532" s="136" t="s">
        <v>468</v>
      </c>
      <c r="C6532" s="132" t="s">
        <v>1368</v>
      </c>
      <c r="D6532" s="132" t="s">
        <v>1380</v>
      </c>
      <c r="E6532" s="508">
        <v>5.0000000000000001E-3</v>
      </c>
      <c r="F6532" s="508">
        <v>5.0000000000000001E-3</v>
      </c>
      <c r="G6532" s="508">
        <v>5.0000000000000001E-3</v>
      </c>
      <c r="H6532" s="508">
        <v>5.0000000000000001E-3</v>
      </c>
      <c r="I6532" s="508">
        <v>5.0000000000000001E-3</v>
      </c>
      <c r="J6532" s="508">
        <v>5.0000000000000001E-3</v>
      </c>
      <c r="K6532" s="508">
        <v>5.0000000000000001E-3</v>
      </c>
      <c r="L6532" s="508">
        <v>5.0000000000000001E-3</v>
      </c>
      <c r="M6532" s="508">
        <v>5.0000000000000001E-3</v>
      </c>
      <c r="N6532" s="508">
        <v>5.0000000000000001E-3</v>
      </c>
      <c r="O6532" s="508">
        <v>5.0000000000000001E-3</v>
      </c>
      <c r="P6532" s="508">
        <v>5.0000000000000001E-3</v>
      </c>
      <c r="Q6532" s="508">
        <v>5.0000000000000001E-3</v>
      </c>
      <c r="R6532" s="508">
        <v>5.0000000000000001E-3</v>
      </c>
      <c r="S6532" s="508">
        <v>5.0000000000000001E-3</v>
      </c>
      <c r="T6532" s="508">
        <v>5.0000000000000001E-3</v>
      </c>
      <c r="U6532" s="508">
        <v>5.0000000000000001E-3</v>
      </c>
      <c r="V6532" s="508">
        <v>5.0000000000000001E-3</v>
      </c>
      <c r="W6532" s="508">
        <v>5.0000000000000001E-3</v>
      </c>
      <c r="X6532" s="508">
        <v>5.0000000000000001E-3</v>
      </c>
      <c r="Y6532" s="508">
        <v>5.0000000000000001E-3</v>
      </c>
      <c r="Z6532" s="508">
        <v>5.0000000000000001E-3</v>
      </c>
      <c r="AA6532" s="508">
        <v>5.0000000000000001E-3</v>
      </c>
      <c r="AB6532" s="508">
        <v>5.0000000000000001E-3</v>
      </c>
      <c r="AC6532" s="508">
        <v>5.0000000000000001E-3</v>
      </c>
      <c r="AD6532" s="508">
        <v>5.0000000000000001E-3</v>
      </c>
      <c r="AE6532" s="508">
        <v>5.0000000000000001E-3</v>
      </c>
      <c r="AF6532" s="508">
        <v>5.0000000000000001E-3</v>
      </c>
      <c r="AG6532" s="508">
        <v>5.0000000000000001E-3</v>
      </c>
      <c r="AH6532" s="508">
        <v>5.0000000000000001E-3</v>
      </c>
      <c r="AI6532" s="492">
        <v>5.0000000000000001E-3</v>
      </c>
      <c r="AJ6532" s="485"/>
    </row>
    <row r="6533" spans="2:36">
      <c r="B6533" s="136" t="s">
        <v>469</v>
      </c>
      <c r="C6533" s="132" t="s">
        <v>1368</v>
      </c>
      <c r="D6533" s="132" t="s">
        <v>1380</v>
      </c>
      <c r="E6533" s="508">
        <v>5.0000000000000001E-3</v>
      </c>
      <c r="F6533" s="508">
        <v>5.0000000000000001E-3</v>
      </c>
      <c r="G6533" s="508">
        <v>5.0000000000000001E-3</v>
      </c>
      <c r="H6533" s="508">
        <v>5.0000000000000001E-3</v>
      </c>
      <c r="I6533" s="508">
        <v>5.0000000000000001E-3</v>
      </c>
      <c r="J6533" s="508">
        <v>5.0000000000000001E-3</v>
      </c>
      <c r="K6533" s="508">
        <v>5.0000000000000001E-3</v>
      </c>
      <c r="L6533" s="508">
        <v>5.0000000000000001E-3</v>
      </c>
      <c r="M6533" s="508">
        <v>5.0000000000000001E-3</v>
      </c>
      <c r="N6533" s="508">
        <v>5.0000000000000001E-3</v>
      </c>
      <c r="O6533" s="508">
        <v>5.0000000000000001E-3</v>
      </c>
      <c r="P6533" s="508">
        <v>5.0000000000000001E-3</v>
      </c>
      <c r="Q6533" s="508">
        <v>5.0000000000000001E-3</v>
      </c>
      <c r="R6533" s="508">
        <v>5.0000000000000001E-3</v>
      </c>
      <c r="S6533" s="508">
        <v>5.0000000000000001E-3</v>
      </c>
      <c r="T6533" s="508">
        <v>5.0000000000000001E-3</v>
      </c>
      <c r="U6533" s="508">
        <v>5.0000000000000001E-3</v>
      </c>
      <c r="V6533" s="508">
        <v>5.0000000000000001E-3</v>
      </c>
      <c r="W6533" s="508">
        <v>5.0000000000000001E-3</v>
      </c>
      <c r="X6533" s="508">
        <v>5.0000000000000001E-3</v>
      </c>
      <c r="Y6533" s="508">
        <v>5.0000000000000001E-3</v>
      </c>
      <c r="Z6533" s="508">
        <v>5.0000000000000001E-3</v>
      </c>
      <c r="AA6533" s="508">
        <v>5.0000000000000001E-3</v>
      </c>
      <c r="AB6533" s="508">
        <v>5.0000000000000001E-3</v>
      </c>
      <c r="AC6533" s="508">
        <v>5.0000000000000001E-3</v>
      </c>
      <c r="AD6533" s="508">
        <v>5.0000000000000001E-3</v>
      </c>
      <c r="AE6533" s="508">
        <v>5.0000000000000001E-3</v>
      </c>
      <c r="AF6533" s="508">
        <v>5.0000000000000001E-3</v>
      </c>
      <c r="AG6533" s="508">
        <v>5.0000000000000001E-3</v>
      </c>
      <c r="AH6533" s="508">
        <v>5.0000000000000001E-3</v>
      </c>
      <c r="AI6533" s="492">
        <v>5.0000000000000001E-3</v>
      </c>
      <c r="AJ6533" s="485"/>
    </row>
    <row r="6534" spans="2:36">
      <c r="B6534" s="136" t="s">
        <v>470</v>
      </c>
      <c r="C6534" s="132" t="s">
        <v>1368</v>
      </c>
      <c r="D6534" s="132" t="s">
        <v>1380</v>
      </c>
      <c r="E6534" s="508">
        <v>6.0000000000000001E-3</v>
      </c>
      <c r="F6534" s="508">
        <v>6.0000000000000001E-3</v>
      </c>
      <c r="G6534" s="508">
        <v>6.0000000000000001E-3</v>
      </c>
      <c r="H6534" s="508">
        <v>6.0000000000000001E-3</v>
      </c>
      <c r="I6534" s="508">
        <v>6.0000000000000001E-3</v>
      </c>
      <c r="J6534" s="508">
        <v>6.0000000000000001E-3</v>
      </c>
      <c r="K6534" s="508">
        <v>6.0000000000000001E-3</v>
      </c>
      <c r="L6534" s="508">
        <v>6.0000000000000001E-3</v>
      </c>
      <c r="M6534" s="508">
        <v>6.0000000000000001E-3</v>
      </c>
      <c r="N6534" s="508">
        <v>6.0000000000000001E-3</v>
      </c>
      <c r="O6534" s="508">
        <v>6.0000000000000001E-3</v>
      </c>
      <c r="P6534" s="508">
        <v>6.0000000000000001E-3</v>
      </c>
      <c r="Q6534" s="508">
        <v>6.0000000000000001E-3</v>
      </c>
      <c r="R6534" s="508">
        <v>6.0000000000000001E-3</v>
      </c>
      <c r="S6534" s="508">
        <v>6.0000000000000001E-3</v>
      </c>
      <c r="T6534" s="508">
        <v>6.0000000000000001E-3</v>
      </c>
      <c r="U6534" s="508">
        <v>6.0000000000000001E-3</v>
      </c>
      <c r="V6534" s="508">
        <v>6.0000000000000001E-3</v>
      </c>
      <c r="W6534" s="508">
        <v>6.0000000000000001E-3</v>
      </c>
      <c r="X6534" s="508">
        <v>6.0000000000000001E-3</v>
      </c>
      <c r="Y6534" s="508">
        <v>6.0000000000000001E-3</v>
      </c>
      <c r="Z6534" s="508">
        <v>6.0000000000000001E-3</v>
      </c>
      <c r="AA6534" s="508">
        <v>6.0000000000000001E-3</v>
      </c>
      <c r="AB6534" s="508">
        <v>6.0000000000000001E-3</v>
      </c>
      <c r="AC6534" s="508">
        <v>6.0000000000000001E-3</v>
      </c>
      <c r="AD6534" s="508">
        <v>6.0000000000000001E-3</v>
      </c>
      <c r="AE6534" s="508">
        <v>6.0000000000000001E-3</v>
      </c>
      <c r="AF6534" s="508">
        <v>6.0000000000000001E-3</v>
      </c>
      <c r="AG6534" s="508">
        <v>6.0000000000000001E-3</v>
      </c>
      <c r="AH6534" s="508">
        <v>6.0000000000000001E-3</v>
      </c>
      <c r="AI6534" s="492">
        <v>6.0000000000000001E-3</v>
      </c>
      <c r="AJ6534" s="485"/>
    </row>
    <row r="6535" spans="2:36">
      <c r="B6535" s="136" t="s">
        <v>471</v>
      </c>
      <c r="C6535" s="132" t="s">
        <v>1368</v>
      </c>
      <c r="D6535" s="132" t="s">
        <v>1380</v>
      </c>
      <c r="E6535" s="508">
        <v>6.0000000000000001E-3</v>
      </c>
      <c r="F6535" s="508">
        <v>6.0000000000000001E-3</v>
      </c>
      <c r="G6535" s="508">
        <v>6.0000000000000001E-3</v>
      </c>
      <c r="H6535" s="508">
        <v>6.0000000000000001E-3</v>
      </c>
      <c r="I6535" s="508">
        <v>6.0000000000000001E-3</v>
      </c>
      <c r="J6535" s="508">
        <v>6.0000000000000001E-3</v>
      </c>
      <c r="K6535" s="508">
        <v>6.0000000000000001E-3</v>
      </c>
      <c r="L6535" s="508">
        <v>6.0000000000000001E-3</v>
      </c>
      <c r="M6535" s="508">
        <v>6.0000000000000001E-3</v>
      </c>
      <c r="N6535" s="508">
        <v>6.0000000000000001E-3</v>
      </c>
      <c r="O6535" s="508">
        <v>6.0000000000000001E-3</v>
      </c>
      <c r="P6535" s="508">
        <v>6.0000000000000001E-3</v>
      </c>
      <c r="Q6535" s="508">
        <v>6.0000000000000001E-3</v>
      </c>
      <c r="R6535" s="508">
        <v>6.0000000000000001E-3</v>
      </c>
      <c r="S6535" s="508">
        <v>6.0000000000000001E-3</v>
      </c>
      <c r="T6535" s="508">
        <v>6.0000000000000001E-3</v>
      </c>
      <c r="U6535" s="508">
        <v>6.0000000000000001E-3</v>
      </c>
      <c r="V6535" s="508">
        <v>6.0000000000000001E-3</v>
      </c>
      <c r="W6535" s="508">
        <v>6.0000000000000001E-3</v>
      </c>
      <c r="X6535" s="508">
        <v>6.0000000000000001E-3</v>
      </c>
      <c r="Y6535" s="508">
        <v>6.0000000000000001E-3</v>
      </c>
      <c r="Z6535" s="508">
        <v>6.0000000000000001E-3</v>
      </c>
      <c r="AA6535" s="508">
        <v>6.0000000000000001E-3</v>
      </c>
      <c r="AB6535" s="508">
        <v>6.0000000000000001E-3</v>
      </c>
      <c r="AC6535" s="508">
        <v>6.0000000000000001E-3</v>
      </c>
      <c r="AD6535" s="508">
        <v>6.0000000000000001E-3</v>
      </c>
      <c r="AE6535" s="508">
        <v>6.0000000000000001E-3</v>
      </c>
      <c r="AF6535" s="508">
        <v>6.0000000000000001E-3</v>
      </c>
      <c r="AG6535" s="508">
        <v>6.0000000000000001E-3</v>
      </c>
      <c r="AH6535" s="508">
        <v>6.0000000000000001E-3</v>
      </c>
      <c r="AI6535" s="492">
        <v>6.0000000000000001E-3</v>
      </c>
      <c r="AJ6535" s="485"/>
    </row>
    <row r="6536" spans="2:36">
      <c r="B6536" s="136" t="s">
        <v>472</v>
      </c>
      <c r="C6536" s="132" t="s">
        <v>1368</v>
      </c>
      <c r="D6536" s="132" t="s">
        <v>1380</v>
      </c>
      <c r="E6536" s="508">
        <v>5.0000000000000001E-3</v>
      </c>
      <c r="F6536" s="508">
        <v>5.0000000000000001E-3</v>
      </c>
      <c r="G6536" s="508">
        <v>5.0000000000000001E-3</v>
      </c>
      <c r="H6536" s="508">
        <v>5.0000000000000001E-3</v>
      </c>
      <c r="I6536" s="508">
        <v>5.0000000000000001E-3</v>
      </c>
      <c r="J6536" s="508">
        <v>5.0000000000000001E-3</v>
      </c>
      <c r="K6536" s="508">
        <v>5.0000000000000001E-3</v>
      </c>
      <c r="L6536" s="508">
        <v>5.0000000000000001E-3</v>
      </c>
      <c r="M6536" s="508">
        <v>5.0000000000000001E-3</v>
      </c>
      <c r="N6536" s="508">
        <v>5.0000000000000001E-3</v>
      </c>
      <c r="O6536" s="508">
        <v>5.0000000000000001E-3</v>
      </c>
      <c r="P6536" s="508">
        <v>5.0000000000000001E-3</v>
      </c>
      <c r="Q6536" s="508">
        <v>5.0000000000000001E-3</v>
      </c>
      <c r="R6536" s="508">
        <v>5.0000000000000001E-3</v>
      </c>
      <c r="S6536" s="508">
        <v>5.0000000000000001E-3</v>
      </c>
      <c r="T6536" s="508">
        <v>5.0000000000000001E-3</v>
      </c>
      <c r="U6536" s="508">
        <v>5.0000000000000001E-3</v>
      </c>
      <c r="V6536" s="508">
        <v>5.0000000000000001E-3</v>
      </c>
      <c r="W6536" s="508">
        <v>5.0000000000000001E-3</v>
      </c>
      <c r="X6536" s="508">
        <v>5.0000000000000001E-3</v>
      </c>
      <c r="Y6536" s="508">
        <v>5.0000000000000001E-3</v>
      </c>
      <c r="Z6536" s="508">
        <v>5.0000000000000001E-3</v>
      </c>
      <c r="AA6536" s="508">
        <v>5.0000000000000001E-3</v>
      </c>
      <c r="AB6536" s="508">
        <v>5.0000000000000001E-3</v>
      </c>
      <c r="AC6536" s="508">
        <v>5.0000000000000001E-3</v>
      </c>
      <c r="AD6536" s="508">
        <v>5.0000000000000001E-3</v>
      </c>
      <c r="AE6536" s="508">
        <v>5.0000000000000001E-3</v>
      </c>
      <c r="AF6536" s="508">
        <v>5.0000000000000001E-3</v>
      </c>
      <c r="AG6536" s="508">
        <v>5.0000000000000001E-3</v>
      </c>
      <c r="AH6536" s="508">
        <v>5.0000000000000001E-3</v>
      </c>
      <c r="AI6536" s="492">
        <v>5.0000000000000001E-3</v>
      </c>
      <c r="AJ6536" s="485"/>
    </row>
    <row r="6537" spans="2:36">
      <c r="B6537" s="136" t="s">
        <v>473</v>
      </c>
      <c r="C6537" s="132" t="s">
        <v>1368</v>
      </c>
      <c r="D6537" s="132" t="s">
        <v>1380</v>
      </c>
      <c r="E6537" s="508">
        <v>6.0000000000000001E-3</v>
      </c>
      <c r="F6537" s="508">
        <v>6.0000000000000001E-3</v>
      </c>
      <c r="G6537" s="508">
        <v>6.0000000000000001E-3</v>
      </c>
      <c r="H6537" s="508">
        <v>6.0000000000000001E-3</v>
      </c>
      <c r="I6537" s="508">
        <v>6.0000000000000001E-3</v>
      </c>
      <c r="J6537" s="508">
        <v>6.0000000000000001E-3</v>
      </c>
      <c r="K6537" s="508">
        <v>6.0000000000000001E-3</v>
      </c>
      <c r="L6537" s="508">
        <v>6.0000000000000001E-3</v>
      </c>
      <c r="M6537" s="508">
        <v>6.0000000000000001E-3</v>
      </c>
      <c r="N6537" s="508">
        <v>6.0000000000000001E-3</v>
      </c>
      <c r="O6537" s="508">
        <v>6.0000000000000001E-3</v>
      </c>
      <c r="P6537" s="508">
        <v>6.0000000000000001E-3</v>
      </c>
      <c r="Q6537" s="508">
        <v>6.0000000000000001E-3</v>
      </c>
      <c r="R6537" s="508">
        <v>6.0000000000000001E-3</v>
      </c>
      <c r="S6537" s="508">
        <v>6.0000000000000001E-3</v>
      </c>
      <c r="T6537" s="508">
        <v>6.0000000000000001E-3</v>
      </c>
      <c r="U6537" s="508">
        <v>6.0000000000000001E-3</v>
      </c>
      <c r="V6537" s="508">
        <v>6.0000000000000001E-3</v>
      </c>
      <c r="W6537" s="508">
        <v>6.0000000000000001E-3</v>
      </c>
      <c r="X6537" s="508">
        <v>6.0000000000000001E-3</v>
      </c>
      <c r="Y6537" s="508">
        <v>6.0000000000000001E-3</v>
      </c>
      <c r="Z6537" s="508">
        <v>6.0000000000000001E-3</v>
      </c>
      <c r="AA6537" s="508">
        <v>6.0000000000000001E-3</v>
      </c>
      <c r="AB6537" s="508">
        <v>6.0000000000000001E-3</v>
      </c>
      <c r="AC6537" s="508">
        <v>6.0000000000000001E-3</v>
      </c>
      <c r="AD6537" s="508">
        <v>6.0000000000000001E-3</v>
      </c>
      <c r="AE6537" s="508">
        <v>6.0000000000000001E-3</v>
      </c>
      <c r="AF6537" s="508">
        <v>6.0000000000000001E-3</v>
      </c>
      <c r="AG6537" s="508">
        <v>6.0000000000000001E-3</v>
      </c>
      <c r="AH6537" s="508">
        <v>6.0000000000000001E-3</v>
      </c>
      <c r="AI6537" s="492">
        <v>6.0000000000000001E-3</v>
      </c>
      <c r="AJ6537" s="485"/>
    </row>
    <row r="6538" spans="2:36">
      <c r="B6538" s="136" t="s">
        <v>474</v>
      </c>
      <c r="C6538" s="132" t="s">
        <v>1368</v>
      </c>
      <c r="D6538" s="132" t="s">
        <v>1380</v>
      </c>
      <c r="E6538" s="508">
        <v>6.0000000000000001E-3</v>
      </c>
      <c r="F6538" s="508">
        <v>6.0000000000000001E-3</v>
      </c>
      <c r="G6538" s="508">
        <v>5.0000000000000001E-3</v>
      </c>
      <c r="H6538" s="508">
        <v>5.0000000000000001E-3</v>
      </c>
      <c r="I6538" s="508">
        <v>5.0000000000000001E-3</v>
      </c>
      <c r="J6538" s="508">
        <v>5.0000000000000001E-3</v>
      </c>
      <c r="K6538" s="508">
        <v>5.0000000000000001E-3</v>
      </c>
      <c r="L6538" s="508">
        <v>6.0000000000000001E-3</v>
      </c>
      <c r="M6538" s="508">
        <v>6.0000000000000001E-3</v>
      </c>
      <c r="N6538" s="508">
        <v>5.0000000000000001E-3</v>
      </c>
      <c r="O6538" s="508">
        <v>5.0000000000000001E-3</v>
      </c>
      <c r="P6538" s="508">
        <v>6.0000000000000001E-3</v>
      </c>
      <c r="Q6538" s="508">
        <v>6.0000000000000001E-3</v>
      </c>
      <c r="R6538" s="508">
        <v>6.0000000000000001E-3</v>
      </c>
      <c r="S6538" s="508">
        <v>6.0000000000000001E-3</v>
      </c>
      <c r="T6538" s="508">
        <v>6.0000000000000001E-3</v>
      </c>
      <c r="U6538" s="508">
        <v>6.0000000000000001E-3</v>
      </c>
      <c r="V6538" s="508">
        <v>6.0000000000000001E-3</v>
      </c>
      <c r="W6538" s="508">
        <v>6.0000000000000001E-3</v>
      </c>
      <c r="X6538" s="508">
        <v>6.0000000000000001E-3</v>
      </c>
      <c r="Y6538" s="508">
        <v>6.0000000000000001E-3</v>
      </c>
      <c r="Z6538" s="508">
        <v>6.0000000000000001E-3</v>
      </c>
      <c r="AA6538" s="508">
        <v>6.0000000000000001E-3</v>
      </c>
      <c r="AB6538" s="508">
        <v>6.0000000000000001E-3</v>
      </c>
      <c r="AC6538" s="508">
        <v>6.0000000000000001E-3</v>
      </c>
      <c r="AD6538" s="508">
        <v>6.0000000000000001E-3</v>
      </c>
      <c r="AE6538" s="508">
        <v>6.0000000000000001E-3</v>
      </c>
      <c r="AF6538" s="508">
        <v>6.0000000000000001E-3</v>
      </c>
      <c r="AG6538" s="508">
        <v>6.0000000000000001E-3</v>
      </c>
      <c r="AH6538" s="508">
        <v>6.0000000000000001E-3</v>
      </c>
      <c r="AI6538" s="492">
        <v>6.0000000000000001E-3</v>
      </c>
      <c r="AJ6538" s="485"/>
    </row>
    <row r="6539" spans="2:36">
      <c r="B6539" s="136" t="s">
        <v>475</v>
      </c>
      <c r="C6539" s="132" t="s">
        <v>1368</v>
      </c>
      <c r="D6539" s="132" t="s">
        <v>1380</v>
      </c>
      <c r="E6539" s="508">
        <v>5.0000000000000001E-3</v>
      </c>
      <c r="F6539" s="508">
        <v>5.0000000000000001E-3</v>
      </c>
      <c r="G6539" s="508">
        <v>5.0000000000000001E-3</v>
      </c>
      <c r="H6539" s="508">
        <v>5.0000000000000001E-3</v>
      </c>
      <c r="I6539" s="508">
        <v>5.0000000000000001E-3</v>
      </c>
      <c r="J6539" s="508">
        <v>5.0000000000000001E-3</v>
      </c>
      <c r="K6539" s="508">
        <v>5.0000000000000001E-3</v>
      </c>
      <c r="L6539" s="508">
        <v>5.0000000000000001E-3</v>
      </c>
      <c r="M6539" s="508">
        <v>5.0000000000000001E-3</v>
      </c>
      <c r="N6539" s="508">
        <v>5.0000000000000001E-3</v>
      </c>
      <c r="O6539" s="508">
        <v>5.0000000000000001E-3</v>
      </c>
      <c r="P6539" s="508">
        <v>5.0000000000000001E-3</v>
      </c>
      <c r="Q6539" s="508">
        <v>5.0000000000000001E-3</v>
      </c>
      <c r="R6539" s="508">
        <v>5.0000000000000001E-3</v>
      </c>
      <c r="S6539" s="508">
        <v>5.0000000000000001E-3</v>
      </c>
      <c r="T6539" s="508">
        <v>5.0000000000000001E-3</v>
      </c>
      <c r="U6539" s="508">
        <v>5.0000000000000001E-3</v>
      </c>
      <c r="V6539" s="508">
        <v>5.0000000000000001E-3</v>
      </c>
      <c r="W6539" s="508">
        <v>5.0000000000000001E-3</v>
      </c>
      <c r="X6539" s="508">
        <v>5.0000000000000001E-3</v>
      </c>
      <c r="Y6539" s="508">
        <v>5.0000000000000001E-3</v>
      </c>
      <c r="Z6539" s="508">
        <v>5.0000000000000001E-3</v>
      </c>
      <c r="AA6539" s="508">
        <v>5.0000000000000001E-3</v>
      </c>
      <c r="AB6539" s="508">
        <v>5.0000000000000001E-3</v>
      </c>
      <c r="AC6539" s="508">
        <v>5.0000000000000001E-3</v>
      </c>
      <c r="AD6539" s="508">
        <v>5.0000000000000001E-3</v>
      </c>
      <c r="AE6539" s="508">
        <v>5.0000000000000001E-3</v>
      </c>
      <c r="AF6539" s="508">
        <v>5.0000000000000001E-3</v>
      </c>
      <c r="AG6539" s="508">
        <v>5.0000000000000001E-3</v>
      </c>
      <c r="AH6539" s="508">
        <v>5.0000000000000001E-3</v>
      </c>
      <c r="AI6539" s="492">
        <v>5.0000000000000001E-3</v>
      </c>
      <c r="AJ6539" s="485"/>
    </row>
    <row r="6540" spans="2:36">
      <c r="B6540" s="136" t="s">
        <v>476</v>
      </c>
      <c r="C6540" s="132" t="s">
        <v>1368</v>
      </c>
      <c r="D6540" s="132" t="s">
        <v>1380</v>
      </c>
      <c r="E6540" s="508">
        <v>6.0000000000000001E-3</v>
      </c>
      <c r="F6540" s="508">
        <v>6.0000000000000001E-3</v>
      </c>
      <c r="G6540" s="508">
        <v>6.0000000000000001E-3</v>
      </c>
      <c r="H6540" s="508">
        <v>6.0000000000000001E-3</v>
      </c>
      <c r="I6540" s="508">
        <v>6.0000000000000001E-3</v>
      </c>
      <c r="J6540" s="508">
        <v>6.0000000000000001E-3</v>
      </c>
      <c r="K6540" s="508">
        <v>6.0000000000000001E-3</v>
      </c>
      <c r="L6540" s="508">
        <v>6.0000000000000001E-3</v>
      </c>
      <c r="M6540" s="508">
        <v>6.0000000000000001E-3</v>
      </c>
      <c r="N6540" s="508">
        <v>6.0000000000000001E-3</v>
      </c>
      <c r="O6540" s="508">
        <v>6.0000000000000001E-3</v>
      </c>
      <c r="P6540" s="508">
        <v>6.0000000000000001E-3</v>
      </c>
      <c r="Q6540" s="508">
        <v>6.0000000000000001E-3</v>
      </c>
      <c r="R6540" s="508">
        <v>6.0000000000000001E-3</v>
      </c>
      <c r="S6540" s="508">
        <v>6.0000000000000001E-3</v>
      </c>
      <c r="T6540" s="508">
        <v>6.0000000000000001E-3</v>
      </c>
      <c r="U6540" s="508">
        <v>6.0000000000000001E-3</v>
      </c>
      <c r="V6540" s="508">
        <v>6.0000000000000001E-3</v>
      </c>
      <c r="W6540" s="508">
        <v>6.0000000000000001E-3</v>
      </c>
      <c r="X6540" s="508">
        <v>6.0000000000000001E-3</v>
      </c>
      <c r="Y6540" s="508">
        <v>6.0000000000000001E-3</v>
      </c>
      <c r="Z6540" s="508">
        <v>6.0000000000000001E-3</v>
      </c>
      <c r="AA6540" s="508">
        <v>6.0000000000000001E-3</v>
      </c>
      <c r="AB6540" s="508">
        <v>6.0000000000000001E-3</v>
      </c>
      <c r="AC6540" s="508">
        <v>6.0000000000000001E-3</v>
      </c>
      <c r="AD6540" s="508">
        <v>6.0000000000000001E-3</v>
      </c>
      <c r="AE6540" s="508">
        <v>6.0000000000000001E-3</v>
      </c>
      <c r="AF6540" s="508">
        <v>6.0000000000000001E-3</v>
      </c>
      <c r="AG6540" s="508">
        <v>6.0000000000000001E-3</v>
      </c>
      <c r="AH6540" s="508">
        <v>6.0000000000000001E-3</v>
      </c>
      <c r="AI6540" s="492">
        <v>6.0000000000000001E-3</v>
      </c>
      <c r="AJ6540" s="485"/>
    </row>
    <row r="6541" spans="2:36">
      <c r="B6541" s="136" t="s">
        <v>478</v>
      </c>
      <c r="C6541" s="132" t="s">
        <v>1368</v>
      </c>
      <c r="D6541" s="132" t="s">
        <v>1380</v>
      </c>
      <c r="E6541" s="508">
        <v>6.0000000000000001E-3</v>
      </c>
      <c r="F6541" s="508">
        <v>6.0000000000000001E-3</v>
      </c>
      <c r="G6541" s="508">
        <v>6.0000000000000001E-3</v>
      </c>
      <c r="H6541" s="508">
        <v>6.0000000000000001E-3</v>
      </c>
      <c r="I6541" s="508">
        <v>6.0000000000000001E-3</v>
      </c>
      <c r="J6541" s="508">
        <v>6.0000000000000001E-3</v>
      </c>
      <c r="K6541" s="508">
        <v>6.0000000000000001E-3</v>
      </c>
      <c r="L6541" s="508">
        <v>6.0000000000000001E-3</v>
      </c>
      <c r="M6541" s="508">
        <v>6.0000000000000001E-3</v>
      </c>
      <c r="N6541" s="508">
        <v>6.0000000000000001E-3</v>
      </c>
      <c r="O6541" s="508">
        <v>6.0000000000000001E-3</v>
      </c>
      <c r="P6541" s="508">
        <v>6.0000000000000001E-3</v>
      </c>
      <c r="Q6541" s="508">
        <v>6.0000000000000001E-3</v>
      </c>
      <c r="R6541" s="508">
        <v>6.0000000000000001E-3</v>
      </c>
      <c r="S6541" s="508">
        <v>6.0000000000000001E-3</v>
      </c>
      <c r="T6541" s="508">
        <v>6.0000000000000001E-3</v>
      </c>
      <c r="U6541" s="508">
        <v>6.0000000000000001E-3</v>
      </c>
      <c r="V6541" s="508">
        <v>6.0000000000000001E-3</v>
      </c>
      <c r="W6541" s="508">
        <v>6.0000000000000001E-3</v>
      </c>
      <c r="X6541" s="508">
        <v>6.0000000000000001E-3</v>
      </c>
      <c r="Y6541" s="508">
        <v>6.0000000000000001E-3</v>
      </c>
      <c r="Z6541" s="508">
        <v>6.0000000000000001E-3</v>
      </c>
      <c r="AA6541" s="508">
        <v>6.0000000000000001E-3</v>
      </c>
      <c r="AB6541" s="508">
        <v>6.0000000000000001E-3</v>
      </c>
      <c r="AC6541" s="508">
        <v>6.0000000000000001E-3</v>
      </c>
      <c r="AD6541" s="508">
        <v>6.0000000000000001E-3</v>
      </c>
      <c r="AE6541" s="508">
        <v>6.0000000000000001E-3</v>
      </c>
      <c r="AF6541" s="508">
        <v>6.0000000000000001E-3</v>
      </c>
      <c r="AG6541" s="508">
        <v>6.0000000000000001E-3</v>
      </c>
      <c r="AH6541" s="508">
        <v>6.0000000000000001E-3</v>
      </c>
      <c r="AI6541" s="492">
        <v>6.0000000000000001E-3</v>
      </c>
      <c r="AJ6541" s="485"/>
    </row>
    <row r="6542" spans="2:36">
      <c r="B6542" s="136" t="s">
        <v>479</v>
      </c>
      <c r="C6542" s="132" t="s">
        <v>1368</v>
      </c>
      <c r="D6542" s="132" t="s">
        <v>1380</v>
      </c>
      <c r="E6542" s="508">
        <v>5.0000000000000001E-3</v>
      </c>
      <c r="F6542" s="508">
        <v>5.0000000000000001E-3</v>
      </c>
      <c r="G6542" s="508">
        <v>5.0000000000000001E-3</v>
      </c>
      <c r="H6542" s="508">
        <v>5.0000000000000001E-3</v>
      </c>
      <c r="I6542" s="508">
        <v>5.0000000000000001E-3</v>
      </c>
      <c r="J6542" s="508">
        <v>5.0000000000000001E-3</v>
      </c>
      <c r="K6542" s="508">
        <v>5.0000000000000001E-3</v>
      </c>
      <c r="L6542" s="508">
        <v>5.0000000000000001E-3</v>
      </c>
      <c r="M6542" s="508">
        <v>5.0000000000000001E-3</v>
      </c>
      <c r="N6542" s="508">
        <v>5.0000000000000001E-3</v>
      </c>
      <c r="O6542" s="508">
        <v>5.0000000000000001E-3</v>
      </c>
      <c r="P6542" s="508">
        <v>5.0000000000000001E-3</v>
      </c>
      <c r="Q6542" s="508">
        <v>5.0000000000000001E-3</v>
      </c>
      <c r="R6542" s="508">
        <v>5.0000000000000001E-3</v>
      </c>
      <c r="S6542" s="508">
        <v>5.0000000000000001E-3</v>
      </c>
      <c r="T6542" s="508">
        <v>5.0000000000000001E-3</v>
      </c>
      <c r="U6542" s="508">
        <v>5.0000000000000001E-3</v>
      </c>
      <c r="V6542" s="508">
        <v>5.0000000000000001E-3</v>
      </c>
      <c r="W6542" s="508">
        <v>5.0000000000000001E-3</v>
      </c>
      <c r="X6542" s="508">
        <v>5.0000000000000001E-3</v>
      </c>
      <c r="Y6542" s="508">
        <v>5.0000000000000001E-3</v>
      </c>
      <c r="Z6542" s="508">
        <v>6.0000000000000001E-3</v>
      </c>
      <c r="AA6542" s="508">
        <v>5.0000000000000001E-3</v>
      </c>
      <c r="AB6542" s="508">
        <v>5.0000000000000001E-3</v>
      </c>
      <c r="AC6542" s="508">
        <v>5.0000000000000001E-3</v>
      </c>
      <c r="AD6542" s="508">
        <v>5.0000000000000001E-3</v>
      </c>
      <c r="AE6542" s="508">
        <v>5.0000000000000001E-3</v>
      </c>
      <c r="AF6542" s="508">
        <v>5.0000000000000001E-3</v>
      </c>
      <c r="AG6542" s="508">
        <v>5.0000000000000001E-3</v>
      </c>
      <c r="AH6542" s="508">
        <v>5.0000000000000001E-3</v>
      </c>
      <c r="AI6542" s="492">
        <v>5.0000000000000001E-3</v>
      </c>
      <c r="AJ6542" s="485"/>
    </row>
    <row r="6543" spans="2:36">
      <c r="B6543" s="136" t="s">
        <v>480</v>
      </c>
      <c r="C6543" s="132" t="s">
        <v>1368</v>
      </c>
      <c r="D6543" s="132" t="s">
        <v>1380</v>
      </c>
      <c r="E6543" s="508">
        <v>4.0000000000000001E-3</v>
      </c>
      <c r="F6543" s="508">
        <v>4.0000000000000001E-3</v>
      </c>
      <c r="G6543" s="508">
        <v>4.0000000000000001E-3</v>
      </c>
      <c r="H6543" s="508">
        <v>4.0000000000000001E-3</v>
      </c>
      <c r="I6543" s="508">
        <v>4.0000000000000001E-3</v>
      </c>
      <c r="J6543" s="508">
        <v>4.0000000000000001E-3</v>
      </c>
      <c r="K6543" s="508">
        <v>4.0000000000000001E-3</v>
      </c>
      <c r="L6543" s="508">
        <v>5.0000000000000001E-3</v>
      </c>
      <c r="M6543" s="508">
        <v>5.0000000000000001E-3</v>
      </c>
      <c r="N6543" s="508">
        <v>4.0000000000000001E-3</v>
      </c>
      <c r="O6543" s="508">
        <v>4.0000000000000001E-3</v>
      </c>
      <c r="P6543" s="508">
        <v>5.0000000000000001E-3</v>
      </c>
      <c r="Q6543" s="508">
        <v>5.0000000000000001E-3</v>
      </c>
      <c r="R6543" s="508">
        <v>5.0000000000000001E-3</v>
      </c>
      <c r="S6543" s="508">
        <v>5.0000000000000001E-3</v>
      </c>
      <c r="T6543" s="508">
        <v>5.0000000000000001E-3</v>
      </c>
      <c r="U6543" s="508">
        <v>5.0000000000000001E-3</v>
      </c>
      <c r="V6543" s="508">
        <v>5.0000000000000001E-3</v>
      </c>
      <c r="W6543" s="508">
        <v>5.0000000000000001E-3</v>
      </c>
      <c r="X6543" s="508">
        <v>5.0000000000000001E-3</v>
      </c>
      <c r="Y6543" s="508">
        <v>5.0000000000000001E-3</v>
      </c>
      <c r="Z6543" s="508">
        <v>5.0000000000000001E-3</v>
      </c>
      <c r="AA6543" s="508">
        <v>5.0000000000000001E-3</v>
      </c>
      <c r="AB6543" s="508">
        <v>5.0000000000000001E-3</v>
      </c>
      <c r="AC6543" s="508">
        <v>5.0000000000000001E-3</v>
      </c>
      <c r="AD6543" s="508">
        <v>5.0000000000000001E-3</v>
      </c>
      <c r="AE6543" s="508">
        <v>5.0000000000000001E-3</v>
      </c>
      <c r="AF6543" s="508">
        <v>5.0000000000000001E-3</v>
      </c>
      <c r="AG6543" s="508">
        <v>5.0000000000000001E-3</v>
      </c>
      <c r="AH6543" s="508">
        <v>5.0000000000000001E-3</v>
      </c>
      <c r="AI6543" s="492">
        <v>5.0000000000000001E-3</v>
      </c>
      <c r="AJ6543" s="485"/>
    </row>
    <row r="6544" spans="2:36">
      <c r="B6544" s="136" t="s">
        <v>481</v>
      </c>
      <c r="C6544" s="132" t="s">
        <v>1368</v>
      </c>
      <c r="D6544" s="132" t="s">
        <v>1380</v>
      </c>
      <c r="E6544" s="508">
        <v>6.0000000000000001E-3</v>
      </c>
      <c r="F6544" s="508">
        <v>6.0000000000000001E-3</v>
      </c>
      <c r="G6544" s="508">
        <v>6.0000000000000001E-3</v>
      </c>
      <c r="H6544" s="508">
        <v>6.0000000000000001E-3</v>
      </c>
      <c r="I6544" s="508">
        <v>6.0000000000000001E-3</v>
      </c>
      <c r="J6544" s="508">
        <v>6.0000000000000001E-3</v>
      </c>
      <c r="K6544" s="508">
        <v>6.0000000000000001E-3</v>
      </c>
      <c r="L6544" s="508">
        <v>6.0000000000000001E-3</v>
      </c>
      <c r="M6544" s="508">
        <v>6.0000000000000001E-3</v>
      </c>
      <c r="N6544" s="508">
        <v>6.0000000000000001E-3</v>
      </c>
      <c r="O6544" s="508">
        <v>6.0000000000000001E-3</v>
      </c>
      <c r="P6544" s="508">
        <v>6.0000000000000001E-3</v>
      </c>
      <c r="Q6544" s="508">
        <v>6.0000000000000001E-3</v>
      </c>
      <c r="R6544" s="508">
        <v>6.0000000000000001E-3</v>
      </c>
      <c r="S6544" s="508">
        <v>6.0000000000000001E-3</v>
      </c>
      <c r="T6544" s="508">
        <v>6.0000000000000001E-3</v>
      </c>
      <c r="U6544" s="508">
        <v>6.0000000000000001E-3</v>
      </c>
      <c r="V6544" s="508">
        <v>6.0000000000000001E-3</v>
      </c>
      <c r="W6544" s="508">
        <v>6.0000000000000001E-3</v>
      </c>
      <c r="X6544" s="508">
        <v>6.0000000000000001E-3</v>
      </c>
      <c r="Y6544" s="508">
        <v>6.0000000000000001E-3</v>
      </c>
      <c r="Z6544" s="508">
        <v>6.0000000000000001E-3</v>
      </c>
      <c r="AA6544" s="508">
        <v>6.0000000000000001E-3</v>
      </c>
      <c r="AB6544" s="508">
        <v>6.0000000000000001E-3</v>
      </c>
      <c r="AC6544" s="508">
        <v>6.0000000000000001E-3</v>
      </c>
      <c r="AD6544" s="508">
        <v>6.0000000000000001E-3</v>
      </c>
      <c r="AE6544" s="508">
        <v>6.0000000000000001E-3</v>
      </c>
      <c r="AF6544" s="508">
        <v>6.0000000000000001E-3</v>
      </c>
      <c r="AG6544" s="508">
        <v>6.0000000000000001E-3</v>
      </c>
      <c r="AH6544" s="508">
        <v>6.0000000000000001E-3</v>
      </c>
      <c r="AI6544" s="492">
        <v>6.0000000000000001E-3</v>
      </c>
      <c r="AJ6544" s="485"/>
    </row>
    <row r="6545" spans="2:36">
      <c r="B6545" s="136" t="s">
        <v>482</v>
      </c>
      <c r="C6545" s="132" t="s">
        <v>1368</v>
      </c>
      <c r="D6545" s="132" t="s">
        <v>1380</v>
      </c>
      <c r="E6545" s="508">
        <v>5.0000000000000001E-3</v>
      </c>
      <c r="F6545" s="508">
        <v>5.0000000000000001E-3</v>
      </c>
      <c r="G6545" s="508">
        <v>5.0000000000000001E-3</v>
      </c>
      <c r="H6545" s="508">
        <v>5.0000000000000001E-3</v>
      </c>
      <c r="I6545" s="508">
        <v>5.0000000000000001E-3</v>
      </c>
      <c r="J6545" s="508">
        <v>5.0000000000000001E-3</v>
      </c>
      <c r="K6545" s="508">
        <v>5.0000000000000001E-3</v>
      </c>
      <c r="L6545" s="508">
        <v>6.0000000000000001E-3</v>
      </c>
      <c r="M6545" s="508">
        <v>5.0000000000000001E-3</v>
      </c>
      <c r="N6545" s="508">
        <v>5.0000000000000001E-3</v>
      </c>
      <c r="O6545" s="508">
        <v>5.0000000000000001E-3</v>
      </c>
      <c r="P6545" s="508">
        <v>5.0000000000000001E-3</v>
      </c>
      <c r="Q6545" s="508">
        <v>5.0000000000000001E-3</v>
      </c>
      <c r="R6545" s="508">
        <v>5.0000000000000001E-3</v>
      </c>
      <c r="S6545" s="508">
        <v>5.0000000000000001E-3</v>
      </c>
      <c r="T6545" s="508">
        <v>5.0000000000000001E-3</v>
      </c>
      <c r="U6545" s="508">
        <v>5.0000000000000001E-3</v>
      </c>
      <c r="V6545" s="508">
        <v>5.0000000000000001E-3</v>
      </c>
      <c r="W6545" s="508">
        <v>5.0000000000000001E-3</v>
      </c>
      <c r="X6545" s="508">
        <v>5.0000000000000001E-3</v>
      </c>
      <c r="Y6545" s="508">
        <v>6.0000000000000001E-3</v>
      </c>
      <c r="Z6545" s="508">
        <v>6.0000000000000001E-3</v>
      </c>
      <c r="AA6545" s="508">
        <v>5.0000000000000001E-3</v>
      </c>
      <c r="AB6545" s="508">
        <v>6.0000000000000001E-3</v>
      </c>
      <c r="AC6545" s="508">
        <v>5.0000000000000001E-3</v>
      </c>
      <c r="AD6545" s="508">
        <v>5.0000000000000001E-3</v>
      </c>
      <c r="AE6545" s="508">
        <v>6.0000000000000001E-3</v>
      </c>
      <c r="AF6545" s="508">
        <v>6.0000000000000001E-3</v>
      </c>
      <c r="AG6545" s="508">
        <v>6.0000000000000001E-3</v>
      </c>
      <c r="AH6545" s="508">
        <v>6.0000000000000001E-3</v>
      </c>
      <c r="AI6545" s="492">
        <v>6.0000000000000001E-3</v>
      </c>
      <c r="AJ6545" s="485"/>
    </row>
    <row r="6546" spans="2:36">
      <c r="B6546" s="136" t="s">
        <v>483</v>
      </c>
      <c r="C6546" s="132" t="s">
        <v>1368</v>
      </c>
      <c r="D6546" s="132" t="s">
        <v>1380</v>
      </c>
      <c r="E6546" s="508">
        <v>6.0000000000000001E-3</v>
      </c>
      <c r="F6546" s="508">
        <v>6.0000000000000001E-3</v>
      </c>
      <c r="G6546" s="508">
        <v>6.0000000000000001E-3</v>
      </c>
      <c r="H6546" s="508">
        <v>6.0000000000000001E-3</v>
      </c>
      <c r="I6546" s="508">
        <v>6.0000000000000001E-3</v>
      </c>
      <c r="J6546" s="508">
        <v>6.0000000000000001E-3</v>
      </c>
      <c r="K6546" s="508">
        <v>6.0000000000000001E-3</v>
      </c>
      <c r="L6546" s="508">
        <v>6.0000000000000001E-3</v>
      </c>
      <c r="M6546" s="508">
        <v>6.0000000000000001E-3</v>
      </c>
      <c r="N6546" s="508">
        <v>6.0000000000000001E-3</v>
      </c>
      <c r="O6546" s="508">
        <v>6.0000000000000001E-3</v>
      </c>
      <c r="P6546" s="508">
        <v>6.0000000000000001E-3</v>
      </c>
      <c r="Q6546" s="508">
        <v>6.0000000000000001E-3</v>
      </c>
      <c r="R6546" s="508">
        <v>6.0000000000000001E-3</v>
      </c>
      <c r="S6546" s="508">
        <v>6.0000000000000001E-3</v>
      </c>
      <c r="T6546" s="508">
        <v>6.0000000000000001E-3</v>
      </c>
      <c r="U6546" s="508">
        <v>6.0000000000000001E-3</v>
      </c>
      <c r="V6546" s="508">
        <v>6.0000000000000001E-3</v>
      </c>
      <c r="W6546" s="508">
        <v>6.0000000000000001E-3</v>
      </c>
      <c r="X6546" s="508">
        <v>6.0000000000000001E-3</v>
      </c>
      <c r="Y6546" s="508">
        <v>6.0000000000000001E-3</v>
      </c>
      <c r="Z6546" s="508">
        <v>6.0000000000000001E-3</v>
      </c>
      <c r="AA6546" s="508">
        <v>6.0000000000000001E-3</v>
      </c>
      <c r="AB6546" s="508">
        <v>6.0000000000000001E-3</v>
      </c>
      <c r="AC6546" s="508">
        <v>6.0000000000000001E-3</v>
      </c>
      <c r="AD6546" s="508">
        <v>6.0000000000000001E-3</v>
      </c>
      <c r="AE6546" s="508">
        <v>6.0000000000000001E-3</v>
      </c>
      <c r="AF6546" s="508">
        <v>6.0000000000000001E-3</v>
      </c>
      <c r="AG6546" s="508">
        <v>6.0000000000000001E-3</v>
      </c>
      <c r="AH6546" s="508">
        <v>6.0000000000000001E-3</v>
      </c>
      <c r="AI6546" s="492">
        <v>6.0000000000000001E-3</v>
      </c>
      <c r="AJ6546" s="485"/>
    </row>
    <row r="6547" spans="2:36">
      <c r="B6547" s="136" t="s">
        <v>484</v>
      </c>
      <c r="C6547" s="132" t="s">
        <v>1368</v>
      </c>
      <c r="D6547" s="132" t="s">
        <v>1380</v>
      </c>
      <c r="E6547" s="508">
        <v>5.0000000000000001E-3</v>
      </c>
      <c r="F6547" s="508">
        <v>5.0000000000000001E-3</v>
      </c>
      <c r="G6547" s="508">
        <v>5.0000000000000001E-3</v>
      </c>
      <c r="H6547" s="508">
        <v>5.0000000000000001E-3</v>
      </c>
      <c r="I6547" s="508">
        <v>5.0000000000000001E-3</v>
      </c>
      <c r="J6547" s="508">
        <v>5.0000000000000001E-3</v>
      </c>
      <c r="K6547" s="508">
        <v>5.0000000000000001E-3</v>
      </c>
      <c r="L6547" s="508">
        <v>5.0000000000000001E-3</v>
      </c>
      <c r="M6547" s="508">
        <v>5.0000000000000001E-3</v>
      </c>
      <c r="N6547" s="508">
        <v>5.0000000000000001E-3</v>
      </c>
      <c r="O6547" s="508">
        <v>5.0000000000000001E-3</v>
      </c>
      <c r="P6547" s="508">
        <v>5.0000000000000001E-3</v>
      </c>
      <c r="Q6547" s="508">
        <v>5.0000000000000001E-3</v>
      </c>
      <c r="R6547" s="508">
        <v>5.0000000000000001E-3</v>
      </c>
      <c r="S6547" s="508">
        <v>5.0000000000000001E-3</v>
      </c>
      <c r="T6547" s="508">
        <v>5.0000000000000001E-3</v>
      </c>
      <c r="U6547" s="508">
        <v>5.0000000000000001E-3</v>
      </c>
      <c r="V6547" s="508">
        <v>5.0000000000000001E-3</v>
      </c>
      <c r="W6547" s="508">
        <v>5.0000000000000001E-3</v>
      </c>
      <c r="X6547" s="508">
        <v>5.0000000000000001E-3</v>
      </c>
      <c r="Y6547" s="508">
        <v>5.0000000000000001E-3</v>
      </c>
      <c r="Z6547" s="508">
        <v>5.0000000000000001E-3</v>
      </c>
      <c r="AA6547" s="508">
        <v>5.0000000000000001E-3</v>
      </c>
      <c r="AB6547" s="508">
        <v>5.0000000000000001E-3</v>
      </c>
      <c r="AC6547" s="508">
        <v>5.0000000000000001E-3</v>
      </c>
      <c r="AD6547" s="508">
        <v>5.0000000000000001E-3</v>
      </c>
      <c r="AE6547" s="508">
        <v>5.0000000000000001E-3</v>
      </c>
      <c r="AF6547" s="508">
        <v>5.0000000000000001E-3</v>
      </c>
      <c r="AG6547" s="508">
        <v>5.0000000000000001E-3</v>
      </c>
      <c r="AH6547" s="508">
        <v>5.0000000000000001E-3</v>
      </c>
      <c r="AI6547" s="492">
        <v>5.0000000000000001E-3</v>
      </c>
      <c r="AJ6547" s="485"/>
    </row>
    <row r="6548" spans="2:36">
      <c r="B6548" s="136" t="s">
        <v>486</v>
      </c>
      <c r="C6548" s="132" t="s">
        <v>1368</v>
      </c>
      <c r="D6548" s="132" t="s">
        <v>1380</v>
      </c>
      <c r="E6548" s="508">
        <v>6.0000000000000001E-3</v>
      </c>
      <c r="F6548" s="508">
        <v>6.0000000000000001E-3</v>
      </c>
      <c r="G6548" s="508">
        <v>6.0000000000000001E-3</v>
      </c>
      <c r="H6548" s="508">
        <v>6.0000000000000001E-3</v>
      </c>
      <c r="I6548" s="508">
        <v>6.0000000000000001E-3</v>
      </c>
      <c r="J6548" s="508">
        <v>6.0000000000000001E-3</v>
      </c>
      <c r="K6548" s="508">
        <v>6.0000000000000001E-3</v>
      </c>
      <c r="L6548" s="508">
        <v>6.0000000000000001E-3</v>
      </c>
      <c r="M6548" s="508">
        <v>6.0000000000000001E-3</v>
      </c>
      <c r="N6548" s="508">
        <v>6.0000000000000001E-3</v>
      </c>
      <c r="O6548" s="508">
        <v>6.0000000000000001E-3</v>
      </c>
      <c r="P6548" s="508">
        <v>6.0000000000000001E-3</v>
      </c>
      <c r="Q6548" s="508">
        <v>6.0000000000000001E-3</v>
      </c>
      <c r="R6548" s="508">
        <v>6.0000000000000001E-3</v>
      </c>
      <c r="S6548" s="508">
        <v>6.0000000000000001E-3</v>
      </c>
      <c r="T6548" s="508">
        <v>6.0000000000000001E-3</v>
      </c>
      <c r="U6548" s="508">
        <v>6.0000000000000001E-3</v>
      </c>
      <c r="V6548" s="508">
        <v>6.0000000000000001E-3</v>
      </c>
      <c r="W6548" s="508">
        <v>6.0000000000000001E-3</v>
      </c>
      <c r="X6548" s="508">
        <v>6.0000000000000001E-3</v>
      </c>
      <c r="Y6548" s="508">
        <v>6.0000000000000001E-3</v>
      </c>
      <c r="Z6548" s="508">
        <v>6.0000000000000001E-3</v>
      </c>
      <c r="AA6548" s="508">
        <v>6.0000000000000001E-3</v>
      </c>
      <c r="AB6548" s="508">
        <v>6.0000000000000001E-3</v>
      </c>
      <c r="AC6548" s="508">
        <v>6.0000000000000001E-3</v>
      </c>
      <c r="AD6548" s="508">
        <v>6.0000000000000001E-3</v>
      </c>
      <c r="AE6548" s="508">
        <v>6.0000000000000001E-3</v>
      </c>
      <c r="AF6548" s="508">
        <v>6.0000000000000001E-3</v>
      </c>
      <c r="AG6548" s="508">
        <v>6.0000000000000001E-3</v>
      </c>
      <c r="AH6548" s="508">
        <v>6.0000000000000001E-3</v>
      </c>
      <c r="AI6548" s="492">
        <v>6.0000000000000001E-3</v>
      </c>
      <c r="AJ6548" s="485"/>
    </row>
    <row r="6549" spans="2:36">
      <c r="B6549" s="136" t="s">
        <v>487</v>
      </c>
      <c r="C6549" s="132" t="s">
        <v>1368</v>
      </c>
      <c r="D6549" s="132" t="s">
        <v>1380</v>
      </c>
      <c r="E6549" s="508">
        <v>6.0000000000000001E-3</v>
      </c>
      <c r="F6549" s="508">
        <v>6.0000000000000001E-3</v>
      </c>
      <c r="G6549" s="508">
        <v>6.0000000000000001E-3</v>
      </c>
      <c r="H6549" s="508">
        <v>6.0000000000000001E-3</v>
      </c>
      <c r="I6549" s="508">
        <v>6.0000000000000001E-3</v>
      </c>
      <c r="J6549" s="508">
        <v>6.0000000000000001E-3</v>
      </c>
      <c r="K6549" s="508">
        <v>6.0000000000000001E-3</v>
      </c>
      <c r="L6549" s="508">
        <v>6.0000000000000001E-3</v>
      </c>
      <c r="M6549" s="508">
        <v>6.0000000000000001E-3</v>
      </c>
      <c r="N6549" s="508">
        <v>6.0000000000000001E-3</v>
      </c>
      <c r="O6549" s="508">
        <v>6.0000000000000001E-3</v>
      </c>
      <c r="P6549" s="508">
        <v>6.0000000000000001E-3</v>
      </c>
      <c r="Q6549" s="508">
        <v>6.0000000000000001E-3</v>
      </c>
      <c r="R6549" s="508">
        <v>6.0000000000000001E-3</v>
      </c>
      <c r="S6549" s="508">
        <v>6.0000000000000001E-3</v>
      </c>
      <c r="T6549" s="508">
        <v>6.0000000000000001E-3</v>
      </c>
      <c r="U6549" s="508">
        <v>6.0000000000000001E-3</v>
      </c>
      <c r="V6549" s="508">
        <v>6.0000000000000001E-3</v>
      </c>
      <c r="W6549" s="508">
        <v>6.0000000000000001E-3</v>
      </c>
      <c r="X6549" s="508">
        <v>6.0000000000000001E-3</v>
      </c>
      <c r="Y6549" s="508">
        <v>6.0000000000000001E-3</v>
      </c>
      <c r="Z6549" s="508">
        <v>6.0000000000000001E-3</v>
      </c>
      <c r="AA6549" s="508">
        <v>6.0000000000000001E-3</v>
      </c>
      <c r="AB6549" s="508">
        <v>6.0000000000000001E-3</v>
      </c>
      <c r="AC6549" s="508">
        <v>6.0000000000000001E-3</v>
      </c>
      <c r="AD6549" s="508">
        <v>6.0000000000000001E-3</v>
      </c>
      <c r="AE6549" s="508">
        <v>6.0000000000000001E-3</v>
      </c>
      <c r="AF6549" s="508">
        <v>6.0000000000000001E-3</v>
      </c>
      <c r="AG6549" s="508">
        <v>6.0000000000000001E-3</v>
      </c>
      <c r="AH6549" s="508">
        <v>6.0000000000000001E-3</v>
      </c>
      <c r="AI6549" s="492">
        <v>6.0000000000000001E-3</v>
      </c>
      <c r="AJ6549" s="485"/>
    </row>
    <row r="6550" spans="2:36">
      <c r="B6550" s="136" t="s">
        <v>488</v>
      </c>
      <c r="C6550" s="132" t="s">
        <v>1368</v>
      </c>
      <c r="D6550" s="132" t="s">
        <v>1380</v>
      </c>
      <c r="E6550" s="508">
        <v>5.0000000000000001E-3</v>
      </c>
      <c r="F6550" s="508">
        <v>5.0000000000000001E-3</v>
      </c>
      <c r="G6550" s="508">
        <v>5.0000000000000001E-3</v>
      </c>
      <c r="H6550" s="508">
        <v>5.0000000000000001E-3</v>
      </c>
      <c r="I6550" s="508">
        <v>5.0000000000000001E-3</v>
      </c>
      <c r="J6550" s="508">
        <v>5.0000000000000001E-3</v>
      </c>
      <c r="K6550" s="508">
        <v>5.0000000000000001E-3</v>
      </c>
      <c r="L6550" s="508">
        <v>5.0000000000000001E-3</v>
      </c>
      <c r="M6550" s="508">
        <v>5.0000000000000001E-3</v>
      </c>
      <c r="N6550" s="508">
        <v>5.0000000000000001E-3</v>
      </c>
      <c r="O6550" s="508">
        <v>5.0000000000000001E-3</v>
      </c>
      <c r="P6550" s="508">
        <v>5.0000000000000001E-3</v>
      </c>
      <c r="Q6550" s="508">
        <v>5.0000000000000001E-3</v>
      </c>
      <c r="R6550" s="508">
        <v>5.0000000000000001E-3</v>
      </c>
      <c r="S6550" s="508">
        <v>5.0000000000000001E-3</v>
      </c>
      <c r="T6550" s="508">
        <v>5.0000000000000001E-3</v>
      </c>
      <c r="U6550" s="508">
        <v>5.0000000000000001E-3</v>
      </c>
      <c r="V6550" s="508">
        <v>5.0000000000000001E-3</v>
      </c>
      <c r="W6550" s="508">
        <v>5.0000000000000001E-3</v>
      </c>
      <c r="X6550" s="508">
        <v>5.0000000000000001E-3</v>
      </c>
      <c r="Y6550" s="508">
        <v>5.0000000000000001E-3</v>
      </c>
      <c r="Z6550" s="508">
        <v>5.0000000000000001E-3</v>
      </c>
      <c r="AA6550" s="508">
        <v>5.0000000000000001E-3</v>
      </c>
      <c r="AB6550" s="508">
        <v>5.0000000000000001E-3</v>
      </c>
      <c r="AC6550" s="508">
        <v>5.0000000000000001E-3</v>
      </c>
      <c r="AD6550" s="508">
        <v>5.0000000000000001E-3</v>
      </c>
      <c r="AE6550" s="508">
        <v>5.0000000000000001E-3</v>
      </c>
      <c r="AF6550" s="508">
        <v>5.0000000000000001E-3</v>
      </c>
      <c r="AG6550" s="508">
        <v>5.0000000000000001E-3</v>
      </c>
      <c r="AH6550" s="508">
        <v>5.0000000000000001E-3</v>
      </c>
      <c r="AI6550" s="492">
        <v>5.0000000000000001E-3</v>
      </c>
      <c r="AJ6550" s="485"/>
    </row>
    <row r="6551" spans="2:36">
      <c r="B6551" s="136" t="s">
        <v>489</v>
      </c>
      <c r="C6551" s="132" t="s">
        <v>1368</v>
      </c>
      <c r="D6551" s="132" t="s">
        <v>1380</v>
      </c>
      <c r="E6551" s="508">
        <v>5.0000000000000001E-3</v>
      </c>
      <c r="F6551" s="508">
        <v>5.0000000000000001E-3</v>
      </c>
      <c r="G6551" s="508">
        <v>5.0000000000000001E-3</v>
      </c>
      <c r="H6551" s="508">
        <v>5.0000000000000001E-3</v>
      </c>
      <c r="I6551" s="508">
        <v>5.0000000000000001E-3</v>
      </c>
      <c r="J6551" s="508">
        <v>5.0000000000000001E-3</v>
      </c>
      <c r="K6551" s="508">
        <v>5.0000000000000001E-3</v>
      </c>
      <c r="L6551" s="508">
        <v>5.0000000000000001E-3</v>
      </c>
      <c r="M6551" s="508">
        <v>5.0000000000000001E-3</v>
      </c>
      <c r="N6551" s="508">
        <v>5.0000000000000001E-3</v>
      </c>
      <c r="O6551" s="508">
        <v>5.0000000000000001E-3</v>
      </c>
      <c r="P6551" s="508">
        <v>5.0000000000000001E-3</v>
      </c>
      <c r="Q6551" s="508">
        <v>5.0000000000000001E-3</v>
      </c>
      <c r="R6551" s="508">
        <v>5.0000000000000001E-3</v>
      </c>
      <c r="S6551" s="508">
        <v>5.0000000000000001E-3</v>
      </c>
      <c r="T6551" s="508">
        <v>5.0000000000000001E-3</v>
      </c>
      <c r="U6551" s="508">
        <v>5.0000000000000001E-3</v>
      </c>
      <c r="V6551" s="508">
        <v>5.0000000000000001E-3</v>
      </c>
      <c r="W6551" s="508">
        <v>5.0000000000000001E-3</v>
      </c>
      <c r="X6551" s="508">
        <v>5.0000000000000001E-3</v>
      </c>
      <c r="Y6551" s="508">
        <v>5.0000000000000001E-3</v>
      </c>
      <c r="Z6551" s="508">
        <v>5.0000000000000001E-3</v>
      </c>
      <c r="AA6551" s="508">
        <v>5.0000000000000001E-3</v>
      </c>
      <c r="AB6551" s="508">
        <v>5.0000000000000001E-3</v>
      </c>
      <c r="AC6551" s="508">
        <v>5.0000000000000001E-3</v>
      </c>
      <c r="AD6551" s="508">
        <v>5.0000000000000001E-3</v>
      </c>
      <c r="AE6551" s="508">
        <v>5.0000000000000001E-3</v>
      </c>
      <c r="AF6551" s="508">
        <v>5.0000000000000001E-3</v>
      </c>
      <c r="AG6551" s="508">
        <v>5.0000000000000001E-3</v>
      </c>
      <c r="AH6551" s="508">
        <v>5.0000000000000001E-3</v>
      </c>
      <c r="AI6551" s="492">
        <v>5.0000000000000001E-3</v>
      </c>
      <c r="AJ6551" s="485"/>
    </row>
    <row r="6552" spans="2:36">
      <c r="B6552" s="136" t="s">
        <v>490</v>
      </c>
      <c r="C6552" s="132" t="s">
        <v>1368</v>
      </c>
      <c r="D6552" s="132" t="s">
        <v>1380</v>
      </c>
      <c r="E6552" s="508">
        <v>5.0000000000000001E-3</v>
      </c>
      <c r="F6552" s="508">
        <v>5.0000000000000001E-3</v>
      </c>
      <c r="G6552" s="508">
        <v>5.0000000000000001E-3</v>
      </c>
      <c r="H6552" s="508">
        <v>5.0000000000000001E-3</v>
      </c>
      <c r="I6552" s="508">
        <v>5.0000000000000001E-3</v>
      </c>
      <c r="J6552" s="508">
        <v>5.0000000000000001E-3</v>
      </c>
      <c r="K6552" s="508">
        <v>5.0000000000000001E-3</v>
      </c>
      <c r="L6552" s="508">
        <v>5.0000000000000001E-3</v>
      </c>
      <c r="M6552" s="508">
        <v>5.0000000000000001E-3</v>
      </c>
      <c r="N6552" s="508">
        <v>5.0000000000000001E-3</v>
      </c>
      <c r="O6552" s="508">
        <v>5.0000000000000001E-3</v>
      </c>
      <c r="P6552" s="508">
        <v>5.0000000000000001E-3</v>
      </c>
      <c r="Q6552" s="508">
        <v>5.0000000000000001E-3</v>
      </c>
      <c r="R6552" s="508">
        <v>5.0000000000000001E-3</v>
      </c>
      <c r="S6552" s="508">
        <v>5.0000000000000001E-3</v>
      </c>
      <c r="T6552" s="508">
        <v>5.0000000000000001E-3</v>
      </c>
      <c r="U6552" s="508">
        <v>5.0000000000000001E-3</v>
      </c>
      <c r="V6552" s="508">
        <v>5.0000000000000001E-3</v>
      </c>
      <c r="W6552" s="508">
        <v>5.0000000000000001E-3</v>
      </c>
      <c r="X6552" s="508">
        <v>5.0000000000000001E-3</v>
      </c>
      <c r="Y6552" s="508">
        <v>5.0000000000000001E-3</v>
      </c>
      <c r="Z6552" s="508">
        <v>5.0000000000000001E-3</v>
      </c>
      <c r="AA6552" s="508">
        <v>5.0000000000000001E-3</v>
      </c>
      <c r="AB6552" s="508">
        <v>5.0000000000000001E-3</v>
      </c>
      <c r="AC6552" s="508">
        <v>5.0000000000000001E-3</v>
      </c>
      <c r="AD6552" s="508">
        <v>5.0000000000000001E-3</v>
      </c>
      <c r="AE6552" s="508">
        <v>5.0000000000000001E-3</v>
      </c>
      <c r="AF6552" s="508">
        <v>5.0000000000000001E-3</v>
      </c>
      <c r="AG6552" s="508">
        <v>5.0000000000000001E-3</v>
      </c>
      <c r="AH6552" s="508">
        <v>5.0000000000000001E-3</v>
      </c>
      <c r="AI6552" s="492">
        <v>5.0000000000000001E-3</v>
      </c>
      <c r="AJ6552" s="485"/>
    </row>
    <row r="6553" spans="2:36">
      <c r="B6553" s="136" t="s">
        <v>435</v>
      </c>
      <c r="C6553" s="132" t="s">
        <v>1369</v>
      </c>
      <c r="D6553" s="132" t="s">
        <v>1380</v>
      </c>
      <c r="E6553" s="508">
        <v>6.0000000000000001E-3</v>
      </c>
      <c r="F6553" s="508">
        <v>6.0000000000000001E-3</v>
      </c>
      <c r="G6553" s="508">
        <v>6.0000000000000001E-3</v>
      </c>
      <c r="H6553" s="508">
        <v>6.0000000000000001E-3</v>
      </c>
      <c r="I6553" s="508">
        <v>6.0000000000000001E-3</v>
      </c>
      <c r="J6553" s="508">
        <v>6.0000000000000001E-3</v>
      </c>
      <c r="K6553" s="508">
        <v>6.0000000000000001E-3</v>
      </c>
      <c r="L6553" s="508">
        <v>6.0000000000000001E-3</v>
      </c>
      <c r="M6553" s="508">
        <v>6.0000000000000001E-3</v>
      </c>
      <c r="N6553" s="508">
        <v>6.0000000000000001E-3</v>
      </c>
      <c r="O6553" s="508">
        <v>6.0000000000000001E-3</v>
      </c>
      <c r="P6553" s="508">
        <v>6.0000000000000001E-3</v>
      </c>
      <c r="Q6553" s="508">
        <v>6.0000000000000001E-3</v>
      </c>
      <c r="R6553" s="508">
        <v>6.0000000000000001E-3</v>
      </c>
      <c r="S6553" s="508">
        <v>6.0000000000000001E-3</v>
      </c>
      <c r="T6553" s="508">
        <v>6.0000000000000001E-3</v>
      </c>
      <c r="U6553" s="508">
        <v>6.0000000000000001E-3</v>
      </c>
      <c r="V6553" s="508">
        <v>6.0000000000000001E-3</v>
      </c>
      <c r="W6553" s="508">
        <v>6.0000000000000001E-3</v>
      </c>
      <c r="X6553" s="508">
        <v>6.0000000000000001E-3</v>
      </c>
      <c r="Y6553" s="508">
        <v>6.0000000000000001E-3</v>
      </c>
      <c r="Z6553" s="508">
        <v>6.0000000000000001E-3</v>
      </c>
      <c r="AA6553" s="508">
        <v>6.0000000000000001E-3</v>
      </c>
      <c r="AB6553" s="508">
        <v>6.0000000000000001E-3</v>
      </c>
      <c r="AC6553" s="508">
        <v>6.0000000000000001E-3</v>
      </c>
      <c r="AD6553" s="508">
        <v>6.0000000000000001E-3</v>
      </c>
      <c r="AE6553" s="508">
        <v>6.0000000000000001E-3</v>
      </c>
      <c r="AF6553" s="508">
        <v>6.0000000000000001E-3</v>
      </c>
      <c r="AG6553" s="508">
        <v>6.0000000000000001E-3</v>
      </c>
      <c r="AH6553" s="508">
        <v>6.0000000000000001E-3</v>
      </c>
      <c r="AI6553" s="492">
        <v>6.0000000000000001E-3</v>
      </c>
      <c r="AJ6553" s="485"/>
    </row>
    <row r="6554" spans="2:36">
      <c r="B6554" s="136" t="s">
        <v>436</v>
      </c>
      <c r="C6554" s="132" t="s">
        <v>1369</v>
      </c>
      <c r="D6554" s="132" t="s">
        <v>1380</v>
      </c>
      <c r="E6554" s="508">
        <v>5.0000000000000001E-3</v>
      </c>
      <c r="F6554" s="508">
        <v>5.0000000000000001E-3</v>
      </c>
      <c r="G6554" s="508">
        <v>5.0000000000000001E-3</v>
      </c>
      <c r="H6554" s="508">
        <v>5.0000000000000001E-3</v>
      </c>
      <c r="I6554" s="508">
        <v>5.0000000000000001E-3</v>
      </c>
      <c r="J6554" s="508">
        <v>5.0000000000000001E-3</v>
      </c>
      <c r="K6554" s="508">
        <v>5.0000000000000001E-3</v>
      </c>
      <c r="L6554" s="508">
        <v>5.0000000000000001E-3</v>
      </c>
      <c r="M6554" s="508">
        <v>5.0000000000000001E-3</v>
      </c>
      <c r="N6554" s="508">
        <v>5.0000000000000001E-3</v>
      </c>
      <c r="O6554" s="508">
        <v>5.0000000000000001E-3</v>
      </c>
      <c r="P6554" s="508">
        <v>5.0000000000000001E-3</v>
      </c>
      <c r="Q6554" s="508">
        <v>5.0000000000000001E-3</v>
      </c>
      <c r="R6554" s="508">
        <v>5.0000000000000001E-3</v>
      </c>
      <c r="S6554" s="508">
        <v>5.0000000000000001E-3</v>
      </c>
      <c r="T6554" s="508">
        <v>5.0000000000000001E-3</v>
      </c>
      <c r="U6554" s="508">
        <v>5.0000000000000001E-3</v>
      </c>
      <c r="V6554" s="508">
        <v>5.0000000000000001E-3</v>
      </c>
      <c r="W6554" s="508">
        <v>5.0000000000000001E-3</v>
      </c>
      <c r="X6554" s="508">
        <v>5.0000000000000001E-3</v>
      </c>
      <c r="Y6554" s="508">
        <v>5.0000000000000001E-3</v>
      </c>
      <c r="Z6554" s="508">
        <v>5.0000000000000001E-3</v>
      </c>
      <c r="AA6554" s="508">
        <v>5.0000000000000001E-3</v>
      </c>
      <c r="AB6554" s="508">
        <v>5.0000000000000001E-3</v>
      </c>
      <c r="AC6554" s="508">
        <v>5.0000000000000001E-3</v>
      </c>
      <c r="AD6554" s="508">
        <v>5.0000000000000001E-3</v>
      </c>
      <c r="AE6554" s="508">
        <v>5.0000000000000001E-3</v>
      </c>
      <c r="AF6554" s="508">
        <v>5.0000000000000001E-3</v>
      </c>
      <c r="AG6554" s="508">
        <v>5.0000000000000001E-3</v>
      </c>
      <c r="AH6554" s="508">
        <v>5.0000000000000001E-3</v>
      </c>
      <c r="AI6554" s="492">
        <v>5.0000000000000001E-3</v>
      </c>
      <c r="AJ6554" s="485"/>
    </row>
    <row r="6555" spans="2:36">
      <c r="B6555" s="136" t="s">
        <v>437</v>
      </c>
      <c r="C6555" s="132" t="s">
        <v>1369</v>
      </c>
      <c r="D6555" s="132" t="s">
        <v>1380</v>
      </c>
      <c r="E6555" s="508">
        <v>6.0000000000000001E-3</v>
      </c>
      <c r="F6555" s="508">
        <v>6.0000000000000001E-3</v>
      </c>
      <c r="G6555" s="508">
        <v>6.0000000000000001E-3</v>
      </c>
      <c r="H6555" s="508">
        <v>6.0000000000000001E-3</v>
      </c>
      <c r="I6555" s="508">
        <v>6.0000000000000001E-3</v>
      </c>
      <c r="J6555" s="508">
        <v>6.0000000000000001E-3</v>
      </c>
      <c r="K6555" s="508">
        <v>6.0000000000000001E-3</v>
      </c>
      <c r="L6555" s="508">
        <v>6.0000000000000001E-3</v>
      </c>
      <c r="M6555" s="508">
        <v>6.0000000000000001E-3</v>
      </c>
      <c r="N6555" s="508">
        <v>6.0000000000000001E-3</v>
      </c>
      <c r="O6555" s="508">
        <v>6.0000000000000001E-3</v>
      </c>
      <c r="P6555" s="508">
        <v>6.0000000000000001E-3</v>
      </c>
      <c r="Q6555" s="508">
        <v>6.0000000000000001E-3</v>
      </c>
      <c r="R6555" s="508">
        <v>6.0000000000000001E-3</v>
      </c>
      <c r="S6555" s="508">
        <v>6.0000000000000001E-3</v>
      </c>
      <c r="T6555" s="508">
        <v>6.0000000000000001E-3</v>
      </c>
      <c r="U6555" s="508">
        <v>6.0000000000000001E-3</v>
      </c>
      <c r="V6555" s="508">
        <v>6.0000000000000001E-3</v>
      </c>
      <c r="W6555" s="508">
        <v>6.0000000000000001E-3</v>
      </c>
      <c r="X6555" s="508">
        <v>6.0000000000000001E-3</v>
      </c>
      <c r="Y6555" s="508">
        <v>6.0000000000000001E-3</v>
      </c>
      <c r="Z6555" s="508">
        <v>6.0000000000000001E-3</v>
      </c>
      <c r="AA6555" s="508">
        <v>6.0000000000000001E-3</v>
      </c>
      <c r="AB6555" s="508">
        <v>6.0000000000000001E-3</v>
      </c>
      <c r="AC6555" s="508">
        <v>6.0000000000000001E-3</v>
      </c>
      <c r="AD6555" s="508">
        <v>6.0000000000000001E-3</v>
      </c>
      <c r="AE6555" s="508">
        <v>6.0000000000000001E-3</v>
      </c>
      <c r="AF6555" s="508">
        <v>6.0000000000000001E-3</v>
      </c>
      <c r="AG6555" s="508">
        <v>6.0000000000000001E-3</v>
      </c>
      <c r="AH6555" s="508">
        <v>6.0000000000000001E-3</v>
      </c>
      <c r="AI6555" s="492">
        <v>6.0000000000000001E-3</v>
      </c>
      <c r="AJ6555" s="485"/>
    </row>
    <row r="6556" spans="2:36">
      <c r="B6556" s="136" t="s">
        <v>438</v>
      </c>
      <c r="C6556" s="132" t="s">
        <v>1369</v>
      </c>
      <c r="D6556" s="132" t="s">
        <v>1380</v>
      </c>
      <c r="E6556" s="508">
        <v>5.0000000000000001E-3</v>
      </c>
      <c r="F6556" s="508">
        <v>5.0000000000000001E-3</v>
      </c>
      <c r="G6556" s="508">
        <v>5.0000000000000001E-3</v>
      </c>
      <c r="H6556" s="508">
        <v>5.0000000000000001E-3</v>
      </c>
      <c r="I6556" s="508">
        <v>5.0000000000000001E-3</v>
      </c>
      <c r="J6556" s="508">
        <v>5.0000000000000001E-3</v>
      </c>
      <c r="K6556" s="508">
        <v>5.0000000000000001E-3</v>
      </c>
      <c r="L6556" s="508">
        <v>5.0000000000000001E-3</v>
      </c>
      <c r="M6556" s="508">
        <v>5.0000000000000001E-3</v>
      </c>
      <c r="N6556" s="508">
        <v>5.0000000000000001E-3</v>
      </c>
      <c r="O6556" s="508">
        <v>5.0000000000000001E-3</v>
      </c>
      <c r="P6556" s="508">
        <v>5.0000000000000001E-3</v>
      </c>
      <c r="Q6556" s="508">
        <v>5.0000000000000001E-3</v>
      </c>
      <c r="R6556" s="508">
        <v>5.0000000000000001E-3</v>
      </c>
      <c r="S6556" s="508">
        <v>5.0000000000000001E-3</v>
      </c>
      <c r="T6556" s="508">
        <v>5.0000000000000001E-3</v>
      </c>
      <c r="U6556" s="508">
        <v>5.0000000000000001E-3</v>
      </c>
      <c r="V6556" s="508">
        <v>5.0000000000000001E-3</v>
      </c>
      <c r="W6556" s="508">
        <v>5.0000000000000001E-3</v>
      </c>
      <c r="X6556" s="508">
        <v>5.0000000000000001E-3</v>
      </c>
      <c r="Y6556" s="508">
        <v>5.0000000000000001E-3</v>
      </c>
      <c r="Z6556" s="508">
        <v>5.0000000000000001E-3</v>
      </c>
      <c r="AA6556" s="508">
        <v>5.0000000000000001E-3</v>
      </c>
      <c r="AB6556" s="508">
        <v>5.0000000000000001E-3</v>
      </c>
      <c r="AC6556" s="508">
        <v>5.0000000000000001E-3</v>
      </c>
      <c r="AD6556" s="508">
        <v>5.0000000000000001E-3</v>
      </c>
      <c r="AE6556" s="508">
        <v>5.0000000000000001E-3</v>
      </c>
      <c r="AF6556" s="508">
        <v>5.0000000000000001E-3</v>
      </c>
      <c r="AG6556" s="508">
        <v>5.0000000000000001E-3</v>
      </c>
      <c r="AH6556" s="508">
        <v>5.0000000000000001E-3</v>
      </c>
      <c r="AI6556" s="492">
        <v>5.0000000000000001E-3</v>
      </c>
      <c r="AJ6556" s="485"/>
    </row>
    <row r="6557" spans="2:36">
      <c r="B6557" s="136" t="s">
        <v>439</v>
      </c>
      <c r="C6557" s="132" t="s">
        <v>1369</v>
      </c>
      <c r="D6557" s="132" t="s">
        <v>1380</v>
      </c>
      <c r="E6557" s="508">
        <v>6.0000000000000001E-3</v>
      </c>
      <c r="F6557" s="508">
        <v>6.0000000000000001E-3</v>
      </c>
      <c r="G6557" s="508">
        <v>6.0000000000000001E-3</v>
      </c>
      <c r="H6557" s="508">
        <v>6.0000000000000001E-3</v>
      </c>
      <c r="I6557" s="508">
        <v>6.0000000000000001E-3</v>
      </c>
      <c r="J6557" s="508">
        <v>6.0000000000000001E-3</v>
      </c>
      <c r="K6557" s="508">
        <v>6.0000000000000001E-3</v>
      </c>
      <c r="L6557" s="508">
        <v>6.0000000000000001E-3</v>
      </c>
      <c r="M6557" s="508">
        <v>6.0000000000000001E-3</v>
      </c>
      <c r="N6557" s="508">
        <v>6.0000000000000001E-3</v>
      </c>
      <c r="O6557" s="508">
        <v>6.0000000000000001E-3</v>
      </c>
      <c r="P6557" s="508">
        <v>6.0000000000000001E-3</v>
      </c>
      <c r="Q6557" s="508">
        <v>6.0000000000000001E-3</v>
      </c>
      <c r="R6557" s="508">
        <v>6.0000000000000001E-3</v>
      </c>
      <c r="S6557" s="508">
        <v>6.0000000000000001E-3</v>
      </c>
      <c r="T6557" s="508">
        <v>6.0000000000000001E-3</v>
      </c>
      <c r="U6557" s="508">
        <v>6.0000000000000001E-3</v>
      </c>
      <c r="V6557" s="508">
        <v>6.0000000000000001E-3</v>
      </c>
      <c r="W6557" s="508">
        <v>6.0000000000000001E-3</v>
      </c>
      <c r="X6557" s="508">
        <v>6.0000000000000001E-3</v>
      </c>
      <c r="Y6557" s="508">
        <v>6.0000000000000001E-3</v>
      </c>
      <c r="Z6557" s="508">
        <v>6.0000000000000001E-3</v>
      </c>
      <c r="AA6557" s="508">
        <v>6.0000000000000001E-3</v>
      </c>
      <c r="AB6557" s="508">
        <v>6.0000000000000001E-3</v>
      </c>
      <c r="AC6557" s="508">
        <v>6.0000000000000001E-3</v>
      </c>
      <c r="AD6557" s="508">
        <v>6.0000000000000001E-3</v>
      </c>
      <c r="AE6557" s="508">
        <v>6.0000000000000001E-3</v>
      </c>
      <c r="AF6557" s="508">
        <v>6.0000000000000001E-3</v>
      </c>
      <c r="AG6557" s="508">
        <v>6.0000000000000001E-3</v>
      </c>
      <c r="AH6557" s="508">
        <v>6.0000000000000001E-3</v>
      </c>
      <c r="AI6557" s="492">
        <v>6.0000000000000001E-3</v>
      </c>
      <c r="AJ6557" s="485"/>
    </row>
    <row r="6558" spans="2:36">
      <c r="B6558" s="136" t="s">
        <v>440</v>
      </c>
      <c r="C6558" s="132" t="s">
        <v>1369</v>
      </c>
      <c r="D6558" s="132" t="s">
        <v>1380</v>
      </c>
      <c r="E6558" s="508">
        <v>6.0000000000000001E-3</v>
      </c>
      <c r="F6558" s="508">
        <v>6.0000000000000001E-3</v>
      </c>
      <c r="G6558" s="508">
        <v>6.0000000000000001E-3</v>
      </c>
      <c r="H6558" s="508">
        <v>6.0000000000000001E-3</v>
      </c>
      <c r="I6558" s="508">
        <v>6.0000000000000001E-3</v>
      </c>
      <c r="J6558" s="508">
        <v>6.0000000000000001E-3</v>
      </c>
      <c r="K6558" s="508">
        <v>6.0000000000000001E-3</v>
      </c>
      <c r="L6558" s="508">
        <v>6.0000000000000001E-3</v>
      </c>
      <c r="M6558" s="508">
        <v>6.0000000000000001E-3</v>
      </c>
      <c r="N6558" s="508">
        <v>6.0000000000000001E-3</v>
      </c>
      <c r="O6558" s="508">
        <v>6.0000000000000001E-3</v>
      </c>
      <c r="P6558" s="508">
        <v>6.0000000000000001E-3</v>
      </c>
      <c r="Q6558" s="508">
        <v>6.0000000000000001E-3</v>
      </c>
      <c r="R6558" s="508">
        <v>6.0000000000000001E-3</v>
      </c>
      <c r="S6558" s="508">
        <v>6.0000000000000001E-3</v>
      </c>
      <c r="T6558" s="508">
        <v>6.0000000000000001E-3</v>
      </c>
      <c r="U6558" s="508">
        <v>6.0000000000000001E-3</v>
      </c>
      <c r="V6558" s="508">
        <v>6.0000000000000001E-3</v>
      </c>
      <c r="W6558" s="508">
        <v>6.0000000000000001E-3</v>
      </c>
      <c r="X6558" s="508">
        <v>6.0000000000000001E-3</v>
      </c>
      <c r="Y6558" s="508">
        <v>6.0000000000000001E-3</v>
      </c>
      <c r="Z6558" s="508">
        <v>6.0000000000000001E-3</v>
      </c>
      <c r="AA6558" s="508">
        <v>6.0000000000000001E-3</v>
      </c>
      <c r="AB6558" s="508">
        <v>6.0000000000000001E-3</v>
      </c>
      <c r="AC6558" s="508">
        <v>6.0000000000000001E-3</v>
      </c>
      <c r="AD6558" s="508">
        <v>6.0000000000000001E-3</v>
      </c>
      <c r="AE6558" s="508">
        <v>6.0000000000000001E-3</v>
      </c>
      <c r="AF6558" s="508">
        <v>6.0000000000000001E-3</v>
      </c>
      <c r="AG6558" s="508">
        <v>6.0000000000000001E-3</v>
      </c>
      <c r="AH6558" s="508">
        <v>6.0000000000000001E-3</v>
      </c>
      <c r="AI6558" s="492">
        <v>6.0000000000000001E-3</v>
      </c>
      <c r="AJ6558" s="485"/>
    </row>
    <row r="6559" spans="2:36">
      <c r="B6559" s="136" t="s">
        <v>441</v>
      </c>
      <c r="C6559" s="132" t="s">
        <v>1369</v>
      </c>
      <c r="D6559" s="132" t="s">
        <v>1380</v>
      </c>
      <c r="E6559" s="508">
        <v>6.0000000000000001E-3</v>
      </c>
      <c r="F6559" s="508">
        <v>6.0000000000000001E-3</v>
      </c>
      <c r="G6559" s="508">
        <v>6.0000000000000001E-3</v>
      </c>
      <c r="H6559" s="508">
        <v>6.0000000000000001E-3</v>
      </c>
      <c r="I6559" s="508">
        <v>6.0000000000000001E-3</v>
      </c>
      <c r="J6559" s="508">
        <v>6.0000000000000001E-3</v>
      </c>
      <c r="K6559" s="508">
        <v>6.0000000000000001E-3</v>
      </c>
      <c r="L6559" s="508">
        <v>6.0000000000000001E-3</v>
      </c>
      <c r="M6559" s="508">
        <v>6.0000000000000001E-3</v>
      </c>
      <c r="N6559" s="508">
        <v>6.0000000000000001E-3</v>
      </c>
      <c r="O6559" s="508">
        <v>6.0000000000000001E-3</v>
      </c>
      <c r="P6559" s="508">
        <v>6.0000000000000001E-3</v>
      </c>
      <c r="Q6559" s="508">
        <v>6.0000000000000001E-3</v>
      </c>
      <c r="R6559" s="508">
        <v>6.0000000000000001E-3</v>
      </c>
      <c r="S6559" s="508">
        <v>6.0000000000000001E-3</v>
      </c>
      <c r="T6559" s="508">
        <v>6.0000000000000001E-3</v>
      </c>
      <c r="U6559" s="508">
        <v>6.0000000000000001E-3</v>
      </c>
      <c r="V6559" s="508">
        <v>6.0000000000000001E-3</v>
      </c>
      <c r="W6559" s="508">
        <v>6.0000000000000001E-3</v>
      </c>
      <c r="X6559" s="508">
        <v>6.0000000000000001E-3</v>
      </c>
      <c r="Y6559" s="508">
        <v>6.0000000000000001E-3</v>
      </c>
      <c r="Z6559" s="508">
        <v>6.0000000000000001E-3</v>
      </c>
      <c r="AA6559" s="508">
        <v>6.0000000000000001E-3</v>
      </c>
      <c r="AB6559" s="508">
        <v>6.0000000000000001E-3</v>
      </c>
      <c r="AC6559" s="508">
        <v>6.0000000000000001E-3</v>
      </c>
      <c r="AD6559" s="508">
        <v>6.0000000000000001E-3</v>
      </c>
      <c r="AE6559" s="508">
        <v>6.0000000000000001E-3</v>
      </c>
      <c r="AF6559" s="508">
        <v>6.0000000000000001E-3</v>
      </c>
      <c r="AG6559" s="508">
        <v>6.0000000000000001E-3</v>
      </c>
      <c r="AH6559" s="508">
        <v>6.0000000000000001E-3</v>
      </c>
      <c r="AI6559" s="492">
        <v>6.0000000000000001E-3</v>
      </c>
      <c r="AJ6559" s="485"/>
    </row>
    <row r="6560" spans="2:36">
      <c r="B6560" s="136" t="s">
        <v>443</v>
      </c>
      <c r="C6560" s="132" t="s">
        <v>1369</v>
      </c>
      <c r="D6560" s="132" t="s">
        <v>1380</v>
      </c>
      <c r="E6560" s="508">
        <v>6.0000000000000001E-3</v>
      </c>
      <c r="F6560" s="508">
        <v>6.0000000000000001E-3</v>
      </c>
      <c r="G6560" s="508">
        <v>6.0000000000000001E-3</v>
      </c>
      <c r="H6560" s="508">
        <v>6.0000000000000001E-3</v>
      </c>
      <c r="I6560" s="508">
        <v>6.0000000000000001E-3</v>
      </c>
      <c r="J6560" s="508">
        <v>6.0000000000000001E-3</v>
      </c>
      <c r="K6560" s="508">
        <v>6.0000000000000001E-3</v>
      </c>
      <c r="L6560" s="508">
        <v>6.0000000000000001E-3</v>
      </c>
      <c r="M6560" s="508">
        <v>6.0000000000000001E-3</v>
      </c>
      <c r="N6560" s="508">
        <v>6.0000000000000001E-3</v>
      </c>
      <c r="O6560" s="508">
        <v>6.0000000000000001E-3</v>
      </c>
      <c r="P6560" s="508">
        <v>6.0000000000000001E-3</v>
      </c>
      <c r="Q6560" s="508">
        <v>6.0000000000000001E-3</v>
      </c>
      <c r="R6560" s="508">
        <v>6.0000000000000001E-3</v>
      </c>
      <c r="S6560" s="508">
        <v>6.0000000000000001E-3</v>
      </c>
      <c r="T6560" s="508">
        <v>6.0000000000000001E-3</v>
      </c>
      <c r="U6560" s="508">
        <v>6.0000000000000001E-3</v>
      </c>
      <c r="V6560" s="508">
        <v>6.0000000000000001E-3</v>
      </c>
      <c r="W6560" s="508">
        <v>6.0000000000000001E-3</v>
      </c>
      <c r="X6560" s="508">
        <v>6.0000000000000001E-3</v>
      </c>
      <c r="Y6560" s="508">
        <v>6.0000000000000001E-3</v>
      </c>
      <c r="Z6560" s="508">
        <v>6.0000000000000001E-3</v>
      </c>
      <c r="AA6560" s="508">
        <v>6.0000000000000001E-3</v>
      </c>
      <c r="AB6560" s="508">
        <v>6.0000000000000001E-3</v>
      </c>
      <c r="AC6560" s="508">
        <v>6.0000000000000001E-3</v>
      </c>
      <c r="AD6560" s="508">
        <v>6.0000000000000001E-3</v>
      </c>
      <c r="AE6560" s="508">
        <v>6.0000000000000001E-3</v>
      </c>
      <c r="AF6560" s="508">
        <v>6.0000000000000001E-3</v>
      </c>
      <c r="AG6560" s="508">
        <v>6.0000000000000001E-3</v>
      </c>
      <c r="AH6560" s="508">
        <v>6.0000000000000001E-3</v>
      </c>
      <c r="AI6560" s="492">
        <v>6.0000000000000001E-3</v>
      </c>
      <c r="AJ6560" s="485"/>
    </row>
    <row r="6561" spans="2:36">
      <c r="B6561" s="136" t="s">
        <v>445</v>
      </c>
      <c r="C6561" s="132" t="s">
        <v>1369</v>
      </c>
      <c r="D6561" s="132" t="s">
        <v>1380</v>
      </c>
      <c r="E6561" s="508">
        <v>7.0000000000000001E-3</v>
      </c>
      <c r="F6561" s="508">
        <v>7.0000000000000001E-3</v>
      </c>
      <c r="G6561" s="508">
        <v>7.0000000000000001E-3</v>
      </c>
      <c r="H6561" s="508">
        <v>7.0000000000000001E-3</v>
      </c>
      <c r="I6561" s="508">
        <v>7.0000000000000001E-3</v>
      </c>
      <c r="J6561" s="508">
        <v>7.0000000000000001E-3</v>
      </c>
      <c r="K6561" s="508">
        <v>7.0000000000000001E-3</v>
      </c>
      <c r="L6561" s="508">
        <v>7.0000000000000001E-3</v>
      </c>
      <c r="M6561" s="508">
        <v>7.0000000000000001E-3</v>
      </c>
      <c r="N6561" s="508">
        <v>7.0000000000000001E-3</v>
      </c>
      <c r="O6561" s="508">
        <v>7.0000000000000001E-3</v>
      </c>
      <c r="P6561" s="508">
        <v>7.0000000000000001E-3</v>
      </c>
      <c r="Q6561" s="508">
        <v>7.0000000000000001E-3</v>
      </c>
      <c r="R6561" s="508">
        <v>7.0000000000000001E-3</v>
      </c>
      <c r="S6561" s="508">
        <v>7.0000000000000001E-3</v>
      </c>
      <c r="T6561" s="508">
        <v>7.0000000000000001E-3</v>
      </c>
      <c r="U6561" s="508">
        <v>7.0000000000000001E-3</v>
      </c>
      <c r="V6561" s="508">
        <v>7.0000000000000001E-3</v>
      </c>
      <c r="W6561" s="508">
        <v>7.0000000000000001E-3</v>
      </c>
      <c r="X6561" s="508">
        <v>7.0000000000000001E-3</v>
      </c>
      <c r="Y6561" s="508">
        <v>7.0000000000000001E-3</v>
      </c>
      <c r="Z6561" s="508">
        <v>7.0000000000000001E-3</v>
      </c>
      <c r="AA6561" s="508">
        <v>7.0000000000000001E-3</v>
      </c>
      <c r="AB6561" s="508">
        <v>7.0000000000000001E-3</v>
      </c>
      <c r="AC6561" s="508">
        <v>7.0000000000000001E-3</v>
      </c>
      <c r="AD6561" s="508">
        <v>7.0000000000000001E-3</v>
      </c>
      <c r="AE6561" s="508">
        <v>7.0000000000000001E-3</v>
      </c>
      <c r="AF6561" s="508">
        <v>7.0000000000000001E-3</v>
      </c>
      <c r="AG6561" s="508">
        <v>7.0000000000000001E-3</v>
      </c>
      <c r="AH6561" s="508">
        <v>7.0000000000000001E-3</v>
      </c>
      <c r="AI6561" s="492">
        <v>7.0000000000000001E-3</v>
      </c>
      <c r="AJ6561" s="485"/>
    </row>
    <row r="6562" spans="2:36">
      <c r="B6562" s="136" t="s">
        <v>446</v>
      </c>
      <c r="C6562" s="132" t="s">
        <v>1369</v>
      </c>
      <c r="D6562" s="132" t="s">
        <v>1380</v>
      </c>
      <c r="E6562" s="508">
        <v>7.0000000000000001E-3</v>
      </c>
      <c r="F6562" s="508">
        <v>7.0000000000000001E-3</v>
      </c>
      <c r="G6562" s="508">
        <v>7.0000000000000001E-3</v>
      </c>
      <c r="H6562" s="508">
        <v>7.0000000000000001E-3</v>
      </c>
      <c r="I6562" s="508">
        <v>7.0000000000000001E-3</v>
      </c>
      <c r="J6562" s="508">
        <v>7.0000000000000001E-3</v>
      </c>
      <c r="K6562" s="508">
        <v>7.0000000000000001E-3</v>
      </c>
      <c r="L6562" s="508">
        <v>7.0000000000000001E-3</v>
      </c>
      <c r="M6562" s="508">
        <v>7.0000000000000001E-3</v>
      </c>
      <c r="N6562" s="508">
        <v>7.0000000000000001E-3</v>
      </c>
      <c r="O6562" s="508">
        <v>7.0000000000000001E-3</v>
      </c>
      <c r="P6562" s="508">
        <v>7.0000000000000001E-3</v>
      </c>
      <c r="Q6562" s="508">
        <v>7.0000000000000001E-3</v>
      </c>
      <c r="R6562" s="508">
        <v>7.0000000000000001E-3</v>
      </c>
      <c r="S6562" s="508">
        <v>7.0000000000000001E-3</v>
      </c>
      <c r="T6562" s="508">
        <v>7.0000000000000001E-3</v>
      </c>
      <c r="U6562" s="508">
        <v>7.0000000000000001E-3</v>
      </c>
      <c r="V6562" s="508">
        <v>7.0000000000000001E-3</v>
      </c>
      <c r="W6562" s="508">
        <v>7.0000000000000001E-3</v>
      </c>
      <c r="X6562" s="508">
        <v>7.0000000000000001E-3</v>
      </c>
      <c r="Y6562" s="508">
        <v>7.0000000000000001E-3</v>
      </c>
      <c r="Z6562" s="508">
        <v>7.0000000000000001E-3</v>
      </c>
      <c r="AA6562" s="508">
        <v>7.0000000000000001E-3</v>
      </c>
      <c r="AB6562" s="508">
        <v>7.0000000000000001E-3</v>
      </c>
      <c r="AC6562" s="508">
        <v>7.0000000000000001E-3</v>
      </c>
      <c r="AD6562" s="508">
        <v>7.0000000000000001E-3</v>
      </c>
      <c r="AE6562" s="508">
        <v>7.0000000000000001E-3</v>
      </c>
      <c r="AF6562" s="508">
        <v>7.0000000000000001E-3</v>
      </c>
      <c r="AG6562" s="508">
        <v>7.0000000000000001E-3</v>
      </c>
      <c r="AH6562" s="508">
        <v>7.0000000000000001E-3</v>
      </c>
      <c r="AI6562" s="492">
        <v>7.0000000000000001E-3</v>
      </c>
      <c r="AJ6562" s="485"/>
    </row>
    <row r="6563" spans="2:36">
      <c r="B6563" s="136" t="s">
        <v>448</v>
      </c>
      <c r="C6563" s="132" t="s">
        <v>1369</v>
      </c>
      <c r="D6563" s="132" t="s">
        <v>1380</v>
      </c>
      <c r="E6563" s="508">
        <v>5.0000000000000001E-3</v>
      </c>
      <c r="F6563" s="508">
        <v>5.0000000000000001E-3</v>
      </c>
      <c r="G6563" s="508">
        <v>5.0000000000000001E-3</v>
      </c>
      <c r="H6563" s="508">
        <v>5.0000000000000001E-3</v>
      </c>
      <c r="I6563" s="508">
        <v>5.0000000000000001E-3</v>
      </c>
      <c r="J6563" s="508">
        <v>5.0000000000000001E-3</v>
      </c>
      <c r="K6563" s="508">
        <v>5.0000000000000001E-3</v>
      </c>
      <c r="L6563" s="508">
        <v>5.0000000000000001E-3</v>
      </c>
      <c r="M6563" s="508">
        <v>5.0000000000000001E-3</v>
      </c>
      <c r="N6563" s="508">
        <v>5.0000000000000001E-3</v>
      </c>
      <c r="O6563" s="508">
        <v>5.0000000000000001E-3</v>
      </c>
      <c r="P6563" s="508">
        <v>5.0000000000000001E-3</v>
      </c>
      <c r="Q6563" s="508">
        <v>5.0000000000000001E-3</v>
      </c>
      <c r="R6563" s="508">
        <v>5.0000000000000001E-3</v>
      </c>
      <c r="S6563" s="508">
        <v>5.0000000000000001E-3</v>
      </c>
      <c r="T6563" s="508">
        <v>5.0000000000000001E-3</v>
      </c>
      <c r="U6563" s="508">
        <v>5.0000000000000001E-3</v>
      </c>
      <c r="V6563" s="508">
        <v>5.0000000000000001E-3</v>
      </c>
      <c r="W6563" s="508">
        <v>5.0000000000000001E-3</v>
      </c>
      <c r="X6563" s="508">
        <v>5.0000000000000001E-3</v>
      </c>
      <c r="Y6563" s="508">
        <v>5.0000000000000001E-3</v>
      </c>
      <c r="Z6563" s="508">
        <v>5.0000000000000001E-3</v>
      </c>
      <c r="AA6563" s="508">
        <v>5.0000000000000001E-3</v>
      </c>
      <c r="AB6563" s="508">
        <v>5.0000000000000001E-3</v>
      </c>
      <c r="AC6563" s="508">
        <v>5.0000000000000001E-3</v>
      </c>
      <c r="AD6563" s="508">
        <v>5.0000000000000001E-3</v>
      </c>
      <c r="AE6563" s="508">
        <v>5.0000000000000001E-3</v>
      </c>
      <c r="AF6563" s="508">
        <v>5.0000000000000001E-3</v>
      </c>
      <c r="AG6563" s="508">
        <v>5.0000000000000001E-3</v>
      </c>
      <c r="AH6563" s="508">
        <v>5.0000000000000001E-3</v>
      </c>
      <c r="AI6563" s="492">
        <v>5.0000000000000001E-3</v>
      </c>
      <c r="AJ6563" s="485"/>
    </row>
    <row r="6564" spans="2:36">
      <c r="B6564" s="136" t="s">
        <v>449</v>
      </c>
      <c r="C6564" s="132" t="s">
        <v>1369</v>
      </c>
      <c r="D6564" s="132" t="s">
        <v>1380</v>
      </c>
      <c r="E6564" s="508">
        <v>6.0000000000000001E-3</v>
      </c>
      <c r="F6564" s="508">
        <v>6.0000000000000001E-3</v>
      </c>
      <c r="G6564" s="508">
        <v>6.0000000000000001E-3</v>
      </c>
      <c r="H6564" s="508">
        <v>6.0000000000000001E-3</v>
      </c>
      <c r="I6564" s="508">
        <v>6.0000000000000001E-3</v>
      </c>
      <c r="J6564" s="508">
        <v>6.0000000000000001E-3</v>
      </c>
      <c r="K6564" s="508">
        <v>6.0000000000000001E-3</v>
      </c>
      <c r="L6564" s="508">
        <v>6.0000000000000001E-3</v>
      </c>
      <c r="M6564" s="508">
        <v>6.0000000000000001E-3</v>
      </c>
      <c r="N6564" s="508">
        <v>6.0000000000000001E-3</v>
      </c>
      <c r="O6564" s="508">
        <v>6.0000000000000001E-3</v>
      </c>
      <c r="P6564" s="508">
        <v>6.0000000000000001E-3</v>
      </c>
      <c r="Q6564" s="508">
        <v>6.0000000000000001E-3</v>
      </c>
      <c r="R6564" s="508">
        <v>6.0000000000000001E-3</v>
      </c>
      <c r="S6564" s="508">
        <v>6.0000000000000001E-3</v>
      </c>
      <c r="T6564" s="508">
        <v>6.0000000000000001E-3</v>
      </c>
      <c r="U6564" s="508">
        <v>6.0000000000000001E-3</v>
      </c>
      <c r="V6564" s="508">
        <v>6.0000000000000001E-3</v>
      </c>
      <c r="W6564" s="508">
        <v>6.0000000000000001E-3</v>
      </c>
      <c r="X6564" s="508">
        <v>6.0000000000000001E-3</v>
      </c>
      <c r="Y6564" s="508">
        <v>6.0000000000000001E-3</v>
      </c>
      <c r="Z6564" s="508">
        <v>6.0000000000000001E-3</v>
      </c>
      <c r="AA6564" s="508">
        <v>6.0000000000000001E-3</v>
      </c>
      <c r="AB6564" s="508">
        <v>6.0000000000000001E-3</v>
      </c>
      <c r="AC6564" s="508">
        <v>6.0000000000000001E-3</v>
      </c>
      <c r="AD6564" s="508">
        <v>6.0000000000000001E-3</v>
      </c>
      <c r="AE6564" s="508">
        <v>6.0000000000000001E-3</v>
      </c>
      <c r="AF6564" s="508">
        <v>6.0000000000000001E-3</v>
      </c>
      <c r="AG6564" s="508">
        <v>6.0000000000000001E-3</v>
      </c>
      <c r="AH6564" s="508">
        <v>6.0000000000000001E-3</v>
      </c>
      <c r="AI6564" s="492">
        <v>6.0000000000000001E-3</v>
      </c>
      <c r="AJ6564" s="485"/>
    </row>
    <row r="6565" spans="2:36">
      <c r="B6565" s="136" t="s">
        <v>450</v>
      </c>
      <c r="C6565" s="132" t="s">
        <v>1369</v>
      </c>
      <c r="D6565" s="132" t="s">
        <v>1380</v>
      </c>
      <c r="E6565" s="508">
        <v>4.0000000000000001E-3</v>
      </c>
      <c r="F6565" s="508">
        <v>4.0000000000000001E-3</v>
      </c>
      <c r="G6565" s="508">
        <v>4.0000000000000001E-3</v>
      </c>
      <c r="H6565" s="508">
        <v>4.0000000000000001E-3</v>
      </c>
      <c r="I6565" s="508">
        <v>4.0000000000000001E-3</v>
      </c>
      <c r="J6565" s="508">
        <v>4.0000000000000001E-3</v>
      </c>
      <c r="K6565" s="508">
        <v>4.0000000000000001E-3</v>
      </c>
      <c r="L6565" s="508">
        <v>4.0000000000000001E-3</v>
      </c>
      <c r="M6565" s="508">
        <v>4.0000000000000001E-3</v>
      </c>
      <c r="N6565" s="508">
        <v>4.0000000000000001E-3</v>
      </c>
      <c r="O6565" s="508">
        <v>4.0000000000000001E-3</v>
      </c>
      <c r="P6565" s="508">
        <v>4.0000000000000001E-3</v>
      </c>
      <c r="Q6565" s="508">
        <v>4.0000000000000001E-3</v>
      </c>
      <c r="R6565" s="508">
        <v>4.0000000000000001E-3</v>
      </c>
      <c r="S6565" s="508">
        <v>4.0000000000000001E-3</v>
      </c>
      <c r="T6565" s="508">
        <v>4.0000000000000001E-3</v>
      </c>
      <c r="U6565" s="508">
        <v>4.0000000000000001E-3</v>
      </c>
      <c r="V6565" s="508">
        <v>4.0000000000000001E-3</v>
      </c>
      <c r="W6565" s="508">
        <v>4.0000000000000001E-3</v>
      </c>
      <c r="X6565" s="508">
        <v>4.0000000000000001E-3</v>
      </c>
      <c r="Y6565" s="508">
        <v>4.0000000000000001E-3</v>
      </c>
      <c r="Z6565" s="508">
        <v>4.0000000000000001E-3</v>
      </c>
      <c r="AA6565" s="508">
        <v>4.0000000000000001E-3</v>
      </c>
      <c r="AB6565" s="508">
        <v>4.0000000000000001E-3</v>
      </c>
      <c r="AC6565" s="508">
        <v>4.0000000000000001E-3</v>
      </c>
      <c r="AD6565" s="508">
        <v>4.0000000000000001E-3</v>
      </c>
      <c r="AE6565" s="508">
        <v>4.0000000000000001E-3</v>
      </c>
      <c r="AF6565" s="508">
        <v>4.0000000000000001E-3</v>
      </c>
      <c r="AG6565" s="508">
        <v>4.0000000000000001E-3</v>
      </c>
      <c r="AH6565" s="508">
        <v>4.0000000000000001E-3</v>
      </c>
      <c r="AI6565" s="492">
        <v>4.0000000000000001E-3</v>
      </c>
      <c r="AJ6565" s="485"/>
    </row>
    <row r="6566" spans="2:36">
      <c r="B6566" s="136" t="s">
        <v>451</v>
      </c>
      <c r="C6566" s="132" t="s">
        <v>1369</v>
      </c>
      <c r="D6566" s="132" t="s">
        <v>1380</v>
      </c>
      <c r="E6566" s="508">
        <v>7.0000000000000001E-3</v>
      </c>
      <c r="F6566" s="508">
        <v>7.0000000000000001E-3</v>
      </c>
      <c r="G6566" s="508">
        <v>7.0000000000000001E-3</v>
      </c>
      <c r="H6566" s="508">
        <v>7.0000000000000001E-3</v>
      </c>
      <c r="I6566" s="508">
        <v>7.0000000000000001E-3</v>
      </c>
      <c r="J6566" s="508">
        <v>7.0000000000000001E-3</v>
      </c>
      <c r="K6566" s="508">
        <v>7.0000000000000001E-3</v>
      </c>
      <c r="L6566" s="508">
        <v>7.0000000000000001E-3</v>
      </c>
      <c r="M6566" s="508">
        <v>7.0000000000000001E-3</v>
      </c>
      <c r="N6566" s="508">
        <v>7.0000000000000001E-3</v>
      </c>
      <c r="O6566" s="508">
        <v>7.0000000000000001E-3</v>
      </c>
      <c r="P6566" s="508">
        <v>7.0000000000000001E-3</v>
      </c>
      <c r="Q6566" s="508">
        <v>7.0000000000000001E-3</v>
      </c>
      <c r="R6566" s="508">
        <v>7.0000000000000001E-3</v>
      </c>
      <c r="S6566" s="508">
        <v>7.0000000000000001E-3</v>
      </c>
      <c r="T6566" s="508">
        <v>7.0000000000000001E-3</v>
      </c>
      <c r="U6566" s="508">
        <v>7.0000000000000001E-3</v>
      </c>
      <c r="V6566" s="508">
        <v>7.0000000000000001E-3</v>
      </c>
      <c r="W6566" s="508">
        <v>7.0000000000000001E-3</v>
      </c>
      <c r="X6566" s="508">
        <v>7.0000000000000001E-3</v>
      </c>
      <c r="Y6566" s="508">
        <v>7.0000000000000001E-3</v>
      </c>
      <c r="Z6566" s="508">
        <v>7.0000000000000001E-3</v>
      </c>
      <c r="AA6566" s="508">
        <v>7.0000000000000001E-3</v>
      </c>
      <c r="AB6566" s="508">
        <v>7.0000000000000001E-3</v>
      </c>
      <c r="AC6566" s="508">
        <v>7.0000000000000001E-3</v>
      </c>
      <c r="AD6566" s="508">
        <v>7.0000000000000001E-3</v>
      </c>
      <c r="AE6566" s="508">
        <v>7.0000000000000001E-3</v>
      </c>
      <c r="AF6566" s="508">
        <v>7.0000000000000001E-3</v>
      </c>
      <c r="AG6566" s="508">
        <v>7.0000000000000001E-3</v>
      </c>
      <c r="AH6566" s="508">
        <v>7.0000000000000001E-3</v>
      </c>
      <c r="AI6566" s="492">
        <v>7.0000000000000001E-3</v>
      </c>
      <c r="AJ6566" s="485"/>
    </row>
    <row r="6567" spans="2:36">
      <c r="B6567" s="136" t="s">
        <v>452</v>
      </c>
      <c r="C6567" s="132" t="s">
        <v>1369</v>
      </c>
      <c r="D6567" s="132" t="s">
        <v>1380</v>
      </c>
      <c r="E6567" s="508">
        <v>6.0000000000000001E-3</v>
      </c>
      <c r="F6567" s="508">
        <v>6.0000000000000001E-3</v>
      </c>
      <c r="G6567" s="508">
        <v>6.0000000000000001E-3</v>
      </c>
      <c r="H6567" s="508">
        <v>6.0000000000000001E-3</v>
      </c>
      <c r="I6567" s="508">
        <v>6.0000000000000001E-3</v>
      </c>
      <c r="J6567" s="508">
        <v>6.0000000000000001E-3</v>
      </c>
      <c r="K6567" s="508">
        <v>6.0000000000000001E-3</v>
      </c>
      <c r="L6567" s="508">
        <v>6.0000000000000001E-3</v>
      </c>
      <c r="M6567" s="508">
        <v>6.0000000000000001E-3</v>
      </c>
      <c r="N6567" s="508">
        <v>6.0000000000000001E-3</v>
      </c>
      <c r="O6567" s="508">
        <v>6.0000000000000001E-3</v>
      </c>
      <c r="P6567" s="508">
        <v>6.0000000000000001E-3</v>
      </c>
      <c r="Q6567" s="508">
        <v>6.0000000000000001E-3</v>
      </c>
      <c r="R6567" s="508">
        <v>6.0000000000000001E-3</v>
      </c>
      <c r="S6567" s="508">
        <v>6.0000000000000001E-3</v>
      </c>
      <c r="T6567" s="508">
        <v>6.0000000000000001E-3</v>
      </c>
      <c r="U6567" s="508">
        <v>6.0000000000000001E-3</v>
      </c>
      <c r="V6567" s="508">
        <v>6.0000000000000001E-3</v>
      </c>
      <c r="W6567" s="508">
        <v>6.0000000000000001E-3</v>
      </c>
      <c r="X6567" s="508">
        <v>6.0000000000000001E-3</v>
      </c>
      <c r="Y6567" s="508">
        <v>6.0000000000000001E-3</v>
      </c>
      <c r="Z6567" s="508">
        <v>6.0000000000000001E-3</v>
      </c>
      <c r="AA6567" s="508">
        <v>6.0000000000000001E-3</v>
      </c>
      <c r="AB6567" s="508">
        <v>6.0000000000000001E-3</v>
      </c>
      <c r="AC6567" s="508">
        <v>6.0000000000000001E-3</v>
      </c>
      <c r="AD6567" s="508">
        <v>6.0000000000000001E-3</v>
      </c>
      <c r="AE6567" s="508">
        <v>6.0000000000000001E-3</v>
      </c>
      <c r="AF6567" s="508">
        <v>6.0000000000000001E-3</v>
      </c>
      <c r="AG6567" s="508">
        <v>6.0000000000000001E-3</v>
      </c>
      <c r="AH6567" s="508">
        <v>6.0000000000000001E-3</v>
      </c>
      <c r="AI6567" s="492">
        <v>6.0000000000000001E-3</v>
      </c>
      <c r="AJ6567" s="485"/>
    </row>
    <row r="6568" spans="2:36">
      <c r="B6568" s="136" t="s">
        <v>453</v>
      </c>
      <c r="C6568" s="132" t="s">
        <v>1369</v>
      </c>
      <c r="D6568" s="132" t="s">
        <v>1380</v>
      </c>
      <c r="E6568" s="508">
        <v>5.0000000000000001E-3</v>
      </c>
      <c r="F6568" s="508">
        <v>5.0000000000000001E-3</v>
      </c>
      <c r="G6568" s="508">
        <v>5.0000000000000001E-3</v>
      </c>
      <c r="H6568" s="508">
        <v>5.0000000000000001E-3</v>
      </c>
      <c r="I6568" s="508">
        <v>5.0000000000000001E-3</v>
      </c>
      <c r="J6568" s="508">
        <v>5.0000000000000001E-3</v>
      </c>
      <c r="K6568" s="508">
        <v>5.0000000000000001E-3</v>
      </c>
      <c r="L6568" s="508">
        <v>5.0000000000000001E-3</v>
      </c>
      <c r="M6568" s="508">
        <v>5.0000000000000001E-3</v>
      </c>
      <c r="N6568" s="508">
        <v>5.0000000000000001E-3</v>
      </c>
      <c r="O6568" s="508">
        <v>5.0000000000000001E-3</v>
      </c>
      <c r="P6568" s="508">
        <v>5.0000000000000001E-3</v>
      </c>
      <c r="Q6568" s="508">
        <v>5.0000000000000001E-3</v>
      </c>
      <c r="R6568" s="508">
        <v>5.0000000000000001E-3</v>
      </c>
      <c r="S6568" s="508">
        <v>5.0000000000000001E-3</v>
      </c>
      <c r="T6568" s="508">
        <v>5.0000000000000001E-3</v>
      </c>
      <c r="U6568" s="508">
        <v>5.0000000000000001E-3</v>
      </c>
      <c r="V6568" s="508">
        <v>5.0000000000000001E-3</v>
      </c>
      <c r="W6568" s="508">
        <v>5.0000000000000001E-3</v>
      </c>
      <c r="X6568" s="508">
        <v>5.0000000000000001E-3</v>
      </c>
      <c r="Y6568" s="508">
        <v>5.0000000000000001E-3</v>
      </c>
      <c r="Z6568" s="508">
        <v>5.0000000000000001E-3</v>
      </c>
      <c r="AA6568" s="508">
        <v>5.0000000000000001E-3</v>
      </c>
      <c r="AB6568" s="508">
        <v>5.0000000000000001E-3</v>
      </c>
      <c r="AC6568" s="508">
        <v>5.0000000000000001E-3</v>
      </c>
      <c r="AD6568" s="508">
        <v>5.0000000000000001E-3</v>
      </c>
      <c r="AE6568" s="508">
        <v>5.0000000000000001E-3</v>
      </c>
      <c r="AF6568" s="508">
        <v>5.0000000000000001E-3</v>
      </c>
      <c r="AG6568" s="508">
        <v>5.0000000000000001E-3</v>
      </c>
      <c r="AH6568" s="508">
        <v>5.0000000000000001E-3</v>
      </c>
      <c r="AI6568" s="492">
        <v>5.0000000000000001E-3</v>
      </c>
      <c r="AJ6568" s="485"/>
    </row>
    <row r="6569" spans="2:36">
      <c r="B6569" s="136" t="s">
        <v>454</v>
      </c>
      <c r="C6569" s="132" t="s">
        <v>1369</v>
      </c>
      <c r="D6569" s="132" t="s">
        <v>1380</v>
      </c>
      <c r="E6569" s="508">
        <v>5.0000000000000001E-3</v>
      </c>
      <c r="F6569" s="508">
        <v>5.0000000000000001E-3</v>
      </c>
      <c r="G6569" s="508">
        <v>5.0000000000000001E-3</v>
      </c>
      <c r="H6569" s="508">
        <v>5.0000000000000001E-3</v>
      </c>
      <c r="I6569" s="508">
        <v>5.0000000000000001E-3</v>
      </c>
      <c r="J6569" s="508">
        <v>5.0000000000000001E-3</v>
      </c>
      <c r="K6569" s="508">
        <v>5.0000000000000001E-3</v>
      </c>
      <c r="L6569" s="508">
        <v>5.0000000000000001E-3</v>
      </c>
      <c r="M6569" s="508">
        <v>5.0000000000000001E-3</v>
      </c>
      <c r="N6569" s="508">
        <v>5.0000000000000001E-3</v>
      </c>
      <c r="O6569" s="508">
        <v>5.0000000000000001E-3</v>
      </c>
      <c r="P6569" s="508">
        <v>5.0000000000000001E-3</v>
      </c>
      <c r="Q6569" s="508">
        <v>5.0000000000000001E-3</v>
      </c>
      <c r="R6569" s="508">
        <v>5.0000000000000001E-3</v>
      </c>
      <c r="S6569" s="508">
        <v>5.0000000000000001E-3</v>
      </c>
      <c r="T6569" s="508">
        <v>5.0000000000000001E-3</v>
      </c>
      <c r="U6569" s="508">
        <v>5.0000000000000001E-3</v>
      </c>
      <c r="V6569" s="508">
        <v>5.0000000000000001E-3</v>
      </c>
      <c r="W6569" s="508">
        <v>5.0000000000000001E-3</v>
      </c>
      <c r="X6569" s="508">
        <v>5.0000000000000001E-3</v>
      </c>
      <c r="Y6569" s="508">
        <v>5.0000000000000001E-3</v>
      </c>
      <c r="Z6569" s="508">
        <v>5.0000000000000001E-3</v>
      </c>
      <c r="AA6569" s="508">
        <v>5.0000000000000001E-3</v>
      </c>
      <c r="AB6569" s="508">
        <v>5.0000000000000001E-3</v>
      </c>
      <c r="AC6569" s="508">
        <v>5.0000000000000001E-3</v>
      </c>
      <c r="AD6569" s="508">
        <v>5.0000000000000001E-3</v>
      </c>
      <c r="AE6569" s="508">
        <v>5.0000000000000001E-3</v>
      </c>
      <c r="AF6569" s="508">
        <v>5.0000000000000001E-3</v>
      </c>
      <c r="AG6569" s="508">
        <v>5.0000000000000001E-3</v>
      </c>
      <c r="AH6569" s="508">
        <v>5.0000000000000001E-3</v>
      </c>
      <c r="AI6569" s="492">
        <v>5.0000000000000001E-3</v>
      </c>
      <c r="AJ6569" s="485"/>
    </row>
    <row r="6570" spans="2:36">
      <c r="B6570" s="136" t="s">
        <v>455</v>
      </c>
      <c r="C6570" s="132" t="s">
        <v>1369</v>
      </c>
      <c r="D6570" s="132" t="s">
        <v>1380</v>
      </c>
      <c r="E6570" s="508">
        <v>5.0000000000000001E-3</v>
      </c>
      <c r="F6570" s="508">
        <v>5.0000000000000001E-3</v>
      </c>
      <c r="G6570" s="508">
        <v>5.0000000000000001E-3</v>
      </c>
      <c r="H6570" s="508">
        <v>5.0000000000000001E-3</v>
      </c>
      <c r="I6570" s="508">
        <v>5.0000000000000001E-3</v>
      </c>
      <c r="J6570" s="508">
        <v>5.0000000000000001E-3</v>
      </c>
      <c r="K6570" s="508">
        <v>5.0000000000000001E-3</v>
      </c>
      <c r="L6570" s="508">
        <v>5.0000000000000001E-3</v>
      </c>
      <c r="M6570" s="508">
        <v>5.0000000000000001E-3</v>
      </c>
      <c r="N6570" s="508">
        <v>5.0000000000000001E-3</v>
      </c>
      <c r="O6570" s="508">
        <v>5.0000000000000001E-3</v>
      </c>
      <c r="P6570" s="508">
        <v>5.0000000000000001E-3</v>
      </c>
      <c r="Q6570" s="508">
        <v>5.0000000000000001E-3</v>
      </c>
      <c r="R6570" s="508">
        <v>5.0000000000000001E-3</v>
      </c>
      <c r="S6570" s="508">
        <v>5.0000000000000001E-3</v>
      </c>
      <c r="T6570" s="508">
        <v>5.0000000000000001E-3</v>
      </c>
      <c r="U6570" s="508">
        <v>5.0000000000000001E-3</v>
      </c>
      <c r="V6570" s="508">
        <v>5.0000000000000001E-3</v>
      </c>
      <c r="W6570" s="508">
        <v>5.0000000000000001E-3</v>
      </c>
      <c r="X6570" s="508">
        <v>5.0000000000000001E-3</v>
      </c>
      <c r="Y6570" s="508">
        <v>5.0000000000000001E-3</v>
      </c>
      <c r="Z6570" s="508">
        <v>5.0000000000000001E-3</v>
      </c>
      <c r="AA6570" s="508">
        <v>5.0000000000000001E-3</v>
      </c>
      <c r="AB6570" s="508">
        <v>5.0000000000000001E-3</v>
      </c>
      <c r="AC6570" s="508">
        <v>5.0000000000000001E-3</v>
      </c>
      <c r="AD6570" s="508">
        <v>5.0000000000000001E-3</v>
      </c>
      <c r="AE6570" s="508">
        <v>5.0000000000000001E-3</v>
      </c>
      <c r="AF6570" s="508">
        <v>5.0000000000000001E-3</v>
      </c>
      <c r="AG6570" s="508">
        <v>5.0000000000000001E-3</v>
      </c>
      <c r="AH6570" s="508">
        <v>5.0000000000000001E-3</v>
      </c>
      <c r="AI6570" s="492">
        <v>5.0000000000000001E-3</v>
      </c>
      <c r="AJ6570" s="485"/>
    </row>
    <row r="6571" spans="2:36">
      <c r="B6571" s="136" t="s">
        <v>456</v>
      </c>
      <c r="C6571" s="132" t="s">
        <v>1369</v>
      </c>
      <c r="D6571" s="132" t="s">
        <v>1380</v>
      </c>
      <c r="E6571" s="508">
        <v>5.0000000000000001E-3</v>
      </c>
      <c r="F6571" s="508">
        <v>5.0000000000000001E-3</v>
      </c>
      <c r="G6571" s="508">
        <v>5.0000000000000001E-3</v>
      </c>
      <c r="H6571" s="508">
        <v>5.0000000000000001E-3</v>
      </c>
      <c r="I6571" s="508">
        <v>5.0000000000000001E-3</v>
      </c>
      <c r="J6571" s="508">
        <v>5.0000000000000001E-3</v>
      </c>
      <c r="K6571" s="508">
        <v>5.0000000000000001E-3</v>
      </c>
      <c r="L6571" s="508">
        <v>5.0000000000000001E-3</v>
      </c>
      <c r="M6571" s="508">
        <v>5.0000000000000001E-3</v>
      </c>
      <c r="N6571" s="508">
        <v>5.0000000000000001E-3</v>
      </c>
      <c r="O6571" s="508">
        <v>5.0000000000000001E-3</v>
      </c>
      <c r="P6571" s="508">
        <v>5.0000000000000001E-3</v>
      </c>
      <c r="Q6571" s="508">
        <v>5.0000000000000001E-3</v>
      </c>
      <c r="R6571" s="508">
        <v>5.0000000000000001E-3</v>
      </c>
      <c r="S6571" s="508">
        <v>5.0000000000000001E-3</v>
      </c>
      <c r="T6571" s="508">
        <v>5.0000000000000001E-3</v>
      </c>
      <c r="U6571" s="508">
        <v>5.0000000000000001E-3</v>
      </c>
      <c r="V6571" s="508">
        <v>5.0000000000000001E-3</v>
      </c>
      <c r="W6571" s="508">
        <v>5.0000000000000001E-3</v>
      </c>
      <c r="X6571" s="508">
        <v>5.0000000000000001E-3</v>
      </c>
      <c r="Y6571" s="508">
        <v>5.0000000000000001E-3</v>
      </c>
      <c r="Z6571" s="508">
        <v>5.0000000000000001E-3</v>
      </c>
      <c r="AA6571" s="508">
        <v>5.0000000000000001E-3</v>
      </c>
      <c r="AB6571" s="508">
        <v>5.0000000000000001E-3</v>
      </c>
      <c r="AC6571" s="508">
        <v>5.0000000000000001E-3</v>
      </c>
      <c r="AD6571" s="508">
        <v>5.0000000000000001E-3</v>
      </c>
      <c r="AE6571" s="508">
        <v>5.0000000000000001E-3</v>
      </c>
      <c r="AF6571" s="508">
        <v>5.0000000000000001E-3</v>
      </c>
      <c r="AG6571" s="508">
        <v>5.0000000000000001E-3</v>
      </c>
      <c r="AH6571" s="508">
        <v>5.0000000000000001E-3</v>
      </c>
      <c r="AI6571" s="492">
        <v>5.0000000000000001E-3</v>
      </c>
      <c r="AJ6571" s="485"/>
    </row>
    <row r="6572" spans="2:36">
      <c r="B6572" s="136" t="s">
        <v>457</v>
      </c>
      <c r="C6572" s="132" t="s">
        <v>1369</v>
      </c>
      <c r="D6572" s="132" t="s">
        <v>1380</v>
      </c>
      <c r="E6572" s="508">
        <v>5.0000000000000001E-3</v>
      </c>
      <c r="F6572" s="508">
        <v>5.0000000000000001E-3</v>
      </c>
      <c r="G6572" s="508">
        <v>5.0000000000000001E-3</v>
      </c>
      <c r="H6572" s="508">
        <v>5.0000000000000001E-3</v>
      </c>
      <c r="I6572" s="508">
        <v>5.0000000000000001E-3</v>
      </c>
      <c r="J6572" s="508">
        <v>5.0000000000000001E-3</v>
      </c>
      <c r="K6572" s="508">
        <v>5.0000000000000001E-3</v>
      </c>
      <c r="L6572" s="508">
        <v>5.0000000000000001E-3</v>
      </c>
      <c r="M6572" s="508">
        <v>5.0000000000000001E-3</v>
      </c>
      <c r="N6572" s="508">
        <v>5.0000000000000001E-3</v>
      </c>
      <c r="O6572" s="508">
        <v>5.0000000000000001E-3</v>
      </c>
      <c r="P6572" s="508">
        <v>5.0000000000000001E-3</v>
      </c>
      <c r="Q6572" s="508">
        <v>5.0000000000000001E-3</v>
      </c>
      <c r="R6572" s="508">
        <v>5.0000000000000001E-3</v>
      </c>
      <c r="S6572" s="508">
        <v>5.0000000000000001E-3</v>
      </c>
      <c r="T6572" s="508">
        <v>5.0000000000000001E-3</v>
      </c>
      <c r="U6572" s="508">
        <v>5.0000000000000001E-3</v>
      </c>
      <c r="V6572" s="508">
        <v>5.0000000000000001E-3</v>
      </c>
      <c r="W6572" s="508">
        <v>5.0000000000000001E-3</v>
      </c>
      <c r="X6572" s="508">
        <v>5.0000000000000001E-3</v>
      </c>
      <c r="Y6572" s="508">
        <v>5.0000000000000001E-3</v>
      </c>
      <c r="Z6572" s="508">
        <v>5.0000000000000001E-3</v>
      </c>
      <c r="AA6572" s="508">
        <v>5.0000000000000001E-3</v>
      </c>
      <c r="AB6572" s="508">
        <v>5.0000000000000001E-3</v>
      </c>
      <c r="AC6572" s="508">
        <v>5.0000000000000001E-3</v>
      </c>
      <c r="AD6572" s="508">
        <v>5.0000000000000001E-3</v>
      </c>
      <c r="AE6572" s="508">
        <v>5.0000000000000001E-3</v>
      </c>
      <c r="AF6572" s="508">
        <v>5.0000000000000001E-3</v>
      </c>
      <c r="AG6572" s="508">
        <v>5.0000000000000001E-3</v>
      </c>
      <c r="AH6572" s="508">
        <v>5.0000000000000001E-3</v>
      </c>
      <c r="AI6572" s="492">
        <v>5.0000000000000001E-3</v>
      </c>
      <c r="AJ6572" s="485"/>
    </row>
    <row r="6573" spans="2:36">
      <c r="B6573" s="136" t="s">
        <v>458</v>
      </c>
      <c r="C6573" s="132" t="s">
        <v>1369</v>
      </c>
      <c r="D6573" s="132" t="s">
        <v>1380</v>
      </c>
      <c r="E6573" s="508">
        <v>5.0000000000000001E-3</v>
      </c>
      <c r="F6573" s="508">
        <v>5.0000000000000001E-3</v>
      </c>
      <c r="G6573" s="508">
        <v>5.0000000000000001E-3</v>
      </c>
      <c r="H6573" s="508">
        <v>5.0000000000000001E-3</v>
      </c>
      <c r="I6573" s="508">
        <v>5.0000000000000001E-3</v>
      </c>
      <c r="J6573" s="508">
        <v>5.0000000000000001E-3</v>
      </c>
      <c r="K6573" s="508">
        <v>5.0000000000000001E-3</v>
      </c>
      <c r="L6573" s="508">
        <v>5.0000000000000001E-3</v>
      </c>
      <c r="M6573" s="508">
        <v>5.0000000000000001E-3</v>
      </c>
      <c r="N6573" s="508">
        <v>5.0000000000000001E-3</v>
      </c>
      <c r="O6573" s="508">
        <v>5.0000000000000001E-3</v>
      </c>
      <c r="P6573" s="508">
        <v>5.0000000000000001E-3</v>
      </c>
      <c r="Q6573" s="508">
        <v>5.0000000000000001E-3</v>
      </c>
      <c r="R6573" s="508">
        <v>5.0000000000000001E-3</v>
      </c>
      <c r="S6573" s="508">
        <v>5.0000000000000001E-3</v>
      </c>
      <c r="T6573" s="508">
        <v>5.0000000000000001E-3</v>
      </c>
      <c r="U6573" s="508">
        <v>5.0000000000000001E-3</v>
      </c>
      <c r="V6573" s="508">
        <v>5.0000000000000001E-3</v>
      </c>
      <c r="W6573" s="508">
        <v>5.0000000000000001E-3</v>
      </c>
      <c r="X6573" s="508">
        <v>5.0000000000000001E-3</v>
      </c>
      <c r="Y6573" s="508">
        <v>5.0000000000000001E-3</v>
      </c>
      <c r="Z6573" s="508">
        <v>5.0000000000000001E-3</v>
      </c>
      <c r="AA6573" s="508">
        <v>5.0000000000000001E-3</v>
      </c>
      <c r="AB6573" s="508">
        <v>5.0000000000000001E-3</v>
      </c>
      <c r="AC6573" s="508">
        <v>5.0000000000000001E-3</v>
      </c>
      <c r="AD6573" s="508">
        <v>5.0000000000000001E-3</v>
      </c>
      <c r="AE6573" s="508">
        <v>5.0000000000000001E-3</v>
      </c>
      <c r="AF6573" s="508">
        <v>5.0000000000000001E-3</v>
      </c>
      <c r="AG6573" s="508">
        <v>5.0000000000000001E-3</v>
      </c>
      <c r="AH6573" s="508">
        <v>5.0000000000000001E-3</v>
      </c>
      <c r="AI6573" s="492">
        <v>5.0000000000000001E-3</v>
      </c>
      <c r="AJ6573" s="485"/>
    </row>
    <row r="6574" spans="2:36">
      <c r="B6574" s="136" t="s">
        <v>459</v>
      </c>
      <c r="C6574" s="132" t="s">
        <v>1369</v>
      </c>
      <c r="D6574" s="132" t="s">
        <v>1380</v>
      </c>
      <c r="E6574" s="508">
        <v>5.0000000000000001E-3</v>
      </c>
      <c r="F6574" s="508">
        <v>5.0000000000000001E-3</v>
      </c>
      <c r="G6574" s="508">
        <v>5.0000000000000001E-3</v>
      </c>
      <c r="H6574" s="508">
        <v>5.0000000000000001E-3</v>
      </c>
      <c r="I6574" s="508">
        <v>5.0000000000000001E-3</v>
      </c>
      <c r="J6574" s="508">
        <v>5.0000000000000001E-3</v>
      </c>
      <c r="K6574" s="508">
        <v>5.0000000000000001E-3</v>
      </c>
      <c r="L6574" s="508">
        <v>5.0000000000000001E-3</v>
      </c>
      <c r="M6574" s="508">
        <v>5.0000000000000001E-3</v>
      </c>
      <c r="N6574" s="508">
        <v>5.0000000000000001E-3</v>
      </c>
      <c r="O6574" s="508">
        <v>5.0000000000000001E-3</v>
      </c>
      <c r="P6574" s="508">
        <v>5.0000000000000001E-3</v>
      </c>
      <c r="Q6574" s="508">
        <v>5.0000000000000001E-3</v>
      </c>
      <c r="R6574" s="508">
        <v>5.0000000000000001E-3</v>
      </c>
      <c r="S6574" s="508">
        <v>5.0000000000000001E-3</v>
      </c>
      <c r="T6574" s="508">
        <v>5.0000000000000001E-3</v>
      </c>
      <c r="U6574" s="508">
        <v>5.0000000000000001E-3</v>
      </c>
      <c r="V6574" s="508">
        <v>5.0000000000000001E-3</v>
      </c>
      <c r="W6574" s="508">
        <v>5.0000000000000001E-3</v>
      </c>
      <c r="X6574" s="508">
        <v>5.0000000000000001E-3</v>
      </c>
      <c r="Y6574" s="508">
        <v>5.0000000000000001E-3</v>
      </c>
      <c r="Z6574" s="508">
        <v>5.0000000000000001E-3</v>
      </c>
      <c r="AA6574" s="508">
        <v>5.0000000000000001E-3</v>
      </c>
      <c r="AB6574" s="508">
        <v>5.0000000000000001E-3</v>
      </c>
      <c r="AC6574" s="508">
        <v>5.0000000000000001E-3</v>
      </c>
      <c r="AD6574" s="508">
        <v>5.0000000000000001E-3</v>
      </c>
      <c r="AE6574" s="508">
        <v>5.0000000000000001E-3</v>
      </c>
      <c r="AF6574" s="508">
        <v>5.0000000000000001E-3</v>
      </c>
      <c r="AG6574" s="508">
        <v>5.0000000000000001E-3</v>
      </c>
      <c r="AH6574" s="508">
        <v>5.0000000000000001E-3</v>
      </c>
      <c r="AI6574" s="492">
        <v>5.0000000000000001E-3</v>
      </c>
      <c r="AJ6574" s="485"/>
    </row>
    <row r="6575" spans="2:36">
      <c r="B6575" s="136" t="s">
        <v>460</v>
      </c>
      <c r="C6575" s="132" t="s">
        <v>1369</v>
      </c>
      <c r="D6575" s="132" t="s">
        <v>1380</v>
      </c>
      <c r="E6575" s="508">
        <v>6.0000000000000001E-3</v>
      </c>
      <c r="F6575" s="508">
        <v>6.0000000000000001E-3</v>
      </c>
      <c r="G6575" s="508">
        <v>6.0000000000000001E-3</v>
      </c>
      <c r="H6575" s="508">
        <v>6.0000000000000001E-3</v>
      </c>
      <c r="I6575" s="508">
        <v>6.0000000000000001E-3</v>
      </c>
      <c r="J6575" s="508">
        <v>6.0000000000000001E-3</v>
      </c>
      <c r="K6575" s="508">
        <v>6.0000000000000001E-3</v>
      </c>
      <c r="L6575" s="508">
        <v>6.0000000000000001E-3</v>
      </c>
      <c r="M6575" s="508">
        <v>6.0000000000000001E-3</v>
      </c>
      <c r="N6575" s="508">
        <v>6.0000000000000001E-3</v>
      </c>
      <c r="O6575" s="508">
        <v>6.0000000000000001E-3</v>
      </c>
      <c r="P6575" s="508">
        <v>6.0000000000000001E-3</v>
      </c>
      <c r="Q6575" s="508">
        <v>6.0000000000000001E-3</v>
      </c>
      <c r="R6575" s="508">
        <v>6.0000000000000001E-3</v>
      </c>
      <c r="S6575" s="508">
        <v>6.0000000000000001E-3</v>
      </c>
      <c r="T6575" s="508">
        <v>6.0000000000000001E-3</v>
      </c>
      <c r="U6575" s="508">
        <v>6.0000000000000001E-3</v>
      </c>
      <c r="V6575" s="508">
        <v>6.0000000000000001E-3</v>
      </c>
      <c r="W6575" s="508">
        <v>6.0000000000000001E-3</v>
      </c>
      <c r="X6575" s="508">
        <v>6.0000000000000001E-3</v>
      </c>
      <c r="Y6575" s="508">
        <v>6.0000000000000001E-3</v>
      </c>
      <c r="Z6575" s="508">
        <v>6.0000000000000001E-3</v>
      </c>
      <c r="AA6575" s="508">
        <v>6.0000000000000001E-3</v>
      </c>
      <c r="AB6575" s="508">
        <v>6.0000000000000001E-3</v>
      </c>
      <c r="AC6575" s="508">
        <v>6.0000000000000001E-3</v>
      </c>
      <c r="AD6575" s="508">
        <v>6.0000000000000001E-3</v>
      </c>
      <c r="AE6575" s="508">
        <v>6.0000000000000001E-3</v>
      </c>
      <c r="AF6575" s="508">
        <v>6.0000000000000001E-3</v>
      </c>
      <c r="AG6575" s="508">
        <v>6.0000000000000001E-3</v>
      </c>
      <c r="AH6575" s="508">
        <v>6.0000000000000001E-3</v>
      </c>
      <c r="AI6575" s="492">
        <v>6.0000000000000001E-3</v>
      </c>
      <c r="AJ6575" s="485"/>
    </row>
    <row r="6576" spans="2:36">
      <c r="B6576" s="136" t="s">
        <v>461</v>
      </c>
      <c r="C6576" s="132" t="s">
        <v>1369</v>
      </c>
      <c r="D6576" s="132" t="s">
        <v>1380</v>
      </c>
      <c r="E6576" s="508">
        <v>5.0000000000000001E-3</v>
      </c>
      <c r="F6576" s="508">
        <v>5.0000000000000001E-3</v>
      </c>
      <c r="G6576" s="508">
        <v>5.0000000000000001E-3</v>
      </c>
      <c r="H6576" s="508">
        <v>5.0000000000000001E-3</v>
      </c>
      <c r="I6576" s="508">
        <v>5.0000000000000001E-3</v>
      </c>
      <c r="J6576" s="508">
        <v>5.0000000000000001E-3</v>
      </c>
      <c r="K6576" s="508">
        <v>5.0000000000000001E-3</v>
      </c>
      <c r="L6576" s="508">
        <v>5.0000000000000001E-3</v>
      </c>
      <c r="M6576" s="508">
        <v>5.0000000000000001E-3</v>
      </c>
      <c r="N6576" s="508">
        <v>5.0000000000000001E-3</v>
      </c>
      <c r="O6576" s="508">
        <v>5.0000000000000001E-3</v>
      </c>
      <c r="P6576" s="508">
        <v>5.0000000000000001E-3</v>
      </c>
      <c r="Q6576" s="508">
        <v>5.0000000000000001E-3</v>
      </c>
      <c r="R6576" s="508">
        <v>5.0000000000000001E-3</v>
      </c>
      <c r="S6576" s="508">
        <v>5.0000000000000001E-3</v>
      </c>
      <c r="T6576" s="508">
        <v>5.0000000000000001E-3</v>
      </c>
      <c r="U6576" s="508">
        <v>5.0000000000000001E-3</v>
      </c>
      <c r="V6576" s="508">
        <v>5.0000000000000001E-3</v>
      </c>
      <c r="W6576" s="508">
        <v>5.0000000000000001E-3</v>
      </c>
      <c r="X6576" s="508">
        <v>5.0000000000000001E-3</v>
      </c>
      <c r="Y6576" s="508">
        <v>5.0000000000000001E-3</v>
      </c>
      <c r="Z6576" s="508">
        <v>5.0000000000000001E-3</v>
      </c>
      <c r="AA6576" s="508">
        <v>5.0000000000000001E-3</v>
      </c>
      <c r="AB6576" s="508">
        <v>5.0000000000000001E-3</v>
      </c>
      <c r="AC6576" s="508">
        <v>5.0000000000000001E-3</v>
      </c>
      <c r="AD6576" s="508">
        <v>5.0000000000000001E-3</v>
      </c>
      <c r="AE6576" s="508">
        <v>5.0000000000000001E-3</v>
      </c>
      <c r="AF6576" s="508">
        <v>5.0000000000000001E-3</v>
      </c>
      <c r="AG6576" s="508">
        <v>5.0000000000000001E-3</v>
      </c>
      <c r="AH6576" s="508">
        <v>5.0000000000000001E-3</v>
      </c>
      <c r="AI6576" s="492">
        <v>5.0000000000000001E-3</v>
      </c>
      <c r="AJ6576" s="485"/>
    </row>
    <row r="6577" spans="2:36">
      <c r="B6577" s="136" t="s">
        <v>462</v>
      </c>
      <c r="C6577" s="132" t="s">
        <v>1369</v>
      </c>
      <c r="D6577" s="132" t="s">
        <v>1380</v>
      </c>
      <c r="E6577" s="508">
        <v>5.0000000000000001E-3</v>
      </c>
      <c r="F6577" s="508">
        <v>5.0000000000000001E-3</v>
      </c>
      <c r="G6577" s="508">
        <v>5.0000000000000001E-3</v>
      </c>
      <c r="H6577" s="508">
        <v>5.0000000000000001E-3</v>
      </c>
      <c r="I6577" s="508">
        <v>5.0000000000000001E-3</v>
      </c>
      <c r="J6577" s="508">
        <v>5.0000000000000001E-3</v>
      </c>
      <c r="K6577" s="508">
        <v>5.0000000000000001E-3</v>
      </c>
      <c r="L6577" s="508">
        <v>5.0000000000000001E-3</v>
      </c>
      <c r="M6577" s="508">
        <v>5.0000000000000001E-3</v>
      </c>
      <c r="N6577" s="508">
        <v>5.0000000000000001E-3</v>
      </c>
      <c r="O6577" s="508">
        <v>5.0000000000000001E-3</v>
      </c>
      <c r="P6577" s="508">
        <v>5.0000000000000001E-3</v>
      </c>
      <c r="Q6577" s="508">
        <v>5.0000000000000001E-3</v>
      </c>
      <c r="R6577" s="508">
        <v>5.0000000000000001E-3</v>
      </c>
      <c r="S6577" s="508">
        <v>5.0000000000000001E-3</v>
      </c>
      <c r="T6577" s="508">
        <v>5.0000000000000001E-3</v>
      </c>
      <c r="U6577" s="508">
        <v>5.0000000000000001E-3</v>
      </c>
      <c r="V6577" s="508">
        <v>5.0000000000000001E-3</v>
      </c>
      <c r="W6577" s="508">
        <v>5.0000000000000001E-3</v>
      </c>
      <c r="X6577" s="508">
        <v>5.0000000000000001E-3</v>
      </c>
      <c r="Y6577" s="508">
        <v>5.0000000000000001E-3</v>
      </c>
      <c r="Z6577" s="508">
        <v>5.0000000000000001E-3</v>
      </c>
      <c r="AA6577" s="508">
        <v>5.0000000000000001E-3</v>
      </c>
      <c r="AB6577" s="508">
        <v>5.0000000000000001E-3</v>
      </c>
      <c r="AC6577" s="508">
        <v>5.0000000000000001E-3</v>
      </c>
      <c r="AD6577" s="508">
        <v>5.0000000000000001E-3</v>
      </c>
      <c r="AE6577" s="508">
        <v>5.0000000000000001E-3</v>
      </c>
      <c r="AF6577" s="508">
        <v>5.0000000000000001E-3</v>
      </c>
      <c r="AG6577" s="508">
        <v>5.0000000000000001E-3</v>
      </c>
      <c r="AH6577" s="508">
        <v>5.0000000000000001E-3</v>
      </c>
      <c r="AI6577" s="492">
        <v>5.0000000000000001E-3</v>
      </c>
      <c r="AJ6577" s="485"/>
    </row>
    <row r="6578" spans="2:36">
      <c r="B6578" s="136" t="s">
        <v>463</v>
      </c>
      <c r="C6578" s="132" t="s">
        <v>1369</v>
      </c>
      <c r="D6578" s="132" t="s">
        <v>1380</v>
      </c>
      <c r="E6578" s="508">
        <v>5.0000000000000001E-3</v>
      </c>
      <c r="F6578" s="508">
        <v>5.0000000000000001E-3</v>
      </c>
      <c r="G6578" s="508">
        <v>5.0000000000000001E-3</v>
      </c>
      <c r="H6578" s="508">
        <v>5.0000000000000001E-3</v>
      </c>
      <c r="I6578" s="508">
        <v>5.0000000000000001E-3</v>
      </c>
      <c r="J6578" s="508">
        <v>5.0000000000000001E-3</v>
      </c>
      <c r="K6578" s="508">
        <v>5.0000000000000001E-3</v>
      </c>
      <c r="L6578" s="508">
        <v>5.0000000000000001E-3</v>
      </c>
      <c r="M6578" s="508">
        <v>5.0000000000000001E-3</v>
      </c>
      <c r="N6578" s="508">
        <v>5.0000000000000001E-3</v>
      </c>
      <c r="O6578" s="508">
        <v>5.0000000000000001E-3</v>
      </c>
      <c r="P6578" s="508">
        <v>5.0000000000000001E-3</v>
      </c>
      <c r="Q6578" s="508">
        <v>5.0000000000000001E-3</v>
      </c>
      <c r="R6578" s="508">
        <v>5.0000000000000001E-3</v>
      </c>
      <c r="S6578" s="508">
        <v>5.0000000000000001E-3</v>
      </c>
      <c r="T6578" s="508">
        <v>5.0000000000000001E-3</v>
      </c>
      <c r="U6578" s="508">
        <v>5.0000000000000001E-3</v>
      </c>
      <c r="V6578" s="508">
        <v>5.0000000000000001E-3</v>
      </c>
      <c r="W6578" s="508">
        <v>5.0000000000000001E-3</v>
      </c>
      <c r="X6578" s="508">
        <v>5.0000000000000001E-3</v>
      </c>
      <c r="Y6578" s="508">
        <v>5.0000000000000001E-3</v>
      </c>
      <c r="Z6578" s="508">
        <v>5.0000000000000001E-3</v>
      </c>
      <c r="AA6578" s="508">
        <v>5.0000000000000001E-3</v>
      </c>
      <c r="AB6578" s="508">
        <v>5.0000000000000001E-3</v>
      </c>
      <c r="AC6578" s="508">
        <v>5.0000000000000001E-3</v>
      </c>
      <c r="AD6578" s="508">
        <v>5.0000000000000001E-3</v>
      </c>
      <c r="AE6578" s="508">
        <v>5.0000000000000001E-3</v>
      </c>
      <c r="AF6578" s="508">
        <v>5.0000000000000001E-3</v>
      </c>
      <c r="AG6578" s="508">
        <v>5.0000000000000001E-3</v>
      </c>
      <c r="AH6578" s="508">
        <v>5.0000000000000001E-3</v>
      </c>
      <c r="AI6578" s="492">
        <v>5.0000000000000001E-3</v>
      </c>
      <c r="AJ6578" s="485"/>
    </row>
    <row r="6579" spans="2:36">
      <c r="B6579" s="136" t="s">
        <v>464</v>
      </c>
      <c r="C6579" s="132" t="s">
        <v>1369</v>
      </c>
      <c r="D6579" s="132" t="s">
        <v>1380</v>
      </c>
      <c r="E6579" s="508">
        <v>5.0000000000000001E-3</v>
      </c>
      <c r="F6579" s="508">
        <v>5.0000000000000001E-3</v>
      </c>
      <c r="G6579" s="508">
        <v>5.0000000000000001E-3</v>
      </c>
      <c r="H6579" s="508">
        <v>5.0000000000000001E-3</v>
      </c>
      <c r="I6579" s="508">
        <v>5.0000000000000001E-3</v>
      </c>
      <c r="J6579" s="508">
        <v>5.0000000000000001E-3</v>
      </c>
      <c r="K6579" s="508">
        <v>5.0000000000000001E-3</v>
      </c>
      <c r="L6579" s="508">
        <v>5.0000000000000001E-3</v>
      </c>
      <c r="M6579" s="508">
        <v>5.0000000000000001E-3</v>
      </c>
      <c r="N6579" s="508">
        <v>5.0000000000000001E-3</v>
      </c>
      <c r="O6579" s="508">
        <v>5.0000000000000001E-3</v>
      </c>
      <c r="P6579" s="508">
        <v>5.0000000000000001E-3</v>
      </c>
      <c r="Q6579" s="508">
        <v>5.0000000000000001E-3</v>
      </c>
      <c r="R6579" s="508">
        <v>5.0000000000000001E-3</v>
      </c>
      <c r="S6579" s="508">
        <v>5.0000000000000001E-3</v>
      </c>
      <c r="T6579" s="508">
        <v>5.0000000000000001E-3</v>
      </c>
      <c r="U6579" s="508">
        <v>5.0000000000000001E-3</v>
      </c>
      <c r="V6579" s="508">
        <v>5.0000000000000001E-3</v>
      </c>
      <c r="W6579" s="508">
        <v>5.0000000000000001E-3</v>
      </c>
      <c r="X6579" s="508">
        <v>5.0000000000000001E-3</v>
      </c>
      <c r="Y6579" s="508">
        <v>5.0000000000000001E-3</v>
      </c>
      <c r="Z6579" s="508">
        <v>5.0000000000000001E-3</v>
      </c>
      <c r="AA6579" s="508">
        <v>5.0000000000000001E-3</v>
      </c>
      <c r="AB6579" s="508">
        <v>5.0000000000000001E-3</v>
      </c>
      <c r="AC6579" s="508">
        <v>5.0000000000000001E-3</v>
      </c>
      <c r="AD6579" s="508">
        <v>5.0000000000000001E-3</v>
      </c>
      <c r="AE6579" s="508">
        <v>5.0000000000000001E-3</v>
      </c>
      <c r="AF6579" s="508">
        <v>5.0000000000000001E-3</v>
      </c>
      <c r="AG6579" s="508">
        <v>5.0000000000000001E-3</v>
      </c>
      <c r="AH6579" s="508">
        <v>5.0000000000000001E-3</v>
      </c>
      <c r="AI6579" s="492">
        <v>5.0000000000000001E-3</v>
      </c>
      <c r="AJ6579" s="485"/>
    </row>
    <row r="6580" spans="2:36">
      <c r="B6580" s="136" t="s">
        <v>465</v>
      </c>
      <c r="C6580" s="132" t="s">
        <v>1369</v>
      </c>
      <c r="D6580" s="132" t="s">
        <v>1380</v>
      </c>
      <c r="E6580" s="508">
        <v>5.0000000000000001E-3</v>
      </c>
      <c r="F6580" s="508">
        <v>5.0000000000000001E-3</v>
      </c>
      <c r="G6580" s="508">
        <v>5.0000000000000001E-3</v>
      </c>
      <c r="H6580" s="508">
        <v>5.0000000000000001E-3</v>
      </c>
      <c r="I6580" s="508">
        <v>5.0000000000000001E-3</v>
      </c>
      <c r="J6580" s="508">
        <v>5.0000000000000001E-3</v>
      </c>
      <c r="K6580" s="508">
        <v>5.0000000000000001E-3</v>
      </c>
      <c r="L6580" s="508">
        <v>5.0000000000000001E-3</v>
      </c>
      <c r="M6580" s="508">
        <v>5.0000000000000001E-3</v>
      </c>
      <c r="N6580" s="508">
        <v>5.0000000000000001E-3</v>
      </c>
      <c r="O6580" s="508">
        <v>5.0000000000000001E-3</v>
      </c>
      <c r="P6580" s="508">
        <v>5.0000000000000001E-3</v>
      </c>
      <c r="Q6580" s="508">
        <v>5.0000000000000001E-3</v>
      </c>
      <c r="R6580" s="508">
        <v>5.0000000000000001E-3</v>
      </c>
      <c r="S6580" s="508">
        <v>5.0000000000000001E-3</v>
      </c>
      <c r="T6580" s="508">
        <v>5.0000000000000001E-3</v>
      </c>
      <c r="U6580" s="508">
        <v>5.0000000000000001E-3</v>
      </c>
      <c r="V6580" s="508">
        <v>5.0000000000000001E-3</v>
      </c>
      <c r="W6580" s="508">
        <v>5.0000000000000001E-3</v>
      </c>
      <c r="X6580" s="508">
        <v>5.0000000000000001E-3</v>
      </c>
      <c r="Y6580" s="508">
        <v>5.0000000000000001E-3</v>
      </c>
      <c r="Z6580" s="508">
        <v>5.0000000000000001E-3</v>
      </c>
      <c r="AA6580" s="508">
        <v>5.0000000000000001E-3</v>
      </c>
      <c r="AB6580" s="508">
        <v>5.0000000000000001E-3</v>
      </c>
      <c r="AC6580" s="508">
        <v>5.0000000000000001E-3</v>
      </c>
      <c r="AD6580" s="508">
        <v>5.0000000000000001E-3</v>
      </c>
      <c r="AE6580" s="508">
        <v>5.0000000000000001E-3</v>
      </c>
      <c r="AF6580" s="508">
        <v>5.0000000000000001E-3</v>
      </c>
      <c r="AG6580" s="508">
        <v>5.0000000000000001E-3</v>
      </c>
      <c r="AH6580" s="508">
        <v>5.0000000000000001E-3</v>
      </c>
      <c r="AI6580" s="492">
        <v>5.0000000000000001E-3</v>
      </c>
      <c r="AJ6580" s="485"/>
    </row>
    <row r="6581" spans="2:36">
      <c r="B6581" s="136" t="s">
        <v>466</v>
      </c>
      <c r="C6581" s="132" t="s">
        <v>1369</v>
      </c>
      <c r="D6581" s="132" t="s">
        <v>1380</v>
      </c>
      <c r="E6581" s="508">
        <v>6.0000000000000001E-3</v>
      </c>
      <c r="F6581" s="508">
        <v>6.0000000000000001E-3</v>
      </c>
      <c r="G6581" s="508">
        <v>6.0000000000000001E-3</v>
      </c>
      <c r="H6581" s="508">
        <v>6.0000000000000001E-3</v>
      </c>
      <c r="I6581" s="508">
        <v>6.0000000000000001E-3</v>
      </c>
      <c r="J6581" s="508">
        <v>6.0000000000000001E-3</v>
      </c>
      <c r="K6581" s="508">
        <v>6.0000000000000001E-3</v>
      </c>
      <c r="L6581" s="508">
        <v>6.0000000000000001E-3</v>
      </c>
      <c r="M6581" s="508">
        <v>6.0000000000000001E-3</v>
      </c>
      <c r="N6581" s="508">
        <v>6.0000000000000001E-3</v>
      </c>
      <c r="O6581" s="508">
        <v>6.0000000000000001E-3</v>
      </c>
      <c r="P6581" s="508">
        <v>6.0000000000000001E-3</v>
      </c>
      <c r="Q6581" s="508">
        <v>6.0000000000000001E-3</v>
      </c>
      <c r="R6581" s="508">
        <v>6.0000000000000001E-3</v>
      </c>
      <c r="S6581" s="508">
        <v>6.0000000000000001E-3</v>
      </c>
      <c r="T6581" s="508">
        <v>6.0000000000000001E-3</v>
      </c>
      <c r="U6581" s="508">
        <v>6.0000000000000001E-3</v>
      </c>
      <c r="V6581" s="508">
        <v>6.0000000000000001E-3</v>
      </c>
      <c r="W6581" s="508">
        <v>6.0000000000000001E-3</v>
      </c>
      <c r="X6581" s="508">
        <v>6.0000000000000001E-3</v>
      </c>
      <c r="Y6581" s="508">
        <v>6.0000000000000001E-3</v>
      </c>
      <c r="Z6581" s="508">
        <v>6.0000000000000001E-3</v>
      </c>
      <c r="AA6581" s="508">
        <v>6.0000000000000001E-3</v>
      </c>
      <c r="AB6581" s="508">
        <v>6.0000000000000001E-3</v>
      </c>
      <c r="AC6581" s="508">
        <v>6.0000000000000001E-3</v>
      </c>
      <c r="AD6581" s="508">
        <v>6.0000000000000001E-3</v>
      </c>
      <c r="AE6581" s="508">
        <v>6.0000000000000001E-3</v>
      </c>
      <c r="AF6581" s="508">
        <v>6.0000000000000001E-3</v>
      </c>
      <c r="AG6581" s="508">
        <v>6.0000000000000001E-3</v>
      </c>
      <c r="AH6581" s="508">
        <v>6.0000000000000001E-3</v>
      </c>
      <c r="AI6581" s="492">
        <v>6.0000000000000001E-3</v>
      </c>
      <c r="AJ6581" s="485"/>
    </row>
    <row r="6582" spans="2:36">
      <c r="B6582" s="136" t="s">
        <v>467</v>
      </c>
      <c r="C6582" s="132" t="s">
        <v>1369</v>
      </c>
      <c r="D6582" s="132" t="s">
        <v>1380</v>
      </c>
      <c r="E6582" s="508">
        <v>5.0000000000000001E-3</v>
      </c>
      <c r="F6582" s="508">
        <v>5.0000000000000001E-3</v>
      </c>
      <c r="G6582" s="508">
        <v>5.0000000000000001E-3</v>
      </c>
      <c r="H6582" s="508">
        <v>5.0000000000000001E-3</v>
      </c>
      <c r="I6582" s="508">
        <v>5.0000000000000001E-3</v>
      </c>
      <c r="J6582" s="508">
        <v>5.0000000000000001E-3</v>
      </c>
      <c r="K6582" s="508">
        <v>5.0000000000000001E-3</v>
      </c>
      <c r="L6582" s="508">
        <v>5.0000000000000001E-3</v>
      </c>
      <c r="M6582" s="508">
        <v>5.0000000000000001E-3</v>
      </c>
      <c r="N6582" s="508">
        <v>5.0000000000000001E-3</v>
      </c>
      <c r="O6582" s="508">
        <v>5.0000000000000001E-3</v>
      </c>
      <c r="P6582" s="508">
        <v>5.0000000000000001E-3</v>
      </c>
      <c r="Q6582" s="508">
        <v>5.0000000000000001E-3</v>
      </c>
      <c r="R6582" s="508">
        <v>5.0000000000000001E-3</v>
      </c>
      <c r="S6582" s="508">
        <v>5.0000000000000001E-3</v>
      </c>
      <c r="T6582" s="508">
        <v>5.0000000000000001E-3</v>
      </c>
      <c r="U6582" s="508">
        <v>5.0000000000000001E-3</v>
      </c>
      <c r="V6582" s="508">
        <v>5.0000000000000001E-3</v>
      </c>
      <c r="W6582" s="508">
        <v>5.0000000000000001E-3</v>
      </c>
      <c r="X6582" s="508">
        <v>5.0000000000000001E-3</v>
      </c>
      <c r="Y6582" s="508">
        <v>5.0000000000000001E-3</v>
      </c>
      <c r="Z6582" s="508">
        <v>5.0000000000000001E-3</v>
      </c>
      <c r="AA6582" s="508">
        <v>5.0000000000000001E-3</v>
      </c>
      <c r="AB6582" s="508">
        <v>5.0000000000000001E-3</v>
      </c>
      <c r="AC6582" s="508">
        <v>5.0000000000000001E-3</v>
      </c>
      <c r="AD6582" s="508">
        <v>5.0000000000000001E-3</v>
      </c>
      <c r="AE6582" s="508">
        <v>5.0000000000000001E-3</v>
      </c>
      <c r="AF6582" s="508">
        <v>5.0000000000000001E-3</v>
      </c>
      <c r="AG6582" s="508">
        <v>5.0000000000000001E-3</v>
      </c>
      <c r="AH6582" s="508">
        <v>5.0000000000000001E-3</v>
      </c>
      <c r="AI6582" s="492">
        <v>5.0000000000000001E-3</v>
      </c>
      <c r="AJ6582" s="485"/>
    </row>
    <row r="6583" spans="2:36">
      <c r="B6583" s="136" t="s">
        <v>468</v>
      </c>
      <c r="C6583" s="132" t="s">
        <v>1369</v>
      </c>
      <c r="D6583" s="132" t="s">
        <v>1380</v>
      </c>
      <c r="E6583" s="508">
        <v>5.0000000000000001E-3</v>
      </c>
      <c r="F6583" s="508">
        <v>5.0000000000000001E-3</v>
      </c>
      <c r="G6583" s="508">
        <v>5.0000000000000001E-3</v>
      </c>
      <c r="H6583" s="508">
        <v>5.0000000000000001E-3</v>
      </c>
      <c r="I6583" s="508">
        <v>5.0000000000000001E-3</v>
      </c>
      <c r="J6583" s="508">
        <v>5.0000000000000001E-3</v>
      </c>
      <c r="K6583" s="508">
        <v>5.0000000000000001E-3</v>
      </c>
      <c r="L6583" s="508">
        <v>5.0000000000000001E-3</v>
      </c>
      <c r="M6583" s="508">
        <v>5.0000000000000001E-3</v>
      </c>
      <c r="N6583" s="508">
        <v>5.0000000000000001E-3</v>
      </c>
      <c r="O6583" s="508">
        <v>5.0000000000000001E-3</v>
      </c>
      <c r="P6583" s="508">
        <v>5.0000000000000001E-3</v>
      </c>
      <c r="Q6583" s="508">
        <v>5.0000000000000001E-3</v>
      </c>
      <c r="R6583" s="508">
        <v>5.0000000000000001E-3</v>
      </c>
      <c r="S6583" s="508">
        <v>5.0000000000000001E-3</v>
      </c>
      <c r="T6583" s="508">
        <v>5.0000000000000001E-3</v>
      </c>
      <c r="U6583" s="508">
        <v>5.0000000000000001E-3</v>
      </c>
      <c r="V6583" s="508">
        <v>5.0000000000000001E-3</v>
      </c>
      <c r="W6583" s="508">
        <v>5.0000000000000001E-3</v>
      </c>
      <c r="X6583" s="508">
        <v>5.0000000000000001E-3</v>
      </c>
      <c r="Y6583" s="508">
        <v>5.0000000000000001E-3</v>
      </c>
      <c r="Z6583" s="508">
        <v>5.0000000000000001E-3</v>
      </c>
      <c r="AA6583" s="508">
        <v>5.0000000000000001E-3</v>
      </c>
      <c r="AB6583" s="508">
        <v>5.0000000000000001E-3</v>
      </c>
      <c r="AC6583" s="508">
        <v>5.0000000000000001E-3</v>
      </c>
      <c r="AD6583" s="508">
        <v>5.0000000000000001E-3</v>
      </c>
      <c r="AE6583" s="508">
        <v>5.0000000000000001E-3</v>
      </c>
      <c r="AF6583" s="508">
        <v>5.0000000000000001E-3</v>
      </c>
      <c r="AG6583" s="508">
        <v>5.0000000000000001E-3</v>
      </c>
      <c r="AH6583" s="508">
        <v>5.0000000000000001E-3</v>
      </c>
      <c r="AI6583" s="492">
        <v>5.0000000000000001E-3</v>
      </c>
      <c r="AJ6583" s="485"/>
    </row>
    <row r="6584" spans="2:36">
      <c r="B6584" s="136" t="s">
        <v>469</v>
      </c>
      <c r="C6584" s="132" t="s">
        <v>1369</v>
      </c>
      <c r="D6584" s="132" t="s">
        <v>1380</v>
      </c>
      <c r="E6584" s="508">
        <v>5.0000000000000001E-3</v>
      </c>
      <c r="F6584" s="508">
        <v>5.0000000000000001E-3</v>
      </c>
      <c r="G6584" s="508">
        <v>5.0000000000000001E-3</v>
      </c>
      <c r="H6584" s="508">
        <v>5.0000000000000001E-3</v>
      </c>
      <c r="I6584" s="508">
        <v>5.0000000000000001E-3</v>
      </c>
      <c r="J6584" s="508">
        <v>5.0000000000000001E-3</v>
      </c>
      <c r="K6584" s="508">
        <v>5.0000000000000001E-3</v>
      </c>
      <c r="L6584" s="508">
        <v>5.0000000000000001E-3</v>
      </c>
      <c r="M6584" s="508">
        <v>5.0000000000000001E-3</v>
      </c>
      <c r="N6584" s="508">
        <v>5.0000000000000001E-3</v>
      </c>
      <c r="O6584" s="508">
        <v>5.0000000000000001E-3</v>
      </c>
      <c r="P6584" s="508">
        <v>5.0000000000000001E-3</v>
      </c>
      <c r="Q6584" s="508">
        <v>5.0000000000000001E-3</v>
      </c>
      <c r="R6584" s="508">
        <v>5.0000000000000001E-3</v>
      </c>
      <c r="S6584" s="508">
        <v>5.0000000000000001E-3</v>
      </c>
      <c r="T6584" s="508">
        <v>5.0000000000000001E-3</v>
      </c>
      <c r="U6584" s="508">
        <v>5.0000000000000001E-3</v>
      </c>
      <c r="V6584" s="508">
        <v>5.0000000000000001E-3</v>
      </c>
      <c r="W6584" s="508">
        <v>5.0000000000000001E-3</v>
      </c>
      <c r="X6584" s="508">
        <v>5.0000000000000001E-3</v>
      </c>
      <c r="Y6584" s="508">
        <v>5.0000000000000001E-3</v>
      </c>
      <c r="Z6584" s="508">
        <v>5.0000000000000001E-3</v>
      </c>
      <c r="AA6584" s="508">
        <v>5.0000000000000001E-3</v>
      </c>
      <c r="AB6584" s="508">
        <v>5.0000000000000001E-3</v>
      </c>
      <c r="AC6584" s="508">
        <v>5.0000000000000001E-3</v>
      </c>
      <c r="AD6584" s="508">
        <v>5.0000000000000001E-3</v>
      </c>
      <c r="AE6584" s="508">
        <v>5.0000000000000001E-3</v>
      </c>
      <c r="AF6584" s="508">
        <v>5.0000000000000001E-3</v>
      </c>
      <c r="AG6584" s="508">
        <v>5.0000000000000001E-3</v>
      </c>
      <c r="AH6584" s="508">
        <v>5.0000000000000001E-3</v>
      </c>
      <c r="AI6584" s="492">
        <v>5.0000000000000001E-3</v>
      </c>
      <c r="AJ6584" s="485"/>
    </row>
    <row r="6585" spans="2:36">
      <c r="B6585" s="136" t="s">
        <v>470</v>
      </c>
      <c r="C6585" s="132" t="s">
        <v>1369</v>
      </c>
      <c r="D6585" s="132" t="s">
        <v>1380</v>
      </c>
      <c r="E6585" s="508">
        <v>6.0000000000000001E-3</v>
      </c>
      <c r="F6585" s="508">
        <v>6.0000000000000001E-3</v>
      </c>
      <c r="G6585" s="508">
        <v>6.0000000000000001E-3</v>
      </c>
      <c r="H6585" s="508">
        <v>6.0000000000000001E-3</v>
      </c>
      <c r="I6585" s="508">
        <v>6.0000000000000001E-3</v>
      </c>
      <c r="J6585" s="508">
        <v>6.0000000000000001E-3</v>
      </c>
      <c r="K6585" s="508">
        <v>6.0000000000000001E-3</v>
      </c>
      <c r="L6585" s="508">
        <v>6.0000000000000001E-3</v>
      </c>
      <c r="M6585" s="508">
        <v>6.0000000000000001E-3</v>
      </c>
      <c r="N6585" s="508">
        <v>6.0000000000000001E-3</v>
      </c>
      <c r="O6585" s="508">
        <v>6.0000000000000001E-3</v>
      </c>
      <c r="P6585" s="508">
        <v>6.0000000000000001E-3</v>
      </c>
      <c r="Q6585" s="508">
        <v>6.0000000000000001E-3</v>
      </c>
      <c r="R6585" s="508">
        <v>6.0000000000000001E-3</v>
      </c>
      <c r="S6585" s="508">
        <v>6.0000000000000001E-3</v>
      </c>
      <c r="T6585" s="508">
        <v>6.0000000000000001E-3</v>
      </c>
      <c r="U6585" s="508">
        <v>6.0000000000000001E-3</v>
      </c>
      <c r="V6585" s="508">
        <v>6.0000000000000001E-3</v>
      </c>
      <c r="W6585" s="508">
        <v>6.0000000000000001E-3</v>
      </c>
      <c r="X6585" s="508">
        <v>6.0000000000000001E-3</v>
      </c>
      <c r="Y6585" s="508">
        <v>6.0000000000000001E-3</v>
      </c>
      <c r="Z6585" s="508">
        <v>6.0000000000000001E-3</v>
      </c>
      <c r="AA6585" s="508">
        <v>6.0000000000000001E-3</v>
      </c>
      <c r="AB6585" s="508">
        <v>6.0000000000000001E-3</v>
      </c>
      <c r="AC6585" s="508">
        <v>6.0000000000000001E-3</v>
      </c>
      <c r="AD6585" s="508">
        <v>6.0000000000000001E-3</v>
      </c>
      <c r="AE6585" s="508">
        <v>6.0000000000000001E-3</v>
      </c>
      <c r="AF6585" s="508">
        <v>6.0000000000000001E-3</v>
      </c>
      <c r="AG6585" s="508">
        <v>6.0000000000000001E-3</v>
      </c>
      <c r="AH6585" s="508">
        <v>6.0000000000000001E-3</v>
      </c>
      <c r="AI6585" s="492">
        <v>6.0000000000000001E-3</v>
      </c>
      <c r="AJ6585" s="485"/>
    </row>
    <row r="6586" spans="2:36">
      <c r="B6586" s="136" t="s">
        <v>471</v>
      </c>
      <c r="C6586" s="132" t="s">
        <v>1369</v>
      </c>
      <c r="D6586" s="132" t="s">
        <v>1380</v>
      </c>
      <c r="E6586" s="508">
        <v>6.0000000000000001E-3</v>
      </c>
      <c r="F6586" s="508">
        <v>6.0000000000000001E-3</v>
      </c>
      <c r="G6586" s="508">
        <v>6.0000000000000001E-3</v>
      </c>
      <c r="H6586" s="508">
        <v>6.0000000000000001E-3</v>
      </c>
      <c r="I6586" s="508">
        <v>6.0000000000000001E-3</v>
      </c>
      <c r="J6586" s="508">
        <v>6.0000000000000001E-3</v>
      </c>
      <c r="K6586" s="508">
        <v>6.0000000000000001E-3</v>
      </c>
      <c r="L6586" s="508">
        <v>6.0000000000000001E-3</v>
      </c>
      <c r="M6586" s="508">
        <v>6.0000000000000001E-3</v>
      </c>
      <c r="N6586" s="508">
        <v>6.0000000000000001E-3</v>
      </c>
      <c r="O6586" s="508">
        <v>6.0000000000000001E-3</v>
      </c>
      <c r="P6586" s="508">
        <v>6.0000000000000001E-3</v>
      </c>
      <c r="Q6586" s="508">
        <v>6.0000000000000001E-3</v>
      </c>
      <c r="R6586" s="508">
        <v>6.0000000000000001E-3</v>
      </c>
      <c r="S6586" s="508">
        <v>6.0000000000000001E-3</v>
      </c>
      <c r="T6586" s="508">
        <v>6.0000000000000001E-3</v>
      </c>
      <c r="U6586" s="508">
        <v>6.0000000000000001E-3</v>
      </c>
      <c r="V6586" s="508">
        <v>6.0000000000000001E-3</v>
      </c>
      <c r="W6586" s="508">
        <v>6.0000000000000001E-3</v>
      </c>
      <c r="X6586" s="508">
        <v>6.0000000000000001E-3</v>
      </c>
      <c r="Y6586" s="508">
        <v>6.0000000000000001E-3</v>
      </c>
      <c r="Z6586" s="508">
        <v>6.0000000000000001E-3</v>
      </c>
      <c r="AA6586" s="508">
        <v>6.0000000000000001E-3</v>
      </c>
      <c r="AB6586" s="508">
        <v>6.0000000000000001E-3</v>
      </c>
      <c r="AC6586" s="508">
        <v>6.0000000000000001E-3</v>
      </c>
      <c r="AD6586" s="508">
        <v>6.0000000000000001E-3</v>
      </c>
      <c r="AE6586" s="508">
        <v>6.0000000000000001E-3</v>
      </c>
      <c r="AF6586" s="508">
        <v>6.0000000000000001E-3</v>
      </c>
      <c r="AG6586" s="508">
        <v>6.0000000000000001E-3</v>
      </c>
      <c r="AH6586" s="508">
        <v>6.0000000000000001E-3</v>
      </c>
      <c r="AI6586" s="492">
        <v>6.0000000000000001E-3</v>
      </c>
      <c r="AJ6586" s="485"/>
    </row>
    <row r="6587" spans="2:36">
      <c r="B6587" s="136" t="s">
        <v>472</v>
      </c>
      <c r="C6587" s="132" t="s">
        <v>1369</v>
      </c>
      <c r="D6587" s="132" t="s">
        <v>1380</v>
      </c>
      <c r="E6587" s="508">
        <v>5.0000000000000001E-3</v>
      </c>
      <c r="F6587" s="508">
        <v>5.0000000000000001E-3</v>
      </c>
      <c r="G6587" s="508">
        <v>5.0000000000000001E-3</v>
      </c>
      <c r="H6587" s="508">
        <v>5.0000000000000001E-3</v>
      </c>
      <c r="I6587" s="508">
        <v>5.0000000000000001E-3</v>
      </c>
      <c r="J6587" s="508">
        <v>5.0000000000000001E-3</v>
      </c>
      <c r="K6587" s="508">
        <v>5.0000000000000001E-3</v>
      </c>
      <c r="L6587" s="508">
        <v>5.0000000000000001E-3</v>
      </c>
      <c r="M6587" s="508">
        <v>5.0000000000000001E-3</v>
      </c>
      <c r="N6587" s="508">
        <v>5.0000000000000001E-3</v>
      </c>
      <c r="O6587" s="508">
        <v>5.0000000000000001E-3</v>
      </c>
      <c r="P6587" s="508">
        <v>5.0000000000000001E-3</v>
      </c>
      <c r="Q6587" s="508">
        <v>5.0000000000000001E-3</v>
      </c>
      <c r="R6587" s="508">
        <v>5.0000000000000001E-3</v>
      </c>
      <c r="S6587" s="508">
        <v>5.0000000000000001E-3</v>
      </c>
      <c r="T6587" s="508">
        <v>5.0000000000000001E-3</v>
      </c>
      <c r="U6587" s="508">
        <v>5.0000000000000001E-3</v>
      </c>
      <c r="V6587" s="508">
        <v>5.0000000000000001E-3</v>
      </c>
      <c r="W6587" s="508">
        <v>5.0000000000000001E-3</v>
      </c>
      <c r="X6587" s="508">
        <v>5.0000000000000001E-3</v>
      </c>
      <c r="Y6587" s="508">
        <v>5.0000000000000001E-3</v>
      </c>
      <c r="Z6587" s="508">
        <v>5.0000000000000001E-3</v>
      </c>
      <c r="AA6587" s="508">
        <v>5.0000000000000001E-3</v>
      </c>
      <c r="AB6587" s="508">
        <v>5.0000000000000001E-3</v>
      </c>
      <c r="AC6587" s="508">
        <v>5.0000000000000001E-3</v>
      </c>
      <c r="AD6587" s="508">
        <v>5.0000000000000001E-3</v>
      </c>
      <c r="AE6587" s="508">
        <v>5.0000000000000001E-3</v>
      </c>
      <c r="AF6587" s="508">
        <v>5.0000000000000001E-3</v>
      </c>
      <c r="AG6587" s="508">
        <v>5.0000000000000001E-3</v>
      </c>
      <c r="AH6587" s="508">
        <v>5.0000000000000001E-3</v>
      </c>
      <c r="AI6587" s="492">
        <v>5.0000000000000001E-3</v>
      </c>
      <c r="AJ6587" s="485"/>
    </row>
    <row r="6588" spans="2:36">
      <c r="B6588" s="136" t="s">
        <v>473</v>
      </c>
      <c r="C6588" s="132" t="s">
        <v>1369</v>
      </c>
      <c r="D6588" s="132" t="s">
        <v>1380</v>
      </c>
      <c r="E6588" s="508">
        <v>6.0000000000000001E-3</v>
      </c>
      <c r="F6588" s="508">
        <v>6.0000000000000001E-3</v>
      </c>
      <c r="G6588" s="508">
        <v>6.0000000000000001E-3</v>
      </c>
      <c r="H6588" s="508">
        <v>6.0000000000000001E-3</v>
      </c>
      <c r="I6588" s="508">
        <v>6.0000000000000001E-3</v>
      </c>
      <c r="J6588" s="508">
        <v>6.0000000000000001E-3</v>
      </c>
      <c r="K6588" s="508">
        <v>6.0000000000000001E-3</v>
      </c>
      <c r="L6588" s="508">
        <v>6.0000000000000001E-3</v>
      </c>
      <c r="M6588" s="508">
        <v>6.0000000000000001E-3</v>
      </c>
      <c r="N6588" s="508">
        <v>6.0000000000000001E-3</v>
      </c>
      <c r="O6588" s="508">
        <v>6.0000000000000001E-3</v>
      </c>
      <c r="P6588" s="508">
        <v>6.0000000000000001E-3</v>
      </c>
      <c r="Q6588" s="508">
        <v>6.0000000000000001E-3</v>
      </c>
      <c r="R6588" s="508">
        <v>6.0000000000000001E-3</v>
      </c>
      <c r="S6588" s="508">
        <v>6.0000000000000001E-3</v>
      </c>
      <c r="T6588" s="508">
        <v>6.0000000000000001E-3</v>
      </c>
      <c r="U6588" s="508">
        <v>6.0000000000000001E-3</v>
      </c>
      <c r="V6588" s="508">
        <v>6.0000000000000001E-3</v>
      </c>
      <c r="W6588" s="508">
        <v>6.0000000000000001E-3</v>
      </c>
      <c r="X6588" s="508">
        <v>6.0000000000000001E-3</v>
      </c>
      <c r="Y6588" s="508">
        <v>6.0000000000000001E-3</v>
      </c>
      <c r="Z6588" s="508">
        <v>6.0000000000000001E-3</v>
      </c>
      <c r="AA6588" s="508">
        <v>6.0000000000000001E-3</v>
      </c>
      <c r="AB6588" s="508">
        <v>6.0000000000000001E-3</v>
      </c>
      <c r="AC6588" s="508">
        <v>6.0000000000000001E-3</v>
      </c>
      <c r="AD6588" s="508">
        <v>6.0000000000000001E-3</v>
      </c>
      <c r="AE6588" s="508">
        <v>6.0000000000000001E-3</v>
      </c>
      <c r="AF6588" s="508">
        <v>6.0000000000000001E-3</v>
      </c>
      <c r="AG6588" s="508">
        <v>6.0000000000000001E-3</v>
      </c>
      <c r="AH6588" s="508">
        <v>6.0000000000000001E-3</v>
      </c>
      <c r="AI6588" s="492">
        <v>6.0000000000000001E-3</v>
      </c>
      <c r="AJ6588" s="485"/>
    </row>
    <row r="6589" spans="2:36">
      <c r="B6589" s="136" t="s">
        <v>474</v>
      </c>
      <c r="C6589" s="132" t="s">
        <v>1369</v>
      </c>
      <c r="D6589" s="132" t="s">
        <v>1380</v>
      </c>
      <c r="E6589" s="508">
        <v>5.0000000000000001E-3</v>
      </c>
      <c r="F6589" s="508">
        <v>5.0000000000000001E-3</v>
      </c>
      <c r="G6589" s="508">
        <v>5.0000000000000001E-3</v>
      </c>
      <c r="H6589" s="508">
        <v>5.0000000000000001E-3</v>
      </c>
      <c r="I6589" s="508">
        <v>5.0000000000000001E-3</v>
      </c>
      <c r="J6589" s="508">
        <v>5.0000000000000001E-3</v>
      </c>
      <c r="K6589" s="508">
        <v>5.0000000000000001E-3</v>
      </c>
      <c r="L6589" s="508">
        <v>5.0000000000000001E-3</v>
      </c>
      <c r="M6589" s="508">
        <v>5.0000000000000001E-3</v>
      </c>
      <c r="N6589" s="508">
        <v>5.0000000000000001E-3</v>
      </c>
      <c r="O6589" s="508">
        <v>5.0000000000000001E-3</v>
      </c>
      <c r="P6589" s="508">
        <v>5.0000000000000001E-3</v>
      </c>
      <c r="Q6589" s="508">
        <v>5.0000000000000001E-3</v>
      </c>
      <c r="R6589" s="508">
        <v>5.0000000000000001E-3</v>
      </c>
      <c r="S6589" s="508">
        <v>5.0000000000000001E-3</v>
      </c>
      <c r="T6589" s="508">
        <v>5.0000000000000001E-3</v>
      </c>
      <c r="U6589" s="508">
        <v>5.0000000000000001E-3</v>
      </c>
      <c r="V6589" s="508">
        <v>5.0000000000000001E-3</v>
      </c>
      <c r="W6589" s="508">
        <v>5.0000000000000001E-3</v>
      </c>
      <c r="X6589" s="508">
        <v>5.0000000000000001E-3</v>
      </c>
      <c r="Y6589" s="508">
        <v>5.0000000000000001E-3</v>
      </c>
      <c r="Z6589" s="508">
        <v>5.0000000000000001E-3</v>
      </c>
      <c r="AA6589" s="508">
        <v>5.0000000000000001E-3</v>
      </c>
      <c r="AB6589" s="508">
        <v>5.0000000000000001E-3</v>
      </c>
      <c r="AC6589" s="508">
        <v>5.0000000000000001E-3</v>
      </c>
      <c r="AD6589" s="508">
        <v>5.0000000000000001E-3</v>
      </c>
      <c r="AE6589" s="508">
        <v>5.0000000000000001E-3</v>
      </c>
      <c r="AF6589" s="508">
        <v>5.0000000000000001E-3</v>
      </c>
      <c r="AG6589" s="508">
        <v>5.0000000000000001E-3</v>
      </c>
      <c r="AH6589" s="508">
        <v>5.0000000000000001E-3</v>
      </c>
      <c r="AI6589" s="492">
        <v>5.0000000000000001E-3</v>
      </c>
      <c r="AJ6589" s="485"/>
    </row>
    <row r="6590" spans="2:36">
      <c r="B6590" s="136" t="s">
        <v>475</v>
      </c>
      <c r="C6590" s="132" t="s">
        <v>1369</v>
      </c>
      <c r="D6590" s="132" t="s">
        <v>1380</v>
      </c>
      <c r="E6590" s="508">
        <v>5.0000000000000001E-3</v>
      </c>
      <c r="F6590" s="508">
        <v>5.0000000000000001E-3</v>
      </c>
      <c r="G6590" s="508">
        <v>5.0000000000000001E-3</v>
      </c>
      <c r="H6590" s="508">
        <v>5.0000000000000001E-3</v>
      </c>
      <c r="I6590" s="508">
        <v>5.0000000000000001E-3</v>
      </c>
      <c r="J6590" s="508">
        <v>5.0000000000000001E-3</v>
      </c>
      <c r="K6590" s="508">
        <v>5.0000000000000001E-3</v>
      </c>
      <c r="L6590" s="508">
        <v>5.0000000000000001E-3</v>
      </c>
      <c r="M6590" s="508">
        <v>5.0000000000000001E-3</v>
      </c>
      <c r="N6590" s="508">
        <v>5.0000000000000001E-3</v>
      </c>
      <c r="O6590" s="508">
        <v>5.0000000000000001E-3</v>
      </c>
      <c r="P6590" s="508">
        <v>5.0000000000000001E-3</v>
      </c>
      <c r="Q6590" s="508">
        <v>5.0000000000000001E-3</v>
      </c>
      <c r="R6590" s="508">
        <v>5.0000000000000001E-3</v>
      </c>
      <c r="S6590" s="508">
        <v>5.0000000000000001E-3</v>
      </c>
      <c r="T6590" s="508">
        <v>5.0000000000000001E-3</v>
      </c>
      <c r="U6590" s="508">
        <v>5.0000000000000001E-3</v>
      </c>
      <c r="V6590" s="508">
        <v>5.0000000000000001E-3</v>
      </c>
      <c r="W6590" s="508">
        <v>5.0000000000000001E-3</v>
      </c>
      <c r="X6590" s="508">
        <v>5.0000000000000001E-3</v>
      </c>
      <c r="Y6590" s="508">
        <v>5.0000000000000001E-3</v>
      </c>
      <c r="Z6590" s="508">
        <v>5.0000000000000001E-3</v>
      </c>
      <c r="AA6590" s="508">
        <v>5.0000000000000001E-3</v>
      </c>
      <c r="AB6590" s="508">
        <v>5.0000000000000001E-3</v>
      </c>
      <c r="AC6590" s="508">
        <v>5.0000000000000001E-3</v>
      </c>
      <c r="AD6590" s="508">
        <v>5.0000000000000001E-3</v>
      </c>
      <c r="AE6590" s="508">
        <v>5.0000000000000001E-3</v>
      </c>
      <c r="AF6590" s="508">
        <v>5.0000000000000001E-3</v>
      </c>
      <c r="AG6590" s="508">
        <v>5.0000000000000001E-3</v>
      </c>
      <c r="AH6590" s="508">
        <v>5.0000000000000001E-3</v>
      </c>
      <c r="AI6590" s="492">
        <v>5.0000000000000001E-3</v>
      </c>
      <c r="AJ6590" s="485"/>
    </row>
    <row r="6591" spans="2:36">
      <c r="B6591" s="136" t="s">
        <v>476</v>
      </c>
      <c r="C6591" s="132" t="s">
        <v>1369</v>
      </c>
      <c r="D6591" s="132" t="s">
        <v>1380</v>
      </c>
      <c r="E6591" s="508">
        <v>6.0000000000000001E-3</v>
      </c>
      <c r="F6591" s="508">
        <v>6.0000000000000001E-3</v>
      </c>
      <c r="G6591" s="508">
        <v>6.0000000000000001E-3</v>
      </c>
      <c r="H6591" s="508">
        <v>6.0000000000000001E-3</v>
      </c>
      <c r="I6591" s="508">
        <v>6.0000000000000001E-3</v>
      </c>
      <c r="J6591" s="508">
        <v>6.0000000000000001E-3</v>
      </c>
      <c r="K6591" s="508">
        <v>6.0000000000000001E-3</v>
      </c>
      <c r="L6591" s="508">
        <v>6.0000000000000001E-3</v>
      </c>
      <c r="M6591" s="508">
        <v>6.0000000000000001E-3</v>
      </c>
      <c r="N6591" s="508">
        <v>6.0000000000000001E-3</v>
      </c>
      <c r="O6591" s="508">
        <v>6.0000000000000001E-3</v>
      </c>
      <c r="P6591" s="508">
        <v>6.0000000000000001E-3</v>
      </c>
      <c r="Q6591" s="508">
        <v>6.0000000000000001E-3</v>
      </c>
      <c r="R6591" s="508">
        <v>6.0000000000000001E-3</v>
      </c>
      <c r="S6591" s="508">
        <v>6.0000000000000001E-3</v>
      </c>
      <c r="T6591" s="508">
        <v>6.0000000000000001E-3</v>
      </c>
      <c r="U6591" s="508">
        <v>6.0000000000000001E-3</v>
      </c>
      <c r="V6591" s="508">
        <v>6.0000000000000001E-3</v>
      </c>
      <c r="W6591" s="508">
        <v>6.0000000000000001E-3</v>
      </c>
      <c r="X6591" s="508">
        <v>6.0000000000000001E-3</v>
      </c>
      <c r="Y6591" s="508">
        <v>6.0000000000000001E-3</v>
      </c>
      <c r="Z6591" s="508">
        <v>6.0000000000000001E-3</v>
      </c>
      <c r="AA6591" s="508">
        <v>6.0000000000000001E-3</v>
      </c>
      <c r="AB6591" s="508">
        <v>6.0000000000000001E-3</v>
      </c>
      <c r="AC6591" s="508">
        <v>6.0000000000000001E-3</v>
      </c>
      <c r="AD6591" s="508">
        <v>6.0000000000000001E-3</v>
      </c>
      <c r="AE6591" s="508">
        <v>6.0000000000000001E-3</v>
      </c>
      <c r="AF6591" s="508">
        <v>6.0000000000000001E-3</v>
      </c>
      <c r="AG6591" s="508">
        <v>6.0000000000000001E-3</v>
      </c>
      <c r="AH6591" s="508">
        <v>6.0000000000000001E-3</v>
      </c>
      <c r="AI6591" s="492">
        <v>6.0000000000000001E-3</v>
      </c>
      <c r="AJ6591" s="485"/>
    </row>
    <row r="6592" spans="2:36">
      <c r="B6592" s="136" t="s">
        <v>478</v>
      </c>
      <c r="C6592" s="132" t="s">
        <v>1369</v>
      </c>
      <c r="D6592" s="132" t="s">
        <v>1380</v>
      </c>
      <c r="E6592" s="508">
        <v>6.0000000000000001E-3</v>
      </c>
      <c r="F6592" s="508">
        <v>6.0000000000000001E-3</v>
      </c>
      <c r="G6592" s="508">
        <v>6.0000000000000001E-3</v>
      </c>
      <c r="H6592" s="508">
        <v>6.0000000000000001E-3</v>
      </c>
      <c r="I6592" s="508">
        <v>6.0000000000000001E-3</v>
      </c>
      <c r="J6592" s="508">
        <v>6.0000000000000001E-3</v>
      </c>
      <c r="K6592" s="508">
        <v>6.0000000000000001E-3</v>
      </c>
      <c r="L6592" s="508">
        <v>6.0000000000000001E-3</v>
      </c>
      <c r="M6592" s="508">
        <v>6.0000000000000001E-3</v>
      </c>
      <c r="N6592" s="508">
        <v>6.0000000000000001E-3</v>
      </c>
      <c r="O6592" s="508">
        <v>6.0000000000000001E-3</v>
      </c>
      <c r="P6592" s="508">
        <v>6.0000000000000001E-3</v>
      </c>
      <c r="Q6592" s="508">
        <v>6.0000000000000001E-3</v>
      </c>
      <c r="R6592" s="508">
        <v>6.0000000000000001E-3</v>
      </c>
      <c r="S6592" s="508">
        <v>6.0000000000000001E-3</v>
      </c>
      <c r="T6592" s="508">
        <v>6.0000000000000001E-3</v>
      </c>
      <c r="U6592" s="508">
        <v>6.0000000000000001E-3</v>
      </c>
      <c r="V6592" s="508">
        <v>6.0000000000000001E-3</v>
      </c>
      <c r="W6592" s="508">
        <v>6.0000000000000001E-3</v>
      </c>
      <c r="X6592" s="508">
        <v>6.0000000000000001E-3</v>
      </c>
      <c r="Y6592" s="508">
        <v>6.0000000000000001E-3</v>
      </c>
      <c r="Z6592" s="508">
        <v>6.0000000000000001E-3</v>
      </c>
      <c r="AA6592" s="508">
        <v>6.0000000000000001E-3</v>
      </c>
      <c r="AB6592" s="508">
        <v>6.0000000000000001E-3</v>
      </c>
      <c r="AC6592" s="508">
        <v>6.0000000000000001E-3</v>
      </c>
      <c r="AD6592" s="508">
        <v>6.0000000000000001E-3</v>
      </c>
      <c r="AE6592" s="508">
        <v>6.0000000000000001E-3</v>
      </c>
      <c r="AF6592" s="508">
        <v>6.0000000000000001E-3</v>
      </c>
      <c r="AG6592" s="508">
        <v>6.0000000000000001E-3</v>
      </c>
      <c r="AH6592" s="508">
        <v>6.0000000000000001E-3</v>
      </c>
      <c r="AI6592" s="492">
        <v>6.0000000000000001E-3</v>
      </c>
      <c r="AJ6592" s="485"/>
    </row>
    <row r="6593" spans="2:36">
      <c r="B6593" s="136" t="s">
        <v>479</v>
      </c>
      <c r="C6593" s="132" t="s">
        <v>1369</v>
      </c>
      <c r="D6593" s="132" t="s">
        <v>1380</v>
      </c>
      <c r="E6593" s="508">
        <v>5.0000000000000001E-3</v>
      </c>
      <c r="F6593" s="508">
        <v>5.0000000000000001E-3</v>
      </c>
      <c r="G6593" s="508">
        <v>5.0000000000000001E-3</v>
      </c>
      <c r="H6593" s="508">
        <v>5.0000000000000001E-3</v>
      </c>
      <c r="I6593" s="508">
        <v>5.0000000000000001E-3</v>
      </c>
      <c r="J6593" s="508">
        <v>5.0000000000000001E-3</v>
      </c>
      <c r="K6593" s="508">
        <v>5.0000000000000001E-3</v>
      </c>
      <c r="L6593" s="508">
        <v>5.0000000000000001E-3</v>
      </c>
      <c r="M6593" s="508">
        <v>5.0000000000000001E-3</v>
      </c>
      <c r="N6593" s="508">
        <v>5.0000000000000001E-3</v>
      </c>
      <c r="O6593" s="508">
        <v>5.0000000000000001E-3</v>
      </c>
      <c r="P6593" s="508">
        <v>5.0000000000000001E-3</v>
      </c>
      <c r="Q6593" s="508">
        <v>5.0000000000000001E-3</v>
      </c>
      <c r="R6593" s="508">
        <v>5.0000000000000001E-3</v>
      </c>
      <c r="S6593" s="508">
        <v>5.0000000000000001E-3</v>
      </c>
      <c r="T6593" s="508">
        <v>5.0000000000000001E-3</v>
      </c>
      <c r="U6593" s="508">
        <v>5.0000000000000001E-3</v>
      </c>
      <c r="V6593" s="508">
        <v>5.0000000000000001E-3</v>
      </c>
      <c r="W6593" s="508">
        <v>5.0000000000000001E-3</v>
      </c>
      <c r="X6593" s="508">
        <v>5.0000000000000001E-3</v>
      </c>
      <c r="Y6593" s="508">
        <v>5.0000000000000001E-3</v>
      </c>
      <c r="Z6593" s="508">
        <v>5.0000000000000001E-3</v>
      </c>
      <c r="AA6593" s="508">
        <v>5.0000000000000001E-3</v>
      </c>
      <c r="AB6593" s="508">
        <v>5.0000000000000001E-3</v>
      </c>
      <c r="AC6593" s="508">
        <v>5.0000000000000001E-3</v>
      </c>
      <c r="AD6593" s="508">
        <v>5.0000000000000001E-3</v>
      </c>
      <c r="AE6593" s="508">
        <v>5.0000000000000001E-3</v>
      </c>
      <c r="AF6593" s="508">
        <v>5.0000000000000001E-3</v>
      </c>
      <c r="AG6593" s="508">
        <v>5.0000000000000001E-3</v>
      </c>
      <c r="AH6593" s="508">
        <v>5.0000000000000001E-3</v>
      </c>
      <c r="AI6593" s="492">
        <v>5.0000000000000001E-3</v>
      </c>
      <c r="AJ6593" s="485"/>
    </row>
    <row r="6594" spans="2:36">
      <c r="B6594" s="136" t="s">
        <v>480</v>
      </c>
      <c r="C6594" s="132" t="s">
        <v>1369</v>
      </c>
      <c r="D6594" s="132" t="s">
        <v>1380</v>
      </c>
      <c r="E6594" s="508">
        <v>4.0000000000000001E-3</v>
      </c>
      <c r="F6594" s="508">
        <v>4.0000000000000001E-3</v>
      </c>
      <c r="G6594" s="508">
        <v>4.0000000000000001E-3</v>
      </c>
      <c r="H6594" s="508">
        <v>4.0000000000000001E-3</v>
      </c>
      <c r="I6594" s="508">
        <v>4.0000000000000001E-3</v>
      </c>
      <c r="J6594" s="508">
        <v>4.0000000000000001E-3</v>
      </c>
      <c r="K6594" s="508">
        <v>4.0000000000000001E-3</v>
      </c>
      <c r="L6594" s="508">
        <v>4.0000000000000001E-3</v>
      </c>
      <c r="M6594" s="508">
        <v>4.0000000000000001E-3</v>
      </c>
      <c r="N6594" s="508">
        <v>4.0000000000000001E-3</v>
      </c>
      <c r="O6594" s="508">
        <v>4.0000000000000001E-3</v>
      </c>
      <c r="P6594" s="508">
        <v>4.0000000000000001E-3</v>
      </c>
      <c r="Q6594" s="508">
        <v>4.0000000000000001E-3</v>
      </c>
      <c r="R6594" s="508">
        <v>4.0000000000000001E-3</v>
      </c>
      <c r="S6594" s="508">
        <v>4.0000000000000001E-3</v>
      </c>
      <c r="T6594" s="508">
        <v>4.0000000000000001E-3</v>
      </c>
      <c r="U6594" s="508">
        <v>4.0000000000000001E-3</v>
      </c>
      <c r="V6594" s="508">
        <v>4.0000000000000001E-3</v>
      </c>
      <c r="W6594" s="508">
        <v>4.0000000000000001E-3</v>
      </c>
      <c r="X6594" s="508">
        <v>4.0000000000000001E-3</v>
      </c>
      <c r="Y6594" s="508">
        <v>4.0000000000000001E-3</v>
      </c>
      <c r="Z6594" s="508">
        <v>4.0000000000000001E-3</v>
      </c>
      <c r="AA6594" s="508">
        <v>4.0000000000000001E-3</v>
      </c>
      <c r="AB6594" s="508">
        <v>4.0000000000000001E-3</v>
      </c>
      <c r="AC6594" s="508">
        <v>4.0000000000000001E-3</v>
      </c>
      <c r="AD6594" s="508">
        <v>4.0000000000000001E-3</v>
      </c>
      <c r="AE6594" s="508">
        <v>4.0000000000000001E-3</v>
      </c>
      <c r="AF6594" s="508">
        <v>4.0000000000000001E-3</v>
      </c>
      <c r="AG6594" s="508">
        <v>4.0000000000000001E-3</v>
      </c>
      <c r="AH6594" s="508">
        <v>4.0000000000000001E-3</v>
      </c>
      <c r="AI6594" s="492">
        <v>4.0000000000000001E-3</v>
      </c>
      <c r="AJ6594" s="485"/>
    </row>
    <row r="6595" spans="2:36">
      <c r="B6595" s="136" t="s">
        <v>481</v>
      </c>
      <c r="C6595" s="132" t="s">
        <v>1369</v>
      </c>
      <c r="D6595" s="132" t="s">
        <v>1380</v>
      </c>
      <c r="E6595" s="508">
        <v>6.0000000000000001E-3</v>
      </c>
      <c r="F6595" s="508">
        <v>6.0000000000000001E-3</v>
      </c>
      <c r="G6595" s="508">
        <v>6.0000000000000001E-3</v>
      </c>
      <c r="H6595" s="508">
        <v>6.0000000000000001E-3</v>
      </c>
      <c r="I6595" s="508">
        <v>6.0000000000000001E-3</v>
      </c>
      <c r="J6595" s="508">
        <v>6.0000000000000001E-3</v>
      </c>
      <c r="K6595" s="508">
        <v>6.0000000000000001E-3</v>
      </c>
      <c r="L6595" s="508">
        <v>6.0000000000000001E-3</v>
      </c>
      <c r="M6595" s="508">
        <v>6.0000000000000001E-3</v>
      </c>
      <c r="N6595" s="508">
        <v>6.0000000000000001E-3</v>
      </c>
      <c r="O6595" s="508">
        <v>6.0000000000000001E-3</v>
      </c>
      <c r="P6595" s="508">
        <v>6.0000000000000001E-3</v>
      </c>
      <c r="Q6595" s="508">
        <v>6.0000000000000001E-3</v>
      </c>
      <c r="R6595" s="508">
        <v>6.0000000000000001E-3</v>
      </c>
      <c r="S6595" s="508">
        <v>6.0000000000000001E-3</v>
      </c>
      <c r="T6595" s="508">
        <v>6.0000000000000001E-3</v>
      </c>
      <c r="U6595" s="508">
        <v>6.0000000000000001E-3</v>
      </c>
      <c r="V6595" s="508">
        <v>6.0000000000000001E-3</v>
      </c>
      <c r="W6595" s="508">
        <v>6.0000000000000001E-3</v>
      </c>
      <c r="X6595" s="508">
        <v>6.0000000000000001E-3</v>
      </c>
      <c r="Y6595" s="508">
        <v>6.0000000000000001E-3</v>
      </c>
      <c r="Z6595" s="508">
        <v>6.0000000000000001E-3</v>
      </c>
      <c r="AA6595" s="508">
        <v>6.0000000000000001E-3</v>
      </c>
      <c r="AB6595" s="508">
        <v>6.0000000000000001E-3</v>
      </c>
      <c r="AC6595" s="508">
        <v>6.0000000000000001E-3</v>
      </c>
      <c r="AD6595" s="508">
        <v>6.0000000000000001E-3</v>
      </c>
      <c r="AE6595" s="508">
        <v>6.0000000000000001E-3</v>
      </c>
      <c r="AF6595" s="508">
        <v>6.0000000000000001E-3</v>
      </c>
      <c r="AG6595" s="508">
        <v>6.0000000000000001E-3</v>
      </c>
      <c r="AH6595" s="508">
        <v>6.0000000000000001E-3</v>
      </c>
      <c r="AI6595" s="492">
        <v>6.0000000000000001E-3</v>
      </c>
      <c r="AJ6595" s="485"/>
    </row>
    <row r="6596" spans="2:36">
      <c r="B6596" s="136" t="s">
        <v>482</v>
      </c>
      <c r="C6596" s="132" t="s">
        <v>1369</v>
      </c>
      <c r="D6596" s="132" t="s">
        <v>1380</v>
      </c>
      <c r="E6596" s="508">
        <v>5.0000000000000001E-3</v>
      </c>
      <c r="F6596" s="508">
        <v>5.0000000000000001E-3</v>
      </c>
      <c r="G6596" s="508">
        <v>5.0000000000000001E-3</v>
      </c>
      <c r="H6596" s="508">
        <v>5.0000000000000001E-3</v>
      </c>
      <c r="I6596" s="508">
        <v>5.0000000000000001E-3</v>
      </c>
      <c r="J6596" s="508">
        <v>5.0000000000000001E-3</v>
      </c>
      <c r="K6596" s="508">
        <v>5.0000000000000001E-3</v>
      </c>
      <c r="L6596" s="508">
        <v>5.0000000000000001E-3</v>
      </c>
      <c r="M6596" s="508">
        <v>5.0000000000000001E-3</v>
      </c>
      <c r="N6596" s="508">
        <v>5.0000000000000001E-3</v>
      </c>
      <c r="O6596" s="508">
        <v>5.0000000000000001E-3</v>
      </c>
      <c r="P6596" s="508">
        <v>5.0000000000000001E-3</v>
      </c>
      <c r="Q6596" s="508">
        <v>5.0000000000000001E-3</v>
      </c>
      <c r="R6596" s="508">
        <v>5.0000000000000001E-3</v>
      </c>
      <c r="S6596" s="508">
        <v>5.0000000000000001E-3</v>
      </c>
      <c r="T6596" s="508">
        <v>5.0000000000000001E-3</v>
      </c>
      <c r="U6596" s="508">
        <v>5.0000000000000001E-3</v>
      </c>
      <c r="V6596" s="508">
        <v>5.0000000000000001E-3</v>
      </c>
      <c r="W6596" s="508">
        <v>5.0000000000000001E-3</v>
      </c>
      <c r="X6596" s="508">
        <v>5.0000000000000001E-3</v>
      </c>
      <c r="Y6596" s="508">
        <v>5.0000000000000001E-3</v>
      </c>
      <c r="Z6596" s="508">
        <v>5.0000000000000001E-3</v>
      </c>
      <c r="AA6596" s="508">
        <v>5.0000000000000001E-3</v>
      </c>
      <c r="AB6596" s="508">
        <v>5.0000000000000001E-3</v>
      </c>
      <c r="AC6596" s="508">
        <v>5.0000000000000001E-3</v>
      </c>
      <c r="AD6596" s="508">
        <v>5.0000000000000001E-3</v>
      </c>
      <c r="AE6596" s="508">
        <v>5.0000000000000001E-3</v>
      </c>
      <c r="AF6596" s="508">
        <v>5.0000000000000001E-3</v>
      </c>
      <c r="AG6596" s="508">
        <v>5.0000000000000001E-3</v>
      </c>
      <c r="AH6596" s="508">
        <v>5.0000000000000001E-3</v>
      </c>
      <c r="AI6596" s="492">
        <v>5.0000000000000001E-3</v>
      </c>
      <c r="AJ6596" s="485"/>
    </row>
    <row r="6597" spans="2:36">
      <c r="B6597" s="136" t="s">
        <v>483</v>
      </c>
      <c r="C6597" s="132" t="s">
        <v>1369</v>
      </c>
      <c r="D6597" s="132" t="s">
        <v>1380</v>
      </c>
      <c r="E6597" s="508">
        <v>6.0000000000000001E-3</v>
      </c>
      <c r="F6597" s="508">
        <v>6.0000000000000001E-3</v>
      </c>
      <c r="G6597" s="508">
        <v>6.0000000000000001E-3</v>
      </c>
      <c r="H6597" s="508">
        <v>6.0000000000000001E-3</v>
      </c>
      <c r="I6597" s="508">
        <v>6.0000000000000001E-3</v>
      </c>
      <c r="J6597" s="508">
        <v>6.0000000000000001E-3</v>
      </c>
      <c r="K6597" s="508">
        <v>6.0000000000000001E-3</v>
      </c>
      <c r="L6597" s="508">
        <v>6.0000000000000001E-3</v>
      </c>
      <c r="M6597" s="508">
        <v>6.0000000000000001E-3</v>
      </c>
      <c r="N6597" s="508">
        <v>6.0000000000000001E-3</v>
      </c>
      <c r="O6597" s="508">
        <v>6.0000000000000001E-3</v>
      </c>
      <c r="P6597" s="508">
        <v>6.0000000000000001E-3</v>
      </c>
      <c r="Q6597" s="508">
        <v>6.0000000000000001E-3</v>
      </c>
      <c r="R6597" s="508">
        <v>6.0000000000000001E-3</v>
      </c>
      <c r="S6597" s="508">
        <v>6.0000000000000001E-3</v>
      </c>
      <c r="T6597" s="508">
        <v>6.0000000000000001E-3</v>
      </c>
      <c r="U6597" s="508">
        <v>6.0000000000000001E-3</v>
      </c>
      <c r="V6597" s="508">
        <v>6.0000000000000001E-3</v>
      </c>
      <c r="W6597" s="508">
        <v>6.0000000000000001E-3</v>
      </c>
      <c r="X6597" s="508">
        <v>6.0000000000000001E-3</v>
      </c>
      <c r="Y6597" s="508">
        <v>6.0000000000000001E-3</v>
      </c>
      <c r="Z6597" s="508">
        <v>6.0000000000000001E-3</v>
      </c>
      <c r="AA6597" s="508">
        <v>6.0000000000000001E-3</v>
      </c>
      <c r="AB6597" s="508">
        <v>6.0000000000000001E-3</v>
      </c>
      <c r="AC6597" s="508">
        <v>6.0000000000000001E-3</v>
      </c>
      <c r="AD6597" s="508">
        <v>6.0000000000000001E-3</v>
      </c>
      <c r="AE6597" s="508">
        <v>6.0000000000000001E-3</v>
      </c>
      <c r="AF6597" s="508">
        <v>6.0000000000000001E-3</v>
      </c>
      <c r="AG6597" s="508">
        <v>6.0000000000000001E-3</v>
      </c>
      <c r="AH6597" s="508">
        <v>6.0000000000000001E-3</v>
      </c>
      <c r="AI6597" s="492">
        <v>6.0000000000000001E-3</v>
      </c>
      <c r="AJ6597" s="485"/>
    </row>
    <row r="6598" spans="2:36">
      <c r="B6598" s="136" t="s">
        <v>484</v>
      </c>
      <c r="C6598" s="132" t="s">
        <v>1369</v>
      </c>
      <c r="D6598" s="132" t="s">
        <v>1380</v>
      </c>
      <c r="E6598" s="508">
        <v>5.0000000000000001E-3</v>
      </c>
      <c r="F6598" s="508">
        <v>5.0000000000000001E-3</v>
      </c>
      <c r="G6598" s="508">
        <v>5.0000000000000001E-3</v>
      </c>
      <c r="H6598" s="508">
        <v>5.0000000000000001E-3</v>
      </c>
      <c r="I6598" s="508">
        <v>5.0000000000000001E-3</v>
      </c>
      <c r="J6598" s="508">
        <v>5.0000000000000001E-3</v>
      </c>
      <c r="K6598" s="508">
        <v>5.0000000000000001E-3</v>
      </c>
      <c r="L6598" s="508">
        <v>5.0000000000000001E-3</v>
      </c>
      <c r="M6598" s="508">
        <v>5.0000000000000001E-3</v>
      </c>
      <c r="N6598" s="508">
        <v>5.0000000000000001E-3</v>
      </c>
      <c r="O6598" s="508">
        <v>5.0000000000000001E-3</v>
      </c>
      <c r="P6598" s="508">
        <v>5.0000000000000001E-3</v>
      </c>
      <c r="Q6598" s="508">
        <v>5.0000000000000001E-3</v>
      </c>
      <c r="R6598" s="508">
        <v>5.0000000000000001E-3</v>
      </c>
      <c r="S6598" s="508">
        <v>5.0000000000000001E-3</v>
      </c>
      <c r="T6598" s="508">
        <v>5.0000000000000001E-3</v>
      </c>
      <c r="U6598" s="508">
        <v>5.0000000000000001E-3</v>
      </c>
      <c r="V6598" s="508">
        <v>5.0000000000000001E-3</v>
      </c>
      <c r="W6598" s="508">
        <v>5.0000000000000001E-3</v>
      </c>
      <c r="X6598" s="508">
        <v>5.0000000000000001E-3</v>
      </c>
      <c r="Y6598" s="508">
        <v>5.0000000000000001E-3</v>
      </c>
      <c r="Z6598" s="508">
        <v>5.0000000000000001E-3</v>
      </c>
      <c r="AA6598" s="508">
        <v>5.0000000000000001E-3</v>
      </c>
      <c r="AB6598" s="508">
        <v>5.0000000000000001E-3</v>
      </c>
      <c r="AC6598" s="508">
        <v>5.0000000000000001E-3</v>
      </c>
      <c r="AD6598" s="508">
        <v>5.0000000000000001E-3</v>
      </c>
      <c r="AE6598" s="508">
        <v>5.0000000000000001E-3</v>
      </c>
      <c r="AF6598" s="508">
        <v>5.0000000000000001E-3</v>
      </c>
      <c r="AG6598" s="508">
        <v>5.0000000000000001E-3</v>
      </c>
      <c r="AH6598" s="508">
        <v>5.0000000000000001E-3</v>
      </c>
      <c r="AI6598" s="492">
        <v>5.0000000000000001E-3</v>
      </c>
      <c r="AJ6598" s="485"/>
    </row>
    <row r="6599" spans="2:36">
      <c r="B6599" s="136" t="s">
        <v>486</v>
      </c>
      <c r="C6599" s="132" t="s">
        <v>1369</v>
      </c>
      <c r="D6599" s="132" t="s">
        <v>1380</v>
      </c>
      <c r="E6599" s="508">
        <v>6.0000000000000001E-3</v>
      </c>
      <c r="F6599" s="508">
        <v>6.0000000000000001E-3</v>
      </c>
      <c r="G6599" s="508">
        <v>6.0000000000000001E-3</v>
      </c>
      <c r="H6599" s="508">
        <v>6.0000000000000001E-3</v>
      </c>
      <c r="I6599" s="508">
        <v>6.0000000000000001E-3</v>
      </c>
      <c r="J6599" s="508">
        <v>6.0000000000000001E-3</v>
      </c>
      <c r="K6599" s="508">
        <v>6.0000000000000001E-3</v>
      </c>
      <c r="L6599" s="508">
        <v>6.0000000000000001E-3</v>
      </c>
      <c r="M6599" s="508">
        <v>6.0000000000000001E-3</v>
      </c>
      <c r="N6599" s="508">
        <v>6.0000000000000001E-3</v>
      </c>
      <c r="O6599" s="508">
        <v>6.0000000000000001E-3</v>
      </c>
      <c r="P6599" s="508">
        <v>6.0000000000000001E-3</v>
      </c>
      <c r="Q6599" s="508">
        <v>6.0000000000000001E-3</v>
      </c>
      <c r="R6599" s="508">
        <v>6.0000000000000001E-3</v>
      </c>
      <c r="S6599" s="508">
        <v>6.0000000000000001E-3</v>
      </c>
      <c r="T6599" s="508">
        <v>6.0000000000000001E-3</v>
      </c>
      <c r="U6599" s="508">
        <v>6.0000000000000001E-3</v>
      </c>
      <c r="V6599" s="508">
        <v>6.0000000000000001E-3</v>
      </c>
      <c r="W6599" s="508">
        <v>6.0000000000000001E-3</v>
      </c>
      <c r="X6599" s="508">
        <v>6.0000000000000001E-3</v>
      </c>
      <c r="Y6599" s="508">
        <v>6.0000000000000001E-3</v>
      </c>
      <c r="Z6599" s="508">
        <v>6.0000000000000001E-3</v>
      </c>
      <c r="AA6599" s="508">
        <v>6.0000000000000001E-3</v>
      </c>
      <c r="AB6599" s="508">
        <v>6.0000000000000001E-3</v>
      </c>
      <c r="AC6599" s="508">
        <v>6.0000000000000001E-3</v>
      </c>
      <c r="AD6599" s="508">
        <v>6.0000000000000001E-3</v>
      </c>
      <c r="AE6599" s="508">
        <v>6.0000000000000001E-3</v>
      </c>
      <c r="AF6599" s="508">
        <v>6.0000000000000001E-3</v>
      </c>
      <c r="AG6599" s="508">
        <v>6.0000000000000001E-3</v>
      </c>
      <c r="AH6599" s="508">
        <v>6.0000000000000001E-3</v>
      </c>
      <c r="AI6599" s="492">
        <v>6.0000000000000001E-3</v>
      </c>
      <c r="AJ6599" s="485"/>
    </row>
    <row r="6600" spans="2:36">
      <c r="B6600" s="136" t="s">
        <v>487</v>
      </c>
      <c r="C6600" s="132" t="s">
        <v>1369</v>
      </c>
      <c r="D6600" s="132" t="s">
        <v>1380</v>
      </c>
      <c r="E6600" s="508">
        <v>6.0000000000000001E-3</v>
      </c>
      <c r="F6600" s="508">
        <v>6.0000000000000001E-3</v>
      </c>
      <c r="G6600" s="508">
        <v>6.0000000000000001E-3</v>
      </c>
      <c r="H6600" s="508">
        <v>6.0000000000000001E-3</v>
      </c>
      <c r="I6600" s="508">
        <v>6.0000000000000001E-3</v>
      </c>
      <c r="J6600" s="508">
        <v>6.0000000000000001E-3</v>
      </c>
      <c r="K6600" s="508">
        <v>6.0000000000000001E-3</v>
      </c>
      <c r="L6600" s="508">
        <v>6.0000000000000001E-3</v>
      </c>
      <c r="M6600" s="508">
        <v>6.0000000000000001E-3</v>
      </c>
      <c r="N6600" s="508">
        <v>6.0000000000000001E-3</v>
      </c>
      <c r="O6600" s="508">
        <v>6.0000000000000001E-3</v>
      </c>
      <c r="P6600" s="508">
        <v>6.0000000000000001E-3</v>
      </c>
      <c r="Q6600" s="508">
        <v>6.0000000000000001E-3</v>
      </c>
      <c r="R6600" s="508">
        <v>6.0000000000000001E-3</v>
      </c>
      <c r="S6600" s="508">
        <v>6.0000000000000001E-3</v>
      </c>
      <c r="T6600" s="508">
        <v>6.0000000000000001E-3</v>
      </c>
      <c r="U6600" s="508">
        <v>6.0000000000000001E-3</v>
      </c>
      <c r="V6600" s="508">
        <v>6.0000000000000001E-3</v>
      </c>
      <c r="W6600" s="508">
        <v>6.0000000000000001E-3</v>
      </c>
      <c r="X6600" s="508">
        <v>6.0000000000000001E-3</v>
      </c>
      <c r="Y6600" s="508">
        <v>6.0000000000000001E-3</v>
      </c>
      <c r="Z6600" s="508">
        <v>6.0000000000000001E-3</v>
      </c>
      <c r="AA6600" s="508">
        <v>6.0000000000000001E-3</v>
      </c>
      <c r="AB6600" s="508">
        <v>6.0000000000000001E-3</v>
      </c>
      <c r="AC6600" s="508">
        <v>6.0000000000000001E-3</v>
      </c>
      <c r="AD6600" s="508">
        <v>6.0000000000000001E-3</v>
      </c>
      <c r="AE6600" s="508">
        <v>6.0000000000000001E-3</v>
      </c>
      <c r="AF6600" s="508">
        <v>6.0000000000000001E-3</v>
      </c>
      <c r="AG6600" s="508">
        <v>6.0000000000000001E-3</v>
      </c>
      <c r="AH6600" s="508">
        <v>6.0000000000000001E-3</v>
      </c>
      <c r="AI6600" s="492">
        <v>6.0000000000000001E-3</v>
      </c>
      <c r="AJ6600" s="485"/>
    </row>
    <row r="6601" spans="2:36">
      <c r="B6601" s="136" t="s">
        <v>488</v>
      </c>
      <c r="C6601" s="132" t="s">
        <v>1369</v>
      </c>
      <c r="D6601" s="132" t="s">
        <v>1380</v>
      </c>
      <c r="E6601" s="508">
        <v>5.0000000000000001E-3</v>
      </c>
      <c r="F6601" s="508">
        <v>5.0000000000000001E-3</v>
      </c>
      <c r="G6601" s="508">
        <v>5.0000000000000001E-3</v>
      </c>
      <c r="H6601" s="508">
        <v>5.0000000000000001E-3</v>
      </c>
      <c r="I6601" s="508">
        <v>5.0000000000000001E-3</v>
      </c>
      <c r="J6601" s="508">
        <v>5.0000000000000001E-3</v>
      </c>
      <c r="K6601" s="508">
        <v>5.0000000000000001E-3</v>
      </c>
      <c r="L6601" s="508">
        <v>5.0000000000000001E-3</v>
      </c>
      <c r="M6601" s="508">
        <v>5.0000000000000001E-3</v>
      </c>
      <c r="N6601" s="508">
        <v>5.0000000000000001E-3</v>
      </c>
      <c r="O6601" s="508">
        <v>5.0000000000000001E-3</v>
      </c>
      <c r="P6601" s="508">
        <v>5.0000000000000001E-3</v>
      </c>
      <c r="Q6601" s="508">
        <v>5.0000000000000001E-3</v>
      </c>
      <c r="R6601" s="508">
        <v>5.0000000000000001E-3</v>
      </c>
      <c r="S6601" s="508">
        <v>5.0000000000000001E-3</v>
      </c>
      <c r="T6601" s="508">
        <v>5.0000000000000001E-3</v>
      </c>
      <c r="U6601" s="508">
        <v>5.0000000000000001E-3</v>
      </c>
      <c r="V6601" s="508">
        <v>5.0000000000000001E-3</v>
      </c>
      <c r="W6601" s="508">
        <v>5.0000000000000001E-3</v>
      </c>
      <c r="X6601" s="508">
        <v>5.0000000000000001E-3</v>
      </c>
      <c r="Y6601" s="508">
        <v>5.0000000000000001E-3</v>
      </c>
      <c r="Z6601" s="508">
        <v>5.0000000000000001E-3</v>
      </c>
      <c r="AA6601" s="508">
        <v>5.0000000000000001E-3</v>
      </c>
      <c r="AB6601" s="508">
        <v>5.0000000000000001E-3</v>
      </c>
      <c r="AC6601" s="508">
        <v>5.0000000000000001E-3</v>
      </c>
      <c r="AD6601" s="508">
        <v>5.0000000000000001E-3</v>
      </c>
      <c r="AE6601" s="508">
        <v>5.0000000000000001E-3</v>
      </c>
      <c r="AF6601" s="508">
        <v>5.0000000000000001E-3</v>
      </c>
      <c r="AG6601" s="508">
        <v>5.0000000000000001E-3</v>
      </c>
      <c r="AH6601" s="508">
        <v>5.0000000000000001E-3</v>
      </c>
      <c r="AI6601" s="492">
        <v>5.0000000000000001E-3</v>
      </c>
      <c r="AJ6601" s="485"/>
    </row>
    <row r="6602" spans="2:36">
      <c r="B6602" s="136" t="s">
        <v>489</v>
      </c>
      <c r="C6602" s="132" t="s">
        <v>1369</v>
      </c>
      <c r="D6602" s="132" t="s">
        <v>1380</v>
      </c>
      <c r="E6602" s="508">
        <v>5.0000000000000001E-3</v>
      </c>
      <c r="F6602" s="508">
        <v>5.0000000000000001E-3</v>
      </c>
      <c r="G6602" s="508">
        <v>5.0000000000000001E-3</v>
      </c>
      <c r="H6602" s="508">
        <v>5.0000000000000001E-3</v>
      </c>
      <c r="I6602" s="508">
        <v>5.0000000000000001E-3</v>
      </c>
      <c r="J6602" s="508">
        <v>5.0000000000000001E-3</v>
      </c>
      <c r="K6602" s="508">
        <v>5.0000000000000001E-3</v>
      </c>
      <c r="L6602" s="508">
        <v>5.0000000000000001E-3</v>
      </c>
      <c r="M6602" s="508">
        <v>5.0000000000000001E-3</v>
      </c>
      <c r="N6602" s="508">
        <v>5.0000000000000001E-3</v>
      </c>
      <c r="O6602" s="508">
        <v>5.0000000000000001E-3</v>
      </c>
      <c r="P6602" s="508">
        <v>5.0000000000000001E-3</v>
      </c>
      <c r="Q6602" s="508">
        <v>5.0000000000000001E-3</v>
      </c>
      <c r="R6602" s="508">
        <v>5.0000000000000001E-3</v>
      </c>
      <c r="S6602" s="508">
        <v>5.0000000000000001E-3</v>
      </c>
      <c r="T6602" s="508">
        <v>5.0000000000000001E-3</v>
      </c>
      <c r="U6602" s="508">
        <v>5.0000000000000001E-3</v>
      </c>
      <c r="V6602" s="508">
        <v>5.0000000000000001E-3</v>
      </c>
      <c r="W6602" s="508">
        <v>5.0000000000000001E-3</v>
      </c>
      <c r="X6602" s="508">
        <v>5.0000000000000001E-3</v>
      </c>
      <c r="Y6602" s="508">
        <v>5.0000000000000001E-3</v>
      </c>
      <c r="Z6602" s="508">
        <v>5.0000000000000001E-3</v>
      </c>
      <c r="AA6602" s="508">
        <v>5.0000000000000001E-3</v>
      </c>
      <c r="AB6602" s="508">
        <v>5.0000000000000001E-3</v>
      </c>
      <c r="AC6602" s="508">
        <v>5.0000000000000001E-3</v>
      </c>
      <c r="AD6602" s="508">
        <v>5.0000000000000001E-3</v>
      </c>
      <c r="AE6602" s="508">
        <v>5.0000000000000001E-3</v>
      </c>
      <c r="AF6602" s="508">
        <v>5.0000000000000001E-3</v>
      </c>
      <c r="AG6602" s="508">
        <v>5.0000000000000001E-3</v>
      </c>
      <c r="AH6602" s="508">
        <v>5.0000000000000001E-3</v>
      </c>
      <c r="AI6602" s="492">
        <v>5.0000000000000001E-3</v>
      </c>
      <c r="AJ6602" s="485"/>
    </row>
    <row r="6603" spans="2:36">
      <c r="B6603" s="136" t="s">
        <v>490</v>
      </c>
      <c r="C6603" s="132" t="s">
        <v>1369</v>
      </c>
      <c r="D6603" s="132" t="s">
        <v>1380</v>
      </c>
      <c r="E6603" s="508">
        <v>5.0000000000000001E-3</v>
      </c>
      <c r="F6603" s="508">
        <v>5.0000000000000001E-3</v>
      </c>
      <c r="G6603" s="508">
        <v>5.0000000000000001E-3</v>
      </c>
      <c r="H6603" s="508">
        <v>5.0000000000000001E-3</v>
      </c>
      <c r="I6603" s="508">
        <v>5.0000000000000001E-3</v>
      </c>
      <c r="J6603" s="508">
        <v>5.0000000000000001E-3</v>
      </c>
      <c r="K6603" s="508">
        <v>5.0000000000000001E-3</v>
      </c>
      <c r="L6603" s="508">
        <v>5.0000000000000001E-3</v>
      </c>
      <c r="M6603" s="508">
        <v>5.0000000000000001E-3</v>
      </c>
      <c r="N6603" s="508">
        <v>5.0000000000000001E-3</v>
      </c>
      <c r="O6603" s="508">
        <v>5.0000000000000001E-3</v>
      </c>
      <c r="P6603" s="508">
        <v>5.0000000000000001E-3</v>
      </c>
      <c r="Q6603" s="508">
        <v>5.0000000000000001E-3</v>
      </c>
      <c r="R6603" s="508">
        <v>5.0000000000000001E-3</v>
      </c>
      <c r="S6603" s="508">
        <v>5.0000000000000001E-3</v>
      </c>
      <c r="T6603" s="508">
        <v>5.0000000000000001E-3</v>
      </c>
      <c r="U6603" s="508">
        <v>5.0000000000000001E-3</v>
      </c>
      <c r="V6603" s="508">
        <v>5.0000000000000001E-3</v>
      </c>
      <c r="W6603" s="508">
        <v>5.0000000000000001E-3</v>
      </c>
      <c r="X6603" s="508">
        <v>5.0000000000000001E-3</v>
      </c>
      <c r="Y6603" s="508">
        <v>5.0000000000000001E-3</v>
      </c>
      <c r="Z6603" s="508">
        <v>5.0000000000000001E-3</v>
      </c>
      <c r="AA6603" s="508">
        <v>5.0000000000000001E-3</v>
      </c>
      <c r="AB6603" s="508">
        <v>5.0000000000000001E-3</v>
      </c>
      <c r="AC6603" s="508">
        <v>5.0000000000000001E-3</v>
      </c>
      <c r="AD6603" s="508">
        <v>5.0000000000000001E-3</v>
      </c>
      <c r="AE6603" s="508">
        <v>5.0000000000000001E-3</v>
      </c>
      <c r="AF6603" s="508">
        <v>5.0000000000000001E-3</v>
      </c>
      <c r="AG6603" s="508">
        <v>5.0000000000000001E-3</v>
      </c>
      <c r="AH6603" s="508">
        <v>5.0000000000000001E-3</v>
      </c>
      <c r="AI6603" s="492">
        <v>5.0000000000000001E-3</v>
      </c>
      <c r="AJ6603" s="485"/>
    </row>
    <row r="6604" spans="2:36">
      <c r="B6604" s="136" t="s">
        <v>435</v>
      </c>
      <c r="C6604" s="132" t="s">
        <v>1370</v>
      </c>
      <c r="D6604" s="132" t="s">
        <v>1380</v>
      </c>
      <c r="E6604" s="508">
        <v>1.7000000000000001E-2</v>
      </c>
      <c r="F6604" s="508">
        <v>1.6E-2</v>
      </c>
      <c r="G6604" s="508">
        <v>1.6E-2</v>
      </c>
      <c r="H6604" s="508">
        <v>1.6E-2</v>
      </c>
      <c r="I6604" s="508">
        <v>1.4E-2</v>
      </c>
      <c r="J6604" s="508">
        <v>1.6E-2</v>
      </c>
      <c r="K6604" s="508">
        <v>1.4999999999999999E-2</v>
      </c>
      <c r="L6604" s="508">
        <v>1.6E-2</v>
      </c>
      <c r="M6604" s="508">
        <v>1.6E-2</v>
      </c>
      <c r="N6604" s="508">
        <v>1.6E-2</v>
      </c>
      <c r="O6604" s="508">
        <v>1.4999999999999999E-2</v>
      </c>
      <c r="P6604" s="508">
        <v>1.7000000000000001E-2</v>
      </c>
      <c r="Q6604" s="508">
        <v>1.7000000000000001E-2</v>
      </c>
      <c r="R6604" s="508">
        <v>1.7000000000000001E-2</v>
      </c>
      <c r="S6604" s="508">
        <v>1.7000000000000001E-2</v>
      </c>
      <c r="T6604" s="508">
        <v>1.6E-2</v>
      </c>
      <c r="U6604" s="508">
        <v>1.7000000000000001E-2</v>
      </c>
      <c r="V6604" s="508">
        <v>1.7999999999999999E-2</v>
      </c>
      <c r="W6604" s="508">
        <v>1.7999999999999999E-2</v>
      </c>
      <c r="X6604" s="508">
        <v>1.7000000000000001E-2</v>
      </c>
      <c r="Y6604" s="508">
        <v>1.7999999999999999E-2</v>
      </c>
      <c r="Z6604" s="508">
        <v>1.7999999999999999E-2</v>
      </c>
      <c r="AA6604" s="508">
        <v>1.7999999999999999E-2</v>
      </c>
      <c r="AB6604" s="508">
        <v>1.7000000000000001E-2</v>
      </c>
      <c r="AC6604" s="508">
        <v>1.7999999999999999E-2</v>
      </c>
      <c r="AD6604" s="508">
        <v>1.7999999999999999E-2</v>
      </c>
      <c r="AE6604" s="508">
        <v>1.7999999999999999E-2</v>
      </c>
      <c r="AF6604" s="508">
        <v>1.7999999999999999E-2</v>
      </c>
      <c r="AG6604" s="508">
        <v>1.7999999999999999E-2</v>
      </c>
      <c r="AH6604" s="508">
        <v>1.7999999999999999E-2</v>
      </c>
      <c r="AI6604" s="492">
        <v>1.7999999999999999E-2</v>
      </c>
      <c r="AJ6604" s="485"/>
    </row>
    <row r="6605" spans="2:36">
      <c r="B6605" s="136" t="s">
        <v>436</v>
      </c>
      <c r="C6605" s="132" t="s">
        <v>1370</v>
      </c>
      <c r="D6605" s="132" t="s">
        <v>1380</v>
      </c>
      <c r="E6605" s="508">
        <v>1.4E-2</v>
      </c>
      <c r="F6605" s="508">
        <v>1.4E-2</v>
      </c>
      <c r="G6605" s="508">
        <v>1.4E-2</v>
      </c>
      <c r="H6605" s="508">
        <v>1.4E-2</v>
      </c>
      <c r="I6605" s="508">
        <v>1.2E-2</v>
      </c>
      <c r="J6605" s="508">
        <v>1.4E-2</v>
      </c>
      <c r="K6605" s="508">
        <v>1.2999999999999999E-2</v>
      </c>
      <c r="L6605" s="508">
        <v>1.4E-2</v>
      </c>
      <c r="M6605" s="508">
        <v>1.4E-2</v>
      </c>
      <c r="N6605" s="508">
        <v>1.4E-2</v>
      </c>
      <c r="O6605" s="508">
        <v>1.4E-2</v>
      </c>
      <c r="P6605" s="508">
        <v>1.4999999999999999E-2</v>
      </c>
      <c r="Q6605" s="508">
        <v>1.4999999999999999E-2</v>
      </c>
      <c r="R6605" s="508">
        <v>1.4999999999999999E-2</v>
      </c>
      <c r="S6605" s="508">
        <v>1.4999999999999999E-2</v>
      </c>
      <c r="T6605" s="508">
        <v>1.4E-2</v>
      </c>
      <c r="U6605" s="508">
        <v>1.4999999999999999E-2</v>
      </c>
      <c r="V6605" s="508">
        <v>1.4999999999999999E-2</v>
      </c>
      <c r="W6605" s="508">
        <v>1.4999999999999999E-2</v>
      </c>
      <c r="X6605" s="508">
        <v>1.4999999999999999E-2</v>
      </c>
      <c r="Y6605" s="508">
        <v>1.4999999999999999E-2</v>
      </c>
      <c r="Z6605" s="508">
        <v>1.4999999999999999E-2</v>
      </c>
      <c r="AA6605" s="508">
        <v>1.4999999999999999E-2</v>
      </c>
      <c r="AB6605" s="508">
        <v>1.4999999999999999E-2</v>
      </c>
      <c r="AC6605" s="508">
        <v>1.4999999999999999E-2</v>
      </c>
      <c r="AD6605" s="508">
        <v>1.4999999999999999E-2</v>
      </c>
      <c r="AE6605" s="508">
        <v>1.4999999999999999E-2</v>
      </c>
      <c r="AF6605" s="508">
        <v>1.4999999999999999E-2</v>
      </c>
      <c r="AG6605" s="508">
        <v>1.4999999999999999E-2</v>
      </c>
      <c r="AH6605" s="508">
        <v>1.4999999999999999E-2</v>
      </c>
      <c r="AI6605" s="492">
        <v>1.4999999999999999E-2</v>
      </c>
      <c r="AJ6605" s="485"/>
    </row>
    <row r="6606" spans="2:36">
      <c r="B6606" s="136" t="s">
        <v>437</v>
      </c>
      <c r="C6606" s="132" t="s">
        <v>1370</v>
      </c>
      <c r="D6606" s="132" t="s">
        <v>1380</v>
      </c>
      <c r="E6606" s="508">
        <v>1.7000000000000001E-2</v>
      </c>
      <c r="F6606" s="508">
        <v>1.6E-2</v>
      </c>
      <c r="G6606" s="508">
        <v>1.6E-2</v>
      </c>
      <c r="H6606" s="508">
        <v>1.6E-2</v>
      </c>
      <c r="I6606" s="508">
        <v>1.4E-2</v>
      </c>
      <c r="J6606" s="508">
        <v>1.6E-2</v>
      </c>
      <c r="K6606" s="508">
        <v>1.4999999999999999E-2</v>
      </c>
      <c r="L6606" s="508">
        <v>1.6E-2</v>
      </c>
      <c r="M6606" s="508">
        <v>1.6E-2</v>
      </c>
      <c r="N6606" s="508">
        <v>1.6E-2</v>
      </c>
      <c r="O6606" s="508">
        <v>1.6E-2</v>
      </c>
      <c r="P6606" s="508">
        <v>1.7000000000000001E-2</v>
      </c>
      <c r="Q6606" s="508">
        <v>1.7000000000000001E-2</v>
      </c>
      <c r="R6606" s="508">
        <v>1.7000000000000001E-2</v>
      </c>
      <c r="S6606" s="508">
        <v>1.7000000000000001E-2</v>
      </c>
      <c r="T6606" s="508">
        <v>1.6E-2</v>
      </c>
      <c r="U6606" s="508">
        <v>1.7000000000000001E-2</v>
      </c>
      <c r="V6606" s="508">
        <v>1.7999999999999999E-2</v>
      </c>
      <c r="W6606" s="508">
        <v>1.7999999999999999E-2</v>
      </c>
      <c r="X6606" s="508">
        <v>1.7999999999999999E-2</v>
      </c>
      <c r="Y6606" s="508">
        <v>1.7999999999999999E-2</v>
      </c>
      <c r="Z6606" s="508">
        <v>1.7999999999999999E-2</v>
      </c>
      <c r="AA6606" s="508">
        <v>1.7999999999999999E-2</v>
      </c>
      <c r="AB6606" s="508">
        <v>1.7999999999999999E-2</v>
      </c>
      <c r="AC6606" s="508">
        <v>1.7999999999999999E-2</v>
      </c>
      <c r="AD6606" s="508">
        <v>1.7999999999999999E-2</v>
      </c>
      <c r="AE6606" s="508">
        <v>1.7999999999999999E-2</v>
      </c>
      <c r="AF6606" s="508">
        <v>1.7999999999999999E-2</v>
      </c>
      <c r="AG6606" s="508">
        <v>1.7999999999999999E-2</v>
      </c>
      <c r="AH6606" s="508">
        <v>1.7999999999999999E-2</v>
      </c>
      <c r="AI6606" s="492">
        <v>1.7999999999999999E-2</v>
      </c>
      <c r="AJ6606" s="485"/>
    </row>
    <row r="6607" spans="2:36">
      <c r="B6607" s="136" t="s">
        <v>438</v>
      </c>
      <c r="C6607" s="132" t="s">
        <v>1370</v>
      </c>
      <c r="D6607" s="132" t="s">
        <v>1380</v>
      </c>
      <c r="E6607" s="508">
        <v>1.4E-2</v>
      </c>
      <c r="F6607" s="508">
        <v>1.4E-2</v>
      </c>
      <c r="G6607" s="508">
        <v>1.2999999999999999E-2</v>
      </c>
      <c r="H6607" s="508">
        <v>1.4E-2</v>
      </c>
      <c r="I6607" s="508">
        <v>1.2E-2</v>
      </c>
      <c r="J6607" s="508">
        <v>1.4E-2</v>
      </c>
      <c r="K6607" s="508">
        <v>1.2E-2</v>
      </c>
      <c r="L6607" s="508">
        <v>1.2999999999999999E-2</v>
      </c>
      <c r="M6607" s="508">
        <v>1.4E-2</v>
      </c>
      <c r="N6607" s="508">
        <v>1.4E-2</v>
      </c>
      <c r="O6607" s="508">
        <v>1.2999999999999999E-2</v>
      </c>
      <c r="P6607" s="508">
        <v>1.4E-2</v>
      </c>
      <c r="Q6607" s="508">
        <v>1.4E-2</v>
      </c>
      <c r="R6607" s="508">
        <v>1.4E-2</v>
      </c>
      <c r="S6607" s="508">
        <v>1.4E-2</v>
      </c>
      <c r="T6607" s="508">
        <v>1.2999999999999999E-2</v>
      </c>
      <c r="U6607" s="508">
        <v>1.4999999999999999E-2</v>
      </c>
      <c r="V6607" s="508">
        <v>1.4999999999999999E-2</v>
      </c>
      <c r="W6607" s="508">
        <v>1.4999999999999999E-2</v>
      </c>
      <c r="X6607" s="508">
        <v>1.4999999999999999E-2</v>
      </c>
      <c r="Y6607" s="508">
        <v>1.4999999999999999E-2</v>
      </c>
      <c r="Z6607" s="508">
        <v>1.4999999999999999E-2</v>
      </c>
      <c r="AA6607" s="508">
        <v>1.4999999999999999E-2</v>
      </c>
      <c r="AB6607" s="508">
        <v>1.4999999999999999E-2</v>
      </c>
      <c r="AC6607" s="508">
        <v>1.4999999999999999E-2</v>
      </c>
      <c r="AD6607" s="508">
        <v>1.4999999999999999E-2</v>
      </c>
      <c r="AE6607" s="508">
        <v>1.4999999999999999E-2</v>
      </c>
      <c r="AF6607" s="508">
        <v>1.4999999999999999E-2</v>
      </c>
      <c r="AG6607" s="508">
        <v>1.4999999999999999E-2</v>
      </c>
      <c r="AH6607" s="508">
        <v>1.4999999999999999E-2</v>
      </c>
      <c r="AI6607" s="492">
        <v>1.4999999999999999E-2</v>
      </c>
      <c r="AJ6607" s="485"/>
    </row>
    <row r="6608" spans="2:36">
      <c r="B6608" s="136" t="s">
        <v>439</v>
      </c>
      <c r="C6608" s="132" t="s">
        <v>1370</v>
      </c>
      <c r="D6608" s="132" t="s">
        <v>1380</v>
      </c>
      <c r="E6608" s="508">
        <v>1.7000000000000001E-2</v>
      </c>
      <c r="F6608" s="508">
        <v>1.7000000000000001E-2</v>
      </c>
      <c r="G6608" s="508">
        <v>1.6E-2</v>
      </c>
      <c r="H6608" s="508">
        <v>1.7000000000000001E-2</v>
      </c>
      <c r="I6608" s="508">
        <v>1.4E-2</v>
      </c>
      <c r="J6608" s="508">
        <v>1.6E-2</v>
      </c>
      <c r="K6608" s="508">
        <v>1.4999999999999999E-2</v>
      </c>
      <c r="L6608" s="508">
        <v>1.6E-2</v>
      </c>
      <c r="M6608" s="508">
        <v>1.7000000000000001E-2</v>
      </c>
      <c r="N6608" s="508">
        <v>1.6E-2</v>
      </c>
      <c r="O6608" s="508">
        <v>1.6E-2</v>
      </c>
      <c r="P6608" s="508">
        <v>1.7000000000000001E-2</v>
      </c>
      <c r="Q6608" s="508">
        <v>1.7000000000000001E-2</v>
      </c>
      <c r="R6608" s="508">
        <v>1.7000000000000001E-2</v>
      </c>
      <c r="S6608" s="508">
        <v>1.7000000000000001E-2</v>
      </c>
      <c r="T6608" s="508">
        <v>1.6E-2</v>
      </c>
      <c r="U6608" s="508">
        <v>1.7999999999999999E-2</v>
      </c>
      <c r="V6608" s="508">
        <v>1.7999999999999999E-2</v>
      </c>
      <c r="W6608" s="508">
        <v>1.7999999999999999E-2</v>
      </c>
      <c r="X6608" s="508">
        <v>1.7999999999999999E-2</v>
      </c>
      <c r="Y6608" s="508">
        <v>1.7999999999999999E-2</v>
      </c>
      <c r="Z6608" s="508">
        <v>1.7999999999999999E-2</v>
      </c>
      <c r="AA6608" s="508">
        <v>1.7999999999999999E-2</v>
      </c>
      <c r="AB6608" s="508">
        <v>1.7999999999999999E-2</v>
      </c>
      <c r="AC6608" s="508">
        <v>1.7999999999999999E-2</v>
      </c>
      <c r="AD6608" s="508">
        <v>1.7999999999999999E-2</v>
      </c>
      <c r="AE6608" s="508">
        <v>1.7999999999999999E-2</v>
      </c>
      <c r="AF6608" s="508">
        <v>1.7999999999999999E-2</v>
      </c>
      <c r="AG6608" s="508">
        <v>1.7999999999999999E-2</v>
      </c>
      <c r="AH6608" s="508">
        <v>1.7999999999999999E-2</v>
      </c>
      <c r="AI6608" s="492">
        <v>1.7999999999999999E-2</v>
      </c>
      <c r="AJ6608" s="485"/>
    </row>
    <row r="6609" spans="2:36">
      <c r="B6609" s="136" t="s">
        <v>440</v>
      </c>
      <c r="C6609" s="132" t="s">
        <v>1370</v>
      </c>
      <c r="D6609" s="132" t="s">
        <v>1380</v>
      </c>
      <c r="E6609" s="508">
        <v>1.6E-2</v>
      </c>
      <c r="F6609" s="508">
        <v>1.6E-2</v>
      </c>
      <c r="G6609" s="508">
        <v>1.4999999999999999E-2</v>
      </c>
      <c r="H6609" s="508">
        <v>1.6E-2</v>
      </c>
      <c r="I6609" s="508">
        <v>1.4E-2</v>
      </c>
      <c r="J6609" s="508">
        <v>1.6E-2</v>
      </c>
      <c r="K6609" s="508">
        <v>1.4E-2</v>
      </c>
      <c r="L6609" s="508">
        <v>1.4999999999999999E-2</v>
      </c>
      <c r="M6609" s="508">
        <v>1.6E-2</v>
      </c>
      <c r="N6609" s="508">
        <v>1.6E-2</v>
      </c>
      <c r="O6609" s="508">
        <v>1.4999999999999999E-2</v>
      </c>
      <c r="P6609" s="508">
        <v>1.6E-2</v>
      </c>
      <c r="Q6609" s="508">
        <v>1.6E-2</v>
      </c>
      <c r="R6609" s="508">
        <v>1.6E-2</v>
      </c>
      <c r="S6609" s="508">
        <v>1.6E-2</v>
      </c>
      <c r="T6609" s="508">
        <v>1.4999999999999999E-2</v>
      </c>
      <c r="U6609" s="508">
        <v>1.7000000000000001E-2</v>
      </c>
      <c r="V6609" s="508">
        <v>1.7000000000000001E-2</v>
      </c>
      <c r="W6609" s="508">
        <v>1.7000000000000001E-2</v>
      </c>
      <c r="X6609" s="508">
        <v>1.7000000000000001E-2</v>
      </c>
      <c r="Y6609" s="508">
        <v>1.7000000000000001E-2</v>
      </c>
      <c r="Z6609" s="508">
        <v>1.7000000000000001E-2</v>
      </c>
      <c r="AA6609" s="508">
        <v>1.7000000000000001E-2</v>
      </c>
      <c r="AB6609" s="508">
        <v>1.7000000000000001E-2</v>
      </c>
      <c r="AC6609" s="508">
        <v>1.7000000000000001E-2</v>
      </c>
      <c r="AD6609" s="508">
        <v>1.7000000000000001E-2</v>
      </c>
      <c r="AE6609" s="508">
        <v>1.7000000000000001E-2</v>
      </c>
      <c r="AF6609" s="508">
        <v>1.7000000000000001E-2</v>
      </c>
      <c r="AG6609" s="508">
        <v>1.7000000000000001E-2</v>
      </c>
      <c r="AH6609" s="508">
        <v>1.7000000000000001E-2</v>
      </c>
      <c r="AI6609" s="492">
        <v>1.7000000000000001E-2</v>
      </c>
      <c r="AJ6609" s="485"/>
    </row>
    <row r="6610" spans="2:36">
      <c r="B6610" s="136" t="s">
        <v>441</v>
      </c>
      <c r="C6610" s="132" t="s">
        <v>1370</v>
      </c>
      <c r="D6610" s="132" t="s">
        <v>1380</v>
      </c>
      <c r="E6610" s="508">
        <v>1.7000000000000001E-2</v>
      </c>
      <c r="F6610" s="508">
        <v>1.7000000000000001E-2</v>
      </c>
      <c r="G6610" s="508">
        <v>1.6E-2</v>
      </c>
      <c r="H6610" s="508">
        <v>1.7000000000000001E-2</v>
      </c>
      <c r="I6610" s="508">
        <v>1.4E-2</v>
      </c>
      <c r="J6610" s="508">
        <v>1.7000000000000001E-2</v>
      </c>
      <c r="K6610" s="508">
        <v>1.4999999999999999E-2</v>
      </c>
      <c r="L6610" s="508">
        <v>1.6E-2</v>
      </c>
      <c r="M6610" s="508">
        <v>1.7000000000000001E-2</v>
      </c>
      <c r="N6610" s="508">
        <v>1.7000000000000001E-2</v>
      </c>
      <c r="O6610" s="508">
        <v>1.6E-2</v>
      </c>
      <c r="P6610" s="508">
        <v>1.7000000000000001E-2</v>
      </c>
      <c r="Q6610" s="508">
        <v>1.7999999999999999E-2</v>
      </c>
      <c r="R6610" s="508">
        <v>1.7000000000000001E-2</v>
      </c>
      <c r="S6610" s="508">
        <v>1.7000000000000001E-2</v>
      </c>
      <c r="T6610" s="508">
        <v>1.6E-2</v>
      </c>
      <c r="U6610" s="508">
        <v>1.7999999999999999E-2</v>
      </c>
      <c r="V6610" s="508">
        <v>1.7999999999999999E-2</v>
      </c>
      <c r="W6610" s="508">
        <v>1.7999999999999999E-2</v>
      </c>
      <c r="X6610" s="508">
        <v>1.7999999999999999E-2</v>
      </c>
      <c r="Y6610" s="508">
        <v>1.7999999999999999E-2</v>
      </c>
      <c r="Z6610" s="508">
        <v>1.7999999999999999E-2</v>
      </c>
      <c r="AA6610" s="508">
        <v>1.7999999999999999E-2</v>
      </c>
      <c r="AB6610" s="508">
        <v>1.7999999999999999E-2</v>
      </c>
      <c r="AC6610" s="508">
        <v>1.7999999999999999E-2</v>
      </c>
      <c r="AD6610" s="508">
        <v>1.7999999999999999E-2</v>
      </c>
      <c r="AE6610" s="508">
        <v>1.7999999999999999E-2</v>
      </c>
      <c r="AF6610" s="508">
        <v>1.7999999999999999E-2</v>
      </c>
      <c r="AG6610" s="508">
        <v>1.7999999999999999E-2</v>
      </c>
      <c r="AH6610" s="508">
        <v>1.7999999999999999E-2</v>
      </c>
      <c r="AI6610" s="492">
        <v>1.7999999999999999E-2</v>
      </c>
      <c r="AJ6610" s="485"/>
    </row>
    <row r="6611" spans="2:36">
      <c r="B6611" s="136" t="s">
        <v>443</v>
      </c>
      <c r="C6611" s="132" t="s">
        <v>1370</v>
      </c>
      <c r="D6611" s="132" t="s">
        <v>1380</v>
      </c>
      <c r="E6611" s="508">
        <v>0.02</v>
      </c>
      <c r="F6611" s="508">
        <v>0.02</v>
      </c>
      <c r="G6611" s="508">
        <v>1.9E-2</v>
      </c>
      <c r="H6611" s="508">
        <v>0.02</v>
      </c>
      <c r="I6611" s="508">
        <v>1.7000000000000001E-2</v>
      </c>
      <c r="J6611" s="508">
        <v>0.02</v>
      </c>
      <c r="K6611" s="508">
        <v>1.7999999999999999E-2</v>
      </c>
      <c r="L6611" s="508">
        <v>1.9E-2</v>
      </c>
      <c r="M6611" s="508">
        <v>0.02</v>
      </c>
      <c r="N6611" s="508">
        <v>0.02</v>
      </c>
      <c r="O6611" s="508">
        <v>1.9E-2</v>
      </c>
      <c r="P6611" s="508">
        <v>0.02</v>
      </c>
      <c r="Q6611" s="508">
        <v>2.1000000000000001E-2</v>
      </c>
      <c r="R6611" s="508">
        <v>0.02</v>
      </c>
      <c r="S6611" s="508">
        <v>0.02</v>
      </c>
      <c r="T6611" s="508">
        <v>1.9E-2</v>
      </c>
      <c r="U6611" s="508">
        <v>2.1000000000000001E-2</v>
      </c>
      <c r="V6611" s="508">
        <v>2.1000000000000001E-2</v>
      </c>
      <c r="W6611" s="508">
        <v>2.1000000000000001E-2</v>
      </c>
      <c r="X6611" s="508">
        <v>2.1000000000000001E-2</v>
      </c>
      <c r="Y6611" s="508">
        <v>2.1000000000000001E-2</v>
      </c>
      <c r="Z6611" s="508">
        <v>2.1000000000000001E-2</v>
      </c>
      <c r="AA6611" s="508">
        <v>2.1000000000000001E-2</v>
      </c>
      <c r="AB6611" s="508">
        <v>2.1000000000000001E-2</v>
      </c>
      <c r="AC6611" s="508">
        <v>2.1000000000000001E-2</v>
      </c>
      <c r="AD6611" s="508">
        <v>2.1000000000000001E-2</v>
      </c>
      <c r="AE6611" s="508">
        <v>2.1000000000000001E-2</v>
      </c>
      <c r="AF6611" s="508">
        <v>2.1000000000000001E-2</v>
      </c>
      <c r="AG6611" s="508">
        <v>2.1000000000000001E-2</v>
      </c>
      <c r="AH6611" s="508">
        <v>2.1000000000000001E-2</v>
      </c>
      <c r="AI6611" s="492">
        <v>2.1000000000000001E-2</v>
      </c>
      <c r="AJ6611" s="485"/>
    </row>
    <row r="6612" spans="2:36">
      <c r="B6612" s="136" t="s">
        <v>445</v>
      </c>
      <c r="C6612" s="132" t="s">
        <v>1370</v>
      </c>
      <c r="D6612" s="132" t="s">
        <v>1380</v>
      </c>
      <c r="E6612" s="508">
        <v>2.5000000000000001E-2</v>
      </c>
      <c r="F6612" s="508">
        <v>2.5000000000000001E-2</v>
      </c>
      <c r="G6612" s="508">
        <v>2.3E-2</v>
      </c>
      <c r="H6612" s="508">
        <v>2.4E-2</v>
      </c>
      <c r="I6612" s="508">
        <v>2.1000000000000001E-2</v>
      </c>
      <c r="J6612" s="508">
        <v>2.4E-2</v>
      </c>
      <c r="K6612" s="508">
        <v>2.1999999999999999E-2</v>
      </c>
      <c r="L6612" s="508">
        <v>2.3E-2</v>
      </c>
      <c r="M6612" s="508">
        <v>2.5000000000000001E-2</v>
      </c>
      <c r="N6612" s="508">
        <v>2.4E-2</v>
      </c>
      <c r="O6612" s="508">
        <v>2.3E-2</v>
      </c>
      <c r="P6612" s="508">
        <v>2.5000000000000001E-2</v>
      </c>
      <c r="Q6612" s="508">
        <v>2.5999999999999999E-2</v>
      </c>
      <c r="R6612" s="508">
        <v>2.5000000000000001E-2</v>
      </c>
      <c r="S6612" s="508">
        <v>2.5000000000000001E-2</v>
      </c>
      <c r="T6612" s="508">
        <v>2.4E-2</v>
      </c>
      <c r="U6612" s="508">
        <v>2.5999999999999999E-2</v>
      </c>
      <c r="V6612" s="508">
        <v>2.5999999999999999E-2</v>
      </c>
      <c r="W6612" s="508">
        <v>2.5999999999999999E-2</v>
      </c>
      <c r="X6612" s="508">
        <v>2.5999999999999999E-2</v>
      </c>
      <c r="Y6612" s="508">
        <v>2.5999999999999999E-2</v>
      </c>
      <c r="Z6612" s="508">
        <v>2.5999999999999999E-2</v>
      </c>
      <c r="AA6612" s="508">
        <v>2.5999999999999999E-2</v>
      </c>
      <c r="AB6612" s="508">
        <v>2.5999999999999999E-2</v>
      </c>
      <c r="AC6612" s="508">
        <v>2.5999999999999999E-2</v>
      </c>
      <c r="AD6612" s="508">
        <v>2.5999999999999999E-2</v>
      </c>
      <c r="AE6612" s="508">
        <v>2.5999999999999999E-2</v>
      </c>
      <c r="AF6612" s="508">
        <v>2.5999999999999999E-2</v>
      </c>
      <c r="AG6612" s="508">
        <v>2.5999999999999999E-2</v>
      </c>
      <c r="AH6612" s="508">
        <v>2.5999999999999999E-2</v>
      </c>
      <c r="AI6612" s="492">
        <v>2.5999999999999999E-2</v>
      </c>
      <c r="AJ6612" s="485"/>
    </row>
    <row r="6613" spans="2:36">
      <c r="B6613" s="136" t="s">
        <v>446</v>
      </c>
      <c r="C6613" s="132" t="s">
        <v>1370</v>
      </c>
      <c r="D6613" s="132" t="s">
        <v>1380</v>
      </c>
      <c r="E6613" s="508">
        <v>0.02</v>
      </c>
      <c r="F6613" s="508">
        <v>0.02</v>
      </c>
      <c r="G6613" s="508">
        <v>1.9E-2</v>
      </c>
      <c r="H6613" s="508">
        <v>0.02</v>
      </c>
      <c r="I6613" s="508">
        <v>1.7000000000000001E-2</v>
      </c>
      <c r="J6613" s="508">
        <v>0.02</v>
      </c>
      <c r="K6613" s="508">
        <v>1.7999999999999999E-2</v>
      </c>
      <c r="L6613" s="508">
        <v>1.9E-2</v>
      </c>
      <c r="M6613" s="508">
        <v>0.02</v>
      </c>
      <c r="N6613" s="508">
        <v>0.02</v>
      </c>
      <c r="O6613" s="508">
        <v>1.9E-2</v>
      </c>
      <c r="P6613" s="508">
        <v>2.1000000000000001E-2</v>
      </c>
      <c r="Q6613" s="508">
        <v>2.1000000000000001E-2</v>
      </c>
      <c r="R6613" s="508">
        <v>2.1000000000000001E-2</v>
      </c>
      <c r="S6613" s="508">
        <v>2.1000000000000001E-2</v>
      </c>
      <c r="T6613" s="508">
        <v>1.9E-2</v>
      </c>
      <c r="U6613" s="508">
        <v>2.1000000000000001E-2</v>
      </c>
      <c r="V6613" s="508">
        <v>2.1999999999999999E-2</v>
      </c>
      <c r="W6613" s="508">
        <v>2.1999999999999999E-2</v>
      </c>
      <c r="X6613" s="508">
        <v>2.1999999999999999E-2</v>
      </c>
      <c r="Y6613" s="508">
        <v>2.1999999999999999E-2</v>
      </c>
      <c r="Z6613" s="508">
        <v>2.1999999999999999E-2</v>
      </c>
      <c r="AA6613" s="508">
        <v>2.1999999999999999E-2</v>
      </c>
      <c r="AB6613" s="508">
        <v>2.1999999999999999E-2</v>
      </c>
      <c r="AC6613" s="508">
        <v>2.1999999999999999E-2</v>
      </c>
      <c r="AD6613" s="508">
        <v>2.1999999999999999E-2</v>
      </c>
      <c r="AE6613" s="508">
        <v>2.1999999999999999E-2</v>
      </c>
      <c r="AF6613" s="508">
        <v>2.1999999999999999E-2</v>
      </c>
      <c r="AG6613" s="508">
        <v>2.1999999999999999E-2</v>
      </c>
      <c r="AH6613" s="508">
        <v>2.1999999999999999E-2</v>
      </c>
      <c r="AI6613" s="492">
        <v>2.1999999999999999E-2</v>
      </c>
      <c r="AJ6613" s="485"/>
    </row>
    <row r="6614" spans="2:36">
      <c r="B6614" s="136" t="s">
        <v>448</v>
      </c>
      <c r="C6614" s="132" t="s">
        <v>1370</v>
      </c>
      <c r="D6614" s="132" t="s">
        <v>1380</v>
      </c>
      <c r="E6614" s="508">
        <v>1.6E-2</v>
      </c>
      <c r="F6614" s="508">
        <v>1.4999999999999999E-2</v>
      </c>
      <c r="G6614" s="508">
        <v>1.7999999999999999E-2</v>
      </c>
      <c r="H6614" s="508">
        <v>1.2999999999999999E-2</v>
      </c>
      <c r="I6614" s="508">
        <v>1.0999999999999999E-2</v>
      </c>
      <c r="J6614" s="508">
        <v>1.2E-2</v>
      </c>
      <c r="K6614" s="508">
        <v>8.0000000000000002E-3</v>
      </c>
      <c r="L6614" s="508">
        <v>1.2E-2</v>
      </c>
      <c r="M6614" s="508">
        <v>8.9999999999999993E-3</v>
      </c>
      <c r="N6614" s="508">
        <v>1.0999999999999999E-2</v>
      </c>
      <c r="O6614" s="508">
        <v>1.4E-2</v>
      </c>
      <c r="P6614" s="508">
        <v>1.6E-2</v>
      </c>
      <c r="Q6614" s="508">
        <v>1.6E-2</v>
      </c>
      <c r="R6614" s="508">
        <v>1.4E-2</v>
      </c>
      <c r="S6614" s="508">
        <v>1.0999999999999999E-2</v>
      </c>
      <c r="T6614" s="508">
        <v>1.2999999999999999E-2</v>
      </c>
      <c r="U6614" s="508">
        <v>1.0999999999999999E-2</v>
      </c>
      <c r="V6614" s="508">
        <v>1.2E-2</v>
      </c>
      <c r="W6614" s="508">
        <v>1.2999999999999999E-2</v>
      </c>
      <c r="X6614" s="508">
        <v>1.2E-2</v>
      </c>
      <c r="Y6614" s="508">
        <v>1.2999999999999999E-2</v>
      </c>
      <c r="Z6614" s="508">
        <v>1.2999999999999999E-2</v>
      </c>
      <c r="AA6614" s="508">
        <v>1.4E-2</v>
      </c>
      <c r="AB6614" s="508">
        <v>1.0999999999999999E-2</v>
      </c>
      <c r="AC6614" s="508">
        <v>1.4E-2</v>
      </c>
      <c r="AD6614" s="508">
        <v>1.4E-2</v>
      </c>
      <c r="AE6614" s="508">
        <v>1.2999999999999999E-2</v>
      </c>
      <c r="AF6614" s="508">
        <v>1.2999999999999999E-2</v>
      </c>
      <c r="AG6614" s="508">
        <v>1.2999999999999999E-2</v>
      </c>
      <c r="AH6614" s="508">
        <v>1.2999999999999999E-2</v>
      </c>
      <c r="AI6614" s="492">
        <v>1.2999999999999999E-2</v>
      </c>
      <c r="AJ6614" s="485"/>
    </row>
    <row r="6615" spans="2:36">
      <c r="B6615" s="136" t="s">
        <v>449</v>
      </c>
      <c r="C6615" s="132" t="s">
        <v>1370</v>
      </c>
      <c r="D6615" s="132" t="s">
        <v>1380</v>
      </c>
      <c r="E6615" s="508">
        <v>0.02</v>
      </c>
      <c r="F6615" s="508">
        <v>0.02</v>
      </c>
      <c r="G6615" s="508">
        <v>1.9E-2</v>
      </c>
      <c r="H6615" s="508">
        <v>0.02</v>
      </c>
      <c r="I6615" s="508">
        <v>1.7000000000000001E-2</v>
      </c>
      <c r="J6615" s="508">
        <v>0.02</v>
      </c>
      <c r="K6615" s="508">
        <v>1.7999999999999999E-2</v>
      </c>
      <c r="L6615" s="508">
        <v>1.9E-2</v>
      </c>
      <c r="M6615" s="508">
        <v>0.02</v>
      </c>
      <c r="N6615" s="508">
        <v>0.02</v>
      </c>
      <c r="O6615" s="508">
        <v>1.9E-2</v>
      </c>
      <c r="P6615" s="508">
        <v>2.1000000000000001E-2</v>
      </c>
      <c r="Q6615" s="508">
        <v>2.1000000000000001E-2</v>
      </c>
      <c r="R6615" s="508">
        <v>2.1000000000000001E-2</v>
      </c>
      <c r="S6615" s="508">
        <v>0.02</v>
      </c>
      <c r="T6615" s="508">
        <v>1.9E-2</v>
      </c>
      <c r="U6615" s="508">
        <v>2.1000000000000001E-2</v>
      </c>
      <c r="V6615" s="508">
        <v>2.1000000000000001E-2</v>
      </c>
      <c r="W6615" s="508">
        <v>2.1000000000000001E-2</v>
      </c>
      <c r="X6615" s="508">
        <v>2.1000000000000001E-2</v>
      </c>
      <c r="Y6615" s="508">
        <v>2.1000000000000001E-2</v>
      </c>
      <c r="Z6615" s="508">
        <v>2.1000000000000001E-2</v>
      </c>
      <c r="AA6615" s="508">
        <v>2.1000000000000001E-2</v>
      </c>
      <c r="AB6615" s="508">
        <v>2.1000000000000001E-2</v>
      </c>
      <c r="AC6615" s="508">
        <v>2.1000000000000001E-2</v>
      </c>
      <c r="AD6615" s="508">
        <v>2.1000000000000001E-2</v>
      </c>
      <c r="AE6615" s="508">
        <v>2.1000000000000001E-2</v>
      </c>
      <c r="AF6615" s="508">
        <v>2.1000000000000001E-2</v>
      </c>
      <c r="AG6615" s="508">
        <v>2.1000000000000001E-2</v>
      </c>
      <c r="AH6615" s="508">
        <v>2.1000000000000001E-2</v>
      </c>
      <c r="AI6615" s="492">
        <v>2.1000000000000001E-2</v>
      </c>
      <c r="AJ6615" s="485"/>
    </row>
    <row r="6616" spans="2:36">
      <c r="B6616" s="136" t="s">
        <v>450</v>
      </c>
      <c r="C6616" s="132" t="s">
        <v>1370</v>
      </c>
      <c r="D6616" s="132" t="s">
        <v>1380</v>
      </c>
      <c r="E6616" s="508">
        <v>1.4999999999999999E-2</v>
      </c>
      <c r="F6616" s="508">
        <v>1.4999999999999999E-2</v>
      </c>
      <c r="G6616" s="508">
        <v>1.4999999999999999E-2</v>
      </c>
      <c r="H6616" s="508">
        <v>1.4999999999999999E-2</v>
      </c>
      <c r="I6616" s="508">
        <v>1.3000000000000001E-2</v>
      </c>
      <c r="J6616" s="508">
        <v>1.4999999999999999E-2</v>
      </c>
      <c r="K6616" s="508">
        <v>1.3000000000000001E-2</v>
      </c>
      <c r="L6616" s="508">
        <v>1.4999999999999999E-2</v>
      </c>
      <c r="M6616" s="508">
        <v>1.4999999999999999E-2</v>
      </c>
      <c r="N6616" s="508">
        <v>1.4999999999999999E-2</v>
      </c>
      <c r="O6616" s="508">
        <v>1.4999999999999999E-2</v>
      </c>
      <c r="P6616" s="508">
        <v>1.4999999999999999E-2</v>
      </c>
      <c r="Q6616" s="508">
        <v>1.4999999999999999E-2</v>
      </c>
      <c r="R6616" s="508">
        <v>1.4999999999999999E-2</v>
      </c>
      <c r="S6616" s="508">
        <v>1.4999999999999999E-2</v>
      </c>
      <c r="T6616" s="508">
        <v>1.4999999999999999E-2</v>
      </c>
      <c r="U6616" s="508">
        <v>1.6E-2</v>
      </c>
      <c r="V6616" s="508">
        <v>1.6E-2</v>
      </c>
      <c r="W6616" s="508">
        <v>1.6E-2</v>
      </c>
      <c r="X6616" s="508">
        <v>1.6E-2</v>
      </c>
      <c r="Y6616" s="508">
        <v>1.6E-2</v>
      </c>
      <c r="Z6616" s="508">
        <v>1.6E-2</v>
      </c>
      <c r="AA6616" s="508">
        <v>1.6E-2</v>
      </c>
      <c r="AB6616" s="508">
        <v>1.6E-2</v>
      </c>
      <c r="AC6616" s="508">
        <v>1.6E-2</v>
      </c>
      <c r="AD6616" s="508">
        <v>1.6E-2</v>
      </c>
      <c r="AE6616" s="508">
        <v>1.6E-2</v>
      </c>
      <c r="AF6616" s="508">
        <v>1.6E-2</v>
      </c>
      <c r="AG6616" s="508">
        <v>1.6E-2</v>
      </c>
      <c r="AH6616" s="508">
        <v>1.6E-2</v>
      </c>
      <c r="AI6616" s="492">
        <v>1.6E-2</v>
      </c>
      <c r="AJ6616" s="485"/>
    </row>
    <row r="6617" spans="2:36">
      <c r="B6617" s="136" t="s">
        <v>451</v>
      </c>
      <c r="C6617" s="132" t="s">
        <v>1370</v>
      </c>
      <c r="D6617" s="132" t="s">
        <v>1380</v>
      </c>
      <c r="E6617" s="508">
        <v>2.1000000000000001E-2</v>
      </c>
      <c r="F6617" s="508">
        <v>2.1000000000000001E-2</v>
      </c>
      <c r="G6617" s="508">
        <v>0.02</v>
      </c>
      <c r="H6617" s="508">
        <v>2.1000000000000001E-2</v>
      </c>
      <c r="I6617" s="508">
        <v>1.7999999999999999E-2</v>
      </c>
      <c r="J6617" s="508">
        <v>2.1000000000000001E-2</v>
      </c>
      <c r="K6617" s="508">
        <v>1.9E-2</v>
      </c>
      <c r="L6617" s="508">
        <v>0.02</v>
      </c>
      <c r="M6617" s="508">
        <v>2.1000000000000001E-2</v>
      </c>
      <c r="N6617" s="508">
        <v>2.1000000000000001E-2</v>
      </c>
      <c r="O6617" s="508">
        <v>0.02</v>
      </c>
      <c r="P6617" s="508">
        <v>2.1999999999999999E-2</v>
      </c>
      <c r="Q6617" s="508">
        <v>2.1999999999999999E-2</v>
      </c>
      <c r="R6617" s="508">
        <v>2.1999999999999999E-2</v>
      </c>
      <c r="S6617" s="508">
        <v>2.1999999999999999E-2</v>
      </c>
      <c r="T6617" s="508">
        <v>0.02</v>
      </c>
      <c r="U6617" s="508">
        <v>2.1999999999999999E-2</v>
      </c>
      <c r="V6617" s="508">
        <v>2.3E-2</v>
      </c>
      <c r="W6617" s="508">
        <v>2.3E-2</v>
      </c>
      <c r="X6617" s="508">
        <v>2.3E-2</v>
      </c>
      <c r="Y6617" s="508">
        <v>2.3E-2</v>
      </c>
      <c r="Z6617" s="508">
        <v>2.3E-2</v>
      </c>
      <c r="AA6617" s="508">
        <v>2.3E-2</v>
      </c>
      <c r="AB6617" s="508">
        <v>2.3E-2</v>
      </c>
      <c r="AC6617" s="508">
        <v>2.3E-2</v>
      </c>
      <c r="AD6617" s="508">
        <v>2.3E-2</v>
      </c>
      <c r="AE6617" s="508">
        <v>2.3E-2</v>
      </c>
      <c r="AF6617" s="508">
        <v>2.3E-2</v>
      </c>
      <c r="AG6617" s="508">
        <v>2.3E-2</v>
      </c>
      <c r="AH6617" s="508">
        <v>2.3E-2</v>
      </c>
      <c r="AI6617" s="492">
        <v>2.3E-2</v>
      </c>
      <c r="AJ6617" s="485"/>
    </row>
    <row r="6618" spans="2:36">
      <c r="B6618" s="136" t="s">
        <v>452</v>
      </c>
      <c r="C6618" s="132" t="s">
        <v>1370</v>
      </c>
      <c r="D6618" s="132" t="s">
        <v>1380</v>
      </c>
      <c r="E6618" s="508">
        <v>1.7000000000000001E-2</v>
      </c>
      <c r="F6618" s="508">
        <v>1.7000000000000001E-2</v>
      </c>
      <c r="G6618" s="508">
        <v>1.6E-2</v>
      </c>
      <c r="H6618" s="508">
        <v>1.7000000000000001E-2</v>
      </c>
      <c r="I6618" s="508">
        <v>1.4999999999999999E-2</v>
      </c>
      <c r="J6618" s="508">
        <v>1.7000000000000001E-2</v>
      </c>
      <c r="K6618" s="508">
        <v>1.4999999999999999E-2</v>
      </c>
      <c r="L6618" s="508">
        <v>1.6E-2</v>
      </c>
      <c r="M6618" s="508">
        <v>1.7000000000000001E-2</v>
      </c>
      <c r="N6618" s="508">
        <v>1.7000000000000001E-2</v>
      </c>
      <c r="O6618" s="508">
        <v>1.6E-2</v>
      </c>
      <c r="P6618" s="508">
        <v>1.7999999999999999E-2</v>
      </c>
      <c r="Q6618" s="508">
        <v>1.7999999999999999E-2</v>
      </c>
      <c r="R6618" s="508">
        <v>1.7999999999999999E-2</v>
      </c>
      <c r="S6618" s="508">
        <v>1.7999999999999999E-2</v>
      </c>
      <c r="T6618" s="508">
        <v>1.7000000000000001E-2</v>
      </c>
      <c r="U6618" s="508">
        <v>1.7999999999999999E-2</v>
      </c>
      <c r="V6618" s="508">
        <v>1.7999999999999999E-2</v>
      </c>
      <c r="W6618" s="508">
        <v>1.7999999999999999E-2</v>
      </c>
      <c r="X6618" s="508">
        <v>1.7999999999999999E-2</v>
      </c>
      <c r="Y6618" s="508">
        <v>1.7999999999999999E-2</v>
      </c>
      <c r="Z6618" s="508">
        <v>1.7999999999999999E-2</v>
      </c>
      <c r="AA6618" s="508">
        <v>1.7999999999999999E-2</v>
      </c>
      <c r="AB6618" s="508">
        <v>1.7999999999999999E-2</v>
      </c>
      <c r="AC6618" s="508">
        <v>1.7999999999999999E-2</v>
      </c>
      <c r="AD6618" s="508">
        <v>1.7999999999999999E-2</v>
      </c>
      <c r="AE6618" s="508">
        <v>1.7999999999999999E-2</v>
      </c>
      <c r="AF6618" s="508">
        <v>1.7999999999999999E-2</v>
      </c>
      <c r="AG6618" s="508">
        <v>1.7999999999999999E-2</v>
      </c>
      <c r="AH6618" s="508">
        <v>1.7999999999999999E-2</v>
      </c>
      <c r="AI6618" s="492">
        <v>1.7999999999999999E-2</v>
      </c>
      <c r="AJ6618" s="485"/>
    </row>
    <row r="6619" spans="2:36">
      <c r="B6619" s="136" t="s">
        <v>453</v>
      </c>
      <c r="C6619" s="132" t="s">
        <v>1370</v>
      </c>
      <c r="D6619" s="132" t="s">
        <v>1380</v>
      </c>
      <c r="E6619" s="508">
        <v>1.4E-2</v>
      </c>
      <c r="F6619" s="508">
        <v>1.4E-2</v>
      </c>
      <c r="G6619" s="508">
        <v>1.4E-2</v>
      </c>
      <c r="H6619" s="508">
        <v>1.4E-2</v>
      </c>
      <c r="I6619" s="508">
        <v>1.2E-2</v>
      </c>
      <c r="J6619" s="508">
        <v>1.4E-2</v>
      </c>
      <c r="K6619" s="508">
        <v>1.2999999999999999E-2</v>
      </c>
      <c r="L6619" s="508">
        <v>1.4E-2</v>
      </c>
      <c r="M6619" s="508">
        <v>1.4E-2</v>
      </c>
      <c r="N6619" s="508">
        <v>1.4E-2</v>
      </c>
      <c r="O6619" s="508">
        <v>1.2999999999999999E-2</v>
      </c>
      <c r="P6619" s="508">
        <v>1.4999999999999999E-2</v>
      </c>
      <c r="Q6619" s="508">
        <v>1.4999999999999999E-2</v>
      </c>
      <c r="R6619" s="508">
        <v>1.4999999999999999E-2</v>
      </c>
      <c r="S6619" s="508">
        <v>1.4999999999999999E-2</v>
      </c>
      <c r="T6619" s="508">
        <v>1.4E-2</v>
      </c>
      <c r="U6619" s="508">
        <v>1.4999999999999999E-2</v>
      </c>
      <c r="V6619" s="508">
        <v>1.4999999999999999E-2</v>
      </c>
      <c r="W6619" s="508">
        <v>1.4999999999999999E-2</v>
      </c>
      <c r="X6619" s="508">
        <v>1.4999999999999999E-2</v>
      </c>
      <c r="Y6619" s="508">
        <v>1.4999999999999999E-2</v>
      </c>
      <c r="Z6619" s="508">
        <v>1.4999999999999999E-2</v>
      </c>
      <c r="AA6619" s="508">
        <v>1.4999999999999999E-2</v>
      </c>
      <c r="AB6619" s="508">
        <v>1.4999999999999999E-2</v>
      </c>
      <c r="AC6619" s="508">
        <v>1.4999999999999999E-2</v>
      </c>
      <c r="AD6619" s="508">
        <v>1.4999999999999999E-2</v>
      </c>
      <c r="AE6619" s="508">
        <v>1.4999999999999999E-2</v>
      </c>
      <c r="AF6619" s="508">
        <v>1.4999999999999999E-2</v>
      </c>
      <c r="AG6619" s="508">
        <v>1.4999999999999999E-2</v>
      </c>
      <c r="AH6619" s="508">
        <v>1.4999999999999999E-2</v>
      </c>
      <c r="AI6619" s="492">
        <v>1.4999999999999999E-2</v>
      </c>
      <c r="AJ6619" s="485"/>
    </row>
    <row r="6620" spans="2:36">
      <c r="B6620" s="136" t="s">
        <v>454</v>
      </c>
      <c r="C6620" s="132" t="s">
        <v>1370</v>
      </c>
      <c r="D6620" s="132" t="s">
        <v>1380</v>
      </c>
      <c r="E6620" s="508">
        <v>1.4999999999999999E-2</v>
      </c>
      <c r="F6620" s="508">
        <v>1.4999999999999999E-2</v>
      </c>
      <c r="G6620" s="508">
        <v>1.4E-2</v>
      </c>
      <c r="H6620" s="508">
        <v>1.4999999999999999E-2</v>
      </c>
      <c r="I6620" s="508">
        <v>1.2999999999999999E-2</v>
      </c>
      <c r="J6620" s="508">
        <v>1.4999999999999999E-2</v>
      </c>
      <c r="K6620" s="508">
        <v>1.2999999999999999E-2</v>
      </c>
      <c r="L6620" s="508">
        <v>1.4E-2</v>
      </c>
      <c r="M6620" s="508">
        <v>1.4999999999999999E-2</v>
      </c>
      <c r="N6620" s="508">
        <v>1.4999999999999999E-2</v>
      </c>
      <c r="O6620" s="508">
        <v>1.4E-2</v>
      </c>
      <c r="P6620" s="508">
        <v>1.4999999999999999E-2</v>
      </c>
      <c r="Q6620" s="508">
        <v>1.6E-2</v>
      </c>
      <c r="R6620" s="508">
        <v>1.4999999999999999E-2</v>
      </c>
      <c r="S6620" s="508">
        <v>1.4999999999999999E-2</v>
      </c>
      <c r="T6620" s="508">
        <v>1.4E-2</v>
      </c>
      <c r="U6620" s="508">
        <v>1.6E-2</v>
      </c>
      <c r="V6620" s="508">
        <v>1.6E-2</v>
      </c>
      <c r="W6620" s="508">
        <v>1.6E-2</v>
      </c>
      <c r="X6620" s="508">
        <v>1.6E-2</v>
      </c>
      <c r="Y6620" s="508">
        <v>1.6E-2</v>
      </c>
      <c r="Z6620" s="508">
        <v>1.6E-2</v>
      </c>
      <c r="AA6620" s="508">
        <v>1.6E-2</v>
      </c>
      <c r="AB6620" s="508">
        <v>1.6E-2</v>
      </c>
      <c r="AC6620" s="508">
        <v>1.6E-2</v>
      </c>
      <c r="AD6620" s="508">
        <v>1.6E-2</v>
      </c>
      <c r="AE6620" s="508">
        <v>1.6E-2</v>
      </c>
      <c r="AF6620" s="508">
        <v>1.6E-2</v>
      </c>
      <c r="AG6620" s="508">
        <v>1.6E-2</v>
      </c>
      <c r="AH6620" s="508">
        <v>1.6E-2</v>
      </c>
      <c r="AI6620" s="492">
        <v>1.6E-2</v>
      </c>
      <c r="AJ6620" s="485"/>
    </row>
    <row r="6621" spans="2:36">
      <c r="B6621" s="136" t="s">
        <v>455</v>
      </c>
      <c r="C6621" s="132" t="s">
        <v>1370</v>
      </c>
      <c r="D6621" s="132" t="s">
        <v>1380</v>
      </c>
      <c r="E6621" s="508">
        <v>1.2999999999999999E-2</v>
      </c>
      <c r="F6621" s="508">
        <v>1.2999999999999999E-2</v>
      </c>
      <c r="G6621" s="508">
        <v>1.2999999999999999E-2</v>
      </c>
      <c r="H6621" s="508">
        <v>1.2999999999999999E-2</v>
      </c>
      <c r="I6621" s="508">
        <v>1.0999999999999999E-2</v>
      </c>
      <c r="J6621" s="508">
        <v>1.2999999999999999E-2</v>
      </c>
      <c r="K6621" s="508">
        <v>1.2E-2</v>
      </c>
      <c r="L6621" s="508">
        <v>1.2999999999999999E-2</v>
      </c>
      <c r="M6621" s="508">
        <v>1.2999999999999999E-2</v>
      </c>
      <c r="N6621" s="508">
        <v>1.2999999999999999E-2</v>
      </c>
      <c r="O6621" s="508">
        <v>1.2999999999999999E-2</v>
      </c>
      <c r="P6621" s="508">
        <v>1.4E-2</v>
      </c>
      <c r="Q6621" s="508">
        <v>1.4E-2</v>
      </c>
      <c r="R6621" s="508">
        <v>1.4E-2</v>
      </c>
      <c r="S6621" s="508">
        <v>1.4E-2</v>
      </c>
      <c r="T6621" s="508">
        <v>1.2999999999999999E-2</v>
      </c>
      <c r="U6621" s="508">
        <v>1.4E-2</v>
      </c>
      <c r="V6621" s="508">
        <v>1.4E-2</v>
      </c>
      <c r="W6621" s="508">
        <v>1.4E-2</v>
      </c>
      <c r="X6621" s="508">
        <v>1.4E-2</v>
      </c>
      <c r="Y6621" s="508">
        <v>1.4E-2</v>
      </c>
      <c r="Z6621" s="508">
        <v>1.4E-2</v>
      </c>
      <c r="AA6621" s="508">
        <v>1.4E-2</v>
      </c>
      <c r="AB6621" s="508">
        <v>1.4E-2</v>
      </c>
      <c r="AC6621" s="508">
        <v>1.4E-2</v>
      </c>
      <c r="AD6621" s="508">
        <v>1.4E-2</v>
      </c>
      <c r="AE6621" s="508">
        <v>1.4E-2</v>
      </c>
      <c r="AF6621" s="508">
        <v>1.4E-2</v>
      </c>
      <c r="AG6621" s="508">
        <v>1.4E-2</v>
      </c>
      <c r="AH6621" s="508">
        <v>1.4E-2</v>
      </c>
      <c r="AI6621" s="492">
        <v>1.4E-2</v>
      </c>
      <c r="AJ6621" s="485"/>
    </row>
    <row r="6622" spans="2:36">
      <c r="B6622" s="136" t="s">
        <v>456</v>
      </c>
      <c r="C6622" s="132" t="s">
        <v>1370</v>
      </c>
      <c r="D6622" s="132" t="s">
        <v>1380</v>
      </c>
      <c r="E6622" s="508">
        <v>1.6E-2</v>
      </c>
      <c r="F6622" s="508">
        <v>1.6E-2</v>
      </c>
      <c r="G6622" s="508">
        <v>1.4999999999999999E-2</v>
      </c>
      <c r="H6622" s="508">
        <v>1.4999999999999999E-2</v>
      </c>
      <c r="I6622" s="508">
        <v>1.2999999999999999E-2</v>
      </c>
      <c r="J6622" s="508">
        <v>1.4999999999999999E-2</v>
      </c>
      <c r="K6622" s="508">
        <v>1.4E-2</v>
      </c>
      <c r="L6622" s="508">
        <v>1.4999999999999999E-2</v>
      </c>
      <c r="M6622" s="508">
        <v>1.6E-2</v>
      </c>
      <c r="N6622" s="508">
        <v>1.4999999999999999E-2</v>
      </c>
      <c r="O6622" s="508">
        <v>1.4999999999999999E-2</v>
      </c>
      <c r="P6622" s="508">
        <v>1.6E-2</v>
      </c>
      <c r="Q6622" s="508">
        <v>1.6E-2</v>
      </c>
      <c r="R6622" s="508">
        <v>1.6E-2</v>
      </c>
      <c r="S6622" s="508">
        <v>1.6E-2</v>
      </c>
      <c r="T6622" s="508">
        <v>1.4999999999999999E-2</v>
      </c>
      <c r="U6622" s="508">
        <v>1.6E-2</v>
      </c>
      <c r="V6622" s="508">
        <v>1.7000000000000001E-2</v>
      </c>
      <c r="W6622" s="508">
        <v>1.7000000000000001E-2</v>
      </c>
      <c r="X6622" s="508">
        <v>1.7000000000000001E-2</v>
      </c>
      <c r="Y6622" s="508">
        <v>1.7000000000000001E-2</v>
      </c>
      <c r="Z6622" s="508">
        <v>1.7000000000000001E-2</v>
      </c>
      <c r="AA6622" s="508">
        <v>1.7000000000000001E-2</v>
      </c>
      <c r="AB6622" s="508">
        <v>1.7000000000000001E-2</v>
      </c>
      <c r="AC6622" s="508">
        <v>1.7000000000000001E-2</v>
      </c>
      <c r="AD6622" s="508">
        <v>1.7000000000000001E-2</v>
      </c>
      <c r="AE6622" s="508">
        <v>1.7000000000000001E-2</v>
      </c>
      <c r="AF6622" s="508">
        <v>1.7000000000000001E-2</v>
      </c>
      <c r="AG6622" s="508">
        <v>1.7000000000000001E-2</v>
      </c>
      <c r="AH6622" s="508">
        <v>1.7000000000000001E-2</v>
      </c>
      <c r="AI6622" s="492">
        <v>1.7000000000000001E-2</v>
      </c>
      <c r="AJ6622" s="485"/>
    </row>
    <row r="6623" spans="2:36">
      <c r="B6623" s="136" t="s">
        <v>457</v>
      </c>
      <c r="C6623" s="132" t="s">
        <v>1370</v>
      </c>
      <c r="D6623" s="132" t="s">
        <v>1380</v>
      </c>
      <c r="E6623" s="508">
        <v>1.2999999999999999E-2</v>
      </c>
      <c r="F6623" s="508">
        <v>1.2999999999999999E-2</v>
      </c>
      <c r="G6623" s="508">
        <v>1.2999999999999999E-2</v>
      </c>
      <c r="H6623" s="508">
        <v>1.2999999999999999E-2</v>
      </c>
      <c r="I6623" s="508">
        <v>1.0999999999999999E-2</v>
      </c>
      <c r="J6623" s="508">
        <v>1.2999999999999999E-2</v>
      </c>
      <c r="K6623" s="508">
        <v>1.2E-2</v>
      </c>
      <c r="L6623" s="508">
        <v>1.2999999999999999E-2</v>
      </c>
      <c r="M6623" s="508">
        <v>1.2999999999999999E-2</v>
      </c>
      <c r="N6623" s="508">
        <v>1.2999999999999999E-2</v>
      </c>
      <c r="O6623" s="508">
        <v>1.2E-2</v>
      </c>
      <c r="P6623" s="508">
        <v>1.4E-2</v>
      </c>
      <c r="Q6623" s="508">
        <v>1.4E-2</v>
      </c>
      <c r="R6623" s="508">
        <v>1.4E-2</v>
      </c>
      <c r="S6623" s="508">
        <v>1.2999999999999999E-2</v>
      </c>
      <c r="T6623" s="508">
        <v>1.2999999999999999E-2</v>
      </c>
      <c r="U6623" s="508">
        <v>1.4E-2</v>
      </c>
      <c r="V6623" s="508">
        <v>1.4E-2</v>
      </c>
      <c r="W6623" s="508">
        <v>1.4E-2</v>
      </c>
      <c r="X6623" s="508">
        <v>1.4E-2</v>
      </c>
      <c r="Y6623" s="508">
        <v>1.4E-2</v>
      </c>
      <c r="Z6623" s="508">
        <v>1.4E-2</v>
      </c>
      <c r="AA6623" s="508">
        <v>1.4E-2</v>
      </c>
      <c r="AB6623" s="508">
        <v>1.4E-2</v>
      </c>
      <c r="AC6623" s="508">
        <v>1.4E-2</v>
      </c>
      <c r="AD6623" s="508">
        <v>1.4E-2</v>
      </c>
      <c r="AE6623" s="508">
        <v>1.4E-2</v>
      </c>
      <c r="AF6623" s="508">
        <v>1.4E-2</v>
      </c>
      <c r="AG6623" s="508">
        <v>1.4E-2</v>
      </c>
      <c r="AH6623" s="508">
        <v>1.4E-2</v>
      </c>
      <c r="AI6623" s="492">
        <v>1.4E-2</v>
      </c>
      <c r="AJ6623" s="485"/>
    </row>
    <row r="6624" spans="2:36">
      <c r="B6624" s="136" t="s">
        <v>458</v>
      </c>
      <c r="C6624" s="132" t="s">
        <v>1370</v>
      </c>
      <c r="D6624" s="132" t="s">
        <v>1380</v>
      </c>
      <c r="E6624" s="508">
        <v>1.6E-2</v>
      </c>
      <c r="F6624" s="508">
        <v>1.6E-2</v>
      </c>
      <c r="G6624" s="508">
        <v>1.4999999999999999E-2</v>
      </c>
      <c r="H6624" s="508">
        <v>1.6E-2</v>
      </c>
      <c r="I6624" s="508">
        <v>1.4E-2</v>
      </c>
      <c r="J6624" s="508">
        <v>1.6E-2</v>
      </c>
      <c r="K6624" s="508">
        <v>1.4E-2</v>
      </c>
      <c r="L6624" s="508">
        <v>1.4999999999999999E-2</v>
      </c>
      <c r="M6624" s="508">
        <v>1.6E-2</v>
      </c>
      <c r="N6624" s="508">
        <v>1.6E-2</v>
      </c>
      <c r="O6624" s="508">
        <v>1.4999999999999999E-2</v>
      </c>
      <c r="P6624" s="508">
        <v>1.7000000000000001E-2</v>
      </c>
      <c r="Q6624" s="508">
        <v>1.7000000000000001E-2</v>
      </c>
      <c r="R6624" s="508">
        <v>1.7000000000000001E-2</v>
      </c>
      <c r="S6624" s="508">
        <v>1.6E-2</v>
      </c>
      <c r="T6624" s="508">
        <v>1.6E-2</v>
      </c>
      <c r="U6624" s="508">
        <v>1.7000000000000001E-2</v>
      </c>
      <c r="V6624" s="508">
        <v>1.7000000000000001E-2</v>
      </c>
      <c r="W6624" s="508">
        <v>1.7000000000000001E-2</v>
      </c>
      <c r="X6624" s="508">
        <v>1.7000000000000001E-2</v>
      </c>
      <c r="Y6624" s="508">
        <v>1.7000000000000001E-2</v>
      </c>
      <c r="Z6624" s="508">
        <v>1.7000000000000001E-2</v>
      </c>
      <c r="AA6624" s="508">
        <v>1.7000000000000001E-2</v>
      </c>
      <c r="AB6624" s="508">
        <v>1.7000000000000001E-2</v>
      </c>
      <c r="AC6624" s="508">
        <v>1.7000000000000001E-2</v>
      </c>
      <c r="AD6624" s="508">
        <v>1.7000000000000001E-2</v>
      </c>
      <c r="AE6624" s="508">
        <v>1.7000000000000001E-2</v>
      </c>
      <c r="AF6624" s="508">
        <v>1.7000000000000001E-2</v>
      </c>
      <c r="AG6624" s="508">
        <v>1.7000000000000001E-2</v>
      </c>
      <c r="AH6624" s="508">
        <v>1.7000000000000001E-2</v>
      </c>
      <c r="AI6624" s="492">
        <v>1.7000000000000001E-2</v>
      </c>
      <c r="AJ6624" s="485"/>
    </row>
    <row r="6625" spans="2:36">
      <c r="B6625" s="136" t="s">
        <v>459</v>
      </c>
      <c r="C6625" s="132" t="s">
        <v>1370</v>
      </c>
      <c r="D6625" s="132" t="s">
        <v>1380</v>
      </c>
      <c r="E6625" s="508">
        <v>1.6E-2</v>
      </c>
      <c r="F6625" s="508">
        <v>1.6E-2</v>
      </c>
      <c r="G6625" s="508">
        <v>1.4999999999999999E-2</v>
      </c>
      <c r="H6625" s="508">
        <v>1.6E-2</v>
      </c>
      <c r="I6625" s="508">
        <v>1.4E-2</v>
      </c>
      <c r="J6625" s="508">
        <v>1.6E-2</v>
      </c>
      <c r="K6625" s="508">
        <v>1.4E-2</v>
      </c>
      <c r="L6625" s="508">
        <v>1.4999999999999999E-2</v>
      </c>
      <c r="M6625" s="508">
        <v>1.6E-2</v>
      </c>
      <c r="N6625" s="508">
        <v>1.6E-2</v>
      </c>
      <c r="O6625" s="508">
        <v>1.4999999999999999E-2</v>
      </c>
      <c r="P6625" s="508">
        <v>1.7000000000000001E-2</v>
      </c>
      <c r="Q6625" s="508">
        <v>1.7000000000000001E-2</v>
      </c>
      <c r="R6625" s="508">
        <v>1.7000000000000001E-2</v>
      </c>
      <c r="S6625" s="508">
        <v>1.6E-2</v>
      </c>
      <c r="T6625" s="508">
        <v>1.4999999999999999E-2</v>
      </c>
      <c r="U6625" s="508">
        <v>1.7000000000000001E-2</v>
      </c>
      <c r="V6625" s="508">
        <v>1.7000000000000001E-2</v>
      </c>
      <c r="W6625" s="508">
        <v>1.7000000000000001E-2</v>
      </c>
      <c r="X6625" s="508">
        <v>1.7000000000000001E-2</v>
      </c>
      <c r="Y6625" s="508">
        <v>1.7000000000000001E-2</v>
      </c>
      <c r="Z6625" s="508">
        <v>1.7000000000000001E-2</v>
      </c>
      <c r="AA6625" s="508">
        <v>1.7000000000000001E-2</v>
      </c>
      <c r="AB6625" s="508">
        <v>1.7000000000000001E-2</v>
      </c>
      <c r="AC6625" s="508">
        <v>1.7000000000000001E-2</v>
      </c>
      <c r="AD6625" s="508">
        <v>1.7000000000000001E-2</v>
      </c>
      <c r="AE6625" s="508">
        <v>1.7000000000000001E-2</v>
      </c>
      <c r="AF6625" s="508">
        <v>1.7000000000000001E-2</v>
      </c>
      <c r="AG6625" s="508">
        <v>1.7000000000000001E-2</v>
      </c>
      <c r="AH6625" s="508">
        <v>1.7000000000000001E-2</v>
      </c>
      <c r="AI6625" s="492">
        <v>1.7000000000000001E-2</v>
      </c>
      <c r="AJ6625" s="485"/>
    </row>
    <row r="6626" spans="2:36">
      <c r="B6626" s="136" t="s">
        <v>460</v>
      </c>
      <c r="C6626" s="132" t="s">
        <v>1370</v>
      </c>
      <c r="D6626" s="132" t="s">
        <v>1380</v>
      </c>
      <c r="E6626" s="508">
        <v>1.6E-2</v>
      </c>
      <c r="F6626" s="508">
        <v>1.6E-2</v>
      </c>
      <c r="G6626" s="508">
        <v>1.6E-2</v>
      </c>
      <c r="H6626" s="508">
        <v>1.6E-2</v>
      </c>
      <c r="I6626" s="508">
        <v>1.4E-2</v>
      </c>
      <c r="J6626" s="508">
        <v>1.6E-2</v>
      </c>
      <c r="K6626" s="508">
        <v>1.4E-2</v>
      </c>
      <c r="L6626" s="508">
        <v>1.6E-2</v>
      </c>
      <c r="M6626" s="508">
        <v>1.6E-2</v>
      </c>
      <c r="N6626" s="508">
        <v>1.6E-2</v>
      </c>
      <c r="O6626" s="508">
        <v>1.4999999999999999E-2</v>
      </c>
      <c r="P6626" s="508">
        <v>1.7000000000000001E-2</v>
      </c>
      <c r="Q6626" s="508">
        <v>1.7000000000000001E-2</v>
      </c>
      <c r="R6626" s="508">
        <v>1.7000000000000001E-2</v>
      </c>
      <c r="S6626" s="508">
        <v>1.7000000000000001E-2</v>
      </c>
      <c r="T6626" s="508">
        <v>1.6E-2</v>
      </c>
      <c r="U6626" s="508">
        <v>1.7000000000000001E-2</v>
      </c>
      <c r="V6626" s="508">
        <v>1.7000000000000001E-2</v>
      </c>
      <c r="W6626" s="508">
        <v>1.7000000000000001E-2</v>
      </c>
      <c r="X6626" s="508">
        <v>1.7000000000000001E-2</v>
      </c>
      <c r="Y6626" s="508">
        <v>1.7000000000000001E-2</v>
      </c>
      <c r="Z6626" s="508">
        <v>1.7000000000000001E-2</v>
      </c>
      <c r="AA6626" s="508">
        <v>1.7000000000000001E-2</v>
      </c>
      <c r="AB6626" s="508">
        <v>1.7000000000000001E-2</v>
      </c>
      <c r="AC6626" s="508">
        <v>1.7000000000000001E-2</v>
      </c>
      <c r="AD6626" s="508">
        <v>1.7000000000000001E-2</v>
      </c>
      <c r="AE6626" s="508">
        <v>1.7000000000000001E-2</v>
      </c>
      <c r="AF6626" s="508">
        <v>1.7000000000000001E-2</v>
      </c>
      <c r="AG6626" s="508">
        <v>1.7000000000000001E-2</v>
      </c>
      <c r="AH6626" s="508">
        <v>1.7000000000000001E-2</v>
      </c>
      <c r="AI6626" s="492">
        <v>1.7000000000000001E-2</v>
      </c>
      <c r="AJ6626" s="485"/>
    </row>
    <row r="6627" spans="2:36">
      <c r="B6627" s="136" t="s">
        <v>461</v>
      </c>
      <c r="C6627" s="132" t="s">
        <v>1370</v>
      </c>
      <c r="D6627" s="132" t="s">
        <v>1380</v>
      </c>
      <c r="E6627" s="508">
        <v>1.6E-2</v>
      </c>
      <c r="F6627" s="508">
        <v>1.6E-2</v>
      </c>
      <c r="G6627" s="508">
        <v>1.4999999999999999E-2</v>
      </c>
      <c r="H6627" s="508">
        <v>1.6E-2</v>
      </c>
      <c r="I6627" s="508">
        <v>1.4E-2</v>
      </c>
      <c r="J6627" s="508">
        <v>1.6E-2</v>
      </c>
      <c r="K6627" s="508">
        <v>1.4E-2</v>
      </c>
      <c r="L6627" s="508">
        <v>1.4999999999999999E-2</v>
      </c>
      <c r="M6627" s="508">
        <v>1.6E-2</v>
      </c>
      <c r="N6627" s="508">
        <v>1.6E-2</v>
      </c>
      <c r="O6627" s="508">
        <v>1.4999999999999999E-2</v>
      </c>
      <c r="P6627" s="508">
        <v>1.6E-2</v>
      </c>
      <c r="Q6627" s="508">
        <v>1.7000000000000001E-2</v>
      </c>
      <c r="R6627" s="508">
        <v>1.6E-2</v>
      </c>
      <c r="S6627" s="508">
        <v>1.6E-2</v>
      </c>
      <c r="T6627" s="508">
        <v>1.4999999999999999E-2</v>
      </c>
      <c r="U6627" s="508">
        <v>1.7000000000000001E-2</v>
      </c>
      <c r="V6627" s="508">
        <v>1.7000000000000001E-2</v>
      </c>
      <c r="W6627" s="508">
        <v>1.7000000000000001E-2</v>
      </c>
      <c r="X6627" s="508">
        <v>1.7000000000000001E-2</v>
      </c>
      <c r="Y6627" s="508">
        <v>1.7000000000000001E-2</v>
      </c>
      <c r="Z6627" s="508">
        <v>1.7000000000000001E-2</v>
      </c>
      <c r="AA6627" s="508">
        <v>1.7000000000000001E-2</v>
      </c>
      <c r="AB6627" s="508">
        <v>1.7000000000000001E-2</v>
      </c>
      <c r="AC6627" s="508">
        <v>1.7000000000000001E-2</v>
      </c>
      <c r="AD6627" s="508">
        <v>1.7000000000000001E-2</v>
      </c>
      <c r="AE6627" s="508">
        <v>1.7000000000000001E-2</v>
      </c>
      <c r="AF6627" s="508">
        <v>1.7000000000000001E-2</v>
      </c>
      <c r="AG6627" s="508">
        <v>1.7000000000000001E-2</v>
      </c>
      <c r="AH6627" s="508">
        <v>1.7000000000000001E-2</v>
      </c>
      <c r="AI6627" s="492">
        <v>1.7000000000000001E-2</v>
      </c>
      <c r="AJ6627" s="485"/>
    </row>
    <row r="6628" spans="2:36">
      <c r="B6628" s="136" t="s">
        <v>462</v>
      </c>
      <c r="C6628" s="132" t="s">
        <v>1370</v>
      </c>
      <c r="D6628" s="132" t="s">
        <v>1380</v>
      </c>
      <c r="E6628" s="508">
        <v>1.4999999999999999E-2</v>
      </c>
      <c r="F6628" s="508">
        <v>1.4999999999999999E-2</v>
      </c>
      <c r="G6628" s="508">
        <v>1.4999999999999999E-2</v>
      </c>
      <c r="H6628" s="508">
        <v>1.4999999999999999E-2</v>
      </c>
      <c r="I6628" s="508">
        <v>1.2999999999999999E-2</v>
      </c>
      <c r="J6628" s="508">
        <v>1.4999999999999999E-2</v>
      </c>
      <c r="K6628" s="508">
        <v>1.4E-2</v>
      </c>
      <c r="L6628" s="508">
        <v>1.4999999999999999E-2</v>
      </c>
      <c r="M6628" s="508">
        <v>1.4999999999999999E-2</v>
      </c>
      <c r="N6628" s="508">
        <v>1.4999999999999999E-2</v>
      </c>
      <c r="O6628" s="508">
        <v>1.4E-2</v>
      </c>
      <c r="P6628" s="508">
        <v>1.6E-2</v>
      </c>
      <c r="Q6628" s="508">
        <v>1.6E-2</v>
      </c>
      <c r="R6628" s="508">
        <v>1.6E-2</v>
      </c>
      <c r="S6628" s="508">
        <v>1.6E-2</v>
      </c>
      <c r="T6628" s="508">
        <v>1.4999999999999999E-2</v>
      </c>
      <c r="U6628" s="508">
        <v>1.6E-2</v>
      </c>
      <c r="V6628" s="508">
        <v>1.6E-2</v>
      </c>
      <c r="W6628" s="508">
        <v>1.6E-2</v>
      </c>
      <c r="X6628" s="508">
        <v>1.6E-2</v>
      </c>
      <c r="Y6628" s="508">
        <v>1.6E-2</v>
      </c>
      <c r="Z6628" s="508">
        <v>1.6E-2</v>
      </c>
      <c r="AA6628" s="508">
        <v>1.6E-2</v>
      </c>
      <c r="AB6628" s="508">
        <v>1.6E-2</v>
      </c>
      <c r="AC6628" s="508">
        <v>1.6E-2</v>
      </c>
      <c r="AD6628" s="508">
        <v>1.6E-2</v>
      </c>
      <c r="AE6628" s="508">
        <v>1.6E-2</v>
      </c>
      <c r="AF6628" s="508">
        <v>1.6E-2</v>
      </c>
      <c r="AG6628" s="508">
        <v>1.6E-2</v>
      </c>
      <c r="AH6628" s="508">
        <v>1.6E-2</v>
      </c>
      <c r="AI6628" s="492">
        <v>1.6E-2</v>
      </c>
      <c r="AJ6628" s="485"/>
    </row>
    <row r="6629" spans="2:36">
      <c r="B6629" s="136" t="s">
        <v>463</v>
      </c>
      <c r="C6629" s="132" t="s">
        <v>1370</v>
      </c>
      <c r="D6629" s="132" t="s">
        <v>1380</v>
      </c>
      <c r="E6629" s="508">
        <v>1.4E-2</v>
      </c>
      <c r="F6629" s="508">
        <v>1.2999999999999999E-2</v>
      </c>
      <c r="G6629" s="508">
        <v>1.2999999999999999E-2</v>
      </c>
      <c r="H6629" s="508">
        <v>1.2999999999999999E-2</v>
      </c>
      <c r="I6629" s="508">
        <v>1.0999999999999999E-2</v>
      </c>
      <c r="J6629" s="508">
        <v>1.2999999999999999E-2</v>
      </c>
      <c r="K6629" s="508">
        <v>1.2E-2</v>
      </c>
      <c r="L6629" s="508">
        <v>1.2999999999999999E-2</v>
      </c>
      <c r="M6629" s="508">
        <v>1.2999999999999999E-2</v>
      </c>
      <c r="N6629" s="508">
        <v>1.2999999999999999E-2</v>
      </c>
      <c r="O6629" s="508">
        <v>1.2999999999999999E-2</v>
      </c>
      <c r="P6629" s="508">
        <v>1.4E-2</v>
      </c>
      <c r="Q6629" s="508">
        <v>1.4E-2</v>
      </c>
      <c r="R6629" s="508">
        <v>1.4E-2</v>
      </c>
      <c r="S6629" s="508">
        <v>1.4E-2</v>
      </c>
      <c r="T6629" s="508">
        <v>1.2999999999999999E-2</v>
      </c>
      <c r="U6629" s="508">
        <v>1.4E-2</v>
      </c>
      <c r="V6629" s="508">
        <v>1.4E-2</v>
      </c>
      <c r="W6629" s="508">
        <v>1.4E-2</v>
      </c>
      <c r="X6629" s="508">
        <v>1.4E-2</v>
      </c>
      <c r="Y6629" s="508">
        <v>1.4E-2</v>
      </c>
      <c r="Z6629" s="508">
        <v>1.4E-2</v>
      </c>
      <c r="AA6629" s="508">
        <v>1.4E-2</v>
      </c>
      <c r="AB6629" s="508">
        <v>1.4E-2</v>
      </c>
      <c r="AC6629" s="508">
        <v>1.4E-2</v>
      </c>
      <c r="AD6629" s="508">
        <v>1.4E-2</v>
      </c>
      <c r="AE6629" s="508">
        <v>1.4E-2</v>
      </c>
      <c r="AF6629" s="508">
        <v>1.4E-2</v>
      </c>
      <c r="AG6629" s="508">
        <v>1.4E-2</v>
      </c>
      <c r="AH6629" s="508">
        <v>1.4E-2</v>
      </c>
      <c r="AI6629" s="492">
        <v>1.4E-2</v>
      </c>
      <c r="AJ6629" s="485"/>
    </row>
    <row r="6630" spans="2:36">
      <c r="B6630" s="136" t="s">
        <v>464</v>
      </c>
      <c r="C6630" s="132" t="s">
        <v>1370</v>
      </c>
      <c r="D6630" s="132" t="s">
        <v>1380</v>
      </c>
      <c r="E6630" s="508">
        <v>1.2999999999999999E-2</v>
      </c>
      <c r="F6630" s="508">
        <v>1.2999999999999999E-2</v>
      </c>
      <c r="G6630" s="508">
        <v>1.2E-2</v>
      </c>
      <c r="H6630" s="508">
        <v>1.2999999999999999E-2</v>
      </c>
      <c r="I6630" s="508">
        <v>1.0999999999999999E-2</v>
      </c>
      <c r="J6630" s="508">
        <v>1.2999999999999999E-2</v>
      </c>
      <c r="K6630" s="508">
        <v>1.0999999999999999E-2</v>
      </c>
      <c r="L6630" s="508">
        <v>1.2E-2</v>
      </c>
      <c r="M6630" s="508">
        <v>1.2999999999999999E-2</v>
      </c>
      <c r="N6630" s="508">
        <v>1.2999999999999999E-2</v>
      </c>
      <c r="O6630" s="508">
        <v>1.2E-2</v>
      </c>
      <c r="P6630" s="508">
        <v>1.2999999999999999E-2</v>
      </c>
      <c r="Q6630" s="508">
        <v>1.2999999999999999E-2</v>
      </c>
      <c r="R6630" s="508">
        <v>1.2999999999999999E-2</v>
      </c>
      <c r="S6630" s="508">
        <v>1.2999999999999999E-2</v>
      </c>
      <c r="T6630" s="508">
        <v>1.2E-2</v>
      </c>
      <c r="U6630" s="508">
        <v>1.4E-2</v>
      </c>
      <c r="V6630" s="508">
        <v>1.4E-2</v>
      </c>
      <c r="W6630" s="508">
        <v>1.4E-2</v>
      </c>
      <c r="X6630" s="508">
        <v>1.4E-2</v>
      </c>
      <c r="Y6630" s="508">
        <v>1.4E-2</v>
      </c>
      <c r="Z6630" s="508">
        <v>1.4E-2</v>
      </c>
      <c r="AA6630" s="508">
        <v>1.4E-2</v>
      </c>
      <c r="AB6630" s="508">
        <v>1.4E-2</v>
      </c>
      <c r="AC6630" s="508">
        <v>1.4E-2</v>
      </c>
      <c r="AD6630" s="508">
        <v>1.4E-2</v>
      </c>
      <c r="AE6630" s="508">
        <v>1.4E-2</v>
      </c>
      <c r="AF6630" s="508">
        <v>1.4E-2</v>
      </c>
      <c r="AG6630" s="508">
        <v>1.4E-2</v>
      </c>
      <c r="AH6630" s="508">
        <v>1.4E-2</v>
      </c>
      <c r="AI6630" s="492">
        <v>1.4E-2</v>
      </c>
      <c r="AJ6630" s="485"/>
    </row>
    <row r="6631" spans="2:36">
      <c r="B6631" s="136" t="s">
        <v>465</v>
      </c>
      <c r="C6631" s="132" t="s">
        <v>1370</v>
      </c>
      <c r="D6631" s="132" t="s">
        <v>1380</v>
      </c>
      <c r="E6631" s="508">
        <v>1.4E-2</v>
      </c>
      <c r="F6631" s="508">
        <v>1.2999999999999999E-2</v>
      </c>
      <c r="G6631" s="508">
        <v>1.2999999999999999E-2</v>
      </c>
      <c r="H6631" s="508">
        <v>1.2999999999999999E-2</v>
      </c>
      <c r="I6631" s="508">
        <v>1.2E-2</v>
      </c>
      <c r="J6631" s="508">
        <v>1.2999999999999999E-2</v>
      </c>
      <c r="K6631" s="508">
        <v>1.2E-2</v>
      </c>
      <c r="L6631" s="508">
        <v>1.2999999999999999E-2</v>
      </c>
      <c r="M6631" s="508">
        <v>1.2999999999999999E-2</v>
      </c>
      <c r="N6631" s="508">
        <v>1.2999999999999999E-2</v>
      </c>
      <c r="O6631" s="508">
        <v>1.2999999999999999E-2</v>
      </c>
      <c r="P6631" s="508">
        <v>1.4E-2</v>
      </c>
      <c r="Q6631" s="508">
        <v>1.4E-2</v>
      </c>
      <c r="R6631" s="508">
        <v>1.4E-2</v>
      </c>
      <c r="S6631" s="508">
        <v>1.4E-2</v>
      </c>
      <c r="T6631" s="508">
        <v>1.2999999999999999E-2</v>
      </c>
      <c r="U6631" s="508">
        <v>1.4E-2</v>
      </c>
      <c r="V6631" s="508">
        <v>1.4E-2</v>
      </c>
      <c r="W6631" s="508">
        <v>1.4E-2</v>
      </c>
      <c r="X6631" s="508">
        <v>1.4E-2</v>
      </c>
      <c r="Y6631" s="508">
        <v>1.4E-2</v>
      </c>
      <c r="Z6631" s="508">
        <v>1.4E-2</v>
      </c>
      <c r="AA6631" s="508">
        <v>1.4E-2</v>
      </c>
      <c r="AB6631" s="508">
        <v>1.4E-2</v>
      </c>
      <c r="AC6631" s="508">
        <v>1.4E-2</v>
      </c>
      <c r="AD6631" s="508">
        <v>1.4E-2</v>
      </c>
      <c r="AE6631" s="508">
        <v>1.4E-2</v>
      </c>
      <c r="AF6631" s="508">
        <v>1.4E-2</v>
      </c>
      <c r="AG6631" s="508">
        <v>1.4E-2</v>
      </c>
      <c r="AH6631" s="508">
        <v>1.4E-2</v>
      </c>
      <c r="AI6631" s="492">
        <v>1.4E-2</v>
      </c>
      <c r="AJ6631" s="485"/>
    </row>
    <row r="6632" spans="2:36">
      <c r="B6632" s="136" t="s">
        <v>466</v>
      </c>
      <c r="C6632" s="132" t="s">
        <v>1370</v>
      </c>
      <c r="D6632" s="132" t="s">
        <v>1380</v>
      </c>
      <c r="E6632" s="508">
        <v>1.7999999999999999E-2</v>
      </c>
      <c r="F6632" s="508">
        <v>1.7999999999999999E-2</v>
      </c>
      <c r="G6632" s="508">
        <v>1.7000000000000001E-2</v>
      </c>
      <c r="H6632" s="508">
        <v>1.7999999999999999E-2</v>
      </c>
      <c r="I6632" s="508">
        <v>1.4999999999999999E-2</v>
      </c>
      <c r="J6632" s="508">
        <v>1.7999999999999999E-2</v>
      </c>
      <c r="K6632" s="508">
        <v>1.6E-2</v>
      </c>
      <c r="L6632" s="508">
        <v>1.7000000000000001E-2</v>
      </c>
      <c r="M6632" s="508">
        <v>1.7999999999999999E-2</v>
      </c>
      <c r="N6632" s="508">
        <v>1.7999999999999999E-2</v>
      </c>
      <c r="O6632" s="508">
        <v>1.7000000000000001E-2</v>
      </c>
      <c r="P6632" s="508">
        <v>1.9E-2</v>
      </c>
      <c r="Q6632" s="508">
        <v>1.9E-2</v>
      </c>
      <c r="R6632" s="508">
        <v>1.9E-2</v>
      </c>
      <c r="S6632" s="508">
        <v>1.9E-2</v>
      </c>
      <c r="T6632" s="508">
        <v>1.7000000000000001E-2</v>
      </c>
      <c r="U6632" s="508">
        <v>1.9E-2</v>
      </c>
      <c r="V6632" s="508">
        <v>1.9E-2</v>
      </c>
      <c r="W6632" s="508">
        <v>0.02</v>
      </c>
      <c r="X6632" s="508">
        <v>1.9E-2</v>
      </c>
      <c r="Y6632" s="508">
        <v>1.9E-2</v>
      </c>
      <c r="Z6632" s="508">
        <v>0.02</v>
      </c>
      <c r="AA6632" s="508">
        <v>1.9E-2</v>
      </c>
      <c r="AB6632" s="508">
        <v>1.9E-2</v>
      </c>
      <c r="AC6632" s="508">
        <v>0.02</v>
      </c>
      <c r="AD6632" s="508">
        <v>0.02</v>
      </c>
      <c r="AE6632" s="508">
        <v>1.9E-2</v>
      </c>
      <c r="AF6632" s="508">
        <v>1.9E-2</v>
      </c>
      <c r="AG6632" s="508">
        <v>1.9E-2</v>
      </c>
      <c r="AH6632" s="508">
        <v>1.9E-2</v>
      </c>
      <c r="AI6632" s="492">
        <v>1.9E-2</v>
      </c>
      <c r="AJ6632" s="485"/>
    </row>
    <row r="6633" spans="2:36">
      <c r="B6633" s="136" t="s">
        <v>467</v>
      </c>
      <c r="C6633" s="132" t="s">
        <v>1370</v>
      </c>
      <c r="D6633" s="132" t="s">
        <v>1380</v>
      </c>
      <c r="E6633" s="508">
        <v>1.6E-2</v>
      </c>
      <c r="F6633" s="508">
        <v>1.6E-2</v>
      </c>
      <c r="G6633" s="508">
        <v>1.4999999999999999E-2</v>
      </c>
      <c r="H6633" s="508">
        <v>1.4999999999999999E-2</v>
      </c>
      <c r="I6633" s="508">
        <v>1.2999999999999999E-2</v>
      </c>
      <c r="J6633" s="508">
        <v>1.4999999999999999E-2</v>
      </c>
      <c r="K6633" s="508">
        <v>1.4E-2</v>
      </c>
      <c r="L6633" s="508">
        <v>1.4999999999999999E-2</v>
      </c>
      <c r="M6633" s="508">
        <v>1.6E-2</v>
      </c>
      <c r="N6633" s="508">
        <v>1.4999999999999999E-2</v>
      </c>
      <c r="O6633" s="508">
        <v>1.4999999999999999E-2</v>
      </c>
      <c r="P6633" s="508">
        <v>1.6E-2</v>
      </c>
      <c r="Q6633" s="508">
        <v>1.6E-2</v>
      </c>
      <c r="R6633" s="508">
        <v>1.6E-2</v>
      </c>
      <c r="S6633" s="508">
        <v>1.6E-2</v>
      </c>
      <c r="T6633" s="508">
        <v>1.4999999999999999E-2</v>
      </c>
      <c r="U6633" s="508">
        <v>1.6E-2</v>
      </c>
      <c r="V6633" s="508">
        <v>1.7000000000000001E-2</v>
      </c>
      <c r="W6633" s="508">
        <v>1.7000000000000001E-2</v>
      </c>
      <c r="X6633" s="508">
        <v>1.7000000000000001E-2</v>
      </c>
      <c r="Y6633" s="508">
        <v>1.7000000000000001E-2</v>
      </c>
      <c r="Z6633" s="508">
        <v>1.7000000000000001E-2</v>
      </c>
      <c r="AA6633" s="508">
        <v>1.7000000000000001E-2</v>
      </c>
      <c r="AB6633" s="508">
        <v>1.7000000000000001E-2</v>
      </c>
      <c r="AC6633" s="508">
        <v>1.7000000000000001E-2</v>
      </c>
      <c r="AD6633" s="508">
        <v>1.7000000000000001E-2</v>
      </c>
      <c r="AE6633" s="508">
        <v>1.7000000000000001E-2</v>
      </c>
      <c r="AF6633" s="508">
        <v>1.7000000000000001E-2</v>
      </c>
      <c r="AG6633" s="508">
        <v>1.7000000000000001E-2</v>
      </c>
      <c r="AH6633" s="508">
        <v>1.7000000000000001E-2</v>
      </c>
      <c r="AI6633" s="492">
        <v>1.7000000000000001E-2</v>
      </c>
      <c r="AJ6633" s="485"/>
    </row>
    <row r="6634" spans="2:36">
      <c r="B6634" s="136" t="s">
        <v>468</v>
      </c>
      <c r="C6634" s="132" t="s">
        <v>1370</v>
      </c>
      <c r="D6634" s="132" t="s">
        <v>1380</v>
      </c>
      <c r="E6634" s="508">
        <v>1.2E-2</v>
      </c>
      <c r="F6634" s="508">
        <v>1.2E-2</v>
      </c>
      <c r="G6634" s="508">
        <v>1.2E-2</v>
      </c>
      <c r="H6634" s="508">
        <v>1.2E-2</v>
      </c>
      <c r="I6634" s="508">
        <v>0.01</v>
      </c>
      <c r="J6634" s="508">
        <v>1.2E-2</v>
      </c>
      <c r="K6634" s="508">
        <v>1.0999999999999999E-2</v>
      </c>
      <c r="L6634" s="508">
        <v>1.2E-2</v>
      </c>
      <c r="M6634" s="508">
        <v>1.2E-2</v>
      </c>
      <c r="N6634" s="508">
        <v>1.2E-2</v>
      </c>
      <c r="O6634" s="508">
        <v>1.0999999999999999E-2</v>
      </c>
      <c r="P6634" s="508">
        <v>1.2E-2</v>
      </c>
      <c r="Q6634" s="508">
        <v>1.2999999999999999E-2</v>
      </c>
      <c r="R6634" s="508">
        <v>1.2E-2</v>
      </c>
      <c r="S6634" s="508">
        <v>1.2E-2</v>
      </c>
      <c r="T6634" s="508">
        <v>1.2E-2</v>
      </c>
      <c r="U6634" s="508">
        <v>1.2999999999999999E-2</v>
      </c>
      <c r="V6634" s="508">
        <v>1.2999999999999999E-2</v>
      </c>
      <c r="W6634" s="508">
        <v>1.2999999999999999E-2</v>
      </c>
      <c r="X6634" s="508">
        <v>1.2999999999999999E-2</v>
      </c>
      <c r="Y6634" s="508">
        <v>1.2999999999999999E-2</v>
      </c>
      <c r="Z6634" s="508">
        <v>1.2999999999999999E-2</v>
      </c>
      <c r="AA6634" s="508">
        <v>1.2999999999999999E-2</v>
      </c>
      <c r="AB6634" s="508">
        <v>1.2999999999999999E-2</v>
      </c>
      <c r="AC6634" s="508">
        <v>1.2999999999999999E-2</v>
      </c>
      <c r="AD6634" s="508">
        <v>1.2999999999999999E-2</v>
      </c>
      <c r="AE6634" s="508">
        <v>1.2999999999999999E-2</v>
      </c>
      <c r="AF6634" s="508">
        <v>1.2999999999999999E-2</v>
      </c>
      <c r="AG6634" s="508">
        <v>1.2999999999999999E-2</v>
      </c>
      <c r="AH6634" s="508">
        <v>1.2999999999999999E-2</v>
      </c>
      <c r="AI6634" s="492">
        <v>1.2999999999999999E-2</v>
      </c>
      <c r="AJ6634" s="485"/>
    </row>
    <row r="6635" spans="2:36">
      <c r="B6635" s="136" t="s">
        <v>469</v>
      </c>
      <c r="C6635" s="132" t="s">
        <v>1370</v>
      </c>
      <c r="D6635" s="132" t="s">
        <v>1380</v>
      </c>
      <c r="E6635" s="508">
        <v>1.4E-2</v>
      </c>
      <c r="F6635" s="508">
        <v>1.4E-2</v>
      </c>
      <c r="G6635" s="508">
        <v>1.2999999999999999E-2</v>
      </c>
      <c r="H6635" s="508">
        <v>1.4E-2</v>
      </c>
      <c r="I6635" s="508">
        <v>1.2E-2</v>
      </c>
      <c r="J6635" s="508">
        <v>1.4E-2</v>
      </c>
      <c r="K6635" s="508">
        <v>1.2999999999999999E-2</v>
      </c>
      <c r="L6635" s="508">
        <v>1.2999999999999999E-2</v>
      </c>
      <c r="M6635" s="508">
        <v>1.4E-2</v>
      </c>
      <c r="N6635" s="508">
        <v>1.4E-2</v>
      </c>
      <c r="O6635" s="508">
        <v>1.2999999999999999E-2</v>
      </c>
      <c r="P6635" s="508">
        <v>1.4999999999999999E-2</v>
      </c>
      <c r="Q6635" s="508">
        <v>1.4999999999999999E-2</v>
      </c>
      <c r="R6635" s="508">
        <v>1.4999999999999999E-2</v>
      </c>
      <c r="S6635" s="508">
        <v>1.4E-2</v>
      </c>
      <c r="T6635" s="508">
        <v>1.4E-2</v>
      </c>
      <c r="U6635" s="508">
        <v>1.4999999999999999E-2</v>
      </c>
      <c r="V6635" s="508">
        <v>1.4999999999999999E-2</v>
      </c>
      <c r="W6635" s="508">
        <v>1.4999999999999999E-2</v>
      </c>
      <c r="X6635" s="508">
        <v>1.4999999999999999E-2</v>
      </c>
      <c r="Y6635" s="508">
        <v>1.4999999999999999E-2</v>
      </c>
      <c r="Z6635" s="508">
        <v>1.4999999999999999E-2</v>
      </c>
      <c r="AA6635" s="508">
        <v>1.4999999999999999E-2</v>
      </c>
      <c r="AB6635" s="508">
        <v>1.4999999999999999E-2</v>
      </c>
      <c r="AC6635" s="508">
        <v>1.4999999999999999E-2</v>
      </c>
      <c r="AD6635" s="508">
        <v>1.4999999999999999E-2</v>
      </c>
      <c r="AE6635" s="508">
        <v>1.4999999999999999E-2</v>
      </c>
      <c r="AF6635" s="508">
        <v>1.4999999999999999E-2</v>
      </c>
      <c r="AG6635" s="508">
        <v>1.4999999999999999E-2</v>
      </c>
      <c r="AH6635" s="508">
        <v>1.4999999999999999E-2</v>
      </c>
      <c r="AI6635" s="492">
        <v>1.4999999999999999E-2</v>
      </c>
      <c r="AJ6635" s="485"/>
    </row>
    <row r="6636" spans="2:36">
      <c r="B6636" s="136" t="s">
        <v>470</v>
      </c>
      <c r="C6636" s="132" t="s">
        <v>1370</v>
      </c>
      <c r="D6636" s="132" t="s">
        <v>1380</v>
      </c>
      <c r="E6636" s="508">
        <v>1.7999999999999999E-2</v>
      </c>
      <c r="F6636" s="508">
        <v>1.7000000000000001E-2</v>
      </c>
      <c r="G6636" s="508">
        <v>1.7000000000000001E-2</v>
      </c>
      <c r="H6636" s="508">
        <v>1.7000000000000001E-2</v>
      </c>
      <c r="I6636" s="508">
        <v>1.4999999999999999E-2</v>
      </c>
      <c r="J6636" s="508">
        <v>1.7000000000000001E-2</v>
      </c>
      <c r="K6636" s="508">
        <v>1.6E-2</v>
      </c>
      <c r="L6636" s="508">
        <v>1.7000000000000001E-2</v>
      </c>
      <c r="M6636" s="508">
        <v>1.7000000000000001E-2</v>
      </c>
      <c r="N6636" s="508">
        <v>1.7000000000000001E-2</v>
      </c>
      <c r="O6636" s="508">
        <v>1.6E-2</v>
      </c>
      <c r="P6636" s="508">
        <v>1.7999999999999999E-2</v>
      </c>
      <c r="Q6636" s="508">
        <v>1.7999999999999999E-2</v>
      </c>
      <c r="R6636" s="508">
        <v>1.7999999999999999E-2</v>
      </c>
      <c r="S6636" s="508">
        <v>1.7999999999999999E-2</v>
      </c>
      <c r="T6636" s="508">
        <v>1.7000000000000001E-2</v>
      </c>
      <c r="U6636" s="508">
        <v>1.7999999999999999E-2</v>
      </c>
      <c r="V6636" s="508">
        <v>1.9E-2</v>
      </c>
      <c r="W6636" s="508">
        <v>1.9E-2</v>
      </c>
      <c r="X6636" s="508">
        <v>1.9E-2</v>
      </c>
      <c r="Y6636" s="508">
        <v>1.9E-2</v>
      </c>
      <c r="Z6636" s="508">
        <v>1.9E-2</v>
      </c>
      <c r="AA6636" s="508">
        <v>1.9E-2</v>
      </c>
      <c r="AB6636" s="508">
        <v>1.9E-2</v>
      </c>
      <c r="AC6636" s="508">
        <v>1.9E-2</v>
      </c>
      <c r="AD6636" s="508">
        <v>1.9E-2</v>
      </c>
      <c r="AE6636" s="508">
        <v>1.9E-2</v>
      </c>
      <c r="AF6636" s="508">
        <v>1.9E-2</v>
      </c>
      <c r="AG6636" s="508">
        <v>1.9E-2</v>
      </c>
      <c r="AH6636" s="508">
        <v>1.9E-2</v>
      </c>
      <c r="AI6636" s="492">
        <v>1.9E-2</v>
      </c>
      <c r="AJ6636" s="485"/>
    </row>
    <row r="6637" spans="2:36">
      <c r="B6637" s="136" t="s">
        <v>471</v>
      </c>
      <c r="C6637" s="132" t="s">
        <v>1370</v>
      </c>
      <c r="D6637" s="132" t="s">
        <v>1380</v>
      </c>
      <c r="E6637" s="508">
        <v>1.7000000000000001E-2</v>
      </c>
      <c r="F6637" s="508">
        <v>1.7000000000000001E-2</v>
      </c>
      <c r="G6637" s="508">
        <v>1.6E-2</v>
      </c>
      <c r="H6637" s="508">
        <v>1.7000000000000001E-2</v>
      </c>
      <c r="I6637" s="508">
        <v>1.4E-2</v>
      </c>
      <c r="J6637" s="508">
        <v>1.6E-2</v>
      </c>
      <c r="K6637" s="508">
        <v>1.4999999999999999E-2</v>
      </c>
      <c r="L6637" s="508">
        <v>1.6E-2</v>
      </c>
      <c r="M6637" s="508">
        <v>1.7000000000000001E-2</v>
      </c>
      <c r="N6637" s="508">
        <v>1.7000000000000001E-2</v>
      </c>
      <c r="O6637" s="508">
        <v>1.6E-2</v>
      </c>
      <c r="P6637" s="508">
        <v>1.7000000000000001E-2</v>
      </c>
      <c r="Q6637" s="508">
        <v>1.7000000000000001E-2</v>
      </c>
      <c r="R6637" s="508">
        <v>1.7000000000000001E-2</v>
      </c>
      <c r="S6637" s="508">
        <v>1.7000000000000001E-2</v>
      </c>
      <c r="T6637" s="508">
        <v>1.6E-2</v>
      </c>
      <c r="U6637" s="508">
        <v>1.7999999999999999E-2</v>
      </c>
      <c r="V6637" s="508">
        <v>1.7999999999999999E-2</v>
      </c>
      <c r="W6637" s="508">
        <v>1.7999999999999999E-2</v>
      </c>
      <c r="X6637" s="508">
        <v>1.7999999999999999E-2</v>
      </c>
      <c r="Y6637" s="508">
        <v>1.7999999999999999E-2</v>
      </c>
      <c r="Z6637" s="508">
        <v>1.7999999999999999E-2</v>
      </c>
      <c r="AA6637" s="508">
        <v>1.7999999999999999E-2</v>
      </c>
      <c r="AB6637" s="508">
        <v>1.7999999999999999E-2</v>
      </c>
      <c r="AC6637" s="508">
        <v>1.7999999999999999E-2</v>
      </c>
      <c r="AD6637" s="508">
        <v>1.7999999999999999E-2</v>
      </c>
      <c r="AE6637" s="508">
        <v>1.7999999999999999E-2</v>
      </c>
      <c r="AF6637" s="508">
        <v>1.7999999999999999E-2</v>
      </c>
      <c r="AG6637" s="508">
        <v>1.7999999999999999E-2</v>
      </c>
      <c r="AH6637" s="508">
        <v>1.7999999999999999E-2</v>
      </c>
      <c r="AI6637" s="492">
        <v>1.7999999999999999E-2</v>
      </c>
      <c r="AJ6637" s="485"/>
    </row>
    <row r="6638" spans="2:36">
      <c r="B6638" s="136" t="s">
        <v>472</v>
      </c>
      <c r="C6638" s="132" t="s">
        <v>1370</v>
      </c>
      <c r="D6638" s="132" t="s">
        <v>1380</v>
      </c>
      <c r="E6638" s="508">
        <v>1.2999999999999999E-2</v>
      </c>
      <c r="F6638" s="508">
        <v>1.2999999999999999E-2</v>
      </c>
      <c r="G6638" s="508">
        <v>1.2999999999999999E-2</v>
      </c>
      <c r="H6638" s="508">
        <v>1.2999999999999999E-2</v>
      </c>
      <c r="I6638" s="508">
        <v>1.0999999999999999E-2</v>
      </c>
      <c r="J6638" s="508">
        <v>1.2999999999999999E-2</v>
      </c>
      <c r="K6638" s="508">
        <v>1.2E-2</v>
      </c>
      <c r="L6638" s="508">
        <v>1.2999999999999999E-2</v>
      </c>
      <c r="M6638" s="508">
        <v>1.2999999999999999E-2</v>
      </c>
      <c r="N6638" s="508">
        <v>1.2999999999999999E-2</v>
      </c>
      <c r="O6638" s="508">
        <v>1.2E-2</v>
      </c>
      <c r="P6638" s="508">
        <v>1.4E-2</v>
      </c>
      <c r="Q6638" s="508">
        <v>1.4E-2</v>
      </c>
      <c r="R6638" s="508">
        <v>1.4E-2</v>
      </c>
      <c r="S6638" s="508">
        <v>1.2999999999999999E-2</v>
      </c>
      <c r="T6638" s="508">
        <v>1.2999999999999999E-2</v>
      </c>
      <c r="U6638" s="508">
        <v>1.4E-2</v>
      </c>
      <c r="V6638" s="508">
        <v>1.4E-2</v>
      </c>
      <c r="W6638" s="508">
        <v>1.4E-2</v>
      </c>
      <c r="X6638" s="508">
        <v>1.4E-2</v>
      </c>
      <c r="Y6638" s="508">
        <v>1.4E-2</v>
      </c>
      <c r="Z6638" s="508">
        <v>1.4E-2</v>
      </c>
      <c r="AA6638" s="508">
        <v>1.4E-2</v>
      </c>
      <c r="AB6638" s="508">
        <v>1.4E-2</v>
      </c>
      <c r="AC6638" s="508">
        <v>1.4E-2</v>
      </c>
      <c r="AD6638" s="508">
        <v>1.4E-2</v>
      </c>
      <c r="AE6638" s="508">
        <v>1.4E-2</v>
      </c>
      <c r="AF6638" s="508">
        <v>1.4E-2</v>
      </c>
      <c r="AG6638" s="508">
        <v>1.4E-2</v>
      </c>
      <c r="AH6638" s="508">
        <v>1.4E-2</v>
      </c>
      <c r="AI6638" s="492">
        <v>1.4E-2</v>
      </c>
      <c r="AJ6638" s="485"/>
    </row>
    <row r="6639" spans="2:36">
      <c r="B6639" s="136" t="s">
        <v>473</v>
      </c>
      <c r="C6639" s="132" t="s">
        <v>1370</v>
      </c>
      <c r="D6639" s="132" t="s">
        <v>1380</v>
      </c>
      <c r="E6639" s="508">
        <v>1.7999999999999999E-2</v>
      </c>
      <c r="F6639" s="508">
        <v>1.7999999999999999E-2</v>
      </c>
      <c r="G6639" s="508">
        <v>1.7000000000000001E-2</v>
      </c>
      <c r="H6639" s="508">
        <v>1.7999999999999999E-2</v>
      </c>
      <c r="I6639" s="508">
        <v>1.4999999999999999E-2</v>
      </c>
      <c r="J6639" s="508">
        <v>1.7000000000000001E-2</v>
      </c>
      <c r="K6639" s="508">
        <v>1.6E-2</v>
      </c>
      <c r="L6639" s="508">
        <v>1.7000000000000001E-2</v>
      </c>
      <c r="M6639" s="508">
        <v>1.7999999999999999E-2</v>
      </c>
      <c r="N6639" s="508">
        <v>1.7000000000000001E-2</v>
      </c>
      <c r="O6639" s="508">
        <v>1.7000000000000001E-2</v>
      </c>
      <c r="P6639" s="508">
        <v>1.7999999999999999E-2</v>
      </c>
      <c r="Q6639" s="508">
        <v>1.7999999999999999E-2</v>
      </c>
      <c r="R6639" s="508">
        <v>1.7999999999999999E-2</v>
      </c>
      <c r="S6639" s="508">
        <v>1.7999999999999999E-2</v>
      </c>
      <c r="T6639" s="508">
        <v>1.7000000000000001E-2</v>
      </c>
      <c r="U6639" s="508">
        <v>1.9E-2</v>
      </c>
      <c r="V6639" s="508">
        <v>1.9E-2</v>
      </c>
      <c r="W6639" s="508">
        <v>1.9E-2</v>
      </c>
      <c r="X6639" s="508">
        <v>1.9E-2</v>
      </c>
      <c r="Y6639" s="508">
        <v>1.9E-2</v>
      </c>
      <c r="Z6639" s="508">
        <v>1.9E-2</v>
      </c>
      <c r="AA6639" s="508">
        <v>1.9E-2</v>
      </c>
      <c r="AB6639" s="508">
        <v>1.9E-2</v>
      </c>
      <c r="AC6639" s="508">
        <v>1.9E-2</v>
      </c>
      <c r="AD6639" s="508">
        <v>1.9E-2</v>
      </c>
      <c r="AE6639" s="508">
        <v>1.9E-2</v>
      </c>
      <c r="AF6639" s="508">
        <v>1.9E-2</v>
      </c>
      <c r="AG6639" s="508">
        <v>1.9E-2</v>
      </c>
      <c r="AH6639" s="508">
        <v>1.9E-2</v>
      </c>
      <c r="AI6639" s="492">
        <v>1.9E-2</v>
      </c>
      <c r="AJ6639" s="485"/>
    </row>
    <row r="6640" spans="2:36">
      <c r="B6640" s="136" t="s">
        <v>474</v>
      </c>
      <c r="C6640" s="132" t="s">
        <v>1370</v>
      </c>
      <c r="D6640" s="132" t="s">
        <v>1380</v>
      </c>
      <c r="E6640" s="508">
        <v>1.6E-2</v>
      </c>
      <c r="F6640" s="508">
        <v>1.6E-2</v>
      </c>
      <c r="G6640" s="508">
        <v>1.4999999999999999E-2</v>
      </c>
      <c r="H6640" s="508">
        <v>1.6E-2</v>
      </c>
      <c r="I6640" s="508">
        <v>1.2999999999999999E-2</v>
      </c>
      <c r="J6640" s="508">
        <v>1.4999999999999999E-2</v>
      </c>
      <c r="K6640" s="508">
        <v>1.4E-2</v>
      </c>
      <c r="L6640" s="508">
        <v>1.4999999999999999E-2</v>
      </c>
      <c r="M6640" s="508">
        <v>1.6E-2</v>
      </c>
      <c r="N6640" s="508">
        <v>1.6E-2</v>
      </c>
      <c r="O6640" s="508">
        <v>1.4999999999999999E-2</v>
      </c>
      <c r="P6640" s="508">
        <v>1.6E-2</v>
      </c>
      <c r="Q6640" s="508">
        <v>1.6E-2</v>
      </c>
      <c r="R6640" s="508">
        <v>1.6E-2</v>
      </c>
      <c r="S6640" s="508">
        <v>1.6E-2</v>
      </c>
      <c r="T6640" s="508">
        <v>1.4999999999999999E-2</v>
      </c>
      <c r="U6640" s="508">
        <v>1.7000000000000001E-2</v>
      </c>
      <c r="V6640" s="508">
        <v>1.7000000000000001E-2</v>
      </c>
      <c r="W6640" s="508">
        <v>1.7000000000000001E-2</v>
      </c>
      <c r="X6640" s="508">
        <v>1.7000000000000001E-2</v>
      </c>
      <c r="Y6640" s="508">
        <v>1.7000000000000001E-2</v>
      </c>
      <c r="Z6640" s="508">
        <v>1.7000000000000001E-2</v>
      </c>
      <c r="AA6640" s="508">
        <v>1.7000000000000001E-2</v>
      </c>
      <c r="AB6640" s="508">
        <v>1.7000000000000001E-2</v>
      </c>
      <c r="AC6640" s="508">
        <v>1.7000000000000001E-2</v>
      </c>
      <c r="AD6640" s="508">
        <v>1.7000000000000001E-2</v>
      </c>
      <c r="AE6640" s="508">
        <v>1.7000000000000001E-2</v>
      </c>
      <c r="AF6640" s="508">
        <v>1.7000000000000001E-2</v>
      </c>
      <c r="AG6640" s="508">
        <v>1.7000000000000001E-2</v>
      </c>
      <c r="AH6640" s="508">
        <v>1.7000000000000001E-2</v>
      </c>
      <c r="AI6640" s="492">
        <v>1.7000000000000001E-2</v>
      </c>
      <c r="AJ6640" s="485"/>
    </row>
    <row r="6641" spans="2:36">
      <c r="B6641" s="136" t="s">
        <v>475</v>
      </c>
      <c r="C6641" s="132" t="s">
        <v>1370</v>
      </c>
      <c r="D6641" s="132" t="s">
        <v>1380</v>
      </c>
      <c r="E6641" s="508">
        <v>1.4999999999999999E-2</v>
      </c>
      <c r="F6641" s="508">
        <v>1.4999999999999999E-2</v>
      </c>
      <c r="G6641" s="508">
        <v>1.4E-2</v>
      </c>
      <c r="H6641" s="508">
        <v>1.4999999999999999E-2</v>
      </c>
      <c r="I6641" s="508">
        <v>1.2999999999999999E-2</v>
      </c>
      <c r="J6641" s="508">
        <v>1.4999999999999999E-2</v>
      </c>
      <c r="K6641" s="508">
        <v>1.2999999999999999E-2</v>
      </c>
      <c r="L6641" s="508">
        <v>1.4E-2</v>
      </c>
      <c r="M6641" s="508">
        <v>1.4999999999999999E-2</v>
      </c>
      <c r="N6641" s="508">
        <v>1.4999999999999999E-2</v>
      </c>
      <c r="O6641" s="508">
        <v>1.4E-2</v>
      </c>
      <c r="P6641" s="508">
        <v>1.6E-2</v>
      </c>
      <c r="Q6641" s="508">
        <v>1.6E-2</v>
      </c>
      <c r="R6641" s="508">
        <v>1.6E-2</v>
      </c>
      <c r="S6641" s="508">
        <v>1.4999999999999999E-2</v>
      </c>
      <c r="T6641" s="508">
        <v>1.4E-2</v>
      </c>
      <c r="U6641" s="508">
        <v>1.6E-2</v>
      </c>
      <c r="V6641" s="508">
        <v>1.6E-2</v>
      </c>
      <c r="W6641" s="508">
        <v>1.6E-2</v>
      </c>
      <c r="X6641" s="508">
        <v>1.6E-2</v>
      </c>
      <c r="Y6641" s="508">
        <v>1.6E-2</v>
      </c>
      <c r="Z6641" s="508">
        <v>1.6E-2</v>
      </c>
      <c r="AA6641" s="508">
        <v>1.6E-2</v>
      </c>
      <c r="AB6641" s="508">
        <v>1.6E-2</v>
      </c>
      <c r="AC6641" s="508">
        <v>1.6E-2</v>
      </c>
      <c r="AD6641" s="508">
        <v>1.6E-2</v>
      </c>
      <c r="AE6641" s="508">
        <v>1.6E-2</v>
      </c>
      <c r="AF6641" s="508">
        <v>1.6E-2</v>
      </c>
      <c r="AG6641" s="508">
        <v>1.6E-2</v>
      </c>
      <c r="AH6641" s="508">
        <v>1.6E-2</v>
      </c>
      <c r="AI6641" s="492">
        <v>1.6E-2</v>
      </c>
      <c r="AJ6641" s="485"/>
    </row>
    <row r="6642" spans="2:36">
      <c r="B6642" s="136" t="s">
        <v>476</v>
      </c>
      <c r="C6642" s="132" t="s">
        <v>1370</v>
      </c>
      <c r="D6642" s="132" t="s">
        <v>1380</v>
      </c>
      <c r="E6642" s="508">
        <v>1.6E-2</v>
      </c>
      <c r="F6642" s="508">
        <v>1.6E-2</v>
      </c>
      <c r="G6642" s="508">
        <v>1.4999999999999999E-2</v>
      </c>
      <c r="H6642" s="508">
        <v>1.6E-2</v>
      </c>
      <c r="I6642" s="508">
        <v>1.4E-2</v>
      </c>
      <c r="J6642" s="508">
        <v>1.6E-2</v>
      </c>
      <c r="K6642" s="508">
        <v>1.4E-2</v>
      </c>
      <c r="L6642" s="508">
        <v>1.4999999999999999E-2</v>
      </c>
      <c r="M6642" s="508">
        <v>1.6E-2</v>
      </c>
      <c r="N6642" s="508">
        <v>1.6E-2</v>
      </c>
      <c r="O6642" s="508">
        <v>1.4999999999999999E-2</v>
      </c>
      <c r="P6642" s="508">
        <v>1.7000000000000001E-2</v>
      </c>
      <c r="Q6642" s="508">
        <v>1.7000000000000001E-2</v>
      </c>
      <c r="R6642" s="508">
        <v>1.7000000000000001E-2</v>
      </c>
      <c r="S6642" s="508">
        <v>1.7000000000000001E-2</v>
      </c>
      <c r="T6642" s="508">
        <v>1.6E-2</v>
      </c>
      <c r="U6642" s="508">
        <v>1.7000000000000001E-2</v>
      </c>
      <c r="V6642" s="508">
        <v>1.7000000000000001E-2</v>
      </c>
      <c r="W6642" s="508">
        <v>1.7000000000000001E-2</v>
      </c>
      <c r="X6642" s="508">
        <v>1.7000000000000001E-2</v>
      </c>
      <c r="Y6642" s="508">
        <v>1.7000000000000001E-2</v>
      </c>
      <c r="Z6642" s="508">
        <v>1.7000000000000001E-2</v>
      </c>
      <c r="AA6642" s="508">
        <v>1.7000000000000001E-2</v>
      </c>
      <c r="AB6642" s="508">
        <v>1.7000000000000001E-2</v>
      </c>
      <c r="AC6642" s="508">
        <v>1.7000000000000001E-2</v>
      </c>
      <c r="AD6642" s="508">
        <v>1.7000000000000001E-2</v>
      </c>
      <c r="AE6642" s="508">
        <v>1.7000000000000001E-2</v>
      </c>
      <c r="AF6642" s="508">
        <v>1.7000000000000001E-2</v>
      </c>
      <c r="AG6642" s="508">
        <v>1.7000000000000001E-2</v>
      </c>
      <c r="AH6642" s="508">
        <v>1.7000000000000001E-2</v>
      </c>
      <c r="AI6642" s="492">
        <v>1.7000000000000001E-2</v>
      </c>
      <c r="AJ6642" s="485"/>
    </row>
    <row r="6643" spans="2:36">
      <c r="B6643" s="136" t="s">
        <v>478</v>
      </c>
      <c r="C6643" s="132" t="s">
        <v>1370</v>
      </c>
      <c r="D6643" s="132" t="s">
        <v>1380</v>
      </c>
      <c r="E6643" s="508">
        <v>1.7999999999999999E-2</v>
      </c>
      <c r="F6643" s="508">
        <v>1.7999999999999999E-2</v>
      </c>
      <c r="G6643" s="508">
        <v>1.7000000000000001E-2</v>
      </c>
      <c r="H6643" s="508">
        <v>1.7000000000000001E-2</v>
      </c>
      <c r="I6643" s="508">
        <v>1.4999999999999999E-2</v>
      </c>
      <c r="J6643" s="508">
        <v>1.7000000000000001E-2</v>
      </c>
      <c r="K6643" s="508">
        <v>1.6E-2</v>
      </c>
      <c r="L6643" s="508">
        <v>1.7000000000000001E-2</v>
      </c>
      <c r="M6643" s="508">
        <v>1.7999999999999999E-2</v>
      </c>
      <c r="N6643" s="508">
        <v>1.7000000000000001E-2</v>
      </c>
      <c r="O6643" s="508">
        <v>1.7000000000000001E-2</v>
      </c>
      <c r="P6643" s="508">
        <v>1.7999999999999999E-2</v>
      </c>
      <c r="Q6643" s="508">
        <v>1.7999999999999999E-2</v>
      </c>
      <c r="R6643" s="508">
        <v>1.7999999999999999E-2</v>
      </c>
      <c r="S6643" s="508">
        <v>1.7999999999999999E-2</v>
      </c>
      <c r="T6643" s="508">
        <v>1.7000000000000001E-2</v>
      </c>
      <c r="U6643" s="508">
        <v>1.9E-2</v>
      </c>
      <c r="V6643" s="508">
        <v>1.9E-2</v>
      </c>
      <c r="W6643" s="508">
        <v>1.9E-2</v>
      </c>
      <c r="X6643" s="508">
        <v>1.9E-2</v>
      </c>
      <c r="Y6643" s="508">
        <v>1.9E-2</v>
      </c>
      <c r="Z6643" s="508">
        <v>1.9E-2</v>
      </c>
      <c r="AA6643" s="508">
        <v>1.9E-2</v>
      </c>
      <c r="AB6643" s="508">
        <v>1.9E-2</v>
      </c>
      <c r="AC6643" s="508">
        <v>1.9E-2</v>
      </c>
      <c r="AD6643" s="508">
        <v>1.9E-2</v>
      </c>
      <c r="AE6643" s="508">
        <v>1.9E-2</v>
      </c>
      <c r="AF6643" s="508">
        <v>1.9E-2</v>
      </c>
      <c r="AG6643" s="508">
        <v>1.9E-2</v>
      </c>
      <c r="AH6643" s="508">
        <v>1.9E-2</v>
      </c>
      <c r="AI6643" s="492">
        <v>1.9E-2</v>
      </c>
      <c r="AJ6643" s="485"/>
    </row>
    <row r="6644" spans="2:36">
      <c r="B6644" s="136" t="s">
        <v>479</v>
      </c>
      <c r="C6644" s="132" t="s">
        <v>1370</v>
      </c>
      <c r="D6644" s="132" t="s">
        <v>1380</v>
      </c>
      <c r="E6644" s="508">
        <v>1.4999999999999999E-2</v>
      </c>
      <c r="F6644" s="508">
        <v>1.4999999999999999E-2</v>
      </c>
      <c r="G6644" s="508">
        <v>1.4E-2</v>
      </c>
      <c r="H6644" s="508">
        <v>1.4999999999999999E-2</v>
      </c>
      <c r="I6644" s="508">
        <v>1.2999999999999999E-2</v>
      </c>
      <c r="J6644" s="508">
        <v>1.4999999999999999E-2</v>
      </c>
      <c r="K6644" s="508">
        <v>1.2999999999999999E-2</v>
      </c>
      <c r="L6644" s="508">
        <v>1.4E-2</v>
      </c>
      <c r="M6644" s="508">
        <v>1.4999999999999999E-2</v>
      </c>
      <c r="N6644" s="508">
        <v>1.4999999999999999E-2</v>
      </c>
      <c r="O6644" s="508">
        <v>1.4E-2</v>
      </c>
      <c r="P6644" s="508">
        <v>1.4999999999999999E-2</v>
      </c>
      <c r="Q6644" s="508">
        <v>1.4999999999999999E-2</v>
      </c>
      <c r="R6644" s="508">
        <v>1.4999999999999999E-2</v>
      </c>
      <c r="S6644" s="508">
        <v>1.4999999999999999E-2</v>
      </c>
      <c r="T6644" s="508">
        <v>1.4E-2</v>
      </c>
      <c r="U6644" s="508">
        <v>1.6E-2</v>
      </c>
      <c r="V6644" s="508">
        <v>1.6E-2</v>
      </c>
      <c r="W6644" s="508">
        <v>1.6E-2</v>
      </c>
      <c r="X6644" s="508">
        <v>1.6E-2</v>
      </c>
      <c r="Y6644" s="508">
        <v>1.6E-2</v>
      </c>
      <c r="Z6644" s="508">
        <v>1.6E-2</v>
      </c>
      <c r="AA6644" s="508">
        <v>1.6E-2</v>
      </c>
      <c r="AB6644" s="508">
        <v>1.6E-2</v>
      </c>
      <c r="AC6644" s="508">
        <v>1.6E-2</v>
      </c>
      <c r="AD6644" s="508">
        <v>1.6E-2</v>
      </c>
      <c r="AE6644" s="508">
        <v>1.6E-2</v>
      </c>
      <c r="AF6644" s="508">
        <v>1.6E-2</v>
      </c>
      <c r="AG6644" s="508">
        <v>1.6E-2</v>
      </c>
      <c r="AH6644" s="508">
        <v>1.6E-2</v>
      </c>
      <c r="AI6644" s="492">
        <v>1.6E-2</v>
      </c>
      <c r="AJ6644" s="485"/>
    </row>
    <row r="6645" spans="2:36">
      <c r="B6645" s="136" t="s">
        <v>480</v>
      </c>
      <c r="C6645" s="132" t="s">
        <v>1370</v>
      </c>
      <c r="D6645" s="132" t="s">
        <v>1380</v>
      </c>
      <c r="E6645" s="508">
        <v>1.2E-2</v>
      </c>
      <c r="F6645" s="508">
        <v>1.2E-2</v>
      </c>
      <c r="G6645" s="508">
        <v>1.2E-2</v>
      </c>
      <c r="H6645" s="508">
        <v>1.2E-2</v>
      </c>
      <c r="I6645" s="508">
        <v>1.0999999999999999E-2</v>
      </c>
      <c r="J6645" s="508">
        <v>1.2E-2</v>
      </c>
      <c r="K6645" s="508">
        <v>1.0999999999999999E-2</v>
      </c>
      <c r="L6645" s="508">
        <v>1.2E-2</v>
      </c>
      <c r="M6645" s="508">
        <v>1.2E-2</v>
      </c>
      <c r="N6645" s="508">
        <v>1.2E-2</v>
      </c>
      <c r="O6645" s="508">
        <v>1.2E-2</v>
      </c>
      <c r="P6645" s="508">
        <v>1.2999999999999999E-2</v>
      </c>
      <c r="Q6645" s="508">
        <v>1.2999999999999999E-2</v>
      </c>
      <c r="R6645" s="508">
        <v>1.2999999999999999E-2</v>
      </c>
      <c r="S6645" s="508">
        <v>1.2999999999999999E-2</v>
      </c>
      <c r="T6645" s="508">
        <v>1.2E-2</v>
      </c>
      <c r="U6645" s="508">
        <v>1.2999999999999999E-2</v>
      </c>
      <c r="V6645" s="508">
        <v>1.2999999999999999E-2</v>
      </c>
      <c r="W6645" s="508">
        <v>1.2999999999999999E-2</v>
      </c>
      <c r="X6645" s="508">
        <v>1.2999999999999999E-2</v>
      </c>
      <c r="Y6645" s="508">
        <v>1.2999999999999999E-2</v>
      </c>
      <c r="Z6645" s="508">
        <v>1.2999999999999999E-2</v>
      </c>
      <c r="AA6645" s="508">
        <v>1.2999999999999999E-2</v>
      </c>
      <c r="AB6645" s="508">
        <v>1.2999999999999999E-2</v>
      </c>
      <c r="AC6645" s="508">
        <v>1.2999999999999999E-2</v>
      </c>
      <c r="AD6645" s="508">
        <v>1.2999999999999999E-2</v>
      </c>
      <c r="AE6645" s="508">
        <v>1.2999999999999999E-2</v>
      </c>
      <c r="AF6645" s="508">
        <v>1.2999999999999999E-2</v>
      </c>
      <c r="AG6645" s="508">
        <v>1.2999999999999999E-2</v>
      </c>
      <c r="AH6645" s="508">
        <v>1.2999999999999999E-2</v>
      </c>
      <c r="AI6645" s="492">
        <v>1.2999999999999999E-2</v>
      </c>
      <c r="AJ6645" s="485"/>
    </row>
    <row r="6646" spans="2:36">
      <c r="B6646" s="136" t="s">
        <v>481</v>
      </c>
      <c r="C6646" s="132" t="s">
        <v>1370</v>
      </c>
      <c r="D6646" s="132" t="s">
        <v>1380</v>
      </c>
      <c r="E6646" s="508">
        <v>1.6E-2</v>
      </c>
      <c r="F6646" s="508">
        <v>1.6E-2</v>
      </c>
      <c r="G6646" s="508">
        <v>1.4999999999999999E-2</v>
      </c>
      <c r="H6646" s="508">
        <v>1.4999999999999999E-2</v>
      </c>
      <c r="I6646" s="508">
        <v>1.2999999999999999E-2</v>
      </c>
      <c r="J6646" s="508">
        <v>1.4999999999999999E-2</v>
      </c>
      <c r="K6646" s="508">
        <v>1.4E-2</v>
      </c>
      <c r="L6646" s="508">
        <v>1.4999999999999999E-2</v>
      </c>
      <c r="M6646" s="508">
        <v>1.4999999999999999E-2</v>
      </c>
      <c r="N6646" s="508">
        <v>1.4999999999999999E-2</v>
      </c>
      <c r="O6646" s="508">
        <v>1.4999999999999999E-2</v>
      </c>
      <c r="P6646" s="508">
        <v>1.6E-2</v>
      </c>
      <c r="Q6646" s="508">
        <v>1.6E-2</v>
      </c>
      <c r="R6646" s="508">
        <v>1.6E-2</v>
      </c>
      <c r="S6646" s="508">
        <v>1.6E-2</v>
      </c>
      <c r="T6646" s="508">
        <v>1.4999999999999999E-2</v>
      </c>
      <c r="U6646" s="508">
        <v>1.6E-2</v>
      </c>
      <c r="V6646" s="508">
        <v>1.7000000000000001E-2</v>
      </c>
      <c r="W6646" s="508">
        <v>1.7000000000000001E-2</v>
      </c>
      <c r="X6646" s="508">
        <v>1.7000000000000001E-2</v>
      </c>
      <c r="Y6646" s="508">
        <v>1.7000000000000001E-2</v>
      </c>
      <c r="Z6646" s="508">
        <v>1.7000000000000001E-2</v>
      </c>
      <c r="AA6646" s="508">
        <v>1.7000000000000001E-2</v>
      </c>
      <c r="AB6646" s="508">
        <v>1.7000000000000001E-2</v>
      </c>
      <c r="AC6646" s="508">
        <v>1.7000000000000001E-2</v>
      </c>
      <c r="AD6646" s="508">
        <v>1.7000000000000001E-2</v>
      </c>
      <c r="AE6646" s="508">
        <v>1.7000000000000001E-2</v>
      </c>
      <c r="AF6646" s="508">
        <v>1.7000000000000001E-2</v>
      </c>
      <c r="AG6646" s="508">
        <v>1.7000000000000001E-2</v>
      </c>
      <c r="AH6646" s="508">
        <v>1.7000000000000001E-2</v>
      </c>
      <c r="AI6646" s="492">
        <v>1.7000000000000001E-2</v>
      </c>
      <c r="AJ6646" s="485"/>
    </row>
    <row r="6647" spans="2:36">
      <c r="B6647" s="136" t="s">
        <v>482</v>
      </c>
      <c r="C6647" s="132" t="s">
        <v>1370</v>
      </c>
      <c r="D6647" s="132" t="s">
        <v>1380</v>
      </c>
      <c r="E6647" s="508">
        <v>1.6E-2</v>
      </c>
      <c r="F6647" s="508">
        <v>1.6E-2</v>
      </c>
      <c r="G6647" s="508">
        <v>1.4999999999999999E-2</v>
      </c>
      <c r="H6647" s="508">
        <v>1.6E-2</v>
      </c>
      <c r="I6647" s="508">
        <v>1.2999999999999999E-2</v>
      </c>
      <c r="J6647" s="508">
        <v>1.4999999999999999E-2</v>
      </c>
      <c r="K6647" s="508">
        <v>1.4E-2</v>
      </c>
      <c r="L6647" s="508">
        <v>1.4999999999999999E-2</v>
      </c>
      <c r="M6647" s="508">
        <v>1.6E-2</v>
      </c>
      <c r="N6647" s="508">
        <v>1.4999999999999999E-2</v>
      </c>
      <c r="O6647" s="508">
        <v>1.4999999999999999E-2</v>
      </c>
      <c r="P6647" s="508">
        <v>1.6E-2</v>
      </c>
      <c r="Q6647" s="508">
        <v>1.6E-2</v>
      </c>
      <c r="R6647" s="508">
        <v>1.6E-2</v>
      </c>
      <c r="S6647" s="508">
        <v>1.6E-2</v>
      </c>
      <c r="T6647" s="508">
        <v>1.4999999999999999E-2</v>
      </c>
      <c r="U6647" s="508">
        <v>1.7000000000000001E-2</v>
      </c>
      <c r="V6647" s="508">
        <v>1.7000000000000001E-2</v>
      </c>
      <c r="W6647" s="508">
        <v>1.7000000000000001E-2</v>
      </c>
      <c r="X6647" s="508">
        <v>1.7000000000000001E-2</v>
      </c>
      <c r="Y6647" s="508">
        <v>1.7000000000000001E-2</v>
      </c>
      <c r="Z6647" s="508">
        <v>1.7000000000000001E-2</v>
      </c>
      <c r="AA6647" s="508">
        <v>1.7000000000000001E-2</v>
      </c>
      <c r="AB6647" s="508">
        <v>1.7000000000000001E-2</v>
      </c>
      <c r="AC6647" s="508">
        <v>1.7000000000000001E-2</v>
      </c>
      <c r="AD6647" s="508">
        <v>1.7000000000000001E-2</v>
      </c>
      <c r="AE6647" s="508">
        <v>1.7000000000000001E-2</v>
      </c>
      <c r="AF6647" s="508">
        <v>1.7000000000000001E-2</v>
      </c>
      <c r="AG6647" s="508">
        <v>1.7000000000000001E-2</v>
      </c>
      <c r="AH6647" s="508">
        <v>1.7000000000000001E-2</v>
      </c>
      <c r="AI6647" s="492">
        <v>1.7000000000000001E-2</v>
      </c>
      <c r="AJ6647" s="485"/>
    </row>
    <row r="6648" spans="2:36">
      <c r="B6648" s="136" t="s">
        <v>483</v>
      </c>
      <c r="C6648" s="132" t="s">
        <v>1370</v>
      </c>
      <c r="D6648" s="132" t="s">
        <v>1380</v>
      </c>
      <c r="E6648" s="508">
        <v>1.7000000000000001E-2</v>
      </c>
      <c r="F6648" s="508">
        <v>1.7000000000000001E-2</v>
      </c>
      <c r="G6648" s="508">
        <v>1.7000000000000001E-2</v>
      </c>
      <c r="H6648" s="508">
        <v>1.7000000000000001E-2</v>
      </c>
      <c r="I6648" s="508">
        <v>1.4999999999999999E-2</v>
      </c>
      <c r="J6648" s="508">
        <v>1.7000000000000001E-2</v>
      </c>
      <c r="K6648" s="508">
        <v>1.4999999999999999E-2</v>
      </c>
      <c r="L6648" s="508">
        <v>1.7000000000000001E-2</v>
      </c>
      <c r="M6648" s="508">
        <v>1.7000000000000001E-2</v>
      </c>
      <c r="N6648" s="508">
        <v>1.7000000000000001E-2</v>
      </c>
      <c r="O6648" s="508">
        <v>1.6E-2</v>
      </c>
      <c r="P6648" s="508">
        <v>1.7999999999999999E-2</v>
      </c>
      <c r="Q6648" s="508">
        <v>1.7999999999999999E-2</v>
      </c>
      <c r="R6648" s="508">
        <v>1.7999999999999999E-2</v>
      </c>
      <c r="S6648" s="508">
        <v>1.7999999999999999E-2</v>
      </c>
      <c r="T6648" s="508">
        <v>1.7000000000000001E-2</v>
      </c>
      <c r="U6648" s="508">
        <v>1.7999999999999999E-2</v>
      </c>
      <c r="V6648" s="508">
        <v>1.7999999999999999E-2</v>
      </c>
      <c r="W6648" s="508">
        <v>1.9E-2</v>
      </c>
      <c r="X6648" s="508">
        <v>1.7999999999999999E-2</v>
      </c>
      <c r="Y6648" s="508">
        <v>1.7999999999999999E-2</v>
      </c>
      <c r="Z6648" s="508">
        <v>1.9E-2</v>
      </c>
      <c r="AA6648" s="508">
        <v>1.9E-2</v>
      </c>
      <c r="AB6648" s="508">
        <v>1.7999999999999999E-2</v>
      </c>
      <c r="AC6648" s="508">
        <v>1.9E-2</v>
      </c>
      <c r="AD6648" s="508">
        <v>1.9E-2</v>
      </c>
      <c r="AE6648" s="508">
        <v>1.9E-2</v>
      </c>
      <c r="AF6648" s="508">
        <v>1.9E-2</v>
      </c>
      <c r="AG6648" s="508">
        <v>1.9E-2</v>
      </c>
      <c r="AH6648" s="508">
        <v>1.9E-2</v>
      </c>
      <c r="AI6648" s="492">
        <v>1.9E-2</v>
      </c>
      <c r="AJ6648" s="485"/>
    </row>
    <row r="6649" spans="2:36">
      <c r="B6649" s="136" t="s">
        <v>484</v>
      </c>
      <c r="C6649" s="132" t="s">
        <v>1370</v>
      </c>
      <c r="D6649" s="132" t="s">
        <v>1380</v>
      </c>
      <c r="E6649" s="508">
        <v>1.2999999999999999E-2</v>
      </c>
      <c r="F6649" s="508">
        <v>1.2999999999999999E-2</v>
      </c>
      <c r="G6649" s="508">
        <v>1.2E-2</v>
      </c>
      <c r="H6649" s="508">
        <v>1.2999999999999999E-2</v>
      </c>
      <c r="I6649" s="508">
        <v>1.0999999999999999E-2</v>
      </c>
      <c r="J6649" s="508">
        <v>1.2999999999999999E-2</v>
      </c>
      <c r="K6649" s="508">
        <v>1.2E-2</v>
      </c>
      <c r="L6649" s="508">
        <v>1.2E-2</v>
      </c>
      <c r="M6649" s="508">
        <v>1.2999999999999999E-2</v>
      </c>
      <c r="N6649" s="508">
        <v>1.2999999999999999E-2</v>
      </c>
      <c r="O6649" s="508">
        <v>1.2E-2</v>
      </c>
      <c r="P6649" s="508">
        <v>1.2999999999999999E-2</v>
      </c>
      <c r="Q6649" s="508">
        <v>1.4E-2</v>
      </c>
      <c r="R6649" s="508">
        <v>1.2999999999999999E-2</v>
      </c>
      <c r="S6649" s="508">
        <v>1.2999999999999999E-2</v>
      </c>
      <c r="T6649" s="508">
        <v>1.2999999999999999E-2</v>
      </c>
      <c r="U6649" s="508">
        <v>1.4E-2</v>
      </c>
      <c r="V6649" s="508">
        <v>1.4E-2</v>
      </c>
      <c r="W6649" s="508">
        <v>1.4E-2</v>
      </c>
      <c r="X6649" s="508">
        <v>1.4E-2</v>
      </c>
      <c r="Y6649" s="508">
        <v>1.4E-2</v>
      </c>
      <c r="Z6649" s="508">
        <v>1.4E-2</v>
      </c>
      <c r="AA6649" s="508">
        <v>1.4E-2</v>
      </c>
      <c r="AB6649" s="508">
        <v>1.4E-2</v>
      </c>
      <c r="AC6649" s="508">
        <v>1.4E-2</v>
      </c>
      <c r="AD6649" s="508">
        <v>1.4E-2</v>
      </c>
      <c r="AE6649" s="508">
        <v>1.4E-2</v>
      </c>
      <c r="AF6649" s="508">
        <v>1.4E-2</v>
      </c>
      <c r="AG6649" s="508">
        <v>1.4E-2</v>
      </c>
      <c r="AH6649" s="508">
        <v>1.4E-2</v>
      </c>
      <c r="AI6649" s="492">
        <v>1.4E-2</v>
      </c>
      <c r="AJ6649" s="485"/>
    </row>
    <row r="6650" spans="2:36">
      <c r="B6650" s="136" t="s">
        <v>486</v>
      </c>
      <c r="C6650" s="132" t="s">
        <v>1370</v>
      </c>
      <c r="D6650" s="132" t="s">
        <v>1380</v>
      </c>
      <c r="E6650" s="508">
        <v>1.6E-2</v>
      </c>
      <c r="F6650" s="508">
        <v>1.6E-2</v>
      </c>
      <c r="G6650" s="508">
        <v>1.4999999999999999E-2</v>
      </c>
      <c r="H6650" s="508">
        <v>1.6E-2</v>
      </c>
      <c r="I6650" s="508">
        <v>1.2999999999999999E-2</v>
      </c>
      <c r="J6650" s="508">
        <v>1.4999999999999999E-2</v>
      </c>
      <c r="K6650" s="508">
        <v>1.4E-2</v>
      </c>
      <c r="L6650" s="508">
        <v>1.4999999999999999E-2</v>
      </c>
      <c r="M6650" s="508">
        <v>1.6E-2</v>
      </c>
      <c r="N6650" s="508">
        <v>1.4999999999999999E-2</v>
      </c>
      <c r="O6650" s="508">
        <v>1.4999999999999999E-2</v>
      </c>
      <c r="P6650" s="508">
        <v>1.6E-2</v>
      </c>
      <c r="Q6650" s="508">
        <v>1.6E-2</v>
      </c>
      <c r="R6650" s="508">
        <v>1.6E-2</v>
      </c>
      <c r="S6650" s="508">
        <v>1.6E-2</v>
      </c>
      <c r="T6650" s="508">
        <v>1.4999999999999999E-2</v>
      </c>
      <c r="U6650" s="508">
        <v>1.6E-2</v>
      </c>
      <c r="V6650" s="508">
        <v>1.7000000000000001E-2</v>
      </c>
      <c r="W6650" s="508">
        <v>1.7000000000000001E-2</v>
      </c>
      <c r="X6650" s="508">
        <v>1.7000000000000001E-2</v>
      </c>
      <c r="Y6650" s="508">
        <v>1.7000000000000001E-2</v>
      </c>
      <c r="Z6650" s="508">
        <v>1.7000000000000001E-2</v>
      </c>
      <c r="AA6650" s="508">
        <v>1.7000000000000001E-2</v>
      </c>
      <c r="AB6650" s="508">
        <v>1.7000000000000001E-2</v>
      </c>
      <c r="AC6650" s="508">
        <v>1.7000000000000001E-2</v>
      </c>
      <c r="AD6650" s="508">
        <v>1.7000000000000001E-2</v>
      </c>
      <c r="AE6650" s="508">
        <v>1.7000000000000001E-2</v>
      </c>
      <c r="AF6650" s="508">
        <v>1.7000000000000001E-2</v>
      </c>
      <c r="AG6650" s="508">
        <v>1.7000000000000001E-2</v>
      </c>
      <c r="AH6650" s="508">
        <v>1.7000000000000001E-2</v>
      </c>
      <c r="AI6650" s="492">
        <v>1.7000000000000001E-2</v>
      </c>
      <c r="AJ6650" s="485"/>
    </row>
    <row r="6651" spans="2:36">
      <c r="B6651" s="136" t="s">
        <v>487</v>
      </c>
      <c r="C6651" s="132" t="s">
        <v>1370</v>
      </c>
      <c r="D6651" s="132" t="s">
        <v>1380</v>
      </c>
      <c r="E6651" s="508">
        <v>1.6E-2</v>
      </c>
      <c r="F6651" s="508">
        <v>1.4999999999999999E-2</v>
      </c>
      <c r="G6651" s="508">
        <v>1.4999999999999999E-2</v>
      </c>
      <c r="H6651" s="508">
        <v>1.4999999999999999E-2</v>
      </c>
      <c r="I6651" s="508">
        <v>1.2999999999999999E-2</v>
      </c>
      <c r="J6651" s="508">
        <v>1.4999999999999999E-2</v>
      </c>
      <c r="K6651" s="508">
        <v>1.4E-2</v>
      </c>
      <c r="L6651" s="508">
        <v>1.4999999999999999E-2</v>
      </c>
      <c r="M6651" s="508">
        <v>1.4999999999999999E-2</v>
      </c>
      <c r="N6651" s="508">
        <v>1.4999999999999999E-2</v>
      </c>
      <c r="O6651" s="508">
        <v>1.4999999999999999E-2</v>
      </c>
      <c r="P6651" s="508">
        <v>1.6E-2</v>
      </c>
      <c r="Q6651" s="508">
        <v>1.6E-2</v>
      </c>
      <c r="R6651" s="508">
        <v>1.6E-2</v>
      </c>
      <c r="S6651" s="508">
        <v>1.6E-2</v>
      </c>
      <c r="T6651" s="508">
        <v>1.4999999999999999E-2</v>
      </c>
      <c r="U6651" s="508">
        <v>1.6E-2</v>
      </c>
      <c r="V6651" s="508">
        <v>1.6E-2</v>
      </c>
      <c r="W6651" s="508">
        <v>1.7000000000000001E-2</v>
      </c>
      <c r="X6651" s="508">
        <v>1.6E-2</v>
      </c>
      <c r="Y6651" s="508">
        <v>1.7000000000000001E-2</v>
      </c>
      <c r="Z6651" s="508">
        <v>1.7000000000000001E-2</v>
      </c>
      <c r="AA6651" s="508">
        <v>1.7000000000000001E-2</v>
      </c>
      <c r="AB6651" s="508">
        <v>1.6E-2</v>
      </c>
      <c r="AC6651" s="508">
        <v>1.7000000000000001E-2</v>
      </c>
      <c r="AD6651" s="508">
        <v>1.7000000000000001E-2</v>
      </c>
      <c r="AE6651" s="508">
        <v>1.7000000000000001E-2</v>
      </c>
      <c r="AF6651" s="508">
        <v>1.7000000000000001E-2</v>
      </c>
      <c r="AG6651" s="508">
        <v>1.7000000000000001E-2</v>
      </c>
      <c r="AH6651" s="508">
        <v>1.7000000000000001E-2</v>
      </c>
      <c r="AI6651" s="492">
        <v>1.7000000000000001E-2</v>
      </c>
      <c r="AJ6651" s="485"/>
    </row>
    <row r="6652" spans="2:36">
      <c r="B6652" s="136" t="s">
        <v>488</v>
      </c>
      <c r="C6652" s="132" t="s">
        <v>1370</v>
      </c>
      <c r="D6652" s="132" t="s">
        <v>1380</v>
      </c>
      <c r="E6652" s="508">
        <v>1.4E-2</v>
      </c>
      <c r="F6652" s="508">
        <v>1.4E-2</v>
      </c>
      <c r="G6652" s="508">
        <v>1.2999999999999999E-2</v>
      </c>
      <c r="H6652" s="508">
        <v>1.2999999999999999E-2</v>
      </c>
      <c r="I6652" s="508">
        <v>1.2E-2</v>
      </c>
      <c r="J6652" s="508">
        <v>1.2999999999999999E-2</v>
      </c>
      <c r="K6652" s="508">
        <v>1.2E-2</v>
      </c>
      <c r="L6652" s="508">
        <v>1.2999999999999999E-2</v>
      </c>
      <c r="M6652" s="508">
        <v>1.4E-2</v>
      </c>
      <c r="N6652" s="508">
        <v>1.2999999999999999E-2</v>
      </c>
      <c r="O6652" s="508">
        <v>1.2999999999999999E-2</v>
      </c>
      <c r="P6652" s="508">
        <v>1.4E-2</v>
      </c>
      <c r="Q6652" s="508">
        <v>1.4E-2</v>
      </c>
      <c r="R6652" s="508">
        <v>1.4E-2</v>
      </c>
      <c r="S6652" s="508">
        <v>1.4E-2</v>
      </c>
      <c r="T6652" s="508">
        <v>1.2999999999999999E-2</v>
      </c>
      <c r="U6652" s="508">
        <v>1.4E-2</v>
      </c>
      <c r="V6652" s="508">
        <v>1.4E-2</v>
      </c>
      <c r="W6652" s="508">
        <v>1.4999999999999999E-2</v>
      </c>
      <c r="X6652" s="508">
        <v>1.4E-2</v>
      </c>
      <c r="Y6652" s="508">
        <v>1.4E-2</v>
      </c>
      <c r="Z6652" s="508">
        <v>1.4999999999999999E-2</v>
      </c>
      <c r="AA6652" s="508">
        <v>1.4E-2</v>
      </c>
      <c r="AB6652" s="508">
        <v>1.4E-2</v>
      </c>
      <c r="AC6652" s="508">
        <v>1.4999999999999999E-2</v>
      </c>
      <c r="AD6652" s="508">
        <v>1.4999999999999999E-2</v>
      </c>
      <c r="AE6652" s="508">
        <v>1.4E-2</v>
      </c>
      <c r="AF6652" s="508">
        <v>1.4E-2</v>
      </c>
      <c r="AG6652" s="508">
        <v>1.4E-2</v>
      </c>
      <c r="AH6652" s="508">
        <v>1.4E-2</v>
      </c>
      <c r="AI6652" s="492">
        <v>1.4E-2</v>
      </c>
      <c r="AJ6652" s="485"/>
    </row>
    <row r="6653" spans="2:36">
      <c r="B6653" s="136" t="s">
        <v>489</v>
      </c>
      <c r="C6653" s="132" t="s">
        <v>1370</v>
      </c>
      <c r="D6653" s="132" t="s">
        <v>1380</v>
      </c>
      <c r="E6653" s="508">
        <v>1.4999999999999999E-2</v>
      </c>
      <c r="F6653" s="508">
        <v>1.4999999999999999E-2</v>
      </c>
      <c r="G6653" s="508">
        <v>1.4E-2</v>
      </c>
      <c r="H6653" s="508">
        <v>1.4999999999999999E-2</v>
      </c>
      <c r="I6653" s="508">
        <v>1.2999999999999999E-2</v>
      </c>
      <c r="J6653" s="508">
        <v>1.4999999999999999E-2</v>
      </c>
      <c r="K6653" s="508">
        <v>1.2999999999999999E-2</v>
      </c>
      <c r="L6653" s="508">
        <v>1.4E-2</v>
      </c>
      <c r="M6653" s="508">
        <v>1.4999999999999999E-2</v>
      </c>
      <c r="N6653" s="508">
        <v>1.4999999999999999E-2</v>
      </c>
      <c r="O6653" s="508">
        <v>1.4E-2</v>
      </c>
      <c r="P6653" s="508">
        <v>1.4999999999999999E-2</v>
      </c>
      <c r="Q6653" s="508">
        <v>1.4999999999999999E-2</v>
      </c>
      <c r="R6653" s="508">
        <v>1.4999999999999999E-2</v>
      </c>
      <c r="S6653" s="508">
        <v>1.4999999999999999E-2</v>
      </c>
      <c r="T6653" s="508">
        <v>1.4E-2</v>
      </c>
      <c r="U6653" s="508">
        <v>1.6E-2</v>
      </c>
      <c r="V6653" s="508">
        <v>1.6E-2</v>
      </c>
      <c r="W6653" s="508">
        <v>1.6E-2</v>
      </c>
      <c r="X6653" s="508">
        <v>1.6E-2</v>
      </c>
      <c r="Y6653" s="508">
        <v>1.6E-2</v>
      </c>
      <c r="Z6653" s="508">
        <v>1.6E-2</v>
      </c>
      <c r="AA6653" s="508">
        <v>1.6E-2</v>
      </c>
      <c r="AB6653" s="508">
        <v>1.6E-2</v>
      </c>
      <c r="AC6653" s="508">
        <v>1.6E-2</v>
      </c>
      <c r="AD6653" s="508">
        <v>1.6E-2</v>
      </c>
      <c r="AE6653" s="508">
        <v>1.6E-2</v>
      </c>
      <c r="AF6653" s="508">
        <v>1.6E-2</v>
      </c>
      <c r="AG6653" s="508">
        <v>1.6E-2</v>
      </c>
      <c r="AH6653" s="508">
        <v>1.6E-2</v>
      </c>
      <c r="AI6653" s="492">
        <v>1.6E-2</v>
      </c>
      <c r="AJ6653" s="485"/>
    </row>
    <row r="6654" spans="2:36">
      <c r="B6654" s="136" t="s">
        <v>490</v>
      </c>
      <c r="C6654" s="132" t="s">
        <v>1370</v>
      </c>
      <c r="D6654" s="132" t="s">
        <v>1380</v>
      </c>
      <c r="E6654" s="508">
        <v>1.2E-2</v>
      </c>
      <c r="F6654" s="508">
        <v>1.2E-2</v>
      </c>
      <c r="G6654" s="508">
        <v>1.2E-2</v>
      </c>
      <c r="H6654" s="508">
        <v>1.2E-2</v>
      </c>
      <c r="I6654" s="508">
        <v>0.01</v>
      </c>
      <c r="J6654" s="508">
        <v>1.2E-2</v>
      </c>
      <c r="K6654" s="508">
        <v>1.0999999999999999E-2</v>
      </c>
      <c r="L6654" s="508">
        <v>1.2E-2</v>
      </c>
      <c r="M6654" s="508">
        <v>1.2E-2</v>
      </c>
      <c r="N6654" s="508">
        <v>1.2E-2</v>
      </c>
      <c r="O6654" s="508">
        <v>1.2E-2</v>
      </c>
      <c r="P6654" s="508">
        <v>1.2999999999999999E-2</v>
      </c>
      <c r="Q6654" s="508">
        <v>1.2999999999999999E-2</v>
      </c>
      <c r="R6654" s="508">
        <v>1.2999999999999999E-2</v>
      </c>
      <c r="S6654" s="508">
        <v>1.2999999999999999E-2</v>
      </c>
      <c r="T6654" s="508">
        <v>1.2E-2</v>
      </c>
      <c r="U6654" s="508">
        <v>1.2999999999999999E-2</v>
      </c>
      <c r="V6654" s="508">
        <v>1.2999999999999999E-2</v>
      </c>
      <c r="W6654" s="508">
        <v>1.2999999999999999E-2</v>
      </c>
      <c r="X6654" s="508">
        <v>1.2999999999999999E-2</v>
      </c>
      <c r="Y6654" s="508">
        <v>1.2999999999999999E-2</v>
      </c>
      <c r="Z6654" s="508">
        <v>1.2999999999999999E-2</v>
      </c>
      <c r="AA6654" s="508">
        <v>1.2999999999999999E-2</v>
      </c>
      <c r="AB6654" s="508">
        <v>1.2999999999999999E-2</v>
      </c>
      <c r="AC6654" s="508">
        <v>1.2999999999999999E-2</v>
      </c>
      <c r="AD6654" s="508">
        <v>1.2999999999999999E-2</v>
      </c>
      <c r="AE6654" s="508">
        <v>1.2999999999999999E-2</v>
      </c>
      <c r="AF6654" s="508">
        <v>1.2999999999999999E-2</v>
      </c>
      <c r="AG6654" s="508">
        <v>1.2999999999999999E-2</v>
      </c>
      <c r="AH6654" s="508">
        <v>1.2999999999999999E-2</v>
      </c>
      <c r="AI6654" s="492">
        <v>1.2999999999999999E-2</v>
      </c>
      <c r="AJ6654" s="485"/>
    </row>
    <row r="6655" spans="2:36">
      <c r="B6655" s="136" t="s">
        <v>435</v>
      </c>
      <c r="C6655" s="132" t="s">
        <v>1371</v>
      </c>
      <c r="D6655" s="132" t="s">
        <v>1380</v>
      </c>
      <c r="E6655" s="508">
        <v>1.2E-2</v>
      </c>
      <c r="F6655" s="508">
        <v>1.2E-2</v>
      </c>
      <c r="G6655" s="508">
        <v>1.2E-2</v>
      </c>
      <c r="H6655" s="508">
        <v>1.2E-2</v>
      </c>
      <c r="I6655" s="508">
        <v>1.2E-2</v>
      </c>
      <c r="J6655" s="508">
        <v>1.2E-2</v>
      </c>
      <c r="K6655" s="508">
        <v>1.2E-2</v>
      </c>
      <c r="L6655" s="508">
        <v>1.2E-2</v>
      </c>
      <c r="M6655" s="508">
        <v>1.2E-2</v>
      </c>
      <c r="N6655" s="508">
        <v>1.2E-2</v>
      </c>
      <c r="O6655" s="508">
        <v>1.2E-2</v>
      </c>
      <c r="P6655" s="508">
        <v>1.2E-2</v>
      </c>
      <c r="Q6655" s="508">
        <v>1.2E-2</v>
      </c>
      <c r="R6655" s="508">
        <v>1.2E-2</v>
      </c>
      <c r="S6655" s="508">
        <v>1.2E-2</v>
      </c>
      <c r="T6655" s="508">
        <v>1.2E-2</v>
      </c>
      <c r="U6655" s="508">
        <v>1.2E-2</v>
      </c>
      <c r="V6655" s="508">
        <v>1.2E-2</v>
      </c>
      <c r="W6655" s="508">
        <v>1.2E-2</v>
      </c>
      <c r="X6655" s="508">
        <v>1.2E-2</v>
      </c>
      <c r="Y6655" s="508">
        <v>1.2E-2</v>
      </c>
      <c r="Z6655" s="508">
        <v>1.2E-2</v>
      </c>
      <c r="AA6655" s="508">
        <v>1.2E-2</v>
      </c>
      <c r="AB6655" s="508">
        <v>1.2E-2</v>
      </c>
      <c r="AC6655" s="508">
        <v>1.2E-2</v>
      </c>
      <c r="AD6655" s="508">
        <v>1.2E-2</v>
      </c>
      <c r="AE6655" s="508">
        <v>1.2E-2</v>
      </c>
      <c r="AF6655" s="508">
        <v>1.2E-2</v>
      </c>
      <c r="AG6655" s="508">
        <v>1.2E-2</v>
      </c>
      <c r="AH6655" s="508">
        <v>1.2E-2</v>
      </c>
      <c r="AI6655" s="492">
        <v>1.2E-2</v>
      </c>
      <c r="AJ6655" s="485"/>
    </row>
    <row r="6656" spans="2:36">
      <c r="B6656" s="136" t="s">
        <v>436</v>
      </c>
      <c r="C6656" s="132" t="s">
        <v>1371</v>
      </c>
      <c r="D6656" s="132" t="s">
        <v>1380</v>
      </c>
      <c r="E6656" s="508">
        <v>1.0999999999999999E-2</v>
      </c>
      <c r="F6656" s="508">
        <v>1.0999999999999999E-2</v>
      </c>
      <c r="G6656" s="508">
        <v>1.0999999999999999E-2</v>
      </c>
      <c r="H6656" s="508">
        <v>1.0999999999999999E-2</v>
      </c>
      <c r="I6656" s="508">
        <v>1.0999999999999999E-2</v>
      </c>
      <c r="J6656" s="508">
        <v>1.0999999999999999E-2</v>
      </c>
      <c r="K6656" s="508">
        <v>1.0999999999999999E-2</v>
      </c>
      <c r="L6656" s="508">
        <v>1.0999999999999999E-2</v>
      </c>
      <c r="M6656" s="508">
        <v>1.0999999999999999E-2</v>
      </c>
      <c r="N6656" s="508">
        <v>1.0999999999999999E-2</v>
      </c>
      <c r="O6656" s="508">
        <v>1.0999999999999999E-2</v>
      </c>
      <c r="P6656" s="508">
        <v>1.0999999999999999E-2</v>
      </c>
      <c r="Q6656" s="508">
        <v>1.0999999999999999E-2</v>
      </c>
      <c r="R6656" s="508">
        <v>1.0999999999999999E-2</v>
      </c>
      <c r="S6656" s="508">
        <v>1.0999999999999999E-2</v>
      </c>
      <c r="T6656" s="508">
        <v>1.0999999999999999E-2</v>
      </c>
      <c r="U6656" s="508">
        <v>1.0999999999999999E-2</v>
      </c>
      <c r="V6656" s="508">
        <v>1.0999999999999999E-2</v>
      </c>
      <c r="W6656" s="508">
        <v>1.0999999999999999E-2</v>
      </c>
      <c r="X6656" s="508">
        <v>1.0999999999999999E-2</v>
      </c>
      <c r="Y6656" s="508">
        <v>1.0999999999999999E-2</v>
      </c>
      <c r="Z6656" s="508">
        <v>1.0999999999999999E-2</v>
      </c>
      <c r="AA6656" s="508">
        <v>1.0999999999999999E-2</v>
      </c>
      <c r="AB6656" s="508">
        <v>1.0999999999999999E-2</v>
      </c>
      <c r="AC6656" s="508">
        <v>1.0999999999999999E-2</v>
      </c>
      <c r="AD6656" s="508">
        <v>1.0999999999999999E-2</v>
      </c>
      <c r="AE6656" s="508">
        <v>1.0999999999999999E-2</v>
      </c>
      <c r="AF6656" s="508">
        <v>1.0999999999999999E-2</v>
      </c>
      <c r="AG6656" s="508">
        <v>1.0999999999999999E-2</v>
      </c>
      <c r="AH6656" s="508">
        <v>1.0999999999999999E-2</v>
      </c>
      <c r="AI6656" s="492">
        <v>1.0999999999999999E-2</v>
      </c>
      <c r="AJ6656" s="485"/>
    </row>
    <row r="6657" spans="2:36">
      <c r="B6657" s="136" t="s">
        <v>437</v>
      </c>
      <c r="C6657" s="132" t="s">
        <v>1371</v>
      </c>
      <c r="D6657" s="132" t="s">
        <v>1380</v>
      </c>
      <c r="E6657" s="508">
        <v>1.2E-2</v>
      </c>
      <c r="F6657" s="508">
        <v>1.2E-2</v>
      </c>
      <c r="G6657" s="508">
        <v>1.2E-2</v>
      </c>
      <c r="H6657" s="508">
        <v>1.2E-2</v>
      </c>
      <c r="I6657" s="508">
        <v>1.2E-2</v>
      </c>
      <c r="J6657" s="508">
        <v>1.2E-2</v>
      </c>
      <c r="K6657" s="508">
        <v>1.2E-2</v>
      </c>
      <c r="L6657" s="508">
        <v>1.2E-2</v>
      </c>
      <c r="M6657" s="508">
        <v>1.2E-2</v>
      </c>
      <c r="N6657" s="508">
        <v>1.2E-2</v>
      </c>
      <c r="O6657" s="508">
        <v>1.2E-2</v>
      </c>
      <c r="P6657" s="508">
        <v>1.2E-2</v>
      </c>
      <c r="Q6657" s="508">
        <v>1.2E-2</v>
      </c>
      <c r="R6657" s="508">
        <v>1.2E-2</v>
      </c>
      <c r="S6657" s="508">
        <v>1.2E-2</v>
      </c>
      <c r="T6657" s="508">
        <v>1.2E-2</v>
      </c>
      <c r="U6657" s="508">
        <v>1.2E-2</v>
      </c>
      <c r="V6657" s="508">
        <v>1.2E-2</v>
      </c>
      <c r="W6657" s="508">
        <v>1.2E-2</v>
      </c>
      <c r="X6657" s="508">
        <v>1.2E-2</v>
      </c>
      <c r="Y6657" s="508">
        <v>1.2E-2</v>
      </c>
      <c r="Z6657" s="508">
        <v>1.2E-2</v>
      </c>
      <c r="AA6657" s="508">
        <v>1.2E-2</v>
      </c>
      <c r="AB6657" s="508">
        <v>1.2E-2</v>
      </c>
      <c r="AC6657" s="508">
        <v>1.2E-2</v>
      </c>
      <c r="AD6657" s="508">
        <v>1.2E-2</v>
      </c>
      <c r="AE6657" s="508">
        <v>1.2E-2</v>
      </c>
      <c r="AF6657" s="508">
        <v>1.2E-2</v>
      </c>
      <c r="AG6657" s="508">
        <v>1.2E-2</v>
      </c>
      <c r="AH6657" s="508">
        <v>1.2E-2</v>
      </c>
      <c r="AI6657" s="492">
        <v>1.2E-2</v>
      </c>
      <c r="AJ6657" s="485"/>
    </row>
    <row r="6658" spans="2:36">
      <c r="B6658" s="136" t="s">
        <v>438</v>
      </c>
      <c r="C6658" s="132" t="s">
        <v>1371</v>
      </c>
      <c r="D6658" s="132" t="s">
        <v>1380</v>
      </c>
      <c r="E6658" s="508">
        <v>0.01</v>
      </c>
      <c r="F6658" s="508">
        <v>0.01</v>
      </c>
      <c r="G6658" s="508">
        <v>0.01</v>
      </c>
      <c r="H6658" s="508">
        <v>0.01</v>
      </c>
      <c r="I6658" s="508">
        <v>0.01</v>
      </c>
      <c r="J6658" s="508">
        <v>0.01</v>
      </c>
      <c r="K6658" s="508">
        <v>0.01</v>
      </c>
      <c r="L6658" s="508">
        <v>0.01</v>
      </c>
      <c r="M6658" s="508">
        <v>0.01</v>
      </c>
      <c r="N6658" s="508">
        <v>0.01</v>
      </c>
      <c r="O6658" s="508">
        <v>0.01</v>
      </c>
      <c r="P6658" s="508">
        <v>0.01</v>
      </c>
      <c r="Q6658" s="508">
        <v>0.01</v>
      </c>
      <c r="R6658" s="508">
        <v>0.01</v>
      </c>
      <c r="S6658" s="508">
        <v>0.01</v>
      </c>
      <c r="T6658" s="508">
        <v>0.01</v>
      </c>
      <c r="U6658" s="508">
        <v>0.01</v>
      </c>
      <c r="V6658" s="508">
        <v>0.01</v>
      </c>
      <c r="W6658" s="508">
        <v>0.01</v>
      </c>
      <c r="X6658" s="508">
        <v>0.01</v>
      </c>
      <c r="Y6658" s="508">
        <v>0.01</v>
      </c>
      <c r="Z6658" s="508">
        <v>0.01</v>
      </c>
      <c r="AA6658" s="508">
        <v>0.01</v>
      </c>
      <c r="AB6658" s="508">
        <v>0.01</v>
      </c>
      <c r="AC6658" s="508">
        <v>0.01</v>
      </c>
      <c r="AD6658" s="508">
        <v>0.01</v>
      </c>
      <c r="AE6658" s="508">
        <v>0.01</v>
      </c>
      <c r="AF6658" s="508">
        <v>0.01</v>
      </c>
      <c r="AG6658" s="508">
        <v>0.01</v>
      </c>
      <c r="AH6658" s="508">
        <v>0.01</v>
      </c>
      <c r="AI6658" s="492">
        <v>0.01</v>
      </c>
      <c r="AJ6658" s="485"/>
    </row>
    <row r="6659" spans="2:36">
      <c r="B6659" s="136" t="s">
        <v>439</v>
      </c>
      <c r="C6659" s="132" t="s">
        <v>1371</v>
      </c>
      <c r="D6659" s="132" t="s">
        <v>1380</v>
      </c>
      <c r="E6659" s="508">
        <v>1.2E-2</v>
      </c>
      <c r="F6659" s="508">
        <v>1.2E-2</v>
      </c>
      <c r="G6659" s="508">
        <v>1.2E-2</v>
      </c>
      <c r="H6659" s="508">
        <v>1.2E-2</v>
      </c>
      <c r="I6659" s="508">
        <v>1.2E-2</v>
      </c>
      <c r="J6659" s="508">
        <v>1.2E-2</v>
      </c>
      <c r="K6659" s="508">
        <v>1.2E-2</v>
      </c>
      <c r="L6659" s="508">
        <v>1.2E-2</v>
      </c>
      <c r="M6659" s="508">
        <v>1.2E-2</v>
      </c>
      <c r="N6659" s="508">
        <v>1.2E-2</v>
      </c>
      <c r="O6659" s="508">
        <v>1.2E-2</v>
      </c>
      <c r="P6659" s="508">
        <v>1.2E-2</v>
      </c>
      <c r="Q6659" s="508">
        <v>1.2E-2</v>
      </c>
      <c r="R6659" s="508">
        <v>1.2E-2</v>
      </c>
      <c r="S6659" s="508">
        <v>1.2E-2</v>
      </c>
      <c r="T6659" s="508">
        <v>1.2E-2</v>
      </c>
      <c r="U6659" s="508">
        <v>1.2E-2</v>
      </c>
      <c r="V6659" s="508">
        <v>1.2E-2</v>
      </c>
      <c r="W6659" s="508">
        <v>1.2E-2</v>
      </c>
      <c r="X6659" s="508">
        <v>1.2E-2</v>
      </c>
      <c r="Y6659" s="508">
        <v>1.2E-2</v>
      </c>
      <c r="Z6659" s="508">
        <v>1.2E-2</v>
      </c>
      <c r="AA6659" s="508">
        <v>1.2E-2</v>
      </c>
      <c r="AB6659" s="508">
        <v>1.2E-2</v>
      </c>
      <c r="AC6659" s="508">
        <v>1.2E-2</v>
      </c>
      <c r="AD6659" s="508">
        <v>1.2E-2</v>
      </c>
      <c r="AE6659" s="508">
        <v>1.2E-2</v>
      </c>
      <c r="AF6659" s="508">
        <v>1.2E-2</v>
      </c>
      <c r="AG6659" s="508">
        <v>1.2E-2</v>
      </c>
      <c r="AH6659" s="508">
        <v>1.2E-2</v>
      </c>
      <c r="AI6659" s="492">
        <v>1.2E-2</v>
      </c>
      <c r="AJ6659" s="485"/>
    </row>
    <row r="6660" spans="2:36">
      <c r="B6660" s="136" t="s">
        <v>440</v>
      </c>
      <c r="C6660" s="132" t="s">
        <v>1371</v>
      </c>
      <c r="D6660" s="132" t="s">
        <v>1380</v>
      </c>
      <c r="E6660" s="508">
        <v>1.2E-2</v>
      </c>
      <c r="F6660" s="508">
        <v>1.2E-2</v>
      </c>
      <c r="G6660" s="508">
        <v>1.2E-2</v>
      </c>
      <c r="H6660" s="508">
        <v>1.2E-2</v>
      </c>
      <c r="I6660" s="508">
        <v>1.2E-2</v>
      </c>
      <c r="J6660" s="508">
        <v>1.2E-2</v>
      </c>
      <c r="K6660" s="508">
        <v>1.2E-2</v>
      </c>
      <c r="L6660" s="508">
        <v>1.2E-2</v>
      </c>
      <c r="M6660" s="508">
        <v>1.2E-2</v>
      </c>
      <c r="N6660" s="508">
        <v>1.2E-2</v>
      </c>
      <c r="O6660" s="508">
        <v>1.2E-2</v>
      </c>
      <c r="P6660" s="508">
        <v>1.2E-2</v>
      </c>
      <c r="Q6660" s="508">
        <v>1.2E-2</v>
      </c>
      <c r="R6660" s="508">
        <v>1.2E-2</v>
      </c>
      <c r="S6660" s="508">
        <v>1.2E-2</v>
      </c>
      <c r="T6660" s="508">
        <v>1.2E-2</v>
      </c>
      <c r="U6660" s="508">
        <v>1.2E-2</v>
      </c>
      <c r="V6660" s="508">
        <v>1.2E-2</v>
      </c>
      <c r="W6660" s="508">
        <v>1.2E-2</v>
      </c>
      <c r="X6660" s="508">
        <v>1.2E-2</v>
      </c>
      <c r="Y6660" s="508">
        <v>1.2E-2</v>
      </c>
      <c r="Z6660" s="508">
        <v>1.2E-2</v>
      </c>
      <c r="AA6660" s="508">
        <v>1.2E-2</v>
      </c>
      <c r="AB6660" s="508">
        <v>1.2E-2</v>
      </c>
      <c r="AC6660" s="508">
        <v>1.2E-2</v>
      </c>
      <c r="AD6660" s="508">
        <v>1.2E-2</v>
      </c>
      <c r="AE6660" s="508">
        <v>1.2E-2</v>
      </c>
      <c r="AF6660" s="508">
        <v>1.2E-2</v>
      </c>
      <c r="AG6660" s="508">
        <v>1.2E-2</v>
      </c>
      <c r="AH6660" s="508">
        <v>1.2E-2</v>
      </c>
      <c r="AI6660" s="492">
        <v>1.2E-2</v>
      </c>
      <c r="AJ6660" s="485"/>
    </row>
    <row r="6661" spans="2:36">
      <c r="B6661" s="136" t="s">
        <v>441</v>
      </c>
      <c r="C6661" s="132" t="s">
        <v>1371</v>
      </c>
      <c r="D6661" s="132" t="s">
        <v>1380</v>
      </c>
      <c r="E6661" s="508">
        <v>1.2E-2</v>
      </c>
      <c r="F6661" s="508">
        <v>1.2E-2</v>
      </c>
      <c r="G6661" s="508">
        <v>1.2E-2</v>
      </c>
      <c r="H6661" s="508">
        <v>1.2E-2</v>
      </c>
      <c r="I6661" s="508">
        <v>1.2E-2</v>
      </c>
      <c r="J6661" s="508">
        <v>1.2E-2</v>
      </c>
      <c r="K6661" s="508">
        <v>1.2E-2</v>
      </c>
      <c r="L6661" s="508">
        <v>1.2E-2</v>
      </c>
      <c r="M6661" s="508">
        <v>1.2E-2</v>
      </c>
      <c r="N6661" s="508">
        <v>1.2E-2</v>
      </c>
      <c r="O6661" s="508">
        <v>1.2E-2</v>
      </c>
      <c r="P6661" s="508">
        <v>1.2E-2</v>
      </c>
      <c r="Q6661" s="508">
        <v>1.2E-2</v>
      </c>
      <c r="R6661" s="508">
        <v>1.2E-2</v>
      </c>
      <c r="S6661" s="508">
        <v>1.2E-2</v>
      </c>
      <c r="T6661" s="508">
        <v>1.2E-2</v>
      </c>
      <c r="U6661" s="508">
        <v>1.2E-2</v>
      </c>
      <c r="V6661" s="508">
        <v>1.2E-2</v>
      </c>
      <c r="W6661" s="508">
        <v>1.2E-2</v>
      </c>
      <c r="X6661" s="508">
        <v>1.2E-2</v>
      </c>
      <c r="Y6661" s="508">
        <v>1.2E-2</v>
      </c>
      <c r="Z6661" s="508">
        <v>1.2E-2</v>
      </c>
      <c r="AA6661" s="508">
        <v>1.2E-2</v>
      </c>
      <c r="AB6661" s="508">
        <v>1.2E-2</v>
      </c>
      <c r="AC6661" s="508">
        <v>1.2E-2</v>
      </c>
      <c r="AD6661" s="508">
        <v>1.2E-2</v>
      </c>
      <c r="AE6661" s="508">
        <v>1.2E-2</v>
      </c>
      <c r="AF6661" s="508">
        <v>1.2E-2</v>
      </c>
      <c r="AG6661" s="508">
        <v>1.2E-2</v>
      </c>
      <c r="AH6661" s="508">
        <v>1.2E-2</v>
      </c>
      <c r="AI6661" s="492">
        <v>1.2E-2</v>
      </c>
      <c r="AJ6661" s="485"/>
    </row>
    <row r="6662" spans="2:36">
      <c r="B6662" s="136" t="s">
        <v>443</v>
      </c>
      <c r="C6662" s="132" t="s">
        <v>1371</v>
      </c>
      <c r="D6662" s="132" t="s">
        <v>1380</v>
      </c>
      <c r="E6662" s="508">
        <v>1.2999999999999999E-2</v>
      </c>
      <c r="F6662" s="508">
        <v>1.2999999999999999E-2</v>
      </c>
      <c r="G6662" s="508">
        <v>1.2999999999999999E-2</v>
      </c>
      <c r="H6662" s="508">
        <v>1.2999999999999999E-2</v>
      </c>
      <c r="I6662" s="508">
        <v>1.2999999999999999E-2</v>
      </c>
      <c r="J6662" s="508">
        <v>1.2999999999999999E-2</v>
      </c>
      <c r="K6662" s="508">
        <v>1.2999999999999999E-2</v>
      </c>
      <c r="L6662" s="508">
        <v>1.2999999999999999E-2</v>
      </c>
      <c r="M6662" s="508">
        <v>1.2999999999999999E-2</v>
      </c>
      <c r="N6662" s="508">
        <v>1.2999999999999999E-2</v>
      </c>
      <c r="O6662" s="508">
        <v>1.2999999999999999E-2</v>
      </c>
      <c r="P6662" s="508">
        <v>1.2999999999999999E-2</v>
      </c>
      <c r="Q6662" s="508">
        <v>1.2999999999999999E-2</v>
      </c>
      <c r="R6662" s="508">
        <v>1.2999999999999999E-2</v>
      </c>
      <c r="S6662" s="508">
        <v>1.2999999999999999E-2</v>
      </c>
      <c r="T6662" s="508">
        <v>1.2999999999999999E-2</v>
      </c>
      <c r="U6662" s="508">
        <v>1.2999999999999999E-2</v>
      </c>
      <c r="V6662" s="508">
        <v>1.2999999999999999E-2</v>
      </c>
      <c r="W6662" s="508">
        <v>1.2999999999999999E-2</v>
      </c>
      <c r="X6662" s="508">
        <v>1.2999999999999999E-2</v>
      </c>
      <c r="Y6662" s="508">
        <v>1.2999999999999999E-2</v>
      </c>
      <c r="Z6662" s="508">
        <v>1.2999999999999999E-2</v>
      </c>
      <c r="AA6662" s="508">
        <v>1.2999999999999999E-2</v>
      </c>
      <c r="AB6662" s="508">
        <v>1.2999999999999999E-2</v>
      </c>
      <c r="AC6662" s="508">
        <v>1.2999999999999999E-2</v>
      </c>
      <c r="AD6662" s="508">
        <v>1.2999999999999999E-2</v>
      </c>
      <c r="AE6662" s="508">
        <v>1.2999999999999999E-2</v>
      </c>
      <c r="AF6662" s="508">
        <v>1.2999999999999999E-2</v>
      </c>
      <c r="AG6662" s="508">
        <v>1.2999999999999999E-2</v>
      </c>
      <c r="AH6662" s="508">
        <v>1.2999999999999999E-2</v>
      </c>
      <c r="AI6662" s="492">
        <v>1.2999999999999999E-2</v>
      </c>
      <c r="AJ6662" s="485"/>
    </row>
    <row r="6663" spans="2:36">
      <c r="B6663" s="136" t="s">
        <v>445</v>
      </c>
      <c r="C6663" s="132" t="s">
        <v>1371</v>
      </c>
      <c r="D6663" s="132" t="s">
        <v>1380</v>
      </c>
      <c r="E6663" s="508">
        <v>1.4999999999999999E-2</v>
      </c>
      <c r="F6663" s="508">
        <v>1.4999999999999999E-2</v>
      </c>
      <c r="G6663" s="508">
        <v>1.4999999999999999E-2</v>
      </c>
      <c r="H6663" s="508">
        <v>1.4999999999999999E-2</v>
      </c>
      <c r="I6663" s="508">
        <v>1.4999999999999999E-2</v>
      </c>
      <c r="J6663" s="508">
        <v>1.4999999999999999E-2</v>
      </c>
      <c r="K6663" s="508">
        <v>1.4999999999999999E-2</v>
      </c>
      <c r="L6663" s="508">
        <v>1.4999999999999999E-2</v>
      </c>
      <c r="M6663" s="508">
        <v>1.4999999999999999E-2</v>
      </c>
      <c r="N6663" s="508">
        <v>1.4999999999999999E-2</v>
      </c>
      <c r="O6663" s="508">
        <v>1.4999999999999999E-2</v>
      </c>
      <c r="P6663" s="508">
        <v>1.4999999999999999E-2</v>
      </c>
      <c r="Q6663" s="508">
        <v>1.4999999999999999E-2</v>
      </c>
      <c r="R6663" s="508">
        <v>1.4999999999999999E-2</v>
      </c>
      <c r="S6663" s="508">
        <v>1.4999999999999999E-2</v>
      </c>
      <c r="T6663" s="508">
        <v>1.4999999999999999E-2</v>
      </c>
      <c r="U6663" s="508">
        <v>1.4999999999999999E-2</v>
      </c>
      <c r="V6663" s="508">
        <v>1.4999999999999999E-2</v>
      </c>
      <c r="W6663" s="508">
        <v>1.4999999999999999E-2</v>
      </c>
      <c r="X6663" s="508">
        <v>1.4999999999999999E-2</v>
      </c>
      <c r="Y6663" s="508">
        <v>1.4999999999999999E-2</v>
      </c>
      <c r="Z6663" s="508">
        <v>1.4999999999999999E-2</v>
      </c>
      <c r="AA6663" s="508">
        <v>1.4999999999999999E-2</v>
      </c>
      <c r="AB6663" s="508">
        <v>1.4999999999999999E-2</v>
      </c>
      <c r="AC6663" s="508">
        <v>1.4999999999999999E-2</v>
      </c>
      <c r="AD6663" s="508">
        <v>1.4999999999999999E-2</v>
      </c>
      <c r="AE6663" s="508">
        <v>1.4999999999999999E-2</v>
      </c>
      <c r="AF6663" s="508">
        <v>1.4999999999999999E-2</v>
      </c>
      <c r="AG6663" s="508">
        <v>1.4999999999999999E-2</v>
      </c>
      <c r="AH6663" s="508">
        <v>1.4999999999999999E-2</v>
      </c>
      <c r="AI6663" s="492">
        <v>1.4999999999999999E-2</v>
      </c>
      <c r="AJ6663" s="485"/>
    </row>
    <row r="6664" spans="2:36">
      <c r="B6664" s="136" t="s">
        <v>446</v>
      </c>
      <c r="C6664" s="132" t="s">
        <v>1371</v>
      </c>
      <c r="D6664" s="132" t="s">
        <v>1380</v>
      </c>
      <c r="E6664" s="508">
        <v>1.4E-2</v>
      </c>
      <c r="F6664" s="508">
        <v>1.4E-2</v>
      </c>
      <c r="G6664" s="508">
        <v>1.4E-2</v>
      </c>
      <c r="H6664" s="508">
        <v>1.4E-2</v>
      </c>
      <c r="I6664" s="508">
        <v>1.4E-2</v>
      </c>
      <c r="J6664" s="508">
        <v>1.4E-2</v>
      </c>
      <c r="K6664" s="508">
        <v>1.4E-2</v>
      </c>
      <c r="L6664" s="508">
        <v>1.4E-2</v>
      </c>
      <c r="M6664" s="508">
        <v>1.4E-2</v>
      </c>
      <c r="N6664" s="508">
        <v>1.4E-2</v>
      </c>
      <c r="O6664" s="508">
        <v>1.4E-2</v>
      </c>
      <c r="P6664" s="508">
        <v>1.4E-2</v>
      </c>
      <c r="Q6664" s="508">
        <v>1.4E-2</v>
      </c>
      <c r="R6664" s="508">
        <v>1.4E-2</v>
      </c>
      <c r="S6664" s="508">
        <v>1.4E-2</v>
      </c>
      <c r="T6664" s="508">
        <v>1.4E-2</v>
      </c>
      <c r="U6664" s="508">
        <v>1.4E-2</v>
      </c>
      <c r="V6664" s="508">
        <v>1.4E-2</v>
      </c>
      <c r="W6664" s="508">
        <v>1.4E-2</v>
      </c>
      <c r="X6664" s="508">
        <v>1.4E-2</v>
      </c>
      <c r="Y6664" s="508">
        <v>1.4E-2</v>
      </c>
      <c r="Z6664" s="508">
        <v>1.4E-2</v>
      </c>
      <c r="AA6664" s="508">
        <v>1.4E-2</v>
      </c>
      <c r="AB6664" s="508">
        <v>1.4E-2</v>
      </c>
      <c r="AC6664" s="508">
        <v>1.4E-2</v>
      </c>
      <c r="AD6664" s="508">
        <v>1.4E-2</v>
      </c>
      <c r="AE6664" s="508">
        <v>1.4E-2</v>
      </c>
      <c r="AF6664" s="508">
        <v>1.4E-2</v>
      </c>
      <c r="AG6664" s="508">
        <v>1.4E-2</v>
      </c>
      <c r="AH6664" s="508">
        <v>1.4E-2</v>
      </c>
      <c r="AI6664" s="492">
        <v>1.4E-2</v>
      </c>
      <c r="AJ6664" s="485"/>
    </row>
    <row r="6665" spans="2:36">
      <c r="B6665" s="136" t="s">
        <v>448</v>
      </c>
      <c r="C6665" s="132" t="s">
        <v>1371</v>
      </c>
      <c r="D6665" s="132" t="s">
        <v>1380</v>
      </c>
      <c r="E6665" s="508">
        <v>1.7000000000000001E-2</v>
      </c>
      <c r="F6665" s="508">
        <v>1.6E-2</v>
      </c>
      <c r="G6665" s="508">
        <v>1.4999999999999999E-2</v>
      </c>
      <c r="H6665" s="508">
        <v>1.4999999999999999E-2</v>
      </c>
      <c r="I6665" s="508">
        <v>1.4999999999999999E-2</v>
      </c>
      <c r="J6665" s="508">
        <v>1.4E-2</v>
      </c>
      <c r="K6665" s="508">
        <v>1.4999999999999999E-2</v>
      </c>
      <c r="L6665" s="508">
        <v>1.4E-2</v>
      </c>
      <c r="M6665" s="508">
        <v>1.4E-2</v>
      </c>
      <c r="N6665" s="508">
        <v>1.2999999999999999E-2</v>
      </c>
      <c r="O6665" s="508">
        <v>1.2999999999999999E-2</v>
      </c>
      <c r="P6665" s="508">
        <v>1.2999999999999999E-2</v>
      </c>
      <c r="Q6665" s="508">
        <v>1.2E-2</v>
      </c>
      <c r="R6665" s="508">
        <v>1.4E-2</v>
      </c>
      <c r="S6665" s="508">
        <v>1.2E-2</v>
      </c>
      <c r="T6665" s="508">
        <v>1.2E-2</v>
      </c>
      <c r="U6665" s="508">
        <v>1.2999999999999999E-2</v>
      </c>
      <c r="V6665" s="508">
        <v>1.0999999999999999E-2</v>
      </c>
      <c r="W6665" s="508">
        <v>1.0999999999999999E-2</v>
      </c>
      <c r="X6665" s="508">
        <v>1.0999999999999999E-2</v>
      </c>
      <c r="Y6665" s="508">
        <v>1.2E-2</v>
      </c>
      <c r="Z6665" s="508">
        <v>1.0999999999999999E-2</v>
      </c>
      <c r="AA6665" s="508">
        <v>1.2E-2</v>
      </c>
      <c r="AB6665" s="508">
        <v>0.01</v>
      </c>
      <c r="AC6665" s="508">
        <v>1.2999999999999999E-2</v>
      </c>
      <c r="AD6665" s="508">
        <v>1.2E-2</v>
      </c>
      <c r="AE6665" s="508">
        <v>1.0999999999999999E-2</v>
      </c>
      <c r="AF6665" s="508">
        <v>1.0999999999999999E-2</v>
      </c>
      <c r="AG6665" s="508">
        <v>1.0999999999999999E-2</v>
      </c>
      <c r="AH6665" s="508">
        <v>1.0999999999999999E-2</v>
      </c>
      <c r="AI6665" s="492">
        <v>1.0999999999999999E-2</v>
      </c>
      <c r="AJ6665" s="485"/>
    </row>
    <row r="6666" spans="2:36">
      <c r="B6666" s="136" t="s">
        <v>449</v>
      </c>
      <c r="C6666" s="132" t="s">
        <v>1371</v>
      </c>
      <c r="D6666" s="132" t="s">
        <v>1380</v>
      </c>
      <c r="E6666" s="508">
        <v>1.2999999999999999E-2</v>
      </c>
      <c r="F6666" s="508">
        <v>1.2999999999999999E-2</v>
      </c>
      <c r="G6666" s="508">
        <v>1.2999999999999999E-2</v>
      </c>
      <c r="H6666" s="508">
        <v>1.2999999999999999E-2</v>
      </c>
      <c r="I6666" s="508">
        <v>1.2999999999999999E-2</v>
      </c>
      <c r="J6666" s="508">
        <v>1.2999999999999999E-2</v>
      </c>
      <c r="K6666" s="508">
        <v>1.2999999999999999E-2</v>
      </c>
      <c r="L6666" s="508">
        <v>1.2999999999999999E-2</v>
      </c>
      <c r="M6666" s="508">
        <v>1.2999999999999999E-2</v>
      </c>
      <c r="N6666" s="508">
        <v>1.2999999999999999E-2</v>
      </c>
      <c r="O6666" s="508">
        <v>1.2999999999999999E-2</v>
      </c>
      <c r="P6666" s="508">
        <v>1.2999999999999999E-2</v>
      </c>
      <c r="Q6666" s="508">
        <v>1.2999999999999999E-2</v>
      </c>
      <c r="R6666" s="508">
        <v>1.2999999999999999E-2</v>
      </c>
      <c r="S6666" s="508">
        <v>1.2999999999999999E-2</v>
      </c>
      <c r="T6666" s="508">
        <v>1.2999999999999999E-2</v>
      </c>
      <c r="U6666" s="508">
        <v>1.2999999999999999E-2</v>
      </c>
      <c r="V6666" s="508">
        <v>1.2999999999999999E-2</v>
      </c>
      <c r="W6666" s="508">
        <v>1.2999999999999999E-2</v>
      </c>
      <c r="X6666" s="508">
        <v>1.2999999999999999E-2</v>
      </c>
      <c r="Y6666" s="508">
        <v>1.2999999999999999E-2</v>
      </c>
      <c r="Z6666" s="508">
        <v>1.2999999999999999E-2</v>
      </c>
      <c r="AA6666" s="508">
        <v>1.2999999999999999E-2</v>
      </c>
      <c r="AB6666" s="508">
        <v>1.2999999999999999E-2</v>
      </c>
      <c r="AC6666" s="508">
        <v>1.2999999999999999E-2</v>
      </c>
      <c r="AD6666" s="508">
        <v>1.2999999999999999E-2</v>
      </c>
      <c r="AE6666" s="508">
        <v>1.2999999999999999E-2</v>
      </c>
      <c r="AF6666" s="508">
        <v>1.2999999999999999E-2</v>
      </c>
      <c r="AG6666" s="508">
        <v>1.2999999999999999E-2</v>
      </c>
      <c r="AH6666" s="508">
        <v>1.2999999999999999E-2</v>
      </c>
      <c r="AI6666" s="492">
        <v>1.2999999999999999E-2</v>
      </c>
      <c r="AJ6666" s="485"/>
    </row>
    <row r="6667" spans="2:36">
      <c r="B6667" s="136" t="s">
        <v>450</v>
      </c>
      <c r="C6667" s="132" t="s">
        <v>1371</v>
      </c>
      <c r="D6667" s="132" t="s">
        <v>1380</v>
      </c>
      <c r="E6667" s="508">
        <v>1.2E-2</v>
      </c>
      <c r="F6667" s="508">
        <v>1.2E-2</v>
      </c>
      <c r="G6667" s="508">
        <v>1.2E-2</v>
      </c>
      <c r="H6667" s="508">
        <v>1.2E-2</v>
      </c>
      <c r="I6667" s="508">
        <v>1.2E-2</v>
      </c>
      <c r="J6667" s="508">
        <v>1.2E-2</v>
      </c>
      <c r="K6667" s="508">
        <v>1.2E-2</v>
      </c>
      <c r="L6667" s="508">
        <v>1.2E-2</v>
      </c>
      <c r="M6667" s="508">
        <v>1.2E-2</v>
      </c>
      <c r="N6667" s="508">
        <v>1.2E-2</v>
      </c>
      <c r="O6667" s="508">
        <v>1.2E-2</v>
      </c>
      <c r="P6667" s="508">
        <v>1.2E-2</v>
      </c>
      <c r="Q6667" s="508">
        <v>1.2E-2</v>
      </c>
      <c r="R6667" s="508">
        <v>1.2E-2</v>
      </c>
      <c r="S6667" s="508">
        <v>1.2E-2</v>
      </c>
      <c r="T6667" s="508">
        <v>1.2E-2</v>
      </c>
      <c r="U6667" s="508">
        <v>1.2E-2</v>
      </c>
      <c r="V6667" s="508">
        <v>1.2E-2</v>
      </c>
      <c r="W6667" s="508">
        <v>1.2E-2</v>
      </c>
      <c r="X6667" s="508">
        <v>1.2E-2</v>
      </c>
      <c r="Y6667" s="508">
        <v>1.2E-2</v>
      </c>
      <c r="Z6667" s="508">
        <v>1.2E-2</v>
      </c>
      <c r="AA6667" s="508">
        <v>1.2E-2</v>
      </c>
      <c r="AB6667" s="508">
        <v>1.2E-2</v>
      </c>
      <c r="AC6667" s="508">
        <v>1.2E-2</v>
      </c>
      <c r="AD6667" s="508">
        <v>1.2E-2</v>
      </c>
      <c r="AE6667" s="508">
        <v>1.2E-2</v>
      </c>
      <c r="AF6667" s="508">
        <v>1.2E-2</v>
      </c>
      <c r="AG6667" s="508">
        <v>1.2E-2</v>
      </c>
      <c r="AH6667" s="508">
        <v>1.2E-2</v>
      </c>
      <c r="AI6667" s="492">
        <v>1.2E-2</v>
      </c>
      <c r="AJ6667" s="485"/>
    </row>
    <row r="6668" spans="2:36">
      <c r="B6668" s="136" t="s">
        <v>451</v>
      </c>
      <c r="C6668" s="132" t="s">
        <v>1371</v>
      </c>
      <c r="D6668" s="132" t="s">
        <v>1380</v>
      </c>
      <c r="E6668" s="508">
        <v>1.4E-2</v>
      </c>
      <c r="F6668" s="508">
        <v>1.4E-2</v>
      </c>
      <c r="G6668" s="508">
        <v>1.4E-2</v>
      </c>
      <c r="H6668" s="508">
        <v>1.4E-2</v>
      </c>
      <c r="I6668" s="508">
        <v>1.4E-2</v>
      </c>
      <c r="J6668" s="508">
        <v>1.4E-2</v>
      </c>
      <c r="K6668" s="508">
        <v>1.4E-2</v>
      </c>
      <c r="L6668" s="508">
        <v>1.4E-2</v>
      </c>
      <c r="M6668" s="508">
        <v>1.4E-2</v>
      </c>
      <c r="N6668" s="508">
        <v>1.4E-2</v>
      </c>
      <c r="O6668" s="508">
        <v>1.4E-2</v>
      </c>
      <c r="P6668" s="508">
        <v>1.4E-2</v>
      </c>
      <c r="Q6668" s="508">
        <v>1.4E-2</v>
      </c>
      <c r="R6668" s="508">
        <v>1.4E-2</v>
      </c>
      <c r="S6668" s="508">
        <v>1.4E-2</v>
      </c>
      <c r="T6668" s="508">
        <v>1.4E-2</v>
      </c>
      <c r="U6668" s="508">
        <v>1.4E-2</v>
      </c>
      <c r="V6668" s="508">
        <v>1.4E-2</v>
      </c>
      <c r="W6668" s="508">
        <v>1.4E-2</v>
      </c>
      <c r="X6668" s="508">
        <v>1.4E-2</v>
      </c>
      <c r="Y6668" s="508">
        <v>1.4E-2</v>
      </c>
      <c r="Z6668" s="508">
        <v>1.4E-2</v>
      </c>
      <c r="AA6668" s="508">
        <v>1.4E-2</v>
      </c>
      <c r="AB6668" s="508">
        <v>1.4E-2</v>
      </c>
      <c r="AC6668" s="508">
        <v>1.4E-2</v>
      </c>
      <c r="AD6668" s="508">
        <v>1.4E-2</v>
      </c>
      <c r="AE6668" s="508">
        <v>1.4E-2</v>
      </c>
      <c r="AF6668" s="508">
        <v>1.4E-2</v>
      </c>
      <c r="AG6668" s="508">
        <v>1.4E-2</v>
      </c>
      <c r="AH6668" s="508">
        <v>1.4E-2</v>
      </c>
      <c r="AI6668" s="492">
        <v>1.4E-2</v>
      </c>
      <c r="AJ6668" s="485"/>
    </row>
    <row r="6669" spans="2:36">
      <c r="B6669" s="136" t="s">
        <v>452</v>
      </c>
      <c r="C6669" s="132" t="s">
        <v>1371</v>
      </c>
      <c r="D6669" s="132" t="s">
        <v>1380</v>
      </c>
      <c r="E6669" s="508">
        <v>1.2E-2</v>
      </c>
      <c r="F6669" s="508">
        <v>1.2E-2</v>
      </c>
      <c r="G6669" s="508">
        <v>1.2E-2</v>
      </c>
      <c r="H6669" s="508">
        <v>1.2E-2</v>
      </c>
      <c r="I6669" s="508">
        <v>1.2E-2</v>
      </c>
      <c r="J6669" s="508">
        <v>1.2E-2</v>
      </c>
      <c r="K6669" s="508">
        <v>1.2E-2</v>
      </c>
      <c r="L6669" s="508">
        <v>1.2E-2</v>
      </c>
      <c r="M6669" s="508">
        <v>1.2E-2</v>
      </c>
      <c r="N6669" s="508">
        <v>1.2E-2</v>
      </c>
      <c r="O6669" s="508">
        <v>1.2E-2</v>
      </c>
      <c r="P6669" s="508">
        <v>1.2E-2</v>
      </c>
      <c r="Q6669" s="508">
        <v>1.2E-2</v>
      </c>
      <c r="R6669" s="508">
        <v>1.2E-2</v>
      </c>
      <c r="S6669" s="508">
        <v>1.2E-2</v>
      </c>
      <c r="T6669" s="508">
        <v>1.2E-2</v>
      </c>
      <c r="U6669" s="508">
        <v>1.2E-2</v>
      </c>
      <c r="V6669" s="508">
        <v>1.2E-2</v>
      </c>
      <c r="W6669" s="508">
        <v>1.2E-2</v>
      </c>
      <c r="X6669" s="508">
        <v>1.2E-2</v>
      </c>
      <c r="Y6669" s="508">
        <v>1.2E-2</v>
      </c>
      <c r="Z6669" s="508">
        <v>1.2E-2</v>
      </c>
      <c r="AA6669" s="508">
        <v>1.2E-2</v>
      </c>
      <c r="AB6669" s="508">
        <v>1.2E-2</v>
      </c>
      <c r="AC6669" s="508">
        <v>1.2E-2</v>
      </c>
      <c r="AD6669" s="508">
        <v>1.2E-2</v>
      </c>
      <c r="AE6669" s="508">
        <v>1.2E-2</v>
      </c>
      <c r="AF6669" s="508">
        <v>1.2E-2</v>
      </c>
      <c r="AG6669" s="508">
        <v>1.2E-2</v>
      </c>
      <c r="AH6669" s="508">
        <v>1.2E-2</v>
      </c>
      <c r="AI6669" s="492">
        <v>1.2E-2</v>
      </c>
      <c r="AJ6669" s="485"/>
    </row>
    <row r="6670" spans="2:36">
      <c r="B6670" s="136" t="s">
        <v>453</v>
      </c>
      <c r="C6670" s="132" t="s">
        <v>1371</v>
      </c>
      <c r="D6670" s="132" t="s">
        <v>1380</v>
      </c>
      <c r="E6670" s="508">
        <v>1.0999999999999999E-2</v>
      </c>
      <c r="F6670" s="508">
        <v>1.0999999999999999E-2</v>
      </c>
      <c r="G6670" s="508">
        <v>1.0999999999999999E-2</v>
      </c>
      <c r="H6670" s="508">
        <v>1.0999999999999999E-2</v>
      </c>
      <c r="I6670" s="508">
        <v>1.0999999999999999E-2</v>
      </c>
      <c r="J6670" s="508">
        <v>1.0999999999999999E-2</v>
      </c>
      <c r="K6670" s="508">
        <v>1.0999999999999999E-2</v>
      </c>
      <c r="L6670" s="508">
        <v>1.0999999999999999E-2</v>
      </c>
      <c r="M6670" s="508">
        <v>1.0999999999999999E-2</v>
      </c>
      <c r="N6670" s="508">
        <v>1.0999999999999999E-2</v>
      </c>
      <c r="O6670" s="508">
        <v>1.0999999999999999E-2</v>
      </c>
      <c r="P6670" s="508">
        <v>1.0999999999999999E-2</v>
      </c>
      <c r="Q6670" s="508">
        <v>1.0999999999999999E-2</v>
      </c>
      <c r="R6670" s="508">
        <v>1.0999999999999999E-2</v>
      </c>
      <c r="S6670" s="508">
        <v>1.0999999999999999E-2</v>
      </c>
      <c r="T6670" s="508">
        <v>1.0999999999999999E-2</v>
      </c>
      <c r="U6670" s="508">
        <v>1.0999999999999999E-2</v>
      </c>
      <c r="V6670" s="508">
        <v>1.0999999999999999E-2</v>
      </c>
      <c r="W6670" s="508">
        <v>1.0999999999999999E-2</v>
      </c>
      <c r="X6670" s="508">
        <v>1.0999999999999999E-2</v>
      </c>
      <c r="Y6670" s="508">
        <v>1.0999999999999999E-2</v>
      </c>
      <c r="Z6670" s="508">
        <v>1.0999999999999999E-2</v>
      </c>
      <c r="AA6670" s="508">
        <v>1.0999999999999999E-2</v>
      </c>
      <c r="AB6670" s="508">
        <v>1.0999999999999999E-2</v>
      </c>
      <c r="AC6670" s="508">
        <v>1.0999999999999999E-2</v>
      </c>
      <c r="AD6670" s="508">
        <v>1.0999999999999999E-2</v>
      </c>
      <c r="AE6670" s="508">
        <v>1.0999999999999999E-2</v>
      </c>
      <c r="AF6670" s="508">
        <v>1.0999999999999999E-2</v>
      </c>
      <c r="AG6670" s="508">
        <v>1.0999999999999999E-2</v>
      </c>
      <c r="AH6670" s="508">
        <v>1.0999999999999999E-2</v>
      </c>
      <c r="AI6670" s="492">
        <v>1.0999999999999999E-2</v>
      </c>
      <c r="AJ6670" s="485"/>
    </row>
    <row r="6671" spans="2:36">
      <c r="B6671" s="136" t="s">
        <v>454</v>
      </c>
      <c r="C6671" s="132" t="s">
        <v>1371</v>
      </c>
      <c r="D6671" s="132" t="s">
        <v>1380</v>
      </c>
      <c r="E6671" s="508">
        <v>1.0999999999999999E-2</v>
      </c>
      <c r="F6671" s="508">
        <v>1.0999999999999999E-2</v>
      </c>
      <c r="G6671" s="508">
        <v>1.0999999999999999E-2</v>
      </c>
      <c r="H6671" s="508">
        <v>1.0999999999999999E-2</v>
      </c>
      <c r="I6671" s="508">
        <v>1.0999999999999999E-2</v>
      </c>
      <c r="J6671" s="508">
        <v>1.0999999999999999E-2</v>
      </c>
      <c r="K6671" s="508">
        <v>1.0999999999999999E-2</v>
      </c>
      <c r="L6671" s="508">
        <v>1.0999999999999999E-2</v>
      </c>
      <c r="M6671" s="508">
        <v>1.0999999999999999E-2</v>
      </c>
      <c r="N6671" s="508">
        <v>1.0999999999999999E-2</v>
      </c>
      <c r="O6671" s="508">
        <v>1.0999999999999999E-2</v>
      </c>
      <c r="P6671" s="508">
        <v>1.0999999999999999E-2</v>
      </c>
      <c r="Q6671" s="508">
        <v>1.0999999999999999E-2</v>
      </c>
      <c r="R6671" s="508">
        <v>1.0999999999999999E-2</v>
      </c>
      <c r="S6671" s="508">
        <v>1.0999999999999999E-2</v>
      </c>
      <c r="T6671" s="508">
        <v>1.0999999999999999E-2</v>
      </c>
      <c r="U6671" s="508">
        <v>1.0999999999999999E-2</v>
      </c>
      <c r="V6671" s="508">
        <v>1.0999999999999999E-2</v>
      </c>
      <c r="W6671" s="508">
        <v>1.0999999999999999E-2</v>
      </c>
      <c r="X6671" s="508">
        <v>1.0999999999999999E-2</v>
      </c>
      <c r="Y6671" s="508">
        <v>1.0999999999999999E-2</v>
      </c>
      <c r="Z6671" s="508">
        <v>1.0999999999999999E-2</v>
      </c>
      <c r="AA6671" s="508">
        <v>1.0999999999999999E-2</v>
      </c>
      <c r="AB6671" s="508">
        <v>1.0999999999999999E-2</v>
      </c>
      <c r="AC6671" s="508">
        <v>1.0999999999999999E-2</v>
      </c>
      <c r="AD6671" s="508">
        <v>1.0999999999999999E-2</v>
      </c>
      <c r="AE6671" s="508">
        <v>1.0999999999999999E-2</v>
      </c>
      <c r="AF6671" s="508">
        <v>1.0999999999999999E-2</v>
      </c>
      <c r="AG6671" s="508">
        <v>1.0999999999999999E-2</v>
      </c>
      <c r="AH6671" s="508">
        <v>1.0999999999999999E-2</v>
      </c>
      <c r="AI6671" s="492">
        <v>1.0999999999999999E-2</v>
      </c>
      <c r="AJ6671" s="485"/>
    </row>
    <row r="6672" spans="2:36">
      <c r="B6672" s="136" t="s">
        <v>455</v>
      </c>
      <c r="C6672" s="132" t="s">
        <v>1371</v>
      </c>
      <c r="D6672" s="132" t="s">
        <v>1380</v>
      </c>
      <c r="E6672" s="508">
        <v>0.01</v>
      </c>
      <c r="F6672" s="508">
        <v>0.01</v>
      </c>
      <c r="G6672" s="508">
        <v>0.01</v>
      </c>
      <c r="H6672" s="508">
        <v>0.01</v>
      </c>
      <c r="I6672" s="508">
        <v>0.01</v>
      </c>
      <c r="J6672" s="508">
        <v>0.01</v>
      </c>
      <c r="K6672" s="508">
        <v>0.01</v>
      </c>
      <c r="L6672" s="508">
        <v>0.01</v>
      </c>
      <c r="M6672" s="508">
        <v>0.01</v>
      </c>
      <c r="N6672" s="508">
        <v>0.01</v>
      </c>
      <c r="O6672" s="508">
        <v>0.01</v>
      </c>
      <c r="P6672" s="508">
        <v>0.01</v>
      </c>
      <c r="Q6672" s="508">
        <v>0.01</v>
      </c>
      <c r="R6672" s="508">
        <v>0.01</v>
      </c>
      <c r="S6672" s="508">
        <v>0.01</v>
      </c>
      <c r="T6672" s="508">
        <v>0.01</v>
      </c>
      <c r="U6672" s="508">
        <v>0.01</v>
      </c>
      <c r="V6672" s="508">
        <v>0.01</v>
      </c>
      <c r="W6672" s="508">
        <v>0.01</v>
      </c>
      <c r="X6672" s="508">
        <v>0.01</v>
      </c>
      <c r="Y6672" s="508">
        <v>0.01</v>
      </c>
      <c r="Z6672" s="508">
        <v>0.01</v>
      </c>
      <c r="AA6672" s="508">
        <v>0.01</v>
      </c>
      <c r="AB6672" s="508">
        <v>0.01</v>
      </c>
      <c r="AC6672" s="508">
        <v>0.01</v>
      </c>
      <c r="AD6672" s="508">
        <v>0.01</v>
      </c>
      <c r="AE6672" s="508">
        <v>0.01</v>
      </c>
      <c r="AF6672" s="508">
        <v>0.01</v>
      </c>
      <c r="AG6672" s="508">
        <v>0.01</v>
      </c>
      <c r="AH6672" s="508">
        <v>0.01</v>
      </c>
      <c r="AI6672" s="492">
        <v>0.01</v>
      </c>
      <c r="AJ6672" s="485"/>
    </row>
    <row r="6673" spans="2:36">
      <c r="B6673" s="136" t="s">
        <v>456</v>
      </c>
      <c r="C6673" s="132" t="s">
        <v>1371</v>
      </c>
      <c r="D6673" s="132" t="s">
        <v>1380</v>
      </c>
      <c r="E6673" s="508">
        <v>1.0999999999999999E-2</v>
      </c>
      <c r="F6673" s="508">
        <v>1.0999999999999999E-2</v>
      </c>
      <c r="G6673" s="508">
        <v>1.0999999999999999E-2</v>
      </c>
      <c r="H6673" s="508">
        <v>1.0999999999999999E-2</v>
      </c>
      <c r="I6673" s="508">
        <v>1.0999999999999999E-2</v>
      </c>
      <c r="J6673" s="508">
        <v>1.0999999999999999E-2</v>
      </c>
      <c r="K6673" s="508">
        <v>1.0999999999999999E-2</v>
      </c>
      <c r="L6673" s="508">
        <v>1.0999999999999999E-2</v>
      </c>
      <c r="M6673" s="508">
        <v>1.0999999999999999E-2</v>
      </c>
      <c r="N6673" s="508">
        <v>1.0999999999999999E-2</v>
      </c>
      <c r="O6673" s="508">
        <v>1.0999999999999999E-2</v>
      </c>
      <c r="P6673" s="508">
        <v>1.0999999999999999E-2</v>
      </c>
      <c r="Q6673" s="508">
        <v>1.0999999999999999E-2</v>
      </c>
      <c r="R6673" s="508">
        <v>1.0999999999999999E-2</v>
      </c>
      <c r="S6673" s="508">
        <v>1.0999999999999999E-2</v>
      </c>
      <c r="T6673" s="508">
        <v>1.0999999999999999E-2</v>
      </c>
      <c r="U6673" s="508">
        <v>1.0999999999999999E-2</v>
      </c>
      <c r="V6673" s="508">
        <v>1.0999999999999999E-2</v>
      </c>
      <c r="W6673" s="508">
        <v>1.0999999999999999E-2</v>
      </c>
      <c r="X6673" s="508">
        <v>1.0999999999999999E-2</v>
      </c>
      <c r="Y6673" s="508">
        <v>1.0999999999999999E-2</v>
      </c>
      <c r="Z6673" s="508">
        <v>1.0999999999999999E-2</v>
      </c>
      <c r="AA6673" s="508">
        <v>1.0999999999999999E-2</v>
      </c>
      <c r="AB6673" s="508">
        <v>1.0999999999999999E-2</v>
      </c>
      <c r="AC6673" s="508">
        <v>1.0999999999999999E-2</v>
      </c>
      <c r="AD6673" s="508">
        <v>1.0999999999999999E-2</v>
      </c>
      <c r="AE6673" s="508">
        <v>1.0999999999999999E-2</v>
      </c>
      <c r="AF6673" s="508">
        <v>1.0999999999999999E-2</v>
      </c>
      <c r="AG6673" s="508">
        <v>1.0999999999999999E-2</v>
      </c>
      <c r="AH6673" s="508">
        <v>1.0999999999999999E-2</v>
      </c>
      <c r="AI6673" s="492">
        <v>1.0999999999999999E-2</v>
      </c>
      <c r="AJ6673" s="485"/>
    </row>
    <row r="6674" spans="2:36">
      <c r="B6674" s="136" t="s">
        <v>457</v>
      </c>
      <c r="C6674" s="132" t="s">
        <v>1371</v>
      </c>
      <c r="D6674" s="132" t="s">
        <v>1380</v>
      </c>
      <c r="E6674" s="508">
        <v>0.01</v>
      </c>
      <c r="F6674" s="508">
        <v>0.01</v>
      </c>
      <c r="G6674" s="508">
        <v>0.01</v>
      </c>
      <c r="H6674" s="508">
        <v>0.01</v>
      </c>
      <c r="I6674" s="508">
        <v>0.01</v>
      </c>
      <c r="J6674" s="508">
        <v>0.01</v>
      </c>
      <c r="K6674" s="508">
        <v>0.01</v>
      </c>
      <c r="L6674" s="508">
        <v>0.01</v>
      </c>
      <c r="M6674" s="508">
        <v>0.01</v>
      </c>
      <c r="N6674" s="508">
        <v>0.01</v>
      </c>
      <c r="O6674" s="508">
        <v>0.01</v>
      </c>
      <c r="P6674" s="508">
        <v>0.01</v>
      </c>
      <c r="Q6674" s="508">
        <v>0.01</v>
      </c>
      <c r="R6674" s="508">
        <v>0.01</v>
      </c>
      <c r="S6674" s="508">
        <v>0.01</v>
      </c>
      <c r="T6674" s="508">
        <v>0.01</v>
      </c>
      <c r="U6674" s="508">
        <v>0.01</v>
      </c>
      <c r="V6674" s="508">
        <v>0.01</v>
      </c>
      <c r="W6674" s="508">
        <v>0.01</v>
      </c>
      <c r="X6674" s="508">
        <v>0.01</v>
      </c>
      <c r="Y6674" s="508">
        <v>0.01</v>
      </c>
      <c r="Z6674" s="508">
        <v>0.01</v>
      </c>
      <c r="AA6674" s="508">
        <v>0.01</v>
      </c>
      <c r="AB6674" s="508">
        <v>0.01</v>
      </c>
      <c r="AC6674" s="508">
        <v>0.01</v>
      </c>
      <c r="AD6674" s="508">
        <v>0.01</v>
      </c>
      <c r="AE6674" s="508">
        <v>0.01</v>
      </c>
      <c r="AF6674" s="508">
        <v>0.01</v>
      </c>
      <c r="AG6674" s="508">
        <v>0.01</v>
      </c>
      <c r="AH6674" s="508">
        <v>0.01</v>
      </c>
      <c r="AI6674" s="492">
        <v>0.01</v>
      </c>
      <c r="AJ6674" s="485"/>
    </row>
    <row r="6675" spans="2:36">
      <c r="B6675" s="136" t="s">
        <v>458</v>
      </c>
      <c r="C6675" s="132" t="s">
        <v>1371</v>
      </c>
      <c r="D6675" s="132" t="s">
        <v>1380</v>
      </c>
      <c r="E6675" s="508">
        <v>1.2E-2</v>
      </c>
      <c r="F6675" s="508">
        <v>1.2E-2</v>
      </c>
      <c r="G6675" s="508">
        <v>1.2E-2</v>
      </c>
      <c r="H6675" s="508">
        <v>1.2E-2</v>
      </c>
      <c r="I6675" s="508">
        <v>1.2E-2</v>
      </c>
      <c r="J6675" s="508">
        <v>1.2E-2</v>
      </c>
      <c r="K6675" s="508">
        <v>1.2E-2</v>
      </c>
      <c r="L6675" s="508">
        <v>1.2E-2</v>
      </c>
      <c r="M6675" s="508">
        <v>1.2E-2</v>
      </c>
      <c r="N6675" s="508">
        <v>1.2E-2</v>
      </c>
      <c r="O6675" s="508">
        <v>1.2E-2</v>
      </c>
      <c r="P6675" s="508">
        <v>1.2E-2</v>
      </c>
      <c r="Q6675" s="508">
        <v>1.2E-2</v>
      </c>
      <c r="R6675" s="508">
        <v>1.2E-2</v>
      </c>
      <c r="S6675" s="508">
        <v>1.2E-2</v>
      </c>
      <c r="T6675" s="508">
        <v>1.2E-2</v>
      </c>
      <c r="U6675" s="508">
        <v>1.2E-2</v>
      </c>
      <c r="V6675" s="508">
        <v>1.2E-2</v>
      </c>
      <c r="W6675" s="508">
        <v>1.2E-2</v>
      </c>
      <c r="X6675" s="508">
        <v>1.2E-2</v>
      </c>
      <c r="Y6675" s="508">
        <v>1.2E-2</v>
      </c>
      <c r="Z6675" s="508">
        <v>1.2E-2</v>
      </c>
      <c r="AA6675" s="508">
        <v>1.2E-2</v>
      </c>
      <c r="AB6675" s="508">
        <v>1.2E-2</v>
      </c>
      <c r="AC6675" s="508">
        <v>1.2E-2</v>
      </c>
      <c r="AD6675" s="508">
        <v>1.2E-2</v>
      </c>
      <c r="AE6675" s="508">
        <v>1.2E-2</v>
      </c>
      <c r="AF6675" s="508">
        <v>1.2E-2</v>
      </c>
      <c r="AG6675" s="508">
        <v>1.2E-2</v>
      </c>
      <c r="AH6675" s="508">
        <v>1.2E-2</v>
      </c>
      <c r="AI6675" s="492">
        <v>1.2E-2</v>
      </c>
      <c r="AJ6675" s="485"/>
    </row>
    <row r="6676" spans="2:36">
      <c r="B6676" s="136" t="s">
        <v>459</v>
      </c>
      <c r="C6676" s="132" t="s">
        <v>1371</v>
      </c>
      <c r="D6676" s="132" t="s">
        <v>1380</v>
      </c>
      <c r="E6676" s="508">
        <v>1.2E-2</v>
      </c>
      <c r="F6676" s="508">
        <v>1.2E-2</v>
      </c>
      <c r="G6676" s="508">
        <v>1.2E-2</v>
      </c>
      <c r="H6676" s="508">
        <v>1.2E-2</v>
      </c>
      <c r="I6676" s="508">
        <v>1.2E-2</v>
      </c>
      <c r="J6676" s="508">
        <v>1.2E-2</v>
      </c>
      <c r="K6676" s="508">
        <v>1.2E-2</v>
      </c>
      <c r="L6676" s="508">
        <v>1.2E-2</v>
      </c>
      <c r="M6676" s="508">
        <v>1.2E-2</v>
      </c>
      <c r="N6676" s="508">
        <v>1.2E-2</v>
      </c>
      <c r="O6676" s="508">
        <v>1.2E-2</v>
      </c>
      <c r="P6676" s="508">
        <v>1.2E-2</v>
      </c>
      <c r="Q6676" s="508">
        <v>1.2E-2</v>
      </c>
      <c r="R6676" s="508">
        <v>1.2E-2</v>
      </c>
      <c r="S6676" s="508">
        <v>1.2E-2</v>
      </c>
      <c r="T6676" s="508">
        <v>1.2E-2</v>
      </c>
      <c r="U6676" s="508">
        <v>1.2E-2</v>
      </c>
      <c r="V6676" s="508">
        <v>1.2E-2</v>
      </c>
      <c r="W6676" s="508">
        <v>1.2E-2</v>
      </c>
      <c r="X6676" s="508">
        <v>1.2E-2</v>
      </c>
      <c r="Y6676" s="508">
        <v>1.2E-2</v>
      </c>
      <c r="Z6676" s="508">
        <v>1.2E-2</v>
      </c>
      <c r="AA6676" s="508">
        <v>1.2E-2</v>
      </c>
      <c r="AB6676" s="508">
        <v>1.2E-2</v>
      </c>
      <c r="AC6676" s="508">
        <v>1.2E-2</v>
      </c>
      <c r="AD6676" s="508">
        <v>1.2E-2</v>
      </c>
      <c r="AE6676" s="508">
        <v>1.2E-2</v>
      </c>
      <c r="AF6676" s="508">
        <v>1.2E-2</v>
      </c>
      <c r="AG6676" s="508">
        <v>1.2E-2</v>
      </c>
      <c r="AH6676" s="508">
        <v>1.2E-2</v>
      </c>
      <c r="AI6676" s="492">
        <v>1.2E-2</v>
      </c>
      <c r="AJ6676" s="485"/>
    </row>
    <row r="6677" spans="2:36">
      <c r="B6677" s="136" t="s">
        <v>460</v>
      </c>
      <c r="C6677" s="132" t="s">
        <v>1371</v>
      </c>
      <c r="D6677" s="132" t="s">
        <v>1380</v>
      </c>
      <c r="E6677" s="508">
        <v>1.2E-2</v>
      </c>
      <c r="F6677" s="508">
        <v>1.2E-2</v>
      </c>
      <c r="G6677" s="508">
        <v>1.2E-2</v>
      </c>
      <c r="H6677" s="508">
        <v>1.2E-2</v>
      </c>
      <c r="I6677" s="508">
        <v>1.2E-2</v>
      </c>
      <c r="J6677" s="508">
        <v>1.2E-2</v>
      </c>
      <c r="K6677" s="508">
        <v>1.2E-2</v>
      </c>
      <c r="L6677" s="508">
        <v>1.2E-2</v>
      </c>
      <c r="M6677" s="508">
        <v>1.2E-2</v>
      </c>
      <c r="N6677" s="508">
        <v>1.2E-2</v>
      </c>
      <c r="O6677" s="508">
        <v>1.2E-2</v>
      </c>
      <c r="P6677" s="508">
        <v>1.2E-2</v>
      </c>
      <c r="Q6677" s="508">
        <v>1.2E-2</v>
      </c>
      <c r="R6677" s="508">
        <v>1.2E-2</v>
      </c>
      <c r="S6677" s="508">
        <v>1.2E-2</v>
      </c>
      <c r="T6677" s="508">
        <v>1.2E-2</v>
      </c>
      <c r="U6677" s="508">
        <v>1.2E-2</v>
      </c>
      <c r="V6677" s="508">
        <v>1.2E-2</v>
      </c>
      <c r="W6677" s="508">
        <v>1.2E-2</v>
      </c>
      <c r="X6677" s="508">
        <v>1.2E-2</v>
      </c>
      <c r="Y6677" s="508">
        <v>1.2E-2</v>
      </c>
      <c r="Z6677" s="508">
        <v>1.2E-2</v>
      </c>
      <c r="AA6677" s="508">
        <v>1.2E-2</v>
      </c>
      <c r="AB6677" s="508">
        <v>1.2E-2</v>
      </c>
      <c r="AC6677" s="508">
        <v>1.2E-2</v>
      </c>
      <c r="AD6677" s="508">
        <v>1.2E-2</v>
      </c>
      <c r="AE6677" s="508">
        <v>1.2E-2</v>
      </c>
      <c r="AF6677" s="508">
        <v>1.2E-2</v>
      </c>
      <c r="AG6677" s="508">
        <v>1.2E-2</v>
      </c>
      <c r="AH6677" s="508">
        <v>1.2E-2</v>
      </c>
      <c r="AI6677" s="492">
        <v>1.2E-2</v>
      </c>
      <c r="AJ6677" s="485"/>
    </row>
    <row r="6678" spans="2:36">
      <c r="B6678" s="136" t="s">
        <v>461</v>
      </c>
      <c r="C6678" s="132" t="s">
        <v>1371</v>
      </c>
      <c r="D6678" s="132" t="s">
        <v>1380</v>
      </c>
      <c r="E6678" s="508">
        <v>1.0999999999999999E-2</v>
      </c>
      <c r="F6678" s="508">
        <v>1.0999999999999999E-2</v>
      </c>
      <c r="G6678" s="508">
        <v>1.0999999999999999E-2</v>
      </c>
      <c r="H6678" s="508">
        <v>1.0999999999999999E-2</v>
      </c>
      <c r="I6678" s="508">
        <v>1.0999999999999999E-2</v>
      </c>
      <c r="J6678" s="508">
        <v>1.0999999999999999E-2</v>
      </c>
      <c r="K6678" s="508">
        <v>1.0999999999999999E-2</v>
      </c>
      <c r="L6678" s="508">
        <v>1.0999999999999999E-2</v>
      </c>
      <c r="M6678" s="508">
        <v>1.0999999999999999E-2</v>
      </c>
      <c r="N6678" s="508">
        <v>1.0999999999999999E-2</v>
      </c>
      <c r="O6678" s="508">
        <v>1.0999999999999999E-2</v>
      </c>
      <c r="P6678" s="508">
        <v>1.0999999999999999E-2</v>
      </c>
      <c r="Q6678" s="508">
        <v>1.0999999999999999E-2</v>
      </c>
      <c r="R6678" s="508">
        <v>1.0999999999999999E-2</v>
      </c>
      <c r="S6678" s="508">
        <v>1.0999999999999999E-2</v>
      </c>
      <c r="T6678" s="508">
        <v>1.0999999999999999E-2</v>
      </c>
      <c r="U6678" s="508">
        <v>1.0999999999999999E-2</v>
      </c>
      <c r="V6678" s="508">
        <v>1.0999999999999999E-2</v>
      </c>
      <c r="W6678" s="508">
        <v>1.0999999999999999E-2</v>
      </c>
      <c r="X6678" s="508">
        <v>1.0999999999999999E-2</v>
      </c>
      <c r="Y6678" s="508">
        <v>1.0999999999999999E-2</v>
      </c>
      <c r="Z6678" s="508">
        <v>1.0999999999999999E-2</v>
      </c>
      <c r="AA6678" s="508">
        <v>1.0999999999999999E-2</v>
      </c>
      <c r="AB6678" s="508">
        <v>1.0999999999999999E-2</v>
      </c>
      <c r="AC6678" s="508">
        <v>1.0999999999999999E-2</v>
      </c>
      <c r="AD6678" s="508">
        <v>1.0999999999999999E-2</v>
      </c>
      <c r="AE6678" s="508">
        <v>1.0999999999999999E-2</v>
      </c>
      <c r="AF6678" s="508">
        <v>1.0999999999999999E-2</v>
      </c>
      <c r="AG6678" s="508">
        <v>1.0999999999999999E-2</v>
      </c>
      <c r="AH6678" s="508">
        <v>1.0999999999999999E-2</v>
      </c>
      <c r="AI6678" s="492">
        <v>1.0999999999999999E-2</v>
      </c>
      <c r="AJ6678" s="485"/>
    </row>
    <row r="6679" spans="2:36">
      <c r="B6679" s="136" t="s">
        <v>462</v>
      </c>
      <c r="C6679" s="132" t="s">
        <v>1371</v>
      </c>
      <c r="D6679" s="132" t="s">
        <v>1380</v>
      </c>
      <c r="E6679" s="508">
        <v>1.0999999999999999E-2</v>
      </c>
      <c r="F6679" s="508">
        <v>1.0999999999999999E-2</v>
      </c>
      <c r="G6679" s="508">
        <v>1.0999999999999999E-2</v>
      </c>
      <c r="H6679" s="508">
        <v>1.0999999999999999E-2</v>
      </c>
      <c r="I6679" s="508">
        <v>1.0999999999999999E-2</v>
      </c>
      <c r="J6679" s="508">
        <v>1.0999999999999999E-2</v>
      </c>
      <c r="K6679" s="508">
        <v>1.0999999999999999E-2</v>
      </c>
      <c r="L6679" s="508">
        <v>1.0999999999999999E-2</v>
      </c>
      <c r="M6679" s="508">
        <v>1.0999999999999999E-2</v>
      </c>
      <c r="N6679" s="508">
        <v>1.0999999999999999E-2</v>
      </c>
      <c r="O6679" s="508">
        <v>1.0999999999999999E-2</v>
      </c>
      <c r="P6679" s="508">
        <v>1.0999999999999999E-2</v>
      </c>
      <c r="Q6679" s="508">
        <v>1.0999999999999999E-2</v>
      </c>
      <c r="R6679" s="508">
        <v>1.0999999999999999E-2</v>
      </c>
      <c r="S6679" s="508">
        <v>1.0999999999999999E-2</v>
      </c>
      <c r="T6679" s="508">
        <v>1.0999999999999999E-2</v>
      </c>
      <c r="U6679" s="508">
        <v>1.0999999999999999E-2</v>
      </c>
      <c r="V6679" s="508">
        <v>1.0999999999999999E-2</v>
      </c>
      <c r="W6679" s="508">
        <v>1.0999999999999999E-2</v>
      </c>
      <c r="X6679" s="508">
        <v>1.0999999999999999E-2</v>
      </c>
      <c r="Y6679" s="508">
        <v>1.0999999999999999E-2</v>
      </c>
      <c r="Z6679" s="508">
        <v>1.0999999999999999E-2</v>
      </c>
      <c r="AA6679" s="508">
        <v>1.0999999999999999E-2</v>
      </c>
      <c r="AB6679" s="508">
        <v>1.0999999999999999E-2</v>
      </c>
      <c r="AC6679" s="508">
        <v>1.0999999999999999E-2</v>
      </c>
      <c r="AD6679" s="508">
        <v>1.0999999999999999E-2</v>
      </c>
      <c r="AE6679" s="508">
        <v>1.0999999999999999E-2</v>
      </c>
      <c r="AF6679" s="508">
        <v>1.0999999999999999E-2</v>
      </c>
      <c r="AG6679" s="508">
        <v>1.0999999999999999E-2</v>
      </c>
      <c r="AH6679" s="508">
        <v>1.0999999999999999E-2</v>
      </c>
      <c r="AI6679" s="492">
        <v>1.0999999999999999E-2</v>
      </c>
      <c r="AJ6679" s="485"/>
    </row>
    <row r="6680" spans="2:36">
      <c r="B6680" s="136" t="s">
        <v>463</v>
      </c>
      <c r="C6680" s="132" t="s">
        <v>1371</v>
      </c>
      <c r="D6680" s="132" t="s">
        <v>1380</v>
      </c>
      <c r="E6680" s="508">
        <v>0.01</v>
      </c>
      <c r="F6680" s="508">
        <v>0.01</v>
      </c>
      <c r="G6680" s="508">
        <v>0.01</v>
      </c>
      <c r="H6680" s="508">
        <v>0.01</v>
      </c>
      <c r="I6680" s="508">
        <v>0.01</v>
      </c>
      <c r="J6680" s="508">
        <v>0.01</v>
      </c>
      <c r="K6680" s="508">
        <v>0.01</v>
      </c>
      <c r="L6680" s="508">
        <v>0.01</v>
      </c>
      <c r="M6680" s="508">
        <v>0.01</v>
      </c>
      <c r="N6680" s="508">
        <v>0.01</v>
      </c>
      <c r="O6680" s="508">
        <v>0.01</v>
      </c>
      <c r="P6680" s="508">
        <v>0.01</v>
      </c>
      <c r="Q6680" s="508">
        <v>0.01</v>
      </c>
      <c r="R6680" s="508">
        <v>0.01</v>
      </c>
      <c r="S6680" s="508">
        <v>0.01</v>
      </c>
      <c r="T6680" s="508">
        <v>0.01</v>
      </c>
      <c r="U6680" s="508">
        <v>0.01</v>
      </c>
      <c r="V6680" s="508">
        <v>0.01</v>
      </c>
      <c r="W6680" s="508">
        <v>0.01</v>
      </c>
      <c r="X6680" s="508">
        <v>0.01</v>
      </c>
      <c r="Y6680" s="508">
        <v>0.01</v>
      </c>
      <c r="Z6680" s="508">
        <v>0.01</v>
      </c>
      <c r="AA6680" s="508">
        <v>0.01</v>
      </c>
      <c r="AB6680" s="508">
        <v>0.01</v>
      </c>
      <c r="AC6680" s="508">
        <v>0.01</v>
      </c>
      <c r="AD6680" s="508">
        <v>0.01</v>
      </c>
      <c r="AE6680" s="508">
        <v>0.01</v>
      </c>
      <c r="AF6680" s="508">
        <v>0.01</v>
      </c>
      <c r="AG6680" s="508">
        <v>0.01</v>
      </c>
      <c r="AH6680" s="508">
        <v>0.01</v>
      </c>
      <c r="AI6680" s="492">
        <v>0.01</v>
      </c>
      <c r="AJ6680" s="485"/>
    </row>
    <row r="6681" spans="2:36">
      <c r="B6681" s="136" t="s">
        <v>464</v>
      </c>
      <c r="C6681" s="132" t="s">
        <v>1371</v>
      </c>
      <c r="D6681" s="132" t="s">
        <v>1380</v>
      </c>
      <c r="E6681" s="508">
        <v>0.01</v>
      </c>
      <c r="F6681" s="508">
        <v>0.01</v>
      </c>
      <c r="G6681" s="508">
        <v>0.01</v>
      </c>
      <c r="H6681" s="508">
        <v>0.01</v>
      </c>
      <c r="I6681" s="508">
        <v>0.01</v>
      </c>
      <c r="J6681" s="508">
        <v>0.01</v>
      </c>
      <c r="K6681" s="508">
        <v>0.01</v>
      </c>
      <c r="L6681" s="508">
        <v>0.01</v>
      </c>
      <c r="M6681" s="508">
        <v>0.01</v>
      </c>
      <c r="N6681" s="508">
        <v>0.01</v>
      </c>
      <c r="O6681" s="508">
        <v>0.01</v>
      </c>
      <c r="P6681" s="508">
        <v>0.01</v>
      </c>
      <c r="Q6681" s="508">
        <v>0.01</v>
      </c>
      <c r="R6681" s="508">
        <v>0.01</v>
      </c>
      <c r="S6681" s="508">
        <v>0.01</v>
      </c>
      <c r="T6681" s="508">
        <v>0.01</v>
      </c>
      <c r="U6681" s="508">
        <v>0.01</v>
      </c>
      <c r="V6681" s="508">
        <v>0.01</v>
      </c>
      <c r="W6681" s="508">
        <v>0.01</v>
      </c>
      <c r="X6681" s="508">
        <v>0.01</v>
      </c>
      <c r="Y6681" s="508">
        <v>0.01</v>
      </c>
      <c r="Z6681" s="508">
        <v>0.01</v>
      </c>
      <c r="AA6681" s="508">
        <v>0.01</v>
      </c>
      <c r="AB6681" s="508">
        <v>0.01</v>
      </c>
      <c r="AC6681" s="508">
        <v>0.01</v>
      </c>
      <c r="AD6681" s="508">
        <v>0.01</v>
      </c>
      <c r="AE6681" s="508">
        <v>0.01</v>
      </c>
      <c r="AF6681" s="508">
        <v>0.01</v>
      </c>
      <c r="AG6681" s="508">
        <v>0.01</v>
      </c>
      <c r="AH6681" s="508">
        <v>0.01</v>
      </c>
      <c r="AI6681" s="492">
        <v>0.01</v>
      </c>
      <c r="AJ6681" s="485"/>
    </row>
    <row r="6682" spans="2:36">
      <c r="B6682" s="136" t="s">
        <v>465</v>
      </c>
      <c r="C6682" s="132" t="s">
        <v>1371</v>
      </c>
      <c r="D6682" s="132" t="s">
        <v>1380</v>
      </c>
      <c r="E6682" s="508">
        <v>0.01</v>
      </c>
      <c r="F6682" s="508">
        <v>0.01</v>
      </c>
      <c r="G6682" s="508">
        <v>0.01</v>
      </c>
      <c r="H6682" s="508">
        <v>0.01</v>
      </c>
      <c r="I6682" s="508">
        <v>0.01</v>
      </c>
      <c r="J6682" s="508">
        <v>0.01</v>
      </c>
      <c r="K6682" s="508">
        <v>0.01</v>
      </c>
      <c r="L6682" s="508">
        <v>0.01</v>
      </c>
      <c r="M6682" s="508">
        <v>0.01</v>
      </c>
      <c r="N6682" s="508">
        <v>0.01</v>
      </c>
      <c r="O6682" s="508">
        <v>0.01</v>
      </c>
      <c r="P6682" s="508">
        <v>0.01</v>
      </c>
      <c r="Q6682" s="508">
        <v>0.01</v>
      </c>
      <c r="R6682" s="508">
        <v>0.01</v>
      </c>
      <c r="S6682" s="508">
        <v>0.01</v>
      </c>
      <c r="T6682" s="508">
        <v>0.01</v>
      </c>
      <c r="U6682" s="508">
        <v>0.01</v>
      </c>
      <c r="V6682" s="508">
        <v>0.01</v>
      </c>
      <c r="W6682" s="508">
        <v>0.01</v>
      </c>
      <c r="X6682" s="508">
        <v>0.01</v>
      </c>
      <c r="Y6682" s="508">
        <v>0.01</v>
      </c>
      <c r="Z6682" s="508">
        <v>0.01</v>
      </c>
      <c r="AA6682" s="508">
        <v>0.01</v>
      </c>
      <c r="AB6682" s="508">
        <v>0.01</v>
      </c>
      <c r="AC6682" s="508">
        <v>0.01</v>
      </c>
      <c r="AD6682" s="508">
        <v>0.01</v>
      </c>
      <c r="AE6682" s="508">
        <v>0.01</v>
      </c>
      <c r="AF6682" s="508">
        <v>0.01</v>
      </c>
      <c r="AG6682" s="508">
        <v>0.01</v>
      </c>
      <c r="AH6682" s="508">
        <v>0.01</v>
      </c>
      <c r="AI6682" s="492">
        <v>0.01</v>
      </c>
      <c r="AJ6682" s="485"/>
    </row>
    <row r="6683" spans="2:36">
      <c r="B6683" s="136" t="s">
        <v>466</v>
      </c>
      <c r="C6683" s="132" t="s">
        <v>1371</v>
      </c>
      <c r="D6683" s="132" t="s">
        <v>1380</v>
      </c>
      <c r="E6683" s="508">
        <v>1.2999999999999999E-2</v>
      </c>
      <c r="F6683" s="508">
        <v>1.2999999999999999E-2</v>
      </c>
      <c r="G6683" s="508">
        <v>1.2999999999999999E-2</v>
      </c>
      <c r="H6683" s="508">
        <v>1.2999999999999999E-2</v>
      </c>
      <c r="I6683" s="508">
        <v>1.2999999999999999E-2</v>
      </c>
      <c r="J6683" s="508">
        <v>1.2999999999999999E-2</v>
      </c>
      <c r="K6683" s="508">
        <v>1.2999999999999999E-2</v>
      </c>
      <c r="L6683" s="508">
        <v>1.2999999999999999E-2</v>
      </c>
      <c r="M6683" s="508">
        <v>1.2999999999999999E-2</v>
      </c>
      <c r="N6683" s="508">
        <v>1.2999999999999999E-2</v>
      </c>
      <c r="O6683" s="508">
        <v>1.2999999999999999E-2</v>
      </c>
      <c r="P6683" s="508">
        <v>1.2999999999999999E-2</v>
      </c>
      <c r="Q6683" s="508">
        <v>1.2999999999999999E-2</v>
      </c>
      <c r="R6683" s="508">
        <v>1.2999999999999999E-2</v>
      </c>
      <c r="S6683" s="508">
        <v>1.2999999999999999E-2</v>
      </c>
      <c r="T6683" s="508">
        <v>1.2999999999999999E-2</v>
      </c>
      <c r="U6683" s="508">
        <v>1.2999999999999999E-2</v>
      </c>
      <c r="V6683" s="508">
        <v>1.2999999999999999E-2</v>
      </c>
      <c r="W6683" s="508">
        <v>1.2999999999999999E-2</v>
      </c>
      <c r="X6683" s="508">
        <v>1.2999999999999999E-2</v>
      </c>
      <c r="Y6683" s="508">
        <v>1.2999999999999999E-2</v>
      </c>
      <c r="Z6683" s="508">
        <v>1.2999999999999999E-2</v>
      </c>
      <c r="AA6683" s="508">
        <v>1.2999999999999999E-2</v>
      </c>
      <c r="AB6683" s="508">
        <v>1.2999999999999999E-2</v>
      </c>
      <c r="AC6683" s="508">
        <v>1.2999999999999999E-2</v>
      </c>
      <c r="AD6683" s="508">
        <v>1.2999999999999999E-2</v>
      </c>
      <c r="AE6683" s="508">
        <v>1.2999999999999999E-2</v>
      </c>
      <c r="AF6683" s="508">
        <v>1.2999999999999999E-2</v>
      </c>
      <c r="AG6683" s="508">
        <v>1.2999999999999999E-2</v>
      </c>
      <c r="AH6683" s="508">
        <v>1.2999999999999999E-2</v>
      </c>
      <c r="AI6683" s="492">
        <v>1.2999999999999999E-2</v>
      </c>
      <c r="AJ6683" s="485"/>
    </row>
    <row r="6684" spans="2:36">
      <c r="B6684" s="136" t="s">
        <v>467</v>
      </c>
      <c r="C6684" s="132" t="s">
        <v>1371</v>
      </c>
      <c r="D6684" s="132" t="s">
        <v>1380</v>
      </c>
      <c r="E6684" s="508">
        <v>1.0999999999999999E-2</v>
      </c>
      <c r="F6684" s="508">
        <v>1.0999999999999999E-2</v>
      </c>
      <c r="G6684" s="508">
        <v>1.0999999999999999E-2</v>
      </c>
      <c r="H6684" s="508">
        <v>1.0999999999999999E-2</v>
      </c>
      <c r="I6684" s="508">
        <v>1.0999999999999999E-2</v>
      </c>
      <c r="J6684" s="508">
        <v>1.0999999999999999E-2</v>
      </c>
      <c r="K6684" s="508">
        <v>1.0999999999999999E-2</v>
      </c>
      <c r="L6684" s="508">
        <v>1.0999999999999999E-2</v>
      </c>
      <c r="M6684" s="508">
        <v>1.0999999999999999E-2</v>
      </c>
      <c r="N6684" s="508">
        <v>1.0999999999999999E-2</v>
      </c>
      <c r="O6684" s="508">
        <v>1.0999999999999999E-2</v>
      </c>
      <c r="P6684" s="508">
        <v>1.0999999999999999E-2</v>
      </c>
      <c r="Q6684" s="508">
        <v>1.0999999999999999E-2</v>
      </c>
      <c r="R6684" s="508">
        <v>1.0999999999999999E-2</v>
      </c>
      <c r="S6684" s="508">
        <v>1.0999999999999999E-2</v>
      </c>
      <c r="T6684" s="508">
        <v>1.0999999999999999E-2</v>
      </c>
      <c r="U6684" s="508">
        <v>1.0999999999999999E-2</v>
      </c>
      <c r="V6684" s="508">
        <v>1.0999999999999999E-2</v>
      </c>
      <c r="W6684" s="508">
        <v>1.0999999999999999E-2</v>
      </c>
      <c r="X6684" s="508">
        <v>1.0999999999999999E-2</v>
      </c>
      <c r="Y6684" s="508">
        <v>1.0999999999999999E-2</v>
      </c>
      <c r="Z6684" s="508">
        <v>1.0999999999999999E-2</v>
      </c>
      <c r="AA6684" s="508">
        <v>1.0999999999999999E-2</v>
      </c>
      <c r="AB6684" s="508">
        <v>1.0999999999999999E-2</v>
      </c>
      <c r="AC6684" s="508">
        <v>1.0999999999999999E-2</v>
      </c>
      <c r="AD6684" s="508">
        <v>1.0999999999999999E-2</v>
      </c>
      <c r="AE6684" s="508">
        <v>1.0999999999999999E-2</v>
      </c>
      <c r="AF6684" s="508">
        <v>1.0999999999999999E-2</v>
      </c>
      <c r="AG6684" s="508">
        <v>1.0999999999999999E-2</v>
      </c>
      <c r="AH6684" s="508">
        <v>1.0999999999999999E-2</v>
      </c>
      <c r="AI6684" s="492">
        <v>1.0999999999999999E-2</v>
      </c>
      <c r="AJ6684" s="485"/>
    </row>
    <row r="6685" spans="2:36">
      <c r="B6685" s="136" t="s">
        <v>468</v>
      </c>
      <c r="C6685" s="132" t="s">
        <v>1371</v>
      </c>
      <c r="D6685" s="132" t="s">
        <v>1380</v>
      </c>
      <c r="E6685" s="508">
        <v>0.01</v>
      </c>
      <c r="F6685" s="508">
        <v>0.01</v>
      </c>
      <c r="G6685" s="508">
        <v>0.01</v>
      </c>
      <c r="H6685" s="508">
        <v>0.01</v>
      </c>
      <c r="I6685" s="508">
        <v>0.01</v>
      </c>
      <c r="J6685" s="508">
        <v>0.01</v>
      </c>
      <c r="K6685" s="508">
        <v>0.01</v>
      </c>
      <c r="L6685" s="508">
        <v>0.01</v>
      </c>
      <c r="M6685" s="508">
        <v>0.01</v>
      </c>
      <c r="N6685" s="508">
        <v>0.01</v>
      </c>
      <c r="O6685" s="508">
        <v>0.01</v>
      </c>
      <c r="P6685" s="508">
        <v>0.01</v>
      </c>
      <c r="Q6685" s="508">
        <v>0.01</v>
      </c>
      <c r="R6685" s="508">
        <v>0.01</v>
      </c>
      <c r="S6685" s="508">
        <v>0.01</v>
      </c>
      <c r="T6685" s="508">
        <v>0.01</v>
      </c>
      <c r="U6685" s="508">
        <v>0.01</v>
      </c>
      <c r="V6685" s="508">
        <v>0.01</v>
      </c>
      <c r="W6685" s="508">
        <v>0.01</v>
      </c>
      <c r="X6685" s="508">
        <v>0.01</v>
      </c>
      <c r="Y6685" s="508">
        <v>0.01</v>
      </c>
      <c r="Z6685" s="508">
        <v>0.01</v>
      </c>
      <c r="AA6685" s="508">
        <v>0.01</v>
      </c>
      <c r="AB6685" s="508">
        <v>0.01</v>
      </c>
      <c r="AC6685" s="508">
        <v>0.01</v>
      </c>
      <c r="AD6685" s="508">
        <v>0.01</v>
      </c>
      <c r="AE6685" s="508">
        <v>0.01</v>
      </c>
      <c r="AF6685" s="508">
        <v>0.01</v>
      </c>
      <c r="AG6685" s="508">
        <v>0.01</v>
      </c>
      <c r="AH6685" s="508">
        <v>0.01</v>
      </c>
      <c r="AI6685" s="492">
        <v>0.01</v>
      </c>
      <c r="AJ6685" s="485"/>
    </row>
    <row r="6686" spans="2:36">
      <c r="B6686" s="136" t="s">
        <v>469</v>
      </c>
      <c r="C6686" s="132" t="s">
        <v>1371</v>
      </c>
      <c r="D6686" s="132" t="s">
        <v>1380</v>
      </c>
      <c r="E6686" s="508">
        <v>1.0999999999999999E-2</v>
      </c>
      <c r="F6686" s="508">
        <v>1.0999999999999999E-2</v>
      </c>
      <c r="G6686" s="508">
        <v>1.0999999999999999E-2</v>
      </c>
      <c r="H6686" s="508">
        <v>1.0999999999999999E-2</v>
      </c>
      <c r="I6686" s="508">
        <v>1.0999999999999999E-2</v>
      </c>
      <c r="J6686" s="508">
        <v>1.0999999999999999E-2</v>
      </c>
      <c r="K6686" s="508">
        <v>1.0999999999999999E-2</v>
      </c>
      <c r="L6686" s="508">
        <v>1.0999999999999999E-2</v>
      </c>
      <c r="M6686" s="508">
        <v>1.0999999999999999E-2</v>
      </c>
      <c r="N6686" s="508">
        <v>1.0999999999999999E-2</v>
      </c>
      <c r="O6686" s="508">
        <v>1.0999999999999999E-2</v>
      </c>
      <c r="P6686" s="508">
        <v>1.0999999999999999E-2</v>
      </c>
      <c r="Q6686" s="508">
        <v>1.0999999999999999E-2</v>
      </c>
      <c r="R6686" s="508">
        <v>1.0999999999999999E-2</v>
      </c>
      <c r="S6686" s="508">
        <v>1.0999999999999999E-2</v>
      </c>
      <c r="T6686" s="508">
        <v>1.0999999999999999E-2</v>
      </c>
      <c r="U6686" s="508">
        <v>1.0999999999999999E-2</v>
      </c>
      <c r="V6686" s="508">
        <v>1.0999999999999999E-2</v>
      </c>
      <c r="W6686" s="508">
        <v>1.0999999999999999E-2</v>
      </c>
      <c r="X6686" s="508">
        <v>1.0999999999999999E-2</v>
      </c>
      <c r="Y6686" s="508">
        <v>1.0999999999999999E-2</v>
      </c>
      <c r="Z6686" s="508">
        <v>1.0999999999999999E-2</v>
      </c>
      <c r="AA6686" s="508">
        <v>1.0999999999999999E-2</v>
      </c>
      <c r="AB6686" s="508">
        <v>1.0999999999999999E-2</v>
      </c>
      <c r="AC6686" s="508">
        <v>1.0999999999999999E-2</v>
      </c>
      <c r="AD6686" s="508">
        <v>1.0999999999999999E-2</v>
      </c>
      <c r="AE6686" s="508">
        <v>1.0999999999999999E-2</v>
      </c>
      <c r="AF6686" s="508">
        <v>1.0999999999999999E-2</v>
      </c>
      <c r="AG6686" s="508">
        <v>1.0999999999999999E-2</v>
      </c>
      <c r="AH6686" s="508">
        <v>1.0999999999999999E-2</v>
      </c>
      <c r="AI6686" s="492">
        <v>1.0999999999999999E-2</v>
      </c>
      <c r="AJ6686" s="485"/>
    </row>
    <row r="6687" spans="2:36">
      <c r="B6687" s="136" t="s">
        <v>470</v>
      </c>
      <c r="C6687" s="132" t="s">
        <v>1371</v>
      </c>
      <c r="D6687" s="132" t="s">
        <v>1380</v>
      </c>
      <c r="E6687" s="508">
        <v>1.2E-2</v>
      </c>
      <c r="F6687" s="508">
        <v>1.2E-2</v>
      </c>
      <c r="G6687" s="508">
        <v>1.2E-2</v>
      </c>
      <c r="H6687" s="508">
        <v>1.2E-2</v>
      </c>
      <c r="I6687" s="508">
        <v>1.2E-2</v>
      </c>
      <c r="J6687" s="508">
        <v>1.2E-2</v>
      </c>
      <c r="K6687" s="508">
        <v>1.2E-2</v>
      </c>
      <c r="L6687" s="508">
        <v>1.2E-2</v>
      </c>
      <c r="M6687" s="508">
        <v>1.2E-2</v>
      </c>
      <c r="N6687" s="508">
        <v>1.2E-2</v>
      </c>
      <c r="O6687" s="508">
        <v>1.2E-2</v>
      </c>
      <c r="P6687" s="508">
        <v>1.2E-2</v>
      </c>
      <c r="Q6687" s="508">
        <v>1.2E-2</v>
      </c>
      <c r="R6687" s="508">
        <v>1.2E-2</v>
      </c>
      <c r="S6687" s="508">
        <v>1.2E-2</v>
      </c>
      <c r="T6687" s="508">
        <v>1.2E-2</v>
      </c>
      <c r="U6687" s="508">
        <v>1.2E-2</v>
      </c>
      <c r="V6687" s="508">
        <v>1.2E-2</v>
      </c>
      <c r="W6687" s="508">
        <v>1.2E-2</v>
      </c>
      <c r="X6687" s="508">
        <v>1.2E-2</v>
      </c>
      <c r="Y6687" s="508">
        <v>1.2E-2</v>
      </c>
      <c r="Z6687" s="508">
        <v>1.2E-2</v>
      </c>
      <c r="AA6687" s="508">
        <v>1.2E-2</v>
      </c>
      <c r="AB6687" s="508">
        <v>1.2E-2</v>
      </c>
      <c r="AC6687" s="508">
        <v>1.2E-2</v>
      </c>
      <c r="AD6687" s="508">
        <v>1.2E-2</v>
      </c>
      <c r="AE6687" s="508">
        <v>1.2E-2</v>
      </c>
      <c r="AF6687" s="508">
        <v>1.2E-2</v>
      </c>
      <c r="AG6687" s="508">
        <v>1.2E-2</v>
      </c>
      <c r="AH6687" s="508">
        <v>1.2E-2</v>
      </c>
      <c r="AI6687" s="492">
        <v>1.2E-2</v>
      </c>
      <c r="AJ6687" s="485"/>
    </row>
    <row r="6688" spans="2:36">
      <c r="B6688" s="136" t="s">
        <v>471</v>
      </c>
      <c r="C6688" s="132" t="s">
        <v>1371</v>
      </c>
      <c r="D6688" s="132" t="s">
        <v>1380</v>
      </c>
      <c r="E6688" s="508">
        <v>1.2E-2</v>
      </c>
      <c r="F6688" s="508">
        <v>1.2E-2</v>
      </c>
      <c r="G6688" s="508">
        <v>1.2E-2</v>
      </c>
      <c r="H6688" s="508">
        <v>1.2E-2</v>
      </c>
      <c r="I6688" s="508">
        <v>1.2E-2</v>
      </c>
      <c r="J6688" s="508">
        <v>1.2E-2</v>
      </c>
      <c r="K6688" s="508">
        <v>1.2E-2</v>
      </c>
      <c r="L6688" s="508">
        <v>1.2E-2</v>
      </c>
      <c r="M6688" s="508">
        <v>1.2E-2</v>
      </c>
      <c r="N6688" s="508">
        <v>1.2E-2</v>
      </c>
      <c r="O6688" s="508">
        <v>1.2E-2</v>
      </c>
      <c r="P6688" s="508">
        <v>1.2E-2</v>
      </c>
      <c r="Q6688" s="508">
        <v>1.2E-2</v>
      </c>
      <c r="R6688" s="508">
        <v>1.2E-2</v>
      </c>
      <c r="S6688" s="508">
        <v>1.2E-2</v>
      </c>
      <c r="T6688" s="508">
        <v>1.2E-2</v>
      </c>
      <c r="U6688" s="508">
        <v>1.2E-2</v>
      </c>
      <c r="V6688" s="508">
        <v>1.2E-2</v>
      </c>
      <c r="W6688" s="508">
        <v>1.2E-2</v>
      </c>
      <c r="X6688" s="508">
        <v>1.2E-2</v>
      </c>
      <c r="Y6688" s="508">
        <v>1.2E-2</v>
      </c>
      <c r="Z6688" s="508">
        <v>1.2E-2</v>
      </c>
      <c r="AA6688" s="508">
        <v>1.2E-2</v>
      </c>
      <c r="AB6688" s="508">
        <v>1.2E-2</v>
      </c>
      <c r="AC6688" s="508">
        <v>1.2E-2</v>
      </c>
      <c r="AD6688" s="508">
        <v>1.2E-2</v>
      </c>
      <c r="AE6688" s="508">
        <v>1.2E-2</v>
      </c>
      <c r="AF6688" s="508">
        <v>1.2E-2</v>
      </c>
      <c r="AG6688" s="508">
        <v>1.2E-2</v>
      </c>
      <c r="AH6688" s="508">
        <v>1.2E-2</v>
      </c>
      <c r="AI6688" s="492">
        <v>1.2E-2</v>
      </c>
      <c r="AJ6688" s="485"/>
    </row>
    <row r="6689" spans="2:36">
      <c r="B6689" s="136" t="s">
        <v>472</v>
      </c>
      <c r="C6689" s="132" t="s">
        <v>1371</v>
      </c>
      <c r="D6689" s="132" t="s">
        <v>1380</v>
      </c>
      <c r="E6689" s="508">
        <v>0.01</v>
      </c>
      <c r="F6689" s="508">
        <v>0.01</v>
      </c>
      <c r="G6689" s="508">
        <v>0.01</v>
      </c>
      <c r="H6689" s="508">
        <v>0.01</v>
      </c>
      <c r="I6689" s="508">
        <v>0.01</v>
      </c>
      <c r="J6689" s="508">
        <v>0.01</v>
      </c>
      <c r="K6689" s="508">
        <v>0.01</v>
      </c>
      <c r="L6689" s="508">
        <v>0.01</v>
      </c>
      <c r="M6689" s="508">
        <v>0.01</v>
      </c>
      <c r="N6689" s="508">
        <v>0.01</v>
      </c>
      <c r="O6689" s="508">
        <v>0.01</v>
      </c>
      <c r="P6689" s="508">
        <v>0.01</v>
      </c>
      <c r="Q6689" s="508">
        <v>0.01</v>
      </c>
      <c r="R6689" s="508">
        <v>0.01</v>
      </c>
      <c r="S6689" s="508">
        <v>0.01</v>
      </c>
      <c r="T6689" s="508">
        <v>0.01</v>
      </c>
      <c r="U6689" s="508">
        <v>0.01</v>
      </c>
      <c r="V6689" s="508">
        <v>0.01</v>
      </c>
      <c r="W6689" s="508">
        <v>0.01</v>
      </c>
      <c r="X6689" s="508">
        <v>0.01</v>
      </c>
      <c r="Y6689" s="508">
        <v>0.01</v>
      </c>
      <c r="Z6689" s="508">
        <v>0.01</v>
      </c>
      <c r="AA6689" s="508">
        <v>0.01</v>
      </c>
      <c r="AB6689" s="508">
        <v>0.01</v>
      </c>
      <c r="AC6689" s="508">
        <v>0.01</v>
      </c>
      <c r="AD6689" s="508">
        <v>0.01</v>
      </c>
      <c r="AE6689" s="508">
        <v>0.01</v>
      </c>
      <c r="AF6689" s="508">
        <v>0.01</v>
      </c>
      <c r="AG6689" s="508">
        <v>0.01</v>
      </c>
      <c r="AH6689" s="508">
        <v>0.01</v>
      </c>
      <c r="AI6689" s="492">
        <v>0.01</v>
      </c>
      <c r="AJ6689" s="485"/>
    </row>
    <row r="6690" spans="2:36">
      <c r="B6690" s="136" t="s">
        <v>473</v>
      </c>
      <c r="C6690" s="132" t="s">
        <v>1371</v>
      </c>
      <c r="D6690" s="132" t="s">
        <v>1380</v>
      </c>
      <c r="E6690" s="508">
        <v>1.2E-2</v>
      </c>
      <c r="F6690" s="508">
        <v>1.2E-2</v>
      </c>
      <c r="G6690" s="508">
        <v>1.2E-2</v>
      </c>
      <c r="H6690" s="508">
        <v>1.2E-2</v>
      </c>
      <c r="I6690" s="508">
        <v>1.2E-2</v>
      </c>
      <c r="J6690" s="508">
        <v>1.2E-2</v>
      </c>
      <c r="K6690" s="508">
        <v>1.2E-2</v>
      </c>
      <c r="L6690" s="508">
        <v>1.2E-2</v>
      </c>
      <c r="M6690" s="508">
        <v>1.2E-2</v>
      </c>
      <c r="N6690" s="508">
        <v>1.2E-2</v>
      </c>
      <c r="O6690" s="508">
        <v>1.2E-2</v>
      </c>
      <c r="P6690" s="508">
        <v>1.2E-2</v>
      </c>
      <c r="Q6690" s="508">
        <v>1.2E-2</v>
      </c>
      <c r="R6690" s="508">
        <v>1.2E-2</v>
      </c>
      <c r="S6690" s="508">
        <v>1.2E-2</v>
      </c>
      <c r="T6690" s="508">
        <v>1.2E-2</v>
      </c>
      <c r="U6690" s="508">
        <v>1.2E-2</v>
      </c>
      <c r="V6690" s="508">
        <v>1.2E-2</v>
      </c>
      <c r="W6690" s="508">
        <v>1.2E-2</v>
      </c>
      <c r="X6690" s="508">
        <v>1.2E-2</v>
      </c>
      <c r="Y6690" s="508">
        <v>1.2E-2</v>
      </c>
      <c r="Z6690" s="508">
        <v>1.2E-2</v>
      </c>
      <c r="AA6690" s="508">
        <v>1.2E-2</v>
      </c>
      <c r="AB6690" s="508">
        <v>1.2E-2</v>
      </c>
      <c r="AC6690" s="508">
        <v>1.2E-2</v>
      </c>
      <c r="AD6690" s="508">
        <v>1.2E-2</v>
      </c>
      <c r="AE6690" s="508">
        <v>1.2E-2</v>
      </c>
      <c r="AF6690" s="508">
        <v>1.2E-2</v>
      </c>
      <c r="AG6690" s="508">
        <v>1.2E-2</v>
      </c>
      <c r="AH6690" s="508">
        <v>1.2E-2</v>
      </c>
      <c r="AI6690" s="492">
        <v>1.2E-2</v>
      </c>
      <c r="AJ6690" s="485"/>
    </row>
    <row r="6691" spans="2:36">
      <c r="B6691" s="136" t="s">
        <v>474</v>
      </c>
      <c r="C6691" s="132" t="s">
        <v>1371</v>
      </c>
      <c r="D6691" s="132" t="s">
        <v>1380</v>
      </c>
      <c r="E6691" s="508">
        <v>1.0999999999999999E-2</v>
      </c>
      <c r="F6691" s="508">
        <v>1.0999999999999999E-2</v>
      </c>
      <c r="G6691" s="508">
        <v>1.0999999999999999E-2</v>
      </c>
      <c r="H6691" s="508">
        <v>1.0999999999999999E-2</v>
      </c>
      <c r="I6691" s="508">
        <v>1.0999999999999999E-2</v>
      </c>
      <c r="J6691" s="508">
        <v>1.0999999999999999E-2</v>
      </c>
      <c r="K6691" s="508">
        <v>1.0999999999999999E-2</v>
      </c>
      <c r="L6691" s="508">
        <v>1.0999999999999999E-2</v>
      </c>
      <c r="M6691" s="508">
        <v>1.0999999999999999E-2</v>
      </c>
      <c r="N6691" s="508">
        <v>1.0999999999999999E-2</v>
      </c>
      <c r="O6691" s="508">
        <v>1.0999999999999999E-2</v>
      </c>
      <c r="P6691" s="508">
        <v>1.0999999999999999E-2</v>
      </c>
      <c r="Q6691" s="508">
        <v>1.0999999999999999E-2</v>
      </c>
      <c r="R6691" s="508">
        <v>1.0999999999999999E-2</v>
      </c>
      <c r="S6691" s="508">
        <v>1.0999999999999999E-2</v>
      </c>
      <c r="T6691" s="508">
        <v>1.0999999999999999E-2</v>
      </c>
      <c r="U6691" s="508">
        <v>1.0999999999999999E-2</v>
      </c>
      <c r="V6691" s="508">
        <v>1.0999999999999999E-2</v>
      </c>
      <c r="W6691" s="508">
        <v>1.0999999999999999E-2</v>
      </c>
      <c r="X6691" s="508">
        <v>1.0999999999999999E-2</v>
      </c>
      <c r="Y6691" s="508">
        <v>1.0999999999999999E-2</v>
      </c>
      <c r="Z6691" s="508">
        <v>1.0999999999999999E-2</v>
      </c>
      <c r="AA6691" s="508">
        <v>1.0999999999999999E-2</v>
      </c>
      <c r="AB6691" s="508">
        <v>1.0999999999999999E-2</v>
      </c>
      <c r="AC6691" s="508">
        <v>1.0999999999999999E-2</v>
      </c>
      <c r="AD6691" s="508">
        <v>1.0999999999999999E-2</v>
      </c>
      <c r="AE6691" s="508">
        <v>1.0999999999999999E-2</v>
      </c>
      <c r="AF6691" s="508">
        <v>1.0999999999999999E-2</v>
      </c>
      <c r="AG6691" s="508">
        <v>1.0999999999999999E-2</v>
      </c>
      <c r="AH6691" s="508">
        <v>1.0999999999999999E-2</v>
      </c>
      <c r="AI6691" s="492">
        <v>1.0999999999999999E-2</v>
      </c>
      <c r="AJ6691" s="485"/>
    </row>
    <row r="6692" spans="2:36">
      <c r="B6692" s="136" t="s">
        <v>475</v>
      </c>
      <c r="C6692" s="132" t="s">
        <v>1371</v>
      </c>
      <c r="D6692" s="132" t="s">
        <v>1380</v>
      </c>
      <c r="E6692" s="508">
        <v>1.0999999999999999E-2</v>
      </c>
      <c r="F6692" s="508">
        <v>1.0999999999999999E-2</v>
      </c>
      <c r="G6692" s="508">
        <v>1.0999999999999999E-2</v>
      </c>
      <c r="H6692" s="508">
        <v>1.0999999999999999E-2</v>
      </c>
      <c r="I6692" s="508">
        <v>1.0999999999999999E-2</v>
      </c>
      <c r="J6692" s="508">
        <v>1.0999999999999999E-2</v>
      </c>
      <c r="K6692" s="508">
        <v>1.0999999999999999E-2</v>
      </c>
      <c r="L6692" s="508">
        <v>1.0999999999999999E-2</v>
      </c>
      <c r="M6692" s="508">
        <v>1.0999999999999999E-2</v>
      </c>
      <c r="N6692" s="508">
        <v>1.0999999999999999E-2</v>
      </c>
      <c r="O6692" s="508">
        <v>1.0999999999999999E-2</v>
      </c>
      <c r="P6692" s="508">
        <v>1.0999999999999999E-2</v>
      </c>
      <c r="Q6692" s="508">
        <v>1.0999999999999999E-2</v>
      </c>
      <c r="R6692" s="508">
        <v>1.0999999999999999E-2</v>
      </c>
      <c r="S6692" s="508">
        <v>1.0999999999999999E-2</v>
      </c>
      <c r="T6692" s="508">
        <v>1.0999999999999999E-2</v>
      </c>
      <c r="U6692" s="508">
        <v>1.0999999999999999E-2</v>
      </c>
      <c r="V6692" s="508">
        <v>1.0999999999999999E-2</v>
      </c>
      <c r="W6692" s="508">
        <v>1.0999999999999999E-2</v>
      </c>
      <c r="X6692" s="508">
        <v>1.0999999999999999E-2</v>
      </c>
      <c r="Y6692" s="508">
        <v>1.0999999999999999E-2</v>
      </c>
      <c r="Z6692" s="508">
        <v>1.0999999999999999E-2</v>
      </c>
      <c r="AA6692" s="508">
        <v>1.0999999999999999E-2</v>
      </c>
      <c r="AB6692" s="508">
        <v>1.0999999999999999E-2</v>
      </c>
      <c r="AC6692" s="508">
        <v>1.0999999999999999E-2</v>
      </c>
      <c r="AD6692" s="508">
        <v>1.0999999999999999E-2</v>
      </c>
      <c r="AE6692" s="508">
        <v>1.0999999999999999E-2</v>
      </c>
      <c r="AF6692" s="508">
        <v>1.0999999999999999E-2</v>
      </c>
      <c r="AG6692" s="508">
        <v>1.0999999999999999E-2</v>
      </c>
      <c r="AH6692" s="508">
        <v>1.0999999999999999E-2</v>
      </c>
      <c r="AI6692" s="492">
        <v>1.0999999999999999E-2</v>
      </c>
      <c r="AJ6692" s="485"/>
    </row>
    <row r="6693" spans="2:36">
      <c r="B6693" s="136" t="s">
        <v>476</v>
      </c>
      <c r="C6693" s="132" t="s">
        <v>1371</v>
      </c>
      <c r="D6693" s="132" t="s">
        <v>1380</v>
      </c>
      <c r="E6693" s="508">
        <v>1.2E-2</v>
      </c>
      <c r="F6693" s="508">
        <v>1.2E-2</v>
      </c>
      <c r="G6693" s="508">
        <v>1.2E-2</v>
      </c>
      <c r="H6693" s="508">
        <v>1.2E-2</v>
      </c>
      <c r="I6693" s="508">
        <v>1.2E-2</v>
      </c>
      <c r="J6693" s="508">
        <v>1.2E-2</v>
      </c>
      <c r="K6693" s="508">
        <v>1.2E-2</v>
      </c>
      <c r="L6693" s="508">
        <v>1.2E-2</v>
      </c>
      <c r="M6693" s="508">
        <v>1.2E-2</v>
      </c>
      <c r="N6693" s="508">
        <v>1.2E-2</v>
      </c>
      <c r="O6693" s="508">
        <v>1.2E-2</v>
      </c>
      <c r="P6693" s="508">
        <v>1.2E-2</v>
      </c>
      <c r="Q6693" s="508">
        <v>1.2E-2</v>
      </c>
      <c r="R6693" s="508">
        <v>1.2E-2</v>
      </c>
      <c r="S6693" s="508">
        <v>1.2E-2</v>
      </c>
      <c r="T6693" s="508">
        <v>1.2E-2</v>
      </c>
      <c r="U6693" s="508">
        <v>1.2E-2</v>
      </c>
      <c r="V6693" s="508">
        <v>1.2E-2</v>
      </c>
      <c r="W6693" s="508">
        <v>1.2E-2</v>
      </c>
      <c r="X6693" s="508">
        <v>1.2E-2</v>
      </c>
      <c r="Y6693" s="508">
        <v>1.2E-2</v>
      </c>
      <c r="Z6693" s="508">
        <v>1.2E-2</v>
      </c>
      <c r="AA6693" s="508">
        <v>1.2E-2</v>
      </c>
      <c r="AB6693" s="508">
        <v>1.2E-2</v>
      </c>
      <c r="AC6693" s="508">
        <v>1.2E-2</v>
      </c>
      <c r="AD6693" s="508">
        <v>1.2E-2</v>
      </c>
      <c r="AE6693" s="508">
        <v>1.2E-2</v>
      </c>
      <c r="AF6693" s="508">
        <v>1.2E-2</v>
      </c>
      <c r="AG6693" s="508">
        <v>1.2E-2</v>
      </c>
      <c r="AH6693" s="508">
        <v>1.2E-2</v>
      </c>
      <c r="AI6693" s="492">
        <v>1.2E-2</v>
      </c>
      <c r="AJ6693" s="485"/>
    </row>
    <row r="6694" spans="2:36">
      <c r="B6694" s="136" t="s">
        <v>478</v>
      </c>
      <c r="C6694" s="132" t="s">
        <v>1371</v>
      </c>
      <c r="D6694" s="132" t="s">
        <v>1380</v>
      </c>
      <c r="E6694" s="508">
        <v>1.2999999999999999E-2</v>
      </c>
      <c r="F6694" s="508">
        <v>1.2999999999999999E-2</v>
      </c>
      <c r="G6694" s="508">
        <v>1.2999999999999999E-2</v>
      </c>
      <c r="H6694" s="508">
        <v>1.2999999999999999E-2</v>
      </c>
      <c r="I6694" s="508">
        <v>1.2999999999999999E-2</v>
      </c>
      <c r="J6694" s="508">
        <v>1.2999999999999999E-2</v>
      </c>
      <c r="K6694" s="508">
        <v>1.2999999999999999E-2</v>
      </c>
      <c r="L6694" s="508">
        <v>1.2999999999999999E-2</v>
      </c>
      <c r="M6694" s="508">
        <v>1.2999999999999999E-2</v>
      </c>
      <c r="N6694" s="508">
        <v>1.2999999999999999E-2</v>
      </c>
      <c r="O6694" s="508">
        <v>1.2999999999999999E-2</v>
      </c>
      <c r="P6694" s="508">
        <v>1.2999999999999999E-2</v>
      </c>
      <c r="Q6694" s="508">
        <v>1.2999999999999999E-2</v>
      </c>
      <c r="R6694" s="508">
        <v>1.2999999999999999E-2</v>
      </c>
      <c r="S6694" s="508">
        <v>1.2999999999999999E-2</v>
      </c>
      <c r="T6694" s="508">
        <v>1.2999999999999999E-2</v>
      </c>
      <c r="U6694" s="508">
        <v>1.2999999999999999E-2</v>
      </c>
      <c r="V6694" s="508">
        <v>1.2999999999999999E-2</v>
      </c>
      <c r="W6694" s="508">
        <v>1.2999999999999999E-2</v>
      </c>
      <c r="X6694" s="508">
        <v>1.2999999999999999E-2</v>
      </c>
      <c r="Y6694" s="508">
        <v>1.2999999999999999E-2</v>
      </c>
      <c r="Z6694" s="508">
        <v>1.2999999999999999E-2</v>
      </c>
      <c r="AA6694" s="508">
        <v>1.2999999999999999E-2</v>
      </c>
      <c r="AB6694" s="508">
        <v>1.2999999999999999E-2</v>
      </c>
      <c r="AC6694" s="508">
        <v>1.2999999999999999E-2</v>
      </c>
      <c r="AD6694" s="508">
        <v>1.2999999999999999E-2</v>
      </c>
      <c r="AE6694" s="508">
        <v>1.2999999999999999E-2</v>
      </c>
      <c r="AF6694" s="508">
        <v>1.2999999999999999E-2</v>
      </c>
      <c r="AG6694" s="508">
        <v>1.2999999999999999E-2</v>
      </c>
      <c r="AH6694" s="508">
        <v>1.2999999999999999E-2</v>
      </c>
      <c r="AI6694" s="492">
        <v>1.2999999999999999E-2</v>
      </c>
      <c r="AJ6694" s="485"/>
    </row>
    <row r="6695" spans="2:36">
      <c r="B6695" s="136" t="s">
        <v>479</v>
      </c>
      <c r="C6695" s="132" t="s">
        <v>1371</v>
      </c>
      <c r="D6695" s="132" t="s">
        <v>1380</v>
      </c>
      <c r="E6695" s="508">
        <v>1.0999999999999999E-2</v>
      </c>
      <c r="F6695" s="508">
        <v>1.0999999999999999E-2</v>
      </c>
      <c r="G6695" s="508">
        <v>1.0999999999999999E-2</v>
      </c>
      <c r="H6695" s="508">
        <v>1.0999999999999999E-2</v>
      </c>
      <c r="I6695" s="508">
        <v>1.0999999999999999E-2</v>
      </c>
      <c r="J6695" s="508">
        <v>1.0999999999999999E-2</v>
      </c>
      <c r="K6695" s="508">
        <v>1.0999999999999999E-2</v>
      </c>
      <c r="L6695" s="508">
        <v>1.0999999999999999E-2</v>
      </c>
      <c r="M6695" s="508">
        <v>1.0999999999999999E-2</v>
      </c>
      <c r="N6695" s="508">
        <v>1.0999999999999999E-2</v>
      </c>
      <c r="O6695" s="508">
        <v>1.0999999999999999E-2</v>
      </c>
      <c r="P6695" s="508">
        <v>1.0999999999999999E-2</v>
      </c>
      <c r="Q6695" s="508">
        <v>1.0999999999999999E-2</v>
      </c>
      <c r="R6695" s="508">
        <v>1.0999999999999999E-2</v>
      </c>
      <c r="S6695" s="508">
        <v>1.0999999999999999E-2</v>
      </c>
      <c r="T6695" s="508">
        <v>1.0999999999999999E-2</v>
      </c>
      <c r="U6695" s="508">
        <v>1.0999999999999999E-2</v>
      </c>
      <c r="V6695" s="508">
        <v>1.0999999999999999E-2</v>
      </c>
      <c r="W6695" s="508">
        <v>1.0999999999999999E-2</v>
      </c>
      <c r="X6695" s="508">
        <v>1.0999999999999999E-2</v>
      </c>
      <c r="Y6695" s="508">
        <v>1.0999999999999999E-2</v>
      </c>
      <c r="Z6695" s="508">
        <v>1.0999999999999999E-2</v>
      </c>
      <c r="AA6695" s="508">
        <v>1.0999999999999999E-2</v>
      </c>
      <c r="AB6695" s="508">
        <v>1.0999999999999999E-2</v>
      </c>
      <c r="AC6695" s="508">
        <v>1.0999999999999999E-2</v>
      </c>
      <c r="AD6695" s="508">
        <v>1.0999999999999999E-2</v>
      </c>
      <c r="AE6695" s="508">
        <v>1.0999999999999999E-2</v>
      </c>
      <c r="AF6695" s="508">
        <v>1.0999999999999999E-2</v>
      </c>
      <c r="AG6695" s="508">
        <v>1.0999999999999999E-2</v>
      </c>
      <c r="AH6695" s="508">
        <v>1.0999999999999999E-2</v>
      </c>
      <c r="AI6695" s="492">
        <v>1.0999999999999999E-2</v>
      </c>
      <c r="AJ6695" s="485"/>
    </row>
    <row r="6696" spans="2:36">
      <c r="B6696" s="136" t="s">
        <v>480</v>
      </c>
      <c r="C6696" s="132" t="s">
        <v>1371</v>
      </c>
      <c r="D6696" s="132" t="s">
        <v>1380</v>
      </c>
      <c r="E6696" s="508">
        <v>0.01</v>
      </c>
      <c r="F6696" s="508">
        <v>0.01</v>
      </c>
      <c r="G6696" s="508">
        <v>0.01</v>
      </c>
      <c r="H6696" s="508">
        <v>0.01</v>
      </c>
      <c r="I6696" s="508">
        <v>0.01</v>
      </c>
      <c r="J6696" s="508">
        <v>0.01</v>
      </c>
      <c r="K6696" s="508">
        <v>0.01</v>
      </c>
      <c r="L6696" s="508">
        <v>0.01</v>
      </c>
      <c r="M6696" s="508">
        <v>0.01</v>
      </c>
      <c r="N6696" s="508">
        <v>0.01</v>
      </c>
      <c r="O6696" s="508">
        <v>0.01</v>
      </c>
      <c r="P6696" s="508">
        <v>0.01</v>
      </c>
      <c r="Q6696" s="508">
        <v>0.01</v>
      </c>
      <c r="R6696" s="508">
        <v>0.01</v>
      </c>
      <c r="S6696" s="508">
        <v>0.01</v>
      </c>
      <c r="T6696" s="508">
        <v>0.01</v>
      </c>
      <c r="U6696" s="508">
        <v>0.01</v>
      </c>
      <c r="V6696" s="508">
        <v>0.01</v>
      </c>
      <c r="W6696" s="508">
        <v>0.01</v>
      </c>
      <c r="X6696" s="508">
        <v>0.01</v>
      </c>
      <c r="Y6696" s="508">
        <v>0.01</v>
      </c>
      <c r="Z6696" s="508">
        <v>0.01</v>
      </c>
      <c r="AA6696" s="508">
        <v>0.01</v>
      </c>
      <c r="AB6696" s="508">
        <v>0.01</v>
      </c>
      <c r="AC6696" s="508">
        <v>0.01</v>
      </c>
      <c r="AD6696" s="508">
        <v>0.01</v>
      </c>
      <c r="AE6696" s="508">
        <v>0.01</v>
      </c>
      <c r="AF6696" s="508">
        <v>0.01</v>
      </c>
      <c r="AG6696" s="508">
        <v>0.01</v>
      </c>
      <c r="AH6696" s="508">
        <v>0.01</v>
      </c>
      <c r="AI6696" s="492">
        <v>0.01</v>
      </c>
      <c r="AJ6696" s="485"/>
    </row>
    <row r="6697" spans="2:36">
      <c r="B6697" s="136" t="s">
        <v>481</v>
      </c>
      <c r="C6697" s="132" t="s">
        <v>1371</v>
      </c>
      <c r="D6697" s="132" t="s">
        <v>1380</v>
      </c>
      <c r="E6697" s="508">
        <v>1.0999999999999999E-2</v>
      </c>
      <c r="F6697" s="508">
        <v>1.0999999999999999E-2</v>
      </c>
      <c r="G6697" s="508">
        <v>1.0999999999999999E-2</v>
      </c>
      <c r="H6697" s="508">
        <v>1.0999999999999999E-2</v>
      </c>
      <c r="I6697" s="508">
        <v>1.0999999999999999E-2</v>
      </c>
      <c r="J6697" s="508">
        <v>1.0999999999999999E-2</v>
      </c>
      <c r="K6697" s="508">
        <v>1.0999999999999999E-2</v>
      </c>
      <c r="L6697" s="508">
        <v>1.0999999999999999E-2</v>
      </c>
      <c r="M6697" s="508">
        <v>1.0999999999999999E-2</v>
      </c>
      <c r="N6697" s="508">
        <v>1.0999999999999999E-2</v>
      </c>
      <c r="O6697" s="508">
        <v>1.0999999999999999E-2</v>
      </c>
      <c r="P6697" s="508">
        <v>1.0999999999999999E-2</v>
      </c>
      <c r="Q6697" s="508">
        <v>1.0999999999999999E-2</v>
      </c>
      <c r="R6697" s="508">
        <v>1.0999999999999999E-2</v>
      </c>
      <c r="S6697" s="508">
        <v>1.0999999999999999E-2</v>
      </c>
      <c r="T6697" s="508">
        <v>1.0999999999999999E-2</v>
      </c>
      <c r="U6697" s="508">
        <v>1.0999999999999999E-2</v>
      </c>
      <c r="V6697" s="508">
        <v>1.0999999999999999E-2</v>
      </c>
      <c r="W6697" s="508">
        <v>1.0999999999999999E-2</v>
      </c>
      <c r="X6697" s="508">
        <v>1.0999999999999999E-2</v>
      </c>
      <c r="Y6697" s="508">
        <v>1.0999999999999999E-2</v>
      </c>
      <c r="Z6697" s="508">
        <v>1.0999999999999999E-2</v>
      </c>
      <c r="AA6697" s="508">
        <v>1.0999999999999999E-2</v>
      </c>
      <c r="AB6697" s="508">
        <v>1.0999999999999999E-2</v>
      </c>
      <c r="AC6697" s="508">
        <v>1.0999999999999999E-2</v>
      </c>
      <c r="AD6697" s="508">
        <v>1.0999999999999999E-2</v>
      </c>
      <c r="AE6697" s="508">
        <v>1.0999999999999999E-2</v>
      </c>
      <c r="AF6697" s="508">
        <v>1.0999999999999999E-2</v>
      </c>
      <c r="AG6697" s="508">
        <v>1.0999999999999999E-2</v>
      </c>
      <c r="AH6697" s="508">
        <v>1.0999999999999999E-2</v>
      </c>
      <c r="AI6697" s="492">
        <v>1.0999999999999999E-2</v>
      </c>
      <c r="AJ6697" s="485"/>
    </row>
    <row r="6698" spans="2:36">
      <c r="B6698" s="136" t="s">
        <v>482</v>
      </c>
      <c r="C6698" s="132" t="s">
        <v>1371</v>
      </c>
      <c r="D6698" s="132" t="s">
        <v>1380</v>
      </c>
      <c r="E6698" s="508">
        <v>1.0999999999999999E-2</v>
      </c>
      <c r="F6698" s="508">
        <v>1.0999999999999999E-2</v>
      </c>
      <c r="G6698" s="508">
        <v>1.0999999999999999E-2</v>
      </c>
      <c r="H6698" s="508">
        <v>1.0999999999999999E-2</v>
      </c>
      <c r="I6698" s="508">
        <v>1.0999999999999999E-2</v>
      </c>
      <c r="J6698" s="508">
        <v>1.0999999999999999E-2</v>
      </c>
      <c r="K6698" s="508">
        <v>1.0999999999999999E-2</v>
      </c>
      <c r="L6698" s="508">
        <v>1.0999999999999999E-2</v>
      </c>
      <c r="M6698" s="508">
        <v>1.0999999999999999E-2</v>
      </c>
      <c r="N6698" s="508">
        <v>1.0999999999999999E-2</v>
      </c>
      <c r="O6698" s="508">
        <v>1.0999999999999999E-2</v>
      </c>
      <c r="P6698" s="508">
        <v>1.0999999999999999E-2</v>
      </c>
      <c r="Q6698" s="508">
        <v>1.0999999999999999E-2</v>
      </c>
      <c r="R6698" s="508">
        <v>1.0999999999999999E-2</v>
      </c>
      <c r="S6698" s="508">
        <v>1.0999999999999999E-2</v>
      </c>
      <c r="T6698" s="508">
        <v>1.0999999999999999E-2</v>
      </c>
      <c r="U6698" s="508">
        <v>1.0999999999999999E-2</v>
      </c>
      <c r="V6698" s="508">
        <v>1.0999999999999999E-2</v>
      </c>
      <c r="W6698" s="508">
        <v>1.0999999999999999E-2</v>
      </c>
      <c r="X6698" s="508">
        <v>1.0999999999999999E-2</v>
      </c>
      <c r="Y6698" s="508">
        <v>1.0999999999999999E-2</v>
      </c>
      <c r="Z6698" s="508">
        <v>1.0999999999999999E-2</v>
      </c>
      <c r="AA6698" s="508">
        <v>1.0999999999999999E-2</v>
      </c>
      <c r="AB6698" s="508">
        <v>1.0999999999999999E-2</v>
      </c>
      <c r="AC6698" s="508">
        <v>1.0999999999999999E-2</v>
      </c>
      <c r="AD6698" s="508">
        <v>1.0999999999999999E-2</v>
      </c>
      <c r="AE6698" s="508">
        <v>1.0999999999999999E-2</v>
      </c>
      <c r="AF6698" s="508">
        <v>1.0999999999999999E-2</v>
      </c>
      <c r="AG6698" s="508">
        <v>1.0999999999999999E-2</v>
      </c>
      <c r="AH6698" s="508">
        <v>1.0999999999999999E-2</v>
      </c>
      <c r="AI6698" s="492">
        <v>1.0999999999999999E-2</v>
      </c>
      <c r="AJ6698" s="485"/>
    </row>
    <row r="6699" spans="2:36">
      <c r="B6699" s="136" t="s">
        <v>483</v>
      </c>
      <c r="C6699" s="132" t="s">
        <v>1371</v>
      </c>
      <c r="D6699" s="132" t="s">
        <v>1380</v>
      </c>
      <c r="E6699" s="508">
        <v>1.2E-2</v>
      </c>
      <c r="F6699" s="508">
        <v>1.2E-2</v>
      </c>
      <c r="G6699" s="508">
        <v>1.2E-2</v>
      </c>
      <c r="H6699" s="508">
        <v>1.2E-2</v>
      </c>
      <c r="I6699" s="508">
        <v>1.2E-2</v>
      </c>
      <c r="J6699" s="508">
        <v>1.2E-2</v>
      </c>
      <c r="K6699" s="508">
        <v>1.2E-2</v>
      </c>
      <c r="L6699" s="508">
        <v>1.2E-2</v>
      </c>
      <c r="M6699" s="508">
        <v>1.2E-2</v>
      </c>
      <c r="N6699" s="508">
        <v>1.2E-2</v>
      </c>
      <c r="O6699" s="508">
        <v>1.2E-2</v>
      </c>
      <c r="P6699" s="508">
        <v>1.2E-2</v>
      </c>
      <c r="Q6699" s="508">
        <v>1.2E-2</v>
      </c>
      <c r="R6699" s="508">
        <v>1.2E-2</v>
      </c>
      <c r="S6699" s="508">
        <v>1.2E-2</v>
      </c>
      <c r="T6699" s="508">
        <v>1.2E-2</v>
      </c>
      <c r="U6699" s="508">
        <v>1.2E-2</v>
      </c>
      <c r="V6699" s="508">
        <v>1.2E-2</v>
      </c>
      <c r="W6699" s="508">
        <v>1.2E-2</v>
      </c>
      <c r="X6699" s="508">
        <v>1.2E-2</v>
      </c>
      <c r="Y6699" s="508">
        <v>1.2E-2</v>
      </c>
      <c r="Z6699" s="508">
        <v>1.2E-2</v>
      </c>
      <c r="AA6699" s="508">
        <v>1.2E-2</v>
      </c>
      <c r="AB6699" s="508">
        <v>1.2E-2</v>
      </c>
      <c r="AC6699" s="508">
        <v>1.2E-2</v>
      </c>
      <c r="AD6699" s="508">
        <v>1.2E-2</v>
      </c>
      <c r="AE6699" s="508">
        <v>1.2E-2</v>
      </c>
      <c r="AF6699" s="508">
        <v>1.2E-2</v>
      </c>
      <c r="AG6699" s="508">
        <v>1.2E-2</v>
      </c>
      <c r="AH6699" s="508">
        <v>1.2E-2</v>
      </c>
      <c r="AI6699" s="492">
        <v>1.2E-2</v>
      </c>
      <c r="AJ6699" s="485"/>
    </row>
    <row r="6700" spans="2:36">
      <c r="B6700" s="136" t="s">
        <v>484</v>
      </c>
      <c r="C6700" s="132" t="s">
        <v>1371</v>
      </c>
      <c r="D6700" s="132" t="s">
        <v>1380</v>
      </c>
      <c r="E6700" s="508">
        <v>0.01</v>
      </c>
      <c r="F6700" s="508">
        <v>0.01</v>
      </c>
      <c r="G6700" s="508">
        <v>0.01</v>
      </c>
      <c r="H6700" s="508">
        <v>0.01</v>
      </c>
      <c r="I6700" s="508">
        <v>0.01</v>
      </c>
      <c r="J6700" s="508">
        <v>0.01</v>
      </c>
      <c r="K6700" s="508">
        <v>0.01</v>
      </c>
      <c r="L6700" s="508">
        <v>0.01</v>
      </c>
      <c r="M6700" s="508">
        <v>0.01</v>
      </c>
      <c r="N6700" s="508">
        <v>0.01</v>
      </c>
      <c r="O6700" s="508">
        <v>0.01</v>
      </c>
      <c r="P6700" s="508">
        <v>0.01</v>
      </c>
      <c r="Q6700" s="508">
        <v>0.01</v>
      </c>
      <c r="R6700" s="508">
        <v>0.01</v>
      </c>
      <c r="S6700" s="508">
        <v>0.01</v>
      </c>
      <c r="T6700" s="508">
        <v>0.01</v>
      </c>
      <c r="U6700" s="508">
        <v>0.01</v>
      </c>
      <c r="V6700" s="508">
        <v>0.01</v>
      </c>
      <c r="W6700" s="508">
        <v>0.01</v>
      </c>
      <c r="X6700" s="508">
        <v>0.01</v>
      </c>
      <c r="Y6700" s="508">
        <v>0.01</v>
      </c>
      <c r="Z6700" s="508">
        <v>0.01</v>
      </c>
      <c r="AA6700" s="508">
        <v>0.01</v>
      </c>
      <c r="AB6700" s="508">
        <v>0.01</v>
      </c>
      <c r="AC6700" s="508">
        <v>0.01</v>
      </c>
      <c r="AD6700" s="508">
        <v>0.01</v>
      </c>
      <c r="AE6700" s="508">
        <v>0.01</v>
      </c>
      <c r="AF6700" s="508">
        <v>0.01</v>
      </c>
      <c r="AG6700" s="508">
        <v>0.01</v>
      </c>
      <c r="AH6700" s="508">
        <v>0.01</v>
      </c>
      <c r="AI6700" s="492">
        <v>0.01</v>
      </c>
      <c r="AJ6700" s="485"/>
    </row>
    <row r="6701" spans="2:36">
      <c r="B6701" s="136" t="s">
        <v>486</v>
      </c>
      <c r="C6701" s="132" t="s">
        <v>1371</v>
      </c>
      <c r="D6701" s="132" t="s">
        <v>1380</v>
      </c>
      <c r="E6701" s="508">
        <v>1.2E-2</v>
      </c>
      <c r="F6701" s="508">
        <v>1.2E-2</v>
      </c>
      <c r="G6701" s="508">
        <v>1.2E-2</v>
      </c>
      <c r="H6701" s="508">
        <v>1.2E-2</v>
      </c>
      <c r="I6701" s="508">
        <v>1.2E-2</v>
      </c>
      <c r="J6701" s="508">
        <v>1.2E-2</v>
      </c>
      <c r="K6701" s="508">
        <v>1.2E-2</v>
      </c>
      <c r="L6701" s="508">
        <v>1.2E-2</v>
      </c>
      <c r="M6701" s="508">
        <v>1.2E-2</v>
      </c>
      <c r="N6701" s="508">
        <v>1.2E-2</v>
      </c>
      <c r="O6701" s="508">
        <v>1.2E-2</v>
      </c>
      <c r="P6701" s="508">
        <v>1.2E-2</v>
      </c>
      <c r="Q6701" s="508">
        <v>1.2E-2</v>
      </c>
      <c r="R6701" s="508">
        <v>1.2E-2</v>
      </c>
      <c r="S6701" s="508">
        <v>1.2E-2</v>
      </c>
      <c r="T6701" s="508">
        <v>1.2E-2</v>
      </c>
      <c r="U6701" s="508">
        <v>1.2E-2</v>
      </c>
      <c r="V6701" s="508">
        <v>1.2E-2</v>
      </c>
      <c r="W6701" s="508">
        <v>1.2E-2</v>
      </c>
      <c r="X6701" s="508">
        <v>1.2E-2</v>
      </c>
      <c r="Y6701" s="508">
        <v>1.2E-2</v>
      </c>
      <c r="Z6701" s="508">
        <v>1.2E-2</v>
      </c>
      <c r="AA6701" s="508">
        <v>1.2E-2</v>
      </c>
      <c r="AB6701" s="508">
        <v>1.2E-2</v>
      </c>
      <c r="AC6701" s="508">
        <v>1.2E-2</v>
      </c>
      <c r="AD6701" s="508">
        <v>1.2E-2</v>
      </c>
      <c r="AE6701" s="508">
        <v>1.2E-2</v>
      </c>
      <c r="AF6701" s="508">
        <v>1.2E-2</v>
      </c>
      <c r="AG6701" s="508">
        <v>1.2E-2</v>
      </c>
      <c r="AH6701" s="508">
        <v>1.2E-2</v>
      </c>
      <c r="AI6701" s="492">
        <v>1.2E-2</v>
      </c>
      <c r="AJ6701" s="485"/>
    </row>
    <row r="6702" spans="2:36">
      <c r="B6702" s="136" t="s">
        <v>487</v>
      </c>
      <c r="C6702" s="132" t="s">
        <v>1371</v>
      </c>
      <c r="D6702" s="132" t="s">
        <v>1380</v>
      </c>
      <c r="E6702" s="508">
        <v>1.0999999999999999E-2</v>
      </c>
      <c r="F6702" s="508">
        <v>1.0999999999999999E-2</v>
      </c>
      <c r="G6702" s="508">
        <v>1.0999999999999999E-2</v>
      </c>
      <c r="H6702" s="508">
        <v>1.0999999999999999E-2</v>
      </c>
      <c r="I6702" s="508">
        <v>1.0999999999999999E-2</v>
      </c>
      <c r="J6702" s="508">
        <v>1.0999999999999999E-2</v>
      </c>
      <c r="K6702" s="508">
        <v>1.0999999999999999E-2</v>
      </c>
      <c r="L6702" s="508">
        <v>1.0999999999999999E-2</v>
      </c>
      <c r="M6702" s="508">
        <v>1.0999999999999999E-2</v>
      </c>
      <c r="N6702" s="508">
        <v>1.0999999999999999E-2</v>
      </c>
      <c r="O6702" s="508">
        <v>1.0999999999999999E-2</v>
      </c>
      <c r="P6702" s="508">
        <v>1.0999999999999999E-2</v>
      </c>
      <c r="Q6702" s="508">
        <v>1.0999999999999999E-2</v>
      </c>
      <c r="R6702" s="508">
        <v>1.0999999999999999E-2</v>
      </c>
      <c r="S6702" s="508">
        <v>1.0999999999999999E-2</v>
      </c>
      <c r="T6702" s="508">
        <v>1.0999999999999999E-2</v>
      </c>
      <c r="U6702" s="508">
        <v>1.0999999999999999E-2</v>
      </c>
      <c r="V6702" s="508">
        <v>1.0999999999999999E-2</v>
      </c>
      <c r="W6702" s="508">
        <v>1.0999999999999999E-2</v>
      </c>
      <c r="X6702" s="508">
        <v>1.0999999999999999E-2</v>
      </c>
      <c r="Y6702" s="508">
        <v>1.0999999999999999E-2</v>
      </c>
      <c r="Z6702" s="508">
        <v>1.0999999999999999E-2</v>
      </c>
      <c r="AA6702" s="508">
        <v>1.0999999999999999E-2</v>
      </c>
      <c r="AB6702" s="508">
        <v>1.0999999999999999E-2</v>
      </c>
      <c r="AC6702" s="508">
        <v>1.0999999999999999E-2</v>
      </c>
      <c r="AD6702" s="508">
        <v>1.0999999999999999E-2</v>
      </c>
      <c r="AE6702" s="508">
        <v>1.0999999999999999E-2</v>
      </c>
      <c r="AF6702" s="508">
        <v>1.0999999999999999E-2</v>
      </c>
      <c r="AG6702" s="508">
        <v>1.0999999999999999E-2</v>
      </c>
      <c r="AH6702" s="508">
        <v>1.0999999999999999E-2</v>
      </c>
      <c r="AI6702" s="492">
        <v>1.0999999999999999E-2</v>
      </c>
      <c r="AJ6702" s="485"/>
    </row>
    <row r="6703" spans="2:36">
      <c r="B6703" s="136" t="s">
        <v>488</v>
      </c>
      <c r="C6703" s="132" t="s">
        <v>1371</v>
      </c>
      <c r="D6703" s="132" t="s">
        <v>1380</v>
      </c>
      <c r="E6703" s="508">
        <v>0.01</v>
      </c>
      <c r="F6703" s="508">
        <v>0.01</v>
      </c>
      <c r="G6703" s="508">
        <v>0.01</v>
      </c>
      <c r="H6703" s="508">
        <v>0.01</v>
      </c>
      <c r="I6703" s="508">
        <v>0.01</v>
      </c>
      <c r="J6703" s="508">
        <v>0.01</v>
      </c>
      <c r="K6703" s="508">
        <v>0.01</v>
      </c>
      <c r="L6703" s="508">
        <v>0.01</v>
      </c>
      <c r="M6703" s="508">
        <v>0.01</v>
      </c>
      <c r="N6703" s="508">
        <v>0.01</v>
      </c>
      <c r="O6703" s="508">
        <v>0.01</v>
      </c>
      <c r="P6703" s="508">
        <v>0.01</v>
      </c>
      <c r="Q6703" s="508">
        <v>0.01</v>
      </c>
      <c r="R6703" s="508">
        <v>0.01</v>
      </c>
      <c r="S6703" s="508">
        <v>0.01</v>
      </c>
      <c r="T6703" s="508">
        <v>0.01</v>
      </c>
      <c r="U6703" s="508">
        <v>0.01</v>
      </c>
      <c r="V6703" s="508">
        <v>0.01</v>
      </c>
      <c r="W6703" s="508">
        <v>0.01</v>
      </c>
      <c r="X6703" s="508">
        <v>0.01</v>
      </c>
      <c r="Y6703" s="508">
        <v>0.01</v>
      </c>
      <c r="Z6703" s="508">
        <v>0.01</v>
      </c>
      <c r="AA6703" s="508">
        <v>0.01</v>
      </c>
      <c r="AB6703" s="508">
        <v>0.01</v>
      </c>
      <c r="AC6703" s="508">
        <v>0.01</v>
      </c>
      <c r="AD6703" s="508">
        <v>0.01</v>
      </c>
      <c r="AE6703" s="508">
        <v>0.01</v>
      </c>
      <c r="AF6703" s="508">
        <v>0.01</v>
      </c>
      <c r="AG6703" s="508">
        <v>0.01</v>
      </c>
      <c r="AH6703" s="508">
        <v>0.01</v>
      </c>
      <c r="AI6703" s="492">
        <v>0.01</v>
      </c>
      <c r="AJ6703" s="485"/>
    </row>
    <row r="6704" spans="2:36">
      <c r="B6704" s="136" t="s">
        <v>489</v>
      </c>
      <c r="C6704" s="132" t="s">
        <v>1371</v>
      </c>
      <c r="D6704" s="132" t="s">
        <v>1380</v>
      </c>
      <c r="E6704" s="508">
        <v>1.0999999999999999E-2</v>
      </c>
      <c r="F6704" s="508">
        <v>1.0999999999999999E-2</v>
      </c>
      <c r="G6704" s="508">
        <v>1.0999999999999999E-2</v>
      </c>
      <c r="H6704" s="508">
        <v>1.0999999999999999E-2</v>
      </c>
      <c r="I6704" s="508">
        <v>1.0999999999999999E-2</v>
      </c>
      <c r="J6704" s="508">
        <v>1.0999999999999999E-2</v>
      </c>
      <c r="K6704" s="508">
        <v>1.0999999999999999E-2</v>
      </c>
      <c r="L6704" s="508">
        <v>1.0999999999999999E-2</v>
      </c>
      <c r="M6704" s="508">
        <v>1.0999999999999999E-2</v>
      </c>
      <c r="N6704" s="508">
        <v>1.0999999999999999E-2</v>
      </c>
      <c r="O6704" s="508">
        <v>1.0999999999999999E-2</v>
      </c>
      <c r="P6704" s="508">
        <v>1.0999999999999999E-2</v>
      </c>
      <c r="Q6704" s="508">
        <v>1.0999999999999999E-2</v>
      </c>
      <c r="R6704" s="508">
        <v>1.0999999999999999E-2</v>
      </c>
      <c r="S6704" s="508">
        <v>1.0999999999999999E-2</v>
      </c>
      <c r="T6704" s="508">
        <v>1.0999999999999999E-2</v>
      </c>
      <c r="U6704" s="508">
        <v>1.0999999999999999E-2</v>
      </c>
      <c r="V6704" s="508">
        <v>1.0999999999999999E-2</v>
      </c>
      <c r="W6704" s="508">
        <v>1.0999999999999999E-2</v>
      </c>
      <c r="X6704" s="508">
        <v>1.0999999999999999E-2</v>
      </c>
      <c r="Y6704" s="508">
        <v>1.0999999999999999E-2</v>
      </c>
      <c r="Z6704" s="508">
        <v>1.0999999999999999E-2</v>
      </c>
      <c r="AA6704" s="508">
        <v>1.0999999999999999E-2</v>
      </c>
      <c r="AB6704" s="508">
        <v>1.0999999999999999E-2</v>
      </c>
      <c r="AC6704" s="508">
        <v>1.0999999999999999E-2</v>
      </c>
      <c r="AD6704" s="508">
        <v>1.0999999999999999E-2</v>
      </c>
      <c r="AE6704" s="508">
        <v>1.0999999999999999E-2</v>
      </c>
      <c r="AF6704" s="508">
        <v>1.0999999999999999E-2</v>
      </c>
      <c r="AG6704" s="508">
        <v>1.0999999999999999E-2</v>
      </c>
      <c r="AH6704" s="508">
        <v>1.0999999999999999E-2</v>
      </c>
      <c r="AI6704" s="492">
        <v>1.0999999999999999E-2</v>
      </c>
      <c r="AJ6704" s="485"/>
    </row>
    <row r="6705" spans="2:36">
      <c r="B6705" s="136" t="s">
        <v>490</v>
      </c>
      <c r="C6705" s="132" t="s">
        <v>1371</v>
      </c>
      <c r="D6705" s="132" t="s">
        <v>1380</v>
      </c>
      <c r="E6705" s="508">
        <v>0.01</v>
      </c>
      <c r="F6705" s="508">
        <v>0.01</v>
      </c>
      <c r="G6705" s="508">
        <v>0.01</v>
      </c>
      <c r="H6705" s="508">
        <v>0.01</v>
      </c>
      <c r="I6705" s="508">
        <v>0.01</v>
      </c>
      <c r="J6705" s="508">
        <v>0.01</v>
      </c>
      <c r="K6705" s="508">
        <v>0.01</v>
      </c>
      <c r="L6705" s="508">
        <v>0.01</v>
      </c>
      <c r="M6705" s="508">
        <v>0.01</v>
      </c>
      <c r="N6705" s="508">
        <v>0.01</v>
      </c>
      <c r="O6705" s="508">
        <v>0.01</v>
      </c>
      <c r="P6705" s="508">
        <v>0.01</v>
      </c>
      <c r="Q6705" s="508">
        <v>0.01</v>
      </c>
      <c r="R6705" s="508">
        <v>0.01</v>
      </c>
      <c r="S6705" s="508">
        <v>0.01</v>
      </c>
      <c r="T6705" s="508">
        <v>0.01</v>
      </c>
      <c r="U6705" s="508">
        <v>0.01</v>
      </c>
      <c r="V6705" s="508">
        <v>0.01</v>
      </c>
      <c r="W6705" s="508">
        <v>0.01</v>
      </c>
      <c r="X6705" s="508">
        <v>0.01</v>
      </c>
      <c r="Y6705" s="508">
        <v>0.01</v>
      </c>
      <c r="Z6705" s="508">
        <v>0.01</v>
      </c>
      <c r="AA6705" s="508">
        <v>0.01</v>
      </c>
      <c r="AB6705" s="508">
        <v>0.01</v>
      </c>
      <c r="AC6705" s="508">
        <v>0.01</v>
      </c>
      <c r="AD6705" s="508">
        <v>0.01</v>
      </c>
      <c r="AE6705" s="508">
        <v>0.01</v>
      </c>
      <c r="AF6705" s="508">
        <v>0.01</v>
      </c>
      <c r="AG6705" s="508">
        <v>0.01</v>
      </c>
      <c r="AH6705" s="508">
        <v>0.01</v>
      </c>
      <c r="AI6705" s="492">
        <v>0.01</v>
      </c>
      <c r="AJ6705" s="485"/>
    </row>
    <row r="6706" spans="2:36">
      <c r="B6706" s="136" t="s">
        <v>435</v>
      </c>
      <c r="C6706" s="132" t="s">
        <v>1372</v>
      </c>
      <c r="D6706" s="132" t="s">
        <v>1380</v>
      </c>
      <c r="E6706" s="508">
        <v>1.2E-2</v>
      </c>
      <c r="F6706" s="508">
        <v>1.2E-2</v>
      </c>
      <c r="G6706" s="508">
        <v>1.2E-2</v>
      </c>
      <c r="H6706" s="508">
        <v>1.2E-2</v>
      </c>
      <c r="I6706" s="508">
        <v>1.2E-2</v>
      </c>
      <c r="J6706" s="508">
        <v>1.2E-2</v>
      </c>
      <c r="K6706" s="508">
        <v>1.2E-2</v>
      </c>
      <c r="L6706" s="508">
        <v>1.2E-2</v>
      </c>
      <c r="M6706" s="508">
        <v>1.2E-2</v>
      </c>
      <c r="N6706" s="508">
        <v>1.2E-2</v>
      </c>
      <c r="O6706" s="508">
        <v>1.2E-2</v>
      </c>
      <c r="P6706" s="508">
        <v>1.2E-2</v>
      </c>
      <c r="Q6706" s="508">
        <v>1.2E-2</v>
      </c>
      <c r="R6706" s="508">
        <v>1.2E-2</v>
      </c>
      <c r="S6706" s="508">
        <v>1.2E-2</v>
      </c>
      <c r="T6706" s="508">
        <v>1.2E-2</v>
      </c>
      <c r="U6706" s="508">
        <v>1.2E-2</v>
      </c>
      <c r="V6706" s="508">
        <v>1.2E-2</v>
      </c>
      <c r="W6706" s="508">
        <v>1.2E-2</v>
      </c>
      <c r="X6706" s="508">
        <v>1.2E-2</v>
      </c>
      <c r="Y6706" s="508">
        <v>1.2E-2</v>
      </c>
      <c r="Z6706" s="508">
        <v>1.2E-2</v>
      </c>
      <c r="AA6706" s="508">
        <v>1.2E-2</v>
      </c>
      <c r="AB6706" s="508">
        <v>1.2E-2</v>
      </c>
      <c r="AC6706" s="508">
        <v>1.2E-2</v>
      </c>
      <c r="AD6706" s="508">
        <v>1.2E-2</v>
      </c>
      <c r="AE6706" s="508">
        <v>1.2E-2</v>
      </c>
      <c r="AF6706" s="508">
        <v>1.2E-2</v>
      </c>
      <c r="AG6706" s="508">
        <v>1.2E-2</v>
      </c>
      <c r="AH6706" s="508">
        <v>1.2E-2</v>
      </c>
      <c r="AI6706" s="492">
        <v>1.2E-2</v>
      </c>
      <c r="AJ6706" s="485"/>
    </row>
    <row r="6707" spans="2:36">
      <c r="B6707" s="136" t="s">
        <v>436</v>
      </c>
      <c r="C6707" s="132" t="s">
        <v>1372</v>
      </c>
      <c r="D6707" s="132" t="s">
        <v>1380</v>
      </c>
      <c r="E6707" s="508">
        <v>1.0999999999999999E-2</v>
      </c>
      <c r="F6707" s="508">
        <v>1.0999999999999999E-2</v>
      </c>
      <c r="G6707" s="508">
        <v>1.0999999999999999E-2</v>
      </c>
      <c r="H6707" s="508">
        <v>1.0999999999999999E-2</v>
      </c>
      <c r="I6707" s="508">
        <v>1.0999999999999999E-2</v>
      </c>
      <c r="J6707" s="508">
        <v>1.0999999999999999E-2</v>
      </c>
      <c r="K6707" s="508">
        <v>1.0999999999999999E-2</v>
      </c>
      <c r="L6707" s="508">
        <v>1.0999999999999999E-2</v>
      </c>
      <c r="M6707" s="508">
        <v>1.0999999999999999E-2</v>
      </c>
      <c r="N6707" s="508">
        <v>1.0999999999999999E-2</v>
      </c>
      <c r="O6707" s="508">
        <v>1.0999999999999999E-2</v>
      </c>
      <c r="P6707" s="508">
        <v>1.0999999999999999E-2</v>
      </c>
      <c r="Q6707" s="508">
        <v>1.0999999999999999E-2</v>
      </c>
      <c r="R6707" s="508">
        <v>1.0999999999999999E-2</v>
      </c>
      <c r="S6707" s="508">
        <v>1.0999999999999999E-2</v>
      </c>
      <c r="T6707" s="508">
        <v>1.0999999999999999E-2</v>
      </c>
      <c r="U6707" s="508">
        <v>1.0999999999999999E-2</v>
      </c>
      <c r="V6707" s="508">
        <v>1.0999999999999999E-2</v>
      </c>
      <c r="W6707" s="508">
        <v>1.0999999999999999E-2</v>
      </c>
      <c r="X6707" s="508">
        <v>1.0999999999999999E-2</v>
      </c>
      <c r="Y6707" s="508">
        <v>1.0999999999999999E-2</v>
      </c>
      <c r="Z6707" s="508">
        <v>1.0999999999999999E-2</v>
      </c>
      <c r="AA6707" s="508">
        <v>1.0999999999999999E-2</v>
      </c>
      <c r="AB6707" s="508">
        <v>1.0999999999999999E-2</v>
      </c>
      <c r="AC6707" s="508">
        <v>1.0999999999999999E-2</v>
      </c>
      <c r="AD6707" s="508">
        <v>1.0999999999999999E-2</v>
      </c>
      <c r="AE6707" s="508">
        <v>1.0999999999999999E-2</v>
      </c>
      <c r="AF6707" s="508">
        <v>1.0999999999999999E-2</v>
      </c>
      <c r="AG6707" s="508">
        <v>1.0999999999999999E-2</v>
      </c>
      <c r="AH6707" s="508">
        <v>1.0999999999999999E-2</v>
      </c>
      <c r="AI6707" s="492">
        <v>1.0999999999999999E-2</v>
      </c>
      <c r="AJ6707" s="485"/>
    </row>
    <row r="6708" spans="2:36">
      <c r="B6708" s="136" t="s">
        <v>437</v>
      </c>
      <c r="C6708" s="132" t="s">
        <v>1372</v>
      </c>
      <c r="D6708" s="132" t="s">
        <v>1380</v>
      </c>
      <c r="E6708" s="508">
        <v>1.2E-2</v>
      </c>
      <c r="F6708" s="508">
        <v>1.2E-2</v>
      </c>
      <c r="G6708" s="508">
        <v>1.2E-2</v>
      </c>
      <c r="H6708" s="508">
        <v>1.2E-2</v>
      </c>
      <c r="I6708" s="508">
        <v>1.2E-2</v>
      </c>
      <c r="J6708" s="508">
        <v>1.2E-2</v>
      </c>
      <c r="K6708" s="508">
        <v>1.2E-2</v>
      </c>
      <c r="L6708" s="508">
        <v>1.2E-2</v>
      </c>
      <c r="M6708" s="508">
        <v>1.2E-2</v>
      </c>
      <c r="N6708" s="508">
        <v>1.2E-2</v>
      </c>
      <c r="O6708" s="508">
        <v>1.2E-2</v>
      </c>
      <c r="P6708" s="508">
        <v>1.2E-2</v>
      </c>
      <c r="Q6708" s="508">
        <v>1.2E-2</v>
      </c>
      <c r="R6708" s="508">
        <v>1.2E-2</v>
      </c>
      <c r="S6708" s="508">
        <v>1.2E-2</v>
      </c>
      <c r="T6708" s="508">
        <v>1.2E-2</v>
      </c>
      <c r="U6708" s="508">
        <v>1.2E-2</v>
      </c>
      <c r="V6708" s="508">
        <v>1.2E-2</v>
      </c>
      <c r="W6708" s="508">
        <v>1.2E-2</v>
      </c>
      <c r="X6708" s="508">
        <v>1.2E-2</v>
      </c>
      <c r="Y6708" s="508">
        <v>1.2E-2</v>
      </c>
      <c r="Z6708" s="508">
        <v>1.2E-2</v>
      </c>
      <c r="AA6708" s="508">
        <v>1.2E-2</v>
      </c>
      <c r="AB6708" s="508">
        <v>1.2E-2</v>
      </c>
      <c r="AC6708" s="508">
        <v>1.2E-2</v>
      </c>
      <c r="AD6708" s="508">
        <v>1.2E-2</v>
      </c>
      <c r="AE6708" s="508">
        <v>1.2E-2</v>
      </c>
      <c r="AF6708" s="508">
        <v>1.2E-2</v>
      </c>
      <c r="AG6708" s="508">
        <v>1.2E-2</v>
      </c>
      <c r="AH6708" s="508">
        <v>1.2E-2</v>
      </c>
      <c r="AI6708" s="492">
        <v>1.2E-2</v>
      </c>
      <c r="AJ6708" s="485"/>
    </row>
    <row r="6709" spans="2:36">
      <c r="B6709" s="136" t="s">
        <v>438</v>
      </c>
      <c r="C6709" s="132" t="s">
        <v>1372</v>
      </c>
      <c r="D6709" s="132" t="s">
        <v>1380</v>
      </c>
      <c r="E6709" s="508">
        <v>0.01</v>
      </c>
      <c r="F6709" s="508">
        <v>0.01</v>
      </c>
      <c r="G6709" s="508">
        <v>0.01</v>
      </c>
      <c r="H6709" s="508">
        <v>0.01</v>
      </c>
      <c r="I6709" s="508">
        <v>0.01</v>
      </c>
      <c r="J6709" s="508">
        <v>0.01</v>
      </c>
      <c r="K6709" s="508">
        <v>0.01</v>
      </c>
      <c r="L6709" s="508">
        <v>0.01</v>
      </c>
      <c r="M6709" s="508">
        <v>0.01</v>
      </c>
      <c r="N6709" s="508">
        <v>0.01</v>
      </c>
      <c r="O6709" s="508">
        <v>0.01</v>
      </c>
      <c r="P6709" s="508">
        <v>0.01</v>
      </c>
      <c r="Q6709" s="508">
        <v>0.01</v>
      </c>
      <c r="R6709" s="508">
        <v>0.01</v>
      </c>
      <c r="S6709" s="508">
        <v>0.01</v>
      </c>
      <c r="T6709" s="508">
        <v>0.01</v>
      </c>
      <c r="U6709" s="508">
        <v>0.01</v>
      </c>
      <c r="V6709" s="508">
        <v>0.01</v>
      </c>
      <c r="W6709" s="508">
        <v>0.01</v>
      </c>
      <c r="X6709" s="508">
        <v>0.01</v>
      </c>
      <c r="Y6709" s="508">
        <v>0.01</v>
      </c>
      <c r="Z6709" s="508">
        <v>0.01</v>
      </c>
      <c r="AA6709" s="508">
        <v>0.01</v>
      </c>
      <c r="AB6709" s="508">
        <v>0.01</v>
      </c>
      <c r="AC6709" s="508">
        <v>0.01</v>
      </c>
      <c r="AD6709" s="508">
        <v>0.01</v>
      </c>
      <c r="AE6709" s="508">
        <v>0.01</v>
      </c>
      <c r="AF6709" s="508">
        <v>0.01</v>
      </c>
      <c r="AG6709" s="508">
        <v>0.01</v>
      </c>
      <c r="AH6709" s="508">
        <v>0.01</v>
      </c>
      <c r="AI6709" s="492">
        <v>0.01</v>
      </c>
      <c r="AJ6709" s="485"/>
    </row>
    <row r="6710" spans="2:36">
      <c r="B6710" s="136" t="s">
        <v>439</v>
      </c>
      <c r="C6710" s="132" t="s">
        <v>1372</v>
      </c>
      <c r="D6710" s="132" t="s">
        <v>1380</v>
      </c>
      <c r="E6710" s="508">
        <v>1.2E-2</v>
      </c>
      <c r="F6710" s="508">
        <v>1.2E-2</v>
      </c>
      <c r="G6710" s="508">
        <v>1.2E-2</v>
      </c>
      <c r="H6710" s="508">
        <v>1.2E-2</v>
      </c>
      <c r="I6710" s="508">
        <v>1.2E-2</v>
      </c>
      <c r="J6710" s="508">
        <v>1.2E-2</v>
      </c>
      <c r="K6710" s="508">
        <v>1.2E-2</v>
      </c>
      <c r="L6710" s="508">
        <v>1.2E-2</v>
      </c>
      <c r="M6710" s="508">
        <v>1.2E-2</v>
      </c>
      <c r="N6710" s="508">
        <v>1.2E-2</v>
      </c>
      <c r="O6710" s="508">
        <v>1.2E-2</v>
      </c>
      <c r="P6710" s="508">
        <v>1.2E-2</v>
      </c>
      <c r="Q6710" s="508">
        <v>1.2E-2</v>
      </c>
      <c r="R6710" s="508">
        <v>1.2E-2</v>
      </c>
      <c r="S6710" s="508">
        <v>1.2E-2</v>
      </c>
      <c r="T6710" s="508">
        <v>1.2E-2</v>
      </c>
      <c r="U6710" s="508">
        <v>1.2E-2</v>
      </c>
      <c r="V6710" s="508">
        <v>1.2E-2</v>
      </c>
      <c r="W6710" s="508">
        <v>1.2E-2</v>
      </c>
      <c r="X6710" s="508">
        <v>1.2E-2</v>
      </c>
      <c r="Y6710" s="508">
        <v>1.2E-2</v>
      </c>
      <c r="Z6710" s="508">
        <v>1.2E-2</v>
      </c>
      <c r="AA6710" s="508">
        <v>1.2E-2</v>
      </c>
      <c r="AB6710" s="508">
        <v>1.2E-2</v>
      </c>
      <c r="AC6710" s="508">
        <v>1.2E-2</v>
      </c>
      <c r="AD6710" s="508">
        <v>1.2E-2</v>
      </c>
      <c r="AE6710" s="508">
        <v>1.2E-2</v>
      </c>
      <c r="AF6710" s="508">
        <v>1.2E-2</v>
      </c>
      <c r="AG6710" s="508">
        <v>1.2E-2</v>
      </c>
      <c r="AH6710" s="508">
        <v>1.2E-2</v>
      </c>
      <c r="AI6710" s="492">
        <v>1.2E-2</v>
      </c>
      <c r="AJ6710" s="485"/>
    </row>
    <row r="6711" spans="2:36">
      <c r="B6711" s="136" t="s">
        <v>440</v>
      </c>
      <c r="C6711" s="132" t="s">
        <v>1372</v>
      </c>
      <c r="D6711" s="132" t="s">
        <v>1380</v>
      </c>
      <c r="E6711" s="508">
        <v>1.2E-2</v>
      </c>
      <c r="F6711" s="508">
        <v>1.2E-2</v>
      </c>
      <c r="G6711" s="508">
        <v>1.2E-2</v>
      </c>
      <c r="H6711" s="508">
        <v>1.2E-2</v>
      </c>
      <c r="I6711" s="508">
        <v>1.2E-2</v>
      </c>
      <c r="J6711" s="508">
        <v>1.2E-2</v>
      </c>
      <c r="K6711" s="508">
        <v>1.2E-2</v>
      </c>
      <c r="L6711" s="508">
        <v>1.2E-2</v>
      </c>
      <c r="M6711" s="508">
        <v>1.2E-2</v>
      </c>
      <c r="N6711" s="508">
        <v>1.2E-2</v>
      </c>
      <c r="O6711" s="508">
        <v>1.2E-2</v>
      </c>
      <c r="P6711" s="508">
        <v>1.2E-2</v>
      </c>
      <c r="Q6711" s="508">
        <v>1.2E-2</v>
      </c>
      <c r="R6711" s="508">
        <v>1.2E-2</v>
      </c>
      <c r="S6711" s="508">
        <v>1.2E-2</v>
      </c>
      <c r="T6711" s="508">
        <v>1.2E-2</v>
      </c>
      <c r="U6711" s="508">
        <v>1.2E-2</v>
      </c>
      <c r="V6711" s="508">
        <v>1.2E-2</v>
      </c>
      <c r="W6711" s="508">
        <v>1.2E-2</v>
      </c>
      <c r="X6711" s="508">
        <v>1.2E-2</v>
      </c>
      <c r="Y6711" s="508">
        <v>1.2E-2</v>
      </c>
      <c r="Z6711" s="508">
        <v>1.2E-2</v>
      </c>
      <c r="AA6711" s="508">
        <v>1.2E-2</v>
      </c>
      <c r="AB6711" s="508">
        <v>1.2E-2</v>
      </c>
      <c r="AC6711" s="508">
        <v>1.2E-2</v>
      </c>
      <c r="AD6711" s="508">
        <v>1.2E-2</v>
      </c>
      <c r="AE6711" s="508">
        <v>1.2E-2</v>
      </c>
      <c r="AF6711" s="508">
        <v>1.2E-2</v>
      </c>
      <c r="AG6711" s="508">
        <v>1.2E-2</v>
      </c>
      <c r="AH6711" s="508">
        <v>1.2E-2</v>
      </c>
      <c r="AI6711" s="492">
        <v>1.2E-2</v>
      </c>
      <c r="AJ6711" s="485"/>
    </row>
    <row r="6712" spans="2:36">
      <c r="B6712" s="136" t="s">
        <v>441</v>
      </c>
      <c r="C6712" s="132" t="s">
        <v>1372</v>
      </c>
      <c r="D6712" s="132" t="s">
        <v>1380</v>
      </c>
      <c r="E6712" s="508">
        <v>1.2E-2</v>
      </c>
      <c r="F6712" s="508">
        <v>1.2E-2</v>
      </c>
      <c r="G6712" s="508">
        <v>1.2E-2</v>
      </c>
      <c r="H6712" s="508">
        <v>1.2E-2</v>
      </c>
      <c r="I6712" s="508">
        <v>1.2E-2</v>
      </c>
      <c r="J6712" s="508">
        <v>1.2E-2</v>
      </c>
      <c r="K6712" s="508">
        <v>1.2E-2</v>
      </c>
      <c r="L6712" s="508">
        <v>1.2E-2</v>
      </c>
      <c r="M6712" s="508">
        <v>1.2E-2</v>
      </c>
      <c r="N6712" s="508">
        <v>1.2E-2</v>
      </c>
      <c r="O6712" s="508">
        <v>1.2E-2</v>
      </c>
      <c r="P6712" s="508">
        <v>1.2E-2</v>
      </c>
      <c r="Q6712" s="508">
        <v>1.2E-2</v>
      </c>
      <c r="R6712" s="508">
        <v>1.2E-2</v>
      </c>
      <c r="S6712" s="508">
        <v>1.2E-2</v>
      </c>
      <c r="T6712" s="508">
        <v>1.2E-2</v>
      </c>
      <c r="U6712" s="508">
        <v>1.2E-2</v>
      </c>
      <c r="V6712" s="508">
        <v>1.2E-2</v>
      </c>
      <c r="W6712" s="508">
        <v>1.2E-2</v>
      </c>
      <c r="X6712" s="508">
        <v>1.2E-2</v>
      </c>
      <c r="Y6712" s="508">
        <v>1.2E-2</v>
      </c>
      <c r="Z6712" s="508">
        <v>1.2E-2</v>
      </c>
      <c r="AA6712" s="508">
        <v>1.2E-2</v>
      </c>
      <c r="AB6712" s="508">
        <v>1.2E-2</v>
      </c>
      <c r="AC6712" s="508">
        <v>1.2E-2</v>
      </c>
      <c r="AD6712" s="508">
        <v>1.2E-2</v>
      </c>
      <c r="AE6712" s="508">
        <v>1.2E-2</v>
      </c>
      <c r="AF6712" s="508">
        <v>1.2E-2</v>
      </c>
      <c r="AG6712" s="508">
        <v>1.2E-2</v>
      </c>
      <c r="AH6712" s="508">
        <v>1.2E-2</v>
      </c>
      <c r="AI6712" s="492">
        <v>1.2E-2</v>
      </c>
      <c r="AJ6712" s="485"/>
    </row>
    <row r="6713" spans="2:36">
      <c r="B6713" s="136" t="s">
        <v>443</v>
      </c>
      <c r="C6713" s="132" t="s">
        <v>1372</v>
      </c>
      <c r="D6713" s="132" t="s">
        <v>1380</v>
      </c>
      <c r="E6713" s="508">
        <v>1.2999999999999999E-2</v>
      </c>
      <c r="F6713" s="508">
        <v>1.2999999999999999E-2</v>
      </c>
      <c r="G6713" s="508">
        <v>1.2999999999999999E-2</v>
      </c>
      <c r="H6713" s="508">
        <v>1.2999999999999999E-2</v>
      </c>
      <c r="I6713" s="508">
        <v>1.2999999999999999E-2</v>
      </c>
      <c r="J6713" s="508">
        <v>1.2999999999999999E-2</v>
      </c>
      <c r="K6713" s="508">
        <v>1.2999999999999999E-2</v>
      </c>
      <c r="L6713" s="508">
        <v>1.2999999999999999E-2</v>
      </c>
      <c r="M6713" s="508">
        <v>1.2999999999999999E-2</v>
      </c>
      <c r="N6713" s="508">
        <v>1.2999999999999999E-2</v>
      </c>
      <c r="O6713" s="508">
        <v>1.2999999999999999E-2</v>
      </c>
      <c r="P6713" s="508">
        <v>1.2999999999999999E-2</v>
      </c>
      <c r="Q6713" s="508">
        <v>1.2999999999999999E-2</v>
      </c>
      <c r="R6713" s="508">
        <v>1.2999999999999999E-2</v>
      </c>
      <c r="S6713" s="508">
        <v>1.2999999999999999E-2</v>
      </c>
      <c r="T6713" s="508">
        <v>1.2999999999999999E-2</v>
      </c>
      <c r="U6713" s="508">
        <v>1.2999999999999999E-2</v>
      </c>
      <c r="V6713" s="508">
        <v>1.2999999999999999E-2</v>
      </c>
      <c r="W6713" s="508">
        <v>1.2999999999999999E-2</v>
      </c>
      <c r="X6713" s="508">
        <v>1.2999999999999999E-2</v>
      </c>
      <c r="Y6713" s="508">
        <v>1.2999999999999999E-2</v>
      </c>
      <c r="Z6713" s="508">
        <v>1.2999999999999999E-2</v>
      </c>
      <c r="AA6713" s="508">
        <v>1.2999999999999999E-2</v>
      </c>
      <c r="AB6713" s="508">
        <v>1.2999999999999999E-2</v>
      </c>
      <c r="AC6713" s="508">
        <v>1.2999999999999999E-2</v>
      </c>
      <c r="AD6713" s="508">
        <v>1.2999999999999999E-2</v>
      </c>
      <c r="AE6713" s="508">
        <v>1.2999999999999999E-2</v>
      </c>
      <c r="AF6713" s="508">
        <v>1.2999999999999999E-2</v>
      </c>
      <c r="AG6713" s="508">
        <v>1.2999999999999999E-2</v>
      </c>
      <c r="AH6713" s="508">
        <v>1.2999999999999999E-2</v>
      </c>
      <c r="AI6713" s="492">
        <v>1.2999999999999999E-2</v>
      </c>
      <c r="AJ6713" s="485"/>
    </row>
    <row r="6714" spans="2:36">
      <c r="B6714" s="136" t="s">
        <v>445</v>
      </c>
      <c r="C6714" s="132" t="s">
        <v>1372</v>
      </c>
      <c r="D6714" s="132" t="s">
        <v>1380</v>
      </c>
      <c r="E6714" s="508">
        <v>1.4999999999999999E-2</v>
      </c>
      <c r="F6714" s="508">
        <v>1.4999999999999999E-2</v>
      </c>
      <c r="G6714" s="508">
        <v>1.4999999999999999E-2</v>
      </c>
      <c r="H6714" s="508">
        <v>1.4999999999999999E-2</v>
      </c>
      <c r="I6714" s="508">
        <v>1.4999999999999999E-2</v>
      </c>
      <c r="J6714" s="508">
        <v>1.4999999999999999E-2</v>
      </c>
      <c r="K6714" s="508">
        <v>1.4999999999999999E-2</v>
      </c>
      <c r="L6714" s="508">
        <v>1.4999999999999999E-2</v>
      </c>
      <c r="M6714" s="508">
        <v>1.4999999999999999E-2</v>
      </c>
      <c r="N6714" s="508">
        <v>1.4999999999999999E-2</v>
      </c>
      <c r="O6714" s="508">
        <v>1.4999999999999999E-2</v>
      </c>
      <c r="P6714" s="508">
        <v>1.4999999999999999E-2</v>
      </c>
      <c r="Q6714" s="508">
        <v>1.4999999999999999E-2</v>
      </c>
      <c r="R6714" s="508">
        <v>1.4999999999999999E-2</v>
      </c>
      <c r="S6714" s="508">
        <v>1.4999999999999999E-2</v>
      </c>
      <c r="T6714" s="508">
        <v>1.4999999999999999E-2</v>
      </c>
      <c r="U6714" s="508">
        <v>1.4999999999999999E-2</v>
      </c>
      <c r="V6714" s="508">
        <v>1.4999999999999999E-2</v>
      </c>
      <c r="W6714" s="508">
        <v>1.4999999999999999E-2</v>
      </c>
      <c r="X6714" s="508">
        <v>1.4999999999999999E-2</v>
      </c>
      <c r="Y6714" s="508">
        <v>1.4999999999999999E-2</v>
      </c>
      <c r="Z6714" s="508">
        <v>1.4999999999999999E-2</v>
      </c>
      <c r="AA6714" s="508">
        <v>1.4999999999999999E-2</v>
      </c>
      <c r="AB6714" s="508">
        <v>1.4999999999999999E-2</v>
      </c>
      <c r="AC6714" s="508">
        <v>1.4999999999999999E-2</v>
      </c>
      <c r="AD6714" s="508">
        <v>1.4999999999999999E-2</v>
      </c>
      <c r="AE6714" s="508">
        <v>1.4999999999999999E-2</v>
      </c>
      <c r="AF6714" s="508">
        <v>1.4999999999999999E-2</v>
      </c>
      <c r="AG6714" s="508">
        <v>1.4999999999999999E-2</v>
      </c>
      <c r="AH6714" s="508">
        <v>1.4999999999999999E-2</v>
      </c>
      <c r="AI6714" s="492">
        <v>1.4999999999999999E-2</v>
      </c>
      <c r="AJ6714" s="485"/>
    </row>
    <row r="6715" spans="2:36">
      <c r="B6715" s="136" t="s">
        <v>446</v>
      </c>
      <c r="C6715" s="132" t="s">
        <v>1372</v>
      </c>
      <c r="D6715" s="132" t="s">
        <v>1380</v>
      </c>
      <c r="E6715" s="508">
        <v>1.4E-2</v>
      </c>
      <c r="F6715" s="508">
        <v>1.4E-2</v>
      </c>
      <c r="G6715" s="508">
        <v>1.4E-2</v>
      </c>
      <c r="H6715" s="508">
        <v>1.4E-2</v>
      </c>
      <c r="I6715" s="508">
        <v>1.4E-2</v>
      </c>
      <c r="J6715" s="508">
        <v>1.4E-2</v>
      </c>
      <c r="K6715" s="508">
        <v>1.4E-2</v>
      </c>
      <c r="L6715" s="508">
        <v>1.4E-2</v>
      </c>
      <c r="M6715" s="508">
        <v>1.4E-2</v>
      </c>
      <c r="N6715" s="508">
        <v>1.4E-2</v>
      </c>
      <c r="O6715" s="508">
        <v>1.4E-2</v>
      </c>
      <c r="P6715" s="508">
        <v>1.4E-2</v>
      </c>
      <c r="Q6715" s="508">
        <v>1.4E-2</v>
      </c>
      <c r="R6715" s="508">
        <v>1.4E-2</v>
      </c>
      <c r="S6715" s="508">
        <v>1.4E-2</v>
      </c>
      <c r="T6715" s="508">
        <v>1.4E-2</v>
      </c>
      <c r="U6715" s="508">
        <v>1.4E-2</v>
      </c>
      <c r="V6715" s="508">
        <v>1.4E-2</v>
      </c>
      <c r="W6715" s="508">
        <v>1.4E-2</v>
      </c>
      <c r="X6715" s="508">
        <v>1.4E-2</v>
      </c>
      <c r="Y6715" s="508">
        <v>1.4E-2</v>
      </c>
      <c r="Z6715" s="508">
        <v>1.4E-2</v>
      </c>
      <c r="AA6715" s="508">
        <v>1.4E-2</v>
      </c>
      <c r="AB6715" s="508">
        <v>1.4E-2</v>
      </c>
      <c r="AC6715" s="508">
        <v>1.4E-2</v>
      </c>
      <c r="AD6715" s="508">
        <v>1.4E-2</v>
      </c>
      <c r="AE6715" s="508">
        <v>1.4E-2</v>
      </c>
      <c r="AF6715" s="508">
        <v>1.4E-2</v>
      </c>
      <c r="AG6715" s="508">
        <v>1.4E-2</v>
      </c>
      <c r="AH6715" s="508">
        <v>1.4E-2</v>
      </c>
      <c r="AI6715" s="492">
        <v>1.4E-2</v>
      </c>
      <c r="AJ6715" s="485"/>
    </row>
    <row r="6716" spans="2:36">
      <c r="B6716" s="136" t="s">
        <v>448</v>
      </c>
      <c r="C6716" s="132" t="s">
        <v>1372</v>
      </c>
      <c r="D6716" s="132" t="s">
        <v>1380</v>
      </c>
      <c r="E6716" s="508">
        <v>1.0999999999999999E-2</v>
      </c>
      <c r="F6716" s="508">
        <v>1.0999999999999999E-2</v>
      </c>
      <c r="G6716" s="508">
        <v>1.0999999999999999E-2</v>
      </c>
      <c r="H6716" s="508">
        <v>1.0999999999999999E-2</v>
      </c>
      <c r="I6716" s="508">
        <v>1.0999999999999999E-2</v>
      </c>
      <c r="J6716" s="508">
        <v>1.0999999999999999E-2</v>
      </c>
      <c r="K6716" s="508">
        <v>1.0999999999999999E-2</v>
      </c>
      <c r="L6716" s="508">
        <v>1.0999999999999999E-2</v>
      </c>
      <c r="M6716" s="508">
        <v>1.0999999999999999E-2</v>
      </c>
      <c r="N6716" s="508">
        <v>1.0999999999999999E-2</v>
      </c>
      <c r="O6716" s="508">
        <v>1.0999999999999999E-2</v>
      </c>
      <c r="P6716" s="508">
        <v>1.0999999999999999E-2</v>
      </c>
      <c r="Q6716" s="508">
        <v>1.0999999999999999E-2</v>
      </c>
      <c r="R6716" s="508">
        <v>1.0999999999999999E-2</v>
      </c>
      <c r="S6716" s="508">
        <v>1.0999999999999999E-2</v>
      </c>
      <c r="T6716" s="508">
        <v>1.0999999999999999E-2</v>
      </c>
      <c r="U6716" s="508">
        <v>1.0999999999999999E-2</v>
      </c>
      <c r="V6716" s="508">
        <v>1.0999999999999999E-2</v>
      </c>
      <c r="W6716" s="508">
        <v>1.0999999999999999E-2</v>
      </c>
      <c r="X6716" s="508">
        <v>1.0999999999999999E-2</v>
      </c>
      <c r="Y6716" s="508">
        <v>1.0999999999999999E-2</v>
      </c>
      <c r="Z6716" s="508">
        <v>1.0999999999999999E-2</v>
      </c>
      <c r="AA6716" s="508">
        <v>1.0999999999999999E-2</v>
      </c>
      <c r="AB6716" s="508">
        <v>1.0999999999999999E-2</v>
      </c>
      <c r="AC6716" s="508">
        <v>1.0999999999999999E-2</v>
      </c>
      <c r="AD6716" s="508">
        <v>1.0999999999999999E-2</v>
      </c>
      <c r="AE6716" s="508">
        <v>1.0999999999999999E-2</v>
      </c>
      <c r="AF6716" s="508">
        <v>1.0999999999999999E-2</v>
      </c>
      <c r="AG6716" s="508">
        <v>1.0999999999999999E-2</v>
      </c>
      <c r="AH6716" s="508">
        <v>1.0999999999999999E-2</v>
      </c>
      <c r="AI6716" s="492">
        <v>1.0999999999999999E-2</v>
      </c>
      <c r="AJ6716" s="485"/>
    </row>
    <row r="6717" spans="2:36">
      <c r="B6717" s="136" t="s">
        <v>449</v>
      </c>
      <c r="C6717" s="132" t="s">
        <v>1372</v>
      </c>
      <c r="D6717" s="132" t="s">
        <v>1380</v>
      </c>
      <c r="E6717" s="508">
        <v>1.2999999999999999E-2</v>
      </c>
      <c r="F6717" s="508">
        <v>1.2999999999999999E-2</v>
      </c>
      <c r="G6717" s="508">
        <v>1.2999999999999999E-2</v>
      </c>
      <c r="H6717" s="508">
        <v>1.2999999999999999E-2</v>
      </c>
      <c r="I6717" s="508">
        <v>1.2999999999999999E-2</v>
      </c>
      <c r="J6717" s="508">
        <v>1.2999999999999999E-2</v>
      </c>
      <c r="K6717" s="508">
        <v>1.2999999999999999E-2</v>
      </c>
      <c r="L6717" s="508">
        <v>1.2999999999999999E-2</v>
      </c>
      <c r="M6717" s="508">
        <v>1.2999999999999999E-2</v>
      </c>
      <c r="N6717" s="508">
        <v>1.2999999999999999E-2</v>
      </c>
      <c r="O6717" s="508">
        <v>1.2999999999999999E-2</v>
      </c>
      <c r="P6717" s="508">
        <v>1.2999999999999999E-2</v>
      </c>
      <c r="Q6717" s="508">
        <v>1.2999999999999999E-2</v>
      </c>
      <c r="R6717" s="508">
        <v>1.2999999999999999E-2</v>
      </c>
      <c r="S6717" s="508">
        <v>1.2999999999999999E-2</v>
      </c>
      <c r="T6717" s="508">
        <v>1.2999999999999999E-2</v>
      </c>
      <c r="U6717" s="508">
        <v>1.2999999999999999E-2</v>
      </c>
      <c r="V6717" s="508">
        <v>1.2999999999999999E-2</v>
      </c>
      <c r="W6717" s="508">
        <v>1.2999999999999999E-2</v>
      </c>
      <c r="X6717" s="508">
        <v>1.2999999999999999E-2</v>
      </c>
      <c r="Y6717" s="508">
        <v>1.2999999999999999E-2</v>
      </c>
      <c r="Z6717" s="508">
        <v>1.2999999999999999E-2</v>
      </c>
      <c r="AA6717" s="508">
        <v>1.2999999999999999E-2</v>
      </c>
      <c r="AB6717" s="508">
        <v>1.2999999999999999E-2</v>
      </c>
      <c r="AC6717" s="508">
        <v>1.2999999999999999E-2</v>
      </c>
      <c r="AD6717" s="508">
        <v>1.2999999999999999E-2</v>
      </c>
      <c r="AE6717" s="508">
        <v>1.2999999999999999E-2</v>
      </c>
      <c r="AF6717" s="508">
        <v>1.2999999999999999E-2</v>
      </c>
      <c r="AG6717" s="508">
        <v>1.2999999999999999E-2</v>
      </c>
      <c r="AH6717" s="508">
        <v>1.2999999999999999E-2</v>
      </c>
      <c r="AI6717" s="492">
        <v>1.2999999999999999E-2</v>
      </c>
      <c r="AJ6717" s="485"/>
    </row>
    <row r="6718" spans="2:36">
      <c r="B6718" s="136" t="s">
        <v>450</v>
      </c>
      <c r="C6718" s="132" t="s">
        <v>1372</v>
      </c>
      <c r="D6718" s="132" t="s">
        <v>1380</v>
      </c>
      <c r="E6718" s="508">
        <v>1.2E-2</v>
      </c>
      <c r="F6718" s="508">
        <v>1.2E-2</v>
      </c>
      <c r="G6718" s="508">
        <v>1.2E-2</v>
      </c>
      <c r="H6718" s="508">
        <v>1.2E-2</v>
      </c>
      <c r="I6718" s="508">
        <v>1.2E-2</v>
      </c>
      <c r="J6718" s="508">
        <v>1.2E-2</v>
      </c>
      <c r="K6718" s="508">
        <v>1.2E-2</v>
      </c>
      <c r="L6718" s="508">
        <v>1.2E-2</v>
      </c>
      <c r="M6718" s="508">
        <v>1.2E-2</v>
      </c>
      <c r="N6718" s="508">
        <v>1.2E-2</v>
      </c>
      <c r="O6718" s="508">
        <v>1.2E-2</v>
      </c>
      <c r="P6718" s="508">
        <v>1.2E-2</v>
      </c>
      <c r="Q6718" s="508">
        <v>1.2E-2</v>
      </c>
      <c r="R6718" s="508">
        <v>1.2E-2</v>
      </c>
      <c r="S6718" s="508">
        <v>1.2E-2</v>
      </c>
      <c r="T6718" s="508">
        <v>1.2E-2</v>
      </c>
      <c r="U6718" s="508">
        <v>1.2E-2</v>
      </c>
      <c r="V6718" s="508">
        <v>1.2E-2</v>
      </c>
      <c r="W6718" s="508">
        <v>1.2E-2</v>
      </c>
      <c r="X6718" s="508">
        <v>1.2E-2</v>
      </c>
      <c r="Y6718" s="508">
        <v>1.2E-2</v>
      </c>
      <c r="Z6718" s="508">
        <v>1.2E-2</v>
      </c>
      <c r="AA6718" s="508">
        <v>1.2E-2</v>
      </c>
      <c r="AB6718" s="508">
        <v>1.2E-2</v>
      </c>
      <c r="AC6718" s="508">
        <v>1.2E-2</v>
      </c>
      <c r="AD6718" s="508">
        <v>1.2E-2</v>
      </c>
      <c r="AE6718" s="508">
        <v>1.2E-2</v>
      </c>
      <c r="AF6718" s="508">
        <v>1.2E-2</v>
      </c>
      <c r="AG6718" s="508">
        <v>1.2E-2</v>
      </c>
      <c r="AH6718" s="508">
        <v>1.2E-2</v>
      </c>
      <c r="AI6718" s="492">
        <v>1.2E-2</v>
      </c>
      <c r="AJ6718" s="485"/>
    </row>
    <row r="6719" spans="2:36">
      <c r="B6719" s="136" t="s">
        <v>451</v>
      </c>
      <c r="C6719" s="132" t="s">
        <v>1372</v>
      </c>
      <c r="D6719" s="132" t="s">
        <v>1380</v>
      </c>
      <c r="E6719" s="508">
        <v>1.4E-2</v>
      </c>
      <c r="F6719" s="508">
        <v>1.4E-2</v>
      </c>
      <c r="G6719" s="508">
        <v>1.4E-2</v>
      </c>
      <c r="H6719" s="508">
        <v>1.4E-2</v>
      </c>
      <c r="I6719" s="508">
        <v>1.4E-2</v>
      </c>
      <c r="J6719" s="508">
        <v>1.4E-2</v>
      </c>
      <c r="K6719" s="508">
        <v>1.4E-2</v>
      </c>
      <c r="L6719" s="508">
        <v>1.4E-2</v>
      </c>
      <c r="M6719" s="508">
        <v>1.4E-2</v>
      </c>
      <c r="N6719" s="508">
        <v>1.4E-2</v>
      </c>
      <c r="O6719" s="508">
        <v>1.4E-2</v>
      </c>
      <c r="P6719" s="508">
        <v>1.4E-2</v>
      </c>
      <c r="Q6719" s="508">
        <v>1.4E-2</v>
      </c>
      <c r="R6719" s="508">
        <v>1.4E-2</v>
      </c>
      <c r="S6719" s="508">
        <v>1.4E-2</v>
      </c>
      <c r="T6719" s="508">
        <v>1.4E-2</v>
      </c>
      <c r="U6719" s="508">
        <v>1.4E-2</v>
      </c>
      <c r="V6719" s="508">
        <v>1.4E-2</v>
      </c>
      <c r="W6719" s="508">
        <v>1.4E-2</v>
      </c>
      <c r="X6719" s="508">
        <v>1.4E-2</v>
      </c>
      <c r="Y6719" s="508">
        <v>1.4E-2</v>
      </c>
      <c r="Z6719" s="508">
        <v>1.4E-2</v>
      </c>
      <c r="AA6719" s="508">
        <v>1.4E-2</v>
      </c>
      <c r="AB6719" s="508">
        <v>1.4E-2</v>
      </c>
      <c r="AC6719" s="508">
        <v>1.4E-2</v>
      </c>
      <c r="AD6719" s="508">
        <v>1.4E-2</v>
      </c>
      <c r="AE6719" s="508">
        <v>1.4E-2</v>
      </c>
      <c r="AF6719" s="508">
        <v>1.4E-2</v>
      </c>
      <c r="AG6719" s="508">
        <v>1.4E-2</v>
      </c>
      <c r="AH6719" s="508">
        <v>1.4E-2</v>
      </c>
      <c r="AI6719" s="492">
        <v>1.4E-2</v>
      </c>
      <c r="AJ6719" s="485"/>
    </row>
    <row r="6720" spans="2:36">
      <c r="B6720" s="136" t="s">
        <v>452</v>
      </c>
      <c r="C6720" s="132" t="s">
        <v>1372</v>
      </c>
      <c r="D6720" s="132" t="s">
        <v>1380</v>
      </c>
      <c r="E6720" s="508">
        <v>1.2E-2</v>
      </c>
      <c r="F6720" s="508">
        <v>1.2E-2</v>
      </c>
      <c r="G6720" s="508">
        <v>1.2E-2</v>
      </c>
      <c r="H6720" s="508">
        <v>1.2E-2</v>
      </c>
      <c r="I6720" s="508">
        <v>1.2E-2</v>
      </c>
      <c r="J6720" s="508">
        <v>1.2E-2</v>
      </c>
      <c r="K6720" s="508">
        <v>1.2E-2</v>
      </c>
      <c r="L6720" s="508">
        <v>1.2E-2</v>
      </c>
      <c r="M6720" s="508">
        <v>1.2E-2</v>
      </c>
      <c r="N6720" s="508">
        <v>1.2E-2</v>
      </c>
      <c r="O6720" s="508">
        <v>1.2E-2</v>
      </c>
      <c r="P6720" s="508">
        <v>1.2E-2</v>
      </c>
      <c r="Q6720" s="508">
        <v>1.2E-2</v>
      </c>
      <c r="R6720" s="508">
        <v>1.2E-2</v>
      </c>
      <c r="S6720" s="508">
        <v>1.2E-2</v>
      </c>
      <c r="T6720" s="508">
        <v>1.2E-2</v>
      </c>
      <c r="U6720" s="508">
        <v>1.2E-2</v>
      </c>
      <c r="V6720" s="508">
        <v>1.2E-2</v>
      </c>
      <c r="W6720" s="508">
        <v>1.2E-2</v>
      </c>
      <c r="X6720" s="508">
        <v>1.2E-2</v>
      </c>
      <c r="Y6720" s="508">
        <v>1.2E-2</v>
      </c>
      <c r="Z6720" s="508">
        <v>1.2E-2</v>
      </c>
      <c r="AA6720" s="508">
        <v>1.2E-2</v>
      </c>
      <c r="AB6720" s="508">
        <v>1.2E-2</v>
      </c>
      <c r="AC6720" s="508">
        <v>1.2E-2</v>
      </c>
      <c r="AD6720" s="508">
        <v>1.2E-2</v>
      </c>
      <c r="AE6720" s="508">
        <v>1.2E-2</v>
      </c>
      <c r="AF6720" s="508">
        <v>1.2E-2</v>
      </c>
      <c r="AG6720" s="508">
        <v>1.2E-2</v>
      </c>
      <c r="AH6720" s="508">
        <v>1.2E-2</v>
      </c>
      <c r="AI6720" s="492">
        <v>1.2E-2</v>
      </c>
      <c r="AJ6720" s="485"/>
    </row>
    <row r="6721" spans="2:36">
      <c r="B6721" s="136" t="s">
        <v>453</v>
      </c>
      <c r="C6721" s="132" t="s">
        <v>1372</v>
      </c>
      <c r="D6721" s="132" t="s">
        <v>1380</v>
      </c>
      <c r="E6721" s="508">
        <v>1.0999999999999999E-2</v>
      </c>
      <c r="F6721" s="508">
        <v>1.0999999999999999E-2</v>
      </c>
      <c r="G6721" s="508">
        <v>1.0999999999999999E-2</v>
      </c>
      <c r="H6721" s="508">
        <v>1.0999999999999999E-2</v>
      </c>
      <c r="I6721" s="508">
        <v>1.0999999999999999E-2</v>
      </c>
      <c r="J6721" s="508">
        <v>1.0999999999999999E-2</v>
      </c>
      <c r="K6721" s="508">
        <v>1.0999999999999999E-2</v>
      </c>
      <c r="L6721" s="508">
        <v>1.0999999999999999E-2</v>
      </c>
      <c r="M6721" s="508">
        <v>1.0999999999999999E-2</v>
      </c>
      <c r="N6721" s="508">
        <v>1.0999999999999999E-2</v>
      </c>
      <c r="O6721" s="508">
        <v>1.0999999999999999E-2</v>
      </c>
      <c r="P6721" s="508">
        <v>1.0999999999999999E-2</v>
      </c>
      <c r="Q6721" s="508">
        <v>1.0999999999999999E-2</v>
      </c>
      <c r="R6721" s="508">
        <v>1.0999999999999999E-2</v>
      </c>
      <c r="S6721" s="508">
        <v>1.0999999999999999E-2</v>
      </c>
      <c r="T6721" s="508">
        <v>1.0999999999999999E-2</v>
      </c>
      <c r="U6721" s="508">
        <v>1.0999999999999999E-2</v>
      </c>
      <c r="V6721" s="508">
        <v>1.0999999999999999E-2</v>
      </c>
      <c r="W6721" s="508">
        <v>1.0999999999999999E-2</v>
      </c>
      <c r="X6721" s="508">
        <v>1.0999999999999999E-2</v>
      </c>
      <c r="Y6721" s="508">
        <v>1.0999999999999999E-2</v>
      </c>
      <c r="Z6721" s="508">
        <v>1.0999999999999999E-2</v>
      </c>
      <c r="AA6721" s="508">
        <v>1.0999999999999999E-2</v>
      </c>
      <c r="AB6721" s="508">
        <v>1.0999999999999999E-2</v>
      </c>
      <c r="AC6721" s="508">
        <v>1.0999999999999999E-2</v>
      </c>
      <c r="AD6721" s="508">
        <v>1.0999999999999999E-2</v>
      </c>
      <c r="AE6721" s="508">
        <v>1.0999999999999999E-2</v>
      </c>
      <c r="AF6721" s="508">
        <v>1.0999999999999999E-2</v>
      </c>
      <c r="AG6721" s="508">
        <v>1.0999999999999999E-2</v>
      </c>
      <c r="AH6721" s="508">
        <v>1.0999999999999999E-2</v>
      </c>
      <c r="AI6721" s="492">
        <v>1.0999999999999999E-2</v>
      </c>
      <c r="AJ6721" s="485"/>
    </row>
    <row r="6722" spans="2:36">
      <c r="B6722" s="136" t="s">
        <v>454</v>
      </c>
      <c r="C6722" s="132" t="s">
        <v>1372</v>
      </c>
      <c r="D6722" s="132" t="s">
        <v>1380</v>
      </c>
      <c r="E6722" s="508">
        <v>1.0999999999999999E-2</v>
      </c>
      <c r="F6722" s="508">
        <v>1.0999999999999999E-2</v>
      </c>
      <c r="G6722" s="508">
        <v>1.0999999999999999E-2</v>
      </c>
      <c r="H6722" s="508">
        <v>1.0999999999999999E-2</v>
      </c>
      <c r="I6722" s="508">
        <v>1.0999999999999999E-2</v>
      </c>
      <c r="J6722" s="508">
        <v>1.0999999999999999E-2</v>
      </c>
      <c r="K6722" s="508">
        <v>1.0999999999999999E-2</v>
      </c>
      <c r="L6722" s="508">
        <v>1.0999999999999999E-2</v>
      </c>
      <c r="M6722" s="508">
        <v>1.0999999999999999E-2</v>
      </c>
      <c r="N6722" s="508">
        <v>1.0999999999999999E-2</v>
      </c>
      <c r="O6722" s="508">
        <v>1.0999999999999999E-2</v>
      </c>
      <c r="P6722" s="508">
        <v>1.0999999999999999E-2</v>
      </c>
      <c r="Q6722" s="508">
        <v>1.0999999999999999E-2</v>
      </c>
      <c r="R6722" s="508">
        <v>1.0999999999999999E-2</v>
      </c>
      <c r="S6722" s="508">
        <v>1.0999999999999999E-2</v>
      </c>
      <c r="T6722" s="508">
        <v>1.0999999999999999E-2</v>
      </c>
      <c r="U6722" s="508">
        <v>1.0999999999999999E-2</v>
      </c>
      <c r="V6722" s="508">
        <v>1.0999999999999999E-2</v>
      </c>
      <c r="W6722" s="508">
        <v>1.0999999999999999E-2</v>
      </c>
      <c r="X6722" s="508">
        <v>1.0999999999999999E-2</v>
      </c>
      <c r="Y6722" s="508">
        <v>1.0999999999999999E-2</v>
      </c>
      <c r="Z6722" s="508">
        <v>1.0999999999999999E-2</v>
      </c>
      <c r="AA6722" s="508">
        <v>1.0999999999999999E-2</v>
      </c>
      <c r="AB6722" s="508">
        <v>1.0999999999999999E-2</v>
      </c>
      <c r="AC6722" s="508">
        <v>1.0999999999999999E-2</v>
      </c>
      <c r="AD6722" s="508">
        <v>1.0999999999999999E-2</v>
      </c>
      <c r="AE6722" s="508">
        <v>1.0999999999999999E-2</v>
      </c>
      <c r="AF6722" s="508">
        <v>1.0999999999999999E-2</v>
      </c>
      <c r="AG6722" s="508">
        <v>1.0999999999999999E-2</v>
      </c>
      <c r="AH6722" s="508">
        <v>1.0999999999999999E-2</v>
      </c>
      <c r="AI6722" s="492">
        <v>1.0999999999999999E-2</v>
      </c>
      <c r="AJ6722" s="485"/>
    </row>
    <row r="6723" spans="2:36">
      <c r="B6723" s="136" t="s">
        <v>455</v>
      </c>
      <c r="C6723" s="132" t="s">
        <v>1372</v>
      </c>
      <c r="D6723" s="132" t="s">
        <v>1380</v>
      </c>
      <c r="E6723" s="508">
        <v>0.01</v>
      </c>
      <c r="F6723" s="508">
        <v>0.01</v>
      </c>
      <c r="G6723" s="508">
        <v>0.01</v>
      </c>
      <c r="H6723" s="508">
        <v>0.01</v>
      </c>
      <c r="I6723" s="508">
        <v>0.01</v>
      </c>
      <c r="J6723" s="508">
        <v>0.01</v>
      </c>
      <c r="K6723" s="508">
        <v>0.01</v>
      </c>
      <c r="L6723" s="508">
        <v>0.01</v>
      </c>
      <c r="M6723" s="508">
        <v>0.01</v>
      </c>
      <c r="N6723" s="508">
        <v>0.01</v>
      </c>
      <c r="O6723" s="508">
        <v>0.01</v>
      </c>
      <c r="P6723" s="508">
        <v>0.01</v>
      </c>
      <c r="Q6723" s="508">
        <v>0.01</v>
      </c>
      <c r="R6723" s="508">
        <v>0.01</v>
      </c>
      <c r="S6723" s="508">
        <v>0.01</v>
      </c>
      <c r="T6723" s="508">
        <v>0.01</v>
      </c>
      <c r="U6723" s="508">
        <v>0.01</v>
      </c>
      <c r="V6723" s="508">
        <v>0.01</v>
      </c>
      <c r="W6723" s="508">
        <v>0.01</v>
      </c>
      <c r="X6723" s="508">
        <v>0.01</v>
      </c>
      <c r="Y6723" s="508">
        <v>0.01</v>
      </c>
      <c r="Z6723" s="508">
        <v>0.01</v>
      </c>
      <c r="AA6723" s="508">
        <v>0.01</v>
      </c>
      <c r="AB6723" s="508">
        <v>0.01</v>
      </c>
      <c r="AC6723" s="508">
        <v>0.01</v>
      </c>
      <c r="AD6723" s="508">
        <v>0.01</v>
      </c>
      <c r="AE6723" s="508">
        <v>0.01</v>
      </c>
      <c r="AF6723" s="508">
        <v>0.01</v>
      </c>
      <c r="AG6723" s="508">
        <v>0.01</v>
      </c>
      <c r="AH6723" s="508">
        <v>0.01</v>
      </c>
      <c r="AI6723" s="492">
        <v>0.01</v>
      </c>
      <c r="AJ6723" s="485"/>
    </row>
    <row r="6724" spans="2:36">
      <c r="B6724" s="136" t="s">
        <v>456</v>
      </c>
      <c r="C6724" s="132" t="s">
        <v>1372</v>
      </c>
      <c r="D6724" s="132" t="s">
        <v>1380</v>
      </c>
      <c r="E6724" s="508">
        <v>1.0999999999999999E-2</v>
      </c>
      <c r="F6724" s="508">
        <v>1.0999999999999999E-2</v>
      </c>
      <c r="G6724" s="508">
        <v>1.0999999999999999E-2</v>
      </c>
      <c r="H6724" s="508">
        <v>1.0999999999999999E-2</v>
      </c>
      <c r="I6724" s="508">
        <v>1.0999999999999999E-2</v>
      </c>
      <c r="J6724" s="508">
        <v>1.0999999999999999E-2</v>
      </c>
      <c r="K6724" s="508">
        <v>1.0999999999999999E-2</v>
      </c>
      <c r="L6724" s="508">
        <v>1.0999999999999999E-2</v>
      </c>
      <c r="M6724" s="508">
        <v>1.0999999999999999E-2</v>
      </c>
      <c r="N6724" s="508">
        <v>1.0999999999999999E-2</v>
      </c>
      <c r="O6724" s="508">
        <v>1.0999999999999999E-2</v>
      </c>
      <c r="P6724" s="508">
        <v>1.0999999999999999E-2</v>
      </c>
      <c r="Q6724" s="508">
        <v>1.0999999999999999E-2</v>
      </c>
      <c r="R6724" s="508">
        <v>1.0999999999999999E-2</v>
      </c>
      <c r="S6724" s="508">
        <v>1.0999999999999999E-2</v>
      </c>
      <c r="T6724" s="508">
        <v>1.0999999999999999E-2</v>
      </c>
      <c r="U6724" s="508">
        <v>1.0999999999999999E-2</v>
      </c>
      <c r="V6724" s="508">
        <v>1.0999999999999999E-2</v>
      </c>
      <c r="W6724" s="508">
        <v>1.0999999999999999E-2</v>
      </c>
      <c r="X6724" s="508">
        <v>1.0999999999999999E-2</v>
      </c>
      <c r="Y6724" s="508">
        <v>1.0999999999999999E-2</v>
      </c>
      <c r="Z6724" s="508">
        <v>1.0999999999999999E-2</v>
      </c>
      <c r="AA6724" s="508">
        <v>1.0999999999999999E-2</v>
      </c>
      <c r="AB6724" s="508">
        <v>1.0999999999999999E-2</v>
      </c>
      <c r="AC6724" s="508">
        <v>1.0999999999999999E-2</v>
      </c>
      <c r="AD6724" s="508">
        <v>1.0999999999999999E-2</v>
      </c>
      <c r="AE6724" s="508">
        <v>1.0999999999999999E-2</v>
      </c>
      <c r="AF6724" s="508">
        <v>1.0999999999999999E-2</v>
      </c>
      <c r="AG6724" s="508">
        <v>1.0999999999999999E-2</v>
      </c>
      <c r="AH6724" s="508">
        <v>1.0999999999999999E-2</v>
      </c>
      <c r="AI6724" s="492">
        <v>1.0999999999999999E-2</v>
      </c>
      <c r="AJ6724" s="485"/>
    </row>
    <row r="6725" spans="2:36">
      <c r="B6725" s="136" t="s">
        <v>457</v>
      </c>
      <c r="C6725" s="132" t="s">
        <v>1372</v>
      </c>
      <c r="D6725" s="132" t="s">
        <v>1380</v>
      </c>
      <c r="E6725" s="508">
        <v>0.01</v>
      </c>
      <c r="F6725" s="508">
        <v>0.01</v>
      </c>
      <c r="G6725" s="508">
        <v>0.01</v>
      </c>
      <c r="H6725" s="508">
        <v>0.01</v>
      </c>
      <c r="I6725" s="508">
        <v>0.01</v>
      </c>
      <c r="J6725" s="508">
        <v>0.01</v>
      </c>
      <c r="K6725" s="508">
        <v>0.01</v>
      </c>
      <c r="L6725" s="508">
        <v>0.01</v>
      </c>
      <c r="M6725" s="508">
        <v>0.01</v>
      </c>
      <c r="N6725" s="508">
        <v>0.01</v>
      </c>
      <c r="O6725" s="508">
        <v>0.01</v>
      </c>
      <c r="P6725" s="508">
        <v>0.01</v>
      </c>
      <c r="Q6725" s="508">
        <v>0.01</v>
      </c>
      <c r="R6725" s="508">
        <v>0.01</v>
      </c>
      <c r="S6725" s="508">
        <v>0.01</v>
      </c>
      <c r="T6725" s="508">
        <v>0.01</v>
      </c>
      <c r="U6725" s="508">
        <v>0.01</v>
      </c>
      <c r="V6725" s="508">
        <v>0.01</v>
      </c>
      <c r="W6725" s="508">
        <v>0.01</v>
      </c>
      <c r="X6725" s="508">
        <v>0.01</v>
      </c>
      <c r="Y6725" s="508">
        <v>0.01</v>
      </c>
      <c r="Z6725" s="508">
        <v>0.01</v>
      </c>
      <c r="AA6725" s="508">
        <v>0.01</v>
      </c>
      <c r="AB6725" s="508">
        <v>0.01</v>
      </c>
      <c r="AC6725" s="508">
        <v>0.01</v>
      </c>
      <c r="AD6725" s="508">
        <v>0.01</v>
      </c>
      <c r="AE6725" s="508">
        <v>0.01</v>
      </c>
      <c r="AF6725" s="508">
        <v>0.01</v>
      </c>
      <c r="AG6725" s="508">
        <v>0.01</v>
      </c>
      <c r="AH6725" s="508">
        <v>0.01</v>
      </c>
      <c r="AI6725" s="492">
        <v>0.01</v>
      </c>
      <c r="AJ6725" s="485"/>
    </row>
    <row r="6726" spans="2:36">
      <c r="B6726" s="136" t="s">
        <v>458</v>
      </c>
      <c r="C6726" s="132" t="s">
        <v>1372</v>
      </c>
      <c r="D6726" s="132" t="s">
        <v>1380</v>
      </c>
      <c r="E6726" s="508">
        <v>1.2E-2</v>
      </c>
      <c r="F6726" s="508">
        <v>1.2E-2</v>
      </c>
      <c r="G6726" s="508">
        <v>1.2E-2</v>
      </c>
      <c r="H6726" s="508">
        <v>1.2E-2</v>
      </c>
      <c r="I6726" s="508">
        <v>1.2E-2</v>
      </c>
      <c r="J6726" s="508">
        <v>1.2E-2</v>
      </c>
      <c r="K6726" s="508">
        <v>1.2E-2</v>
      </c>
      <c r="L6726" s="508">
        <v>1.2E-2</v>
      </c>
      <c r="M6726" s="508">
        <v>1.2E-2</v>
      </c>
      <c r="N6726" s="508">
        <v>1.2E-2</v>
      </c>
      <c r="O6726" s="508">
        <v>1.2E-2</v>
      </c>
      <c r="P6726" s="508">
        <v>1.2E-2</v>
      </c>
      <c r="Q6726" s="508">
        <v>1.2E-2</v>
      </c>
      <c r="R6726" s="508">
        <v>1.2E-2</v>
      </c>
      <c r="S6726" s="508">
        <v>1.2E-2</v>
      </c>
      <c r="T6726" s="508">
        <v>1.2E-2</v>
      </c>
      <c r="U6726" s="508">
        <v>1.2E-2</v>
      </c>
      <c r="V6726" s="508">
        <v>1.2E-2</v>
      </c>
      <c r="W6726" s="508">
        <v>1.2E-2</v>
      </c>
      <c r="X6726" s="508">
        <v>1.2E-2</v>
      </c>
      <c r="Y6726" s="508">
        <v>1.2E-2</v>
      </c>
      <c r="Z6726" s="508">
        <v>1.2E-2</v>
      </c>
      <c r="AA6726" s="508">
        <v>1.2E-2</v>
      </c>
      <c r="AB6726" s="508">
        <v>1.2E-2</v>
      </c>
      <c r="AC6726" s="508">
        <v>1.2E-2</v>
      </c>
      <c r="AD6726" s="508">
        <v>1.2E-2</v>
      </c>
      <c r="AE6726" s="508">
        <v>1.2E-2</v>
      </c>
      <c r="AF6726" s="508">
        <v>1.2E-2</v>
      </c>
      <c r="AG6726" s="508">
        <v>1.2E-2</v>
      </c>
      <c r="AH6726" s="508">
        <v>1.2E-2</v>
      </c>
      <c r="AI6726" s="492">
        <v>1.2E-2</v>
      </c>
      <c r="AJ6726" s="485"/>
    </row>
    <row r="6727" spans="2:36">
      <c r="B6727" s="136" t="s">
        <v>459</v>
      </c>
      <c r="C6727" s="132" t="s">
        <v>1372</v>
      </c>
      <c r="D6727" s="132" t="s">
        <v>1380</v>
      </c>
      <c r="E6727" s="508">
        <v>1.2E-2</v>
      </c>
      <c r="F6727" s="508">
        <v>1.2E-2</v>
      </c>
      <c r="G6727" s="508">
        <v>1.2E-2</v>
      </c>
      <c r="H6727" s="508">
        <v>1.2E-2</v>
      </c>
      <c r="I6727" s="508">
        <v>1.2E-2</v>
      </c>
      <c r="J6727" s="508">
        <v>1.2E-2</v>
      </c>
      <c r="K6727" s="508">
        <v>1.2E-2</v>
      </c>
      <c r="L6727" s="508">
        <v>1.2E-2</v>
      </c>
      <c r="M6727" s="508">
        <v>1.2E-2</v>
      </c>
      <c r="N6727" s="508">
        <v>1.2E-2</v>
      </c>
      <c r="O6727" s="508">
        <v>1.2E-2</v>
      </c>
      <c r="P6727" s="508">
        <v>1.2E-2</v>
      </c>
      <c r="Q6727" s="508">
        <v>1.2E-2</v>
      </c>
      <c r="R6727" s="508">
        <v>1.2E-2</v>
      </c>
      <c r="S6727" s="508">
        <v>1.2E-2</v>
      </c>
      <c r="T6727" s="508">
        <v>1.2E-2</v>
      </c>
      <c r="U6727" s="508">
        <v>1.2E-2</v>
      </c>
      <c r="V6727" s="508">
        <v>1.2E-2</v>
      </c>
      <c r="W6727" s="508">
        <v>1.2E-2</v>
      </c>
      <c r="X6727" s="508">
        <v>1.2E-2</v>
      </c>
      <c r="Y6727" s="508">
        <v>1.2E-2</v>
      </c>
      <c r="Z6727" s="508">
        <v>1.2E-2</v>
      </c>
      <c r="AA6727" s="508">
        <v>1.2E-2</v>
      </c>
      <c r="AB6727" s="508">
        <v>1.2E-2</v>
      </c>
      <c r="AC6727" s="508">
        <v>1.2E-2</v>
      </c>
      <c r="AD6727" s="508">
        <v>1.2E-2</v>
      </c>
      <c r="AE6727" s="508">
        <v>1.2E-2</v>
      </c>
      <c r="AF6727" s="508">
        <v>1.2E-2</v>
      </c>
      <c r="AG6727" s="508">
        <v>1.2E-2</v>
      </c>
      <c r="AH6727" s="508">
        <v>1.2E-2</v>
      </c>
      <c r="AI6727" s="492">
        <v>1.2E-2</v>
      </c>
      <c r="AJ6727" s="485"/>
    </row>
    <row r="6728" spans="2:36">
      <c r="B6728" s="136" t="s">
        <v>460</v>
      </c>
      <c r="C6728" s="132" t="s">
        <v>1372</v>
      </c>
      <c r="D6728" s="132" t="s">
        <v>1380</v>
      </c>
      <c r="E6728" s="508">
        <v>1.2E-2</v>
      </c>
      <c r="F6728" s="508">
        <v>1.2E-2</v>
      </c>
      <c r="G6728" s="508">
        <v>1.2E-2</v>
      </c>
      <c r="H6728" s="508">
        <v>1.2E-2</v>
      </c>
      <c r="I6728" s="508">
        <v>1.2E-2</v>
      </c>
      <c r="J6728" s="508">
        <v>1.2E-2</v>
      </c>
      <c r="K6728" s="508">
        <v>1.2E-2</v>
      </c>
      <c r="L6728" s="508">
        <v>1.2E-2</v>
      </c>
      <c r="M6728" s="508">
        <v>1.2E-2</v>
      </c>
      <c r="N6728" s="508">
        <v>1.2E-2</v>
      </c>
      <c r="O6728" s="508">
        <v>1.2E-2</v>
      </c>
      <c r="P6728" s="508">
        <v>1.2E-2</v>
      </c>
      <c r="Q6728" s="508">
        <v>1.2E-2</v>
      </c>
      <c r="R6728" s="508">
        <v>1.2E-2</v>
      </c>
      <c r="S6728" s="508">
        <v>1.2E-2</v>
      </c>
      <c r="T6728" s="508">
        <v>1.2E-2</v>
      </c>
      <c r="U6728" s="508">
        <v>1.2E-2</v>
      </c>
      <c r="V6728" s="508">
        <v>1.2E-2</v>
      </c>
      <c r="W6728" s="508">
        <v>1.2E-2</v>
      </c>
      <c r="X6728" s="508">
        <v>1.2E-2</v>
      </c>
      <c r="Y6728" s="508">
        <v>1.2E-2</v>
      </c>
      <c r="Z6728" s="508">
        <v>1.2E-2</v>
      </c>
      <c r="AA6728" s="508">
        <v>1.2E-2</v>
      </c>
      <c r="AB6728" s="508">
        <v>1.2E-2</v>
      </c>
      <c r="AC6728" s="508">
        <v>1.2E-2</v>
      </c>
      <c r="AD6728" s="508">
        <v>1.2E-2</v>
      </c>
      <c r="AE6728" s="508">
        <v>1.2E-2</v>
      </c>
      <c r="AF6728" s="508">
        <v>1.2E-2</v>
      </c>
      <c r="AG6728" s="508">
        <v>1.2E-2</v>
      </c>
      <c r="AH6728" s="508">
        <v>1.2E-2</v>
      </c>
      <c r="AI6728" s="492">
        <v>1.2E-2</v>
      </c>
      <c r="AJ6728" s="485"/>
    </row>
    <row r="6729" spans="2:36">
      <c r="B6729" s="136" t="s">
        <v>461</v>
      </c>
      <c r="C6729" s="132" t="s">
        <v>1372</v>
      </c>
      <c r="D6729" s="132" t="s">
        <v>1380</v>
      </c>
      <c r="E6729" s="508">
        <v>1.0999999999999999E-2</v>
      </c>
      <c r="F6729" s="508">
        <v>1.0999999999999999E-2</v>
      </c>
      <c r="G6729" s="508">
        <v>1.0999999999999999E-2</v>
      </c>
      <c r="H6729" s="508">
        <v>1.0999999999999999E-2</v>
      </c>
      <c r="I6729" s="508">
        <v>1.0999999999999999E-2</v>
      </c>
      <c r="J6729" s="508">
        <v>1.0999999999999999E-2</v>
      </c>
      <c r="K6729" s="508">
        <v>1.0999999999999999E-2</v>
      </c>
      <c r="L6729" s="508">
        <v>1.0999999999999999E-2</v>
      </c>
      <c r="M6729" s="508">
        <v>1.0999999999999999E-2</v>
      </c>
      <c r="N6729" s="508">
        <v>1.0999999999999999E-2</v>
      </c>
      <c r="O6729" s="508">
        <v>1.0999999999999999E-2</v>
      </c>
      <c r="P6729" s="508">
        <v>1.0999999999999999E-2</v>
      </c>
      <c r="Q6729" s="508">
        <v>1.0999999999999999E-2</v>
      </c>
      <c r="R6729" s="508">
        <v>1.0999999999999999E-2</v>
      </c>
      <c r="S6729" s="508">
        <v>1.0999999999999999E-2</v>
      </c>
      <c r="T6729" s="508">
        <v>1.0999999999999999E-2</v>
      </c>
      <c r="U6729" s="508">
        <v>1.0999999999999999E-2</v>
      </c>
      <c r="V6729" s="508">
        <v>1.0999999999999999E-2</v>
      </c>
      <c r="W6729" s="508">
        <v>1.0999999999999999E-2</v>
      </c>
      <c r="X6729" s="508">
        <v>1.0999999999999999E-2</v>
      </c>
      <c r="Y6729" s="508">
        <v>1.0999999999999999E-2</v>
      </c>
      <c r="Z6729" s="508">
        <v>1.0999999999999999E-2</v>
      </c>
      <c r="AA6729" s="508">
        <v>1.0999999999999999E-2</v>
      </c>
      <c r="AB6729" s="508">
        <v>1.0999999999999999E-2</v>
      </c>
      <c r="AC6729" s="508">
        <v>1.0999999999999999E-2</v>
      </c>
      <c r="AD6729" s="508">
        <v>1.0999999999999999E-2</v>
      </c>
      <c r="AE6729" s="508">
        <v>1.0999999999999999E-2</v>
      </c>
      <c r="AF6729" s="508">
        <v>1.0999999999999999E-2</v>
      </c>
      <c r="AG6729" s="508">
        <v>1.0999999999999999E-2</v>
      </c>
      <c r="AH6729" s="508">
        <v>1.0999999999999999E-2</v>
      </c>
      <c r="AI6729" s="492">
        <v>1.0999999999999999E-2</v>
      </c>
      <c r="AJ6729" s="485"/>
    </row>
    <row r="6730" spans="2:36">
      <c r="B6730" s="136" t="s">
        <v>462</v>
      </c>
      <c r="C6730" s="132" t="s">
        <v>1372</v>
      </c>
      <c r="D6730" s="132" t="s">
        <v>1380</v>
      </c>
      <c r="E6730" s="508">
        <v>1.0999999999999999E-2</v>
      </c>
      <c r="F6730" s="508">
        <v>1.0999999999999999E-2</v>
      </c>
      <c r="G6730" s="508">
        <v>1.0999999999999999E-2</v>
      </c>
      <c r="H6730" s="508">
        <v>1.0999999999999999E-2</v>
      </c>
      <c r="I6730" s="508">
        <v>1.0999999999999999E-2</v>
      </c>
      <c r="J6730" s="508">
        <v>1.0999999999999999E-2</v>
      </c>
      <c r="K6730" s="508">
        <v>1.0999999999999999E-2</v>
      </c>
      <c r="L6730" s="508">
        <v>1.0999999999999999E-2</v>
      </c>
      <c r="M6730" s="508">
        <v>1.0999999999999999E-2</v>
      </c>
      <c r="N6730" s="508">
        <v>1.0999999999999999E-2</v>
      </c>
      <c r="O6730" s="508">
        <v>1.0999999999999999E-2</v>
      </c>
      <c r="P6730" s="508">
        <v>1.0999999999999999E-2</v>
      </c>
      <c r="Q6730" s="508">
        <v>1.0999999999999999E-2</v>
      </c>
      <c r="R6730" s="508">
        <v>1.0999999999999999E-2</v>
      </c>
      <c r="S6730" s="508">
        <v>1.0999999999999999E-2</v>
      </c>
      <c r="T6730" s="508">
        <v>1.0999999999999999E-2</v>
      </c>
      <c r="U6730" s="508">
        <v>1.0999999999999999E-2</v>
      </c>
      <c r="V6730" s="508">
        <v>1.0999999999999999E-2</v>
      </c>
      <c r="W6730" s="508">
        <v>1.0999999999999999E-2</v>
      </c>
      <c r="X6730" s="508">
        <v>1.0999999999999999E-2</v>
      </c>
      <c r="Y6730" s="508">
        <v>1.0999999999999999E-2</v>
      </c>
      <c r="Z6730" s="508">
        <v>1.0999999999999999E-2</v>
      </c>
      <c r="AA6730" s="508">
        <v>1.0999999999999999E-2</v>
      </c>
      <c r="AB6730" s="508">
        <v>1.0999999999999999E-2</v>
      </c>
      <c r="AC6730" s="508">
        <v>1.0999999999999999E-2</v>
      </c>
      <c r="AD6730" s="508">
        <v>1.0999999999999999E-2</v>
      </c>
      <c r="AE6730" s="508">
        <v>1.0999999999999999E-2</v>
      </c>
      <c r="AF6730" s="508">
        <v>1.0999999999999999E-2</v>
      </c>
      <c r="AG6730" s="508">
        <v>1.0999999999999999E-2</v>
      </c>
      <c r="AH6730" s="508">
        <v>1.0999999999999999E-2</v>
      </c>
      <c r="AI6730" s="492">
        <v>1.0999999999999999E-2</v>
      </c>
      <c r="AJ6730" s="485"/>
    </row>
    <row r="6731" spans="2:36">
      <c r="B6731" s="136" t="s">
        <v>463</v>
      </c>
      <c r="C6731" s="132" t="s">
        <v>1372</v>
      </c>
      <c r="D6731" s="132" t="s">
        <v>1380</v>
      </c>
      <c r="E6731" s="508">
        <v>0.01</v>
      </c>
      <c r="F6731" s="508">
        <v>0.01</v>
      </c>
      <c r="G6731" s="508">
        <v>0.01</v>
      </c>
      <c r="H6731" s="508">
        <v>0.01</v>
      </c>
      <c r="I6731" s="508">
        <v>0.01</v>
      </c>
      <c r="J6731" s="508">
        <v>0.01</v>
      </c>
      <c r="K6731" s="508">
        <v>0.01</v>
      </c>
      <c r="L6731" s="508">
        <v>0.01</v>
      </c>
      <c r="M6731" s="508">
        <v>0.01</v>
      </c>
      <c r="N6731" s="508">
        <v>0.01</v>
      </c>
      <c r="O6731" s="508">
        <v>0.01</v>
      </c>
      <c r="P6731" s="508">
        <v>0.01</v>
      </c>
      <c r="Q6731" s="508">
        <v>0.01</v>
      </c>
      <c r="R6731" s="508">
        <v>0.01</v>
      </c>
      <c r="S6731" s="508">
        <v>0.01</v>
      </c>
      <c r="T6731" s="508">
        <v>0.01</v>
      </c>
      <c r="U6731" s="508">
        <v>0.01</v>
      </c>
      <c r="V6731" s="508">
        <v>0.01</v>
      </c>
      <c r="W6731" s="508">
        <v>0.01</v>
      </c>
      <c r="X6731" s="508">
        <v>0.01</v>
      </c>
      <c r="Y6731" s="508">
        <v>0.01</v>
      </c>
      <c r="Z6731" s="508">
        <v>0.01</v>
      </c>
      <c r="AA6731" s="508">
        <v>0.01</v>
      </c>
      <c r="AB6731" s="508">
        <v>0.01</v>
      </c>
      <c r="AC6731" s="508">
        <v>0.01</v>
      </c>
      <c r="AD6731" s="508">
        <v>0.01</v>
      </c>
      <c r="AE6731" s="508">
        <v>0.01</v>
      </c>
      <c r="AF6731" s="508">
        <v>0.01</v>
      </c>
      <c r="AG6731" s="508">
        <v>0.01</v>
      </c>
      <c r="AH6731" s="508">
        <v>0.01</v>
      </c>
      <c r="AI6731" s="492">
        <v>0.01</v>
      </c>
      <c r="AJ6731" s="485"/>
    </row>
    <row r="6732" spans="2:36">
      <c r="B6732" s="136" t="s">
        <v>464</v>
      </c>
      <c r="C6732" s="132" t="s">
        <v>1372</v>
      </c>
      <c r="D6732" s="132" t="s">
        <v>1380</v>
      </c>
      <c r="E6732" s="508">
        <v>0.01</v>
      </c>
      <c r="F6732" s="508">
        <v>0.01</v>
      </c>
      <c r="G6732" s="508">
        <v>0.01</v>
      </c>
      <c r="H6732" s="508">
        <v>0.01</v>
      </c>
      <c r="I6732" s="508">
        <v>0.01</v>
      </c>
      <c r="J6732" s="508">
        <v>0.01</v>
      </c>
      <c r="K6732" s="508">
        <v>0.01</v>
      </c>
      <c r="L6732" s="508">
        <v>0.01</v>
      </c>
      <c r="M6732" s="508">
        <v>0.01</v>
      </c>
      <c r="N6732" s="508">
        <v>0.01</v>
      </c>
      <c r="O6732" s="508">
        <v>0.01</v>
      </c>
      <c r="P6732" s="508">
        <v>0.01</v>
      </c>
      <c r="Q6732" s="508">
        <v>0.01</v>
      </c>
      <c r="R6732" s="508">
        <v>0.01</v>
      </c>
      <c r="S6732" s="508">
        <v>0.01</v>
      </c>
      <c r="T6732" s="508">
        <v>0.01</v>
      </c>
      <c r="U6732" s="508">
        <v>0.01</v>
      </c>
      <c r="V6732" s="508">
        <v>0.01</v>
      </c>
      <c r="W6732" s="508">
        <v>0.01</v>
      </c>
      <c r="X6732" s="508">
        <v>0.01</v>
      </c>
      <c r="Y6732" s="508">
        <v>0.01</v>
      </c>
      <c r="Z6732" s="508">
        <v>0.01</v>
      </c>
      <c r="AA6732" s="508">
        <v>0.01</v>
      </c>
      <c r="AB6732" s="508">
        <v>0.01</v>
      </c>
      <c r="AC6732" s="508">
        <v>0.01</v>
      </c>
      <c r="AD6732" s="508">
        <v>0.01</v>
      </c>
      <c r="AE6732" s="508">
        <v>0.01</v>
      </c>
      <c r="AF6732" s="508">
        <v>0.01</v>
      </c>
      <c r="AG6732" s="508">
        <v>0.01</v>
      </c>
      <c r="AH6732" s="508">
        <v>0.01</v>
      </c>
      <c r="AI6732" s="492">
        <v>0.01</v>
      </c>
      <c r="AJ6732" s="485"/>
    </row>
    <row r="6733" spans="2:36">
      <c r="B6733" s="136" t="s">
        <v>465</v>
      </c>
      <c r="C6733" s="132" t="s">
        <v>1372</v>
      </c>
      <c r="D6733" s="132" t="s">
        <v>1380</v>
      </c>
      <c r="E6733" s="508">
        <v>0.01</v>
      </c>
      <c r="F6733" s="508">
        <v>0.01</v>
      </c>
      <c r="G6733" s="508">
        <v>0.01</v>
      </c>
      <c r="H6733" s="508">
        <v>0.01</v>
      </c>
      <c r="I6733" s="508">
        <v>0.01</v>
      </c>
      <c r="J6733" s="508">
        <v>0.01</v>
      </c>
      <c r="K6733" s="508">
        <v>0.01</v>
      </c>
      <c r="L6733" s="508">
        <v>0.01</v>
      </c>
      <c r="M6733" s="508">
        <v>0.01</v>
      </c>
      <c r="N6733" s="508">
        <v>0.01</v>
      </c>
      <c r="O6733" s="508">
        <v>0.01</v>
      </c>
      <c r="P6733" s="508">
        <v>0.01</v>
      </c>
      <c r="Q6733" s="508">
        <v>0.01</v>
      </c>
      <c r="R6733" s="508">
        <v>0.01</v>
      </c>
      <c r="S6733" s="508">
        <v>0.01</v>
      </c>
      <c r="T6733" s="508">
        <v>0.01</v>
      </c>
      <c r="U6733" s="508">
        <v>0.01</v>
      </c>
      <c r="V6733" s="508">
        <v>0.01</v>
      </c>
      <c r="W6733" s="508">
        <v>0.01</v>
      </c>
      <c r="X6733" s="508">
        <v>0.01</v>
      </c>
      <c r="Y6733" s="508">
        <v>0.01</v>
      </c>
      <c r="Z6733" s="508">
        <v>0.01</v>
      </c>
      <c r="AA6733" s="508">
        <v>0.01</v>
      </c>
      <c r="AB6733" s="508">
        <v>0.01</v>
      </c>
      <c r="AC6733" s="508">
        <v>0.01</v>
      </c>
      <c r="AD6733" s="508">
        <v>0.01</v>
      </c>
      <c r="AE6733" s="508">
        <v>0.01</v>
      </c>
      <c r="AF6733" s="508">
        <v>0.01</v>
      </c>
      <c r="AG6733" s="508">
        <v>0.01</v>
      </c>
      <c r="AH6733" s="508">
        <v>0.01</v>
      </c>
      <c r="AI6733" s="492">
        <v>0.01</v>
      </c>
      <c r="AJ6733" s="485"/>
    </row>
    <row r="6734" spans="2:36">
      <c r="B6734" s="136" t="s">
        <v>466</v>
      </c>
      <c r="C6734" s="132" t="s">
        <v>1372</v>
      </c>
      <c r="D6734" s="132" t="s">
        <v>1380</v>
      </c>
      <c r="E6734" s="508">
        <v>1.2999999999999999E-2</v>
      </c>
      <c r="F6734" s="508">
        <v>1.2999999999999999E-2</v>
      </c>
      <c r="G6734" s="508">
        <v>1.2999999999999999E-2</v>
      </c>
      <c r="H6734" s="508">
        <v>1.2999999999999999E-2</v>
      </c>
      <c r="I6734" s="508">
        <v>1.2999999999999999E-2</v>
      </c>
      <c r="J6734" s="508">
        <v>1.2999999999999999E-2</v>
      </c>
      <c r="K6734" s="508">
        <v>1.2999999999999999E-2</v>
      </c>
      <c r="L6734" s="508">
        <v>1.2999999999999999E-2</v>
      </c>
      <c r="M6734" s="508">
        <v>1.2999999999999999E-2</v>
      </c>
      <c r="N6734" s="508">
        <v>1.2999999999999999E-2</v>
      </c>
      <c r="O6734" s="508">
        <v>1.2999999999999999E-2</v>
      </c>
      <c r="P6734" s="508">
        <v>1.2999999999999999E-2</v>
      </c>
      <c r="Q6734" s="508">
        <v>1.2999999999999999E-2</v>
      </c>
      <c r="R6734" s="508">
        <v>1.2999999999999999E-2</v>
      </c>
      <c r="S6734" s="508">
        <v>1.2999999999999999E-2</v>
      </c>
      <c r="T6734" s="508">
        <v>1.2999999999999999E-2</v>
      </c>
      <c r="U6734" s="508">
        <v>1.2999999999999999E-2</v>
      </c>
      <c r="V6734" s="508">
        <v>1.2999999999999999E-2</v>
      </c>
      <c r="W6734" s="508">
        <v>1.2999999999999999E-2</v>
      </c>
      <c r="X6734" s="508">
        <v>1.2999999999999999E-2</v>
      </c>
      <c r="Y6734" s="508">
        <v>1.2999999999999999E-2</v>
      </c>
      <c r="Z6734" s="508">
        <v>1.2999999999999999E-2</v>
      </c>
      <c r="AA6734" s="508">
        <v>1.2999999999999999E-2</v>
      </c>
      <c r="AB6734" s="508">
        <v>1.2999999999999999E-2</v>
      </c>
      <c r="AC6734" s="508">
        <v>1.2999999999999999E-2</v>
      </c>
      <c r="AD6734" s="508">
        <v>1.2999999999999999E-2</v>
      </c>
      <c r="AE6734" s="508">
        <v>1.2999999999999999E-2</v>
      </c>
      <c r="AF6734" s="508">
        <v>1.2999999999999999E-2</v>
      </c>
      <c r="AG6734" s="508">
        <v>1.2999999999999999E-2</v>
      </c>
      <c r="AH6734" s="508">
        <v>1.2999999999999999E-2</v>
      </c>
      <c r="AI6734" s="492">
        <v>1.2999999999999999E-2</v>
      </c>
      <c r="AJ6734" s="485"/>
    </row>
    <row r="6735" spans="2:36">
      <c r="B6735" s="136" t="s">
        <v>467</v>
      </c>
      <c r="C6735" s="132" t="s">
        <v>1372</v>
      </c>
      <c r="D6735" s="132" t="s">
        <v>1380</v>
      </c>
      <c r="E6735" s="508">
        <v>1.0999999999999999E-2</v>
      </c>
      <c r="F6735" s="508">
        <v>1.0999999999999999E-2</v>
      </c>
      <c r="G6735" s="508">
        <v>1.0999999999999999E-2</v>
      </c>
      <c r="H6735" s="508">
        <v>1.0999999999999999E-2</v>
      </c>
      <c r="I6735" s="508">
        <v>1.0999999999999999E-2</v>
      </c>
      <c r="J6735" s="508">
        <v>1.0999999999999999E-2</v>
      </c>
      <c r="K6735" s="508">
        <v>1.0999999999999999E-2</v>
      </c>
      <c r="L6735" s="508">
        <v>1.0999999999999999E-2</v>
      </c>
      <c r="M6735" s="508">
        <v>1.0999999999999999E-2</v>
      </c>
      <c r="N6735" s="508">
        <v>1.0999999999999999E-2</v>
      </c>
      <c r="O6735" s="508">
        <v>1.0999999999999999E-2</v>
      </c>
      <c r="P6735" s="508">
        <v>1.0999999999999999E-2</v>
      </c>
      <c r="Q6735" s="508">
        <v>1.0999999999999999E-2</v>
      </c>
      <c r="R6735" s="508">
        <v>1.0999999999999999E-2</v>
      </c>
      <c r="S6735" s="508">
        <v>1.0999999999999999E-2</v>
      </c>
      <c r="T6735" s="508">
        <v>1.0999999999999999E-2</v>
      </c>
      <c r="U6735" s="508">
        <v>1.0999999999999999E-2</v>
      </c>
      <c r="V6735" s="508">
        <v>1.0999999999999999E-2</v>
      </c>
      <c r="W6735" s="508">
        <v>1.0999999999999999E-2</v>
      </c>
      <c r="X6735" s="508">
        <v>1.0999999999999999E-2</v>
      </c>
      <c r="Y6735" s="508">
        <v>1.0999999999999999E-2</v>
      </c>
      <c r="Z6735" s="508">
        <v>1.0999999999999999E-2</v>
      </c>
      <c r="AA6735" s="508">
        <v>1.0999999999999999E-2</v>
      </c>
      <c r="AB6735" s="508">
        <v>1.0999999999999999E-2</v>
      </c>
      <c r="AC6735" s="508">
        <v>1.0999999999999999E-2</v>
      </c>
      <c r="AD6735" s="508">
        <v>1.0999999999999999E-2</v>
      </c>
      <c r="AE6735" s="508">
        <v>1.0999999999999999E-2</v>
      </c>
      <c r="AF6735" s="508">
        <v>1.0999999999999999E-2</v>
      </c>
      <c r="AG6735" s="508">
        <v>1.0999999999999999E-2</v>
      </c>
      <c r="AH6735" s="508">
        <v>1.0999999999999999E-2</v>
      </c>
      <c r="AI6735" s="492">
        <v>1.0999999999999999E-2</v>
      </c>
      <c r="AJ6735" s="485"/>
    </row>
    <row r="6736" spans="2:36">
      <c r="B6736" s="136" t="s">
        <v>468</v>
      </c>
      <c r="C6736" s="132" t="s">
        <v>1372</v>
      </c>
      <c r="D6736" s="132" t="s">
        <v>1380</v>
      </c>
      <c r="E6736" s="508">
        <v>0.01</v>
      </c>
      <c r="F6736" s="508">
        <v>0.01</v>
      </c>
      <c r="G6736" s="508">
        <v>0.01</v>
      </c>
      <c r="H6736" s="508">
        <v>0.01</v>
      </c>
      <c r="I6736" s="508">
        <v>0.01</v>
      </c>
      <c r="J6736" s="508">
        <v>0.01</v>
      </c>
      <c r="K6736" s="508">
        <v>0.01</v>
      </c>
      <c r="L6736" s="508">
        <v>8.9999999999999993E-3</v>
      </c>
      <c r="M6736" s="508">
        <v>0.01</v>
      </c>
      <c r="N6736" s="508">
        <v>0.01</v>
      </c>
      <c r="O6736" s="508">
        <v>0.01</v>
      </c>
      <c r="P6736" s="508">
        <v>0.01</v>
      </c>
      <c r="Q6736" s="508">
        <v>0.01</v>
      </c>
      <c r="R6736" s="508">
        <v>0.01</v>
      </c>
      <c r="S6736" s="508">
        <v>0.01</v>
      </c>
      <c r="T6736" s="508">
        <v>0.01</v>
      </c>
      <c r="U6736" s="508">
        <v>0.01</v>
      </c>
      <c r="V6736" s="508">
        <v>0.01</v>
      </c>
      <c r="W6736" s="508">
        <v>0.01</v>
      </c>
      <c r="X6736" s="508">
        <v>0.01</v>
      </c>
      <c r="Y6736" s="508">
        <v>0.01</v>
      </c>
      <c r="Z6736" s="508">
        <v>0.01</v>
      </c>
      <c r="AA6736" s="508">
        <v>0.01</v>
      </c>
      <c r="AB6736" s="508">
        <v>0.01</v>
      </c>
      <c r="AC6736" s="508">
        <v>0.01</v>
      </c>
      <c r="AD6736" s="508">
        <v>8.9999999999999993E-3</v>
      </c>
      <c r="AE6736" s="508">
        <v>8.9999999999999993E-3</v>
      </c>
      <c r="AF6736" s="508">
        <v>8.9999999999999993E-3</v>
      </c>
      <c r="AG6736" s="508">
        <v>8.9999999999999993E-3</v>
      </c>
      <c r="AH6736" s="508">
        <v>8.9999999999999993E-3</v>
      </c>
      <c r="AI6736" s="492">
        <v>8.9999999999999993E-3</v>
      </c>
      <c r="AJ6736" s="485"/>
    </row>
    <row r="6737" spans="2:36">
      <c r="B6737" s="136" t="s">
        <v>469</v>
      </c>
      <c r="C6737" s="132" t="s">
        <v>1372</v>
      </c>
      <c r="D6737" s="132" t="s">
        <v>1380</v>
      </c>
      <c r="E6737" s="508">
        <v>1.0999999999999999E-2</v>
      </c>
      <c r="F6737" s="508">
        <v>1.0999999999999999E-2</v>
      </c>
      <c r="G6737" s="508">
        <v>1.0999999999999999E-2</v>
      </c>
      <c r="H6737" s="508">
        <v>1.0999999999999999E-2</v>
      </c>
      <c r="I6737" s="508">
        <v>1.0999999999999999E-2</v>
      </c>
      <c r="J6737" s="508">
        <v>1.0999999999999999E-2</v>
      </c>
      <c r="K6737" s="508">
        <v>1.0999999999999999E-2</v>
      </c>
      <c r="L6737" s="508">
        <v>1.0999999999999999E-2</v>
      </c>
      <c r="M6737" s="508">
        <v>1.0999999999999999E-2</v>
      </c>
      <c r="N6737" s="508">
        <v>1.0999999999999999E-2</v>
      </c>
      <c r="O6737" s="508">
        <v>1.0999999999999999E-2</v>
      </c>
      <c r="P6737" s="508">
        <v>1.0999999999999999E-2</v>
      </c>
      <c r="Q6737" s="508">
        <v>1.0999999999999999E-2</v>
      </c>
      <c r="R6737" s="508">
        <v>1.0999999999999999E-2</v>
      </c>
      <c r="S6737" s="508">
        <v>1.0999999999999999E-2</v>
      </c>
      <c r="T6737" s="508">
        <v>1.0999999999999999E-2</v>
      </c>
      <c r="U6737" s="508">
        <v>1.0999999999999999E-2</v>
      </c>
      <c r="V6737" s="508">
        <v>1.0999999999999999E-2</v>
      </c>
      <c r="W6737" s="508">
        <v>1.0999999999999999E-2</v>
      </c>
      <c r="X6737" s="508">
        <v>1.0999999999999999E-2</v>
      </c>
      <c r="Y6737" s="508">
        <v>1.0999999999999999E-2</v>
      </c>
      <c r="Z6737" s="508">
        <v>1.0999999999999999E-2</v>
      </c>
      <c r="AA6737" s="508">
        <v>1.0999999999999999E-2</v>
      </c>
      <c r="AB6737" s="508">
        <v>1.0999999999999999E-2</v>
      </c>
      <c r="AC6737" s="508">
        <v>1.0999999999999999E-2</v>
      </c>
      <c r="AD6737" s="508">
        <v>1.0999999999999999E-2</v>
      </c>
      <c r="AE6737" s="508">
        <v>1.0999999999999999E-2</v>
      </c>
      <c r="AF6737" s="508">
        <v>1.0999999999999999E-2</v>
      </c>
      <c r="AG6737" s="508">
        <v>1.0999999999999999E-2</v>
      </c>
      <c r="AH6737" s="508">
        <v>1.0999999999999999E-2</v>
      </c>
      <c r="AI6737" s="492">
        <v>1.0999999999999999E-2</v>
      </c>
      <c r="AJ6737" s="485"/>
    </row>
    <row r="6738" spans="2:36">
      <c r="B6738" s="136" t="s">
        <v>470</v>
      </c>
      <c r="C6738" s="132" t="s">
        <v>1372</v>
      </c>
      <c r="D6738" s="132" t="s">
        <v>1380</v>
      </c>
      <c r="E6738" s="508">
        <v>1.2E-2</v>
      </c>
      <c r="F6738" s="508">
        <v>1.2E-2</v>
      </c>
      <c r="G6738" s="508">
        <v>1.2E-2</v>
      </c>
      <c r="H6738" s="508">
        <v>1.2E-2</v>
      </c>
      <c r="I6738" s="508">
        <v>1.2E-2</v>
      </c>
      <c r="J6738" s="508">
        <v>1.2E-2</v>
      </c>
      <c r="K6738" s="508">
        <v>1.2E-2</v>
      </c>
      <c r="L6738" s="508">
        <v>1.2E-2</v>
      </c>
      <c r="M6738" s="508">
        <v>1.2E-2</v>
      </c>
      <c r="N6738" s="508">
        <v>1.2E-2</v>
      </c>
      <c r="O6738" s="508">
        <v>1.2E-2</v>
      </c>
      <c r="P6738" s="508">
        <v>1.2E-2</v>
      </c>
      <c r="Q6738" s="508">
        <v>1.2E-2</v>
      </c>
      <c r="R6738" s="508">
        <v>1.2E-2</v>
      </c>
      <c r="S6738" s="508">
        <v>1.2E-2</v>
      </c>
      <c r="T6738" s="508">
        <v>1.2E-2</v>
      </c>
      <c r="U6738" s="508">
        <v>1.2E-2</v>
      </c>
      <c r="V6738" s="508">
        <v>1.2E-2</v>
      </c>
      <c r="W6738" s="508">
        <v>1.2E-2</v>
      </c>
      <c r="X6738" s="508">
        <v>1.2E-2</v>
      </c>
      <c r="Y6738" s="508">
        <v>1.2E-2</v>
      </c>
      <c r="Z6738" s="508">
        <v>1.2E-2</v>
      </c>
      <c r="AA6738" s="508">
        <v>1.2E-2</v>
      </c>
      <c r="AB6738" s="508">
        <v>1.2E-2</v>
      </c>
      <c r="AC6738" s="508">
        <v>1.2E-2</v>
      </c>
      <c r="AD6738" s="508">
        <v>1.2E-2</v>
      </c>
      <c r="AE6738" s="508">
        <v>1.2E-2</v>
      </c>
      <c r="AF6738" s="508">
        <v>1.2E-2</v>
      </c>
      <c r="AG6738" s="508">
        <v>1.2E-2</v>
      </c>
      <c r="AH6738" s="508">
        <v>1.2E-2</v>
      </c>
      <c r="AI6738" s="492">
        <v>1.2E-2</v>
      </c>
      <c r="AJ6738" s="485"/>
    </row>
    <row r="6739" spans="2:36">
      <c r="B6739" s="136" t="s">
        <v>471</v>
      </c>
      <c r="C6739" s="132" t="s">
        <v>1372</v>
      </c>
      <c r="D6739" s="132" t="s">
        <v>1380</v>
      </c>
      <c r="E6739" s="508">
        <v>1.2E-2</v>
      </c>
      <c r="F6739" s="508">
        <v>1.2E-2</v>
      </c>
      <c r="G6739" s="508">
        <v>1.2E-2</v>
      </c>
      <c r="H6739" s="508">
        <v>1.2E-2</v>
      </c>
      <c r="I6739" s="508">
        <v>1.2E-2</v>
      </c>
      <c r="J6739" s="508">
        <v>1.2E-2</v>
      </c>
      <c r="K6739" s="508">
        <v>1.2E-2</v>
      </c>
      <c r="L6739" s="508">
        <v>1.2E-2</v>
      </c>
      <c r="M6739" s="508">
        <v>1.2E-2</v>
      </c>
      <c r="N6739" s="508">
        <v>1.2E-2</v>
      </c>
      <c r="O6739" s="508">
        <v>1.2E-2</v>
      </c>
      <c r="P6739" s="508">
        <v>1.2E-2</v>
      </c>
      <c r="Q6739" s="508">
        <v>1.2E-2</v>
      </c>
      <c r="R6739" s="508">
        <v>1.2E-2</v>
      </c>
      <c r="S6739" s="508">
        <v>1.2E-2</v>
      </c>
      <c r="T6739" s="508">
        <v>1.2E-2</v>
      </c>
      <c r="U6739" s="508">
        <v>1.2E-2</v>
      </c>
      <c r="V6739" s="508">
        <v>1.2E-2</v>
      </c>
      <c r="W6739" s="508">
        <v>1.2E-2</v>
      </c>
      <c r="X6739" s="508">
        <v>1.2E-2</v>
      </c>
      <c r="Y6739" s="508">
        <v>1.2E-2</v>
      </c>
      <c r="Z6739" s="508">
        <v>1.2E-2</v>
      </c>
      <c r="AA6739" s="508">
        <v>1.2E-2</v>
      </c>
      <c r="AB6739" s="508">
        <v>1.2E-2</v>
      </c>
      <c r="AC6739" s="508">
        <v>1.2E-2</v>
      </c>
      <c r="AD6739" s="508">
        <v>1.2E-2</v>
      </c>
      <c r="AE6739" s="508">
        <v>1.2E-2</v>
      </c>
      <c r="AF6739" s="508">
        <v>1.2E-2</v>
      </c>
      <c r="AG6739" s="508">
        <v>1.2E-2</v>
      </c>
      <c r="AH6739" s="508">
        <v>1.2E-2</v>
      </c>
      <c r="AI6739" s="492">
        <v>1.2E-2</v>
      </c>
      <c r="AJ6739" s="485"/>
    </row>
    <row r="6740" spans="2:36">
      <c r="B6740" s="136" t="s">
        <v>472</v>
      </c>
      <c r="C6740" s="132" t="s">
        <v>1372</v>
      </c>
      <c r="D6740" s="132" t="s">
        <v>1380</v>
      </c>
      <c r="E6740" s="508">
        <v>0.01</v>
      </c>
      <c r="F6740" s="508">
        <v>0.01</v>
      </c>
      <c r="G6740" s="508">
        <v>0.01</v>
      </c>
      <c r="H6740" s="508">
        <v>0.01</v>
      </c>
      <c r="I6740" s="508">
        <v>0.01</v>
      </c>
      <c r="J6740" s="508">
        <v>0.01</v>
      </c>
      <c r="K6740" s="508">
        <v>0.01</v>
      </c>
      <c r="L6740" s="508">
        <v>0.01</v>
      </c>
      <c r="M6740" s="508">
        <v>0.01</v>
      </c>
      <c r="N6740" s="508">
        <v>0.01</v>
      </c>
      <c r="O6740" s="508">
        <v>0.01</v>
      </c>
      <c r="P6740" s="508">
        <v>0.01</v>
      </c>
      <c r="Q6740" s="508">
        <v>0.01</v>
      </c>
      <c r="R6740" s="508">
        <v>0.01</v>
      </c>
      <c r="S6740" s="508">
        <v>0.01</v>
      </c>
      <c r="T6740" s="508">
        <v>0.01</v>
      </c>
      <c r="U6740" s="508">
        <v>0.01</v>
      </c>
      <c r="V6740" s="508">
        <v>0.01</v>
      </c>
      <c r="W6740" s="508">
        <v>0.01</v>
      </c>
      <c r="X6740" s="508">
        <v>0.01</v>
      </c>
      <c r="Y6740" s="508">
        <v>0.01</v>
      </c>
      <c r="Z6740" s="508">
        <v>0.01</v>
      </c>
      <c r="AA6740" s="508">
        <v>0.01</v>
      </c>
      <c r="AB6740" s="508">
        <v>0.01</v>
      </c>
      <c r="AC6740" s="508">
        <v>0.01</v>
      </c>
      <c r="AD6740" s="508">
        <v>0.01</v>
      </c>
      <c r="AE6740" s="508">
        <v>0.01</v>
      </c>
      <c r="AF6740" s="508">
        <v>0.01</v>
      </c>
      <c r="AG6740" s="508">
        <v>0.01</v>
      </c>
      <c r="AH6740" s="508">
        <v>0.01</v>
      </c>
      <c r="AI6740" s="492">
        <v>0.01</v>
      </c>
      <c r="AJ6740" s="485"/>
    </row>
    <row r="6741" spans="2:36">
      <c r="B6741" s="136" t="s">
        <v>473</v>
      </c>
      <c r="C6741" s="132" t="s">
        <v>1372</v>
      </c>
      <c r="D6741" s="132" t="s">
        <v>1380</v>
      </c>
      <c r="E6741" s="508">
        <v>1.2E-2</v>
      </c>
      <c r="F6741" s="508">
        <v>1.2E-2</v>
      </c>
      <c r="G6741" s="508">
        <v>1.2E-2</v>
      </c>
      <c r="H6741" s="508">
        <v>1.2E-2</v>
      </c>
      <c r="I6741" s="508">
        <v>1.2E-2</v>
      </c>
      <c r="J6741" s="508">
        <v>1.2E-2</v>
      </c>
      <c r="K6741" s="508">
        <v>1.2E-2</v>
      </c>
      <c r="L6741" s="508">
        <v>1.2E-2</v>
      </c>
      <c r="M6741" s="508">
        <v>1.2E-2</v>
      </c>
      <c r="N6741" s="508">
        <v>1.2E-2</v>
      </c>
      <c r="O6741" s="508">
        <v>1.2E-2</v>
      </c>
      <c r="P6741" s="508">
        <v>1.2E-2</v>
      </c>
      <c r="Q6741" s="508">
        <v>1.2E-2</v>
      </c>
      <c r="R6741" s="508">
        <v>1.2E-2</v>
      </c>
      <c r="S6741" s="508">
        <v>1.2E-2</v>
      </c>
      <c r="T6741" s="508">
        <v>1.2E-2</v>
      </c>
      <c r="U6741" s="508">
        <v>1.2E-2</v>
      </c>
      <c r="V6741" s="508">
        <v>1.2E-2</v>
      </c>
      <c r="W6741" s="508">
        <v>1.2E-2</v>
      </c>
      <c r="X6741" s="508">
        <v>1.2E-2</v>
      </c>
      <c r="Y6741" s="508">
        <v>1.2E-2</v>
      </c>
      <c r="Z6741" s="508">
        <v>1.2E-2</v>
      </c>
      <c r="AA6741" s="508">
        <v>1.2E-2</v>
      </c>
      <c r="AB6741" s="508">
        <v>1.2E-2</v>
      </c>
      <c r="AC6741" s="508">
        <v>1.2E-2</v>
      </c>
      <c r="AD6741" s="508">
        <v>1.2E-2</v>
      </c>
      <c r="AE6741" s="508">
        <v>1.2E-2</v>
      </c>
      <c r="AF6741" s="508">
        <v>1.2E-2</v>
      </c>
      <c r="AG6741" s="508">
        <v>1.2E-2</v>
      </c>
      <c r="AH6741" s="508">
        <v>1.2E-2</v>
      </c>
      <c r="AI6741" s="492">
        <v>1.2E-2</v>
      </c>
      <c r="AJ6741" s="485"/>
    </row>
    <row r="6742" spans="2:36">
      <c r="B6742" s="136" t="s">
        <v>474</v>
      </c>
      <c r="C6742" s="132" t="s">
        <v>1372</v>
      </c>
      <c r="D6742" s="132" t="s">
        <v>1380</v>
      </c>
      <c r="E6742" s="508">
        <v>1.0999999999999999E-2</v>
      </c>
      <c r="F6742" s="508">
        <v>1.0999999999999999E-2</v>
      </c>
      <c r="G6742" s="508">
        <v>1.0999999999999999E-2</v>
      </c>
      <c r="H6742" s="508">
        <v>1.0999999999999999E-2</v>
      </c>
      <c r="I6742" s="508">
        <v>1.0999999999999999E-2</v>
      </c>
      <c r="J6742" s="508">
        <v>1.0999999999999999E-2</v>
      </c>
      <c r="K6742" s="508">
        <v>1.0999999999999999E-2</v>
      </c>
      <c r="L6742" s="508">
        <v>1.0999999999999999E-2</v>
      </c>
      <c r="M6742" s="508">
        <v>1.0999999999999999E-2</v>
      </c>
      <c r="N6742" s="508">
        <v>1.0999999999999999E-2</v>
      </c>
      <c r="O6742" s="508">
        <v>1.0999999999999999E-2</v>
      </c>
      <c r="P6742" s="508">
        <v>1.0999999999999999E-2</v>
      </c>
      <c r="Q6742" s="508">
        <v>1.0999999999999999E-2</v>
      </c>
      <c r="R6742" s="508">
        <v>1.0999999999999999E-2</v>
      </c>
      <c r="S6742" s="508">
        <v>1.0999999999999999E-2</v>
      </c>
      <c r="T6742" s="508">
        <v>1.0999999999999999E-2</v>
      </c>
      <c r="U6742" s="508">
        <v>1.0999999999999999E-2</v>
      </c>
      <c r="V6742" s="508">
        <v>1.0999999999999999E-2</v>
      </c>
      <c r="W6742" s="508">
        <v>1.0999999999999999E-2</v>
      </c>
      <c r="X6742" s="508">
        <v>1.0999999999999999E-2</v>
      </c>
      <c r="Y6742" s="508">
        <v>1.0999999999999999E-2</v>
      </c>
      <c r="Z6742" s="508">
        <v>1.0999999999999999E-2</v>
      </c>
      <c r="AA6742" s="508">
        <v>1.0999999999999999E-2</v>
      </c>
      <c r="AB6742" s="508">
        <v>1.0999999999999999E-2</v>
      </c>
      <c r="AC6742" s="508">
        <v>1.0999999999999999E-2</v>
      </c>
      <c r="AD6742" s="508">
        <v>1.0999999999999999E-2</v>
      </c>
      <c r="AE6742" s="508">
        <v>1.0999999999999999E-2</v>
      </c>
      <c r="AF6742" s="508">
        <v>1.0999999999999999E-2</v>
      </c>
      <c r="AG6742" s="508">
        <v>1.0999999999999999E-2</v>
      </c>
      <c r="AH6742" s="508">
        <v>1.0999999999999999E-2</v>
      </c>
      <c r="AI6742" s="492">
        <v>1.0999999999999999E-2</v>
      </c>
      <c r="AJ6742" s="485"/>
    </row>
    <row r="6743" spans="2:36">
      <c r="B6743" s="136" t="s">
        <v>475</v>
      </c>
      <c r="C6743" s="132" t="s">
        <v>1372</v>
      </c>
      <c r="D6743" s="132" t="s">
        <v>1380</v>
      </c>
      <c r="E6743" s="508">
        <v>1.0999999999999999E-2</v>
      </c>
      <c r="F6743" s="508">
        <v>1.0999999999999999E-2</v>
      </c>
      <c r="G6743" s="508">
        <v>1.0999999999999999E-2</v>
      </c>
      <c r="H6743" s="508">
        <v>1.0999999999999999E-2</v>
      </c>
      <c r="I6743" s="508">
        <v>1.0999999999999999E-2</v>
      </c>
      <c r="J6743" s="508">
        <v>1.0999999999999999E-2</v>
      </c>
      <c r="K6743" s="508">
        <v>1.0999999999999999E-2</v>
      </c>
      <c r="L6743" s="508">
        <v>1.0999999999999999E-2</v>
      </c>
      <c r="M6743" s="508">
        <v>1.0999999999999999E-2</v>
      </c>
      <c r="N6743" s="508">
        <v>1.0999999999999999E-2</v>
      </c>
      <c r="O6743" s="508">
        <v>1.0999999999999999E-2</v>
      </c>
      <c r="P6743" s="508">
        <v>1.0999999999999999E-2</v>
      </c>
      <c r="Q6743" s="508">
        <v>1.0999999999999999E-2</v>
      </c>
      <c r="R6743" s="508">
        <v>1.0999999999999999E-2</v>
      </c>
      <c r="S6743" s="508">
        <v>1.0999999999999999E-2</v>
      </c>
      <c r="T6743" s="508">
        <v>1.0999999999999999E-2</v>
      </c>
      <c r="U6743" s="508">
        <v>1.0999999999999999E-2</v>
      </c>
      <c r="V6743" s="508">
        <v>1.0999999999999999E-2</v>
      </c>
      <c r="W6743" s="508">
        <v>1.0999999999999999E-2</v>
      </c>
      <c r="X6743" s="508">
        <v>1.0999999999999999E-2</v>
      </c>
      <c r="Y6743" s="508">
        <v>1.0999999999999999E-2</v>
      </c>
      <c r="Z6743" s="508">
        <v>1.0999999999999999E-2</v>
      </c>
      <c r="AA6743" s="508">
        <v>1.0999999999999999E-2</v>
      </c>
      <c r="AB6743" s="508">
        <v>1.0999999999999999E-2</v>
      </c>
      <c r="AC6743" s="508">
        <v>1.0999999999999999E-2</v>
      </c>
      <c r="AD6743" s="508">
        <v>1.0999999999999999E-2</v>
      </c>
      <c r="AE6743" s="508">
        <v>1.0999999999999999E-2</v>
      </c>
      <c r="AF6743" s="508">
        <v>1.0999999999999999E-2</v>
      </c>
      <c r="AG6743" s="508">
        <v>1.0999999999999999E-2</v>
      </c>
      <c r="AH6743" s="508">
        <v>1.0999999999999999E-2</v>
      </c>
      <c r="AI6743" s="492">
        <v>1.0999999999999999E-2</v>
      </c>
      <c r="AJ6743" s="485"/>
    </row>
    <row r="6744" spans="2:36">
      <c r="B6744" s="136" t="s">
        <v>476</v>
      </c>
      <c r="C6744" s="132" t="s">
        <v>1372</v>
      </c>
      <c r="D6744" s="132" t="s">
        <v>1380</v>
      </c>
      <c r="E6744" s="508">
        <v>1.2E-2</v>
      </c>
      <c r="F6744" s="508">
        <v>1.2E-2</v>
      </c>
      <c r="G6744" s="508">
        <v>1.2E-2</v>
      </c>
      <c r="H6744" s="508">
        <v>1.2E-2</v>
      </c>
      <c r="I6744" s="508">
        <v>1.2E-2</v>
      </c>
      <c r="J6744" s="508">
        <v>1.2E-2</v>
      </c>
      <c r="K6744" s="508">
        <v>1.2E-2</v>
      </c>
      <c r="L6744" s="508">
        <v>1.2E-2</v>
      </c>
      <c r="M6744" s="508">
        <v>1.2E-2</v>
      </c>
      <c r="N6744" s="508">
        <v>1.2E-2</v>
      </c>
      <c r="O6744" s="508">
        <v>1.2E-2</v>
      </c>
      <c r="P6744" s="508">
        <v>1.2E-2</v>
      </c>
      <c r="Q6744" s="508">
        <v>1.2E-2</v>
      </c>
      <c r="R6744" s="508">
        <v>1.2E-2</v>
      </c>
      <c r="S6744" s="508">
        <v>1.2E-2</v>
      </c>
      <c r="T6744" s="508">
        <v>1.2E-2</v>
      </c>
      <c r="U6744" s="508">
        <v>1.2E-2</v>
      </c>
      <c r="V6744" s="508">
        <v>1.2E-2</v>
      </c>
      <c r="W6744" s="508">
        <v>1.2E-2</v>
      </c>
      <c r="X6744" s="508">
        <v>1.2E-2</v>
      </c>
      <c r="Y6744" s="508">
        <v>1.2E-2</v>
      </c>
      <c r="Z6744" s="508">
        <v>1.2E-2</v>
      </c>
      <c r="AA6744" s="508">
        <v>1.2E-2</v>
      </c>
      <c r="AB6744" s="508">
        <v>1.2E-2</v>
      </c>
      <c r="AC6744" s="508">
        <v>1.2E-2</v>
      </c>
      <c r="AD6744" s="508">
        <v>1.2E-2</v>
      </c>
      <c r="AE6744" s="508">
        <v>1.2E-2</v>
      </c>
      <c r="AF6744" s="508">
        <v>1.2E-2</v>
      </c>
      <c r="AG6744" s="508">
        <v>1.2E-2</v>
      </c>
      <c r="AH6744" s="508">
        <v>1.2E-2</v>
      </c>
      <c r="AI6744" s="492">
        <v>1.2E-2</v>
      </c>
      <c r="AJ6744" s="485"/>
    </row>
    <row r="6745" spans="2:36">
      <c r="B6745" s="136" t="s">
        <v>478</v>
      </c>
      <c r="C6745" s="132" t="s">
        <v>1372</v>
      </c>
      <c r="D6745" s="132" t="s">
        <v>1380</v>
      </c>
      <c r="E6745" s="508">
        <v>1.2999999999999999E-2</v>
      </c>
      <c r="F6745" s="508">
        <v>1.2999999999999999E-2</v>
      </c>
      <c r="G6745" s="508">
        <v>1.2999999999999999E-2</v>
      </c>
      <c r="H6745" s="508">
        <v>1.2999999999999999E-2</v>
      </c>
      <c r="I6745" s="508">
        <v>1.2999999999999999E-2</v>
      </c>
      <c r="J6745" s="508">
        <v>1.2999999999999999E-2</v>
      </c>
      <c r="K6745" s="508">
        <v>1.2999999999999999E-2</v>
      </c>
      <c r="L6745" s="508">
        <v>1.2E-2</v>
      </c>
      <c r="M6745" s="508">
        <v>1.2999999999999999E-2</v>
      </c>
      <c r="N6745" s="508">
        <v>1.2999999999999999E-2</v>
      </c>
      <c r="O6745" s="508">
        <v>1.2999999999999999E-2</v>
      </c>
      <c r="P6745" s="508">
        <v>1.2999999999999999E-2</v>
      </c>
      <c r="Q6745" s="508">
        <v>1.2999999999999999E-2</v>
      </c>
      <c r="R6745" s="508">
        <v>1.2999999999999999E-2</v>
      </c>
      <c r="S6745" s="508">
        <v>1.2999999999999999E-2</v>
      </c>
      <c r="T6745" s="508">
        <v>1.2999999999999999E-2</v>
      </c>
      <c r="U6745" s="508">
        <v>1.2999999999999999E-2</v>
      </c>
      <c r="V6745" s="508">
        <v>1.2999999999999999E-2</v>
      </c>
      <c r="W6745" s="508">
        <v>1.2999999999999999E-2</v>
      </c>
      <c r="X6745" s="508">
        <v>1.2999999999999999E-2</v>
      </c>
      <c r="Y6745" s="508">
        <v>1.2999999999999999E-2</v>
      </c>
      <c r="Z6745" s="508">
        <v>1.2999999999999999E-2</v>
      </c>
      <c r="AA6745" s="508">
        <v>1.2999999999999999E-2</v>
      </c>
      <c r="AB6745" s="508">
        <v>1.2999999999999999E-2</v>
      </c>
      <c r="AC6745" s="508">
        <v>1.2999999999999999E-2</v>
      </c>
      <c r="AD6745" s="508">
        <v>1.2999999999999999E-2</v>
      </c>
      <c r="AE6745" s="508">
        <v>1.2999999999999999E-2</v>
      </c>
      <c r="AF6745" s="508">
        <v>1.2999999999999999E-2</v>
      </c>
      <c r="AG6745" s="508">
        <v>1.2999999999999999E-2</v>
      </c>
      <c r="AH6745" s="508">
        <v>1.2999999999999999E-2</v>
      </c>
      <c r="AI6745" s="492">
        <v>1.2999999999999999E-2</v>
      </c>
      <c r="AJ6745" s="485"/>
    </row>
    <row r="6746" spans="2:36">
      <c r="B6746" s="136" t="s">
        <v>479</v>
      </c>
      <c r="C6746" s="132" t="s">
        <v>1372</v>
      </c>
      <c r="D6746" s="132" t="s">
        <v>1380</v>
      </c>
      <c r="E6746" s="508">
        <v>1.0999999999999999E-2</v>
      </c>
      <c r="F6746" s="508">
        <v>1.0999999999999999E-2</v>
      </c>
      <c r="G6746" s="508">
        <v>1.0999999999999999E-2</v>
      </c>
      <c r="H6746" s="508">
        <v>1.0999999999999999E-2</v>
      </c>
      <c r="I6746" s="508">
        <v>1.0999999999999999E-2</v>
      </c>
      <c r="J6746" s="508">
        <v>1.0999999999999999E-2</v>
      </c>
      <c r="K6746" s="508">
        <v>1.0999999999999999E-2</v>
      </c>
      <c r="L6746" s="508">
        <v>1.0999999999999999E-2</v>
      </c>
      <c r="M6746" s="508">
        <v>1.0999999999999999E-2</v>
      </c>
      <c r="N6746" s="508">
        <v>1.0999999999999999E-2</v>
      </c>
      <c r="O6746" s="508">
        <v>1.0999999999999999E-2</v>
      </c>
      <c r="P6746" s="508">
        <v>1.0999999999999999E-2</v>
      </c>
      <c r="Q6746" s="508">
        <v>1.0999999999999999E-2</v>
      </c>
      <c r="R6746" s="508">
        <v>1.0999999999999999E-2</v>
      </c>
      <c r="S6746" s="508">
        <v>1.0999999999999999E-2</v>
      </c>
      <c r="T6746" s="508">
        <v>1.0999999999999999E-2</v>
      </c>
      <c r="U6746" s="508">
        <v>1.0999999999999999E-2</v>
      </c>
      <c r="V6746" s="508">
        <v>1.0999999999999999E-2</v>
      </c>
      <c r="W6746" s="508">
        <v>1.0999999999999999E-2</v>
      </c>
      <c r="X6746" s="508">
        <v>1.0999999999999999E-2</v>
      </c>
      <c r="Y6746" s="508">
        <v>1.0999999999999999E-2</v>
      </c>
      <c r="Z6746" s="508">
        <v>1.0999999999999999E-2</v>
      </c>
      <c r="AA6746" s="508">
        <v>1.0999999999999999E-2</v>
      </c>
      <c r="AB6746" s="508">
        <v>1.0999999999999999E-2</v>
      </c>
      <c r="AC6746" s="508">
        <v>1.0999999999999999E-2</v>
      </c>
      <c r="AD6746" s="508">
        <v>1.0999999999999999E-2</v>
      </c>
      <c r="AE6746" s="508">
        <v>1.0999999999999999E-2</v>
      </c>
      <c r="AF6746" s="508">
        <v>1.0999999999999999E-2</v>
      </c>
      <c r="AG6746" s="508">
        <v>1.0999999999999999E-2</v>
      </c>
      <c r="AH6746" s="508">
        <v>1.0999999999999999E-2</v>
      </c>
      <c r="AI6746" s="492">
        <v>1.0999999999999999E-2</v>
      </c>
      <c r="AJ6746" s="485"/>
    </row>
    <row r="6747" spans="2:36">
      <c r="B6747" s="136" t="s">
        <v>480</v>
      </c>
      <c r="C6747" s="132" t="s">
        <v>1372</v>
      </c>
      <c r="D6747" s="132" t="s">
        <v>1380</v>
      </c>
      <c r="E6747" s="508">
        <v>0.01</v>
      </c>
      <c r="F6747" s="508">
        <v>0.01</v>
      </c>
      <c r="G6747" s="508">
        <v>0.01</v>
      </c>
      <c r="H6747" s="508">
        <v>0.01</v>
      </c>
      <c r="I6747" s="508">
        <v>0.01</v>
      </c>
      <c r="J6747" s="508">
        <v>0.01</v>
      </c>
      <c r="K6747" s="508">
        <v>0.01</v>
      </c>
      <c r="L6747" s="508">
        <v>8.9999999999999993E-3</v>
      </c>
      <c r="M6747" s="508">
        <v>0.01</v>
      </c>
      <c r="N6747" s="508">
        <v>0.01</v>
      </c>
      <c r="O6747" s="508">
        <v>0.01</v>
      </c>
      <c r="P6747" s="508">
        <v>0.01</v>
      </c>
      <c r="Q6747" s="508">
        <v>0.01</v>
      </c>
      <c r="R6747" s="508">
        <v>0.01</v>
      </c>
      <c r="S6747" s="508">
        <v>0.01</v>
      </c>
      <c r="T6747" s="508">
        <v>0.01</v>
      </c>
      <c r="U6747" s="508">
        <v>0.01</v>
      </c>
      <c r="V6747" s="508">
        <v>0.01</v>
      </c>
      <c r="W6747" s="508">
        <v>0.01</v>
      </c>
      <c r="X6747" s="508">
        <v>0.01</v>
      </c>
      <c r="Y6747" s="508">
        <v>0.01</v>
      </c>
      <c r="Z6747" s="508">
        <v>0.01</v>
      </c>
      <c r="AA6747" s="508">
        <v>0.01</v>
      </c>
      <c r="AB6747" s="508">
        <v>0.01</v>
      </c>
      <c r="AC6747" s="508">
        <v>0.01</v>
      </c>
      <c r="AD6747" s="508">
        <v>0.01</v>
      </c>
      <c r="AE6747" s="508">
        <v>8.9999999999999993E-3</v>
      </c>
      <c r="AF6747" s="508">
        <v>8.9999999999999993E-3</v>
      </c>
      <c r="AG6747" s="508">
        <v>8.9999999999999993E-3</v>
      </c>
      <c r="AH6747" s="508">
        <v>8.9999999999999993E-3</v>
      </c>
      <c r="AI6747" s="492">
        <v>8.9999999999999993E-3</v>
      </c>
      <c r="AJ6747" s="485"/>
    </row>
    <row r="6748" spans="2:36">
      <c r="B6748" s="136" t="s">
        <v>481</v>
      </c>
      <c r="C6748" s="132" t="s">
        <v>1372</v>
      </c>
      <c r="D6748" s="132" t="s">
        <v>1380</v>
      </c>
      <c r="E6748" s="508">
        <v>1.0999999999999999E-2</v>
      </c>
      <c r="F6748" s="508">
        <v>1.0999999999999999E-2</v>
      </c>
      <c r="G6748" s="508">
        <v>1.0999999999999999E-2</v>
      </c>
      <c r="H6748" s="508">
        <v>1.0999999999999999E-2</v>
      </c>
      <c r="I6748" s="508">
        <v>1.0999999999999999E-2</v>
      </c>
      <c r="J6748" s="508">
        <v>1.0999999999999999E-2</v>
      </c>
      <c r="K6748" s="508">
        <v>1.0999999999999999E-2</v>
      </c>
      <c r="L6748" s="508">
        <v>1.0999999999999999E-2</v>
      </c>
      <c r="M6748" s="508">
        <v>1.0999999999999999E-2</v>
      </c>
      <c r="N6748" s="508">
        <v>1.0999999999999999E-2</v>
      </c>
      <c r="O6748" s="508">
        <v>1.0999999999999999E-2</v>
      </c>
      <c r="P6748" s="508">
        <v>1.0999999999999999E-2</v>
      </c>
      <c r="Q6748" s="508">
        <v>1.0999999999999999E-2</v>
      </c>
      <c r="R6748" s="508">
        <v>1.0999999999999999E-2</v>
      </c>
      <c r="S6748" s="508">
        <v>1.0999999999999999E-2</v>
      </c>
      <c r="T6748" s="508">
        <v>1.0999999999999999E-2</v>
      </c>
      <c r="U6748" s="508">
        <v>1.0999999999999999E-2</v>
      </c>
      <c r="V6748" s="508">
        <v>1.0999999999999999E-2</v>
      </c>
      <c r="W6748" s="508">
        <v>1.0999999999999999E-2</v>
      </c>
      <c r="X6748" s="508">
        <v>1.0999999999999999E-2</v>
      </c>
      <c r="Y6748" s="508">
        <v>1.0999999999999999E-2</v>
      </c>
      <c r="Z6748" s="508">
        <v>1.0999999999999999E-2</v>
      </c>
      <c r="AA6748" s="508">
        <v>1.0999999999999999E-2</v>
      </c>
      <c r="AB6748" s="508">
        <v>1.0999999999999999E-2</v>
      </c>
      <c r="AC6748" s="508">
        <v>1.0999999999999999E-2</v>
      </c>
      <c r="AD6748" s="508">
        <v>1.0999999999999999E-2</v>
      </c>
      <c r="AE6748" s="508">
        <v>1.0999999999999999E-2</v>
      </c>
      <c r="AF6748" s="508">
        <v>1.0999999999999999E-2</v>
      </c>
      <c r="AG6748" s="508">
        <v>1.0999999999999999E-2</v>
      </c>
      <c r="AH6748" s="508">
        <v>1.0999999999999999E-2</v>
      </c>
      <c r="AI6748" s="492">
        <v>1.0999999999999999E-2</v>
      </c>
      <c r="AJ6748" s="485"/>
    </row>
    <row r="6749" spans="2:36">
      <c r="B6749" s="136" t="s">
        <v>482</v>
      </c>
      <c r="C6749" s="132" t="s">
        <v>1372</v>
      </c>
      <c r="D6749" s="132" t="s">
        <v>1380</v>
      </c>
      <c r="E6749" s="508">
        <v>1.0999999999999999E-2</v>
      </c>
      <c r="F6749" s="508">
        <v>1.0999999999999999E-2</v>
      </c>
      <c r="G6749" s="508">
        <v>1.0999999999999999E-2</v>
      </c>
      <c r="H6749" s="508">
        <v>1.0999999999999999E-2</v>
      </c>
      <c r="I6749" s="508">
        <v>1.0999999999999999E-2</v>
      </c>
      <c r="J6749" s="508">
        <v>1.0999999999999999E-2</v>
      </c>
      <c r="K6749" s="508">
        <v>1.0999999999999999E-2</v>
      </c>
      <c r="L6749" s="508">
        <v>1.0999999999999999E-2</v>
      </c>
      <c r="M6749" s="508">
        <v>1.0999999999999999E-2</v>
      </c>
      <c r="N6749" s="508">
        <v>1.0999999999999999E-2</v>
      </c>
      <c r="O6749" s="508">
        <v>1.0999999999999999E-2</v>
      </c>
      <c r="P6749" s="508">
        <v>1.0999999999999999E-2</v>
      </c>
      <c r="Q6749" s="508">
        <v>1.0999999999999999E-2</v>
      </c>
      <c r="R6749" s="508">
        <v>1.0999999999999999E-2</v>
      </c>
      <c r="S6749" s="508">
        <v>1.0999999999999999E-2</v>
      </c>
      <c r="T6749" s="508">
        <v>1.0999999999999999E-2</v>
      </c>
      <c r="U6749" s="508">
        <v>1.0999999999999999E-2</v>
      </c>
      <c r="V6749" s="508">
        <v>1.0999999999999999E-2</v>
      </c>
      <c r="W6749" s="508">
        <v>1.0999999999999999E-2</v>
      </c>
      <c r="X6749" s="508">
        <v>1.0999999999999999E-2</v>
      </c>
      <c r="Y6749" s="508">
        <v>1.0999999999999999E-2</v>
      </c>
      <c r="Z6749" s="508">
        <v>1.0999999999999999E-2</v>
      </c>
      <c r="AA6749" s="508">
        <v>1.0999999999999999E-2</v>
      </c>
      <c r="AB6749" s="508">
        <v>1.0999999999999999E-2</v>
      </c>
      <c r="AC6749" s="508">
        <v>1.0999999999999999E-2</v>
      </c>
      <c r="AD6749" s="508">
        <v>1.0999999999999999E-2</v>
      </c>
      <c r="AE6749" s="508">
        <v>1.0999999999999999E-2</v>
      </c>
      <c r="AF6749" s="508">
        <v>1.0999999999999999E-2</v>
      </c>
      <c r="AG6749" s="508">
        <v>1.0999999999999999E-2</v>
      </c>
      <c r="AH6749" s="508">
        <v>1.0999999999999999E-2</v>
      </c>
      <c r="AI6749" s="492">
        <v>1.0999999999999999E-2</v>
      </c>
      <c r="AJ6749" s="485"/>
    </row>
    <row r="6750" spans="2:36">
      <c r="B6750" s="136" t="s">
        <v>483</v>
      </c>
      <c r="C6750" s="132" t="s">
        <v>1372</v>
      </c>
      <c r="D6750" s="132" t="s">
        <v>1380</v>
      </c>
      <c r="E6750" s="508">
        <v>1.2E-2</v>
      </c>
      <c r="F6750" s="508">
        <v>1.2E-2</v>
      </c>
      <c r="G6750" s="508">
        <v>1.2E-2</v>
      </c>
      <c r="H6750" s="508">
        <v>1.2E-2</v>
      </c>
      <c r="I6750" s="508">
        <v>1.2E-2</v>
      </c>
      <c r="J6750" s="508">
        <v>1.2E-2</v>
      </c>
      <c r="K6750" s="508">
        <v>1.2E-2</v>
      </c>
      <c r="L6750" s="508">
        <v>1.2E-2</v>
      </c>
      <c r="M6750" s="508">
        <v>1.2E-2</v>
      </c>
      <c r="N6750" s="508">
        <v>1.2E-2</v>
      </c>
      <c r="O6750" s="508">
        <v>1.2E-2</v>
      </c>
      <c r="P6750" s="508">
        <v>1.2E-2</v>
      </c>
      <c r="Q6750" s="508">
        <v>1.2E-2</v>
      </c>
      <c r="R6750" s="508">
        <v>1.2E-2</v>
      </c>
      <c r="S6750" s="508">
        <v>1.2E-2</v>
      </c>
      <c r="T6750" s="508">
        <v>1.2E-2</v>
      </c>
      <c r="U6750" s="508">
        <v>1.2E-2</v>
      </c>
      <c r="V6750" s="508">
        <v>1.2E-2</v>
      </c>
      <c r="W6750" s="508">
        <v>1.2E-2</v>
      </c>
      <c r="X6750" s="508">
        <v>1.2E-2</v>
      </c>
      <c r="Y6750" s="508">
        <v>1.2E-2</v>
      </c>
      <c r="Z6750" s="508">
        <v>1.2E-2</v>
      </c>
      <c r="AA6750" s="508">
        <v>1.2E-2</v>
      </c>
      <c r="AB6750" s="508">
        <v>1.2E-2</v>
      </c>
      <c r="AC6750" s="508">
        <v>1.2E-2</v>
      </c>
      <c r="AD6750" s="508">
        <v>1.2E-2</v>
      </c>
      <c r="AE6750" s="508">
        <v>1.2E-2</v>
      </c>
      <c r="AF6750" s="508">
        <v>1.2E-2</v>
      </c>
      <c r="AG6750" s="508">
        <v>1.2E-2</v>
      </c>
      <c r="AH6750" s="508">
        <v>1.2E-2</v>
      </c>
      <c r="AI6750" s="492">
        <v>1.2E-2</v>
      </c>
      <c r="AJ6750" s="485"/>
    </row>
    <row r="6751" spans="2:36">
      <c r="B6751" s="136" t="s">
        <v>484</v>
      </c>
      <c r="C6751" s="132" t="s">
        <v>1372</v>
      </c>
      <c r="D6751" s="132" t="s">
        <v>1380</v>
      </c>
      <c r="E6751" s="508">
        <v>0.01</v>
      </c>
      <c r="F6751" s="508">
        <v>0.01</v>
      </c>
      <c r="G6751" s="508">
        <v>0.01</v>
      </c>
      <c r="H6751" s="508">
        <v>0.01</v>
      </c>
      <c r="I6751" s="508">
        <v>0.01</v>
      </c>
      <c r="J6751" s="508">
        <v>0.01</v>
      </c>
      <c r="K6751" s="508">
        <v>0.01</v>
      </c>
      <c r="L6751" s="508">
        <v>0.01</v>
      </c>
      <c r="M6751" s="508">
        <v>0.01</v>
      </c>
      <c r="N6751" s="508">
        <v>0.01</v>
      </c>
      <c r="O6751" s="508">
        <v>0.01</v>
      </c>
      <c r="P6751" s="508">
        <v>0.01</v>
      </c>
      <c r="Q6751" s="508">
        <v>0.01</v>
      </c>
      <c r="R6751" s="508">
        <v>0.01</v>
      </c>
      <c r="S6751" s="508">
        <v>0.01</v>
      </c>
      <c r="T6751" s="508">
        <v>0.01</v>
      </c>
      <c r="U6751" s="508">
        <v>0.01</v>
      </c>
      <c r="V6751" s="508">
        <v>0.01</v>
      </c>
      <c r="W6751" s="508">
        <v>0.01</v>
      </c>
      <c r="X6751" s="508">
        <v>0.01</v>
      </c>
      <c r="Y6751" s="508">
        <v>0.01</v>
      </c>
      <c r="Z6751" s="508">
        <v>0.01</v>
      </c>
      <c r="AA6751" s="508">
        <v>0.01</v>
      </c>
      <c r="AB6751" s="508">
        <v>0.01</v>
      </c>
      <c r="AC6751" s="508">
        <v>0.01</v>
      </c>
      <c r="AD6751" s="508">
        <v>0.01</v>
      </c>
      <c r="AE6751" s="508">
        <v>0.01</v>
      </c>
      <c r="AF6751" s="508">
        <v>0.01</v>
      </c>
      <c r="AG6751" s="508">
        <v>0.01</v>
      </c>
      <c r="AH6751" s="508">
        <v>0.01</v>
      </c>
      <c r="AI6751" s="492">
        <v>0.01</v>
      </c>
      <c r="AJ6751" s="485"/>
    </row>
    <row r="6752" spans="2:36">
      <c r="B6752" s="136" t="s">
        <v>486</v>
      </c>
      <c r="C6752" s="132" t="s">
        <v>1372</v>
      </c>
      <c r="D6752" s="132" t="s">
        <v>1380</v>
      </c>
      <c r="E6752" s="508">
        <v>1.2E-2</v>
      </c>
      <c r="F6752" s="508">
        <v>1.2E-2</v>
      </c>
      <c r="G6752" s="508">
        <v>1.2E-2</v>
      </c>
      <c r="H6752" s="508">
        <v>1.2E-2</v>
      </c>
      <c r="I6752" s="508">
        <v>1.2E-2</v>
      </c>
      <c r="J6752" s="508">
        <v>1.2E-2</v>
      </c>
      <c r="K6752" s="508">
        <v>1.2E-2</v>
      </c>
      <c r="L6752" s="508">
        <v>1.0999999999999999E-2</v>
      </c>
      <c r="M6752" s="508">
        <v>1.2E-2</v>
      </c>
      <c r="N6752" s="508">
        <v>1.2E-2</v>
      </c>
      <c r="O6752" s="508">
        <v>1.2E-2</v>
      </c>
      <c r="P6752" s="508">
        <v>1.2E-2</v>
      </c>
      <c r="Q6752" s="508">
        <v>1.2E-2</v>
      </c>
      <c r="R6752" s="508">
        <v>1.2E-2</v>
      </c>
      <c r="S6752" s="508">
        <v>1.2E-2</v>
      </c>
      <c r="T6752" s="508">
        <v>1.0999999999999999E-2</v>
      </c>
      <c r="U6752" s="508">
        <v>1.2E-2</v>
      </c>
      <c r="V6752" s="508">
        <v>1.0999999999999999E-2</v>
      </c>
      <c r="W6752" s="508">
        <v>1.0999999999999999E-2</v>
      </c>
      <c r="X6752" s="508">
        <v>1.2E-2</v>
      </c>
      <c r="Y6752" s="508">
        <v>1.2E-2</v>
      </c>
      <c r="Z6752" s="508">
        <v>1.2E-2</v>
      </c>
      <c r="AA6752" s="508">
        <v>1.2E-2</v>
      </c>
      <c r="AB6752" s="508">
        <v>1.0999999999999999E-2</v>
      </c>
      <c r="AC6752" s="508">
        <v>1.2E-2</v>
      </c>
      <c r="AD6752" s="508">
        <v>1.0999999999999999E-2</v>
      </c>
      <c r="AE6752" s="508">
        <v>1.0999999999999999E-2</v>
      </c>
      <c r="AF6752" s="508">
        <v>1.0999999999999999E-2</v>
      </c>
      <c r="AG6752" s="508">
        <v>1.0999999999999999E-2</v>
      </c>
      <c r="AH6752" s="508">
        <v>1.0999999999999999E-2</v>
      </c>
      <c r="AI6752" s="492">
        <v>1.0999999999999999E-2</v>
      </c>
      <c r="AJ6752" s="485"/>
    </row>
    <row r="6753" spans="2:36">
      <c r="B6753" s="136" t="s">
        <v>487</v>
      </c>
      <c r="C6753" s="132" t="s">
        <v>1372</v>
      </c>
      <c r="D6753" s="132" t="s">
        <v>1380</v>
      </c>
      <c r="E6753" s="508">
        <v>1.0999999999999999E-2</v>
      </c>
      <c r="F6753" s="508">
        <v>1.0999999999999999E-2</v>
      </c>
      <c r="G6753" s="508">
        <v>1.0999999999999999E-2</v>
      </c>
      <c r="H6753" s="508">
        <v>1.0999999999999999E-2</v>
      </c>
      <c r="I6753" s="508">
        <v>1.0999999999999999E-2</v>
      </c>
      <c r="J6753" s="508">
        <v>1.0999999999999999E-2</v>
      </c>
      <c r="K6753" s="508">
        <v>1.0999999999999999E-2</v>
      </c>
      <c r="L6753" s="508">
        <v>1.0999999999999999E-2</v>
      </c>
      <c r="M6753" s="508">
        <v>1.0999999999999999E-2</v>
      </c>
      <c r="N6753" s="508">
        <v>1.0999999999999999E-2</v>
      </c>
      <c r="O6753" s="508">
        <v>1.0999999999999999E-2</v>
      </c>
      <c r="P6753" s="508">
        <v>1.0999999999999999E-2</v>
      </c>
      <c r="Q6753" s="508">
        <v>1.0999999999999999E-2</v>
      </c>
      <c r="R6753" s="508">
        <v>1.0999999999999999E-2</v>
      </c>
      <c r="S6753" s="508">
        <v>1.0999999999999999E-2</v>
      </c>
      <c r="T6753" s="508">
        <v>1.0999999999999999E-2</v>
      </c>
      <c r="U6753" s="508">
        <v>1.0999999999999999E-2</v>
      </c>
      <c r="V6753" s="508">
        <v>1.0999999999999999E-2</v>
      </c>
      <c r="W6753" s="508">
        <v>1.0999999999999999E-2</v>
      </c>
      <c r="X6753" s="508">
        <v>1.0999999999999999E-2</v>
      </c>
      <c r="Y6753" s="508">
        <v>1.0999999999999999E-2</v>
      </c>
      <c r="Z6753" s="508">
        <v>1.0999999999999999E-2</v>
      </c>
      <c r="AA6753" s="508">
        <v>1.0999999999999999E-2</v>
      </c>
      <c r="AB6753" s="508">
        <v>1.0999999999999999E-2</v>
      </c>
      <c r="AC6753" s="508">
        <v>1.0999999999999999E-2</v>
      </c>
      <c r="AD6753" s="508">
        <v>1.0999999999999999E-2</v>
      </c>
      <c r="AE6753" s="508">
        <v>1.0999999999999999E-2</v>
      </c>
      <c r="AF6753" s="508">
        <v>1.0999999999999999E-2</v>
      </c>
      <c r="AG6753" s="508">
        <v>1.0999999999999999E-2</v>
      </c>
      <c r="AH6753" s="508">
        <v>1.0999999999999999E-2</v>
      </c>
      <c r="AI6753" s="492">
        <v>1.0999999999999999E-2</v>
      </c>
      <c r="AJ6753" s="485"/>
    </row>
    <row r="6754" spans="2:36">
      <c r="B6754" s="136" t="s">
        <v>488</v>
      </c>
      <c r="C6754" s="132" t="s">
        <v>1372</v>
      </c>
      <c r="D6754" s="132" t="s">
        <v>1380</v>
      </c>
      <c r="E6754" s="508">
        <v>0.01</v>
      </c>
      <c r="F6754" s="508">
        <v>0.01</v>
      </c>
      <c r="G6754" s="508">
        <v>0.01</v>
      </c>
      <c r="H6754" s="508">
        <v>0.01</v>
      </c>
      <c r="I6754" s="508">
        <v>0.01</v>
      </c>
      <c r="J6754" s="508">
        <v>0.01</v>
      </c>
      <c r="K6754" s="508">
        <v>0.01</v>
      </c>
      <c r="L6754" s="508">
        <v>0.01</v>
      </c>
      <c r="M6754" s="508">
        <v>0.01</v>
      </c>
      <c r="N6754" s="508">
        <v>0.01</v>
      </c>
      <c r="O6754" s="508">
        <v>0.01</v>
      </c>
      <c r="P6754" s="508">
        <v>0.01</v>
      </c>
      <c r="Q6754" s="508">
        <v>0.01</v>
      </c>
      <c r="R6754" s="508">
        <v>0.01</v>
      </c>
      <c r="S6754" s="508">
        <v>0.01</v>
      </c>
      <c r="T6754" s="508">
        <v>0.01</v>
      </c>
      <c r="U6754" s="508">
        <v>0.01</v>
      </c>
      <c r="V6754" s="508">
        <v>0.01</v>
      </c>
      <c r="W6754" s="508">
        <v>0.01</v>
      </c>
      <c r="X6754" s="508">
        <v>0.01</v>
      </c>
      <c r="Y6754" s="508">
        <v>0.01</v>
      </c>
      <c r="Z6754" s="508">
        <v>0.01</v>
      </c>
      <c r="AA6754" s="508">
        <v>0.01</v>
      </c>
      <c r="AB6754" s="508">
        <v>0.01</v>
      </c>
      <c r="AC6754" s="508">
        <v>0.01</v>
      </c>
      <c r="AD6754" s="508">
        <v>0.01</v>
      </c>
      <c r="AE6754" s="508">
        <v>0.01</v>
      </c>
      <c r="AF6754" s="508">
        <v>0.01</v>
      </c>
      <c r="AG6754" s="508">
        <v>0.01</v>
      </c>
      <c r="AH6754" s="508">
        <v>0.01</v>
      </c>
      <c r="AI6754" s="492">
        <v>0.01</v>
      </c>
      <c r="AJ6754" s="485"/>
    </row>
    <row r="6755" spans="2:36">
      <c r="B6755" s="136" t="s">
        <v>489</v>
      </c>
      <c r="C6755" s="132" t="s">
        <v>1372</v>
      </c>
      <c r="D6755" s="132" t="s">
        <v>1380</v>
      </c>
      <c r="E6755" s="508">
        <v>1.0999999999999999E-2</v>
      </c>
      <c r="F6755" s="508">
        <v>1.0999999999999999E-2</v>
      </c>
      <c r="G6755" s="508">
        <v>1.0999999999999999E-2</v>
      </c>
      <c r="H6755" s="508">
        <v>1.0999999999999999E-2</v>
      </c>
      <c r="I6755" s="508">
        <v>1.0999999999999999E-2</v>
      </c>
      <c r="J6755" s="508">
        <v>1.0999999999999999E-2</v>
      </c>
      <c r="K6755" s="508">
        <v>1.0999999999999999E-2</v>
      </c>
      <c r="L6755" s="508">
        <v>1.0999999999999999E-2</v>
      </c>
      <c r="M6755" s="508">
        <v>1.0999999999999999E-2</v>
      </c>
      <c r="N6755" s="508">
        <v>1.0999999999999999E-2</v>
      </c>
      <c r="O6755" s="508">
        <v>1.0999999999999999E-2</v>
      </c>
      <c r="P6755" s="508">
        <v>1.0999999999999999E-2</v>
      </c>
      <c r="Q6755" s="508">
        <v>1.0999999999999999E-2</v>
      </c>
      <c r="R6755" s="508">
        <v>1.0999999999999999E-2</v>
      </c>
      <c r="S6755" s="508">
        <v>1.0999999999999999E-2</v>
      </c>
      <c r="T6755" s="508">
        <v>1.0999999999999999E-2</v>
      </c>
      <c r="U6755" s="508">
        <v>1.0999999999999999E-2</v>
      </c>
      <c r="V6755" s="508">
        <v>1.0999999999999999E-2</v>
      </c>
      <c r="W6755" s="508">
        <v>1.0999999999999999E-2</v>
      </c>
      <c r="X6755" s="508">
        <v>1.0999999999999999E-2</v>
      </c>
      <c r="Y6755" s="508">
        <v>1.0999999999999999E-2</v>
      </c>
      <c r="Z6755" s="508">
        <v>1.0999999999999999E-2</v>
      </c>
      <c r="AA6755" s="508">
        <v>1.0999999999999999E-2</v>
      </c>
      <c r="AB6755" s="508">
        <v>1.0999999999999999E-2</v>
      </c>
      <c r="AC6755" s="508">
        <v>1.0999999999999999E-2</v>
      </c>
      <c r="AD6755" s="508">
        <v>1.0999999999999999E-2</v>
      </c>
      <c r="AE6755" s="508">
        <v>1.0999999999999999E-2</v>
      </c>
      <c r="AF6755" s="508">
        <v>1.0999999999999999E-2</v>
      </c>
      <c r="AG6755" s="508">
        <v>1.0999999999999999E-2</v>
      </c>
      <c r="AH6755" s="508">
        <v>1.0999999999999999E-2</v>
      </c>
      <c r="AI6755" s="492">
        <v>1.0999999999999999E-2</v>
      </c>
      <c r="AJ6755" s="485"/>
    </row>
    <row r="6756" spans="2:36">
      <c r="B6756" s="136" t="s">
        <v>490</v>
      </c>
      <c r="C6756" s="132" t="s">
        <v>1372</v>
      </c>
      <c r="D6756" s="132" t="s">
        <v>1380</v>
      </c>
      <c r="E6756" s="508">
        <v>0.01</v>
      </c>
      <c r="F6756" s="508">
        <v>0.01</v>
      </c>
      <c r="G6756" s="508">
        <v>0.01</v>
      </c>
      <c r="H6756" s="508">
        <v>0.01</v>
      </c>
      <c r="I6756" s="508">
        <v>0.01</v>
      </c>
      <c r="J6756" s="508">
        <v>0.01</v>
      </c>
      <c r="K6756" s="508">
        <v>0.01</v>
      </c>
      <c r="L6756" s="508">
        <v>0.01</v>
      </c>
      <c r="M6756" s="508">
        <v>0.01</v>
      </c>
      <c r="N6756" s="508">
        <v>0.01</v>
      </c>
      <c r="O6756" s="508">
        <v>0.01</v>
      </c>
      <c r="P6756" s="508">
        <v>0.01</v>
      </c>
      <c r="Q6756" s="508">
        <v>0.01</v>
      </c>
      <c r="R6756" s="508">
        <v>0.01</v>
      </c>
      <c r="S6756" s="508">
        <v>0.01</v>
      </c>
      <c r="T6756" s="508">
        <v>0.01</v>
      </c>
      <c r="U6756" s="508">
        <v>0.01</v>
      </c>
      <c r="V6756" s="508">
        <v>0.01</v>
      </c>
      <c r="W6756" s="508">
        <v>0.01</v>
      </c>
      <c r="X6756" s="508">
        <v>0.01</v>
      </c>
      <c r="Y6756" s="508">
        <v>0.01</v>
      </c>
      <c r="Z6756" s="508">
        <v>0.01</v>
      </c>
      <c r="AA6756" s="508">
        <v>0.01</v>
      </c>
      <c r="AB6756" s="508">
        <v>0.01</v>
      </c>
      <c r="AC6756" s="508">
        <v>0.01</v>
      </c>
      <c r="AD6756" s="508">
        <v>0.01</v>
      </c>
      <c r="AE6756" s="508">
        <v>0.01</v>
      </c>
      <c r="AF6756" s="508">
        <v>0.01</v>
      </c>
      <c r="AG6756" s="508">
        <v>0.01</v>
      </c>
      <c r="AH6756" s="508">
        <v>0.01</v>
      </c>
      <c r="AI6756" s="492">
        <v>0.01</v>
      </c>
      <c r="AJ6756" s="485"/>
    </row>
    <row r="6757" spans="2:36">
      <c r="B6757" s="136" t="s">
        <v>435</v>
      </c>
      <c r="C6757" s="132" t="s">
        <v>1373</v>
      </c>
      <c r="D6757" s="132" t="s">
        <v>1380</v>
      </c>
      <c r="E6757" s="508">
        <v>1.7999999999999999E-2</v>
      </c>
      <c r="F6757" s="508">
        <v>1.7000000000000001E-2</v>
      </c>
      <c r="G6757" s="508">
        <v>1.9E-2</v>
      </c>
      <c r="H6757" s="508">
        <v>1.4E-2</v>
      </c>
      <c r="I6757" s="508">
        <v>1.2E-2</v>
      </c>
      <c r="J6757" s="508">
        <v>1.2999999999999999E-2</v>
      </c>
      <c r="K6757" s="508">
        <v>8.9999999999999993E-3</v>
      </c>
      <c r="L6757" s="508">
        <v>1.2999999999999999E-2</v>
      </c>
      <c r="M6757" s="508">
        <v>0.01</v>
      </c>
      <c r="N6757" s="508">
        <v>1.2E-2</v>
      </c>
      <c r="O6757" s="508">
        <v>1.4999999999999999E-2</v>
      </c>
      <c r="P6757" s="508">
        <v>1.7000000000000001E-2</v>
      </c>
      <c r="Q6757" s="508">
        <v>1.7999999999999999E-2</v>
      </c>
      <c r="R6757" s="508">
        <v>1.4999999999999999E-2</v>
      </c>
      <c r="S6757" s="508">
        <v>1.2E-2</v>
      </c>
      <c r="T6757" s="508">
        <v>1.4E-2</v>
      </c>
      <c r="U6757" s="508">
        <v>1.2E-2</v>
      </c>
      <c r="V6757" s="508">
        <v>1.2999999999999999E-2</v>
      </c>
      <c r="W6757" s="508">
        <v>1.4E-2</v>
      </c>
      <c r="X6757" s="508">
        <v>1.2999999999999999E-2</v>
      </c>
      <c r="Y6757" s="508">
        <v>1.4E-2</v>
      </c>
      <c r="Z6757" s="508">
        <v>1.4E-2</v>
      </c>
      <c r="AA6757" s="508">
        <v>1.4999999999999999E-2</v>
      </c>
      <c r="AB6757" s="508">
        <v>1.2E-2</v>
      </c>
      <c r="AC6757" s="508">
        <v>1.6E-2</v>
      </c>
      <c r="AD6757" s="508">
        <v>1.4999999999999999E-2</v>
      </c>
      <c r="AE6757" s="508">
        <v>1.4E-2</v>
      </c>
      <c r="AF6757" s="508">
        <v>1.4E-2</v>
      </c>
      <c r="AG6757" s="508">
        <v>1.4E-2</v>
      </c>
      <c r="AH6757" s="508">
        <v>1.4E-2</v>
      </c>
      <c r="AI6757" s="492">
        <v>1.4E-2</v>
      </c>
      <c r="AJ6757" s="485"/>
    </row>
    <row r="6758" spans="2:36">
      <c r="B6758" s="136" t="s">
        <v>436</v>
      </c>
      <c r="C6758" s="132" t="s">
        <v>1373</v>
      </c>
      <c r="D6758" s="132" t="s">
        <v>1380</v>
      </c>
      <c r="E6758" s="508">
        <v>1.6E-2</v>
      </c>
      <c r="F6758" s="508">
        <v>1.4999999999999999E-2</v>
      </c>
      <c r="G6758" s="508">
        <v>1.7000000000000001E-2</v>
      </c>
      <c r="H6758" s="508">
        <v>1.2999999999999999E-2</v>
      </c>
      <c r="I6758" s="508">
        <v>1.0999999999999999E-2</v>
      </c>
      <c r="J6758" s="508">
        <v>1.2E-2</v>
      </c>
      <c r="K6758" s="508">
        <v>8.0000000000000002E-3</v>
      </c>
      <c r="L6758" s="508">
        <v>1.2E-2</v>
      </c>
      <c r="M6758" s="508">
        <v>8.9999999999999993E-3</v>
      </c>
      <c r="N6758" s="508">
        <v>1.0999999999999999E-2</v>
      </c>
      <c r="O6758" s="508">
        <v>1.4E-2</v>
      </c>
      <c r="P6758" s="508">
        <v>1.6E-2</v>
      </c>
      <c r="Q6758" s="508">
        <v>1.6E-2</v>
      </c>
      <c r="R6758" s="508">
        <v>1.4E-2</v>
      </c>
      <c r="S6758" s="508">
        <v>1.0999999999999999E-2</v>
      </c>
      <c r="T6758" s="508">
        <v>1.2999999999999999E-2</v>
      </c>
      <c r="U6758" s="508">
        <v>1.0999999999999999E-2</v>
      </c>
      <c r="V6758" s="508">
        <v>1.2E-2</v>
      </c>
      <c r="W6758" s="508">
        <v>1.2E-2</v>
      </c>
      <c r="X6758" s="508">
        <v>1.2E-2</v>
      </c>
      <c r="Y6758" s="508">
        <v>1.2999999999999999E-2</v>
      </c>
      <c r="Z6758" s="508">
        <v>1.2999999999999999E-2</v>
      </c>
      <c r="AA6758" s="508">
        <v>1.4E-2</v>
      </c>
      <c r="AB6758" s="508">
        <v>1.0999999999999999E-2</v>
      </c>
      <c r="AC6758" s="508">
        <v>1.4E-2</v>
      </c>
      <c r="AD6758" s="508">
        <v>1.4E-2</v>
      </c>
      <c r="AE6758" s="508">
        <v>1.2E-2</v>
      </c>
      <c r="AF6758" s="508">
        <v>1.2E-2</v>
      </c>
      <c r="AG6758" s="508">
        <v>1.2E-2</v>
      </c>
      <c r="AH6758" s="508">
        <v>1.2E-2</v>
      </c>
      <c r="AI6758" s="492">
        <v>1.2E-2</v>
      </c>
      <c r="AJ6758" s="485"/>
    </row>
    <row r="6759" spans="2:36">
      <c r="B6759" s="136" t="s">
        <v>437</v>
      </c>
      <c r="C6759" s="132" t="s">
        <v>1373</v>
      </c>
      <c r="D6759" s="132" t="s">
        <v>1380</v>
      </c>
      <c r="E6759" s="508">
        <v>1.7999999999999999E-2</v>
      </c>
      <c r="F6759" s="508">
        <v>1.7000000000000001E-2</v>
      </c>
      <c r="G6759" s="508">
        <v>0.02</v>
      </c>
      <c r="H6759" s="508">
        <v>1.4E-2</v>
      </c>
      <c r="I6759" s="508">
        <v>1.2E-2</v>
      </c>
      <c r="J6759" s="508">
        <v>1.2999999999999999E-2</v>
      </c>
      <c r="K6759" s="508">
        <v>8.9999999999999993E-3</v>
      </c>
      <c r="L6759" s="508">
        <v>1.2999999999999999E-2</v>
      </c>
      <c r="M6759" s="508">
        <v>0.01</v>
      </c>
      <c r="N6759" s="508">
        <v>1.2E-2</v>
      </c>
      <c r="O6759" s="508">
        <v>1.6E-2</v>
      </c>
      <c r="P6759" s="508">
        <v>1.7999999999999999E-2</v>
      </c>
      <c r="Q6759" s="508">
        <v>1.7999999999999999E-2</v>
      </c>
      <c r="R6759" s="508">
        <v>1.6E-2</v>
      </c>
      <c r="S6759" s="508">
        <v>1.2E-2</v>
      </c>
      <c r="T6759" s="508">
        <v>1.4999999999999999E-2</v>
      </c>
      <c r="U6759" s="508">
        <v>1.2999999999999999E-2</v>
      </c>
      <c r="V6759" s="508">
        <v>1.4E-2</v>
      </c>
      <c r="W6759" s="508">
        <v>1.4E-2</v>
      </c>
      <c r="X6759" s="508">
        <v>1.4E-2</v>
      </c>
      <c r="Y6759" s="508">
        <v>1.4999999999999999E-2</v>
      </c>
      <c r="Z6759" s="508">
        <v>1.4E-2</v>
      </c>
      <c r="AA6759" s="508">
        <v>1.6E-2</v>
      </c>
      <c r="AB6759" s="508">
        <v>1.2E-2</v>
      </c>
      <c r="AC6759" s="508">
        <v>1.6E-2</v>
      </c>
      <c r="AD6759" s="508">
        <v>1.4999999999999999E-2</v>
      </c>
      <c r="AE6759" s="508">
        <v>1.4E-2</v>
      </c>
      <c r="AF6759" s="508">
        <v>1.4E-2</v>
      </c>
      <c r="AG6759" s="508">
        <v>1.4E-2</v>
      </c>
      <c r="AH6759" s="508">
        <v>1.4E-2</v>
      </c>
      <c r="AI6759" s="492">
        <v>1.4E-2</v>
      </c>
      <c r="AJ6759" s="485"/>
    </row>
    <row r="6760" spans="2:36">
      <c r="B6760" s="136" t="s">
        <v>438</v>
      </c>
      <c r="C6760" s="132" t="s">
        <v>1373</v>
      </c>
      <c r="D6760" s="132" t="s">
        <v>1380</v>
      </c>
      <c r="E6760" s="508">
        <v>1.4999999999999999E-2</v>
      </c>
      <c r="F6760" s="508">
        <v>1.4999999999999999E-2</v>
      </c>
      <c r="G6760" s="508">
        <v>1.6E-2</v>
      </c>
      <c r="H6760" s="508">
        <v>1.2E-2</v>
      </c>
      <c r="I6760" s="508">
        <v>0.01</v>
      </c>
      <c r="J6760" s="508">
        <v>1.0999999999999999E-2</v>
      </c>
      <c r="K6760" s="508">
        <v>8.0000000000000002E-3</v>
      </c>
      <c r="L6760" s="508">
        <v>1.0999999999999999E-2</v>
      </c>
      <c r="M6760" s="508">
        <v>8.9999999999999993E-3</v>
      </c>
      <c r="N6760" s="508">
        <v>0.01</v>
      </c>
      <c r="O6760" s="508">
        <v>1.2999999999999999E-2</v>
      </c>
      <c r="P6760" s="508">
        <v>1.4999999999999999E-2</v>
      </c>
      <c r="Q6760" s="508">
        <v>1.4999999999999999E-2</v>
      </c>
      <c r="R6760" s="508">
        <v>1.2999999999999999E-2</v>
      </c>
      <c r="S6760" s="508">
        <v>0.01</v>
      </c>
      <c r="T6760" s="508">
        <v>1.2E-2</v>
      </c>
      <c r="U6760" s="508">
        <v>1.0999999999999999E-2</v>
      </c>
      <c r="V6760" s="508">
        <v>1.0999999999999999E-2</v>
      </c>
      <c r="W6760" s="508">
        <v>1.2E-2</v>
      </c>
      <c r="X6760" s="508">
        <v>1.2E-2</v>
      </c>
      <c r="Y6760" s="508">
        <v>1.2E-2</v>
      </c>
      <c r="Z6760" s="508">
        <v>1.2E-2</v>
      </c>
      <c r="AA6760" s="508">
        <v>1.2999999999999999E-2</v>
      </c>
      <c r="AB6760" s="508">
        <v>0.01</v>
      </c>
      <c r="AC6760" s="508">
        <v>1.4E-2</v>
      </c>
      <c r="AD6760" s="508">
        <v>1.2999999999999999E-2</v>
      </c>
      <c r="AE6760" s="508">
        <v>1.2E-2</v>
      </c>
      <c r="AF6760" s="508">
        <v>1.2E-2</v>
      </c>
      <c r="AG6760" s="508">
        <v>1.2E-2</v>
      </c>
      <c r="AH6760" s="508">
        <v>1.2E-2</v>
      </c>
      <c r="AI6760" s="492">
        <v>1.2E-2</v>
      </c>
      <c r="AJ6760" s="485"/>
    </row>
    <row r="6761" spans="2:36">
      <c r="B6761" s="136" t="s">
        <v>439</v>
      </c>
      <c r="C6761" s="132" t="s">
        <v>1373</v>
      </c>
      <c r="D6761" s="132" t="s">
        <v>1380</v>
      </c>
      <c r="E6761" s="508">
        <v>1.7999999999999999E-2</v>
      </c>
      <c r="F6761" s="508">
        <v>1.7000000000000001E-2</v>
      </c>
      <c r="G6761" s="508">
        <v>1.9E-2</v>
      </c>
      <c r="H6761" s="508">
        <v>1.4E-2</v>
      </c>
      <c r="I6761" s="508">
        <v>1.2E-2</v>
      </c>
      <c r="J6761" s="508">
        <v>1.2999999999999999E-2</v>
      </c>
      <c r="K6761" s="508">
        <v>8.9999999999999993E-3</v>
      </c>
      <c r="L6761" s="508">
        <v>1.2999999999999999E-2</v>
      </c>
      <c r="M6761" s="508">
        <v>0.01</v>
      </c>
      <c r="N6761" s="508">
        <v>1.2E-2</v>
      </c>
      <c r="O6761" s="508">
        <v>1.4999999999999999E-2</v>
      </c>
      <c r="P6761" s="508">
        <v>1.7000000000000001E-2</v>
      </c>
      <c r="Q6761" s="508">
        <v>1.7999999999999999E-2</v>
      </c>
      <c r="R6761" s="508">
        <v>1.4999999999999999E-2</v>
      </c>
      <c r="S6761" s="508">
        <v>1.2E-2</v>
      </c>
      <c r="T6761" s="508">
        <v>1.4E-2</v>
      </c>
      <c r="U6761" s="508">
        <v>1.2E-2</v>
      </c>
      <c r="V6761" s="508">
        <v>1.2999999999999999E-2</v>
      </c>
      <c r="W6761" s="508">
        <v>1.4E-2</v>
      </c>
      <c r="X6761" s="508">
        <v>1.4E-2</v>
      </c>
      <c r="Y6761" s="508">
        <v>1.4999999999999999E-2</v>
      </c>
      <c r="Z6761" s="508">
        <v>1.4E-2</v>
      </c>
      <c r="AA6761" s="508">
        <v>1.6E-2</v>
      </c>
      <c r="AB6761" s="508">
        <v>1.2E-2</v>
      </c>
      <c r="AC6761" s="508">
        <v>1.6E-2</v>
      </c>
      <c r="AD6761" s="508">
        <v>1.4999999999999999E-2</v>
      </c>
      <c r="AE6761" s="508">
        <v>1.4E-2</v>
      </c>
      <c r="AF6761" s="508">
        <v>1.4E-2</v>
      </c>
      <c r="AG6761" s="508">
        <v>1.4E-2</v>
      </c>
      <c r="AH6761" s="508">
        <v>1.4E-2</v>
      </c>
      <c r="AI6761" s="492">
        <v>1.4E-2</v>
      </c>
      <c r="AJ6761" s="485"/>
    </row>
    <row r="6762" spans="2:36">
      <c r="B6762" s="136" t="s">
        <v>440</v>
      </c>
      <c r="C6762" s="132" t="s">
        <v>1373</v>
      </c>
      <c r="D6762" s="132" t="s">
        <v>1380</v>
      </c>
      <c r="E6762" s="508">
        <v>0</v>
      </c>
      <c r="F6762" s="508">
        <v>0</v>
      </c>
      <c r="G6762" s="508">
        <v>0</v>
      </c>
      <c r="H6762" s="508">
        <v>0</v>
      </c>
      <c r="I6762" s="508">
        <v>0.16400000000000001</v>
      </c>
      <c r="J6762" s="508">
        <v>3.1E-2</v>
      </c>
      <c r="K6762" s="508">
        <v>0.29399999999999998</v>
      </c>
      <c r="L6762" s="508">
        <v>0</v>
      </c>
      <c r="M6762" s="508">
        <v>0</v>
      </c>
      <c r="N6762" s="508">
        <v>4.0000000000000001E-3</v>
      </c>
      <c r="O6762" s="508">
        <v>0</v>
      </c>
      <c r="P6762" s="508">
        <v>0</v>
      </c>
      <c r="Q6762" s="508">
        <v>1E-3</v>
      </c>
      <c r="R6762" s="508">
        <v>0</v>
      </c>
      <c r="S6762" s="508">
        <v>2E-3</v>
      </c>
      <c r="T6762" s="508">
        <v>2.5000000000000001E-2</v>
      </c>
      <c r="U6762" s="508">
        <v>1.2E-2</v>
      </c>
      <c r="V6762" s="508">
        <v>2E-3</v>
      </c>
      <c r="W6762" s="508">
        <v>5.0000000000000001E-3</v>
      </c>
      <c r="X6762" s="508">
        <v>1E-3</v>
      </c>
      <c r="Y6762" s="508">
        <v>1.4E-2</v>
      </c>
      <c r="Z6762" s="508">
        <v>4.4999999999999998E-2</v>
      </c>
      <c r="AA6762" s="508">
        <v>2E-3</v>
      </c>
      <c r="AB6762" s="508">
        <v>0</v>
      </c>
      <c r="AC6762" s="508">
        <v>0</v>
      </c>
      <c r="AD6762" s="508">
        <v>7.2999999999999995E-2</v>
      </c>
      <c r="AE6762" s="508">
        <v>0.114</v>
      </c>
      <c r="AF6762" s="508">
        <v>0.26500000000000001</v>
      </c>
      <c r="AG6762" s="508">
        <v>0.192</v>
      </c>
      <c r="AH6762" s="508">
        <v>0.83599999999999997</v>
      </c>
      <c r="AI6762" s="492">
        <v>0.12</v>
      </c>
      <c r="AJ6762" s="485"/>
    </row>
    <row r="6763" spans="2:36">
      <c r="B6763" s="136" t="s">
        <v>441</v>
      </c>
      <c r="C6763" s="132" t="s">
        <v>1373</v>
      </c>
      <c r="D6763" s="132" t="s">
        <v>1380</v>
      </c>
      <c r="E6763" s="508">
        <v>1.7999999999999999E-2</v>
      </c>
      <c r="F6763" s="508">
        <v>1.7000000000000001E-2</v>
      </c>
      <c r="G6763" s="508">
        <v>1.9E-2</v>
      </c>
      <c r="H6763" s="508">
        <v>1.4E-2</v>
      </c>
      <c r="I6763" s="508">
        <v>1.2E-2</v>
      </c>
      <c r="J6763" s="508">
        <v>1.2999999999999999E-2</v>
      </c>
      <c r="K6763" s="508">
        <v>8.9999999999999993E-3</v>
      </c>
      <c r="L6763" s="508">
        <v>1.2999999999999999E-2</v>
      </c>
      <c r="M6763" s="508">
        <v>0.01</v>
      </c>
      <c r="N6763" s="508">
        <v>1.2E-2</v>
      </c>
      <c r="O6763" s="508">
        <v>1.4999999999999999E-2</v>
      </c>
      <c r="P6763" s="508">
        <v>1.7999999999999999E-2</v>
      </c>
      <c r="Q6763" s="508">
        <v>1.7999999999999999E-2</v>
      </c>
      <c r="R6763" s="508">
        <v>1.4999999999999999E-2</v>
      </c>
      <c r="S6763" s="508">
        <v>1.2E-2</v>
      </c>
      <c r="T6763" s="508">
        <v>1.4E-2</v>
      </c>
      <c r="U6763" s="508">
        <v>1.2999999999999999E-2</v>
      </c>
      <c r="V6763" s="508">
        <v>1.2999999999999999E-2</v>
      </c>
      <c r="W6763" s="508">
        <v>1.4E-2</v>
      </c>
      <c r="X6763" s="508">
        <v>1.4E-2</v>
      </c>
      <c r="Y6763" s="508">
        <v>1.4999999999999999E-2</v>
      </c>
      <c r="Z6763" s="508">
        <v>1.4E-2</v>
      </c>
      <c r="AA6763" s="508">
        <v>1.6E-2</v>
      </c>
      <c r="AB6763" s="508">
        <v>1.2E-2</v>
      </c>
      <c r="AC6763" s="508">
        <v>1.6E-2</v>
      </c>
      <c r="AD6763" s="508">
        <v>1.4999999999999999E-2</v>
      </c>
      <c r="AE6763" s="508">
        <v>1.4E-2</v>
      </c>
      <c r="AF6763" s="508">
        <v>1.4E-2</v>
      </c>
      <c r="AG6763" s="508">
        <v>1.4E-2</v>
      </c>
      <c r="AH6763" s="508">
        <v>1.4E-2</v>
      </c>
      <c r="AI6763" s="492">
        <v>1.4E-2</v>
      </c>
      <c r="AJ6763" s="485"/>
    </row>
    <row r="6764" spans="2:36">
      <c r="B6764" s="136" t="s">
        <v>443</v>
      </c>
      <c r="C6764" s="132" t="s">
        <v>1373</v>
      </c>
      <c r="D6764" s="132" t="s">
        <v>1380</v>
      </c>
      <c r="E6764" s="508">
        <v>0.02</v>
      </c>
      <c r="F6764" s="508">
        <v>1.9E-2</v>
      </c>
      <c r="G6764" s="508">
        <v>2.1999999999999999E-2</v>
      </c>
      <c r="H6764" s="508">
        <v>1.6E-2</v>
      </c>
      <c r="I6764" s="508">
        <v>1.2999999999999999E-2</v>
      </c>
      <c r="J6764" s="508">
        <v>1.4E-2</v>
      </c>
      <c r="K6764" s="508">
        <v>0.01</v>
      </c>
      <c r="L6764" s="508">
        <v>1.4999999999999999E-2</v>
      </c>
      <c r="M6764" s="508">
        <v>1.0999999999999999E-2</v>
      </c>
      <c r="N6764" s="508">
        <v>1.4E-2</v>
      </c>
      <c r="O6764" s="508">
        <v>1.7000000000000001E-2</v>
      </c>
      <c r="P6764" s="508">
        <v>1.9E-2</v>
      </c>
      <c r="Q6764" s="508">
        <v>0.02</v>
      </c>
      <c r="R6764" s="508">
        <v>1.7000000000000001E-2</v>
      </c>
      <c r="S6764" s="508">
        <v>1.2999999999999999E-2</v>
      </c>
      <c r="T6764" s="508">
        <v>1.6E-2</v>
      </c>
      <c r="U6764" s="508">
        <v>1.4E-2</v>
      </c>
      <c r="V6764" s="508">
        <v>1.4999999999999999E-2</v>
      </c>
      <c r="W6764" s="508">
        <v>1.4999999999999999E-2</v>
      </c>
      <c r="X6764" s="508">
        <v>1.4999999999999999E-2</v>
      </c>
      <c r="Y6764" s="508">
        <v>1.6E-2</v>
      </c>
      <c r="Z6764" s="508">
        <v>1.6E-2</v>
      </c>
      <c r="AA6764" s="508">
        <v>1.7000000000000001E-2</v>
      </c>
      <c r="AB6764" s="508">
        <v>1.2999999999999999E-2</v>
      </c>
      <c r="AC6764" s="508">
        <v>1.7999999999999999E-2</v>
      </c>
      <c r="AD6764" s="508">
        <v>1.7000000000000001E-2</v>
      </c>
      <c r="AE6764" s="508">
        <v>1.4999999999999999E-2</v>
      </c>
      <c r="AF6764" s="508">
        <v>1.4999999999999999E-2</v>
      </c>
      <c r="AG6764" s="508">
        <v>1.4999999999999999E-2</v>
      </c>
      <c r="AH6764" s="508">
        <v>1.4999999999999999E-2</v>
      </c>
      <c r="AI6764" s="492">
        <v>1.4999999999999999E-2</v>
      </c>
      <c r="AJ6764" s="485"/>
    </row>
    <row r="6765" spans="2:36">
      <c r="B6765" s="136" t="s">
        <v>445</v>
      </c>
      <c r="C6765" s="132" t="s">
        <v>1373</v>
      </c>
      <c r="D6765" s="132" t="s">
        <v>1380</v>
      </c>
      <c r="E6765" s="508">
        <v>2.5000000000000001E-2</v>
      </c>
      <c r="F6765" s="508">
        <v>2.4E-2</v>
      </c>
      <c r="G6765" s="508">
        <v>2.7E-2</v>
      </c>
      <c r="H6765" s="508">
        <v>1.9E-2</v>
      </c>
      <c r="I6765" s="508">
        <v>1.6E-2</v>
      </c>
      <c r="J6765" s="508">
        <v>1.7999999999999999E-2</v>
      </c>
      <c r="K6765" s="508">
        <v>1.2E-2</v>
      </c>
      <c r="L6765" s="508">
        <v>1.7999999999999999E-2</v>
      </c>
      <c r="M6765" s="508">
        <v>1.4E-2</v>
      </c>
      <c r="N6765" s="508">
        <v>1.7000000000000001E-2</v>
      </c>
      <c r="O6765" s="508">
        <v>2.1000000000000001E-2</v>
      </c>
      <c r="P6765" s="508">
        <v>2.4E-2</v>
      </c>
      <c r="Q6765" s="508">
        <v>2.5000000000000001E-2</v>
      </c>
      <c r="R6765" s="508">
        <v>2.1000000000000001E-2</v>
      </c>
      <c r="S6765" s="508">
        <v>1.6E-2</v>
      </c>
      <c r="T6765" s="508">
        <v>0.02</v>
      </c>
      <c r="U6765" s="508">
        <v>1.7000000000000001E-2</v>
      </c>
      <c r="V6765" s="508">
        <v>1.7999999999999999E-2</v>
      </c>
      <c r="W6765" s="508">
        <v>1.9E-2</v>
      </c>
      <c r="X6765" s="508">
        <v>1.7999999999999999E-2</v>
      </c>
      <c r="Y6765" s="508">
        <v>0.02</v>
      </c>
      <c r="Z6765" s="508">
        <v>1.9E-2</v>
      </c>
      <c r="AA6765" s="508">
        <v>2.1000000000000001E-2</v>
      </c>
      <c r="AB6765" s="508">
        <v>1.6E-2</v>
      </c>
      <c r="AC6765" s="508">
        <v>2.1999999999999999E-2</v>
      </c>
      <c r="AD6765" s="508">
        <v>2.1000000000000001E-2</v>
      </c>
      <c r="AE6765" s="508">
        <v>1.9E-2</v>
      </c>
      <c r="AF6765" s="508">
        <v>1.9E-2</v>
      </c>
      <c r="AG6765" s="508">
        <v>1.9E-2</v>
      </c>
      <c r="AH6765" s="508">
        <v>1.9E-2</v>
      </c>
      <c r="AI6765" s="492">
        <v>1.9E-2</v>
      </c>
      <c r="AJ6765" s="485"/>
    </row>
    <row r="6766" spans="2:36">
      <c r="B6766" s="136" t="s">
        <v>446</v>
      </c>
      <c r="C6766" s="132" t="s">
        <v>1373</v>
      </c>
      <c r="D6766" s="132" t="s">
        <v>1380</v>
      </c>
      <c r="E6766" s="508">
        <v>2.1999999999999999E-2</v>
      </c>
      <c r="F6766" s="508">
        <v>0.02</v>
      </c>
      <c r="G6766" s="508">
        <v>2.3E-2</v>
      </c>
      <c r="H6766" s="508">
        <v>1.7000000000000001E-2</v>
      </c>
      <c r="I6766" s="508">
        <v>1.4E-2</v>
      </c>
      <c r="J6766" s="508">
        <v>1.4999999999999999E-2</v>
      </c>
      <c r="K6766" s="508">
        <v>1.0999999999999999E-2</v>
      </c>
      <c r="L6766" s="508">
        <v>1.6E-2</v>
      </c>
      <c r="M6766" s="508">
        <v>1.2E-2</v>
      </c>
      <c r="N6766" s="508">
        <v>1.4999999999999999E-2</v>
      </c>
      <c r="O6766" s="508">
        <v>1.7999999999999999E-2</v>
      </c>
      <c r="P6766" s="508">
        <v>2.1000000000000001E-2</v>
      </c>
      <c r="Q6766" s="508">
        <v>2.1999999999999999E-2</v>
      </c>
      <c r="R6766" s="508">
        <v>1.7999999999999999E-2</v>
      </c>
      <c r="S6766" s="508">
        <v>1.4E-2</v>
      </c>
      <c r="T6766" s="508">
        <v>1.7000000000000001E-2</v>
      </c>
      <c r="U6766" s="508">
        <v>1.4999999999999999E-2</v>
      </c>
      <c r="V6766" s="508">
        <v>1.6E-2</v>
      </c>
      <c r="W6766" s="508">
        <v>1.6E-2</v>
      </c>
      <c r="X6766" s="508">
        <v>1.6E-2</v>
      </c>
      <c r="Y6766" s="508">
        <v>1.7000000000000001E-2</v>
      </c>
      <c r="Z6766" s="508">
        <v>1.7000000000000001E-2</v>
      </c>
      <c r="AA6766" s="508">
        <v>1.9E-2</v>
      </c>
      <c r="AB6766" s="508">
        <v>1.4E-2</v>
      </c>
      <c r="AC6766" s="508">
        <v>1.9E-2</v>
      </c>
      <c r="AD6766" s="508">
        <v>1.7999999999999999E-2</v>
      </c>
      <c r="AE6766" s="508">
        <v>1.7000000000000001E-2</v>
      </c>
      <c r="AF6766" s="508">
        <v>1.7000000000000001E-2</v>
      </c>
      <c r="AG6766" s="508">
        <v>1.7000000000000001E-2</v>
      </c>
      <c r="AH6766" s="508">
        <v>1.7000000000000001E-2</v>
      </c>
      <c r="AI6766" s="492">
        <v>1.7000000000000001E-2</v>
      </c>
      <c r="AJ6766" s="485"/>
    </row>
    <row r="6767" spans="2:36">
      <c r="B6767" s="136" t="s">
        <v>448</v>
      </c>
      <c r="C6767" s="132" t="s">
        <v>1373</v>
      </c>
      <c r="D6767" s="132" t="s">
        <v>1380</v>
      </c>
      <c r="E6767" s="508">
        <v>4.0000000000000001E-3</v>
      </c>
      <c r="F6767" s="508">
        <v>4.0000000000000001E-3</v>
      </c>
      <c r="G6767" s="508">
        <v>1.4E-2</v>
      </c>
      <c r="H6767" s="508">
        <v>3.0000000000000001E-3</v>
      </c>
      <c r="I6767" s="508">
        <v>4.0000000000000001E-3</v>
      </c>
      <c r="J6767" s="508">
        <v>0.01</v>
      </c>
      <c r="K6767" s="508">
        <v>7.0000000000000001E-3</v>
      </c>
      <c r="L6767" s="508">
        <v>1.6E-2</v>
      </c>
      <c r="M6767" s="508">
        <v>8.0000000000000002E-3</v>
      </c>
      <c r="N6767" s="508">
        <v>3.6999999999999998E-2</v>
      </c>
      <c r="O6767" s="508">
        <v>6.7000000000000004E-2</v>
      </c>
      <c r="P6767" s="508">
        <v>9.6000000000000002E-2</v>
      </c>
      <c r="Q6767" s="508">
        <v>0.121</v>
      </c>
      <c r="R6767" s="508">
        <v>0.14099999999999999</v>
      </c>
      <c r="S6767" s="508">
        <v>5.0999999999999997E-2</v>
      </c>
      <c r="T6767" s="508">
        <v>7.1999999999999995E-2</v>
      </c>
      <c r="U6767" s="508">
        <v>5.2999999999999999E-2</v>
      </c>
      <c r="V6767" s="508">
        <v>9.1999999999999998E-2</v>
      </c>
      <c r="W6767" s="508">
        <v>9.1999999999999998E-2</v>
      </c>
      <c r="X6767" s="508">
        <v>7.6999999999999999E-2</v>
      </c>
      <c r="Y6767" s="508">
        <v>9.1999999999999998E-2</v>
      </c>
      <c r="Z6767" s="508">
        <v>8.7999999999999995E-2</v>
      </c>
      <c r="AA6767" s="508">
        <v>2E-3</v>
      </c>
      <c r="AB6767" s="508">
        <v>1E-3</v>
      </c>
      <c r="AC6767" s="508">
        <v>2E-3</v>
      </c>
      <c r="AD6767" s="508">
        <v>8.9999999999999993E-3</v>
      </c>
      <c r="AE6767" s="508">
        <v>7.0000000000000001E-3</v>
      </c>
      <c r="AF6767" s="508">
        <v>2E-3</v>
      </c>
      <c r="AG6767" s="508">
        <v>2E-3</v>
      </c>
      <c r="AH6767" s="508">
        <v>2E-3</v>
      </c>
      <c r="AI6767" s="492">
        <v>2E-3</v>
      </c>
      <c r="AJ6767" s="485"/>
    </row>
    <row r="6768" spans="2:36">
      <c r="B6768" s="136" t="s">
        <v>449</v>
      </c>
      <c r="C6768" s="132" t="s">
        <v>1373</v>
      </c>
      <c r="D6768" s="132" t="s">
        <v>1380</v>
      </c>
      <c r="E6768" s="508">
        <v>2.1000000000000001E-2</v>
      </c>
      <c r="F6768" s="508">
        <v>1.9E-2</v>
      </c>
      <c r="G6768" s="508">
        <v>2.1999999999999999E-2</v>
      </c>
      <c r="H6768" s="508">
        <v>1.6E-2</v>
      </c>
      <c r="I6768" s="508">
        <v>1.2999999999999999E-2</v>
      </c>
      <c r="J6768" s="508">
        <v>1.4999999999999999E-2</v>
      </c>
      <c r="K6768" s="508">
        <v>0.01</v>
      </c>
      <c r="L6768" s="508">
        <v>1.4999999999999999E-2</v>
      </c>
      <c r="M6768" s="508">
        <v>1.2E-2</v>
      </c>
      <c r="N6768" s="508">
        <v>1.4E-2</v>
      </c>
      <c r="O6768" s="508">
        <v>1.7000000000000001E-2</v>
      </c>
      <c r="P6768" s="508">
        <v>0.02</v>
      </c>
      <c r="Q6768" s="508">
        <v>0.02</v>
      </c>
      <c r="R6768" s="508">
        <v>1.7000000000000001E-2</v>
      </c>
      <c r="S6768" s="508">
        <v>1.4E-2</v>
      </c>
      <c r="T6768" s="508">
        <v>1.6E-2</v>
      </c>
      <c r="U6768" s="508">
        <v>1.4E-2</v>
      </c>
      <c r="V6768" s="508">
        <v>1.4999999999999999E-2</v>
      </c>
      <c r="W6768" s="508">
        <v>1.6E-2</v>
      </c>
      <c r="X6768" s="508">
        <v>1.4999999999999999E-2</v>
      </c>
      <c r="Y6768" s="508">
        <v>1.6E-2</v>
      </c>
      <c r="Z6768" s="508">
        <v>1.6E-2</v>
      </c>
      <c r="AA6768" s="508">
        <v>1.7999999999999999E-2</v>
      </c>
      <c r="AB6768" s="508">
        <v>1.4E-2</v>
      </c>
      <c r="AC6768" s="508">
        <v>1.7999999999999999E-2</v>
      </c>
      <c r="AD6768" s="508">
        <v>1.7000000000000001E-2</v>
      </c>
      <c r="AE6768" s="508">
        <v>1.6E-2</v>
      </c>
      <c r="AF6768" s="508">
        <v>1.6E-2</v>
      </c>
      <c r="AG6768" s="508">
        <v>1.6E-2</v>
      </c>
      <c r="AH6768" s="508">
        <v>1.6E-2</v>
      </c>
      <c r="AI6768" s="492">
        <v>1.6E-2</v>
      </c>
      <c r="AJ6768" s="485"/>
    </row>
    <row r="6769" spans="2:36">
      <c r="B6769" s="136" t="s">
        <v>450</v>
      </c>
      <c r="C6769" s="132" t="s">
        <v>1373</v>
      </c>
      <c r="D6769" s="132" t="s">
        <v>1380</v>
      </c>
      <c r="E6769" s="508">
        <v>1.7000000000000001E-2</v>
      </c>
      <c r="F6769" s="508">
        <v>1.7000000000000001E-2</v>
      </c>
      <c r="G6769" s="508">
        <v>1.7999999999999999E-2</v>
      </c>
      <c r="H6769" s="508">
        <v>1.4E-2</v>
      </c>
      <c r="I6769" s="508">
        <v>1.2E-2</v>
      </c>
      <c r="J6769" s="508">
        <v>1.3999999999999999E-2</v>
      </c>
      <c r="K6769" s="508">
        <v>1.0999999999999999E-2</v>
      </c>
      <c r="L6769" s="508">
        <v>1.2999999999999999E-2</v>
      </c>
      <c r="M6769" s="508">
        <v>1.0999999999999999E-2</v>
      </c>
      <c r="N6769" s="508">
        <v>1.2E-2</v>
      </c>
      <c r="O6769" s="508">
        <v>1.6E-2</v>
      </c>
      <c r="P6769" s="508">
        <v>1.7000000000000001E-2</v>
      </c>
      <c r="Q6769" s="508">
        <v>1.7000000000000001E-2</v>
      </c>
      <c r="R6769" s="508">
        <v>1.6E-2</v>
      </c>
      <c r="S6769" s="508">
        <v>1.2999999999999999E-2</v>
      </c>
      <c r="T6769" s="508">
        <v>1.4999999999999999E-2</v>
      </c>
      <c r="U6769" s="508">
        <v>1.2999999999999999E-2</v>
      </c>
      <c r="V6769" s="508">
        <v>1.2999999999999999E-2</v>
      </c>
      <c r="W6769" s="508">
        <v>1.3999999999999999E-2</v>
      </c>
      <c r="X6769" s="508">
        <v>1.2999999999999999E-2</v>
      </c>
      <c r="Y6769" s="508">
        <v>1.4999999999999999E-2</v>
      </c>
      <c r="Z6769" s="508">
        <v>1.4999999999999999E-2</v>
      </c>
      <c r="AA6769" s="508">
        <v>1.6E-2</v>
      </c>
      <c r="AB6769" s="508">
        <v>1.2E-2</v>
      </c>
      <c r="AC6769" s="508">
        <v>1.6E-2</v>
      </c>
      <c r="AD6769" s="508">
        <v>1.4999999999999999E-2</v>
      </c>
      <c r="AE6769" s="508">
        <v>1.4999999999999999E-2</v>
      </c>
      <c r="AF6769" s="508">
        <v>1.4999999999999999E-2</v>
      </c>
      <c r="AG6769" s="508">
        <v>1.4999999999999999E-2</v>
      </c>
      <c r="AH6769" s="508">
        <v>1.4999999999999999E-2</v>
      </c>
      <c r="AI6769" s="492">
        <v>1.4999999999999999E-2</v>
      </c>
      <c r="AJ6769" s="485"/>
    </row>
    <row r="6770" spans="2:36">
      <c r="B6770" s="136" t="s">
        <v>451</v>
      </c>
      <c r="C6770" s="132" t="s">
        <v>1373</v>
      </c>
      <c r="D6770" s="132" t="s">
        <v>1380</v>
      </c>
      <c r="E6770" s="508">
        <v>2.1999999999999999E-2</v>
      </c>
      <c r="F6770" s="508">
        <v>2.1000000000000001E-2</v>
      </c>
      <c r="G6770" s="508">
        <v>2.4E-2</v>
      </c>
      <c r="H6770" s="508">
        <v>1.7000000000000001E-2</v>
      </c>
      <c r="I6770" s="508">
        <v>1.4E-2</v>
      </c>
      <c r="J6770" s="508">
        <v>1.6E-2</v>
      </c>
      <c r="K6770" s="508">
        <v>1.0999999999999999E-2</v>
      </c>
      <c r="L6770" s="508">
        <v>1.6E-2</v>
      </c>
      <c r="M6770" s="508">
        <v>1.2E-2</v>
      </c>
      <c r="N6770" s="508">
        <v>1.4999999999999999E-2</v>
      </c>
      <c r="O6770" s="508">
        <v>1.9E-2</v>
      </c>
      <c r="P6770" s="508">
        <v>2.1000000000000001E-2</v>
      </c>
      <c r="Q6770" s="508">
        <v>2.1999999999999999E-2</v>
      </c>
      <c r="R6770" s="508">
        <v>1.9E-2</v>
      </c>
      <c r="S6770" s="508">
        <v>1.4999999999999999E-2</v>
      </c>
      <c r="T6770" s="508">
        <v>1.7000000000000001E-2</v>
      </c>
      <c r="U6770" s="508">
        <v>1.4999999999999999E-2</v>
      </c>
      <c r="V6770" s="508">
        <v>1.6E-2</v>
      </c>
      <c r="W6770" s="508">
        <v>1.7000000000000001E-2</v>
      </c>
      <c r="X6770" s="508">
        <v>1.6E-2</v>
      </c>
      <c r="Y6770" s="508">
        <v>1.7999999999999999E-2</v>
      </c>
      <c r="Z6770" s="508">
        <v>1.7000000000000001E-2</v>
      </c>
      <c r="AA6770" s="508">
        <v>1.9E-2</v>
      </c>
      <c r="AB6770" s="508">
        <v>1.4999999999999999E-2</v>
      </c>
      <c r="AC6770" s="508">
        <v>1.9E-2</v>
      </c>
      <c r="AD6770" s="508">
        <v>1.7999999999999999E-2</v>
      </c>
      <c r="AE6770" s="508">
        <v>1.7000000000000001E-2</v>
      </c>
      <c r="AF6770" s="508">
        <v>1.7000000000000001E-2</v>
      </c>
      <c r="AG6770" s="508">
        <v>1.7000000000000001E-2</v>
      </c>
      <c r="AH6770" s="508">
        <v>1.7000000000000001E-2</v>
      </c>
      <c r="AI6770" s="492">
        <v>1.7000000000000001E-2</v>
      </c>
      <c r="AJ6770" s="485"/>
    </row>
    <row r="6771" spans="2:36">
      <c r="B6771" s="136" t="s">
        <v>452</v>
      </c>
      <c r="C6771" s="132" t="s">
        <v>1373</v>
      </c>
      <c r="D6771" s="132" t="s">
        <v>1380</v>
      </c>
      <c r="E6771" s="508">
        <v>0</v>
      </c>
      <c r="F6771" s="508">
        <v>0</v>
      </c>
      <c r="G6771" s="508">
        <v>0</v>
      </c>
      <c r="H6771" s="508">
        <v>0</v>
      </c>
      <c r="I6771" s="508">
        <v>0.14199999999999999</v>
      </c>
      <c r="J6771" s="508">
        <v>2.7E-2</v>
      </c>
      <c r="K6771" s="508">
        <v>0.29699999999999999</v>
      </c>
      <c r="L6771" s="508">
        <v>0</v>
      </c>
      <c r="M6771" s="508">
        <v>0</v>
      </c>
      <c r="N6771" s="508">
        <v>3.0000000000000001E-3</v>
      </c>
      <c r="O6771" s="508">
        <v>0</v>
      </c>
      <c r="P6771" s="508">
        <v>0</v>
      </c>
      <c r="Q6771" s="508">
        <v>1E-3</v>
      </c>
      <c r="R6771" s="508">
        <v>0</v>
      </c>
      <c r="S6771" s="508">
        <v>2E-3</v>
      </c>
      <c r="T6771" s="508">
        <v>2.1999999999999999E-2</v>
      </c>
      <c r="U6771" s="508">
        <v>1.0999999999999999E-2</v>
      </c>
      <c r="V6771" s="508">
        <v>2E-3</v>
      </c>
      <c r="W6771" s="508">
        <v>5.0000000000000001E-3</v>
      </c>
      <c r="X6771" s="508">
        <v>0</v>
      </c>
      <c r="Y6771" s="508">
        <v>1.2999999999999999E-2</v>
      </c>
      <c r="Z6771" s="508">
        <v>3.7999999999999999E-2</v>
      </c>
      <c r="AA6771" s="508">
        <v>2E-3</v>
      </c>
      <c r="AB6771" s="508">
        <v>0</v>
      </c>
      <c r="AC6771" s="508">
        <v>0</v>
      </c>
      <c r="AD6771" s="508">
        <v>6.3E-2</v>
      </c>
      <c r="AE6771" s="508">
        <v>9.9000000000000005E-2</v>
      </c>
      <c r="AF6771" s="508">
        <v>0.20100000000000001</v>
      </c>
      <c r="AG6771" s="508">
        <v>0.152</v>
      </c>
      <c r="AH6771" s="508">
        <v>0.66500000000000004</v>
      </c>
      <c r="AI6771" s="492">
        <v>9.4E-2</v>
      </c>
      <c r="AJ6771" s="485"/>
    </row>
    <row r="6772" spans="2:36">
      <c r="B6772" s="136" t="s">
        <v>453</v>
      </c>
      <c r="C6772" s="132" t="s">
        <v>1373</v>
      </c>
      <c r="D6772" s="132" t="s">
        <v>1380</v>
      </c>
      <c r="E6772" s="508">
        <v>1.6E-2</v>
      </c>
      <c r="F6772" s="508">
        <v>1.4999999999999999E-2</v>
      </c>
      <c r="G6772" s="508">
        <v>1.7000000000000001E-2</v>
      </c>
      <c r="H6772" s="508">
        <v>1.2999999999999999E-2</v>
      </c>
      <c r="I6772" s="508">
        <v>0.01</v>
      </c>
      <c r="J6772" s="508">
        <v>1.0999999999999999E-2</v>
      </c>
      <c r="K6772" s="508">
        <v>8.0000000000000002E-3</v>
      </c>
      <c r="L6772" s="508">
        <v>1.2E-2</v>
      </c>
      <c r="M6772" s="508">
        <v>8.9999999999999993E-3</v>
      </c>
      <c r="N6772" s="508">
        <v>1.0999999999999999E-2</v>
      </c>
      <c r="O6772" s="508">
        <v>1.2999999999999999E-2</v>
      </c>
      <c r="P6772" s="508">
        <v>1.4999999999999999E-2</v>
      </c>
      <c r="Q6772" s="508">
        <v>1.6E-2</v>
      </c>
      <c r="R6772" s="508">
        <v>1.2999999999999999E-2</v>
      </c>
      <c r="S6772" s="508">
        <v>1.0999999999999999E-2</v>
      </c>
      <c r="T6772" s="508">
        <v>1.2999999999999999E-2</v>
      </c>
      <c r="U6772" s="508">
        <v>1.0999999999999999E-2</v>
      </c>
      <c r="V6772" s="508">
        <v>1.2E-2</v>
      </c>
      <c r="W6772" s="508">
        <v>1.2E-2</v>
      </c>
      <c r="X6772" s="508">
        <v>1.2E-2</v>
      </c>
      <c r="Y6772" s="508">
        <v>1.2999999999999999E-2</v>
      </c>
      <c r="Z6772" s="508">
        <v>1.2E-2</v>
      </c>
      <c r="AA6772" s="508">
        <v>1.4E-2</v>
      </c>
      <c r="AB6772" s="508">
        <v>1.0999999999999999E-2</v>
      </c>
      <c r="AC6772" s="508">
        <v>1.4E-2</v>
      </c>
      <c r="AD6772" s="508">
        <v>1.2999999999999999E-2</v>
      </c>
      <c r="AE6772" s="508">
        <v>1.2E-2</v>
      </c>
      <c r="AF6772" s="508">
        <v>1.2E-2</v>
      </c>
      <c r="AG6772" s="508">
        <v>1.2E-2</v>
      </c>
      <c r="AH6772" s="508">
        <v>1.2E-2</v>
      </c>
      <c r="AI6772" s="492">
        <v>1.2E-2</v>
      </c>
      <c r="AJ6772" s="485"/>
    </row>
    <row r="6773" spans="2:36">
      <c r="B6773" s="136" t="s">
        <v>454</v>
      </c>
      <c r="C6773" s="132" t="s">
        <v>1373</v>
      </c>
      <c r="D6773" s="132" t="s">
        <v>1380</v>
      </c>
      <c r="E6773" s="508">
        <v>1.6E-2</v>
      </c>
      <c r="F6773" s="508">
        <v>1.4999999999999999E-2</v>
      </c>
      <c r="G6773" s="508">
        <v>1.7999999999999999E-2</v>
      </c>
      <c r="H6773" s="508">
        <v>1.2999999999999999E-2</v>
      </c>
      <c r="I6773" s="508">
        <v>1.0999999999999999E-2</v>
      </c>
      <c r="J6773" s="508">
        <v>1.2E-2</v>
      </c>
      <c r="K6773" s="508">
        <v>8.0000000000000002E-3</v>
      </c>
      <c r="L6773" s="508">
        <v>1.2E-2</v>
      </c>
      <c r="M6773" s="508">
        <v>8.9999999999999993E-3</v>
      </c>
      <c r="N6773" s="508">
        <v>1.0999999999999999E-2</v>
      </c>
      <c r="O6773" s="508">
        <v>1.4E-2</v>
      </c>
      <c r="P6773" s="508">
        <v>1.6E-2</v>
      </c>
      <c r="Q6773" s="508">
        <v>1.6E-2</v>
      </c>
      <c r="R6773" s="508">
        <v>1.4E-2</v>
      </c>
      <c r="S6773" s="508">
        <v>1.0999999999999999E-2</v>
      </c>
      <c r="T6773" s="508">
        <v>1.2999999999999999E-2</v>
      </c>
      <c r="U6773" s="508">
        <v>1.0999999999999999E-2</v>
      </c>
      <c r="V6773" s="508">
        <v>1.2E-2</v>
      </c>
      <c r="W6773" s="508">
        <v>1.2999999999999999E-2</v>
      </c>
      <c r="X6773" s="508">
        <v>1.2E-2</v>
      </c>
      <c r="Y6773" s="508">
        <v>1.2999999999999999E-2</v>
      </c>
      <c r="Z6773" s="508">
        <v>1.2999999999999999E-2</v>
      </c>
      <c r="AA6773" s="508">
        <v>1.4E-2</v>
      </c>
      <c r="AB6773" s="508">
        <v>1.0999999999999999E-2</v>
      </c>
      <c r="AC6773" s="508">
        <v>1.4E-2</v>
      </c>
      <c r="AD6773" s="508">
        <v>1.4E-2</v>
      </c>
      <c r="AE6773" s="508">
        <v>1.2999999999999999E-2</v>
      </c>
      <c r="AF6773" s="508">
        <v>1.2999999999999999E-2</v>
      </c>
      <c r="AG6773" s="508">
        <v>1.2999999999999999E-2</v>
      </c>
      <c r="AH6773" s="508">
        <v>1.2999999999999999E-2</v>
      </c>
      <c r="AI6773" s="492">
        <v>1.2999999999999999E-2</v>
      </c>
      <c r="AJ6773" s="485"/>
    </row>
    <row r="6774" spans="2:36">
      <c r="B6774" s="136" t="s">
        <v>455</v>
      </c>
      <c r="C6774" s="132" t="s">
        <v>1373</v>
      </c>
      <c r="D6774" s="132" t="s">
        <v>1380</v>
      </c>
      <c r="E6774" s="508">
        <v>1.4999999999999999E-2</v>
      </c>
      <c r="F6774" s="508">
        <v>1.4E-2</v>
      </c>
      <c r="G6774" s="508">
        <v>1.6E-2</v>
      </c>
      <c r="H6774" s="508">
        <v>1.2E-2</v>
      </c>
      <c r="I6774" s="508">
        <v>0.01</v>
      </c>
      <c r="J6774" s="508">
        <v>1.0999999999999999E-2</v>
      </c>
      <c r="K6774" s="508">
        <v>8.0000000000000002E-3</v>
      </c>
      <c r="L6774" s="508">
        <v>1.0999999999999999E-2</v>
      </c>
      <c r="M6774" s="508">
        <v>8.9999999999999993E-3</v>
      </c>
      <c r="N6774" s="508">
        <v>0.01</v>
      </c>
      <c r="O6774" s="508">
        <v>1.2999999999999999E-2</v>
      </c>
      <c r="P6774" s="508">
        <v>1.4E-2</v>
      </c>
      <c r="Q6774" s="508">
        <v>1.4999999999999999E-2</v>
      </c>
      <c r="R6774" s="508">
        <v>1.2999999999999999E-2</v>
      </c>
      <c r="S6774" s="508">
        <v>0.01</v>
      </c>
      <c r="T6774" s="508">
        <v>1.2E-2</v>
      </c>
      <c r="U6774" s="508">
        <v>0.01</v>
      </c>
      <c r="V6774" s="508">
        <v>1.0999999999999999E-2</v>
      </c>
      <c r="W6774" s="508">
        <v>1.2E-2</v>
      </c>
      <c r="X6774" s="508">
        <v>1.0999999999999999E-2</v>
      </c>
      <c r="Y6774" s="508">
        <v>1.2E-2</v>
      </c>
      <c r="Z6774" s="508">
        <v>1.2E-2</v>
      </c>
      <c r="AA6774" s="508">
        <v>1.2999999999999999E-2</v>
      </c>
      <c r="AB6774" s="508">
        <v>0.01</v>
      </c>
      <c r="AC6774" s="508">
        <v>1.2999999999999999E-2</v>
      </c>
      <c r="AD6774" s="508">
        <v>1.2999999999999999E-2</v>
      </c>
      <c r="AE6774" s="508">
        <v>1.2E-2</v>
      </c>
      <c r="AF6774" s="508">
        <v>1.2E-2</v>
      </c>
      <c r="AG6774" s="508">
        <v>1.2E-2</v>
      </c>
      <c r="AH6774" s="508">
        <v>1.2E-2</v>
      </c>
      <c r="AI6774" s="492">
        <v>1.2E-2</v>
      </c>
      <c r="AJ6774" s="485"/>
    </row>
    <row r="6775" spans="2:36">
      <c r="B6775" s="136" t="s">
        <v>456</v>
      </c>
      <c r="C6775" s="132" t="s">
        <v>1373</v>
      </c>
      <c r="D6775" s="132" t="s">
        <v>1380</v>
      </c>
      <c r="E6775" s="508">
        <v>1.7000000000000001E-2</v>
      </c>
      <c r="F6775" s="508">
        <v>1.6E-2</v>
      </c>
      <c r="G6775" s="508">
        <v>1.7999999999999999E-2</v>
      </c>
      <c r="H6775" s="508">
        <v>1.4E-2</v>
      </c>
      <c r="I6775" s="508">
        <v>1.0999999999999999E-2</v>
      </c>
      <c r="J6775" s="508">
        <v>1.2E-2</v>
      </c>
      <c r="K6775" s="508">
        <v>8.9999999999999993E-3</v>
      </c>
      <c r="L6775" s="508">
        <v>1.2999999999999999E-2</v>
      </c>
      <c r="M6775" s="508">
        <v>0.01</v>
      </c>
      <c r="N6775" s="508">
        <v>1.2E-2</v>
      </c>
      <c r="O6775" s="508">
        <v>1.4999999999999999E-2</v>
      </c>
      <c r="P6775" s="508">
        <v>1.7000000000000001E-2</v>
      </c>
      <c r="Q6775" s="508">
        <v>1.7000000000000001E-2</v>
      </c>
      <c r="R6775" s="508">
        <v>1.4999999999999999E-2</v>
      </c>
      <c r="S6775" s="508">
        <v>1.0999999999999999E-2</v>
      </c>
      <c r="T6775" s="508">
        <v>1.4E-2</v>
      </c>
      <c r="U6775" s="508">
        <v>1.2E-2</v>
      </c>
      <c r="V6775" s="508">
        <v>1.2999999999999999E-2</v>
      </c>
      <c r="W6775" s="508">
        <v>1.2999999999999999E-2</v>
      </c>
      <c r="X6775" s="508">
        <v>1.2999999999999999E-2</v>
      </c>
      <c r="Y6775" s="508">
        <v>1.4E-2</v>
      </c>
      <c r="Z6775" s="508">
        <v>1.4E-2</v>
      </c>
      <c r="AA6775" s="508">
        <v>1.4999999999999999E-2</v>
      </c>
      <c r="AB6775" s="508">
        <v>1.0999999999999999E-2</v>
      </c>
      <c r="AC6775" s="508">
        <v>1.4999999999999999E-2</v>
      </c>
      <c r="AD6775" s="508">
        <v>1.4E-2</v>
      </c>
      <c r="AE6775" s="508">
        <v>1.2999999999999999E-2</v>
      </c>
      <c r="AF6775" s="508">
        <v>1.2999999999999999E-2</v>
      </c>
      <c r="AG6775" s="508">
        <v>1.2999999999999999E-2</v>
      </c>
      <c r="AH6775" s="508">
        <v>1.2999999999999999E-2</v>
      </c>
      <c r="AI6775" s="492">
        <v>1.2999999999999999E-2</v>
      </c>
      <c r="AJ6775" s="485"/>
    </row>
    <row r="6776" spans="2:36">
      <c r="B6776" s="136" t="s">
        <v>457</v>
      </c>
      <c r="C6776" s="132" t="s">
        <v>1373</v>
      </c>
      <c r="D6776" s="132" t="s">
        <v>1380</v>
      </c>
      <c r="E6776" s="508">
        <v>1.4E-2</v>
      </c>
      <c r="F6776" s="508">
        <v>1.4E-2</v>
      </c>
      <c r="G6776" s="508">
        <v>1.4999999999999999E-2</v>
      </c>
      <c r="H6776" s="508">
        <v>1.0999999999999999E-2</v>
      </c>
      <c r="I6776" s="508">
        <v>0.01</v>
      </c>
      <c r="J6776" s="508">
        <v>0.01</v>
      </c>
      <c r="K6776" s="508">
        <v>8.0000000000000002E-3</v>
      </c>
      <c r="L6776" s="508">
        <v>1.0999999999999999E-2</v>
      </c>
      <c r="M6776" s="508">
        <v>8.0000000000000002E-3</v>
      </c>
      <c r="N6776" s="508">
        <v>0.01</v>
      </c>
      <c r="O6776" s="508">
        <v>1.2E-2</v>
      </c>
      <c r="P6776" s="508">
        <v>1.4E-2</v>
      </c>
      <c r="Q6776" s="508">
        <v>1.4E-2</v>
      </c>
      <c r="R6776" s="508">
        <v>1.2E-2</v>
      </c>
      <c r="S6776" s="508">
        <v>0.01</v>
      </c>
      <c r="T6776" s="508">
        <v>1.2E-2</v>
      </c>
      <c r="U6776" s="508">
        <v>0.01</v>
      </c>
      <c r="V6776" s="508">
        <v>1.0999999999999999E-2</v>
      </c>
      <c r="W6776" s="508">
        <v>1.0999999999999999E-2</v>
      </c>
      <c r="X6776" s="508">
        <v>1.0999999999999999E-2</v>
      </c>
      <c r="Y6776" s="508">
        <v>1.2E-2</v>
      </c>
      <c r="Z6776" s="508">
        <v>1.0999999999999999E-2</v>
      </c>
      <c r="AA6776" s="508">
        <v>1.2E-2</v>
      </c>
      <c r="AB6776" s="508">
        <v>0.01</v>
      </c>
      <c r="AC6776" s="508">
        <v>1.2999999999999999E-2</v>
      </c>
      <c r="AD6776" s="508">
        <v>1.2E-2</v>
      </c>
      <c r="AE6776" s="508">
        <v>1.0999999999999999E-2</v>
      </c>
      <c r="AF6776" s="508">
        <v>1.0999999999999999E-2</v>
      </c>
      <c r="AG6776" s="508">
        <v>1.0999999999999999E-2</v>
      </c>
      <c r="AH6776" s="508">
        <v>1.0999999999999999E-2</v>
      </c>
      <c r="AI6776" s="492">
        <v>1.0999999999999999E-2</v>
      </c>
      <c r="AJ6776" s="485"/>
    </row>
    <row r="6777" spans="2:36">
      <c r="B6777" s="136" t="s">
        <v>458</v>
      </c>
      <c r="C6777" s="132" t="s">
        <v>1373</v>
      </c>
      <c r="D6777" s="132" t="s">
        <v>1380</v>
      </c>
      <c r="E6777" s="508">
        <v>1.7000000000000001E-2</v>
      </c>
      <c r="F6777" s="508">
        <v>1.6E-2</v>
      </c>
      <c r="G6777" s="508">
        <v>1.9E-2</v>
      </c>
      <c r="H6777" s="508">
        <v>1.4E-2</v>
      </c>
      <c r="I6777" s="508">
        <v>1.0999999999999999E-2</v>
      </c>
      <c r="J6777" s="508">
        <v>1.2E-2</v>
      </c>
      <c r="K6777" s="508">
        <v>8.9999999999999993E-3</v>
      </c>
      <c r="L6777" s="508">
        <v>1.2999999999999999E-2</v>
      </c>
      <c r="M6777" s="508">
        <v>0.01</v>
      </c>
      <c r="N6777" s="508">
        <v>1.2E-2</v>
      </c>
      <c r="O6777" s="508">
        <v>1.4999999999999999E-2</v>
      </c>
      <c r="P6777" s="508">
        <v>1.7000000000000001E-2</v>
      </c>
      <c r="Q6777" s="508">
        <v>1.7000000000000001E-2</v>
      </c>
      <c r="R6777" s="508">
        <v>1.4999999999999999E-2</v>
      </c>
      <c r="S6777" s="508">
        <v>1.2E-2</v>
      </c>
      <c r="T6777" s="508">
        <v>1.4E-2</v>
      </c>
      <c r="U6777" s="508">
        <v>1.2E-2</v>
      </c>
      <c r="V6777" s="508">
        <v>1.2999999999999999E-2</v>
      </c>
      <c r="W6777" s="508">
        <v>1.2999999999999999E-2</v>
      </c>
      <c r="X6777" s="508">
        <v>1.2999999999999999E-2</v>
      </c>
      <c r="Y6777" s="508">
        <v>1.4E-2</v>
      </c>
      <c r="Z6777" s="508">
        <v>1.4E-2</v>
      </c>
      <c r="AA6777" s="508">
        <v>1.4999999999999999E-2</v>
      </c>
      <c r="AB6777" s="508">
        <v>1.2E-2</v>
      </c>
      <c r="AC6777" s="508">
        <v>1.4999999999999999E-2</v>
      </c>
      <c r="AD6777" s="508">
        <v>1.4999999999999999E-2</v>
      </c>
      <c r="AE6777" s="508">
        <v>1.2999999999999999E-2</v>
      </c>
      <c r="AF6777" s="508">
        <v>1.2999999999999999E-2</v>
      </c>
      <c r="AG6777" s="508">
        <v>1.2999999999999999E-2</v>
      </c>
      <c r="AH6777" s="508">
        <v>1.2999999999999999E-2</v>
      </c>
      <c r="AI6777" s="492">
        <v>1.2999999999999999E-2</v>
      </c>
      <c r="AJ6777" s="485"/>
    </row>
    <row r="6778" spans="2:36">
      <c r="B6778" s="136" t="s">
        <v>459</v>
      </c>
      <c r="C6778" s="132" t="s">
        <v>1373</v>
      </c>
      <c r="D6778" s="132" t="s">
        <v>1380</v>
      </c>
      <c r="E6778" s="508">
        <v>1.7000000000000001E-2</v>
      </c>
      <c r="F6778" s="508">
        <v>1.6E-2</v>
      </c>
      <c r="G6778" s="508">
        <v>1.9E-2</v>
      </c>
      <c r="H6778" s="508">
        <v>1.4E-2</v>
      </c>
      <c r="I6778" s="508">
        <v>1.0999999999999999E-2</v>
      </c>
      <c r="J6778" s="508">
        <v>1.2E-2</v>
      </c>
      <c r="K6778" s="508">
        <v>8.9999999999999993E-3</v>
      </c>
      <c r="L6778" s="508">
        <v>1.2999999999999999E-2</v>
      </c>
      <c r="M6778" s="508">
        <v>0.01</v>
      </c>
      <c r="N6778" s="508">
        <v>1.2E-2</v>
      </c>
      <c r="O6778" s="508">
        <v>1.4999999999999999E-2</v>
      </c>
      <c r="P6778" s="508">
        <v>1.7000000000000001E-2</v>
      </c>
      <c r="Q6778" s="508">
        <v>1.7000000000000001E-2</v>
      </c>
      <c r="R6778" s="508">
        <v>1.4999999999999999E-2</v>
      </c>
      <c r="S6778" s="508">
        <v>1.2E-2</v>
      </c>
      <c r="T6778" s="508">
        <v>1.4E-2</v>
      </c>
      <c r="U6778" s="508">
        <v>1.2E-2</v>
      </c>
      <c r="V6778" s="508">
        <v>1.2999999999999999E-2</v>
      </c>
      <c r="W6778" s="508">
        <v>1.2999999999999999E-2</v>
      </c>
      <c r="X6778" s="508">
        <v>1.2999999999999999E-2</v>
      </c>
      <c r="Y6778" s="508">
        <v>1.4E-2</v>
      </c>
      <c r="Z6778" s="508">
        <v>1.4E-2</v>
      </c>
      <c r="AA6778" s="508">
        <v>1.4999999999999999E-2</v>
      </c>
      <c r="AB6778" s="508">
        <v>1.2E-2</v>
      </c>
      <c r="AC6778" s="508">
        <v>1.4999999999999999E-2</v>
      </c>
      <c r="AD6778" s="508">
        <v>1.4999999999999999E-2</v>
      </c>
      <c r="AE6778" s="508">
        <v>1.2999999999999999E-2</v>
      </c>
      <c r="AF6778" s="508">
        <v>1.2999999999999999E-2</v>
      </c>
      <c r="AG6778" s="508">
        <v>1.2999999999999999E-2</v>
      </c>
      <c r="AH6778" s="508">
        <v>1.2999999999999999E-2</v>
      </c>
      <c r="AI6778" s="492">
        <v>1.2999999999999999E-2</v>
      </c>
      <c r="AJ6778" s="485"/>
    </row>
    <row r="6779" spans="2:36">
      <c r="B6779" s="136" t="s">
        <v>460</v>
      </c>
      <c r="C6779" s="132" t="s">
        <v>1373</v>
      </c>
      <c r="D6779" s="132" t="s">
        <v>1380</v>
      </c>
      <c r="E6779" s="508">
        <v>1.7999999999999999E-2</v>
      </c>
      <c r="F6779" s="508">
        <v>1.7000000000000001E-2</v>
      </c>
      <c r="G6779" s="508">
        <v>1.9E-2</v>
      </c>
      <c r="H6779" s="508">
        <v>1.4E-2</v>
      </c>
      <c r="I6779" s="508">
        <v>1.2E-2</v>
      </c>
      <c r="J6779" s="508">
        <v>1.2999999999999999E-2</v>
      </c>
      <c r="K6779" s="508">
        <v>8.9999999999999993E-3</v>
      </c>
      <c r="L6779" s="508">
        <v>1.2999999999999999E-2</v>
      </c>
      <c r="M6779" s="508">
        <v>0.01</v>
      </c>
      <c r="N6779" s="508">
        <v>1.2E-2</v>
      </c>
      <c r="O6779" s="508">
        <v>1.4999999999999999E-2</v>
      </c>
      <c r="P6779" s="508">
        <v>1.7000000000000001E-2</v>
      </c>
      <c r="Q6779" s="508">
        <v>1.7999999999999999E-2</v>
      </c>
      <c r="R6779" s="508">
        <v>1.4999999999999999E-2</v>
      </c>
      <c r="S6779" s="508">
        <v>1.2E-2</v>
      </c>
      <c r="T6779" s="508">
        <v>1.4E-2</v>
      </c>
      <c r="U6779" s="508">
        <v>1.2E-2</v>
      </c>
      <c r="V6779" s="508">
        <v>1.2999999999999999E-2</v>
      </c>
      <c r="W6779" s="508">
        <v>1.4E-2</v>
      </c>
      <c r="X6779" s="508">
        <v>1.2999999999999999E-2</v>
      </c>
      <c r="Y6779" s="508">
        <v>1.4E-2</v>
      </c>
      <c r="Z6779" s="508">
        <v>1.4E-2</v>
      </c>
      <c r="AA6779" s="508">
        <v>1.4999999999999999E-2</v>
      </c>
      <c r="AB6779" s="508">
        <v>1.2E-2</v>
      </c>
      <c r="AC6779" s="508">
        <v>1.6E-2</v>
      </c>
      <c r="AD6779" s="508">
        <v>1.4999999999999999E-2</v>
      </c>
      <c r="AE6779" s="508">
        <v>1.4E-2</v>
      </c>
      <c r="AF6779" s="508">
        <v>1.4E-2</v>
      </c>
      <c r="AG6779" s="508">
        <v>1.4E-2</v>
      </c>
      <c r="AH6779" s="508">
        <v>1.4E-2</v>
      </c>
      <c r="AI6779" s="492">
        <v>1.4E-2</v>
      </c>
      <c r="AJ6779" s="485"/>
    </row>
    <row r="6780" spans="2:36">
      <c r="B6780" s="136" t="s">
        <v>461</v>
      </c>
      <c r="C6780" s="132" t="s">
        <v>1373</v>
      </c>
      <c r="D6780" s="132" t="s">
        <v>1380</v>
      </c>
      <c r="E6780" s="508">
        <v>1.7000000000000001E-2</v>
      </c>
      <c r="F6780" s="508">
        <v>1.6E-2</v>
      </c>
      <c r="G6780" s="508">
        <v>1.7999999999999999E-2</v>
      </c>
      <c r="H6780" s="508">
        <v>1.2999999999999999E-2</v>
      </c>
      <c r="I6780" s="508">
        <v>1.0999999999999999E-2</v>
      </c>
      <c r="J6780" s="508">
        <v>1.2E-2</v>
      </c>
      <c r="K6780" s="508">
        <v>8.9999999999999993E-3</v>
      </c>
      <c r="L6780" s="508">
        <v>1.2999999999999999E-2</v>
      </c>
      <c r="M6780" s="508">
        <v>0.01</v>
      </c>
      <c r="N6780" s="508">
        <v>1.2E-2</v>
      </c>
      <c r="O6780" s="508">
        <v>1.4E-2</v>
      </c>
      <c r="P6780" s="508">
        <v>1.6E-2</v>
      </c>
      <c r="Q6780" s="508">
        <v>1.7000000000000001E-2</v>
      </c>
      <c r="R6780" s="508">
        <v>1.4E-2</v>
      </c>
      <c r="S6780" s="508">
        <v>1.0999999999999999E-2</v>
      </c>
      <c r="T6780" s="508">
        <v>1.4E-2</v>
      </c>
      <c r="U6780" s="508">
        <v>1.2E-2</v>
      </c>
      <c r="V6780" s="508">
        <v>1.2999999999999999E-2</v>
      </c>
      <c r="W6780" s="508">
        <v>1.2999999999999999E-2</v>
      </c>
      <c r="X6780" s="508">
        <v>1.2999999999999999E-2</v>
      </c>
      <c r="Y6780" s="508">
        <v>1.4E-2</v>
      </c>
      <c r="Z6780" s="508">
        <v>1.2999999999999999E-2</v>
      </c>
      <c r="AA6780" s="508">
        <v>1.4999999999999999E-2</v>
      </c>
      <c r="AB6780" s="508">
        <v>1.0999999999999999E-2</v>
      </c>
      <c r="AC6780" s="508">
        <v>1.4999999999999999E-2</v>
      </c>
      <c r="AD6780" s="508">
        <v>1.4E-2</v>
      </c>
      <c r="AE6780" s="508">
        <v>1.2999999999999999E-2</v>
      </c>
      <c r="AF6780" s="508">
        <v>1.2999999999999999E-2</v>
      </c>
      <c r="AG6780" s="508">
        <v>1.2999999999999999E-2</v>
      </c>
      <c r="AH6780" s="508">
        <v>1.2999999999999999E-2</v>
      </c>
      <c r="AI6780" s="492">
        <v>1.2999999999999999E-2</v>
      </c>
      <c r="AJ6780" s="485"/>
    </row>
    <row r="6781" spans="2:36">
      <c r="B6781" s="136" t="s">
        <v>462</v>
      </c>
      <c r="C6781" s="132" t="s">
        <v>1373</v>
      </c>
      <c r="D6781" s="132" t="s">
        <v>1380</v>
      </c>
      <c r="E6781" s="508">
        <v>1.6E-2</v>
      </c>
      <c r="F6781" s="508">
        <v>1.6E-2</v>
      </c>
      <c r="G6781" s="508">
        <v>1.7999999999999999E-2</v>
      </c>
      <c r="H6781" s="508">
        <v>1.2999999999999999E-2</v>
      </c>
      <c r="I6781" s="508">
        <v>1.0999999999999999E-2</v>
      </c>
      <c r="J6781" s="508">
        <v>1.2E-2</v>
      </c>
      <c r="K6781" s="508">
        <v>8.9999999999999993E-3</v>
      </c>
      <c r="L6781" s="508">
        <v>1.2E-2</v>
      </c>
      <c r="M6781" s="508">
        <v>8.9999999999999993E-3</v>
      </c>
      <c r="N6781" s="508">
        <v>1.0999999999999999E-2</v>
      </c>
      <c r="O6781" s="508">
        <v>1.4E-2</v>
      </c>
      <c r="P6781" s="508">
        <v>1.6E-2</v>
      </c>
      <c r="Q6781" s="508">
        <v>1.6E-2</v>
      </c>
      <c r="R6781" s="508">
        <v>1.4E-2</v>
      </c>
      <c r="S6781" s="508">
        <v>1.0999999999999999E-2</v>
      </c>
      <c r="T6781" s="508">
        <v>1.2999999999999999E-2</v>
      </c>
      <c r="U6781" s="508">
        <v>1.0999999999999999E-2</v>
      </c>
      <c r="V6781" s="508">
        <v>1.2E-2</v>
      </c>
      <c r="W6781" s="508">
        <v>1.2999999999999999E-2</v>
      </c>
      <c r="X6781" s="508">
        <v>1.2E-2</v>
      </c>
      <c r="Y6781" s="508">
        <v>1.2999999999999999E-2</v>
      </c>
      <c r="Z6781" s="508">
        <v>1.2999999999999999E-2</v>
      </c>
      <c r="AA6781" s="508">
        <v>1.4E-2</v>
      </c>
      <c r="AB6781" s="508">
        <v>1.0999999999999999E-2</v>
      </c>
      <c r="AC6781" s="508">
        <v>1.4E-2</v>
      </c>
      <c r="AD6781" s="508">
        <v>1.4E-2</v>
      </c>
      <c r="AE6781" s="508">
        <v>1.2999999999999999E-2</v>
      </c>
      <c r="AF6781" s="508">
        <v>1.2999999999999999E-2</v>
      </c>
      <c r="AG6781" s="508">
        <v>1.2999999999999999E-2</v>
      </c>
      <c r="AH6781" s="508">
        <v>1.2999999999999999E-2</v>
      </c>
      <c r="AI6781" s="492">
        <v>1.2999999999999999E-2</v>
      </c>
      <c r="AJ6781" s="485"/>
    </row>
    <row r="6782" spans="2:36">
      <c r="B6782" s="136" t="s">
        <v>463</v>
      </c>
      <c r="C6782" s="132" t="s">
        <v>1373</v>
      </c>
      <c r="D6782" s="132" t="s">
        <v>1380</v>
      </c>
      <c r="E6782" s="508">
        <v>1.4999999999999999E-2</v>
      </c>
      <c r="F6782" s="508">
        <v>1.4E-2</v>
      </c>
      <c r="G6782" s="508">
        <v>1.6E-2</v>
      </c>
      <c r="H6782" s="508">
        <v>1.2E-2</v>
      </c>
      <c r="I6782" s="508">
        <v>0.01</v>
      </c>
      <c r="J6782" s="508">
        <v>0.01</v>
      </c>
      <c r="K6782" s="508">
        <v>8.0000000000000002E-3</v>
      </c>
      <c r="L6782" s="508">
        <v>1.0999999999999999E-2</v>
      </c>
      <c r="M6782" s="508">
        <v>8.0000000000000002E-3</v>
      </c>
      <c r="N6782" s="508">
        <v>0.01</v>
      </c>
      <c r="O6782" s="508">
        <v>1.2E-2</v>
      </c>
      <c r="P6782" s="508">
        <v>1.4E-2</v>
      </c>
      <c r="Q6782" s="508">
        <v>1.4999999999999999E-2</v>
      </c>
      <c r="R6782" s="508">
        <v>1.2999999999999999E-2</v>
      </c>
      <c r="S6782" s="508">
        <v>0.01</v>
      </c>
      <c r="T6782" s="508">
        <v>1.2E-2</v>
      </c>
      <c r="U6782" s="508">
        <v>0.01</v>
      </c>
      <c r="V6782" s="508">
        <v>1.0999999999999999E-2</v>
      </c>
      <c r="W6782" s="508">
        <v>1.0999999999999999E-2</v>
      </c>
      <c r="X6782" s="508">
        <v>1.0999999999999999E-2</v>
      </c>
      <c r="Y6782" s="508">
        <v>1.2E-2</v>
      </c>
      <c r="Z6782" s="508">
        <v>1.2E-2</v>
      </c>
      <c r="AA6782" s="508">
        <v>1.2999999999999999E-2</v>
      </c>
      <c r="AB6782" s="508">
        <v>0.01</v>
      </c>
      <c r="AC6782" s="508">
        <v>1.2999999999999999E-2</v>
      </c>
      <c r="AD6782" s="508">
        <v>1.2E-2</v>
      </c>
      <c r="AE6782" s="508">
        <v>1.0999999999999999E-2</v>
      </c>
      <c r="AF6782" s="508">
        <v>1.0999999999999999E-2</v>
      </c>
      <c r="AG6782" s="508">
        <v>1.0999999999999999E-2</v>
      </c>
      <c r="AH6782" s="508">
        <v>1.0999999999999999E-2</v>
      </c>
      <c r="AI6782" s="492">
        <v>1.0999999999999999E-2</v>
      </c>
      <c r="AJ6782" s="485"/>
    </row>
    <row r="6783" spans="2:36">
      <c r="B6783" s="136" t="s">
        <v>464</v>
      </c>
      <c r="C6783" s="132" t="s">
        <v>1373</v>
      </c>
      <c r="D6783" s="132" t="s">
        <v>1380</v>
      </c>
      <c r="E6783" s="508">
        <v>1.4E-2</v>
      </c>
      <c r="F6783" s="508">
        <v>1.4E-2</v>
      </c>
      <c r="G6783" s="508">
        <v>1.4999999999999999E-2</v>
      </c>
      <c r="H6783" s="508">
        <v>1.0999999999999999E-2</v>
      </c>
      <c r="I6783" s="508">
        <v>0.01</v>
      </c>
      <c r="J6783" s="508">
        <v>0.01</v>
      </c>
      <c r="K6783" s="508">
        <v>8.0000000000000002E-3</v>
      </c>
      <c r="L6783" s="508">
        <v>1.0999999999999999E-2</v>
      </c>
      <c r="M6783" s="508">
        <v>8.0000000000000002E-3</v>
      </c>
      <c r="N6783" s="508">
        <v>0.01</v>
      </c>
      <c r="O6783" s="508">
        <v>1.2E-2</v>
      </c>
      <c r="P6783" s="508">
        <v>1.4E-2</v>
      </c>
      <c r="Q6783" s="508">
        <v>1.4E-2</v>
      </c>
      <c r="R6783" s="508">
        <v>1.2E-2</v>
      </c>
      <c r="S6783" s="508">
        <v>0.01</v>
      </c>
      <c r="T6783" s="508">
        <v>1.0999999999999999E-2</v>
      </c>
      <c r="U6783" s="508">
        <v>0.01</v>
      </c>
      <c r="V6783" s="508">
        <v>1.0999999999999999E-2</v>
      </c>
      <c r="W6783" s="508">
        <v>1.0999999999999999E-2</v>
      </c>
      <c r="X6783" s="508">
        <v>1.0999999999999999E-2</v>
      </c>
      <c r="Y6783" s="508">
        <v>1.2E-2</v>
      </c>
      <c r="Z6783" s="508">
        <v>1.0999999999999999E-2</v>
      </c>
      <c r="AA6783" s="508">
        <v>1.2E-2</v>
      </c>
      <c r="AB6783" s="508">
        <v>0.01</v>
      </c>
      <c r="AC6783" s="508">
        <v>1.2999999999999999E-2</v>
      </c>
      <c r="AD6783" s="508">
        <v>1.2E-2</v>
      </c>
      <c r="AE6783" s="508">
        <v>1.0999999999999999E-2</v>
      </c>
      <c r="AF6783" s="508">
        <v>1.0999999999999999E-2</v>
      </c>
      <c r="AG6783" s="508">
        <v>1.0999999999999999E-2</v>
      </c>
      <c r="AH6783" s="508">
        <v>1.0999999999999999E-2</v>
      </c>
      <c r="AI6783" s="492">
        <v>1.0999999999999999E-2</v>
      </c>
      <c r="AJ6783" s="485"/>
    </row>
    <row r="6784" spans="2:36">
      <c r="B6784" s="136" t="s">
        <v>465</v>
      </c>
      <c r="C6784" s="132" t="s">
        <v>1373</v>
      </c>
      <c r="D6784" s="132" t="s">
        <v>1380</v>
      </c>
      <c r="E6784" s="508">
        <v>1.4999999999999999E-2</v>
      </c>
      <c r="F6784" s="508">
        <v>1.4E-2</v>
      </c>
      <c r="G6784" s="508">
        <v>1.6E-2</v>
      </c>
      <c r="H6784" s="508">
        <v>1.2E-2</v>
      </c>
      <c r="I6784" s="508">
        <v>0.01</v>
      </c>
      <c r="J6784" s="508">
        <v>1.0999999999999999E-2</v>
      </c>
      <c r="K6784" s="508">
        <v>8.0000000000000002E-3</v>
      </c>
      <c r="L6784" s="508">
        <v>1.0999999999999999E-2</v>
      </c>
      <c r="M6784" s="508">
        <v>8.9999999999999993E-3</v>
      </c>
      <c r="N6784" s="508">
        <v>0.01</v>
      </c>
      <c r="O6784" s="508">
        <v>1.2999999999999999E-2</v>
      </c>
      <c r="P6784" s="508">
        <v>1.4999999999999999E-2</v>
      </c>
      <c r="Q6784" s="508">
        <v>1.4999999999999999E-2</v>
      </c>
      <c r="R6784" s="508">
        <v>1.2999999999999999E-2</v>
      </c>
      <c r="S6784" s="508">
        <v>0.01</v>
      </c>
      <c r="T6784" s="508">
        <v>1.2E-2</v>
      </c>
      <c r="U6784" s="508">
        <v>1.0999999999999999E-2</v>
      </c>
      <c r="V6784" s="508">
        <v>1.0999999999999999E-2</v>
      </c>
      <c r="W6784" s="508">
        <v>1.2E-2</v>
      </c>
      <c r="X6784" s="508">
        <v>1.0999999999999999E-2</v>
      </c>
      <c r="Y6784" s="508">
        <v>1.2E-2</v>
      </c>
      <c r="Z6784" s="508">
        <v>1.2E-2</v>
      </c>
      <c r="AA6784" s="508">
        <v>1.2999999999999999E-2</v>
      </c>
      <c r="AB6784" s="508">
        <v>0.01</v>
      </c>
      <c r="AC6784" s="508">
        <v>1.2999999999999999E-2</v>
      </c>
      <c r="AD6784" s="508">
        <v>1.2999999999999999E-2</v>
      </c>
      <c r="AE6784" s="508">
        <v>1.2E-2</v>
      </c>
      <c r="AF6784" s="508">
        <v>1.2E-2</v>
      </c>
      <c r="AG6784" s="508">
        <v>1.2E-2</v>
      </c>
      <c r="AH6784" s="508">
        <v>1.2E-2</v>
      </c>
      <c r="AI6784" s="492">
        <v>1.2E-2</v>
      </c>
      <c r="AJ6784" s="485"/>
    </row>
    <row r="6785" spans="2:36">
      <c r="B6785" s="136" t="s">
        <v>466</v>
      </c>
      <c r="C6785" s="132" t="s">
        <v>1373</v>
      </c>
      <c r="D6785" s="132" t="s">
        <v>1380</v>
      </c>
      <c r="E6785" s="508">
        <v>0.02</v>
      </c>
      <c r="F6785" s="508">
        <v>1.9E-2</v>
      </c>
      <c r="G6785" s="508">
        <v>2.1999999999999999E-2</v>
      </c>
      <c r="H6785" s="508">
        <v>1.6E-2</v>
      </c>
      <c r="I6785" s="508">
        <v>1.2999999999999999E-2</v>
      </c>
      <c r="J6785" s="508">
        <v>1.4E-2</v>
      </c>
      <c r="K6785" s="508">
        <v>0.01</v>
      </c>
      <c r="L6785" s="508">
        <v>1.4999999999999999E-2</v>
      </c>
      <c r="M6785" s="508">
        <v>1.0999999999999999E-2</v>
      </c>
      <c r="N6785" s="508">
        <v>1.2999999999999999E-2</v>
      </c>
      <c r="O6785" s="508">
        <v>1.7000000000000001E-2</v>
      </c>
      <c r="P6785" s="508">
        <v>1.9E-2</v>
      </c>
      <c r="Q6785" s="508">
        <v>0.02</v>
      </c>
      <c r="R6785" s="508">
        <v>1.7000000000000001E-2</v>
      </c>
      <c r="S6785" s="508">
        <v>1.2999999999999999E-2</v>
      </c>
      <c r="T6785" s="508">
        <v>1.6E-2</v>
      </c>
      <c r="U6785" s="508">
        <v>1.4E-2</v>
      </c>
      <c r="V6785" s="508">
        <v>1.4999999999999999E-2</v>
      </c>
      <c r="W6785" s="508">
        <v>1.4999999999999999E-2</v>
      </c>
      <c r="X6785" s="508">
        <v>1.4999999999999999E-2</v>
      </c>
      <c r="Y6785" s="508">
        <v>1.6E-2</v>
      </c>
      <c r="Z6785" s="508">
        <v>1.6E-2</v>
      </c>
      <c r="AA6785" s="508">
        <v>1.7000000000000001E-2</v>
      </c>
      <c r="AB6785" s="508">
        <v>1.2999999999999999E-2</v>
      </c>
      <c r="AC6785" s="508">
        <v>1.7999999999999999E-2</v>
      </c>
      <c r="AD6785" s="508">
        <v>1.7000000000000001E-2</v>
      </c>
      <c r="AE6785" s="508">
        <v>1.4999999999999999E-2</v>
      </c>
      <c r="AF6785" s="508">
        <v>1.4999999999999999E-2</v>
      </c>
      <c r="AG6785" s="508">
        <v>1.4999999999999999E-2</v>
      </c>
      <c r="AH6785" s="508">
        <v>1.4999999999999999E-2</v>
      </c>
      <c r="AI6785" s="492">
        <v>1.4999999999999999E-2</v>
      </c>
      <c r="AJ6785" s="485"/>
    </row>
    <row r="6786" spans="2:36">
      <c r="B6786" s="136" t="s">
        <v>467</v>
      </c>
      <c r="C6786" s="132" t="s">
        <v>1373</v>
      </c>
      <c r="D6786" s="132" t="s">
        <v>1380</v>
      </c>
      <c r="E6786" s="508">
        <v>1.7000000000000001E-2</v>
      </c>
      <c r="F6786" s="508">
        <v>1.6E-2</v>
      </c>
      <c r="G6786" s="508">
        <v>1.7999999999999999E-2</v>
      </c>
      <c r="H6786" s="508">
        <v>1.2999999999999999E-2</v>
      </c>
      <c r="I6786" s="508">
        <v>1.0999999999999999E-2</v>
      </c>
      <c r="J6786" s="508">
        <v>1.2E-2</v>
      </c>
      <c r="K6786" s="508">
        <v>8.9999999999999993E-3</v>
      </c>
      <c r="L6786" s="508">
        <v>1.2E-2</v>
      </c>
      <c r="M6786" s="508">
        <v>8.9999999999999993E-3</v>
      </c>
      <c r="N6786" s="508">
        <v>1.0999999999999999E-2</v>
      </c>
      <c r="O6786" s="508">
        <v>1.4E-2</v>
      </c>
      <c r="P6786" s="508">
        <v>1.6E-2</v>
      </c>
      <c r="Q6786" s="508">
        <v>1.7000000000000001E-2</v>
      </c>
      <c r="R6786" s="508">
        <v>1.4E-2</v>
      </c>
      <c r="S6786" s="508">
        <v>1.0999999999999999E-2</v>
      </c>
      <c r="T6786" s="508">
        <v>1.2999999999999999E-2</v>
      </c>
      <c r="U6786" s="508">
        <v>1.2E-2</v>
      </c>
      <c r="V6786" s="508">
        <v>1.2E-2</v>
      </c>
      <c r="W6786" s="508">
        <v>1.2999999999999999E-2</v>
      </c>
      <c r="X6786" s="508">
        <v>1.2999999999999999E-2</v>
      </c>
      <c r="Y6786" s="508">
        <v>1.2999999999999999E-2</v>
      </c>
      <c r="Z6786" s="508">
        <v>1.2999999999999999E-2</v>
      </c>
      <c r="AA6786" s="508">
        <v>1.4E-2</v>
      </c>
      <c r="AB6786" s="508">
        <v>1.0999999999999999E-2</v>
      </c>
      <c r="AC6786" s="508">
        <v>1.4999999999999999E-2</v>
      </c>
      <c r="AD6786" s="508">
        <v>1.4E-2</v>
      </c>
      <c r="AE6786" s="508">
        <v>1.2999999999999999E-2</v>
      </c>
      <c r="AF6786" s="508">
        <v>1.2999999999999999E-2</v>
      </c>
      <c r="AG6786" s="508">
        <v>1.2999999999999999E-2</v>
      </c>
      <c r="AH6786" s="508">
        <v>1.2999999999999999E-2</v>
      </c>
      <c r="AI6786" s="492">
        <v>1.2999999999999999E-2</v>
      </c>
      <c r="AJ6786" s="485"/>
    </row>
    <row r="6787" spans="2:36">
      <c r="B6787" s="136" t="s">
        <v>468</v>
      </c>
      <c r="C6787" s="132" t="s">
        <v>1373</v>
      </c>
      <c r="D6787" s="132" t="s">
        <v>1380</v>
      </c>
      <c r="E6787" s="508">
        <v>1.4E-2</v>
      </c>
      <c r="F6787" s="508">
        <v>1.2999999999999999E-2</v>
      </c>
      <c r="G6787" s="508">
        <v>1.4999999999999999E-2</v>
      </c>
      <c r="H6787" s="508">
        <v>1.0999999999999999E-2</v>
      </c>
      <c r="I6787" s="508">
        <v>8.9999999999999993E-3</v>
      </c>
      <c r="J6787" s="508">
        <v>0.01</v>
      </c>
      <c r="K6787" s="508">
        <v>7.0000000000000001E-3</v>
      </c>
      <c r="L6787" s="508">
        <v>0.01</v>
      </c>
      <c r="M6787" s="508">
        <v>8.0000000000000002E-3</v>
      </c>
      <c r="N6787" s="508">
        <v>8.9999999999999993E-3</v>
      </c>
      <c r="O6787" s="508">
        <v>1.2E-2</v>
      </c>
      <c r="P6787" s="508">
        <v>1.2999999999999999E-2</v>
      </c>
      <c r="Q6787" s="508">
        <v>1.4E-2</v>
      </c>
      <c r="R6787" s="508">
        <v>1.2E-2</v>
      </c>
      <c r="S6787" s="508">
        <v>8.9999999999999993E-3</v>
      </c>
      <c r="T6787" s="508">
        <v>1.0999999999999999E-2</v>
      </c>
      <c r="U6787" s="508">
        <v>0.01</v>
      </c>
      <c r="V6787" s="508">
        <v>0.01</v>
      </c>
      <c r="W6787" s="508">
        <v>1.0999999999999999E-2</v>
      </c>
      <c r="X6787" s="508">
        <v>0.01</v>
      </c>
      <c r="Y6787" s="508">
        <v>1.0999999999999999E-2</v>
      </c>
      <c r="Z6787" s="508">
        <v>1.0999999999999999E-2</v>
      </c>
      <c r="AA6787" s="508">
        <v>1.2E-2</v>
      </c>
      <c r="AB6787" s="508">
        <v>8.9999999999999993E-3</v>
      </c>
      <c r="AC6787" s="508">
        <v>1.2E-2</v>
      </c>
      <c r="AD6787" s="508">
        <v>1.2E-2</v>
      </c>
      <c r="AE6787" s="508">
        <v>1.0999999999999999E-2</v>
      </c>
      <c r="AF6787" s="508">
        <v>1.0999999999999999E-2</v>
      </c>
      <c r="AG6787" s="508">
        <v>1.0999999999999999E-2</v>
      </c>
      <c r="AH6787" s="508">
        <v>1.0999999999999999E-2</v>
      </c>
      <c r="AI6787" s="492">
        <v>1.0999999999999999E-2</v>
      </c>
      <c r="AJ6787" s="485"/>
    </row>
    <row r="6788" spans="2:36">
      <c r="B6788" s="136" t="s">
        <v>469</v>
      </c>
      <c r="C6788" s="132" t="s">
        <v>1373</v>
      </c>
      <c r="D6788" s="132" t="s">
        <v>1380</v>
      </c>
      <c r="E6788" s="508">
        <v>1.6E-2</v>
      </c>
      <c r="F6788" s="508">
        <v>1.4999999999999999E-2</v>
      </c>
      <c r="G6788" s="508">
        <v>1.7000000000000001E-2</v>
      </c>
      <c r="H6788" s="508">
        <v>1.2E-2</v>
      </c>
      <c r="I6788" s="508">
        <v>0.01</v>
      </c>
      <c r="J6788" s="508">
        <v>1.0999999999999999E-2</v>
      </c>
      <c r="K6788" s="508">
        <v>8.0000000000000002E-3</v>
      </c>
      <c r="L6788" s="508">
        <v>1.2E-2</v>
      </c>
      <c r="M6788" s="508">
        <v>8.9999999999999993E-3</v>
      </c>
      <c r="N6788" s="508">
        <v>1.0999999999999999E-2</v>
      </c>
      <c r="O6788" s="508">
        <v>1.2999999999999999E-2</v>
      </c>
      <c r="P6788" s="508">
        <v>1.4999999999999999E-2</v>
      </c>
      <c r="Q6788" s="508">
        <v>1.6E-2</v>
      </c>
      <c r="R6788" s="508">
        <v>1.2999999999999999E-2</v>
      </c>
      <c r="S6788" s="508">
        <v>1.0999999999999999E-2</v>
      </c>
      <c r="T6788" s="508">
        <v>1.2999999999999999E-2</v>
      </c>
      <c r="U6788" s="508">
        <v>1.0999999999999999E-2</v>
      </c>
      <c r="V6788" s="508">
        <v>1.2E-2</v>
      </c>
      <c r="W6788" s="508">
        <v>1.2E-2</v>
      </c>
      <c r="X6788" s="508">
        <v>1.2E-2</v>
      </c>
      <c r="Y6788" s="508">
        <v>1.2999999999999999E-2</v>
      </c>
      <c r="Z6788" s="508">
        <v>1.2E-2</v>
      </c>
      <c r="AA6788" s="508">
        <v>1.4E-2</v>
      </c>
      <c r="AB6788" s="508">
        <v>1.0999999999999999E-2</v>
      </c>
      <c r="AC6788" s="508">
        <v>1.4E-2</v>
      </c>
      <c r="AD6788" s="508">
        <v>1.2999999999999999E-2</v>
      </c>
      <c r="AE6788" s="508">
        <v>1.2E-2</v>
      </c>
      <c r="AF6788" s="508">
        <v>1.2E-2</v>
      </c>
      <c r="AG6788" s="508">
        <v>1.2E-2</v>
      </c>
      <c r="AH6788" s="508">
        <v>1.2E-2</v>
      </c>
      <c r="AI6788" s="492">
        <v>1.2E-2</v>
      </c>
      <c r="AJ6788" s="485"/>
    </row>
    <row r="6789" spans="2:36">
      <c r="B6789" s="136" t="s">
        <v>470</v>
      </c>
      <c r="C6789" s="132" t="s">
        <v>1373</v>
      </c>
      <c r="D6789" s="132" t="s">
        <v>1380</v>
      </c>
      <c r="E6789" s="508">
        <v>1.9E-2</v>
      </c>
      <c r="F6789" s="508">
        <v>1.7999999999999999E-2</v>
      </c>
      <c r="G6789" s="508">
        <v>0.02</v>
      </c>
      <c r="H6789" s="508">
        <v>1.4999999999999999E-2</v>
      </c>
      <c r="I6789" s="508">
        <v>1.2E-2</v>
      </c>
      <c r="J6789" s="508">
        <v>1.2999999999999999E-2</v>
      </c>
      <c r="K6789" s="508">
        <v>0.01</v>
      </c>
      <c r="L6789" s="508">
        <v>1.4E-2</v>
      </c>
      <c r="M6789" s="508">
        <v>1.0999999999999999E-2</v>
      </c>
      <c r="N6789" s="508">
        <v>1.2999999999999999E-2</v>
      </c>
      <c r="O6789" s="508">
        <v>1.6E-2</v>
      </c>
      <c r="P6789" s="508">
        <v>1.7999999999999999E-2</v>
      </c>
      <c r="Q6789" s="508">
        <v>1.9E-2</v>
      </c>
      <c r="R6789" s="508">
        <v>1.6E-2</v>
      </c>
      <c r="S6789" s="508">
        <v>1.2E-2</v>
      </c>
      <c r="T6789" s="508">
        <v>1.4999999999999999E-2</v>
      </c>
      <c r="U6789" s="508">
        <v>1.2999999999999999E-2</v>
      </c>
      <c r="V6789" s="508">
        <v>1.4E-2</v>
      </c>
      <c r="W6789" s="508">
        <v>1.4E-2</v>
      </c>
      <c r="X6789" s="508">
        <v>1.4E-2</v>
      </c>
      <c r="Y6789" s="508">
        <v>1.4999999999999999E-2</v>
      </c>
      <c r="Z6789" s="508">
        <v>1.4999999999999999E-2</v>
      </c>
      <c r="AA6789" s="508">
        <v>1.6E-2</v>
      </c>
      <c r="AB6789" s="508">
        <v>1.2E-2</v>
      </c>
      <c r="AC6789" s="508">
        <v>1.6E-2</v>
      </c>
      <c r="AD6789" s="508">
        <v>1.6E-2</v>
      </c>
      <c r="AE6789" s="508">
        <v>1.4E-2</v>
      </c>
      <c r="AF6789" s="508">
        <v>1.4E-2</v>
      </c>
      <c r="AG6789" s="508">
        <v>1.4E-2</v>
      </c>
      <c r="AH6789" s="508">
        <v>1.4E-2</v>
      </c>
      <c r="AI6789" s="492">
        <v>1.4E-2</v>
      </c>
      <c r="AJ6789" s="485"/>
    </row>
    <row r="6790" spans="2:36">
      <c r="B6790" s="136" t="s">
        <v>471</v>
      </c>
      <c r="C6790" s="132" t="s">
        <v>1373</v>
      </c>
      <c r="D6790" s="132" t="s">
        <v>1380</v>
      </c>
      <c r="E6790" s="508">
        <v>1.7999999999999999E-2</v>
      </c>
      <c r="F6790" s="508">
        <v>1.7000000000000001E-2</v>
      </c>
      <c r="G6790" s="508">
        <v>1.9E-2</v>
      </c>
      <c r="H6790" s="508">
        <v>1.4E-2</v>
      </c>
      <c r="I6790" s="508">
        <v>1.2E-2</v>
      </c>
      <c r="J6790" s="508">
        <v>1.2999999999999999E-2</v>
      </c>
      <c r="K6790" s="508">
        <v>8.9999999999999993E-3</v>
      </c>
      <c r="L6790" s="508">
        <v>1.2999999999999999E-2</v>
      </c>
      <c r="M6790" s="508">
        <v>0.01</v>
      </c>
      <c r="N6790" s="508">
        <v>1.2E-2</v>
      </c>
      <c r="O6790" s="508">
        <v>1.4999999999999999E-2</v>
      </c>
      <c r="P6790" s="508">
        <v>1.7000000000000001E-2</v>
      </c>
      <c r="Q6790" s="508">
        <v>1.7999999999999999E-2</v>
      </c>
      <c r="R6790" s="508">
        <v>1.4999999999999999E-2</v>
      </c>
      <c r="S6790" s="508">
        <v>1.2E-2</v>
      </c>
      <c r="T6790" s="508">
        <v>1.4E-2</v>
      </c>
      <c r="U6790" s="508">
        <v>1.2E-2</v>
      </c>
      <c r="V6790" s="508">
        <v>1.2999999999999999E-2</v>
      </c>
      <c r="W6790" s="508">
        <v>1.4E-2</v>
      </c>
      <c r="X6790" s="508">
        <v>1.2999999999999999E-2</v>
      </c>
      <c r="Y6790" s="508">
        <v>1.4E-2</v>
      </c>
      <c r="Z6790" s="508">
        <v>1.4E-2</v>
      </c>
      <c r="AA6790" s="508">
        <v>1.4999999999999999E-2</v>
      </c>
      <c r="AB6790" s="508">
        <v>1.2E-2</v>
      </c>
      <c r="AC6790" s="508">
        <v>1.6E-2</v>
      </c>
      <c r="AD6790" s="508">
        <v>1.4999999999999999E-2</v>
      </c>
      <c r="AE6790" s="508">
        <v>1.4E-2</v>
      </c>
      <c r="AF6790" s="508">
        <v>1.4E-2</v>
      </c>
      <c r="AG6790" s="508">
        <v>1.4E-2</v>
      </c>
      <c r="AH6790" s="508">
        <v>1.4E-2</v>
      </c>
      <c r="AI6790" s="492">
        <v>1.4E-2</v>
      </c>
      <c r="AJ6790" s="485"/>
    </row>
    <row r="6791" spans="2:36">
      <c r="B6791" s="136" t="s">
        <v>472</v>
      </c>
      <c r="C6791" s="132" t="s">
        <v>1373</v>
      </c>
      <c r="D6791" s="132" t="s">
        <v>1380</v>
      </c>
      <c r="E6791" s="508">
        <v>1.4E-2</v>
      </c>
      <c r="F6791" s="508">
        <v>1.4E-2</v>
      </c>
      <c r="G6791" s="508">
        <v>1.4999999999999999E-2</v>
      </c>
      <c r="H6791" s="508">
        <v>1.2E-2</v>
      </c>
      <c r="I6791" s="508">
        <v>0.01</v>
      </c>
      <c r="J6791" s="508">
        <v>0.01</v>
      </c>
      <c r="K6791" s="508">
        <v>8.0000000000000002E-3</v>
      </c>
      <c r="L6791" s="508">
        <v>1.0999999999999999E-2</v>
      </c>
      <c r="M6791" s="508">
        <v>8.0000000000000002E-3</v>
      </c>
      <c r="N6791" s="508">
        <v>0.01</v>
      </c>
      <c r="O6791" s="508">
        <v>1.2E-2</v>
      </c>
      <c r="P6791" s="508">
        <v>1.4E-2</v>
      </c>
      <c r="Q6791" s="508">
        <v>1.4E-2</v>
      </c>
      <c r="R6791" s="508">
        <v>1.2E-2</v>
      </c>
      <c r="S6791" s="508">
        <v>0.01</v>
      </c>
      <c r="T6791" s="508">
        <v>1.2E-2</v>
      </c>
      <c r="U6791" s="508">
        <v>0.01</v>
      </c>
      <c r="V6791" s="508">
        <v>1.0999999999999999E-2</v>
      </c>
      <c r="W6791" s="508">
        <v>1.0999999999999999E-2</v>
      </c>
      <c r="X6791" s="508">
        <v>1.0999999999999999E-2</v>
      </c>
      <c r="Y6791" s="508">
        <v>1.2E-2</v>
      </c>
      <c r="Z6791" s="508">
        <v>1.0999999999999999E-2</v>
      </c>
      <c r="AA6791" s="508">
        <v>1.2999999999999999E-2</v>
      </c>
      <c r="AB6791" s="508">
        <v>0.01</v>
      </c>
      <c r="AC6791" s="508">
        <v>1.2999999999999999E-2</v>
      </c>
      <c r="AD6791" s="508">
        <v>1.2E-2</v>
      </c>
      <c r="AE6791" s="508">
        <v>1.0999999999999999E-2</v>
      </c>
      <c r="AF6791" s="508">
        <v>1.0999999999999999E-2</v>
      </c>
      <c r="AG6791" s="508">
        <v>1.0999999999999999E-2</v>
      </c>
      <c r="AH6791" s="508">
        <v>1.0999999999999999E-2</v>
      </c>
      <c r="AI6791" s="492">
        <v>1.0999999999999999E-2</v>
      </c>
      <c r="AJ6791" s="485"/>
    </row>
    <row r="6792" spans="2:36">
      <c r="B6792" s="136" t="s">
        <v>473</v>
      </c>
      <c r="C6792" s="132" t="s">
        <v>1373</v>
      </c>
      <c r="D6792" s="132" t="s">
        <v>1380</v>
      </c>
      <c r="E6792" s="508">
        <v>1.9E-2</v>
      </c>
      <c r="F6792" s="508">
        <v>1.7999999999999999E-2</v>
      </c>
      <c r="G6792" s="508">
        <v>0.02</v>
      </c>
      <c r="H6792" s="508">
        <v>1.4999999999999999E-2</v>
      </c>
      <c r="I6792" s="508">
        <v>1.2E-2</v>
      </c>
      <c r="J6792" s="508">
        <v>1.2999999999999999E-2</v>
      </c>
      <c r="K6792" s="508">
        <v>0.01</v>
      </c>
      <c r="L6792" s="508">
        <v>1.4E-2</v>
      </c>
      <c r="M6792" s="508">
        <v>1.0999999999999999E-2</v>
      </c>
      <c r="N6792" s="508">
        <v>1.2999999999999999E-2</v>
      </c>
      <c r="O6792" s="508">
        <v>1.6E-2</v>
      </c>
      <c r="P6792" s="508">
        <v>1.7999999999999999E-2</v>
      </c>
      <c r="Q6792" s="508">
        <v>1.9E-2</v>
      </c>
      <c r="R6792" s="508">
        <v>1.6E-2</v>
      </c>
      <c r="S6792" s="508">
        <v>1.2999999999999999E-2</v>
      </c>
      <c r="T6792" s="508">
        <v>1.4999999999999999E-2</v>
      </c>
      <c r="U6792" s="508">
        <v>1.2999999999999999E-2</v>
      </c>
      <c r="V6792" s="508">
        <v>1.4E-2</v>
      </c>
      <c r="W6792" s="508">
        <v>1.4999999999999999E-2</v>
      </c>
      <c r="X6792" s="508">
        <v>1.4E-2</v>
      </c>
      <c r="Y6792" s="508">
        <v>1.4999999999999999E-2</v>
      </c>
      <c r="Z6792" s="508">
        <v>1.4999999999999999E-2</v>
      </c>
      <c r="AA6792" s="508">
        <v>1.6E-2</v>
      </c>
      <c r="AB6792" s="508">
        <v>1.2999999999999999E-2</v>
      </c>
      <c r="AC6792" s="508">
        <v>1.7000000000000001E-2</v>
      </c>
      <c r="AD6792" s="508">
        <v>1.6E-2</v>
      </c>
      <c r="AE6792" s="508">
        <v>1.4999999999999999E-2</v>
      </c>
      <c r="AF6792" s="508">
        <v>1.4999999999999999E-2</v>
      </c>
      <c r="AG6792" s="508">
        <v>1.4999999999999999E-2</v>
      </c>
      <c r="AH6792" s="508">
        <v>1.4999999999999999E-2</v>
      </c>
      <c r="AI6792" s="492">
        <v>1.4999999999999999E-2</v>
      </c>
      <c r="AJ6792" s="485"/>
    </row>
    <row r="6793" spans="2:36">
      <c r="B6793" s="136" t="s">
        <v>474</v>
      </c>
      <c r="C6793" s="132" t="s">
        <v>1373</v>
      </c>
      <c r="D6793" s="132" t="s">
        <v>1380</v>
      </c>
      <c r="E6793" s="508">
        <v>1.7000000000000001E-2</v>
      </c>
      <c r="F6793" s="508">
        <v>1.6E-2</v>
      </c>
      <c r="G6793" s="508">
        <v>1.7999999999999999E-2</v>
      </c>
      <c r="H6793" s="508">
        <v>1.4E-2</v>
      </c>
      <c r="I6793" s="508">
        <v>1.0999999999999999E-2</v>
      </c>
      <c r="J6793" s="508">
        <v>1.2E-2</v>
      </c>
      <c r="K6793" s="508">
        <v>8.9999999999999993E-3</v>
      </c>
      <c r="L6793" s="508">
        <v>1.2999999999999999E-2</v>
      </c>
      <c r="M6793" s="508">
        <v>0.01</v>
      </c>
      <c r="N6793" s="508">
        <v>1.2E-2</v>
      </c>
      <c r="O6793" s="508">
        <v>1.4999999999999999E-2</v>
      </c>
      <c r="P6793" s="508">
        <v>1.7000000000000001E-2</v>
      </c>
      <c r="Q6793" s="508">
        <v>1.7000000000000001E-2</v>
      </c>
      <c r="R6793" s="508">
        <v>1.4999999999999999E-2</v>
      </c>
      <c r="S6793" s="508">
        <v>1.2E-2</v>
      </c>
      <c r="T6793" s="508">
        <v>1.4E-2</v>
      </c>
      <c r="U6793" s="508">
        <v>1.2E-2</v>
      </c>
      <c r="V6793" s="508">
        <v>1.2999999999999999E-2</v>
      </c>
      <c r="W6793" s="508">
        <v>1.2999999999999999E-2</v>
      </c>
      <c r="X6793" s="508">
        <v>1.2999999999999999E-2</v>
      </c>
      <c r="Y6793" s="508">
        <v>1.4E-2</v>
      </c>
      <c r="Z6793" s="508">
        <v>1.4E-2</v>
      </c>
      <c r="AA6793" s="508">
        <v>1.4999999999999999E-2</v>
      </c>
      <c r="AB6793" s="508">
        <v>1.2E-2</v>
      </c>
      <c r="AC6793" s="508">
        <v>1.4999999999999999E-2</v>
      </c>
      <c r="AD6793" s="508">
        <v>1.4E-2</v>
      </c>
      <c r="AE6793" s="508">
        <v>1.2999999999999999E-2</v>
      </c>
      <c r="AF6793" s="508">
        <v>1.2999999999999999E-2</v>
      </c>
      <c r="AG6793" s="508">
        <v>1.2999999999999999E-2</v>
      </c>
      <c r="AH6793" s="508">
        <v>1.2999999999999999E-2</v>
      </c>
      <c r="AI6793" s="492">
        <v>1.2999999999999999E-2</v>
      </c>
      <c r="AJ6793" s="485"/>
    </row>
    <row r="6794" spans="2:36">
      <c r="B6794" s="136" t="s">
        <v>475</v>
      </c>
      <c r="C6794" s="132" t="s">
        <v>1373</v>
      </c>
      <c r="D6794" s="132" t="s">
        <v>1380</v>
      </c>
      <c r="E6794" s="508">
        <v>1.6E-2</v>
      </c>
      <c r="F6794" s="508">
        <v>1.6E-2</v>
      </c>
      <c r="G6794" s="508">
        <v>1.7999999999999999E-2</v>
      </c>
      <c r="H6794" s="508">
        <v>1.2999999999999999E-2</v>
      </c>
      <c r="I6794" s="508">
        <v>1.0999999999999999E-2</v>
      </c>
      <c r="J6794" s="508">
        <v>1.2E-2</v>
      </c>
      <c r="K6794" s="508">
        <v>8.9999999999999993E-3</v>
      </c>
      <c r="L6794" s="508">
        <v>1.2E-2</v>
      </c>
      <c r="M6794" s="508">
        <v>8.9999999999999993E-3</v>
      </c>
      <c r="N6794" s="508">
        <v>1.0999999999999999E-2</v>
      </c>
      <c r="O6794" s="508">
        <v>1.4E-2</v>
      </c>
      <c r="P6794" s="508">
        <v>1.6E-2</v>
      </c>
      <c r="Q6794" s="508">
        <v>1.6E-2</v>
      </c>
      <c r="R6794" s="508">
        <v>1.4E-2</v>
      </c>
      <c r="S6794" s="508">
        <v>1.0999999999999999E-2</v>
      </c>
      <c r="T6794" s="508">
        <v>1.2999999999999999E-2</v>
      </c>
      <c r="U6794" s="508">
        <v>1.0999999999999999E-2</v>
      </c>
      <c r="V6794" s="508">
        <v>1.2E-2</v>
      </c>
      <c r="W6794" s="508">
        <v>1.2999999999999999E-2</v>
      </c>
      <c r="X6794" s="508">
        <v>1.2E-2</v>
      </c>
      <c r="Y6794" s="508">
        <v>1.2999999999999999E-2</v>
      </c>
      <c r="Z6794" s="508">
        <v>1.2999999999999999E-2</v>
      </c>
      <c r="AA6794" s="508">
        <v>1.4E-2</v>
      </c>
      <c r="AB6794" s="508">
        <v>1.0999999999999999E-2</v>
      </c>
      <c r="AC6794" s="508">
        <v>1.4E-2</v>
      </c>
      <c r="AD6794" s="508">
        <v>1.4E-2</v>
      </c>
      <c r="AE6794" s="508">
        <v>1.2999999999999999E-2</v>
      </c>
      <c r="AF6794" s="508">
        <v>1.2999999999999999E-2</v>
      </c>
      <c r="AG6794" s="508">
        <v>1.2999999999999999E-2</v>
      </c>
      <c r="AH6794" s="508">
        <v>1.2999999999999999E-2</v>
      </c>
      <c r="AI6794" s="492">
        <v>1.2999999999999999E-2</v>
      </c>
      <c r="AJ6794" s="485"/>
    </row>
    <row r="6795" spans="2:36">
      <c r="B6795" s="136" t="s">
        <v>476</v>
      </c>
      <c r="C6795" s="132" t="s">
        <v>1373</v>
      </c>
      <c r="D6795" s="132" t="s">
        <v>1380</v>
      </c>
      <c r="E6795" s="508">
        <v>1.7999999999999999E-2</v>
      </c>
      <c r="F6795" s="508">
        <v>1.7000000000000001E-2</v>
      </c>
      <c r="G6795" s="508">
        <v>1.9E-2</v>
      </c>
      <c r="H6795" s="508">
        <v>1.4E-2</v>
      </c>
      <c r="I6795" s="508">
        <v>1.2E-2</v>
      </c>
      <c r="J6795" s="508">
        <v>1.2999999999999999E-2</v>
      </c>
      <c r="K6795" s="508">
        <v>8.9999999999999993E-3</v>
      </c>
      <c r="L6795" s="508">
        <v>1.2999999999999999E-2</v>
      </c>
      <c r="M6795" s="508">
        <v>0.01</v>
      </c>
      <c r="N6795" s="508">
        <v>1.2E-2</v>
      </c>
      <c r="O6795" s="508">
        <v>1.4999999999999999E-2</v>
      </c>
      <c r="P6795" s="508">
        <v>1.7000000000000001E-2</v>
      </c>
      <c r="Q6795" s="508">
        <v>1.7999999999999999E-2</v>
      </c>
      <c r="R6795" s="508">
        <v>1.4999999999999999E-2</v>
      </c>
      <c r="S6795" s="508">
        <v>1.2E-2</v>
      </c>
      <c r="T6795" s="508">
        <v>1.4E-2</v>
      </c>
      <c r="U6795" s="508">
        <v>1.2E-2</v>
      </c>
      <c r="V6795" s="508">
        <v>1.2999999999999999E-2</v>
      </c>
      <c r="W6795" s="508">
        <v>1.4E-2</v>
      </c>
      <c r="X6795" s="508">
        <v>1.2999999999999999E-2</v>
      </c>
      <c r="Y6795" s="508">
        <v>1.4E-2</v>
      </c>
      <c r="Z6795" s="508">
        <v>1.4E-2</v>
      </c>
      <c r="AA6795" s="508">
        <v>1.4999999999999999E-2</v>
      </c>
      <c r="AB6795" s="508">
        <v>1.2E-2</v>
      </c>
      <c r="AC6795" s="508">
        <v>1.6E-2</v>
      </c>
      <c r="AD6795" s="508">
        <v>1.4999999999999999E-2</v>
      </c>
      <c r="AE6795" s="508">
        <v>1.4E-2</v>
      </c>
      <c r="AF6795" s="508">
        <v>1.4E-2</v>
      </c>
      <c r="AG6795" s="508">
        <v>1.4E-2</v>
      </c>
      <c r="AH6795" s="508">
        <v>1.4E-2</v>
      </c>
      <c r="AI6795" s="492">
        <v>1.4E-2</v>
      </c>
      <c r="AJ6795" s="485"/>
    </row>
    <row r="6796" spans="2:36">
      <c r="B6796" s="136" t="s">
        <v>478</v>
      </c>
      <c r="C6796" s="132" t="s">
        <v>1373</v>
      </c>
      <c r="D6796" s="132" t="s">
        <v>1380</v>
      </c>
      <c r="E6796" s="508">
        <v>1.9E-2</v>
      </c>
      <c r="F6796" s="508">
        <v>1.7999999999999999E-2</v>
      </c>
      <c r="G6796" s="508">
        <v>2.1000000000000001E-2</v>
      </c>
      <c r="H6796" s="508">
        <v>1.4999999999999999E-2</v>
      </c>
      <c r="I6796" s="508">
        <v>1.2E-2</v>
      </c>
      <c r="J6796" s="508">
        <v>1.4E-2</v>
      </c>
      <c r="K6796" s="508">
        <v>0.01</v>
      </c>
      <c r="L6796" s="508">
        <v>1.4E-2</v>
      </c>
      <c r="M6796" s="508">
        <v>1.0999999999999999E-2</v>
      </c>
      <c r="N6796" s="508">
        <v>1.2999999999999999E-2</v>
      </c>
      <c r="O6796" s="508">
        <v>1.6E-2</v>
      </c>
      <c r="P6796" s="508">
        <v>1.7999999999999999E-2</v>
      </c>
      <c r="Q6796" s="508">
        <v>1.9E-2</v>
      </c>
      <c r="R6796" s="508">
        <v>1.6E-2</v>
      </c>
      <c r="S6796" s="508">
        <v>1.2999999999999999E-2</v>
      </c>
      <c r="T6796" s="508">
        <v>1.4999999999999999E-2</v>
      </c>
      <c r="U6796" s="508">
        <v>1.2999999999999999E-2</v>
      </c>
      <c r="V6796" s="508">
        <v>1.4E-2</v>
      </c>
      <c r="W6796" s="508">
        <v>1.4999999999999999E-2</v>
      </c>
      <c r="X6796" s="508">
        <v>1.4E-2</v>
      </c>
      <c r="Y6796" s="508">
        <v>1.4999999999999999E-2</v>
      </c>
      <c r="Z6796" s="508">
        <v>1.4999999999999999E-2</v>
      </c>
      <c r="AA6796" s="508">
        <v>1.6E-2</v>
      </c>
      <c r="AB6796" s="508">
        <v>1.2999999999999999E-2</v>
      </c>
      <c r="AC6796" s="508">
        <v>1.7000000000000001E-2</v>
      </c>
      <c r="AD6796" s="508">
        <v>1.6E-2</v>
      </c>
      <c r="AE6796" s="508">
        <v>1.4999999999999999E-2</v>
      </c>
      <c r="AF6796" s="508">
        <v>1.4999999999999999E-2</v>
      </c>
      <c r="AG6796" s="508">
        <v>1.4999999999999999E-2</v>
      </c>
      <c r="AH6796" s="508">
        <v>1.4999999999999999E-2</v>
      </c>
      <c r="AI6796" s="492">
        <v>1.4999999999999999E-2</v>
      </c>
      <c r="AJ6796" s="485"/>
    </row>
    <row r="6797" spans="2:36">
      <c r="B6797" s="136" t="s">
        <v>479</v>
      </c>
      <c r="C6797" s="132" t="s">
        <v>1373</v>
      </c>
      <c r="D6797" s="132" t="s">
        <v>1380</v>
      </c>
      <c r="E6797" s="508">
        <v>1.7000000000000001E-2</v>
      </c>
      <c r="F6797" s="508">
        <v>1.6E-2</v>
      </c>
      <c r="G6797" s="508">
        <v>1.7999999999999999E-2</v>
      </c>
      <c r="H6797" s="508">
        <v>1.2999999999999999E-2</v>
      </c>
      <c r="I6797" s="508">
        <v>1.0999999999999999E-2</v>
      </c>
      <c r="J6797" s="508">
        <v>1.2E-2</v>
      </c>
      <c r="K6797" s="508">
        <v>8.9999999999999993E-3</v>
      </c>
      <c r="L6797" s="508">
        <v>1.2E-2</v>
      </c>
      <c r="M6797" s="508">
        <v>8.9999999999999993E-3</v>
      </c>
      <c r="N6797" s="508">
        <v>1.0999999999999999E-2</v>
      </c>
      <c r="O6797" s="508">
        <v>1.4E-2</v>
      </c>
      <c r="P6797" s="508">
        <v>1.6E-2</v>
      </c>
      <c r="Q6797" s="508">
        <v>1.7000000000000001E-2</v>
      </c>
      <c r="R6797" s="508">
        <v>1.4E-2</v>
      </c>
      <c r="S6797" s="508">
        <v>1.0999999999999999E-2</v>
      </c>
      <c r="T6797" s="508">
        <v>1.2999999999999999E-2</v>
      </c>
      <c r="U6797" s="508">
        <v>1.2E-2</v>
      </c>
      <c r="V6797" s="508">
        <v>1.2E-2</v>
      </c>
      <c r="W6797" s="508">
        <v>1.2999999999999999E-2</v>
      </c>
      <c r="X6797" s="508">
        <v>1.2999999999999999E-2</v>
      </c>
      <c r="Y6797" s="508">
        <v>1.2999999999999999E-2</v>
      </c>
      <c r="Z6797" s="508">
        <v>1.2999999999999999E-2</v>
      </c>
      <c r="AA6797" s="508">
        <v>1.4E-2</v>
      </c>
      <c r="AB6797" s="508">
        <v>1.0999999999999999E-2</v>
      </c>
      <c r="AC6797" s="508">
        <v>1.4999999999999999E-2</v>
      </c>
      <c r="AD6797" s="508">
        <v>1.4E-2</v>
      </c>
      <c r="AE6797" s="508">
        <v>1.2999999999999999E-2</v>
      </c>
      <c r="AF6797" s="508">
        <v>1.2999999999999999E-2</v>
      </c>
      <c r="AG6797" s="508">
        <v>1.2999999999999999E-2</v>
      </c>
      <c r="AH6797" s="508">
        <v>1.2999999999999999E-2</v>
      </c>
      <c r="AI6797" s="492">
        <v>1.2999999999999999E-2</v>
      </c>
      <c r="AJ6797" s="485"/>
    </row>
    <row r="6798" spans="2:36">
      <c r="B6798" s="136" t="s">
        <v>480</v>
      </c>
      <c r="C6798" s="132" t="s">
        <v>1373</v>
      </c>
      <c r="D6798" s="132" t="s">
        <v>1380</v>
      </c>
      <c r="E6798" s="508">
        <v>1.4E-2</v>
      </c>
      <c r="F6798" s="508">
        <v>1.2999999999999999E-2</v>
      </c>
      <c r="G6798" s="508">
        <v>1.4999999999999999E-2</v>
      </c>
      <c r="H6798" s="508">
        <v>1.0999999999999999E-2</v>
      </c>
      <c r="I6798" s="508">
        <v>8.9999999999999993E-3</v>
      </c>
      <c r="J6798" s="508">
        <v>0.01</v>
      </c>
      <c r="K6798" s="508">
        <v>7.0000000000000001E-3</v>
      </c>
      <c r="L6798" s="508">
        <v>0.01</v>
      </c>
      <c r="M6798" s="508">
        <v>8.0000000000000002E-3</v>
      </c>
      <c r="N6798" s="508">
        <v>8.9999999999999993E-3</v>
      </c>
      <c r="O6798" s="508">
        <v>1.2E-2</v>
      </c>
      <c r="P6798" s="508">
        <v>1.2999999999999999E-2</v>
      </c>
      <c r="Q6798" s="508">
        <v>1.4E-2</v>
      </c>
      <c r="R6798" s="508">
        <v>1.2E-2</v>
      </c>
      <c r="S6798" s="508">
        <v>8.9999999999999993E-3</v>
      </c>
      <c r="T6798" s="508">
        <v>1.0999999999999999E-2</v>
      </c>
      <c r="U6798" s="508">
        <v>0.01</v>
      </c>
      <c r="V6798" s="508">
        <v>0.01</v>
      </c>
      <c r="W6798" s="508">
        <v>1.0999999999999999E-2</v>
      </c>
      <c r="X6798" s="508">
        <v>0.01</v>
      </c>
      <c r="Y6798" s="508">
        <v>1.0999999999999999E-2</v>
      </c>
      <c r="Z6798" s="508">
        <v>1.0999999999999999E-2</v>
      </c>
      <c r="AA6798" s="508">
        <v>1.2E-2</v>
      </c>
      <c r="AB6798" s="508">
        <v>8.9999999999999993E-3</v>
      </c>
      <c r="AC6798" s="508">
        <v>1.2E-2</v>
      </c>
      <c r="AD6798" s="508">
        <v>1.2E-2</v>
      </c>
      <c r="AE6798" s="508">
        <v>1.0999999999999999E-2</v>
      </c>
      <c r="AF6798" s="508">
        <v>1.0999999999999999E-2</v>
      </c>
      <c r="AG6798" s="508">
        <v>1.0999999999999999E-2</v>
      </c>
      <c r="AH6798" s="508">
        <v>1.0999999999999999E-2</v>
      </c>
      <c r="AI6798" s="492">
        <v>1.0999999999999999E-2</v>
      </c>
      <c r="AJ6798" s="485"/>
    </row>
    <row r="6799" spans="2:36">
      <c r="B6799" s="136" t="s">
        <v>481</v>
      </c>
      <c r="C6799" s="132" t="s">
        <v>1373</v>
      </c>
      <c r="D6799" s="132" t="s">
        <v>1380</v>
      </c>
      <c r="E6799" s="508">
        <v>1.7000000000000001E-2</v>
      </c>
      <c r="F6799" s="508">
        <v>1.6E-2</v>
      </c>
      <c r="G6799" s="508">
        <v>1.7999999999999999E-2</v>
      </c>
      <c r="H6799" s="508">
        <v>1.4E-2</v>
      </c>
      <c r="I6799" s="508">
        <v>1.0999999999999999E-2</v>
      </c>
      <c r="J6799" s="508">
        <v>1.2E-2</v>
      </c>
      <c r="K6799" s="508">
        <v>8.9999999999999993E-3</v>
      </c>
      <c r="L6799" s="508">
        <v>1.2999999999999999E-2</v>
      </c>
      <c r="M6799" s="508">
        <v>0.01</v>
      </c>
      <c r="N6799" s="508">
        <v>1.2E-2</v>
      </c>
      <c r="O6799" s="508">
        <v>1.4999999999999999E-2</v>
      </c>
      <c r="P6799" s="508">
        <v>1.7000000000000001E-2</v>
      </c>
      <c r="Q6799" s="508">
        <v>1.7000000000000001E-2</v>
      </c>
      <c r="R6799" s="508">
        <v>1.4999999999999999E-2</v>
      </c>
      <c r="S6799" s="508">
        <v>1.2E-2</v>
      </c>
      <c r="T6799" s="508">
        <v>1.4E-2</v>
      </c>
      <c r="U6799" s="508">
        <v>1.2E-2</v>
      </c>
      <c r="V6799" s="508">
        <v>1.2999999999999999E-2</v>
      </c>
      <c r="W6799" s="508">
        <v>1.2999999999999999E-2</v>
      </c>
      <c r="X6799" s="508">
        <v>1.2999999999999999E-2</v>
      </c>
      <c r="Y6799" s="508">
        <v>1.4E-2</v>
      </c>
      <c r="Z6799" s="508">
        <v>1.4E-2</v>
      </c>
      <c r="AA6799" s="508">
        <v>1.4999999999999999E-2</v>
      </c>
      <c r="AB6799" s="508">
        <v>1.2E-2</v>
      </c>
      <c r="AC6799" s="508">
        <v>1.4999999999999999E-2</v>
      </c>
      <c r="AD6799" s="508">
        <v>1.4E-2</v>
      </c>
      <c r="AE6799" s="508">
        <v>1.2999999999999999E-2</v>
      </c>
      <c r="AF6799" s="508">
        <v>1.2999999999999999E-2</v>
      </c>
      <c r="AG6799" s="508">
        <v>1.2999999999999999E-2</v>
      </c>
      <c r="AH6799" s="508">
        <v>1.2999999999999999E-2</v>
      </c>
      <c r="AI6799" s="492">
        <v>1.2999999999999999E-2</v>
      </c>
      <c r="AJ6799" s="485"/>
    </row>
    <row r="6800" spans="2:36">
      <c r="B6800" s="136" t="s">
        <v>482</v>
      </c>
      <c r="C6800" s="132" t="s">
        <v>1373</v>
      </c>
      <c r="D6800" s="132" t="s">
        <v>1380</v>
      </c>
      <c r="E6800" s="508">
        <v>1.7000000000000001E-2</v>
      </c>
      <c r="F6800" s="508">
        <v>1.6E-2</v>
      </c>
      <c r="G6800" s="508">
        <v>1.7999999999999999E-2</v>
      </c>
      <c r="H6800" s="508">
        <v>1.2999999999999999E-2</v>
      </c>
      <c r="I6800" s="508">
        <v>1.0999999999999999E-2</v>
      </c>
      <c r="J6800" s="508">
        <v>1.2E-2</v>
      </c>
      <c r="K6800" s="508">
        <v>8.9999999999999993E-3</v>
      </c>
      <c r="L6800" s="508">
        <v>1.2999999999999999E-2</v>
      </c>
      <c r="M6800" s="508">
        <v>0.01</v>
      </c>
      <c r="N6800" s="508">
        <v>1.2E-2</v>
      </c>
      <c r="O6800" s="508">
        <v>1.4999999999999999E-2</v>
      </c>
      <c r="P6800" s="508">
        <v>1.6E-2</v>
      </c>
      <c r="Q6800" s="508">
        <v>1.7000000000000001E-2</v>
      </c>
      <c r="R6800" s="508">
        <v>1.4999999999999999E-2</v>
      </c>
      <c r="S6800" s="508">
        <v>1.0999999999999999E-2</v>
      </c>
      <c r="T6800" s="508">
        <v>1.4E-2</v>
      </c>
      <c r="U6800" s="508">
        <v>1.2E-2</v>
      </c>
      <c r="V6800" s="508">
        <v>1.2999999999999999E-2</v>
      </c>
      <c r="W6800" s="508">
        <v>1.2999999999999999E-2</v>
      </c>
      <c r="X6800" s="508">
        <v>1.2999999999999999E-2</v>
      </c>
      <c r="Y6800" s="508">
        <v>1.4E-2</v>
      </c>
      <c r="Z6800" s="508">
        <v>1.2999999999999999E-2</v>
      </c>
      <c r="AA6800" s="508">
        <v>1.4999999999999999E-2</v>
      </c>
      <c r="AB6800" s="508">
        <v>1.0999999999999999E-2</v>
      </c>
      <c r="AC6800" s="508">
        <v>1.4999999999999999E-2</v>
      </c>
      <c r="AD6800" s="508">
        <v>1.4E-2</v>
      </c>
      <c r="AE6800" s="508">
        <v>1.2999999999999999E-2</v>
      </c>
      <c r="AF6800" s="508">
        <v>1.2999999999999999E-2</v>
      </c>
      <c r="AG6800" s="508">
        <v>1.2999999999999999E-2</v>
      </c>
      <c r="AH6800" s="508">
        <v>1.2999999999999999E-2</v>
      </c>
      <c r="AI6800" s="492">
        <v>1.2999999999999999E-2</v>
      </c>
      <c r="AJ6800" s="485"/>
    </row>
    <row r="6801" spans="2:36">
      <c r="B6801" s="136" t="s">
        <v>483</v>
      </c>
      <c r="C6801" s="132" t="s">
        <v>1373</v>
      </c>
      <c r="D6801" s="132" t="s">
        <v>1380</v>
      </c>
      <c r="E6801" s="508">
        <v>1.9E-2</v>
      </c>
      <c r="F6801" s="508">
        <v>1.7999999999999999E-2</v>
      </c>
      <c r="G6801" s="508">
        <v>0.02</v>
      </c>
      <c r="H6801" s="508">
        <v>1.4999999999999999E-2</v>
      </c>
      <c r="I6801" s="508">
        <v>1.2E-2</v>
      </c>
      <c r="J6801" s="508">
        <v>1.2999999999999999E-2</v>
      </c>
      <c r="K6801" s="508">
        <v>0.01</v>
      </c>
      <c r="L6801" s="508">
        <v>1.4E-2</v>
      </c>
      <c r="M6801" s="508">
        <v>1.0999999999999999E-2</v>
      </c>
      <c r="N6801" s="508">
        <v>1.2999999999999999E-2</v>
      </c>
      <c r="O6801" s="508">
        <v>1.6E-2</v>
      </c>
      <c r="P6801" s="508">
        <v>1.7999999999999999E-2</v>
      </c>
      <c r="Q6801" s="508">
        <v>1.9E-2</v>
      </c>
      <c r="R6801" s="508">
        <v>1.6E-2</v>
      </c>
      <c r="S6801" s="508">
        <v>1.2999999999999999E-2</v>
      </c>
      <c r="T6801" s="508">
        <v>1.4999999999999999E-2</v>
      </c>
      <c r="U6801" s="508">
        <v>1.2999999999999999E-2</v>
      </c>
      <c r="V6801" s="508">
        <v>1.4E-2</v>
      </c>
      <c r="W6801" s="508">
        <v>1.4E-2</v>
      </c>
      <c r="X6801" s="508">
        <v>1.4E-2</v>
      </c>
      <c r="Y6801" s="508">
        <v>1.4999999999999999E-2</v>
      </c>
      <c r="Z6801" s="508">
        <v>1.4999999999999999E-2</v>
      </c>
      <c r="AA6801" s="508">
        <v>1.6E-2</v>
      </c>
      <c r="AB6801" s="508">
        <v>1.2999999999999999E-2</v>
      </c>
      <c r="AC6801" s="508">
        <v>1.7000000000000001E-2</v>
      </c>
      <c r="AD6801" s="508">
        <v>1.6E-2</v>
      </c>
      <c r="AE6801" s="508">
        <v>1.4999999999999999E-2</v>
      </c>
      <c r="AF6801" s="508">
        <v>1.4999999999999999E-2</v>
      </c>
      <c r="AG6801" s="508">
        <v>1.4999999999999999E-2</v>
      </c>
      <c r="AH6801" s="508">
        <v>1.4999999999999999E-2</v>
      </c>
      <c r="AI6801" s="492">
        <v>1.4999999999999999E-2</v>
      </c>
      <c r="AJ6801" s="485"/>
    </row>
    <row r="6802" spans="2:36">
      <c r="B6802" s="136" t="s">
        <v>484</v>
      </c>
      <c r="C6802" s="132" t="s">
        <v>1373</v>
      </c>
      <c r="D6802" s="132" t="s">
        <v>1380</v>
      </c>
      <c r="E6802" s="508">
        <v>1.4E-2</v>
      </c>
      <c r="F6802" s="508">
        <v>1.4E-2</v>
      </c>
      <c r="G6802" s="508">
        <v>1.4999999999999999E-2</v>
      </c>
      <c r="H6802" s="508">
        <v>1.0999999999999999E-2</v>
      </c>
      <c r="I6802" s="508">
        <v>0.01</v>
      </c>
      <c r="J6802" s="508">
        <v>0.01</v>
      </c>
      <c r="K6802" s="508">
        <v>8.0000000000000002E-3</v>
      </c>
      <c r="L6802" s="508">
        <v>1.0999999999999999E-2</v>
      </c>
      <c r="M6802" s="508">
        <v>8.0000000000000002E-3</v>
      </c>
      <c r="N6802" s="508">
        <v>0.01</v>
      </c>
      <c r="O6802" s="508">
        <v>1.2E-2</v>
      </c>
      <c r="P6802" s="508">
        <v>1.4E-2</v>
      </c>
      <c r="Q6802" s="508">
        <v>1.4E-2</v>
      </c>
      <c r="R6802" s="508">
        <v>1.2E-2</v>
      </c>
      <c r="S6802" s="508">
        <v>0.01</v>
      </c>
      <c r="T6802" s="508">
        <v>1.0999999999999999E-2</v>
      </c>
      <c r="U6802" s="508">
        <v>0.01</v>
      </c>
      <c r="V6802" s="508">
        <v>1.0999999999999999E-2</v>
      </c>
      <c r="W6802" s="508">
        <v>1.0999999999999999E-2</v>
      </c>
      <c r="X6802" s="508">
        <v>1.0999999999999999E-2</v>
      </c>
      <c r="Y6802" s="508">
        <v>1.2E-2</v>
      </c>
      <c r="Z6802" s="508">
        <v>1.0999999999999999E-2</v>
      </c>
      <c r="AA6802" s="508">
        <v>1.2E-2</v>
      </c>
      <c r="AB6802" s="508">
        <v>0.01</v>
      </c>
      <c r="AC6802" s="508">
        <v>1.2999999999999999E-2</v>
      </c>
      <c r="AD6802" s="508">
        <v>1.2E-2</v>
      </c>
      <c r="AE6802" s="508">
        <v>1.0999999999999999E-2</v>
      </c>
      <c r="AF6802" s="508">
        <v>1.0999999999999999E-2</v>
      </c>
      <c r="AG6802" s="508">
        <v>1.0999999999999999E-2</v>
      </c>
      <c r="AH6802" s="508">
        <v>1.0999999999999999E-2</v>
      </c>
      <c r="AI6802" s="492">
        <v>1.0999999999999999E-2</v>
      </c>
      <c r="AJ6802" s="485"/>
    </row>
    <row r="6803" spans="2:36">
      <c r="B6803" s="136" t="s">
        <v>486</v>
      </c>
      <c r="C6803" s="132" t="s">
        <v>1373</v>
      </c>
      <c r="D6803" s="132" t="s">
        <v>1380</v>
      </c>
      <c r="E6803" s="508">
        <v>1.7000000000000001E-2</v>
      </c>
      <c r="F6803" s="508">
        <v>1.6E-2</v>
      </c>
      <c r="G6803" s="508">
        <v>1.9E-2</v>
      </c>
      <c r="H6803" s="508">
        <v>1.4E-2</v>
      </c>
      <c r="I6803" s="508">
        <v>1.0999999999999999E-2</v>
      </c>
      <c r="J6803" s="508">
        <v>1.2E-2</v>
      </c>
      <c r="K6803" s="508">
        <v>8.9999999999999993E-3</v>
      </c>
      <c r="L6803" s="508">
        <v>1.2999999999999999E-2</v>
      </c>
      <c r="M6803" s="508">
        <v>0.01</v>
      </c>
      <c r="N6803" s="508">
        <v>1.2E-2</v>
      </c>
      <c r="O6803" s="508">
        <v>1.4999999999999999E-2</v>
      </c>
      <c r="P6803" s="508">
        <v>1.7000000000000001E-2</v>
      </c>
      <c r="Q6803" s="508">
        <v>1.7000000000000001E-2</v>
      </c>
      <c r="R6803" s="508">
        <v>1.4999999999999999E-2</v>
      </c>
      <c r="S6803" s="508">
        <v>1.2E-2</v>
      </c>
      <c r="T6803" s="508">
        <v>1.4E-2</v>
      </c>
      <c r="U6803" s="508">
        <v>1.2E-2</v>
      </c>
      <c r="V6803" s="508">
        <v>1.2999999999999999E-2</v>
      </c>
      <c r="W6803" s="508">
        <v>1.2999999999999999E-2</v>
      </c>
      <c r="X6803" s="508">
        <v>1.2999999999999999E-2</v>
      </c>
      <c r="Y6803" s="508">
        <v>1.4E-2</v>
      </c>
      <c r="Z6803" s="508">
        <v>1.4E-2</v>
      </c>
      <c r="AA6803" s="508">
        <v>1.4999999999999999E-2</v>
      </c>
      <c r="AB6803" s="508">
        <v>1.2E-2</v>
      </c>
      <c r="AC6803" s="508">
        <v>1.4999999999999999E-2</v>
      </c>
      <c r="AD6803" s="508">
        <v>1.4E-2</v>
      </c>
      <c r="AE6803" s="508">
        <v>1.2999999999999999E-2</v>
      </c>
      <c r="AF6803" s="508">
        <v>1.2999999999999999E-2</v>
      </c>
      <c r="AG6803" s="508">
        <v>1.2999999999999999E-2</v>
      </c>
      <c r="AH6803" s="508">
        <v>1.2999999999999999E-2</v>
      </c>
      <c r="AI6803" s="492">
        <v>1.2999999999999999E-2</v>
      </c>
      <c r="AJ6803" s="485"/>
    </row>
    <row r="6804" spans="2:36">
      <c r="B6804" s="136" t="s">
        <v>487</v>
      </c>
      <c r="C6804" s="132" t="s">
        <v>1373</v>
      </c>
      <c r="D6804" s="132" t="s">
        <v>1380</v>
      </c>
      <c r="E6804" s="508">
        <v>1.7000000000000001E-2</v>
      </c>
      <c r="F6804" s="508">
        <v>1.6E-2</v>
      </c>
      <c r="G6804" s="508">
        <v>1.7999999999999999E-2</v>
      </c>
      <c r="H6804" s="508">
        <v>1.4E-2</v>
      </c>
      <c r="I6804" s="508">
        <v>1.0999999999999999E-2</v>
      </c>
      <c r="J6804" s="508">
        <v>1.2E-2</v>
      </c>
      <c r="K6804" s="508">
        <v>8.9999999999999993E-3</v>
      </c>
      <c r="L6804" s="508">
        <v>1.2999999999999999E-2</v>
      </c>
      <c r="M6804" s="508">
        <v>0.01</v>
      </c>
      <c r="N6804" s="508">
        <v>1.2E-2</v>
      </c>
      <c r="O6804" s="508">
        <v>1.4999999999999999E-2</v>
      </c>
      <c r="P6804" s="508">
        <v>1.7000000000000001E-2</v>
      </c>
      <c r="Q6804" s="508">
        <v>1.7000000000000001E-2</v>
      </c>
      <c r="R6804" s="508">
        <v>1.4999999999999999E-2</v>
      </c>
      <c r="S6804" s="508">
        <v>1.0999999999999999E-2</v>
      </c>
      <c r="T6804" s="508">
        <v>1.4E-2</v>
      </c>
      <c r="U6804" s="508">
        <v>1.2E-2</v>
      </c>
      <c r="V6804" s="508">
        <v>1.2999999999999999E-2</v>
      </c>
      <c r="W6804" s="508">
        <v>1.2999999999999999E-2</v>
      </c>
      <c r="X6804" s="508">
        <v>1.2999999999999999E-2</v>
      </c>
      <c r="Y6804" s="508">
        <v>1.4E-2</v>
      </c>
      <c r="Z6804" s="508">
        <v>1.4E-2</v>
      </c>
      <c r="AA6804" s="508">
        <v>1.4999999999999999E-2</v>
      </c>
      <c r="AB6804" s="508">
        <v>1.0999999999999999E-2</v>
      </c>
      <c r="AC6804" s="508">
        <v>1.4999999999999999E-2</v>
      </c>
      <c r="AD6804" s="508">
        <v>1.4E-2</v>
      </c>
      <c r="AE6804" s="508">
        <v>1.2999999999999999E-2</v>
      </c>
      <c r="AF6804" s="508">
        <v>1.2999999999999999E-2</v>
      </c>
      <c r="AG6804" s="508">
        <v>1.2999999999999999E-2</v>
      </c>
      <c r="AH6804" s="508">
        <v>1.2999999999999999E-2</v>
      </c>
      <c r="AI6804" s="492">
        <v>1.2999999999999999E-2</v>
      </c>
      <c r="AJ6804" s="485"/>
    </row>
    <row r="6805" spans="2:36">
      <c r="B6805" s="136" t="s">
        <v>488</v>
      </c>
      <c r="C6805" s="132" t="s">
        <v>1373</v>
      </c>
      <c r="D6805" s="132" t="s">
        <v>1380</v>
      </c>
      <c r="E6805" s="508">
        <v>1.4999999999999999E-2</v>
      </c>
      <c r="F6805" s="508">
        <v>1.4E-2</v>
      </c>
      <c r="G6805" s="508">
        <v>1.6E-2</v>
      </c>
      <c r="H6805" s="508">
        <v>1.2E-2</v>
      </c>
      <c r="I6805" s="508">
        <v>0.01</v>
      </c>
      <c r="J6805" s="508">
        <v>1.0999999999999999E-2</v>
      </c>
      <c r="K6805" s="508">
        <v>8.0000000000000002E-3</v>
      </c>
      <c r="L6805" s="508">
        <v>1.0999999999999999E-2</v>
      </c>
      <c r="M6805" s="508">
        <v>8.9999999999999993E-3</v>
      </c>
      <c r="N6805" s="508">
        <v>0.01</v>
      </c>
      <c r="O6805" s="508">
        <v>1.2999999999999999E-2</v>
      </c>
      <c r="P6805" s="508">
        <v>1.4E-2</v>
      </c>
      <c r="Q6805" s="508">
        <v>1.4999999999999999E-2</v>
      </c>
      <c r="R6805" s="508">
        <v>1.2999999999999999E-2</v>
      </c>
      <c r="S6805" s="508">
        <v>0.01</v>
      </c>
      <c r="T6805" s="508">
        <v>1.2E-2</v>
      </c>
      <c r="U6805" s="508">
        <v>0.01</v>
      </c>
      <c r="V6805" s="508">
        <v>1.0999999999999999E-2</v>
      </c>
      <c r="W6805" s="508">
        <v>1.0999999999999999E-2</v>
      </c>
      <c r="X6805" s="508">
        <v>1.0999999999999999E-2</v>
      </c>
      <c r="Y6805" s="508">
        <v>1.2E-2</v>
      </c>
      <c r="Z6805" s="508">
        <v>1.2E-2</v>
      </c>
      <c r="AA6805" s="508">
        <v>1.2999999999999999E-2</v>
      </c>
      <c r="AB6805" s="508">
        <v>0.01</v>
      </c>
      <c r="AC6805" s="508">
        <v>1.2999999999999999E-2</v>
      </c>
      <c r="AD6805" s="508">
        <v>1.2999999999999999E-2</v>
      </c>
      <c r="AE6805" s="508">
        <v>1.2E-2</v>
      </c>
      <c r="AF6805" s="508">
        <v>1.2E-2</v>
      </c>
      <c r="AG6805" s="508">
        <v>1.2E-2</v>
      </c>
      <c r="AH6805" s="508">
        <v>1.2E-2</v>
      </c>
      <c r="AI6805" s="492">
        <v>1.2E-2</v>
      </c>
      <c r="AJ6805" s="485"/>
    </row>
    <row r="6806" spans="2:36">
      <c r="B6806" s="136" t="s">
        <v>489</v>
      </c>
      <c r="C6806" s="132" t="s">
        <v>1373</v>
      </c>
      <c r="D6806" s="132" t="s">
        <v>1380</v>
      </c>
      <c r="E6806" s="508">
        <v>4.0000000000000001E-3</v>
      </c>
      <c r="F6806" s="508">
        <v>7.5999999999999998E-2</v>
      </c>
      <c r="G6806" s="508">
        <v>5.8000000000000003E-2</v>
      </c>
      <c r="H6806" s="508">
        <v>5.0000000000000001E-3</v>
      </c>
      <c r="I6806" s="508">
        <v>0</v>
      </c>
      <c r="J6806" s="508">
        <v>0</v>
      </c>
      <c r="K6806" s="508">
        <v>0</v>
      </c>
      <c r="L6806" s="508">
        <v>1E-3</v>
      </c>
      <c r="M6806" s="508">
        <v>0</v>
      </c>
      <c r="N6806" s="508">
        <v>0</v>
      </c>
      <c r="O6806" s="508">
        <v>0</v>
      </c>
      <c r="P6806" s="508">
        <v>2.5000000000000001E-2</v>
      </c>
      <c r="Q6806" s="508">
        <v>0</v>
      </c>
      <c r="R6806" s="508">
        <v>0</v>
      </c>
      <c r="S6806" s="508">
        <v>0</v>
      </c>
      <c r="T6806" s="508">
        <v>0</v>
      </c>
      <c r="U6806" s="508">
        <v>0</v>
      </c>
      <c r="V6806" s="508">
        <v>0</v>
      </c>
      <c r="W6806" s="508">
        <v>0</v>
      </c>
      <c r="X6806" s="508">
        <v>0</v>
      </c>
      <c r="Y6806" s="508">
        <v>0</v>
      </c>
      <c r="Z6806" s="508">
        <v>0</v>
      </c>
      <c r="AA6806" s="508">
        <v>0</v>
      </c>
      <c r="AB6806" s="508">
        <v>2E-3</v>
      </c>
      <c r="AC6806" s="508">
        <v>3.0000000000000001E-3</v>
      </c>
      <c r="AD6806" s="508">
        <v>0</v>
      </c>
      <c r="AE6806" s="508">
        <v>0</v>
      </c>
      <c r="AF6806" s="508">
        <v>0</v>
      </c>
      <c r="AG6806" s="508">
        <v>0</v>
      </c>
      <c r="AH6806" s="508">
        <v>0</v>
      </c>
      <c r="AI6806" s="492">
        <v>0</v>
      </c>
      <c r="AJ6806" s="485"/>
    </row>
    <row r="6807" spans="2:36">
      <c r="B6807" s="136" t="s">
        <v>490</v>
      </c>
      <c r="C6807" s="132" t="s">
        <v>1373</v>
      </c>
      <c r="D6807" s="132" t="s">
        <v>1380</v>
      </c>
      <c r="E6807" s="508">
        <v>1.4E-2</v>
      </c>
      <c r="F6807" s="508">
        <v>1.2999999999999999E-2</v>
      </c>
      <c r="G6807" s="508">
        <v>1.4999999999999999E-2</v>
      </c>
      <c r="H6807" s="508">
        <v>1.0999999999999999E-2</v>
      </c>
      <c r="I6807" s="508">
        <v>8.9999999999999993E-3</v>
      </c>
      <c r="J6807" s="508">
        <v>0.01</v>
      </c>
      <c r="K6807" s="508">
        <v>7.0000000000000001E-3</v>
      </c>
      <c r="L6807" s="508">
        <v>0.01</v>
      </c>
      <c r="M6807" s="508">
        <v>8.0000000000000002E-3</v>
      </c>
      <c r="N6807" s="508">
        <v>0.01</v>
      </c>
      <c r="O6807" s="508">
        <v>1.2E-2</v>
      </c>
      <c r="P6807" s="508">
        <v>1.2999999999999999E-2</v>
      </c>
      <c r="Q6807" s="508">
        <v>1.4E-2</v>
      </c>
      <c r="R6807" s="508">
        <v>1.2E-2</v>
      </c>
      <c r="S6807" s="508">
        <v>8.9999999999999993E-3</v>
      </c>
      <c r="T6807" s="508">
        <v>1.0999999999999999E-2</v>
      </c>
      <c r="U6807" s="508">
        <v>0.01</v>
      </c>
      <c r="V6807" s="508">
        <v>0.01</v>
      </c>
      <c r="W6807" s="508">
        <v>1.0999999999999999E-2</v>
      </c>
      <c r="X6807" s="508">
        <v>1.0999999999999999E-2</v>
      </c>
      <c r="Y6807" s="508">
        <v>1.0999999999999999E-2</v>
      </c>
      <c r="Z6807" s="508">
        <v>1.0999999999999999E-2</v>
      </c>
      <c r="AA6807" s="508">
        <v>1.2E-2</v>
      </c>
      <c r="AB6807" s="508">
        <v>8.9999999999999993E-3</v>
      </c>
      <c r="AC6807" s="508">
        <v>1.2E-2</v>
      </c>
      <c r="AD6807" s="508">
        <v>1.2E-2</v>
      </c>
      <c r="AE6807" s="508">
        <v>1.0999999999999999E-2</v>
      </c>
      <c r="AF6807" s="508">
        <v>1.0999999999999999E-2</v>
      </c>
      <c r="AG6807" s="508">
        <v>1.0999999999999999E-2</v>
      </c>
      <c r="AH6807" s="508">
        <v>1.0999999999999999E-2</v>
      </c>
      <c r="AI6807" s="492">
        <v>1.0999999999999999E-2</v>
      </c>
      <c r="AJ6807" s="485"/>
    </row>
    <row r="6808" spans="2:36">
      <c r="B6808" s="136" t="s">
        <v>435</v>
      </c>
      <c r="C6808" s="132" t="s">
        <v>1374</v>
      </c>
      <c r="D6808" s="132" t="s">
        <v>1380</v>
      </c>
      <c r="E6808" s="508">
        <v>8.9999999999999993E-3</v>
      </c>
      <c r="F6808" s="508">
        <v>8.0000000000000002E-3</v>
      </c>
      <c r="G6808" s="508">
        <v>6.0000000000000001E-3</v>
      </c>
      <c r="H6808" s="508">
        <v>7.0000000000000001E-3</v>
      </c>
      <c r="I6808" s="508">
        <v>8.0000000000000002E-3</v>
      </c>
      <c r="J6808" s="508">
        <v>0.01</v>
      </c>
      <c r="K6808" s="508">
        <v>1.2E-2</v>
      </c>
      <c r="L6808" s="508">
        <v>1.2E-2</v>
      </c>
      <c r="M6808" s="508">
        <v>8.9999999999999993E-3</v>
      </c>
      <c r="N6808" s="508">
        <v>8.9999999999999993E-3</v>
      </c>
      <c r="O6808" s="508">
        <v>8.9999999999999993E-3</v>
      </c>
      <c r="P6808" s="508">
        <v>0.01</v>
      </c>
      <c r="Q6808" s="508">
        <v>7.0000000000000001E-3</v>
      </c>
      <c r="R6808" s="508">
        <v>8.9999999999999993E-3</v>
      </c>
      <c r="S6808" s="508">
        <v>7.0000000000000001E-3</v>
      </c>
      <c r="T6808" s="508">
        <v>8.9999999999999993E-3</v>
      </c>
      <c r="U6808" s="508">
        <v>7.0000000000000001E-3</v>
      </c>
      <c r="V6808" s="508">
        <v>2.4E-2</v>
      </c>
      <c r="W6808" s="508"/>
      <c r="X6808" s="508">
        <v>2.4E-2</v>
      </c>
      <c r="Y6808" s="508"/>
      <c r="Z6808" s="508"/>
      <c r="AA6808" s="508"/>
      <c r="AB6808" s="508"/>
      <c r="AC6808" s="508"/>
      <c r="AD6808" s="508"/>
      <c r="AE6808" s="508"/>
      <c r="AF6808" s="508"/>
      <c r="AG6808" s="508"/>
      <c r="AH6808" s="508"/>
      <c r="AI6808" s="492"/>
      <c r="AJ6808" s="485"/>
    </row>
    <row r="6809" spans="2:36">
      <c r="B6809" s="136" t="s">
        <v>436</v>
      </c>
      <c r="C6809" s="132" t="s">
        <v>1374</v>
      </c>
      <c r="D6809" s="132" t="s">
        <v>1380</v>
      </c>
      <c r="E6809" s="508">
        <v>8.0000000000000002E-3</v>
      </c>
      <c r="F6809" s="508">
        <v>8.0000000000000002E-3</v>
      </c>
      <c r="G6809" s="508">
        <v>6.0000000000000001E-3</v>
      </c>
      <c r="H6809" s="508">
        <v>6.0000000000000001E-3</v>
      </c>
      <c r="I6809" s="508">
        <v>7.0000000000000001E-3</v>
      </c>
      <c r="J6809" s="508">
        <v>8.9999999999999993E-3</v>
      </c>
      <c r="K6809" s="508">
        <v>1.0999999999999999E-2</v>
      </c>
      <c r="L6809" s="508">
        <v>1.0999999999999999E-2</v>
      </c>
      <c r="M6809" s="508">
        <v>8.9999999999999993E-3</v>
      </c>
      <c r="N6809" s="508">
        <v>8.0000000000000002E-3</v>
      </c>
      <c r="O6809" s="508">
        <v>8.9999999999999993E-3</v>
      </c>
      <c r="P6809" s="508">
        <v>8.9999999999999993E-3</v>
      </c>
      <c r="Q6809" s="508">
        <v>6.0000000000000001E-3</v>
      </c>
      <c r="R6809" s="508">
        <v>8.0000000000000002E-3</v>
      </c>
      <c r="S6809" s="508">
        <v>6.0000000000000001E-3</v>
      </c>
      <c r="T6809" s="508">
        <v>8.0000000000000002E-3</v>
      </c>
      <c r="U6809" s="508">
        <v>6.0000000000000001E-3</v>
      </c>
      <c r="V6809" s="508">
        <v>2.1999999999999999E-2</v>
      </c>
      <c r="W6809" s="508"/>
      <c r="X6809" s="508">
        <v>2.1999999999999999E-2</v>
      </c>
      <c r="Y6809" s="508"/>
      <c r="Z6809" s="508"/>
      <c r="AA6809" s="508"/>
      <c r="AB6809" s="508"/>
      <c r="AC6809" s="508"/>
      <c r="AD6809" s="508"/>
      <c r="AE6809" s="508"/>
      <c r="AF6809" s="508"/>
      <c r="AG6809" s="508"/>
      <c r="AH6809" s="508"/>
      <c r="AI6809" s="492"/>
      <c r="AJ6809" s="485"/>
    </row>
    <row r="6810" spans="2:36">
      <c r="B6810" s="136" t="s">
        <v>437</v>
      </c>
      <c r="C6810" s="132" t="s">
        <v>1374</v>
      </c>
      <c r="D6810" s="132" t="s">
        <v>1380</v>
      </c>
      <c r="E6810" s="508">
        <v>8.9999999999999993E-3</v>
      </c>
      <c r="F6810" s="508">
        <v>8.9999999999999993E-3</v>
      </c>
      <c r="G6810" s="508">
        <v>6.0000000000000001E-3</v>
      </c>
      <c r="H6810" s="508">
        <v>7.0000000000000001E-3</v>
      </c>
      <c r="I6810" s="508">
        <v>8.0000000000000002E-3</v>
      </c>
      <c r="J6810" s="508">
        <v>0.01</v>
      </c>
      <c r="K6810" s="508">
        <v>1.2E-2</v>
      </c>
      <c r="L6810" s="508">
        <v>1.2E-2</v>
      </c>
      <c r="M6810" s="508">
        <v>0.01</v>
      </c>
      <c r="N6810" s="508">
        <v>8.9999999999999993E-3</v>
      </c>
      <c r="O6810" s="508">
        <v>0.01</v>
      </c>
      <c r="P6810" s="508">
        <v>0.01</v>
      </c>
      <c r="Q6810" s="508">
        <v>7.0000000000000001E-3</v>
      </c>
      <c r="R6810" s="508">
        <v>8.9999999999999993E-3</v>
      </c>
      <c r="S6810" s="508">
        <v>7.0000000000000001E-3</v>
      </c>
      <c r="T6810" s="508">
        <v>8.9999999999999993E-3</v>
      </c>
      <c r="U6810" s="508">
        <v>7.0000000000000001E-3</v>
      </c>
      <c r="V6810" s="508">
        <v>2.5000000000000001E-2</v>
      </c>
      <c r="W6810" s="508"/>
      <c r="X6810" s="508">
        <v>2.5000000000000001E-2</v>
      </c>
      <c r="Y6810" s="508"/>
      <c r="Z6810" s="508"/>
      <c r="AA6810" s="508"/>
      <c r="AB6810" s="508"/>
      <c r="AC6810" s="508"/>
      <c r="AD6810" s="508"/>
      <c r="AE6810" s="508"/>
      <c r="AF6810" s="508"/>
      <c r="AG6810" s="508"/>
      <c r="AH6810" s="508"/>
      <c r="AI6810" s="492"/>
      <c r="AJ6810" s="485"/>
    </row>
    <row r="6811" spans="2:36">
      <c r="B6811" s="136" t="s">
        <v>438</v>
      </c>
      <c r="C6811" s="132" t="s">
        <v>1374</v>
      </c>
      <c r="D6811" s="132" t="s">
        <v>1380</v>
      </c>
      <c r="E6811" s="508">
        <v>8.0000000000000002E-3</v>
      </c>
      <c r="F6811" s="508">
        <v>7.0000000000000001E-3</v>
      </c>
      <c r="G6811" s="508">
        <v>6.0000000000000001E-3</v>
      </c>
      <c r="H6811" s="508">
        <v>6.0000000000000001E-3</v>
      </c>
      <c r="I6811" s="508">
        <v>7.0000000000000001E-3</v>
      </c>
      <c r="J6811" s="508">
        <v>8.9999999999999993E-3</v>
      </c>
      <c r="K6811" s="508">
        <v>0.01</v>
      </c>
      <c r="L6811" s="508">
        <v>0.01</v>
      </c>
      <c r="M6811" s="508">
        <v>8.0000000000000002E-3</v>
      </c>
      <c r="N6811" s="508">
        <v>8.0000000000000002E-3</v>
      </c>
      <c r="O6811" s="508">
        <v>8.0000000000000002E-3</v>
      </c>
      <c r="P6811" s="508">
        <v>8.9999999999999993E-3</v>
      </c>
      <c r="Q6811" s="508">
        <v>6.0000000000000001E-3</v>
      </c>
      <c r="R6811" s="508">
        <v>8.0000000000000002E-3</v>
      </c>
      <c r="S6811" s="508">
        <v>6.0000000000000001E-3</v>
      </c>
      <c r="T6811" s="508">
        <v>8.0000000000000002E-3</v>
      </c>
      <c r="U6811" s="508">
        <v>6.0000000000000001E-3</v>
      </c>
      <c r="V6811" s="508">
        <v>2.1000000000000001E-2</v>
      </c>
      <c r="W6811" s="508"/>
      <c r="X6811" s="508">
        <v>2.1000000000000001E-2</v>
      </c>
      <c r="Y6811" s="508"/>
      <c r="Z6811" s="508"/>
      <c r="AA6811" s="508"/>
      <c r="AB6811" s="508"/>
      <c r="AC6811" s="508"/>
      <c r="AD6811" s="508"/>
      <c r="AE6811" s="508"/>
      <c r="AF6811" s="508"/>
      <c r="AG6811" s="508"/>
      <c r="AH6811" s="508"/>
      <c r="AI6811" s="492"/>
      <c r="AJ6811" s="485"/>
    </row>
    <row r="6812" spans="2:36">
      <c r="B6812" s="136" t="s">
        <v>439</v>
      </c>
      <c r="C6812" s="132" t="s">
        <v>1374</v>
      </c>
      <c r="D6812" s="132" t="s">
        <v>1380</v>
      </c>
      <c r="E6812" s="508">
        <v>8.9999999999999993E-3</v>
      </c>
      <c r="F6812" s="508">
        <v>8.9999999999999993E-3</v>
      </c>
      <c r="G6812" s="508">
        <v>6.0000000000000001E-3</v>
      </c>
      <c r="H6812" s="508">
        <v>7.0000000000000001E-3</v>
      </c>
      <c r="I6812" s="508">
        <v>8.0000000000000002E-3</v>
      </c>
      <c r="J6812" s="508">
        <v>0.01</v>
      </c>
      <c r="K6812" s="508">
        <v>1.2E-2</v>
      </c>
      <c r="L6812" s="508">
        <v>1.2E-2</v>
      </c>
      <c r="M6812" s="508">
        <v>8.9999999999999993E-3</v>
      </c>
      <c r="N6812" s="508">
        <v>8.9999999999999993E-3</v>
      </c>
      <c r="O6812" s="508">
        <v>0.01</v>
      </c>
      <c r="P6812" s="508">
        <v>0.01</v>
      </c>
      <c r="Q6812" s="508">
        <v>7.0000000000000001E-3</v>
      </c>
      <c r="R6812" s="508">
        <v>8.9999999999999993E-3</v>
      </c>
      <c r="S6812" s="508">
        <v>7.0000000000000001E-3</v>
      </c>
      <c r="T6812" s="508">
        <v>8.9999999999999993E-3</v>
      </c>
      <c r="U6812" s="508">
        <v>7.0000000000000001E-3</v>
      </c>
      <c r="V6812" s="508">
        <v>2.5000000000000001E-2</v>
      </c>
      <c r="W6812" s="508"/>
      <c r="X6812" s="508">
        <v>2.5000000000000001E-2</v>
      </c>
      <c r="Y6812" s="508"/>
      <c r="Z6812" s="508"/>
      <c r="AA6812" s="508"/>
      <c r="AB6812" s="508"/>
      <c r="AC6812" s="508"/>
      <c r="AD6812" s="508"/>
      <c r="AE6812" s="508"/>
      <c r="AF6812" s="508"/>
      <c r="AG6812" s="508"/>
      <c r="AH6812" s="508"/>
      <c r="AI6812" s="492"/>
      <c r="AJ6812" s="485"/>
    </row>
    <row r="6813" spans="2:36">
      <c r="B6813" s="136" t="s">
        <v>440</v>
      </c>
      <c r="C6813" s="132" t="s">
        <v>1374</v>
      </c>
      <c r="D6813" s="132" t="s">
        <v>1380</v>
      </c>
      <c r="E6813" s="508">
        <v>8.0000000000000002E-3</v>
      </c>
      <c r="F6813" s="508">
        <v>8.0000000000000002E-3</v>
      </c>
      <c r="G6813" s="508">
        <v>6.0000000000000001E-3</v>
      </c>
      <c r="H6813" s="508">
        <v>7.0000000000000001E-3</v>
      </c>
      <c r="I6813" s="508">
        <v>8.0000000000000002E-3</v>
      </c>
      <c r="J6813" s="508">
        <v>0.01</v>
      </c>
      <c r="K6813" s="508">
        <v>1.0999999999999999E-2</v>
      </c>
      <c r="L6813" s="508">
        <v>1.2E-2</v>
      </c>
      <c r="M6813" s="508">
        <v>8.9999999999999993E-3</v>
      </c>
      <c r="N6813" s="508">
        <v>8.9999999999999993E-3</v>
      </c>
      <c r="O6813" s="508">
        <v>8.9999999999999993E-3</v>
      </c>
      <c r="P6813" s="508">
        <v>0.01</v>
      </c>
      <c r="Q6813" s="508">
        <v>6.0000000000000001E-3</v>
      </c>
      <c r="R6813" s="508">
        <v>8.9999999999999993E-3</v>
      </c>
      <c r="S6813" s="508">
        <v>7.0000000000000001E-3</v>
      </c>
      <c r="T6813" s="508">
        <v>8.9999999999999993E-3</v>
      </c>
      <c r="U6813" s="508">
        <v>7.0000000000000001E-3</v>
      </c>
      <c r="V6813" s="508">
        <v>2.4E-2</v>
      </c>
      <c r="W6813" s="508"/>
      <c r="X6813" s="508">
        <v>2.4E-2</v>
      </c>
      <c r="Y6813" s="508"/>
      <c r="Z6813" s="508"/>
      <c r="AA6813" s="508"/>
      <c r="AB6813" s="508"/>
      <c r="AC6813" s="508"/>
      <c r="AD6813" s="508"/>
      <c r="AE6813" s="508"/>
      <c r="AF6813" s="508"/>
      <c r="AG6813" s="508"/>
      <c r="AH6813" s="508"/>
      <c r="AI6813" s="492"/>
      <c r="AJ6813" s="485"/>
    </row>
    <row r="6814" spans="2:36">
      <c r="B6814" s="136" t="s">
        <v>441</v>
      </c>
      <c r="C6814" s="132" t="s">
        <v>1374</v>
      </c>
      <c r="D6814" s="132" t="s">
        <v>1380</v>
      </c>
      <c r="E6814" s="508">
        <v>8.9999999999999993E-3</v>
      </c>
      <c r="F6814" s="508">
        <v>8.9999999999999993E-3</v>
      </c>
      <c r="G6814" s="508">
        <v>6.0000000000000001E-3</v>
      </c>
      <c r="H6814" s="508">
        <v>7.0000000000000001E-3</v>
      </c>
      <c r="I6814" s="508">
        <v>8.0000000000000002E-3</v>
      </c>
      <c r="J6814" s="508">
        <v>0.01</v>
      </c>
      <c r="K6814" s="508">
        <v>1.2E-2</v>
      </c>
      <c r="L6814" s="508">
        <v>1.2E-2</v>
      </c>
      <c r="M6814" s="508">
        <v>8.9999999999999993E-3</v>
      </c>
      <c r="N6814" s="508">
        <v>8.9999999999999993E-3</v>
      </c>
      <c r="O6814" s="508">
        <v>0.01</v>
      </c>
      <c r="P6814" s="508">
        <v>0.01</v>
      </c>
      <c r="Q6814" s="508">
        <v>7.0000000000000001E-3</v>
      </c>
      <c r="R6814" s="508">
        <v>8.9999999999999993E-3</v>
      </c>
      <c r="S6814" s="508">
        <v>7.0000000000000001E-3</v>
      </c>
      <c r="T6814" s="508">
        <v>8.9999999999999993E-3</v>
      </c>
      <c r="U6814" s="508">
        <v>7.0000000000000001E-3</v>
      </c>
      <c r="V6814" s="508">
        <v>2.5000000000000001E-2</v>
      </c>
      <c r="W6814" s="508"/>
      <c r="X6814" s="508">
        <v>2.5000000000000001E-2</v>
      </c>
      <c r="Y6814" s="508"/>
      <c r="Z6814" s="508"/>
      <c r="AA6814" s="508"/>
      <c r="AB6814" s="508"/>
      <c r="AC6814" s="508"/>
      <c r="AD6814" s="508"/>
      <c r="AE6814" s="508"/>
      <c r="AF6814" s="508"/>
      <c r="AG6814" s="508"/>
      <c r="AH6814" s="508"/>
      <c r="AI6814" s="492"/>
      <c r="AJ6814" s="485"/>
    </row>
    <row r="6815" spans="2:36">
      <c r="B6815" s="136" t="s">
        <v>443</v>
      </c>
      <c r="C6815" s="132" t="s">
        <v>1374</v>
      </c>
      <c r="D6815" s="132" t="s">
        <v>1380</v>
      </c>
      <c r="E6815" s="508">
        <v>0.01</v>
      </c>
      <c r="F6815" s="508">
        <v>8.9999999999999993E-3</v>
      </c>
      <c r="G6815" s="508">
        <v>7.0000000000000001E-3</v>
      </c>
      <c r="H6815" s="508">
        <v>8.0000000000000002E-3</v>
      </c>
      <c r="I6815" s="508">
        <v>8.9999999999999993E-3</v>
      </c>
      <c r="J6815" s="508">
        <v>1.0999999999999999E-2</v>
      </c>
      <c r="K6815" s="508">
        <v>1.2999999999999999E-2</v>
      </c>
      <c r="L6815" s="508">
        <v>1.2999999999999999E-2</v>
      </c>
      <c r="M6815" s="508">
        <v>0.01</v>
      </c>
      <c r="N6815" s="508">
        <v>0.01</v>
      </c>
      <c r="O6815" s="508">
        <v>1.0999999999999999E-2</v>
      </c>
      <c r="P6815" s="508">
        <v>1.0999999999999999E-2</v>
      </c>
      <c r="Q6815" s="508">
        <v>7.0000000000000001E-3</v>
      </c>
      <c r="R6815" s="508">
        <v>0.01</v>
      </c>
      <c r="S6815" s="508">
        <v>8.0000000000000002E-3</v>
      </c>
      <c r="T6815" s="508">
        <v>0.01</v>
      </c>
      <c r="U6815" s="508">
        <v>8.0000000000000002E-3</v>
      </c>
      <c r="V6815" s="508">
        <v>2.8000000000000001E-2</v>
      </c>
      <c r="W6815" s="508"/>
      <c r="X6815" s="508">
        <v>2.8000000000000001E-2</v>
      </c>
      <c r="Y6815" s="508"/>
      <c r="Z6815" s="508"/>
      <c r="AA6815" s="508"/>
      <c r="AB6815" s="508"/>
      <c r="AC6815" s="508"/>
      <c r="AD6815" s="508"/>
      <c r="AE6815" s="508"/>
      <c r="AF6815" s="508"/>
      <c r="AG6815" s="508"/>
      <c r="AH6815" s="508"/>
      <c r="AI6815" s="492"/>
      <c r="AJ6815" s="485"/>
    </row>
    <row r="6816" spans="2:36">
      <c r="B6816" s="136" t="s">
        <v>445</v>
      </c>
      <c r="C6816" s="132" t="s">
        <v>1374</v>
      </c>
      <c r="D6816" s="132" t="s">
        <v>1380</v>
      </c>
      <c r="E6816" s="508">
        <v>1.2E-2</v>
      </c>
      <c r="F6816" s="508">
        <v>1.0999999999999999E-2</v>
      </c>
      <c r="G6816" s="508">
        <v>8.0000000000000002E-3</v>
      </c>
      <c r="H6816" s="508">
        <v>8.9999999999999993E-3</v>
      </c>
      <c r="I6816" s="508">
        <v>1.0999999999999999E-2</v>
      </c>
      <c r="J6816" s="508">
        <v>1.2999999999999999E-2</v>
      </c>
      <c r="K6816" s="508">
        <v>1.6E-2</v>
      </c>
      <c r="L6816" s="508">
        <v>1.6E-2</v>
      </c>
      <c r="M6816" s="508">
        <v>1.2999999999999999E-2</v>
      </c>
      <c r="N6816" s="508">
        <v>1.2E-2</v>
      </c>
      <c r="O6816" s="508">
        <v>1.2999999999999999E-2</v>
      </c>
      <c r="P6816" s="508">
        <v>1.2999999999999999E-2</v>
      </c>
      <c r="Q6816" s="508">
        <v>8.9999999999999993E-3</v>
      </c>
      <c r="R6816" s="508">
        <v>1.2E-2</v>
      </c>
      <c r="S6816" s="508">
        <v>8.9999999999999993E-3</v>
      </c>
      <c r="T6816" s="508">
        <v>1.2999999999999999E-2</v>
      </c>
      <c r="U6816" s="508">
        <v>8.9999999999999993E-3</v>
      </c>
      <c r="V6816" s="508">
        <v>3.5000000000000003E-2</v>
      </c>
      <c r="W6816" s="508"/>
      <c r="X6816" s="508">
        <v>3.5000000000000003E-2</v>
      </c>
      <c r="Y6816" s="508"/>
      <c r="Z6816" s="508"/>
      <c r="AA6816" s="508"/>
      <c r="AB6816" s="508"/>
      <c r="AC6816" s="508"/>
      <c r="AD6816" s="508"/>
      <c r="AE6816" s="508"/>
      <c r="AF6816" s="508"/>
      <c r="AG6816" s="508"/>
      <c r="AH6816" s="508"/>
      <c r="AI6816" s="492"/>
      <c r="AJ6816" s="485"/>
    </row>
    <row r="6817" spans="2:36">
      <c r="B6817" s="136" t="s">
        <v>446</v>
      </c>
      <c r="C6817" s="132" t="s">
        <v>1374</v>
      </c>
      <c r="D6817" s="132" t="s">
        <v>1380</v>
      </c>
      <c r="E6817" s="508">
        <v>0.01</v>
      </c>
      <c r="F6817" s="508">
        <v>0.01</v>
      </c>
      <c r="G6817" s="508">
        <v>7.0000000000000001E-3</v>
      </c>
      <c r="H6817" s="508">
        <v>8.0000000000000002E-3</v>
      </c>
      <c r="I6817" s="508">
        <v>0.01</v>
      </c>
      <c r="J6817" s="508">
        <v>1.2E-2</v>
      </c>
      <c r="K6817" s="508">
        <v>1.4E-2</v>
      </c>
      <c r="L6817" s="508">
        <v>1.4E-2</v>
      </c>
      <c r="M6817" s="508">
        <v>1.0999999999999999E-2</v>
      </c>
      <c r="N6817" s="508">
        <v>1.0999999999999999E-2</v>
      </c>
      <c r="O6817" s="508">
        <v>1.0999999999999999E-2</v>
      </c>
      <c r="P6817" s="508">
        <v>1.2E-2</v>
      </c>
      <c r="Q6817" s="508">
        <v>8.0000000000000002E-3</v>
      </c>
      <c r="R6817" s="508">
        <v>1.0999999999999999E-2</v>
      </c>
      <c r="S6817" s="508">
        <v>8.0000000000000002E-3</v>
      </c>
      <c r="T6817" s="508">
        <v>1.0999999999999999E-2</v>
      </c>
      <c r="U6817" s="508">
        <v>8.0000000000000002E-3</v>
      </c>
      <c r="V6817" s="508">
        <v>0.03</v>
      </c>
      <c r="W6817" s="508"/>
      <c r="X6817" s="508">
        <v>0.03</v>
      </c>
      <c r="Y6817" s="508"/>
      <c r="Z6817" s="508"/>
      <c r="AA6817" s="508"/>
      <c r="AB6817" s="508"/>
      <c r="AC6817" s="508"/>
      <c r="AD6817" s="508"/>
      <c r="AE6817" s="508"/>
      <c r="AF6817" s="508"/>
      <c r="AG6817" s="508"/>
      <c r="AH6817" s="508"/>
      <c r="AI6817" s="492"/>
      <c r="AJ6817" s="485"/>
    </row>
    <row r="6818" spans="2:36">
      <c r="B6818" s="136" t="s">
        <v>448</v>
      </c>
      <c r="C6818" s="132" t="s">
        <v>1374</v>
      </c>
      <c r="D6818" s="132" t="s">
        <v>1380</v>
      </c>
      <c r="E6818" s="508">
        <v>8.0000000000000002E-3</v>
      </c>
      <c r="F6818" s="508">
        <v>8.0000000000000002E-3</v>
      </c>
      <c r="G6818" s="508">
        <v>6.0000000000000001E-3</v>
      </c>
      <c r="H6818" s="508">
        <v>6.0000000000000001E-3</v>
      </c>
      <c r="I6818" s="508">
        <v>7.0000000000000001E-3</v>
      </c>
      <c r="J6818" s="508">
        <v>8.9999999999999993E-3</v>
      </c>
      <c r="K6818" s="508">
        <v>1.0999999999999999E-2</v>
      </c>
      <c r="L6818" s="508">
        <v>1.0999999999999999E-2</v>
      </c>
      <c r="M6818" s="508">
        <v>8.9999999999999993E-3</v>
      </c>
      <c r="N6818" s="508">
        <v>8.0000000000000002E-3</v>
      </c>
      <c r="O6818" s="508">
        <v>8.9999999999999993E-3</v>
      </c>
      <c r="P6818" s="508">
        <v>8.9999999999999993E-3</v>
      </c>
      <c r="Q6818" s="508">
        <v>6.0000000000000001E-3</v>
      </c>
      <c r="R6818" s="508">
        <v>8.0000000000000002E-3</v>
      </c>
      <c r="S6818" s="508">
        <v>6.0000000000000001E-3</v>
      </c>
      <c r="T6818" s="508">
        <v>8.9999999999999993E-3</v>
      </c>
      <c r="U6818" s="508">
        <v>6.0000000000000001E-3</v>
      </c>
      <c r="V6818" s="508">
        <v>2.1999999999999999E-2</v>
      </c>
      <c r="W6818" s="508"/>
      <c r="X6818" s="508">
        <v>2.1999999999999999E-2</v>
      </c>
      <c r="Y6818" s="508"/>
      <c r="Z6818" s="508"/>
      <c r="AA6818" s="508"/>
      <c r="AB6818" s="508"/>
      <c r="AC6818" s="508"/>
      <c r="AD6818" s="508"/>
      <c r="AE6818" s="508"/>
      <c r="AF6818" s="508"/>
      <c r="AG6818" s="508"/>
      <c r="AH6818" s="508"/>
      <c r="AI6818" s="492"/>
      <c r="AJ6818" s="485"/>
    </row>
    <row r="6819" spans="2:36">
      <c r="B6819" s="136" t="s">
        <v>449</v>
      </c>
      <c r="C6819" s="132" t="s">
        <v>1374</v>
      </c>
      <c r="D6819" s="132" t="s">
        <v>1380</v>
      </c>
      <c r="E6819" s="508">
        <v>0.01</v>
      </c>
      <c r="F6819" s="508">
        <v>0.01</v>
      </c>
      <c r="G6819" s="508">
        <v>7.0000000000000001E-3</v>
      </c>
      <c r="H6819" s="508">
        <v>8.0000000000000002E-3</v>
      </c>
      <c r="I6819" s="508">
        <v>8.9999999999999993E-3</v>
      </c>
      <c r="J6819" s="508">
        <v>1.0999999999999999E-2</v>
      </c>
      <c r="K6819" s="508">
        <v>1.2999999999999999E-2</v>
      </c>
      <c r="L6819" s="508">
        <v>1.4E-2</v>
      </c>
      <c r="M6819" s="508">
        <v>1.0999999999999999E-2</v>
      </c>
      <c r="N6819" s="508">
        <v>0.01</v>
      </c>
      <c r="O6819" s="508">
        <v>1.0999999999999999E-2</v>
      </c>
      <c r="P6819" s="508">
        <v>1.0999999999999999E-2</v>
      </c>
      <c r="Q6819" s="508">
        <v>7.0000000000000001E-3</v>
      </c>
      <c r="R6819" s="508">
        <v>0.01</v>
      </c>
      <c r="S6819" s="508">
        <v>8.0000000000000002E-3</v>
      </c>
      <c r="T6819" s="508">
        <v>1.0999999999999999E-2</v>
      </c>
      <c r="U6819" s="508">
        <v>8.0000000000000002E-3</v>
      </c>
      <c r="V6819" s="508">
        <v>2.8000000000000001E-2</v>
      </c>
      <c r="W6819" s="508"/>
      <c r="X6819" s="508">
        <v>2.8000000000000001E-2</v>
      </c>
      <c r="Y6819" s="508"/>
      <c r="Z6819" s="508"/>
      <c r="AA6819" s="508"/>
      <c r="AB6819" s="508"/>
      <c r="AC6819" s="508"/>
      <c r="AD6819" s="508"/>
      <c r="AE6819" s="508"/>
      <c r="AF6819" s="508"/>
      <c r="AG6819" s="508"/>
      <c r="AH6819" s="508"/>
      <c r="AI6819" s="492"/>
      <c r="AJ6819" s="485"/>
    </row>
    <row r="6820" spans="2:36">
      <c r="B6820" s="136" t="s">
        <v>450</v>
      </c>
      <c r="C6820" s="132" t="s">
        <v>1374</v>
      </c>
      <c r="D6820" s="132" t="s">
        <v>1380</v>
      </c>
      <c r="E6820" s="508">
        <v>0.01</v>
      </c>
      <c r="F6820" s="508">
        <v>0.01</v>
      </c>
      <c r="G6820" s="508">
        <v>9.0000000000000011E-3</v>
      </c>
      <c r="H6820" s="508">
        <v>9.0000000000000011E-3</v>
      </c>
      <c r="I6820" s="508">
        <v>0.01</v>
      </c>
      <c r="J6820" s="508">
        <v>1.0999999999999999E-2</v>
      </c>
      <c r="K6820" s="508">
        <v>1.2999999999999999E-2</v>
      </c>
      <c r="L6820" s="508">
        <v>1.2999999999999999E-2</v>
      </c>
      <c r="M6820" s="508">
        <v>1.0999999999999999E-2</v>
      </c>
      <c r="N6820" s="508">
        <v>0.01</v>
      </c>
      <c r="O6820" s="508">
        <v>1.0999999999999999E-2</v>
      </c>
      <c r="P6820" s="508">
        <v>1.0999999999999999E-2</v>
      </c>
      <c r="Q6820" s="508">
        <v>9.0000000000000011E-3</v>
      </c>
      <c r="R6820" s="508">
        <v>1.0999999999999999E-2</v>
      </c>
      <c r="S6820" s="508">
        <v>9.0000000000000011E-3</v>
      </c>
      <c r="T6820" s="508">
        <v>1.0999999999999999E-2</v>
      </c>
      <c r="U6820" s="508">
        <v>9.0000000000000011E-3</v>
      </c>
      <c r="V6820" s="508">
        <v>2.1999999999999999E-2</v>
      </c>
      <c r="W6820" s="508"/>
      <c r="X6820" s="508">
        <v>2.1999999999999999E-2</v>
      </c>
      <c r="Y6820" s="508"/>
      <c r="Z6820" s="508"/>
      <c r="AA6820" s="508"/>
      <c r="AB6820" s="508"/>
      <c r="AC6820" s="508"/>
      <c r="AD6820" s="508"/>
      <c r="AE6820" s="508"/>
      <c r="AF6820" s="508"/>
      <c r="AG6820" s="508"/>
      <c r="AH6820" s="508"/>
      <c r="AI6820" s="492"/>
      <c r="AJ6820" s="485"/>
    </row>
    <row r="6821" spans="2:36">
      <c r="B6821" s="136" t="s">
        <v>451</v>
      </c>
      <c r="C6821" s="132" t="s">
        <v>1374</v>
      </c>
      <c r="D6821" s="132" t="s">
        <v>1380</v>
      </c>
      <c r="E6821" s="508">
        <v>0.01</v>
      </c>
      <c r="F6821" s="508">
        <v>0.01</v>
      </c>
      <c r="G6821" s="508">
        <v>8.0000000000000002E-3</v>
      </c>
      <c r="H6821" s="508">
        <v>8.0000000000000002E-3</v>
      </c>
      <c r="I6821" s="508">
        <v>0.01</v>
      </c>
      <c r="J6821" s="508">
        <v>1.2E-2</v>
      </c>
      <c r="K6821" s="508">
        <v>1.4E-2</v>
      </c>
      <c r="L6821" s="508">
        <v>1.4999999999999999E-2</v>
      </c>
      <c r="M6821" s="508">
        <v>1.0999999999999999E-2</v>
      </c>
      <c r="N6821" s="508">
        <v>1.0999999999999999E-2</v>
      </c>
      <c r="O6821" s="508">
        <v>1.2E-2</v>
      </c>
      <c r="P6821" s="508">
        <v>1.2E-2</v>
      </c>
      <c r="Q6821" s="508">
        <v>8.0000000000000002E-3</v>
      </c>
      <c r="R6821" s="508">
        <v>1.0999999999999999E-2</v>
      </c>
      <c r="S6821" s="508">
        <v>8.0000000000000002E-3</v>
      </c>
      <c r="T6821" s="508">
        <v>1.0999999999999999E-2</v>
      </c>
      <c r="U6821" s="508">
        <v>8.0000000000000002E-3</v>
      </c>
      <c r="V6821" s="508">
        <v>3.1E-2</v>
      </c>
      <c r="W6821" s="508"/>
      <c r="X6821" s="508">
        <v>3.1E-2</v>
      </c>
      <c r="Y6821" s="508"/>
      <c r="Z6821" s="508"/>
      <c r="AA6821" s="508"/>
      <c r="AB6821" s="508"/>
      <c r="AC6821" s="508"/>
      <c r="AD6821" s="508"/>
      <c r="AE6821" s="508"/>
      <c r="AF6821" s="508"/>
      <c r="AG6821" s="508"/>
      <c r="AH6821" s="508"/>
      <c r="AI6821" s="492"/>
      <c r="AJ6821" s="485"/>
    </row>
    <row r="6822" spans="2:36">
      <c r="B6822" s="136" t="s">
        <v>452</v>
      </c>
      <c r="C6822" s="132" t="s">
        <v>1374</v>
      </c>
      <c r="D6822" s="132" t="s">
        <v>1380</v>
      </c>
      <c r="E6822" s="508">
        <v>8.9999999999999993E-3</v>
      </c>
      <c r="F6822" s="508">
        <v>8.9999999999999993E-3</v>
      </c>
      <c r="G6822" s="508">
        <v>7.0000000000000001E-3</v>
      </c>
      <c r="H6822" s="508">
        <v>7.0000000000000001E-3</v>
      </c>
      <c r="I6822" s="508">
        <v>8.0000000000000002E-3</v>
      </c>
      <c r="J6822" s="508">
        <v>0.01</v>
      </c>
      <c r="K6822" s="508">
        <v>1.2E-2</v>
      </c>
      <c r="L6822" s="508">
        <v>1.2999999999999999E-2</v>
      </c>
      <c r="M6822" s="508">
        <v>0.01</v>
      </c>
      <c r="N6822" s="508">
        <v>0.01</v>
      </c>
      <c r="O6822" s="508">
        <v>0.01</v>
      </c>
      <c r="P6822" s="508">
        <v>0.01</v>
      </c>
      <c r="Q6822" s="508">
        <v>7.0000000000000001E-3</v>
      </c>
      <c r="R6822" s="508">
        <v>8.9999999999999993E-3</v>
      </c>
      <c r="S6822" s="508">
        <v>7.0000000000000001E-3</v>
      </c>
      <c r="T6822" s="508">
        <v>0.01</v>
      </c>
      <c r="U6822" s="508">
        <v>7.0000000000000001E-3</v>
      </c>
      <c r="V6822" s="508">
        <v>2.5999999999999999E-2</v>
      </c>
      <c r="W6822" s="508"/>
      <c r="X6822" s="508">
        <v>2.5999999999999999E-2</v>
      </c>
      <c r="Y6822" s="508"/>
      <c r="Z6822" s="508"/>
      <c r="AA6822" s="508"/>
      <c r="AB6822" s="508"/>
      <c r="AC6822" s="508"/>
      <c r="AD6822" s="508"/>
      <c r="AE6822" s="508"/>
      <c r="AF6822" s="508"/>
      <c r="AG6822" s="508"/>
      <c r="AH6822" s="508"/>
      <c r="AI6822" s="492"/>
      <c r="AJ6822" s="485"/>
    </row>
    <row r="6823" spans="2:36">
      <c r="B6823" s="136" t="s">
        <v>453</v>
      </c>
      <c r="C6823" s="132" t="s">
        <v>1374</v>
      </c>
      <c r="D6823" s="132" t="s">
        <v>1380</v>
      </c>
      <c r="E6823" s="508">
        <v>8.0000000000000002E-3</v>
      </c>
      <c r="F6823" s="508">
        <v>8.0000000000000002E-3</v>
      </c>
      <c r="G6823" s="508">
        <v>6.0000000000000001E-3</v>
      </c>
      <c r="H6823" s="508">
        <v>6.0000000000000001E-3</v>
      </c>
      <c r="I6823" s="508">
        <v>7.0000000000000001E-3</v>
      </c>
      <c r="J6823" s="508">
        <v>8.9999999999999993E-3</v>
      </c>
      <c r="K6823" s="508">
        <v>0.01</v>
      </c>
      <c r="L6823" s="508">
        <v>1.0999999999999999E-2</v>
      </c>
      <c r="M6823" s="508">
        <v>8.0000000000000002E-3</v>
      </c>
      <c r="N6823" s="508">
        <v>8.0000000000000002E-3</v>
      </c>
      <c r="O6823" s="508">
        <v>8.9999999999999993E-3</v>
      </c>
      <c r="P6823" s="508">
        <v>8.9999999999999993E-3</v>
      </c>
      <c r="Q6823" s="508">
        <v>6.0000000000000001E-3</v>
      </c>
      <c r="R6823" s="508">
        <v>8.0000000000000002E-3</v>
      </c>
      <c r="S6823" s="508">
        <v>6.0000000000000001E-3</v>
      </c>
      <c r="T6823" s="508">
        <v>8.0000000000000002E-3</v>
      </c>
      <c r="U6823" s="508">
        <v>6.0000000000000001E-3</v>
      </c>
      <c r="V6823" s="508">
        <v>2.1000000000000001E-2</v>
      </c>
      <c r="W6823" s="508"/>
      <c r="X6823" s="508">
        <v>2.1000000000000001E-2</v>
      </c>
      <c r="Y6823" s="508"/>
      <c r="Z6823" s="508"/>
      <c r="AA6823" s="508"/>
      <c r="AB6823" s="508"/>
      <c r="AC6823" s="508"/>
      <c r="AD6823" s="508"/>
      <c r="AE6823" s="508"/>
      <c r="AF6823" s="508"/>
      <c r="AG6823" s="508"/>
      <c r="AH6823" s="508"/>
      <c r="AI6823" s="492"/>
      <c r="AJ6823" s="485"/>
    </row>
    <row r="6824" spans="2:36">
      <c r="B6824" s="136" t="s">
        <v>454</v>
      </c>
      <c r="C6824" s="132" t="s">
        <v>1374</v>
      </c>
      <c r="D6824" s="132" t="s">
        <v>1380</v>
      </c>
      <c r="E6824" s="508">
        <v>8.0000000000000002E-3</v>
      </c>
      <c r="F6824" s="508">
        <v>8.0000000000000002E-3</v>
      </c>
      <c r="G6824" s="508">
        <v>6.0000000000000001E-3</v>
      </c>
      <c r="H6824" s="508">
        <v>6.0000000000000001E-3</v>
      </c>
      <c r="I6824" s="508">
        <v>7.0000000000000001E-3</v>
      </c>
      <c r="J6824" s="508">
        <v>8.9999999999999993E-3</v>
      </c>
      <c r="K6824" s="508">
        <v>1.0999999999999999E-2</v>
      </c>
      <c r="L6824" s="508">
        <v>1.0999999999999999E-2</v>
      </c>
      <c r="M6824" s="508">
        <v>8.9999999999999993E-3</v>
      </c>
      <c r="N6824" s="508">
        <v>8.0000000000000002E-3</v>
      </c>
      <c r="O6824" s="508">
        <v>8.9999999999999993E-3</v>
      </c>
      <c r="P6824" s="508">
        <v>8.9999999999999993E-3</v>
      </c>
      <c r="Q6824" s="508">
        <v>6.0000000000000001E-3</v>
      </c>
      <c r="R6824" s="508">
        <v>8.0000000000000002E-3</v>
      </c>
      <c r="S6824" s="508">
        <v>6.0000000000000001E-3</v>
      </c>
      <c r="T6824" s="508">
        <v>8.9999999999999993E-3</v>
      </c>
      <c r="U6824" s="508">
        <v>6.0000000000000001E-3</v>
      </c>
      <c r="V6824" s="508">
        <v>2.1999999999999999E-2</v>
      </c>
      <c r="W6824" s="508"/>
      <c r="X6824" s="508">
        <v>2.1999999999999999E-2</v>
      </c>
      <c r="Y6824" s="508"/>
      <c r="Z6824" s="508"/>
      <c r="AA6824" s="508"/>
      <c r="AB6824" s="508"/>
      <c r="AC6824" s="508"/>
      <c r="AD6824" s="508"/>
      <c r="AE6824" s="508"/>
      <c r="AF6824" s="508"/>
      <c r="AG6824" s="508"/>
      <c r="AH6824" s="508"/>
      <c r="AI6824" s="492"/>
      <c r="AJ6824" s="485"/>
    </row>
    <row r="6825" spans="2:36">
      <c r="B6825" s="136" t="s">
        <v>455</v>
      </c>
      <c r="C6825" s="132" t="s">
        <v>1374</v>
      </c>
      <c r="D6825" s="132" t="s">
        <v>1380</v>
      </c>
      <c r="E6825" s="508">
        <v>7.0000000000000001E-3</v>
      </c>
      <c r="F6825" s="508">
        <v>7.0000000000000001E-3</v>
      </c>
      <c r="G6825" s="508">
        <v>5.0000000000000001E-3</v>
      </c>
      <c r="H6825" s="508">
        <v>6.0000000000000001E-3</v>
      </c>
      <c r="I6825" s="508">
        <v>7.0000000000000001E-3</v>
      </c>
      <c r="J6825" s="508">
        <v>8.0000000000000002E-3</v>
      </c>
      <c r="K6825" s="508">
        <v>0.01</v>
      </c>
      <c r="L6825" s="508">
        <v>0.01</v>
      </c>
      <c r="M6825" s="508">
        <v>8.0000000000000002E-3</v>
      </c>
      <c r="N6825" s="508">
        <v>8.0000000000000002E-3</v>
      </c>
      <c r="O6825" s="508">
        <v>8.0000000000000002E-3</v>
      </c>
      <c r="P6825" s="508">
        <v>8.9999999999999993E-3</v>
      </c>
      <c r="Q6825" s="508">
        <v>6.0000000000000001E-3</v>
      </c>
      <c r="R6825" s="508">
        <v>8.0000000000000002E-3</v>
      </c>
      <c r="S6825" s="508">
        <v>6.0000000000000001E-3</v>
      </c>
      <c r="T6825" s="508">
        <v>8.0000000000000002E-3</v>
      </c>
      <c r="U6825" s="508">
        <v>6.0000000000000001E-3</v>
      </c>
      <c r="V6825" s="508">
        <v>0.02</v>
      </c>
      <c r="W6825" s="508"/>
      <c r="X6825" s="508">
        <v>0.02</v>
      </c>
      <c r="Y6825" s="508"/>
      <c r="Z6825" s="508"/>
      <c r="AA6825" s="508"/>
      <c r="AB6825" s="508"/>
      <c r="AC6825" s="508"/>
      <c r="AD6825" s="508"/>
      <c r="AE6825" s="508"/>
      <c r="AF6825" s="508"/>
      <c r="AG6825" s="508"/>
      <c r="AH6825" s="508"/>
      <c r="AI6825" s="492"/>
      <c r="AJ6825" s="485"/>
    </row>
    <row r="6826" spans="2:36">
      <c r="B6826" s="136" t="s">
        <v>456</v>
      </c>
      <c r="C6826" s="132" t="s">
        <v>1374</v>
      </c>
      <c r="D6826" s="132" t="s">
        <v>1380</v>
      </c>
      <c r="E6826" s="508">
        <v>8.0000000000000002E-3</v>
      </c>
      <c r="F6826" s="508">
        <v>8.0000000000000002E-3</v>
      </c>
      <c r="G6826" s="508">
        <v>6.0000000000000001E-3</v>
      </c>
      <c r="H6826" s="508">
        <v>7.0000000000000001E-3</v>
      </c>
      <c r="I6826" s="508">
        <v>8.0000000000000002E-3</v>
      </c>
      <c r="J6826" s="508">
        <v>0.01</v>
      </c>
      <c r="K6826" s="508">
        <v>1.0999999999999999E-2</v>
      </c>
      <c r="L6826" s="508">
        <v>1.2E-2</v>
      </c>
      <c r="M6826" s="508">
        <v>8.9999999999999993E-3</v>
      </c>
      <c r="N6826" s="508">
        <v>8.9999999999999993E-3</v>
      </c>
      <c r="O6826" s="508">
        <v>8.9999999999999993E-3</v>
      </c>
      <c r="P6826" s="508">
        <v>0.01</v>
      </c>
      <c r="Q6826" s="508">
        <v>6.0000000000000001E-3</v>
      </c>
      <c r="R6826" s="508">
        <v>8.9999999999999993E-3</v>
      </c>
      <c r="S6826" s="508">
        <v>7.0000000000000001E-3</v>
      </c>
      <c r="T6826" s="508">
        <v>8.9999999999999993E-3</v>
      </c>
      <c r="U6826" s="508">
        <v>7.0000000000000001E-3</v>
      </c>
      <c r="V6826" s="508">
        <v>2.3E-2</v>
      </c>
      <c r="W6826" s="508"/>
      <c r="X6826" s="508">
        <v>2.3E-2</v>
      </c>
      <c r="Y6826" s="508"/>
      <c r="Z6826" s="508"/>
      <c r="AA6826" s="508"/>
      <c r="AB6826" s="508"/>
      <c r="AC6826" s="508"/>
      <c r="AD6826" s="508"/>
      <c r="AE6826" s="508"/>
      <c r="AF6826" s="508"/>
      <c r="AG6826" s="508"/>
      <c r="AH6826" s="508"/>
      <c r="AI6826" s="492"/>
      <c r="AJ6826" s="485"/>
    </row>
    <row r="6827" spans="2:36">
      <c r="B6827" s="136" t="s">
        <v>457</v>
      </c>
      <c r="C6827" s="132" t="s">
        <v>1374</v>
      </c>
      <c r="D6827" s="132" t="s">
        <v>1380</v>
      </c>
      <c r="E6827" s="508">
        <v>7.0000000000000001E-3</v>
      </c>
      <c r="F6827" s="508">
        <v>7.0000000000000001E-3</v>
      </c>
      <c r="G6827" s="508">
        <v>5.0000000000000001E-3</v>
      </c>
      <c r="H6827" s="508">
        <v>6.0000000000000001E-3</v>
      </c>
      <c r="I6827" s="508">
        <v>7.0000000000000001E-3</v>
      </c>
      <c r="J6827" s="508">
        <v>8.0000000000000002E-3</v>
      </c>
      <c r="K6827" s="508">
        <v>0.01</v>
      </c>
      <c r="L6827" s="508">
        <v>0.01</v>
      </c>
      <c r="M6827" s="508">
        <v>8.0000000000000002E-3</v>
      </c>
      <c r="N6827" s="508">
        <v>8.0000000000000002E-3</v>
      </c>
      <c r="O6827" s="508">
        <v>8.0000000000000002E-3</v>
      </c>
      <c r="P6827" s="508">
        <v>8.0000000000000002E-3</v>
      </c>
      <c r="Q6827" s="508">
        <v>6.0000000000000001E-3</v>
      </c>
      <c r="R6827" s="508">
        <v>8.0000000000000002E-3</v>
      </c>
      <c r="S6827" s="508">
        <v>6.0000000000000001E-3</v>
      </c>
      <c r="T6827" s="508">
        <v>8.0000000000000002E-3</v>
      </c>
      <c r="U6827" s="508">
        <v>6.0000000000000001E-3</v>
      </c>
      <c r="V6827" s="508">
        <v>1.9E-2</v>
      </c>
      <c r="W6827" s="508"/>
      <c r="X6827" s="508">
        <v>1.9E-2</v>
      </c>
      <c r="Y6827" s="508"/>
      <c r="Z6827" s="508"/>
      <c r="AA6827" s="508"/>
      <c r="AB6827" s="508"/>
      <c r="AC6827" s="508"/>
      <c r="AD6827" s="508"/>
      <c r="AE6827" s="508"/>
      <c r="AF6827" s="508"/>
      <c r="AG6827" s="508"/>
      <c r="AH6827" s="508"/>
      <c r="AI6827" s="492"/>
      <c r="AJ6827" s="485"/>
    </row>
    <row r="6828" spans="2:36">
      <c r="B6828" s="136" t="s">
        <v>458</v>
      </c>
      <c r="C6828" s="132" t="s">
        <v>1374</v>
      </c>
      <c r="D6828" s="132" t="s">
        <v>1380</v>
      </c>
      <c r="E6828" s="508">
        <v>8.0000000000000002E-3</v>
      </c>
      <c r="F6828" s="508">
        <v>8.0000000000000002E-3</v>
      </c>
      <c r="G6828" s="508">
        <v>6.0000000000000001E-3</v>
      </c>
      <c r="H6828" s="508">
        <v>7.0000000000000001E-3</v>
      </c>
      <c r="I6828" s="508">
        <v>8.0000000000000002E-3</v>
      </c>
      <c r="J6828" s="508">
        <v>0.01</v>
      </c>
      <c r="K6828" s="508">
        <v>1.0999999999999999E-2</v>
      </c>
      <c r="L6828" s="508">
        <v>1.2E-2</v>
      </c>
      <c r="M6828" s="508">
        <v>8.9999999999999993E-3</v>
      </c>
      <c r="N6828" s="508">
        <v>8.9999999999999993E-3</v>
      </c>
      <c r="O6828" s="508">
        <v>8.9999999999999993E-3</v>
      </c>
      <c r="P6828" s="508">
        <v>0.01</v>
      </c>
      <c r="Q6828" s="508">
        <v>6.0000000000000001E-3</v>
      </c>
      <c r="R6828" s="508">
        <v>8.9999999999999993E-3</v>
      </c>
      <c r="S6828" s="508">
        <v>7.0000000000000001E-3</v>
      </c>
      <c r="T6828" s="508">
        <v>8.9999999999999993E-3</v>
      </c>
      <c r="U6828" s="508">
        <v>7.0000000000000001E-3</v>
      </c>
      <c r="V6828" s="508">
        <v>2.4E-2</v>
      </c>
      <c r="W6828" s="508"/>
      <c r="X6828" s="508">
        <v>2.4E-2</v>
      </c>
      <c r="Y6828" s="508"/>
      <c r="Z6828" s="508"/>
      <c r="AA6828" s="508"/>
      <c r="AB6828" s="508"/>
      <c r="AC6828" s="508"/>
      <c r="AD6828" s="508"/>
      <c r="AE6828" s="508"/>
      <c r="AF6828" s="508"/>
      <c r="AG6828" s="508"/>
      <c r="AH6828" s="508"/>
      <c r="AI6828" s="492"/>
      <c r="AJ6828" s="485"/>
    </row>
    <row r="6829" spans="2:36">
      <c r="B6829" s="136" t="s">
        <v>459</v>
      </c>
      <c r="C6829" s="132" t="s">
        <v>1374</v>
      </c>
      <c r="D6829" s="132" t="s">
        <v>1380</v>
      </c>
      <c r="E6829" s="508">
        <v>8.0000000000000002E-3</v>
      </c>
      <c r="F6829" s="508">
        <v>8.0000000000000002E-3</v>
      </c>
      <c r="G6829" s="508">
        <v>6.0000000000000001E-3</v>
      </c>
      <c r="H6829" s="508">
        <v>7.0000000000000001E-3</v>
      </c>
      <c r="I6829" s="508">
        <v>8.0000000000000002E-3</v>
      </c>
      <c r="J6829" s="508">
        <v>0.01</v>
      </c>
      <c r="K6829" s="508">
        <v>1.0999999999999999E-2</v>
      </c>
      <c r="L6829" s="508">
        <v>1.2E-2</v>
      </c>
      <c r="M6829" s="508">
        <v>8.9999999999999993E-3</v>
      </c>
      <c r="N6829" s="508">
        <v>8.9999999999999993E-3</v>
      </c>
      <c r="O6829" s="508">
        <v>8.9999999999999993E-3</v>
      </c>
      <c r="P6829" s="508">
        <v>0.01</v>
      </c>
      <c r="Q6829" s="508">
        <v>6.0000000000000001E-3</v>
      </c>
      <c r="R6829" s="508">
        <v>8.9999999999999993E-3</v>
      </c>
      <c r="S6829" s="508">
        <v>7.0000000000000001E-3</v>
      </c>
      <c r="T6829" s="508">
        <v>8.9999999999999993E-3</v>
      </c>
      <c r="U6829" s="508">
        <v>7.0000000000000001E-3</v>
      </c>
      <c r="V6829" s="508">
        <v>2.4E-2</v>
      </c>
      <c r="W6829" s="508"/>
      <c r="X6829" s="508">
        <v>2.4E-2</v>
      </c>
      <c r="Y6829" s="508"/>
      <c r="Z6829" s="508"/>
      <c r="AA6829" s="508"/>
      <c r="AB6829" s="508"/>
      <c r="AC6829" s="508"/>
      <c r="AD6829" s="508"/>
      <c r="AE6829" s="508"/>
      <c r="AF6829" s="508"/>
      <c r="AG6829" s="508"/>
      <c r="AH6829" s="508"/>
      <c r="AI6829" s="492"/>
      <c r="AJ6829" s="485"/>
    </row>
    <row r="6830" spans="2:36">
      <c r="B6830" s="136" t="s">
        <v>460</v>
      </c>
      <c r="C6830" s="132" t="s">
        <v>1374</v>
      </c>
      <c r="D6830" s="132" t="s">
        <v>1380</v>
      </c>
      <c r="E6830" s="508">
        <v>8.9999999999999993E-3</v>
      </c>
      <c r="F6830" s="508">
        <v>8.0000000000000002E-3</v>
      </c>
      <c r="G6830" s="508">
        <v>6.0000000000000001E-3</v>
      </c>
      <c r="H6830" s="508">
        <v>7.0000000000000001E-3</v>
      </c>
      <c r="I6830" s="508">
        <v>8.0000000000000002E-3</v>
      </c>
      <c r="J6830" s="508">
        <v>0.01</v>
      </c>
      <c r="K6830" s="508">
        <v>1.2E-2</v>
      </c>
      <c r="L6830" s="508">
        <v>1.2E-2</v>
      </c>
      <c r="M6830" s="508">
        <v>8.9999999999999993E-3</v>
      </c>
      <c r="N6830" s="508">
        <v>8.9999999999999993E-3</v>
      </c>
      <c r="O6830" s="508">
        <v>0.01</v>
      </c>
      <c r="P6830" s="508">
        <v>0.01</v>
      </c>
      <c r="Q6830" s="508">
        <v>7.0000000000000001E-3</v>
      </c>
      <c r="R6830" s="508">
        <v>8.9999999999999993E-3</v>
      </c>
      <c r="S6830" s="508">
        <v>7.0000000000000001E-3</v>
      </c>
      <c r="T6830" s="508">
        <v>8.9999999999999993E-3</v>
      </c>
      <c r="U6830" s="508">
        <v>7.0000000000000001E-3</v>
      </c>
      <c r="V6830" s="508">
        <v>2.4E-2</v>
      </c>
      <c r="W6830" s="508"/>
      <c r="X6830" s="508">
        <v>2.4E-2</v>
      </c>
      <c r="Y6830" s="508"/>
      <c r="Z6830" s="508"/>
      <c r="AA6830" s="508"/>
      <c r="AB6830" s="508"/>
      <c r="AC6830" s="508"/>
      <c r="AD6830" s="508"/>
      <c r="AE6830" s="508"/>
      <c r="AF6830" s="508"/>
      <c r="AG6830" s="508"/>
      <c r="AH6830" s="508"/>
      <c r="AI6830" s="492"/>
      <c r="AJ6830" s="485"/>
    </row>
    <row r="6831" spans="2:36">
      <c r="B6831" s="136" t="s">
        <v>461</v>
      </c>
      <c r="C6831" s="132" t="s">
        <v>1374</v>
      </c>
      <c r="D6831" s="132" t="s">
        <v>1380</v>
      </c>
      <c r="E6831" s="508">
        <v>8.0000000000000002E-3</v>
      </c>
      <c r="F6831" s="508">
        <v>8.0000000000000002E-3</v>
      </c>
      <c r="G6831" s="508">
        <v>6.0000000000000001E-3</v>
      </c>
      <c r="H6831" s="508">
        <v>7.0000000000000001E-3</v>
      </c>
      <c r="I6831" s="508">
        <v>8.0000000000000002E-3</v>
      </c>
      <c r="J6831" s="508">
        <v>8.9999999999999993E-3</v>
      </c>
      <c r="K6831" s="508">
        <v>1.0999999999999999E-2</v>
      </c>
      <c r="L6831" s="508">
        <v>1.0999999999999999E-2</v>
      </c>
      <c r="M6831" s="508">
        <v>8.9999999999999993E-3</v>
      </c>
      <c r="N6831" s="508">
        <v>8.9999999999999993E-3</v>
      </c>
      <c r="O6831" s="508">
        <v>8.9999999999999993E-3</v>
      </c>
      <c r="P6831" s="508">
        <v>0.01</v>
      </c>
      <c r="Q6831" s="508">
        <v>6.0000000000000001E-3</v>
      </c>
      <c r="R6831" s="508">
        <v>8.9999999999999993E-3</v>
      </c>
      <c r="S6831" s="508">
        <v>7.0000000000000001E-3</v>
      </c>
      <c r="T6831" s="508">
        <v>8.9999999999999993E-3</v>
      </c>
      <c r="U6831" s="508">
        <v>7.0000000000000001E-3</v>
      </c>
      <c r="V6831" s="508">
        <v>2.3E-2</v>
      </c>
      <c r="W6831" s="508"/>
      <c r="X6831" s="508">
        <v>2.3E-2</v>
      </c>
      <c r="Y6831" s="508"/>
      <c r="Z6831" s="508"/>
      <c r="AA6831" s="508"/>
      <c r="AB6831" s="508"/>
      <c r="AC6831" s="508"/>
      <c r="AD6831" s="508"/>
      <c r="AE6831" s="508"/>
      <c r="AF6831" s="508"/>
      <c r="AG6831" s="508"/>
      <c r="AH6831" s="508"/>
      <c r="AI6831" s="492"/>
      <c r="AJ6831" s="485"/>
    </row>
    <row r="6832" spans="2:36">
      <c r="B6832" s="136" t="s">
        <v>462</v>
      </c>
      <c r="C6832" s="132" t="s">
        <v>1374</v>
      </c>
      <c r="D6832" s="132" t="s">
        <v>1380</v>
      </c>
      <c r="E6832" s="508">
        <v>8.0000000000000002E-3</v>
      </c>
      <c r="F6832" s="508">
        <v>8.0000000000000002E-3</v>
      </c>
      <c r="G6832" s="508">
        <v>6.0000000000000001E-3</v>
      </c>
      <c r="H6832" s="508">
        <v>6.0000000000000001E-3</v>
      </c>
      <c r="I6832" s="508">
        <v>8.0000000000000002E-3</v>
      </c>
      <c r="J6832" s="508">
        <v>8.9999999999999993E-3</v>
      </c>
      <c r="K6832" s="508">
        <v>1.0999999999999999E-2</v>
      </c>
      <c r="L6832" s="508">
        <v>1.0999999999999999E-2</v>
      </c>
      <c r="M6832" s="508">
        <v>8.9999999999999993E-3</v>
      </c>
      <c r="N6832" s="508">
        <v>8.0000000000000002E-3</v>
      </c>
      <c r="O6832" s="508">
        <v>8.9999999999999993E-3</v>
      </c>
      <c r="P6832" s="508">
        <v>8.9999999999999993E-3</v>
      </c>
      <c r="Q6832" s="508">
        <v>6.0000000000000001E-3</v>
      </c>
      <c r="R6832" s="508">
        <v>8.0000000000000002E-3</v>
      </c>
      <c r="S6832" s="508">
        <v>6.0000000000000001E-3</v>
      </c>
      <c r="T6832" s="508">
        <v>8.9999999999999993E-3</v>
      </c>
      <c r="U6832" s="508">
        <v>6.0000000000000001E-3</v>
      </c>
      <c r="V6832" s="508">
        <v>2.1999999999999999E-2</v>
      </c>
      <c r="W6832" s="508"/>
      <c r="X6832" s="508">
        <v>2.1999999999999999E-2</v>
      </c>
      <c r="Y6832" s="508"/>
      <c r="Z6832" s="508"/>
      <c r="AA6832" s="508"/>
      <c r="AB6832" s="508"/>
      <c r="AC6832" s="508"/>
      <c r="AD6832" s="508"/>
      <c r="AE6832" s="508"/>
      <c r="AF6832" s="508"/>
      <c r="AG6832" s="508"/>
      <c r="AH6832" s="508"/>
      <c r="AI6832" s="492"/>
      <c r="AJ6832" s="485"/>
    </row>
    <row r="6833" spans="2:36">
      <c r="B6833" s="136" t="s">
        <v>463</v>
      </c>
      <c r="C6833" s="132" t="s">
        <v>1374</v>
      </c>
      <c r="D6833" s="132" t="s">
        <v>1380</v>
      </c>
      <c r="E6833" s="508">
        <v>7.0000000000000001E-3</v>
      </c>
      <c r="F6833" s="508">
        <v>7.0000000000000001E-3</v>
      </c>
      <c r="G6833" s="508">
        <v>5.0000000000000001E-3</v>
      </c>
      <c r="H6833" s="508">
        <v>6.0000000000000001E-3</v>
      </c>
      <c r="I6833" s="508">
        <v>7.0000000000000001E-3</v>
      </c>
      <c r="J6833" s="508">
        <v>8.0000000000000002E-3</v>
      </c>
      <c r="K6833" s="508">
        <v>0.01</v>
      </c>
      <c r="L6833" s="508">
        <v>0.01</v>
      </c>
      <c r="M6833" s="508">
        <v>8.0000000000000002E-3</v>
      </c>
      <c r="N6833" s="508">
        <v>8.0000000000000002E-3</v>
      </c>
      <c r="O6833" s="508">
        <v>8.0000000000000002E-3</v>
      </c>
      <c r="P6833" s="508">
        <v>8.0000000000000002E-3</v>
      </c>
      <c r="Q6833" s="508">
        <v>6.0000000000000001E-3</v>
      </c>
      <c r="R6833" s="508">
        <v>8.0000000000000002E-3</v>
      </c>
      <c r="S6833" s="508">
        <v>6.0000000000000001E-3</v>
      </c>
      <c r="T6833" s="508">
        <v>8.0000000000000002E-3</v>
      </c>
      <c r="U6833" s="508">
        <v>6.0000000000000001E-3</v>
      </c>
      <c r="V6833" s="508">
        <v>0.02</v>
      </c>
      <c r="W6833" s="508"/>
      <c r="X6833" s="508">
        <v>0.02</v>
      </c>
      <c r="Y6833" s="508"/>
      <c r="Z6833" s="508"/>
      <c r="AA6833" s="508"/>
      <c r="AB6833" s="508"/>
      <c r="AC6833" s="508"/>
      <c r="AD6833" s="508"/>
      <c r="AE6833" s="508"/>
      <c r="AF6833" s="508"/>
      <c r="AG6833" s="508"/>
      <c r="AH6833" s="508"/>
      <c r="AI6833" s="492"/>
      <c r="AJ6833" s="485"/>
    </row>
    <row r="6834" spans="2:36">
      <c r="B6834" s="136" t="s">
        <v>464</v>
      </c>
      <c r="C6834" s="132" t="s">
        <v>1374</v>
      </c>
      <c r="D6834" s="132" t="s">
        <v>1380</v>
      </c>
      <c r="E6834" s="508">
        <v>7.0000000000000001E-3</v>
      </c>
      <c r="F6834" s="508">
        <v>7.0000000000000001E-3</v>
      </c>
      <c r="G6834" s="508">
        <v>5.0000000000000001E-3</v>
      </c>
      <c r="H6834" s="508">
        <v>6.0000000000000001E-3</v>
      </c>
      <c r="I6834" s="508">
        <v>7.0000000000000001E-3</v>
      </c>
      <c r="J6834" s="508">
        <v>8.0000000000000002E-3</v>
      </c>
      <c r="K6834" s="508">
        <v>8.9999999999999993E-3</v>
      </c>
      <c r="L6834" s="508">
        <v>0.01</v>
      </c>
      <c r="M6834" s="508">
        <v>8.0000000000000002E-3</v>
      </c>
      <c r="N6834" s="508">
        <v>8.0000000000000002E-3</v>
      </c>
      <c r="O6834" s="508">
        <v>8.0000000000000002E-3</v>
      </c>
      <c r="P6834" s="508">
        <v>8.0000000000000002E-3</v>
      </c>
      <c r="Q6834" s="508">
        <v>5.0000000000000001E-3</v>
      </c>
      <c r="R6834" s="508">
        <v>7.0000000000000001E-3</v>
      </c>
      <c r="S6834" s="508">
        <v>6.0000000000000001E-3</v>
      </c>
      <c r="T6834" s="508">
        <v>8.0000000000000002E-3</v>
      </c>
      <c r="U6834" s="508">
        <v>6.0000000000000001E-3</v>
      </c>
      <c r="V6834" s="508">
        <v>1.9E-2</v>
      </c>
      <c r="W6834" s="508"/>
      <c r="X6834" s="508">
        <v>1.9E-2</v>
      </c>
      <c r="Y6834" s="508"/>
      <c r="Z6834" s="508"/>
      <c r="AA6834" s="508"/>
      <c r="AB6834" s="508"/>
      <c r="AC6834" s="508"/>
      <c r="AD6834" s="508"/>
      <c r="AE6834" s="508"/>
      <c r="AF6834" s="508"/>
      <c r="AG6834" s="508"/>
      <c r="AH6834" s="508"/>
      <c r="AI6834" s="492"/>
      <c r="AJ6834" s="485"/>
    </row>
    <row r="6835" spans="2:36">
      <c r="B6835" s="136" t="s">
        <v>465</v>
      </c>
      <c r="C6835" s="132" t="s">
        <v>1374</v>
      </c>
      <c r="D6835" s="132" t="s">
        <v>1380</v>
      </c>
      <c r="E6835" s="508">
        <v>7.0000000000000001E-3</v>
      </c>
      <c r="F6835" s="508">
        <v>7.0000000000000001E-3</v>
      </c>
      <c r="G6835" s="508">
        <v>5.0000000000000001E-3</v>
      </c>
      <c r="H6835" s="508">
        <v>6.0000000000000001E-3</v>
      </c>
      <c r="I6835" s="508">
        <v>7.0000000000000001E-3</v>
      </c>
      <c r="J6835" s="508">
        <v>8.9999999999999993E-3</v>
      </c>
      <c r="K6835" s="508">
        <v>0.01</v>
      </c>
      <c r="L6835" s="508">
        <v>0.01</v>
      </c>
      <c r="M6835" s="508">
        <v>8.0000000000000002E-3</v>
      </c>
      <c r="N6835" s="508">
        <v>8.0000000000000002E-3</v>
      </c>
      <c r="O6835" s="508">
        <v>8.0000000000000002E-3</v>
      </c>
      <c r="P6835" s="508">
        <v>8.9999999999999993E-3</v>
      </c>
      <c r="Q6835" s="508">
        <v>6.0000000000000001E-3</v>
      </c>
      <c r="R6835" s="508">
        <v>8.0000000000000002E-3</v>
      </c>
      <c r="S6835" s="508">
        <v>6.0000000000000001E-3</v>
      </c>
      <c r="T6835" s="508">
        <v>8.0000000000000002E-3</v>
      </c>
      <c r="U6835" s="508">
        <v>6.0000000000000001E-3</v>
      </c>
      <c r="V6835" s="508">
        <v>2.1000000000000001E-2</v>
      </c>
      <c r="W6835" s="508"/>
      <c r="X6835" s="508">
        <v>2.1000000000000001E-2</v>
      </c>
      <c r="Y6835" s="508"/>
      <c r="Z6835" s="508"/>
      <c r="AA6835" s="508"/>
      <c r="AB6835" s="508"/>
      <c r="AC6835" s="508"/>
      <c r="AD6835" s="508"/>
      <c r="AE6835" s="508"/>
      <c r="AF6835" s="508"/>
      <c r="AG6835" s="508"/>
      <c r="AH6835" s="508"/>
      <c r="AI6835" s="492"/>
      <c r="AJ6835" s="485"/>
    </row>
    <row r="6836" spans="2:36">
      <c r="B6836" s="136" t="s">
        <v>466</v>
      </c>
      <c r="C6836" s="132" t="s">
        <v>1374</v>
      </c>
      <c r="D6836" s="132" t="s">
        <v>1380</v>
      </c>
      <c r="E6836" s="508">
        <v>8.9999999999999993E-3</v>
      </c>
      <c r="F6836" s="508">
        <v>8.9999999999999993E-3</v>
      </c>
      <c r="G6836" s="508">
        <v>7.0000000000000001E-3</v>
      </c>
      <c r="H6836" s="508">
        <v>7.0000000000000001E-3</v>
      </c>
      <c r="I6836" s="508">
        <v>8.9999999999999993E-3</v>
      </c>
      <c r="J6836" s="508">
        <v>1.0999999999999999E-2</v>
      </c>
      <c r="K6836" s="508">
        <v>1.2999999999999999E-2</v>
      </c>
      <c r="L6836" s="508">
        <v>1.2999999999999999E-2</v>
      </c>
      <c r="M6836" s="508">
        <v>0.01</v>
      </c>
      <c r="N6836" s="508">
        <v>0.01</v>
      </c>
      <c r="O6836" s="508">
        <v>1.0999999999999999E-2</v>
      </c>
      <c r="P6836" s="508">
        <v>1.0999999999999999E-2</v>
      </c>
      <c r="Q6836" s="508">
        <v>7.0000000000000001E-3</v>
      </c>
      <c r="R6836" s="508">
        <v>0.01</v>
      </c>
      <c r="S6836" s="508">
        <v>8.0000000000000002E-3</v>
      </c>
      <c r="T6836" s="508">
        <v>0.01</v>
      </c>
      <c r="U6836" s="508">
        <v>8.0000000000000002E-3</v>
      </c>
      <c r="V6836" s="508">
        <v>2.8000000000000001E-2</v>
      </c>
      <c r="W6836" s="508"/>
      <c r="X6836" s="508">
        <v>2.8000000000000001E-2</v>
      </c>
      <c r="Y6836" s="508"/>
      <c r="Z6836" s="508"/>
      <c r="AA6836" s="508"/>
      <c r="AB6836" s="508"/>
      <c r="AC6836" s="508"/>
      <c r="AD6836" s="508"/>
      <c r="AE6836" s="508"/>
      <c r="AF6836" s="508"/>
      <c r="AG6836" s="508"/>
      <c r="AH6836" s="508"/>
      <c r="AI6836" s="492"/>
      <c r="AJ6836" s="485"/>
    </row>
    <row r="6837" spans="2:36">
      <c r="B6837" s="136" t="s">
        <v>467</v>
      </c>
      <c r="C6837" s="132" t="s">
        <v>1374</v>
      </c>
      <c r="D6837" s="132" t="s">
        <v>1380</v>
      </c>
      <c r="E6837" s="508">
        <v>8.0000000000000002E-3</v>
      </c>
      <c r="F6837" s="508">
        <v>8.0000000000000002E-3</v>
      </c>
      <c r="G6837" s="508">
        <v>6.0000000000000001E-3</v>
      </c>
      <c r="H6837" s="508">
        <v>6.0000000000000001E-3</v>
      </c>
      <c r="I6837" s="508">
        <v>8.0000000000000002E-3</v>
      </c>
      <c r="J6837" s="508">
        <v>8.9999999999999993E-3</v>
      </c>
      <c r="K6837" s="508">
        <v>1.0999999999999999E-2</v>
      </c>
      <c r="L6837" s="508">
        <v>1.0999999999999999E-2</v>
      </c>
      <c r="M6837" s="508">
        <v>8.9999999999999993E-3</v>
      </c>
      <c r="N6837" s="508">
        <v>8.9999999999999993E-3</v>
      </c>
      <c r="O6837" s="508">
        <v>8.9999999999999993E-3</v>
      </c>
      <c r="P6837" s="508">
        <v>8.9999999999999993E-3</v>
      </c>
      <c r="Q6837" s="508">
        <v>6.0000000000000001E-3</v>
      </c>
      <c r="R6837" s="508">
        <v>8.9999999999999993E-3</v>
      </c>
      <c r="S6837" s="508">
        <v>7.0000000000000001E-3</v>
      </c>
      <c r="T6837" s="508">
        <v>8.9999999999999993E-3</v>
      </c>
      <c r="U6837" s="508">
        <v>7.0000000000000001E-3</v>
      </c>
      <c r="V6837" s="508">
        <v>2.3E-2</v>
      </c>
      <c r="W6837" s="508"/>
      <c r="X6837" s="508">
        <v>2.3E-2</v>
      </c>
      <c r="Y6837" s="508"/>
      <c r="Z6837" s="508"/>
      <c r="AA6837" s="508"/>
      <c r="AB6837" s="508"/>
      <c r="AC6837" s="508"/>
      <c r="AD6837" s="508"/>
      <c r="AE6837" s="508"/>
      <c r="AF6837" s="508"/>
      <c r="AG6837" s="508"/>
      <c r="AH6837" s="508"/>
      <c r="AI6837" s="492"/>
      <c r="AJ6837" s="485"/>
    </row>
    <row r="6838" spans="2:36">
      <c r="B6838" s="136" t="s">
        <v>468</v>
      </c>
      <c r="C6838" s="132" t="s">
        <v>1374</v>
      </c>
      <c r="D6838" s="132" t="s">
        <v>1380</v>
      </c>
      <c r="E6838" s="508">
        <v>7.0000000000000001E-3</v>
      </c>
      <c r="F6838" s="508">
        <v>7.0000000000000001E-3</v>
      </c>
      <c r="G6838" s="508">
        <v>5.0000000000000001E-3</v>
      </c>
      <c r="H6838" s="508">
        <v>5.0000000000000001E-3</v>
      </c>
      <c r="I6838" s="508">
        <v>6.0000000000000001E-3</v>
      </c>
      <c r="J6838" s="508">
        <v>8.0000000000000002E-3</v>
      </c>
      <c r="K6838" s="508">
        <v>8.9999999999999993E-3</v>
      </c>
      <c r="L6838" s="508">
        <v>8.9999999999999993E-3</v>
      </c>
      <c r="M6838" s="508">
        <v>7.0000000000000001E-3</v>
      </c>
      <c r="N6838" s="508">
        <v>7.0000000000000001E-3</v>
      </c>
      <c r="O6838" s="508">
        <v>8.0000000000000002E-3</v>
      </c>
      <c r="P6838" s="508">
        <v>8.0000000000000002E-3</v>
      </c>
      <c r="Q6838" s="508">
        <v>5.0000000000000001E-3</v>
      </c>
      <c r="R6838" s="508">
        <v>7.0000000000000001E-3</v>
      </c>
      <c r="S6838" s="508">
        <v>6.0000000000000001E-3</v>
      </c>
      <c r="T6838" s="508">
        <v>7.0000000000000001E-3</v>
      </c>
      <c r="U6838" s="508">
        <v>6.0000000000000001E-3</v>
      </c>
      <c r="V6838" s="508">
        <v>1.9E-2</v>
      </c>
      <c r="W6838" s="508"/>
      <c r="X6838" s="508">
        <v>1.9E-2</v>
      </c>
      <c r="Y6838" s="508"/>
      <c r="Z6838" s="508"/>
      <c r="AA6838" s="508"/>
      <c r="AB6838" s="508"/>
      <c r="AC6838" s="508"/>
      <c r="AD6838" s="508"/>
      <c r="AE6838" s="508"/>
      <c r="AF6838" s="508"/>
      <c r="AG6838" s="508"/>
      <c r="AH6838" s="508"/>
      <c r="AI6838" s="492"/>
      <c r="AJ6838" s="485"/>
    </row>
    <row r="6839" spans="2:36">
      <c r="B6839" s="136" t="s">
        <v>469</v>
      </c>
      <c r="C6839" s="132" t="s">
        <v>1374</v>
      </c>
      <c r="D6839" s="132" t="s">
        <v>1380</v>
      </c>
      <c r="E6839" s="508">
        <v>8.0000000000000002E-3</v>
      </c>
      <c r="F6839" s="508">
        <v>8.0000000000000002E-3</v>
      </c>
      <c r="G6839" s="508">
        <v>6.0000000000000001E-3</v>
      </c>
      <c r="H6839" s="508">
        <v>6.0000000000000001E-3</v>
      </c>
      <c r="I6839" s="508">
        <v>7.0000000000000001E-3</v>
      </c>
      <c r="J6839" s="508">
        <v>8.9999999999999993E-3</v>
      </c>
      <c r="K6839" s="508">
        <v>0.01</v>
      </c>
      <c r="L6839" s="508">
        <v>1.0999999999999999E-2</v>
      </c>
      <c r="M6839" s="508">
        <v>8.0000000000000002E-3</v>
      </c>
      <c r="N6839" s="508">
        <v>8.0000000000000002E-3</v>
      </c>
      <c r="O6839" s="508">
        <v>8.9999999999999993E-3</v>
      </c>
      <c r="P6839" s="508">
        <v>8.9999999999999993E-3</v>
      </c>
      <c r="Q6839" s="508">
        <v>6.0000000000000001E-3</v>
      </c>
      <c r="R6839" s="508">
        <v>8.0000000000000002E-3</v>
      </c>
      <c r="S6839" s="508">
        <v>6.0000000000000001E-3</v>
      </c>
      <c r="T6839" s="508">
        <v>8.0000000000000002E-3</v>
      </c>
      <c r="U6839" s="508">
        <v>6.0000000000000001E-3</v>
      </c>
      <c r="V6839" s="508">
        <v>2.1000000000000001E-2</v>
      </c>
      <c r="W6839" s="508"/>
      <c r="X6839" s="508">
        <v>2.1000000000000001E-2</v>
      </c>
      <c r="Y6839" s="508"/>
      <c r="Z6839" s="508"/>
      <c r="AA6839" s="508"/>
      <c r="AB6839" s="508"/>
      <c r="AC6839" s="508"/>
      <c r="AD6839" s="508"/>
      <c r="AE6839" s="508"/>
      <c r="AF6839" s="508"/>
      <c r="AG6839" s="508"/>
      <c r="AH6839" s="508"/>
      <c r="AI6839" s="492"/>
      <c r="AJ6839" s="485"/>
    </row>
    <row r="6840" spans="2:36">
      <c r="B6840" s="136" t="s">
        <v>470</v>
      </c>
      <c r="C6840" s="132" t="s">
        <v>1374</v>
      </c>
      <c r="D6840" s="132" t="s">
        <v>1380</v>
      </c>
      <c r="E6840" s="508">
        <v>8.9999999999999993E-3</v>
      </c>
      <c r="F6840" s="508">
        <v>8.9999999999999993E-3</v>
      </c>
      <c r="G6840" s="508">
        <v>7.0000000000000001E-3</v>
      </c>
      <c r="H6840" s="508">
        <v>7.0000000000000001E-3</v>
      </c>
      <c r="I6840" s="508">
        <v>8.0000000000000002E-3</v>
      </c>
      <c r="J6840" s="508">
        <v>0.01</v>
      </c>
      <c r="K6840" s="508">
        <v>1.2E-2</v>
      </c>
      <c r="L6840" s="508">
        <v>1.2999999999999999E-2</v>
      </c>
      <c r="M6840" s="508">
        <v>0.01</v>
      </c>
      <c r="N6840" s="508">
        <v>8.9999999999999993E-3</v>
      </c>
      <c r="O6840" s="508">
        <v>0.01</v>
      </c>
      <c r="P6840" s="508">
        <v>0.01</v>
      </c>
      <c r="Q6840" s="508">
        <v>7.0000000000000001E-3</v>
      </c>
      <c r="R6840" s="508">
        <v>8.9999999999999993E-3</v>
      </c>
      <c r="S6840" s="508">
        <v>7.0000000000000001E-3</v>
      </c>
      <c r="T6840" s="508">
        <v>0.01</v>
      </c>
      <c r="U6840" s="508">
        <v>7.0000000000000001E-3</v>
      </c>
      <c r="V6840" s="508">
        <v>2.5999999999999999E-2</v>
      </c>
      <c r="W6840" s="508"/>
      <c r="X6840" s="508">
        <v>2.5999999999999999E-2</v>
      </c>
      <c r="Y6840" s="508"/>
      <c r="Z6840" s="508"/>
      <c r="AA6840" s="508"/>
      <c r="AB6840" s="508"/>
      <c r="AC6840" s="508"/>
      <c r="AD6840" s="508"/>
      <c r="AE6840" s="508"/>
      <c r="AF6840" s="508"/>
      <c r="AG6840" s="508"/>
      <c r="AH6840" s="508"/>
      <c r="AI6840" s="492"/>
      <c r="AJ6840" s="485"/>
    </row>
    <row r="6841" spans="2:36">
      <c r="B6841" s="136" t="s">
        <v>471</v>
      </c>
      <c r="C6841" s="132" t="s">
        <v>1374</v>
      </c>
      <c r="D6841" s="132" t="s">
        <v>1380</v>
      </c>
      <c r="E6841" s="508">
        <v>8.9999999999999993E-3</v>
      </c>
      <c r="F6841" s="508">
        <v>8.0000000000000002E-3</v>
      </c>
      <c r="G6841" s="508">
        <v>6.0000000000000001E-3</v>
      </c>
      <c r="H6841" s="508">
        <v>7.0000000000000001E-3</v>
      </c>
      <c r="I6841" s="508">
        <v>8.0000000000000002E-3</v>
      </c>
      <c r="J6841" s="508">
        <v>0.01</v>
      </c>
      <c r="K6841" s="508">
        <v>1.2E-2</v>
      </c>
      <c r="L6841" s="508">
        <v>1.2E-2</v>
      </c>
      <c r="M6841" s="508">
        <v>8.9999999999999993E-3</v>
      </c>
      <c r="N6841" s="508">
        <v>8.9999999999999993E-3</v>
      </c>
      <c r="O6841" s="508">
        <v>0.01</v>
      </c>
      <c r="P6841" s="508">
        <v>0.01</v>
      </c>
      <c r="Q6841" s="508">
        <v>7.0000000000000001E-3</v>
      </c>
      <c r="R6841" s="508">
        <v>8.9999999999999993E-3</v>
      </c>
      <c r="S6841" s="508">
        <v>7.0000000000000001E-3</v>
      </c>
      <c r="T6841" s="508">
        <v>8.9999999999999993E-3</v>
      </c>
      <c r="U6841" s="508">
        <v>7.0000000000000001E-3</v>
      </c>
      <c r="V6841" s="508">
        <v>2.4E-2</v>
      </c>
      <c r="W6841" s="508"/>
      <c r="X6841" s="508">
        <v>2.4E-2</v>
      </c>
      <c r="Y6841" s="508"/>
      <c r="Z6841" s="508"/>
      <c r="AA6841" s="508"/>
      <c r="AB6841" s="508"/>
      <c r="AC6841" s="508"/>
      <c r="AD6841" s="508"/>
      <c r="AE6841" s="508"/>
      <c r="AF6841" s="508"/>
      <c r="AG6841" s="508"/>
      <c r="AH6841" s="508"/>
      <c r="AI6841" s="492"/>
      <c r="AJ6841" s="485"/>
    </row>
    <row r="6842" spans="2:36">
      <c r="B6842" s="136" t="s">
        <v>472</v>
      </c>
      <c r="C6842" s="132" t="s">
        <v>1374</v>
      </c>
      <c r="D6842" s="132" t="s">
        <v>1380</v>
      </c>
      <c r="E6842" s="508">
        <v>7.0000000000000001E-3</v>
      </c>
      <c r="F6842" s="508">
        <v>7.0000000000000001E-3</v>
      </c>
      <c r="G6842" s="508">
        <v>5.0000000000000001E-3</v>
      </c>
      <c r="H6842" s="508">
        <v>6.0000000000000001E-3</v>
      </c>
      <c r="I6842" s="508">
        <v>7.0000000000000001E-3</v>
      </c>
      <c r="J6842" s="508">
        <v>8.0000000000000002E-3</v>
      </c>
      <c r="K6842" s="508">
        <v>0.01</v>
      </c>
      <c r="L6842" s="508">
        <v>0.01</v>
      </c>
      <c r="M6842" s="508">
        <v>8.0000000000000002E-3</v>
      </c>
      <c r="N6842" s="508">
        <v>8.0000000000000002E-3</v>
      </c>
      <c r="O6842" s="508">
        <v>8.0000000000000002E-3</v>
      </c>
      <c r="P6842" s="508">
        <v>8.0000000000000002E-3</v>
      </c>
      <c r="Q6842" s="508">
        <v>6.0000000000000001E-3</v>
      </c>
      <c r="R6842" s="508">
        <v>8.0000000000000002E-3</v>
      </c>
      <c r="S6842" s="508">
        <v>6.0000000000000001E-3</v>
      </c>
      <c r="T6842" s="508">
        <v>8.0000000000000002E-3</v>
      </c>
      <c r="U6842" s="508">
        <v>6.0000000000000001E-3</v>
      </c>
      <c r="V6842" s="508">
        <v>0.02</v>
      </c>
      <c r="W6842" s="508"/>
      <c r="X6842" s="508">
        <v>0.02</v>
      </c>
      <c r="Y6842" s="508"/>
      <c r="Z6842" s="508"/>
      <c r="AA6842" s="508"/>
      <c r="AB6842" s="508"/>
      <c r="AC6842" s="508"/>
      <c r="AD6842" s="508"/>
      <c r="AE6842" s="508"/>
      <c r="AF6842" s="508"/>
      <c r="AG6842" s="508"/>
      <c r="AH6842" s="508"/>
      <c r="AI6842" s="492"/>
      <c r="AJ6842" s="485"/>
    </row>
    <row r="6843" spans="2:36">
      <c r="B6843" s="136" t="s">
        <v>473</v>
      </c>
      <c r="C6843" s="132" t="s">
        <v>1374</v>
      </c>
      <c r="D6843" s="132" t="s">
        <v>1380</v>
      </c>
      <c r="E6843" s="508">
        <v>8.9999999999999993E-3</v>
      </c>
      <c r="F6843" s="508">
        <v>8.9999999999999993E-3</v>
      </c>
      <c r="G6843" s="508">
        <v>7.0000000000000001E-3</v>
      </c>
      <c r="H6843" s="508">
        <v>7.0000000000000001E-3</v>
      </c>
      <c r="I6843" s="508">
        <v>8.9999999999999993E-3</v>
      </c>
      <c r="J6843" s="508">
        <v>0.01</v>
      </c>
      <c r="K6843" s="508">
        <v>1.2E-2</v>
      </c>
      <c r="L6843" s="508">
        <v>1.2999999999999999E-2</v>
      </c>
      <c r="M6843" s="508">
        <v>0.01</v>
      </c>
      <c r="N6843" s="508">
        <v>0.01</v>
      </c>
      <c r="O6843" s="508">
        <v>0.01</v>
      </c>
      <c r="P6843" s="508">
        <v>1.0999999999999999E-2</v>
      </c>
      <c r="Q6843" s="508">
        <v>7.0000000000000001E-3</v>
      </c>
      <c r="R6843" s="508">
        <v>0.01</v>
      </c>
      <c r="S6843" s="508">
        <v>7.0000000000000001E-3</v>
      </c>
      <c r="T6843" s="508">
        <v>0.01</v>
      </c>
      <c r="U6843" s="508">
        <v>7.0000000000000001E-3</v>
      </c>
      <c r="V6843" s="508">
        <v>2.5999999999999999E-2</v>
      </c>
      <c r="W6843" s="508"/>
      <c r="X6843" s="508">
        <v>2.5999999999999999E-2</v>
      </c>
      <c r="Y6843" s="508"/>
      <c r="Z6843" s="508"/>
      <c r="AA6843" s="508"/>
      <c r="AB6843" s="508"/>
      <c r="AC6843" s="508"/>
      <c r="AD6843" s="508"/>
      <c r="AE6843" s="508"/>
      <c r="AF6843" s="508"/>
      <c r="AG6843" s="508"/>
      <c r="AH6843" s="508"/>
      <c r="AI6843" s="492"/>
      <c r="AJ6843" s="485"/>
    </row>
    <row r="6844" spans="2:36">
      <c r="B6844" s="136" t="s">
        <v>474</v>
      </c>
      <c r="C6844" s="132" t="s">
        <v>1374</v>
      </c>
      <c r="D6844" s="132" t="s">
        <v>1380</v>
      </c>
      <c r="E6844" s="508">
        <v>8.0000000000000002E-3</v>
      </c>
      <c r="F6844" s="508">
        <v>8.0000000000000002E-3</v>
      </c>
      <c r="G6844" s="508">
        <v>6.0000000000000001E-3</v>
      </c>
      <c r="H6844" s="508">
        <v>7.0000000000000001E-3</v>
      </c>
      <c r="I6844" s="508">
        <v>8.0000000000000002E-3</v>
      </c>
      <c r="J6844" s="508">
        <v>0.01</v>
      </c>
      <c r="K6844" s="508">
        <v>1.0999999999999999E-2</v>
      </c>
      <c r="L6844" s="508">
        <v>1.2E-2</v>
      </c>
      <c r="M6844" s="508">
        <v>8.9999999999999993E-3</v>
      </c>
      <c r="N6844" s="508">
        <v>8.9999999999999993E-3</v>
      </c>
      <c r="O6844" s="508">
        <v>8.9999999999999993E-3</v>
      </c>
      <c r="P6844" s="508">
        <v>0.01</v>
      </c>
      <c r="Q6844" s="508">
        <v>6.0000000000000001E-3</v>
      </c>
      <c r="R6844" s="508">
        <v>8.9999999999999993E-3</v>
      </c>
      <c r="S6844" s="508">
        <v>7.0000000000000001E-3</v>
      </c>
      <c r="T6844" s="508">
        <v>8.9999999999999993E-3</v>
      </c>
      <c r="U6844" s="508">
        <v>7.0000000000000001E-3</v>
      </c>
      <c r="V6844" s="508">
        <v>2.3E-2</v>
      </c>
      <c r="W6844" s="508"/>
      <c r="X6844" s="508">
        <v>2.3E-2</v>
      </c>
      <c r="Y6844" s="508"/>
      <c r="Z6844" s="508"/>
      <c r="AA6844" s="508"/>
      <c r="AB6844" s="508"/>
      <c r="AC6844" s="508"/>
      <c r="AD6844" s="508"/>
      <c r="AE6844" s="508"/>
      <c r="AF6844" s="508"/>
      <c r="AG6844" s="508"/>
      <c r="AH6844" s="508"/>
      <c r="AI6844" s="492"/>
      <c r="AJ6844" s="485"/>
    </row>
    <row r="6845" spans="2:36">
      <c r="B6845" s="136" t="s">
        <v>475</v>
      </c>
      <c r="C6845" s="132" t="s">
        <v>1374</v>
      </c>
      <c r="D6845" s="132" t="s">
        <v>1380</v>
      </c>
      <c r="E6845" s="508">
        <v>8.0000000000000002E-3</v>
      </c>
      <c r="F6845" s="508">
        <v>8.0000000000000002E-3</v>
      </c>
      <c r="G6845" s="508">
        <v>6.0000000000000001E-3</v>
      </c>
      <c r="H6845" s="508">
        <v>6.0000000000000001E-3</v>
      </c>
      <c r="I6845" s="508">
        <v>8.0000000000000002E-3</v>
      </c>
      <c r="J6845" s="508">
        <v>8.9999999999999993E-3</v>
      </c>
      <c r="K6845" s="508">
        <v>1.0999999999999999E-2</v>
      </c>
      <c r="L6845" s="508">
        <v>1.0999999999999999E-2</v>
      </c>
      <c r="M6845" s="508">
        <v>8.9999999999999993E-3</v>
      </c>
      <c r="N6845" s="508">
        <v>8.0000000000000002E-3</v>
      </c>
      <c r="O6845" s="508">
        <v>8.9999999999999993E-3</v>
      </c>
      <c r="P6845" s="508">
        <v>8.9999999999999993E-3</v>
      </c>
      <c r="Q6845" s="508">
        <v>6.0000000000000001E-3</v>
      </c>
      <c r="R6845" s="508">
        <v>8.0000000000000002E-3</v>
      </c>
      <c r="S6845" s="508">
        <v>6.0000000000000001E-3</v>
      </c>
      <c r="T6845" s="508">
        <v>8.9999999999999993E-3</v>
      </c>
      <c r="U6845" s="508">
        <v>6.0000000000000001E-3</v>
      </c>
      <c r="V6845" s="508">
        <v>2.1999999999999999E-2</v>
      </c>
      <c r="W6845" s="508"/>
      <c r="X6845" s="508">
        <v>2.1999999999999999E-2</v>
      </c>
      <c r="Y6845" s="508"/>
      <c r="Z6845" s="508"/>
      <c r="AA6845" s="508"/>
      <c r="AB6845" s="508"/>
      <c r="AC6845" s="508"/>
      <c r="AD6845" s="508"/>
      <c r="AE6845" s="508"/>
      <c r="AF6845" s="508"/>
      <c r="AG6845" s="508"/>
      <c r="AH6845" s="508"/>
      <c r="AI6845" s="492"/>
      <c r="AJ6845" s="485"/>
    </row>
    <row r="6846" spans="2:36">
      <c r="B6846" s="136" t="s">
        <v>476</v>
      </c>
      <c r="C6846" s="132" t="s">
        <v>1374</v>
      </c>
      <c r="D6846" s="132" t="s">
        <v>1380</v>
      </c>
      <c r="E6846" s="508">
        <v>8.9999999999999993E-3</v>
      </c>
      <c r="F6846" s="508">
        <v>8.0000000000000002E-3</v>
      </c>
      <c r="G6846" s="508">
        <v>6.0000000000000001E-3</v>
      </c>
      <c r="H6846" s="508">
        <v>7.0000000000000001E-3</v>
      </c>
      <c r="I6846" s="508">
        <v>8.0000000000000002E-3</v>
      </c>
      <c r="J6846" s="508">
        <v>0.01</v>
      </c>
      <c r="K6846" s="508">
        <v>1.2E-2</v>
      </c>
      <c r="L6846" s="508">
        <v>1.2E-2</v>
      </c>
      <c r="M6846" s="508">
        <v>8.9999999999999993E-3</v>
      </c>
      <c r="N6846" s="508">
        <v>8.9999999999999993E-3</v>
      </c>
      <c r="O6846" s="508">
        <v>0.01</v>
      </c>
      <c r="P6846" s="508">
        <v>0.01</v>
      </c>
      <c r="Q6846" s="508">
        <v>7.0000000000000001E-3</v>
      </c>
      <c r="R6846" s="508">
        <v>8.9999999999999993E-3</v>
      </c>
      <c r="S6846" s="508">
        <v>7.0000000000000001E-3</v>
      </c>
      <c r="T6846" s="508">
        <v>8.9999999999999993E-3</v>
      </c>
      <c r="U6846" s="508">
        <v>7.0000000000000001E-3</v>
      </c>
      <c r="V6846" s="508">
        <v>2.4E-2</v>
      </c>
      <c r="W6846" s="508"/>
      <c r="X6846" s="508">
        <v>2.4E-2</v>
      </c>
      <c r="Y6846" s="508"/>
      <c r="Z6846" s="508"/>
      <c r="AA6846" s="508"/>
      <c r="AB6846" s="508"/>
      <c r="AC6846" s="508"/>
      <c r="AD6846" s="508"/>
      <c r="AE6846" s="508"/>
      <c r="AF6846" s="508"/>
      <c r="AG6846" s="508"/>
      <c r="AH6846" s="508"/>
      <c r="AI6846" s="492"/>
      <c r="AJ6846" s="485"/>
    </row>
    <row r="6847" spans="2:36">
      <c r="B6847" s="136" t="s">
        <v>478</v>
      </c>
      <c r="C6847" s="132" t="s">
        <v>1374</v>
      </c>
      <c r="D6847" s="132" t="s">
        <v>1380</v>
      </c>
      <c r="E6847" s="508">
        <v>8.9999999999999993E-3</v>
      </c>
      <c r="F6847" s="508">
        <v>8.9999999999999993E-3</v>
      </c>
      <c r="G6847" s="508">
        <v>7.0000000000000001E-3</v>
      </c>
      <c r="H6847" s="508">
        <v>7.0000000000000001E-3</v>
      </c>
      <c r="I6847" s="508">
        <v>8.9999999999999993E-3</v>
      </c>
      <c r="J6847" s="508">
        <v>1.0999999999999999E-2</v>
      </c>
      <c r="K6847" s="508">
        <v>1.2E-2</v>
      </c>
      <c r="L6847" s="508">
        <v>1.2999999999999999E-2</v>
      </c>
      <c r="M6847" s="508">
        <v>0.01</v>
      </c>
      <c r="N6847" s="508">
        <v>0.01</v>
      </c>
      <c r="O6847" s="508">
        <v>0.01</v>
      </c>
      <c r="P6847" s="508">
        <v>1.0999999999999999E-2</v>
      </c>
      <c r="Q6847" s="508">
        <v>7.0000000000000001E-3</v>
      </c>
      <c r="R6847" s="508">
        <v>0.01</v>
      </c>
      <c r="S6847" s="508">
        <v>7.0000000000000001E-3</v>
      </c>
      <c r="T6847" s="508">
        <v>0.01</v>
      </c>
      <c r="U6847" s="508">
        <v>7.0000000000000001E-3</v>
      </c>
      <c r="V6847" s="508">
        <v>2.5999999999999999E-2</v>
      </c>
      <c r="W6847" s="508"/>
      <c r="X6847" s="508">
        <v>2.5999999999999999E-2</v>
      </c>
      <c r="Y6847" s="508"/>
      <c r="Z6847" s="508"/>
      <c r="AA6847" s="508"/>
      <c r="AB6847" s="508"/>
      <c r="AC6847" s="508"/>
      <c r="AD6847" s="508"/>
      <c r="AE6847" s="508"/>
      <c r="AF6847" s="508"/>
      <c r="AG6847" s="508"/>
      <c r="AH6847" s="508"/>
      <c r="AI6847" s="492"/>
      <c r="AJ6847" s="485"/>
    </row>
    <row r="6848" spans="2:36">
      <c r="B6848" s="136" t="s">
        <v>479</v>
      </c>
      <c r="C6848" s="132" t="s">
        <v>1374</v>
      </c>
      <c r="D6848" s="132" t="s">
        <v>1380</v>
      </c>
      <c r="E6848" s="508">
        <v>8.0000000000000002E-3</v>
      </c>
      <c r="F6848" s="508">
        <v>8.0000000000000002E-3</v>
      </c>
      <c r="G6848" s="508">
        <v>6.0000000000000001E-3</v>
      </c>
      <c r="H6848" s="508">
        <v>6.0000000000000001E-3</v>
      </c>
      <c r="I6848" s="508">
        <v>8.0000000000000002E-3</v>
      </c>
      <c r="J6848" s="508">
        <v>8.9999999999999993E-3</v>
      </c>
      <c r="K6848" s="508">
        <v>1.0999999999999999E-2</v>
      </c>
      <c r="L6848" s="508">
        <v>1.0999999999999999E-2</v>
      </c>
      <c r="M6848" s="508">
        <v>8.9999999999999993E-3</v>
      </c>
      <c r="N6848" s="508">
        <v>8.9999999999999993E-3</v>
      </c>
      <c r="O6848" s="508">
        <v>8.9999999999999993E-3</v>
      </c>
      <c r="P6848" s="508">
        <v>8.9999999999999993E-3</v>
      </c>
      <c r="Q6848" s="508">
        <v>6.0000000000000001E-3</v>
      </c>
      <c r="R6848" s="508">
        <v>8.0000000000000002E-3</v>
      </c>
      <c r="S6848" s="508">
        <v>7.0000000000000001E-3</v>
      </c>
      <c r="T6848" s="508">
        <v>8.9999999999999993E-3</v>
      </c>
      <c r="U6848" s="508">
        <v>7.0000000000000001E-3</v>
      </c>
      <c r="V6848" s="508">
        <v>2.3E-2</v>
      </c>
      <c r="W6848" s="508"/>
      <c r="X6848" s="508">
        <v>2.3E-2</v>
      </c>
      <c r="Y6848" s="508"/>
      <c r="Z6848" s="508"/>
      <c r="AA6848" s="508"/>
      <c r="AB6848" s="508"/>
      <c r="AC6848" s="508"/>
      <c r="AD6848" s="508"/>
      <c r="AE6848" s="508"/>
      <c r="AF6848" s="508"/>
      <c r="AG6848" s="508"/>
      <c r="AH6848" s="508"/>
      <c r="AI6848" s="492"/>
      <c r="AJ6848" s="485"/>
    </row>
    <row r="6849" spans="2:36">
      <c r="B6849" s="136" t="s">
        <v>480</v>
      </c>
      <c r="C6849" s="132" t="s">
        <v>1374</v>
      </c>
      <c r="D6849" s="132" t="s">
        <v>1380</v>
      </c>
      <c r="E6849" s="508">
        <v>7.0000000000000001E-3</v>
      </c>
      <c r="F6849" s="508">
        <v>7.0000000000000001E-3</v>
      </c>
      <c r="G6849" s="508">
        <v>5.0000000000000001E-3</v>
      </c>
      <c r="H6849" s="508">
        <v>5.0000000000000001E-3</v>
      </c>
      <c r="I6849" s="508">
        <v>6.0000000000000001E-3</v>
      </c>
      <c r="J6849" s="508">
        <v>8.0000000000000002E-3</v>
      </c>
      <c r="K6849" s="508">
        <v>8.9999999999999993E-3</v>
      </c>
      <c r="L6849" s="508">
        <v>0.01</v>
      </c>
      <c r="M6849" s="508">
        <v>7.0000000000000001E-3</v>
      </c>
      <c r="N6849" s="508">
        <v>7.0000000000000001E-3</v>
      </c>
      <c r="O6849" s="508">
        <v>8.0000000000000002E-3</v>
      </c>
      <c r="P6849" s="508">
        <v>8.0000000000000002E-3</v>
      </c>
      <c r="Q6849" s="508">
        <v>5.0000000000000001E-3</v>
      </c>
      <c r="R6849" s="508">
        <v>7.0000000000000001E-3</v>
      </c>
      <c r="S6849" s="508">
        <v>6.0000000000000001E-3</v>
      </c>
      <c r="T6849" s="508">
        <v>7.0000000000000001E-3</v>
      </c>
      <c r="U6849" s="508">
        <v>6.0000000000000001E-3</v>
      </c>
      <c r="V6849" s="508">
        <v>1.9E-2</v>
      </c>
      <c r="W6849" s="508"/>
      <c r="X6849" s="508">
        <v>1.9E-2</v>
      </c>
      <c r="Y6849" s="508"/>
      <c r="Z6849" s="508"/>
      <c r="AA6849" s="508"/>
      <c r="AB6849" s="508"/>
      <c r="AC6849" s="508"/>
      <c r="AD6849" s="508"/>
      <c r="AE6849" s="508"/>
      <c r="AF6849" s="508"/>
      <c r="AG6849" s="508"/>
      <c r="AH6849" s="508"/>
      <c r="AI6849" s="492"/>
      <c r="AJ6849" s="485"/>
    </row>
    <row r="6850" spans="2:36">
      <c r="B6850" s="136" t="s">
        <v>481</v>
      </c>
      <c r="C6850" s="132" t="s">
        <v>1374</v>
      </c>
      <c r="D6850" s="132" t="s">
        <v>1380</v>
      </c>
      <c r="E6850" s="508">
        <v>8.0000000000000002E-3</v>
      </c>
      <c r="F6850" s="508">
        <v>8.0000000000000002E-3</v>
      </c>
      <c r="G6850" s="508">
        <v>6.0000000000000001E-3</v>
      </c>
      <c r="H6850" s="508">
        <v>7.0000000000000001E-3</v>
      </c>
      <c r="I6850" s="508">
        <v>8.0000000000000002E-3</v>
      </c>
      <c r="J6850" s="508">
        <v>0.01</v>
      </c>
      <c r="K6850" s="508">
        <v>1.0999999999999999E-2</v>
      </c>
      <c r="L6850" s="508">
        <v>1.2E-2</v>
      </c>
      <c r="M6850" s="508">
        <v>8.9999999999999993E-3</v>
      </c>
      <c r="N6850" s="508">
        <v>8.9999999999999993E-3</v>
      </c>
      <c r="O6850" s="508">
        <v>8.9999999999999993E-3</v>
      </c>
      <c r="P6850" s="508">
        <v>0.01</v>
      </c>
      <c r="Q6850" s="508">
        <v>6.0000000000000001E-3</v>
      </c>
      <c r="R6850" s="508">
        <v>8.9999999999999993E-3</v>
      </c>
      <c r="S6850" s="508">
        <v>7.0000000000000001E-3</v>
      </c>
      <c r="T6850" s="508">
        <v>8.9999999999999993E-3</v>
      </c>
      <c r="U6850" s="508">
        <v>7.0000000000000001E-3</v>
      </c>
      <c r="V6850" s="508">
        <v>2.3E-2</v>
      </c>
      <c r="W6850" s="508"/>
      <c r="X6850" s="508">
        <v>2.3E-2</v>
      </c>
      <c r="Y6850" s="508"/>
      <c r="Z6850" s="508"/>
      <c r="AA6850" s="508"/>
      <c r="AB6850" s="508"/>
      <c r="AC6850" s="508"/>
      <c r="AD6850" s="508"/>
      <c r="AE6850" s="508"/>
      <c r="AF6850" s="508"/>
      <c r="AG6850" s="508"/>
      <c r="AH6850" s="508"/>
      <c r="AI6850" s="492"/>
      <c r="AJ6850" s="485"/>
    </row>
    <row r="6851" spans="2:36">
      <c r="B6851" s="136" t="s">
        <v>482</v>
      </c>
      <c r="C6851" s="132" t="s">
        <v>1374</v>
      </c>
      <c r="D6851" s="132" t="s">
        <v>1380</v>
      </c>
      <c r="E6851" s="508">
        <v>8.0000000000000002E-3</v>
      </c>
      <c r="F6851" s="508">
        <v>8.0000000000000002E-3</v>
      </c>
      <c r="G6851" s="508">
        <v>6.0000000000000001E-3</v>
      </c>
      <c r="H6851" s="508">
        <v>7.0000000000000001E-3</v>
      </c>
      <c r="I6851" s="508">
        <v>8.0000000000000002E-3</v>
      </c>
      <c r="J6851" s="508">
        <v>0.01</v>
      </c>
      <c r="K6851" s="508">
        <v>1.0999999999999999E-2</v>
      </c>
      <c r="L6851" s="508">
        <v>1.2E-2</v>
      </c>
      <c r="M6851" s="508">
        <v>8.9999999999999993E-3</v>
      </c>
      <c r="N6851" s="508">
        <v>8.9999999999999993E-3</v>
      </c>
      <c r="O6851" s="508">
        <v>8.9999999999999993E-3</v>
      </c>
      <c r="P6851" s="508">
        <v>0.01</v>
      </c>
      <c r="Q6851" s="508">
        <v>6.0000000000000001E-3</v>
      </c>
      <c r="R6851" s="508">
        <v>8.9999999999999993E-3</v>
      </c>
      <c r="S6851" s="508">
        <v>7.0000000000000001E-3</v>
      </c>
      <c r="T6851" s="508">
        <v>8.9999999999999993E-3</v>
      </c>
      <c r="U6851" s="508">
        <v>7.0000000000000001E-3</v>
      </c>
      <c r="V6851" s="508">
        <v>2.3E-2</v>
      </c>
      <c r="W6851" s="508"/>
      <c r="X6851" s="508">
        <v>2.3E-2</v>
      </c>
      <c r="Y6851" s="508"/>
      <c r="Z6851" s="508"/>
      <c r="AA6851" s="508"/>
      <c r="AB6851" s="508"/>
      <c r="AC6851" s="508"/>
      <c r="AD6851" s="508"/>
      <c r="AE6851" s="508"/>
      <c r="AF6851" s="508"/>
      <c r="AG6851" s="508"/>
      <c r="AH6851" s="508"/>
      <c r="AI6851" s="492"/>
      <c r="AJ6851" s="485"/>
    </row>
    <row r="6852" spans="2:36">
      <c r="B6852" s="136" t="s">
        <v>483</v>
      </c>
      <c r="C6852" s="132" t="s">
        <v>1374</v>
      </c>
      <c r="D6852" s="132" t="s">
        <v>1380</v>
      </c>
      <c r="E6852" s="508">
        <v>8.9999999999999993E-3</v>
      </c>
      <c r="F6852" s="508">
        <v>8.9999999999999993E-3</v>
      </c>
      <c r="G6852" s="508">
        <v>7.0000000000000001E-3</v>
      </c>
      <c r="H6852" s="508">
        <v>7.0000000000000001E-3</v>
      </c>
      <c r="I6852" s="508">
        <v>8.0000000000000002E-3</v>
      </c>
      <c r="J6852" s="508">
        <v>0.01</v>
      </c>
      <c r="K6852" s="508">
        <v>1.2E-2</v>
      </c>
      <c r="L6852" s="508">
        <v>1.2999999999999999E-2</v>
      </c>
      <c r="M6852" s="508">
        <v>0.01</v>
      </c>
      <c r="N6852" s="508">
        <v>0.01</v>
      </c>
      <c r="O6852" s="508">
        <v>0.01</v>
      </c>
      <c r="P6852" s="508">
        <v>0.01</v>
      </c>
      <c r="Q6852" s="508">
        <v>7.0000000000000001E-3</v>
      </c>
      <c r="R6852" s="508">
        <v>0.01</v>
      </c>
      <c r="S6852" s="508">
        <v>7.0000000000000001E-3</v>
      </c>
      <c r="T6852" s="508">
        <v>0.01</v>
      </c>
      <c r="U6852" s="508">
        <v>7.0000000000000001E-3</v>
      </c>
      <c r="V6852" s="508">
        <v>2.5999999999999999E-2</v>
      </c>
      <c r="W6852" s="508"/>
      <c r="X6852" s="508">
        <v>2.5999999999999999E-2</v>
      </c>
      <c r="Y6852" s="508"/>
      <c r="Z6852" s="508"/>
      <c r="AA6852" s="508"/>
      <c r="AB6852" s="508"/>
      <c r="AC6852" s="508"/>
      <c r="AD6852" s="508"/>
      <c r="AE6852" s="508"/>
      <c r="AF6852" s="508"/>
      <c r="AG6852" s="508"/>
      <c r="AH6852" s="508"/>
      <c r="AI6852" s="492"/>
      <c r="AJ6852" s="485"/>
    </row>
    <row r="6853" spans="2:36">
      <c r="B6853" s="136" t="s">
        <v>484</v>
      </c>
      <c r="C6853" s="132" t="s">
        <v>1374</v>
      </c>
      <c r="D6853" s="132" t="s">
        <v>1380</v>
      </c>
      <c r="E6853" s="508">
        <v>7.0000000000000001E-3</v>
      </c>
      <c r="F6853" s="508">
        <v>7.0000000000000001E-3</v>
      </c>
      <c r="G6853" s="508">
        <v>5.0000000000000001E-3</v>
      </c>
      <c r="H6853" s="508">
        <v>6.0000000000000001E-3</v>
      </c>
      <c r="I6853" s="508">
        <v>7.0000000000000001E-3</v>
      </c>
      <c r="J6853" s="508">
        <v>8.0000000000000002E-3</v>
      </c>
      <c r="K6853" s="508">
        <v>8.9999999999999993E-3</v>
      </c>
      <c r="L6853" s="508">
        <v>0.01</v>
      </c>
      <c r="M6853" s="508">
        <v>8.0000000000000002E-3</v>
      </c>
      <c r="N6853" s="508">
        <v>8.0000000000000002E-3</v>
      </c>
      <c r="O6853" s="508">
        <v>8.0000000000000002E-3</v>
      </c>
      <c r="P6853" s="508">
        <v>8.0000000000000002E-3</v>
      </c>
      <c r="Q6853" s="508">
        <v>5.0000000000000001E-3</v>
      </c>
      <c r="R6853" s="508">
        <v>7.0000000000000001E-3</v>
      </c>
      <c r="S6853" s="508">
        <v>6.0000000000000001E-3</v>
      </c>
      <c r="T6853" s="508">
        <v>8.0000000000000002E-3</v>
      </c>
      <c r="U6853" s="508">
        <v>6.0000000000000001E-3</v>
      </c>
      <c r="V6853" s="508">
        <v>1.9E-2</v>
      </c>
      <c r="W6853" s="508"/>
      <c r="X6853" s="508">
        <v>1.9E-2</v>
      </c>
      <c r="Y6853" s="508"/>
      <c r="Z6853" s="508"/>
      <c r="AA6853" s="508"/>
      <c r="AB6853" s="508"/>
      <c r="AC6853" s="508"/>
      <c r="AD6853" s="508"/>
      <c r="AE6853" s="508"/>
      <c r="AF6853" s="508"/>
      <c r="AG6853" s="508"/>
      <c r="AH6853" s="508"/>
      <c r="AI6853" s="492"/>
      <c r="AJ6853" s="485"/>
    </row>
    <row r="6854" spans="2:36">
      <c r="B6854" s="136" t="s">
        <v>486</v>
      </c>
      <c r="C6854" s="132" t="s">
        <v>1374</v>
      </c>
      <c r="D6854" s="132" t="s">
        <v>1380</v>
      </c>
      <c r="E6854" s="508">
        <v>8.0000000000000002E-3</v>
      </c>
      <c r="F6854" s="508">
        <v>8.0000000000000002E-3</v>
      </c>
      <c r="G6854" s="508">
        <v>6.0000000000000001E-3</v>
      </c>
      <c r="H6854" s="508">
        <v>7.0000000000000001E-3</v>
      </c>
      <c r="I6854" s="508">
        <v>8.0000000000000002E-3</v>
      </c>
      <c r="J6854" s="508">
        <v>0.01</v>
      </c>
      <c r="K6854" s="508">
        <v>1.0999999999999999E-2</v>
      </c>
      <c r="L6854" s="508">
        <v>1.2E-2</v>
      </c>
      <c r="M6854" s="508">
        <v>8.9999999999999993E-3</v>
      </c>
      <c r="N6854" s="508">
        <v>8.9999999999999993E-3</v>
      </c>
      <c r="O6854" s="508">
        <v>8.9999999999999993E-3</v>
      </c>
      <c r="P6854" s="508">
        <v>0.01</v>
      </c>
      <c r="Q6854" s="508">
        <v>6.0000000000000001E-3</v>
      </c>
      <c r="R6854" s="508">
        <v>8.9999999999999993E-3</v>
      </c>
      <c r="S6854" s="508">
        <v>7.0000000000000001E-3</v>
      </c>
      <c r="T6854" s="508">
        <v>8.9999999999999993E-3</v>
      </c>
      <c r="U6854" s="508">
        <v>7.0000000000000001E-3</v>
      </c>
      <c r="V6854" s="508">
        <v>2.4E-2</v>
      </c>
      <c r="W6854" s="508"/>
      <c r="X6854" s="508">
        <v>2.4E-2</v>
      </c>
      <c r="Y6854" s="508"/>
      <c r="Z6854" s="508"/>
      <c r="AA6854" s="508"/>
      <c r="AB6854" s="508"/>
      <c r="AC6854" s="508"/>
      <c r="AD6854" s="508"/>
      <c r="AE6854" s="508"/>
      <c r="AF6854" s="508"/>
      <c r="AG6854" s="508"/>
      <c r="AH6854" s="508"/>
      <c r="AI6854" s="492"/>
      <c r="AJ6854" s="485"/>
    </row>
    <row r="6855" spans="2:36">
      <c r="B6855" s="136" t="s">
        <v>487</v>
      </c>
      <c r="C6855" s="132" t="s">
        <v>1374</v>
      </c>
      <c r="D6855" s="132" t="s">
        <v>1380</v>
      </c>
      <c r="E6855" s="508">
        <v>8.0000000000000002E-3</v>
      </c>
      <c r="F6855" s="508">
        <v>8.0000000000000002E-3</v>
      </c>
      <c r="G6855" s="508">
        <v>6.0000000000000001E-3</v>
      </c>
      <c r="H6855" s="508">
        <v>7.0000000000000001E-3</v>
      </c>
      <c r="I6855" s="508">
        <v>8.0000000000000002E-3</v>
      </c>
      <c r="J6855" s="508">
        <v>0.01</v>
      </c>
      <c r="K6855" s="508">
        <v>1.0999999999999999E-2</v>
      </c>
      <c r="L6855" s="508">
        <v>1.2E-2</v>
      </c>
      <c r="M6855" s="508">
        <v>8.9999999999999993E-3</v>
      </c>
      <c r="N6855" s="508">
        <v>8.9999999999999993E-3</v>
      </c>
      <c r="O6855" s="508">
        <v>8.9999999999999993E-3</v>
      </c>
      <c r="P6855" s="508">
        <v>0.01</v>
      </c>
      <c r="Q6855" s="508">
        <v>6.0000000000000001E-3</v>
      </c>
      <c r="R6855" s="508">
        <v>8.9999999999999993E-3</v>
      </c>
      <c r="S6855" s="508">
        <v>7.0000000000000001E-3</v>
      </c>
      <c r="T6855" s="508">
        <v>8.9999999999999993E-3</v>
      </c>
      <c r="U6855" s="508">
        <v>7.0000000000000001E-3</v>
      </c>
      <c r="V6855" s="508">
        <v>2.3E-2</v>
      </c>
      <c r="W6855" s="508"/>
      <c r="X6855" s="508">
        <v>2.3E-2</v>
      </c>
      <c r="Y6855" s="508"/>
      <c r="Z6855" s="508"/>
      <c r="AA6855" s="508"/>
      <c r="AB6855" s="508"/>
      <c r="AC6855" s="508"/>
      <c r="AD6855" s="508"/>
      <c r="AE6855" s="508"/>
      <c r="AF6855" s="508"/>
      <c r="AG6855" s="508"/>
      <c r="AH6855" s="508"/>
      <c r="AI6855" s="492"/>
      <c r="AJ6855" s="485"/>
    </row>
    <row r="6856" spans="2:36">
      <c r="B6856" s="136" t="s">
        <v>488</v>
      </c>
      <c r="C6856" s="132" t="s">
        <v>1374</v>
      </c>
      <c r="D6856" s="132" t="s">
        <v>1380</v>
      </c>
      <c r="E6856" s="508">
        <v>7.0000000000000001E-3</v>
      </c>
      <c r="F6856" s="508">
        <v>7.0000000000000001E-3</v>
      </c>
      <c r="G6856" s="508">
        <v>5.0000000000000001E-3</v>
      </c>
      <c r="H6856" s="508">
        <v>6.0000000000000001E-3</v>
      </c>
      <c r="I6856" s="508">
        <v>7.0000000000000001E-3</v>
      </c>
      <c r="J6856" s="508">
        <v>8.0000000000000002E-3</v>
      </c>
      <c r="K6856" s="508">
        <v>0.01</v>
      </c>
      <c r="L6856" s="508">
        <v>0.01</v>
      </c>
      <c r="M6856" s="508">
        <v>8.0000000000000002E-3</v>
      </c>
      <c r="N6856" s="508">
        <v>8.0000000000000002E-3</v>
      </c>
      <c r="O6856" s="508">
        <v>8.0000000000000002E-3</v>
      </c>
      <c r="P6856" s="508">
        <v>8.9999999999999993E-3</v>
      </c>
      <c r="Q6856" s="508">
        <v>6.0000000000000001E-3</v>
      </c>
      <c r="R6856" s="508">
        <v>8.0000000000000002E-3</v>
      </c>
      <c r="S6856" s="508">
        <v>6.0000000000000001E-3</v>
      </c>
      <c r="T6856" s="508">
        <v>8.0000000000000002E-3</v>
      </c>
      <c r="U6856" s="508">
        <v>6.0000000000000001E-3</v>
      </c>
      <c r="V6856" s="508">
        <v>0.02</v>
      </c>
      <c r="W6856" s="508"/>
      <c r="X6856" s="508">
        <v>0.02</v>
      </c>
      <c r="Y6856" s="508"/>
      <c r="Z6856" s="508"/>
      <c r="AA6856" s="508"/>
      <c r="AB6856" s="508"/>
      <c r="AC6856" s="508"/>
      <c r="AD6856" s="508"/>
      <c r="AE6856" s="508"/>
      <c r="AF6856" s="508"/>
      <c r="AG6856" s="508"/>
      <c r="AH6856" s="508"/>
      <c r="AI6856" s="492"/>
      <c r="AJ6856" s="485"/>
    </row>
    <row r="6857" spans="2:36">
      <c r="B6857" s="136" t="s">
        <v>489</v>
      </c>
      <c r="C6857" s="132" t="s">
        <v>1374</v>
      </c>
      <c r="D6857" s="132" t="s">
        <v>1380</v>
      </c>
      <c r="E6857" s="508">
        <v>8.0000000000000002E-3</v>
      </c>
      <c r="F6857" s="508">
        <v>8.0000000000000002E-3</v>
      </c>
      <c r="G6857" s="508">
        <v>6.0000000000000001E-3</v>
      </c>
      <c r="H6857" s="508">
        <v>6.0000000000000001E-3</v>
      </c>
      <c r="I6857" s="508">
        <v>7.0000000000000001E-3</v>
      </c>
      <c r="J6857" s="508">
        <v>8.9999999999999993E-3</v>
      </c>
      <c r="K6857" s="508">
        <v>1.0999999999999999E-2</v>
      </c>
      <c r="L6857" s="508">
        <v>1.0999999999999999E-2</v>
      </c>
      <c r="M6857" s="508">
        <v>8.9999999999999993E-3</v>
      </c>
      <c r="N6857" s="508">
        <v>8.0000000000000002E-3</v>
      </c>
      <c r="O6857" s="508">
        <v>8.9999999999999993E-3</v>
      </c>
      <c r="P6857" s="508">
        <v>8.9999999999999993E-3</v>
      </c>
      <c r="Q6857" s="508">
        <v>6.0000000000000001E-3</v>
      </c>
      <c r="R6857" s="508">
        <v>8.0000000000000002E-3</v>
      </c>
      <c r="S6857" s="508">
        <v>6.0000000000000001E-3</v>
      </c>
      <c r="T6857" s="508">
        <v>8.0000000000000002E-3</v>
      </c>
      <c r="U6857" s="508">
        <v>6.0000000000000001E-3</v>
      </c>
      <c r="V6857" s="508">
        <v>2.1999999999999999E-2</v>
      </c>
      <c r="W6857" s="508"/>
      <c r="X6857" s="508">
        <v>2.1999999999999999E-2</v>
      </c>
      <c r="Y6857" s="508"/>
      <c r="Z6857" s="508"/>
      <c r="AA6857" s="508"/>
      <c r="AB6857" s="508"/>
      <c r="AC6857" s="508"/>
      <c r="AD6857" s="508"/>
      <c r="AE6857" s="508"/>
      <c r="AF6857" s="508"/>
      <c r="AG6857" s="508"/>
      <c r="AH6857" s="508"/>
      <c r="AI6857" s="492"/>
      <c r="AJ6857" s="485"/>
    </row>
    <row r="6858" spans="2:36">
      <c r="B6858" s="136" t="s">
        <v>490</v>
      </c>
      <c r="C6858" s="132" t="s">
        <v>1374</v>
      </c>
      <c r="D6858" s="132" t="s">
        <v>1380</v>
      </c>
      <c r="E6858" s="508">
        <v>7.0000000000000001E-3</v>
      </c>
      <c r="F6858" s="508">
        <v>7.0000000000000001E-3</v>
      </c>
      <c r="G6858" s="508">
        <v>5.0000000000000001E-3</v>
      </c>
      <c r="H6858" s="508">
        <v>6.0000000000000001E-3</v>
      </c>
      <c r="I6858" s="508">
        <v>7.0000000000000001E-3</v>
      </c>
      <c r="J6858" s="508">
        <v>8.0000000000000002E-3</v>
      </c>
      <c r="K6858" s="508">
        <v>8.9999999999999993E-3</v>
      </c>
      <c r="L6858" s="508">
        <v>0.01</v>
      </c>
      <c r="M6858" s="508">
        <v>8.0000000000000002E-3</v>
      </c>
      <c r="N6858" s="508">
        <v>7.0000000000000001E-3</v>
      </c>
      <c r="O6858" s="508">
        <v>8.0000000000000002E-3</v>
      </c>
      <c r="P6858" s="508">
        <v>8.0000000000000002E-3</v>
      </c>
      <c r="Q6858" s="508">
        <v>5.0000000000000001E-3</v>
      </c>
      <c r="R6858" s="508">
        <v>7.0000000000000001E-3</v>
      </c>
      <c r="S6858" s="508">
        <v>6.0000000000000001E-3</v>
      </c>
      <c r="T6858" s="508">
        <v>7.0000000000000001E-3</v>
      </c>
      <c r="U6858" s="508">
        <v>6.0000000000000001E-3</v>
      </c>
      <c r="V6858" s="508">
        <v>1.9E-2</v>
      </c>
      <c r="W6858" s="508"/>
      <c r="X6858" s="508">
        <v>1.9E-2</v>
      </c>
      <c r="Y6858" s="508"/>
      <c r="Z6858" s="508"/>
      <c r="AA6858" s="508"/>
      <c r="AB6858" s="508"/>
      <c r="AC6858" s="508"/>
      <c r="AD6858" s="508"/>
      <c r="AE6858" s="508"/>
      <c r="AF6858" s="508"/>
      <c r="AG6858" s="508"/>
      <c r="AH6858" s="508"/>
      <c r="AI6858" s="492"/>
      <c r="AJ6858" s="485"/>
    </row>
    <row r="6859" spans="2:36">
      <c r="B6859" s="136" t="s">
        <v>435</v>
      </c>
      <c r="C6859" s="132" t="s">
        <v>1375</v>
      </c>
      <c r="D6859" s="132" t="s">
        <v>1380</v>
      </c>
      <c r="E6859" s="508">
        <v>1.9E-2</v>
      </c>
      <c r="F6859" s="508">
        <v>1.7999999999999999E-2</v>
      </c>
      <c r="G6859" s="508">
        <v>1.7000000000000001E-2</v>
      </c>
      <c r="H6859" s="508">
        <v>1.7000000000000001E-2</v>
      </c>
      <c r="I6859" s="508">
        <v>1.6E-2</v>
      </c>
      <c r="J6859" s="508">
        <v>1.6E-2</v>
      </c>
      <c r="K6859" s="508">
        <v>1.6E-2</v>
      </c>
      <c r="L6859" s="508">
        <v>1.4999999999999999E-2</v>
      </c>
      <c r="M6859" s="508">
        <v>1.6E-2</v>
      </c>
      <c r="N6859" s="508">
        <v>1.4E-2</v>
      </c>
      <c r="O6859" s="508">
        <v>1.4E-2</v>
      </c>
      <c r="P6859" s="508">
        <v>1.4E-2</v>
      </c>
      <c r="Q6859" s="508">
        <v>1.2999999999999999E-2</v>
      </c>
      <c r="R6859" s="508">
        <v>1.4999999999999999E-2</v>
      </c>
      <c r="S6859" s="508">
        <v>1.2999999999999999E-2</v>
      </c>
      <c r="T6859" s="508">
        <v>1.2999999999999999E-2</v>
      </c>
      <c r="U6859" s="508">
        <v>1.4E-2</v>
      </c>
      <c r="V6859" s="508">
        <v>1.0999999999999999E-2</v>
      </c>
      <c r="W6859" s="508">
        <v>1.2E-2</v>
      </c>
      <c r="X6859" s="508">
        <v>1.2E-2</v>
      </c>
      <c r="Y6859" s="508">
        <v>1.2E-2</v>
      </c>
      <c r="Z6859" s="508">
        <v>1.2E-2</v>
      </c>
      <c r="AA6859" s="508">
        <v>1.2999999999999999E-2</v>
      </c>
      <c r="AB6859" s="508">
        <v>1.0999999999999999E-2</v>
      </c>
      <c r="AC6859" s="508">
        <v>1.4E-2</v>
      </c>
      <c r="AD6859" s="508">
        <v>1.2999999999999999E-2</v>
      </c>
      <c r="AE6859" s="508">
        <v>1.2E-2</v>
      </c>
      <c r="AF6859" s="508">
        <v>1.2E-2</v>
      </c>
      <c r="AG6859" s="508">
        <v>1.2E-2</v>
      </c>
      <c r="AH6859" s="508">
        <v>1.2E-2</v>
      </c>
      <c r="AI6859" s="492">
        <v>1.2E-2</v>
      </c>
      <c r="AJ6859" s="485"/>
    </row>
    <row r="6860" spans="2:36">
      <c r="B6860" s="136" t="s">
        <v>436</v>
      </c>
      <c r="C6860" s="132" t="s">
        <v>1375</v>
      </c>
      <c r="D6860" s="132" t="s">
        <v>1380</v>
      </c>
      <c r="E6860" s="508">
        <v>1.7000000000000001E-2</v>
      </c>
      <c r="F6860" s="508">
        <v>1.6E-2</v>
      </c>
      <c r="G6860" s="508">
        <v>1.4999999999999999E-2</v>
      </c>
      <c r="H6860" s="508">
        <v>1.4999999999999999E-2</v>
      </c>
      <c r="I6860" s="508">
        <v>1.4999999999999999E-2</v>
      </c>
      <c r="J6860" s="508">
        <v>1.4E-2</v>
      </c>
      <c r="K6860" s="508">
        <v>1.4999999999999999E-2</v>
      </c>
      <c r="L6860" s="508">
        <v>1.4E-2</v>
      </c>
      <c r="M6860" s="508">
        <v>1.4E-2</v>
      </c>
      <c r="N6860" s="508">
        <v>1.2999999999999999E-2</v>
      </c>
      <c r="O6860" s="508">
        <v>1.2999999999999999E-2</v>
      </c>
      <c r="P6860" s="508">
        <v>1.2999999999999999E-2</v>
      </c>
      <c r="Q6860" s="508">
        <v>1.2E-2</v>
      </c>
      <c r="R6860" s="508">
        <v>1.4E-2</v>
      </c>
      <c r="S6860" s="508">
        <v>1.2E-2</v>
      </c>
      <c r="T6860" s="508">
        <v>1.2E-2</v>
      </c>
      <c r="U6860" s="508">
        <v>1.2999999999999999E-2</v>
      </c>
      <c r="V6860" s="508">
        <v>1.0999999999999999E-2</v>
      </c>
      <c r="W6860" s="508">
        <v>1.0999999999999999E-2</v>
      </c>
      <c r="X6860" s="508">
        <v>1.0999999999999999E-2</v>
      </c>
      <c r="Y6860" s="508">
        <v>1.0999999999999999E-2</v>
      </c>
      <c r="Z6860" s="508">
        <v>1.0999999999999999E-2</v>
      </c>
      <c r="AA6860" s="508">
        <v>1.2E-2</v>
      </c>
      <c r="AB6860" s="508">
        <v>0.01</v>
      </c>
      <c r="AC6860" s="508">
        <v>1.2E-2</v>
      </c>
      <c r="AD6860" s="508">
        <v>1.2E-2</v>
      </c>
      <c r="AE6860" s="508">
        <v>1.0999999999999999E-2</v>
      </c>
      <c r="AF6860" s="508">
        <v>1.0999999999999999E-2</v>
      </c>
      <c r="AG6860" s="508">
        <v>1.0999999999999999E-2</v>
      </c>
      <c r="AH6860" s="508">
        <v>1.0999999999999999E-2</v>
      </c>
      <c r="AI6860" s="492">
        <v>1.0999999999999999E-2</v>
      </c>
      <c r="AJ6860" s="485"/>
    </row>
    <row r="6861" spans="2:36">
      <c r="B6861" s="136" t="s">
        <v>437</v>
      </c>
      <c r="C6861" s="132" t="s">
        <v>1375</v>
      </c>
      <c r="D6861" s="132" t="s">
        <v>1380</v>
      </c>
      <c r="E6861" s="508">
        <v>1.9E-2</v>
      </c>
      <c r="F6861" s="508">
        <v>1.7999999999999999E-2</v>
      </c>
      <c r="G6861" s="508">
        <v>1.7000000000000001E-2</v>
      </c>
      <c r="H6861" s="508">
        <v>1.7000000000000001E-2</v>
      </c>
      <c r="I6861" s="508">
        <v>1.7000000000000001E-2</v>
      </c>
      <c r="J6861" s="508">
        <v>1.6E-2</v>
      </c>
      <c r="K6861" s="508">
        <v>1.7000000000000001E-2</v>
      </c>
      <c r="L6861" s="508">
        <v>1.6E-2</v>
      </c>
      <c r="M6861" s="508">
        <v>1.6E-2</v>
      </c>
      <c r="N6861" s="508">
        <v>1.4999999999999999E-2</v>
      </c>
      <c r="O6861" s="508">
        <v>1.4999999999999999E-2</v>
      </c>
      <c r="P6861" s="508">
        <v>1.4999999999999999E-2</v>
      </c>
      <c r="Q6861" s="508">
        <v>1.4E-2</v>
      </c>
      <c r="R6861" s="508">
        <v>1.6E-2</v>
      </c>
      <c r="S6861" s="508">
        <v>1.4E-2</v>
      </c>
      <c r="T6861" s="508">
        <v>1.4E-2</v>
      </c>
      <c r="U6861" s="508">
        <v>1.4E-2</v>
      </c>
      <c r="V6861" s="508">
        <v>1.2E-2</v>
      </c>
      <c r="W6861" s="508">
        <v>1.2E-2</v>
      </c>
      <c r="X6861" s="508">
        <v>1.2E-2</v>
      </c>
      <c r="Y6861" s="508">
        <v>1.2999999999999999E-2</v>
      </c>
      <c r="Z6861" s="508">
        <v>1.2E-2</v>
      </c>
      <c r="AA6861" s="508">
        <v>1.4E-2</v>
      </c>
      <c r="AB6861" s="508">
        <v>1.0999999999999999E-2</v>
      </c>
      <c r="AC6861" s="508">
        <v>1.4E-2</v>
      </c>
      <c r="AD6861" s="508">
        <v>1.2999999999999999E-2</v>
      </c>
      <c r="AE6861" s="508">
        <v>1.2E-2</v>
      </c>
      <c r="AF6861" s="508">
        <v>1.2E-2</v>
      </c>
      <c r="AG6861" s="508">
        <v>1.2E-2</v>
      </c>
      <c r="AH6861" s="508">
        <v>1.2E-2</v>
      </c>
      <c r="AI6861" s="492">
        <v>1.2E-2</v>
      </c>
      <c r="AJ6861" s="485"/>
    </row>
    <row r="6862" spans="2:36">
      <c r="B6862" s="136" t="s">
        <v>438</v>
      </c>
      <c r="C6862" s="132" t="s">
        <v>1375</v>
      </c>
      <c r="D6862" s="132" t="s">
        <v>1380</v>
      </c>
      <c r="E6862" s="508">
        <v>1.6E-2</v>
      </c>
      <c r="F6862" s="508">
        <v>1.4999999999999999E-2</v>
      </c>
      <c r="G6862" s="508">
        <v>1.4E-2</v>
      </c>
      <c r="H6862" s="508">
        <v>1.4E-2</v>
      </c>
      <c r="I6862" s="508">
        <v>1.4E-2</v>
      </c>
      <c r="J6862" s="508">
        <v>1.4E-2</v>
      </c>
      <c r="K6862" s="508">
        <v>1.4E-2</v>
      </c>
      <c r="L6862" s="508">
        <v>1.2999999999999999E-2</v>
      </c>
      <c r="M6862" s="508">
        <v>1.2999999999999999E-2</v>
      </c>
      <c r="N6862" s="508">
        <v>1.2E-2</v>
      </c>
      <c r="O6862" s="508">
        <v>1.2E-2</v>
      </c>
      <c r="P6862" s="508">
        <v>1.2999999999999999E-2</v>
      </c>
      <c r="Q6862" s="508">
        <v>1.2E-2</v>
      </c>
      <c r="R6862" s="508">
        <v>1.2999999999999999E-2</v>
      </c>
      <c r="S6862" s="508">
        <v>1.2E-2</v>
      </c>
      <c r="T6862" s="508">
        <v>1.0999999999999999E-2</v>
      </c>
      <c r="U6862" s="508">
        <v>1.2E-2</v>
      </c>
      <c r="V6862" s="508">
        <v>0.01</v>
      </c>
      <c r="W6862" s="508">
        <v>0.01</v>
      </c>
      <c r="X6862" s="508">
        <v>0.01</v>
      </c>
      <c r="Y6862" s="508">
        <v>1.0999999999999999E-2</v>
      </c>
      <c r="Z6862" s="508">
        <v>1.0999999999999999E-2</v>
      </c>
      <c r="AA6862" s="508">
        <v>1.2E-2</v>
      </c>
      <c r="AB6862" s="508">
        <v>8.9999999999999993E-3</v>
      </c>
      <c r="AC6862" s="508">
        <v>1.2E-2</v>
      </c>
      <c r="AD6862" s="508">
        <v>1.0999999999999999E-2</v>
      </c>
      <c r="AE6862" s="508">
        <v>0.01</v>
      </c>
      <c r="AF6862" s="508">
        <v>0.01</v>
      </c>
      <c r="AG6862" s="508">
        <v>0.01</v>
      </c>
      <c r="AH6862" s="508">
        <v>0.01</v>
      </c>
      <c r="AI6862" s="492">
        <v>0.01</v>
      </c>
      <c r="AJ6862" s="485"/>
    </row>
    <row r="6863" spans="2:36">
      <c r="B6863" s="136" t="s">
        <v>439</v>
      </c>
      <c r="C6863" s="132" t="s">
        <v>1375</v>
      </c>
      <c r="D6863" s="132" t="s">
        <v>1380</v>
      </c>
      <c r="E6863" s="508">
        <v>1.9E-2</v>
      </c>
      <c r="F6863" s="508">
        <v>1.7999999999999999E-2</v>
      </c>
      <c r="G6863" s="508">
        <v>1.7000000000000001E-2</v>
      </c>
      <c r="H6863" s="508">
        <v>1.7000000000000001E-2</v>
      </c>
      <c r="I6863" s="508">
        <v>1.7000000000000001E-2</v>
      </c>
      <c r="J6863" s="508">
        <v>1.6E-2</v>
      </c>
      <c r="K6863" s="508">
        <v>1.6E-2</v>
      </c>
      <c r="L6863" s="508">
        <v>1.6E-2</v>
      </c>
      <c r="M6863" s="508">
        <v>1.6E-2</v>
      </c>
      <c r="N6863" s="508">
        <v>1.4E-2</v>
      </c>
      <c r="O6863" s="508">
        <v>1.4E-2</v>
      </c>
      <c r="P6863" s="508">
        <v>1.4999999999999999E-2</v>
      </c>
      <c r="Q6863" s="508">
        <v>1.4E-2</v>
      </c>
      <c r="R6863" s="508">
        <v>1.4999999999999999E-2</v>
      </c>
      <c r="S6863" s="508">
        <v>1.4E-2</v>
      </c>
      <c r="T6863" s="508">
        <v>1.2999999999999999E-2</v>
      </c>
      <c r="U6863" s="508">
        <v>1.4E-2</v>
      </c>
      <c r="V6863" s="508">
        <v>1.2E-2</v>
      </c>
      <c r="W6863" s="508">
        <v>1.2E-2</v>
      </c>
      <c r="X6863" s="508">
        <v>1.2E-2</v>
      </c>
      <c r="Y6863" s="508">
        <v>1.2999999999999999E-2</v>
      </c>
      <c r="Z6863" s="508">
        <v>1.2E-2</v>
      </c>
      <c r="AA6863" s="508">
        <v>1.4E-2</v>
      </c>
      <c r="AB6863" s="508">
        <v>1.0999999999999999E-2</v>
      </c>
      <c r="AC6863" s="508">
        <v>1.4E-2</v>
      </c>
      <c r="AD6863" s="508">
        <v>1.2999999999999999E-2</v>
      </c>
      <c r="AE6863" s="508">
        <v>1.2E-2</v>
      </c>
      <c r="AF6863" s="508">
        <v>1.2E-2</v>
      </c>
      <c r="AG6863" s="508">
        <v>1.2E-2</v>
      </c>
      <c r="AH6863" s="508">
        <v>1.2E-2</v>
      </c>
      <c r="AI6863" s="492">
        <v>1.2E-2</v>
      </c>
      <c r="AJ6863" s="485"/>
    </row>
    <row r="6864" spans="2:36">
      <c r="B6864" s="136" t="s">
        <v>440</v>
      </c>
      <c r="C6864" s="132" t="s">
        <v>1375</v>
      </c>
      <c r="D6864" s="132" t="s">
        <v>1380</v>
      </c>
      <c r="E6864" s="508">
        <v>1.7999999999999999E-2</v>
      </c>
      <c r="F6864" s="508">
        <v>1.7000000000000001E-2</v>
      </c>
      <c r="G6864" s="508">
        <v>1.6E-2</v>
      </c>
      <c r="H6864" s="508">
        <v>1.6E-2</v>
      </c>
      <c r="I6864" s="508">
        <v>1.6E-2</v>
      </c>
      <c r="J6864" s="508">
        <v>1.4999999999999999E-2</v>
      </c>
      <c r="K6864" s="508">
        <v>1.6E-2</v>
      </c>
      <c r="L6864" s="508">
        <v>1.4999999999999999E-2</v>
      </c>
      <c r="M6864" s="508">
        <v>1.4999999999999999E-2</v>
      </c>
      <c r="N6864" s="508">
        <v>1.4E-2</v>
      </c>
      <c r="O6864" s="508">
        <v>1.4E-2</v>
      </c>
      <c r="P6864" s="508">
        <v>1.4E-2</v>
      </c>
      <c r="Q6864" s="508">
        <v>1.2999999999999999E-2</v>
      </c>
      <c r="R6864" s="508">
        <v>1.4999999999999999E-2</v>
      </c>
      <c r="S6864" s="508">
        <v>1.2999999999999999E-2</v>
      </c>
      <c r="T6864" s="508">
        <v>1.2999999999999999E-2</v>
      </c>
      <c r="U6864" s="508">
        <v>1.4E-2</v>
      </c>
      <c r="V6864" s="508">
        <v>1.0999999999999999E-2</v>
      </c>
      <c r="W6864" s="508">
        <v>1.2E-2</v>
      </c>
      <c r="X6864" s="508">
        <v>1.2E-2</v>
      </c>
      <c r="Y6864" s="508">
        <v>1.2E-2</v>
      </c>
      <c r="Z6864" s="508">
        <v>1.2E-2</v>
      </c>
      <c r="AA6864" s="508">
        <v>1.2999999999999999E-2</v>
      </c>
      <c r="AB6864" s="508">
        <v>0.01</v>
      </c>
      <c r="AC6864" s="508">
        <v>1.2999999999999999E-2</v>
      </c>
      <c r="AD6864" s="508">
        <v>1.2999999999999999E-2</v>
      </c>
      <c r="AE6864" s="508">
        <v>1.2E-2</v>
      </c>
      <c r="AF6864" s="508">
        <v>1.2E-2</v>
      </c>
      <c r="AG6864" s="508">
        <v>1.2E-2</v>
      </c>
      <c r="AH6864" s="508">
        <v>1.2E-2</v>
      </c>
      <c r="AI6864" s="492">
        <v>1.2E-2</v>
      </c>
      <c r="AJ6864" s="485"/>
    </row>
    <row r="6865" spans="2:36">
      <c r="B6865" s="136" t="s">
        <v>441</v>
      </c>
      <c r="C6865" s="132" t="s">
        <v>1375</v>
      </c>
      <c r="D6865" s="132" t="s">
        <v>1380</v>
      </c>
      <c r="E6865" s="508">
        <v>1.9E-2</v>
      </c>
      <c r="F6865" s="508">
        <v>1.7999999999999999E-2</v>
      </c>
      <c r="G6865" s="508">
        <v>1.7000000000000001E-2</v>
      </c>
      <c r="H6865" s="508">
        <v>1.7000000000000001E-2</v>
      </c>
      <c r="I6865" s="508">
        <v>1.7000000000000001E-2</v>
      </c>
      <c r="J6865" s="508">
        <v>1.6E-2</v>
      </c>
      <c r="K6865" s="508">
        <v>1.7000000000000001E-2</v>
      </c>
      <c r="L6865" s="508">
        <v>1.6E-2</v>
      </c>
      <c r="M6865" s="508">
        <v>1.6E-2</v>
      </c>
      <c r="N6865" s="508">
        <v>1.4E-2</v>
      </c>
      <c r="O6865" s="508">
        <v>1.4E-2</v>
      </c>
      <c r="P6865" s="508">
        <v>1.4999999999999999E-2</v>
      </c>
      <c r="Q6865" s="508">
        <v>1.4E-2</v>
      </c>
      <c r="R6865" s="508">
        <v>1.6E-2</v>
      </c>
      <c r="S6865" s="508">
        <v>1.4E-2</v>
      </c>
      <c r="T6865" s="508">
        <v>1.2999999999999999E-2</v>
      </c>
      <c r="U6865" s="508">
        <v>1.4E-2</v>
      </c>
      <c r="V6865" s="508">
        <v>1.2E-2</v>
      </c>
      <c r="W6865" s="508">
        <v>1.2E-2</v>
      </c>
      <c r="X6865" s="508">
        <v>1.2E-2</v>
      </c>
      <c r="Y6865" s="508">
        <v>1.2999999999999999E-2</v>
      </c>
      <c r="Z6865" s="508">
        <v>1.2E-2</v>
      </c>
      <c r="AA6865" s="508">
        <v>1.4E-2</v>
      </c>
      <c r="AB6865" s="508">
        <v>1.0999999999999999E-2</v>
      </c>
      <c r="AC6865" s="508">
        <v>1.4E-2</v>
      </c>
      <c r="AD6865" s="508">
        <v>1.2999999999999999E-2</v>
      </c>
      <c r="AE6865" s="508">
        <v>1.2E-2</v>
      </c>
      <c r="AF6865" s="508">
        <v>1.2E-2</v>
      </c>
      <c r="AG6865" s="508">
        <v>1.2E-2</v>
      </c>
      <c r="AH6865" s="508">
        <v>1.2E-2</v>
      </c>
      <c r="AI6865" s="492">
        <v>1.2E-2</v>
      </c>
      <c r="AJ6865" s="485"/>
    </row>
    <row r="6866" spans="2:36">
      <c r="B6866" s="136" t="s">
        <v>443</v>
      </c>
      <c r="C6866" s="132" t="s">
        <v>1375</v>
      </c>
      <c r="D6866" s="132" t="s">
        <v>1380</v>
      </c>
      <c r="E6866" s="508">
        <v>2.1000000000000001E-2</v>
      </c>
      <c r="F6866" s="508">
        <v>0.02</v>
      </c>
      <c r="G6866" s="508">
        <v>1.9E-2</v>
      </c>
      <c r="H6866" s="508">
        <v>1.9E-2</v>
      </c>
      <c r="I6866" s="508">
        <v>1.9E-2</v>
      </c>
      <c r="J6866" s="508">
        <v>1.7999999999999999E-2</v>
      </c>
      <c r="K6866" s="508">
        <v>1.7999999999999999E-2</v>
      </c>
      <c r="L6866" s="508">
        <v>1.7999999999999999E-2</v>
      </c>
      <c r="M6866" s="508">
        <v>1.7999999999999999E-2</v>
      </c>
      <c r="N6866" s="508">
        <v>1.6E-2</v>
      </c>
      <c r="O6866" s="508">
        <v>1.6E-2</v>
      </c>
      <c r="P6866" s="508">
        <v>1.6E-2</v>
      </c>
      <c r="Q6866" s="508">
        <v>1.4999999999999999E-2</v>
      </c>
      <c r="R6866" s="508">
        <v>1.7000000000000001E-2</v>
      </c>
      <c r="S6866" s="508">
        <v>1.4999999999999999E-2</v>
      </c>
      <c r="T6866" s="508">
        <v>1.4999999999999999E-2</v>
      </c>
      <c r="U6866" s="508">
        <v>1.6E-2</v>
      </c>
      <c r="V6866" s="508">
        <v>1.2999999999999999E-2</v>
      </c>
      <c r="W6866" s="508">
        <v>1.2999999999999999E-2</v>
      </c>
      <c r="X6866" s="508">
        <v>1.2999999999999999E-2</v>
      </c>
      <c r="Y6866" s="508">
        <v>1.4E-2</v>
      </c>
      <c r="Z6866" s="508">
        <v>1.4E-2</v>
      </c>
      <c r="AA6866" s="508">
        <v>1.4999999999999999E-2</v>
      </c>
      <c r="AB6866" s="508">
        <v>1.2E-2</v>
      </c>
      <c r="AC6866" s="508">
        <v>1.6E-2</v>
      </c>
      <c r="AD6866" s="508">
        <v>1.4999999999999999E-2</v>
      </c>
      <c r="AE6866" s="508">
        <v>1.2999999999999999E-2</v>
      </c>
      <c r="AF6866" s="508">
        <v>1.2999999999999999E-2</v>
      </c>
      <c r="AG6866" s="508">
        <v>1.2999999999999999E-2</v>
      </c>
      <c r="AH6866" s="508">
        <v>1.2999999999999999E-2</v>
      </c>
      <c r="AI6866" s="492">
        <v>1.2999999999999999E-2</v>
      </c>
      <c r="AJ6866" s="485"/>
    </row>
    <row r="6867" spans="2:36">
      <c r="B6867" s="136" t="s">
        <v>445</v>
      </c>
      <c r="C6867" s="132" t="s">
        <v>1375</v>
      </c>
      <c r="D6867" s="132" t="s">
        <v>1380</v>
      </c>
      <c r="E6867" s="508">
        <v>2.5999999999999999E-2</v>
      </c>
      <c r="F6867" s="508">
        <v>2.5000000000000001E-2</v>
      </c>
      <c r="G6867" s="508">
        <v>2.3E-2</v>
      </c>
      <c r="H6867" s="508">
        <v>2.3E-2</v>
      </c>
      <c r="I6867" s="508">
        <v>2.3E-2</v>
      </c>
      <c r="J6867" s="508">
        <v>2.1999999999999999E-2</v>
      </c>
      <c r="K6867" s="508">
        <v>2.3E-2</v>
      </c>
      <c r="L6867" s="508">
        <v>2.1999999999999999E-2</v>
      </c>
      <c r="M6867" s="508">
        <v>2.1999999999999999E-2</v>
      </c>
      <c r="N6867" s="508">
        <v>0.02</v>
      </c>
      <c r="O6867" s="508">
        <v>0.02</v>
      </c>
      <c r="P6867" s="508">
        <v>0.02</v>
      </c>
      <c r="Q6867" s="508">
        <v>1.9E-2</v>
      </c>
      <c r="R6867" s="508">
        <v>2.1000000000000001E-2</v>
      </c>
      <c r="S6867" s="508">
        <v>1.9E-2</v>
      </c>
      <c r="T6867" s="508">
        <v>1.7999999999999999E-2</v>
      </c>
      <c r="U6867" s="508">
        <v>1.9E-2</v>
      </c>
      <c r="V6867" s="508">
        <v>1.6E-2</v>
      </c>
      <c r="W6867" s="508">
        <v>1.6E-2</v>
      </c>
      <c r="X6867" s="508">
        <v>1.6E-2</v>
      </c>
      <c r="Y6867" s="508">
        <v>1.7000000000000001E-2</v>
      </c>
      <c r="Z6867" s="508">
        <v>1.7000000000000001E-2</v>
      </c>
      <c r="AA6867" s="508">
        <v>1.9E-2</v>
      </c>
      <c r="AB6867" s="508">
        <v>1.4E-2</v>
      </c>
      <c r="AC6867" s="508">
        <v>1.9E-2</v>
      </c>
      <c r="AD6867" s="508">
        <v>1.7999999999999999E-2</v>
      </c>
      <c r="AE6867" s="508">
        <v>1.6E-2</v>
      </c>
      <c r="AF6867" s="508">
        <v>1.6E-2</v>
      </c>
      <c r="AG6867" s="508">
        <v>1.6E-2</v>
      </c>
      <c r="AH6867" s="508">
        <v>1.6E-2</v>
      </c>
      <c r="AI6867" s="492">
        <v>1.6E-2</v>
      </c>
      <c r="AJ6867" s="485"/>
    </row>
    <row r="6868" spans="2:36">
      <c r="B6868" s="136" t="s">
        <v>446</v>
      </c>
      <c r="C6868" s="132" t="s">
        <v>1375</v>
      </c>
      <c r="D6868" s="132" t="s">
        <v>1380</v>
      </c>
      <c r="E6868" s="508">
        <v>2.3E-2</v>
      </c>
      <c r="F6868" s="508">
        <v>2.1999999999999999E-2</v>
      </c>
      <c r="G6868" s="508">
        <v>0.02</v>
      </c>
      <c r="H6868" s="508">
        <v>0.02</v>
      </c>
      <c r="I6868" s="508">
        <v>0.02</v>
      </c>
      <c r="J6868" s="508">
        <v>1.9E-2</v>
      </c>
      <c r="K6868" s="508">
        <v>0.02</v>
      </c>
      <c r="L6868" s="508">
        <v>1.9E-2</v>
      </c>
      <c r="M6868" s="508">
        <v>1.9E-2</v>
      </c>
      <c r="N6868" s="508">
        <v>1.7000000000000001E-2</v>
      </c>
      <c r="O6868" s="508">
        <v>1.7000000000000001E-2</v>
      </c>
      <c r="P6868" s="508">
        <v>1.7999999999999999E-2</v>
      </c>
      <c r="Q6868" s="508">
        <v>1.6E-2</v>
      </c>
      <c r="R6868" s="508">
        <v>1.7999999999999999E-2</v>
      </c>
      <c r="S6868" s="508">
        <v>1.6E-2</v>
      </c>
      <c r="T6868" s="508">
        <v>1.6E-2</v>
      </c>
      <c r="U6868" s="508">
        <v>1.7000000000000001E-2</v>
      </c>
      <c r="V6868" s="508">
        <v>1.4E-2</v>
      </c>
      <c r="W6868" s="508">
        <v>1.4E-2</v>
      </c>
      <c r="X6868" s="508">
        <v>1.4E-2</v>
      </c>
      <c r="Y6868" s="508">
        <v>1.4999999999999999E-2</v>
      </c>
      <c r="Z6868" s="508">
        <v>1.4999999999999999E-2</v>
      </c>
      <c r="AA6868" s="508">
        <v>1.6E-2</v>
      </c>
      <c r="AB6868" s="508">
        <v>1.2999999999999999E-2</v>
      </c>
      <c r="AC6868" s="508">
        <v>1.7000000000000001E-2</v>
      </c>
      <c r="AD6868" s="508">
        <v>1.6E-2</v>
      </c>
      <c r="AE6868" s="508">
        <v>1.4E-2</v>
      </c>
      <c r="AF6868" s="508">
        <v>1.4E-2</v>
      </c>
      <c r="AG6868" s="508">
        <v>1.4E-2</v>
      </c>
      <c r="AH6868" s="508">
        <v>1.4E-2</v>
      </c>
      <c r="AI6868" s="492">
        <v>1.4E-2</v>
      </c>
      <c r="AJ6868" s="485"/>
    </row>
    <row r="6869" spans="2:36">
      <c r="B6869" s="136" t="s">
        <v>448</v>
      </c>
      <c r="C6869" s="132" t="s">
        <v>1375</v>
      </c>
      <c r="D6869" s="132" t="s">
        <v>1380</v>
      </c>
      <c r="E6869" s="508">
        <v>1.7000000000000001E-2</v>
      </c>
      <c r="F6869" s="508">
        <v>1.6E-2</v>
      </c>
      <c r="G6869" s="508">
        <v>1.6E-2</v>
      </c>
      <c r="H6869" s="508">
        <v>1.7000000000000001E-2</v>
      </c>
      <c r="I6869" s="508">
        <v>1.7000000000000001E-2</v>
      </c>
      <c r="J6869" s="508">
        <v>1.6E-2</v>
      </c>
      <c r="K6869" s="508">
        <v>1.7000000000000001E-2</v>
      </c>
      <c r="L6869" s="508">
        <v>1.6E-2</v>
      </c>
      <c r="M6869" s="508">
        <v>1.7000000000000001E-2</v>
      </c>
      <c r="N6869" s="508">
        <v>1.6E-2</v>
      </c>
      <c r="O6869" s="508">
        <v>1.7000000000000001E-2</v>
      </c>
      <c r="P6869" s="508">
        <v>1.7000000000000001E-2</v>
      </c>
      <c r="Q6869" s="508">
        <v>1.7000000000000001E-2</v>
      </c>
      <c r="R6869" s="508">
        <v>1.7000000000000001E-2</v>
      </c>
      <c r="S6869" s="508">
        <v>1.7000000000000001E-2</v>
      </c>
      <c r="T6869" s="508">
        <v>1.7000000000000001E-2</v>
      </c>
      <c r="U6869" s="508">
        <v>1.7000000000000001E-2</v>
      </c>
      <c r="V6869" s="508">
        <v>1.4999999999999999E-2</v>
      </c>
      <c r="W6869" s="508">
        <v>1.6E-2</v>
      </c>
      <c r="X6869" s="508">
        <v>1.4999999999999999E-2</v>
      </c>
      <c r="Y6869" s="508">
        <v>1.6E-2</v>
      </c>
      <c r="Z6869" s="508">
        <v>1.6E-2</v>
      </c>
      <c r="AA6869" s="508">
        <v>1.6E-2</v>
      </c>
      <c r="AB6869" s="508">
        <v>1.4999999999999999E-2</v>
      </c>
      <c r="AC6869" s="508">
        <v>1.6E-2</v>
      </c>
      <c r="AD6869" s="508">
        <v>1.6E-2</v>
      </c>
      <c r="AE6869" s="508">
        <v>1.6E-2</v>
      </c>
      <c r="AF6869" s="508">
        <v>1.6E-2</v>
      </c>
      <c r="AG6869" s="508">
        <v>1.6E-2</v>
      </c>
      <c r="AH6869" s="508">
        <v>1.6E-2</v>
      </c>
      <c r="AI6869" s="492">
        <v>1.6E-2</v>
      </c>
      <c r="AJ6869" s="485"/>
    </row>
    <row r="6870" spans="2:36">
      <c r="B6870" s="136" t="s">
        <v>449</v>
      </c>
      <c r="C6870" s="132" t="s">
        <v>1375</v>
      </c>
      <c r="D6870" s="132" t="s">
        <v>1380</v>
      </c>
      <c r="E6870" s="508">
        <v>2.1999999999999999E-2</v>
      </c>
      <c r="F6870" s="508">
        <v>2.1000000000000001E-2</v>
      </c>
      <c r="G6870" s="508">
        <v>1.9E-2</v>
      </c>
      <c r="H6870" s="508">
        <v>1.9E-2</v>
      </c>
      <c r="I6870" s="508">
        <v>1.9E-2</v>
      </c>
      <c r="J6870" s="508">
        <v>1.7999999999999999E-2</v>
      </c>
      <c r="K6870" s="508">
        <v>1.9E-2</v>
      </c>
      <c r="L6870" s="508">
        <v>1.7999999999999999E-2</v>
      </c>
      <c r="M6870" s="508">
        <v>1.7999999999999999E-2</v>
      </c>
      <c r="N6870" s="508">
        <v>1.6E-2</v>
      </c>
      <c r="O6870" s="508">
        <v>1.6E-2</v>
      </c>
      <c r="P6870" s="508">
        <v>1.7000000000000001E-2</v>
      </c>
      <c r="Q6870" s="508">
        <v>1.6E-2</v>
      </c>
      <c r="R6870" s="508">
        <v>1.7999999999999999E-2</v>
      </c>
      <c r="S6870" s="508">
        <v>1.6E-2</v>
      </c>
      <c r="T6870" s="508">
        <v>1.4999999999999999E-2</v>
      </c>
      <c r="U6870" s="508">
        <v>1.6E-2</v>
      </c>
      <c r="V6870" s="508">
        <v>1.2999999999999999E-2</v>
      </c>
      <c r="W6870" s="508">
        <v>1.4E-2</v>
      </c>
      <c r="X6870" s="508">
        <v>1.4E-2</v>
      </c>
      <c r="Y6870" s="508">
        <v>1.4E-2</v>
      </c>
      <c r="Z6870" s="508">
        <v>1.4E-2</v>
      </c>
      <c r="AA6870" s="508">
        <v>1.6E-2</v>
      </c>
      <c r="AB6870" s="508">
        <v>1.2E-2</v>
      </c>
      <c r="AC6870" s="508">
        <v>1.6E-2</v>
      </c>
      <c r="AD6870" s="508">
        <v>1.4999999999999999E-2</v>
      </c>
      <c r="AE6870" s="508">
        <v>1.4E-2</v>
      </c>
      <c r="AF6870" s="508">
        <v>1.4E-2</v>
      </c>
      <c r="AG6870" s="508">
        <v>1.4E-2</v>
      </c>
      <c r="AH6870" s="508">
        <v>1.4E-2</v>
      </c>
      <c r="AI6870" s="492">
        <v>1.4E-2</v>
      </c>
      <c r="AJ6870" s="485"/>
    </row>
    <row r="6871" spans="2:36">
      <c r="B6871" s="136" t="s">
        <v>450</v>
      </c>
      <c r="C6871" s="132" t="s">
        <v>1375</v>
      </c>
      <c r="D6871" s="132" t="s">
        <v>1380</v>
      </c>
      <c r="E6871" s="508">
        <v>1.7999999999999999E-2</v>
      </c>
      <c r="F6871" s="508">
        <v>1.7000000000000001E-2</v>
      </c>
      <c r="G6871" s="508">
        <v>1.7000000000000001E-2</v>
      </c>
      <c r="H6871" s="508">
        <v>1.6E-2</v>
      </c>
      <c r="I6871" s="508">
        <v>1.6E-2</v>
      </c>
      <c r="J6871" s="508">
        <v>1.6E-2</v>
      </c>
      <c r="K6871" s="508">
        <v>1.6E-2</v>
      </c>
      <c r="L6871" s="508">
        <v>1.6E-2</v>
      </c>
      <c r="M6871" s="508">
        <v>1.6E-2</v>
      </c>
      <c r="N6871" s="508">
        <v>1.4999999999999999E-2</v>
      </c>
      <c r="O6871" s="508">
        <v>1.4999999999999999E-2</v>
      </c>
      <c r="P6871" s="508">
        <v>1.4999999999999999E-2</v>
      </c>
      <c r="Q6871" s="508">
        <v>1.3999999999999999E-2</v>
      </c>
      <c r="R6871" s="508">
        <v>1.6E-2</v>
      </c>
      <c r="S6871" s="508">
        <v>1.3999999999999999E-2</v>
      </c>
      <c r="T6871" s="508">
        <v>1.3999999999999999E-2</v>
      </c>
      <c r="U6871" s="508">
        <v>1.4999999999999999E-2</v>
      </c>
      <c r="V6871" s="508">
        <v>1.2E-2</v>
      </c>
      <c r="W6871" s="508">
        <v>1.2E-2</v>
      </c>
      <c r="X6871" s="508">
        <v>1.2E-2</v>
      </c>
      <c r="Y6871" s="508">
        <v>1.2999999999999999E-2</v>
      </c>
      <c r="Z6871" s="508">
        <v>1.2E-2</v>
      </c>
      <c r="AA6871" s="508">
        <v>1.3999999999999999E-2</v>
      </c>
      <c r="AB6871" s="508">
        <v>1.0999999999999999E-2</v>
      </c>
      <c r="AC6871" s="508">
        <v>1.3999999999999999E-2</v>
      </c>
      <c r="AD6871" s="508">
        <v>1.2999999999999999E-2</v>
      </c>
      <c r="AE6871" s="508">
        <v>1.2E-2</v>
      </c>
      <c r="AF6871" s="508">
        <v>1.2E-2</v>
      </c>
      <c r="AG6871" s="508">
        <v>1.2E-2</v>
      </c>
      <c r="AH6871" s="508">
        <v>1.2E-2</v>
      </c>
      <c r="AI6871" s="492">
        <v>1.2E-2</v>
      </c>
      <c r="AJ6871" s="485"/>
    </row>
    <row r="6872" spans="2:36">
      <c r="B6872" s="136" t="s">
        <v>451</v>
      </c>
      <c r="C6872" s="132" t="s">
        <v>1375</v>
      </c>
      <c r="D6872" s="132" t="s">
        <v>1380</v>
      </c>
      <c r="E6872" s="508">
        <v>2.3E-2</v>
      </c>
      <c r="F6872" s="508">
        <v>2.1999999999999999E-2</v>
      </c>
      <c r="G6872" s="508">
        <v>2.1000000000000001E-2</v>
      </c>
      <c r="H6872" s="508">
        <v>2.1000000000000001E-2</v>
      </c>
      <c r="I6872" s="508">
        <v>0.02</v>
      </c>
      <c r="J6872" s="508">
        <v>1.9E-2</v>
      </c>
      <c r="K6872" s="508">
        <v>0.02</v>
      </c>
      <c r="L6872" s="508">
        <v>1.9E-2</v>
      </c>
      <c r="M6872" s="508">
        <v>1.9E-2</v>
      </c>
      <c r="N6872" s="508">
        <v>1.7999999999999999E-2</v>
      </c>
      <c r="O6872" s="508">
        <v>1.7999999999999999E-2</v>
      </c>
      <c r="P6872" s="508">
        <v>1.7999999999999999E-2</v>
      </c>
      <c r="Q6872" s="508">
        <v>1.7000000000000001E-2</v>
      </c>
      <c r="R6872" s="508">
        <v>1.9E-2</v>
      </c>
      <c r="S6872" s="508">
        <v>1.7000000000000001E-2</v>
      </c>
      <c r="T6872" s="508">
        <v>1.6E-2</v>
      </c>
      <c r="U6872" s="508">
        <v>1.7000000000000001E-2</v>
      </c>
      <c r="V6872" s="508">
        <v>1.4E-2</v>
      </c>
      <c r="W6872" s="508">
        <v>1.4999999999999999E-2</v>
      </c>
      <c r="X6872" s="508">
        <v>1.4999999999999999E-2</v>
      </c>
      <c r="Y6872" s="508">
        <v>1.4999999999999999E-2</v>
      </c>
      <c r="Z6872" s="508">
        <v>1.4999999999999999E-2</v>
      </c>
      <c r="AA6872" s="508">
        <v>1.7000000000000001E-2</v>
      </c>
      <c r="AB6872" s="508">
        <v>1.2999999999999999E-2</v>
      </c>
      <c r="AC6872" s="508">
        <v>1.7000000000000001E-2</v>
      </c>
      <c r="AD6872" s="508">
        <v>1.6E-2</v>
      </c>
      <c r="AE6872" s="508">
        <v>1.4999999999999999E-2</v>
      </c>
      <c r="AF6872" s="508">
        <v>1.4999999999999999E-2</v>
      </c>
      <c r="AG6872" s="508">
        <v>1.4999999999999999E-2</v>
      </c>
      <c r="AH6872" s="508">
        <v>1.4999999999999999E-2</v>
      </c>
      <c r="AI6872" s="492">
        <v>1.4999999999999999E-2</v>
      </c>
      <c r="AJ6872" s="485"/>
    </row>
    <row r="6873" spans="2:36">
      <c r="B6873" s="136" t="s">
        <v>452</v>
      </c>
      <c r="C6873" s="132" t="s">
        <v>1375</v>
      </c>
      <c r="D6873" s="132" t="s">
        <v>1380</v>
      </c>
      <c r="E6873" s="508">
        <v>0.02</v>
      </c>
      <c r="F6873" s="508">
        <v>1.9E-2</v>
      </c>
      <c r="G6873" s="508">
        <v>1.7999999999999999E-2</v>
      </c>
      <c r="H6873" s="508">
        <v>1.7999999999999999E-2</v>
      </c>
      <c r="I6873" s="508">
        <v>1.7000000000000001E-2</v>
      </c>
      <c r="J6873" s="508">
        <v>1.6E-2</v>
      </c>
      <c r="K6873" s="508">
        <v>1.7000000000000001E-2</v>
      </c>
      <c r="L6873" s="508">
        <v>1.6E-2</v>
      </c>
      <c r="M6873" s="508">
        <v>1.6E-2</v>
      </c>
      <c r="N6873" s="508">
        <v>1.4999999999999999E-2</v>
      </c>
      <c r="O6873" s="508">
        <v>1.4999999999999999E-2</v>
      </c>
      <c r="P6873" s="508">
        <v>1.4999999999999999E-2</v>
      </c>
      <c r="Q6873" s="508">
        <v>1.4E-2</v>
      </c>
      <c r="R6873" s="508">
        <v>1.6E-2</v>
      </c>
      <c r="S6873" s="508">
        <v>1.4E-2</v>
      </c>
      <c r="T6873" s="508">
        <v>1.4E-2</v>
      </c>
      <c r="U6873" s="508">
        <v>1.4999999999999999E-2</v>
      </c>
      <c r="V6873" s="508">
        <v>1.2E-2</v>
      </c>
      <c r="W6873" s="508">
        <v>1.2E-2</v>
      </c>
      <c r="X6873" s="508">
        <v>1.2E-2</v>
      </c>
      <c r="Y6873" s="508">
        <v>1.2999999999999999E-2</v>
      </c>
      <c r="Z6873" s="508">
        <v>1.2999999999999999E-2</v>
      </c>
      <c r="AA6873" s="508">
        <v>1.4E-2</v>
      </c>
      <c r="AB6873" s="508">
        <v>1.0999999999999999E-2</v>
      </c>
      <c r="AC6873" s="508">
        <v>1.4E-2</v>
      </c>
      <c r="AD6873" s="508">
        <v>1.4E-2</v>
      </c>
      <c r="AE6873" s="508">
        <v>1.2999999999999999E-2</v>
      </c>
      <c r="AF6873" s="508">
        <v>1.2999999999999999E-2</v>
      </c>
      <c r="AG6873" s="508">
        <v>1.2999999999999999E-2</v>
      </c>
      <c r="AH6873" s="508">
        <v>1.2999999999999999E-2</v>
      </c>
      <c r="AI6873" s="492">
        <v>1.2999999999999999E-2</v>
      </c>
      <c r="AJ6873" s="485"/>
    </row>
    <row r="6874" spans="2:36">
      <c r="B6874" s="136" t="s">
        <v>453</v>
      </c>
      <c r="C6874" s="132" t="s">
        <v>1375</v>
      </c>
      <c r="D6874" s="132" t="s">
        <v>1380</v>
      </c>
      <c r="E6874" s="508">
        <v>1.6E-2</v>
      </c>
      <c r="F6874" s="508">
        <v>1.6E-2</v>
      </c>
      <c r="G6874" s="508">
        <v>1.4999999999999999E-2</v>
      </c>
      <c r="H6874" s="508">
        <v>1.4999999999999999E-2</v>
      </c>
      <c r="I6874" s="508">
        <v>1.4999999999999999E-2</v>
      </c>
      <c r="J6874" s="508">
        <v>1.4E-2</v>
      </c>
      <c r="K6874" s="508">
        <v>1.4E-2</v>
      </c>
      <c r="L6874" s="508">
        <v>1.4E-2</v>
      </c>
      <c r="M6874" s="508">
        <v>1.4E-2</v>
      </c>
      <c r="N6874" s="508">
        <v>1.2999999999999999E-2</v>
      </c>
      <c r="O6874" s="508">
        <v>1.2999999999999999E-2</v>
      </c>
      <c r="P6874" s="508">
        <v>1.2999999999999999E-2</v>
      </c>
      <c r="Q6874" s="508">
        <v>1.2E-2</v>
      </c>
      <c r="R6874" s="508">
        <v>1.4E-2</v>
      </c>
      <c r="S6874" s="508">
        <v>1.2E-2</v>
      </c>
      <c r="T6874" s="508">
        <v>1.2E-2</v>
      </c>
      <c r="U6874" s="508">
        <v>1.2E-2</v>
      </c>
      <c r="V6874" s="508">
        <v>0.01</v>
      </c>
      <c r="W6874" s="508">
        <v>1.0999999999999999E-2</v>
      </c>
      <c r="X6874" s="508">
        <v>1.0999999999999999E-2</v>
      </c>
      <c r="Y6874" s="508">
        <v>1.0999999999999999E-2</v>
      </c>
      <c r="Z6874" s="508">
        <v>1.0999999999999999E-2</v>
      </c>
      <c r="AA6874" s="508">
        <v>1.2E-2</v>
      </c>
      <c r="AB6874" s="508">
        <v>8.9999999999999993E-3</v>
      </c>
      <c r="AC6874" s="508">
        <v>1.2E-2</v>
      </c>
      <c r="AD6874" s="508">
        <v>1.2E-2</v>
      </c>
      <c r="AE6874" s="508">
        <v>1.0999999999999999E-2</v>
      </c>
      <c r="AF6874" s="508">
        <v>1.0999999999999999E-2</v>
      </c>
      <c r="AG6874" s="508">
        <v>1.0999999999999999E-2</v>
      </c>
      <c r="AH6874" s="508">
        <v>1.0999999999999999E-2</v>
      </c>
      <c r="AI6874" s="492">
        <v>1.0999999999999999E-2</v>
      </c>
      <c r="AJ6874" s="485"/>
    </row>
    <row r="6875" spans="2:36">
      <c r="B6875" s="136" t="s">
        <v>454</v>
      </c>
      <c r="C6875" s="132" t="s">
        <v>1375</v>
      </c>
      <c r="D6875" s="132" t="s">
        <v>1380</v>
      </c>
      <c r="E6875" s="508">
        <v>1.7000000000000001E-2</v>
      </c>
      <c r="F6875" s="508">
        <v>1.6E-2</v>
      </c>
      <c r="G6875" s="508">
        <v>1.4999999999999999E-2</v>
      </c>
      <c r="H6875" s="508">
        <v>1.4999999999999999E-2</v>
      </c>
      <c r="I6875" s="508">
        <v>1.4999999999999999E-2</v>
      </c>
      <c r="J6875" s="508">
        <v>1.4E-2</v>
      </c>
      <c r="K6875" s="508">
        <v>1.4999999999999999E-2</v>
      </c>
      <c r="L6875" s="508">
        <v>1.4E-2</v>
      </c>
      <c r="M6875" s="508">
        <v>1.4E-2</v>
      </c>
      <c r="N6875" s="508">
        <v>1.2999999999999999E-2</v>
      </c>
      <c r="O6875" s="508">
        <v>1.2999999999999999E-2</v>
      </c>
      <c r="P6875" s="508">
        <v>1.2999999999999999E-2</v>
      </c>
      <c r="Q6875" s="508">
        <v>1.2E-2</v>
      </c>
      <c r="R6875" s="508">
        <v>1.4E-2</v>
      </c>
      <c r="S6875" s="508">
        <v>1.2E-2</v>
      </c>
      <c r="T6875" s="508">
        <v>1.2E-2</v>
      </c>
      <c r="U6875" s="508">
        <v>1.2999999999999999E-2</v>
      </c>
      <c r="V6875" s="508">
        <v>1.0999999999999999E-2</v>
      </c>
      <c r="W6875" s="508">
        <v>1.0999999999999999E-2</v>
      </c>
      <c r="X6875" s="508">
        <v>1.0999999999999999E-2</v>
      </c>
      <c r="Y6875" s="508">
        <v>1.2E-2</v>
      </c>
      <c r="Z6875" s="508">
        <v>1.0999999999999999E-2</v>
      </c>
      <c r="AA6875" s="508">
        <v>1.2E-2</v>
      </c>
      <c r="AB6875" s="508">
        <v>0.01</v>
      </c>
      <c r="AC6875" s="508">
        <v>1.2999999999999999E-2</v>
      </c>
      <c r="AD6875" s="508">
        <v>1.2E-2</v>
      </c>
      <c r="AE6875" s="508">
        <v>1.0999999999999999E-2</v>
      </c>
      <c r="AF6875" s="508">
        <v>1.0999999999999999E-2</v>
      </c>
      <c r="AG6875" s="508">
        <v>1.0999999999999999E-2</v>
      </c>
      <c r="AH6875" s="508">
        <v>1.0999999999999999E-2</v>
      </c>
      <c r="AI6875" s="492">
        <v>1.0999999999999999E-2</v>
      </c>
      <c r="AJ6875" s="485"/>
    </row>
    <row r="6876" spans="2:36">
      <c r="B6876" s="136" t="s">
        <v>455</v>
      </c>
      <c r="C6876" s="132" t="s">
        <v>1375</v>
      </c>
      <c r="D6876" s="132" t="s">
        <v>1380</v>
      </c>
      <c r="E6876" s="508">
        <v>1.6E-2</v>
      </c>
      <c r="F6876" s="508">
        <v>1.4999999999999999E-2</v>
      </c>
      <c r="G6876" s="508">
        <v>1.4E-2</v>
      </c>
      <c r="H6876" s="508">
        <v>1.4E-2</v>
      </c>
      <c r="I6876" s="508">
        <v>1.4E-2</v>
      </c>
      <c r="J6876" s="508">
        <v>1.2999999999999999E-2</v>
      </c>
      <c r="K6876" s="508">
        <v>1.4E-2</v>
      </c>
      <c r="L6876" s="508">
        <v>1.2999999999999999E-2</v>
      </c>
      <c r="M6876" s="508">
        <v>1.2999999999999999E-2</v>
      </c>
      <c r="N6876" s="508">
        <v>1.2E-2</v>
      </c>
      <c r="O6876" s="508">
        <v>1.2E-2</v>
      </c>
      <c r="P6876" s="508">
        <v>1.2E-2</v>
      </c>
      <c r="Q6876" s="508">
        <v>1.0999999999999999E-2</v>
      </c>
      <c r="R6876" s="508">
        <v>1.2999999999999999E-2</v>
      </c>
      <c r="S6876" s="508">
        <v>1.0999999999999999E-2</v>
      </c>
      <c r="T6876" s="508">
        <v>1.0999999999999999E-2</v>
      </c>
      <c r="U6876" s="508">
        <v>1.2E-2</v>
      </c>
      <c r="V6876" s="508">
        <v>0.01</v>
      </c>
      <c r="W6876" s="508">
        <v>0.01</v>
      </c>
      <c r="X6876" s="508">
        <v>0.01</v>
      </c>
      <c r="Y6876" s="508">
        <v>1.0999999999999999E-2</v>
      </c>
      <c r="Z6876" s="508">
        <v>0.01</v>
      </c>
      <c r="AA6876" s="508">
        <v>1.0999999999999999E-2</v>
      </c>
      <c r="AB6876" s="508">
        <v>8.9999999999999993E-3</v>
      </c>
      <c r="AC6876" s="508">
        <v>1.2E-2</v>
      </c>
      <c r="AD6876" s="508">
        <v>1.0999999999999999E-2</v>
      </c>
      <c r="AE6876" s="508">
        <v>0.01</v>
      </c>
      <c r="AF6876" s="508">
        <v>0.01</v>
      </c>
      <c r="AG6876" s="508">
        <v>0.01</v>
      </c>
      <c r="AH6876" s="508">
        <v>0.01</v>
      </c>
      <c r="AI6876" s="492">
        <v>0.01</v>
      </c>
      <c r="AJ6876" s="485"/>
    </row>
    <row r="6877" spans="2:36">
      <c r="B6877" s="136" t="s">
        <v>456</v>
      </c>
      <c r="C6877" s="132" t="s">
        <v>1375</v>
      </c>
      <c r="D6877" s="132" t="s">
        <v>1380</v>
      </c>
      <c r="E6877" s="508">
        <v>1.7999999999999999E-2</v>
      </c>
      <c r="F6877" s="508">
        <v>1.7000000000000001E-2</v>
      </c>
      <c r="G6877" s="508">
        <v>1.6E-2</v>
      </c>
      <c r="H6877" s="508">
        <v>1.6E-2</v>
      </c>
      <c r="I6877" s="508">
        <v>1.6E-2</v>
      </c>
      <c r="J6877" s="508">
        <v>1.4999999999999999E-2</v>
      </c>
      <c r="K6877" s="508">
        <v>1.6E-2</v>
      </c>
      <c r="L6877" s="508">
        <v>1.4999999999999999E-2</v>
      </c>
      <c r="M6877" s="508">
        <v>1.4999999999999999E-2</v>
      </c>
      <c r="N6877" s="508">
        <v>1.4E-2</v>
      </c>
      <c r="O6877" s="508">
        <v>1.4E-2</v>
      </c>
      <c r="P6877" s="508">
        <v>1.4E-2</v>
      </c>
      <c r="Q6877" s="508">
        <v>1.2999999999999999E-2</v>
      </c>
      <c r="R6877" s="508">
        <v>1.4999999999999999E-2</v>
      </c>
      <c r="S6877" s="508">
        <v>1.2999999999999999E-2</v>
      </c>
      <c r="T6877" s="508">
        <v>1.2999999999999999E-2</v>
      </c>
      <c r="U6877" s="508">
        <v>1.2999999999999999E-2</v>
      </c>
      <c r="V6877" s="508">
        <v>1.0999999999999999E-2</v>
      </c>
      <c r="W6877" s="508">
        <v>1.0999999999999999E-2</v>
      </c>
      <c r="X6877" s="508">
        <v>1.0999999999999999E-2</v>
      </c>
      <c r="Y6877" s="508">
        <v>1.2E-2</v>
      </c>
      <c r="Z6877" s="508">
        <v>1.2E-2</v>
      </c>
      <c r="AA6877" s="508">
        <v>1.2999999999999999E-2</v>
      </c>
      <c r="AB6877" s="508">
        <v>0.01</v>
      </c>
      <c r="AC6877" s="508">
        <v>1.2999999999999999E-2</v>
      </c>
      <c r="AD6877" s="508">
        <v>1.2999999999999999E-2</v>
      </c>
      <c r="AE6877" s="508">
        <v>1.0999999999999999E-2</v>
      </c>
      <c r="AF6877" s="508">
        <v>1.0999999999999999E-2</v>
      </c>
      <c r="AG6877" s="508">
        <v>1.0999999999999999E-2</v>
      </c>
      <c r="AH6877" s="508">
        <v>1.0999999999999999E-2</v>
      </c>
      <c r="AI6877" s="492">
        <v>1.0999999999999999E-2</v>
      </c>
      <c r="AJ6877" s="485"/>
    </row>
    <row r="6878" spans="2:36">
      <c r="B6878" s="136" t="s">
        <v>457</v>
      </c>
      <c r="C6878" s="132" t="s">
        <v>1375</v>
      </c>
      <c r="D6878" s="132" t="s">
        <v>1380</v>
      </c>
      <c r="E6878" s="508">
        <v>1.4999999999999999E-2</v>
      </c>
      <c r="F6878" s="508">
        <v>1.4E-2</v>
      </c>
      <c r="G6878" s="508">
        <v>1.2999999999999999E-2</v>
      </c>
      <c r="H6878" s="508">
        <v>1.2999999999999999E-2</v>
      </c>
      <c r="I6878" s="508">
        <v>1.2999999999999999E-2</v>
      </c>
      <c r="J6878" s="508">
        <v>1.2999999999999999E-2</v>
      </c>
      <c r="K6878" s="508">
        <v>1.2999999999999999E-2</v>
      </c>
      <c r="L6878" s="508">
        <v>1.2999999999999999E-2</v>
      </c>
      <c r="M6878" s="508">
        <v>1.2999999999999999E-2</v>
      </c>
      <c r="N6878" s="508">
        <v>1.2E-2</v>
      </c>
      <c r="O6878" s="508">
        <v>1.0999999999999999E-2</v>
      </c>
      <c r="P6878" s="508">
        <v>1.2E-2</v>
      </c>
      <c r="Q6878" s="508">
        <v>1.0999999999999999E-2</v>
      </c>
      <c r="R6878" s="508">
        <v>1.2E-2</v>
      </c>
      <c r="S6878" s="508">
        <v>1.0999999999999999E-2</v>
      </c>
      <c r="T6878" s="508">
        <v>1.0999999999999999E-2</v>
      </c>
      <c r="U6878" s="508">
        <v>1.0999999999999999E-2</v>
      </c>
      <c r="V6878" s="508">
        <v>8.9999999999999993E-3</v>
      </c>
      <c r="W6878" s="508">
        <v>0.01</v>
      </c>
      <c r="X6878" s="508">
        <v>0.01</v>
      </c>
      <c r="Y6878" s="508">
        <v>0.01</v>
      </c>
      <c r="Z6878" s="508">
        <v>0.01</v>
      </c>
      <c r="AA6878" s="508">
        <v>1.0999999999999999E-2</v>
      </c>
      <c r="AB6878" s="508">
        <v>8.9999999999999993E-3</v>
      </c>
      <c r="AC6878" s="508">
        <v>1.0999999999999999E-2</v>
      </c>
      <c r="AD6878" s="508">
        <v>1.0999999999999999E-2</v>
      </c>
      <c r="AE6878" s="508">
        <v>0.01</v>
      </c>
      <c r="AF6878" s="508">
        <v>0.01</v>
      </c>
      <c r="AG6878" s="508">
        <v>0.01</v>
      </c>
      <c r="AH6878" s="508">
        <v>0.01</v>
      </c>
      <c r="AI6878" s="492">
        <v>0.01</v>
      </c>
      <c r="AJ6878" s="485"/>
    </row>
    <row r="6879" spans="2:36">
      <c r="B6879" s="136" t="s">
        <v>458</v>
      </c>
      <c r="C6879" s="132" t="s">
        <v>1375</v>
      </c>
      <c r="D6879" s="132" t="s">
        <v>1380</v>
      </c>
      <c r="E6879" s="508">
        <v>1.7999999999999999E-2</v>
      </c>
      <c r="F6879" s="508">
        <v>1.7000000000000001E-2</v>
      </c>
      <c r="G6879" s="508">
        <v>1.6E-2</v>
      </c>
      <c r="H6879" s="508">
        <v>1.6E-2</v>
      </c>
      <c r="I6879" s="508">
        <v>1.6E-2</v>
      </c>
      <c r="J6879" s="508">
        <v>1.4999999999999999E-2</v>
      </c>
      <c r="K6879" s="508">
        <v>1.6E-2</v>
      </c>
      <c r="L6879" s="508">
        <v>1.4999999999999999E-2</v>
      </c>
      <c r="M6879" s="508">
        <v>1.4999999999999999E-2</v>
      </c>
      <c r="N6879" s="508">
        <v>1.4E-2</v>
      </c>
      <c r="O6879" s="508">
        <v>1.4E-2</v>
      </c>
      <c r="P6879" s="508">
        <v>1.4E-2</v>
      </c>
      <c r="Q6879" s="508">
        <v>1.2999999999999999E-2</v>
      </c>
      <c r="R6879" s="508">
        <v>1.4999999999999999E-2</v>
      </c>
      <c r="S6879" s="508">
        <v>1.2999999999999999E-2</v>
      </c>
      <c r="T6879" s="508">
        <v>1.2999999999999999E-2</v>
      </c>
      <c r="U6879" s="508">
        <v>1.4E-2</v>
      </c>
      <c r="V6879" s="508">
        <v>1.0999999999999999E-2</v>
      </c>
      <c r="W6879" s="508">
        <v>1.2E-2</v>
      </c>
      <c r="X6879" s="508">
        <v>1.2E-2</v>
      </c>
      <c r="Y6879" s="508">
        <v>1.2E-2</v>
      </c>
      <c r="Z6879" s="508">
        <v>1.2E-2</v>
      </c>
      <c r="AA6879" s="508">
        <v>1.2999999999999999E-2</v>
      </c>
      <c r="AB6879" s="508">
        <v>0.01</v>
      </c>
      <c r="AC6879" s="508">
        <v>1.2999999999999999E-2</v>
      </c>
      <c r="AD6879" s="508">
        <v>1.2999999999999999E-2</v>
      </c>
      <c r="AE6879" s="508">
        <v>1.2E-2</v>
      </c>
      <c r="AF6879" s="508">
        <v>1.2E-2</v>
      </c>
      <c r="AG6879" s="508">
        <v>1.2E-2</v>
      </c>
      <c r="AH6879" s="508">
        <v>1.2E-2</v>
      </c>
      <c r="AI6879" s="492">
        <v>1.2E-2</v>
      </c>
      <c r="AJ6879" s="485"/>
    </row>
    <row r="6880" spans="2:36">
      <c r="B6880" s="136" t="s">
        <v>459</v>
      </c>
      <c r="C6880" s="132" t="s">
        <v>1375</v>
      </c>
      <c r="D6880" s="132" t="s">
        <v>1380</v>
      </c>
      <c r="E6880" s="508">
        <v>1.7999999999999999E-2</v>
      </c>
      <c r="F6880" s="508">
        <v>1.7000000000000001E-2</v>
      </c>
      <c r="G6880" s="508">
        <v>1.6E-2</v>
      </c>
      <c r="H6880" s="508">
        <v>1.6E-2</v>
      </c>
      <c r="I6880" s="508">
        <v>1.6E-2</v>
      </c>
      <c r="J6880" s="508">
        <v>1.4999999999999999E-2</v>
      </c>
      <c r="K6880" s="508">
        <v>1.6E-2</v>
      </c>
      <c r="L6880" s="508">
        <v>1.4999999999999999E-2</v>
      </c>
      <c r="M6880" s="508">
        <v>1.4999999999999999E-2</v>
      </c>
      <c r="N6880" s="508">
        <v>1.4E-2</v>
      </c>
      <c r="O6880" s="508">
        <v>1.4E-2</v>
      </c>
      <c r="P6880" s="508">
        <v>1.4E-2</v>
      </c>
      <c r="Q6880" s="508">
        <v>1.2999999999999999E-2</v>
      </c>
      <c r="R6880" s="508">
        <v>1.4999999999999999E-2</v>
      </c>
      <c r="S6880" s="508">
        <v>1.2999999999999999E-2</v>
      </c>
      <c r="T6880" s="508">
        <v>1.2999999999999999E-2</v>
      </c>
      <c r="U6880" s="508">
        <v>1.4E-2</v>
      </c>
      <c r="V6880" s="508">
        <v>1.0999999999999999E-2</v>
      </c>
      <c r="W6880" s="508">
        <v>1.2E-2</v>
      </c>
      <c r="X6880" s="508">
        <v>1.2E-2</v>
      </c>
      <c r="Y6880" s="508">
        <v>1.2E-2</v>
      </c>
      <c r="Z6880" s="508">
        <v>1.2E-2</v>
      </c>
      <c r="AA6880" s="508">
        <v>1.2999999999999999E-2</v>
      </c>
      <c r="AB6880" s="508">
        <v>0.01</v>
      </c>
      <c r="AC6880" s="508">
        <v>1.2999999999999999E-2</v>
      </c>
      <c r="AD6880" s="508">
        <v>1.2999999999999999E-2</v>
      </c>
      <c r="AE6880" s="508">
        <v>1.2E-2</v>
      </c>
      <c r="AF6880" s="508">
        <v>1.2E-2</v>
      </c>
      <c r="AG6880" s="508">
        <v>1.2E-2</v>
      </c>
      <c r="AH6880" s="508">
        <v>1.2E-2</v>
      </c>
      <c r="AI6880" s="492">
        <v>1.2E-2</v>
      </c>
      <c r="AJ6880" s="485"/>
    </row>
    <row r="6881" spans="2:36">
      <c r="B6881" s="136" t="s">
        <v>460</v>
      </c>
      <c r="C6881" s="132" t="s">
        <v>1375</v>
      </c>
      <c r="D6881" s="132" t="s">
        <v>1380</v>
      </c>
      <c r="E6881" s="508">
        <v>1.9E-2</v>
      </c>
      <c r="F6881" s="508">
        <v>1.7999999999999999E-2</v>
      </c>
      <c r="G6881" s="508">
        <v>1.7000000000000001E-2</v>
      </c>
      <c r="H6881" s="508">
        <v>1.7000000000000001E-2</v>
      </c>
      <c r="I6881" s="508">
        <v>1.6E-2</v>
      </c>
      <c r="J6881" s="508">
        <v>1.6E-2</v>
      </c>
      <c r="K6881" s="508">
        <v>1.6E-2</v>
      </c>
      <c r="L6881" s="508">
        <v>1.6E-2</v>
      </c>
      <c r="M6881" s="508">
        <v>1.6E-2</v>
      </c>
      <c r="N6881" s="508">
        <v>1.4E-2</v>
      </c>
      <c r="O6881" s="508">
        <v>1.4E-2</v>
      </c>
      <c r="P6881" s="508">
        <v>1.4999999999999999E-2</v>
      </c>
      <c r="Q6881" s="508">
        <v>1.4E-2</v>
      </c>
      <c r="R6881" s="508">
        <v>1.4999999999999999E-2</v>
      </c>
      <c r="S6881" s="508">
        <v>1.4E-2</v>
      </c>
      <c r="T6881" s="508">
        <v>1.2999999999999999E-2</v>
      </c>
      <c r="U6881" s="508">
        <v>1.4E-2</v>
      </c>
      <c r="V6881" s="508">
        <v>1.2E-2</v>
      </c>
      <c r="W6881" s="508">
        <v>1.2E-2</v>
      </c>
      <c r="X6881" s="508">
        <v>1.2E-2</v>
      </c>
      <c r="Y6881" s="508">
        <v>1.2999999999999999E-2</v>
      </c>
      <c r="Z6881" s="508">
        <v>1.2E-2</v>
      </c>
      <c r="AA6881" s="508">
        <v>1.4E-2</v>
      </c>
      <c r="AB6881" s="508">
        <v>1.0999999999999999E-2</v>
      </c>
      <c r="AC6881" s="508">
        <v>1.4E-2</v>
      </c>
      <c r="AD6881" s="508">
        <v>1.2999999999999999E-2</v>
      </c>
      <c r="AE6881" s="508">
        <v>1.2E-2</v>
      </c>
      <c r="AF6881" s="508">
        <v>1.2E-2</v>
      </c>
      <c r="AG6881" s="508">
        <v>1.2E-2</v>
      </c>
      <c r="AH6881" s="508">
        <v>1.2E-2</v>
      </c>
      <c r="AI6881" s="492">
        <v>1.2E-2</v>
      </c>
      <c r="AJ6881" s="485"/>
    </row>
    <row r="6882" spans="2:36">
      <c r="B6882" s="136" t="s">
        <v>461</v>
      </c>
      <c r="C6882" s="132" t="s">
        <v>1375</v>
      </c>
      <c r="D6882" s="132" t="s">
        <v>1380</v>
      </c>
      <c r="E6882" s="508">
        <v>1.7999999999999999E-2</v>
      </c>
      <c r="F6882" s="508">
        <v>1.7000000000000001E-2</v>
      </c>
      <c r="G6882" s="508">
        <v>1.6E-2</v>
      </c>
      <c r="H6882" s="508">
        <v>1.6E-2</v>
      </c>
      <c r="I6882" s="508">
        <v>1.6E-2</v>
      </c>
      <c r="J6882" s="508">
        <v>1.4999999999999999E-2</v>
      </c>
      <c r="K6882" s="508">
        <v>1.4999999999999999E-2</v>
      </c>
      <c r="L6882" s="508">
        <v>1.4999999999999999E-2</v>
      </c>
      <c r="M6882" s="508">
        <v>1.4999999999999999E-2</v>
      </c>
      <c r="N6882" s="508">
        <v>1.4E-2</v>
      </c>
      <c r="O6882" s="508">
        <v>1.4E-2</v>
      </c>
      <c r="P6882" s="508">
        <v>1.4E-2</v>
      </c>
      <c r="Q6882" s="508">
        <v>1.2999999999999999E-2</v>
      </c>
      <c r="R6882" s="508">
        <v>1.4999999999999999E-2</v>
      </c>
      <c r="S6882" s="508">
        <v>1.2999999999999999E-2</v>
      </c>
      <c r="T6882" s="508">
        <v>1.2999999999999999E-2</v>
      </c>
      <c r="U6882" s="508">
        <v>1.2999999999999999E-2</v>
      </c>
      <c r="V6882" s="508">
        <v>1.0999999999999999E-2</v>
      </c>
      <c r="W6882" s="508">
        <v>1.0999999999999999E-2</v>
      </c>
      <c r="X6882" s="508">
        <v>1.0999999999999999E-2</v>
      </c>
      <c r="Y6882" s="508">
        <v>1.2E-2</v>
      </c>
      <c r="Z6882" s="508">
        <v>1.2E-2</v>
      </c>
      <c r="AA6882" s="508">
        <v>1.2999999999999999E-2</v>
      </c>
      <c r="AB6882" s="508">
        <v>0.01</v>
      </c>
      <c r="AC6882" s="508">
        <v>1.2999999999999999E-2</v>
      </c>
      <c r="AD6882" s="508">
        <v>1.2999999999999999E-2</v>
      </c>
      <c r="AE6882" s="508">
        <v>1.0999999999999999E-2</v>
      </c>
      <c r="AF6882" s="508">
        <v>1.0999999999999999E-2</v>
      </c>
      <c r="AG6882" s="508">
        <v>1.0999999999999999E-2</v>
      </c>
      <c r="AH6882" s="508">
        <v>1.0999999999999999E-2</v>
      </c>
      <c r="AI6882" s="492">
        <v>1.0999999999999999E-2</v>
      </c>
      <c r="AJ6882" s="485"/>
    </row>
    <row r="6883" spans="2:36">
      <c r="B6883" s="136" t="s">
        <v>462</v>
      </c>
      <c r="C6883" s="132" t="s">
        <v>1375</v>
      </c>
      <c r="D6883" s="132" t="s">
        <v>1380</v>
      </c>
      <c r="E6883" s="508">
        <v>1.7000000000000001E-2</v>
      </c>
      <c r="F6883" s="508">
        <v>1.6E-2</v>
      </c>
      <c r="G6883" s="508">
        <v>1.4999999999999999E-2</v>
      </c>
      <c r="H6883" s="508">
        <v>1.4999999999999999E-2</v>
      </c>
      <c r="I6883" s="508">
        <v>1.4999999999999999E-2</v>
      </c>
      <c r="J6883" s="508">
        <v>1.4E-2</v>
      </c>
      <c r="K6883" s="508">
        <v>1.4999999999999999E-2</v>
      </c>
      <c r="L6883" s="508">
        <v>1.4E-2</v>
      </c>
      <c r="M6883" s="508">
        <v>1.4E-2</v>
      </c>
      <c r="N6883" s="508">
        <v>1.2999999999999999E-2</v>
      </c>
      <c r="O6883" s="508">
        <v>1.2999999999999999E-2</v>
      </c>
      <c r="P6883" s="508">
        <v>1.2999999999999999E-2</v>
      </c>
      <c r="Q6883" s="508">
        <v>1.2E-2</v>
      </c>
      <c r="R6883" s="508">
        <v>1.4E-2</v>
      </c>
      <c r="S6883" s="508">
        <v>1.2E-2</v>
      </c>
      <c r="T6883" s="508">
        <v>1.2E-2</v>
      </c>
      <c r="U6883" s="508">
        <v>1.2999999999999999E-2</v>
      </c>
      <c r="V6883" s="508">
        <v>1.0999999999999999E-2</v>
      </c>
      <c r="W6883" s="508">
        <v>1.0999999999999999E-2</v>
      </c>
      <c r="X6883" s="508">
        <v>1.0999999999999999E-2</v>
      </c>
      <c r="Y6883" s="508">
        <v>1.2E-2</v>
      </c>
      <c r="Z6883" s="508">
        <v>1.0999999999999999E-2</v>
      </c>
      <c r="AA6883" s="508">
        <v>1.2999999999999999E-2</v>
      </c>
      <c r="AB6883" s="508">
        <v>0.01</v>
      </c>
      <c r="AC6883" s="508">
        <v>1.2999999999999999E-2</v>
      </c>
      <c r="AD6883" s="508">
        <v>1.2E-2</v>
      </c>
      <c r="AE6883" s="508">
        <v>1.0999999999999999E-2</v>
      </c>
      <c r="AF6883" s="508">
        <v>1.0999999999999999E-2</v>
      </c>
      <c r="AG6883" s="508">
        <v>1.0999999999999999E-2</v>
      </c>
      <c r="AH6883" s="508">
        <v>1.0999999999999999E-2</v>
      </c>
      <c r="AI6883" s="492">
        <v>1.0999999999999999E-2</v>
      </c>
      <c r="AJ6883" s="485"/>
    </row>
    <row r="6884" spans="2:36">
      <c r="B6884" s="136" t="s">
        <v>463</v>
      </c>
      <c r="C6884" s="132" t="s">
        <v>1375</v>
      </c>
      <c r="D6884" s="132" t="s">
        <v>1380</v>
      </c>
      <c r="E6884" s="508">
        <v>1.4999999999999999E-2</v>
      </c>
      <c r="F6884" s="508">
        <v>1.4999999999999999E-2</v>
      </c>
      <c r="G6884" s="508">
        <v>1.4E-2</v>
      </c>
      <c r="H6884" s="508">
        <v>1.4E-2</v>
      </c>
      <c r="I6884" s="508">
        <v>1.2999999999999999E-2</v>
      </c>
      <c r="J6884" s="508">
        <v>1.2999999999999999E-2</v>
      </c>
      <c r="K6884" s="508">
        <v>1.2999999999999999E-2</v>
      </c>
      <c r="L6884" s="508">
        <v>1.2999999999999999E-2</v>
      </c>
      <c r="M6884" s="508">
        <v>1.2999999999999999E-2</v>
      </c>
      <c r="N6884" s="508">
        <v>1.2E-2</v>
      </c>
      <c r="O6884" s="508">
        <v>1.2E-2</v>
      </c>
      <c r="P6884" s="508">
        <v>1.2E-2</v>
      </c>
      <c r="Q6884" s="508">
        <v>1.0999999999999999E-2</v>
      </c>
      <c r="R6884" s="508">
        <v>1.2999999999999999E-2</v>
      </c>
      <c r="S6884" s="508">
        <v>1.0999999999999999E-2</v>
      </c>
      <c r="T6884" s="508">
        <v>1.0999999999999999E-2</v>
      </c>
      <c r="U6884" s="508">
        <v>1.0999999999999999E-2</v>
      </c>
      <c r="V6884" s="508">
        <v>0.01</v>
      </c>
      <c r="W6884" s="508">
        <v>0.01</v>
      </c>
      <c r="X6884" s="508">
        <v>0.01</v>
      </c>
      <c r="Y6884" s="508">
        <v>0.01</v>
      </c>
      <c r="Z6884" s="508">
        <v>0.01</v>
      </c>
      <c r="AA6884" s="508">
        <v>1.0999999999999999E-2</v>
      </c>
      <c r="AB6884" s="508">
        <v>8.9999999999999993E-3</v>
      </c>
      <c r="AC6884" s="508">
        <v>1.0999999999999999E-2</v>
      </c>
      <c r="AD6884" s="508">
        <v>1.0999999999999999E-2</v>
      </c>
      <c r="AE6884" s="508">
        <v>0.01</v>
      </c>
      <c r="AF6884" s="508">
        <v>0.01</v>
      </c>
      <c r="AG6884" s="508">
        <v>0.01</v>
      </c>
      <c r="AH6884" s="508">
        <v>0.01</v>
      </c>
      <c r="AI6884" s="492">
        <v>0.01</v>
      </c>
      <c r="AJ6884" s="485"/>
    </row>
    <row r="6885" spans="2:36">
      <c r="B6885" s="136" t="s">
        <v>464</v>
      </c>
      <c r="C6885" s="132" t="s">
        <v>1375</v>
      </c>
      <c r="D6885" s="132" t="s">
        <v>1380</v>
      </c>
      <c r="E6885" s="508">
        <v>1.4999999999999999E-2</v>
      </c>
      <c r="F6885" s="508">
        <v>1.4E-2</v>
      </c>
      <c r="G6885" s="508">
        <v>1.2999999999999999E-2</v>
      </c>
      <c r="H6885" s="508">
        <v>1.2999999999999999E-2</v>
      </c>
      <c r="I6885" s="508">
        <v>1.2999999999999999E-2</v>
      </c>
      <c r="J6885" s="508">
        <v>1.2999999999999999E-2</v>
      </c>
      <c r="K6885" s="508">
        <v>1.2999999999999999E-2</v>
      </c>
      <c r="L6885" s="508">
        <v>1.2E-2</v>
      </c>
      <c r="M6885" s="508">
        <v>1.2999999999999999E-2</v>
      </c>
      <c r="N6885" s="508">
        <v>1.0999999999999999E-2</v>
      </c>
      <c r="O6885" s="508">
        <v>1.0999999999999999E-2</v>
      </c>
      <c r="P6885" s="508">
        <v>1.2E-2</v>
      </c>
      <c r="Q6885" s="508">
        <v>1.0999999999999999E-2</v>
      </c>
      <c r="R6885" s="508">
        <v>1.2E-2</v>
      </c>
      <c r="S6885" s="508">
        <v>1.0999999999999999E-2</v>
      </c>
      <c r="T6885" s="508">
        <v>1.0999999999999999E-2</v>
      </c>
      <c r="U6885" s="508">
        <v>1.0999999999999999E-2</v>
      </c>
      <c r="V6885" s="508">
        <v>8.9999999999999993E-3</v>
      </c>
      <c r="W6885" s="508">
        <v>0.01</v>
      </c>
      <c r="X6885" s="508">
        <v>0.01</v>
      </c>
      <c r="Y6885" s="508">
        <v>0.01</v>
      </c>
      <c r="Z6885" s="508">
        <v>0.01</v>
      </c>
      <c r="AA6885" s="508">
        <v>1.0999999999999999E-2</v>
      </c>
      <c r="AB6885" s="508">
        <v>8.9999999999999993E-3</v>
      </c>
      <c r="AC6885" s="508">
        <v>1.0999999999999999E-2</v>
      </c>
      <c r="AD6885" s="508">
        <v>1.0999999999999999E-2</v>
      </c>
      <c r="AE6885" s="508">
        <v>0.01</v>
      </c>
      <c r="AF6885" s="508">
        <v>0.01</v>
      </c>
      <c r="AG6885" s="508">
        <v>0.01</v>
      </c>
      <c r="AH6885" s="508">
        <v>0.01</v>
      </c>
      <c r="AI6885" s="492">
        <v>0.01</v>
      </c>
      <c r="AJ6885" s="485"/>
    </row>
    <row r="6886" spans="2:36">
      <c r="B6886" s="136" t="s">
        <v>465</v>
      </c>
      <c r="C6886" s="132" t="s">
        <v>1375</v>
      </c>
      <c r="D6886" s="132" t="s">
        <v>1380</v>
      </c>
      <c r="E6886" s="508">
        <v>1.6E-2</v>
      </c>
      <c r="F6886" s="508">
        <v>1.4999999999999999E-2</v>
      </c>
      <c r="G6886" s="508">
        <v>1.4E-2</v>
      </c>
      <c r="H6886" s="508">
        <v>1.4E-2</v>
      </c>
      <c r="I6886" s="508">
        <v>1.4E-2</v>
      </c>
      <c r="J6886" s="508">
        <v>1.2999999999999999E-2</v>
      </c>
      <c r="K6886" s="508">
        <v>1.4E-2</v>
      </c>
      <c r="L6886" s="508">
        <v>1.2999999999999999E-2</v>
      </c>
      <c r="M6886" s="508">
        <v>1.2999999999999999E-2</v>
      </c>
      <c r="N6886" s="508">
        <v>1.2E-2</v>
      </c>
      <c r="O6886" s="508">
        <v>1.2E-2</v>
      </c>
      <c r="P6886" s="508">
        <v>1.2E-2</v>
      </c>
      <c r="Q6886" s="508">
        <v>1.2E-2</v>
      </c>
      <c r="R6886" s="508">
        <v>1.2999999999999999E-2</v>
      </c>
      <c r="S6886" s="508">
        <v>1.2E-2</v>
      </c>
      <c r="T6886" s="508">
        <v>1.0999999999999999E-2</v>
      </c>
      <c r="U6886" s="508">
        <v>1.2E-2</v>
      </c>
      <c r="V6886" s="508">
        <v>0.01</v>
      </c>
      <c r="W6886" s="508">
        <v>0.01</v>
      </c>
      <c r="X6886" s="508">
        <v>0.01</v>
      </c>
      <c r="Y6886" s="508">
        <v>1.0999999999999999E-2</v>
      </c>
      <c r="Z6886" s="508">
        <v>0.01</v>
      </c>
      <c r="AA6886" s="508">
        <v>1.2E-2</v>
      </c>
      <c r="AB6886" s="508">
        <v>8.9999999999999993E-3</v>
      </c>
      <c r="AC6886" s="508">
        <v>1.2E-2</v>
      </c>
      <c r="AD6886" s="508">
        <v>1.0999999999999999E-2</v>
      </c>
      <c r="AE6886" s="508">
        <v>0.01</v>
      </c>
      <c r="AF6886" s="508">
        <v>0.01</v>
      </c>
      <c r="AG6886" s="508">
        <v>0.01</v>
      </c>
      <c r="AH6886" s="508">
        <v>0.01</v>
      </c>
      <c r="AI6886" s="492">
        <v>0.01</v>
      </c>
      <c r="AJ6886" s="485"/>
    </row>
    <row r="6887" spans="2:36">
      <c r="B6887" s="136" t="s">
        <v>466</v>
      </c>
      <c r="C6887" s="132" t="s">
        <v>1375</v>
      </c>
      <c r="D6887" s="132" t="s">
        <v>1380</v>
      </c>
      <c r="E6887" s="508">
        <v>2.1000000000000001E-2</v>
      </c>
      <c r="F6887" s="508">
        <v>0.02</v>
      </c>
      <c r="G6887" s="508">
        <v>1.9E-2</v>
      </c>
      <c r="H6887" s="508">
        <v>1.9E-2</v>
      </c>
      <c r="I6887" s="508">
        <v>1.7999999999999999E-2</v>
      </c>
      <c r="J6887" s="508">
        <v>1.7999999999999999E-2</v>
      </c>
      <c r="K6887" s="508">
        <v>1.7999999999999999E-2</v>
      </c>
      <c r="L6887" s="508">
        <v>1.7000000000000001E-2</v>
      </c>
      <c r="M6887" s="508">
        <v>1.7999999999999999E-2</v>
      </c>
      <c r="N6887" s="508">
        <v>1.6E-2</v>
      </c>
      <c r="O6887" s="508">
        <v>1.6E-2</v>
      </c>
      <c r="P6887" s="508">
        <v>1.6E-2</v>
      </c>
      <c r="Q6887" s="508">
        <v>1.4999999999999999E-2</v>
      </c>
      <c r="R6887" s="508">
        <v>1.7000000000000001E-2</v>
      </c>
      <c r="S6887" s="508">
        <v>1.4999999999999999E-2</v>
      </c>
      <c r="T6887" s="508">
        <v>1.4999999999999999E-2</v>
      </c>
      <c r="U6887" s="508">
        <v>1.4999999999999999E-2</v>
      </c>
      <c r="V6887" s="508">
        <v>1.2999999999999999E-2</v>
      </c>
      <c r="W6887" s="508">
        <v>1.2999999999999999E-2</v>
      </c>
      <c r="X6887" s="508">
        <v>1.2999999999999999E-2</v>
      </c>
      <c r="Y6887" s="508">
        <v>1.4E-2</v>
      </c>
      <c r="Z6887" s="508">
        <v>1.4E-2</v>
      </c>
      <c r="AA6887" s="508">
        <v>1.4999999999999999E-2</v>
      </c>
      <c r="AB6887" s="508">
        <v>1.2E-2</v>
      </c>
      <c r="AC6887" s="508">
        <v>1.4999999999999999E-2</v>
      </c>
      <c r="AD6887" s="508">
        <v>1.4999999999999999E-2</v>
      </c>
      <c r="AE6887" s="508">
        <v>1.2999999999999999E-2</v>
      </c>
      <c r="AF6887" s="508">
        <v>1.2999999999999999E-2</v>
      </c>
      <c r="AG6887" s="508">
        <v>1.2999999999999999E-2</v>
      </c>
      <c r="AH6887" s="508">
        <v>1.2999999999999999E-2</v>
      </c>
      <c r="AI6887" s="492">
        <v>1.2999999999999999E-2</v>
      </c>
      <c r="AJ6887" s="485"/>
    </row>
    <row r="6888" spans="2:36">
      <c r="B6888" s="136" t="s">
        <v>467</v>
      </c>
      <c r="C6888" s="132" t="s">
        <v>1375</v>
      </c>
      <c r="D6888" s="132" t="s">
        <v>1380</v>
      </c>
      <c r="E6888" s="508">
        <v>1.7000000000000001E-2</v>
      </c>
      <c r="F6888" s="508">
        <v>1.7000000000000001E-2</v>
      </c>
      <c r="G6888" s="508">
        <v>1.6E-2</v>
      </c>
      <c r="H6888" s="508">
        <v>1.6E-2</v>
      </c>
      <c r="I6888" s="508">
        <v>1.4999999999999999E-2</v>
      </c>
      <c r="J6888" s="508">
        <v>1.4999999999999999E-2</v>
      </c>
      <c r="K6888" s="508">
        <v>1.4999999999999999E-2</v>
      </c>
      <c r="L6888" s="508">
        <v>1.4999999999999999E-2</v>
      </c>
      <c r="M6888" s="508">
        <v>1.4999999999999999E-2</v>
      </c>
      <c r="N6888" s="508">
        <v>1.2999999999999999E-2</v>
      </c>
      <c r="O6888" s="508">
        <v>1.2999999999999999E-2</v>
      </c>
      <c r="P6888" s="508">
        <v>1.4E-2</v>
      </c>
      <c r="Q6888" s="508">
        <v>1.2999999999999999E-2</v>
      </c>
      <c r="R6888" s="508">
        <v>1.4E-2</v>
      </c>
      <c r="S6888" s="508">
        <v>1.2999999999999999E-2</v>
      </c>
      <c r="T6888" s="508">
        <v>1.2E-2</v>
      </c>
      <c r="U6888" s="508">
        <v>1.2999999999999999E-2</v>
      </c>
      <c r="V6888" s="508">
        <v>1.0999999999999999E-2</v>
      </c>
      <c r="W6888" s="508">
        <v>1.0999999999999999E-2</v>
      </c>
      <c r="X6888" s="508">
        <v>1.0999999999999999E-2</v>
      </c>
      <c r="Y6888" s="508">
        <v>1.2E-2</v>
      </c>
      <c r="Z6888" s="508">
        <v>1.0999999999999999E-2</v>
      </c>
      <c r="AA6888" s="508">
        <v>1.2999999999999999E-2</v>
      </c>
      <c r="AB6888" s="508">
        <v>0.01</v>
      </c>
      <c r="AC6888" s="508">
        <v>1.2999999999999999E-2</v>
      </c>
      <c r="AD6888" s="508">
        <v>1.2E-2</v>
      </c>
      <c r="AE6888" s="508">
        <v>1.0999999999999999E-2</v>
      </c>
      <c r="AF6888" s="508">
        <v>1.0999999999999999E-2</v>
      </c>
      <c r="AG6888" s="508">
        <v>1.0999999999999999E-2</v>
      </c>
      <c r="AH6888" s="508">
        <v>1.0999999999999999E-2</v>
      </c>
      <c r="AI6888" s="492">
        <v>1.0999999999999999E-2</v>
      </c>
      <c r="AJ6888" s="485"/>
    </row>
    <row r="6889" spans="2:36">
      <c r="B6889" s="136" t="s">
        <v>468</v>
      </c>
      <c r="C6889" s="132" t="s">
        <v>1375</v>
      </c>
      <c r="D6889" s="132" t="s">
        <v>1380</v>
      </c>
      <c r="E6889" s="508">
        <v>1.4E-2</v>
      </c>
      <c r="F6889" s="508">
        <v>1.4E-2</v>
      </c>
      <c r="G6889" s="508">
        <v>1.2999999999999999E-2</v>
      </c>
      <c r="H6889" s="508">
        <v>1.2999999999999999E-2</v>
      </c>
      <c r="I6889" s="508">
        <v>1.2999999999999999E-2</v>
      </c>
      <c r="J6889" s="508">
        <v>1.2E-2</v>
      </c>
      <c r="K6889" s="508">
        <v>1.2999999999999999E-2</v>
      </c>
      <c r="L6889" s="508">
        <v>1.2E-2</v>
      </c>
      <c r="M6889" s="508">
        <v>1.2E-2</v>
      </c>
      <c r="N6889" s="508">
        <v>1.0999999999999999E-2</v>
      </c>
      <c r="O6889" s="508">
        <v>1.0999999999999999E-2</v>
      </c>
      <c r="P6889" s="508">
        <v>1.0999999999999999E-2</v>
      </c>
      <c r="Q6889" s="508">
        <v>1.0999999999999999E-2</v>
      </c>
      <c r="R6889" s="508">
        <v>1.2E-2</v>
      </c>
      <c r="S6889" s="508">
        <v>1.0999999999999999E-2</v>
      </c>
      <c r="T6889" s="508">
        <v>0.01</v>
      </c>
      <c r="U6889" s="508">
        <v>1.0999999999999999E-2</v>
      </c>
      <c r="V6889" s="508">
        <v>8.9999999999999993E-3</v>
      </c>
      <c r="W6889" s="508">
        <v>8.9999999999999993E-3</v>
      </c>
      <c r="X6889" s="508">
        <v>8.9999999999999993E-3</v>
      </c>
      <c r="Y6889" s="508">
        <v>0.01</v>
      </c>
      <c r="Z6889" s="508">
        <v>8.9999999999999993E-3</v>
      </c>
      <c r="AA6889" s="508">
        <v>1.0999999999999999E-2</v>
      </c>
      <c r="AB6889" s="508">
        <v>8.0000000000000002E-3</v>
      </c>
      <c r="AC6889" s="508">
        <v>1.0999999999999999E-2</v>
      </c>
      <c r="AD6889" s="508">
        <v>0.01</v>
      </c>
      <c r="AE6889" s="508">
        <v>8.9999999999999993E-3</v>
      </c>
      <c r="AF6889" s="508">
        <v>8.9999999999999993E-3</v>
      </c>
      <c r="AG6889" s="508">
        <v>8.9999999999999993E-3</v>
      </c>
      <c r="AH6889" s="508">
        <v>8.9999999999999993E-3</v>
      </c>
      <c r="AI6889" s="492">
        <v>8.9999999999999993E-3</v>
      </c>
      <c r="AJ6889" s="485"/>
    </row>
    <row r="6890" spans="2:36">
      <c r="B6890" s="136" t="s">
        <v>469</v>
      </c>
      <c r="C6890" s="132" t="s">
        <v>1375</v>
      </c>
      <c r="D6890" s="132" t="s">
        <v>1380</v>
      </c>
      <c r="E6890" s="508">
        <v>1.6E-2</v>
      </c>
      <c r="F6890" s="508">
        <v>1.6E-2</v>
      </c>
      <c r="G6890" s="508">
        <v>1.4999999999999999E-2</v>
      </c>
      <c r="H6890" s="508">
        <v>1.4999999999999999E-2</v>
      </c>
      <c r="I6890" s="508">
        <v>1.4999999999999999E-2</v>
      </c>
      <c r="J6890" s="508">
        <v>1.4E-2</v>
      </c>
      <c r="K6890" s="508">
        <v>1.4E-2</v>
      </c>
      <c r="L6890" s="508">
        <v>1.4E-2</v>
      </c>
      <c r="M6890" s="508">
        <v>1.4E-2</v>
      </c>
      <c r="N6890" s="508">
        <v>1.2999999999999999E-2</v>
      </c>
      <c r="O6890" s="508">
        <v>1.2999999999999999E-2</v>
      </c>
      <c r="P6890" s="508">
        <v>1.2999999999999999E-2</v>
      </c>
      <c r="Q6890" s="508">
        <v>1.2E-2</v>
      </c>
      <c r="R6890" s="508">
        <v>1.2999999999999999E-2</v>
      </c>
      <c r="S6890" s="508">
        <v>1.2E-2</v>
      </c>
      <c r="T6890" s="508">
        <v>1.2E-2</v>
      </c>
      <c r="U6890" s="508">
        <v>1.2E-2</v>
      </c>
      <c r="V6890" s="508">
        <v>0.01</v>
      </c>
      <c r="W6890" s="508">
        <v>1.0999999999999999E-2</v>
      </c>
      <c r="X6890" s="508">
        <v>0.01</v>
      </c>
      <c r="Y6890" s="508">
        <v>1.0999999999999999E-2</v>
      </c>
      <c r="Z6890" s="508">
        <v>1.0999999999999999E-2</v>
      </c>
      <c r="AA6890" s="508">
        <v>1.2E-2</v>
      </c>
      <c r="AB6890" s="508">
        <v>8.9999999999999993E-3</v>
      </c>
      <c r="AC6890" s="508">
        <v>1.2E-2</v>
      </c>
      <c r="AD6890" s="508">
        <v>1.2E-2</v>
      </c>
      <c r="AE6890" s="508">
        <v>1.0999999999999999E-2</v>
      </c>
      <c r="AF6890" s="508">
        <v>1.0999999999999999E-2</v>
      </c>
      <c r="AG6890" s="508">
        <v>1.0999999999999999E-2</v>
      </c>
      <c r="AH6890" s="508">
        <v>1.0999999999999999E-2</v>
      </c>
      <c r="AI6890" s="492">
        <v>1.0999999999999999E-2</v>
      </c>
      <c r="AJ6890" s="485"/>
    </row>
    <row r="6891" spans="2:36">
      <c r="B6891" s="136" t="s">
        <v>470</v>
      </c>
      <c r="C6891" s="132" t="s">
        <v>1375</v>
      </c>
      <c r="D6891" s="132" t="s">
        <v>1380</v>
      </c>
      <c r="E6891" s="508">
        <v>0.02</v>
      </c>
      <c r="F6891" s="508">
        <v>1.9E-2</v>
      </c>
      <c r="G6891" s="508">
        <v>1.7999999999999999E-2</v>
      </c>
      <c r="H6891" s="508">
        <v>1.7999999999999999E-2</v>
      </c>
      <c r="I6891" s="508">
        <v>1.7000000000000001E-2</v>
      </c>
      <c r="J6891" s="508">
        <v>1.6E-2</v>
      </c>
      <c r="K6891" s="508">
        <v>1.7000000000000001E-2</v>
      </c>
      <c r="L6891" s="508">
        <v>1.6E-2</v>
      </c>
      <c r="M6891" s="508">
        <v>1.6E-2</v>
      </c>
      <c r="N6891" s="508">
        <v>1.4999999999999999E-2</v>
      </c>
      <c r="O6891" s="508">
        <v>1.4999999999999999E-2</v>
      </c>
      <c r="P6891" s="508">
        <v>1.4999999999999999E-2</v>
      </c>
      <c r="Q6891" s="508">
        <v>1.4E-2</v>
      </c>
      <c r="R6891" s="508">
        <v>1.6E-2</v>
      </c>
      <c r="S6891" s="508">
        <v>1.4E-2</v>
      </c>
      <c r="T6891" s="508">
        <v>1.4E-2</v>
      </c>
      <c r="U6891" s="508">
        <v>1.4E-2</v>
      </c>
      <c r="V6891" s="508">
        <v>1.2E-2</v>
      </c>
      <c r="W6891" s="508">
        <v>1.2E-2</v>
      </c>
      <c r="X6891" s="508">
        <v>1.2E-2</v>
      </c>
      <c r="Y6891" s="508">
        <v>1.2999999999999999E-2</v>
      </c>
      <c r="Z6891" s="508">
        <v>1.2999999999999999E-2</v>
      </c>
      <c r="AA6891" s="508">
        <v>1.4E-2</v>
      </c>
      <c r="AB6891" s="508">
        <v>1.0999999999999999E-2</v>
      </c>
      <c r="AC6891" s="508">
        <v>1.4E-2</v>
      </c>
      <c r="AD6891" s="508">
        <v>1.4E-2</v>
      </c>
      <c r="AE6891" s="508">
        <v>1.2E-2</v>
      </c>
      <c r="AF6891" s="508">
        <v>1.2E-2</v>
      </c>
      <c r="AG6891" s="508">
        <v>1.2E-2</v>
      </c>
      <c r="AH6891" s="508">
        <v>1.2E-2</v>
      </c>
      <c r="AI6891" s="492">
        <v>1.2E-2</v>
      </c>
      <c r="AJ6891" s="485"/>
    </row>
    <row r="6892" spans="2:36">
      <c r="B6892" s="136" t="s">
        <v>471</v>
      </c>
      <c r="C6892" s="132" t="s">
        <v>1375</v>
      </c>
      <c r="D6892" s="132" t="s">
        <v>1380</v>
      </c>
      <c r="E6892" s="508">
        <v>1.9E-2</v>
      </c>
      <c r="F6892" s="508">
        <v>1.7999999999999999E-2</v>
      </c>
      <c r="G6892" s="508">
        <v>1.7000000000000001E-2</v>
      </c>
      <c r="H6892" s="508">
        <v>1.7000000000000001E-2</v>
      </c>
      <c r="I6892" s="508">
        <v>1.6E-2</v>
      </c>
      <c r="J6892" s="508">
        <v>1.6E-2</v>
      </c>
      <c r="K6892" s="508">
        <v>1.6E-2</v>
      </c>
      <c r="L6892" s="508">
        <v>1.6E-2</v>
      </c>
      <c r="M6892" s="508">
        <v>1.6E-2</v>
      </c>
      <c r="N6892" s="508">
        <v>1.4E-2</v>
      </c>
      <c r="O6892" s="508">
        <v>1.4E-2</v>
      </c>
      <c r="P6892" s="508">
        <v>1.4999999999999999E-2</v>
      </c>
      <c r="Q6892" s="508">
        <v>1.4E-2</v>
      </c>
      <c r="R6892" s="508">
        <v>1.4999999999999999E-2</v>
      </c>
      <c r="S6892" s="508">
        <v>1.4E-2</v>
      </c>
      <c r="T6892" s="508">
        <v>1.2999999999999999E-2</v>
      </c>
      <c r="U6892" s="508">
        <v>1.4E-2</v>
      </c>
      <c r="V6892" s="508">
        <v>1.2E-2</v>
      </c>
      <c r="W6892" s="508">
        <v>1.2E-2</v>
      </c>
      <c r="X6892" s="508">
        <v>1.2E-2</v>
      </c>
      <c r="Y6892" s="508">
        <v>1.2999999999999999E-2</v>
      </c>
      <c r="Z6892" s="508">
        <v>1.2E-2</v>
      </c>
      <c r="AA6892" s="508">
        <v>1.4E-2</v>
      </c>
      <c r="AB6892" s="508">
        <v>1.0999999999999999E-2</v>
      </c>
      <c r="AC6892" s="508">
        <v>1.4E-2</v>
      </c>
      <c r="AD6892" s="508">
        <v>1.2999999999999999E-2</v>
      </c>
      <c r="AE6892" s="508">
        <v>1.2E-2</v>
      </c>
      <c r="AF6892" s="508">
        <v>1.2E-2</v>
      </c>
      <c r="AG6892" s="508">
        <v>1.2E-2</v>
      </c>
      <c r="AH6892" s="508">
        <v>1.2E-2</v>
      </c>
      <c r="AI6892" s="492">
        <v>1.2E-2</v>
      </c>
      <c r="AJ6892" s="485"/>
    </row>
    <row r="6893" spans="2:36">
      <c r="B6893" s="136" t="s">
        <v>472</v>
      </c>
      <c r="C6893" s="132" t="s">
        <v>1375</v>
      </c>
      <c r="D6893" s="132" t="s">
        <v>1380</v>
      </c>
      <c r="E6893" s="508">
        <v>1.4999999999999999E-2</v>
      </c>
      <c r="F6893" s="508">
        <v>1.4E-2</v>
      </c>
      <c r="G6893" s="508">
        <v>1.4E-2</v>
      </c>
      <c r="H6893" s="508">
        <v>1.4E-2</v>
      </c>
      <c r="I6893" s="508">
        <v>1.2999999999999999E-2</v>
      </c>
      <c r="J6893" s="508">
        <v>1.2999999999999999E-2</v>
      </c>
      <c r="K6893" s="508">
        <v>1.2999999999999999E-2</v>
      </c>
      <c r="L6893" s="508">
        <v>1.2999999999999999E-2</v>
      </c>
      <c r="M6893" s="508">
        <v>1.2999999999999999E-2</v>
      </c>
      <c r="N6893" s="508">
        <v>1.2E-2</v>
      </c>
      <c r="O6893" s="508">
        <v>1.2E-2</v>
      </c>
      <c r="P6893" s="508">
        <v>1.2E-2</v>
      </c>
      <c r="Q6893" s="508">
        <v>1.0999999999999999E-2</v>
      </c>
      <c r="R6893" s="508">
        <v>1.2E-2</v>
      </c>
      <c r="S6893" s="508">
        <v>1.0999999999999999E-2</v>
      </c>
      <c r="T6893" s="508">
        <v>1.0999999999999999E-2</v>
      </c>
      <c r="U6893" s="508">
        <v>1.0999999999999999E-2</v>
      </c>
      <c r="V6893" s="508">
        <v>8.9999999999999993E-3</v>
      </c>
      <c r="W6893" s="508">
        <v>0.01</v>
      </c>
      <c r="X6893" s="508">
        <v>0.01</v>
      </c>
      <c r="Y6893" s="508">
        <v>0.01</v>
      </c>
      <c r="Z6893" s="508">
        <v>0.01</v>
      </c>
      <c r="AA6893" s="508">
        <v>1.0999999999999999E-2</v>
      </c>
      <c r="AB6893" s="508">
        <v>8.9999999999999993E-3</v>
      </c>
      <c r="AC6893" s="508">
        <v>1.0999999999999999E-2</v>
      </c>
      <c r="AD6893" s="508">
        <v>1.0999999999999999E-2</v>
      </c>
      <c r="AE6893" s="508">
        <v>0.01</v>
      </c>
      <c r="AF6893" s="508">
        <v>0.01</v>
      </c>
      <c r="AG6893" s="508">
        <v>0.01</v>
      </c>
      <c r="AH6893" s="508">
        <v>0.01</v>
      </c>
      <c r="AI6893" s="492">
        <v>0.01</v>
      </c>
      <c r="AJ6893" s="485"/>
    </row>
    <row r="6894" spans="2:36">
      <c r="B6894" s="136" t="s">
        <v>473</v>
      </c>
      <c r="C6894" s="132" t="s">
        <v>1375</v>
      </c>
      <c r="D6894" s="132" t="s">
        <v>1380</v>
      </c>
      <c r="E6894" s="508">
        <v>0.02</v>
      </c>
      <c r="F6894" s="508">
        <v>1.9E-2</v>
      </c>
      <c r="G6894" s="508">
        <v>1.7999999999999999E-2</v>
      </c>
      <c r="H6894" s="508">
        <v>1.7999999999999999E-2</v>
      </c>
      <c r="I6894" s="508">
        <v>1.7999999999999999E-2</v>
      </c>
      <c r="J6894" s="508">
        <v>1.7000000000000001E-2</v>
      </c>
      <c r="K6894" s="508">
        <v>1.7000000000000001E-2</v>
      </c>
      <c r="L6894" s="508">
        <v>1.7000000000000001E-2</v>
      </c>
      <c r="M6894" s="508">
        <v>1.7000000000000001E-2</v>
      </c>
      <c r="N6894" s="508">
        <v>1.4999999999999999E-2</v>
      </c>
      <c r="O6894" s="508">
        <v>1.4999999999999999E-2</v>
      </c>
      <c r="P6894" s="508">
        <v>1.4999999999999999E-2</v>
      </c>
      <c r="Q6894" s="508">
        <v>1.4E-2</v>
      </c>
      <c r="R6894" s="508">
        <v>1.6E-2</v>
      </c>
      <c r="S6894" s="508">
        <v>1.4E-2</v>
      </c>
      <c r="T6894" s="508">
        <v>1.4E-2</v>
      </c>
      <c r="U6894" s="508">
        <v>1.4999999999999999E-2</v>
      </c>
      <c r="V6894" s="508">
        <v>1.2E-2</v>
      </c>
      <c r="W6894" s="508">
        <v>1.2999999999999999E-2</v>
      </c>
      <c r="X6894" s="508">
        <v>1.2999999999999999E-2</v>
      </c>
      <c r="Y6894" s="508">
        <v>1.2999999999999999E-2</v>
      </c>
      <c r="Z6894" s="508">
        <v>1.2999999999999999E-2</v>
      </c>
      <c r="AA6894" s="508">
        <v>1.4E-2</v>
      </c>
      <c r="AB6894" s="508">
        <v>1.0999999999999999E-2</v>
      </c>
      <c r="AC6894" s="508">
        <v>1.4999999999999999E-2</v>
      </c>
      <c r="AD6894" s="508">
        <v>1.4E-2</v>
      </c>
      <c r="AE6894" s="508">
        <v>1.2999999999999999E-2</v>
      </c>
      <c r="AF6894" s="508">
        <v>1.2999999999999999E-2</v>
      </c>
      <c r="AG6894" s="508">
        <v>1.2999999999999999E-2</v>
      </c>
      <c r="AH6894" s="508">
        <v>1.2999999999999999E-2</v>
      </c>
      <c r="AI6894" s="492">
        <v>1.2999999999999999E-2</v>
      </c>
      <c r="AJ6894" s="485"/>
    </row>
    <row r="6895" spans="2:36">
      <c r="B6895" s="136" t="s">
        <v>474</v>
      </c>
      <c r="C6895" s="132" t="s">
        <v>1375</v>
      </c>
      <c r="D6895" s="132" t="s">
        <v>1380</v>
      </c>
      <c r="E6895" s="508">
        <v>1.7999999999999999E-2</v>
      </c>
      <c r="F6895" s="508">
        <v>1.7000000000000001E-2</v>
      </c>
      <c r="G6895" s="508">
        <v>1.6E-2</v>
      </c>
      <c r="H6895" s="508">
        <v>1.6E-2</v>
      </c>
      <c r="I6895" s="508">
        <v>1.6E-2</v>
      </c>
      <c r="J6895" s="508">
        <v>1.4999999999999999E-2</v>
      </c>
      <c r="K6895" s="508">
        <v>1.6E-2</v>
      </c>
      <c r="L6895" s="508">
        <v>1.4999999999999999E-2</v>
      </c>
      <c r="M6895" s="508">
        <v>1.4999999999999999E-2</v>
      </c>
      <c r="N6895" s="508">
        <v>1.4E-2</v>
      </c>
      <c r="O6895" s="508">
        <v>1.4E-2</v>
      </c>
      <c r="P6895" s="508">
        <v>1.4E-2</v>
      </c>
      <c r="Q6895" s="508">
        <v>1.2999999999999999E-2</v>
      </c>
      <c r="R6895" s="508">
        <v>1.4999999999999999E-2</v>
      </c>
      <c r="S6895" s="508">
        <v>1.2999999999999999E-2</v>
      </c>
      <c r="T6895" s="508">
        <v>1.2999999999999999E-2</v>
      </c>
      <c r="U6895" s="508">
        <v>1.2999999999999999E-2</v>
      </c>
      <c r="V6895" s="508">
        <v>1.0999999999999999E-2</v>
      </c>
      <c r="W6895" s="508">
        <v>1.0999999999999999E-2</v>
      </c>
      <c r="X6895" s="508">
        <v>1.0999999999999999E-2</v>
      </c>
      <c r="Y6895" s="508">
        <v>1.2E-2</v>
      </c>
      <c r="Z6895" s="508">
        <v>1.2E-2</v>
      </c>
      <c r="AA6895" s="508">
        <v>1.2999999999999999E-2</v>
      </c>
      <c r="AB6895" s="508">
        <v>0.01</v>
      </c>
      <c r="AC6895" s="508">
        <v>1.2999999999999999E-2</v>
      </c>
      <c r="AD6895" s="508">
        <v>1.2999999999999999E-2</v>
      </c>
      <c r="AE6895" s="508">
        <v>1.0999999999999999E-2</v>
      </c>
      <c r="AF6895" s="508">
        <v>1.0999999999999999E-2</v>
      </c>
      <c r="AG6895" s="508">
        <v>1.0999999999999999E-2</v>
      </c>
      <c r="AH6895" s="508">
        <v>1.0999999999999999E-2</v>
      </c>
      <c r="AI6895" s="492">
        <v>1.0999999999999999E-2</v>
      </c>
      <c r="AJ6895" s="485"/>
    </row>
    <row r="6896" spans="2:36">
      <c r="B6896" s="136" t="s">
        <v>475</v>
      </c>
      <c r="C6896" s="132" t="s">
        <v>1375</v>
      </c>
      <c r="D6896" s="132" t="s">
        <v>1380</v>
      </c>
      <c r="E6896" s="508">
        <v>1.7000000000000001E-2</v>
      </c>
      <c r="F6896" s="508">
        <v>1.6E-2</v>
      </c>
      <c r="G6896" s="508">
        <v>1.4999999999999999E-2</v>
      </c>
      <c r="H6896" s="508">
        <v>1.4999999999999999E-2</v>
      </c>
      <c r="I6896" s="508">
        <v>1.4999999999999999E-2</v>
      </c>
      <c r="J6896" s="508">
        <v>1.4E-2</v>
      </c>
      <c r="K6896" s="508">
        <v>1.4999999999999999E-2</v>
      </c>
      <c r="L6896" s="508">
        <v>1.4E-2</v>
      </c>
      <c r="M6896" s="508">
        <v>1.4E-2</v>
      </c>
      <c r="N6896" s="508">
        <v>1.2999999999999999E-2</v>
      </c>
      <c r="O6896" s="508">
        <v>1.2999999999999999E-2</v>
      </c>
      <c r="P6896" s="508">
        <v>1.2999999999999999E-2</v>
      </c>
      <c r="Q6896" s="508">
        <v>1.2E-2</v>
      </c>
      <c r="R6896" s="508">
        <v>1.4E-2</v>
      </c>
      <c r="S6896" s="508">
        <v>1.2E-2</v>
      </c>
      <c r="T6896" s="508">
        <v>1.2E-2</v>
      </c>
      <c r="U6896" s="508">
        <v>1.2999999999999999E-2</v>
      </c>
      <c r="V6896" s="508">
        <v>1.0999999999999999E-2</v>
      </c>
      <c r="W6896" s="508">
        <v>1.0999999999999999E-2</v>
      </c>
      <c r="X6896" s="508">
        <v>1.0999999999999999E-2</v>
      </c>
      <c r="Y6896" s="508">
        <v>1.2E-2</v>
      </c>
      <c r="Z6896" s="508">
        <v>1.0999999999999999E-2</v>
      </c>
      <c r="AA6896" s="508">
        <v>1.2E-2</v>
      </c>
      <c r="AB6896" s="508">
        <v>0.01</v>
      </c>
      <c r="AC6896" s="508">
        <v>1.2999999999999999E-2</v>
      </c>
      <c r="AD6896" s="508">
        <v>1.2E-2</v>
      </c>
      <c r="AE6896" s="508">
        <v>1.0999999999999999E-2</v>
      </c>
      <c r="AF6896" s="508">
        <v>1.0999999999999999E-2</v>
      </c>
      <c r="AG6896" s="508">
        <v>1.0999999999999999E-2</v>
      </c>
      <c r="AH6896" s="508">
        <v>1.0999999999999999E-2</v>
      </c>
      <c r="AI6896" s="492">
        <v>1.0999999999999999E-2</v>
      </c>
      <c r="AJ6896" s="485"/>
    </row>
    <row r="6897" spans="2:36">
      <c r="B6897" s="136" t="s">
        <v>476</v>
      </c>
      <c r="C6897" s="132" t="s">
        <v>1375</v>
      </c>
      <c r="D6897" s="132" t="s">
        <v>1380</v>
      </c>
      <c r="E6897" s="508">
        <v>1.9E-2</v>
      </c>
      <c r="F6897" s="508">
        <v>1.7999999999999999E-2</v>
      </c>
      <c r="G6897" s="508">
        <v>1.7000000000000001E-2</v>
      </c>
      <c r="H6897" s="508">
        <v>1.7000000000000001E-2</v>
      </c>
      <c r="I6897" s="508">
        <v>1.6E-2</v>
      </c>
      <c r="J6897" s="508">
        <v>1.6E-2</v>
      </c>
      <c r="K6897" s="508">
        <v>1.6E-2</v>
      </c>
      <c r="L6897" s="508">
        <v>1.6E-2</v>
      </c>
      <c r="M6897" s="508">
        <v>1.6E-2</v>
      </c>
      <c r="N6897" s="508">
        <v>1.4E-2</v>
      </c>
      <c r="O6897" s="508">
        <v>1.4E-2</v>
      </c>
      <c r="P6897" s="508">
        <v>1.4999999999999999E-2</v>
      </c>
      <c r="Q6897" s="508">
        <v>1.4E-2</v>
      </c>
      <c r="R6897" s="508">
        <v>1.4999999999999999E-2</v>
      </c>
      <c r="S6897" s="508">
        <v>1.4E-2</v>
      </c>
      <c r="T6897" s="508">
        <v>1.2999999999999999E-2</v>
      </c>
      <c r="U6897" s="508">
        <v>1.4E-2</v>
      </c>
      <c r="V6897" s="508">
        <v>1.2E-2</v>
      </c>
      <c r="W6897" s="508">
        <v>1.2E-2</v>
      </c>
      <c r="X6897" s="508">
        <v>1.2E-2</v>
      </c>
      <c r="Y6897" s="508">
        <v>1.2999999999999999E-2</v>
      </c>
      <c r="Z6897" s="508">
        <v>1.2E-2</v>
      </c>
      <c r="AA6897" s="508">
        <v>1.4E-2</v>
      </c>
      <c r="AB6897" s="508">
        <v>1.0999999999999999E-2</v>
      </c>
      <c r="AC6897" s="508">
        <v>1.4E-2</v>
      </c>
      <c r="AD6897" s="508">
        <v>1.2999999999999999E-2</v>
      </c>
      <c r="AE6897" s="508">
        <v>1.2E-2</v>
      </c>
      <c r="AF6897" s="508">
        <v>1.2E-2</v>
      </c>
      <c r="AG6897" s="508">
        <v>1.2E-2</v>
      </c>
      <c r="AH6897" s="508">
        <v>1.2E-2</v>
      </c>
      <c r="AI6897" s="492">
        <v>1.2E-2</v>
      </c>
      <c r="AJ6897" s="485"/>
    </row>
    <row r="6898" spans="2:36">
      <c r="B6898" s="136" t="s">
        <v>478</v>
      </c>
      <c r="C6898" s="132" t="s">
        <v>1375</v>
      </c>
      <c r="D6898" s="132" t="s">
        <v>1380</v>
      </c>
      <c r="E6898" s="508">
        <v>0.02</v>
      </c>
      <c r="F6898" s="508">
        <v>1.9E-2</v>
      </c>
      <c r="G6898" s="508">
        <v>1.7999999999999999E-2</v>
      </c>
      <c r="H6898" s="508">
        <v>1.7999999999999999E-2</v>
      </c>
      <c r="I6898" s="508">
        <v>1.7999999999999999E-2</v>
      </c>
      <c r="J6898" s="508">
        <v>1.7000000000000001E-2</v>
      </c>
      <c r="K6898" s="508">
        <v>1.7000000000000001E-2</v>
      </c>
      <c r="L6898" s="508">
        <v>1.7000000000000001E-2</v>
      </c>
      <c r="M6898" s="508">
        <v>1.7000000000000001E-2</v>
      </c>
      <c r="N6898" s="508">
        <v>1.4999999999999999E-2</v>
      </c>
      <c r="O6898" s="508">
        <v>1.4999999999999999E-2</v>
      </c>
      <c r="P6898" s="508">
        <v>1.6E-2</v>
      </c>
      <c r="Q6898" s="508">
        <v>1.4999999999999999E-2</v>
      </c>
      <c r="R6898" s="508">
        <v>1.6E-2</v>
      </c>
      <c r="S6898" s="508">
        <v>1.4E-2</v>
      </c>
      <c r="T6898" s="508">
        <v>1.4E-2</v>
      </c>
      <c r="U6898" s="508">
        <v>1.4999999999999999E-2</v>
      </c>
      <c r="V6898" s="508">
        <v>1.2E-2</v>
      </c>
      <c r="W6898" s="508">
        <v>1.2999999999999999E-2</v>
      </c>
      <c r="X6898" s="508">
        <v>1.2999999999999999E-2</v>
      </c>
      <c r="Y6898" s="508">
        <v>1.2999999999999999E-2</v>
      </c>
      <c r="Z6898" s="508">
        <v>1.2999999999999999E-2</v>
      </c>
      <c r="AA6898" s="508">
        <v>1.4999999999999999E-2</v>
      </c>
      <c r="AB6898" s="508">
        <v>1.0999999999999999E-2</v>
      </c>
      <c r="AC6898" s="508">
        <v>1.4999999999999999E-2</v>
      </c>
      <c r="AD6898" s="508">
        <v>1.4E-2</v>
      </c>
      <c r="AE6898" s="508">
        <v>1.2999999999999999E-2</v>
      </c>
      <c r="AF6898" s="508">
        <v>1.2999999999999999E-2</v>
      </c>
      <c r="AG6898" s="508">
        <v>1.2999999999999999E-2</v>
      </c>
      <c r="AH6898" s="508">
        <v>1.2999999999999999E-2</v>
      </c>
      <c r="AI6898" s="492">
        <v>1.2999999999999999E-2</v>
      </c>
      <c r="AJ6898" s="485"/>
    </row>
    <row r="6899" spans="2:36">
      <c r="B6899" s="136" t="s">
        <v>479</v>
      </c>
      <c r="C6899" s="132" t="s">
        <v>1375</v>
      </c>
      <c r="D6899" s="132" t="s">
        <v>1380</v>
      </c>
      <c r="E6899" s="508">
        <v>1.7000000000000001E-2</v>
      </c>
      <c r="F6899" s="508">
        <v>1.7000000000000001E-2</v>
      </c>
      <c r="G6899" s="508">
        <v>1.6E-2</v>
      </c>
      <c r="H6899" s="508">
        <v>1.6E-2</v>
      </c>
      <c r="I6899" s="508">
        <v>1.4999999999999999E-2</v>
      </c>
      <c r="J6899" s="508">
        <v>1.4999999999999999E-2</v>
      </c>
      <c r="K6899" s="508">
        <v>1.4999999999999999E-2</v>
      </c>
      <c r="L6899" s="508">
        <v>1.4E-2</v>
      </c>
      <c r="M6899" s="508">
        <v>1.4999999999999999E-2</v>
      </c>
      <c r="N6899" s="508">
        <v>1.2999999999999999E-2</v>
      </c>
      <c r="O6899" s="508">
        <v>1.2999999999999999E-2</v>
      </c>
      <c r="P6899" s="508">
        <v>1.4E-2</v>
      </c>
      <c r="Q6899" s="508">
        <v>1.2999999999999999E-2</v>
      </c>
      <c r="R6899" s="508">
        <v>1.4E-2</v>
      </c>
      <c r="S6899" s="508">
        <v>1.2999999999999999E-2</v>
      </c>
      <c r="T6899" s="508">
        <v>1.2E-2</v>
      </c>
      <c r="U6899" s="508">
        <v>1.2999999999999999E-2</v>
      </c>
      <c r="V6899" s="508">
        <v>1.0999999999999999E-2</v>
      </c>
      <c r="W6899" s="508">
        <v>1.0999999999999999E-2</v>
      </c>
      <c r="X6899" s="508">
        <v>1.0999999999999999E-2</v>
      </c>
      <c r="Y6899" s="508">
        <v>1.2E-2</v>
      </c>
      <c r="Z6899" s="508">
        <v>1.0999999999999999E-2</v>
      </c>
      <c r="AA6899" s="508">
        <v>1.2999999999999999E-2</v>
      </c>
      <c r="AB6899" s="508">
        <v>0.01</v>
      </c>
      <c r="AC6899" s="508">
        <v>1.2999999999999999E-2</v>
      </c>
      <c r="AD6899" s="508">
        <v>1.2E-2</v>
      </c>
      <c r="AE6899" s="508">
        <v>1.0999999999999999E-2</v>
      </c>
      <c r="AF6899" s="508">
        <v>1.0999999999999999E-2</v>
      </c>
      <c r="AG6899" s="508">
        <v>1.0999999999999999E-2</v>
      </c>
      <c r="AH6899" s="508">
        <v>1.0999999999999999E-2</v>
      </c>
      <c r="AI6899" s="492">
        <v>1.0999999999999999E-2</v>
      </c>
      <c r="AJ6899" s="485"/>
    </row>
    <row r="6900" spans="2:36">
      <c r="B6900" s="136" t="s">
        <v>480</v>
      </c>
      <c r="C6900" s="132" t="s">
        <v>1375</v>
      </c>
      <c r="D6900" s="132" t="s">
        <v>1380</v>
      </c>
      <c r="E6900" s="508">
        <v>1.4E-2</v>
      </c>
      <c r="F6900" s="508">
        <v>1.4E-2</v>
      </c>
      <c r="G6900" s="508">
        <v>1.2999999999999999E-2</v>
      </c>
      <c r="H6900" s="508">
        <v>1.2999999999999999E-2</v>
      </c>
      <c r="I6900" s="508">
        <v>1.2999999999999999E-2</v>
      </c>
      <c r="J6900" s="508">
        <v>1.2E-2</v>
      </c>
      <c r="K6900" s="508">
        <v>1.2999999999999999E-2</v>
      </c>
      <c r="L6900" s="508">
        <v>1.2E-2</v>
      </c>
      <c r="M6900" s="508">
        <v>1.2E-2</v>
      </c>
      <c r="N6900" s="508">
        <v>1.0999999999999999E-2</v>
      </c>
      <c r="O6900" s="508">
        <v>1.0999999999999999E-2</v>
      </c>
      <c r="P6900" s="508">
        <v>1.0999999999999999E-2</v>
      </c>
      <c r="Q6900" s="508">
        <v>1.0999999999999999E-2</v>
      </c>
      <c r="R6900" s="508">
        <v>1.2E-2</v>
      </c>
      <c r="S6900" s="508">
        <v>1.0999999999999999E-2</v>
      </c>
      <c r="T6900" s="508">
        <v>0.01</v>
      </c>
      <c r="U6900" s="508">
        <v>1.0999999999999999E-2</v>
      </c>
      <c r="V6900" s="508">
        <v>8.9999999999999993E-3</v>
      </c>
      <c r="W6900" s="508">
        <v>8.9999999999999993E-3</v>
      </c>
      <c r="X6900" s="508">
        <v>8.9999999999999993E-3</v>
      </c>
      <c r="Y6900" s="508">
        <v>0.01</v>
      </c>
      <c r="Z6900" s="508">
        <v>0.01</v>
      </c>
      <c r="AA6900" s="508">
        <v>1.0999999999999999E-2</v>
      </c>
      <c r="AB6900" s="508">
        <v>8.0000000000000002E-3</v>
      </c>
      <c r="AC6900" s="508">
        <v>1.0999999999999999E-2</v>
      </c>
      <c r="AD6900" s="508">
        <v>0.01</v>
      </c>
      <c r="AE6900" s="508">
        <v>8.9999999999999993E-3</v>
      </c>
      <c r="AF6900" s="508">
        <v>8.9999999999999993E-3</v>
      </c>
      <c r="AG6900" s="508">
        <v>8.9999999999999993E-3</v>
      </c>
      <c r="AH6900" s="508">
        <v>8.9999999999999993E-3</v>
      </c>
      <c r="AI6900" s="492">
        <v>8.9999999999999993E-3</v>
      </c>
      <c r="AJ6900" s="485"/>
    </row>
    <row r="6901" spans="2:36">
      <c r="B6901" s="136" t="s">
        <v>481</v>
      </c>
      <c r="C6901" s="132" t="s">
        <v>1375</v>
      </c>
      <c r="D6901" s="132" t="s">
        <v>1380</v>
      </c>
      <c r="E6901" s="508">
        <v>1.7999999999999999E-2</v>
      </c>
      <c r="F6901" s="508">
        <v>1.7000000000000001E-2</v>
      </c>
      <c r="G6901" s="508">
        <v>1.6E-2</v>
      </c>
      <c r="H6901" s="508">
        <v>1.6E-2</v>
      </c>
      <c r="I6901" s="508">
        <v>1.6E-2</v>
      </c>
      <c r="J6901" s="508">
        <v>1.4999999999999999E-2</v>
      </c>
      <c r="K6901" s="508">
        <v>1.6E-2</v>
      </c>
      <c r="L6901" s="508">
        <v>1.4999999999999999E-2</v>
      </c>
      <c r="M6901" s="508">
        <v>1.4999999999999999E-2</v>
      </c>
      <c r="N6901" s="508">
        <v>1.4E-2</v>
      </c>
      <c r="O6901" s="508">
        <v>1.4E-2</v>
      </c>
      <c r="P6901" s="508">
        <v>1.4E-2</v>
      </c>
      <c r="Q6901" s="508">
        <v>1.2999999999999999E-2</v>
      </c>
      <c r="R6901" s="508">
        <v>1.4999999999999999E-2</v>
      </c>
      <c r="S6901" s="508">
        <v>1.2999999999999999E-2</v>
      </c>
      <c r="T6901" s="508">
        <v>1.2999999999999999E-2</v>
      </c>
      <c r="U6901" s="508">
        <v>1.2999999999999999E-2</v>
      </c>
      <c r="V6901" s="508">
        <v>1.0999999999999999E-2</v>
      </c>
      <c r="W6901" s="508">
        <v>1.0999999999999999E-2</v>
      </c>
      <c r="X6901" s="508">
        <v>1.0999999999999999E-2</v>
      </c>
      <c r="Y6901" s="508">
        <v>1.2E-2</v>
      </c>
      <c r="Z6901" s="508">
        <v>1.2E-2</v>
      </c>
      <c r="AA6901" s="508">
        <v>1.2999999999999999E-2</v>
      </c>
      <c r="AB6901" s="508">
        <v>0.01</v>
      </c>
      <c r="AC6901" s="508">
        <v>1.2999999999999999E-2</v>
      </c>
      <c r="AD6901" s="508">
        <v>1.2999999999999999E-2</v>
      </c>
      <c r="AE6901" s="508">
        <v>1.0999999999999999E-2</v>
      </c>
      <c r="AF6901" s="508">
        <v>1.0999999999999999E-2</v>
      </c>
      <c r="AG6901" s="508">
        <v>1.2E-2</v>
      </c>
      <c r="AH6901" s="508">
        <v>1.0999999999999999E-2</v>
      </c>
      <c r="AI6901" s="492">
        <v>1.0999999999999999E-2</v>
      </c>
      <c r="AJ6901" s="485"/>
    </row>
    <row r="6902" spans="2:36">
      <c r="B6902" s="136" t="s">
        <v>482</v>
      </c>
      <c r="C6902" s="132" t="s">
        <v>1375</v>
      </c>
      <c r="D6902" s="132" t="s">
        <v>1380</v>
      </c>
      <c r="E6902" s="508">
        <v>1.7999999999999999E-2</v>
      </c>
      <c r="F6902" s="508">
        <v>1.7000000000000001E-2</v>
      </c>
      <c r="G6902" s="508">
        <v>1.6E-2</v>
      </c>
      <c r="H6902" s="508">
        <v>1.6E-2</v>
      </c>
      <c r="I6902" s="508">
        <v>1.6E-2</v>
      </c>
      <c r="J6902" s="508">
        <v>1.4999999999999999E-2</v>
      </c>
      <c r="K6902" s="508">
        <v>1.6E-2</v>
      </c>
      <c r="L6902" s="508">
        <v>1.4999999999999999E-2</v>
      </c>
      <c r="M6902" s="508">
        <v>1.4999999999999999E-2</v>
      </c>
      <c r="N6902" s="508">
        <v>1.4E-2</v>
      </c>
      <c r="O6902" s="508">
        <v>1.4E-2</v>
      </c>
      <c r="P6902" s="508">
        <v>1.4E-2</v>
      </c>
      <c r="Q6902" s="508">
        <v>1.2999999999999999E-2</v>
      </c>
      <c r="R6902" s="508">
        <v>1.4999999999999999E-2</v>
      </c>
      <c r="S6902" s="508">
        <v>1.2999999999999999E-2</v>
      </c>
      <c r="T6902" s="508">
        <v>1.2999999999999999E-2</v>
      </c>
      <c r="U6902" s="508">
        <v>1.2999999999999999E-2</v>
      </c>
      <c r="V6902" s="508">
        <v>1.0999999999999999E-2</v>
      </c>
      <c r="W6902" s="508">
        <v>1.0999999999999999E-2</v>
      </c>
      <c r="X6902" s="508">
        <v>1.0999999999999999E-2</v>
      </c>
      <c r="Y6902" s="508">
        <v>1.2E-2</v>
      </c>
      <c r="Z6902" s="508">
        <v>1.2E-2</v>
      </c>
      <c r="AA6902" s="508">
        <v>1.2999999999999999E-2</v>
      </c>
      <c r="AB6902" s="508">
        <v>0.01</v>
      </c>
      <c r="AC6902" s="508">
        <v>1.2999999999999999E-2</v>
      </c>
      <c r="AD6902" s="508">
        <v>1.2999999999999999E-2</v>
      </c>
      <c r="AE6902" s="508">
        <v>1.0999999999999999E-2</v>
      </c>
      <c r="AF6902" s="508">
        <v>1.0999999999999999E-2</v>
      </c>
      <c r="AG6902" s="508">
        <v>1.0999999999999999E-2</v>
      </c>
      <c r="AH6902" s="508">
        <v>1.0999999999999999E-2</v>
      </c>
      <c r="AI6902" s="492">
        <v>1.0999999999999999E-2</v>
      </c>
      <c r="AJ6902" s="485"/>
    </row>
    <row r="6903" spans="2:36">
      <c r="B6903" s="136" t="s">
        <v>483</v>
      </c>
      <c r="C6903" s="132" t="s">
        <v>1375</v>
      </c>
      <c r="D6903" s="132" t="s">
        <v>1380</v>
      </c>
      <c r="E6903" s="508">
        <v>0.02</v>
      </c>
      <c r="F6903" s="508">
        <v>1.9E-2</v>
      </c>
      <c r="G6903" s="508">
        <v>1.7999999999999999E-2</v>
      </c>
      <c r="H6903" s="508">
        <v>1.7999999999999999E-2</v>
      </c>
      <c r="I6903" s="508">
        <v>1.7000000000000001E-2</v>
      </c>
      <c r="J6903" s="508">
        <v>1.7000000000000001E-2</v>
      </c>
      <c r="K6903" s="508">
        <v>1.7000000000000001E-2</v>
      </c>
      <c r="L6903" s="508">
        <v>1.6E-2</v>
      </c>
      <c r="M6903" s="508">
        <v>1.7000000000000001E-2</v>
      </c>
      <c r="N6903" s="508">
        <v>1.4999999999999999E-2</v>
      </c>
      <c r="O6903" s="508">
        <v>1.4999999999999999E-2</v>
      </c>
      <c r="P6903" s="508">
        <v>1.4999999999999999E-2</v>
      </c>
      <c r="Q6903" s="508">
        <v>1.4E-2</v>
      </c>
      <c r="R6903" s="508">
        <v>1.6E-2</v>
      </c>
      <c r="S6903" s="508">
        <v>1.4E-2</v>
      </c>
      <c r="T6903" s="508">
        <v>1.4E-2</v>
      </c>
      <c r="U6903" s="508">
        <v>1.4999999999999999E-2</v>
      </c>
      <c r="V6903" s="508">
        <v>1.2E-2</v>
      </c>
      <c r="W6903" s="508">
        <v>1.2999999999999999E-2</v>
      </c>
      <c r="X6903" s="508">
        <v>1.2E-2</v>
      </c>
      <c r="Y6903" s="508">
        <v>1.2999999999999999E-2</v>
      </c>
      <c r="Z6903" s="508">
        <v>1.2999999999999999E-2</v>
      </c>
      <c r="AA6903" s="508">
        <v>1.4E-2</v>
      </c>
      <c r="AB6903" s="508">
        <v>1.0999999999999999E-2</v>
      </c>
      <c r="AC6903" s="508">
        <v>1.4999999999999999E-2</v>
      </c>
      <c r="AD6903" s="508">
        <v>1.4E-2</v>
      </c>
      <c r="AE6903" s="508">
        <v>1.2999999999999999E-2</v>
      </c>
      <c r="AF6903" s="508">
        <v>1.2999999999999999E-2</v>
      </c>
      <c r="AG6903" s="508">
        <v>1.2999999999999999E-2</v>
      </c>
      <c r="AH6903" s="508">
        <v>1.2999999999999999E-2</v>
      </c>
      <c r="AI6903" s="492">
        <v>1.2999999999999999E-2</v>
      </c>
      <c r="AJ6903" s="485"/>
    </row>
    <row r="6904" spans="2:36">
      <c r="B6904" s="136" t="s">
        <v>484</v>
      </c>
      <c r="C6904" s="132" t="s">
        <v>1375</v>
      </c>
      <c r="D6904" s="132" t="s">
        <v>1380</v>
      </c>
      <c r="E6904" s="508">
        <v>1.4999999999999999E-2</v>
      </c>
      <c r="F6904" s="508">
        <v>1.4E-2</v>
      </c>
      <c r="G6904" s="508">
        <v>1.2999999999999999E-2</v>
      </c>
      <c r="H6904" s="508">
        <v>1.2999999999999999E-2</v>
      </c>
      <c r="I6904" s="508">
        <v>1.2999999999999999E-2</v>
      </c>
      <c r="J6904" s="508">
        <v>1.2999999999999999E-2</v>
      </c>
      <c r="K6904" s="508">
        <v>1.2999999999999999E-2</v>
      </c>
      <c r="L6904" s="508">
        <v>1.2E-2</v>
      </c>
      <c r="M6904" s="508">
        <v>1.2999999999999999E-2</v>
      </c>
      <c r="N6904" s="508">
        <v>1.0999999999999999E-2</v>
      </c>
      <c r="O6904" s="508">
        <v>1.0999999999999999E-2</v>
      </c>
      <c r="P6904" s="508">
        <v>1.2E-2</v>
      </c>
      <c r="Q6904" s="508">
        <v>1.0999999999999999E-2</v>
      </c>
      <c r="R6904" s="508">
        <v>1.2E-2</v>
      </c>
      <c r="S6904" s="508">
        <v>1.0999999999999999E-2</v>
      </c>
      <c r="T6904" s="508">
        <v>1.0999999999999999E-2</v>
      </c>
      <c r="U6904" s="508">
        <v>1.0999999999999999E-2</v>
      </c>
      <c r="V6904" s="508">
        <v>8.9999999999999993E-3</v>
      </c>
      <c r="W6904" s="508">
        <v>0.01</v>
      </c>
      <c r="X6904" s="508">
        <v>0.01</v>
      </c>
      <c r="Y6904" s="508">
        <v>0.01</v>
      </c>
      <c r="Z6904" s="508">
        <v>0.01</v>
      </c>
      <c r="AA6904" s="508">
        <v>1.0999999999999999E-2</v>
      </c>
      <c r="AB6904" s="508">
        <v>8.9999999999999993E-3</v>
      </c>
      <c r="AC6904" s="508">
        <v>1.0999999999999999E-2</v>
      </c>
      <c r="AD6904" s="508">
        <v>1.0999999999999999E-2</v>
      </c>
      <c r="AE6904" s="508">
        <v>0.01</v>
      </c>
      <c r="AF6904" s="508">
        <v>0.01</v>
      </c>
      <c r="AG6904" s="508">
        <v>0.01</v>
      </c>
      <c r="AH6904" s="508">
        <v>0.01</v>
      </c>
      <c r="AI6904" s="492">
        <v>0.01</v>
      </c>
      <c r="AJ6904" s="485"/>
    </row>
    <row r="6905" spans="2:36">
      <c r="B6905" s="136" t="s">
        <v>486</v>
      </c>
      <c r="C6905" s="132" t="s">
        <v>1375</v>
      </c>
      <c r="D6905" s="132" t="s">
        <v>1380</v>
      </c>
      <c r="E6905" s="508">
        <v>1.7999999999999999E-2</v>
      </c>
      <c r="F6905" s="508">
        <v>1.7000000000000001E-2</v>
      </c>
      <c r="G6905" s="508">
        <v>1.6E-2</v>
      </c>
      <c r="H6905" s="508">
        <v>1.6E-2</v>
      </c>
      <c r="I6905" s="508">
        <v>1.6E-2</v>
      </c>
      <c r="J6905" s="508">
        <v>1.4999999999999999E-2</v>
      </c>
      <c r="K6905" s="508">
        <v>1.6E-2</v>
      </c>
      <c r="L6905" s="508">
        <v>1.4999999999999999E-2</v>
      </c>
      <c r="M6905" s="508">
        <v>1.4999999999999999E-2</v>
      </c>
      <c r="N6905" s="508">
        <v>1.4E-2</v>
      </c>
      <c r="O6905" s="508">
        <v>1.4E-2</v>
      </c>
      <c r="P6905" s="508">
        <v>1.4E-2</v>
      </c>
      <c r="Q6905" s="508">
        <v>1.2999999999999999E-2</v>
      </c>
      <c r="R6905" s="508">
        <v>1.4999999999999999E-2</v>
      </c>
      <c r="S6905" s="508">
        <v>1.2999999999999999E-2</v>
      </c>
      <c r="T6905" s="508">
        <v>1.2999999999999999E-2</v>
      </c>
      <c r="U6905" s="508">
        <v>1.2999999999999999E-2</v>
      </c>
      <c r="V6905" s="508">
        <v>1.0999999999999999E-2</v>
      </c>
      <c r="W6905" s="508">
        <v>1.2E-2</v>
      </c>
      <c r="X6905" s="508">
        <v>1.0999999999999999E-2</v>
      </c>
      <c r="Y6905" s="508">
        <v>1.2E-2</v>
      </c>
      <c r="Z6905" s="508">
        <v>1.2E-2</v>
      </c>
      <c r="AA6905" s="508">
        <v>1.2999999999999999E-2</v>
      </c>
      <c r="AB6905" s="508">
        <v>0.01</v>
      </c>
      <c r="AC6905" s="508">
        <v>1.2999999999999999E-2</v>
      </c>
      <c r="AD6905" s="508">
        <v>1.2999999999999999E-2</v>
      </c>
      <c r="AE6905" s="508">
        <v>1.2E-2</v>
      </c>
      <c r="AF6905" s="508">
        <v>1.2E-2</v>
      </c>
      <c r="AG6905" s="508">
        <v>1.2E-2</v>
      </c>
      <c r="AH6905" s="508">
        <v>1.2E-2</v>
      </c>
      <c r="AI6905" s="492">
        <v>1.2E-2</v>
      </c>
      <c r="AJ6905" s="485"/>
    </row>
    <row r="6906" spans="2:36">
      <c r="B6906" s="136" t="s">
        <v>487</v>
      </c>
      <c r="C6906" s="132" t="s">
        <v>1375</v>
      </c>
      <c r="D6906" s="132" t="s">
        <v>1380</v>
      </c>
      <c r="E6906" s="508">
        <v>1.7999999999999999E-2</v>
      </c>
      <c r="F6906" s="508">
        <v>1.7000000000000001E-2</v>
      </c>
      <c r="G6906" s="508">
        <v>1.6E-2</v>
      </c>
      <c r="H6906" s="508">
        <v>1.6E-2</v>
      </c>
      <c r="I6906" s="508">
        <v>1.6E-2</v>
      </c>
      <c r="J6906" s="508">
        <v>1.4999999999999999E-2</v>
      </c>
      <c r="K6906" s="508">
        <v>1.6E-2</v>
      </c>
      <c r="L6906" s="508">
        <v>1.4999999999999999E-2</v>
      </c>
      <c r="M6906" s="508">
        <v>1.4999999999999999E-2</v>
      </c>
      <c r="N6906" s="508">
        <v>1.4E-2</v>
      </c>
      <c r="O6906" s="508">
        <v>1.4E-2</v>
      </c>
      <c r="P6906" s="508">
        <v>1.4E-2</v>
      </c>
      <c r="Q6906" s="508">
        <v>1.2999999999999999E-2</v>
      </c>
      <c r="R6906" s="508">
        <v>1.4999999999999999E-2</v>
      </c>
      <c r="S6906" s="508">
        <v>1.2999999999999999E-2</v>
      </c>
      <c r="T6906" s="508">
        <v>1.2999999999999999E-2</v>
      </c>
      <c r="U6906" s="508">
        <v>1.2999999999999999E-2</v>
      </c>
      <c r="V6906" s="508">
        <v>1.0999999999999999E-2</v>
      </c>
      <c r="W6906" s="508">
        <v>1.0999999999999999E-2</v>
      </c>
      <c r="X6906" s="508">
        <v>1.0999999999999999E-2</v>
      </c>
      <c r="Y6906" s="508">
        <v>1.2E-2</v>
      </c>
      <c r="Z6906" s="508">
        <v>1.2E-2</v>
      </c>
      <c r="AA6906" s="508">
        <v>1.2999999999999999E-2</v>
      </c>
      <c r="AB6906" s="508">
        <v>0.01</v>
      </c>
      <c r="AC6906" s="508">
        <v>1.2999999999999999E-2</v>
      </c>
      <c r="AD6906" s="508">
        <v>1.2999999999999999E-2</v>
      </c>
      <c r="AE6906" s="508">
        <v>1.0999999999999999E-2</v>
      </c>
      <c r="AF6906" s="508">
        <v>1.0999999999999999E-2</v>
      </c>
      <c r="AG6906" s="508">
        <v>1.0999999999999999E-2</v>
      </c>
      <c r="AH6906" s="508">
        <v>1.0999999999999999E-2</v>
      </c>
      <c r="AI6906" s="492">
        <v>1.0999999999999999E-2</v>
      </c>
      <c r="AJ6906" s="485"/>
    </row>
    <row r="6907" spans="2:36">
      <c r="B6907" s="136" t="s">
        <v>488</v>
      </c>
      <c r="C6907" s="132" t="s">
        <v>1375</v>
      </c>
      <c r="D6907" s="132" t="s">
        <v>1380</v>
      </c>
      <c r="E6907" s="508">
        <v>1.6E-2</v>
      </c>
      <c r="F6907" s="508">
        <v>1.4999999999999999E-2</v>
      </c>
      <c r="G6907" s="508">
        <v>1.4E-2</v>
      </c>
      <c r="H6907" s="508">
        <v>1.4E-2</v>
      </c>
      <c r="I6907" s="508">
        <v>1.4E-2</v>
      </c>
      <c r="J6907" s="508">
        <v>1.2999999999999999E-2</v>
      </c>
      <c r="K6907" s="508">
        <v>1.4E-2</v>
      </c>
      <c r="L6907" s="508">
        <v>1.2999999999999999E-2</v>
      </c>
      <c r="M6907" s="508">
        <v>1.2999999999999999E-2</v>
      </c>
      <c r="N6907" s="508">
        <v>1.2E-2</v>
      </c>
      <c r="O6907" s="508">
        <v>1.2E-2</v>
      </c>
      <c r="P6907" s="508">
        <v>1.2E-2</v>
      </c>
      <c r="Q6907" s="508">
        <v>1.0999999999999999E-2</v>
      </c>
      <c r="R6907" s="508">
        <v>1.2999999999999999E-2</v>
      </c>
      <c r="S6907" s="508">
        <v>1.0999999999999999E-2</v>
      </c>
      <c r="T6907" s="508">
        <v>1.0999999999999999E-2</v>
      </c>
      <c r="U6907" s="508">
        <v>1.2E-2</v>
      </c>
      <c r="V6907" s="508">
        <v>0.01</v>
      </c>
      <c r="W6907" s="508">
        <v>0.01</v>
      </c>
      <c r="X6907" s="508">
        <v>0.01</v>
      </c>
      <c r="Y6907" s="508">
        <v>1.0999999999999999E-2</v>
      </c>
      <c r="Z6907" s="508">
        <v>0.01</v>
      </c>
      <c r="AA6907" s="508">
        <v>1.0999999999999999E-2</v>
      </c>
      <c r="AB6907" s="508">
        <v>8.9999999999999993E-3</v>
      </c>
      <c r="AC6907" s="508">
        <v>1.2E-2</v>
      </c>
      <c r="AD6907" s="508">
        <v>1.0999999999999999E-2</v>
      </c>
      <c r="AE6907" s="508">
        <v>0.01</v>
      </c>
      <c r="AF6907" s="508">
        <v>0.01</v>
      </c>
      <c r="AG6907" s="508">
        <v>0.01</v>
      </c>
      <c r="AH6907" s="508">
        <v>0.01</v>
      </c>
      <c r="AI6907" s="492">
        <v>0.01</v>
      </c>
      <c r="AJ6907" s="485"/>
    </row>
    <row r="6908" spans="2:36">
      <c r="B6908" s="136" t="s">
        <v>489</v>
      </c>
      <c r="C6908" s="132" t="s">
        <v>1375</v>
      </c>
      <c r="D6908" s="132" t="s">
        <v>1380</v>
      </c>
      <c r="E6908" s="508">
        <v>1.7000000000000001E-2</v>
      </c>
      <c r="F6908" s="508">
        <v>1.6E-2</v>
      </c>
      <c r="G6908" s="508">
        <v>1.4999999999999999E-2</v>
      </c>
      <c r="H6908" s="508">
        <v>1.4999999999999999E-2</v>
      </c>
      <c r="I6908" s="508">
        <v>1.4999999999999999E-2</v>
      </c>
      <c r="J6908" s="508">
        <v>1.4E-2</v>
      </c>
      <c r="K6908" s="508">
        <v>1.4999999999999999E-2</v>
      </c>
      <c r="L6908" s="508">
        <v>1.4E-2</v>
      </c>
      <c r="M6908" s="508">
        <v>1.4E-2</v>
      </c>
      <c r="N6908" s="508">
        <v>1.2999999999999999E-2</v>
      </c>
      <c r="O6908" s="508">
        <v>1.2999999999999999E-2</v>
      </c>
      <c r="P6908" s="508">
        <v>1.2999999999999999E-2</v>
      </c>
      <c r="Q6908" s="508">
        <v>1.2E-2</v>
      </c>
      <c r="R6908" s="508">
        <v>1.4E-2</v>
      </c>
      <c r="S6908" s="508">
        <v>1.2E-2</v>
      </c>
      <c r="T6908" s="508">
        <v>1.2E-2</v>
      </c>
      <c r="U6908" s="508">
        <v>1.2999999999999999E-2</v>
      </c>
      <c r="V6908" s="508">
        <v>1.0999999999999999E-2</v>
      </c>
      <c r="W6908" s="508">
        <v>1.0999999999999999E-2</v>
      </c>
      <c r="X6908" s="508">
        <v>1.0999999999999999E-2</v>
      </c>
      <c r="Y6908" s="508">
        <v>1.0999999999999999E-2</v>
      </c>
      <c r="Z6908" s="508">
        <v>1.0999999999999999E-2</v>
      </c>
      <c r="AA6908" s="508">
        <v>1.2E-2</v>
      </c>
      <c r="AB6908" s="508">
        <v>0.01</v>
      </c>
      <c r="AC6908" s="508">
        <v>1.2E-2</v>
      </c>
      <c r="AD6908" s="508">
        <v>1.2E-2</v>
      </c>
      <c r="AE6908" s="508">
        <v>1.0999999999999999E-2</v>
      </c>
      <c r="AF6908" s="508">
        <v>1.0999999999999999E-2</v>
      </c>
      <c r="AG6908" s="508">
        <v>1.0999999999999999E-2</v>
      </c>
      <c r="AH6908" s="508">
        <v>1.0999999999999999E-2</v>
      </c>
      <c r="AI6908" s="492">
        <v>1.0999999999999999E-2</v>
      </c>
      <c r="AJ6908" s="485"/>
    </row>
    <row r="6909" spans="2:36">
      <c r="B6909" s="136" t="s">
        <v>490</v>
      </c>
      <c r="C6909" s="132" t="s">
        <v>1375</v>
      </c>
      <c r="D6909" s="132" t="s">
        <v>1380</v>
      </c>
      <c r="E6909" s="508">
        <v>1.4999999999999999E-2</v>
      </c>
      <c r="F6909" s="508">
        <v>1.4E-2</v>
      </c>
      <c r="G6909" s="508">
        <v>1.2999999999999999E-2</v>
      </c>
      <c r="H6909" s="508">
        <v>1.2999999999999999E-2</v>
      </c>
      <c r="I6909" s="508">
        <v>1.2999999999999999E-2</v>
      </c>
      <c r="J6909" s="508">
        <v>1.2E-2</v>
      </c>
      <c r="K6909" s="508">
        <v>1.2999999999999999E-2</v>
      </c>
      <c r="L6909" s="508">
        <v>1.2E-2</v>
      </c>
      <c r="M6909" s="508">
        <v>1.2E-2</v>
      </c>
      <c r="N6909" s="508">
        <v>1.0999999999999999E-2</v>
      </c>
      <c r="O6909" s="508">
        <v>1.0999999999999999E-2</v>
      </c>
      <c r="P6909" s="508">
        <v>1.0999999999999999E-2</v>
      </c>
      <c r="Q6909" s="508">
        <v>1.0999999999999999E-2</v>
      </c>
      <c r="R6909" s="508">
        <v>1.2E-2</v>
      </c>
      <c r="S6909" s="508">
        <v>1.0999999999999999E-2</v>
      </c>
      <c r="T6909" s="508">
        <v>0.01</v>
      </c>
      <c r="U6909" s="508">
        <v>1.0999999999999999E-2</v>
      </c>
      <c r="V6909" s="508">
        <v>8.9999999999999993E-3</v>
      </c>
      <c r="W6909" s="508">
        <v>8.9999999999999993E-3</v>
      </c>
      <c r="X6909" s="508">
        <v>8.9999999999999993E-3</v>
      </c>
      <c r="Y6909" s="508">
        <v>0.01</v>
      </c>
      <c r="Z6909" s="508">
        <v>0.01</v>
      </c>
      <c r="AA6909" s="508">
        <v>1.0999999999999999E-2</v>
      </c>
      <c r="AB6909" s="508">
        <v>8.0000000000000002E-3</v>
      </c>
      <c r="AC6909" s="508">
        <v>1.0999999999999999E-2</v>
      </c>
      <c r="AD6909" s="508">
        <v>0.01</v>
      </c>
      <c r="AE6909" s="508">
        <v>8.9999999999999993E-3</v>
      </c>
      <c r="AF6909" s="508">
        <v>8.9999999999999993E-3</v>
      </c>
      <c r="AG6909" s="508">
        <v>8.9999999999999993E-3</v>
      </c>
      <c r="AH6909" s="508">
        <v>8.9999999999999993E-3</v>
      </c>
      <c r="AI6909" s="492">
        <v>8.9999999999999993E-3</v>
      </c>
      <c r="AJ6909" s="485"/>
    </row>
    <row r="6910" spans="2:36">
      <c r="B6910" s="136" t="s">
        <v>435</v>
      </c>
      <c r="C6910" s="132" t="s">
        <v>1376</v>
      </c>
      <c r="D6910" s="132" t="s">
        <v>1380</v>
      </c>
      <c r="E6910" s="508">
        <v>8.0000000000000002E-3</v>
      </c>
      <c r="F6910" s="508">
        <v>8.0000000000000002E-3</v>
      </c>
      <c r="G6910" s="508">
        <v>8.0000000000000002E-3</v>
      </c>
      <c r="H6910" s="508">
        <v>8.0000000000000002E-3</v>
      </c>
      <c r="I6910" s="508">
        <v>8.0000000000000002E-3</v>
      </c>
      <c r="J6910" s="508">
        <v>8.0000000000000002E-3</v>
      </c>
      <c r="K6910" s="508">
        <v>8.9999999999999993E-3</v>
      </c>
      <c r="L6910" s="508">
        <v>8.9999999999999993E-3</v>
      </c>
      <c r="M6910" s="508">
        <v>8.0000000000000002E-3</v>
      </c>
      <c r="N6910" s="508">
        <v>8.0000000000000002E-3</v>
      </c>
      <c r="O6910" s="508">
        <v>8.0000000000000002E-3</v>
      </c>
      <c r="P6910" s="508">
        <v>8.0000000000000002E-3</v>
      </c>
      <c r="Q6910" s="508">
        <v>8.9999999999999993E-3</v>
      </c>
      <c r="R6910" s="508">
        <v>8.9999999999999993E-3</v>
      </c>
      <c r="S6910" s="508">
        <v>8.0000000000000002E-3</v>
      </c>
      <c r="T6910" s="508">
        <v>8.0000000000000002E-3</v>
      </c>
      <c r="U6910" s="508">
        <v>8.0000000000000002E-3</v>
      </c>
      <c r="V6910" s="508">
        <v>8.9999999999999993E-3</v>
      </c>
      <c r="W6910" s="508">
        <v>8.9999999999999993E-3</v>
      </c>
      <c r="X6910" s="508">
        <v>8.9999999999999993E-3</v>
      </c>
      <c r="Y6910" s="508">
        <v>8.9999999999999993E-3</v>
      </c>
      <c r="Z6910" s="508">
        <v>8.9999999999999993E-3</v>
      </c>
      <c r="AA6910" s="508">
        <v>8.9999999999999993E-3</v>
      </c>
      <c r="AB6910" s="508">
        <v>8.9999999999999993E-3</v>
      </c>
      <c r="AC6910" s="508">
        <v>8.0000000000000002E-3</v>
      </c>
      <c r="AD6910" s="508">
        <v>8.0000000000000002E-3</v>
      </c>
      <c r="AE6910" s="508">
        <v>8.0000000000000002E-3</v>
      </c>
      <c r="AF6910" s="508">
        <v>8.0000000000000002E-3</v>
      </c>
      <c r="AG6910" s="508">
        <v>8.0000000000000002E-3</v>
      </c>
      <c r="AH6910" s="508">
        <v>8.0000000000000002E-3</v>
      </c>
      <c r="AI6910" s="492">
        <v>8.0000000000000002E-3</v>
      </c>
      <c r="AJ6910" s="485"/>
    </row>
    <row r="6911" spans="2:36">
      <c r="B6911" s="136" t="s">
        <v>436</v>
      </c>
      <c r="C6911" s="132" t="s">
        <v>1376</v>
      </c>
      <c r="D6911" s="132" t="s">
        <v>1380</v>
      </c>
      <c r="E6911" s="508">
        <v>7.0000000000000001E-3</v>
      </c>
      <c r="F6911" s="508">
        <v>7.0000000000000001E-3</v>
      </c>
      <c r="G6911" s="508">
        <v>8.0000000000000002E-3</v>
      </c>
      <c r="H6911" s="508">
        <v>8.0000000000000002E-3</v>
      </c>
      <c r="I6911" s="508">
        <v>7.0000000000000001E-3</v>
      </c>
      <c r="J6911" s="508">
        <v>8.0000000000000002E-3</v>
      </c>
      <c r="K6911" s="508">
        <v>8.0000000000000002E-3</v>
      </c>
      <c r="L6911" s="508">
        <v>8.0000000000000002E-3</v>
      </c>
      <c r="M6911" s="508">
        <v>7.0000000000000001E-3</v>
      </c>
      <c r="N6911" s="508">
        <v>8.0000000000000002E-3</v>
      </c>
      <c r="O6911" s="508">
        <v>7.0000000000000001E-3</v>
      </c>
      <c r="P6911" s="508">
        <v>8.0000000000000002E-3</v>
      </c>
      <c r="Q6911" s="508">
        <v>8.0000000000000002E-3</v>
      </c>
      <c r="R6911" s="508">
        <v>8.0000000000000002E-3</v>
      </c>
      <c r="S6911" s="508">
        <v>8.0000000000000002E-3</v>
      </c>
      <c r="T6911" s="508">
        <v>7.0000000000000001E-3</v>
      </c>
      <c r="U6911" s="508">
        <v>8.0000000000000002E-3</v>
      </c>
      <c r="V6911" s="508">
        <v>8.0000000000000002E-3</v>
      </c>
      <c r="W6911" s="508">
        <v>8.0000000000000002E-3</v>
      </c>
      <c r="X6911" s="508">
        <v>8.0000000000000002E-3</v>
      </c>
      <c r="Y6911" s="508">
        <v>8.0000000000000002E-3</v>
      </c>
      <c r="Z6911" s="508">
        <v>8.0000000000000002E-3</v>
      </c>
      <c r="AA6911" s="508">
        <v>8.0000000000000002E-3</v>
      </c>
      <c r="AB6911" s="508">
        <v>8.0000000000000002E-3</v>
      </c>
      <c r="AC6911" s="508">
        <v>8.0000000000000002E-3</v>
      </c>
      <c r="AD6911" s="508">
        <v>7.0000000000000001E-3</v>
      </c>
      <c r="AE6911" s="508">
        <v>8.0000000000000002E-3</v>
      </c>
      <c r="AF6911" s="508">
        <v>8.0000000000000002E-3</v>
      </c>
      <c r="AG6911" s="508">
        <v>8.0000000000000002E-3</v>
      </c>
      <c r="AH6911" s="508">
        <v>8.0000000000000002E-3</v>
      </c>
      <c r="AI6911" s="492">
        <v>8.0000000000000002E-3</v>
      </c>
      <c r="AJ6911" s="485"/>
    </row>
    <row r="6912" spans="2:36">
      <c r="B6912" s="136" t="s">
        <v>437</v>
      </c>
      <c r="C6912" s="132" t="s">
        <v>1376</v>
      </c>
      <c r="D6912" s="132" t="s">
        <v>1380</v>
      </c>
      <c r="E6912" s="508">
        <v>8.0000000000000002E-3</v>
      </c>
      <c r="F6912" s="508">
        <v>8.0000000000000002E-3</v>
      </c>
      <c r="G6912" s="508">
        <v>8.9999999999999993E-3</v>
      </c>
      <c r="H6912" s="508">
        <v>8.9999999999999993E-3</v>
      </c>
      <c r="I6912" s="508">
        <v>8.0000000000000002E-3</v>
      </c>
      <c r="J6912" s="508">
        <v>8.0000000000000002E-3</v>
      </c>
      <c r="K6912" s="508">
        <v>8.9999999999999993E-3</v>
      </c>
      <c r="L6912" s="508">
        <v>8.9999999999999993E-3</v>
      </c>
      <c r="M6912" s="508">
        <v>8.0000000000000002E-3</v>
      </c>
      <c r="N6912" s="508">
        <v>8.0000000000000002E-3</v>
      </c>
      <c r="O6912" s="508">
        <v>8.0000000000000002E-3</v>
      </c>
      <c r="P6912" s="508">
        <v>8.9999999999999993E-3</v>
      </c>
      <c r="Q6912" s="508">
        <v>8.9999999999999993E-3</v>
      </c>
      <c r="R6912" s="508">
        <v>8.9999999999999993E-3</v>
      </c>
      <c r="S6912" s="508">
        <v>8.9999999999999993E-3</v>
      </c>
      <c r="T6912" s="508">
        <v>8.0000000000000002E-3</v>
      </c>
      <c r="U6912" s="508">
        <v>8.9999999999999993E-3</v>
      </c>
      <c r="V6912" s="508">
        <v>8.9999999999999993E-3</v>
      </c>
      <c r="W6912" s="508">
        <v>8.9999999999999993E-3</v>
      </c>
      <c r="X6912" s="508">
        <v>8.9999999999999993E-3</v>
      </c>
      <c r="Y6912" s="508">
        <v>8.9999999999999993E-3</v>
      </c>
      <c r="Z6912" s="508">
        <v>8.9999999999999993E-3</v>
      </c>
      <c r="AA6912" s="508">
        <v>8.9999999999999993E-3</v>
      </c>
      <c r="AB6912" s="508">
        <v>8.9999999999999993E-3</v>
      </c>
      <c r="AC6912" s="508">
        <v>8.9999999999999993E-3</v>
      </c>
      <c r="AD6912" s="508">
        <v>8.0000000000000002E-3</v>
      </c>
      <c r="AE6912" s="508">
        <v>8.9999999999999993E-3</v>
      </c>
      <c r="AF6912" s="508">
        <v>8.9999999999999993E-3</v>
      </c>
      <c r="AG6912" s="508">
        <v>8.9999999999999993E-3</v>
      </c>
      <c r="AH6912" s="508">
        <v>8.9999999999999993E-3</v>
      </c>
      <c r="AI6912" s="492">
        <v>8.9999999999999993E-3</v>
      </c>
      <c r="AJ6912" s="485"/>
    </row>
    <row r="6913" spans="2:36">
      <c r="B6913" s="136" t="s">
        <v>438</v>
      </c>
      <c r="C6913" s="132" t="s">
        <v>1376</v>
      </c>
      <c r="D6913" s="132" t="s">
        <v>1380</v>
      </c>
      <c r="E6913" s="508">
        <v>7.0000000000000001E-3</v>
      </c>
      <c r="F6913" s="508">
        <v>7.0000000000000001E-3</v>
      </c>
      <c r="G6913" s="508">
        <v>7.0000000000000001E-3</v>
      </c>
      <c r="H6913" s="508">
        <v>7.0000000000000001E-3</v>
      </c>
      <c r="I6913" s="508">
        <v>7.0000000000000001E-3</v>
      </c>
      <c r="J6913" s="508">
        <v>7.0000000000000001E-3</v>
      </c>
      <c r="K6913" s="508">
        <v>8.0000000000000002E-3</v>
      </c>
      <c r="L6913" s="508">
        <v>8.0000000000000002E-3</v>
      </c>
      <c r="M6913" s="508">
        <v>7.0000000000000001E-3</v>
      </c>
      <c r="N6913" s="508">
        <v>7.0000000000000001E-3</v>
      </c>
      <c r="O6913" s="508">
        <v>7.0000000000000001E-3</v>
      </c>
      <c r="P6913" s="508">
        <v>7.0000000000000001E-3</v>
      </c>
      <c r="Q6913" s="508">
        <v>7.0000000000000001E-3</v>
      </c>
      <c r="R6913" s="508">
        <v>8.0000000000000002E-3</v>
      </c>
      <c r="S6913" s="508">
        <v>7.0000000000000001E-3</v>
      </c>
      <c r="T6913" s="508">
        <v>7.0000000000000001E-3</v>
      </c>
      <c r="U6913" s="508">
        <v>7.0000000000000001E-3</v>
      </c>
      <c r="V6913" s="508">
        <v>8.0000000000000002E-3</v>
      </c>
      <c r="W6913" s="508">
        <v>8.0000000000000002E-3</v>
      </c>
      <c r="X6913" s="508">
        <v>8.0000000000000002E-3</v>
      </c>
      <c r="Y6913" s="508">
        <v>8.0000000000000002E-3</v>
      </c>
      <c r="Z6913" s="508">
        <v>8.0000000000000002E-3</v>
      </c>
      <c r="AA6913" s="508">
        <v>8.0000000000000002E-3</v>
      </c>
      <c r="AB6913" s="508">
        <v>8.0000000000000002E-3</v>
      </c>
      <c r="AC6913" s="508">
        <v>7.0000000000000001E-3</v>
      </c>
      <c r="AD6913" s="508">
        <v>7.0000000000000001E-3</v>
      </c>
      <c r="AE6913" s="508">
        <v>7.0000000000000001E-3</v>
      </c>
      <c r="AF6913" s="508">
        <v>7.0000000000000001E-3</v>
      </c>
      <c r="AG6913" s="508">
        <v>7.0000000000000001E-3</v>
      </c>
      <c r="AH6913" s="508">
        <v>7.0000000000000001E-3</v>
      </c>
      <c r="AI6913" s="492">
        <v>7.0000000000000001E-3</v>
      </c>
      <c r="AJ6913" s="485"/>
    </row>
    <row r="6914" spans="2:36">
      <c r="B6914" s="136" t="s">
        <v>439</v>
      </c>
      <c r="C6914" s="132" t="s">
        <v>1376</v>
      </c>
      <c r="D6914" s="132" t="s">
        <v>1380</v>
      </c>
      <c r="E6914" s="508">
        <v>8.0000000000000002E-3</v>
      </c>
      <c r="F6914" s="508">
        <v>8.0000000000000002E-3</v>
      </c>
      <c r="G6914" s="508">
        <v>8.0000000000000002E-3</v>
      </c>
      <c r="H6914" s="508">
        <v>8.9999999999999993E-3</v>
      </c>
      <c r="I6914" s="508">
        <v>8.0000000000000002E-3</v>
      </c>
      <c r="J6914" s="508">
        <v>8.0000000000000002E-3</v>
      </c>
      <c r="K6914" s="508">
        <v>8.9999999999999993E-3</v>
      </c>
      <c r="L6914" s="508">
        <v>8.9999999999999993E-3</v>
      </c>
      <c r="M6914" s="508">
        <v>8.0000000000000002E-3</v>
      </c>
      <c r="N6914" s="508">
        <v>8.0000000000000002E-3</v>
      </c>
      <c r="O6914" s="508">
        <v>8.0000000000000002E-3</v>
      </c>
      <c r="P6914" s="508">
        <v>8.0000000000000002E-3</v>
      </c>
      <c r="Q6914" s="508">
        <v>8.9999999999999993E-3</v>
      </c>
      <c r="R6914" s="508">
        <v>8.9999999999999993E-3</v>
      </c>
      <c r="S6914" s="508">
        <v>8.9999999999999993E-3</v>
      </c>
      <c r="T6914" s="508">
        <v>8.0000000000000002E-3</v>
      </c>
      <c r="U6914" s="508">
        <v>8.0000000000000002E-3</v>
      </c>
      <c r="V6914" s="508">
        <v>8.9999999999999993E-3</v>
      </c>
      <c r="W6914" s="508">
        <v>8.9999999999999993E-3</v>
      </c>
      <c r="X6914" s="508">
        <v>8.9999999999999993E-3</v>
      </c>
      <c r="Y6914" s="508">
        <v>8.9999999999999993E-3</v>
      </c>
      <c r="Z6914" s="508">
        <v>8.9999999999999993E-3</v>
      </c>
      <c r="AA6914" s="508">
        <v>8.9999999999999993E-3</v>
      </c>
      <c r="AB6914" s="508">
        <v>8.9999999999999993E-3</v>
      </c>
      <c r="AC6914" s="508">
        <v>8.0000000000000002E-3</v>
      </c>
      <c r="AD6914" s="508">
        <v>8.0000000000000002E-3</v>
      </c>
      <c r="AE6914" s="508">
        <v>8.9999999999999993E-3</v>
      </c>
      <c r="AF6914" s="508">
        <v>8.9999999999999993E-3</v>
      </c>
      <c r="AG6914" s="508">
        <v>8.9999999999999993E-3</v>
      </c>
      <c r="AH6914" s="508">
        <v>8.9999999999999993E-3</v>
      </c>
      <c r="AI6914" s="492">
        <v>8.9999999999999993E-3</v>
      </c>
      <c r="AJ6914" s="485"/>
    </row>
    <row r="6915" spans="2:36">
      <c r="B6915" s="136" t="s">
        <v>440</v>
      </c>
      <c r="C6915" s="132" t="s">
        <v>1376</v>
      </c>
      <c r="D6915" s="132" t="s">
        <v>1380</v>
      </c>
      <c r="E6915" s="508">
        <v>8.0000000000000002E-3</v>
      </c>
      <c r="F6915" s="508">
        <v>8.0000000000000002E-3</v>
      </c>
      <c r="G6915" s="508">
        <v>8.0000000000000002E-3</v>
      </c>
      <c r="H6915" s="508">
        <v>8.0000000000000002E-3</v>
      </c>
      <c r="I6915" s="508">
        <v>8.0000000000000002E-3</v>
      </c>
      <c r="J6915" s="508">
        <v>8.0000000000000002E-3</v>
      </c>
      <c r="K6915" s="508">
        <v>8.9999999999999993E-3</v>
      </c>
      <c r="L6915" s="508">
        <v>8.9999999999999993E-3</v>
      </c>
      <c r="M6915" s="508">
        <v>8.0000000000000002E-3</v>
      </c>
      <c r="N6915" s="508">
        <v>8.0000000000000002E-3</v>
      </c>
      <c r="O6915" s="508">
        <v>8.0000000000000002E-3</v>
      </c>
      <c r="P6915" s="508">
        <v>8.0000000000000002E-3</v>
      </c>
      <c r="Q6915" s="508">
        <v>8.0000000000000002E-3</v>
      </c>
      <c r="R6915" s="508">
        <v>8.9999999999999993E-3</v>
      </c>
      <c r="S6915" s="508">
        <v>8.0000000000000002E-3</v>
      </c>
      <c r="T6915" s="508">
        <v>8.0000000000000002E-3</v>
      </c>
      <c r="U6915" s="508">
        <v>8.0000000000000002E-3</v>
      </c>
      <c r="V6915" s="508">
        <v>8.9999999999999993E-3</v>
      </c>
      <c r="W6915" s="508">
        <v>8.9999999999999993E-3</v>
      </c>
      <c r="X6915" s="508">
        <v>8.9999999999999993E-3</v>
      </c>
      <c r="Y6915" s="508">
        <v>8.0000000000000002E-3</v>
      </c>
      <c r="Z6915" s="508">
        <v>8.9999999999999993E-3</v>
      </c>
      <c r="AA6915" s="508">
        <v>8.0000000000000002E-3</v>
      </c>
      <c r="AB6915" s="508">
        <v>8.9999999999999993E-3</v>
      </c>
      <c r="AC6915" s="508">
        <v>8.0000000000000002E-3</v>
      </c>
      <c r="AD6915" s="508">
        <v>8.0000000000000002E-3</v>
      </c>
      <c r="AE6915" s="508">
        <v>8.0000000000000002E-3</v>
      </c>
      <c r="AF6915" s="508">
        <v>8.0000000000000002E-3</v>
      </c>
      <c r="AG6915" s="508">
        <v>8.0000000000000002E-3</v>
      </c>
      <c r="AH6915" s="508">
        <v>8.0000000000000002E-3</v>
      </c>
      <c r="AI6915" s="492">
        <v>8.0000000000000002E-3</v>
      </c>
      <c r="AJ6915" s="485"/>
    </row>
    <row r="6916" spans="2:36">
      <c r="B6916" s="136" t="s">
        <v>441</v>
      </c>
      <c r="C6916" s="132" t="s">
        <v>1376</v>
      </c>
      <c r="D6916" s="132" t="s">
        <v>1380</v>
      </c>
      <c r="E6916" s="508">
        <v>8.0000000000000002E-3</v>
      </c>
      <c r="F6916" s="508">
        <v>8.0000000000000002E-3</v>
      </c>
      <c r="G6916" s="508">
        <v>8.9999999999999993E-3</v>
      </c>
      <c r="H6916" s="508">
        <v>8.9999999999999993E-3</v>
      </c>
      <c r="I6916" s="508">
        <v>8.0000000000000002E-3</v>
      </c>
      <c r="J6916" s="508">
        <v>8.0000000000000002E-3</v>
      </c>
      <c r="K6916" s="508">
        <v>8.9999999999999993E-3</v>
      </c>
      <c r="L6916" s="508">
        <v>8.9999999999999993E-3</v>
      </c>
      <c r="M6916" s="508">
        <v>8.0000000000000002E-3</v>
      </c>
      <c r="N6916" s="508">
        <v>8.0000000000000002E-3</v>
      </c>
      <c r="O6916" s="508">
        <v>8.0000000000000002E-3</v>
      </c>
      <c r="P6916" s="508">
        <v>8.0000000000000002E-3</v>
      </c>
      <c r="Q6916" s="508">
        <v>8.9999999999999993E-3</v>
      </c>
      <c r="R6916" s="508">
        <v>8.9999999999999993E-3</v>
      </c>
      <c r="S6916" s="508">
        <v>8.9999999999999993E-3</v>
      </c>
      <c r="T6916" s="508">
        <v>8.0000000000000002E-3</v>
      </c>
      <c r="U6916" s="508">
        <v>8.0000000000000002E-3</v>
      </c>
      <c r="V6916" s="508">
        <v>8.9999999999999993E-3</v>
      </c>
      <c r="W6916" s="508">
        <v>8.9999999999999993E-3</v>
      </c>
      <c r="X6916" s="508">
        <v>8.9999999999999993E-3</v>
      </c>
      <c r="Y6916" s="508">
        <v>8.9999999999999993E-3</v>
      </c>
      <c r="Z6916" s="508">
        <v>8.9999999999999993E-3</v>
      </c>
      <c r="AA6916" s="508">
        <v>8.9999999999999993E-3</v>
      </c>
      <c r="AB6916" s="508">
        <v>8.9999999999999993E-3</v>
      </c>
      <c r="AC6916" s="508">
        <v>8.9999999999999993E-3</v>
      </c>
      <c r="AD6916" s="508">
        <v>8.0000000000000002E-3</v>
      </c>
      <c r="AE6916" s="508">
        <v>8.9999999999999993E-3</v>
      </c>
      <c r="AF6916" s="508">
        <v>8.9999999999999993E-3</v>
      </c>
      <c r="AG6916" s="508">
        <v>8.9999999999999993E-3</v>
      </c>
      <c r="AH6916" s="508">
        <v>8.9999999999999993E-3</v>
      </c>
      <c r="AI6916" s="492">
        <v>8.9999999999999993E-3</v>
      </c>
      <c r="AJ6916" s="485"/>
    </row>
    <row r="6917" spans="2:36">
      <c r="B6917" s="136" t="s">
        <v>443</v>
      </c>
      <c r="C6917" s="132" t="s">
        <v>1376</v>
      </c>
      <c r="D6917" s="132" t="s">
        <v>1380</v>
      </c>
      <c r="E6917" s="508">
        <v>8.9999999999999993E-3</v>
      </c>
      <c r="F6917" s="508">
        <v>8.9999999999999993E-3</v>
      </c>
      <c r="G6917" s="508">
        <v>8.9999999999999993E-3</v>
      </c>
      <c r="H6917" s="508">
        <v>8.9999999999999993E-3</v>
      </c>
      <c r="I6917" s="508">
        <v>8.9999999999999993E-3</v>
      </c>
      <c r="J6917" s="508">
        <v>8.9999999999999993E-3</v>
      </c>
      <c r="K6917" s="508">
        <v>0.01</v>
      </c>
      <c r="L6917" s="508">
        <v>0.01</v>
      </c>
      <c r="M6917" s="508">
        <v>8.9999999999999993E-3</v>
      </c>
      <c r="N6917" s="508">
        <v>8.9999999999999993E-3</v>
      </c>
      <c r="O6917" s="508">
        <v>8.9999999999999993E-3</v>
      </c>
      <c r="P6917" s="508">
        <v>8.9999999999999993E-3</v>
      </c>
      <c r="Q6917" s="508">
        <v>0.01</v>
      </c>
      <c r="R6917" s="508">
        <v>0.01</v>
      </c>
      <c r="S6917" s="508">
        <v>8.9999999999999993E-3</v>
      </c>
      <c r="T6917" s="508">
        <v>8.9999999999999993E-3</v>
      </c>
      <c r="U6917" s="508">
        <v>8.9999999999999993E-3</v>
      </c>
      <c r="V6917" s="508">
        <v>0.01</v>
      </c>
      <c r="W6917" s="508">
        <v>0.01</v>
      </c>
      <c r="X6917" s="508">
        <v>0.01</v>
      </c>
      <c r="Y6917" s="508">
        <v>0.01</v>
      </c>
      <c r="Z6917" s="508">
        <v>0.01</v>
      </c>
      <c r="AA6917" s="508">
        <v>0.01</v>
      </c>
      <c r="AB6917" s="508">
        <v>0.01</v>
      </c>
      <c r="AC6917" s="508">
        <v>8.9999999999999993E-3</v>
      </c>
      <c r="AD6917" s="508">
        <v>8.9999999999999993E-3</v>
      </c>
      <c r="AE6917" s="508">
        <v>0.01</v>
      </c>
      <c r="AF6917" s="508">
        <v>0.01</v>
      </c>
      <c r="AG6917" s="508">
        <v>0.01</v>
      </c>
      <c r="AH6917" s="508">
        <v>0.01</v>
      </c>
      <c r="AI6917" s="492">
        <v>0.01</v>
      </c>
      <c r="AJ6917" s="485"/>
    </row>
    <row r="6918" spans="2:36">
      <c r="B6918" s="136" t="s">
        <v>445</v>
      </c>
      <c r="C6918" s="132" t="s">
        <v>1376</v>
      </c>
      <c r="D6918" s="132" t="s">
        <v>1380</v>
      </c>
      <c r="E6918" s="508">
        <v>1.0999999999999999E-2</v>
      </c>
      <c r="F6918" s="508">
        <v>1.0999999999999999E-2</v>
      </c>
      <c r="G6918" s="508">
        <v>1.0999999999999999E-2</v>
      </c>
      <c r="H6918" s="508">
        <v>1.0999999999999999E-2</v>
      </c>
      <c r="I6918" s="508">
        <v>1.0999999999999999E-2</v>
      </c>
      <c r="J6918" s="508">
        <v>1.0999999999999999E-2</v>
      </c>
      <c r="K6918" s="508">
        <v>1.2E-2</v>
      </c>
      <c r="L6918" s="508">
        <v>1.2E-2</v>
      </c>
      <c r="M6918" s="508">
        <v>1.0999999999999999E-2</v>
      </c>
      <c r="N6918" s="508">
        <v>1.0999999999999999E-2</v>
      </c>
      <c r="O6918" s="508">
        <v>1.0999999999999999E-2</v>
      </c>
      <c r="P6918" s="508">
        <v>1.0999999999999999E-2</v>
      </c>
      <c r="Q6918" s="508">
        <v>1.2E-2</v>
      </c>
      <c r="R6918" s="508">
        <v>1.2E-2</v>
      </c>
      <c r="S6918" s="508">
        <v>1.0999999999999999E-2</v>
      </c>
      <c r="T6918" s="508">
        <v>1.0999999999999999E-2</v>
      </c>
      <c r="U6918" s="508">
        <v>1.0999999999999999E-2</v>
      </c>
      <c r="V6918" s="508">
        <v>1.2E-2</v>
      </c>
      <c r="W6918" s="508">
        <v>1.2E-2</v>
      </c>
      <c r="X6918" s="508">
        <v>1.2E-2</v>
      </c>
      <c r="Y6918" s="508">
        <v>1.2E-2</v>
      </c>
      <c r="Z6918" s="508">
        <v>1.2E-2</v>
      </c>
      <c r="AA6918" s="508">
        <v>1.2E-2</v>
      </c>
      <c r="AB6918" s="508">
        <v>1.2E-2</v>
      </c>
      <c r="AC6918" s="508">
        <v>1.0999999999999999E-2</v>
      </c>
      <c r="AD6918" s="508">
        <v>0.01</v>
      </c>
      <c r="AE6918" s="508">
        <v>1.2E-2</v>
      </c>
      <c r="AF6918" s="508">
        <v>1.2E-2</v>
      </c>
      <c r="AG6918" s="508">
        <v>1.2E-2</v>
      </c>
      <c r="AH6918" s="508">
        <v>1.2E-2</v>
      </c>
      <c r="AI6918" s="492">
        <v>1.2E-2</v>
      </c>
      <c r="AJ6918" s="485"/>
    </row>
    <row r="6919" spans="2:36">
      <c r="B6919" s="136" t="s">
        <v>446</v>
      </c>
      <c r="C6919" s="132" t="s">
        <v>1376</v>
      </c>
      <c r="D6919" s="132" t="s">
        <v>1380</v>
      </c>
      <c r="E6919" s="508">
        <v>0.01</v>
      </c>
      <c r="F6919" s="508">
        <v>0.01</v>
      </c>
      <c r="G6919" s="508">
        <v>0.01</v>
      </c>
      <c r="H6919" s="508">
        <v>0.01</v>
      </c>
      <c r="I6919" s="508">
        <v>8.9999999999999993E-3</v>
      </c>
      <c r="J6919" s="508">
        <v>0.01</v>
      </c>
      <c r="K6919" s="508">
        <v>1.0999999999999999E-2</v>
      </c>
      <c r="L6919" s="508">
        <v>1.0999999999999999E-2</v>
      </c>
      <c r="M6919" s="508">
        <v>0.01</v>
      </c>
      <c r="N6919" s="508">
        <v>0.01</v>
      </c>
      <c r="O6919" s="508">
        <v>0.01</v>
      </c>
      <c r="P6919" s="508">
        <v>0.01</v>
      </c>
      <c r="Q6919" s="508">
        <v>0.01</v>
      </c>
      <c r="R6919" s="508">
        <v>0.01</v>
      </c>
      <c r="S6919" s="508">
        <v>0.01</v>
      </c>
      <c r="T6919" s="508">
        <v>8.9999999999999993E-3</v>
      </c>
      <c r="U6919" s="508">
        <v>0.01</v>
      </c>
      <c r="V6919" s="508">
        <v>1.0999999999999999E-2</v>
      </c>
      <c r="W6919" s="508">
        <v>0.01</v>
      </c>
      <c r="X6919" s="508">
        <v>1.0999999999999999E-2</v>
      </c>
      <c r="Y6919" s="508">
        <v>0.01</v>
      </c>
      <c r="Z6919" s="508">
        <v>1.0999999999999999E-2</v>
      </c>
      <c r="AA6919" s="508">
        <v>0.01</v>
      </c>
      <c r="AB6919" s="508">
        <v>0.01</v>
      </c>
      <c r="AC6919" s="508">
        <v>0.01</v>
      </c>
      <c r="AD6919" s="508">
        <v>8.9999999999999993E-3</v>
      </c>
      <c r="AE6919" s="508">
        <v>0.01</v>
      </c>
      <c r="AF6919" s="508">
        <v>0.01</v>
      </c>
      <c r="AG6919" s="508">
        <v>0.01</v>
      </c>
      <c r="AH6919" s="508">
        <v>0.01</v>
      </c>
      <c r="AI6919" s="492">
        <v>0.01</v>
      </c>
      <c r="AJ6919" s="485"/>
    </row>
    <row r="6920" spans="2:36">
      <c r="B6920" s="136" t="s">
        <v>448</v>
      </c>
      <c r="C6920" s="132" t="s">
        <v>1376</v>
      </c>
      <c r="D6920" s="132" t="s">
        <v>1380</v>
      </c>
      <c r="E6920" s="508">
        <v>8.0000000000000002E-3</v>
      </c>
      <c r="F6920" s="508">
        <v>7.0000000000000001E-3</v>
      </c>
      <c r="G6920" s="508">
        <v>8.0000000000000002E-3</v>
      </c>
      <c r="H6920" s="508">
        <v>8.0000000000000002E-3</v>
      </c>
      <c r="I6920" s="508">
        <v>7.0000000000000001E-3</v>
      </c>
      <c r="J6920" s="508">
        <v>8.0000000000000002E-3</v>
      </c>
      <c r="K6920" s="508">
        <v>8.0000000000000002E-3</v>
      </c>
      <c r="L6920" s="508">
        <v>8.0000000000000002E-3</v>
      </c>
      <c r="M6920" s="508">
        <v>7.0000000000000001E-3</v>
      </c>
      <c r="N6920" s="508">
        <v>8.0000000000000002E-3</v>
      </c>
      <c r="O6920" s="508">
        <v>8.0000000000000002E-3</v>
      </c>
      <c r="P6920" s="508">
        <v>8.0000000000000002E-3</v>
      </c>
      <c r="Q6920" s="508">
        <v>8.0000000000000002E-3</v>
      </c>
      <c r="R6920" s="508">
        <v>8.0000000000000002E-3</v>
      </c>
      <c r="S6920" s="508">
        <v>8.0000000000000002E-3</v>
      </c>
      <c r="T6920" s="508">
        <v>7.0000000000000001E-3</v>
      </c>
      <c r="U6920" s="508">
        <v>8.0000000000000002E-3</v>
      </c>
      <c r="V6920" s="508">
        <v>8.0000000000000002E-3</v>
      </c>
      <c r="W6920" s="508">
        <v>8.0000000000000002E-3</v>
      </c>
      <c r="X6920" s="508">
        <v>8.0000000000000002E-3</v>
      </c>
      <c r="Y6920" s="508">
        <v>8.0000000000000002E-3</v>
      </c>
      <c r="Z6920" s="508">
        <v>8.0000000000000002E-3</v>
      </c>
      <c r="AA6920" s="508">
        <v>8.0000000000000002E-3</v>
      </c>
      <c r="AB6920" s="508">
        <v>8.0000000000000002E-3</v>
      </c>
      <c r="AC6920" s="508">
        <v>8.0000000000000002E-3</v>
      </c>
      <c r="AD6920" s="508">
        <v>7.0000000000000001E-3</v>
      </c>
      <c r="AE6920" s="508">
        <v>8.0000000000000002E-3</v>
      </c>
      <c r="AF6920" s="508">
        <v>8.0000000000000002E-3</v>
      </c>
      <c r="AG6920" s="508">
        <v>8.0000000000000002E-3</v>
      </c>
      <c r="AH6920" s="508">
        <v>8.0000000000000002E-3</v>
      </c>
      <c r="AI6920" s="492">
        <v>8.0000000000000002E-3</v>
      </c>
      <c r="AJ6920" s="485"/>
    </row>
    <row r="6921" spans="2:36">
      <c r="B6921" s="136" t="s">
        <v>449</v>
      </c>
      <c r="C6921" s="132" t="s">
        <v>1376</v>
      </c>
      <c r="D6921" s="132" t="s">
        <v>1380</v>
      </c>
      <c r="E6921" s="508">
        <v>8.9999999999999993E-3</v>
      </c>
      <c r="F6921" s="508">
        <v>8.9999999999999993E-3</v>
      </c>
      <c r="G6921" s="508">
        <v>0.01</v>
      </c>
      <c r="H6921" s="508">
        <v>0.01</v>
      </c>
      <c r="I6921" s="508">
        <v>8.9999999999999993E-3</v>
      </c>
      <c r="J6921" s="508">
        <v>8.9999999999999993E-3</v>
      </c>
      <c r="K6921" s="508">
        <v>0.01</v>
      </c>
      <c r="L6921" s="508">
        <v>0.01</v>
      </c>
      <c r="M6921" s="508">
        <v>8.9999999999999993E-3</v>
      </c>
      <c r="N6921" s="508">
        <v>8.9999999999999993E-3</v>
      </c>
      <c r="O6921" s="508">
        <v>8.9999999999999993E-3</v>
      </c>
      <c r="P6921" s="508">
        <v>8.9999999999999993E-3</v>
      </c>
      <c r="Q6921" s="508">
        <v>0.01</v>
      </c>
      <c r="R6921" s="508">
        <v>0.01</v>
      </c>
      <c r="S6921" s="508">
        <v>0.01</v>
      </c>
      <c r="T6921" s="508">
        <v>8.9999999999999993E-3</v>
      </c>
      <c r="U6921" s="508">
        <v>8.9999999999999993E-3</v>
      </c>
      <c r="V6921" s="508">
        <v>0.01</v>
      </c>
      <c r="W6921" s="508">
        <v>0.01</v>
      </c>
      <c r="X6921" s="508">
        <v>0.01</v>
      </c>
      <c r="Y6921" s="508">
        <v>0.01</v>
      </c>
      <c r="Z6921" s="508">
        <v>0.01</v>
      </c>
      <c r="AA6921" s="508">
        <v>0.01</v>
      </c>
      <c r="AB6921" s="508">
        <v>0.01</v>
      </c>
      <c r="AC6921" s="508">
        <v>0.01</v>
      </c>
      <c r="AD6921" s="508">
        <v>8.9999999999999993E-3</v>
      </c>
      <c r="AE6921" s="508">
        <v>0.01</v>
      </c>
      <c r="AF6921" s="508">
        <v>0.01</v>
      </c>
      <c r="AG6921" s="508">
        <v>0.01</v>
      </c>
      <c r="AH6921" s="508">
        <v>0.01</v>
      </c>
      <c r="AI6921" s="492">
        <v>0.01</v>
      </c>
      <c r="AJ6921" s="485"/>
    </row>
    <row r="6922" spans="2:36">
      <c r="B6922" s="136" t="s">
        <v>450</v>
      </c>
      <c r="C6922" s="132" t="s">
        <v>1376</v>
      </c>
      <c r="D6922" s="132" t="s">
        <v>1380</v>
      </c>
      <c r="E6922" s="508">
        <v>0.01</v>
      </c>
      <c r="F6922" s="508">
        <v>0.01</v>
      </c>
      <c r="G6922" s="508">
        <v>0.01</v>
      </c>
      <c r="H6922" s="508">
        <v>0.01</v>
      </c>
      <c r="I6922" s="508">
        <v>0.01</v>
      </c>
      <c r="J6922" s="508">
        <v>0.01</v>
      </c>
      <c r="K6922" s="508">
        <v>0.01</v>
      </c>
      <c r="L6922" s="508">
        <v>1.0999999999999999E-2</v>
      </c>
      <c r="M6922" s="508">
        <v>0.01</v>
      </c>
      <c r="N6922" s="508">
        <v>0.01</v>
      </c>
      <c r="O6922" s="508">
        <v>0.01</v>
      </c>
      <c r="P6922" s="508">
        <v>0.01</v>
      </c>
      <c r="Q6922" s="508">
        <v>0.01</v>
      </c>
      <c r="R6922" s="508">
        <v>0.01</v>
      </c>
      <c r="S6922" s="508">
        <v>0.01</v>
      </c>
      <c r="T6922" s="508">
        <v>0.01</v>
      </c>
      <c r="U6922" s="508">
        <v>0.01</v>
      </c>
      <c r="V6922" s="508">
        <v>1.0999999999999999E-2</v>
      </c>
      <c r="W6922" s="508">
        <v>0.01</v>
      </c>
      <c r="X6922" s="508">
        <v>1.0999999999999999E-2</v>
      </c>
      <c r="Y6922" s="508">
        <v>0.01</v>
      </c>
      <c r="Z6922" s="508">
        <v>1.0999999999999999E-2</v>
      </c>
      <c r="AA6922" s="508">
        <v>0.01</v>
      </c>
      <c r="AB6922" s="508">
        <v>0.01</v>
      </c>
      <c r="AC6922" s="508">
        <v>0.01</v>
      </c>
      <c r="AD6922" s="508">
        <v>0.01</v>
      </c>
      <c r="AE6922" s="508">
        <v>0.01</v>
      </c>
      <c r="AF6922" s="508">
        <v>0.01</v>
      </c>
      <c r="AG6922" s="508">
        <v>0.01</v>
      </c>
      <c r="AH6922" s="508">
        <v>0.01</v>
      </c>
      <c r="AI6922" s="492">
        <v>0.01</v>
      </c>
      <c r="AJ6922" s="485"/>
    </row>
    <row r="6923" spans="2:36">
      <c r="B6923" s="136" t="s">
        <v>451</v>
      </c>
      <c r="C6923" s="132" t="s">
        <v>1376</v>
      </c>
      <c r="D6923" s="132" t="s">
        <v>1380</v>
      </c>
      <c r="E6923" s="508">
        <v>0.01</v>
      </c>
      <c r="F6923" s="508">
        <v>0.01</v>
      </c>
      <c r="G6923" s="508">
        <v>0.01</v>
      </c>
      <c r="H6923" s="508">
        <v>0.01</v>
      </c>
      <c r="I6923" s="508">
        <v>8.9999999999999993E-3</v>
      </c>
      <c r="J6923" s="508">
        <v>0.01</v>
      </c>
      <c r="K6923" s="508">
        <v>1.0999999999999999E-2</v>
      </c>
      <c r="L6923" s="508">
        <v>1.0999999999999999E-2</v>
      </c>
      <c r="M6923" s="508">
        <v>0.01</v>
      </c>
      <c r="N6923" s="508">
        <v>0.01</v>
      </c>
      <c r="O6923" s="508">
        <v>0.01</v>
      </c>
      <c r="P6923" s="508">
        <v>0.01</v>
      </c>
      <c r="Q6923" s="508">
        <v>0.01</v>
      </c>
      <c r="R6923" s="508">
        <v>1.0999999999999999E-2</v>
      </c>
      <c r="S6923" s="508">
        <v>0.01</v>
      </c>
      <c r="T6923" s="508">
        <v>0.01</v>
      </c>
      <c r="U6923" s="508">
        <v>0.01</v>
      </c>
      <c r="V6923" s="508">
        <v>1.0999999999999999E-2</v>
      </c>
      <c r="W6923" s="508">
        <v>1.0999999999999999E-2</v>
      </c>
      <c r="X6923" s="508">
        <v>1.0999999999999999E-2</v>
      </c>
      <c r="Y6923" s="508">
        <v>0.01</v>
      </c>
      <c r="Z6923" s="508">
        <v>1.0999999999999999E-2</v>
      </c>
      <c r="AA6923" s="508">
        <v>0.01</v>
      </c>
      <c r="AB6923" s="508">
        <v>1.0999999999999999E-2</v>
      </c>
      <c r="AC6923" s="508">
        <v>0.01</v>
      </c>
      <c r="AD6923" s="508">
        <v>8.9999999999999993E-3</v>
      </c>
      <c r="AE6923" s="508">
        <v>0.01</v>
      </c>
      <c r="AF6923" s="508">
        <v>0.01</v>
      </c>
      <c r="AG6923" s="508">
        <v>0.01</v>
      </c>
      <c r="AH6923" s="508">
        <v>0.01</v>
      </c>
      <c r="AI6923" s="492">
        <v>0.01</v>
      </c>
      <c r="AJ6923" s="485"/>
    </row>
    <row r="6924" spans="2:36">
      <c r="B6924" s="136" t="s">
        <v>452</v>
      </c>
      <c r="C6924" s="132" t="s">
        <v>1376</v>
      </c>
      <c r="D6924" s="132" t="s">
        <v>1380</v>
      </c>
      <c r="E6924" s="508">
        <v>8.9999999999999993E-3</v>
      </c>
      <c r="F6924" s="508">
        <v>8.0000000000000002E-3</v>
      </c>
      <c r="G6924" s="508">
        <v>8.9999999999999993E-3</v>
      </c>
      <c r="H6924" s="508">
        <v>8.9999999999999993E-3</v>
      </c>
      <c r="I6924" s="508">
        <v>8.0000000000000002E-3</v>
      </c>
      <c r="J6924" s="508">
        <v>8.9999999999999993E-3</v>
      </c>
      <c r="K6924" s="508">
        <v>8.9999999999999993E-3</v>
      </c>
      <c r="L6924" s="508">
        <v>8.9999999999999993E-3</v>
      </c>
      <c r="M6924" s="508">
        <v>8.0000000000000002E-3</v>
      </c>
      <c r="N6924" s="508">
        <v>8.9999999999999993E-3</v>
      </c>
      <c r="O6924" s="508">
        <v>8.9999999999999993E-3</v>
      </c>
      <c r="P6924" s="508">
        <v>8.9999999999999993E-3</v>
      </c>
      <c r="Q6924" s="508">
        <v>8.9999999999999993E-3</v>
      </c>
      <c r="R6924" s="508">
        <v>8.9999999999999993E-3</v>
      </c>
      <c r="S6924" s="508">
        <v>8.9999999999999993E-3</v>
      </c>
      <c r="T6924" s="508">
        <v>8.0000000000000002E-3</v>
      </c>
      <c r="U6924" s="508">
        <v>8.9999999999999993E-3</v>
      </c>
      <c r="V6924" s="508">
        <v>8.9999999999999993E-3</v>
      </c>
      <c r="W6924" s="508">
        <v>8.9999999999999993E-3</v>
      </c>
      <c r="X6924" s="508">
        <v>0.01</v>
      </c>
      <c r="Y6924" s="508">
        <v>8.9999999999999993E-3</v>
      </c>
      <c r="Z6924" s="508">
        <v>0.01</v>
      </c>
      <c r="AA6924" s="508">
        <v>8.9999999999999993E-3</v>
      </c>
      <c r="AB6924" s="508">
        <v>8.9999999999999993E-3</v>
      </c>
      <c r="AC6924" s="508">
        <v>8.9999999999999993E-3</v>
      </c>
      <c r="AD6924" s="508">
        <v>8.0000000000000002E-3</v>
      </c>
      <c r="AE6924" s="508">
        <v>8.9999999999999993E-3</v>
      </c>
      <c r="AF6924" s="508">
        <v>8.9999999999999993E-3</v>
      </c>
      <c r="AG6924" s="508">
        <v>8.9999999999999993E-3</v>
      </c>
      <c r="AH6924" s="508">
        <v>8.9999999999999993E-3</v>
      </c>
      <c r="AI6924" s="492">
        <v>8.9999999999999993E-3</v>
      </c>
      <c r="AJ6924" s="485"/>
    </row>
    <row r="6925" spans="2:36">
      <c r="B6925" s="136" t="s">
        <v>453</v>
      </c>
      <c r="C6925" s="132" t="s">
        <v>1376</v>
      </c>
      <c r="D6925" s="132" t="s">
        <v>1380</v>
      </c>
      <c r="E6925" s="508">
        <v>7.0000000000000001E-3</v>
      </c>
      <c r="F6925" s="508">
        <v>7.0000000000000001E-3</v>
      </c>
      <c r="G6925" s="508">
        <v>8.0000000000000002E-3</v>
      </c>
      <c r="H6925" s="508">
        <v>8.0000000000000002E-3</v>
      </c>
      <c r="I6925" s="508">
        <v>7.0000000000000001E-3</v>
      </c>
      <c r="J6925" s="508">
        <v>7.0000000000000001E-3</v>
      </c>
      <c r="K6925" s="508">
        <v>8.0000000000000002E-3</v>
      </c>
      <c r="L6925" s="508">
        <v>8.0000000000000002E-3</v>
      </c>
      <c r="M6925" s="508">
        <v>7.0000000000000001E-3</v>
      </c>
      <c r="N6925" s="508">
        <v>7.0000000000000001E-3</v>
      </c>
      <c r="O6925" s="508">
        <v>7.0000000000000001E-3</v>
      </c>
      <c r="P6925" s="508">
        <v>7.0000000000000001E-3</v>
      </c>
      <c r="Q6925" s="508">
        <v>8.0000000000000002E-3</v>
      </c>
      <c r="R6925" s="508">
        <v>8.0000000000000002E-3</v>
      </c>
      <c r="S6925" s="508">
        <v>8.0000000000000002E-3</v>
      </c>
      <c r="T6925" s="508">
        <v>7.0000000000000001E-3</v>
      </c>
      <c r="U6925" s="508">
        <v>7.0000000000000001E-3</v>
      </c>
      <c r="V6925" s="508">
        <v>8.0000000000000002E-3</v>
      </c>
      <c r="W6925" s="508">
        <v>8.0000000000000002E-3</v>
      </c>
      <c r="X6925" s="508">
        <v>8.0000000000000002E-3</v>
      </c>
      <c r="Y6925" s="508">
        <v>8.0000000000000002E-3</v>
      </c>
      <c r="Z6925" s="508">
        <v>8.0000000000000002E-3</v>
      </c>
      <c r="AA6925" s="508">
        <v>8.0000000000000002E-3</v>
      </c>
      <c r="AB6925" s="508">
        <v>8.0000000000000002E-3</v>
      </c>
      <c r="AC6925" s="508">
        <v>8.0000000000000002E-3</v>
      </c>
      <c r="AD6925" s="508">
        <v>7.0000000000000001E-3</v>
      </c>
      <c r="AE6925" s="508">
        <v>8.0000000000000002E-3</v>
      </c>
      <c r="AF6925" s="508">
        <v>8.0000000000000002E-3</v>
      </c>
      <c r="AG6925" s="508">
        <v>8.0000000000000002E-3</v>
      </c>
      <c r="AH6925" s="508">
        <v>8.0000000000000002E-3</v>
      </c>
      <c r="AI6925" s="492">
        <v>8.0000000000000002E-3</v>
      </c>
      <c r="AJ6925" s="485"/>
    </row>
    <row r="6926" spans="2:36">
      <c r="B6926" s="136" t="s">
        <v>454</v>
      </c>
      <c r="C6926" s="132" t="s">
        <v>1376</v>
      </c>
      <c r="D6926" s="132" t="s">
        <v>1380</v>
      </c>
      <c r="E6926" s="508">
        <v>8.0000000000000002E-3</v>
      </c>
      <c r="F6926" s="508">
        <v>7.0000000000000001E-3</v>
      </c>
      <c r="G6926" s="508">
        <v>8.0000000000000002E-3</v>
      </c>
      <c r="H6926" s="508">
        <v>8.0000000000000002E-3</v>
      </c>
      <c r="I6926" s="508">
        <v>7.0000000000000001E-3</v>
      </c>
      <c r="J6926" s="508">
        <v>8.0000000000000002E-3</v>
      </c>
      <c r="K6926" s="508">
        <v>8.0000000000000002E-3</v>
      </c>
      <c r="L6926" s="508">
        <v>8.0000000000000002E-3</v>
      </c>
      <c r="M6926" s="508">
        <v>7.0000000000000001E-3</v>
      </c>
      <c r="N6926" s="508">
        <v>8.0000000000000002E-3</v>
      </c>
      <c r="O6926" s="508">
        <v>8.0000000000000002E-3</v>
      </c>
      <c r="P6926" s="508">
        <v>8.0000000000000002E-3</v>
      </c>
      <c r="Q6926" s="508">
        <v>8.0000000000000002E-3</v>
      </c>
      <c r="R6926" s="508">
        <v>8.0000000000000002E-3</v>
      </c>
      <c r="S6926" s="508">
        <v>8.0000000000000002E-3</v>
      </c>
      <c r="T6926" s="508">
        <v>7.0000000000000001E-3</v>
      </c>
      <c r="U6926" s="508">
        <v>8.0000000000000002E-3</v>
      </c>
      <c r="V6926" s="508">
        <v>8.0000000000000002E-3</v>
      </c>
      <c r="W6926" s="508">
        <v>8.0000000000000002E-3</v>
      </c>
      <c r="X6926" s="508">
        <v>8.0000000000000002E-3</v>
      </c>
      <c r="Y6926" s="508">
        <v>8.0000000000000002E-3</v>
      </c>
      <c r="Z6926" s="508">
        <v>8.0000000000000002E-3</v>
      </c>
      <c r="AA6926" s="508">
        <v>8.0000000000000002E-3</v>
      </c>
      <c r="AB6926" s="508">
        <v>8.0000000000000002E-3</v>
      </c>
      <c r="AC6926" s="508">
        <v>8.0000000000000002E-3</v>
      </c>
      <c r="AD6926" s="508">
        <v>7.0000000000000001E-3</v>
      </c>
      <c r="AE6926" s="508">
        <v>8.0000000000000002E-3</v>
      </c>
      <c r="AF6926" s="508">
        <v>8.0000000000000002E-3</v>
      </c>
      <c r="AG6926" s="508">
        <v>8.0000000000000002E-3</v>
      </c>
      <c r="AH6926" s="508">
        <v>8.0000000000000002E-3</v>
      </c>
      <c r="AI6926" s="492">
        <v>8.0000000000000002E-3</v>
      </c>
      <c r="AJ6926" s="485"/>
    </row>
    <row r="6927" spans="2:36">
      <c r="B6927" s="136" t="s">
        <v>455</v>
      </c>
      <c r="C6927" s="132" t="s">
        <v>1376</v>
      </c>
      <c r="D6927" s="132" t="s">
        <v>1380</v>
      </c>
      <c r="E6927" s="508">
        <v>7.0000000000000001E-3</v>
      </c>
      <c r="F6927" s="508">
        <v>7.0000000000000001E-3</v>
      </c>
      <c r="G6927" s="508">
        <v>7.0000000000000001E-3</v>
      </c>
      <c r="H6927" s="508">
        <v>7.0000000000000001E-3</v>
      </c>
      <c r="I6927" s="508">
        <v>7.0000000000000001E-3</v>
      </c>
      <c r="J6927" s="508">
        <v>7.0000000000000001E-3</v>
      </c>
      <c r="K6927" s="508">
        <v>8.0000000000000002E-3</v>
      </c>
      <c r="L6927" s="508">
        <v>8.0000000000000002E-3</v>
      </c>
      <c r="M6927" s="508">
        <v>7.0000000000000001E-3</v>
      </c>
      <c r="N6927" s="508">
        <v>7.0000000000000001E-3</v>
      </c>
      <c r="O6927" s="508">
        <v>7.0000000000000001E-3</v>
      </c>
      <c r="P6927" s="508">
        <v>7.0000000000000001E-3</v>
      </c>
      <c r="Q6927" s="508">
        <v>7.0000000000000001E-3</v>
      </c>
      <c r="R6927" s="508">
        <v>7.0000000000000001E-3</v>
      </c>
      <c r="S6927" s="508">
        <v>7.0000000000000001E-3</v>
      </c>
      <c r="T6927" s="508">
        <v>7.0000000000000001E-3</v>
      </c>
      <c r="U6927" s="508">
        <v>7.0000000000000001E-3</v>
      </c>
      <c r="V6927" s="508">
        <v>8.0000000000000002E-3</v>
      </c>
      <c r="W6927" s="508">
        <v>7.0000000000000001E-3</v>
      </c>
      <c r="X6927" s="508">
        <v>8.0000000000000002E-3</v>
      </c>
      <c r="Y6927" s="508">
        <v>7.0000000000000001E-3</v>
      </c>
      <c r="Z6927" s="508">
        <v>8.0000000000000002E-3</v>
      </c>
      <c r="AA6927" s="508">
        <v>7.0000000000000001E-3</v>
      </c>
      <c r="AB6927" s="508">
        <v>7.0000000000000001E-3</v>
      </c>
      <c r="AC6927" s="508">
        <v>7.0000000000000001E-3</v>
      </c>
      <c r="AD6927" s="508">
        <v>7.0000000000000001E-3</v>
      </c>
      <c r="AE6927" s="508">
        <v>7.0000000000000001E-3</v>
      </c>
      <c r="AF6927" s="508">
        <v>7.0000000000000001E-3</v>
      </c>
      <c r="AG6927" s="508">
        <v>7.0000000000000001E-3</v>
      </c>
      <c r="AH6927" s="508">
        <v>7.0000000000000001E-3</v>
      </c>
      <c r="AI6927" s="492">
        <v>7.0000000000000001E-3</v>
      </c>
      <c r="AJ6927" s="485"/>
    </row>
    <row r="6928" spans="2:36">
      <c r="B6928" s="136" t="s">
        <v>456</v>
      </c>
      <c r="C6928" s="132" t="s">
        <v>1376</v>
      </c>
      <c r="D6928" s="132" t="s">
        <v>1380</v>
      </c>
      <c r="E6928" s="508">
        <v>8.0000000000000002E-3</v>
      </c>
      <c r="F6928" s="508">
        <v>8.0000000000000002E-3</v>
      </c>
      <c r="G6928" s="508">
        <v>8.0000000000000002E-3</v>
      </c>
      <c r="H6928" s="508">
        <v>8.0000000000000002E-3</v>
      </c>
      <c r="I6928" s="508">
        <v>8.0000000000000002E-3</v>
      </c>
      <c r="J6928" s="508">
        <v>8.0000000000000002E-3</v>
      </c>
      <c r="K6928" s="508">
        <v>8.9999999999999993E-3</v>
      </c>
      <c r="L6928" s="508">
        <v>8.9999999999999993E-3</v>
      </c>
      <c r="M6928" s="508">
        <v>8.0000000000000002E-3</v>
      </c>
      <c r="N6928" s="508">
        <v>8.0000000000000002E-3</v>
      </c>
      <c r="O6928" s="508">
        <v>8.0000000000000002E-3</v>
      </c>
      <c r="P6928" s="508">
        <v>8.0000000000000002E-3</v>
      </c>
      <c r="Q6928" s="508">
        <v>8.0000000000000002E-3</v>
      </c>
      <c r="R6928" s="508">
        <v>8.0000000000000002E-3</v>
      </c>
      <c r="S6928" s="508">
        <v>8.0000000000000002E-3</v>
      </c>
      <c r="T6928" s="508">
        <v>8.0000000000000002E-3</v>
      </c>
      <c r="U6928" s="508">
        <v>8.0000000000000002E-3</v>
      </c>
      <c r="V6928" s="508">
        <v>8.9999999999999993E-3</v>
      </c>
      <c r="W6928" s="508">
        <v>8.0000000000000002E-3</v>
      </c>
      <c r="X6928" s="508">
        <v>8.9999999999999993E-3</v>
      </c>
      <c r="Y6928" s="508">
        <v>8.0000000000000002E-3</v>
      </c>
      <c r="Z6928" s="508">
        <v>8.9999999999999993E-3</v>
      </c>
      <c r="AA6928" s="508">
        <v>8.0000000000000002E-3</v>
      </c>
      <c r="AB6928" s="508">
        <v>8.0000000000000002E-3</v>
      </c>
      <c r="AC6928" s="508">
        <v>8.0000000000000002E-3</v>
      </c>
      <c r="AD6928" s="508">
        <v>7.0000000000000001E-3</v>
      </c>
      <c r="AE6928" s="508">
        <v>8.0000000000000002E-3</v>
      </c>
      <c r="AF6928" s="508">
        <v>8.0000000000000002E-3</v>
      </c>
      <c r="AG6928" s="508">
        <v>8.0000000000000002E-3</v>
      </c>
      <c r="AH6928" s="508">
        <v>8.0000000000000002E-3</v>
      </c>
      <c r="AI6928" s="492">
        <v>8.0000000000000002E-3</v>
      </c>
      <c r="AJ6928" s="485"/>
    </row>
    <row r="6929" spans="2:36">
      <c r="B6929" s="136" t="s">
        <v>457</v>
      </c>
      <c r="C6929" s="132" t="s">
        <v>1376</v>
      </c>
      <c r="D6929" s="132" t="s">
        <v>1380</v>
      </c>
      <c r="E6929" s="508">
        <v>7.0000000000000001E-3</v>
      </c>
      <c r="F6929" s="508">
        <v>7.0000000000000001E-3</v>
      </c>
      <c r="G6929" s="508">
        <v>7.0000000000000001E-3</v>
      </c>
      <c r="H6929" s="508">
        <v>7.0000000000000001E-3</v>
      </c>
      <c r="I6929" s="508">
        <v>6.0000000000000001E-3</v>
      </c>
      <c r="J6929" s="508">
        <v>7.0000000000000001E-3</v>
      </c>
      <c r="K6929" s="508">
        <v>7.0000000000000001E-3</v>
      </c>
      <c r="L6929" s="508">
        <v>7.0000000000000001E-3</v>
      </c>
      <c r="M6929" s="508">
        <v>7.0000000000000001E-3</v>
      </c>
      <c r="N6929" s="508">
        <v>7.0000000000000001E-3</v>
      </c>
      <c r="O6929" s="508">
        <v>7.0000000000000001E-3</v>
      </c>
      <c r="P6929" s="508">
        <v>7.0000000000000001E-3</v>
      </c>
      <c r="Q6929" s="508">
        <v>7.0000000000000001E-3</v>
      </c>
      <c r="R6929" s="508">
        <v>7.0000000000000001E-3</v>
      </c>
      <c r="S6929" s="508">
        <v>7.0000000000000001E-3</v>
      </c>
      <c r="T6929" s="508">
        <v>7.0000000000000001E-3</v>
      </c>
      <c r="U6929" s="508">
        <v>7.0000000000000001E-3</v>
      </c>
      <c r="V6929" s="508">
        <v>7.0000000000000001E-3</v>
      </c>
      <c r="W6929" s="508">
        <v>7.0000000000000001E-3</v>
      </c>
      <c r="X6929" s="508">
        <v>8.0000000000000002E-3</v>
      </c>
      <c r="Y6929" s="508">
        <v>7.0000000000000001E-3</v>
      </c>
      <c r="Z6929" s="508">
        <v>8.0000000000000002E-3</v>
      </c>
      <c r="AA6929" s="508">
        <v>7.0000000000000001E-3</v>
      </c>
      <c r="AB6929" s="508">
        <v>7.0000000000000001E-3</v>
      </c>
      <c r="AC6929" s="508">
        <v>7.0000000000000001E-3</v>
      </c>
      <c r="AD6929" s="508">
        <v>6.0000000000000001E-3</v>
      </c>
      <c r="AE6929" s="508">
        <v>7.0000000000000001E-3</v>
      </c>
      <c r="AF6929" s="508">
        <v>7.0000000000000001E-3</v>
      </c>
      <c r="AG6929" s="508">
        <v>7.0000000000000001E-3</v>
      </c>
      <c r="AH6929" s="508">
        <v>7.0000000000000001E-3</v>
      </c>
      <c r="AI6929" s="492">
        <v>7.0000000000000001E-3</v>
      </c>
      <c r="AJ6929" s="485"/>
    </row>
    <row r="6930" spans="2:36">
      <c r="B6930" s="136" t="s">
        <v>458</v>
      </c>
      <c r="C6930" s="132" t="s">
        <v>1376</v>
      </c>
      <c r="D6930" s="132" t="s">
        <v>1380</v>
      </c>
      <c r="E6930" s="508">
        <v>8.0000000000000002E-3</v>
      </c>
      <c r="F6930" s="508">
        <v>8.0000000000000002E-3</v>
      </c>
      <c r="G6930" s="508">
        <v>8.0000000000000002E-3</v>
      </c>
      <c r="H6930" s="508">
        <v>8.0000000000000002E-3</v>
      </c>
      <c r="I6930" s="508">
        <v>8.0000000000000002E-3</v>
      </c>
      <c r="J6930" s="508">
        <v>8.0000000000000002E-3</v>
      </c>
      <c r="K6930" s="508">
        <v>8.9999999999999993E-3</v>
      </c>
      <c r="L6930" s="508">
        <v>8.9999999999999993E-3</v>
      </c>
      <c r="M6930" s="508">
        <v>8.0000000000000002E-3</v>
      </c>
      <c r="N6930" s="508">
        <v>8.0000000000000002E-3</v>
      </c>
      <c r="O6930" s="508">
        <v>8.0000000000000002E-3</v>
      </c>
      <c r="P6930" s="508">
        <v>8.0000000000000002E-3</v>
      </c>
      <c r="Q6930" s="508">
        <v>8.0000000000000002E-3</v>
      </c>
      <c r="R6930" s="508">
        <v>8.9999999999999993E-3</v>
      </c>
      <c r="S6930" s="508">
        <v>8.0000000000000002E-3</v>
      </c>
      <c r="T6930" s="508">
        <v>8.0000000000000002E-3</v>
      </c>
      <c r="U6930" s="508">
        <v>8.0000000000000002E-3</v>
      </c>
      <c r="V6930" s="508">
        <v>8.9999999999999993E-3</v>
      </c>
      <c r="W6930" s="508">
        <v>8.9999999999999993E-3</v>
      </c>
      <c r="X6930" s="508">
        <v>8.9999999999999993E-3</v>
      </c>
      <c r="Y6930" s="508">
        <v>8.0000000000000002E-3</v>
      </c>
      <c r="Z6930" s="508">
        <v>8.9999999999999993E-3</v>
      </c>
      <c r="AA6930" s="508">
        <v>8.0000000000000002E-3</v>
      </c>
      <c r="AB6930" s="508">
        <v>8.9999999999999993E-3</v>
      </c>
      <c r="AC6930" s="508">
        <v>8.0000000000000002E-3</v>
      </c>
      <c r="AD6930" s="508">
        <v>8.0000000000000002E-3</v>
      </c>
      <c r="AE6930" s="508">
        <v>8.0000000000000002E-3</v>
      </c>
      <c r="AF6930" s="508">
        <v>8.0000000000000002E-3</v>
      </c>
      <c r="AG6930" s="508">
        <v>8.0000000000000002E-3</v>
      </c>
      <c r="AH6930" s="508">
        <v>8.0000000000000002E-3</v>
      </c>
      <c r="AI6930" s="492">
        <v>8.0000000000000002E-3</v>
      </c>
      <c r="AJ6930" s="485"/>
    </row>
    <row r="6931" spans="2:36">
      <c r="B6931" s="136" t="s">
        <v>459</v>
      </c>
      <c r="C6931" s="132" t="s">
        <v>1376</v>
      </c>
      <c r="D6931" s="132" t="s">
        <v>1380</v>
      </c>
      <c r="E6931" s="508">
        <v>8.0000000000000002E-3</v>
      </c>
      <c r="F6931" s="508">
        <v>8.0000000000000002E-3</v>
      </c>
      <c r="G6931" s="508">
        <v>8.0000000000000002E-3</v>
      </c>
      <c r="H6931" s="508">
        <v>8.0000000000000002E-3</v>
      </c>
      <c r="I6931" s="508">
        <v>8.0000000000000002E-3</v>
      </c>
      <c r="J6931" s="508">
        <v>8.0000000000000002E-3</v>
      </c>
      <c r="K6931" s="508">
        <v>8.9999999999999993E-3</v>
      </c>
      <c r="L6931" s="508">
        <v>8.9999999999999993E-3</v>
      </c>
      <c r="M6931" s="508">
        <v>8.0000000000000002E-3</v>
      </c>
      <c r="N6931" s="508">
        <v>8.0000000000000002E-3</v>
      </c>
      <c r="O6931" s="508">
        <v>8.0000000000000002E-3</v>
      </c>
      <c r="P6931" s="508">
        <v>8.0000000000000002E-3</v>
      </c>
      <c r="Q6931" s="508">
        <v>8.0000000000000002E-3</v>
      </c>
      <c r="R6931" s="508">
        <v>8.9999999999999993E-3</v>
      </c>
      <c r="S6931" s="508">
        <v>8.0000000000000002E-3</v>
      </c>
      <c r="T6931" s="508">
        <v>8.0000000000000002E-3</v>
      </c>
      <c r="U6931" s="508">
        <v>8.0000000000000002E-3</v>
      </c>
      <c r="V6931" s="508">
        <v>8.9999999999999993E-3</v>
      </c>
      <c r="W6931" s="508">
        <v>8.9999999999999993E-3</v>
      </c>
      <c r="X6931" s="508">
        <v>8.9999999999999993E-3</v>
      </c>
      <c r="Y6931" s="508">
        <v>8.0000000000000002E-3</v>
      </c>
      <c r="Z6931" s="508">
        <v>8.9999999999999993E-3</v>
      </c>
      <c r="AA6931" s="508">
        <v>8.0000000000000002E-3</v>
      </c>
      <c r="AB6931" s="508">
        <v>8.9999999999999993E-3</v>
      </c>
      <c r="AC6931" s="508">
        <v>8.0000000000000002E-3</v>
      </c>
      <c r="AD6931" s="508">
        <v>8.0000000000000002E-3</v>
      </c>
      <c r="AE6931" s="508">
        <v>8.0000000000000002E-3</v>
      </c>
      <c r="AF6931" s="508">
        <v>8.0000000000000002E-3</v>
      </c>
      <c r="AG6931" s="508">
        <v>8.0000000000000002E-3</v>
      </c>
      <c r="AH6931" s="508">
        <v>8.0000000000000002E-3</v>
      </c>
      <c r="AI6931" s="492">
        <v>8.0000000000000002E-3</v>
      </c>
      <c r="AJ6931" s="485"/>
    </row>
    <row r="6932" spans="2:36">
      <c r="B6932" s="136" t="s">
        <v>460</v>
      </c>
      <c r="C6932" s="132" t="s">
        <v>1376</v>
      </c>
      <c r="D6932" s="132" t="s">
        <v>1380</v>
      </c>
      <c r="E6932" s="508">
        <v>8.0000000000000002E-3</v>
      </c>
      <c r="F6932" s="508">
        <v>8.0000000000000002E-3</v>
      </c>
      <c r="G6932" s="508">
        <v>8.0000000000000002E-3</v>
      </c>
      <c r="H6932" s="508">
        <v>8.0000000000000002E-3</v>
      </c>
      <c r="I6932" s="508">
        <v>8.0000000000000002E-3</v>
      </c>
      <c r="J6932" s="508">
        <v>8.0000000000000002E-3</v>
      </c>
      <c r="K6932" s="508">
        <v>8.9999999999999993E-3</v>
      </c>
      <c r="L6932" s="508">
        <v>8.9999999999999993E-3</v>
      </c>
      <c r="M6932" s="508">
        <v>8.0000000000000002E-3</v>
      </c>
      <c r="N6932" s="508">
        <v>8.0000000000000002E-3</v>
      </c>
      <c r="O6932" s="508">
        <v>8.0000000000000002E-3</v>
      </c>
      <c r="P6932" s="508">
        <v>8.0000000000000002E-3</v>
      </c>
      <c r="Q6932" s="508">
        <v>8.9999999999999993E-3</v>
      </c>
      <c r="R6932" s="508">
        <v>8.9999999999999993E-3</v>
      </c>
      <c r="S6932" s="508">
        <v>8.0000000000000002E-3</v>
      </c>
      <c r="T6932" s="508">
        <v>8.0000000000000002E-3</v>
      </c>
      <c r="U6932" s="508">
        <v>8.0000000000000002E-3</v>
      </c>
      <c r="V6932" s="508">
        <v>8.9999999999999993E-3</v>
      </c>
      <c r="W6932" s="508">
        <v>8.9999999999999993E-3</v>
      </c>
      <c r="X6932" s="508">
        <v>8.9999999999999993E-3</v>
      </c>
      <c r="Y6932" s="508">
        <v>8.9999999999999993E-3</v>
      </c>
      <c r="Z6932" s="508">
        <v>8.9999999999999993E-3</v>
      </c>
      <c r="AA6932" s="508">
        <v>8.9999999999999993E-3</v>
      </c>
      <c r="AB6932" s="508">
        <v>8.9999999999999993E-3</v>
      </c>
      <c r="AC6932" s="508">
        <v>8.0000000000000002E-3</v>
      </c>
      <c r="AD6932" s="508">
        <v>8.0000000000000002E-3</v>
      </c>
      <c r="AE6932" s="508">
        <v>8.9999999999999993E-3</v>
      </c>
      <c r="AF6932" s="508">
        <v>8.9999999999999993E-3</v>
      </c>
      <c r="AG6932" s="508">
        <v>8.9999999999999993E-3</v>
      </c>
      <c r="AH6932" s="508">
        <v>8.9999999999999993E-3</v>
      </c>
      <c r="AI6932" s="492">
        <v>8.9999999999999993E-3</v>
      </c>
      <c r="AJ6932" s="485"/>
    </row>
    <row r="6933" spans="2:36">
      <c r="B6933" s="136" t="s">
        <v>461</v>
      </c>
      <c r="C6933" s="132" t="s">
        <v>1376</v>
      </c>
      <c r="D6933" s="132" t="s">
        <v>1380</v>
      </c>
      <c r="E6933" s="508">
        <v>8.0000000000000002E-3</v>
      </c>
      <c r="F6933" s="508">
        <v>8.0000000000000002E-3</v>
      </c>
      <c r="G6933" s="508">
        <v>8.0000000000000002E-3</v>
      </c>
      <c r="H6933" s="508">
        <v>8.0000000000000002E-3</v>
      </c>
      <c r="I6933" s="508">
        <v>7.0000000000000001E-3</v>
      </c>
      <c r="J6933" s="508">
        <v>8.0000000000000002E-3</v>
      </c>
      <c r="K6933" s="508">
        <v>8.0000000000000002E-3</v>
      </c>
      <c r="L6933" s="508">
        <v>8.9999999999999993E-3</v>
      </c>
      <c r="M6933" s="508">
        <v>8.0000000000000002E-3</v>
      </c>
      <c r="N6933" s="508">
        <v>8.0000000000000002E-3</v>
      </c>
      <c r="O6933" s="508">
        <v>8.0000000000000002E-3</v>
      </c>
      <c r="P6933" s="508">
        <v>8.0000000000000002E-3</v>
      </c>
      <c r="Q6933" s="508">
        <v>8.0000000000000002E-3</v>
      </c>
      <c r="R6933" s="508">
        <v>8.0000000000000002E-3</v>
      </c>
      <c r="S6933" s="508">
        <v>8.0000000000000002E-3</v>
      </c>
      <c r="T6933" s="508">
        <v>8.0000000000000002E-3</v>
      </c>
      <c r="U6933" s="508">
        <v>8.0000000000000002E-3</v>
      </c>
      <c r="V6933" s="508">
        <v>8.9999999999999993E-3</v>
      </c>
      <c r="W6933" s="508">
        <v>8.0000000000000002E-3</v>
      </c>
      <c r="X6933" s="508">
        <v>8.9999999999999993E-3</v>
      </c>
      <c r="Y6933" s="508">
        <v>8.0000000000000002E-3</v>
      </c>
      <c r="Z6933" s="508">
        <v>8.9999999999999993E-3</v>
      </c>
      <c r="AA6933" s="508">
        <v>8.0000000000000002E-3</v>
      </c>
      <c r="AB6933" s="508">
        <v>8.0000000000000002E-3</v>
      </c>
      <c r="AC6933" s="508">
        <v>8.0000000000000002E-3</v>
      </c>
      <c r="AD6933" s="508">
        <v>7.0000000000000001E-3</v>
      </c>
      <c r="AE6933" s="508">
        <v>8.0000000000000002E-3</v>
      </c>
      <c r="AF6933" s="508">
        <v>8.0000000000000002E-3</v>
      </c>
      <c r="AG6933" s="508">
        <v>8.0000000000000002E-3</v>
      </c>
      <c r="AH6933" s="508">
        <v>8.0000000000000002E-3</v>
      </c>
      <c r="AI6933" s="492">
        <v>8.0000000000000002E-3</v>
      </c>
      <c r="AJ6933" s="485"/>
    </row>
    <row r="6934" spans="2:36">
      <c r="B6934" s="136" t="s">
        <v>462</v>
      </c>
      <c r="C6934" s="132" t="s">
        <v>1376</v>
      </c>
      <c r="D6934" s="132" t="s">
        <v>1380</v>
      </c>
      <c r="E6934" s="508">
        <v>8.0000000000000002E-3</v>
      </c>
      <c r="F6934" s="508">
        <v>8.0000000000000002E-3</v>
      </c>
      <c r="G6934" s="508">
        <v>8.0000000000000002E-3</v>
      </c>
      <c r="H6934" s="508">
        <v>8.0000000000000002E-3</v>
      </c>
      <c r="I6934" s="508">
        <v>7.0000000000000001E-3</v>
      </c>
      <c r="J6934" s="508">
        <v>8.0000000000000002E-3</v>
      </c>
      <c r="K6934" s="508">
        <v>8.0000000000000002E-3</v>
      </c>
      <c r="L6934" s="508">
        <v>8.0000000000000002E-3</v>
      </c>
      <c r="M6934" s="508">
        <v>8.0000000000000002E-3</v>
      </c>
      <c r="N6934" s="508">
        <v>8.0000000000000002E-3</v>
      </c>
      <c r="O6934" s="508">
        <v>8.0000000000000002E-3</v>
      </c>
      <c r="P6934" s="508">
        <v>8.0000000000000002E-3</v>
      </c>
      <c r="Q6934" s="508">
        <v>8.0000000000000002E-3</v>
      </c>
      <c r="R6934" s="508">
        <v>8.0000000000000002E-3</v>
      </c>
      <c r="S6934" s="508">
        <v>8.0000000000000002E-3</v>
      </c>
      <c r="T6934" s="508">
        <v>7.0000000000000001E-3</v>
      </c>
      <c r="U6934" s="508">
        <v>8.0000000000000002E-3</v>
      </c>
      <c r="V6934" s="508">
        <v>8.0000000000000002E-3</v>
      </c>
      <c r="W6934" s="508">
        <v>8.0000000000000002E-3</v>
      </c>
      <c r="X6934" s="508">
        <v>8.9999999999999993E-3</v>
      </c>
      <c r="Y6934" s="508">
        <v>8.0000000000000002E-3</v>
      </c>
      <c r="Z6934" s="508">
        <v>8.0000000000000002E-3</v>
      </c>
      <c r="AA6934" s="508">
        <v>8.0000000000000002E-3</v>
      </c>
      <c r="AB6934" s="508">
        <v>8.0000000000000002E-3</v>
      </c>
      <c r="AC6934" s="508">
        <v>8.0000000000000002E-3</v>
      </c>
      <c r="AD6934" s="508">
        <v>7.0000000000000001E-3</v>
      </c>
      <c r="AE6934" s="508">
        <v>8.0000000000000002E-3</v>
      </c>
      <c r="AF6934" s="508">
        <v>8.0000000000000002E-3</v>
      </c>
      <c r="AG6934" s="508">
        <v>8.0000000000000002E-3</v>
      </c>
      <c r="AH6934" s="508">
        <v>8.0000000000000002E-3</v>
      </c>
      <c r="AI6934" s="492">
        <v>8.0000000000000002E-3</v>
      </c>
      <c r="AJ6934" s="485"/>
    </row>
    <row r="6935" spans="2:36">
      <c r="B6935" s="136" t="s">
        <v>463</v>
      </c>
      <c r="C6935" s="132" t="s">
        <v>1376</v>
      </c>
      <c r="D6935" s="132" t="s">
        <v>1380</v>
      </c>
      <c r="E6935" s="508">
        <v>7.0000000000000001E-3</v>
      </c>
      <c r="F6935" s="508">
        <v>7.0000000000000001E-3</v>
      </c>
      <c r="G6935" s="508">
        <v>7.0000000000000001E-3</v>
      </c>
      <c r="H6935" s="508">
        <v>7.0000000000000001E-3</v>
      </c>
      <c r="I6935" s="508">
        <v>7.0000000000000001E-3</v>
      </c>
      <c r="J6935" s="508">
        <v>7.0000000000000001E-3</v>
      </c>
      <c r="K6935" s="508">
        <v>7.0000000000000001E-3</v>
      </c>
      <c r="L6935" s="508">
        <v>8.0000000000000002E-3</v>
      </c>
      <c r="M6935" s="508">
        <v>7.0000000000000001E-3</v>
      </c>
      <c r="N6935" s="508">
        <v>7.0000000000000001E-3</v>
      </c>
      <c r="O6935" s="508">
        <v>7.0000000000000001E-3</v>
      </c>
      <c r="P6935" s="508">
        <v>7.0000000000000001E-3</v>
      </c>
      <c r="Q6935" s="508">
        <v>7.0000000000000001E-3</v>
      </c>
      <c r="R6935" s="508">
        <v>7.0000000000000001E-3</v>
      </c>
      <c r="S6935" s="508">
        <v>7.0000000000000001E-3</v>
      </c>
      <c r="T6935" s="508">
        <v>7.0000000000000001E-3</v>
      </c>
      <c r="U6935" s="508">
        <v>7.0000000000000001E-3</v>
      </c>
      <c r="V6935" s="508">
        <v>8.0000000000000002E-3</v>
      </c>
      <c r="W6935" s="508">
        <v>7.0000000000000001E-3</v>
      </c>
      <c r="X6935" s="508">
        <v>8.0000000000000002E-3</v>
      </c>
      <c r="Y6935" s="508">
        <v>7.0000000000000001E-3</v>
      </c>
      <c r="Z6935" s="508">
        <v>8.0000000000000002E-3</v>
      </c>
      <c r="AA6935" s="508">
        <v>7.0000000000000001E-3</v>
      </c>
      <c r="AB6935" s="508">
        <v>7.0000000000000001E-3</v>
      </c>
      <c r="AC6935" s="508">
        <v>7.0000000000000001E-3</v>
      </c>
      <c r="AD6935" s="508">
        <v>7.0000000000000001E-3</v>
      </c>
      <c r="AE6935" s="508">
        <v>7.0000000000000001E-3</v>
      </c>
      <c r="AF6935" s="508">
        <v>7.0000000000000001E-3</v>
      </c>
      <c r="AG6935" s="508">
        <v>7.0000000000000001E-3</v>
      </c>
      <c r="AH6935" s="508">
        <v>7.0000000000000001E-3</v>
      </c>
      <c r="AI6935" s="492">
        <v>7.0000000000000001E-3</v>
      </c>
      <c r="AJ6935" s="485"/>
    </row>
    <row r="6936" spans="2:36">
      <c r="B6936" s="136" t="s">
        <v>464</v>
      </c>
      <c r="C6936" s="132" t="s">
        <v>1376</v>
      </c>
      <c r="D6936" s="132" t="s">
        <v>1380</v>
      </c>
      <c r="E6936" s="508">
        <v>7.0000000000000001E-3</v>
      </c>
      <c r="F6936" s="508">
        <v>7.0000000000000001E-3</v>
      </c>
      <c r="G6936" s="508">
        <v>7.0000000000000001E-3</v>
      </c>
      <c r="H6936" s="508">
        <v>7.0000000000000001E-3</v>
      </c>
      <c r="I6936" s="508">
        <v>6.0000000000000001E-3</v>
      </c>
      <c r="J6936" s="508">
        <v>7.0000000000000001E-3</v>
      </c>
      <c r="K6936" s="508">
        <v>7.0000000000000001E-3</v>
      </c>
      <c r="L6936" s="508">
        <v>7.0000000000000001E-3</v>
      </c>
      <c r="M6936" s="508">
        <v>7.0000000000000001E-3</v>
      </c>
      <c r="N6936" s="508">
        <v>7.0000000000000001E-3</v>
      </c>
      <c r="O6936" s="508">
        <v>7.0000000000000001E-3</v>
      </c>
      <c r="P6936" s="508">
        <v>7.0000000000000001E-3</v>
      </c>
      <c r="Q6936" s="508">
        <v>7.0000000000000001E-3</v>
      </c>
      <c r="R6936" s="508">
        <v>7.0000000000000001E-3</v>
      </c>
      <c r="S6936" s="508">
        <v>7.0000000000000001E-3</v>
      </c>
      <c r="T6936" s="508">
        <v>7.0000000000000001E-3</v>
      </c>
      <c r="U6936" s="508">
        <v>7.0000000000000001E-3</v>
      </c>
      <c r="V6936" s="508">
        <v>7.0000000000000001E-3</v>
      </c>
      <c r="W6936" s="508">
        <v>7.0000000000000001E-3</v>
      </c>
      <c r="X6936" s="508">
        <v>8.0000000000000002E-3</v>
      </c>
      <c r="Y6936" s="508">
        <v>7.0000000000000001E-3</v>
      </c>
      <c r="Z6936" s="508">
        <v>7.0000000000000001E-3</v>
      </c>
      <c r="AA6936" s="508">
        <v>7.0000000000000001E-3</v>
      </c>
      <c r="AB6936" s="508">
        <v>7.0000000000000001E-3</v>
      </c>
      <c r="AC6936" s="508">
        <v>7.0000000000000001E-3</v>
      </c>
      <c r="AD6936" s="508">
        <v>6.0000000000000001E-3</v>
      </c>
      <c r="AE6936" s="508">
        <v>7.0000000000000001E-3</v>
      </c>
      <c r="AF6936" s="508">
        <v>7.0000000000000001E-3</v>
      </c>
      <c r="AG6936" s="508">
        <v>7.0000000000000001E-3</v>
      </c>
      <c r="AH6936" s="508">
        <v>7.0000000000000001E-3</v>
      </c>
      <c r="AI6936" s="492">
        <v>7.0000000000000001E-3</v>
      </c>
      <c r="AJ6936" s="485"/>
    </row>
    <row r="6937" spans="2:36">
      <c r="B6937" s="136" t="s">
        <v>465</v>
      </c>
      <c r="C6937" s="132" t="s">
        <v>1376</v>
      </c>
      <c r="D6937" s="132" t="s">
        <v>1380</v>
      </c>
      <c r="E6937" s="508">
        <v>7.0000000000000001E-3</v>
      </c>
      <c r="F6937" s="508">
        <v>7.0000000000000001E-3</v>
      </c>
      <c r="G6937" s="508">
        <v>7.0000000000000001E-3</v>
      </c>
      <c r="H6937" s="508">
        <v>7.0000000000000001E-3</v>
      </c>
      <c r="I6937" s="508">
        <v>7.0000000000000001E-3</v>
      </c>
      <c r="J6937" s="508">
        <v>7.0000000000000001E-3</v>
      </c>
      <c r="K6937" s="508">
        <v>8.0000000000000002E-3</v>
      </c>
      <c r="L6937" s="508">
        <v>8.0000000000000002E-3</v>
      </c>
      <c r="M6937" s="508">
        <v>7.0000000000000001E-3</v>
      </c>
      <c r="N6937" s="508">
        <v>7.0000000000000001E-3</v>
      </c>
      <c r="O6937" s="508">
        <v>7.0000000000000001E-3</v>
      </c>
      <c r="P6937" s="508">
        <v>7.0000000000000001E-3</v>
      </c>
      <c r="Q6937" s="508">
        <v>7.0000000000000001E-3</v>
      </c>
      <c r="R6937" s="508">
        <v>8.0000000000000002E-3</v>
      </c>
      <c r="S6937" s="508">
        <v>7.0000000000000001E-3</v>
      </c>
      <c r="T6937" s="508">
        <v>7.0000000000000001E-3</v>
      </c>
      <c r="U6937" s="508">
        <v>7.0000000000000001E-3</v>
      </c>
      <c r="V6937" s="508">
        <v>8.0000000000000002E-3</v>
      </c>
      <c r="W6937" s="508">
        <v>8.0000000000000002E-3</v>
      </c>
      <c r="X6937" s="508">
        <v>8.0000000000000002E-3</v>
      </c>
      <c r="Y6937" s="508">
        <v>7.0000000000000001E-3</v>
      </c>
      <c r="Z6937" s="508">
        <v>8.0000000000000002E-3</v>
      </c>
      <c r="AA6937" s="508">
        <v>7.0000000000000001E-3</v>
      </c>
      <c r="AB6937" s="508">
        <v>8.0000000000000002E-3</v>
      </c>
      <c r="AC6937" s="508">
        <v>7.0000000000000001E-3</v>
      </c>
      <c r="AD6937" s="508">
        <v>7.0000000000000001E-3</v>
      </c>
      <c r="AE6937" s="508">
        <v>7.0000000000000001E-3</v>
      </c>
      <c r="AF6937" s="508">
        <v>7.0000000000000001E-3</v>
      </c>
      <c r="AG6937" s="508">
        <v>7.0000000000000001E-3</v>
      </c>
      <c r="AH6937" s="508">
        <v>7.0000000000000001E-3</v>
      </c>
      <c r="AI6937" s="492">
        <v>7.0000000000000001E-3</v>
      </c>
      <c r="AJ6937" s="485"/>
    </row>
    <row r="6938" spans="2:36">
      <c r="B6938" s="136" t="s">
        <v>466</v>
      </c>
      <c r="C6938" s="132" t="s">
        <v>1376</v>
      </c>
      <c r="D6938" s="132" t="s">
        <v>1380</v>
      </c>
      <c r="E6938" s="508">
        <v>8.9999999999999993E-3</v>
      </c>
      <c r="F6938" s="508">
        <v>8.9999999999999993E-3</v>
      </c>
      <c r="G6938" s="508">
        <v>8.9999999999999993E-3</v>
      </c>
      <c r="H6938" s="508">
        <v>8.9999999999999993E-3</v>
      </c>
      <c r="I6938" s="508">
        <v>8.9999999999999993E-3</v>
      </c>
      <c r="J6938" s="508">
        <v>8.9999999999999993E-3</v>
      </c>
      <c r="K6938" s="508">
        <v>0.01</v>
      </c>
      <c r="L6938" s="508">
        <v>0.01</v>
      </c>
      <c r="M6938" s="508">
        <v>8.9999999999999993E-3</v>
      </c>
      <c r="N6938" s="508">
        <v>8.9999999999999993E-3</v>
      </c>
      <c r="O6938" s="508">
        <v>8.9999999999999993E-3</v>
      </c>
      <c r="P6938" s="508">
        <v>8.9999999999999993E-3</v>
      </c>
      <c r="Q6938" s="508">
        <v>8.9999999999999993E-3</v>
      </c>
      <c r="R6938" s="508">
        <v>0.01</v>
      </c>
      <c r="S6938" s="508">
        <v>8.9999999999999993E-3</v>
      </c>
      <c r="T6938" s="508">
        <v>8.9999999999999993E-3</v>
      </c>
      <c r="U6938" s="508">
        <v>8.9999999999999993E-3</v>
      </c>
      <c r="V6938" s="508">
        <v>0.01</v>
      </c>
      <c r="W6938" s="508">
        <v>0.01</v>
      </c>
      <c r="X6938" s="508">
        <v>0.01</v>
      </c>
      <c r="Y6938" s="508">
        <v>0.01</v>
      </c>
      <c r="Z6938" s="508">
        <v>0.01</v>
      </c>
      <c r="AA6938" s="508">
        <v>0.01</v>
      </c>
      <c r="AB6938" s="508">
        <v>0.01</v>
      </c>
      <c r="AC6938" s="508">
        <v>8.9999999999999993E-3</v>
      </c>
      <c r="AD6938" s="508">
        <v>8.9999999999999993E-3</v>
      </c>
      <c r="AE6938" s="508">
        <v>8.9999999999999993E-3</v>
      </c>
      <c r="AF6938" s="508">
        <v>8.9999999999999993E-3</v>
      </c>
      <c r="AG6938" s="508">
        <v>8.9999999999999993E-3</v>
      </c>
      <c r="AH6938" s="508">
        <v>8.9999999999999993E-3</v>
      </c>
      <c r="AI6938" s="492">
        <v>8.9999999999999993E-3</v>
      </c>
      <c r="AJ6938" s="485"/>
    </row>
    <row r="6939" spans="2:36">
      <c r="B6939" s="136" t="s">
        <v>467</v>
      </c>
      <c r="C6939" s="132" t="s">
        <v>1376</v>
      </c>
      <c r="D6939" s="132" t="s">
        <v>1380</v>
      </c>
      <c r="E6939" s="508">
        <v>8.0000000000000002E-3</v>
      </c>
      <c r="F6939" s="508">
        <v>8.0000000000000002E-3</v>
      </c>
      <c r="G6939" s="508">
        <v>8.0000000000000002E-3</v>
      </c>
      <c r="H6939" s="508">
        <v>8.0000000000000002E-3</v>
      </c>
      <c r="I6939" s="508">
        <v>7.0000000000000001E-3</v>
      </c>
      <c r="J6939" s="508">
        <v>8.0000000000000002E-3</v>
      </c>
      <c r="K6939" s="508">
        <v>8.0000000000000002E-3</v>
      </c>
      <c r="L6939" s="508">
        <v>8.9999999999999993E-3</v>
      </c>
      <c r="M6939" s="508">
        <v>8.0000000000000002E-3</v>
      </c>
      <c r="N6939" s="508">
        <v>8.0000000000000002E-3</v>
      </c>
      <c r="O6939" s="508">
        <v>8.0000000000000002E-3</v>
      </c>
      <c r="P6939" s="508">
        <v>8.0000000000000002E-3</v>
      </c>
      <c r="Q6939" s="508">
        <v>8.0000000000000002E-3</v>
      </c>
      <c r="R6939" s="508">
        <v>8.0000000000000002E-3</v>
      </c>
      <c r="S6939" s="508">
        <v>8.0000000000000002E-3</v>
      </c>
      <c r="T6939" s="508">
        <v>7.0000000000000001E-3</v>
      </c>
      <c r="U6939" s="508">
        <v>8.0000000000000002E-3</v>
      </c>
      <c r="V6939" s="508">
        <v>8.0000000000000002E-3</v>
      </c>
      <c r="W6939" s="508">
        <v>8.0000000000000002E-3</v>
      </c>
      <c r="X6939" s="508">
        <v>8.9999999999999993E-3</v>
      </c>
      <c r="Y6939" s="508">
        <v>8.0000000000000002E-3</v>
      </c>
      <c r="Z6939" s="508">
        <v>8.9999999999999993E-3</v>
      </c>
      <c r="AA6939" s="508">
        <v>8.0000000000000002E-3</v>
      </c>
      <c r="AB6939" s="508">
        <v>8.0000000000000002E-3</v>
      </c>
      <c r="AC6939" s="508">
        <v>8.0000000000000002E-3</v>
      </c>
      <c r="AD6939" s="508">
        <v>7.0000000000000001E-3</v>
      </c>
      <c r="AE6939" s="508">
        <v>8.0000000000000002E-3</v>
      </c>
      <c r="AF6939" s="508">
        <v>8.0000000000000002E-3</v>
      </c>
      <c r="AG6939" s="508">
        <v>8.0000000000000002E-3</v>
      </c>
      <c r="AH6939" s="508">
        <v>8.0000000000000002E-3</v>
      </c>
      <c r="AI6939" s="492">
        <v>8.0000000000000002E-3</v>
      </c>
      <c r="AJ6939" s="485"/>
    </row>
    <row r="6940" spans="2:36">
      <c r="B6940" s="136" t="s">
        <v>468</v>
      </c>
      <c r="C6940" s="132" t="s">
        <v>1376</v>
      </c>
      <c r="D6940" s="132" t="s">
        <v>1380</v>
      </c>
      <c r="E6940" s="508">
        <v>7.0000000000000001E-3</v>
      </c>
      <c r="F6940" s="508">
        <v>6.0000000000000001E-3</v>
      </c>
      <c r="G6940" s="508">
        <v>7.0000000000000001E-3</v>
      </c>
      <c r="H6940" s="508">
        <v>7.0000000000000001E-3</v>
      </c>
      <c r="I6940" s="508">
        <v>6.0000000000000001E-3</v>
      </c>
      <c r="J6940" s="508">
        <v>7.0000000000000001E-3</v>
      </c>
      <c r="K6940" s="508">
        <v>7.0000000000000001E-3</v>
      </c>
      <c r="L6940" s="508">
        <v>7.0000000000000001E-3</v>
      </c>
      <c r="M6940" s="508">
        <v>6.0000000000000001E-3</v>
      </c>
      <c r="N6940" s="508">
        <v>7.0000000000000001E-3</v>
      </c>
      <c r="O6940" s="508">
        <v>7.0000000000000001E-3</v>
      </c>
      <c r="P6940" s="508">
        <v>7.0000000000000001E-3</v>
      </c>
      <c r="Q6940" s="508">
        <v>7.0000000000000001E-3</v>
      </c>
      <c r="R6940" s="508">
        <v>7.0000000000000001E-3</v>
      </c>
      <c r="S6940" s="508">
        <v>7.0000000000000001E-3</v>
      </c>
      <c r="T6940" s="508">
        <v>6.0000000000000001E-3</v>
      </c>
      <c r="U6940" s="508">
        <v>7.0000000000000001E-3</v>
      </c>
      <c r="V6940" s="508">
        <v>7.0000000000000001E-3</v>
      </c>
      <c r="W6940" s="508">
        <v>7.0000000000000001E-3</v>
      </c>
      <c r="X6940" s="508">
        <v>7.0000000000000001E-3</v>
      </c>
      <c r="Y6940" s="508">
        <v>7.0000000000000001E-3</v>
      </c>
      <c r="Z6940" s="508">
        <v>7.0000000000000001E-3</v>
      </c>
      <c r="AA6940" s="508">
        <v>7.0000000000000001E-3</v>
      </c>
      <c r="AB6940" s="508">
        <v>7.0000000000000001E-3</v>
      </c>
      <c r="AC6940" s="508">
        <v>7.0000000000000001E-3</v>
      </c>
      <c r="AD6940" s="508">
        <v>6.0000000000000001E-3</v>
      </c>
      <c r="AE6940" s="508">
        <v>7.0000000000000001E-3</v>
      </c>
      <c r="AF6940" s="508">
        <v>7.0000000000000001E-3</v>
      </c>
      <c r="AG6940" s="508">
        <v>7.0000000000000001E-3</v>
      </c>
      <c r="AH6940" s="508">
        <v>7.0000000000000001E-3</v>
      </c>
      <c r="AI6940" s="492">
        <v>7.0000000000000001E-3</v>
      </c>
      <c r="AJ6940" s="485"/>
    </row>
    <row r="6941" spans="2:36">
      <c r="B6941" s="136" t="s">
        <v>469</v>
      </c>
      <c r="C6941" s="132" t="s">
        <v>1376</v>
      </c>
      <c r="D6941" s="132" t="s">
        <v>1380</v>
      </c>
      <c r="E6941" s="508">
        <v>7.0000000000000001E-3</v>
      </c>
      <c r="F6941" s="508">
        <v>7.0000000000000001E-3</v>
      </c>
      <c r="G6941" s="508">
        <v>8.0000000000000002E-3</v>
      </c>
      <c r="H6941" s="508">
        <v>8.0000000000000002E-3</v>
      </c>
      <c r="I6941" s="508">
        <v>7.0000000000000001E-3</v>
      </c>
      <c r="J6941" s="508">
        <v>7.0000000000000001E-3</v>
      </c>
      <c r="K6941" s="508">
        <v>8.0000000000000002E-3</v>
      </c>
      <c r="L6941" s="508">
        <v>8.0000000000000002E-3</v>
      </c>
      <c r="M6941" s="508">
        <v>7.0000000000000001E-3</v>
      </c>
      <c r="N6941" s="508">
        <v>7.0000000000000001E-3</v>
      </c>
      <c r="O6941" s="508">
        <v>7.0000000000000001E-3</v>
      </c>
      <c r="P6941" s="508">
        <v>7.0000000000000001E-3</v>
      </c>
      <c r="Q6941" s="508">
        <v>8.0000000000000002E-3</v>
      </c>
      <c r="R6941" s="508">
        <v>8.0000000000000002E-3</v>
      </c>
      <c r="S6941" s="508">
        <v>8.0000000000000002E-3</v>
      </c>
      <c r="T6941" s="508">
        <v>7.0000000000000001E-3</v>
      </c>
      <c r="U6941" s="508">
        <v>7.0000000000000001E-3</v>
      </c>
      <c r="V6941" s="508">
        <v>8.0000000000000002E-3</v>
      </c>
      <c r="W6941" s="508">
        <v>8.0000000000000002E-3</v>
      </c>
      <c r="X6941" s="508">
        <v>8.0000000000000002E-3</v>
      </c>
      <c r="Y6941" s="508">
        <v>8.0000000000000002E-3</v>
      </c>
      <c r="Z6941" s="508">
        <v>8.0000000000000002E-3</v>
      </c>
      <c r="AA6941" s="508">
        <v>8.0000000000000002E-3</v>
      </c>
      <c r="AB6941" s="508">
        <v>8.0000000000000002E-3</v>
      </c>
      <c r="AC6941" s="508">
        <v>8.0000000000000002E-3</v>
      </c>
      <c r="AD6941" s="508">
        <v>7.0000000000000001E-3</v>
      </c>
      <c r="AE6941" s="508">
        <v>8.0000000000000002E-3</v>
      </c>
      <c r="AF6941" s="508">
        <v>8.0000000000000002E-3</v>
      </c>
      <c r="AG6941" s="508">
        <v>8.0000000000000002E-3</v>
      </c>
      <c r="AH6941" s="508">
        <v>8.0000000000000002E-3</v>
      </c>
      <c r="AI6941" s="492">
        <v>8.0000000000000002E-3</v>
      </c>
      <c r="AJ6941" s="485"/>
    </row>
    <row r="6942" spans="2:36">
      <c r="B6942" s="136" t="s">
        <v>470</v>
      </c>
      <c r="C6942" s="132" t="s">
        <v>1376</v>
      </c>
      <c r="D6942" s="132" t="s">
        <v>1380</v>
      </c>
      <c r="E6942" s="508">
        <v>8.9999999999999993E-3</v>
      </c>
      <c r="F6942" s="508">
        <v>8.0000000000000002E-3</v>
      </c>
      <c r="G6942" s="508">
        <v>8.9999999999999993E-3</v>
      </c>
      <c r="H6942" s="508">
        <v>8.9999999999999993E-3</v>
      </c>
      <c r="I6942" s="508">
        <v>8.0000000000000002E-3</v>
      </c>
      <c r="J6942" s="508">
        <v>8.9999999999999993E-3</v>
      </c>
      <c r="K6942" s="508">
        <v>8.9999999999999993E-3</v>
      </c>
      <c r="L6942" s="508">
        <v>8.9999999999999993E-3</v>
      </c>
      <c r="M6942" s="508">
        <v>8.0000000000000002E-3</v>
      </c>
      <c r="N6942" s="508">
        <v>8.9999999999999993E-3</v>
      </c>
      <c r="O6942" s="508">
        <v>8.9999999999999993E-3</v>
      </c>
      <c r="P6942" s="508">
        <v>8.9999999999999993E-3</v>
      </c>
      <c r="Q6942" s="508">
        <v>8.9999999999999993E-3</v>
      </c>
      <c r="R6942" s="508">
        <v>8.9999999999999993E-3</v>
      </c>
      <c r="S6942" s="508">
        <v>8.9999999999999993E-3</v>
      </c>
      <c r="T6942" s="508">
        <v>8.0000000000000002E-3</v>
      </c>
      <c r="U6942" s="508">
        <v>8.9999999999999993E-3</v>
      </c>
      <c r="V6942" s="508">
        <v>8.9999999999999993E-3</v>
      </c>
      <c r="W6942" s="508">
        <v>8.9999999999999993E-3</v>
      </c>
      <c r="X6942" s="508">
        <v>0.01</v>
      </c>
      <c r="Y6942" s="508">
        <v>8.9999999999999993E-3</v>
      </c>
      <c r="Z6942" s="508">
        <v>0.01</v>
      </c>
      <c r="AA6942" s="508">
        <v>8.9999999999999993E-3</v>
      </c>
      <c r="AB6942" s="508">
        <v>8.9999999999999993E-3</v>
      </c>
      <c r="AC6942" s="508">
        <v>8.9999999999999993E-3</v>
      </c>
      <c r="AD6942" s="508">
        <v>8.0000000000000002E-3</v>
      </c>
      <c r="AE6942" s="508">
        <v>8.9999999999999993E-3</v>
      </c>
      <c r="AF6942" s="508">
        <v>8.9999999999999993E-3</v>
      </c>
      <c r="AG6942" s="508">
        <v>8.9999999999999993E-3</v>
      </c>
      <c r="AH6942" s="508">
        <v>8.9999999999999993E-3</v>
      </c>
      <c r="AI6942" s="492">
        <v>8.9999999999999993E-3</v>
      </c>
      <c r="AJ6942" s="485"/>
    </row>
    <row r="6943" spans="2:36">
      <c r="B6943" s="136" t="s">
        <v>471</v>
      </c>
      <c r="C6943" s="132" t="s">
        <v>1376</v>
      </c>
      <c r="D6943" s="132" t="s">
        <v>1380</v>
      </c>
      <c r="E6943" s="508">
        <v>8.0000000000000002E-3</v>
      </c>
      <c r="F6943" s="508">
        <v>8.0000000000000002E-3</v>
      </c>
      <c r="G6943" s="508">
        <v>8.0000000000000002E-3</v>
      </c>
      <c r="H6943" s="508">
        <v>8.9999999999999993E-3</v>
      </c>
      <c r="I6943" s="508">
        <v>8.0000000000000002E-3</v>
      </c>
      <c r="J6943" s="508">
        <v>8.0000000000000002E-3</v>
      </c>
      <c r="K6943" s="508">
        <v>8.9999999999999993E-3</v>
      </c>
      <c r="L6943" s="508">
        <v>8.9999999999999993E-3</v>
      </c>
      <c r="M6943" s="508">
        <v>8.0000000000000002E-3</v>
      </c>
      <c r="N6943" s="508">
        <v>8.0000000000000002E-3</v>
      </c>
      <c r="O6943" s="508">
        <v>8.0000000000000002E-3</v>
      </c>
      <c r="P6943" s="508">
        <v>8.0000000000000002E-3</v>
      </c>
      <c r="Q6943" s="508">
        <v>8.9999999999999993E-3</v>
      </c>
      <c r="R6943" s="508">
        <v>8.9999999999999993E-3</v>
      </c>
      <c r="S6943" s="508">
        <v>8.0000000000000002E-3</v>
      </c>
      <c r="T6943" s="508">
        <v>8.0000000000000002E-3</v>
      </c>
      <c r="U6943" s="508">
        <v>8.0000000000000002E-3</v>
      </c>
      <c r="V6943" s="508">
        <v>8.9999999999999993E-3</v>
      </c>
      <c r="W6943" s="508">
        <v>8.9999999999999993E-3</v>
      </c>
      <c r="X6943" s="508">
        <v>8.9999999999999993E-3</v>
      </c>
      <c r="Y6943" s="508">
        <v>8.9999999999999993E-3</v>
      </c>
      <c r="Z6943" s="508">
        <v>8.9999999999999993E-3</v>
      </c>
      <c r="AA6943" s="508">
        <v>8.9999999999999993E-3</v>
      </c>
      <c r="AB6943" s="508">
        <v>8.9999999999999993E-3</v>
      </c>
      <c r="AC6943" s="508">
        <v>8.0000000000000002E-3</v>
      </c>
      <c r="AD6943" s="508">
        <v>8.0000000000000002E-3</v>
      </c>
      <c r="AE6943" s="508">
        <v>8.9999999999999993E-3</v>
      </c>
      <c r="AF6943" s="508">
        <v>8.9999999999999993E-3</v>
      </c>
      <c r="AG6943" s="508">
        <v>8.9999999999999993E-3</v>
      </c>
      <c r="AH6943" s="508">
        <v>8.9999999999999993E-3</v>
      </c>
      <c r="AI6943" s="492">
        <v>8.9999999999999993E-3</v>
      </c>
      <c r="AJ6943" s="485"/>
    </row>
    <row r="6944" spans="2:36">
      <c r="B6944" s="136" t="s">
        <v>472</v>
      </c>
      <c r="C6944" s="132" t="s">
        <v>1376</v>
      </c>
      <c r="D6944" s="132" t="s">
        <v>1380</v>
      </c>
      <c r="E6944" s="508">
        <v>7.0000000000000001E-3</v>
      </c>
      <c r="F6944" s="508">
        <v>7.0000000000000001E-3</v>
      </c>
      <c r="G6944" s="508">
        <v>7.0000000000000001E-3</v>
      </c>
      <c r="H6944" s="508">
        <v>7.0000000000000001E-3</v>
      </c>
      <c r="I6944" s="508">
        <v>7.0000000000000001E-3</v>
      </c>
      <c r="J6944" s="508">
        <v>7.0000000000000001E-3</v>
      </c>
      <c r="K6944" s="508">
        <v>7.0000000000000001E-3</v>
      </c>
      <c r="L6944" s="508">
        <v>7.0000000000000001E-3</v>
      </c>
      <c r="M6944" s="508">
        <v>7.0000000000000001E-3</v>
      </c>
      <c r="N6944" s="508">
        <v>7.0000000000000001E-3</v>
      </c>
      <c r="O6944" s="508">
        <v>7.0000000000000001E-3</v>
      </c>
      <c r="P6944" s="508">
        <v>7.0000000000000001E-3</v>
      </c>
      <c r="Q6944" s="508">
        <v>7.0000000000000001E-3</v>
      </c>
      <c r="R6944" s="508">
        <v>7.0000000000000001E-3</v>
      </c>
      <c r="S6944" s="508">
        <v>7.0000000000000001E-3</v>
      </c>
      <c r="T6944" s="508">
        <v>7.0000000000000001E-3</v>
      </c>
      <c r="U6944" s="508">
        <v>7.0000000000000001E-3</v>
      </c>
      <c r="V6944" s="508">
        <v>7.0000000000000001E-3</v>
      </c>
      <c r="W6944" s="508">
        <v>7.0000000000000001E-3</v>
      </c>
      <c r="X6944" s="508">
        <v>8.0000000000000002E-3</v>
      </c>
      <c r="Y6944" s="508">
        <v>7.0000000000000001E-3</v>
      </c>
      <c r="Z6944" s="508">
        <v>8.0000000000000002E-3</v>
      </c>
      <c r="AA6944" s="508">
        <v>7.0000000000000001E-3</v>
      </c>
      <c r="AB6944" s="508">
        <v>7.0000000000000001E-3</v>
      </c>
      <c r="AC6944" s="508">
        <v>7.0000000000000001E-3</v>
      </c>
      <c r="AD6944" s="508">
        <v>6.0000000000000001E-3</v>
      </c>
      <c r="AE6944" s="508">
        <v>7.0000000000000001E-3</v>
      </c>
      <c r="AF6944" s="508">
        <v>7.0000000000000001E-3</v>
      </c>
      <c r="AG6944" s="508">
        <v>7.0000000000000001E-3</v>
      </c>
      <c r="AH6944" s="508">
        <v>7.0000000000000001E-3</v>
      </c>
      <c r="AI6944" s="492">
        <v>7.0000000000000001E-3</v>
      </c>
      <c r="AJ6944" s="485"/>
    </row>
    <row r="6945" spans="2:36">
      <c r="B6945" s="136" t="s">
        <v>473</v>
      </c>
      <c r="C6945" s="132" t="s">
        <v>1376</v>
      </c>
      <c r="D6945" s="132" t="s">
        <v>1380</v>
      </c>
      <c r="E6945" s="508">
        <v>8.9999999999999993E-3</v>
      </c>
      <c r="F6945" s="508">
        <v>8.9999999999999993E-3</v>
      </c>
      <c r="G6945" s="508">
        <v>8.9999999999999993E-3</v>
      </c>
      <c r="H6945" s="508">
        <v>8.9999999999999993E-3</v>
      </c>
      <c r="I6945" s="508">
        <v>8.0000000000000002E-3</v>
      </c>
      <c r="J6945" s="508">
        <v>8.9999999999999993E-3</v>
      </c>
      <c r="K6945" s="508">
        <v>8.9999999999999993E-3</v>
      </c>
      <c r="L6945" s="508">
        <v>0.01</v>
      </c>
      <c r="M6945" s="508">
        <v>8.9999999999999993E-3</v>
      </c>
      <c r="N6945" s="508">
        <v>8.9999999999999993E-3</v>
      </c>
      <c r="O6945" s="508">
        <v>8.9999999999999993E-3</v>
      </c>
      <c r="P6945" s="508">
        <v>8.9999999999999993E-3</v>
      </c>
      <c r="Q6945" s="508">
        <v>8.9999999999999993E-3</v>
      </c>
      <c r="R6945" s="508">
        <v>8.9999999999999993E-3</v>
      </c>
      <c r="S6945" s="508">
        <v>8.9999999999999993E-3</v>
      </c>
      <c r="T6945" s="508">
        <v>8.0000000000000002E-3</v>
      </c>
      <c r="U6945" s="508">
        <v>8.9999999999999993E-3</v>
      </c>
      <c r="V6945" s="508">
        <v>0.01</v>
      </c>
      <c r="W6945" s="508">
        <v>8.9999999999999993E-3</v>
      </c>
      <c r="X6945" s="508">
        <v>0.01</v>
      </c>
      <c r="Y6945" s="508">
        <v>8.9999999999999993E-3</v>
      </c>
      <c r="Z6945" s="508">
        <v>0.01</v>
      </c>
      <c r="AA6945" s="508">
        <v>8.9999999999999993E-3</v>
      </c>
      <c r="AB6945" s="508">
        <v>8.9999999999999993E-3</v>
      </c>
      <c r="AC6945" s="508">
        <v>8.9999999999999993E-3</v>
      </c>
      <c r="AD6945" s="508">
        <v>8.0000000000000002E-3</v>
      </c>
      <c r="AE6945" s="508">
        <v>8.9999999999999993E-3</v>
      </c>
      <c r="AF6945" s="508">
        <v>8.9999999999999993E-3</v>
      </c>
      <c r="AG6945" s="508">
        <v>8.9999999999999993E-3</v>
      </c>
      <c r="AH6945" s="508">
        <v>8.9999999999999993E-3</v>
      </c>
      <c r="AI6945" s="492">
        <v>8.9999999999999993E-3</v>
      </c>
      <c r="AJ6945" s="485"/>
    </row>
    <row r="6946" spans="2:36">
      <c r="B6946" s="136" t="s">
        <v>474</v>
      </c>
      <c r="C6946" s="132" t="s">
        <v>1376</v>
      </c>
      <c r="D6946" s="132" t="s">
        <v>1380</v>
      </c>
      <c r="E6946" s="508">
        <v>8.0000000000000002E-3</v>
      </c>
      <c r="F6946" s="508">
        <v>8.0000000000000002E-3</v>
      </c>
      <c r="G6946" s="508">
        <v>8.0000000000000002E-3</v>
      </c>
      <c r="H6946" s="508">
        <v>8.0000000000000002E-3</v>
      </c>
      <c r="I6946" s="508">
        <v>8.0000000000000002E-3</v>
      </c>
      <c r="J6946" s="508">
        <v>8.0000000000000002E-3</v>
      </c>
      <c r="K6946" s="508">
        <v>8.9999999999999993E-3</v>
      </c>
      <c r="L6946" s="508">
        <v>8.9999999999999993E-3</v>
      </c>
      <c r="M6946" s="508">
        <v>8.0000000000000002E-3</v>
      </c>
      <c r="N6946" s="508">
        <v>8.0000000000000002E-3</v>
      </c>
      <c r="O6946" s="508">
        <v>8.0000000000000002E-3</v>
      </c>
      <c r="P6946" s="508">
        <v>8.0000000000000002E-3</v>
      </c>
      <c r="Q6946" s="508">
        <v>8.0000000000000002E-3</v>
      </c>
      <c r="R6946" s="508">
        <v>8.0000000000000002E-3</v>
      </c>
      <c r="S6946" s="508">
        <v>8.0000000000000002E-3</v>
      </c>
      <c r="T6946" s="508">
        <v>8.0000000000000002E-3</v>
      </c>
      <c r="U6946" s="508">
        <v>8.0000000000000002E-3</v>
      </c>
      <c r="V6946" s="508">
        <v>8.9999999999999993E-3</v>
      </c>
      <c r="W6946" s="508">
        <v>8.0000000000000002E-3</v>
      </c>
      <c r="X6946" s="508">
        <v>8.9999999999999993E-3</v>
      </c>
      <c r="Y6946" s="508">
        <v>8.0000000000000002E-3</v>
      </c>
      <c r="Z6946" s="508">
        <v>8.9999999999999993E-3</v>
      </c>
      <c r="AA6946" s="508">
        <v>8.0000000000000002E-3</v>
      </c>
      <c r="AB6946" s="508">
        <v>8.0000000000000002E-3</v>
      </c>
      <c r="AC6946" s="508">
        <v>8.0000000000000002E-3</v>
      </c>
      <c r="AD6946" s="508">
        <v>7.0000000000000001E-3</v>
      </c>
      <c r="AE6946" s="508">
        <v>8.0000000000000002E-3</v>
      </c>
      <c r="AF6946" s="508">
        <v>8.0000000000000002E-3</v>
      </c>
      <c r="AG6946" s="508">
        <v>8.0000000000000002E-3</v>
      </c>
      <c r="AH6946" s="508">
        <v>8.0000000000000002E-3</v>
      </c>
      <c r="AI6946" s="492">
        <v>8.0000000000000002E-3</v>
      </c>
      <c r="AJ6946" s="485"/>
    </row>
    <row r="6947" spans="2:36">
      <c r="B6947" s="136" t="s">
        <v>475</v>
      </c>
      <c r="C6947" s="132" t="s">
        <v>1376</v>
      </c>
      <c r="D6947" s="132" t="s">
        <v>1380</v>
      </c>
      <c r="E6947" s="508">
        <v>8.0000000000000002E-3</v>
      </c>
      <c r="F6947" s="508">
        <v>7.0000000000000001E-3</v>
      </c>
      <c r="G6947" s="508">
        <v>8.0000000000000002E-3</v>
      </c>
      <c r="H6947" s="508">
        <v>8.0000000000000002E-3</v>
      </c>
      <c r="I6947" s="508">
        <v>7.0000000000000001E-3</v>
      </c>
      <c r="J6947" s="508">
        <v>8.0000000000000002E-3</v>
      </c>
      <c r="K6947" s="508">
        <v>8.0000000000000002E-3</v>
      </c>
      <c r="L6947" s="508">
        <v>8.0000000000000002E-3</v>
      </c>
      <c r="M6947" s="508">
        <v>8.0000000000000002E-3</v>
      </c>
      <c r="N6947" s="508">
        <v>8.0000000000000002E-3</v>
      </c>
      <c r="O6947" s="508">
        <v>8.0000000000000002E-3</v>
      </c>
      <c r="P6947" s="508">
        <v>8.0000000000000002E-3</v>
      </c>
      <c r="Q6947" s="508">
        <v>8.0000000000000002E-3</v>
      </c>
      <c r="R6947" s="508">
        <v>8.0000000000000002E-3</v>
      </c>
      <c r="S6947" s="508">
        <v>8.0000000000000002E-3</v>
      </c>
      <c r="T6947" s="508">
        <v>7.0000000000000001E-3</v>
      </c>
      <c r="U6947" s="508">
        <v>8.0000000000000002E-3</v>
      </c>
      <c r="V6947" s="508">
        <v>8.0000000000000002E-3</v>
      </c>
      <c r="W6947" s="508">
        <v>8.0000000000000002E-3</v>
      </c>
      <c r="X6947" s="508">
        <v>8.9999999999999993E-3</v>
      </c>
      <c r="Y6947" s="508">
        <v>8.0000000000000002E-3</v>
      </c>
      <c r="Z6947" s="508">
        <v>8.0000000000000002E-3</v>
      </c>
      <c r="AA6947" s="508">
        <v>8.0000000000000002E-3</v>
      </c>
      <c r="AB6947" s="508">
        <v>8.0000000000000002E-3</v>
      </c>
      <c r="AC6947" s="508">
        <v>8.0000000000000002E-3</v>
      </c>
      <c r="AD6947" s="508">
        <v>7.0000000000000001E-3</v>
      </c>
      <c r="AE6947" s="508">
        <v>8.0000000000000002E-3</v>
      </c>
      <c r="AF6947" s="508">
        <v>8.0000000000000002E-3</v>
      </c>
      <c r="AG6947" s="508">
        <v>8.0000000000000002E-3</v>
      </c>
      <c r="AH6947" s="508">
        <v>8.0000000000000002E-3</v>
      </c>
      <c r="AI6947" s="492">
        <v>8.0000000000000002E-3</v>
      </c>
      <c r="AJ6947" s="485"/>
    </row>
    <row r="6948" spans="2:36">
      <c r="B6948" s="136" t="s">
        <v>476</v>
      </c>
      <c r="C6948" s="132" t="s">
        <v>1376</v>
      </c>
      <c r="D6948" s="132" t="s">
        <v>1380</v>
      </c>
      <c r="E6948" s="508">
        <v>8.0000000000000002E-3</v>
      </c>
      <c r="F6948" s="508">
        <v>8.0000000000000002E-3</v>
      </c>
      <c r="G6948" s="508">
        <v>8.0000000000000002E-3</v>
      </c>
      <c r="H6948" s="508">
        <v>8.0000000000000002E-3</v>
      </c>
      <c r="I6948" s="508">
        <v>8.0000000000000002E-3</v>
      </c>
      <c r="J6948" s="508">
        <v>8.0000000000000002E-3</v>
      </c>
      <c r="K6948" s="508">
        <v>8.9999999999999993E-3</v>
      </c>
      <c r="L6948" s="508">
        <v>8.9999999999999993E-3</v>
      </c>
      <c r="M6948" s="508">
        <v>8.0000000000000002E-3</v>
      </c>
      <c r="N6948" s="508">
        <v>8.0000000000000002E-3</v>
      </c>
      <c r="O6948" s="508">
        <v>8.0000000000000002E-3</v>
      </c>
      <c r="P6948" s="508">
        <v>8.0000000000000002E-3</v>
      </c>
      <c r="Q6948" s="508">
        <v>8.9999999999999993E-3</v>
      </c>
      <c r="R6948" s="508">
        <v>8.9999999999999993E-3</v>
      </c>
      <c r="S6948" s="508">
        <v>8.0000000000000002E-3</v>
      </c>
      <c r="T6948" s="508">
        <v>8.0000000000000002E-3</v>
      </c>
      <c r="U6948" s="508">
        <v>8.0000000000000002E-3</v>
      </c>
      <c r="V6948" s="508">
        <v>8.9999999999999993E-3</v>
      </c>
      <c r="W6948" s="508">
        <v>8.9999999999999993E-3</v>
      </c>
      <c r="X6948" s="508">
        <v>8.9999999999999993E-3</v>
      </c>
      <c r="Y6948" s="508">
        <v>8.9999999999999993E-3</v>
      </c>
      <c r="Z6948" s="508">
        <v>8.9999999999999993E-3</v>
      </c>
      <c r="AA6948" s="508">
        <v>8.9999999999999993E-3</v>
      </c>
      <c r="AB6948" s="508">
        <v>8.9999999999999993E-3</v>
      </c>
      <c r="AC6948" s="508">
        <v>8.0000000000000002E-3</v>
      </c>
      <c r="AD6948" s="508">
        <v>8.0000000000000002E-3</v>
      </c>
      <c r="AE6948" s="508">
        <v>8.9999999999999993E-3</v>
      </c>
      <c r="AF6948" s="508">
        <v>8.9999999999999993E-3</v>
      </c>
      <c r="AG6948" s="508">
        <v>8.9999999999999993E-3</v>
      </c>
      <c r="AH6948" s="508">
        <v>8.9999999999999993E-3</v>
      </c>
      <c r="AI6948" s="492">
        <v>8.9999999999999993E-3</v>
      </c>
      <c r="AJ6948" s="485"/>
    </row>
    <row r="6949" spans="2:36">
      <c r="B6949" s="136" t="s">
        <v>478</v>
      </c>
      <c r="C6949" s="132" t="s">
        <v>1376</v>
      </c>
      <c r="D6949" s="132" t="s">
        <v>1380</v>
      </c>
      <c r="E6949" s="508">
        <v>8.9999999999999993E-3</v>
      </c>
      <c r="F6949" s="508">
        <v>8.9999999999999993E-3</v>
      </c>
      <c r="G6949" s="508">
        <v>8.9999999999999993E-3</v>
      </c>
      <c r="H6949" s="508">
        <v>8.9999999999999993E-3</v>
      </c>
      <c r="I6949" s="508">
        <v>8.0000000000000002E-3</v>
      </c>
      <c r="J6949" s="508">
        <v>8.9999999999999993E-3</v>
      </c>
      <c r="K6949" s="508">
        <v>8.9999999999999993E-3</v>
      </c>
      <c r="L6949" s="508">
        <v>0.01</v>
      </c>
      <c r="M6949" s="508">
        <v>8.9999999999999993E-3</v>
      </c>
      <c r="N6949" s="508">
        <v>8.9999999999999993E-3</v>
      </c>
      <c r="O6949" s="508">
        <v>8.9999999999999993E-3</v>
      </c>
      <c r="P6949" s="508">
        <v>8.9999999999999993E-3</v>
      </c>
      <c r="Q6949" s="508">
        <v>8.9999999999999993E-3</v>
      </c>
      <c r="R6949" s="508">
        <v>8.9999999999999993E-3</v>
      </c>
      <c r="S6949" s="508">
        <v>8.9999999999999993E-3</v>
      </c>
      <c r="T6949" s="508">
        <v>8.0000000000000002E-3</v>
      </c>
      <c r="U6949" s="508">
        <v>8.9999999999999993E-3</v>
      </c>
      <c r="V6949" s="508">
        <v>0.01</v>
      </c>
      <c r="W6949" s="508">
        <v>8.9999999999999993E-3</v>
      </c>
      <c r="X6949" s="508">
        <v>0.01</v>
      </c>
      <c r="Y6949" s="508">
        <v>8.9999999999999993E-3</v>
      </c>
      <c r="Z6949" s="508">
        <v>0.01</v>
      </c>
      <c r="AA6949" s="508">
        <v>8.9999999999999993E-3</v>
      </c>
      <c r="AB6949" s="508">
        <v>8.9999999999999993E-3</v>
      </c>
      <c r="AC6949" s="508">
        <v>8.9999999999999993E-3</v>
      </c>
      <c r="AD6949" s="508">
        <v>8.0000000000000002E-3</v>
      </c>
      <c r="AE6949" s="508">
        <v>8.9999999999999993E-3</v>
      </c>
      <c r="AF6949" s="508">
        <v>8.9999999999999993E-3</v>
      </c>
      <c r="AG6949" s="508">
        <v>8.9999999999999993E-3</v>
      </c>
      <c r="AH6949" s="508">
        <v>8.9999999999999993E-3</v>
      </c>
      <c r="AI6949" s="492">
        <v>8.9999999999999993E-3</v>
      </c>
      <c r="AJ6949" s="485"/>
    </row>
    <row r="6950" spans="2:36">
      <c r="B6950" s="136" t="s">
        <v>479</v>
      </c>
      <c r="C6950" s="132" t="s">
        <v>1376</v>
      </c>
      <c r="D6950" s="132" t="s">
        <v>1380</v>
      </c>
      <c r="E6950" s="508">
        <v>8.0000000000000002E-3</v>
      </c>
      <c r="F6950" s="508">
        <v>8.0000000000000002E-3</v>
      </c>
      <c r="G6950" s="508">
        <v>8.0000000000000002E-3</v>
      </c>
      <c r="H6950" s="508">
        <v>8.0000000000000002E-3</v>
      </c>
      <c r="I6950" s="508">
        <v>7.0000000000000001E-3</v>
      </c>
      <c r="J6950" s="508">
        <v>8.0000000000000002E-3</v>
      </c>
      <c r="K6950" s="508">
        <v>8.0000000000000002E-3</v>
      </c>
      <c r="L6950" s="508">
        <v>8.0000000000000002E-3</v>
      </c>
      <c r="M6950" s="508">
        <v>8.0000000000000002E-3</v>
      </c>
      <c r="N6950" s="508">
        <v>8.0000000000000002E-3</v>
      </c>
      <c r="O6950" s="508">
        <v>8.0000000000000002E-3</v>
      </c>
      <c r="P6950" s="508">
        <v>8.0000000000000002E-3</v>
      </c>
      <c r="Q6950" s="508">
        <v>8.0000000000000002E-3</v>
      </c>
      <c r="R6950" s="508">
        <v>8.0000000000000002E-3</v>
      </c>
      <c r="S6950" s="508">
        <v>8.0000000000000002E-3</v>
      </c>
      <c r="T6950" s="508">
        <v>7.0000000000000001E-3</v>
      </c>
      <c r="U6950" s="508">
        <v>8.0000000000000002E-3</v>
      </c>
      <c r="V6950" s="508">
        <v>8.0000000000000002E-3</v>
      </c>
      <c r="W6950" s="508">
        <v>8.0000000000000002E-3</v>
      </c>
      <c r="X6950" s="508">
        <v>8.9999999999999993E-3</v>
      </c>
      <c r="Y6950" s="508">
        <v>8.0000000000000002E-3</v>
      </c>
      <c r="Z6950" s="508">
        <v>8.9999999999999993E-3</v>
      </c>
      <c r="AA6950" s="508">
        <v>8.0000000000000002E-3</v>
      </c>
      <c r="AB6950" s="508">
        <v>8.0000000000000002E-3</v>
      </c>
      <c r="AC6950" s="508">
        <v>8.0000000000000002E-3</v>
      </c>
      <c r="AD6950" s="508">
        <v>7.0000000000000001E-3</v>
      </c>
      <c r="AE6950" s="508">
        <v>8.0000000000000002E-3</v>
      </c>
      <c r="AF6950" s="508">
        <v>8.0000000000000002E-3</v>
      </c>
      <c r="AG6950" s="508">
        <v>8.0000000000000002E-3</v>
      </c>
      <c r="AH6950" s="508">
        <v>8.0000000000000002E-3</v>
      </c>
      <c r="AI6950" s="492">
        <v>8.0000000000000002E-3</v>
      </c>
      <c r="AJ6950" s="485"/>
    </row>
    <row r="6951" spans="2:36">
      <c r="B6951" s="136" t="s">
        <v>480</v>
      </c>
      <c r="C6951" s="132" t="s">
        <v>1376</v>
      </c>
      <c r="D6951" s="132" t="s">
        <v>1380</v>
      </c>
      <c r="E6951" s="508">
        <v>7.0000000000000001E-3</v>
      </c>
      <c r="F6951" s="508">
        <v>6.0000000000000001E-3</v>
      </c>
      <c r="G6951" s="508">
        <v>7.0000000000000001E-3</v>
      </c>
      <c r="H6951" s="508">
        <v>7.0000000000000001E-3</v>
      </c>
      <c r="I6951" s="508">
        <v>6.0000000000000001E-3</v>
      </c>
      <c r="J6951" s="508">
        <v>7.0000000000000001E-3</v>
      </c>
      <c r="K6951" s="508">
        <v>7.0000000000000001E-3</v>
      </c>
      <c r="L6951" s="508">
        <v>7.0000000000000001E-3</v>
      </c>
      <c r="M6951" s="508">
        <v>6.0000000000000001E-3</v>
      </c>
      <c r="N6951" s="508">
        <v>7.0000000000000001E-3</v>
      </c>
      <c r="O6951" s="508">
        <v>7.0000000000000001E-3</v>
      </c>
      <c r="P6951" s="508">
        <v>7.0000000000000001E-3</v>
      </c>
      <c r="Q6951" s="508">
        <v>7.0000000000000001E-3</v>
      </c>
      <c r="R6951" s="508">
        <v>7.0000000000000001E-3</v>
      </c>
      <c r="S6951" s="508">
        <v>7.0000000000000001E-3</v>
      </c>
      <c r="T6951" s="508">
        <v>6.0000000000000001E-3</v>
      </c>
      <c r="U6951" s="508">
        <v>7.0000000000000001E-3</v>
      </c>
      <c r="V6951" s="508">
        <v>7.0000000000000001E-3</v>
      </c>
      <c r="W6951" s="508">
        <v>7.0000000000000001E-3</v>
      </c>
      <c r="X6951" s="508">
        <v>7.0000000000000001E-3</v>
      </c>
      <c r="Y6951" s="508">
        <v>7.0000000000000001E-3</v>
      </c>
      <c r="Z6951" s="508">
        <v>7.0000000000000001E-3</v>
      </c>
      <c r="AA6951" s="508">
        <v>7.0000000000000001E-3</v>
      </c>
      <c r="AB6951" s="508">
        <v>7.0000000000000001E-3</v>
      </c>
      <c r="AC6951" s="508">
        <v>7.0000000000000001E-3</v>
      </c>
      <c r="AD6951" s="508">
        <v>6.0000000000000001E-3</v>
      </c>
      <c r="AE6951" s="508">
        <v>7.0000000000000001E-3</v>
      </c>
      <c r="AF6951" s="508">
        <v>7.0000000000000001E-3</v>
      </c>
      <c r="AG6951" s="508">
        <v>7.0000000000000001E-3</v>
      </c>
      <c r="AH6951" s="508">
        <v>7.0000000000000001E-3</v>
      </c>
      <c r="AI6951" s="492">
        <v>7.0000000000000001E-3</v>
      </c>
      <c r="AJ6951" s="485"/>
    </row>
    <row r="6952" spans="2:36">
      <c r="B6952" s="136" t="s">
        <v>481</v>
      </c>
      <c r="C6952" s="132" t="s">
        <v>1376</v>
      </c>
      <c r="D6952" s="132" t="s">
        <v>1380</v>
      </c>
      <c r="E6952" s="508">
        <v>8.0000000000000002E-3</v>
      </c>
      <c r="F6952" s="508">
        <v>8.0000000000000002E-3</v>
      </c>
      <c r="G6952" s="508">
        <v>8.0000000000000002E-3</v>
      </c>
      <c r="H6952" s="508">
        <v>8.0000000000000002E-3</v>
      </c>
      <c r="I6952" s="508">
        <v>8.0000000000000002E-3</v>
      </c>
      <c r="J6952" s="508">
        <v>8.0000000000000002E-3</v>
      </c>
      <c r="K6952" s="508">
        <v>8.9999999999999993E-3</v>
      </c>
      <c r="L6952" s="508">
        <v>8.9999999999999993E-3</v>
      </c>
      <c r="M6952" s="508">
        <v>8.0000000000000002E-3</v>
      </c>
      <c r="N6952" s="508">
        <v>8.0000000000000002E-3</v>
      </c>
      <c r="O6952" s="508">
        <v>8.0000000000000002E-3</v>
      </c>
      <c r="P6952" s="508">
        <v>8.0000000000000002E-3</v>
      </c>
      <c r="Q6952" s="508">
        <v>8.0000000000000002E-3</v>
      </c>
      <c r="R6952" s="508">
        <v>8.0000000000000002E-3</v>
      </c>
      <c r="S6952" s="508">
        <v>8.0000000000000002E-3</v>
      </c>
      <c r="T6952" s="508">
        <v>8.0000000000000002E-3</v>
      </c>
      <c r="U6952" s="508">
        <v>8.0000000000000002E-3</v>
      </c>
      <c r="V6952" s="508">
        <v>8.9999999999999993E-3</v>
      </c>
      <c r="W6952" s="508">
        <v>8.0000000000000002E-3</v>
      </c>
      <c r="X6952" s="508">
        <v>8.9999999999999993E-3</v>
      </c>
      <c r="Y6952" s="508">
        <v>8.0000000000000002E-3</v>
      </c>
      <c r="Z6952" s="508">
        <v>8.9999999999999993E-3</v>
      </c>
      <c r="AA6952" s="508">
        <v>8.0000000000000002E-3</v>
      </c>
      <c r="AB6952" s="508">
        <v>8.0000000000000002E-3</v>
      </c>
      <c r="AC6952" s="508">
        <v>8.0000000000000002E-3</v>
      </c>
      <c r="AD6952" s="508">
        <v>7.0000000000000001E-3</v>
      </c>
      <c r="AE6952" s="508">
        <v>8.0000000000000002E-3</v>
      </c>
      <c r="AF6952" s="508">
        <v>8.0000000000000002E-3</v>
      </c>
      <c r="AG6952" s="508">
        <v>8.0000000000000002E-3</v>
      </c>
      <c r="AH6952" s="508">
        <v>8.0000000000000002E-3</v>
      </c>
      <c r="AI6952" s="492">
        <v>8.0000000000000002E-3</v>
      </c>
      <c r="AJ6952" s="485"/>
    </row>
    <row r="6953" spans="2:36">
      <c r="B6953" s="136" t="s">
        <v>482</v>
      </c>
      <c r="C6953" s="132" t="s">
        <v>1376</v>
      </c>
      <c r="D6953" s="132" t="s">
        <v>1380</v>
      </c>
      <c r="E6953" s="508">
        <v>8.0000000000000002E-3</v>
      </c>
      <c r="F6953" s="508">
        <v>8.0000000000000002E-3</v>
      </c>
      <c r="G6953" s="508">
        <v>8.0000000000000002E-3</v>
      </c>
      <c r="H6953" s="508">
        <v>8.0000000000000002E-3</v>
      </c>
      <c r="I6953" s="508">
        <v>8.0000000000000002E-3</v>
      </c>
      <c r="J6953" s="508">
        <v>8.0000000000000002E-3</v>
      </c>
      <c r="K6953" s="508">
        <v>8.9999999999999993E-3</v>
      </c>
      <c r="L6953" s="508">
        <v>8.9999999999999993E-3</v>
      </c>
      <c r="M6953" s="508">
        <v>8.0000000000000002E-3</v>
      </c>
      <c r="N6953" s="508">
        <v>8.0000000000000002E-3</v>
      </c>
      <c r="O6953" s="508">
        <v>8.0000000000000002E-3</v>
      </c>
      <c r="P6953" s="508">
        <v>8.0000000000000002E-3</v>
      </c>
      <c r="Q6953" s="508">
        <v>8.0000000000000002E-3</v>
      </c>
      <c r="R6953" s="508">
        <v>8.0000000000000002E-3</v>
      </c>
      <c r="S6953" s="508">
        <v>8.0000000000000002E-3</v>
      </c>
      <c r="T6953" s="508">
        <v>8.0000000000000002E-3</v>
      </c>
      <c r="U6953" s="508">
        <v>8.0000000000000002E-3</v>
      </c>
      <c r="V6953" s="508">
        <v>8.9999999999999993E-3</v>
      </c>
      <c r="W6953" s="508">
        <v>8.0000000000000002E-3</v>
      </c>
      <c r="X6953" s="508">
        <v>8.9999999999999993E-3</v>
      </c>
      <c r="Y6953" s="508">
        <v>8.0000000000000002E-3</v>
      </c>
      <c r="Z6953" s="508">
        <v>8.9999999999999993E-3</v>
      </c>
      <c r="AA6953" s="508">
        <v>8.0000000000000002E-3</v>
      </c>
      <c r="AB6953" s="508">
        <v>8.0000000000000002E-3</v>
      </c>
      <c r="AC6953" s="508">
        <v>8.0000000000000002E-3</v>
      </c>
      <c r="AD6953" s="508">
        <v>7.0000000000000001E-3</v>
      </c>
      <c r="AE6953" s="508">
        <v>8.0000000000000002E-3</v>
      </c>
      <c r="AF6953" s="508">
        <v>8.0000000000000002E-3</v>
      </c>
      <c r="AG6953" s="508">
        <v>8.0000000000000002E-3</v>
      </c>
      <c r="AH6953" s="508">
        <v>8.0000000000000002E-3</v>
      </c>
      <c r="AI6953" s="492">
        <v>8.0000000000000002E-3</v>
      </c>
      <c r="AJ6953" s="485"/>
    </row>
    <row r="6954" spans="2:36">
      <c r="B6954" s="136" t="s">
        <v>483</v>
      </c>
      <c r="C6954" s="132" t="s">
        <v>1376</v>
      </c>
      <c r="D6954" s="132" t="s">
        <v>1380</v>
      </c>
      <c r="E6954" s="508">
        <v>8.9999999999999993E-3</v>
      </c>
      <c r="F6954" s="508">
        <v>8.0000000000000002E-3</v>
      </c>
      <c r="G6954" s="508">
        <v>8.9999999999999993E-3</v>
      </c>
      <c r="H6954" s="508">
        <v>8.9999999999999993E-3</v>
      </c>
      <c r="I6954" s="508">
        <v>8.0000000000000002E-3</v>
      </c>
      <c r="J6954" s="508">
        <v>8.9999999999999993E-3</v>
      </c>
      <c r="K6954" s="508">
        <v>8.9999999999999993E-3</v>
      </c>
      <c r="L6954" s="508">
        <v>8.9999999999999993E-3</v>
      </c>
      <c r="M6954" s="508">
        <v>8.9999999999999993E-3</v>
      </c>
      <c r="N6954" s="508">
        <v>8.9999999999999993E-3</v>
      </c>
      <c r="O6954" s="508">
        <v>8.9999999999999993E-3</v>
      </c>
      <c r="P6954" s="508">
        <v>8.9999999999999993E-3</v>
      </c>
      <c r="Q6954" s="508">
        <v>8.9999999999999993E-3</v>
      </c>
      <c r="R6954" s="508">
        <v>8.9999999999999993E-3</v>
      </c>
      <c r="S6954" s="508">
        <v>8.9999999999999993E-3</v>
      </c>
      <c r="T6954" s="508">
        <v>8.0000000000000002E-3</v>
      </c>
      <c r="U6954" s="508">
        <v>8.9999999999999993E-3</v>
      </c>
      <c r="V6954" s="508">
        <v>8.9999999999999993E-3</v>
      </c>
      <c r="W6954" s="508">
        <v>8.9999999999999993E-3</v>
      </c>
      <c r="X6954" s="508">
        <v>0.01</v>
      </c>
      <c r="Y6954" s="508">
        <v>8.9999999999999993E-3</v>
      </c>
      <c r="Z6954" s="508">
        <v>0.01</v>
      </c>
      <c r="AA6954" s="508">
        <v>8.9999999999999993E-3</v>
      </c>
      <c r="AB6954" s="508">
        <v>8.9999999999999993E-3</v>
      </c>
      <c r="AC6954" s="508">
        <v>8.9999999999999993E-3</v>
      </c>
      <c r="AD6954" s="508">
        <v>8.0000000000000002E-3</v>
      </c>
      <c r="AE6954" s="508">
        <v>8.9999999999999993E-3</v>
      </c>
      <c r="AF6954" s="508">
        <v>8.9999999999999993E-3</v>
      </c>
      <c r="AG6954" s="508">
        <v>8.9999999999999993E-3</v>
      </c>
      <c r="AH6954" s="508">
        <v>8.9999999999999993E-3</v>
      </c>
      <c r="AI6954" s="492">
        <v>8.9999999999999993E-3</v>
      </c>
      <c r="AJ6954" s="485"/>
    </row>
    <row r="6955" spans="2:36">
      <c r="B6955" s="136" t="s">
        <v>484</v>
      </c>
      <c r="C6955" s="132" t="s">
        <v>1376</v>
      </c>
      <c r="D6955" s="132" t="s">
        <v>1380</v>
      </c>
      <c r="E6955" s="508">
        <v>7.0000000000000001E-3</v>
      </c>
      <c r="F6955" s="508">
        <v>7.0000000000000001E-3</v>
      </c>
      <c r="G6955" s="508">
        <v>7.0000000000000001E-3</v>
      </c>
      <c r="H6955" s="508">
        <v>7.0000000000000001E-3</v>
      </c>
      <c r="I6955" s="508">
        <v>6.0000000000000001E-3</v>
      </c>
      <c r="J6955" s="508">
        <v>7.0000000000000001E-3</v>
      </c>
      <c r="K6955" s="508">
        <v>7.0000000000000001E-3</v>
      </c>
      <c r="L6955" s="508">
        <v>7.0000000000000001E-3</v>
      </c>
      <c r="M6955" s="508">
        <v>7.0000000000000001E-3</v>
      </c>
      <c r="N6955" s="508">
        <v>7.0000000000000001E-3</v>
      </c>
      <c r="O6955" s="508">
        <v>7.0000000000000001E-3</v>
      </c>
      <c r="P6955" s="508">
        <v>7.0000000000000001E-3</v>
      </c>
      <c r="Q6955" s="508">
        <v>7.0000000000000001E-3</v>
      </c>
      <c r="R6955" s="508">
        <v>7.0000000000000001E-3</v>
      </c>
      <c r="S6955" s="508">
        <v>7.0000000000000001E-3</v>
      </c>
      <c r="T6955" s="508">
        <v>7.0000000000000001E-3</v>
      </c>
      <c r="U6955" s="508">
        <v>7.0000000000000001E-3</v>
      </c>
      <c r="V6955" s="508">
        <v>7.0000000000000001E-3</v>
      </c>
      <c r="W6955" s="508">
        <v>7.0000000000000001E-3</v>
      </c>
      <c r="X6955" s="508">
        <v>8.0000000000000002E-3</v>
      </c>
      <c r="Y6955" s="508">
        <v>7.0000000000000001E-3</v>
      </c>
      <c r="Z6955" s="508">
        <v>7.0000000000000001E-3</v>
      </c>
      <c r="AA6955" s="508">
        <v>7.0000000000000001E-3</v>
      </c>
      <c r="AB6955" s="508">
        <v>7.0000000000000001E-3</v>
      </c>
      <c r="AC6955" s="508">
        <v>7.0000000000000001E-3</v>
      </c>
      <c r="AD6955" s="508">
        <v>6.0000000000000001E-3</v>
      </c>
      <c r="AE6955" s="508">
        <v>7.0000000000000001E-3</v>
      </c>
      <c r="AF6955" s="508">
        <v>7.0000000000000001E-3</v>
      </c>
      <c r="AG6955" s="508">
        <v>7.0000000000000001E-3</v>
      </c>
      <c r="AH6955" s="508">
        <v>7.0000000000000001E-3</v>
      </c>
      <c r="AI6955" s="492">
        <v>7.0000000000000001E-3</v>
      </c>
      <c r="AJ6955" s="485"/>
    </row>
    <row r="6956" spans="2:36">
      <c r="B6956" s="136" t="s">
        <v>486</v>
      </c>
      <c r="C6956" s="132" t="s">
        <v>1376</v>
      </c>
      <c r="D6956" s="132" t="s">
        <v>1380</v>
      </c>
      <c r="E6956" s="508">
        <v>8.0000000000000002E-3</v>
      </c>
      <c r="F6956" s="508">
        <v>8.0000000000000002E-3</v>
      </c>
      <c r="G6956" s="508">
        <v>8.0000000000000002E-3</v>
      </c>
      <c r="H6956" s="508">
        <v>8.0000000000000002E-3</v>
      </c>
      <c r="I6956" s="508">
        <v>8.0000000000000002E-3</v>
      </c>
      <c r="J6956" s="508">
        <v>8.0000000000000002E-3</v>
      </c>
      <c r="K6956" s="508">
        <v>8.9999999999999993E-3</v>
      </c>
      <c r="L6956" s="508">
        <v>8.9999999999999993E-3</v>
      </c>
      <c r="M6956" s="508">
        <v>8.0000000000000002E-3</v>
      </c>
      <c r="N6956" s="508">
        <v>8.0000000000000002E-3</v>
      </c>
      <c r="O6956" s="508">
        <v>8.0000000000000002E-3</v>
      </c>
      <c r="P6956" s="508">
        <v>8.0000000000000002E-3</v>
      </c>
      <c r="Q6956" s="508">
        <v>8.0000000000000002E-3</v>
      </c>
      <c r="R6956" s="508">
        <v>8.0000000000000002E-3</v>
      </c>
      <c r="S6956" s="508">
        <v>8.0000000000000002E-3</v>
      </c>
      <c r="T6956" s="508">
        <v>8.0000000000000002E-3</v>
      </c>
      <c r="U6956" s="508">
        <v>8.0000000000000002E-3</v>
      </c>
      <c r="V6956" s="508">
        <v>8.9999999999999993E-3</v>
      </c>
      <c r="W6956" s="508">
        <v>8.0000000000000002E-3</v>
      </c>
      <c r="X6956" s="508">
        <v>8.9999999999999993E-3</v>
      </c>
      <c r="Y6956" s="508">
        <v>8.0000000000000002E-3</v>
      </c>
      <c r="Z6956" s="508">
        <v>8.9999999999999993E-3</v>
      </c>
      <c r="AA6956" s="508">
        <v>8.0000000000000002E-3</v>
      </c>
      <c r="AB6956" s="508">
        <v>8.0000000000000002E-3</v>
      </c>
      <c r="AC6956" s="508">
        <v>8.0000000000000002E-3</v>
      </c>
      <c r="AD6956" s="508">
        <v>8.0000000000000002E-3</v>
      </c>
      <c r="AE6956" s="508">
        <v>8.0000000000000002E-3</v>
      </c>
      <c r="AF6956" s="508">
        <v>8.0000000000000002E-3</v>
      </c>
      <c r="AG6956" s="508">
        <v>8.0000000000000002E-3</v>
      </c>
      <c r="AH6956" s="508">
        <v>8.0000000000000002E-3</v>
      </c>
      <c r="AI6956" s="492">
        <v>8.0000000000000002E-3</v>
      </c>
      <c r="AJ6956" s="485"/>
    </row>
    <row r="6957" spans="2:36">
      <c r="B6957" s="136" t="s">
        <v>487</v>
      </c>
      <c r="C6957" s="132" t="s">
        <v>1376</v>
      </c>
      <c r="D6957" s="132" t="s">
        <v>1380</v>
      </c>
      <c r="E6957" s="508">
        <v>8.0000000000000002E-3</v>
      </c>
      <c r="F6957" s="508">
        <v>8.0000000000000002E-3</v>
      </c>
      <c r="G6957" s="508">
        <v>8.0000000000000002E-3</v>
      </c>
      <c r="H6957" s="508">
        <v>8.0000000000000002E-3</v>
      </c>
      <c r="I6957" s="508">
        <v>8.0000000000000002E-3</v>
      </c>
      <c r="J6957" s="508">
        <v>8.0000000000000002E-3</v>
      </c>
      <c r="K6957" s="508">
        <v>8.9999999999999993E-3</v>
      </c>
      <c r="L6957" s="508">
        <v>8.9999999999999993E-3</v>
      </c>
      <c r="M6957" s="508">
        <v>8.0000000000000002E-3</v>
      </c>
      <c r="N6957" s="508">
        <v>8.0000000000000002E-3</v>
      </c>
      <c r="O6957" s="508">
        <v>8.0000000000000002E-3</v>
      </c>
      <c r="P6957" s="508">
        <v>8.0000000000000002E-3</v>
      </c>
      <c r="Q6957" s="508">
        <v>8.0000000000000002E-3</v>
      </c>
      <c r="R6957" s="508">
        <v>8.0000000000000002E-3</v>
      </c>
      <c r="S6957" s="508">
        <v>8.0000000000000002E-3</v>
      </c>
      <c r="T6957" s="508">
        <v>8.0000000000000002E-3</v>
      </c>
      <c r="U6957" s="508">
        <v>8.0000000000000002E-3</v>
      </c>
      <c r="V6957" s="508">
        <v>8.9999999999999993E-3</v>
      </c>
      <c r="W6957" s="508">
        <v>8.0000000000000002E-3</v>
      </c>
      <c r="X6957" s="508">
        <v>8.9999999999999993E-3</v>
      </c>
      <c r="Y6957" s="508">
        <v>8.0000000000000002E-3</v>
      </c>
      <c r="Z6957" s="508">
        <v>8.9999999999999993E-3</v>
      </c>
      <c r="AA6957" s="508">
        <v>8.0000000000000002E-3</v>
      </c>
      <c r="AB6957" s="508">
        <v>8.0000000000000002E-3</v>
      </c>
      <c r="AC6957" s="508">
        <v>8.0000000000000002E-3</v>
      </c>
      <c r="AD6957" s="508">
        <v>7.0000000000000001E-3</v>
      </c>
      <c r="AE6957" s="508">
        <v>8.0000000000000002E-3</v>
      </c>
      <c r="AF6957" s="508">
        <v>8.0000000000000002E-3</v>
      </c>
      <c r="AG6957" s="508">
        <v>8.0000000000000002E-3</v>
      </c>
      <c r="AH6957" s="508">
        <v>8.0000000000000002E-3</v>
      </c>
      <c r="AI6957" s="492">
        <v>8.0000000000000002E-3</v>
      </c>
      <c r="AJ6957" s="485"/>
    </row>
    <row r="6958" spans="2:36">
      <c r="B6958" s="136" t="s">
        <v>488</v>
      </c>
      <c r="C6958" s="132" t="s">
        <v>1376</v>
      </c>
      <c r="D6958" s="132" t="s">
        <v>1380</v>
      </c>
      <c r="E6958" s="508">
        <v>7.0000000000000001E-3</v>
      </c>
      <c r="F6958" s="508">
        <v>7.0000000000000001E-3</v>
      </c>
      <c r="G6958" s="508">
        <v>7.0000000000000001E-3</v>
      </c>
      <c r="H6958" s="508">
        <v>7.0000000000000001E-3</v>
      </c>
      <c r="I6958" s="508">
        <v>7.0000000000000001E-3</v>
      </c>
      <c r="J6958" s="508">
        <v>7.0000000000000001E-3</v>
      </c>
      <c r="K6958" s="508">
        <v>8.0000000000000002E-3</v>
      </c>
      <c r="L6958" s="508">
        <v>8.0000000000000002E-3</v>
      </c>
      <c r="M6958" s="508">
        <v>7.0000000000000001E-3</v>
      </c>
      <c r="N6958" s="508">
        <v>7.0000000000000001E-3</v>
      </c>
      <c r="O6958" s="508">
        <v>7.0000000000000001E-3</v>
      </c>
      <c r="P6958" s="508">
        <v>7.0000000000000001E-3</v>
      </c>
      <c r="Q6958" s="508">
        <v>7.0000000000000001E-3</v>
      </c>
      <c r="R6958" s="508">
        <v>7.0000000000000001E-3</v>
      </c>
      <c r="S6958" s="508">
        <v>7.0000000000000001E-3</v>
      </c>
      <c r="T6958" s="508">
        <v>7.0000000000000001E-3</v>
      </c>
      <c r="U6958" s="508">
        <v>7.0000000000000001E-3</v>
      </c>
      <c r="V6958" s="508">
        <v>8.0000000000000002E-3</v>
      </c>
      <c r="W6958" s="508">
        <v>7.0000000000000001E-3</v>
      </c>
      <c r="X6958" s="508">
        <v>8.0000000000000002E-3</v>
      </c>
      <c r="Y6958" s="508">
        <v>7.0000000000000001E-3</v>
      </c>
      <c r="Z6958" s="508">
        <v>8.0000000000000002E-3</v>
      </c>
      <c r="AA6958" s="508">
        <v>7.0000000000000001E-3</v>
      </c>
      <c r="AB6958" s="508">
        <v>7.0000000000000001E-3</v>
      </c>
      <c r="AC6958" s="508">
        <v>7.0000000000000001E-3</v>
      </c>
      <c r="AD6958" s="508">
        <v>7.0000000000000001E-3</v>
      </c>
      <c r="AE6958" s="508">
        <v>7.0000000000000001E-3</v>
      </c>
      <c r="AF6958" s="508">
        <v>7.0000000000000001E-3</v>
      </c>
      <c r="AG6958" s="508">
        <v>7.0000000000000001E-3</v>
      </c>
      <c r="AH6958" s="508">
        <v>7.0000000000000001E-3</v>
      </c>
      <c r="AI6958" s="492">
        <v>7.0000000000000001E-3</v>
      </c>
      <c r="AJ6958" s="485"/>
    </row>
    <row r="6959" spans="2:36">
      <c r="B6959" s="136" t="s">
        <v>489</v>
      </c>
      <c r="C6959" s="132" t="s">
        <v>1376</v>
      </c>
      <c r="D6959" s="132" t="s">
        <v>1380</v>
      </c>
      <c r="E6959" s="508">
        <v>7.0000000000000001E-3</v>
      </c>
      <c r="F6959" s="508">
        <v>7.0000000000000001E-3</v>
      </c>
      <c r="G6959" s="508">
        <v>8.0000000000000002E-3</v>
      </c>
      <c r="H6959" s="508">
        <v>8.0000000000000002E-3</v>
      </c>
      <c r="I6959" s="508">
        <v>7.0000000000000001E-3</v>
      </c>
      <c r="J6959" s="508">
        <v>8.0000000000000002E-3</v>
      </c>
      <c r="K6959" s="508">
        <v>8.0000000000000002E-3</v>
      </c>
      <c r="L6959" s="508">
        <v>8.0000000000000002E-3</v>
      </c>
      <c r="M6959" s="508">
        <v>7.0000000000000001E-3</v>
      </c>
      <c r="N6959" s="508">
        <v>8.0000000000000002E-3</v>
      </c>
      <c r="O6959" s="508">
        <v>8.0000000000000002E-3</v>
      </c>
      <c r="P6959" s="508">
        <v>8.0000000000000002E-3</v>
      </c>
      <c r="Q6959" s="508">
        <v>8.0000000000000002E-3</v>
      </c>
      <c r="R6959" s="508">
        <v>8.0000000000000002E-3</v>
      </c>
      <c r="S6959" s="508">
        <v>8.0000000000000002E-3</v>
      </c>
      <c r="T6959" s="508">
        <v>7.0000000000000001E-3</v>
      </c>
      <c r="U6959" s="508">
        <v>8.0000000000000002E-3</v>
      </c>
      <c r="V6959" s="508">
        <v>8.0000000000000002E-3</v>
      </c>
      <c r="W6959" s="508">
        <v>8.0000000000000002E-3</v>
      </c>
      <c r="X6959" s="508">
        <v>8.0000000000000002E-3</v>
      </c>
      <c r="Y6959" s="508">
        <v>8.0000000000000002E-3</v>
      </c>
      <c r="Z6959" s="508">
        <v>8.0000000000000002E-3</v>
      </c>
      <c r="AA6959" s="508">
        <v>8.0000000000000002E-3</v>
      </c>
      <c r="AB6959" s="508">
        <v>8.0000000000000002E-3</v>
      </c>
      <c r="AC6959" s="508">
        <v>8.0000000000000002E-3</v>
      </c>
      <c r="AD6959" s="508">
        <v>7.0000000000000001E-3</v>
      </c>
      <c r="AE6959" s="508">
        <v>8.0000000000000002E-3</v>
      </c>
      <c r="AF6959" s="508">
        <v>8.0000000000000002E-3</v>
      </c>
      <c r="AG6959" s="508">
        <v>8.0000000000000002E-3</v>
      </c>
      <c r="AH6959" s="508">
        <v>8.0000000000000002E-3</v>
      </c>
      <c r="AI6959" s="492">
        <v>8.0000000000000002E-3</v>
      </c>
      <c r="AJ6959" s="485"/>
    </row>
    <row r="6960" spans="2:36">
      <c r="B6960" s="136" t="s">
        <v>490</v>
      </c>
      <c r="C6960" s="132" t="s">
        <v>1376</v>
      </c>
      <c r="D6960" s="132" t="s">
        <v>1380</v>
      </c>
      <c r="E6960" s="508">
        <v>7.0000000000000001E-3</v>
      </c>
      <c r="F6960" s="508">
        <v>6.0000000000000001E-3</v>
      </c>
      <c r="G6960" s="508">
        <v>7.0000000000000001E-3</v>
      </c>
      <c r="H6960" s="508">
        <v>7.0000000000000001E-3</v>
      </c>
      <c r="I6960" s="508">
        <v>6.0000000000000001E-3</v>
      </c>
      <c r="J6960" s="508">
        <v>7.0000000000000001E-3</v>
      </c>
      <c r="K6960" s="508">
        <v>7.0000000000000001E-3</v>
      </c>
      <c r="L6960" s="508">
        <v>7.0000000000000001E-3</v>
      </c>
      <c r="M6960" s="508">
        <v>7.0000000000000001E-3</v>
      </c>
      <c r="N6960" s="508">
        <v>7.0000000000000001E-3</v>
      </c>
      <c r="O6960" s="508">
        <v>7.0000000000000001E-3</v>
      </c>
      <c r="P6960" s="508">
        <v>7.0000000000000001E-3</v>
      </c>
      <c r="Q6960" s="508">
        <v>7.0000000000000001E-3</v>
      </c>
      <c r="R6960" s="508">
        <v>7.0000000000000001E-3</v>
      </c>
      <c r="S6960" s="508">
        <v>7.0000000000000001E-3</v>
      </c>
      <c r="T6960" s="508">
        <v>6.0000000000000001E-3</v>
      </c>
      <c r="U6960" s="508">
        <v>7.0000000000000001E-3</v>
      </c>
      <c r="V6960" s="508">
        <v>7.0000000000000001E-3</v>
      </c>
      <c r="W6960" s="508">
        <v>7.0000000000000001E-3</v>
      </c>
      <c r="X6960" s="508">
        <v>7.0000000000000001E-3</v>
      </c>
      <c r="Y6960" s="508">
        <v>7.0000000000000001E-3</v>
      </c>
      <c r="Z6960" s="508">
        <v>7.0000000000000001E-3</v>
      </c>
      <c r="AA6960" s="508">
        <v>7.0000000000000001E-3</v>
      </c>
      <c r="AB6960" s="508">
        <v>7.0000000000000001E-3</v>
      </c>
      <c r="AC6960" s="508">
        <v>7.0000000000000001E-3</v>
      </c>
      <c r="AD6960" s="508">
        <v>6.0000000000000001E-3</v>
      </c>
      <c r="AE6960" s="508">
        <v>7.0000000000000001E-3</v>
      </c>
      <c r="AF6960" s="508">
        <v>7.0000000000000001E-3</v>
      </c>
      <c r="AG6960" s="508">
        <v>7.0000000000000001E-3</v>
      </c>
      <c r="AH6960" s="508">
        <v>7.0000000000000001E-3</v>
      </c>
      <c r="AI6960" s="492">
        <v>7.0000000000000001E-3</v>
      </c>
      <c r="AJ6960" s="485"/>
    </row>
    <row r="6961" spans="2:36">
      <c r="B6961" s="136" t="s">
        <v>435</v>
      </c>
      <c r="C6961" s="132" t="s">
        <v>1377</v>
      </c>
      <c r="D6961" s="132" t="s">
        <v>1380</v>
      </c>
      <c r="E6961" s="508"/>
      <c r="F6961" s="508"/>
      <c r="G6961" s="508"/>
      <c r="H6961" s="508"/>
      <c r="I6961" s="508"/>
      <c r="J6961" s="508">
        <v>1.0999999999999999E-2</v>
      </c>
      <c r="K6961" s="508">
        <v>1.0999999999999999E-2</v>
      </c>
      <c r="L6961" s="508">
        <v>1.0999999999999999E-2</v>
      </c>
      <c r="M6961" s="508">
        <v>1.0999999999999999E-2</v>
      </c>
      <c r="N6961" s="508">
        <v>1.0999999999999999E-2</v>
      </c>
      <c r="O6961" s="508">
        <v>1.0999999999999999E-2</v>
      </c>
      <c r="P6961" s="508">
        <v>1.0999999999999999E-2</v>
      </c>
      <c r="Q6961" s="508">
        <v>1.0999999999999999E-2</v>
      </c>
      <c r="R6961" s="508">
        <v>1.0999999999999999E-2</v>
      </c>
      <c r="S6961" s="508">
        <v>1.0999999999999999E-2</v>
      </c>
      <c r="T6961" s="508">
        <v>1.0999999999999999E-2</v>
      </c>
      <c r="U6961" s="508">
        <v>1.0999999999999999E-2</v>
      </c>
      <c r="V6961" s="508">
        <v>1.0999999999999999E-2</v>
      </c>
      <c r="W6961" s="508">
        <v>1.0999999999999999E-2</v>
      </c>
      <c r="X6961" s="508">
        <v>1.0999999999999999E-2</v>
      </c>
      <c r="Y6961" s="508">
        <v>1.0999999999999999E-2</v>
      </c>
      <c r="Z6961" s="508">
        <v>1.0999999999999999E-2</v>
      </c>
      <c r="AA6961" s="508">
        <v>1.0999999999999999E-2</v>
      </c>
      <c r="AB6961" s="508">
        <v>1.0999999999999999E-2</v>
      </c>
      <c r="AC6961" s="508">
        <v>1.0999999999999999E-2</v>
      </c>
      <c r="AD6961" s="508">
        <v>1.0999999999999999E-2</v>
      </c>
      <c r="AE6961" s="508">
        <v>1.0999999999999999E-2</v>
      </c>
      <c r="AF6961" s="508">
        <v>1.0999999999999999E-2</v>
      </c>
      <c r="AG6961" s="508">
        <v>1.0999999999999999E-2</v>
      </c>
      <c r="AH6961" s="508">
        <v>1.0999999999999999E-2</v>
      </c>
      <c r="AI6961" s="492">
        <v>1.0999999999999999E-2</v>
      </c>
      <c r="AJ6961" s="485"/>
    </row>
    <row r="6962" spans="2:36">
      <c r="B6962" s="136" t="s">
        <v>436</v>
      </c>
      <c r="C6962" s="132" t="s">
        <v>1377</v>
      </c>
      <c r="D6962" s="132" t="s">
        <v>1380</v>
      </c>
      <c r="E6962" s="508"/>
      <c r="F6962" s="508"/>
      <c r="G6962" s="508"/>
      <c r="H6962" s="508"/>
      <c r="I6962" s="508"/>
      <c r="J6962" s="508">
        <v>0.01</v>
      </c>
      <c r="K6962" s="508">
        <v>0.01</v>
      </c>
      <c r="L6962" s="508">
        <v>0.01</v>
      </c>
      <c r="M6962" s="508">
        <v>0.01</v>
      </c>
      <c r="N6962" s="508">
        <v>0.01</v>
      </c>
      <c r="O6962" s="508">
        <v>0.01</v>
      </c>
      <c r="P6962" s="508">
        <v>0.01</v>
      </c>
      <c r="Q6962" s="508">
        <v>0.01</v>
      </c>
      <c r="R6962" s="508">
        <v>0.01</v>
      </c>
      <c r="S6962" s="508">
        <v>0.01</v>
      </c>
      <c r="T6962" s="508">
        <v>0.01</v>
      </c>
      <c r="U6962" s="508">
        <v>0.01</v>
      </c>
      <c r="V6962" s="508">
        <v>0.01</v>
      </c>
      <c r="W6962" s="508">
        <v>0.01</v>
      </c>
      <c r="X6962" s="508">
        <v>0.01</v>
      </c>
      <c r="Y6962" s="508">
        <v>0.01</v>
      </c>
      <c r="Z6962" s="508">
        <v>0.01</v>
      </c>
      <c r="AA6962" s="508">
        <v>0.01</v>
      </c>
      <c r="AB6962" s="508">
        <v>0.01</v>
      </c>
      <c r="AC6962" s="508">
        <v>0.01</v>
      </c>
      <c r="AD6962" s="508">
        <v>0.01</v>
      </c>
      <c r="AE6962" s="508">
        <v>0.01</v>
      </c>
      <c r="AF6962" s="508">
        <v>0.01</v>
      </c>
      <c r="AG6962" s="508">
        <v>0.01</v>
      </c>
      <c r="AH6962" s="508">
        <v>0.01</v>
      </c>
      <c r="AI6962" s="492">
        <v>0.01</v>
      </c>
      <c r="AJ6962" s="485"/>
    </row>
    <row r="6963" spans="2:36">
      <c r="B6963" s="136" t="s">
        <v>437</v>
      </c>
      <c r="C6963" s="132" t="s">
        <v>1377</v>
      </c>
      <c r="D6963" s="132" t="s">
        <v>1380</v>
      </c>
      <c r="E6963" s="508"/>
      <c r="F6963" s="508"/>
      <c r="G6963" s="508"/>
      <c r="H6963" s="508"/>
      <c r="I6963" s="508"/>
      <c r="J6963" s="508">
        <v>1.0999999999999999E-2</v>
      </c>
      <c r="K6963" s="508">
        <v>1.0999999999999999E-2</v>
      </c>
      <c r="L6963" s="508">
        <v>1.0999999999999999E-2</v>
      </c>
      <c r="M6963" s="508">
        <v>1.0999999999999999E-2</v>
      </c>
      <c r="N6963" s="508">
        <v>1.0999999999999999E-2</v>
      </c>
      <c r="O6963" s="508">
        <v>1.0999999999999999E-2</v>
      </c>
      <c r="P6963" s="508">
        <v>1.0999999999999999E-2</v>
      </c>
      <c r="Q6963" s="508">
        <v>1.0999999999999999E-2</v>
      </c>
      <c r="R6963" s="508">
        <v>1.0999999999999999E-2</v>
      </c>
      <c r="S6963" s="508">
        <v>1.0999999999999999E-2</v>
      </c>
      <c r="T6963" s="508">
        <v>1.0999999999999999E-2</v>
      </c>
      <c r="U6963" s="508">
        <v>1.0999999999999999E-2</v>
      </c>
      <c r="V6963" s="508">
        <v>1.0999999999999999E-2</v>
      </c>
      <c r="W6963" s="508">
        <v>1.0999999999999999E-2</v>
      </c>
      <c r="X6963" s="508">
        <v>1.0999999999999999E-2</v>
      </c>
      <c r="Y6963" s="508">
        <v>1.0999999999999999E-2</v>
      </c>
      <c r="Z6963" s="508">
        <v>1.0999999999999999E-2</v>
      </c>
      <c r="AA6963" s="508">
        <v>1.0999999999999999E-2</v>
      </c>
      <c r="AB6963" s="508">
        <v>1.0999999999999999E-2</v>
      </c>
      <c r="AC6963" s="508">
        <v>1.0999999999999999E-2</v>
      </c>
      <c r="AD6963" s="508">
        <v>1.0999999999999999E-2</v>
      </c>
      <c r="AE6963" s="508">
        <v>1.0999999999999999E-2</v>
      </c>
      <c r="AF6963" s="508">
        <v>1.0999999999999999E-2</v>
      </c>
      <c r="AG6963" s="508">
        <v>1.0999999999999999E-2</v>
      </c>
      <c r="AH6963" s="508">
        <v>1.0999999999999999E-2</v>
      </c>
      <c r="AI6963" s="492">
        <v>1.0999999999999999E-2</v>
      </c>
      <c r="AJ6963" s="485"/>
    </row>
    <row r="6964" spans="2:36">
      <c r="B6964" s="136" t="s">
        <v>438</v>
      </c>
      <c r="C6964" s="132" t="s">
        <v>1377</v>
      </c>
      <c r="D6964" s="132" t="s">
        <v>1380</v>
      </c>
      <c r="E6964" s="508"/>
      <c r="F6964" s="508"/>
      <c r="G6964" s="508"/>
      <c r="H6964" s="508"/>
      <c r="I6964" s="508"/>
      <c r="J6964" s="508">
        <v>0.01</v>
      </c>
      <c r="K6964" s="508">
        <v>0.01</v>
      </c>
      <c r="L6964" s="508">
        <v>0.01</v>
      </c>
      <c r="M6964" s="508">
        <v>0.01</v>
      </c>
      <c r="N6964" s="508">
        <v>0.01</v>
      </c>
      <c r="O6964" s="508">
        <v>0.01</v>
      </c>
      <c r="P6964" s="508">
        <v>0.01</v>
      </c>
      <c r="Q6964" s="508">
        <v>0.01</v>
      </c>
      <c r="R6964" s="508">
        <v>0.01</v>
      </c>
      <c r="S6964" s="508">
        <v>0.01</v>
      </c>
      <c r="T6964" s="508">
        <v>0.01</v>
      </c>
      <c r="U6964" s="508">
        <v>0.01</v>
      </c>
      <c r="V6964" s="508">
        <v>0.01</v>
      </c>
      <c r="W6964" s="508">
        <v>0.01</v>
      </c>
      <c r="X6964" s="508">
        <v>0.01</v>
      </c>
      <c r="Y6964" s="508">
        <v>0.01</v>
      </c>
      <c r="Z6964" s="508">
        <v>0.01</v>
      </c>
      <c r="AA6964" s="508">
        <v>0.01</v>
      </c>
      <c r="AB6964" s="508">
        <v>0.01</v>
      </c>
      <c r="AC6964" s="508">
        <v>0.01</v>
      </c>
      <c r="AD6964" s="508">
        <v>0.01</v>
      </c>
      <c r="AE6964" s="508">
        <v>0.01</v>
      </c>
      <c r="AF6964" s="508">
        <v>0.01</v>
      </c>
      <c r="AG6964" s="508">
        <v>0.01</v>
      </c>
      <c r="AH6964" s="508">
        <v>0.01</v>
      </c>
      <c r="AI6964" s="492">
        <v>0.01</v>
      </c>
      <c r="AJ6964" s="485"/>
    </row>
    <row r="6965" spans="2:36">
      <c r="B6965" s="136" t="s">
        <v>439</v>
      </c>
      <c r="C6965" s="132" t="s">
        <v>1377</v>
      </c>
      <c r="D6965" s="132" t="s">
        <v>1380</v>
      </c>
      <c r="E6965" s="508"/>
      <c r="F6965" s="508"/>
      <c r="G6965" s="508"/>
      <c r="H6965" s="508"/>
      <c r="I6965" s="508"/>
      <c r="J6965" s="508">
        <v>1.0999999999999999E-2</v>
      </c>
      <c r="K6965" s="508">
        <v>1.0999999999999999E-2</v>
      </c>
      <c r="L6965" s="508">
        <v>1.0999999999999999E-2</v>
      </c>
      <c r="M6965" s="508">
        <v>1.0999999999999999E-2</v>
      </c>
      <c r="N6965" s="508">
        <v>1.0999999999999999E-2</v>
      </c>
      <c r="O6965" s="508">
        <v>1.0999999999999999E-2</v>
      </c>
      <c r="P6965" s="508">
        <v>1.0999999999999999E-2</v>
      </c>
      <c r="Q6965" s="508">
        <v>1.0999999999999999E-2</v>
      </c>
      <c r="R6965" s="508">
        <v>1.0999999999999999E-2</v>
      </c>
      <c r="S6965" s="508">
        <v>1.0999999999999999E-2</v>
      </c>
      <c r="T6965" s="508">
        <v>1.0999999999999999E-2</v>
      </c>
      <c r="U6965" s="508">
        <v>1.0999999999999999E-2</v>
      </c>
      <c r="V6965" s="508">
        <v>1.0999999999999999E-2</v>
      </c>
      <c r="W6965" s="508">
        <v>1.0999999999999999E-2</v>
      </c>
      <c r="X6965" s="508">
        <v>1.0999999999999999E-2</v>
      </c>
      <c r="Y6965" s="508">
        <v>1.0999999999999999E-2</v>
      </c>
      <c r="Z6965" s="508">
        <v>1.0999999999999999E-2</v>
      </c>
      <c r="AA6965" s="508">
        <v>1.0999999999999999E-2</v>
      </c>
      <c r="AB6965" s="508">
        <v>1.0999999999999999E-2</v>
      </c>
      <c r="AC6965" s="508">
        <v>1.0999999999999999E-2</v>
      </c>
      <c r="AD6965" s="508">
        <v>1.0999999999999999E-2</v>
      </c>
      <c r="AE6965" s="508">
        <v>1.0999999999999999E-2</v>
      </c>
      <c r="AF6965" s="508">
        <v>1.0999999999999999E-2</v>
      </c>
      <c r="AG6965" s="508">
        <v>1.0999999999999999E-2</v>
      </c>
      <c r="AH6965" s="508">
        <v>1.0999999999999999E-2</v>
      </c>
      <c r="AI6965" s="492">
        <v>1.0999999999999999E-2</v>
      </c>
      <c r="AJ6965" s="485"/>
    </row>
    <row r="6966" spans="2:36">
      <c r="B6966" s="136" t="s">
        <v>440</v>
      </c>
      <c r="C6966" s="132" t="s">
        <v>1377</v>
      </c>
      <c r="D6966" s="132" t="s">
        <v>1380</v>
      </c>
      <c r="E6966" s="508"/>
      <c r="F6966" s="508"/>
      <c r="G6966" s="508"/>
      <c r="H6966" s="508"/>
      <c r="I6966" s="508"/>
      <c r="J6966" s="508">
        <v>1.0999999999999999E-2</v>
      </c>
      <c r="K6966" s="508">
        <v>1.0999999999999999E-2</v>
      </c>
      <c r="L6966" s="508">
        <v>1.0999999999999999E-2</v>
      </c>
      <c r="M6966" s="508">
        <v>1.0999999999999999E-2</v>
      </c>
      <c r="N6966" s="508">
        <v>1.0999999999999999E-2</v>
      </c>
      <c r="O6966" s="508">
        <v>1.0999999999999999E-2</v>
      </c>
      <c r="P6966" s="508">
        <v>1.0999999999999999E-2</v>
      </c>
      <c r="Q6966" s="508">
        <v>1.0999999999999999E-2</v>
      </c>
      <c r="R6966" s="508">
        <v>1.0999999999999999E-2</v>
      </c>
      <c r="S6966" s="508">
        <v>1.0999999999999999E-2</v>
      </c>
      <c r="T6966" s="508">
        <v>1.0999999999999999E-2</v>
      </c>
      <c r="U6966" s="508">
        <v>1.0999999999999999E-2</v>
      </c>
      <c r="V6966" s="508">
        <v>1.0999999999999999E-2</v>
      </c>
      <c r="W6966" s="508">
        <v>1.0999999999999999E-2</v>
      </c>
      <c r="X6966" s="508">
        <v>1.0999999999999999E-2</v>
      </c>
      <c r="Y6966" s="508">
        <v>1.0999999999999999E-2</v>
      </c>
      <c r="Z6966" s="508">
        <v>1.0999999999999999E-2</v>
      </c>
      <c r="AA6966" s="508">
        <v>1.0999999999999999E-2</v>
      </c>
      <c r="AB6966" s="508">
        <v>1.0999999999999999E-2</v>
      </c>
      <c r="AC6966" s="508">
        <v>1.0999999999999999E-2</v>
      </c>
      <c r="AD6966" s="508">
        <v>1.0999999999999999E-2</v>
      </c>
      <c r="AE6966" s="508">
        <v>1.0999999999999999E-2</v>
      </c>
      <c r="AF6966" s="508">
        <v>1.0999999999999999E-2</v>
      </c>
      <c r="AG6966" s="508">
        <v>1.0999999999999999E-2</v>
      </c>
      <c r="AH6966" s="508">
        <v>1.0999999999999999E-2</v>
      </c>
      <c r="AI6966" s="492">
        <v>1.0999999999999999E-2</v>
      </c>
      <c r="AJ6966" s="485"/>
    </row>
    <row r="6967" spans="2:36">
      <c r="B6967" s="136" t="s">
        <v>441</v>
      </c>
      <c r="C6967" s="132" t="s">
        <v>1377</v>
      </c>
      <c r="D6967" s="132" t="s">
        <v>1380</v>
      </c>
      <c r="E6967" s="508"/>
      <c r="F6967" s="508"/>
      <c r="G6967" s="508"/>
      <c r="H6967" s="508"/>
      <c r="I6967" s="508"/>
      <c r="J6967" s="508">
        <v>1.0999999999999999E-2</v>
      </c>
      <c r="K6967" s="508">
        <v>1.0999999999999999E-2</v>
      </c>
      <c r="L6967" s="508">
        <v>1.0999999999999999E-2</v>
      </c>
      <c r="M6967" s="508">
        <v>1.0999999999999999E-2</v>
      </c>
      <c r="N6967" s="508">
        <v>1.0999999999999999E-2</v>
      </c>
      <c r="O6967" s="508">
        <v>1.0999999999999999E-2</v>
      </c>
      <c r="P6967" s="508">
        <v>1.0999999999999999E-2</v>
      </c>
      <c r="Q6967" s="508">
        <v>1.0999999999999999E-2</v>
      </c>
      <c r="R6967" s="508">
        <v>1.0999999999999999E-2</v>
      </c>
      <c r="S6967" s="508">
        <v>1.0999999999999999E-2</v>
      </c>
      <c r="T6967" s="508">
        <v>1.0999999999999999E-2</v>
      </c>
      <c r="U6967" s="508">
        <v>1.0999999999999999E-2</v>
      </c>
      <c r="V6967" s="508">
        <v>1.0999999999999999E-2</v>
      </c>
      <c r="W6967" s="508">
        <v>1.0999999999999999E-2</v>
      </c>
      <c r="X6967" s="508">
        <v>1.0999999999999999E-2</v>
      </c>
      <c r="Y6967" s="508">
        <v>1.0999999999999999E-2</v>
      </c>
      <c r="Z6967" s="508">
        <v>1.0999999999999999E-2</v>
      </c>
      <c r="AA6967" s="508">
        <v>1.0999999999999999E-2</v>
      </c>
      <c r="AB6967" s="508">
        <v>1.0999999999999999E-2</v>
      </c>
      <c r="AC6967" s="508">
        <v>1.0999999999999999E-2</v>
      </c>
      <c r="AD6967" s="508">
        <v>1.0999999999999999E-2</v>
      </c>
      <c r="AE6967" s="508">
        <v>1.0999999999999999E-2</v>
      </c>
      <c r="AF6967" s="508">
        <v>1.0999999999999999E-2</v>
      </c>
      <c r="AG6967" s="508">
        <v>1.0999999999999999E-2</v>
      </c>
      <c r="AH6967" s="508">
        <v>1.0999999999999999E-2</v>
      </c>
      <c r="AI6967" s="492">
        <v>1.0999999999999999E-2</v>
      </c>
      <c r="AJ6967" s="485"/>
    </row>
    <row r="6968" spans="2:36">
      <c r="B6968" s="136" t="s">
        <v>443</v>
      </c>
      <c r="C6968" s="132" t="s">
        <v>1377</v>
      </c>
      <c r="D6968" s="132" t="s">
        <v>1380</v>
      </c>
      <c r="E6968" s="508"/>
      <c r="F6968" s="508"/>
      <c r="G6968" s="508"/>
      <c r="H6968" s="508"/>
      <c r="I6968" s="508"/>
      <c r="J6968" s="508">
        <v>1.2E-2</v>
      </c>
      <c r="K6968" s="508">
        <v>1.2E-2</v>
      </c>
      <c r="L6968" s="508">
        <v>1.2E-2</v>
      </c>
      <c r="M6968" s="508">
        <v>1.2E-2</v>
      </c>
      <c r="N6968" s="508">
        <v>1.2E-2</v>
      </c>
      <c r="O6968" s="508">
        <v>1.2E-2</v>
      </c>
      <c r="P6968" s="508">
        <v>1.2E-2</v>
      </c>
      <c r="Q6968" s="508">
        <v>1.2E-2</v>
      </c>
      <c r="R6968" s="508">
        <v>1.2E-2</v>
      </c>
      <c r="S6968" s="508">
        <v>1.2E-2</v>
      </c>
      <c r="T6968" s="508">
        <v>1.2E-2</v>
      </c>
      <c r="U6968" s="508">
        <v>1.2E-2</v>
      </c>
      <c r="V6968" s="508">
        <v>1.2E-2</v>
      </c>
      <c r="W6968" s="508">
        <v>1.2E-2</v>
      </c>
      <c r="X6968" s="508">
        <v>1.2E-2</v>
      </c>
      <c r="Y6968" s="508">
        <v>1.2E-2</v>
      </c>
      <c r="Z6968" s="508">
        <v>1.2E-2</v>
      </c>
      <c r="AA6968" s="508">
        <v>1.2E-2</v>
      </c>
      <c r="AB6968" s="508">
        <v>1.2E-2</v>
      </c>
      <c r="AC6968" s="508">
        <v>1.2E-2</v>
      </c>
      <c r="AD6968" s="508">
        <v>1.2E-2</v>
      </c>
      <c r="AE6968" s="508">
        <v>1.2E-2</v>
      </c>
      <c r="AF6968" s="508">
        <v>1.2E-2</v>
      </c>
      <c r="AG6968" s="508">
        <v>1.2E-2</v>
      </c>
      <c r="AH6968" s="508">
        <v>1.2E-2</v>
      </c>
      <c r="AI6968" s="492">
        <v>1.2E-2</v>
      </c>
      <c r="AJ6968" s="485"/>
    </row>
    <row r="6969" spans="2:36">
      <c r="B6969" s="136" t="s">
        <v>445</v>
      </c>
      <c r="C6969" s="132" t="s">
        <v>1377</v>
      </c>
      <c r="D6969" s="132" t="s">
        <v>1380</v>
      </c>
      <c r="E6969" s="508"/>
      <c r="F6969" s="508"/>
      <c r="G6969" s="508"/>
      <c r="H6969" s="508"/>
      <c r="I6969" s="508"/>
      <c r="J6969" s="508">
        <v>1.4999999999999999E-2</v>
      </c>
      <c r="K6969" s="508">
        <v>1.4999999999999999E-2</v>
      </c>
      <c r="L6969" s="508">
        <v>1.4999999999999999E-2</v>
      </c>
      <c r="M6969" s="508">
        <v>1.4999999999999999E-2</v>
      </c>
      <c r="N6969" s="508">
        <v>1.4999999999999999E-2</v>
      </c>
      <c r="O6969" s="508">
        <v>1.4999999999999999E-2</v>
      </c>
      <c r="P6969" s="508">
        <v>1.4999999999999999E-2</v>
      </c>
      <c r="Q6969" s="508">
        <v>1.4999999999999999E-2</v>
      </c>
      <c r="R6969" s="508">
        <v>1.4999999999999999E-2</v>
      </c>
      <c r="S6969" s="508">
        <v>1.4999999999999999E-2</v>
      </c>
      <c r="T6969" s="508">
        <v>1.4999999999999999E-2</v>
      </c>
      <c r="U6969" s="508">
        <v>1.4999999999999999E-2</v>
      </c>
      <c r="V6969" s="508">
        <v>1.4999999999999999E-2</v>
      </c>
      <c r="W6969" s="508">
        <v>1.4999999999999999E-2</v>
      </c>
      <c r="X6969" s="508">
        <v>1.4999999999999999E-2</v>
      </c>
      <c r="Y6969" s="508">
        <v>1.4999999999999999E-2</v>
      </c>
      <c r="Z6969" s="508">
        <v>1.4999999999999999E-2</v>
      </c>
      <c r="AA6969" s="508">
        <v>1.4999999999999999E-2</v>
      </c>
      <c r="AB6969" s="508">
        <v>1.4999999999999999E-2</v>
      </c>
      <c r="AC6969" s="508">
        <v>1.4999999999999999E-2</v>
      </c>
      <c r="AD6969" s="508">
        <v>1.4999999999999999E-2</v>
      </c>
      <c r="AE6969" s="508">
        <v>1.4999999999999999E-2</v>
      </c>
      <c r="AF6969" s="508">
        <v>1.4999999999999999E-2</v>
      </c>
      <c r="AG6969" s="508">
        <v>1.4999999999999999E-2</v>
      </c>
      <c r="AH6969" s="508">
        <v>1.4999999999999999E-2</v>
      </c>
      <c r="AI6969" s="492">
        <v>1.4999999999999999E-2</v>
      </c>
      <c r="AJ6969" s="485"/>
    </row>
    <row r="6970" spans="2:36">
      <c r="B6970" s="136" t="s">
        <v>446</v>
      </c>
      <c r="C6970" s="132" t="s">
        <v>1377</v>
      </c>
      <c r="D6970" s="132" t="s">
        <v>1380</v>
      </c>
      <c r="E6970" s="508"/>
      <c r="F6970" s="508"/>
      <c r="G6970" s="508"/>
      <c r="H6970" s="508"/>
      <c r="I6970" s="508"/>
      <c r="J6970" s="508">
        <v>1.2999999999999999E-2</v>
      </c>
      <c r="K6970" s="508">
        <v>1.2999999999999999E-2</v>
      </c>
      <c r="L6970" s="508">
        <v>1.2999999999999999E-2</v>
      </c>
      <c r="M6970" s="508">
        <v>1.2999999999999999E-2</v>
      </c>
      <c r="N6970" s="508">
        <v>1.2999999999999999E-2</v>
      </c>
      <c r="O6970" s="508">
        <v>1.2999999999999999E-2</v>
      </c>
      <c r="P6970" s="508">
        <v>1.2999999999999999E-2</v>
      </c>
      <c r="Q6970" s="508">
        <v>1.2999999999999999E-2</v>
      </c>
      <c r="R6970" s="508">
        <v>1.2999999999999999E-2</v>
      </c>
      <c r="S6970" s="508">
        <v>1.2999999999999999E-2</v>
      </c>
      <c r="T6970" s="508">
        <v>1.2999999999999999E-2</v>
      </c>
      <c r="U6970" s="508">
        <v>1.2999999999999999E-2</v>
      </c>
      <c r="V6970" s="508">
        <v>1.2999999999999999E-2</v>
      </c>
      <c r="W6970" s="508">
        <v>1.2999999999999999E-2</v>
      </c>
      <c r="X6970" s="508">
        <v>1.2999999999999999E-2</v>
      </c>
      <c r="Y6970" s="508">
        <v>1.2999999999999999E-2</v>
      </c>
      <c r="Z6970" s="508">
        <v>1.2999999999999999E-2</v>
      </c>
      <c r="AA6970" s="508">
        <v>1.2999999999999999E-2</v>
      </c>
      <c r="AB6970" s="508">
        <v>1.2999999999999999E-2</v>
      </c>
      <c r="AC6970" s="508">
        <v>1.2999999999999999E-2</v>
      </c>
      <c r="AD6970" s="508">
        <v>1.2999999999999999E-2</v>
      </c>
      <c r="AE6970" s="508">
        <v>1.2999999999999999E-2</v>
      </c>
      <c r="AF6970" s="508">
        <v>1.2999999999999999E-2</v>
      </c>
      <c r="AG6970" s="508">
        <v>1.2999999999999999E-2</v>
      </c>
      <c r="AH6970" s="508">
        <v>1.2999999999999999E-2</v>
      </c>
      <c r="AI6970" s="492">
        <v>1.2999999999999999E-2</v>
      </c>
      <c r="AJ6970" s="485"/>
    </row>
    <row r="6971" spans="2:36">
      <c r="B6971" s="136" t="s">
        <v>448</v>
      </c>
      <c r="C6971" s="132" t="s">
        <v>1377</v>
      </c>
      <c r="D6971" s="132" t="s">
        <v>1380</v>
      </c>
      <c r="E6971" s="508"/>
      <c r="F6971" s="508"/>
      <c r="G6971" s="508"/>
      <c r="H6971" s="508"/>
      <c r="I6971" s="508"/>
      <c r="J6971" s="508">
        <v>0.01</v>
      </c>
      <c r="K6971" s="508">
        <v>0.01</v>
      </c>
      <c r="L6971" s="508">
        <v>0.01</v>
      </c>
      <c r="M6971" s="508">
        <v>0.01</v>
      </c>
      <c r="N6971" s="508">
        <v>0.01</v>
      </c>
      <c r="O6971" s="508">
        <v>0.01</v>
      </c>
      <c r="P6971" s="508">
        <v>0.01</v>
      </c>
      <c r="Q6971" s="508">
        <v>0.01</v>
      </c>
      <c r="R6971" s="508">
        <v>0.01</v>
      </c>
      <c r="S6971" s="508">
        <v>0.01</v>
      </c>
      <c r="T6971" s="508">
        <v>0.01</v>
      </c>
      <c r="U6971" s="508">
        <v>0.01</v>
      </c>
      <c r="V6971" s="508">
        <v>0.01</v>
      </c>
      <c r="W6971" s="508">
        <v>0.01</v>
      </c>
      <c r="X6971" s="508">
        <v>0.01</v>
      </c>
      <c r="Y6971" s="508">
        <v>0.01</v>
      </c>
      <c r="Z6971" s="508">
        <v>0.01</v>
      </c>
      <c r="AA6971" s="508">
        <v>0.01</v>
      </c>
      <c r="AB6971" s="508">
        <v>0.01</v>
      </c>
      <c r="AC6971" s="508">
        <v>0.01</v>
      </c>
      <c r="AD6971" s="508">
        <v>0.01</v>
      </c>
      <c r="AE6971" s="508">
        <v>0.01</v>
      </c>
      <c r="AF6971" s="508">
        <v>0.01</v>
      </c>
      <c r="AG6971" s="508">
        <v>0.01</v>
      </c>
      <c r="AH6971" s="508">
        <v>0.01</v>
      </c>
      <c r="AI6971" s="492">
        <v>0.01</v>
      </c>
      <c r="AJ6971" s="485"/>
    </row>
    <row r="6972" spans="2:36">
      <c r="B6972" s="136" t="s">
        <v>449</v>
      </c>
      <c r="C6972" s="132" t="s">
        <v>1377</v>
      </c>
      <c r="D6972" s="132" t="s">
        <v>1380</v>
      </c>
      <c r="E6972" s="508"/>
      <c r="F6972" s="508"/>
      <c r="G6972" s="508"/>
      <c r="H6972" s="508"/>
      <c r="I6972" s="508"/>
      <c r="J6972" s="508">
        <v>1.2999999999999999E-2</v>
      </c>
      <c r="K6972" s="508">
        <v>1.2999999999999999E-2</v>
      </c>
      <c r="L6972" s="508">
        <v>1.2999999999999999E-2</v>
      </c>
      <c r="M6972" s="508">
        <v>1.2999999999999999E-2</v>
      </c>
      <c r="N6972" s="508">
        <v>1.2999999999999999E-2</v>
      </c>
      <c r="O6972" s="508">
        <v>1.2999999999999999E-2</v>
      </c>
      <c r="P6972" s="508">
        <v>1.2999999999999999E-2</v>
      </c>
      <c r="Q6972" s="508">
        <v>1.2999999999999999E-2</v>
      </c>
      <c r="R6972" s="508">
        <v>1.2999999999999999E-2</v>
      </c>
      <c r="S6972" s="508">
        <v>1.2999999999999999E-2</v>
      </c>
      <c r="T6972" s="508">
        <v>1.2999999999999999E-2</v>
      </c>
      <c r="U6972" s="508">
        <v>1.2999999999999999E-2</v>
      </c>
      <c r="V6972" s="508">
        <v>1.2999999999999999E-2</v>
      </c>
      <c r="W6972" s="508">
        <v>1.2999999999999999E-2</v>
      </c>
      <c r="X6972" s="508">
        <v>1.2999999999999999E-2</v>
      </c>
      <c r="Y6972" s="508">
        <v>1.2999999999999999E-2</v>
      </c>
      <c r="Z6972" s="508">
        <v>1.2999999999999999E-2</v>
      </c>
      <c r="AA6972" s="508">
        <v>1.2999999999999999E-2</v>
      </c>
      <c r="AB6972" s="508">
        <v>1.2999999999999999E-2</v>
      </c>
      <c r="AC6972" s="508">
        <v>1.2999999999999999E-2</v>
      </c>
      <c r="AD6972" s="508">
        <v>1.2999999999999999E-2</v>
      </c>
      <c r="AE6972" s="508">
        <v>1.2999999999999999E-2</v>
      </c>
      <c r="AF6972" s="508">
        <v>1.2999999999999999E-2</v>
      </c>
      <c r="AG6972" s="508">
        <v>1.2999999999999999E-2</v>
      </c>
      <c r="AH6972" s="508">
        <v>1.2999999999999999E-2</v>
      </c>
      <c r="AI6972" s="492">
        <v>1.2999999999999999E-2</v>
      </c>
      <c r="AJ6972" s="485"/>
    </row>
    <row r="6973" spans="2:36">
      <c r="B6973" s="136" t="s">
        <v>450</v>
      </c>
      <c r="C6973" s="132" t="s">
        <v>1377</v>
      </c>
      <c r="D6973" s="132" t="s">
        <v>1380</v>
      </c>
      <c r="E6973" s="508"/>
      <c r="F6973" s="508"/>
      <c r="G6973" s="508"/>
      <c r="H6973" s="508"/>
      <c r="I6973" s="508"/>
      <c r="J6973" s="508">
        <v>1.2999999999999999E-2</v>
      </c>
      <c r="K6973" s="508">
        <v>1.2999999999999999E-2</v>
      </c>
      <c r="L6973" s="508">
        <v>1.2999999999999999E-2</v>
      </c>
      <c r="M6973" s="508">
        <v>1.2999999999999999E-2</v>
      </c>
      <c r="N6973" s="508">
        <v>1.2999999999999999E-2</v>
      </c>
      <c r="O6973" s="508">
        <v>1.2999999999999999E-2</v>
      </c>
      <c r="P6973" s="508">
        <v>1.2999999999999999E-2</v>
      </c>
      <c r="Q6973" s="508">
        <v>1.2999999999999999E-2</v>
      </c>
      <c r="R6973" s="508">
        <v>1.2999999999999999E-2</v>
      </c>
      <c r="S6973" s="508">
        <v>1.2999999999999999E-2</v>
      </c>
      <c r="T6973" s="508">
        <v>1.2999999999999999E-2</v>
      </c>
      <c r="U6973" s="508">
        <v>1.2999999999999999E-2</v>
      </c>
      <c r="V6973" s="508">
        <v>1.2999999999999999E-2</v>
      </c>
      <c r="W6973" s="508">
        <v>1.2999999999999999E-2</v>
      </c>
      <c r="X6973" s="508">
        <v>1.2999999999999999E-2</v>
      </c>
      <c r="Y6973" s="508">
        <v>1.2999999999999999E-2</v>
      </c>
      <c r="Z6973" s="508">
        <v>1.2999999999999999E-2</v>
      </c>
      <c r="AA6973" s="508">
        <v>1.2999999999999999E-2</v>
      </c>
      <c r="AB6973" s="508">
        <v>1.2999999999999999E-2</v>
      </c>
      <c r="AC6973" s="508">
        <v>1.2999999999999999E-2</v>
      </c>
      <c r="AD6973" s="508">
        <v>1.2999999999999999E-2</v>
      </c>
      <c r="AE6973" s="508">
        <v>1.2999999999999999E-2</v>
      </c>
      <c r="AF6973" s="508">
        <v>1.2999999999999999E-2</v>
      </c>
      <c r="AG6973" s="508">
        <v>1.2999999999999999E-2</v>
      </c>
      <c r="AH6973" s="508">
        <v>1.2999999999999999E-2</v>
      </c>
      <c r="AI6973" s="492">
        <v>1.2999999999999999E-2</v>
      </c>
      <c r="AJ6973" s="485"/>
    </row>
    <row r="6974" spans="2:36">
      <c r="B6974" s="136" t="s">
        <v>451</v>
      </c>
      <c r="C6974" s="132" t="s">
        <v>1377</v>
      </c>
      <c r="D6974" s="132" t="s">
        <v>1380</v>
      </c>
      <c r="E6974" s="508"/>
      <c r="F6974" s="508"/>
      <c r="G6974" s="508"/>
      <c r="H6974" s="508"/>
      <c r="I6974" s="508"/>
      <c r="J6974" s="508">
        <v>1.4E-2</v>
      </c>
      <c r="K6974" s="508">
        <v>1.4E-2</v>
      </c>
      <c r="L6974" s="508">
        <v>1.4E-2</v>
      </c>
      <c r="M6974" s="508">
        <v>1.4E-2</v>
      </c>
      <c r="N6974" s="508">
        <v>1.4E-2</v>
      </c>
      <c r="O6974" s="508">
        <v>1.4E-2</v>
      </c>
      <c r="P6974" s="508">
        <v>1.4E-2</v>
      </c>
      <c r="Q6974" s="508">
        <v>1.4E-2</v>
      </c>
      <c r="R6974" s="508">
        <v>1.4E-2</v>
      </c>
      <c r="S6974" s="508">
        <v>1.4E-2</v>
      </c>
      <c r="T6974" s="508">
        <v>1.4E-2</v>
      </c>
      <c r="U6974" s="508">
        <v>1.4E-2</v>
      </c>
      <c r="V6974" s="508">
        <v>1.4E-2</v>
      </c>
      <c r="W6974" s="508">
        <v>1.4E-2</v>
      </c>
      <c r="X6974" s="508">
        <v>1.4E-2</v>
      </c>
      <c r="Y6974" s="508">
        <v>1.4E-2</v>
      </c>
      <c r="Z6974" s="508">
        <v>1.4E-2</v>
      </c>
      <c r="AA6974" s="508">
        <v>1.4E-2</v>
      </c>
      <c r="AB6974" s="508">
        <v>1.4E-2</v>
      </c>
      <c r="AC6974" s="508">
        <v>1.4E-2</v>
      </c>
      <c r="AD6974" s="508">
        <v>1.4E-2</v>
      </c>
      <c r="AE6974" s="508">
        <v>1.4E-2</v>
      </c>
      <c r="AF6974" s="508">
        <v>1.4E-2</v>
      </c>
      <c r="AG6974" s="508">
        <v>1.4E-2</v>
      </c>
      <c r="AH6974" s="508">
        <v>1.4E-2</v>
      </c>
      <c r="AI6974" s="492">
        <v>1.4E-2</v>
      </c>
      <c r="AJ6974" s="485"/>
    </row>
    <row r="6975" spans="2:36">
      <c r="B6975" s="136" t="s">
        <v>452</v>
      </c>
      <c r="C6975" s="132" t="s">
        <v>1377</v>
      </c>
      <c r="D6975" s="132" t="s">
        <v>1380</v>
      </c>
      <c r="E6975" s="508"/>
      <c r="F6975" s="508"/>
      <c r="G6975" s="508"/>
      <c r="H6975" s="508"/>
      <c r="I6975" s="508"/>
      <c r="J6975" s="508">
        <v>1.2E-2</v>
      </c>
      <c r="K6975" s="508">
        <v>1.2E-2</v>
      </c>
      <c r="L6975" s="508">
        <v>1.2E-2</v>
      </c>
      <c r="M6975" s="508">
        <v>1.2E-2</v>
      </c>
      <c r="N6975" s="508">
        <v>1.2E-2</v>
      </c>
      <c r="O6975" s="508">
        <v>1.2E-2</v>
      </c>
      <c r="P6975" s="508">
        <v>1.2E-2</v>
      </c>
      <c r="Q6975" s="508">
        <v>1.2E-2</v>
      </c>
      <c r="R6975" s="508">
        <v>1.2E-2</v>
      </c>
      <c r="S6975" s="508">
        <v>1.2E-2</v>
      </c>
      <c r="T6975" s="508">
        <v>1.2E-2</v>
      </c>
      <c r="U6975" s="508">
        <v>1.2E-2</v>
      </c>
      <c r="V6975" s="508">
        <v>1.2E-2</v>
      </c>
      <c r="W6975" s="508">
        <v>1.2E-2</v>
      </c>
      <c r="X6975" s="508">
        <v>1.2E-2</v>
      </c>
      <c r="Y6975" s="508">
        <v>1.2E-2</v>
      </c>
      <c r="Z6975" s="508">
        <v>1.2E-2</v>
      </c>
      <c r="AA6975" s="508">
        <v>1.2E-2</v>
      </c>
      <c r="AB6975" s="508">
        <v>1.2E-2</v>
      </c>
      <c r="AC6975" s="508">
        <v>1.2E-2</v>
      </c>
      <c r="AD6975" s="508">
        <v>1.2E-2</v>
      </c>
      <c r="AE6975" s="508">
        <v>1.2E-2</v>
      </c>
      <c r="AF6975" s="508">
        <v>1.2E-2</v>
      </c>
      <c r="AG6975" s="508">
        <v>1.2E-2</v>
      </c>
      <c r="AH6975" s="508">
        <v>1.2E-2</v>
      </c>
      <c r="AI6975" s="492">
        <v>1.2E-2</v>
      </c>
      <c r="AJ6975" s="485"/>
    </row>
    <row r="6976" spans="2:36">
      <c r="B6976" s="136" t="s">
        <v>453</v>
      </c>
      <c r="C6976" s="132" t="s">
        <v>1377</v>
      </c>
      <c r="D6976" s="132" t="s">
        <v>1380</v>
      </c>
      <c r="E6976" s="508"/>
      <c r="F6976" s="508"/>
      <c r="G6976" s="508"/>
      <c r="H6976" s="508"/>
      <c r="I6976" s="508"/>
      <c r="J6976" s="508">
        <v>0.01</v>
      </c>
      <c r="K6976" s="508">
        <v>0.01</v>
      </c>
      <c r="L6976" s="508">
        <v>0.01</v>
      </c>
      <c r="M6976" s="508">
        <v>0.01</v>
      </c>
      <c r="N6976" s="508">
        <v>0.01</v>
      </c>
      <c r="O6976" s="508">
        <v>0.01</v>
      </c>
      <c r="P6976" s="508">
        <v>0.01</v>
      </c>
      <c r="Q6976" s="508">
        <v>0.01</v>
      </c>
      <c r="R6976" s="508">
        <v>0.01</v>
      </c>
      <c r="S6976" s="508">
        <v>0.01</v>
      </c>
      <c r="T6976" s="508">
        <v>0.01</v>
      </c>
      <c r="U6976" s="508">
        <v>0.01</v>
      </c>
      <c r="V6976" s="508">
        <v>0.01</v>
      </c>
      <c r="W6976" s="508">
        <v>0.01</v>
      </c>
      <c r="X6976" s="508">
        <v>0.01</v>
      </c>
      <c r="Y6976" s="508">
        <v>0.01</v>
      </c>
      <c r="Z6976" s="508">
        <v>0.01</v>
      </c>
      <c r="AA6976" s="508">
        <v>0.01</v>
      </c>
      <c r="AB6976" s="508">
        <v>0.01</v>
      </c>
      <c r="AC6976" s="508">
        <v>0.01</v>
      </c>
      <c r="AD6976" s="508">
        <v>0.01</v>
      </c>
      <c r="AE6976" s="508">
        <v>0.01</v>
      </c>
      <c r="AF6976" s="508">
        <v>0.01</v>
      </c>
      <c r="AG6976" s="508">
        <v>0.01</v>
      </c>
      <c r="AH6976" s="508">
        <v>0.01</v>
      </c>
      <c r="AI6976" s="492">
        <v>0.01</v>
      </c>
      <c r="AJ6976" s="485"/>
    </row>
    <row r="6977" spans="2:36">
      <c r="B6977" s="136" t="s">
        <v>454</v>
      </c>
      <c r="C6977" s="132" t="s">
        <v>1377</v>
      </c>
      <c r="D6977" s="132" t="s">
        <v>1380</v>
      </c>
      <c r="E6977" s="508"/>
      <c r="F6977" s="508"/>
      <c r="G6977" s="508"/>
      <c r="H6977" s="508"/>
      <c r="I6977" s="508"/>
      <c r="J6977" s="508">
        <v>0.01</v>
      </c>
      <c r="K6977" s="508">
        <v>0.01</v>
      </c>
      <c r="L6977" s="508">
        <v>0.01</v>
      </c>
      <c r="M6977" s="508">
        <v>0.01</v>
      </c>
      <c r="N6977" s="508">
        <v>0.01</v>
      </c>
      <c r="O6977" s="508">
        <v>0.01</v>
      </c>
      <c r="P6977" s="508">
        <v>0.01</v>
      </c>
      <c r="Q6977" s="508">
        <v>0.01</v>
      </c>
      <c r="R6977" s="508">
        <v>0.01</v>
      </c>
      <c r="S6977" s="508">
        <v>0.01</v>
      </c>
      <c r="T6977" s="508">
        <v>0.01</v>
      </c>
      <c r="U6977" s="508">
        <v>0.01</v>
      </c>
      <c r="V6977" s="508">
        <v>0.01</v>
      </c>
      <c r="W6977" s="508">
        <v>0.01</v>
      </c>
      <c r="X6977" s="508">
        <v>0.01</v>
      </c>
      <c r="Y6977" s="508">
        <v>0.01</v>
      </c>
      <c r="Z6977" s="508">
        <v>0.01</v>
      </c>
      <c r="AA6977" s="508">
        <v>0.01</v>
      </c>
      <c r="AB6977" s="508">
        <v>0.01</v>
      </c>
      <c r="AC6977" s="508">
        <v>0.01</v>
      </c>
      <c r="AD6977" s="508">
        <v>0.01</v>
      </c>
      <c r="AE6977" s="508">
        <v>0.01</v>
      </c>
      <c r="AF6977" s="508">
        <v>0.01</v>
      </c>
      <c r="AG6977" s="508">
        <v>0.01</v>
      </c>
      <c r="AH6977" s="508">
        <v>0.01</v>
      </c>
      <c r="AI6977" s="492">
        <v>0.01</v>
      </c>
      <c r="AJ6977" s="485"/>
    </row>
    <row r="6978" spans="2:36">
      <c r="B6978" s="136" t="s">
        <v>455</v>
      </c>
      <c r="C6978" s="132" t="s">
        <v>1377</v>
      </c>
      <c r="D6978" s="132" t="s">
        <v>1380</v>
      </c>
      <c r="E6978" s="508"/>
      <c r="F6978" s="508"/>
      <c r="G6978" s="508"/>
      <c r="H6978" s="508"/>
      <c r="I6978" s="508"/>
      <c r="J6978" s="508">
        <v>8.9999999999999993E-3</v>
      </c>
      <c r="K6978" s="508">
        <v>8.9999999999999993E-3</v>
      </c>
      <c r="L6978" s="508">
        <v>8.9999999999999993E-3</v>
      </c>
      <c r="M6978" s="508">
        <v>8.9999999999999993E-3</v>
      </c>
      <c r="N6978" s="508">
        <v>8.9999999999999993E-3</v>
      </c>
      <c r="O6978" s="508">
        <v>8.9999999999999993E-3</v>
      </c>
      <c r="P6978" s="508">
        <v>8.9999999999999993E-3</v>
      </c>
      <c r="Q6978" s="508">
        <v>8.9999999999999993E-3</v>
      </c>
      <c r="R6978" s="508">
        <v>8.9999999999999993E-3</v>
      </c>
      <c r="S6978" s="508">
        <v>8.9999999999999993E-3</v>
      </c>
      <c r="T6978" s="508">
        <v>8.9999999999999993E-3</v>
      </c>
      <c r="U6978" s="508">
        <v>8.9999999999999993E-3</v>
      </c>
      <c r="V6978" s="508">
        <v>8.9999999999999993E-3</v>
      </c>
      <c r="W6978" s="508">
        <v>8.9999999999999993E-3</v>
      </c>
      <c r="X6978" s="508">
        <v>8.9999999999999993E-3</v>
      </c>
      <c r="Y6978" s="508">
        <v>8.9999999999999993E-3</v>
      </c>
      <c r="Z6978" s="508">
        <v>8.9999999999999993E-3</v>
      </c>
      <c r="AA6978" s="508">
        <v>8.9999999999999993E-3</v>
      </c>
      <c r="AB6978" s="508">
        <v>8.9999999999999993E-3</v>
      </c>
      <c r="AC6978" s="508">
        <v>8.9999999999999993E-3</v>
      </c>
      <c r="AD6978" s="508">
        <v>8.9999999999999993E-3</v>
      </c>
      <c r="AE6978" s="508">
        <v>8.9999999999999993E-3</v>
      </c>
      <c r="AF6978" s="508">
        <v>8.9999999999999993E-3</v>
      </c>
      <c r="AG6978" s="508">
        <v>8.9999999999999993E-3</v>
      </c>
      <c r="AH6978" s="508">
        <v>8.9999999999999993E-3</v>
      </c>
      <c r="AI6978" s="492">
        <v>8.9999999999999993E-3</v>
      </c>
      <c r="AJ6978" s="485"/>
    </row>
    <row r="6979" spans="2:36">
      <c r="B6979" s="136" t="s">
        <v>456</v>
      </c>
      <c r="C6979" s="132" t="s">
        <v>1377</v>
      </c>
      <c r="D6979" s="132" t="s">
        <v>1380</v>
      </c>
      <c r="E6979" s="508"/>
      <c r="F6979" s="508"/>
      <c r="G6979" s="508"/>
      <c r="H6979" s="508"/>
      <c r="I6979" s="508"/>
      <c r="J6979" s="508">
        <v>1.0999999999999999E-2</v>
      </c>
      <c r="K6979" s="508">
        <v>1.0999999999999999E-2</v>
      </c>
      <c r="L6979" s="508">
        <v>1.0999999999999999E-2</v>
      </c>
      <c r="M6979" s="508">
        <v>1.0999999999999999E-2</v>
      </c>
      <c r="N6979" s="508">
        <v>1.0999999999999999E-2</v>
      </c>
      <c r="O6979" s="508">
        <v>1.0999999999999999E-2</v>
      </c>
      <c r="P6979" s="508">
        <v>1.0999999999999999E-2</v>
      </c>
      <c r="Q6979" s="508">
        <v>1.0999999999999999E-2</v>
      </c>
      <c r="R6979" s="508">
        <v>1.0999999999999999E-2</v>
      </c>
      <c r="S6979" s="508">
        <v>1.0999999999999999E-2</v>
      </c>
      <c r="T6979" s="508">
        <v>1.0999999999999999E-2</v>
      </c>
      <c r="U6979" s="508">
        <v>1.0999999999999999E-2</v>
      </c>
      <c r="V6979" s="508">
        <v>1.0999999999999999E-2</v>
      </c>
      <c r="W6979" s="508">
        <v>1.0999999999999999E-2</v>
      </c>
      <c r="X6979" s="508">
        <v>1.0999999999999999E-2</v>
      </c>
      <c r="Y6979" s="508">
        <v>1.0999999999999999E-2</v>
      </c>
      <c r="Z6979" s="508">
        <v>1.0999999999999999E-2</v>
      </c>
      <c r="AA6979" s="508">
        <v>1.0999999999999999E-2</v>
      </c>
      <c r="AB6979" s="508">
        <v>1.0999999999999999E-2</v>
      </c>
      <c r="AC6979" s="508">
        <v>1.0999999999999999E-2</v>
      </c>
      <c r="AD6979" s="508">
        <v>1.0999999999999999E-2</v>
      </c>
      <c r="AE6979" s="508">
        <v>1.0999999999999999E-2</v>
      </c>
      <c r="AF6979" s="508">
        <v>1.0999999999999999E-2</v>
      </c>
      <c r="AG6979" s="508">
        <v>1.0999999999999999E-2</v>
      </c>
      <c r="AH6979" s="508">
        <v>1.0999999999999999E-2</v>
      </c>
      <c r="AI6979" s="492">
        <v>1.0999999999999999E-2</v>
      </c>
      <c r="AJ6979" s="485"/>
    </row>
    <row r="6980" spans="2:36">
      <c r="B6980" s="136" t="s">
        <v>457</v>
      </c>
      <c r="C6980" s="132" t="s">
        <v>1377</v>
      </c>
      <c r="D6980" s="132" t="s">
        <v>1380</v>
      </c>
      <c r="E6980" s="508"/>
      <c r="F6980" s="508"/>
      <c r="G6980" s="508"/>
      <c r="H6980" s="508"/>
      <c r="I6980" s="508"/>
      <c r="J6980" s="508">
        <v>8.9999999999999993E-3</v>
      </c>
      <c r="K6980" s="508">
        <v>8.9999999999999993E-3</v>
      </c>
      <c r="L6980" s="508">
        <v>8.9999999999999993E-3</v>
      </c>
      <c r="M6980" s="508">
        <v>8.9999999999999993E-3</v>
      </c>
      <c r="N6980" s="508">
        <v>8.9999999999999993E-3</v>
      </c>
      <c r="O6980" s="508">
        <v>8.9999999999999993E-3</v>
      </c>
      <c r="P6980" s="508">
        <v>8.9999999999999993E-3</v>
      </c>
      <c r="Q6980" s="508">
        <v>8.9999999999999993E-3</v>
      </c>
      <c r="R6980" s="508">
        <v>8.9999999999999993E-3</v>
      </c>
      <c r="S6980" s="508">
        <v>8.9999999999999993E-3</v>
      </c>
      <c r="T6980" s="508">
        <v>8.9999999999999993E-3</v>
      </c>
      <c r="U6980" s="508">
        <v>8.9999999999999993E-3</v>
      </c>
      <c r="V6980" s="508">
        <v>8.9999999999999993E-3</v>
      </c>
      <c r="W6980" s="508">
        <v>8.9999999999999993E-3</v>
      </c>
      <c r="X6980" s="508">
        <v>8.9999999999999993E-3</v>
      </c>
      <c r="Y6980" s="508">
        <v>8.9999999999999993E-3</v>
      </c>
      <c r="Z6980" s="508">
        <v>8.9999999999999993E-3</v>
      </c>
      <c r="AA6980" s="508">
        <v>8.9999999999999993E-3</v>
      </c>
      <c r="AB6980" s="508">
        <v>8.9999999999999993E-3</v>
      </c>
      <c r="AC6980" s="508">
        <v>8.9999999999999993E-3</v>
      </c>
      <c r="AD6980" s="508">
        <v>8.9999999999999993E-3</v>
      </c>
      <c r="AE6980" s="508">
        <v>8.9999999999999993E-3</v>
      </c>
      <c r="AF6980" s="508">
        <v>8.9999999999999993E-3</v>
      </c>
      <c r="AG6980" s="508">
        <v>8.9999999999999993E-3</v>
      </c>
      <c r="AH6980" s="508">
        <v>8.9999999999999993E-3</v>
      </c>
      <c r="AI6980" s="492">
        <v>8.9999999999999993E-3</v>
      </c>
      <c r="AJ6980" s="485"/>
    </row>
    <row r="6981" spans="2:36">
      <c r="B6981" s="136" t="s">
        <v>458</v>
      </c>
      <c r="C6981" s="132" t="s">
        <v>1377</v>
      </c>
      <c r="D6981" s="132" t="s">
        <v>1380</v>
      </c>
      <c r="E6981" s="508"/>
      <c r="F6981" s="508"/>
      <c r="G6981" s="508"/>
      <c r="H6981" s="508"/>
      <c r="I6981" s="508"/>
      <c r="J6981" s="508">
        <v>1.0999999999999999E-2</v>
      </c>
      <c r="K6981" s="508">
        <v>1.0999999999999999E-2</v>
      </c>
      <c r="L6981" s="508">
        <v>1.0999999999999999E-2</v>
      </c>
      <c r="M6981" s="508">
        <v>1.0999999999999999E-2</v>
      </c>
      <c r="N6981" s="508">
        <v>1.0999999999999999E-2</v>
      </c>
      <c r="O6981" s="508">
        <v>1.0999999999999999E-2</v>
      </c>
      <c r="P6981" s="508">
        <v>1.0999999999999999E-2</v>
      </c>
      <c r="Q6981" s="508">
        <v>1.0999999999999999E-2</v>
      </c>
      <c r="R6981" s="508">
        <v>1.0999999999999999E-2</v>
      </c>
      <c r="S6981" s="508">
        <v>1.0999999999999999E-2</v>
      </c>
      <c r="T6981" s="508">
        <v>1.0999999999999999E-2</v>
      </c>
      <c r="U6981" s="508">
        <v>1.0999999999999999E-2</v>
      </c>
      <c r="V6981" s="508">
        <v>1.0999999999999999E-2</v>
      </c>
      <c r="W6981" s="508">
        <v>1.0999999999999999E-2</v>
      </c>
      <c r="X6981" s="508">
        <v>1.0999999999999999E-2</v>
      </c>
      <c r="Y6981" s="508">
        <v>1.0999999999999999E-2</v>
      </c>
      <c r="Z6981" s="508">
        <v>1.0999999999999999E-2</v>
      </c>
      <c r="AA6981" s="508">
        <v>1.0999999999999999E-2</v>
      </c>
      <c r="AB6981" s="508">
        <v>1.0999999999999999E-2</v>
      </c>
      <c r="AC6981" s="508">
        <v>1.0999999999999999E-2</v>
      </c>
      <c r="AD6981" s="508">
        <v>1.0999999999999999E-2</v>
      </c>
      <c r="AE6981" s="508">
        <v>1.0999999999999999E-2</v>
      </c>
      <c r="AF6981" s="508">
        <v>1.0999999999999999E-2</v>
      </c>
      <c r="AG6981" s="508">
        <v>1.0999999999999999E-2</v>
      </c>
      <c r="AH6981" s="508">
        <v>1.0999999999999999E-2</v>
      </c>
      <c r="AI6981" s="492">
        <v>1.0999999999999999E-2</v>
      </c>
      <c r="AJ6981" s="485"/>
    </row>
    <row r="6982" spans="2:36">
      <c r="B6982" s="136" t="s">
        <v>459</v>
      </c>
      <c r="C6982" s="132" t="s">
        <v>1377</v>
      </c>
      <c r="D6982" s="132" t="s">
        <v>1380</v>
      </c>
      <c r="E6982" s="508"/>
      <c r="F6982" s="508"/>
      <c r="G6982" s="508"/>
      <c r="H6982" s="508"/>
      <c r="I6982" s="508"/>
      <c r="J6982" s="508">
        <v>1.0999999999999999E-2</v>
      </c>
      <c r="K6982" s="508">
        <v>1.0999999999999999E-2</v>
      </c>
      <c r="L6982" s="508">
        <v>1.0999999999999999E-2</v>
      </c>
      <c r="M6982" s="508">
        <v>1.0999999999999999E-2</v>
      </c>
      <c r="N6982" s="508">
        <v>1.0999999999999999E-2</v>
      </c>
      <c r="O6982" s="508">
        <v>1.0999999999999999E-2</v>
      </c>
      <c r="P6982" s="508">
        <v>1.0999999999999999E-2</v>
      </c>
      <c r="Q6982" s="508">
        <v>1.0999999999999999E-2</v>
      </c>
      <c r="R6982" s="508">
        <v>1.0999999999999999E-2</v>
      </c>
      <c r="S6982" s="508">
        <v>1.0999999999999999E-2</v>
      </c>
      <c r="T6982" s="508">
        <v>1.0999999999999999E-2</v>
      </c>
      <c r="U6982" s="508">
        <v>1.0999999999999999E-2</v>
      </c>
      <c r="V6982" s="508">
        <v>1.0999999999999999E-2</v>
      </c>
      <c r="W6982" s="508">
        <v>1.0999999999999999E-2</v>
      </c>
      <c r="X6982" s="508">
        <v>1.0999999999999999E-2</v>
      </c>
      <c r="Y6982" s="508">
        <v>1.0999999999999999E-2</v>
      </c>
      <c r="Z6982" s="508">
        <v>1.0999999999999999E-2</v>
      </c>
      <c r="AA6982" s="508">
        <v>1.0999999999999999E-2</v>
      </c>
      <c r="AB6982" s="508">
        <v>1.0999999999999999E-2</v>
      </c>
      <c r="AC6982" s="508">
        <v>1.0999999999999999E-2</v>
      </c>
      <c r="AD6982" s="508">
        <v>1.0999999999999999E-2</v>
      </c>
      <c r="AE6982" s="508">
        <v>1.0999999999999999E-2</v>
      </c>
      <c r="AF6982" s="508">
        <v>1.0999999999999999E-2</v>
      </c>
      <c r="AG6982" s="508">
        <v>1.0999999999999999E-2</v>
      </c>
      <c r="AH6982" s="508">
        <v>1.0999999999999999E-2</v>
      </c>
      <c r="AI6982" s="492">
        <v>1.0999999999999999E-2</v>
      </c>
      <c r="AJ6982" s="485"/>
    </row>
    <row r="6983" spans="2:36">
      <c r="B6983" s="136" t="s">
        <v>460</v>
      </c>
      <c r="C6983" s="132" t="s">
        <v>1377</v>
      </c>
      <c r="D6983" s="132" t="s">
        <v>1380</v>
      </c>
      <c r="E6983" s="508"/>
      <c r="F6983" s="508"/>
      <c r="G6983" s="508"/>
      <c r="H6983" s="508"/>
      <c r="I6983" s="508"/>
      <c r="J6983" s="508">
        <v>1.0999999999999999E-2</v>
      </c>
      <c r="K6983" s="508">
        <v>1.0999999999999999E-2</v>
      </c>
      <c r="L6983" s="508">
        <v>1.0999999999999999E-2</v>
      </c>
      <c r="M6983" s="508">
        <v>1.0999999999999999E-2</v>
      </c>
      <c r="N6983" s="508">
        <v>1.0999999999999999E-2</v>
      </c>
      <c r="O6983" s="508">
        <v>1.0999999999999999E-2</v>
      </c>
      <c r="P6983" s="508">
        <v>1.0999999999999999E-2</v>
      </c>
      <c r="Q6983" s="508">
        <v>1.0999999999999999E-2</v>
      </c>
      <c r="R6983" s="508">
        <v>1.0999999999999999E-2</v>
      </c>
      <c r="S6983" s="508">
        <v>1.0999999999999999E-2</v>
      </c>
      <c r="T6983" s="508">
        <v>1.0999999999999999E-2</v>
      </c>
      <c r="U6983" s="508">
        <v>1.0999999999999999E-2</v>
      </c>
      <c r="V6983" s="508">
        <v>1.0999999999999999E-2</v>
      </c>
      <c r="W6983" s="508">
        <v>1.0999999999999999E-2</v>
      </c>
      <c r="X6983" s="508">
        <v>1.0999999999999999E-2</v>
      </c>
      <c r="Y6983" s="508">
        <v>1.0999999999999999E-2</v>
      </c>
      <c r="Z6983" s="508">
        <v>1.0999999999999999E-2</v>
      </c>
      <c r="AA6983" s="508">
        <v>1.0999999999999999E-2</v>
      </c>
      <c r="AB6983" s="508">
        <v>1.0999999999999999E-2</v>
      </c>
      <c r="AC6983" s="508">
        <v>1.0999999999999999E-2</v>
      </c>
      <c r="AD6983" s="508">
        <v>1.0999999999999999E-2</v>
      </c>
      <c r="AE6983" s="508">
        <v>1.0999999999999999E-2</v>
      </c>
      <c r="AF6983" s="508">
        <v>1.0999999999999999E-2</v>
      </c>
      <c r="AG6983" s="508">
        <v>1.0999999999999999E-2</v>
      </c>
      <c r="AH6983" s="508">
        <v>1.0999999999999999E-2</v>
      </c>
      <c r="AI6983" s="492">
        <v>1.0999999999999999E-2</v>
      </c>
      <c r="AJ6983" s="485"/>
    </row>
    <row r="6984" spans="2:36">
      <c r="B6984" s="136" t="s">
        <v>461</v>
      </c>
      <c r="C6984" s="132" t="s">
        <v>1377</v>
      </c>
      <c r="D6984" s="132" t="s">
        <v>1380</v>
      </c>
      <c r="E6984" s="508"/>
      <c r="F6984" s="508"/>
      <c r="G6984" s="508"/>
      <c r="H6984" s="508"/>
      <c r="I6984" s="508"/>
      <c r="J6984" s="508">
        <v>1.0999999999999999E-2</v>
      </c>
      <c r="K6984" s="508">
        <v>1.0999999999999999E-2</v>
      </c>
      <c r="L6984" s="508">
        <v>1.0999999999999999E-2</v>
      </c>
      <c r="M6984" s="508">
        <v>1.0999999999999999E-2</v>
      </c>
      <c r="N6984" s="508">
        <v>1.0999999999999999E-2</v>
      </c>
      <c r="O6984" s="508">
        <v>1.0999999999999999E-2</v>
      </c>
      <c r="P6984" s="508">
        <v>1.0999999999999999E-2</v>
      </c>
      <c r="Q6984" s="508">
        <v>1.0999999999999999E-2</v>
      </c>
      <c r="R6984" s="508">
        <v>1.0999999999999999E-2</v>
      </c>
      <c r="S6984" s="508">
        <v>1.0999999999999999E-2</v>
      </c>
      <c r="T6984" s="508">
        <v>1.0999999999999999E-2</v>
      </c>
      <c r="U6984" s="508">
        <v>1.0999999999999999E-2</v>
      </c>
      <c r="V6984" s="508">
        <v>1.0999999999999999E-2</v>
      </c>
      <c r="W6984" s="508">
        <v>1.0999999999999999E-2</v>
      </c>
      <c r="X6984" s="508">
        <v>1.0999999999999999E-2</v>
      </c>
      <c r="Y6984" s="508">
        <v>1.0999999999999999E-2</v>
      </c>
      <c r="Z6984" s="508">
        <v>1.0999999999999999E-2</v>
      </c>
      <c r="AA6984" s="508">
        <v>1.0999999999999999E-2</v>
      </c>
      <c r="AB6984" s="508">
        <v>1.0999999999999999E-2</v>
      </c>
      <c r="AC6984" s="508">
        <v>1.0999999999999999E-2</v>
      </c>
      <c r="AD6984" s="508">
        <v>1.0999999999999999E-2</v>
      </c>
      <c r="AE6984" s="508">
        <v>1.0999999999999999E-2</v>
      </c>
      <c r="AF6984" s="508">
        <v>1.0999999999999999E-2</v>
      </c>
      <c r="AG6984" s="508">
        <v>1.0999999999999999E-2</v>
      </c>
      <c r="AH6984" s="508">
        <v>1.0999999999999999E-2</v>
      </c>
      <c r="AI6984" s="492">
        <v>1.0999999999999999E-2</v>
      </c>
      <c r="AJ6984" s="485"/>
    </row>
    <row r="6985" spans="2:36">
      <c r="B6985" s="136" t="s">
        <v>462</v>
      </c>
      <c r="C6985" s="132" t="s">
        <v>1377</v>
      </c>
      <c r="D6985" s="132" t="s">
        <v>1380</v>
      </c>
      <c r="E6985" s="508"/>
      <c r="F6985" s="508"/>
      <c r="G6985" s="508"/>
      <c r="H6985" s="508"/>
      <c r="I6985" s="508"/>
      <c r="J6985" s="508">
        <v>0.01</v>
      </c>
      <c r="K6985" s="508">
        <v>0.01</v>
      </c>
      <c r="L6985" s="508">
        <v>0.01</v>
      </c>
      <c r="M6985" s="508">
        <v>0.01</v>
      </c>
      <c r="N6985" s="508">
        <v>0.01</v>
      </c>
      <c r="O6985" s="508">
        <v>0.01</v>
      </c>
      <c r="P6985" s="508">
        <v>0.01</v>
      </c>
      <c r="Q6985" s="508">
        <v>0.01</v>
      </c>
      <c r="R6985" s="508">
        <v>0.01</v>
      </c>
      <c r="S6985" s="508">
        <v>0.01</v>
      </c>
      <c r="T6985" s="508">
        <v>0.01</v>
      </c>
      <c r="U6985" s="508">
        <v>0.01</v>
      </c>
      <c r="V6985" s="508">
        <v>0.01</v>
      </c>
      <c r="W6985" s="508">
        <v>0.01</v>
      </c>
      <c r="X6985" s="508">
        <v>0.01</v>
      </c>
      <c r="Y6985" s="508">
        <v>0.01</v>
      </c>
      <c r="Z6985" s="508">
        <v>0.01</v>
      </c>
      <c r="AA6985" s="508">
        <v>0.01</v>
      </c>
      <c r="AB6985" s="508">
        <v>0.01</v>
      </c>
      <c r="AC6985" s="508">
        <v>0.01</v>
      </c>
      <c r="AD6985" s="508">
        <v>0.01</v>
      </c>
      <c r="AE6985" s="508">
        <v>0.01</v>
      </c>
      <c r="AF6985" s="508">
        <v>0.01</v>
      </c>
      <c r="AG6985" s="508">
        <v>0.01</v>
      </c>
      <c r="AH6985" s="508">
        <v>0.01</v>
      </c>
      <c r="AI6985" s="492">
        <v>0.01</v>
      </c>
      <c r="AJ6985" s="485"/>
    </row>
    <row r="6986" spans="2:36">
      <c r="B6986" s="136" t="s">
        <v>463</v>
      </c>
      <c r="C6986" s="132" t="s">
        <v>1377</v>
      </c>
      <c r="D6986" s="132" t="s">
        <v>1380</v>
      </c>
      <c r="E6986" s="508"/>
      <c r="F6986" s="508"/>
      <c r="G6986" s="508"/>
      <c r="H6986" s="508"/>
      <c r="I6986" s="508"/>
      <c r="J6986" s="508">
        <v>8.9999999999999993E-3</v>
      </c>
      <c r="K6986" s="508">
        <v>8.9999999999999993E-3</v>
      </c>
      <c r="L6986" s="508">
        <v>8.9999999999999993E-3</v>
      </c>
      <c r="M6986" s="508">
        <v>8.9999999999999993E-3</v>
      </c>
      <c r="N6986" s="508">
        <v>8.9999999999999993E-3</v>
      </c>
      <c r="O6986" s="508">
        <v>8.9999999999999993E-3</v>
      </c>
      <c r="P6986" s="508">
        <v>8.9999999999999993E-3</v>
      </c>
      <c r="Q6986" s="508">
        <v>8.9999999999999993E-3</v>
      </c>
      <c r="R6986" s="508">
        <v>8.9999999999999993E-3</v>
      </c>
      <c r="S6986" s="508">
        <v>8.9999999999999993E-3</v>
      </c>
      <c r="T6986" s="508">
        <v>8.9999999999999993E-3</v>
      </c>
      <c r="U6986" s="508">
        <v>8.9999999999999993E-3</v>
      </c>
      <c r="V6986" s="508">
        <v>8.9999999999999993E-3</v>
      </c>
      <c r="W6986" s="508">
        <v>8.9999999999999993E-3</v>
      </c>
      <c r="X6986" s="508">
        <v>8.9999999999999993E-3</v>
      </c>
      <c r="Y6986" s="508">
        <v>8.9999999999999993E-3</v>
      </c>
      <c r="Z6986" s="508">
        <v>8.9999999999999993E-3</v>
      </c>
      <c r="AA6986" s="508">
        <v>8.9999999999999993E-3</v>
      </c>
      <c r="AB6986" s="508">
        <v>8.9999999999999993E-3</v>
      </c>
      <c r="AC6986" s="508">
        <v>8.9999999999999993E-3</v>
      </c>
      <c r="AD6986" s="508">
        <v>8.9999999999999993E-3</v>
      </c>
      <c r="AE6986" s="508">
        <v>8.9999999999999993E-3</v>
      </c>
      <c r="AF6986" s="508">
        <v>8.9999999999999993E-3</v>
      </c>
      <c r="AG6986" s="508">
        <v>8.9999999999999993E-3</v>
      </c>
      <c r="AH6986" s="508">
        <v>8.9999999999999993E-3</v>
      </c>
      <c r="AI6986" s="492">
        <v>8.9999999999999993E-3</v>
      </c>
      <c r="AJ6986" s="485"/>
    </row>
    <row r="6987" spans="2:36">
      <c r="B6987" s="136" t="s">
        <v>464</v>
      </c>
      <c r="C6987" s="132" t="s">
        <v>1377</v>
      </c>
      <c r="D6987" s="132" t="s">
        <v>1380</v>
      </c>
      <c r="E6987" s="508"/>
      <c r="F6987" s="508"/>
      <c r="G6987" s="508"/>
      <c r="H6987" s="508"/>
      <c r="I6987" s="508"/>
      <c r="J6987" s="508">
        <v>8.9999999999999993E-3</v>
      </c>
      <c r="K6987" s="508">
        <v>8.9999999999999993E-3</v>
      </c>
      <c r="L6987" s="508">
        <v>8.9999999999999993E-3</v>
      </c>
      <c r="M6987" s="508">
        <v>8.9999999999999993E-3</v>
      </c>
      <c r="N6987" s="508">
        <v>8.9999999999999993E-3</v>
      </c>
      <c r="O6987" s="508">
        <v>8.9999999999999993E-3</v>
      </c>
      <c r="P6987" s="508">
        <v>8.9999999999999993E-3</v>
      </c>
      <c r="Q6987" s="508">
        <v>8.9999999999999993E-3</v>
      </c>
      <c r="R6987" s="508">
        <v>8.9999999999999993E-3</v>
      </c>
      <c r="S6987" s="508">
        <v>8.9999999999999993E-3</v>
      </c>
      <c r="T6987" s="508">
        <v>8.9999999999999993E-3</v>
      </c>
      <c r="U6987" s="508">
        <v>8.9999999999999993E-3</v>
      </c>
      <c r="V6987" s="508">
        <v>8.9999999999999993E-3</v>
      </c>
      <c r="W6987" s="508">
        <v>8.9999999999999993E-3</v>
      </c>
      <c r="X6987" s="508">
        <v>8.9999999999999993E-3</v>
      </c>
      <c r="Y6987" s="508">
        <v>8.9999999999999993E-3</v>
      </c>
      <c r="Z6987" s="508">
        <v>8.9999999999999993E-3</v>
      </c>
      <c r="AA6987" s="508">
        <v>8.9999999999999993E-3</v>
      </c>
      <c r="AB6987" s="508">
        <v>8.9999999999999993E-3</v>
      </c>
      <c r="AC6987" s="508">
        <v>8.9999999999999993E-3</v>
      </c>
      <c r="AD6987" s="508">
        <v>8.9999999999999993E-3</v>
      </c>
      <c r="AE6987" s="508">
        <v>8.9999999999999993E-3</v>
      </c>
      <c r="AF6987" s="508">
        <v>8.9999999999999993E-3</v>
      </c>
      <c r="AG6987" s="508">
        <v>8.9999999999999993E-3</v>
      </c>
      <c r="AH6987" s="508">
        <v>8.9999999999999993E-3</v>
      </c>
      <c r="AI6987" s="492">
        <v>8.9999999999999993E-3</v>
      </c>
      <c r="AJ6987" s="485"/>
    </row>
    <row r="6988" spans="2:36">
      <c r="B6988" s="136" t="s">
        <v>465</v>
      </c>
      <c r="C6988" s="132" t="s">
        <v>1377</v>
      </c>
      <c r="D6988" s="132" t="s">
        <v>1380</v>
      </c>
      <c r="E6988" s="508"/>
      <c r="F6988" s="508"/>
      <c r="G6988" s="508"/>
      <c r="H6988" s="508"/>
      <c r="I6988" s="508"/>
      <c r="J6988" s="508">
        <v>8.9999999999999993E-3</v>
      </c>
      <c r="K6988" s="508">
        <v>8.9999999999999993E-3</v>
      </c>
      <c r="L6988" s="508">
        <v>8.9999999999999993E-3</v>
      </c>
      <c r="M6988" s="508">
        <v>8.9999999999999993E-3</v>
      </c>
      <c r="N6988" s="508">
        <v>8.9999999999999993E-3</v>
      </c>
      <c r="O6988" s="508">
        <v>8.9999999999999993E-3</v>
      </c>
      <c r="P6988" s="508">
        <v>8.9999999999999993E-3</v>
      </c>
      <c r="Q6988" s="508">
        <v>8.9999999999999993E-3</v>
      </c>
      <c r="R6988" s="508">
        <v>8.9999999999999993E-3</v>
      </c>
      <c r="S6988" s="508">
        <v>8.9999999999999993E-3</v>
      </c>
      <c r="T6988" s="508">
        <v>8.9999999999999993E-3</v>
      </c>
      <c r="U6988" s="508">
        <v>8.9999999999999993E-3</v>
      </c>
      <c r="V6988" s="508">
        <v>8.9999999999999993E-3</v>
      </c>
      <c r="W6988" s="508">
        <v>8.9999999999999993E-3</v>
      </c>
      <c r="X6988" s="508">
        <v>8.9999999999999993E-3</v>
      </c>
      <c r="Y6988" s="508">
        <v>8.9999999999999993E-3</v>
      </c>
      <c r="Z6988" s="508">
        <v>8.9999999999999993E-3</v>
      </c>
      <c r="AA6988" s="508">
        <v>8.9999999999999993E-3</v>
      </c>
      <c r="AB6988" s="508">
        <v>8.9999999999999993E-3</v>
      </c>
      <c r="AC6988" s="508">
        <v>8.9999999999999993E-3</v>
      </c>
      <c r="AD6988" s="508">
        <v>8.9999999999999993E-3</v>
      </c>
      <c r="AE6988" s="508">
        <v>8.9999999999999993E-3</v>
      </c>
      <c r="AF6988" s="508">
        <v>8.9999999999999993E-3</v>
      </c>
      <c r="AG6988" s="508">
        <v>8.9999999999999993E-3</v>
      </c>
      <c r="AH6988" s="508">
        <v>8.9999999999999993E-3</v>
      </c>
      <c r="AI6988" s="492">
        <v>8.9999999999999993E-3</v>
      </c>
      <c r="AJ6988" s="485"/>
    </row>
    <row r="6989" spans="2:36">
      <c r="B6989" s="136" t="s">
        <v>466</v>
      </c>
      <c r="C6989" s="132" t="s">
        <v>1377</v>
      </c>
      <c r="D6989" s="132" t="s">
        <v>1380</v>
      </c>
      <c r="E6989" s="508"/>
      <c r="F6989" s="508"/>
      <c r="G6989" s="508"/>
      <c r="H6989" s="508"/>
      <c r="I6989" s="508"/>
      <c r="J6989" s="508">
        <v>1.2E-2</v>
      </c>
      <c r="K6989" s="508">
        <v>1.2E-2</v>
      </c>
      <c r="L6989" s="508">
        <v>1.2E-2</v>
      </c>
      <c r="M6989" s="508">
        <v>1.2E-2</v>
      </c>
      <c r="N6989" s="508">
        <v>1.2E-2</v>
      </c>
      <c r="O6989" s="508">
        <v>1.2E-2</v>
      </c>
      <c r="P6989" s="508">
        <v>1.2E-2</v>
      </c>
      <c r="Q6989" s="508">
        <v>1.2E-2</v>
      </c>
      <c r="R6989" s="508">
        <v>1.2E-2</v>
      </c>
      <c r="S6989" s="508">
        <v>1.2E-2</v>
      </c>
      <c r="T6989" s="508">
        <v>1.2E-2</v>
      </c>
      <c r="U6989" s="508">
        <v>1.2E-2</v>
      </c>
      <c r="V6989" s="508">
        <v>1.2E-2</v>
      </c>
      <c r="W6989" s="508">
        <v>1.2E-2</v>
      </c>
      <c r="X6989" s="508">
        <v>1.2E-2</v>
      </c>
      <c r="Y6989" s="508">
        <v>1.2E-2</v>
      </c>
      <c r="Z6989" s="508">
        <v>1.2E-2</v>
      </c>
      <c r="AA6989" s="508">
        <v>1.2E-2</v>
      </c>
      <c r="AB6989" s="508">
        <v>1.2E-2</v>
      </c>
      <c r="AC6989" s="508">
        <v>1.2E-2</v>
      </c>
      <c r="AD6989" s="508">
        <v>1.2E-2</v>
      </c>
      <c r="AE6989" s="508">
        <v>1.2E-2</v>
      </c>
      <c r="AF6989" s="508">
        <v>1.2E-2</v>
      </c>
      <c r="AG6989" s="508">
        <v>1.2E-2</v>
      </c>
      <c r="AH6989" s="508">
        <v>1.2E-2</v>
      </c>
      <c r="AI6989" s="492">
        <v>1.2E-2</v>
      </c>
      <c r="AJ6989" s="485"/>
    </row>
    <row r="6990" spans="2:36">
      <c r="B6990" s="136" t="s">
        <v>467</v>
      </c>
      <c r="C6990" s="132" t="s">
        <v>1377</v>
      </c>
      <c r="D6990" s="132" t="s">
        <v>1380</v>
      </c>
      <c r="E6990" s="508"/>
      <c r="F6990" s="508"/>
      <c r="G6990" s="508"/>
      <c r="H6990" s="508"/>
      <c r="I6990" s="508"/>
      <c r="J6990" s="508">
        <v>0.01</v>
      </c>
      <c r="K6990" s="508">
        <v>0.01</v>
      </c>
      <c r="L6990" s="508">
        <v>0.01</v>
      </c>
      <c r="M6990" s="508">
        <v>0.01</v>
      </c>
      <c r="N6990" s="508">
        <v>0.01</v>
      </c>
      <c r="O6990" s="508">
        <v>0.01</v>
      </c>
      <c r="P6990" s="508">
        <v>0.01</v>
      </c>
      <c r="Q6990" s="508">
        <v>0.01</v>
      </c>
      <c r="R6990" s="508">
        <v>0.01</v>
      </c>
      <c r="S6990" s="508">
        <v>0.01</v>
      </c>
      <c r="T6990" s="508">
        <v>0.01</v>
      </c>
      <c r="U6990" s="508">
        <v>0.01</v>
      </c>
      <c r="V6990" s="508">
        <v>0.01</v>
      </c>
      <c r="W6990" s="508">
        <v>0.01</v>
      </c>
      <c r="X6990" s="508">
        <v>0.01</v>
      </c>
      <c r="Y6990" s="508">
        <v>0.01</v>
      </c>
      <c r="Z6990" s="508">
        <v>0.01</v>
      </c>
      <c r="AA6990" s="508">
        <v>0.01</v>
      </c>
      <c r="AB6990" s="508">
        <v>0.01</v>
      </c>
      <c r="AC6990" s="508">
        <v>0.01</v>
      </c>
      <c r="AD6990" s="508">
        <v>0.01</v>
      </c>
      <c r="AE6990" s="508">
        <v>0.01</v>
      </c>
      <c r="AF6990" s="508">
        <v>0.01</v>
      </c>
      <c r="AG6990" s="508">
        <v>0.01</v>
      </c>
      <c r="AH6990" s="508">
        <v>0.01</v>
      </c>
      <c r="AI6990" s="492">
        <v>0.01</v>
      </c>
      <c r="AJ6990" s="485"/>
    </row>
    <row r="6991" spans="2:36">
      <c r="B6991" s="136" t="s">
        <v>468</v>
      </c>
      <c r="C6991" s="132" t="s">
        <v>1377</v>
      </c>
      <c r="D6991" s="132" t="s">
        <v>1380</v>
      </c>
      <c r="E6991" s="508"/>
      <c r="F6991" s="508"/>
      <c r="G6991" s="508"/>
      <c r="H6991" s="508"/>
      <c r="I6991" s="508"/>
      <c r="J6991" s="508">
        <v>8.9999999999999993E-3</v>
      </c>
      <c r="K6991" s="508">
        <v>8.9999999999999993E-3</v>
      </c>
      <c r="L6991" s="508">
        <v>8.9999999999999993E-3</v>
      </c>
      <c r="M6991" s="508">
        <v>8.9999999999999993E-3</v>
      </c>
      <c r="N6991" s="508">
        <v>8.9999999999999993E-3</v>
      </c>
      <c r="O6991" s="508">
        <v>8.9999999999999993E-3</v>
      </c>
      <c r="P6991" s="508">
        <v>8.9999999999999993E-3</v>
      </c>
      <c r="Q6991" s="508">
        <v>8.9999999999999993E-3</v>
      </c>
      <c r="R6991" s="508">
        <v>8.9999999999999993E-3</v>
      </c>
      <c r="S6991" s="508">
        <v>8.9999999999999993E-3</v>
      </c>
      <c r="T6991" s="508">
        <v>8.9999999999999993E-3</v>
      </c>
      <c r="U6991" s="508">
        <v>8.9999999999999993E-3</v>
      </c>
      <c r="V6991" s="508">
        <v>8.9999999999999993E-3</v>
      </c>
      <c r="W6991" s="508">
        <v>8.9999999999999993E-3</v>
      </c>
      <c r="X6991" s="508">
        <v>8.9999999999999993E-3</v>
      </c>
      <c r="Y6991" s="508">
        <v>8.9999999999999993E-3</v>
      </c>
      <c r="Z6991" s="508">
        <v>8.9999999999999993E-3</v>
      </c>
      <c r="AA6991" s="508">
        <v>8.9999999999999993E-3</v>
      </c>
      <c r="AB6991" s="508">
        <v>8.9999999999999993E-3</v>
      </c>
      <c r="AC6991" s="508">
        <v>8.9999999999999993E-3</v>
      </c>
      <c r="AD6991" s="508">
        <v>8.9999999999999993E-3</v>
      </c>
      <c r="AE6991" s="508">
        <v>8.9999999999999993E-3</v>
      </c>
      <c r="AF6991" s="508">
        <v>8.9999999999999993E-3</v>
      </c>
      <c r="AG6991" s="508">
        <v>8.9999999999999993E-3</v>
      </c>
      <c r="AH6991" s="508">
        <v>8.9999999999999993E-3</v>
      </c>
      <c r="AI6991" s="492">
        <v>8.9999999999999993E-3</v>
      </c>
      <c r="AJ6991" s="485"/>
    </row>
    <row r="6992" spans="2:36">
      <c r="B6992" s="136" t="s">
        <v>469</v>
      </c>
      <c r="C6992" s="132" t="s">
        <v>1377</v>
      </c>
      <c r="D6992" s="132" t="s">
        <v>1380</v>
      </c>
      <c r="E6992" s="508"/>
      <c r="F6992" s="508"/>
      <c r="G6992" s="508"/>
      <c r="H6992" s="508"/>
      <c r="I6992" s="508"/>
      <c r="J6992" s="508">
        <v>0.01</v>
      </c>
      <c r="K6992" s="508">
        <v>0.01</v>
      </c>
      <c r="L6992" s="508">
        <v>0.01</v>
      </c>
      <c r="M6992" s="508">
        <v>0.01</v>
      </c>
      <c r="N6992" s="508">
        <v>0.01</v>
      </c>
      <c r="O6992" s="508">
        <v>0.01</v>
      </c>
      <c r="P6992" s="508">
        <v>0.01</v>
      </c>
      <c r="Q6992" s="508">
        <v>0.01</v>
      </c>
      <c r="R6992" s="508">
        <v>0.01</v>
      </c>
      <c r="S6992" s="508">
        <v>0.01</v>
      </c>
      <c r="T6992" s="508">
        <v>0.01</v>
      </c>
      <c r="U6992" s="508">
        <v>0.01</v>
      </c>
      <c r="V6992" s="508">
        <v>0.01</v>
      </c>
      <c r="W6992" s="508">
        <v>0.01</v>
      </c>
      <c r="X6992" s="508">
        <v>0.01</v>
      </c>
      <c r="Y6992" s="508">
        <v>0.01</v>
      </c>
      <c r="Z6992" s="508">
        <v>0.01</v>
      </c>
      <c r="AA6992" s="508">
        <v>0.01</v>
      </c>
      <c r="AB6992" s="508">
        <v>0.01</v>
      </c>
      <c r="AC6992" s="508">
        <v>0.01</v>
      </c>
      <c r="AD6992" s="508">
        <v>0.01</v>
      </c>
      <c r="AE6992" s="508">
        <v>0.01</v>
      </c>
      <c r="AF6992" s="508">
        <v>0.01</v>
      </c>
      <c r="AG6992" s="508">
        <v>0.01</v>
      </c>
      <c r="AH6992" s="508">
        <v>0.01</v>
      </c>
      <c r="AI6992" s="492">
        <v>0.01</v>
      </c>
      <c r="AJ6992" s="485"/>
    </row>
    <row r="6993" spans="2:36">
      <c r="B6993" s="136" t="s">
        <v>470</v>
      </c>
      <c r="C6993" s="132" t="s">
        <v>1377</v>
      </c>
      <c r="D6993" s="132" t="s">
        <v>1380</v>
      </c>
      <c r="E6993" s="508"/>
      <c r="F6993" s="508"/>
      <c r="G6993" s="508"/>
      <c r="H6993" s="508"/>
      <c r="I6993" s="508"/>
      <c r="J6993" s="508">
        <v>1.2E-2</v>
      </c>
      <c r="K6993" s="508">
        <v>1.2E-2</v>
      </c>
      <c r="L6993" s="508">
        <v>1.2E-2</v>
      </c>
      <c r="M6993" s="508">
        <v>1.2E-2</v>
      </c>
      <c r="N6993" s="508">
        <v>1.2E-2</v>
      </c>
      <c r="O6993" s="508">
        <v>1.2E-2</v>
      </c>
      <c r="P6993" s="508">
        <v>1.2E-2</v>
      </c>
      <c r="Q6993" s="508">
        <v>1.2E-2</v>
      </c>
      <c r="R6993" s="508">
        <v>1.2E-2</v>
      </c>
      <c r="S6993" s="508">
        <v>1.2E-2</v>
      </c>
      <c r="T6993" s="508">
        <v>1.2E-2</v>
      </c>
      <c r="U6993" s="508">
        <v>1.2E-2</v>
      </c>
      <c r="V6993" s="508">
        <v>1.2E-2</v>
      </c>
      <c r="W6993" s="508">
        <v>1.2E-2</v>
      </c>
      <c r="X6993" s="508">
        <v>1.2E-2</v>
      </c>
      <c r="Y6993" s="508">
        <v>1.2E-2</v>
      </c>
      <c r="Z6993" s="508">
        <v>1.2E-2</v>
      </c>
      <c r="AA6993" s="508">
        <v>1.2E-2</v>
      </c>
      <c r="AB6993" s="508">
        <v>1.2E-2</v>
      </c>
      <c r="AC6993" s="508">
        <v>1.2E-2</v>
      </c>
      <c r="AD6993" s="508">
        <v>1.2E-2</v>
      </c>
      <c r="AE6993" s="508">
        <v>1.2E-2</v>
      </c>
      <c r="AF6993" s="508">
        <v>1.2E-2</v>
      </c>
      <c r="AG6993" s="508">
        <v>1.2E-2</v>
      </c>
      <c r="AH6993" s="508">
        <v>1.2E-2</v>
      </c>
      <c r="AI6993" s="492">
        <v>1.2E-2</v>
      </c>
      <c r="AJ6993" s="485"/>
    </row>
    <row r="6994" spans="2:36">
      <c r="B6994" s="136" t="s">
        <v>471</v>
      </c>
      <c r="C6994" s="132" t="s">
        <v>1377</v>
      </c>
      <c r="D6994" s="132" t="s">
        <v>1380</v>
      </c>
      <c r="E6994" s="508"/>
      <c r="F6994" s="508"/>
      <c r="G6994" s="508"/>
      <c r="H6994" s="508"/>
      <c r="I6994" s="508"/>
      <c r="J6994" s="508">
        <v>1.0999999999999999E-2</v>
      </c>
      <c r="K6994" s="508">
        <v>1.0999999999999999E-2</v>
      </c>
      <c r="L6994" s="508">
        <v>1.0999999999999999E-2</v>
      </c>
      <c r="M6994" s="508">
        <v>1.0999999999999999E-2</v>
      </c>
      <c r="N6994" s="508">
        <v>1.0999999999999999E-2</v>
      </c>
      <c r="O6994" s="508">
        <v>1.0999999999999999E-2</v>
      </c>
      <c r="P6994" s="508">
        <v>1.0999999999999999E-2</v>
      </c>
      <c r="Q6994" s="508">
        <v>1.0999999999999999E-2</v>
      </c>
      <c r="R6994" s="508">
        <v>1.0999999999999999E-2</v>
      </c>
      <c r="S6994" s="508">
        <v>1.0999999999999999E-2</v>
      </c>
      <c r="T6994" s="508">
        <v>1.0999999999999999E-2</v>
      </c>
      <c r="U6994" s="508">
        <v>1.0999999999999999E-2</v>
      </c>
      <c r="V6994" s="508">
        <v>1.0999999999999999E-2</v>
      </c>
      <c r="W6994" s="508">
        <v>1.0999999999999999E-2</v>
      </c>
      <c r="X6994" s="508">
        <v>1.0999999999999999E-2</v>
      </c>
      <c r="Y6994" s="508">
        <v>1.0999999999999999E-2</v>
      </c>
      <c r="Z6994" s="508">
        <v>1.0999999999999999E-2</v>
      </c>
      <c r="AA6994" s="508">
        <v>1.0999999999999999E-2</v>
      </c>
      <c r="AB6994" s="508">
        <v>1.0999999999999999E-2</v>
      </c>
      <c r="AC6994" s="508">
        <v>1.0999999999999999E-2</v>
      </c>
      <c r="AD6994" s="508">
        <v>1.0999999999999999E-2</v>
      </c>
      <c r="AE6994" s="508">
        <v>1.0999999999999999E-2</v>
      </c>
      <c r="AF6994" s="508">
        <v>1.0999999999999999E-2</v>
      </c>
      <c r="AG6994" s="508">
        <v>1.0999999999999999E-2</v>
      </c>
      <c r="AH6994" s="508">
        <v>1.0999999999999999E-2</v>
      </c>
      <c r="AI6994" s="492">
        <v>1.0999999999999999E-2</v>
      </c>
      <c r="AJ6994" s="485"/>
    </row>
    <row r="6995" spans="2:36">
      <c r="B6995" s="136" t="s">
        <v>472</v>
      </c>
      <c r="C6995" s="132" t="s">
        <v>1377</v>
      </c>
      <c r="D6995" s="132" t="s">
        <v>1380</v>
      </c>
      <c r="E6995" s="508"/>
      <c r="F6995" s="508"/>
      <c r="G6995" s="508"/>
      <c r="H6995" s="508"/>
      <c r="I6995" s="508"/>
      <c r="J6995" s="508">
        <v>8.9999999999999993E-3</v>
      </c>
      <c r="K6995" s="508">
        <v>8.9999999999999993E-3</v>
      </c>
      <c r="L6995" s="508">
        <v>8.9999999999999993E-3</v>
      </c>
      <c r="M6995" s="508">
        <v>8.9999999999999993E-3</v>
      </c>
      <c r="N6995" s="508">
        <v>8.9999999999999993E-3</v>
      </c>
      <c r="O6995" s="508">
        <v>8.9999999999999993E-3</v>
      </c>
      <c r="P6995" s="508">
        <v>8.9999999999999993E-3</v>
      </c>
      <c r="Q6995" s="508">
        <v>8.9999999999999993E-3</v>
      </c>
      <c r="R6995" s="508">
        <v>8.9999999999999993E-3</v>
      </c>
      <c r="S6995" s="508">
        <v>8.9999999999999993E-3</v>
      </c>
      <c r="T6995" s="508">
        <v>8.9999999999999993E-3</v>
      </c>
      <c r="U6995" s="508">
        <v>8.9999999999999993E-3</v>
      </c>
      <c r="V6995" s="508">
        <v>8.9999999999999993E-3</v>
      </c>
      <c r="W6995" s="508">
        <v>8.9999999999999993E-3</v>
      </c>
      <c r="X6995" s="508">
        <v>8.9999999999999993E-3</v>
      </c>
      <c r="Y6995" s="508">
        <v>8.9999999999999993E-3</v>
      </c>
      <c r="Z6995" s="508">
        <v>8.9999999999999993E-3</v>
      </c>
      <c r="AA6995" s="508">
        <v>8.9999999999999993E-3</v>
      </c>
      <c r="AB6995" s="508">
        <v>8.9999999999999993E-3</v>
      </c>
      <c r="AC6995" s="508">
        <v>8.9999999999999993E-3</v>
      </c>
      <c r="AD6995" s="508">
        <v>8.9999999999999993E-3</v>
      </c>
      <c r="AE6995" s="508">
        <v>8.9999999999999993E-3</v>
      </c>
      <c r="AF6995" s="508">
        <v>8.9999999999999993E-3</v>
      </c>
      <c r="AG6995" s="508">
        <v>8.9999999999999993E-3</v>
      </c>
      <c r="AH6995" s="508">
        <v>8.9999999999999993E-3</v>
      </c>
      <c r="AI6995" s="492">
        <v>8.9999999999999993E-3</v>
      </c>
      <c r="AJ6995" s="485"/>
    </row>
    <row r="6996" spans="2:36">
      <c r="B6996" s="136" t="s">
        <v>473</v>
      </c>
      <c r="C6996" s="132" t="s">
        <v>1377</v>
      </c>
      <c r="D6996" s="132" t="s">
        <v>1380</v>
      </c>
      <c r="E6996" s="508"/>
      <c r="F6996" s="508"/>
      <c r="G6996" s="508"/>
      <c r="H6996" s="508"/>
      <c r="I6996" s="508"/>
      <c r="J6996" s="508">
        <v>1.2E-2</v>
      </c>
      <c r="K6996" s="508">
        <v>1.2E-2</v>
      </c>
      <c r="L6996" s="508">
        <v>1.2E-2</v>
      </c>
      <c r="M6996" s="508">
        <v>1.2E-2</v>
      </c>
      <c r="N6996" s="508">
        <v>1.2E-2</v>
      </c>
      <c r="O6996" s="508">
        <v>1.2E-2</v>
      </c>
      <c r="P6996" s="508">
        <v>1.2E-2</v>
      </c>
      <c r="Q6996" s="508">
        <v>1.2E-2</v>
      </c>
      <c r="R6996" s="508">
        <v>1.2E-2</v>
      </c>
      <c r="S6996" s="508">
        <v>1.2E-2</v>
      </c>
      <c r="T6996" s="508">
        <v>1.2E-2</v>
      </c>
      <c r="U6996" s="508">
        <v>1.2E-2</v>
      </c>
      <c r="V6996" s="508">
        <v>1.2E-2</v>
      </c>
      <c r="W6996" s="508">
        <v>1.2E-2</v>
      </c>
      <c r="X6996" s="508">
        <v>1.2E-2</v>
      </c>
      <c r="Y6996" s="508">
        <v>1.2E-2</v>
      </c>
      <c r="Z6996" s="508">
        <v>1.2E-2</v>
      </c>
      <c r="AA6996" s="508">
        <v>1.2E-2</v>
      </c>
      <c r="AB6996" s="508">
        <v>1.2E-2</v>
      </c>
      <c r="AC6996" s="508">
        <v>1.2E-2</v>
      </c>
      <c r="AD6996" s="508">
        <v>1.2E-2</v>
      </c>
      <c r="AE6996" s="508">
        <v>1.2E-2</v>
      </c>
      <c r="AF6996" s="508">
        <v>1.2E-2</v>
      </c>
      <c r="AG6996" s="508">
        <v>1.2E-2</v>
      </c>
      <c r="AH6996" s="508">
        <v>1.2E-2</v>
      </c>
      <c r="AI6996" s="492">
        <v>1.2E-2</v>
      </c>
      <c r="AJ6996" s="485"/>
    </row>
    <row r="6997" spans="2:36">
      <c r="B6997" s="136" t="s">
        <v>474</v>
      </c>
      <c r="C6997" s="132" t="s">
        <v>1377</v>
      </c>
      <c r="D6997" s="132" t="s">
        <v>1380</v>
      </c>
      <c r="E6997" s="508"/>
      <c r="F6997" s="508"/>
      <c r="G6997" s="508"/>
      <c r="H6997" s="508"/>
      <c r="I6997" s="508"/>
      <c r="J6997" s="508">
        <v>1.0999999999999999E-2</v>
      </c>
      <c r="K6997" s="508">
        <v>1.0999999999999999E-2</v>
      </c>
      <c r="L6997" s="508">
        <v>1.0999999999999999E-2</v>
      </c>
      <c r="M6997" s="508">
        <v>1.0999999999999999E-2</v>
      </c>
      <c r="N6997" s="508">
        <v>1.0999999999999999E-2</v>
      </c>
      <c r="O6997" s="508">
        <v>1.0999999999999999E-2</v>
      </c>
      <c r="P6997" s="508">
        <v>1.0999999999999999E-2</v>
      </c>
      <c r="Q6997" s="508">
        <v>1.0999999999999999E-2</v>
      </c>
      <c r="R6997" s="508">
        <v>1.0999999999999999E-2</v>
      </c>
      <c r="S6997" s="508">
        <v>1.0999999999999999E-2</v>
      </c>
      <c r="T6997" s="508">
        <v>1.0999999999999999E-2</v>
      </c>
      <c r="U6997" s="508">
        <v>1.0999999999999999E-2</v>
      </c>
      <c r="V6997" s="508">
        <v>1.0999999999999999E-2</v>
      </c>
      <c r="W6997" s="508">
        <v>1.0999999999999999E-2</v>
      </c>
      <c r="X6997" s="508">
        <v>1.0999999999999999E-2</v>
      </c>
      <c r="Y6997" s="508">
        <v>1.0999999999999999E-2</v>
      </c>
      <c r="Z6997" s="508">
        <v>1.0999999999999999E-2</v>
      </c>
      <c r="AA6997" s="508">
        <v>1.0999999999999999E-2</v>
      </c>
      <c r="AB6997" s="508">
        <v>1.0999999999999999E-2</v>
      </c>
      <c r="AC6997" s="508">
        <v>1.0999999999999999E-2</v>
      </c>
      <c r="AD6997" s="508">
        <v>1.0999999999999999E-2</v>
      </c>
      <c r="AE6997" s="508">
        <v>1.0999999999999999E-2</v>
      </c>
      <c r="AF6997" s="508">
        <v>1.0999999999999999E-2</v>
      </c>
      <c r="AG6997" s="508">
        <v>1.0999999999999999E-2</v>
      </c>
      <c r="AH6997" s="508">
        <v>1.0999999999999999E-2</v>
      </c>
      <c r="AI6997" s="492">
        <v>1.0999999999999999E-2</v>
      </c>
      <c r="AJ6997" s="485"/>
    </row>
    <row r="6998" spans="2:36">
      <c r="B6998" s="136" t="s">
        <v>475</v>
      </c>
      <c r="C6998" s="132" t="s">
        <v>1377</v>
      </c>
      <c r="D6998" s="132" t="s">
        <v>1380</v>
      </c>
      <c r="E6998" s="508"/>
      <c r="F6998" s="508"/>
      <c r="G6998" s="508"/>
      <c r="H6998" s="508"/>
      <c r="I6998" s="508"/>
      <c r="J6998" s="508">
        <v>0.01</v>
      </c>
      <c r="K6998" s="508">
        <v>0.01</v>
      </c>
      <c r="L6998" s="508">
        <v>0.01</v>
      </c>
      <c r="M6998" s="508">
        <v>0.01</v>
      </c>
      <c r="N6998" s="508">
        <v>0.01</v>
      </c>
      <c r="O6998" s="508">
        <v>0.01</v>
      </c>
      <c r="P6998" s="508">
        <v>0.01</v>
      </c>
      <c r="Q6998" s="508">
        <v>0.01</v>
      </c>
      <c r="R6998" s="508">
        <v>0.01</v>
      </c>
      <c r="S6998" s="508">
        <v>0.01</v>
      </c>
      <c r="T6998" s="508">
        <v>0.01</v>
      </c>
      <c r="U6998" s="508">
        <v>0.01</v>
      </c>
      <c r="V6998" s="508">
        <v>0.01</v>
      </c>
      <c r="W6998" s="508">
        <v>0.01</v>
      </c>
      <c r="X6998" s="508">
        <v>0.01</v>
      </c>
      <c r="Y6998" s="508">
        <v>0.01</v>
      </c>
      <c r="Z6998" s="508">
        <v>0.01</v>
      </c>
      <c r="AA6998" s="508">
        <v>0.01</v>
      </c>
      <c r="AB6998" s="508">
        <v>0.01</v>
      </c>
      <c r="AC6998" s="508">
        <v>0.01</v>
      </c>
      <c r="AD6998" s="508">
        <v>0.01</v>
      </c>
      <c r="AE6998" s="508">
        <v>0.01</v>
      </c>
      <c r="AF6998" s="508">
        <v>0.01</v>
      </c>
      <c r="AG6998" s="508">
        <v>0.01</v>
      </c>
      <c r="AH6998" s="508">
        <v>0.01</v>
      </c>
      <c r="AI6998" s="492">
        <v>0.01</v>
      </c>
      <c r="AJ6998" s="485"/>
    </row>
    <row r="6999" spans="2:36">
      <c r="B6999" s="136" t="s">
        <v>476</v>
      </c>
      <c r="C6999" s="132" t="s">
        <v>1377</v>
      </c>
      <c r="D6999" s="132" t="s">
        <v>1380</v>
      </c>
      <c r="E6999" s="508"/>
      <c r="F6999" s="508"/>
      <c r="G6999" s="508"/>
      <c r="H6999" s="508"/>
      <c r="I6999" s="508"/>
      <c r="J6999" s="508">
        <v>1.0999999999999999E-2</v>
      </c>
      <c r="K6999" s="508">
        <v>1.0999999999999999E-2</v>
      </c>
      <c r="L6999" s="508">
        <v>1.0999999999999999E-2</v>
      </c>
      <c r="M6999" s="508">
        <v>1.0999999999999999E-2</v>
      </c>
      <c r="N6999" s="508">
        <v>1.0999999999999999E-2</v>
      </c>
      <c r="O6999" s="508">
        <v>1.0999999999999999E-2</v>
      </c>
      <c r="P6999" s="508">
        <v>1.0999999999999999E-2</v>
      </c>
      <c r="Q6999" s="508">
        <v>1.0999999999999999E-2</v>
      </c>
      <c r="R6999" s="508">
        <v>1.0999999999999999E-2</v>
      </c>
      <c r="S6999" s="508">
        <v>1.0999999999999999E-2</v>
      </c>
      <c r="T6999" s="508">
        <v>1.0999999999999999E-2</v>
      </c>
      <c r="U6999" s="508">
        <v>1.0999999999999999E-2</v>
      </c>
      <c r="V6999" s="508">
        <v>1.0999999999999999E-2</v>
      </c>
      <c r="W6999" s="508">
        <v>1.0999999999999999E-2</v>
      </c>
      <c r="X6999" s="508">
        <v>1.0999999999999999E-2</v>
      </c>
      <c r="Y6999" s="508">
        <v>1.0999999999999999E-2</v>
      </c>
      <c r="Z6999" s="508">
        <v>1.0999999999999999E-2</v>
      </c>
      <c r="AA6999" s="508">
        <v>1.0999999999999999E-2</v>
      </c>
      <c r="AB6999" s="508">
        <v>1.0999999999999999E-2</v>
      </c>
      <c r="AC6999" s="508">
        <v>1.0999999999999999E-2</v>
      </c>
      <c r="AD6999" s="508">
        <v>1.0999999999999999E-2</v>
      </c>
      <c r="AE6999" s="508">
        <v>1.0999999999999999E-2</v>
      </c>
      <c r="AF6999" s="508">
        <v>1.0999999999999999E-2</v>
      </c>
      <c r="AG6999" s="508">
        <v>1.0999999999999999E-2</v>
      </c>
      <c r="AH6999" s="508">
        <v>1.0999999999999999E-2</v>
      </c>
      <c r="AI6999" s="492">
        <v>1.0999999999999999E-2</v>
      </c>
      <c r="AJ6999" s="485"/>
    </row>
    <row r="7000" spans="2:36">
      <c r="B7000" s="136" t="s">
        <v>478</v>
      </c>
      <c r="C7000" s="132" t="s">
        <v>1377</v>
      </c>
      <c r="D7000" s="132" t="s">
        <v>1380</v>
      </c>
      <c r="E7000" s="508"/>
      <c r="F7000" s="508"/>
      <c r="G7000" s="508"/>
      <c r="H7000" s="508"/>
      <c r="I7000" s="508"/>
      <c r="J7000" s="508">
        <v>1.2E-2</v>
      </c>
      <c r="K7000" s="508">
        <v>1.2E-2</v>
      </c>
      <c r="L7000" s="508">
        <v>1.2E-2</v>
      </c>
      <c r="M7000" s="508">
        <v>1.2E-2</v>
      </c>
      <c r="N7000" s="508">
        <v>1.2E-2</v>
      </c>
      <c r="O7000" s="508">
        <v>1.2E-2</v>
      </c>
      <c r="P7000" s="508">
        <v>1.2E-2</v>
      </c>
      <c r="Q7000" s="508">
        <v>1.2E-2</v>
      </c>
      <c r="R7000" s="508">
        <v>1.2E-2</v>
      </c>
      <c r="S7000" s="508">
        <v>1.2E-2</v>
      </c>
      <c r="T7000" s="508">
        <v>1.2E-2</v>
      </c>
      <c r="U7000" s="508">
        <v>1.2E-2</v>
      </c>
      <c r="V7000" s="508">
        <v>1.2E-2</v>
      </c>
      <c r="W7000" s="508">
        <v>1.2E-2</v>
      </c>
      <c r="X7000" s="508">
        <v>1.2E-2</v>
      </c>
      <c r="Y7000" s="508">
        <v>1.2E-2</v>
      </c>
      <c r="Z7000" s="508">
        <v>1.2E-2</v>
      </c>
      <c r="AA7000" s="508">
        <v>1.2E-2</v>
      </c>
      <c r="AB7000" s="508">
        <v>1.2E-2</v>
      </c>
      <c r="AC7000" s="508">
        <v>1.2E-2</v>
      </c>
      <c r="AD7000" s="508">
        <v>1.2E-2</v>
      </c>
      <c r="AE7000" s="508">
        <v>1.2E-2</v>
      </c>
      <c r="AF7000" s="508">
        <v>1.2E-2</v>
      </c>
      <c r="AG7000" s="508">
        <v>1.2E-2</v>
      </c>
      <c r="AH7000" s="508">
        <v>1.2E-2</v>
      </c>
      <c r="AI7000" s="492">
        <v>1.2E-2</v>
      </c>
      <c r="AJ7000" s="485"/>
    </row>
    <row r="7001" spans="2:36">
      <c r="B7001" s="136" t="s">
        <v>479</v>
      </c>
      <c r="C7001" s="132" t="s">
        <v>1377</v>
      </c>
      <c r="D7001" s="132" t="s">
        <v>1380</v>
      </c>
      <c r="E7001" s="508"/>
      <c r="F7001" s="508"/>
      <c r="G7001" s="508"/>
      <c r="H7001" s="508"/>
      <c r="I7001" s="508"/>
      <c r="J7001" s="508">
        <v>0.01</v>
      </c>
      <c r="K7001" s="508">
        <v>0.01</v>
      </c>
      <c r="L7001" s="508">
        <v>0.01</v>
      </c>
      <c r="M7001" s="508">
        <v>0.01</v>
      </c>
      <c r="N7001" s="508">
        <v>0.01</v>
      </c>
      <c r="O7001" s="508">
        <v>0.01</v>
      </c>
      <c r="P7001" s="508">
        <v>0.01</v>
      </c>
      <c r="Q7001" s="508">
        <v>0.01</v>
      </c>
      <c r="R7001" s="508">
        <v>0.01</v>
      </c>
      <c r="S7001" s="508">
        <v>0.01</v>
      </c>
      <c r="T7001" s="508">
        <v>0.01</v>
      </c>
      <c r="U7001" s="508">
        <v>0.01</v>
      </c>
      <c r="V7001" s="508">
        <v>0.01</v>
      </c>
      <c r="W7001" s="508">
        <v>0.01</v>
      </c>
      <c r="X7001" s="508">
        <v>0.01</v>
      </c>
      <c r="Y7001" s="508">
        <v>0.01</v>
      </c>
      <c r="Z7001" s="508">
        <v>0.01</v>
      </c>
      <c r="AA7001" s="508">
        <v>0.01</v>
      </c>
      <c r="AB7001" s="508">
        <v>0.01</v>
      </c>
      <c r="AC7001" s="508">
        <v>0.01</v>
      </c>
      <c r="AD7001" s="508">
        <v>0.01</v>
      </c>
      <c r="AE7001" s="508">
        <v>0.01</v>
      </c>
      <c r="AF7001" s="508">
        <v>0.01</v>
      </c>
      <c r="AG7001" s="508">
        <v>0.01</v>
      </c>
      <c r="AH7001" s="508">
        <v>0.01</v>
      </c>
      <c r="AI7001" s="492">
        <v>0.01</v>
      </c>
      <c r="AJ7001" s="485"/>
    </row>
    <row r="7002" spans="2:36">
      <c r="B7002" s="136" t="s">
        <v>480</v>
      </c>
      <c r="C7002" s="132" t="s">
        <v>1377</v>
      </c>
      <c r="D7002" s="132" t="s">
        <v>1380</v>
      </c>
      <c r="E7002" s="508"/>
      <c r="F7002" s="508"/>
      <c r="G7002" s="508"/>
      <c r="H7002" s="508"/>
      <c r="I7002" s="508"/>
      <c r="J7002" s="508">
        <v>8.9999999999999993E-3</v>
      </c>
      <c r="K7002" s="508">
        <v>8.9999999999999993E-3</v>
      </c>
      <c r="L7002" s="508">
        <v>8.9999999999999993E-3</v>
      </c>
      <c r="M7002" s="508">
        <v>8.9999999999999993E-3</v>
      </c>
      <c r="N7002" s="508">
        <v>8.9999999999999993E-3</v>
      </c>
      <c r="O7002" s="508">
        <v>8.9999999999999993E-3</v>
      </c>
      <c r="P7002" s="508">
        <v>8.9999999999999993E-3</v>
      </c>
      <c r="Q7002" s="508">
        <v>8.9999999999999993E-3</v>
      </c>
      <c r="R7002" s="508">
        <v>8.9999999999999993E-3</v>
      </c>
      <c r="S7002" s="508">
        <v>8.9999999999999993E-3</v>
      </c>
      <c r="T7002" s="508">
        <v>8.9999999999999993E-3</v>
      </c>
      <c r="U7002" s="508">
        <v>8.9999999999999993E-3</v>
      </c>
      <c r="V7002" s="508">
        <v>8.9999999999999993E-3</v>
      </c>
      <c r="W7002" s="508">
        <v>8.9999999999999993E-3</v>
      </c>
      <c r="X7002" s="508">
        <v>8.9999999999999993E-3</v>
      </c>
      <c r="Y7002" s="508">
        <v>8.9999999999999993E-3</v>
      </c>
      <c r="Z7002" s="508">
        <v>8.9999999999999993E-3</v>
      </c>
      <c r="AA7002" s="508">
        <v>8.9999999999999993E-3</v>
      </c>
      <c r="AB7002" s="508">
        <v>8.9999999999999993E-3</v>
      </c>
      <c r="AC7002" s="508">
        <v>8.9999999999999993E-3</v>
      </c>
      <c r="AD7002" s="508">
        <v>8.9999999999999993E-3</v>
      </c>
      <c r="AE7002" s="508">
        <v>8.9999999999999993E-3</v>
      </c>
      <c r="AF7002" s="508">
        <v>8.9999999999999993E-3</v>
      </c>
      <c r="AG7002" s="508">
        <v>8.9999999999999993E-3</v>
      </c>
      <c r="AH7002" s="508">
        <v>8.9999999999999993E-3</v>
      </c>
      <c r="AI7002" s="492">
        <v>8.9999999999999993E-3</v>
      </c>
      <c r="AJ7002" s="485"/>
    </row>
    <row r="7003" spans="2:36">
      <c r="B7003" s="136" t="s">
        <v>481</v>
      </c>
      <c r="C7003" s="132" t="s">
        <v>1377</v>
      </c>
      <c r="D7003" s="132" t="s">
        <v>1380</v>
      </c>
      <c r="E7003" s="508"/>
      <c r="F7003" s="508"/>
      <c r="G7003" s="508"/>
      <c r="H7003" s="508"/>
      <c r="I7003" s="508"/>
      <c r="J7003" s="508">
        <v>1.0999999999999999E-2</v>
      </c>
      <c r="K7003" s="508">
        <v>1.0999999999999999E-2</v>
      </c>
      <c r="L7003" s="508">
        <v>1.0999999999999999E-2</v>
      </c>
      <c r="M7003" s="508">
        <v>1.0999999999999999E-2</v>
      </c>
      <c r="N7003" s="508">
        <v>1.0999999999999999E-2</v>
      </c>
      <c r="O7003" s="508">
        <v>1.0999999999999999E-2</v>
      </c>
      <c r="P7003" s="508">
        <v>1.0999999999999999E-2</v>
      </c>
      <c r="Q7003" s="508">
        <v>1.0999999999999999E-2</v>
      </c>
      <c r="R7003" s="508">
        <v>1.0999999999999999E-2</v>
      </c>
      <c r="S7003" s="508">
        <v>1.0999999999999999E-2</v>
      </c>
      <c r="T7003" s="508">
        <v>1.0999999999999999E-2</v>
      </c>
      <c r="U7003" s="508">
        <v>1.0999999999999999E-2</v>
      </c>
      <c r="V7003" s="508">
        <v>1.0999999999999999E-2</v>
      </c>
      <c r="W7003" s="508">
        <v>1.0999999999999999E-2</v>
      </c>
      <c r="X7003" s="508">
        <v>1.0999999999999999E-2</v>
      </c>
      <c r="Y7003" s="508">
        <v>1.0999999999999999E-2</v>
      </c>
      <c r="Z7003" s="508">
        <v>1.0999999999999999E-2</v>
      </c>
      <c r="AA7003" s="508">
        <v>1.0999999999999999E-2</v>
      </c>
      <c r="AB7003" s="508">
        <v>1.0999999999999999E-2</v>
      </c>
      <c r="AC7003" s="508">
        <v>1.0999999999999999E-2</v>
      </c>
      <c r="AD7003" s="508">
        <v>1.0999999999999999E-2</v>
      </c>
      <c r="AE7003" s="508">
        <v>1.0999999999999999E-2</v>
      </c>
      <c r="AF7003" s="508">
        <v>1.0999999999999999E-2</v>
      </c>
      <c r="AG7003" s="508">
        <v>1.0999999999999999E-2</v>
      </c>
      <c r="AH7003" s="508">
        <v>1.0999999999999999E-2</v>
      </c>
      <c r="AI7003" s="492">
        <v>1.0999999999999999E-2</v>
      </c>
      <c r="AJ7003" s="485"/>
    </row>
    <row r="7004" spans="2:36">
      <c r="B7004" s="136" t="s">
        <v>482</v>
      </c>
      <c r="C7004" s="132" t="s">
        <v>1377</v>
      </c>
      <c r="D7004" s="132" t="s">
        <v>1380</v>
      </c>
      <c r="E7004" s="508"/>
      <c r="F7004" s="508"/>
      <c r="G7004" s="508"/>
      <c r="H7004" s="508"/>
      <c r="I7004" s="508"/>
      <c r="J7004" s="508">
        <v>1.0999999999999999E-2</v>
      </c>
      <c r="K7004" s="508">
        <v>1.0999999999999999E-2</v>
      </c>
      <c r="L7004" s="508">
        <v>1.0999999999999999E-2</v>
      </c>
      <c r="M7004" s="508">
        <v>1.0999999999999999E-2</v>
      </c>
      <c r="N7004" s="508">
        <v>1.0999999999999999E-2</v>
      </c>
      <c r="O7004" s="508">
        <v>1.0999999999999999E-2</v>
      </c>
      <c r="P7004" s="508">
        <v>1.0999999999999999E-2</v>
      </c>
      <c r="Q7004" s="508">
        <v>1.0999999999999999E-2</v>
      </c>
      <c r="R7004" s="508">
        <v>1.0999999999999999E-2</v>
      </c>
      <c r="S7004" s="508">
        <v>1.0999999999999999E-2</v>
      </c>
      <c r="T7004" s="508">
        <v>1.0999999999999999E-2</v>
      </c>
      <c r="U7004" s="508">
        <v>1.0999999999999999E-2</v>
      </c>
      <c r="V7004" s="508">
        <v>1.0999999999999999E-2</v>
      </c>
      <c r="W7004" s="508">
        <v>1.0999999999999999E-2</v>
      </c>
      <c r="X7004" s="508">
        <v>1.0999999999999999E-2</v>
      </c>
      <c r="Y7004" s="508">
        <v>1.0999999999999999E-2</v>
      </c>
      <c r="Z7004" s="508">
        <v>1.0999999999999999E-2</v>
      </c>
      <c r="AA7004" s="508">
        <v>1.0999999999999999E-2</v>
      </c>
      <c r="AB7004" s="508">
        <v>1.0999999999999999E-2</v>
      </c>
      <c r="AC7004" s="508">
        <v>1.0999999999999999E-2</v>
      </c>
      <c r="AD7004" s="508">
        <v>1.0999999999999999E-2</v>
      </c>
      <c r="AE7004" s="508">
        <v>1.0999999999999999E-2</v>
      </c>
      <c r="AF7004" s="508">
        <v>1.0999999999999999E-2</v>
      </c>
      <c r="AG7004" s="508">
        <v>1.0999999999999999E-2</v>
      </c>
      <c r="AH7004" s="508">
        <v>1.0999999999999999E-2</v>
      </c>
      <c r="AI7004" s="492">
        <v>1.0999999999999999E-2</v>
      </c>
      <c r="AJ7004" s="485"/>
    </row>
    <row r="7005" spans="2:36">
      <c r="B7005" s="136" t="s">
        <v>483</v>
      </c>
      <c r="C7005" s="132" t="s">
        <v>1377</v>
      </c>
      <c r="D7005" s="132" t="s">
        <v>1380</v>
      </c>
      <c r="E7005" s="508"/>
      <c r="F7005" s="508"/>
      <c r="G7005" s="508"/>
      <c r="H7005" s="508"/>
      <c r="I7005" s="508"/>
      <c r="J7005" s="508">
        <v>1.2E-2</v>
      </c>
      <c r="K7005" s="508">
        <v>1.2E-2</v>
      </c>
      <c r="L7005" s="508">
        <v>1.2E-2</v>
      </c>
      <c r="M7005" s="508">
        <v>1.2E-2</v>
      </c>
      <c r="N7005" s="508">
        <v>1.2E-2</v>
      </c>
      <c r="O7005" s="508">
        <v>1.2E-2</v>
      </c>
      <c r="P7005" s="508">
        <v>1.2E-2</v>
      </c>
      <c r="Q7005" s="508">
        <v>1.2E-2</v>
      </c>
      <c r="R7005" s="508">
        <v>1.2E-2</v>
      </c>
      <c r="S7005" s="508">
        <v>1.2E-2</v>
      </c>
      <c r="T7005" s="508">
        <v>1.2E-2</v>
      </c>
      <c r="U7005" s="508">
        <v>1.2E-2</v>
      </c>
      <c r="V7005" s="508">
        <v>1.2E-2</v>
      </c>
      <c r="W7005" s="508">
        <v>1.2E-2</v>
      </c>
      <c r="X7005" s="508">
        <v>1.2E-2</v>
      </c>
      <c r="Y7005" s="508">
        <v>1.2E-2</v>
      </c>
      <c r="Z7005" s="508">
        <v>1.2E-2</v>
      </c>
      <c r="AA7005" s="508">
        <v>1.2E-2</v>
      </c>
      <c r="AB7005" s="508">
        <v>1.2E-2</v>
      </c>
      <c r="AC7005" s="508">
        <v>1.2E-2</v>
      </c>
      <c r="AD7005" s="508">
        <v>1.2E-2</v>
      </c>
      <c r="AE7005" s="508">
        <v>1.2E-2</v>
      </c>
      <c r="AF7005" s="508">
        <v>1.2E-2</v>
      </c>
      <c r="AG7005" s="508">
        <v>1.2E-2</v>
      </c>
      <c r="AH7005" s="508">
        <v>1.2E-2</v>
      </c>
      <c r="AI7005" s="492">
        <v>1.2E-2</v>
      </c>
      <c r="AJ7005" s="485"/>
    </row>
    <row r="7006" spans="2:36">
      <c r="B7006" s="136" t="s">
        <v>484</v>
      </c>
      <c r="C7006" s="132" t="s">
        <v>1377</v>
      </c>
      <c r="D7006" s="132" t="s">
        <v>1380</v>
      </c>
      <c r="E7006" s="508"/>
      <c r="F7006" s="508"/>
      <c r="G7006" s="508"/>
      <c r="H7006" s="508"/>
      <c r="I7006" s="508"/>
      <c r="J7006" s="508">
        <v>8.9999999999999993E-3</v>
      </c>
      <c r="K7006" s="508">
        <v>8.9999999999999993E-3</v>
      </c>
      <c r="L7006" s="508">
        <v>8.9999999999999993E-3</v>
      </c>
      <c r="M7006" s="508">
        <v>8.9999999999999993E-3</v>
      </c>
      <c r="N7006" s="508">
        <v>8.9999999999999993E-3</v>
      </c>
      <c r="O7006" s="508">
        <v>8.9999999999999993E-3</v>
      </c>
      <c r="P7006" s="508">
        <v>8.9999999999999993E-3</v>
      </c>
      <c r="Q7006" s="508">
        <v>8.9999999999999993E-3</v>
      </c>
      <c r="R7006" s="508">
        <v>8.9999999999999993E-3</v>
      </c>
      <c r="S7006" s="508">
        <v>8.9999999999999993E-3</v>
      </c>
      <c r="T7006" s="508">
        <v>8.9999999999999993E-3</v>
      </c>
      <c r="U7006" s="508">
        <v>8.9999999999999993E-3</v>
      </c>
      <c r="V7006" s="508">
        <v>8.9999999999999993E-3</v>
      </c>
      <c r="W7006" s="508">
        <v>8.9999999999999993E-3</v>
      </c>
      <c r="X7006" s="508">
        <v>8.9999999999999993E-3</v>
      </c>
      <c r="Y7006" s="508">
        <v>8.9999999999999993E-3</v>
      </c>
      <c r="Z7006" s="508">
        <v>8.9999999999999993E-3</v>
      </c>
      <c r="AA7006" s="508">
        <v>8.9999999999999993E-3</v>
      </c>
      <c r="AB7006" s="508">
        <v>8.9999999999999993E-3</v>
      </c>
      <c r="AC7006" s="508">
        <v>8.9999999999999993E-3</v>
      </c>
      <c r="AD7006" s="508">
        <v>8.9999999999999993E-3</v>
      </c>
      <c r="AE7006" s="508">
        <v>8.9999999999999993E-3</v>
      </c>
      <c r="AF7006" s="508">
        <v>8.9999999999999993E-3</v>
      </c>
      <c r="AG7006" s="508">
        <v>8.9999999999999993E-3</v>
      </c>
      <c r="AH7006" s="508">
        <v>8.9999999999999993E-3</v>
      </c>
      <c r="AI7006" s="492">
        <v>8.9999999999999993E-3</v>
      </c>
      <c r="AJ7006" s="485"/>
    </row>
    <row r="7007" spans="2:36">
      <c r="B7007" s="136" t="s">
        <v>486</v>
      </c>
      <c r="C7007" s="132" t="s">
        <v>1377</v>
      </c>
      <c r="D7007" s="132" t="s">
        <v>1380</v>
      </c>
      <c r="E7007" s="508"/>
      <c r="F7007" s="508"/>
      <c r="G7007" s="508"/>
      <c r="H7007" s="508"/>
      <c r="I7007" s="508"/>
      <c r="J7007" s="508">
        <v>1.0999999999999999E-2</v>
      </c>
      <c r="K7007" s="508">
        <v>1.0999999999999999E-2</v>
      </c>
      <c r="L7007" s="508">
        <v>1.0999999999999999E-2</v>
      </c>
      <c r="M7007" s="508">
        <v>1.0999999999999999E-2</v>
      </c>
      <c r="N7007" s="508">
        <v>1.0999999999999999E-2</v>
      </c>
      <c r="O7007" s="508">
        <v>1.0999999999999999E-2</v>
      </c>
      <c r="P7007" s="508">
        <v>1.0999999999999999E-2</v>
      </c>
      <c r="Q7007" s="508">
        <v>1.0999999999999999E-2</v>
      </c>
      <c r="R7007" s="508">
        <v>1.0999999999999999E-2</v>
      </c>
      <c r="S7007" s="508">
        <v>1.0999999999999999E-2</v>
      </c>
      <c r="T7007" s="508">
        <v>1.0999999999999999E-2</v>
      </c>
      <c r="U7007" s="508">
        <v>1.0999999999999999E-2</v>
      </c>
      <c r="V7007" s="508">
        <v>1.0999999999999999E-2</v>
      </c>
      <c r="W7007" s="508">
        <v>1.0999999999999999E-2</v>
      </c>
      <c r="X7007" s="508">
        <v>1.0999999999999999E-2</v>
      </c>
      <c r="Y7007" s="508">
        <v>1.0999999999999999E-2</v>
      </c>
      <c r="Z7007" s="508">
        <v>1.0999999999999999E-2</v>
      </c>
      <c r="AA7007" s="508">
        <v>1.0999999999999999E-2</v>
      </c>
      <c r="AB7007" s="508">
        <v>1.0999999999999999E-2</v>
      </c>
      <c r="AC7007" s="508">
        <v>1.0999999999999999E-2</v>
      </c>
      <c r="AD7007" s="508">
        <v>1.0999999999999999E-2</v>
      </c>
      <c r="AE7007" s="508">
        <v>1.0999999999999999E-2</v>
      </c>
      <c r="AF7007" s="508">
        <v>1.0999999999999999E-2</v>
      </c>
      <c r="AG7007" s="508">
        <v>1.0999999999999999E-2</v>
      </c>
      <c r="AH7007" s="508">
        <v>1.0999999999999999E-2</v>
      </c>
      <c r="AI7007" s="492">
        <v>1.0999999999999999E-2</v>
      </c>
      <c r="AJ7007" s="485"/>
    </row>
    <row r="7008" spans="2:36">
      <c r="B7008" s="136" t="s">
        <v>487</v>
      </c>
      <c r="C7008" s="132" t="s">
        <v>1377</v>
      </c>
      <c r="D7008" s="132" t="s">
        <v>1380</v>
      </c>
      <c r="E7008" s="508"/>
      <c r="F7008" s="508"/>
      <c r="G7008" s="508"/>
      <c r="H7008" s="508"/>
      <c r="I7008" s="508"/>
      <c r="J7008" s="508">
        <v>1.0999999999999999E-2</v>
      </c>
      <c r="K7008" s="508">
        <v>1.0999999999999999E-2</v>
      </c>
      <c r="L7008" s="508">
        <v>1.0999999999999999E-2</v>
      </c>
      <c r="M7008" s="508">
        <v>1.0999999999999999E-2</v>
      </c>
      <c r="N7008" s="508">
        <v>1.0999999999999999E-2</v>
      </c>
      <c r="O7008" s="508">
        <v>1.0999999999999999E-2</v>
      </c>
      <c r="P7008" s="508">
        <v>1.0999999999999999E-2</v>
      </c>
      <c r="Q7008" s="508">
        <v>1.0999999999999999E-2</v>
      </c>
      <c r="R7008" s="508">
        <v>1.0999999999999999E-2</v>
      </c>
      <c r="S7008" s="508">
        <v>1.0999999999999999E-2</v>
      </c>
      <c r="T7008" s="508">
        <v>1.0999999999999999E-2</v>
      </c>
      <c r="U7008" s="508">
        <v>1.0999999999999999E-2</v>
      </c>
      <c r="V7008" s="508">
        <v>1.0999999999999999E-2</v>
      </c>
      <c r="W7008" s="508">
        <v>1.0999999999999999E-2</v>
      </c>
      <c r="X7008" s="508">
        <v>1.0999999999999999E-2</v>
      </c>
      <c r="Y7008" s="508">
        <v>1.0999999999999999E-2</v>
      </c>
      <c r="Z7008" s="508">
        <v>1.0999999999999999E-2</v>
      </c>
      <c r="AA7008" s="508">
        <v>1.0999999999999999E-2</v>
      </c>
      <c r="AB7008" s="508">
        <v>1.0999999999999999E-2</v>
      </c>
      <c r="AC7008" s="508">
        <v>1.0999999999999999E-2</v>
      </c>
      <c r="AD7008" s="508">
        <v>1.0999999999999999E-2</v>
      </c>
      <c r="AE7008" s="508">
        <v>1.0999999999999999E-2</v>
      </c>
      <c r="AF7008" s="508">
        <v>1.0999999999999999E-2</v>
      </c>
      <c r="AG7008" s="508">
        <v>1.0999999999999999E-2</v>
      </c>
      <c r="AH7008" s="508">
        <v>1.0999999999999999E-2</v>
      </c>
      <c r="AI7008" s="492">
        <v>1.0999999999999999E-2</v>
      </c>
      <c r="AJ7008" s="485"/>
    </row>
    <row r="7009" spans="2:36">
      <c r="B7009" s="136" t="s">
        <v>488</v>
      </c>
      <c r="C7009" s="132" t="s">
        <v>1377</v>
      </c>
      <c r="D7009" s="132" t="s">
        <v>1380</v>
      </c>
      <c r="E7009" s="508"/>
      <c r="F7009" s="508"/>
      <c r="G7009" s="508"/>
      <c r="H7009" s="508"/>
      <c r="I7009" s="508"/>
      <c r="J7009" s="508">
        <v>8.9999999999999993E-3</v>
      </c>
      <c r="K7009" s="508">
        <v>8.9999999999999993E-3</v>
      </c>
      <c r="L7009" s="508">
        <v>8.9999999999999993E-3</v>
      </c>
      <c r="M7009" s="508">
        <v>8.9999999999999993E-3</v>
      </c>
      <c r="N7009" s="508">
        <v>8.9999999999999993E-3</v>
      </c>
      <c r="O7009" s="508">
        <v>8.9999999999999993E-3</v>
      </c>
      <c r="P7009" s="508">
        <v>8.9999999999999993E-3</v>
      </c>
      <c r="Q7009" s="508">
        <v>8.9999999999999993E-3</v>
      </c>
      <c r="R7009" s="508">
        <v>8.9999999999999993E-3</v>
      </c>
      <c r="S7009" s="508">
        <v>8.9999999999999993E-3</v>
      </c>
      <c r="T7009" s="508">
        <v>8.9999999999999993E-3</v>
      </c>
      <c r="U7009" s="508">
        <v>8.9999999999999993E-3</v>
      </c>
      <c r="V7009" s="508">
        <v>8.9999999999999993E-3</v>
      </c>
      <c r="W7009" s="508">
        <v>8.9999999999999993E-3</v>
      </c>
      <c r="X7009" s="508">
        <v>8.9999999999999993E-3</v>
      </c>
      <c r="Y7009" s="508">
        <v>8.9999999999999993E-3</v>
      </c>
      <c r="Z7009" s="508">
        <v>8.9999999999999993E-3</v>
      </c>
      <c r="AA7009" s="508">
        <v>8.9999999999999993E-3</v>
      </c>
      <c r="AB7009" s="508">
        <v>8.9999999999999993E-3</v>
      </c>
      <c r="AC7009" s="508">
        <v>8.9999999999999993E-3</v>
      </c>
      <c r="AD7009" s="508">
        <v>8.9999999999999993E-3</v>
      </c>
      <c r="AE7009" s="508">
        <v>8.9999999999999993E-3</v>
      </c>
      <c r="AF7009" s="508">
        <v>8.9999999999999993E-3</v>
      </c>
      <c r="AG7009" s="508">
        <v>8.9999999999999993E-3</v>
      </c>
      <c r="AH7009" s="508">
        <v>8.9999999999999993E-3</v>
      </c>
      <c r="AI7009" s="492">
        <v>8.9999999999999993E-3</v>
      </c>
      <c r="AJ7009" s="485"/>
    </row>
    <row r="7010" spans="2:36">
      <c r="B7010" s="136" t="s">
        <v>489</v>
      </c>
      <c r="C7010" s="132" t="s">
        <v>1377</v>
      </c>
      <c r="D7010" s="132" t="s">
        <v>1380</v>
      </c>
      <c r="E7010" s="508"/>
      <c r="F7010" s="508"/>
      <c r="G7010" s="508"/>
      <c r="H7010" s="508"/>
      <c r="I7010" s="508"/>
      <c r="J7010" s="508">
        <v>0.01</v>
      </c>
      <c r="K7010" s="508">
        <v>0.01</v>
      </c>
      <c r="L7010" s="508">
        <v>0.01</v>
      </c>
      <c r="M7010" s="508">
        <v>0.01</v>
      </c>
      <c r="N7010" s="508">
        <v>0.01</v>
      </c>
      <c r="O7010" s="508">
        <v>0.01</v>
      </c>
      <c r="P7010" s="508">
        <v>0.01</v>
      </c>
      <c r="Q7010" s="508">
        <v>0.01</v>
      </c>
      <c r="R7010" s="508">
        <v>0.01</v>
      </c>
      <c r="S7010" s="508">
        <v>0.01</v>
      </c>
      <c r="T7010" s="508">
        <v>0.01</v>
      </c>
      <c r="U7010" s="508">
        <v>0.01</v>
      </c>
      <c r="V7010" s="508">
        <v>0.01</v>
      </c>
      <c r="W7010" s="508">
        <v>0.01</v>
      </c>
      <c r="X7010" s="508">
        <v>0.01</v>
      </c>
      <c r="Y7010" s="508">
        <v>0.01</v>
      </c>
      <c r="Z7010" s="508">
        <v>0.01</v>
      </c>
      <c r="AA7010" s="508">
        <v>0.01</v>
      </c>
      <c r="AB7010" s="508">
        <v>0.01</v>
      </c>
      <c r="AC7010" s="508">
        <v>0.01</v>
      </c>
      <c r="AD7010" s="508">
        <v>0.01</v>
      </c>
      <c r="AE7010" s="508">
        <v>0.01</v>
      </c>
      <c r="AF7010" s="508">
        <v>0.01</v>
      </c>
      <c r="AG7010" s="508">
        <v>0.01</v>
      </c>
      <c r="AH7010" s="508">
        <v>0.01</v>
      </c>
      <c r="AI7010" s="492">
        <v>0.01</v>
      </c>
      <c r="AJ7010" s="485"/>
    </row>
    <row r="7011" spans="2:36">
      <c r="B7011" s="136" t="s">
        <v>490</v>
      </c>
      <c r="C7011" s="132" t="s">
        <v>1377</v>
      </c>
      <c r="D7011" s="132" t="s">
        <v>1380</v>
      </c>
      <c r="E7011" s="508"/>
      <c r="F7011" s="508"/>
      <c r="G7011" s="508"/>
      <c r="H7011" s="508"/>
      <c r="I7011" s="508"/>
      <c r="J7011" s="508">
        <v>8.9999999999999993E-3</v>
      </c>
      <c r="K7011" s="508">
        <v>8.9999999999999993E-3</v>
      </c>
      <c r="L7011" s="508">
        <v>8.9999999999999993E-3</v>
      </c>
      <c r="M7011" s="508">
        <v>8.9999999999999993E-3</v>
      </c>
      <c r="N7011" s="508">
        <v>8.9999999999999993E-3</v>
      </c>
      <c r="O7011" s="508">
        <v>8.9999999999999993E-3</v>
      </c>
      <c r="P7011" s="508">
        <v>8.9999999999999993E-3</v>
      </c>
      <c r="Q7011" s="508">
        <v>8.9999999999999993E-3</v>
      </c>
      <c r="R7011" s="508">
        <v>8.9999999999999993E-3</v>
      </c>
      <c r="S7011" s="508">
        <v>8.9999999999999993E-3</v>
      </c>
      <c r="T7011" s="508">
        <v>8.9999999999999993E-3</v>
      </c>
      <c r="U7011" s="508">
        <v>8.9999999999999993E-3</v>
      </c>
      <c r="V7011" s="508">
        <v>8.9999999999999993E-3</v>
      </c>
      <c r="W7011" s="508">
        <v>8.9999999999999993E-3</v>
      </c>
      <c r="X7011" s="508">
        <v>8.9999999999999993E-3</v>
      </c>
      <c r="Y7011" s="508">
        <v>8.9999999999999993E-3</v>
      </c>
      <c r="Z7011" s="508">
        <v>8.9999999999999993E-3</v>
      </c>
      <c r="AA7011" s="508">
        <v>8.9999999999999993E-3</v>
      </c>
      <c r="AB7011" s="508">
        <v>8.9999999999999993E-3</v>
      </c>
      <c r="AC7011" s="508">
        <v>8.9999999999999993E-3</v>
      </c>
      <c r="AD7011" s="508">
        <v>8.9999999999999993E-3</v>
      </c>
      <c r="AE7011" s="508">
        <v>8.9999999999999993E-3</v>
      </c>
      <c r="AF7011" s="508">
        <v>8.9999999999999993E-3</v>
      </c>
      <c r="AG7011" s="508">
        <v>8.9999999999999993E-3</v>
      </c>
      <c r="AH7011" s="508">
        <v>8.9999999999999993E-3</v>
      </c>
      <c r="AI7011" s="492">
        <v>8.9999999999999993E-3</v>
      </c>
      <c r="AJ7011" s="485"/>
    </row>
    <row r="7012" spans="2:36">
      <c r="B7012" s="136" t="s">
        <v>435</v>
      </c>
      <c r="C7012" s="132" t="s">
        <v>1378</v>
      </c>
      <c r="D7012" s="132" t="s">
        <v>1380</v>
      </c>
      <c r="E7012" s="508">
        <v>1.0999999999999999E-2</v>
      </c>
      <c r="F7012" s="508">
        <v>1.0999999999999999E-2</v>
      </c>
      <c r="G7012" s="508">
        <v>1.0999999999999999E-2</v>
      </c>
      <c r="H7012" s="508">
        <v>1.0999999999999999E-2</v>
      </c>
      <c r="I7012" s="508">
        <v>1.0999999999999999E-2</v>
      </c>
      <c r="J7012" s="508">
        <v>1.0999999999999999E-2</v>
      </c>
      <c r="K7012" s="508">
        <v>1.0999999999999999E-2</v>
      </c>
      <c r="L7012" s="508">
        <v>1.0999999999999999E-2</v>
      </c>
      <c r="M7012" s="508">
        <v>1.0999999999999999E-2</v>
      </c>
      <c r="N7012" s="508">
        <v>1.0999999999999999E-2</v>
      </c>
      <c r="O7012" s="508">
        <v>1.0999999999999999E-2</v>
      </c>
      <c r="P7012" s="508">
        <v>1.0999999999999999E-2</v>
      </c>
      <c r="Q7012" s="508">
        <v>1.0999999999999999E-2</v>
      </c>
      <c r="R7012" s="508">
        <v>1.0999999999999999E-2</v>
      </c>
      <c r="S7012" s="508">
        <v>1.0999999999999999E-2</v>
      </c>
      <c r="T7012" s="508">
        <v>1.0999999999999999E-2</v>
      </c>
      <c r="U7012" s="508">
        <v>1.0999999999999999E-2</v>
      </c>
      <c r="V7012" s="508">
        <v>1.0999999999999999E-2</v>
      </c>
      <c r="W7012" s="508">
        <v>1.0999999999999999E-2</v>
      </c>
      <c r="X7012" s="508">
        <v>1.0999999999999999E-2</v>
      </c>
      <c r="Y7012" s="508">
        <v>1.0999999999999999E-2</v>
      </c>
      <c r="Z7012" s="508">
        <v>1.0999999999999999E-2</v>
      </c>
      <c r="AA7012" s="508">
        <v>1.0999999999999999E-2</v>
      </c>
      <c r="AB7012" s="508">
        <v>1.0999999999999999E-2</v>
      </c>
      <c r="AC7012" s="508">
        <v>1.0999999999999999E-2</v>
      </c>
      <c r="AD7012" s="508">
        <v>1.0999999999999999E-2</v>
      </c>
      <c r="AE7012" s="508">
        <v>1.0999999999999999E-2</v>
      </c>
      <c r="AF7012" s="508">
        <v>1.0999999999999999E-2</v>
      </c>
      <c r="AG7012" s="508">
        <v>1.0999999999999999E-2</v>
      </c>
      <c r="AH7012" s="508">
        <v>1.0999999999999999E-2</v>
      </c>
      <c r="AI7012" s="492">
        <v>1.0999999999999999E-2</v>
      </c>
      <c r="AJ7012" s="485"/>
    </row>
    <row r="7013" spans="2:36">
      <c r="B7013" s="136" t="s">
        <v>436</v>
      </c>
      <c r="C7013" s="132" t="s">
        <v>1378</v>
      </c>
      <c r="D7013" s="132" t="s">
        <v>1380</v>
      </c>
      <c r="E7013" s="508">
        <v>0.01</v>
      </c>
      <c r="F7013" s="508">
        <v>0.01</v>
      </c>
      <c r="G7013" s="508">
        <v>0.01</v>
      </c>
      <c r="H7013" s="508">
        <v>0.01</v>
      </c>
      <c r="I7013" s="508">
        <v>0.01</v>
      </c>
      <c r="J7013" s="508">
        <v>0.01</v>
      </c>
      <c r="K7013" s="508">
        <v>0.01</v>
      </c>
      <c r="L7013" s="508">
        <v>0.01</v>
      </c>
      <c r="M7013" s="508">
        <v>0.01</v>
      </c>
      <c r="N7013" s="508">
        <v>0.01</v>
      </c>
      <c r="O7013" s="508">
        <v>0.01</v>
      </c>
      <c r="P7013" s="508">
        <v>0.01</v>
      </c>
      <c r="Q7013" s="508">
        <v>0.01</v>
      </c>
      <c r="R7013" s="508">
        <v>0.01</v>
      </c>
      <c r="S7013" s="508">
        <v>0.01</v>
      </c>
      <c r="T7013" s="508">
        <v>0.01</v>
      </c>
      <c r="U7013" s="508">
        <v>0.01</v>
      </c>
      <c r="V7013" s="508">
        <v>0.01</v>
      </c>
      <c r="W7013" s="508">
        <v>0.01</v>
      </c>
      <c r="X7013" s="508">
        <v>0.01</v>
      </c>
      <c r="Y7013" s="508">
        <v>0.01</v>
      </c>
      <c r="Z7013" s="508">
        <v>0.01</v>
      </c>
      <c r="AA7013" s="508">
        <v>0.01</v>
      </c>
      <c r="AB7013" s="508">
        <v>0.01</v>
      </c>
      <c r="AC7013" s="508">
        <v>0.01</v>
      </c>
      <c r="AD7013" s="508">
        <v>0.01</v>
      </c>
      <c r="AE7013" s="508">
        <v>0.01</v>
      </c>
      <c r="AF7013" s="508">
        <v>0.01</v>
      </c>
      <c r="AG7013" s="508">
        <v>0.01</v>
      </c>
      <c r="AH7013" s="508">
        <v>0.01</v>
      </c>
      <c r="AI7013" s="492">
        <v>0.01</v>
      </c>
      <c r="AJ7013" s="485"/>
    </row>
    <row r="7014" spans="2:36">
      <c r="B7014" s="136" t="s">
        <v>437</v>
      </c>
      <c r="C7014" s="132" t="s">
        <v>1378</v>
      </c>
      <c r="D7014" s="132" t="s">
        <v>1380</v>
      </c>
      <c r="E7014" s="508">
        <v>1.0999999999999999E-2</v>
      </c>
      <c r="F7014" s="508">
        <v>1.0999999999999999E-2</v>
      </c>
      <c r="G7014" s="508">
        <v>1.0999999999999999E-2</v>
      </c>
      <c r="H7014" s="508">
        <v>1.0999999999999999E-2</v>
      </c>
      <c r="I7014" s="508">
        <v>1.0999999999999999E-2</v>
      </c>
      <c r="J7014" s="508">
        <v>1.0999999999999999E-2</v>
      </c>
      <c r="K7014" s="508">
        <v>1.0999999999999999E-2</v>
      </c>
      <c r="L7014" s="508">
        <v>1.0999999999999999E-2</v>
      </c>
      <c r="M7014" s="508">
        <v>1.0999999999999999E-2</v>
      </c>
      <c r="N7014" s="508">
        <v>1.0999999999999999E-2</v>
      </c>
      <c r="O7014" s="508">
        <v>1.0999999999999999E-2</v>
      </c>
      <c r="P7014" s="508">
        <v>1.0999999999999999E-2</v>
      </c>
      <c r="Q7014" s="508">
        <v>1.0999999999999999E-2</v>
      </c>
      <c r="R7014" s="508">
        <v>1.0999999999999999E-2</v>
      </c>
      <c r="S7014" s="508">
        <v>1.0999999999999999E-2</v>
      </c>
      <c r="T7014" s="508">
        <v>1.0999999999999999E-2</v>
      </c>
      <c r="U7014" s="508">
        <v>1.0999999999999999E-2</v>
      </c>
      <c r="V7014" s="508">
        <v>1.0999999999999999E-2</v>
      </c>
      <c r="W7014" s="508">
        <v>1.0999999999999999E-2</v>
      </c>
      <c r="X7014" s="508">
        <v>1.0999999999999999E-2</v>
      </c>
      <c r="Y7014" s="508">
        <v>1.0999999999999999E-2</v>
      </c>
      <c r="Z7014" s="508">
        <v>1.0999999999999999E-2</v>
      </c>
      <c r="AA7014" s="508">
        <v>1.0999999999999999E-2</v>
      </c>
      <c r="AB7014" s="508">
        <v>1.0999999999999999E-2</v>
      </c>
      <c r="AC7014" s="508">
        <v>1.0999999999999999E-2</v>
      </c>
      <c r="AD7014" s="508">
        <v>1.0999999999999999E-2</v>
      </c>
      <c r="AE7014" s="508">
        <v>1.0999999999999999E-2</v>
      </c>
      <c r="AF7014" s="508">
        <v>1.0999999999999999E-2</v>
      </c>
      <c r="AG7014" s="508">
        <v>1.0999999999999999E-2</v>
      </c>
      <c r="AH7014" s="508">
        <v>1.0999999999999999E-2</v>
      </c>
      <c r="AI7014" s="492">
        <v>1.0999999999999999E-2</v>
      </c>
      <c r="AJ7014" s="485"/>
    </row>
    <row r="7015" spans="2:36">
      <c r="B7015" s="136" t="s">
        <v>438</v>
      </c>
      <c r="C7015" s="132" t="s">
        <v>1378</v>
      </c>
      <c r="D7015" s="132" t="s">
        <v>1380</v>
      </c>
      <c r="E7015" s="508">
        <v>0.01</v>
      </c>
      <c r="F7015" s="508">
        <v>0.01</v>
      </c>
      <c r="G7015" s="508">
        <v>0.01</v>
      </c>
      <c r="H7015" s="508">
        <v>0.01</v>
      </c>
      <c r="I7015" s="508">
        <v>0.01</v>
      </c>
      <c r="J7015" s="508">
        <v>0.01</v>
      </c>
      <c r="K7015" s="508">
        <v>0.01</v>
      </c>
      <c r="L7015" s="508">
        <v>0.01</v>
      </c>
      <c r="M7015" s="508">
        <v>0.01</v>
      </c>
      <c r="N7015" s="508">
        <v>0.01</v>
      </c>
      <c r="O7015" s="508">
        <v>0.01</v>
      </c>
      <c r="P7015" s="508">
        <v>0.01</v>
      </c>
      <c r="Q7015" s="508">
        <v>0.01</v>
      </c>
      <c r="R7015" s="508">
        <v>0.01</v>
      </c>
      <c r="S7015" s="508">
        <v>0.01</v>
      </c>
      <c r="T7015" s="508">
        <v>0.01</v>
      </c>
      <c r="U7015" s="508">
        <v>0.01</v>
      </c>
      <c r="V7015" s="508">
        <v>0.01</v>
      </c>
      <c r="W7015" s="508">
        <v>0.01</v>
      </c>
      <c r="X7015" s="508">
        <v>0.01</v>
      </c>
      <c r="Y7015" s="508">
        <v>0.01</v>
      </c>
      <c r="Z7015" s="508">
        <v>0.01</v>
      </c>
      <c r="AA7015" s="508">
        <v>0.01</v>
      </c>
      <c r="AB7015" s="508">
        <v>0.01</v>
      </c>
      <c r="AC7015" s="508">
        <v>0.01</v>
      </c>
      <c r="AD7015" s="508">
        <v>0.01</v>
      </c>
      <c r="AE7015" s="508">
        <v>0.01</v>
      </c>
      <c r="AF7015" s="508">
        <v>0.01</v>
      </c>
      <c r="AG7015" s="508">
        <v>0.01</v>
      </c>
      <c r="AH7015" s="508">
        <v>0.01</v>
      </c>
      <c r="AI7015" s="492">
        <v>0.01</v>
      </c>
      <c r="AJ7015" s="485"/>
    </row>
    <row r="7016" spans="2:36">
      <c r="B7016" s="136" t="s">
        <v>439</v>
      </c>
      <c r="C7016" s="132" t="s">
        <v>1378</v>
      </c>
      <c r="D7016" s="132" t="s">
        <v>1380</v>
      </c>
      <c r="E7016" s="508">
        <v>1.0999999999999999E-2</v>
      </c>
      <c r="F7016" s="508">
        <v>1.0999999999999999E-2</v>
      </c>
      <c r="G7016" s="508">
        <v>1.0999999999999999E-2</v>
      </c>
      <c r="H7016" s="508">
        <v>1.0999999999999999E-2</v>
      </c>
      <c r="I7016" s="508">
        <v>1.0999999999999999E-2</v>
      </c>
      <c r="J7016" s="508">
        <v>1.0999999999999999E-2</v>
      </c>
      <c r="K7016" s="508">
        <v>1.0999999999999999E-2</v>
      </c>
      <c r="L7016" s="508">
        <v>1.0999999999999999E-2</v>
      </c>
      <c r="M7016" s="508">
        <v>1.0999999999999999E-2</v>
      </c>
      <c r="N7016" s="508">
        <v>1.0999999999999999E-2</v>
      </c>
      <c r="O7016" s="508">
        <v>1.0999999999999999E-2</v>
      </c>
      <c r="P7016" s="508">
        <v>1.0999999999999999E-2</v>
      </c>
      <c r="Q7016" s="508">
        <v>1.0999999999999999E-2</v>
      </c>
      <c r="R7016" s="508">
        <v>1.0999999999999999E-2</v>
      </c>
      <c r="S7016" s="508">
        <v>1.0999999999999999E-2</v>
      </c>
      <c r="T7016" s="508">
        <v>1.0999999999999999E-2</v>
      </c>
      <c r="U7016" s="508">
        <v>1.0999999999999999E-2</v>
      </c>
      <c r="V7016" s="508">
        <v>1.0999999999999999E-2</v>
      </c>
      <c r="W7016" s="508">
        <v>1.0999999999999999E-2</v>
      </c>
      <c r="X7016" s="508">
        <v>1.0999999999999999E-2</v>
      </c>
      <c r="Y7016" s="508">
        <v>1.0999999999999999E-2</v>
      </c>
      <c r="Z7016" s="508">
        <v>1.0999999999999999E-2</v>
      </c>
      <c r="AA7016" s="508">
        <v>1.0999999999999999E-2</v>
      </c>
      <c r="AB7016" s="508">
        <v>1.0999999999999999E-2</v>
      </c>
      <c r="AC7016" s="508">
        <v>1.0999999999999999E-2</v>
      </c>
      <c r="AD7016" s="508">
        <v>1.0999999999999999E-2</v>
      </c>
      <c r="AE7016" s="508">
        <v>1.0999999999999999E-2</v>
      </c>
      <c r="AF7016" s="508">
        <v>1.0999999999999999E-2</v>
      </c>
      <c r="AG7016" s="508">
        <v>1.0999999999999999E-2</v>
      </c>
      <c r="AH7016" s="508">
        <v>1.0999999999999999E-2</v>
      </c>
      <c r="AI7016" s="492">
        <v>1.0999999999999999E-2</v>
      </c>
      <c r="AJ7016" s="485"/>
    </row>
    <row r="7017" spans="2:36">
      <c r="B7017" s="136" t="s">
        <v>440</v>
      </c>
      <c r="C7017" s="132" t="s">
        <v>1378</v>
      </c>
      <c r="D7017" s="132" t="s">
        <v>1380</v>
      </c>
      <c r="E7017" s="508">
        <v>1.0999999999999999E-2</v>
      </c>
      <c r="F7017" s="508">
        <v>1.0999999999999999E-2</v>
      </c>
      <c r="G7017" s="508">
        <v>1.0999999999999999E-2</v>
      </c>
      <c r="H7017" s="508">
        <v>1.0999999999999999E-2</v>
      </c>
      <c r="I7017" s="508">
        <v>1.0999999999999999E-2</v>
      </c>
      <c r="J7017" s="508">
        <v>1.0999999999999999E-2</v>
      </c>
      <c r="K7017" s="508">
        <v>1.0999999999999999E-2</v>
      </c>
      <c r="L7017" s="508">
        <v>1.0999999999999999E-2</v>
      </c>
      <c r="M7017" s="508">
        <v>1.0999999999999999E-2</v>
      </c>
      <c r="N7017" s="508">
        <v>1.0999999999999999E-2</v>
      </c>
      <c r="O7017" s="508">
        <v>1.0999999999999999E-2</v>
      </c>
      <c r="P7017" s="508">
        <v>1.0999999999999999E-2</v>
      </c>
      <c r="Q7017" s="508">
        <v>1.0999999999999999E-2</v>
      </c>
      <c r="R7017" s="508">
        <v>1.0999999999999999E-2</v>
      </c>
      <c r="S7017" s="508">
        <v>1.0999999999999999E-2</v>
      </c>
      <c r="T7017" s="508">
        <v>1.0999999999999999E-2</v>
      </c>
      <c r="U7017" s="508">
        <v>1.0999999999999999E-2</v>
      </c>
      <c r="V7017" s="508">
        <v>1.0999999999999999E-2</v>
      </c>
      <c r="W7017" s="508">
        <v>1.0999999999999999E-2</v>
      </c>
      <c r="X7017" s="508">
        <v>1.0999999999999999E-2</v>
      </c>
      <c r="Y7017" s="508">
        <v>1.0999999999999999E-2</v>
      </c>
      <c r="Z7017" s="508">
        <v>1.0999999999999999E-2</v>
      </c>
      <c r="AA7017" s="508">
        <v>1.0999999999999999E-2</v>
      </c>
      <c r="AB7017" s="508">
        <v>1.0999999999999999E-2</v>
      </c>
      <c r="AC7017" s="508">
        <v>1.0999999999999999E-2</v>
      </c>
      <c r="AD7017" s="508">
        <v>1.0999999999999999E-2</v>
      </c>
      <c r="AE7017" s="508">
        <v>1.0999999999999999E-2</v>
      </c>
      <c r="AF7017" s="508">
        <v>1.0999999999999999E-2</v>
      </c>
      <c r="AG7017" s="508">
        <v>1.0999999999999999E-2</v>
      </c>
      <c r="AH7017" s="508">
        <v>1.0999999999999999E-2</v>
      </c>
      <c r="AI7017" s="492">
        <v>1.0999999999999999E-2</v>
      </c>
      <c r="AJ7017" s="485"/>
    </row>
    <row r="7018" spans="2:36">
      <c r="B7018" s="136" t="s">
        <v>441</v>
      </c>
      <c r="C7018" s="132" t="s">
        <v>1378</v>
      </c>
      <c r="D7018" s="132" t="s">
        <v>1380</v>
      </c>
      <c r="E7018" s="508">
        <v>1.0999999999999999E-2</v>
      </c>
      <c r="F7018" s="508">
        <v>1.0999999999999999E-2</v>
      </c>
      <c r="G7018" s="508">
        <v>1.0999999999999999E-2</v>
      </c>
      <c r="H7018" s="508">
        <v>1.0999999999999999E-2</v>
      </c>
      <c r="I7018" s="508">
        <v>1.0999999999999999E-2</v>
      </c>
      <c r="J7018" s="508">
        <v>1.0999999999999999E-2</v>
      </c>
      <c r="K7018" s="508">
        <v>1.0999999999999999E-2</v>
      </c>
      <c r="L7018" s="508">
        <v>1.0999999999999999E-2</v>
      </c>
      <c r="M7018" s="508">
        <v>1.0999999999999999E-2</v>
      </c>
      <c r="N7018" s="508">
        <v>1.0999999999999999E-2</v>
      </c>
      <c r="O7018" s="508">
        <v>1.0999999999999999E-2</v>
      </c>
      <c r="P7018" s="508">
        <v>1.0999999999999999E-2</v>
      </c>
      <c r="Q7018" s="508">
        <v>1.0999999999999999E-2</v>
      </c>
      <c r="R7018" s="508">
        <v>1.0999999999999999E-2</v>
      </c>
      <c r="S7018" s="508">
        <v>1.0999999999999999E-2</v>
      </c>
      <c r="T7018" s="508">
        <v>1.0999999999999999E-2</v>
      </c>
      <c r="U7018" s="508">
        <v>1.0999999999999999E-2</v>
      </c>
      <c r="V7018" s="508">
        <v>1.0999999999999999E-2</v>
      </c>
      <c r="W7018" s="508">
        <v>1.0999999999999999E-2</v>
      </c>
      <c r="X7018" s="508">
        <v>1.0999999999999999E-2</v>
      </c>
      <c r="Y7018" s="508">
        <v>1.0999999999999999E-2</v>
      </c>
      <c r="Z7018" s="508">
        <v>1.0999999999999999E-2</v>
      </c>
      <c r="AA7018" s="508">
        <v>1.0999999999999999E-2</v>
      </c>
      <c r="AB7018" s="508">
        <v>1.0999999999999999E-2</v>
      </c>
      <c r="AC7018" s="508">
        <v>1.0999999999999999E-2</v>
      </c>
      <c r="AD7018" s="508">
        <v>1.0999999999999999E-2</v>
      </c>
      <c r="AE7018" s="508">
        <v>1.0999999999999999E-2</v>
      </c>
      <c r="AF7018" s="508">
        <v>1.0999999999999999E-2</v>
      </c>
      <c r="AG7018" s="508">
        <v>1.0999999999999999E-2</v>
      </c>
      <c r="AH7018" s="508">
        <v>1.0999999999999999E-2</v>
      </c>
      <c r="AI7018" s="492">
        <v>1.0999999999999999E-2</v>
      </c>
      <c r="AJ7018" s="485"/>
    </row>
    <row r="7019" spans="2:36">
      <c r="B7019" s="136" t="s">
        <v>443</v>
      </c>
      <c r="C7019" s="132" t="s">
        <v>1378</v>
      </c>
      <c r="D7019" s="132" t="s">
        <v>1380</v>
      </c>
      <c r="E7019" s="508">
        <v>1.2E-2</v>
      </c>
      <c r="F7019" s="508">
        <v>1.2E-2</v>
      </c>
      <c r="G7019" s="508">
        <v>1.2E-2</v>
      </c>
      <c r="H7019" s="508">
        <v>1.2E-2</v>
      </c>
      <c r="I7019" s="508">
        <v>1.2E-2</v>
      </c>
      <c r="J7019" s="508">
        <v>1.2E-2</v>
      </c>
      <c r="K7019" s="508">
        <v>1.2E-2</v>
      </c>
      <c r="L7019" s="508">
        <v>1.2E-2</v>
      </c>
      <c r="M7019" s="508">
        <v>1.2E-2</v>
      </c>
      <c r="N7019" s="508">
        <v>1.2E-2</v>
      </c>
      <c r="O7019" s="508">
        <v>1.2E-2</v>
      </c>
      <c r="P7019" s="508">
        <v>1.2E-2</v>
      </c>
      <c r="Q7019" s="508">
        <v>1.2E-2</v>
      </c>
      <c r="R7019" s="508">
        <v>1.2E-2</v>
      </c>
      <c r="S7019" s="508">
        <v>1.2E-2</v>
      </c>
      <c r="T7019" s="508">
        <v>1.2E-2</v>
      </c>
      <c r="U7019" s="508">
        <v>1.2E-2</v>
      </c>
      <c r="V7019" s="508">
        <v>1.2E-2</v>
      </c>
      <c r="W7019" s="508">
        <v>1.2E-2</v>
      </c>
      <c r="X7019" s="508">
        <v>1.2E-2</v>
      </c>
      <c r="Y7019" s="508">
        <v>1.2E-2</v>
      </c>
      <c r="Z7019" s="508">
        <v>1.2E-2</v>
      </c>
      <c r="AA7019" s="508">
        <v>1.2E-2</v>
      </c>
      <c r="AB7019" s="508">
        <v>1.2E-2</v>
      </c>
      <c r="AC7019" s="508">
        <v>1.2E-2</v>
      </c>
      <c r="AD7019" s="508">
        <v>1.2E-2</v>
      </c>
      <c r="AE7019" s="508">
        <v>1.2E-2</v>
      </c>
      <c r="AF7019" s="508">
        <v>1.2E-2</v>
      </c>
      <c r="AG7019" s="508">
        <v>1.2E-2</v>
      </c>
      <c r="AH7019" s="508">
        <v>1.2E-2</v>
      </c>
      <c r="AI7019" s="492">
        <v>1.2E-2</v>
      </c>
      <c r="AJ7019" s="485"/>
    </row>
    <row r="7020" spans="2:36">
      <c r="B7020" s="136" t="s">
        <v>445</v>
      </c>
      <c r="C7020" s="132" t="s">
        <v>1378</v>
      </c>
      <c r="D7020" s="132" t="s">
        <v>1380</v>
      </c>
      <c r="E7020" s="508">
        <v>1.4999999999999999E-2</v>
      </c>
      <c r="F7020" s="508">
        <v>1.4999999999999999E-2</v>
      </c>
      <c r="G7020" s="508">
        <v>1.4999999999999999E-2</v>
      </c>
      <c r="H7020" s="508">
        <v>1.4999999999999999E-2</v>
      </c>
      <c r="I7020" s="508">
        <v>1.4999999999999999E-2</v>
      </c>
      <c r="J7020" s="508">
        <v>1.4999999999999999E-2</v>
      </c>
      <c r="K7020" s="508">
        <v>1.4999999999999999E-2</v>
      </c>
      <c r="L7020" s="508">
        <v>1.4999999999999999E-2</v>
      </c>
      <c r="M7020" s="508">
        <v>1.4999999999999999E-2</v>
      </c>
      <c r="N7020" s="508">
        <v>1.4999999999999999E-2</v>
      </c>
      <c r="O7020" s="508">
        <v>1.4999999999999999E-2</v>
      </c>
      <c r="P7020" s="508">
        <v>1.4999999999999999E-2</v>
      </c>
      <c r="Q7020" s="508">
        <v>1.4999999999999999E-2</v>
      </c>
      <c r="R7020" s="508">
        <v>1.4999999999999999E-2</v>
      </c>
      <c r="S7020" s="508">
        <v>1.4999999999999999E-2</v>
      </c>
      <c r="T7020" s="508">
        <v>1.4999999999999999E-2</v>
      </c>
      <c r="U7020" s="508">
        <v>1.4999999999999999E-2</v>
      </c>
      <c r="V7020" s="508">
        <v>1.4999999999999999E-2</v>
      </c>
      <c r="W7020" s="508">
        <v>1.4999999999999999E-2</v>
      </c>
      <c r="X7020" s="508">
        <v>1.4999999999999999E-2</v>
      </c>
      <c r="Y7020" s="508">
        <v>1.4999999999999999E-2</v>
      </c>
      <c r="Z7020" s="508">
        <v>1.4999999999999999E-2</v>
      </c>
      <c r="AA7020" s="508">
        <v>1.4999999999999999E-2</v>
      </c>
      <c r="AB7020" s="508">
        <v>1.4999999999999999E-2</v>
      </c>
      <c r="AC7020" s="508">
        <v>1.4999999999999999E-2</v>
      </c>
      <c r="AD7020" s="508">
        <v>1.4999999999999999E-2</v>
      </c>
      <c r="AE7020" s="508">
        <v>1.4999999999999999E-2</v>
      </c>
      <c r="AF7020" s="508">
        <v>1.4999999999999999E-2</v>
      </c>
      <c r="AG7020" s="508">
        <v>1.4999999999999999E-2</v>
      </c>
      <c r="AH7020" s="508">
        <v>1.4999999999999999E-2</v>
      </c>
      <c r="AI7020" s="492">
        <v>1.4999999999999999E-2</v>
      </c>
      <c r="AJ7020" s="485"/>
    </row>
    <row r="7021" spans="2:36">
      <c r="B7021" s="136" t="s">
        <v>446</v>
      </c>
      <c r="C7021" s="132" t="s">
        <v>1378</v>
      </c>
      <c r="D7021" s="132" t="s">
        <v>1380</v>
      </c>
      <c r="E7021" s="508">
        <v>1.2999999999999999E-2</v>
      </c>
      <c r="F7021" s="508">
        <v>1.2999999999999999E-2</v>
      </c>
      <c r="G7021" s="508">
        <v>1.2999999999999999E-2</v>
      </c>
      <c r="H7021" s="508">
        <v>1.2999999999999999E-2</v>
      </c>
      <c r="I7021" s="508">
        <v>1.2999999999999999E-2</v>
      </c>
      <c r="J7021" s="508">
        <v>1.2999999999999999E-2</v>
      </c>
      <c r="K7021" s="508">
        <v>1.2999999999999999E-2</v>
      </c>
      <c r="L7021" s="508">
        <v>1.2999999999999999E-2</v>
      </c>
      <c r="M7021" s="508">
        <v>1.2999999999999999E-2</v>
      </c>
      <c r="N7021" s="508">
        <v>1.2999999999999999E-2</v>
      </c>
      <c r="O7021" s="508">
        <v>1.2999999999999999E-2</v>
      </c>
      <c r="P7021" s="508">
        <v>1.2999999999999999E-2</v>
      </c>
      <c r="Q7021" s="508">
        <v>1.2999999999999999E-2</v>
      </c>
      <c r="R7021" s="508">
        <v>1.2999999999999999E-2</v>
      </c>
      <c r="S7021" s="508">
        <v>1.2999999999999999E-2</v>
      </c>
      <c r="T7021" s="508">
        <v>1.2999999999999999E-2</v>
      </c>
      <c r="U7021" s="508">
        <v>1.2999999999999999E-2</v>
      </c>
      <c r="V7021" s="508">
        <v>1.2999999999999999E-2</v>
      </c>
      <c r="W7021" s="508">
        <v>1.2999999999999999E-2</v>
      </c>
      <c r="X7021" s="508">
        <v>1.2999999999999999E-2</v>
      </c>
      <c r="Y7021" s="508">
        <v>1.2999999999999999E-2</v>
      </c>
      <c r="Z7021" s="508">
        <v>1.2999999999999999E-2</v>
      </c>
      <c r="AA7021" s="508">
        <v>1.2999999999999999E-2</v>
      </c>
      <c r="AB7021" s="508">
        <v>1.2999999999999999E-2</v>
      </c>
      <c r="AC7021" s="508">
        <v>1.2999999999999999E-2</v>
      </c>
      <c r="AD7021" s="508">
        <v>1.2999999999999999E-2</v>
      </c>
      <c r="AE7021" s="508">
        <v>1.2999999999999999E-2</v>
      </c>
      <c r="AF7021" s="508">
        <v>1.2999999999999999E-2</v>
      </c>
      <c r="AG7021" s="508">
        <v>1.2999999999999999E-2</v>
      </c>
      <c r="AH7021" s="508">
        <v>1.2999999999999999E-2</v>
      </c>
      <c r="AI7021" s="492">
        <v>1.2999999999999999E-2</v>
      </c>
      <c r="AJ7021" s="485"/>
    </row>
    <row r="7022" spans="2:36">
      <c r="B7022" s="136" t="s">
        <v>448</v>
      </c>
      <c r="C7022" s="132" t="s">
        <v>1378</v>
      </c>
      <c r="D7022" s="132" t="s">
        <v>1380</v>
      </c>
      <c r="E7022" s="508">
        <v>1.4999999999999999E-2</v>
      </c>
      <c r="F7022" s="508">
        <v>1.4999999999999999E-2</v>
      </c>
      <c r="G7022" s="508">
        <v>1.4E-2</v>
      </c>
      <c r="H7022" s="508">
        <v>1.4999999999999999E-2</v>
      </c>
      <c r="I7022" s="508">
        <v>1.2999999999999999E-2</v>
      </c>
      <c r="J7022" s="508">
        <v>1.4999999999999999E-2</v>
      </c>
      <c r="K7022" s="508">
        <v>1.2999999999999999E-2</v>
      </c>
      <c r="L7022" s="508">
        <v>1.4E-2</v>
      </c>
      <c r="M7022" s="508">
        <v>1.4999999999999999E-2</v>
      </c>
      <c r="N7022" s="508">
        <v>1.4999999999999999E-2</v>
      </c>
      <c r="O7022" s="508">
        <v>1.4E-2</v>
      </c>
      <c r="P7022" s="508">
        <v>1.4999999999999999E-2</v>
      </c>
      <c r="Q7022" s="508">
        <v>1.4999999999999999E-2</v>
      </c>
      <c r="R7022" s="508">
        <v>1.4999999999999999E-2</v>
      </c>
      <c r="S7022" s="508">
        <v>1.4999999999999999E-2</v>
      </c>
      <c r="T7022" s="508">
        <v>1.4E-2</v>
      </c>
      <c r="U7022" s="508">
        <v>1.6E-2</v>
      </c>
      <c r="V7022" s="508">
        <v>1.6E-2</v>
      </c>
      <c r="W7022" s="508">
        <v>1.6E-2</v>
      </c>
      <c r="X7022" s="508">
        <v>1.6E-2</v>
      </c>
      <c r="Y7022" s="508">
        <v>1.6E-2</v>
      </c>
      <c r="Z7022" s="508">
        <v>1.6E-2</v>
      </c>
      <c r="AA7022" s="508">
        <v>1.6E-2</v>
      </c>
      <c r="AB7022" s="508">
        <v>1.6E-2</v>
      </c>
      <c r="AC7022" s="508">
        <v>1.6E-2</v>
      </c>
      <c r="AD7022" s="508">
        <v>1.6E-2</v>
      </c>
      <c r="AE7022" s="508">
        <v>1.6E-2</v>
      </c>
      <c r="AF7022" s="508">
        <v>1.6E-2</v>
      </c>
      <c r="AG7022" s="508">
        <v>1.6E-2</v>
      </c>
      <c r="AH7022" s="508">
        <v>1.6E-2</v>
      </c>
      <c r="AI7022" s="492">
        <v>1.6E-2</v>
      </c>
      <c r="AJ7022" s="485"/>
    </row>
    <row r="7023" spans="2:36">
      <c r="B7023" s="136" t="s">
        <v>449</v>
      </c>
      <c r="C7023" s="132" t="s">
        <v>1378</v>
      </c>
      <c r="D7023" s="132" t="s">
        <v>1380</v>
      </c>
      <c r="E7023" s="508">
        <v>1.2999999999999999E-2</v>
      </c>
      <c r="F7023" s="508">
        <v>1.2999999999999999E-2</v>
      </c>
      <c r="G7023" s="508">
        <v>1.2999999999999999E-2</v>
      </c>
      <c r="H7023" s="508">
        <v>1.2999999999999999E-2</v>
      </c>
      <c r="I7023" s="508">
        <v>1.2999999999999999E-2</v>
      </c>
      <c r="J7023" s="508">
        <v>1.2999999999999999E-2</v>
      </c>
      <c r="K7023" s="508">
        <v>1.2999999999999999E-2</v>
      </c>
      <c r="L7023" s="508">
        <v>1.2999999999999999E-2</v>
      </c>
      <c r="M7023" s="508">
        <v>1.2999999999999999E-2</v>
      </c>
      <c r="N7023" s="508">
        <v>1.2999999999999999E-2</v>
      </c>
      <c r="O7023" s="508">
        <v>1.2999999999999999E-2</v>
      </c>
      <c r="P7023" s="508">
        <v>1.2999999999999999E-2</v>
      </c>
      <c r="Q7023" s="508">
        <v>1.2999999999999999E-2</v>
      </c>
      <c r="R7023" s="508">
        <v>1.2999999999999999E-2</v>
      </c>
      <c r="S7023" s="508">
        <v>1.2999999999999999E-2</v>
      </c>
      <c r="T7023" s="508">
        <v>1.2999999999999999E-2</v>
      </c>
      <c r="U7023" s="508">
        <v>1.2999999999999999E-2</v>
      </c>
      <c r="V7023" s="508">
        <v>1.2999999999999999E-2</v>
      </c>
      <c r="W7023" s="508">
        <v>1.2999999999999999E-2</v>
      </c>
      <c r="X7023" s="508">
        <v>1.2999999999999999E-2</v>
      </c>
      <c r="Y7023" s="508">
        <v>1.2999999999999999E-2</v>
      </c>
      <c r="Z7023" s="508">
        <v>1.2999999999999999E-2</v>
      </c>
      <c r="AA7023" s="508">
        <v>1.2999999999999999E-2</v>
      </c>
      <c r="AB7023" s="508">
        <v>1.2999999999999999E-2</v>
      </c>
      <c r="AC7023" s="508">
        <v>1.2999999999999999E-2</v>
      </c>
      <c r="AD7023" s="508">
        <v>1.2999999999999999E-2</v>
      </c>
      <c r="AE7023" s="508">
        <v>1.2999999999999999E-2</v>
      </c>
      <c r="AF7023" s="508">
        <v>1.2999999999999999E-2</v>
      </c>
      <c r="AG7023" s="508">
        <v>1.2999999999999999E-2</v>
      </c>
      <c r="AH7023" s="508">
        <v>1.2999999999999999E-2</v>
      </c>
      <c r="AI7023" s="492">
        <v>1.2999999999999999E-2</v>
      </c>
      <c r="AJ7023" s="485"/>
    </row>
    <row r="7024" spans="2:36">
      <c r="B7024" s="136" t="s">
        <v>450</v>
      </c>
      <c r="C7024" s="132" t="s">
        <v>1378</v>
      </c>
      <c r="D7024" s="132" t="s">
        <v>1380</v>
      </c>
      <c r="E7024" s="508">
        <v>1.2999999999999999E-2</v>
      </c>
      <c r="F7024" s="508">
        <v>1.2999999999999999E-2</v>
      </c>
      <c r="G7024" s="508">
        <v>1.2999999999999999E-2</v>
      </c>
      <c r="H7024" s="508">
        <v>1.2999999999999999E-2</v>
      </c>
      <c r="I7024" s="508">
        <v>1.2999999999999999E-2</v>
      </c>
      <c r="J7024" s="508">
        <v>1.2999999999999999E-2</v>
      </c>
      <c r="K7024" s="508">
        <v>1.2999999999999999E-2</v>
      </c>
      <c r="L7024" s="508">
        <v>1.2999999999999999E-2</v>
      </c>
      <c r="M7024" s="508">
        <v>1.2999999999999999E-2</v>
      </c>
      <c r="N7024" s="508">
        <v>1.2999999999999999E-2</v>
      </c>
      <c r="O7024" s="508">
        <v>1.2999999999999999E-2</v>
      </c>
      <c r="P7024" s="508">
        <v>1.2999999999999999E-2</v>
      </c>
      <c r="Q7024" s="508">
        <v>1.2999999999999999E-2</v>
      </c>
      <c r="R7024" s="508">
        <v>1.2999999999999999E-2</v>
      </c>
      <c r="S7024" s="508">
        <v>1.2999999999999999E-2</v>
      </c>
      <c r="T7024" s="508">
        <v>1.2999999999999999E-2</v>
      </c>
      <c r="U7024" s="508">
        <v>1.2999999999999999E-2</v>
      </c>
      <c r="V7024" s="508">
        <v>1.2999999999999999E-2</v>
      </c>
      <c r="W7024" s="508">
        <v>1.2999999999999999E-2</v>
      </c>
      <c r="X7024" s="508">
        <v>1.2999999999999999E-2</v>
      </c>
      <c r="Y7024" s="508">
        <v>1.2999999999999999E-2</v>
      </c>
      <c r="Z7024" s="508">
        <v>1.2999999999999999E-2</v>
      </c>
      <c r="AA7024" s="508">
        <v>1.2999999999999999E-2</v>
      </c>
      <c r="AB7024" s="508">
        <v>1.2999999999999999E-2</v>
      </c>
      <c r="AC7024" s="508">
        <v>1.2999999999999999E-2</v>
      </c>
      <c r="AD7024" s="508">
        <v>1.2999999999999999E-2</v>
      </c>
      <c r="AE7024" s="508">
        <v>1.2999999999999999E-2</v>
      </c>
      <c r="AF7024" s="508">
        <v>1.2999999999999999E-2</v>
      </c>
      <c r="AG7024" s="508">
        <v>1.2999999999999999E-2</v>
      </c>
      <c r="AH7024" s="508">
        <v>1.2999999999999999E-2</v>
      </c>
      <c r="AI7024" s="492">
        <v>1.2999999999999999E-2</v>
      </c>
      <c r="AJ7024" s="485"/>
    </row>
    <row r="7025" spans="2:36">
      <c r="B7025" s="136" t="s">
        <v>451</v>
      </c>
      <c r="C7025" s="132" t="s">
        <v>1378</v>
      </c>
      <c r="D7025" s="132" t="s">
        <v>1380</v>
      </c>
      <c r="E7025" s="508">
        <v>1.4E-2</v>
      </c>
      <c r="F7025" s="508">
        <v>1.4E-2</v>
      </c>
      <c r="G7025" s="508">
        <v>1.4E-2</v>
      </c>
      <c r="H7025" s="508">
        <v>1.4E-2</v>
      </c>
      <c r="I7025" s="508">
        <v>1.4E-2</v>
      </c>
      <c r="J7025" s="508">
        <v>1.4E-2</v>
      </c>
      <c r="K7025" s="508">
        <v>1.4E-2</v>
      </c>
      <c r="L7025" s="508">
        <v>1.4E-2</v>
      </c>
      <c r="M7025" s="508">
        <v>1.4E-2</v>
      </c>
      <c r="N7025" s="508">
        <v>1.4E-2</v>
      </c>
      <c r="O7025" s="508">
        <v>1.4E-2</v>
      </c>
      <c r="P7025" s="508">
        <v>1.4E-2</v>
      </c>
      <c r="Q7025" s="508">
        <v>1.4E-2</v>
      </c>
      <c r="R7025" s="508">
        <v>1.4E-2</v>
      </c>
      <c r="S7025" s="508">
        <v>1.4E-2</v>
      </c>
      <c r="T7025" s="508">
        <v>1.4E-2</v>
      </c>
      <c r="U7025" s="508">
        <v>1.4E-2</v>
      </c>
      <c r="V7025" s="508">
        <v>1.4E-2</v>
      </c>
      <c r="W7025" s="508">
        <v>1.4E-2</v>
      </c>
      <c r="X7025" s="508">
        <v>1.4E-2</v>
      </c>
      <c r="Y7025" s="508">
        <v>1.4E-2</v>
      </c>
      <c r="Z7025" s="508">
        <v>1.4E-2</v>
      </c>
      <c r="AA7025" s="508">
        <v>1.4E-2</v>
      </c>
      <c r="AB7025" s="508">
        <v>1.4E-2</v>
      </c>
      <c r="AC7025" s="508">
        <v>1.4E-2</v>
      </c>
      <c r="AD7025" s="508">
        <v>1.4E-2</v>
      </c>
      <c r="AE7025" s="508">
        <v>1.4E-2</v>
      </c>
      <c r="AF7025" s="508">
        <v>1.4E-2</v>
      </c>
      <c r="AG7025" s="508">
        <v>1.4E-2</v>
      </c>
      <c r="AH7025" s="508">
        <v>1.4E-2</v>
      </c>
      <c r="AI7025" s="492">
        <v>1.4E-2</v>
      </c>
      <c r="AJ7025" s="485"/>
    </row>
    <row r="7026" spans="2:36">
      <c r="B7026" s="136" t="s">
        <v>452</v>
      </c>
      <c r="C7026" s="132" t="s">
        <v>1378</v>
      </c>
      <c r="D7026" s="132" t="s">
        <v>1380</v>
      </c>
      <c r="E7026" s="508">
        <v>1.2E-2</v>
      </c>
      <c r="F7026" s="508">
        <v>1.2E-2</v>
      </c>
      <c r="G7026" s="508">
        <v>1.2E-2</v>
      </c>
      <c r="H7026" s="508">
        <v>1.2E-2</v>
      </c>
      <c r="I7026" s="508">
        <v>1.2E-2</v>
      </c>
      <c r="J7026" s="508">
        <v>1.2E-2</v>
      </c>
      <c r="K7026" s="508">
        <v>1.2E-2</v>
      </c>
      <c r="L7026" s="508">
        <v>1.2E-2</v>
      </c>
      <c r="M7026" s="508">
        <v>1.2E-2</v>
      </c>
      <c r="N7026" s="508">
        <v>1.2E-2</v>
      </c>
      <c r="O7026" s="508">
        <v>1.2E-2</v>
      </c>
      <c r="P7026" s="508">
        <v>1.2E-2</v>
      </c>
      <c r="Q7026" s="508">
        <v>1.2E-2</v>
      </c>
      <c r="R7026" s="508">
        <v>1.2E-2</v>
      </c>
      <c r="S7026" s="508">
        <v>1.2E-2</v>
      </c>
      <c r="T7026" s="508">
        <v>1.2E-2</v>
      </c>
      <c r="U7026" s="508">
        <v>1.2E-2</v>
      </c>
      <c r="V7026" s="508">
        <v>1.2E-2</v>
      </c>
      <c r="W7026" s="508">
        <v>1.2E-2</v>
      </c>
      <c r="X7026" s="508">
        <v>1.2E-2</v>
      </c>
      <c r="Y7026" s="508">
        <v>1.2E-2</v>
      </c>
      <c r="Z7026" s="508">
        <v>1.2E-2</v>
      </c>
      <c r="AA7026" s="508">
        <v>1.2E-2</v>
      </c>
      <c r="AB7026" s="508">
        <v>1.2E-2</v>
      </c>
      <c r="AC7026" s="508">
        <v>1.2E-2</v>
      </c>
      <c r="AD7026" s="508">
        <v>1.2E-2</v>
      </c>
      <c r="AE7026" s="508">
        <v>1.2E-2</v>
      </c>
      <c r="AF7026" s="508">
        <v>1.2E-2</v>
      </c>
      <c r="AG7026" s="508">
        <v>1.2E-2</v>
      </c>
      <c r="AH7026" s="508">
        <v>1.2E-2</v>
      </c>
      <c r="AI7026" s="492">
        <v>1.2E-2</v>
      </c>
      <c r="AJ7026" s="485"/>
    </row>
    <row r="7027" spans="2:36">
      <c r="B7027" s="136" t="s">
        <v>453</v>
      </c>
      <c r="C7027" s="132" t="s">
        <v>1378</v>
      </c>
      <c r="D7027" s="132" t="s">
        <v>1380</v>
      </c>
      <c r="E7027" s="508">
        <v>0.01</v>
      </c>
      <c r="F7027" s="508">
        <v>0.01</v>
      </c>
      <c r="G7027" s="508">
        <v>0.01</v>
      </c>
      <c r="H7027" s="508">
        <v>0.01</v>
      </c>
      <c r="I7027" s="508">
        <v>0.01</v>
      </c>
      <c r="J7027" s="508">
        <v>0.01</v>
      </c>
      <c r="K7027" s="508">
        <v>0.01</v>
      </c>
      <c r="L7027" s="508">
        <v>0.01</v>
      </c>
      <c r="M7027" s="508">
        <v>0.01</v>
      </c>
      <c r="N7027" s="508">
        <v>0.01</v>
      </c>
      <c r="O7027" s="508">
        <v>0.01</v>
      </c>
      <c r="P7027" s="508">
        <v>0.01</v>
      </c>
      <c r="Q7027" s="508">
        <v>0.01</v>
      </c>
      <c r="R7027" s="508">
        <v>0.01</v>
      </c>
      <c r="S7027" s="508">
        <v>0.01</v>
      </c>
      <c r="T7027" s="508">
        <v>0.01</v>
      </c>
      <c r="U7027" s="508">
        <v>0.01</v>
      </c>
      <c r="V7027" s="508">
        <v>0.01</v>
      </c>
      <c r="W7027" s="508">
        <v>0.01</v>
      </c>
      <c r="X7027" s="508">
        <v>0.01</v>
      </c>
      <c r="Y7027" s="508">
        <v>0.01</v>
      </c>
      <c r="Z7027" s="508">
        <v>0.01</v>
      </c>
      <c r="AA7027" s="508">
        <v>0.01</v>
      </c>
      <c r="AB7027" s="508">
        <v>0.01</v>
      </c>
      <c r="AC7027" s="508">
        <v>0.01</v>
      </c>
      <c r="AD7027" s="508">
        <v>0.01</v>
      </c>
      <c r="AE7027" s="508">
        <v>0.01</v>
      </c>
      <c r="AF7027" s="508">
        <v>0.01</v>
      </c>
      <c r="AG7027" s="508">
        <v>0.01</v>
      </c>
      <c r="AH7027" s="508">
        <v>0.01</v>
      </c>
      <c r="AI7027" s="492">
        <v>0.01</v>
      </c>
      <c r="AJ7027" s="485"/>
    </row>
    <row r="7028" spans="2:36">
      <c r="B7028" s="136" t="s">
        <v>454</v>
      </c>
      <c r="C7028" s="132" t="s">
        <v>1378</v>
      </c>
      <c r="D7028" s="132" t="s">
        <v>1380</v>
      </c>
      <c r="E7028" s="508">
        <v>0.01</v>
      </c>
      <c r="F7028" s="508">
        <v>0.01</v>
      </c>
      <c r="G7028" s="508">
        <v>0.01</v>
      </c>
      <c r="H7028" s="508">
        <v>0.01</v>
      </c>
      <c r="I7028" s="508">
        <v>0.01</v>
      </c>
      <c r="J7028" s="508">
        <v>0.01</v>
      </c>
      <c r="K7028" s="508">
        <v>0.01</v>
      </c>
      <c r="L7028" s="508">
        <v>0.01</v>
      </c>
      <c r="M7028" s="508">
        <v>0.01</v>
      </c>
      <c r="N7028" s="508">
        <v>0.01</v>
      </c>
      <c r="O7028" s="508">
        <v>0.01</v>
      </c>
      <c r="P7028" s="508">
        <v>0.01</v>
      </c>
      <c r="Q7028" s="508">
        <v>0.01</v>
      </c>
      <c r="R7028" s="508">
        <v>0.01</v>
      </c>
      <c r="S7028" s="508">
        <v>0.01</v>
      </c>
      <c r="T7028" s="508">
        <v>0.01</v>
      </c>
      <c r="U7028" s="508">
        <v>0.01</v>
      </c>
      <c r="V7028" s="508">
        <v>0.01</v>
      </c>
      <c r="W7028" s="508">
        <v>0.01</v>
      </c>
      <c r="X7028" s="508">
        <v>0.01</v>
      </c>
      <c r="Y7028" s="508">
        <v>0.01</v>
      </c>
      <c r="Z7028" s="508">
        <v>0.01</v>
      </c>
      <c r="AA7028" s="508">
        <v>0.01</v>
      </c>
      <c r="AB7028" s="508">
        <v>0.01</v>
      </c>
      <c r="AC7028" s="508">
        <v>0.01</v>
      </c>
      <c r="AD7028" s="508">
        <v>0.01</v>
      </c>
      <c r="AE7028" s="508">
        <v>0.01</v>
      </c>
      <c r="AF7028" s="508">
        <v>0.01</v>
      </c>
      <c r="AG7028" s="508">
        <v>0.01</v>
      </c>
      <c r="AH7028" s="508">
        <v>0.01</v>
      </c>
      <c r="AI7028" s="492">
        <v>0.01</v>
      </c>
      <c r="AJ7028" s="485"/>
    </row>
    <row r="7029" spans="2:36">
      <c r="B7029" s="136" t="s">
        <v>455</v>
      </c>
      <c r="C7029" s="132" t="s">
        <v>1378</v>
      </c>
      <c r="D7029" s="132" t="s">
        <v>1380</v>
      </c>
      <c r="E7029" s="508">
        <v>8.9999999999999993E-3</v>
      </c>
      <c r="F7029" s="508">
        <v>8.9999999999999993E-3</v>
      </c>
      <c r="G7029" s="508">
        <v>8.9999999999999993E-3</v>
      </c>
      <c r="H7029" s="508">
        <v>8.9999999999999993E-3</v>
      </c>
      <c r="I7029" s="508">
        <v>8.9999999999999993E-3</v>
      </c>
      <c r="J7029" s="508">
        <v>8.9999999999999993E-3</v>
      </c>
      <c r="K7029" s="508">
        <v>8.9999999999999993E-3</v>
      </c>
      <c r="L7029" s="508">
        <v>8.9999999999999993E-3</v>
      </c>
      <c r="M7029" s="508">
        <v>8.9999999999999993E-3</v>
      </c>
      <c r="N7029" s="508">
        <v>8.9999999999999993E-3</v>
      </c>
      <c r="O7029" s="508">
        <v>8.9999999999999993E-3</v>
      </c>
      <c r="P7029" s="508">
        <v>8.9999999999999993E-3</v>
      </c>
      <c r="Q7029" s="508">
        <v>8.9999999999999993E-3</v>
      </c>
      <c r="R7029" s="508">
        <v>8.9999999999999993E-3</v>
      </c>
      <c r="S7029" s="508">
        <v>8.9999999999999993E-3</v>
      </c>
      <c r="T7029" s="508">
        <v>8.9999999999999993E-3</v>
      </c>
      <c r="U7029" s="508">
        <v>8.9999999999999993E-3</v>
      </c>
      <c r="V7029" s="508">
        <v>8.9999999999999993E-3</v>
      </c>
      <c r="W7029" s="508">
        <v>8.9999999999999993E-3</v>
      </c>
      <c r="X7029" s="508">
        <v>8.9999999999999993E-3</v>
      </c>
      <c r="Y7029" s="508">
        <v>8.9999999999999993E-3</v>
      </c>
      <c r="Z7029" s="508">
        <v>8.9999999999999993E-3</v>
      </c>
      <c r="AA7029" s="508">
        <v>8.9999999999999993E-3</v>
      </c>
      <c r="AB7029" s="508">
        <v>8.9999999999999993E-3</v>
      </c>
      <c r="AC7029" s="508">
        <v>8.9999999999999993E-3</v>
      </c>
      <c r="AD7029" s="508">
        <v>8.9999999999999993E-3</v>
      </c>
      <c r="AE7029" s="508">
        <v>8.9999999999999993E-3</v>
      </c>
      <c r="AF7029" s="508">
        <v>8.9999999999999993E-3</v>
      </c>
      <c r="AG7029" s="508">
        <v>8.9999999999999993E-3</v>
      </c>
      <c r="AH7029" s="508">
        <v>8.9999999999999993E-3</v>
      </c>
      <c r="AI7029" s="492">
        <v>8.9999999999999993E-3</v>
      </c>
      <c r="AJ7029" s="485"/>
    </row>
    <row r="7030" spans="2:36">
      <c r="B7030" s="136" t="s">
        <v>456</v>
      </c>
      <c r="C7030" s="132" t="s">
        <v>1378</v>
      </c>
      <c r="D7030" s="132" t="s">
        <v>1380</v>
      </c>
      <c r="E7030" s="508">
        <v>1.0999999999999999E-2</v>
      </c>
      <c r="F7030" s="508">
        <v>1.0999999999999999E-2</v>
      </c>
      <c r="G7030" s="508">
        <v>1.0999999999999999E-2</v>
      </c>
      <c r="H7030" s="508">
        <v>1.0999999999999999E-2</v>
      </c>
      <c r="I7030" s="508">
        <v>1.0999999999999999E-2</v>
      </c>
      <c r="J7030" s="508">
        <v>1.0999999999999999E-2</v>
      </c>
      <c r="K7030" s="508">
        <v>1.0999999999999999E-2</v>
      </c>
      <c r="L7030" s="508">
        <v>1.0999999999999999E-2</v>
      </c>
      <c r="M7030" s="508">
        <v>1.0999999999999999E-2</v>
      </c>
      <c r="N7030" s="508">
        <v>1.0999999999999999E-2</v>
      </c>
      <c r="O7030" s="508">
        <v>1.0999999999999999E-2</v>
      </c>
      <c r="P7030" s="508">
        <v>1.0999999999999999E-2</v>
      </c>
      <c r="Q7030" s="508">
        <v>1.0999999999999999E-2</v>
      </c>
      <c r="R7030" s="508">
        <v>1.0999999999999999E-2</v>
      </c>
      <c r="S7030" s="508">
        <v>1.0999999999999999E-2</v>
      </c>
      <c r="T7030" s="508">
        <v>1.0999999999999999E-2</v>
      </c>
      <c r="U7030" s="508">
        <v>1.0999999999999999E-2</v>
      </c>
      <c r="V7030" s="508">
        <v>1.0999999999999999E-2</v>
      </c>
      <c r="W7030" s="508">
        <v>1.0999999999999999E-2</v>
      </c>
      <c r="X7030" s="508">
        <v>1.0999999999999999E-2</v>
      </c>
      <c r="Y7030" s="508">
        <v>1.0999999999999999E-2</v>
      </c>
      <c r="Z7030" s="508">
        <v>1.0999999999999999E-2</v>
      </c>
      <c r="AA7030" s="508">
        <v>1.0999999999999999E-2</v>
      </c>
      <c r="AB7030" s="508">
        <v>1.0999999999999999E-2</v>
      </c>
      <c r="AC7030" s="508">
        <v>1.0999999999999999E-2</v>
      </c>
      <c r="AD7030" s="508">
        <v>1.0999999999999999E-2</v>
      </c>
      <c r="AE7030" s="508">
        <v>1.0999999999999999E-2</v>
      </c>
      <c r="AF7030" s="508">
        <v>1.0999999999999999E-2</v>
      </c>
      <c r="AG7030" s="508">
        <v>1.0999999999999999E-2</v>
      </c>
      <c r="AH7030" s="508">
        <v>1.0999999999999999E-2</v>
      </c>
      <c r="AI7030" s="492">
        <v>1.0999999999999999E-2</v>
      </c>
      <c r="AJ7030" s="485"/>
    </row>
    <row r="7031" spans="2:36">
      <c r="B7031" s="136" t="s">
        <v>457</v>
      </c>
      <c r="C7031" s="132" t="s">
        <v>1378</v>
      </c>
      <c r="D7031" s="132" t="s">
        <v>1380</v>
      </c>
      <c r="E7031" s="508">
        <v>8.9999999999999993E-3</v>
      </c>
      <c r="F7031" s="508">
        <v>8.9999999999999993E-3</v>
      </c>
      <c r="G7031" s="508">
        <v>8.9999999999999993E-3</v>
      </c>
      <c r="H7031" s="508">
        <v>8.9999999999999993E-3</v>
      </c>
      <c r="I7031" s="508">
        <v>8.9999999999999993E-3</v>
      </c>
      <c r="J7031" s="508">
        <v>8.9999999999999993E-3</v>
      </c>
      <c r="K7031" s="508">
        <v>8.9999999999999993E-3</v>
      </c>
      <c r="L7031" s="508">
        <v>8.9999999999999993E-3</v>
      </c>
      <c r="M7031" s="508">
        <v>8.9999999999999993E-3</v>
      </c>
      <c r="N7031" s="508">
        <v>8.9999999999999993E-3</v>
      </c>
      <c r="O7031" s="508">
        <v>8.9999999999999993E-3</v>
      </c>
      <c r="P7031" s="508">
        <v>8.9999999999999993E-3</v>
      </c>
      <c r="Q7031" s="508">
        <v>8.9999999999999993E-3</v>
      </c>
      <c r="R7031" s="508">
        <v>8.9999999999999993E-3</v>
      </c>
      <c r="S7031" s="508">
        <v>8.9999999999999993E-3</v>
      </c>
      <c r="T7031" s="508">
        <v>8.9999999999999993E-3</v>
      </c>
      <c r="U7031" s="508">
        <v>8.9999999999999993E-3</v>
      </c>
      <c r="V7031" s="508">
        <v>8.9999999999999993E-3</v>
      </c>
      <c r="W7031" s="508">
        <v>8.9999999999999993E-3</v>
      </c>
      <c r="X7031" s="508">
        <v>8.9999999999999993E-3</v>
      </c>
      <c r="Y7031" s="508">
        <v>8.9999999999999993E-3</v>
      </c>
      <c r="Z7031" s="508">
        <v>8.9999999999999993E-3</v>
      </c>
      <c r="AA7031" s="508">
        <v>8.9999999999999993E-3</v>
      </c>
      <c r="AB7031" s="508">
        <v>8.9999999999999993E-3</v>
      </c>
      <c r="AC7031" s="508">
        <v>8.9999999999999993E-3</v>
      </c>
      <c r="AD7031" s="508">
        <v>8.9999999999999993E-3</v>
      </c>
      <c r="AE7031" s="508">
        <v>8.9999999999999993E-3</v>
      </c>
      <c r="AF7031" s="508">
        <v>8.9999999999999993E-3</v>
      </c>
      <c r="AG7031" s="508">
        <v>8.9999999999999993E-3</v>
      </c>
      <c r="AH7031" s="508">
        <v>8.9999999999999993E-3</v>
      </c>
      <c r="AI7031" s="492">
        <v>8.9999999999999993E-3</v>
      </c>
      <c r="AJ7031" s="485"/>
    </row>
    <row r="7032" spans="2:36">
      <c r="B7032" s="136" t="s">
        <v>458</v>
      </c>
      <c r="C7032" s="132" t="s">
        <v>1378</v>
      </c>
      <c r="D7032" s="132" t="s">
        <v>1380</v>
      </c>
      <c r="E7032" s="508">
        <v>1.0999999999999999E-2</v>
      </c>
      <c r="F7032" s="508">
        <v>1.0999999999999999E-2</v>
      </c>
      <c r="G7032" s="508">
        <v>1.0999999999999999E-2</v>
      </c>
      <c r="H7032" s="508">
        <v>1.0999999999999999E-2</v>
      </c>
      <c r="I7032" s="508">
        <v>1.0999999999999999E-2</v>
      </c>
      <c r="J7032" s="508">
        <v>1.0999999999999999E-2</v>
      </c>
      <c r="K7032" s="508">
        <v>1.0999999999999999E-2</v>
      </c>
      <c r="L7032" s="508">
        <v>1.0999999999999999E-2</v>
      </c>
      <c r="M7032" s="508">
        <v>1.0999999999999999E-2</v>
      </c>
      <c r="N7032" s="508">
        <v>1.0999999999999999E-2</v>
      </c>
      <c r="O7032" s="508">
        <v>1.0999999999999999E-2</v>
      </c>
      <c r="P7032" s="508">
        <v>1.0999999999999999E-2</v>
      </c>
      <c r="Q7032" s="508">
        <v>1.0999999999999999E-2</v>
      </c>
      <c r="R7032" s="508">
        <v>1.0999999999999999E-2</v>
      </c>
      <c r="S7032" s="508">
        <v>1.0999999999999999E-2</v>
      </c>
      <c r="T7032" s="508">
        <v>1.0999999999999999E-2</v>
      </c>
      <c r="U7032" s="508">
        <v>1.0999999999999999E-2</v>
      </c>
      <c r="V7032" s="508">
        <v>1.0999999999999999E-2</v>
      </c>
      <c r="W7032" s="508">
        <v>1.0999999999999999E-2</v>
      </c>
      <c r="X7032" s="508">
        <v>1.0999999999999999E-2</v>
      </c>
      <c r="Y7032" s="508">
        <v>1.0999999999999999E-2</v>
      </c>
      <c r="Z7032" s="508">
        <v>1.0999999999999999E-2</v>
      </c>
      <c r="AA7032" s="508">
        <v>1.0999999999999999E-2</v>
      </c>
      <c r="AB7032" s="508">
        <v>1.0999999999999999E-2</v>
      </c>
      <c r="AC7032" s="508">
        <v>1.0999999999999999E-2</v>
      </c>
      <c r="AD7032" s="508">
        <v>1.0999999999999999E-2</v>
      </c>
      <c r="AE7032" s="508">
        <v>1.0999999999999999E-2</v>
      </c>
      <c r="AF7032" s="508">
        <v>1.0999999999999999E-2</v>
      </c>
      <c r="AG7032" s="508">
        <v>1.0999999999999999E-2</v>
      </c>
      <c r="AH7032" s="508">
        <v>1.0999999999999999E-2</v>
      </c>
      <c r="AI7032" s="492">
        <v>1.0999999999999999E-2</v>
      </c>
      <c r="AJ7032" s="485"/>
    </row>
    <row r="7033" spans="2:36">
      <c r="B7033" s="136" t="s">
        <v>459</v>
      </c>
      <c r="C7033" s="132" t="s">
        <v>1378</v>
      </c>
      <c r="D7033" s="132" t="s">
        <v>1380</v>
      </c>
      <c r="E7033" s="508">
        <v>1.0999999999999999E-2</v>
      </c>
      <c r="F7033" s="508">
        <v>1.0999999999999999E-2</v>
      </c>
      <c r="G7033" s="508">
        <v>1.0999999999999999E-2</v>
      </c>
      <c r="H7033" s="508">
        <v>1.0999999999999999E-2</v>
      </c>
      <c r="I7033" s="508">
        <v>1.0999999999999999E-2</v>
      </c>
      <c r="J7033" s="508">
        <v>1.0999999999999999E-2</v>
      </c>
      <c r="K7033" s="508">
        <v>1.0999999999999999E-2</v>
      </c>
      <c r="L7033" s="508">
        <v>1.0999999999999999E-2</v>
      </c>
      <c r="M7033" s="508">
        <v>1.0999999999999999E-2</v>
      </c>
      <c r="N7033" s="508">
        <v>1.0999999999999999E-2</v>
      </c>
      <c r="O7033" s="508">
        <v>1.0999999999999999E-2</v>
      </c>
      <c r="P7033" s="508">
        <v>1.0999999999999999E-2</v>
      </c>
      <c r="Q7033" s="508">
        <v>1.0999999999999999E-2</v>
      </c>
      <c r="R7033" s="508">
        <v>1.0999999999999999E-2</v>
      </c>
      <c r="S7033" s="508">
        <v>1.0999999999999999E-2</v>
      </c>
      <c r="T7033" s="508">
        <v>1.0999999999999999E-2</v>
      </c>
      <c r="U7033" s="508">
        <v>1.0999999999999999E-2</v>
      </c>
      <c r="V7033" s="508">
        <v>1.0999999999999999E-2</v>
      </c>
      <c r="W7033" s="508">
        <v>1.0999999999999999E-2</v>
      </c>
      <c r="X7033" s="508">
        <v>1.0999999999999999E-2</v>
      </c>
      <c r="Y7033" s="508">
        <v>1.0999999999999999E-2</v>
      </c>
      <c r="Z7033" s="508">
        <v>1.0999999999999999E-2</v>
      </c>
      <c r="AA7033" s="508">
        <v>1.0999999999999999E-2</v>
      </c>
      <c r="AB7033" s="508">
        <v>1.0999999999999999E-2</v>
      </c>
      <c r="AC7033" s="508">
        <v>1.0999999999999999E-2</v>
      </c>
      <c r="AD7033" s="508">
        <v>1.0999999999999999E-2</v>
      </c>
      <c r="AE7033" s="508">
        <v>1.0999999999999999E-2</v>
      </c>
      <c r="AF7033" s="508">
        <v>1.0999999999999999E-2</v>
      </c>
      <c r="AG7033" s="508">
        <v>1.0999999999999999E-2</v>
      </c>
      <c r="AH7033" s="508">
        <v>1.0999999999999999E-2</v>
      </c>
      <c r="AI7033" s="492">
        <v>1.0999999999999999E-2</v>
      </c>
      <c r="AJ7033" s="485"/>
    </row>
    <row r="7034" spans="2:36">
      <c r="B7034" s="136" t="s">
        <v>460</v>
      </c>
      <c r="C7034" s="132" t="s">
        <v>1378</v>
      </c>
      <c r="D7034" s="132" t="s">
        <v>1380</v>
      </c>
      <c r="E7034" s="508">
        <v>1.0999999999999999E-2</v>
      </c>
      <c r="F7034" s="508">
        <v>1.0999999999999999E-2</v>
      </c>
      <c r="G7034" s="508">
        <v>1.0999999999999999E-2</v>
      </c>
      <c r="H7034" s="508">
        <v>1.0999999999999999E-2</v>
      </c>
      <c r="I7034" s="508">
        <v>1.0999999999999999E-2</v>
      </c>
      <c r="J7034" s="508">
        <v>1.0999999999999999E-2</v>
      </c>
      <c r="K7034" s="508">
        <v>1.0999999999999999E-2</v>
      </c>
      <c r="L7034" s="508">
        <v>1.0999999999999999E-2</v>
      </c>
      <c r="M7034" s="508">
        <v>1.0999999999999999E-2</v>
      </c>
      <c r="N7034" s="508">
        <v>1.0999999999999999E-2</v>
      </c>
      <c r="O7034" s="508">
        <v>1.0999999999999999E-2</v>
      </c>
      <c r="P7034" s="508">
        <v>1.0999999999999999E-2</v>
      </c>
      <c r="Q7034" s="508">
        <v>1.0999999999999999E-2</v>
      </c>
      <c r="R7034" s="508">
        <v>1.0999999999999999E-2</v>
      </c>
      <c r="S7034" s="508">
        <v>1.0999999999999999E-2</v>
      </c>
      <c r="T7034" s="508">
        <v>1.0999999999999999E-2</v>
      </c>
      <c r="U7034" s="508">
        <v>1.0999999999999999E-2</v>
      </c>
      <c r="V7034" s="508">
        <v>1.0999999999999999E-2</v>
      </c>
      <c r="W7034" s="508">
        <v>1.0999999999999999E-2</v>
      </c>
      <c r="X7034" s="508">
        <v>1.0999999999999999E-2</v>
      </c>
      <c r="Y7034" s="508">
        <v>1.0999999999999999E-2</v>
      </c>
      <c r="Z7034" s="508">
        <v>1.0999999999999999E-2</v>
      </c>
      <c r="AA7034" s="508">
        <v>1.0999999999999999E-2</v>
      </c>
      <c r="AB7034" s="508">
        <v>1.0999999999999999E-2</v>
      </c>
      <c r="AC7034" s="508">
        <v>1.0999999999999999E-2</v>
      </c>
      <c r="AD7034" s="508">
        <v>1.0999999999999999E-2</v>
      </c>
      <c r="AE7034" s="508">
        <v>1.0999999999999999E-2</v>
      </c>
      <c r="AF7034" s="508">
        <v>1.0999999999999999E-2</v>
      </c>
      <c r="AG7034" s="508">
        <v>1.0999999999999999E-2</v>
      </c>
      <c r="AH7034" s="508">
        <v>1.0999999999999999E-2</v>
      </c>
      <c r="AI7034" s="492">
        <v>1.0999999999999999E-2</v>
      </c>
      <c r="AJ7034" s="485"/>
    </row>
    <row r="7035" spans="2:36">
      <c r="B7035" s="136" t="s">
        <v>461</v>
      </c>
      <c r="C7035" s="132" t="s">
        <v>1378</v>
      </c>
      <c r="D7035" s="132" t="s">
        <v>1380</v>
      </c>
      <c r="E7035" s="508">
        <v>1.0999999999999999E-2</v>
      </c>
      <c r="F7035" s="508">
        <v>1.0999999999999999E-2</v>
      </c>
      <c r="G7035" s="508">
        <v>1.0999999999999999E-2</v>
      </c>
      <c r="H7035" s="508">
        <v>1.0999999999999999E-2</v>
      </c>
      <c r="I7035" s="508">
        <v>1.0999999999999999E-2</v>
      </c>
      <c r="J7035" s="508">
        <v>1.0999999999999999E-2</v>
      </c>
      <c r="K7035" s="508">
        <v>1.0999999999999999E-2</v>
      </c>
      <c r="L7035" s="508">
        <v>1.0999999999999999E-2</v>
      </c>
      <c r="M7035" s="508">
        <v>1.0999999999999999E-2</v>
      </c>
      <c r="N7035" s="508">
        <v>1.0999999999999999E-2</v>
      </c>
      <c r="O7035" s="508">
        <v>1.0999999999999999E-2</v>
      </c>
      <c r="P7035" s="508">
        <v>1.0999999999999999E-2</v>
      </c>
      <c r="Q7035" s="508">
        <v>1.0999999999999999E-2</v>
      </c>
      <c r="R7035" s="508">
        <v>1.0999999999999999E-2</v>
      </c>
      <c r="S7035" s="508">
        <v>1.0999999999999999E-2</v>
      </c>
      <c r="T7035" s="508">
        <v>1.0999999999999999E-2</v>
      </c>
      <c r="U7035" s="508">
        <v>1.0999999999999999E-2</v>
      </c>
      <c r="V7035" s="508">
        <v>1.0999999999999999E-2</v>
      </c>
      <c r="W7035" s="508">
        <v>1.0999999999999999E-2</v>
      </c>
      <c r="X7035" s="508">
        <v>1.0999999999999999E-2</v>
      </c>
      <c r="Y7035" s="508">
        <v>1.0999999999999999E-2</v>
      </c>
      <c r="Z7035" s="508">
        <v>1.0999999999999999E-2</v>
      </c>
      <c r="AA7035" s="508">
        <v>1.0999999999999999E-2</v>
      </c>
      <c r="AB7035" s="508">
        <v>1.0999999999999999E-2</v>
      </c>
      <c r="AC7035" s="508">
        <v>1.0999999999999999E-2</v>
      </c>
      <c r="AD7035" s="508">
        <v>1.0999999999999999E-2</v>
      </c>
      <c r="AE7035" s="508">
        <v>1.0999999999999999E-2</v>
      </c>
      <c r="AF7035" s="508">
        <v>1.0999999999999999E-2</v>
      </c>
      <c r="AG7035" s="508">
        <v>1.0999999999999999E-2</v>
      </c>
      <c r="AH7035" s="508">
        <v>1.0999999999999999E-2</v>
      </c>
      <c r="AI7035" s="492">
        <v>1.0999999999999999E-2</v>
      </c>
      <c r="AJ7035" s="485"/>
    </row>
    <row r="7036" spans="2:36">
      <c r="B7036" s="136" t="s">
        <v>462</v>
      </c>
      <c r="C7036" s="132" t="s">
        <v>1378</v>
      </c>
      <c r="D7036" s="132" t="s">
        <v>1380</v>
      </c>
      <c r="E7036" s="508">
        <v>0.01</v>
      </c>
      <c r="F7036" s="508">
        <v>0.01</v>
      </c>
      <c r="G7036" s="508">
        <v>0.01</v>
      </c>
      <c r="H7036" s="508">
        <v>0.01</v>
      </c>
      <c r="I7036" s="508">
        <v>0.01</v>
      </c>
      <c r="J7036" s="508">
        <v>0.01</v>
      </c>
      <c r="K7036" s="508">
        <v>0.01</v>
      </c>
      <c r="L7036" s="508">
        <v>0.01</v>
      </c>
      <c r="M7036" s="508">
        <v>0.01</v>
      </c>
      <c r="N7036" s="508">
        <v>0.01</v>
      </c>
      <c r="O7036" s="508">
        <v>0.01</v>
      </c>
      <c r="P7036" s="508">
        <v>0.01</v>
      </c>
      <c r="Q7036" s="508">
        <v>0.01</v>
      </c>
      <c r="R7036" s="508">
        <v>0.01</v>
      </c>
      <c r="S7036" s="508">
        <v>0.01</v>
      </c>
      <c r="T7036" s="508">
        <v>0.01</v>
      </c>
      <c r="U7036" s="508">
        <v>0.01</v>
      </c>
      <c r="V7036" s="508">
        <v>0.01</v>
      </c>
      <c r="W7036" s="508">
        <v>0.01</v>
      </c>
      <c r="X7036" s="508">
        <v>0.01</v>
      </c>
      <c r="Y7036" s="508">
        <v>0.01</v>
      </c>
      <c r="Z7036" s="508">
        <v>0.01</v>
      </c>
      <c r="AA7036" s="508">
        <v>0.01</v>
      </c>
      <c r="AB7036" s="508">
        <v>0.01</v>
      </c>
      <c r="AC7036" s="508">
        <v>0.01</v>
      </c>
      <c r="AD7036" s="508">
        <v>0.01</v>
      </c>
      <c r="AE7036" s="508">
        <v>0.01</v>
      </c>
      <c r="AF7036" s="508">
        <v>0.01</v>
      </c>
      <c r="AG7036" s="508">
        <v>0.01</v>
      </c>
      <c r="AH7036" s="508">
        <v>0.01</v>
      </c>
      <c r="AI7036" s="492">
        <v>0.01</v>
      </c>
      <c r="AJ7036" s="485"/>
    </row>
    <row r="7037" spans="2:36">
      <c r="B7037" s="136" t="s">
        <v>463</v>
      </c>
      <c r="C7037" s="132" t="s">
        <v>1378</v>
      </c>
      <c r="D7037" s="132" t="s">
        <v>1380</v>
      </c>
      <c r="E7037" s="508">
        <v>8.9999999999999993E-3</v>
      </c>
      <c r="F7037" s="508">
        <v>8.9999999999999993E-3</v>
      </c>
      <c r="G7037" s="508">
        <v>8.9999999999999993E-3</v>
      </c>
      <c r="H7037" s="508">
        <v>8.9999999999999993E-3</v>
      </c>
      <c r="I7037" s="508">
        <v>8.9999999999999993E-3</v>
      </c>
      <c r="J7037" s="508">
        <v>8.9999999999999993E-3</v>
      </c>
      <c r="K7037" s="508">
        <v>8.9999999999999993E-3</v>
      </c>
      <c r="L7037" s="508">
        <v>8.9999999999999993E-3</v>
      </c>
      <c r="M7037" s="508">
        <v>8.9999999999999993E-3</v>
      </c>
      <c r="N7037" s="508">
        <v>8.9999999999999993E-3</v>
      </c>
      <c r="O7037" s="508">
        <v>8.9999999999999993E-3</v>
      </c>
      <c r="P7037" s="508">
        <v>8.9999999999999993E-3</v>
      </c>
      <c r="Q7037" s="508">
        <v>8.9999999999999993E-3</v>
      </c>
      <c r="R7037" s="508">
        <v>8.9999999999999993E-3</v>
      </c>
      <c r="S7037" s="508">
        <v>8.9999999999999993E-3</v>
      </c>
      <c r="T7037" s="508">
        <v>8.9999999999999993E-3</v>
      </c>
      <c r="U7037" s="508">
        <v>8.9999999999999993E-3</v>
      </c>
      <c r="V7037" s="508">
        <v>8.9999999999999993E-3</v>
      </c>
      <c r="W7037" s="508">
        <v>8.9999999999999993E-3</v>
      </c>
      <c r="X7037" s="508">
        <v>8.9999999999999993E-3</v>
      </c>
      <c r="Y7037" s="508">
        <v>8.9999999999999993E-3</v>
      </c>
      <c r="Z7037" s="508">
        <v>8.9999999999999993E-3</v>
      </c>
      <c r="AA7037" s="508">
        <v>8.9999999999999993E-3</v>
      </c>
      <c r="AB7037" s="508">
        <v>8.9999999999999993E-3</v>
      </c>
      <c r="AC7037" s="508">
        <v>8.9999999999999993E-3</v>
      </c>
      <c r="AD7037" s="508">
        <v>8.9999999999999993E-3</v>
      </c>
      <c r="AE7037" s="508">
        <v>8.9999999999999993E-3</v>
      </c>
      <c r="AF7037" s="508">
        <v>8.9999999999999993E-3</v>
      </c>
      <c r="AG7037" s="508">
        <v>8.9999999999999993E-3</v>
      </c>
      <c r="AH7037" s="508">
        <v>8.9999999999999993E-3</v>
      </c>
      <c r="AI7037" s="492">
        <v>8.9999999999999993E-3</v>
      </c>
      <c r="AJ7037" s="485"/>
    </row>
    <row r="7038" spans="2:36">
      <c r="B7038" s="136" t="s">
        <v>464</v>
      </c>
      <c r="C7038" s="132" t="s">
        <v>1378</v>
      </c>
      <c r="D7038" s="132" t="s">
        <v>1380</v>
      </c>
      <c r="E7038" s="508">
        <v>8.9999999999999993E-3</v>
      </c>
      <c r="F7038" s="508">
        <v>8.9999999999999993E-3</v>
      </c>
      <c r="G7038" s="508">
        <v>8.9999999999999993E-3</v>
      </c>
      <c r="H7038" s="508">
        <v>8.9999999999999993E-3</v>
      </c>
      <c r="I7038" s="508">
        <v>8.9999999999999993E-3</v>
      </c>
      <c r="J7038" s="508">
        <v>8.9999999999999993E-3</v>
      </c>
      <c r="K7038" s="508">
        <v>8.9999999999999993E-3</v>
      </c>
      <c r="L7038" s="508">
        <v>8.9999999999999993E-3</v>
      </c>
      <c r="M7038" s="508">
        <v>8.9999999999999993E-3</v>
      </c>
      <c r="N7038" s="508">
        <v>8.9999999999999993E-3</v>
      </c>
      <c r="O7038" s="508">
        <v>8.9999999999999993E-3</v>
      </c>
      <c r="P7038" s="508">
        <v>8.9999999999999993E-3</v>
      </c>
      <c r="Q7038" s="508">
        <v>8.9999999999999993E-3</v>
      </c>
      <c r="R7038" s="508">
        <v>8.9999999999999993E-3</v>
      </c>
      <c r="S7038" s="508">
        <v>8.9999999999999993E-3</v>
      </c>
      <c r="T7038" s="508">
        <v>8.9999999999999993E-3</v>
      </c>
      <c r="U7038" s="508">
        <v>8.9999999999999993E-3</v>
      </c>
      <c r="V7038" s="508">
        <v>8.9999999999999993E-3</v>
      </c>
      <c r="W7038" s="508">
        <v>8.9999999999999993E-3</v>
      </c>
      <c r="X7038" s="508">
        <v>8.9999999999999993E-3</v>
      </c>
      <c r="Y7038" s="508">
        <v>8.9999999999999993E-3</v>
      </c>
      <c r="Z7038" s="508">
        <v>8.9999999999999993E-3</v>
      </c>
      <c r="AA7038" s="508">
        <v>8.9999999999999993E-3</v>
      </c>
      <c r="AB7038" s="508">
        <v>8.9999999999999993E-3</v>
      </c>
      <c r="AC7038" s="508">
        <v>8.9999999999999993E-3</v>
      </c>
      <c r="AD7038" s="508">
        <v>8.9999999999999993E-3</v>
      </c>
      <c r="AE7038" s="508">
        <v>8.9999999999999993E-3</v>
      </c>
      <c r="AF7038" s="508">
        <v>8.9999999999999993E-3</v>
      </c>
      <c r="AG7038" s="508">
        <v>8.9999999999999993E-3</v>
      </c>
      <c r="AH7038" s="508">
        <v>8.9999999999999993E-3</v>
      </c>
      <c r="AI7038" s="492">
        <v>8.9999999999999993E-3</v>
      </c>
      <c r="AJ7038" s="485"/>
    </row>
    <row r="7039" spans="2:36">
      <c r="B7039" s="136" t="s">
        <v>465</v>
      </c>
      <c r="C7039" s="132" t="s">
        <v>1378</v>
      </c>
      <c r="D7039" s="132" t="s">
        <v>1380</v>
      </c>
      <c r="E7039" s="508">
        <v>8.9999999999999993E-3</v>
      </c>
      <c r="F7039" s="508">
        <v>8.9999999999999993E-3</v>
      </c>
      <c r="G7039" s="508">
        <v>8.9999999999999993E-3</v>
      </c>
      <c r="H7039" s="508">
        <v>8.9999999999999993E-3</v>
      </c>
      <c r="I7039" s="508">
        <v>8.9999999999999993E-3</v>
      </c>
      <c r="J7039" s="508">
        <v>8.9999999999999993E-3</v>
      </c>
      <c r="K7039" s="508">
        <v>8.9999999999999993E-3</v>
      </c>
      <c r="L7039" s="508">
        <v>8.9999999999999993E-3</v>
      </c>
      <c r="M7039" s="508">
        <v>8.9999999999999993E-3</v>
      </c>
      <c r="N7039" s="508">
        <v>8.9999999999999993E-3</v>
      </c>
      <c r="O7039" s="508">
        <v>8.9999999999999993E-3</v>
      </c>
      <c r="P7039" s="508">
        <v>8.9999999999999993E-3</v>
      </c>
      <c r="Q7039" s="508">
        <v>8.9999999999999993E-3</v>
      </c>
      <c r="R7039" s="508">
        <v>8.9999999999999993E-3</v>
      </c>
      <c r="S7039" s="508">
        <v>8.9999999999999993E-3</v>
      </c>
      <c r="T7039" s="508">
        <v>8.9999999999999993E-3</v>
      </c>
      <c r="U7039" s="508">
        <v>8.9999999999999993E-3</v>
      </c>
      <c r="V7039" s="508">
        <v>8.9999999999999993E-3</v>
      </c>
      <c r="W7039" s="508">
        <v>8.9999999999999993E-3</v>
      </c>
      <c r="X7039" s="508">
        <v>8.9999999999999993E-3</v>
      </c>
      <c r="Y7039" s="508">
        <v>8.9999999999999993E-3</v>
      </c>
      <c r="Z7039" s="508">
        <v>8.9999999999999993E-3</v>
      </c>
      <c r="AA7039" s="508">
        <v>8.9999999999999993E-3</v>
      </c>
      <c r="AB7039" s="508">
        <v>8.9999999999999993E-3</v>
      </c>
      <c r="AC7039" s="508">
        <v>8.9999999999999993E-3</v>
      </c>
      <c r="AD7039" s="508">
        <v>8.9999999999999993E-3</v>
      </c>
      <c r="AE7039" s="508">
        <v>8.9999999999999993E-3</v>
      </c>
      <c r="AF7039" s="508">
        <v>8.9999999999999993E-3</v>
      </c>
      <c r="AG7039" s="508">
        <v>8.9999999999999993E-3</v>
      </c>
      <c r="AH7039" s="508">
        <v>8.9999999999999993E-3</v>
      </c>
      <c r="AI7039" s="492">
        <v>8.9999999999999993E-3</v>
      </c>
      <c r="AJ7039" s="485"/>
    </row>
    <row r="7040" spans="2:36">
      <c r="B7040" s="136" t="s">
        <v>466</v>
      </c>
      <c r="C7040" s="132" t="s">
        <v>1378</v>
      </c>
      <c r="D7040" s="132" t="s">
        <v>1380</v>
      </c>
      <c r="E7040" s="508">
        <v>1.2E-2</v>
      </c>
      <c r="F7040" s="508">
        <v>1.2E-2</v>
      </c>
      <c r="G7040" s="508">
        <v>1.2E-2</v>
      </c>
      <c r="H7040" s="508">
        <v>1.2E-2</v>
      </c>
      <c r="I7040" s="508">
        <v>1.2E-2</v>
      </c>
      <c r="J7040" s="508">
        <v>1.2E-2</v>
      </c>
      <c r="K7040" s="508">
        <v>1.2E-2</v>
      </c>
      <c r="L7040" s="508">
        <v>1.2E-2</v>
      </c>
      <c r="M7040" s="508">
        <v>1.2E-2</v>
      </c>
      <c r="N7040" s="508">
        <v>1.2E-2</v>
      </c>
      <c r="O7040" s="508">
        <v>1.2E-2</v>
      </c>
      <c r="P7040" s="508">
        <v>1.2E-2</v>
      </c>
      <c r="Q7040" s="508">
        <v>1.2E-2</v>
      </c>
      <c r="R7040" s="508">
        <v>1.2E-2</v>
      </c>
      <c r="S7040" s="508">
        <v>1.2E-2</v>
      </c>
      <c r="T7040" s="508">
        <v>1.2E-2</v>
      </c>
      <c r="U7040" s="508">
        <v>1.2E-2</v>
      </c>
      <c r="V7040" s="508">
        <v>1.2E-2</v>
      </c>
      <c r="W7040" s="508">
        <v>1.2E-2</v>
      </c>
      <c r="X7040" s="508">
        <v>1.2E-2</v>
      </c>
      <c r="Y7040" s="508">
        <v>1.2E-2</v>
      </c>
      <c r="Z7040" s="508">
        <v>1.2E-2</v>
      </c>
      <c r="AA7040" s="508">
        <v>1.2E-2</v>
      </c>
      <c r="AB7040" s="508">
        <v>1.2E-2</v>
      </c>
      <c r="AC7040" s="508">
        <v>1.2E-2</v>
      </c>
      <c r="AD7040" s="508">
        <v>1.2E-2</v>
      </c>
      <c r="AE7040" s="508">
        <v>1.2E-2</v>
      </c>
      <c r="AF7040" s="508">
        <v>1.2E-2</v>
      </c>
      <c r="AG7040" s="508">
        <v>1.2E-2</v>
      </c>
      <c r="AH7040" s="508">
        <v>1.2E-2</v>
      </c>
      <c r="AI7040" s="492">
        <v>1.2E-2</v>
      </c>
      <c r="AJ7040" s="485"/>
    </row>
    <row r="7041" spans="2:36">
      <c r="B7041" s="136" t="s">
        <v>467</v>
      </c>
      <c r="C7041" s="132" t="s">
        <v>1378</v>
      </c>
      <c r="D7041" s="132" t="s">
        <v>1380</v>
      </c>
      <c r="E7041" s="508">
        <v>0.01</v>
      </c>
      <c r="F7041" s="508">
        <v>0.01</v>
      </c>
      <c r="G7041" s="508">
        <v>0.01</v>
      </c>
      <c r="H7041" s="508">
        <v>0.01</v>
      </c>
      <c r="I7041" s="508">
        <v>0.01</v>
      </c>
      <c r="J7041" s="508">
        <v>0.01</v>
      </c>
      <c r="K7041" s="508">
        <v>0.01</v>
      </c>
      <c r="L7041" s="508">
        <v>0.01</v>
      </c>
      <c r="M7041" s="508">
        <v>0.01</v>
      </c>
      <c r="N7041" s="508">
        <v>0.01</v>
      </c>
      <c r="O7041" s="508">
        <v>0.01</v>
      </c>
      <c r="P7041" s="508">
        <v>0.01</v>
      </c>
      <c r="Q7041" s="508">
        <v>0.01</v>
      </c>
      <c r="R7041" s="508">
        <v>0.01</v>
      </c>
      <c r="S7041" s="508">
        <v>0.01</v>
      </c>
      <c r="T7041" s="508">
        <v>0.01</v>
      </c>
      <c r="U7041" s="508">
        <v>0.01</v>
      </c>
      <c r="V7041" s="508">
        <v>0.01</v>
      </c>
      <c r="W7041" s="508">
        <v>0.01</v>
      </c>
      <c r="X7041" s="508">
        <v>0.01</v>
      </c>
      <c r="Y7041" s="508">
        <v>0.01</v>
      </c>
      <c r="Z7041" s="508">
        <v>0.01</v>
      </c>
      <c r="AA7041" s="508">
        <v>0.01</v>
      </c>
      <c r="AB7041" s="508">
        <v>0.01</v>
      </c>
      <c r="AC7041" s="508">
        <v>0.01</v>
      </c>
      <c r="AD7041" s="508">
        <v>0.01</v>
      </c>
      <c r="AE7041" s="508">
        <v>0.01</v>
      </c>
      <c r="AF7041" s="508">
        <v>0.01</v>
      </c>
      <c r="AG7041" s="508">
        <v>0.01</v>
      </c>
      <c r="AH7041" s="508">
        <v>0.01</v>
      </c>
      <c r="AI7041" s="492">
        <v>0.01</v>
      </c>
      <c r="AJ7041" s="485"/>
    </row>
    <row r="7042" spans="2:36">
      <c r="B7042" s="136" t="s">
        <v>468</v>
      </c>
      <c r="C7042" s="132" t="s">
        <v>1378</v>
      </c>
      <c r="D7042" s="132" t="s">
        <v>1380</v>
      </c>
      <c r="E7042" s="508">
        <v>8.9999999999999993E-3</v>
      </c>
      <c r="F7042" s="508">
        <v>8.9999999999999993E-3</v>
      </c>
      <c r="G7042" s="508">
        <v>8.9999999999999993E-3</v>
      </c>
      <c r="H7042" s="508">
        <v>8.9999999999999993E-3</v>
      </c>
      <c r="I7042" s="508">
        <v>8.9999999999999993E-3</v>
      </c>
      <c r="J7042" s="508">
        <v>8.9999999999999993E-3</v>
      </c>
      <c r="K7042" s="508">
        <v>8.9999999999999993E-3</v>
      </c>
      <c r="L7042" s="508">
        <v>8.9999999999999993E-3</v>
      </c>
      <c r="M7042" s="508">
        <v>8.9999999999999993E-3</v>
      </c>
      <c r="N7042" s="508">
        <v>8.9999999999999993E-3</v>
      </c>
      <c r="O7042" s="508">
        <v>8.9999999999999993E-3</v>
      </c>
      <c r="P7042" s="508">
        <v>8.9999999999999993E-3</v>
      </c>
      <c r="Q7042" s="508">
        <v>8.9999999999999993E-3</v>
      </c>
      <c r="R7042" s="508">
        <v>8.9999999999999993E-3</v>
      </c>
      <c r="S7042" s="508">
        <v>8.9999999999999993E-3</v>
      </c>
      <c r="T7042" s="508">
        <v>8.9999999999999993E-3</v>
      </c>
      <c r="U7042" s="508">
        <v>8.9999999999999993E-3</v>
      </c>
      <c r="V7042" s="508">
        <v>8.9999999999999993E-3</v>
      </c>
      <c r="W7042" s="508">
        <v>8.9999999999999993E-3</v>
      </c>
      <c r="X7042" s="508">
        <v>8.9999999999999993E-3</v>
      </c>
      <c r="Y7042" s="508">
        <v>8.9999999999999993E-3</v>
      </c>
      <c r="Z7042" s="508">
        <v>8.9999999999999993E-3</v>
      </c>
      <c r="AA7042" s="508">
        <v>8.9999999999999993E-3</v>
      </c>
      <c r="AB7042" s="508">
        <v>8.9999999999999993E-3</v>
      </c>
      <c r="AC7042" s="508">
        <v>8.9999999999999993E-3</v>
      </c>
      <c r="AD7042" s="508">
        <v>8.9999999999999993E-3</v>
      </c>
      <c r="AE7042" s="508">
        <v>8.9999999999999993E-3</v>
      </c>
      <c r="AF7042" s="508">
        <v>8.9999999999999993E-3</v>
      </c>
      <c r="AG7042" s="508">
        <v>8.9999999999999993E-3</v>
      </c>
      <c r="AH7042" s="508">
        <v>8.9999999999999993E-3</v>
      </c>
      <c r="AI7042" s="492">
        <v>8.9999999999999993E-3</v>
      </c>
      <c r="AJ7042" s="485"/>
    </row>
    <row r="7043" spans="2:36">
      <c r="B7043" s="136" t="s">
        <v>469</v>
      </c>
      <c r="C7043" s="132" t="s">
        <v>1378</v>
      </c>
      <c r="D7043" s="132" t="s">
        <v>1380</v>
      </c>
      <c r="E7043" s="508">
        <v>0.01</v>
      </c>
      <c r="F7043" s="508">
        <v>0.01</v>
      </c>
      <c r="G7043" s="508">
        <v>0.01</v>
      </c>
      <c r="H7043" s="508">
        <v>0.01</v>
      </c>
      <c r="I7043" s="508">
        <v>0.01</v>
      </c>
      <c r="J7043" s="508">
        <v>0.01</v>
      </c>
      <c r="K7043" s="508">
        <v>0.01</v>
      </c>
      <c r="L7043" s="508">
        <v>0.01</v>
      </c>
      <c r="M7043" s="508">
        <v>0.01</v>
      </c>
      <c r="N7043" s="508">
        <v>0.01</v>
      </c>
      <c r="O7043" s="508">
        <v>0.01</v>
      </c>
      <c r="P7043" s="508">
        <v>0.01</v>
      </c>
      <c r="Q7043" s="508">
        <v>0.01</v>
      </c>
      <c r="R7043" s="508">
        <v>0.01</v>
      </c>
      <c r="S7043" s="508">
        <v>0.01</v>
      </c>
      <c r="T7043" s="508">
        <v>0.01</v>
      </c>
      <c r="U7043" s="508">
        <v>0.01</v>
      </c>
      <c r="V7043" s="508">
        <v>0.01</v>
      </c>
      <c r="W7043" s="508">
        <v>0.01</v>
      </c>
      <c r="X7043" s="508">
        <v>0.01</v>
      </c>
      <c r="Y7043" s="508">
        <v>0.01</v>
      </c>
      <c r="Z7043" s="508">
        <v>0.01</v>
      </c>
      <c r="AA7043" s="508">
        <v>0.01</v>
      </c>
      <c r="AB7043" s="508">
        <v>0.01</v>
      </c>
      <c r="AC7043" s="508">
        <v>0.01</v>
      </c>
      <c r="AD7043" s="508">
        <v>0.01</v>
      </c>
      <c r="AE7043" s="508">
        <v>0.01</v>
      </c>
      <c r="AF7043" s="508">
        <v>0.01</v>
      </c>
      <c r="AG7043" s="508">
        <v>0.01</v>
      </c>
      <c r="AH7043" s="508">
        <v>0.01</v>
      </c>
      <c r="AI7043" s="492">
        <v>0.01</v>
      </c>
      <c r="AJ7043" s="485"/>
    </row>
    <row r="7044" spans="2:36">
      <c r="B7044" s="136" t="s">
        <v>470</v>
      </c>
      <c r="C7044" s="132" t="s">
        <v>1378</v>
      </c>
      <c r="D7044" s="132" t="s">
        <v>1380</v>
      </c>
      <c r="E7044" s="508">
        <v>1.2E-2</v>
      </c>
      <c r="F7044" s="508">
        <v>1.2E-2</v>
      </c>
      <c r="G7044" s="508">
        <v>1.2E-2</v>
      </c>
      <c r="H7044" s="508">
        <v>1.2E-2</v>
      </c>
      <c r="I7044" s="508">
        <v>1.2E-2</v>
      </c>
      <c r="J7044" s="508">
        <v>1.2E-2</v>
      </c>
      <c r="K7044" s="508">
        <v>1.2E-2</v>
      </c>
      <c r="L7044" s="508">
        <v>1.2E-2</v>
      </c>
      <c r="M7044" s="508">
        <v>1.2E-2</v>
      </c>
      <c r="N7044" s="508">
        <v>1.2E-2</v>
      </c>
      <c r="O7044" s="508">
        <v>1.2E-2</v>
      </c>
      <c r="P7044" s="508">
        <v>1.2E-2</v>
      </c>
      <c r="Q7044" s="508">
        <v>1.2E-2</v>
      </c>
      <c r="R7044" s="508">
        <v>1.2E-2</v>
      </c>
      <c r="S7044" s="508">
        <v>1.2E-2</v>
      </c>
      <c r="T7044" s="508">
        <v>1.2E-2</v>
      </c>
      <c r="U7044" s="508">
        <v>1.2E-2</v>
      </c>
      <c r="V7044" s="508">
        <v>1.2E-2</v>
      </c>
      <c r="W7044" s="508">
        <v>1.2E-2</v>
      </c>
      <c r="X7044" s="508">
        <v>1.2E-2</v>
      </c>
      <c r="Y7044" s="508">
        <v>1.2E-2</v>
      </c>
      <c r="Z7044" s="508">
        <v>1.2E-2</v>
      </c>
      <c r="AA7044" s="508">
        <v>1.2E-2</v>
      </c>
      <c r="AB7044" s="508">
        <v>1.2E-2</v>
      </c>
      <c r="AC7044" s="508">
        <v>1.2E-2</v>
      </c>
      <c r="AD7044" s="508">
        <v>1.2E-2</v>
      </c>
      <c r="AE7044" s="508">
        <v>1.2E-2</v>
      </c>
      <c r="AF7044" s="508">
        <v>1.2E-2</v>
      </c>
      <c r="AG7044" s="508">
        <v>1.2E-2</v>
      </c>
      <c r="AH7044" s="508">
        <v>1.2E-2</v>
      </c>
      <c r="AI7044" s="492">
        <v>1.2E-2</v>
      </c>
      <c r="AJ7044" s="485"/>
    </row>
    <row r="7045" spans="2:36">
      <c r="B7045" s="136" t="s">
        <v>471</v>
      </c>
      <c r="C7045" s="132" t="s">
        <v>1378</v>
      </c>
      <c r="D7045" s="132" t="s">
        <v>1380</v>
      </c>
      <c r="E7045" s="508">
        <v>1.0999999999999999E-2</v>
      </c>
      <c r="F7045" s="508">
        <v>1.0999999999999999E-2</v>
      </c>
      <c r="G7045" s="508">
        <v>1.0999999999999999E-2</v>
      </c>
      <c r="H7045" s="508">
        <v>1.0999999999999999E-2</v>
      </c>
      <c r="I7045" s="508">
        <v>1.0999999999999999E-2</v>
      </c>
      <c r="J7045" s="508">
        <v>1.0999999999999999E-2</v>
      </c>
      <c r="K7045" s="508">
        <v>1.0999999999999999E-2</v>
      </c>
      <c r="L7045" s="508">
        <v>1.0999999999999999E-2</v>
      </c>
      <c r="M7045" s="508">
        <v>1.0999999999999999E-2</v>
      </c>
      <c r="N7045" s="508">
        <v>1.0999999999999999E-2</v>
      </c>
      <c r="O7045" s="508">
        <v>1.0999999999999999E-2</v>
      </c>
      <c r="P7045" s="508">
        <v>1.0999999999999999E-2</v>
      </c>
      <c r="Q7045" s="508">
        <v>1.0999999999999999E-2</v>
      </c>
      <c r="R7045" s="508">
        <v>1.0999999999999999E-2</v>
      </c>
      <c r="S7045" s="508">
        <v>1.0999999999999999E-2</v>
      </c>
      <c r="T7045" s="508">
        <v>1.0999999999999999E-2</v>
      </c>
      <c r="U7045" s="508">
        <v>1.0999999999999999E-2</v>
      </c>
      <c r="V7045" s="508">
        <v>1.0999999999999999E-2</v>
      </c>
      <c r="W7045" s="508">
        <v>1.0999999999999999E-2</v>
      </c>
      <c r="X7045" s="508">
        <v>1.0999999999999999E-2</v>
      </c>
      <c r="Y7045" s="508">
        <v>1.0999999999999999E-2</v>
      </c>
      <c r="Z7045" s="508">
        <v>1.0999999999999999E-2</v>
      </c>
      <c r="AA7045" s="508">
        <v>1.0999999999999999E-2</v>
      </c>
      <c r="AB7045" s="508">
        <v>1.0999999999999999E-2</v>
      </c>
      <c r="AC7045" s="508">
        <v>1.0999999999999999E-2</v>
      </c>
      <c r="AD7045" s="508">
        <v>1.0999999999999999E-2</v>
      </c>
      <c r="AE7045" s="508">
        <v>1.0999999999999999E-2</v>
      </c>
      <c r="AF7045" s="508">
        <v>1.0999999999999999E-2</v>
      </c>
      <c r="AG7045" s="508">
        <v>1.0999999999999999E-2</v>
      </c>
      <c r="AH7045" s="508">
        <v>1.0999999999999999E-2</v>
      </c>
      <c r="AI7045" s="492">
        <v>1.0999999999999999E-2</v>
      </c>
      <c r="AJ7045" s="485"/>
    </row>
    <row r="7046" spans="2:36">
      <c r="B7046" s="136" t="s">
        <v>472</v>
      </c>
      <c r="C7046" s="132" t="s">
        <v>1378</v>
      </c>
      <c r="D7046" s="132" t="s">
        <v>1380</v>
      </c>
      <c r="E7046" s="508">
        <v>8.9999999999999993E-3</v>
      </c>
      <c r="F7046" s="508">
        <v>8.9999999999999993E-3</v>
      </c>
      <c r="G7046" s="508">
        <v>8.9999999999999993E-3</v>
      </c>
      <c r="H7046" s="508">
        <v>8.9999999999999993E-3</v>
      </c>
      <c r="I7046" s="508">
        <v>8.9999999999999993E-3</v>
      </c>
      <c r="J7046" s="508">
        <v>8.9999999999999993E-3</v>
      </c>
      <c r="K7046" s="508">
        <v>8.9999999999999993E-3</v>
      </c>
      <c r="L7046" s="508">
        <v>8.9999999999999993E-3</v>
      </c>
      <c r="M7046" s="508">
        <v>8.9999999999999993E-3</v>
      </c>
      <c r="N7046" s="508">
        <v>8.9999999999999993E-3</v>
      </c>
      <c r="O7046" s="508">
        <v>8.9999999999999993E-3</v>
      </c>
      <c r="P7046" s="508">
        <v>8.9999999999999993E-3</v>
      </c>
      <c r="Q7046" s="508">
        <v>8.9999999999999993E-3</v>
      </c>
      <c r="R7046" s="508">
        <v>8.9999999999999993E-3</v>
      </c>
      <c r="S7046" s="508">
        <v>8.9999999999999993E-3</v>
      </c>
      <c r="T7046" s="508">
        <v>8.9999999999999993E-3</v>
      </c>
      <c r="U7046" s="508">
        <v>8.9999999999999993E-3</v>
      </c>
      <c r="V7046" s="508">
        <v>8.9999999999999993E-3</v>
      </c>
      <c r="W7046" s="508">
        <v>8.9999999999999993E-3</v>
      </c>
      <c r="X7046" s="508">
        <v>8.9999999999999993E-3</v>
      </c>
      <c r="Y7046" s="508">
        <v>8.9999999999999993E-3</v>
      </c>
      <c r="Z7046" s="508">
        <v>8.9999999999999993E-3</v>
      </c>
      <c r="AA7046" s="508">
        <v>8.9999999999999993E-3</v>
      </c>
      <c r="AB7046" s="508">
        <v>8.9999999999999993E-3</v>
      </c>
      <c r="AC7046" s="508">
        <v>8.9999999999999993E-3</v>
      </c>
      <c r="AD7046" s="508">
        <v>8.9999999999999993E-3</v>
      </c>
      <c r="AE7046" s="508">
        <v>8.9999999999999993E-3</v>
      </c>
      <c r="AF7046" s="508">
        <v>8.9999999999999993E-3</v>
      </c>
      <c r="AG7046" s="508">
        <v>8.9999999999999993E-3</v>
      </c>
      <c r="AH7046" s="508">
        <v>8.9999999999999993E-3</v>
      </c>
      <c r="AI7046" s="492">
        <v>8.9999999999999993E-3</v>
      </c>
      <c r="AJ7046" s="485"/>
    </row>
    <row r="7047" spans="2:36">
      <c r="B7047" s="136" t="s">
        <v>473</v>
      </c>
      <c r="C7047" s="132" t="s">
        <v>1378</v>
      </c>
      <c r="D7047" s="132" t="s">
        <v>1380</v>
      </c>
      <c r="E7047" s="508">
        <v>1.2E-2</v>
      </c>
      <c r="F7047" s="508">
        <v>1.2E-2</v>
      </c>
      <c r="G7047" s="508">
        <v>1.2E-2</v>
      </c>
      <c r="H7047" s="508">
        <v>1.2E-2</v>
      </c>
      <c r="I7047" s="508">
        <v>1.2E-2</v>
      </c>
      <c r="J7047" s="508">
        <v>1.2E-2</v>
      </c>
      <c r="K7047" s="508">
        <v>1.2E-2</v>
      </c>
      <c r="L7047" s="508">
        <v>1.2E-2</v>
      </c>
      <c r="M7047" s="508">
        <v>1.2E-2</v>
      </c>
      <c r="N7047" s="508">
        <v>1.2E-2</v>
      </c>
      <c r="O7047" s="508">
        <v>1.2E-2</v>
      </c>
      <c r="P7047" s="508">
        <v>1.2E-2</v>
      </c>
      <c r="Q7047" s="508">
        <v>1.2E-2</v>
      </c>
      <c r="R7047" s="508">
        <v>1.2E-2</v>
      </c>
      <c r="S7047" s="508">
        <v>1.2E-2</v>
      </c>
      <c r="T7047" s="508">
        <v>1.2E-2</v>
      </c>
      <c r="U7047" s="508">
        <v>1.2E-2</v>
      </c>
      <c r="V7047" s="508">
        <v>1.2E-2</v>
      </c>
      <c r="W7047" s="508">
        <v>1.2E-2</v>
      </c>
      <c r="X7047" s="508">
        <v>1.2E-2</v>
      </c>
      <c r="Y7047" s="508">
        <v>1.2E-2</v>
      </c>
      <c r="Z7047" s="508">
        <v>1.2E-2</v>
      </c>
      <c r="AA7047" s="508">
        <v>1.2E-2</v>
      </c>
      <c r="AB7047" s="508">
        <v>1.2E-2</v>
      </c>
      <c r="AC7047" s="508">
        <v>1.2E-2</v>
      </c>
      <c r="AD7047" s="508">
        <v>1.2E-2</v>
      </c>
      <c r="AE7047" s="508">
        <v>1.2E-2</v>
      </c>
      <c r="AF7047" s="508">
        <v>1.2E-2</v>
      </c>
      <c r="AG7047" s="508">
        <v>1.2E-2</v>
      </c>
      <c r="AH7047" s="508">
        <v>1.2E-2</v>
      </c>
      <c r="AI7047" s="492">
        <v>1.2E-2</v>
      </c>
      <c r="AJ7047" s="485"/>
    </row>
    <row r="7048" spans="2:36">
      <c r="B7048" s="136" t="s">
        <v>474</v>
      </c>
      <c r="C7048" s="132" t="s">
        <v>1378</v>
      </c>
      <c r="D7048" s="132" t="s">
        <v>1380</v>
      </c>
      <c r="E7048" s="508">
        <v>1.0999999999999999E-2</v>
      </c>
      <c r="F7048" s="508">
        <v>1.0999999999999999E-2</v>
      </c>
      <c r="G7048" s="508">
        <v>1.0999999999999999E-2</v>
      </c>
      <c r="H7048" s="508">
        <v>1.0999999999999999E-2</v>
      </c>
      <c r="I7048" s="508">
        <v>1.0999999999999999E-2</v>
      </c>
      <c r="J7048" s="508">
        <v>1.0999999999999999E-2</v>
      </c>
      <c r="K7048" s="508">
        <v>1.0999999999999999E-2</v>
      </c>
      <c r="L7048" s="508">
        <v>1.0999999999999999E-2</v>
      </c>
      <c r="M7048" s="508">
        <v>1.0999999999999999E-2</v>
      </c>
      <c r="N7048" s="508">
        <v>1.0999999999999999E-2</v>
      </c>
      <c r="O7048" s="508">
        <v>1.0999999999999999E-2</v>
      </c>
      <c r="P7048" s="508">
        <v>1.0999999999999999E-2</v>
      </c>
      <c r="Q7048" s="508">
        <v>1.0999999999999999E-2</v>
      </c>
      <c r="R7048" s="508">
        <v>1.0999999999999999E-2</v>
      </c>
      <c r="S7048" s="508">
        <v>1.0999999999999999E-2</v>
      </c>
      <c r="T7048" s="508">
        <v>1.0999999999999999E-2</v>
      </c>
      <c r="U7048" s="508">
        <v>1.0999999999999999E-2</v>
      </c>
      <c r="V7048" s="508">
        <v>1.0999999999999999E-2</v>
      </c>
      <c r="W7048" s="508">
        <v>1.0999999999999999E-2</v>
      </c>
      <c r="X7048" s="508">
        <v>1.0999999999999999E-2</v>
      </c>
      <c r="Y7048" s="508">
        <v>1.0999999999999999E-2</v>
      </c>
      <c r="Z7048" s="508">
        <v>1.0999999999999999E-2</v>
      </c>
      <c r="AA7048" s="508">
        <v>1.0999999999999999E-2</v>
      </c>
      <c r="AB7048" s="508">
        <v>1.0999999999999999E-2</v>
      </c>
      <c r="AC7048" s="508">
        <v>1.0999999999999999E-2</v>
      </c>
      <c r="AD7048" s="508">
        <v>1.0999999999999999E-2</v>
      </c>
      <c r="AE7048" s="508">
        <v>1.0999999999999999E-2</v>
      </c>
      <c r="AF7048" s="508">
        <v>1.0999999999999999E-2</v>
      </c>
      <c r="AG7048" s="508">
        <v>1.0999999999999999E-2</v>
      </c>
      <c r="AH7048" s="508">
        <v>1.0999999999999999E-2</v>
      </c>
      <c r="AI7048" s="492">
        <v>1.0999999999999999E-2</v>
      </c>
      <c r="AJ7048" s="485"/>
    </row>
    <row r="7049" spans="2:36">
      <c r="B7049" s="136" t="s">
        <v>475</v>
      </c>
      <c r="C7049" s="132" t="s">
        <v>1378</v>
      </c>
      <c r="D7049" s="132" t="s">
        <v>1380</v>
      </c>
      <c r="E7049" s="508">
        <v>0.01</v>
      </c>
      <c r="F7049" s="508">
        <v>0.01</v>
      </c>
      <c r="G7049" s="508">
        <v>0.01</v>
      </c>
      <c r="H7049" s="508">
        <v>0.01</v>
      </c>
      <c r="I7049" s="508">
        <v>0.01</v>
      </c>
      <c r="J7049" s="508">
        <v>0.01</v>
      </c>
      <c r="K7049" s="508">
        <v>0.01</v>
      </c>
      <c r="L7049" s="508">
        <v>0.01</v>
      </c>
      <c r="M7049" s="508">
        <v>0.01</v>
      </c>
      <c r="N7049" s="508">
        <v>0.01</v>
      </c>
      <c r="O7049" s="508">
        <v>0.01</v>
      </c>
      <c r="P7049" s="508">
        <v>0.01</v>
      </c>
      <c r="Q7049" s="508">
        <v>0.01</v>
      </c>
      <c r="R7049" s="508">
        <v>0.01</v>
      </c>
      <c r="S7049" s="508">
        <v>0.01</v>
      </c>
      <c r="T7049" s="508">
        <v>0.01</v>
      </c>
      <c r="U7049" s="508">
        <v>0.01</v>
      </c>
      <c r="V7049" s="508">
        <v>0.01</v>
      </c>
      <c r="W7049" s="508">
        <v>0.01</v>
      </c>
      <c r="X7049" s="508">
        <v>0.01</v>
      </c>
      <c r="Y7049" s="508">
        <v>0.01</v>
      </c>
      <c r="Z7049" s="508">
        <v>0.01</v>
      </c>
      <c r="AA7049" s="508">
        <v>0.01</v>
      </c>
      <c r="AB7049" s="508">
        <v>0.01</v>
      </c>
      <c r="AC7049" s="508">
        <v>0.01</v>
      </c>
      <c r="AD7049" s="508">
        <v>0.01</v>
      </c>
      <c r="AE7049" s="508">
        <v>0.01</v>
      </c>
      <c r="AF7049" s="508">
        <v>0.01</v>
      </c>
      <c r="AG7049" s="508">
        <v>0.01</v>
      </c>
      <c r="AH7049" s="508">
        <v>0.01</v>
      </c>
      <c r="AI7049" s="492">
        <v>0.01</v>
      </c>
      <c r="AJ7049" s="485"/>
    </row>
    <row r="7050" spans="2:36">
      <c r="B7050" s="136" t="s">
        <v>476</v>
      </c>
      <c r="C7050" s="132" t="s">
        <v>1378</v>
      </c>
      <c r="D7050" s="132" t="s">
        <v>1380</v>
      </c>
      <c r="E7050" s="508">
        <v>1.0999999999999999E-2</v>
      </c>
      <c r="F7050" s="508">
        <v>1.0999999999999999E-2</v>
      </c>
      <c r="G7050" s="508">
        <v>1.0999999999999999E-2</v>
      </c>
      <c r="H7050" s="508">
        <v>1.0999999999999999E-2</v>
      </c>
      <c r="I7050" s="508">
        <v>1.0999999999999999E-2</v>
      </c>
      <c r="J7050" s="508">
        <v>1.0999999999999999E-2</v>
      </c>
      <c r="K7050" s="508">
        <v>1.0999999999999999E-2</v>
      </c>
      <c r="L7050" s="508">
        <v>1.0999999999999999E-2</v>
      </c>
      <c r="M7050" s="508">
        <v>1.0999999999999999E-2</v>
      </c>
      <c r="N7050" s="508">
        <v>1.0999999999999999E-2</v>
      </c>
      <c r="O7050" s="508">
        <v>1.0999999999999999E-2</v>
      </c>
      <c r="P7050" s="508">
        <v>1.0999999999999999E-2</v>
      </c>
      <c r="Q7050" s="508">
        <v>1.0999999999999999E-2</v>
      </c>
      <c r="R7050" s="508">
        <v>1.0999999999999999E-2</v>
      </c>
      <c r="S7050" s="508">
        <v>1.0999999999999999E-2</v>
      </c>
      <c r="T7050" s="508">
        <v>1.0999999999999999E-2</v>
      </c>
      <c r="U7050" s="508">
        <v>1.0999999999999999E-2</v>
      </c>
      <c r="V7050" s="508">
        <v>1.0999999999999999E-2</v>
      </c>
      <c r="W7050" s="508">
        <v>1.0999999999999999E-2</v>
      </c>
      <c r="X7050" s="508">
        <v>1.0999999999999999E-2</v>
      </c>
      <c r="Y7050" s="508">
        <v>1.0999999999999999E-2</v>
      </c>
      <c r="Z7050" s="508">
        <v>1.0999999999999999E-2</v>
      </c>
      <c r="AA7050" s="508">
        <v>1.0999999999999999E-2</v>
      </c>
      <c r="AB7050" s="508">
        <v>1.0999999999999999E-2</v>
      </c>
      <c r="AC7050" s="508">
        <v>1.0999999999999999E-2</v>
      </c>
      <c r="AD7050" s="508">
        <v>1.0999999999999999E-2</v>
      </c>
      <c r="AE7050" s="508">
        <v>1.0999999999999999E-2</v>
      </c>
      <c r="AF7050" s="508">
        <v>1.0999999999999999E-2</v>
      </c>
      <c r="AG7050" s="508">
        <v>1.0999999999999999E-2</v>
      </c>
      <c r="AH7050" s="508">
        <v>1.0999999999999999E-2</v>
      </c>
      <c r="AI7050" s="492">
        <v>1.0999999999999999E-2</v>
      </c>
      <c r="AJ7050" s="485"/>
    </row>
    <row r="7051" spans="2:36">
      <c r="B7051" s="136" t="s">
        <v>478</v>
      </c>
      <c r="C7051" s="132" t="s">
        <v>1378</v>
      </c>
      <c r="D7051" s="132" t="s">
        <v>1380</v>
      </c>
      <c r="E7051" s="508">
        <v>1.2E-2</v>
      </c>
      <c r="F7051" s="508">
        <v>1.2E-2</v>
      </c>
      <c r="G7051" s="508">
        <v>1.2E-2</v>
      </c>
      <c r="H7051" s="508">
        <v>1.2E-2</v>
      </c>
      <c r="I7051" s="508">
        <v>1.2E-2</v>
      </c>
      <c r="J7051" s="508">
        <v>1.2E-2</v>
      </c>
      <c r="K7051" s="508">
        <v>1.2E-2</v>
      </c>
      <c r="L7051" s="508">
        <v>1.2E-2</v>
      </c>
      <c r="M7051" s="508">
        <v>1.2E-2</v>
      </c>
      <c r="N7051" s="508">
        <v>1.2E-2</v>
      </c>
      <c r="O7051" s="508">
        <v>1.2E-2</v>
      </c>
      <c r="P7051" s="508">
        <v>1.2E-2</v>
      </c>
      <c r="Q7051" s="508">
        <v>1.2E-2</v>
      </c>
      <c r="R7051" s="508">
        <v>1.2E-2</v>
      </c>
      <c r="S7051" s="508">
        <v>1.2E-2</v>
      </c>
      <c r="T7051" s="508">
        <v>1.2E-2</v>
      </c>
      <c r="U7051" s="508">
        <v>1.2E-2</v>
      </c>
      <c r="V7051" s="508">
        <v>1.2E-2</v>
      </c>
      <c r="W7051" s="508">
        <v>1.2E-2</v>
      </c>
      <c r="X7051" s="508">
        <v>1.2E-2</v>
      </c>
      <c r="Y7051" s="508">
        <v>1.2E-2</v>
      </c>
      <c r="Z7051" s="508">
        <v>1.2E-2</v>
      </c>
      <c r="AA7051" s="508">
        <v>1.2E-2</v>
      </c>
      <c r="AB7051" s="508">
        <v>1.2E-2</v>
      </c>
      <c r="AC7051" s="508">
        <v>1.2E-2</v>
      </c>
      <c r="AD7051" s="508">
        <v>1.2E-2</v>
      </c>
      <c r="AE7051" s="508">
        <v>1.2E-2</v>
      </c>
      <c r="AF7051" s="508">
        <v>1.2E-2</v>
      </c>
      <c r="AG7051" s="508">
        <v>1.2E-2</v>
      </c>
      <c r="AH7051" s="508">
        <v>1.2E-2</v>
      </c>
      <c r="AI7051" s="492">
        <v>1.2E-2</v>
      </c>
      <c r="AJ7051" s="485"/>
    </row>
    <row r="7052" spans="2:36">
      <c r="B7052" s="136" t="s">
        <v>479</v>
      </c>
      <c r="C7052" s="132" t="s">
        <v>1378</v>
      </c>
      <c r="D7052" s="132" t="s">
        <v>1380</v>
      </c>
      <c r="E7052" s="508">
        <v>0.01</v>
      </c>
      <c r="F7052" s="508">
        <v>0.01</v>
      </c>
      <c r="G7052" s="508">
        <v>0.01</v>
      </c>
      <c r="H7052" s="508">
        <v>0.01</v>
      </c>
      <c r="I7052" s="508">
        <v>0.01</v>
      </c>
      <c r="J7052" s="508">
        <v>0.01</v>
      </c>
      <c r="K7052" s="508">
        <v>0.01</v>
      </c>
      <c r="L7052" s="508">
        <v>0.01</v>
      </c>
      <c r="M7052" s="508">
        <v>0.01</v>
      </c>
      <c r="N7052" s="508">
        <v>0.01</v>
      </c>
      <c r="O7052" s="508">
        <v>0.01</v>
      </c>
      <c r="P7052" s="508">
        <v>0.01</v>
      </c>
      <c r="Q7052" s="508">
        <v>0.01</v>
      </c>
      <c r="R7052" s="508">
        <v>0.01</v>
      </c>
      <c r="S7052" s="508">
        <v>0.01</v>
      </c>
      <c r="T7052" s="508">
        <v>0.01</v>
      </c>
      <c r="U7052" s="508">
        <v>0.01</v>
      </c>
      <c r="V7052" s="508">
        <v>0.01</v>
      </c>
      <c r="W7052" s="508">
        <v>0.01</v>
      </c>
      <c r="X7052" s="508">
        <v>0.01</v>
      </c>
      <c r="Y7052" s="508">
        <v>0.01</v>
      </c>
      <c r="Z7052" s="508">
        <v>0.01</v>
      </c>
      <c r="AA7052" s="508">
        <v>0.01</v>
      </c>
      <c r="AB7052" s="508">
        <v>0.01</v>
      </c>
      <c r="AC7052" s="508">
        <v>0.01</v>
      </c>
      <c r="AD7052" s="508">
        <v>0.01</v>
      </c>
      <c r="AE7052" s="508">
        <v>0.01</v>
      </c>
      <c r="AF7052" s="508">
        <v>0.01</v>
      </c>
      <c r="AG7052" s="508">
        <v>0.01</v>
      </c>
      <c r="AH7052" s="508">
        <v>0.01</v>
      </c>
      <c r="AI7052" s="492">
        <v>0.01</v>
      </c>
      <c r="AJ7052" s="485"/>
    </row>
    <row r="7053" spans="2:36">
      <c r="B7053" s="136" t="s">
        <v>480</v>
      </c>
      <c r="C7053" s="132" t="s">
        <v>1378</v>
      </c>
      <c r="D7053" s="132" t="s">
        <v>1380</v>
      </c>
      <c r="E7053" s="508">
        <v>8.9999999999999993E-3</v>
      </c>
      <c r="F7053" s="508">
        <v>8.9999999999999993E-3</v>
      </c>
      <c r="G7053" s="508">
        <v>8.9999999999999993E-3</v>
      </c>
      <c r="H7053" s="508">
        <v>8.9999999999999993E-3</v>
      </c>
      <c r="I7053" s="508">
        <v>8.9999999999999993E-3</v>
      </c>
      <c r="J7053" s="508">
        <v>8.9999999999999993E-3</v>
      </c>
      <c r="K7053" s="508">
        <v>8.9999999999999993E-3</v>
      </c>
      <c r="L7053" s="508">
        <v>8.9999999999999993E-3</v>
      </c>
      <c r="M7053" s="508">
        <v>8.9999999999999993E-3</v>
      </c>
      <c r="N7053" s="508">
        <v>8.9999999999999993E-3</v>
      </c>
      <c r="O7053" s="508">
        <v>8.9999999999999993E-3</v>
      </c>
      <c r="P7053" s="508">
        <v>8.9999999999999993E-3</v>
      </c>
      <c r="Q7053" s="508">
        <v>8.9999999999999993E-3</v>
      </c>
      <c r="R7053" s="508">
        <v>8.9999999999999993E-3</v>
      </c>
      <c r="S7053" s="508">
        <v>8.9999999999999993E-3</v>
      </c>
      <c r="T7053" s="508">
        <v>8.9999999999999993E-3</v>
      </c>
      <c r="U7053" s="508">
        <v>8.9999999999999993E-3</v>
      </c>
      <c r="V7053" s="508">
        <v>8.9999999999999993E-3</v>
      </c>
      <c r="W7053" s="508">
        <v>8.9999999999999993E-3</v>
      </c>
      <c r="X7053" s="508">
        <v>8.9999999999999993E-3</v>
      </c>
      <c r="Y7053" s="508">
        <v>8.9999999999999993E-3</v>
      </c>
      <c r="Z7053" s="508">
        <v>8.9999999999999993E-3</v>
      </c>
      <c r="AA7053" s="508">
        <v>8.9999999999999993E-3</v>
      </c>
      <c r="AB7053" s="508">
        <v>8.9999999999999993E-3</v>
      </c>
      <c r="AC7053" s="508">
        <v>8.9999999999999993E-3</v>
      </c>
      <c r="AD7053" s="508">
        <v>8.9999999999999993E-3</v>
      </c>
      <c r="AE7053" s="508">
        <v>8.9999999999999993E-3</v>
      </c>
      <c r="AF7053" s="508">
        <v>8.9999999999999993E-3</v>
      </c>
      <c r="AG7053" s="508">
        <v>8.9999999999999993E-3</v>
      </c>
      <c r="AH7053" s="508">
        <v>8.9999999999999993E-3</v>
      </c>
      <c r="AI7053" s="492">
        <v>8.9999999999999993E-3</v>
      </c>
      <c r="AJ7053" s="485"/>
    </row>
    <row r="7054" spans="2:36">
      <c r="B7054" s="136" t="s">
        <v>481</v>
      </c>
      <c r="C7054" s="132" t="s">
        <v>1378</v>
      </c>
      <c r="D7054" s="132" t="s">
        <v>1380</v>
      </c>
      <c r="E7054" s="508">
        <v>1.0999999999999999E-2</v>
      </c>
      <c r="F7054" s="508">
        <v>1.0999999999999999E-2</v>
      </c>
      <c r="G7054" s="508">
        <v>1.0999999999999999E-2</v>
      </c>
      <c r="H7054" s="508">
        <v>1.0999999999999999E-2</v>
      </c>
      <c r="I7054" s="508">
        <v>1.0999999999999999E-2</v>
      </c>
      <c r="J7054" s="508">
        <v>1.0999999999999999E-2</v>
      </c>
      <c r="K7054" s="508">
        <v>1.0999999999999999E-2</v>
      </c>
      <c r="L7054" s="508">
        <v>1.0999999999999999E-2</v>
      </c>
      <c r="M7054" s="508">
        <v>1.0999999999999999E-2</v>
      </c>
      <c r="N7054" s="508">
        <v>1.0999999999999999E-2</v>
      </c>
      <c r="O7054" s="508">
        <v>1.0999999999999999E-2</v>
      </c>
      <c r="P7054" s="508">
        <v>1.0999999999999999E-2</v>
      </c>
      <c r="Q7054" s="508">
        <v>1.0999999999999999E-2</v>
      </c>
      <c r="R7054" s="508">
        <v>1.0999999999999999E-2</v>
      </c>
      <c r="S7054" s="508">
        <v>1.0999999999999999E-2</v>
      </c>
      <c r="T7054" s="508">
        <v>1.0999999999999999E-2</v>
      </c>
      <c r="U7054" s="508">
        <v>1.0999999999999999E-2</v>
      </c>
      <c r="V7054" s="508">
        <v>1.0999999999999999E-2</v>
      </c>
      <c r="W7054" s="508">
        <v>1.0999999999999999E-2</v>
      </c>
      <c r="X7054" s="508">
        <v>1.0999999999999999E-2</v>
      </c>
      <c r="Y7054" s="508">
        <v>1.0999999999999999E-2</v>
      </c>
      <c r="Z7054" s="508">
        <v>1.0999999999999999E-2</v>
      </c>
      <c r="AA7054" s="508">
        <v>1.0999999999999999E-2</v>
      </c>
      <c r="AB7054" s="508">
        <v>1.0999999999999999E-2</v>
      </c>
      <c r="AC7054" s="508">
        <v>1.0999999999999999E-2</v>
      </c>
      <c r="AD7054" s="508">
        <v>1.0999999999999999E-2</v>
      </c>
      <c r="AE7054" s="508">
        <v>1.0999999999999999E-2</v>
      </c>
      <c r="AF7054" s="508">
        <v>1.0999999999999999E-2</v>
      </c>
      <c r="AG7054" s="508">
        <v>1.0999999999999999E-2</v>
      </c>
      <c r="AH7054" s="508">
        <v>1.0999999999999999E-2</v>
      </c>
      <c r="AI7054" s="492">
        <v>1.0999999999999999E-2</v>
      </c>
      <c r="AJ7054" s="485"/>
    </row>
    <row r="7055" spans="2:36">
      <c r="B7055" s="136" t="s">
        <v>482</v>
      </c>
      <c r="C7055" s="132" t="s">
        <v>1378</v>
      </c>
      <c r="D7055" s="132" t="s">
        <v>1380</v>
      </c>
      <c r="E7055" s="508">
        <v>1.0999999999999999E-2</v>
      </c>
      <c r="F7055" s="508">
        <v>1.0999999999999999E-2</v>
      </c>
      <c r="G7055" s="508">
        <v>1.0999999999999999E-2</v>
      </c>
      <c r="H7055" s="508">
        <v>1.0999999999999999E-2</v>
      </c>
      <c r="I7055" s="508">
        <v>1.0999999999999999E-2</v>
      </c>
      <c r="J7055" s="508">
        <v>1.0999999999999999E-2</v>
      </c>
      <c r="K7055" s="508">
        <v>1.0999999999999999E-2</v>
      </c>
      <c r="L7055" s="508">
        <v>1.0999999999999999E-2</v>
      </c>
      <c r="M7055" s="508">
        <v>1.0999999999999999E-2</v>
      </c>
      <c r="N7055" s="508">
        <v>1.0999999999999999E-2</v>
      </c>
      <c r="O7055" s="508">
        <v>1.0999999999999999E-2</v>
      </c>
      <c r="P7055" s="508">
        <v>1.0999999999999999E-2</v>
      </c>
      <c r="Q7055" s="508">
        <v>1.0999999999999999E-2</v>
      </c>
      <c r="R7055" s="508">
        <v>1.0999999999999999E-2</v>
      </c>
      <c r="S7055" s="508">
        <v>1.0999999999999999E-2</v>
      </c>
      <c r="T7055" s="508">
        <v>1.0999999999999999E-2</v>
      </c>
      <c r="U7055" s="508">
        <v>1.0999999999999999E-2</v>
      </c>
      <c r="V7055" s="508">
        <v>1.0999999999999999E-2</v>
      </c>
      <c r="W7055" s="508">
        <v>1.0999999999999999E-2</v>
      </c>
      <c r="X7055" s="508">
        <v>1.0999999999999999E-2</v>
      </c>
      <c r="Y7055" s="508">
        <v>1.0999999999999999E-2</v>
      </c>
      <c r="Z7055" s="508">
        <v>1.0999999999999999E-2</v>
      </c>
      <c r="AA7055" s="508">
        <v>1.0999999999999999E-2</v>
      </c>
      <c r="AB7055" s="508">
        <v>1.0999999999999999E-2</v>
      </c>
      <c r="AC7055" s="508">
        <v>1.0999999999999999E-2</v>
      </c>
      <c r="AD7055" s="508">
        <v>1.0999999999999999E-2</v>
      </c>
      <c r="AE7055" s="508">
        <v>1.0999999999999999E-2</v>
      </c>
      <c r="AF7055" s="508">
        <v>1.0999999999999999E-2</v>
      </c>
      <c r="AG7055" s="508">
        <v>1.0999999999999999E-2</v>
      </c>
      <c r="AH7055" s="508">
        <v>1.0999999999999999E-2</v>
      </c>
      <c r="AI7055" s="492">
        <v>1.0999999999999999E-2</v>
      </c>
      <c r="AJ7055" s="485"/>
    </row>
    <row r="7056" spans="2:36">
      <c r="B7056" s="136" t="s">
        <v>483</v>
      </c>
      <c r="C7056" s="132" t="s">
        <v>1378</v>
      </c>
      <c r="D7056" s="132" t="s">
        <v>1380</v>
      </c>
      <c r="E7056" s="508">
        <v>1.2E-2</v>
      </c>
      <c r="F7056" s="508">
        <v>1.2E-2</v>
      </c>
      <c r="G7056" s="508">
        <v>1.2E-2</v>
      </c>
      <c r="H7056" s="508">
        <v>1.2E-2</v>
      </c>
      <c r="I7056" s="508">
        <v>1.2E-2</v>
      </c>
      <c r="J7056" s="508">
        <v>1.2E-2</v>
      </c>
      <c r="K7056" s="508">
        <v>1.2E-2</v>
      </c>
      <c r="L7056" s="508">
        <v>1.2E-2</v>
      </c>
      <c r="M7056" s="508">
        <v>1.2E-2</v>
      </c>
      <c r="N7056" s="508">
        <v>1.2E-2</v>
      </c>
      <c r="O7056" s="508">
        <v>1.2E-2</v>
      </c>
      <c r="P7056" s="508">
        <v>1.2E-2</v>
      </c>
      <c r="Q7056" s="508">
        <v>1.2E-2</v>
      </c>
      <c r="R7056" s="508">
        <v>1.2E-2</v>
      </c>
      <c r="S7056" s="508">
        <v>1.2E-2</v>
      </c>
      <c r="T7056" s="508">
        <v>1.2E-2</v>
      </c>
      <c r="U7056" s="508">
        <v>1.2E-2</v>
      </c>
      <c r="V7056" s="508">
        <v>1.2E-2</v>
      </c>
      <c r="W7056" s="508">
        <v>1.2E-2</v>
      </c>
      <c r="X7056" s="508">
        <v>1.2E-2</v>
      </c>
      <c r="Y7056" s="508">
        <v>1.2E-2</v>
      </c>
      <c r="Z7056" s="508">
        <v>1.2E-2</v>
      </c>
      <c r="AA7056" s="508">
        <v>1.2E-2</v>
      </c>
      <c r="AB7056" s="508">
        <v>1.2E-2</v>
      </c>
      <c r="AC7056" s="508">
        <v>1.2E-2</v>
      </c>
      <c r="AD7056" s="508">
        <v>1.2E-2</v>
      </c>
      <c r="AE7056" s="508">
        <v>1.2E-2</v>
      </c>
      <c r="AF7056" s="508">
        <v>1.2E-2</v>
      </c>
      <c r="AG7056" s="508">
        <v>1.2E-2</v>
      </c>
      <c r="AH7056" s="508">
        <v>1.2E-2</v>
      </c>
      <c r="AI7056" s="492">
        <v>1.2E-2</v>
      </c>
      <c r="AJ7056" s="485"/>
    </row>
    <row r="7057" spans="2:36">
      <c r="B7057" s="136" t="s">
        <v>484</v>
      </c>
      <c r="C7057" s="132" t="s">
        <v>1378</v>
      </c>
      <c r="D7057" s="132" t="s">
        <v>1380</v>
      </c>
      <c r="E7057" s="508">
        <v>8.9999999999999993E-3</v>
      </c>
      <c r="F7057" s="508">
        <v>8.9999999999999993E-3</v>
      </c>
      <c r="G7057" s="508">
        <v>8.9999999999999993E-3</v>
      </c>
      <c r="H7057" s="508">
        <v>8.9999999999999993E-3</v>
      </c>
      <c r="I7057" s="508">
        <v>8.9999999999999993E-3</v>
      </c>
      <c r="J7057" s="508">
        <v>8.9999999999999993E-3</v>
      </c>
      <c r="K7057" s="508">
        <v>8.9999999999999993E-3</v>
      </c>
      <c r="L7057" s="508">
        <v>8.9999999999999993E-3</v>
      </c>
      <c r="M7057" s="508">
        <v>8.9999999999999993E-3</v>
      </c>
      <c r="N7057" s="508">
        <v>8.9999999999999993E-3</v>
      </c>
      <c r="O7057" s="508">
        <v>8.9999999999999993E-3</v>
      </c>
      <c r="P7057" s="508">
        <v>8.9999999999999993E-3</v>
      </c>
      <c r="Q7057" s="508">
        <v>8.9999999999999993E-3</v>
      </c>
      <c r="R7057" s="508">
        <v>8.9999999999999993E-3</v>
      </c>
      <c r="S7057" s="508">
        <v>8.9999999999999993E-3</v>
      </c>
      <c r="T7057" s="508">
        <v>8.9999999999999993E-3</v>
      </c>
      <c r="U7057" s="508">
        <v>8.9999999999999993E-3</v>
      </c>
      <c r="V7057" s="508">
        <v>8.9999999999999993E-3</v>
      </c>
      <c r="W7057" s="508">
        <v>8.9999999999999993E-3</v>
      </c>
      <c r="X7057" s="508">
        <v>8.9999999999999993E-3</v>
      </c>
      <c r="Y7057" s="508">
        <v>8.9999999999999993E-3</v>
      </c>
      <c r="Z7057" s="508">
        <v>8.9999999999999993E-3</v>
      </c>
      <c r="AA7057" s="508">
        <v>8.9999999999999993E-3</v>
      </c>
      <c r="AB7057" s="508">
        <v>8.9999999999999993E-3</v>
      </c>
      <c r="AC7057" s="508">
        <v>8.9999999999999993E-3</v>
      </c>
      <c r="AD7057" s="508">
        <v>8.9999999999999993E-3</v>
      </c>
      <c r="AE7057" s="508">
        <v>8.9999999999999993E-3</v>
      </c>
      <c r="AF7057" s="508">
        <v>8.9999999999999993E-3</v>
      </c>
      <c r="AG7057" s="508">
        <v>8.9999999999999993E-3</v>
      </c>
      <c r="AH7057" s="508">
        <v>8.9999999999999993E-3</v>
      </c>
      <c r="AI7057" s="492">
        <v>8.9999999999999993E-3</v>
      </c>
      <c r="AJ7057" s="485"/>
    </row>
    <row r="7058" spans="2:36">
      <c r="B7058" s="136" t="s">
        <v>486</v>
      </c>
      <c r="C7058" s="132" t="s">
        <v>1378</v>
      </c>
      <c r="D7058" s="132" t="s">
        <v>1380</v>
      </c>
      <c r="E7058" s="508">
        <v>1.0999999999999999E-2</v>
      </c>
      <c r="F7058" s="508">
        <v>1.0999999999999999E-2</v>
      </c>
      <c r="G7058" s="508">
        <v>1.0999999999999999E-2</v>
      </c>
      <c r="H7058" s="508">
        <v>1.0999999999999999E-2</v>
      </c>
      <c r="I7058" s="508">
        <v>1.0999999999999999E-2</v>
      </c>
      <c r="J7058" s="508">
        <v>1.0999999999999999E-2</v>
      </c>
      <c r="K7058" s="508">
        <v>1.0999999999999999E-2</v>
      </c>
      <c r="L7058" s="508">
        <v>1.0999999999999999E-2</v>
      </c>
      <c r="M7058" s="508">
        <v>1.0999999999999999E-2</v>
      </c>
      <c r="N7058" s="508">
        <v>1.0999999999999999E-2</v>
      </c>
      <c r="O7058" s="508">
        <v>1.0999999999999999E-2</v>
      </c>
      <c r="P7058" s="508">
        <v>1.0999999999999999E-2</v>
      </c>
      <c r="Q7058" s="508">
        <v>1.0999999999999999E-2</v>
      </c>
      <c r="R7058" s="508">
        <v>1.0999999999999999E-2</v>
      </c>
      <c r="S7058" s="508">
        <v>1.0999999999999999E-2</v>
      </c>
      <c r="T7058" s="508">
        <v>1.0999999999999999E-2</v>
      </c>
      <c r="U7058" s="508">
        <v>1.0999999999999999E-2</v>
      </c>
      <c r="V7058" s="508">
        <v>1.0999999999999999E-2</v>
      </c>
      <c r="W7058" s="508">
        <v>1.0999999999999999E-2</v>
      </c>
      <c r="X7058" s="508">
        <v>1.0999999999999999E-2</v>
      </c>
      <c r="Y7058" s="508">
        <v>1.0999999999999999E-2</v>
      </c>
      <c r="Z7058" s="508">
        <v>1.0999999999999999E-2</v>
      </c>
      <c r="AA7058" s="508">
        <v>1.0999999999999999E-2</v>
      </c>
      <c r="AB7058" s="508">
        <v>1.0999999999999999E-2</v>
      </c>
      <c r="AC7058" s="508">
        <v>1.0999999999999999E-2</v>
      </c>
      <c r="AD7058" s="508">
        <v>1.0999999999999999E-2</v>
      </c>
      <c r="AE7058" s="508">
        <v>1.0999999999999999E-2</v>
      </c>
      <c r="AF7058" s="508">
        <v>1.0999999999999999E-2</v>
      </c>
      <c r="AG7058" s="508">
        <v>1.0999999999999999E-2</v>
      </c>
      <c r="AH7058" s="508">
        <v>1.0999999999999999E-2</v>
      </c>
      <c r="AI7058" s="492">
        <v>1.0999999999999999E-2</v>
      </c>
      <c r="AJ7058" s="485"/>
    </row>
    <row r="7059" spans="2:36">
      <c r="B7059" s="136" t="s">
        <v>487</v>
      </c>
      <c r="C7059" s="132" t="s">
        <v>1378</v>
      </c>
      <c r="D7059" s="132" t="s">
        <v>1380</v>
      </c>
      <c r="E7059" s="508">
        <v>1.0999999999999999E-2</v>
      </c>
      <c r="F7059" s="508">
        <v>1.0999999999999999E-2</v>
      </c>
      <c r="G7059" s="508">
        <v>1.0999999999999999E-2</v>
      </c>
      <c r="H7059" s="508">
        <v>1.0999999999999999E-2</v>
      </c>
      <c r="I7059" s="508">
        <v>1.0999999999999999E-2</v>
      </c>
      <c r="J7059" s="508">
        <v>1.0999999999999999E-2</v>
      </c>
      <c r="K7059" s="508">
        <v>1.0999999999999999E-2</v>
      </c>
      <c r="L7059" s="508">
        <v>1.0999999999999999E-2</v>
      </c>
      <c r="M7059" s="508">
        <v>1.0999999999999999E-2</v>
      </c>
      <c r="N7059" s="508">
        <v>1.0999999999999999E-2</v>
      </c>
      <c r="O7059" s="508">
        <v>1.0999999999999999E-2</v>
      </c>
      <c r="P7059" s="508">
        <v>1.0999999999999999E-2</v>
      </c>
      <c r="Q7059" s="508">
        <v>1.0999999999999999E-2</v>
      </c>
      <c r="R7059" s="508">
        <v>1.0999999999999999E-2</v>
      </c>
      <c r="S7059" s="508">
        <v>1.0999999999999999E-2</v>
      </c>
      <c r="T7059" s="508">
        <v>1.0999999999999999E-2</v>
      </c>
      <c r="U7059" s="508">
        <v>1.0999999999999999E-2</v>
      </c>
      <c r="V7059" s="508">
        <v>1.0999999999999999E-2</v>
      </c>
      <c r="W7059" s="508">
        <v>1.0999999999999999E-2</v>
      </c>
      <c r="X7059" s="508">
        <v>1.0999999999999999E-2</v>
      </c>
      <c r="Y7059" s="508">
        <v>1.0999999999999999E-2</v>
      </c>
      <c r="Z7059" s="508">
        <v>1.0999999999999999E-2</v>
      </c>
      <c r="AA7059" s="508">
        <v>1.0999999999999999E-2</v>
      </c>
      <c r="AB7059" s="508">
        <v>1.0999999999999999E-2</v>
      </c>
      <c r="AC7059" s="508">
        <v>1.0999999999999999E-2</v>
      </c>
      <c r="AD7059" s="508">
        <v>1.0999999999999999E-2</v>
      </c>
      <c r="AE7059" s="508">
        <v>1.0999999999999999E-2</v>
      </c>
      <c r="AF7059" s="508">
        <v>1.0999999999999999E-2</v>
      </c>
      <c r="AG7059" s="508">
        <v>1.0999999999999999E-2</v>
      </c>
      <c r="AH7059" s="508">
        <v>1.0999999999999999E-2</v>
      </c>
      <c r="AI7059" s="492">
        <v>1.0999999999999999E-2</v>
      </c>
      <c r="AJ7059" s="485"/>
    </row>
    <row r="7060" spans="2:36">
      <c r="B7060" s="136" t="s">
        <v>488</v>
      </c>
      <c r="C7060" s="132" t="s">
        <v>1378</v>
      </c>
      <c r="D7060" s="132" t="s">
        <v>1380</v>
      </c>
      <c r="E7060" s="508">
        <v>8.9999999999999993E-3</v>
      </c>
      <c r="F7060" s="508">
        <v>8.9999999999999993E-3</v>
      </c>
      <c r="G7060" s="508">
        <v>8.9999999999999993E-3</v>
      </c>
      <c r="H7060" s="508">
        <v>8.9999999999999993E-3</v>
      </c>
      <c r="I7060" s="508">
        <v>8.9999999999999993E-3</v>
      </c>
      <c r="J7060" s="508">
        <v>8.9999999999999993E-3</v>
      </c>
      <c r="K7060" s="508">
        <v>8.9999999999999993E-3</v>
      </c>
      <c r="L7060" s="508">
        <v>8.9999999999999993E-3</v>
      </c>
      <c r="M7060" s="508">
        <v>8.9999999999999993E-3</v>
      </c>
      <c r="N7060" s="508">
        <v>8.9999999999999993E-3</v>
      </c>
      <c r="O7060" s="508">
        <v>8.9999999999999993E-3</v>
      </c>
      <c r="P7060" s="508">
        <v>8.9999999999999993E-3</v>
      </c>
      <c r="Q7060" s="508">
        <v>8.9999999999999993E-3</v>
      </c>
      <c r="R7060" s="508">
        <v>8.9999999999999993E-3</v>
      </c>
      <c r="S7060" s="508">
        <v>8.9999999999999993E-3</v>
      </c>
      <c r="T7060" s="508">
        <v>8.9999999999999993E-3</v>
      </c>
      <c r="U7060" s="508">
        <v>8.9999999999999993E-3</v>
      </c>
      <c r="V7060" s="508">
        <v>8.9999999999999993E-3</v>
      </c>
      <c r="W7060" s="508">
        <v>8.9999999999999993E-3</v>
      </c>
      <c r="X7060" s="508">
        <v>8.9999999999999993E-3</v>
      </c>
      <c r="Y7060" s="508">
        <v>8.9999999999999993E-3</v>
      </c>
      <c r="Z7060" s="508">
        <v>8.9999999999999993E-3</v>
      </c>
      <c r="AA7060" s="508">
        <v>8.9999999999999993E-3</v>
      </c>
      <c r="AB7060" s="508">
        <v>8.9999999999999993E-3</v>
      </c>
      <c r="AC7060" s="508">
        <v>8.9999999999999993E-3</v>
      </c>
      <c r="AD7060" s="508">
        <v>8.9999999999999993E-3</v>
      </c>
      <c r="AE7060" s="508">
        <v>8.9999999999999993E-3</v>
      </c>
      <c r="AF7060" s="508">
        <v>8.9999999999999993E-3</v>
      </c>
      <c r="AG7060" s="508">
        <v>8.9999999999999993E-3</v>
      </c>
      <c r="AH7060" s="508">
        <v>8.9999999999999993E-3</v>
      </c>
      <c r="AI7060" s="492">
        <v>8.9999999999999993E-3</v>
      </c>
      <c r="AJ7060" s="485"/>
    </row>
    <row r="7061" spans="2:36">
      <c r="B7061" s="136" t="s">
        <v>489</v>
      </c>
      <c r="C7061" s="132" t="s">
        <v>1378</v>
      </c>
      <c r="D7061" s="132" t="s">
        <v>1380</v>
      </c>
      <c r="E7061" s="508">
        <v>0.01</v>
      </c>
      <c r="F7061" s="508">
        <v>0.01</v>
      </c>
      <c r="G7061" s="508">
        <v>0.01</v>
      </c>
      <c r="H7061" s="508">
        <v>0.01</v>
      </c>
      <c r="I7061" s="508">
        <v>0.01</v>
      </c>
      <c r="J7061" s="508">
        <v>0.01</v>
      </c>
      <c r="K7061" s="508">
        <v>0.01</v>
      </c>
      <c r="L7061" s="508">
        <v>0.01</v>
      </c>
      <c r="M7061" s="508">
        <v>0.01</v>
      </c>
      <c r="N7061" s="508">
        <v>0.01</v>
      </c>
      <c r="O7061" s="508">
        <v>0.01</v>
      </c>
      <c r="P7061" s="508">
        <v>0.01</v>
      </c>
      <c r="Q7061" s="508">
        <v>0.01</v>
      </c>
      <c r="R7061" s="508">
        <v>0.01</v>
      </c>
      <c r="S7061" s="508">
        <v>0.01</v>
      </c>
      <c r="T7061" s="508">
        <v>0.01</v>
      </c>
      <c r="U7061" s="508">
        <v>0.01</v>
      </c>
      <c r="V7061" s="508">
        <v>0.01</v>
      </c>
      <c r="W7061" s="508">
        <v>0.01</v>
      </c>
      <c r="X7061" s="508">
        <v>0.01</v>
      </c>
      <c r="Y7061" s="508">
        <v>0.01</v>
      </c>
      <c r="Z7061" s="508">
        <v>0.01</v>
      </c>
      <c r="AA7061" s="508">
        <v>0.01</v>
      </c>
      <c r="AB7061" s="508">
        <v>0.01</v>
      </c>
      <c r="AC7061" s="508">
        <v>0.01</v>
      </c>
      <c r="AD7061" s="508">
        <v>0.01</v>
      </c>
      <c r="AE7061" s="508">
        <v>0.01</v>
      </c>
      <c r="AF7061" s="508">
        <v>0.01</v>
      </c>
      <c r="AG7061" s="508">
        <v>0.01</v>
      </c>
      <c r="AH7061" s="508">
        <v>0.01</v>
      </c>
      <c r="AI7061" s="492">
        <v>0.01</v>
      </c>
      <c r="AJ7061" s="485"/>
    </row>
    <row r="7062" spans="2:36">
      <c r="B7062" s="136" t="s">
        <v>490</v>
      </c>
      <c r="C7062" s="132" t="s">
        <v>1378</v>
      </c>
      <c r="D7062" s="132" t="s">
        <v>1380</v>
      </c>
      <c r="E7062" s="508">
        <v>8.9999999999999993E-3</v>
      </c>
      <c r="F7062" s="508">
        <v>8.9999999999999993E-3</v>
      </c>
      <c r="G7062" s="508">
        <v>8.9999999999999993E-3</v>
      </c>
      <c r="H7062" s="508">
        <v>8.9999999999999993E-3</v>
      </c>
      <c r="I7062" s="508">
        <v>8.9999999999999993E-3</v>
      </c>
      <c r="J7062" s="508">
        <v>8.9999999999999993E-3</v>
      </c>
      <c r="K7062" s="508">
        <v>8.9999999999999993E-3</v>
      </c>
      <c r="L7062" s="508">
        <v>8.9999999999999993E-3</v>
      </c>
      <c r="M7062" s="508">
        <v>8.9999999999999993E-3</v>
      </c>
      <c r="N7062" s="508">
        <v>8.9999999999999993E-3</v>
      </c>
      <c r="O7062" s="508">
        <v>8.9999999999999993E-3</v>
      </c>
      <c r="P7062" s="508">
        <v>8.9999999999999993E-3</v>
      </c>
      <c r="Q7062" s="508">
        <v>8.9999999999999993E-3</v>
      </c>
      <c r="R7062" s="508">
        <v>8.9999999999999993E-3</v>
      </c>
      <c r="S7062" s="508">
        <v>8.9999999999999993E-3</v>
      </c>
      <c r="T7062" s="508">
        <v>8.9999999999999993E-3</v>
      </c>
      <c r="U7062" s="508">
        <v>8.9999999999999993E-3</v>
      </c>
      <c r="V7062" s="508">
        <v>8.9999999999999993E-3</v>
      </c>
      <c r="W7062" s="508">
        <v>8.9999999999999993E-3</v>
      </c>
      <c r="X7062" s="508">
        <v>8.9999999999999993E-3</v>
      </c>
      <c r="Y7062" s="508">
        <v>8.9999999999999993E-3</v>
      </c>
      <c r="Z7062" s="508">
        <v>8.9999999999999993E-3</v>
      </c>
      <c r="AA7062" s="508">
        <v>8.9999999999999993E-3</v>
      </c>
      <c r="AB7062" s="508">
        <v>8.9999999999999993E-3</v>
      </c>
      <c r="AC7062" s="508">
        <v>8.9999999999999993E-3</v>
      </c>
      <c r="AD7062" s="508">
        <v>8.9999999999999993E-3</v>
      </c>
      <c r="AE7062" s="508">
        <v>8.9999999999999993E-3</v>
      </c>
      <c r="AF7062" s="508">
        <v>8.9999999999999993E-3</v>
      </c>
      <c r="AG7062" s="508">
        <v>8.9999999999999993E-3</v>
      </c>
      <c r="AH7062" s="508">
        <v>8.9999999999999993E-3</v>
      </c>
      <c r="AI7062" s="492">
        <v>8.9999999999999993E-3</v>
      </c>
      <c r="AJ7062" s="485"/>
    </row>
    <row r="7063" spans="2:36">
      <c r="B7063" s="136" t="s">
        <v>435</v>
      </c>
      <c r="C7063" s="132" t="s">
        <v>1362</v>
      </c>
      <c r="D7063" s="132" t="s">
        <v>1381</v>
      </c>
      <c r="E7063" s="508">
        <v>2.661</v>
      </c>
      <c r="F7063" s="508">
        <v>2.6440000000000001</v>
      </c>
      <c r="G7063" s="508">
        <v>2.637</v>
      </c>
      <c r="H7063" s="508">
        <v>2.6320000000000001</v>
      </c>
      <c r="I7063" s="508">
        <v>2.625</v>
      </c>
      <c r="J7063" s="508">
        <v>2.6160000000000001</v>
      </c>
      <c r="K7063" s="508">
        <v>1.843</v>
      </c>
      <c r="L7063" s="508">
        <v>1.8399999999999999</v>
      </c>
      <c r="M7063" s="508">
        <v>1.855</v>
      </c>
      <c r="N7063" s="508">
        <v>1.8399999999999999</v>
      </c>
      <c r="O7063" s="508">
        <v>1.8409999999999997</v>
      </c>
      <c r="P7063" s="508">
        <v>1.8459999999999999</v>
      </c>
      <c r="Q7063" s="508">
        <v>1.839</v>
      </c>
      <c r="R7063" s="508">
        <v>1.8439999999999999</v>
      </c>
      <c r="S7063" s="508">
        <v>1.8340000000000001</v>
      </c>
      <c r="T7063" s="508">
        <v>1.8319999999999999</v>
      </c>
      <c r="U7063" s="508">
        <v>1.8369999999999997</v>
      </c>
      <c r="V7063" s="508">
        <v>1.8399999999999999</v>
      </c>
      <c r="W7063" s="508">
        <v>1.56</v>
      </c>
      <c r="X7063" s="508">
        <v>1.556</v>
      </c>
      <c r="Y7063" s="508">
        <v>1.5579999999999998</v>
      </c>
      <c r="Z7063" s="508">
        <v>1.5579999999999998</v>
      </c>
      <c r="AA7063" s="508">
        <v>0.45400000000000001</v>
      </c>
      <c r="AB7063" s="508">
        <v>0.45100000000000001</v>
      </c>
      <c r="AC7063" s="508">
        <v>0.45600000000000002</v>
      </c>
      <c r="AD7063" s="508">
        <v>0.34499999999999997</v>
      </c>
      <c r="AE7063" s="508">
        <v>0.34399999999999997</v>
      </c>
      <c r="AF7063" s="508">
        <v>0.33599999999999997</v>
      </c>
      <c r="AG7063" s="508">
        <v>0.33499999999999996</v>
      </c>
      <c r="AH7063" s="508">
        <v>0.33599999999999997</v>
      </c>
      <c r="AI7063" s="492">
        <v>0.33599999999999997</v>
      </c>
      <c r="AJ7063" s="485"/>
    </row>
    <row r="7064" spans="2:36">
      <c r="B7064" s="136" t="s">
        <v>436</v>
      </c>
      <c r="C7064" s="132" t="s">
        <v>1362</v>
      </c>
      <c r="D7064" s="132" t="s">
        <v>1381</v>
      </c>
      <c r="E7064" s="508">
        <v>3.6580000000000004</v>
      </c>
      <c r="F7064" s="508">
        <v>3.6150000000000002</v>
      </c>
      <c r="G7064" s="508">
        <v>3.6040000000000001</v>
      </c>
      <c r="H7064" s="508">
        <v>3.5949999999999998</v>
      </c>
      <c r="I7064" s="508">
        <v>3.5679999999999996</v>
      </c>
      <c r="J7064" s="508">
        <v>3.5149999999999997</v>
      </c>
      <c r="K7064" s="508">
        <v>2.3279999999999998</v>
      </c>
      <c r="L7064" s="508">
        <v>2.3239999999999998</v>
      </c>
      <c r="M7064" s="508">
        <v>2.319</v>
      </c>
      <c r="N7064" s="508">
        <v>2.3180000000000001</v>
      </c>
      <c r="O7064" s="508">
        <v>2.3159999999999998</v>
      </c>
      <c r="P7064" s="508">
        <v>2.3140000000000001</v>
      </c>
      <c r="Q7064" s="508">
        <v>2.3129999999999997</v>
      </c>
      <c r="R7064" s="508">
        <v>2.3109999999999999</v>
      </c>
      <c r="S7064" s="508">
        <v>2.31</v>
      </c>
      <c r="T7064" s="508">
        <v>2.3090000000000002</v>
      </c>
      <c r="U7064" s="508">
        <v>2.3069999999999999</v>
      </c>
      <c r="V7064" s="508">
        <v>2.3049999999999997</v>
      </c>
      <c r="W7064" s="508">
        <v>2.016</v>
      </c>
      <c r="X7064" s="508">
        <v>2.0049999999999999</v>
      </c>
      <c r="Y7064" s="508">
        <v>2.0089999999999999</v>
      </c>
      <c r="Z7064" s="508">
        <v>2.012</v>
      </c>
      <c r="AA7064" s="508">
        <v>0.67599999999999993</v>
      </c>
      <c r="AB7064" s="508">
        <v>0.67100000000000004</v>
      </c>
      <c r="AC7064" s="508">
        <v>0.67999999999999994</v>
      </c>
      <c r="AD7064" s="508">
        <v>0.52</v>
      </c>
      <c r="AE7064" s="508">
        <v>0.51800000000000002</v>
      </c>
      <c r="AF7064" s="508">
        <v>0.51</v>
      </c>
      <c r="AG7064" s="508">
        <v>0.51</v>
      </c>
      <c r="AH7064" s="508">
        <v>0.51</v>
      </c>
      <c r="AI7064" s="492">
        <v>0.51</v>
      </c>
      <c r="AJ7064" s="485"/>
    </row>
    <row r="7065" spans="2:36">
      <c r="B7065" s="136" t="s">
        <v>437</v>
      </c>
      <c r="C7065" s="132" t="s">
        <v>1362</v>
      </c>
      <c r="D7065" s="132" t="s">
        <v>1381</v>
      </c>
      <c r="E7065" s="508">
        <v>3.0839999999999996</v>
      </c>
      <c r="F7065" s="508">
        <v>3.069</v>
      </c>
      <c r="G7065" s="508">
        <v>3.0680000000000001</v>
      </c>
      <c r="H7065" s="508">
        <v>3.0670000000000002</v>
      </c>
      <c r="I7065" s="508">
        <v>3.0549999999999997</v>
      </c>
      <c r="J7065" s="508">
        <v>3.0289999999999999</v>
      </c>
      <c r="K7065" s="508">
        <v>2.0659999999999998</v>
      </c>
      <c r="L7065" s="508">
        <v>2.0649999999999999</v>
      </c>
      <c r="M7065" s="508">
        <v>2.0739999999999998</v>
      </c>
      <c r="N7065" s="508">
        <v>2.0640000000000001</v>
      </c>
      <c r="O7065" s="508">
        <v>2.0640000000000001</v>
      </c>
      <c r="P7065" s="508">
        <v>2.0679999999999996</v>
      </c>
      <c r="Q7065" s="508">
        <v>2.0629999999999997</v>
      </c>
      <c r="R7065" s="508">
        <v>2.0659999999999998</v>
      </c>
      <c r="S7065" s="508">
        <v>2.0609999999999999</v>
      </c>
      <c r="T7065" s="508">
        <v>2.0579999999999998</v>
      </c>
      <c r="U7065" s="508">
        <v>2.0620000000000003</v>
      </c>
      <c r="V7065" s="508">
        <v>2.0629999999999997</v>
      </c>
      <c r="W7065" s="508">
        <v>1.786</v>
      </c>
      <c r="X7065" s="508">
        <v>1.7789999999999999</v>
      </c>
      <c r="Y7065" s="508">
        <v>1.7829999999999999</v>
      </c>
      <c r="Z7065" s="508">
        <v>1.7849999999999999</v>
      </c>
      <c r="AA7065" s="508">
        <v>0.55499999999999994</v>
      </c>
      <c r="AB7065" s="508">
        <v>0.55199999999999994</v>
      </c>
      <c r="AC7065" s="508">
        <v>0.55899999999999994</v>
      </c>
      <c r="AD7065" s="508">
        <v>0.42499999999999999</v>
      </c>
      <c r="AE7065" s="508">
        <v>0.42399999999999999</v>
      </c>
      <c r="AF7065" s="508">
        <v>0.41599999999999998</v>
      </c>
      <c r="AG7065" s="508">
        <v>0.41499999999999998</v>
      </c>
      <c r="AH7065" s="508">
        <v>0.41499999999999998</v>
      </c>
      <c r="AI7065" s="492">
        <v>0.41499999999999998</v>
      </c>
      <c r="AJ7065" s="485"/>
    </row>
    <row r="7066" spans="2:36">
      <c r="B7066" s="136" t="s">
        <v>438</v>
      </c>
      <c r="C7066" s="132" t="s">
        <v>1362</v>
      </c>
      <c r="D7066" s="132" t="s">
        <v>1381</v>
      </c>
      <c r="E7066" s="508">
        <v>3.2639999999999998</v>
      </c>
      <c r="F7066" s="508">
        <v>3.2459999999999996</v>
      </c>
      <c r="G7066" s="508">
        <v>3.2450000000000001</v>
      </c>
      <c r="H7066" s="508">
        <v>3.2429999999999999</v>
      </c>
      <c r="I7066" s="508">
        <v>3.2250000000000001</v>
      </c>
      <c r="J7066" s="508">
        <v>3.1859999999999999</v>
      </c>
      <c r="K7066" s="508">
        <v>2.1390000000000002</v>
      </c>
      <c r="L7066" s="508">
        <v>2.137</v>
      </c>
      <c r="M7066" s="508">
        <v>2.1379999999999999</v>
      </c>
      <c r="N7066" s="508">
        <v>2.1349999999999998</v>
      </c>
      <c r="O7066" s="508">
        <v>2.1349999999999998</v>
      </c>
      <c r="P7066" s="508">
        <v>2.1349999999999998</v>
      </c>
      <c r="Q7066" s="508">
        <v>2.1339999999999999</v>
      </c>
      <c r="R7066" s="508">
        <v>2.1339999999999999</v>
      </c>
      <c r="S7066" s="508">
        <v>2.1320000000000001</v>
      </c>
      <c r="T7066" s="508">
        <v>2.1309999999999998</v>
      </c>
      <c r="U7066" s="508">
        <v>2.1310000000000002</v>
      </c>
      <c r="V7066" s="508">
        <v>2.1310000000000002</v>
      </c>
      <c r="W7066" s="508">
        <v>1.839</v>
      </c>
      <c r="X7066" s="508">
        <v>1.831</v>
      </c>
      <c r="Y7066" s="508">
        <v>1.835</v>
      </c>
      <c r="Z7066" s="508">
        <v>1.8370000000000002</v>
      </c>
      <c r="AA7066" s="508">
        <v>0.60000000000000009</v>
      </c>
      <c r="AB7066" s="508">
        <v>0.59600000000000009</v>
      </c>
      <c r="AC7066" s="508">
        <v>0.60299999999999998</v>
      </c>
      <c r="AD7066" s="508">
        <v>0.45999999999999996</v>
      </c>
      <c r="AE7066" s="508">
        <v>0.45799999999999996</v>
      </c>
      <c r="AF7066" s="508">
        <v>0.44999999999999996</v>
      </c>
      <c r="AG7066" s="508">
        <v>0.44999999999999996</v>
      </c>
      <c r="AH7066" s="508">
        <v>0.44999999999999996</v>
      </c>
      <c r="AI7066" s="492">
        <v>0.44999999999999996</v>
      </c>
      <c r="AJ7066" s="485"/>
    </row>
    <row r="7067" spans="2:36">
      <c r="B7067" s="136" t="s">
        <v>439</v>
      </c>
      <c r="C7067" s="132" t="s">
        <v>1362</v>
      </c>
      <c r="D7067" s="132" t="s">
        <v>1381</v>
      </c>
      <c r="E7067" s="508">
        <v>2.044</v>
      </c>
      <c r="F7067" s="508">
        <v>2.0259999999999998</v>
      </c>
      <c r="G7067" s="508">
        <v>2.0129999999999999</v>
      </c>
      <c r="H7067" s="508">
        <v>2.0059999999999998</v>
      </c>
      <c r="I7067" s="508">
        <v>2.008</v>
      </c>
      <c r="J7067" s="508">
        <v>2.0209999999999999</v>
      </c>
      <c r="K7067" s="508">
        <v>1.524</v>
      </c>
      <c r="L7067" s="508">
        <v>1.5209999999999999</v>
      </c>
      <c r="M7067" s="508">
        <v>1.5470000000000002</v>
      </c>
      <c r="N7067" s="508">
        <v>1.5230000000000001</v>
      </c>
      <c r="O7067" s="508">
        <v>1.524</v>
      </c>
      <c r="P7067" s="508">
        <v>1.5309999999999999</v>
      </c>
      <c r="Q7067" s="508">
        <v>1.5209999999999999</v>
      </c>
      <c r="R7067" s="508">
        <v>1.528</v>
      </c>
      <c r="S7067" s="508">
        <v>1.5129999999999999</v>
      </c>
      <c r="T7067" s="508">
        <v>1.5089999999999999</v>
      </c>
      <c r="U7067" s="508">
        <v>1.5189999999999999</v>
      </c>
      <c r="V7067" s="508">
        <v>1.5249999999999999</v>
      </c>
      <c r="W7067" s="508">
        <v>1.2469999999999999</v>
      </c>
      <c r="X7067" s="508">
        <v>1.246</v>
      </c>
      <c r="Y7067" s="508">
        <v>1.2450000000000001</v>
      </c>
      <c r="Z7067" s="508">
        <v>1.246</v>
      </c>
      <c r="AA7067" s="508">
        <v>0.30599999999999999</v>
      </c>
      <c r="AB7067" s="508">
        <v>0.30499999999999999</v>
      </c>
      <c r="AC7067" s="508">
        <v>0.307</v>
      </c>
      <c r="AD7067" s="508">
        <v>0.22999999999999998</v>
      </c>
      <c r="AE7067" s="508">
        <v>0.22899999999999998</v>
      </c>
      <c r="AF7067" s="508">
        <v>0.221</v>
      </c>
      <c r="AG7067" s="508">
        <v>0.22</v>
      </c>
      <c r="AH7067" s="508">
        <v>0.22</v>
      </c>
      <c r="AI7067" s="492">
        <v>0.22</v>
      </c>
      <c r="AJ7067" s="485"/>
    </row>
    <row r="7068" spans="2:36">
      <c r="B7068" s="136" t="s">
        <v>440</v>
      </c>
      <c r="C7068" s="132" t="s">
        <v>1362</v>
      </c>
      <c r="D7068" s="132" t="s">
        <v>1381</v>
      </c>
      <c r="E7068" s="508">
        <v>2.7869999999999999</v>
      </c>
      <c r="F7068" s="508">
        <v>2.7560000000000002</v>
      </c>
      <c r="G7068" s="508">
        <v>2.742</v>
      </c>
      <c r="H7068" s="508">
        <v>2.7329999999999997</v>
      </c>
      <c r="I7068" s="508">
        <v>2.7210000000000001</v>
      </c>
      <c r="J7068" s="508">
        <v>2.7050000000000001</v>
      </c>
      <c r="K7068" s="508">
        <v>1.8939999999999999</v>
      </c>
      <c r="L7068" s="508">
        <v>1.891</v>
      </c>
      <c r="M7068" s="508">
        <v>1.901</v>
      </c>
      <c r="N7068" s="508">
        <v>1.8879999999999999</v>
      </c>
      <c r="O7068" s="508">
        <v>1.887</v>
      </c>
      <c r="P7068" s="508">
        <v>1.891</v>
      </c>
      <c r="Q7068" s="508">
        <v>1.885</v>
      </c>
      <c r="R7068" s="508">
        <v>1.8879999999999999</v>
      </c>
      <c r="S7068" s="508">
        <v>1.8780000000000001</v>
      </c>
      <c r="T7068" s="508">
        <v>1.8759999999999999</v>
      </c>
      <c r="U7068" s="508">
        <v>1.88</v>
      </c>
      <c r="V7068" s="508">
        <v>1.8820000000000001</v>
      </c>
      <c r="W7068" s="508">
        <v>1.6</v>
      </c>
      <c r="X7068" s="508">
        <v>1.595</v>
      </c>
      <c r="Y7068" s="508">
        <v>1.5960000000000001</v>
      </c>
      <c r="Z7068" s="508">
        <v>1.5979999999999999</v>
      </c>
      <c r="AA7068" s="508">
        <v>0.47400000000000003</v>
      </c>
      <c r="AB7068" s="508">
        <v>0.47100000000000003</v>
      </c>
      <c r="AC7068" s="508">
        <v>0.47700000000000004</v>
      </c>
      <c r="AD7068" s="508">
        <v>0.36199999999999999</v>
      </c>
      <c r="AE7068" s="508">
        <v>0.36</v>
      </c>
      <c r="AF7068" s="508">
        <v>0.35199999999999998</v>
      </c>
      <c r="AG7068" s="508">
        <v>0.35099999999999998</v>
      </c>
      <c r="AH7068" s="508">
        <v>0.35199999999999998</v>
      </c>
      <c r="AI7068" s="492">
        <v>0.35199999999999998</v>
      </c>
      <c r="AJ7068" s="485"/>
    </row>
    <row r="7069" spans="2:36">
      <c r="B7069" s="136" t="s">
        <v>441</v>
      </c>
      <c r="C7069" s="132" t="s">
        <v>1362</v>
      </c>
      <c r="D7069" s="132" t="s">
        <v>1381</v>
      </c>
      <c r="E7069" s="508">
        <v>1.716</v>
      </c>
      <c r="F7069" s="508">
        <v>1.6869999999999998</v>
      </c>
      <c r="G7069" s="508">
        <v>1.663</v>
      </c>
      <c r="H7069" s="508">
        <v>1.65</v>
      </c>
      <c r="I7069" s="508">
        <v>1.6539999999999999</v>
      </c>
      <c r="J7069" s="508">
        <v>1.6800000000000002</v>
      </c>
      <c r="K7069" s="508">
        <v>1.3460000000000001</v>
      </c>
      <c r="L7069" s="508">
        <v>1.341</v>
      </c>
      <c r="M7069" s="508">
        <v>1.3720000000000001</v>
      </c>
      <c r="N7069" s="508">
        <v>1.341</v>
      </c>
      <c r="O7069" s="508">
        <v>1.3419999999999999</v>
      </c>
      <c r="P7069" s="508">
        <v>1.351</v>
      </c>
      <c r="Q7069" s="508">
        <v>1.3379999999999999</v>
      </c>
      <c r="R7069" s="508">
        <v>1.347</v>
      </c>
      <c r="S7069" s="508">
        <v>1.327</v>
      </c>
      <c r="T7069" s="508">
        <v>1.323</v>
      </c>
      <c r="U7069" s="508">
        <v>1.3339999999999999</v>
      </c>
      <c r="V7069" s="508">
        <v>1.341</v>
      </c>
      <c r="W7069" s="508">
        <v>1.0640000000000001</v>
      </c>
      <c r="X7069" s="508">
        <v>1.0629999999999999</v>
      </c>
      <c r="Y7069" s="508">
        <v>1.0629999999999999</v>
      </c>
      <c r="Z7069" s="508">
        <v>1.0620000000000001</v>
      </c>
      <c r="AA7069" s="508">
        <v>0.21999999999999997</v>
      </c>
      <c r="AB7069" s="508">
        <v>0.21899999999999997</v>
      </c>
      <c r="AC7069" s="508">
        <v>0.21999999999999997</v>
      </c>
      <c r="AD7069" s="508">
        <v>0.16300000000000001</v>
      </c>
      <c r="AE7069" s="508">
        <v>0.16200000000000001</v>
      </c>
      <c r="AF7069" s="508">
        <v>0.154</v>
      </c>
      <c r="AG7069" s="508">
        <v>0.154</v>
      </c>
      <c r="AH7069" s="508">
        <v>0.154</v>
      </c>
      <c r="AI7069" s="492">
        <v>0.154</v>
      </c>
      <c r="AJ7069" s="485"/>
    </row>
    <row r="7070" spans="2:36">
      <c r="B7070" s="136" t="s">
        <v>443</v>
      </c>
      <c r="C7070" s="132" t="s">
        <v>1362</v>
      </c>
      <c r="D7070" s="132" t="s">
        <v>1381</v>
      </c>
      <c r="E7070" s="508">
        <v>1.135</v>
      </c>
      <c r="F7070" s="508">
        <v>1.109</v>
      </c>
      <c r="G7070" s="508">
        <v>1.081</v>
      </c>
      <c r="H7070" s="508">
        <v>1.0649999999999999</v>
      </c>
      <c r="I7070" s="508">
        <v>1.081</v>
      </c>
      <c r="J7070" s="508">
        <v>1.1359999999999999</v>
      </c>
      <c r="K7070" s="508">
        <v>1.0649999999999999</v>
      </c>
      <c r="L7070" s="508">
        <v>1.0589999999999999</v>
      </c>
      <c r="M7070" s="508">
        <v>1.1040000000000001</v>
      </c>
      <c r="N7070" s="508">
        <v>1.0629999999999999</v>
      </c>
      <c r="O7070" s="508">
        <v>1.0640000000000001</v>
      </c>
      <c r="P7070" s="508">
        <v>1.077</v>
      </c>
      <c r="Q7070" s="508">
        <v>1.06</v>
      </c>
      <c r="R7070" s="508">
        <v>1.073</v>
      </c>
      <c r="S7070" s="508">
        <v>1.0449999999999999</v>
      </c>
      <c r="T7070" s="508">
        <v>1.0389999999999999</v>
      </c>
      <c r="U7070" s="508">
        <v>1.056</v>
      </c>
      <c r="V7070" s="508">
        <v>1.0660000000000001</v>
      </c>
      <c r="W7070" s="508">
        <v>0.80200000000000005</v>
      </c>
      <c r="X7070" s="508">
        <v>0.80400000000000005</v>
      </c>
      <c r="Y7070" s="508">
        <v>0.80200000000000005</v>
      </c>
      <c r="Z7070" s="508">
        <v>0.8</v>
      </c>
      <c r="AA7070" s="508">
        <v>0.08</v>
      </c>
      <c r="AB7070" s="508">
        <v>0.08</v>
      </c>
      <c r="AC7070" s="508">
        <v>7.9000000000000001E-2</v>
      </c>
      <c r="AD7070" s="508">
        <v>5.2999999999999999E-2</v>
      </c>
      <c r="AE7070" s="508">
        <v>5.2999999999999999E-2</v>
      </c>
      <c r="AF7070" s="508">
        <v>4.3999999999999997E-2</v>
      </c>
      <c r="AG7070" s="508">
        <v>4.2999999999999997E-2</v>
      </c>
      <c r="AH7070" s="508">
        <v>4.3999999999999997E-2</v>
      </c>
      <c r="AI7070" s="492">
        <v>4.3999999999999997E-2</v>
      </c>
      <c r="AJ7070" s="485"/>
    </row>
    <row r="7071" spans="2:36">
      <c r="B7071" s="136" t="s">
        <v>445</v>
      </c>
      <c r="C7071" s="132" t="s">
        <v>1362</v>
      </c>
      <c r="D7071" s="132" t="s">
        <v>1381</v>
      </c>
      <c r="E7071" s="508">
        <v>1.224</v>
      </c>
      <c r="F7071" s="508">
        <v>1.194</v>
      </c>
      <c r="G7071" s="508">
        <v>1.161</v>
      </c>
      <c r="H7071" s="508">
        <v>1.143</v>
      </c>
      <c r="I7071" s="508">
        <v>1.163</v>
      </c>
      <c r="J7071" s="508">
        <v>1.228</v>
      </c>
      <c r="K7071" s="508">
        <v>1.143</v>
      </c>
      <c r="L7071" s="508">
        <v>1.137</v>
      </c>
      <c r="M7071" s="508">
        <v>1.19</v>
      </c>
      <c r="N7071" s="508">
        <v>1.141</v>
      </c>
      <c r="O7071" s="508">
        <v>1.1419999999999999</v>
      </c>
      <c r="P7071" s="508">
        <v>1.1579999999999999</v>
      </c>
      <c r="Q7071" s="508">
        <v>1.137</v>
      </c>
      <c r="R7071" s="508">
        <v>1.153</v>
      </c>
      <c r="S7071" s="508">
        <v>1.1200000000000001</v>
      </c>
      <c r="T7071" s="508">
        <v>1.113</v>
      </c>
      <c r="U7071" s="508">
        <v>1.1339999999999999</v>
      </c>
      <c r="V7071" s="508">
        <v>1.145</v>
      </c>
      <c r="W7071" s="508">
        <v>0.90900000000000003</v>
      </c>
      <c r="X7071" s="508">
        <v>0.91200000000000003</v>
      </c>
      <c r="Y7071" s="508">
        <v>0.90900000000000003</v>
      </c>
      <c r="Z7071" s="508">
        <v>0.90800000000000003</v>
      </c>
      <c r="AA7071" s="508">
        <v>9.0999999999999998E-2</v>
      </c>
      <c r="AB7071" s="508">
        <v>9.0999999999999998E-2</v>
      </c>
      <c r="AC7071" s="508">
        <v>0.09</v>
      </c>
      <c r="AD7071" s="508">
        <v>0.06</v>
      </c>
      <c r="AE7071" s="508">
        <v>0.06</v>
      </c>
      <c r="AF7071" s="508">
        <v>0.05</v>
      </c>
      <c r="AG7071" s="508">
        <v>4.9000000000000002E-2</v>
      </c>
      <c r="AH7071" s="508">
        <v>4.9000000000000002E-2</v>
      </c>
      <c r="AI7071" s="492">
        <v>4.9000000000000002E-2</v>
      </c>
      <c r="AJ7071" s="485"/>
    </row>
    <row r="7072" spans="2:36">
      <c r="B7072" s="136" t="s">
        <v>446</v>
      </c>
      <c r="C7072" s="132" t="s">
        <v>1362</v>
      </c>
      <c r="D7072" s="132" t="s">
        <v>1381</v>
      </c>
      <c r="E7072" s="508">
        <v>2.3010000000000002</v>
      </c>
      <c r="F7072" s="508">
        <v>2.2919999999999998</v>
      </c>
      <c r="G7072" s="508">
        <v>2.2850000000000001</v>
      </c>
      <c r="H7072" s="508">
        <v>2.2800000000000002</v>
      </c>
      <c r="I7072" s="508">
        <v>2.2839999999999998</v>
      </c>
      <c r="J7072" s="508">
        <v>2.298</v>
      </c>
      <c r="K7072" s="508">
        <v>1.69</v>
      </c>
      <c r="L7072" s="508">
        <v>1.6870000000000001</v>
      </c>
      <c r="M7072" s="508">
        <v>1.716</v>
      </c>
      <c r="N7072" s="508">
        <v>1.6909999999999998</v>
      </c>
      <c r="O7072" s="508">
        <v>1.6919999999999999</v>
      </c>
      <c r="P7072" s="508">
        <v>1.7010000000000001</v>
      </c>
      <c r="Q7072" s="508">
        <v>1.69</v>
      </c>
      <c r="R7072" s="508">
        <v>1.6989999999999998</v>
      </c>
      <c r="S7072" s="508">
        <v>1.6819999999999999</v>
      </c>
      <c r="T7072" s="508">
        <v>1.6779999999999999</v>
      </c>
      <c r="U7072" s="508">
        <v>1.6890000000000001</v>
      </c>
      <c r="V7072" s="508">
        <v>1.696</v>
      </c>
      <c r="W7072" s="508">
        <v>1.4370000000000001</v>
      </c>
      <c r="X7072" s="508">
        <v>1.4340000000000002</v>
      </c>
      <c r="Y7072" s="508">
        <v>1.4359999999999999</v>
      </c>
      <c r="Z7072" s="508">
        <v>1.4370000000000001</v>
      </c>
      <c r="AA7072" s="508">
        <v>0.36799999999999999</v>
      </c>
      <c r="AB7072" s="508">
        <v>0.36599999999999999</v>
      </c>
      <c r="AC7072" s="508">
        <v>0.36899999999999999</v>
      </c>
      <c r="AD7072" s="508">
        <v>0.27700000000000002</v>
      </c>
      <c r="AE7072" s="508">
        <v>0.27600000000000002</v>
      </c>
      <c r="AF7072" s="508">
        <v>0.26800000000000002</v>
      </c>
      <c r="AG7072" s="508">
        <v>0.26700000000000002</v>
      </c>
      <c r="AH7072" s="508">
        <v>0.26700000000000002</v>
      </c>
      <c r="AI7072" s="492">
        <v>0.26700000000000002</v>
      </c>
      <c r="AJ7072" s="485"/>
    </row>
    <row r="7073" spans="2:36">
      <c r="B7073" s="136" t="s">
        <v>448</v>
      </c>
      <c r="C7073" s="132" t="s">
        <v>1362</v>
      </c>
      <c r="D7073" s="132" t="s">
        <v>1381</v>
      </c>
      <c r="E7073" s="508">
        <v>2.9610000000000003</v>
      </c>
      <c r="F7073" s="508">
        <v>2.9430000000000001</v>
      </c>
      <c r="G7073" s="508">
        <v>2.9390000000000001</v>
      </c>
      <c r="H7073" s="508">
        <v>2.9359999999999999</v>
      </c>
      <c r="I7073" s="508">
        <v>2.9239999999999999</v>
      </c>
      <c r="J7073" s="508">
        <v>2.899</v>
      </c>
      <c r="K7073" s="508">
        <v>1.9889999999999999</v>
      </c>
      <c r="L7073" s="508">
        <v>1.986</v>
      </c>
      <c r="M7073" s="508">
        <v>1.994</v>
      </c>
      <c r="N7073" s="508">
        <v>1.9849999999999999</v>
      </c>
      <c r="O7073" s="508">
        <v>1.9849999999999999</v>
      </c>
      <c r="P7073" s="508">
        <v>1.988</v>
      </c>
      <c r="Q7073" s="508">
        <v>1.984</v>
      </c>
      <c r="R7073" s="508">
        <v>1.986</v>
      </c>
      <c r="S7073" s="508">
        <v>1.98</v>
      </c>
      <c r="T7073" s="508">
        <v>1.978</v>
      </c>
      <c r="U7073" s="508">
        <v>1.9809999999999999</v>
      </c>
      <c r="V7073" s="508">
        <v>1.9830000000000001</v>
      </c>
      <c r="W7073" s="508">
        <v>1.6959999999999997</v>
      </c>
      <c r="X7073" s="508">
        <v>1.6879999999999999</v>
      </c>
      <c r="Y7073" s="508">
        <v>1.6919999999999999</v>
      </c>
      <c r="Z7073" s="508">
        <v>1.694</v>
      </c>
      <c r="AA7073" s="508">
        <v>0.52600000000000002</v>
      </c>
      <c r="AB7073" s="508">
        <v>0.52400000000000002</v>
      </c>
      <c r="AC7073" s="508">
        <v>0.52900000000000003</v>
      </c>
      <c r="AD7073" s="508">
        <v>0.40299999999999997</v>
      </c>
      <c r="AE7073" s="508">
        <v>0.40099999999999997</v>
      </c>
      <c r="AF7073" s="508">
        <v>0.39299999999999996</v>
      </c>
      <c r="AG7073" s="508">
        <v>0.39299999999999996</v>
      </c>
      <c r="AH7073" s="508">
        <v>0.39299999999999996</v>
      </c>
      <c r="AI7073" s="492">
        <v>0.39299999999999996</v>
      </c>
      <c r="AJ7073" s="485"/>
    </row>
    <row r="7074" spans="2:36">
      <c r="B7074" s="136" t="s">
        <v>449</v>
      </c>
      <c r="C7074" s="132" t="s">
        <v>1362</v>
      </c>
      <c r="D7074" s="132" t="s">
        <v>1381</v>
      </c>
      <c r="E7074" s="508">
        <v>1.2829999999999999</v>
      </c>
      <c r="F7074" s="508">
        <v>1.28</v>
      </c>
      <c r="G7074" s="508">
        <v>1.2669999999999999</v>
      </c>
      <c r="H7074" s="508">
        <v>1.2589999999999999</v>
      </c>
      <c r="I7074" s="508">
        <v>1.278</v>
      </c>
      <c r="J7074" s="508">
        <v>1.3290000000000002</v>
      </c>
      <c r="K7074" s="508">
        <v>1.161</v>
      </c>
      <c r="L7074" s="508">
        <v>1.159</v>
      </c>
      <c r="M7074" s="508">
        <v>1.2010000000000001</v>
      </c>
      <c r="N7074" s="508">
        <v>1.165</v>
      </c>
      <c r="O7074" s="508">
        <v>1.167</v>
      </c>
      <c r="P7074" s="508">
        <v>1.18</v>
      </c>
      <c r="Q7074" s="508">
        <v>1.165</v>
      </c>
      <c r="R7074" s="508">
        <v>1.1779999999999999</v>
      </c>
      <c r="S7074" s="508">
        <v>1.153</v>
      </c>
      <c r="T7074" s="508">
        <v>1.1479999999999999</v>
      </c>
      <c r="U7074" s="508">
        <v>1.1660000000000001</v>
      </c>
      <c r="V7074" s="508">
        <v>1.175</v>
      </c>
      <c r="W7074" s="508">
        <v>0.91300000000000003</v>
      </c>
      <c r="X7074" s="508">
        <v>0.91500000000000004</v>
      </c>
      <c r="Y7074" s="508">
        <v>0.91400000000000003</v>
      </c>
      <c r="Z7074" s="508">
        <v>0.91300000000000003</v>
      </c>
      <c r="AA7074" s="508">
        <v>0.13100000000000001</v>
      </c>
      <c r="AB7074" s="508">
        <v>0.13100000000000001</v>
      </c>
      <c r="AC7074" s="508">
        <v>0.13</v>
      </c>
      <c r="AD7074" s="508">
        <v>9.1999999999999998E-2</v>
      </c>
      <c r="AE7074" s="508">
        <v>9.1999999999999998E-2</v>
      </c>
      <c r="AF7074" s="508">
        <v>8.3000000000000004E-2</v>
      </c>
      <c r="AG7074" s="508">
        <v>8.2000000000000003E-2</v>
      </c>
      <c r="AH7074" s="508">
        <v>8.3000000000000004E-2</v>
      </c>
      <c r="AI7074" s="492">
        <v>8.3000000000000004E-2</v>
      </c>
      <c r="AJ7074" s="485"/>
    </row>
    <row r="7075" spans="2:36">
      <c r="B7075" s="136" t="s">
        <v>450</v>
      </c>
      <c r="C7075" s="132" t="s">
        <v>1362</v>
      </c>
      <c r="D7075" s="132" t="s">
        <v>1381</v>
      </c>
      <c r="E7075" s="508">
        <v>3.2759999999999998</v>
      </c>
      <c r="F7075" s="508">
        <v>3.2450000000000001</v>
      </c>
      <c r="G7075" s="508">
        <v>3.2370000000000001</v>
      </c>
      <c r="H7075" s="508">
        <v>3.23</v>
      </c>
      <c r="I7075" s="508">
        <v>3.2110000000000003</v>
      </c>
      <c r="J7075" s="508">
        <v>3.1740000000000004</v>
      </c>
      <c r="K7075" s="508">
        <v>2.141</v>
      </c>
      <c r="L7075" s="508">
        <v>2.1379999999999999</v>
      </c>
      <c r="M7075" s="508">
        <v>2.14</v>
      </c>
      <c r="N7075" s="508">
        <v>2.1349999999999998</v>
      </c>
      <c r="O7075" s="508">
        <v>2.1339999999999999</v>
      </c>
      <c r="P7075" s="508">
        <v>2.1349999999999998</v>
      </c>
      <c r="Q7075" s="508">
        <v>2.1319999999999997</v>
      </c>
      <c r="R7075" s="508">
        <v>2.1319999999999997</v>
      </c>
      <c r="S7075" s="508">
        <v>2.129</v>
      </c>
      <c r="T7075" s="508">
        <v>2.1269999999999998</v>
      </c>
      <c r="U7075" s="508">
        <v>2.1269999999999998</v>
      </c>
      <c r="V7075" s="508">
        <v>2.1269999999999998</v>
      </c>
      <c r="W7075" s="508">
        <v>1.839</v>
      </c>
      <c r="X7075" s="508">
        <v>1.831</v>
      </c>
      <c r="Y7075" s="508">
        <v>1.8339999999999999</v>
      </c>
      <c r="Z7075" s="508">
        <v>1.8359999999999999</v>
      </c>
      <c r="AA7075" s="508">
        <v>0.59299999999999997</v>
      </c>
      <c r="AB7075" s="508">
        <v>0.58899999999999997</v>
      </c>
      <c r="AC7075" s="508">
        <v>0.59600000000000009</v>
      </c>
      <c r="AD7075" s="508">
        <v>0.45399999999999996</v>
      </c>
      <c r="AE7075" s="508">
        <v>0.45299999999999996</v>
      </c>
      <c r="AF7075" s="508">
        <v>0.44599999999999995</v>
      </c>
      <c r="AG7075" s="508">
        <v>0.44499999999999995</v>
      </c>
      <c r="AH7075" s="508">
        <v>0.44499999999999995</v>
      </c>
      <c r="AI7075" s="492">
        <v>0.44499999999999995</v>
      </c>
      <c r="AJ7075" s="485"/>
    </row>
    <row r="7076" spans="2:36">
      <c r="B7076" s="136" t="s">
        <v>451</v>
      </c>
      <c r="C7076" s="132" t="s">
        <v>1362</v>
      </c>
      <c r="D7076" s="132" t="s">
        <v>1381</v>
      </c>
      <c r="E7076" s="508">
        <v>1.5569999999999999</v>
      </c>
      <c r="F7076" s="508">
        <v>1.5229999999999999</v>
      </c>
      <c r="G7076" s="508">
        <v>1.4929999999999999</v>
      </c>
      <c r="H7076" s="508">
        <v>1.476</v>
      </c>
      <c r="I7076" s="508">
        <v>1.4860000000000002</v>
      </c>
      <c r="J7076" s="508">
        <v>1.53</v>
      </c>
      <c r="K7076" s="508">
        <v>1.2889999999999999</v>
      </c>
      <c r="L7076" s="508">
        <v>1.2829999999999999</v>
      </c>
      <c r="M7076" s="508">
        <v>1.3240000000000001</v>
      </c>
      <c r="N7076" s="508">
        <v>1.2849999999999999</v>
      </c>
      <c r="O7076" s="508">
        <v>1.2850000000000001</v>
      </c>
      <c r="P7076" s="508">
        <v>1.298</v>
      </c>
      <c r="Q7076" s="508">
        <v>1.2809999999999999</v>
      </c>
      <c r="R7076" s="508">
        <v>1.2929999999999999</v>
      </c>
      <c r="S7076" s="508">
        <v>1.266</v>
      </c>
      <c r="T7076" s="508">
        <v>1.2609999999999999</v>
      </c>
      <c r="U7076" s="508">
        <v>1.276</v>
      </c>
      <c r="V7076" s="508">
        <v>1.2849999999999999</v>
      </c>
      <c r="W7076" s="508">
        <v>1.03</v>
      </c>
      <c r="X7076" s="508">
        <v>1.032</v>
      </c>
      <c r="Y7076" s="508">
        <v>1.03</v>
      </c>
      <c r="Z7076" s="508">
        <v>1.028</v>
      </c>
      <c r="AA7076" s="508">
        <v>0.17199999999999999</v>
      </c>
      <c r="AB7076" s="508">
        <v>0.17199999999999999</v>
      </c>
      <c r="AC7076" s="508">
        <v>0.17299999999999999</v>
      </c>
      <c r="AD7076" s="508">
        <v>0.125</v>
      </c>
      <c r="AE7076" s="508">
        <v>0.125</v>
      </c>
      <c r="AF7076" s="508">
        <v>0.11600000000000001</v>
      </c>
      <c r="AG7076" s="508">
        <v>0.115</v>
      </c>
      <c r="AH7076" s="508">
        <v>0.115</v>
      </c>
      <c r="AI7076" s="492">
        <v>0.115</v>
      </c>
      <c r="AJ7076" s="485"/>
    </row>
    <row r="7077" spans="2:36">
      <c r="B7077" s="136" t="s">
        <v>452</v>
      </c>
      <c r="C7077" s="132" t="s">
        <v>1362</v>
      </c>
      <c r="D7077" s="132" t="s">
        <v>1381</v>
      </c>
      <c r="E7077" s="508">
        <v>2.8159999999999998</v>
      </c>
      <c r="F7077" s="508">
        <v>2.7869999999999999</v>
      </c>
      <c r="G7077" s="508">
        <v>2.7729999999999997</v>
      </c>
      <c r="H7077" s="508">
        <v>2.7650000000000001</v>
      </c>
      <c r="I7077" s="508">
        <v>2.7549999999999999</v>
      </c>
      <c r="J7077" s="508">
        <v>2.74</v>
      </c>
      <c r="K7077" s="508">
        <v>1.92</v>
      </c>
      <c r="L7077" s="508">
        <v>1.915</v>
      </c>
      <c r="M7077" s="508">
        <v>1.93</v>
      </c>
      <c r="N7077" s="508">
        <v>1.9140000000000001</v>
      </c>
      <c r="O7077" s="508">
        <v>1.9139999999999999</v>
      </c>
      <c r="P7077" s="508">
        <v>1.9180000000000001</v>
      </c>
      <c r="Q7077" s="508">
        <v>1.911</v>
      </c>
      <c r="R7077" s="508">
        <v>1.9159999999999999</v>
      </c>
      <c r="S7077" s="508">
        <v>1.905</v>
      </c>
      <c r="T7077" s="508">
        <v>1.9020000000000001</v>
      </c>
      <c r="U7077" s="508">
        <v>1.907</v>
      </c>
      <c r="V7077" s="508">
        <v>1.9100000000000001</v>
      </c>
      <c r="W7077" s="508">
        <v>1.635</v>
      </c>
      <c r="X7077" s="508">
        <v>1.6280000000000001</v>
      </c>
      <c r="Y7077" s="508">
        <v>1.631</v>
      </c>
      <c r="Z7077" s="508">
        <v>1.6320000000000001</v>
      </c>
      <c r="AA7077" s="508">
        <v>0.48100000000000004</v>
      </c>
      <c r="AB7077" s="508">
        <v>0.47800000000000004</v>
      </c>
      <c r="AC7077" s="508">
        <v>0.48299999999999998</v>
      </c>
      <c r="AD7077" s="508">
        <v>0.36599999999999999</v>
      </c>
      <c r="AE7077" s="508">
        <v>0.36499999999999999</v>
      </c>
      <c r="AF7077" s="508">
        <v>0.35699999999999998</v>
      </c>
      <c r="AG7077" s="508">
        <v>0.35599999999999998</v>
      </c>
      <c r="AH7077" s="508">
        <v>0.35699999999999998</v>
      </c>
      <c r="AI7077" s="492">
        <v>0.35699999999999998</v>
      </c>
      <c r="AJ7077" s="485"/>
    </row>
    <row r="7078" spans="2:36">
      <c r="B7078" s="136" t="s">
        <v>453</v>
      </c>
      <c r="C7078" s="132" t="s">
        <v>1362</v>
      </c>
      <c r="D7078" s="132" t="s">
        <v>1381</v>
      </c>
      <c r="E7078" s="508">
        <v>3.395</v>
      </c>
      <c r="F7078" s="508">
        <v>3.3650000000000002</v>
      </c>
      <c r="G7078" s="508">
        <v>3.359</v>
      </c>
      <c r="H7078" s="508">
        <v>3.3540000000000001</v>
      </c>
      <c r="I7078" s="508">
        <v>3.3329999999999997</v>
      </c>
      <c r="J7078" s="508">
        <v>3.29</v>
      </c>
      <c r="K7078" s="508">
        <v>2.2010000000000001</v>
      </c>
      <c r="L7078" s="508">
        <v>2.198</v>
      </c>
      <c r="M7078" s="508">
        <v>2.1970000000000001</v>
      </c>
      <c r="N7078" s="508">
        <v>2.194</v>
      </c>
      <c r="O7078" s="508">
        <v>2.1920000000000002</v>
      </c>
      <c r="P7078" s="508">
        <v>2.1920000000000002</v>
      </c>
      <c r="Q7078" s="508">
        <v>2.1909999999999998</v>
      </c>
      <c r="R7078" s="508">
        <v>2.19</v>
      </c>
      <c r="S7078" s="508">
        <v>2.1890000000000001</v>
      </c>
      <c r="T7078" s="508">
        <v>2.1870000000000003</v>
      </c>
      <c r="U7078" s="508">
        <v>2.1859999999999999</v>
      </c>
      <c r="V7078" s="508">
        <v>2.1859999999999999</v>
      </c>
      <c r="W7078" s="508">
        <v>1.895</v>
      </c>
      <c r="X7078" s="508">
        <v>1.887</v>
      </c>
      <c r="Y7078" s="508">
        <v>1.8900000000000001</v>
      </c>
      <c r="Z7078" s="508">
        <v>1.893</v>
      </c>
      <c r="AA7078" s="508">
        <v>0.62200000000000011</v>
      </c>
      <c r="AB7078" s="508">
        <v>0.6180000000000001</v>
      </c>
      <c r="AC7078" s="508">
        <v>0.62600000000000011</v>
      </c>
      <c r="AD7078" s="508">
        <v>0.47799999999999998</v>
      </c>
      <c r="AE7078" s="508">
        <v>0.47599999999999998</v>
      </c>
      <c r="AF7078" s="508">
        <v>0.46899999999999997</v>
      </c>
      <c r="AG7078" s="508">
        <v>0.46799999999999997</v>
      </c>
      <c r="AH7078" s="508">
        <v>0.46799999999999997</v>
      </c>
      <c r="AI7078" s="492">
        <v>0.46799999999999997</v>
      </c>
      <c r="AJ7078" s="485"/>
    </row>
    <row r="7079" spans="2:36">
      <c r="B7079" s="136" t="s">
        <v>454</v>
      </c>
      <c r="C7079" s="132" t="s">
        <v>1362</v>
      </c>
      <c r="D7079" s="132" t="s">
        <v>1381</v>
      </c>
      <c r="E7079" s="508">
        <v>2.782</v>
      </c>
      <c r="F7079" s="508">
        <v>2.7570000000000001</v>
      </c>
      <c r="G7079" s="508">
        <v>2.7480000000000002</v>
      </c>
      <c r="H7079" s="508">
        <v>2.742</v>
      </c>
      <c r="I7079" s="508">
        <v>2.7309999999999999</v>
      </c>
      <c r="J7079" s="508">
        <v>2.7130000000000001</v>
      </c>
      <c r="K7079" s="508">
        <v>1.891</v>
      </c>
      <c r="L7079" s="508">
        <v>1.887</v>
      </c>
      <c r="M7079" s="508">
        <v>1.8969999999999998</v>
      </c>
      <c r="N7079" s="508">
        <v>1.8860000000000001</v>
      </c>
      <c r="O7079" s="508">
        <v>1.885</v>
      </c>
      <c r="P7079" s="508">
        <v>1.889</v>
      </c>
      <c r="Q7079" s="508">
        <v>1.8839999999999999</v>
      </c>
      <c r="R7079" s="508">
        <v>1.8860000000000001</v>
      </c>
      <c r="S7079" s="508">
        <v>1.879</v>
      </c>
      <c r="T7079" s="508">
        <v>1.8759999999999999</v>
      </c>
      <c r="U7079" s="508">
        <v>1.88</v>
      </c>
      <c r="V7079" s="508">
        <v>1.8820000000000001</v>
      </c>
      <c r="W7079" s="508">
        <v>1.595</v>
      </c>
      <c r="X7079" s="508">
        <v>1.589</v>
      </c>
      <c r="Y7079" s="508">
        <v>1.591</v>
      </c>
      <c r="Z7079" s="508">
        <v>1.593</v>
      </c>
      <c r="AA7079" s="508">
        <v>0.48</v>
      </c>
      <c r="AB7079" s="508">
        <v>0.47699999999999998</v>
      </c>
      <c r="AC7079" s="508">
        <v>0.48199999999999998</v>
      </c>
      <c r="AD7079" s="508">
        <v>0.36599999999999999</v>
      </c>
      <c r="AE7079" s="508">
        <v>0.36499999999999999</v>
      </c>
      <c r="AF7079" s="508">
        <v>0.35699999999999998</v>
      </c>
      <c r="AG7079" s="508">
        <v>0.35699999999999998</v>
      </c>
      <c r="AH7079" s="508">
        <v>0.35699999999999998</v>
      </c>
      <c r="AI7079" s="492">
        <v>0.35699999999999998</v>
      </c>
      <c r="AJ7079" s="485"/>
    </row>
    <row r="7080" spans="2:36">
      <c r="B7080" s="136" t="s">
        <v>455</v>
      </c>
      <c r="C7080" s="132" t="s">
        <v>1362</v>
      </c>
      <c r="D7080" s="132" t="s">
        <v>1381</v>
      </c>
      <c r="E7080" s="508">
        <v>3.742</v>
      </c>
      <c r="F7080" s="508">
        <v>3.7189999999999999</v>
      </c>
      <c r="G7080" s="508">
        <v>3.7210000000000001</v>
      </c>
      <c r="H7080" s="508">
        <v>3.7209999999999996</v>
      </c>
      <c r="I7080" s="508">
        <v>3.6950000000000003</v>
      </c>
      <c r="J7080" s="508">
        <v>3.6369999999999996</v>
      </c>
      <c r="K7080" s="508">
        <v>2.3810000000000002</v>
      </c>
      <c r="L7080" s="508">
        <v>2.379</v>
      </c>
      <c r="M7080" s="508">
        <v>2.371</v>
      </c>
      <c r="N7080" s="508">
        <v>2.3759999999999999</v>
      </c>
      <c r="O7080" s="508">
        <v>2.3739999999999997</v>
      </c>
      <c r="P7080" s="508">
        <v>2.3730000000000002</v>
      </c>
      <c r="Q7080" s="508">
        <v>2.3729999999999998</v>
      </c>
      <c r="R7080" s="508">
        <v>2.371</v>
      </c>
      <c r="S7080" s="508">
        <v>2.3730000000000002</v>
      </c>
      <c r="T7080" s="508">
        <v>2.3730000000000002</v>
      </c>
      <c r="U7080" s="508">
        <v>2.37</v>
      </c>
      <c r="V7080" s="508">
        <v>2.3679999999999999</v>
      </c>
      <c r="W7080" s="508">
        <v>2.0739999999999998</v>
      </c>
      <c r="X7080" s="508">
        <v>2.0629999999999997</v>
      </c>
      <c r="Y7080" s="508">
        <v>2.0680000000000001</v>
      </c>
      <c r="Z7080" s="508">
        <v>2.0720000000000001</v>
      </c>
      <c r="AA7080" s="508">
        <v>0.71100000000000008</v>
      </c>
      <c r="AB7080" s="508">
        <v>0.70700000000000007</v>
      </c>
      <c r="AC7080" s="508">
        <v>0.71500000000000008</v>
      </c>
      <c r="AD7080" s="508">
        <v>0.54700000000000004</v>
      </c>
      <c r="AE7080" s="508">
        <v>0.54500000000000004</v>
      </c>
      <c r="AF7080" s="508">
        <v>0.53800000000000003</v>
      </c>
      <c r="AG7080" s="508">
        <v>0.53700000000000003</v>
      </c>
      <c r="AH7080" s="508">
        <v>0.53800000000000003</v>
      </c>
      <c r="AI7080" s="492">
        <v>0.53800000000000003</v>
      </c>
      <c r="AJ7080" s="485"/>
    </row>
    <row r="7081" spans="2:36">
      <c r="B7081" s="136" t="s">
        <v>456</v>
      </c>
      <c r="C7081" s="132" t="s">
        <v>1362</v>
      </c>
      <c r="D7081" s="132" t="s">
        <v>1381</v>
      </c>
      <c r="E7081" s="508">
        <v>2.9239999999999999</v>
      </c>
      <c r="F7081" s="508">
        <v>2.911</v>
      </c>
      <c r="G7081" s="508">
        <v>2.9089999999999998</v>
      </c>
      <c r="H7081" s="508">
        <v>2.907</v>
      </c>
      <c r="I7081" s="508">
        <v>2.8959999999999999</v>
      </c>
      <c r="J7081" s="508">
        <v>2.8739999999999997</v>
      </c>
      <c r="K7081" s="508">
        <v>1.978</v>
      </c>
      <c r="L7081" s="508">
        <v>1.9750000000000001</v>
      </c>
      <c r="M7081" s="508">
        <v>1.9849999999999999</v>
      </c>
      <c r="N7081" s="508">
        <v>1.976</v>
      </c>
      <c r="O7081" s="508">
        <v>1.976</v>
      </c>
      <c r="P7081" s="508">
        <v>1.9790000000000001</v>
      </c>
      <c r="Q7081" s="508">
        <v>1.9750000000000001</v>
      </c>
      <c r="R7081" s="508">
        <v>1.978</v>
      </c>
      <c r="S7081" s="508">
        <v>1.9710000000000001</v>
      </c>
      <c r="T7081" s="508">
        <v>1.97</v>
      </c>
      <c r="U7081" s="508">
        <v>1.9729999999999999</v>
      </c>
      <c r="V7081" s="508">
        <v>1.9750000000000001</v>
      </c>
      <c r="W7081" s="508">
        <v>1.6919999999999999</v>
      </c>
      <c r="X7081" s="508">
        <v>1.6859999999999999</v>
      </c>
      <c r="Y7081" s="508">
        <v>1.6890000000000001</v>
      </c>
      <c r="Z7081" s="508">
        <v>1.6909999999999998</v>
      </c>
      <c r="AA7081" s="508">
        <v>0.51900000000000002</v>
      </c>
      <c r="AB7081" s="508">
        <v>0.51700000000000002</v>
      </c>
      <c r="AC7081" s="508">
        <v>0.52300000000000002</v>
      </c>
      <c r="AD7081" s="508">
        <v>0.39799999999999996</v>
      </c>
      <c r="AE7081" s="508">
        <v>0.39499999999999996</v>
      </c>
      <c r="AF7081" s="508">
        <v>0.38799999999999996</v>
      </c>
      <c r="AG7081" s="508">
        <v>0.38699999999999996</v>
      </c>
      <c r="AH7081" s="508">
        <v>0.38699999999999996</v>
      </c>
      <c r="AI7081" s="492">
        <v>0.38699999999999996</v>
      </c>
      <c r="AJ7081" s="485"/>
    </row>
    <row r="7082" spans="2:36">
      <c r="B7082" s="136" t="s">
        <v>457</v>
      </c>
      <c r="C7082" s="132" t="s">
        <v>1362</v>
      </c>
      <c r="D7082" s="132" t="s">
        <v>1381</v>
      </c>
      <c r="E7082" s="508">
        <v>3.452</v>
      </c>
      <c r="F7082" s="508">
        <v>3.4219999999999997</v>
      </c>
      <c r="G7082" s="508">
        <v>3.4159999999999999</v>
      </c>
      <c r="H7082" s="508">
        <v>3.4109999999999996</v>
      </c>
      <c r="I7082" s="508">
        <v>3.3879999999999999</v>
      </c>
      <c r="J7082" s="508">
        <v>3.34</v>
      </c>
      <c r="K7082" s="508">
        <v>2.222</v>
      </c>
      <c r="L7082" s="508">
        <v>2.2189999999999999</v>
      </c>
      <c r="M7082" s="508">
        <v>2.2149999999999999</v>
      </c>
      <c r="N7082" s="508">
        <v>2.214</v>
      </c>
      <c r="O7082" s="508">
        <v>2.2130000000000001</v>
      </c>
      <c r="P7082" s="508">
        <v>2.2120000000000002</v>
      </c>
      <c r="Q7082" s="508">
        <v>2.2109999999999999</v>
      </c>
      <c r="R7082" s="508">
        <v>2.2090000000000001</v>
      </c>
      <c r="S7082" s="508">
        <v>2.21</v>
      </c>
      <c r="T7082" s="508">
        <v>2.2080000000000002</v>
      </c>
      <c r="U7082" s="508">
        <v>2.206</v>
      </c>
      <c r="V7082" s="508">
        <v>2.2050000000000001</v>
      </c>
      <c r="W7082" s="508">
        <v>1.9079999999999999</v>
      </c>
      <c r="X7082" s="508">
        <v>1.8980000000000001</v>
      </c>
      <c r="Y7082" s="508">
        <v>1.903</v>
      </c>
      <c r="Z7082" s="508">
        <v>1.9060000000000001</v>
      </c>
      <c r="AA7082" s="508">
        <v>0.63700000000000001</v>
      </c>
      <c r="AB7082" s="508">
        <v>0.63300000000000001</v>
      </c>
      <c r="AC7082" s="508">
        <v>0.64100000000000001</v>
      </c>
      <c r="AD7082" s="508">
        <v>0.49</v>
      </c>
      <c r="AE7082" s="508">
        <v>0.48799999999999999</v>
      </c>
      <c r="AF7082" s="508">
        <v>0.48099999999999998</v>
      </c>
      <c r="AG7082" s="508">
        <v>0.48</v>
      </c>
      <c r="AH7082" s="508">
        <v>0.48</v>
      </c>
      <c r="AI7082" s="492">
        <v>0.48</v>
      </c>
      <c r="AJ7082" s="485"/>
    </row>
    <row r="7083" spans="2:36">
      <c r="B7083" s="136" t="s">
        <v>458</v>
      </c>
      <c r="C7083" s="132" t="s">
        <v>1362</v>
      </c>
      <c r="D7083" s="132" t="s">
        <v>1381</v>
      </c>
      <c r="E7083" s="508">
        <v>2.1970000000000001</v>
      </c>
      <c r="F7083" s="508">
        <v>2.1719999999999997</v>
      </c>
      <c r="G7083" s="508">
        <v>2.157</v>
      </c>
      <c r="H7083" s="508">
        <v>2.149</v>
      </c>
      <c r="I7083" s="508">
        <v>2.1470000000000002</v>
      </c>
      <c r="J7083" s="508">
        <v>2.153</v>
      </c>
      <c r="K7083" s="508">
        <v>1.5949999999999998</v>
      </c>
      <c r="L7083" s="508">
        <v>1.591</v>
      </c>
      <c r="M7083" s="508">
        <v>1.6120000000000001</v>
      </c>
      <c r="N7083" s="508">
        <v>1.5909999999999997</v>
      </c>
      <c r="O7083" s="508">
        <v>1.591</v>
      </c>
      <c r="P7083" s="508">
        <v>1.597</v>
      </c>
      <c r="Q7083" s="508">
        <v>1.5880000000000001</v>
      </c>
      <c r="R7083" s="508">
        <v>1.595</v>
      </c>
      <c r="S7083" s="508">
        <v>1.581</v>
      </c>
      <c r="T7083" s="508">
        <v>1.577</v>
      </c>
      <c r="U7083" s="508">
        <v>1.5859999999999999</v>
      </c>
      <c r="V7083" s="508">
        <v>1.5899999999999999</v>
      </c>
      <c r="W7083" s="508">
        <v>1.3089999999999999</v>
      </c>
      <c r="X7083" s="508">
        <v>1.306</v>
      </c>
      <c r="Y7083" s="508">
        <v>1.3069999999999999</v>
      </c>
      <c r="Z7083" s="508">
        <v>1.3069999999999999</v>
      </c>
      <c r="AA7083" s="508">
        <v>0.33900000000000002</v>
      </c>
      <c r="AB7083" s="508">
        <v>0.33700000000000002</v>
      </c>
      <c r="AC7083" s="508">
        <v>0.34100000000000003</v>
      </c>
      <c r="AD7083" s="508">
        <v>0.25600000000000001</v>
      </c>
      <c r="AE7083" s="508">
        <v>0.255</v>
      </c>
      <c r="AF7083" s="508">
        <v>0.247</v>
      </c>
      <c r="AG7083" s="508">
        <v>0.246</v>
      </c>
      <c r="AH7083" s="508">
        <v>0.246</v>
      </c>
      <c r="AI7083" s="492">
        <v>0.246</v>
      </c>
      <c r="AJ7083" s="485"/>
    </row>
    <row r="7084" spans="2:36">
      <c r="B7084" s="136" t="s">
        <v>459</v>
      </c>
      <c r="C7084" s="132" t="s">
        <v>1362</v>
      </c>
      <c r="D7084" s="132" t="s">
        <v>1381</v>
      </c>
      <c r="E7084" s="508">
        <v>2.286</v>
      </c>
      <c r="F7084" s="508">
        <v>2.2560000000000002</v>
      </c>
      <c r="G7084" s="508">
        <v>2.2389999999999999</v>
      </c>
      <c r="H7084" s="508">
        <v>2.2269999999999999</v>
      </c>
      <c r="I7084" s="508">
        <v>2.2229999999999999</v>
      </c>
      <c r="J7084" s="508">
        <v>2.226</v>
      </c>
      <c r="K7084" s="508">
        <v>1.6360000000000001</v>
      </c>
      <c r="L7084" s="508">
        <v>1.6319999999999999</v>
      </c>
      <c r="M7084" s="508">
        <v>1.651</v>
      </c>
      <c r="N7084" s="508">
        <v>1.63</v>
      </c>
      <c r="O7084" s="508">
        <v>1.63</v>
      </c>
      <c r="P7084" s="508">
        <v>1.6360000000000001</v>
      </c>
      <c r="Q7084" s="508">
        <v>1.6269999999999998</v>
      </c>
      <c r="R7084" s="508">
        <v>1.633</v>
      </c>
      <c r="S7084" s="508">
        <v>1.619</v>
      </c>
      <c r="T7084" s="508">
        <v>1.6160000000000001</v>
      </c>
      <c r="U7084" s="508">
        <v>1.6229999999999998</v>
      </c>
      <c r="V7084" s="508">
        <v>1.6269999999999998</v>
      </c>
      <c r="W7084" s="508">
        <v>1.3460000000000001</v>
      </c>
      <c r="X7084" s="508">
        <v>1.3420000000000001</v>
      </c>
      <c r="Y7084" s="508">
        <v>1.343</v>
      </c>
      <c r="Z7084" s="508">
        <v>1.3439999999999999</v>
      </c>
      <c r="AA7084" s="508">
        <v>0.35599999999999998</v>
      </c>
      <c r="AB7084" s="508">
        <v>0.35400000000000004</v>
      </c>
      <c r="AC7084" s="508">
        <v>0.35699999999999998</v>
      </c>
      <c r="AD7084" s="508">
        <v>0.26900000000000002</v>
      </c>
      <c r="AE7084" s="508">
        <v>0.26800000000000002</v>
      </c>
      <c r="AF7084" s="508">
        <v>0.26</v>
      </c>
      <c r="AG7084" s="508">
        <v>0.26</v>
      </c>
      <c r="AH7084" s="508">
        <v>0.26</v>
      </c>
      <c r="AI7084" s="492">
        <v>0.26</v>
      </c>
      <c r="AJ7084" s="485"/>
    </row>
    <row r="7085" spans="2:36">
      <c r="B7085" s="136" t="s">
        <v>460</v>
      </c>
      <c r="C7085" s="132" t="s">
        <v>1362</v>
      </c>
      <c r="D7085" s="132" t="s">
        <v>1381</v>
      </c>
      <c r="E7085" s="508">
        <v>2.8769999999999998</v>
      </c>
      <c r="F7085" s="508">
        <v>2.8440000000000003</v>
      </c>
      <c r="G7085" s="508">
        <v>2.831</v>
      </c>
      <c r="H7085" s="508">
        <v>2.8209999999999997</v>
      </c>
      <c r="I7085" s="508">
        <v>2.8079999999999998</v>
      </c>
      <c r="J7085" s="508">
        <v>2.79</v>
      </c>
      <c r="K7085" s="508">
        <v>1.9420000000000002</v>
      </c>
      <c r="L7085" s="508">
        <v>1.9390000000000001</v>
      </c>
      <c r="M7085" s="508">
        <v>1.9490000000000001</v>
      </c>
      <c r="N7085" s="508">
        <v>1.9350000000000001</v>
      </c>
      <c r="O7085" s="508">
        <v>1.9350000000000001</v>
      </c>
      <c r="P7085" s="508">
        <v>1.9380000000000002</v>
      </c>
      <c r="Q7085" s="508">
        <v>1.9319999999999999</v>
      </c>
      <c r="R7085" s="508">
        <v>1.9350000000000001</v>
      </c>
      <c r="S7085" s="508">
        <v>1.927</v>
      </c>
      <c r="T7085" s="508">
        <v>1.9239999999999999</v>
      </c>
      <c r="U7085" s="508">
        <v>1.927</v>
      </c>
      <c r="V7085" s="508">
        <v>1.9289999999999998</v>
      </c>
      <c r="W7085" s="508">
        <v>1.65</v>
      </c>
      <c r="X7085" s="508">
        <v>1.643</v>
      </c>
      <c r="Y7085" s="508">
        <v>1.6459999999999999</v>
      </c>
      <c r="Z7085" s="508">
        <v>1.6459999999999999</v>
      </c>
      <c r="AA7085" s="508">
        <v>0.49399999999999999</v>
      </c>
      <c r="AB7085" s="508">
        <v>0.49099999999999999</v>
      </c>
      <c r="AC7085" s="508">
        <v>0.498</v>
      </c>
      <c r="AD7085" s="508">
        <v>0.377</v>
      </c>
      <c r="AE7085" s="508">
        <v>0.376</v>
      </c>
      <c r="AF7085" s="508">
        <v>0.36799999999999999</v>
      </c>
      <c r="AG7085" s="508">
        <v>0.36799999999999999</v>
      </c>
      <c r="AH7085" s="508">
        <v>0.36799999999999999</v>
      </c>
      <c r="AI7085" s="492">
        <v>0.36799999999999999</v>
      </c>
      <c r="AJ7085" s="485"/>
    </row>
    <row r="7086" spans="2:36">
      <c r="B7086" s="136" t="s">
        <v>461</v>
      </c>
      <c r="C7086" s="132" t="s">
        <v>1362</v>
      </c>
      <c r="D7086" s="132" t="s">
        <v>1381</v>
      </c>
      <c r="E7086" s="508">
        <v>2.363</v>
      </c>
      <c r="F7086" s="508">
        <v>2.327</v>
      </c>
      <c r="G7086" s="508">
        <v>2.3069999999999999</v>
      </c>
      <c r="H7086" s="508">
        <v>2.2949999999999999</v>
      </c>
      <c r="I7086" s="508">
        <v>2.2879999999999998</v>
      </c>
      <c r="J7086" s="508">
        <v>2.2880000000000003</v>
      </c>
      <c r="K7086" s="508">
        <v>1.67</v>
      </c>
      <c r="L7086" s="508">
        <v>1.665</v>
      </c>
      <c r="M7086" s="508">
        <v>1.6829999999999998</v>
      </c>
      <c r="N7086" s="508">
        <v>1.6629999999999998</v>
      </c>
      <c r="O7086" s="508">
        <v>1.6619999999999999</v>
      </c>
      <c r="P7086" s="508">
        <v>1.667</v>
      </c>
      <c r="Q7086" s="508">
        <v>1.6589999999999998</v>
      </c>
      <c r="R7086" s="508">
        <v>1.6640000000000001</v>
      </c>
      <c r="S7086" s="508">
        <v>1.651</v>
      </c>
      <c r="T7086" s="508">
        <v>1.647</v>
      </c>
      <c r="U7086" s="508">
        <v>1.6539999999999999</v>
      </c>
      <c r="V7086" s="508">
        <v>1.6579999999999999</v>
      </c>
      <c r="W7086" s="508">
        <v>1.3740000000000001</v>
      </c>
      <c r="X7086" s="508">
        <v>1.37</v>
      </c>
      <c r="Y7086" s="508">
        <v>1.37</v>
      </c>
      <c r="Z7086" s="508">
        <v>1.371</v>
      </c>
      <c r="AA7086" s="508">
        <v>0.371</v>
      </c>
      <c r="AB7086" s="508">
        <v>0.36899999999999999</v>
      </c>
      <c r="AC7086" s="508">
        <v>0.373</v>
      </c>
      <c r="AD7086" s="508">
        <v>0.28100000000000003</v>
      </c>
      <c r="AE7086" s="508">
        <v>0.28000000000000003</v>
      </c>
      <c r="AF7086" s="508">
        <v>0.27200000000000002</v>
      </c>
      <c r="AG7086" s="508">
        <v>0.27200000000000002</v>
      </c>
      <c r="AH7086" s="508">
        <v>0.27200000000000002</v>
      </c>
      <c r="AI7086" s="492">
        <v>0.27200000000000002</v>
      </c>
      <c r="AJ7086" s="485"/>
    </row>
    <row r="7087" spans="2:36">
      <c r="B7087" s="136" t="s">
        <v>462</v>
      </c>
      <c r="C7087" s="132" t="s">
        <v>1362</v>
      </c>
      <c r="D7087" s="132" t="s">
        <v>1381</v>
      </c>
      <c r="E7087" s="508">
        <v>2.613</v>
      </c>
      <c r="F7087" s="508">
        <v>2.597</v>
      </c>
      <c r="G7087" s="508">
        <v>2.5920000000000001</v>
      </c>
      <c r="H7087" s="508">
        <v>2.5880000000000001</v>
      </c>
      <c r="I7087" s="508">
        <v>2.58</v>
      </c>
      <c r="J7087" s="508">
        <v>2.569</v>
      </c>
      <c r="K7087" s="508">
        <v>1.8109999999999999</v>
      </c>
      <c r="L7087" s="508">
        <v>1.8079999999999998</v>
      </c>
      <c r="M7087" s="508">
        <v>1.823</v>
      </c>
      <c r="N7087" s="508">
        <v>1.8089999999999999</v>
      </c>
      <c r="O7087" s="508">
        <v>1.8089999999999999</v>
      </c>
      <c r="P7087" s="508">
        <v>1.8140000000000001</v>
      </c>
      <c r="Q7087" s="508">
        <v>1.8079999999999998</v>
      </c>
      <c r="R7087" s="508">
        <v>1.8109999999999999</v>
      </c>
      <c r="S7087" s="508">
        <v>1.8029999999999999</v>
      </c>
      <c r="T7087" s="508">
        <v>1.8009999999999999</v>
      </c>
      <c r="U7087" s="508">
        <v>1.806</v>
      </c>
      <c r="V7087" s="508">
        <v>1.8079999999999998</v>
      </c>
      <c r="W7087" s="508">
        <v>1.5229999999999999</v>
      </c>
      <c r="X7087" s="508">
        <v>1.5169999999999999</v>
      </c>
      <c r="Y7087" s="508">
        <v>1.5189999999999999</v>
      </c>
      <c r="Z7087" s="508">
        <v>1.5209999999999999</v>
      </c>
      <c r="AA7087" s="508">
        <v>0.44500000000000001</v>
      </c>
      <c r="AB7087" s="508">
        <v>0.442</v>
      </c>
      <c r="AC7087" s="508">
        <v>0.44800000000000001</v>
      </c>
      <c r="AD7087" s="508">
        <v>0.33899999999999997</v>
      </c>
      <c r="AE7087" s="508">
        <v>0.33699999999999997</v>
      </c>
      <c r="AF7087" s="508">
        <v>0.32999999999999996</v>
      </c>
      <c r="AG7087" s="508">
        <v>0.32899999999999996</v>
      </c>
      <c r="AH7087" s="508">
        <v>0.32899999999999996</v>
      </c>
      <c r="AI7087" s="492">
        <v>0.32899999999999996</v>
      </c>
      <c r="AJ7087" s="485"/>
    </row>
    <row r="7088" spans="2:36">
      <c r="B7088" s="136" t="s">
        <v>463</v>
      </c>
      <c r="C7088" s="132" t="s">
        <v>1362</v>
      </c>
      <c r="D7088" s="132" t="s">
        <v>1381</v>
      </c>
      <c r="E7088" s="508">
        <v>2.91</v>
      </c>
      <c r="F7088" s="508">
        <v>2.887</v>
      </c>
      <c r="G7088" s="508">
        <v>2.8809999999999998</v>
      </c>
      <c r="H7088" s="508">
        <v>2.8769999999999998</v>
      </c>
      <c r="I7088" s="508">
        <v>2.8620000000000001</v>
      </c>
      <c r="J7088" s="508">
        <v>2.835</v>
      </c>
      <c r="K7088" s="508">
        <v>1.948</v>
      </c>
      <c r="L7088" s="508">
        <v>1.9449999999999998</v>
      </c>
      <c r="M7088" s="508">
        <v>1.95</v>
      </c>
      <c r="N7088" s="508">
        <v>1.944</v>
      </c>
      <c r="O7088" s="508">
        <v>1.9430000000000001</v>
      </c>
      <c r="P7088" s="508">
        <v>1.944</v>
      </c>
      <c r="Q7088" s="508">
        <v>1.9409999999999998</v>
      </c>
      <c r="R7088" s="508">
        <v>1.9419999999999999</v>
      </c>
      <c r="S7088" s="508">
        <v>1.9369999999999998</v>
      </c>
      <c r="T7088" s="508">
        <v>1.9359999999999999</v>
      </c>
      <c r="U7088" s="508">
        <v>1.9379999999999999</v>
      </c>
      <c r="V7088" s="508">
        <v>1.9379999999999999</v>
      </c>
      <c r="W7088" s="508">
        <v>1.6440000000000001</v>
      </c>
      <c r="X7088" s="508">
        <v>1.637</v>
      </c>
      <c r="Y7088" s="508">
        <v>1.641</v>
      </c>
      <c r="Z7088" s="508">
        <v>1.6419999999999999</v>
      </c>
      <c r="AA7088" s="508">
        <v>0.51300000000000001</v>
      </c>
      <c r="AB7088" s="508">
        <v>0.51</v>
      </c>
      <c r="AC7088" s="508">
        <v>0.51600000000000001</v>
      </c>
      <c r="AD7088" s="508">
        <v>0.39299999999999996</v>
      </c>
      <c r="AE7088" s="508">
        <v>0.39199999999999996</v>
      </c>
      <c r="AF7088" s="508">
        <v>0.38399999999999995</v>
      </c>
      <c r="AG7088" s="508">
        <v>0.38399999999999995</v>
      </c>
      <c r="AH7088" s="508">
        <v>0.38399999999999995</v>
      </c>
      <c r="AI7088" s="492">
        <v>0.38399999999999995</v>
      </c>
      <c r="AJ7088" s="485"/>
    </row>
    <row r="7089" spans="2:36">
      <c r="B7089" s="136" t="s">
        <v>464</v>
      </c>
      <c r="C7089" s="132" t="s">
        <v>1362</v>
      </c>
      <c r="D7089" s="132" t="s">
        <v>1381</v>
      </c>
      <c r="E7089" s="508">
        <v>3.8810000000000002</v>
      </c>
      <c r="F7089" s="508">
        <v>3.85</v>
      </c>
      <c r="G7089" s="508">
        <v>3.8479999999999999</v>
      </c>
      <c r="H7089" s="508">
        <v>3.8449999999999998</v>
      </c>
      <c r="I7089" s="508">
        <v>3.8149999999999999</v>
      </c>
      <c r="J7089" s="508">
        <v>3.7489999999999997</v>
      </c>
      <c r="K7089" s="508">
        <v>2.4420000000000002</v>
      </c>
      <c r="L7089" s="508">
        <v>2.4390000000000001</v>
      </c>
      <c r="M7089" s="508">
        <v>2.4289999999999998</v>
      </c>
      <c r="N7089" s="508">
        <v>2.4350000000000001</v>
      </c>
      <c r="O7089" s="508">
        <v>2.4319999999999999</v>
      </c>
      <c r="P7089" s="508">
        <v>2.4290000000000003</v>
      </c>
      <c r="Q7089" s="508">
        <v>2.4300000000000002</v>
      </c>
      <c r="R7089" s="508">
        <v>2.4279999999999999</v>
      </c>
      <c r="S7089" s="508">
        <v>2.431</v>
      </c>
      <c r="T7089" s="508">
        <v>2.431</v>
      </c>
      <c r="U7089" s="508">
        <v>2.4260000000000002</v>
      </c>
      <c r="V7089" s="508">
        <v>2.423</v>
      </c>
      <c r="W7089" s="508">
        <v>2.1259999999999999</v>
      </c>
      <c r="X7089" s="508">
        <v>2.1139999999999999</v>
      </c>
      <c r="Y7089" s="508">
        <v>2.1189999999999998</v>
      </c>
      <c r="Z7089" s="508">
        <v>2.1219999999999999</v>
      </c>
      <c r="AA7089" s="508">
        <v>0.7390000000000001</v>
      </c>
      <c r="AB7089" s="508">
        <v>0.7350000000000001</v>
      </c>
      <c r="AC7089" s="508">
        <v>0.7430000000000001</v>
      </c>
      <c r="AD7089" s="508">
        <v>0.56900000000000006</v>
      </c>
      <c r="AE7089" s="508">
        <v>0.56600000000000006</v>
      </c>
      <c r="AF7089" s="508">
        <v>0.55900000000000005</v>
      </c>
      <c r="AG7089" s="508">
        <v>0.56000000000000005</v>
      </c>
      <c r="AH7089" s="508">
        <v>0.55900000000000005</v>
      </c>
      <c r="AI7089" s="492">
        <v>0.55900000000000005</v>
      </c>
      <c r="AJ7089" s="485"/>
    </row>
    <row r="7090" spans="2:36">
      <c r="B7090" s="136" t="s">
        <v>465</v>
      </c>
      <c r="C7090" s="132" t="s">
        <v>1362</v>
      </c>
      <c r="D7090" s="132" t="s">
        <v>1381</v>
      </c>
      <c r="E7090" s="508">
        <v>3.7809999999999997</v>
      </c>
      <c r="F7090" s="508">
        <v>3.7530000000000001</v>
      </c>
      <c r="G7090" s="508">
        <v>3.7519999999999998</v>
      </c>
      <c r="H7090" s="508">
        <v>3.7490000000000001</v>
      </c>
      <c r="I7090" s="508">
        <v>3.722</v>
      </c>
      <c r="J7090" s="508">
        <v>3.6630000000000003</v>
      </c>
      <c r="K7090" s="508">
        <v>2.3969999999999998</v>
      </c>
      <c r="L7090" s="508">
        <v>2.395</v>
      </c>
      <c r="M7090" s="508">
        <v>2.3879999999999999</v>
      </c>
      <c r="N7090" s="508">
        <v>2.391</v>
      </c>
      <c r="O7090" s="508">
        <v>2.3879999999999999</v>
      </c>
      <c r="P7090" s="508">
        <v>2.387</v>
      </c>
      <c r="Q7090" s="508">
        <v>2.3879999999999999</v>
      </c>
      <c r="R7090" s="508">
        <v>2.3849999999999998</v>
      </c>
      <c r="S7090" s="508">
        <v>2.3879999999999999</v>
      </c>
      <c r="T7090" s="508">
        <v>2.387</v>
      </c>
      <c r="U7090" s="508">
        <v>2.383</v>
      </c>
      <c r="V7090" s="508">
        <v>2.3810000000000002</v>
      </c>
      <c r="W7090" s="508">
        <v>2.0880000000000001</v>
      </c>
      <c r="X7090" s="508">
        <v>2.0760000000000001</v>
      </c>
      <c r="Y7090" s="508">
        <v>2.0819999999999999</v>
      </c>
      <c r="Z7090" s="508">
        <v>2.085</v>
      </c>
      <c r="AA7090" s="508">
        <v>0.71700000000000008</v>
      </c>
      <c r="AB7090" s="508">
        <v>0.71199999999999997</v>
      </c>
      <c r="AC7090" s="508">
        <v>0.72100000000000009</v>
      </c>
      <c r="AD7090" s="508">
        <v>0.55200000000000005</v>
      </c>
      <c r="AE7090" s="508">
        <v>0.54900000000000004</v>
      </c>
      <c r="AF7090" s="508">
        <v>0.54200000000000004</v>
      </c>
      <c r="AG7090" s="508">
        <v>0.54100000000000004</v>
      </c>
      <c r="AH7090" s="508">
        <v>0.54100000000000004</v>
      </c>
      <c r="AI7090" s="492">
        <v>0.54100000000000004</v>
      </c>
      <c r="AJ7090" s="485"/>
    </row>
    <row r="7091" spans="2:36">
      <c r="B7091" s="136" t="s">
        <v>466</v>
      </c>
      <c r="C7091" s="132" t="s">
        <v>1362</v>
      </c>
      <c r="D7091" s="132" t="s">
        <v>1381</v>
      </c>
      <c r="E7091" s="508">
        <v>2.8</v>
      </c>
      <c r="F7091" s="508">
        <v>2.7789999999999999</v>
      </c>
      <c r="G7091" s="508">
        <v>2.7679999999999998</v>
      </c>
      <c r="H7091" s="508">
        <v>2.762</v>
      </c>
      <c r="I7091" s="508">
        <v>2.7549999999999999</v>
      </c>
      <c r="J7091" s="508">
        <v>2.7450000000000001</v>
      </c>
      <c r="K7091" s="508">
        <v>1.925</v>
      </c>
      <c r="L7091" s="508">
        <v>1.9209999999999998</v>
      </c>
      <c r="M7091" s="508">
        <v>1.9379999999999999</v>
      </c>
      <c r="N7091" s="508">
        <v>1.9209999999999998</v>
      </c>
      <c r="O7091" s="508">
        <v>1.9219999999999999</v>
      </c>
      <c r="P7091" s="508">
        <v>1.9259999999999999</v>
      </c>
      <c r="Q7091" s="508">
        <v>1.919</v>
      </c>
      <c r="R7091" s="508">
        <v>1.9239999999999999</v>
      </c>
      <c r="S7091" s="508">
        <v>1.913</v>
      </c>
      <c r="T7091" s="508">
        <v>1.91</v>
      </c>
      <c r="U7091" s="508">
        <v>1.9159999999999999</v>
      </c>
      <c r="V7091" s="508">
        <v>1.919</v>
      </c>
      <c r="W7091" s="508">
        <v>1.651</v>
      </c>
      <c r="X7091" s="508">
        <v>1.645</v>
      </c>
      <c r="Y7091" s="508">
        <v>1.6480000000000001</v>
      </c>
      <c r="Z7091" s="508">
        <v>1.649</v>
      </c>
      <c r="AA7091" s="508">
        <v>0.48000000000000004</v>
      </c>
      <c r="AB7091" s="508">
        <v>0.47800000000000004</v>
      </c>
      <c r="AC7091" s="508">
        <v>0.48199999999999998</v>
      </c>
      <c r="AD7091" s="508">
        <v>0.36599999999999999</v>
      </c>
      <c r="AE7091" s="508">
        <v>0.36399999999999999</v>
      </c>
      <c r="AF7091" s="508">
        <v>0.35599999999999998</v>
      </c>
      <c r="AG7091" s="508">
        <v>0.35499999999999998</v>
      </c>
      <c r="AH7091" s="508">
        <v>0.35499999999999998</v>
      </c>
      <c r="AI7091" s="492">
        <v>0.35499999999999998</v>
      </c>
      <c r="AJ7091" s="485"/>
    </row>
    <row r="7092" spans="2:36">
      <c r="B7092" s="136" t="s">
        <v>467</v>
      </c>
      <c r="C7092" s="132" t="s">
        <v>1362</v>
      </c>
      <c r="D7092" s="132" t="s">
        <v>1381</v>
      </c>
      <c r="E7092" s="508">
        <v>2.5209999999999999</v>
      </c>
      <c r="F7092" s="508">
        <v>2.4889999999999999</v>
      </c>
      <c r="G7092" s="508">
        <v>2.472</v>
      </c>
      <c r="H7092" s="508">
        <v>2.4619999999999997</v>
      </c>
      <c r="I7092" s="508">
        <v>2.4529999999999998</v>
      </c>
      <c r="J7092" s="508">
        <v>2.4449999999999998</v>
      </c>
      <c r="K7092" s="508">
        <v>1.7519999999999998</v>
      </c>
      <c r="L7092" s="508">
        <v>1.748</v>
      </c>
      <c r="M7092" s="508">
        <v>1.7629999999999999</v>
      </c>
      <c r="N7092" s="508">
        <v>1.746</v>
      </c>
      <c r="O7092" s="508">
        <v>1.7450000000000001</v>
      </c>
      <c r="P7092" s="508">
        <v>1.7490000000000001</v>
      </c>
      <c r="Q7092" s="508">
        <v>1.7429999999999999</v>
      </c>
      <c r="R7092" s="508">
        <v>1.746</v>
      </c>
      <c r="S7092" s="508">
        <v>1.7349999999999999</v>
      </c>
      <c r="T7092" s="508">
        <v>1.732</v>
      </c>
      <c r="U7092" s="508">
        <v>1.738</v>
      </c>
      <c r="V7092" s="508">
        <v>1.7410000000000001</v>
      </c>
      <c r="W7092" s="508">
        <v>1.456</v>
      </c>
      <c r="X7092" s="508">
        <v>1.4510000000000001</v>
      </c>
      <c r="Y7092" s="508">
        <v>1.452</v>
      </c>
      <c r="Z7092" s="508">
        <v>1.4529999999999998</v>
      </c>
      <c r="AA7092" s="508">
        <v>0.41200000000000003</v>
      </c>
      <c r="AB7092" s="508">
        <v>0.40900000000000003</v>
      </c>
      <c r="AC7092" s="508">
        <v>0.41300000000000003</v>
      </c>
      <c r="AD7092" s="508">
        <v>0.312</v>
      </c>
      <c r="AE7092" s="508">
        <v>0.311</v>
      </c>
      <c r="AF7092" s="508">
        <v>0.30399999999999999</v>
      </c>
      <c r="AG7092" s="508">
        <v>0.30299999999999999</v>
      </c>
      <c r="AH7092" s="508">
        <v>0.30299999999999999</v>
      </c>
      <c r="AI7092" s="492">
        <v>0.30299999999999999</v>
      </c>
      <c r="AJ7092" s="485"/>
    </row>
    <row r="7093" spans="2:36">
      <c r="B7093" s="136" t="s">
        <v>468</v>
      </c>
      <c r="C7093" s="132" t="s">
        <v>1362</v>
      </c>
      <c r="D7093" s="132" t="s">
        <v>1381</v>
      </c>
      <c r="E7093" s="508">
        <v>4.32</v>
      </c>
      <c r="F7093" s="508">
        <v>4.2970000000000006</v>
      </c>
      <c r="G7093" s="508">
        <v>4.3049999999999997</v>
      </c>
      <c r="H7093" s="508">
        <v>4.3069999999999995</v>
      </c>
      <c r="I7093" s="508">
        <v>4.2720000000000002</v>
      </c>
      <c r="J7093" s="508">
        <v>4.1890000000000001</v>
      </c>
      <c r="K7093" s="508">
        <v>2.673</v>
      </c>
      <c r="L7093" s="508">
        <v>2.6719999999999997</v>
      </c>
      <c r="M7093" s="508">
        <v>2.6539999999999999</v>
      </c>
      <c r="N7093" s="508">
        <v>2.6659999999999999</v>
      </c>
      <c r="O7093" s="508">
        <v>2.665</v>
      </c>
      <c r="P7093" s="508">
        <v>2.66</v>
      </c>
      <c r="Q7093" s="508">
        <v>2.665</v>
      </c>
      <c r="R7093" s="508">
        <v>2.6589999999999998</v>
      </c>
      <c r="S7093" s="508">
        <v>2.669</v>
      </c>
      <c r="T7093" s="508">
        <v>2.669</v>
      </c>
      <c r="U7093" s="508">
        <v>2.661</v>
      </c>
      <c r="V7093" s="508">
        <v>2.657</v>
      </c>
      <c r="W7093" s="508">
        <v>2.3580000000000001</v>
      </c>
      <c r="X7093" s="508">
        <v>2.3440000000000003</v>
      </c>
      <c r="Y7093" s="508">
        <v>2.351</v>
      </c>
      <c r="Z7093" s="508">
        <v>2.355</v>
      </c>
      <c r="AA7093" s="508">
        <v>0.85000000000000009</v>
      </c>
      <c r="AB7093" s="508">
        <v>0.84400000000000008</v>
      </c>
      <c r="AC7093" s="508">
        <v>0.85600000000000009</v>
      </c>
      <c r="AD7093" s="508">
        <v>0.65700000000000003</v>
      </c>
      <c r="AE7093" s="508">
        <v>0.65300000000000002</v>
      </c>
      <c r="AF7093" s="508">
        <v>0.64700000000000002</v>
      </c>
      <c r="AG7093" s="508">
        <v>0.64600000000000002</v>
      </c>
      <c r="AH7093" s="508">
        <v>0.64600000000000002</v>
      </c>
      <c r="AI7093" s="492">
        <v>0.64600000000000002</v>
      </c>
      <c r="AJ7093" s="485"/>
    </row>
    <row r="7094" spans="2:36">
      <c r="B7094" s="136" t="s">
        <v>469</v>
      </c>
      <c r="C7094" s="132" t="s">
        <v>1362</v>
      </c>
      <c r="D7094" s="132" t="s">
        <v>1381</v>
      </c>
      <c r="E7094" s="508">
        <v>3.5739999999999998</v>
      </c>
      <c r="F7094" s="508">
        <v>3.55</v>
      </c>
      <c r="G7094" s="508">
        <v>3.55</v>
      </c>
      <c r="H7094" s="508">
        <v>3.5469999999999997</v>
      </c>
      <c r="I7094" s="508">
        <v>3.5249999999999999</v>
      </c>
      <c r="J7094" s="508">
        <v>3.4739999999999998</v>
      </c>
      <c r="K7094" s="508">
        <v>2.2969999999999997</v>
      </c>
      <c r="L7094" s="508">
        <v>2.2949999999999999</v>
      </c>
      <c r="M7094" s="508">
        <v>2.2919999999999998</v>
      </c>
      <c r="N7094" s="508">
        <v>2.2919999999999998</v>
      </c>
      <c r="O7094" s="508">
        <v>2.2909999999999999</v>
      </c>
      <c r="P7094" s="508">
        <v>2.29</v>
      </c>
      <c r="Q7094" s="508">
        <v>2.29</v>
      </c>
      <c r="R7094" s="508">
        <v>2.2879999999999998</v>
      </c>
      <c r="S7094" s="508">
        <v>2.2889999999999997</v>
      </c>
      <c r="T7094" s="508">
        <v>2.2879999999999998</v>
      </c>
      <c r="U7094" s="508">
        <v>2.2869999999999999</v>
      </c>
      <c r="V7094" s="508">
        <v>2.2850000000000001</v>
      </c>
      <c r="W7094" s="508">
        <v>1.9950000000000001</v>
      </c>
      <c r="X7094" s="508">
        <v>1.984</v>
      </c>
      <c r="Y7094" s="508">
        <v>1.9890000000000001</v>
      </c>
      <c r="Z7094" s="508">
        <v>1.992</v>
      </c>
      <c r="AA7094" s="508">
        <v>0.66900000000000004</v>
      </c>
      <c r="AB7094" s="508">
        <v>0.66500000000000004</v>
      </c>
      <c r="AC7094" s="508">
        <v>0.67300000000000004</v>
      </c>
      <c r="AD7094" s="508">
        <v>0.51400000000000001</v>
      </c>
      <c r="AE7094" s="508">
        <v>0.51200000000000001</v>
      </c>
      <c r="AF7094" s="508">
        <v>0.505</v>
      </c>
      <c r="AG7094" s="508">
        <v>0.504</v>
      </c>
      <c r="AH7094" s="508">
        <v>0.505</v>
      </c>
      <c r="AI7094" s="492">
        <v>0.505</v>
      </c>
      <c r="AJ7094" s="485"/>
    </row>
    <row r="7095" spans="2:36">
      <c r="B7095" s="136" t="s">
        <v>470</v>
      </c>
      <c r="C7095" s="132" t="s">
        <v>1362</v>
      </c>
      <c r="D7095" s="132" t="s">
        <v>1381</v>
      </c>
      <c r="E7095" s="508">
        <v>2.101</v>
      </c>
      <c r="F7095" s="508">
        <v>2.0699999999999998</v>
      </c>
      <c r="G7095" s="508">
        <v>2.0499999999999998</v>
      </c>
      <c r="H7095" s="508">
        <v>2.0379999999999998</v>
      </c>
      <c r="I7095" s="508">
        <v>2.0379999999999998</v>
      </c>
      <c r="J7095" s="508">
        <v>2.0499999999999998</v>
      </c>
      <c r="K7095" s="508">
        <v>1.548</v>
      </c>
      <c r="L7095" s="508">
        <v>1.5430000000000001</v>
      </c>
      <c r="M7095" s="508">
        <v>1.569</v>
      </c>
      <c r="N7095" s="508">
        <v>1.544</v>
      </c>
      <c r="O7095" s="508">
        <v>1.544</v>
      </c>
      <c r="P7095" s="508">
        <v>1.5509999999999999</v>
      </c>
      <c r="Q7095" s="508">
        <v>1.54</v>
      </c>
      <c r="R7095" s="508">
        <v>1.5469999999999999</v>
      </c>
      <c r="S7095" s="508">
        <v>1.5310000000000001</v>
      </c>
      <c r="T7095" s="508">
        <v>1.526</v>
      </c>
      <c r="U7095" s="508">
        <v>1.5349999999999999</v>
      </c>
      <c r="V7095" s="508">
        <v>1.5409999999999999</v>
      </c>
      <c r="W7095" s="508">
        <v>1.266</v>
      </c>
      <c r="X7095" s="508">
        <v>1.2650000000000001</v>
      </c>
      <c r="Y7095" s="508">
        <v>1.264</v>
      </c>
      <c r="Z7095" s="508">
        <v>1.2650000000000001</v>
      </c>
      <c r="AA7095" s="508">
        <v>0.31</v>
      </c>
      <c r="AB7095" s="508">
        <v>0.308</v>
      </c>
      <c r="AC7095" s="508">
        <v>0.311</v>
      </c>
      <c r="AD7095" s="508">
        <v>0.23299999999999998</v>
      </c>
      <c r="AE7095" s="508">
        <v>0.23199999999999998</v>
      </c>
      <c r="AF7095" s="508">
        <v>0.224</v>
      </c>
      <c r="AG7095" s="508">
        <v>0.223</v>
      </c>
      <c r="AH7095" s="508">
        <v>0.223</v>
      </c>
      <c r="AI7095" s="492">
        <v>0.223</v>
      </c>
      <c r="AJ7095" s="485"/>
    </row>
    <row r="7096" spans="2:36">
      <c r="B7096" s="136" t="s">
        <v>471</v>
      </c>
      <c r="C7096" s="132" t="s">
        <v>1362</v>
      </c>
      <c r="D7096" s="132" t="s">
        <v>1381</v>
      </c>
      <c r="E7096" s="508">
        <v>2.1829999999999998</v>
      </c>
      <c r="F7096" s="508">
        <v>2.1619999999999999</v>
      </c>
      <c r="G7096" s="508">
        <v>2.149</v>
      </c>
      <c r="H7096" s="508">
        <v>2.141</v>
      </c>
      <c r="I7096" s="508">
        <v>2.141</v>
      </c>
      <c r="J7096" s="508">
        <v>2.149</v>
      </c>
      <c r="K7096" s="508">
        <v>1.5939999999999999</v>
      </c>
      <c r="L7096" s="508">
        <v>1.5899999999999999</v>
      </c>
      <c r="M7096" s="508">
        <v>1.6139999999999999</v>
      </c>
      <c r="N7096" s="508">
        <v>1.5920000000000001</v>
      </c>
      <c r="O7096" s="508">
        <v>1.5909999999999997</v>
      </c>
      <c r="P7096" s="508">
        <v>1.5989999999999998</v>
      </c>
      <c r="Q7096" s="508">
        <v>1.5899999999999999</v>
      </c>
      <c r="R7096" s="508">
        <v>1.5960000000000001</v>
      </c>
      <c r="S7096" s="508">
        <v>1.581</v>
      </c>
      <c r="T7096" s="508">
        <v>1.5779999999999998</v>
      </c>
      <c r="U7096" s="508">
        <v>1.587</v>
      </c>
      <c r="V7096" s="508">
        <v>1.591</v>
      </c>
      <c r="W7096" s="508">
        <v>1.3129999999999999</v>
      </c>
      <c r="X7096" s="508">
        <v>1.3109999999999999</v>
      </c>
      <c r="Y7096" s="508">
        <v>1.3109999999999999</v>
      </c>
      <c r="Z7096" s="508">
        <v>1.3109999999999999</v>
      </c>
      <c r="AA7096" s="508">
        <v>0.33700000000000002</v>
      </c>
      <c r="AB7096" s="508">
        <v>0.33600000000000002</v>
      </c>
      <c r="AC7096" s="508">
        <v>0.33800000000000002</v>
      </c>
      <c r="AD7096" s="508">
        <v>0.255</v>
      </c>
      <c r="AE7096" s="508">
        <v>0.254</v>
      </c>
      <c r="AF7096" s="508">
        <v>0.246</v>
      </c>
      <c r="AG7096" s="508">
        <v>0.245</v>
      </c>
      <c r="AH7096" s="508">
        <v>0.245</v>
      </c>
      <c r="AI7096" s="492">
        <v>0.245</v>
      </c>
      <c r="AJ7096" s="485"/>
    </row>
    <row r="7097" spans="2:36">
      <c r="B7097" s="136" t="s">
        <v>472</v>
      </c>
      <c r="C7097" s="132" t="s">
        <v>1362</v>
      </c>
      <c r="D7097" s="132" t="s">
        <v>1381</v>
      </c>
      <c r="E7097" s="508">
        <v>3.5369999999999999</v>
      </c>
      <c r="F7097" s="508">
        <v>3.5019999999999998</v>
      </c>
      <c r="G7097" s="508">
        <v>3.4950000000000001</v>
      </c>
      <c r="H7097" s="508">
        <v>3.4899999999999998</v>
      </c>
      <c r="I7097" s="508">
        <v>3.4640000000000004</v>
      </c>
      <c r="J7097" s="508">
        <v>3.4119999999999999</v>
      </c>
      <c r="K7097" s="508">
        <v>2.2629999999999999</v>
      </c>
      <c r="L7097" s="508">
        <v>2.2589999999999999</v>
      </c>
      <c r="M7097" s="508">
        <v>2.254</v>
      </c>
      <c r="N7097" s="508">
        <v>2.254</v>
      </c>
      <c r="O7097" s="508">
        <v>2.2530000000000001</v>
      </c>
      <c r="P7097" s="508">
        <v>2.2509999999999999</v>
      </c>
      <c r="Q7097" s="508">
        <v>2.25</v>
      </c>
      <c r="R7097" s="508">
        <v>2.2489999999999997</v>
      </c>
      <c r="S7097" s="508">
        <v>2.2490000000000001</v>
      </c>
      <c r="T7097" s="508">
        <v>2.2469999999999999</v>
      </c>
      <c r="U7097" s="508">
        <v>2.2450000000000001</v>
      </c>
      <c r="V7097" s="508">
        <v>2.2429999999999999</v>
      </c>
      <c r="W7097" s="508">
        <v>1.9470000000000001</v>
      </c>
      <c r="X7097" s="508">
        <v>1.9369999999999998</v>
      </c>
      <c r="Y7097" s="508">
        <v>1.9409999999999998</v>
      </c>
      <c r="Z7097" s="508">
        <v>1.9430000000000001</v>
      </c>
      <c r="AA7097" s="508">
        <v>0.65500000000000003</v>
      </c>
      <c r="AB7097" s="508">
        <v>0.65100000000000002</v>
      </c>
      <c r="AC7097" s="508">
        <v>0.65799999999999992</v>
      </c>
      <c r="AD7097" s="508">
        <v>0.503</v>
      </c>
      <c r="AE7097" s="508">
        <v>0.501</v>
      </c>
      <c r="AF7097" s="508">
        <v>0.49399999999999999</v>
      </c>
      <c r="AG7097" s="508">
        <v>0.49299999999999999</v>
      </c>
      <c r="AH7097" s="508">
        <v>0.49399999999999999</v>
      </c>
      <c r="AI7097" s="492">
        <v>0.49399999999999999</v>
      </c>
      <c r="AJ7097" s="485"/>
    </row>
    <row r="7098" spans="2:36">
      <c r="B7098" s="136" t="s">
        <v>473</v>
      </c>
      <c r="C7098" s="132" t="s">
        <v>1362</v>
      </c>
      <c r="D7098" s="132" t="s">
        <v>1381</v>
      </c>
      <c r="E7098" s="508">
        <v>2.3769999999999998</v>
      </c>
      <c r="F7098" s="508">
        <v>2.3460000000000001</v>
      </c>
      <c r="G7098" s="508">
        <v>2.3289999999999997</v>
      </c>
      <c r="H7098" s="508">
        <v>2.3179999999999996</v>
      </c>
      <c r="I7098" s="508">
        <v>2.3149999999999999</v>
      </c>
      <c r="J7098" s="508">
        <v>2.3180000000000001</v>
      </c>
      <c r="K7098" s="508">
        <v>1.694</v>
      </c>
      <c r="L7098" s="508">
        <v>1.69</v>
      </c>
      <c r="M7098" s="508">
        <v>1.7109999999999999</v>
      </c>
      <c r="N7098" s="508">
        <v>1.6890000000000001</v>
      </c>
      <c r="O7098" s="508">
        <v>1.6890000000000001</v>
      </c>
      <c r="P7098" s="508">
        <v>1.6950000000000001</v>
      </c>
      <c r="Q7098" s="508">
        <v>1.6859999999999999</v>
      </c>
      <c r="R7098" s="508">
        <v>1.6920000000000002</v>
      </c>
      <c r="S7098" s="508">
        <v>1.677</v>
      </c>
      <c r="T7098" s="508">
        <v>1.6739999999999999</v>
      </c>
      <c r="U7098" s="508">
        <v>1.681</v>
      </c>
      <c r="V7098" s="508">
        <v>1.6859999999999999</v>
      </c>
      <c r="W7098" s="508">
        <v>1.4119999999999999</v>
      </c>
      <c r="X7098" s="508">
        <v>1.409</v>
      </c>
      <c r="Y7098" s="508">
        <v>1.409</v>
      </c>
      <c r="Z7098" s="508">
        <v>1.4100000000000001</v>
      </c>
      <c r="AA7098" s="508">
        <v>0.375</v>
      </c>
      <c r="AB7098" s="508">
        <v>0.373</v>
      </c>
      <c r="AC7098" s="508">
        <v>0.377</v>
      </c>
      <c r="AD7098" s="508">
        <v>0.28400000000000003</v>
      </c>
      <c r="AE7098" s="508">
        <v>0.28300000000000003</v>
      </c>
      <c r="AF7098" s="508">
        <v>0.27500000000000002</v>
      </c>
      <c r="AG7098" s="508">
        <v>0.27400000000000002</v>
      </c>
      <c r="AH7098" s="508">
        <v>0.27400000000000002</v>
      </c>
      <c r="AI7098" s="492">
        <v>0.27400000000000002</v>
      </c>
      <c r="AJ7098" s="485"/>
    </row>
    <row r="7099" spans="2:36">
      <c r="B7099" s="136" t="s">
        <v>474</v>
      </c>
      <c r="C7099" s="132" t="s">
        <v>1362</v>
      </c>
      <c r="D7099" s="132" t="s">
        <v>1381</v>
      </c>
      <c r="E7099" s="508">
        <v>2.8369999999999997</v>
      </c>
      <c r="F7099" s="508">
        <v>2.8170000000000002</v>
      </c>
      <c r="G7099" s="508">
        <v>2.81</v>
      </c>
      <c r="H7099" s="508">
        <v>2.8049999999999997</v>
      </c>
      <c r="I7099" s="508">
        <v>2.7949999999999999</v>
      </c>
      <c r="J7099" s="508">
        <v>2.7759999999999998</v>
      </c>
      <c r="K7099" s="508">
        <v>1.927</v>
      </c>
      <c r="L7099" s="508">
        <v>1.9239999999999999</v>
      </c>
      <c r="M7099" s="508">
        <v>1.9359999999999999</v>
      </c>
      <c r="N7099" s="508">
        <v>1.9239999999999999</v>
      </c>
      <c r="O7099" s="508">
        <v>1.9239999999999999</v>
      </c>
      <c r="P7099" s="508">
        <v>1.927</v>
      </c>
      <c r="Q7099" s="508">
        <v>1.9220000000000002</v>
      </c>
      <c r="R7099" s="508">
        <v>1.9249999999999998</v>
      </c>
      <c r="S7099" s="508">
        <v>1.917</v>
      </c>
      <c r="T7099" s="508">
        <v>1.915</v>
      </c>
      <c r="U7099" s="508">
        <v>1.919</v>
      </c>
      <c r="V7099" s="508">
        <v>1.921</v>
      </c>
      <c r="W7099" s="508">
        <v>1.6379999999999999</v>
      </c>
      <c r="X7099" s="508">
        <v>1.6320000000000001</v>
      </c>
      <c r="Y7099" s="508">
        <v>1.6339999999999999</v>
      </c>
      <c r="Z7099" s="508">
        <v>1.6360000000000001</v>
      </c>
      <c r="AA7099" s="508">
        <v>0.495</v>
      </c>
      <c r="AB7099" s="508">
        <v>0.49199999999999999</v>
      </c>
      <c r="AC7099" s="508">
        <v>0.497</v>
      </c>
      <c r="AD7099" s="508">
        <v>0.377</v>
      </c>
      <c r="AE7099" s="508">
        <v>0.375</v>
      </c>
      <c r="AF7099" s="508">
        <v>0.36799999999999999</v>
      </c>
      <c r="AG7099" s="508">
        <v>0.36699999999999999</v>
      </c>
      <c r="AH7099" s="508">
        <v>0.36699999999999999</v>
      </c>
      <c r="AI7099" s="492">
        <v>0.36699999999999999</v>
      </c>
      <c r="AJ7099" s="485"/>
    </row>
    <row r="7100" spans="2:36">
      <c r="B7100" s="136" t="s">
        <v>475</v>
      </c>
      <c r="C7100" s="132" t="s">
        <v>1362</v>
      </c>
      <c r="D7100" s="132" t="s">
        <v>1381</v>
      </c>
      <c r="E7100" s="508">
        <v>2.883</v>
      </c>
      <c r="F7100" s="508">
        <v>2.8570000000000002</v>
      </c>
      <c r="G7100" s="508">
        <v>2.8460000000000001</v>
      </c>
      <c r="H7100" s="508">
        <v>2.84</v>
      </c>
      <c r="I7100" s="508">
        <v>2.8279999999999998</v>
      </c>
      <c r="J7100" s="508">
        <v>2.8049999999999997</v>
      </c>
      <c r="K7100" s="508">
        <v>1.9409999999999998</v>
      </c>
      <c r="L7100" s="508">
        <v>1.9390000000000001</v>
      </c>
      <c r="M7100" s="508">
        <v>1.948</v>
      </c>
      <c r="N7100" s="508">
        <v>1.9359999999999999</v>
      </c>
      <c r="O7100" s="508">
        <v>1.9359999999999999</v>
      </c>
      <c r="P7100" s="508">
        <v>1.9379999999999999</v>
      </c>
      <c r="Q7100" s="508">
        <v>1.9329999999999998</v>
      </c>
      <c r="R7100" s="508">
        <v>1.9359999999999999</v>
      </c>
      <c r="S7100" s="508">
        <v>1.9289999999999998</v>
      </c>
      <c r="T7100" s="508">
        <v>1.927</v>
      </c>
      <c r="U7100" s="508">
        <v>1.9289999999999998</v>
      </c>
      <c r="V7100" s="508">
        <v>1.931</v>
      </c>
      <c r="W7100" s="508">
        <v>1.645</v>
      </c>
      <c r="X7100" s="508">
        <v>1.6379999999999999</v>
      </c>
      <c r="Y7100" s="508">
        <v>1.641</v>
      </c>
      <c r="Z7100" s="508">
        <v>1.6419999999999999</v>
      </c>
      <c r="AA7100" s="508">
        <v>0.502</v>
      </c>
      <c r="AB7100" s="508">
        <v>0.499</v>
      </c>
      <c r="AC7100" s="508">
        <v>0.504</v>
      </c>
      <c r="AD7100" s="508">
        <v>0.38300000000000001</v>
      </c>
      <c r="AE7100" s="508">
        <v>0.38200000000000001</v>
      </c>
      <c r="AF7100" s="508">
        <v>0.374</v>
      </c>
      <c r="AG7100" s="508">
        <v>0.374</v>
      </c>
      <c r="AH7100" s="508">
        <v>0.374</v>
      </c>
      <c r="AI7100" s="492">
        <v>0.374</v>
      </c>
      <c r="AJ7100" s="485"/>
    </row>
    <row r="7101" spans="2:36">
      <c r="B7101" s="136" t="s">
        <v>476</v>
      </c>
      <c r="C7101" s="132" t="s">
        <v>1362</v>
      </c>
      <c r="D7101" s="132" t="s">
        <v>1381</v>
      </c>
      <c r="E7101" s="508">
        <v>2.9539999999999997</v>
      </c>
      <c r="F7101" s="508">
        <v>2.9249999999999998</v>
      </c>
      <c r="G7101" s="508">
        <v>2.9139999999999997</v>
      </c>
      <c r="H7101" s="508">
        <v>2.907</v>
      </c>
      <c r="I7101" s="508">
        <v>2.8940000000000001</v>
      </c>
      <c r="J7101" s="508">
        <v>2.8719999999999999</v>
      </c>
      <c r="K7101" s="508">
        <v>1.9849999999999999</v>
      </c>
      <c r="L7101" s="508">
        <v>1.9819999999999998</v>
      </c>
      <c r="M7101" s="508">
        <v>1.992</v>
      </c>
      <c r="N7101" s="508">
        <v>1.98</v>
      </c>
      <c r="O7101" s="508">
        <v>1.9790000000000001</v>
      </c>
      <c r="P7101" s="508">
        <v>1.9819999999999998</v>
      </c>
      <c r="Q7101" s="508">
        <v>1.9769999999999999</v>
      </c>
      <c r="R7101" s="508">
        <v>1.98</v>
      </c>
      <c r="S7101" s="508">
        <v>1.972</v>
      </c>
      <c r="T7101" s="508">
        <v>1.97</v>
      </c>
      <c r="U7101" s="508">
        <v>1.9729999999999999</v>
      </c>
      <c r="V7101" s="508">
        <v>1.9739999999999998</v>
      </c>
      <c r="W7101" s="508">
        <v>1.6949999999999998</v>
      </c>
      <c r="X7101" s="508">
        <v>1.6879999999999999</v>
      </c>
      <c r="Y7101" s="508">
        <v>1.6909999999999998</v>
      </c>
      <c r="Z7101" s="508">
        <v>1.6930000000000001</v>
      </c>
      <c r="AA7101" s="508">
        <v>0.51600000000000001</v>
      </c>
      <c r="AB7101" s="508">
        <v>0.51300000000000001</v>
      </c>
      <c r="AC7101" s="508">
        <v>0.51800000000000002</v>
      </c>
      <c r="AD7101" s="508">
        <v>0.39399999999999996</v>
      </c>
      <c r="AE7101" s="508">
        <v>0.39199999999999996</v>
      </c>
      <c r="AF7101" s="508">
        <v>0.38399999999999995</v>
      </c>
      <c r="AG7101" s="508">
        <v>0.38299999999999995</v>
      </c>
      <c r="AH7101" s="508">
        <v>0.38299999999999995</v>
      </c>
      <c r="AI7101" s="492">
        <v>0.38299999999999995</v>
      </c>
      <c r="AJ7101" s="485"/>
    </row>
    <row r="7102" spans="2:36">
      <c r="B7102" s="136" t="s">
        <v>478</v>
      </c>
      <c r="C7102" s="132" t="s">
        <v>1362</v>
      </c>
      <c r="D7102" s="132" t="s">
        <v>1381</v>
      </c>
      <c r="E7102" s="508">
        <v>2.2690000000000001</v>
      </c>
      <c r="F7102" s="508">
        <v>2.238</v>
      </c>
      <c r="G7102" s="508">
        <v>2.2189999999999999</v>
      </c>
      <c r="H7102" s="508">
        <v>2.2069999999999999</v>
      </c>
      <c r="I7102" s="508">
        <v>2.2050000000000001</v>
      </c>
      <c r="J7102" s="508">
        <v>2.2120000000000002</v>
      </c>
      <c r="K7102" s="508">
        <v>1.6379999999999999</v>
      </c>
      <c r="L7102" s="508">
        <v>1.633</v>
      </c>
      <c r="M7102" s="508">
        <v>1.6559999999999999</v>
      </c>
      <c r="N7102" s="508">
        <v>1.6320000000000001</v>
      </c>
      <c r="O7102" s="508">
        <v>1.6319999999999999</v>
      </c>
      <c r="P7102" s="508">
        <v>1.6389999999999998</v>
      </c>
      <c r="Q7102" s="508">
        <v>1.629</v>
      </c>
      <c r="R7102" s="508">
        <v>1.6359999999999999</v>
      </c>
      <c r="S7102" s="508">
        <v>1.6189999999999998</v>
      </c>
      <c r="T7102" s="508">
        <v>1.6160000000000001</v>
      </c>
      <c r="U7102" s="508">
        <v>1.6239999999999999</v>
      </c>
      <c r="V7102" s="508">
        <v>1.629</v>
      </c>
      <c r="W7102" s="508">
        <v>1.357</v>
      </c>
      <c r="X7102" s="508">
        <v>1.3540000000000001</v>
      </c>
      <c r="Y7102" s="508">
        <v>1.355</v>
      </c>
      <c r="Z7102" s="508">
        <v>1.355</v>
      </c>
      <c r="AA7102" s="508">
        <v>0.34900000000000003</v>
      </c>
      <c r="AB7102" s="508">
        <v>0.34700000000000003</v>
      </c>
      <c r="AC7102" s="508">
        <v>0.35100000000000003</v>
      </c>
      <c r="AD7102" s="508">
        <v>0.26300000000000001</v>
      </c>
      <c r="AE7102" s="508">
        <v>0.26200000000000001</v>
      </c>
      <c r="AF7102" s="508">
        <v>0.254</v>
      </c>
      <c r="AG7102" s="508">
        <v>0.253</v>
      </c>
      <c r="AH7102" s="508">
        <v>0.254</v>
      </c>
      <c r="AI7102" s="492">
        <v>0.254</v>
      </c>
      <c r="AJ7102" s="485"/>
    </row>
    <row r="7103" spans="2:36">
      <c r="B7103" s="136" t="s">
        <v>479</v>
      </c>
      <c r="C7103" s="132" t="s">
        <v>1362</v>
      </c>
      <c r="D7103" s="132" t="s">
        <v>1381</v>
      </c>
      <c r="E7103" s="508">
        <v>3.3789999999999996</v>
      </c>
      <c r="F7103" s="508">
        <v>3.3620000000000001</v>
      </c>
      <c r="G7103" s="508">
        <v>3.3620000000000001</v>
      </c>
      <c r="H7103" s="508">
        <v>3.3609999999999998</v>
      </c>
      <c r="I7103" s="508">
        <v>3.343</v>
      </c>
      <c r="J7103" s="508">
        <v>3.302</v>
      </c>
      <c r="K7103" s="508">
        <v>2.206</v>
      </c>
      <c r="L7103" s="508">
        <v>2.2040000000000002</v>
      </c>
      <c r="M7103" s="508">
        <v>2.2050000000000001</v>
      </c>
      <c r="N7103" s="508">
        <v>2.2029999999999998</v>
      </c>
      <c r="O7103" s="508">
        <v>2.202</v>
      </c>
      <c r="P7103" s="508">
        <v>2.2029999999999998</v>
      </c>
      <c r="Q7103" s="508">
        <v>2.202</v>
      </c>
      <c r="R7103" s="508">
        <v>2.202</v>
      </c>
      <c r="S7103" s="508">
        <v>2.1989999999999998</v>
      </c>
      <c r="T7103" s="508">
        <v>2.1989999999999998</v>
      </c>
      <c r="U7103" s="508">
        <v>2.1989999999999998</v>
      </c>
      <c r="V7103" s="508">
        <v>2.1989999999999998</v>
      </c>
      <c r="W7103" s="508">
        <v>1.913</v>
      </c>
      <c r="X7103" s="508">
        <v>1.9039999999999999</v>
      </c>
      <c r="Y7103" s="508">
        <v>1.9089999999999998</v>
      </c>
      <c r="Z7103" s="508">
        <v>1.911</v>
      </c>
      <c r="AA7103" s="508">
        <v>0.62600000000000011</v>
      </c>
      <c r="AB7103" s="508">
        <v>0.62200000000000011</v>
      </c>
      <c r="AC7103" s="508">
        <v>0.63000000000000012</v>
      </c>
      <c r="AD7103" s="508">
        <v>0.48099999999999998</v>
      </c>
      <c r="AE7103" s="508">
        <v>0.47899999999999998</v>
      </c>
      <c r="AF7103" s="508">
        <v>0.47099999999999997</v>
      </c>
      <c r="AG7103" s="508">
        <v>0.47099999999999997</v>
      </c>
      <c r="AH7103" s="508">
        <v>0.47099999999999997</v>
      </c>
      <c r="AI7103" s="492">
        <v>0.47099999999999997</v>
      </c>
      <c r="AJ7103" s="485"/>
    </row>
    <row r="7104" spans="2:36">
      <c r="B7104" s="136" t="s">
        <v>480</v>
      </c>
      <c r="C7104" s="132" t="s">
        <v>1362</v>
      </c>
      <c r="D7104" s="132" t="s">
        <v>1381</v>
      </c>
      <c r="E7104" s="508">
        <v>4.0090000000000003</v>
      </c>
      <c r="F7104" s="508">
        <v>3.9790000000000001</v>
      </c>
      <c r="G7104" s="508">
        <v>3.9799999999999995</v>
      </c>
      <c r="H7104" s="508">
        <v>3.9789999999999996</v>
      </c>
      <c r="I7104" s="508">
        <v>3.9460000000000002</v>
      </c>
      <c r="J7104" s="508">
        <v>3.8759999999999999</v>
      </c>
      <c r="K7104" s="508">
        <v>2.5069999999999997</v>
      </c>
      <c r="L7104" s="508">
        <v>2.5049999999999999</v>
      </c>
      <c r="M7104" s="508">
        <v>2.4909999999999997</v>
      </c>
      <c r="N7104" s="508">
        <v>2.5</v>
      </c>
      <c r="O7104" s="508">
        <v>2.4969999999999999</v>
      </c>
      <c r="P7104" s="508">
        <v>2.4939999999999998</v>
      </c>
      <c r="Q7104" s="508">
        <v>2.4969999999999999</v>
      </c>
      <c r="R7104" s="508">
        <v>2.492</v>
      </c>
      <c r="S7104" s="508">
        <v>2.4980000000000002</v>
      </c>
      <c r="T7104" s="508">
        <v>2.4980000000000002</v>
      </c>
      <c r="U7104" s="508">
        <v>2.492</v>
      </c>
      <c r="V7104" s="508">
        <v>2.488</v>
      </c>
      <c r="W7104" s="508">
        <v>2.1890000000000001</v>
      </c>
      <c r="X7104" s="508">
        <v>2.177</v>
      </c>
      <c r="Y7104" s="508">
        <v>2.1829999999999998</v>
      </c>
      <c r="Z7104" s="508">
        <v>2.1859999999999999</v>
      </c>
      <c r="AA7104" s="508">
        <v>0.77099999999999991</v>
      </c>
      <c r="AB7104" s="508">
        <v>0.76600000000000001</v>
      </c>
      <c r="AC7104" s="508">
        <v>0.77600000000000002</v>
      </c>
      <c r="AD7104" s="508">
        <v>0.59500000000000008</v>
      </c>
      <c r="AE7104" s="508">
        <v>0.59100000000000008</v>
      </c>
      <c r="AF7104" s="508">
        <v>0.58500000000000008</v>
      </c>
      <c r="AG7104" s="508">
        <v>0.58400000000000007</v>
      </c>
      <c r="AH7104" s="508">
        <v>0.58400000000000007</v>
      </c>
      <c r="AI7104" s="492">
        <v>0.58400000000000007</v>
      </c>
      <c r="AJ7104" s="485"/>
    </row>
    <row r="7105" spans="2:36">
      <c r="B7105" s="136" t="s">
        <v>481</v>
      </c>
      <c r="C7105" s="132" t="s">
        <v>1362</v>
      </c>
      <c r="D7105" s="132" t="s">
        <v>1381</v>
      </c>
      <c r="E7105" s="508">
        <v>3.0640000000000001</v>
      </c>
      <c r="F7105" s="508">
        <v>3.0419999999999998</v>
      </c>
      <c r="G7105" s="508">
        <v>3.0369999999999999</v>
      </c>
      <c r="H7105" s="508">
        <v>3.0329999999999999</v>
      </c>
      <c r="I7105" s="508">
        <v>3.0179999999999998</v>
      </c>
      <c r="J7105" s="508">
        <v>2.9909999999999997</v>
      </c>
      <c r="K7105" s="508">
        <v>2.0430000000000001</v>
      </c>
      <c r="L7105" s="508">
        <v>2.0409999999999999</v>
      </c>
      <c r="M7105" s="508">
        <v>2.048</v>
      </c>
      <c r="N7105" s="508">
        <v>2.0389999999999997</v>
      </c>
      <c r="O7105" s="508">
        <v>2.0390000000000001</v>
      </c>
      <c r="P7105" s="508">
        <v>2.0409999999999999</v>
      </c>
      <c r="Q7105" s="508">
        <v>2.0369999999999999</v>
      </c>
      <c r="R7105" s="508">
        <v>2.0389999999999997</v>
      </c>
      <c r="S7105" s="508">
        <v>2.0329999999999999</v>
      </c>
      <c r="T7105" s="508">
        <v>2.032</v>
      </c>
      <c r="U7105" s="508">
        <v>2.0339999999999998</v>
      </c>
      <c r="V7105" s="508">
        <v>2.0350000000000001</v>
      </c>
      <c r="W7105" s="508">
        <v>1.7529999999999999</v>
      </c>
      <c r="X7105" s="508">
        <v>1.7449999999999999</v>
      </c>
      <c r="Y7105" s="508">
        <v>1.748</v>
      </c>
      <c r="Z7105" s="508">
        <v>1.75</v>
      </c>
      <c r="AA7105" s="508">
        <v>0.54699999999999993</v>
      </c>
      <c r="AB7105" s="508">
        <v>0.54400000000000004</v>
      </c>
      <c r="AC7105" s="508">
        <v>0.55099999999999993</v>
      </c>
      <c r="AD7105" s="508">
        <v>0.41899999999999998</v>
      </c>
      <c r="AE7105" s="508">
        <v>0.41699999999999998</v>
      </c>
      <c r="AF7105" s="508">
        <v>0.41</v>
      </c>
      <c r="AG7105" s="508">
        <v>0.40899999999999997</v>
      </c>
      <c r="AH7105" s="508">
        <v>0.40899999999999997</v>
      </c>
      <c r="AI7105" s="492">
        <v>0.40899999999999997</v>
      </c>
      <c r="AJ7105" s="485"/>
    </row>
    <row r="7106" spans="2:36">
      <c r="B7106" s="136" t="s">
        <v>482</v>
      </c>
      <c r="C7106" s="132" t="s">
        <v>1362</v>
      </c>
      <c r="D7106" s="132" t="s">
        <v>1381</v>
      </c>
      <c r="E7106" s="508">
        <v>2.5140000000000002</v>
      </c>
      <c r="F7106" s="508">
        <v>2.5</v>
      </c>
      <c r="G7106" s="508">
        <v>2.4940000000000002</v>
      </c>
      <c r="H7106" s="508">
        <v>2.4899999999999998</v>
      </c>
      <c r="I7106" s="508">
        <v>2.4859999999999998</v>
      </c>
      <c r="J7106" s="508">
        <v>2.4790000000000001</v>
      </c>
      <c r="K7106" s="508">
        <v>1.7650000000000001</v>
      </c>
      <c r="L7106" s="508">
        <v>1.7629999999999999</v>
      </c>
      <c r="M7106" s="508">
        <v>1.7789999999999999</v>
      </c>
      <c r="N7106" s="508">
        <v>1.7629999999999999</v>
      </c>
      <c r="O7106" s="508">
        <v>1.764</v>
      </c>
      <c r="P7106" s="508">
        <v>1.7689999999999999</v>
      </c>
      <c r="Q7106" s="508">
        <v>1.762</v>
      </c>
      <c r="R7106" s="508">
        <v>1.7679999999999998</v>
      </c>
      <c r="S7106" s="508">
        <v>1.756</v>
      </c>
      <c r="T7106" s="508">
        <v>1.754</v>
      </c>
      <c r="U7106" s="508">
        <v>1.7610000000000001</v>
      </c>
      <c r="V7106" s="508">
        <v>1.7650000000000001</v>
      </c>
      <c r="W7106" s="508">
        <v>1.482</v>
      </c>
      <c r="X7106" s="508">
        <v>1.476</v>
      </c>
      <c r="Y7106" s="508">
        <v>1.4790000000000001</v>
      </c>
      <c r="Z7106" s="508">
        <v>1.48</v>
      </c>
      <c r="AA7106" s="508">
        <v>0.42199999999999999</v>
      </c>
      <c r="AB7106" s="508">
        <v>0.42</v>
      </c>
      <c r="AC7106" s="508">
        <v>0.42499999999999999</v>
      </c>
      <c r="AD7106" s="508">
        <v>0.32100000000000001</v>
      </c>
      <c r="AE7106" s="508">
        <v>0.32</v>
      </c>
      <c r="AF7106" s="508">
        <v>0.312</v>
      </c>
      <c r="AG7106" s="508">
        <v>0.312</v>
      </c>
      <c r="AH7106" s="508">
        <v>0.312</v>
      </c>
      <c r="AI7106" s="492">
        <v>0.312</v>
      </c>
      <c r="AJ7106" s="485"/>
    </row>
    <row r="7107" spans="2:36">
      <c r="B7107" s="136" t="s">
        <v>483</v>
      </c>
      <c r="C7107" s="132" t="s">
        <v>1362</v>
      </c>
      <c r="D7107" s="132" t="s">
        <v>1381</v>
      </c>
      <c r="E7107" s="508">
        <v>2.5490000000000004</v>
      </c>
      <c r="F7107" s="508">
        <v>2.5169999999999999</v>
      </c>
      <c r="G7107" s="508">
        <v>2.5009999999999999</v>
      </c>
      <c r="H7107" s="508">
        <v>2.4889999999999999</v>
      </c>
      <c r="I7107" s="508">
        <v>2.4830000000000001</v>
      </c>
      <c r="J7107" s="508">
        <v>2.4790000000000001</v>
      </c>
      <c r="K7107" s="508">
        <v>1.7799999999999998</v>
      </c>
      <c r="L7107" s="508">
        <v>1.7749999999999999</v>
      </c>
      <c r="M7107" s="508">
        <v>1.794</v>
      </c>
      <c r="N7107" s="508">
        <v>1.774</v>
      </c>
      <c r="O7107" s="508">
        <v>1.7730000000000001</v>
      </c>
      <c r="P7107" s="508">
        <v>1.7789999999999999</v>
      </c>
      <c r="Q7107" s="508">
        <v>1.7709999999999999</v>
      </c>
      <c r="R7107" s="508">
        <v>1.776</v>
      </c>
      <c r="S7107" s="508">
        <v>1.7629999999999999</v>
      </c>
      <c r="T7107" s="508">
        <v>1.7599999999999998</v>
      </c>
      <c r="U7107" s="508">
        <v>1.766</v>
      </c>
      <c r="V7107" s="508">
        <v>1.77</v>
      </c>
      <c r="W7107" s="508">
        <v>1.496</v>
      </c>
      <c r="X7107" s="508">
        <v>1.4910000000000001</v>
      </c>
      <c r="Y7107" s="508">
        <v>1.4929999999999999</v>
      </c>
      <c r="Z7107" s="508">
        <v>1.4929999999999999</v>
      </c>
      <c r="AA7107" s="508">
        <v>0.41600000000000004</v>
      </c>
      <c r="AB7107" s="508">
        <v>0.41400000000000003</v>
      </c>
      <c r="AC7107" s="508">
        <v>0.41700000000000004</v>
      </c>
      <c r="AD7107" s="508">
        <v>0.316</v>
      </c>
      <c r="AE7107" s="508">
        <v>0.314</v>
      </c>
      <c r="AF7107" s="508">
        <v>0.30599999999999999</v>
      </c>
      <c r="AG7107" s="508">
        <v>0.30499999999999999</v>
      </c>
      <c r="AH7107" s="508">
        <v>0.30499999999999999</v>
      </c>
      <c r="AI7107" s="492">
        <v>0.30499999999999999</v>
      </c>
      <c r="AJ7107" s="485"/>
    </row>
    <row r="7108" spans="2:36">
      <c r="B7108" s="136" t="s">
        <v>484</v>
      </c>
      <c r="C7108" s="132" t="s">
        <v>1362</v>
      </c>
      <c r="D7108" s="132" t="s">
        <v>1381</v>
      </c>
      <c r="E7108" s="508">
        <v>3.5590000000000002</v>
      </c>
      <c r="F7108" s="508">
        <v>3.5279999999999996</v>
      </c>
      <c r="G7108" s="508">
        <v>3.524</v>
      </c>
      <c r="H7108" s="508">
        <v>3.5189999999999997</v>
      </c>
      <c r="I7108" s="508">
        <v>3.4940000000000002</v>
      </c>
      <c r="J7108" s="508">
        <v>3.44</v>
      </c>
      <c r="K7108" s="508">
        <v>2.2759999999999998</v>
      </c>
      <c r="L7108" s="508">
        <v>2.2729999999999997</v>
      </c>
      <c r="M7108" s="508">
        <v>2.2679999999999998</v>
      </c>
      <c r="N7108" s="508">
        <v>2.2679999999999998</v>
      </c>
      <c r="O7108" s="508">
        <v>2.2669999999999999</v>
      </c>
      <c r="P7108" s="508">
        <v>2.2650000000000001</v>
      </c>
      <c r="Q7108" s="508">
        <v>2.2649999999999997</v>
      </c>
      <c r="R7108" s="508">
        <v>2.2629999999999999</v>
      </c>
      <c r="S7108" s="508">
        <v>2.2639999999999998</v>
      </c>
      <c r="T7108" s="508">
        <v>2.2629999999999999</v>
      </c>
      <c r="U7108" s="508">
        <v>2.2599999999999998</v>
      </c>
      <c r="V7108" s="508">
        <v>2.258</v>
      </c>
      <c r="W7108" s="508">
        <v>1.9610000000000001</v>
      </c>
      <c r="X7108" s="508">
        <v>1.9510000000000001</v>
      </c>
      <c r="Y7108" s="508">
        <v>1.956</v>
      </c>
      <c r="Z7108" s="508">
        <v>1.9590000000000001</v>
      </c>
      <c r="AA7108" s="508">
        <v>0.66300000000000003</v>
      </c>
      <c r="AB7108" s="508">
        <v>0.65799999999999992</v>
      </c>
      <c r="AC7108" s="508">
        <v>0.66599999999999993</v>
      </c>
      <c r="AD7108" s="508">
        <v>0.51</v>
      </c>
      <c r="AE7108" s="508">
        <v>0.50700000000000001</v>
      </c>
      <c r="AF7108" s="508">
        <v>0.5</v>
      </c>
      <c r="AG7108" s="508">
        <v>0.5</v>
      </c>
      <c r="AH7108" s="508">
        <v>0.5</v>
      </c>
      <c r="AI7108" s="492">
        <v>0.5</v>
      </c>
      <c r="AJ7108" s="485"/>
    </row>
    <row r="7109" spans="2:36">
      <c r="B7109" s="136" t="s">
        <v>486</v>
      </c>
      <c r="C7109" s="132" t="s">
        <v>1362</v>
      </c>
      <c r="D7109" s="132" t="s">
        <v>1381</v>
      </c>
      <c r="E7109" s="508">
        <v>2.9169999999999998</v>
      </c>
      <c r="F7109" s="508">
        <v>2.8940000000000001</v>
      </c>
      <c r="G7109" s="508">
        <v>2.8860000000000001</v>
      </c>
      <c r="H7109" s="508">
        <v>2.8810000000000002</v>
      </c>
      <c r="I7109" s="508">
        <v>2.8689999999999998</v>
      </c>
      <c r="J7109" s="508">
        <v>2.847</v>
      </c>
      <c r="K7109" s="508">
        <v>1.9670000000000001</v>
      </c>
      <c r="L7109" s="508">
        <v>1.964</v>
      </c>
      <c r="M7109" s="508">
        <v>1.974</v>
      </c>
      <c r="N7109" s="508">
        <v>1.962</v>
      </c>
      <c r="O7109" s="508">
        <v>1.962</v>
      </c>
      <c r="P7109" s="508">
        <v>1.966</v>
      </c>
      <c r="Q7109" s="508">
        <v>1.96</v>
      </c>
      <c r="R7109" s="508">
        <v>1.9630000000000001</v>
      </c>
      <c r="S7109" s="508">
        <v>1.956</v>
      </c>
      <c r="T7109" s="508">
        <v>1.954</v>
      </c>
      <c r="U7109" s="508">
        <v>1.9569999999999999</v>
      </c>
      <c r="V7109" s="508">
        <v>1.9589999999999999</v>
      </c>
      <c r="W7109" s="508">
        <v>1.6759999999999999</v>
      </c>
      <c r="X7109" s="508">
        <v>1.669</v>
      </c>
      <c r="Y7109" s="508">
        <v>1.6719999999999999</v>
      </c>
      <c r="Z7109" s="508">
        <v>1.6739999999999999</v>
      </c>
      <c r="AA7109" s="508">
        <v>0.51100000000000001</v>
      </c>
      <c r="AB7109" s="508">
        <v>0.50800000000000001</v>
      </c>
      <c r="AC7109" s="508">
        <v>0.51400000000000001</v>
      </c>
      <c r="AD7109" s="508">
        <v>0.39099999999999996</v>
      </c>
      <c r="AE7109" s="508">
        <v>0.38900000000000001</v>
      </c>
      <c r="AF7109" s="508">
        <v>0.38100000000000001</v>
      </c>
      <c r="AG7109" s="508">
        <v>0.38</v>
      </c>
      <c r="AH7109" s="508">
        <v>0.38</v>
      </c>
      <c r="AI7109" s="492">
        <v>0.38</v>
      </c>
      <c r="AJ7109" s="485"/>
    </row>
    <row r="7110" spans="2:36">
      <c r="B7110" s="136" t="s">
        <v>487</v>
      </c>
      <c r="C7110" s="132" t="s">
        <v>1362</v>
      </c>
      <c r="D7110" s="132" t="s">
        <v>1381</v>
      </c>
      <c r="E7110" s="508">
        <v>2.9450000000000003</v>
      </c>
      <c r="F7110" s="508">
        <v>2.9159999999999999</v>
      </c>
      <c r="G7110" s="508">
        <v>2.9059999999999997</v>
      </c>
      <c r="H7110" s="508">
        <v>2.899</v>
      </c>
      <c r="I7110" s="508">
        <v>2.8849999999999998</v>
      </c>
      <c r="J7110" s="508">
        <v>2.8620000000000001</v>
      </c>
      <c r="K7110" s="508">
        <v>1.976</v>
      </c>
      <c r="L7110" s="508">
        <v>1.9729999999999999</v>
      </c>
      <c r="M7110" s="508">
        <v>1.9809999999999999</v>
      </c>
      <c r="N7110" s="508">
        <v>1.97</v>
      </c>
      <c r="O7110" s="508">
        <v>1.97</v>
      </c>
      <c r="P7110" s="508">
        <v>1.972</v>
      </c>
      <c r="Q7110" s="508">
        <v>1.9670000000000001</v>
      </c>
      <c r="R7110" s="508">
        <v>1.9699999999999998</v>
      </c>
      <c r="S7110" s="508">
        <v>1.9630000000000001</v>
      </c>
      <c r="T7110" s="508">
        <v>1.9609999999999999</v>
      </c>
      <c r="U7110" s="508">
        <v>1.9630000000000001</v>
      </c>
      <c r="V7110" s="508">
        <v>1.9649999999999999</v>
      </c>
      <c r="W7110" s="508">
        <v>1.6819999999999999</v>
      </c>
      <c r="X7110" s="508">
        <v>1.6739999999999999</v>
      </c>
      <c r="Y7110" s="508">
        <v>1.6779999999999999</v>
      </c>
      <c r="Z7110" s="508">
        <v>1.6789999999999998</v>
      </c>
      <c r="AA7110" s="508">
        <v>0.51400000000000001</v>
      </c>
      <c r="AB7110" s="508">
        <v>0.51100000000000001</v>
      </c>
      <c r="AC7110" s="508">
        <v>0.51800000000000002</v>
      </c>
      <c r="AD7110" s="508">
        <v>0.39299999999999996</v>
      </c>
      <c r="AE7110" s="508">
        <v>0.39199999999999996</v>
      </c>
      <c r="AF7110" s="508">
        <v>0.38399999999999995</v>
      </c>
      <c r="AG7110" s="508">
        <v>0.38399999999999995</v>
      </c>
      <c r="AH7110" s="508">
        <v>0.38399999999999995</v>
      </c>
      <c r="AI7110" s="492">
        <v>0.38399999999999995</v>
      </c>
      <c r="AJ7110" s="485"/>
    </row>
    <row r="7111" spans="2:36">
      <c r="B7111" s="136" t="s">
        <v>488</v>
      </c>
      <c r="C7111" s="132" t="s">
        <v>1362</v>
      </c>
      <c r="D7111" s="132" t="s">
        <v>1381</v>
      </c>
      <c r="E7111" s="508">
        <v>3.3239999999999998</v>
      </c>
      <c r="F7111" s="508">
        <v>3.2990000000000004</v>
      </c>
      <c r="G7111" s="508">
        <v>3.2959999999999998</v>
      </c>
      <c r="H7111" s="508">
        <v>3.2930000000000001</v>
      </c>
      <c r="I7111" s="508">
        <v>3.2719999999999998</v>
      </c>
      <c r="J7111" s="508">
        <v>3.23</v>
      </c>
      <c r="K7111" s="508">
        <v>2.1630000000000003</v>
      </c>
      <c r="L7111" s="508">
        <v>2.16</v>
      </c>
      <c r="M7111" s="508">
        <v>2.16</v>
      </c>
      <c r="N7111" s="508">
        <v>2.1579999999999999</v>
      </c>
      <c r="O7111" s="508">
        <v>2.1560000000000001</v>
      </c>
      <c r="P7111" s="508">
        <v>2.1559999999999997</v>
      </c>
      <c r="Q7111" s="508">
        <v>2.1549999999999998</v>
      </c>
      <c r="R7111" s="508">
        <v>2.1539999999999999</v>
      </c>
      <c r="S7111" s="508">
        <v>2.153</v>
      </c>
      <c r="T7111" s="508">
        <v>2.1520000000000001</v>
      </c>
      <c r="U7111" s="508">
        <v>2.1509999999999998</v>
      </c>
      <c r="V7111" s="508">
        <v>2.15</v>
      </c>
      <c r="W7111" s="508">
        <v>1.8570000000000002</v>
      </c>
      <c r="X7111" s="508">
        <v>1.847</v>
      </c>
      <c r="Y7111" s="508">
        <v>1.8520000000000001</v>
      </c>
      <c r="Z7111" s="508">
        <v>1.8540000000000001</v>
      </c>
      <c r="AA7111" s="508">
        <v>0.6100000000000001</v>
      </c>
      <c r="AB7111" s="508">
        <v>0.60699999999999998</v>
      </c>
      <c r="AC7111" s="508">
        <v>0.6140000000000001</v>
      </c>
      <c r="AD7111" s="508">
        <v>0.46899999999999997</v>
      </c>
      <c r="AE7111" s="508">
        <v>0.46699999999999997</v>
      </c>
      <c r="AF7111" s="508">
        <v>0.45999999999999996</v>
      </c>
      <c r="AG7111" s="508">
        <v>0.45899999999999996</v>
      </c>
      <c r="AH7111" s="508">
        <v>0.45899999999999996</v>
      </c>
      <c r="AI7111" s="492">
        <v>0.45899999999999996</v>
      </c>
      <c r="AJ7111" s="485"/>
    </row>
    <row r="7112" spans="2:36">
      <c r="B7112" s="136" t="s">
        <v>489</v>
      </c>
      <c r="C7112" s="132" t="s">
        <v>1362</v>
      </c>
      <c r="D7112" s="132" t="s">
        <v>1381</v>
      </c>
      <c r="E7112" s="508">
        <v>2.9569999999999999</v>
      </c>
      <c r="F7112" s="508">
        <v>2.9260000000000002</v>
      </c>
      <c r="G7112" s="508">
        <v>2.9139999999999997</v>
      </c>
      <c r="H7112" s="508">
        <v>2.9050000000000002</v>
      </c>
      <c r="I7112" s="508">
        <v>2.8889999999999998</v>
      </c>
      <c r="J7112" s="508">
        <v>2.8639999999999999</v>
      </c>
      <c r="K7112" s="508">
        <v>1.974</v>
      </c>
      <c r="L7112" s="508">
        <v>1.9710000000000001</v>
      </c>
      <c r="M7112" s="508">
        <v>1.9769999999999999</v>
      </c>
      <c r="N7112" s="508">
        <v>1.9670000000000001</v>
      </c>
      <c r="O7112" s="508">
        <v>1.9670000000000001</v>
      </c>
      <c r="P7112" s="508">
        <v>1.9689999999999999</v>
      </c>
      <c r="Q7112" s="508">
        <v>1.9630000000000001</v>
      </c>
      <c r="R7112" s="508">
        <v>1.966</v>
      </c>
      <c r="S7112" s="508">
        <v>1.9590000000000001</v>
      </c>
      <c r="T7112" s="508">
        <v>1.9569999999999999</v>
      </c>
      <c r="U7112" s="508">
        <v>1.9590000000000001</v>
      </c>
      <c r="V7112" s="508">
        <v>1.96</v>
      </c>
      <c r="W7112" s="508">
        <v>1.6719999999999999</v>
      </c>
      <c r="X7112" s="508">
        <v>1.665</v>
      </c>
      <c r="Y7112" s="508">
        <v>1.6669999999999998</v>
      </c>
      <c r="Z7112" s="508">
        <v>1.669</v>
      </c>
      <c r="AA7112" s="508">
        <v>0.51600000000000001</v>
      </c>
      <c r="AB7112" s="508">
        <v>0.51300000000000001</v>
      </c>
      <c r="AC7112" s="508">
        <v>0.51800000000000002</v>
      </c>
      <c r="AD7112" s="508">
        <v>0.39399999999999996</v>
      </c>
      <c r="AE7112" s="508">
        <v>0.39299999999999996</v>
      </c>
      <c r="AF7112" s="508">
        <v>0.38599999999999995</v>
      </c>
      <c r="AG7112" s="508">
        <v>0.38499999999999995</v>
      </c>
      <c r="AH7112" s="508">
        <v>0.38499999999999995</v>
      </c>
      <c r="AI7112" s="492">
        <v>0.38499999999999995</v>
      </c>
      <c r="AJ7112" s="485"/>
    </row>
    <row r="7113" spans="2:36">
      <c r="B7113" s="136" t="s">
        <v>490</v>
      </c>
      <c r="C7113" s="132" t="s">
        <v>1362</v>
      </c>
      <c r="D7113" s="132" t="s">
        <v>1381</v>
      </c>
      <c r="E7113" s="508">
        <v>4.3659999999999997</v>
      </c>
      <c r="F7113" s="508">
        <v>4.3339999999999996</v>
      </c>
      <c r="G7113" s="508">
        <v>4.3380000000000001</v>
      </c>
      <c r="H7113" s="508">
        <v>4.3369999999999997</v>
      </c>
      <c r="I7113" s="508">
        <v>4.3</v>
      </c>
      <c r="J7113" s="508">
        <v>4.2160000000000002</v>
      </c>
      <c r="K7113" s="508">
        <v>2.6920000000000002</v>
      </c>
      <c r="L7113" s="508">
        <v>2.69</v>
      </c>
      <c r="M7113" s="508">
        <v>2.67</v>
      </c>
      <c r="N7113" s="508">
        <v>2.6829999999999998</v>
      </c>
      <c r="O7113" s="508">
        <v>2.68</v>
      </c>
      <c r="P7113" s="508">
        <v>2.6760000000000002</v>
      </c>
      <c r="Q7113" s="508">
        <v>2.68</v>
      </c>
      <c r="R7113" s="508">
        <v>2.673</v>
      </c>
      <c r="S7113" s="508">
        <v>2.6829999999999998</v>
      </c>
      <c r="T7113" s="508">
        <v>2.6819999999999999</v>
      </c>
      <c r="U7113" s="508">
        <v>2.6749999999999998</v>
      </c>
      <c r="V7113" s="508">
        <v>2.67</v>
      </c>
      <c r="W7113" s="508">
        <v>2.371</v>
      </c>
      <c r="X7113" s="508">
        <v>2.3570000000000002</v>
      </c>
      <c r="Y7113" s="508">
        <v>2.3639999999999999</v>
      </c>
      <c r="Z7113" s="508">
        <v>2.3680000000000003</v>
      </c>
      <c r="AA7113" s="508">
        <v>0.85499999999999998</v>
      </c>
      <c r="AB7113" s="508">
        <v>0.84899999999999998</v>
      </c>
      <c r="AC7113" s="508">
        <v>0.86099999999999999</v>
      </c>
      <c r="AD7113" s="508">
        <v>0.66100000000000003</v>
      </c>
      <c r="AE7113" s="508">
        <v>0.65700000000000003</v>
      </c>
      <c r="AF7113" s="508">
        <v>0.65100000000000002</v>
      </c>
      <c r="AG7113" s="508">
        <v>0.65</v>
      </c>
      <c r="AH7113" s="508">
        <v>0.65</v>
      </c>
      <c r="AI7113" s="492">
        <v>0.65</v>
      </c>
      <c r="AJ7113" s="485"/>
    </row>
    <row r="7114" spans="2:36">
      <c r="B7114" s="136" t="s">
        <v>435</v>
      </c>
      <c r="C7114" s="132" t="s">
        <v>1363</v>
      </c>
      <c r="D7114" s="132" t="s">
        <v>1381</v>
      </c>
      <c r="E7114" s="508">
        <v>1.286</v>
      </c>
      <c r="F7114" s="508">
        <v>1.2350000000000001</v>
      </c>
      <c r="G7114" s="508">
        <v>1.2410000000000001</v>
      </c>
      <c r="H7114" s="508">
        <v>1.1659999999999999</v>
      </c>
      <c r="I7114" s="508">
        <v>1.155</v>
      </c>
      <c r="J7114" s="508">
        <v>1.1759999999999999</v>
      </c>
      <c r="K7114" s="508">
        <v>1.121</v>
      </c>
      <c r="L7114" s="508">
        <v>1.1579999999999999</v>
      </c>
      <c r="M7114" s="508">
        <v>1.097</v>
      </c>
      <c r="N7114" s="508">
        <v>1.1319999999999999</v>
      </c>
      <c r="O7114" s="508">
        <v>1.1100000000000001</v>
      </c>
      <c r="P7114" s="508">
        <v>1.109</v>
      </c>
      <c r="Q7114" s="508">
        <v>1.0629999999999999</v>
      </c>
      <c r="R7114" s="508">
        <v>1.085</v>
      </c>
      <c r="S7114" s="508">
        <v>1.0920000000000001</v>
      </c>
      <c r="T7114" s="508">
        <v>1.0940000000000001</v>
      </c>
      <c r="U7114" s="508">
        <v>1.0720000000000001</v>
      </c>
      <c r="V7114" s="508">
        <v>1.1839999999999999</v>
      </c>
      <c r="W7114" s="508">
        <v>0.77100000000000002</v>
      </c>
      <c r="X7114" s="508">
        <v>0.78200000000000003</v>
      </c>
      <c r="Y7114" s="508">
        <v>0.77300000000000002</v>
      </c>
      <c r="Z7114" s="508">
        <v>0.76800000000000002</v>
      </c>
      <c r="AA7114" s="508">
        <v>7.8E-2</v>
      </c>
      <c r="AB7114" s="508">
        <v>7.9000000000000001E-2</v>
      </c>
      <c r="AC7114" s="508">
        <v>7.5999999999999998E-2</v>
      </c>
      <c r="AD7114" s="508">
        <v>0.05</v>
      </c>
      <c r="AE7114" s="508">
        <v>0.05</v>
      </c>
      <c r="AF7114" s="508">
        <v>4.1000000000000002E-2</v>
      </c>
      <c r="AG7114" s="508">
        <v>4.1000000000000002E-2</v>
      </c>
      <c r="AH7114" s="508">
        <v>4.1000000000000002E-2</v>
      </c>
      <c r="AI7114" s="492">
        <v>4.1000000000000002E-2</v>
      </c>
      <c r="AJ7114" s="485"/>
    </row>
    <row r="7115" spans="2:36">
      <c r="B7115" s="136" t="s">
        <v>436</v>
      </c>
      <c r="C7115" s="132" t="s">
        <v>1363</v>
      </c>
      <c r="D7115" s="132" t="s">
        <v>1381</v>
      </c>
      <c r="E7115" s="508">
        <v>1.607</v>
      </c>
      <c r="F7115" s="508">
        <v>1.462</v>
      </c>
      <c r="G7115" s="508">
        <v>1.409</v>
      </c>
      <c r="H7115" s="508">
        <v>1.3029999999999999</v>
      </c>
      <c r="I7115" s="508">
        <v>1.2669999999999999</v>
      </c>
      <c r="J7115" s="508">
        <v>1.2649999999999999</v>
      </c>
      <c r="K7115" s="508">
        <v>1.2</v>
      </c>
      <c r="L7115" s="508">
        <v>1.2210000000000001</v>
      </c>
      <c r="M7115" s="508">
        <v>1.1559999999999999</v>
      </c>
      <c r="N7115" s="508">
        <v>1.18</v>
      </c>
      <c r="O7115" s="508">
        <v>1.153</v>
      </c>
      <c r="P7115" s="508">
        <v>1.1459999999999999</v>
      </c>
      <c r="Q7115" s="508">
        <v>1.099</v>
      </c>
      <c r="R7115" s="508">
        <v>1.1140000000000001</v>
      </c>
      <c r="S7115" s="508">
        <v>1.1160000000000001</v>
      </c>
      <c r="T7115" s="508">
        <v>1.103</v>
      </c>
      <c r="U7115" s="508">
        <v>1.0740000000000001</v>
      </c>
      <c r="V7115" s="508">
        <v>1.17</v>
      </c>
      <c r="W7115" s="508">
        <v>0.753</v>
      </c>
      <c r="X7115" s="508">
        <v>0.76</v>
      </c>
      <c r="Y7115" s="508">
        <v>0.75</v>
      </c>
      <c r="Z7115" s="508">
        <v>0.74199999999999999</v>
      </c>
      <c r="AA7115" s="508">
        <v>8.2000000000000003E-2</v>
      </c>
      <c r="AB7115" s="508">
        <v>8.2000000000000003E-2</v>
      </c>
      <c r="AC7115" s="508">
        <v>7.9000000000000001E-2</v>
      </c>
      <c r="AD7115" s="508">
        <v>5.3999999999999999E-2</v>
      </c>
      <c r="AE7115" s="508">
        <v>5.2999999999999999E-2</v>
      </c>
      <c r="AF7115" s="508">
        <v>4.4999999999999998E-2</v>
      </c>
      <c r="AG7115" s="508">
        <v>4.3999999999999997E-2</v>
      </c>
      <c r="AH7115" s="508">
        <v>4.3999999999999997E-2</v>
      </c>
      <c r="AI7115" s="492">
        <v>4.3999999999999997E-2</v>
      </c>
      <c r="AJ7115" s="485"/>
    </row>
    <row r="7116" spans="2:36">
      <c r="B7116" s="136" t="s">
        <v>437</v>
      </c>
      <c r="C7116" s="132" t="s">
        <v>1363</v>
      </c>
      <c r="D7116" s="132" t="s">
        <v>1381</v>
      </c>
      <c r="E7116" s="508">
        <v>1.2410000000000001</v>
      </c>
      <c r="F7116" s="508">
        <v>1.2030000000000001</v>
      </c>
      <c r="G7116" s="508">
        <v>1.2170000000000001</v>
      </c>
      <c r="H7116" s="508">
        <v>1.147</v>
      </c>
      <c r="I7116" s="508">
        <v>1.139</v>
      </c>
      <c r="J7116" s="508">
        <v>1.163</v>
      </c>
      <c r="K7116" s="508">
        <v>1.1100000000000001</v>
      </c>
      <c r="L7116" s="508">
        <v>1.1479999999999999</v>
      </c>
      <c r="M7116" s="508">
        <v>1.0880000000000001</v>
      </c>
      <c r="N7116" s="508">
        <v>1.125</v>
      </c>
      <c r="O7116" s="508">
        <v>1.1040000000000001</v>
      </c>
      <c r="P7116" s="508">
        <v>1.103</v>
      </c>
      <c r="Q7116" s="508">
        <v>1.0580000000000001</v>
      </c>
      <c r="R7116" s="508">
        <v>1.081</v>
      </c>
      <c r="S7116" s="508">
        <v>1.0880000000000001</v>
      </c>
      <c r="T7116" s="508">
        <v>1.0920000000000001</v>
      </c>
      <c r="U7116" s="508">
        <v>1.071</v>
      </c>
      <c r="V7116" s="508">
        <v>1.1850000000000001</v>
      </c>
      <c r="W7116" s="508">
        <v>0.77200000000000002</v>
      </c>
      <c r="X7116" s="508">
        <v>0.78400000000000003</v>
      </c>
      <c r="Y7116" s="508">
        <v>0.77500000000000002</v>
      </c>
      <c r="Z7116" s="508">
        <v>0.77</v>
      </c>
      <c r="AA7116" s="508">
        <v>7.8E-2</v>
      </c>
      <c r="AB7116" s="508">
        <v>7.8E-2</v>
      </c>
      <c r="AC7116" s="508">
        <v>7.5999999999999998E-2</v>
      </c>
      <c r="AD7116" s="508">
        <v>4.9000000000000002E-2</v>
      </c>
      <c r="AE7116" s="508">
        <v>4.9000000000000002E-2</v>
      </c>
      <c r="AF7116" s="508">
        <v>4.1000000000000002E-2</v>
      </c>
      <c r="AG7116" s="508">
        <v>0.04</v>
      </c>
      <c r="AH7116" s="508">
        <v>0.04</v>
      </c>
      <c r="AI7116" s="492">
        <v>0.04</v>
      </c>
      <c r="AJ7116" s="485"/>
    </row>
    <row r="7117" spans="2:36">
      <c r="B7117" s="136" t="s">
        <v>438</v>
      </c>
      <c r="C7117" s="132" t="s">
        <v>1363</v>
      </c>
      <c r="D7117" s="132" t="s">
        <v>1381</v>
      </c>
      <c r="E7117" s="508">
        <v>1.248</v>
      </c>
      <c r="F7117" s="508">
        <v>1.194</v>
      </c>
      <c r="G7117" s="508">
        <v>1.1950000000000001</v>
      </c>
      <c r="H7117" s="508">
        <v>1.125</v>
      </c>
      <c r="I7117" s="508">
        <v>1.113</v>
      </c>
      <c r="J7117" s="508">
        <v>1.129</v>
      </c>
      <c r="K7117" s="508">
        <v>1.079</v>
      </c>
      <c r="L7117" s="508">
        <v>1.111</v>
      </c>
      <c r="M7117" s="508">
        <v>1.056</v>
      </c>
      <c r="N7117" s="508">
        <v>1.087</v>
      </c>
      <c r="O7117" s="508">
        <v>1.0669999999999999</v>
      </c>
      <c r="P7117" s="508">
        <v>1.0649999999999999</v>
      </c>
      <c r="Q7117" s="508">
        <v>1.024</v>
      </c>
      <c r="R7117" s="508">
        <v>1.0429999999999999</v>
      </c>
      <c r="S7117" s="508">
        <v>1.048</v>
      </c>
      <c r="T7117" s="508">
        <v>1.0489999999999999</v>
      </c>
      <c r="U7117" s="508">
        <v>1.0289999999999999</v>
      </c>
      <c r="V7117" s="508">
        <v>1.1279999999999999</v>
      </c>
      <c r="W7117" s="508">
        <v>0.71699999999999997</v>
      </c>
      <c r="X7117" s="508">
        <v>0.72699999999999998</v>
      </c>
      <c r="Y7117" s="508">
        <v>0.71799999999999997</v>
      </c>
      <c r="Z7117" s="508">
        <v>0.71299999999999997</v>
      </c>
      <c r="AA7117" s="508">
        <v>7.2999999999999995E-2</v>
      </c>
      <c r="AB7117" s="508">
        <v>7.3999999999999996E-2</v>
      </c>
      <c r="AC7117" s="508">
        <v>7.0999999999999994E-2</v>
      </c>
      <c r="AD7117" s="508">
        <v>4.7E-2</v>
      </c>
      <c r="AE7117" s="508">
        <v>4.5999999999999999E-2</v>
      </c>
      <c r="AF7117" s="508">
        <v>3.9E-2</v>
      </c>
      <c r="AG7117" s="508">
        <v>3.7999999999999999E-2</v>
      </c>
      <c r="AH7117" s="508">
        <v>3.7999999999999999E-2</v>
      </c>
      <c r="AI7117" s="492">
        <v>3.7999999999999999E-2</v>
      </c>
      <c r="AJ7117" s="485"/>
    </row>
    <row r="7118" spans="2:36">
      <c r="B7118" s="136" t="s">
        <v>439</v>
      </c>
      <c r="C7118" s="132" t="s">
        <v>1363</v>
      </c>
      <c r="D7118" s="132" t="s">
        <v>1381</v>
      </c>
      <c r="E7118" s="508">
        <v>1.319</v>
      </c>
      <c r="F7118" s="508">
        <v>1.262</v>
      </c>
      <c r="G7118" s="508">
        <v>1.266</v>
      </c>
      <c r="H7118" s="508">
        <v>1.1870000000000001</v>
      </c>
      <c r="I7118" s="508">
        <v>1.175</v>
      </c>
      <c r="J7118" s="508">
        <v>1.1950000000000001</v>
      </c>
      <c r="K7118" s="508">
        <v>1.1379999999999999</v>
      </c>
      <c r="L7118" s="508">
        <v>1.175</v>
      </c>
      <c r="M7118" s="508">
        <v>1.1120000000000001</v>
      </c>
      <c r="N7118" s="508">
        <v>1.1479999999999999</v>
      </c>
      <c r="O7118" s="508">
        <v>1.125</v>
      </c>
      <c r="P7118" s="508">
        <v>1.1240000000000001</v>
      </c>
      <c r="Q7118" s="508">
        <v>1.0760000000000001</v>
      </c>
      <c r="R7118" s="508">
        <v>1.099</v>
      </c>
      <c r="S7118" s="508">
        <v>1.105</v>
      </c>
      <c r="T7118" s="508">
        <v>1.107</v>
      </c>
      <c r="U7118" s="508">
        <v>1.0840000000000001</v>
      </c>
      <c r="V7118" s="508">
        <v>1.1990000000000001</v>
      </c>
      <c r="W7118" s="508">
        <v>0.78600000000000003</v>
      </c>
      <c r="X7118" s="508">
        <v>0.79700000000000004</v>
      </c>
      <c r="Y7118" s="508">
        <v>0.78800000000000003</v>
      </c>
      <c r="Z7118" s="508">
        <v>0.78200000000000003</v>
      </c>
      <c r="AA7118" s="508">
        <v>0.08</v>
      </c>
      <c r="AB7118" s="508">
        <v>8.1000000000000003E-2</v>
      </c>
      <c r="AC7118" s="508">
        <v>7.8E-2</v>
      </c>
      <c r="AD7118" s="508">
        <v>5.0999999999999997E-2</v>
      </c>
      <c r="AE7118" s="508">
        <v>5.0999999999999997E-2</v>
      </c>
      <c r="AF7118" s="508">
        <v>4.2999999999999997E-2</v>
      </c>
      <c r="AG7118" s="508">
        <v>4.2000000000000003E-2</v>
      </c>
      <c r="AH7118" s="508">
        <v>4.2000000000000003E-2</v>
      </c>
      <c r="AI7118" s="492">
        <v>4.2000000000000003E-2</v>
      </c>
      <c r="AJ7118" s="485"/>
    </row>
    <row r="7119" spans="2:36">
      <c r="B7119" s="136" t="s">
        <v>440</v>
      </c>
      <c r="C7119" s="132" t="s">
        <v>1363</v>
      </c>
      <c r="D7119" s="132" t="s">
        <v>1381</v>
      </c>
      <c r="E7119" s="508">
        <v>1.4890000000000001</v>
      </c>
      <c r="F7119" s="508">
        <v>1.3819999999999999</v>
      </c>
      <c r="G7119" s="508">
        <v>1.3560000000000001</v>
      </c>
      <c r="H7119" s="508">
        <v>1.2609999999999999</v>
      </c>
      <c r="I7119" s="508">
        <v>1.2350000000000001</v>
      </c>
      <c r="J7119" s="508">
        <v>1.2430000000000001</v>
      </c>
      <c r="K7119" s="508">
        <v>1.181</v>
      </c>
      <c r="L7119" s="508">
        <v>1.21</v>
      </c>
      <c r="M7119" s="508">
        <v>1.145</v>
      </c>
      <c r="N7119" s="508">
        <v>1.175</v>
      </c>
      <c r="O7119" s="508">
        <v>1.149</v>
      </c>
      <c r="P7119" s="508">
        <v>1.145</v>
      </c>
      <c r="Q7119" s="508">
        <v>1.0960000000000001</v>
      </c>
      <c r="R7119" s="508">
        <v>1.1160000000000001</v>
      </c>
      <c r="S7119" s="508">
        <v>1.1200000000000001</v>
      </c>
      <c r="T7119" s="508">
        <v>1.113</v>
      </c>
      <c r="U7119" s="508">
        <v>1.0860000000000001</v>
      </c>
      <c r="V7119" s="508">
        <v>1.1930000000000001</v>
      </c>
      <c r="W7119" s="508">
        <v>0.77800000000000002</v>
      </c>
      <c r="X7119" s="508">
        <v>0.78700000000000003</v>
      </c>
      <c r="Y7119" s="508">
        <v>0.77700000000000002</v>
      </c>
      <c r="Z7119" s="508">
        <v>0.77</v>
      </c>
      <c r="AA7119" s="508">
        <v>8.2000000000000003E-2</v>
      </c>
      <c r="AB7119" s="508">
        <v>8.2000000000000003E-2</v>
      </c>
      <c r="AC7119" s="508">
        <v>0.08</v>
      </c>
      <c r="AD7119" s="508">
        <v>5.2999999999999999E-2</v>
      </c>
      <c r="AE7119" s="508">
        <v>5.2999999999999999E-2</v>
      </c>
      <c r="AF7119" s="508">
        <v>4.3999999999999997E-2</v>
      </c>
      <c r="AG7119" s="508">
        <v>4.3999999999999997E-2</v>
      </c>
      <c r="AH7119" s="508">
        <v>4.3999999999999997E-2</v>
      </c>
      <c r="AI7119" s="492">
        <v>4.3999999999999997E-2</v>
      </c>
      <c r="AJ7119" s="485"/>
    </row>
    <row r="7120" spans="2:36">
      <c r="B7120" s="136" t="s">
        <v>441</v>
      </c>
      <c r="C7120" s="132" t="s">
        <v>1363</v>
      </c>
      <c r="D7120" s="132" t="s">
        <v>1381</v>
      </c>
      <c r="E7120" s="508">
        <v>1.51</v>
      </c>
      <c r="F7120" s="508">
        <v>1.4039999999999999</v>
      </c>
      <c r="G7120" s="508">
        <v>1.38</v>
      </c>
      <c r="H7120" s="508">
        <v>1.282</v>
      </c>
      <c r="I7120" s="508">
        <v>1.256</v>
      </c>
      <c r="J7120" s="508">
        <v>1.2669999999999999</v>
      </c>
      <c r="K7120" s="508">
        <v>1.202</v>
      </c>
      <c r="L7120" s="508">
        <v>1.2330000000000001</v>
      </c>
      <c r="M7120" s="508">
        <v>1.165</v>
      </c>
      <c r="N7120" s="508">
        <v>1.1970000000000001</v>
      </c>
      <c r="O7120" s="508">
        <v>1.171</v>
      </c>
      <c r="P7120" s="508">
        <v>1.1659999999999999</v>
      </c>
      <c r="Q7120" s="508">
        <v>1.1160000000000001</v>
      </c>
      <c r="R7120" s="508">
        <v>1.1359999999999999</v>
      </c>
      <c r="S7120" s="508">
        <v>1.141</v>
      </c>
      <c r="T7120" s="508">
        <v>1.135</v>
      </c>
      <c r="U7120" s="508">
        <v>1.107</v>
      </c>
      <c r="V7120" s="508">
        <v>1.22</v>
      </c>
      <c r="W7120" s="508">
        <v>0.80500000000000005</v>
      </c>
      <c r="X7120" s="508">
        <v>0.81399999999999995</v>
      </c>
      <c r="Y7120" s="508">
        <v>0.80400000000000005</v>
      </c>
      <c r="Z7120" s="508">
        <v>0.79800000000000004</v>
      </c>
      <c r="AA7120" s="508">
        <v>8.5000000000000006E-2</v>
      </c>
      <c r="AB7120" s="508">
        <v>8.5000000000000006E-2</v>
      </c>
      <c r="AC7120" s="508">
        <v>8.2000000000000003E-2</v>
      </c>
      <c r="AD7120" s="508">
        <v>5.5E-2</v>
      </c>
      <c r="AE7120" s="508">
        <v>5.3999999999999999E-2</v>
      </c>
      <c r="AF7120" s="508">
        <v>4.5999999999999999E-2</v>
      </c>
      <c r="AG7120" s="508">
        <v>4.4999999999999998E-2</v>
      </c>
      <c r="AH7120" s="508">
        <v>4.4999999999999998E-2</v>
      </c>
      <c r="AI7120" s="492">
        <v>4.4999999999999998E-2</v>
      </c>
      <c r="AJ7120" s="485"/>
    </row>
    <row r="7121" spans="2:36">
      <c r="B7121" s="136" t="s">
        <v>443</v>
      </c>
      <c r="C7121" s="132" t="s">
        <v>1363</v>
      </c>
      <c r="D7121" s="132" t="s">
        <v>1381</v>
      </c>
      <c r="E7121" s="508">
        <v>1.518</v>
      </c>
      <c r="F7121" s="508">
        <v>1.423</v>
      </c>
      <c r="G7121" s="508">
        <v>1.409</v>
      </c>
      <c r="H7121" s="508">
        <v>1.31</v>
      </c>
      <c r="I7121" s="508">
        <v>1.2869999999999999</v>
      </c>
      <c r="J7121" s="508">
        <v>1.304</v>
      </c>
      <c r="K7121" s="508">
        <v>1.2350000000000001</v>
      </c>
      <c r="L7121" s="508">
        <v>1.2729999999999999</v>
      </c>
      <c r="M7121" s="508">
        <v>1.1990000000000001</v>
      </c>
      <c r="N7121" s="508">
        <v>1.2370000000000001</v>
      </c>
      <c r="O7121" s="508">
        <v>1.2090000000000001</v>
      </c>
      <c r="P7121" s="508">
        <v>1.206</v>
      </c>
      <c r="Q7121" s="508">
        <v>1.151</v>
      </c>
      <c r="R7121" s="508">
        <v>1.1739999999999999</v>
      </c>
      <c r="S7121" s="508">
        <v>1.18</v>
      </c>
      <c r="T7121" s="508">
        <v>1.177</v>
      </c>
      <c r="U7121" s="508">
        <v>1.149</v>
      </c>
      <c r="V7121" s="508">
        <v>1.276</v>
      </c>
      <c r="W7121" s="508">
        <v>0.85799999999999998</v>
      </c>
      <c r="X7121" s="508">
        <v>0.86899999999999999</v>
      </c>
      <c r="Y7121" s="508">
        <v>0.85899999999999999</v>
      </c>
      <c r="Z7121" s="508">
        <v>0.85199999999999998</v>
      </c>
      <c r="AA7121" s="508">
        <v>8.8999999999999996E-2</v>
      </c>
      <c r="AB7121" s="508">
        <v>0.09</v>
      </c>
      <c r="AC7121" s="508">
        <v>8.6999999999999994E-2</v>
      </c>
      <c r="AD7121" s="508">
        <v>5.7000000000000002E-2</v>
      </c>
      <c r="AE7121" s="508">
        <v>5.7000000000000002E-2</v>
      </c>
      <c r="AF7121" s="508">
        <v>4.8000000000000001E-2</v>
      </c>
      <c r="AG7121" s="508">
        <v>4.7E-2</v>
      </c>
      <c r="AH7121" s="508">
        <v>4.7E-2</v>
      </c>
      <c r="AI7121" s="492">
        <v>4.7E-2</v>
      </c>
      <c r="AJ7121" s="485"/>
    </row>
    <row r="7122" spans="2:36">
      <c r="B7122" s="136" t="s">
        <v>445</v>
      </c>
      <c r="C7122" s="132" t="s">
        <v>1363</v>
      </c>
      <c r="D7122" s="132" t="s">
        <v>1381</v>
      </c>
      <c r="E7122" s="508">
        <v>1.6719999999999999</v>
      </c>
      <c r="F7122" s="508">
        <v>1.5629999999999999</v>
      </c>
      <c r="G7122" s="508">
        <v>1.5489999999999999</v>
      </c>
      <c r="H7122" s="508">
        <v>1.4319999999999999</v>
      </c>
      <c r="I7122" s="508">
        <v>1.4059999999999999</v>
      </c>
      <c r="J7122" s="508">
        <v>1.4259999999999999</v>
      </c>
      <c r="K7122" s="508">
        <v>1.3460000000000001</v>
      </c>
      <c r="L7122" s="508">
        <v>1.391</v>
      </c>
      <c r="M7122" s="508">
        <v>1.304</v>
      </c>
      <c r="N7122" s="508">
        <v>1.349</v>
      </c>
      <c r="O7122" s="508">
        <v>1.3160000000000001</v>
      </c>
      <c r="P7122" s="508">
        <v>1.3120000000000001</v>
      </c>
      <c r="Q7122" s="508">
        <v>1.2470000000000001</v>
      </c>
      <c r="R7122" s="508">
        <v>1.2749999999999999</v>
      </c>
      <c r="S7122" s="508">
        <v>1.2829999999999999</v>
      </c>
      <c r="T7122" s="508">
        <v>1.28</v>
      </c>
      <c r="U7122" s="508">
        <v>1.246</v>
      </c>
      <c r="V7122" s="508">
        <v>1.397</v>
      </c>
      <c r="W7122" s="508">
        <v>0.97499999999999998</v>
      </c>
      <c r="X7122" s="508">
        <v>0.98699999999999999</v>
      </c>
      <c r="Y7122" s="508">
        <v>0.97599999999999998</v>
      </c>
      <c r="Z7122" s="508">
        <v>0.96799999999999997</v>
      </c>
      <c r="AA7122" s="508">
        <v>0.10199999999999999</v>
      </c>
      <c r="AB7122" s="508">
        <v>0.10199999999999999</v>
      </c>
      <c r="AC7122" s="508">
        <v>9.9000000000000005E-2</v>
      </c>
      <c r="AD7122" s="508">
        <v>6.5000000000000002E-2</v>
      </c>
      <c r="AE7122" s="508">
        <v>6.5000000000000002E-2</v>
      </c>
      <c r="AF7122" s="508">
        <v>5.5E-2</v>
      </c>
      <c r="AG7122" s="508">
        <v>5.3999999999999999E-2</v>
      </c>
      <c r="AH7122" s="508">
        <v>5.3999999999999999E-2</v>
      </c>
      <c r="AI7122" s="492">
        <v>5.3999999999999999E-2</v>
      </c>
      <c r="AJ7122" s="485"/>
    </row>
    <row r="7123" spans="2:36">
      <c r="B7123" s="136" t="s">
        <v>446</v>
      </c>
      <c r="C7123" s="132" t="s">
        <v>1363</v>
      </c>
      <c r="D7123" s="132" t="s">
        <v>1381</v>
      </c>
      <c r="E7123" s="508">
        <v>1.2490000000000001</v>
      </c>
      <c r="F7123" s="508">
        <v>1.228</v>
      </c>
      <c r="G7123" s="508">
        <v>1.258</v>
      </c>
      <c r="H7123" s="508">
        <v>1.1859999999999999</v>
      </c>
      <c r="I7123" s="508">
        <v>1.1830000000000001</v>
      </c>
      <c r="J7123" s="508">
        <v>1.2150000000000001</v>
      </c>
      <c r="K7123" s="508">
        <v>1.157</v>
      </c>
      <c r="L7123" s="508">
        <v>1.2050000000000001</v>
      </c>
      <c r="M7123" s="508">
        <v>1.1379999999999999</v>
      </c>
      <c r="N7123" s="508">
        <v>1.1830000000000001</v>
      </c>
      <c r="O7123" s="508">
        <v>1.159</v>
      </c>
      <c r="P7123" s="508">
        <v>1.1599999999999999</v>
      </c>
      <c r="Q7123" s="508">
        <v>1.1080000000000001</v>
      </c>
      <c r="R7123" s="508">
        <v>1.1359999999999999</v>
      </c>
      <c r="S7123" s="508">
        <v>1.145</v>
      </c>
      <c r="T7123" s="508">
        <v>1.1539999999999999</v>
      </c>
      <c r="U7123" s="508">
        <v>1.1319999999999999</v>
      </c>
      <c r="V7123" s="508">
        <v>1.266</v>
      </c>
      <c r="W7123" s="508">
        <v>0.85099999999999998</v>
      </c>
      <c r="X7123" s="508">
        <v>0.86399999999999999</v>
      </c>
      <c r="Y7123" s="508">
        <v>0.85599999999999998</v>
      </c>
      <c r="Z7123" s="508">
        <v>0.85099999999999998</v>
      </c>
      <c r="AA7123" s="508">
        <v>8.4000000000000005E-2</v>
      </c>
      <c r="AB7123" s="508">
        <v>8.5000000000000006E-2</v>
      </c>
      <c r="AC7123" s="508">
        <v>8.3000000000000004E-2</v>
      </c>
      <c r="AD7123" s="508">
        <v>5.2999999999999999E-2</v>
      </c>
      <c r="AE7123" s="508">
        <v>5.2999999999999999E-2</v>
      </c>
      <c r="AF7123" s="508">
        <v>4.3999999999999997E-2</v>
      </c>
      <c r="AG7123" s="508">
        <v>4.3999999999999997E-2</v>
      </c>
      <c r="AH7123" s="508">
        <v>4.3999999999999997E-2</v>
      </c>
      <c r="AI7123" s="492">
        <v>4.3999999999999997E-2</v>
      </c>
      <c r="AJ7123" s="485"/>
    </row>
    <row r="7124" spans="2:36">
      <c r="B7124" s="136" t="s">
        <v>448</v>
      </c>
      <c r="C7124" s="132" t="s">
        <v>1363</v>
      </c>
      <c r="D7124" s="132" t="s">
        <v>1381</v>
      </c>
      <c r="E7124" s="508">
        <v>1.2629999999999999</v>
      </c>
      <c r="F7124" s="508">
        <v>1.21</v>
      </c>
      <c r="G7124" s="508">
        <v>1.2130000000000001</v>
      </c>
      <c r="H7124" s="508">
        <v>1.141</v>
      </c>
      <c r="I7124" s="508">
        <v>1.1299999999999999</v>
      </c>
      <c r="J7124" s="508">
        <v>1.1479999999999999</v>
      </c>
      <c r="K7124" s="508">
        <v>1.0960000000000001</v>
      </c>
      <c r="L7124" s="508">
        <v>1.1299999999999999</v>
      </c>
      <c r="M7124" s="508">
        <v>1.0720000000000001</v>
      </c>
      <c r="N7124" s="508">
        <v>1.105</v>
      </c>
      <c r="O7124" s="508">
        <v>1.0840000000000001</v>
      </c>
      <c r="P7124" s="508">
        <v>1.083</v>
      </c>
      <c r="Q7124" s="508">
        <v>1.0389999999999999</v>
      </c>
      <c r="R7124" s="508">
        <v>1.06</v>
      </c>
      <c r="S7124" s="508">
        <v>1.0660000000000001</v>
      </c>
      <c r="T7124" s="508">
        <v>1.0669999999999999</v>
      </c>
      <c r="U7124" s="508">
        <v>1.046</v>
      </c>
      <c r="V7124" s="508">
        <v>1.151</v>
      </c>
      <c r="W7124" s="508">
        <v>0.73799999999999999</v>
      </c>
      <c r="X7124" s="508">
        <v>0.749</v>
      </c>
      <c r="Y7124" s="508">
        <v>0.74</v>
      </c>
      <c r="Z7124" s="508">
        <v>0.73499999999999999</v>
      </c>
      <c r="AA7124" s="508">
        <v>7.4999999999999997E-2</v>
      </c>
      <c r="AB7124" s="508">
        <v>7.5999999999999998E-2</v>
      </c>
      <c r="AC7124" s="508">
        <v>7.2999999999999995E-2</v>
      </c>
      <c r="AD7124" s="508">
        <v>4.8000000000000001E-2</v>
      </c>
      <c r="AE7124" s="508">
        <v>4.8000000000000001E-2</v>
      </c>
      <c r="AF7124" s="508">
        <v>0.04</v>
      </c>
      <c r="AG7124" s="508">
        <v>3.9E-2</v>
      </c>
      <c r="AH7124" s="508">
        <v>3.9E-2</v>
      </c>
      <c r="AI7124" s="492">
        <v>3.9E-2</v>
      </c>
      <c r="AJ7124" s="485"/>
    </row>
    <row r="7125" spans="2:36">
      <c r="B7125" s="136" t="s">
        <v>449</v>
      </c>
      <c r="C7125" s="132" t="s">
        <v>1363</v>
      </c>
      <c r="D7125" s="132" t="s">
        <v>1381</v>
      </c>
      <c r="E7125" s="508">
        <v>1.1850000000000001</v>
      </c>
      <c r="F7125" s="508">
        <v>1.179</v>
      </c>
      <c r="G7125" s="508">
        <v>1.2170000000000001</v>
      </c>
      <c r="H7125" s="508">
        <v>1.151</v>
      </c>
      <c r="I7125" s="508">
        <v>1.1519999999999999</v>
      </c>
      <c r="J7125" s="508">
        <v>1.1870000000000001</v>
      </c>
      <c r="K7125" s="508">
        <v>1.1319999999999999</v>
      </c>
      <c r="L7125" s="508">
        <v>1.18</v>
      </c>
      <c r="M7125" s="508">
        <v>1.1160000000000001</v>
      </c>
      <c r="N7125" s="508">
        <v>1.161</v>
      </c>
      <c r="O7125" s="508">
        <v>1.139</v>
      </c>
      <c r="P7125" s="508">
        <v>1.141</v>
      </c>
      <c r="Q7125" s="508">
        <v>1.0900000000000001</v>
      </c>
      <c r="R7125" s="508">
        <v>1.1180000000000001</v>
      </c>
      <c r="S7125" s="508">
        <v>1.1279999999999999</v>
      </c>
      <c r="T7125" s="508">
        <v>1.139</v>
      </c>
      <c r="U7125" s="508">
        <v>1.1180000000000001</v>
      </c>
      <c r="V7125" s="508">
        <v>1.252</v>
      </c>
      <c r="W7125" s="508">
        <v>0.83799999999999997</v>
      </c>
      <c r="X7125" s="508">
        <v>0.85199999999999998</v>
      </c>
      <c r="Y7125" s="508">
        <v>0.84399999999999997</v>
      </c>
      <c r="Z7125" s="508">
        <v>0.83899999999999997</v>
      </c>
      <c r="AA7125" s="508">
        <v>8.2000000000000003E-2</v>
      </c>
      <c r="AB7125" s="508">
        <v>8.3000000000000004E-2</v>
      </c>
      <c r="AC7125" s="508">
        <v>8.1000000000000003E-2</v>
      </c>
      <c r="AD7125" s="508">
        <v>5.1999999999999998E-2</v>
      </c>
      <c r="AE7125" s="508">
        <v>5.1999999999999998E-2</v>
      </c>
      <c r="AF7125" s="508">
        <v>4.2999999999999997E-2</v>
      </c>
      <c r="AG7125" s="508">
        <v>4.2000000000000003E-2</v>
      </c>
      <c r="AH7125" s="508">
        <v>4.2000000000000003E-2</v>
      </c>
      <c r="AI7125" s="492">
        <v>4.2000000000000003E-2</v>
      </c>
      <c r="AJ7125" s="485"/>
    </row>
    <row r="7126" spans="2:36">
      <c r="B7126" s="136" t="s">
        <v>450</v>
      </c>
      <c r="C7126" s="132" t="s">
        <v>1363</v>
      </c>
      <c r="D7126" s="132" t="s">
        <v>1381</v>
      </c>
      <c r="E7126" s="508">
        <v>1.446</v>
      </c>
      <c r="F7126" s="508">
        <v>1.345</v>
      </c>
      <c r="G7126" s="508">
        <v>1.319</v>
      </c>
      <c r="H7126" s="508">
        <v>1.2290000000000001</v>
      </c>
      <c r="I7126" s="508">
        <v>1.204</v>
      </c>
      <c r="J7126" s="508">
        <v>1.212</v>
      </c>
      <c r="K7126" s="508">
        <v>1.153</v>
      </c>
      <c r="L7126" s="508">
        <v>1.18</v>
      </c>
      <c r="M7126" s="508">
        <v>1.119</v>
      </c>
      <c r="N7126" s="508">
        <v>1.147</v>
      </c>
      <c r="O7126" s="508">
        <v>1.123</v>
      </c>
      <c r="P7126" s="508">
        <v>1.1180000000000001</v>
      </c>
      <c r="Q7126" s="508">
        <v>1.073</v>
      </c>
      <c r="R7126" s="508">
        <v>1.091</v>
      </c>
      <c r="S7126" s="508">
        <v>1.095</v>
      </c>
      <c r="T7126" s="508">
        <v>1.0880000000000001</v>
      </c>
      <c r="U7126" s="508">
        <v>1.0629999999999999</v>
      </c>
      <c r="V7126" s="508">
        <v>1.1639999999999999</v>
      </c>
      <c r="W7126" s="508">
        <v>0.749</v>
      </c>
      <c r="X7126" s="508">
        <v>0.75800000000000001</v>
      </c>
      <c r="Y7126" s="508">
        <v>0.748</v>
      </c>
      <c r="Z7126" s="508">
        <v>0.74199999999999999</v>
      </c>
      <c r="AA7126" s="508">
        <v>7.9000000000000001E-2</v>
      </c>
      <c r="AB7126" s="508">
        <v>7.9000000000000001E-2</v>
      </c>
      <c r="AC7126" s="508">
        <v>7.6999999999999999E-2</v>
      </c>
      <c r="AD7126" s="508">
        <v>5.0999999999999997E-2</v>
      </c>
      <c r="AE7126" s="508">
        <v>5.0999999999999997E-2</v>
      </c>
      <c r="AF7126" s="508">
        <v>4.2999999999999997E-2</v>
      </c>
      <c r="AG7126" s="508">
        <v>4.2000000000000003E-2</v>
      </c>
      <c r="AH7126" s="508">
        <v>4.2000000000000003E-2</v>
      </c>
      <c r="AI7126" s="492">
        <v>4.2000000000000003E-2</v>
      </c>
      <c r="AJ7126" s="485"/>
    </row>
    <row r="7127" spans="2:36">
      <c r="B7127" s="136" t="s">
        <v>451</v>
      </c>
      <c r="C7127" s="132" t="s">
        <v>1363</v>
      </c>
      <c r="D7127" s="132" t="s">
        <v>1381</v>
      </c>
      <c r="E7127" s="508">
        <v>1.659</v>
      </c>
      <c r="F7127" s="508">
        <v>1.536</v>
      </c>
      <c r="G7127" s="508">
        <v>1.508</v>
      </c>
      <c r="H7127" s="508">
        <v>1.393</v>
      </c>
      <c r="I7127" s="508">
        <v>1.3640000000000001</v>
      </c>
      <c r="J7127" s="508">
        <v>1.3759999999999999</v>
      </c>
      <c r="K7127" s="508">
        <v>1.3009999999999999</v>
      </c>
      <c r="L7127" s="508">
        <v>1.337</v>
      </c>
      <c r="M7127" s="508">
        <v>1.2569999999999999</v>
      </c>
      <c r="N7127" s="508">
        <v>1.2949999999999999</v>
      </c>
      <c r="O7127" s="508">
        <v>1.264</v>
      </c>
      <c r="P7127" s="508">
        <v>1.2589999999999999</v>
      </c>
      <c r="Q7127" s="508">
        <v>1.2</v>
      </c>
      <c r="R7127" s="508">
        <v>1.224</v>
      </c>
      <c r="S7127" s="508">
        <v>1.2290000000000001</v>
      </c>
      <c r="T7127" s="508">
        <v>1.222</v>
      </c>
      <c r="U7127" s="508">
        <v>1.19</v>
      </c>
      <c r="V7127" s="508">
        <v>1.323</v>
      </c>
      <c r="W7127" s="508">
        <v>0.90400000000000003</v>
      </c>
      <c r="X7127" s="508">
        <v>0.91400000000000003</v>
      </c>
      <c r="Y7127" s="508">
        <v>0.90300000000000002</v>
      </c>
      <c r="Z7127" s="508">
        <v>0.89500000000000002</v>
      </c>
      <c r="AA7127" s="508">
        <v>9.6000000000000002E-2</v>
      </c>
      <c r="AB7127" s="508">
        <v>9.6000000000000002E-2</v>
      </c>
      <c r="AC7127" s="508">
        <v>9.2999999999999999E-2</v>
      </c>
      <c r="AD7127" s="508">
        <v>6.2E-2</v>
      </c>
      <c r="AE7127" s="508">
        <v>6.0999999999999999E-2</v>
      </c>
      <c r="AF7127" s="508">
        <v>5.1999999999999998E-2</v>
      </c>
      <c r="AG7127" s="508">
        <v>5.0999999999999997E-2</v>
      </c>
      <c r="AH7127" s="508">
        <v>5.0999999999999997E-2</v>
      </c>
      <c r="AI7127" s="492">
        <v>5.0999999999999997E-2</v>
      </c>
      <c r="AJ7127" s="485"/>
    </row>
    <row r="7128" spans="2:36">
      <c r="B7128" s="136" t="s">
        <v>452</v>
      </c>
      <c r="C7128" s="132" t="s">
        <v>1363</v>
      </c>
      <c r="D7128" s="132" t="s">
        <v>1381</v>
      </c>
      <c r="E7128" s="508">
        <v>1.48</v>
      </c>
      <c r="F7128" s="508">
        <v>1.3819999999999999</v>
      </c>
      <c r="G7128" s="508">
        <v>1.3620000000000001</v>
      </c>
      <c r="H7128" s="508">
        <v>1.268</v>
      </c>
      <c r="I7128" s="508">
        <v>1.244</v>
      </c>
      <c r="J7128" s="508">
        <v>1.2569999999999999</v>
      </c>
      <c r="K7128" s="508">
        <v>1.1930000000000001</v>
      </c>
      <c r="L7128" s="508">
        <v>1.2250000000000001</v>
      </c>
      <c r="M7128" s="508">
        <v>1.1579999999999999</v>
      </c>
      <c r="N7128" s="508">
        <v>1.1910000000000001</v>
      </c>
      <c r="O7128" s="508">
        <v>1.165</v>
      </c>
      <c r="P7128" s="508">
        <v>1.161</v>
      </c>
      <c r="Q7128" s="508">
        <v>1.111</v>
      </c>
      <c r="R7128" s="508">
        <v>1.1319999999999999</v>
      </c>
      <c r="S7128" s="508">
        <v>1.137</v>
      </c>
      <c r="T7128" s="508">
        <v>1.1319999999999999</v>
      </c>
      <c r="U7128" s="508">
        <v>1.105</v>
      </c>
      <c r="V7128" s="508">
        <v>1.218</v>
      </c>
      <c r="W7128" s="508">
        <v>0.80200000000000005</v>
      </c>
      <c r="X7128" s="508">
        <v>0.81200000000000006</v>
      </c>
      <c r="Y7128" s="508">
        <v>0.80200000000000005</v>
      </c>
      <c r="Z7128" s="508">
        <v>0.79500000000000004</v>
      </c>
      <c r="AA7128" s="508">
        <v>8.4000000000000005E-2</v>
      </c>
      <c r="AB7128" s="508">
        <v>8.4000000000000005E-2</v>
      </c>
      <c r="AC7128" s="508">
        <v>8.2000000000000003E-2</v>
      </c>
      <c r="AD7128" s="508">
        <v>5.3999999999999999E-2</v>
      </c>
      <c r="AE7128" s="508">
        <v>5.3999999999999999E-2</v>
      </c>
      <c r="AF7128" s="508">
        <v>4.4999999999999998E-2</v>
      </c>
      <c r="AG7128" s="508">
        <v>4.4999999999999998E-2</v>
      </c>
      <c r="AH7128" s="508">
        <v>4.4999999999999998E-2</v>
      </c>
      <c r="AI7128" s="492">
        <v>4.4999999999999998E-2</v>
      </c>
      <c r="AJ7128" s="485"/>
    </row>
    <row r="7129" spans="2:36">
      <c r="B7129" s="136" t="s">
        <v>453</v>
      </c>
      <c r="C7129" s="132" t="s">
        <v>1363</v>
      </c>
      <c r="D7129" s="132" t="s">
        <v>1381</v>
      </c>
      <c r="E7129" s="508">
        <v>1.4119999999999999</v>
      </c>
      <c r="F7129" s="508">
        <v>1.3160000000000001</v>
      </c>
      <c r="G7129" s="508">
        <v>1.2929999999999999</v>
      </c>
      <c r="H7129" s="508">
        <v>1.2070000000000001</v>
      </c>
      <c r="I7129" s="508">
        <v>1.1839999999999999</v>
      </c>
      <c r="J7129" s="508">
        <v>1.1930000000000001</v>
      </c>
      <c r="K7129" s="508">
        <v>1.1359999999999999</v>
      </c>
      <c r="L7129" s="508">
        <v>1.163</v>
      </c>
      <c r="M7129" s="508">
        <v>1.103</v>
      </c>
      <c r="N7129" s="508">
        <v>1.131</v>
      </c>
      <c r="O7129" s="508">
        <v>1.107</v>
      </c>
      <c r="P7129" s="508">
        <v>1.103</v>
      </c>
      <c r="Q7129" s="508">
        <v>1.0589999999999999</v>
      </c>
      <c r="R7129" s="508">
        <v>1.077</v>
      </c>
      <c r="S7129" s="508">
        <v>1.081</v>
      </c>
      <c r="T7129" s="508">
        <v>1.075</v>
      </c>
      <c r="U7129" s="508">
        <v>1.0509999999999999</v>
      </c>
      <c r="V7129" s="508">
        <v>1.149</v>
      </c>
      <c r="W7129" s="508">
        <v>0.73499999999999999</v>
      </c>
      <c r="X7129" s="508">
        <v>0.74399999999999999</v>
      </c>
      <c r="Y7129" s="508">
        <v>0.73499999999999999</v>
      </c>
      <c r="Z7129" s="508">
        <v>0.72799999999999998</v>
      </c>
      <c r="AA7129" s="508">
        <v>7.6999999999999999E-2</v>
      </c>
      <c r="AB7129" s="508">
        <v>7.8E-2</v>
      </c>
      <c r="AC7129" s="508">
        <v>7.4999999999999997E-2</v>
      </c>
      <c r="AD7129" s="508">
        <v>0.05</v>
      </c>
      <c r="AE7129" s="508">
        <v>4.9000000000000002E-2</v>
      </c>
      <c r="AF7129" s="508">
        <v>4.2000000000000003E-2</v>
      </c>
      <c r="AG7129" s="508">
        <v>4.1000000000000002E-2</v>
      </c>
      <c r="AH7129" s="508">
        <v>4.1000000000000002E-2</v>
      </c>
      <c r="AI7129" s="492">
        <v>4.1000000000000002E-2</v>
      </c>
      <c r="AJ7129" s="485"/>
    </row>
    <row r="7130" spans="2:36">
      <c r="B7130" s="136" t="s">
        <v>454</v>
      </c>
      <c r="C7130" s="132" t="s">
        <v>1363</v>
      </c>
      <c r="D7130" s="132" t="s">
        <v>1381</v>
      </c>
      <c r="E7130" s="508">
        <v>1.37</v>
      </c>
      <c r="F7130" s="508">
        <v>1.29</v>
      </c>
      <c r="G7130" s="508">
        <v>1.2769999999999999</v>
      </c>
      <c r="H7130" s="508">
        <v>1.194</v>
      </c>
      <c r="I7130" s="508">
        <v>1.175</v>
      </c>
      <c r="J7130" s="508">
        <v>1.1879999999999999</v>
      </c>
      <c r="K7130" s="508">
        <v>1.131</v>
      </c>
      <c r="L7130" s="508">
        <v>1.1619999999999999</v>
      </c>
      <c r="M7130" s="508">
        <v>1.101</v>
      </c>
      <c r="N7130" s="508">
        <v>1.1319999999999999</v>
      </c>
      <c r="O7130" s="508">
        <v>1.109</v>
      </c>
      <c r="P7130" s="508">
        <v>1.1060000000000001</v>
      </c>
      <c r="Q7130" s="508">
        <v>1.0609999999999999</v>
      </c>
      <c r="R7130" s="508">
        <v>1.08</v>
      </c>
      <c r="S7130" s="508">
        <v>1.085</v>
      </c>
      <c r="T7130" s="508">
        <v>1.0820000000000001</v>
      </c>
      <c r="U7130" s="508">
        <v>1.0580000000000001</v>
      </c>
      <c r="V7130" s="508">
        <v>1.1619999999999999</v>
      </c>
      <c r="W7130" s="508">
        <v>0.748</v>
      </c>
      <c r="X7130" s="508">
        <v>0.75800000000000001</v>
      </c>
      <c r="Y7130" s="508">
        <v>0.749</v>
      </c>
      <c r="Z7130" s="508">
        <v>0.74299999999999999</v>
      </c>
      <c r="AA7130" s="508">
        <v>7.8E-2</v>
      </c>
      <c r="AB7130" s="508">
        <v>7.8E-2</v>
      </c>
      <c r="AC7130" s="508">
        <v>7.5999999999999998E-2</v>
      </c>
      <c r="AD7130" s="508">
        <v>0.05</v>
      </c>
      <c r="AE7130" s="508">
        <v>0.05</v>
      </c>
      <c r="AF7130" s="508">
        <v>4.2000000000000003E-2</v>
      </c>
      <c r="AG7130" s="508">
        <v>4.1000000000000002E-2</v>
      </c>
      <c r="AH7130" s="508">
        <v>4.1000000000000002E-2</v>
      </c>
      <c r="AI7130" s="492">
        <v>4.1000000000000002E-2</v>
      </c>
      <c r="AJ7130" s="485"/>
    </row>
    <row r="7131" spans="2:36">
      <c r="B7131" s="136" t="s">
        <v>455</v>
      </c>
      <c r="C7131" s="132" t="s">
        <v>1363</v>
      </c>
      <c r="D7131" s="132" t="s">
        <v>1381</v>
      </c>
      <c r="E7131" s="508">
        <v>1.282</v>
      </c>
      <c r="F7131" s="508">
        <v>1.216</v>
      </c>
      <c r="G7131" s="508">
        <v>1.2090000000000001</v>
      </c>
      <c r="H7131" s="508">
        <v>1.1359999999999999</v>
      </c>
      <c r="I7131" s="508">
        <v>1.121</v>
      </c>
      <c r="J7131" s="508">
        <v>1.1339999999999999</v>
      </c>
      <c r="K7131" s="508">
        <v>1.0840000000000001</v>
      </c>
      <c r="L7131" s="508">
        <v>1.113</v>
      </c>
      <c r="M7131" s="508">
        <v>1.0580000000000001</v>
      </c>
      <c r="N7131" s="508">
        <v>1.087</v>
      </c>
      <c r="O7131" s="508">
        <v>1.0660000000000001</v>
      </c>
      <c r="P7131" s="508">
        <v>1.0640000000000001</v>
      </c>
      <c r="Q7131" s="508">
        <v>1.0229999999999999</v>
      </c>
      <c r="R7131" s="508">
        <v>1.0409999999999999</v>
      </c>
      <c r="S7131" s="508">
        <v>1.046</v>
      </c>
      <c r="T7131" s="508">
        <v>1.044</v>
      </c>
      <c r="U7131" s="508">
        <v>1.0229999999999999</v>
      </c>
      <c r="V7131" s="508">
        <v>1.119</v>
      </c>
      <c r="W7131" s="508">
        <v>0.70699999999999996</v>
      </c>
      <c r="X7131" s="508">
        <v>0.71699999999999997</v>
      </c>
      <c r="Y7131" s="508">
        <v>0.70799999999999996</v>
      </c>
      <c r="Z7131" s="508">
        <v>0.70299999999999996</v>
      </c>
      <c r="AA7131" s="508">
        <v>7.2999999999999995E-2</v>
      </c>
      <c r="AB7131" s="508">
        <v>7.2999999999999995E-2</v>
      </c>
      <c r="AC7131" s="508">
        <v>7.0999999999999994E-2</v>
      </c>
      <c r="AD7131" s="508">
        <v>4.7E-2</v>
      </c>
      <c r="AE7131" s="508">
        <v>4.5999999999999999E-2</v>
      </c>
      <c r="AF7131" s="508">
        <v>3.9E-2</v>
      </c>
      <c r="AG7131" s="508">
        <v>3.7999999999999999E-2</v>
      </c>
      <c r="AH7131" s="508">
        <v>3.7999999999999999E-2</v>
      </c>
      <c r="AI7131" s="492">
        <v>3.7999999999999999E-2</v>
      </c>
      <c r="AJ7131" s="485"/>
    </row>
    <row r="7132" spans="2:36">
      <c r="B7132" s="136" t="s">
        <v>456</v>
      </c>
      <c r="C7132" s="132" t="s">
        <v>1363</v>
      </c>
      <c r="D7132" s="132" t="s">
        <v>1381</v>
      </c>
      <c r="E7132" s="508">
        <v>1.2110000000000001</v>
      </c>
      <c r="F7132" s="508">
        <v>1.175</v>
      </c>
      <c r="G7132" s="508">
        <v>1.1890000000000001</v>
      </c>
      <c r="H7132" s="508">
        <v>1.123</v>
      </c>
      <c r="I7132" s="508">
        <v>1.1160000000000001</v>
      </c>
      <c r="J7132" s="508">
        <v>1.139</v>
      </c>
      <c r="K7132" s="508">
        <v>1.0880000000000001</v>
      </c>
      <c r="L7132" s="508">
        <v>1.125</v>
      </c>
      <c r="M7132" s="508">
        <v>1.0680000000000001</v>
      </c>
      <c r="N7132" s="508">
        <v>1.103</v>
      </c>
      <c r="O7132" s="508">
        <v>1.083</v>
      </c>
      <c r="P7132" s="508">
        <v>1.083</v>
      </c>
      <c r="Q7132" s="508">
        <v>1.0389999999999999</v>
      </c>
      <c r="R7132" s="508">
        <v>1.0609999999999999</v>
      </c>
      <c r="S7132" s="508">
        <v>1.0680000000000001</v>
      </c>
      <c r="T7132" s="508">
        <v>1.0720000000000001</v>
      </c>
      <c r="U7132" s="508">
        <v>1.052</v>
      </c>
      <c r="V7132" s="508">
        <v>1.161</v>
      </c>
      <c r="W7132" s="508">
        <v>0.749</v>
      </c>
      <c r="X7132" s="508">
        <v>0.76100000000000001</v>
      </c>
      <c r="Y7132" s="508">
        <v>0.753</v>
      </c>
      <c r="Z7132" s="508">
        <v>0.748</v>
      </c>
      <c r="AA7132" s="508">
        <v>7.4999999999999997E-2</v>
      </c>
      <c r="AB7132" s="508">
        <v>7.5999999999999998E-2</v>
      </c>
      <c r="AC7132" s="508">
        <v>7.3999999999999996E-2</v>
      </c>
      <c r="AD7132" s="508">
        <v>4.8000000000000001E-2</v>
      </c>
      <c r="AE7132" s="508">
        <v>4.8000000000000001E-2</v>
      </c>
      <c r="AF7132" s="508">
        <v>0.04</v>
      </c>
      <c r="AG7132" s="508">
        <v>3.9E-2</v>
      </c>
      <c r="AH7132" s="508">
        <v>3.9E-2</v>
      </c>
      <c r="AI7132" s="492">
        <v>3.9E-2</v>
      </c>
      <c r="AJ7132" s="485"/>
    </row>
    <row r="7133" spans="2:36">
      <c r="B7133" s="136" t="s">
        <v>457</v>
      </c>
      <c r="C7133" s="132" t="s">
        <v>1363</v>
      </c>
      <c r="D7133" s="132" t="s">
        <v>1381</v>
      </c>
      <c r="E7133" s="508">
        <v>1.403</v>
      </c>
      <c r="F7133" s="508">
        <v>1.304</v>
      </c>
      <c r="G7133" s="508">
        <v>1.2769999999999999</v>
      </c>
      <c r="H7133" s="508">
        <v>1.1910000000000001</v>
      </c>
      <c r="I7133" s="508">
        <v>1.167</v>
      </c>
      <c r="J7133" s="508">
        <v>1.1739999999999999</v>
      </c>
      <c r="K7133" s="508">
        <v>1.1180000000000001</v>
      </c>
      <c r="L7133" s="508">
        <v>1.143</v>
      </c>
      <c r="M7133" s="508">
        <v>1.085</v>
      </c>
      <c r="N7133" s="508">
        <v>1.111</v>
      </c>
      <c r="O7133" s="508">
        <v>1.0880000000000001</v>
      </c>
      <c r="P7133" s="508">
        <v>1.0840000000000001</v>
      </c>
      <c r="Q7133" s="508">
        <v>1.042</v>
      </c>
      <c r="R7133" s="508">
        <v>1.0580000000000001</v>
      </c>
      <c r="S7133" s="508">
        <v>1.0609999999999999</v>
      </c>
      <c r="T7133" s="508">
        <v>1.054</v>
      </c>
      <c r="U7133" s="508">
        <v>1.03</v>
      </c>
      <c r="V7133" s="508">
        <v>1.123</v>
      </c>
      <c r="W7133" s="508">
        <v>0.70899999999999996</v>
      </c>
      <c r="X7133" s="508">
        <v>0.71799999999999997</v>
      </c>
      <c r="Y7133" s="508">
        <v>0.70799999999999996</v>
      </c>
      <c r="Z7133" s="508">
        <v>0.70199999999999996</v>
      </c>
      <c r="AA7133" s="508">
        <v>7.4999999999999997E-2</v>
      </c>
      <c r="AB7133" s="508">
        <v>7.4999999999999997E-2</v>
      </c>
      <c r="AC7133" s="508">
        <v>7.2999999999999995E-2</v>
      </c>
      <c r="AD7133" s="508">
        <v>4.8000000000000001E-2</v>
      </c>
      <c r="AE7133" s="508">
        <v>4.8000000000000001E-2</v>
      </c>
      <c r="AF7133" s="508">
        <v>4.1000000000000002E-2</v>
      </c>
      <c r="AG7133" s="508">
        <v>0.04</v>
      </c>
      <c r="AH7133" s="508">
        <v>0.04</v>
      </c>
      <c r="AI7133" s="492">
        <v>0.04</v>
      </c>
      <c r="AJ7133" s="485"/>
    </row>
    <row r="7134" spans="2:36">
      <c r="B7134" s="136" t="s">
        <v>458</v>
      </c>
      <c r="C7134" s="132" t="s">
        <v>1363</v>
      </c>
      <c r="D7134" s="132" t="s">
        <v>1381</v>
      </c>
      <c r="E7134" s="508">
        <v>1.403</v>
      </c>
      <c r="F7134" s="508">
        <v>1.32</v>
      </c>
      <c r="G7134" s="508">
        <v>1.3080000000000001</v>
      </c>
      <c r="H7134" s="508">
        <v>1.222</v>
      </c>
      <c r="I7134" s="508">
        <v>1.202</v>
      </c>
      <c r="J7134" s="508">
        <v>1.216</v>
      </c>
      <c r="K7134" s="508">
        <v>1.157</v>
      </c>
      <c r="L7134" s="508">
        <v>1.19</v>
      </c>
      <c r="M7134" s="508">
        <v>1.1259999999999999</v>
      </c>
      <c r="N7134" s="508">
        <v>1.159</v>
      </c>
      <c r="O7134" s="508">
        <v>1.1339999999999999</v>
      </c>
      <c r="P7134" s="508">
        <v>1.131</v>
      </c>
      <c r="Q7134" s="508">
        <v>1.0840000000000001</v>
      </c>
      <c r="R7134" s="508">
        <v>1.1040000000000001</v>
      </c>
      <c r="S7134" s="508">
        <v>1.1100000000000001</v>
      </c>
      <c r="T7134" s="508">
        <v>1.107</v>
      </c>
      <c r="U7134" s="508">
        <v>1.0820000000000001</v>
      </c>
      <c r="V7134" s="508">
        <v>1.1919999999999999</v>
      </c>
      <c r="W7134" s="508">
        <v>0.77800000000000002</v>
      </c>
      <c r="X7134" s="508">
        <v>0.78800000000000003</v>
      </c>
      <c r="Y7134" s="508">
        <v>0.77900000000000003</v>
      </c>
      <c r="Z7134" s="508">
        <v>0.77200000000000002</v>
      </c>
      <c r="AA7134" s="508">
        <v>8.1000000000000003E-2</v>
      </c>
      <c r="AB7134" s="508">
        <v>8.1000000000000003E-2</v>
      </c>
      <c r="AC7134" s="508">
        <v>7.9000000000000001E-2</v>
      </c>
      <c r="AD7134" s="508">
        <v>5.1999999999999998E-2</v>
      </c>
      <c r="AE7134" s="508">
        <v>5.1999999999999998E-2</v>
      </c>
      <c r="AF7134" s="508">
        <v>4.2999999999999997E-2</v>
      </c>
      <c r="AG7134" s="508">
        <v>4.2999999999999997E-2</v>
      </c>
      <c r="AH7134" s="508">
        <v>4.2999999999999997E-2</v>
      </c>
      <c r="AI7134" s="492">
        <v>4.2999999999999997E-2</v>
      </c>
      <c r="AJ7134" s="485"/>
    </row>
    <row r="7135" spans="2:36">
      <c r="B7135" s="136" t="s">
        <v>459</v>
      </c>
      <c r="C7135" s="132" t="s">
        <v>1363</v>
      </c>
      <c r="D7135" s="132" t="s">
        <v>1381</v>
      </c>
      <c r="E7135" s="508">
        <v>1.4890000000000001</v>
      </c>
      <c r="F7135" s="508">
        <v>1.3839999999999999</v>
      </c>
      <c r="G7135" s="508">
        <v>1.3580000000000001</v>
      </c>
      <c r="H7135" s="508">
        <v>1.2629999999999999</v>
      </c>
      <c r="I7135" s="508">
        <v>1.2370000000000001</v>
      </c>
      <c r="J7135" s="508">
        <v>1.2470000000000001</v>
      </c>
      <c r="K7135" s="508">
        <v>1.1839999999999999</v>
      </c>
      <c r="L7135" s="508">
        <v>1.214</v>
      </c>
      <c r="M7135" s="508">
        <v>1.1479999999999999</v>
      </c>
      <c r="N7135" s="508">
        <v>1.1779999999999999</v>
      </c>
      <c r="O7135" s="508">
        <v>1.153</v>
      </c>
      <c r="P7135" s="508">
        <v>1.1479999999999999</v>
      </c>
      <c r="Q7135" s="508">
        <v>1.099</v>
      </c>
      <c r="R7135" s="508">
        <v>1.119</v>
      </c>
      <c r="S7135" s="508">
        <v>1.123</v>
      </c>
      <c r="T7135" s="508">
        <v>1.117</v>
      </c>
      <c r="U7135" s="508">
        <v>1.0900000000000001</v>
      </c>
      <c r="V7135" s="508">
        <v>1.198</v>
      </c>
      <c r="W7135" s="508">
        <v>0.78300000000000003</v>
      </c>
      <c r="X7135" s="508">
        <v>0.79200000000000004</v>
      </c>
      <c r="Y7135" s="508">
        <v>0.78200000000000003</v>
      </c>
      <c r="Z7135" s="508">
        <v>0.77600000000000002</v>
      </c>
      <c r="AA7135" s="508">
        <v>8.3000000000000004E-2</v>
      </c>
      <c r="AB7135" s="508">
        <v>8.3000000000000004E-2</v>
      </c>
      <c r="AC7135" s="508">
        <v>0.08</v>
      </c>
      <c r="AD7135" s="508">
        <v>5.2999999999999999E-2</v>
      </c>
      <c r="AE7135" s="508">
        <v>5.2999999999999999E-2</v>
      </c>
      <c r="AF7135" s="508">
        <v>4.4999999999999998E-2</v>
      </c>
      <c r="AG7135" s="508">
        <v>4.3999999999999997E-2</v>
      </c>
      <c r="AH7135" s="508">
        <v>4.3999999999999997E-2</v>
      </c>
      <c r="AI7135" s="492">
        <v>4.3999999999999997E-2</v>
      </c>
      <c r="AJ7135" s="485"/>
    </row>
    <row r="7136" spans="2:36">
      <c r="B7136" s="136" t="s">
        <v>460</v>
      </c>
      <c r="C7136" s="132" t="s">
        <v>1363</v>
      </c>
      <c r="D7136" s="132" t="s">
        <v>1381</v>
      </c>
      <c r="E7136" s="508">
        <v>1.5089999999999999</v>
      </c>
      <c r="F7136" s="508">
        <v>1.399</v>
      </c>
      <c r="G7136" s="508">
        <v>1.371</v>
      </c>
      <c r="H7136" s="508">
        <v>1.274</v>
      </c>
      <c r="I7136" s="508">
        <v>1.2470000000000001</v>
      </c>
      <c r="J7136" s="508">
        <v>1.2549999999999999</v>
      </c>
      <c r="K7136" s="508">
        <v>1.1919999999999999</v>
      </c>
      <c r="L7136" s="508">
        <v>1.2210000000000001</v>
      </c>
      <c r="M7136" s="508">
        <v>1.1539999999999999</v>
      </c>
      <c r="N7136" s="508">
        <v>1.1850000000000001</v>
      </c>
      <c r="O7136" s="508">
        <v>1.1579999999999999</v>
      </c>
      <c r="P7136" s="508">
        <v>1.1539999999999999</v>
      </c>
      <c r="Q7136" s="508">
        <v>1.105</v>
      </c>
      <c r="R7136" s="508">
        <v>1.1240000000000001</v>
      </c>
      <c r="S7136" s="508">
        <v>1.1279999999999999</v>
      </c>
      <c r="T7136" s="508">
        <v>1.121</v>
      </c>
      <c r="U7136" s="508">
        <v>1.0940000000000001</v>
      </c>
      <c r="V7136" s="508">
        <v>1.202</v>
      </c>
      <c r="W7136" s="508">
        <v>0.78600000000000003</v>
      </c>
      <c r="X7136" s="508">
        <v>0.79500000000000004</v>
      </c>
      <c r="Y7136" s="508">
        <v>0.78500000000000003</v>
      </c>
      <c r="Z7136" s="508">
        <v>0.77800000000000002</v>
      </c>
      <c r="AA7136" s="508">
        <v>8.3000000000000004E-2</v>
      </c>
      <c r="AB7136" s="508">
        <v>8.3000000000000004E-2</v>
      </c>
      <c r="AC7136" s="508">
        <v>8.1000000000000003E-2</v>
      </c>
      <c r="AD7136" s="508">
        <v>5.3999999999999999E-2</v>
      </c>
      <c r="AE7136" s="508">
        <v>5.2999999999999999E-2</v>
      </c>
      <c r="AF7136" s="508">
        <v>4.4999999999999998E-2</v>
      </c>
      <c r="AG7136" s="508">
        <v>4.3999999999999997E-2</v>
      </c>
      <c r="AH7136" s="508">
        <v>4.3999999999999997E-2</v>
      </c>
      <c r="AI7136" s="492">
        <v>4.3999999999999997E-2</v>
      </c>
      <c r="AJ7136" s="485"/>
    </row>
    <row r="7137" spans="2:36">
      <c r="B7137" s="136" t="s">
        <v>461</v>
      </c>
      <c r="C7137" s="132" t="s">
        <v>1363</v>
      </c>
      <c r="D7137" s="132" t="s">
        <v>1381</v>
      </c>
      <c r="E7137" s="508">
        <v>1.5589999999999999</v>
      </c>
      <c r="F7137" s="508">
        <v>1.4330000000000001</v>
      </c>
      <c r="G7137" s="508">
        <v>1.395</v>
      </c>
      <c r="H7137" s="508">
        <v>1.2929999999999999</v>
      </c>
      <c r="I7137" s="508">
        <v>1.262</v>
      </c>
      <c r="J7137" s="508">
        <v>1.2669999999999999</v>
      </c>
      <c r="K7137" s="508">
        <v>1.202</v>
      </c>
      <c r="L7137" s="508">
        <v>1.228</v>
      </c>
      <c r="M7137" s="508">
        <v>1.161</v>
      </c>
      <c r="N7137" s="508">
        <v>1.19</v>
      </c>
      <c r="O7137" s="508">
        <v>1.163</v>
      </c>
      <c r="P7137" s="508">
        <v>1.157</v>
      </c>
      <c r="Q7137" s="508">
        <v>1.1080000000000001</v>
      </c>
      <c r="R7137" s="508">
        <v>1.1259999999999999</v>
      </c>
      <c r="S7137" s="508">
        <v>1.1299999999999999</v>
      </c>
      <c r="T7137" s="508">
        <v>1.1200000000000001</v>
      </c>
      <c r="U7137" s="508">
        <v>1.091</v>
      </c>
      <c r="V7137" s="508">
        <v>1.1970000000000001</v>
      </c>
      <c r="W7137" s="508">
        <v>0.78100000000000003</v>
      </c>
      <c r="X7137" s="508">
        <v>0.78900000000000003</v>
      </c>
      <c r="Y7137" s="508">
        <v>0.77800000000000002</v>
      </c>
      <c r="Z7137" s="508">
        <v>0.77100000000000002</v>
      </c>
      <c r="AA7137" s="508">
        <v>8.4000000000000005E-2</v>
      </c>
      <c r="AB7137" s="508">
        <v>8.4000000000000005E-2</v>
      </c>
      <c r="AC7137" s="508">
        <v>8.1000000000000003E-2</v>
      </c>
      <c r="AD7137" s="508">
        <v>5.3999999999999999E-2</v>
      </c>
      <c r="AE7137" s="508">
        <v>5.3999999999999999E-2</v>
      </c>
      <c r="AF7137" s="508">
        <v>4.4999999999999998E-2</v>
      </c>
      <c r="AG7137" s="508">
        <v>4.4999999999999998E-2</v>
      </c>
      <c r="AH7137" s="508">
        <v>4.4999999999999998E-2</v>
      </c>
      <c r="AI7137" s="492">
        <v>4.4999999999999998E-2</v>
      </c>
      <c r="AJ7137" s="485"/>
    </row>
    <row r="7138" spans="2:36">
      <c r="B7138" s="136" t="s">
        <v>462</v>
      </c>
      <c r="C7138" s="132" t="s">
        <v>1363</v>
      </c>
      <c r="D7138" s="132" t="s">
        <v>1381</v>
      </c>
      <c r="E7138" s="508">
        <v>1.2410000000000001</v>
      </c>
      <c r="F7138" s="508">
        <v>1.196</v>
      </c>
      <c r="G7138" s="508">
        <v>1.2030000000000001</v>
      </c>
      <c r="H7138" s="508">
        <v>1.1339999999999999</v>
      </c>
      <c r="I7138" s="508">
        <v>1.1240000000000001</v>
      </c>
      <c r="J7138" s="508">
        <v>1.1439999999999999</v>
      </c>
      <c r="K7138" s="508">
        <v>1.093</v>
      </c>
      <c r="L7138" s="508">
        <v>1.1279999999999999</v>
      </c>
      <c r="M7138" s="508">
        <v>1.071</v>
      </c>
      <c r="N7138" s="508">
        <v>1.1040000000000001</v>
      </c>
      <c r="O7138" s="508">
        <v>1.0840000000000001</v>
      </c>
      <c r="P7138" s="508">
        <v>1.083</v>
      </c>
      <c r="Q7138" s="508">
        <v>1.0389999999999999</v>
      </c>
      <c r="R7138" s="508">
        <v>1.06</v>
      </c>
      <c r="S7138" s="508">
        <v>1.0669999999999999</v>
      </c>
      <c r="T7138" s="508">
        <v>1.069</v>
      </c>
      <c r="U7138" s="508">
        <v>1.0489999999999999</v>
      </c>
      <c r="V7138" s="508">
        <v>1.1559999999999999</v>
      </c>
      <c r="W7138" s="508">
        <v>0.74299999999999999</v>
      </c>
      <c r="X7138" s="508">
        <v>0.754</v>
      </c>
      <c r="Y7138" s="508">
        <v>0.746</v>
      </c>
      <c r="Z7138" s="508">
        <v>0.74</v>
      </c>
      <c r="AA7138" s="508">
        <v>7.4999999999999997E-2</v>
      </c>
      <c r="AB7138" s="508">
        <v>7.5999999999999998E-2</v>
      </c>
      <c r="AC7138" s="508">
        <v>7.3999999999999996E-2</v>
      </c>
      <c r="AD7138" s="508">
        <v>4.8000000000000001E-2</v>
      </c>
      <c r="AE7138" s="508">
        <v>4.8000000000000001E-2</v>
      </c>
      <c r="AF7138" s="508">
        <v>0.04</v>
      </c>
      <c r="AG7138" s="508">
        <v>3.9E-2</v>
      </c>
      <c r="AH7138" s="508">
        <v>3.9E-2</v>
      </c>
      <c r="AI7138" s="492">
        <v>3.9E-2</v>
      </c>
      <c r="AJ7138" s="485"/>
    </row>
    <row r="7139" spans="2:36">
      <c r="B7139" s="136" t="s">
        <v>463</v>
      </c>
      <c r="C7139" s="132" t="s">
        <v>1363</v>
      </c>
      <c r="D7139" s="132" t="s">
        <v>1381</v>
      </c>
      <c r="E7139" s="508">
        <v>1.3069999999999999</v>
      </c>
      <c r="F7139" s="508">
        <v>1.2350000000000001</v>
      </c>
      <c r="G7139" s="508">
        <v>1.2250000000000001</v>
      </c>
      <c r="H7139" s="508">
        <v>1.149</v>
      </c>
      <c r="I7139" s="508">
        <v>1.1319999999999999</v>
      </c>
      <c r="J7139" s="508">
        <v>1.145</v>
      </c>
      <c r="K7139" s="508">
        <v>1.093</v>
      </c>
      <c r="L7139" s="508">
        <v>1.121</v>
      </c>
      <c r="M7139" s="508">
        <v>1.0660000000000001</v>
      </c>
      <c r="N7139" s="508">
        <v>1.0940000000000001</v>
      </c>
      <c r="O7139" s="508">
        <v>1.073</v>
      </c>
      <c r="P7139" s="508">
        <v>1.07</v>
      </c>
      <c r="Q7139" s="508">
        <v>1.0289999999999999</v>
      </c>
      <c r="R7139" s="508">
        <v>1.0469999999999999</v>
      </c>
      <c r="S7139" s="508">
        <v>1.0509999999999999</v>
      </c>
      <c r="T7139" s="508">
        <v>1.0489999999999999</v>
      </c>
      <c r="U7139" s="508">
        <v>1.0269999999999999</v>
      </c>
      <c r="V7139" s="508">
        <v>1.1240000000000001</v>
      </c>
      <c r="W7139" s="508">
        <v>0.71199999999999997</v>
      </c>
      <c r="X7139" s="508">
        <v>0.72099999999999997</v>
      </c>
      <c r="Y7139" s="508">
        <v>0.71299999999999997</v>
      </c>
      <c r="Z7139" s="508">
        <v>0.70699999999999996</v>
      </c>
      <c r="AA7139" s="508">
        <v>7.3999999999999996E-2</v>
      </c>
      <c r="AB7139" s="508">
        <v>7.3999999999999996E-2</v>
      </c>
      <c r="AC7139" s="508">
        <v>7.1999999999999995E-2</v>
      </c>
      <c r="AD7139" s="508">
        <v>4.7E-2</v>
      </c>
      <c r="AE7139" s="508">
        <v>4.7E-2</v>
      </c>
      <c r="AF7139" s="508">
        <v>3.9E-2</v>
      </c>
      <c r="AG7139" s="508">
        <v>3.9E-2</v>
      </c>
      <c r="AH7139" s="508">
        <v>3.9E-2</v>
      </c>
      <c r="AI7139" s="492">
        <v>3.9E-2</v>
      </c>
      <c r="AJ7139" s="485"/>
    </row>
    <row r="7140" spans="2:36">
      <c r="B7140" s="136" t="s">
        <v>464</v>
      </c>
      <c r="C7140" s="132" t="s">
        <v>1363</v>
      </c>
      <c r="D7140" s="132" t="s">
        <v>1381</v>
      </c>
      <c r="E7140" s="508">
        <v>1.4</v>
      </c>
      <c r="F7140" s="508">
        <v>1.3</v>
      </c>
      <c r="G7140" s="508">
        <v>1.272</v>
      </c>
      <c r="H7140" s="508">
        <v>1.1870000000000001</v>
      </c>
      <c r="I7140" s="508">
        <v>1.163</v>
      </c>
      <c r="J7140" s="508">
        <v>1.169</v>
      </c>
      <c r="K7140" s="508">
        <v>1.1140000000000001</v>
      </c>
      <c r="L7140" s="508">
        <v>1.1379999999999999</v>
      </c>
      <c r="M7140" s="508">
        <v>1.081</v>
      </c>
      <c r="N7140" s="508">
        <v>1.1060000000000001</v>
      </c>
      <c r="O7140" s="508">
        <v>1.083</v>
      </c>
      <c r="P7140" s="508">
        <v>1.079</v>
      </c>
      <c r="Q7140" s="508">
        <v>1.0369999999999999</v>
      </c>
      <c r="R7140" s="508">
        <v>1.0529999999999999</v>
      </c>
      <c r="S7140" s="508">
        <v>1.056</v>
      </c>
      <c r="T7140" s="508">
        <v>1.0489999999999999</v>
      </c>
      <c r="U7140" s="508">
        <v>1.026</v>
      </c>
      <c r="V7140" s="508">
        <v>1.1160000000000001</v>
      </c>
      <c r="W7140" s="508">
        <v>0.70299999999999996</v>
      </c>
      <c r="X7140" s="508">
        <v>0.71099999999999997</v>
      </c>
      <c r="Y7140" s="508">
        <v>0.70199999999999996</v>
      </c>
      <c r="Z7140" s="508">
        <v>0.69599999999999995</v>
      </c>
      <c r="AA7140" s="508">
        <v>7.4999999999999997E-2</v>
      </c>
      <c r="AB7140" s="508">
        <v>7.4999999999999997E-2</v>
      </c>
      <c r="AC7140" s="508">
        <v>7.1999999999999995E-2</v>
      </c>
      <c r="AD7140" s="508">
        <v>4.8000000000000001E-2</v>
      </c>
      <c r="AE7140" s="508">
        <v>4.8000000000000001E-2</v>
      </c>
      <c r="AF7140" s="508">
        <v>0.04</v>
      </c>
      <c r="AG7140" s="508">
        <v>0.04</v>
      </c>
      <c r="AH7140" s="508">
        <v>0.04</v>
      </c>
      <c r="AI7140" s="492">
        <v>0.04</v>
      </c>
      <c r="AJ7140" s="485"/>
    </row>
    <row r="7141" spans="2:36">
      <c r="B7141" s="136" t="s">
        <v>465</v>
      </c>
      <c r="C7141" s="132" t="s">
        <v>1363</v>
      </c>
      <c r="D7141" s="132" t="s">
        <v>1381</v>
      </c>
      <c r="E7141" s="508">
        <v>1.3660000000000001</v>
      </c>
      <c r="F7141" s="508">
        <v>1.2789999999999999</v>
      </c>
      <c r="G7141" s="508">
        <v>1.2589999999999999</v>
      </c>
      <c r="H7141" s="508">
        <v>1.1779999999999999</v>
      </c>
      <c r="I7141" s="508">
        <v>1.157</v>
      </c>
      <c r="J7141" s="508">
        <v>1.1659999999999999</v>
      </c>
      <c r="K7141" s="508">
        <v>1.1120000000000001</v>
      </c>
      <c r="L7141" s="508">
        <v>1.1379999999999999</v>
      </c>
      <c r="M7141" s="508">
        <v>1.081</v>
      </c>
      <c r="N7141" s="508">
        <v>1.109</v>
      </c>
      <c r="O7141" s="508">
        <v>1.0860000000000001</v>
      </c>
      <c r="P7141" s="508">
        <v>1.083</v>
      </c>
      <c r="Q7141" s="508">
        <v>1.04</v>
      </c>
      <c r="R7141" s="508">
        <v>1.0580000000000001</v>
      </c>
      <c r="S7141" s="508">
        <v>1.0620000000000001</v>
      </c>
      <c r="T7141" s="508">
        <v>1.0569999999999999</v>
      </c>
      <c r="U7141" s="508">
        <v>1.034</v>
      </c>
      <c r="V7141" s="508">
        <v>1.129</v>
      </c>
      <c r="W7141" s="508">
        <v>0.71599999999999997</v>
      </c>
      <c r="X7141" s="508">
        <v>0.72499999999999998</v>
      </c>
      <c r="Y7141" s="508">
        <v>0.71599999999999997</v>
      </c>
      <c r="Z7141" s="508">
        <v>0.71</v>
      </c>
      <c r="AA7141" s="508">
        <v>7.4999999999999997E-2</v>
      </c>
      <c r="AB7141" s="508">
        <v>7.4999999999999997E-2</v>
      </c>
      <c r="AC7141" s="508">
        <v>7.2999999999999995E-2</v>
      </c>
      <c r="AD7141" s="508">
        <v>4.8000000000000001E-2</v>
      </c>
      <c r="AE7141" s="508">
        <v>4.8000000000000001E-2</v>
      </c>
      <c r="AF7141" s="508">
        <v>0.04</v>
      </c>
      <c r="AG7141" s="508">
        <v>0.04</v>
      </c>
      <c r="AH7141" s="508">
        <v>0.04</v>
      </c>
      <c r="AI7141" s="492">
        <v>0.04</v>
      </c>
      <c r="AJ7141" s="485"/>
    </row>
    <row r="7142" spans="2:36">
      <c r="B7142" s="136" t="s">
        <v>466</v>
      </c>
      <c r="C7142" s="132" t="s">
        <v>1363</v>
      </c>
      <c r="D7142" s="132" t="s">
        <v>1381</v>
      </c>
      <c r="E7142" s="508">
        <v>1.393</v>
      </c>
      <c r="F7142" s="508">
        <v>1.3240000000000001</v>
      </c>
      <c r="G7142" s="508">
        <v>1.3220000000000001</v>
      </c>
      <c r="H7142" s="508">
        <v>1.236</v>
      </c>
      <c r="I7142" s="508">
        <v>1.2210000000000001</v>
      </c>
      <c r="J7142" s="508">
        <v>1.24</v>
      </c>
      <c r="K7142" s="508">
        <v>1.179</v>
      </c>
      <c r="L7142" s="508">
        <v>1.2170000000000001</v>
      </c>
      <c r="M7142" s="508">
        <v>1.1499999999999999</v>
      </c>
      <c r="N7142" s="508">
        <v>1.1870000000000001</v>
      </c>
      <c r="O7142" s="508">
        <v>1.1619999999999999</v>
      </c>
      <c r="P7142" s="508">
        <v>1.1599999999999999</v>
      </c>
      <c r="Q7142" s="508">
        <v>1.1100000000000001</v>
      </c>
      <c r="R7142" s="508">
        <v>1.133</v>
      </c>
      <c r="S7142" s="508">
        <v>1.139</v>
      </c>
      <c r="T7142" s="508">
        <v>1.1399999999999999</v>
      </c>
      <c r="U7142" s="508">
        <v>1.115</v>
      </c>
      <c r="V7142" s="508">
        <v>1.2350000000000001</v>
      </c>
      <c r="W7142" s="508">
        <v>0.82</v>
      </c>
      <c r="X7142" s="508">
        <v>0.83099999999999996</v>
      </c>
      <c r="Y7142" s="508">
        <v>0.82199999999999995</v>
      </c>
      <c r="Z7142" s="508">
        <v>0.81499999999999995</v>
      </c>
      <c r="AA7142" s="508">
        <v>8.4000000000000005E-2</v>
      </c>
      <c r="AB7142" s="508">
        <v>8.5000000000000006E-2</v>
      </c>
      <c r="AC7142" s="508">
        <v>8.2000000000000003E-2</v>
      </c>
      <c r="AD7142" s="508">
        <v>5.3999999999999999E-2</v>
      </c>
      <c r="AE7142" s="508">
        <v>5.2999999999999999E-2</v>
      </c>
      <c r="AF7142" s="508">
        <v>4.4999999999999998E-2</v>
      </c>
      <c r="AG7142" s="508">
        <v>4.3999999999999997E-2</v>
      </c>
      <c r="AH7142" s="508">
        <v>4.3999999999999997E-2</v>
      </c>
      <c r="AI7142" s="492">
        <v>4.3999999999999997E-2</v>
      </c>
      <c r="AJ7142" s="485"/>
    </row>
    <row r="7143" spans="2:36">
      <c r="B7143" s="136" t="s">
        <v>467</v>
      </c>
      <c r="C7143" s="132" t="s">
        <v>1363</v>
      </c>
      <c r="D7143" s="132" t="s">
        <v>1381</v>
      </c>
      <c r="E7143" s="508">
        <v>1.494</v>
      </c>
      <c r="F7143" s="508">
        <v>1.3839999999999999</v>
      </c>
      <c r="G7143" s="508">
        <v>1.3540000000000001</v>
      </c>
      <c r="H7143" s="508">
        <v>1.2589999999999999</v>
      </c>
      <c r="I7143" s="508">
        <v>1.2310000000000001</v>
      </c>
      <c r="J7143" s="508">
        <v>1.2390000000000001</v>
      </c>
      <c r="K7143" s="508">
        <v>1.177</v>
      </c>
      <c r="L7143" s="508">
        <v>1.204</v>
      </c>
      <c r="M7143" s="508">
        <v>1.1399999999999999</v>
      </c>
      <c r="N7143" s="508">
        <v>1.169</v>
      </c>
      <c r="O7143" s="508">
        <v>1.143</v>
      </c>
      <c r="P7143" s="508">
        <v>1.139</v>
      </c>
      <c r="Q7143" s="508">
        <v>1.091</v>
      </c>
      <c r="R7143" s="508">
        <v>1.109</v>
      </c>
      <c r="S7143" s="508">
        <v>1.113</v>
      </c>
      <c r="T7143" s="508">
        <v>1.1060000000000001</v>
      </c>
      <c r="U7143" s="508">
        <v>1.079</v>
      </c>
      <c r="V7143" s="508">
        <v>1.1830000000000001</v>
      </c>
      <c r="W7143" s="508">
        <v>0.76800000000000002</v>
      </c>
      <c r="X7143" s="508">
        <v>0.77700000000000002</v>
      </c>
      <c r="Y7143" s="508">
        <v>0.76700000000000002</v>
      </c>
      <c r="Z7143" s="508">
        <v>0.76</v>
      </c>
      <c r="AA7143" s="508">
        <v>8.2000000000000003E-2</v>
      </c>
      <c r="AB7143" s="508">
        <v>8.2000000000000003E-2</v>
      </c>
      <c r="AC7143" s="508">
        <v>7.9000000000000001E-2</v>
      </c>
      <c r="AD7143" s="508">
        <v>5.2999999999999999E-2</v>
      </c>
      <c r="AE7143" s="508">
        <v>5.1999999999999998E-2</v>
      </c>
      <c r="AF7143" s="508">
        <v>4.3999999999999997E-2</v>
      </c>
      <c r="AG7143" s="508">
        <v>4.2999999999999997E-2</v>
      </c>
      <c r="AH7143" s="508">
        <v>4.3999999999999997E-2</v>
      </c>
      <c r="AI7143" s="492">
        <v>4.3999999999999997E-2</v>
      </c>
      <c r="AJ7143" s="485"/>
    </row>
    <row r="7144" spans="2:36">
      <c r="B7144" s="136" t="s">
        <v>468</v>
      </c>
      <c r="C7144" s="132" t="s">
        <v>1363</v>
      </c>
      <c r="D7144" s="132" t="s">
        <v>1381</v>
      </c>
      <c r="E7144" s="508">
        <v>1.248</v>
      </c>
      <c r="F7144" s="508">
        <v>1.1850000000000001</v>
      </c>
      <c r="G7144" s="508">
        <v>1.177</v>
      </c>
      <c r="H7144" s="508">
        <v>1.1080000000000001</v>
      </c>
      <c r="I7144" s="508">
        <v>1.093</v>
      </c>
      <c r="J7144" s="508">
        <v>1.1060000000000001</v>
      </c>
      <c r="K7144" s="508">
        <v>1.0580000000000001</v>
      </c>
      <c r="L7144" s="508">
        <v>1.085</v>
      </c>
      <c r="M7144" s="508">
        <v>1.034</v>
      </c>
      <c r="N7144" s="508">
        <v>1.0609999999999999</v>
      </c>
      <c r="O7144" s="508">
        <v>1.0409999999999999</v>
      </c>
      <c r="P7144" s="508">
        <v>1.0389999999999999</v>
      </c>
      <c r="Q7144" s="508">
        <v>1</v>
      </c>
      <c r="R7144" s="508">
        <v>1.0169999999999999</v>
      </c>
      <c r="S7144" s="508">
        <v>1.022</v>
      </c>
      <c r="T7144" s="508">
        <v>1.02</v>
      </c>
      <c r="U7144" s="508">
        <v>1</v>
      </c>
      <c r="V7144" s="508">
        <v>1.0900000000000001</v>
      </c>
      <c r="W7144" s="508">
        <v>0.67900000000000005</v>
      </c>
      <c r="X7144" s="508">
        <v>0.68799999999999994</v>
      </c>
      <c r="Y7144" s="508">
        <v>0.68</v>
      </c>
      <c r="Z7144" s="508">
        <v>0.67500000000000004</v>
      </c>
      <c r="AA7144" s="508">
        <v>7.0000000000000007E-2</v>
      </c>
      <c r="AB7144" s="508">
        <v>7.0000000000000007E-2</v>
      </c>
      <c r="AC7144" s="508">
        <v>6.8000000000000005E-2</v>
      </c>
      <c r="AD7144" s="508">
        <v>4.4999999999999998E-2</v>
      </c>
      <c r="AE7144" s="508">
        <v>4.4999999999999998E-2</v>
      </c>
      <c r="AF7144" s="508">
        <v>3.6999999999999998E-2</v>
      </c>
      <c r="AG7144" s="508">
        <v>3.6999999999999998E-2</v>
      </c>
      <c r="AH7144" s="508">
        <v>3.6999999999999998E-2</v>
      </c>
      <c r="AI7144" s="492">
        <v>3.6999999999999998E-2</v>
      </c>
      <c r="AJ7144" s="485"/>
    </row>
    <row r="7145" spans="2:36">
      <c r="B7145" s="136" t="s">
        <v>469</v>
      </c>
      <c r="C7145" s="132" t="s">
        <v>1363</v>
      </c>
      <c r="D7145" s="132" t="s">
        <v>1381</v>
      </c>
      <c r="E7145" s="508">
        <v>1.3160000000000001</v>
      </c>
      <c r="F7145" s="508">
        <v>1.2450000000000001</v>
      </c>
      <c r="G7145" s="508">
        <v>1.236</v>
      </c>
      <c r="H7145" s="508">
        <v>1.1599999999999999</v>
      </c>
      <c r="I7145" s="508">
        <v>1.143</v>
      </c>
      <c r="J7145" s="508">
        <v>1.1559999999999999</v>
      </c>
      <c r="K7145" s="508">
        <v>1.1040000000000001</v>
      </c>
      <c r="L7145" s="508">
        <v>1.133</v>
      </c>
      <c r="M7145" s="508">
        <v>1.0760000000000001</v>
      </c>
      <c r="N7145" s="508">
        <v>1.1060000000000001</v>
      </c>
      <c r="O7145" s="508">
        <v>1.0840000000000001</v>
      </c>
      <c r="P7145" s="508">
        <v>1.0820000000000001</v>
      </c>
      <c r="Q7145" s="508">
        <v>1.0389999999999999</v>
      </c>
      <c r="R7145" s="508">
        <v>1.0580000000000001</v>
      </c>
      <c r="S7145" s="508">
        <v>1.0629999999999999</v>
      </c>
      <c r="T7145" s="508">
        <v>1.0609999999999999</v>
      </c>
      <c r="U7145" s="508">
        <v>1.0389999999999999</v>
      </c>
      <c r="V7145" s="508">
        <v>1.1379999999999999</v>
      </c>
      <c r="W7145" s="508">
        <v>0.72499999999999998</v>
      </c>
      <c r="X7145" s="508">
        <v>0.73399999999999999</v>
      </c>
      <c r="Y7145" s="508">
        <v>0.72599999999999998</v>
      </c>
      <c r="Z7145" s="508">
        <v>0.72</v>
      </c>
      <c r="AA7145" s="508">
        <v>7.4999999999999997E-2</v>
      </c>
      <c r="AB7145" s="508">
        <v>7.4999999999999997E-2</v>
      </c>
      <c r="AC7145" s="508">
        <v>7.2999999999999995E-2</v>
      </c>
      <c r="AD7145" s="508">
        <v>4.8000000000000001E-2</v>
      </c>
      <c r="AE7145" s="508">
        <v>4.8000000000000001E-2</v>
      </c>
      <c r="AF7145" s="508">
        <v>0.04</v>
      </c>
      <c r="AG7145" s="508">
        <v>0.04</v>
      </c>
      <c r="AH7145" s="508">
        <v>0.04</v>
      </c>
      <c r="AI7145" s="492">
        <v>0.04</v>
      </c>
      <c r="AJ7145" s="485"/>
    </row>
    <row r="7146" spans="2:36">
      <c r="B7146" s="136" t="s">
        <v>470</v>
      </c>
      <c r="C7146" s="132" t="s">
        <v>1363</v>
      </c>
      <c r="D7146" s="132" t="s">
        <v>1381</v>
      </c>
      <c r="E7146" s="508">
        <v>1.522</v>
      </c>
      <c r="F7146" s="508">
        <v>1.415</v>
      </c>
      <c r="G7146" s="508">
        <v>1.391</v>
      </c>
      <c r="H7146" s="508">
        <v>1.2909999999999999</v>
      </c>
      <c r="I7146" s="508">
        <v>1.2649999999999999</v>
      </c>
      <c r="J7146" s="508">
        <v>1.276</v>
      </c>
      <c r="K7146" s="508">
        <v>1.2110000000000001</v>
      </c>
      <c r="L7146" s="508">
        <v>1.242</v>
      </c>
      <c r="M7146" s="508">
        <v>1.173</v>
      </c>
      <c r="N7146" s="508">
        <v>1.206</v>
      </c>
      <c r="O7146" s="508">
        <v>1.179</v>
      </c>
      <c r="P7146" s="508">
        <v>1.1739999999999999</v>
      </c>
      <c r="Q7146" s="508">
        <v>1.123</v>
      </c>
      <c r="R7146" s="508">
        <v>1.1439999999999999</v>
      </c>
      <c r="S7146" s="508">
        <v>1.149</v>
      </c>
      <c r="T7146" s="508">
        <v>1.143</v>
      </c>
      <c r="U7146" s="508">
        <v>1.1140000000000001</v>
      </c>
      <c r="V7146" s="508">
        <v>1.2290000000000001</v>
      </c>
      <c r="W7146" s="508">
        <v>0.81299999999999994</v>
      </c>
      <c r="X7146" s="508">
        <v>0.82299999999999995</v>
      </c>
      <c r="Y7146" s="508">
        <v>0.81200000000000006</v>
      </c>
      <c r="Z7146" s="508">
        <v>0.80500000000000005</v>
      </c>
      <c r="AA7146" s="508">
        <v>8.5999999999999993E-2</v>
      </c>
      <c r="AB7146" s="508">
        <v>8.5999999999999993E-2</v>
      </c>
      <c r="AC7146" s="508">
        <v>8.3000000000000004E-2</v>
      </c>
      <c r="AD7146" s="508">
        <v>5.5E-2</v>
      </c>
      <c r="AE7146" s="508">
        <v>5.5E-2</v>
      </c>
      <c r="AF7146" s="508">
        <v>4.5999999999999999E-2</v>
      </c>
      <c r="AG7146" s="508">
        <v>4.5999999999999999E-2</v>
      </c>
      <c r="AH7146" s="508">
        <v>4.5999999999999999E-2</v>
      </c>
      <c r="AI7146" s="492">
        <v>4.5999999999999999E-2</v>
      </c>
      <c r="AJ7146" s="485"/>
    </row>
    <row r="7147" spans="2:36">
      <c r="B7147" s="136" t="s">
        <v>471</v>
      </c>
      <c r="C7147" s="132" t="s">
        <v>1363</v>
      </c>
      <c r="D7147" s="132" t="s">
        <v>1381</v>
      </c>
      <c r="E7147" s="508">
        <v>1.3560000000000001</v>
      </c>
      <c r="F7147" s="508">
        <v>1.288</v>
      </c>
      <c r="G7147" s="508">
        <v>1.286</v>
      </c>
      <c r="H7147" s="508">
        <v>1.2030000000000001</v>
      </c>
      <c r="I7147" s="508">
        <v>1.1879999999999999</v>
      </c>
      <c r="J7147" s="508">
        <v>1.206</v>
      </c>
      <c r="K7147" s="508">
        <v>1.1479999999999999</v>
      </c>
      <c r="L7147" s="508">
        <v>1.1830000000000001</v>
      </c>
      <c r="M7147" s="508">
        <v>1.1200000000000001</v>
      </c>
      <c r="N7147" s="508">
        <v>1.1539999999999999</v>
      </c>
      <c r="O7147" s="508">
        <v>1.131</v>
      </c>
      <c r="P7147" s="508">
        <v>1.129</v>
      </c>
      <c r="Q7147" s="508">
        <v>1.081</v>
      </c>
      <c r="R7147" s="508">
        <v>1.103</v>
      </c>
      <c r="S7147" s="508">
        <v>1.109</v>
      </c>
      <c r="T7147" s="508">
        <v>1.1080000000000001</v>
      </c>
      <c r="U7147" s="508">
        <v>1.085</v>
      </c>
      <c r="V7147" s="508">
        <v>1.198</v>
      </c>
      <c r="W7147" s="508">
        <v>0.78400000000000003</v>
      </c>
      <c r="X7147" s="508">
        <v>0.79400000000000004</v>
      </c>
      <c r="Y7147" s="508">
        <v>0.78500000000000003</v>
      </c>
      <c r="Z7147" s="508">
        <v>0.77900000000000003</v>
      </c>
      <c r="AA7147" s="508">
        <v>8.1000000000000003E-2</v>
      </c>
      <c r="AB7147" s="508">
        <v>8.1000000000000003E-2</v>
      </c>
      <c r="AC7147" s="508">
        <v>7.8E-2</v>
      </c>
      <c r="AD7147" s="508">
        <v>5.1999999999999998E-2</v>
      </c>
      <c r="AE7147" s="508">
        <v>5.0999999999999997E-2</v>
      </c>
      <c r="AF7147" s="508">
        <v>4.2999999999999997E-2</v>
      </c>
      <c r="AG7147" s="508">
        <v>4.2000000000000003E-2</v>
      </c>
      <c r="AH7147" s="508">
        <v>4.2000000000000003E-2</v>
      </c>
      <c r="AI7147" s="492">
        <v>4.2000000000000003E-2</v>
      </c>
      <c r="AJ7147" s="485"/>
    </row>
    <row r="7148" spans="2:36">
      <c r="B7148" s="136" t="s">
        <v>472</v>
      </c>
      <c r="C7148" s="132" t="s">
        <v>1363</v>
      </c>
      <c r="D7148" s="132" t="s">
        <v>1381</v>
      </c>
      <c r="E7148" s="508">
        <v>1.4650000000000001</v>
      </c>
      <c r="F7148" s="508">
        <v>1.349</v>
      </c>
      <c r="G7148" s="508">
        <v>1.3129999999999999</v>
      </c>
      <c r="H7148" s="508">
        <v>1.222</v>
      </c>
      <c r="I7148" s="508">
        <v>1.1930000000000001</v>
      </c>
      <c r="J7148" s="508">
        <v>1.196</v>
      </c>
      <c r="K7148" s="508">
        <v>1.1379999999999999</v>
      </c>
      <c r="L7148" s="508">
        <v>1.161</v>
      </c>
      <c r="M7148" s="508">
        <v>1.1020000000000001</v>
      </c>
      <c r="N7148" s="508">
        <v>1.1259999999999999</v>
      </c>
      <c r="O7148" s="508">
        <v>1.1020000000000001</v>
      </c>
      <c r="P7148" s="508">
        <v>1.097</v>
      </c>
      <c r="Q7148" s="508">
        <v>1.054</v>
      </c>
      <c r="R7148" s="508">
        <v>1.069</v>
      </c>
      <c r="S7148" s="508">
        <v>1.0720000000000001</v>
      </c>
      <c r="T7148" s="508">
        <v>1.0629999999999999</v>
      </c>
      <c r="U7148" s="508">
        <v>1.0369999999999999</v>
      </c>
      <c r="V7148" s="508">
        <v>1.129</v>
      </c>
      <c r="W7148" s="508">
        <v>0.71399999999999997</v>
      </c>
      <c r="X7148" s="508">
        <v>0.72199999999999998</v>
      </c>
      <c r="Y7148" s="508">
        <v>0.71299999999999997</v>
      </c>
      <c r="Z7148" s="508">
        <v>0.70599999999999996</v>
      </c>
      <c r="AA7148" s="508">
        <v>7.6999999999999999E-2</v>
      </c>
      <c r="AB7148" s="508">
        <v>7.6999999999999999E-2</v>
      </c>
      <c r="AC7148" s="508">
        <v>7.3999999999999996E-2</v>
      </c>
      <c r="AD7148" s="508">
        <v>0.05</v>
      </c>
      <c r="AE7148" s="508">
        <v>4.9000000000000002E-2</v>
      </c>
      <c r="AF7148" s="508">
        <v>4.1000000000000002E-2</v>
      </c>
      <c r="AG7148" s="508">
        <v>4.1000000000000002E-2</v>
      </c>
      <c r="AH7148" s="508">
        <v>4.1000000000000002E-2</v>
      </c>
      <c r="AI7148" s="492">
        <v>4.1000000000000002E-2</v>
      </c>
      <c r="AJ7148" s="485"/>
    </row>
    <row r="7149" spans="2:36">
      <c r="B7149" s="136" t="s">
        <v>473</v>
      </c>
      <c r="C7149" s="132" t="s">
        <v>1363</v>
      </c>
      <c r="D7149" s="132" t="s">
        <v>1381</v>
      </c>
      <c r="E7149" s="508">
        <v>1.5169999999999999</v>
      </c>
      <c r="F7149" s="508">
        <v>1.4119999999999999</v>
      </c>
      <c r="G7149" s="508">
        <v>1.389</v>
      </c>
      <c r="H7149" s="508">
        <v>1.2909999999999999</v>
      </c>
      <c r="I7149" s="508">
        <v>1.2649999999999999</v>
      </c>
      <c r="J7149" s="508">
        <v>1.2769999999999999</v>
      </c>
      <c r="K7149" s="508">
        <v>1.2110000000000001</v>
      </c>
      <c r="L7149" s="508">
        <v>1.244</v>
      </c>
      <c r="M7149" s="508">
        <v>1.1739999999999999</v>
      </c>
      <c r="N7149" s="508">
        <v>1.208</v>
      </c>
      <c r="O7149" s="508">
        <v>1.181</v>
      </c>
      <c r="P7149" s="508">
        <v>1.1759999999999999</v>
      </c>
      <c r="Q7149" s="508">
        <v>1.125</v>
      </c>
      <c r="R7149" s="508">
        <v>1.1459999999999999</v>
      </c>
      <c r="S7149" s="508">
        <v>1.151</v>
      </c>
      <c r="T7149" s="508">
        <v>1.145</v>
      </c>
      <c r="U7149" s="508">
        <v>1.117</v>
      </c>
      <c r="V7149" s="508">
        <v>1.2330000000000001</v>
      </c>
      <c r="W7149" s="508">
        <v>0.81599999999999995</v>
      </c>
      <c r="X7149" s="508">
        <v>0.82599999999999996</v>
      </c>
      <c r="Y7149" s="508">
        <v>0.81599999999999995</v>
      </c>
      <c r="Z7149" s="508">
        <v>0.80900000000000005</v>
      </c>
      <c r="AA7149" s="508">
        <v>8.5999999999999993E-2</v>
      </c>
      <c r="AB7149" s="508">
        <v>8.5999999999999993E-2</v>
      </c>
      <c r="AC7149" s="508">
        <v>8.3000000000000004E-2</v>
      </c>
      <c r="AD7149" s="508">
        <v>5.5E-2</v>
      </c>
      <c r="AE7149" s="508">
        <v>5.5E-2</v>
      </c>
      <c r="AF7149" s="508">
        <v>4.5999999999999999E-2</v>
      </c>
      <c r="AG7149" s="508">
        <v>4.5999999999999999E-2</v>
      </c>
      <c r="AH7149" s="508">
        <v>4.5999999999999999E-2</v>
      </c>
      <c r="AI7149" s="492">
        <v>4.5999999999999999E-2</v>
      </c>
      <c r="AJ7149" s="485"/>
    </row>
    <row r="7150" spans="2:36">
      <c r="B7150" s="136" t="s">
        <v>474</v>
      </c>
      <c r="C7150" s="132" t="s">
        <v>1363</v>
      </c>
      <c r="D7150" s="132" t="s">
        <v>1381</v>
      </c>
      <c r="E7150" s="508">
        <v>1.3220000000000001</v>
      </c>
      <c r="F7150" s="508">
        <v>1.258</v>
      </c>
      <c r="G7150" s="508">
        <v>1.256</v>
      </c>
      <c r="H7150" s="508">
        <v>1.177</v>
      </c>
      <c r="I7150" s="508">
        <v>1.163</v>
      </c>
      <c r="J7150" s="508">
        <v>1.18</v>
      </c>
      <c r="K7150" s="508">
        <v>1.125</v>
      </c>
      <c r="L7150" s="508">
        <v>1.1579999999999999</v>
      </c>
      <c r="M7150" s="508">
        <v>1.0980000000000001</v>
      </c>
      <c r="N7150" s="508">
        <v>1.131</v>
      </c>
      <c r="O7150" s="508">
        <v>1.109</v>
      </c>
      <c r="P7150" s="508">
        <v>1.107</v>
      </c>
      <c r="Q7150" s="508">
        <v>1.0609999999999999</v>
      </c>
      <c r="R7150" s="508">
        <v>1.0820000000000001</v>
      </c>
      <c r="S7150" s="508">
        <v>1.0880000000000001</v>
      </c>
      <c r="T7150" s="508">
        <v>1.0880000000000001</v>
      </c>
      <c r="U7150" s="508">
        <v>1.0649999999999999</v>
      </c>
      <c r="V7150" s="508">
        <v>1.173</v>
      </c>
      <c r="W7150" s="508">
        <v>0.76</v>
      </c>
      <c r="X7150" s="508">
        <v>0.77</v>
      </c>
      <c r="Y7150" s="508">
        <v>0.76100000000000001</v>
      </c>
      <c r="Z7150" s="508">
        <v>0.755</v>
      </c>
      <c r="AA7150" s="508">
        <v>7.8E-2</v>
      </c>
      <c r="AB7150" s="508">
        <v>7.8E-2</v>
      </c>
      <c r="AC7150" s="508">
        <v>7.5999999999999998E-2</v>
      </c>
      <c r="AD7150" s="508">
        <v>0.05</v>
      </c>
      <c r="AE7150" s="508">
        <v>0.05</v>
      </c>
      <c r="AF7150" s="508">
        <v>4.2000000000000003E-2</v>
      </c>
      <c r="AG7150" s="508">
        <v>4.1000000000000002E-2</v>
      </c>
      <c r="AH7150" s="508">
        <v>4.1000000000000002E-2</v>
      </c>
      <c r="AI7150" s="492">
        <v>4.1000000000000002E-2</v>
      </c>
      <c r="AJ7150" s="485"/>
    </row>
    <row r="7151" spans="2:36">
      <c r="B7151" s="136" t="s">
        <v>475</v>
      </c>
      <c r="C7151" s="132" t="s">
        <v>1363</v>
      </c>
      <c r="D7151" s="132" t="s">
        <v>1381</v>
      </c>
      <c r="E7151" s="508">
        <v>1.3979999999999999</v>
      </c>
      <c r="F7151" s="508">
        <v>1.3109999999999999</v>
      </c>
      <c r="G7151" s="508">
        <v>1.2929999999999999</v>
      </c>
      <c r="H7151" s="508">
        <v>1.208</v>
      </c>
      <c r="I7151" s="508">
        <v>1.1870000000000001</v>
      </c>
      <c r="J7151" s="508">
        <v>1.198</v>
      </c>
      <c r="K7151" s="508">
        <v>1.141</v>
      </c>
      <c r="L7151" s="508">
        <v>1.17</v>
      </c>
      <c r="M7151" s="508">
        <v>1.109</v>
      </c>
      <c r="N7151" s="508">
        <v>1.139</v>
      </c>
      <c r="O7151" s="508">
        <v>1.1160000000000001</v>
      </c>
      <c r="P7151" s="508">
        <v>1.1120000000000001</v>
      </c>
      <c r="Q7151" s="508">
        <v>1.0669999999999999</v>
      </c>
      <c r="R7151" s="508">
        <v>1.0860000000000001</v>
      </c>
      <c r="S7151" s="508">
        <v>1.0900000000000001</v>
      </c>
      <c r="T7151" s="508">
        <v>1.0860000000000001</v>
      </c>
      <c r="U7151" s="508">
        <v>1.0620000000000001</v>
      </c>
      <c r="V7151" s="508">
        <v>1.165</v>
      </c>
      <c r="W7151" s="508">
        <v>0.751</v>
      </c>
      <c r="X7151" s="508">
        <v>0.76</v>
      </c>
      <c r="Y7151" s="508">
        <v>0.751</v>
      </c>
      <c r="Z7151" s="508">
        <v>0.745</v>
      </c>
      <c r="AA7151" s="508">
        <v>7.9000000000000001E-2</v>
      </c>
      <c r="AB7151" s="508">
        <v>7.9000000000000001E-2</v>
      </c>
      <c r="AC7151" s="508">
        <v>7.5999999999999998E-2</v>
      </c>
      <c r="AD7151" s="508">
        <v>0.05</v>
      </c>
      <c r="AE7151" s="508">
        <v>0.05</v>
      </c>
      <c r="AF7151" s="508">
        <v>4.2000000000000003E-2</v>
      </c>
      <c r="AG7151" s="508">
        <v>4.2000000000000003E-2</v>
      </c>
      <c r="AH7151" s="508">
        <v>4.2000000000000003E-2</v>
      </c>
      <c r="AI7151" s="492">
        <v>4.2000000000000003E-2</v>
      </c>
      <c r="AJ7151" s="485"/>
    </row>
    <row r="7152" spans="2:36">
      <c r="B7152" s="136" t="s">
        <v>476</v>
      </c>
      <c r="C7152" s="132" t="s">
        <v>1363</v>
      </c>
      <c r="D7152" s="132" t="s">
        <v>1381</v>
      </c>
      <c r="E7152" s="508">
        <v>1.4510000000000001</v>
      </c>
      <c r="F7152" s="508">
        <v>1.3560000000000001</v>
      </c>
      <c r="G7152" s="508">
        <v>1.337</v>
      </c>
      <c r="H7152" s="508">
        <v>1.2450000000000001</v>
      </c>
      <c r="I7152" s="508">
        <v>1.222</v>
      </c>
      <c r="J7152" s="508">
        <v>1.234</v>
      </c>
      <c r="K7152" s="508">
        <v>1.173</v>
      </c>
      <c r="L7152" s="508">
        <v>1.204</v>
      </c>
      <c r="M7152" s="508">
        <v>1.139</v>
      </c>
      <c r="N7152" s="508">
        <v>1.17</v>
      </c>
      <c r="O7152" s="508">
        <v>1.145</v>
      </c>
      <c r="P7152" s="508">
        <v>1.1419999999999999</v>
      </c>
      <c r="Q7152" s="508">
        <v>1.093</v>
      </c>
      <c r="R7152" s="508">
        <v>1.113</v>
      </c>
      <c r="S7152" s="508">
        <v>1.1180000000000001</v>
      </c>
      <c r="T7152" s="508">
        <v>1.113</v>
      </c>
      <c r="U7152" s="508">
        <v>1.087</v>
      </c>
      <c r="V7152" s="508">
        <v>1.196</v>
      </c>
      <c r="W7152" s="508">
        <v>0.78100000000000003</v>
      </c>
      <c r="X7152" s="508">
        <v>0.79</v>
      </c>
      <c r="Y7152" s="508">
        <v>0.78100000000000003</v>
      </c>
      <c r="Z7152" s="508">
        <v>0.77400000000000002</v>
      </c>
      <c r="AA7152" s="508">
        <v>8.2000000000000003E-2</v>
      </c>
      <c r="AB7152" s="508">
        <v>8.2000000000000003E-2</v>
      </c>
      <c r="AC7152" s="508">
        <v>7.9000000000000001E-2</v>
      </c>
      <c r="AD7152" s="508">
        <v>5.2999999999999999E-2</v>
      </c>
      <c r="AE7152" s="508">
        <v>5.1999999999999998E-2</v>
      </c>
      <c r="AF7152" s="508">
        <v>4.3999999999999997E-2</v>
      </c>
      <c r="AG7152" s="508">
        <v>4.2999999999999997E-2</v>
      </c>
      <c r="AH7152" s="508">
        <v>4.2999999999999997E-2</v>
      </c>
      <c r="AI7152" s="492">
        <v>4.2999999999999997E-2</v>
      </c>
      <c r="AJ7152" s="485"/>
    </row>
    <row r="7153" spans="2:36">
      <c r="B7153" s="136" t="s">
        <v>478</v>
      </c>
      <c r="C7153" s="132" t="s">
        <v>1363</v>
      </c>
      <c r="D7153" s="132" t="s">
        <v>1381</v>
      </c>
      <c r="E7153" s="508">
        <v>1.5269999999999999</v>
      </c>
      <c r="F7153" s="508">
        <v>1.42</v>
      </c>
      <c r="G7153" s="508">
        <v>1.3959999999999999</v>
      </c>
      <c r="H7153" s="508">
        <v>1.296</v>
      </c>
      <c r="I7153" s="508">
        <v>1.27</v>
      </c>
      <c r="J7153" s="508">
        <v>1.282</v>
      </c>
      <c r="K7153" s="508">
        <v>1.216</v>
      </c>
      <c r="L7153" s="508">
        <v>1.248</v>
      </c>
      <c r="M7153" s="508">
        <v>1.1779999999999999</v>
      </c>
      <c r="N7153" s="508">
        <v>1.2110000000000001</v>
      </c>
      <c r="O7153" s="508">
        <v>1.1839999999999999</v>
      </c>
      <c r="P7153" s="508">
        <v>1.18</v>
      </c>
      <c r="Q7153" s="508">
        <v>1.1279999999999999</v>
      </c>
      <c r="R7153" s="508">
        <v>1.149</v>
      </c>
      <c r="S7153" s="508">
        <v>1.1539999999999999</v>
      </c>
      <c r="T7153" s="508">
        <v>1.1479999999999999</v>
      </c>
      <c r="U7153" s="508">
        <v>1.1200000000000001</v>
      </c>
      <c r="V7153" s="508">
        <v>1.236</v>
      </c>
      <c r="W7153" s="508">
        <v>0.82</v>
      </c>
      <c r="X7153" s="508">
        <v>0.82899999999999996</v>
      </c>
      <c r="Y7153" s="508">
        <v>0.81899999999999995</v>
      </c>
      <c r="Z7153" s="508">
        <v>0.81200000000000006</v>
      </c>
      <c r="AA7153" s="508">
        <v>8.5999999999999993E-2</v>
      </c>
      <c r="AB7153" s="508">
        <v>8.6999999999999994E-2</v>
      </c>
      <c r="AC7153" s="508">
        <v>8.4000000000000005E-2</v>
      </c>
      <c r="AD7153" s="508">
        <v>5.6000000000000001E-2</v>
      </c>
      <c r="AE7153" s="508">
        <v>5.5E-2</v>
      </c>
      <c r="AF7153" s="508">
        <v>4.5999999999999999E-2</v>
      </c>
      <c r="AG7153" s="508">
        <v>4.5999999999999999E-2</v>
      </c>
      <c r="AH7153" s="508">
        <v>4.5999999999999999E-2</v>
      </c>
      <c r="AI7153" s="492">
        <v>4.5999999999999999E-2</v>
      </c>
      <c r="AJ7153" s="485"/>
    </row>
    <row r="7154" spans="2:36">
      <c r="B7154" s="136" t="s">
        <v>479</v>
      </c>
      <c r="C7154" s="132" t="s">
        <v>1363</v>
      </c>
      <c r="D7154" s="132" t="s">
        <v>1381</v>
      </c>
      <c r="E7154" s="508">
        <v>1.25</v>
      </c>
      <c r="F7154" s="508">
        <v>1.2010000000000001</v>
      </c>
      <c r="G7154" s="508">
        <v>1.206</v>
      </c>
      <c r="H7154" s="508">
        <v>1.135</v>
      </c>
      <c r="I7154" s="508">
        <v>1.125</v>
      </c>
      <c r="J7154" s="508">
        <v>1.143</v>
      </c>
      <c r="K7154" s="508">
        <v>1.0920000000000001</v>
      </c>
      <c r="L7154" s="508">
        <v>1.1259999999999999</v>
      </c>
      <c r="M7154" s="508">
        <v>1.069</v>
      </c>
      <c r="N7154" s="508">
        <v>1.1020000000000001</v>
      </c>
      <c r="O7154" s="508">
        <v>1.0820000000000001</v>
      </c>
      <c r="P7154" s="508">
        <v>1.08</v>
      </c>
      <c r="Q7154" s="508">
        <v>1.0369999999999999</v>
      </c>
      <c r="R7154" s="508">
        <v>1.0580000000000001</v>
      </c>
      <c r="S7154" s="508">
        <v>1.0640000000000001</v>
      </c>
      <c r="T7154" s="508">
        <v>1.0660000000000001</v>
      </c>
      <c r="U7154" s="508">
        <v>1.0449999999999999</v>
      </c>
      <c r="V7154" s="508">
        <v>1.1499999999999999</v>
      </c>
      <c r="W7154" s="508">
        <v>0.73799999999999999</v>
      </c>
      <c r="X7154" s="508">
        <v>0.748</v>
      </c>
      <c r="Y7154" s="508">
        <v>0.74</v>
      </c>
      <c r="Z7154" s="508">
        <v>0.73499999999999999</v>
      </c>
      <c r="AA7154" s="508">
        <v>7.4999999999999997E-2</v>
      </c>
      <c r="AB7154" s="508">
        <v>7.4999999999999997E-2</v>
      </c>
      <c r="AC7154" s="508">
        <v>7.2999999999999995E-2</v>
      </c>
      <c r="AD7154" s="508">
        <v>4.8000000000000001E-2</v>
      </c>
      <c r="AE7154" s="508">
        <v>4.7E-2</v>
      </c>
      <c r="AF7154" s="508">
        <v>0.04</v>
      </c>
      <c r="AG7154" s="508">
        <v>3.9E-2</v>
      </c>
      <c r="AH7154" s="508">
        <v>3.9E-2</v>
      </c>
      <c r="AI7154" s="492">
        <v>3.9E-2</v>
      </c>
      <c r="AJ7154" s="485"/>
    </row>
    <row r="7155" spans="2:36">
      <c r="B7155" s="136" t="s">
        <v>480</v>
      </c>
      <c r="C7155" s="132" t="s">
        <v>1363</v>
      </c>
      <c r="D7155" s="132" t="s">
        <v>1381</v>
      </c>
      <c r="E7155" s="508">
        <v>1.3620000000000001</v>
      </c>
      <c r="F7155" s="508">
        <v>1.2689999999999999</v>
      </c>
      <c r="G7155" s="508">
        <v>1.2450000000000001</v>
      </c>
      <c r="H7155" s="508">
        <v>1.165</v>
      </c>
      <c r="I7155" s="508">
        <v>1.1419999999999999</v>
      </c>
      <c r="J7155" s="508">
        <v>1.149</v>
      </c>
      <c r="K7155" s="508">
        <v>1.0960000000000001</v>
      </c>
      <c r="L7155" s="508">
        <v>1.1200000000000001</v>
      </c>
      <c r="M7155" s="508">
        <v>1.0649999999999999</v>
      </c>
      <c r="N7155" s="508">
        <v>1.0900000000000001</v>
      </c>
      <c r="O7155" s="508">
        <v>1.069</v>
      </c>
      <c r="P7155" s="508">
        <v>1.0649999999999999</v>
      </c>
      <c r="Q7155" s="508">
        <v>1.024</v>
      </c>
      <c r="R7155" s="508">
        <v>1.04</v>
      </c>
      <c r="S7155" s="508">
        <v>1.0429999999999999</v>
      </c>
      <c r="T7155" s="508">
        <v>1.0369999999999999</v>
      </c>
      <c r="U7155" s="508">
        <v>1.0149999999999999</v>
      </c>
      <c r="V7155" s="508">
        <v>1.1040000000000001</v>
      </c>
      <c r="W7155" s="508">
        <v>0.69099999999999995</v>
      </c>
      <c r="X7155" s="508">
        <v>0.69899999999999995</v>
      </c>
      <c r="Y7155" s="508">
        <v>0.69</v>
      </c>
      <c r="Z7155" s="508">
        <v>0.68400000000000005</v>
      </c>
      <c r="AA7155" s="508">
        <v>7.2999999999999995E-2</v>
      </c>
      <c r="AB7155" s="508">
        <v>7.2999999999999995E-2</v>
      </c>
      <c r="AC7155" s="508">
        <v>7.0999999999999994E-2</v>
      </c>
      <c r="AD7155" s="508">
        <v>4.7E-2</v>
      </c>
      <c r="AE7155" s="508">
        <v>4.7E-2</v>
      </c>
      <c r="AF7155" s="508">
        <v>3.9E-2</v>
      </c>
      <c r="AG7155" s="508">
        <v>3.9E-2</v>
      </c>
      <c r="AH7155" s="508">
        <v>3.9E-2</v>
      </c>
      <c r="AI7155" s="492">
        <v>3.9E-2</v>
      </c>
      <c r="AJ7155" s="485"/>
    </row>
    <row r="7156" spans="2:36">
      <c r="B7156" s="136" t="s">
        <v>481</v>
      </c>
      <c r="C7156" s="132" t="s">
        <v>1363</v>
      </c>
      <c r="D7156" s="132" t="s">
        <v>1381</v>
      </c>
      <c r="E7156" s="508">
        <v>1.3280000000000001</v>
      </c>
      <c r="F7156" s="508">
        <v>1.262</v>
      </c>
      <c r="G7156" s="508">
        <v>1.258</v>
      </c>
      <c r="H7156" s="508">
        <v>1.179</v>
      </c>
      <c r="I7156" s="508">
        <v>1.1639999999999999</v>
      </c>
      <c r="J7156" s="508">
        <v>1.18</v>
      </c>
      <c r="K7156" s="508">
        <v>1.125</v>
      </c>
      <c r="L7156" s="508">
        <v>1.1579999999999999</v>
      </c>
      <c r="M7156" s="508">
        <v>1.0980000000000001</v>
      </c>
      <c r="N7156" s="508">
        <v>1.131</v>
      </c>
      <c r="O7156" s="508">
        <v>1.1080000000000001</v>
      </c>
      <c r="P7156" s="508">
        <v>1.1060000000000001</v>
      </c>
      <c r="Q7156" s="508">
        <v>1.0609999999999999</v>
      </c>
      <c r="R7156" s="508">
        <v>1.081</v>
      </c>
      <c r="S7156" s="508">
        <v>1.087</v>
      </c>
      <c r="T7156" s="508">
        <v>1.0860000000000001</v>
      </c>
      <c r="U7156" s="508">
        <v>1.0640000000000001</v>
      </c>
      <c r="V7156" s="508">
        <v>1.171</v>
      </c>
      <c r="W7156" s="508">
        <v>0.75700000000000001</v>
      </c>
      <c r="X7156" s="508">
        <v>0.76800000000000002</v>
      </c>
      <c r="Y7156" s="508">
        <v>0.75900000000000001</v>
      </c>
      <c r="Z7156" s="508">
        <v>0.753</v>
      </c>
      <c r="AA7156" s="508">
        <v>7.8E-2</v>
      </c>
      <c r="AB7156" s="508">
        <v>7.8E-2</v>
      </c>
      <c r="AC7156" s="508">
        <v>7.5999999999999998E-2</v>
      </c>
      <c r="AD7156" s="508">
        <v>0.05</v>
      </c>
      <c r="AE7156" s="508">
        <v>4.9000000000000002E-2</v>
      </c>
      <c r="AF7156" s="508">
        <v>4.1000000000000002E-2</v>
      </c>
      <c r="AG7156" s="508">
        <v>4.1000000000000002E-2</v>
      </c>
      <c r="AH7156" s="508">
        <v>4.1000000000000002E-2</v>
      </c>
      <c r="AI7156" s="492">
        <v>4.1000000000000002E-2</v>
      </c>
      <c r="AJ7156" s="485"/>
    </row>
    <row r="7157" spans="2:36">
      <c r="B7157" s="136" t="s">
        <v>482</v>
      </c>
      <c r="C7157" s="132" t="s">
        <v>1363</v>
      </c>
      <c r="D7157" s="132" t="s">
        <v>1381</v>
      </c>
      <c r="E7157" s="508">
        <v>1.232</v>
      </c>
      <c r="F7157" s="508">
        <v>1.1919999999999999</v>
      </c>
      <c r="G7157" s="508">
        <v>1.204</v>
      </c>
      <c r="H7157" s="508">
        <v>1.1339999999999999</v>
      </c>
      <c r="I7157" s="508">
        <v>1.1259999999999999</v>
      </c>
      <c r="J7157" s="508">
        <v>1.1479999999999999</v>
      </c>
      <c r="K7157" s="508">
        <v>1.097</v>
      </c>
      <c r="L7157" s="508">
        <v>1.133</v>
      </c>
      <c r="M7157" s="508">
        <v>1.075</v>
      </c>
      <c r="N7157" s="508">
        <v>1.111</v>
      </c>
      <c r="O7157" s="508">
        <v>1.0900000000000001</v>
      </c>
      <c r="P7157" s="508">
        <v>1.089</v>
      </c>
      <c r="Q7157" s="508">
        <v>1.0449999999999999</v>
      </c>
      <c r="R7157" s="508">
        <v>1.0669999999999999</v>
      </c>
      <c r="S7157" s="508">
        <v>1.0740000000000001</v>
      </c>
      <c r="T7157" s="508">
        <v>1.077</v>
      </c>
      <c r="U7157" s="508">
        <v>1.0569999999999999</v>
      </c>
      <c r="V7157" s="508">
        <v>1.167</v>
      </c>
      <c r="W7157" s="508">
        <v>0.755</v>
      </c>
      <c r="X7157" s="508">
        <v>0.76600000000000001</v>
      </c>
      <c r="Y7157" s="508">
        <v>0.75800000000000001</v>
      </c>
      <c r="Z7157" s="508">
        <v>0.753</v>
      </c>
      <c r="AA7157" s="508">
        <v>7.5999999999999998E-2</v>
      </c>
      <c r="AB7157" s="508">
        <v>7.6999999999999999E-2</v>
      </c>
      <c r="AC7157" s="508">
        <v>7.3999999999999996E-2</v>
      </c>
      <c r="AD7157" s="508">
        <v>4.8000000000000001E-2</v>
      </c>
      <c r="AE7157" s="508">
        <v>4.8000000000000001E-2</v>
      </c>
      <c r="AF7157" s="508">
        <v>0.04</v>
      </c>
      <c r="AG7157" s="508">
        <v>0.04</v>
      </c>
      <c r="AH7157" s="508">
        <v>0.04</v>
      </c>
      <c r="AI7157" s="492">
        <v>0.04</v>
      </c>
      <c r="AJ7157" s="485"/>
    </row>
    <row r="7158" spans="2:36">
      <c r="B7158" s="136" t="s">
        <v>483</v>
      </c>
      <c r="C7158" s="132" t="s">
        <v>1363</v>
      </c>
      <c r="D7158" s="132" t="s">
        <v>1381</v>
      </c>
      <c r="E7158" s="508">
        <v>1.532</v>
      </c>
      <c r="F7158" s="508">
        <v>1.4219999999999999</v>
      </c>
      <c r="G7158" s="508">
        <v>1.395</v>
      </c>
      <c r="H7158" s="508">
        <v>1.2949999999999999</v>
      </c>
      <c r="I7158" s="508">
        <v>1.268</v>
      </c>
      <c r="J7158" s="508">
        <v>1.2789999999999999</v>
      </c>
      <c r="K7158" s="508">
        <v>1.2130000000000001</v>
      </c>
      <c r="L7158" s="508">
        <v>1.244</v>
      </c>
      <c r="M7158" s="508">
        <v>1.175</v>
      </c>
      <c r="N7158" s="508">
        <v>1.2070000000000001</v>
      </c>
      <c r="O7158" s="508">
        <v>1.18</v>
      </c>
      <c r="P7158" s="508">
        <v>1.175</v>
      </c>
      <c r="Q7158" s="508">
        <v>1.1240000000000001</v>
      </c>
      <c r="R7158" s="508">
        <v>1.145</v>
      </c>
      <c r="S7158" s="508">
        <v>1.149</v>
      </c>
      <c r="T7158" s="508">
        <v>1.143</v>
      </c>
      <c r="U7158" s="508">
        <v>1.1140000000000001</v>
      </c>
      <c r="V7158" s="508">
        <v>1.228</v>
      </c>
      <c r="W7158" s="508">
        <v>0.81200000000000006</v>
      </c>
      <c r="X7158" s="508">
        <v>0.82099999999999995</v>
      </c>
      <c r="Y7158" s="508">
        <v>0.81100000000000005</v>
      </c>
      <c r="Z7158" s="508">
        <v>0.80400000000000005</v>
      </c>
      <c r="AA7158" s="508">
        <v>8.5999999999999993E-2</v>
      </c>
      <c r="AB7158" s="508">
        <v>8.5999999999999993E-2</v>
      </c>
      <c r="AC7158" s="508">
        <v>8.3000000000000004E-2</v>
      </c>
      <c r="AD7158" s="508">
        <v>5.5E-2</v>
      </c>
      <c r="AE7158" s="508">
        <v>5.5E-2</v>
      </c>
      <c r="AF7158" s="508">
        <v>4.5999999999999999E-2</v>
      </c>
      <c r="AG7158" s="508">
        <v>4.5999999999999999E-2</v>
      </c>
      <c r="AH7158" s="508">
        <v>4.5999999999999999E-2</v>
      </c>
      <c r="AI7158" s="492">
        <v>4.5999999999999999E-2</v>
      </c>
      <c r="AJ7158" s="485"/>
    </row>
    <row r="7159" spans="2:36">
      <c r="B7159" s="136" t="s">
        <v>484</v>
      </c>
      <c r="C7159" s="132" t="s">
        <v>1363</v>
      </c>
      <c r="D7159" s="132" t="s">
        <v>1381</v>
      </c>
      <c r="E7159" s="508">
        <v>1.403</v>
      </c>
      <c r="F7159" s="508">
        <v>1.3029999999999999</v>
      </c>
      <c r="G7159" s="508">
        <v>1.2749999999999999</v>
      </c>
      <c r="H7159" s="508">
        <v>1.19</v>
      </c>
      <c r="I7159" s="508">
        <v>1.1659999999999999</v>
      </c>
      <c r="J7159" s="508">
        <v>1.1719999999999999</v>
      </c>
      <c r="K7159" s="508">
        <v>1.117</v>
      </c>
      <c r="L7159" s="508">
        <v>1.141</v>
      </c>
      <c r="M7159" s="508">
        <v>1.0840000000000001</v>
      </c>
      <c r="N7159" s="508">
        <v>1.109</v>
      </c>
      <c r="O7159" s="508">
        <v>1.0860000000000001</v>
      </c>
      <c r="P7159" s="508">
        <v>1.0820000000000001</v>
      </c>
      <c r="Q7159" s="508">
        <v>1.04</v>
      </c>
      <c r="R7159" s="508">
        <v>1.056</v>
      </c>
      <c r="S7159" s="508">
        <v>1.0589999999999999</v>
      </c>
      <c r="T7159" s="508">
        <v>1.052</v>
      </c>
      <c r="U7159" s="508">
        <v>1.028</v>
      </c>
      <c r="V7159" s="508">
        <v>1.1200000000000001</v>
      </c>
      <c r="W7159" s="508">
        <v>0.70699999999999996</v>
      </c>
      <c r="X7159" s="508">
        <v>0.71499999999999997</v>
      </c>
      <c r="Y7159" s="508">
        <v>0.70599999999999996</v>
      </c>
      <c r="Z7159" s="508">
        <v>0.69899999999999995</v>
      </c>
      <c r="AA7159" s="508">
        <v>7.4999999999999997E-2</v>
      </c>
      <c r="AB7159" s="508">
        <v>7.4999999999999997E-2</v>
      </c>
      <c r="AC7159" s="508">
        <v>7.1999999999999995E-2</v>
      </c>
      <c r="AD7159" s="508">
        <v>4.8000000000000001E-2</v>
      </c>
      <c r="AE7159" s="508">
        <v>4.8000000000000001E-2</v>
      </c>
      <c r="AF7159" s="508">
        <v>0.04</v>
      </c>
      <c r="AG7159" s="508">
        <v>0.04</v>
      </c>
      <c r="AH7159" s="508">
        <v>0.04</v>
      </c>
      <c r="AI7159" s="492">
        <v>0.04</v>
      </c>
      <c r="AJ7159" s="485"/>
    </row>
    <row r="7160" spans="2:36">
      <c r="B7160" s="136" t="s">
        <v>486</v>
      </c>
      <c r="C7160" s="132" t="s">
        <v>1363</v>
      </c>
      <c r="D7160" s="132" t="s">
        <v>1381</v>
      </c>
      <c r="E7160" s="508">
        <v>1.359</v>
      </c>
      <c r="F7160" s="508">
        <v>1.2849999999999999</v>
      </c>
      <c r="G7160" s="508">
        <v>1.2769999999999999</v>
      </c>
      <c r="H7160" s="508">
        <v>1.196</v>
      </c>
      <c r="I7160" s="508">
        <v>1.1779999999999999</v>
      </c>
      <c r="J7160" s="508">
        <v>1.194</v>
      </c>
      <c r="K7160" s="508">
        <v>1.137</v>
      </c>
      <c r="L7160" s="508">
        <v>1.169</v>
      </c>
      <c r="M7160" s="508">
        <v>1.1080000000000001</v>
      </c>
      <c r="N7160" s="508">
        <v>1.1399999999999999</v>
      </c>
      <c r="O7160" s="508">
        <v>1.117</v>
      </c>
      <c r="P7160" s="508">
        <v>1.115</v>
      </c>
      <c r="Q7160" s="508">
        <v>1.069</v>
      </c>
      <c r="R7160" s="508">
        <v>1.089</v>
      </c>
      <c r="S7160" s="508">
        <v>1.0940000000000001</v>
      </c>
      <c r="T7160" s="508">
        <v>1.093</v>
      </c>
      <c r="U7160" s="508">
        <v>1.069</v>
      </c>
      <c r="V7160" s="508">
        <v>1.177</v>
      </c>
      <c r="W7160" s="508">
        <v>0.76300000000000001</v>
      </c>
      <c r="X7160" s="508">
        <v>0.77300000000000002</v>
      </c>
      <c r="Y7160" s="508">
        <v>0.76400000000000001</v>
      </c>
      <c r="Z7160" s="508">
        <v>0.75800000000000001</v>
      </c>
      <c r="AA7160" s="508">
        <v>7.9000000000000001E-2</v>
      </c>
      <c r="AB7160" s="508">
        <v>7.9000000000000001E-2</v>
      </c>
      <c r="AC7160" s="508">
        <v>7.6999999999999999E-2</v>
      </c>
      <c r="AD7160" s="508">
        <v>5.0999999999999997E-2</v>
      </c>
      <c r="AE7160" s="508">
        <v>0.05</v>
      </c>
      <c r="AF7160" s="508">
        <v>4.2000000000000003E-2</v>
      </c>
      <c r="AG7160" s="508">
        <v>4.2000000000000003E-2</v>
      </c>
      <c r="AH7160" s="508">
        <v>4.2000000000000003E-2</v>
      </c>
      <c r="AI7160" s="492">
        <v>4.2000000000000003E-2</v>
      </c>
      <c r="AJ7160" s="485"/>
    </row>
    <row r="7161" spans="2:36">
      <c r="B7161" s="136" t="s">
        <v>487</v>
      </c>
      <c r="C7161" s="132" t="s">
        <v>1363</v>
      </c>
      <c r="D7161" s="132" t="s">
        <v>1381</v>
      </c>
      <c r="E7161" s="508">
        <v>1.4350000000000001</v>
      </c>
      <c r="F7161" s="508">
        <v>1.341</v>
      </c>
      <c r="G7161" s="508">
        <v>1.321</v>
      </c>
      <c r="H7161" s="508">
        <v>1.2310000000000001</v>
      </c>
      <c r="I7161" s="508">
        <v>1.208</v>
      </c>
      <c r="J7161" s="508">
        <v>1.2190000000000001</v>
      </c>
      <c r="K7161" s="508">
        <v>1.1599999999999999</v>
      </c>
      <c r="L7161" s="508">
        <v>1.1890000000000001</v>
      </c>
      <c r="M7161" s="508">
        <v>1.1259999999999999</v>
      </c>
      <c r="N7161" s="508">
        <v>1.157</v>
      </c>
      <c r="O7161" s="508">
        <v>1.1319999999999999</v>
      </c>
      <c r="P7161" s="508">
        <v>1.1279999999999999</v>
      </c>
      <c r="Q7161" s="508">
        <v>1.081</v>
      </c>
      <c r="R7161" s="508">
        <v>1.101</v>
      </c>
      <c r="S7161" s="508">
        <v>1.105</v>
      </c>
      <c r="T7161" s="508">
        <v>1.1000000000000001</v>
      </c>
      <c r="U7161" s="508">
        <v>1.075</v>
      </c>
      <c r="V7161" s="508">
        <v>1.18</v>
      </c>
      <c r="W7161" s="508">
        <v>0.76600000000000001</v>
      </c>
      <c r="X7161" s="508">
        <v>0.77500000000000002</v>
      </c>
      <c r="Y7161" s="508">
        <v>0.76600000000000001</v>
      </c>
      <c r="Z7161" s="508">
        <v>0.75900000000000001</v>
      </c>
      <c r="AA7161" s="508">
        <v>0.08</v>
      </c>
      <c r="AB7161" s="508">
        <v>8.1000000000000003E-2</v>
      </c>
      <c r="AC7161" s="508">
        <v>7.8E-2</v>
      </c>
      <c r="AD7161" s="508">
        <v>5.1999999999999998E-2</v>
      </c>
      <c r="AE7161" s="508">
        <v>5.0999999999999997E-2</v>
      </c>
      <c r="AF7161" s="508">
        <v>4.2999999999999997E-2</v>
      </c>
      <c r="AG7161" s="508">
        <v>4.2999999999999997E-2</v>
      </c>
      <c r="AH7161" s="508">
        <v>4.2999999999999997E-2</v>
      </c>
      <c r="AI7161" s="492">
        <v>4.2999999999999997E-2</v>
      </c>
      <c r="AJ7161" s="485"/>
    </row>
    <row r="7162" spans="2:36">
      <c r="B7162" s="136" t="s">
        <v>488</v>
      </c>
      <c r="C7162" s="132" t="s">
        <v>1363</v>
      </c>
      <c r="D7162" s="132" t="s">
        <v>1381</v>
      </c>
      <c r="E7162" s="508">
        <v>1.329</v>
      </c>
      <c r="F7162" s="508">
        <v>1.252</v>
      </c>
      <c r="G7162" s="508">
        <v>1.238</v>
      </c>
      <c r="H7162" s="508">
        <v>1.1599999999999999</v>
      </c>
      <c r="I7162" s="508">
        <v>1.1419999999999999</v>
      </c>
      <c r="J7162" s="508">
        <v>1.153</v>
      </c>
      <c r="K7162" s="508">
        <v>1.101</v>
      </c>
      <c r="L7162" s="508">
        <v>1.1279999999999999</v>
      </c>
      <c r="M7162" s="508">
        <v>1.0720000000000001</v>
      </c>
      <c r="N7162" s="508">
        <v>1.1000000000000001</v>
      </c>
      <c r="O7162" s="508">
        <v>1.079</v>
      </c>
      <c r="P7162" s="508">
        <v>1.0760000000000001</v>
      </c>
      <c r="Q7162" s="508">
        <v>1.034</v>
      </c>
      <c r="R7162" s="508">
        <v>1.052</v>
      </c>
      <c r="S7162" s="508">
        <v>1.056</v>
      </c>
      <c r="T7162" s="508">
        <v>1.0529999999999999</v>
      </c>
      <c r="U7162" s="508">
        <v>1.0309999999999999</v>
      </c>
      <c r="V7162" s="508">
        <v>1.127</v>
      </c>
      <c r="W7162" s="508">
        <v>0.71399999999999997</v>
      </c>
      <c r="X7162" s="508">
        <v>0.72299999999999998</v>
      </c>
      <c r="Y7162" s="508">
        <v>0.71499999999999997</v>
      </c>
      <c r="Z7162" s="508">
        <v>0.70899999999999996</v>
      </c>
      <c r="AA7162" s="508">
        <v>7.3999999999999996E-2</v>
      </c>
      <c r="AB7162" s="508">
        <v>7.4999999999999997E-2</v>
      </c>
      <c r="AC7162" s="508">
        <v>7.1999999999999995E-2</v>
      </c>
      <c r="AD7162" s="508">
        <v>4.8000000000000001E-2</v>
      </c>
      <c r="AE7162" s="508">
        <v>4.7E-2</v>
      </c>
      <c r="AF7162" s="508">
        <v>0.04</v>
      </c>
      <c r="AG7162" s="508">
        <v>3.9E-2</v>
      </c>
      <c r="AH7162" s="508">
        <v>3.9E-2</v>
      </c>
      <c r="AI7162" s="492">
        <v>3.9E-2</v>
      </c>
      <c r="AJ7162" s="485"/>
    </row>
    <row r="7163" spans="2:36">
      <c r="B7163" s="136" t="s">
        <v>489</v>
      </c>
      <c r="C7163" s="132" t="s">
        <v>1363</v>
      </c>
      <c r="D7163" s="132" t="s">
        <v>1381</v>
      </c>
      <c r="E7163" s="508">
        <v>1.474</v>
      </c>
      <c r="F7163" s="508">
        <v>1.365</v>
      </c>
      <c r="G7163" s="508">
        <v>1.335</v>
      </c>
      <c r="H7163" s="508">
        <v>1.242</v>
      </c>
      <c r="I7163" s="508">
        <v>1.2150000000000001</v>
      </c>
      <c r="J7163" s="508">
        <v>1.222</v>
      </c>
      <c r="K7163" s="508">
        <v>1.1619999999999999</v>
      </c>
      <c r="L7163" s="508">
        <v>1.1879999999999999</v>
      </c>
      <c r="M7163" s="508">
        <v>1.1259999999999999</v>
      </c>
      <c r="N7163" s="508">
        <v>1.153</v>
      </c>
      <c r="O7163" s="508">
        <v>1.129</v>
      </c>
      <c r="P7163" s="508">
        <v>1.1240000000000001</v>
      </c>
      <c r="Q7163" s="508">
        <v>1.0780000000000001</v>
      </c>
      <c r="R7163" s="508">
        <v>1.0960000000000001</v>
      </c>
      <c r="S7163" s="508">
        <v>1.099</v>
      </c>
      <c r="T7163" s="508">
        <v>1.091</v>
      </c>
      <c r="U7163" s="508">
        <v>1.0649999999999999</v>
      </c>
      <c r="V7163" s="508">
        <v>1.1659999999999999</v>
      </c>
      <c r="W7163" s="508">
        <v>0.751</v>
      </c>
      <c r="X7163" s="508">
        <v>0.76</v>
      </c>
      <c r="Y7163" s="508">
        <v>0.75</v>
      </c>
      <c r="Z7163" s="508">
        <v>0.74299999999999999</v>
      </c>
      <c r="AA7163" s="508">
        <v>0.08</v>
      </c>
      <c r="AB7163" s="508">
        <v>0.08</v>
      </c>
      <c r="AC7163" s="508">
        <v>7.6999999999999999E-2</v>
      </c>
      <c r="AD7163" s="508">
        <v>5.1999999999999998E-2</v>
      </c>
      <c r="AE7163" s="508">
        <v>5.0999999999999997E-2</v>
      </c>
      <c r="AF7163" s="508">
        <v>4.2999999999999997E-2</v>
      </c>
      <c r="AG7163" s="508">
        <v>4.2999999999999997E-2</v>
      </c>
      <c r="AH7163" s="508">
        <v>4.2999999999999997E-2</v>
      </c>
      <c r="AI7163" s="492">
        <v>4.2999999999999997E-2</v>
      </c>
      <c r="AJ7163" s="485"/>
    </row>
    <row r="7164" spans="2:36">
      <c r="B7164" s="136" t="s">
        <v>490</v>
      </c>
      <c r="C7164" s="132" t="s">
        <v>1363</v>
      </c>
      <c r="D7164" s="132" t="s">
        <v>1381</v>
      </c>
      <c r="E7164" s="508">
        <v>1.3720000000000001</v>
      </c>
      <c r="F7164" s="508">
        <v>1.2769999999999999</v>
      </c>
      <c r="G7164" s="508">
        <v>1.2509999999999999</v>
      </c>
      <c r="H7164" s="508">
        <v>1.169</v>
      </c>
      <c r="I7164" s="508">
        <v>1.1459999999999999</v>
      </c>
      <c r="J7164" s="508">
        <v>1.1519999999999999</v>
      </c>
      <c r="K7164" s="508">
        <v>1.099</v>
      </c>
      <c r="L7164" s="508">
        <v>1.1220000000000001</v>
      </c>
      <c r="M7164" s="508">
        <v>1.0669999999999999</v>
      </c>
      <c r="N7164" s="508">
        <v>1.0920000000000001</v>
      </c>
      <c r="O7164" s="508">
        <v>1.07</v>
      </c>
      <c r="P7164" s="508">
        <v>1.0660000000000001</v>
      </c>
      <c r="Q7164" s="508">
        <v>1.026</v>
      </c>
      <c r="R7164" s="508">
        <v>1.0409999999999999</v>
      </c>
      <c r="S7164" s="508">
        <v>1.044</v>
      </c>
      <c r="T7164" s="508">
        <v>1.038</v>
      </c>
      <c r="U7164" s="508">
        <v>1.0149999999999999</v>
      </c>
      <c r="V7164" s="508">
        <v>1.103</v>
      </c>
      <c r="W7164" s="508">
        <v>0.69</v>
      </c>
      <c r="X7164" s="508">
        <v>0.69799999999999995</v>
      </c>
      <c r="Y7164" s="508">
        <v>0.68899999999999995</v>
      </c>
      <c r="Z7164" s="508">
        <v>0.68300000000000005</v>
      </c>
      <c r="AA7164" s="508">
        <v>7.2999999999999995E-2</v>
      </c>
      <c r="AB7164" s="508">
        <v>7.2999999999999995E-2</v>
      </c>
      <c r="AC7164" s="508">
        <v>7.0999999999999994E-2</v>
      </c>
      <c r="AD7164" s="508">
        <v>4.7E-2</v>
      </c>
      <c r="AE7164" s="508">
        <v>4.7E-2</v>
      </c>
      <c r="AF7164" s="508">
        <v>3.9E-2</v>
      </c>
      <c r="AG7164" s="508">
        <v>3.9E-2</v>
      </c>
      <c r="AH7164" s="508">
        <v>3.9E-2</v>
      </c>
      <c r="AI7164" s="492">
        <v>3.9E-2</v>
      </c>
      <c r="AJ7164" s="485"/>
    </row>
    <row r="7165" spans="2:36">
      <c r="B7165" s="136" t="s">
        <v>435</v>
      </c>
      <c r="C7165" s="132" t="s">
        <v>1382</v>
      </c>
      <c r="D7165" s="132" t="s">
        <v>1381</v>
      </c>
      <c r="E7165" s="508">
        <v>3.2949999999999999</v>
      </c>
      <c r="F7165" s="508">
        <v>2.1509999999999998</v>
      </c>
      <c r="G7165" s="508">
        <v>3.1760000000000002</v>
      </c>
      <c r="H7165" s="508">
        <v>3.5720000000000001</v>
      </c>
      <c r="I7165" s="508">
        <v>3.42</v>
      </c>
      <c r="J7165" s="508">
        <v>1.4930000000000001</v>
      </c>
      <c r="K7165" s="508">
        <v>1.6220000000000001</v>
      </c>
      <c r="L7165" s="508">
        <v>3.21</v>
      </c>
      <c r="M7165" s="508">
        <v>1.7430000000000001</v>
      </c>
      <c r="N7165" s="508">
        <v>4.1109999999999998</v>
      </c>
      <c r="O7165" s="508">
        <v>3.0169999999999999</v>
      </c>
      <c r="P7165" s="508">
        <v>1.679</v>
      </c>
      <c r="Q7165" s="508">
        <v>1.6020000000000001</v>
      </c>
      <c r="R7165" s="508">
        <v>1.9810000000000001</v>
      </c>
      <c r="S7165" s="508">
        <v>1.458</v>
      </c>
      <c r="T7165" s="508">
        <v>1.66</v>
      </c>
      <c r="U7165" s="508">
        <v>1.155</v>
      </c>
      <c r="V7165" s="508">
        <v>0.97599999999999998</v>
      </c>
      <c r="W7165" s="508">
        <v>0.748</v>
      </c>
      <c r="X7165" s="508">
        <v>0.60099999999999998</v>
      </c>
      <c r="Y7165" s="508">
        <v>0.59599999999999997</v>
      </c>
      <c r="Z7165" s="508">
        <v>0.59599999999999997</v>
      </c>
      <c r="AA7165" s="508">
        <v>0.1</v>
      </c>
      <c r="AB7165" s="508">
        <v>8.8999999999999996E-2</v>
      </c>
      <c r="AC7165" s="508">
        <v>8.7999999999999995E-2</v>
      </c>
      <c r="AD7165" s="508">
        <v>6.6000000000000003E-2</v>
      </c>
      <c r="AE7165" s="508">
        <v>6.4000000000000001E-2</v>
      </c>
      <c r="AF7165" s="508">
        <v>0.05</v>
      </c>
      <c r="AG7165" s="508">
        <v>0.05</v>
      </c>
      <c r="AH7165" s="508">
        <v>4.9000000000000002E-2</v>
      </c>
      <c r="AI7165" s="492">
        <v>4.8000000000000001E-2</v>
      </c>
      <c r="AJ7165" s="485"/>
    </row>
    <row r="7166" spans="2:36">
      <c r="B7166" s="136" t="s">
        <v>436</v>
      </c>
      <c r="C7166" s="132" t="s">
        <v>1382</v>
      </c>
      <c r="D7166" s="132" t="s">
        <v>1381</v>
      </c>
      <c r="E7166" s="508">
        <v>3.415</v>
      </c>
      <c r="F7166" s="508">
        <v>2.294</v>
      </c>
      <c r="G7166" s="508">
        <v>3.306</v>
      </c>
      <c r="H7166" s="508">
        <v>3.6920000000000002</v>
      </c>
      <c r="I7166" s="508">
        <v>3.5350000000000001</v>
      </c>
      <c r="J7166" s="508">
        <v>1.633</v>
      </c>
      <c r="K7166" s="508">
        <v>1.76</v>
      </c>
      <c r="L7166" s="508">
        <v>3.3519999999999999</v>
      </c>
      <c r="M7166" s="508">
        <v>1.8680000000000001</v>
      </c>
      <c r="N7166" s="508">
        <v>4.24</v>
      </c>
      <c r="O7166" s="508">
        <v>3.1309999999999998</v>
      </c>
      <c r="P7166" s="508">
        <v>1.8049999999999999</v>
      </c>
      <c r="Q7166" s="508">
        <v>1.7110000000000001</v>
      </c>
      <c r="R7166" s="508">
        <v>2.1080000000000001</v>
      </c>
      <c r="S7166" s="508">
        <v>1.5429999999999999</v>
      </c>
      <c r="T7166" s="508">
        <v>1.754</v>
      </c>
      <c r="U7166" s="508">
        <v>1.2230000000000001</v>
      </c>
      <c r="V7166" s="508">
        <v>1.0620000000000001</v>
      </c>
      <c r="W7166" s="508">
        <v>0.84499999999999997</v>
      </c>
      <c r="X7166" s="508">
        <v>0.69499999999999995</v>
      </c>
      <c r="Y7166" s="508">
        <v>0.68200000000000005</v>
      </c>
      <c r="Z7166" s="508">
        <v>0.67300000000000004</v>
      </c>
      <c r="AA7166" s="508">
        <v>0.151</v>
      </c>
      <c r="AB7166" s="508">
        <v>0.13800000000000001</v>
      </c>
      <c r="AC7166" s="508">
        <v>0.13600000000000001</v>
      </c>
      <c r="AD7166" s="508">
        <v>0.114</v>
      </c>
      <c r="AE7166" s="508">
        <v>0.109</v>
      </c>
      <c r="AF7166" s="508">
        <v>9.5000000000000001E-2</v>
      </c>
      <c r="AG7166" s="508">
        <v>9.2999999999999999E-2</v>
      </c>
      <c r="AH7166" s="508">
        <v>9.0999999999999998E-2</v>
      </c>
      <c r="AI7166" s="492">
        <v>0.09</v>
      </c>
      <c r="AJ7166" s="485"/>
    </row>
    <row r="7167" spans="2:36">
      <c r="B7167" s="136" t="s">
        <v>437</v>
      </c>
      <c r="C7167" s="132" t="s">
        <v>1382</v>
      </c>
      <c r="D7167" s="132" t="s">
        <v>1381</v>
      </c>
      <c r="E7167" s="508">
        <v>3.375</v>
      </c>
      <c r="F7167" s="508">
        <v>2.1930000000000001</v>
      </c>
      <c r="G7167" s="508">
        <v>3.2519999999999998</v>
      </c>
      <c r="H7167" s="508">
        <v>3.6619999999999999</v>
      </c>
      <c r="I7167" s="508">
        <v>3.5070000000000001</v>
      </c>
      <c r="J7167" s="508">
        <v>1.5169999999999999</v>
      </c>
      <c r="K7167" s="508">
        <v>1.65</v>
      </c>
      <c r="L7167" s="508">
        <v>3.2919999999999998</v>
      </c>
      <c r="M7167" s="508">
        <v>1.778</v>
      </c>
      <c r="N7167" s="508">
        <v>4.2110000000000003</v>
      </c>
      <c r="O7167" s="508">
        <v>3.0880000000000001</v>
      </c>
      <c r="P7167" s="508">
        <v>1.7110000000000001</v>
      </c>
      <c r="Q7167" s="508">
        <v>1.6339999999999999</v>
      </c>
      <c r="R7167" s="508">
        <v>2.0219999999999998</v>
      </c>
      <c r="S7167" s="508">
        <v>1.4890000000000001</v>
      </c>
      <c r="T7167" s="508">
        <v>1.6950000000000001</v>
      </c>
      <c r="U7167" s="508">
        <v>1.18</v>
      </c>
      <c r="V7167" s="508">
        <v>0.99299999999999999</v>
      </c>
      <c r="W7167" s="508">
        <v>0.75900000000000001</v>
      </c>
      <c r="X7167" s="508">
        <v>0.60699999999999998</v>
      </c>
      <c r="Y7167" s="508">
        <v>0.60299999999999998</v>
      </c>
      <c r="Z7167" s="508">
        <v>0.60299999999999998</v>
      </c>
      <c r="AA7167" s="508">
        <v>9.6000000000000002E-2</v>
      </c>
      <c r="AB7167" s="508">
        <v>8.5000000000000006E-2</v>
      </c>
      <c r="AC7167" s="508">
        <v>8.4000000000000005E-2</v>
      </c>
      <c r="AD7167" s="508">
        <v>6.2E-2</v>
      </c>
      <c r="AE7167" s="508">
        <v>0.06</v>
      </c>
      <c r="AF7167" s="508">
        <v>4.5999999999999999E-2</v>
      </c>
      <c r="AG7167" s="508">
        <v>4.4999999999999998E-2</v>
      </c>
      <c r="AH7167" s="508">
        <v>4.4999999999999998E-2</v>
      </c>
      <c r="AI7167" s="492">
        <v>4.3999999999999997E-2</v>
      </c>
      <c r="AJ7167" s="485"/>
    </row>
    <row r="7168" spans="2:36">
      <c r="B7168" s="136" t="s">
        <v>438</v>
      </c>
      <c r="C7168" s="132" t="s">
        <v>1382</v>
      </c>
      <c r="D7168" s="132" t="s">
        <v>1381</v>
      </c>
      <c r="E7168" s="508">
        <v>3.1909999999999998</v>
      </c>
      <c r="F7168" s="508">
        <v>2.0830000000000002</v>
      </c>
      <c r="G7168" s="508">
        <v>3.09</v>
      </c>
      <c r="H7168" s="508">
        <v>3.4790000000000001</v>
      </c>
      <c r="I7168" s="508">
        <v>3.3290000000000002</v>
      </c>
      <c r="J7168" s="508">
        <v>1.4390000000000001</v>
      </c>
      <c r="K7168" s="508">
        <v>1.569</v>
      </c>
      <c r="L7168" s="508">
        <v>3.1709999999999998</v>
      </c>
      <c r="M7168" s="508">
        <v>1.69</v>
      </c>
      <c r="N7168" s="508">
        <v>4.0490000000000004</v>
      </c>
      <c r="O7168" s="508">
        <v>2.9550000000000001</v>
      </c>
      <c r="P7168" s="508">
        <v>1.641</v>
      </c>
      <c r="Q7168" s="508">
        <v>1.56</v>
      </c>
      <c r="R7168" s="508">
        <v>1.964</v>
      </c>
      <c r="S7168" s="508">
        <v>1.407</v>
      </c>
      <c r="T7168" s="508">
        <v>1.6240000000000001</v>
      </c>
      <c r="U7168" s="508">
        <v>1.105</v>
      </c>
      <c r="V7168" s="508">
        <v>0.94799999999999995</v>
      </c>
      <c r="W7168" s="508">
        <v>0.73499999999999999</v>
      </c>
      <c r="X7168" s="508">
        <v>0.58899999999999997</v>
      </c>
      <c r="Y7168" s="508">
        <v>0.58099999999999996</v>
      </c>
      <c r="Z7168" s="508">
        <v>0.57699999999999996</v>
      </c>
      <c r="AA7168" s="508">
        <v>0.10299999999999999</v>
      </c>
      <c r="AB7168" s="508">
        <v>9.1999999999999998E-2</v>
      </c>
      <c r="AC7168" s="508">
        <v>9.0999999999999998E-2</v>
      </c>
      <c r="AD7168" s="508">
        <v>7.0000000000000007E-2</v>
      </c>
      <c r="AE7168" s="508">
        <v>6.7000000000000004E-2</v>
      </c>
      <c r="AF7168" s="508">
        <v>5.3999999999999999E-2</v>
      </c>
      <c r="AG7168" s="508">
        <v>5.2999999999999999E-2</v>
      </c>
      <c r="AH7168" s="508">
        <v>5.1999999999999998E-2</v>
      </c>
      <c r="AI7168" s="492">
        <v>5.0999999999999997E-2</v>
      </c>
      <c r="AJ7168" s="485"/>
    </row>
    <row r="7169" spans="2:36">
      <c r="B7169" s="136" t="s">
        <v>439</v>
      </c>
      <c r="C7169" s="132" t="s">
        <v>1382</v>
      </c>
      <c r="D7169" s="132" t="s">
        <v>1381</v>
      </c>
      <c r="E7169" s="508">
        <v>3.3250000000000002</v>
      </c>
      <c r="F7169" s="508">
        <v>2.1619999999999999</v>
      </c>
      <c r="G7169" s="508">
        <v>3.2069999999999999</v>
      </c>
      <c r="H7169" s="508">
        <v>3.6080000000000001</v>
      </c>
      <c r="I7169" s="508">
        <v>3.45</v>
      </c>
      <c r="J7169" s="508">
        <v>1.486</v>
      </c>
      <c r="K7169" s="508">
        <v>1.619</v>
      </c>
      <c r="L7169" s="508">
        <v>3.2570000000000001</v>
      </c>
      <c r="M7169" s="508">
        <v>1.742</v>
      </c>
      <c r="N7169" s="508">
        <v>4.1779999999999999</v>
      </c>
      <c r="O7169" s="508">
        <v>3.0510000000000002</v>
      </c>
      <c r="P7169" s="508">
        <v>1.69</v>
      </c>
      <c r="Q7169" s="508">
        <v>1.6040000000000001</v>
      </c>
      <c r="R7169" s="508">
        <v>2.0070000000000001</v>
      </c>
      <c r="S7169" s="508">
        <v>1.45</v>
      </c>
      <c r="T7169" s="508">
        <v>1.667</v>
      </c>
      <c r="U7169" s="508">
        <v>1.1419999999999999</v>
      </c>
      <c r="V7169" s="508">
        <v>0.97299999999999998</v>
      </c>
      <c r="W7169" s="508">
        <v>0.75</v>
      </c>
      <c r="X7169" s="508">
        <v>0.60099999999999998</v>
      </c>
      <c r="Y7169" s="508">
        <v>0.59399999999999997</v>
      </c>
      <c r="Z7169" s="508">
        <v>0.59099999999999997</v>
      </c>
      <c r="AA7169" s="508">
        <v>0.10100000000000001</v>
      </c>
      <c r="AB7169" s="508">
        <v>0.09</v>
      </c>
      <c r="AC7169" s="508">
        <v>8.8999999999999996E-2</v>
      </c>
      <c r="AD7169" s="508">
        <v>6.8000000000000005E-2</v>
      </c>
      <c r="AE7169" s="508">
        <v>6.5000000000000002E-2</v>
      </c>
      <c r="AF7169" s="508">
        <v>5.0999999999999997E-2</v>
      </c>
      <c r="AG7169" s="508">
        <v>0.05</v>
      </c>
      <c r="AH7169" s="508">
        <v>0.05</v>
      </c>
      <c r="AI7169" s="492">
        <v>4.9000000000000002E-2</v>
      </c>
      <c r="AJ7169" s="485"/>
    </row>
    <row r="7170" spans="2:36">
      <c r="B7170" s="136" t="s">
        <v>440</v>
      </c>
      <c r="C7170" s="132" t="s">
        <v>1382</v>
      </c>
      <c r="D7170" s="132" t="s">
        <v>1381</v>
      </c>
      <c r="E7170" s="508">
        <v>3.38</v>
      </c>
      <c r="F7170" s="508">
        <v>2.2320000000000002</v>
      </c>
      <c r="G7170" s="508">
        <v>3.2639999999999998</v>
      </c>
      <c r="H7170" s="508">
        <v>3.6589999999999998</v>
      </c>
      <c r="I7170" s="508">
        <v>3.5019999999999998</v>
      </c>
      <c r="J7170" s="508">
        <v>1.5620000000000001</v>
      </c>
      <c r="K7170" s="508">
        <v>1.6919999999999999</v>
      </c>
      <c r="L7170" s="508">
        <v>3.3069999999999999</v>
      </c>
      <c r="M7170" s="508">
        <v>1.8080000000000001</v>
      </c>
      <c r="N7170" s="508">
        <v>4.2149999999999999</v>
      </c>
      <c r="O7170" s="508">
        <v>3.097</v>
      </c>
      <c r="P7170" s="508">
        <v>1.748</v>
      </c>
      <c r="Q7170" s="508">
        <v>1.66</v>
      </c>
      <c r="R7170" s="508">
        <v>2.056</v>
      </c>
      <c r="S7170" s="508">
        <v>1.5009999999999999</v>
      </c>
      <c r="T7170" s="508">
        <v>1.7130000000000001</v>
      </c>
      <c r="U7170" s="508">
        <v>1.1870000000000001</v>
      </c>
      <c r="V7170" s="508">
        <v>1.0189999999999999</v>
      </c>
      <c r="W7170" s="508">
        <v>0.79600000000000004</v>
      </c>
      <c r="X7170" s="508">
        <v>0.64600000000000002</v>
      </c>
      <c r="Y7170" s="508">
        <v>0.63700000000000001</v>
      </c>
      <c r="Z7170" s="508">
        <v>0.63200000000000001</v>
      </c>
      <c r="AA7170" s="508">
        <v>0.124</v>
      </c>
      <c r="AB7170" s="508">
        <v>0.112</v>
      </c>
      <c r="AC7170" s="508">
        <v>0.11</v>
      </c>
      <c r="AD7170" s="508">
        <v>8.7999999999999995E-2</v>
      </c>
      <c r="AE7170" s="508">
        <v>8.5000000000000006E-2</v>
      </c>
      <c r="AF7170" s="508">
        <v>7.0999999999999994E-2</v>
      </c>
      <c r="AG7170" s="508">
        <v>6.9000000000000006E-2</v>
      </c>
      <c r="AH7170" s="508">
        <v>6.8000000000000005E-2</v>
      </c>
      <c r="AI7170" s="492">
        <v>6.7000000000000004E-2</v>
      </c>
      <c r="AJ7170" s="485"/>
    </row>
    <row r="7171" spans="2:36">
      <c r="B7171" s="136" t="s">
        <v>441</v>
      </c>
      <c r="C7171" s="132" t="s">
        <v>1382</v>
      </c>
      <c r="D7171" s="132" t="s">
        <v>1381</v>
      </c>
      <c r="E7171" s="508">
        <v>3.4009999999999998</v>
      </c>
      <c r="F7171" s="508">
        <v>2.238</v>
      </c>
      <c r="G7171" s="508">
        <v>3.2829999999999999</v>
      </c>
      <c r="H7171" s="508">
        <v>3.6829999999999998</v>
      </c>
      <c r="I7171" s="508">
        <v>3.524</v>
      </c>
      <c r="J7171" s="508">
        <v>1.5609999999999999</v>
      </c>
      <c r="K7171" s="508">
        <v>1.6930000000000001</v>
      </c>
      <c r="L7171" s="508">
        <v>3.3340000000000001</v>
      </c>
      <c r="M7171" s="508">
        <v>1.8120000000000001</v>
      </c>
      <c r="N7171" s="508">
        <v>4.2539999999999996</v>
      </c>
      <c r="O7171" s="508">
        <v>3.1190000000000002</v>
      </c>
      <c r="P7171" s="508">
        <v>1.756</v>
      </c>
      <c r="Q7171" s="508">
        <v>1.6639999999999999</v>
      </c>
      <c r="R7171" s="508">
        <v>2.069</v>
      </c>
      <c r="S7171" s="508">
        <v>1.5029999999999999</v>
      </c>
      <c r="T7171" s="508">
        <v>1.72</v>
      </c>
      <c r="U7171" s="508">
        <v>1.1870000000000001</v>
      </c>
      <c r="V7171" s="508">
        <v>1.02</v>
      </c>
      <c r="W7171" s="508">
        <v>0.79700000000000004</v>
      </c>
      <c r="X7171" s="508">
        <v>0.64500000000000002</v>
      </c>
      <c r="Y7171" s="508">
        <v>0.63600000000000001</v>
      </c>
      <c r="Z7171" s="508">
        <v>0.63</v>
      </c>
      <c r="AA7171" s="508">
        <v>0.122</v>
      </c>
      <c r="AB7171" s="508">
        <v>0.11</v>
      </c>
      <c r="AC7171" s="508">
        <v>0.109</v>
      </c>
      <c r="AD7171" s="508">
        <v>8.6999999999999994E-2</v>
      </c>
      <c r="AE7171" s="508">
        <v>8.3000000000000004E-2</v>
      </c>
      <c r="AF7171" s="508">
        <v>6.9000000000000006E-2</v>
      </c>
      <c r="AG7171" s="508">
        <v>6.8000000000000005E-2</v>
      </c>
      <c r="AH7171" s="508">
        <v>6.7000000000000004E-2</v>
      </c>
      <c r="AI7171" s="492">
        <v>6.6000000000000003E-2</v>
      </c>
      <c r="AJ7171" s="485"/>
    </row>
    <row r="7172" spans="2:36">
      <c r="B7172" s="136" t="s">
        <v>443</v>
      </c>
      <c r="C7172" s="132" t="s">
        <v>1382</v>
      </c>
      <c r="D7172" s="132" t="s">
        <v>1381</v>
      </c>
      <c r="E7172" s="508">
        <v>3.411</v>
      </c>
      <c r="F7172" s="508">
        <v>2.2469999999999999</v>
      </c>
      <c r="G7172" s="508">
        <v>3.2789999999999999</v>
      </c>
      <c r="H7172" s="508">
        <v>3.6749999999999998</v>
      </c>
      <c r="I7172" s="508">
        <v>3.5190000000000001</v>
      </c>
      <c r="J7172" s="508">
        <v>1.575</v>
      </c>
      <c r="K7172" s="508">
        <v>1.702</v>
      </c>
      <c r="L7172" s="508">
        <v>3.274</v>
      </c>
      <c r="M7172" s="508">
        <v>1.8180000000000001</v>
      </c>
      <c r="N7172" s="508">
        <v>4.194</v>
      </c>
      <c r="O7172" s="508">
        <v>3.0950000000000002</v>
      </c>
      <c r="P7172" s="508">
        <v>1.7450000000000001</v>
      </c>
      <c r="Q7172" s="508">
        <v>1.6639999999999999</v>
      </c>
      <c r="R7172" s="508">
        <v>2.028</v>
      </c>
      <c r="S7172" s="508">
        <v>1.518</v>
      </c>
      <c r="T7172" s="508">
        <v>1.7110000000000001</v>
      </c>
      <c r="U7172" s="508">
        <v>1.2110000000000001</v>
      </c>
      <c r="V7172" s="508">
        <v>1.0209999999999999</v>
      </c>
      <c r="W7172" s="508">
        <v>0.78700000000000003</v>
      </c>
      <c r="X7172" s="508">
        <v>0.63700000000000001</v>
      </c>
      <c r="Y7172" s="508">
        <v>0.63300000000000001</v>
      </c>
      <c r="Z7172" s="508">
        <v>0.63300000000000001</v>
      </c>
      <c r="AA7172" s="508">
        <v>0.113</v>
      </c>
      <c r="AB7172" s="508">
        <v>0.10199999999999999</v>
      </c>
      <c r="AC7172" s="508">
        <v>0.1</v>
      </c>
      <c r="AD7172" s="508">
        <v>7.8E-2</v>
      </c>
      <c r="AE7172" s="508">
        <v>7.4999999999999997E-2</v>
      </c>
      <c r="AF7172" s="508">
        <v>6.2E-2</v>
      </c>
      <c r="AG7172" s="508">
        <v>6.0999999999999999E-2</v>
      </c>
      <c r="AH7172" s="508">
        <v>0.06</v>
      </c>
      <c r="AI7172" s="492">
        <v>5.8999999999999997E-2</v>
      </c>
      <c r="AJ7172" s="485"/>
    </row>
    <row r="7173" spans="2:36">
      <c r="B7173" s="136" t="s">
        <v>445</v>
      </c>
      <c r="C7173" s="132" t="s">
        <v>1382</v>
      </c>
      <c r="D7173" s="132" t="s">
        <v>1381</v>
      </c>
      <c r="E7173" s="508">
        <v>3.6819999999999999</v>
      </c>
      <c r="F7173" s="508">
        <v>2.4260000000000002</v>
      </c>
      <c r="G7173" s="508">
        <v>3.52</v>
      </c>
      <c r="H7173" s="508">
        <v>3.9409999999999998</v>
      </c>
      <c r="I7173" s="508">
        <v>3.7770000000000001</v>
      </c>
      <c r="J7173" s="508">
        <v>1.7090000000000001</v>
      </c>
      <c r="K7173" s="508">
        <v>1.84</v>
      </c>
      <c r="L7173" s="508">
        <v>3.4590000000000001</v>
      </c>
      <c r="M7173" s="508">
        <v>1.96</v>
      </c>
      <c r="N7173" s="508">
        <v>4.4329999999999998</v>
      </c>
      <c r="O7173" s="508">
        <v>3.2919999999999998</v>
      </c>
      <c r="P7173" s="508">
        <v>1.8640000000000001</v>
      </c>
      <c r="Q7173" s="508">
        <v>1.7829999999999999</v>
      </c>
      <c r="R7173" s="508">
        <v>2.1309999999999998</v>
      </c>
      <c r="S7173" s="508">
        <v>1.641</v>
      </c>
      <c r="T7173" s="508">
        <v>1.8220000000000001</v>
      </c>
      <c r="U7173" s="508">
        <v>1.321</v>
      </c>
      <c r="V7173" s="508">
        <v>1.099</v>
      </c>
      <c r="W7173" s="508">
        <v>0.84</v>
      </c>
      <c r="X7173" s="508">
        <v>0.68300000000000005</v>
      </c>
      <c r="Y7173" s="508">
        <v>0.68100000000000005</v>
      </c>
      <c r="Z7173" s="508">
        <v>0.68500000000000005</v>
      </c>
      <c r="AA7173" s="508">
        <v>0.11700000000000001</v>
      </c>
      <c r="AB7173" s="508">
        <v>0.106</v>
      </c>
      <c r="AC7173" s="508">
        <v>0.10299999999999999</v>
      </c>
      <c r="AD7173" s="508">
        <v>0.08</v>
      </c>
      <c r="AE7173" s="508">
        <v>7.6999999999999999E-2</v>
      </c>
      <c r="AF7173" s="508">
        <v>6.3E-2</v>
      </c>
      <c r="AG7173" s="508">
        <v>6.2E-2</v>
      </c>
      <c r="AH7173" s="508">
        <v>6.0999999999999999E-2</v>
      </c>
      <c r="AI7173" s="492">
        <v>6.0999999999999999E-2</v>
      </c>
      <c r="AJ7173" s="485"/>
    </row>
    <row r="7174" spans="2:36">
      <c r="B7174" s="136" t="s">
        <v>446</v>
      </c>
      <c r="C7174" s="132" t="s">
        <v>1382</v>
      </c>
      <c r="D7174" s="132" t="s">
        <v>1381</v>
      </c>
      <c r="E7174" s="508">
        <v>3.4969999999999999</v>
      </c>
      <c r="F7174" s="508">
        <v>2.27</v>
      </c>
      <c r="G7174" s="508">
        <v>3.3530000000000002</v>
      </c>
      <c r="H7174" s="508">
        <v>3.7719999999999998</v>
      </c>
      <c r="I7174" s="508">
        <v>3.6160000000000001</v>
      </c>
      <c r="J7174" s="508">
        <v>1.5780000000000001</v>
      </c>
      <c r="K7174" s="508">
        <v>1.7110000000000001</v>
      </c>
      <c r="L7174" s="508">
        <v>3.34</v>
      </c>
      <c r="M7174" s="508">
        <v>1.84</v>
      </c>
      <c r="N7174" s="508">
        <v>4.2869999999999999</v>
      </c>
      <c r="O7174" s="508">
        <v>3.1619999999999999</v>
      </c>
      <c r="P7174" s="508">
        <v>1.7549999999999999</v>
      </c>
      <c r="Q7174" s="508">
        <v>1.6839999999999999</v>
      </c>
      <c r="R7174" s="508">
        <v>2.0419999999999998</v>
      </c>
      <c r="S7174" s="508">
        <v>1.5489999999999999</v>
      </c>
      <c r="T7174" s="508">
        <v>1.7370000000000001</v>
      </c>
      <c r="U7174" s="508">
        <v>1.2390000000000001</v>
      </c>
      <c r="V7174" s="508">
        <v>1.026</v>
      </c>
      <c r="W7174" s="508">
        <v>0.77300000000000002</v>
      </c>
      <c r="X7174" s="508">
        <v>0.61899999999999999</v>
      </c>
      <c r="Y7174" s="508">
        <v>0.62</v>
      </c>
      <c r="Z7174" s="508">
        <v>0.625</v>
      </c>
      <c r="AA7174" s="508">
        <v>0.09</v>
      </c>
      <c r="AB7174" s="508">
        <v>0.08</v>
      </c>
      <c r="AC7174" s="508">
        <v>7.8E-2</v>
      </c>
      <c r="AD7174" s="508">
        <v>5.6000000000000001E-2</v>
      </c>
      <c r="AE7174" s="508">
        <v>5.3999999999999999E-2</v>
      </c>
      <c r="AF7174" s="508">
        <v>4.1000000000000002E-2</v>
      </c>
      <c r="AG7174" s="508">
        <v>0.04</v>
      </c>
      <c r="AH7174" s="508">
        <v>0.04</v>
      </c>
      <c r="AI7174" s="492">
        <v>3.9E-2</v>
      </c>
      <c r="AJ7174" s="485"/>
    </row>
    <row r="7175" spans="2:36">
      <c r="B7175" s="136" t="s">
        <v>448</v>
      </c>
      <c r="C7175" s="132" t="s">
        <v>1382</v>
      </c>
      <c r="D7175" s="132" t="s">
        <v>1381</v>
      </c>
      <c r="E7175" s="508">
        <v>3.2349999999999999</v>
      </c>
      <c r="F7175" s="508">
        <v>2.109</v>
      </c>
      <c r="G7175" s="508">
        <v>3.1269999999999998</v>
      </c>
      <c r="H7175" s="508">
        <v>3.5190000000000001</v>
      </c>
      <c r="I7175" s="508">
        <v>3.3679999999999999</v>
      </c>
      <c r="J7175" s="508">
        <v>1.4570000000000001</v>
      </c>
      <c r="K7175" s="508">
        <v>1.587</v>
      </c>
      <c r="L7175" s="508">
        <v>3.1920000000000002</v>
      </c>
      <c r="M7175" s="508">
        <v>1.708</v>
      </c>
      <c r="N7175" s="508">
        <v>4.0819999999999999</v>
      </c>
      <c r="O7175" s="508">
        <v>2.9830000000000001</v>
      </c>
      <c r="P7175" s="508">
        <v>1.6559999999999999</v>
      </c>
      <c r="Q7175" s="508">
        <v>1.575</v>
      </c>
      <c r="R7175" s="508">
        <v>1.9730000000000001</v>
      </c>
      <c r="S7175" s="508">
        <v>1.425</v>
      </c>
      <c r="T7175" s="508">
        <v>1.6379999999999999</v>
      </c>
      <c r="U7175" s="508">
        <v>1.121</v>
      </c>
      <c r="V7175" s="508">
        <v>0.95699999999999996</v>
      </c>
      <c r="W7175" s="508">
        <v>0.73899999999999999</v>
      </c>
      <c r="X7175" s="508">
        <v>0.59199999999999997</v>
      </c>
      <c r="Y7175" s="508">
        <v>0.58499999999999996</v>
      </c>
      <c r="Z7175" s="508">
        <v>0.58199999999999996</v>
      </c>
      <c r="AA7175" s="508">
        <v>0.10100000000000001</v>
      </c>
      <c r="AB7175" s="508">
        <v>0.09</v>
      </c>
      <c r="AC7175" s="508">
        <v>8.8999999999999996E-2</v>
      </c>
      <c r="AD7175" s="508">
        <v>6.8000000000000005E-2</v>
      </c>
      <c r="AE7175" s="508">
        <v>6.5000000000000002E-2</v>
      </c>
      <c r="AF7175" s="508">
        <v>5.0999999999999997E-2</v>
      </c>
      <c r="AG7175" s="508">
        <v>5.0999999999999997E-2</v>
      </c>
      <c r="AH7175" s="508">
        <v>0.05</v>
      </c>
      <c r="AI7175" s="492">
        <v>4.9000000000000002E-2</v>
      </c>
      <c r="AJ7175" s="485"/>
    </row>
    <row r="7176" spans="2:36">
      <c r="B7176" s="136" t="s">
        <v>449</v>
      </c>
      <c r="C7176" s="132" t="s">
        <v>1382</v>
      </c>
      <c r="D7176" s="132" t="s">
        <v>1381</v>
      </c>
      <c r="E7176" s="508">
        <v>3.3620000000000001</v>
      </c>
      <c r="F7176" s="508">
        <v>2.173</v>
      </c>
      <c r="G7176" s="508">
        <v>3.2280000000000002</v>
      </c>
      <c r="H7176" s="508">
        <v>3.6360000000000001</v>
      </c>
      <c r="I7176" s="508">
        <v>3.4820000000000002</v>
      </c>
      <c r="J7176" s="508">
        <v>1.496</v>
      </c>
      <c r="K7176" s="508">
        <v>1.627</v>
      </c>
      <c r="L7176" s="508">
        <v>3.234</v>
      </c>
      <c r="M7176" s="508">
        <v>1.754</v>
      </c>
      <c r="N7176" s="508">
        <v>4.1660000000000004</v>
      </c>
      <c r="O7176" s="508">
        <v>3.0579999999999998</v>
      </c>
      <c r="P7176" s="508">
        <v>1.6830000000000001</v>
      </c>
      <c r="Q7176" s="508">
        <v>1.611</v>
      </c>
      <c r="R7176" s="508">
        <v>1.978</v>
      </c>
      <c r="S7176" s="508">
        <v>1.476</v>
      </c>
      <c r="T7176" s="508">
        <v>1.67</v>
      </c>
      <c r="U7176" s="508">
        <v>1.173</v>
      </c>
      <c r="V7176" s="508">
        <v>0.97599999999999998</v>
      </c>
      <c r="W7176" s="508">
        <v>0.73499999999999999</v>
      </c>
      <c r="X7176" s="508">
        <v>0.58599999999999997</v>
      </c>
      <c r="Y7176" s="508">
        <v>0.58499999999999996</v>
      </c>
      <c r="Z7176" s="508">
        <v>0.58899999999999997</v>
      </c>
      <c r="AA7176" s="508">
        <v>8.3000000000000004E-2</v>
      </c>
      <c r="AB7176" s="508">
        <v>7.2999999999999995E-2</v>
      </c>
      <c r="AC7176" s="508">
        <v>7.1999999999999995E-2</v>
      </c>
      <c r="AD7176" s="508">
        <v>0.05</v>
      </c>
      <c r="AE7176" s="508">
        <v>4.8000000000000001E-2</v>
      </c>
      <c r="AF7176" s="508">
        <v>3.5000000000000003E-2</v>
      </c>
      <c r="AG7176" s="508">
        <v>3.5000000000000003E-2</v>
      </c>
      <c r="AH7176" s="508">
        <v>3.5000000000000003E-2</v>
      </c>
      <c r="AI7176" s="492">
        <v>3.4000000000000002E-2</v>
      </c>
      <c r="AJ7176" s="485"/>
    </row>
    <row r="7177" spans="2:36">
      <c r="B7177" s="136" t="s">
        <v>450</v>
      </c>
      <c r="C7177" s="132" t="s">
        <v>1382</v>
      </c>
      <c r="D7177" s="132" t="s">
        <v>1381</v>
      </c>
      <c r="E7177" s="508">
        <v>3.3039999999999998</v>
      </c>
      <c r="F7177" s="508">
        <v>2.1869999999999998</v>
      </c>
      <c r="G7177" s="508">
        <v>3.194</v>
      </c>
      <c r="H7177" s="508">
        <v>3.58</v>
      </c>
      <c r="I7177" s="508">
        <v>3.427</v>
      </c>
      <c r="J7177" s="508">
        <v>1.534</v>
      </c>
      <c r="K7177" s="508">
        <v>1.661</v>
      </c>
      <c r="L7177" s="508">
        <v>3.2410000000000001</v>
      </c>
      <c r="M7177" s="508">
        <v>1.774</v>
      </c>
      <c r="N7177" s="508">
        <v>4.1280000000000001</v>
      </c>
      <c r="O7177" s="508">
        <v>3.0339999999999998</v>
      </c>
      <c r="P7177" s="508">
        <v>1.716</v>
      </c>
      <c r="Q7177" s="508">
        <v>1.63</v>
      </c>
      <c r="R7177" s="508">
        <v>2.0209999999999999</v>
      </c>
      <c r="S7177" s="508">
        <v>1.4730000000000001</v>
      </c>
      <c r="T7177" s="508">
        <v>1.6819999999999999</v>
      </c>
      <c r="U7177" s="508">
        <v>1.1639999999999999</v>
      </c>
      <c r="V7177" s="508">
        <v>1.0009999999999999</v>
      </c>
      <c r="W7177" s="508">
        <v>0.78400000000000003</v>
      </c>
      <c r="X7177" s="508">
        <v>0.63700000000000001</v>
      </c>
      <c r="Y7177" s="508">
        <v>0.628</v>
      </c>
      <c r="Z7177" s="508">
        <v>0.622</v>
      </c>
      <c r="AA7177" s="508">
        <v>0.124</v>
      </c>
      <c r="AB7177" s="508">
        <v>0.112</v>
      </c>
      <c r="AC7177" s="508">
        <v>0.11</v>
      </c>
      <c r="AD7177" s="508">
        <v>8.8999999999999996E-2</v>
      </c>
      <c r="AE7177" s="508">
        <v>8.5000000000000006E-2</v>
      </c>
      <c r="AF7177" s="508">
        <v>7.0999999999999994E-2</v>
      </c>
      <c r="AG7177" s="508">
        <v>7.0000000000000007E-2</v>
      </c>
      <c r="AH7177" s="508">
        <v>6.9000000000000006E-2</v>
      </c>
      <c r="AI7177" s="492">
        <v>6.8000000000000005E-2</v>
      </c>
      <c r="AJ7177" s="485"/>
    </row>
    <row r="7178" spans="2:36">
      <c r="B7178" s="136" t="s">
        <v>451</v>
      </c>
      <c r="C7178" s="132" t="s">
        <v>1382</v>
      </c>
      <c r="D7178" s="132" t="s">
        <v>1381</v>
      </c>
      <c r="E7178" s="508">
        <v>3.601</v>
      </c>
      <c r="F7178" s="508">
        <v>2.379</v>
      </c>
      <c r="G7178" s="508">
        <v>3.4550000000000001</v>
      </c>
      <c r="H7178" s="508">
        <v>3.867</v>
      </c>
      <c r="I7178" s="508">
        <v>3.7040000000000002</v>
      </c>
      <c r="J7178" s="508">
        <v>1.6759999999999999</v>
      </c>
      <c r="K7178" s="508">
        <v>1.8069999999999999</v>
      </c>
      <c r="L7178" s="508">
        <v>3.4329999999999998</v>
      </c>
      <c r="M7178" s="508">
        <v>1.925</v>
      </c>
      <c r="N7178" s="508">
        <v>4.3860000000000001</v>
      </c>
      <c r="O7178" s="508">
        <v>3.2469999999999999</v>
      </c>
      <c r="P7178" s="508">
        <v>1.8420000000000001</v>
      </c>
      <c r="Q7178" s="508">
        <v>1.756</v>
      </c>
      <c r="R7178" s="508">
        <v>2.125</v>
      </c>
      <c r="S7178" s="508">
        <v>1.605</v>
      </c>
      <c r="T7178" s="508">
        <v>1.7989999999999999</v>
      </c>
      <c r="U7178" s="508">
        <v>1.2849999999999999</v>
      </c>
      <c r="V7178" s="508">
        <v>1.083</v>
      </c>
      <c r="W7178" s="508">
        <v>0.83699999999999997</v>
      </c>
      <c r="X7178" s="508">
        <v>0.68100000000000005</v>
      </c>
      <c r="Y7178" s="508">
        <v>0.67600000000000005</v>
      </c>
      <c r="Z7178" s="508">
        <v>0.67600000000000005</v>
      </c>
      <c r="AA7178" s="508">
        <v>0.125</v>
      </c>
      <c r="AB7178" s="508">
        <v>0.113</v>
      </c>
      <c r="AC7178" s="508">
        <v>0.111</v>
      </c>
      <c r="AD7178" s="508">
        <v>8.7999999999999995E-2</v>
      </c>
      <c r="AE7178" s="508">
        <v>8.5000000000000006E-2</v>
      </c>
      <c r="AF7178" s="508">
        <v>7.0000000000000007E-2</v>
      </c>
      <c r="AG7178" s="508">
        <v>6.9000000000000006E-2</v>
      </c>
      <c r="AH7178" s="508">
        <v>6.8000000000000005E-2</v>
      </c>
      <c r="AI7178" s="492">
        <v>6.7000000000000004E-2</v>
      </c>
      <c r="AJ7178" s="485"/>
    </row>
    <row r="7179" spans="2:36">
      <c r="B7179" s="136" t="s">
        <v>452</v>
      </c>
      <c r="C7179" s="132" t="s">
        <v>1382</v>
      </c>
      <c r="D7179" s="132" t="s">
        <v>1381</v>
      </c>
      <c r="E7179" s="508">
        <v>3.423</v>
      </c>
      <c r="F7179" s="508">
        <v>2.2599999999999998</v>
      </c>
      <c r="G7179" s="508">
        <v>3.2959999999999998</v>
      </c>
      <c r="H7179" s="508">
        <v>3.6930000000000001</v>
      </c>
      <c r="I7179" s="508">
        <v>3.536</v>
      </c>
      <c r="J7179" s="508">
        <v>1.5860000000000001</v>
      </c>
      <c r="K7179" s="508">
        <v>1.7150000000000001</v>
      </c>
      <c r="L7179" s="508">
        <v>3.306</v>
      </c>
      <c r="M7179" s="508">
        <v>1.831</v>
      </c>
      <c r="N7179" s="508">
        <v>4.2210000000000001</v>
      </c>
      <c r="O7179" s="508">
        <v>3.113</v>
      </c>
      <c r="P7179" s="508">
        <v>1.76</v>
      </c>
      <c r="Q7179" s="508">
        <v>1.6759999999999999</v>
      </c>
      <c r="R7179" s="508">
        <v>2.052</v>
      </c>
      <c r="S7179" s="508">
        <v>1.5249999999999999</v>
      </c>
      <c r="T7179" s="508">
        <v>1.724</v>
      </c>
      <c r="U7179" s="508">
        <v>1.2130000000000001</v>
      </c>
      <c r="V7179" s="508">
        <v>1.03</v>
      </c>
      <c r="W7179" s="508">
        <v>0.79900000000000004</v>
      </c>
      <c r="X7179" s="508">
        <v>0.64900000000000002</v>
      </c>
      <c r="Y7179" s="508">
        <v>0.64200000000000002</v>
      </c>
      <c r="Z7179" s="508">
        <v>0.64</v>
      </c>
      <c r="AA7179" s="508">
        <v>0.12</v>
      </c>
      <c r="AB7179" s="508">
        <v>0.108</v>
      </c>
      <c r="AC7179" s="508">
        <v>0.106</v>
      </c>
      <c r="AD7179" s="508">
        <v>8.4000000000000005E-2</v>
      </c>
      <c r="AE7179" s="508">
        <v>8.1000000000000003E-2</v>
      </c>
      <c r="AF7179" s="508">
        <v>6.7000000000000004E-2</v>
      </c>
      <c r="AG7179" s="508">
        <v>6.6000000000000003E-2</v>
      </c>
      <c r="AH7179" s="508">
        <v>6.5000000000000002E-2</v>
      </c>
      <c r="AI7179" s="492">
        <v>6.4000000000000001E-2</v>
      </c>
      <c r="AJ7179" s="485"/>
    </row>
    <row r="7180" spans="2:36">
      <c r="B7180" s="136" t="s">
        <v>453</v>
      </c>
      <c r="C7180" s="132" t="s">
        <v>1382</v>
      </c>
      <c r="D7180" s="132" t="s">
        <v>1381</v>
      </c>
      <c r="E7180" s="508">
        <v>3.27</v>
      </c>
      <c r="F7180" s="508">
        <v>2.1640000000000001</v>
      </c>
      <c r="G7180" s="508">
        <v>3.165</v>
      </c>
      <c r="H7180" s="508">
        <v>3.5489999999999999</v>
      </c>
      <c r="I7180" s="508">
        <v>3.3969999999999998</v>
      </c>
      <c r="J7180" s="508">
        <v>1.5169999999999999</v>
      </c>
      <c r="K7180" s="508">
        <v>1.6439999999999999</v>
      </c>
      <c r="L7180" s="508">
        <v>3.222</v>
      </c>
      <c r="M7180" s="508">
        <v>1.758</v>
      </c>
      <c r="N7180" s="508">
        <v>4.101</v>
      </c>
      <c r="O7180" s="508">
        <v>3.0110000000000001</v>
      </c>
      <c r="P7180" s="508">
        <v>1.702</v>
      </c>
      <c r="Q7180" s="508">
        <v>1.617</v>
      </c>
      <c r="R7180" s="508">
        <v>2.0099999999999998</v>
      </c>
      <c r="S7180" s="508">
        <v>1.4590000000000001</v>
      </c>
      <c r="T7180" s="508">
        <v>1.67</v>
      </c>
      <c r="U7180" s="508">
        <v>1.1519999999999999</v>
      </c>
      <c r="V7180" s="508">
        <v>0.99199999999999999</v>
      </c>
      <c r="W7180" s="508">
        <v>0.77800000000000002</v>
      </c>
      <c r="X7180" s="508">
        <v>0.63100000000000001</v>
      </c>
      <c r="Y7180" s="508">
        <v>0.622</v>
      </c>
      <c r="Z7180" s="508">
        <v>0.61599999999999999</v>
      </c>
      <c r="AA7180" s="508">
        <v>0.123</v>
      </c>
      <c r="AB7180" s="508">
        <v>0.111</v>
      </c>
      <c r="AC7180" s="508">
        <v>0.11</v>
      </c>
      <c r="AD7180" s="508">
        <v>8.7999999999999995E-2</v>
      </c>
      <c r="AE7180" s="508">
        <v>8.5000000000000006E-2</v>
      </c>
      <c r="AF7180" s="508">
        <v>7.0999999999999994E-2</v>
      </c>
      <c r="AG7180" s="508">
        <v>7.0000000000000007E-2</v>
      </c>
      <c r="AH7180" s="508">
        <v>6.9000000000000006E-2</v>
      </c>
      <c r="AI7180" s="492">
        <v>6.8000000000000005E-2</v>
      </c>
      <c r="AJ7180" s="485"/>
    </row>
    <row r="7181" spans="2:36">
      <c r="B7181" s="136" t="s">
        <v>454</v>
      </c>
      <c r="C7181" s="132" t="s">
        <v>1382</v>
      </c>
      <c r="D7181" s="132" t="s">
        <v>1381</v>
      </c>
      <c r="E7181" s="508">
        <v>3.2639999999999998</v>
      </c>
      <c r="F7181" s="508">
        <v>2.145</v>
      </c>
      <c r="G7181" s="508">
        <v>3.1560000000000001</v>
      </c>
      <c r="H7181" s="508">
        <v>3.5449999999999999</v>
      </c>
      <c r="I7181" s="508">
        <v>3.3929999999999998</v>
      </c>
      <c r="J7181" s="508">
        <v>1.4950000000000001</v>
      </c>
      <c r="K7181" s="508">
        <v>1.623</v>
      </c>
      <c r="L7181" s="508">
        <v>3.2170000000000001</v>
      </c>
      <c r="M7181" s="508">
        <v>1.7410000000000001</v>
      </c>
      <c r="N7181" s="508">
        <v>4.1029999999999998</v>
      </c>
      <c r="O7181" s="508">
        <v>3.0070000000000001</v>
      </c>
      <c r="P7181" s="508">
        <v>1.6859999999999999</v>
      </c>
      <c r="Q7181" s="508">
        <v>1.603</v>
      </c>
      <c r="R7181" s="508">
        <v>1.998</v>
      </c>
      <c r="S7181" s="508">
        <v>1.448</v>
      </c>
      <c r="T7181" s="508">
        <v>1.66</v>
      </c>
      <c r="U7181" s="508">
        <v>1.1419999999999999</v>
      </c>
      <c r="V7181" s="508">
        <v>0.97899999999999998</v>
      </c>
      <c r="W7181" s="508">
        <v>0.76200000000000001</v>
      </c>
      <c r="X7181" s="508">
        <v>0.61499999999999999</v>
      </c>
      <c r="Y7181" s="508">
        <v>0.60699999999999998</v>
      </c>
      <c r="Z7181" s="508">
        <v>0.60199999999999998</v>
      </c>
      <c r="AA7181" s="508">
        <v>0.113</v>
      </c>
      <c r="AB7181" s="508">
        <v>0.10199999999999999</v>
      </c>
      <c r="AC7181" s="508">
        <v>0.10100000000000001</v>
      </c>
      <c r="AD7181" s="508">
        <v>7.9000000000000001E-2</v>
      </c>
      <c r="AE7181" s="508">
        <v>7.5999999999999998E-2</v>
      </c>
      <c r="AF7181" s="508">
        <v>6.2E-2</v>
      </c>
      <c r="AG7181" s="508">
        <v>6.0999999999999999E-2</v>
      </c>
      <c r="AH7181" s="508">
        <v>0.06</v>
      </c>
      <c r="AI7181" s="492">
        <v>5.8999999999999997E-2</v>
      </c>
      <c r="AJ7181" s="485"/>
    </row>
    <row r="7182" spans="2:36">
      <c r="B7182" s="136" t="s">
        <v>455</v>
      </c>
      <c r="C7182" s="132" t="s">
        <v>1382</v>
      </c>
      <c r="D7182" s="132" t="s">
        <v>1381</v>
      </c>
      <c r="E7182" s="508">
        <v>3.2090000000000001</v>
      </c>
      <c r="F7182" s="508">
        <v>2.1019999999999999</v>
      </c>
      <c r="G7182" s="508">
        <v>3.11</v>
      </c>
      <c r="H7182" s="508">
        <v>3.4980000000000002</v>
      </c>
      <c r="I7182" s="508">
        <v>3.3460000000000001</v>
      </c>
      <c r="J7182" s="508">
        <v>1.4550000000000001</v>
      </c>
      <c r="K7182" s="508">
        <v>1.585</v>
      </c>
      <c r="L7182" s="508">
        <v>3.1949999999999998</v>
      </c>
      <c r="M7182" s="508">
        <v>1.704</v>
      </c>
      <c r="N7182" s="508">
        <v>4.0720000000000001</v>
      </c>
      <c r="O7182" s="508">
        <v>2.972</v>
      </c>
      <c r="P7182" s="508">
        <v>1.6579999999999999</v>
      </c>
      <c r="Q7182" s="508">
        <v>1.573</v>
      </c>
      <c r="R7182" s="508">
        <v>1.9830000000000001</v>
      </c>
      <c r="S7182" s="508">
        <v>1.415</v>
      </c>
      <c r="T7182" s="508">
        <v>1.6359999999999999</v>
      </c>
      <c r="U7182" s="508">
        <v>1.109</v>
      </c>
      <c r="V7182" s="508">
        <v>0.95699999999999996</v>
      </c>
      <c r="W7182" s="508">
        <v>0.747</v>
      </c>
      <c r="X7182" s="508">
        <v>0.60099999999999998</v>
      </c>
      <c r="Y7182" s="508">
        <v>0.59199999999999997</v>
      </c>
      <c r="Z7182" s="508">
        <v>0.58499999999999996</v>
      </c>
      <c r="AA7182" s="508">
        <v>0.11</v>
      </c>
      <c r="AB7182" s="508">
        <v>9.9000000000000005E-2</v>
      </c>
      <c r="AC7182" s="508">
        <v>9.8000000000000004E-2</v>
      </c>
      <c r="AD7182" s="508">
        <v>7.6999999999999999E-2</v>
      </c>
      <c r="AE7182" s="508">
        <v>7.2999999999999995E-2</v>
      </c>
      <c r="AF7182" s="508">
        <v>0.06</v>
      </c>
      <c r="AG7182" s="508">
        <v>5.8999999999999997E-2</v>
      </c>
      <c r="AH7182" s="508">
        <v>5.8000000000000003E-2</v>
      </c>
      <c r="AI7182" s="492">
        <v>5.7000000000000002E-2</v>
      </c>
      <c r="AJ7182" s="485"/>
    </row>
    <row r="7183" spans="2:36">
      <c r="B7183" s="136" t="s">
        <v>456</v>
      </c>
      <c r="C7183" s="132" t="s">
        <v>1382</v>
      </c>
      <c r="D7183" s="132" t="s">
        <v>1381</v>
      </c>
      <c r="E7183" s="508">
        <v>3.274</v>
      </c>
      <c r="F7183" s="508">
        <v>2.1280000000000001</v>
      </c>
      <c r="G7183" s="508">
        <v>3.16</v>
      </c>
      <c r="H7183" s="508">
        <v>3.56</v>
      </c>
      <c r="I7183" s="508">
        <v>3.4089999999999998</v>
      </c>
      <c r="J7183" s="508">
        <v>1.47</v>
      </c>
      <c r="K7183" s="508">
        <v>1.601</v>
      </c>
      <c r="L7183" s="508">
        <v>3.2149999999999999</v>
      </c>
      <c r="M7183" s="508">
        <v>1.726</v>
      </c>
      <c r="N7183" s="508">
        <v>4.1139999999999999</v>
      </c>
      <c r="O7183" s="508">
        <v>3.0110000000000001</v>
      </c>
      <c r="P7183" s="508">
        <v>1.6659999999999999</v>
      </c>
      <c r="Q7183" s="508">
        <v>1.59</v>
      </c>
      <c r="R7183" s="508">
        <v>1.98</v>
      </c>
      <c r="S7183" s="508">
        <v>1.4450000000000001</v>
      </c>
      <c r="T7183" s="508">
        <v>1.653</v>
      </c>
      <c r="U7183" s="508">
        <v>1.141</v>
      </c>
      <c r="V7183" s="508">
        <v>0.96499999999999997</v>
      </c>
      <c r="W7183" s="508">
        <v>0.73899999999999999</v>
      </c>
      <c r="X7183" s="508">
        <v>0.59099999999999997</v>
      </c>
      <c r="Y7183" s="508">
        <v>0.58599999999999997</v>
      </c>
      <c r="Z7183" s="508">
        <v>0.58499999999999996</v>
      </c>
      <c r="AA7183" s="508">
        <v>9.5000000000000001E-2</v>
      </c>
      <c r="AB7183" s="508">
        <v>8.4000000000000005E-2</v>
      </c>
      <c r="AC7183" s="508">
        <v>8.3000000000000004E-2</v>
      </c>
      <c r="AD7183" s="508">
        <v>6.2E-2</v>
      </c>
      <c r="AE7183" s="508">
        <v>5.8999999999999997E-2</v>
      </c>
      <c r="AF7183" s="508">
        <v>4.5999999999999999E-2</v>
      </c>
      <c r="AG7183" s="508">
        <v>4.4999999999999998E-2</v>
      </c>
      <c r="AH7183" s="508">
        <v>4.4999999999999998E-2</v>
      </c>
      <c r="AI7183" s="492">
        <v>4.3999999999999997E-2</v>
      </c>
      <c r="AJ7183" s="485"/>
    </row>
    <row r="7184" spans="2:36">
      <c r="B7184" s="136" t="s">
        <v>457</v>
      </c>
      <c r="C7184" s="132" t="s">
        <v>1382</v>
      </c>
      <c r="D7184" s="132" t="s">
        <v>1381</v>
      </c>
      <c r="E7184" s="508">
        <v>3.177</v>
      </c>
      <c r="F7184" s="508">
        <v>2.109</v>
      </c>
      <c r="G7184" s="508">
        <v>3.0840000000000001</v>
      </c>
      <c r="H7184" s="508">
        <v>3.4580000000000002</v>
      </c>
      <c r="I7184" s="508">
        <v>3.3079999999999998</v>
      </c>
      <c r="J7184" s="508">
        <v>1.4770000000000001</v>
      </c>
      <c r="K7184" s="508">
        <v>1.603</v>
      </c>
      <c r="L7184" s="508">
        <v>3.1629999999999998</v>
      </c>
      <c r="M7184" s="508">
        <v>1.7130000000000001</v>
      </c>
      <c r="N7184" s="508">
        <v>4.0220000000000002</v>
      </c>
      <c r="O7184" s="508">
        <v>2.9460000000000002</v>
      </c>
      <c r="P7184" s="508">
        <v>1.667</v>
      </c>
      <c r="Q7184" s="508">
        <v>1.58</v>
      </c>
      <c r="R7184" s="508">
        <v>1.982</v>
      </c>
      <c r="S7184" s="508">
        <v>1.4179999999999999</v>
      </c>
      <c r="T7184" s="508">
        <v>1.6339999999999999</v>
      </c>
      <c r="U7184" s="508">
        <v>1.113</v>
      </c>
      <c r="V7184" s="508">
        <v>0.96799999999999997</v>
      </c>
      <c r="W7184" s="508">
        <v>0.76600000000000001</v>
      </c>
      <c r="X7184" s="508">
        <v>0.622</v>
      </c>
      <c r="Y7184" s="508">
        <v>0.61099999999999999</v>
      </c>
      <c r="Z7184" s="508">
        <v>0.60199999999999998</v>
      </c>
      <c r="AA7184" s="508">
        <v>0.127</v>
      </c>
      <c r="AB7184" s="508">
        <v>0.114</v>
      </c>
      <c r="AC7184" s="508">
        <v>0.113</v>
      </c>
      <c r="AD7184" s="508">
        <v>9.1999999999999998E-2</v>
      </c>
      <c r="AE7184" s="508">
        <v>8.7999999999999995E-2</v>
      </c>
      <c r="AF7184" s="508">
        <v>7.4999999999999997E-2</v>
      </c>
      <c r="AG7184" s="508">
        <v>7.2999999999999995E-2</v>
      </c>
      <c r="AH7184" s="508">
        <v>7.1999999999999995E-2</v>
      </c>
      <c r="AI7184" s="492">
        <v>7.0999999999999994E-2</v>
      </c>
      <c r="AJ7184" s="485"/>
    </row>
    <row r="7185" spans="2:36">
      <c r="B7185" s="136" t="s">
        <v>458</v>
      </c>
      <c r="C7185" s="132" t="s">
        <v>1382</v>
      </c>
      <c r="D7185" s="132" t="s">
        <v>1381</v>
      </c>
      <c r="E7185" s="508">
        <v>3.3380000000000001</v>
      </c>
      <c r="F7185" s="508">
        <v>2.1890000000000001</v>
      </c>
      <c r="G7185" s="508">
        <v>3.2240000000000002</v>
      </c>
      <c r="H7185" s="508">
        <v>3.621</v>
      </c>
      <c r="I7185" s="508">
        <v>3.4649999999999999</v>
      </c>
      <c r="J7185" s="508">
        <v>1.5209999999999999</v>
      </c>
      <c r="K7185" s="508">
        <v>1.653</v>
      </c>
      <c r="L7185" s="508">
        <v>3.28</v>
      </c>
      <c r="M7185" s="508">
        <v>1.7729999999999999</v>
      </c>
      <c r="N7185" s="508">
        <v>4.1890000000000001</v>
      </c>
      <c r="O7185" s="508">
        <v>3.0680000000000001</v>
      </c>
      <c r="P7185" s="508">
        <v>1.718</v>
      </c>
      <c r="Q7185" s="508">
        <v>1.63</v>
      </c>
      <c r="R7185" s="508">
        <v>2.032</v>
      </c>
      <c r="S7185" s="508">
        <v>1.474</v>
      </c>
      <c r="T7185" s="508">
        <v>1.6890000000000001</v>
      </c>
      <c r="U7185" s="508">
        <v>1.1619999999999999</v>
      </c>
      <c r="V7185" s="508">
        <v>0.996</v>
      </c>
      <c r="W7185" s="508">
        <v>0.77400000000000002</v>
      </c>
      <c r="X7185" s="508">
        <v>0.625</v>
      </c>
      <c r="Y7185" s="508">
        <v>0.61599999999999999</v>
      </c>
      <c r="Z7185" s="508">
        <v>0.61199999999999999</v>
      </c>
      <c r="AA7185" s="508">
        <v>0.114</v>
      </c>
      <c r="AB7185" s="508">
        <v>0.10199999999999999</v>
      </c>
      <c r="AC7185" s="508">
        <v>0.10100000000000001</v>
      </c>
      <c r="AD7185" s="508">
        <v>7.9000000000000001E-2</v>
      </c>
      <c r="AE7185" s="508">
        <v>7.5999999999999998E-2</v>
      </c>
      <c r="AF7185" s="508">
        <v>6.2E-2</v>
      </c>
      <c r="AG7185" s="508">
        <v>6.0999999999999999E-2</v>
      </c>
      <c r="AH7185" s="508">
        <v>0.06</v>
      </c>
      <c r="AI7185" s="492">
        <v>5.8999999999999997E-2</v>
      </c>
      <c r="AJ7185" s="485"/>
    </row>
    <row r="7186" spans="2:36">
      <c r="B7186" s="136" t="s">
        <v>459</v>
      </c>
      <c r="C7186" s="132" t="s">
        <v>1382</v>
      </c>
      <c r="D7186" s="132" t="s">
        <v>1381</v>
      </c>
      <c r="E7186" s="508">
        <v>3.3679999999999999</v>
      </c>
      <c r="F7186" s="508">
        <v>2.222</v>
      </c>
      <c r="G7186" s="508">
        <v>3.254</v>
      </c>
      <c r="H7186" s="508">
        <v>3.649</v>
      </c>
      <c r="I7186" s="508">
        <v>3.4910000000000001</v>
      </c>
      <c r="J7186" s="508">
        <v>1.5529999999999999</v>
      </c>
      <c r="K7186" s="508">
        <v>1.6830000000000001</v>
      </c>
      <c r="L7186" s="508">
        <v>3.3050000000000002</v>
      </c>
      <c r="M7186" s="508">
        <v>1.8</v>
      </c>
      <c r="N7186" s="508">
        <v>4.2130000000000001</v>
      </c>
      <c r="O7186" s="508">
        <v>3.0920000000000001</v>
      </c>
      <c r="P7186" s="508">
        <v>1.744</v>
      </c>
      <c r="Q7186" s="508">
        <v>1.6539999999999999</v>
      </c>
      <c r="R7186" s="508">
        <v>2.0550000000000002</v>
      </c>
      <c r="S7186" s="508">
        <v>1.4930000000000001</v>
      </c>
      <c r="T7186" s="508">
        <v>1.708</v>
      </c>
      <c r="U7186" s="508">
        <v>1.179</v>
      </c>
      <c r="V7186" s="508">
        <v>1.014</v>
      </c>
      <c r="W7186" s="508">
        <v>0.79400000000000004</v>
      </c>
      <c r="X7186" s="508">
        <v>0.64400000000000002</v>
      </c>
      <c r="Y7186" s="508">
        <v>0.63400000000000001</v>
      </c>
      <c r="Z7186" s="508">
        <v>0.628</v>
      </c>
      <c r="AA7186" s="508">
        <v>0.124</v>
      </c>
      <c r="AB7186" s="508">
        <v>0.112</v>
      </c>
      <c r="AC7186" s="508">
        <v>0.11</v>
      </c>
      <c r="AD7186" s="508">
        <v>8.7999999999999995E-2</v>
      </c>
      <c r="AE7186" s="508">
        <v>8.5000000000000006E-2</v>
      </c>
      <c r="AF7186" s="508">
        <v>7.0999999999999994E-2</v>
      </c>
      <c r="AG7186" s="508">
        <v>7.0000000000000007E-2</v>
      </c>
      <c r="AH7186" s="508">
        <v>6.8000000000000005E-2</v>
      </c>
      <c r="AI7186" s="492">
        <v>6.8000000000000005E-2</v>
      </c>
      <c r="AJ7186" s="485"/>
    </row>
    <row r="7187" spans="2:36">
      <c r="B7187" s="136" t="s">
        <v>460</v>
      </c>
      <c r="C7187" s="132" t="s">
        <v>1382</v>
      </c>
      <c r="D7187" s="132" t="s">
        <v>1381</v>
      </c>
      <c r="E7187" s="508">
        <v>3.4089999999999998</v>
      </c>
      <c r="F7187" s="508">
        <v>2.2570000000000001</v>
      </c>
      <c r="G7187" s="508">
        <v>3.2890000000000001</v>
      </c>
      <c r="H7187" s="508">
        <v>3.6840000000000002</v>
      </c>
      <c r="I7187" s="508">
        <v>3.5270000000000001</v>
      </c>
      <c r="J7187" s="508">
        <v>1.585</v>
      </c>
      <c r="K7187" s="508">
        <v>1.714</v>
      </c>
      <c r="L7187" s="508">
        <v>3.32</v>
      </c>
      <c r="M7187" s="508">
        <v>1.83</v>
      </c>
      <c r="N7187" s="508">
        <v>4.2290000000000001</v>
      </c>
      <c r="O7187" s="508">
        <v>3.1139999999999999</v>
      </c>
      <c r="P7187" s="508">
        <v>1.7649999999999999</v>
      </c>
      <c r="Q7187" s="508">
        <v>1.677</v>
      </c>
      <c r="R7187" s="508">
        <v>2.0659999999999998</v>
      </c>
      <c r="S7187" s="508">
        <v>1.5189999999999999</v>
      </c>
      <c r="T7187" s="508">
        <v>1.726</v>
      </c>
      <c r="U7187" s="508">
        <v>1.2050000000000001</v>
      </c>
      <c r="V7187" s="508">
        <v>1.032</v>
      </c>
      <c r="W7187" s="508">
        <v>0.80600000000000005</v>
      </c>
      <c r="X7187" s="508">
        <v>0.65600000000000003</v>
      </c>
      <c r="Y7187" s="508">
        <v>0.64700000000000002</v>
      </c>
      <c r="Z7187" s="508">
        <v>0.64300000000000002</v>
      </c>
      <c r="AA7187" s="508">
        <v>0.127</v>
      </c>
      <c r="AB7187" s="508">
        <v>0.115</v>
      </c>
      <c r="AC7187" s="508">
        <v>0.113</v>
      </c>
      <c r="AD7187" s="508">
        <v>9.0999999999999998E-2</v>
      </c>
      <c r="AE7187" s="508">
        <v>8.6999999999999994E-2</v>
      </c>
      <c r="AF7187" s="508">
        <v>7.2999999999999995E-2</v>
      </c>
      <c r="AG7187" s="508">
        <v>7.1999999999999995E-2</v>
      </c>
      <c r="AH7187" s="508">
        <v>7.0999999999999994E-2</v>
      </c>
      <c r="AI7187" s="492">
        <v>7.0000000000000007E-2</v>
      </c>
      <c r="AJ7187" s="485"/>
    </row>
    <row r="7188" spans="2:36">
      <c r="B7188" s="136" t="s">
        <v>461</v>
      </c>
      <c r="C7188" s="132" t="s">
        <v>1382</v>
      </c>
      <c r="D7188" s="132" t="s">
        <v>1381</v>
      </c>
      <c r="E7188" s="508">
        <v>3.3490000000000002</v>
      </c>
      <c r="F7188" s="508">
        <v>2.226</v>
      </c>
      <c r="G7188" s="508">
        <v>3.2370000000000001</v>
      </c>
      <c r="H7188" s="508">
        <v>3.6240000000000001</v>
      </c>
      <c r="I7188" s="508">
        <v>3.4689999999999999</v>
      </c>
      <c r="J7188" s="508">
        <v>1.57</v>
      </c>
      <c r="K7188" s="508">
        <v>1.6970000000000001</v>
      </c>
      <c r="L7188" s="508">
        <v>3.28</v>
      </c>
      <c r="M7188" s="508">
        <v>1.8089999999999999</v>
      </c>
      <c r="N7188" s="508">
        <v>4.1719999999999997</v>
      </c>
      <c r="O7188" s="508">
        <v>3.0720000000000001</v>
      </c>
      <c r="P7188" s="508">
        <v>1.748</v>
      </c>
      <c r="Q7188" s="508">
        <v>1.66</v>
      </c>
      <c r="R7188" s="508">
        <v>2.0499999999999998</v>
      </c>
      <c r="S7188" s="508">
        <v>1.5</v>
      </c>
      <c r="T7188" s="508">
        <v>1.708</v>
      </c>
      <c r="U7188" s="508">
        <v>1.1879999999999999</v>
      </c>
      <c r="V7188" s="508">
        <v>1.0229999999999999</v>
      </c>
      <c r="W7188" s="508">
        <v>0.80400000000000005</v>
      </c>
      <c r="X7188" s="508">
        <v>0.65600000000000003</v>
      </c>
      <c r="Y7188" s="508">
        <v>0.64600000000000002</v>
      </c>
      <c r="Z7188" s="508">
        <v>0.64</v>
      </c>
      <c r="AA7188" s="508">
        <v>0.13100000000000001</v>
      </c>
      <c r="AB7188" s="508">
        <v>0.11899999999999999</v>
      </c>
      <c r="AC7188" s="508">
        <v>0.11799999999999999</v>
      </c>
      <c r="AD7188" s="508">
        <v>9.6000000000000002E-2</v>
      </c>
      <c r="AE7188" s="508">
        <v>9.1999999999999998E-2</v>
      </c>
      <c r="AF7188" s="508">
        <v>7.8E-2</v>
      </c>
      <c r="AG7188" s="508">
        <v>7.6999999999999999E-2</v>
      </c>
      <c r="AH7188" s="508">
        <v>7.4999999999999997E-2</v>
      </c>
      <c r="AI7188" s="492">
        <v>7.3999999999999996E-2</v>
      </c>
      <c r="AJ7188" s="485"/>
    </row>
    <row r="7189" spans="2:36">
      <c r="B7189" s="136" t="s">
        <v>462</v>
      </c>
      <c r="C7189" s="132" t="s">
        <v>1382</v>
      </c>
      <c r="D7189" s="132" t="s">
        <v>1381</v>
      </c>
      <c r="E7189" s="508">
        <v>3.1949999999999998</v>
      </c>
      <c r="F7189" s="508">
        <v>2.0840000000000001</v>
      </c>
      <c r="G7189" s="508">
        <v>3.0880000000000001</v>
      </c>
      <c r="H7189" s="508">
        <v>3.4750000000000001</v>
      </c>
      <c r="I7189" s="508">
        <v>3.327</v>
      </c>
      <c r="J7189" s="508">
        <v>1.4419999999999999</v>
      </c>
      <c r="K7189" s="508">
        <v>1.57</v>
      </c>
      <c r="L7189" s="508">
        <v>3.1440000000000001</v>
      </c>
      <c r="M7189" s="508">
        <v>1.69</v>
      </c>
      <c r="N7189" s="508">
        <v>4.0250000000000004</v>
      </c>
      <c r="O7189" s="508">
        <v>2.9460000000000002</v>
      </c>
      <c r="P7189" s="508">
        <v>1.635</v>
      </c>
      <c r="Q7189" s="508">
        <v>1.5589999999999999</v>
      </c>
      <c r="R7189" s="508">
        <v>1.9430000000000001</v>
      </c>
      <c r="S7189" s="508">
        <v>1.413</v>
      </c>
      <c r="T7189" s="508">
        <v>1.619</v>
      </c>
      <c r="U7189" s="508">
        <v>1.115</v>
      </c>
      <c r="V7189" s="508">
        <v>0.94599999999999995</v>
      </c>
      <c r="W7189" s="508">
        <v>0.72799999999999998</v>
      </c>
      <c r="X7189" s="508">
        <v>0.58299999999999996</v>
      </c>
      <c r="Y7189" s="508">
        <v>0.57699999999999996</v>
      </c>
      <c r="Z7189" s="508">
        <v>0.57599999999999996</v>
      </c>
      <c r="AA7189" s="508">
        <v>9.7000000000000003E-2</v>
      </c>
      <c r="AB7189" s="508">
        <v>8.5999999999999993E-2</v>
      </c>
      <c r="AC7189" s="508">
        <v>8.5000000000000006E-2</v>
      </c>
      <c r="AD7189" s="508">
        <v>6.4000000000000001E-2</v>
      </c>
      <c r="AE7189" s="508">
        <v>6.2E-2</v>
      </c>
      <c r="AF7189" s="508">
        <v>4.8000000000000001E-2</v>
      </c>
      <c r="AG7189" s="508">
        <v>4.8000000000000001E-2</v>
      </c>
      <c r="AH7189" s="508">
        <v>4.7E-2</v>
      </c>
      <c r="AI7189" s="492">
        <v>4.7E-2</v>
      </c>
      <c r="AJ7189" s="485"/>
    </row>
    <row r="7190" spans="2:36">
      <c r="B7190" s="136" t="s">
        <v>463</v>
      </c>
      <c r="C7190" s="132" t="s">
        <v>1382</v>
      </c>
      <c r="D7190" s="132" t="s">
        <v>1381</v>
      </c>
      <c r="E7190" s="508">
        <v>3.17</v>
      </c>
      <c r="F7190" s="508">
        <v>2.0760000000000001</v>
      </c>
      <c r="G7190" s="508">
        <v>3.077</v>
      </c>
      <c r="H7190" s="508">
        <v>3.4620000000000002</v>
      </c>
      <c r="I7190" s="508">
        <v>3.3109999999999999</v>
      </c>
      <c r="J7190" s="508">
        <v>1.4359999999999999</v>
      </c>
      <c r="K7190" s="508">
        <v>1.5660000000000001</v>
      </c>
      <c r="L7190" s="508">
        <v>3.18</v>
      </c>
      <c r="M7190" s="508">
        <v>1.6859999999999999</v>
      </c>
      <c r="N7190" s="508">
        <v>4.0519999999999996</v>
      </c>
      <c r="O7190" s="508">
        <v>2.952</v>
      </c>
      <c r="P7190" s="508">
        <v>1.645</v>
      </c>
      <c r="Q7190" s="508">
        <v>1.5589999999999999</v>
      </c>
      <c r="R7190" s="508">
        <v>1.976</v>
      </c>
      <c r="S7190" s="508">
        <v>1.3979999999999999</v>
      </c>
      <c r="T7190" s="508">
        <v>1.6240000000000001</v>
      </c>
      <c r="U7190" s="508">
        <v>1.093</v>
      </c>
      <c r="V7190" s="508">
        <v>0.94799999999999995</v>
      </c>
      <c r="W7190" s="508">
        <v>0.74299999999999999</v>
      </c>
      <c r="X7190" s="508">
        <v>0.59699999999999998</v>
      </c>
      <c r="Y7190" s="508">
        <v>0.58699999999999997</v>
      </c>
      <c r="Z7190" s="508">
        <v>0.57899999999999996</v>
      </c>
      <c r="AA7190" s="508">
        <v>0.112</v>
      </c>
      <c r="AB7190" s="508">
        <v>0.1</v>
      </c>
      <c r="AC7190" s="508">
        <v>9.9000000000000005E-2</v>
      </c>
      <c r="AD7190" s="508">
        <v>7.8E-2</v>
      </c>
      <c r="AE7190" s="508">
        <v>7.4999999999999997E-2</v>
      </c>
      <c r="AF7190" s="508">
        <v>6.0999999999999999E-2</v>
      </c>
      <c r="AG7190" s="508">
        <v>0.06</v>
      </c>
      <c r="AH7190" s="508">
        <v>5.8999999999999997E-2</v>
      </c>
      <c r="AI7190" s="492">
        <v>5.8000000000000003E-2</v>
      </c>
      <c r="AJ7190" s="485"/>
    </row>
    <row r="7191" spans="2:36">
      <c r="B7191" s="136" t="s">
        <v>464</v>
      </c>
      <c r="C7191" s="132" t="s">
        <v>1382</v>
      </c>
      <c r="D7191" s="132" t="s">
        <v>1381</v>
      </c>
      <c r="E7191" s="508">
        <v>3.1970000000000001</v>
      </c>
      <c r="F7191" s="508">
        <v>2.1219999999999999</v>
      </c>
      <c r="G7191" s="508">
        <v>3.1040000000000001</v>
      </c>
      <c r="H7191" s="508">
        <v>3.48</v>
      </c>
      <c r="I7191" s="508">
        <v>3.33</v>
      </c>
      <c r="J7191" s="508">
        <v>1.4870000000000001</v>
      </c>
      <c r="K7191" s="508">
        <v>1.6140000000000001</v>
      </c>
      <c r="L7191" s="508">
        <v>3.1850000000000001</v>
      </c>
      <c r="M7191" s="508">
        <v>1.7250000000000001</v>
      </c>
      <c r="N7191" s="508">
        <v>4.0449999999999999</v>
      </c>
      <c r="O7191" s="508">
        <v>2.9630000000000001</v>
      </c>
      <c r="P7191" s="508">
        <v>1.6779999999999999</v>
      </c>
      <c r="Q7191" s="508">
        <v>1.59</v>
      </c>
      <c r="R7191" s="508">
        <v>1.9950000000000001</v>
      </c>
      <c r="S7191" s="508">
        <v>1.427</v>
      </c>
      <c r="T7191" s="508">
        <v>1.645</v>
      </c>
      <c r="U7191" s="508">
        <v>1.121</v>
      </c>
      <c r="V7191" s="508">
        <v>0.97499999999999998</v>
      </c>
      <c r="W7191" s="508">
        <v>0.77100000000000002</v>
      </c>
      <c r="X7191" s="508">
        <v>0.627</v>
      </c>
      <c r="Y7191" s="508">
        <v>0.61499999999999999</v>
      </c>
      <c r="Z7191" s="508">
        <v>0.60699999999999998</v>
      </c>
      <c r="AA7191" s="508">
        <v>0.128</v>
      </c>
      <c r="AB7191" s="508">
        <v>0.115</v>
      </c>
      <c r="AC7191" s="508">
        <v>0.114</v>
      </c>
      <c r="AD7191" s="508">
        <v>9.2999999999999999E-2</v>
      </c>
      <c r="AE7191" s="508">
        <v>8.8999999999999996E-2</v>
      </c>
      <c r="AF7191" s="508">
        <v>7.4999999999999997E-2</v>
      </c>
      <c r="AG7191" s="508">
        <v>7.3999999999999996E-2</v>
      </c>
      <c r="AH7191" s="508">
        <v>7.2999999999999995E-2</v>
      </c>
      <c r="AI7191" s="492">
        <v>7.1999999999999995E-2</v>
      </c>
      <c r="AJ7191" s="485"/>
    </row>
    <row r="7192" spans="2:36">
      <c r="B7192" s="136" t="s">
        <v>465</v>
      </c>
      <c r="C7192" s="132" t="s">
        <v>1382</v>
      </c>
      <c r="D7192" s="132" t="s">
        <v>1381</v>
      </c>
      <c r="E7192" s="508">
        <v>3.254</v>
      </c>
      <c r="F7192" s="508">
        <v>2.1469999999999998</v>
      </c>
      <c r="G7192" s="508">
        <v>3.1539999999999999</v>
      </c>
      <c r="H7192" s="508">
        <v>3.54</v>
      </c>
      <c r="I7192" s="508">
        <v>3.3879999999999999</v>
      </c>
      <c r="J7192" s="508">
        <v>1.4990000000000001</v>
      </c>
      <c r="K7192" s="508">
        <v>1.6279999999999999</v>
      </c>
      <c r="L7192" s="508">
        <v>3.23</v>
      </c>
      <c r="M7192" s="508">
        <v>1.744</v>
      </c>
      <c r="N7192" s="508">
        <v>4.1070000000000002</v>
      </c>
      <c r="O7192" s="508">
        <v>3.0070000000000001</v>
      </c>
      <c r="P7192" s="508">
        <v>1.6930000000000001</v>
      </c>
      <c r="Q7192" s="508">
        <v>1.607</v>
      </c>
      <c r="R7192" s="508">
        <v>2.0129999999999999</v>
      </c>
      <c r="S7192" s="508">
        <v>1.446</v>
      </c>
      <c r="T7192" s="508">
        <v>1.6639999999999999</v>
      </c>
      <c r="U7192" s="508">
        <v>1.137</v>
      </c>
      <c r="V7192" s="508">
        <v>0.98299999999999998</v>
      </c>
      <c r="W7192" s="508">
        <v>0.77200000000000002</v>
      </c>
      <c r="X7192" s="508">
        <v>0.625</v>
      </c>
      <c r="Y7192" s="508">
        <v>0.61499999999999999</v>
      </c>
      <c r="Z7192" s="508">
        <v>0.60799999999999998</v>
      </c>
      <c r="AA7192" s="508">
        <v>0.121</v>
      </c>
      <c r="AB7192" s="508">
        <v>0.109</v>
      </c>
      <c r="AC7192" s="508">
        <v>0.108</v>
      </c>
      <c r="AD7192" s="508">
        <v>8.6999999999999994E-2</v>
      </c>
      <c r="AE7192" s="508">
        <v>8.3000000000000004E-2</v>
      </c>
      <c r="AF7192" s="508">
        <v>6.9000000000000006E-2</v>
      </c>
      <c r="AG7192" s="508">
        <v>6.8000000000000005E-2</v>
      </c>
      <c r="AH7192" s="508">
        <v>6.7000000000000004E-2</v>
      </c>
      <c r="AI7192" s="492">
        <v>6.6000000000000003E-2</v>
      </c>
      <c r="AJ7192" s="485"/>
    </row>
    <row r="7193" spans="2:36">
      <c r="B7193" s="136" t="s">
        <v>466</v>
      </c>
      <c r="C7193" s="132" t="s">
        <v>1382</v>
      </c>
      <c r="D7193" s="132" t="s">
        <v>1381</v>
      </c>
      <c r="E7193" s="508">
        <v>3.4750000000000001</v>
      </c>
      <c r="F7193" s="508">
        <v>2.2749999999999999</v>
      </c>
      <c r="G7193" s="508">
        <v>3.339</v>
      </c>
      <c r="H7193" s="508">
        <v>3.7490000000000001</v>
      </c>
      <c r="I7193" s="508">
        <v>3.5910000000000002</v>
      </c>
      <c r="J7193" s="508">
        <v>1.587</v>
      </c>
      <c r="K7193" s="508">
        <v>1.7190000000000001</v>
      </c>
      <c r="L7193" s="508">
        <v>3.343</v>
      </c>
      <c r="M7193" s="508">
        <v>1.841</v>
      </c>
      <c r="N7193" s="508">
        <v>4.2770000000000001</v>
      </c>
      <c r="O7193" s="508">
        <v>3.1520000000000001</v>
      </c>
      <c r="P7193" s="508">
        <v>1.766</v>
      </c>
      <c r="Q7193" s="508">
        <v>1.6859999999999999</v>
      </c>
      <c r="R7193" s="508">
        <v>2.06</v>
      </c>
      <c r="S7193" s="508">
        <v>1.5389999999999999</v>
      </c>
      <c r="T7193" s="508">
        <v>1.7370000000000001</v>
      </c>
      <c r="U7193" s="508">
        <v>1.226</v>
      </c>
      <c r="V7193" s="508">
        <v>1.0309999999999999</v>
      </c>
      <c r="W7193" s="508">
        <v>0.79100000000000004</v>
      </c>
      <c r="X7193" s="508">
        <v>0.63800000000000001</v>
      </c>
      <c r="Y7193" s="508">
        <v>0.63400000000000001</v>
      </c>
      <c r="Z7193" s="508">
        <v>0.63500000000000001</v>
      </c>
      <c r="AA7193" s="508">
        <v>0.108</v>
      </c>
      <c r="AB7193" s="508">
        <v>9.7000000000000003E-2</v>
      </c>
      <c r="AC7193" s="508">
        <v>9.5000000000000001E-2</v>
      </c>
      <c r="AD7193" s="508">
        <v>7.1999999999999995E-2</v>
      </c>
      <c r="AE7193" s="508">
        <v>7.0000000000000007E-2</v>
      </c>
      <c r="AF7193" s="508">
        <v>5.6000000000000001E-2</v>
      </c>
      <c r="AG7193" s="508">
        <v>5.5E-2</v>
      </c>
      <c r="AH7193" s="508">
        <v>5.3999999999999999E-2</v>
      </c>
      <c r="AI7193" s="492">
        <v>5.3999999999999999E-2</v>
      </c>
      <c r="AJ7193" s="485"/>
    </row>
    <row r="7194" spans="2:36">
      <c r="B7194" s="136" t="s">
        <v>467</v>
      </c>
      <c r="C7194" s="132" t="s">
        <v>1382</v>
      </c>
      <c r="D7194" s="132" t="s">
        <v>1381</v>
      </c>
      <c r="E7194" s="508">
        <v>3.306</v>
      </c>
      <c r="F7194" s="508">
        <v>2.1909999999999998</v>
      </c>
      <c r="G7194" s="508">
        <v>3.1960000000000002</v>
      </c>
      <c r="H7194" s="508">
        <v>3.581</v>
      </c>
      <c r="I7194" s="508">
        <v>3.427</v>
      </c>
      <c r="J7194" s="508">
        <v>1.538</v>
      </c>
      <c r="K7194" s="508">
        <v>1.665</v>
      </c>
      <c r="L7194" s="508">
        <v>3.2429999999999999</v>
      </c>
      <c r="M7194" s="508">
        <v>1.7769999999999999</v>
      </c>
      <c r="N7194" s="508">
        <v>4.1319999999999997</v>
      </c>
      <c r="O7194" s="508">
        <v>3.0369999999999999</v>
      </c>
      <c r="P7194" s="508">
        <v>1.72</v>
      </c>
      <c r="Q7194" s="508">
        <v>1.633</v>
      </c>
      <c r="R7194" s="508">
        <v>2.024</v>
      </c>
      <c r="S7194" s="508">
        <v>1.4750000000000001</v>
      </c>
      <c r="T7194" s="508">
        <v>1.6830000000000001</v>
      </c>
      <c r="U7194" s="508">
        <v>1.1659999999999999</v>
      </c>
      <c r="V7194" s="508">
        <v>1.0029999999999999</v>
      </c>
      <c r="W7194" s="508">
        <v>0.78700000000000003</v>
      </c>
      <c r="X7194" s="508">
        <v>0.64</v>
      </c>
      <c r="Y7194" s="508">
        <v>0.63</v>
      </c>
      <c r="Z7194" s="508">
        <v>0.624</v>
      </c>
      <c r="AA7194" s="508">
        <v>0.125</v>
      </c>
      <c r="AB7194" s="508">
        <v>0.114</v>
      </c>
      <c r="AC7194" s="508">
        <v>0.112</v>
      </c>
      <c r="AD7194" s="508">
        <v>0.09</v>
      </c>
      <c r="AE7194" s="508">
        <v>8.6999999999999994E-2</v>
      </c>
      <c r="AF7194" s="508">
        <v>7.2999999999999995E-2</v>
      </c>
      <c r="AG7194" s="508">
        <v>7.1999999999999995E-2</v>
      </c>
      <c r="AH7194" s="508">
        <v>7.0999999999999994E-2</v>
      </c>
      <c r="AI7194" s="492">
        <v>7.0000000000000007E-2</v>
      </c>
      <c r="AJ7194" s="485"/>
    </row>
    <row r="7195" spans="2:36">
      <c r="B7195" s="136" t="s">
        <v>468</v>
      </c>
      <c r="C7195" s="132" t="s">
        <v>1382</v>
      </c>
      <c r="D7195" s="132" t="s">
        <v>1381</v>
      </c>
      <c r="E7195" s="508">
        <v>3.1429999999999998</v>
      </c>
      <c r="F7195" s="508">
        <v>2.0619999999999998</v>
      </c>
      <c r="G7195" s="508">
        <v>3.052</v>
      </c>
      <c r="H7195" s="508">
        <v>3.4319999999999999</v>
      </c>
      <c r="I7195" s="508">
        <v>3.282</v>
      </c>
      <c r="J7195" s="508">
        <v>1.427</v>
      </c>
      <c r="K7195" s="508">
        <v>1.556</v>
      </c>
      <c r="L7195" s="508">
        <v>3.1549999999999998</v>
      </c>
      <c r="M7195" s="508">
        <v>1.673</v>
      </c>
      <c r="N7195" s="508">
        <v>3.9990000000000001</v>
      </c>
      <c r="O7195" s="508">
        <v>2.9159999999999999</v>
      </c>
      <c r="P7195" s="508">
        <v>1.629</v>
      </c>
      <c r="Q7195" s="508">
        <v>1.5449999999999999</v>
      </c>
      <c r="R7195" s="508">
        <v>1.9590000000000001</v>
      </c>
      <c r="S7195" s="508">
        <v>1.3859999999999999</v>
      </c>
      <c r="T7195" s="508">
        <v>1.609</v>
      </c>
      <c r="U7195" s="508">
        <v>1.083</v>
      </c>
      <c r="V7195" s="508">
        <v>0.94099999999999995</v>
      </c>
      <c r="W7195" s="508">
        <v>0.73799999999999999</v>
      </c>
      <c r="X7195" s="508">
        <v>0.59399999999999997</v>
      </c>
      <c r="Y7195" s="508">
        <v>0.58399999999999996</v>
      </c>
      <c r="Z7195" s="508">
        <v>0.57599999999999996</v>
      </c>
      <c r="AA7195" s="508">
        <v>0.112</v>
      </c>
      <c r="AB7195" s="508">
        <v>0.10100000000000001</v>
      </c>
      <c r="AC7195" s="508">
        <v>0.1</v>
      </c>
      <c r="AD7195" s="508">
        <v>7.9000000000000001E-2</v>
      </c>
      <c r="AE7195" s="508">
        <v>7.4999999999999997E-2</v>
      </c>
      <c r="AF7195" s="508">
        <v>6.2E-2</v>
      </c>
      <c r="AG7195" s="508">
        <v>6.0999999999999999E-2</v>
      </c>
      <c r="AH7195" s="508">
        <v>0.06</v>
      </c>
      <c r="AI7195" s="492">
        <v>5.8999999999999997E-2</v>
      </c>
      <c r="AJ7195" s="485"/>
    </row>
    <row r="7196" spans="2:36">
      <c r="B7196" s="136" t="s">
        <v>469</v>
      </c>
      <c r="C7196" s="132" t="s">
        <v>1382</v>
      </c>
      <c r="D7196" s="132" t="s">
        <v>1381</v>
      </c>
      <c r="E7196" s="508">
        <v>3.2370000000000001</v>
      </c>
      <c r="F7196" s="508">
        <v>2.1230000000000002</v>
      </c>
      <c r="G7196" s="508">
        <v>3.1320000000000001</v>
      </c>
      <c r="H7196" s="508">
        <v>3.52</v>
      </c>
      <c r="I7196" s="508">
        <v>3.3679999999999999</v>
      </c>
      <c r="J7196" s="508">
        <v>1.472</v>
      </c>
      <c r="K7196" s="508">
        <v>1.601</v>
      </c>
      <c r="L7196" s="508">
        <v>3.1960000000000002</v>
      </c>
      <c r="M7196" s="508">
        <v>1.7190000000000001</v>
      </c>
      <c r="N7196" s="508">
        <v>4.08</v>
      </c>
      <c r="O7196" s="508">
        <v>2.9849999999999999</v>
      </c>
      <c r="P7196" s="508">
        <v>1.667</v>
      </c>
      <c r="Q7196" s="508">
        <v>1.585</v>
      </c>
      <c r="R7196" s="508">
        <v>1.9830000000000001</v>
      </c>
      <c r="S7196" s="508">
        <v>1.43</v>
      </c>
      <c r="T7196" s="508">
        <v>1.6439999999999999</v>
      </c>
      <c r="U7196" s="508">
        <v>1.125</v>
      </c>
      <c r="V7196" s="508">
        <v>0.96499999999999997</v>
      </c>
      <c r="W7196" s="508">
        <v>0.751</v>
      </c>
      <c r="X7196" s="508">
        <v>0.60499999999999998</v>
      </c>
      <c r="Y7196" s="508">
        <v>0.59699999999999998</v>
      </c>
      <c r="Z7196" s="508">
        <v>0.59199999999999997</v>
      </c>
      <c r="AA7196" s="508">
        <v>0.11</v>
      </c>
      <c r="AB7196" s="508">
        <v>9.8000000000000004E-2</v>
      </c>
      <c r="AC7196" s="508">
        <v>9.7000000000000003E-2</v>
      </c>
      <c r="AD7196" s="508">
        <v>7.5999999999999998E-2</v>
      </c>
      <c r="AE7196" s="508">
        <v>7.2999999999999995E-2</v>
      </c>
      <c r="AF7196" s="508">
        <v>5.8999999999999997E-2</v>
      </c>
      <c r="AG7196" s="508">
        <v>5.8000000000000003E-2</v>
      </c>
      <c r="AH7196" s="508">
        <v>5.7000000000000002E-2</v>
      </c>
      <c r="AI7196" s="492">
        <v>5.7000000000000002E-2</v>
      </c>
      <c r="AJ7196" s="485"/>
    </row>
    <row r="7197" spans="2:36">
      <c r="B7197" s="136" t="s">
        <v>470</v>
      </c>
      <c r="C7197" s="132" t="s">
        <v>1382</v>
      </c>
      <c r="D7197" s="132" t="s">
        <v>1381</v>
      </c>
      <c r="E7197" s="508">
        <v>3.419</v>
      </c>
      <c r="F7197" s="508">
        <v>2.2570000000000001</v>
      </c>
      <c r="G7197" s="508">
        <v>3.2949999999999999</v>
      </c>
      <c r="H7197" s="508">
        <v>3.6930000000000001</v>
      </c>
      <c r="I7197" s="508">
        <v>3.5350000000000001</v>
      </c>
      <c r="J7197" s="508">
        <v>1.5820000000000001</v>
      </c>
      <c r="K7197" s="508">
        <v>1.7110000000000001</v>
      </c>
      <c r="L7197" s="508">
        <v>3.32</v>
      </c>
      <c r="M7197" s="508">
        <v>1.8280000000000001</v>
      </c>
      <c r="N7197" s="508">
        <v>4.2380000000000004</v>
      </c>
      <c r="O7197" s="508">
        <v>3.1190000000000002</v>
      </c>
      <c r="P7197" s="508">
        <v>1.7629999999999999</v>
      </c>
      <c r="Q7197" s="508">
        <v>1.675</v>
      </c>
      <c r="R7197" s="508">
        <v>2.0619999999999998</v>
      </c>
      <c r="S7197" s="508">
        <v>1.5189999999999999</v>
      </c>
      <c r="T7197" s="508">
        <v>1.7250000000000001</v>
      </c>
      <c r="U7197" s="508">
        <v>1.2050000000000001</v>
      </c>
      <c r="V7197" s="508">
        <v>1.0289999999999999</v>
      </c>
      <c r="W7197" s="508">
        <v>0.80100000000000005</v>
      </c>
      <c r="X7197" s="508">
        <v>0.65100000000000002</v>
      </c>
      <c r="Y7197" s="508">
        <v>0.64300000000000002</v>
      </c>
      <c r="Z7197" s="508">
        <v>0.63900000000000001</v>
      </c>
      <c r="AA7197" s="508">
        <v>0.123</v>
      </c>
      <c r="AB7197" s="508">
        <v>0.111</v>
      </c>
      <c r="AC7197" s="508">
        <v>0.109</v>
      </c>
      <c r="AD7197" s="508">
        <v>8.6999999999999994E-2</v>
      </c>
      <c r="AE7197" s="508">
        <v>8.4000000000000005E-2</v>
      </c>
      <c r="AF7197" s="508">
        <v>7.0000000000000007E-2</v>
      </c>
      <c r="AG7197" s="508">
        <v>6.8000000000000005E-2</v>
      </c>
      <c r="AH7197" s="508">
        <v>6.7000000000000004E-2</v>
      </c>
      <c r="AI7197" s="492">
        <v>6.6000000000000003E-2</v>
      </c>
      <c r="AJ7197" s="485"/>
    </row>
    <row r="7198" spans="2:36">
      <c r="B7198" s="136" t="s">
        <v>471</v>
      </c>
      <c r="C7198" s="132" t="s">
        <v>1382</v>
      </c>
      <c r="D7198" s="132" t="s">
        <v>1381</v>
      </c>
      <c r="E7198" s="508">
        <v>3.306</v>
      </c>
      <c r="F7198" s="508">
        <v>2.1640000000000001</v>
      </c>
      <c r="G7198" s="508">
        <v>3.1880000000000002</v>
      </c>
      <c r="H7198" s="508">
        <v>3.5819999999999999</v>
      </c>
      <c r="I7198" s="508">
        <v>3.4289999999999998</v>
      </c>
      <c r="J7198" s="508">
        <v>1.5029999999999999</v>
      </c>
      <c r="K7198" s="508">
        <v>1.6319999999999999</v>
      </c>
      <c r="L7198" s="508">
        <v>3.2250000000000001</v>
      </c>
      <c r="M7198" s="508">
        <v>1.7509999999999999</v>
      </c>
      <c r="N7198" s="508">
        <v>4.1289999999999996</v>
      </c>
      <c r="O7198" s="508">
        <v>3.0289999999999999</v>
      </c>
      <c r="P7198" s="508">
        <v>1.6910000000000001</v>
      </c>
      <c r="Q7198" s="508">
        <v>1.61</v>
      </c>
      <c r="R7198" s="508">
        <v>1.994</v>
      </c>
      <c r="S7198" s="508">
        <v>1.4610000000000001</v>
      </c>
      <c r="T7198" s="508">
        <v>1.6659999999999999</v>
      </c>
      <c r="U7198" s="508">
        <v>1.1559999999999999</v>
      </c>
      <c r="V7198" s="508">
        <v>0.98199999999999998</v>
      </c>
      <c r="W7198" s="508">
        <v>0.75700000000000001</v>
      </c>
      <c r="X7198" s="508">
        <v>0.60899999999999999</v>
      </c>
      <c r="Y7198" s="508">
        <v>0.60299999999999998</v>
      </c>
      <c r="Z7198" s="508">
        <v>0.60099999999999998</v>
      </c>
      <c r="AA7198" s="508">
        <v>0.105</v>
      </c>
      <c r="AB7198" s="508">
        <v>9.4E-2</v>
      </c>
      <c r="AC7198" s="508">
        <v>9.2999999999999999E-2</v>
      </c>
      <c r="AD7198" s="508">
        <v>7.0999999999999994E-2</v>
      </c>
      <c r="AE7198" s="508">
        <v>6.8000000000000005E-2</v>
      </c>
      <c r="AF7198" s="508">
        <v>5.5E-2</v>
      </c>
      <c r="AG7198" s="508">
        <v>5.3999999999999999E-2</v>
      </c>
      <c r="AH7198" s="508">
        <v>5.2999999999999999E-2</v>
      </c>
      <c r="AI7198" s="492">
        <v>5.2999999999999999E-2</v>
      </c>
      <c r="AJ7198" s="485"/>
    </row>
    <row r="7199" spans="2:36">
      <c r="B7199" s="136" t="s">
        <v>472</v>
      </c>
      <c r="C7199" s="132" t="s">
        <v>1382</v>
      </c>
      <c r="D7199" s="132" t="s">
        <v>1381</v>
      </c>
      <c r="E7199" s="508">
        <v>3.2189999999999999</v>
      </c>
      <c r="F7199" s="508">
        <v>2.1469999999999998</v>
      </c>
      <c r="G7199" s="508">
        <v>3.125</v>
      </c>
      <c r="H7199" s="508">
        <v>3.5</v>
      </c>
      <c r="I7199" s="508">
        <v>3.35</v>
      </c>
      <c r="J7199" s="508">
        <v>1.5149999999999999</v>
      </c>
      <c r="K7199" s="508">
        <v>1.64</v>
      </c>
      <c r="L7199" s="508">
        <v>3.202</v>
      </c>
      <c r="M7199" s="508">
        <v>1.75</v>
      </c>
      <c r="N7199" s="508">
        <v>4.0599999999999996</v>
      </c>
      <c r="O7199" s="508">
        <v>2.9809999999999999</v>
      </c>
      <c r="P7199" s="508">
        <v>1.6990000000000001</v>
      </c>
      <c r="Q7199" s="508">
        <v>1.611</v>
      </c>
      <c r="R7199" s="508">
        <v>2.0110000000000001</v>
      </c>
      <c r="S7199" s="508">
        <v>1.4470000000000001</v>
      </c>
      <c r="T7199" s="508">
        <v>1.6619999999999999</v>
      </c>
      <c r="U7199" s="508">
        <v>1.139</v>
      </c>
      <c r="V7199" s="508">
        <v>0.99199999999999999</v>
      </c>
      <c r="W7199" s="508">
        <v>0.78700000000000003</v>
      </c>
      <c r="X7199" s="508">
        <v>0.64200000000000002</v>
      </c>
      <c r="Y7199" s="508">
        <v>0.63</v>
      </c>
      <c r="Z7199" s="508">
        <v>0.621</v>
      </c>
      <c r="AA7199" s="508">
        <v>0.13500000000000001</v>
      </c>
      <c r="AB7199" s="508">
        <v>0.122</v>
      </c>
      <c r="AC7199" s="508">
        <v>0.121</v>
      </c>
      <c r="AD7199" s="508">
        <v>9.9000000000000005E-2</v>
      </c>
      <c r="AE7199" s="508">
        <v>9.5000000000000001E-2</v>
      </c>
      <c r="AF7199" s="508">
        <v>8.2000000000000003E-2</v>
      </c>
      <c r="AG7199" s="508">
        <v>0.08</v>
      </c>
      <c r="AH7199" s="508">
        <v>7.9000000000000001E-2</v>
      </c>
      <c r="AI7199" s="492">
        <v>7.6999999999999999E-2</v>
      </c>
      <c r="AJ7199" s="485"/>
    </row>
    <row r="7200" spans="2:36">
      <c r="B7200" s="136" t="s">
        <v>473</v>
      </c>
      <c r="C7200" s="132" t="s">
        <v>1382</v>
      </c>
      <c r="D7200" s="132" t="s">
        <v>1381</v>
      </c>
      <c r="E7200" s="508">
        <v>3.4340000000000002</v>
      </c>
      <c r="F7200" s="508">
        <v>2.2679999999999998</v>
      </c>
      <c r="G7200" s="508">
        <v>3.306</v>
      </c>
      <c r="H7200" s="508">
        <v>3.7050000000000001</v>
      </c>
      <c r="I7200" s="508">
        <v>3.5470000000000002</v>
      </c>
      <c r="J7200" s="508">
        <v>1.5920000000000001</v>
      </c>
      <c r="K7200" s="508">
        <v>1.72</v>
      </c>
      <c r="L7200" s="508">
        <v>3.3180000000000001</v>
      </c>
      <c r="M7200" s="508">
        <v>1.837</v>
      </c>
      <c r="N7200" s="508">
        <v>4.2370000000000001</v>
      </c>
      <c r="O7200" s="508">
        <v>3.1240000000000001</v>
      </c>
      <c r="P7200" s="508">
        <v>1.7669999999999999</v>
      </c>
      <c r="Q7200" s="508">
        <v>1.6819999999999999</v>
      </c>
      <c r="R7200" s="508">
        <v>2.06</v>
      </c>
      <c r="S7200" s="508">
        <v>1.5289999999999999</v>
      </c>
      <c r="T7200" s="508">
        <v>1.7290000000000001</v>
      </c>
      <c r="U7200" s="508">
        <v>1.216</v>
      </c>
      <c r="V7200" s="508">
        <v>1.0329999999999999</v>
      </c>
      <c r="W7200" s="508">
        <v>0.80200000000000005</v>
      </c>
      <c r="X7200" s="508">
        <v>0.65200000000000002</v>
      </c>
      <c r="Y7200" s="508">
        <v>0.64500000000000002</v>
      </c>
      <c r="Z7200" s="508">
        <v>0.64200000000000002</v>
      </c>
      <c r="AA7200" s="508">
        <v>0.121</v>
      </c>
      <c r="AB7200" s="508">
        <v>0.109</v>
      </c>
      <c r="AC7200" s="508">
        <v>0.108</v>
      </c>
      <c r="AD7200" s="508">
        <v>8.5000000000000006E-2</v>
      </c>
      <c r="AE7200" s="508">
        <v>8.2000000000000003E-2</v>
      </c>
      <c r="AF7200" s="508">
        <v>6.8000000000000005E-2</v>
      </c>
      <c r="AG7200" s="508">
        <v>6.7000000000000004E-2</v>
      </c>
      <c r="AH7200" s="508">
        <v>6.6000000000000003E-2</v>
      </c>
      <c r="AI7200" s="492">
        <v>6.5000000000000002E-2</v>
      </c>
      <c r="AJ7200" s="485"/>
    </row>
    <row r="7201" spans="2:36">
      <c r="B7201" s="136" t="s">
        <v>474</v>
      </c>
      <c r="C7201" s="132" t="s">
        <v>1382</v>
      </c>
      <c r="D7201" s="132" t="s">
        <v>1381</v>
      </c>
      <c r="E7201" s="508">
        <v>3.2949999999999999</v>
      </c>
      <c r="F7201" s="508">
        <v>2.157</v>
      </c>
      <c r="G7201" s="508">
        <v>3.181</v>
      </c>
      <c r="H7201" s="508">
        <v>3.5760000000000001</v>
      </c>
      <c r="I7201" s="508">
        <v>3.423</v>
      </c>
      <c r="J7201" s="508">
        <v>1.5</v>
      </c>
      <c r="K7201" s="508">
        <v>1.629</v>
      </c>
      <c r="L7201" s="508">
        <v>3.2280000000000002</v>
      </c>
      <c r="M7201" s="508">
        <v>1.7490000000000001</v>
      </c>
      <c r="N7201" s="508">
        <v>4.125</v>
      </c>
      <c r="O7201" s="508">
        <v>3.0249999999999999</v>
      </c>
      <c r="P7201" s="508">
        <v>1.6890000000000001</v>
      </c>
      <c r="Q7201" s="508">
        <v>1.609</v>
      </c>
      <c r="R7201" s="508">
        <v>1.9970000000000001</v>
      </c>
      <c r="S7201" s="508">
        <v>1.46</v>
      </c>
      <c r="T7201" s="508">
        <v>1.667</v>
      </c>
      <c r="U7201" s="508">
        <v>1.1539999999999999</v>
      </c>
      <c r="V7201" s="508">
        <v>0.98099999999999998</v>
      </c>
      <c r="W7201" s="508">
        <v>0.75800000000000001</v>
      </c>
      <c r="X7201" s="508">
        <v>0.61</v>
      </c>
      <c r="Y7201" s="508">
        <v>0.60399999999999998</v>
      </c>
      <c r="Z7201" s="508">
        <v>0.60099999999999998</v>
      </c>
      <c r="AA7201" s="508">
        <v>0.106</v>
      </c>
      <c r="AB7201" s="508">
        <v>9.5000000000000001E-2</v>
      </c>
      <c r="AC7201" s="508">
        <v>9.2999999999999999E-2</v>
      </c>
      <c r="AD7201" s="508">
        <v>7.1999999999999995E-2</v>
      </c>
      <c r="AE7201" s="508">
        <v>6.9000000000000006E-2</v>
      </c>
      <c r="AF7201" s="508">
        <v>5.5E-2</v>
      </c>
      <c r="AG7201" s="508">
        <v>5.5E-2</v>
      </c>
      <c r="AH7201" s="508">
        <v>5.3999999999999999E-2</v>
      </c>
      <c r="AI7201" s="492">
        <v>5.2999999999999999E-2</v>
      </c>
      <c r="AJ7201" s="485"/>
    </row>
    <row r="7202" spans="2:36">
      <c r="B7202" s="136" t="s">
        <v>475</v>
      </c>
      <c r="C7202" s="132" t="s">
        <v>1382</v>
      </c>
      <c r="D7202" s="132" t="s">
        <v>1381</v>
      </c>
      <c r="E7202" s="508">
        <v>3.2629999999999999</v>
      </c>
      <c r="F7202" s="508">
        <v>2.149</v>
      </c>
      <c r="G7202" s="508">
        <v>3.1539999999999999</v>
      </c>
      <c r="H7202" s="508">
        <v>3.5390000000000001</v>
      </c>
      <c r="I7202" s="508">
        <v>3.3849999999999998</v>
      </c>
      <c r="J7202" s="508">
        <v>1.4950000000000001</v>
      </c>
      <c r="K7202" s="508">
        <v>1.623</v>
      </c>
      <c r="L7202" s="508">
        <v>3.2050000000000001</v>
      </c>
      <c r="M7202" s="508">
        <v>1.738</v>
      </c>
      <c r="N7202" s="508">
        <v>4.0949999999999998</v>
      </c>
      <c r="O7202" s="508">
        <v>3</v>
      </c>
      <c r="P7202" s="508">
        <v>1.6850000000000001</v>
      </c>
      <c r="Q7202" s="508">
        <v>1.599</v>
      </c>
      <c r="R7202" s="508">
        <v>1.994</v>
      </c>
      <c r="S7202" s="508">
        <v>1.4430000000000001</v>
      </c>
      <c r="T7202" s="508">
        <v>1.6539999999999999</v>
      </c>
      <c r="U7202" s="508">
        <v>1.137</v>
      </c>
      <c r="V7202" s="508">
        <v>0.97699999999999998</v>
      </c>
      <c r="W7202" s="508">
        <v>0.76300000000000001</v>
      </c>
      <c r="X7202" s="508">
        <v>0.61699999999999999</v>
      </c>
      <c r="Y7202" s="508">
        <v>0.60799999999999998</v>
      </c>
      <c r="Z7202" s="508">
        <v>0.60299999999999998</v>
      </c>
      <c r="AA7202" s="508">
        <v>0.11600000000000001</v>
      </c>
      <c r="AB7202" s="508">
        <v>0.104</v>
      </c>
      <c r="AC7202" s="508">
        <v>0.10299999999999999</v>
      </c>
      <c r="AD7202" s="508">
        <v>8.2000000000000003E-2</v>
      </c>
      <c r="AE7202" s="508">
        <v>7.8E-2</v>
      </c>
      <c r="AF7202" s="508">
        <v>6.5000000000000002E-2</v>
      </c>
      <c r="AG7202" s="508">
        <v>6.4000000000000001E-2</v>
      </c>
      <c r="AH7202" s="508">
        <v>6.3E-2</v>
      </c>
      <c r="AI7202" s="492">
        <v>6.2E-2</v>
      </c>
      <c r="AJ7202" s="485"/>
    </row>
    <row r="7203" spans="2:36">
      <c r="B7203" s="136" t="s">
        <v>476</v>
      </c>
      <c r="C7203" s="132" t="s">
        <v>1382</v>
      </c>
      <c r="D7203" s="132" t="s">
        <v>1381</v>
      </c>
      <c r="E7203" s="508">
        <v>3.3919999999999999</v>
      </c>
      <c r="F7203" s="508">
        <v>2.2370000000000001</v>
      </c>
      <c r="G7203" s="508">
        <v>3.2709999999999999</v>
      </c>
      <c r="H7203" s="508">
        <v>3.6680000000000001</v>
      </c>
      <c r="I7203" s="508">
        <v>3.5110000000000001</v>
      </c>
      <c r="J7203" s="508">
        <v>1.5649999999999999</v>
      </c>
      <c r="K7203" s="508">
        <v>1.694</v>
      </c>
      <c r="L7203" s="508">
        <v>3.3029999999999999</v>
      </c>
      <c r="M7203" s="508">
        <v>1.8109999999999999</v>
      </c>
      <c r="N7203" s="508">
        <v>4.2140000000000004</v>
      </c>
      <c r="O7203" s="508">
        <v>3.0990000000000002</v>
      </c>
      <c r="P7203" s="508">
        <v>1.748</v>
      </c>
      <c r="Q7203" s="508">
        <v>1.6619999999999999</v>
      </c>
      <c r="R7203" s="508">
        <v>2.0510000000000002</v>
      </c>
      <c r="S7203" s="508">
        <v>1.506</v>
      </c>
      <c r="T7203" s="508">
        <v>1.7130000000000001</v>
      </c>
      <c r="U7203" s="508">
        <v>1.1930000000000001</v>
      </c>
      <c r="V7203" s="508">
        <v>1.0189999999999999</v>
      </c>
      <c r="W7203" s="508">
        <v>0.79300000000000004</v>
      </c>
      <c r="X7203" s="508">
        <v>0.64300000000000002</v>
      </c>
      <c r="Y7203" s="508">
        <v>0.63600000000000001</v>
      </c>
      <c r="Z7203" s="508">
        <v>0.63200000000000001</v>
      </c>
      <c r="AA7203" s="508">
        <v>0.12</v>
      </c>
      <c r="AB7203" s="508">
        <v>0.109</v>
      </c>
      <c r="AC7203" s="508">
        <v>0.107</v>
      </c>
      <c r="AD7203" s="508">
        <v>8.5000000000000006E-2</v>
      </c>
      <c r="AE7203" s="508">
        <v>8.2000000000000003E-2</v>
      </c>
      <c r="AF7203" s="508">
        <v>6.8000000000000005E-2</v>
      </c>
      <c r="AG7203" s="508">
        <v>6.7000000000000004E-2</v>
      </c>
      <c r="AH7203" s="508">
        <v>6.6000000000000003E-2</v>
      </c>
      <c r="AI7203" s="492">
        <v>6.5000000000000002E-2</v>
      </c>
      <c r="AJ7203" s="485"/>
    </row>
    <row r="7204" spans="2:36">
      <c r="B7204" s="136" t="s">
        <v>478</v>
      </c>
      <c r="C7204" s="132" t="s">
        <v>1382</v>
      </c>
      <c r="D7204" s="132" t="s">
        <v>1381</v>
      </c>
      <c r="E7204" s="508">
        <v>3.4689999999999999</v>
      </c>
      <c r="F7204" s="508">
        <v>2.2879999999999998</v>
      </c>
      <c r="G7204" s="508">
        <v>3.3420000000000001</v>
      </c>
      <c r="H7204" s="508">
        <v>3.7450000000000001</v>
      </c>
      <c r="I7204" s="508">
        <v>3.5840000000000001</v>
      </c>
      <c r="J7204" s="508">
        <v>1.601</v>
      </c>
      <c r="K7204" s="508">
        <v>1.7330000000000001</v>
      </c>
      <c r="L7204" s="508">
        <v>3.3650000000000002</v>
      </c>
      <c r="M7204" s="508">
        <v>1.851</v>
      </c>
      <c r="N7204" s="508">
        <v>4.2939999999999996</v>
      </c>
      <c r="O7204" s="508">
        <v>3.16</v>
      </c>
      <c r="P7204" s="508">
        <v>1.7849999999999999</v>
      </c>
      <c r="Q7204" s="508">
        <v>1.696</v>
      </c>
      <c r="R7204" s="508">
        <v>2.0870000000000002</v>
      </c>
      <c r="S7204" s="508">
        <v>1.538</v>
      </c>
      <c r="T7204" s="508">
        <v>1.746</v>
      </c>
      <c r="U7204" s="508">
        <v>1.22</v>
      </c>
      <c r="V7204" s="508">
        <v>1.0409999999999999</v>
      </c>
      <c r="W7204" s="508">
        <v>0.81100000000000005</v>
      </c>
      <c r="X7204" s="508">
        <v>0.65800000000000003</v>
      </c>
      <c r="Y7204" s="508">
        <v>0.65</v>
      </c>
      <c r="Z7204" s="508">
        <v>0.64600000000000002</v>
      </c>
      <c r="AA7204" s="508">
        <v>0.124</v>
      </c>
      <c r="AB7204" s="508">
        <v>0.112</v>
      </c>
      <c r="AC7204" s="508">
        <v>0.11</v>
      </c>
      <c r="AD7204" s="508">
        <v>8.7999999999999995E-2</v>
      </c>
      <c r="AE7204" s="508">
        <v>8.4000000000000005E-2</v>
      </c>
      <c r="AF7204" s="508">
        <v>7.0000000000000007E-2</v>
      </c>
      <c r="AG7204" s="508">
        <v>6.9000000000000006E-2</v>
      </c>
      <c r="AH7204" s="508">
        <v>6.8000000000000005E-2</v>
      </c>
      <c r="AI7204" s="492">
        <v>6.7000000000000004E-2</v>
      </c>
      <c r="AJ7204" s="485"/>
    </row>
    <row r="7205" spans="2:36">
      <c r="B7205" s="136" t="s">
        <v>479</v>
      </c>
      <c r="C7205" s="132" t="s">
        <v>1382</v>
      </c>
      <c r="D7205" s="132" t="s">
        <v>1381</v>
      </c>
      <c r="E7205" s="508">
        <v>3.2690000000000001</v>
      </c>
      <c r="F7205" s="508">
        <v>2.1309999999999998</v>
      </c>
      <c r="G7205" s="508">
        <v>3.157</v>
      </c>
      <c r="H7205" s="508">
        <v>3.5529999999999999</v>
      </c>
      <c r="I7205" s="508">
        <v>3.4</v>
      </c>
      <c r="J7205" s="508">
        <v>1.4730000000000001</v>
      </c>
      <c r="K7205" s="508">
        <v>1.603</v>
      </c>
      <c r="L7205" s="508">
        <v>3.214</v>
      </c>
      <c r="M7205" s="508">
        <v>1.726</v>
      </c>
      <c r="N7205" s="508">
        <v>4.109</v>
      </c>
      <c r="O7205" s="508">
        <v>3.0059999999999998</v>
      </c>
      <c r="P7205" s="508">
        <v>1.669</v>
      </c>
      <c r="Q7205" s="508">
        <v>1.59</v>
      </c>
      <c r="R7205" s="508">
        <v>1.984</v>
      </c>
      <c r="S7205" s="508">
        <v>1.44</v>
      </c>
      <c r="T7205" s="508">
        <v>1.651</v>
      </c>
      <c r="U7205" s="508">
        <v>1.135</v>
      </c>
      <c r="V7205" s="508">
        <v>0.96599999999999997</v>
      </c>
      <c r="W7205" s="508">
        <v>0.74399999999999999</v>
      </c>
      <c r="X7205" s="508">
        <v>0.59699999999999998</v>
      </c>
      <c r="Y7205" s="508">
        <v>0.59099999999999997</v>
      </c>
      <c r="Z7205" s="508">
        <v>0.58799999999999997</v>
      </c>
      <c r="AA7205" s="508">
        <v>0.10100000000000001</v>
      </c>
      <c r="AB7205" s="508">
        <v>0.09</v>
      </c>
      <c r="AC7205" s="508">
        <v>8.8999999999999996E-2</v>
      </c>
      <c r="AD7205" s="508">
        <v>6.7000000000000004E-2</v>
      </c>
      <c r="AE7205" s="508">
        <v>6.4000000000000001E-2</v>
      </c>
      <c r="AF7205" s="508">
        <v>5.0999999999999997E-2</v>
      </c>
      <c r="AG7205" s="508">
        <v>0.05</v>
      </c>
      <c r="AH7205" s="508">
        <v>0.05</v>
      </c>
      <c r="AI7205" s="492">
        <v>4.9000000000000002E-2</v>
      </c>
      <c r="AJ7205" s="485"/>
    </row>
    <row r="7206" spans="2:36">
      <c r="B7206" s="136" t="s">
        <v>480</v>
      </c>
      <c r="C7206" s="132" t="s">
        <v>1382</v>
      </c>
      <c r="D7206" s="132" t="s">
        <v>1381</v>
      </c>
      <c r="E7206" s="508">
        <v>3.18</v>
      </c>
      <c r="F7206" s="508">
        <v>2.1059999999999999</v>
      </c>
      <c r="G7206" s="508">
        <v>3.0910000000000002</v>
      </c>
      <c r="H7206" s="508">
        <v>3.4689999999999999</v>
      </c>
      <c r="I7206" s="508">
        <v>3.319</v>
      </c>
      <c r="J7206" s="508">
        <v>1.472</v>
      </c>
      <c r="K7206" s="508">
        <v>1.6</v>
      </c>
      <c r="L7206" s="508">
        <v>3.1890000000000001</v>
      </c>
      <c r="M7206" s="508">
        <v>1.7130000000000001</v>
      </c>
      <c r="N7206" s="508">
        <v>4.0460000000000003</v>
      </c>
      <c r="O7206" s="508">
        <v>2.9580000000000002</v>
      </c>
      <c r="P7206" s="508">
        <v>1.67</v>
      </c>
      <c r="Q7206" s="508">
        <v>1.5820000000000001</v>
      </c>
      <c r="R7206" s="508">
        <v>1.996</v>
      </c>
      <c r="S7206" s="508">
        <v>1.417</v>
      </c>
      <c r="T7206" s="508">
        <v>1.64</v>
      </c>
      <c r="U7206" s="508">
        <v>1.1100000000000001</v>
      </c>
      <c r="V7206" s="508">
        <v>0.96799999999999997</v>
      </c>
      <c r="W7206" s="508">
        <v>0.76700000000000002</v>
      </c>
      <c r="X7206" s="508">
        <v>0.622</v>
      </c>
      <c r="Y7206" s="508">
        <v>0.61</v>
      </c>
      <c r="Z7206" s="508">
        <v>0.6</v>
      </c>
      <c r="AA7206" s="508">
        <v>0.126</v>
      </c>
      <c r="AB7206" s="508">
        <v>0.114</v>
      </c>
      <c r="AC7206" s="508">
        <v>0.113</v>
      </c>
      <c r="AD7206" s="508">
        <v>9.1999999999999998E-2</v>
      </c>
      <c r="AE7206" s="508">
        <v>8.7999999999999995E-2</v>
      </c>
      <c r="AF7206" s="508">
        <v>7.3999999999999996E-2</v>
      </c>
      <c r="AG7206" s="508">
        <v>7.2999999999999995E-2</v>
      </c>
      <c r="AH7206" s="508">
        <v>7.0999999999999994E-2</v>
      </c>
      <c r="AI7206" s="492">
        <v>7.0000000000000007E-2</v>
      </c>
      <c r="AJ7206" s="485"/>
    </row>
    <row r="7207" spans="2:36">
      <c r="B7207" s="136" t="s">
        <v>481</v>
      </c>
      <c r="C7207" s="132" t="s">
        <v>1382</v>
      </c>
      <c r="D7207" s="132" t="s">
        <v>1381</v>
      </c>
      <c r="E7207" s="508">
        <v>3.3180000000000001</v>
      </c>
      <c r="F7207" s="508">
        <v>2.1720000000000002</v>
      </c>
      <c r="G7207" s="508">
        <v>3.2029999999999998</v>
      </c>
      <c r="H7207" s="508">
        <v>3.6</v>
      </c>
      <c r="I7207" s="508">
        <v>3.4449999999999998</v>
      </c>
      <c r="J7207" s="508">
        <v>1.508</v>
      </c>
      <c r="K7207" s="508">
        <v>1.6379999999999999</v>
      </c>
      <c r="L7207" s="508">
        <v>3.2509999999999999</v>
      </c>
      <c r="M7207" s="508">
        <v>1.7589999999999999</v>
      </c>
      <c r="N7207" s="508">
        <v>4.1550000000000002</v>
      </c>
      <c r="O7207" s="508">
        <v>3.0449999999999999</v>
      </c>
      <c r="P7207" s="508">
        <v>1.7</v>
      </c>
      <c r="Q7207" s="508">
        <v>1.6180000000000001</v>
      </c>
      <c r="R7207" s="508">
        <v>2.0110000000000001</v>
      </c>
      <c r="S7207" s="508">
        <v>1.466</v>
      </c>
      <c r="T7207" s="508">
        <v>1.6759999999999999</v>
      </c>
      <c r="U7207" s="508">
        <v>1.1579999999999999</v>
      </c>
      <c r="V7207" s="508">
        <v>0.98599999999999999</v>
      </c>
      <c r="W7207" s="508">
        <v>0.76300000000000001</v>
      </c>
      <c r="X7207" s="508">
        <v>0.61399999999999999</v>
      </c>
      <c r="Y7207" s="508">
        <v>0.60799999999999998</v>
      </c>
      <c r="Z7207" s="508">
        <v>0.60399999999999998</v>
      </c>
      <c r="AA7207" s="508">
        <v>0.108</v>
      </c>
      <c r="AB7207" s="508">
        <v>9.7000000000000003E-2</v>
      </c>
      <c r="AC7207" s="508">
        <v>9.6000000000000002E-2</v>
      </c>
      <c r="AD7207" s="508">
        <v>7.3999999999999996E-2</v>
      </c>
      <c r="AE7207" s="508">
        <v>7.0999999999999994E-2</v>
      </c>
      <c r="AF7207" s="508">
        <v>5.7000000000000002E-2</v>
      </c>
      <c r="AG7207" s="508">
        <v>5.6000000000000001E-2</v>
      </c>
      <c r="AH7207" s="508">
        <v>5.5E-2</v>
      </c>
      <c r="AI7207" s="492">
        <v>5.5E-2</v>
      </c>
      <c r="AJ7207" s="485"/>
    </row>
    <row r="7208" spans="2:36">
      <c r="B7208" s="136" t="s">
        <v>482</v>
      </c>
      <c r="C7208" s="132" t="s">
        <v>1382</v>
      </c>
      <c r="D7208" s="132" t="s">
        <v>1381</v>
      </c>
      <c r="E7208" s="508">
        <v>3.2749999999999999</v>
      </c>
      <c r="F7208" s="508">
        <v>2.1269999999999998</v>
      </c>
      <c r="G7208" s="508">
        <v>3.1629999999999998</v>
      </c>
      <c r="H7208" s="508">
        <v>3.5640000000000001</v>
      </c>
      <c r="I7208" s="508">
        <v>3.4119999999999999</v>
      </c>
      <c r="J7208" s="508">
        <v>1.4670000000000001</v>
      </c>
      <c r="K7208" s="508">
        <v>1.599</v>
      </c>
      <c r="L7208" s="508">
        <v>3.2290000000000001</v>
      </c>
      <c r="M7208" s="508">
        <v>1.7250000000000001</v>
      </c>
      <c r="N7208" s="508">
        <v>4.13</v>
      </c>
      <c r="O7208" s="508">
        <v>3.0190000000000001</v>
      </c>
      <c r="P7208" s="508">
        <v>1.669</v>
      </c>
      <c r="Q7208" s="508">
        <v>1.59</v>
      </c>
      <c r="R7208" s="508">
        <v>1.988</v>
      </c>
      <c r="S7208" s="508">
        <v>1.4419999999999999</v>
      </c>
      <c r="T7208" s="508">
        <v>1.655</v>
      </c>
      <c r="U7208" s="508">
        <v>1.1359999999999999</v>
      </c>
      <c r="V7208" s="508">
        <v>0.96499999999999997</v>
      </c>
      <c r="W7208" s="508">
        <v>0.74099999999999999</v>
      </c>
      <c r="X7208" s="508">
        <v>0.59199999999999997</v>
      </c>
      <c r="Y7208" s="508">
        <v>0.58599999999999997</v>
      </c>
      <c r="Z7208" s="508">
        <v>0.58399999999999996</v>
      </c>
      <c r="AA7208" s="508">
        <v>9.6000000000000002E-2</v>
      </c>
      <c r="AB7208" s="508">
        <v>8.5000000000000006E-2</v>
      </c>
      <c r="AC7208" s="508">
        <v>8.4000000000000005E-2</v>
      </c>
      <c r="AD7208" s="508">
        <v>6.3E-2</v>
      </c>
      <c r="AE7208" s="508">
        <v>0.06</v>
      </c>
      <c r="AF7208" s="508">
        <v>4.7E-2</v>
      </c>
      <c r="AG7208" s="508">
        <v>4.5999999999999999E-2</v>
      </c>
      <c r="AH7208" s="508">
        <v>4.4999999999999998E-2</v>
      </c>
      <c r="AI7208" s="492">
        <v>4.4999999999999998E-2</v>
      </c>
      <c r="AJ7208" s="485"/>
    </row>
    <row r="7209" spans="2:36">
      <c r="B7209" s="136" t="s">
        <v>483</v>
      </c>
      <c r="C7209" s="132" t="s">
        <v>1382</v>
      </c>
      <c r="D7209" s="132" t="s">
        <v>1381</v>
      </c>
      <c r="E7209" s="508">
        <v>3.4660000000000002</v>
      </c>
      <c r="F7209" s="508">
        <v>2.2879999999999998</v>
      </c>
      <c r="G7209" s="508">
        <v>3.339</v>
      </c>
      <c r="H7209" s="508">
        <v>3.7429999999999999</v>
      </c>
      <c r="I7209" s="508">
        <v>3.5830000000000002</v>
      </c>
      <c r="J7209" s="508">
        <v>1.605</v>
      </c>
      <c r="K7209" s="508">
        <v>1.736</v>
      </c>
      <c r="L7209" s="508">
        <v>3.363</v>
      </c>
      <c r="M7209" s="508">
        <v>1.8540000000000001</v>
      </c>
      <c r="N7209" s="508">
        <v>4.2869999999999999</v>
      </c>
      <c r="O7209" s="508">
        <v>3.1579999999999999</v>
      </c>
      <c r="P7209" s="508">
        <v>1.786</v>
      </c>
      <c r="Q7209" s="508">
        <v>1.698</v>
      </c>
      <c r="R7209" s="508">
        <v>2.0870000000000002</v>
      </c>
      <c r="S7209" s="508">
        <v>1.5409999999999999</v>
      </c>
      <c r="T7209" s="508">
        <v>1.748</v>
      </c>
      <c r="U7209" s="508">
        <v>1.2250000000000001</v>
      </c>
      <c r="V7209" s="508">
        <v>1.044</v>
      </c>
      <c r="W7209" s="508">
        <v>0.81200000000000006</v>
      </c>
      <c r="X7209" s="508">
        <v>0.66</v>
      </c>
      <c r="Y7209" s="508">
        <v>0.65200000000000002</v>
      </c>
      <c r="Z7209" s="508">
        <v>0.64900000000000002</v>
      </c>
      <c r="AA7209" s="508">
        <v>0.124</v>
      </c>
      <c r="AB7209" s="508">
        <v>0.112</v>
      </c>
      <c r="AC7209" s="508">
        <v>0.11</v>
      </c>
      <c r="AD7209" s="508">
        <v>8.7999999999999995E-2</v>
      </c>
      <c r="AE7209" s="508">
        <v>8.5000000000000006E-2</v>
      </c>
      <c r="AF7209" s="508">
        <v>7.0000000000000007E-2</v>
      </c>
      <c r="AG7209" s="508">
        <v>6.9000000000000006E-2</v>
      </c>
      <c r="AH7209" s="508">
        <v>6.8000000000000005E-2</v>
      </c>
      <c r="AI7209" s="492">
        <v>6.7000000000000004E-2</v>
      </c>
      <c r="AJ7209" s="485"/>
    </row>
    <row r="7210" spans="2:36">
      <c r="B7210" s="136" t="s">
        <v>484</v>
      </c>
      <c r="C7210" s="132" t="s">
        <v>1382</v>
      </c>
      <c r="D7210" s="132" t="s">
        <v>1381</v>
      </c>
      <c r="E7210" s="508">
        <v>3.181</v>
      </c>
      <c r="F7210" s="508">
        <v>2.1120000000000001</v>
      </c>
      <c r="G7210" s="508">
        <v>3.089</v>
      </c>
      <c r="H7210" s="508">
        <v>3.4630000000000001</v>
      </c>
      <c r="I7210" s="508">
        <v>3.3130000000000002</v>
      </c>
      <c r="J7210" s="508">
        <v>1.48</v>
      </c>
      <c r="K7210" s="508">
        <v>1.605</v>
      </c>
      <c r="L7210" s="508">
        <v>3.1720000000000002</v>
      </c>
      <c r="M7210" s="508">
        <v>1.7170000000000001</v>
      </c>
      <c r="N7210" s="508">
        <v>4.03</v>
      </c>
      <c r="O7210" s="508">
        <v>2.9510000000000001</v>
      </c>
      <c r="P7210" s="508">
        <v>1.671</v>
      </c>
      <c r="Q7210" s="508">
        <v>1.583</v>
      </c>
      <c r="R7210" s="508">
        <v>1.988</v>
      </c>
      <c r="S7210" s="508">
        <v>1.42</v>
      </c>
      <c r="T7210" s="508">
        <v>1.6379999999999999</v>
      </c>
      <c r="U7210" s="508">
        <v>1.115</v>
      </c>
      <c r="V7210" s="508">
        <v>0.97099999999999997</v>
      </c>
      <c r="W7210" s="508">
        <v>0.76800000000000002</v>
      </c>
      <c r="X7210" s="508">
        <v>0.624</v>
      </c>
      <c r="Y7210" s="508">
        <v>0.61199999999999999</v>
      </c>
      <c r="Z7210" s="508">
        <v>0.60299999999999998</v>
      </c>
      <c r="AA7210" s="508">
        <v>0.127</v>
      </c>
      <c r="AB7210" s="508">
        <v>0.115</v>
      </c>
      <c r="AC7210" s="508">
        <v>0.114</v>
      </c>
      <c r="AD7210" s="508">
        <v>9.2999999999999999E-2</v>
      </c>
      <c r="AE7210" s="508">
        <v>8.8999999999999996E-2</v>
      </c>
      <c r="AF7210" s="508">
        <v>7.4999999999999997E-2</v>
      </c>
      <c r="AG7210" s="508">
        <v>7.3999999999999996E-2</v>
      </c>
      <c r="AH7210" s="508">
        <v>7.2999999999999995E-2</v>
      </c>
      <c r="AI7210" s="492">
        <v>7.1999999999999995E-2</v>
      </c>
      <c r="AJ7210" s="485"/>
    </row>
    <row r="7211" spans="2:36">
      <c r="B7211" s="136" t="s">
        <v>486</v>
      </c>
      <c r="C7211" s="132" t="s">
        <v>1382</v>
      </c>
      <c r="D7211" s="132" t="s">
        <v>1381</v>
      </c>
      <c r="E7211" s="508">
        <v>3.331</v>
      </c>
      <c r="F7211" s="508">
        <v>2.1829999999999998</v>
      </c>
      <c r="G7211" s="508">
        <v>3.2149999999999999</v>
      </c>
      <c r="H7211" s="508">
        <v>3.6120000000000001</v>
      </c>
      <c r="I7211" s="508">
        <v>3.456</v>
      </c>
      <c r="J7211" s="508">
        <v>1.516</v>
      </c>
      <c r="K7211" s="508">
        <v>1.647</v>
      </c>
      <c r="L7211" s="508">
        <v>3.2639999999999998</v>
      </c>
      <c r="M7211" s="508">
        <v>1.7669999999999999</v>
      </c>
      <c r="N7211" s="508">
        <v>4.1689999999999996</v>
      </c>
      <c r="O7211" s="508">
        <v>3.056</v>
      </c>
      <c r="P7211" s="508">
        <v>1.7090000000000001</v>
      </c>
      <c r="Q7211" s="508">
        <v>1.625</v>
      </c>
      <c r="R7211" s="508">
        <v>2.0209999999999999</v>
      </c>
      <c r="S7211" s="508">
        <v>1.47</v>
      </c>
      <c r="T7211" s="508">
        <v>1.6819999999999999</v>
      </c>
      <c r="U7211" s="508">
        <v>1.161</v>
      </c>
      <c r="V7211" s="508">
        <v>0.99199999999999999</v>
      </c>
      <c r="W7211" s="508">
        <v>0.76900000000000002</v>
      </c>
      <c r="X7211" s="508">
        <v>0.62</v>
      </c>
      <c r="Y7211" s="508">
        <v>0.61299999999999999</v>
      </c>
      <c r="Z7211" s="508">
        <v>0.60899999999999999</v>
      </c>
      <c r="AA7211" s="508">
        <v>0.111</v>
      </c>
      <c r="AB7211" s="508">
        <v>0.1</v>
      </c>
      <c r="AC7211" s="508">
        <v>9.8000000000000004E-2</v>
      </c>
      <c r="AD7211" s="508">
        <v>7.6999999999999999E-2</v>
      </c>
      <c r="AE7211" s="508">
        <v>7.3999999999999996E-2</v>
      </c>
      <c r="AF7211" s="508">
        <v>0.06</v>
      </c>
      <c r="AG7211" s="508">
        <v>5.8999999999999997E-2</v>
      </c>
      <c r="AH7211" s="508">
        <v>5.8000000000000003E-2</v>
      </c>
      <c r="AI7211" s="492">
        <v>5.7000000000000002E-2</v>
      </c>
      <c r="AJ7211" s="485"/>
    </row>
    <row r="7212" spans="2:36">
      <c r="B7212" s="136" t="s">
        <v>487</v>
      </c>
      <c r="C7212" s="132" t="s">
        <v>1382</v>
      </c>
      <c r="D7212" s="132" t="s">
        <v>1381</v>
      </c>
      <c r="E7212" s="508">
        <v>3.359</v>
      </c>
      <c r="F7212" s="508">
        <v>2.2109999999999999</v>
      </c>
      <c r="G7212" s="508">
        <v>3.2440000000000002</v>
      </c>
      <c r="H7212" s="508">
        <v>3.6389999999999998</v>
      </c>
      <c r="I7212" s="508">
        <v>3.48</v>
      </c>
      <c r="J7212" s="508">
        <v>1.5389999999999999</v>
      </c>
      <c r="K7212" s="508">
        <v>1.67</v>
      </c>
      <c r="L7212" s="508">
        <v>3.294</v>
      </c>
      <c r="M7212" s="508">
        <v>1.7869999999999999</v>
      </c>
      <c r="N7212" s="508">
        <v>4.2030000000000003</v>
      </c>
      <c r="O7212" s="508">
        <v>3.08</v>
      </c>
      <c r="P7212" s="508">
        <v>1.7330000000000001</v>
      </c>
      <c r="Q7212" s="508">
        <v>1.6419999999999999</v>
      </c>
      <c r="R7212" s="508">
        <v>2.0459999999999998</v>
      </c>
      <c r="S7212" s="508">
        <v>1.482</v>
      </c>
      <c r="T7212" s="508">
        <v>1.698</v>
      </c>
      <c r="U7212" s="508">
        <v>1.1679999999999999</v>
      </c>
      <c r="V7212" s="508">
        <v>1.0049999999999999</v>
      </c>
      <c r="W7212" s="508">
        <v>0.78600000000000003</v>
      </c>
      <c r="X7212" s="508">
        <v>0.63600000000000001</v>
      </c>
      <c r="Y7212" s="508">
        <v>0.627</v>
      </c>
      <c r="Z7212" s="508">
        <v>0.621</v>
      </c>
      <c r="AA7212" s="508">
        <v>0.121</v>
      </c>
      <c r="AB7212" s="508">
        <v>0.109</v>
      </c>
      <c r="AC7212" s="508">
        <v>0.108</v>
      </c>
      <c r="AD7212" s="508">
        <v>8.5999999999999993E-2</v>
      </c>
      <c r="AE7212" s="508">
        <v>8.2000000000000003E-2</v>
      </c>
      <c r="AF7212" s="508">
        <v>6.8000000000000005E-2</v>
      </c>
      <c r="AG7212" s="508">
        <v>6.7000000000000004E-2</v>
      </c>
      <c r="AH7212" s="508">
        <v>6.6000000000000003E-2</v>
      </c>
      <c r="AI7212" s="492">
        <v>6.5000000000000002E-2</v>
      </c>
      <c r="AJ7212" s="485"/>
    </row>
    <row r="7213" spans="2:36">
      <c r="B7213" s="136" t="s">
        <v>488</v>
      </c>
      <c r="C7213" s="132" t="s">
        <v>1382</v>
      </c>
      <c r="D7213" s="132" t="s">
        <v>1381</v>
      </c>
      <c r="E7213" s="508">
        <v>3.1869999999999998</v>
      </c>
      <c r="F7213" s="508">
        <v>2.0939999999999999</v>
      </c>
      <c r="G7213" s="508">
        <v>3.089</v>
      </c>
      <c r="H7213" s="508">
        <v>3.4710000000000001</v>
      </c>
      <c r="I7213" s="508">
        <v>3.32</v>
      </c>
      <c r="J7213" s="508">
        <v>1.4530000000000001</v>
      </c>
      <c r="K7213" s="508">
        <v>1.581</v>
      </c>
      <c r="L7213" s="508">
        <v>3.1709999999999998</v>
      </c>
      <c r="M7213" s="508">
        <v>1.6970000000000001</v>
      </c>
      <c r="N7213" s="508">
        <v>4.0439999999999996</v>
      </c>
      <c r="O7213" s="508">
        <v>2.9529999999999998</v>
      </c>
      <c r="P7213" s="508">
        <v>1.653</v>
      </c>
      <c r="Q7213" s="508">
        <v>1.5669999999999999</v>
      </c>
      <c r="R7213" s="508">
        <v>1.974</v>
      </c>
      <c r="S7213" s="508">
        <v>1.4079999999999999</v>
      </c>
      <c r="T7213" s="508">
        <v>1.6279999999999999</v>
      </c>
      <c r="U7213" s="508">
        <v>1.1040000000000001</v>
      </c>
      <c r="V7213" s="508">
        <v>0.95499999999999996</v>
      </c>
      <c r="W7213" s="508">
        <v>0.748</v>
      </c>
      <c r="X7213" s="508">
        <v>0.60299999999999998</v>
      </c>
      <c r="Y7213" s="508">
        <v>0.59299999999999997</v>
      </c>
      <c r="Z7213" s="508">
        <v>0.58599999999999997</v>
      </c>
      <c r="AA7213" s="508">
        <v>0.114</v>
      </c>
      <c r="AB7213" s="508">
        <v>0.10199999999999999</v>
      </c>
      <c r="AC7213" s="508">
        <v>0.10100000000000001</v>
      </c>
      <c r="AD7213" s="508">
        <v>0.08</v>
      </c>
      <c r="AE7213" s="508">
        <v>7.6999999999999999E-2</v>
      </c>
      <c r="AF7213" s="508">
        <v>6.3E-2</v>
      </c>
      <c r="AG7213" s="508">
        <v>6.2E-2</v>
      </c>
      <c r="AH7213" s="508">
        <v>6.0999999999999999E-2</v>
      </c>
      <c r="AI7213" s="492">
        <v>0.06</v>
      </c>
      <c r="AJ7213" s="485"/>
    </row>
    <row r="7214" spans="2:36">
      <c r="B7214" s="136" t="s">
        <v>489</v>
      </c>
      <c r="C7214" s="132" t="s">
        <v>1382</v>
      </c>
      <c r="D7214" s="132" t="s">
        <v>1381</v>
      </c>
      <c r="E7214" s="508">
        <v>3.3010000000000002</v>
      </c>
      <c r="F7214" s="508">
        <v>2.19</v>
      </c>
      <c r="G7214" s="508">
        <v>3.194</v>
      </c>
      <c r="H7214" s="508">
        <v>3.58</v>
      </c>
      <c r="I7214" s="508">
        <v>3.4260000000000002</v>
      </c>
      <c r="J7214" s="508">
        <v>1.538</v>
      </c>
      <c r="K7214" s="508">
        <v>1.665</v>
      </c>
      <c r="L7214" s="508">
        <v>3.25</v>
      </c>
      <c r="M7214" s="508">
        <v>1.778</v>
      </c>
      <c r="N7214" s="508">
        <v>4.1340000000000003</v>
      </c>
      <c r="O7214" s="508">
        <v>3.0379999999999998</v>
      </c>
      <c r="P7214" s="508">
        <v>1.722</v>
      </c>
      <c r="Q7214" s="508">
        <v>1.6339999999999999</v>
      </c>
      <c r="R7214" s="508">
        <v>2.0299999999999998</v>
      </c>
      <c r="S7214" s="508">
        <v>1.474</v>
      </c>
      <c r="T7214" s="508">
        <v>1.6859999999999999</v>
      </c>
      <c r="U7214" s="508">
        <v>1.1639999999999999</v>
      </c>
      <c r="V7214" s="508">
        <v>1.004</v>
      </c>
      <c r="W7214" s="508">
        <v>0.79</v>
      </c>
      <c r="X7214" s="508">
        <v>0.64300000000000002</v>
      </c>
      <c r="Y7214" s="508">
        <v>0.63300000000000001</v>
      </c>
      <c r="Z7214" s="508">
        <v>0.626</v>
      </c>
      <c r="AA7214" s="508">
        <v>0.128</v>
      </c>
      <c r="AB7214" s="508">
        <v>0.11600000000000001</v>
      </c>
      <c r="AC7214" s="508">
        <v>0.114</v>
      </c>
      <c r="AD7214" s="508">
        <v>9.2999999999999999E-2</v>
      </c>
      <c r="AE7214" s="508">
        <v>8.8999999999999996E-2</v>
      </c>
      <c r="AF7214" s="508">
        <v>7.4999999999999997E-2</v>
      </c>
      <c r="AG7214" s="508">
        <v>7.3999999999999996E-2</v>
      </c>
      <c r="AH7214" s="508">
        <v>7.2999999999999995E-2</v>
      </c>
      <c r="AI7214" s="492">
        <v>7.0999999999999994E-2</v>
      </c>
      <c r="AJ7214" s="485"/>
    </row>
    <row r="7215" spans="2:36">
      <c r="B7215" s="136" t="s">
        <v>490</v>
      </c>
      <c r="C7215" s="132" t="s">
        <v>1382</v>
      </c>
      <c r="D7215" s="132" t="s">
        <v>1381</v>
      </c>
      <c r="E7215" s="508">
        <v>3.218</v>
      </c>
      <c r="F7215" s="508">
        <v>2.133</v>
      </c>
      <c r="G7215" s="508">
        <v>3.1259999999999999</v>
      </c>
      <c r="H7215" s="508">
        <v>3.5059999999999998</v>
      </c>
      <c r="I7215" s="508">
        <v>3.3540000000000001</v>
      </c>
      <c r="J7215" s="508">
        <v>1.492</v>
      </c>
      <c r="K7215" s="508">
        <v>1.621</v>
      </c>
      <c r="L7215" s="508">
        <v>3.2189999999999999</v>
      </c>
      <c r="M7215" s="508">
        <v>1.734</v>
      </c>
      <c r="N7215" s="508">
        <v>4.0819999999999999</v>
      </c>
      <c r="O7215" s="508">
        <v>2.9860000000000002</v>
      </c>
      <c r="P7215" s="508">
        <v>1.6890000000000001</v>
      </c>
      <c r="Q7215" s="508">
        <v>1.6</v>
      </c>
      <c r="R7215" s="508">
        <v>2.0150000000000001</v>
      </c>
      <c r="S7215" s="508">
        <v>1.4330000000000001</v>
      </c>
      <c r="T7215" s="508">
        <v>1.657</v>
      </c>
      <c r="U7215" s="508">
        <v>1.123</v>
      </c>
      <c r="V7215" s="508">
        <v>0.98</v>
      </c>
      <c r="W7215" s="508">
        <v>0.77700000000000002</v>
      </c>
      <c r="X7215" s="508">
        <v>0.63100000000000001</v>
      </c>
      <c r="Y7215" s="508">
        <v>0.61899999999999999</v>
      </c>
      <c r="Z7215" s="508">
        <v>0.60899999999999999</v>
      </c>
      <c r="AA7215" s="508">
        <v>0.129</v>
      </c>
      <c r="AB7215" s="508">
        <v>0.11700000000000001</v>
      </c>
      <c r="AC7215" s="508">
        <v>0.11600000000000001</v>
      </c>
      <c r="AD7215" s="508">
        <v>9.4E-2</v>
      </c>
      <c r="AE7215" s="508">
        <v>0.09</v>
      </c>
      <c r="AF7215" s="508">
        <v>7.5999999999999998E-2</v>
      </c>
      <c r="AG7215" s="508">
        <v>7.4999999999999997E-2</v>
      </c>
      <c r="AH7215" s="508">
        <v>7.3999999999999996E-2</v>
      </c>
      <c r="AI7215" s="492">
        <v>7.2999999999999995E-2</v>
      </c>
      <c r="AJ7215" s="485"/>
    </row>
    <row r="7216" spans="2:36">
      <c r="B7216" s="136" t="s">
        <v>435</v>
      </c>
      <c r="C7216" s="132" t="s">
        <v>1383</v>
      </c>
      <c r="D7216" s="132" t="s">
        <v>1381</v>
      </c>
      <c r="E7216" s="508">
        <v>126.08</v>
      </c>
      <c r="F7216" s="508">
        <v>71.244</v>
      </c>
      <c r="G7216" s="508">
        <v>231.274</v>
      </c>
      <c r="H7216" s="508">
        <v>64.775000000000006</v>
      </c>
      <c r="I7216" s="508">
        <v>134.26499999999999</v>
      </c>
      <c r="J7216" s="508">
        <v>191.97800000000001</v>
      </c>
      <c r="K7216" s="508">
        <v>44.927</v>
      </c>
      <c r="L7216" s="508">
        <v>58.372999999999998</v>
      </c>
      <c r="M7216" s="508">
        <v>108.848</v>
      </c>
      <c r="N7216" s="508">
        <v>201.10900000000001</v>
      </c>
      <c r="O7216" s="508">
        <v>69.762</v>
      </c>
      <c r="P7216" s="508">
        <v>70.003</v>
      </c>
      <c r="Q7216" s="508">
        <v>27.971</v>
      </c>
      <c r="R7216" s="508">
        <v>39.170999999999999</v>
      </c>
      <c r="S7216" s="508">
        <v>26.42</v>
      </c>
      <c r="T7216" s="508">
        <v>36.033999999999999</v>
      </c>
      <c r="U7216" s="508">
        <v>6.2770000000000001</v>
      </c>
      <c r="V7216" s="508">
        <v>12.347</v>
      </c>
      <c r="W7216" s="508">
        <v>11.38</v>
      </c>
      <c r="X7216" s="508">
        <v>7.1429999999999998</v>
      </c>
      <c r="Y7216" s="508">
        <v>4.9729999999999999</v>
      </c>
      <c r="Z7216" s="508">
        <v>3.0489999999999999</v>
      </c>
      <c r="AA7216" s="508">
        <v>3.21</v>
      </c>
      <c r="AB7216" s="508">
        <v>2.1459999999999999</v>
      </c>
      <c r="AC7216" s="508">
        <v>2.4329999999999998</v>
      </c>
      <c r="AD7216" s="508">
        <v>2.0950000000000002</v>
      </c>
      <c r="AE7216" s="508">
        <v>1.4259999999999999</v>
      </c>
      <c r="AF7216" s="508">
        <v>0.82899999999999996</v>
      </c>
      <c r="AG7216" s="508">
        <v>0.79200000000000004</v>
      </c>
      <c r="AH7216" s="508">
        <v>0.77700000000000002</v>
      </c>
      <c r="AI7216" s="492">
        <v>0.76500000000000001</v>
      </c>
      <c r="AJ7216" s="485"/>
    </row>
    <row r="7217" spans="2:36">
      <c r="B7217" s="136" t="s">
        <v>436</v>
      </c>
      <c r="C7217" s="132" t="s">
        <v>1383</v>
      </c>
      <c r="D7217" s="132" t="s">
        <v>1381</v>
      </c>
      <c r="E7217" s="508">
        <v>6.2009999999999996</v>
      </c>
      <c r="F7217" s="508">
        <v>3.2909999999999999</v>
      </c>
      <c r="G7217" s="508">
        <v>3.27</v>
      </c>
      <c r="H7217" s="508">
        <v>3.3</v>
      </c>
      <c r="I7217" s="508">
        <v>3.302</v>
      </c>
      <c r="J7217" s="508">
        <v>3.2309999999999999</v>
      </c>
      <c r="K7217" s="508">
        <v>3.202</v>
      </c>
      <c r="L7217" s="508">
        <v>3.1589999999999998</v>
      </c>
      <c r="M7217" s="508">
        <v>3.1059999999999999</v>
      </c>
      <c r="N7217" s="508">
        <v>5.0439999999999996</v>
      </c>
      <c r="O7217" s="508">
        <v>4.8710000000000004</v>
      </c>
      <c r="P7217" s="508">
        <v>2.3759999999999999</v>
      </c>
      <c r="Q7217" s="508">
        <v>2.4409999999999998</v>
      </c>
      <c r="R7217" s="508">
        <v>2.306</v>
      </c>
      <c r="S7217" s="508">
        <v>2.2229999999999999</v>
      </c>
      <c r="T7217" s="508">
        <v>2.1339999999999999</v>
      </c>
      <c r="U7217" s="508">
        <v>0.92400000000000004</v>
      </c>
      <c r="V7217" s="508">
        <v>0.84599999999999997</v>
      </c>
      <c r="W7217" s="508">
        <v>0.84299999999999997</v>
      </c>
      <c r="X7217" s="508">
        <v>0.628</v>
      </c>
      <c r="Y7217" s="508">
        <v>0.53500000000000003</v>
      </c>
      <c r="Z7217" s="508">
        <v>0.33800000000000002</v>
      </c>
      <c r="AA7217" s="508">
        <v>0.309</v>
      </c>
      <c r="AB7217" s="508">
        <v>0.26500000000000001</v>
      </c>
      <c r="AC7217" s="508">
        <v>0.24</v>
      </c>
      <c r="AD7217" s="508">
        <v>0.19</v>
      </c>
      <c r="AE7217" s="508">
        <v>0.17</v>
      </c>
      <c r="AF7217" s="508">
        <v>0.121</v>
      </c>
      <c r="AG7217" s="508">
        <v>0.106</v>
      </c>
      <c r="AH7217" s="508">
        <v>0.104</v>
      </c>
      <c r="AI7217" s="492">
        <v>0.10199999999999999</v>
      </c>
      <c r="AJ7217" s="485"/>
    </row>
    <row r="7218" spans="2:36">
      <c r="B7218" s="136" t="s">
        <v>437</v>
      </c>
      <c r="C7218" s="132" t="s">
        <v>1383</v>
      </c>
      <c r="D7218" s="132" t="s">
        <v>1381</v>
      </c>
      <c r="E7218" s="508">
        <v>3.9790000000000001</v>
      </c>
      <c r="F7218" s="508">
        <v>2.3159999999999998</v>
      </c>
      <c r="G7218" s="508">
        <v>2.2839999999999998</v>
      </c>
      <c r="H7218" s="508">
        <v>2.3079999999999998</v>
      </c>
      <c r="I7218" s="508">
        <v>2.3210000000000002</v>
      </c>
      <c r="J7218" s="508">
        <v>2.169</v>
      </c>
      <c r="K7218" s="508">
        <v>2.1429999999999998</v>
      </c>
      <c r="L7218" s="508">
        <v>2.1080000000000001</v>
      </c>
      <c r="M7218" s="508">
        <v>2.0680000000000001</v>
      </c>
      <c r="N7218" s="508">
        <v>3.7909999999999999</v>
      </c>
      <c r="O7218" s="508">
        <v>3.6749999999999998</v>
      </c>
      <c r="P7218" s="508">
        <v>1.7849999999999999</v>
      </c>
      <c r="Q7218" s="508">
        <v>1.865</v>
      </c>
      <c r="R7218" s="508">
        <v>1.7370000000000001</v>
      </c>
      <c r="S7218" s="508">
        <v>1.68</v>
      </c>
      <c r="T7218" s="508">
        <v>1.621</v>
      </c>
      <c r="U7218" s="508">
        <v>0.53200000000000003</v>
      </c>
      <c r="V7218" s="508">
        <v>0.47099999999999997</v>
      </c>
      <c r="W7218" s="508">
        <v>0.48099999999999998</v>
      </c>
      <c r="X7218" s="508">
        <v>0.308</v>
      </c>
      <c r="Y7218" s="508">
        <v>0.23200000000000001</v>
      </c>
      <c r="Z7218" s="508">
        <v>0.17100000000000001</v>
      </c>
      <c r="AA7218" s="508">
        <v>0.14799999999999999</v>
      </c>
      <c r="AB7218" s="508">
        <v>0.113</v>
      </c>
      <c r="AC7218" s="508">
        <v>9.4E-2</v>
      </c>
      <c r="AD7218" s="508">
        <v>7.1999999999999995E-2</v>
      </c>
      <c r="AE7218" s="508">
        <v>7.0000000000000007E-2</v>
      </c>
      <c r="AF7218" s="508">
        <v>4.2000000000000003E-2</v>
      </c>
      <c r="AG7218" s="508">
        <v>0.04</v>
      </c>
      <c r="AH7218" s="508">
        <v>0.04</v>
      </c>
      <c r="AI7218" s="492">
        <v>3.9E-2</v>
      </c>
      <c r="AJ7218" s="485"/>
    </row>
    <row r="7219" spans="2:36">
      <c r="B7219" s="136" t="s">
        <v>438</v>
      </c>
      <c r="C7219" s="132" t="s">
        <v>1383</v>
      </c>
      <c r="D7219" s="132" t="s">
        <v>1381</v>
      </c>
      <c r="E7219" s="508">
        <v>120.111</v>
      </c>
      <c r="F7219" s="508">
        <v>66.882000000000005</v>
      </c>
      <c r="G7219" s="508">
        <v>217.21100000000001</v>
      </c>
      <c r="H7219" s="508">
        <v>60.835000000000001</v>
      </c>
      <c r="I7219" s="508">
        <v>126.05200000000001</v>
      </c>
      <c r="J7219" s="508">
        <v>183.673</v>
      </c>
      <c r="K7219" s="508">
        <v>42.982999999999997</v>
      </c>
      <c r="L7219" s="508">
        <v>55.843000000000004</v>
      </c>
      <c r="M7219" s="508">
        <v>104.105</v>
      </c>
      <c r="N7219" s="508">
        <v>191.589</v>
      </c>
      <c r="O7219" s="508">
        <v>66.406999999999996</v>
      </c>
      <c r="P7219" s="508">
        <v>67.606999999999999</v>
      </c>
      <c r="Q7219" s="508">
        <v>27.074000000000002</v>
      </c>
      <c r="R7219" s="508">
        <v>38.048000000000002</v>
      </c>
      <c r="S7219" s="508">
        <v>25.638000000000002</v>
      </c>
      <c r="T7219" s="508">
        <v>34.930999999999997</v>
      </c>
      <c r="U7219" s="508">
        <v>6.407</v>
      </c>
      <c r="V7219" s="508">
        <v>12.662000000000001</v>
      </c>
      <c r="W7219" s="508">
        <v>11.609</v>
      </c>
      <c r="X7219" s="508">
        <v>7.4809999999999999</v>
      </c>
      <c r="Y7219" s="508">
        <v>5.2839999999999998</v>
      </c>
      <c r="Z7219" s="508">
        <v>3.1259999999999999</v>
      </c>
      <c r="AA7219" s="508">
        <v>3.327</v>
      </c>
      <c r="AB7219" s="508">
        <v>2.2610000000000001</v>
      </c>
      <c r="AC7219" s="508">
        <v>2.6230000000000002</v>
      </c>
      <c r="AD7219" s="508">
        <v>2.2850000000000001</v>
      </c>
      <c r="AE7219" s="508">
        <v>1.544</v>
      </c>
      <c r="AF7219" s="508">
        <v>0.92400000000000004</v>
      </c>
      <c r="AG7219" s="508">
        <v>0.875</v>
      </c>
      <c r="AH7219" s="508">
        <v>0.85799999999999998</v>
      </c>
      <c r="AI7219" s="492">
        <v>0.84399999999999997</v>
      </c>
      <c r="AJ7219" s="485"/>
    </row>
    <row r="7220" spans="2:36">
      <c r="B7220" s="136" t="s">
        <v>439</v>
      </c>
      <c r="C7220" s="132" t="s">
        <v>1383</v>
      </c>
      <c r="D7220" s="132" t="s">
        <v>1381</v>
      </c>
      <c r="E7220" s="508">
        <v>2.6859999999999999</v>
      </c>
      <c r="F7220" s="508">
        <v>1.4259999999999999</v>
      </c>
      <c r="G7220" s="508">
        <v>1.37</v>
      </c>
      <c r="H7220" s="508">
        <v>1.3839999999999999</v>
      </c>
      <c r="I7220" s="508">
        <v>1.4</v>
      </c>
      <c r="J7220" s="508">
        <v>1.3420000000000001</v>
      </c>
      <c r="K7220" s="508">
        <v>1.3120000000000001</v>
      </c>
      <c r="L7220" s="508">
        <v>1.2649999999999999</v>
      </c>
      <c r="M7220" s="508">
        <v>1.2210000000000001</v>
      </c>
      <c r="N7220" s="508">
        <v>2.2749999999999999</v>
      </c>
      <c r="O7220" s="508">
        <v>2.23</v>
      </c>
      <c r="P7220" s="508">
        <v>1.6839999999999999</v>
      </c>
      <c r="Q7220" s="508">
        <v>1.75</v>
      </c>
      <c r="R7220" s="508">
        <v>1.6220000000000001</v>
      </c>
      <c r="S7220" s="508">
        <v>1.571</v>
      </c>
      <c r="T7220" s="508">
        <v>1.516</v>
      </c>
      <c r="U7220" s="508">
        <v>0.48599999999999999</v>
      </c>
      <c r="V7220" s="508">
        <v>0.42899999999999999</v>
      </c>
      <c r="W7220" s="508">
        <v>0.435</v>
      </c>
      <c r="X7220" s="508">
        <v>0.28799999999999998</v>
      </c>
      <c r="Y7220" s="508">
        <v>0.218</v>
      </c>
      <c r="Z7220" s="508">
        <v>0.158</v>
      </c>
      <c r="AA7220" s="508">
        <v>0.13800000000000001</v>
      </c>
      <c r="AB7220" s="508">
        <v>0.107</v>
      </c>
      <c r="AC7220" s="508">
        <v>0.09</v>
      </c>
      <c r="AD7220" s="508">
        <v>7.0000000000000007E-2</v>
      </c>
      <c r="AE7220" s="508">
        <v>6.8000000000000005E-2</v>
      </c>
      <c r="AF7220" s="508">
        <v>4.3999999999999997E-2</v>
      </c>
      <c r="AG7220" s="508">
        <v>4.2000000000000003E-2</v>
      </c>
      <c r="AH7220" s="508">
        <v>4.1000000000000002E-2</v>
      </c>
      <c r="AI7220" s="492">
        <v>4.1000000000000002E-2</v>
      </c>
      <c r="AJ7220" s="485"/>
    </row>
    <row r="7221" spans="2:36">
      <c r="B7221" s="136" t="s">
        <v>440</v>
      </c>
      <c r="C7221" s="132" t="s">
        <v>1383</v>
      </c>
      <c r="D7221" s="132" t="s">
        <v>1381</v>
      </c>
      <c r="E7221" s="508">
        <v>4.3810000000000002</v>
      </c>
      <c r="F7221" s="508">
        <v>2.3109999999999999</v>
      </c>
      <c r="G7221" s="508">
        <v>2.2690000000000001</v>
      </c>
      <c r="H7221" s="508">
        <v>2.2909999999999999</v>
      </c>
      <c r="I7221" s="508">
        <v>2.302</v>
      </c>
      <c r="J7221" s="508">
        <v>2.234</v>
      </c>
      <c r="K7221" s="508">
        <v>2.202</v>
      </c>
      <c r="L7221" s="508">
        <v>2.1560000000000001</v>
      </c>
      <c r="M7221" s="508">
        <v>2.1070000000000002</v>
      </c>
      <c r="N7221" s="508">
        <v>3.6240000000000001</v>
      </c>
      <c r="O7221" s="508">
        <v>3.5169999999999999</v>
      </c>
      <c r="P7221" s="508">
        <v>2.101</v>
      </c>
      <c r="Q7221" s="508">
        <v>2.1709999999999998</v>
      </c>
      <c r="R7221" s="508">
        <v>2.0409999999999999</v>
      </c>
      <c r="S7221" s="508">
        <v>1.9690000000000001</v>
      </c>
      <c r="T7221" s="508">
        <v>1.8939999999999999</v>
      </c>
      <c r="U7221" s="508">
        <v>0.70699999999999996</v>
      </c>
      <c r="V7221" s="508">
        <v>0.63800000000000001</v>
      </c>
      <c r="W7221" s="508">
        <v>0.64500000000000002</v>
      </c>
      <c r="X7221" s="508">
        <v>0.44500000000000001</v>
      </c>
      <c r="Y7221" s="508">
        <v>0.36199999999999999</v>
      </c>
      <c r="Z7221" s="508">
        <v>0.23599999999999999</v>
      </c>
      <c r="AA7221" s="508">
        <v>0.21099999999999999</v>
      </c>
      <c r="AB7221" s="508">
        <v>0.17100000000000001</v>
      </c>
      <c r="AC7221" s="508">
        <v>0.14899999999999999</v>
      </c>
      <c r="AD7221" s="508">
        <v>0.115</v>
      </c>
      <c r="AE7221" s="508">
        <v>0.108</v>
      </c>
      <c r="AF7221" s="508">
        <v>7.1999999999999995E-2</v>
      </c>
      <c r="AG7221" s="508">
        <v>6.6000000000000003E-2</v>
      </c>
      <c r="AH7221" s="508">
        <v>6.5000000000000002E-2</v>
      </c>
      <c r="AI7221" s="492">
        <v>6.4000000000000001E-2</v>
      </c>
      <c r="AJ7221" s="485"/>
    </row>
    <row r="7222" spans="2:36">
      <c r="B7222" s="136" t="s">
        <v>441</v>
      </c>
      <c r="C7222" s="132" t="s">
        <v>1383</v>
      </c>
      <c r="D7222" s="132" t="s">
        <v>1381</v>
      </c>
      <c r="E7222" s="508">
        <v>130.68199999999999</v>
      </c>
      <c r="F7222" s="508">
        <v>70.322999999999993</v>
      </c>
      <c r="G7222" s="508">
        <v>133.39099999999999</v>
      </c>
      <c r="H7222" s="508">
        <v>37.35</v>
      </c>
      <c r="I7222" s="508">
        <v>77.837000000000003</v>
      </c>
      <c r="J7222" s="508">
        <v>114.13500000000001</v>
      </c>
      <c r="K7222" s="508">
        <v>26.436</v>
      </c>
      <c r="L7222" s="508">
        <v>33.773000000000003</v>
      </c>
      <c r="M7222" s="508">
        <v>62.116999999999997</v>
      </c>
      <c r="N7222" s="508">
        <v>101.43</v>
      </c>
      <c r="O7222" s="508">
        <v>35.718000000000004</v>
      </c>
      <c r="P7222" s="508">
        <v>61.890999999999998</v>
      </c>
      <c r="Q7222" s="508">
        <v>24.382999999999999</v>
      </c>
      <c r="R7222" s="508">
        <v>33.569000000000003</v>
      </c>
      <c r="S7222" s="508">
        <v>22.751999999999999</v>
      </c>
      <c r="T7222" s="508">
        <v>31.12</v>
      </c>
      <c r="U7222" s="508">
        <v>6.5350000000000001</v>
      </c>
      <c r="V7222" s="508">
        <v>12.826000000000001</v>
      </c>
      <c r="W7222" s="508">
        <v>11.66</v>
      </c>
      <c r="X7222" s="508">
        <v>8.1359999999999992</v>
      </c>
      <c r="Y7222" s="508">
        <v>5.9340000000000002</v>
      </c>
      <c r="Z7222" s="508">
        <v>3.363</v>
      </c>
      <c r="AA7222" s="508">
        <v>3.573</v>
      </c>
      <c r="AB7222" s="508">
        <v>2.5110000000000001</v>
      </c>
      <c r="AC7222" s="508">
        <v>2.91</v>
      </c>
      <c r="AD7222" s="508">
        <v>2.7149999999999999</v>
      </c>
      <c r="AE7222" s="508">
        <v>1.794</v>
      </c>
      <c r="AF7222" s="508">
        <v>1.2150000000000001</v>
      </c>
      <c r="AG7222" s="508">
        <v>1.129</v>
      </c>
      <c r="AH7222" s="508">
        <v>1.107</v>
      </c>
      <c r="AI7222" s="492">
        <v>1.0880000000000001</v>
      </c>
      <c r="AJ7222" s="485"/>
    </row>
    <row r="7223" spans="2:36">
      <c r="B7223" s="136" t="s">
        <v>443</v>
      </c>
      <c r="C7223" s="132" t="s">
        <v>1383</v>
      </c>
      <c r="D7223" s="132" t="s">
        <v>1381</v>
      </c>
      <c r="E7223" s="508">
        <v>4.7110000000000003</v>
      </c>
      <c r="F7223" s="508">
        <v>2.6150000000000002</v>
      </c>
      <c r="G7223" s="508">
        <v>2.5870000000000002</v>
      </c>
      <c r="H7223" s="508">
        <v>2.6110000000000002</v>
      </c>
      <c r="I7223" s="508">
        <v>2.62</v>
      </c>
      <c r="J7223" s="508">
        <v>2.41</v>
      </c>
      <c r="K7223" s="508">
        <v>2.3860000000000001</v>
      </c>
      <c r="L7223" s="508">
        <v>2.3519999999999999</v>
      </c>
      <c r="M7223" s="508">
        <v>2.3119999999999998</v>
      </c>
      <c r="N7223" s="508">
        <v>3.847</v>
      </c>
      <c r="O7223" s="508">
        <v>3.7349999999999999</v>
      </c>
      <c r="P7223" s="508">
        <v>1.7989999999999999</v>
      </c>
      <c r="Q7223" s="508">
        <v>1.859</v>
      </c>
      <c r="R7223" s="508">
        <v>1.726</v>
      </c>
      <c r="S7223" s="508">
        <v>1.671</v>
      </c>
      <c r="T7223" s="508">
        <v>1.611</v>
      </c>
      <c r="U7223" s="508">
        <v>0.621</v>
      </c>
      <c r="V7223" s="508">
        <v>0.55400000000000005</v>
      </c>
      <c r="W7223" s="508">
        <v>0.56299999999999994</v>
      </c>
      <c r="X7223" s="508">
        <v>0.378</v>
      </c>
      <c r="Y7223" s="508">
        <v>0.29899999999999999</v>
      </c>
      <c r="Z7223" s="508">
        <v>0.20399999999999999</v>
      </c>
      <c r="AA7223" s="508">
        <v>0.17799999999999999</v>
      </c>
      <c r="AB7223" s="508">
        <v>0.14099999999999999</v>
      </c>
      <c r="AC7223" s="508">
        <v>0.11799999999999999</v>
      </c>
      <c r="AD7223" s="508">
        <v>9.1999999999999998E-2</v>
      </c>
      <c r="AE7223" s="508">
        <v>9.2999999999999999E-2</v>
      </c>
      <c r="AF7223" s="508">
        <v>5.8000000000000003E-2</v>
      </c>
      <c r="AG7223" s="508">
        <v>5.3999999999999999E-2</v>
      </c>
      <c r="AH7223" s="508">
        <v>5.2999999999999999E-2</v>
      </c>
      <c r="AI7223" s="492">
        <v>5.1999999999999998E-2</v>
      </c>
      <c r="AJ7223" s="485"/>
    </row>
    <row r="7224" spans="2:36">
      <c r="B7224" s="136" t="s">
        <v>445</v>
      </c>
      <c r="C7224" s="132" t="s">
        <v>1383</v>
      </c>
      <c r="D7224" s="132" t="s">
        <v>1381</v>
      </c>
      <c r="E7224" s="508">
        <v>3.22</v>
      </c>
      <c r="F7224" s="508">
        <v>1.6879999999999999</v>
      </c>
      <c r="G7224" s="508">
        <v>1.6220000000000001</v>
      </c>
      <c r="H7224" s="508">
        <v>1.639</v>
      </c>
      <c r="I7224" s="508">
        <v>1.6579999999999999</v>
      </c>
      <c r="J7224" s="508">
        <v>1.575</v>
      </c>
      <c r="K7224" s="508">
        <v>1.54</v>
      </c>
      <c r="L7224" s="508">
        <v>1.4870000000000001</v>
      </c>
      <c r="M7224" s="508">
        <v>1.4350000000000001</v>
      </c>
      <c r="N7224" s="508">
        <v>2.5619999999999998</v>
      </c>
      <c r="O7224" s="508">
        <v>2.5099999999999998</v>
      </c>
      <c r="P7224" s="508">
        <v>1.835</v>
      </c>
      <c r="Q7224" s="508">
        <v>1.89</v>
      </c>
      <c r="R7224" s="508">
        <v>1.7410000000000001</v>
      </c>
      <c r="S7224" s="508">
        <v>1.69</v>
      </c>
      <c r="T7224" s="508">
        <v>1.633</v>
      </c>
      <c r="U7224" s="508">
        <v>0.63700000000000001</v>
      </c>
      <c r="V7224" s="508">
        <v>0.56499999999999995</v>
      </c>
      <c r="W7224" s="508">
        <v>0.57599999999999996</v>
      </c>
      <c r="X7224" s="508">
        <v>0.38500000000000001</v>
      </c>
      <c r="Y7224" s="508">
        <v>0.30299999999999999</v>
      </c>
      <c r="Z7224" s="508">
        <v>0.21099999999999999</v>
      </c>
      <c r="AA7224" s="508">
        <v>0.182</v>
      </c>
      <c r="AB7224" s="508">
        <v>0.14299999999999999</v>
      </c>
      <c r="AC7224" s="508">
        <v>0.11700000000000001</v>
      </c>
      <c r="AD7224" s="508">
        <v>9.8000000000000004E-2</v>
      </c>
      <c r="AE7224" s="508">
        <v>9.4E-2</v>
      </c>
      <c r="AF7224" s="508">
        <v>5.8000000000000003E-2</v>
      </c>
      <c r="AG7224" s="508">
        <v>5.3999999999999999E-2</v>
      </c>
      <c r="AH7224" s="508">
        <v>5.2999999999999999E-2</v>
      </c>
      <c r="AI7224" s="492">
        <v>5.1999999999999998E-2</v>
      </c>
      <c r="AJ7224" s="485"/>
    </row>
    <row r="7225" spans="2:36">
      <c r="B7225" s="136" t="s">
        <v>446</v>
      </c>
      <c r="C7225" s="132" t="s">
        <v>1383</v>
      </c>
      <c r="D7225" s="132" t="s">
        <v>1381</v>
      </c>
      <c r="E7225" s="508">
        <v>126.143</v>
      </c>
      <c r="F7225" s="508">
        <v>74.573999999999998</v>
      </c>
      <c r="G7225" s="508">
        <v>242.02199999999999</v>
      </c>
      <c r="H7225" s="508">
        <v>67.823999999999998</v>
      </c>
      <c r="I7225" s="508">
        <v>140.77699999999999</v>
      </c>
      <c r="J7225" s="508">
        <v>196.15</v>
      </c>
      <c r="K7225" s="508">
        <v>45.914000000000001</v>
      </c>
      <c r="L7225" s="508">
        <v>59.698</v>
      </c>
      <c r="M7225" s="508">
        <v>111.411</v>
      </c>
      <c r="N7225" s="508">
        <v>207.12899999999999</v>
      </c>
      <c r="O7225" s="508">
        <v>71.94</v>
      </c>
      <c r="P7225" s="508">
        <v>70.269000000000005</v>
      </c>
      <c r="Q7225" s="508">
        <v>28.042000000000002</v>
      </c>
      <c r="R7225" s="508">
        <v>39.079000000000001</v>
      </c>
      <c r="S7225" s="508">
        <v>26.402000000000001</v>
      </c>
      <c r="T7225" s="508">
        <v>36.07</v>
      </c>
      <c r="U7225" s="508">
        <v>6.125</v>
      </c>
      <c r="V7225" s="508">
        <v>11.943</v>
      </c>
      <c r="W7225" s="508">
        <v>11.093999999999999</v>
      </c>
      <c r="X7225" s="508">
        <v>6.665</v>
      </c>
      <c r="Y7225" s="508">
        <v>4.5010000000000003</v>
      </c>
      <c r="Z7225" s="508">
        <v>2.9649999999999999</v>
      </c>
      <c r="AA7225" s="508">
        <v>3.0670000000000002</v>
      </c>
      <c r="AB7225" s="508">
        <v>1.99</v>
      </c>
      <c r="AC7225" s="508">
        <v>2.1680000000000001</v>
      </c>
      <c r="AD7225" s="508">
        <v>1.8120000000000001</v>
      </c>
      <c r="AE7225" s="508">
        <v>1.2529999999999999</v>
      </c>
      <c r="AF7225" s="508">
        <v>0.67600000000000005</v>
      </c>
      <c r="AG7225" s="508">
        <v>0.65900000000000003</v>
      </c>
      <c r="AH7225" s="508">
        <v>0.64700000000000002</v>
      </c>
      <c r="AI7225" s="492">
        <v>0.63700000000000001</v>
      </c>
      <c r="AJ7225" s="485"/>
    </row>
    <row r="7226" spans="2:36">
      <c r="B7226" s="136" t="s">
        <v>448</v>
      </c>
      <c r="C7226" s="132" t="s">
        <v>1383</v>
      </c>
      <c r="D7226" s="132" t="s">
        <v>1381</v>
      </c>
      <c r="E7226" s="508">
        <v>5.5659999999999998</v>
      </c>
      <c r="F7226" s="508">
        <v>3.2069999999999999</v>
      </c>
      <c r="G7226" s="508">
        <v>3.1970000000000001</v>
      </c>
      <c r="H7226" s="508">
        <v>3.2280000000000002</v>
      </c>
      <c r="I7226" s="508">
        <v>3.234</v>
      </c>
      <c r="J7226" s="508">
        <v>3.044</v>
      </c>
      <c r="K7226" s="508">
        <v>2.589</v>
      </c>
      <c r="L7226" s="508">
        <v>2.556</v>
      </c>
      <c r="M7226" s="508">
        <v>2.5150000000000001</v>
      </c>
      <c r="N7226" s="508">
        <v>4.45</v>
      </c>
      <c r="O7226" s="508">
        <v>4.3029999999999999</v>
      </c>
      <c r="P7226" s="508">
        <v>1.9650000000000001</v>
      </c>
      <c r="Q7226" s="508">
        <v>2.0569999999999999</v>
      </c>
      <c r="R7226" s="508">
        <v>1.9330000000000001</v>
      </c>
      <c r="S7226" s="508">
        <v>1.8660000000000001</v>
      </c>
      <c r="T7226" s="508">
        <v>1.7949999999999999</v>
      </c>
      <c r="U7226" s="508">
        <v>0.61299999999999999</v>
      </c>
      <c r="V7226" s="508">
        <v>0.54800000000000004</v>
      </c>
      <c r="W7226" s="508">
        <v>0.56100000000000005</v>
      </c>
      <c r="X7226" s="508">
        <v>0.35699999999999998</v>
      </c>
      <c r="Y7226" s="508">
        <v>0.27500000000000002</v>
      </c>
      <c r="Z7226" s="508">
        <v>0.19600000000000001</v>
      </c>
      <c r="AA7226" s="508">
        <v>0.17199999999999999</v>
      </c>
      <c r="AB7226" s="508">
        <v>0.13200000000000001</v>
      </c>
      <c r="AC7226" s="508">
        <v>0.111</v>
      </c>
      <c r="AD7226" s="508">
        <v>8.3000000000000004E-2</v>
      </c>
      <c r="AE7226" s="508">
        <v>0.08</v>
      </c>
      <c r="AF7226" s="508">
        <v>4.9000000000000002E-2</v>
      </c>
      <c r="AG7226" s="508">
        <v>4.7E-2</v>
      </c>
      <c r="AH7226" s="508">
        <v>4.5999999999999999E-2</v>
      </c>
      <c r="AI7226" s="492">
        <v>4.4999999999999998E-2</v>
      </c>
      <c r="AJ7226" s="485"/>
    </row>
    <row r="7227" spans="2:36">
      <c r="B7227" s="136" t="s">
        <v>449</v>
      </c>
      <c r="C7227" s="132" t="s">
        <v>1383</v>
      </c>
      <c r="D7227" s="132" t="s">
        <v>1381</v>
      </c>
      <c r="E7227" s="508">
        <v>5.0679999999999996</v>
      </c>
      <c r="F7227" s="508">
        <v>3.1309999999999998</v>
      </c>
      <c r="G7227" s="508">
        <v>3.12</v>
      </c>
      <c r="H7227" s="508">
        <v>3.1520000000000001</v>
      </c>
      <c r="I7227" s="508">
        <v>3.161</v>
      </c>
      <c r="J7227" s="508">
        <v>2.883</v>
      </c>
      <c r="K7227" s="508">
        <v>2.8639999999999999</v>
      </c>
      <c r="L7227" s="508">
        <v>2.839</v>
      </c>
      <c r="M7227" s="508">
        <v>2.8039999999999998</v>
      </c>
      <c r="N7227" s="508">
        <v>5.1100000000000003</v>
      </c>
      <c r="O7227" s="508">
        <v>4.9320000000000004</v>
      </c>
      <c r="P7227" s="508">
        <v>1.9650000000000001</v>
      </c>
      <c r="Q7227" s="508">
        <v>2.0590000000000002</v>
      </c>
      <c r="R7227" s="508">
        <v>1.9410000000000001</v>
      </c>
      <c r="S7227" s="508">
        <v>1.8720000000000001</v>
      </c>
      <c r="T7227" s="508">
        <v>1.8009999999999999</v>
      </c>
      <c r="U7227" s="508">
        <v>0.59199999999999997</v>
      </c>
      <c r="V7227" s="508">
        <v>0.52700000000000002</v>
      </c>
      <c r="W7227" s="508">
        <v>0.54400000000000004</v>
      </c>
      <c r="X7227" s="508">
        <v>0.32300000000000001</v>
      </c>
      <c r="Y7227" s="508">
        <v>0.23899999999999999</v>
      </c>
      <c r="Z7227" s="508">
        <v>0.185</v>
      </c>
      <c r="AA7227" s="508">
        <v>0.16</v>
      </c>
      <c r="AB7227" s="508">
        <v>0.11899999999999999</v>
      </c>
      <c r="AC7227" s="508">
        <v>9.6000000000000002E-2</v>
      </c>
      <c r="AD7227" s="508">
        <v>6.8000000000000005E-2</v>
      </c>
      <c r="AE7227" s="508">
        <v>6.7000000000000004E-2</v>
      </c>
      <c r="AF7227" s="508">
        <v>3.5000000000000003E-2</v>
      </c>
      <c r="AG7227" s="508">
        <v>3.4000000000000002E-2</v>
      </c>
      <c r="AH7227" s="508">
        <v>3.4000000000000002E-2</v>
      </c>
      <c r="AI7227" s="492">
        <v>3.3000000000000002E-2</v>
      </c>
      <c r="AJ7227" s="485"/>
    </row>
    <row r="7228" spans="2:36">
      <c r="B7228" s="136" t="s">
        <v>450</v>
      </c>
      <c r="C7228" s="132" t="s">
        <v>1383</v>
      </c>
      <c r="D7228" s="132" t="s">
        <v>1381</v>
      </c>
      <c r="E7228" s="508">
        <v>127.039</v>
      </c>
      <c r="F7228" s="508">
        <v>67.548000000000002</v>
      </c>
      <c r="G7228" s="508">
        <v>218.77</v>
      </c>
      <c r="H7228" s="508">
        <v>61.237000000000002</v>
      </c>
      <c r="I7228" s="508">
        <v>126.834</v>
      </c>
      <c r="J7228" s="508">
        <v>185.93299999999999</v>
      </c>
      <c r="K7228" s="508">
        <v>43.453000000000003</v>
      </c>
      <c r="L7228" s="508">
        <v>56.313000000000002</v>
      </c>
      <c r="M7228" s="508">
        <v>104.759</v>
      </c>
      <c r="N7228" s="508">
        <v>184.03399999999999</v>
      </c>
      <c r="O7228" s="508">
        <v>63.901000000000003</v>
      </c>
      <c r="P7228" s="508">
        <v>70.495000000000005</v>
      </c>
      <c r="Q7228" s="508">
        <v>27.905999999999999</v>
      </c>
      <c r="R7228" s="508">
        <v>38.991999999999997</v>
      </c>
      <c r="S7228" s="508">
        <v>26.315999999999999</v>
      </c>
      <c r="T7228" s="508">
        <v>35.880000000000003</v>
      </c>
      <c r="U7228" s="508">
        <v>6.9729999999999999</v>
      </c>
      <c r="V7228" s="508">
        <v>13.840999999999999</v>
      </c>
      <c r="W7228" s="508">
        <v>12.558</v>
      </c>
      <c r="X7228" s="508">
        <v>8.7210000000000001</v>
      </c>
      <c r="Y7228" s="508">
        <v>6.4379999999999997</v>
      </c>
      <c r="Z7228" s="508">
        <v>3.5369999999999999</v>
      </c>
      <c r="AA7228" s="508">
        <v>3.8029999999999999</v>
      </c>
      <c r="AB7228" s="508">
        <v>2.6960000000000002</v>
      </c>
      <c r="AC7228" s="508">
        <v>3.1909999999999998</v>
      </c>
      <c r="AD7228" s="508">
        <v>2.9159999999999999</v>
      </c>
      <c r="AE7228" s="508">
        <v>1.925</v>
      </c>
      <c r="AF7228" s="508">
        <v>1.2709999999999999</v>
      </c>
      <c r="AG7228" s="508">
        <v>1.167</v>
      </c>
      <c r="AH7228" s="508">
        <v>1.1439999999999999</v>
      </c>
      <c r="AI7228" s="492">
        <v>1.125</v>
      </c>
      <c r="AJ7228" s="485"/>
    </row>
    <row r="7229" spans="2:36">
      <c r="B7229" s="136" t="s">
        <v>451</v>
      </c>
      <c r="C7229" s="132" t="s">
        <v>1383</v>
      </c>
      <c r="D7229" s="132" t="s">
        <v>1381</v>
      </c>
      <c r="E7229" s="508">
        <v>6.2009999999999996</v>
      </c>
      <c r="F7229" s="508">
        <v>3.4580000000000002</v>
      </c>
      <c r="G7229" s="508">
        <v>3.4409999999999998</v>
      </c>
      <c r="H7229" s="508">
        <v>3.4740000000000002</v>
      </c>
      <c r="I7229" s="508">
        <v>3.4780000000000002</v>
      </c>
      <c r="J7229" s="508">
        <v>3.246</v>
      </c>
      <c r="K7229" s="508">
        <v>3.2210000000000001</v>
      </c>
      <c r="L7229" s="508">
        <v>3.1869999999999998</v>
      </c>
      <c r="M7229" s="508">
        <v>3.141</v>
      </c>
      <c r="N7229" s="508">
        <v>5.4880000000000004</v>
      </c>
      <c r="O7229" s="508">
        <v>5.2949999999999999</v>
      </c>
      <c r="P7229" s="508">
        <v>2.1059999999999999</v>
      </c>
      <c r="Q7229" s="508">
        <v>2.17</v>
      </c>
      <c r="R7229" s="508">
        <v>2.0289999999999999</v>
      </c>
      <c r="S7229" s="508">
        <v>1.9610000000000001</v>
      </c>
      <c r="T7229" s="508">
        <v>1.889</v>
      </c>
      <c r="U7229" s="508">
        <v>0.69699999999999995</v>
      </c>
      <c r="V7229" s="508">
        <v>0.626</v>
      </c>
      <c r="W7229" s="508">
        <v>0.63500000000000001</v>
      </c>
      <c r="X7229" s="508">
        <v>0.43099999999999999</v>
      </c>
      <c r="Y7229" s="508">
        <v>0.34799999999999998</v>
      </c>
      <c r="Z7229" s="508">
        <v>0.23200000000000001</v>
      </c>
      <c r="AA7229" s="508">
        <v>0.20499999999999999</v>
      </c>
      <c r="AB7229" s="508">
        <v>0.16500000000000001</v>
      </c>
      <c r="AC7229" s="508">
        <v>0.14000000000000001</v>
      </c>
      <c r="AD7229" s="508">
        <v>0.108</v>
      </c>
      <c r="AE7229" s="508">
        <v>0.10100000000000001</v>
      </c>
      <c r="AF7229" s="508">
        <v>6.7000000000000004E-2</v>
      </c>
      <c r="AG7229" s="508">
        <v>6.2E-2</v>
      </c>
      <c r="AH7229" s="508">
        <v>6.0999999999999999E-2</v>
      </c>
      <c r="AI7229" s="492">
        <v>0.06</v>
      </c>
      <c r="AJ7229" s="485"/>
    </row>
    <row r="7230" spans="2:36">
      <c r="B7230" s="136" t="s">
        <v>452</v>
      </c>
      <c r="C7230" s="132" t="s">
        <v>1383</v>
      </c>
      <c r="D7230" s="132" t="s">
        <v>1381</v>
      </c>
      <c r="E7230" s="508">
        <v>5.7430000000000003</v>
      </c>
      <c r="F7230" s="508">
        <v>3.1819999999999999</v>
      </c>
      <c r="G7230" s="508">
        <v>3.161</v>
      </c>
      <c r="H7230" s="508">
        <v>3.1909999999999998</v>
      </c>
      <c r="I7230" s="508">
        <v>3.1970000000000001</v>
      </c>
      <c r="J7230" s="508">
        <v>3.0169999999999999</v>
      </c>
      <c r="K7230" s="508">
        <v>2.9910000000000001</v>
      </c>
      <c r="L7230" s="508">
        <v>2.9550000000000001</v>
      </c>
      <c r="M7230" s="508">
        <v>2.9089999999999998</v>
      </c>
      <c r="N7230" s="508">
        <v>5.09</v>
      </c>
      <c r="O7230" s="508">
        <v>4.9139999999999997</v>
      </c>
      <c r="P7230" s="508">
        <v>2.2200000000000002</v>
      </c>
      <c r="Q7230" s="508">
        <v>2.3029999999999999</v>
      </c>
      <c r="R7230" s="508">
        <v>2.1749999999999998</v>
      </c>
      <c r="S7230" s="508">
        <v>2.0960000000000001</v>
      </c>
      <c r="T7230" s="508">
        <v>2.0150000000000001</v>
      </c>
      <c r="U7230" s="508">
        <v>0.68899999999999995</v>
      </c>
      <c r="V7230" s="508">
        <v>0.622</v>
      </c>
      <c r="W7230" s="508">
        <v>0.63100000000000001</v>
      </c>
      <c r="X7230" s="508">
        <v>0.42299999999999999</v>
      </c>
      <c r="Y7230" s="508">
        <v>0.34</v>
      </c>
      <c r="Z7230" s="508">
        <v>0.22500000000000001</v>
      </c>
      <c r="AA7230" s="508">
        <v>0.2</v>
      </c>
      <c r="AB7230" s="508">
        <v>0.16</v>
      </c>
      <c r="AC7230" s="508">
        <v>0.13800000000000001</v>
      </c>
      <c r="AD7230" s="508">
        <v>0.105</v>
      </c>
      <c r="AE7230" s="508">
        <v>9.9000000000000005E-2</v>
      </c>
      <c r="AF7230" s="508">
        <v>6.3E-2</v>
      </c>
      <c r="AG7230" s="508">
        <v>5.8999999999999997E-2</v>
      </c>
      <c r="AH7230" s="508">
        <v>5.7000000000000002E-2</v>
      </c>
      <c r="AI7230" s="492">
        <v>5.6000000000000001E-2</v>
      </c>
      <c r="AJ7230" s="485"/>
    </row>
    <row r="7231" spans="2:36">
      <c r="B7231" s="136" t="s">
        <v>453</v>
      </c>
      <c r="C7231" s="132" t="s">
        <v>1383</v>
      </c>
      <c r="D7231" s="132" t="s">
        <v>1381</v>
      </c>
      <c r="E7231" s="508">
        <v>131.643</v>
      </c>
      <c r="F7231" s="508">
        <v>71.106999999999999</v>
      </c>
      <c r="G7231" s="508">
        <v>230.791</v>
      </c>
      <c r="H7231" s="508">
        <v>64.611000000000004</v>
      </c>
      <c r="I7231" s="508">
        <v>133.761</v>
      </c>
      <c r="J7231" s="508">
        <v>197.63300000000001</v>
      </c>
      <c r="K7231" s="508">
        <v>46.222000000000001</v>
      </c>
      <c r="L7231" s="508">
        <v>59.975000000000001</v>
      </c>
      <c r="M7231" s="508">
        <v>111.65600000000001</v>
      </c>
      <c r="N7231" s="508">
        <v>198.90600000000001</v>
      </c>
      <c r="O7231" s="508">
        <v>68.941000000000003</v>
      </c>
      <c r="P7231" s="508">
        <v>73.965999999999994</v>
      </c>
      <c r="Q7231" s="508">
        <v>29.329000000000001</v>
      </c>
      <c r="R7231" s="508">
        <v>41.237000000000002</v>
      </c>
      <c r="S7231" s="508">
        <v>27.783999999999999</v>
      </c>
      <c r="T7231" s="508">
        <v>37.832000000000001</v>
      </c>
      <c r="U7231" s="508">
        <v>7.6440000000000001</v>
      </c>
      <c r="V7231" s="508">
        <v>15.247</v>
      </c>
      <c r="W7231" s="508">
        <v>13.818</v>
      </c>
      <c r="X7231" s="508">
        <v>9.6039999999999992</v>
      </c>
      <c r="Y7231" s="508">
        <v>7.1369999999999996</v>
      </c>
      <c r="Z7231" s="508">
        <v>3.9649999999999999</v>
      </c>
      <c r="AA7231" s="508">
        <v>4.2949999999999999</v>
      </c>
      <c r="AB7231" s="508">
        <v>3.073</v>
      </c>
      <c r="AC7231" s="508">
        <v>3.6829999999999998</v>
      </c>
      <c r="AD7231" s="508">
        <v>3.3330000000000002</v>
      </c>
      <c r="AE7231" s="508">
        <v>2.1619999999999999</v>
      </c>
      <c r="AF7231" s="508">
        <v>1.423</v>
      </c>
      <c r="AG7231" s="508">
        <v>1.2909999999999999</v>
      </c>
      <c r="AH7231" s="508">
        <v>1.266</v>
      </c>
      <c r="AI7231" s="492">
        <v>1.244</v>
      </c>
      <c r="AJ7231" s="485"/>
    </row>
    <row r="7232" spans="2:36">
      <c r="B7232" s="136" t="s">
        <v>454</v>
      </c>
      <c r="C7232" s="132" t="s">
        <v>1383</v>
      </c>
      <c r="D7232" s="132" t="s">
        <v>1381</v>
      </c>
      <c r="E7232" s="508">
        <v>5.6189999999999998</v>
      </c>
      <c r="F7232" s="508">
        <v>3.1560000000000001</v>
      </c>
      <c r="G7232" s="508">
        <v>3.1459999999999999</v>
      </c>
      <c r="H7232" s="508">
        <v>3.1760000000000002</v>
      </c>
      <c r="I7232" s="508">
        <v>3.18</v>
      </c>
      <c r="J7232" s="508">
        <v>3.0259999999999998</v>
      </c>
      <c r="K7232" s="508">
        <v>3.004</v>
      </c>
      <c r="L7232" s="508">
        <v>2.9750000000000001</v>
      </c>
      <c r="M7232" s="508">
        <v>2.9329999999999998</v>
      </c>
      <c r="N7232" s="508">
        <v>5.1749999999999998</v>
      </c>
      <c r="O7232" s="508">
        <v>4.9880000000000004</v>
      </c>
      <c r="P7232" s="508">
        <v>2.125</v>
      </c>
      <c r="Q7232" s="508">
        <v>2.218</v>
      </c>
      <c r="R7232" s="508">
        <v>2.105</v>
      </c>
      <c r="S7232" s="508">
        <v>2.0259999999999998</v>
      </c>
      <c r="T7232" s="508">
        <v>1.9450000000000001</v>
      </c>
      <c r="U7232" s="508">
        <v>0.71499999999999997</v>
      </c>
      <c r="V7232" s="508">
        <v>0.64800000000000002</v>
      </c>
      <c r="W7232" s="508">
        <v>0.65800000000000003</v>
      </c>
      <c r="X7232" s="508">
        <v>0.436</v>
      </c>
      <c r="Y7232" s="508">
        <v>0.34899999999999998</v>
      </c>
      <c r="Z7232" s="508">
        <v>0.23200000000000001</v>
      </c>
      <c r="AA7232" s="508">
        <v>0.20699999999999999</v>
      </c>
      <c r="AB7232" s="508">
        <v>0.16500000000000001</v>
      </c>
      <c r="AC7232" s="508">
        <v>0.14299999999999999</v>
      </c>
      <c r="AD7232" s="508">
        <v>0.108</v>
      </c>
      <c r="AE7232" s="508">
        <v>0.10199999999999999</v>
      </c>
      <c r="AF7232" s="508">
        <v>6.4000000000000001E-2</v>
      </c>
      <c r="AG7232" s="508">
        <v>5.8999999999999997E-2</v>
      </c>
      <c r="AH7232" s="508">
        <v>5.8000000000000003E-2</v>
      </c>
      <c r="AI7232" s="492">
        <v>5.7000000000000002E-2</v>
      </c>
      <c r="AJ7232" s="485"/>
    </row>
    <row r="7233" spans="2:36">
      <c r="B7233" s="136" t="s">
        <v>455</v>
      </c>
      <c r="C7233" s="132" t="s">
        <v>1383</v>
      </c>
      <c r="D7233" s="132" t="s">
        <v>1381</v>
      </c>
      <c r="E7233" s="508">
        <v>5.609</v>
      </c>
      <c r="F7233" s="508">
        <v>3.15</v>
      </c>
      <c r="G7233" s="508">
        <v>3.14</v>
      </c>
      <c r="H7233" s="508">
        <v>3.17</v>
      </c>
      <c r="I7233" s="508">
        <v>3.173</v>
      </c>
      <c r="J7233" s="508">
        <v>3.0339999999999998</v>
      </c>
      <c r="K7233" s="508">
        <v>3.0129999999999999</v>
      </c>
      <c r="L7233" s="508">
        <v>2.9830000000000001</v>
      </c>
      <c r="M7233" s="508">
        <v>2.9420000000000002</v>
      </c>
      <c r="N7233" s="508">
        <v>5.2220000000000004</v>
      </c>
      <c r="O7233" s="508">
        <v>5.0309999999999997</v>
      </c>
      <c r="P7233" s="508">
        <v>2.1320000000000001</v>
      </c>
      <c r="Q7233" s="508">
        <v>2.2320000000000002</v>
      </c>
      <c r="R7233" s="508">
        <v>2.121</v>
      </c>
      <c r="S7233" s="508">
        <v>2.0409999999999999</v>
      </c>
      <c r="T7233" s="508">
        <v>1.9590000000000001</v>
      </c>
      <c r="U7233" s="508">
        <v>0.65100000000000002</v>
      </c>
      <c r="V7233" s="508">
        <v>0.58899999999999997</v>
      </c>
      <c r="W7233" s="508">
        <v>0.59899999999999998</v>
      </c>
      <c r="X7233" s="508">
        <v>0.39100000000000001</v>
      </c>
      <c r="Y7233" s="508">
        <v>0.31</v>
      </c>
      <c r="Z7233" s="508">
        <v>0.20799999999999999</v>
      </c>
      <c r="AA7233" s="508">
        <v>0.186</v>
      </c>
      <c r="AB7233" s="508">
        <v>0.14699999999999999</v>
      </c>
      <c r="AC7233" s="508">
        <v>0.127</v>
      </c>
      <c r="AD7233" s="508">
        <v>9.5000000000000001E-2</v>
      </c>
      <c r="AE7233" s="508">
        <v>0.09</v>
      </c>
      <c r="AF7233" s="508">
        <v>5.5E-2</v>
      </c>
      <c r="AG7233" s="508">
        <v>5.1999999999999998E-2</v>
      </c>
      <c r="AH7233" s="508">
        <v>5.0999999999999997E-2</v>
      </c>
      <c r="AI7233" s="492">
        <v>0.05</v>
      </c>
      <c r="AJ7233" s="485"/>
    </row>
    <row r="7234" spans="2:36">
      <c r="B7234" s="136" t="s">
        <v>456</v>
      </c>
      <c r="C7234" s="132" t="s">
        <v>1383</v>
      </c>
      <c r="D7234" s="132" t="s">
        <v>1381</v>
      </c>
      <c r="E7234" s="508">
        <v>120.57299999999999</v>
      </c>
      <c r="F7234" s="508">
        <v>69.197999999999993</v>
      </c>
      <c r="G7234" s="508">
        <v>224.57300000000001</v>
      </c>
      <c r="H7234" s="508">
        <v>62.920999999999999</v>
      </c>
      <c r="I7234" s="508">
        <v>130.51900000000001</v>
      </c>
      <c r="J7234" s="508">
        <v>186.54599999999999</v>
      </c>
      <c r="K7234" s="508">
        <v>43.652999999999999</v>
      </c>
      <c r="L7234" s="508">
        <v>56.725000000000001</v>
      </c>
      <c r="M7234" s="508">
        <v>105.794</v>
      </c>
      <c r="N7234" s="508">
        <v>195.20400000000001</v>
      </c>
      <c r="O7234" s="508">
        <v>67.753</v>
      </c>
      <c r="P7234" s="508">
        <v>68.105000000000004</v>
      </c>
      <c r="Q7234" s="508">
        <v>27.294</v>
      </c>
      <c r="R7234" s="508">
        <v>38.165999999999997</v>
      </c>
      <c r="S7234" s="508">
        <v>25.754999999999999</v>
      </c>
      <c r="T7234" s="508">
        <v>35.143000000000001</v>
      </c>
      <c r="U7234" s="508">
        <v>6.0339999999999998</v>
      </c>
      <c r="V7234" s="508">
        <v>11.833</v>
      </c>
      <c r="W7234" s="508">
        <v>10.933999999999999</v>
      </c>
      <c r="X7234" s="508">
        <v>6.766</v>
      </c>
      <c r="Y7234" s="508">
        <v>4.6459999999999999</v>
      </c>
      <c r="Z7234" s="508">
        <v>2.931</v>
      </c>
      <c r="AA7234" s="508">
        <v>3.0739999999999998</v>
      </c>
      <c r="AB7234" s="508">
        <v>2.032</v>
      </c>
      <c r="AC7234" s="508">
        <v>2.2850000000000001</v>
      </c>
      <c r="AD7234" s="508">
        <v>1.9530000000000001</v>
      </c>
      <c r="AE7234" s="508">
        <v>1.34</v>
      </c>
      <c r="AF7234" s="508">
        <v>0.76200000000000001</v>
      </c>
      <c r="AG7234" s="508">
        <v>0.73399999999999999</v>
      </c>
      <c r="AH7234" s="508">
        <v>0.72199999999999998</v>
      </c>
      <c r="AI7234" s="492">
        <v>0.71099999999999997</v>
      </c>
      <c r="AJ7234" s="485"/>
    </row>
    <row r="7235" spans="2:36">
      <c r="B7235" s="136" t="s">
        <v>457</v>
      </c>
      <c r="C7235" s="132" t="s">
        <v>1383</v>
      </c>
      <c r="D7235" s="132" t="s">
        <v>1381</v>
      </c>
      <c r="E7235" s="508">
        <v>6.0830000000000002</v>
      </c>
      <c r="F7235" s="508">
        <v>3.3170000000000002</v>
      </c>
      <c r="G7235" s="508">
        <v>3.306</v>
      </c>
      <c r="H7235" s="508">
        <v>3.3370000000000002</v>
      </c>
      <c r="I7235" s="508">
        <v>3.3380000000000001</v>
      </c>
      <c r="J7235" s="508">
        <v>3.2490000000000001</v>
      </c>
      <c r="K7235" s="508">
        <v>3.2240000000000002</v>
      </c>
      <c r="L7235" s="508">
        <v>3.19</v>
      </c>
      <c r="M7235" s="508">
        <v>3.1419999999999999</v>
      </c>
      <c r="N7235" s="508">
        <v>5.4260000000000002</v>
      </c>
      <c r="O7235" s="508">
        <v>5.226</v>
      </c>
      <c r="P7235" s="508">
        <v>2.2469999999999999</v>
      </c>
      <c r="Q7235" s="508">
        <v>2.3340000000000001</v>
      </c>
      <c r="R7235" s="508">
        <v>2.2130000000000001</v>
      </c>
      <c r="S7235" s="508">
        <v>2.13</v>
      </c>
      <c r="T7235" s="508">
        <v>2.0449999999999999</v>
      </c>
      <c r="U7235" s="508">
        <v>0.77500000000000002</v>
      </c>
      <c r="V7235" s="508">
        <v>0.70599999999999996</v>
      </c>
      <c r="W7235" s="508">
        <v>0.71099999999999997</v>
      </c>
      <c r="X7235" s="508">
        <v>0.497</v>
      </c>
      <c r="Y7235" s="508">
        <v>0.41</v>
      </c>
      <c r="Z7235" s="508">
        <v>0.26300000000000001</v>
      </c>
      <c r="AA7235" s="508">
        <v>0.23799999999999999</v>
      </c>
      <c r="AB7235" s="508">
        <v>0.19700000000000001</v>
      </c>
      <c r="AC7235" s="508">
        <v>0.17499999999999999</v>
      </c>
      <c r="AD7235" s="508">
        <v>0.13500000000000001</v>
      </c>
      <c r="AE7235" s="508">
        <v>0.125</v>
      </c>
      <c r="AF7235" s="508">
        <v>8.4000000000000005E-2</v>
      </c>
      <c r="AG7235" s="508">
        <v>7.5999999999999998E-2</v>
      </c>
      <c r="AH7235" s="508">
        <v>7.3999999999999996E-2</v>
      </c>
      <c r="AI7235" s="492">
        <v>7.2999999999999995E-2</v>
      </c>
      <c r="AJ7235" s="485"/>
    </row>
    <row r="7236" spans="2:36">
      <c r="B7236" s="136" t="s">
        <v>458</v>
      </c>
      <c r="C7236" s="132" t="s">
        <v>1383</v>
      </c>
      <c r="D7236" s="132" t="s">
        <v>1381</v>
      </c>
      <c r="E7236" s="508">
        <v>4.8929999999999998</v>
      </c>
      <c r="F7236" s="508">
        <v>2.7120000000000002</v>
      </c>
      <c r="G7236" s="508">
        <v>2.6869999999999998</v>
      </c>
      <c r="H7236" s="508">
        <v>2.7120000000000002</v>
      </c>
      <c r="I7236" s="508">
        <v>2.72</v>
      </c>
      <c r="J7236" s="508">
        <v>2.556</v>
      </c>
      <c r="K7236" s="508">
        <v>2.532</v>
      </c>
      <c r="L7236" s="508">
        <v>2.4980000000000002</v>
      </c>
      <c r="M7236" s="508">
        <v>2.4580000000000002</v>
      </c>
      <c r="N7236" s="508">
        <v>4.1529999999999996</v>
      </c>
      <c r="O7236" s="508">
        <v>4.0220000000000002</v>
      </c>
      <c r="P7236" s="508">
        <v>1.837</v>
      </c>
      <c r="Q7236" s="508">
        <v>1.9059999999999999</v>
      </c>
      <c r="R7236" s="508">
        <v>1.7749999999999999</v>
      </c>
      <c r="S7236" s="508">
        <v>1.7170000000000001</v>
      </c>
      <c r="T7236" s="508">
        <v>1.655</v>
      </c>
      <c r="U7236" s="508">
        <v>0.627</v>
      </c>
      <c r="V7236" s="508">
        <v>0.56000000000000005</v>
      </c>
      <c r="W7236" s="508">
        <v>0.56999999999999995</v>
      </c>
      <c r="X7236" s="508">
        <v>0.38300000000000001</v>
      </c>
      <c r="Y7236" s="508">
        <v>0.30299999999999999</v>
      </c>
      <c r="Z7236" s="508">
        <v>0.20599999999999999</v>
      </c>
      <c r="AA7236" s="508">
        <v>0.18099999999999999</v>
      </c>
      <c r="AB7236" s="508">
        <v>0.14399999999999999</v>
      </c>
      <c r="AC7236" s="508">
        <v>0.122</v>
      </c>
      <c r="AD7236" s="508">
        <v>9.5000000000000001E-2</v>
      </c>
      <c r="AE7236" s="508">
        <v>0.09</v>
      </c>
      <c r="AF7236" s="508">
        <v>5.8999999999999997E-2</v>
      </c>
      <c r="AG7236" s="508">
        <v>5.5E-2</v>
      </c>
      <c r="AH7236" s="508">
        <v>5.5E-2</v>
      </c>
      <c r="AI7236" s="492">
        <v>5.3999999999999999E-2</v>
      </c>
      <c r="AJ7236" s="485"/>
    </row>
    <row r="7237" spans="2:36">
      <c r="B7237" s="136" t="s">
        <v>459</v>
      </c>
      <c r="C7237" s="132" t="s">
        <v>1383</v>
      </c>
      <c r="D7237" s="132" t="s">
        <v>1381</v>
      </c>
      <c r="E7237" s="508">
        <v>130.761</v>
      </c>
      <c r="F7237" s="508">
        <v>70.025999999999996</v>
      </c>
      <c r="G7237" s="508">
        <v>227.149</v>
      </c>
      <c r="H7237" s="508">
        <v>63.579000000000001</v>
      </c>
      <c r="I7237" s="508">
        <v>131.61000000000001</v>
      </c>
      <c r="J7237" s="508">
        <v>193.14</v>
      </c>
      <c r="K7237" s="508">
        <v>45.173000000000002</v>
      </c>
      <c r="L7237" s="508">
        <v>58.612000000000002</v>
      </c>
      <c r="M7237" s="508">
        <v>109.129</v>
      </c>
      <c r="N7237" s="508">
        <v>196.32</v>
      </c>
      <c r="O7237" s="508">
        <v>68.043999999999997</v>
      </c>
      <c r="P7237" s="508">
        <v>72.102000000000004</v>
      </c>
      <c r="Q7237" s="508">
        <v>24.468</v>
      </c>
      <c r="R7237" s="508">
        <v>33.715000000000003</v>
      </c>
      <c r="S7237" s="508">
        <v>22.844000000000001</v>
      </c>
      <c r="T7237" s="508">
        <v>31.236000000000001</v>
      </c>
      <c r="U7237" s="508">
        <v>6.6079999999999997</v>
      </c>
      <c r="V7237" s="508">
        <v>12.991</v>
      </c>
      <c r="W7237" s="508">
        <v>11.788</v>
      </c>
      <c r="X7237" s="508">
        <v>8.3170000000000002</v>
      </c>
      <c r="Y7237" s="508">
        <v>6.109</v>
      </c>
      <c r="Z7237" s="508">
        <v>3.407</v>
      </c>
      <c r="AA7237" s="508">
        <v>3.63</v>
      </c>
      <c r="AB7237" s="508">
        <v>2.5169999999999999</v>
      </c>
      <c r="AC7237" s="508">
        <v>2.9249999999999998</v>
      </c>
      <c r="AD7237" s="508">
        <v>2.762</v>
      </c>
      <c r="AE7237" s="508">
        <v>1.8140000000000001</v>
      </c>
      <c r="AF7237" s="508">
        <v>1.2709999999999999</v>
      </c>
      <c r="AG7237" s="508">
        <v>1.169</v>
      </c>
      <c r="AH7237" s="508">
        <v>1.147</v>
      </c>
      <c r="AI7237" s="492">
        <v>1.135</v>
      </c>
      <c r="AJ7237" s="485"/>
    </row>
    <row r="7238" spans="2:36">
      <c r="B7238" s="136" t="s">
        <v>460</v>
      </c>
      <c r="C7238" s="132" t="s">
        <v>1383</v>
      </c>
      <c r="D7238" s="132" t="s">
        <v>1381</v>
      </c>
      <c r="E7238" s="508">
        <v>6.28</v>
      </c>
      <c r="F7238" s="508">
        <v>3.4609999999999999</v>
      </c>
      <c r="G7238" s="508">
        <v>3.4470000000000001</v>
      </c>
      <c r="H7238" s="508">
        <v>3.4790000000000001</v>
      </c>
      <c r="I7238" s="508">
        <v>3.4820000000000002</v>
      </c>
      <c r="J7238" s="508">
        <v>3.3180000000000001</v>
      </c>
      <c r="K7238" s="508">
        <v>3.2930000000000001</v>
      </c>
      <c r="L7238" s="508">
        <v>3.2570000000000001</v>
      </c>
      <c r="M7238" s="508">
        <v>3.21</v>
      </c>
      <c r="N7238" s="508">
        <v>5.5739999999999998</v>
      </c>
      <c r="O7238" s="508">
        <v>5.3730000000000002</v>
      </c>
      <c r="P7238" s="508">
        <v>2.3460000000000001</v>
      </c>
      <c r="Q7238" s="508">
        <v>2.431</v>
      </c>
      <c r="R7238" s="508">
        <v>2.3039999999999998</v>
      </c>
      <c r="S7238" s="508">
        <v>2.2189999999999999</v>
      </c>
      <c r="T7238" s="508">
        <v>2.13</v>
      </c>
      <c r="U7238" s="508">
        <v>0.746</v>
      </c>
      <c r="V7238" s="508">
        <v>0.67700000000000005</v>
      </c>
      <c r="W7238" s="508">
        <v>0.68500000000000005</v>
      </c>
      <c r="X7238" s="508">
        <v>0.46700000000000003</v>
      </c>
      <c r="Y7238" s="508">
        <v>0.38</v>
      </c>
      <c r="Z7238" s="508">
        <v>0.247</v>
      </c>
      <c r="AA7238" s="508">
        <v>0.222</v>
      </c>
      <c r="AB7238" s="508">
        <v>0.18</v>
      </c>
      <c r="AC7238" s="508">
        <v>0.158</v>
      </c>
      <c r="AD7238" s="508">
        <v>0.12</v>
      </c>
      <c r="AE7238" s="508">
        <v>0.112</v>
      </c>
      <c r="AF7238" s="508">
        <v>7.2999999999999995E-2</v>
      </c>
      <c r="AG7238" s="508">
        <v>6.7000000000000004E-2</v>
      </c>
      <c r="AH7238" s="508">
        <v>6.5000000000000002E-2</v>
      </c>
      <c r="AI7238" s="492">
        <v>6.4000000000000001E-2</v>
      </c>
      <c r="AJ7238" s="485"/>
    </row>
    <row r="7239" spans="2:36">
      <c r="B7239" s="136" t="s">
        <v>461</v>
      </c>
      <c r="C7239" s="132" t="s">
        <v>1383</v>
      </c>
      <c r="D7239" s="132" t="s">
        <v>1381</v>
      </c>
      <c r="E7239" s="508">
        <v>5.9390000000000001</v>
      </c>
      <c r="F7239" s="508">
        <v>3.2559999999999998</v>
      </c>
      <c r="G7239" s="508">
        <v>3.2360000000000002</v>
      </c>
      <c r="H7239" s="508">
        <v>3.266</v>
      </c>
      <c r="I7239" s="508">
        <v>3.27</v>
      </c>
      <c r="J7239" s="508">
        <v>3.153</v>
      </c>
      <c r="K7239" s="508">
        <v>3.125</v>
      </c>
      <c r="L7239" s="508">
        <v>3.0859999999999999</v>
      </c>
      <c r="M7239" s="508">
        <v>3.036</v>
      </c>
      <c r="N7239" s="508">
        <v>5.0679999999999996</v>
      </c>
      <c r="O7239" s="508">
        <v>4.8949999999999996</v>
      </c>
      <c r="P7239" s="508">
        <v>2.35</v>
      </c>
      <c r="Q7239" s="508">
        <v>2.423</v>
      </c>
      <c r="R7239" s="508">
        <v>2.2930000000000001</v>
      </c>
      <c r="S7239" s="508">
        <v>2.2839999999999998</v>
      </c>
      <c r="T7239" s="508">
        <v>2.1909999999999998</v>
      </c>
      <c r="U7239" s="508">
        <v>0.79300000000000004</v>
      </c>
      <c r="V7239" s="508">
        <v>0.72299999999999998</v>
      </c>
      <c r="W7239" s="508">
        <v>0.72899999999999998</v>
      </c>
      <c r="X7239" s="508">
        <v>0.51</v>
      </c>
      <c r="Y7239" s="508">
        <v>0.42399999999999999</v>
      </c>
      <c r="Z7239" s="508">
        <v>0.27800000000000002</v>
      </c>
      <c r="AA7239" s="508">
        <v>0.252</v>
      </c>
      <c r="AB7239" s="508">
        <v>0.21</v>
      </c>
      <c r="AC7239" s="508">
        <v>0.187</v>
      </c>
      <c r="AD7239" s="508">
        <v>0.14399999999999999</v>
      </c>
      <c r="AE7239" s="508">
        <v>0.13100000000000001</v>
      </c>
      <c r="AF7239" s="508">
        <v>8.7999999999999995E-2</v>
      </c>
      <c r="AG7239" s="508">
        <v>7.8E-2</v>
      </c>
      <c r="AH7239" s="508">
        <v>7.6999999999999999E-2</v>
      </c>
      <c r="AI7239" s="492">
        <v>7.4999999999999997E-2</v>
      </c>
      <c r="AJ7239" s="485"/>
    </row>
    <row r="7240" spans="2:36">
      <c r="B7240" s="136" t="s">
        <v>462</v>
      </c>
      <c r="C7240" s="132" t="s">
        <v>1383</v>
      </c>
      <c r="D7240" s="132" t="s">
        <v>1381</v>
      </c>
      <c r="E7240" s="508">
        <v>122.047</v>
      </c>
      <c r="F7240" s="508">
        <v>69.156000000000006</v>
      </c>
      <c r="G7240" s="508">
        <v>224.60599999999999</v>
      </c>
      <c r="H7240" s="508">
        <v>62.915999999999997</v>
      </c>
      <c r="I7240" s="508">
        <v>130.416</v>
      </c>
      <c r="J7240" s="508">
        <v>187.696</v>
      </c>
      <c r="K7240" s="508">
        <v>43.927999999999997</v>
      </c>
      <c r="L7240" s="508">
        <v>57.087000000000003</v>
      </c>
      <c r="M7240" s="508">
        <v>106.461</v>
      </c>
      <c r="N7240" s="508">
        <v>197.083</v>
      </c>
      <c r="O7240" s="508">
        <v>68.346999999999994</v>
      </c>
      <c r="P7240" s="508">
        <v>68.555999999999997</v>
      </c>
      <c r="Q7240" s="508">
        <v>27.474</v>
      </c>
      <c r="R7240" s="508">
        <v>38.531999999999996</v>
      </c>
      <c r="S7240" s="508">
        <v>25.975999999999999</v>
      </c>
      <c r="T7240" s="508">
        <v>35.414000000000001</v>
      </c>
      <c r="U7240" s="508">
        <v>6.0869999999999997</v>
      </c>
      <c r="V7240" s="508">
        <v>11.986000000000001</v>
      </c>
      <c r="W7240" s="508">
        <v>11.048</v>
      </c>
      <c r="X7240" s="508">
        <v>6.915</v>
      </c>
      <c r="Y7240" s="508">
        <v>4.8040000000000003</v>
      </c>
      <c r="Z7240" s="508">
        <v>2.948</v>
      </c>
      <c r="AA7240" s="508">
        <v>3.1110000000000002</v>
      </c>
      <c r="AB7240" s="508">
        <v>2.08</v>
      </c>
      <c r="AC7240" s="508">
        <v>2.37</v>
      </c>
      <c r="AD7240" s="508">
        <v>2.036</v>
      </c>
      <c r="AE7240" s="508">
        <v>1.3879999999999999</v>
      </c>
      <c r="AF7240" s="508">
        <v>0.80100000000000005</v>
      </c>
      <c r="AG7240" s="508">
        <v>0.76700000000000002</v>
      </c>
      <c r="AH7240" s="508">
        <v>0.753</v>
      </c>
      <c r="AI7240" s="492">
        <v>0.74099999999999999</v>
      </c>
      <c r="AJ7240" s="485"/>
    </row>
    <row r="7241" spans="2:36">
      <c r="B7241" s="136" t="s">
        <v>463</v>
      </c>
      <c r="C7241" s="132" t="s">
        <v>1383</v>
      </c>
      <c r="D7241" s="132" t="s">
        <v>1381</v>
      </c>
      <c r="E7241" s="508">
        <v>5.4489999999999998</v>
      </c>
      <c r="F7241" s="508">
        <v>3.0529999999999999</v>
      </c>
      <c r="G7241" s="508">
        <v>3.044</v>
      </c>
      <c r="H7241" s="508">
        <v>3.073</v>
      </c>
      <c r="I7241" s="508">
        <v>3.0760000000000001</v>
      </c>
      <c r="J7241" s="508">
        <v>2.964</v>
      </c>
      <c r="K7241" s="508">
        <v>2.9430000000000001</v>
      </c>
      <c r="L7241" s="508">
        <v>2.9140000000000001</v>
      </c>
      <c r="M7241" s="508">
        <v>2.8740000000000001</v>
      </c>
      <c r="N7241" s="508">
        <v>5.0890000000000004</v>
      </c>
      <c r="O7241" s="508">
        <v>4.9020000000000001</v>
      </c>
      <c r="P7241" s="508">
        <v>2.0049999999999999</v>
      </c>
      <c r="Q7241" s="508">
        <v>2.0960000000000001</v>
      </c>
      <c r="R7241" s="508">
        <v>1.984</v>
      </c>
      <c r="S7241" s="508">
        <v>1.911</v>
      </c>
      <c r="T7241" s="508">
        <v>1.835</v>
      </c>
      <c r="U7241" s="508">
        <v>0.67200000000000004</v>
      </c>
      <c r="V7241" s="508">
        <v>0.60699999999999998</v>
      </c>
      <c r="W7241" s="508">
        <v>0.61599999999999999</v>
      </c>
      <c r="X7241" s="508">
        <v>0.41099999999999998</v>
      </c>
      <c r="Y7241" s="508">
        <v>0.32700000000000001</v>
      </c>
      <c r="Z7241" s="508">
        <v>0.218</v>
      </c>
      <c r="AA7241" s="508">
        <v>0.19400000000000001</v>
      </c>
      <c r="AB7241" s="508">
        <v>0.155</v>
      </c>
      <c r="AC7241" s="508">
        <v>0.13500000000000001</v>
      </c>
      <c r="AD7241" s="508">
        <v>0.10199999999999999</v>
      </c>
      <c r="AE7241" s="508">
        <v>9.7000000000000003E-2</v>
      </c>
      <c r="AF7241" s="508">
        <v>6.2E-2</v>
      </c>
      <c r="AG7241" s="508">
        <v>5.7000000000000002E-2</v>
      </c>
      <c r="AH7241" s="508">
        <v>5.6000000000000001E-2</v>
      </c>
      <c r="AI7241" s="492">
        <v>5.5E-2</v>
      </c>
      <c r="AJ7241" s="485"/>
    </row>
    <row r="7242" spans="2:36">
      <c r="B7242" s="136" t="s">
        <v>464</v>
      </c>
      <c r="C7242" s="132" t="s">
        <v>1383</v>
      </c>
      <c r="D7242" s="132" t="s">
        <v>1381</v>
      </c>
      <c r="E7242" s="508">
        <v>5.9039999999999999</v>
      </c>
      <c r="F7242" s="508">
        <v>3.21</v>
      </c>
      <c r="G7242" s="508">
        <v>3.1989999999999998</v>
      </c>
      <c r="H7242" s="508">
        <v>3.2290000000000001</v>
      </c>
      <c r="I7242" s="508">
        <v>3.23</v>
      </c>
      <c r="J7242" s="508">
        <v>3.1459999999999999</v>
      </c>
      <c r="K7242" s="508">
        <v>3.1219999999999999</v>
      </c>
      <c r="L7242" s="508">
        <v>3.0880000000000001</v>
      </c>
      <c r="M7242" s="508">
        <v>3.0419999999999998</v>
      </c>
      <c r="N7242" s="508">
        <v>5.2460000000000004</v>
      </c>
      <c r="O7242" s="508">
        <v>5.0529999999999999</v>
      </c>
      <c r="P7242" s="508">
        <v>2.246</v>
      </c>
      <c r="Q7242" s="508">
        <v>2.3370000000000002</v>
      </c>
      <c r="R7242" s="508">
        <v>2.2240000000000002</v>
      </c>
      <c r="S7242" s="508">
        <v>2.1389999999999998</v>
      </c>
      <c r="T7242" s="508">
        <v>2.0510000000000002</v>
      </c>
      <c r="U7242" s="508">
        <v>0.76400000000000001</v>
      </c>
      <c r="V7242" s="508">
        <v>0.69699999999999995</v>
      </c>
      <c r="W7242" s="508">
        <v>0.70199999999999996</v>
      </c>
      <c r="X7242" s="508">
        <v>0.49</v>
      </c>
      <c r="Y7242" s="508">
        <v>0.40500000000000003</v>
      </c>
      <c r="Z7242" s="508">
        <v>0.25600000000000001</v>
      </c>
      <c r="AA7242" s="508">
        <v>0.23200000000000001</v>
      </c>
      <c r="AB7242" s="508">
        <v>0.192</v>
      </c>
      <c r="AC7242" s="508">
        <v>0.17100000000000001</v>
      </c>
      <c r="AD7242" s="508">
        <v>0.13200000000000001</v>
      </c>
      <c r="AE7242" s="508">
        <v>0.121</v>
      </c>
      <c r="AF7242" s="508">
        <v>8.1000000000000003E-2</v>
      </c>
      <c r="AG7242" s="508">
        <v>7.2999999999999995E-2</v>
      </c>
      <c r="AH7242" s="508">
        <v>7.1999999999999995E-2</v>
      </c>
      <c r="AI7242" s="492">
        <v>7.0999999999999994E-2</v>
      </c>
      <c r="AJ7242" s="485"/>
    </row>
    <row r="7243" spans="2:36">
      <c r="B7243" s="136" t="s">
        <v>465</v>
      </c>
      <c r="C7243" s="132" t="s">
        <v>1383</v>
      </c>
      <c r="D7243" s="132" t="s">
        <v>1381</v>
      </c>
      <c r="E7243" s="508">
        <v>130.47300000000001</v>
      </c>
      <c r="F7243" s="508">
        <v>70.525999999999996</v>
      </c>
      <c r="G7243" s="508">
        <v>228.93700000000001</v>
      </c>
      <c r="H7243" s="508">
        <v>64.096000000000004</v>
      </c>
      <c r="I7243" s="508">
        <v>132.70699999999999</v>
      </c>
      <c r="J7243" s="508">
        <v>196.52199999999999</v>
      </c>
      <c r="K7243" s="508">
        <v>45.966999999999999</v>
      </c>
      <c r="L7243" s="508">
        <v>59.658000000000001</v>
      </c>
      <c r="M7243" s="508">
        <v>111.09</v>
      </c>
      <c r="N7243" s="508">
        <v>198.80799999999999</v>
      </c>
      <c r="O7243" s="508">
        <v>68.894000000000005</v>
      </c>
      <c r="P7243" s="508">
        <v>73.472999999999999</v>
      </c>
      <c r="Q7243" s="508">
        <v>29.199000000000002</v>
      </c>
      <c r="R7243" s="508">
        <v>41.088000000000001</v>
      </c>
      <c r="S7243" s="508">
        <v>27.678999999999998</v>
      </c>
      <c r="T7243" s="508">
        <v>37.686</v>
      </c>
      <c r="U7243" s="508">
        <v>7.5119999999999996</v>
      </c>
      <c r="V7243" s="508">
        <v>14.974</v>
      </c>
      <c r="W7243" s="508">
        <v>13.586</v>
      </c>
      <c r="X7243" s="508">
        <v>9.3670000000000009</v>
      </c>
      <c r="Y7243" s="508">
        <v>6.9219999999999997</v>
      </c>
      <c r="Z7243" s="508">
        <v>3.85</v>
      </c>
      <c r="AA7243" s="508">
        <v>4.165</v>
      </c>
      <c r="AB7243" s="508">
        <v>2.96</v>
      </c>
      <c r="AC7243" s="508">
        <v>3.5409999999999999</v>
      </c>
      <c r="AD7243" s="508">
        <v>3.1909999999999998</v>
      </c>
      <c r="AE7243" s="508">
        <v>2.0819999999999999</v>
      </c>
      <c r="AF7243" s="508">
        <v>1.355</v>
      </c>
      <c r="AG7243" s="508">
        <v>1.2370000000000001</v>
      </c>
      <c r="AH7243" s="508">
        <v>1.2130000000000001</v>
      </c>
      <c r="AI7243" s="492">
        <v>1.1930000000000001</v>
      </c>
      <c r="AJ7243" s="485"/>
    </row>
    <row r="7244" spans="2:36">
      <c r="B7244" s="136" t="s">
        <v>466</v>
      </c>
      <c r="C7244" s="132" t="s">
        <v>1383</v>
      </c>
      <c r="D7244" s="132" t="s">
        <v>1381</v>
      </c>
      <c r="E7244" s="508">
        <v>4.93</v>
      </c>
      <c r="F7244" s="508">
        <v>2.8029999999999999</v>
      </c>
      <c r="G7244" s="508">
        <v>2.7759999999999998</v>
      </c>
      <c r="H7244" s="508">
        <v>2.802</v>
      </c>
      <c r="I7244" s="508">
        <v>2.8130000000000002</v>
      </c>
      <c r="J7244" s="508">
        <v>2.5720000000000001</v>
      </c>
      <c r="K7244" s="508">
        <v>2.548</v>
      </c>
      <c r="L7244" s="508">
        <v>2.5150000000000001</v>
      </c>
      <c r="M7244" s="508">
        <v>2.4750000000000001</v>
      </c>
      <c r="N7244" s="508">
        <v>4.1959999999999997</v>
      </c>
      <c r="O7244" s="508">
        <v>4.0709999999999997</v>
      </c>
      <c r="P7244" s="508">
        <v>1.85</v>
      </c>
      <c r="Q7244" s="508">
        <v>1.921</v>
      </c>
      <c r="R7244" s="508">
        <v>1.7829999999999999</v>
      </c>
      <c r="S7244" s="508">
        <v>1.7270000000000001</v>
      </c>
      <c r="T7244" s="508">
        <v>1.6659999999999999</v>
      </c>
      <c r="U7244" s="508">
        <v>0.61</v>
      </c>
      <c r="V7244" s="508">
        <v>0.54100000000000004</v>
      </c>
      <c r="W7244" s="508">
        <v>0.55200000000000005</v>
      </c>
      <c r="X7244" s="508">
        <v>0.36199999999999999</v>
      </c>
      <c r="Y7244" s="508">
        <v>0.28100000000000003</v>
      </c>
      <c r="Z7244" s="508">
        <v>0.19800000000000001</v>
      </c>
      <c r="AA7244" s="508">
        <v>0.17100000000000001</v>
      </c>
      <c r="AB7244" s="508">
        <v>0.13200000000000001</v>
      </c>
      <c r="AC7244" s="508">
        <v>0.109</v>
      </c>
      <c r="AD7244" s="508">
        <v>8.4000000000000005E-2</v>
      </c>
      <c r="AE7244" s="508">
        <v>8.1000000000000003E-2</v>
      </c>
      <c r="AF7244" s="508">
        <v>5.1999999999999998E-2</v>
      </c>
      <c r="AG7244" s="508">
        <v>0.05</v>
      </c>
      <c r="AH7244" s="508">
        <v>4.9000000000000002E-2</v>
      </c>
      <c r="AI7244" s="492">
        <v>4.8000000000000001E-2</v>
      </c>
      <c r="AJ7244" s="485"/>
    </row>
    <row r="7245" spans="2:36">
      <c r="B7245" s="136" t="s">
        <v>467</v>
      </c>
      <c r="C7245" s="132" t="s">
        <v>1383</v>
      </c>
      <c r="D7245" s="132" t="s">
        <v>1381</v>
      </c>
      <c r="E7245" s="508">
        <v>5.8760000000000003</v>
      </c>
      <c r="F7245" s="508">
        <v>3.2240000000000002</v>
      </c>
      <c r="G7245" s="508">
        <v>3.2120000000000002</v>
      </c>
      <c r="H7245" s="508">
        <v>3.2410000000000001</v>
      </c>
      <c r="I7245" s="508">
        <v>3.2429999999999999</v>
      </c>
      <c r="J7245" s="508">
        <v>3.113</v>
      </c>
      <c r="K7245" s="508">
        <v>3.089</v>
      </c>
      <c r="L7245" s="508">
        <v>3.056</v>
      </c>
      <c r="M7245" s="508">
        <v>3.0110000000000001</v>
      </c>
      <c r="N7245" s="508">
        <v>5.2229999999999999</v>
      </c>
      <c r="O7245" s="508">
        <v>5.0330000000000004</v>
      </c>
      <c r="P7245" s="508">
        <v>1.9079999999999999</v>
      </c>
      <c r="Q7245" s="508">
        <v>1.9690000000000001</v>
      </c>
      <c r="R7245" s="508">
        <v>1.8340000000000001</v>
      </c>
      <c r="S7245" s="508">
        <v>1.774</v>
      </c>
      <c r="T7245" s="508">
        <v>1.7090000000000001</v>
      </c>
      <c r="U7245" s="508">
        <v>0.68899999999999995</v>
      </c>
      <c r="V7245" s="508">
        <v>0.62</v>
      </c>
      <c r="W7245" s="508">
        <v>0.625</v>
      </c>
      <c r="X7245" s="508">
        <v>0.44500000000000001</v>
      </c>
      <c r="Y7245" s="508">
        <v>0.36499999999999999</v>
      </c>
      <c r="Z7245" s="508">
        <v>0.23599999999999999</v>
      </c>
      <c r="AA7245" s="508">
        <v>0.21</v>
      </c>
      <c r="AB7245" s="508">
        <v>0.17199999999999999</v>
      </c>
      <c r="AC7245" s="508">
        <v>0.15</v>
      </c>
      <c r="AD7245" s="508">
        <v>0.11899999999999999</v>
      </c>
      <c r="AE7245" s="508">
        <v>0.11</v>
      </c>
      <c r="AF7245" s="508">
        <v>7.8E-2</v>
      </c>
      <c r="AG7245" s="508">
        <v>7.0999999999999994E-2</v>
      </c>
      <c r="AH7245" s="508">
        <v>6.9000000000000006E-2</v>
      </c>
      <c r="AI7245" s="492">
        <v>6.8000000000000005E-2</v>
      </c>
      <c r="AJ7245" s="485"/>
    </row>
    <row r="7246" spans="2:36">
      <c r="B7246" s="136" t="s">
        <v>468</v>
      </c>
      <c r="C7246" s="132" t="s">
        <v>1383</v>
      </c>
      <c r="D7246" s="132" t="s">
        <v>1381</v>
      </c>
      <c r="E7246" s="508">
        <v>97.841999999999999</v>
      </c>
      <c r="F7246" s="508">
        <v>52.055999999999997</v>
      </c>
      <c r="G7246" s="508">
        <v>167.69499999999999</v>
      </c>
      <c r="H7246" s="508">
        <v>46.945</v>
      </c>
      <c r="I7246" s="508">
        <v>97.421000000000006</v>
      </c>
      <c r="J7246" s="508">
        <v>142.751</v>
      </c>
      <c r="K7246" s="508">
        <v>33.293999999999997</v>
      </c>
      <c r="L7246" s="508">
        <v>43.018000000000001</v>
      </c>
      <c r="M7246" s="508">
        <v>79.878</v>
      </c>
      <c r="N7246" s="508">
        <v>133.154</v>
      </c>
      <c r="O7246" s="508">
        <v>46.488</v>
      </c>
      <c r="P7246" s="508">
        <v>56.307000000000002</v>
      </c>
      <c r="Q7246" s="508">
        <v>22.396999999999998</v>
      </c>
      <c r="R7246" s="508">
        <v>30.849</v>
      </c>
      <c r="S7246" s="508">
        <v>20.902999999999999</v>
      </c>
      <c r="T7246" s="508">
        <v>28.587</v>
      </c>
      <c r="U7246" s="508">
        <v>5.8520000000000003</v>
      </c>
      <c r="V7246" s="508">
        <v>11.472</v>
      </c>
      <c r="W7246" s="508">
        <v>10.441000000000001</v>
      </c>
      <c r="X7246" s="508">
        <v>7.2389999999999999</v>
      </c>
      <c r="Y7246" s="508">
        <v>5.2290000000000001</v>
      </c>
      <c r="Z7246" s="508">
        <v>2.968</v>
      </c>
      <c r="AA7246" s="508">
        <v>3.1549999999999998</v>
      </c>
      <c r="AB7246" s="508">
        <v>2.1829999999999998</v>
      </c>
      <c r="AC7246" s="508">
        <v>2.532</v>
      </c>
      <c r="AD7246" s="508">
        <v>2.3759999999999999</v>
      </c>
      <c r="AE7246" s="508">
        <v>1.581</v>
      </c>
      <c r="AF7246" s="508">
        <v>1.0840000000000001</v>
      </c>
      <c r="AG7246" s="508">
        <v>1.01</v>
      </c>
      <c r="AH7246" s="508">
        <v>0.99099999999999999</v>
      </c>
      <c r="AI7246" s="492">
        <v>0.97399999999999998</v>
      </c>
      <c r="AJ7246" s="485"/>
    </row>
    <row r="7247" spans="2:36">
      <c r="B7247" s="136" t="s">
        <v>469</v>
      </c>
      <c r="C7247" s="132" t="s">
        <v>1383</v>
      </c>
      <c r="D7247" s="132" t="s">
        <v>1381</v>
      </c>
      <c r="E7247" s="508">
        <v>5.3</v>
      </c>
      <c r="F7247" s="508">
        <v>2.9790000000000001</v>
      </c>
      <c r="G7247" s="508">
        <v>2.9649999999999999</v>
      </c>
      <c r="H7247" s="508">
        <v>2.9929999999999999</v>
      </c>
      <c r="I7247" s="508">
        <v>2.9980000000000002</v>
      </c>
      <c r="J7247" s="508">
        <v>2.8410000000000002</v>
      </c>
      <c r="K7247" s="508">
        <v>2.819</v>
      </c>
      <c r="L7247" s="508">
        <v>2.7890000000000001</v>
      </c>
      <c r="M7247" s="508">
        <v>2.7490000000000001</v>
      </c>
      <c r="N7247" s="508">
        <v>4.8140000000000001</v>
      </c>
      <c r="O7247" s="508">
        <v>4.6459999999999999</v>
      </c>
      <c r="P7247" s="508">
        <v>2.0139999999999998</v>
      </c>
      <c r="Q7247" s="508">
        <v>2.105</v>
      </c>
      <c r="R7247" s="508">
        <v>1.9890000000000001</v>
      </c>
      <c r="S7247" s="508">
        <v>1.9159999999999999</v>
      </c>
      <c r="T7247" s="508">
        <v>1.8420000000000001</v>
      </c>
      <c r="U7247" s="508">
        <v>0.66900000000000004</v>
      </c>
      <c r="V7247" s="508">
        <v>0.60299999999999998</v>
      </c>
      <c r="W7247" s="508">
        <v>0.61299999999999999</v>
      </c>
      <c r="X7247" s="508">
        <v>0.40500000000000003</v>
      </c>
      <c r="Y7247" s="508">
        <v>0.32100000000000001</v>
      </c>
      <c r="Z7247" s="508">
        <v>0.216</v>
      </c>
      <c r="AA7247" s="508">
        <v>0.192</v>
      </c>
      <c r="AB7247" s="508">
        <v>0.152</v>
      </c>
      <c r="AC7247" s="508">
        <v>0.13100000000000001</v>
      </c>
      <c r="AD7247" s="508">
        <v>9.9000000000000005E-2</v>
      </c>
      <c r="AE7247" s="508">
        <v>9.4E-2</v>
      </c>
      <c r="AF7247" s="508">
        <v>5.8999999999999997E-2</v>
      </c>
      <c r="AG7247" s="508">
        <v>5.5E-2</v>
      </c>
      <c r="AH7247" s="508">
        <v>5.3999999999999999E-2</v>
      </c>
      <c r="AI7247" s="492">
        <v>5.2999999999999999E-2</v>
      </c>
      <c r="AJ7247" s="485"/>
    </row>
    <row r="7248" spans="2:36">
      <c r="B7248" s="136" t="s">
        <v>470</v>
      </c>
      <c r="C7248" s="132" t="s">
        <v>1383</v>
      </c>
      <c r="D7248" s="132" t="s">
        <v>1381</v>
      </c>
      <c r="E7248" s="508">
        <v>2.9630000000000001</v>
      </c>
      <c r="F7248" s="508">
        <v>1.4490000000000001</v>
      </c>
      <c r="G7248" s="508">
        <v>1.381</v>
      </c>
      <c r="H7248" s="508">
        <v>1.395</v>
      </c>
      <c r="I7248" s="508">
        <v>1.415</v>
      </c>
      <c r="J7248" s="508">
        <v>1.4079999999999999</v>
      </c>
      <c r="K7248" s="508">
        <v>1.37</v>
      </c>
      <c r="L7248" s="508">
        <v>1.3140000000000001</v>
      </c>
      <c r="M7248" s="508">
        <v>1.26</v>
      </c>
      <c r="N7248" s="508">
        <v>2.12</v>
      </c>
      <c r="O7248" s="508">
        <v>2.0880000000000001</v>
      </c>
      <c r="P7248" s="508">
        <v>1.8759999999999999</v>
      </c>
      <c r="Q7248" s="508">
        <v>1.9339999999999999</v>
      </c>
      <c r="R7248" s="508">
        <v>1.7909999999999999</v>
      </c>
      <c r="S7248" s="508">
        <v>1.736</v>
      </c>
      <c r="T7248" s="508">
        <v>1.675</v>
      </c>
      <c r="U7248" s="508">
        <v>0.65400000000000003</v>
      </c>
      <c r="V7248" s="508">
        <v>0.58499999999999996</v>
      </c>
      <c r="W7248" s="508">
        <v>0.59099999999999997</v>
      </c>
      <c r="X7248" s="508">
        <v>0.41299999999999998</v>
      </c>
      <c r="Y7248" s="508">
        <v>0.33400000000000002</v>
      </c>
      <c r="Z7248" s="508">
        <v>0.219</v>
      </c>
      <c r="AA7248" s="508">
        <v>0.193</v>
      </c>
      <c r="AB7248" s="508">
        <v>0.155</v>
      </c>
      <c r="AC7248" s="508">
        <v>0.13200000000000001</v>
      </c>
      <c r="AD7248" s="508">
        <v>0.105</v>
      </c>
      <c r="AE7248" s="508">
        <v>9.9000000000000005E-2</v>
      </c>
      <c r="AF7248" s="508">
        <v>6.9000000000000006E-2</v>
      </c>
      <c r="AG7248" s="508">
        <v>6.4000000000000001E-2</v>
      </c>
      <c r="AH7248" s="508">
        <v>6.3E-2</v>
      </c>
      <c r="AI7248" s="492">
        <v>6.2E-2</v>
      </c>
      <c r="AJ7248" s="485"/>
    </row>
    <row r="7249" spans="2:36">
      <c r="B7249" s="136" t="s">
        <v>471</v>
      </c>
      <c r="C7249" s="132" t="s">
        <v>1383</v>
      </c>
      <c r="D7249" s="132" t="s">
        <v>1381</v>
      </c>
      <c r="E7249" s="508">
        <v>129.208</v>
      </c>
      <c r="F7249" s="508">
        <v>71.873999999999995</v>
      </c>
      <c r="G7249" s="508">
        <v>233.255</v>
      </c>
      <c r="H7249" s="508">
        <v>65.313000000000002</v>
      </c>
      <c r="I7249" s="508">
        <v>135.31800000000001</v>
      </c>
      <c r="J7249" s="508">
        <v>194.572</v>
      </c>
      <c r="K7249" s="508">
        <v>45.527000000000001</v>
      </c>
      <c r="L7249" s="508">
        <v>59.13</v>
      </c>
      <c r="M7249" s="508">
        <v>110.21299999999999</v>
      </c>
      <c r="N7249" s="508">
        <v>202.833</v>
      </c>
      <c r="O7249" s="508">
        <v>70.340999999999994</v>
      </c>
      <c r="P7249" s="508">
        <v>70.156999999999996</v>
      </c>
      <c r="Q7249" s="508">
        <v>27.949000000000002</v>
      </c>
      <c r="R7249" s="508">
        <v>39.082999999999998</v>
      </c>
      <c r="S7249" s="508">
        <v>26.370999999999999</v>
      </c>
      <c r="T7249" s="508">
        <v>35.970999999999997</v>
      </c>
      <c r="U7249" s="508">
        <v>6.3920000000000003</v>
      </c>
      <c r="V7249" s="508">
        <v>12.584</v>
      </c>
      <c r="W7249" s="508">
        <v>11.561999999999999</v>
      </c>
      <c r="X7249" s="508">
        <v>7.4180000000000001</v>
      </c>
      <c r="Y7249" s="508">
        <v>5.2270000000000003</v>
      </c>
      <c r="Z7249" s="508">
        <v>3.13</v>
      </c>
      <c r="AA7249" s="508">
        <v>3.306</v>
      </c>
      <c r="AB7249" s="508">
        <v>2.2330000000000001</v>
      </c>
      <c r="AC7249" s="508">
        <v>2.5499999999999998</v>
      </c>
      <c r="AD7249" s="508">
        <v>2.2330000000000001</v>
      </c>
      <c r="AE7249" s="508">
        <v>1.51</v>
      </c>
      <c r="AF7249" s="508">
        <v>0.91100000000000003</v>
      </c>
      <c r="AG7249" s="508">
        <v>0.86299999999999999</v>
      </c>
      <c r="AH7249" s="508">
        <v>0.84699999999999998</v>
      </c>
      <c r="AI7249" s="492">
        <v>0.83399999999999996</v>
      </c>
      <c r="AJ7249" s="485"/>
    </row>
    <row r="7250" spans="2:36">
      <c r="B7250" s="136" t="s">
        <v>472</v>
      </c>
      <c r="C7250" s="132" t="s">
        <v>1383</v>
      </c>
      <c r="D7250" s="132" t="s">
        <v>1381</v>
      </c>
      <c r="E7250" s="508">
        <v>6.2460000000000004</v>
      </c>
      <c r="F7250" s="508">
        <v>3.4329999999999998</v>
      </c>
      <c r="G7250" s="508">
        <v>3.4220000000000002</v>
      </c>
      <c r="H7250" s="508">
        <v>3.4540000000000002</v>
      </c>
      <c r="I7250" s="508">
        <v>3.4550000000000001</v>
      </c>
      <c r="J7250" s="508">
        <v>3.3980000000000001</v>
      </c>
      <c r="K7250" s="508">
        <v>3.371</v>
      </c>
      <c r="L7250" s="508">
        <v>3.3330000000000002</v>
      </c>
      <c r="M7250" s="508">
        <v>3.2810000000000001</v>
      </c>
      <c r="N7250" s="508">
        <v>5.5389999999999997</v>
      </c>
      <c r="O7250" s="508">
        <v>5.3360000000000003</v>
      </c>
      <c r="P7250" s="508">
        <v>2.4470000000000001</v>
      </c>
      <c r="Q7250" s="508">
        <v>2.5329999999999999</v>
      </c>
      <c r="R7250" s="508">
        <v>2.4119999999999999</v>
      </c>
      <c r="S7250" s="508">
        <v>2.319</v>
      </c>
      <c r="T7250" s="508">
        <v>2.2229999999999999</v>
      </c>
      <c r="U7250" s="508">
        <v>0.82299999999999995</v>
      </c>
      <c r="V7250" s="508">
        <v>0.754</v>
      </c>
      <c r="W7250" s="508">
        <v>0.75700000000000001</v>
      </c>
      <c r="X7250" s="508">
        <v>0.54200000000000004</v>
      </c>
      <c r="Y7250" s="508">
        <v>0.45600000000000002</v>
      </c>
      <c r="Z7250" s="508">
        <v>0.30199999999999999</v>
      </c>
      <c r="AA7250" s="508">
        <v>0.27600000000000002</v>
      </c>
      <c r="AB7250" s="508">
        <v>0.23400000000000001</v>
      </c>
      <c r="AC7250" s="508">
        <v>0.21199999999999999</v>
      </c>
      <c r="AD7250" s="508">
        <v>0.16400000000000001</v>
      </c>
      <c r="AE7250" s="508">
        <v>0.14699999999999999</v>
      </c>
      <c r="AF7250" s="508">
        <v>0.1</v>
      </c>
      <c r="AG7250" s="508">
        <v>8.7999999999999995E-2</v>
      </c>
      <c r="AH7250" s="508">
        <v>8.5999999999999993E-2</v>
      </c>
      <c r="AI7250" s="492">
        <v>8.5000000000000006E-2</v>
      </c>
      <c r="AJ7250" s="485"/>
    </row>
    <row r="7251" spans="2:36">
      <c r="B7251" s="136" t="s">
        <v>473</v>
      </c>
      <c r="C7251" s="132" t="s">
        <v>1383</v>
      </c>
      <c r="D7251" s="132" t="s">
        <v>1381</v>
      </c>
      <c r="E7251" s="508">
        <v>5.5350000000000001</v>
      </c>
      <c r="F7251" s="508">
        <v>3.0390000000000001</v>
      </c>
      <c r="G7251" s="508">
        <v>2.7160000000000002</v>
      </c>
      <c r="H7251" s="508">
        <v>2.742</v>
      </c>
      <c r="I7251" s="508">
        <v>2.7509999999999999</v>
      </c>
      <c r="J7251" s="508">
        <v>2.6070000000000002</v>
      </c>
      <c r="K7251" s="508">
        <v>2.5779999999999998</v>
      </c>
      <c r="L7251" s="508">
        <v>2.536</v>
      </c>
      <c r="M7251" s="508">
        <v>2.488</v>
      </c>
      <c r="N7251" s="508">
        <v>4.274</v>
      </c>
      <c r="O7251" s="508">
        <v>4.1399999999999997</v>
      </c>
      <c r="P7251" s="508">
        <v>2.1459999999999999</v>
      </c>
      <c r="Q7251" s="508">
        <v>2.2210000000000001</v>
      </c>
      <c r="R7251" s="508">
        <v>2.0859999999999999</v>
      </c>
      <c r="S7251" s="508">
        <v>2.0129999999999999</v>
      </c>
      <c r="T7251" s="508">
        <v>1.9370000000000001</v>
      </c>
      <c r="U7251" s="508">
        <v>0.67100000000000004</v>
      </c>
      <c r="V7251" s="508">
        <v>0.60399999999999998</v>
      </c>
      <c r="W7251" s="508">
        <v>0.61299999999999999</v>
      </c>
      <c r="X7251" s="508">
        <v>0.41499999999999998</v>
      </c>
      <c r="Y7251" s="508">
        <v>0.33400000000000002</v>
      </c>
      <c r="Z7251" s="508">
        <v>0.221</v>
      </c>
      <c r="AA7251" s="508">
        <v>0.19600000000000001</v>
      </c>
      <c r="AB7251" s="508">
        <v>0.158</v>
      </c>
      <c r="AC7251" s="508">
        <v>0.13500000000000001</v>
      </c>
      <c r="AD7251" s="508">
        <v>0.104</v>
      </c>
      <c r="AE7251" s="508">
        <v>9.8000000000000004E-2</v>
      </c>
      <c r="AF7251" s="508">
        <v>6.4000000000000001E-2</v>
      </c>
      <c r="AG7251" s="508">
        <v>5.8999999999999997E-2</v>
      </c>
      <c r="AH7251" s="508">
        <v>5.8000000000000003E-2</v>
      </c>
      <c r="AI7251" s="492">
        <v>5.7000000000000002E-2</v>
      </c>
      <c r="AJ7251" s="485"/>
    </row>
    <row r="7252" spans="2:36">
      <c r="B7252" s="136" t="s">
        <v>474</v>
      </c>
      <c r="C7252" s="132" t="s">
        <v>1383</v>
      </c>
      <c r="D7252" s="132" t="s">
        <v>1381</v>
      </c>
      <c r="E7252" s="508">
        <v>123.818</v>
      </c>
      <c r="F7252" s="508">
        <v>68.915999999999997</v>
      </c>
      <c r="G7252" s="508">
        <v>223.721</v>
      </c>
      <c r="H7252" s="508">
        <v>62.655999999999999</v>
      </c>
      <c r="I7252" s="508">
        <v>129.84299999999999</v>
      </c>
      <c r="J7252" s="508">
        <v>187.38200000000001</v>
      </c>
      <c r="K7252" s="508">
        <v>43.845999999999997</v>
      </c>
      <c r="L7252" s="508">
        <v>56.954999999999998</v>
      </c>
      <c r="M7252" s="508">
        <v>106.16800000000001</v>
      </c>
      <c r="N7252" s="508">
        <v>194.67500000000001</v>
      </c>
      <c r="O7252" s="508">
        <v>67.512</v>
      </c>
      <c r="P7252" s="508">
        <v>68.784000000000006</v>
      </c>
      <c r="Q7252" s="508">
        <v>27.442</v>
      </c>
      <c r="R7252" s="508">
        <v>38.481000000000002</v>
      </c>
      <c r="S7252" s="508">
        <v>25.946999999999999</v>
      </c>
      <c r="T7252" s="508">
        <v>35.372</v>
      </c>
      <c r="U7252" s="508">
        <v>6.5670000000000002</v>
      </c>
      <c r="V7252" s="508">
        <v>12.964</v>
      </c>
      <c r="W7252" s="508">
        <v>11.884</v>
      </c>
      <c r="X7252" s="508">
        <v>7.69</v>
      </c>
      <c r="Y7252" s="508">
        <v>5.4509999999999996</v>
      </c>
      <c r="Z7252" s="508">
        <v>3.2170000000000001</v>
      </c>
      <c r="AA7252" s="508">
        <v>3.4140000000000001</v>
      </c>
      <c r="AB7252" s="508">
        <v>2.3239999999999998</v>
      </c>
      <c r="AC7252" s="508">
        <v>2.681</v>
      </c>
      <c r="AD7252" s="508">
        <v>2.3460000000000001</v>
      </c>
      <c r="AE7252" s="508">
        <v>1.58</v>
      </c>
      <c r="AF7252" s="508">
        <v>0.95499999999999996</v>
      </c>
      <c r="AG7252" s="508">
        <v>0.90100000000000002</v>
      </c>
      <c r="AH7252" s="508">
        <v>0.88400000000000001</v>
      </c>
      <c r="AI7252" s="492">
        <v>0.86899999999999999</v>
      </c>
      <c r="AJ7252" s="485"/>
    </row>
    <row r="7253" spans="2:36">
      <c r="B7253" s="136" t="s">
        <v>475</v>
      </c>
      <c r="C7253" s="132" t="s">
        <v>1383</v>
      </c>
      <c r="D7253" s="132" t="s">
        <v>1381</v>
      </c>
      <c r="E7253" s="508">
        <v>5.3330000000000002</v>
      </c>
      <c r="F7253" s="508">
        <v>2.9060000000000001</v>
      </c>
      <c r="G7253" s="508">
        <v>2.887</v>
      </c>
      <c r="H7253" s="508">
        <v>2.9129999999999998</v>
      </c>
      <c r="I7253" s="508">
        <v>2.9169999999999998</v>
      </c>
      <c r="J7253" s="508">
        <v>2.7570000000000001</v>
      </c>
      <c r="K7253" s="508">
        <v>2.726</v>
      </c>
      <c r="L7253" s="508">
        <v>2.694</v>
      </c>
      <c r="M7253" s="508">
        <v>2.6520000000000001</v>
      </c>
      <c r="N7253" s="508">
        <v>4.5979999999999999</v>
      </c>
      <c r="O7253" s="508">
        <v>4.4409999999999998</v>
      </c>
      <c r="P7253" s="508">
        <v>1.9570000000000001</v>
      </c>
      <c r="Q7253" s="508">
        <v>2.0369999999999999</v>
      </c>
      <c r="R7253" s="508">
        <v>1.915</v>
      </c>
      <c r="S7253" s="508">
        <v>1.847</v>
      </c>
      <c r="T7253" s="508">
        <v>1.7769999999999999</v>
      </c>
      <c r="U7253" s="508">
        <v>0.63600000000000001</v>
      </c>
      <c r="V7253" s="508">
        <v>0.57199999999999995</v>
      </c>
      <c r="W7253" s="508">
        <v>0.58099999999999996</v>
      </c>
      <c r="X7253" s="508">
        <v>0.38900000000000001</v>
      </c>
      <c r="Y7253" s="508">
        <v>0.309</v>
      </c>
      <c r="Z7253" s="508">
        <v>0.20599999999999999</v>
      </c>
      <c r="AA7253" s="508">
        <v>0.182</v>
      </c>
      <c r="AB7253" s="508">
        <v>0.14499999999999999</v>
      </c>
      <c r="AC7253" s="508">
        <v>0.124</v>
      </c>
      <c r="AD7253" s="508">
        <v>9.5000000000000001E-2</v>
      </c>
      <c r="AE7253" s="508">
        <v>9.0999999999999998E-2</v>
      </c>
      <c r="AF7253" s="508">
        <v>5.8999999999999997E-2</v>
      </c>
      <c r="AG7253" s="508">
        <v>5.5E-2</v>
      </c>
      <c r="AH7253" s="508">
        <v>5.3999999999999999E-2</v>
      </c>
      <c r="AI7253" s="492">
        <v>5.2999999999999999E-2</v>
      </c>
      <c r="AJ7253" s="485"/>
    </row>
    <row r="7254" spans="2:36">
      <c r="B7254" s="136" t="s">
        <v>476</v>
      </c>
      <c r="C7254" s="132" t="s">
        <v>1383</v>
      </c>
      <c r="D7254" s="132" t="s">
        <v>1381</v>
      </c>
      <c r="E7254" s="508">
        <v>5.9340000000000002</v>
      </c>
      <c r="F7254" s="508">
        <v>2.895</v>
      </c>
      <c r="G7254" s="508">
        <v>2.8679999999999999</v>
      </c>
      <c r="H7254" s="508">
        <v>2.895</v>
      </c>
      <c r="I7254" s="508">
        <v>2.9020000000000001</v>
      </c>
      <c r="J7254" s="508">
        <v>2.742</v>
      </c>
      <c r="K7254" s="508">
        <v>2.7149999999999999</v>
      </c>
      <c r="L7254" s="508">
        <v>2.677</v>
      </c>
      <c r="M7254" s="508">
        <v>2.6320000000000001</v>
      </c>
      <c r="N7254" s="508">
        <v>4.4779999999999998</v>
      </c>
      <c r="O7254" s="508">
        <v>4.3330000000000002</v>
      </c>
      <c r="P7254" s="508">
        <v>2.016</v>
      </c>
      <c r="Q7254" s="508">
        <v>2.0880000000000001</v>
      </c>
      <c r="R7254" s="508">
        <v>1.9510000000000001</v>
      </c>
      <c r="S7254" s="508">
        <v>1.8859999999999999</v>
      </c>
      <c r="T7254" s="508">
        <v>1.8160000000000001</v>
      </c>
      <c r="U7254" s="508">
        <v>0.67</v>
      </c>
      <c r="V7254" s="508">
        <v>0.60099999999999998</v>
      </c>
      <c r="W7254" s="508">
        <v>0.60899999999999999</v>
      </c>
      <c r="X7254" s="508">
        <v>0.41699999999999998</v>
      </c>
      <c r="Y7254" s="508">
        <v>0.33500000000000002</v>
      </c>
      <c r="Z7254" s="508">
        <v>0.221</v>
      </c>
      <c r="AA7254" s="508">
        <v>0.19600000000000001</v>
      </c>
      <c r="AB7254" s="508">
        <v>0.157</v>
      </c>
      <c r="AC7254" s="508">
        <v>0.13400000000000001</v>
      </c>
      <c r="AD7254" s="508">
        <v>0.105</v>
      </c>
      <c r="AE7254" s="508">
        <v>9.8000000000000004E-2</v>
      </c>
      <c r="AF7254" s="508">
        <v>6.6000000000000003E-2</v>
      </c>
      <c r="AG7254" s="508">
        <v>6.0999999999999999E-2</v>
      </c>
      <c r="AH7254" s="508">
        <v>0.06</v>
      </c>
      <c r="AI7254" s="492">
        <v>5.8999999999999997E-2</v>
      </c>
      <c r="AJ7254" s="485"/>
    </row>
    <row r="7255" spans="2:36">
      <c r="B7255" s="136" t="s">
        <v>478</v>
      </c>
      <c r="C7255" s="132" t="s">
        <v>1383</v>
      </c>
      <c r="D7255" s="132" t="s">
        <v>1381</v>
      </c>
      <c r="E7255" s="508">
        <v>3.3119999999999998</v>
      </c>
      <c r="F7255" s="508">
        <v>1.665</v>
      </c>
      <c r="G7255" s="508">
        <v>1.605</v>
      </c>
      <c r="H7255" s="508">
        <v>1.621</v>
      </c>
      <c r="I7255" s="508">
        <v>1.6379999999999999</v>
      </c>
      <c r="J7255" s="508">
        <v>1.6040000000000001</v>
      </c>
      <c r="K7255" s="508">
        <v>1.57</v>
      </c>
      <c r="L7255" s="508">
        <v>1.5169999999999999</v>
      </c>
      <c r="M7255" s="508">
        <v>1.466</v>
      </c>
      <c r="N7255" s="508">
        <v>2.5019999999999998</v>
      </c>
      <c r="O7255" s="508">
        <v>2.4500000000000002</v>
      </c>
      <c r="P7255" s="508">
        <v>1.883</v>
      </c>
      <c r="Q7255" s="508">
        <v>1.9430000000000001</v>
      </c>
      <c r="R7255" s="508">
        <v>1.806</v>
      </c>
      <c r="S7255" s="508">
        <v>1.748</v>
      </c>
      <c r="T7255" s="508">
        <v>1.6859999999999999</v>
      </c>
      <c r="U7255" s="508">
        <v>0.67400000000000004</v>
      </c>
      <c r="V7255" s="508">
        <v>0.60399999999999998</v>
      </c>
      <c r="W7255" s="508">
        <v>0.61099999999999999</v>
      </c>
      <c r="X7255" s="508">
        <v>0.42299999999999999</v>
      </c>
      <c r="Y7255" s="508">
        <v>0.34100000000000003</v>
      </c>
      <c r="Z7255" s="508">
        <v>0.22600000000000001</v>
      </c>
      <c r="AA7255" s="508">
        <v>0.19900000000000001</v>
      </c>
      <c r="AB7255" s="508">
        <v>0.161</v>
      </c>
      <c r="AC7255" s="508">
        <v>0.13700000000000001</v>
      </c>
      <c r="AD7255" s="508">
        <v>0.108</v>
      </c>
      <c r="AE7255" s="508">
        <v>0.108</v>
      </c>
      <c r="AF7255" s="508">
        <v>6.9000000000000006E-2</v>
      </c>
      <c r="AG7255" s="508">
        <v>6.4000000000000001E-2</v>
      </c>
      <c r="AH7255" s="508">
        <v>6.3E-2</v>
      </c>
      <c r="AI7255" s="492">
        <v>6.0999999999999999E-2</v>
      </c>
      <c r="AJ7255" s="485"/>
    </row>
    <row r="7256" spans="2:36">
      <c r="B7256" s="136" t="s">
        <v>479</v>
      </c>
      <c r="C7256" s="132" t="s">
        <v>1383</v>
      </c>
      <c r="D7256" s="132" t="s">
        <v>1381</v>
      </c>
      <c r="E7256" s="508">
        <v>5.58</v>
      </c>
      <c r="F7256" s="508">
        <v>3.2240000000000002</v>
      </c>
      <c r="G7256" s="508">
        <v>3.214</v>
      </c>
      <c r="H7256" s="508">
        <v>3.246</v>
      </c>
      <c r="I7256" s="508">
        <v>3.2519999999999998</v>
      </c>
      <c r="J7256" s="508">
        <v>3.0489999999999999</v>
      </c>
      <c r="K7256" s="508">
        <v>3.028</v>
      </c>
      <c r="L7256" s="508">
        <v>3</v>
      </c>
      <c r="M7256" s="508">
        <v>2.9609999999999999</v>
      </c>
      <c r="N7256" s="508">
        <v>5.32</v>
      </c>
      <c r="O7256" s="508">
        <v>5.1289999999999996</v>
      </c>
      <c r="P7256" s="508">
        <v>2.113</v>
      </c>
      <c r="Q7256" s="508">
        <v>2.2170000000000001</v>
      </c>
      <c r="R7256" s="508">
        <v>2.1</v>
      </c>
      <c r="S7256" s="508">
        <v>2.0219999999999998</v>
      </c>
      <c r="T7256" s="508">
        <v>1.9430000000000001</v>
      </c>
      <c r="U7256" s="508">
        <v>0.64</v>
      </c>
      <c r="V7256" s="508">
        <v>0.57499999999999996</v>
      </c>
      <c r="W7256" s="508">
        <v>0.59</v>
      </c>
      <c r="X7256" s="508">
        <v>0.36899999999999999</v>
      </c>
      <c r="Y7256" s="508">
        <v>0.28499999999999998</v>
      </c>
      <c r="Z7256" s="508">
        <v>0.20300000000000001</v>
      </c>
      <c r="AA7256" s="508">
        <v>0.17799999999999999</v>
      </c>
      <c r="AB7256" s="508">
        <v>0.13700000000000001</v>
      </c>
      <c r="AC7256" s="508">
        <v>0.11600000000000001</v>
      </c>
      <c r="AD7256" s="508">
        <v>8.4000000000000005E-2</v>
      </c>
      <c r="AE7256" s="508">
        <v>8.2000000000000003E-2</v>
      </c>
      <c r="AF7256" s="508">
        <v>4.8000000000000001E-2</v>
      </c>
      <c r="AG7256" s="508">
        <v>4.4999999999999998E-2</v>
      </c>
      <c r="AH7256" s="508">
        <v>4.4999999999999998E-2</v>
      </c>
      <c r="AI7256" s="492">
        <v>4.3999999999999997E-2</v>
      </c>
      <c r="AJ7256" s="485"/>
    </row>
    <row r="7257" spans="2:36">
      <c r="B7257" s="136" t="s">
        <v>480</v>
      </c>
      <c r="C7257" s="132" t="s">
        <v>1383</v>
      </c>
      <c r="D7257" s="132" t="s">
        <v>1381</v>
      </c>
      <c r="E7257" s="508">
        <v>6.024</v>
      </c>
      <c r="F7257" s="508">
        <v>3.31</v>
      </c>
      <c r="G7257" s="508">
        <v>3.3</v>
      </c>
      <c r="H7257" s="508">
        <v>3.3319999999999999</v>
      </c>
      <c r="I7257" s="508">
        <v>3.3330000000000002</v>
      </c>
      <c r="J7257" s="508">
        <v>3.262</v>
      </c>
      <c r="K7257" s="508">
        <v>3.2370000000000001</v>
      </c>
      <c r="L7257" s="508">
        <v>3.2029999999999998</v>
      </c>
      <c r="M7257" s="508">
        <v>3.1549999999999998</v>
      </c>
      <c r="N7257" s="508">
        <v>5.431</v>
      </c>
      <c r="O7257" s="508">
        <v>5.2309999999999999</v>
      </c>
      <c r="P7257" s="508">
        <v>2.3330000000000002</v>
      </c>
      <c r="Q7257" s="508">
        <v>2.4289999999999998</v>
      </c>
      <c r="R7257" s="508">
        <v>2.3130000000000002</v>
      </c>
      <c r="S7257" s="508">
        <v>2.2240000000000002</v>
      </c>
      <c r="T7257" s="508">
        <v>2.133</v>
      </c>
      <c r="U7257" s="508">
        <v>0.755</v>
      </c>
      <c r="V7257" s="508">
        <v>0.69</v>
      </c>
      <c r="W7257" s="508">
        <v>0.69499999999999995</v>
      </c>
      <c r="X7257" s="508">
        <v>0.48299999999999998</v>
      </c>
      <c r="Y7257" s="508">
        <v>0.39900000000000002</v>
      </c>
      <c r="Z7257" s="508">
        <v>0.25800000000000001</v>
      </c>
      <c r="AA7257" s="508">
        <v>0.23400000000000001</v>
      </c>
      <c r="AB7257" s="508">
        <v>0.19400000000000001</v>
      </c>
      <c r="AC7257" s="508">
        <v>0.17299999999999999</v>
      </c>
      <c r="AD7257" s="508">
        <v>0.13300000000000001</v>
      </c>
      <c r="AE7257" s="508">
        <v>0.122</v>
      </c>
      <c r="AF7257" s="508">
        <v>8.1000000000000003E-2</v>
      </c>
      <c r="AG7257" s="508">
        <v>7.2999999999999995E-2</v>
      </c>
      <c r="AH7257" s="508">
        <v>7.0999999999999994E-2</v>
      </c>
      <c r="AI7257" s="492">
        <v>7.0000000000000007E-2</v>
      </c>
      <c r="AJ7257" s="485"/>
    </row>
    <row r="7258" spans="2:36">
      <c r="B7258" s="136" t="s">
        <v>481</v>
      </c>
      <c r="C7258" s="132" t="s">
        <v>1383</v>
      </c>
      <c r="D7258" s="132" t="s">
        <v>1381</v>
      </c>
      <c r="E7258" s="508">
        <v>5.4630000000000001</v>
      </c>
      <c r="F7258" s="508">
        <v>3.093</v>
      </c>
      <c r="G7258" s="508">
        <v>3.0760000000000001</v>
      </c>
      <c r="H7258" s="508">
        <v>3.1059999999999999</v>
      </c>
      <c r="I7258" s="508">
        <v>3.1120000000000001</v>
      </c>
      <c r="J7258" s="508">
        <v>2.919</v>
      </c>
      <c r="K7258" s="508">
        <v>2.8959999999999999</v>
      </c>
      <c r="L7258" s="508">
        <v>2.8639999999999999</v>
      </c>
      <c r="M7258" s="508">
        <v>2.823</v>
      </c>
      <c r="N7258" s="508">
        <v>4.95</v>
      </c>
      <c r="O7258" s="508">
        <v>4.78</v>
      </c>
      <c r="P7258" s="508">
        <v>2.0489999999999999</v>
      </c>
      <c r="Q7258" s="508">
        <v>2.1379999999999999</v>
      </c>
      <c r="R7258" s="508">
        <v>2.012</v>
      </c>
      <c r="S7258" s="508">
        <v>1.9410000000000001</v>
      </c>
      <c r="T7258" s="508">
        <v>1.867</v>
      </c>
      <c r="U7258" s="508">
        <v>0.626</v>
      </c>
      <c r="V7258" s="508">
        <v>0.56100000000000005</v>
      </c>
      <c r="W7258" s="508">
        <v>0.57299999999999995</v>
      </c>
      <c r="X7258" s="508">
        <v>0.372</v>
      </c>
      <c r="Y7258" s="508">
        <v>0.29099999999999998</v>
      </c>
      <c r="Z7258" s="508">
        <v>0.20100000000000001</v>
      </c>
      <c r="AA7258" s="508">
        <v>0.17699999999999999</v>
      </c>
      <c r="AB7258" s="508">
        <v>0.13800000000000001</v>
      </c>
      <c r="AC7258" s="508">
        <v>0.11600000000000001</v>
      </c>
      <c r="AD7258" s="508">
        <v>8.7999999999999995E-2</v>
      </c>
      <c r="AE7258" s="508">
        <v>8.4000000000000005E-2</v>
      </c>
      <c r="AF7258" s="508">
        <v>5.1999999999999998E-2</v>
      </c>
      <c r="AG7258" s="508">
        <v>4.9000000000000002E-2</v>
      </c>
      <c r="AH7258" s="508">
        <v>4.9000000000000002E-2</v>
      </c>
      <c r="AI7258" s="492">
        <v>4.8000000000000001E-2</v>
      </c>
      <c r="AJ7258" s="485"/>
    </row>
    <row r="7259" spans="2:36">
      <c r="B7259" s="136" t="s">
        <v>482</v>
      </c>
      <c r="C7259" s="132" t="s">
        <v>1383</v>
      </c>
      <c r="D7259" s="132" t="s">
        <v>1381</v>
      </c>
      <c r="E7259" s="508">
        <v>119.09699999999999</v>
      </c>
      <c r="F7259" s="508">
        <v>68.147999999999996</v>
      </c>
      <c r="G7259" s="508">
        <v>186.34</v>
      </c>
      <c r="H7259" s="508">
        <v>52.210999999999999</v>
      </c>
      <c r="I7259" s="508">
        <v>108.458</v>
      </c>
      <c r="J7259" s="508">
        <v>155.41499999999999</v>
      </c>
      <c r="K7259" s="508">
        <v>36.283999999999999</v>
      </c>
      <c r="L7259" s="508">
        <v>46.975999999999999</v>
      </c>
      <c r="M7259" s="508">
        <v>87.361999999999995</v>
      </c>
      <c r="N7259" s="508">
        <v>159.05000000000001</v>
      </c>
      <c r="O7259" s="508">
        <v>55.37</v>
      </c>
      <c r="P7259" s="508">
        <v>61.692</v>
      </c>
      <c r="Q7259" s="508">
        <v>24.664000000000001</v>
      </c>
      <c r="R7259" s="508">
        <v>34.207000000000001</v>
      </c>
      <c r="S7259" s="508">
        <v>23.135000000000002</v>
      </c>
      <c r="T7259" s="508">
        <v>31.617999999999999</v>
      </c>
      <c r="U7259" s="508">
        <v>5.7729999999999997</v>
      </c>
      <c r="V7259" s="508">
        <v>11.256</v>
      </c>
      <c r="W7259" s="508">
        <v>10.388999999999999</v>
      </c>
      <c r="X7259" s="508">
        <v>6.5439999999999996</v>
      </c>
      <c r="Y7259" s="508">
        <v>4.4909999999999997</v>
      </c>
      <c r="Z7259" s="508">
        <v>2.835</v>
      </c>
      <c r="AA7259" s="508">
        <v>2.9609999999999999</v>
      </c>
      <c r="AB7259" s="508">
        <v>1.9530000000000001</v>
      </c>
      <c r="AC7259" s="508">
        <v>2.1779999999999999</v>
      </c>
      <c r="AD7259" s="508">
        <v>1.911</v>
      </c>
      <c r="AE7259" s="508">
        <v>1.31</v>
      </c>
      <c r="AF7259" s="508">
        <v>0.78300000000000003</v>
      </c>
      <c r="AG7259" s="508">
        <v>0.754</v>
      </c>
      <c r="AH7259" s="508">
        <v>0.74399999999999999</v>
      </c>
      <c r="AI7259" s="492">
        <v>0.73199999999999998</v>
      </c>
      <c r="AJ7259" s="485"/>
    </row>
    <row r="7260" spans="2:36">
      <c r="B7260" s="136" t="s">
        <v>483</v>
      </c>
      <c r="C7260" s="132" t="s">
        <v>1383</v>
      </c>
      <c r="D7260" s="132" t="s">
        <v>1381</v>
      </c>
      <c r="E7260" s="508">
        <v>5.0949999999999998</v>
      </c>
      <c r="F7260" s="508">
        <v>2.7679999999999998</v>
      </c>
      <c r="G7260" s="508">
        <v>2.7360000000000002</v>
      </c>
      <c r="H7260" s="508">
        <v>2.762</v>
      </c>
      <c r="I7260" s="508">
        <v>2.7709999999999999</v>
      </c>
      <c r="J7260" s="508">
        <v>2.6160000000000001</v>
      </c>
      <c r="K7260" s="508">
        <v>2.5880000000000001</v>
      </c>
      <c r="L7260" s="508">
        <v>2.548</v>
      </c>
      <c r="M7260" s="508">
        <v>2.5019999999999998</v>
      </c>
      <c r="N7260" s="508">
        <v>4.1879999999999997</v>
      </c>
      <c r="O7260" s="508">
        <v>4.0599999999999996</v>
      </c>
      <c r="P7260" s="508">
        <v>2.0710000000000002</v>
      </c>
      <c r="Q7260" s="508">
        <v>2.14</v>
      </c>
      <c r="R7260" s="508">
        <v>2.004</v>
      </c>
      <c r="S7260" s="508">
        <v>1.9359999999999999</v>
      </c>
      <c r="T7260" s="508">
        <v>1.8640000000000001</v>
      </c>
      <c r="U7260" s="508">
        <v>0.69599999999999995</v>
      </c>
      <c r="V7260" s="508">
        <v>0.626</v>
      </c>
      <c r="W7260" s="508">
        <v>0.63300000000000001</v>
      </c>
      <c r="X7260" s="508">
        <v>0.436</v>
      </c>
      <c r="Y7260" s="508">
        <v>0.35299999999999998</v>
      </c>
      <c r="Z7260" s="508">
        <v>0.23200000000000001</v>
      </c>
      <c r="AA7260" s="508">
        <v>0.20599999999999999</v>
      </c>
      <c r="AB7260" s="508">
        <v>0.16700000000000001</v>
      </c>
      <c r="AC7260" s="508">
        <v>0.14399999999999999</v>
      </c>
      <c r="AD7260" s="508">
        <v>0.112</v>
      </c>
      <c r="AE7260" s="508">
        <v>0.105</v>
      </c>
      <c r="AF7260" s="508">
        <v>7.0000000000000007E-2</v>
      </c>
      <c r="AG7260" s="508">
        <v>6.4000000000000001E-2</v>
      </c>
      <c r="AH7260" s="508">
        <v>6.3E-2</v>
      </c>
      <c r="AI7260" s="492">
        <v>6.2E-2</v>
      </c>
      <c r="AJ7260" s="485"/>
    </row>
    <row r="7261" spans="2:36">
      <c r="B7261" s="136" t="s">
        <v>484</v>
      </c>
      <c r="C7261" s="132" t="s">
        <v>1383</v>
      </c>
      <c r="D7261" s="132" t="s">
        <v>1381</v>
      </c>
      <c r="E7261" s="508">
        <v>6.0819999999999999</v>
      </c>
      <c r="F7261" s="508">
        <v>3.3260000000000001</v>
      </c>
      <c r="G7261" s="508">
        <v>3.3149999999999999</v>
      </c>
      <c r="H7261" s="508">
        <v>3.3460000000000001</v>
      </c>
      <c r="I7261" s="508">
        <v>3.347</v>
      </c>
      <c r="J7261" s="508">
        <v>3.2650000000000001</v>
      </c>
      <c r="K7261" s="508">
        <v>3.24</v>
      </c>
      <c r="L7261" s="508">
        <v>3.2050000000000001</v>
      </c>
      <c r="M7261" s="508">
        <v>3.157</v>
      </c>
      <c r="N7261" s="508">
        <v>5.4349999999999996</v>
      </c>
      <c r="O7261" s="508">
        <v>5.2350000000000003</v>
      </c>
      <c r="P7261" s="508">
        <v>2.048</v>
      </c>
      <c r="Q7261" s="508">
        <v>2.1190000000000002</v>
      </c>
      <c r="R7261" s="508">
        <v>1.984</v>
      </c>
      <c r="S7261" s="508">
        <v>1.917</v>
      </c>
      <c r="T7261" s="508">
        <v>1.8440000000000001</v>
      </c>
      <c r="U7261" s="508">
        <v>0.71499999999999997</v>
      </c>
      <c r="V7261" s="508">
        <v>0.64800000000000002</v>
      </c>
      <c r="W7261" s="508">
        <v>0.65100000000000002</v>
      </c>
      <c r="X7261" s="508">
        <v>0.46899999999999997</v>
      </c>
      <c r="Y7261" s="508">
        <v>0.38800000000000001</v>
      </c>
      <c r="Z7261" s="508">
        <v>0.25</v>
      </c>
      <c r="AA7261" s="508">
        <v>0.22500000000000001</v>
      </c>
      <c r="AB7261" s="508">
        <v>0.187</v>
      </c>
      <c r="AC7261" s="508">
        <v>0.16600000000000001</v>
      </c>
      <c r="AD7261" s="508">
        <v>0.13200000000000001</v>
      </c>
      <c r="AE7261" s="508">
        <v>0.12</v>
      </c>
      <c r="AF7261" s="508">
        <v>8.5000000000000006E-2</v>
      </c>
      <c r="AG7261" s="508">
        <v>7.6999999999999999E-2</v>
      </c>
      <c r="AH7261" s="508">
        <v>7.4999999999999997E-2</v>
      </c>
      <c r="AI7261" s="492">
        <v>7.3999999999999996E-2</v>
      </c>
      <c r="AJ7261" s="485"/>
    </row>
    <row r="7262" spans="2:36">
      <c r="B7262" s="136" t="s">
        <v>486</v>
      </c>
      <c r="C7262" s="132" t="s">
        <v>1383</v>
      </c>
      <c r="D7262" s="132" t="s">
        <v>1381</v>
      </c>
      <c r="E7262" s="508">
        <v>115.312</v>
      </c>
      <c r="F7262" s="508">
        <v>62.695</v>
      </c>
      <c r="G7262" s="508">
        <v>202.59899999999999</v>
      </c>
      <c r="H7262" s="508">
        <v>56.725000000000001</v>
      </c>
      <c r="I7262" s="508">
        <v>117.63</v>
      </c>
      <c r="J7262" s="508">
        <v>170.37899999999999</v>
      </c>
      <c r="K7262" s="508">
        <v>39.790999999999997</v>
      </c>
      <c r="L7262" s="508">
        <v>51.521999999999998</v>
      </c>
      <c r="M7262" s="508">
        <v>95.793999999999997</v>
      </c>
      <c r="N7262" s="508">
        <v>172.583</v>
      </c>
      <c r="O7262" s="508">
        <v>59.988</v>
      </c>
      <c r="P7262" s="508">
        <v>68.215000000000003</v>
      </c>
      <c r="Q7262" s="508">
        <v>27.122</v>
      </c>
      <c r="R7262" s="508">
        <v>37.872999999999998</v>
      </c>
      <c r="S7262" s="508">
        <v>25.567</v>
      </c>
      <c r="T7262" s="508">
        <v>34.878999999999998</v>
      </c>
      <c r="U7262" s="508">
        <v>6.548</v>
      </c>
      <c r="V7262" s="508">
        <v>12.904999999999999</v>
      </c>
      <c r="W7262" s="508">
        <v>11.821</v>
      </c>
      <c r="X7262" s="508">
        <v>7.7629999999999999</v>
      </c>
      <c r="Y7262" s="508">
        <v>5.5410000000000004</v>
      </c>
      <c r="Z7262" s="508">
        <v>3.2440000000000002</v>
      </c>
      <c r="AA7262" s="508">
        <v>3.4390000000000001</v>
      </c>
      <c r="AB7262" s="508">
        <v>2.3540000000000001</v>
      </c>
      <c r="AC7262" s="508">
        <v>2.7109999999999999</v>
      </c>
      <c r="AD7262" s="508">
        <v>2.4119999999999999</v>
      </c>
      <c r="AE7262" s="508">
        <v>1.619</v>
      </c>
      <c r="AF7262" s="508">
        <v>1.008</v>
      </c>
      <c r="AG7262" s="508">
        <v>0.94699999999999995</v>
      </c>
      <c r="AH7262" s="508">
        <v>0.93</v>
      </c>
      <c r="AI7262" s="492">
        <v>0.91500000000000004</v>
      </c>
      <c r="AJ7262" s="485"/>
    </row>
    <row r="7263" spans="2:36">
      <c r="B7263" s="136" t="s">
        <v>487</v>
      </c>
      <c r="C7263" s="132" t="s">
        <v>1383</v>
      </c>
      <c r="D7263" s="132" t="s">
        <v>1381</v>
      </c>
      <c r="E7263" s="508">
        <v>5.9390000000000001</v>
      </c>
      <c r="F7263" s="508">
        <v>3.2389999999999999</v>
      </c>
      <c r="G7263" s="508">
        <v>2.72</v>
      </c>
      <c r="H7263" s="508">
        <v>2.7450000000000001</v>
      </c>
      <c r="I7263" s="508">
        <v>2.7509999999999999</v>
      </c>
      <c r="J7263" s="508">
        <v>2.6139999999999999</v>
      </c>
      <c r="K7263" s="508">
        <v>2.5880000000000001</v>
      </c>
      <c r="L7263" s="508">
        <v>2.5510000000000002</v>
      </c>
      <c r="M7263" s="508">
        <v>2.5059999999999998</v>
      </c>
      <c r="N7263" s="508">
        <v>4.3440000000000003</v>
      </c>
      <c r="O7263" s="508">
        <v>4.2009999999999996</v>
      </c>
      <c r="P7263" s="508">
        <v>2.0219999999999998</v>
      </c>
      <c r="Q7263" s="508">
        <v>2.1</v>
      </c>
      <c r="R7263" s="508">
        <v>1.974</v>
      </c>
      <c r="S7263" s="508">
        <v>1.905</v>
      </c>
      <c r="T7263" s="508">
        <v>1.8320000000000001</v>
      </c>
      <c r="U7263" s="508">
        <v>0.65800000000000003</v>
      </c>
      <c r="V7263" s="508">
        <v>0.59199999999999997</v>
      </c>
      <c r="W7263" s="508">
        <v>0.6</v>
      </c>
      <c r="X7263" s="508">
        <v>0.40500000000000003</v>
      </c>
      <c r="Y7263" s="508">
        <v>0.32300000000000001</v>
      </c>
      <c r="Z7263" s="508">
        <v>0.214</v>
      </c>
      <c r="AA7263" s="508">
        <v>0.189</v>
      </c>
      <c r="AB7263" s="508">
        <v>0.151</v>
      </c>
      <c r="AC7263" s="508">
        <v>0.13</v>
      </c>
      <c r="AD7263" s="508">
        <v>0.1</v>
      </c>
      <c r="AE7263" s="508">
        <v>9.8000000000000004E-2</v>
      </c>
      <c r="AF7263" s="508">
        <v>6.2E-2</v>
      </c>
      <c r="AG7263" s="508">
        <v>5.8000000000000003E-2</v>
      </c>
      <c r="AH7263" s="508">
        <v>5.7000000000000002E-2</v>
      </c>
      <c r="AI7263" s="492">
        <v>5.6000000000000001E-2</v>
      </c>
      <c r="AJ7263" s="485"/>
    </row>
    <row r="7264" spans="2:36">
      <c r="B7264" s="136" t="s">
        <v>488</v>
      </c>
      <c r="C7264" s="132" t="s">
        <v>1383</v>
      </c>
      <c r="D7264" s="132" t="s">
        <v>1381</v>
      </c>
      <c r="E7264" s="508">
        <v>5.7619999999999996</v>
      </c>
      <c r="F7264" s="508">
        <v>3.2050000000000001</v>
      </c>
      <c r="G7264" s="508">
        <v>3.1949999999999998</v>
      </c>
      <c r="H7264" s="508">
        <v>3.2250000000000001</v>
      </c>
      <c r="I7264" s="508">
        <v>3.2269999999999999</v>
      </c>
      <c r="J7264" s="508">
        <v>3.0979999999999999</v>
      </c>
      <c r="K7264" s="508">
        <v>3.0750000000000002</v>
      </c>
      <c r="L7264" s="508">
        <v>3.044</v>
      </c>
      <c r="M7264" s="508">
        <v>3.0009999999999999</v>
      </c>
      <c r="N7264" s="508">
        <v>5.3049999999999997</v>
      </c>
      <c r="O7264" s="508">
        <v>5.1100000000000003</v>
      </c>
      <c r="P7264" s="508">
        <v>2.1850000000000001</v>
      </c>
      <c r="Q7264" s="508">
        <v>2.2850000000000001</v>
      </c>
      <c r="R7264" s="508">
        <v>2.1720000000000002</v>
      </c>
      <c r="S7264" s="508">
        <v>2.089</v>
      </c>
      <c r="T7264" s="508">
        <v>2.0049999999999999</v>
      </c>
      <c r="U7264" s="508">
        <v>0.67300000000000004</v>
      </c>
      <c r="V7264" s="508">
        <v>0.61</v>
      </c>
      <c r="W7264" s="508">
        <v>0.62</v>
      </c>
      <c r="X7264" s="508">
        <v>0.41</v>
      </c>
      <c r="Y7264" s="508">
        <v>0.32800000000000001</v>
      </c>
      <c r="Z7264" s="508">
        <v>0.217</v>
      </c>
      <c r="AA7264" s="508">
        <v>0.19400000000000001</v>
      </c>
      <c r="AB7264" s="508">
        <v>0.155</v>
      </c>
      <c r="AC7264" s="508">
        <v>0.13500000000000001</v>
      </c>
      <c r="AD7264" s="508">
        <v>0.10199999999999999</v>
      </c>
      <c r="AE7264" s="508">
        <v>9.6000000000000002E-2</v>
      </c>
      <c r="AF7264" s="508">
        <v>0.06</v>
      </c>
      <c r="AG7264" s="508">
        <v>5.6000000000000001E-2</v>
      </c>
      <c r="AH7264" s="508">
        <v>5.5E-2</v>
      </c>
      <c r="AI7264" s="492">
        <v>5.3999999999999999E-2</v>
      </c>
      <c r="AJ7264" s="485"/>
    </row>
    <row r="7265" spans="2:36">
      <c r="B7265" s="136" t="s">
        <v>489</v>
      </c>
      <c r="C7265" s="132" t="s">
        <v>1383</v>
      </c>
      <c r="D7265" s="132" t="s">
        <v>1381</v>
      </c>
      <c r="E7265" s="508">
        <v>137.57900000000001</v>
      </c>
      <c r="F7265" s="508">
        <v>73.661000000000001</v>
      </c>
      <c r="G7265" s="508">
        <v>239.035</v>
      </c>
      <c r="H7265" s="508">
        <v>66.911000000000001</v>
      </c>
      <c r="I7265" s="508">
        <v>138.49299999999999</v>
      </c>
      <c r="J7265" s="508">
        <v>205.36799999999999</v>
      </c>
      <c r="K7265" s="508">
        <v>48.024999999999999</v>
      </c>
      <c r="L7265" s="508">
        <v>62.295000000000002</v>
      </c>
      <c r="M7265" s="508">
        <v>115.941</v>
      </c>
      <c r="N7265" s="508">
        <v>205.47</v>
      </c>
      <c r="O7265" s="508">
        <v>71.209000000000003</v>
      </c>
      <c r="P7265" s="508">
        <v>74.481999999999999</v>
      </c>
      <c r="Q7265" s="508">
        <v>29.417000000000002</v>
      </c>
      <c r="R7265" s="508">
        <v>41.191000000000003</v>
      </c>
      <c r="S7265" s="508">
        <v>27.783999999999999</v>
      </c>
      <c r="T7265" s="508">
        <v>37.856999999999999</v>
      </c>
      <c r="U7265" s="508">
        <v>7.2930000000000001</v>
      </c>
      <c r="V7265" s="508">
        <v>14.529</v>
      </c>
      <c r="W7265" s="508">
        <v>13.164</v>
      </c>
      <c r="X7265" s="508">
        <v>9.2469999999999999</v>
      </c>
      <c r="Y7265" s="508">
        <v>6.9050000000000002</v>
      </c>
      <c r="Z7265" s="508">
        <v>3.84</v>
      </c>
      <c r="AA7265" s="508">
        <v>4.1449999999999996</v>
      </c>
      <c r="AB7265" s="508">
        <v>2.98</v>
      </c>
      <c r="AC7265" s="508">
        <v>3.5640000000000001</v>
      </c>
      <c r="AD7265" s="508">
        <v>3.2639999999999998</v>
      </c>
      <c r="AE7265" s="508">
        <v>2.109</v>
      </c>
      <c r="AF7265" s="508">
        <v>1.4159999999999999</v>
      </c>
      <c r="AG7265" s="508">
        <v>1.282</v>
      </c>
      <c r="AH7265" s="508">
        <v>1.2569999999999999</v>
      </c>
      <c r="AI7265" s="492">
        <v>1.2350000000000001</v>
      </c>
      <c r="AJ7265" s="485"/>
    </row>
    <row r="7266" spans="2:36">
      <c r="B7266" s="136" t="s">
        <v>490</v>
      </c>
      <c r="C7266" s="132" t="s">
        <v>1383</v>
      </c>
      <c r="D7266" s="132" t="s">
        <v>1381</v>
      </c>
      <c r="E7266" s="508">
        <v>5.9630000000000001</v>
      </c>
      <c r="F7266" s="508">
        <v>3.2490000000000001</v>
      </c>
      <c r="G7266" s="508">
        <v>3.238</v>
      </c>
      <c r="H7266" s="508">
        <v>3.2679999999999998</v>
      </c>
      <c r="I7266" s="508">
        <v>3.27</v>
      </c>
      <c r="J7266" s="508">
        <v>3.1960000000000002</v>
      </c>
      <c r="K7266" s="508">
        <v>3.1720000000000002</v>
      </c>
      <c r="L7266" s="508">
        <v>3.1379999999999999</v>
      </c>
      <c r="M7266" s="508">
        <v>3.0910000000000002</v>
      </c>
      <c r="N7266" s="508">
        <v>5.3150000000000004</v>
      </c>
      <c r="O7266" s="508">
        <v>5.1189999999999998</v>
      </c>
      <c r="P7266" s="508">
        <v>2.2839999999999998</v>
      </c>
      <c r="Q7266" s="508">
        <v>2.3769999999999998</v>
      </c>
      <c r="R7266" s="508">
        <v>2.2639999999999998</v>
      </c>
      <c r="S7266" s="508">
        <v>2.177</v>
      </c>
      <c r="T7266" s="508">
        <v>2.0870000000000002</v>
      </c>
      <c r="U7266" s="508">
        <v>0.78100000000000003</v>
      </c>
      <c r="V7266" s="508">
        <v>0.71299999999999997</v>
      </c>
      <c r="W7266" s="508">
        <v>0.71799999999999997</v>
      </c>
      <c r="X7266" s="508">
        <v>0.503</v>
      </c>
      <c r="Y7266" s="508">
        <v>0.41699999999999998</v>
      </c>
      <c r="Z7266" s="508">
        <v>0.26500000000000001</v>
      </c>
      <c r="AA7266" s="508">
        <v>0.24</v>
      </c>
      <c r="AB7266" s="508">
        <v>0.19900000000000001</v>
      </c>
      <c r="AC7266" s="508">
        <v>0.17799999999999999</v>
      </c>
      <c r="AD7266" s="508">
        <v>0.13700000000000001</v>
      </c>
      <c r="AE7266" s="508">
        <v>0.126</v>
      </c>
      <c r="AF7266" s="508">
        <v>8.4000000000000005E-2</v>
      </c>
      <c r="AG7266" s="508">
        <v>7.5999999999999998E-2</v>
      </c>
      <c r="AH7266" s="508">
        <v>7.3999999999999996E-2</v>
      </c>
      <c r="AI7266" s="492">
        <v>7.2999999999999995E-2</v>
      </c>
      <c r="AJ7266" s="485"/>
    </row>
    <row r="7267" spans="2:36">
      <c r="B7267" s="136" t="s">
        <v>435</v>
      </c>
      <c r="C7267" s="132" t="s">
        <v>1366</v>
      </c>
      <c r="D7267" s="132" t="s">
        <v>1381</v>
      </c>
      <c r="E7267" s="508">
        <v>3.5129999999999999</v>
      </c>
      <c r="F7267" s="508">
        <v>2.742</v>
      </c>
      <c r="G7267" s="508">
        <v>2.7240000000000002</v>
      </c>
      <c r="H7267" s="508">
        <v>2.702</v>
      </c>
      <c r="I7267" s="508">
        <v>2.6680000000000001</v>
      </c>
      <c r="J7267" s="508">
        <v>2.0350000000000001</v>
      </c>
      <c r="K7267" s="508">
        <v>1.9970000000000001</v>
      </c>
      <c r="L7267" s="508">
        <v>1.956</v>
      </c>
      <c r="M7267" s="508">
        <v>1.9139999999999999</v>
      </c>
      <c r="N7267" s="508">
        <v>1.86</v>
      </c>
      <c r="O7267" s="508">
        <v>1.8109999999999999</v>
      </c>
      <c r="P7267" s="508">
        <v>1.2370000000000001</v>
      </c>
      <c r="Q7267" s="508">
        <v>1.1990000000000001</v>
      </c>
      <c r="R7267" s="508">
        <v>1.1639999999999999</v>
      </c>
      <c r="S7267" s="508">
        <v>1.1299999999999999</v>
      </c>
      <c r="T7267" s="508">
        <v>1.0980000000000001</v>
      </c>
      <c r="U7267" s="508">
        <v>0.47</v>
      </c>
      <c r="V7267" s="508">
        <v>0.42899999999999999</v>
      </c>
      <c r="W7267" s="508">
        <v>0.39500000000000002</v>
      </c>
      <c r="X7267" s="508">
        <v>0.32400000000000001</v>
      </c>
      <c r="Y7267" s="508">
        <v>0.30399999999999999</v>
      </c>
      <c r="Z7267" s="508">
        <v>0.22700000000000001</v>
      </c>
      <c r="AA7267" s="508">
        <v>0.114</v>
      </c>
      <c r="AB7267" s="508">
        <v>9.1999999999999998E-2</v>
      </c>
      <c r="AC7267" s="508">
        <v>8.7999999999999995E-2</v>
      </c>
      <c r="AD7267" s="508">
        <v>6.8000000000000005E-2</v>
      </c>
      <c r="AE7267" s="508">
        <v>6.7000000000000004E-2</v>
      </c>
      <c r="AF7267" s="508">
        <v>4.7E-2</v>
      </c>
      <c r="AG7267" s="508">
        <v>4.5999999999999999E-2</v>
      </c>
      <c r="AH7267" s="508">
        <v>4.4999999999999998E-2</v>
      </c>
      <c r="AI7267" s="492">
        <v>4.3999999999999997E-2</v>
      </c>
      <c r="AJ7267" s="485"/>
    </row>
    <row r="7268" spans="2:36">
      <c r="B7268" s="136" t="s">
        <v>436</v>
      </c>
      <c r="C7268" s="132" t="s">
        <v>1366</v>
      </c>
      <c r="D7268" s="132" t="s">
        <v>1381</v>
      </c>
      <c r="E7268" s="508">
        <v>3.6829999999999998</v>
      </c>
      <c r="F7268" s="508">
        <v>2.9340000000000002</v>
      </c>
      <c r="G7268" s="508">
        <v>2.9169999999999998</v>
      </c>
      <c r="H7268" s="508">
        <v>2.8879999999999999</v>
      </c>
      <c r="I7268" s="508">
        <v>2.85</v>
      </c>
      <c r="J7268" s="508">
        <v>2.2320000000000002</v>
      </c>
      <c r="K7268" s="508">
        <v>2.1859999999999999</v>
      </c>
      <c r="L7268" s="508">
        <v>2.137</v>
      </c>
      <c r="M7268" s="508">
        <v>2.0859999999999999</v>
      </c>
      <c r="N7268" s="508">
        <v>2.028</v>
      </c>
      <c r="O7268" s="508">
        <v>1.9710000000000001</v>
      </c>
      <c r="P7268" s="508">
        <v>1.405</v>
      </c>
      <c r="Q7268" s="508">
        <v>1.36</v>
      </c>
      <c r="R7268" s="508">
        <v>1.3169999999999999</v>
      </c>
      <c r="S7268" s="508">
        <v>1.2749999999999999</v>
      </c>
      <c r="T7268" s="508">
        <v>1.236</v>
      </c>
      <c r="U7268" s="508">
        <v>0.61399999999999999</v>
      </c>
      <c r="V7268" s="508">
        <v>0.56699999999999995</v>
      </c>
      <c r="W7268" s="508">
        <v>0.52800000000000002</v>
      </c>
      <c r="X7268" s="508">
        <v>0.45100000000000001</v>
      </c>
      <c r="Y7268" s="508">
        <v>0.42599999999999999</v>
      </c>
      <c r="Z7268" s="508">
        <v>0.33900000000000002</v>
      </c>
      <c r="AA7268" s="508">
        <v>0.17100000000000001</v>
      </c>
      <c r="AB7268" s="508">
        <v>0.14799999999999999</v>
      </c>
      <c r="AC7268" s="508">
        <v>0.14199999999999999</v>
      </c>
      <c r="AD7268" s="508">
        <v>0.12</v>
      </c>
      <c r="AE7268" s="508">
        <v>0.11799999999999999</v>
      </c>
      <c r="AF7268" s="508">
        <v>9.6000000000000002E-2</v>
      </c>
      <c r="AG7268" s="508">
        <v>9.4E-2</v>
      </c>
      <c r="AH7268" s="508">
        <v>9.1999999999999998E-2</v>
      </c>
      <c r="AI7268" s="492">
        <v>9.0999999999999998E-2</v>
      </c>
      <c r="AJ7268" s="485"/>
    </row>
    <row r="7269" spans="2:36">
      <c r="B7269" s="136" t="s">
        <v>437</v>
      </c>
      <c r="C7269" s="132" t="s">
        <v>1366</v>
      </c>
      <c r="D7269" s="132" t="s">
        <v>1381</v>
      </c>
      <c r="E7269" s="508">
        <v>3.4990000000000001</v>
      </c>
      <c r="F7269" s="508">
        <v>2.7229999999999999</v>
      </c>
      <c r="G7269" s="508">
        <v>2.706</v>
      </c>
      <c r="H7269" s="508">
        <v>2.6850000000000001</v>
      </c>
      <c r="I7269" s="508">
        <v>2.6520000000000001</v>
      </c>
      <c r="J7269" s="508">
        <v>2.0150000000000001</v>
      </c>
      <c r="K7269" s="508">
        <v>1.9790000000000001</v>
      </c>
      <c r="L7269" s="508">
        <v>1.94</v>
      </c>
      <c r="M7269" s="508">
        <v>1.9</v>
      </c>
      <c r="N7269" s="508">
        <v>1.8360000000000001</v>
      </c>
      <c r="O7269" s="508">
        <v>1.7889999999999999</v>
      </c>
      <c r="P7269" s="508">
        <v>1.21</v>
      </c>
      <c r="Q7269" s="508">
        <v>1.1739999999999999</v>
      </c>
      <c r="R7269" s="508">
        <v>1.141</v>
      </c>
      <c r="S7269" s="508">
        <v>1.1080000000000001</v>
      </c>
      <c r="T7269" s="508">
        <v>1.077</v>
      </c>
      <c r="U7269" s="508">
        <v>0.44600000000000001</v>
      </c>
      <c r="V7269" s="508">
        <v>0.40600000000000003</v>
      </c>
      <c r="W7269" s="508">
        <v>0.374</v>
      </c>
      <c r="X7269" s="508">
        <v>0.30499999999999999</v>
      </c>
      <c r="Y7269" s="508">
        <v>0.28599999999999998</v>
      </c>
      <c r="Z7269" s="508">
        <v>0.21099999999999999</v>
      </c>
      <c r="AA7269" s="508">
        <v>0.105</v>
      </c>
      <c r="AB7269" s="508">
        <v>8.4000000000000005E-2</v>
      </c>
      <c r="AC7269" s="508">
        <v>8.1000000000000003E-2</v>
      </c>
      <c r="AD7269" s="508">
        <v>6.0999999999999999E-2</v>
      </c>
      <c r="AE7269" s="508">
        <v>0.06</v>
      </c>
      <c r="AF7269" s="508">
        <v>0.04</v>
      </c>
      <c r="AG7269" s="508">
        <v>3.9E-2</v>
      </c>
      <c r="AH7269" s="508">
        <v>3.9E-2</v>
      </c>
      <c r="AI7269" s="492">
        <v>3.7999999999999999E-2</v>
      </c>
      <c r="AJ7269" s="485"/>
    </row>
    <row r="7270" spans="2:36">
      <c r="B7270" s="136" t="s">
        <v>438</v>
      </c>
      <c r="C7270" s="132" t="s">
        <v>1366</v>
      </c>
      <c r="D7270" s="132" t="s">
        <v>1381</v>
      </c>
      <c r="E7270" s="508">
        <v>3.4780000000000002</v>
      </c>
      <c r="F7270" s="508">
        <v>2.726</v>
      </c>
      <c r="G7270" s="508">
        <v>2.7090000000000001</v>
      </c>
      <c r="H7270" s="508">
        <v>2.6859999999999999</v>
      </c>
      <c r="I7270" s="508">
        <v>2.6509999999999998</v>
      </c>
      <c r="J7270" s="508">
        <v>2.0390000000000001</v>
      </c>
      <c r="K7270" s="508">
        <v>2</v>
      </c>
      <c r="L7270" s="508">
        <v>1.958</v>
      </c>
      <c r="M7270" s="508">
        <v>1.9139999999999999</v>
      </c>
      <c r="N7270" s="508">
        <v>1.863</v>
      </c>
      <c r="O7270" s="508">
        <v>1.8129999999999999</v>
      </c>
      <c r="P7270" s="508">
        <v>1.2509999999999999</v>
      </c>
      <c r="Q7270" s="508">
        <v>1.2130000000000001</v>
      </c>
      <c r="R7270" s="508">
        <v>1.1759999999999999</v>
      </c>
      <c r="S7270" s="508">
        <v>1.141</v>
      </c>
      <c r="T7270" s="508">
        <v>1.1080000000000001</v>
      </c>
      <c r="U7270" s="508">
        <v>0.49</v>
      </c>
      <c r="V7270" s="508">
        <v>0.44800000000000001</v>
      </c>
      <c r="W7270" s="508">
        <v>0.41299999999999998</v>
      </c>
      <c r="X7270" s="508">
        <v>0.34100000000000003</v>
      </c>
      <c r="Y7270" s="508">
        <v>0.32</v>
      </c>
      <c r="Z7270" s="508">
        <v>0.24099999999999999</v>
      </c>
      <c r="AA7270" s="508">
        <v>0.121</v>
      </c>
      <c r="AB7270" s="508">
        <v>9.9000000000000005E-2</v>
      </c>
      <c r="AC7270" s="508">
        <v>9.4E-2</v>
      </c>
      <c r="AD7270" s="508">
        <v>7.3999999999999996E-2</v>
      </c>
      <c r="AE7270" s="508">
        <v>7.1999999999999995E-2</v>
      </c>
      <c r="AF7270" s="508">
        <v>5.1999999999999998E-2</v>
      </c>
      <c r="AG7270" s="508">
        <v>5.0999999999999997E-2</v>
      </c>
      <c r="AH7270" s="508">
        <v>0.05</v>
      </c>
      <c r="AI7270" s="492">
        <v>4.9000000000000002E-2</v>
      </c>
      <c r="AJ7270" s="485"/>
    </row>
    <row r="7271" spans="2:36">
      <c r="B7271" s="136" t="s">
        <v>439</v>
      </c>
      <c r="C7271" s="132" t="s">
        <v>1366</v>
      </c>
      <c r="D7271" s="132" t="s">
        <v>1381</v>
      </c>
      <c r="E7271" s="508">
        <v>3.427</v>
      </c>
      <c r="F7271" s="508">
        <v>2.6760000000000002</v>
      </c>
      <c r="G7271" s="508">
        <v>2.661</v>
      </c>
      <c r="H7271" s="508">
        <v>2.6379999999999999</v>
      </c>
      <c r="I7271" s="508">
        <v>2.6059999999999999</v>
      </c>
      <c r="J7271" s="508">
        <v>1.9910000000000001</v>
      </c>
      <c r="K7271" s="508">
        <v>1.954</v>
      </c>
      <c r="L7271" s="508">
        <v>1.9139999999999999</v>
      </c>
      <c r="M7271" s="508">
        <v>1.873</v>
      </c>
      <c r="N7271" s="508">
        <v>1.8120000000000001</v>
      </c>
      <c r="O7271" s="508">
        <v>1.7649999999999999</v>
      </c>
      <c r="P7271" s="508">
        <v>1.2050000000000001</v>
      </c>
      <c r="Q7271" s="508">
        <v>1.169</v>
      </c>
      <c r="R7271" s="508">
        <v>1.1339999999999999</v>
      </c>
      <c r="S7271" s="508">
        <v>1.101</v>
      </c>
      <c r="T7271" s="508">
        <v>1.07</v>
      </c>
      <c r="U7271" s="508">
        <v>0.45800000000000002</v>
      </c>
      <c r="V7271" s="508">
        <v>0.41799999999999998</v>
      </c>
      <c r="W7271" s="508">
        <v>0.38500000000000001</v>
      </c>
      <c r="X7271" s="508">
        <v>0.316</v>
      </c>
      <c r="Y7271" s="508">
        <v>0.29599999999999999</v>
      </c>
      <c r="Z7271" s="508">
        <v>0.221</v>
      </c>
      <c r="AA7271" s="508">
        <v>0.111</v>
      </c>
      <c r="AB7271" s="508">
        <v>0.09</v>
      </c>
      <c r="AC7271" s="508">
        <v>8.5999999999999993E-2</v>
      </c>
      <c r="AD7271" s="508">
        <v>6.7000000000000004E-2</v>
      </c>
      <c r="AE7271" s="508">
        <v>6.5000000000000002E-2</v>
      </c>
      <c r="AF7271" s="508">
        <v>4.5999999999999999E-2</v>
      </c>
      <c r="AG7271" s="508">
        <v>4.4999999999999998E-2</v>
      </c>
      <c r="AH7271" s="508">
        <v>4.3999999999999997E-2</v>
      </c>
      <c r="AI7271" s="492">
        <v>4.2999999999999997E-2</v>
      </c>
      <c r="AJ7271" s="485"/>
    </row>
    <row r="7272" spans="2:36">
      <c r="B7272" s="136" t="s">
        <v>440</v>
      </c>
      <c r="C7272" s="132" t="s">
        <v>1366</v>
      </c>
      <c r="D7272" s="132" t="s">
        <v>1381</v>
      </c>
      <c r="E7272" s="508">
        <v>3.5470000000000002</v>
      </c>
      <c r="F7272" s="508">
        <v>2.794</v>
      </c>
      <c r="G7272" s="508">
        <v>2.778</v>
      </c>
      <c r="H7272" s="508">
        <v>2.7530000000000001</v>
      </c>
      <c r="I7272" s="508">
        <v>2.718</v>
      </c>
      <c r="J7272" s="508">
        <v>2.0979999999999999</v>
      </c>
      <c r="K7272" s="508">
        <v>2.0579999999999998</v>
      </c>
      <c r="L7272" s="508">
        <v>2.0139999999999998</v>
      </c>
      <c r="M7272" s="508">
        <v>1.968</v>
      </c>
      <c r="N7272" s="508">
        <v>1.909</v>
      </c>
      <c r="O7272" s="508">
        <v>1.857</v>
      </c>
      <c r="P7272" s="508">
        <v>1.292</v>
      </c>
      <c r="Q7272" s="508">
        <v>1.252</v>
      </c>
      <c r="R7272" s="508">
        <v>1.214</v>
      </c>
      <c r="S7272" s="508">
        <v>1.1779999999999999</v>
      </c>
      <c r="T7272" s="508">
        <v>1.143</v>
      </c>
      <c r="U7272" s="508">
        <v>0.52500000000000002</v>
      </c>
      <c r="V7272" s="508">
        <v>0.48199999999999998</v>
      </c>
      <c r="W7272" s="508">
        <v>0.44600000000000001</v>
      </c>
      <c r="X7272" s="508">
        <v>0.374</v>
      </c>
      <c r="Y7272" s="508">
        <v>0.35199999999999998</v>
      </c>
      <c r="Z7272" s="508">
        <v>0.27200000000000002</v>
      </c>
      <c r="AA7272" s="508">
        <v>0.13700000000000001</v>
      </c>
      <c r="AB7272" s="508">
        <v>0.115</v>
      </c>
      <c r="AC7272" s="508">
        <v>0.11</v>
      </c>
      <c r="AD7272" s="508">
        <v>0.09</v>
      </c>
      <c r="AE7272" s="508">
        <v>8.7999999999999995E-2</v>
      </c>
      <c r="AF7272" s="508">
        <v>6.7000000000000004E-2</v>
      </c>
      <c r="AG7272" s="508">
        <v>6.6000000000000003E-2</v>
      </c>
      <c r="AH7272" s="508">
        <v>6.5000000000000002E-2</v>
      </c>
      <c r="AI7272" s="492">
        <v>6.3E-2</v>
      </c>
      <c r="AJ7272" s="485"/>
    </row>
    <row r="7273" spans="2:36">
      <c r="B7273" s="136" t="s">
        <v>441</v>
      </c>
      <c r="C7273" s="132" t="s">
        <v>1366</v>
      </c>
      <c r="D7273" s="132" t="s">
        <v>1381</v>
      </c>
      <c r="E7273" s="508">
        <v>3.4929999999999999</v>
      </c>
      <c r="F7273" s="508">
        <v>2.7480000000000002</v>
      </c>
      <c r="G7273" s="508">
        <v>2.7320000000000002</v>
      </c>
      <c r="H7273" s="508">
        <v>2.7080000000000002</v>
      </c>
      <c r="I7273" s="508">
        <v>2.6739999999999999</v>
      </c>
      <c r="J7273" s="508">
        <v>2.0619999999999998</v>
      </c>
      <c r="K7273" s="508">
        <v>2.0230000000000001</v>
      </c>
      <c r="L7273" s="508">
        <v>1.98</v>
      </c>
      <c r="M7273" s="508">
        <v>1.9359999999999999</v>
      </c>
      <c r="N7273" s="508">
        <v>1.8720000000000001</v>
      </c>
      <c r="O7273" s="508">
        <v>1.823</v>
      </c>
      <c r="P7273" s="508">
        <v>1.264</v>
      </c>
      <c r="Q7273" s="508">
        <v>1.2250000000000001</v>
      </c>
      <c r="R7273" s="508">
        <v>1.1879999999999999</v>
      </c>
      <c r="S7273" s="508">
        <v>1.153</v>
      </c>
      <c r="T7273" s="508">
        <v>1.119</v>
      </c>
      <c r="U7273" s="508">
        <v>0.50800000000000001</v>
      </c>
      <c r="V7273" s="508">
        <v>0.46600000000000003</v>
      </c>
      <c r="W7273" s="508">
        <v>0.43099999999999999</v>
      </c>
      <c r="X7273" s="508">
        <v>0.36099999999999999</v>
      </c>
      <c r="Y7273" s="508">
        <v>0.34</v>
      </c>
      <c r="Z7273" s="508">
        <v>0.26100000000000001</v>
      </c>
      <c r="AA7273" s="508">
        <v>0.13100000000000001</v>
      </c>
      <c r="AB7273" s="508">
        <v>0.11</v>
      </c>
      <c r="AC7273" s="508">
        <v>0.105</v>
      </c>
      <c r="AD7273" s="508">
        <v>8.5000000000000006E-2</v>
      </c>
      <c r="AE7273" s="508">
        <v>8.3000000000000004E-2</v>
      </c>
      <c r="AF7273" s="508">
        <v>6.3E-2</v>
      </c>
      <c r="AG7273" s="508">
        <v>6.2E-2</v>
      </c>
      <c r="AH7273" s="508">
        <v>6.0999999999999999E-2</v>
      </c>
      <c r="AI7273" s="492">
        <v>0.06</v>
      </c>
      <c r="AJ7273" s="485"/>
    </row>
    <row r="7274" spans="2:36">
      <c r="B7274" s="136" t="s">
        <v>443</v>
      </c>
      <c r="C7274" s="132" t="s">
        <v>1366</v>
      </c>
      <c r="D7274" s="132" t="s">
        <v>1381</v>
      </c>
      <c r="E7274" s="508">
        <v>3.5590000000000002</v>
      </c>
      <c r="F7274" s="508">
        <v>2.786</v>
      </c>
      <c r="G7274" s="508">
        <v>2.77</v>
      </c>
      <c r="H7274" s="508">
        <v>2.746</v>
      </c>
      <c r="I7274" s="508">
        <v>2.7120000000000002</v>
      </c>
      <c r="J7274" s="508">
        <v>2.0720000000000001</v>
      </c>
      <c r="K7274" s="508">
        <v>2.0329999999999999</v>
      </c>
      <c r="L7274" s="508">
        <v>1.9910000000000001</v>
      </c>
      <c r="M7274" s="508">
        <v>1.9470000000000001</v>
      </c>
      <c r="N7274" s="508">
        <v>1.891</v>
      </c>
      <c r="O7274" s="508">
        <v>1.841</v>
      </c>
      <c r="P7274" s="508">
        <v>1.2649999999999999</v>
      </c>
      <c r="Q7274" s="508">
        <v>1.226</v>
      </c>
      <c r="R7274" s="508">
        <v>1.19</v>
      </c>
      <c r="S7274" s="508">
        <v>1.155</v>
      </c>
      <c r="T7274" s="508">
        <v>1.121</v>
      </c>
      <c r="U7274" s="508">
        <v>0.49399999999999999</v>
      </c>
      <c r="V7274" s="508">
        <v>0.45200000000000001</v>
      </c>
      <c r="W7274" s="508">
        <v>0.41799999999999998</v>
      </c>
      <c r="X7274" s="508">
        <v>0.34699999999999998</v>
      </c>
      <c r="Y7274" s="508">
        <v>0.32600000000000001</v>
      </c>
      <c r="Z7274" s="508">
        <v>0.249</v>
      </c>
      <c r="AA7274" s="508">
        <v>0.125</v>
      </c>
      <c r="AB7274" s="508">
        <v>0.10299999999999999</v>
      </c>
      <c r="AC7274" s="508">
        <v>9.9000000000000005E-2</v>
      </c>
      <c r="AD7274" s="508">
        <v>7.9000000000000001E-2</v>
      </c>
      <c r="AE7274" s="508">
        <v>7.6999999999999999E-2</v>
      </c>
      <c r="AF7274" s="508">
        <v>5.8000000000000003E-2</v>
      </c>
      <c r="AG7274" s="508">
        <v>5.7000000000000002E-2</v>
      </c>
      <c r="AH7274" s="508">
        <v>5.5E-2</v>
      </c>
      <c r="AI7274" s="492">
        <v>5.3999999999999999E-2</v>
      </c>
      <c r="AJ7274" s="485"/>
    </row>
    <row r="7275" spans="2:36">
      <c r="B7275" s="136" t="s">
        <v>445</v>
      </c>
      <c r="C7275" s="132" t="s">
        <v>1366</v>
      </c>
      <c r="D7275" s="132" t="s">
        <v>1381</v>
      </c>
      <c r="E7275" s="508">
        <v>3.6179999999999999</v>
      </c>
      <c r="F7275" s="508">
        <v>2.8220000000000001</v>
      </c>
      <c r="G7275" s="508">
        <v>2.806</v>
      </c>
      <c r="H7275" s="508">
        <v>2.7839999999999998</v>
      </c>
      <c r="I7275" s="508">
        <v>2.7509999999999999</v>
      </c>
      <c r="J7275" s="508">
        <v>2.0859999999999999</v>
      </c>
      <c r="K7275" s="508">
        <v>2.048</v>
      </c>
      <c r="L7275" s="508">
        <v>2.008</v>
      </c>
      <c r="M7275" s="508">
        <v>1.966</v>
      </c>
      <c r="N7275" s="508">
        <v>1.8939999999999999</v>
      </c>
      <c r="O7275" s="508">
        <v>1.847</v>
      </c>
      <c r="P7275" s="508">
        <v>1.252</v>
      </c>
      <c r="Q7275" s="508">
        <v>1.2150000000000001</v>
      </c>
      <c r="R7275" s="508">
        <v>1.18</v>
      </c>
      <c r="S7275" s="508">
        <v>1.147</v>
      </c>
      <c r="T7275" s="508">
        <v>1.115</v>
      </c>
      <c r="U7275" s="508">
        <v>0.47399999999999998</v>
      </c>
      <c r="V7275" s="508">
        <v>0.434</v>
      </c>
      <c r="W7275" s="508">
        <v>0.40100000000000002</v>
      </c>
      <c r="X7275" s="508">
        <v>0.33300000000000002</v>
      </c>
      <c r="Y7275" s="508">
        <v>0.313</v>
      </c>
      <c r="Z7275" s="508">
        <v>0.23799999999999999</v>
      </c>
      <c r="AA7275" s="508">
        <v>0.11899999999999999</v>
      </c>
      <c r="AB7275" s="508">
        <v>9.9000000000000005E-2</v>
      </c>
      <c r="AC7275" s="508">
        <v>9.4E-2</v>
      </c>
      <c r="AD7275" s="508">
        <v>7.4999999999999997E-2</v>
      </c>
      <c r="AE7275" s="508">
        <v>7.2999999999999995E-2</v>
      </c>
      <c r="AF7275" s="508">
        <v>5.3999999999999999E-2</v>
      </c>
      <c r="AG7275" s="508">
        <v>5.2999999999999999E-2</v>
      </c>
      <c r="AH7275" s="508">
        <v>5.1999999999999998E-2</v>
      </c>
      <c r="AI7275" s="492">
        <v>5.0999999999999997E-2</v>
      </c>
      <c r="AJ7275" s="485"/>
    </row>
    <row r="7276" spans="2:36">
      <c r="B7276" s="136" t="s">
        <v>446</v>
      </c>
      <c r="C7276" s="132" t="s">
        <v>1366</v>
      </c>
      <c r="D7276" s="132" t="s">
        <v>1381</v>
      </c>
      <c r="E7276" s="508">
        <v>3.5390000000000001</v>
      </c>
      <c r="F7276" s="508">
        <v>2.74</v>
      </c>
      <c r="G7276" s="508">
        <v>2.722</v>
      </c>
      <c r="H7276" s="508">
        <v>2.7029999999999998</v>
      </c>
      <c r="I7276" s="508">
        <v>2.67</v>
      </c>
      <c r="J7276" s="508">
        <v>2.0089999999999999</v>
      </c>
      <c r="K7276" s="508">
        <v>1.9750000000000001</v>
      </c>
      <c r="L7276" s="508">
        <v>1.9379999999999999</v>
      </c>
      <c r="M7276" s="508">
        <v>1.899</v>
      </c>
      <c r="N7276" s="508">
        <v>1.831</v>
      </c>
      <c r="O7276" s="508">
        <v>1.786</v>
      </c>
      <c r="P7276" s="508">
        <v>1.1910000000000001</v>
      </c>
      <c r="Q7276" s="508">
        <v>1.157</v>
      </c>
      <c r="R7276" s="508">
        <v>1.125</v>
      </c>
      <c r="S7276" s="508">
        <v>1.0940000000000001</v>
      </c>
      <c r="T7276" s="508">
        <v>1.0640000000000001</v>
      </c>
      <c r="U7276" s="508">
        <v>0.42099999999999999</v>
      </c>
      <c r="V7276" s="508">
        <v>0.38200000000000001</v>
      </c>
      <c r="W7276" s="508">
        <v>0.35099999999999998</v>
      </c>
      <c r="X7276" s="508">
        <v>0.28399999999999997</v>
      </c>
      <c r="Y7276" s="508">
        <v>0.26500000000000001</v>
      </c>
      <c r="Z7276" s="508">
        <v>0.193</v>
      </c>
      <c r="AA7276" s="508">
        <v>9.6000000000000002E-2</v>
      </c>
      <c r="AB7276" s="508">
        <v>7.5999999999999998E-2</v>
      </c>
      <c r="AC7276" s="508">
        <v>7.1999999999999995E-2</v>
      </c>
      <c r="AD7276" s="508">
        <v>5.2999999999999999E-2</v>
      </c>
      <c r="AE7276" s="508">
        <v>5.1999999999999998E-2</v>
      </c>
      <c r="AF7276" s="508">
        <v>3.3000000000000002E-2</v>
      </c>
      <c r="AG7276" s="508">
        <v>3.2000000000000001E-2</v>
      </c>
      <c r="AH7276" s="508">
        <v>3.2000000000000001E-2</v>
      </c>
      <c r="AI7276" s="492">
        <v>3.1E-2</v>
      </c>
      <c r="AJ7276" s="485"/>
    </row>
    <row r="7277" spans="2:36">
      <c r="B7277" s="136" t="s">
        <v>448</v>
      </c>
      <c r="C7277" s="132" t="s">
        <v>1366</v>
      </c>
      <c r="D7277" s="132" t="s">
        <v>1381</v>
      </c>
      <c r="E7277" s="508">
        <v>3.4740000000000002</v>
      </c>
      <c r="F7277" s="508">
        <v>2.718</v>
      </c>
      <c r="G7277" s="508">
        <v>2.7010000000000001</v>
      </c>
      <c r="H7277" s="508">
        <v>2.6779999999999999</v>
      </c>
      <c r="I7277" s="508">
        <v>2.6440000000000001</v>
      </c>
      <c r="J7277" s="508">
        <v>2.0259999999999998</v>
      </c>
      <c r="K7277" s="508">
        <v>1.988</v>
      </c>
      <c r="L7277" s="508">
        <v>1.946</v>
      </c>
      <c r="M7277" s="508">
        <v>1.903</v>
      </c>
      <c r="N7277" s="508">
        <v>1.85</v>
      </c>
      <c r="O7277" s="508">
        <v>1.8009999999999999</v>
      </c>
      <c r="P7277" s="508">
        <v>1.236</v>
      </c>
      <c r="Q7277" s="508">
        <v>1.1990000000000001</v>
      </c>
      <c r="R7277" s="508">
        <v>1.163</v>
      </c>
      <c r="S7277" s="508">
        <v>1.129</v>
      </c>
      <c r="T7277" s="508">
        <v>1.0960000000000001</v>
      </c>
      <c r="U7277" s="508">
        <v>0.47699999999999998</v>
      </c>
      <c r="V7277" s="508">
        <v>0.435</v>
      </c>
      <c r="W7277" s="508">
        <v>0.40100000000000002</v>
      </c>
      <c r="X7277" s="508">
        <v>0.33</v>
      </c>
      <c r="Y7277" s="508">
        <v>0.309</v>
      </c>
      <c r="Z7277" s="508">
        <v>0.23200000000000001</v>
      </c>
      <c r="AA7277" s="508">
        <v>0.11600000000000001</v>
      </c>
      <c r="AB7277" s="508">
        <v>9.4E-2</v>
      </c>
      <c r="AC7277" s="508">
        <v>0.09</v>
      </c>
      <c r="AD7277" s="508">
        <v>7.0000000000000007E-2</v>
      </c>
      <c r="AE7277" s="508">
        <v>6.9000000000000006E-2</v>
      </c>
      <c r="AF7277" s="508">
        <v>4.9000000000000002E-2</v>
      </c>
      <c r="AG7277" s="508">
        <v>4.8000000000000001E-2</v>
      </c>
      <c r="AH7277" s="508">
        <v>4.7E-2</v>
      </c>
      <c r="AI7277" s="492">
        <v>4.5999999999999999E-2</v>
      </c>
      <c r="AJ7277" s="485"/>
    </row>
    <row r="7278" spans="2:36">
      <c r="B7278" s="136" t="s">
        <v>449</v>
      </c>
      <c r="C7278" s="132" t="s">
        <v>1366</v>
      </c>
      <c r="D7278" s="132" t="s">
        <v>1381</v>
      </c>
      <c r="E7278" s="508">
        <v>3.4569999999999999</v>
      </c>
      <c r="F7278" s="508">
        <v>2.6739999999999999</v>
      </c>
      <c r="G7278" s="508">
        <v>2.657</v>
      </c>
      <c r="H7278" s="508">
        <v>2.637</v>
      </c>
      <c r="I7278" s="508">
        <v>2.6059999999999999</v>
      </c>
      <c r="J7278" s="508">
        <v>1.9610000000000001</v>
      </c>
      <c r="K7278" s="508">
        <v>1.9259999999999999</v>
      </c>
      <c r="L7278" s="508">
        <v>1.89</v>
      </c>
      <c r="M7278" s="508">
        <v>1.851</v>
      </c>
      <c r="N7278" s="508">
        <v>1.7909999999999999</v>
      </c>
      <c r="O7278" s="508">
        <v>1.7470000000000001</v>
      </c>
      <c r="P7278" s="508">
        <v>1.165</v>
      </c>
      <c r="Q7278" s="508">
        <v>1.1319999999999999</v>
      </c>
      <c r="R7278" s="508">
        <v>1.1000000000000001</v>
      </c>
      <c r="S7278" s="508">
        <v>1.07</v>
      </c>
      <c r="T7278" s="508">
        <v>1.0409999999999999</v>
      </c>
      <c r="U7278" s="508">
        <v>0.41</v>
      </c>
      <c r="V7278" s="508">
        <v>0.372</v>
      </c>
      <c r="W7278" s="508">
        <v>0.34100000000000003</v>
      </c>
      <c r="X7278" s="508">
        <v>0.27300000000000002</v>
      </c>
      <c r="Y7278" s="508">
        <v>0.255</v>
      </c>
      <c r="Z7278" s="508">
        <v>0.184</v>
      </c>
      <c r="AA7278" s="508">
        <v>9.0999999999999998E-2</v>
      </c>
      <c r="AB7278" s="508">
        <v>7.0999999999999994E-2</v>
      </c>
      <c r="AC7278" s="508">
        <v>6.8000000000000005E-2</v>
      </c>
      <c r="AD7278" s="508">
        <v>4.9000000000000002E-2</v>
      </c>
      <c r="AE7278" s="508">
        <v>4.8000000000000001E-2</v>
      </c>
      <c r="AF7278" s="508">
        <v>2.9000000000000001E-2</v>
      </c>
      <c r="AG7278" s="508">
        <v>2.8000000000000001E-2</v>
      </c>
      <c r="AH7278" s="508">
        <v>2.8000000000000001E-2</v>
      </c>
      <c r="AI7278" s="492">
        <v>2.7E-2</v>
      </c>
      <c r="AJ7278" s="485"/>
    </row>
    <row r="7279" spans="2:36">
      <c r="B7279" s="136" t="s">
        <v>450</v>
      </c>
      <c r="C7279" s="132" t="s">
        <v>1366</v>
      </c>
      <c r="D7279" s="132" t="s">
        <v>1381</v>
      </c>
      <c r="E7279" s="508">
        <v>3.581</v>
      </c>
      <c r="F7279" s="508">
        <v>2.8260000000000001</v>
      </c>
      <c r="G7279" s="508">
        <v>2.8090000000000002</v>
      </c>
      <c r="H7279" s="508">
        <v>2.7829999999999999</v>
      </c>
      <c r="I7279" s="508">
        <v>2.7469999999999999</v>
      </c>
      <c r="J7279" s="508">
        <v>2.1269999999999998</v>
      </c>
      <c r="K7279" s="508">
        <v>2.0840000000000001</v>
      </c>
      <c r="L7279" s="508">
        <v>2.0390000000000001</v>
      </c>
      <c r="M7279" s="508">
        <v>1.992</v>
      </c>
      <c r="N7279" s="508">
        <v>1.94</v>
      </c>
      <c r="O7279" s="508">
        <v>1.8859999999999999</v>
      </c>
      <c r="P7279" s="508">
        <v>1.32</v>
      </c>
      <c r="Q7279" s="508">
        <v>1.2789999999999999</v>
      </c>
      <c r="R7279" s="508">
        <v>1.2390000000000001</v>
      </c>
      <c r="S7279" s="508">
        <v>1.2010000000000001</v>
      </c>
      <c r="T7279" s="508">
        <v>1.165</v>
      </c>
      <c r="U7279" s="508">
        <v>0.54400000000000004</v>
      </c>
      <c r="V7279" s="508">
        <v>0.5</v>
      </c>
      <c r="W7279" s="508">
        <v>0.46300000000000002</v>
      </c>
      <c r="X7279" s="508">
        <v>0.38800000000000001</v>
      </c>
      <c r="Y7279" s="508">
        <v>0.36499999999999999</v>
      </c>
      <c r="Z7279" s="508">
        <v>0.28299999999999997</v>
      </c>
      <c r="AA7279" s="508">
        <v>0.14199999999999999</v>
      </c>
      <c r="AB7279" s="508">
        <v>0.12</v>
      </c>
      <c r="AC7279" s="508">
        <v>0.115</v>
      </c>
      <c r="AD7279" s="508">
        <v>9.4E-2</v>
      </c>
      <c r="AE7279" s="508">
        <v>9.1999999999999998E-2</v>
      </c>
      <c r="AF7279" s="508">
        <v>7.1999999999999995E-2</v>
      </c>
      <c r="AG7279" s="508">
        <v>7.0000000000000007E-2</v>
      </c>
      <c r="AH7279" s="508">
        <v>6.9000000000000006E-2</v>
      </c>
      <c r="AI7279" s="492">
        <v>6.7000000000000004E-2</v>
      </c>
      <c r="AJ7279" s="485"/>
    </row>
    <row r="7280" spans="2:36">
      <c r="B7280" s="136" t="s">
        <v>451</v>
      </c>
      <c r="C7280" s="132" t="s">
        <v>1366</v>
      </c>
      <c r="D7280" s="132" t="s">
        <v>1381</v>
      </c>
      <c r="E7280" s="508">
        <v>3.5960000000000001</v>
      </c>
      <c r="F7280" s="508">
        <v>2.82</v>
      </c>
      <c r="G7280" s="508">
        <v>2.8039999999999998</v>
      </c>
      <c r="H7280" s="508">
        <v>2.78</v>
      </c>
      <c r="I7280" s="508">
        <v>2.7469999999999999</v>
      </c>
      <c r="J7280" s="508">
        <v>2.1</v>
      </c>
      <c r="K7280" s="508">
        <v>2.0609999999999999</v>
      </c>
      <c r="L7280" s="508">
        <v>2.0190000000000001</v>
      </c>
      <c r="M7280" s="508">
        <v>1.976</v>
      </c>
      <c r="N7280" s="508">
        <v>1.9059999999999999</v>
      </c>
      <c r="O7280" s="508">
        <v>1.857</v>
      </c>
      <c r="P7280" s="508">
        <v>1.2749999999999999</v>
      </c>
      <c r="Q7280" s="508">
        <v>1.2370000000000001</v>
      </c>
      <c r="R7280" s="508">
        <v>1.2</v>
      </c>
      <c r="S7280" s="508">
        <v>1.165</v>
      </c>
      <c r="T7280" s="508">
        <v>1.1319999999999999</v>
      </c>
      <c r="U7280" s="508">
        <v>0.501</v>
      </c>
      <c r="V7280" s="508">
        <v>0.46</v>
      </c>
      <c r="W7280" s="508">
        <v>0.42599999999999999</v>
      </c>
      <c r="X7280" s="508">
        <v>0.35599999999999998</v>
      </c>
      <c r="Y7280" s="508">
        <v>0.33500000000000002</v>
      </c>
      <c r="Z7280" s="508">
        <v>0.25800000000000001</v>
      </c>
      <c r="AA7280" s="508">
        <v>0.13</v>
      </c>
      <c r="AB7280" s="508">
        <v>0.108</v>
      </c>
      <c r="AC7280" s="508">
        <v>0.104</v>
      </c>
      <c r="AD7280" s="508">
        <v>8.4000000000000005E-2</v>
      </c>
      <c r="AE7280" s="508">
        <v>8.2000000000000003E-2</v>
      </c>
      <c r="AF7280" s="508">
        <v>6.3E-2</v>
      </c>
      <c r="AG7280" s="508">
        <v>6.2E-2</v>
      </c>
      <c r="AH7280" s="508">
        <v>0.06</v>
      </c>
      <c r="AI7280" s="492">
        <v>5.8999999999999997E-2</v>
      </c>
      <c r="AJ7280" s="485"/>
    </row>
    <row r="7281" spans="2:36">
      <c r="B7281" s="136" t="s">
        <v>452</v>
      </c>
      <c r="C7281" s="132" t="s">
        <v>1366</v>
      </c>
      <c r="D7281" s="132" t="s">
        <v>1381</v>
      </c>
      <c r="E7281" s="508">
        <v>3.5910000000000002</v>
      </c>
      <c r="F7281" s="508">
        <v>2.8210000000000002</v>
      </c>
      <c r="G7281" s="508">
        <v>2.8039999999999998</v>
      </c>
      <c r="H7281" s="508">
        <v>2.78</v>
      </c>
      <c r="I7281" s="508">
        <v>2.7450000000000001</v>
      </c>
      <c r="J7281" s="508">
        <v>2.1080000000000001</v>
      </c>
      <c r="K7281" s="508">
        <v>2.0680000000000001</v>
      </c>
      <c r="L7281" s="508">
        <v>2.024</v>
      </c>
      <c r="M7281" s="508">
        <v>1.9790000000000001</v>
      </c>
      <c r="N7281" s="508">
        <v>1.92</v>
      </c>
      <c r="O7281" s="508">
        <v>1.869</v>
      </c>
      <c r="P7281" s="508">
        <v>1.292</v>
      </c>
      <c r="Q7281" s="508">
        <v>1.2529999999999999</v>
      </c>
      <c r="R7281" s="508">
        <v>1.2150000000000001</v>
      </c>
      <c r="S7281" s="508">
        <v>1.179</v>
      </c>
      <c r="T7281" s="508">
        <v>1.1439999999999999</v>
      </c>
      <c r="U7281" s="508">
        <v>0.51600000000000001</v>
      </c>
      <c r="V7281" s="508">
        <v>0.47299999999999998</v>
      </c>
      <c r="W7281" s="508">
        <v>0.438</v>
      </c>
      <c r="X7281" s="508">
        <v>0.36599999999999999</v>
      </c>
      <c r="Y7281" s="508">
        <v>0.34399999999999997</v>
      </c>
      <c r="Z7281" s="508">
        <v>0.26400000000000001</v>
      </c>
      <c r="AA7281" s="508">
        <v>0.13300000000000001</v>
      </c>
      <c r="AB7281" s="508">
        <v>0.111</v>
      </c>
      <c r="AC7281" s="508">
        <v>0.106</v>
      </c>
      <c r="AD7281" s="508">
        <v>8.5999999999999993E-2</v>
      </c>
      <c r="AE7281" s="508">
        <v>8.4000000000000005E-2</v>
      </c>
      <c r="AF7281" s="508">
        <v>6.4000000000000001E-2</v>
      </c>
      <c r="AG7281" s="508">
        <v>6.3E-2</v>
      </c>
      <c r="AH7281" s="508">
        <v>6.2E-2</v>
      </c>
      <c r="AI7281" s="492">
        <v>6.0999999999999999E-2</v>
      </c>
      <c r="AJ7281" s="485"/>
    </row>
    <row r="7282" spans="2:36">
      <c r="B7282" s="136" t="s">
        <v>453</v>
      </c>
      <c r="C7282" s="132" t="s">
        <v>1366</v>
      </c>
      <c r="D7282" s="132" t="s">
        <v>1381</v>
      </c>
      <c r="E7282" s="508">
        <v>3.5790000000000002</v>
      </c>
      <c r="F7282" s="508">
        <v>2.8260000000000001</v>
      </c>
      <c r="G7282" s="508">
        <v>2.8090000000000002</v>
      </c>
      <c r="H7282" s="508">
        <v>2.7829999999999999</v>
      </c>
      <c r="I7282" s="508">
        <v>2.746</v>
      </c>
      <c r="J7282" s="508">
        <v>2.129</v>
      </c>
      <c r="K7282" s="508">
        <v>2.0859999999999999</v>
      </c>
      <c r="L7282" s="508">
        <v>2.0409999999999999</v>
      </c>
      <c r="M7282" s="508">
        <v>1.9930000000000001</v>
      </c>
      <c r="N7282" s="508">
        <v>1.9430000000000001</v>
      </c>
      <c r="O7282" s="508">
        <v>1.889</v>
      </c>
      <c r="P7282" s="508">
        <v>1.325</v>
      </c>
      <c r="Q7282" s="508">
        <v>1.2829999999999999</v>
      </c>
      <c r="R7282" s="508">
        <v>1.2430000000000001</v>
      </c>
      <c r="S7282" s="508">
        <v>1.2050000000000001</v>
      </c>
      <c r="T7282" s="508">
        <v>1.1679999999999999</v>
      </c>
      <c r="U7282" s="508">
        <v>0.54800000000000004</v>
      </c>
      <c r="V7282" s="508">
        <v>0.503</v>
      </c>
      <c r="W7282" s="508">
        <v>0.46600000000000003</v>
      </c>
      <c r="X7282" s="508">
        <v>0.39100000000000001</v>
      </c>
      <c r="Y7282" s="508">
        <v>0.36799999999999999</v>
      </c>
      <c r="Z7282" s="508">
        <v>0.28499999999999998</v>
      </c>
      <c r="AA7282" s="508">
        <v>0.14299999999999999</v>
      </c>
      <c r="AB7282" s="508">
        <v>0.121</v>
      </c>
      <c r="AC7282" s="508">
        <v>0.11600000000000001</v>
      </c>
      <c r="AD7282" s="508">
        <v>9.5000000000000001E-2</v>
      </c>
      <c r="AE7282" s="508">
        <v>9.2999999999999999E-2</v>
      </c>
      <c r="AF7282" s="508">
        <v>7.1999999999999995E-2</v>
      </c>
      <c r="AG7282" s="508">
        <v>7.0000000000000007E-2</v>
      </c>
      <c r="AH7282" s="508">
        <v>6.9000000000000006E-2</v>
      </c>
      <c r="AI7282" s="492">
        <v>6.8000000000000005E-2</v>
      </c>
      <c r="AJ7282" s="485"/>
    </row>
    <row r="7283" spans="2:36">
      <c r="B7283" s="136" t="s">
        <v>454</v>
      </c>
      <c r="C7283" s="132" t="s">
        <v>1366</v>
      </c>
      <c r="D7283" s="132" t="s">
        <v>1381</v>
      </c>
      <c r="E7283" s="508">
        <v>3.52</v>
      </c>
      <c r="F7283" s="508">
        <v>2.766</v>
      </c>
      <c r="G7283" s="508">
        <v>2.7490000000000001</v>
      </c>
      <c r="H7283" s="508">
        <v>2.7250000000000001</v>
      </c>
      <c r="I7283" s="508">
        <v>2.69</v>
      </c>
      <c r="J7283" s="508">
        <v>2.0739999999999998</v>
      </c>
      <c r="K7283" s="508">
        <v>2.0329999999999999</v>
      </c>
      <c r="L7283" s="508">
        <v>1.99</v>
      </c>
      <c r="M7283" s="508">
        <v>1.9450000000000001</v>
      </c>
      <c r="N7283" s="508">
        <v>1.8919999999999999</v>
      </c>
      <c r="O7283" s="508">
        <v>1.841</v>
      </c>
      <c r="P7283" s="508">
        <v>1.278</v>
      </c>
      <c r="Q7283" s="508">
        <v>1.238</v>
      </c>
      <c r="R7283" s="508">
        <v>1.2010000000000001</v>
      </c>
      <c r="S7283" s="508">
        <v>1.1639999999999999</v>
      </c>
      <c r="T7283" s="508">
        <v>1.1299999999999999</v>
      </c>
      <c r="U7283" s="508">
        <v>0.51200000000000001</v>
      </c>
      <c r="V7283" s="508">
        <v>0.46899999999999997</v>
      </c>
      <c r="W7283" s="508">
        <v>0.433</v>
      </c>
      <c r="X7283" s="508">
        <v>0.36</v>
      </c>
      <c r="Y7283" s="508">
        <v>0.33900000000000002</v>
      </c>
      <c r="Z7283" s="508">
        <v>0.25900000000000001</v>
      </c>
      <c r="AA7283" s="508">
        <v>0.13</v>
      </c>
      <c r="AB7283" s="508">
        <v>0.108</v>
      </c>
      <c r="AC7283" s="508">
        <v>0.10299999999999999</v>
      </c>
      <c r="AD7283" s="508">
        <v>8.3000000000000004E-2</v>
      </c>
      <c r="AE7283" s="508">
        <v>8.1000000000000003E-2</v>
      </c>
      <c r="AF7283" s="508">
        <v>6.0999999999999999E-2</v>
      </c>
      <c r="AG7283" s="508">
        <v>5.8999999999999997E-2</v>
      </c>
      <c r="AH7283" s="508">
        <v>5.8000000000000003E-2</v>
      </c>
      <c r="AI7283" s="492">
        <v>5.7000000000000002E-2</v>
      </c>
      <c r="AJ7283" s="485"/>
    </row>
    <row r="7284" spans="2:36">
      <c r="B7284" s="136" t="s">
        <v>455</v>
      </c>
      <c r="C7284" s="132" t="s">
        <v>1366</v>
      </c>
      <c r="D7284" s="132" t="s">
        <v>1381</v>
      </c>
      <c r="E7284" s="508">
        <v>3.5</v>
      </c>
      <c r="F7284" s="508">
        <v>2.7519999999999998</v>
      </c>
      <c r="G7284" s="508">
        <v>2.7349999999999999</v>
      </c>
      <c r="H7284" s="508">
        <v>2.7109999999999999</v>
      </c>
      <c r="I7284" s="508">
        <v>2.6760000000000002</v>
      </c>
      <c r="J7284" s="508">
        <v>2.0670000000000002</v>
      </c>
      <c r="K7284" s="508">
        <v>2.0270000000000001</v>
      </c>
      <c r="L7284" s="508">
        <v>1.9830000000000001</v>
      </c>
      <c r="M7284" s="508">
        <v>1.9379999999999999</v>
      </c>
      <c r="N7284" s="508">
        <v>1.8859999999999999</v>
      </c>
      <c r="O7284" s="508">
        <v>1.835</v>
      </c>
      <c r="P7284" s="508">
        <v>1.2749999999999999</v>
      </c>
      <c r="Q7284" s="508">
        <v>1.236</v>
      </c>
      <c r="R7284" s="508">
        <v>1.198</v>
      </c>
      <c r="S7284" s="508">
        <v>1.161</v>
      </c>
      <c r="T7284" s="508">
        <v>1.127</v>
      </c>
      <c r="U7284" s="508">
        <v>0.51100000000000001</v>
      </c>
      <c r="V7284" s="508">
        <v>0.46800000000000003</v>
      </c>
      <c r="W7284" s="508">
        <v>0.433</v>
      </c>
      <c r="X7284" s="508">
        <v>0.35899999999999999</v>
      </c>
      <c r="Y7284" s="508">
        <v>0.33700000000000002</v>
      </c>
      <c r="Z7284" s="508">
        <v>0.25700000000000001</v>
      </c>
      <c r="AA7284" s="508">
        <v>0.129</v>
      </c>
      <c r="AB7284" s="508">
        <v>0.107</v>
      </c>
      <c r="AC7284" s="508">
        <v>0.10199999999999999</v>
      </c>
      <c r="AD7284" s="508">
        <v>8.2000000000000003E-2</v>
      </c>
      <c r="AE7284" s="508">
        <v>0.08</v>
      </c>
      <c r="AF7284" s="508">
        <v>5.8999999999999997E-2</v>
      </c>
      <c r="AG7284" s="508">
        <v>5.8000000000000003E-2</v>
      </c>
      <c r="AH7284" s="508">
        <v>5.7000000000000002E-2</v>
      </c>
      <c r="AI7284" s="492">
        <v>5.6000000000000001E-2</v>
      </c>
      <c r="AJ7284" s="485"/>
    </row>
    <row r="7285" spans="2:36">
      <c r="B7285" s="136" t="s">
        <v>456</v>
      </c>
      <c r="C7285" s="132" t="s">
        <v>1366</v>
      </c>
      <c r="D7285" s="132" t="s">
        <v>1381</v>
      </c>
      <c r="E7285" s="508">
        <v>3.4820000000000002</v>
      </c>
      <c r="F7285" s="508">
        <v>2.714</v>
      </c>
      <c r="G7285" s="508">
        <v>2.6960000000000002</v>
      </c>
      <c r="H7285" s="508">
        <v>2.6749999999999998</v>
      </c>
      <c r="I7285" s="508">
        <v>2.641</v>
      </c>
      <c r="J7285" s="508">
        <v>2.0129999999999999</v>
      </c>
      <c r="K7285" s="508">
        <v>1.976</v>
      </c>
      <c r="L7285" s="508">
        <v>1.9359999999999999</v>
      </c>
      <c r="M7285" s="508">
        <v>1.895</v>
      </c>
      <c r="N7285" s="508">
        <v>1.8380000000000001</v>
      </c>
      <c r="O7285" s="508">
        <v>1.7909999999999999</v>
      </c>
      <c r="P7285" s="508">
        <v>1.2170000000000001</v>
      </c>
      <c r="Q7285" s="508">
        <v>1.181</v>
      </c>
      <c r="R7285" s="508">
        <v>1.147</v>
      </c>
      <c r="S7285" s="508">
        <v>1.1140000000000001</v>
      </c>
      <c r="T7285" s="508">
        <v>1.0820000000000001</v>
      </c>
      <c r="U7285" s="508">
        <v>0.45600000000000002</v>
      </c>
      <c r="V7285" s="508">
        <v>0.41499999999999998</v>
      </c>
      <c r="W7285" s="508">
        <v>0.38200000000000001</v>
      </c>
      <c r="X7285" s="508">
        <v>0.312</v>
      </c>
      <c r="Y7285" s="508">
        <v>0.29199999999999998</v>
      </c>
      <c r="Z7285" s="508">
        <v>0.216</v>
      </c>
      <c r="AA7285" s="508">
        <v>0.108</v>
      </c>
      <c r="AB7285" s="508">
        <v>8.6999999999999994E-2</v>
      </c>
      <c r="AC7285" s="508">
        <v>8.3000000000000004E-2</v>
      </c>
      <c r="AD7285" s="508">
        <v>6.3E-2</v>
      </c>
      <c r="AE7285" s="508">
        <v>6.2E-2</v>
      </c>
      <c r="AF7285" s="508">
        <v>4.2000000000000003E-2</v>
      </c>
      <c r="AG7285" s="508">
        <v>4.1000000000000002E-2</v>
      </c>
      <c r="AH7285" s="508">
        <v>0.04</v>
      </c>
      <c r="AI7285" s="492">
        <v>3.9E-2</v>
      </c>
      <c r="AJ7285" s="485"/>
    </row>
    <row r="7286" spans="2:36">
      <c r="B7286" s="136" t="s">
        <v>457</v>
      </c>
      <c r="C7286" s="132" t="s">
        <v>1366</v>
      </c>
      <c r="D7286" s="132" t="s">
        <v>1381</v>
      </c>
      <c r="E7286" s="508">
        <v>3.569</v>
      </c>
      <c r="F7286" s="508">
        <v>2.83</v>
      </c>
      <c r="G7286" s="508">
        <v>2.8119999999999998</v>
      </c>
      <c r="H7286" s="508">
        <v>2.7850000000000001</v>
      </c>
      <c r="I7286" s="508">
        <v>2.7480000000000002</v>
      </c>
      <c r="J7286" s="508">
        <v>2.145</v>
      </c>
      <c r="K7286" s="508">
        <v>2.1</v>
      </c>
      <c r="L7286" s="508">
        <v>2.0529999999999999</v>
      </c>
      <c r="M7286" s="508">
        <v>2.0030000000000001</v>
      </c>
      <c r="N7286" s="508">
        <v>1.96</v>
      </c>
      <c r="O7286" s="508">
        <v>1.9039999999999999</v>
      </c>
      <c r="P7286" s="508">
        <v>1.349</v>
      </c>
      <c r="Q7286" s="508">
        <v>1.306</v>
      </c>
      <c r="R7286" s="508">
        <v>1.264</v>
      </c>
      <c r="S7286" s="508">
        <v>1.224</v>
      </c>
      <c r="T7286" s="508">
        <v>1.1870000000000001</v>
      </c>
      <c r="U7286" s="508">
        <v>0.57399999999999995</v>
      </c>
      <c r="V7286" s="508">
        <v>0.52800000000000002</v>
      </c>
      <c r="W7286" s="508">
        <v>0.48899999999999999</v>
      </c>
      <c r="X7286" s="508">
        <v>0.41199999999999998</v>
      </c>
      <c r="Y7286" s="508">
        <v>0.38800000000000001</v>
      </c>
      <c r="Z7286" s="508">
        <v>0.30299999999999999</v>
      </c>
      <c r="AA7286" s="508">
        <v>0.153</v>
      </c>
      <c r="AB7286" s="508">
        <v>0.13</v>
      </c>
      <c r="AC7286" s="508">
        <v>0.124</v>
      </c>
      <c r="AD7286" s="508">
        <v>0.10299999999999999</v>
      </c>
      <c r="AE7286" s="508">
        <v>0.1</v>
      </c>
      <c r="AF7286" s="508">
        <v>7.9000000000000001E-2</v>
      </c>
      <c r="AG7286" s="508">
        <v>7.8E-2</v>
      </c>
      <c r="AH7286" s="508">
        <v>7.5999999999999998E-2</v>
      </c>
      <c r="AI7286" s="492">
        <v>7.4999999999999997E-2</v>
      </c>
      <c r="AJ7286" s="485"/>
    </row>
    <row r="7287" spans="2:36">
      <c r="B7287" s="136" t="s">
        <v>458</v>
      </c>
      <c r="C7287" s="132" t="s">
        <v>1366</v>
      </c>
      <c r="D7287" s="132" t="s">
        <v>1381</v>
      </c>
      <c r="E7287" s="508">
        <v>3.4860000000000002</v>
      </c>
      <c r="F7287" s="508">
        <v>2.7360000000000002</v>
      </c>
      <c r="G7287" s="508">
        <v>2.72</v>
      </c>
      <c r="H7287" s="508">
        <v>2.6960000000000002</v>
      </c>
      <c r="I7287" s="508">
        <v>2.6619999999999999</v>
      </c>
      <c r="J7287" s="508">
        <v>2.048</v>
      </c>
      <c r="K7287" s="508">
        <v>2.0089999999999999</v>
      </c>
      <c r="L7287" s="508">
        <v>1.9670000000000001</v>
      </c>
      <c r="M7287" s="508">
        <v>1.923</v>
      </c>
      <c r="N7287" s="508">
        <v>1.863</v>
      </c>
      <c r="O7287" s="508">
        <v>1.8140000000000001</v>
      </c>
      <c r="P7287" s="508">
        <v>1.2529999999999999</v>
      </c>
      <c r="Q7287" s="508">
        <v>1.2150000000000001</v>
      </c>
      <c r="R7287" s="508">
        <v>1.1779999999999999</v>
      </c>
      <c r="S7287" s="508">
        <v>1.143</v>
      </c>
      <c r="T7287" s="508">
        <v>1.1100000000000001</v>
      </c>
      <c r="U7287" s="508">
        <v>0.495</v>
      </c>
      <c r="V7287" s="508">
        <v>0.45400000000000001</v>
      </c>
      <c r="W7287" s="508">
        <v>0.41899999999999998</v>
      </c>
      <c r="X7287" s="508">
        <v>0.34899999999999998</v>
      </c>
      <c r="Y7287" s="508">
        <v>0.32800000000000001</v>
      </c>
      <c r="Z7287" s="508">
        <v>0.25</v>
      </c>
      <c r="AA7287" s="508">
        <v>0.125</v>
      </c>
      <c r="AB7287" s="508">
        <v>0.104</v>
      </c>
      <c r="AC7287" s="508">
        <v>9.9000000000000005E-2</v>
      </c>
      <c r="AD7287" s="508">
        <v>0.08</v>
      </c>
      <c r="AE7287" s="508">
        <v>7.8E-2</v>
      </c>
      <c r="AF7287" s="508">
        <v>5.8000000000000003E-2</v>
      </c>
      <c r="AG7287" s="508">
        <v>5.7000000000000002E-2</v>
      </c>
      <c r="AH7287" s="508">
        <v>5.5E-2</v>
      </c>
      <c r="AI7287" s="492">
        <v>5.3999999999999999E-2</v>
      </c>
      <c r="AJ7287" s="485"/>
    </row>
    <row r="7288" spans="2:36">
      <c r="B7288" s="136" t="s">
        <v>459</v>
      </c>
      <c r="C7288" s="132" t="s">
        <v>1366</v>
      </c>
      <c r="D7288" s="132" t="s">
        <v>1381</v>
      </c>
      <c r="E7288" s="508">
        <v>3.5209999999999999</v>
      </c>
      <c r="F7288" s="508">
        <v>2.774</v>
      </c>
      <c r="G7288" s="508">
        <v>2.758</v>
      </c>
      <c r="H7288" s="508">
        <v>2.7330000000000001</v>
      </c>
      <c r="I7288" s="508">
        <v>2.698</v>
      </c>
      <c r="J7288" s="508">
        <v>2.085</v>
      </c>
      <c r="K7288" s="508">
        <v>2.044</v>
      </c>
      <c r="L7288" s="508">
        <v>2.0009999999999999</v>
      </c>
      <c r="M7288" s="508">
        <v>1.956</v>
      </c>
      <c r="N7288" s="508">
        <v>1.8959999999999999</v>
      </c>
      <c r="O7288" s="508">
        <v>1.845</v>
      </c>
      <c r="P7288" s="508">
        <v>1.2849999999999999</v>
      </c>
      <c r="Q7288" s="508">
        <v>1.2450000000000001</v>
      </c>
      <c r="R7288" s="508">
        <v>1.2070000000000001</v>
      </c>
      <c r="S7288" s="508">
        <v>1.171</v>
      </c>
      <c r="T7288" s="508">
        <v>1.1359999999999999</v>
      </c>
      <c r="U7288" s="508">
        <v>0.52200000000000002</v>
      </c>
      <c r="V7288" s="508">
        <v>0.48</v>
      </c>
      <c r="W7288" s="508">
        <v>0.44400000000000001</v>
      </c>
      <c r="X7288" s="508">
        <v>0.373</v>
      </c>
      <c r="Y7288" s="508">
        <v>0.35099999999999998</v>
      </c>
      <c r="Z7288" s="508">
        <v>0.27100000000000002</v>
      </c>
      <c r="AA7288" s="508">
        <v>0.13600000000000001</v>
      </c>
      <c r="AB7288" s="508">
        <v>0.114</v>
      </c>
      <c r="AC7288" s="508">
        <v>0.11</v>
      </c>
      <c r="AD7288" s="508">
        <v>8.8999999999999996E-2</v>
      </c>
      <c r="AE7288" s="508">
        <v>8.6999999999999994E-2</v>
      </c>
      <c r="AF7288" s="508">
        <v>6.7000000000000004E-2</v>
      </c>
      <c r="AG7288" s="508">
        <v>6.6000000000000003E-2</v>
      </c>
      <c r="AH7288" s="508">
        <v>6.5000000000000002E-2</v>
      </c>
      <c r="AI7288" s="492">
        <v>6.3E-2</v>
      </c>
      <c r="AJ7288" s="485"/>
    </row>
    <row r="7289" spans="2:36">
      <c r="B7289" s="136" t="s">
        <v>460</v>
      </c>
      <c r="C7289" s="132" t="s">
        <v>1366</v>
      </c>
      <c r="D7289" s="132" t="s">
        <v>1381</v>
      </c>
      <c r="E7289" s="508">
        <v>3.5819999999999999</v>
      </c>
      <c r="F7289" s="508">
        <v>2.8239999999999998</v>
      </c>
      <c r="G7289" s="508">
        <v>2.8069999999999999</v>
      </c>
      <c r="H7289" s="508">
        <v>2.782</v>
      </c>
      <c r="I7289" s="508">
        <v>2.7469999999999999</v>
      </c>
      <c r="J7289" s="508">
        <v>2.121</v>
      </c>
      <c r="K7289" s="508">
        <v>2.0790000000000002</v>
      </c>
      <c r="L7289" s="508">
        <v>2.0350000000000001</v>
      </c>
      <c r="M7289" s="508">
        <v>1.9890000000000001</v>
      </c>
      <c r="N7289" s="508">
        <v>1.929</v>
      </c>
      <c r="O7289" s="508">
        <v>1.877</v>
      </c>
      <c r="P7289" s="508">
        <v>1.3080000000000001</v>
      </c>
      <c r="Q7289" s="508">
        <v>1.2669999999999999</v>
      </c>
      <c r="R7289" s="508">
        <v>1.2290000000000001</v>
      </c>
      <c r="S7289" s="508">
        <v>1.1910000000000001</v>
      </c>
      <c r="T7289" s="508">
        <v>1.1559999999999999</v>
      </c>
      <c r="U7289" s="508">
        <v>0.53400000000000003</v>
      </c>
      <c r="V7289" s="508">
        <v>0.49</v>
      </c>
      <c r="W7289" s="508">
        <v>0.45500000000000002</v>
      </c>
      <c r="X7289" s="508">
        <v>0.38200000000000001</v>
      </c>
      <c r="Y7289" s="508">
        <v>0.35899999999999999</v>
      </c>
      <c r="Z7289" s="508">
        <v>0.27900000000000003</v>
      </c>
      <c r="AA7289" s="508">
        <v>0.14000000000000001</v>
      </c>
      <c r="AB7289" s="508">
        <v>0.11799999999999999</v>
      </c>
      <c r="AC7289" s="508">
        <v>0.113</v>
      </c>
      <c r="AD7289" s="508">
        <v>9.2999999999999999E-2</v>
      </c>
      <c r="AE7289" s="508">
        <v>9.0999999999999998E-2</v>
      </c>
      <c r="AF7289" s="508">
        <v>7.0000000000000007E-2</v>
      </c>
      <c r="AG7289" s="508">
        <v>6.9000000000000006E-2</v>
      </c>
      <c r="AH7289" s="508">
        <v>6.8000000000000005E-2</v>
      </c>
      <c r="AI7289" s="492">
        <v>6.6000000000000003E-2</v>
      </c>
      <c r="AJ7289" s="485"/>
    </row>
    <row r="7290" spans="2:36">
      <c r="B7290" s="136" t="s">
        <v>461</v>
      </c>
      <c r="C7290" s="132" t="s">
        <v>1366</v>
      </c>
      <c r="D7290" s="132" t="s">
        <v>1381</v>
      </c>
      <c r="E7290" s="508">
        <v>3.5880000000000001</v>
      </c>
      <c r="F7290" s="508">
        <v>2.8370000000000002</v>
      </c>
      <c r="G7290" s="508">
        <v>2.82</v>
      </c>
      <c r="H7290" s="508">
        <v>2.794</v>
      </c>
      <c r="I7290" s="508">
        <v>2.758</v>
      </c>
      <c r="J7290" s="508">
        <v>2.14</v>
      </c>
      <c r="K7290" s="508">
        <v>2.097</v>
      </c>
      <c r="L7290" s="508">
        <v>2.052</v>
      </c>
      <c r="M7290" s="508">
        <v>2.004</v>
      </c>
      <c r="N7290" s="508">
        <v>1.9490000000000001</v>
      </c>
      <c r="O7290" s="508">
        <v>1.8959999999999999</v>
      </c>
      <c r="P7290" s="508">
        <v>1.3320000000000001</v>
      </c>
      <c r="Q7290" s="508">
        <v>1.29</v>
      </c>
      <c r="R7290" s="508">
        <v>1.25</v>
      </c>
      <c r="S7290" s="508">
        <v>1.212</v>
      </c>
      <c r="T7290" s="508">
        <v>1.175</v>
      </c>
      <c r="U7290" s="508">
        <v>0.55700000000000005</v>
      </c>
      <c r="V7290" s="508">
        <v>0.51200000000000001</v>
      </c>
      <c r="W7290" s="508">
        <v>0.47599999999999998</v>
      </c>
      <c r="X7290" s="508">
        <v>0.40100000000000002</v>
      </c>
      <c r="Y7290" s="508">
        <v>0.378</v>
      </c>
      <c r="Z7290" s="508">
        <v>0.29499999999999998</v>
      </c>
      <c r="AA7290" s="508">
        <v>0.14899999999999999</v>
      </c>
      <c r="AB7290" s="508">
        <v>0.126</v>
      </c>
      <c r="AC7290" s="508">
        <v>0.121</v>
      </c>
      <c r="AD7290" s="508">
        <v>0.10100000000000001</v>
      </c>
      <c r="AE7290" s="508">
        <v>9.8000000000000004E-2</v>
      </c>
      <c r="AF7290" s="508">
        <v>7.8E-2</v>
      </c>
      <c r="AG7290" s="508">
        <v>7.5999999999999998E-2</v>
      </c>
      <c r="AH7290" s="508">
        <v>7.3999999999999996E-2</v>
      </c>
      <c r="AI7290" s="492">
        <v>7.2999999999999995E-2</v>
      </c>
      <c r="AJ7290" s="485"/>
    </row>
    <row r="7291" spans="2:36">
      <c r="B7291" s="136" t="s">
        <v>462</v>
      </c>
      <c r="C7291" s="132" t="s">
        <v>1366</v>
      </c>
      <c r="D7291" s="132" t="s">
        <v>1381</v>
      </c>
      <c r="E7291" s="508">
        <v>3.4860000000000002</v>
      </c>
      <c r="F7291" s="508">
        <v>2.7229999999999999</v>
      </c>
      <c r="G7291" s="508">
        <v>2.7050000000000001</v>
      </c>
      <c r="H7291" s="508">
        <v>2.6829999999999998</v>
      </c>
      <c r="I7291" s="508">
        <v>2.6480000000000001</v>
      </c>
      <c r="J7291" s="508">
        <v>2.0249999999999999</v>
      </c>
      <c r="K7291" s="508">
        <v>1.986</v>
      </c>
      <c r="L7291" s="508">
        <v>1.9450000000000001</v>
      </c>
      <c r="M7291" s="508">
        <v>1.9019999999999999</v>
      </c>
      <c r="N7291" s="508">
        <v>1.8540000000000001</v>
      </c>
      <c r="O7291" s="508">
        <v>1.8049999999999999</v>
      </c>
      <c r="P7291" s="508">
        <v>1.2370000000000001</v>
      </c>
      <c r="Q7291" s="508">
        <v>1.2</v>
      </c>
      <c r="R7291" s="508">
        <v>1.1639999999999999</v>
      </c>
      <c r="S7291" s="508">
        <v>1.129</v>
      </c>
      <c r="T7291" s="508">
        <v>1.097</v>
      </c>
      <c r="U7291" s="508">
        <v>0.47399999999999998</v>
      </c>
      <c r="V7291" s="508">
        <v>0.432</v>
      </c>
      <c r="W7291" s="508">
        <v>0.39800000000000002</v>
      </c>
      <c r="X7291" s="508">
        <v>0.32600000000000001</v>
      </c>
      <c r="Y7291" s="508">
        <v>0.30499999999999999</v>
      </c>
      <c r="Z7291" s="508">
        <v>0.22800000000000001</v>
      </c>
      <c r="AA7291" s="508">
        <v>0.114</v>
      </c>
      <c r="AB7291" s="508">
        <v>9.1999999999999998E-2</v>
      </c>
      <c r="AC7291" s="508">
        <v>8.7999999999999995E-2</v>
      </c>
      <c r="AD7291" s="508">
        <v>6.8000000000000005E-2</v>
      </c>
      <c r="AE7291" s="508">
        <v>6.7000000000000004E-2</v>
      </c>
      <c r="AF7291" s="508">
        <v>4.7E-2</v>
      </c>
      <c r="AG7291" s="508">
        <v>4.5999999999999999E-2</v>
      </c>
      <c r="AH7291" s="508">
        <v>4.4999999999999998E-2</v>
      </c>
      <c r="AI7291" s="492">
        <v>4.3999999999999997E-2</v>
      </c>
      <c r="AJ7291" s="485"/>
    </row>
    <row r="7292" spans="2:36">
      <c r="B7292" s="136" t="s">
        <v>463</v>
      </c>
      <c r="C7292" s="132" t="s">
        <v>1366</v>
      </c>
      <c r="D7292" s="132" t="s">
        <v>1381</v>
      </c>
      <c r="E7292" s="508">
        <v>3.4550000000000001</v>
      </c>
      <c r="F7292" s="508">
        <v>2.7210000000000001</v>
      </c>
      <c r="G7292" s="508">
        <v>2.7040000000000002</v>
      </c>
      <c r="H7292" s="508">
        <v>2.6789999999999998</v>
      </c>
      <c r="I7292" s="508">
        <v>2.6440000000000001</v>
      </c>
      <c r="J7292" s="508">
        <v>2.048</v>
      </c>
      <c r="K7292" s="508">
        <v>2.008</v>
      </c>
      <c r="L7292" s="508">
        <v>1.9650000000000001</v>
      </c>
      <c r="M7292" s="508">
        <v>1.92</v>
      </c>
      <c r="N7292" s="508">
        <v>1.8680000000000001</v>
      </c>
      <c r="O7292" s="508">
        <v>1.8169999999999999</v>
      </c>
      <c r="P7292" s="508">
        <v>1.2669999999999999</v>
      </c>
      <c r="Q7292" s="508">
        <v>1.228</v>
      </c>
      <c r="R7292" s="508">
        <v>1.19</v>
      </c>
      <c r="S7292" s="508">
        <v>1.1539999999999999</v>
      </c>
      <c r="T7292" s="508">
        <v>1.119</v>
      </c>
      <c r="U7292" s="508">
        <v>0.51200000000000001</v>
      </c>
      <c r="V7292" s="508">
        <v>0.46899999999999997</v>
      </c>
      <c r="W7292" s="508">
        <v>0.434</v>
      </c>
      <c r="X7292" s="508">
        <v>0.36</v>
      </c>
      <c r="Y7292" s="508">
        <v>0.33900000000000002</v>
      </c>
      <c r="Z7292" s="508">
        <v>0.25800000000000001</v>
      </c>
      <c r="AA7292" s="508">
        <v>0.13</v>
      </c>
      <c r="AB7292" s="508">
        <v>0.108</v>
      </c>
      <c r="AC7292" s="508">
        <v>0.10299999999999999</v>
      </c>
      <c r="AD7292" s="508">
        <v>8.3000000000000004E-2</v>
      </c>
      <c r="AE7292" s="508">
        <v>8.1000000000000003E-2</v>
      </c>
      <c r="AF7292" s="508">
        <v>0.06</v>
      </c>
      <c r="AG7292" s="508">
        <v>5.8999999999999997E-2</v>
      </c>
      <c r="AH7292" s="508">
        <v>5.8000000000000003E-2</v>
      </c>
      <c r="AI7292" s="492">
        <v>5.7000000000000002E-2</v>
      </c>
      <c r="AJ7292" s="485"/>
    </row>
    <row r="7293" spans="2:36">
      <c r="B7293" s="136" t="s">
        <v>464</v>
      </c>
      <c r="C7293" s="132" t="s">
        <v>1366</v>
      </c>
      <c r="D7293" s="132" t="s">
        <v>1381</v>
      </c>
      <c r="E7293" s="508">
        <v>3.585</v>
      </c>
      <c r="F7293" s="508">
        <v>2.843</v>
      </c>
      <c r="G7293" s="508">
        <v>2.8250000000000002</v>
      </c>
      <c r="H7293" s="508">
        <v>2.798</v>
      </c>
      <c r="I7293" s="508">
        <v>2.76</v>
      </c>
      <c r="J7293" s="508">
        <v>2.1549999999999998</v>
      </c>
      <c r="K7293" s="508">
        <v>2.11</v>
      </c>
      <c r="L7293" s="508">
        <v>2.0630000000000002</v>
      </c>
      <c r="M7293" s="508">
        <v>2.0129999999999999</v>
      </c>
      <c r="N7293" s="508">
        <v>1.968</v>
      </c>
      <c r="O7293" s="508">
        <v>1.9119999999999999</v>
      </c>
      <c r="P7293" s="508">
        <v>1.3540000000000001</v>
      </c>
      <c r="Q7293" s="508">
        <v>1.3109999999999999</v>
      </c>
      <c r="R7293" s="508">
        <v>1.2689999999999999</v>
      </c>
      <c r="S7293" s="508">
        <v>1.2290000000000001</v>
      </c>
      <c r="T7293" s="508">
        <v>1.1910000000000001</v>
      </c>
      <c r="U7293" s="508">
        <v>0.57499999999999996</v>
      </c>
      <c r="V7293" s="508">
        <v>0.52900000000000003</v>
      </c>
      <c r="W7293" s="508">
        <v>0.49099999999999999</v>
      </c>
      <c r="X7293" s="508">
        <v>0.41299999999999998</v>
      </c>
      <c r="Y7293" s="508">
        <v>0.38900000000000001</v>
      </c>
      <c r="Z7293" s="508">
        <v>0.30399999999999999</v>
      </c>
      <c r="AA7293" s="508">
        <v>0.153</v>
      </c>
      <c r="AB7293" s="508">
        <v>0.13</v>
      </c>
      <c r="AC7293" s="508">
        <v>0.125</v>
      </c>
      <c r="AD7293" s="508">
        <v>0.10299999999999999</v>
      </c>
      <c r="AE7293" s="508">
        <v>0.10100000000000001</v>
      </c>
      <c r="AF7293" s="508">
        <v>0.08</v>
      </c>
      <c r="AG7293" s="508">
        <v>7.8E-2</v>
      </c>
      <c r="AH7293" s="508">
        <v>7.5999999999999998E-2</v>
      </c>
      <c r="AI7293" s="492">
        <v>7.4999999999999997E-2</v>
      </c>
      <c r="AJ7293" s="485"/>
    </row>
    <row r="7294" spans="2:36">
      <c r="B7294" s="136" t="s">
        <v>465</v>
      </c>
      <c r="C7294" s="132" t="s">
        <v>1366</v>
      </c>
      <c r="D7294" s="132" t="s">
        <v>1381</v>
      </c>
      <c r="E7294" s="508">
        <v>3.5529999999999999</v>
      </c>
      <c r="F7294" s="508">
        <v>2.8050000000000002</v>
      </c>
      <c r="G7294" s="508">
        <v>2.7879999999999998</v>
      </c>
      <c r="H7294" s="508">
        <v>2.762</v>
      </c>
      <c r="I7294" s="508">
        <v>2.726</v>
      </c>
      <c r="J7294" s="508">
        <v>2.1150000000000002</v>
      </c>
      <c r="K7294" s="508">
        <v>2.073</v>
      </c>
      <c r="L7294" s="508">
        <v>2.028</v>
      </c>
      <c r="M7294" s="508">
        <v>1.9810000000000001</v>
      </c>
      <c r="N7294" s="508">
        <v>1.9279999999999999</v>
      </c>
      <c r="O7294" s="508">
        <v>1.875</v>
      </c>
      <c r="P7294" s="508">
        <v>1.3129999999999999</v>
      </c>
      <c r="Q7294" s="508">
        <v>1.272</v>
      </c>
      <c r="R7294" s="508">
        <v>1.232</v>
      </c>
      <c r="S7294" s="508">
        <v>1.1950000000000001</v>
      </c>
      <c r="T7294" s="508">
        <v>1.159</v>
      </c>
      <c r="U7294" s="508">
        <v>0.54100000000000004</v>
      </c>
      <c r="V7294" s="508">
        <v>0.496</v>
      </c>
      <c r="W7294" s="508">
        <v>0.46</v>
      </c>
      <c r="X7294" s="508">
        <v>0.38500000000000001</v>
      </c>
      <c r="Y7294" s="508">
        <v>0.36199999999999999</v>
      </c>
      <c r="Z7294" s="508">
        <v>0.28000000000000003</v>
      </c>
      <c r="AA7294" s="508">
        <v>0.14099999999999999</v>
      </c>
      <c r="AB7294" s="508">
        <v>0.11799999999999999</v>
      </c>
      <c r="AC7294" s="508">
        <v>0.113</v>
      </c>
      <c r="AD7294" s="508">
        <v>9.1999999999999998E-2</v>
      </c>
      <c r="AE7294" s="508">
        <v>0.09</v>
      </c>
      <c r="AF7294" s="508">
        <v>6.9000000000000006E-2</v>
      </c>
      <c r="AG7294" s="508">
        <v>6.8000000000000005E-2</v>
      </c>
      <c r="AH7294" s="508">
        <v>6.7000000000000004E-2</v>
      </c>
      <c r="AI7294" s="492">
        <v>6.5000000000000002E-2</v>
      </c>
      <c r="AJ7294" s="485"/>
    </row>
    <row r="7295" spans="2:36">
      <c r="B7295" s="136" t="s">
        <v>466</v>
      </c>
      <c r="C7295" s="132" t="s">
        <v>1366</v>
      </c>
      <c r="D7295" s="132" t="s">
        <v>1381</v>
      </c>
      <c r="E7295" s="508">
        <v>3.5550000000000002</v>
      </c>
      <c r="F7295" s="508">
        <v>2.7749999999999999</v>
      </c>
      <c r="G7295" s="508">
        <v>2.758</v>
      </c>
      <c r="H7295" s="508">
        <v>2.7360000000000002</v>
      </c>
      <c r="I7295" s="508">
        <v>2.7029999999999998</v>
      </c>
      <c r="J7295" s="508">
        <v>2.0579999999999998</v>
      </c>
      <c r="K7295" s="508">
        <v>2.02</v>
      </c>
      <c r="L7295" s="508">
        <v>1.98</v>
      </c>
      <c r="M7295" s="508">
        <v>1.9379999999999999</v>
      </c>
      <c r="N7295" s="508">
        <v>1.873</v>
      </c>
      <c r="O7295" s="508">
        <v>1.825</v>
      </c>
      <c r="P7295" s="508">
        <v>1.2410000000000001</v>
      </c>
      <c r="Q7295" s="508">
        <v>1.2050000000000001</v>
      </c>
      <c r="R7295" s="508">
        <v>1.17</v>
      </c>
      <c r="S7295" s="508">
        <v>1.1359999999999999</v>
      </c>
      <c r="T7295" s="508">
        <v>1.1040000000000001</v>
      </c>
      <c r="U7295" s="508">
        <v>0.47099999999999997</v>
      </c>
      <c r="V7295" s="508">
        <v>0.43</v>
      </c>
      <c r="W7295" s="508">
        <v>0.39700000000000002</v>
      </c>
      <c r="X7295" s="508">
        <v>0.32800000000000001</v>
      </c>
      <c r="Y7295" s="508">
        <v>0.307</v>
      </c>
      <c r="Z7295" s="508">
        <v>0.23100000000000001</v>
      </c>
      <c r="AA7295" s="508">
        <v>0.11600000000000001</v>
      </c>
      <c r="AB7295" s="508">
        <v>9.5000000000000001E-2</v>
      </c>
      <c r="AC7295" s="508">
        <v>9.0999999999999998E-2</v>
      </c>
      <c r="AD7295" s="508">
        <v>7.0999999999999994E-2</v>
      </c>
      <c r="AE7295" s="508">
        <v>7.0000000000000007E-2</v>
      </c>
      <c r="AF7295" s="508">
        <v>0.05</v>
      </c>
      <c r="AG7295" s="508">
        <v>4.9000000000000002E-2</v>
      </c>
      <c r="AH7295" s="508">
        <v>4.8000000000000001E-2</v>
      </c>
      <c r="AI7295" s="492">
        <v>4.7E-2</v>
      </c>
      <c r="AJ7295" s="485"/>
    </row>
    <row r="7296" spans="2:36">
      <c r="B7296" s="136" t="s">
        <v>467</v>
      </c>
      <c r="C7296" s="132" t="s">
        <v>1366</v>
      </c>
      <c r="D7296" s="132" t="s">
        <v>1381</v>
      </c>
      <c r="E7296" s="508">
        <v>3.5640000000000001</v>
      </c>
      <c r="F7296" s="508">
        <v>2.8140000000000001</v>
      </c>
      <c r="G7296" s="508">
        <v>2.7970000000000002</v>
      </c>
      <c r="H7296" s="508">
        <v>2.7709999999999999</v>
      </c>
      <c r="I7296" s="508">
        <v>2.7349999999999999</v>
      </c>
      <c r="J7296" s="508">
        <v>2.1190000000000002</v>
      </c>
      <c r="K7296" s="508">
        <v>2.077</v>
      </c>
      <c r="L7296" s="508">
        <v>2.032</v>
      </c>
      <c r="M7296" s="508">
        <v>1.984</v>
      </c>
      <c r="N7296" s="508">
        <v>1.9319999999999999</v>
      </c>
      <c r="O7296" s="508">
        <v>1.879</v>
      </c>
      <c r="P7296" s="508">
        <v>1.3169999999999999</v>
      </c>
      <c r="Q7296" s="508">
        <v>1.276</v>
      </c>
      <c r="R7296" s="508">
        <v>1.236</v>
      </c>
      <c r="S7296" s="508">
        <v>1.198</v>
      </c>
      <c r="T7296" s="508">
        <v>1.1619999999999999</v>
      </c>
      <c r="U7296" s="508">
        <v>0.54500000000000004</v>
      </c>
      <c r="V7296" s="508">
        <v>0.501</v>
      </c>
      <c r="W7296" s="508">
        <v>0.46400000000000002</v>
      </c>
      <c r="X7296" s="508">
        <v>0.39</v>
      </c>
      <c r="Y7296" s="508">
        <v>0.36699999999999999</v>
      </c>
      <c r="Z7296" s="508">
        <v>0.28599999999999998</v>
      </c>
      <c r="AA7296" s="508">
        <v>0.14399999999999999</v>
      </c>
      <c r="AB7296" s="508">
        <v>0.121</v>
      </c>
      <c r="AC7296" s="508">
        <v>0.11600000000000001</v>
      </c>
      <c r="AD7296" s="508">
        <v>9.6000000000000002E-2</v>
      </c>
      <c r="AE7296" s="508">
        <v>9.2999999999999999E-2</v>
      </c>
      <c r="AF7296" s="508">
        <v>7.2999999999999995E-2</v>
      </c>
      <c r="AG7296" s="508">
        <v>7.0999999999999994E-2</v>
      </c>
      <c r="AH7296" s="508">
        <v>7.0000000000000007E-2</v>
      </c>
      <c r="AI7296" s="492">
        <v>6.9000000000000006E-2</v>
      </c>
      <c r="AJ7296" s="485"/>
    </row>
    <row r="7297" spans="2:36">
      <c r="B7297" s="136" t="s">
        <v>468</v>
      </c>
      <c r="C7297" s="132" t="s">
        <v>1366</v>
      </c>
      <c r="D7297" s="132" t="s">
        <v>1381</v>
      </c>
      <c r="E7297" s="508">
        <v>3.4569999999999999</v>
      </c>
      <c r="F7297" s="508">
        <v>2.726</v>
      </c>
      <c r="G7297" s="508">
        <v>2.71</v>
      </c>
      <c r="H7297" s="508">
        <v>2.6850000000000001</v>
      </c>
      <c r="I7297" s="508">
        <v>2.65</v>
      </c>
      <c r="J7297" s="508">
        <v>2.0550000000000002</v>
      </c>
      <c r="K7297" s="508">
        <v>2.0150000000000001</v>
      </c>
      <c r="L7297" s="508">
        <v>1.9710000000000001</v>
      </c>
      <c r="M7297" s="508">
        <v>1.9259999999999999</v>
      </c>
      <c r="N7297" s="508">
        <v>1.873</v>
      </c>
      <c r="O7297" s="508">
        <v>1.8220000000000001</v>
      </c>
      <c r="P7297" s="508">
        <v>1.272</v>
      </c>
      <c r="Q7297" s="508">
        <v>1.2330000000000001</v>
      </c>
      <c r="R7297" s="508">
        <v>1.1950000000000001</v>
      </c>
      <c r="S7297" s="508">
        <v>1.1579999999999999</v>
      </c>
      <c r="T7297" s="508">
        <v>1.1240000000000001</v>
      </c>
      <c r="U7297" s="508">
        <v>0.51800000000000002</v>
      </c>
      <c r="V7297" s="508">
        <v>0.47499999999999998</v>
      </c>
      <c r="W7297" s="508">
        <v>0.439</v>
      </c>
      <c r="X7297" s="508">
        <v>0.36599999999999999</v>
      </c>
      <c r="Y7297" s="508">
        <v>0.34399999999999997</v>
      </c>
      <c r="Z7297" s="508">
        <v>0.26300000000000001</v>
      </c>
      <c r="AA7297" s="508">
        <v>0.13200000000000001</v>
      </c>
      <c r="AB7297" s="508">
        <v>0.11</v>
      </c>
      <c r="AC7297" s="508">
        <v>0.105</v>
      </c>
      <c r="AD7297" s="508">
        <v>8.5000000000000006E-2</v>
      </c>
      <c r="AE7297" s="508">
        <v>8.3000000000000004E-2</v>
      </c>
      <c r="AF7297" s="508">
        <v>6.2E-2</v>
      </c>
      <c r="AG7297" s="508">
        <v>6.0999999999999999E-2</v>
      </c>
      <c r="AH7297" s="508">
        <v>0.06</v>
      </c>
      <c r="AI7297" s="492">
        <v>5.8999999999999997E-2</v>
      </c>
      <c r="AJ7297" s="485"/>
    </row>
    <row r="7298" spans="2:36">
      <c r="B7298" s="136" t="s">
        <v>469</v>
      </c>
      <c r="C7298" s="132" t="s">
        <v>1366</v>
      </c>
      <c r="D7298" s="132" t="s">
        <v>1381</v>
      </c>
      <c r="E7298" s="508">
        <v>3.5169999999999999</v>
      </c>
      <c r="F7298" s="508">
        <v>2.7629999999999999</v>
      </c>
      <c r="G7298" s="508">
        <v>2.746</v>
      </c>
      <c r="H7298" s="508">
        <v>2.7210000000000001</v>
      </c>
      <c r="I7298" s="508">
        <v>2.6859999999999999</v>
      </c>
      <c r="J7298" s="508">
        <v>2.069</v>
      </c>
      <c r="K7298" s="508">
        <v>2.0289999999999999</v>
      </c>
      <c r="L7298" s="508">
        <v>1.986</v>
      </c>
      <c r="M7298" s="508">
        <v>1.9410000000000001</v>
      </c>
      <c r="N7298" s="508">
        <v>1.89</v>
      </c>
      <c r="O7298" s="508">
        <v>1.839</v>
      </c>
      <c r="P7298" s="508">
        <v>1.274</v>
      </c>
      <c r="Q7298" s="508">
        <v>1.2350000000000001</v>
      </c>
      <c r="R7298" s="508">
        <v>1.1970000000000001</v>
      </c>
      <c r="S7298" s="508">
        <v>1.161</v>
      </c>
      <c r="T7298" s="508">
        <v>1.127</v>
      </c>
      <c r="U7298" s="508">
        <v>0.50700000000000001</v>
      </c>
      <c r="V7298" s="508">
        <v>0.46400000000000002</v>
      </c>
      <c r="W7298" s="508">
        <v>0.42899999999999999</v>
      </c>
      <c r="X7298" s="508">
        <v>0.35499999999999998</v>
      </c>
      <c r="Y7298" s="508">
        <v>0.33400000000000002</v>
      </c>
      <c r="Z7298" s="508">
        <v>0.254</v>
      </c>
      <c r="AA7298" s="508">
        <v>0.127</v>
      </c>
      <c r="AB7298" s="508">
        <v>0.105</v>
      </c>
      <c r="AC7298" s="508">
        <v>0.10100000000000001</v>
      </c>
      <c r="AD7298" s="508">
        <v>0.08</v>
      </c>
      <c r="AE7298" s="508">
        <v>7.8E-2</v>
      </c>
      <c r="AF7298" s="508">
        <v>5.8000000000000003E-2</v>
      </c>
      <c r="AG7298" s="508">
        <v>5.7000000000000002E-2</v>
      </c>
      <c r="AH7298" s="508">
        <v>5.6000000000000001E-2</v>
      </c>
      <c r="AI7298" s="492">
        <v>5.5E-2</v>
      </c>
      <c r="AJ7298" s="485"/>
    </row>
    <row r="7299" spans="2:36">
      <c r="B7299" s="136" t="s">
        <v>470</v>
      </c>
      <c r="C7299" s="132" t="s">
        <v>1366</v>
      </c>
      <c r="D7299" s="132" t="s">
        <v>1381</v>
      </c>
      <c r="E7299" s="508">
        <v>3.55</v>
      </c>
      <c r="F7299" s="508">
        <v>2.7919999999999998</v>
      </c>
      <c r="G7299" s="508">
        <v>2.7759999999999998</v>
      </c>
      <c r="H7299" s="508">
        <v>2.7509999999999999</v>
      </c>
      <c r="I7299" s="508">
        <v>2.7170000000000001</v>
      </c>
      <c r="J7299" s="508">
        <v>2.0910000000000002</v>
      </c>
      <c r="K7299" s="508">
        <v>2.0510000000000002</v>
      </c>
      <c r="L7299" s="508">
        <v>2.008</v>
      </c>
      <c r="M7299" s="508">
        <v>1.9630000000000001</v>
      </c>
      <c r="N7299" s="508">
        <v>1.9019999999999999</v>
      </c>
      <c r="O7299" s="508">
        <v>1.8520000000000001</v>
      </c>
      <c r="P7299" s="508">
        <v>1.284</v>
      </c>
      <c r="Q7299" s="508">
        <v>1.244</v>
      </c>
      <c r="R7299" s="508">
        <v>1.2070000000000001</v>
      </c>
      <c r="S7299" s="508">
        <v>1.171</v>
      </c>
      <c r="T7299" s="508">
        <v>1.1359999999999999</v>
      </c>
      <c r="U7299" s="508">
        <v>0.51600000000000001</v>
      </c>
      <c r="V7299" s="508">
        <v>0.47399999999999998</v>
      </c>
      <c r="W7299" s="508">
        <v>0.439</v>
      </c>
      <c r="X7299" s="508">
        <v>0.36699999999999999</v>
      </c>
      <c r="Y7299" s="508">
        <v>0.34599999999999997</v>
      </c>
      <c r="Z7299" s="508">
        <v>0.26600000000000001</v>
      </c>
      <c r="AA7299" s="508">
        <v>0.13400000000000001</v>
      </c>
      <c r="AB7299" s="508">
        <v>0.112</v>
      </c>
      <c r="AC7299" s="508">
        <v>0.108</v>
      </c>
      <c r="AD7299" s="508">
        <v>8.7999999999999995E-2</v>
      </c>
      <c r="AE7299" s="508">
        <v>8.5999999999999993E-2</v>
      </c>
      <c r="AF7299" s="508">
        <v>6.6000000000000003E-2</v>
      </c>
      <c r="AG7299" s="508">
        <v>6.4000000000000001E-2</v>
      </c>
      <c r="AH7299" s="508">
        <v>6.3E-2</v>
      </c>
      <c r="AI7299" s="492">
        <v>6.2E-2</v>
      </c>
      <c r="AJ7299" s="485"/>
    </row>
    <row r="7300" spans="2:36">
      <c r="B7300" s="136" t="s">
        <v>471</v>
      </c>
      <c r="C7300" s="132" t="s">
        <v>1366</v>
      </c>
      <c r="D7300" s="132" t="s">
        <v>1381</v>
      </c>
      <c r="E7300" s="508">
        <v>3.5</v>
      </c>
      <c r="F7300" s="508">
        <v>2.738</v>
      </c>
      <c r="G7300" s="508">
        <v>2.7210000000000001</v>
      </c>
      <c r="H7300" s="508">
        <v>2.698</v>
      </c>
      <c r="I7300" s="508">
        <v>2.6640000000000001</v>
      </c>
      <c r="J7300" s="508">
        <v>2.0379999999999998</v>
      </c>
      <c r="K7300" s="508">
        <v>2</v>
      </c>
      <c r="L7300" s="508">
        <v>1.9590000000000001</v>
      </c>
      <c r="M7300" s="508">
        <v>1.9159999999999999</v>
      </c>
      <c r="N7300" s="508">
        <v>1.861</v>
      </c>
      <c r="O7300" s="508">
        <v>1.8120000000000001</v>
      </c>
      <c r="P7300" s="508">
        <v>1.2430000000000001</v>
      </c>
      <c r="Q7300" s="508">
        <v>1.2050000000000001</v>
      </c>
      <c r="R7300" s="508">
        <v>1.169</v>
      </c>
      <c r="S7300" s="508">
        <v>1.135</v>
      </c>
      <c r="T7300" s="508">
        <v>1.1020000000000001</v>
      </c>
      <c r="U7300" s="508">
        <v>0.48099999999999998</v>
      </c>
      <c r="V7300" s="508">
        <v>0.439</v>
      </c>
      <c r="W7300" s="508">
        <v>0.40600000000000003</v>
      </c>
      <c r="X7300" s="508">
        <v>0.33400000000000002</v>
      </c>
      <c r="Y7300" s="508">
        <v>0.314</v>
      </c>
      <c r="Z7300" s="508">
        <v>0.23699999999999999</v>
      </c>
      <c r="AA7300" s="508">
        <v>0.11899999999999999</v>
      </c>
      <c r="AB7300" s="508">
        <v>9.7000000000000003E-2</v>
      </c>
      <c r="AC7300" s="508">
        <v>9.2999999999999999E-2</v>
      </c>
      <c r="AD7300" s="508">
        <v>7.2999999999999995E-2</v>
      </c>
      <c r="AE7300" s="508">
        <v>7.0999999999999994E-2</v>
      </c>
      <c r="AF7300" s="508">
        <v>5.1999999999999998E-2</v>
      </c>
      <c r="AG7300" s="508">
        <v>5.0999999999999997E-2</v>
      </c>
      <c r="AH7300" s="508">
        <v>0.05</v>
      </c>
      <c r="AI7300" s="492">
        <v>4.9000000000000002E-2</v>
      </c>
      <c r="AJ7300" s="485"/>
    </row>
    <row r="7301" spans="2:36">
      <c r="B7301" s="136" t="s">
        <v>472</v>
      </c>
      <c r="C7301" s="132" t="s">
        <v>1366</v>
      </c>
      <c r="D7301" s="132" t="s">
        <v>1381</v>
      </c>
      <c r="E7301" s="508">
        <v>3.6150000000000002</v>
      </c>
      <c r="F7301" s="508">
        <v>2.8730000000000002</v>
      </c>
      <c r="G7301" s="508">
        <v>2.8559999999999999</v>
      </c>
      <c r="H7301" s="508">
        <v>2.8279999999999998</v>
      </c>
      <c r="I7301" s="508">
        <v>2.79</v>
      </c>
      <c r="J7301" s="508">
        <v>2.1829999999999998</v>
      </c>
      <c r="K7301" s="508">
        <v>2.1379999999999999</v>
      </c>
      <c r="L7301" s="508">
        <v>2.089</v>
      </c>
      <c r="M7301" s="508">
        <v>2.0390000000000001</v>
      </c>
      <c r="N7301" s="508">
        <v>1.9930000000000001</v>
      </c>
      <c r="O7301" s="508">
        <v>1.9359999999999999</v>
      </c>
      <c r="P7301" s="508">
        <v>1.379</v>
      </c>
      <c r="Q7301" s="508">
        <v>1.3340000000000001</v>
      </c>
      <c r="R7301" s="508">
        <v>1.2909999999999999</v>
      </c>
      <c r="S7301" s="508">
        <v>1.25</v>
      </c>
      <c r="T7301" s="508">
        <v>1.212</v>
      </c>
      <c r="U7301" s="508">
        <v>0.59499999999999997</v>
      </c>
      <c r="V7301" s="508">
        <v>0.54800000000000004</v>
      </c>
      <c r="W7301" s="508">
        <v>0.50900000000000001</v>
      </c>
      <c r="X7301" s="508">
        <v>0.43099999999999999</v>
      </c>
      <c r="Y7301" s="508">
        <v>0.40600000000000003</v>
      </c>
      <c r="Z7301" s="508">
        <v>0.32</v>
      </c>
      <c r="AA7301" s="508">
        <v>0.161</v>
      </c>
      <c r="AB7301" s="508">
        <v>0.13800000000000001</v>
      </c>
      <c r="AC7301" s="508">
        <v>0.13200000000000001</v>
      </c>
      <c r="AD7301" s="508">
        <v>0.111</v>
      </c>
      <c r="AE7301" s="508">
        <v>0.108</v>
      </c>
      <c r="AF7301" s="508">
        <v>8.6999999999999994E-2</v>
      </c>
      <c r="AG7301" s="508">
        <v>8.5000000000000006E-2</v>
      </c>
      <c r="AH7301" s="508">
        <v>8.3000000000000004E-2</v>
      </c>
      <c r="AI7301" s="492">
        <v>8.2000000000000003E-2</v>
      </c>
      <c r="AJ7301" s="485"/>
    </row>
    <row r="7302" spans="2:36">
      <c r="B7302" s="136" t="s">
        <v>473</v>
      </c>
      <c r="C7302" s="132" t="s">
        <v>1366</v>
      </c>
      <c r="D7302" s="132" t="s">
        <v>1381</v>
      </c>
      <c r="E7302" s="508">
        <v>3.577</v>
      </c>
      <c r="F7302" s="508">
        <v>2.81</v>
      </c>
      <c r="G7302" s="508">
        <v>2.794</v>
      </c>
      <c r="H7302" s="508">
        <v>2.7690000000000001</v>
      </c>
      <c r="I7302" s="508">
        <v>2.734</v>
      </c>
      <c r="J7302" s="508">
        <v>2.101</v>
      </c>
      <c r="K7302" s="508">
        <v>2.0609999999999999</v>
      </c>
      <c r="L7302" s="508">
        <v>2.0169999999999999</v>
      </c>
      <c r="M7302" s="508">
        <v>1.9730000000000001</v>
      </c>
      <c r="N7302" s="508">
        <v>1.9119999999999999</v>
      </c>
      <c r="O7302" s="508">
        <v>1.8620000000000001</v>
      </c>
      <c r="P7302" s="508">
        <v>1.288</v>
      </c>
      <c r="Q7302" s="508">
        <v>1.248</v>
      </c>
      <c r="R7302" s="508">
        <v>1.2110000000000001</v>
      </c>
      <c r="S7302" s="508">
        <v>1.175</v>
      </c>
      <c r="T7302" s="508">
        <v>1.1399999999999999</v>
      </c>
      <c r="U7302" s="508">
        <v>0.51500000000000001</v>
      </c>
      <c r="V7302" s="508">
        <v>0.47199999999999998</v>
      </c>
      <c r="W7302" s="508">
        <v>0.437</v>
      </c>
      <c r="X7302" s="508">
        <v>0.36499999999999999</v>
      </c>
      <c r="Y7302" s="508">
        <v>0.34399999999999997</v>
      </c>
      <c r="Z7302" s="508">
        <v>0.26500000000000001</v>
      </c>
      <c r="AA7302" s="508">
        <v>0.13300000000000001</v>
      </c>
      <c r="AB7302" s="508">
        <v>0.111</v>
      </c>
      <c r="AC7302" s="508">
        <v>0.107</v>
      </c>
      <c r="AD7302" s="508">
        <v>8.6999999999999994E-2</v>
      </c>
      <c r="AE7302" s="508">
        <v>8.5000000000000006E-2</v>
      </c>
      <c r="AF7302" s="508">
        <v>6.5000000000000002E-2</v>
      </c>
      <c r="AG7302" s="508">
        <v>6.3E-2</v>
      </c>
      <c r="AH7302" s="508">
        <v>6.2E-2</v>
      </c>
      <c r="AI7302" s="492">
        <v>6.0999999999999999E-2</v>
      </c>
      <c r="AJ7302" s="485"/>
    </row>
    <row r="7303" spans="2:36">
      <c r="B7303" s="136" t="s">
        <v>474</v>
      </c>
      <c r="C7303" s="132" t="s">
        <v>1366</v>
      </c>
      <c r="D7303" s="132" t="s">
        <v>1381</v>
      </c>
      <c r="E7303" s="508">
        <v>3.5169999999999999</v>
      </c>
      <c r="F7303" s="508">
        <v>2.7530000000000001</v>
      </c>
      <c r="G7303" s="508">
        <v>2.7360000000000002</v>
      </c>
      <c r="H7303" s="508">
        <v>2.7130000000000001</v>
      </c>
      <c r="I7303" s="508">
        <v>2.6789999999999998</v>
      </c>
      <c r="J7303" s="508">
        <v>2.052</v>
      </c>
      <c r="K7303" s="508">
        <v>2.0129999999999999</v>
      </c>
      <c r="L7303" s="508">
        <v>1.972</v>
      </c>
      <c r="M7303" s="508">
        <v>1.9279999999999999</v>
      </c>
      <c r="N7303" s="508">
        <v>1.873</v>
      </c>
      <c r="O7303" s="508">
        <v>1.8240000000000001</v>
      </c>
      <c r="P7303" s="508">
        <v>1.2529999999999999</v>
      </c>
      <c r="Q7303" s="508">
        <v>1.2150000000000001</v>
      </c>
      <c r="R7303" s="508">
        <v>1.179</v>
      </c>
      <c r="S7303" s="508">
        <v>1.1439999999999999</v>
      </c>
      <c r="T7303" s="508">
        <v>1.111</v>
      </c>
      <c r="U7303" s="508">
        <v>0.48699999999999999</v>
      </c>
      <c r="V7303" s="508">
        <v>0.44500000000000001</v>
      </c>
      <c r="W7303" s="508">
        <v>0.41099999999999998</v>
      </c>
      <c r="X7303" s="508">
        <v>0.33900000000000002</v>
      </c>
      <c r="Y7303" s="508">
        <v>0.318</v>
      </c>
      <c r="Z7303" s="508">
        <v>0.24</v>
      </c>
      <c r="AA7303" s="508">
        <v>0.12</v>
      </c>
      <c r="AB7303" s="508">
        <v>9.9000000000000005E-2</v>
      </c>
      <c r="AC7303" s="508">
        <v>9.4E-2</v>
      </c>
      <c r="AD7303" s="508">
        <v>7.3999999999999996E-2</v>
      </c>
      <c r="AE7303" s="508">
        <v>7.2999999999999995E-2</v>
      </c>
      <c r="AF7303" s="508">
        <v>5.2999999999999999E-2</v>
      </c>
      <c r="AG7303" s="508">
        <v>5.0999999999999997E-2</v>
      </c>
      <c r="AH7303" s="508">
        <v>0.05</v>
      </c>
      <c r="AI7303" s="492">
        <v>0.05</v>
      </c>
      <c r="AJ7303" s="485"/>
    </row>
    <row r="7304" spans="2:36">
      <c r="B7304" s="136" t="s">
        <v>475</v>
      </c>
      <c r="C7304" s="132" t="s">
        <v>1366</v>
      </c>
      <c r="D7304" s="132" t="s">
        <v>1381</v>
      </c>
      <c r="E7304" s="508">
        <v>3.5219999999999998</v>
      </c>
      <c r="F7304" s="508">
        <v>2.7719999999999998</v>
      </c>
      <c r="G7304" s="508">
        <v>2.7559999999999998</v>
      </c>
      <c r="H7304" s="508">
        <v>2.73</v>
      </c>
      <c r="I7304" s="508">
        <v>2.6949999999999998</v>
      </c>
      <c r="J7304" s="508">
        <v>2.081</v>
      </c>
      <c r="K7304" s="508">
        <v>2.04</v>
      </c>
      <c r="L7304" s="508">
        <v>1.996</v>
      </c>
      <c r="M7304" s="508">
        <v>1.95</v>
      </c>
      <c r="N7304" s="508">
        <v>1.899</v>
      </c>
      <c r="O7304" s="508">
        <v>1.847</v>
      </c>
      <c r="P7304" s="508">
        <v>1.286</v>
      </c>
      <c r="Q7304" s="508">
        <v>1.246</v>
      </c>
      <c r="R7304" s="508">
        <v>1.208</v>
      </c>
      <c r="S7304" s="508">
        <v>1.171</v>
      </c>
      <c r="T7304" s="508">
        <v>1.1359999999999999</v>
      </c>
      <c r="U7304" s="508">
        <v>0.52100000000000002</v>
      </c>
      <c r="V7304" s="508">
        <v>0.47799999999999998</v>
      </c>
      <c r="W7304" s="508">
        <v>0.442</v>
      </c>
      <c r="X7304" s="508">
        <v>0.36799999999999999</v>
      </c>
      <c r="Y7304" s="508">
        <v>0.34599999999999997</v>
      </c>
      <c r="Z7304" s="508">
        <v>0.26600000000000001</v>
      </c>
      <c r="AA7304" s="508">
        <v>0.13400000000000001</v>
      </c>
      <c r="AB7304" s="508">
        <v>0.112</v>
      </c>
      <c r="AC7304" s="508">
        <v>0.107</v>
      </c>
      <c r="AD7304" s="508">
        <v>8.5999999999999993E-2</v>
      </c>
      <c r="AE7304" s="508">
        <v>8.4000000000000005E-2</v>
      </c>
      <c r="AF7304" s="508">
        <v>6.4000000000000001E-2</v>
      </c>
      <c r="AG7304" s="508">
        <v>6.3E-2</v>
      </c>
      <c r="AH7304" s="508">
        <v>6.2E-2</v>
      </c>
      <c r="AI7304" s="492">
        <v>0.06</v>
      </c>
      <c r="AJ7304" s="485"/>
    </row>
    <row r="7305" spans="2:36">
      <c r="B7305" s="136" t="s">
        <v>476</v>
      </c>
      <c r="C7305" s="132" t="s">
        <v>1366</v>
      </c>
      <c r="D7305" s="132" t="s">
        <v>1381</v>
      </c>
      <c r="E7305" s="508">
        <v>3.56</v>
      </c>
      <c r="F7305" s="508">
        <v>2.8</v>
      </c>
      <c r="G7305" s="508">
        <v>2.7829999999999999</v>
      </c>
      <c r="H7305" s="508">
        <v>2.758</v>
      </c>
      <c r="I7305" s="508">
        <v>2.7240000000000002</v>
      </c>
      <c r="J7305" s="508">
        <v>2.097</v>
      </c>
      <c r="K7305" s="508">
        <v>2.0569999999999999</v>
      </c>
      <c r="L7305" s="508">
        <v>2.0129999999999999</v>
      </c>
      <c r="M7305" s="508">
        <v>1.968</v>
      </c>
      <c r="N7305" s="508">
        <v>1.909</v>
      </c>
      <c r="O7305" s="508">
        <v>1.8580000000000001</v>
      </c>
      <c r="P7305" s="508">
        <v>1.288</v>
      </c>
      <c r="Q7305" s="508">
        <v>1.248</v>
      </c>
      <c r="R7305" s="508">
        <v>1.21</v>
      </c>
      <c r="S7305" s="508">
        <v>1.1739999999999999</v>
      </c>
      <c r="T7305" s="508">
        <v>1.1399999999999999</v>
      </c>
      <c r="U7305" s="508">
        <v>0.51700000000000002</v>
      </c>
      <c r="V7305" s="508">
        <v>0.47399999999999998</v>
      </c>
      <c r="W7305" s="508">
        <v>0.439</v>
      </c>
      <c r="X7305" s="508">
        <v>0.36699999999999999</v>
      </c>
      <c r="Y7305" s="508">
        <v>0.34499999999999997</v>
      </c>
      <c r="Z7305" s="508">
        <v>0.26500000000000001</v>
      </c>
      <c r="AA7305" s="508">
        <v>0.13300000000000001</v>
      </c>
      <c r="AB7305" s="508">
        <v>0.112</v>
      </c>
      <c r="AC7305" s="508">
        <v>0.107</v>
      </c>
      <c r="AD7305" s="508">
        <v>8.6999999999999994E-2</v>
      </c>
      <c r="AE7305" s="508">
        <v>8.5000000000000006E-2</v>
      </c>
      <c r="AF7305" s="508">
        <v>6.5000000000000002E-2</v>
      </c>
      <c r="AG7305" s="508">
        <v>6.3E-2</v>
      </c>
      <c r="AH7305" s="508">
        <v>6.2E-2</v>
      </c>
      <c r="AI7305" s="492">
        <v>6.0999999999999999E-2</v>
      </c>
      <c r="AJ7305" s="485"/>
    </row>
    <row r="7306" spans="2:36">
      <c r="B7306" s="136" t="s">
        <v>478</v>
      </c>
      <c r="C7306" s="132" t="s">
        <v>1366</v>
      </c>
      <c r="D7306" s="132" t="s">
        <v>1381</v>
      </c>
      <c r="E7306" s="508">
        <v>3.5449999999999999</v>
      </c>
      <c r="F7306" s="508">
        <v>2.7869999999999999</v>
      </c>
      <c r="G7306" s="508">
        <v>2.7709999999999999</v>
      </c>
      <c r="H7306" s="508">
        <v>2.746</v>
      </c>
      <c r="I7306" s="508">
        <v>2.7120000000000002</v>
      </c>
      <c r="J7306" s="508">
        <v>2.0859999999999999</v>
      </c>
      <c r="K7306" s="508">
        <v>2.0470000000000002</v>
      </c>
      <c r="L7306" s="508">
        <v>2.004</v>
      </c>
      <c r="M7306" s="508">
        <v>1.96</v>
      </c>
      <c r="N7306" s="508">
        <v>1.895</v>
      </c>
      <c r="O7306" s="508">
        <v>1.8440000000000001</v>
      </c>
      <c r="P7306" s="508">
        <v>1.276</v>
      </c>
      <c r="Q7306" s="508">
        <v>1.2370000000000001</v>
      </c>
      <c r="R7306" s="508">
        <v>1.2</v>
      </c>
      <c r="S7306" s="508">
        <v>1.1639999999999999</v>
      </c>
      <c r="T7306" s="508">
        <v>1.131</v>
      </c>
      <c r="U7306" s="508">
        <v>0.51</v>
      </c>
      <c r="V7306" s="508">
        <v>0.46800000000000003</v>
      </c>
      <c r="W7306" s="508">
        <v>0.434</v>
      </c>
      <c r="X7306" s="508">
        <v>0.36299999999999999</v>
      </c>
      <c r="Y7306" s="508">
        <v>0.34200000000000003</v>
      </c>
      <c r="Z7306" s="508">
        <v>0.26300000000000001</v>
      </c>
      <c r="AA7306" s="508">
        <v>0.13200000000000001</v>
      </c>
      <c r="AB7306" s="508">
        <v>0.111</v>
      </c>
      <c r="AC7306" s="508">
        <v>0.106</v>
      </c>
      <c r="AD7306" s="508">
        <v>8.5999999999999993E-2</v>
      </c>
      <c r="AE7306" s="508">
        <v>8.4000000000000005E-2</v>
      </c>
      <c r="AF7306" s="508">
        <v>6.4000000000000001E-2</v>
      </c>
      <c r="AG7306" s="508">
        <v>6.3E-2</v>
      </c>
      <c r="AH7306" s="508">
        <v>6.2E-2</v>
      </c>
      <c r="AI7306" s="492">
        <v>6.0999999999999999E-2</v>
      </c>
      <c r="AJ7306" s="485"/>
    </row>
    <row r="7307" spans="2:36">
      <c r="B7307" s="136" t="s">
        <v>479</v>
      </c>
      <c r="C7307" s="132" t="s">
        <v>1366</v>
      </c>
      <c r="D7307" s="132" t="s">
        <v>1381</v>
      </c>
      <c r="E7307" s="508">
        <v>3.496</v>
      </c>
      <c r="F7307" s="508">
        <v>2.7330000000000001</v>
      </c>
      <c r="G7307" s="508">
        <v>2.7160000000000002</v>
      </c>
      <c r="H7307" s="508">
        <v>2.6930000000000001</v>
      </c>
      <c r="I7307" s="508">
        <v>2.6589999999999998</v>
      </c>
      <c r="J7307" s="508">
        <v>2.0350000000000001</v>
      </c>
      <c r="K7307" s="508">
        <v>1.996</v>
      </c>
      <c r="L7307" s="508">
        <v>1.9550000000000001</v>
      </c>
      <c r="M7307" s="508">
        <v>1.9119999999999999</v>
      </c>
      <c r="N7307" s="508">
        <v>1.857</v>
      </c>
      <c r="O7307" s="508">
        <v>1.8089999999999999</v>
      </c>
      <c r="P7307" s="508">
        <v>1.238</v>
      </c>
      <c r="Q7307" s="508">
        <v>1.2010000000000001</v>
      </c>
      <c r="R7307" s="508">
        <v>1.165</v>
      </c>
      <c r="S7307" s="508">
        <v>1.131</v>
      </c>
      <c r="T7307" s="508">
        <v>1.099</v>
      </c>
      <c r="U7307" s="508">
        <v>0.47499999999999998</v>
      </c>
      <c r="V7307" s="508">
        <v>0.433</v>
      </c>
      <c r="W7307" s="508">
        <v>0.39900000000000002</v>
      </c>
      <c r="X7307" s="508">
        <v>0.32800000000000001</v>
      </c>
      <c r="Y7307" s="508">
        <v>0.307</v>
      </c>
      <c r="Z7307" s="508">
        <v>0.23</v>
      </c>
      <c r="AA7307" s="508">
        <v>0.115</v>
      </c>
      <c r="AB7307" s="508">
        <v>9.4E-2</v>
      </c>
      <c r="AC7307" s="508">
        <v>8.8999999999999996E-2</v>
      </c>
      <c r="AD7307" s="508">
        <v>6.9000000000000006E-2</v>
      </c>
      <c r="AE7307" s="508">
        <v>6.8000000000000005E-2</v>
      </c>
      <c r="AF7307" s="508">
        <v>4.8000000000000001E-2</v>
      </c>
      <c r="AG7307" s="508">
        <v>4.7E-2</v>
      </c>
      <c r="AH7307" s="508">
        <v>4.5999999999999999E-2</v>
      </c>
      <c r="AI7307" s="492">
        <v>4.4999999999999998E-2</v>
      </c>
      <c r="AJ7307" s="485"/>
    </row>
    <row r="7308" spans="2:36">
      <c r="B7308" s="136" t="s">
        <v>480</v>
      </c>
      <c r="C7308" s="132" t="s">
        <v>1366</v>
      </c>
      <c r="D7308" s="132" t="s">
        <v>1381</v>
      </c>
      <c r="E7308" s="508">
        <v>3.5619999999999998</v>
      </c>
      <c r="F7308" s="508">
        <v>2.8239999999999998</v>
      </c>
      <c r="G7308" s="508">
        <v>2.806</v>
      </c>
      <c r="H7308" s="508">
        <v>2.7789999999999999</v>
      </c>
      <c r="I7308" s="508">
        <v>2.742</v>
      </c>
      <c r="J7308" s="508">
        <v>2.1419999999999999</v>
      </c>
      <c r="K7308" s="508">
        <v>2.0979999999999999</v>
      </c>
      <c r="L7308" s="508">
        <v>2.0510000000000002</v>
      </c>
      <c r="M7308" s="508">
        <v>2.0019999999999998</v>
      </c>
      <c r="N7308" s="508">
        <v>1.9550000000000001</v>
      </c>
      <c r="O7308" s="508">
        <v>1.9</v>
      </c>
      <c r="P7308" s="508">
        <v>1.345</v>
      </c>
      <c r="Q7308" s="508">
        <v>1.302</v>
      </c>
      <c r="R7308" s="508">
        <v>1.26</v>
      </c>
      <c r="S7308" s="508">
        <v>1.2210000000000001</v>
      </c>
      <c r="T7308" s="508">
        <v>1.1830000000000001</v>
      </c>
      <c r="U7308" s="508">
        <v>0.56999999999999995</v>
      </c>
      <c r="V7308" s="508">
        <v>0.52400000000000002</v>
      </c>
      <c r="W7308" s="508">
        <v>0.48599999999999999</v>
      </c>
      <c r="X7308" s="508">
        <v>0.40899999999999997</v>
      </c>
      <c r="Y7308" s="508">
        <v>0.38500000000000001</v>
      </c>
      <c r="Z7308" s="508">
        <v>0.3</v>
      </c>
      <c r="AA7308" s="508">
        <v>0.151</v>
      </c>
      <c r="AB7308" s="508">
        <v>0.128</v>
      </c>
      <c r="AC7308" s="508">
        <v>0.123</v>
      </c>
      <c r="AD7308" s="508">
        <v>0.10100000000000001</v>
      </c>
      <c r="AE7308" s="508">
        <v>9.9000000000000005E-2</v>
      </c>
      <c r="AF7308" s="508">
        <v>7.8E-2</v>
      </c>
      <c r="AG7308" s="508">
        <v>7.5999999999999998E-2</v>
      </c>
      <c r="AH7308" s="508">
        <v>7.3999999999999996E-2</v>
      </c>
      <c r="AI7308" s="492">
        <v>7.2999999999999995E-2</v>
      </c>
      <c r="AJ7308" s="485"/>
    </row>
    <row r="7309" spans="2:36">
      <c r="B7309" s="136" t="s">
        <v>481</v>
      </c>
      <c r="C7309" s="132" t="s">
        <v>1366</v>
      </c>
      <c r="D7309" s="132" t="s">
        <v>1381</v>
      </c>
      <c r="E7309" s="508">
        <v>3.512</v>
      </c>
      <c r="F7309" s="508">
        <v>2.7509999999999999</v>
      </c>
      <c r="G7309" s="508">
        <v>2.7349999999999999</v>
      </c>
      <c r="H7309" s="508">
        <v>2.7109999999999999</v>
      </c>
      <c r="I7309" s="508">
        <v>2.677</v>
      </c>
      <c r="J7309" s="508">
        <v>2.0529999999999999</v>
      </c>
      <c r="K7309" s="508">
        <v>2.0139999999999998</v>
      </c>
      <c r="L7309" s="508">
        <v>1.972</v>
      </c>
      <c r="M7309" s="508">
        <v>1.929</v>
      </c>
      <c r="N7309" s="508">
        <v>1.8720000000000001</v>
      </c>
      <c r="O7309" s="508">
        <v>1.8220000000000001</v>
      </c>
      <c r="P7309" s="508">
        <v>1.2529999999999999</v>
      </c>
      <c r="Q7309" s="508">
        <v>1.2150000000000001</v>
      </c>
      <c r="R7309" s="508">
        <v>1.179</v>
      </c>
      <c r="S7309" s="508">
        <v>1.1439999999999999</v>
      </c>
      <c r="T7309" s="508">
        <v>1.111</v>
      </c>
      <c r="U7309" s="508">
        <v>0.48899999999999999</v>
      </c>
      <c r="V7309" s="508">
        <v>0.44700000000000001</v>
      </c>
      <c r="W7309" s="508">
        <v>0.41299999999999998</v>
      </c>
      <c r="X7309" s="508">
        <v>0.34100000000000003</v>
      </c>
      <c r="Y7309" s="508">
        <v>0.32</v>
      </c>
      <c r="Z7309" s="508">
        <v>0.24199999999999999</v>
      </c>
      <c r="AA7309" s="508">
        <v>0.121</v>
      </c>
      <c r="AB7309" s="508">
        <v>0.1</v>
      </c>
      <c r="AC7309" s="508">
        <v>9.6000000000000002E-2</v>
      </c>
      <c r="AD7309" s="508">
        <v>7.5999999999999998E-2</v>
      </c>
      <c r="AE7309" s="508">
        <v>7.3999999999999996E-2</v>
      </c>
      <c r="AF7309" s="508">
        <v>5.3999999999999999E-2</v>
      </c>
      <c r="AG7309" s="508">
        <v>5.2999999999999999E-2</v>
      </c>
      <c r="AH7309" s="508">
        <v>5.1999999999999998E-2</v>
      </c>
      <c r="AI7309" s="492">
        <v>5.0999999999999997E-2</v>
      </c>
      <c r="AJ7309" s="485"/>
    </row>
    <row r="7310" spans="2:36">
      <c r="B7310" s="136" t="s">
        <v>482</v>
      </c>
      <c r="C7310" s="132" t="s">
        <v>1366</v>
      </c>
      <c r="D7310" s="132" t="s">
        <v>1381</v>
      </c>
      <c r="E7310" s="508">
        <v>3.4540000000000002</v>
      </c>
      <c r="F7310" s="508">
        <v>2.6930000000000001</v>
      </c>
      <c r="G7310" s="508">
        <v>2.6760000000000002</v>
      </c>
      <c r="H7310" s="508">
        <v>2.6549999999999998</v>
      </c>
      <c r="I7310" s="508">
        <v>2.621</v>
      </c>
      <c r="J7310" s="508">
        <v>2</v>
      </c>
      <c r="K7310" s="508">
        <v>1.9630000000000001</v>
      </c>
      <c r="L7310" s="508">
        <v>1.9239999999999999</v>
      </c>
      <c r="M7310" s="508">
        <v>1.883</v>
      </c>
      <c r="N7310" s="508">
        <v>1.8240000000000001</v>
      </c>
      <c r="O7310" s="508">
        <v>1.7769999999999999</v>
      </c>
      <c r="P7310" s="508">
        <v>1.2090000000000001</v>
      </c>
      <c r="Q7310" s="508">
        <v>1.173</v>
      </c>
      <c r="R7310" s="508">
        <v>1.139</v>
      </c>
      <c r="S7310" s="508">
        <v>1.1060000000000001</v>
      </c>
      <c r="T7310" s="508">
        <v>1.075</v>
      </c>
      <c r="U7310" s="508">
        <v>0.45400000000000001</v>
      </c>
      <c r="V7310" s="508">
        <v>0.41399999999999998</v>
      </c>
      <c r="W7310" s="508">
        <v>0.38100000000000001</v>
      </c>
      <c r="X7310" s="508">
        <v>0.311</v>
      </c>
      <c r="Y7310" s="508">
        <v>0.29099999999999998</v>
      </c>
      <c r="Z7310" s="508">
        <v>0.216</v>
      </c>
      <c r="AA7310" s="508">
        <v>0.108</v>
      </c>
      <c r="AB7310" s="508">
        <v>8.6999999999999994E-2</v>
      </c>
      <c r="AC7310" s="508">
        <v>8.3000000000000004E-2</v>
      </c>
      <c r="AD7310" s="508">
        <v>6.3E-2</v>
      </c>
      <c r="AE7310" s="508">
        <v>6.2E-2</v>
      </c>
      <c r="AF7310" s="508">
        <v>4.2000000000000003E-2</v>
      </c>
      <c r="AG7310" s="508">
        <v>4.1000000000000002E-2</v>
      </c>
      <c r="AH7310" s="508">
        <v>0.04</v>
      </c>
      <c r="AI7310" s="492">
        <v>0.04</v>
      </c>
      <c r="AJ7310" s="485"/>
    </row>
    <row r="7311" spans="2:36">
      <c r="B7311" s="136" t="s">
        <v>483</v>
      </c>
      <c r="C7311" s="132" t="s">
        <v>1366</v>
      </c>
      <c r="D7311" s="132" t="s">
        <v>1381</v>
      </c>
      <c r="E7311" s="508">
        <v>3.5649999999999999</v>
      </c>
      <c r="F7311" s="508">
        <v>2.8029999999999999</v>
      </c>
      <c r="G7311" s="508">
        <v>2.7869999999999999</v>
      </c>
      <c r="H7311" s="508">
        <v>2.7629999999999999</v>
      </c>
      <c r="I7311" s="508">
        <v>2.7280000000000002</v>
      </c>
      <c r="J7311" s="508">
        <v>2.0990000000000002</v>
      </c>
      <c r="K7311" s="508">
        <v>2.0590000000000002</v>
      </c>
      <c r="L7311" s="508">
        <v>2.016</v>
      </c>
      <c r="M7311" s="508">
        <v>1.9710000000000001</v>
      </c>
      <c r="N7311" s="508">
        <v>1.907</v>
      </c>
      <c r="O7311" s="508">
        <v>1.8560000000000001</v>
      </c>
      <c r="P7311" s="508">
        <v>1.2849999999999999</v>
      </c>
      <c r="Q7311" s="508">
        <v>1.2450000000000001</v>
      </c>
      <c r="R7311" s="508">
        <v>1.208</v>
      </c>
      <c r="S7311" s="508">
        <v>1.1719999999999999</v>
      </c>
      <c r="T7311" s="508">
        <v>1.1379999999999999</v>
      </c>
      <c r="U7311" s="508">
        <v>0.51500000000000001</v>
      </c>
      <c r="V7311" s="508">
        <v>0.47199999999999998</v>
      </c>
      <c r="W7311" s="508">
        <v>0.437</v>
      </c>
      <c r="X7311" s="508">
        <v>0.36599999999999999</v>
      </c>
      <c r="Y7311" s="508">
        <v>0.34499999999999997</v>
      </c>
      <c r="Z7311" s="508">
        <v>0.26600000000000001</v>
      </c>
      <c r="AA7311" s="508">
        <v>0.13300000000000001</v>
      </c>
      <c r="AB7311" s="508">
        <v>0.112</v>
      </c>
      <c r="AC7311" s="508">
        <v>0.107</v>
      </c>
      <c r="AD7311" s="508">
        <v>8.6999999999999994E-2</v>
      </c>
      <c r="AE7311" s="508">
        <v>8.5000000000000006E-2</v>
      </c>
      <c r="AF7311" s="508">
        <v>6.5000000000000002E-2</v>
      </c>
      <c r="AG7311" s="508">
        <v>6.4000000000000001E-2</v>
      </c>
      <c r="AH7311" s="508">
        <v>6.3E-2</v>
      </c>
      <c r="AI7311" s="492">
        <v>6.0999999999999999E-2</v>
      </c>
      <c r="AJ7311" s="485"/>
    </row>
    <row r="7312" spans="2:36">
      <c r="B7312" s="136" t="s">
        <v>484</v>
      </c>
      <c r="C7312" s="132" t="s">
        <v>1366</v>
      </c>
      <c r="D7312" s="132" t="s">
        <v>1381</v>
      </c>
      <c r="E7312" s="508">
        <v>3.5710000000000002</v>
      </c>
      <c r="F7312" s="508">
        <v>2.8319999999999999</v>
      </c>
      <c r="G7312" s="508">
        <v>2.8140000000000001</v>
      </c>
      <c r="H7312" s="508">
        <v>2.7869999999999999</v>
      </c>
      <c r="I7312" s="508">
        <v>2.75</v>
      </c>
      <c r="J7312" s="508">
        <v>2.1469999999999998</v>
      </c>
      <c r="K7312" s="508">
        <v>2.1030000000000002</v>
      </c>
      <c r="L7312" s="508">
        <v>2.0550000000000002</v>
      </c>
      <c r="M7312" s="508">
        <v>2.0059999999999998</v>
      </c>
      <c r="N7312" s="508">
        <v>1.9610000000000001</v>
      </c>
      <c r="O7312" s="508">
        <v>1.9059999999999999</v>
      </c>
      <c r="P7312" s="508">
        <v>1.351</v>
      </c>
      <c r="Q7312" s="508">
        <v>1.3069999999999999</v>
      </c>
      <c r="R7312" s="508">
        <v>1.2649999999999999</v>
      </c>
      <c r="S7312" s="508">
        <v>1.226</v>
      </c>
      <c r="T7312" s="508">
        <v>1.1879999999999999</v>
      </c>
      <c r="U7312" s="508">
        <v>0.57499999999999996</v>
      </c>
      <c r="V7312" s="508">
        <v>0.52900000000000003</v>
      </c>
      <c r="W7312" s="508">
        <v>0.49</v>
      </c>
      <c r="X7312" s="508">
        <v>0.41299999999999998</v>
      </c>
      <c r="Y7312" s="508">
        <v>0.38900000000000001</v>
      </c>
      <c r="Z7312" s="508">
        <v>0.30399999999999999</v>
      </c>
      <c r="AA7312" s="508">
        <v>0.153</v>
      </c>
      <c r="AB7312" s="508">
        <v>0.13</v>
      </c>
      <c r="AC7312" s="508">
        <v>0.125</v>
      </c>
      <c r="AD7312" s="508">
        <v>0.10299999999999999</v>
      </c>
      <c r="AE7312" s="508">
        <v>0.10100000000000001</v>
      </c>
      <c r="AF7312" s="508">
        <v>0.08</v>
      </c>
      <c r="AG7312" s="508">
        <v>7.8E-2</v>
      </c>
      <c r="AH7312" s="508">
        <v>7.5999999999999998E-2</v>
      </c>
      <c r="AI7312" s="492">
        <v>7.4999999999999997E-2</v>
      </c>
      <c r="AJ7312" s="485"/>
    </row>
    <row r="7313" spans="2:36">
      <c r="B7313" s="136" t="s">
        <v>486</v>
      </c>
      <c r="C7313" s="132" t="s">
        <v>1366</v>
      </c>
      <c r="D7313" s="132" t="s">
        <v>1381</v>
      </c>
      <c r="E7313" s="508">
        <v>3.51</v>
      </c>
      <c r="F7313" s="508">
        <v>2.7530000000000001</v>
      </c>
      <c r="G7313" s="508">
        <v>2.7360000000000002</v>
      </c>
      <c r="H7313" s="508">
        <v>2.7130000000000001</v>
      </c>
      <c r="I7313" s="508">
        <v>2.6779999999999999</v>
      </c>
      <c r="J7313" s="508">
        <v>2.0569999999999999</v>
      </c>
      <c r="K7313" s="508">
        <v>2.0179999999999998</v>
      </c>
      <c r="L7313" s="508">
        <v>1.976</v>
      </c>
      <c r="M7313" s="508">
        <v>1.9319999999999999</v>
      </c>
      <c r="N7313" s="508">
        <v>1.8740000000000001</v>
      </c>
      <c r="O7313" s="508">
        <v>1.8240000000000001</v>
      </c>
      <c r="P7313" s="508">
        <v>1.258</v>
      </c>
      <c r="Q7313" s="508">
        <v>1.2190000000000001</v>
      </c>
      <c r="R7313" s="508">
        <v>1.1830000000000001</v>
      </c>
      <c r="S7313" s="508">
        <v>1.1479999999999999</v>
      </c>
      <c r="T7313" s="508">
        <v>1.1140000000000001</v>
      </c>
      <c r="U7313" s="508">
        <v>0.495</v>
      </c>
      <c r="V7313" s="508">
        <v>0.45300000000000001</v>
      </c>
      <c r="W7313" s="508">
        <v>0.41799999999999998</v>
      </c>
      <c r="X7313" s="508">
        <v>0.34699999999999998</v>
      </c>
      <c r="Y7313" s="508">
        <v>0.32600000000000001</v>
      </c>
      <c r="Z7313" s="508">
        <v>0.247</v>
      </c>
      <c r="AA7313" s="508">
        <v>0.124</v>
      </c>
      <c r="AB7313" s="508">
        <v>0.10299999999999999</v>
      </c>
      <c r="AC7313" s="508">
        <v>9.8000000000000004E-2</v>
      </c>
      <c r="AD7313" s="508">
        <v>7.8E-2</v>
      </c>
      <c r="AE7313" s="508">
        <v>7.5999999999999998E-2</v>
      </c>
      <c r="AF7313" s="508">
        <v>5.6000000000000001E-2</v>
      </c>
      <c r="AG7313" s="508">
        <v>5.5E-2</v>
      </c>
      <c r="AH7313" s="508">
        <v>5.3999999999999999E-2</v>
      </c>
      <c r="AI7313" s="492">
        <v>5.2999999999999999E-2</v>
      </c>
      <c r="AJ7313" s="485"/>
    </row>
    <row r="7314" spans="2:36">
      <c r="B7314" s="136" t="s">
        <v>487</v>
      </c>
      <c r="C7314" s="132" t="s">
        <v>1366</v>
      </c>
      <c r="D7314" s="132" t="s">
        <v>1381</v>
      </c>
      <c r="E7314" s="508">
        <v>3.5169999999999999</v>
      </c>
      <c r="F7314" s="508">
        <v>2.7690000000000001</v>
      </c>
      <c r="G7314" s="508">
        <v>2.7530000000000001</v>
      </c>
      <c r="H7314" s="508">
        <v>2.7280000000000002</v>
      </c>
      <c r="I7314" s="508">
        <v>2.694</v>
      </c>
      <c r="J7314" s="508">
        <v>2.0790000000000002</v>
      </c>
      <c r="K7314" s="508">
        <v>2.0390000000000001</v>
      </c>
      <c r="L7314" s="508">
        <v>1.996</v>
      </c>
      <c r="M7314" s="508">
        <v>1.9510000000000001</v>
      </c>
      <c r="N7314" s="508">
        <v>1.891</v>
      </c>
      <c r="O7314" s="508">
        <v>1.84</v>
      </c>
      <c r="P7314" s="508">
        <v>1.2789999999999999</v>
      </c>
      <c r="Q7314" s="508">
        <v>1.24</v>
      </c>
      <c r="R7314" s="508">
        <v>1.202</v>
      </c>
      <c r="S7314" s="508">
        <v>1.1659999999999999</v>
      </c>
      <c r="T7314" s="508">
        <v>1.131</v>
      </c>
      <c r="U7314" s="508">
        <v>0.51700000000000002</v>
      </c>
      <c r="V7314" s="508">
        <v>0.47499999999999998</v>
      </c>
      <c r="W7314" s="508">
        <v>0.439</v>
      </c>
      <c r="X7314" s="508">
        <v>0.36799999999999999</v>
      </c>
      <c r="Y7314" s="508">
        <v>0.34599999999999997</v>
      </c>
      <c r="Z7314" s="508">
        <v>0.26600000000000001</v>
      </c>
      <c r="AA7314" s="508">
        <v>0.13400000000000001</v>
      </c>
      <c r="AB7314" s="508">
        <v>0.112</v>
      </c>
      <c r="AC7314" s="508">
        <v>0.107</v>
      </c>
      <c r="AD7314" s="508">
        <v>8.6999999999999994E-2</v>
      </c>
      <c r="AE7314" s="508">
        <v>8.5000000000000006E-2</v>
      </c>
      <c r="AF7314" s="508">
        <v>6.5000000000000002E-2</v>
      </c>
      <c r="AG7314" s="508">
        <v>6.4000000000000001E-2</v>
      </c>
      <c r="AH7314" s="508">
        <v>6.2E-2</v>
      </c>
      <c r="AI7314" s="492">
        <v>6.0999999999999999E-2</v>
      </c>
      <c r="AJ7314" s="485"/>
    </row>
    <row r="7315" spans="2:36">
      <c r="B7315" s="136" t="s">
        <v>488</v>
      </c>
      <c r="C7315" s="132" t="s">
        <v>1366</v>
      </c>
      <c r="D7315" s="132" t="s">
        <v>1381</v>
      </c>
      <c r="E7315" s="508">
        <v>3.5009999999999999</v>
      </c>
      <c r="F7315" s="508">
        <v>2.7589999999999999</v>
      </c>
      <c r="G7315" s="508">
        <v>2.742</v>
      </c>
      <c r="H7315" s="508">
        <v>2.7170000000000001</v>
      </c>
      <c r="I7315" s="508">
        <v>2.681</v>
      </c>
      <c r="J7315" s="508">
        <v>2.0760000000000001</v>
      </c>
      <c r="K7315" s="508">
        <v>2.0350000000000001</v>
      </c>
      <c r="L7315" s="508">
        <v>1.9910000000000001</v>
      </c>
      <c r="M7315" s="508">
        <v>1.944</v>
      </c>
      <c r="N7315" s="508">
        <v>1.8959999999999999</v>
      </c>
      <c r="O7315" s="508">
        <v>1.8440000000000001</v>
      </c>
      <c r="P7315" s="508">
        <v>1.288</v>
      </c>
      <c r="Q7315" s="508">
        <v>1.2470000000000001</v>
      </c>
      <c r="R7315" s="508">
        <v>1.2090000000000001</v>
      </c>
      <c r="S7315" s="508">
        <v>1.1719999999999999</v>
      </c>
      <c r="T7315" s="508">
        <v>1.137</v>
      </c>
      <c r="U7315" s="508">
        <v>0.52400000000000002</v>
      </c>
      <c r="V7315" s="508">
        <v>0.48</v>
      </c>
      <c r="W7315" s="508">
        <v>0.44400000000000001</v>
      </c>
      <c r="X7315" s="508">
        <v>0.37</v>
      </c>
      <c r="Y7315" s="508">
        <v>0.34799999999999998</v>
      </c>
      <c r="Z7315" s="508">
        <v>0.26700000000000002</v>
      </c>
      <c r="AA7315" s="508">
        <v>0.13400000000000001</v>
      </c>
      <c r="AB7315" s="508">
        <v>0.112</v>
      </c>
      <c r="AC7315" s="508">
        <v>0.107</v>
      </c>
      <c r="AD7315" s="508">
        <v>8.5999999999999993E-2</v>
      </c>
      <c r="AE7315" s="508">
        <v>8.4000000000000005E-2</v>
      </c>
      <c r="AF7315" s="508">
        <v>6.4000000000000001E-2</v>
      </c>
      <c r="AG7315" s="508">
        <v>6.2E-2</v>
      </c>
      <c r="AH7315" s="508">
        <v>6.0999999999999999E-2</v>
      </c>
      <c r="AI7315" s="492">
        <v>0.06</v>
      </c>
      <c r="AJ7315" s="485"/>
    </row>
    <row r="7316" spans="2:36">
      <c r="B7316" s="136" t="s">
        <v>489</v>
      </c>
      <c r="C7316" s="132" t="s">
        <v>1366</v>
      </c>
      <c r="D7316" s="132" t="s">
        <v>1381</v>
      </c>
      <c r="E7316" s="508">
        <v>3.5750000000000002</v>
      </c>
      <c r="F7316" s="508">
        <v>2.8260000000000001</v>
      </c>
      <c r="G7316" s="508">
        <v>2.8090000000000002</v>
      </c>
      <c r="H7316" s="508">
        <v>2.7829999999999999</v>
      </c>
      <c r="I7316" s="508">
        <v>2.7469999999999999</v>
      </c>
      <c r="J7316" s="508">
        <v>2.133</v>
      </c>
      <c r="K7316" s="508">
        <v>2.09</v>
      </c>
      <c r="L7316" s="508">
        <v>2.044</v>
      </c>
      <c r="M7316" s="508">
        <v>1.996</v>
      </c>
      <c r="N7316" s="508">
        <v>1.944</v>
      </c>
      <c r="O7316" s="508">
        <v>1.89</v>
      </c>
      <c r="P7316" s="508">
        <v>1.3280000000000001</v>
      </c>
      <c r="Q7316" s="508">
        <v>1.286</v>
      </c>
      <c r="R7316" s="508">
        <v>1.246</v>
      </c>
      <c r="S7316" s="508">
        <v>1.208</v>
      </c>
      <c r="T7316" s="508">
        <v>1.1719999999999999</v>
      </c>
      <c r="U7316" s="508">
        <v>0.55400000000000005</v>
      </c>
      <c r="V7316" s="508">
        <v>0.51</v>
      </c>
      <c r="W7316" s="508">
        <v>0.47299999999999998</v>
      </c>
      <c r="X7316" s="508">
        <v>0.39800000000000002</v>
      </c>
      <c r="Y7316" s="508">
        <v>0.375</v>
      </c>
      <c r="Z7316" s="508">
        <v>0.29199999999999998</v>
      </c>
      <c r="AA7316" s="508">
        <v>0.14699999999999999</v>
      </c>
      <c r="AB7316" s="508">
        <v>0.124</v>
      </c>
      <c r="AC7316" s="508">
        <v>0.11899999999999999</v>
      </c>
      <c r="AD7316" s="508">
        <v>9.9000000000000005E-2</v>
      </c>
      <c r="AE7316" s="508">
        <v>9.6000000000000002E-2</v>
      </c>
      <c r="AF7316" s="508">
        <v>7.4999999999999997E-2</v>
      </c>
      <c r="AG7316" s="508">
        <v>7.3999999999999996E-2</v>
      </c>
      <c r="AH7316" s="508">
        <v>7.1999999999999995E-2</v>
      </c>
      <c r="AI7316" s="492">
        <v>7.0999999999999994E-2</v>
      </c>
      <c r="AJ7316" s="485"/>
    </row>
    <row r="7317" spans="2:36">
      <c r="B7317" s="136" t="s">
        <v>490</v>
      </c>
      <c r="C7317" s="132" t="s">
        <v>1366</v>
      </c>
      <c r="D7317" s="132" t="s">
        <v>1381</v>
      </c>
      <c r="E7317" s="508">
        <v>3.5830000000000002</v>
      </c>
      <c r="F7317" s="508">
        <v>2.8420000000000001</v>
      </c>
      <c r="G7317" s="508">
        <v>2.8250000000000002</v>
      </c>
      <c r="H7317" s="508">
        <v>2.798</v>
      </c>
      <c r="I7317" s="508">
        <v>2.7610000000000001</v>
      </c>
      <c r="J7317" s="508">
        <v>2.157</v>
      </c>
      <c r="K7317" s="508">
        <v>2.113</v>
      </c>
      <c r="L7317" s="508">
        <v>2.0659999999999998</v>
      </c>
      <c r="M7317" s="508">
        <v>2.016</v>
      </c>
      <c r="N7317" s="508">
        <v>1.9670000000000001</v>
      </c>
      <c r="O7317" s="508">
        <v>1.911</v>
      </c>
      <c r="P7317" s="508">
        <v>1.353</v>
      </c>
      <c r="Q7317" s="508">
        <v>1.31</v>
      </c>
      <c r="R7317" s="508">
        <v>1.268</v>
      </c>
      <c r="S7317" s="508">
        <v>1.228</v>
      </c>
      <c r="T7317" s="508">
        <v>1.1910000000000001</v>
      </c>
      <c r="U7317" s="508">
        <v>0.57499999999999996</v>
      </c>
      <c r="V7317" s="508">
        <v>0.52900000000000003</v>
      </c>
      <c r="W7317" s="508">
        <v>0.49099999999999999</v>
      </c>
      <c r="X7317" s="508">
        <v>0.41399999999999998</v>
      </c>
      <c r="Y7317" s="508">
        <v>0.39</v>
      </c>
      <c r="Z7317" s="508">
        <v>0.30399999999999999</v>
      </c>
      <c r="AA7317" s="508">
        <v>0.153</v>
      </c>
      <c r="AB7317" s="508">
        <v>0.13</v>
      </c>
      <c r="AC7317" s="508">
        <v>0.125</v>
      </c>
      <c r="AD7317" s="508">
        <v>0.10299999999999999</v>
      </c>
      <c r="AE7317" s="508">
        <v>0.10100000000000001</v>
      </c>
      <c r="AF7317" s="508">
        <v>7.9000000000000001E-2</v>
      </c>
      <c r="AG7317" s="508">
        <v>7.8E-2</v>
      </c>
      <c r="AH7317" s="508">
        <v>7.5999999999999998E-2</v>
      </c>
      <c r="AI7317" s="492">
        <v>7.4999999999999997E-2</v>
      </c>
      <c r="AJ7317" s="485"/>
    </row>
    <row r="7318" spans="2:36">
      <c r="B7318" s="136" t="s">
        <v>435</v>
      </c>
      <c r="C7318" s="132" t="s">
        <v>1367</v>
      </c>
      <c r="D7318" s="132" t="s">
        <v>1381</v>
      </c>
      <c r="E7318" s="508">
        <v>3.5880000000000001</v>
      </c>
      <c r="F7318" s="508">
        <v>2.3340000000000001</v>
      </c>
      <c r="G7318" s="508">
        <v>2.31</v>
      </c>
      <c r="H7318" s="508">
        <v>2.29</v>
      </c>
      <c r="I7318" s="508">
        <v>2.2599999999999998</v>
      </c>
      <c r="J7318" s="508">
        <v>1.756</v>
      </c>
      <c r="K7318" s="508">
        <v>1.7210000000000001</v>
      </c>
      <c r="L7318" s="508">
        <v>1.6839999999999999</v>
      </c>
      <c r="M7318" s="508">
        <v>1.645</v>
      </c>
      <c r="N7318" s="508">
        <v>1.6259999999999999</v>
      </c>
      <c r="O7318" s="508">
        <v>1.5940000000000001</v>
      </c>
      <c r="P7318" s="508">
        <v>1.1000000000000001</v>
      </c>
      <c r="Q7318" s="508">
        <v>1.0660000000000001</v>
      </c>
      <c r="R7318" s="508">
        <v>1.0349999999999999</v>
      </c>
      <c r="S7318" s="508">
        <v>1.0029999999999999</v>
      </c>
      <c r="T7318" s="508">
        <v>0.97699999999999998</v>
      </c>
      <c r="U7318" s="508">
        <v>0.36</v>
      </c>
      <c r="V7318" s="508">
        <v>0.32900000000000001</v>
      </c>
      <c r="W7318" s="508">
        <v>0.30299999999999999</v>
      </c>
      <c r="X7318" s="508">
        <v>0.246</v>
      </c>
      <c r="Y7318" s="508">
        <v>0.23100000000000001</v>
      </c>
      <c r="Z7318" s="508">
        <v>0.156</v>
      </c>
      <c r="AA7318" s="508">
        <v>0.14699999999999999</v>
      </c>
      <c r="AB7318" s="508">
        <v>0.11600000000000001</v>
      </c>
      <c r="AC7318" s="508">
        <v>0.111</v>
      </c>
      <c r="AD7318" s="508">
        <v>8.2000000000000003E-2</v>
      </c>
      <c r="AE7318" s="508">
        <v>7.9000000000000001E-2</v>
      </c>
      <c r="AF7318" s="508">
        <v>4.8000000000000001E-2</v>
      </c>
      <c r="AG7318" s="508">
        <v>4.4999999999999998E-2</v>
      </c>
      <c r="AH7318" s="508">
        <v>4.3999999999999997E-2</v>
      </c>
      <c r="AI7318" s="492">
        <v>4.3999999999999997E-2</v>
      </c>
      <c r="AJ7318" s="485"/>
    </row>
    <row r="7319" spans="2:36">
      <c r="B7319" s="136" t="s">
        <v>436</v>
      </c>
      <c r="C7319" s="132" t="s">
        <v>1367</v>
      </c>
      <c r="D7319" s="132" t="s">
        <v>1381</v>
      </c>
      <c r="E7319" s="508">
        <v>4.7249999999999996</v>
      </c>
      <c r="F7319" s="508">
        <v>2.5920000000000001</v>
      </c>
      <c r="G7319" s="508">
        <v>2.5649999999999999</v>
      </c>
      <c r="H7319" s="508">
        <v>2.536</v>
      </c>
      <c r="I7319" s="508">
        <v>2.4980000000000002</v>
      </c>
      <c r="J7319" s="508">
        <v>2.1789999999999998</v>
      </c>
      <c r="K7319" s="508">
        <v>2.1269999999999998</v>
      </c>
      <c r="L7319" s="508">
        <v>2.0710000000000002</v>
      </c>
      <c r="M7319" s="508">
        <v>2.0129999999999999</v>
      </c>
      <c r="N7319" s="508">
        <v>1.982</v>
      </c>
      <c r="O7319" s="508">
        <v>1.9319999999999999</v>
      </c>
      <c r="P7319" s="508">
        <v>1.5</v>
      </c>
      <c r="Q7319" s="508">
        <v>1.446</v>
      </c>
      <c r="R7319" s="508">
        <v>1.397</v>
      </c>
      <c r="S7319" s="508">
        <v>1.3480000000000001</v>
      </c>
      <c r="T7319" s="508">
        <v>1.306</v>
      </c>
      <c r="U7319" s="508">
        <v>0.68600000000000005</v>
      </c>
      <c r="V7319" s="508">
        <v>0.64300000000000002</v>
      </c>
      <c r="W7319" s="508">
        <v>0.60599999999999998</v>
      </c>
      <c r="X7319" s="508">
        <v>0.53500000000000003</v>
      </c>
      <c r="Y7319" s="508">
        <v>0.51</v>
      </c>
      <c r="Z7319" s="508">
        <v>0.307</v>
      </c>
      <c r="AA7319" s="508">
        <v>0.29299999999999998</v>
      </c>
      <c r="AB7319" s="508">
        <v>0.25900000000000001</v>
      </c>
      <c r="AC7319" s="508">
        <v>0.249</v>
      </c>
      <c r="AD7319" s="508">
        <v>0.19900000000000001</v>
      </c>
      <c r="AE7319" s="508">
        <v>0.17699999999999999</v>
      </c>
      <c r="AF7319" s="508">
        <v>0.13</v>
      </c>
      <c r="AG7319" s="508">
        <v>0.114</v>
      </c>
      <c r="AH7319" s="508">
        <v>0.112</v>
      </c>
      <c r="AI7319" s="492">
        <v>0.11</v>
      </c>
      <c r="AJ7319" s="485"/>
    </row>
    <row r="7320" spans="2:36">
      <c r="B7320" s="136" t="s">
        <v>437</v>
      </c>
      <c r="C7320" s="132" t="s">
        <v>1367</v>
      </c>
      <c r="D7320" s="132" t="s">
        <v>1381</v>
      </c>
      <c r="E7320" s="508">
        <v>2.6930000000000001</v>
      </c>
      <c r="F7320" s="508">
        <v>1.782</v>
      </c>
      <c r="G7320" s="508">
        <v>1.764</v>
      </c>
      <c r="H7320" s="508">
        <v>1.7490000000000001</v>
      </c>
      <c r="I7320" s="508">
        <v>1.7250000000000001</v>
      </c>
      <c r="J7320" s="508">
        <v>1.3380000000000001</v>
      </c>
      <c r="K7320" s="508">
        <v>1.3109999999999999</v>
      </c>
      <c r="L7320" s="508">
        <v>1.2829999999999999</v>
      </c>
      <c r="M7320" s="508">
        <v>1.254</v>
      </c>
      <c r="N7320" s="508">
        <v>1.2529999999999999</v>
      </c>
      <c r="O7320" s="508">
        <v>1.2290000000000001</v>
      </c>
      <c r="P7320" s="508">
        <v>0.871</v>
      </c>
      <c r="Q7320" s="508">
        <v>0.84399999999999997</v>
      </c>
      <c r="R7320" s="508">
        <v>0.82</v>
      </c>
      <c r="S7320" s="508">
        <v>0.79600000000000004</v>
      </c>
      <c r="T7320" s="508">
        <v>0.77500000000000002</v>
      </c>
      <c r="U7320" s="508">
        <v>0.28699999999999998</v>
      </c>
      <c r="V7320" s="508">
        <v>0.26200000000000001</v>
      </c>
      <c r="W7320" s="508">
        <v>0.24</v>
      </c>
      <c r="X7320" s="508">
        <v>0.192</v>
      </c>
      <c r="Y7320" s="508">
        <v>0.18</v>
      </c>
      <c r="Z7320" s="508">
        <v>0.126</v>
      </c>
      <c r="AA7320" s="508">
        <v>0.11799999999999999</v>
      </c>
      <c r="AB7320" s="508">
        <v>9.2999999999999999E-2</v>
      </c>
      <c r="AC7320" s="508">
        <v>8.7999999999999995E-2</v>
      </c>
      <c r="AD7320" s="508">
        <v>6.9000000000000006E-2</v>
      </c>
      <c r="AE7320" s="508">
        <v>6.6000000000000003E-2</v>
      </c>
      <c r="AF7320" s="508">
        <v>4.1000000000000002E-2</v>
      </c>
      <c r="AG7320" s="508">
        <v>0.04</v>
      </c>
      <c r="AH7320" s="508">
        <v>3.9E-2</v>
      </c>
      <c r="AI7320" s="492">
        <v>3.7999999999999999E-2</v>
      </c>
      <c r="AJ7320" s="485"/>
    </row>
    <row r="7321" spans="2:36">
      <c r="B7321" s="136" t="s">
        <v>438</v>
      </c>
      <c r="C7321" s="132" t="s">
        <v>1367</v>
      </c>
      <c r="D7321" s="132" t="s">
        <v>1381</v>
      </c>
      <c r="E7321" s="508">
        <v>3.5510000000000002</v>
      </c>
      <c r="F7321" s="508">
        <v>2.2490000000000001</v>
      </c>
      <c r="G7321" s="508">
        <v>2.226</v>
      </c>
      <c r="H7321" s="508">
        <v>2.206</v>
      </c>
      <c r="I7321" s="508">
        <v>2.1760000000000002</v>
      </c>
      <c r="J7321" s="508">
        <v>1.7170000000000001</v>
      </c>
      <c r="K7321" s="508">
        <v>1.6819999999999999</v>
      </c>
      <c r="L7321" s="508">
        <v>1.6439999999999999</v>
      </c>
      <c r="M7321" s="508">
        <v>1.605</v>
      </c>
      <c r="N7321" s="508">
        <v>1.5880000000000001</v>
      </c>
      <c r="O7321" s="508">
        <v>1.5549999999999999</v>
      </c>
      <c r="P7321" s="508">
        <v>1.091</v>
      </c>
      <c r="Q7321" s="508">
        <v>1.056</v>
      </c>
      <c r="R7321" s="508">
        <v>1.024</v>
      </c>
      <c r="S7321" s="508">
        <v>0.99299999999999999</v>
      </c>
      <c r="T7321" s="508">
        <v>0.96599999999999997</v>
      </c>
      <c r="U7321" s="508">
        <v>0.39300000000000002</v>
      </c>
      <c r="V7321" s="508">
        <v>0.36</v>
      </c>
      <c r="W7321" s="508">
        <v>0.33300000000000002</v>
      </c>
      <c r="X7321" s="508">
        <v>0.27300000000000002</v>
      </c>
      <c r="Y7321" s="508">
        <v>0.25700000000000001</v>
      </c>
      <c r="Z7321" s="508">
        <v>0.16800000000000001</v>
      </c>
      <c r="AA7321" s="508">
        <v>0.159</v>
      </c>
      <c r="AB7321" s="508">
        <v>0.127</v>
      </c>
      <c r="AC7321" s="508">
        <v>0.122</v>
      </c>
      <c r="AD7321" s="508">
        <v>9.0999999999999998E-2</v>
      </c>
      <c r="AE7321" s="508">
        <v>8.5999999999999993E-2</v>
      </c>
      <c r="AF7321" s="508">
        <v>5.3999999999999999E-2</v>
      </c>
      <c r="AG7321" s="508">
        <v>5.0999999999999997E-2</v>
      </c>
      <c r="AH7321" s="508">
        <v>0.05</v>
      </c>
      <c r="AI7321" s="492">
        <v>4.9000000000000002E-2</v>
      </c>
      <c r="AJ7321" s="485"/>
    </row>
    <row r="7322" spans="2:36">
      <c r="B7322" s="136" t="s">
        <v>439</v>
      </c>
      <c r="C7322" s="132" t="s">
        <v>1367</v>
      </c>
      <c r="D7322" s="132" t="s">
        <v>1381</v>
      </c>
      <c r="E7322" s="508">
        <v>2.2229999999999999</v>
      </c>
      <c r="F7322" s="508">
        <v>1.296</v>
      </c>
      <c r="G7322" s="508">
        <v>1.2829999999999999</v>
      </c>
      <c r="H7322" s="508">
        <v>1.2709999999999999</v>
      </c>
      <c r="I7322" s="508">
        <v>1.2529999999999999</v>
      </c>
      <c r="J7322" s="508">
        <v>0.99199999999999999</v>
      </c>
      <c r="K7322" s="508">
        <v>0.97099999999999997</v>
      </c>
      <c r="L7322" s="508">
        <v>0.94899999999999995</v>
      </c>
      <c r="M7322" s="508">
        <v>0.92500000000000004</v>
      </c>
      <c r="N7322" s="508">
        <v>0.93700000000000006</v>
      </c>
      <c r="O7322" s="508">
        <v>0.91700000000000004</v>
      </c>
      <c r="P7322" s="508">
        <v>0.80800000000000005</v>
      </c>
      <c r="Q7322" s="508">
        <v>0.78200000000000003</v>
      </c>
      <c r="R7322" s="508">
        <v>0.75900000000000001</v>
      </c>
      <c r="S7322" s="508">
        <v>0.73599999999999999</v>
      </c>
      <c r="T7322" s="508">
        <v>0.71599999999999997</v>
      </c>
      <c r="U7322" s="508">
        <v>0.27300000000000002</v>
      </c>
      <c r="V7322" s="508">
        <v>0.249</v>
      </c>
      <c r="W7322" s="508">
        <v>0.22900000000000001</v>
      </c>
      <c r="X7322" s="508">
        <v>0.184</v>
      </c>
      <c r="Y7322" s="508">
        <v>0.17199999999999999</v>
      </c>
      <c r="Z7322" s="508">
        <v>0.12</v>
      </c>
      <c r="AA7322" s="508">
        <v>0.112</v>
      </c>
      <c r="AB7322" s="508">
        <v>0.09</v>
      </c>
      <c r="AC7322" s="508">
        <v>8.5000000000000006E-2</v>
      </c>
      <c r="AD7322" s="508">
        <v>6.7000000000000004E-2</v>
      </c>
      <c r="AE7322" s="508">
        <v>6.4000000000000001E-2</v>
      </c>
      <c r="AF7322" s="508">
        <v>4.2999999999999997E-2</v>
      </c>
      <c r="AG7322" s="508">
        <v>4.1000000000000002E-2</v>
      </c>
      <c r="AH7322" s="508">
        <v>0.04</v>
      </c>
      <c r="AI7322" s="492">
        <v>0.04</v>
      </c>
      <c r="AJ7322" s="485"/>
    </row>
    <row r="7323" spans="2:36">
      <c r="B7323" s="136" t="s">
        <v>440</v>
      </c>
      <c r="C7323" s="132" t="s">
        <v>1367</v>
      </c>
      <c r="D7323" s="132" t="s">
        <v>1381</v>
      </c>
      <c r="E7323" s="508">
        <v>3.3730000000000002</v>
      </c>
      <c r="F7323" s="508">
        <v>1.875</v>
      </c>
      <c r="G7323" s="508">
        <v>1.8560000000000001</v>
      </c>
      <c r="H7323" s="508">
        <v>1.837</v>
      </c>
      <c r="I7323" s="508">
        <v>1.8109999999999999</v>
      </c>
      <c r="J7323" s="508">
        <v>1.5089999999999999</v>
      </c>
      <c r="K7323" s="508">
        <v>1.476</v>
      </c>
      <c r="L7323" s="508">
        <v>1.4390000000000001</v>
      </c>
      <c r="M7323" s="508">
        <v>1.4019999999999999</v>
      </c>
      <c r="N7323" s="508">
        <v>1.381</v>
      </c>
      <c r="O7323" s="508">
        <v>1.349</v>
      </c>
      <c r="P7323" s="508">
        <v>1.1439999999999999</v>
      </c>
      <c r="Q7323" s="508">
        <v>1.1060000000000001</v>
      </c>
      <c r="R7323" s="508">
        <v>1.07</v>
      </c>
      <c r="S7323" s="508">
        <v>1.0349999999999999</v>
      </c>
      <c r="T7323" s="508">
        <v>1.0049999999999999</v>
      </c>
      <c r="U7323" s="508">
        <v>0.443</v>
      </c>
      <c r="V7323" s="508">
        <v>0.41</v>
      </c>
      <c r="W7323" s="508">
        <v>0.38300000000000001</v>
      </c>
      <c r="X7323" s="508">
        <v>0.32700000000000001</v>
      </c>
      <c r="Y7323" s="508">
        <v>0.309</v>
      </c>
      <c r="Z7323" s="508">
        <v>0.189</v>
      </c>
      <c r="AA7323" s="508">
        <v>0.17899999999999999</v>
      </c>
      <c r="AB7323" s="508">
        <v>0.151</v>
      </c>
      <c r="AC7323" s="508">
        <v>0.14399999999999999</v>
      </c>
      <c r="AD7323" s="508">
        <v>0.114</v>
      </c>
      <c r="AE7323" s="508">
        <v>0.105</v>
      </c>
      <c r="AF7323" s="508">
        <v>7.2999999999999995E-2</v>
      </c>
      <c r="AG7323" s="508">
        <v>6.7000000000000004E-2</v>
      </c>
      <c r="AH7323" s="508">
        <v>6.6000000000000003E-2</v>
      </c>
      <c r="AI7323" s="492">
        <v>6.4000000000000001E-2</v>
      </c>
      <c r="AJ7323" s="485"/>
    </row>
    <row r="7324" spans="2:36">
      <c r="B7324" s="136" t="s">
        <v>441</v>
      </c>
      <c r="C7324" s="132" t="s">
        <v>1367</v>
      </c>
      <c r="D7324" s="132" t="s">
        <v>1381</v>
      </c>
      <c r="E7324" s="508">
        <v>3.8010000000000002</v>
      </c>
      <c r="F7324" s="508">
        <v>2.2719999999999998</v>
      </c>
      <c r="G7324" s="508">
        <v>1.4950000000000001</v>
      </c>
      <c r="H7324" s="508">
        <v>1.48</v>
      </c>
      <c r="I7324" s="508">
        <v>1.4590000000000001</v>
      </c>
      <c r="J7324" s="508">
        <v>1.22</v>
      </c>
      <c r="K7324" s="508">
        <v>1.1930000000000001</v>
      </c>
      <c r="L7324" s="508">
        <v>1.1639999999999999</v>
      </c>
      <c r="M7324" s="508">
        <v>1.133</v>
      </c>
      <c r="N7324" s="508">
        <v>1.1140000000000001</v>
      </c>
      <c r="O7324" s="508">
        <v>1.089</v>
      </c>
      <c r="P7324" s="508">
        <v>0.95699999999999996</v>
      </c>
      <c r="Q7324" s="508">
        <v>0.92500000000000004</v>
      </c>
      <c r="R7324" s="508">
        <v>0.89500000000000002</v>
      </c>
      <c r="S7324" s="508">
        <v>0.86599999999999999</v>
      </c>
      <c r="T7324" s="508">
        <v>0.84099999999999997</v>
      </c>
      <c r="U7324" s="508">
        <v>0.38600000000000001</v>
      </c>
      <c r="V7324" s="508">
        <v>0.35799999999999998</v>
      </c>
      <c r="W7324" s="508">
        <v>0.33400000000000002</v>
      </c>
      <c r="X7324" s="508">
        <v>0.28499999999999998</v>
      </c>
      <c r="Y7324" s="508">
        <v>0.27</v>
      </c>
      <c r="Z7324" s="508">
        <v>0.16500000000000001</v>
      </c>
      <c r="AA7324" s="508">
        <v>0.156</v>
      </c>
      <c r="AB7324" s="508">
        <v>0.13100000000000001</v>
      </c>
      <c r="AC7324" s="508">
        <v>0.125</v>
      </c>
      <c r="AD7324" s="508">
        <v>0.10100000000000001</v>
      </c>
      <c r="AE7324" s="508">
        <v>9.4E-2</v>
      </c>
      <c r="AF7324" s="508">
        <v>6.7000000000000004E-2</v>
      </c>
      <c r="AG7324" s="508">
        <v>6.2E-2</v>
      </c>
      <c r="AH7324" s="508">
        <v>6.0999999999999999E-2</v>
      </c>
      <c r="AI7324" s="492">
        <v>0.06</v>
      </c>
      <c r="AJ7324" s="485"/>
    </row>
    <row r="7325" spans="2:36">
      <c r="B7325" s="136" t="s">
        <v>443</v>
      </c>
      <c r="C7325" s="132" t="s">
        <v>1367</v>
      </c>
      <c r="D7325" s="132" t="s">
        <v>1381</v>
      </c>
      <c r="E7325" s="508">
        <v>3.073</v>
      </c>
      <c r="F7325" s="508">
        <v>1.7869999999999999</v>
      </c>
      <c r="G7325" s="508">
        <v>1.7689999999999999</v>
      </c>
      <c r="H7325" s="508">
        <v>1.752</v>
      </c>
      <c r="I7325" s="508">
        <v>1.728</v>
      </c>
      <c r="J7325" s="508">
        <v>1.3939999999999999</v>
      </c>
      <c r="K7325" s="508">
        <v>1.3640000000000001</v>
      </c>
      <c r="L7325" s="508">
        <v>1.3320000000000001</v>
      </c>
      <c r="M7325" s="508">
        <v>1.2989999999999999</v>
      </c>
      <c r="N7325" s="508">
        <v>1.2849999999999999</v>
      </c>
      <c r="O7325" s="508">
        <v>1.2569999999999999</v>
      </c>
      <c r="P7325" s="508">
        <v>0.94099999999999995</v>
      </c>
      <c r="Q7325" s="508">
        <v>0.91</v>
      </c>
      <c r="R7325" s="508">
        <v>0.88200000000000001</v>
      </c>
      <c r="S7325" s="508">
        <v>0.85399999999999998</v>
      </c>
      <c r="T7325" s="508">
        <v>0.83</v>
      </c>
      <c r="U7325" s="508">
        <v>0.36</v>
      </c>
      <c r="V7325" s="508">
        <v>0.33200000000000002</v>
      </c>
      <c r="W7325" s="508">
        <v>0.309</v>
      </c>
      <c r="X7325" s="508">
        <v>0.26</v>
      </c>
      <c r="Y7325" s="508">
        <v>0.245</v>
      </c>
      <c r="Z7325" s="508">
        <v>0.154</v>
      </c>
      <c r="AA7325" s="508">
        <v>0.14499999999999999</v>
      </c>
      <c r="AB7325" s="508">
        <v>0.12</v>
      </c>
      <c r="AC7325" s="508">
        <v>0.114</v>
      </c>
      <c r="AD7325" s="508">
        <v>9.0999999999999998E-2</v>
      </c>
      <c r="AE7325" s="508">
        <v>9.1999999999999998E-2</v>
      </c>
      <c r="AF7325" s="508">
        <v>5.8999999999999997E-2</v>
      </c>
      <c r="AG7325" s="508">
        <v>5.5E-2</v>
      </c>
      <c r="AH7325" s="508">
        <v>5.3999999999999999E-2</v>
      </c>
      <c r="AI7325" s="492">
        <v>5.2999999999999999E-2</v>
      </c>
      <c r="AJ7325" s="485"/>
    </row>
    <row r="7326" spans="2:36">
      <c r="B7326" s="136" t="s">
        <v>445</v>
      </c>
      <c r="C7326" s="132" t="s">
        <v>1367</v>
      </c>
      <c r="D7326" s="132" t="s">
        <v>1381</v>
      </c>
      <c r="E7326" s="508">
        <v>2.6360000000000001</v>
      </c>
      <c r="F7326" s="508">
        <v>1.492</v>
      </c>
      <c r="G7326" s="508">
        <v>1.4770000000000001</v>
      </c>
      <c r="H7326" s="508">
        <v>1.464</v>
      </c>
      <c r="I7326" s="508">
        <v>1.444</v>
      </c>
      <c r="J7326" s="508">
        <v>1.165</v>
      </c>
      <c r="K7326" s="508">
        <v>1.141</v>
      </c>
      <c r="L7326" s="508">
        <v>1.115</v>
      </c>
      <c r="M7326" s="508">
        <v>1.087</v>
      </c>
      <c r="N7326" s="508">
        <v>1.07</v>
      </c>
      <c r="O7326" s="508">
        <v>1.048</v>
      </c>
      <c r="P7326" s="508">
        <v>0.89400000000000002</v>
      </c>
      <c r="Q7326" s="508">
        <v>0.86599999999999999</v>
      </c>
      <c r="R7326" s="508">
        <v>0.84</v>
      </c>
      <c r="S7326" s="508">
        <v>0.81399999999999995</v>
      </c>
      <c r="T7326" s="508">
        <v>0.79200000000000004</v>
      </c>
      <c r="U7326" s="508">
        <v>0.33300000000000002</v>
      </c>
      <c r="V7326" s="508">
        <v>0.307</v>
      </c>
      <c r="W7326" s="508">
        <v>0.28599999999999998</v>
      </c>
      <c r="X7326" s="508">
        <v>0.24</v>
      </c>
      <c r="Y7326" s="508">
        <v>0.22700000000000001</v>
      </c>
      <c r="Z7326" s="508">
        <v>0.14299999999999999</v>
      </c>
      <c r="AA7326" s="508">
        <v>0.13500000000000001</v>
      </c>
      <c r="AB7326" s="508">
        <v>0.111</v>
      </c>
      <c r="AC7326" s="508">
        <v>0.106</v>
      </c>
      <c r="AD7326" s="508">
        <v>9.1999999999999998E-2</v>
      </c>
      <c r="AE7326" s="508">
        <v>8.6999999999999994E-2</v>
      </c>
      <c r="AF7326" s="508">
        <v>5.6000000000000001E-2</v>
      </c>
      <c r="AG7326" s="508">
        <v>5.1999999999999998E-2</v>
      </c>
      <c r="AH7326" s="508">
        <v>5.0999999999999997E-2</v>
      </c>
      <c r="AI7326" s="492">
        <v>0.05</v>
      </c>
      <c r="AJ7326" s="485"/>
    </row>
    <row r="7327" spans="2:36">
      <c r="B7327" s="136" t="s">
        <v>446</v>
      </c>
      <c r="C7327" s="132" t="s">
        <v>1367</v>
      </c>
      <c r="D7327" s="132" t="s">
        <v>1381</v>
      </c>
      <c r="E7327" s="508">
        <v>3.2109999999999999</v>
      </c>
      <c r="F7327" s="508">
        <v>2.29</v>
      </c>
      <c r="G7327" s="508">
        <v>2.266</v>
      </c>
      <c r="H7327" s="508">
        <v>2.25</v>
      </c>
      <c r="I7327" s="508">
        <v>2.2210000000000001</v>
      </c>
      <c r="J7327" s="508">
        <v>1.6779999999999999</v>
      </c>
      <c r="K7327" s="508">
        <v>1.647</v>
      </c>
      <c r="L7327" s="508">
        <v>1.615</v>
      </c>
      <c r="M7327" s="508">
        <v>1.581</v>
      </c>
      <c r="N7327" s="508">
        <v>1.5529999999999999</v>
      </c>
      <c r="O7327" s="508">
        <v>1.526</v>
      </c>
      <c r="P7327" s="508">
        <v>1.018</v>
      </c>
      <c r="Q7327" s="508">
        <v>0.98799999999999999</v>
      </c>
      <c r="R7327" s="508">
        <v>0.96099999999999997</v>
      </c>
      <c r="S7327" s="508">
        <v>0.93400000000000005</v>
      </c>
      <c r="T7327" s="508">
        <v>0.91200000000000003</v>
      </c>
      <c r="U7327" s="508">
        <v>0.30299999999999999</v>
      </c>
      <c r="V7327" s="508">
        <v>0.27500000000000002</v>
      </c>
      <c r="W7327" s="508">
        <v>0.252</v>
      </c>
      <c r="X7327" s="508">
        <v>0.2</v>
      </c>
      <c r="Y7327" s="508">
        <v>0.186</v>
      </c>
      <c r="Z7327" s="508">
        <v>0.13500000000000001</v>
      </c>
      <c r="AA7327" s="508">
        <v>0.127</v>
      </c>
      <c r="AB7327" s="508">
        <v>9.8000000000000004E-2</v>
      </c>
      <c r="AC7327" s="508">
        <v>9.2999999999999999E-2</v>
      </c>
      <c r="AD7327" s="508">
        <v>6.6000000000000003E-2</v>
      </c>
      <c r="AE7327" s="508">
        <v>6.5000000000000002E-2</v>
      </c>
      <c r="AF7327" s="508">
        <v>3.5999999999999997E-2</v>
      </c>
      <c r="AG7327" s="508">
        <v>3.5000000000000003E-2</v>
      </c>
      <c r="AH7327" s="508">
        <v>3.4000000000000002E-2</v>
      </c>
      <c r="AI7327" s="492">
        <v>3.4000000000000002E-2</v>
      </c>
      <c r="AJ7327" s="485"/>
    </row>
    <row r="7328" spans="2:36">
      <c r="B7328" s="136" t="s">
        <v>448</v>
      </c>
      <c r="C7328" s="132" t="s">
        <v>1367</v>
      </c>
      <c r="D7328" s="132" t="s">
        <v>1381</v>
      </c>
      <c r="E7328" s="508">
        <v>3.61</v>
      </c>
      <c r="F7328" s="508">
        <v>2.3250000000000002</v>
      </c>
      <c r="G7328" s="508">
        <v>2.302</v>
      </c>
      <c r="H7328" s="508">
        <v>2.2810000000000001</v>
      </c>
      <c r="I7328" s="508">
        <v>2.25</v>
      </c>
      <c r="J7328" s="508">
        <v>1.76</v>
      </c>
      <c r="K7328" s="508">
        <v>1.5369999999999999</v>
      </c>
      <c r="L7328" s="508">
        <v>1.5029999999999999</v>
      </c>
      <c r="M7328" s="508">
        <v>1.4670000000000001</v>
      </c>
      <c r="N7328" s="508">
        <v>1.4510000000000001</v>
      </c>
      <c r="O7328" s="508">
        <v>1.421</v>
      </c>
      <c r="P7328" s="508">
        <v>1.016</v>
      </c>
      <c r="Q7328" s="508">
        <v>0.98399999999999999</v>
      </c>
      <c r="R7328" s="508">
        <v>0.95399999999999996</v>
      </c>
      <c r="S7328" s="508">
        <v>0.92500000000000004</v>
      </c>
      <c r="T7328" s="508">
        <v>0.9</v>
      </c>
      <c r="U7328" s="508">
        <v>0.34399999999999997</v>
      </c>
      <c r="V7328" s="508">
        <v>0.315</v>
      </c>
      <c r="W7328" s="508">
        <v>0.29099999999999998</v>
      </c>
      <c r="X7328" s="508">
        <v>0.23799999999999999</v>
      </c>
      <c r="Y7328" s="508">
        <v>0.224</v>
      </c>
      <c r="Z7328" s="508">
        <v>0.14899999999999999</v>
      </c>
      <c r="AA7328" s="508">
        <v>0.14099999999999999</v>
      </c>
      <c r="AB7328" s="508">
        <v>0.111</v>
      </c>
      <c r="AC7328" s="508">
        <v>0.106</v>
      </c>
      <c r="AD7328" s="508">
        <v>8.1000000000000003E-2</v>
      </c>
      <c r="AE7328" s="508">
        <v>7.6999999999999999E-2</v>
      </c>
      <c r="AF7328" s="508">
        <v>0.05</v>
      </c>
      <c r="AG7328" s="508">
        <v>4.7E-2</v>
      </c>
      <c r="AH7328" s="508">
        <v>4.5999999999999999E-2</v>
      </c>
      <c r="AI7328" s="492">
        <v>4.5999999999999999E-2</v>
      </c>
      <c r="AJ7328" s="485"/>
    </row>
    <row r="7329" spans="2:36">
      <c r="B7329" s="136" t="s">
        <v>449</v>
      </c>
      <c r="C7329" s="132" t="s">
        <v>1367</v>
      </c>
      <c r="D7329" s="132" t="s">
        <v>1381</v>
      </c>
      <c r="E7329" s="508">
        <v>2.8919999999999999</v>
      </c>
      <c r="F7329" s="508">
        <v>2.14</v>
      </c>
      <c r="G7329" s="508">
        <v>2.1179999999999999</v>
      </c>
      <c r="H7329" s="508">
        <v>2.1019999999999999</v>
      </c>
      <c r="I7329" s="508">
        <v>2.0760000000000001</v>
      </c>
      <c r="J7329" s="508">
        <v>1.5640000000000001</v>
      </c>
      <c r="K7329" s="508">
        <v>1.536</v>
      </c>
      <c r="L7329" s="508">
        <v>1.5049999999999999</v>
      </c>
      <c r="M7329" s="508">
        <v>1.4730000000000001</v>
      </c>
      <c r="N7329" s="508">
        <v>1.4510000000000001</v>
      </c>
      <c r="O7329" s="508">
        <v>1.4259999999999999</v>
      </c>
      <c r="P7329" s="508">
        <v>0.95099999999999996</v>
      </c>
      <c r="Q7329" s="508">
        <v>0.92300000000000004</v>
      </c>
      <c r="R7329" s="508">
        <v>0.89800000000000002</v>
      </c>
      <c r="S7329" s="508">
        <v>0.872</v>
      </c>
      <c r="T7329" s="508">
        <v>0.85099999999999998</v>
      </c>
      <c r="U7329" s="508">
        <v>0.29499999999999998</v>
      </c>
      <c r="V7329" s="508">
        <v>0.26700000000000002</v>
      </c>
      <c r="W7329" s="508">
        <v>0.24399999999999999</v>
      </c>
      <c r="X7329" s="508">
        <v>0.191</v>
      </c>
      <c r="Y7329" s="508">
        <v>0.17799999999999999</v>
      </c>
      <c r="Z7329" s="508">
        <v>0.13200000000000001</v>
      </c>
      <c r="AA7329" s="508">
        <v>0.124</v>
      </c>
      <c r="AB7329" s="508">
        <v>9.5000000000000001E-2</v>
      </c>
      <c r="AC7329" s="508">
        <v>0.09</v>
      </c>
      <c r="AD7329" s="508">
        <v>6.4000000000000001E-2</v>
      </c>
      <c r="AE7329" s="508">
        <v>6.2E-2</v>
      </c>
      <c r="AF7329" s="508">
        <v>3.4000000000000002E-2</v>
      </c>
      <c r="AG7329" s="508">
        <v>3.3000000000000002E-2</v>
      </c>
      <c r="AH7329" s="508">
        <v>3.3000000000000002E-2</v>
      </c>
      <c r="AI7329" s="492">
        <v>3.2000000000000001E-2</v>
      </c>
      <c r="AJ7329" s="485"/>
    </row>
    <row r="7330" spans="2:36">
      <c r="B7330" s="136" t="s">
        <v>450</v>
      </c>
      <c r="C7330" s="132" t="s">
        <v>1367</v>
      </c>
      <c r="D7330" s="132" t="s">
        <v>1381</v>
      </c>
      <c r="E7330" s="508">
        <v>4.0289999999999999</v>
      </c>
      <c r="F7330" s="508">
        <v>2.323</v>
      </c>
      <c r="G7330" s="508">
        <v>2.2999999999999998</v>
      </c>
      <c r="H7330" s="508">
        <v>2.2759999999999998</v>
      </c>
      <c r="I7330" s="508">
        <v>2.2440000000000002</v>
      </c>
      <c r="J7330" s="508">
        <v>1.85</v>
      </c>
      <c r="K7330" s="508">
        <v>1.81</v>
      </c>
      <c r="L7330" s="508">
        <v>1.766</v>
      </c>
      <c r="M7330" s="508">
        <v>1.72</v>
      </c>
      <c r="N7330" s="508">
        <v>1.7</v>
      </c>
      <c r="O7330" s="508">
        <v>1.661</v>
      </c>
      <c r="P7330" s="508">
        <v>1.2250000000000001</v>
      </c>
      <c r="Q7330" s="508">
        <v>1.1839999999999999</v>
      </c>
      <c r="R7330" s="508">
        <v>1.145</v>
      </c>
      <c r="S7330" s="508">
        <v>1.1080000000000001</v>
      </c>
      <c r="T7330" s="508">
        <v>1.075</v>
      </c>
      <c r="U7330" s="508">
        <v>0.47299999999999998</v>
      </c>
      <c r="V7330" s="508">
        <v>0.438</v>
      </c>
      <c r="W7330" s="508">
        <v>0.40899999999999997</v>
      </c>
      <c r="X7330" s="508">
        <v>0.35</v>
      </c>
      <c r="Y7330" s="508">
        <v>0.33100000000000002</v>
      </c>
      <c r="Z7330" s="508">
        <v>0.19900000000000001</v>
      </c>
      <c r="AA7330" s="508">
        <v>0.189</v>
      </c>
      <c r="AB7330" s="508">
        <v>0.159</v>
      </c>
      <c r="AC7330" s="508">
        <v>0.152</v>
      </c>
      <c r="AD7330" s="508">
        <v>0.11899999999999999</v>
      </c>
      <c r="AE7330" s="508">
        <v>0.111</v>
      </c>
      <c r="AF7330" s="508">
        <v>7.5999999999999998E-2</v>
      </c>
      <c r="AG7330" s="508">
        <v>7.0000000000000007E-2</v>
      </c>
      <c r="AH7330" s="508">
        <v>6.8000000000000005E-2</v>
      </c>
      <c r="AI7330" s="492">
        <v>6.7000000000000004E-2</v>
      </c>
      <c r="AJ7330" s="485"/>
    </row>
    <row r="7331" spans="2:36">
      <c r="B7331" s="136" t="s">
        <v>451</v>
      </c>
      <c r="C7331" s="132" t="s">
        <v>1367</v>
      </c>
      <c r="D7331" s="132" t="s">
        <v>1381</v>
      </c>
      <c r="E7331" s="508">
        <v>3.9750000000000001</v>
      </c>
      <c r="F7331" s="508">
        <v>2.4049999999999998</v>
      </c>
      <c r="G7331" s="508">
        <v>2.3820000000000001</v>
      </c>
      <c r="H7331" s="508">
        <v>2.36</v>
      </c>
      <c r="I7331" s="508">
        <v>2.3290000000000002</v>
      </c>
      <c r="J7331" s="508">
        <v>1.873</v>
      </c>
      <c r="K7331" s="508">
        <v>1.835</v>
      </c>
      <c r="L7331" s="508">
        <v>1.7929999999999999</v>
      </c>
      <c r="M7331" s="508">
        <v>1.75</v>
      </c>
      <c r="N7331" s="508">
        <v>1.716</v>
      </c>
      <c r="O7331" s="508">
        <v>1.681</v>
      </c>
      <c r="P7331" s="508">
        <v>1.097</v>
      </c>
      <c r="Q7331" s="508">
        <v>1.0609999999999999</v>
      </c>
      <c r="R7331" s="508">
        <v>1.028</v>
      </c>
      <c r="S7331" s="508">
        <v>0.995</v>
      </c>
      <c r="T7331" s="508">
        <v>0.96799999999999997</v>
      </c>
      <c r="U7331" s="508">
        <v>0.39900000000000002</v>
      </c>
      <c r="V7331" s="508">
        <v>0.36899999999999999</v>
      </c>
      <c r="W7331" s="508">
        <v>0.34499999999999997</v>
      </c>
      <c r="X7331" s="508">
        <v>0.29399999999999998</v>
      </c>
      <c r="Y7331" s="508">
        <v>0.27800000000000002</v>
      </c>
      <c r="Z7331" s="508">
        <v>0.17100000000000001</v>
      </c>
      <c r="AA7331" s="508">
        <v>0.16200000000000001</v>
      </c>
      <c r="AB7331" s="508">
        <v>0.13500000000000001</v>
      </c>
      <c r="AC7331" s="508">
        <v>0.13</v>
      </c>
      <c r="AD7331" s="508">
        <v>0.10199999999999999</v>
      </c>
      <c r="AE7331" s="508">
        <v>9.5000000000000001E-2</v>
      </c>
      <c r="AF7331" s="508">
        <v>6.5000000000000002E-2</v>
      </c>
      <c r="AG7331" s="508">
        <v>0.06</v>
      </c>
      <c r="AH7331" s="508">
        <v>5.8999999999999997E-2</v>
      </c>
      <c r="AI7331" s="492">
        <v>5.8000000000000003E-2</v>
      </c>
      <c r="AJ7331" s="485"/>
    </row>
    <row r="7332" spans="2:36">
      <c r="B7332" s="136" t="s">
        <v>452</v>
      </c>
      <c r="C7332" s="132" t="s">
        <v>1367</v>
      </c>
      <c r="D7332" s="132" t="s">
        <v>1381</v>
      </c>
      <c r="E7332" s="508">
        <v>3.9790000000000001</v>
      </c>
      <c r="F7332" s="508">
        <v>2.3769999999999998</v>
      </c>
      <c r="G7332" s="508">
        <v>2.3530000000000002</v>
      </c>
      <c r="H7332" s="508">
        <v>2.33</v>
      </c>
      <c r="I7332" s="508">
        <v>2.2989999999999999</v>
      </c>
      <c r="J7332" s="508">
        <v>1.86</v>
      </c>
      <c r="K7332" s="508">
        <v>1.821</v>
      </c>
      <c r="L7332" s="508">
        <v>1.778</v>
      </c>
      <c r="M7332" s="508">
        <v>1.734</v>
      </c>
      <c r="N7332" s="508">
        <v>1.7090000000000001</v>
      </c>
      <c r="O7332" s="508">
        <v>1.6719999999999999</v>
      </c>
      <c r="P7332" s="508">
        <v>1.2270000000000001</v>
      </c>
      <c r="Q7332" s="508">
        <v>1.1870000000000001</v>
      </c>
      <c r="R7332" s="508">
        <v>1.1499999999999999</v>
      </c>
      <c r="S7332" s="508">
        <v>1.113</v>
      </c>
      <c r="T7332" s="508">
        <v>1.0820000000000001</v>
      </c>
      <c r="U7332" s="508">
        <v>0.42599999999999999</v>
      </c>
      <c r="V7332" s="508">
        <v>0.39300000000000002</v>
      </c>
      <c r="W7332" s="508">
        <v>0.36599999999999999</v>
      </c>
      <c r="X7332" s="508">
        <v>0.309</v>
      </c>
      <c r="Y7332" s="508">
        <v>0.29199999999999998</v>
      </c>
      <c r="Z7332" s="508">
        <v>0.18099999999999999</v>
      </c>
      <c r="AA7332" s="508">
        <v>0.17100000000000001</v>
      </c>
      <c r="AB7332" s="508">
        <v>0.14199999999999999</v>
      </c>
      <c r="AC7332" s="508">
        <v>0.13600000000000001</v>
      </c>
      <c r="AD7332" s="508">
        <v>0.105</v>
      </c>
      <c r="AE7332" s="508">
        <v>9.8000000000000004E-2</v>
      </c>
      <c r="AF7332" s="508">
        <v>6.5000000000000002E-2</v>
      </c>
      <c r="AG7332" s="508">
        <v>0.06</v>
      </c>
      <c r="AH7332" s="508">
        <v>5.8999999999999997E-2</v>
      </c>
      <c r="AI7332" s="492">
        <v>5.8000000000000003E-2</v>
      </c>
      <c r="AJ7332" s="485"/>
    </row>
    <row r="7333" spans="2:36">
      <c r="B7333" s="136" t="s">
        <v>453</v>
      </c>
      <c r="C7333" s="132" t="s">
        <v>1367</v>
      </c>
      <c r="D7333" s="132" t="s">
        <v>1381</v>
      </c>
      <c r="E7333" s="508">
        <v>4.1970000000000001</v>
      </c>
      <c r="F7333" s="508">
        <v>2.4969999999999999</v>
      </c>
      <c r="G7333" s="508">
        <v>2.4710000000000001</v>
      </c>
      <c r="H7333" s="508">
        <v>2.4460000000000002</v>
      </c>
      <c r="I7333" s="508">
        <v>2.411</v>
      </c>
      <c r="J7333" s="508">
        <v>1.9930000000000001</v>
      </c>
      <c r="K7333" s="508">
        <v>1.948</v>
      </c>
      <c r="L7333" s="508">
        <v>1.901</v>
      </c>
      <c r="M7333" s="508">
        <v>1.8520000000000001</v>
      </c>
      <c r="N7333" s="508">
        <v>1.829</v>
      </c>
      <c r="O7333" s="508">
        <v>1.7869999999999999</v>
      </c>
      <c r="P7333" s="508">
        <v>1.3129999999999999</v>
      </c>
      <c r="Q7333" s="508">
        <v>1.2689999999999999</v>
      </c>
      <c r="R7333" s="508">
        <v>1.228</v>
      </c>
      <c r="S7333" s="508">
        <v>1.1879999999999999</v>
      </c>
      <c r="T7333" s="508">
        <v>1.1519999999999999</v>
      </c>
      <c r="U7333" s="508">
        <v>0.53500000000000003</v>
      </c>
      <c r="V7333" s="508">
        <v>0.496</v>
      </c>
      <c r="W7333" s="508">
        <v>0.46400000000000002</v>
      </c>
      <c r="X7333" s="508">
        <v>0.39700000000000002</v>
      </c>
      <c r="Y7333" s="508">
        <v>0.376</v>
      </c>
      <c r="Z7333" s="508">
        <v>0.23100000000000001</v>
      </c>
      <c r="AA7333" s="508">
        <v>0.219</v>
      </c>
      <c r="AB7333" s="508">
        <v>0.186</v>
      </c>
      <c r="AC7333" s="508">
        <v>0.17799999999999999</v>
      </c>
      <c r="AD7333" s="508">
        <v>0.13800000000000001</v>
      </c>
      <c r="AE7333" s="508">
        <v>0.127</v>
      </c>
      <c r="AF7333" s="508">
        <v>8.6999999999999994E-2</v>
      </c>
      <c r="AG7333" s="508">
        <v>7.8E-2</v>
      </c>
      <c r="AH7333" s="508">
        <v>7.6999999999999999E-2</v>
      </c>
      <c r="AI7333" s="492">
        <v>7.4999999999999997E-2</v>
      </c>
      <c r="AJ7333" s="485"/>
    </row>
    <row r="7334" spans="2:36">
      <c r="B7334" s="136" t="s">
        <v>454</v>
      </c>
      <c r="C7334" s="132" t="s">
        <v>1367</v>
      </c>
      <c r="D7334" s="132" t="s">
        <v>1381</v>
      </c>
      <c r="E7334" s="508">
        <v>3.839</v>
      </c>
      <c r="F7334" s="508">
        <v>2.3490000000000002</v>
      </c>
      <c r="G7334" s="508">
        <v>2.3250000000000002</v>
      </c>
      <c r="H7334" s="508">
        <v>2.3029999999999999</v>
      </c>
      <c r="I7334" s="508">
        <v>2.2709999999999999</v>
      </c>
      <c r="J7334" s="508">
        <v>1.8280000000000001</v>
      </c>
      <c r="K7334" s="508">
        <v>1.7889999999999999</v>
      </c>
      <c r="L7334" s="508">
        <v>1.7470000000000001</v>
      </c>
      <c r="M7334" s="508">
        <v>1.704</v>
      </c>
      <c r="N7334" s="508">
        <v>1.6830000000000001</v>
      </c>
      <c r="O7334" s="508">
        <v>1.647</v>
      </c>
      <c r="P7334" s="508">
        <v>1.179</v>
      </c>
      <c r="Q7334" s="508">
        <v>1.1399999999999999</v>
      </c>
      <c r="R7334" s="508">
        <v>1.105</v>
      </c>
      <c r="S7334" s="508">
        <v>1.07</v>
      </c>
      <c r="T7334" s="508">
        <v>1.04</v>
      </c>
      <c r="U7334" s="508">
        <v>0.45200000000000001</v>
      </c>
      <c r="V7334" s="508">
        <v>0.41699999999999998</v>
      </c>
      <c r="W7334" s="508">
        <v>0.38700000000000001</v>
      </c>
      <c r="X7334" s="508">
        <v>0.32500000000000001</v>
      </c>
      <c r="Y7334" s="508">
        <v>0.307</v>
      </c>
      <c r="Z7334" s="508">
        <v>0.192</v>
      </c>
      <c r="AA7334" s="508">
        <v>0.182</v>
      </c>
      <c r="AB7334" s="508">
        <v>0.15</v>
      </c>
      <c r="AC7334" s="508">
        <v>0.14299999999999999</v>
      </c>
      <c r="AD7334" s="508">
        <v>0.109</v>
      </c>
      <c r="AE7334" s="508">
        <v>0.10199999999999999</v>
      </c>
      <c r="AF7334" s="508">
        <v>6.7000000000000004E-2</v>
      </c>
      <c r="AG7334" s="508">
        <v>6.2E-2</v>
      </c>
      <c r="AH7334" s="508">
        <v>6.0999999999999999E-2</v>
      </c>
      <c r="AI7334" s="492">
        <v>0.06</v>
      </c>
      <c r="AJ7334" s="485"/>
    </row>
    <row r="7335" spans="2:36">
      <c r="B7335" s="136" t="s">
        <v>455</v>
      </c>
      <c r="C7335" s="132" t="s">
        <v>1367</v>
      </c>
      <c r="D7335" s="132" t="s">
        <v>1381</v>
      </c>
      <c r="E7335" s="508">
        <v>3.839</v>
      </c>
      <c r="F7335" s="508">
        <v>2.3540000000000001</v>
      </c>
      <c r="G7335" s="508">
        <v>2.33</v>
      </c>
      <c r="H7335" s="508">
        <v>2.3079999999999998</v>
      </c>
      <c r="I7335" s="508">
        <v>2.2759999999999998</v>
      </c>
      <c r="J7335" s="508">
        <v>1.825</v>
      </c>
      <c r="K7335" s="508">
        <v>1.786</v>
      </c>
      <c r="L7335" s="508">
        <v>1.7450000000000001</v>
      </c>
      <c r="M7335" s="508">
        <v>1.702</v>
      </c>
      <c r="N7335" s="508">
        <v>1.6819999999999999</v>
      </c>
      <c r="O7335" s="508">
        <v>1.6459999999999999</v>
      </c>
      <c r="P7335" s="508">
        <v>1.173</v>
      </c>
      <c r="Q7335" s="508">
        <v>1.135</v>
      </c>
      <c r="R7335" s="508">
        <v>1.1000000000000001</v>
      </c>
      <c r="S7335" s="508">
        <v>1.0649999999999999</v>
      </c>
      <c r="T7335" s="508">
        <v>1.0349999999999999</v>
      </c>
      <c r="U7335" s="508">
        <v>0.40300000000000002</v>
      </c>
      <c r="V7335" s="508">
        <v>0.37</v>
      </c>
      <c r="W7335" s="508">
        <v>0.34399999999999997</v>
      </c>
      <c r="X7335" s="508">
        <v>0.28599999999999998</v>
      </c>
      <c r="Y7335" s="508">
        <v>0.27</v>
      </c>
      <c r="Z7335" s="508">
        <v>0.17199999999999999</v>
      </c>
      <c r="AA7335" s="508">
        <v>0.16200000000000001</v>
      </c>
      <c r="AB7335" s="508">
        <v>0.13200000000000001</v>
      </c>
      <c r="AC7335" s="508">
        <v>0.126</v>
      </c>
      <c r="AD7335" s="508">
        <v>9.5000000000000001E-2</v>
      </c>
      <c r="AE7335" s="508">
        <v>0.09</v>
      </c>
      <c r="AF7335" s="508">
        <v>5.8000000000000003E-2</v>
      </c>
      <c r="AG7335" s="508">
        <v>5.3999999999999999E-2</v>
      </c>
      <c r="AH7335" s="508">
        <v>5.2999999999999999E-2</v>
      </c>
      <c r="AI7335" s="492">
        <v>5.1999999999999998E-2</v>
      </c>
      <c r="AJ7335" s="485"/>
    </row>
    <row r="7336" spans="2:36">
      <c r="B7336" s="136" t="s">
        <v>456</v>
      </c>
      <c r="C7336" s="132" t="s">
        <v>1367</v>
      </c>
      <c r="D7336" s="132" t="s">
        <v>1381</v>
      </c>
      <c r="E7336" s="508">
        <v>3.3340000000000001</v>
      </c>
      <c r="F7336" s="508">
        <v>2.2360000000000002</v>
      </c>
      <c r="G7336" s="508">
        <v>2.2130000000000001</v>
      </c>
      <c r="H7336" s="508">
        <v>2.194</v>
      </c>
      <c r="I7336" s="508">
        <v>2.165</v>
      </c>
      <c r="J7336" s="508">
        <v>1.67</v>
      </c>
      <c r="K7336" s="508">
        <v>1.6379999999999999</v>
      </c>
      <c r="L7336" s="508">
        <v>1.603</v>
      </c>
      <c r="M7336" s="508">
        <v>1.5669999999999999</v>
      </c>
      <c r="N7336" s="508">
        <v>1.5469999999999999</v>
      </c>
      <c r="O7336" s="508">
        <v>1.518</v>
      </c>
      <c r="P7336" s="508">
        <v>1.04</v>
      </c>
      <c r="Q7336" s="508">
        <v>1.0089999999999999</v>
      </c>
      <c r="R7336" s="508">
        <v>0.98</v>
      </c>
      <c r="S7336" s="508">
        <v>0.95</v>
      </c>
      <c r="T7336" s="508">
        <v>0.92600000000000005</v>
      </c>
      <c r="U7336" s="508">
        <v>0.33100000000000002</v>
      </c>
      <c r="V7336" s="508">
        <v>0.30199999999999999</v>
      </c>
      <c r="W7336" s="508">
        <v>0.27800000000000002</v>
      </c>
      <c r="X7336" s="508">
        <v>0.223</v>
      </c>
      <c r="Y7336" s="508">
        <v>0.20899999999999999</v>
      </c>
      <c r="Z7336" s="508">
        <v>0.14599999999999999</v>
      </c>
      <c r="AA7336" s="508">
        <v>0.13700000000000001</v>
      </c>
      <c r="AB7336" s="508">
        <v>0.107</v>
      </c>
      <c r="AC7336" s="508">
        <v>0.10199999999999999</v>
      </c>
      <c r="AD7336" s="508">
        <v>7.4999999999999997E-2</v>
      </c>
      <c r="AE7336" s="508">
        <v>7.1999999999999995E-2</v>
      </c>
      <c r="AF7336" s="508">
        <v>4.2999999999999997E-2</v>
      </c>
      <c r="AG7336" s="508">
        <v>4.1000000000000002E-2</v>
      </c>
      <c r="AH7336" s="508">
        <v>0.04</v>
      </c>
      <c r="AI7336" s="492">
        <v>0.04</v>
      </c>
      <c r="AJ7336" s="485"/>
    </row>
    <row r="7337" spans="2:36">
      <c r="B7337" s="136" t="s">
        <v>457</v>
      </c>
      <c r="C7337" s="132" t="s">
        <v>1367</v>
      </c>
      <c r="D7337" s="132" t="s">
        <v>1381</v>
      </c>
      <c r="E7337" s="508">
        <v>4.5819999999999999</v>
      </c>
      <c r="F7337" s="508">
        <v>2.645</v>
      </c>
      <c r="G7337" s="508">
        <v>2.6179999999999999</v>
      </c>
      <c r="H7337" s="508">
        <v>2.59</v>
      </c>
      <c r="I7337" s="508">
        <v>2.552</v>
      </c>
      <c r="J7337" s="508">
        <v>2.1349999999999998</v>
      </c>
      <c r="K7337" s="508">
        <v>2.0870000000000002</v>
      </c>
      <c r="L7337" s="508">
        <v>2.0339999999999998</v>
      </c>
      <c r="M7337" s="508">
        <v>1.98</v>
      </c>
      <c r="N7337" s="508">
        <v>1.9610000000000001</v>
      </c>
      <c r="O7337" s="508">
        <v>1.9139999999999999</v>
      </c>
      <c r="P7337" s="508">
        <v>1.381</v>
      </c>
      <c r="Q7337" s="508">
        <v>1.333</v>
      </c>
      <c r="R7337" s="508">
        <v>1.288</v>
      </c>
      <c r="S7337" s="508">
        <v>1.2450000000000001</v>
      </c>
      <c r="T7337" s="508">
        <v>1.2070000000000001</v>
      </c>
      <c r="U7337" s="508">
        <v>0.55400000000000005</v>
      </c>
      <c r="V7337" s="508">
        <v>0.51500000000000001</v>
      </c>
      <c r="W7337" s="508">
        <v>0.48199999999999998</v>
      </c>
      <c r="X7337" s="508">
        <v>0.41499999999999998</v>
      </c>
      <c r="Y7337" s="508">
        <v>0.39400000000000002</v>
      </c>
      <c r="Z7337" s="508">
        <v>0.23899999999999999</v>
      </c>
      <c r="AA7337" s="508">
        <v>0.22700000000000001</v>
      </c>
      <c r="AB7337" s="508">
        <v>0.19400000000000001</v>
      </c>
      <c r="AC7337" s="508">
        <v>0.186</v>
      </c>
      <c r="AD7337" s="508">
        <v>0.14599999999999999</v>
      </c>
      <c r="AE7337" s="508">
        <v>0.13300000000000001</v>
      </c>
      <c r="AF7337" s="508">
        <v>9.2999999999999999E-2</v>
      </c>
      <c r="AG7337" s="508">
        <v>8.4000000000000005E-2</v>
      </c>
      <c r="AH7337" s="508">
        <v>8.3000000000000004E-2</v>
      </c>
      <c r="AI7337" s="492">
        <v>8.1000000000000003E-2</v>
      </c>
      <c r="AJ7337" s="485"/>
    </row>
    <row r="7338" spans="2:36">
      <c r="B7338" s="136" t="s">
        <v>458</v>
      </c>
      <c r="C7338" s="132" t="s">
        <v>1367</v>
      </c>
      <c r="D7338" s="132" t="s">
        <v>1381</v>
      </c>
      <c r="E7338" s="508">
        <v>3.23</v>
      </c>
      <c r="F7338" s="508">
        <v>1.9079999999999999</v>
      </c>
      <c r="G7338" s="508">
        <v>1.8879999999999999</v>
      </c>
      <c r="H7338" s="508">
        <v>1.87</v>
      </c>
      <c r="I7338" s="508">
        <v>1.8440000000000001</v>
      </c>
      <c r="J7338" s="508">
        <v>1.4890000000000001</v>
      </c>
      <c r="K7338" s="508">
        <v>1.458</v>
      </c>
      <c r="L7338" s="508">
        <v>1.4239999999999999</v>
      </c>
      <c r="M7338" s="508">
        <v>1.3879999999999999</v>
      </c>
      <c r="N7338" s="508">
        <v>1.37</v>
      </c>
      <c r="O7338" s="508">
        <v>1.34</v>
      </c>
      <c r="P7338" s="508">
        <v>0.96</v>
      </c>
      <c r="Q7338" s="508">
        <v>0.92800000000000005</v>
      </c>
      <c r="R7338" s="508">
        <v>0.89900000000000002</v>
      </c>
      <c r="S7338" s="508">
        <v>0.871</v>
      </c>
      <c r="T7338" s="508">
        <v>0.84599999999999997</v>
      </c>
      <c r="U7338" s="508">
        <v>0.36199999999999999</v>
      </c>
      <c r="V7338" s="508">
        <v>0.33400000000000002</v>
      </c>
      <c r="W7338" s="508">
        <v>0.311</v>
      </c>
      <c r="X7338" s="508">
        <v>0.26100000000000001</v>
      </c>
      <c r="Y7338" s="508">
        <v>0.247</v>
      </c>
      <c r="Z7338" s="508">
        <v>0.155</v>
      </c>
      <c r="AA7338" s="508">
        <v>0.14599999999999999</v>
      </c>
      <c r="AB7338" s="508">
        <v>0.12</v>
      </c>
      <c r="AC7338" s="508">
        <v>0.115</v>
      </c>
      <c r="AD7338" s="508">
        <v>9.0999999999999998E-2</v>
      </c>
      <c r="AE7338" s="508">
        <v>8.5999999999999993E-2</v>
      </c>
      <c r="AF7338" s="508">
        <v>5.8999999999999997E-2</v>
      </c>
      <c r="AG7338" s="508">
        <v>5.5E-2</v>
      </c>
      <c r="AH7338" s="508">
        <v>5.3999999999999999E-2</v>
      </c>
      <c r="AI7338" s="492">
        <v>5.2999999999999999E-2</v>
      </c>
      <c r="AJ7338" s="485"/>
    </row>
    <row r="7339" spans="2:36">
      <c r="B7339" s="136" t="s">
        <v>459</v>
      </c>
      <c r="C7339" s="132" t="s">
        <v>1367</v>
      </c>
      <c r="D7339" s="132" t="s">
        <v>1381</v>
      </c>
      <c r="E7339" s="508">
        <v>3.9220000000000002</v>
      </c>
      <c r="F7339" s="508">
        <v>2.3170000000000002</v>
      </c>
      <c r="G7339" s="508">
        <v>2.294</v>
      </c>
      <c r="H7339" s="508">
        <v>2.2709999999999999</v>
      </c>
      <c r="I7339" s="508">
        <v>2.2400000000000002</v>
      </c>
      <c r="J7339" s="508">
        <v>1.825</v>
      </c>
      <c r="K7339" s="508">
        <v>1.786</v>
      </c>
      <c r="L7339" s="508">
        <v>1.744</v>
      </c>
      <c r="M7339" s="508">
        <v>1.7010000000000001</v>
      </c>
      <c r="N7339" s="508">
        <v>1.6739999999999999</v>
      </c>
      <c r="O7339" s="508">
        <v>1.637</v>
      </c>
      <c r="P7339" s="508">
        <v>1.1850000000000001</v>
      </c>
      <c r="Q7339" s="508">
        <v>0.96199999999999997</v>
      </c>
      <c r="R7339" s="508">
        <v>0.93100000000000005</v>
      </c>
      <c r="S7339" s="508">
        <v>0.9</v>
      </c>
      <c r="T7339" s="508">
        <v>0.874</v>
      </c>
      <c r="U7339" s="508">
        <v>0.40799999999999997</v>
      </c>
      <c r="V7339" s="508">
        <v>0.379</v>
      </c>
      <c r="W7339" s="508">
        <v>0.35399999999999998</v>
      </c>
      <c r="X7339" s="508">
        <v>0.30399999999999999</v>
      </c>
      <c r="Y7339" s="508">
        <v>0.28799999999999998</v>
      </c>
      <c r="Z7339" s="508">
        <v>0.17199999999999999</v>
      </c>
      <c r="AA7339" s="508">
        <v>0.16400000000000001</v>
      </c>
      <c r="AB7339" s="508">
        <v>0.13700000000000001</v>
      </c>
      <c r="AC7339" s="508">
        <v>0.13100000000000001</v>
      </c>
      <c r="AD7339" s="508">
        <v>0.107</v>
      </c>
      <c r="AE7339" s="508">
        <v>9.9000000000000005E-2</v>
      </c>
      <c r="AF7339" s="508">
        <v>7.1999999999999995E-2</v>
      </c>
      <c r="AG7339" s="508">
        <v>6.6000000000000003E-2</v>
      </c>
      <c r="AH7339" s="508">
        <v>6.5000000000000002E-2</v>
      </c>
      <c r="AI7339" s="492">
        <v>6.4000000000000001E-2</v>
      </c>
      <c r="AJ7339" s="485"/>
    </row>
    <row r="7340" spans="2:36">
      <c r="B7340" s="136" t="s">
        <v>460</v>
      </c>
      <c r="C7340" s="132" t="s">
        <v>1367</v>
      </c>
      <c r="D7340" s="132" t="s">
        <v>1381</v>
      </c>
      <c r="E7340" s="508">
        <v>4.3170000000000002</v>
      </c>
      <c r="F7340" s="508">
        <v>2.5539999999999998</v>
      </c>
      <c r="G7340" s="508">
        <v>2.528</v>
      </c>
      <c r="H7340" s="508">
        <v>2.5030000000000001</v>
      </c>
      <c r="I7340" s="508">
        <v>2.468</v>
      </c>
      <c r="J7340" s="508">
        <v>2.0230000000000001</v>
      </c>
      <c r="K7340" s="508">
        <v>1.98</v>
      </c>
      <c r="L7340" s="508">
        <v>1.9330000000000001</v>
      </c>
      <c r="M7340" s="508">
        <v>1.8839999999999999</v>
      </c>
      <c r="N7340" s="508">
        <v>1.8540000000000001</v>
      </c>
      <c r="O7340" s="508">
        <v>1.8129999999999999</v>
      </c>
      <c r="P7340" s="508">
        <v>1.32</v>
      </c>
      <c r="Q7340" s="508">
        <v>1.2769999999999999</v>
      </c>
      <c r="R7340" s="508">
        <v>1.236</v>
      </c>
      <c r="S7340" s="508">
        <v>1.196</v>
      </c>
      <c r="T7340" s="508">
        <v>1.161</v>
      </c>
      <c r="U7340" s="508">
        <v>0.47599999999999998</v>
      </c>
      <c r="V7340" s="508">
        <v>0.441</v>
      </c>
      <c r="W7340" s="508">
        <v>0.41199999999999998</v>
      </c>
      <c r="X7340" s="508">
        <v>0.35099999999999998</v>
      </c>
      <c r="Y7340" s="508">
        <v>0.33200000000000002</v>
      </c>
      <c r="Z7340" s="508">
        <v>0.20300000000000001</v>
      </c>
      <c r="AA7340" s="508">
        <v>0.193</v>
      </c>
      <c r="AB7340" s="508">
        <v>0.16200000000000001</v>
      </c>
      <c r="AC7340" s="508">
        <v>0.155</v>
      </c>
      <c r="AD7340" s="508">
        <v>0.12</v>
      </c>
      <c r="AE7340" s="508">
        <v>0.111</v>
      </c>
      <c r="AF7340" s="508">
        <v>7.4999999999999997E-2</v>
      </c>
      <c r="AG7340" s="508">
        <v>6.8000000000000005E-2</v>
      </c>
      <c r="AH7340" s="508">
        <v>6.7000000000000004E-2</v>
      </c>
      <c r="AI7340" s="492">
        <v>6.6000000000000003E-2</v>
      </c>
      <c r="AJ7340" s="485"/>
    </row>
    <row r="7341" spans="2:36">
      <c r="B7341" s="136" t="s">
        <v>461</v>
      </c>
      <c r="C7341" s="132" t="s">
        <v>1367</v>
      </c>
      <c r="D7341" s="132" t="s">
        <v>1381</v>
      </c>
      <c r="E7341" s="508">
        <v>4.26</v>
      </c>
      <c r="F7341" s="508">
        <v>2.4620000000000002</v>
      </c>
      <c r="G7341" s="508">
        <v>2.4359999999999999</v>
      </c>
      <c r="H7341" s="508">
        <v>2.41</v>
      </c>
      <c r="I7341" s="508">
        <v>2.375</v>
      </c>
      <c r="J7341" s="508">
        <v>2.012</v>
      </c>
      <c r="K7341" s="508">
        <v>1.966</v>
      </c>
      <c r="L7341" s="508">
        <v>1.9159999999999999</v>
      </c>
      <c r="M7341" s="508">
        <v>1.865</v>
      </c>
      <c r="N7341" s="508">
        <v>1.839</v>
      </c>
      <c r="O7341" s="508">
        <v>1.7949999999999999</v>
      </c>
      <c r="P7341" s="508">
        <v>1.3939999999999999</v>
      </c>
      <c r="Q7341" s="508">
        <v>1.3460000000000001</v>
      </c>
      <c r="R7341" s="508">
        <v>1.3009999999999999</v>
      </c>
      <c r="S7341" s="508">
        <v>1.3009999999999999</v>
      </c>
      <c r="T7341" s="508">
        <v>1.262</v>
      </c>
      <c r="U7341" s="508">
        <v>0.53900000000000003</v>
      </c>
      <c r="V7341" s="508">
        <v>0.502</v>
      </c>
      <c r="W7341" s="508">
        <v>0.47099999999999997</v>
      </c>
      <c r="X7341" s="508">
        <v>0.40799999999999997</v>
      </c>
      <c r="Y7341" s="508">
        <v>0.38700000000000001</v>
      </c>
      <c r="Z7341" s="508">
        <v>0.24099999999999999</v>
      </c>
      <c r="AA7341" s="508">
        <v>0.22900000000000001</v>
      </c>
      <c r="AB7341" s="508">
        <v>0.19700000000000001</v>
      </c>
      <c r="AC7341" s="508">
        <v>0.19</v>
      </c>
      <c r="AD7341" s="508">
        <v>0.14799999999999999</v>
      </c>
      <c r="AE7341" s="508">
        <v>0.13300000000000001</v>
      </c>
      <c r="AF7341" s="508">
        <v>9.2999999999999999E-2</v>
      </c>
      <c r="AG7341" s="508">
        <v>8.3000000000000004E-2</v>
      </c>
      <c r="AH7341" s="508">
        <v>8.1000000000000003E-2</v>
      </c>
      <c r="AI7341" s="492">
        <v>0.08</v>
      </c>
      <c r="AJ7341" s="485"/>
    </row>
    <row r="7342" spans="2:36">
      <c r="B7342" s="136" t="s">
        <v>462</v>
      </c>
      <c r="C7342" s="132" t="s">
        <v>1367</v>
      </c>
      <c r="D7342" s="132" t="s">
        <v>1381</v>
      </c>
      <c r="E7342" s="508">
        <v>3.544</v>
      </c>
      <c r="F7342" s="508">
        <v>2.3149999999999999</v>
      </c>
      <c r="G7342" s="508">
        <v>2.2909999999999999</v>
      </c>
      <c r="H7342" s="508">
        <v>2.2709999999999999</v>
      </c>
      <c r="I7342" s="508">
        <v>2.2400000000000002</v>
      </c>
      <c r="J7342" s="508">
        <v>1.7430000000000001</v>
      </c>
      <c r="K7342" s="508">
        <v>1.708</v>
      </c>
      <c r="L7342" s="508">
        <v>1.671</v>
      </c>
      <c r="M7342" s="508">
        <v>1.631</v>
      </c>
      <c r="N7342" s="508">
        <v>1.617</v>
      </c>
      <c r="O7342" s="508">
        <v>1.585</v>
      </c>
      <c r="P7342" s="508">
        <v>1.097</v>
      </c>
      <c r="Q7342" s="508">
        <v>1.0620000000000001</v>
      </c>
      <c r="R7342" s="508">
        <v>1.0309999999999999</v>
      </c>
      <c r="S7342" s="508">
        <v>0.999</v>
      </c>
      <c r="T7342" s="508">
        <v>0.97299999999999998</v>
      </c>
      <c r="U7342" s="508">
        <v>0.35799999999999998</v>
      </c>
      <c r="V7342" s="508">
        <v>0.32700000000000001</v>
      </c>
      <c r="W7342" s="508">
        <v>0.30199999999999999</v>
      </c>
      <c r="X7342" s="508">
        <v>0.24399999999999999</v>
      </c>
      <c r="Y7342" s="508">
        <v>0.22900000000000001</v>
      </c>
      <c r="Z7342" s="508">
        <v>0.155</v>
      </c>
      <c r="AA7342" s="508">
        <v>0.14599999999999999</v>
      </c>
      <c r="AB7342" s="508">
        <v>0.11600000000000001</v>
      </c>
      <c r="AC7342" s="508">
        <v>0.11</v>
      </c>
      <c r="AD7342" s="508">
        <v>8.1000000000000003E-2</v>
      </c>
      <c r="AE7342" s="508">
        <v>7.8E-2</v>
      </c>
      <c r="AF7342" s="508">
        <v>4.7E-2</v>
      </c>
      <c r="AG7342" s="508">
        <v>4.4999999999999998E-2</v>
      </c>
      <c r="AH7342" s="508">
        <v>4.3999999999999997E-2</v>
      </c>
      <c r="AI7342" s="492">
        <v>4.2999999999999997E-2</v>
      </c>
      <c r="AJ7342" s="485"/>
    </row>
    <row r="7343" spans="2:36">
      <c r="B7343" s="136" t="s">
        <v>463</v>
      </c>
      <c r="C7343" s="132" t="s">
        <v>1367</v>
      </c>
      <c r="D7343" s="132" t="s">
        <v>1381</v>
      </c>
      <c r="E7343" s="508">
        <v>3.738</v>
      </c>
      <c r="F7343" s="508">
        <v>2.2850000000000001</v>
      </c>
      <c r="G7343" s="508">
        <v>2.2610000000000001</v>
      </c>
      <c r="H7343" s="508">
        <v>2.2389999999999999</v>
      </c>
      <c r="I7343" s="508">
        <v>2.2080000000000002</v>
      </c>
      <c r="J7343" s="508">
        <v>1.782</v>
      </c>
      <c r="K7343" s="508">
        <v>1.744</v>
      </c>
      <c r="L7343" s="508">
        <v>1.7030000000000001</v>
      </c>
      <c r="M7343" s="508">
        <v>1.66</v>
      </c>
      <c r="N7343" s="508">
        <v>1.641</v>
      </c>
      <c r="O7343" s="508">
        <v>1.605</v>
      </c>
      <c r="P7343" s="508">
        <v>1.0960000000000001</v>
      </c>
      <c r="Q7343" s="508">
        <v>1.0589999999999999</v>
      </c>
      <c r="R7343" s="508">
        <v>1.026</v>
      </c>
      <c r="S7343" s="508">
        <v>0.99299999999999999</v>
      </c>
      <c r="T7343" s="508">
        <v>0.96499999999999997</v>
      </c>
      <c r="U7343" s="508">
        <v>0.41899999999999998</v>
      </c>
      <c r="V7343" s="508">
        <v>0.38600000000000001</v>
      </c>
      <c r="W7343" s="508">
        <v>0.35899999999999999</v>
      </c>
      <c r="X7343" s="508">
        <v>0.30099999999999999</v>
      </c>
      <c r="Y7343" s="508">
        <v>0.28399999999999997</v>
      </c>
      <c r="Z7343" s="508">
        <v>0.17899999999999999</v>
      </c>
      <c r="AA7343" s="508">
        <v>0.16900000000000001</v>
      </c>
      <c r="AB7343" s="508">
        <v>0.13900000000000001</v>
      </c>
      <c r="AC7343" s="508">
        <v>0.13300000000000001</v>
      </c>
      <c r="AD7343" s="508">
        <v>0.10199999999999999</v>
      </c>
      <c r="AE7343" s="508">
        <v>9.6000000000000002E-2</v>
      </c>
      <c r="AF7343" s="508">
        <v>6.4000000000000001E-2</v>
      </c>
      <c r="AG7343" s="508">
        <v>5.8999999999999997E-2</v>
      </c>
      <c r="AH7343" s="508">
        <v>5.8000000000000003E-2</v>
      </c>
      <c r="AI7343" s="492">
        <v>5.7000000000000002E-2</v>
      </c>
      <c r="AJ7343" s="485"/>
    </row>
    <row r="7344" spans="2:36">
      <c r="B7344" s="136" t="s">
        <v>464</v>
      </c>
      <c r="C7344" s="132" t="s">
        <v>1367</v>
      </c>
      <c r="D7344" s="132" t="s">
        <v>1381</v>
      </c>
      <c r="E7344" s="508">
        <v>4.4429999999999996</v>
      </c>
      <c r="F7344" s="508">
        <v>2.5550000000000002</v>
      </c>
      <c r="G7344" s="508">
        <v>2.528</v>
      </c>
      <c r="H7344" s="508">
        <v>2.5009999999999999</v>
      </c>
      <c r="I7344" s="508">
        <v>2.4649999999999999</v>
      </c>
      <c r="J7344" s="508">
        <v>2.0630000000000002</v>
      </c>
      <c r="K7344" s="508">
        <v>2.016</v>
      </c>
      <c r="L7344" s="508">
        <v>1.966</v>
      </c>
      <c r="M7344" s="508">
        <v>1.913</v>
      </c>
      <c r="N7344" s="508">
        <v>1.893</v>
      </c>
      <c r="O7344" s="508">
        <v>1.8480000000000001</v>
      </c>
      <c r="P7344" s="508">
        <v>1.375</v>
      </c>
      <c r="Q7344" s="508">
        <v>1.3280000000000001</v>
      </c>
      <c r="R7344" s="508">
        <v>1.284</v>
      </c>
      <c r="S7344" s="508">
        <v>1.2410000000000001</v>
      </c>
      <c r="T7344" s="508">
        <v>1.2030000000000001</v>
      </c>
      <c r="U7344" s="508">
        <v>0.54900000000000004</v>
      </c>
      <c r="V7344" s="508">
        <v>0.51</v>
      </c>
      <c r="W7344" s="508">
        <v>0.47799999999999998</v>
      </c>
      <c r="X7344" s="508">
        <v>0.41099999999999998</v>
      </c>
      <c r="Y7344" s="508">
        <v>0.38900000000000001</v>
      </c>
      <c r="Z7344" s="508">
        <v>0.23300000000000001</v>
      </c>
      <c r="AA7344" s="508">
        <v>0.222</v>
      </c>
      <c r="AB7344" s="508">
        <v>0.189</v>
      </c>
      <c r="AC7344" s="508">
        <v>0.18099999999999999</v>
      </c>
      <c r="AD7344" s="508">
        <v>0.14099999999999999</v>
      </c>
      <c r="AE7344" s="508">
        <v>0.129</v>
      </c>
      <c r="AF7344" s="508">
        <v>0.09</v>
      </c>
      <c r="AG7344" s="508">
        <v>8.1000000000000003E-2</v>
      </c>
      <c r="AH7344" s="508">
        <v>7.9000000000000001E-2</v>
      </c>
      <c r="AI7344" s="492">
        <v>7.8E-2</v>
      </c>
      <c r="AJ7344" s="485"/>
    </row>
    <row r="7345" spans="2:36">
      <c r="B7345" s="136" t="s">
        <v>465</v>
      </c>
      <c r="C7345" s="132" t="s">
        <v>1367</v>
      </c>
      <c r="D7345" s="132" t="s">
        <v>1381</v>
      </c>
      <c r="E7345" s="508">
        <v>4.1020000000000003</v>
      </c>
      <c r="F7345" s="508">
        <v>2.452</v>
      </c>
      <c r="G7345" s="508">
        <v>2.4260000000000002</v>
      </c>
      <c r="H7345" s="508">
        <v>2.4020000000000001</v>
      </c>
      <c r="I7345" s="508">
        <v>2.3679999999999999</v>
      </c>
      <c r="J7345" s="508">
        <v>1.9470000000000001</v>
      </c>
      <c r="K7345" s="508">
        <v>1.9039999999999999</v>
      </c>
      <c r="L7345" s="508">
        <v>1.859</v>
      </c>
      <c r="M7345" s="508">
        <v>1.8109999999999999</v>
      </c>
      <c r="N7345" s="508">
        <v>1.788</v>
      </c>
      <c r="O7345" s="508">
        <v>1.7470000000000001</v>
      </c>
      <c r="P7345" s="508">
        <v>1.2769999999999999</v>
      </c>
      <c r="Q7345" s="508">
        <v>1.234</v>
      </c>
      <c r="R7345" s="508">
        <v>1.194</v>
      </c>
      <c r="S7345" s="508">
        <v>1.155</v>
      </c>
      <c r="T7345" s="508">
        <v>1.1220000000000001</v>
      </c>
      <c r="U7345" s="508">
        <v>0.51300000000000001</v>
      </c>
      <c r="V7345" s="508">
        <v>0.47499999999999998</v>
      </c>
      <c r="W7345" s="508">
        <v>0.44400000000000001</v>
      </c>
      <c r="X7345" s="508">
        <v>0.378</v>
      </c>
      <c r="Y7345" s="508">
        <v>0.35799999999999998</v>
      </c>
      <c r="Z7345" s="508">
        <v>0.22</v>
      </c>
      <c r="AA7345" s="508">
        <v>0.20899999999999999</v>
      </c>
      <c r="AB7345" s="508">
        <v>0.17599999999999999</v>
      </c>
      <c r="AC7345" s="508">
        <v>0.16800000000000001</v>
      </c>
      <c r="AD7345" s="508">
        <v>0.13</v>
      </c>
      <c r="AE7345" s="508">
        <v>0.12</v>
      </c>
      <c r="AF7345" s="508">
        <v>8.1000000000000003E-2</v>
      </c>
      <c r="AG7345" s="508">
        <v>7.3999999999999996E-2</v>
      </c>
      <c r="AH7345" s="508">
        <v>7.1999999999999995E-2</v>
      </c>
      <c r="AI7345" s="492">
        <v>7.0999999999999994E-2</v>
      </c>
      <c r="AJ7345" s="485"/>
    </row>
    <row r="7346" spans="2:36">
      <c r="B7346" s="136" t="s">
        <v>466</v>
      </c>
      <c r="C7346" s="132" t="s">
        <v>1367</v>
      </c>
      <c r="D7346" s="132" t="s">
        <v>1381</v>
      </c>
      <c r="E7346" s="508">
        <v>3.0750000000000002</v>
      </c>
      <c r="F7346" s="508">
        <v>1.897</v>
      </c>
      <c r="G7346" s="508">
        <v>1.877</v>
      </c>
      <c r="H7346" s="508">
        <v>1.86</v>
      </c>
      <c r="I7346" s="508">
        <v>1.8360000000000001</v>
      </c>
      <c r="J7346" s="508">
        <v>1.446</v>
      </c>
      <c r="K7346" s="508">
        <v>1.417</v>
      </c>
      <c r="L7346" s="508">
        <v>1.3859999999999999</v>
      </c>
      <c r="M7346" s="508">
        <v>1.353</v>
      </c>
      <c r="N7346" s="508">
        <v>1.3340000000000001</v>
      </c>
      <c r="O7346" s="508">
        <v>1.3069999999999999</v>
      </c>
      <c r="P7346" s="508">
        <v>0.93</v>
      </c>
      <c r="Q7346" s="508">
        <v>0.90100000000000002</v>
      </c>
      <c r="R7346" s="508">
        <v>0.874</v>
      </c>
      <c r="S7346" s="508">
        <v>0.84799999999999998</v>
      </c>
      <c r="T7346" s="508">
        <v>0.82499999999999996</v>
      </c>
      <c r="U7346" s="508">
        <v>0.33200000000000002</v>
      </c>
      <c r="V7346" s="508">
        <v>0.30399999999999999</v>
      </c>
      <c r="W7346" s="508">
        <v>0.28199999999999997</v>
      </c>
      <c r="X7346" s="508">
        <v>0.23300000000000001</v>
      </c>
      <c r="Y7346" s="508">
        <v>0.219</v>
      </c>
      <c r="Z7346" s="508">
        <v>0.14199999999999999</v>
      </c>
      <c r="AA7346" s="508">
        <v>0.13400000000000001</v>
      </c>
      <c r="AB7346" s="508">
        <v>0.107</v>
      </c>
      <c r="AC7346" s="508">
        <v>0.10199999999999999</v>
      </c>
      <c r="AD7346" s="508">
        <v>0.08</v>
      </c>
      <c r="AE7346" s="508">
        <v>7.5999999999999998E-2</v>
      </c>
      <c r="AF7346" s="508">
        <v>5.0999999999999997E-2</v>
      </c>
      <c r="AG7346" s="508">
        <v>4.9000000000000002E-2</v>
      </c>
      <c r="AH7346" s="508">
        <v>4.8000000000000001E-2</v>
      </c>
      <c r="AI7346" s="492">
        <v>4.7E-2</v>
      </c>
      <c r="AJ7346" s="485"/>
    </row>
    <row r="7347" spans="2:36">
      <c r="B7347" s="136" t="s">
        <v>467</v>
      </c>
      <c r="C7347" s="132" t="s">
        <v>1367</v>
      </c>
      <c r="D7347" s="132" t="s">
        <v>1381</v>
      </c>
      <c r="E7347" s="508">
        <v>4.1859999999999999</v>
      </c>
      <c r="F7347" s="508">
        <v>2.4489999999999998</v>
      </c>
      <c r="G7347" s="508">
        <v>2.4239999999999999</v>
      </c>
      <c r="H7347" s="508">
        <v>2.4</v>
      </c>
      <c r="I7347" s="508">
        <v>2.3660000000000001</v>
      </c>
      <c r="J7347" s="508">
        <v>1.9530000000000001</v>
      </c>
      <c r="K7347" s="508">
        <v>1.91</v>
      </c>
      <c r="L7347" s="508">
        <v>1.863</v>
      </c>
      <c r="M7347" s="508">
        <v>1.8149999999999999</v>
      </c>
      <c r="N7347" s="508">
        <v>1.792</v>
      </c>
      <c r="O7347" s="508">
        <v>1.7509999999999999</v>
      </c>
      <c r="P7347" s="508">
        <v>1.0880000000000001</v>
      </c>
      <c r="Q7347" s="508">
        <v>1.05</v>
      </c>
      <c r="R7347" s="508">
        <v>1.0149999999999999</v>
      </c>
      <c r="S7347" s="508">
        <v>0.98099999999999998</v>
      </c>
      <c r="T7347" s="508">
        <v>0.95099999999999996</v>
      </c>
      <c r="U7347" s="508">
        <v>0.45200000000000001</v>
      </c>
      <c r="V7347" s="508">
        <v>0.42099999999999999</v>
      </c>
      <c r="W7347" s="508">
        <v>0.39500000000000002</v>
      </c>
      <c r="X7347" s="508">
        <v>0.34200000000000003</v>
      </c>
      <c r="Y7347" s="508">
        <v>0.32400000000000001</v>
      </c>
      <c r="Z7347" s="508">
        <v>0.193</v>
      </c>
      <c r="AA7347" s="508">
        <v>0.184</v>
      </c>
      <c r="AB7347" s="508">
        <v>0.156</v>
      </c>
      <c r="AC7347" s="508">
        <v>0.15</v>
      </c>
      <c r="AD7347" s="508">
        <v>0.122</v>
      </c>
      <c r="AE7347" s="508">
        <v>0.112</v>
      </c>
      <c r="AF7347" s="508">
        <v>8.2000000000000003E-2</v>
      </c>
      <c r="AG7347" s="508">
        <v>7.4999999999999997E-2</v>
      </c>
      <c r="AH7347" s="508">
        <v>7.2999999999999995E-2</v>
      </c>
      <c r="AI7347" s="492">
        <v>7.1999999999999995E-2</v>
      </c>
      <c r="AJ7347" s="485"/>
    </row>
    <row r="7348" spans="2:36">
      <c r="B7348" s="136" t="s">
        <v>468</v>
      </c>
      <c r="C7348" s="132" t="s">
        <v>1367</v>
      </c>
      <c r="D7348" s="132" t="s">
        <v>1381</v>
      </c>
      <c r="E7348" s="508">
        <v>3.1019999999999999</v>
      </c>
      <c r="F7348" s="508">
        <v>1.7649999999999999</v>
      </c>
      <c r="G7348" s="508">
        <v>1.746</v>
      </c>
      <c r="H7348" s="508">
        <v>1.728</v>
      </c>
      <c r="I7348" s="508">
        <v>1.7030000000000001</v>
      </c>
      <c r="J7348" s="508">
        <v>1.4039999999999999</v>
      </c>
      <c r="K7348" s="508">
        <v>1.373</v>
      </c>
      <c r="L7348" s="508">
        <v>1.339</v>
      </c>
      <c r="M7348" s="508">
        <v>1.304</v>
      </c>
      <c r="N7348" s="508">
        <v>1.292</v>
      </c>
      <c r="O7348" s="508">
        <v>1.262</v>
      </c>
      <c r="P7348" s="508">
        <v>0.94799999999999995</v>
      </c>
      <c r="Q7348" s="508">
        <v>0.91600000000000004</v>
      </c>
      <c r="R7348" s="508">
        <v>0.88600000000000001</v>
      </c>
      <c r="S7348" s="508">
        <v>0.85699999999999998</v>
      </c>
      <c r="T7348" s="508">
        <v>0.83199999999999996</v>
      </c>
      <c r="U7348" s="508">
        <v>0.38</v>
      </c>
      <c r="V7348" s="508">
        <v>0.35099999999999998</v>
      </c>
      <c r="W7348" s="508">
        <v>0.32800000000000001</v>
      </c>
      <c r="X7348" s="508">
        <v>0.27700000000000002</v>
      </c>
      <c r="Y7348" s="508">
        <v>0.26200000000000001</v>
      </c>
      <c r="Z7348" s="508">
        <v>0.16200000000000001</v>
      </c>
      <c r="AA7348" s="508">
        <v>0.154</v>
      </c>
      <c r="AB7348" s="508">
        <v>0.127</v>
      </c>
      <c r="AC7348" s="508">
        <v>0.122</v>
      </c>
      <c r="AD7348" s="508">
        <v>9.8000000000000004E-2</v>
      </c>
      <c r="AE7348" s="508">
        <v>9.9000000000000005E-2</v>
      </c>
      <c r="AF7348" s="508">
        <v>6.5000000000000002E-2</v>
      </c>
      <c r="AG7348" s="508">
        <v>0.06</v>
      </c>
      <c r="AH7348" s="508">
        <v>5.8999999999999997E-2</v>
      </c>
      <c r="AI7348" s="492">
        <v>5.8000000000000003E-2</v>
      </c>
      <c r="AJ7348" s="485"/>
    </row>
    <row r="7349" spans="2:36">
      <c r="B7349" s="136" t="s">
        <v>469</v>
      </c>
      <c r="C7349" s="132" t="s">
        <v>1367</v>
      </c>
      <c r="D7349" s="132" t="s">
        <v>1381</v>
      </c>
      <c r="E7349" s="508">
        <v>3.617</v>
      </c>
      <c r="F7349" s="508">
        <v>2.2080000000000002</v>
      </c>
      <c r="G7349" s="508">
        <v>2.1859999999999999</v>
      </c>
      <c r="H7349" s="508">
        <v>2.165</v>
      </c>
      <c r="I7349" s="508">
        <v>2.1349999999999998</v>
      </c>
      <c r="J7349" s="508">
        <v>1.7110000000000001</v>
      </c>
      <c r="K7349" s="508">
        <v>1.675</v>
      </c>
      <c r="L7349" s="508">
        <v>1.6359999999999999</v>
      </c>
      <c r="M7349" s="508">
        <v>1.595</v>
      </c>
      <c r="N7349" s="508">
        <v>1.5780000000000001</v>
      </c>
      <c r="O7349" s="508">
        <v>1.544</v>
      </c>
      <c r="P7349" s="508">
        <v>1.1060000000000001</v>
      </c>
      <c r="Q7349" s="508">
        <v>1.07</v>
      </c>
      <c r="R7349" s="508">
        <v>1.0369999999999999</v>
      </c>
      <c r="S7349" s="508">
        <v>1.004</v>
      </c>
      <c r="T7349" s="508">
        <v>0.97599999999999998</v>
      </c>
      <c r="U7349" s="508">
        <v>0.41599999999999998</v>
      </c>
      <c r="V7349" s="508">
        <v>0.38300000000000001</v>
      </c>
      <c r="W7349" s="508">
        <v>0.35599999999999998</v>
      </c>
      <c r="X7349" s="508">
        <v>0.29699999999999999</v>
      </c>
      <c r="Y7349" s="508">
        <v>0.28000000000000003</v>
      </c>
      <c r="Z7349" s="508">
        <v>0.17799999999999999</v>
      </c>
      <c r="AA7349" s="508">
        <v>0.16800000000000001</v>
      </c>
      <c r="AB7349" s="508">
        <v>0.13700000000000001</v>
      </c>
      <c r="AC7349" s="508">
        <v>0.13100000000000001</v>
      </c>
      <c r="AD7349" s="508">
        <v>0.1</v>
      </c>
      <c r="AE7349" s="508">
        <v>9.4E-2</v>
      </c>
      <c r="AF7349" s="508">
        <v>6.2E-2</v>
      </c>
      <c r="AG7349" s="508">
        <v>5.8000000000000003E-2</v>
      </c>
      <c r="AH7349" s="508">
        <v>5.7000000000000002E-2</v>
      </c>
      <c r="AI7349" s="492">
        <v>5.6000000000000001E-2</v>
      </c>
      <c r="AJ7349" s="485"/>
    </row>
    <row r="7350" spans="2:36">
      <c r="B7350" s="136" t="s">
        <v>470</v>
      </c>
      <c r="C7350" s="132" t="s">
        <v>1367</v>
      </c>
      <c r="D7350" s="132" t="s">
        <v>1381</v>
      </c>
      <c r="E7350" s="508">
        <v>2.839</v>
      </c>
      <c r="F7350" s="508">
        <v>1.488</v>
      </c>
      <c r="G7350" s="508">
        <v>1.4730000000000001</v>
      </c>
      <c r="H7350" s="508">
        <v>1.4570000000000001</v>
      </c>
      <c r="I7350" s="508">
        <v>1.4359999999999999</v>
      </c>
      <c r="J7350" s="508">
        <v>1.214</v>
      </c>
      <c r="K7350" s="508">
        <v>1.1859999999999999</v>
      </c>
      <c r="L7350" s="508">
        <v>1.157</v>
      </c>
      <c r="M7350" s="508">
        <v>1.1259999999999999</v>
      </c>
      <c r="N7350" s="508">
        <v>1.1100000000000001</v>
      </c>
      <c r="O7350" s="508">
        <v>1.083</v>
      </c>
      <c r="P7350" s="508">
        <v>1.0169999999999999</v>
      </c>
      <c r="Q7350" s="508">
        <v>0.98299999999999998</v>
      </c>
      <c r="R7350" s="508">
        <v>0.95199999999999996</v>
      </c>
      <c r="S7350" s="508">
        <v>0.92100000000000004</v>
      </c>
      <c r="T7350" s="508">
        <v>0.89400000000000002</v>
      </c>
      <c r="U7350" s="508">
        <v>0.39800000000000002</v>
      </c>
      <c r="V7350" s="508">
        <v>0.36899999999999999</v>
      </c>
      <c r="W7350" s="508">
        <v>0.34499999999999997</v>
      </c>
      <c r="X7350" s="508">
        <v>0.29499999999999998</v>
      </c>
      <c r="Y7350" s="508">
        <v>0.28000000000000003</v>
      </c>
      <c r="Z7350" s="508">
        <v>0.16800000000000001</v>
      </c>
      <c r="AA7350" s="508">
        <v>0.159</v>
      </c>
      <c r="AB7350" s="508">
        <v>0.13300000000000001</v>
      </c>
      <c r="AC7350" s="508">
        <v>0.127</v>
      </c>
      <c r="AD7350" s="508">
        <v>0.10299999999999999</v>
      </c>
      <c r="AE7350" s="508">
        <v>9.6000000000000002E-2</v>
      </c>
      <c r="AF7350" s="508">
        <v>7.0000000000000007E-2</v>
      </c>
      <c r="AG7350" s="508">
        <v>6.4000000000000001E-2</v>
      </c>
      <c r="AH7350" s="508">
        <v>6.3E-2</v>
      </c>
      <c r="AI7350" s="492">
        <v>6.2E-2</v>
      </c>
      <c r="AJ7350" s="485"/>
    </row>
    <row r="7351" spans="2:36">
      <c r="B7351" s="136" t="s">
        <v>471</v>
      </c>
      <c r="C7351" s="132" t="s">
        <v>1367</v>
      </c>
      <c r="D7351" s="132" t="s">
        <v>1381</v>
      </c>
      <c r="E7351" s="508">
        <v>3.718</v>
      </c>
      <c r="F7351" s="508">
        <v>2.351</v>
      </c>
      <c r="G7351" s="508">
        <v>2.327</v>
      </c>
      <c r="H7351" s="508">
        <v>2.306</v>
      </c>
      <c r="I7351" s="508">
        <v>2.2759999999999998</v>
      </c>
      <c r="J7351" s="508">
        <v>1.786</v>
      </c>
      <c r="K7351" s="508">
        <v>1.75</v>
      </c>
      <c r="L7351" s="508">
        <v>1.7110000000000001</v>
      </c>
      <c r="M7351" s="508">
        <v>1.671</v>
      </c>
      <c r="N7351" s="508">
        <v>1.65</v>
      </c>
      <c r="O7351" s="508">
        <v>1.617</v>
      </c>
      <c r="P7351" s="508">
        <v>1.103</v>
      </c>
      <c r="Q7351" s="508">
        <v>1.069</v>
      </c>
      <c r="R7351" s="508">
        <v>1.0369999999999999</v>
      </c>
      <c r="S7351" s="508">
        <v>1.0049999999999999</v>
      </c>
      <c r="T7351" s="508">
        <v>0.97799999999999998</v>
      </c>
      <c r="U7351" s="508">
        <v>0.371</v>
      </c>
      <c r="V7351" s="508">
        <v>0.34</v>
      </c>
      <c r="W7351" s="508">
        <v>0.315</v>
      </c>
      <c r="X7351" s="508">
        <v>0.25900000000000001</v>
      </c>
      <c r="Y7351" s="508">
        <v>0.24399999999999999</v>
      </c>
      <c r="Z7351" s="508">
        <v>0.16</v>
      </c>
      <c r="AA7351" s="508">
        <v>0.151</v>
      </c>
      <c r="AB7351" s="508">
        <v>0.121</v>
      </c>
      <c r="AC7351" s="508">
        <v>0.115</v>
      </c>
      <c r="AD7351" s="508">
        <v>8.6999999999999994E-2</v>
      </c>
      <c r="AE7351" s="508">
        <v>8.2000000000000003E-2</v>
      </c>
      <c r="AF7351" s="508">
        <v>5.1999999999999998E-2</v>
      </c>
      <c r="AG7351" s="508">
        <v>4.9000000000000002E-2</v>
      </c>
      <c r="AH7351" s="508">
        <v>4.8000000000000001E-2</v>
      </c>
      <c r="AI7351" s="492">
        <v>4.7E-2</v>
      </c>
      <c r="AJ7351" s="485"/>
    </row>
    <row r="7352" spans="2:36">
      <c r="B7352" s="136" t="s">
        <v>472</v>
      </c>
      <c r="C7352" s="132" t="s">
        <v>1367</v>
      </c>
      <c r="D7352" s="132" t="s">
        <v>1381</v>
      </c>
      <c r="E7352" s="508">
        <v>4.806</v>
      </c>
      <c r="F7352" s="508">
        <v>2.802</v>
      </c>
      <c r="G7352" s="508">
        <v>2.7730000000000001</v>
      </c>
      <c r="H7352" s="508">
        <v>2.742</v>
      </c>
      <c r="I7352" s="508">
        <v>2.7010000000000001</v>
      </c>
      <c r="J7352" s="508">
        <v>2.319</v>
      </c>
      <c r="K7352" s="508">
        <v>2.2639999999999998</v>
      </c>
      <c r="L7352" s="508">
        <v>2.2050000000000001</v>
      </c>
      <c r="M7352" s="508">
        <v>2.1440000000000001</v>
      </c>
      <c r="N7352" s="508">
        <v>2.1190000000000002</v>
      </c>
      <c r="O7352" s="508">
        <v>2.0659999999999998</v>
      </c>
      <c r="P7352" s="508">
        <v>1.5740000000000001</v>
      </c>
      <c r="Q7352" s="508">
        <v>1.518</v>
      </c>
      <c r="R7352" s="508">
        <v>1.466</v>
      </c>
      <c r="S7352" s="508">
        <v>1.4159999999999999</v>
      </c>
      <c r="T7352" s="508">
        <v>1.3720000000000001</v>
      </c>
      <c r="U7352" s="508">
        <v>0.61499999999999999</v>
      </c>
      <c r="V7352" s="508">
        <v>0.57399999999999995</v>
      </c>
      <c r="W7352" s="508">
        <v>0.54</v>
      </c>
      <c r="X7352" s="508">
        <v>0.47099999999999997</v>
      </c>
      <c r="Y7352" s="508">
        <v>0.44800000000000001</v>
      </c>
      <c r="Z7352" s="508">
        <v>0.28499999999999998</v>
      </c>
      <c r="AA7352" s="508">
        <v>0.27100000000000002</v>
      </c>
      <c r="AB7352" s="508">
        <v>0.23699999999999999</v>
      </c>
      <c r="AC7352" s="508">
        <v>0.22800000000000001</v>
      </c>
      <c r="AD7352" s="508">
        <v>0.17899999999999999</v>
      </c>
      <c r="AE7352" s="508">
        <v>0.159</v>
      </c>
      <c r="AF7352" s="508">
        <v>0.112</v>
      </c>
      <c r="AG7352" s="508">
        <v>9.9000000000000005E-2</v>
      </c>
      <c r="AH7352" s="508">
        <v>9.7000000000000003E-2</v>
      </c>
      <c r="AI7352" s="492">
        <v>9.5000000000000001E-2</v>
      </c>
      <c r="AJ7352" s="485"/>
    </row>
    <row r="7353" spans="2:36">
      <c r="B7353" s="136" t="s">
        <v>473</v>
      </c>
      <c r="C7353" s="132" t="s">
        <v>1367</v>
      </c>
      <c r="D7353" s="132" t="s">
        <v>1381</v>
      </c>
      <c r="E7353" s="508">
        <v>3.8919999999999999</v>
      </c>
      <c r="F7353" s="508">
        <v>2.2970000000000002</v>
      </c>
      <c r="G7353" s="508">
        <v>2.11</v>
      </c>
      <c r="H7353" s="508">
        <v>2.09</v>
      </c>
      <c r="I7353" s="508">
        <v>2.0609999999999999</v>
      </c>
      <c r="J7353" s="508">
        <v>1.6830000000000001</v>
      </c>
      <c r="K7353" s="508">
        <v>1.647</v>
      </c>
      <c r="L7353" s="508">
        <v>1.6080000000000001</v>
      </c>
      <c r="M7353" s="508">
        <v>1.5680000000000001</v>
      </c>
      <c r="N7353" s="508">
        <v>1.544</v>
      </c>
      <c r="O7353" s="508">
        <v>1.51</v>
      </c>
      <c r="P7353" s="508">
        <v>1.171</v>
      </c>
      <c r="Q7353" s="508">
        <v>1.133</v>
      </c>
      <c r="R7353" s="508">
        <v>1.097</v>
      </c>
      <c r="S7353" s="508">
        <v>1.0620000000000001</v>
      </c>
      <c r="T7353" s="508">
        <v>1.032</v>
      </c>
      <c r="U7353" s="508">
        <v>0.41</v>
      </c>
      <c r="V7353" s="508">
        <v>0.379</v>
      </c>
      <c r="W7353" s="508">
        <v>0.35399999999999998</v>
      </c>
      <c r="X7353" s="508">
        <v>0.3</v>
      </c>
      <c r="Y7353" s="508">
        <v>0.28299999999999997</v>
      </c>
      <c r="Z7353" s="508">
        <v>0.17499999999999999</v>
      </c>
      <c r="AA7353" s="508">
        <v>0.16500000000000001</v>
      </c>
      <c r="AB7353" s="508">
        <v>0.13800000000000001</v>
      </c>
      <c r="AC7353" s="508">
        <v>0.13200000000000001</v>
      </c>
      <c r="AD7353" s="508">
        <v>0.10299999999999999</v>
      </c>
      <c r="AE7353" s="508">
        <v>9.6000000000000002E-2</v>
      </c>
      <c r="AF7353" s="508">
        <v>6.5000000000000002E-2</v>
      </c>
      <c r="AG7353" s="508">
        <v>0.06</v>
      </c>
      <c r="AH7353" s="508">
        <v>5.8999999999999997E-2</v>
      </c>
      <c r="AI7353" s="492">
        <v>5.8000000000000003E-2</v>
      </c>
      <c r="AJ7353" s="485"/>
    </row>
    <row r="7354" spans="2:36">
      <c r="B7354" s="136" t="s">
        <v>474</v>
      </c>
      <c r="C7354" s="132" t="s">
        <v>1367</v>
      </c>
      <c r="D7354" s="132" t="s">
        <v>1381</v>
      </c>
      <c r="E7354" s="508">
        <v>3.6030000000000002</v>
      </c>
      <c r="F7354" s="508">
        <v>2.2789999999999999</v>
      </c>
      <c r="G7354" s="508">
        <v>2.2549999999999999</v>
      </c>
      <c r="H7354" s="508">
        <v>2.2349999999999999</v>
      </c>
      <c r="I7354" s="508">
        <v>2.2050000000000001</v>
      </c>
      <c r="J7354" s="508">
        <v>1.738</v>
      </c>
      <c r="K7354" s="508">
        <v>1.7030000000000001</v>
      </c>
      <c r="L7354" s="508">
        <v>1.665</v>
      </c>
      <c r="M7354" s="508">
        <v>1.625</v>
      </c>
      <c r="N7354" s="508">
        <v>1.605</v>
      </c>
      <c r="O7354" s="508">
        <v>1.573</v>
      </c>
      <c r="P7354" s="508">
        <v>1.101</v>
      </c>
      <c r="Q7354" s="508">
        <v>1.0660000000000001</v>
      </c>
      <c r="R7354" s="508">
        <v>1.034</v>
      </c>
      <c r="S7354" s="508">
        <v>1.002</v>
      </c>
      <c r="T7354" s="508">
        <v>0.97499999999999998</v>
      </c>
      <c r="U7354" s="508">
        <v>0.39600000000000002</v>
      </c>
      <c r="V7354" s="508">
        <v>0.36399999999999999</v>
      </c>
      <c r="W7354" s="508">
        <v>0.33700000000000002</v>
      </c>
      <c r="X7354" s="508">
        <v>0.27700000000000002</v>
      </c>
      <c r="Y7354" s="508">
        <v>0.26100000000000001</v>
      </c>
      <c r="Z7354" s="508">
        <v>0.17</v>
      </c>
      <c r="AA7354" s="508">
        <v>0.16</v>
      </c>
      <c r="AB7354" s="508">
        <v>0.129</v>
      </c>
      <c r="AC7354" s="508">
        <v>0.123</v>
      </c>
      <c r="AD7354" s="508">
        <v>9.1999999999999998E-2</v>
      </c>
      <c r="AE7354" s="508">
        <v>8.7999999999999995E-2</v>
      </c>
      <c r="AF7354" s="508">
        <v>5.5E-2</v>
      </c>
      <c r="AG7354" s="508">
        <v>5.1999999999999998E-2</v>
      </c>
      <c r="AH7354" s="508">
        <v>5.0999999999999997E-2</v>
      </c>
      <c r="AI7354" s="492">
        <v>0.05</v>
      </c>
      <c r="AJ7354" s="485"/>
    </row>
    <row r="7355" spans="2:36">
      <c r="B7355" s="136" t="s">
        <v>475</v>
      </c>
      <c r="C7355" s="132" t="s">
        <v>1367</v>
      </c>
      <c r="D7355" s="132" t="s">
        <v>1381</v>
      </c>
      <c r="E7355" s="508">
        <v>3.738</v>
      </c>
      <c r="F7355" s="508">
        <v>2.1560000000000001</v>
      </c>
      <c r="G7355" s="508">
        <v>2.1339999999999999</v>
      </c>
      <c r="H7355" s="508">
        <v>2.113</v>
      </c>
      <c r="I7355" s="508">
        <v>2.0840000000000001</v>
      </c>
      <c r="J7355" s="508">
        <v>1.679</v>
      </c>
      <c r="K7355" s="508">
        <v>1.6279999999999999</v>
      </c>
      <c r="L7355" s="508">
        <v>1.589</v>
      </c>
      <c r="M7355" s="508">
        <v>1.5489999999999999</v>
      </c>
      <c r="N7355" s="508">
        <v>1.534</v>
      </c>
      <c r="O7355" s="508">
        <v>1.5</v>
      </c>
      <c r="P7355" s="508">
        <v>1.075</v>
      </c>
      <c r="Q7355" s="508">
        <v>1.04</v>
      </c>
      <c r="R7355" s="508">
        <v>1.0069999999999999</v>
      </c>
      <c r="S7355" s="508">
        <v>0.97499999999999998</v>
      </c>
      <c r="T7355" s="508">
        <v>0.94699999999999995</v>
      </c>
      <c r="U7355" s="508">
        <v>0.39700000000000002</v>
      </c>
      <c r="V7355" s="508">
        <v>0.36599999999999999</v>
      </c>
      <c r="W7355" s="508">
        <v>0.34100000000000003</v>
      </c>
      <c r="X7355" s="508">
        <v>0.28599999999999998</v>
      </c>
      <c r="Y7355" s="508">
        <v>0.26900000000000002</v>
      </c>
      <c r="Z7355" s="508">
        <v>0.16700000000000001</v>
      </c>
      <c r="AA7355" s="508">
        <v>0.158</v>
      </c>
      <c r="AB7355" s="508">
        <v>0.13</v>
      </c>
      <c r="AC7355" s="508">
        <v>0.124</v>
      </c>
      <c r="AD7355" s="508">
        <v>9.7000000000000003E-2</v>
      </c>
      <c r="AE7355" s="508">
        <v>9.1999999999999998E-2</v>
      </c>
      <c r="AF7355" s="508">
        <v>6.2E-2</v>
      </c>
      <c r="AG7355" s="508">
        <v>5.8000000000000003E-2</v>
      </c>
      <c r="AH7355" s="508">
        <v>5.7000000000000002E-2</v>
      </c>
      <c r="AI7355" s="492">
        <v>5.6000000000000001E-2</v>
      </c>
      <c r="AJ7355" s="485"/>
    </row>
    <row r="7356" spans="2:36">
      <c r="B7356" s="136" t="s">
        <v>476</v>
      </c>
      <c r="C7356" s="132" t="s">
        <v>1367</v>
      </c>
      <c r="D7356" s="132" t="s">
        <v>1381</v>
      </c>
      <c r="E7356" s="508">
        <v>4.0039999999999996</v>
      </c>
      <c r="F7356" s="508">
        <v>2.1259999999999999</v>
      </c>
      <c r="G7356" s="508">
        <v>2.105</v>
      </c>
      <c r="H7356" s="508">
        <v>2.0840000000000001</v>
      </c>
      <c r="I7356" s="508">
        <v>2.0550000000000002</v>
      </c>
      <c r="J7356" s="508">
        <v>1.677</v>
      </c>
      <c r="K7356" s="508">
        <v>1.641</v>
      </c>
      <c r="L7356" s="508">
        <v>1.6020000000000001</v>
      </c>
      <c r="M7356" s="508">
        <v>1.5620000000000001</v>
      </c>
      <c r="N7356" s="508">
        <v>1.5389999999999999</v>
      </c>
      <c r="O7356" s="508">
        <v>1.5049999999999999</v>
      </c>
      <c r="P7356" s="508">
        <v>1.0860000000000001</v>
      </c>
      <c r="Q7356" s="508">
        <v>1.05</v>
      </c>
      <c r="R7356" s="508">
        <v>1.0169999999999999</v>
      </c>
      <c r="S7356" s="508">
        <v>0.98399999999999999</v>
      </c>
      <c r="T7356" s="508">
        <v>0.95599999999999996</v>
      </c>
      <c r="U7356" s="508">
        <v>0.40500000000000003</v>
      </c>
      <c r="V7356" s="508">
        <v>0.375</v>
      </c>
      <c r="W7356" s="508">
        <v>0.35</v>
      </c>
      <c r="X7356" s="508">
        <v>0.29699999999999999</v>
      </c>
      <c r="Y7356" s="508">
        <v>0.28100000000000003</v>
      </c>
      <c r="Z7356" s="508">
        <v>0.17100000000000001</v>
      </c>
      <c r="AA7356" s="508">
        <v>0.16200000000000001</v>
      </c>
      <c r="AB7356" s="508">
        <v>0.13500000000000001</v>
      </c>
      <c r="AC7356" s="508">
        <v>0.129</v>
      </c>
      <c r="AD7356" s="508">
        <v>0.10299999999999999</v>
      </c>
      <c r="AE7356" s="508">
        <v>9.6000000000000002E-2</v>
      </c>
      <c r="AF7356" s="508">
        <v>6.7000000000000004E-2</v>
      </c>
      <c r="AG7356" s="508">
        <v>6.2E-2</v>
      </c>
      <c r="AH7356" s="508">
        <v>6.0999999999999999E-2</v>
      </c>
      <c r="AI7356" s="492">
        <v>0.06</v>
      </c>
      <c r="AJ7356" s="485"/>
    </row>
    <row r="7357" spans="2:36">
      <c r="B7357" s="136" t="s">
        <v>478</v>
      </c>
      <c r="C7357" s="132" t="s">
        <v>1367</v>
      </c>
      <c r="D7357" s="132" t="s">
        <v>1381</v>
      </c>
      <c r="E7357" s="508">
        <v>2.762</v>
      </c>
      <c r="F7357" s="508">
        <v>1.4530000000000001</v>
      </c>
      <c r="G7357" s="508">
        <v>1.4379999999999999</v>
      </c>
      <c r="H7357" s="508">
        <v>1.4239999999999999</v>
      </c>
      <c r="I7357" s="508">
        <v>1.403</v>
      </c>
      <c r="J7357" s="508">
        <v>1.179</v>
      </c>
      <c r="K7357" s="508">
        <v>1.153</v>
      </c>
      <c r="L7357" s="508">
        <v>1.1240000000000001</v>
      </c>
      <c r="M7357" s="508">
        <v>1.0940000000000001</v>
      </c>
      <c r="N7357" s="508">
        <v>1.077</v>
      </c>
      <c r="O7357" s="508">
        <v>1.052</v>
      </c>
      <c r="P7357" s="508">
        <v>0.97599999999999998</v>
      </c>
      <c r="Q7357" s="508">
        <v>0.94399999999999995</v>
      </c>
      <c r="R7357" s="508">
        <v>0.91300000000000003</v>
      </c>
      <c r="S7357" s="508">
        <v>0.88400000000000001</v>
      </c>
      <c r="T7357" s="508">
        <v>0.85899999999999999</v>
      </c>
      <c r="U7357" s="508">
        <v>0.39200000000000002</v>
      </c>
      <c r="V7357" s="508">
        <v>0.36399999999999999</v>
      </c>
      <c r="W7357" s="508">
        <v>0.34</v>
      </c>
      <c r="X7357" s="508">
        <v>0.28999999999999998</v>
      </c>
      <c r="Y7357" s="508">
        <v>0.27500000000000002</v>
      </c>
      <c r="Z7357" s="508">
        <v>0.16700000000000001</v>
      </c>
      <c r="AA7357" s="508">
        <v>0.158</v>
      </c>
      <c r="AB7357" s="508">
        <v>0.13300000000000001</v>
      </c>
      <c r="AC7357" s="508">
        <v>0.127</v>
      </c>
      <c r="AD7357" s="508">
        <v>0.10299999999999999</v>
      </c>
      <c r="AE7357" s="508">
        <v>0.10199999999999999</v>
      </c>
      <c r="AF7357" s="508">
        <v>6.8000000000000005E-2</v>
      </c>
      <c r="AG7357" s="508">
        <v>6.3E-2</v>
      </c>
      <c r="AH7357" s="508">
        <v>6.0999999999999999E-2</v>
      </c>
      <c r="AI7357" s="492">
        <v>0.06</v>
      </c>
      <c r="AJ7357" s="485"/>
    </row>
    <row r="7358" spans="2:36">
      <c r="B7358" s="136" t="s">
        <v>479</v>
      </c>
      <c r="C7358" s="132" t="s">
        <v>1367</v>
      </c>
      <c r="D7358" s="132" t="s">
        <v>1381</v>
      </c>
      <c r="E7358" s="508">
        <v>3.593</v>
      </c>
      <c r="F7358" s="508">
        <v>2.327</v>
      </c>
      <c r="G7358" s="508">
        <v>2.3029999999999999</v>
      </c>
      <c r="H7358" s="508">
        <v>2.2829999999999999</v>
      </c>
      <c r="I7358" s="508">
        <v>2.2530000000000001</v>
      </c>
      <c r="J7358" s="508">
        <v>1.7569999999999999</v>
      </c>
      <c r="K7358" s="508">
        <v>1.722</v>
      </c>
      <c r="L7358" s="508">
        <v>1.6839999999999999</v>
      </c>
      <c r="M7358" s="508">
        <v>1.645</v>
      </c>
      <c r="N7358" s="508">
        <v>1.625</v>
      </c>
      <c r="O7358" s="508">
        <v>1.593</v>
      </c>
      <c r="P7358" s="508">
        <v>1.103</v>
      </c>
      <c r="Q7358" s="508">
        <v>1.069</v>
      </c>
      <c r="R7358" s="508">
        <v>1.0369999999999999</v>
      </c>
      <c r="S7358" s="508">
        <v>1.0049999999999999</v>
      </c>
      <c r="T7358" s="508">
        <v>0.97899999999999998</v>
      </c>
      <c r="U7358" s="508">
        <v>0.36199999999999999</v>
      </c>
      <c r="V7358" s="508">
        <v>0.33100000000000002</v>
      </c>
      <c r="W7358" s="508">
        <v>0.30499999999999999</v>
      </c>
      <c r="X7358" s="508">
        <v>0.249</v>
      </c>
      <c r="Y7358" s="508">
        <v>0.23300000000000001</v>
      </c>
      <c r="Z7358" s="508">
        <v>0.157</v>
      </c>
      <c r="AA7358" s="508">
        <v>0.14799999999999999</v>
      </c>
      <c r="AB7358" s="508">
        <v>0.11700000000000001</v>
      </c>
      <c r="AC7358" s="508">
        <v>0.112</v>
      </c>
      <c r="AD7358" s="508">
        <v>8.3000000000000004E-2</v>
      </c>
      <c r="AE7358" s="508">
        <v>7.9000000000000001E-2</v>
      </c>
      <c r="AF7358" s="508">
        <v>4.8000000000000001E-2</v>
      </c>
      <c r="AG7358" s="508">
        <v>4.5999999999999999E-2</v>
      </c>
      <c r="AH7358" s="508">
        <v>4.4999999999999998E-2</v>
      </c>
      <c r="AI7358" s="492">
        <v>4.3999999999999997E-2</v>
      </c>
      <c r="AJ7358" s="485"/>
    </row>
    <row r="7359" spans="2:36">
      <c r="B7359" s="136" t="s">
        <v>480</v>
      </c>
      <c r="C7359" s="132" t="s">
        <v>1367</v>
      </c>
      <c r="D7359" s="132" t="s">
        <v>1381</v>
      </c>
      <c r="E7359" s="508">
        <v>4.4909999999999997</v>
      </c>
      <c r="F7359" s="508">
        <v>2.633</v>
      </c>
      <c r="G7359" s="508">
        <v>2.6059999999999999</v>
      </c>
      <c r="H7359" s="508">
        <v>2.5779999999999998</v>
      </c>
      <c r="I7359" s="508">
        <v>2.54</v>
      </c>
      <c r="J7359" s="508">
        <v>2.133</v>
      </c>
      <c r="K7359" s="508">
        <v>2.0840000000000001</v>
      </c>
      <c r="L7359" s="508">
        <v>2.032</v>
      </c>
      <c r="M7359" s="508">
        <v>1.9770000000000001</v>
      </c>
      <c r="N7359" s="508">
        <v>1.9550000000000001</v>
      </c>
      <c r="O7359" s="508">
        <v>1.909</v>
      </c>
      <c r="P7359" s="508">
        <v>1.4239999999999999</v>
      </c>
      <c r="Q7359" s="508">
        <v>1.375</v>
      </c>
      <c r="R7359" s="508">
        <v>1.329</v>
      </c>
      <c r="S7359" s="508">
        <v>1.284</v>
      </c>
      <c r="T7359" s="508">
        <v>1.2450000000000001</v>
      </c>
      <c r="U7359" s="508">
        <v>0.53300000000000003</v>
      </c>
      <c r="V7359" s="508">
        <v>0.495</v>
      </c>
      <c r="W7359" s="508">
        <v>0.46400000000000002</v>
      </c>
      <c r="X7359" s="508">
        <v>0.39900000000000002</v>
      </c>
      <c r="Y7359" s="508">
        <v>0.379</v>
      </c>
      <c r="Z7359" s="508">
        <v>0.23300000000000001</v>
      </c>
      <c r="AA7359" s="508">
        <v>0.221</v>
      </c>
      <c r="AB7359" s="508">
        <v>0.189</v>
      </c>
      <c r="AC7359" s="508">
        <v>0.18099999999999999</v>
      </c>
      <c r="AD7359" s="508">
        <v>0.14099999999999999</v>
      </c>
      <c r="AE7359" s="508">
        <v>0.128</v>
      </c>
      <c r="AF7359" s="508">
        <v>8.7999999999999995E-2</v>
      </c>
      <c r="AG7359" s="508">
        <v>7.9000000000000001E-2</v>
      </c>
      <c r="AH7359" s="508">
        <v>7.8E-2</v>
      </c>
      <c r="AI7359" s="492">
        <v>7.5999999999999998E-2</v>
      </c>
      <c r="AJ7359" s="485"/>
    </row>
    <row r="7360" spans="2:36">
      <c r="B7360" s="136" t="s">
        <v>481</v>
      </c>
      <c r="C7360" s="132" t="s">
        <v>1367</v>
      </c>
      <c r="D7360" s="132" t="s">
        <v>1381</v>
      </c>
      <c r="E7360" s="508">
        <v>3.5760000000000001</v>
      </c>
      <c r="F7360" s="508">
        <v>2.2149999999999999</v>
      </c>
      <c r="G7360" s="508">
        <v>2.1920000000000002</v>
      </c>
      <c r="H7360" s="508">
        <v>2.1720000000000002</v>
      </c>
      <c r="I7360" s="508">
        <v>2.1429999999999998</v>
      </c>
      <c r="J7360" s="508">
        <v>1.698</v>
      </c>
      <c r="K7360" s="508">
        <v>1.663</v>
      </c>
      <c r="L7360" s="508">
        <v>1.6259999999999999</v>
      </c>
      <c r="M7360" s="508">
        <v>1.587</v>
      </c>
      <c r="N7360" s="508">
        <v>1.5660000000000001</v>
      </c>
      <c r="O7360" s="508">
        <v>1.534</v>
      </c>
      <c r="P7360" s="508">
        <v>1.0780000000000001</v>
      </c>
      <c r="Q7360" s="508">
        <v>1.044</v>
      </c>
      <c r="R7360" s="508">
        <v>1.012</v>
      </c>
      <c r="S7360" s="508">
        <v>0.98</v>
      </c>
      <c r="T7360" s="508">
        <v>0.95399999999999996</v>
      </c>
      <c r="U7360" s="508">
        <v>0.36199999999999999</v>
      </c>
      <c r="V7360" s="508">
        <v>0.33200000000000002</v>
      </c>
      <c r="W7360" s="508">
        <v>0.308</v>
      </c>
      <c r="X7360" s="508">
        <v>0.255</v>
      </c>
      <c r="Y7360" s="508">
        <v>0.24</v>
      </c>
      <c r="Z7360" s="508">
        <v>0.155</v>
      </c>
      <c r="AA7360" s="508">
        <v>0.14599999999999999</v>
      </c>
      <c r="AB7360" s="508">
        <v>0.11799999999999999</v>
      </c>
      <c r="AC7360" s="508">
        <v>0.112</v>
      </c>
      <c r="AD7360" s="508">
        <v>8.5999999999999993E-2</v>
      </c>
      <c r="AE7360" s="508">
        <v>8.1000000000000003E-2</v>
      </c>
      <c r="AF7360" s="508">
        <v>5.2999999999999999E-2</v>
      </c>
      <c r="AG7360" s="508">
        <v>0.05</v>
      </c>
      <c r="AH7360" s="508">
        <v>4.9000000000000002E-2</v>
      </c>
      <c r="AI7360" s="492">
        <v>4.8000000000000001E-2</v>
      </c>
      <c r="AJ7360" s="485"/>
    </row>
    <row r="7361" spans="2:36">
      <c r="B7361" s="136" t="s">
        <v>482</v>
      </c>
      <c r="C7361" s="132" t="s">
        <v>1367</v>
      </c>
      <c r="D7361" s="132" t="s">
        <v>1381</v>
      </c>
      <c r="E7361" s="508">
        <v>3.2690000000000001</v>
      </c>
      <c r="F7361" s="508">
        <v>2.1890000000000001</v>
      </c>
      <c r="G7361" s="508">
        <v>1.885</v>
      </c>
      <c r="H7361" s="508">
        <v>1.869</v>
      </c>
      <c r="I7361" s="508">
        <v>1.8440000000000001</v>
      </c>
      <c r="J7361" s="508">
        <v>1.43</v>
      </c>
      <c r="K7361" s="508">
        <v>1.4019999999999999</v>
      </c>
      <c r="L7361" s="508">
        <v>1.3720000000000001</v>
      </c>
      <c r="M7361" s="508">
        <v>1.341</v>
      </c>
      <c r="N7361" s="508">
        <v>1.323</v>
      </c>
      <c r="O7361" s="508">
        <v>1.298</v>
      </c>
      <c r="P7361" s="508">
        <v>0.91700000000000004</v>
      </c>
      <c r="Q7361" s="508">
        <v>0.88800000000000001</v>
      </c>
      <c r="R7361" s="508">
        <v>0.86299999999999999</v>
      </c>
      <c r="S7361" s="508">
        <v>0.83699999999999997</v>
      </c>
      <c r="T7361" s="508">
        <v>0.81499999999999995</v>
      </c>
      <c r="U7361" s="508">
        <v>0.308</v>
      </c>
      <c r="V7361" s="508">
        <v>0.28100000000000003</v>
      </c>
      <c r="W7361" s="508">
        <v>0.25900000000000001</v>
      </c>
      <c r="X7361" s="508">
        <v>0.20899999999999999</v>
      </c>
      <c r="Y7361" s="508">
        <v>0.19600000000000001</v>
      </c>
      <c r="Z7361" s="508">
        <v>0.13500000000000001</v>
      </c>
      <c r="AA7361" s="508">
        <v>0.127</v>
      </c>
      <c r="AB7361" s="508">
        <v>9.9000000000000005E-2</v>
      </c>
      <c r="AC7361" s="508">
        <v>9.5000000000000001E-2</v>
      </c>
      <c r="AD7361" s="508">
        <v>7.0999999999999994E-2</v>
      </c>
      <c r="AE7361" s="508">
        <v>6.9000000000000006E-2</v>
      </c>
      <c r="AF7361" s="508">
        <v>4.2999999999999997E-2</v>
      </c>
      <c r="AG7361" s="508">
        <v>4.1000000000000002E-2</v>
      </c>
      <c r="AH7361" s="508">
        <v>4.1000000000000002E-2</v>
      </c>
      <c r="AI7361" s="492">
        <v>0.04</v>
      </c>
      <c r="AJ7361" s="485"/>
    </row>
    <row r="7362" spans="2:36">
      <c r="B7362" s="136" t="s">
        <v>483</v>
      </c>
      <c r="C7362" s="132" t="s">
        <v>1367</v>
      </c>
      <c r="D7362" s="132" t="s">
        <v>1381</v>
      </c>
      <c r="E7362" s="508">
        <v>3.6080000000000001</v>
      </c>
      <c r="F7362" s="508">
        <v>2.0859999999999999</v>
      </c>
      <c r="G7362" s="508">
        <v>2.0649999999999999</v>
      </c>
      <c r="H7362" s="508">
        <v>2.0449999999999999</v>
      </c>
      <c r="I7362" s="508">
        <v>2.016</v>
      </c>
      <c r="J7362" s="508">
        <v>1.653</v>
      </c>
      <c r="K7362" s="508">
        <v>1.6180000000000001</v>
      </c>
      <c r="L7362" s="508">
        <v>1.579</v>
      </c>
      <c r="M7362" s="508">
        <v>1.54</v>
      </c>
      <c r="N7362" s="508">
        <v>1.514</v>
      </c>
      <c r="O7362" s="508">
        <v>1.4810000000000001</v>
      </c>
      <c r="P7362" s="508">
        <v>1.101</v>
      </c>
      <c r="Q7362" s="508">
        <v>1.0649999999999999</v>
      </c>
      <c r="R7362" s="508">
        <v>1.0309999999999999</v>
      </c>
      <c r="S7362" s="508">
        <v>0.998</v>
      </c>
      <c r="T7362" s="508">
        <v>0.96899999999999997</v>
      </c>
      <c r="U7362" s="508">
        <v>0.41799999999999998</v>
      </c>
      <c r="V7362" s="508">
        <v>0.38700000000000001</v>
      </c>
      <c r="W7362" s="508">
        <v>0.36099999999999999</v>
      </c>
      <c r="X7362" s="508">
        <v>0.308</v>
      </c>
      <c r="Y7362" s="508">
        <v>0.29199999999999998</v>
      </c>
      <c r="Z7362" s="508">
        <v>0.17799999999999999</v>
      </c>
      <c r="AA7362" s="508">
        <v>0.16900000000000001</v>
      </c>
      <c r="AB7362" s="508">
        <v>0.14199999999999999</v>
      </c>
      <c r="AC7362" s="508">
        <v>0.13600000000000001</v>
      </c>
      <c r="AD7362" s="508">
        <v>0.108</v>
      </c>
      <c r="AE7362" s="508">
        <v>0.1</v>
      </c>
      <c r="AF7362" s="508">
        <v>6.9000000000000006E-2</v>
      </c>
      <c r="AG7362" s="508">
        <v>6.4000000000000001E-2</v>
      </c>
      <c r="AH7362" s="508">
        <v>6.2E-2</v>
      </c>
      <c r="AI7362" s="492">
        <v>6.0999999999999999E-2</v>
      </c>
      <c r="AJ7362" s="485"/>
    </row>
    <row r="7363" spans="2:36">
      <c r="B7363" s="136" t="s">
        <v>484</v>
      </c>
      <c r="C7363" s="132" t="s">
        <v>1367</v>
      </c>
      <c r="D7363" s="132" t="s">
        <v>1381</v>
      </c>
      <c r="E7363" s="508">
        <v>4.577</v>
      </c>
      <c r="F7363" s="508">
        <v>2.6560000000000001</v>
      </c>
      <c r="G7363" s="508">
        <v>2.6280000000000001</v>
      </c>
      <c r="H7363" s="508">
        <v>2.6</v>
      </c>
      <c r="I7363" s="508">
        <v>2.5619999999999998</v>
      </c>
      <c r="J7363" s="508">
        <v>2.15</v>
      </c>
      <c r="K7363" s="508">
        <v>2.101</v>
      </c>
      <c r="L7363" s="508">
        <v>2.048</v>
      </c>
      <c r="M7363" s="508">
        <v>1.9930000000000001</v>
      </c>
      <c r="N7363" s="508">
        <v>1.9730000000000001</v>
      </c>
      <c r="O7363" s="508">
        <v>1.925</v>
      </c>
      <c r="P7363" s="508">
        <v>1.244</v>
      </c>
      <c r="Q7363" s="508">
        <v>1.2</v>
      </c>
      <c r="R7363" s="508">
        <v>1.159</v>
      </c>
      <c r="S7363" s="508">
        <v>1.1200000000000001</v>
      </c>
      <c r="T7363" s="508">
        <v>1.0840000000000001</v>
      </c>
      <c r="U7363" s="508">
        <v>0.50800000000000001</v>
      </c>
      <c r="V7363" s="508">
        <v>0.47399999999999998</v>
      </c>
      <c r="W7363" s="508">
        <v>0.44500000000000001</v>
      </c>
      <c r="X7363" s="508">
        <v>0.38700000000000001</v>
      </c>
      <c r="Y7363" s="508">
        <v>0.36799999999999999</v>
      </c>
      <c r="Z7363" s="508">
        <v>0.221</v>
      </c>
      <c r="AA7363" s="508">
        <v>0.21</v>
      </c>
      <c r="AB7363" s="508">
        <v>0.18099999999999999</v>
      </c>
      <c r="AC7363" s="508">
        <v>0.17399999999999999</v>
      </c>
      <c r="AD7363" s="508">
        <v>0.14099999999999999</v>
      </c>
      <c r="AE7363" s="508">
        <v>0.128</v>
      </c>
      <c r="AF7363" s="508">
        <v>9.4E-2</v>
      </c>
      <c r="AG7363" s="508">
        <v>8.5000000000000006E-2</v>
      </c>
      <c r="AH7363" s="508">
        <v>8.3000000000000004E-2</v>
      </c>
      <c r="AI7363" s="492">
        <v>8.2000000000000003E-2</v>
      </c>
      <c r="AJ7363" s="485"/>
    </row>
    <row r="7364" spans="2:36">
      <c r="B7364" s="136" t="s">
        <v>486</v>
      </c>
      <c r="C7364" s="132" t="s">
        <v>1367</v>
      </c>
      <c r="D7364" s="132" t="s">
        <v>1381</v>
      </c>
      <c r="E7364" s="508">
        <v>3.4729999999999999</v>
      </c>
      <c r="F7364" s="508">
        <v>2.1040000000000001</v>
      </c>
      <c r="G7364" s="508">
        <v>2.0830000000000002</v>
      </c>
      <c r="H7364" s="508">
        <v>2.0640000000000001</v>
      </c>
      <c r="I7364" s="508">
        <v>2.036</v>
      </c>
      <c r="J7364" s="508">
        <v>1.6240000000000001</v>
      </c>
      <c r="K7364" s="508">
        <v>1.59</v>
      </c>
      <c r="L7364" s="508">
        <v>1.554</v>
      </c>
      <c r="M7364" s="508">
        <v>1.516</v>
      </c>
      <c r="N7364" s="508">
        <v>1.4950000000000001</v>
      </c>
      <c r="O7364" s="508">
        <v>1.464</v>
      </c>
      <c r="P7364" s="508">
        <v>1.08</v>
      </c>
      <c r="Q7364" s="508">
        <v>1.0449999999999999</v>
      </c>
      <c r="R7364" s="508">
        <v>1.0129999999999999</v>
      </c>
      <c r="S7364" s="508">
        <v>0.98099999999999998</v>
      </c>
      <c r="T7364" s="508">
        <v>0.95499999999999996</v>
      </c>
      <c r="U7364" s="508">
        <v>0.38700000000000001</v>
      </c>
      <c r="V7364" s="508">
        <v>0.35599999999999998</v>
      </c>
      <c r="W7364" s="508">
        <v>0.33100000000000002</v>
      </c>
      <c r="X7364" s="508">
        <v>0.27500000000000002</v>
      </c>
      <c r="Y7364" s="508">
        <v>0.25900000000000001</v>
      </c>
      <c r="Z7364" s="508">
        <v>0.16600000000000001</v>
      </c>
      <c r="AA7364" s="508">
        <v>0.156</v>
      </c>
      <c r="AB7364" s="508">
        <v>0.127</v>
      </c>
      <c r="AC7364" s="508">
        <v>0.122</v>
      </c>
      <c r="AD7364" s="508">
        <v>9.2999999999999999E-2</v>
      </c>
      <c r="AE7364" s="508">
        <v>8.7999999999999995E-2</v>
      </c>
      <c r="AF7364" s="508">
        <v>5.7000000000000002E-2</v>
      </c>
      <c r="AG7364" s="508">
        <v>5.2999999999999999E-2</v>
      </c>
      <c r="AH7364" s="508">
        <v>5.1999999999999998E-2</v>
      </c>
      <c r="AI7364" s="492">
        <v>5.0999999999999997E-2</v>
      </c>
      <c r="AJ7364" s="485"/>
    </row>
    <row r="7365" spans="2:36">
      <c r="B7365" s="136" t="s">
        <v>487</v>
      </c>
      <c r="C7365" s="132" t="s">
        <v>1367</v>
      </c>
      <c r="D7365" s="132" t="s">
        <v>1381</v>
      </c>
      <c r="E7365" s="508">
        <v>3.992</v>
      </c>
      <c r="F7365" s="508">
        <v>2.3330000000000002</v>
      </c>
      <c r="G7365" s="508">
        <v>2.0489999999999999</v>
      </c>
      <c r="H7365" s="508">
        <v>2.0289999999999999</v>
      </c>
      <c r="I7365" s="508">
        <v>2.0009999999999999</v>
      </c>
      <c r="J7365" s="508">
        <v>1.619</v>
      </c>
      <c r="K7365" s="508">
        <v>1.5840000000000001</v>
      </c>
      <c r="L7365" s="508">
        <v>1.5469999999999999</v>
      </c>
      <c r="M7365" s="508">
        <v>1.5089999999999999</v>
      </c>
      <c r="N7365" s="508">
        <v>1.4870000000000001</v>
      </c>
      <c r="O7365" s="508">
        <v>1.4550000000000001</v>
      </c>
      <c r="P7365" s="508">
        <v>1.0760000000000001</v>
      </c>
      <c r="Q7365" s="508">
        <v>1.0409999999999999</v>
      </c>
      <c r="R7365" s="508">
        <v>1.0089999999999999</v>
      </c>
      <c r="S7365" s="508">
        <v>0.97599999999999998</v>
      </c>
      <c r="T7365" s="508">
        <v>0.94899999999999995</v>
      </c>
      <c r="U7365" s="508">
        <v>0.39600000000000002</v>
      </c>
      <c r="V7365" s="508">
        <v>0.36599999999999999</v>
      </c>
      <c r="W7365" s="508">
        <v>0.34100000000000003</v>
      </c>
      <c r="X7365" s="508">
        <v>0.28699999999999998</v>
      </c>
      <c r="Y7365" s="508">
        <v>0.27100000000000002</v>
      </c>
      <c r="Z7365" s="508">
        <v>0.16700000000000001</v>
      </c>
      <c r="AA7365" s="508">
        <v>0.158</v>
      </c>
      <c r="AB7365" s="508">
        <v>0.13</v>
      </c>
      <c r="AC7365" s="508">
        <v>0.125</v>
      </c>
      <c r="AD7365" s="508">
        <v>9.7000000000000003E-2</v>
      </c>
      <c r="AE7365" s="508">
        <v>9.5000000000000001E-2</v>
      </c>
      <c r="AF7365" s="508">
        <v>6.2E-2</v>
      </c>
      <c r="AG7365" s="508">
        <v>5.8000000000000003E-2</v>
      </c>
      <c r="AH7365" s="508">
        <v>5.7000000000000002E-2</v>
      </c>
      <c r="AI7365" s="492">
        <v>5.6000000000000001E-2</v>
      </c>
      <c r="AJ7365" s="485"/>
    </row>
    <row r="7366" spans="2:36">
      <c r="B7366" s="136" t="s">
        <v>488</v>
      </c>
      <c r="C7366" s="132" t="s">
        <v>1367</v>
      </c>
      <c r="D7366" s="132" t="s">
        <v>1381</v>
      </c>
      <c r="E7366" s="508">
        <v>4.0389999999999997</v>
      </c>
      <c r="F7366" s="508">
        <v>2.4300000000000002</v>
      </c>
      <c r="G7366" s="508">
        <v>2.4049999999999998</v>
      </c>
      <c r="H7366" s="508">
        <v>2.3809999999999998</v>
      </c>
      <c r="I7366" s="508">
        <v>2.3479999999999999</v>
      </c>
      <c r="J7366" s="508">
        <v>1.899</v>
      </c>
      <c r="K7366" s="508">
        <v>1.8580000000000001</v>
      </c>
      <c r="L7366" s="508">
        <v>1.8140000000000001</v>
      </c>
      <c r="M7366" s="508">
        <v>1.768</v>
      </c>
      <c r="N7366" s="508">
        <v>1.75</v>
      </c>
      <c r="O7366" s="508">
        <v>1.712</v>
      </c>
      <c r="P7366" s="508">
        <v>1.232</v>
      </c>
      <c r="Q7366" s="508">
        <v>1.1910000000000001</v>
      </c>
      <c r="R7366" s="508">
        <v>1.153</v>
      </c>
      <c r="S7366" s="508">
        <v>1.1160000000000001</v>
      </c>
      <c r="T7366" s="508">
        <v>1.0840000000000001</v>
      </c>
      <c r="U7366" s="508">
        <v>0.432</v>
      </c>
      <c r="V7366" s="508">
        <v>0.39800000000000002</v>
      </c>
      <c r="W7366" s="508">
        <v>0.371</v>
      </c>
      <c r="X7366" s="508">
        <v>0.311</v>
      </c>
      <c r="Y7366" s="508">
        <v>0.29299999999999998</v>
      </c>
      <c r="Z7366" s="508">
        <v>0.183</v>
      </c>
      <c r="AA7366" s="508">
        <v>0.17299999999999999</v>
      </c>
      <c r="AB7366" s="508">
        <v>0.14299999999999999</v>
      </c>
      <c r="AC7366" s="508">
        <v>0.13700000000000001</v>
      </c>
      <c r="AD7366" s="508">
        <v>0.104</v>
      </c>
      <c r="AE7366" s="508">
        <v>9.8000000000000004E-2</v>
      </c>
      <c r="AF7366" s="508">
        <v>6.4000000000000001E-2</v>
      </c>
      <c r="AG7366" s="508">
        <v>5.8999999999999997E-2</v>
      </c>
      <c r="AH7366" s="508">
        <v>5.8000000000000003E-2</v>
      </c>
      <c r="AI7366" s="492">
        <v>5.7000000000000002E-2</v>
      </c>
      <c r="AJ7366" s="485"/>
    </row>
    <row r="7367" spans="2:36">
      <c r="B7367" s="136" t="s">
        <v>489</v>
      </c>
      <c r="C7367" s="132" t="s">
        <v>1367</v>
      </c>
      <c r="D7367" s="132" t="s">
        <v>1381</v>
      </c>
      <c r="E7367" s="508">
        <v>4.3890000000000002</v>
      </c>
      <c r="F7367" s="508">
        <v>2.5739999999999998</v>
      </c>
      <c r="G7367" s="508">
        <v>2.548</v>
      </c>
      <c r="H7367" s="508">
        <v>2.5209999999999999</v>
      </c>
      <c r="I7367" s="508">
        <v>2.4849999999999999</v>
      </c>
      <c r="J7367" s="508">
        <v>2.0699999999999998</v>
      </c>
      <c r="K7367" s="508">
        <v>2.024</v>
      </c>
      <c r="L7367" s="508">
        <v>1.974</v>
      </c>
      <c r="M7367" s="508">
        <v>1.9219999999999999</v>
      </c>
      <c r="N7367" s="508">
        <v>1.897</v>
      </c>
      <c r="O7367" s="508">
        <v>1.853</v>
      </c>
      <c r="P7367" s="508">
        <v>1.3180000000000001</v>
      </c>
      <c r="Q7367" s="508">
        <v>1.2729999999999999</v>
      </c>
      <c r="R7367" s="508">
        <v>1.2310000000000001</v>
      </c>
      <c r="S7367" s="508">
        <v>1.19</v>
      </c>
      <c r="T7367" s="508">
        <v>1.1539999999999999</v>
      </c>
      <c r="U7367" s="508">
        <v>0.5</v>
      </c>
      <c r="V7367" s="508">
        <v>0.46500000000000002</v>
      </c>
      <c r="W7367" s="508">
        <v>0.435</v>
      </c>
      <c r="X7367" s="508">
        <v>0.376</v>
      </c>
      <c r="Y7367" s="508">
        <v>0.35599999999999998</v>
      </c>
      <c r="Z7367" s="508">
        <v>0.218</v>
      </c>
      <c r="AA7367" s="508">
        <v>0.20699999999999999</v>
      </c>
      <c r="AB7367" s="508">
        <v>0.17699999999999999</v>
      </c>
      <c r="AC7367" s="508">
        <v>0.17</v>
      </c>
      <c r="AD7367" s="508">
        <v>0.13300000000000001</v>
      </c>
      <c r="AE7367" s="508">
        <v>0.122</v>
      </c>
      <c r="AF7367" s="508">
        <v>8.5000000000000006E-2</v>
      </c>
      <c r="AG7367" s="508">
        <v>7.5999999999999998E-2</v>
      </c>
      <c r="AH7367" s="508">
        <v>7.4999999999999997E-2</v>
      </c>
      <c r="AI7367" s="492">
        <v>7.3999999999999996E-2</v>
      </c>
      <c r="AJ7367" s="485"/>
    </row>
    <row r="7368" spans="2:36">
      <c r="B7368" s="136" t="s">
        <v>490</v>
      </c>
      <c r="C7368" s="132" t="s">
        <v>1367</v>
      </c>
      <c r="D7368" s="132" t="s">
        <v>1381</v>
      </c>
      <c r="E7368" s="508">
        <v>4.4409999999999998</v>
      </c>
      <c r="F7368" s="508">
        <v>2.5680000000000001</v>
      </c>
      <c r="G7368" s="508">
        <v>2.5409999999999999</v>
      </c>
      <c r="H7368" s="508">
        <v>2.5139999999999998</v>
      </c>
      <c r="I7368" s="508">
        <v>2.4769999999999999</v>
      </c>
      <c r="J7368" s="508">
        <v>2.08</v>
      </c>
      <c r="K7368" s="508">
        <v>2.0329999999999999</v>
      </c>
      <c r="L7368" s="508">
        <v>1.982</v>
      </c>
      <c r="M7368" s="508">
        <v>1.929</v>
      </c>
      <c r="N7368" s="508">
        <v>1.905</v>
      </c>
      <c r="O7368" s="508">
        <v>1.86</v>
      </c>
      <c r="P7368" s="508">
        <v>1.387</v>
      </c>
      <c r="Q7368" s="508">
        <v>1.339</v>
      </c>
      <c r="R7368" s="508">
        <v>1.294</v>
      </c>
      <c r="S7368" s="508">
        <v>1.2509999999999999</v>
      </c>
      <c r="T7368" s="508">
        <v>1.2130000000000001</v>
      </c>
      <c r="U7368" s="508">
        <v>0.55600000000000005</v>
      </c>
      <c r="V7368" s="508">
        <v>0.51700000000000002</v>
      </c>
      <c r="W7368" s="508">
        <v>0.48399999999999999</v>
      </c>
      <c r="X7368" s="508">
        <v>0.41699999999999998</v>
      </c>
      <c r="Y7368" s="508">
        <v>0.39500000000000002</v>
      </c>
      <c r="Z7368" s="508">
        <v>0.23899999999999999</v>
      </c>
      <c r="AA7368" s="508">
        <v>0.22700000000000001</v>
      </c>
      <c r="AB7368" s="508">
        <v>0.19400000000000001</v>
      </c>
      <c r="AC7368" s="508">
        <v>0.186</v>
      </c>
      <c r="AD7368" s="508">
        <v>0.14499999999999999</v>
      </c>
      <c r="AE7368" s="508">
        <v>0.13200000000000001</v>
      </c>
      <c r="AF7368" s="508">
        <v>9.1999999999999998E-2</v>
      </c>
      <c r="AG7368" s="508">
        <v>8.3000000000000004E-2</v>
      </c>
      <c r="AH7368" s="508">
        <v>8.1000000000000003E-2</v>
      </c>
      <c r="AI7368" s="492">
        <v>0.08</v>
      </c>
      <c r="AJ7368" s="485"/>
    </row>
    <row r="7369" spans="2:36">
      <c r="B7369" s="136" t="s">
        <v>435</v>
      </c>
      <c r="C7369" s="132" t="s">
        <v>1368</v>
      </c>
      <c r="D7369" s="132" t="s">
        <v>1381</v>
      </c>
      <c r="E7369" s="508">
        <v>4.9950000000000001</v>
      </c>
      <c r="F7369" s="508">
        <v>3.052</v>
      </c>
      <c r="G7369" s="508">
        <v>3.5129999999999999</v>
      </c>
      <c r="H7369" s="508">
        <v>3.827</v>
      </c>
      <c r="I7369" s="508">
        <v>3.835</v>
      </c>
      <c r="J7369" s="508">
        <v>3.4889999999999999</v>
      </c>
      <c r="K7369" s="508">
        <v>3.4860000000000002</v>
      </c>
      <c r="L7369" s="508">
        <v>1.88</v>
      </c>
      <c r="M7369" s="508">
        <v>2.294</v>
      </c>
      <c r="N7369" s="508">
        <v>5.516</v>
      </c>
      <c r="O7369" s="508">
        <v>4.9889999999999999</v>
      </c>
      <c r="P7369" s="508">
        <v>1.6719999999999999</v>
      </c>
      <c r="Q7369" s="508">
        <v>2.0019999999999998</v>
      </c>
      <c r="R7369" s="508">
        <v>1.8029999999999999</v>
      </c>
      <c r="S7369" s="508">
        <v>1.74</v>
      </c>
      <c r="T7369" s="508">
        <v>1.7609999999999999</v>
      </c>
      <c r="U7369" s="508">
        <v>0.91300000000000003</v>
      </c>
      <c r="V7369" s="508">
        <v>1.0269999999999999</v>
      </c>
      <c r="W7369" s="508">
        <v>0.747</v>
      </c>
      <c r="X7369" s="508">
        <v>0.63900000000000001</v>
      </c>
      <c r="Y7369" s="508">
        <v>0.64</v>
      </c>
      <c r="Z7369" s="508">
        <v>0.64500000000000002</v>
      </c>
      <c r="AA7369" s="508">
        <v>9.2999999999999999E-2</v>
      </c>
      <c r="AB7369" s="508">
        <v>8.5000000000000006E-2</v>
      </c>
      <c r="AC7369" s="508">
        <v>8.4000000000000005E-2</v>
      </c>
      <c r="AD7369" s="508">
        <v>6.3E-2</v>
      </c>
      <c r="AE7369" s="508">
        <v>6.0999999999999999E-2</v>
      </c>
      <c r="AF7369" s="508">
        <v>4.9000000000000002E-2</v>
      </c>
      <c r="AG7369" s="508">
        <v>4.8000000000000001E-2</v>
      </c>
      <c r="AH7369" s="508">
        <v>4.8000000000000001E-2</v>
      </c>
      <c r="AI7369" s="492">
        <v>4.7E-2</v>
      </c>
      <c r="AJ7369" s="485"/>
    </row>
    <row r="7370" spans="2:36">
      <c r="B7370" s="136" t="s">
        <v>436</v>
      </c>
      <c r="C7370" s="132" t="s">
        <v>1368</v>
      </c>
      <c r="D7370" s="132" t="s">
        <v>1381</v>
      </c>
      <c r="E7370" s="508">
        <v>5.0750000000000002</v>
      </c>
      <c r="F7370" s="508">
        <v>3.1709999999999998</v>
      </c>
      <c r="G7370" s="508">
        <v>3.6240000000000001</v>
      </c>
      <c r="H7370" s="508">
        <v>3.931</v>
      </c>
      <c r="I7370" s="508">
        <v>3.931</v>
      </c>
      <c r="J7370" s="508">
        <v>3.6309999999999998</v>
      </c>
      <c r="K7370" s="508">
        <v>3.625</v>
      </c>
      <c r="L7370" s="508">
        <v>2</v>
      </c>
      <c r="M7370" s="508">
        <v>2.41</v>
      </c>
      <c r="N7370" s="508">
        <v>5.6379999999999999</v>
      </c>
      <c r="O7370" s="508">
        <v>5.0999999999999996</v>
      </c>
      <c r="P7370" s="508">
        <v>1.788</v>
      </c>
      <c r="Q7370" s="508">
        <v>2.129</v>
      </c>
      <c r="R7370" s="508">
        <v>1.911</v>
      </c>
      <c r="S7370" s="508">
        <v>1.8380000000000001</v>
      </c>
      <c r="T7370" s="508">
        <v>1.857</v>
      </c>
      <c r="U7370" s="508">
        <v>1.0049999999999999</v>
      </c>
      <c r="V7370" s="508">
        <v>1.095</v>
      </c>
      <c r="W7370" s="508">
        <v>0.82899999999999996</v>
      </c>
      <c r="X7370" s="508">
        <v>0.71799999999999997</v>
      </c>
      <c r="Y7370" s="508">
        <v>0.71199999999999997</v>
      </c>
      <c r="Z7370" s="508">
        <v>0.70899999999999996</v>
      </c>
      <c r="AA7370" s="508">
        <v>0.14000000000000001</v>
      </c>
      <c r="AB7370" s="508">
        <v>0.13</v>
      </c>
      <c r="AC7370" s="508">
        <v>0.128</v>
      </c>
      <c r="AD7370" s="508">
        <v>0.106</v>
      </c>
      <c r="AE7370" s="508">
        <v>0.10199999999999999</v>
      </c>
      <c r="AF7370" s="508">
        <v>0.09</v>
      </c>
      <c r="AG7370" s="508">
        <v>8.7999999999999995E-2</v>
      </c>
      <c r="AH7370" s="508">
        <v>8.6999999999999994E-2</v>
      </c>
      <c r="AI7370" s="492">
        <v>8.5999999999999993E-2</v>
      </c>
      <c r="AJ7370" s="485"/>
    </row>
    <row r="7371" spans="2:36">
      <c r="B7371" s="136" t="s">
        <v>437</v>
      </c>
      <c r="C7371" s="132" t="s">
        <v>1368</v>
      </c>
      <c r="D7371" s="132" t="s">
        <v>1381</v>
      </c>
      <c r="E7371" s="508">
        <v>5.1379999999999999</v>
      </c>
      <c r="F7371" s="508">
        <v>3.1269999999999998</v>
      </c>
      <c r="G7371" s="508">
        <v>3.6040000000000001</v>
      </c>
      <c r="H7371" s="508">
        <v>3.931</v>
      </c>
      <c r="I7371" s="508">
        <v>3.9409999999999998</v>
      </c>
      <c r="J7371" s="508">
        <v>3.585</v>
      </c>
      <c r="K7371" s="508">
        <v>3.5819999999999999</v>
      </c>
      <c r="L7371" s="508">
        <v>1.9219999999999999</v>
      </c>
      <c r="M7371" s="508">
        <v>2.3519999999999999</v>
      </c>
      <c r="N7371" s="508">
        <v>5.6580000000000004</v>
      </c>
      <c r="O7371" s="508">
        <v>5.1189999999999998</v>
      </c>
      <c r="P7371" s="508">
        <v>1.7050000000000001</v>
      </c>
      <c r="Q7371" s="508">
        <v>2.044</v>
      </c>
      <c r="R7371" s="508">
        <v>1.8420000000000001</v>
      </c>
      <c r="S7371" s="508">
        <v>1.7789999999999999</v>
      </c>
      <c r="T7371" s="508">
        <v>1.8</v>
      </c>
      <c r="U7371" s="508">
        <v>0.92900000000000005</v>
      </c>
      <c r="V7371" s="508">
        <v>1.05</v>
      </c>
      <c r="W7371" s="508">
        <v>0.75900000000000001</v>
      </c>
      <c r="X7371" s="508">
        <v>0.64800000000000002</v>
      </c>
      <c r="Y7371" s="508">
        <v>0.65100000000000002</v>
      </c>
      <c r="Z7371" s="508">
        <v>0.65600000000000003</v>
      </c>
      <c r="AA7371" s="508">
        <v>0.09</v>
      </c>
      <c r="AB7371" s="508">
        <v>8.2000000000000003E-2</v>
      </c>
      <c r="AC7371" s="508">
        <v>8.1000000000000003E-2</v>
      </c>
      <c r="AD7371" s="508">
        <v>5.8999999999999997E-2</v>
      </c>
      <c r="AE7371" s="508">
        <v>5.7000000000000002E-2</v>
      </c>
      <c r="AF7371" s="508">
        <v>4.4999999999999998E-2</v>
      </c>
      <c r="AG7371" s="508">
        <v>4.4999999999999998E-2</v>
      </c>
      <c r="AH7371" s="508">
        <v>4.3999999999999997E-2</v>
      </c>
      <c r="AI7371" s="492">
        <v>4.3999999999999997E-2</v>
      </c>
      <c r="AJ7371" s="485"/>
    </row>
    <row r="7372" spans="2:36">
      <c r="B7372" s="136" t="s">
        <v>438</v>
      </c>
      <c r="C7372" s="132" t="s">
        <v>1368</v>
      </c>
      <c r="D7372" s="132" t="s">
        <v>1381</v>
      </c>
      <c r="E7372" s="508">
        <v>4.8479999999999999</v>
      </c>
      <c r="F7372" s="508">
        <v>2.968</v>
      </c>
      <c r="G7372" s="508">
        <v>3.4220000000000002</v>
      </c>
      <c r="H7372" s="508">
        <v>3.73</v>
      </c>
      <c r="I7372" s="508">
        <v>3.7370000000000001</v>
      </c>
      <c r="J7372" s="508">
        <v>3.4569999999999999</v>
      </c>
      <c r="K7372" s="508">
        <v>3.4540000000000002</v>
      </c>
      <c r="L7372" s="508">
        <v>1.829</v>
      </c>
      <c r="M7372" s="508">
        <v>2.2469999999999999</v>
      </c>
      <c r="N7372" s="508">
        <v>5.452</v>
      </c>
      <c r="O7372" s="508">
        <v>4.9249999999999998</v>
      </c>
      <c r="P7372" s="508">
        <v>1.6359999999999999</v>
      </c>
      <c r="Q7372" s="508">
        <v>1.9890000000000001</v>
      </c>
      <c r="R7372" s="508">
        <v>1.7789999999999999</v>
      </c>
      <c r="S7372" s="508">
        <v>1.7130000000000001</v>
      </c>
      <c r="T7372" s="508">
        <v>1.738</v>
      </c>
      <c r="U7372" s="508">
        <v>0.89400000000000002</v>
      </c>
      <c r="V7372" s="508">
        <v>0.99</v>
      </c>
      <c r="W7372" s="508">
        <v>0.72699999999999998</v>
      </c>
      <c r="X7372" s="508">
        <v>0.621</v>
      </c>
      <c r="Y7372" s="508">
        <v>0.61899999999999999</v>
      </c>
      <c r="Z7372" s="508">
        <v>0.62</v>
      </c>
      <c r="AA7372" s="508">
        <v>9.6000000000000002E-2</v>
      </c>
      <c r="AB7372" s="508">
        <v>8.6999999999999994E-2</v>
      </c>
      <c r="AC7372" s="508">
        <v>8.6999999999999994E-2</v>
      </c>
      <c r="AD7372" s="508">
        <v>6.6000000000000003E-2</v>
      </c>
      <c r="AE7372" s="508">
        <v>6.3E-2</v>
      </c>
      <c r="AF7372" s="508">
        <v>5.1999999999999998E-2</v>
      </c>
      <c r="AG7372" s="508">
        <v>5.0999999999999997E-2</v>
      </c>
      <c r="AH7372" s="508">
        <v>0.05</v>
      </c>
      <c r="AI7372" s="492">
        <v>0.05</v>
      </c>
      <c r="AJ7372" s="485"/>
    </row>
    <row r="7373" spans="2:36">
      <c r="B7373" s="136" t="s">
        <v>439</v>
      </c>
      <c r="C7373" s="132" t="s">
        <v>1368</v>
      </c>
      <c r="D7373" s="132" t="s">
        <v>1381</v>
      </c>
      <c r="E7373" s="508">
        <v>5.0599999999999996</v>
      </c>
      <c r="F7373" s="508">
        <v>3.0830000000000002</v>
      </c>
      <c r="G7373" s="508">
        <v>3.552</v>
      </c>
      <c r="H7373" s="508">
        <v>3.871</v>
      </c>
      <c r="I7373" s="508">
        <v>3.875</v>
      </c>
      <c r="J7373" s="508">
        <v>3.5539999999999998</v>
      </c>
      <c r="K7373" s="508">
        <v>3.5510000000000002</v>
      </c>
      <c r="L7373" s="508">
        <v>1.8859999999999999</v>
      </c>
      <c r="M7373" s="508">
        <v>2.3140000000000001</v>
      </c>
      <c r="N7373" s="508">
        <v>5.6239999999999997</v>
      </c>
      <c r="O7373" s="508">
        <v>5.0810000000000004</v>
      </c>
      <c r="P7373" s="508">
        <v>1.6850000000000001</v>
      </c>
      <c r="Q7373" s="508">
        <v>2.0310000000000001</v>
      </c>
      <c r="R7373" s="508">
        <v>1.821</v>
      </c>
      <c r="S7373" s="508">
        <v>1.754</v>
      </c>
      <c r="T7373" s="508">
        <v>1.778</v>
      </c>
      <c r="U7373" s="508">
        <v>0.91500000000000004</v>
      </c>
      <c r="V7373" s="508">
        <v>1.0209999999999999</v>
      </c>
      <c r="W7373" s="508">
        <v>0.745</v>
      </c>
      <c r="X7373" s="508">
        <v>0.63600000000000001</v>
      </c>
      <c r="Y7373" s="508">
        <v>0.63600000000000001</v>
      </c>
      <c r="Z7373" s="508">
        <v>0.63800000000000001</v>
      </c>
      <c r="AA7373" s="508">
        <v>9.4E-2</v>
      </c>
      <c r="AB7373" s="508">
        <v>8.5999999999999993E-2</v>
      </c>
      <c r="AC7373" s="508">
        <v>8.5000000000000006E-2</v>
      </c>
      <c r="AD7373" s="508">
        <v>6.4000000000000001E-2</v>
      </c>
      <c r="AE7373" s="508">
        <v>6.0999999999999999E-2</v>
      </c>
      <c r="AF7373" s="508">
        <v>0.05</v>
      </c>
      <c r="AG7373" s="508">
        <v>4.9000000000000002E-2</v>
      </c>
      <c r="AH7373" s="508">
        <v>4.8000000000000001E-2</v>
      </c>
      <c r="AI7373" s="492">
        <v>4.8000000000000001E-2</v>
      </c>
      <c r="AJ7373" s="485"/>
    </row>
    <row r="7374" spans="2:36">
      <c r="B7374" s="136" t="s">
        <v>440</v>
      </c>
      <c r="C7374" s="132" t="s">
        <v>1368</v>
      </c>
      <c r="D7374" s="132" t="s">
        <v>1381</v>
      </c>
      <c r="E7374" s="508">
        <v>5.0860000000000003</v>
      </c>
      <c r="F7374" s="508">
        <v>3.1349999999999998</v>
      </c>
      <c r="G7374" s="508">
        <v>3.597</v>
      </c>
      <c r="H7374" s="508">
        <v>3.911</v>
      </c>
      <c r="I7374" s="508">
        <v>3.9140000000000001</v>
      </c>
      <c r="J7374" s="508">
        <v>3.5950000000000002</v>
      </c>
      <c r="K7374" s="508">
        <v>3.59</v>
      </c>
      <c r="L7374" s="508">
        <v>1.946</v>
      </c>
      <c r="M7374" s="508">
        <v>2.3660000000000001</v>
      </c>
      <c r="N7374" s="508">
        <v>5.6379999999999999</v>
      </c>
      <c r="O7374" s="508">
        <v>5.0979999999999999</v>
      </c>
      <c r="P7374" s="508">
        <v>1.738</v>
      </c>
      <c r="Q7374" s="508">
        <v>2.0790000000000002</v>
      </c>
      <c r="R7374" s="508">
        <v>1.8660000000000001</v>
      </c>
      <c r="S7374" s="508">
        <v>1.798</v>
      </c>
      <c r="T7374" s="508">
        <v>1.8180000000000001</v>
      </c>
      <c r="U7374" s="508">
        <v>0.96</v>
      </c>
      <c r="V7374" s="508">
        <v>1.0609999999999999</v>
      </c>
      <c r="W7374" s="508">
        <v>0.78700000000000003</v>
      </c>
      <c r="X7374" s="508">
        <v>0.67700000000000005</v>
      </c>
      <c r="Y7374" s="508">
        <v>0.67400000000000004</v>
      </c>
      <c r="Z7374" s="508">
        <v>0.67500000000000004</v>
      </c>
      <c r="AA7374" s="508">
        <v>0.115</v>
      </c>
      <c r="AB7374" s="508">
        <v>0.106</v>
      </c>
      <c r="AC7374" s="508">
        <v>0.105</v>
      </c>
      <c r="AD7374" s="508">
        <v>8.3000000000000004E-2</v>
      </c>
      <c r="AE7374" s="508">
        <v>0.08</v>
      </c>
      <c r="AF7374" s="508">
        <v>6.8000000000000005E-2</v>
      </c>
      <c r="AG7374" s="508">
        <v>6.7000000000000004E-2</v>
      </c>
      <c r="AH7374" s="508">
        <v>6.6000000000000003E-2</v>
      </c>
      <c r="AI7374" s="492">
        <v>6.5000000000000002E-2</v>
      </c>
      <c r="AJ7374" s="485"/>
    </row>
    <row r="7375" spans="2:36">
      <c r="B7375" s="136" t="s">
        <v>441</v>
      </c>
      <c r="C7375" s="132" t="s">
        <v>1368</v>
      </c>
      <c r="D7375" s="132" t="s">
        <v>1381</v>
      </c>
      <c r="E7375" s="508">
        <v>5.1289999999999996</v>
      </c>
      <c r="F7375" s="508">
        <v>3.1539999999999999</v>
      </c>
      <c r="G7375" s="508">
        <v>3.6219999999999999</v>
      </c>
      <c r="H7375" s="508">
        <v>3.94</v>
      </c>
      <c r="I7375" s="508">
        <v>3.9430000000000001</v>
      </c>
      <c r="J7375" s="508">
        <v>3.63</v>
      </c>
      <c r="K7375" s="508">
        <v>3.625</v>
      </c>
      <c r="L7375" s="508">
        <v>1.954</v>
      </c>
      <c r="M7375" s="508">
        <v>2.3809999999999998</v>
      </c>
      <c r="N7375" s="508">
        <v>5.6970000000000001</v>
      </c>
      <c r="O7375" s="508">
        <v>5.149</v>
      </c>
      <c r="P7375" s="508">
        <v>1.746</v>
      </c>
      <c r="Q7375" s="508">
        <v>2.0920000000000001</v>
      </c>
      <c r="R7375" s="508">
        <v>1.8759999999999999</v>
      </c>
      <c r="S7375" s="508">
        <v>1.8069999999999999</v>
      </c>
      <c r="T7375" s="508">
        <v>1.829</v>
      </c>
      <c r="U7375" s="508">
        <v>0.96199999999999997</v>
      </c>
      <c r="V7375" s="508">
        <v>1.0620000000000001</v>
      </c>
      <c r="W7375" s="508">
        <v>0.78700000000000003</v>
      </c>
      <c r="X7375" s="508">
        <v>0.67600000000000005</v>
      </c>
      <c r="Y7375" s="508">
        <v>0.67300000000000004</v>
      </c>
      <c r="Z7375" s="508">
        <v>0.67400000000000004</v>
      </c>
      <c r="AA7375" s="508">
        <v>0.114</v>
      </c>
      <c r="AB7375" s="508">
        <v>0.105</v>
      </c>
      <c r="AC7375" s="508">
        <v>0.10299999999999999</v>
      </c>
      <c r="AD7375" s="508">
        <v>8.1000000000000003E-2</v>
      </c>
      <c r="AE7375" s="508">
        <v>7.8E-2</v>
      </c>
      <c r="AF7375" s="508">
        <v>6.6000000000000003E-2</v>
      </c>
      <c r="AG7375" s="508">
        <v>6.5000000000000002E-2</v>
      </c>
      <c r="AH7375" s="508">
        <v>6.4000000000000001E-2</v>
      </c>
      <c r="AI7375" s="492">
        <v>6.3E-2</v>
      </c>
      <c r="AJ7375" s="485"/>
    </row>
    <row r="7376" spans="2:36">
      <c r="B7376" s="136" t="s">
        <v>443</v>
      </c>
      <c r="C7376" s="132" t="s">
        <v>1368</v>
      </c>
      <c r="D7376" s="132" t="s">
        <v>1381</v>
      </c>
      <c r="E7376" s="508">
        <v>5.1269999999999998</v>
      </c>
      <c r="F7376" s="508">
        <v>3.149</v>
      </c>
      <c r="G7376" s="508">
        <v>3.6120000000000001</v>
      </c>
      <c r="H7376" s="508">
        <v>3.9260000000000002</v>
      </c>
      <c r="I7376" s="508">
        <v>3.931</v>
      </c>
      <c r="J7376" s="508">
        <v>3.5470000000000002</v>
      </c>
      <c r="K7376" s="508">
        <v>3.5430000000000001</v>
      </c>
      <c r="L7376" s="508">
        <v>1.9510000000000001</v>
      </c>
      <c r="M7376" s="508">
        <v>2.359</v>
      </c>
      <c r="N7376" s="508">
        <v>5.5940000000000003</v>
      </c>
      <c r="O7376" s="508">
        <v>5.0650000000000004</v>
      </c>
      <c r="P7376" s="508">
        <v>1.732</v>
      </c>
      <c r="Q7376" s="508">
        <v>2.044</v>
      </c>
      <c r="R7376" s="508">
        <v>1.849</v>
      </c>
      <c r="S7376" s="508">
        <v>1.7849999999999999</v>
      </c>
      <c r="T7376" s="508">
        <v>1.802</v>
      </c>
      <c r="U7376" s="508">
        <v>0.95299999999999996</v>
      </c>
      <c r="V7376" s="508">
        <v>1.0740000000000001</v>
      </c>
      <c r="W7376" s="508">
        <v>0.78400000000000003</v>
      </c>
      <c r="X7376" s="508">
        <v>0.67500000000000004</v>
      </c>
      <c r="Y7376" s="508">
        <v>0.67700000000000005</v>
      </c>
      <c r="Z7376" s="508">
        <v>0.68200000000000005</v>
      </c>
      <c r="AA7376" s="508">
        <v>0.106</v>
      </c>
      <c r="AB7376" s="508">
        <v>9.7000000000000003E-2</v>
      </c>
      <c r="AC7376" s="508">
        <v>9.6000000000000002E-2</v>
      </c>
      <c r="AD7376" s="508">
        <v>7.2999999999999995E-2</v>
      </c>
      <c r="AE7376" s="508">
        <v>7.0999999999999994E-2</v>
      </c>
      <c r="AF7376" s="508">
        <v>0.06</v>
      </c>
      <c r="AG7376" s="508">
        <v>5.8999999999999997E-2</v>
      </c>
      <c r="AH7376" s="508">
        <v>5.8000000000000003E-2</v>
      </c>
      <c r="AI7376" s="492">
        <v>5.7000000000000002E-2</v>
      </c>
      <c r="AJ7376" s="485"/>
    </row>
    <row r="7377" spans="2:36">
      <c r="B7377" s="136" t="s">
        <v>445</v>
      </c>
      <c r="C7377" s="132" t="s">
        <v>1368</v>
      </c>
      <c r="D7377" s="132" t="s">
        <v>1381</v>
      </c>
      <c r="E7377" s="508">
        <v>5.524</v>
      </c>
      <c r="F7377" s="508">
        <v>3.3839999999999999</v>
      </c>
      <c r="G7377" s="508">
        <v>3.875</v>
      </c>
      <c r="H7377" s="508">
        <v>4.2089999999999996</v>
      </c>
      <c r="I7377" s="508">
        <v>4.2140000000000004</v>
      </c>
      <c r="J7377" s="508">
        <v>3.74</v>
      </c>
      <c r="K7377" s="508">
        <v>3.7349999999999999</v>
      </c>
      <c r="L7377" s="508">
        <v>2.097</v>
      </c>
      <c r="M7377" s="508">
        <v>2.5169999999999999</v>
      </c>
      <c r="N7377" s="508">
        <v>5.8849999999999998</v>
      </c>
      <c r="O7377" s="508">
        <v>5.3369999999999997</v>
      </c>
      <c r="P7377" s="508">
        <v>1.8480000000000001</v>
      </c>
      <c r="Q7377" s="508">
        <v>2.1429999999999998</v>
      </c>
      <c r="R7377" s="508">
        <v>1.954</v>
      </c>
      <c r="S7377" s="508">
        <v>1.89</v>
      </c>
      <c r="T7377" s="508">
        <v>1.9019999999999999</v>
      </c>
      <c r="U7377" s="508">
        <v>1.0189999999999999</v>
      </c>
      <c r="V7377" s="508">
        <v>1.1639999999999999</v>
      </c>
      <c r="W7377" s="508">
        <v>0.84299999999999997</v>
      </c>
      <c r="X7377" s="508">
        <v>0.72899999999999998</v>
      </c>
      <c r="Y7377" s="508">
        <v>0.73299999999999998</v>
      </c>
      <c r="Z7377" s="508">
        <v>0.74199999999999999</v>
      </c>
      <c r="AA7377" s="508">
        <v>0.11</v>
      </c>
      <c r="AB7377" s="508">
        <v>0.10199999999999999</v>
      </c>
      <c r="AC7377" s="508">
        <v>9.9000000000000005E-2</v>
      </c>
      <c r="AD7377" s="508">
        <v>7.5999999999999998E-2</v>
      </c>
      <c r="AE7377" s="508">
        <v>7.3999999999999996E-2</v>
      </c>
      <c r="AF7377" s="508">
        <v>6.2E-2</v>
      </c>
      <c r="AG7377" s="508">
        <v>6.0999999999999999E-2</v>
      </c>
      <c r="AH7377" s="508">
        <v>0.06</v>
      </c>
      <c r="AI7377" s="492">
        <v>5.8999999999999997E-2</v>
      </c>
      <c r="AJ7377" s="485"/>
    </row>
    <row r="7378" spans="2:36">
      <c r="B7378" s="136" t="s">
        <v>446</v>
      </c>
      <c r="C7378" s="132" t="s">
        <v>1368</v>
      </c>
      <c r="D7378" s="132" t="s">
        <v>1381</v>
      </c>
      <c r="E7378" s="508">
        <v>5.3129999999999997</v>
      </c>
      <c r="F7378" s="508">
        <v>3.2240000000000002</v>
      </c>
      <c r="G7378" s="508">
        <v>3.7130000000000001</v>
      </c>
      <c r="H7378" s="508">
        <v>4.0469999999999997</v>
      </c>
      <c r="I7378" s="508">
        <v>4.0599999999999996</v>
      </c>
      <c r="J7378" s="508">
        <v>3.6259999999999999</v>
      </c>
      <c r="K7378" s="508">
        <v>3.6240000000000001</v>
      </c>
      <c r="L7378" s="508">
        <v>1.982</v>
      </c>
      <c r="M7378" s="508">
        <v>2.4079999999999999</v>
      </c>
      <c r="N7378" s="508">
        <v>5.7370000000000001</v>
      </c>
      <c r="O7378" s="508">
        <v>5.1989999999999998</v>
      </c>
      <c r="P7378" s="508">
        <v>1.746</v>
      </c>
      <c r="Q7378" s="508">
        <v>2.0590000000000002</v>
      </c>
      <c r="R7378" s="508">
        <v>1.8720000000000001</v>
      </c>
      <c r="S7378" s="508">
        <v>1.8109999999999999</v>
      </c>
      <c r="T7378" s="508">
        <v>1.8280000000000001</v>
      </c>
      <c r="U7378" s="508">
        <v>0.95</v>
      </c>
      <c r="V7378" s="508">
        <v>1.0940000000000001</v>
      </c>
      <c r="W7378" s="508">
        <v>0.78100000000000003</v>
      </c>
      <c r="X7378" s="508">
        <v>0.66800000000000004</v>
      </c>
      <c r="Y7378" s="508">
        <v>0.67500000000000004</v>
      </c>
      <c r="Z7378" s="508">
        <v>0.68500000000000005</v>
      </c>
      <c r="AA7378" s="508">
        <v>8.5999999999999993E-2</v>
      </c>
      <c r="AB7378" s="508">
        <v>7.8E-2</v>
      </c>
      <c r="AC7378" s="508">
        <v>7.5999999999999998E-2</v>
      </c>
      <c r="AD7378" s="508">
        <v>5.3999999999999999E-2</v>
      </c>
      <c r="AE7378" s="508">
        <v>5.1999999999999998E-2</v>
      </c>
      <c r="AF7378" s="508">
        <v>4.1000000000000002E-2</v>
      </c>
      <c r="AG7378" s="508">
        <v>0.04</v>
      </c>
      <c r="AH7378" s="508">
        <v>0.04</v>
      </c>
      <c r="AI7378" s="492">
        <v>0.04</v>
      </c>
      <c r="AJ7378" s="485"/>
    </row>
    <row r="7379" spans="2:36">
      <c r="B7379" s="136" t="s">
        <v>448</v>
      </c>
      <c r="C7379" s="132" t="s">
        <v>1368</v>
      </c>
      <c r="D7379" s="132" t="s">
        <v>1381</v>
      </c>
      <c r="E7379" s="508">
        <v>4.9160000000000004</v>
      </c>
      <c r="F7379" s="508">
        <v>3.004</v>
      </c>
      <c r="G7379" s="508">
        <v>3.4620000000000002</v>
      </c>
      <c r="H7379" s="508">
        <v>3.774</v>
      </c>
      <c r="I7379" s="508">
        <v>3.7810000000000001</v>
      </c>
      <c r="J7379" s="508">
        <v>3.4780000000000002</v>
      </c>
      <c r="K7379" s="508">
        <v>3.4750000000000001</v>
      </c>
      <c r="L7379" s="508">
        <v>1.8480000000000001</v>
      </c>
      <c r="M7379" s="508">
        <v>2.2669999999999999</v>
      </c>
      <c r="N7379" s="508">
        <v>5.4930000000000003</v>
      </c>
      <c r="O7379" s="508">
        <v>4.9640000000000004</v>
      </c>
      <c r="P7379" s="508">
        <v>1.65</v>
      </c>
      <c r="Q7379" s="508">
        <v>1.9970000000000001</v>
      </c>
      <c r="R7379" s="508">
        <v>1.79</v>
      </c>
      <c r="S7379" s="508">
        <v>1.724</v>
      </c>
      <c r="T7379" s="508">
        <v>1.748</v>
      </c>
      <c r="U7379" s="508">
        <v>0.9</v>
      </c>
      <c r="V7379" s="508">
        <v>1.0029999999999999</v>
      </c>
      <c r="W7379" s="508">
        <v>0.73299999999999998</v>
      </c>
      <c r="X7379" s="508">
        <v>0.626</v>
      </c>
      <c r="Y7379" s="508">
        <v>0.626</v>
      </c>
      <c r="Z7379" s="508">
        <v>0.628</v>
      </c>
      <c r="AA7379" s="508">
        <v>9.4E-2</v>
      </c>
      <c r="AB7379" s="508">
        <v>8.5999999999999993E-2</v>
      </c>
      <c r="AC7379" s="508">
        <v>8.5000000000000006E-2</v>
      </c>
      <c r="AD7379" s="508">
        <v>6.4000000000000001E-2</v>
      </c>
      <c r="AE7379" s="508">
        <v>6.0999999999999999E-2</v>
      </c>
      <c r="AF7379" s="508">
        <v>0.05</v>
      </c>
      <c r="AG7379" s="508">
        <v>4.9000000000000002E-2</v>
      </c>
      <c r="AH7379" s="508">
        <v>4.9000000000000002E-2</v>
      </c>
      <c r="AI7379" s="492">
        <v>4.8000000000000001E-2</v>
      </c>
      <c r="AJ7379" s="485"/>
    </row>
    <row r="7380" spans="2:36">
      <c r="B7380" s="136" t="s">
        <v>449</v>
      </c>
      <c r="C7380" s="132" t="s">
        <v>1368</v>
      </c>
      <c r="D7380" s="132" t="s">
        <v>1381</v>
      </c>
      <c r="E7380" s="508">
        <v>5.1269999999999998</v>
      </c>
      <c r="F7380" s="508">
        <v>3.1040000000000001</v>
      </c>
      <c r="G7380" s="508">
        <v>3.5790000000000002</v>
      </c>
      <c r="H7380" s="508">
        <v>3.9039999999999999</v>
      </c>
      <c r="I7380" s="508">
        <v>3.9140000000000001</v>
      </c>
      <c r="J7380" s="508">
        <v>3.5179999999999998</v>
      </c>
      <c r="K7380" s="508">
        <v>3.516</v>
      </c>
      <c r="L7380" s="508">
        <v>1.8959999999999999</v>
      </c>
      <c r="M7380" s="508">
        <v>2.3159999999999998</v>
      </c>
      <c r="N7380" s="508">
        <v>5.5960000000000001</v>
      </c>
      <c r="O7380" s="508">
        <v>5.0650000000000004</v>
      </c>
      <c r="P7380" s="508">
        <v>1.6779999999999999</v>
      </c>
      <c r="Q7380" s="508">
        <v>1.9970000000000001</v>
      </c>
      <c r="R7380" s="508">
        <v>1.8069999999999999</v>
      </c>
      <c r="S7380" s="508">
        <v>1.7470000000000001</v>
      </c>
      <c r="T7380" s="508">
        <v>1.766</v>
      </c>
      <c r="U7380" s="508">
        <v>0.90600000000000003</v>
      </c>
      <c r="V7380" s="508">
        <v>1.0389999999999999</v>
      </c>
      <c r="W7380" s="508">
        <v>0.74099999999999999</v>
      </c>
      <c r="X7380" s="508">
        <v>0.63200000000000001</v>
      </c>
      <c r="Y7380" s="508">
        <v>0.63700000000000001</v>
      </c>
      <c r="Z7380" s="508">
        <v>0.64600000000000002</v>
      </c>
      <c r="AA7380" s="508">
        <v>7.8E-2</v>
      </c>
      <c r="AB7380" s="508">
        <v>7.0999999999999994E-2</v>
      </c>
      <c r="AC7380" s="508">
        <v>7.0000000000000007E-2</v>
      </c>
      <c r="AD7380" s="508">
        <v>4.8000000000000001E-2</v>
      </c>
      <c r="AE7380" s="508">
        <v>4.7E-2</v>
      </c>
      <c r="AF7380" s="508">
        <v>3.5000000000000003E-2</v>
      </c>
      <c r="AG7380" s="508">
        <v>3.5000000000000003E-2</v>
      </c>
      <c r="AH7380" s="508">
        <v>3.5000000000000003E-2</v>
      </c>
      <c r="AI7380" s="492">
        <v>3.5000000000000003E-2</v>
      </c>
      <c r="AJ7380" s="485"/>
    </row>
    <row r="7381" spans="2:36">
      <c r="B7381" s="136" t="s">
        <v>450</v>
      </c>
      <c r="C7381" s="132" t="s">
        <v>1368</v>
      </c>
      <c r="D7381" s="132" t="s">
        <v>1381</v>
      </c>
      <c r="E7381" s="508">
        <v>4.9619999999999997</v>
      </c>
      <c r="F7381" s="508">
        <v>3.0670000000000002</v>
      </c>
      <c r="G7381" s="508">
        <v>3.5179999999999998</v>
      </c>
      <c r="H7381" s="508">
        <v>3.8239999999999998</v>
      </c>
      <c r="I7381" s="508">
        <v>3.827</v>
      </c>
      <c r="J7381" s="508">
        <v>3.5190000000000001</v>
      </c>
      <c r="K7381" s="508">
        <v>3.5139999999999998</v>
      </c>
      <c r="L7381" s="508">
        <v>1.9079999999999999</v>
      </c>
      <c r="M7381" s="508">
        <v>2.3180000000000001</v>
      </c>
      <c r="N7381" s="508">
        <v>5.52</v>
      </c>
      <c r="O7381" s="508">
        <v>4.9909999999999997</v>
      </c>
      <c r="P7381" s="508">
        <v>1.7050000000000001</v>
      </c>
      <c r="Q7381" s="508">
        <v>2.0430000000000001</v>
      </c>
      <c r="R7381" s="508">
        <v>1.8340000000000001</v>
      </c>
      <c r="S7381" s="508">
        <v>1.766</v>
      </c>
      <c r="T7381" s="508">
        <v>1.786</v>
      </c>
      <c r="U7381" s="508">
        <v>0.94299999999999995</v>
      </c>
      <c r="V7381" s="508">
        <v>1.0409999999999999</v>
      </c>
      <c r="W7381" s="508">
        <v>0.77400000000000002</v>
      </c>
      <c r="X7381" s="508">
        <v>0.66600000000000004</v>
      </c>
      <c r="Y7381" s="508">
        <v>0.66300000000000003</v>
      </c>
      <c r="Z7381" s="508">
        <v>0.66300000000000003</v>
      </c>
      <c r="AA7381" s="508">
        <v>0.115</v>
      </c>
      <c r="AB7381" s="508">
        <v>0.106</v>
      </c>
      <c r="AC7381" s="508">
        <v>0.105</v>
      </c>
      <c r="AD7381" s="508">
        <v>8.3000000000000004E-2</v>
      </c>
      <c r="AE7381" s="508">
        <v>0.08</v>
      </c>
      <c r="AF7381" s="508">
        <v>6.8000000000000005E-2</v>
      </c>
      <c r="AG7381" s="508">
        <v>6.7000000000000004E-2</v>
      </c>
      <c r="AH7381" s="508">
        <v>6.6000000000000003E-2</v>
      </c>
      <c r="AI7381" s="492">
        <v>6.5000000000000002E-2</v>
      </c>
      <c r="AJ7381" s="485"/>
    </row>
    <row r="7382" spans="2:36">
      <c r="B7382" s="136" t="s">
        <v>451</v>
      </c>
      <c r="C7382" s="132" t="s">
        <v>1368</v>
      </c>
      <c r="D7382" s="132" t="s">
        <v>1381</v>
      </c>
      <c r="E7382" s="508">
        <v>5.3979999999999997</v>
      </c>
      <c r="F7382" s="508">
        <v>3.32</v>
      </c>
      <c r="G7382" s="508">
        <v>3.802</v>
      </c>
      <c r="H7382" s="508">
        <v>4.1289999999999996</v>
      </c>
      <c r="I7382" s="508">
        <v>4.133</v>
      </c>
      <c r="J7382" s="508">
        <v>3.718</v>
      </c>
      <c r="K7382" s="508">
        <v>3.7130000000000001</v>
      </c>
      <c r="L7382" s="508">
        <v>2.0630000000000002</v>
      </c>
      <c r="M7382" s="508">
        <v>2.4849999999999999</v>
      </c>
      <c r="N7382" s="508">
        <v>5.8330000000000002</v>
      </c>
      <c r="O7382" s="508">
        <v>5.2839999999999998</v>
      </c>
      <c r="P7382" s="508">
        <v>1.827</v>
      </c>
      <c r="Q7382" s="508">
        <v>2.141</v>
      </c>
      <c r="R7382" s="508">
        <v>1.94</v>
      </c>
      <c r="S7382" s="508">
        <v>1.8740000000000001</v>
      </c>
      <c r="T7382" s="508">
        <v>1.889</v>
      </c>
      <c r="U7382" s="508">
        <v>1.0109999999999999</v>
      </c>
      <c r="V7382" s="508">
        <v>1.1379999999999999</v>
      </c>
      <c r="W7382" s="508">
        <v>0.83399999999999996</v>
      </c>
      <c r="X7382" s="508">
        <v>0.72</v>
      </c>
      <c r="Y7382" s="508">
        <v>0.72199999999999998</v>
      </c>
      <c r="Z7382" s="508">
        <v>0.72699999999999998</v>
      </c>
      <c r="AA7382" s="508">
        <v>0.11700000000000001</v>
      </c>
      <c r="AB7382" s="508">
        <v>0.108</v>
      </c>
      <c r="AC7382" s="508">
        <v>0.106</v>
      </c>
      <c r="AD7382" s="508">
        <v>8.3000000000000004E-2</v>
      </c>
      <c r="AE7382" s="508">
        <v>0.08</v>
      </c>
      <c r="AF7382" s="508">
        <v>6.8000000000000005E-2</v>
      </c>
      <c r="AG7382" s="508">
        <v>6.7000000000000004E-2</v>
      </c>
      <c r="AH7382" s="508">
        <v>6.6000000000000003E-2</v>
      </c>
      <c r="AI7382" s="492">
        <v>6.5000000000000002E-2</v>
      </c>
      <c r="AJ7382" s="485"/>
    </row>
    <row r="7383" spans="2:36">
      <c r="B7383" s="136" t="s">
        <v>452</v>
      </c>
      <c r="C7383" s="132" t="s">
        <v>1368</v>
      </c>
      <c r="D7383" s="132" t="s">
        <v>1381</v>
      </c>
      <c r="E7383" s="508">
        <v>5.1420000000000003</v>
      </c>
      <c r="F7383" s="508">
        <v>3.1659999999999999</v>
      </c>
      <c r="G7383" s="508">
        <v>3.63</v>
      </c>
      <c r="H7383" s="508">
        <v>3.9460000000000002</v>
      </c>
      <c r="I7383" s="508">
        <v>3.9489999999999998</v>
      </c>
      <c r="J7383" s="508">
        <v>3.585</v>
      </c>
      <c r="K7383" s="508">
        <v>3.581</v>
      </c>
      <c r="L7383" s="508">
        <v>1.966</v>
      </c>
      <c r="M7383" s="508">
        <v>2.3780000000000001</v>
      </c>
      <c r="N7383" s="508">
        <v>5.633</v>
      </c>
      <c r="O7383" s="508">
        <v>5.0979999999999999</v>
      </c>
      <c r="P7383" s="508">
        <v>1.7470000000000001</v>
      </c>
      <c r="Q7383" s="508">
        <v>2.0710000000000002</v>
      </c>
      <c r="R7383" s="508">
        <v>1.869</v>
      </c>
      <c r="S7383" s="508">
        <v>1.8029999999999999</v>
      </c>
      <c r="T7383" s="508">
        <v>1.82</v>
      </c>
      <c r="U7383" s="508">
        <v>0.96499999999999997</v>
      </c>
      <c r="V7383" s="508">
        <v>1.079</v>
      </c>
      <c r="W7383" s="508">
        <v>0.79400000000000004</v>
      </c>
      <c r="X7383" s="508">
        <v>0.68400000000000005</v>
      </c>
      <c r="Y7383" s="508">
        <v>0.68400000000000005</v>
      </c>
      <c r="Z7383" s="508">
        <v>0.68700000000000006</v>
      </c>
      <c r="AA7383" s="508">
        <v>0.112</v>
      </c>
      <c r="AB7383" s="508">
        <v>0.10299999999999999</v>
      </c>
      <c r="AC7383" s="508">
        <v>0.10199999999999999</v>
      </c>
      <c r="AD7383" s="508">
        <v>7.9000000000000001E-2</v>
      </c>
      <c r="AE7383" s="508">
        <v>7.6999999999999999E-2</v>
      </c>
      <c r="AF7383" s="508">
        <v>6.5000000000000002E-2</v>
      </c>
      <c r="AG7383" s="508">
        <v>6.4000000000000001E-2</v>
      </c>
      <c r="AH7383" s="508">
        <v>6.3E-2</v>
      </c>
      <c r="AI7383" s="492">
        <v>6.2E-2</v>
      </c>
      <c r="AJ7383" s="485"/>
    </row>
    <row r="7384" spans="2:36">
      <c r="B7384" s="136" t="s">
        <v>453</v>
      </c>
      <c r="C7384" s="132" t="s">
        <v>1368</v>
      </c>
      <c r="D7384" s="132" t="s">
        <v>1381</v>
      </c>
      <c r="E7384" s="508">
        <v>4.915</v>
      </c>
      <c r="F7384" s="508">
        <v>3.0379999999999998</v>
      </c>
      <c r="G7384" s="508">
        <v>3.4870000000000001</v>
      </c>
      <c r="H7384" s="508">
        <v>3.7909999999999999</v>
      </c>
      <c r="I7384" s="508">
        <v>3.7949999999999999</v>
      </c>
      <c r="J7384" s="508">
        <v>3.4990000000000001</v>
      </c>
      <c r="K7384" s="508">
        <v>3.4950000000000001</v>
      </c>
      <c r="L7384" s="508">
        <v>1.891</v>
      </c>
      <c r="M7384" s="508">
        <v>2.2999999999999998</v>
      </c>
      <c r="N7384" s="508">
        <v>5.4880000000000004</v>
      </c>
      <c r="O7384" s="508">
        <v>4.9610000000000003</v>
      </c>
      <c r="P7384" s="508">
        <v>1.6910000000000001</v>
      </c>
      <c r="Q7384" s="508">
        <v>2.0329999999999999</v>
      </c>
      <c r="R7384" s="508">
        <v>1.823</v>
      </c>
      <c r="S7384" s="508">
        <v>1.7549999999999999</v>
      </c>
      <c r="T7384" s="508">
        <v>1.776</v>
      </c>
      <c r="U7384" s="508">
        <v>0.93600000000000005</v>
      </c>
      <c r="V7384" s="508">
        <v>1.0309999999999999</v>
      </c>
      <c r="W7384" s="508">
        <v>0.76700000000000002</v>
      </c>
      <c r="X7384" s="508">
        <v>0.65900000000000003</v>
      </c>
      <c r="Y7384" s="508">
        <v>0.65700000000000003</v>
      </c>
      <c r="Z7384" s="508">
        <v>0.65600000000000003</v>
      </c>
      <c r="AA7384" s="508">
        <v>0.114</v>
      </c>
      <c r="AB7384" s="508">
        <v>0.105</v>
      </c>
      <c r="AC7384" s="508">
        <v>0.104</v>
      </c>
      <c r="AD7384" s="508">
        <v>8.3000000000000004E-2</v>
      </c>
      <c r="AE7384" s="508">
        <v>0.08</v>
      </c>
      <c r="AF7384" s="508">
        <v>6.8000000000000005E-2</v>
      </c>
      <c r="AG7384" s="508">
        <v>6.7000000000000004E-2</v>
      </c>
      <c r="AH7384" s="508">
        <v>6.6000000000000003E-2</v>
      </c>
      <c r="AI7384" s="492">
        <v>6.5000000000000002E-2</v>
      </c>
      <c r="AJ7384" s="485"/>
    </row>
    <row r="7385" spans="2:36">
      <c r="B7385" s="136" t="s">
        <v>454</v>
      </c>
      <c r="C7385" s="132" t="s">
        <v>1368</v>
      </c>
      <c r="D7385" s="132" t="s">
        <v>1381</v>
      </c>
      <c r="E7385" s="508">
        <v>4.9290000000000003</v>
      </c>
      <c r="F7385" s="508">
        <v>3.0310000000000001</v>
      </c>
      <c r="G7385" s="508">
        <v>3.4849999999999999</v>
      </c>
      <c r="H7385" s="508">
        <v>3.794</v>
      </c>
      <c r="I7385" s="508">
        <v>3.7989999999999999</v>
      </c>
      <c r="J7385" s="508">
        <v>3.4990000000000001</v>
      </c>
      <c r="K7385" s="508">
        <v>3.4950000000000001</v>
      </c>
      <c r="L7385" s="508">
        <v>1.8779999999999999</v>
      </c>
      <c r="M7385" s="508">
        <v>2.2919999999999998</v>
      </c>
      <c r="N7385" s="508">
        <v>5.5039999999999996</v>
      </c>
      <c r="O7385" s="508">
        <v>4.9749999999999996</v>
      </c>
      <c r="P7385" s="508">
        <v>1.6779999999999999</v>
      </c>
      <c r="Q7385" s="508">
        <v>2.0209999999999999</v>
      </c>
      <c r="R7385" s="508">
        <v>1.8120000000000001</v>
      </c>
      <c r="S7385" s="508">
        <v>1.7450000000000001</v>
      </c>
      <c r="T7385" s="508">
        <v>1.7669999999999999</v>
      </c>
      <c r="U7385" s="508">
        <v>0.92300000000000004</v>
      </c>
      <c r="V7385" s="508">
        <v>1.022</v>
      </c>
      <c r="W7385" s="508">
        <v>0.754</v>
      </c>
      <c r="X7385" s="508">
        <v>0.64600000000000002</v>
      </c>
      <c r="Y7385" s="508">
        <v>0.64500000000000002</v>
      </c>
      <c r="Z7385" s="508">
        <v>0.64600000000000002</v>
      </c>
      <c r="AA7385" s="508">
        <v>0.105</v>
      </c>
      <c r="AB7385" s="508">
        <v>9.7000000000000003E-2</v>
      </c>
      <c r="AC7385" s="508">
        <v>9.6000000000000002E-2</v>
      </c>
      <c r="AD7385" s="508">
        <v>7.3999999999999996E-2</v>
      </c>
      <c r="AE7385" s="508">
        <v>7.1999999999999995E-2</v>
      </c>
      <c r="AF7385" s="508">
        <v>0.06</v>
      </c>
      <c r="AG7385" s="508">
        <v>5.8999999999999997E-2</v>
      </c>
      <c r="AH7385" s="508">
        <v>5.8000000000000003E-2</v>
      </c>
      <c r="AI7385" s="492">
        <v>5.7000000000000002E-2</v>
      </c>
      <c r="AJ7385" s="485"/>
    </row>
    <row r="7386" spans="2:36">
      <c r="B7386" s="136" t="s">
        <v>455</v>
      </c>
      <c r="C7386" s="132" t="s">
        <v>1368</v>
      </c>
      <c r="D7386" s="132" t="s">
        <v>1381</v>
      </c>
      <c r="E7386" s="508">
        <v>4.8650000000000002</v>
      </c>
      <c r="F7386" s="508">
        <v>2.9870000000000001</v>
      </c>
      <c r="G7386" s="508">
        <v>3.44</v>
      </c>
      <c r="H7386" s="508">
        <v>3.7480000000000002</v>
      </c>
      <c r="I7386" s="508">
        <v>3.7519999999999998</v>
      </c>
      <c r="J7386" s="508">
        <v>3.4830000000000001</v>
      </c>
      <c r="K7386" s="508">
        <v>3.4790000000000001</v>
      </c>
      <c r="L7386" s="508">
        <v>1.843</v>
      </c>
      <c r="M7386" s="508">
        <v>2.2629999999999999</v>
      </c>
      <c r="N7386" s="508">
        <v>5.4809999999999999</v>
      </c>
      <c r="O7386" s="508">
        <v>4.95</v>
      </c>
      <c r="P7386" s="508">
        <v>1.6519999999999999</v>
      </c>
      <c r="Q7386" s="508">
        <v>2.0099999999999998</v>
      </c>
      <c r="R7386" s="508">
        <v>1.7949999999999999</v>
      </c>
      <c r="S7386" s="508">
        <v>1.7270000000000001</v>
      </c>
      <c r="T7386" s="508">
        <v>1.752</v>
      </c>
      <c r="U7386" s="508">
        <v>0.90500000000000003</v>
      </c>
      <c r="V7386" s="508">
        <v>0.996</v>
      </c>
      <c r="W7386" s="508">
        <v>0.73699999999999999</v>
      </c>
      <c r="X7386" s="508">
        <v>0.63</v>
      </c>
      <c r="Y7386" s="508">
        <v>0.627</v>
      </c>
      <c r="Z7386" s="508">
        <v>0.627</v>
      </c>
      <c r="AA7386" s="508">
        <v>0.10299999999999999</v>
      </c>
      <c r="AB7386" s="508">
        <v>9.4E-2</v>
      </c>
      <c r="AC7386" s="508">
        <v>9.2999999999999999E-2</v>
      </c>
      <c r="AD7386" s="508">
        <v>7.1999999999999995E-2</v>
      </c>
      <c r="AE7386" s="508">
        <v>6.9000000000000006E-2</v>
      </c>
      <c r="AF7386" s="508">
        <v>5.8000000000000003E-2</v>
      </c>
      <c r="AG7386" s="508">
        <v>5.7000000000000002E-2</v>
      </c>
      <c r="AH7386" s="508">
        <v>5.6000000000000001E-2</v>
      </c>
      <c r="AI7386" s="492">
        <v>5.5E-2</v>
      </c>
      <c r="AJ7386" s="485"/>
    </row>
    <row r="7387" spans="2:36">
      <c r="B7387" s="136" t="s">
        <v>456</v>
      </c>
      <c r="C7387" s="132" t="s">
        <v>1368</v>
      </c>
      <c r="D7387" s="132" t="s">
        <v>1381</v>
      </c>
      <c r="E7387" s="508">
        <v>4.9850000000000003</v>
      </c>
      <c r="F7387" s="508">
        <v>3.0369999999999999</v>
      </c>
      <c r="G7387" s="508">
        <v>3.5030000000000001</v>
      </c>
      <c r="H7387" s="508">
        <v>3.8210000000000002</v>
      </c>
      <c r="I7387" s="508">
        <v>3.83</v>
      </c>
      <c r="J7387" s="508">
        <v>3.5030000000000001</v>
      </c>
      <c r="K7387" s="508">
        <v>3.5</v>
      </c>
      <c r="L7387" s="508">
        <v>1.867</v>
      </c>
      <c r="M7387" s="508">
        <v>2.29</v>
      </c>
      <c r="N7387" s="508">
        <v>5.5339999999999998</v>
      </c>
      <c r="O7387" s="508">
        <v>5.0039999999999996</v>
      </c>
      <c r="P7387" s="508">
        <v>1.661</v>
      </c>
      <c r="Q7387" s="508">
        <v>2.0019999999999998</v>
      </c>
      <c r="R7387" s="508">
        <v>1.8009999999999999</v>
      </c>
      <c r="S7387" s="508">
        <v>1.7370000000000001</v>
      </c>
      <c r="T7387" s="508">
        <v>1.76</v>
      </c>
      <c r="U7387" s="508">
        <v>0.90400000000000003</v>
      </c>
      <c r="V7387" s="508">
        <v>1.0169999999999999</v>
      </c>
      <c r="W7387" s="508">
        <v>0.73699999999999999</v>
      </c>
      <c r="X7387" s="508">
        <v>0.629</v>
      </c>
      <c r="Y7387" s="508">
        <v>0.63100000000000001</v>
      </c>
      <c r="Z7387" s="508">
        <v>0.63500000000000001</v>
      </c>
      <c r="AA7387" s="508">
        <v>8.8999999999999996E-2</v>
      </c>
      <c r="AB7387" s="508">
        <v>8.1000000000000003E-2</v>
      </c>
      <c r="AC7387" s="508">
        <v>0.08</v>
      </c>
      <c r="AD7387" s="508">
        <v>5.8000000000000003E-2</v>
      </c>
      <c r="AE7387" s="508">
        <v>5.6000000000000001E-2</v>
      </c>
      <c r="AF7387" s="508">
        <v>4.4999999999999998E-2</v>
      </c>
      <c r="AG7387" s="508">
        <v>4.3999999999999997E-2</v>
      </c>
      <c r="AH7387" s="508">
        <v>4.3999999999999997E-2</v>
      </c>
      <c r="AI7387" s="492">
        <v>4.2999999999999997E-2</v>
      </c>
      <c r="AJ7387" s="485"/>
    </row>
    <row r="7388" spans="2:36">
      <c r="B7388" s="136" t="s">
        <v>457</v>
      </c>
      <c r="C7388" s="132" t="s">
        <v>1368</v>
      </c>
      <c r="D7388" s="132" t="s">
        <v>1381</v>
      </c>
      <c r="E7388" s="508">
        <v>4.7699999999999996</v>
      </c>
      <c r="F7388" s="508">
        <v>2.9590000000000001</v>
      </c>
      <c r="G7388" s="508">
        <v>3.3959999999999999</v>
      </c>
      <c r="H7388" s="508">
        <v>3.6920000000000002</v>
      </c>
      <c r="I7388" s="508">
        <v>3.6930000000000001</v>
      </c>
      <c r="J7388" s="508">
        <v>3.4380000000000002</v>
      </c>
      <c r="K7388" s="508">
        <v>3.4329999999999998</v>
      </c>
      <c r="L7388" s="508">
        <v>1.845</v>
      </c>
      <c r="M7388" s="508">
        <v>2.2480000000000002</v>
      </c>
      <c r="N7388" s="508">
        <v>5.3890000000000002</v>
      </c>
      <c r="O7388" s="508">
        <v>4.867</v>
      </c>
      <c r="P7388" s="508">
        <v>1.657</v>
      </c>
      <c r="Q7388" s="508">
        <v>2.0070000000000001</v>
      </c>
      <c r="R7388" s="508">
        <v>1.7909999999999999</v>
      </c>
      <c r="S7388" s="508">
        <v>1.722</v>
      </c>
      <c r="T7388" s="508">
        <v>1.7450000000000001</v>
      </c>
      <c r="U7388" s="508">
        <v>0.91800000000000004</v>
      </c>
      <c r="V7388" s="508">
        <v>1.0009999999999999</v>
      </c>
      <c r="W7388" s="508">
        <v>0.751</v>
      </c>
      <c r="X7388" s="508">
        <v>0.64600000000000002</v>
      </c>
      <c r="Y7388" s="508">
        <v>0.64100000000000001</v>
      </c>
      <c r="Z7388" s="508">
        <v>0.63800000000000001</v>
      </c>
      <c r="AA7388" s="508">
        <v>0.11700000000000001</v>
      </c>
      <c r="AB7388" s="508">
        <v>0.108</v>
      </c>
      <c r="AC7388" s="508">
        <v>0.107</v>
      </c>
      <c r="AD7388" s="508">
        <v>8.5999999999999993E-2</v>
      </c>
      <c r="AE7388" s="508">
        <v>8.3000000000000004E-2</v>
      </c>
      <c r="AF7388" s="508">
        <v>7.0999999999999994E-2</v>
      </c>
      <c r="AG7388" s="508">
        <v>7.0000000000000007E-2</v>
      </c>
      <c r="AH7388" s="508">
        <v>6.9000000000000006E-2</v>
      </c>
      <c r="AI7388" s="492">
        <v>6.8000000000000005E-2</v>
      </c>
      <c r="AJ7388" s="485"/>
    </row>
    <row r="7389" spans="2:36">
      <c r="B7389" s="136" t="s">
        <v>458</v>
      </c>
      <c r="C7389" s="132" t="s">
        <v>1368</v>
      </c>
      <c r="D7389" s="132" t="s">
        <v>1381</v>
      </c>
      <c r="E7389" s="508">
        <v>5.0490000000000004</v>
      </c>
      <c r="F7389" s="508">
        <v>3.097</v>
      </c>
      <c r="G7389" s="508">
        <v>3.5619999999999998</v>
      </c>
      <c r="H7389" s="508">
        <v>3.8780000000000001</v>
      </c>
      <c r="I7389" s="508">
        <v>3.8820000000000001</v>
      </c>
      <c r="J7389" s="508">
        <v>3.5720000000000001</v>
      </c>
      <c r="K7389" s="508">
        <v>3.5680000000000001</v>
      </c>
      <c r="L7389" s="508">
        <v>1.913</v>
      </c>
      <c r="M7389" s="508">
        <v>2.3380000000000001</v>
      </c>
      <c r="N7389" s="508">
        <v>5.62</v>
      </c>
      <c r="O7389" s="508">
        <v>5.0789999999999997</v>
      </c>
      <c r="P7389" s="508">
        <v>1.7090000000000001</v>
      </c>
      <c r="Q7389" s="508">
        <v>2.0550000000000002</v>
      </c>
      <c r="R7389" s="508">
        <v>1.843</v>
      </c>
      <c r="S7389" s="508">
        <v>1.7749999999999999</v>
      </c>
      <c r="T7389" s="508">
        <v>1.798</v>
      </c>
      <c r="U7389" s="508">
        <v>0.93799999999999994</v>
      </c>
      <c r="V7389" s="508">
        <v>1.04</v>
      </c>
      <c r="W7389" s="508">
        <v>0.76600000000000001</v>
      </c>
      <c r="X7389" s="508">
        <v>0.65700000000000003</v>
      </c>
      <c r="Y7389" s="508">
        <v>0.65500000000000003</v>
      </c>
      <c r="Z7389" s="508">
        <v>0.65600000000000003</v>
      </c>
      <c r="AA7389" s="508">
        <v>0.106</v>
      </c>
      <c r="AB7389" s="508">
        <v>9.7000000000000003E-2</v>
      </c>
      <c r="AC7389" s="508">
        <v>9.6000000000000002E-2</v>
      </c>
      <c r="AD7389" s="508">
        <v>7.3999999999999996E-2</v>
      </c>
      <c r="AE7389" s="508">
        <v>7.1999999999999995E-2</v>
      </c>
      <c r="AF7389" s="508">
        <v>0.06</v>
      </c>
      <c r="AG7389" s="508">
        <v>5.8999999999999997E-2</v>
      </c>
      <c r="AH7389" s="508">
        <v>5.8000000000000003E-2</v>
      </c>
      <c r="AI7389" s="492">
        <v>5.7000000000000002E-2</v>
      </c>
      <c r="AJ7389" s="485"/>
    </row>
    <row r="7390" spans="2:36">
      <c r="B7390" s="136" t="s">
        <v>459</v>
      </c>
      <c r="C7390" s="132" t="s">
        <v>1368</v>
      </c>
      <c r="D7390" s="132" t="s">
        <v>1381</v>
      </c>
      <c r="E7390" s="508">
        <v>5.0709999999999997</v>
      </c>
      <c r="F7390" s="508">
        <v>3.125</v>
      </c>
      <c r="G7390" s="508">
        <v>3.5870000000000002</v>
      </c>
      <c r="H7390" s="508">
        <v>3.9009999999999998</v>
      </c>
      <c r="I7390" s="508">
        <v>3.903</v>
      </c>
      <c r="J7390" s="508">
        <v>3.5950000000000002</v>
      </c>
      <c r="K7390" s="508">
        <v>3.59</v>
      </c>
      <c r="L7390" s="508">
        <v>1.9390000000000001</v>
      </c>
      <c r="M7390" s="508">
        <v>2.36</v>
      </c>
      <c r="N7390" s="508">
        <v>5.64</v>
      </c>
      <c r="O7390" s="508">
        <v>5.0979999999999999</v>
      </c>
      <c r="P7390" s="508">
        <v>1.7330000000000001</v>
      </c>
      <c r="Q7390" s="508">
        <v>2.0779999999999998</v>
      </c>
      <c r="R7390" s="508">
        <v>1.863</v>
      </c>
      <c r="S7390" s="508">
        <v>1.794</v>
      </c>
      <c r="T7390" s="508">
        <v>1.8160000000000001</v>
      </c>
      <c r="U7390" s="508">
        <v>0.95699999999999996</v>
      </c>
      <c r="V7390" s="508">
        <v>1.0549999999999999</v>
      </c>
      <c r="W7390" s="508">
        <v>0.78400000000000003</v>
      </c>
      <c r="X7390" s="508">
        <v>0.67300000000000004</v>
      </c>
      <c r="Y7390" s="508">
        <v>0.67100000000000004</v>
      </c>
      <c r="Z7390" s="508">
        <v>0.67100000000000004</v>
      </c>
      <c r="AA7390" s="508">
        <v>0.115</v>
      </c>
      <c r="AB7390" s="508">
        <v>0.106</v>
      </c>
      <c r="AC7390" s="508">
        <v>0.105</v>
      </c>
      <c r="AD7390" s="508">
        <v>8.3000000000000004E-2</v>
      </c>
      <c r="AE7390" s="508">
        <v>0.08</v>
      </c>
      <c r="AF7390" s="508">
        <v>6.8000000000000005E-2</v>
      </c>
      <c r="AG7390" s="508">
        <v>6.7000000000000004E-2</v>
      </c>
      <c r="AH7390" s="508">
        <v>6.6000000000000003E-2</v>
      </c>
      <c r="AI7390" s="492">
        <v>6.5000000000000002E-2</v>
      </c>
      <c r="AJ7390" s="485"/>
    </row>
    <row r="7391" spans="2:36">
      <c r="B7391" s="136" t="s">
        <v>460</v>
      </c>
      <c r="C7391" s="132" t="s">
        <v>1368</v>
      </c>
      <c r="D7391" s="132" t="s">
        <v>1381</v>
      </c>
      <c r="E7391" s="508">
        <v>5.1159999999999997</v>
      </c>
      <c r="F7391" s="508">
        <v>3.1579999999999999</v>
      </c>
      <c r="G7391" s="508">
        <v>3.621</v>
      </c>
      <c r="H7391" s="508">
        <v>3.9350000000000001</v>
      </c>
      <c r="I7391" s="508">
        <v>3.9380000000000002</v>
      </c>
      <c r="J7391" s="508">
        <v>3.6030000000000002</v>
      </c>
      <c r="K7391" s="508">
        <v>3.5979999999999999</v>
      </c>
      <c r="L7391" s="508">
        <v>1.966</v>
      </c>
      <c r="M7391" s="508">
        <v>2.3820000000000001</v>
      </c>
      <c r="N7391" s="508">
        <v>5.6459999999999999</v>
      </c>
      <c r="O7391" s="508">
        <v>5.1070000000000002</v>
      </c>
      <c r="P7391" s="508">
        <v>1.752</v>
      </c>
      <c r="Q7391" s="508">
        <v>2.0870000000000002</v>
      </c>
      <c r="R7391" s="508">
        <v>1.877</v>
      </c>
      <c r="S7391" s="508">
        <v>1.8089999999999999</v>
      </c>
      <c r="T7391" s="508">
        <v>1.8280000000000001</v>
      </c>
      <c r="U7391" s="508">
        <v>0.97099999999999997</v>
      </c>
      <c r="V7391" s="508">
        <v>1.075</v>
      </c>
      <c r="W7391" s="508">
        <v>0.79700000000000004</v>
      </c>
      <c r="X7391" s="508">
        <v>0.68700000000000006</v>
      </c>
      <c r="Y7391" s="508">
        <v>0.68500000000000005</v>
      </c>
      <c r="Z7391" s="508">
        <v>0.68600000000000005</v>
      </c>
      <c r="AA7391" s="508">
        <v>0.11799999999999999</v>
      </c>
      <c r="AB7391" s="508">
        <v>0.109</v>
      </c>
      <c r="AC7391" s="508">
        <v>0.107</v>
      </c>
      <c r="AD7391" s="508">
        <v>8.5000000000000006E-2</v>
      </c>
      <c r="AE7391" s="508">
        <v>8.2000000000000003E-2</v>
      </c>
      <c r="AF7391" s="508">
        <v>7.0000000000000007E-2</v>
      </c>
      <c r="AG7391" s="508">
        <v>6.9000000000000006E-2</v>
      </c>
      <c r="AH7391" s="508">
        <v>6.8000000000000005E-2</v>
      </c>
      <c r="AI7391" s="492">
        <v>6.7000000000000004E-2</v>
      </c>
      <c r="AJ7391" s="485"/>
    </row>
    <row r="7392" spans="2:36">
      <c r="B7392" s="136" t="s">
        <v>461</v>
      </c>
      <c r="C7392" s="132" t="s">
        <v>1368</v>
      </c>
      <c r="D7392" s="132" t="s">
        <v>1381</v>
      </c>
      <c r="E7392" s="508">
        <v>5.0110000000000001</v>
      </c>
      <c r="F7392" s="508">
        <v>3.1059999999999999</v>
      </c>
      <c r="G7392" s="508">
        <v>3.5590000000000002</v>
      </c>
      <c r="H7392" s="508">
        <v>3.8660000000000001</v>
      </c>
      <c r="I7392" s="508">
        <v>3.8679999999999999</v>
      </c>
      <c r="J7392" s="508">
        <v>3.5569999999999999</v>
      </c>
      <c r="K7392" s="508">
        <v>3.552</v>
      </c>
      <c r="L7392" s="508">
        <v>1.9419999999999999</v>
      </c>
      <c r="M7392" s="508">
        <v>2.351</v>
      </c>
      <c r="N7392" s="508">
        <v>5.5650000000000004</v>
      </c>
      <c r="O7392" s="508">
        <v>5.0330000000000004</v>
      </c>
      <c r="P7392" s="508">
        <v>1.7350000000000001</v>
      </c>
      <c r="Q7392" s="508">
        <v>2.0699999999999998</v>
      </c>
      <c r="R7392" s="508">
        <v>1.86</v>
      </c>
      <c r="S7392" s="508">
        <v>1.7909999999999999</v>
      </c>
      <c r="T7392" s="508">
        <v>1.81</v>
      </c>
      <c r="U7392" s="508">
        <v>0.96499999999999997</v>
      </c>
      <c r="V7392" s="508">
        <v>1.0620000000000001</v>
      </c>
      <c r="W7392" s="508">
        <v>0.79300000000000004</v>
      </c>
      <c r="X7392" s="508">
        <v>0.68400000000000005</v>
      </c>
      <c r="Y7392" s="508">
        <v>0.68100000000000005</v>
      </c>
      <c r="Z7392" s="508">
        <v>0.68</v>
      </c>
      <c r="AA7392" s="508">
        <v>0.122</v>
      </c>
      <c r="AB7392" s="508">
        <v>0.113</v>
      </c>
      <c r="AC7392" s="508">
        <v>0.112</v>
      </c>
      <c r="AD7392" s="508">
        <v>0.09</v>
      </c>
      <c r="AE7392" s="508">
        <v>8.6999999999999994E-2</v>
      </c>
      <c r="AF7392" s="508">
        <v>7.4999999999999997E-2</v>
      </c>
      <c r="AG7392" s="508">
        <v>7.2999999999999995E-2</v>
      </c>
      <c r="AH7392" s="508">
        <v>7.1999999999999995E-2</v>
      </c>
      <c r="AI7392" s="492">
        <v>7.0999999999999994E-2</v>
      </c>
      <c r="AJ7392" s="485"/>
    </row>
    <row r="7393" spans="2:36">
      <c r="B7393" s="136" t="s">
        <v>462</v>
      </c>
      <c r="C7393" s="132" t="s">
        <v>1368</v>
      </c>
      <c r="D7393" s="132" t="s">
        <v>1381</v>
      </c>
      <c r="E7393" s="508">
        <v>4.8520000000000003</v>
      </c>
      <c r="F7393" s="508">
        <v>2.9660000000000002</v>
      </c>
      <c r="G7393" s="508">
        <v>3.4169999999999998</v>
      </c>
      <c r="H7393" s="508">
        <v>3.726</v>
      </c>
      <c r="I7393" s="508">
        <v>3.734</v>
      </c>
      <c r="J7393" s="508">
        <v>3.42</v>
      </c>
      <c r="K7393" s="508">
        <v>3.4180000000000001</v>
      </c>
      <c r="L7393" s="508">
        <v>1.8260000000000001</v>
      </c>
      <c r="M7393" s="508">
        <v>2.2370000000000001</v>
      </c>
      <c r="N7393" s="508">
        <v>5.4109999999999996</v>
      </c>
      <c r="O7393" s="508">
        <v>4.8920000000000003</v>
      </c>
      <c r="P7393" s="508">
        <v>1.629</v>
      </c>
      <c r="Q7393" s="508">
        <v>1.9650000000000001</v>
      </c>
      <c r="R7393" s="508">
        <v>1.7649999999999999</v>
      </c>
      <c r="S7393" s="508">
        <v>1.702</v>
      </c>
      <c r="T7393" s="508">
        <v>1.724</v>
      </c>
      <c r="U7393" s="508">
        <v>0.88800000000000001</v>
      </c>
      <c r="V7393" s="508">
        <v>0.995</v>
      </c>
      <c r="W7393" s="508">
        <v>0.72399999999999998</v>
      </c>
      <c r="X7393" s="508">
        <v>0.61799999999999999</v>
      </c>
      <c r="Y7393" s="508">
        <v>0.61899999999999999</v>
      </c>
      <c r="Z7393" s="508">
        <v>0.623</v>
      </c>
      <c r="AA7393" s="508">
        <v>0.09</v>
      </c>
      <c r="AB7393" s="508">
        <v>8.2000000000000003E-2</v>
      </c>
      <c r="AC7393" s="508">
        <v>8.2000000000000003E-2</v>
      </c>
      <c r="AD7393" s="508">
        <v>6.0999999999999999E-2</v>
      </c>
      <c r="AE7393" s="508">
        <v>5.8000000000000003E-2</v>
      </c>
      <c r="AF7393" s="508">
        <v>4.7E-2</v>
      </c>
      <c r="AG7393" s="508">
        <v>4.7E-2</v>
      </c>
      <c r="AH7393" s="508">
        <v>4.5999999999999999E-2</v>
      </c>
      <c r="AI7393" s="492">
        <v>4.5999999999999999E-2</v>
      </c>
      <c r="AJ7393" s="485"/>
    </row>
    <row r="7394" spans="2:36">
      <c r="B7394" s="136" t="s">
        <v>463</v>
      </c>
      <c r="C7394" s="132" t="s">
        <v>1368</v>
      </c>
      <c r="D7394" s="132" t="s">
        <v>1381</v>
      </c>
      <c r="E7394" s="508">
        <v>4.8090000000000002</v>
      </c>
      <c r="F7394" s="508">
        <v>2.9550000000000001</v>
      </c>
      <c r="G7394" s="508">
        <v>3.4039999999999999</v>
      </c>
      <c r="H7394" s="508">
        <v>3.71</v>
      </c>
      <c r="I7394" s="508">
        <v>3.7149999999999999</v>
      </c>
      <c r="J7394" s="508">
        <v>3.4710000000000001</v>
      </c>
      <c r="K7394" s="508">
        <v>3.4670000000000001</v>
      </c>
      <c r="L7394" s="508">
        <v>1.825</v>
      </c>
      <c r="M7394" s="508">
        <v>2.246</v>
      </c>
      <c r="N7394" s="508">
        <v>5.4589999999999996</v>
      </c>
      <c r="O7394" s="508">
        <v>4.9279999999999999</v>
      </c>
      <c r="P7394" s="508">
        <v>1.64</v>
      </c>
      <c r="Q7394" s="508">
        <v>2.004</v>
      </c>
      <c r="R7394" s="508">
        <v>1.7849999999999999</v>
      </c>
      <c r="S7394" s="508">
        <v>1.7170000000000001</v>
      </c>
      <c r="T7394" s="508">
        <v>1.7430000000000001</v>
      </c>
      <c r="U7394" s="508">
        <v>0.89900000000000002</v>
      </c>
      <c r="V7394" s="508">
        <v>0.98399999999999999</v>
      </c>
      <c r="W7394" s="508">
        <v>0.73099999999999998</v>
      </c>
      <c r="X7394" s="508">
        <v>0.624</v>
      </c>
      <c r="Y7394" s="508">
        <v>0.62</v>
      </c>
      <c r="Z7394" s="508">
        <v>0.61899999999999999</v>
      </c>
      <c r="AA7394" s="508">
        <v>0.10299999999999999</v>
      </c>
      <c r="AB7394" s="508">
        <v>9.5000000000000001E-2</v>
      </c>
      <c r="AC7394" s="508">
        <v>9.4E-2</v>
      </c>
      <c r="AD7394" s="508">
        <v>7.2999999999999995E-2</v>
      </c>
      <c r="AE7394" s="508">
        <v>7.0000000000000007E-2</v>
      </c>
      <c r="AF7394" s="508">
        <v>5.8999999999999997E-2</v>
      </c>
      <c r="AG7394" s="508">
        <v>5.8000000000000003E-2</v>
      </c>
      <c r="AH7394" s="508">
        <v>5.7000000000000002E-2</v>
      </c>
      <c r="AI7394" s="492">
        <v>5.6000000000000001E-2</v>
      </c>
      <c r="AJ7394" s="485"/>
    </row>
    <row r="7395" spans="2:36">
      <c r="B7395" s="136" t="s">
        <v>464</v>
      </c>
      <c r="C7395" s="132" t="s">
        <v>1368</v>
      </c>
      <c r="D7395" s="132" t="s">
        <v>1381</v>
      </c>
      <c r="E7395" s="508">
        <v>4.8010000000000002</v>
      </c>
      <c r="F7395" s="508">
        <v>2.9780000000000002</v>
      </c>
      <c r="G7395" s="508">
        <v>3.4180000000000001</v>
      </c>
      <c r="H7395" s="508">
        <v>3.7160000000000002</v>
      </c>
      <c r="I7395" s="508">
        <v>3.718</v>
      </c>
      <c r="J7395" s="508">
        <v>3.4620000000000002</v>
      </c>
      <c r="K7395" s="508">
        <v>3.4569999999999999</v>
      </c>
      <c r="L7395" s="508">
        <v>1.8580000000000001</v>
      </c>
      <c r="M7395" s="508">
        <v>2.2650000000000001</v>
      </c>
      <c r="N7395" s="508">
        <v>5.42</v>
      </c>
      <c r="O7395" s="508">
        <v>4.8949999999999996</v>
      </c>
      <c r="P7395" s="508">
        <v>1.6679999999999999</v>
      </c>
      <c r="Q7395" s="508">
        <v>2.02</v>
      </c>
      <c r="R7395" s="508">
        <v>1.804</v>
      </c>
      <c r="S7395" s="508">
        <v>1.734</v>
      </c>
      <c r="T7395" s="508">
        <v>1.7569999999999999</v>
      </c>
      <c r="U7395" s="508">
        <v>0.92500000000000004</v>
      </c>
      <c r="V7395" s="508">
        <v>1.008</v>
      </c>
      <c r="W7395" s="508">
        <v>0.75700000000000001</v>
      </c>
      <c r="X7395" s="508">
        <v>0.65</v>
      </c>
      <c r="Y7395" s="508">
        <v>0.64500000000000002</v>
      </c>
      <c r="Z7395" s="508">
        <v>0.64300000000000002</v>
      </c>
      <c r="AA7395" s="508">
        <v>0.11799999999999999</v>
      </c>
      <c r="AB7395" s="508">
        <v>0.109</v>
      </c>
      <c r="AC7395" s="508">
        <v>0.108</v>
      </c>
      <c r="AD7395" s="508">
        <v>8.6999999999999994E-2</v>
      </c>
      <c r="AE7395" s="508">
        <v>8.4000000000000005E-2</v>
      </c>
      <c r="AF7395" s="508">
        <v>7.1999999999999995E-2</v>
      </c>
      <c r="AG7395" s="508">
        <v>7.0999999999999994E-2</v>
      </c>
      <c r="AH7395" s="508">
        <v>7.0000000000000007E-2</v>
      </c>
      <c r="AI7395" s="492">
        <v>6.9000000000000006E-2</v>
      </c>
      <c r="AJ7395" s="485"/>
    </row>
    <row r="7396" spans="2:36">
      <c r="B7396" s="136" t="s">
        <v>465</v>
      </c>
      <c r="C7396" s="132" t="s">
        <v>1368</v>
      </c>
      <c r="D7396" s="132" t="s">
        <v>1381</v>
      </c>
      <c r="E7396" s="508">
        <v>4.9059999999999997</v>
      </c>
      <c r="F7396" s="508">
        <v>3.028</v>
      </c>
      <c r="G7396" s="508">
        <v>3.48</v>
      </c>
      <c r="H7396" s="508">
        <v>3.7869999999999999</v>
      </c>
      <c r="I7396" s="508">
        <v>3.79</v>
      </c>
      <c r="J7396" s="508">
        <v>3.5150000000000001</v>
      </c>
      <c r="K7396" s="508">
        <v>3.5110000000000001</v>
      </c>
      <c r="L7396" s="508">
        <v>1.881</v>
      </c>
      <c r="M7396" s="508">
        <v>2.2970000000000002</v>
      </c>
      <c r="N7396" s="508">
        <v>5.51</v>
      </c>
      <c r="O7396" s="508">
        <v>4.9779999999999998</v>
      </c>
      <c r="P7396" s="508">
        <v>1.6850000000000001</v>
      </c>
      <c r="Q7396" s="508">
        <v>2.0379999999999998</v>
      </c>
      <c r="R7396" s="508">
        <v>1.8220000000000001</v>
      </c>
      <c r="S7396" s="508">
        <v>1.7529999999999999</v>
      </c>
      <c r="T7396" s="508">
        <v>1.7769999999999999</v>
      </c>
      <c r="U7396" s="508">
        <v>0.93</v>
      </c>
      <c r="V7396" s="508">
        <v>1.0209999999999999</v>
      </c>
      <c r="W7396" s="508">
        <v>0.76</v>
      </c>
      <c r="X7396" s="508">
        <v>0.65200000000000002</v>
      </c>
      <c r="Y7396" s="508">
        <v>0.64900000000000002</v>
      </c>
      <c r="Z7396" s="508">
        <v>0.64800000000000002</v>
      </c>
      <c r="AA7396" s="508">
        <v>0.113</v>
      </c>
      <c r="AB7396" s="508">
        <v>0.10299999999999999</v>
      </c>
      <c r="AC7396" s="508">
        <v>0.10299999999999999</v>
      </c>
      <c r="AD7396" s="508">
        <v>8.1000000000000003E-2</v>
      </c>
      <c r="AE7396" s="508">
        <v>7.8E-2</v>
      </c>
      <c r="AF7396" s="508">
        <v>6.6000000000000003E-2</v>
      </c>
      <c r="AG7396" s="508">
        <v>6.5000000000000002E-2</v>
      </c>
      <c r="AH7396" s="508">
        <v>6.4000000000000001E-2</v>
      </c>
      <c r="AI7396" s="492">
        <v>6.3E-2</v>
      </c>
      <c r="AJ7396" s="485"/>
    </row>
    <row r="7397" spans="2:36">
      <c r="B7397" s="136" t="s">
        <v>466</v>
      </c>
      <c r="C7397" s="132" t="s">
        <v>1368</v>
      </c>
      <c r="D7397" s="132" t="s">
        <v>1381</v>
      </c>
      <c r="E7397" s="508">
        <v>5.2510000000000003</v>
      </c>
      <c r="F7397" s="508">
        <v>3.21</v>
      </c>
      <c r="G7397" s="508">
        <v>3.6890000000000001</v>
      </c>
      <c r="H7397" s="508">
        <v>4.0140000000000002</v>
      </c>
      <c r="I7397" s="508">
        <v>4.0209999999999999</v>
      </c>
      <c r="J7397" s="508">
        <v>3.63</v>
      </c>
      <c r="K7397" s="508">
        <v>3.6259999999999999</v>
      </c>
      <c r="L7397" s="508">
        <v>1.9810000000000001</v>
      </c>
      <c r="M7397" s="508">
        <v>2.4039999999999999</v>
      </c>
      <c r="N7397" s="508">
        <v>5.7190000000000003</v>
      </c>
      <c r="O7397" s="508">
        <v>5.1779999999999999</v>
      </c>
      <c r="P7397" s="508">
        <v>1.756</v>
      </c>
      <c r="Q7397" s="508">
        <v>2.0790000000000002</v>
      </c>
      <c r="R7397" s="508">
        <v>1.88</v>
      </c>
      <c r="S7397" s="508">
        <v>1.8160000000000001</v>
      </c>
      <c r="T7397" s="508">
        <v>1.8340000000000001</v>
      </c>
      <c r="U7397" s="508">
        <v>0.96299999999999997</v>
      </c>
      <c r="V7397" s="508">
        <v>1.0880000000000001</v>
      </c>
      <c r="W7397" s="508">
        <v>0.79100000000000004</v>
      </c>
      <c r="X7397" s="508">
        <v>0.67900000000000005</v>
      </c>
      <c r="Y7397" s="508">
        <v>0.68100000000000005</v>
      </c>
      <c r="Z7397" s="508">
        <v>0.68700000000000006</v>
      </c>
      <c r="AA7397" s="508">
        <v>0.10100000000000001</v>
      </c>
      <c r="AB7397" s="508">
        <v>9.2999999999999999E-2</v>
      </c>
      <c r="AC7397" s="508">
        <v>9.0999999999999998E-2</v>
      </c>
      <c r="AD7397" s="508">
        <v>6.9000000000000006E-2</v>
      </c>
      <c r="AE7397" s="508">
        <v>6.7000000000000004E-2</v>
      </c>
      <c r="AF7397" s="508">
        <v>5.5E-2</v>
      </c>
      <c r="AG7397" s="508">
        <v>5.3999999999999999E-2</v>
      </c>
      <c r="AH7397" s="508">
        <v>5.2999999999999999E-2</v>
      </c>
      <c r="AI7397" s="492">
        <v>5.2999999999999999E-2</v>
      </c>
      <c r="AJ7397" s="485"/>
    </row>
    <row r="7398" spans="2:36">
      <c r="B7398" s="136" t="s">
        <v>467</v>
      </c>
      <c r="C7398" s="132" t="s">
        <v>1368</v>
      </c>
      <c r="D7398" s="132" t="s">
        <v>1381</v>
      </c>
      <c r="E7398" s="508">
        <v>4.9610000000000003</v>
      </c>
      <c r="F7398" s="508">
        <v>3.0680000000000001</v>
      </c>
      <c r="G7398" s="508">
        <v>3.5179999999999998</v>
      </c>
      <c r="H7398" s="508">
        <v>3.823</v>
      </c>
      <c r="I7398" s="508">
        <v>3.8250000000000002</v>
      </c>
      <c r="J7398" s="508">
        <v>3.52</v>
      </c>
      <c r="K7398" s="508">
        <v>3.5150000000000001</v>
      </c>
      <c r="L7398" s="508">
        <v>1.91</v>
      </c>
      <c r="M7398" s="508">
        <v>2.319</v>
      </c>
      <c r="N7398" s="508">
        <v>5.5220000000000002</v>
      </c>
      <c r="O7398" s="508">
        <v>4.992</v>
      </c>
      <c r="P7398" s="508">
        <v>1.708</v>
      </c>
      <c r="Q7398" s="508">
        <v>2.0449999999999999</v>
      </c>
      <c r="R7398" s="508">
        <v>1.835</v>
      </c>
      <c r="S7398" s="508">
        <v>1.7669999999999999</v>
      </c>
      <c r="T7398" s="508">
        <v>1.7869999999999999</v>
      </c>
      <c r="U7398" s="508">
        <v>0.94599999999999995</v>
      </c>
      <c r="V7398" s="508">
        <v>1.0429999999999999</v>
      </c>
      <c r="W7398" s="508">
        <v>0.77600000000000002</v>
      </c>
      <c r="X7398" s="508">
        <v>0.66800000000000004</v>
      </c>
      <c r="Y7398" s="508">
        <v>0.66500000000000004</v>
      </c>
      <c r="Z7398" s="508">
        <v>0.66500000000000004</v>
      </c>
      <c r="AA7398" s="508">
        <v>0.11700000000000001</v>
      </c>
      <c r="AB7398" s="508">
        <v>0.108</v>
      </c>
      <c r="AC7398" s="508">
        <v>0.106</v>
      </c>
      <c r="AD7398" s="508">
        <v>8.5000000000000006E-2</v>
      </c>
      <c r="AE7398" s="508">
        <v>8.2000000000000003E-2</v>
      </c>
      <c r="AF7398" s="508">
        <v>7.0000000000000007E-2</v>
      </c>
      <c r="AG7398" s="508">
        <v>6.9000000000000006E-2</v>
      </c>
      <c r="AH7398" s="508">
        <v>6.8000000000000005E-2</v>
      </c>
      <c r="AI7398" s="492">
        <v>6.7000000000000004E-2</v>
      </c>
      <c r="AJ7398" s="485"/>
    </row>
    <row r="7399" spans="2:36">
      <c r="B7399" s="136" t="s">
        <v>468</v>
      </c>
      <c r="C7399" s="132" t="s">
        <v>1368</v>
      </c>
      <c r="D7399" s="132" t="s">
        <v>1381</v>
      </c>
      <c r="E7399" s="508">
        <v>4.766</v>
      </c>
      <c r="F7399" s="508">
        <v>2.9319999999999999</v>
      </c>
      <c r="G7399" s="508">
        <v>3.3769999999999998</v>
      </c>
      <c r="H7399" s="508">
        <v>3.6789999999999998</v>
      </c>
      <c r="I7399" s="508">
        <v>3.6829999999999998</v>
      </c>
      <c r="J7399" s="508">
        <v>3.4449999999999998</v>
      </c>
      <c r="K7399" s="508">
        <v>3.4409999999999998</v>
      </c>
      <c r="L7399" s="508">
        <v>1.8129999999999999</v>
      </c>
      <c r="M7399" s="508">
        <v>2.23</v>
      </c>
      <c r="N7399" s="508">
        <v>5.3879999999999999</v>
      </c>
      <c r="O7399" s="508">
        <v>4.8639999999999999</v>
      </c>
      <c r="P7399" s="508">
        <v>1.6240000000000001</v>
      </c>
      <c r="Q7399" s="508">
        <v>1.988</v>
      </c>
      <c r="R7399" s="508">
        <v>1.77</v>
      </c>
      <c r="S7399" s="508">
        <v>1.7030000000000001</v>
      </c>
      <c r="T7399" s="508">
        <v>1.7290000000000001</v>
      </c>
      <c r="U7399" s="508">
        <v>0.89300000000000002</v>
      </c>
      <c r="V7399" s="508">
        <v>0.97599999999999998</v>
      </c>
      <c r="W7399" s="508">
        <v>0.72599999999999998</v>
      </c>
      <c r="X7399" s="508">
        <v>0.62</v>
      </c>
      <c r="Y7399" s="508">
        <v>0.61599999999999999</v>
      </c>
      <c r="Z7399" s="508">
        <v>0.61399999999999999</v>
      </c>
      <c r="AA7399" s="508">
        <v>0.104</v>
      </c>
      <c r="AB7399" s="508">
        <v>9.5000000000000001E-2</v>
      </c>
      <c r="AC7399" s="508">
        <v>9.5000000000000001E-2</v>
      </c>
      <c r="AD7399" s="508">
        <v>7.3999999999999996E-2</v>
      </c>
      <c r="AE7399" s="508">
        <v>7.0999999999999994E-2</v>
      </c>
      <c r="AF7399" s="508">
        <v>5.8999999999999997E-2</v>
      </c>
      <c r="AG7399" s="508">
        <v>5.8999999999999997E-2</v>
      </c>
      <c r="AH7399" s="508">
        <v>5.8000000000000003E-2</v>
      </c>
      <c r="AI7399" s="492">
        <v>5.7000000000000002E-2</v>
      </c>
      <c r="AJ7399" s="485"/>
    </row>
    <row r="7400" spans="2:36">
      <c r="B7400" s="136" t="s">
        <v>469</v>
      </c>
      <c r="C7400" s="132" t="s">
        <v>1368</v>
      </c>
      <c r="D7400" s="132" t="s">
        <v>1381</v>
      </c>
      <c r="E7400" s="508">
        <v>4.9000000000000004</v>
      </c>
      <c r="F7400" s="508">
        <v>3.008</v>
      </c>
      <c r="G7400" s="508">
        <v>3.4620000000000002</v>
      </c>
      <c r="H7400" s="508">
        <v>3.77</v>
      </c>
      <c r="I7400" s="508">
        <v>3.774</v>
      </c>
      <c r="J7400" s="508">
        <v>3.48</v>
      </c>
      <c r="K7400" s="508">
        <v>3.476</v>
      </c>
      <c r="L7400" s="508">
        <v>1.857</v>
      </c>
      <c r="M7400" s="508">
        <v>2.2719999999999998</v>
      </c>
      <c r="N7400" s="508">
        <v>5.4820000000000002</v>
      </c>
      <c r="O7400" s="508">
        <v>4.9530000000000003</v>
      </c>
      <c r="P7400" s="508">
        <v>1.661</v>
      </c>
      <c r="Q7400" s="508">
        <v>2.008</v>
      </c>
      <c r="R7400" s="508">
        <v>1.798</v>
      </c>
      <c r="S7400" s="508">
        <v>1.7310000000000001</v>
      </c>
      <c r="T7400" s="508">
        <v>1.7549999999999999</v>
      </c>
      <c r="U7400" s="508">
        <v>0.91</v>
      </c>
      <c r="V7400" s="508">
        <v>1.008</v>
      </c>
      <c r="W7400" s="508">
        <v>0.74299999999999999</v>
      </c>
      <c r="X7400" s="508">
        <v>0.63600000000000001</v>
      </c>
      <c r="Y7400" s="508">
        <v>0.63400000000000001</v>
      </c>
      <c r="Z7400" s="508">
        <v>0.63500000000000001</v>
      </c>
      <c r="AA7400" s="508">
        <v>0.10199999999999999</v>
      </c>
      <c r="AB7400" s="508">
        <v>9.2999999999999999E-2</v>
      </c>
      <c r="AC7400" s="508">
        <v>9.2999999999999999E-2</v>
      </c>
      <c r="AD7400" s="508">
        <v>7.0999999999999994E-2</v>
      </c>
      <c r="AE7400" s="508">
        <v>6.9000000000000006E-2</v>
      </c>
      <c r="AF7400" s="508">
        <v>5.7000000000000002E-2</v>
      </c>
      <c r="AG7400" s="508">
        <v>5.6000000000000001E-2</v>
      </c>
      <c r="AH7400" s="508">
        <v>5.5E-2</v>
      </c>
      <c r="AI7400" s="492">
        <v>5.5E-2</v>
      </c>
      <c r="AJ7400" s="485"/>
    </row>
    <row r="7401" spans="2:36">
      <c r="B7401" s="136" t="s">
        <v>470</v>
      </c>
      <c r="C7401" s="132" t="s">
        <v>1368</v>
      </c>
      <c r="D7401" s="132" t="s">
        <v>1381</v>
      </c>
      <c r="E7401" s="508">
        <v>5.1390000000000002</v>
      </c>
      <c r="F7401" s="508">
        <v>3.165</v>
      </c>
      <c r="G7401" s="508">
        <v>3.6309999999999998</v>
      </c>
      <c r="H7401" s="508">
        <v>3.9460000000000002</v>
      </c>
      <c r="I7401" s="508">
        <v>3.9489999999999998</v>
      </c>
      <c r="J7401" s="508">
        <v>3.605</v>
      </c>
      <c r="K7401" s="508">
        <v>3.6</v>
      </c>
      <c r="L7401" s="508">
        <v>1.9650000000000001</v>
      </c>
      <c r="M7401" s="508">
        <v>2.3820000000000001</v>
      </c>
      <c r="N7401" s="508">
        <v>5.6609999999999996</v>
      </c>
      <c r="O7401" s="508">
        <v>5.1210000000000004</v>
      </c>
      <c r="P7401" s="508">
        <v>1.7509999999999999</v>
      </c>
      <c r="Q7401" s="508">
        <v>2.0819999999999999</v>
      </c>
      <c r="R7401" s="508">
        <v>1.8740000000000001</v>
      </c>
      <c r="S7401" s="508">
        <v>1.8069999999999999</v>
      </c>
      <c r="T7401" s="508">
        <v>1.8260000000000001</v>
      </c>
      <c r="U7401" s="508">
        <v>0.96699999999999997</v>
      </c>
      <c r="V7401" s="508">
        <v>1.0740000000000001</v>
      </c>
      <c r="W7401" s="508">
        <v>0.79400000000000004</v>
      </c>
      <c r="X7401" s="508">
        <v>0.68300000000000005</v>
      </c>
      <c r="Y7401" s="508">
        <v>0.68200000000000005</v>
      </c>
      <c r="Z7401" s="508">
        <v>0.68400000000000005</v>
      </c>
      <c r="AA7401" s="508">
        <v>0.114</v>
      </c>
      <c r="AB7401" s="508">
        <v>0.106</v>
      </c>
      <c r="AC7401" s="508">
        <v>0.104</v>
      </c>
      <c r="AD7401" s="508">
        <v>8.2000000000000003E-2</v>
      </c>
      <c r="AE7401" s="508">
        <v>7.9000000000000001E-2</v>
      </c>
      <c r="AF7401" s="508">
        <v>6.7000000000000004E-2</v>
      </c>
      <c r="AG7401" s="508">
        <v>6.6000000000000003E-2</v>
      </c>
      <c r="AH7401" s="508">
        <v>6.5000000000000002E-2</v>
      </c>
      <c r="AI7401" s="492">
        <v>6.4000000000000001E-2</v>
      </c>
      <c r="AJ7401" s="485"/>
    </row>
    <row r="7402" spans="2:36">
      <c r="B7402" s="136" t="s">
        <v>471</v>
      </c>
      <c r="C7402" s="132" t="s">
        <v>1368</v>
      </c>
      <c r="D7402" s="132" t="s">
        <v>1381</v>
      </c>
      <c r="E7402" s="508">
        <v>5.0030000000000001</v>
      </c>
      <c r="F7402" s="508">
        <v>3.0630000000000002</v>
      </c>
      <c r="G7402" s="508">
        <v>3.5230000000000001</v>
      </c>
      <c r="H7402" s="508">
        <v>3.8359999999999999</v>
      </c>
      <c r="I7402" s="508">
        <v>3.8420000000000001</v>
      </c>
      <c r="J7402" s="508">
        <v>3.5059999999999998</v>
      </c>
      <c r="K7402" s="508">
        <v>3.5030000000000001</v>
      </c>
      <c r="L7402" s="508">
        <v>1.889</v>
      </c>
      <c r="M7402" s="508">
        <v>2.3029999999999999</v>
      </c>
      <c r="N7402" s="508">
        <v>5.5369999999999999</v>
      </c>
      <c r="O7402" s="508">
        <v>5.0069999999999997</v>
      </c>
      <c r="P7402" s="508">
        <v>1.6830000000000001</v>
      </c>
      <c r="Q7402" s="508">
        <v>2.0150000000000001</v>
      </c>
      <c r="R7402" s="508">
        <v>1.8129999999999999</v>
      </c>
      <c r="S7402" s="508">
        <v>1.748</v>
      </c>
      <c r="T7402" s="508">
        <v>1.7689999999999999</v>
      </c>
      <c r="U7402" s="508">
        <v>0.92</v>
      </c>
      <c r="V7402" s="508">
        <v>1.03</v>
      </c>
      <c r="W7402" s="508">
        <v>0.753</v>
      </c>
      <c r="X7402" s="508">
        <v>0.64500000000000002</v>
      </c>
      <c r="Y7402" s="508">
        <v>0.64500000000000002</v>
      </c>
      <c r="Z7402" s="508">
        <v>0.64900000000000002</v>
      </c>
      <c r="AA7402" s="508">
        <v>9.8000000000000004E-2</v>
      </c>
      <c r="AB7402" s="508">
        <v>0.09</v>
      </c>
      <c r="AC7402" s="508">
        <v>8.8999999999999996E-2</v>
      </c>
      <c r="AD7402" s="508">
        <v>6.7000000000000004E-2</v>
      </c>
      <c r="AE7402" s="508">
        <v>6.5000000000000002E-2</v>
      </c>
      <c r="AF7402" s="508">
        <v>5.2999999999999999E-2</v>
      </c>
      <c r="AG7402" s="508">
        <v>5.2999999999999999E-2</v>
      </c>
      <c r="AH7402" s="508">
        <v>5.1999999999999998E-2</v>
      </c>
      <c r="AI7402" s="492">
        <v>5.0999999999999997E-2</v>
      </c>
      <c r="AJ7402" s="485"/>
    </row>
    <row r="7403" spans="2:36">
      <c r="B7403" s="136" t="s">
        <v>472</v>
      </c>
      <c r="C7403" s="132" t="s">
        <v>1368</v>
      </c>
      <c r="D7403" s="132" t="s">
        <v>1381</v>
      </c>
      <c r="E7403" s="508">
        <v>4.8140000000000001</v>
      </c>
      <c r="F7403" s="508">
        <v>2.9980000000000002</v>
      </c>
      <c r="G7403" s="508">
        <v>3.4359999999999999</v>
      </c>
      <c r="H7403" s="508">
        <v>3.7330000000000001</v>
      </c>
      <c r="I7403" s="508">
        <v>3.734</v>
      </c>
      <c r="J7403" s="508">
        <v>3.476</v>
      </c>
      <c r="K7403" s="508">
        <v>3.4710000000000001</v>
      </c>
      <c r="L7403" s="508">
        <v>1.88</v>
      </c>
      <c r="M7403" s="508">
        <v>2.2839999999999998</v>
      </c>
      <c r="N7403" s="508">
        <v>5.4260000000000002</v>
      </c>
      <c r="O7403" s="508">
        <v>4.9029999999999996</v>
      </c>
      <c r="P7403" s="508">
        <v>1.6870000000000001</v>
      </c>
      <c r="Q7403" s="508">
        <v>2.0350000000000001</v>
      </c>
      <c r="R7403" s="508">
        <v>1.819</v>
      </c>
      <c r="S7403" s="508">
        <v>1.7490000000000001</v>
      </c>
      <c r="T7403" s="508">
        <v>1.7709999999999999</v>
      </c>
      <c r="U7403" s="508">
        <v>0.94099999999999995</v>
      </c>
      <c r="V7403" s="508">
        <v>1.024</v>
      </c>
      <c r="W7403" s="508">
        <v>0.77100000000000002</v>
      </c>
      <c r="X7403" s="508">
        <v>0.66500000000000004</v>
      </c>
      <c r="Y7403" s="508">
        <v>0.65900000000000003</v>
      </c>
      <c r="Z7403" s="508">
        <v>0.65600000000000003</v>
      </c>
      <c r="AA7403" s="508">
        <v>0.125</v>
      </c>
      <c r="AB7403" s="508">
        <v>0.115</v>
      </c>
      <c r="AC7403" s="508">
        <v>0.114</v>
      </c>
      <c r="AD7403" s="508">
        <v>9.2999999999999999E-2</v>
      </c>
      <c r="AE7403" s="508">
        <v>8.8999999999999996E-2</v>
      </c>
      <c r="AF7403" s="508">
        <v>7.8E-2</v>
      </c>
      <c r="AG7403" s="508">
        <v>7.5999999999999998E-2</v>
      </c>
      <c r="AH7403" s="508">
        <v>7.4999999999999997E-2</v>
      </c>
      <c r="AI7403" s="492">
        <v>7.3999999999999996E-2</v>
      </c>
      <c r="AJ7403" s="485"/>
    </row>
    <row r="7404" spans="2:36">
      <c r="B7404" s="136" t="s">
        <v>473</v>
      </c>
      <c r="C7404" s="132" t="s">
        <v>1368</v>
      </c>
      <c r="D7404" s="132" t="s">
        <v>1381</v>
      </c>
      <c r="E7404" s="508">
        <v>5.1580000000000004</v>
      </c>
      <c r="F7404" s="508">
        <v>3.1760000000000002</v>
      </c>
      <c r="G7404" s="508">
        <v>3.6419999999999999</v>
      </c>
      <c r="H7404" s="508">
        <v>3.9580000000000002</v>
      </c>
      <c r="I7404" s="508">
        <v>3.9609999999999999</v>
      </c>
      <c r="J7404" s="508">
        <v>3.5990000000000002</v>
      </c>
      <c r="K7404" s="508">
        <v>3.5950000000000002</v>
      </c>
      <c r="L7404" s="508">
        <v>1.972</v>
      </c>
      <c r="M7404" s="508">
        <v>2.3860000000000001</v>
      </c>
      <c r="N7404" s="508">
        <v>5.6539999999999999</v>
      </c>
      <c r="O7404" s="508">
        <v>5.117</v>
      </c>
      <c r="P7404" s="508">
        <v>1.754</v>
      </c>
      <c r="Q7404" s="508">
        <v>2.0790000000000002</v>
      </c>
      <c r="R7404" s="508">
        <v>1.875</v>
      </c>
      <c r="S7404" s="508">
        <v>1.8080000000000001</v>
      </c>
      <c r="T7404" s="508">
        <v>1.8260000000000001</v>
      </c>
      <c r="U7404" s="508">
        <v>0.96899999999999997</v>
      </c>
      <c r="V7404" s="508">
        <v>1.0820000000000001</v>
      </c>
      <c r="W7404" s="508">
        <v>0.79700000000000004</v>
      </c>
      <c r="X7404" s="508">
        <v>0.68600000000000005</v>
      </c>
      <c r="Y7404" s="508">
        <v>0.68600000000000005</v>
      </c>
      <c r="Z7404" s="508">
        <v>0.68899999999999995</v>
      </c>
      <c r="AA7404" s="508">
        <v>0.113</v>
      </c>
      <c r="AB7404" s="508">
        <v>0.105</v>
      </c>
      <c r="AC7404" s="508">
        <v>0.10299999999999999</v>
      </c>
      <c r="AD7404" s="508">
        <v>0.08</v>
      </c>
      <c r="AE7404" s="508">
        <v>7.8E-2</v>
      </c>
      <c r="AF7404" s="508">
        <v>6.6000000000000003E-2</v>
      </c>
      <c r="AG7404" s="508">
        <v>6.5000000000000002E-2</v>
      </c>
      <c r="AH7404" s="508">
        <v>6.4000000000000001E-2</v>
      </c>
      <c r="AI7404" s="492">
        <v>6.3E-2</v>
      </c>
      <c r="AJ7404" s="485"/>
    </row>
    <row r="7405" spans="2:36">
      <c r="B7405" s="136" t="s">
        <v>474</v>
      </c>
      <c r="C7405" s="132" t="s">
        <v>1368</v>
      </c>
      <c r="D7405" s="132" t="s">
        <v>1381</v>
      </c>
      <c r="E7405" s="508">
        <v>4.9889999999999999</v>
      </c>
      <c r="F7405" s="508">
        <v>3.056</v>
      </c>
      <c r="G7405" s="508">
        <v>3.516</v>
      </c>
      <c r="H7405" s="508">
        <v>3.83</v>
      </c>
      <c r="I7405" s="508">
        <v>3.8370000000000002</v>
      </c>
      <c r="J7405" s="508">
        <v>3.51</v>
      </c>
      <c r="K7405" s="508">
        <v>3.5070000000000001</v>
      </c>
      <c r="L7405" s="508">
        <v>1.887</v>
      </c>
      <c r="M7405" s="508">
        <v>2.3039999999999998</v>
      </c>
      <c r="N7405" s="508">
        <v>5.5339999999999998</v>
      </c>
      <c r="O7405" s="508">
        <v>5.0039999999999996</v>
      </c>
      <c r="P7405" s="508">
        <v>1.681</v>
      </c>
      <c r="Q7405" s="508">
        <v>2.0190000000000001</v>
      </c>
      <c r="R7405" s="508">
        <v>1.8149999999999999</v>
      </c>
      <c r="S7405" s="508">
        <v>1.75</v>
      </c>
      <c r="T7405" s="508">
        <v>1.7709999999999999</v>
      </c>
      <c r="U7405" s="508">
        <v>0.92100000000000004</v>
      </c>
      <c r="V7405" s="508">
        <v>1.03</v>
      </c>
      <c r="W7405" s="508">
        <v>0.753</v>
      </c>
      <c r="X7405" s="508">
        <v>0.64500000000000002</v>
      </c>
      <c r="Y7405" s="508">
        <v>0.64500000000000002</v>
      </c>
      <c r="Z7405" s="508">
        <v>0.64800000000000002</v>
      </c>
      <c r="AA7405" s="508">
        <v>9.9000000000000005E-2</v>
      </c>
      <c r="AB7405" s="508">
        <v>0.09</v>
      </c>
      <c r="AC7405" s="508">
        <v>8.8999999999999996E-2</v>
      </c>
      <c r="AD7405" s="508">
        <v>6.8000000000000005E-2</v>
      </c>
      <c r="AE7405" s="508">
        <v>6.5000000000000002E-2</v>
      </c>
      <c r="AF7405" s="508">
        <v>5.3999999999999999E-2</v>
      </c>
      <c r="AG7405" s="508">
        <v>5.2999999999999999E-2</v>
      </c>
      <c r="AH7405" s="508">
        <v>5.1999999999999998E-2</v>
      </c>
      <c r="AI7405" s="492">
        <v>5.1999999999999998E-2</v>
      </c>
      <c r="AJ7405" s="485"/>
    </row>
    <row r="7406" spans="2:36">
      <c r="B7406" s="136" t="s">
        <v>475</v>
      </c>
      <c r="C7406" s="132" t="s">
        <v>1368</v>
      </c>
      <c r="D7406" s="132" t="s">
        <v>1381</v>
      </c>
      <c r="E7406" s="508">
        <v>4.9210000000000003</v>
      </c>
      <c r="F7406" s="508">
        <v>3.0289999999999999</v>
      </c>
      <c r="G7406" s="508">
        <v>3.48</v>
      </c>
      <c r="H7406" s="508">
        <v>3.7850000000000001</v>
      </c>
      <c r="I7406" s="508">
        <v>3.7869999999999999</v>
      </c>
      <c r="J7406" s="508">
        <v>3.4849999999999999</v>
      </c>
      <c r="K7406" s="508">
        <v>3.4809999999999999</v>
      </c>
      <c r="L7406" s="508">
        <v>1.873</v>
      </c>
      <c r="M7406" s="508">
        <v>2.2829999999999999</v>
      </c>
      <c r="N7406" s="508">
        <v>5.49</v>
      </c>
      <c r="O7406" s="508">
        <v>4.9610000000000003</v>
      </c>
      <c r="P7406" s="508">
        <v>1.6759999999999999</v>
      </c>
      <c r="Q7406" s="508">
        <v>2.0169999999999999</v>
      </c>
      <c r="R7406" s="508">
        <v>1.8069999999999999</v>
      </c>
      <c r="S7406" s="508">
        <v>1.7390000000000001</v>
      </c>
      <c r="T7406" s="508">
        <v>1.7609999999999999</v>
      </c>
      <c r="U7406" s="508">
        <v>0.92100000000000004</v>
      </c>
      <c r="V7406" s="508">
        <v>1.018</v>
      </c>
      <c r="W7406" s="508">
        <v>0.753</v>
      </c>
      <c r="X7406" s="508">
        <v>0.64600000000000002</v>
      </c>
      <c r="Y7406" s="508">
        <v>0.64400000000000002</v>
      </c>
      <c r="Z7406" s="508">
        <v>0.64500000000000002</v>
      </c>
      <c r="AA7406" s="508">
        <v>0.108</v>
      </c>
      <c r="AB7406" s="508">
        <v>9.9000000000000005E-2</v>
      </c>
      <c r="AC7406" s="508">
        <v>9.8000000000000004E-2</v>
      </c>
      <c r="AD7406" s="508">
        <v>7.6999999999999999E-2</v>
      </c>
      <c r="AE7406" s="508">
        <v>7.3999999999999996E-2</v>
      </c>
      <c r="AF7406" s="508">
        <v>6.2E-2</v>
      </c>
      <c r="AG7406" s="508">
        <v>6.0999999999999999E-2</v>
      </c>
      <c r="AH7406" s="508">
        <v>0.06</v>
      </c>
      <c r="AI7406" s="492">
        <v>0.06</v>
      </c>
      <c r="AJ7406" s="485"/>
    </row>
    <row r="7407" spans="2:36">
      <c r="B7407" s="136" t="s">
        <v>476</v>
      </c>
      <c r="C7407" s="132" t="s">
        <v>1368</v>
      </c>
      <c r="D7407" s="132" t="s">
        <v>1381</v>
      </c>
      <c r="E7407" s="508">
        <v>5.1059999999999999</v>
      </c>
      <c r="F7407" s="508">
        <v>3.1429999999999998</v>
      </c>
      <c r="G7407" s="508">
        <v>3.6070000000000002</v>
      </c>
      <c r="H7407" s="508">
        <v>3.9220000000000002</v>
      </c>
      <c r="I7407" s="508">
        <v>3.9249999999999998</v>
      </c>
      <c r="J7407" s="508">
        <v>3.5880000000000001</v>
      </c>
      <c r="K7407" s="508">
        <v>3.5830000000000002</v>
      </c>
      <c r="L7407" s="508">
        <v>1.9490000000000001</v>
      </c>
      <c r="M7407" s="508">
        <v>2.3660000000000001</v>
      </c>
      <c r="N7407" s="508">
        <v>5.6349999999999998</v>
      </c>
      <c r="O7407" s="508">
        <v>5.0960000000000001</v>
      </c>
      <c r="P7407" s="508">
        <v>1.7370000000000001</v>
      </c>
      <c r="Q7407" s="508">
        <v>2.0720000000000001</v>
      </c>
      <c r="R7407" s="508">
        <v>1.8640000000000001</v>
      </c>
      <c r="S7407" s="508">
        <v>1.796</v>
      </c>
      <c r="T7407" s="508">
        <v>1.8160000000000001</v>
      </c>
      <c r="U7407" s="508">
        <v>0.95799999999999996</v>
      </c>
      <c r="V7407" s="508">
        <v>1.0649999999999999</v>
      </c>
      <c r="W7407" s="508">
        <v>0.78600000000000003</v>
      </c>
      <c r="X7407" s="508">
        <v>0.67600000000000005</v>
      </c>
      <c r="Y7407" s="508">
        <v>0.67500000000000004</v>
      </c>
      <c r="Z7407" s="508">
        <v>0.67700000000000005</v>
      </c>
      <c r="AA7407" s="508">
        <v>0.112</v>
      </c>
      <c r="AB7407" s="508">
        <v>0.10299999999999999</v>
      </c>
      <c r="AC7407" s="508">
        <v>0.10199999999999999</v>
      </c>
      <c r="AD7407" s="508">
        <v>0.08</v>
      </c>
      <c r="AE7407" s="508">
        <v>7.6999999999999999E-2</v>
      </c>
      <c r="AF7407" s="508">
        <v>6.5000000000000002E-2</v>
      </c>
      <c r="AG7407" s="508">
        <v>6.4000000000000001E-2</v>
      </c>
      <c r="AH7407" s="508">
        <v>6.3E-2</v>
      </c>
      <c r="AI7407" s="492">
        <v>6.3E-2</v>
      </c>
      <c r="AJ7407" s="485"/>
    </row>
    <row r="7408" spans="2:36">
      <c r="B7408" s="136" t="s">
        <v>478</v>
      </c>
      <c r="C7408" s="132" t="s">
        <v>1368</v>
      </c>
      <c r="D7408" s="132" t="s">
        <v>1381</v>
      </c>
      <c r="E7408" s="508">
        <v>5.2190000000000003</v>
      </c>
      <c r="F7408" s="508">
        <v>3.2109999999999999</v>
      </c>
      <c r="G7408" s="508">
        <v>3.6829999999999998</v>
      </c>
      <c r="H7408" s="508">
        <v>4.0030000000000001</v>
      </c>
      <c r="I7408" s="508">
        <v>4.0060000000000002</v>
      </c>
      <c r="J7408" s="508">
        <v>3.6560000000000001</v>
      </c>
      <c r="K7408" s="508">
        <v>3.6509999999999998</v>
      </c>
      <c r="L7408" s="508">
        <v>1.9910000000000001</v>
      </c>
      <c r="M7408" s="508">
        <v>2.415</v>
      </c>
      <c r="N7408" s="508">
        <v>5.7370000000000001</v>
      </c>
      <c r="O7408" s="508">
        <v>5.19</v>
      </c>
      <c r="P7408" s="508">
        <v>1.7729999999999999</v>
      </c>
      <c r="Q7408" s="508">
        <v>2.1080000000000001</v>
      </c>
      <c r="R7408" s="508">
        <v>1.897</v>
      </c>
      <c r="S7408" s="508">
        <v>1.829</v>
      </c>
      <c r="T7408" s="508">
        <v>1.8480000000000001</v>
      </c>
      <c r="U7408" s="508">
        <v>0.97899999999999998</v>
      </c>
      <c r="V7408" s="508">
        <v>1.0880000000000001</v>
      </c>
      <c r="W7408" s="508">
        <v>0.80300000000000005</v>
      </c>
      <c r="X7408" s="508">
        <v>0.69099999999999995</v>
      </c>
      <c r="Y7408" s="508">
        <v>0.69</v>
      </c>
      <c r="Z7408" s="508">
        <v>0.69199999999999995</v>
      </c>
      <c r="AA7408" s="508">
        <v>0.115</v>
      </c>
      <c r="AB7408" s="508">
        <v>0.106</v>
      </c>
      <c r="AC7408" s="508">
        <v>0.105</v>
      </c>
      <c r="AD7408" s="508">
        <v>8.2000000000000003E-2</v>
      </c>
      <c r="AE7408" s="508">
        <v>0.08</v>
      </c>
      <c r="AF7408" s="508">
        <v>6.7000000000000004E-2</v>
      </c>
      <c r="AG7408" s="508">
        <v>6.6000000000000003E-2</v>
      </c>
      <c r="AH7408" s="508">
        <v>6.5000000000000002E-2</v>
      </c>
      <c r="AI7408" s="492">
        <v>6.5000000000000002E-2</v>
      </c>
      <c r="AJ7408" s="485"/>
    </row>
    <row r="7409" spans="2:36">
      <c r="B7409" s="136" t="s">
        <v>479</v>
      </c>
      <c r="C7409" s="132" t="s">
        <v>1368</v>
      </c>
      <c r="D7409" s="132" t="s">
        <v>1381</v>
      </c>
      <c r="E7409" s="508">
        <v>4.9669999999999996</v>
      </c>
      <c r="F7409" s="508">
        <v>3.0339999999999998</v>
      </c>
      <c r="G7409" s="508">
        <v>3.496</v>
      </c>
      <c r="H7409" s="508">
        <v>3.81</v>
      </c>
      <c r="I7409" s="508">
        <v>3.8170000000000002</v>
      </c>
      <c r="J7409" s="508">
        <v>3.5</v>
      </c>
      <c r="K7409" s="508">
        <v>3.4969999999999999</v>
      </c>
      <c r="L7409" s="508">
        <v>1.8660000000000001</v>
      </c>
      <c r="M7409" s="508">
        <v>2.286</v>
      </c>
      <c r="N7409" s="508">
        <v>5.5259999999999998</v>
      </c>
      <c r="O7409" s="508">
        <v>4.9950000000000001</v>
      </c>
      <c r="P7409" s="508">
        <v>1.6639999999999999</v>
      </c>
      <c r="Q7409" s="508">
        <v>2.008</v>
      </c>
      <c r="R7409" s="508">
        <v>1.802</v>
      </c>
      <c r="S7409" s="508">
        <v>1.7370000000000001</v>
      </c>
      <c r="T7409" s="508">
        <v>1.76</v>
      </c>
      <c r="U7409" s="508">
        <v>0.90700000000000003</v>
      </c>
      <c r="V7409" s="508">
        <v>1.014</v>
      </c>
      <c r="W7409" s="508">
        <v>0.74</v>
      </c>
      <c r="X7409" s="508">
        <v>0.63200000000000001</v>
      </c>
      <c r="Y7409" s="508">
        <v>0.63200000000000001</v>
      </c>
      <c r="Z7409" s="508">
        <v>0.63500000000000001</v>
      </c>
      <c r="AA7409" s="508">
        <v>9.4E-2</v>
      </c>
      <c r="AB7409" s="508">
        <v>8.5999999999999993E-2</v>
      </c>
      <c r="AC7409" s="508">
        <v>8.5000000000000006E-2</v>
      </c>
      <c r="AD7409" s="508">
        <v>6.4000000000000001E-2</v>
      </c>
      <c r="AE7409" s="508">
        <v>6.0999999999999999E-2</v>
      </c>
      <c r="AF7409" s="508">
        <v>0.05</v>
      </c>
      <c r="AG7409" s="508">
        <v>4.9000000000000002E-2</v>
      </c>
      <c r="AH7409" s="508">
        <v>4.8000000000000001E-2</v>
      </c>
      <c r="AI7409" s="492">
        <v>4.8000000000000001E-2</v>
      </c>
      <c r="AJ7409" s="485"/>
    </row>
    <row r="7410" spans="2:36">
      <c r="B7410" s="136" t="s">
        <v>480</v>
      </c>
      <c r="C7410" s="132" t="s">
        <v>1368</v>
      </c>
      <c r="D7410" s="132" t="s">
        <v>1381</v>
      </c>
      <c r="E7410" s="508">
        <v>4.7869999999999999</v>
      </c>
      <c r="F7410" s="508">
        <v>2.9660000000000002</v>
      </c>
      <c r="G7410" s="508">
        <v>3.4079999999999999</v>
      </c>
      <c r="H7410" s="508">
        <v>3.7080000000000002</v>
      </c>
      <c r="I7410" s="508">
        <v>3.7109999999999999</v>
      </c>
      <c r="J7410" s="508">
        <v>3.472</v>
      </c>
      <c r="K7410" s="508">
        <v>3.4670000000000001</v>
      </c>
      <c r="L7410" s="508">
        <v>1.8480000000000001</v>
      </c>
      <c r="M7410" s="508">
        <v>2.2610000000000001</v>
      </c>
      <c r="N7410" s="508">
        <v>5.4320000000000004</v>
      </c>
      <c r="O7410" s="508">
        <v>4.9039999999999999</v>
      </c>
      <c r="P7410" s="508">
        <v>1.661</v>
      </c>
      <c r="Q7410" s="508">
        <v>2.0230000000000001</v>
      </c>
      <c r="R7410" s="508">
        <v>1.802</v>
      </c>
      <c r="S7410" s="508">
        <v>1.732</v>
      </c>
      <c r="T7410" s="508">
        <v>1.7569999999999999</v>
      </c>
      <c r="U7410" s="508">
        <v>0.92</v>
      </c>
      <c r="V7410" s="508">
        <v>1</v>
      </c>
      <c r="W7410" s="508">
        <v>0.751</v>
      </c>
      <c r="X7410" s="508">
        <v>0.64500000000000002</v>
      </c>
      <c r="Y7410" s="508">
        <v>0.63900000000000001</v>
      </c>
      <c r="Z7410" s="508">
        <v>0.63600000000000001</v>
      </c>
      <c r="AA7410" s="508">
        <v>0.11700000000000001</v>
      </c>
      <c r="AB7410" s="508">
        <v>0.108</v>
      </c>
      <c r="AC7410" s="508">
        <v>0.107</v>
      </c>
      <c r="AD7410" s="508">
        <v>8.5999999999999993E-2</v>
      </c>
      <c r="AE7410" s="508">
        <v>8.2000000000000003E-2</v>
      </c>
      <c r="AF7410" s="508">
        <v>7.0999999999999994E-2</v>
      </c>
      <c r="AG7410" s="508">
        <v>6.9000000000000006E-2</v>
      </c>
      <c r="AH7410" s="508">
        <v>6.8000000000000005E-2</v>
      </c>
      <c r="AI7410" s="492">
        <v>6.7000000000000004E-2</v>
      </c>
      <c r="AJ7410" s="485"/>
    </row>
    <row r="7411" spans="2:36">
      <c r="B7411" s="136" t="s">
        <v>481</v>
      </c>
      <c r="C7411" s="132" t="s">
        <v>1368</v>
      </c>
      <c r="D7411" s="132" t="s">
        <v>1381</v>
      </c>
      <c r="E7411" s="508">
        <v>5.0250000000000004</v>
      </c>
      <c r="F7411" s="508">
        <v>3.0779999999999998</v>
      </c>
      <c r="G7411" s="508">
        <v>3.5409999999999999</v>
      </c>
      <c r="H7411" s="508">
        <v>3.8570000000000002</v>
      </c>
      <c r="I7411" s="508">
        <v>3.8620000000000001</v>
      </c>
      <c r="J7411" s="508">
        <v>3.5390000000000001</v>
      </c>
      <c r="K7411" s="508">
        <v>3.5350000000000001</v>
      </c>
      <c r="L7411" s="508">
        <v>1.899</v>
      </c>
      <c r="M7411" s="508">
        <v>2.319</v>
      </c>
      <c r="N7411" s="508">
        <v>5.5759999999999996</v>
      </c>
      <c r="O7411" s="508">
        <v>5.0410000000000004</v>
      </c>
      <c r="P7411" s="508">
        <v>1.6930000000000001</v>
      </c>
      <c r="Q7411" s="508">
        <v>2.0339999999999998</v>
      </c>
      <c r="R7411" s="508">
        <v>1.827</v>
      </c>
      <c r="S7411" s="508">
        <v>1.7609999999999999</v>
      </c>
      <c r="T7411" s="508">
        <v>1.7829999999999999</v>
      </c>
      <c r="U7411" s="508">
        <v>0.92700000000000005</v>
      </c>
      <c r="V7411" s="508">
        <v>1.034</v>
      </c>
      <c r="W7411" s="508">
        <v>0.75800000000000001</v>
      </c>
      <c r="X7411" s="508">
        <v>0.64900000000000002</v>
      </c>
      <c r="Y7411" s="508">
        <v>0.64800000000000002</v>
      </c>
      <c r="Z7411" s="508">
        <v>0.65100000000000002</v>
      </c>
      <c r="AA7411" s="508">
        <v>0.10100000000000001</v>
      </c>
      <c r="AB7411" s="508">
        <v>9.1999999999999998E-2</v>
      </c>
      <c r="AC7411" s="508">
        <v>9.0999999999999998E-2</v>
      </c>
      <c r="AD7411" s="508">
        <v>7.0000000000000007E-2</v>
      </c>
      <c r="AE7411" s="508">
        <v>6.7000000000000004E-2</v>
      </c>
      <c r="AF7411" s="508">
        <v>5.5E-2</v>
      </c>
      <c r="AG7411" s="508">
        <v>5.5E-2</v>
      </c>
      <c r="AH7411" s="508">
        <v>5.3999999999999999E-2</v>
      </c>
      <c r="AI7411" s="492">
        <v>5.2999999999999999E-2</v>
      </c>
      <c r="AJ7411" s="485"/>
    </row>
    <row r="7412" spans="2:36">
      <c r="B7412" s="136" t="s">
        <v>482</v>
      </c>
      <c r="C7412" s="132" t="s">
        <v>1368</v>
      </c>
      <c r="D7412" s="132" t="s">
        <v>1381</v>
      </c>
      <c r="E7412" s="508">
        <v>4.9909999999999997</v>
      </c>
      <c r="F7412" s="508">
        <v>3.04</v>
      </c>
      <c r="G7412" s="508">
        <v>3.5070000000000001</v>
      </c>
      <c r="H7412" s="508">
        <v>3.827</v>
      </c>
      <c r="I7412" s="508">
        <v>3.8359999999999999</v>
      </c>
      <c r="J7412" s="508">
        <v>3.5219999999999998</v>
      </c>
      <c r="K7412" s="508">
        <v>3.5190000000000001</v>
      </c>
      <c r="L7412" s="508">
        <v>1.8680000000000001</v>
      </c>
      <c r="M7412" s="508">
        <v>2.2949999999999999</v>
      </c>
      <c r="N7412" s="508">
        <v>5.5609999999999999</v>
      </c>
      <c r="O7412" s="508">
        <v>5.0270000000000001</v>
      </c>
      <c r="P7412" s="508">
        <v>1.665</v>
      </c>
      <c r="Q7412" s="508">
        <v>2.012</v>
      </c>
      <c r="R7412" s="508">
        <v>1.806</v>
      </c>
      <c r="S7412" s="508">
        <v>1.7410000000000001</v>
      </c>
      <c r="T7412" s="508">
        <v>1.7649999999999999</v>
      </c>
      <c r="U7412" s="508">
        <v>0.90600000000000003</v>
      </c>
      <c r="V7412" s="508">
        <v>1.0149999999999999</v>
      </c>
      <c r="W7412" s="508">
        <v>0.73799999999999999</v>
      </c>
      <c r="X7412" s="508">
        <v>0.629</v>
      </c>
      <c r="Y7412" s="508">
        <v>0.63</v>
      </c>
      <c r="Z7412" s="508">
        <v>0.63300000000000001</v>
      </c>
      <c r="AA7412" s="508">
        <v>0.09</v>
      </c>
      <c r="AB7412" s="508">
        <v>8.2000000000000003E-2</v>
      </c>
      <c r="AC7412" s="508">
        <v>8.1000000000000003E-2</v>
      </c>
      <c r="AD7412" s="508">
        <v>5.8999999999999997E-2</v>
      </c>
      <c r="AE7412" s="508">
        <v>5.7000000000000002E-2</v>
      </c>
      <c r="AF7412" s="508">
        <v>4.5999999999999999E-2</v>
      </c>
      <c r="AG7412" s="508">
        <v>4.4999999999999998E-2</v>
      </c>
      <c r="AH7412" s="508">
        <v>4.3999999999999997E-2</v>
      </c>
      <c r="AI7412" s="492">
        <v>4.3999999999999997E-2</v>
      </c>
      <c r="AJ7412" s="485"/>
    </row>
    <row r="7413" spans="2:36">
      <c r="B7413" s="136" t="s">
        <v>483</v>
      </c>
      <c r="C7413" s="132" t="s">
        <v>1368</v>
      </c>
      <c r="D7413" s="132" t="s">
        <v>1381</v>
      </c>
      <c r="E7413" s="508">
        <v>5.2110000000000003</v>
      </c>
      <c r="F7413" s="508">
        <v>3.2080000000000002</v>
      </c>
      <c r="G7413" s="508">
        <v>3.68</v>
      </c>
      <c r="H7413" s="508">
        <v>4</v>
      </c>
      <c r="I7413" s="508">
        <v>4.0039999999999996</v>
      </c>
      <c r="J7413" s="508">
        <v>3.6509999999999998</v>
      </c>
      <c r="K7413" s="508">
        <v>3.6469999999999998</v>
      </c>
      <c r="L7413" s="508">
        <v>1.9930000000000001</v>
      </c>
      <c r="M7413" s="508">
        <v>2.415</v>
      </c>
      <c r="N7413" s="508">
        <v>5.7240000000000002</v>
      </c>
      <c r="O7413" s="508">
        <v>5.1790000000000003</v>
      </c>
      <c r="P7413" s="508">
        <v>1.774</v>
      </c>
      <c r="Q7413" s="508">
        <v>2.1070000000000002</v>
      </c>
      <c r="R7413" s="508">
        <v>1.8979999999999999</v>
      </c>
      <c r="S7413" s="508">
        <v>1.83</v>
      </c>
      <c r="T7413" s="508">
        <v>1.849</v>
      </c>
      <c r="U7413" s="508">
        <v>0.98</v>
      </c>
      <c r="V7413" s="508">
        <v>1.091</v>
      </c>
      <c r="W7413" s="508">
        <v>0.80600000000000005</v>
      </c>
      <c r="X7413" s="508">
        <v>0.69399999999999995</v>
      </c>
      <c r="Y7413" s="508">
        <v>0.69299999999999995</v>
      </c>
      <c r="Z7413" s="508">
        <v>0.69499999999999995</v>
      </c>
      <c r="AA7413" s="508">
        <v>0.11600000000000001</v>
      </c>
      <c r="AB7413" s="508">
        <v>0.107</v>
      </c>
      <c r="AC7413" s="508">
        <v>0.105</v>
      </c>
      <c r="AD7413" s="508">
        <v>8.3000000000000004E-2</v>
      </c>
      <c r="AE7413" s="508">
        <v>0.08</v>
      </c>
      <c r="AF7413" s="508">
        <v>6.8000000000000005E-2</v>
      </c>
      <c r="AG7413" s="508">
        <v>6.7000000000000004E-2</v>
      </c>
      <c r="AH7413" s="508">
        <v>6.6000000000000003E-2</v>
      </c>
      <c r="AI7413" s="492">
        <v>6.5000000000000002E-2</v>
      </c>
      <c r="AJ7413" s="485"/>
    </row>
    <row r="7414" spans="2:36">
      <c r="B7414" s="136" t="s">
        <v>484</v>
      </c>
      <c r="C7414" s="132" t="s">
        <v>1368</v>
      </c>
      <c r="D7414" s="132" t="s">
        <v>1381</v>
      </c>
      <c r="E7414" s="508">
        <v>4.7770000000000001</v>
      </c>
      <c r="F7414" s="508">
        <v>2.964</v>
      </c>
      <c r="G7414" s="508">
        <v>3.4020000000000001</v>
      </c>
      <c r="H7414" s="508">
        <v>3.698</v>
      </c>
      <c r="I7414" s="508">
        <v>3.7</v>
      </c>
      <c r="J7414" s="508">
        <v>3.448</v>
      </c>
      <c r="K7414" s="508">
        <v>3.4430000000000001</v>
      </c>
      <c r="L7414" s="508">
        <v>1.8480000000000001</v>
      </c>
      <c r="M7414" s="508">
        <v>2.254</v>
      </c>
      <c r="N7414" s="508">
        <v>5.4009999999999998</v>
      </c>
      <c r="O7414" s="508">
        <v>4.8780000000000001</v>
      </c>
      <c r="P7414" s="508">
        <v>1.661</v>
      </c>
      <c r="Q7414" s="508">
        <v>2.012</v>
      </c>
      <c r="R7414" s="508">
        <v>1.796</v>
      </c>
      <c r="S7414" s="508">
        <v>1.7270000000000001</v>
      </c>
      <c r="T7414" s="508">
        <v>1.75</v>
      </c>
      <c r="U7414" s="508">
        <v>0.92100000000000004</v>
      </c>
      <c r="V7414" s="508">
        <v>1.0029999999999999</v>
      </c>
      <c r="W7414" s="508">
        <v>0.753</v>
      </c>
      <c r="X7414" s="508">
        <v>0.64700000000000002</v>
      </c>
      <c r="Y7414" s="508">
        <v>0.64200000000000002</v>
      </c>
      <c r="Z7414" s="508">
        <v>0.63900000000000001</v>
      </c>
      <c r="AA7414" s="508">
        <v>0.11799999999999999</v>
      </c>
      <c r="AB7414" s="508">
        <v>0.109</v>
      </c>
      <c r="AC7414" s="508">
        <v>0.108</v>
      </c>
      <c r="AD7414" s="508">
        <v>8.6999999999999994E-2</v>
      </c>
      <c r="AE7414" s="508">
        <v>8.3000000000000004E-2</v>
      </c>
      <c r="AF7414" s="508">
        <v>7.1999999999999995E-2</v>
      </c>
      <c r="AG7414" s="508">
        <v>7.0999999999999994E-2</v>
      </c>
      <c r="AH7414" s="508">
        <v>6.9000000000000006E-2</v>
      </c>
      <c r="AI7414" s="492">
        <v>6.9000000000000006E-2</v>
      </c>
      <c r="AJ7414" s="485"/>
    </row>
    <row r="7415" spans="2:36">
      <c r="B7415" s="136" t="s">
        <v>486</v>
      </c>
      <c r="C7415" s="132" t="s">
        <v>1368</v>
      </c>
      <c r="D7415" s="132" t="s">
        <v>1381</v>
      </c>
      <c r="E7415" s="508">
        <v>5.0389999999999997</v>
      </c>
      <c r="F7415" s="508">
        <v>3.089</v>
      </c>
      <c r="G7415" s="508">
        <v>3.5529999999999999</v>
      </c>
      <c r="H7415" s="508">
        <v>3.8679999999999999</v>
      </c>
      <c r="I7415" s="508">
        <v>3.8719999999999999</v>
      </c>
      <c r="J7415" s="508">
        <v>3.552</v>
      </c>
      <c r="K7415" s="508">
        <v>3.548</v>
      </c>
      <c r="L7415" s="508">
        <v>1.907</v>
      </c>
      <c r="M7415" s="508">
        <v>2.3279999999999998</v>
      </c>
      <c r="N7415" s="508">
        <v>5.593</v>
      </c>
      <c r="O7415" s="508">
        <v>5.056</v>
      </c>
      <c r="P7415" s="508">
        <v>1.7010000000000001</v>
      </c>
      <c r="Q7415" s="508">
        <v>2.044</v>
      </c>
      <c r="R7415" s="508">
        <v>1.8340000000000001</v>
      </c>
      <c r="S7415" s="508">
        <v>1.768</v>
      </c>
      <c r="T7415" s="508">
        <v>1.79</v>
      </c>
      <c r="U7415" s="508">
        <v>0.93300000000000005</v>
      </c>
      <c r="V7415" s="508">
        <v>1.0369999999999999</v>
      </c>
      <c r="W7415" s="508">
        <v>0.76300000000000001</v>
      </c>
      <c r="X7415" s="508">
        <v>0.65300000000000002</v>
      </c>
      <c r="Y7415" s="508">
        <v>0.65200000000000002</v>
      </c>
      <c r="Z7415" s="508">
        <v>0.65400000000000003</v>
      </c>
      <c r="AA7415" s="508">
        <v>0.104</v>
      </c>
      <c r="AB7415" s="508">
        <v>9.5000000000000001E-2</v>
      </c>
      <c r="AC7415" s="508">
        <v>9.4E-2</v>
      </c>
      <c r="AD7415" s="508">
        <v>7.1999999999999995E-2</v>
      </c>
      <c r="AE7415" s="508">
        <v>7.0000000000000007E-2</v>
      </c>
      <c r="AF7415" s="508">
        <v>5.8000000000000003E-2</v>
      </c>
      <c r="AG7415" s="508">
        <v>5.7000000000000002E-2</v>
      </c>
      <c r="AH7415" s="508">
        <v>5.6000000000000001E-2</v>
      </c>
      <c r="AI7415" s="492">
        <v>5.6000000000000001E-2</v>
      </c>
      <c r="AJ7415" s="485"/>
    </row>
    <row r="7416" spans="2:36">
      <c r="B7416" s="136" t="s">
        <v>487</v>
      </c>
      <c r="C7416" s="132" t="s">
        <v>1368</v>
      </c>
      <c r="D7416" s="132" t="s">
        <v>1381</v>
      </c>
      <c r="E7416" s="508">
        <v>5.0650000000000004</v>
      </c>
      <c r="F7416" s="508">
        <v>3.1160000000000001</v>
      </c>
      <c r="G7416" s="508">
        <v>3.5790000000000002</v>
      </c>
      <c r="H7416" s="508">
        <v>3.8919999999999999</v>
      </c>
      <c r="I7416" s="508">
        <v>3.8940000000000001</v>
      </c>
      <c r="J7416" s="508">
        <v>3.585</v>
      </c>
      <c r="K7416" s="508">
        <v>3.58</v>
      </c>
      <c r="L7416" s="508">
        <v>1.927</v>
      </c>
      <c r="M7416" s="508">
        <v>2.3490000000000002</v>
      </c>
      <c r="N7416" s="508">
        <v>5.633</v>
      </c>
      <c r="O7416" s="508">
        <v>5.09</v>
      </c>
      <c r="P7416" s="508">
        <v>1.7230000000000001</v>
      </c>
      <c r="Q7416" s="508">
        <v>2.0699999999999998</v>
      </c>
      <c r="R7416" s="508">
        <v>1.8540000000000001</v>
      </c>
      <c r="S7416" s="508">
        <v>1.7849999999999999</v>
      </c>
      <c r="T7416" s="508">
        <v>1.8069999999999999</v>
      </c>
      <c r="U7416" s="508">
        <v>0.94899999999999995</v>
      </c>
      <c r="V7416" s="508">
        <v>1.046</v>
      </c>
      <c r="W7416" s="508">
        <v>0.77600000000000002</v>
      </c>
      <c r="X7416" s="508">
        <v>0.66600000000000004</v>
      </c>
      <c r="Y7416" s="508">
        <v>0.66300000000000003</v>
      </c>
      <c r="Z7416" s="508">
        <v>0.66400000000000003</v>
      </c>
      <c r="AA7416" s="508">
        <v>0.113</v>
      </c>
      <c r="AB7416" s="508">
        <v>0.104</v>
      </c>
      <c r="AC7416" s="508">
        <v>0.10199999999999999</v>
      </c>
      <c r="AD7416" s="508">
        <v>8.1000000000000003E-2</v>
      </c>
      <c r="AE7416" s="508">
        <v>7.8E-2</v>
      </c>
      <c r="AF7416" s="508">
        <v>6.6000000000000003E-2</v>
      </c>
      <c r="AG7416" s="508">
        <v>6.5000000000000002E-2</v>
      </c>
      <c r="AH7416" s="508">
        <v>6.4000000000000001E-2</v>
      </c>
      <c r="AI7416" s="492">
        <v>6.3E-2</v>
      </c>
      <c r="AJ7416" s="485"/>
    </row>
    <row r="7417" spans="2:36">
      <c r="B7417" s="136" t="s">
        <v>488</v>
      </c>
      <c r="C7417" s="132" t="s">
        <v>1368</v>
      </c>
      <c r="D7417" s="132" t="s">
        <v>1381</v>
      </c>
      <c r="E7417" s="508">
        <v>4.819</v>
      </c>
      <c r="F7417" s="508">
        <v>2.9660000000000002</v>
      </c>
      <c r="G7417" s="508">
        <v>3.4129999999999998</v>
      </c>
      <c r="H7417" s="508">
        <v>3.7160000000000002</v>
      </c>
      <c r="I7417" s="508">
        <v>3.7189999999999999</v>
      </c>
      <c r="J7417" s="508">
        <v>3.4550000000000001</v>
      </c>
      <c r="K7417" s="508">
        <v>3.4510000000000001</v>
      </c>
      <c r="L7417" s="508">
        <v>1.8340000000000001</v>
      </c>
      <c r="M7417" s="508">
        <v>2.2480000000000002</v>
      </c>
      <c r="N7417" s="508">
        <v>5.4370000000000003</v>
      </c>
      <c r="O7417" s="508">
        <v>4.9089999999999998</v>
      </c>
      <c r="P7417" s="508">
        <v>1.6459999999999999</v>
      </c>
      <c r="Q7417" s="508">
        <v>2</v>
      </c>
      <c r="R7417" s="508">
        <v>1.7849999999999999</v>
      </c>
      <c r="S7417" s="508">
        <v>1.7170000000000001</v>
      </c>
      <c r="T7417" s="508">
        <v>1.742</v>
      </c>
      <c r="U7417" s="508">
        <v>0.90400000000000003</v>
      </c>
      <c r="V7417" s="508">
        <v>0.99199999999999999</v>
      </c>
      <c r="W7417" s="508">
        <v>0.73599999999999999</v>
      </c>
      <c r="X7417" s="508">
        <v>0.63</v>
      </c>
      <c r="Y7417" s="508">
        <v>0.627</v>
      </c>
      <c r="Z7417" s="508">
        <v>0.626</v>
      </c>
      <c r="AA7417" s="508">
        <v>0.106</v>
      </c>
      <c r="AB7417" s="508">
        <v>9.7000000000000003E-2</v>
      </c>
      <c r="AC7417" s="508">
        <v>9.6000000000000002E-2</v>
      </c>
      <c r="AD7417" s="508">
        <v>7.4999999999999997E-2</v>
      </c>
      <c r="AE7417" s="508">
        <v>7.1999999999999995E-2</v>
      </c>
      <c r="AF7417" s="508">
        <v>6.0999999999999999E-2</v>
      </c>
      <c r="AG7417" s="508">
        <v>0.06</v>
      </c>
      <c r="AH7417" s="508">
        <v>5.8999999999999997E-2</v>
      </c>
      <c r="AI7417" s="492">
        <v>5.8000000000000003E-2</v>
      </c>
      <c r="AJ7417" s="485"/>
    </row>
    <row r="7418" spans="2:36">
      <c r="B7418" s="136" t="s">
        <v>489</v>
      </c>
      <c r="C7418" s="132" t="s">
        <v>1368</v>
      </c>
      <c r="D7418" s="132" t="s">
        <v>1381</v>
      </c>
      <c r="E7418" s="508">
        <v>4.952</v>
      </c>
      <c r="F7418" s="508">
        <v>3.0659999999999998</v>
      </c>
      <c r="G7418" s="508">
        <v>3.516</v>
      </c>
      <c r="H7418" s="508">
        <v>3.8220000000000001</v>
      </c>
      <c r="I7418" s="508">
        <v>3.8239999999999998</v>
      </c>
      <c r="J7418" s="508">
        <v>3.5289999999999999</v>
      </c>
      <c r="K7418" s="508">
        <v>3.524</v>
      </c>
      <c r="L7418" s="508">
        <v>1.9119999999999999</v>
      </c>
      <c r="M7418" s="508">
        <v>2.3220000000000001</v>
      </c>
      <c r="N7418" s="508">
        <v>5.5279999999999996</v>
      </c>
      <c r="O7418" s="508">
        <v>4.9969999999999999</v>
      </c>
      <c r="P7418" s="508">
        <v>1.7110000000000001</v>
      </c>
      <c r="Q7418" s="508">
        <v>2.052</v>
      </c>
      <c r="R7418" s="508">
        <v>1.84</v>
      </c>
      <c r="S7418" s="508">
        <v>1.7709999999999999</v>
      </c>
      <c r="T7418" s="508">
        <v>1.792</v>
      </c>
      <c r="U7418" s="508">
        <v>0.94899999999999995</v>
      </c>
      <c r="V7418" s="508">
        <v>1.042</v>
      </c>
      <c r="W7418" s="508">
        <v>0.77800000000000002</v>
      </c>
      <c r="X7418" s="508">
        <v>0.67</v>
      </c>
      <c r="Y7418" s="508">
        <v>0.66600000000000004</v>
      </c>
      <c r="Z7418" s="508">
        <v>0.66500000000000004</v>
      </c>
      <c r="AA7418" s="508">
        <v>0.11899999999999999</v>
      </c>
      <c r="AB7418" s="508">
        <v>0.11</v>
      </c>
      <c r="AC7418" s="508">
        <v>0.108</v>
      </c>
      <c r="AD7418" s="508">
        <v>8.6999999999999994E-2</v>
      </c>
      <c r="AE7418" s="508">
        <v>8.4000000000000005E-2</v>
      </c>
      <c r="AF7418" s="508">
        <v>7.1999999999999995E-2</v>
      </c>
      <c r="AG7418" s="508">
        <v>7.0999999999999994E-2</v>
      </c>
      <c r="AH7418" s="508">
        <v>6.9000000000000006E-2</v>
      </c>
      <c r="AI7418" s="492">
        <v>6.9000000000000006E-2</v>
      </c>
      <c r="AJ7418" s="485"/>
    </row>
    <row r="7419" spans="2:36">
      <c r="B7419" s="136" t="s">
        <v>490</v>
      </c>
      <c r="C7419" s="132" t="s">
        <v>1368</v>
      </c>
      <c r="D7419" s="132" t="s">
        <v>1381</v>
      </c>
      <c r="E7419" s="508">
        <v>4.8390000000000004</v>
      </c>
      <c r="F7419" s="508">
        <v>3</v>
      </c>
      <c r="G7419" s="508">
        <v>3.4460000000000002</v>
      </c>
      <c r="H7419" s="508">
        <v>3.7469999999999999</v>
      </c>
      <c r="I7419" s="508">
        <v>3.7490000000000001</v>
      </c>
      <c r="J7419" s="508">
        <v>3.504</v>
      </c>
      <c r="K7419" s="508">
        <v>3.5</v>
      </c>
      <c r="L7419" s="508">
        <v>1.87</v>
      </c>
      <c r="M7419" s="508">
        <v>2.2850000000000001</v>
      </c>
      <c r="N7419" s="508">
        <v>5.476</v>
      </c>
      <c r="O7419" s="508">
        <v>4.9450000000000003</v>
      </c>
      <c r="P7419" s="508">
        <v>1.68</v>
      </c>
      <c r="Q7419" s="508">
        <v>2.0419999999999998</v>
      </c>
      <c r="R7419" s="508">
        <v>1.82</v>
      </c>
      <c r="S7419" s="508">
        <v>1.75</v>
      </c>
      <c r="T7419" s="508">
        <v>1.774</v>
      </c>
      <c r="U7419" s="508">
        <v>0.93200000000000005</v>
      </c>
      <c r="V7419" s="508">
        <v>1.012</v>
      </c>
      <c r="W7419" s="508">
        <v>0.76100000000000001</v>
      </c>
      <c r="X7419" s="508">
        <v>0.65400000000000003</v>
      </c>
      <c r="Y7419" s="508">
        <v>0.64800000000000002</v>
      </c>
      <c r="Z7419" s="508">
        <v>0.64500000000000002</v>
      </c>
      <c r="AA7419" s="508">
        <v>0.12</v>
      </c>
      <c r="AB7419" s="508">
        <v>0.11</v>
      </c>
      <c r="AC7419" s="508">
        <v>0.109</v>
      </c>
      <c r="AD7419" s="508">
        <v>8.7999999999999995E-2</v>
      </c>
      <c r="AE7419" s="508">
        <v>8.5000000000000006E-2</v>
      </c>
      <c r="AF7419" s="508">
        <v>7.2999999999999995E-2</v>
      </c>
      <c r="AG7419" s="508">
        <v>7.1999999999999995E-2</v>
      </c>
      <c r="AH7419" s="508">
        <v>7.0000000000000007E-2</v>
      </c>
      <c r="AI7419" s="492">
        <v>7.0000000000000007E-2</v>
      </c>
      <c r="AJ7419" s="485"/>
    </row>
    <row r="7420" spans="2:36">
      <c r="B7420" s="136" t="s">
        <v>435</v>
      </c>
      <c r="C7420" s="132" t="s">
        <v>1369</v>
      </c>
      <c r="D7420" s="132" t="s">
        <v>1381</v>
      </c>
      <c r="E7420" s="508">
        <v>5.5780000000000003</v>
      </c>
      <c r="F7420" s="508">
        <v>3.1720000000000002</v>
      </c>
      <c r="G7420" s="508">
        <v>3.1629999999999998</v>
      </c>
      <c r="H7420" s="508">
        <v>3.1859999999999999</v>
      </c>
      <c r="I7420" s="508">
        <v>3.1930000000000001</v>
      </c>
      <c r="J7420" s="508">
        <v>2.9620000000000002</v>
      </c>
      <c r="K7420" s="508">
        <v>2.9460000000000002</v>
      </c>
      <c r="L7420" s="508">
        <v>2.92</v>
      </c>
      <c r="M7420" s="508">
        <v>2.883</v>
      </c>
      <c r="N7420" s="508">
        <v>5.1630000000000003</v>
      </c>
      <c r="O7420" s="508">
        <v>5.0540000000000003</v>
      </c>
      <c r="P7420" s="508">
        <v>1.9359999999999999</v>
      </c>
      <c r="Q7420" s="508">
        <v>2.0550000000000002</v>
      </c>
      <c r="R7420" s="508">
        <v>1.9810000000000001</v>
      </c>
      <c r="S7420" s="508">
        <v>1.913</v>
      </c>
      <c r="T7420" s="508">
        <v>1.8480000000000001</v>
      </c>
      <c r="U7420" s="508">
        <v>0.54</v>
      </c>
      <c r="V7420" s="508">
        <v>0.51400000000000001</v>
      </c>
      <c r="W7420" s="508">
        <v>0.52900000000000003</v>
      </c>
      <c r="X7420" s="508">
        <v>0.30399999999999999</v>
      </c>
      <c r="Y7420" s="508">
        <v>0.245</v>
      </c>
      <c r="Z7420" s="508">
        <v>0.16300000000000001</v>
      </c>
      <c r="AA7420" s="508">
        <v>0.15</v>
      </c>
      <c r="AB7420" s="508">
        <v>0.11700000000000001</v>
      </c>
      <c r="AC7420" s="508">
        <v>0.107</v>
      </c>
      <c r="AD7420" s="508">
        <v>7.8E-2</v>
      </c>
      <c r="AE7420" s="508">
        <v>7.5999999999999998E-2</v>
      </c>
      <c r="AF7420" s="508">
        <v>4.2999999999999997E-2</v>
      </c>
      <c r="AG7420" s="508">
        <v>4.1000000000000002E-2</v>
      </c>
      <c r="AH7420" s="508">
        <v>4.1000000000000002E-2</v>
      </c>
      <c r="AI7420" s="492">
        <v>0.04</v>
      </c>
      <c r="AJ7420" s="485"/>
    </row>
    <row r="7421" spans="2:36">
      <c r="B7421" s="136" t="s">
        <v>436</v>
      </c>
      <c r="C7421" s="132" t="s">
        <v>1369</v>
      </c>
      <c r="D7421" s="132" t="s">
        <v>1381</v>
      </c>
      <c r="E7421" s="508">
        <v>6.0880000000000001</v>
      </c>
      <c r="F7421" s="508">
        <v>3.19</v>
      </c>
      <c r="G7421" s="508">
        <v>3.1739999999999999</v>
      </c>
      <c r="H7421" s="508">
        <v>3.194</v>
      </c>
      <c r="I7421" s="508">
        <v>3.1949999999999998</v>
      </c>
      <c r="J7421" s="508">
        <v>3.1110000000000002</v>
      </c>
      <c r="K7421" s="508">
        <v>3.0920000000000001</v>
      </c>
      <c r="L7421" s="508">
        <v>3.056</v>
      </c>
      <c r="M7421" s="508">
        <v>3.0110000000000001</v>
      </c>
      <c r="N7421" s="508">
        <v>4.88</v>
      </c>
      <c r="O7421" s="508">
        <v>4.7670000000000003</v>
      </c>
      <c r="P7421" s="508">
        <v>2.1840000000000002</v>
      </c>
      <c r="Q7421" s="508">
        <v>2.2669999999999999</v>
      </c>
      <c r="R7421" s="508">
        <v>2.181</v>
      </c>
      <c r="S7421" s="508">
        <v>2.105</v>
      </c>
      <c r="T7421" s="508">
        <v>2.0259999999999998</v>
      </c>
      <c r="U7421" s="508">
        <v>0.80200000000000005</v>
      </c>
      <c r="V7421" s="508">
        <v>0.76500000000000001</v>
      </c>
      <c r="W7421" s="508">
        <v>0.76300000000000001</v>
      </c>
      <c r="X7421" s="508">
        <v>0.54700000000000004</v>
      </c>
      <c r="Y7421" s="508">
        <v>0.48199999999999998</v>
      </c>
      <c r="Z7421" s="508">
        <v>0.29199999999999998</v>
      </c>
      <c r="AA7421" s="508">
        <v>0.27400000000000002</v>
      </c>
      <c r="AB7421" s="508">
        <v>0.23799999999999999</v>
      </c>
      <c r="AC7421" s="508">
        <v>0.224</v>
      </c>
      <c r="AD7421" s="508">
        <v>0.17799999999999999</v>
      </c>
      <c r="AE7421" s="508">
        <v>0.159</v>
      </c>
      <c r="AF7421" s="508">
        <v>0.112</v>
      </c>
      <c r="AG7421" s="508">
        <v>9.9000000000000005E-2</v>
      </c>
      <c r="AH7421" s="508">
        <v>9.7000000000000003E-2</v>
      </c>
      <c r="AI7421" s="492">
        <v>9.5000000000000001E-2</v>
      </c>
      <c r="AJ7421" s="485"/>
    </row>
    <row r="7422" spans="2:36">
      <c r="B7422" s="136" t="s">
        <v>437</v>
      </c>
      <c r="C7422" s="132" t="s">
        <v>1369</v>
      </c>
      <c r="D7422" s="132" t="s">
        <v>1381</v>
      </c>
      <c r="E7422" s="508">
        <v>3.9009999999999998</v>
      </c>
      <c r="F7422" s="508">
        <v>2.2109999999999999</v>
      </c>
      <c r="G7422" s="508">
        <v>2.194</v>
      </c>
      <c r="H7422" s="508">
        <v>2.21</v>
      </c>
      <c r="I7422" s="508">
        <v>2.2170000000000001</v>
      </c>
      <c r="J7422" s="508">
        <v>2.0649999999999999</v>
      </c>
      <c r="K7422" s="508">
        <v>2.0569999999999999</v>
      </c>
      <c r="L7422" s="508">
        <v>2.0390000000000001</v>
      </c>
      <c r="M7422" s="508">
        <v>2.0169999999999999</v>
      </c>
      <c r="N7422" s="508">
        <v>3.66</v>
      </c>
      <c r="O7422" s="508">
        <v>3.5779999999999998</v>
      </c>
      <c r="P7422" s="508">
        <v>1.623</v>
      </c>
      <c r="Q7422" s="508">
        <v>1.718</v>
      </c>
      <c r="R7422" s="508">
        <v>1.651</v>
      </c>
      <c r="S7422" s="508">
        <v>1.5980000000000001</v>
      </c>
      <c r="T7422" s="508">
        <v>1.5409999999999999</v>
      </c>
      <c r="U7422" s="508">
        <v>0.433</v>
      </c>
      <c r="V7422" s="508">
        <v>0.41299999999999998</v>
      </c>
      <c r="W7422" s="508">
        <v>0.42299999999999999</v>
      </c>
      <c r="X7422" s="508">
        <v>0.247</v>
      </c>
      <c r="Y7422" s="508">
        <v>0.19800000000000001</v>
      </c>
      <c r="Z7422" s="508">
        <v>0.13600000000000001</v>
      </c>
      <c r="AA7422" s="508">
        <v>0.124</v>
      </c>
      <c r="AB7422" s="508">
        <v>9.6000000000000002E-2</v>
      </c>
      <c r="AC7422" s="508">
        <v>8.6999999999999994E-2</v>
      </c>
      <c r="AD7422" s="508">
        <v>6.7000000000000004E-2</v>
      </c>
      <c r="AE7422" s="508">
        <v>6.5000000000000002E-2</v>
      </c>
      <c r="AF7422" s="508">
        <v>3.9E-2</v>
      </c>
      <c r="AG7422" s="508">
        <v>3.7999999999999999E-2</v>
      </c>
      <c r="AH7422" s="508">
        <v>3.6999999999999998E-2</v>
      </c>
      <c r="AI7422" s="492">
        <v>3.5999999999999997E-2</v>
      </c>
      <c r="AJ7422" s="485"/>
    </row>
    <row r="7423" spans="2:36">
      <c r="B7423" s="136" t="s">
        <v>438</v>
      </c>
      <c r="C7423" s="132" t="s">
        <v>1369</v>
      </c>
      <c r="D7423" s="132" t="s">
        <v>1381</v>
      </c>
      <c r="E7423" s="508">
        <v>5.31</v>
      </c>
      <c r="F7423" s="508">
        <v>2.98</v>
      </c>
      <c r="G7423" s="508">
        <v>2.972</v>
      </c>
      <c r="H7423" s="508">
        <v>2.9940000000000002</v>
      </c>
      <c r="I7423" s="508">
        <v>2.9990000000000001</v>
      </c>
      <c r="J7423" s="508">
        <v>2.8370000000000002</v>
      </c>
      <c r="K7423" s="508">
        <v>2.82</v>
      </c>
      <c r="L7423" s="508">
        <v>2.794</v>
      </c>
      <c r="M7423" s="508">
        <v>2.7570000000000001</v>
      </c>
      <c r="N7423" s="508">
        <v>4.9189999999999996</v>
      </c>
      <c r="O7423" s="508">
        <v>4.8120000000000003</v>
      </c>
      <c r="P7423" s="508">
        <v>1.875</v>
      </c>
      <c r="Q7423" s="508">
        <v>1.996</v>
      </c>
      <c r="R7423" s="508">
        <v>1.9259999999999999</v>
      </c>
      <c r="S7423" s="508">
        <v>1.859</v>
      </c>
      <c r="T7423" s="508">
        <v>1.796</v>
      </c>
      <c r="U7423" s="508">
        <v>0.55600000000000005</v>
      </c>
      <c r="V7423" s="508">
        <v>0.53</v>
      </c>
      <c r="W7423" s="508">
        <v>0.54200000000000004</v>
      </c>
      <c r="X7423" s="508">
        <v>0.32300000000000001</v>
      </c>
      <c r="Y7423" s="508">
        <v>0.26400000000000001</v>
      </c>
      <c r="Z7423" s="508">
        <v>0.17100000000000001</v>
      </c>
      <c r="AA7423" s="508">
        <v>0.158</v>
      </c>
      <c r="AB7423" s="508">
        <v>0.125</v>
      </c>
      <c r="AC7423" s="508">
        <v>0.11600000000000001</v>
      </c>
      <c r="AD7423" s="508">
        <v>8.5000000000000006E-2</v>
      </c>
      <c r="AE7423" s="508">
        <v>8.2000000000000003E-2</v>
      </c>
      <c r="AF7423" s="508">
        <v>4.8000000000000001E-2</v>
      </c>
      <c r="AG7423" s="508">
        <v>4.5999999999999999E-2</v>
      </c>
      <c r="AH7423" s="508">
        <v>4.4999999999999998E-2</v>
      </c>
      <c r="AI7423" s="492">
        <v>4.3999999999999997E-2</v>
      </c>
      <c r="AJ7423" s="485"/>
    </row>
    <row r="7424" spans="2:36">
      <c r="B7424" s="136" t="s">
        <v>439</v>
      </c>
      <c r="C7424" s="132" t="s">
        <v>1369</v>
      </c>
      <c r="D7424" s="132" t="s">
        <v>1381</v>
      </c>
      <c r="E7424" s="508">
        <v>2.5059999999999998</v>
      </c>
      <c r="F7424" s="508">
        <v>1.2769999999999999</v>
      </c>
      <c r="G7424" s="508">
        <v>1.2490000000000001</v>
      </c>
      <c r="H7424" s="508">
        <v>1.2549999999999999</v>
      </c>
      <c r="I7424" s="508">
        <v>1.2609999999999999</v>
      </c>
      <c r="J7424" s="508">
        <v>1.2030000000000001</v>
      </c>
      <c r="K7424" s="508">
        <v>1.202</v>
      </c>
      <c r="L7424" s="508">
        <v>1.19</v>
      </c>
      <c r="M7424" s="508">
        <v>1.181</v>
      </c>
      <c r="N7424" s="508">
        <v>2.1419999999999999</v>
      </c>
      <c r="O7424" s="508">
        <v>2.085</v>
      </c>
      <c r="P7424" s="508">
        <v>1.522</v>
      </c>
      <c r="Q7424" s="508">
        <v>1.6020000000000001</v>
      </c>
      <c r="R7424" s="508">
        <v>1.5369999999999999</v>
      </c>
      <c r="S7424" s="508">
        <v>1.4870000000000001</v>
      </c>
      <c r="T7424" s="508">
        <v>1.4319999999999999</v>
      </c>
      <c r="U7424" s="508">
        <v>0.39</v>
      </c>
      <c r="V7424" s="508">
        <v>0.372</v>
      </c>
      <c r="W7424" s="508">
        <v>0.377</v>
      </c>
      <c r="X7424" s="508">
        <v>0.23</v>
      </c>
      <c r="Y7424" s="508">
        <v>0.187</v>
      </c>
      <c r="Z7424" s="508">
        <v>0.127</v>
      </c>
      <c r="AA7424" s="508">
        <v>0.115</v>
      </c>
      <c r="AB7424" s="508">
        <v>9.0999999999999998E-2</v>
      </c>
      <c r="AC7424" s="508">
        <v>8.4000000000000005E-2</v>
      </c>
      <c r="AD7424" s="508">
        <v>6.5000000000000002E-2</v>
      </c>
      <c r="AE7424" s="508">
        <v>6.3E-2</v>
      </c>
      <c r="AF7424" s="508">
        <v>4.1000000000000002E-2</v>
      </c>
      <c r="AG7424" s="508">
        <v>3.9E-2</v>
      </c>
      <c r="AH7424" s="508">
        <v>3.7999999999999999E-2</v>
      </c>
      <c r="AI7424" s="492">
        <v>3.7999999999999999E-2</v>
      </c>
      <c r="AJ7424" s="485"/>
    </row>
    <row r="7425" spans="2:36">
      <c r="B7425" s="136" t="s">
        <v>440</v>
      </c>
      <c r="C7425" s="132" t="s">
        <v>1369</v>
      </c>
      <c r="D7425" s="132" t="s">
        <v>1381</v>
      </c>
      <c r="E7425" s="508">
        <v>4.1050000000000004</v>
      </c>
      <c r="F7425" s="508">
        <v>2.1059999999999999</v>
      </c>
      <c r="G7425" s="508">
        <v>2.0819999999999999</v>
      </c>
      <c r="H7425" s="508">
        <v>2.0939999999999999</v>
      </c>
      <c r="I7425" s="508">
        <v>2.0979999999999999</v>
      </c>
      <c r="J7425" s="508">
        <v>2.032</v>
      </c>
      <c r="K7425" s="508">
        <v>2.0230000000000001</v>
      </c>
      <c r="L7425" s="508">
        <v>2.0009999999999999</v>
      </c>
      <c r="M7425" s="508">
        <v>1.976</v>
      </c>
      <c r="N7425" s="508">
        <v>3.3570000000000002</v>
      </c>
      <c r="O7425" s="508">
        <v>3.2730000000000001</v>
      </c>
      <c r="P7425" s="508">
        <v>1.913</v>
      </c>
      <c r="Q7425" s="508">
        <v>2</v>
      </c>
      <c r="R7425" s="508">
        <v>1.923</v>
      </c>
      <c r="S7425" s="508">
        <v>1.857</v>
      </c>
      <c r="T7425" s="508">
        <v>1.7889999999999999</v>
      </c>
      <c r="U7425" s="508">
        <v>0.59599999999999997</v>
      </c>
      <c r="V7425" s="508">
        <v>0.56799999999999995</v>
      </c>
      <c r="W7425" s="508">
        <v>0.57499999999999996</v>
      </c>
      <c r="X7425" s="508">
        <v>0.375</v>
      </c>
      <c r="Y7425" s="508">
        <v>0.318</v>
      </c>
      <c r="Z7425" s="508">
        <v>0.19600000000000001</v>
      </c>
      <c r="AA7425" s="508">
        <v>0.18099999999999999</v>
      </c>
      <c r="AB7425" s="508">
        <v>0.14899999999999999</v>
      </c>
      <c r="AC7425" s="508">
        <v>0.13900000000000001</v>
      </c>
      <c r="AD7425" s="508">
        <v>0.108</v>
      </c>
      <c r="AE7425" s="508">
        <v>0.10100000000000001</v>
      </c>
      <c r="AF7425" s="508">
        <v>6.7000000000000004E-2</v>
      </c>
      <c r="AG7425" s="508">
        <v>6.0999999999999999E-2</v>
      </c>
      <c r="AH7425" s="508">
        <v>0.06</v>
      </c>
      <c r="AI7425" s="492">
        <v>5.8999999999999997E-2</v>
      </c>
      <c r="AJ7425" s="485"/>
    </row>
    <row r="7426" spans="2:36">
      <c r="B7426" s="136" t="s">
        <v>441</v>
      </c>
      <c r="C7426" s="132" t="s">
        <v>1369</v>
      </c>
      <c r="D7426" s="132" t="s">
        <v>1381</v>
      </c>
      <c r="E7426" s="508">
        <v>5.7460000000000004</v>
      </c>
      <c r="F7426" s="508">
        <v>3.1240000000000001</v>
      </c>
      <c r="G7426" s="508">
        <v>1.661</v>
      </c>
      <c r="H7426" s="508">
        <v>1.67</v>
      </c>
      <c r="I7426" s="508">
        <v>1.675</v>
      </c>
      <c r="J7426" s="508">
        <v>1.591</v>
      </c>
      <c r="K7426" s="508">
        <v>1.5880000000000001</v>
      </c>
      <c r="L7426" s="508">
        <v>1.573</v>
      </c>
      <c r="M7426" s="508">
        <v>1.56</v>
      </c>
      <c r="N7426" s="508">
        <v>2.3839999999999999</v>
      </c>
      <c r="O7426" s="508">
        <v>2.3260000000000001</v>
      </c>
      <c r="P7426" s="508">
        <v>1.6659999999999999</v>
      </c>
      <c r="Q7426" s="508">
        <v>1.74</v>
      </c>
      <c r="R7426" s="508">
        <v>1.669</v>
      </c>
      <c r="S7426" s="508">
        <v>1.615</v>
      </c>
      <c r="T7426" s="508">
        <v>1.5529999999999999</v>
      </c>
      <c r="U7426" s="508">
        <v>0.54700000000000004</v>
      </c>
      <c r="V7426" s="508">
        <v>0.52200000000000002</v>
      </c>
      <c r="W7426" s="508">
        <v>0.52900000000000003</v>
      </c>
      <c r="X7426" s="508">
        <v>0.34499999999999997</v>
      </c>
      <c r="Y7426" s="508">
        <v>0.29099999999999998</v>
      </c>
      <c r="Z7426" s="508">
        <v>0.18</v>
      </c>
      <c r="AA7426" s="508">
        <v>0.16600000000000001</v>
      </c>
      <c r="AB7426" s="508">
        <v>0.13600000000000001</v>
      </c>
      <c r="AC7426" s="508">
        <v>0.126</v>
      </c>
      <c r="AD7426" s="508">
        <v>0.1</v>
      </c>
      <c r="AE7426" s="508">
        <v>9.4E-2</v>
      </c>
      <c r="AF7426" s="508">
        <v>6.4000000000000001E-2</v>
      </c>
      <c r="AG7426" s="508">
        <v>5.8999999999999997E-2</v>
      </c>
      <c r="AH7426" s="508">
        <v>5.8000000000000003E-2</v>
      </c>
      <c r="AI7426" s="492">
        <v>5.7000000000000002E-2</v>
      </c>
      <c r="AJ7426" s="485"/>
    </row>
    <row r="7427" spans="2:36">
      <c r="B7427" s="136" t="s">
        <v>443</v>
      </c>
      <c r="C7427" s="132" t="s">
        <v>1369</v>
      </c>
      <c r="D7427" s="132" t="s">
        <v>1381</v>
      </c>
      <c r="E7427" s="508">
        <v>4.5910000000000002</v>
      </c>
      <c r="F7427" s="508">
        <v>2.496</v>
      </c>
      <c r="G7427" s="508">
        <v>2.4790000000000001</v>
      </c>
      <c r="H7427" s="508">
        <v>2.4950000000000001</v>
      </c>
      <c r="I7427" s="508">
        <v>2.4990000000000001</v>
      </c>
      <c r="J7427" s="508">
        <v>2.2850000000000001</v>
      </c>
      <c r="K7427" s="508">
        <v>2.2759999999999998</v>
      </c>
      <c r="L7427" s="508">
        <v>2.2559999999999998</v>
      </c>
      <c r="M7427" s="508">
        <v>2.2320000000000002</v>
      </c>
      <c r="N7427" s="508">
        <v>3.6619999999999999</v>
      </c>
      <c r="O7427" s="508">
        <v>3.585</v>
      </c>
      <c r="P7427" s="508">
        <v>1.615</v>
      </c>
      <c r="Q7427" s="508">
        <v>1.6859999999999999</v>
      </c>
      <c r="R7427" s="508">
        <v>1.6180000000000001</v>
      </c>
      <c r="S7427" s="508">
        <v>1.5649999999999999</v>
      </c>
      <c r="T7427" s="508">
        <v>1.5069999999999999</v>
      </c>
      <c r="U7427" s="508">
        <v>0.50700000000000001</v>
      </c>
      <c r="V7427" s="508">
        <v>0.48399999999999999</v>
      </c>
      <c r="W7427" s="508">
        <v>0.49299999999999999</v>
      </c>
      <c r="X7427" s="508">
        <v>0.308</v>
      </c>
      <c r="Y7427" s="508">
        <v>0.255</v>
      </c>
      <c r="Z7427" s="508">
        <v>0.16200000000000001</v>
      </c>
      <c r="AA7427" s="508">
        <v>0.14799999999999999</v>
      </c>
      <c r="AB7427" s="508">
        <v>0.11899999999999999</v>
      </c>
      <c r="AC7427" s="508">
        <v>0.109</v>
      </c>
      <c r="AD7427" s="508">
        <v>8.5999999999999993E-2</v>
      </c>
      <c r="AE7427" s="508">
        <v>8.6999999999999994E-2</v>
      </c>
      <c r="AF7427" s="508">
        <v>5.3999999999999999E-2</v>
      </c>
      <c r="AG7427" s="508">
        <v>0.05</v>
      </c>
      <c r="AH7427" s="508">
        <v>4.9000000000000002E-2</v>
      </c>
      <c r="AI7427" s="492">
        <v>4.8000000000000001E-2</v>
      </c>
      <c r="AJ7427" s="485"/>
    </row>
    <row r="7428" spans="2:36">
      <c r="B7428" s="136" t="s">
        <v>445</v>
      </c>
      <c r="C7428" s="132" t="s">
        <v>1369</v>
      </c>
      <c r="D7428" s="132" t="s">
        <v>1381</v>
      </c>
      <c r="E7428" s="508">
        <v>2.802</v>
      </c>
      <c r="F7428" s="508">
        <v>1.391</v>
      </c>
      <c r="G7428" s="508">
        <v>1.3560000000000001</v>
      </c>
      <c r="H7428" s="508">
        <v>1.363</v>
      </c>
      <c r="I7428" s="508">
        <v>1.369</v>
      </c>
      <c r="J7428" s="508">
        <v>1.306</v>
      </c>
      <c r="K7428" s="508">
        <v>1.3049999999999999</v>
      </c>
      <c r="L7428" s="508">
        <v>1.29</v>
      </c>
      <c r="M7428" s="508">
        <v>1.28</v>
      </c>
      <c r="N7428" s="508">
        <v>2.2320000000000002</v>
      </c>
      <c r="O7428" s="508">
        <v>2.169</v>
      </c>
      <c r="P7428" s="508">
        <v>1.633</v>
      </c>
      <c r="Q7428" s="508">
        <v>1.6970000000000001</v>
      </c>
      <c r="R7428" s="508">
        <v>1.625</v>
      </c>
      <c r="S7428" s="508">
        <v>1.575</v>
      </c>
      <c r="T7428" s="508">
        <v>1.5149999999999999</v>
      </c>
      <c r="U7428" s="508">
        <v>0.51100000000000001</v>
      </c>
      <c r="V7428" s="508">
        <v>0.48799999999999999</v>
      </c>
      <c r="W7428" s="508">
        <v>0.498</v>
      </c>
      <c r="X7428" s="508">
        <v>0.308</v>
      </c>
      <c r="Y7428" s="508">
        <v>0.254</v>
      </c>
      <c r="Z7428" s="508">
        <v>0.16300000000000001</v>
      </c>
      <c r="AA7428" s="508">
        <v>0.14799999999999999</v>
      </c>
      <c r="AB7428" s="508">
        <v>0.11899999999999999</v>
      </c>
      <c r="AC7428" s="508">
        <v>0.108</v>
      </c>
      <c r="AD7428" s="508">
        <v>9.1999999999999998E-2</v>
      </c>
      <c r="AE7428" s="508">
        <v>8.7999999999999995E-2</v>
      </c>
      <c r="AF7428" s="508">
        <v>5.3999999999999999E-2</v>
      </c>
      <c r="AG7428" s="508">
        <v>0.05</v>
      </c>
      <c r="AH7428" s="508">
        <v>4.9000000000000002E-2</v>
      </c>
      <c r="AI7428" s="492">
        <v>4.9000000000000002E-2</v>
      </c>
      <c r="AJ7428" s="485"/>
    </row>
    <row r="7429" spans="2:36">
      <c r="B7429" s="136" t="s">
        <v>446</v>
      </c>
      <c r="C7429" s="132" t="s">
        <v>1369</v>
      </c>
      <c r="D7429" s="132" t="s">
        <v>1381</v>
      </c>
      <c r="E7429" s="508">
        <v>5.6029999999999998</v>
      </c>
      <c r="F7429" s="508">
        <v>3.319</v>
      </c>
      <c r="G7429" s="508">
        <v>3.31</v>
      </c>
      <c r="H7429" s="508">
        <v>3.3370000000000002</v>
      </c>
      <c r="I7429" s="508">
        <v>3.347</v>
      </c>
      <c r="J7429" s="508">
        <v>3.03</v>
      </c>
      <c r="K7429" s="508">
        <v>3.0150000000000001</v>
      </c>
      <c r="L7429" s="508">
        <v>2.9910000000000001</v>
      </c>
      <c r="M7429" s="508">
        <v>2.9569999999999999</v>
      </c>
      <c r="N7429" s="508">
        <v>5.3209999999999997</v>
      </c>
      <c r="O7429" s="508">
        <v>5.2130000000000001</v>
      </c>
      <c r="P7429" s="508">
        <v>1.9370000000000001</v>
      </c>
      <c r="Q7429" s="508">
        <v>2.052</v>
      </c>
      <c r="R7429" s="508">
        <v>1.9770000000000001</v>
      </c>
      <c r="S7429" s="508">
        <v>1.911</v>
      </c>
      <c r="T7429" s="508">
        <v>1.847</v>
      </c>
      <c r="U7429" s="508">
        <v>0.51800000000000002</v>
      </c>
      <c r="V7429" s="508">
        <v>0.49299999999999999</v>
      </c>
      <c r="W7429" s="508">
        <v>0.51200000000000001</v>
      </c>
      <c r="X7429" s="508">
        <v>0.27600000000000002</v>
      </c>
      <c r="Y7429" s="508">
        <v>0.216</v>
      </c>
      <c r="Z7429" s="508">
        <v>0.154</v>
      </c>
      <c r="AA7429" s="508">
        <v>0.13900000000000001</v>
      </c>
      <c r="AB7429" s="508">
        <v>0.106</v>
      </c>
      <c r="AC7429" s="508">
        <v>9.6000000000000002E-2</v>
      </c>
      <c r="AD7429" s="508">
        <v>6.8000000000000005E-2</v>
      </c>
      <c r="AE7429" s="508">
        <v>6.6000000000000003E-2</v>
      </c>
      <c r="AF7429" s="508">
        <v>3.5000000000000003E-2</v>
      </c>
      <c r="AG7429" s="508">
        <v>3.4000000000000002E-2</v>
      </c>
      <c r="AH7429" s="508">
        <v>3.4000000000000002E-2</v>
      </c>
      <c r="AI7429" s="492">
        <v>3.3000000000000002E-2</v>
      </c>
      <c r="AJ7429" s="485"/>
    </row>
    <row r="7430" spans="2:36">
      <c r="B7430" s="136" t="s">
        <v>448</v>
      </c>
      <c r="C7430" s="132" t="s">
        <v>1369</v>
      </c>
      <c r="D7430" s="132" t="s">
        <v>1381</v>
      </c>
      <c r="E7430" s="508">
        <v>5.5570000000000004</v>
      </c>
      <c r="F7430" s="508">
        <v>3.141</v>
      </c>
      <c r="G7430" s="508">
        <v>3.1320000000000001</v>
      </c>
      <c r="H7430" s="508">
        <v>3.1549999999999998</v>
      </c>
      <c r="I7430" s="508">
        <v>3.161</v>
      </c>
      <c r="J7430" s="508">
        <v>2.9670000000000001</v>
      </c>
      <c r="K7430" s="508">
        <v>2.4849999999999999</v>
      </c>
      <c r="L7430" s="508">
        <v>2.4620000000000002</v>
      </c>
      <c r="M7430" s="508">
        <v>2.4329999999999998</v>
      </c>
      <c r="N7430" s="508">
        <v>4.2670000000000003</v>
      </c>
      <c r="O7430" s="508">
        <v>4.1740000000000004</v>
      </c>
      <c r="P7430" s="508">
        <v>1.7909999999999999</v>
      </c>
      <c r="Q7430" s="508">
        <v>1.901</v>
      </c>
      <c r="R7430" s="508">
        <v>1.83</v>
      </c>
      <c r="S7430" s="508">
        <v>1.768</v>
      </c>
      <c r="T7430" s="508">
        <v>1.706</v>
      </c>
      <c r="U7430" s="508">
        <v>0.51</v>
      </c>
      <c r="V7430" s="508">
        <v>0.48599999999999999</v>
      </c>
      <c r="W7430" s="508">
        <v>0.499</v>
      </c>
      <c r="X7430" s="508">
        <v>0.29299999999999998</v>
      </c>
      <c r="Y7430" s="508">
        <v>0.23799999999999999</v>
      </c>
      <c r="Z7430" s="508">
        <v>0.158</v>
      </c>
      <c r="AA7430" s="508">
        <v>0.14499999999999999</v>
      </c>
      <c r="AB7430" s="508">
        <v>0.113</v>
      </c>
      <c r="AC7430" s="508">
        <v>0.10299999999999999</v>
      </c>
      <c r="AD7430" s="508">
        <v>7.8E-2</v>
      </c>
      <c r="AE7430" s="508">
        <v>7.4999999999999997E-2</v>
      </c>
      <c r="AF7430" s="508">
        <v>4.5999999999999999E-2</v>
      </c>
      <c r="AG7430" s="508">
        <v>4.3999999999999997E-2</v>
      </c>
      <c r="AH7430" s="508">
        <v>4.2999999999999997E-2</v>
      </c>
      <c r="AI7430" s="492">
        <v>4.2000000000000003E-2</v>
      </c>
      <c r="AJ7430" s="485"/>
    </row>
    <row r="7431" spans="2:36">
      <c r="B7431" s="136" t="s">
        <v>449</v>
      </c>
      <c r="C7431" s="132" t="s">
        <v>1369</v>
      </c>
      <c r="D7431" s="132" t="s">
        <v>1381</v>
      </c>
      <c r="E7431" s="508">
        <v>5.09</v>
      </c>
      <c r="F7431" s="508">
        <v>3.0659999999999998</v>
      </c>
      <c r="G7431" s="508">
        <v>3.0579999999999998</v>
      </c>
      <c r="H7431" s="508">
        <v>3.081</v>
      </c>
      <c r="I7431" s="508">
        <v>3.089</v>
      </c>
      <c r="J7431" s="508">
        <v>2.8109999999999999</v>
      </c>
      <c r="K7431" s="508">
        <v>2.7970000000000002</v>
      </c>
      <c r="L7431" s="508">
        <v>2.774</v>
      </c>
      <c r="M7431" s="508">
        <v>2.7410000000000001</v>
      </c>
      <c r="N7431" s="508">
        <v>4.9710000000000001</v>
      </c>
      <c r="O7431" s="508">
        <v>4.8689999999999998</v>
      </c>
      <c r="P7431" s="508">
        <v>1.8049999999999999</v>
      </c>
      <c r="Q7431" s="508">
        <v>1.9159999999999999</v>
      </c>
      <c r="R7431" s="508">
        <v>1.847</v>
      </c>
      <c r="S7431" s="508">
        <v>1.7849999999999999</v>
      </c>
      <c r="T7431" s="508">
        <v>1.7250000000000001</v>
      </c>
      <c r="U7431" s="508">
        <v>0.49199999999999999</v>
      </c>
      <c r="V7431" s="508">
        <v>0.46899999999999997</v>
      </c>
      <c r="W7431" s="508">
        <v>0.48599999999999999</v>
      </c>
      <c r="X7431" s="508">
        <v>0.26100000000000001</v>
      </c>
      <c r="Y7431" s="508">
        <v>0.20300000000000001</v>
      </c>
      <c r="Z7431" s="508">
        <v>0.14599999999999999</v>
      </c>
      <c r="AA7431" s="508">
        <v>0.13300000000000001</v>
      </c>
      <c r="AB7431" s="508">
        <v>0.1</v>
      </c>
      <c r="AC7431" s="508">
        <v>9.0999999999999998E-2</v>
      </c>
      <c r="AD7431" s="508">
        <v>6.4000000000000001E-2</v>
      </c>
      <c r="AE7431" s="508">
        <v>6.3E-2</v>
      </c>
      <c r="AF7431" s="508">
        <v>3.3000000000000002E-2</v>
      </c>
      <c r="AG7431" s="508">
        <v>3.2000000000000001E-2</v>
      </c>
      <c r="AH7431" s="508">
        <v>3.1E-2</v>
      </c>
      <c r="AI7431" s="492">
        <v>3.1E-2</v>
      </c>
      <c r="AJ7431" s="485"/>
    </row>
    <row r="7432" spans="2:36">
      <c r="B7432" s="136" t="s">
        <v>450</v>
      </c>
      <c r="C7432" s="132" t="s">
        <v>1369</v>
      </c>
      <c r="D7432" s="132" t="s">
        <v>1381</v>
      </c>
      <c r="E7432" s="508">
        <v>5.5620000000000003</v>
      </c>
      <c r="F7432" s="508">
        <v>2.9889999999999999</v>
      </c>
      <c r="G7432" s="508">
        <v>2.976</v>
      </c>
      <c r="H7432" s="508">
        <v>2.996</v>
      </c>
      <c r="I7432" s="508">
        <v>2.9980000000000002</v>
      </c>
      <c r="J7432" s="508">
        <v>2.8490000000000002</v>
      </c>
      <c r="K7432" s="508">
        <v>2.8330000000000002</v>
      </c>
      <c r="L7432" s="508">
        <v>2.8039999999999998</v>
      </c>
      <c r="M7432" s="508">
        <v>2.7650000000000001</v>
      </c>
      <c r="N7432" s="508">
        <v>4.71</v>
      </c>
      <c r="O7432" s="508">
        <v>4.6050000000000004</v>
      </c>
      <c r="P7432" s="508">
        <v>1.944</v>
      </c>
      <c r="Q7432" s="508">
        <v>2.0419999999999998</v>
      </c>
      <c r="R7432" s="508">
        <v>1.966</v>
      </c>
      <c r="S7432" s="508">
        <v>1.8979999999999999</v>
      </c>
      <c r="T7432" s="508">
        <v>1.83</v>
      </c>
      <c r="U7432" s="508">
        <v>0.60599999999999998</v>
      </c>
      <c r="V7432" s="508">
        <v>0.57799999999999996</v>
      </c>
      <c r="W7432" s="508">
        <v>0.58399999999999996</v>
      </c>
      <c r="X7432" s="508">
        <v>0.38100000000000001</v>
      </c>
      <c r="Y7432" s="508">
        <v>0.32400000000000001</v>
      </c>
      <c r="Z7432" s="508">
        <v>0.19600000000000001</v>
      </c>
      <c r="AA7432" s="508">
        <v>0.18099999999999999</v>
      </c>
      <c r="AB7432" s="508">
        <v>0.15</v>
      </c>
      <c r="AC7432" s="508">
        <v>0.14000000000000001</v>
      </c>
      <c r="AD7432" s="508">
        <v>0.108</v>
      </c>
      <c r="AE7432" s="508">
        <v>0.10100000000000001</v>
      </c>
      <c r="AF7432" s="508">
        <v>6.6000000000000003E-2</v>
      </c>
      <c r="AG7432" s="508">
        <v>6.0999999999999999E-2</v>
      </c>
      <c r="AH7432" s="508">
        <v>0.06</v>
      </c>
      <c r="AI7432" s="492">
        <v>5.8999999999999997E-2</v>
      </c>
      <c r="AJ7432" s="485"/>
    </row>
    <row r="7433" spans="2:36">
      <c r="B7433" s="136" t="s">
        <v>451</v>
      </c>
      <c r="C7433" s="132" t="s">
        <v>1369</v>
      </c>
      <c r="D7433" s="132" t="s">
        <v>1381</v>
      </c>
      <c r="E7433" s="508">
        <v>6.1479999999999997</v>
      </c>
      <c r="F7433" s="508">
        <v>3.371</v>
      </c>
      <c r="G7433" s="508">
        <v>3.3580000000000001</v>
      </c>
      <c r="H7433" s="508">
        <v>3.38</v>
      </c>
      <c r="I7433" s="508">
        <v>3.383</v>
      </c>
      <c r="J7433" s="508">
        <v>3.1480000000000001</v>
      </c>
      <c r="K7433" s="508">
        <v>3.13</v>
      </c>
      <c r="L7433" s="508">
        <v>3.0990000000000002</v>
      </c>
      <c r="M7433" s="508">
        <v>3.0569999999999999</v>
      </c>
      <c r="N7433" s="508">
        <v>5.3259999999999996</v>
      </c>
      <c r="O7433" s="508">
        <v>5.21</v>
      </c>
      <c r="P7433" s="508">
        <v>1.909</v>
      </c>
      <c r="Q7433" s="508">
        <v>1.9870000000000001</v>
      </c>
      <c r="R7433" s="508">
        <v>1.909</v>
      </c>
      <c r="S7433" s="508">
        <v>1.8460000000000001</v>
      </c>
      <c r="T7433" s="508">
        <v>1.778</v>
      </c>
      <c r="U7433" s="508">
        <v>0.57999999999999996</v>
      </c>
      <c r="V7433" s="508">
        <v>0.55400000000000005</v>
      </c>
      <c r="W7433" s="508">
        <v>0.56299999999999994</v>
      </c>
      <c r="X7433" s="508">
        <v>0.35799999999999998</v>
      </c>
      <c r="Y7433" s="508">
        <v>0.30099999999999999</v>
      </c>
      <c r="Z7433" s="508">
        <v>0.187</v>
      </c>
      <c r="AA7433" s="508">
        <v>0.17199999999999999</v>
      </c>
      <c r="AB7433" s="508">
        <v>0.14099999999999999</v>
      </c>
      <c r="AC7433" s="508">
        <v>0.13</v>
      </c>
      <c r="AD7433" s="508">
        <v>0.10100000000000001</v>
      </c>
      <c r="AE7433" s="508">
        <v>9.4E-2</v>
      </c>
      <c r="AF7433" s="508">
        <v>6.2E-2</v>
      </c>
      <c r="AG7433" s="508">
        <v>5.7000000000000002E-2</v>
      </c>
      <c r="AH7433" s="508">
        <v>5.6000000000000001E-2</v>
      </c>
      <c r="AI7433" s="492">
        <v>5.5E-2</v>
      </c>
      <c r="AJ7433" s="485"/>
    </row>
    <row r="7434" spans="2:36">
      <c r="B7434" s="136" t="s">
        <v>452</v>
      </c>
      <c r="C7434" s="132" t="s">
        <v>1369</v>
      </c>
      <c r="D7434" s="132" t="s">
        <v>1381</v>
      </c>
      <c r="E7434" s="508">
        <v>5.6740000000000004</v>
      </c>
      <c r="F7434" s="508">
        <v>3.089</v>
      </c>
      <c r="G7434" s="508">
        <v>3.0739999999999998</v>
      </c>
      <c r="H7434" s="508">
        <v>3.0950000000000002</v>
      </c>
      <c r="I7434" s="508">
        <v>3.0979999999999999</v>
      </c>
      <c r="J7434" s="508">
        <v>2.9119999999999999</v>
      </c>
      <c r="K7434" s="508">
        <v>2.8959999999999999</v>
      </c>
      <c r="L7434" s="508">
        <v>2.867</v>
      </c>
      <c r="M7434" s="508">
        <v>2.8279999999999998</v>
      </c>
      <c r="N7434" s="508">
        <v>4.9329999999999998</v>
      </c>
      <c r="O7434" s="508">
        <v>4.8230000000000004</v>
      </c>
      <c r="P7434" s="508">
        <v>2.0419999999999998</v>
      </c>
      <c r="Q7434" s="508">
        <v>2.1419999999999999</v>
      </c>
      <c r="R7434" s="508">
        <v>2.0630000000000002</v>
      </c>
      <c r="S7434" s="508">
        <v>1.992</v>
      </c>
      <c r="T7434" s="508">
        <v>1.921</v>
      </c>
      <c r="U7434" s="508">
        <v>0.58599999999999997</v>
      </c>
      <c r="V7434" s="508">
        <v>0.55800000000000005</v>
      </c>
      <c r="W7434" s="508">
        <v>0.56799999999999995</v>
      </c>
      <c r="X7434" s="508">
        <v>0.35699999999999998</v>
      </c>
      <c r="Y7434" s="508">
        <v>0.29899999999999999</v>
      </c>
      <c r="Z7434" s="508">
        <v>0.186</v>
      </c>
      <c r="AA7434" s="508">
        <v>0.17199999999999999</v>
      </c>
      <c r="AB7434" s="508">
        <v>0.14000000000000001</v>
      </c>
      <c r="AC7434" s="508">
        <v>0.13</v>
      </c>
      <c r="AD7434" s="508">
        <v>9.9000000000000005E-2</v>
      </c>
      <c r="AE7434" s="508">
        <v>9.1999999999999998E-2</v>
      </c>
      <c r="AF7434" s="508">
        <v>5.8999999999999997E-2</v>
      </c>
      <c r="AG7434" s="508">
        <v>5.3999999999999999E-2</v>
      </c>
      <c r="AH7434" s="508">
        <v>5.2999999999999999E-2</v>
      </c>
      <c r="AI7434" s="492">
        <v>5.1999999999999998E-2</v>
      </c>
      <c r="AJ7434" s="485"/>
    </row>
    <row r="7435" spans="2:36">
      <c r="B7435" s="136" t="s">
        <v>453</v>
      </c>
      <c r="C7435" s="132" t="s">
        <v>1369</v>
      </c>
      <c r="D7435" s="132" t="s">
        <v>1381</v>
      </c>
      <c r="E7435" s="508">
        <v>5.7830000000000004</v>
      </c>
      <c r="F7435" s="508">
        <v>3.1579999999999999</v>
      </c>
      <c r="G7435" s="508">
        <v>3.1480000000000001</v>
      </c>
      <c r="H7435" s="508">
        <v>3.169</v>
      </c>
      <c r="I7435" s="508">
        <v>3.1720000000000002</v>
      </c>
      <c r="J7435" s="508">
        <v>3.0379999999999998</v>
      </c>
      <c r="K7435" s="508">
        <v>3.02</v>
      </c>
      <c r="L7435" s="508">
        <v>2.988</v>
      </c>
      <c r="M7435" s="508">
        <v>2.9449999999999998</v>
      </c>
      <c r="N7435" s="508">
        <v>5.0979999999999999</v>
      </c>
      <c r="O7435" s="508">
        <v>4.9829999999999997</v>
      </c>
      <c r="P7435" s="508">
        <v>2.0510000000000002</v>
      </c>
      <c r="Q7435" s="508">
        <v>2.1589999999999998</v>
      </c>
      <c r="R7435" s="508">
        <v>2.081</v>
      </c>
      <c r="S7435" s="508">
        <v>2.008</v>
      </c>
      <c r="T7435" s="508">
        <v>1.9370000000000001</v>
      </c>
      <c r="U7435" s="508">
        <v>0.67200000000000004</v>
      </c>
      <c r="V7435" s="508">
        <v>0.64</v>
      </c>
      <c r="W7435" s="508">
        <v>0.64700000000000002</v>
      </c>
      <c r="X7435" s="508">
        <v>0.42399999999999999</v>
      </c>
      <c r="Y7435" s="508">
        <v>0.36099999999999999</v>
      </c>
      <c r="Z7435" s="508">
        <v>0.222</v>
      </c>
      <c r="AA7435" s="508">
        <v>0.20699999999999999</v>
      </c>
      <c r="AB7435" s="508">
        <v>0.17199999999999999</v>
      </c>
      <c r="AC7435" s="508">
        <v>0.16200000000000001</v>
      </c>
      <c r="AD7435" s="508">
        <v>0.124</v>
      </c>
      <c r="AE7435" s="508">
        <v>0.114</v>
      </c>
      <c r="AF7435" s="508">
        <v>7.3999999999999996E-2</v>
      </c>
      <c r="AG7435" s="508">
        <v>6.8000000000000005E-2</v>
      </c>
      <c r="AH7435" s="508">
        <v>6.6000000000000003E-2</v>
      </c>
      <c r="AI7435" s="492">
        <v>6.5000000000000002E-2</v>
      </c>
      <c r="AJ7435" s="485"/>
    </row>
    <row r="7436" spans="2:36">
      <c r="B7436" s="136" t="s">
        <v>454</v>
      </c>
      <c r="C7436" s="132" t="s">
        <v>1369</v>
      </c>
      <c r="D7436" s="132" t="s">
        <v>1381</v>
      </c>
      <c r="E7436" s="508">
        <v>5.5869999999999997</v>
      </c>
      <c r="F7436" s="508">
        <v>3.0859999999999999</v>
      </c>
      <c r="G7436" s="508">
        <v>3.077</v>
      </c>
      <c r="H7436" s="508">
        <v>3.0990000000000002</v>
      </c>
      <c r="I7436" s="508">
        <v>3.1030000000000002</v>
      </c>
      <c r="J7436" s="508">
        <v>2.9420000000000002</v>
      </c>
      <c r="K7436" s="508">
        <v>2.9249999999999998</v>
      </c>
      <c r="L7436" s="508">
        <v>2.8959999999999999</v>
      </c>
      <c r="M7436" s="508">
        <v>2.8559999999999999</v>
      </c>
      <c r="N7436" s="508">
        <v>5.0279999999999996</v>
      </c>
      <c r="O7436" s="508">
        <v>4.9169999999999998</v>
      </c>
      <c r="P7436" s="508">
        <v>1.962</v>
      </c>
      <c r="Q7436" s="508">
        <v>2.0739999999999998</v>
      </c>
      <c r="R7436" s="508">
        <v>2</v>
      </c>
      <c r="S7436" s="508">
        <v>1.93</v>
      </c>
      <c r="T7436" s="508">
        <v>1.863</v>
      </c>
      <c r="U7436" s="508">
        <v>0.61299999999999999</v>
      </c>
      <c r="V7436" s="508">
        <v>0.58399999999999996</v>
      </c>
      <c r="W7436" s="508">
        <v>0.59399999999999997</v>
      </c>
      <c r="X7436" s="508">
        <v>0.37</v>
      </c>
      <c r="Y7436" s="508">
        <v>0.309</v>
      </c>
      <c r="Z7436" s="508">
        <v>0.193</v>
      </c>
      <c r="AA7436" s="508">
        <v>0.17899999999999999</v>
      </c>
      <c r="AB7436" s="508">
        <v>0.14499999999999999</v>
      </c>
      <c r="AC7436" s="508">
        <v>0.13500000000000001</v>
      </c>
      <c r="AD7436" s="508">
        <v>0.10199999999999999</v>
      </c>
      <c r="AE7436" s="508">
        <v>9.6000000000000002E-2</v>
      </c>
      <c r="AF7436" s="508">
        <v>0.06</v>
      </c>
      <c r="AG7436" s="508">
        <v>5.5E-2</v>
      </c>
      <c r="AH7436" s="508">
        <v>5.3999999999999999E-2</v>
      </c>
      <c r="AI7436" s="492">
        <v>5.2999999999999999E-2</v>
      </c>
      <c r="AJ7436" s="485"/>
    </row>
    <row r="7437" spans="2:36">
      <c r="B7437" s="136" t="s">
        <v>455</v>
      </c>
      <c r="C7437" s="132" t="s">
        <v>1369</v>
      </c>
      <c r="D7437" s="132" t="s">
        <v>1381</v>
      </c>
      <c r="E7437" s="508">
        <v>5.5839999999999996</v>
      </c>
      <c r="F7437" s="508">
        <v>3.0830000000000002</v>
      </c>
      <c r="G7437" s="508">
        <v>3.0739999999999998</v>
      </c>
      <c r="H7437" s="508">
        <v>3.0960000000000001</v>
      </c>
      <c r="I7437" s="508">
        <v>3.0990000000000002</v>
      </c>
      <c r="J7437" s="508">
        <v>2.9550000000000001</v>
      </c>
      <c r="K7437" s="508">
        <v>2.9369999999999998</v>
      </c>
      <c r="L7437" s="508">
        <v>2.9079999999999999</v>
      </c>
      <c r="M7437" s="508">
        <v>2.8679999999999999</v>
      </c>
      <c r="N7437" s="508">
        <v>5.077</v>
      </c>
      <c r="O7437" s="508">
        <v>4.9640000000000004</v>
      </c>
      <c r="P7437" s="508">
        <v>1.9710000000000001</v>
      </c>
      <c r="Q7437" s="508">
        <v>2.0920000000000001</v>
      </c>
      <c r="R7437" s="508">
        <v>2.0179999999999998</v>
      </c>
      <c r="S7437" s="508">
        <v>1.9470000000000001</v>
      </c>
      <c r="T7437" s="508">
        <v>1.88</v>
      </c>
      <c r="U7437" s="508">
        <v>0.55800000000000005</v>
      </c>
      <c r="V7437" s="508">
        <v>0.53200000000000003</v>
      </c>
      <c r="W7437" s="508">
        <v>0.54300000000000004</v>
      </c>
      <c r="X7437" s="508">
        <v>0.33200000000000002</v>
      </c>
      <c r="Y7437" s="508">
        <v>0.27500000000000002</v>
      </c>
      <c r="Z7437" s="508">
        <v>0.17399999999999999</v>
      </c>
      <c r="AA7437" s="508">
        <v>0.161</v>
      </c>
      <c r="AB7437" s="508">
        <v>0.129</v>
      </c>
      <c r="AC7437" s="508">
        <v>0.12</v>
      </c>
      <c r="AD7437" s="508">
        <v>0.09</v>
      </c>
      <c r="AE7437" s="508">
        <v>8.5000000000000006E-2</v>
      </c>
      <c r="AF7437" s="508">
        <v>5.1999999999999998E-2</v>
      </c>
      <c r="AG7437" s="508">
        <v>4.8000000000000001E-2</v>
      </c>
      <c r="AH7437" s="508">
        <v>4.8000000000000001E-2</v>
      </c>
      <c r="AI7437" s="492">
        <v>4.7E-2</v>
      </c>
      <c r="AJ7437" s="485"/>
    </row>
    <row r="7438" spans="2:36">
      <c r="B7438" s="136" t="s">
        <v>456</v>
      </c>
      <c r="C7438" s="132" t="s">
        <v>1369</v>
      </c>
      <c r="D7438" s="132" t="s">
        <v>1381</v>
      </c>
      <c r="E7438" s="508">
        <v>5.3419999999999996</v>
      </c>
      <c r="F7438" s="508">
        <v>3.081</v>
      </c>
      <c r="G7438" s="508">
        <v>3.0720000000000001</v>
      </c>
      <c r="H7438" s="508">
        <v>3.0960000000000001</v>
      </c>
      <c r="I7438" s="508">
        <v>3.1040000000000001</v>
      </c>
      <c r="J7438" s="508">
        <v>2.8809999999999998</v>
      </c>
      <c r="K7438" s="508">
        <v>2.8660000000000001</v>
      </c>
      <c r="L7438" s="508">
        <v>2.8420000000000001</v>
      </c>
      <c r="M7438" s="508">
        <v>2.8069999999999999</v>
      </c>
      <c r="N7438" s="508">
        <v>5.0129999999999999</v>
      </c>
      <c r="O7438" s="508">
        <v>4.9080000000000004</v>
      </c>
      <c r="P7438" s="508">
        <v>1.881</v>
      </c>
      <c r="Q7438" s="508">
        <v>2.004</v>
      </c>
      <c r="R7438" s="508">
        <v>1.9319999999999999</v>
      </c>
      <c r="S7438" s="508">
        <v>1.867</v>
      </c>
      <c r="T7438" s="508">
        <v>1.804</v>
      </c>
      <c r="U7438" s="508">
        <v>0.51600000000000001</v>
      </c>
      <c r="V7438" s="508">
        <v>0.49199999999999999</v>
      </c>
      <c r="W7438" s="508">
        <v>0.50800000000000001</v>
      </c>
      <c r="X7438" s="508">
        <v>0.28599999999999998</v>
      </c>
      <c r="Y7438" s="508">
        <v>0.22800000000000001</v>
      </c>
      <c r="Z7438" s="508">
        <v>0.156</v>
      </c>
      <c r="AA7438" s="508">
        <v>0.14299999999999999</v>
      </c>
      <c r="AB7438" s="508">
        <v>0.11</v>
      </c>
      <c r="AC7438" s="508">
        <v>0.10100000000000001</v>
      </c>
      <c r="AD7438" s="508">
        <v>7.2999999999999995E-2</v>
      </c>
      <c r="AE7438" s="508">
        <v>7.0999999999999994E-2</v>
      </c>
      <c r="AF7438" s="508">
        <v>0.04</v>
      </c>
      <c r="AG7438" s="508">
        <v>3.7999999999999999E-2</v>
      </c>
      <c r="AH7438" s="508">
        <v>3.7999999999999999E-2</v>
      </c>
      <c r="AI7438" s="492">
        <v>3.6999999999999998E-2</v>
      </c>
      <c r="AJ7438" s="485"/>
    </row>
    <row r="7439" spans="2:36">
      <c r="B7439" s="136" t="s">
        <v>457</v>
      </c>
      <c r="C7439" s="132" t="s">
        <v>1369</v>
      </c>
      <c r="D7439" s="132" t="s">
        <v>1381</v>
      </c>
      <c r="E7439" s="508">
        <v>6.0229999999999997</v>
      </c>
      <c r="F7439" s="508">
        <v>3.24</v>
      </c>
      <c r="G7439" s="508">
        <v>3.2290000000000001</v>
      </c>
      <c r="H7439" s="508">
        <v>3.2509999999999999</v>
      </c>
      <c r="I7439" s="508">
        <v>3.2519999999999998</v>
      </c>
      <c r="J7439" s="508">
        <v>3.1509999999999998</v>
      </c>
      <c r="K7439" s="508">
        <v>3.1309999999999998</v>
      </c>
      <c r="L7439" s="508">
        <v>3.097</v>
      </c>
      <c r="M7439" s="508">
        <v>3.05</v>
      </c>
      <c r="N7439" s="508">
        <v>5.266</v>
      </c>
      <c r="O7439" s="508">
        <v>5.1449999999999996</v>
      </c>
      <c r="P7439" s="508">
        <v>2.0720000000000001</v>
      </c>
      <c r="Q7439" s="508">
        <v>2.1789999999999998</v>
      </c>
      <c r="R7439" s="508">
        <v>2.0990000000000002</v>
      </c>
      <c r="S7439" s="508">
        <v>2.0259999999999998</v>
      </c>
      <c r="T7439" s="508">
        <v>1.9530000000000001</v>
      </c>
      <c r="U7439" s="508">
        <v>0.67</v>
      </c>
      <c r="V7439" s="508">
        <v>0.63900000000000001</v>
      </c>
      <c r="W7439" s="508">
        <v>0.64500000000000002</v>
      </c>
      <c r="X7439" s="508">
        <v>0.42799999999999999</v>
      </c>
      <c r="Y7439" s="508">
        <v>0.36699999999999999</v>
      </c>
      <c r="Z7439" s="508">
        <v>0.224</v>
      </c>
      <c r="AA7439" s="508">
        <v>0.20899999999999999</v>
      </c>
      <c r="AB7439" s="508">
        <v>0.17499999999999999</v>
      </c>
      <c r="AC7439" s="508">
        <v>0.16400000000000001</v>
      </c>
      <c r="AD7439" s="508">
        <v>0.127</v>
      </c>
      <c r="AE7439" s="508">
        <v>0.11700000000000001</v>
      </c>
      <c r="AF7439" s="508">
        <v>7.8E-2</v>
      </c>
      <c r="AG7439" s="508">
        <v>7.0999999999999994E-2</v>
      </c>
      <c r="AH7439" s="508">
        <v>6.9000000000000006E-2</v>
      </c>
      <c r="AI7439" s="492">
        <v>6.8000000000000005E-2</v>
      </c>
      <c r="AJ7439" s="485"/>
    </row>
    <row r="7440" spans="2:36">
      <c r="B7440" s="136" t="s">
        <v>458</v>
      </c>
      <c r="C7440" s="132" t="s">
        <v>1369</v>
      </c>
      <c r="D7440" s="132" t="s">
        <v>1381</v>
      </c>
      <c r="E7440" s="508">
        <v>4.83</v>
      </c>
      <c r="F7440" s="508">
        <v>2.6259999999999999</v>
      </c>
      <c r="G7440" s="508">
        <v>2.6110000000000002</v>
      </c>
      <c r="H7440" s="508">
        <v>2.6280000000000001</v>
      </c>
      <c r="I7440" s="508">
        <v>2.6320000000000001</v>
      </c>
      <c r="J7440" s="508">
        <v>2.4649999999999999</v>
      </c>
      <c r="K7440" s="508">
        <v>2.4540000000000002</v>
      </c>
      <c r="L7440" s="508">
        <v>2.4319999999999999</v>
      </c>
      <c r="M7440" s="508">
        <v>2.403</v>
      </c>
      <c r="N7440" s="508">
        <v>4.0229999999999997</v>
      </c>
      <c r="O7440" s="508">
        <v>3.9359999999999999</v>
      </c>
      <c r="P7440" s="508">
        <v>1.669</v>
      </c>
      <c r="Q7440" s="508">
        <v>1.7529999999999999</v>
      </c>
      <c r="R7440" s="508">
        <v>1.6830000000000001</v>
      </c>
      <c r="S7440" s="508">
        <v>1.6279999999999999</v>
      </c>
      <c r="T7440" s="508">
        <v>1.5680000000000001</v>
      </c>
      <c r="U7440" s="508">
        <v>0.52</v>
      </c>
      <c r="V7440" s="508">
        <v>0.497</v>
      </c>
      <c r="W7440" s="508">
        <v>0.50600000000000001</v>
      </c>
      <c r="X7440" s="508">
        <v>0.317</v>
      </c>
      <c r="Y7440" s="508">
        <v>0.26400000000000001</v>
      </c>
      <c r="Z7440" s="508">
        <v>0.16700000000000001</v>
      </c>
      <c r="AA7440" s="508">
        <v>0.153</v>
      </c>
      <c r="AB7440" s="508">
        <v>0.124</v>
      </c>
      <c r="AC7440" s="508">
        <v>0.114</v>
      </c>
      <c r="AD7440" s="508">
        <v>8.8999999999999996E-2</v>
      </c>
      <c r="AE7440" s="508">
        <v>8.4000000000000005E-2</v>
      </c>
      <c r="AF7440" s="508">
        <v>5.5E-2</v>
      </c>
      <c r="AG7440" s="508">
        <v>5.1999999999999998E-2</v>
      </c>
      <c r="AH7440" s="508">
        <v>5.0999999999999997E-2</v>
      </c>
      <c r="AI7440" s="492">
        <v>0.05</v>
      </c>
      <c r="AJ7440" s="485"/>
    </row>
    <row r="7441" spans="2:36">
      <c r="B7441" s="136" t="s">
        <v>459</v>
      </c>
      <c r="C7441" s="132" t="s">
        <v>1369</v>
      </c>
      <c r="D7441" s="132" t="s">
        <v>1381</v>
      </c>
      <c r="E7441" s="508">
        <v>5.7450000000000001</v>
      </c>
      <c r="F7441" s="508">
        <v>3.11</v>
      </c>
      <c r="G7441" s="508">
        <v>3.0990000000000002</v>
      </c>
      <c r="H7441" s="508">
        <v>3.1190000000000002</v>
      </c>
      <c r="I7441" s="508">
        <v>3.121</v>
      </c>
      <c r="J7441" s="508">
        <v>2.9729999999999999</v>
      </c>
      <c r="K7441" s="508">
        <v>2.9550000000000001</v>
      </c>
      <c r="L7441" s="508">
        <v>2.9249999999999998</v>
      </c>
      <c r="M7441" s="508">
        <v>2.883</v>
      </c>
      <c r="N7441" s="508">
        <v>5.0309999999999997</v>
      </c>
      <c r="O7441" s="508">
        <v>4.9180000000000001</v>
      </c>
      <c r="P7441" s="508">
        <v>1.998</v>
      </c>
      <c r="Q7441" s="508">
        <v>1.7470000000000001</v>
      </c>
      <c r="R7441" s="508">
        <v>1.6759999999999999</v>
      </c>
      <c r="S7441" s="508">
        <v>1.621</v>
      </c>
      <c r="T7441" s="508">
        <v>1.5589999999999999</v>
      </c>
      <c r="U7441" s="508">
        <v>0.55400000000000005</v>
      </c>
      <c r="V7441" s="508">
        <v>0.53</v>
      </c>
      <c r="W7441" s="508">
        <v>0.53500000000000003</v>
      </c>
      <c r="X7441" s="508">
        <v>0.35399999999999998</v>
      </c>
      <c r="Y7441" s="508">
        <v>0.30099999999999999</v>
      </c>
      <c r="Z7441" s="508">
        <v>0.183</v>
      </c>
      <c r="AA7441" s="508">
        <v>0.16900000000000001</v>
      </c>
      <c r="AB7441" s="508">
        <v>0.13700000000000001</v>
      </c>
      <c r="AC7441" s="508">
        <v>0.127</v>
      </c>
      <c r="AD7441" s="508">
        <v>0.10199999999999999</v>
      </c>
      <c r="AE7441" s="508">
        <v>9.5000000000000001E-2</v>
      </c>
      <c r="AF7441" s="508">
        <v>6.6000000000000003E-2</v>
      </c>
      <c r="AG7441" s="508">
        <v>6.0999999999999999E-2</v>
      </c>
      <c r="AH7441" s="508">
        <v>0.06</v>
      </c>
      <c r="AI7441" s="492">
        <v>5.8999999999999997E-2</v>
      </c>
      <c r="AJ7441" s="485"/>
    </row>
    <row r="7442" spans="2:36">
      <c r="B7442" s="136" t="s">
        <v>460</v>
      </c>
      <c r="C7442" s="132" t="s">
        <v>1369</v>
      </c>
      <c r="D7442" s="132" t="s">
        <v>1381</v>
      </c>
      <c r="E7442" s="508">
        <v>6.2229999999999999</v>
      </c>
      <c r="F7442" s="508">
        <v>3.3769999999999998</v>
      </c>
      <c r="G7442" s="508">
        <v>3.3650000000000002</v>
      </c>
      <c r="H7442" s="508">
        <v>3.3879999999999999</v>
      </c>
      <c r="I7442" s="508">
        <v>3.39</v>
      </c>
      <c r="J7442" s="508">
        <v>3.2189999999999999</v>
      </c>
      <c r="K7442" s="508">
        <v>3.1989999999999998</v>
      </c>
      <c r="L7442" s="508">
        <v>3.1659999999999999</v>
      </c>
      <c r="M7442" s="508">
        <v>3.12</v>
      </c>
      <c r="N7442" s="508">
        <v>5.41</v>
      </c>
      <c r="O7442" s="508">
        <v>5.2889999999999997</v>
      </c>
      <c r="P7442" s="508">
        <v>2.1629999999999998</v>
      </c>
      <c r="Q7442" s="508">
        <v>2.2679999999999998</v>
      </c>
      <c r="R7442" s="508">
        <v>2.1850000000000001</v>
      </c>
      <c r="S7442" s="508">
        <v>2.109</v>
      </c>
      <c r="T7442" s="508">
        <v>2.0339999999999998</v>
      </c>
      <c r="U7442" s="508">
        <v>0.64100000000000001</v>
      </c>
      <c r="V7442" s="508">
        <v>0.61099999999999999</v>
      </c>
      <c r="W7442" s="508">
        <v>0.61899999999999999</v>
      </c>
      <c r="X7442" s="508">
        <v>0.39800000000000002</v>
      </c>
      <c r="Y7442" s="508">
        <v>0.33800000000000002</v>
      </c>
      <c r="Z7442" s="508">
        <v>0.20699999999999999</v>
      </c>
      <c r="AA7442" s="508">
        <v>0.192</v>
      </c>
      <c r="AB7442" s="508">
        <v>0.159</v>
      </c>
      <c r="AC7442" s="508">
        <v>0.14799999999999999</v>
      </c>
      <c r="AD7442" s="508">
        <v>0.113</v>
      </c>
      <c r="AE7442" s="508">
        <v>0.105</v>
      </c>
      <c r="AF7442" s="508">
        <v>6.8000000000000005E-2</v>
      </c>
      <c r="AG7442" s="508">
        <v>6.2E-2</v>
      </c>
      <c r="AH7442" s="508">
        <v>6.0999999999999999E-2</v>
      </c>
      <c r="AI7442" s="492">
        <v>0.06</v>
      </c>
      <c r="AJ7442" s="485"/>
    </row>
    <row r="7443" spans="2:36">
      <c r="B7443" s="136" t="s">
        <v>461</v>
      </c>
      <c r="C7443" s="132" t="s">
        <v>1369</v>
      </c>
      <c r="D7443" s="132" t="s">
        <v>1381</v>
      </c>
      <c r="E7443" s="508">
        <v>5.8259999999999996</v>
      </c>
      <c r="F7443" s="508">
        <v>3.1440000000000001</v>
      </c>
      <c r="G7443" s="508">
        <v>3.13</v>
      </c>
      <c r="H7443" s="508">
        <v>3.15</v>
      </c>
      <c r="I7443" s="508">
        <v>3.153</v>
      </c>
      <c r="J7443" s="508">
        <v>3.024</v>
      </c>
      <c r="K7443" s="508">
        <v>3.0070000000000001</v>
      </c>
      <c r="L7443" s="508">
        <v>2.9750000000000001</v>
      </c>
      <c r="M7443" s="508">
        <v>2.9329999999999998</v>
      </c>
      <c r="N7443" s="508">
        <v>4.8730000000000002</v>
      </c>
      <c r="O7443" s="508">
        <v>4.7619999999999996</v>
      </c>
      <c r="P7443" s="508">
        <v>2.1579999999999999</v>
      </c>
      <c r="Q7443" s="508">
        <v>2.2480000000000002</v>
      </c>
      <c r="R7443" s="508">
        <v>2.165</v>
      </c>
      <c r="S7443" s="508">
        <v>2.169</v>
      </c>
      <c r="T7443" s="508">
        <v>2.0910000000000002</v>
      </c>
      <c r="U7443" s="508">
        <v>0.68799999999999994</v>
      </c>
      <c r="V7443" s="508">
        <v>0.65500000000000003</v>
      </c>
      <c r="W7443" s="508">
        <v>0.66100000000000003</v>
      </c>
      <c r="X7443" s="508">
        <v>0.44</v>
      </c>
      <c r="Y7443" s="508">
        <v>0.379</v>
      </c>
      <c r="Z7443" s="508">
        <v>0.23699999999999999</v>
      </c>
      <c r="AA7443" s="508">
        <v>0.221</v>
      </c>
      <c r="AB7443" s="508">
        <v>0.187</v>
      </c>
      <c r="AC7443" s="508">
        <v>0.17499999999999999</v>
      </c>
      <c r="AD7443" s="508">
        <v>0.13500000000000001</v>
      </c>
      <c r="AE7443" s="508">
        <v>0.122</v>
      </c>
      <c r="AF7443" s="508">
        <v>8.1000000000000003E-2</v>
      </c>
      <c r="AG7443" s="508">
        <v>7.2999999999999995E-2</v>
      </c>
      <c r="AH7443" s="508">
        <v>7.0999999999999994E-2</v>
      </c>
      <c r="AI7443" s="492">
        <v>7.0000000000000007E-2</v>
      </c>
      <c r="AJ7443" s="485"/>
    </row>
    <row r="7444" spans="2:36">
      <c r="B7444" s="136" t="s">
        <v>462</v>
      </c>
      <c r="C7444" s="132" t="s">
        <v>1369</v>
      </c>
      <c r="D7444" s="132" t="s">
        <v>1381</v>
      </c>
      <c r="E7444" s="508">
        <v>5.4029999999999996</v>
      </c>
      <c r="F7444" s="508">
        <v>3.081</v>
      </c>
      <c r="G7444" s="508">
        <v>3.073</v>
      </c>
      <c r="H7444" s="508">
        <v>3.097</v>
      </c>
      <c r="I7444" s="508">
        <v>3.1030000000000002</v>
      </c>
      <c r="J7444" s="508">
        <v>2.8969999999999998</v>
      </c>
      <c r="K7444" s="508">
        <v>2.8809999999999998</v>
      </c>
      <c r="L7444" s="508">
        <v>2.8559999999999999</v>
      </c>
      <c r="M7444" s="508">
        <v>2.819</v>
      </c>
      <c r="N7444" s="508">
        <v>5.0609999999999999</v>
      </c>
      <c r="O7444" s="508">
        <v>4.9530000000000003</v>
      </c>
      <c r="P7444" s="508">
        <v>1.8979999999999999</v>
      </c>
      <c r="Q7444" s="508">
        <v>2.0209999999999999</v>
      </c>
      <c r="R7444" s="508">
        <v>1.95</v>
      </c>
      <c r="S7444" s="508">
        <v>1.8819999999999999</v>
      </c>
      <c r="T7444" s="508">
        <v>1.819</v>
      </c>
      <c r="U7444" s="508">
        <v>0.52500000000000002</v>
      </c>
      <c r="V7444" s="508">
        <v>0.5</v>
      </c>
      <c r="W7444" s="508">
        <v>0.51500000000000001</v>
      </c>
      <c r="X7444" s="508">
        <v>0.29499999999999998</v>
      </c>
      <c r="Y7444" s="508">
        <v>0.23799999999999999</v>
      </c>
      <c r="Z7444" s="508">
        <v>0.159</v>
      </c>
      <c r="AA7444" s="508">
        <v>0.14599999999999999</v>
      </c>
      <c r="AB7444" s="508">
        <v>0.114</v>
      </c>
      <c r="AC7444" s="508">
        <v>0.105</v>
      </c>
      <c r="AD7444" s="508">
        <v>7.5999999999999998E-2</v>
      </c>
      <c r="AE7444" s="508">
        <v>7.3999999999999996E-2</v>
      </c>
      <c r="AF7444" s="508">
        <v>4.2000000000000003E-2</v>
      </c>
      <c r="AG7444" s="508">
        <v>0.04</v>
      </c>
      <c r="AH7444" s="508">
        <v>3.9E-2</v>
      </c>
      <c r="AI7444" s="492">
        <v>3.9E-2</v>
      </c>
      <c r="AJ7444" s="485"/>
    </row>
    <row r="7445" spans="2:36">
      <c r="B7445" s="136" t="s">
        <v>463</v>
      </c>
      <c r="C7445" s="132" t="s">
        <v>1369</v>
      </c>
      <c r="D7445" s="132" t="s">
        <v>1381</v>
      </c>
      <c r="E7445" s="508">
        <v>5.4219999999999997</v>
      </c>
      <c r="F7445" s="508">
        <v>2.9889999999999999</v>
      </c>
      <c r="G7445" s="508">
        <v>2.98</v>
      </c>
      <c r="H7445" s="508">
        <v>3.0009999999999999</v>
      </c>
      <c r="I7445" s="508">
        <v>3.0049999999999999</v>
      </c>
      <c r="J7445" s="508">
        <v>2.887</v>
      </c>
      <c r="K7445" s="508">
        <v>2.87</v>
      </c>
      <c r="L7445" s="508">
        <v>2.8410000000000002</v>
      </c>
      <c r="M7445" s="508">
        <v>2.8010000000000002</v>
      </c>
      <c r="N7445" s="508">
        <v>4.9459999999999997</v>
      </c>
      <c r="O7445" s="508">
        <v>4.835</v>
      </c>
      <c r="P7445" s="508">
        <v>1.841</v>
      </c>
      <c r="Q7445" s="508">
        <v>1.9510000000000001</v>
      </c>
      <c r="R7445" s="508">
        <v>1.88</v>
      </c>
      <c r="S7445" s="508">
        <v>1.8149999999999999</v>
      </c>
      <c r="T7445" s="508">
        <v>1.7509999999999999</v>
      </c>
      <c r="U7445" s="508">
        <v>0.57199999999999995</v>
      </c>
      <c r="V7445" s="508">
        <v>0.54600000000000004</v>
      </c>
      <c r="W7445" s="508">
        <v>0.55500000000000005</v>
      </c>
      <c r="X7445" s="508">
        <v>0.34699999999999998</v>
      </c>
      <c r="Y7445" s="508">
        <v>0.28999999999999998</v>
      </c>
      <c r="Z7445" s="508">
        <v>0.182</v>
      </c>
      <c r="AA7445" s="508">
        <v>0.16900000000000001</v>
      </c>
      <c r="AB7445" s="508">
        <v>0.13600000000000001</v>
      </c>
      <c r="AC7445" s="508">
        <v>0.127</v>
      </c>
      <c r="AD7445" s="508">
        <v>9.7000000000000003E-2</v>
      </c>
      <c r="AE7445" s="508">
        <v>9.0999999999999998E-2</v>
      </c>
      <c r="AF7445" s="508">
        <v>5.7000000000000002E-2</v>
      </c>
      <c r="AG7445" s="508">
        <v>5.2999999999999999E-2</v>
      </c>
      <c r="AH7445" s="508">
        <v>5.1999999999999998E-2</v>
      </c>
      <c r="AI7445" s="492">
        <v>5.1999999999999998E-2</v>
      </c>
      <c r="AJ7445" s="485"/>
    </row>
    <row r="7446" spans="2:36">
      <c r="B7446" s="136" t="s">
        <v>464</v>
      </c>
      <c r="C7446" s="132" t="s">
        <v>1369</v>
      </c>
      <c r="D7446" s="132" t="s">
        <v>1381</v>
      </c>
      <c r="E7446" s="508">
        <v>5.8460000000000001</v>
      </c>
      <c r="F7446" s="508">
        <v>3.1349999999999998</v>
      </c>
      <c r="G7446" s="508">
        <v>3.125</v>
      </c>
      <c r="H7446" s="508">
        <v>3.1459999999999999</v>
      </c>
      <c r="I7446" s="508">
        <v>3.1469999999999998</v>
      </c>
      <c r="J7446" s="508">
        <v>3.0510000000000002</v>
      </c>
      <c r="K7446" s="508">
        <v>3.032</v>
      </c>
      <c r="L7446" s="508">
        <v>2.9990000000000001</v>
      </c>
      <c r="M7446" s="508">
        <v>2.9540000000000002</v>
      </c>
      <c r="N7446" s="508">
        <v>5.0919999999999996</v>
      </c>
      <c r="O7446" s="508">
        <v>4.976</v>
      </c>
      <c r="P7446" s="508">
        <v>2.0779999999999998</v>
      </c>
      <c r="Q7446" s="508">
        <v>2.1890000000000001</v>
      </c>
      <c r="R7446" s="508">
        <v>2.1110000000000002</v>
      </c>
      <c r="S7446" s="508">
        <v>2.036</v>
      </c>
      <c r="T7446" s="508">
        <v>1.964</v>
      </c>
      <c r="U7446" s="508">
        <v>0.66400000000000003</v>
      </c>
      <c r="V7446" s="508">
        <v>0.63300000000000001</v>
      </c>
      <c r="W7446" s="508">
        <v>0.63800000000000001</v>
      </c>
      <c r="X7446" s="508">
        <v>0.42399999999999999</v>
      </c>
      <c r="Y7446" s="508">
        <v>0.36399999999999999</v>
      </c>
      <c r="Z7446" s="508">
        <v>0.219</v>
      </c>
      <c r="AA7446" s="508">
        <v>0.20399999999999999</v>
      </c>
      <c r="AB7446" s="508">
        <v>0.17100000000000001</v>
      </c>
      <c r="AC7446" s="508">
        <v>0.161</v>
      </c>
      <c r="AD7446" s="508">
        <v>0.124</v>
      </c>
      <c r="AE7446" s="508">
        <v>0.114</v>
      </c>
      <c r="AF7446" s="508">
        <v>7.4999999999999997E-2</v>
      </c>
      <c r="AG7446" s="508">
        <v>6.8000000000000005E-2</v>
      </c>
      <c r="AH7446" s="508">
        <v>6.7000000000000004E-2</v>
      </c>
      <c r="AI7446" s="492">
        <v>6.6000000000000003E-2</v>
      </c>
      <c r="AJ7446" s="485"/>
    </row>
    <row r="7447" spans="2:36">
      <c r="B7447" s="136" t="s">
        <v>465</v>
      </c>
      <c r="C7447" s="132" t="s">
        <v>1369</v>
      </c>
      <c r="D7447" s="132" t="s">
        <v>1381</v>
      </c>
      <c r="E7447" s="508">
        <v>5.7380000000000004</v>
      </c>
      <c r="F7447" s="508">
        <v>3.1349999999999998</v>
      </c>
      <c r="G7447" s="508">
        <v>3.125</v>
      </c>
      <c r="H7447" s="508">
        <v>3.1469999999999998</v>
      </c>
      <c r="I7447" s="508">
        <v>3.15</v>
      </c>
      <c r="J7447" s="508">
        <v>3.0259999999999998</v>
      </c>
      <c r="K7447" s="508">
        <v>3.0070000000000001</v>
      </c>
      <c r="L7447" s="508">
        <v>2.976</v>
      </c>
      <c r="M7447" s="508">
        <v>2.9329999999999998</v>
      </c>
      <c r="N7447" s="508">
        <v>5.0979999999999999</v>
      </c>
      <c r="O7447" s="508">
        <v>4.9829999999999997</v>
      </c>
      <c r="P7447" s="508">
        <v>2.0390000000000001</v>
      </c>
      <c r="Q7447" s="508">
        <v>2.1520000000000001</v>
      </c>
      <c r="R7447" s="508">
        <v>2.0760000000000001</v>
      </c>
      <c r="S7447" s="508">
        <v>2.0030000000000001</v>
      </c>
      <c r="T7447" s="508">
        <v>1.9319999999999999</v>
      </c>
      <c r="U7447" s="508">
        <v>0.66</v>
      </c>
      <c r="V7447" s="508">
        <v>0.629</v>
      </c>
      <c r="W7447" s="508">
        <v>0.63700000000000001</v>
      </c>
      <c r="X7447" s="508">
        <v>0.41299999999999998</v>
      </c>
      <c r="Y7447" s="508">
        <v>0.35099999999999998</v>
      </c>
      <c r="Z7447" s="508">
        <v>0.216</v>
      </c>
      <c r="AA7447" s="508">
        <v>0.20100000000000001</v>
      </c>
      <c r="AB7447" s="508">
        <v>0.16600000000000001</v>
      </c>
      <c r="AC7447" s="508">
        <v>0.156</v>
      </c>
      <c r="AD7447" s="508">
        <v>0.11899999999999999</v>
      </c>
      <c r="AE7447" s="508">
        <v>0.11</v>
      </c>
      <c r="AF7447" s="508">
        <v>7.0999999999999994E-2</v>
      </c>
      <c r="AG7447" s="508">
        <v>6.5000000000000002E-2</v>
      </c>
      <c r="AH7447" s="508">
        <v>6.3E-2</v>
      </c>
      <c r="AI7447" s="492">
        <v>6.2E-2</v>
      </c>
      <c r="AJ7447" s="485"/>
    </row>
    <row r="7448" spans="2:36">
      <c r="B7448" s="136" t="s">
        <v>466</v>
      </c>
      <c r="C7448" s="132" t="s">
        <v>1369</v>
      </c>
      <c r="D7448" s="132" t="s">
        <v>1381</v>
      </c>
      <c r="E7448" s="508">
        <v>4.8769999999999998</v>
      </c>
      <c r="F7448" s="508">
        <v>2.714</v>
      </c>
      <c r="G7448" s="508">
        <v>2.698</v>
      </c>
      <c r="H7448" s="508">
        <v>2.7160000000000002</v>
      </c>
      <c r="I7448" s="508">
        <v>2.722</v>
      </c>
      <c r="J7448" s="508">
        <v>2.48</v>
      </c>
      <c r="K7448" s="508">
        <v>2.4700000000000002</v>
      </c>
      <c r="L7448" s="508">
        <v>2.4489999999999998</v>
      </c>
      <c r="M7448" s="508">
        <v>2.4239999999999999</v>
      </c>
      <c r="N7448" s="508">
        <v>4.069</v>
      </c>
      <c r="O7448" s="508">
        <v>3.9849999999999999</v>
      </c>
      <c r="P7448" s="508">
        <v>1.677</v>
      </c>
      <c r="Q7448" s="508">
        <v>1.762</v>
      </c>
      <c r="R7448" s="508">
        <v>1.6910000000000001</v>
      </c>
      <c r="S7448" s="508">
        <v>1.637</v>
      </c>
      <c r="T7448" s="508">
        <v>1.577</v>
      </c>
      <c r="U7448" s="508">
        <v>0.498</v>
      </c>
      <c r="V7448" s="508">
        <v>0.47499999999999998</v>
      </c>
      <c r="W7448" s="508">
        <v>0.48599999999999999</v>
      </c>
      <c r="X7448" s="508">
        <v>0.29299999999999998</v>
      </c>
      <c r="Y7448" s="508">
        <v>0.24</v>
      </c>
      <c r="Z7448" s="508">
        <v>0.156</v>
      </c>
      <c r="AA7448" s="508">
        <v>0.14199999999999999</v>
      </c>
      <c r="AB7448" s="508">
        <v>0.111</v>
      </c>
      <c r="AC7448" s="508">
        <v>0.10100000000000001</v>
      </c>
      <c r="AD7448" s="508">
        <v>7.9000000000000001E-2</v>
      </c>
      <c r="AE7448" s="508">
        <v>7.4999999999999997E-2</v>
      </c>
      <c r="AF7448" s="508">
        <v>4.9000000000000002E-2</v>
      </c>
      <c r="AG7448" s="508">
        <v>4.5999999999999999E-2</v>
      </c>
      <c r="AH7448" s="508">
        <v>4.4999999999999998E-2</v>
      </c>
      <c r="AI7448" s="492">
        <v>4.4999999999999998E-2</v>
      </c>
      <c r="AJ7448" s="485"/>
    </row>
    <row r="7449" spans="2:36">
      <c r="B7449" s="136" t="s">
        <v>467</v>
      </c>
      <c r="C7449" s="132" t="s">
        <v>1369</v>
      </c>
      <c r="D7449" s="132" t="s">
        <v>1381</v>
      </c>
      <c r="E7449" s="508">
        <v>5.82</v>
      </c>
      <c r="F7449" s="508">
        <v>3.1459999999999999</v>
      </c>
      <c r="G7449" s="508">
        <v>3.1349999999999998</v>
      </c>
      <c r="H7449" s="508">
        <v>3.1560000000000001</v>
      </c>
      <c r="I7449" s="508">
        <v>3.1579999999999999</v>
      </c>
      <c r="J7449" s="508">
        <v>3.0179999999999998</v>
      </c>
      <c r="K7449" s="508">
        <v>3</v>
      </c>
      <c r="L7449" s="508">
        <v>2.968</v>
      </c>
      <c r="M7449" s="508">
        <v>2.9249999999999998</v>
      </c>
      <c r="N7449" s="508">
        <v>5.0679999999999996</v>
      </c>
      <c r="O7449" s="508">
        <v>4.9539999999999997</v>
      </c>
      <c r="P7449" s="508">
        <v>1.7130000000000001</v>
      </c>
      <c r="Q7449" s="508">
        <v>1.786</v>
      </c>
      <c r="R7449" s="508">
        <v>1.7130000000000001</v>
      </c>
      <c r="S7449" s="508">
        <v>1.657</v>
      </c>
      <c r="T7449" s="508">
        <v>1.593</v>
      </c>
      <c r="U7449" s="508">
        <v>0.57199999999999995</v>
      </c>
      <c r="V7449" s="508">
        <v>0.54600000000000004</v>
      </c>
      <c r="W7449" s="508">
        <v>0.55100000000000005</v>
      </c>
      <c r="X7449" s="508">
        <v>0.372</v>
      </c>
      <c r="Y7449" s="508">
        <v>0.31900000000000001</v>
      </c>
      <c r="Z7449" s="508">
        <v>0.193</v>
      </c>
      <c r="AA7449" s="508">
        <v>0.17899999999999999</v>
      </c>
      <c r="AB7449" s="508">
        <v>0.14899999999999999</v>
      </c>
      <c r="AC7449" s="508">
        <v>0.13800000000000001</v>
      </c>
      <c r="AD7449" s="508">
        <v>0.111</v>
      </c>
      <c r="AE7449" s="508">
        <v>0.10199999999999999</v>
      </c>
      <c r="AF7449" s="508">
        <v>7.1999999999999995E-2</v>
      </c>
      <c r="AG7449" s="508">
        <v>6.6000000000000003E-2</v>
      </c>
      <c r="AH7449" s="508">
        <v>6.4000000000000001E-2</v>
      </c>
      <c r="AI7449" s="492">
        <v>6.3E-2</v>
      </c>
      <c r="AJ7449" s="485"/>
    </row>
    <row r="7450" spans="2:36">
      <c r="B7450" s="136" t="s">
        <v>468</v>
      </c>
      <c r="C7450" s="132" t="s">
        <v>1369</v>
      </c>
      <c r="D7450" s="132" t="s">
        <v>1381</v>
      </c>
      <c r="E7450" s="508">
        <v>4.2839999999999998</v>
      </c>
      <c r="F7450" s="508">
        <v>2.298</v>
      </c>
      <c r="G7450" s="508">
        <v>2.2829999999999999</v>
      </c>
      <c r="H7450" s="508">
        <v>2.298</v>
      </c>
      <c r="I7450" s="508">
        <v>2.3010000000000002</v>
      </c>
      <c r="J7450" s="508">
        <v>2.1859999999999999</v>
      </c>
      <c r="K7450" s="508">
        <v>2.177</v>
      </c>
      <c r="L7450" s="508">
        <v>2.157</v>
      </c>
      <c r="M7450" s="508">
        <v>2.133</v>
      </c>
      <c r="N7450" s="508">
        <v>3.427</v>
      </c>
      <c r="O7450" s="508">
        <v>3.3519999999999999</v>
      </c>
      <c r="P7450" s="508">
        <v>1.5449999999999999</v>
      </c>
      <c r="Q7450" s="508">
        <v>1.6339999999999999</v>
      </c>
      <c r="R7450" s="508">
        <v>1.569</v>
      </c>
      <c r="S7450" s="508">
        <v>1.5169999999999999</v>
      </c>
      <c r="T7450" s="508">
        <v>1.4610000000000001</v>
      </c>
      <c r="U7450" s="508">
        <v>0.501</v>
      </c>
      <c r="V7450" s="508">
        <v>0.47899999999999998</v>
      </c>
      <c r="W7450" s="508">
        <v>0.48599999999999999</v>
      </c>
      <c r="X7450" s="508">
        <v>0.312</v>
      </c>
      <c r="Y7450" s="508">
        <v>0.26200000000000001</v>
      </c>
      <c r="Z7450" s="508">
        <v>0.16400000000000001</v>
      </c>
      <c r="AA7450" s="508">
        <v>0.151</v>
      </c>
      <c r="AB7450" s="508">
        <v>0.123</v>
      </c>
      <c r="AC7450" s="508">
        <v>0.114</v>
      </c>
      <c r="AD7450" s="508">
        <v>9.0999999999999998E-2</v>
      </c>
      <c r="AE7450" s="508">
        <v>9.2999999999999999E-2</v>
      </c>
      <c r="AF7450" s="508">
        <v>5.7000000000000002E-2</v>
      </c>
      <c r="AG7450" s="508">
        <v>5.2999999999999999E-2</v>
      </c>
      <c r="AH7450" s="508">
        <v>5.1999999999999998E-2</v>
      </c>
      <c r="AI7450" s="492">
        <v>5.1999999999999998E-2</v>
      </c>
      <c r="AJ7450" s="485"/>
    </row>
    <row r="7451" spans="2:36">
      <c r="B7451" s="136" t="s">
        <v>469</v>
      </c>
      <c r="C7451" s="132" t="s">
        <v>1369</v>
      </c>
      <c r="D7451" s="132" t="s">
        <v>1381</v>
      </c>
      <c r="E7451" s="508">
        <v>5.2649999999999997</v>
      </c>
      <c r="F7451" s="508">
        <v>2.9079999999999999</v>
      </c>
      <c r="G7451" s="508">
        <v>2.8969999999999998</v>
      </c>
      <c r="H7451" s="508">
        <v>2.9169999999999998</v>
      </c>
      <c r="I7451" s="508">
        <v>2.9209999999999998</v>
      </c>
      <c r="J7451" s="508">
        <v>2.758</v>
      </c>
      <c r="K7451" s="508">
        <v>2.7429999999999999</v>
      </c>
      <c r="L7451" s="508">
        <v>2.7170000000000001</v>
      </c>
      <c r="M7451" s="508">
        <v>2.681</v>
      </c>
      <c r="N7451" s="508">
        <v>4.6769999999999996</v>
      </c>
      <c r="O7451" s="508">
        <v>4.5739999999999998</v>
      </c>
      <c r="P7451" s="508">
        <v>1.853</v>
      </c>
      <c r="Q7451" s="508">
        <v>1.962</v>
      </c>
      <c r="R7451" s="508">
        <v>1.89</v>
      </c>
      <c r="S7451" s="508">
        <v>1.825</v>
      </c>
      <c r="T7451" s="508">
        <v>1.7609999999999999</v>
      </c>
      <c r="U7451" s="508">
        <v>0.56799999999999995</v>
      </c>
      <c r="V7451" s="508">
        <v>0.54100000000000004</v>
      </c>
      <c r="W7451" s="508">
        <v>0.55200000000000005</v>
      </c>
      <c r="X7451" s="508">
        <v>0.34100000000000003</v>
      </c>
      <c r="Y7451" s="508">
        <v>0.28299999999999997</v>
      </c>
      <c r="Z7451" s="508">
        <v>0.17899999999999999</v>
      </c>
      <c r="AA7451" s="508">
        <v>0.16500000000000001</v>
      </c>
      <c r="AB7451" s="508">
        <v>0.13300000000000001</v>
      </c>
      <c r="AC7451" s="508">
        <v>0.123</v>
      </c>
      <c r="AD7451" s="508">
        <v>9.2999999999999999E-2</v>
      </c>
      <c r="AE7451" s="508">
        <v>8.7999999999999995E-2</v>
      </c>
      <c r="AF7451" s="508">
        <v>5.5E-2</v>
      </c>
      <c r="AG7451" s="508">
        <v>5.0999999999999997E-2</v>
      </c>
      <c r="AH7451" s="508">
        <v>5.0999999999999997E-2</v>
      </c>
      <c r="AI7451" s="492">
        <v>0.05</v>
      </c>
      <c r="AJ7451" s="485"/>
    </row>
    <row r="7452" spans="2:36">
      <c r="B7452" s="136" t="s">
        <v>470</v>
      </c>
      <c r="C7452" s="132" t="s">
        <v>1369</v>
      </c>
      <c r="D7452" s="132" t="s">
        <v>1381</v>
      </c>
      <c r="E7452" s="508">
        <v>2.7170000000000001</v>
      </c>
      <c r="F7452" s="508">
        <v>1.2689999999999999</v>
      </c>
      <c r="G7452" s="508">
        <v>1.2350000000000001</v>
      </c>
      <c r="H7452" s="508">
        <v>1.2410000000000001</v>
      </c>
      <c r="I7452" s="508">
        <v>1.2470000000000001</v>
      </c>
      <c r="J7452" s="508">
        <v>1.238</v>
      </c>
      <c r="K7452" s="508">
        <v>1.2370000000000001</v>
      </c>
      <c r="L7452" s="508">
        <v>1.222</v>
      </c>
      <c r="M7452" s="508">
        <v>1.212</v>
      </c>
      <c r="N7452" s="508">
        <v>1.9810000000000001</v>
      </c>
      <c r="O7452" s="508">
        <v>1.9219999999999999</v>
      </c>
      <c r="P7452" s="508">
        <v>1.696</v>
      </c>
      <c r="Q7452" s="508">
        <v>1.768</v>
      </c>
      <c r="R7452" s="508">
        <v>1.6950000000000001</v>
      </c>
      <c r="S7452" s="508">
        <v>1.64</v>
      </c>
      <c r="T7452" s="508">
        <v>1.577</v>
      </c>
      <c r="U7452" s="508">
        <v>0.54</v>
      </c>
      <c r="V7452" s="508">
        <v>0.51600000000000001</v>
      </c>
      <c r="W7452" s="508">
        <v>0.52200000000000002</v>
      </c>
      <c r="X7452" s="508">
        <v>0.34200000000000003</v>
      </c>
      <c r="Y7452" s="508">
        <v>0.28999999999999998</v>
      </c>
      <c r="Z7452" s="508">
        <v>0.17699999999999999</v>
      </c>
      <c r="AA7452" s="508">
        <v>0.16300000000000001</v>
      </c>
      <c r="AB7452" s="508">
        <v>0.13300000000000001</v>
      </c>
      <c r="AC7452" s="508">
        <v>0.123</v>
      </c>
      <c r="AD7452" s="508">
        <v>9.9000000000000005E-2</v>
      </c>
      <c r="AE7452" s="508">
        <v>9.1999999999999998E-2</v>
      </c>
      <c r="AF7452" s="508">
        <v>6.4000000000000001E-2</v>
      </c>
      <c r="AG7452" s="508">
        <v>0.06</v>
      </c>
      <c r="AH7452" s="508">
        <v>5.8000000000000003E-2</v>
      </c>
      <c r="AI7452" s="492">
        <v>5.7000000000000002E-2</v>
      </c>
      <c r="AJ7452" s="485"/>
    </row>
    <row r="7453" spans="2:36">
      <c r="B7453" s="136" t="s">
        <v>471</v>
      </c>
      <c r="C7453" s="132" t="s">
        <v>1369</v>
      </c>
      <c r="D7453" s="132" t="s">
        <v>1381</v>
      </c>
      <c r="E7453" s="508">
        <v>5.7060000000000004</v>
      </c>
      <c r="F7453" s="508">
        <v>3.198</v>
      </c>
      <c r="G7453" s="508">
        <v>3.1880000000000002</v>
      </c>
      <c r="H7453" s="508">
        <v>3.2109999999999999</v>
      </c>
      <c r="I7453" s="508">
        <v>3.2149999999999999</v>
      </c>
      <c r="J7453" s="508">
        <v>3.0009999999999999</v>
      </c>
      <c r="K7453" s="508">
        <v>2.984</v>
      </c>
      <c r="L7453" s="508">
        <v>2.956</v>
      </c>
      <c r="M7453" s="508">
        <v>2.9169999999999998</v>
      </c>
      <c r="N7453" s="508">
        <v>5.2050000000000001</v>
      </c>
      <c r="O7453" s="508">
        <v>5.093</v>
      </c>
      <c r="P7453" s="508">
        <v>1.9350000000000001</v>
      </c>
      <c r="Q7453" s="508">
        <v>2.0470000000000002</v>
      </c>
      <c r="R7453" s="508">
        <v>1.972</v>
      </c>
      <c r="S7453" s="508">
        <v>1.905</v>
      </c>
      <c r="T7453" s="508">
        <v>1.839</v>
      </c>
      <c r="U7453" s="508">
        <v>0.54900000000000004</v>
      </c>
      <c r="V7453" s="508">
        <v>0.52300000000000002</v>
      </c>
      <c r="W7453" s="508">
        <v>0.53700000000000003</v>
      </c>
      <c r="X7453" s="508">
        <v>0.317</v>
      </c>
      <c r="Y7453" s="508">
        <v>0.25800000000000001</v>
      </c>
      <c r="Z7453" s="508">
        <v>0.16800000000000001</v>
      </c>
      <c r="AA7453" s="508">
        <v>0.155</v>
      </c>
      <c r="AB7453" s="508">
        <v>0.122</v>
      </c>
      <c r="AC7453" s="508">
        <v>0.112</v>
      </c>
      <c r="AD7453" s="508">
        <v>8.3000000000000004E-2</v>
      </c>
      <c r="AE7453" s="508">
        <v>0.08</v>
      </c>
      <c r="AF7453" s="508">
        <v>4.8000000000000001E-2</v>
      </c>
      <c r="AG7453" s="508">
        <v>4.4999999999999998E-2</v>
      </c>
      <c r="AH7453" s="508">
        <v>4.3999999999999997E-2</v>
      </c>
      <c r="AI7453" s="492">
        <v>4.3999999999999997E-2</v>
      </c>
      <c r="AJ7453" s="485"/>
    </row>
    <row r="7454" spans="2:36">
      <c r="B7454" s="136" t="s">
        <v>472</v>
      </c>
      <c r="C7454" s="132" t="s">
        <v>1369</v>
      </c>
      <c r="D7454" s="132" t="s">
        <v>1381</v>
      </c>
      <c r="E7454" s="508">
        <v>6.1719999999999997</v>
      </c>
      <c r="F7454" s="508">
        <v>3.347</v>
      </c>
      <c r="G7454" s="508">
        <v>3.3359999999999999</v>
      </c>
      <c r="H7454" s="508">
        <v>3.359</v>
      </c>
      <c r="I7454" s="508">
        <v>3.36</v>
      </c>
      <c r="J7454" s="508">
        <v>3.2879999999999998</v>
      </c>
      <c r="K7454" s="508">
        <v>3.266</v>
      </c>
      <c r="L7454" s="508">
        <v>3.2290000000000001</v>
      </c>
      <c r="M7454" s="508">
        <v>3.1789999999999998</v>
      </c>
      <c r="N7454" s="508">
        <v>5.3710000000000004</v>
      </c>
      <c r="O7454" s="508">
        <v>5.2460000000000004</v>
      </c>
      <c r="P7454" s="508">
        <v>2.2639999999999998</v>
      </c>
      <c r="Q7454" s="508">
        <v>2.371</v>
      </c>
      <c r="R7454" s="508">
        <v>2.286</v>
      </c>
      <c r="S7454" s="508">
        <v>2.2040000000000002</v>
      </c>
      <c r="T7454" s="508">
        <v>2.1240000000000001</v>
      </c>
      <c r="U7454" s="508">
        <v>0.72</v>
      </c>
      <c r="V7454" s="508">
        <v>0.68700000000000006</v>
      </c>
      <c r="W7454" s="508">
        <v>0.69</v>
      </c>
      <c r="X7454" s="508">
        <v>0.47299999999999998</v>
      </c>
      <c r="Y7454" s="508">
        <v>0.41099999999999998</v>
      </c>
      <c r="Z7454" s="508">
        <v>0.26200000000000001</v>
      </c>
      <c r="AA7454" s="508">
        <v>0.245</v>
      </c>
      <c r="AB7454" s="508">
        <v>0.21099999999999999</v>
      </c>
      <c r="AC7454" s="508">
        <v>0.19900000000000001</v>
      </c>
      <c r="AD7454" s="508">
        <v>0.154</v>
      </c>
      <c r="AE7454" s="508">
        <v>0.13800000000000001</v>
      </c>
      <c r="AF7454" s="508">
        <v>9.2999999999999999E-2</v>
      </c>
      <c r="AG7454" s="508">
        <v>8.2000000000000003E-2</v>
      </c>
      <c r="AH7454" s="508">
        <v>8.1000000000000003E-2</v>
      </c>
      <c r="AI7454" s="492">
        <v>7.9000000000000001E-2</v>
      </c>
      <c r="AJ7454" s="485"/>
    </row>
    <row r="7455" spans="2:36">
      <c r="B7455" s="136" t="s">
        <v>473</v>
      </c>
      <c r="C7455" s="132" t="s">
        <v>1369</v>
      </c>
      <c r="D7455" s="132" t="s">
        <v>1381</v>
      </c>
      <c r="E7455" s="508">
        <v>5.4450000000000003</v>
      </c>
      <c r="F7455" s="508">
        <v>2.9359999999999999</v>
      </c>
      <c r="G7455" s="508">
        <v>2.6</v>
      </c>
      <c r="H7455" s="508">
        <v>2.617</v>
      </c>
      <c r="I7455" s="508">
        <v>2.621</v>
      </c>
      <c r="J7455" s="508">
        <v>2.4729999999999999</v>
      </c>
      <c r="K7455" s="508">
        <v>2.4609999999999999</v>
      </c>
      <c r="L7455" s="508">
        <v>2.4359999999999999</v>
      </c>
      <c r="M7455" s="508">
        <v>2.4060000000000001</v>
      </c>
      <c r="N7455" s="508">
        <v>4.0999999999999996</v>
      </c>
      <c r="O7455" s="508">
        <v>4.0049999999999999</v>
      </c>
      <c r="P7455" s="508">
        <v>1.9610000000000001</v>
      </c>
      <c r="Q7455" s="508">
        <v>2.052</v>
      </c>
      <c r="R7455" s="508">
        <v>1.9730000000000001</v>
      </c>
      <c r="S7455" s="508">
        <v>1.907</v>
      </c>
      <c r="T7455" s="508">
        <v>1.8380000000000001</v>
      </c>
      <c r="U7455" s="508">
        <v>0.56499999999999995</v>
      </c>
      <c r="V7455" s="508">
        <v>0.53900000000000003</v>
      </c>
      <c r="W7455" s="508">
        <v>0.54700000000000004</v>
      </c>
      <c r="X7455" s="508">
        <v>0.34799999999999998</v>
      </c>
      <c r="Y7455" s="508">
        <v>0.29299999999999998</v>
      </c>
      <c r="Z7455" s="508">
        <v>0.18099999999999999</v>
      </c>
      <c r="AA7455" s="508">
        <v>0.16700000000000001</v>
      </c>
      <c r="AB7455" s="508">
        <v>0.13700000000000001</v>
      </c>
      <c r="AC7455" s="508">
        <v>0.127</v>
      </c>
      <c r="AD7455" s="508">
        <v>9.8000000000000004E-2</v>
      </c>
      <c r="AE7455" s="508">
        <v>9.1999999999999998E-2</v>
      </c>
      <c r="AF7455" s="508">
        <v>0.06</v>
      </c>
      <c r="AG7455" s="508">
        <v>5.5E-2</v>
      </c>
      <c r="AH7455" s="508">
        <v>5.3999999999999999E-2</v>
      </c>
      <c r="AI7455" s="492">
        <v>5.2999999999999999E-2</v>
      </c>
      <c r="AJ7455" s="485"/>
    </row>
    <row r="7456" spans="2:36">
      <c r="B7456" s="136" t="s">
        <v>474</v>
      </c>
      <c r="C7456" s="132" t="s">
        <v>1369</v>
      </c>
      <c r="D7456" s="132" t="s">
        <v>1381</v>
      </c>
      <c r="E7456" s="508">
        <v>5.468</v>
      </c>
      <c r="F7456" s="508">
        <v>3.0670000000000002</v>
      </c>
      <c r="G7456" s="508">
        <v>3.0579999999999998</v>
      </c>
      <c r="H7456" s="508">
        <v>3.081</v>
      </c>
      <c r="I7456" s="508">
        <v>3.0859999999999999</v>
      </c>
      <c r="J7456" s="508">
        <v>2.89</v>
      </c>
      <c r="K7456" s="508">
        <v>2.8740000000000001</v>
      </c>
      <c r="L7456" s="508">
        <v>2.847</v>
      </c>
      <c r="M7456" s="508">
        <v>2.81</v>
      </c>
      <c r="N7456" s="508">
        <v>4.9960000000000004</v>
      </c>
      <c r="O7456" s="508">
        <v>4.8890000000000002</v>
      </c>
      <c r="P7456" s="508">
        <v>1.9039999999999999</v>
      </c>
      <c r="Q7456" s="508">
        <v>2.0179999999999998</v>
      </c>
      <c r="R7456" s="508">
        <v>1.946</v>
      </c>
      <c r="S7456" s="508">
        <v>1.879</v>
      </c>
      <c r="T7456" s="508">
        <v>1.8140000000000001</v>
      </c>
      <c r="U7456" s="508">
        <v>0.56799999999999995</v>
      </c>
      <c r="V7456" s="508">
        <v>0.54100000000000004</v>
      </c>
      <c r="W7456" s="508">
        <v>0.55300000000000005</v>
      </c>
      <c r="X7456" s="508">
        <v>0.33100000000000002</v>
      </c>
      <c r="Y7456" s="508">
        <v>0.27100000000000002</v>
      </c>
      <c r="Z7456" s="508">
        <v>0.17499999999999999</v>
      </c>
      <c r="AA7456" s="508">
        <v>0.161</v>
      </c>
      <c r="AB7456" s="508">
        <v>0.128</v>
      </c>
      <c r="AC7456" s="508">
        <v>0.11799999999999999</v>
      </c>
      <c r="AD7456" s="508">
        <v>8.7999999999999995E-2</v>
      </c>
      <c r="AE7456" s="508">
        <v>8.4000000000000005E-2</v>
      </c>
      <c r="AF7456" s="508">
        <v>0.05</v>
      </c>
      <c r="AG7456" s="508">
        <v>4.7E-2</v>
      </c>
      <c r="AH7456" s="508">
        <v>4.5999999999999999E-2</v>
      </c>
      <c r="AI7456" s="492">
        <v>4.4999999999999998E-2</v>
      </c>
      <c r="AJ7456" s="485"/>
    </row>
    <row r="7457" spans="2:36">
      <c r="B7457" s="136" t="s">
        <v>475</v>
      </c>
      <c r="C7457" s="132" t="s">
        <v>1369</v>
      </c>
      <c r="D7457" s="132" t="s">
        <v>1381</v>
      </c>
      <c r="E7457" s="508">
        <v>5.3079999999999998</v>
      </c>
      <c r="F7457" s="508">
        <v>2.8460000000000001</v>
      </c>
      <c r="G7457" s="508">
        <v>2.8330000000000002</v>
      </c>
      <c r="H7457" s="508">
        <v>2.851</v>
      </c>
      <c r="I7457" s="508">
        <v>2.8530000000000002</v>
      </c>
      <c r="J7457" s="508">
        <v>2.6880000000000002</v>
      </c>
      <c r="K7457" s="508">
        <v>2.6459999999999999</v>
      </c>
      <c r="L7457" s="508">
        <v>2.62</v>
      </c>
      <c r="M7457" s="508">
        <v>2.5859999999999999</v>
      </c>
      <c r="N7457" s="508">
        <v>4.4610000000000003</v>
      </c>
      <c r="O7457" s="508">
        <v>4.3630000000000004</v>
      </c>
      <c r="P7457" s="508">
        <v>1.7929999999999999</v>
      </c>
      <c r="Q7457" s="508">
        <v>1.889</v>
      </c>
      <c r="R7457" s="508">
        <v>1.8169999999999999</v>
      </c>
      <c r="S7457" s="508">
        <v>1.756</v>
      </c>
      <c r="T7457" s="508">
        <v>1.6919999999999999</v>
      </c>
      <c r="U7457" s="508">
        <v>0.53600000000000003</v>
      </c>
      <c r="V7457" s="508">
        <v>0.51100000000000001</v>
      </c>
      <c r="W7457" s="508">
        <v>0.52</v>
      </c>
      <c r="X7457" s="508">
        <v>0.32500000000000001</v>
      </c>
      <c r="Y7457" s="508">
        <v>0.27100000000000002</v>
      </c>
      <c r="Z7457" s="508">
        <v>0.16900000000000001</v>
      </c>
      <c r="AA7457" s="508">
        <v>0.156</v>
      </c>
      <c r="AB7457" s="508">
        <v>0.126</v>
      </c>
      <c r="AC7457" s="508">
        <v>0.11600000000000001</v>
      </c>
      <c r="AD7457" s="508">
        <v>0.09</v>
      </c>
      <c r="AE7457" s="508">
        <v>8.5000000000000006E-2</v>
      </c>
      <c r="AF7457" s="508">
        <v>5.5E-2</v>
      </c>
      <c r="AG7457" s="508">
        <v>5.0999999999999997E-2</v>
      </c>
      <c r="AH7457" s="508">
        <v>0.05</v>
      </c>
      <c r="AI7457" s="492">
        <v>0.05</v>
      </c>
      <c r="AJ7457" s="485"/>
    </row>
    <row r="7458" spans="2:36">
      <c r="B7458" s="136" t="s">
        <v>476</v>
      </c>
      <c r="C7458" s="132" t="s">
        <v>1369</v>
      </c>
      <c r="D7458" s="132" t="s">
        <v>1381</v>
      </c>
      <c r="E7458" s="508">
        <v>5.8849999999999998</v>
      </c>
      <c r="F7458" s="508">
        <v>2.77</v>
      </c>
      <c r="G7458" s="508">
        <v>2.7519999999999998</v>
      </c>
      <c r="H7458" s="508">
        <v>2.77</v>
      </c>
      <c r="I7458" s="508">
        <v>2.774</v>
      </c>
      <c r="J7458" s="508">
        <v>2.609</v>
      </c>
      <c r="K7458" s="508">
        <v>2.5960000000000001</v>
      </c>
      <c r="L7458" s="508">
        <v>2.5710000000000002</v>
      </c>
      <c r="M7458" s="508">
        <v>2.5390000000000001</v>
      </c>
      <c r="N7458" s="508">
        <v>4.28</v>
      </c>
      <c r="O7458" s="508">
        <v>4.1849999999999996</v>
      </c>
      <c r="P7458" s="508">
        <v>1.825</v>
      </c>
      <c r="Q7458" s="508">
        <v>1.911</v>
      </c>
      <c r="R7458" s="508">
        <v>1.8360000000000001</v>
      </c>
      <c r="S7458" s="508">
        <v>1.7749999999999999</v>
      </c>
      <c r="T7458" s="508">
        <v>1.7090000000000001</v>
      </c>
      <c r="U7458" s="508">
        <v>0.55700000000000005</v>
      </c>
      <c r="V7458" s="508">
        <v>0.53200000000000003</v>
      </c>
      <c r="W7458" s="508">
        <v>0.53900000000000003</v>
      </c>
      <c r="X7458" s="508">
        <v>0.34599999999999997</v>
      </c>
      <c r="Y7458" s="508">
        <v>0.29199999999999998</v>
      </c>
      <c r="Z7458" s="508">
        <v>0.18</v>
      </c>
      <c r="AA7458" s="508">
        <v>0.16600000000000001</v>
      </c>
      <c r="AB7458" s="508">
        <v>0.13500000000000001</v>
      </c>
      <c r="AC7458" s="508">
        <v>0.124</v>
      </c>
      <c r="AD7458" s="508">
        <v>9.8000000000000004E-2</v>
      </c>
      <c r="AE7458" s="508">
        <v>9.0999999999999998E-2</v>
      </c>
      <c r="AF7458" s="508">
        <v>6.2E-2</v>
      </c>
      <c r="AG7458" s="508">
        <v>5.7000000000000002E-2</v>
      </c>
      <c r="AH7458" s="508">
        <v>5.6000000000000001E-2</v>
      </c>
      <c r="AI7458" s="492">
        <v>5.5E-2</v>
      </c>
      <c r="AJ7458" s="485"/>
    </row>
    <row r="7459" spans="2:36">
      <c r="B7459" s="136" t="s">
        <v>478</v>
      </c>
      <c r="C7459" s="132" t="s">
        <v>1369</v>
      </c>
      <c r="D7459" s="132" t="s">
        <v>1381</v>
      </c>
      <c r="E7459" s="508">
        <v>2.9089999999999998</v>
      </c>
      <c r="F7459" s="508">
        <v>1.3879999999999999</v>
      </c>
      <c r="G7459" s="508">
        <v>1.3560000000000001</v>
      </c>
      <c r="H7459" s="508">
        <v>1.363</v>
      </c>
      <c r="I7459" s="508">
        <v>1.3680000000000001</v>
      </c>
      <c r="J7459" s="508">
        <v>1.3440000000000001</v>
      </c>
      <c r="K7459" s="508">
        <v>1.3420000000000001</v>
      </c>
      <c r="L7459" s="508">
        <v>1.3260000000000001</v>
      </c>
      <c r="M7459" s="508">
        <v>1.3140000000000001</v>
      </c>
      <c r="N7459" s="508">
        <v>2.1779999999999999</v>
      </c>
      <c r="O7459" s="508">
        <v>2.1160000000000001</v>
      </c>
      <c r="P7459" s="508">
        <v>1.6890000000000001</v>
      </c>
      <c r="Q7459" s="508">
        <v>1.7609999999999999</v>
      </c>
      <c r="R7459" s="508">
        <v>1.6890000000000001</v>
      </c>
      <c r="S7459" s="508">
        <v>1.6339999999999999</v>
      </c>
      <c r="T7459" s="508">
        <v>1.5720000000000001</v>
      </c>
      <c r="U7459" s="508">
        <v>0.55400000000000005</v>
      </c>
      <c r="V7459" s="508">
        <v>0.53</v>
      </c>
      <c r="W7459" s="508">
        <v>0.53700000000000003</v>
      </c>
      <c r="X7459" s="508">
        <v>0.34899999999999998</v>
      </c>
      <c r="Y7459" s="508">
        <v>0.29499999999999998</v>
      </c>
      <c r="Z7459" s="508">
        <v>0.182</v>
      </c>
      <c r="AA7459" s="508">
        <v>0.16700000000000001</v>
      </c>
      <c r="AB7459" s="508">
        <v>0.13800000000000001</v>
      </c>
      <c r="AC7459" s="508">
        <v>0.127</v>
      </c>
      <c r="AD7459" s="508">
        <v>0.10100000000000001</v>
      </c>
      <c r="AE7459" s="508">
        <v>0.10100000000000001</v>
      </c>
      <c r="AF7459" s="508">
        <v>6.4000000000000001E-2</v>
      </c>
      <c r="AG7459" s="508">
        <v>5.8999999999999997E-2</v>
      </c>
      <c r="AH7459" s="508">
        <v>5.8000000000000003E-2</v>
      </c>
      <c r="AI7459" s="492">
        <v>5.7000000000000002E-2</v>
      </c>
      <c r="AJ7459" s="485"/>
    </row>
    <row r="7460" spans="2:36">
      <c r="B7460" s="136" t="s">
        <v>479</v>
      </c>
      <c r="C7460" s="132" t="s">
        <v>1369</v>
      </c>
      <c r="D7460" s="132" t="s">
        <v>1381</v>
      </c>
      <c r="E7460" s="508">
        <v>5.5730000000000004</v>
      </c>
      <c r="F7460" s="508">
        <v>3.1579999999999999</v>
      </c>
      <c r="G7460" s="508">
        <v>3.149</v>
      </c>
      <c r="H7460" s="508">
        <v>3.1720000000000002</v>
      </c>
      <c r="I7460" s="508">
        <v>3.1779999999999999</v>
      </c>
      <c r="J7460" s="508">
        <v>2.972</v>
      </c>
      <c r="K7460" s="508">
        <v>2.9550000000000001</v>
      </c>
      <c r="L7460" s="508">
        <v>2.9289999999999998</v>
      </c>
      <c r="M7460" s="508">
        <v>2.891</v>
      </c>
      <c r="N7460" s="508">
        <v>5.1749999999999998</v>
      </c>
      <c r="O7460" s="508">
        <v>5.0640000000000001</v>
      </c>
      <c r="P7460" s="508">
        <v>1.9490000000000001</v>
      </c>
      <c r="Q7460" s="508">
        <v>2.073</v>
      </c>
      <c r="R7460" s="508">
        <v>1.9990000000000001</v>
      </c>
      <c r="S7460" s="508">
        <v>1.93</v>
      </c>
      <c r="T7460" s="508">
        <v>1.865</v>
      </c>
      <c r="U7460" s="508">
        <v>0.54300000000000004</v>
      </c>
      <c r="V7460" s="508">
        <v>0.51700000000000002</v>
      </c>
      <c r="W7460" s="508">
        <v>0.53200000000000003</v>
      </c>
      <c r="X7460" s="508">
        <v>0.308</v>
      </c>
      <c r="Y7460" s="508">
        <v>0.249</v>
      </c>
      <c r="Z7460" s="508">
        <v>0.16500000000000001</v>
      </c>
      <c r="AA7460" s="508">
        <v>0.152</v>
      </c>
      <c r="AB7460" s="508">
        <v>0.11899999999999999</v>
      </c>
      <c r="AC7460" s="508">
        <v>0.109</v>
      </c>
      <c r="AD7460" s="508">
        <v>0.08</v>
      </c>
      <c r="AE7460" s="508">
        <v>7.6999999999999999E-2</v>
      </c>
      <c r="AF7460" s="508">
        <v>4.3999999999999997E-2</v>
      </c>
      <c r="AG7460" s="508">
        <v>4.2000000000000003E-2</v>
      </c>
      <c r="AH7460" s="508">
        <v>4.2000000000000003E-2</v>
      </c>
      <c r="AI7460" s="492">
        <v>4.1000000000000002E-2</v>
      </c>
      <c r="AJ7460" s="485"/>
    </row>
    <row r="7461" spans="2:36">
      <c r="B7461" s="136" t="s">
        <v>480</v>
      </c>
      <c r="C7461" s="132" t="s">
        <v>1369</v>
      </c>
      <c r="D7461" s="132" t="s">
        <v>1381</v>
      </c>
      <c r="E7461" s="508">
        <v>5.968</v>
      </c>
      <c r="F7461" s="508">
        <v>3.234</v>
      </c>
      <c r="G7461" s="508">
        <v>3.2240000000000002</v>
      </c>
      <c r="H7461" s="508">
        <v>3.2469999999999999</v>
      </c>
      <c r="I7461" s="508">
        <v>3.2490000000000001</v>
      </c>
      <c r="J7461" s="508">
        <v>3.1659999999999999</v>
      </c>
      <c r="K7461" s="508">
        <v>3.1459999999999999</v>
      </c>
      <c r="L7461" s="508">
        <v>3.1120000000000001</v>
      </c>
      <c r="M7461" s="508">
        <v>3.0649999999999999</v>
      </c>
      <c r="N7461" s="508">
        <v>5.2729999999999997</v>
      </c>
      <c r="O7461" s="508">
        <v>5.1509999999999998</v>
      </c>
      <c r="P7461" s="508">
        <v>2.16</v>
      </c>
      <c r="Q7461" s="508">
        <v>2.2770000000000001</v>
      </c>
      <c r="R7461" s="508">
        <v>2.1970000000000001</v>
      </c>
      <c r="S7461" s="508">
        <v>2.1179999999999999</v>
      </c>
      <c r="T7461" s="508">
        <v>2.0430000000000001</v>
      </c>
      <c r="U7461" s="508">
        <v>0.65800000000000003</v>
      </c>
      <c r="V7461" s="508">
        <v>0.627</v>
      </c>
      <c r="W7461" s="508">
        <v>0.63400000000000001</v>
      </c>
      <c r="X7461" s="508">
        <v>0.41899999999999998</v>
      </c>
      <c r="Y7461" s="508">
        <v>0.35899999999999999</v>
      </c>
      <c r="Z7461" s="508">
        <v>0.221</v>
      </c>
      <c r="AA7461" s="508">
        <v>0.20699999999999999</v>
      </c>
      <c r="AB7461" s="508">
        <v>0.17299999999999999</v>
      </c>
      <c r="AC7461" s="508">
        <v>0.16300000000000001</v>
      </c>
      <c r="AD7461" s="508">
        <v>0.125</v>
      </c>
      <c r="AE7461" s="508">
        <v>0.114</v>
      </c>
      <c r="AF7461" s="508">
        <v>7.4999999999999997E-2</v>
      </c>
      <c r="AG7461" s="508">
        <v>6.8000000000000005E-2</v>
      </c>
      <c r="AH7461" s="508">
        <v>6.6000000000000003E-2</v>
      </c>
      <c r="AI7461" s="492">
        <v>6.5000000000000002E-2</v>
      </c>
      <c r="AJ7461" s="485"/>
    </row>
    <row r="7462" spans="2:36">
      <c r="B7462" s="136" t="s">
        <v>481</v>
      </c>
      <c r="C7462" s="132" t="s">
        <v>1369</v>
      </c>
      <c r="D7462" s="132" t="s">
        <v>1381</v>
      </c>
      <c r="E7462" s="508">
        <v>5.4279999999999999</v>
      </c>
      <c r="F7462" s="508">
        <v>3.016</v>
      </c>
      <c r="G7462" s="508">
        <v>3.004</v>
      </c>
      <c r="H7462" s="508">
        <v>3.0249999999999999</v>
      </c>
      <c r="I7462" s="508">
        <v>3.03</v>
      </c>
      <c r="J7462" s="508">
        <v>2.8319999999999999</v>
      </c>
      <c r="K7462" s="508">
        <v>2.8180000000000001</v>
      </c>
      <c r="L7462" s="508">
        <v>2.7919999999999998</v>
      </c>
      <c r="M7462" s="508">
        <v>2.7570000000000001</v>
      </c>
      <c r="N7462" s="508">
        <v>4.8070000000000004</v>
      </c>
      <c r="O7462" s="508">
        <v>4.7039999999999997</v>
      </c>
      <c r="P7462" s="508">
        <v>1.879</v>
      </c>
      <c r="Q7462" s="508">
        <v>1.986</v>
      </c>
      <c r="R7462" s="508">
        <v>1.9119999999999999</v>
      </c>
      <c r="S7462" s="508">
        <v>1.847</v>
      </c>
      <c r="T7462" s="508">
        <v>1.782</v>
      </c>
      <c r="U7462" s="508">
        <v>0.52600000000000002</v>
      </c>
      <c r="V7462" s="508">
        <v>0.501</v>
      </c>
      <c r="W7462" s="508">
        <v>0.51300000000000001</v>
      </c>
      <c r="X7462" s="508">
        <v>0.309</v>
      </c>
      <c r="Y7462" s="508">
        <v>0.253</v>
      </c>
      <c r="Z7462" s="508">
        <v>0.16300000000000001</v>
      </c>
      <c r="AA7462" s="508">
        <v>0.15</v>
      </c>
      <c r="AB7462" s="508">
        <v>0.11899999999999999</v>
      </c>
      <c r="AC7462" s="508">
        <v>0.109</v>
      </c>
      <c r="AD7462" s="508">
        <v>8.3000000000000004E-2</v>
      </c>
      <c r="AE7462" s="508">
        <v>7.9000000000000001E-2</v>
      </c>
      <c r="AF7462" s="508">
        <v>4.9000000000000002E-2</v>
      </c>
      <c r="AG7462" s="508">
        <v>4.5999999999999999E-2</v>
      </c>
      <c r="AH7462" s="508">
        <v>4.4999999999999998E-2</v>
      </c>
      <c r="AI7462" s="492">
        <v>4.4999999999999998E-2</v>
      </c>
      <c r="AJ7462" s="485"/>
    </row>
    <row r="7463" spans="2:36">
      <c r="B7463" s="136" t="s">
        <v>482</v>
      </c>
      <c r="C7463" s="132" t="s">
        <v>1369</v>
      </c>
      <c r="D7463" s="132" t="s">
        <v>1381</v>
      </c>
      <c r="E7463" s="508">
        <v>5.28</v>
      </c>
      <c r="F7463" s="508">
        <v>3.0369999999999999</v>
      </c>
      <c r="G7463" s="508">
        <v>2.5129999999999999</v>
      </c>
      <c r="H7463" s="508">
        <v>2.5310000000000001</v>
      </c>
      <c r="I7463" s="508">
        <v>2.5390000000000001</v>
      </c>
      <c r="J7463" s="508">
        <v>2.3610000000000002</v>
      </c>
      <c r="K7463" s="508">
        <v>2.351</v>
      </c>
      <c r="L7463" s="508">
        <v>2.3319999999999999</v>
      </c>
      <c r="M7463" s="508">
        <v>2.306</v>
      </c>
      <c r="N7463" s="508">
        <v>4.0410000000000004</v>
      </c>
      <c r="O7463" s="508">
        <v>3.9540000000000002</v>
      </c>
      <c r="P7463" s="508">
        <v>1.6870000000000001</v>
      </c>
      <c r="Q7463" s="508">
        <v>1.7929999999999999</v>
      </c>
      <c r="R7463" s="508">
        <v>1.7250000000000001</v>
      </c>
      <c r="S7463" s="508">
        <v>1.6679999999999999</v>
      </c>
      <c r="T7463" s="508">
        <v>1.609</v>
      </c>
      <c r="U7463" s="508">
        <v>0.48499999999999999</v>
      </c>
      <c r="V7463" s="508">
        <v>0.46300000000000002</v>
      </c>
      <c r="W7463" s="508">
        <v>0.47699999999999998</v>
      </c>
      <c r="X7463" s="508">
        <v>0.27300000000000002</v>
      </c>
      <c r="Y7463" s="508">
        <v>0.218</v>
      </c>
      <c r="Z7463" s="508">
        <v>0.14899999999999999</v>
      </c>
      <c r="AA7463" s="508">
        <v>0.13600000000000001</v>
      </c>
      <c r="AB7463" s="508">
        <v>0.105</v>
      </c>
      <c r="AC7463" s="508">
        <v>9.6000000000000002E-2</v>
      </c>
      <c r="AD7463" s="508">
        <v>7.0999999999999994E-2</v>
      </c>
      <c r="AE7463" s="508">
        <v>6.9000000000000006E-2</v>
      </c>
      <c r="AF7463" s="508">
        <v>4.1000000000000002E-2</v>
      </c>
      <c r="AG7463" s="508">
        <v>3.9E-2</v>
      </c>
      <c r="AH7463" s="508">
        <v>3.9E-2</v>
      </c>
      <c r="AI7463" s="492">
        <v>3.7999999999999999E-2</v>
      </c>
      <c r="AJ7463" s="485"/>
    </row>
    <row r="7464" spans="2:36">
      <c r="B7464" s="136" t="s">
        <v>483</v>
      </c>
      <c r="C7464" s="132" t="s">
        <v>1369</v>
      </c>
      <c r="D7464" s="132" t="s">
        <v>1381</v>
      </c>
      <c r="E7464" s="508">
        <v>4.9180000000000001</v>
      </c>
      <c r="F7464" s="508">
        <v>2.617</v>
      </c>
      <c r="G7464" s="508">
        <v>2.5979999999999999</v>
      </c>
      <c r="H7464" s="508">
        <v>2.6139999999999999</v>
      </c>
      <c r="I7464" s="508">
        <v>2.6179999999999999</v>
      </c>
      <c r="J7464" s="508">
        <v>2.4609999999999999</v>
      </c>
      <c r="K7464" s="508">
        <v>2.4500000000000002</v>
      </c>
      <c r="L7464" s="508">
        <v>2.4260000000000002</v>
      </c>
      <c r="M7464" s="508">
        <v>2.3969999999999998</v>
      </c>
      <c r="N7464" s="508">
        <v>3.9609999999999999</v>
      </c>
      <c r="O7464" s="508">
        <v>3.8719999999999999</v>
      </c>
      <c r="P7464" s="508">
        <v>1.877</v>
      </c>
      <c r="Q7464" s="508">
        <v>1.9610000000000001</v>
      </c>
      <c r="R7464" s="508">
        <v>1.8839999999999999</v>
      </c>
      <c r="S7464" s="508">
        <v>1.8220000000000001</v>
      </c>
      <c r="T7464" s="508">
        <v>1.754</v>
      </c>
      <c r="U7464" s="508">
        <v>0.58099999999999996</v>
      </c>
      <c r="V7464" s="508">
        <v>0.55400000000000005</v>
      </c>
      <c r="W7464" s="508">
        <v>0.56200000000000006</v>
      </c>
      <c r="X7464" s="508">
        <v>0.36399999999999999</v>
      </c>
      <c r="Y7464" s="508">
        <v>0.308</v>
      </c>
      <c r="Z7464" s="508">
        <v>0.19</v>
      </c>
      <c r="AA7464" s="508">
        <v>0.17499999999999999</v>
      </c>
      <c r="AB7464" s="508">
        <v>0.14399999999999999</v>
      </c>
      <c r="AC7464" s="508">
        <v>0.13400000000000001</v>
      </c>
      <c r="AD7464" s="508">
        <v>0.105</v>
      </c>
      <c r="AE7464" s="508">
        <v>9.8000000000000004E-2</v>
      </c>
      <c r="AF7464" s="508">
        <v>6.5000000000000002E-2</v>
      </c>
      <c r="AG7464" s="508">
        <v>0.06</v>
      </c>
      <c r="AH7464" s="508">
        <v>5.8999999999999997E-2</v>
      </c>
      <c r="AI7464" s="492">
        <v>5.8000000000000003E-2</v>
      </c>
      <c r="AJ7464" s="485"/>
    </row>
    <row r="7465" spans="2:36">
      <c r="B7465" s="136" t="s">
        <v>484</v>
      </c>
      <c r="C7465" s="132" t="s">
        <v>1369</v>
      </c>
      <c r="D7465" s="132" t="s">
        <v>1381</v>
      </c>
      <c r="E7465" s="508">
        <v>6.0220000000000002</v>
      </c>
      <c r="F7465" s="508">
        <v>3.2480000000000002</v>
      </c>
      <c r="G7465" s="508">
        <v>3.2370000000000001</v>
      </c>
      <c r="H7465" s="508">
        <v>3.2589999999999999</v>
      </c>
      <c r="I7465" s="508">
        <v>3.26</v>
      </c>
      <c r="J7465" s="508">
        <v>3.1659999999999999</v>
      </c>
      <c r="K7465" s="508">
        <v>3.1459999999999999</v>
      </c>
      <c r="L7465" s="508">
        <v>3.1110000000000002</v>
      </c>
      <c r="M7465" s="508">
        <v>3.0640000000000001</v>
      </c>
      <c r="N7465" s="508">
        <v>5.2750000000000004</v>
      </c>
      <c r="O7465" s="508">
        <v>5.1539999999999999</v>
      </c>
      <c r="P7465" s="508">
        <v>1.849</v>
      </c>
      <c r="Q7465" s="508">
        <v>1.9350000000000001</v>
      </c>
      <c r="R7465" s="508">
        <v>1.8580000000000001</v>
      </c>
      <c r="S7465" s="508">
        <v>1.796</v>
      </c>
      <c r="T7465" s="508">
        <v>1.7270000000000001</v>
      </c>
      <c r="U7465" s="508">
        <v>0.60299999999999998</v>
      </c>
      <c r="V7465" s="508">
        <v>0.57499999999999996</v>
      </c>
      <c r="W7465" s="508">
        <v>0.57799999999999996</v>
      </c>
      <c r="X7465" s="508">
        <v>0.39700000000000002</v>
      </c>
      <c r="Y7465" s="508">
        <v>0.34300000000000003</v>
      </c>
      <c r="Z7465" s="508">
        <v>0.20899999999999999</v>
      </c>
      <c r="AA7465" s="508">
        <v>0.19500000000000001</v>
      </c>
      <c r="AB7465" s="508">
        <v>0.16400000000000001</v>
      </c>
      <c r="AC7465" s="508">
        <v>0.153</v>
      </c>
      <c r="AD7465" s="508">
        <v>0.123</v>
      </c>
      <c r="AE7465" s="508">
        <v>0.112</v>
      </c>
      <c r="AF7465" s="508">
        <v>7.9000000000000001E-2</v>
      </c>
      <c r="AG7465" s="508">
        <v>7.1999999999999995E-2</v>
      </c>
      <c r="AH7465" s="508">
        <v>7.0000000000000007E-2</v>
      </c>
      <c r="AI7465" s="492">
        <v>6.9000000000000006E-2</v>
      </c>
      <c r="AJ7465" s="485"/>
    </row>
    <row r="7466" spans="2:36">
      <c r="B7466" s="136" t="s">
        <v>486</v>
      </c>
      <c r="C7466" s="132" t="s">
        <v>1369</v>
      </c>
      <c r="D7466" s="132" t="s">
        <v>1381</v>
      </c>
      <c r="E7466" s="508">
        <v>5.024</v>
      </c>
      <c r="F7466" s="508">
        <v>2.7490000000000001</v>
      </c>
      <c r="G7466" s="508">
        <v>2.734</v>
      </c>
      <c r="H7466" s="508">
        <v>2.7530000000000001</v>
      </c>
      <c r="I7466" s="508">
        <v>2.7570000000000001</v>
      </c>
      <c r="J7466" s="508">
        <v>2.5910000000000002</v>
      </c>
      <c r="K7466" s="508">
        <v>2.5779999999999998</v>
      </c>
      <c r="L7466" s="508">
        <v>2.5529999999999999</v>
      </c>
      <c r="M7466" s="508">
        <v>2.5209999999999999</v>
      </c>
      <c r="N7466" s="508">
        <v>4.3860000000000001</v>
      </c>
      <c r="O7466" s="508">
        <v>4.2889999999999997</v>
      </c>
      <c r="P7466" s="508">
        <v>1.8779999999999999</v>
      </c>
      <c r="Q7466" s="508">
        <v>1.9830000000000001</v>
      </c>
      <c r="R7466" s="508">
        <v>1.91</v>
      </c>
      <c r="S7466" s="508">
        <v>1.845</v>
      </c>
      <c r="T7466" s="508">
        <v>1.78</v>
      </c>
      <c r="U7466" s="508">
        <v>0.56299999999999994</v>
      </c>
      <c r="V7466" s="508">
        <v>0.53600000000000003</v>
      </c>
      <c r="W7466" s="508">
        <v>0.54800000000000004</v>
      </c>
      <c r="X7466" s="508">
        <v>0.33300000000000002</v>
      </c>
      <c r="Y7466" s="508">
        <v>0.27500000000000002</v>
      </c>
      <c r="Z7466" s="508">
        <v>0.17499999999999999</v>
      </c>
      <c r="AA7466" s="508">
        <v>0.16200000000000001</v>
      </c>
      <c r="AB7466" s="508">
        <v>0.129</v>
      </c>
      <c r="AC7466" s="508">
        <v>0.11899999999999999</v>
      </c>
      <c r="AD7466" s="508">
        <v>0.09</v>
      </c>
      <c r="AE7466" s="508">
        <v>8.5999999999999993E-2</v>
      </c>
      <c r="AF7466" s="508">
        <v>5.2999999999999999E-2</v>
      </c>
      <c r="AG7466" s="508">
        <v>0.05</v>
      </c>
      <c r="AH7466" s="508">
        <v>4.9000000000000002E-2</v>
      </c>
      <c r="AI7466" s="492">
        <v>4.8000000000000001E-2</v>
      </c>
      <c r="AJ7466" s="485"/>
    </row>
    <row r="7467" spans="2:36">
      <c r="B7467" s="136" t="s">
        <v>487</v>
      </c>
      <c r="C7467" s="132" t="s">
        <v>1369</v>
      </c>
      <c r="D7467" s="132" t="s">
        <v>1381</v>
      </c>
      <c r="E7467" s="508">
        <v>5.8940000000000001</v>
      </c>
      <c r="F7467" s="508">
        <v>3.1659999999999999</v>
      </c>
      <c r="G7467" s="508">
        <v>2.6349999999999998</v>
      </c>
      <c r="H7467" s="508">
        <v>2.6509999999999998</v>
      </c>
      <c r="I7467" s="508">
        <v>2.653</v>
      </c>
      <c r="J7467" s="508">
        <v>2.512</v>
      </c>
      <c r="K7467" s="508">
        <v>2.5</v>
      </c>
      <c r="L7467" s="508">
        <v>2.4740000000000002</v>
      </c>
      <c r="M7467" s="508">
        <v>2.4430000000000001</v>
      </c>
      <c r="N7467" s="508">
        <v>4.2030000000000003</v>
      </c>
      <c r="O7467" s="508">
        <v>4.1070000000000002</v>
      </c>
      <c r="P7467" s="508">
        <v>1.853</v>
      </c>
      <c r="Q7467" s="508">
        <v>1.9470000000000001</v>
      </c>
      <c r="R7467" s="508">
        <v>1.873</v>
      </c>
      <c r="S7467" s="508">
        <v>1.81</v>
      </c>
      <c r="T7467" s="508">
        <v>1.7450000000000001</v>
      </c>
      <c r="U7467" s="508">
        <v>0.55500000000000005</v>
      </c>
      <c r="V7467" s="508">
        <v>0.52900000000000003</v>
      </c>
      <c r="W7467" s="508">
        <v>0.53700000000000003</v>
      </c>
      <c r="X7467" s="508">
        <v>0.33900000000000002</v>
      </c>
      <c r="Y7467" s="508">
        <v>0.28399999999999997</v>
      </c>
      <c r="Z7467" s="508">
        <v>0.17599999999999999</v>
      </c>
      <c r="AA7467" s="508">
        <v>0.16200000000000001</v>
      </c>
      <c r="AB7467" s="508">
        <v>0.13100000000000001</v>
      </c>
      <c r="AC7467" s="508">
        <v>0.122</v>
      </c>
      <c r="AD7467" s="508">
        <v>9.4E-2</v>
      </c>
      <c r="AE7467" s="508">
        <v>9.1999999999999998E-2</v>
      </c>
      <c r="AF7467" s="508">
        <v>5.8000000000000003E-2</v>
      </c>
      <c r="AG7467" s="508">
        <v>5.3999999999999999E-2</v>
      </c>
      <c r="AH7467" s="508">
        <v>5.2999999999999999E-2</v>
      </c>
      <c r="AI7467" s="492">
        <v>5.1999999999999998E-2</v>
      </c>
      <c r="AJ7467" s="485"/>
    </row>
    <row r="7468" spans="2:36">
      <c r="B7468" s="136" t="s">
        <v>488</v>
      </c>
      <c r="C7468" s="132" t="s">
        <v>1369</v>
      </c>
      <c r="D7468" s="132" t="s">
        <v>1381</v>
      </c>
      <c r="E7468" s="508">
        <v>5.7279999999999998</v>
      </c>
      <c r="F7468" s="508">
        <v>3.1360000000000001</v>
      </c>
      <c r="G7468" s="508">
        <v>3.1259999999999999</v>
      </c>
      <c r="H7468" s="508">
        <v>3.1480000000000001</v>
      </c>
      <c r="I7468" s="508">
        <v>3.15</v>
      </c>
      <c r="J7468" s="508">
        <v>3.0129999999999999</v>
      </c>
      <c r="K7468" s="508">
        <v>2.9950000000000001</v>
      </c>
      <c r="L7468" s="508">
        <v>2.9649999999999999</v>
      </c>
      <c r="M7468" s="508">
        <v>2.923</v>
      </c>
      <c r="N7468" s="508">
        <v>5.1550000000000002</v>
      </c>
      <c r="O7468" s="508">
        <v>5.0389999999999997</v>
      </c>
      <c r="P7468" s="508">
        <v>2.02</v>
      </c>
      <c r="Q7468" s="508">
        <v>2.14</v>
      </c>
      <c r="R7468" s="508">
        <v>2.0640000000000001</v>
      </c>
      <c r="S7468" s="508">
        <v>1.992</v>
      </c>
      <c r="T7468" s="508">
        <v>1.923</v>
      </c>
      <c r="U7468" s="508">
        <v>0.57899999999999996</v>
      </c>
      <c r="V7468" s="508">
        <v>0.55200000000000005</v>
      </c>
      <c r="W7468" s="508">
        <v>0.56200000000000006</v>
      </c>
      <c r="X7468" s="508">
        <v>0.35</v>
      </c>
      <c r="Y7468" s="508">
        <v>0.29199999999999998</v>
      </c>
      <c r="Z7468" s="508">
        <v>0.182</v>
      </c>
      <c r="AA7468" s="508">
        <v>0.16900000000000001</v>
      </c>
      <c r="AB7468" s="508">
        <v>0.13700000000000001</v>
      </c>
      <c r="AC7468" s="508">
        <v>0.127</v>
      </c>
      <c r="AD7468" s="508">
        <v>9.6000000000000002E-2</v>
      </c>
      <c r="AE7468" s="508">
        <v>0.09</v>
      </c>
      <c r="AF7468" s="508">
        <v>5.6000000000000001E-2</v>
      </c>
      <c r="AG7468" s="508">
        <v>5.1999999999999998E-2</v>
      </c>
      <c r="AH7468" s="508">
        <v>5.0999999999999997E-2</v>
      </c>
      <c r="AI7468" s="492">
        <v>0.05</v>
      </c>
      <c r="AJ7468" s="485"/>
    </row>
    <row r="7469" spans="2:36">
      <c r="B7469" s="136" t="s">
        <v>489</v>
      </c>
      <c r="C7469" s="132" t="s">
        <v>1369</v>
      </c>
      <c r="D7469" s="132" t="s">
        <v>1381</v>
      </c>
      <c r="E7469" s="508">
        <v>6.0350000000000001</v>
      </c>
      <c r="F7469" s="508">
        <v>3.2690000000000001</v>
      </c>
      <c r="G7469" s="508">
        <v>3.258</v>
      </c>
      <c r="H7469" s="508">
        <v>3.28</v>
      </c>
      <c r="I7469" s="508">
        <v>3.282</v>
      </c>
      <c r="J7469" s="508">
        <v>3.1549999999999998</v>
      </c>
      <c r="K7469" s="508">
        <v>3.1360000000000001</v>
      </c>
      <c r="L7469" s="508">
        <v>3.1019999999999999</v>
      </c>
      <c r="M7469" s="508">
        <v>3.056</v>
      </c>
      <c r="N7469" s="508">
        <v>5.2629999999999999</v>
      </c>
      <c r="O7469" s="508">
        <v>5.1429999999999998</v>
      </c>
      <c r="P7469" s="508">
        <v>2.0529999999999999</v>
      </c>
      <c r="Q7469" s="508">
        <v>2.15</v>
      </c>
      <c r="R7469" s="508">
        <v>2.0699999999999998</v>
      </c>
      <c r="S7469" s="508">
        <v>1.998</v>
      </c>
      <c r="T7469" s="508">
        <v>1.9259999999999999</v>
      </c>
      <c r="U7469" s="508">
        <v>0.63700000000000001</v>
      </c>
      <c r="V7469" s="508">
        <v>0.60799999999999998</v>
      </c>
      <c r="W7469" s="508">
        <v>0.61399999999999999</v>
      </c>
      <c r="X7469" s="508">
        <v>0.40600000000000003</v>
      </c>
      <c r="Y7469" s="508">
        <v>0.34799999999999998</v>
      </c>
      <c r="Z7469" s="508">
        <v>0.214</v>
      </c>
      <c r="AA7469" s="508">
        <v>0.19900000000000001</v>
      </c>
      <c r="AB7469" s="508">
        <v>0.16700000000000001</v>
      </c>
      <c r="AC7469" s="508">
        <v>0.156</v>
      </c>
      <c r="AD7469" s="508">
        <v>0.121</v>
      </c>
      <c r="AE7469" s="508">
        <v>0.111</v>
      </c>
      <c r="AF7469" s="508">
        <v>7.3999999999999996E-2</v>
      </c>
      <c r="AG7469" s="508">
        <v>6.7000000000000004E-2</v>
      </c>
      <c r="AH7469" s="508">
        <v>6.6000000000000003E-2</v>
      </c>
      <c r="AI7469" s="492">
        <v>6.5000000000000002E-2</v>
      </c>
      <c r="AJ7469" s="485"/>
    </row>
    <row r="7470" spans="2:36">
      <c r="B7470" s="136" t="s">
        <v>490</v>
      </c>
      <c r="C7470" s="132" t="s">
        <v>1369</v>
      </c>
      <c r="D7470" s="132" t="s">
        <v>1381</v>
      </c>
      <c r="E7470" s="508">
        <v>5.9059999999999997</v>
      </c>
      <c r="F7470" s="508">
        <v>3.1739999999999999</v>
      </c>
      <c r="G7470" s="508">
        <v>3.1629999999999998</v>
      </c>
      <c r="H7470" s="508">
        <v>3.1850000000000001</v>
      </c>
      <c r="I7470" s="508">
        <v>3.1859999999999999</v>
      </c>
      <c r="J7470" s="508">
        <v>3.1019999999999999</v>
      </c>
      <c r="K7470" s="508">
        <v>3.0819999999999999</v>
      </c>
      <c r="L7470" s="508">
        <v>3.0489999999999999</v>
      </c>
      <c r="M7470" s="508">
        <v>3.0030000000000001</v>
      </c>
      <c r="N7470" s="508">
        <v>5.16</v>
      </c>
      <c r="O7470" s="508">
        <v>5.0419999999999998</v>
      </c>
      <c r="P7470" s="508">
        <v>2.1150000000000002</v>
      </c>
      <c r="Q7470" s="508">
        <v>2.2290000000000001</v>
      </c>
      <c r="R7470" s="508">
        <v>2.15</v>
      </c>
      <c r="S7470" s="508">
        <v>2.073</v>
      </c>
      <c r="T7470" s="508">
        <v>2</v>
      </c>
      <c r="U7470" s="508">
        <v>0.68</v>
      </c>
      <c r="V7470" s="508">
        <v>0.64800000000000002</v>
      </c>
      <c r="W7470" s="508">
        <v>0.65300000000000002</v>
      </c>
      <c r="X7470" s="508">
        <v>0.436</v>
      </c>
      <c r="Y7470" s="508">
        <v>0.375</v>
      </c>
      <c r="Z7470" s="508">
        <v>0.22700000000000001</v>
      </c>
      <c r="AA7470" s="508">
        <v>0.21199999999999999</v>
      </c>
      <c r="AB7470" s="508">
        <v>0.17799999999999999</v>
      </c>
      <c r="AC7470" s="508">
        <v>0.16800000000000001</v>
      </c>
      <c r="AD7470" s="508">
        <v>0.129</v>
      </c>
      <c r="AE7470" s="508">
        <v>0.11799999999999999</v>
      </c>
      <c r="AF7470" s="508">
        <v>7.8E-2</v>
      </c>
      <c r="AG7470" s="508">
        <v>7.0999999999999994E-2</v>
      </c>
      <c r="AH7470" s="508">
        <v>6.9000000000000006E-2</v>
      </c>
      <c r="AI7470" s="492">
        <v>6.8000000000000005E-2</v>
      </c>
      <c r="AJ7470" s="485"/>
    </row>
    <row r="7471" spans="2:36">
      <c r="B7471" s="136" t="s">
        <v>435</v>
      </c>
      <c r="C7471" s="132" t="s">
        <v>1370</v>
      </c>
      <c r="D7471" s="132" t="s">
        <v>1381</v>
      </c>
      <c r="E7471" s="508">
        <v>1.3460000000000001</v>
      </c>
      <c r="F7471" s="508">
        <v>1.2230000000000001</v>
      </c>
      <c r="G7471" s="508">
        <v>1.2290000000000001</v>
      </c>
      <c r="H7471" s="508">
        <v>1.1539999999999999</v>
      </c>
      <c r="I7471" s="508">
        <v>1.278</v>
      </c>
      <c r="J7471" s="508">
        <v>1.125</v>
      </c>
      <c r="K7471" s="508">
        <v>1.2509999999999999</v>
      </c>
      <c r="L7471" s="508">
        <v>1.159</v>
      </c>
      <c r="M7471" s="508">
        <v>1.097</v>
      </c>
      <c r="N7471" s="508">
        <v>1.107</v>
      </c>
      <c r="O7471" s="508">
        <v>1.133</v>
      </c>
      <c r="P7471" s="508">
        <v>1.0429999999999999</v>
      </c>
      <c r="Q7471" s="508">
        <v>1.0309999999999999</v>
      </c>
      <c r="R7471" s="508">
        <v>1.0389999999999999</v>
      </c>
      <c r="S7471" s="508">
        <v>1.0489999999999999</v>
      </c>
      <c r="T7471" s="508">
        <v>1.119</v>
      </c>
      <c r="U7471" s="508">
        <v>1.004</v>
      </c>
      <c r="V7471" s="508">
        <v>0.98199999999999998</v>
      </c>
      <c r="W7471" s="508">
        <v>0.70799999999999996</v>
      </c>
      <c r="X7471" s="508">
        <v>0.70899999999999996</v>
      </c>
      <c r="Y7471" s="508">
        <v>0.70699999999999996</v>
      </c>
      <c r="Z7471" s="508">
        <v>0.70499999999999996</v>
      </c>
      <c r="AA7471" s="508">
        <v>7.2999999999999995E-2</v>
      </c>
      <c r="AB7471" s="508">
        <v>7.2999999999999995E-2</v>
      </c>
      <c r="AC7471" s="508">
        <v>7.1999999999999995E-2</v>
      </c>
      <c r="AD7471" s="508">
        <v>4.9000000000000002E-2</v>
      </c>
      <c r="AE7471" s="508">
        <v>4.9000000000000002E-2</v>
      </c>
      <c r="AF7471" s="508">
        <v>4.1000000000000002E-2</v>
      </c>
      <c r="AG7471" s="508">
        <v>0.04</v>
      </c>
      <c r="AH7471" s="508">
        <v>0.04</v>
      </c>
      <c r="AI7471" s="492">
        <v>0.04</v>
      </c>
      <c r="AJ7471" s="485"/>
    </row>
    <row r="7472" spans="2:36">
      <c r="B7472" s="136" t="s">
        <v>436</v>
      </c>
      <c r="C7472" s="132" t="s">
        <v>1370</v>
      </c>
      <c r="D7472" s="132" t="s">
        <v>1381</v>
      </c>
      <c r="E7472" s="508">
        <v>1.778</v>
      </c>
      <c r="F7472" s="508">
        <v>1.4470000000000001</v>
      </c>
      <c r="G7472" s="508">
        <v>1.367</v>
      </c>
      <c r="H7472" s="508">
        <v>1.254</v>
      </c>
      <c r="I7472" s="508">
        <v>1.337</v>
      </c>
      <c r="J7472" s="508">
        <v>1.18</v>
      </c>
      <c r="K7472" s="508">
        <v>1.2789999999999999</v>
      </c>
      <c r="L7472" s="508">
        <v>1.1859999999999999</v>
      </c>
      <c r="M7472" s="508">
        <v>1.1220000000000001</v>
      </c>
      <c r="N7472" s="508">
        <v>1.1240000000000001</v>
      </c>
      <c r="O7472" s="508">
        <v>1.1419999999999999</v>
      </c>
      <c r="P7472" s="508">
        <v>1.0569999999999999</v>
      </c>
      <c r="Q7472" s="508">
        <v>1.042</v>
      </c>
      <c r="R7472" s="508">
        <v>1.046</v>
      </c>
      <c r="S7472" s="508">
        <v>1.052</v>
      </c>
      <c r="T7472" s="508">
        <v>1.1100000000000001</v>
      </c>
      <c r="U7472" s="508">
        <v>1.0029999999999999</v>
      </c>
      <c r="V7472" s="508">
        <v>0.98099999999999998</v>
      </c>
      <c r="W7472" s="508">
        <v>0.69099999999999995</v>
      </c>
      <c r="X7472" s="508">
        <v>0.68899999999999995</v>
      </c>
      <c r="Y7472" s="508">
        <v>0.68600000000000005</v>
      </c>
      <c r="Z7472" s="508">
        <v>0.68300000000000005</v>
      </c>
      <c r="AA7472" s="508">
        <v>7.8E-2</v>
      </c>
      <c r="AB7472" s="508">
        <v>7.8E-2</v>
      </c>
      <c r="AC7472" s="508">
        <v>7.6999999999999999E-2</v>
      </c>
      <c r="AD7472" s="508">
        <v>5.3999999999999999E-2</v>
      </c>
      <c r="AE7472" s="508">
        <v>5.3999999999999999E-2</v>
      </c>
      <c r="AF7472" s="508">
        <v>4.5999999999999999E-2</v>
      </c>
      <c r="AG7472" s="508">
        <v>4.4999999999999998E-2</v>
      </c>
      <c r="AH7472" s="508">
        <v>4.4999999999999998E-2</v>
      </c>
      <c r="AI7472" s="492">
        <v>4.4999999999999998E-2</v>
      </c>
      <c r="AJ7472" s="485"/>
    </row>
    <row r="7473" spans="2:36">
      <c r="B7473" s="136" t="s">
        <v>437</v>
      </c>
      <c r="C7473" s="132" t="s">
        <v>1370</v>
      </c>
      <c r="D7473" s="132" t="s">
        <v>1381</v>
      </c>
      <c r="E7473" s="508">
        <v>1.2789999999999999</v>
      </c>
      <c r="F7473" s="508">
        <v>1.1839999999999999</v>
      </c>
      <c r="G7473" s="508">
        <v>1.2010000000000001</v>
      </c>
      <c r="H7473" s="508">
        <v>1.133</v>
      </c>
      <c r="I7473" s="508">
        <v>1.258</v>
      </c>
      <c r="J7473" s="508">
        <v>1.1100000000000001</v>
      </c>
      <c r="K7473" s="508">
        <v>1.2350000000000001</v>
      </c>
      <c r="L7473" s="508">
        <v>1.1459999999999999</v>
      </c>
      <c r="M7473" s="508">
        <v>1.0860000000000001</v>
      </c>
      <c r="N7473" s="508">
        <v>1.097</v>
      </c>
      <c r="O7473" s="508">
        <v>1.123</v>
      </c>
      <c r="P7473" s="508">
        <v>1.036</v>
      </c>
      <c r="Q7473" s="508">
        <v>1.0229999999999999</v>
      </c>
      <c r="R7473" s="508">
        <v>1.0329999999999999</v>
      </c>
      <c r="S7473" s="508">
        <v>1.042</v>
      </c>
      <c r="T7473" s="508">
        <v>1.1120000000000001</v>
      </c>
      <c r="U7473" s="508">
        <v>0.999</v>
      </c>
      <c r="V7473" s="508">
        <v>0.97799999999999998</v>
      </c>
      <c r="W7473" s="508">
        <v>0.7</v>
      </c>
      <c r="X7473" s="508">
        <v>0.70099999999999996</v>
      </c>
      <c r="Y7473" s="508">
        <v>0.69899999999999995</v>
      </c>
      <c r="Z7473" s="508">
        <v>0.69799999999999995</v>
      </c>
      <c r="AA7473" s="508">
        <v>7.0999999999999994E-2</v>
      </c>
      <c r="AB7473" s="508">
        <v>7.0999999999999994E-2</v>
      </c>
      <c r="AC7473" s="508">
        <v>7.0999999999999994E-2</v>
      </c>
      <c r="AD7473" s="508">
        <v>4.8000000000000001E-2</v>
      </c>
      <c r="AE7473" s="508">
        <v>4.7E-2</v>
      </c>
      <c r="AF7473" s="508">
        <v>0.04</v>
      </c>
      <c r="AG7473" s="508">
        <v>3.9E-2</v>
      </c>
      <c r="AH7473" s="508">
        <v>3.9E-2</v>
      </c>
      <c r="AI7473" s="492">
        <v>3.9E-2</v>
      </c>
      <c r="AJ7473" s="485"/>
    </row>
    <row r="7474" spans="2:36">
      <c r="B7474" s="136" t="s">
        <v>438</v>
      </c>
      <c r="C7474" s="132" t="s">
        <v>1370</v>
      </c>
      <c r="D7474" s="132" t="s">
        <v>1381</v>
      </c>
      <c r="E7474" s="508">
        <v>1.3080000000000001</v>
      </c>
      <c r="F7474" s="508">
        <v>1.179</v>
      </c>
      <c r="G7474" s="508">
        <v>1.177</v>
      </c>
      <c r="H7474" s="508">
        <v>1.1080000000000001</v>
      </c>
      <c r="I7474" s="508">
        <v>1.214</v>
      </c>
      <c r="J7474" s="508">
        <v>1.0780000000000001</v>
      </c>
      <c r="K7474" s="508">
        <v>1.1870000000000001</v>
      </c>
      <c r="L7474" s="508">
        <v>1.105</v>
      </c>
      <c r="M7474" s="508">
        <v>1.05</v>
      </c>
      <c r="N7474" s="508">
        <v>1.0580000000000001</v>
      </c>
      <c r="O7474" s="508">
        <v>1.08</v>
      </c>
      <c r="P7474" s="508">
        <v>1.0009999999999999</v>
      </c>
      <c r="Q7474" s="508">
        <v>0.99</v>
      </c>
      <c r="R7474" s="508">
        <v>0.997</v>
      </c>
      <c r="S7474" s="508">
        <v>1.0049999999999999</v>
      </c>
      <c r="T7474" s="508">
        <v>1.0669999999999999</v>
      </c>
      <c r="U7474" s="508">
        <v>0.96499999999999997</v>
      </c>
      <c r="V7474" s="508">
        <v>0.94599999999999995</v>
      </c>
      <c r="W7474" s="508">
        <v>0.65700000000000003</v>
      </c>
      <c r="X7474" s="508">
        <v>0.65800000000000003</v>
      </c>
      <c r="Y7474" s="508">
        <v>0.65500000000000003</v>
      </c>
      <c r="Z7474" s="508">
        <v>0.65400000000000003</v>
      </c>
      <c r="AA7474" s="508">
        <v>6.8000000000000005E-2</v>
      </c>
      <c r="AB7474" s="508">
        <v>6.8000000000000005E-2</v>
      </c>
      <c r="AC7474" s="508">
        <v>6.7000000000000004E-2</v>
      </c>
      <c r="AD7474" s="508">
        <v>4.5999999999999999E-2</v>
      </c>
      <c r="AE7474" s="508">
        <v>4.5999999999999999E-2</v>
      </c>
      <c r="AF7474" s="508">
        <v>3.7999999999999999E-2</v>
      </c>
      <c r="AG7474" s="508">
        <v>3.7999999999999999E-2</v>
      </c>
      <c r="AH7474" s="508">
        <v>3.7999999999999999E-2</v>
      </c>
      <c r="AI7474" s="492">
        <v>3.7999999999999999E-2</v>
      </c>
      <c r="AJ7474" s="485"/>
    </row>
    <row r="7475" spans="2:36">
      <c r="B7475" s="136" t="s">
        <v>439</v>
      </c>
      <c r="C7475" s="132" t="s">
        <v>1370</v>
      </c>
      <c r="D7475" s="132" t="s">
        <v>1381</v>
      </c>
      <c r="E7475" s="508">
        <v>1.381</v>
      </c>
      <c r="F7475" s="508">
        <v>1.2430000000000001</v>
      </c>
      <c r="G7475" s="508">
        <v>1.244</v>
      </c>
      <c r="H7475" s="508">
        <v>1.167</v>
      </c>
      <c r="I7475" s="508">
        <v>1.2889999999999999</v>
      </c>
      <c r="J7475" s="508">
        <v>1.135</v>
      </c>
      <c r="K7475" s="508">
        <v>1.2589999999999999</v>
      </c>
      <c r="L7475" s="508">
        <v>1.167</v>
      </c>
      <c r="M7475" s="508">
        <v>1.1040000000000001</v>
      </c>
      <c r="N7475" s="508">
        <v>1.1140000000000001</v>
      </c>
      <c r="O7475" s="508">
        <v>1.1399999999999999</v>
      </c>
      <c r="P7475" s="508">
        <v>1.05</v>
      </c>
      <c r="Q7475" s="508">
        <v>1.0369999999999999</v>
      </c>
      <c r="R7475" s="508">
        <v>1.046</v>
      </c>
      <c r="S7475" s="508">
        <v>1.0549999999999999</v>
      </c>
      <c r="T7475" s="508">
        <v>1.125</v>
      </c>
      <c r="U7475" s="508">
        <v>1.0089999999999999</v>
      </c>
      <c r="V7475" s="508">
        <v>0.98799999999999999</v>
      </c>
      <c r="W7475" s="508">
        <v>0.71199999999999997</v>
      </c>
      <c r="X7475" s="508">
        <v>0.71199999999999997</v>
      </c>
      <c r="Y7475" s="508">
        <v>0.71</v>
      </c>
      <c r="Z7475" s="508">
        <v>0.70799999999999996</v>
      </c>
      <c r="AA7475" s="508">
        <v>7.3999999999999996E-2</v>
      </c>
      <c r="AB7475" s="508">
        <v>7.3999999999999996E-2</v>
      </c>
      <c r="AC7475" s="508">
        <v>7.2999999999999995E-2</v>
      </c>
      <c r="AD7475" s="508">
        <v>0.05</v>
      </c>
      <c r="AE7475" s="508">
        <v>4.9000000000000002E-2</v>
      </c>
      <c r="AF7475" s="508">
        <v>4.2000000000000003E-2</v>
      </c>
      <c r="AG7475" s="508">
        <v>4.1000000000000002E-2</v>
      </c>
      <c r="AH7475" s="508">
        <v>4.1000000000000002E-2</v>
      </c>
      <c r="AI7475" s="492">
        <v>4.1000000000000002E-2</v>
      </c>
      <c r="AJ7475" s="485"/>
    </row>
    <row r="7476" spans="2:36">
      <c r="B7476" s="136" t="s">
        <v>440</v>
      </c>
      <c r="C7476" s="132" t="s">
        <v>1370</v>
      </c>
      <c r="D7476" s="132" t="s">
        <v>1381</v>
      </c>
      <c r="E7476" s="508">
        <v>1.613</v>
      </c>
      <c r="F7476" s="508">
        <v>1.367</v>
      </c>
      <c r="G7476" s="508">
        <v>1.323</v>
      </c>
      <c r="H7476" s="508">
        <v>1.2250000000000001</v>
      </c>
      <c r="I7476" s="508">
        <v>1.3280000000000001</v>
      </c>
      <c r="J7476" s="508">
        <v>1.169</v>
      </c>
      <c r="K7476" s="508">
        <v>1.282</v>
      </c>
      <c r="L7476" s="508">
        <v>1.1879999999999999</v>
      </c>
      <c r="M7476" s="508">
        <v>1.123</v>
      </c>
      <c r="N7476" s="508">
        <v>1.129</v>
      </c>
      <c r="O7476" s="508">
        <v>1.151</v>
      </c>
      <c r="P7476" s="508">
        <v>1.0620000000000001</v>
      </c>
      <c r="Q7476" s="508">
        <v>1.0469999999999999</v>
      </c>
      <c r="R7476" s="508">
        <v>1.054</v>
      </c>
      <c r="S7476" s="508">
        <v>1.0609999999999999</v>
      </c>
      <c r="T7476" s="508">
        <v>1.1259999999999999</v>
      </c>
      <c r="U7476" s="508">
        <v>1.0129999999999999</v>
      </c>
      <c r="V7476" s="508">
        <v>0.99099999999999999</v>
      </c>
      <c r="W7476" s="508">
        <v>0.70899999999999996</v>
      </c>
      <c r="X7476" s="508">
        <v>0.70899999999999996</v>
      </c>
      <c r="Y7476" s="508">
        <v>0.70599999999999996</v>
      </c>
      <c r="Z7476" s="508">
        <v>0.70299999999999996</v>
      </c>
      <c r="AA7476" s="508">
        <v>7.6999999999999999E-2</v>
      </c>
      <c r="AB7476" s="508">
        <v>7.6999999999999999E-2</v>
      </c>
      <c r="AC7476" s="508">
        <v>7.5999999999999998E-2</v>
      </c>
      <c r="AD7476" s="508">
        <v>5.2999999999999999E-2</v>
      </c>
      <c r="AE7476" s="508">
        <v>5.1999999999999998E-2</v>
      </c>
      <c r="AF7476" s="508">
        <v>4.4999999999999998E-2</v>
      </c>
      <c r="AG7476" s="508">
        <v>4.3999999999999997E-2</v>
      </c>
      <c r="AH7476" s="508">
        <v>4.3999999999999997E-2</v>
      </c>
      <c r="AI7476" s="492">
        <v>4.3999999999999997E-2</v>
      </c>
      <c r="AJ7476" s="485"/>
    </row>
    <row r="7477" spans="2:36">
      <c r="B7477" s="136" t="s">
        <v>441</v>
      </c>
      <c r="C7477" s="132" t="s">
        <v>1370</v>
      </c>
      <c r="D7477" s="132" t="s">
        <v>1381</v>
      </c>
      <c r="E7477" s="508">
        <v>1.631</v>
      </c>
      <c r="F7477" s="508">
        <v>1.385</v>
      </c>
      <c r="G7477" s="508">
        <v>1.345</v>
      </c>
      <c r="H7477" s="508">
        <v>1.244</v>
      </c>
      <c r="I7477" s="508">
        <v>1.3540000000000001</v>
      </c>
      <c r="J7477" s="508">
        <v>1.1890000000000001</v>
      </c>
      <c r="K7477" s="508">
        <v>1.3080000000000001</v>
      </c>
      <c r="L7477" s="508">
        <v>1.2090000000000001</v>
      </c>
      <c r="M7477" s="508">
        <v>1.1419999999999999</v>
      </c>
      <c r="N7477" s="508">
        <v>1.149</v>
      </c>
      <c r="O7477" s="508">
        <v>1.1719999999999999</v>
      </c>
      <c r="P7477" s="508">
        <v>1.079</v>
      </c>
      <c r="Q7477" s="508">
        <v>1.0640000000000001</v>
      </c>
      <c r="R7477" s="508">
        <v>1.071</v>
      </c>
      <c r="S7477" s="508">
        <v>1.079</v>
      </c>
      <c r="T7477" s="508">
        <v>1.147</v>
      </c>
      <c r="U7477" s="508">
        <v>1.0289999999999999</v>
      </c>
      <c r="V7477" s="508">
        <v>1.006</v>
      </c>
      <c r="W7477" s="508">
        <v>0.73</v>
      </c>
      <c r="X7477" s="508">
        <v>0.72899999999999998</v>
      </c>
      <c r="Y7477" s="508">
        <v>0.72599999999999998</v>
      </c>
      <c r="Z7477" s="508">
        <v>0.72299999999999998</v>
      </c>
      <c r="AA7477" s="508">
        <v>7.9000000000000001E-2</v>
      </c>
      <c r="AB7477" s="508">
        <v>7.9000000000000001E-2</v>
      </c>
      <c r="AC7477" s="508">
        <v>7.8E-2</v>
      </c>
      <c r="AD7477" s="508">
        <v>5.3999999999999999E-2</v>
      </c>
      <c r="AE7477" s="508">
        <v>5.3999999999999999E-2</v>
      </c>
      <c r="AF7477" s="508">
        <v>4.5999999999999999E-2</v>
      </c>
      <c r="AG7477" s="508">
        <v>4.4999999999999998E-2</v>
      </c>
      <c r="AH7477" s="508">
        <v>4.4999999999999998E-2</v>
      </c>
      <c r="AI7477" s="492">
        <v>4.4999999999999998E-2</v>
      </c>
      <c r="AJ7477" s="485"/>
    </row>
    <row r="7478" spans="2:36">
      <c r="B7478" s="136" t="s">
        <v>443</v>
      </c>
      <c r="C7478" s="132" t="s">
        <v>1370</v>
      </c>
      <c r="D7478" s="132" t="s">
        <v>1381</v>
      </c>
      <c r="E7478" s="508">
        <v>1.639</v>
      </c>
      <c r="F7478" s="508">
        <v>1.4159999999999999</v>
      </c>
      <c r="G7478" s="508">
        <v>1.393</v>
      </c>
      <c r="H7478" s="508">
        <v>1.2889999999999999</v>
      </c>
      <c r="I7478" s="508">
        <v>1.4239999999999999</v>
      </c>
      <c r="J7478" s="508">
        <v>1.238</v>
      </c>
      <c r="K7478" s="508">
        <v>1.38</v>
      </c>
      <c r="L7478" s="508">
        <v>1.2689999999999999</v>
      </c>
      <c r="M7478" s="508">
        <v>1.194</v>
      </c>
      <c r="N7478" s="508">
        <v>1.2030000000000001</v>
      </c>
      <c r="O7478" s="508">
        <v>1.2310000000000001</v>
      </c>
      <c r="P7478" s="508">
        <v>1.125</v>
      </c>
      <c r="Q7478" s="508">
        <v>1.109</v>
      </c>
      <c r="R7478" s="508">
        <v>1.1180000000000001</v>
      </c>
      <c r="S7478" s="508">
        <v>1.1279999999999999</v>
      </c>
      <c r="T7478" s="508">
        <v>1.208</v>
      </c>
      <c r="U7478" s="508">
        <v>1.073</v>
      </c>
      <c r="V7478" s="508">
        <v>1.0469999999999999</v>
      </c>
      <c r="W7478" s="508">
        <v>0.79200000000000004</v>
      </c>
      <c r="X7478" s="508">
        <v>0.79100000000000004</v>
      </c>
      <c r="Y7478" s="508">
        <v>0.78800000000000003</v>
      </c>
      <c r="Z7478" s="508">
        <v>0.78600000000000003</v>
      </c>
      <c r="AA7478" s="508">
        <v>8.5000000000000006E-2</v>
      </c>
      <c r="AB7478" s="508">
        <v>8.4000000000000005E-2</v>
      </c>
      <c r="AC7478" s="508">
        <v>8.3000000000000004E-2</v>
      </c>
      <c r="AD7478" s="508">
        <v>5.7000000000000002E-2</v>
      </c>
      <c r="AE7478" s="508">
        <v>5.7000000000000002E-2</v>
      </c>
      <c r="AF7478" s="508">
        <v>4.8000000000000001E-2</v>
      </c>
      <c r="AG7478" s="508">
        <v>4.8000000000000001E-2</v>
      </c>
      <c r="AH7478" s="508">
        <v>4.8000000000000001E-2</v>
      </c>
      <c r="AI7478" s="492">
        <v>4.8000000000000001E-2</v>
      </c>
      <c r="AJ7478" s="485"/>
    </row>
    <row r="7479" spans="2:36">
      <c r="B7479" s="136" t="s">
        <v>445</v>
      </c>
      <c r="C7479" s="132" t="s">
        <v>1370</v>
      </c>
      <c r="D7479" s="132" t="s">
        <v>1381</v>
      </c>
      <c r="E7479" s="508">
        <v>1.802</v>
      </c>
      <c r="F7479" s="508">
        <v>1.5469999999999999</v>
      </c>
      <c r="G7479" s="508">
        <v>1.5209999999999999</v>
      </c>
      <c r="H7479" s="508">
        <v>1.4019999999999999</v>
      </c>
      <c r="I7479" s="508">
        <v>1.5589999999999999</v>
      </c>
      <c r="J7479" s="508">
        <v>1.343</v>
      </c>
      <c r="K7479" s="508">
        <v>1.508</v>
      </c>
      <c r="L7479" s="508">
        <v>1.379</v>
      </c>
      <c r="M7479" s="508">
        <v>1.292</v>
      </c>
      <c r="N7479" s="508">
        <v>1.3029999999999999</v>
      </c>
      <c r="O7479" s="508">
        <v>1.3360000000000001</v>
      </c>
      <c r="P7479" s="508">
        <v>1.2130000000000001</v>
      </c>
      <c r="Q7479" s="508">
        <v>1.194</v>
      </c>
      <c r="R7479" s="508">
        <v>1.204</v>
      </c>
      <c r="S7479" s="508">
        <v>1.216</v>
      </c>
      <c r="T7479" s="508">
        <v>1.3089999999999999</v>
      </c>
      <c r="U7479" s="508">
        <v>1.1519999999999999</v>
      </c>
      <c r="V7479" s="508">
        <v>1.121</v>
      </c>
      <c r="W7479" s="508">
        <v>0.88500000000000001</v>
      </c>
      <c r="X7479" s="508">
        <v>0.88400000000000001</v>
      </c>
      <c r="Y7479" s="508">
        <v>0.88100000000000001</v>
      </c>
      <c r="Z7479" s="508">
        <v>0.878</v>
      </c>
      <c r="AA7479" s="508">
        <v>9.5000000000000001E-2</v>
      </c>
      <c r="AB7479" s="508">
        <v>9.4E-2</v>
      </c>
      <c r="AC7479" s="508">
        <v>9.2999999999999999E-2</v>
      </c>
      <c r="AD7479" s="508">
        <v>6.4000000000000001E-2</v>
      </c>
      <c r="AE7479" s="508">
        <v>6.4000000000000001E-2</v>
      </c>
      <c r="AF7479" s="508">
        <v>5.3999999999999999E-2</v>
      </c>
      <c r="AG7479" s="508">
        <v>5.2999999999999999E-2</v>
      </c>
      <c r="AH7479" s="508">
        <v>5.2999999999999999E-2</v>
      </c>
      <c r="AI7479" s="492">
        <v>5.2999999999999999E-2</v>
      </c>
      <c r="AJ7479" s="485"/>
    </row>
    <row r="7480" spans="2:36">
      <c r="B7480" s="136" t="s">
        <v>446</v>
      </c>
      <c r="C7480" s="132" t="s">
        <v>1370</v>
      </c>
      <c r="D7480" s="132" t="s">
        <v>1381</v>
      </c>
      <c r="E7480" s="508">
        <v>1.2689999999999999</v>
      </c>
      <c r="F7480" s="508">
        <v>1.2110000000000001</v>
      </c>
      <c r="G7480" s="508">
        <v>1.2509999999999999</v>
      </c>
      <c r="H7480" s="508">
        <v>1.1830000000000001</v>
      </c>
      <c r="I7480" s="508">
        <v>1.337</v>
      </c>
      <c r="J7480" s="508">
        <v>1.167</v>
      </c>
      <c r="K7480" s="508">
        <v>1.3180000000000001</v>
      </c>
      <c r="L7480" s="508">
        <v>1.216</v>
      </c>
      <c r="M7480" s="508">
        <v>1.147</v>
      </c>
      <c r="N7480" s="508">
        <v>1.1619999999999999</v>
      </c>
      <c r="O7480" s="508">
        <v>1.194</v>
      </c>
      <c r="P7480" s="508">
        <v>1.0920000000000001</v>
      </c>
      <c r="Q7480" s="508">
        <v>1.0780000000000001</v>
      </c>
      <c r="R7480" s="508">
        <v>1.0900000000000001</v>
      </c>
      <c r="S7480" s="508">
        <v>1.1020000000000001</v>
      </c>
      <c r="T7480" s="508">
        <v>1.1850000000000001</v>
      </c>
      <c r="U7480" s="508">
        <v>1.0529999999999999</v>
      </c>
      <c r="V7480" s="508">
        <v>1.0289999999999999</v>
      </c>
      <c r="W7480" s="508">
        <v>0.77300000000000002</v>
      </c>
      <c r="X7480" s="508">
        <v>0.77400000000000002</v>
      </c>
      <c r="Y7480" s="508">
        <v>0.77200000000000002</v>
      </c>
      <c r="Z7480" s="508">
        <v>0.77100000000000002</v>
      </c>
      <c r="AA7480" s="508">
        <v>7.6999999999999999E-2</v>
      </c>
      <c r="AB7480" s="508">
        <v>7.6999999999999999E-2</v>
      </c>
      <c r="AC7480" s="508">
        <v>7.6999999999999999E-2</v>
      </c>
      <c r="AD7480" s="508">
        <v>5.0999999999999997E-2</v>
      </c>
      <c r="AE7480" s="508">
        <v>5.0999999999999997E-2</v>
      </c>
      <c r="AF7480" s="508">
        <v>4.2999999999999997E-2</v>
      </c>
      <c r="AG7480" s="508">
        <v>4.2000000000000003E-2</v>
      </c>
      <c r="AH7480" s="508">
        <v>4.2000000000000003E-2</v>
      </c>
      <c r="AI7480" s="492">
        <v>4.2000000000000003E-2</v>
      </c>
      <c r="AJ7480" s="485"/>
    </row>
    <row r="7481" spans="2:36">
      <c r="B7481" s="136" t="s">
        <v>448</v>
      </c>
      <c r="C7481" s="132" t="s">
        <v>1370</v>
      </c>
      <c r="D7481" s="132" t="s">
        <v>1381</v>
      </c>
      <c r="E7481" s="508">
        <v>1.323</v>
      </c>
      <c r="F7481" s="508">
        <v>1.196</v>
      </c>
      <c r="G7481" s="508">
        <v>1.1970000000000001</v>
      </c>
      <c r="H7481" s="508">
        <v>1.125</v>
      </c>
      <c r="I7481" s="508">
        <v>1.238</v>
      </c>
      <c r="J7481" s="508">
        <v>1.095</v>
      </c>
      <c r="K7481" s="508">
        <v>1.2110000000000001</v>
      </c>
      <c r="L7481" s="508">
        <v>1.125</v>
      </c>
      <c r="M7481" s="508">
        <v>1.0669999999999999</v>
      </c>
      <c r="N7481" s="508">
        <v>1.077</v>
      </c>
      <c r="O7481" s="508">
        <v>1.1000000000000001</v>
      </c>
      <c r="P7481" s="508">
        <v>1.0169999999999999</v>
      </c>
      <c r="Q7481" s="508">
        <v>1.0049999999999999</v>
      </c>
      <c r="R7481" s="508">
        <v>1.0129999999999999</v>
      </c>
      <c r="S7481" s="508">
        <v>1.022</v>
      </c>
      <c r="T7481" s="508">
        <v>1.087</v>
      </c>
      <c r="U7481" s="508">
        <v>0.98</v>
      </c>
      <c r="V7481" s="508">
        <v>0.96</v>
      </c>
      <c r="W7481" s="508">
        <v>0.67600000000000005</v>
      </c>
      <c r="X7481" s="508">
        <v>0.67700000000000005</v>
      </c>
      <c r="Y7481" s="508">
        <v>0.67400000000000004</v>
      </c>
      <c r="Z7481" s="508">
        <v>0.67300000000000004</v>
      </c>
      <c r="AA7481" s="508">
        <v>7.0000000000000007E-2</v>
      </c>
      <c r="AB7481" s="508">
        <v>7.0000000000000007E-2</v>
      </c>
      <c r="AC7481" s="508">
        <v>6.9000000000000006E-2</v>
      </c>
      <c r="AD7481" s="508">
        <v>4.7E-2</v>
      </c>
      <c r="AE7481" s="508">
        <v>4.7E-2</v>
      </c>
      <c r="AF7481" s="508">
        <v>3.9E-2</v>
      </c>
      <c r="AG7481" s="508">
        <v>3.9E-2</v>
      </c>
      <c r="AH7481" s="508">
        <v>3.9E-2</v>
      </c>
      <c r="AI7481" s="492">
        <v>3.9E-2</v>
      </c>
      <c r="AJ7481" s="485"/>
    </row>
    <row r="7482" spans="2:36">
      <c r="B7482" s="136" t="s">
        <v>449</v>
      </c>
      <c r="C7482" s="132" t="s">
        <v>1370</v>
      </c>
      <c r="D7482" s="132" t="s">
        <v>1381</v>
      </c>
      <c r="E7482" s="508">
        <v>1.1910000000000001</v>
      </c>
      <c r="F7482" s="508">
        <v>1.165</v>
      </c>
      <c r="G7482" s="508">
        <v>1.218</v>
      </c>
      <c r="H7482" s="508">
        <v>1.1559999999999999</v>
      </c>
      <c r="I7482" s="508">
        <v>1.3149999999999999</v>
      </c>
      <c r="J7482" s="508">
        <v>1.1479999999999999</v>
      </c>
      <c r="K7482" s="508">
        <v>1.3009999999999999</v>
      </c>
      <c r="L7482" s="508">
        <v>1.2</v>
      </c>
      <c r="M7482" s="508">
        <v>1.1319999999999999</v>
      </c>
      <c r="N7482" s="508">
        <v>1.1479999999999999</v>
      </c>
      <c r="O7482" s="508">
        <v>1.181</v>
      </c>
      <c r="P7482" s="508">
        <v>1.08</v>
      </c>
      <c r="Q7482" s="508">
        <v>1.0669999999999999</v>
      </c>
      <c r="R7482" s="508">
        <v>1.079</v>
      </c>
      <c r="S7482" s="508">
        <v>1.091</v>
      </c>
      <c r="T7482" s="508">
        <v>1.175</v>
      </c>
      <c r="U7482" s="508">
        <v>1.044</v>
      </c>
      <c r="V7482" s="508">
        <v>1.02</v>
      </c>
      <c r="W7482" s="508">
        <v>0.76600000000000001</v>
      </c>
      <c r="X7482" s="508">
        <v>0.76800000000000002</v>
      </c>
      <c r="Y7482" s="508">
        <v>0.76600000000000001</v>
      </c>
      <c r="Z7482" s="508">
        <v>0.76500000000000001</v>
      </c>
      <c r="AA7482" s="508">
        <v>7.4999999999999997E-2</v>
      </c>
      <c r="AB7482" s="508">
        <v>7.4999999999999997E-2</v>
      </c>
      <c r="AC7482" s="508">
        <v>7.4999999999999997E-2</v>
      </c>
      <c r="AD7482" s="508">
        <v>0.05</v>
      </c>
      <c r="AE7482" s="508">
        <v>0.05</v>
      </c>
      <c r="AF7482" s="508">
        <v>4.1000000000000002E-2</v>
      </c>
      <c r="AG7482" s="508">
        <v>4.1000000000000002E-2</v>
      </c>
      <c r="AH7482" s="508">
        <v>4.1000000000000002E-2</v>
      </c>
      <c r="AI7482" s="492">
        <v>4.1000000000000002E-2</v>
      </c>
      <c r="AJ7482" s="485"/>
    </row>
    <row r="7483" spans="2:36">
      <c r="B7483" s="136" t="s">
        <v>450</v>
      </c>
      <c r="C7483" s="132" t="s">
        <v>1370</v>
      </c>
      <c r="D7483" s="132" t="s">
        <v>1381</v>
      </c>
      <c r="E7483" s="508">
        <v>1.5669999999999999</v>
      </c>
      <c r="F7483" s="508">
        <v>1.333</v>
      </c>
      <c r="G7483" s="508">
        <v>1.292</v>
      </c>
      <c r="H7483" s="508">
        <v>1.198</v>
      </c>
      <c r="I7483" s="508">
        <v>1.2969999999999999</v>
      </c>
      <c r="J7483" s="508">
        <v>1.145</v>
      </c>
      <c r="K7483" s="508">
        <v>1.2529999999999999</v>
      </c>
      <c r="L7483" s="508">
        <v>1.163</v>
      </c>
      <c r="M7483" s="508">
        <v>1.101</v>
      </c>
      <c r="N7483" s="508">
        <v>1.107</v>
      </c>
      <c r="O7483" s="508">
        <v>1.127</v>
      </c>
      <c r="P7483" s="508">
        <v>1.042</v>
      </c>
      <c r="Q7483" s="508">
        <v>1.028</v>
      </c>
      <c r="R7483" s="508">
        <v>1.034</v>
      </c>
      <c r="S7483" s="508">
        <v>1.042</v>
      </c>
      <c r="T7483" s="508">
        <v>1.1040000000000001</v>
      </c>
      <c r="U7483" s="508">
        <v>0.995</v>
      </c>
      <c r="V7483" s="508">
        <v>0.97399999999999998</v>
      </c>
      <c r="W7483" s="508">
        <v>0.68899999999999995</v>
      </c>
      <c r="X7483" s="508">
        <v>0.68899999999999995</v>
      </c>
      <c r="Y7483" s="508">
        <v>0.68600000000000005</v>
      </c>
      <c r="Z7483" s="508">
        <v>0.68300000000000005</v>
      </c>
      <c r="AA7483" s="508">
        <v>7.4999999999999997E-2</v>
      </c>
      <c r="AB7483" s="508">
        <v>7.3999999999999996E-2</v>
      </c>
      <c r="AC7483" s="508">
        <v>7.3999999999999996E-2</v>
      </c>
      <c r="AD7483" s="508">
        <v>5.0999999999999997E-2</v>
      </c>
      <c r="AE7483" s="508">
        <v>5.0999999999999997E-2</v>
      </c>
      <c r="AF7483" s="508">
        <v>4.2999999999999997E-2</v>
      </c>
      <c r="AG7483" s="508">
        <v>4.2999999999999997E-2</v>
      </c>
      <c r="AH7483" s="508">
        <v>4.2999999999999997E-2</v>
      </c>
      <c r="AI7483" s="492">
        <v>4.2999999999999997E-2</v>
      </c>
      <c r="AJ7483" s="485"/>
    </row>
    <row r="7484" spans="2:36">
      <c r="B7484" s="136" t="s">
        <v>451</v>
      </c>
      <c r="C7484" s="132" t="s">
        <v>1370</v>
      </c>
      <c r="D7484" s="132" t="s">
        <v>1381</v>
      </c>
      <c r="E7484" s="508">
        <v>1.804</v>
      </c>
      <c r="F7484" s="508">
        <v>1.5189999999999999</v>
      </c>
      <c r="G7484" s="508">
        <v>1.4730000000000001</v>
      </c>
      <c r="H7484" s="508">
        <v>1.355</v>
      </c>
      <c r="I7484" s="508">
        <v>1.486</v>
      </c>
      <c r="J7484" s="508">
        <v>1.29</v>
      </c>
      <c r="K7484" s="508">
        <v>1.4319999999999999</v>
      </c>
      <c r="L7484" s="508">
        <v>1.3149999999999999</v>
      </c>
      <c r="M7484" s="508">
        <v>1.236</v>
      </c>
      <c r="N7484" s="508">
        <v>1.244</v>
      </c>
      <c r="O7484" s="508">
        <v>1.2709999999999999</v>
      </c>
      <c r="P7484" s="508">
        <v>1.161</v>
      </c>
      <c r="Q7484" s="508">
        <v>1.143</v>
      </c>
      <c r="R7484" s="508">
        <v>1.1519999999999999</v>
      </c>
      <c r="S7484" s="508">
        <v>1.161</v>
      </c>
      <c r="T7484" s="508">
        <v>1.2430000000000001</v>
      </c>
      <c r="U7484" s="508">
        <v>1.1020000000000001</v>
      </c>
      <c r="V7484" s="508">
        <v>1.075</v>
      </c>
      <c r="W7484" s="508">
        <v>0.82</v>
      </c>
      <c r="X7484" s="508">
        <v>0.81899999999999995</v>
      </c>
      <c r="Y7484" s="508">
        <v>0.81499999999999995</v>
      </c>
      <c r="Z7484" s="508">
        <v>0.81200000000000006</v>
      </c>
      <c r="AA7484" s="508">
        <v>8.8999999999999996E-2</v>
      </c>
      <c r="AB7484" s="508">
        <v>8.8999999999999996E-2</v>
      </c>
      <c r="AC7484" s="508">
        <v>8.7999999999999995E-2</v>
      </c>
      <c r="AD7484" s="508">
        <v>6.0999999999999999E-2</v>
      </c>
      <c r="AE7484" s="508">
        <v>0.06</v>
      </c>
      <c r="AF7484" s="508">
        <v>5.0999999999999997E-2</v>
      </c>
      <c r="AG7484" s="508">
        <v>5.0999999999999997E-2</v>
      </c>
      <c r="AH7484" s="508">
        <v>5.0999999999999997E-2</v>
      </c>
      <c r="AI7484" s="492">
        <v>5.0999999999999997E-2</v>
      </c>
      <c r="AJ7484" s="485"/>
    </row>
    <row r="7485" spans="2:36">
      <c r="B7485" s="136" t="s">
        <v>452</v>
      </c>
      <c r="C7485" s="132" t="s">
        <v>1370</v>
      </c>
      <c r="D7485" s="132" t="s">
        <v>1381</v>
      </c>
      <c r="E7485" s="508">
        <v>1.5960000000000001</v>
      </c>
      <c r="F7485" s="508">
        <v>1.369</v>
      </c>
      <c r="G7485" s="508">
        <v>1.3360000000000001</v>
      </c>
      <c r="H7485" s="508">
        <v>1.2390000000000001</v>
      </c>
      <c r="I7485" s="508">
        <v>1.3540000000000001</v>
      </c>
      <c r="J7485" s="508">
        <v>1.1870000000000001</v>
      </c>
      <c r="K7485" s="508">
        <v>1.31</v>
      </c>
      <c r="L7485" s="508">
        <v>1.2110000000000001</v>
      </c>
      <c r="M7485" s="508">
        <v>1.143</v>
      </c>
      <c r="N7485" s="508">
        <v>1.151</v>
      </c>
      <c r="O7485" s="508">
        <v>1.175</v>
      </c>
      <c r="P7485" s="508">
        <v>1.081</v>
      </c>
      <c r="Q7485" s="508">
        <v>1.0660000000000001</v>
      </c>
      <c r="R7485" s="508">
        <v>1.073</v>
      </c>
      <c r="S7485" s="508">
        <v>1.0820000000000001</v>
      </c>
      <c r="T7485" s="508">
        <v>1.1519999999999999</v>
      </c>
      <c r="U7485" s="508">
        <v>1.0309999999999999</v>
      </c>
      <c r="V7485" s="508">
        <v>1.008</v>
      </c>
      <c r="W7485" s="508">
        <v>0.73499999999999999</v>
      </c>
      <c r="X7485" s="508">
        <v>0.73499999999999999</v>
      </c>
      <c r="Y7485" s="508">
        <v>0.73199999999999998</v>
      </c>
      <c r="Z7485" s="508">
        <v>0.72899999999999998</v>
      </c>
      <c r="AA7485" s="508">
        <v>7.9000000000000001E-2</v>
      </c>
      <c r="AB7485" s="508">
        <v>7.9000000000000001E-2</v>
      </c>
      <c r="AC7485" s="508">
        <v>7.8E-2</v>
      </c>
      <c r="AD7485" s="508">
        <v>5.3999999999999999E-2</v>
      </c>
      <c r="AE7485" s="508">
        <v>5.2999999999999999E-2</v>
      </c>
      <c r="AF7485" s="508">
        <v>4.4999999999999998E-2</v>
      </c>
      <c r="AG7485" s="508">
        <v>4.4999999999999998E-2</v>
      </c>
      <c r="AH7485" s="508">
        <v>4.4999999999999998E-2</v>
      </c>
      <c r="AI7485" s="492">
        <v>4.4999999999999998E-2</v>
      </c>
      <c r="AJ7485" s="485"/>
    </row>
    <row r="7486" spans="2:36">
      <c r="B7486" s="136" t="s">
        <v>453</v>
      </c>
      <c r="C7486" s="132" t="s">
        <v>1370</v>
      </c>
      <c r="D7486" s="132" t="s">
        <v>1381</v>
      </c>
      <c r="E7486" s="508">
        <v>1.524</v>
      </c>
      <c r="F7486" s="508">
        <v>1.304</v>
      </c>
      <c r="G7486" s="508">
        <v>1.268</v>
      </c>
      <c r="H7486" s="508">
        <v>1.1779999999999999</v>
      </c>
      <c r="I7486" s="508">
        <v>1.276</v>
      </c>
      <c r="J7486" s="508">
        <v>1.1279999999999999</v>
      </c>
      <c r="K7486" s="508">
        <v>1.234</v>
      </c>
      <c r="L7486" s="508">
        <v>1.1459999999999999</v>
      </c>
      <c r="M7486" s="508">
        <v>1.0860000000000001</v>
      </c>
      <c r="N7486" s="508">
        <v>1.0920000000000001</v>
      </c>
      <c r="O7486" s="508">
        <v>1.113</v>
      </c>
      <c r="P7486" s="508">
        <v>1.03</v>
      </c>
      <c r="Q7486" s="508">
        <v>1.016</v>
      </c>
      <c r="R7486" s="508">
        <v>1.0229999999999999</v>
      </c>
      <c r="S7486" s="508">
        <v>1.03</v>
      </c>
      <c r="T7486" s="508">
        <v>1.091</v>
      </c>
      <c r="U7486" s="508">
        <v>0.98499999999999999</v>
      </c>
      <c r="V7486" s="508">
        <v>0.96399999999999997</v>
      </c>
      <c r="W7486" s="508">
        <v>0.67700000000000005</v>
      </c>
      <c r="X7486" s="508">
        <v>0.67700000000000005</v>
      </c>
      <c r="Y7486" s="508">
        <v>0.67400000000000004</v>
      </c>
      <c r="Z7486" s="508">
        <v>0.67100000000000004</v>
      </c>
      <c r="AA7486" s="508">
        <v>7.2999999999999995E-2</v>
      </c>
      <c r="AB7486" s="508">
        <v>7.2999999999999995E-2</v>
      </c>
      <c r="AC7486" s="508">
        <v>7.1999999999999995E-2</v>
      </c>
      <c r="AD7486" s="508">
        <v>0.05</v>
      </c>
      <c r="AE7486" s="508">
        <v>4.9000000000000002E-2</v>
      </c>
      <c r="AF7486" s="508">
        <v>4.2000000000000003E-2</v>
      </c>
      <c r="AG7486" s="508">
        <v>4.1000000000000002E-2</v>
      </c>
      <c r="AH7486" s="508">
        <v>4.2000000000000003E-2</v>
      </c>
      <c r="AI7486" s="492">
        <v>4.2000000000000003E-2</v>
      </c>
      <c r="AJ7486" s="485"/>
    </row>
    <row r="7487" spans="2:36">
      <c r="B7487" s="136" t="s">
        <v>454</v>
      </c>
      <c r="C7487" s="132" t="s">
        <v>1370</v>
      </c>
      <c r="D7487" s="132" t="s">
        <v>1381</v>
      </c>
      <c r="E7487" s="508">
        <v>1.464</v>
      </c>
      <c r="F7487" s="508">
        <v>1.2769999999999999</v>
      </c>
      <c r="G7487" s="508">
        <v>1.254</v>
      </c>
      <c r="H7487" s="508">
        <v>1.17</v>
      </c>
      <c r="I7487" s="508">
        <v>1.276</v>
      </c>
      <c r="J7487" s="508">
        <v>1.127</v>
      </c>
      <c r="K7487" s="508">
        <v>1.24</v>
      </c>
      <c r="L7487" s="508">
        <v>1.1499999999999999</v>
      </c>
      <c r="M7487" s="508">
        <v>1.089</v>
      </c>
      <c r="N7487" s="508">
        <v>1.097</v>
      </c>
      <c r="O7487" s="508">
        <v>1.119</v>
      </c>
      <c r="P7487" s="508">
        <v>1.034</v>
      </c>
      <c r="Q7487" s="508">
        <v>1.0209999999999999</v>
      </c>
      <c r="R7487" s="508">
        <v>1.028</v>
      </c>
      <c r="S7487" s="508">
        <v>1.036</v>
      </c>
      <c r="T7487" s="508">
        <v>1.1000000000000001</v>
      </c>
      <c r="U7487" s="508">
        <v>0.99099999999999999</v>
      </c>
      <c r="V7487" s="508">
        <v>0.97</v>
      </c>
      <c r="W7487" s="508">
        <v>0.68700000000000006</v>
      </c>
      <c r="X7487" s="508">
        <v>0.68700000000000006</v>
      </c>
      <c r="Y7487" s="508">
        <v>0.68500000000000005</v>
      </c>
      <c r="Z7487" s="508">
        <v>0.68300000000000005</v>
      </c>
      <c r="AA7487" s="508">
        <v>7.2999999999999995E-2</v>
      </c>
      <c r="AB7487" s="508">
        <v>7.2999999999999995E-2</v>
      </c>
      <c r="AC7487" s="508">
        <v>7.1999999999999995E-2</v>
      </c>
      <c r="AD7487" s="508">
        <v>0.05</v>
      </c>
      <c r="AE7487" s="508">
        <v>4.9000000000000002E-2</v>
      </c>
      <c r="AF7487" s="508">
        <v>4.2000000000000003E-2</v>
      </c>
      <c r="AG7487" s="508">
        <v>4.1000000000000002E-2</v>
      </c>
      <c r="AH7487" s="508">
        <v>4.1000000000000002E-2</v>
      </c>
      <c r="AI7487" s="492">
        <v>4.1000000000000002E-2</v>
      </c>
      <c r="AJ7487" s="485"/>
    </row>
    <row r="7488" spans="2:36">
      <c r="B7488" s="136" t="s">
        <v>455</v>
      </c>
      <c r="C7488" s="132" t="s">
        <v>1370</v>
      </c>
      <c r="D7488" s="132" t="s">
        <v>1381</v>
      </c>
      <c r="E7488" s="508">
        <v>1.355</v>
      </c>
      <c r="F7488" s="508">
        <v>1.2</v>
      </c>
      <c r="G7488" s="508">
        <v>1.1859999999999999</v>
      </c>
      <c r="H7488" s="508">
        <v>1.113</v>
      </c>
      <c r="I7488" s="508">
        <v>1.212</v>
      </c>
      <c r="J7488" s="508">
        <v>1.077</v>
      </c>
      <c r="K7488" s="508">
        <v>1.181</v>
      </c>
      <c r="L7488" s="508">
        <v>1.1000000000000001</v>
      </c>
      <c r="M7488" s="508">
        <v>1.046</v>
      </c>
      <c r="N7488" s="508">
        <v>1.0529999999999999</v>
      </c>
      <c r="O7488" s="508">
        <v>1.0740000000000001</v>
      </c>
      <c r="P7488" s="508">
        <v>0.997</v>
      </c>
      <c r="Q7488" s="508">
        <v>0.98499999999999999</v>
      </c>
      <c r="R7488" s="508">
        <v>0.99199999999999999</v>
      </c>
      <c r="S7488" s="508">
        <v>0.999</v>
      </c>
      <c r="T7488" s="508">
        <v>1.0580000000000001</v>
      </c>
      <c r="U7488" s="508">
        <v>0.95899999999999996</v>
      </c>
      <c r="V7488" s="508">
        <v>0.94</v>
      </c>
      <c r="W7488" s="508">
        <v>0.64700000000000002</v>
      </c>
      <c r="X7488" s="508">
        <v>0.64700000000000002</v>
      </c>
      <c r="Y7488" s="508">
        <v>0.64500000000000002</v>
      </c>
      <c r="Z7488" s="508">
        <v>0.64300000000000002</v>
      </c>
      <c r="AA7488" s="508">
        <v>6.8000000000000005E-2</v>
      </c>
      <c r="AB7488" s="508">
        <v>6.8000000000000005E-2</v>
      </c>
      <c r="AC7488" s="508">
        <v>6.7000000000000004E-2</v>
      </c>
      <c r="AD7488" s="508">
        <v>4.5999999999999999E-2</v>
      </c>
      <c r="AE7488" s="508">
        <v>4.5999999999999999E-2</v>
      </c>
      <c r="AF7488" s="508">
        <v>3.9E-2</v>
      </c>
      <c r="AG7488" s="508">
        <v>3.7999999999999999E-2</v>
      </c>
      <c r="AH7488" s="508">
        <v>3.7999999999999999E-2</v>
      </c>
      <c r="AI7488" s="492">
        <v>3.7999999999999999E-2</v>
      </c>
      <c r="AJ7488" s="485"/>
    </row>
    <row r="7489" spans="2:36">
      <c r="B7489" s="136" t="s">
        <v>456</v>
      </c>
      <c r="C7489" s="132" t="s">
        <v>1370</v>
      </c>
      <c r="D7489" s="132" t="s">
        <v>1381</v>
      </c>
      <c r="E7489" s="508">
        <v>1.248</v>
      </c>
      <c r="F7489" s="508">
        <v>1.1599999999999999</v>
      </c>
      <c r="G7489" s="508">
        <v>1.1779999999999999</v>
      </c>
      <c r="H7489" s="508">
        <v>1.113</v>
      </c>
      <c r="I7489" s="508">
        <v>1.2350000000000001</v>
      </c>
      <c r="J7489" s="508">
        <v>1.091</v>
      </c>
      <c r="K7489" s="508">
        <v>1.2130000000000001</v>
      </c>
      <c r="L7489" s="508">
        <v>1.127</v>
      </c>
      <c r="M7489" s="508">
        <v>1.069</v>
      </c>
      <c r="N7489" s="508">
        <v>1.079</v>
      </c>
      <c r="O7489" s="508">
        <v>1.105</v>
      </c>
      <c r="P7489" s="508">
        <v>1.02</v>
      </c>
      <c r="Q7489" s="508">
        <v>1.008</v>
      </c>
      <c r="R7489" s="508">
        <v>1.0169999999999999</v>
      </c>
      <c r="S7489" s="508">
        <v>1.0269999999999999</v>
      </c>
      <c r="T7489" s="508">
        <v>1.095</v>
      </c>
      <c r="U7489" s="508">
        <v>0.98499999999999999</v>
      </c>
      <c r="V7489" s="508">
        <v>0.96499999999999997</v>
      </c>
      <c r="W7489" s="508">
        <v>0.68500000000000005</v>
      </c>
      <c r="X7489" s="508">
        <v>0.68600000000000005</v>
      </c>
      <c r="Y7489" s="508">
        <v>0.68400000000000005</v>
      </c>
      <c r="Z7489" s="508">
        <v>0.68300000000000005</v>
      </c>
      <c r="AA7489" s="508">
        <v>7.0000000000000007E-2</v>
      </c>
      <c r="AB7489" s="508">
        <v>6.9000000000000006E-2</v>
      </c>
      <c r="AC7489" s="508">
        <v>6.9000000000000006E-2</v>
      </c>
      <c r="AD7489" s="508">
        <v>4.5999999999999999E-2</v>
      </c>
      <c r="AE7489" s="508">
        <v>4.5999999999999999E-2</v>
      </c>
      <c r="AF7489" s="508">
        <v>3.9E-2</v>
      </c>
      <c r="AG7489" s="508">
        <v>3.7999999999999999E-2</v>
      </c>
      <c r="AH7489" s="508">
        <v>3.7999999999999999E-2</v>
      </c>
      <c r="AI7489" s="492">
        <v>3.7999999999999999E-2</v>
      </c>
      <c r="AJ7489" s="485"/>
    </row>
    <row r="7490" spans="2:36">
      <c r="B7490" s="136" t="s">
        <v>457</v>
      </c>
      <c r="C7490" s="132" t="s">
        <v>1370</v>
      </c>
      <c r="D7490" s="132" t="s">
        <v>1381</v>
      </c>
      <c r="E7490" s="508">
        <v>1.5209999999999999</v>
      </c>
      <c r="F7490" s="508">
        <v>1.2929999999999999</v>
      </c>
      <c r="G7490" s="508">
        <v>1.2509999999999999</v>
      </c>
      <c r="H7490" s="508">
        <v>1.1619999999999999</v>
      </c>
      <c r="I7490" s="508">
        <v>1.2509999999999999</v>
      </c>
      <c r="J7490" s="508">
        <v>1.1100000000000001</v>
      </c>
      <c r="K7490" s="508">
        <v>1.2090000000000001</v>
      </c>
      <c r="L7490" s="508">
        <v>1.125</v>
      </c>
      <c r="M7490" s="508">
        <v>1.0669999999999999</v>
      </c>
      <c r="N7490" s="508">
        <v>1.0720000000000001</v>
      </c>
      <c r="O7490" s="508">
        <v>1.091</v>
      </c>
      <c r="P7490" s="508">
        <v>1.0129999999999999</v>
      </c>
      <c r="Q7490" s="508">
        <v>0.999</v>
      </c>
      <c r="R7490" s="508">
        <v>1.0049999999999999</v>
      </c>
      <c r="S7490" s="508">
        <v>1.0109999999999999</v>
      </c>
      <c r="T7490" s="508">
        <v>1.069</v>
      </c>
      <c r="U7490" s="508">
        <v>0.96799999999999997</v>
      </c>
      <c r="V7490" s="508">
        <v>0.94799999999999995</v>
      </c>
      <c r="W7490" s="508">
        <v>0.65600000000000003</v>
      </c>
      <c r="X7490" s="508">
        <v>0.65600000000000003</v>
      </c>
      <c r="Y7490" s="508">
        <v>0.65300000000000002</v>
      </c>
      <c r="Z7490" s="508">
        <v>0.65</v>
      </c>
      <c r="AA7490" s="508">
        <v>7.1999999999999995E-2</v>
      </c>
      <c r="AB7490" s="508">
        <v>7.0999999999999994E-2</v>
      </c>
      <c r="AC7490" s="508">
        <v>7.0000000000000007E-2</v>
      </c>
      <c r="AD7490" s="508">
        <v>4.9000000000000002E-2</v>
      </c>
      <c r="AE7490" s="508">
        <v>4.8000000000000001E-2</v>
      </c>
      <c r="AF7490" s="508">
        <v>4.1000000000000002E-2</v>
      </c>
      <c r="AG7490" s="508">
        <v>4.1000000000000002E-2</v>
      </c>
      <c r="AH7490" s="508">
        <v>4.1000000000000002E-2</v>
      </c>
      <c r="AI7490" s="492">
        <v>4.1000000000000002E-2</v>
      </c>
      <c r="AJ7490" s="485"/>
    </row>
    <row r="7491" spans="2:36">
      <c r="B7491" s="136" t="s">
        <v>458</v>
      </c>
      <c r="C7491" s="132" t="s">
        <v>1370</v>
      </c>
      <c r="D7491" s="132" t="s">
        <v>1381</v>
      </c>
      <c r="E7491" s="508">
        <v>1.496</v>
      </c>
      <c r="F7491" s="508">
        <v>1.3029999999999999</v>
      </c>
      <c r="G7491" s="508">
        <v>1.2809999999999999</v>
      </c>
      <c r="H7491" s="508">
        <v>1.194</v>
      </c>
      <c r="I7491" s="508">
        <v>1.3049999999999999</v>
      </c>
      <c r="J7491" s="508">
        <v>1.149</v>
      </c>
      <c r="K7491" s="508">
        <v>1.268</v>
      </c>
      <c r="L7491" s="508">
        <v>1.1739999999999999</v>
      </c>
      <c r="M7491" s="508">
        <v>1.111</v>
      </c>
      <c r="N7491" s="508">
        <v>1.119</v>
      </c>
      <c r="O7491" s="508">
        <v>1.1419999999999999</v>
      </c>
      <c r="P7491" s="508">
        <v>1.054</v>
      </c>
      <c r="Q7491" s="508">
        <v>1.04</v>
      </c>
      <c r="R7491" s="508">
        <v>1.0469999999999999</v>
      </c>
      <c r="S7491" s="508">
        <v>1.056</v>
      </c>
      <c r="T7491" s="508">
        <v>1.123</v>
      </c>
      <c r="U7491" s="508">
        <v>1.0089999999999999</v>
      </c>
      <c r="V7491" s="508">
        <v>0.98699999999999999</v>
      </c>
      <c r="W7491" s="508">
        <v>0.70799999999999996</v>
      </c>
      <c r="X7491" s="508">
        <v>0.70799999999999996</v>
      </c>
      <c r="Y7491" s="508">
        <v>0.70499999999999996</v>
      </c>
      <c r="Z7491" s="508">
        <v>0.70299999999999996</v>
      </c>
      <c r="AA7491" s="508">
        <v>7.4999999999999997E-2</v>
      </c>
      <c r="AB7491" s="508">
        <v>7.4999999999999997E-2</v>
      </c>
      <c r="AC7491" s="508">
        <v>7.3999999999999996E-2</v>
      </c>
      <c r="AD7491" s="508">
        <v>5.0999999999999997E-2</v>
      </c>
      <c r="AE7491" s="508">
        <v>5.0999999999999997E-2</v>
      </c>
      <c r="AF7491" s="508">
        <v>4.2999999999999997E-2</v>
      </c>
      <c r="AG7491" s="508">
        <v>4.2000000000000003E-2</v>
      </c>
      <c r="AH7491" s="508">
        <v>4.2000000000000003E-2</v>
      </c>
      <c r="AI7491" s="492">
        <v>4.2000000000000003E-2</v>
      </c>
      <c r="AJ7491" s="485"/>
    </row>
    <row r="7492" spans="2:36">
      <c r="B7492" s="136" t="s">
        <v>459</v>
      </c>
      <c r="C7492" s="132" t="s">
        <v>1370</v>
      </c>
      <c r="D7492" s="132" t="s">
        <v>1381</v>
      </c>
      <c r="E7492" s="508">
        <v>1.611</v>
      </c>
      <c r="F7492" s="508">
        <v>1.3680000000000001</v>
      </c>
      <c r="G7492" s="508">
        <v>1.3260000000000001</v>
      </c>
      <c r="H7492" s="508">
        <v>1.2270000000000001</v>
      </c>
      <c r="I7492" s="508">
        <v>1.3320000000000001</v>
      </c>
      <c r="J7492" s="508">
        <v>1.1719999999999999</v>
      </c>
      <c r="K7492" s="508">
        <v>1.2869999999999999</v>
      </c>
      <c r="L7492" s="508">
        <v>1.1910000000000001</v>
      </c>
      <c r="M7492" s="508">
        <v>1.1259999999999999</v>
      </c>
      <c r="N7492" s="508">
        <v>1.1319999999999999</v>
      </c>
      <c r="O7492" s="508">
        <v>1.1539999999999999</v>
      </c>
      <c r="P7492" s="508">
        <v>1.0649999999999999</v>
      </c>
      <c r="Q7492" s="508">
        <v>1.05</v>
      </c>
      <c r="R7492" s="508">
        <v>1.0569999999999999</v>
      </c>
      <c r="S7492" s="508">
        <v>1.0640000000000001</v>
      </c>
      <c r="T7492" s="508">
        <v>1.1299999999999999</v>
      </c>
      <c r="U7492" s="508">
        <v>1.016</v>
      </c>
      <c r="V7492" s="508">
        <v>0.99299999999999999</v>
      </c>
      <c r="W7492" s="508">
        <v>0.71299999999999997</v>
      </c>
      <c r="X7492" s="508">
        <v>0.71299999999999997</v>
      </c>
      <c r="Y7492" s="508">
        <v>0.71</v>
      </c>
      <c r="Z7492" s="508">
        <v>0.70699999999999996</v>
      </c>
      <c r="AA7492" s="508">
        <v>7.8E-2</v>
      </c>
      <c r="AB7492" s="508">
        <v>7.6999999999999999E-2</v>
      </c>
      <c r="AC7492" s="508">
        <v>7.5999999999999998E-2</v>
      </c>
      <c r="AD7492" s="508">
        <v>5.2999999999999999E-2</v>
      </c>
      <c r="AE7492" s="508">
        <v>5.1999999999999998E-2</v>
      </c>
      <c r="AF7492" s="508">
        <v>4.4999999999999998E-2</v>
      </c>
      <c r="AG7492" s="508">
        <v>4.3999999999999997E-2</v>
      </c>
      <c r="AH7492" s="508">
        <v>4.3999999999999997E-2</v>
      </c>
      <c r="AI7492" s="492">
        <v>4.3999999999999997E-2</v>
      </c>
      <c r="AJ7492" s="485"/>
    </row>
    <row r="7493" spans="2:36">
      <c r="B7493" s="136" t="s">
        <v>460</v>
      </c>
      <c r="C7493" s="132" t="s">
        <v>1370</v>
      </c>
      <c r="D7493" s="132" t="s">
        <v>1381</v>
      </c>
      <c r="E7493" s="508">
        <v>1.6379999999999999</v>
      </c>
      <c r="F7493" s="508">
        <v>1.3839999999999999</v>
      </c>
      <c r="G7493" s="508">
        <v>1.339</v>
      </c>
      <c r="H7493" s="508">
        <v>1.238</v>
      </c>
      <c r="I7493" s="508">
        <v>1.3420000000000001</v>
      </c>
      <c r="J7493" s="508">
        <v>1.18</v>
      </c>
      <c r="K7493" s="508">
        <v>1.2949999999999999</v>
      </c>
      <c r="L7493" s="508">
        <v>1.1990000000000001</v>
      </c>
      <c r="M7493" s="508">
        <v>1.133</v>
      </c>
      <c r="N7493" s="508">
        <v>1.139</v>
      </c>
      <c r="O7493" s="508">
        <v>1.161</v>
      </c>
      <c r="P7493" s="508">
        <v>1.07</v>
      </c>
      <c r="Q7493" s="508">
        <v>1.0549999999999999</v>
      </c>
      <c r="R7493" s="508">
        <v>1.0620000000000001</v>
      </c>
      <c r="S7493" s="508">
        <v>1.069</v>
      </c>
      <c r="T7493" s="508">
        <v>1.1359999999999999</v>
      </c>
      <c r="U7493" s="508">
        <v>1.02</v>
      </c>
      <c r="V7493" s="508">
        <v>0.997</v>
      </c>
      <c r="W7493" s="508">
        <v>0.71799999999999997</v>
      </c>
      <c r="X7493" s="508">
        <v>0.71699999999999997</v>
      </c>
      <c r="Y7493" s="508">
        <v>0.71399999999999997</v>
      </c>
      <c r="Z7493" s="508">
        <v>0.71199999999999997</v>
      </c>
      <c r="AA7493" s="508">
        <v>7.8E-2</v>
      </c>
      <c r="AB7493" s="508">
        <v>7.8E-2</v>
      </c>
      <c r="AC7493" s="508">
        <v>7.6999999999999999E-2</v>
      </c>
      <c r="AD7493" s="508">
        <v>5.3999999999999999E-2</v>
      </c>
      <c r="AE7493" s="508">
        <v>5.2999999999999999E-2</v>
      </c>
      <c r="AF7493" s="508">
        <v>4.4999999999999998E-2</v>
      </c>
      <c r="AG7493" s="508">
        <v>4.4999999999999998E-2</v>
      </c>
      <c r="AH7493" s="508">
        <v>4.4999999999999998E-2</v>
      </c>
      <c r="AI7493" s="492">
        <v>4.4999999999999998E-2</v>
      </c>
      <c r="AJ7493" s="485"/>
    </row>
    <row r="7494" spans="2:36">
      <c r="B7494" s="136" t="s">
        <v>461</v>
      </c>
      <c r="C7494" s="132" t="s">
        <v>1370</v>
      </c>
      <c r="D7494" s="132" t="s">
        <v>1381</v>
      </c>
      <c r="E7494" s="508">
        <v>1.71</v>
      </c>
      <c r="F7494" s="508">
        <v>1.4219999999999999</v>
      </c>
      <c r="G7494" s="508">
        <v>1.363</v>
      </c>
      <c r="H7494" s="508">
        <v>1.256</v>
      </c>
      <c r="I7494" s="508">
        <v>1.355</v>
      </c>
      <c r="J7494" s="508">
        <v>1.1910000000000001</v>
      </c>
      <c r="K7494" s="508">
        <v>1.3029999999999999</v>
      </c>
      <c r="L7494" s="508">
        <v>1.2050000000000001</v>
      </c>
      <c r="M7494" s="508">
        <v>1.1379999999999999</v>
      </c>
      <c r="N7494" s="508">
        <v>1.143</v>
      </c>
      <c r="O7494" s="508">
        <v>1.1639999999999999</v>
      </c>
      <c r="P7494" s="508">
        <v>1.073</v>
      </c>
      <c r="Q7494" s="508">
        <v>1.0580000000000001</v>
      </c>
      <c r="R7494" s="508">
        <v>1.0640000000000001</v>
      </c>
      <c r="S7494" s="508">
        <v>1.071</v>
      </c>
      <c r="T7494" s="508">
        <v>1.1359999999999999</v>
      </c>
      <c r="U7494" s="508">
        <v>1.02</v>
      </c>
      <c r="V7494" s="508">
        <v>0.997</v>
      </c>
      <c r="W7494" s="508">
        <v>0.71899999999999997</v>
      </c>
      <c r="X7494" s="508">
        <v>0.71799999999999997</v>
      </c>
      <c r="Y7494" s="508">
        <v>0.71399999999999997</v>
      </c>
      <c r="Z7494" s="508">
        <v>0.71099999999999997</v>
      </c>
      <c r="AA7494" s="508">
        <v>0.08</v>
      </c>
      <c r="AB7494" s="508">
        <v>7.9000000000000001E-2</v>
      </c>
      <c r="AC7494" s="508">
        <v>7.8E-2</v>
      </c>
      <c r="AD7494" s="508">
        <v>5.5E-2</v>
      </c>
      <c r="AE7494" s="508">
        <v>5.3999999999999999E-2</v>
      </c>
      <c r="AF7494" s="508">
        <v>4.5999999999999999E-2</v>
      </c>
      <c r="AG7494" s="508">
        <v>4.5999999999999999E-2</v>
      </c>
      <c r="AH7494" s="508">
        <v>4.5999999999999999E-2</v>
      </c>
      <c r="AI7494" s="492">
        <v>4.5999999999999999E-2</v>
      </c>
      <c r="AJ7494" s="485"/>
    </row>
    <row r="7495" spans="2:36">
      <c r="B7495" s="136" t="s">
        <v>462</v>
      </c>
      <c r="C7495" s="132" t="s">
        <v>1370</v>
      </c>
      <c r="D7495" s="132" t="s">
        <v>1381</v>
      </c>
      <c r="E7495" s="508">
        <v>1.296</v>
      </c>
      <c r="F7495" s="508">
        <v>1.1859999999999999</v>
      </c>
      <c r="G7495" s="508">
        <v>1.1950000000000001</v>
      </c>
      <c r="H7495" s="508">
        <v>1.125</v>
      </c>
      <c r="I7495" s="508">
        <v>1.2450000000000001</v>
      </c>
      <c r="J7495" s="508">
        <v>1.0980000000000001</v>
      </c>
      <c r="K7495" s="508">
        <v>1.2190000000000001</v>
      </c>
      <c r="L7495" s="508">
        <v>1.1319999999999999</v>
      </c>
      <c r="M7495" s="508">
        <v>1.0720000000000001</v>
      </c>
      <c r="N7495" s="508">
        <v>1.083</v>
      </c>
      <c r="O7495" s="508">
        <v>1.107</v>
      </c>
      <c r="P7495" s="508">
        <v>1.022</v>
      </c>
      <c r="Q7495" s="508">
        <v>1.01</v>
      </c>
      <c r="R7495" s="508">
        <v>1.018</v>
      </c>
      <c r="S7495" s="508">
        <v>1.028</v>
      </c>
      <c r="T7495" s="508">
        <v>1.095</v>
      </c>
      <c r="U7495" s="508">
        <v>0.98499999999999999</v>
      </c>
      <c r="V7495" s="508">
        <v>0.96399999999999997</v>
      </c>
      <c r="W7495" s="508">
        <v>0.68600000000000005</v>
      </c>
      <c r="X7495" s="508">
        <v>0.68700000000000006</v>
      </c>
      <c r="Y7495" s="508">
        <v>0.68500000000000005</v>
      </c>
      <c r="Z7495" s="508">
        <v>0.68300000000000005</v>
      </c>
      <c r="AA7495" s="508">
        <v>7.0000000000000007E-2</v>
      </c>
      <c r="AB7495" s="508">
        <v>7.0000000000000007E-2</v>
      </c>
      <c r="AC7495" s="508">
        <v>7.0000000000000007E-2</v>
      </c>
      <c r="AD7495" s="508">
        <v>4.7E-2</v>
      </c>
      <c r="AE7495" s="508">
        <v>4.7E-2</v>
      </c>
      <c r="AF7495" s="508">
        <v>3.9E-2</v>
      </c>
      <c r="AG7495" s="508">
        <v>3.9E-2</v>
      </c>
      <c r="AH7495" s="508">
        <v>3.9E-2</v>
      </c>
      <c r="AI7495" s="492">
        <v>3.9E-2</v>
      </c>
      <c r="AJ7495" s="485"/>
    </row>
    <row r="7496" spans="2:36">
      <c r="B7496" s="136" t="s">
        <v>463</v>
      </c>
      <c r="C7496" s="132" t="s">
        <v>1370</v>
      </c>
      <c r="D7496" s="132" t="s">
        <v>1381</v>
      </c>
      <c r="E7496" s="508">
        <v>1.3879999999999999</v>
      </c>
      <c r="F7496" s="508">
        <v>1.22</v>
      </c>
      <c r="G7496" s="508">
        <v>1.2010000000000001</v>
      </c>
      <c r="H7496" s="508">
        <v>1.1240000000000001</v>
      </c>
      <c r="I7496" s="508">
        <v>1.2230000000000001</v>
      </c>
      <c r="J7496" s="508">
        <v>1.0860000000000001</v>
      </c>
      <c r="K7496" s="508">
        <v>1.1890000000000001</v>
      </c>
      <c r="L7496" s="508">
        <v>1.1080000000000001</v>
      </c>
      <c r="M7496" s="508">
        <v>1.052</v>
      </c>
      <c r="N7496" s="508">
        <v>1.0589999999999999</v>
      </c>
      <c r="O7496" s="508">
        <v>1.08</v>
      </c>
      <c r="P7496" s="508">
        <v>1.002</v>
      </c>
      <c r="Q7496" s="508">
        <v>0.99</v>
      </c>
      <c r="R7496" s="508">
        <v>0.996</v>
      </c>
      <c r="S7496" s="508">
        <v>1.004</v>
      </c>
      <c r="T7496" s="508">
        <v>1.0629999999999999</v>
      </c>
      <c r="U7496" s="508">
        <v>0.96299999999999997</v>
      </c>
      <c r="V7496" s="508">
        <v>0.94299999999999995</v>
      </c>
      <c r="W7496" s="508">
        <v>0.65200000000000002</v>
      </c>
      <c r="X7496" s="508">
        <v>0.65200000000000002</v>
      </c>
      <c r="Y7496" s="508">
        <v>0.64900000000000002</v>
      </c>
      <c r="Z7496" s="508">
        <v>0.64700000000000002</v>
      </c>
      <c r="AA7496" s="508">
        <v>6.9000000000000006E-2</v>
      </c>
      <c r="AB7496" s="508">
        <v>6.9000000000000006E-2</v>
      </c>
      <c r="AC7496" s="508">
        <v>6.8000000000000005E-2</v>
      </c>
      <c r="AD7496" s="508">
        <v>4.7E-2</v>
      </c>
      <c r="AE7496" s="508">
        <v>4.5999999999999999E-2</v>
      </c>
      <c r="AF7496" s="508">
        <v>3.9E-2</v>
      </c>
      <c r="AG7496" s="508">
        <v>3.9E-2</v>
      </c>
      <c r="AH7496" s="508">
        <v>3.9E-2</v>
      </c>
      <c r="AI7496" s="492">
        <v>3.9E-2</v>
      </c>
      <c r="AJ7496" s="485"/>
    </row>
    <row r="7497" spans="2:36">
      <c r="B7497" s="136" t="s">
        <v>464</v>
      </c>
      <c r="C7497" s="132" t="s">
        <v>1370</v>
      </c>
      <c r="D7497" s="132" t="s">
        <v>1381</v>
      </c>
      <c r="E7497" s="508">
        <v>1.5169999999999999</v>
      </c>
      <c r="F7497" s="508">
        <v>1.288</v>
      </c>
      <c r="G7497" s="508">
        <v>1.244</v>
      </c>
      <c r="H7497" s="508">
        <v>1.155</v>
      </c>
      <c r="I7497" s="508">
        <v>1.242</v>
      </c>
      <c r="J7497" s="508">
        <v>1.1040000000000001</v>
      </c>
      <c r="K7497" s="508">
        <v>1.2</v>
      </c>
      <c r="L7497" s="508">
        <v>1.1180000000000001</v>
      </c>
      <c r="M7497" s="508">
        <v>1.0609999999999999</v>
      </c>
      <c r="N7497" s="508">
        <v>1.0660000000000001</v>
      </c>
      <c r="O7497" s="508">
        <v>1.0840000000000001</v>
      </c>
      <c r="P7497" s="508">
        <v>1.0069999999999999</v>
      </c>
      <c r="Q7497" s="508">
        <v>0.99399999999999999</v>
      </c>
      <c r="R7497" s="508">
        <v>0.999</v>
      </c>
      <c r="S7497" s="508">
        <v>1.006</v>
      </c>
      <c r="T7497" s="508">
        <v>1.0620000000000001</v>
      </c>
      <c r="U7497" s="508">
        <v>0.96299999999999997</v>
      </c>
      <c r="V7497" s="508">
        <v>0.94399999999999995</v>
      </c>
      <c r="W7497" s="508">
        <v>0.64900000000000002</v>
      </c>
      <c r="X7497" s="508">
        <v>0.64800000000000002</v>
      </c>
      <c r="Y7497" s="508">
        <v>0.64500000000000002</v>
      </c>
      <c r="Z7497" s="508">
        <v>0.64300000000000002</v>
      </c>
      <c r="AA7497" s="508">
        <v>7.0999999999999994E-2</v>
      </c>
      <c r="AB7497" s="508">
        <v>7.0000000000000007E-2</v>
      </c>
      <c r="AC7497" s="508">
        <v>6.9000000000000006E-2</v>
      </c>
      <c r="AD7497" s="508">
        <v>4.8000000000000001E-2</v>
      </c>
      <c r="AE7497" s="508">
        <v>4.8000000000000001E-2</v>
      </c>
      <c r="AF7497" s="508">
        <v>4.1000000000000002E-2</v>
      </c>
      <c r="AG7497" s="508">
        <v>0.04</v>
      </c>
      <c r="AH7497" s="508">
        <v>0.04</v>
      </c>
      <c r="AI7497" s="492">
        <v>0.04</v>
      </c>
      <c r="AJ7497" s="485"/>
    </row>
    <row r="7498" spans="2:36">
      <c r="B7498" s="136" t="s">
        <v>465</v>
      </c>
      <c r="C7498" s="132" t="s">
        <v>1370</v>
      </c>
      <c r="D7498" s="132" t="s">
        <v>1381</v>
      </c>
      <c r="E7498" s="508">
        <v>1.4650000000000001</v>
      </c>
      <c r="F7498" s="508">
        <v>1.2629999999999999</v>
      </c>
      <c r="G7498" s="508">
        <v>1.232</v>
      </c>
      <c r="H7498" s="508">
        <v>1.1479999999999999</v>
      </c>
      <c r="I7498" s="508">
        <v>1.242</v>
      </c>
      <c r="J7498" s="508">
        <v>1.1020000000000001</v>
      </c>
      <c r="K7498" s="508">
        <v>1.204</v>
      </c>
      <c r="L7498" s="508">
        <v>1.1200000000000001</v>
      </c>
      <c r="M7498" s="508">
        <v>1.0640000000000001</v>
      </c>
      <c r="N7498" s="508">
        <v>1.069</v>
      </c>
      <c r="O7498" s="508">
        <v>1.089</v>
      </c>
      <c r="P7498" s="508">
        <v>1.0109999999999999</v>
      </c>
      <c r="Q7498" s="508">
        <v>0.998</v>
      </c>
      <c r="R7498" s="508">
        <v>1.004</v>
      </c>
      <c r="S7498" s="508">
        <v>1.0109999999999999</v>
      </c>
      <c r="T7498" s="508">
        <v>1.069</v>
      </c>
      <c r="U7498" s="508">
        <v>0.96899999999999997</v>
      </c>
      <c r="V7498" s="508">
        <v>0.94899999999999995</v>
      </c>
      <c r="W7498" s="508">
        <v>0.65600000000000003</v>
      </c>
      <c r="X7498" s="508">
        <v>0.65600000000000003</v>
      </c>
      <c r="Y7498" s="508">
        <v>0.65300000000000002</v>
      </c>
      <c r="Z7498" s="508">
        <v>0.65100000000000002</v>
      </c>
      <c r="AA7498" s="508">
        <v>7.0999999999999994E-2</v>
      </c>
      <c r="AB7498" s="508">
        <v>7.0000000000000007E-2</v>
      </c>
      <c r="AC7498" s="508">
        <v>6.9000000000000006E-2</v>
      </c>
      <c r="AD7498" s="508">
        <v>4.8000000000000001E-2</v>
      </c>
      <c r="AE7498" s="508">
        <v>4.8000000000000001E-2</v>
      </c>
      <c r="AF7498" s="508">
        <v>0.04</v>
      </c>
      <c r="AG7498" s="508">
        <v>0.04</v>
      </c>
      <c r="AH7498" s="508">
        <v>0.04</v>
      </c>
      <c r="AI7498" s="492">
        <v>0.04</v>
      </c>
      <c r="AJ7498" s="485"/>
    </row>
    <row r="7499" spans="2:36">
      <c r="B7499" s="136" t="s">
        <v>466</v>
      </c>
      <c r="C7499" s="132" t="s">
        <v>1370</v>
      </c>
      <c r="D7499" s="132" t="s">
        <v>1381</v>
      </c>
      <c r="E7499" s="508">
        <v>1.47</v>
      </c>
      <c r="F7499" s="508">
        <v>1.306</v>
      </c>
      <c r="G7499" s="508">
        <v>1.3009999999999999</v>
      </c>
      <c r="H7499" s="508">
        <v>1.2150000000000001</v>
      </c>
      <c r="I7499" s="508">
        <v>1.3420000000000001</v>
      </c>
      <c r="J7499" s="508">
        <v>1.1759999999999999</v>
      </c>
      <c r="K7499" s="508">
        <v>1.3080000000000001</v>
      </c>
      <c r="L7499" s="508">
        <v>1.2090000000000001</v>
      </c>
      <c r="M7499" s="508">
        <v>1.141</v>
      </c>
      <c r="N7499" s="508">
        <v>1.1519999999999999</v>
      </c>
      <c r="O7499" s="508">
        <v>1.1779999999999999</v>
      </c>
      <c r="P7499" s="508">
        <v>1.0820000000000001</v>
      </c>
      <c r="Q7499" s="508">
        <v>1.0680000000000001</v>
      </c>
      <c r="R7499" s="508">
        <v>1.077</v>
      </c>
      <c r="S7499" s="508">
        <v>1.0860000000000001</v>
      </c>
      <c r="T7499" s="508">
        <v>1.161</v>
      </c>
      <c r="U7499" s="508">
        <v>1.0369999999999999</v>
      </c>
      <c r="V7499" s="508">
        <v>1.014</v>
      </c>
      <c r="W7499" s="508">
        <v>0.745</v>
      </c>
      <c r="X7499" s="508">
        <v>0.745</v>
      </c>
      <c r="Y7499" s="508">
        <v>0.74299999999999999</v>
      </c>
      <c r="Z7499" s="508">
        <v>0.74099999999999999</v>
      </c>
      <c r="AA7499" s="508">
        <v>7.8E-2</v>
      </c>
      <c r="AB7499" s="508">
        <v>7.8E-2</v>
      </c>
      <c r="AC7499" s="508">
        <v>7.6999999999999999E-2</v>
      </c>
      <c r="AD7499" s="508">
        <v>5.2999999999999999E-2</v>
      </c>
      <c r="AE7499" s="508">
        <v>5.1999999999999998E-2</v>
      </c>
      <c r="AF7499" s="508">
        <v>4.3999999999999997E-2</v>
      </c>
      <c r="AG7499" s="508">
        <v>4.2999999999999997E-2</v>
      </c>
      <c r="AH7499" s="508">
        <v>4.2999999999999997E-2</v>
      </c>
      <c r="AI7499" s="492">
        <v>4.2999999999999997E-2</v>
      </c>
      <c r="AJ7499" s="485"/>
    </row>
    <row r="7500" spans="2:36">
      <c r="B7500" s="136" t="s">
        <v>467</v>
      </c>
      <c r="C7500" s="132" t="s">
        <v>1370</v>
      </c>
      <c r="D7500" s="132" t="s">
        <v>1381</v>
      </c>
      <c r="E7500" s="508">
        <v>1.6279999999999999</v>
      </c>
      <c r="F7500" s="508">
        <v>1.373</v>
      </c>
      <c r="G7500" s="508">
        <v>1.3260000000000001</v>
      </c>
      <c r="H7500" s="508">
        <v>1.226</v>
      </c>
      <c r="I7500" s="508">
        <v>1.3280000000000001</v>
      </c>
      <c r="J7500" s="508">
        <v>1.169</v>
      </c>
      <c r="K7500" s="508">
        <v>1.2809999999999999</v>
      </c>
      <c r="L7500" s="508">
        <v>1.1859999999999999</v>
      </c>
      <c r="M7500" s="508">
        <v>1.121</v>
      </c>
      <c r="N7500" s="508">
        <v>1.127</v>
      </c>
      <c r="O7500" s="508">
        <v>1.1479999999999999</v>
      </c>
      <c r="P7500" s="508">
        <v>1.0589999999999999</v>
      </c>
      <c r="Q7500" s="508">
        <v>1.0449999999999999</v>
      </c>
      <c r="R7500" s="508">
        <v>1.0509999999999999</v>
      </c>
      <c r="S7500" s="508">
        <v>1.0580000000000001</v>
      </c>
      <c r="T7500" s="508">
        <v>1.123</v>
      </c>
      <c r="U7500" s="508">
        <v>1.01</v>
      </c>
      <c r="V7500" s="508">
        <v>0.98699999999999999</v>
      </c>
      <c r="W7500" s="508">
        <v>0.70699999999999996</v>
      </c>
      <c r="X7500" s="508">
        <v>0.70699999999999996</v>
      </c>
      <c r="Y7500" s="508">
        <v>0.70299999999999996</v>
      </c>
      <c r="Z7500" s="508">
        <v>0.70099999999999996</v>
      </c>
      <c r="AA7500" s="508">
        <v>7.6999999999999999E-2</v>
      </c>
      <c r="AB7500" s="508">
        <v>7.6999999999999999E-2</v>
      </c>
      <c r="AC7500" s="508">
        <v>7.5999999999999998E-2</v>
      </c>
      <c r="AD7500" s="508">
        <v>5.2999999999999999E-2</v>
      </c>
      <c r="AE7500" s="508">
        <v>5.1999999999999998E-2</v>
      </c>
      <c r="AF7500" s="508">
        <v>4.4999999999999998E-2</v>
      </c>
      <c r="AG7500" s="508">
        <v>4.3999999999999997E-2</v>
      </c>
      <c r="AH7500" s="508">
        <v>4.3999999999999997E-2</v>
      </c>
      <c r="AI7500" s="492">
        <v>4.3999999999999997E-2</v>
      </c>
      <c r="AJ7500" s="485"/>
    </row>
    <row r="7501" spans="2:36">
      <c r="B7501" s="136" t="s">
        <v>468</v>
      </c>
      <c r="C7501" s="132" t="s">
        <v>1370</v>
      </c>
      <c r="D7501" s="132" t="s">
        <v>1381</v>
      </c>
      <c r="E7501" s="508">
        <v>1.3140000000000001</v>
      </c>
      <c r="F7501" s="508">
        <v>1.167</v>
      </c>
      <c r="G7501" s="508">
        <v>1.1519999999999999</v>
      </c>
      <c r="H7501" s="508">
        <v>1.083</v>
      </c>
      <c r="I7501" s="508">
        <v>1.1739999999999999</v>
      </c>
      <c r="J7501" s="508">
        <v>1.0489999999999999</v>
      </c>
      <c r="K7501" s="508">
        <v>1.145</v>
      </c>
      <c r="L7501" s="508">
        <v>1.07</v>
      </c>
      <c r="M7501" s="508">
        <v>1.0189999999999999</v>
      </c>
      <c r="N7501" s="508">
        <v>1.026</v>
      </c>
      <c r="O7501" s="508">
        <v>1.0449999999999999</v>
      </c>
      <c r="P7501" s="508">
        <v>0.97399999999999998</v>
      </c>
      <c r="Q7501" s="508">
        <v>0.96299999999999997</v>
      </c>
      <c r="R7501" s="508">
        <v>0.96899999999999997</v>
      </c>
      <c r="S7501" s="508">
        <v>0.97599999999999998</v>
      </c>
      <c r="T7501" s="508">
        <v>1.03</v>
      </c>
      <c r="U7501" s="508">
        <v>0.93799999999999994</v>
      </c>
      <c r="V7501" s="508">
        <v>0.92100000000000004</v>
      </c>
      <c r="W7501" s="508">
        <v>0.61899999999999999</v>
      </c>
      <c r="X7501" s="508">
        <v>0.62</v>
      </c>
      <c r="Y7501" s="508">
        <v>0.61699999999999999</v>
      </c>
      <c r="Z7501" s="508">
        <v>0.61599999999999999</v>
      </c>
      <c r="AA7501" s="508">
        <v>6.5000000000000002E-2</v>
      </c>
      <c r="AB7501" s="508">
        <v>6.5000000000000002E-2</v>
      </c>
      <c r="AC7501" s="508">
        <v>6.4000000000000001E-2</v>
      </c>
      <c r="AD7501" s="508">
        <v>4.3999999999999997E-2</v>
      </c>
      <c r="AE7501" s="508">
        <v>4.3999999999999997E-2</v>
      </c>
      <c r="AF7501" s="508">
        <v>3.6999999999999998E-2</v>
      </c>
      <c r="AG7501" s="508">
        <v>3.5999999999999997E-2</v>
      </c>
      <c r="AH7501" s="508">
        <v>3.5999999999999997E-2</v>
      </c>
      <c r="AI7501" s="492">
        <v>3.5999999999999997E-2</v>
      </c>
      <c r="AJ7501" s="485"/>
    </row>
    <row r="7502" spans="2:36">
      <c r="B7502" s="136" t="s">
        <v>469</v>
      </c>
      <c r="C7502" s="132" t="s">
        <v>1370</v>
      </c>
      <c r="D7502" s="132" t="s">
        <v>1381</v>
      </c>
      <c r="E7502" s="508">
        <v>1.3979999999999999</v>
      </c>
      <c r="F7502" s="508">
        <v>1.2310000000000001</v>
      </c>
      <c r="G7502" s="508">
        <v>1.2150000000000001</v>
      </c>
      <c r="H7502" s="508">
        <v>1.137</v>
      </c>
      <c r="I7502" s="508">
        <v>1.2390000000000001</v>
      </c>
      <c r="J7502" s="508">
        <v>1.099</v>
      </c>
      <c r="K7502" s="508">
        <v>1.2070000000000001</v>
      </c>
      <c r="L7502" s="508">
        <v>1.1220000000000001</v>
      </c>
      <c r="M7502" s="508">
        <v>1.0649999999999999</v>
      </c>
      <c r="N7502" s="508">
        <v>1.0720000000000001</v>
      </c>
      <c r="O7502" s="508">
        <v>1.0940000000000001</v>
      </c>
      <c r="P7502" s="508">
        <v>1.0129999999999999</v>
      </c>
      <c r="Q7502" s="508">
        <v>1.0009999999999999</v>
      </c>
      <c r="R7502" s="508">
        <v>1.008</v>
      </c>
      <c r="S7502" s="508">
        <v>1.016</v>
      </c>
      <c r="T7502" s="508">
        <v>1.077</v>
      </c>
      <c r="U7502" s="508">
        <v>0.97299999999999998</v>
      </c>
      <c r="V7502" s="508">
        <v>0.95399999999999996</v>
      </c>
      <c r="W7502" s="508">
        <v>0.66500000000000004</v>
      </c>
      <c r="X7502" s="508">
        <v>0.66500000000000004</v>
      </c>
      <c r="Y7502" s="508">
        <v>0.66300000000000003</v>
      </c>
      <c r="Z7502" s="508">
        <v>0.66100000000000003</v>
      </c>
      <c r="AA7502" s="508">
        <v>7.0000000000000007E-2</v>
      </c>
      <c r="AB7502" s="508">
        <v>7.0000000000000007E-2</v>
      </c>
      <c r="AC7502" s="508">
        <v>6.9000000000000006E-2</v>
      </c>
      <c r="AD7502" s="508">
        <v>4.7E-2</v>
      </c>
      <c r="AE7502" s="508">
        <v>4.7E-2</v>
      </c>
      <c r="AF7502" s="508">
        <v>0.04</v>
      </c>
      <c r="AG7502" s="508">
        <v>3.9E-2</v>
      </c>
      <c r="AH7502" s="508">
        <v>3.9E-2</v>
      </c>
      <c r="AI7502" s="492">
        <v>3.9E-2</v>
      </c>
      <c r="AJ7502" s="485"/>
    </row>
    <row r="7503" spans="2:36">
      <c r="B7503" s="136" t="s">
        <v>470</v>
      </c>
      <c r="C7503" s="132" t="s">
        <v>1370</v>
      </c>
      <c r="D7503" s="132" t="s">
        <v>1381</v>
      </c>
      <c r="E7503" s="508">
        <v>1.649</v>
      </c>
      <c r="F7503" s="508">
        <v>1.4</v>
      </c>
      <c r="G7503" s="508">
        <v>1.36</v>
      </c>
      <c r="H7503" s="508">
        <v>1.258</v>
      </c>
      <c r="I7503" s="508">
        <v>1.371</v>
      </c>
      <c r="J7503" s="508">
        <v>1.2010000000000001</v>
      </c>
      <c r="K7503" s="508">
        <v>1.3240000000000001</v>
      </c>
      <c r="L7503" s="508">
        <v>1.2230000000000001</v>
      </c>
      <c r="M7503" s="508">
        <v>1.1539999999999999</v>
      </c>
      <c r="N7503" s="508">
        <v>1.161</v>
      </c>
      <c r="O7503" s="508">
        <v>1.1850000000000001</v>
      </c>
      <c r="P7503" s="508">
        <v>1.0900000000000001</v>
      </c>
      <c r="Q7503" s="508">
        <v>1.0740000000000001</v>
      </c>
      <c r="R7503" s="508">
        <v>1.081</v>
      </c>
      <c r="S7503" s="508">
        <v>1.0900000000000001</v>
      </c>
      <c r="T7503" s="508">
        <v>1.1599999999999999</v>
      </c>
      <c r="U7503" s="508">
        <v>1.038</v>
      </c>
      <c r="V7503" s="508">
        <v>1.014</v>
      </c>
      <c r="W7503" s="508">
        <v>0.74199999999999999</v>
      </c>
      <c r="X7503" s="508">
        <v>0.74199999999999999</v>
      </c>
      <c r="Y7503" s="508">
        <v>0.73799999999999999</v>
      </c>
      <c r="Z7503" s="508">
        <v>0.73599999999999999</v>
      </c>
      <c r="AA7503" s="508">
        <v>8.1000000000000003E-2</v>
      </c>
      <c r="AB7503" s="508">
        <v>0.08</v>
      </c>
      <c r="AC7503" s="508">
        <v>7.9000000000000001E-2</v>
      </c>
      <c r="AD7503" s="508">
        <v>5.5E-2</v>
      </c>
      <c r="AE7503" s="508">
        <v>5.3999999999999999E-2</v>
      </c>
      <c r="AF7503" s="508">
        <v>4.5999999999999999E-2</v>
      </c>
      <c r="AG7503" s="508">
        <v>4.5999999999999999E-2</v>
      </c>
      <c r="AH7503" s="508">
        <v>4.5999999999999999E-2</v>
      </c>
      <c r="AI7503" s="492">
        <v>4.5999999999999999E-2</v>
      </c>
      <c r="AJ7503" s="485"/>
    </row>
    <row r="7504" spans="2:36">
      <c r="B7504" s="136" t="s">
        <v>471</v>
      </c>
      <c r="C7504" s="132" t="s">
        <v>1370</v>
      </c>
      <c r="D7504" s="132" t="s">
        <v>1381</v>
      </c>
      <c r="E7504" s="508">
        <v>1.4370000000000001</v>
      </c>
      <c r="F7504" s="508">
        <v>1.276</v>
      </c>
      <c r="G7504" s="508">
        <v>1.2689999999999999</v>
      </c>
      <c r="H7504" s="508">
        <v>1.1859999999999999</v>
      </c>
      <c r="I7504" s="508">
        <v>1.3069999999999999</v>
      </c>
      <c r="J7504" s="508">
        <v>1.1479999999999999</v>
      </c>
      <c r="K7504" s="508">
        <v>1.274</v>
      </c>
      <c r="L7504" s="508">
        <v>1.179</v>
      </c>
      <c r="M7504" s="508">
        <v>1.1140000000000001</v>
      </c>
      <c r="N7504" s="508">
        <v>1.1240000000000001</v>
      </c>
      <c r="O7504" s="508">
        <v>1.149</v>
      </c>
      <c r="P7504" s="508">
        <v>1.0580000000000001</v>
      </c>
      <c r="Q7504" s="508">
        <v>1.044</v>
      </c>
      <c r="R7504" s="508">
        <v>1.052</v>
      </c>
      <c r="S7504" s="508">
        <v>1.0609999999999999</v>
      </c>
      <c r="T7504" s="508">
        <v>1.1319999999999999</v>
      </c>
      <c r="U7504" s="508">
        <v>1.014</v>
      </c>
      <c r="V7504" s="508">
        <v>0.99199999999999999</v>
      </c>
      <c r="W7504" s="508">
        <v>0.71899999999999997</v>
      </c>
      <c r="X7504" s="508">
        <v>0.72</v>
      </c>
      <c r="Y7504" s="508">
        <v>0.71699999999999997</v>
      </c>
      <c r="Z7504" s="508">
        <v>0.71499999999999997</v>
      </c>
      <c r="AA7504" s="508">
        <v>7.4999999999999997E-2</v>
      </c>
      <c r="AB7504" s="508">
        <v>7.4999999999999997E-2</v>
      </c>
      <c r="AC7504" s="508">
        <v>7.3999999999999996E-2</v>
      </c>
      <c r="AD7504" s="508">
        <v>5.0999999999999997E-2</v>
      </c>
      <c r="AE7504" s="508">
        <v>0.05</v>
      </c>
      <c r="AF7504" s="508">
        <v>4.2999999999999997E-2</v>
      </c>
      <c r="AG7504" s="508">
        <v>4.2000000000000003E-2</v>
      </c>
      <c r="AH7504" s="508">
        <v>4.2000000000000003E-2</v>
      </c>
      <c r="AI7504" s="492">
        <v>4.2000000000000003E-2</v>
      </c>
      <c r="AJ7504" s="485"/>
    </row>
    <row r="7505" spans="2:36">
      <c r="B7505" s="136" t="s">
        <v>472</v>
      </c>
      <c r="C7505" s="132" t="s">
        <v>1370</v>
      </c>
      <c r="D7505" s="132" t="s">
        <v>1381</v>
      </c>
      <c r="E7505" s="508">
        <v>1.603</v>
      </c>
      <c r="F7505" s="508">
        <v>1.339</v>
      </c>
      <c r="G7505" s="508">
        <v>1.2829999999999999</v>
      </c>
      <c r="H7505" s="508">
        <v>1.1859999999999999</v>
      </c>
      <c r="I7505" s="508">
        <v>1.272</v>
      </c>
      <c r="J7505" s="508">
        <v>1.127</v>
      </c>
      <c r="K7505" s="508">
        <v>1.224</v>
      </c>
      <c r="L7505" s="508">
        <v>1.1379999999999999</v>
      </c>
      <c r="M7505" s="508">
        <v>1.079</v>
      </c>
      <c r="N7505" s="508">
        <v>1.083</v>
      </c>
      <c r="O7505" s="508">
        <v>1.101</v>
      </c>
      <c r="P7505" s="508">
        <v>1.0209999999999999</v>
      </c>
      <c r="Q7505" s="508">
        <v>1.008</v>
      </c>
      <c r="R7505" s="508">
        <v>1.0129999999999999</v>
      </c>
      <c r="S7505" s="508">
        <v>1.0189999999999999</v>
      </c>
      <c r="T7505" s="508">
        <v>1.075</v>
      </c>
      <c r="U7505" s="508">
        <v>0.97399999999999998</v>
      </c>
      <c r="V7505" s="508">
        <v>0.95399999999999996</v>
      </c>
      <c r="W7505" s="508">
        <v>0.66100000000000003</v>
      </c>
      <c r="X7505" s="508">
        <v>0.66</v>
      </c>
      <c r="Y7505" s="508">
        <v>0.65700000000000003</v>
      </c>
      <c r="Z7505" s="508">
        <v>0.65400000000000003</v>
      </c>
      <c r="AA7505" s="508">
        <v>7.2999999999999995E-2</v>
      </c>
      <c r="AB7505" s="508">
        <v>7.2999999999999995E-2</v>
      </c>
      <c r="AC7505" s="508">
        <v>7.1999999999999995E-2</v>
      </c>
      <c r="AD7505" s="508">
        <v>0.05</v>
      </c>
      <c r="AE7505" s="508">
        <v>0.05</v>
      </c>
      <c r="AF7505" s="508">
        <v>4.2000000000000003E-2</v>
      </c>
      <c r="AG7505" s="508">
        <v>4.2000000000000003E-2</v>
      </c>
      <c r="AH7505" s="508">
        <v>4.2000000000000003E-2</v>
      </c>
      <c r="AI7505" s="492">
        <v>4.2000000000000003E-2</v>
      </c>
      <c r="AJ7505" s="485"/>
    </row>
    <row r="7506" spans="2:36">
      <c r="B7506" s="136" t="s">
        <v>473</v>
      </c>
      <c r="C7506" s="132" t="s">
        <v>1370</v>
      </c>
      <c r="D7506" s="132" t="s">
        <v>1381</v>
      </c>
      <c r="E7506" s="508">
        <v>1.6419999999999999</v>
      </c>
      <c r="F7506" s="508">
        <v>1.399</v>
      </c>
      <c r="G7506" s="508">
        <v>1.361</v>
      </c>
      <c r="H7506" s="508">
        <v>1.2589999999999999</v>
      </c>
      <c r="I7506" s="508">
        <v>1.375</v>
      </c>
      <c r="J7506" s="508">
        <v>1.204</v>
      </c>
      <c r="K7506" s="508">
        <v>1.329</v>
      </c>
      <c r="L7506" s="508">
        <v>1.2270000000000001</v>
      </c>
      <c r="M7506" s="508">
        <v>1.157</v>
      </c>
      <c r="N7506" s="508">
        <v>1.165</v>
      </c>
      <c r="O7506" s="508">
        <v>1.1890000000000001</v>
      </c>
      <c r="P7506" s="508">
        <v>1.093</v>
      </c>
      <c r="Q7506" s="508">
        <v>1.077</v>
      </c>
      <c r="R7506" s="508">
        <v>1.085</v>
      </c>
      <c r="S7506" s="508">
        <v>1.093</v>
      </c>
      <c r="T7506" s="508">
        <v>1.165</v>
      </c>
      <c r="U7506" s="508">
        <v>1.042</v>
      </c>
      <c r="V7506" s="508">
        <v>1.0169999999999999</v>
      </c>
      <c r="W7506" s="508">
        <v>0.747</v>
      </c>
      <c r="X7506" s="508">
        <v>0.747</v>
      </c>
      <c r="Y7506" s="508">
        <v>0.74299999999999999</v>
      </c>
      <c r="Z7506" s="508">
        <v>0.74099999999999999</v>
      </c>
      <c r="AA7506" s="508">
        <v>8.1000000000000003E-2</v>
      </c>
      <c r="AB7506" s="508">
        <v>0.08</v>
      </c>
      <c r="AC7506" s="508">
        <v>7.9000000000000001E-2</v>
      </c>
      <c r="AD7506" s="508">
        <v>5.5E-2</v>
      </c>
      <c r="AE7506" s="508">
        <v>5.5E-2</v>
      </c>
      <c r="AF7506" s="508">
        <v>4.5999999999999999E-2</v>
      </c>
      <c r="AG7506" s="508">
        <v>4.5999999999999999E-2</v>
      </c>
      <c r="AH7506" s="508">
        <v>4.5999999999999999E-2</v>
      </c>
      <c r="AI7506" s="492">
        <v>4.5999999999999999E-2</v>
      </c>
      <c r="AJ7506" s="485"/>
    </row>
    <row r="7507" spans="2:36">
      <c r="B7507" s="136" t="s">
        <v>474</v>
      </c>
      <c r="C7507" s="132" t="s">
        <v>1370</v>
      </c>
      <c r="D7507" s="132" t="s">
        <v>1381</v>
      </c>
      <c r="E7507" s="508">
        <v>1.3959999999999999</v>
      </c>
      <c r="F7507" s="508">
        <v>1.244</v>
      </c>
      <c r="G7507" s="508">
        <v>1.238</v>
      </c>
      <c r="H7507" s="508">
        <v>1.159</v>
      </c>
      <c r="I7507" s="508">
        <v>1.274</v>
      </c>
      <c r="J7507" s="508">
        <v>1.1240000000000001</v>
      </c>
      <c r="K7507" s="508">
        <v>1.2430000000000001</v>
      </c>
      <c r="L7507" s="508">
        <v>1.153</v>
      </c>
      <c r="M7507" s="508">
        <v>1.091</v>
      </c>
      <c r="N7507" s="508">
        <v>1.101</v>
      </c>
      <c r="O7507" s="508">
        <v>1.1240000000000001</v>
      </c>
      <c r="P7507" s="508">
        <v>1.038</v>
      </c>
      <c r="Q7507" s="508">
        <v>1.0249999999999999</v>
      </c>
      <c r="R7507" s="508">
        <v>1.0329999999999999</v>
      </c>
      <c r="S7507" s="508">
        <v>1.0409999999999999</v>
      </c>
      <c r="T7507" s="508">
        <v>1.109</v>
      </c>
      <c r="U7507" s="508">
        <v>0.997</v>
      </c>
      <c r="V7507" s="508">
        <v>0.97599999999999998</v>
      </c>
      <c r="W7507" s="508">
        <v>0.69599999999999995</v>
      </c>
      <c r="X7507" s="508">
        <v>0.69699999999999995</v>
      </c>
      <c r="Y7507" s="508">
        <v>0.69399999999999995</v>
      </c>
      <c r="Z7507" s="508">
        <v>0.69299999999999995</v>
      </c>
      <c r="AA7507" s="508">
        <v>7.2999999999999995E-2</v>
      </c>
      <c r="AB7507" s="508">
        <v>7.2999999999999995E-2</v>
      </c>
      <c r="AC7507" s="508">
        <v>7.1999999999999995E-2</v>
      </c>
      <c r="AD7507" s="508">
        <v>4.9000000000000002E-2</v>
      </c>
      <c r="AE7507" s="508">
        <v>4.9000000000000002E-2</v>
      </c>
      <c r="AF7507" s="508">
        <v>4.1000000000000002E-2</v>
      </c>
      <c r="AG7507" s="508">
        <v>4.1000000000000002E-2</v>
      </c>
      <c r="AH7507" s="508">
        <v>4.1000000000000002E-2</v>
      </c>
      <c r="AI7507" s="492">
        <v>4.1000000000000002E-2</v>
      </c>
      <c r="AJ7507" s="485"/>
    </row>
    <row r="7508" spans="2:36">
      <c r="B7508" s="136" t="s">
        <v>475</v>
      </c>
      <c r="C7508" s="132" t="s">
        <v>1370</v>
      </c>
      <c r="D7508" s="132" t="s">
        <v>1381</v>
      </c>
      <c r="E7508" s="508">
        <v>1.502</v>
      </c>
      <c r="F7508" s="508">
        <v>1.298</v>
      </c>
      <c r="G7508" s="508">
        <v>1.27</v>
      </c>
      <c r="H7508" s="508">
        <v>1.1819999999999999</v>
      </c>
      <c r="I7508" s="508">
        <v>1.2869999999999999</v>
      </c>
      <c r="J7508" s="508">
        <v>1.135</v>
      </c>
      <c r="K7508" s="508">
        <v>1.2470000000000001</v>
      </c>
      <c r="L7508" s="508">
        <v>1.157</v>
      </c>
      <c r="M7508" s="508">
        <v>1.0960000000000001</v>
      </c>
      <c r="N7508" s="508">
        <v>1.103</v>
      </c>
      <c r="O7508" s="508">
        <v>1.1240000000000001</v>
      </c>
      <c r="P7508" s="508">
        <v>1.0389999999999999</v>
      </c>
      <c r="Q7508" s="508">
        <v>1.0249999999999999</v>
      </c>
      <c r="R7508" s="508">
        <v>1.032</v>
      </c>
      <c r="S7508" s="508">
        <v>1.04</v>
      </c>
      <c r="T7508" s="508">
        <v>1.1040000000000001</v>
      </c>
      <c r="U7508" s="508">
        <v>0.99399999999999999</v>
      </c>
      <c r="V7508" s="508">
        <v>0.97299999999999998</v>
      </c>
      <c r="W7508" s="508">
        <v>0.69099999999999995</v>
      </c>
      <c r="X7508" s="508">
        <v>0.69</v>
      </c>
      <c r="Y7508" s="508">
        <v>0.68700000000000006</v>
      </c>
      <c r="Z7508" s="508">
        <v>0.68500000000000005</v>
      </c>
      <c r="AA7508" s="508">
        <v>7.3999999999999996E-2</v>
      </c>
      <c r="AB7508" s="508">
        <v>7.3999999999999996E-2</v>
      </c>
      <c r="AC7508" s="508">
        <v>7.2999999999999995E-2</v>
      </c>
      <c r="AD7508" s="508">
        <v>0.05</v>
      </c>
      <c r="AE7508" s="508">
        <v>0.05</v>
      </c>
      <c r="AF7508" s="508">
        <v>4.2000000000000003E-2</v>
      </c>
      <c r="AG7508" s="508">
        <v>4.2000000000000003E-2</v>
      </c>
      <c r="AH7508" s="508">
        <v>4.2000000000000003E-2</v>
      </c>
      <c r="AI7508" s="492">
        <v>4.2000000000000003E-2</v>
      </c>
      <c r="AJ7508" s="485"/>
    </row>
    <row r="7509" spans="2:36">
      <c r="B7509" s="136" t="s">
        <v>476</v>
      </c>
      <c r="C7509" s="132" t="s">
        <v>1370</v>
      </c>
      <c r="D7509" s="132" t="s">
        <v>1381</v>
      </c>
      <c r="E7509" s="508">
        <v>1.5620000000000001</v>
      </c>
      <c r="F7509" s="508">
        <v>1.341</v>
      </c>
      <c r="G7509" s="508">
        <v>1.3080000000000001</v>
      </c>
      <c r="H7509" s="508">
        <v>1.214</v>
      </c>
      <c r="I7509" s="508">
        <v>1.323</v>
      </c>
      <c r="J7509" s="508">
        <v>1.1639999999999999</v>
      </c>
      <c r="K7509" s="508">
        <v>1.2809999999999999</v>
      </c>
      <c r="L7509" s="508">
        <v>1.1859999999999999</v>
      </c>
      <c r="M7509" s="508">
        <v>1.121</v>
      </c>
      <c r="N7509" s="508">
        <v>1.129</v>
      </c>
      <c r="O7509" s="508">
        <v>1.151</v>
      </c>
      <c r="P7509" s="508">
        <v>1.0620000000000001</v>
      </c>
      <c r="Q7509" s="508">
        <v>1.0469999999999999</v>
      </c>
      <c r="R7509" s="508">
        <v>1.054</v>
      </c>
      <c r="S7509" s="508">
        <v>1.0620000000000001</v>
      </c>
      <c r="T7509" s="508">
        <v>1.129</v>
      </c>
      <c r="U7509" s="508">
        <v>1.014</v>
      </c>
      <c r="V7509" s="508">
        <v>0.99199999999999999</v>
      </c>
      <c r="W7509" s="508">
        <v>0.71299999999999997</v>
      </c>
      <c r="X7509" s="508">
        <v>0.71299999999999997</v>
      </c>
      <c r="Y7509" s="508">
        <v>0.71</v>
      </c>
      <c r="Z7509" s="508">
        <v>0.70699999999999996</v>
      </c>
      <c r="AA7509" s="508">
        <v>7.6999999999999999E-2</v>
      </c>
      <c r="AB7509" s="508">
        <v>7.5999999999999998E-2</v>
      </c>
      <c r="AC7509" s="508">
        <v>7.4999999999999997E-2</v>
      </c>
      <c r="AD7509" s="508">
        <v>5.1999999999999998E-2</v>
      </c>
      <c r="AE7509" s="508">
        <v>5.1999999999999998E-2</v>
      </c>
      <c r="AF7509" s="508">
        <v>4.3999999999999997E-2</v>
      </c>
      <c r="AG7509" s="508">
        <v>4.2999999999999997E-2</v>
      </c>
      <c r="AH7509" s="508">
        <v>4.2999999999999997E-2</v>
      </c>
      <c r="AI7509" s="492">
        <v>4.2999999999999997E-2</v>
      </c>
      <c r="AJ7509" s="485"/>
    </row>
    <row r="7510" spans="2:36">
      <c r="B7510" s="136" t="s">
        <v>478</v>
      </c>
      <c r="C7510" s="132" t="s">
        <v>1370</v>
      </c>
      <c r="D7510" s="132" t="s">
        <v>1381</v>
      </c>
      <c r="E7510" s="508">
        <v>1.649</v>
      </c>
      <c r="F7510" s="508">
        <v>1.4019999999999999</v>
      </c>
      <c r="G7510" s="508">
        <v>1.3620000000000001</v>
      </c>
      <c r="H7510" s="508">
        <v>1.26</v>
      </c>
      <c r="I7510" s="508">
        <v>1.373</v>
      </c>
      <c r="J7510" s="508">
        <v>1.2030000000000001</v>
      </c>
      <c r="K7510" s="508">
        <v>1.3260000000000001</v>
      </c>
      <c r="L7510" s="508">
        <v>1.2250000000000001</v>
      </c>
      <c r="M7510" s="508">
        <v>1.1559999999999999</v>
      </c>
      <c r="N7510" s="508">
        <v>1.163</v>
      </c>
      <c r="O7510" s="508">
        <v>1.1870000000000001</v>
      </c>
      <c r="P7510" s="508">
        <v>1.0920000000000001</v>
      </c>
      <c r="Q7510" s="508">
        <v>1.0760000000000001</v>
      </c>
      <c r="R7510" s="508">
        <v>1.0840000000000001</v>
      </c>
      <c r="S7510" s="508">
        <v>1.0920000000000001</v>
      </c>
      <c r="T7510" s="508">
        <v>1.1619999999999999</v>
      </c>
      <c r="U7510" s="508">
        <v>1.0409999999999999</v>
      </c>
      <c r="V7510" s="508">
        <v>1.0169999999999999</v>
      </c>
      <c r="W7510" s="508">
        <v>0.74299999999999999</v>
      </c>
      <c r="X7510" s="508">
        <v>0.74299999999999999</v>
      </c>
      <c r="Y7510" s="508">
        <v>0.74</v>
      </c>
      <c r="Z7510" s="508">
        <v>0.73699999999999999</v>
      </c>
      <c r="AA7510" s="508">
        <v>8.1000000000000003E-2</v>
      </c>
      <c r="AB7510" s="508">
        <v>0.08</v>
      </c>
      <c r="AC7510" s="508">
        <v>7.9000000000000001E-2</v>
      </c>
      <c r="AD7510" s="508">
        <v>5.5E-2</v>
      </c>
      <c r="AE7510" s="508">
        <v>5.3999999999999999E-2</v>
      </c>
      <c r="AF7510" s="508">
        <v>4.5999999999999999E-2</v>
      </c>
      <c r="AG7510" s="508">
        <v>4.5999999999999999E-2</v>
      </c>
      <c r="AH7510" s="508">
        <v>4.5999999999999999E-2</v>
      </c>
      <c r="AI7510" s="492">
        <v>4.5999999999999999E-2</v>
      </c>
      <c r="AJ7510" s="485"/>
    </row>
    <row r="7511" spans="2:36">
      <c r="B7511" s="136" t="s">
        <v>479</v>
      </c>
      <c r="C7511" s="132" t="s">
        <v>1370</v>
      </c>
      <c r="D7511" s="132" t="s">
        <v>1381</v>
      </c>
      <c r="E7511" s="508">
        <v>1.3029999999999999</v>
      </c>
      <c r="F7511" s="508">
        <v>1.1850000000000001</v>
      </c>
      <c r="G7511" s="508">
        <v>1.1890000000000001</v>
      </c>
      <c r="H7511" s="508">
        <v>1.119</v>
      </c>
      <c r="I7511" s="508">
        <v>1.2330000000000001</v>
      </c>
      <c r="J7511" s="508">
        <v>1.091</v>
      </c>
      <c r="K7511" s="508">
        <v>1.2070000000000001</v>
      </c>
      <c r="L7511" s="508">
        <v>1.1220000000000001</v>
      </c>
      <c r="M7511" s="508">
        <v>1.0649999999999999</v>
      </c>
      <c r="N7511" s="508">
        <v>1.0740000000000001</v>
      </c>
      <c r="O7511" s="508">
        <v>1.0980000000000001</v>
      </c>
      <c r="P7511" s="508">
        <v>1.0149999999999999</v>
      </c>
      <c r="Q7511" s="508">
        <v>1.0029999999999999</v>
      </c>
      <c r="R7511" s="508">
        <v>1.0109999999999999</v>
      </c>
      <c r="S7511" s="508">
        <v>1.02</v>
      </c>
      <c r="T7511" s="508">
        <v>1.085</v>
      </c>
      <c r="U7511" s="508">
        <v>0.97799999999999998</v>
      </c>
      <c r="V7511" s="508">
        <v>0.95899999999999996</v>
      </c>
      <c r="W7511" s="508">
        <v>0.67400000000000004</v>
      </c>
      <c r="X7511" s="508">
        <v>0.67500000000000004</v>
      </c>
      <c r="Y7511" s="508">
        <v>0.67300000000000004</v>
      </c>
      <c r="Z7511" s="508">
        <v>0.67100000000000004</v>
      </c>
      <c r="AA7511" s="508">
        <v>7.0000000000000007E-2</v>
      </c>
      <c r="AB7511" s="508">
        <v>6.9000000000000006E-2</v>
      </c>
      <c r="AC7511" s="508">
        <v>6.9000000000000006E-2</v>
      </c>
      <c r="AD7511" s="508">
        <v>4.7E-2</v>
      </c>
      <c r="AE7511" s="508">
        <v>4.5999999999999999E-2</v>
      </c>
      <c r="AF7511" s="508">
        <v>3.9E-2</v>
      </c>
      <c r="AG7511" s="508">
        <v>3.7999999999999999E-2</v>
      </c>
      <c r="AH7511" s="508">
        <v>3.7999999999999999E-2</v>
      </c>
      <c r="AI7511" s="492">
        <v>3.7999999999999999E-2</v>
      </c>
      <c r="AJ7511" s="485"/>
    </row>
    <row r="7512" spans="2:36">
      <c r="B7512" s="136" t="s">
        <v>480</v>
      </c>
      <c r="C7512" s="132" t="s">
        <v>1370</v>
      </c>
      <c r="D7512" s="132" t="s">
        <v>1381</v>
      </c>
      <c r="E7512" s="508">
        <v>1.4670000000000001</v>
      </c>
      <c r="F7512" s="508">
        <v>1.2549999999999999</v>
      </c>
      <c r="G7512" s="508">
        <v>1.2170000000000001</v>
      </c>
      <c r="H7512" s="508">
        <v>1.133</v>
      </c>
      <c r="I7512" s="508">
        <v>1.2190000000000001</v>
      </c>
      <c r="J7512" s="508">
        <v>1.085</v>
      </c>
      <c r="K7512" s="508">
        <v>1.18</v>
      </c>
      <c r="L7512" s="508">
        <v>1.1000000000000001</v>
      </c>
      <c r="M7512" s="508">
        <v>1.046</v>
      </c>
      <c r="N7512" s="508">
        <v>1.0509999999999999</v>
      </c>
      <c r="O7512" s="508">
        <v>1.0680000000000001</v>
      </c>
      <c r="P7512" s="508">
        <v>0.99399999999999999</v>
      </c>
      <c r="Q7512" s="508">
        <v>0.98199999999999998</v>
      </c>
      <c r="R7512" s="508">
        <v>0.98699999999999999</v>
      </c>
      <c r="S7512" s="508">
        <v>0.99299999999999999</v>
      </c>
      <c r="T7512" s="508">
        <v>1.048</v>
      </c>
      <c r="U7512" s="508">
        <v>0.95299999999999996</v>
      </c>
      <c r="V7512" s="508">
        <v>0.93400000000000005</v>
      </c>
      <c r="W7512" s="508">
        <v>0.63500000000000001</v>
      </c>
      <c r="X7512" s="508">
        <v>0.63500000000000001</v>
      </c>
      <c r="Y7512" s="508">
        <v>0.63200000000000001</v>
      </c>
      <c r="Z7512" s="508">
        <v>0.63</v>
      </c>
      <c r="AA7512" s="508">
        <v>6.9000000000000006E-2</v>
      </c>
      <c r="AB7512" s="508">
        <v>6.8000000000000005E-2</v>
      </c>
      <c r="AC7512" s="508">
        <v>6.8000000000000005E-2</v>
      </c>
      <c r="AD7512" s="508">
        <v>4.7E-2</v>
      </c>
      <c r="AE7512" s="508">
        <v>4.7E-2</v>
      </c>
      <c r="AF7512" s="508">
        <v>0.04</v>
      </c>
      <c r="AG7512" s="508">
        <v>3.9E-2</v>
      </c>
      <c r="AH7512" s="508">
        <v>3.9E-2</v>
      </c>
      <c r="AI7512" s="492">
        <v>3.9E-2</v>
      </c>
      <c r="AJ7512" s="485"/>
    </row>
    <row r="7513" spans="2:36">
      <c r="B7513" s="136" t="s">
        <v>481</v>
      </c>
      <c r="C7513" s="132" t="s">
        <v>1370</v>
      </c>
      <c r="D7513" s="132" t="s">
        <v>1381</v>
      </c>
      <c r="E7513" s="508">
        <v>1.403</v>
      </c>
      <c r="F7513" s="508">
        <v>1.246</v>
      </c>
      <c r="G7513" s="508">
        <v>1.2370000000000001</v>
      </c>
      <c r="H7513" s="508">
        <v>1.1579999999999999</v>
      </c>
      <c r="I7513" s="508">
        <v>1.27</v>
      </c>
      <c r="J7513" s="508">
        <v>1.121</v>
      </c>
      <c r="K7513" s="508">
        <v>1.238</v>
      </c>
      <c r="L7513" s="508">
        <v>1.149</v>
      </c>
      <c r="M7513" s="508">
        <v>1.0880000000000001</v>
      </c>
      <c r="N7513" s="508">
        <v>1.097</v>
      </c>
      <c r="O7513" s="508">
        <v>1.121</v>
      </c>
      <c r="P7513" s="508">
        <v>1.0349999999999999</v>
      </c>
      <c r="Q7513" s="508">
        <v>1.022</v>
      </c>
      <c r="R7513" s="508">
        <v>1.03</v>
      </c>
      <c r="S7513" s="508">
        <v>1.038</v>
      </c>
      <c r="T7513" s="508">
        <v>1.1040000000000001</v>
      </c>
      <c r="U7513" s="508">
        <v>0.99399999999999999</v>
      </c>
      <c r="V7513" s="508">
        <v>0.97299999999999998</v>
      </c>
      <c r="W7513" s="508">
        <v>0.69099999999999995</v>
      </c>
      <c r="X7513" s="508">
        <v>0.69199999999999995</v>
      </c>
      <c r="Y7513" s="508">
        <v>0.68899999999999995</v>
      </c>
      <c r="Z7513" s="508">
        <v>0.68700000000000006</v>
      </c>
      <c r="AA7513" s="508">
        <v>7.2999999999999995E-2</v>
      </c>
      <c r="AB7513" s="508">
        <v>7.1999999999999995E-2</v>
      </c>
      <c r="AC7513" s="508">
        <v>7.1999999999999995E-2</v>
      </c>
      <c r="AD7513" s="508">
        <v>4.9000000000000002E-2</v>
      </c>
      <c r="AE7513" s="508">
        <v>4.9000000000000002E-2</v>
      </c>
      <c r="AF7513" s="508">
        <v>4.1000000000000002E-2</v>
      </c>
      <c r="AG7513" s="508">
        <v>0.04</v>
      </c>
      <c r="AH7513" s="508">
        <v>0.04</v>
      </c>
      <c r="AI7513" s="492">
        <v>0.04</v>
      </c>
      <c r="AJ7513" s="485"/>
    </row>
    <row r="7514" spans="2:36">
      <c r="B7514" s="136" t="s">
        <v>482</v>
      </c>
      <c r="C7514" s="132" t="s">
        <v>1370</v>
      </c>
      <c r="D7514" s="132" t="s">
        <v>1381</v>
      </c>
      <c r="E7514" s="508">
        <v>1.274</v>
      </c>
      <c r="F7514" s="508">
        <v>1.175</v>
      </c>
      <c r="G7514" s="508">
        <v>1.1890000000000001</v>
      </c>
      <c r="H7514" s="508">
        <v>1.121</v>
      </c>
      <c r="I7514" s="508">
        <v>1.2430000000000001</v>
      </c>
      <c r="J7514" s="508">
        <v>1.0980000000000001</v>
      </c>
      <c r="K7514" s="508">
        <v>1.2190000000000001</v>
      </c>
      <c r="L7514" s="508">
        <v>1.1319999999999999</v>
      </c>
      <c r="M7514" s="508">
        <v>1.073</v>
      </c>
      <c r="N7514" s="508">
        <v>1.0840000000000001</v>
      </c>
      <c r="O7514" s="508">
        <v>1.109</v>
      </c>
      <c r="P7514" s="508">
        <v>1.024</v>
      </c>
      <c r="Q7514" s="508">
        <v>1.012</v>
      </c>
      <c r="R7514" s="508">
        <v>1.0209999999999999</v>
      </c>
      <c r="S7514" s="508">
        <v>1.03</v>
      </c>
      <c r="T7514" s="508">
        <v>1.0980000000000001</v>
      </c>
      <c r="U7514" s="508">
        <v>0.98799999999999999</v>
      </c>
      <c r="V7514" s="508">
        <v>0.96699999999999997</v>
      </c>
      <c r="W7514" s="508">
        <v>0.68799999999999994</v>
      </c>
      <c r="X7514" s="508">
        <v>0.68899999999999995</v>
      </c>
      <c r="Y7514" s="508">
        <v>0.68700000000000006</v>
      </c>
      <c r="Z7514" s="508">
        <v>0.68500000000000005</v>
      </c>
      <c r="AA7514" s="508">
        <v>7.0000000000000007E-2</v>
      </c>
      <c r="AB7514" s="508">
        <v>7.0000000000000007E-2</v>
      </c>
      <c r="AC7514" s="508">
        <v>7.0000000000000007E-2</v>
      </c>
      <c r="AD7514" s="508">
        <v>4.7E-2</v>
      </c>
      <c r="AE7514" s="508">
        <v>4.7E-2</v>
      </c>
      <c r="AF7514" s="508">
        <v>3.9E-2</v>
      </c>
      <c r="AG7514" s="508">
        <v>3.9E-2</v>
      </c>
      <c r="AH7514" s="508">
        <v>3.9E-2</v>
      </c>
      <c r="AI7514" s="492">
        <v>3.9E-2</v>
      </c>
      <c r="AJ7514" s="485"/>
    </row>
    <row r="7515" spans="2:36">
      <c r="B7515" s="136" t="s">
        <v>483</v>
      </c>
      <c r="C7515" s="132" t="s">
        <v>1370</v>
      </c>
      <c r="D7515" s="132" t="s">
        <v>1381</v>
      </c>
      <c r="E7515" s="508">
        <v>1.659</v>
      </c>
      <c r="F7515" s="508">
        <v>1.4039999999999999</v>
      </c>
      <c r="G7515" s="508">
        <v>1.361</v>
      </c>
      <c r="H7515" s="508">
        <v>1.258</v>
      </c>
      <c r="I7515" s="508">
        <v>1.369</v>
      </c>
      <c r="J7515" s="508">
        <v>1.2</v>
      </c>
      <c r="K7515" s="508">
        <v>1.321</v>
      </c>
      <c r="L7515" s="508">
        <v>1.2210000000000001</v>
      </c>
      <c r="M7515" s="508">
        <v>1.1519999999999999</v>
      </c>
      <c r="N7515" s="508">
        <v>1.159</v>
      </c>
      <c r="O7515" s="508">
        <v>1.1819999999999999</v>
      </c>
      <c r="P7515" s="508">
        <v>1.0880000000000001</v>
      </c>
      <c r="Q7515" s="508">
        <v>1.073</v>
      </c>
      <c r="R7515" s="508">
        <v>1.08</v>
      </c>
      <c r="S7515" s="508">
        <v>1.0880000000000001</v>
      </c>
      <c r="T7515" s="508">
        <v>1.157</v>
      </c>
      <c r="U7515" s="508">
        <v>1.0369999999999999</v>
      </c>
      <c r="V7515" s="508">
        <v>1.0129999999999999</v>
      </c>
      <c r="W7515" s="508">
        <v>0.73799999999999999</v>
      </c>
      <c r="X7515" s="508">
        <v>0.73699999999999999</v>
      </c>
      <c r="Y7515" s="508">
        <v>0.73399999999999999</v>
      </c>
      <c r="Z7515" s="508">
        <v>0.73199999999999998</v>
      </c>
      <c r="AA7515" s="508">
        <v>0.08</v>
      </c>
      <c r="AB7515" s="508">
        <v>0.08</v>
      </c>
      <c r="AC7515" s="508">
        <v>7.9000000000000001E-2</v>
      </c>
      <c r="AD7515" s="508">
        <v>5.5E-2</v>
      </c>
      <c r="AE7515" s="508">
        <v>5.3999999999999999E-2</v>
      </c>
      <c r="AF7515" s="508">
        <v>4.5999999999999999E-2</v>
      </c>
      <c r="AG7515" s="508">
        <v>4.5999999999999999E-2</v>
      </c>
      <c r="AH7515" s="508">
        <v>4.5999999999999999E-2</v>
      </c>
      <c r="AI7515" s="492">
        <v>4.5999999999999999E-2</v>
      </c>
      <c r="AJ7515" s="485"/>
    </row>
    <row r="7516" spans="2:36">
      <c r="B7516" s="136" t="s">
        <v>484</v>
      </c>
      <c r="C7516" s="132" t="s">
        <v>1370</v>
      </c>
      <c r="D7516" s="132" t="s">
        <v>1381</v>
      </c>
      <c r="E7516" s="508">
        <v>1.522</v>
      </c>
      <c r="F7516" s="508">
        <v>1.292</v>
      </c>
      <c r="G7516" s="508">
        <v>1.248</v>
      </c>
      <c r="H7516" s="508">
        <v>1.159</v>
      </c>
      <c r="I7516" s="508">
        <v>1.248</v>
      </c>
      <c r="J7516" s="508">
        <v>1.107</v>
      </c>
      <c r="K7516" s="508">
        <v>1.206</v>
      </c>
      <c r="L7516" s="508">
        <v>1.1220000000000001</v>
      </c>
      <c r="M7516" s="508">
        <v>1.0649999999999999</v>
      </c>
      <c r="N7516" s="508">
        <v>1.07</v>
      </c>
      <c r="O7516" s="508">
        <v>1.0880000000000001</v>
      </c>
      <c r="P7516" s="508">
        <v>1.01</v>
      </c>
      <c r="Q7516" s="508">
        <v>0.997</v>
      </c>
      <c r="R7516" s="508">
        <v>1.0029999999999999</v>
      </c>
      <c r="S7516" s="508">
        <v>1.0089999999999999</v>
      </c>
      <c r="T7516" s="508">
        <v>1.0660000000000001</v>
      </c>
      <c r="U7516" s="508">
        <v>0.96599999999999997</v>
      </c>
      <c r="V7516" s="508">
        <v>0.94599999999999995</v>
      </c>
      <c r="W7516" s="508">
        <v>0.65300000000000002</v>
      </c>
      <c r="X7516" s="508">
        <v>0.65200000000000002</v>
      </c>
      <c r="Y7516" s="508">
        <v>0.64900000000000002</v>
      </c>
      <c r="Z7516" s="508">
        <v>0.64700000000000002</v>
      </c>
      <c r="AA7516" s="508">
        <v>7.0999999999999994E-2</v>
      </c>
      <c r="AB7516" s="508">
        <v>7.0999999999999994E-2</v>
      </c>
      <c r="AC7516" s="508">
        <v>7.0000000000000007E-2</v>
      </c>
      <c r="AD7516" s="508">
        <v>4.9000000000000002E-2</v>
      </c>
      <c r="AE7516" s="508">
        <v>4.8000000000000001E-2</v>
      </c>
      <c r="AF7516" s="508">
        <v>4.1000000000000002E-2</v>
      </c>
      <c r="AG7516" s="508">
        <v>4.1000000000000002E-2</v>
      </c>
      <c r="AH7516" s="508">
        <v>4.1000000000000002E-2</v>
      </c>
      <c r="AI7516" s="492">
        <v>4.1000000000000002E-2</v>
      </c>
      <c r="AJ7516" s="485"/>
    </row>
    <row r="7517" spans="2:36">
      <c r="B7517" s="136" t="s">
        <v>486</v>
      </c>
      <c r="C7517" s="132" t="s">
        <v>1370</v>
      </c>
      <c r="D7517" s="132" t="s">
        <v>1381</v>
      </c>
      <c r="E7517" s="508">
        <v>1.4419999999999999</v>
      </c>
      <c r="F7517" s="508">
        <v>1.2689999999999999</v>
      </c>
      <c r="G7517" s="508">
        <v>1.254</v>
      </c>
      <c r="H7517" s="508">
        <v>1.171</v>
      </c>
      <c r="I7517" s="508">
        <v>1.282</v>
      </c>
      <c r="J7517" s="508">
        <v>1.131</v>
      </c>
      <c r="K7517" s="508">
        <v>1.248</v>
      </c>
      <c r="L7517" s="508">
        <v>1.157</v>
      </c>
      <c r="M7517" s="508">
        <v>1.0960000000000001</v>
      </c>
      <c r="N7517" s="508">
        <v>1.1040000000000001</v>
      </c>
      <c r="O7517" s="508">
        <v>1.127</v>
      </c>
      <c r="P7517" s="508">
        <v>1.0409999999999999</v>
      </c>
      <c r="Q7517" s="508">
        <v>1.028</v>
      </c>
      <c r="R7517" s="508">
        <v>1.0349999999999999</v>
      </c>
      <c r="S7517" s="508">
        <v>1.044</v>
      </c>
      <c r="T7517" s="508">
        <v>1.1100000000000001</v>
      </c>
      <c r="U7517" s="508">
        <v>0.998</v>
      </c>
      <c r="V7517" s="508">
        <v>0.97699999999999998</v>
      </c>
      <c r="W7517" s="508">
        <v>0.69599999999999995</v>
      </c>
      <c r="X7517" s="508">
        <v>0.69599999999999995</v>
      </c>
      <c r="Y7517" s="508">
        <v>0.69299999999999995</v>
      </c>
      <c r="Z7517" s="508">
        <v>0.69199999999999995</v>
      </c>
      <c r="AA7517" s="508">
        <v>7.3999999999999996E-2</v>
      </c>
      <c r="AB7517" s="508">
        <v>7.2999999999999995E-2</v>
      </c>
      <c r="AC7517" s="508">
        <v>7.1999999999999995E-2</v>
      </c>
      <c r="AD7517" s="508">
        <v>0.05</v>
      </c>
      <c r="AE7517" s="508">
        <v>4.9000000000000002E-2</v>
      </c>
      <c r="AF7517" s="508">
        <v>4.2000000000000003E-2</v>
      </c>
      <c r="AG7517" s="508">
        <v>4.1000000000000002E-2</v>
      </c>
      <c r="AH7517" s="508">
        <v>4.1000000000000002E-2</v>
      </c>
      <c r="AI7517" s="492">
        <v>4.1000000000000002E-2</v>
      </c>
      <c r="AJ7517" s="485"/>
    </row>
    <row r="7518" spans="2:36">
      <c r="B7518" s="136" t="s">
        <v>487</v>
      </c>
      <c r="C7518" s="132" t="s">
        <v>1370</v>
      </c>
      <c r="D7518" s="132" t="s">
        <v>1381</v>
      </c>
      <c r="E7518" s="508">
        <v>1.542</v>
      </c>
      <c r="F7518" s="508">
        <v>1.323</v>
      </c>
      <c r="G7518" s="508">
        <v>1.2889999999999999</v>
      </c>
      <c r="H7518" s="508">
        <v>1.198</v>
      </c>
      <c r="I7518" s="508">
        <v>1.3009999999999999</v>
      </c>
      <c r="J7518" s="508">
        <v>1.1479999999999999</v>
      </c>
      <c r="K7518" s="508">
        <v>1.26</v>
      </c>
      <c r="L7518" s="508">
        <v>1.1679999999999999</v>
      </c>
      <c r="M7518" s="508">
        <v>1.1060000000000001</v>
      </c>
      <c r="N7518" s="508">
        <v>1.113</v>
      </c>
      <c r="O7518" s="508">
        <v>1.1339999999999999</v>
      </c>
      <c r="P7518" s="508">
        <v>1.048</v>
      </c>
      <c r="Q7518" s="508">
        <v>1.034</v>
      </c>
      <c r="R7518" s="508">
        <v>1.0409999999999999</v>
      </c>
      <c r="S7518" s="508">
        <v>1.048</v>
      </c>
      <c r="T7518" s="508">
        <v>1.1120000000000001</v>
      </c>
      <c r="U7518" s="508">
        <v>1.002</v>
      </c>
      <c r="V7518" s="508">
        <v>0.98099999999999998</v>
      </c>
      <c r="W7518" s="508">
        <v>0.69699999999999995</v>
      </c>
      <c r="X7518" s="508">
        <v>0.69599999999999995</v>
      </c>
      <c r="Y7518" s="508">
        <v>0.69299999999999995</v>
      </c>
      <c r="Z7518" s="508">
        <v>0.69099999999999995</v>
      </c>
      <c r="AA7518" s="508">
        <v>7.4999999999999997E-2</v>
      </c>
      <c r="AB7518" s="508">
        <v>7.4999999999999997E-2</v>
      </c>
      <c r="AC7518" s="508">
        <v>7.3999999999999996E-2</v>
      </c>
      <c r="AD7518" s="508">
        <v>5.0999999999999997E-2</v>
      </c>
      <c r="AE7518" s="508">
        <v>5.0999999999999997E-2</v>
      </c>
      <c r="AF7518" s="508">
        <v>4.2999999999999997E-2</v>
      </c>
      <c r="AG7518" s="508">
        <v>4.2000000000000003E-2</v>
      </c>
      <c r="AH7518" s="508">
        <v>4.2000000000000003E-2</v>
      </c>
      <c r="AI7518" s="492">
        <v>4.2000000000000003E-2</v>
      </c>
      <c r="AJ7518" s="485"/>
    </row>
    <row r="7519" spans="2:36">
      <c r="B7519" s="136" t="s">
        <v>488</v>
      </c>
      <c r="C7519" s="132" t="s">
        <v>1370</v>
      </c>
      <c r="D7519" s="132" t="s">
        <v>1381</v>
      </c>
      <c r="E7519" s="508">
        <v>1.4179999999999999</v>
      </c>
      <c r="F7519" s="508">
        <v>1.238</v>
      </c>
      <c r="G7519" s="508">
        <v>1.2150000000000001</v>
      </c>
      <c r="H7519" s="508">
        <v>1.1359999999999999</v>
      </c>
      <c r="I7519" s="508">
        <v>1.2330000000000001</v>
      </c>
      <c r="J7519" s="508">
        <v>1.0940000000000001</v>
      </c>
      <c r="K7519" s="508">
        <v>1.1990000000000001</v>
      </c>
      <c r="L7519" s="508">
        <v>1.115</v>
      </c>
      <c r="M7519" s="508">
        <v>1.0589999999999999</v>
      </c>
      <c r="N7519" s="508">
        <v>1.0660000000000001</v>
      </c>
      <c r="O7519" s="508">
        <v>1.0860000000000001</v>
      </c>
      <c r="P7519" s="508">
        <v>1.0069999999999999</v>
      </c>
      <c r="Q7519" s="508">
        <v>0.995</v>
      </c>
      <c r="R7519" s="508">
        <v>1.0009999999999999</v>
      </c>
      <c r="S7519" s="508">
        <v>1.0089999999999999</v>
      </c>
      <c r="T7519" s="508">
        <v>1.0680000000000001</v>
      </c>
      <c r="U7519" s="508">
        <v>0.96699999999999997</v>
      </c>
      <c r="V7519" s="508">
        <v>0.94699999999999995</v>
      </c>
      <c r="W7519" s="508">
        <v>0.65600000000000003</v>
      </c>
      <c r="X7519" s="508">
        <v>0.65600000000000003</v>
      </c>
      <c r="Y7519" s="508">
        <v>0.65400000000000003</v>
      </c>
      <c r="Z7519" s="508">
        <v>0.65200000000000002</v>
      </c>
      <c r="AA7519" s="508">
        <v>7.0000000000000007E-2</v>
      </c>
      <c r="AB7519" s="508">
        <v>7.0000000000000007E-2</v>
      </c>
      <c r="AC7519" s="508">
        <v>6.9000000000000006E-2</v>
      </c>
      <c r="AD7519" s="508">
        <v>4.7E-2</v>
      </c>
      <c r="AE7519" s="508">
        <v>4.7E-2</v>
      </c>
      <c r="AF7519" s="508">
        <v>0.04</v>
      </c>
      <c r="AG7519" s="508">
        <v>3.9E-2</v>
      </c>
      <c r="AH7519" s="508">
        <v>3.9E-2</v>
      </c>
      <c r="AI7519" s="492">
        <v>3.9E-2</v>
      </c>
      <c r="AJ7519" s="485"/>
    </row>
    <row r="7520" spans="2:36">
      <c r="B7520" s="136" t="s">
        <v>489</v>
      </c>
      <c r="C7520" s="132" t="s">
        <v>1370</v>
      </c>
      <c r="D7520" s="132" t="s">
        <v>1381</v>
      </c>
      <c r="E7520" s="508">
        <v>1.6040000000000001</v>
      </c>
      <c r="F7520" s="508">
        <v>1.353</v>
      </c>
      <c r="G7520" s="508">
        <v>1.306</v>
      </c>
      <c r="H7520" s="508">
        <v>1.208</v>
      </c>
      <c r="I7520" s="508">
        <v>1.3049999999999999</v>
      </c>
      <c r="J7520" s="508">
        <v>1.1519999999999999</v>
      </c>
      <c r="K7520" s="508">
        <v>1.2589999999999999</v>
      </c>
      <c r="L7520" s="508">
        <v>1.1679999999999999</v>
      </c>
      <c r="M7520" s="508">
        <v>1.105</v>
      </c>
      <c r="N7520" s="508">
        <v>1.1100000000000001</v>
      </c>
      <c r="O7520" s="508">
        <v>1.131</v>
      </c>
      <c r="P7520" s="508">
        <v>1.0449999999999999</v>
      </c>
      <c r="Q7520" s="508">
        <v>1.0309999999999999</v>
      </c>
      <c r="R7520" s="508">
        <v>1.0369999999999999</v>
      </c>
      <c r="S7520" s="508">
        <v>1.044</v>
      </c>
      <c r="T7520" s="508">
        <v>1.1060000000000001</v>
      </c>
      <c r="U7520" s="508">
        <v>0.997</v>
      </c>
      <c r="V7520" s="508">
        <v>0.97599999999999998</v>
      </c>
      <c r="W7520" s="508">
        <v>0.69099999999999995</v>
      </c>
      <c r="X7520" s="508">
        <v>0.69</v>
      </c>
      <c r="Y7520" s="508">
        <v>0.68700000000000006</v>
      </c>
      <c r="Z7520" s="508">
        <v>0.68500000000000005</v>
      </c>
      <c r="AA7520" s="508">
        <v>7.5999999999999998E-2</v>
      </c>
      <c r="AB7520" s="508">
        <v>7.4999999999999997E-2</v>
      </c>
      <c r="AC7520" s="508">
        <v>7.3999999999999996E-2</v>
      </c>
      <c r="AD7520" s="508">
        <v>5.1999999999999998E-2</v>
      </c>
      <c r="AE7520" s="508">
        <v>5.0999999999999997E-2</v>
      </c>
      <c r="AF7520" s="508">
        <v>4.3999999999999997E-2</v>
      </c>
      <c r="AG7520" s="508">
        <v>4.2999999999999997E-2</v>
      </c>
      <c r="AH7520" s="508">
        <v>4.2999999999999997E-2</v>
      </c>
      <c r="AI7520" s="492">
        <v>4.2999999999999997E-2</v>
      </c>
      <c r="AJ7520" s="485"/>
    </row>
    <row r="7521" spans="2:36">
      <c r="B7521" s="136" t="s">
        <v>490</v>
      </c>
      <c r="C7521" s="132" t="s">
        <v>1370</v>
      </c>
      <c r="D7521" s="132" t="s">
        <v>1381</v>
      </c>
      <c r="E7521" s="508">
        <v>1.48</v>
      </c>
      <c r="F7521" s="508">
        <v>1.262</v>
      </c>
      <c r="G7521" s="508">
        <v>1.22</v>
      </c>
      <c r="H7521" s="508">
        <v>1.135</v>
      </c>
      <c r="I7521" s="508">
        <v>1.2190000000000001</v>
      </c>
      <c r="J7521" s="508">
        <v>1.0860000000000001</v>
      </c>
      <c r="K7521" s="508">
        <v>1.179</v>
      </c>
      <c r="L7521" s="508">
        <v>1.1000000000000001</v>
      </c>
      <c r="M7521" s="508">
        <v>1.0449999999999999</v>
      </c>
      <c r="N7521" s="508">
        <v>1.05</v>
      </c>
      <c r="O7521" s="508">
        <v>1.0669999999999999</v>
      </c>
      <c r="P7521" s="508">
        <v>0.99399999999999999</v>
      </c>
      <c r="Q7521" s="508">
        <v>0.98099999999999998</v>
      </c>
      <c r="R7521" s="508">
        <v>0.98699999999999999</v>
      </c>
      <c r="S7521" s="508">
        <v>0.99299999999999999</v>
      </c>
      <c r="T7521" s="508">
        <v>1.046</v>
      </c>
      <c r="U7521" s="508">
        <v>0.95199999999999996</v>
      </c>
      <c r="V7521" s="508">
        <v>0.93300000000000005</v>
      </c>
      <c r="W7521" s="508">
        <v>0.63300000000000001</v>
      </c>
      <c r="X7521" s="508">
        <v>0.63200000000000001</v>
      </c>
      <c r="Y7521" s="508">
        <v>0.63</v>
      </c>
      <c r="Z7521" s="508">
        <v>0.627</v>
      </c>
      <c r="AA7521" s="508">
        <v>6.9000000000000006E-2</v>
      </c>
      <c r="AB7521" s="508">
        <v>6.8000000000000005E-2</v>
      </c>
      <c r="AC7521" s="508">
        <v>6.8000000000000005E-2</v>
      </c>
      <c r="AD7521" s="508">
        <v>4.7E-2</v>
      </c>
      <c r="AE7521" s="508">
        <v>4.7E-2</v>
      </c>
      <c r="AF7521" s="508">
        <v>0.04</v>
      </c>
      <c r="AG7521" s="508">
        <v>3.9E-2</v>
      </c>
      <c r="AH7521" s="508">
        <v>3.9E-2</v>
      </c>
      <c r="AI7521" s="492">
        <v>3.9E-2</v>
      </c>
      <c r="AJ7521" s="485"/>
    </row>
    <row r="7522" spans="2:36">
      <c r="B7522" s="136" t="s">
        <v>435</v>
      </c>
      <c r="C7522" s="132" t="s">
        <v>1371</v>
      </c>
      <c r="D7522" s="132" t="s">
        <v>1381</v>
      </c>
      <c r="E7522" s="508">
        <v>1.512</v>
      </c>
      <c r="F7522" s="508">
        <v>1.512</v>
      </c>
      <c r="G7522" s="508">
        <v>1.512</v>
      </c>
      <c r="H7522" s="508">
        <v>1.512</v>
      </c>
      <c r="I7522" s="508">
        <v>1.512</v>
      </c>
      <c r="J7522" s="508">
        <v>1.512</v>
      </c>
      <c r="K7522" s="508">
        <v>1.512</v>
      </c>
      <c r="L7522" s="508">
        <v>1.512</v>
      </c>
      <c r="M7522" s="508">
        <v>1.512</v>
      </c>
      <c r="N7522" s="508">
        <v>1.512</v>
      </c>
      <c r="O7522" s="508">
        <v>1.512</v>
      </c>
      <c r="P7522" s="508">
        <v>1.514</v>
      </c>
      <c r="Q7522" s="508">
        <v>1.514</v>
      </c>
      <c r="R7522" s="508">
        <v>1.514</v>
      </c>
      <c r="S7522" s="508">
        <v>1.514</v>
      </c>
      <c r="T7522" s="508">
        <v>1.514</v>
      </c>
      <c r="U7522" s="508">
        <v>1.514</v>
      </c>
      <c r="V7522" s="508">
        <v>1.514</v>
      </c>
      <c r="W7522" s="508">
        <v>0.82399999999999995</v>
      </c>
      <c r="X7522" s="508">
        <v>0.82399999999999995</v>
      </c>
      <c r="Y7522" s="508">
        <v>0.82399999999999995</v>
      </c>
      <c r="Z7522" s="508">
        <v>0.82399999999999995</v>
      </c>
      <c r="AA7522" s="508">
        <v>9.2999999999999999E-2</v>
      </c>
      <c r="AB7522" s="508">
        <v>9.2999999999999999E-2</v>
      </c>
      <c r="AC7522" s="508">
        <v>9.2999999999999999E-2</v>
      </c>
      <c r="AD7522" s="508">
        <v>5.8000000000000003E-2</v>
      </c>
      <c r="AE7522" s="508">
        <v>5.8000000000000003E-2</v>
      </c>
      <c r="AF7522" s="508">
        <v>5.0999999999999997E-2</v>
      </c>
      <c r="AG7522" s="508">
        <v>5.0999999999999997E-2</v>
      </c>
      <c r="AH7522" s="508">
        <v>5.0999999999999997E-2</v>
      </c>
      <c r="AI7522" s="492">
        <v>5.0999999999999997E-2</v>
      </c>
      <c r="AJ7522" s="485"/>
    </row>
    <row r="7523" spans="2:36">
      <c r="B7523" s="136" t="s">
        <v>436</v>
      </c>
      <c r="C7523" s="132" t="s">
        <v>1371</v>
      </c>
      <c r="D7523" s="132" t="s">
        <v>1381</v>
      </c>
      <c r="E7523" s="508">
        <v>1.536</v>
      </c>
      <c r="F7523" s="508">
        <v>1.536</v>
      </c>
      <c r="G7523" s="508">
        <v>1.536</v>
      </c>
      <c r="H7523" s="508">
        <v>1.536</v>
      </c>
      <c r="I7523" s="508">
        <v>1.536</v>
      </c>
      <c r="J7523" s="508">
        <v>1.536</v>
      </c>
      <c r="K7523" s="508">
        <v>1.536</v>
      </c>
      <c r="L7523" s="508">
        <v>1.536</v>
      </c>
      <c r="M7523" s="508">
        <v>1.536</v>
      </c>
      <c r="N7523" s="508">
        <v>1.536</v>
      </c>
      <c r="O7523" s="508">
        <v>1.536</v>
      </c>
      <c r="P7523" s="508">
        <v>1.538</v>
      </c>
      <c r="Q7523" s="508">
        <v>1.538</v>
      </c>
      <c r="R7523" s="508">
        <v>1.538</v>
      </c>
      <c r="S7523" s="508">
        <v>1.538</v>
      </c>
      <c r="T7523" s="508">
        <v>1.538</v>
      </c>
      <c r="U7523" s="508">
        <v>1.5369999999999999</v>
      </c>
      <c r="V7523" s="508">
        <v>1.5369999999999999</v>
      </c>
      <c r="W7523" s="508">
        <v>0.86699999999999999</v>
      </c>
      <c r="X7523" s="508">
        <v>0.86699999999999999</v>
      </c>
      <c r="Y7523" s="508">
        <v>0.86699999999999999</v>
      </c>
      <c r="Z7523" s="508">
        <v>0.86699999999999999</v>
      </c>
      <c r="AA7523" s="508">
        <v>0.124</v>
      </c>
      <c r="AB7523" s="508">
        <v>0.124</v>
      </c>
      <c r="AC7523" s="508">
        <v>0.124</v>
      </c>
      <c r="AD7523" s="508">
        <v>9.0999999999999998E-2</v>
      </c>
      <c r="AE7523" s="508">
        <v>9.0999999999999998E-2</v>
      </c>
      <c r="AF7523" s="508">
        <v>8.3000000000000004E-2</v>
      </c>
      <c r="AG7523" s="508">
        <v>8.3000000000000004E-2</v>
      </c>
      <c r="AH7523" s="508">
        <v>8.3000000000000004E-2</v>
      </c>
      <c r="AI7523" s="492">
        <v>8.3000000000000004E-2</v>
      </c>
      <c r="AJ7523" s="485"/>
    </row>
    <row r="7524" spans="2:36">
      <c r="B7524" s="136" t="s">
        <v>437</v>
      </c>
      <c r="C7524" s="132" t="s">
        <v>1371</v>
      </c>
      <c r="D7524" s="132" t="s">
        <v>1381</v>
      </c>
      <c r="E7524" s="508">
        <v>1.536</v>
      </c>
      <c r="F7524" s="508">
        <v>1.536</v>
      </c>
      <c r="G7524" s="508">
        <v>1.536</v>
      </c>
      <c r="H7524" s="508">
        <v>1.536</v>
      </c>
      <c r="I7524" s="508">
        <v>1.536</v>
      </c>
      <c r="J7524" s="508">
        <v>1.536</v>
      </c>
      <c r="K7524" s="508">
        <v>1.536</v>
      </c>
      <c r="L7524" s="508">
        <v>1.536</v>
      </c>
      <c r="M7524" s="508">
        <v>1.536</v>
      </c>
      <c r="N7524" s="508">
        <v>1.536</v>
      </c>
      <c r="O7524" s="508">
        <v>1.536</v>
      </c>
      <c r="P7524" s="508">
        <v>1.538</v>
      </c>
      <c r="Q7524" s="508">
        <v>1.538</v>
      </c>
      <c r="R7524" s="508">
        <v>1.538</v>
      </c>
      <c r="S7524" s="508">
        <v>1.538</v>
      </c>
      <c r="T7524" s="508">
        <v>1.538</v>
      </c>
      <c r="U7524" s="508">
        <v>1.5369999999999999</v>
      </c>
      <c r="V7524" s="508">
        <v>1.5369999999999999</v>
      </c>
      <c r="W7524" s="508">
        <v>0.83399999999999996</v>
      </c>
      <c r="X7524" s="508">
        <v>0.83399999999999996</v>
      </c>
      <c r="Y7524" s="508">
        <v>0.83399999999999996</v>
      </c>
      <c r="Z7524" s="508">
        <v>0.83399999999999996</v>
      </c>
      <c r="AA7524" s="508">
        <v>9.0999999999999998E-2</v>
      </c>
      <c r="AB7524" s="508">
        <v>9.0999999999999998E-2</v>
      </c>
      <c r="AC7524" s="508">
        <v>9.0999999999999998E-2</v>
      </c>
      <c r="AD7524" s="508">
        <v>5.6000000000000001E-2</v>
      </c>
      <c r="AE7524" s="508">
        <v>5.6000000000000001E-2</v>
      </c>
      <c r="AF7524" s="508">
        <v>4.9000000000000002E-2</v>
      </c>
      <c r="AG7524" s="508">
        <v>4.8000000000000001E-2</v>
      </c>
      <c r="AH7524" s="508">
        <v>4.8000000000000001E-2</v>
      </c>
      <c r="AI7524" s="492">
        <v>4.8000000000000001E-2</v>
      </c>
      <c r="AJ7524" s="485"/>
    </row>
    <row r="7525" spans="2:36">
      <c r="B7525" s="136" t="s">
        <v>438</v>
      </c>
      <c r="C7525" s="132" t="s">
        <v>1371</v>
      </c>
      <c r="D7525" s="132" t="s">
        <v>1381</v>
      </c>
      <c r="E7525" s="508">
        <v>1.444</v>
      </c>
      <c r="F7525" s="508">
        <v>1.444</v>
      </c>
      <c r="G7525" s="508">
        <v>1.444</v>
      </c>
      <c r="H7525" s="508">
        <v>1.444</v>
      </c>
      <c r="I7525" s="508">
        <v>1.444</v>
      </c>
      <c r="J7525" s="508">
        <v>1.444</v>
      </c>
      <c r="K7525" s="508">
        <v>1.444</v>
      </c>
      <c r="L7525" s="508">
        <v>1.444</v>
      </c>
      <c r="M7525" s="508">
        <v>1.444</v>
      </c>
      <c r="N7525" s="508">
        <v>1.444</v>
      </c>
      <c r="O7525" s="508">
        <v>1.444</v>
      </c>
      <c r="P7525" s="508">
        <v>1.446</v>
      </c>
      <c r="Q7525" s="508">
        <v>1.446</v>
      </c>
      <c r="R7525" s="508">
        <v>1.446</v>
      </c>
      <c r="S7525" s="508">
        <v>1.446</v>
      </c>
      <c r="T7525" s="508">
        <v>1.446</v>
      </c>
      <c r="U7525" s="508">
        <v>1.4450000000000001</v>
      </c>
      <c r="V7525" s="508">
        <v>1.4450000000000001</v>
      </c>
      <c r="W7525" s="508">
        <v>0.78800000000000003</v>
      </c>
      <c r="X7525" s="508">
        <v>0.78800000000000003</v>
      </c>
      <c r="Y7525" s="508">
        <v>0.78800000000000003</v>
      </c>
      <c r="Z7525" s="508">
        <v>0.78800000000000003</v>
      </c>
      <c r="AA7525" s="508">
        <v>9.0999999999999998E-2</v>
      </c>
      <c r="AB7525" s="508">
        <v>9.0999999999999998E-2</v>
      </c>
      <c r="AC7525" s="508">
        <v>9.0999999999999998E-2</v>
      </c>
      <c r="AD7525" s="508">
        <v>5.8999999999999997E-2</v>
      </c>
      <c r="AE7525" s="508">
        <v>5.8999999999999997E-2</v>
      </c>
      <c r="AF7525" s="508">
        <v>5.1999999999999998E-2</v>
      </c>
      <c r="AG7525" s="508">
        <v>5.0999999999999997E-2</v>
      </c>
      <c r="AH7525" s="508">
        <v>5.1999999999999998E-2</v>
      </c>
      <c r="AI7525" s="492">
        <v>5.1999999999999998E-2</v>
      </c>
      <c r="AJ7525" s="485"/>
    </row>
    <row r="7526" spans="2:36">
      <c r="B7526" s="136" t="s">
        <v>439</v>
      </c>
      <c r="C7526" s="132" t="s">
        <v>1371</v>
      </c>
      <c r="D7526" s="132" t="s">
        <v>1381</v>
      </c>
      <c r="E7526" s="508">
        <v>1.5429999999999999</v>
      </c>
      <c r="F7526" s="508">
        <v>1.5429999999999999</v>
      </c>
      <c r="G7526" s="508">
        <v>1.5429999999999999</v>
      </c>
      <c r="H7526" s="508">
        <v>1.5429999999999999</v>
      </c>
      <c r="I7526" s="508">
        <v>1.5429999999999999</v>
      </c>
      <c r="J7526" s="508">
        <v>1.5429999999999999</v>
      </c>
      <c r="K7526" s="508">
        <v>1.5429999999999999</v>
      </c>
      <c r="L7526" s="508">
        <v>1.5429999999999999</v>
      </c>
      <c r="M7526" s="508">
        <v>1.5429999999999999</v>
      </c>
      <c r="N7526" s="508">
        <v>1.5429999999999999</v>
      </c>
      <c r="O7526" s="508">
        <v>1.5429999999999999</v>
      </c>
      <c r="P7526" s="508">
        <v>1.5449999999999999</v>
      </c>
      <c r="Q7526" s="508">
        <v>1.5449999999999999</v>
      </c>
      <c r="R7526" s="508">
        <v>1.5449999999999999</v>
      </c>
      <c r="S7526" s="508">
        <v>1.5449999999999999</v>
      </c>
      <c r="T7526" s="508">
        <v>1.5449999999999999</v>
      </c>
      <c r="U7526" s="508">
        <v>1.544</v>
      </c>
      <c r="V7526" s="508">
        <v>1.544</v>
      </c>
      <c r="W7526" s="508">
        <v>0.84299999999999997</v>
      </c>
      <c r="X7526" s="508">
        <v>0.84299999999999997</v>
      </c>
      <c r="Y7526" s="508">
        <v>0.84299999999999997</v>
      </c>
      <c r="Z7526" s="508">
        <v>0.84299999999999997</v>
      </c>
      <c r="AA7526" s="508">
        <v>9.5000000000000001E-2</v>
      </c>
      <c r="AB7526" s="508">
        <v>9.5000000000000001E-2</v>
      </c>
      <c r="AC7526" s="508">
        <v>9.5000000000000001E-2</v>
      </c>
      <c r="AD7526" s="508">
        <v>0.06</v>
      </c>
      <c r="AE7526" s="508">
        <v>0.06</v>
      </c>
      <c r="AF7526" s="508">
        <v>5.2999999999999999E-2</v>
      </c>
      <c r="AG7526" s="508">
        <v>5.1999999999999998E-2</v>
      </c>
      <c r="AH7526" s="508">
        <v>5.1999999999999998E-2</v>
      </c>
      <c r="AI7526" s="492">
        <v>5.1999999999999998E-2</v>
      </c>
      <c r="AJ7526" s="485"/>
    </row>
    <row r="7527" spans="2:36">
      <c r="B7527" s="136" t="s">
        <v>440</v>
      </c>
      <c r="C7527" s="132" t="s">
        <v>1371</v>
      </c>
      <c r="D7527" s="132" t="s">
        <v>1381</v>
      </c>
      <c r="E7527" s="508">
        <v>1.5469999999999999</v>
      </c>
      <c r="F7527" s="508">
        <v>1.5469999999999999</v>
      </c>
      <c r="G7527" s="508">
        <v>1.5469999999999999</v>
      </c>
      <c r="H7527" s="508">
        <v>1.5469999999999999</v>
      </c>
      <c r="I7527" s="508">
        <v>1.5469999999999999</v>
      </c>
      <c r="J7527" s="508">
        <v>1.5469999999999999</v>
      </c>
      <c r="K7527" s="508">
        <v>1.5469999999999999</v>
      </c>
      <c r="L7527" s="508">
        <v>1.5469999999999999</v>
      </c>
      <c r="M7527" s="508">
        <v>1.5469999999999999</v>
      </c>
      <c r="N7527" s="508">
        <v>1.5469999999999999</v>
      </c>
      <c r="O7527" s="508">
        <v>1.5469999999999999</v>
      </c>
      <c r="P7527" s="508">
        <v>1.5489999999999999</v>
      </c>
      <c r="Q7527" s="508">
        <v>1.5489999999999999</v>
      </c>
      <c r="R7527" s="508">
        <v>1.5489999999999999</v>
      </c>
      <c r="S7527" s="508">
        <v>1.5489999999999999</v>
      </c>
      <c r="T7527" s="508">
        <v>1.5489999999999999</v>
      </c>
      <c r="U7527" s="508">
        <v>1.5489999999999999</v>
      </c>
      <c r="V7527" s="508">
        <v>1.5489999999999999</v>
      </c>
      <c r="W7527" s="508">
        <v>0.85799999999999998</v>
      </c>
      <c r="X7527" s="508">
        <v>0.85799999999999998</v>
      </c>
      <c r="Y7527" s="508">
        <v>0.85799999999999998</v>
      </c>
      <c r="Z7527" s="508">
        <v>0.85799999999999998</v>
      </c>
      <c r="AA7527" s="508">
        <v>0.109</v>
      </c>
      <c r="AB7527" s="508">
        <v>0.109</v>
      </c>
      <c r="AC7527" s="508">
        <v>0.109</v>
      </c>
      <c r="AD7527" s="508">
        <v>7.4999999999999997E-2</v>
      </c>
      <c r="AE7527" s="508">
        <v>7.4999999999999997E-2</v>
      </c>
      <c r="AF7527" s="508">
        <v>6.7000000000000004E-2</v>
      </c>
      <c r="AG7527" s="508">
        <v>6.7000000000000004E-2</v>
      </c>
      <c r="AH7527" s="508">
        <v>6.7000000000000004E-2</v>
      </c>
      <c r="AI7527" s="492">
        <v>6.7000000000000004E-2</v>
      </c>
      <c r="AJ7527" s="485"/>
    </row>
    <row r="7528" spans="2:36">
      <c r="B7528" s="136" t="s">
        <v>441</v>
      </c>
      <c r="C7528" s="132" t="s">
        <v>1371</v>
      </c>
      <c r="D7528" s="132" t="s">
        <v>1381</v>
      </c>
      <c r="E7528" s="508">
        <v>1.5780000000000001</v>
      </c>
      <c r="F7528" s="508">
        <v>1.5780000000000001</v>
      </c>
      <c r="G7528" s="508">
        <v>1.5780000000000001</v>
      </c>
      <c r="H7528" s="508">
        <v>1.5780000000000001</v>
      </c>
      <c r="I7528" s="508">
        <v>1.5780000000000001</v>
      </c>
      <c r="J7528" s="508">
        <v>1.5780000000000001</v>
      </c>
      <c r="K7528" s="508">
        <v>1.5780000000000001</v>
      </c>
      <c r="L7528" s="508">
        <v>1.5780000000000001</v>
      </c>
      <c r="M7528" s="508">
        <v>1.5780000000000001</v>
      </c>
      <c r="N7528" s="508">
        <v>1.5780000000000001</v>
      </c>
      <c r="O7528" s="508">
        <v>1.5780000000000001</v>
      </c>
      <c r="P7528" s="508">
        <v>1.58</v>
      </c>
      <c r="Q7528" s="508">
        <v>1.58</v>
      </c>
      <c r="R7528" s="508">
        <v>1.58</v>
      </c>
      <c r="S7528" s="508">
        <v>1.58</v>
      </c>
      <c r="T7528" s="508">
        <v>1.58</v>
      </c>
      <c r="U7528" s="508">
        <v>1.58</v>
      </c>
      <c r="V7528" s="508">
        <v>1.58</v>
      </c>
      <c r="W7528" s="508">
        <v>0.876</v>
      </c>
      <c r="X7528" s="508">
        <v>0.876</v>
      </c>
      <c r="Y7528" s="508">
        <v>0.876</v>
      </c>
      <c r="Z7528" s="508">
        <v>0.876</v>
      </c>
      <c r="AA7528" s="508">
        <v>0.11</v>
      </c>
      <c r="AB7528" s="508">
        <v>0.11</v>
      </c>
      <c r="AC7528" s="508">
        <v>0.11</v>
      </c>
      <c r="AD7528" s="508">
        <v>7.4999999999999997E-2</v>
      </c>
      <c r="AE7528" s="508">
        <v>7.4999999999999997E-2</v>
      </c>
      <c r="AF7528" s="508">
        <v>6.7000000000000004E-2</v>
      </c>
      <c r="AG7528" s="508">
        <v>6.7000000000000004E-2</v>
      </c>
      <c r="AH7528" s="508">
        <v>6.7000000000000004E-2</v>
      </c>
      <c r="AI7528" s="492">
        <v>6.7000000000000004E-2</v>
      </c>
      <c r="AJ7528" s="485"/>
    </row>
    <row r="7529" spans="2:36">
      <c r="B7529" s="136" t="s">
        <v>443</v>
      </c>
      <c r="C7529" s="132" t="s">
        <v>1371</v>
      </c>
      <c r="D7529" s="132" t="s">
        <v>1381</v>
      </c>
      <c r="E7529" s="508">
        <v>1.607</v>
      </c>
      <c r="F7529" s="508">
        <v>1.607</v>
      </c>
      <c r="G7529" s="508">
        <v>1.607</v>
      </c>
      <c r="H7529" s="508">
        <v>1.607</v>
      </c>
      <c r="I7529" s="508">
        <v>1.607</v>
      </c>
      <c r="J7529" s="508">
        <v>1.607</v>
      </c>
      <c r="K7529" s="508">
        <v>1.607</v>
      </c>
      <c r="L7529" s="508">
        <v>1.607</v>
      </c>
      <c r="M7529" s="508">
        <v>1.607</v>
      </c>
      <c r="N7529" s="508">
        <v>1.607</v>
      </c>
      <c r="O7529" s="508">
        <v>1.607</v>
      </c>
      <c r="P7529" s="508">
        <v>1.609</v>
      </c>
      <c r="Q7529" s="508">
        <v>1.609</v>
      </c>
      <c r="R7529" s="508">
        <v>1.609</v>
      </c>
      <c r="S7529" s="508">
        <v>1.609</v>
      </c>
      <c r="T7529" s="508">
        <v>1.609</v>
      </c>
      <c r="U7529" s="508">
        <v>1.6080000000000001</v>
      </c>
      <c r="V7529" s="508">
        <v>1.6080000000000001</v>
      </c>
      <c r="W7529" s="508">
        <v>0.88700000000000001</v>
      </c>
      <c r="X7529" s="508">
        <v>0.88700000000000001</v>
      </c>
      <c r="Y7529" s="508">
        <v>0.88700000000000001</v>
      </c>
      <c r="Z7529" s="508">
        <v>0.88700000000000001</v>
      </c>
      <c r="AA7529" s="508">
        <v>0.107</v>
      </c>
      <c r="AB7529" s="508">
        <v>0.107</v>
      </c>
      <c r="AC7529" s="508">
        <v>0.107</v>
      </c>
      <c r="AD7529" s="508">
        <v>7.0999999999999994E-2</v>
      </c>
      <c r="AE7529" s="508">
        <v>7.0999999999999994E-2</v>
      </c>
      <c r="AF7529" s="508">
        <v>6.3E-2</v>
      </c>
      <c r="AG7529" s="508">
        <v>6.2E-2</v>
      </c>
      <c r="AH7529" s="508">
        <v>6.2E-2</v>
      </c>
      <c r="AI7529" s="492">
        <v>6.2E-2</v>
      </c>
      <c r="AJ7529" s="485"/>
    </row>
    <row r="7530" spans="2:36">
      <c r="B7530" s="136" t="s">
        <v>445</v>
      </c>
      <c r="C7530" s="132" t="s">
        <v>1371</v>
      </c>
      <c r="D7530" s="132" t="s">
        <v>1381</v>
      </c>
      <c r="E7530" s="508">
        <v>1.7569999999999999</v>
      </c>
      <c r="F7530" s="508">
        <v>1.7569999999999999</v>
      </c>
      <c r="G7530" s="508">
        <v>1.7569999999999999</v>
      </c>
      <c r="H7530" s="508">
        <v>1.7569999999999999</v>
      </c>
      <c r="I7530" s="508">
        <v>1.7569999999999999</v>
      </c>
      <c r="J7530" s="508">
        <v>1.7569999999999999</v>
      </c>
      <c r="K7530" s="508">
        <v>1.7569999999999999</v>
      </c>
      <c r="L7530" s="508">
        <v>1.7569999999999999</v>
      </c>
      <c r="M7530" s="508">
        <v>1.7569999999999999</v>
      </c>
      <c r="N7530" s="508">
        <v>1.7569999999999999</v>
      </c>
      <c r="O7530" s="508">
        <v>1.7569999999999999</v>
      </c>
      <c r="P7530" s="508">
        <v>1.76</v>
      </c>
      <c r="Q7530" s="508">
        <v>1.76</v>
      </c>
      <c r="R7530" s="508">
        <v>1.76</v>
      </c>
      <c r="S7530" s="508">
        <v>1.76</v>
      </c>
      <c r="T7530" s="508">
        <v>1.76</v>
      </c>
      <c r="U7530" s="508">
        <v>1.7589999999999999</v>
      </c>
      <c r="V7530" s="508">
        <v>1.7589999999999999</v>
      </c>
      <c r="W7530" s="508">
        <v>0.97199999999999998</v>
      </c>
      <c r="X7530" s="508">
        <v>0.97199999999999998</v>
      </c>
      <c r="Y7530" s="508">
        <v>0.97199999999999998</v>
      </c>
      <c r="Z7530" s="508">
        <v>0.97199999999999998</v>
      </c>
      <c r="AA7530" s="508">
        <v>0.11600000000000001</v>
      </c>
      <c r="AB7530" s="508">
        <v>0.11600000000000001</v>
      </c>
      <c r="AC7530" s="508">
        <v>0.11600000000000001</v>
      </c>
      <c r="AD7530" s="508">
        <v>7.5999999999999998E-2</v>
      </c>
      <c r="AE7530" s="508">
        <v>7.5999999999999998E-2</v>
      </c>
      <c r="AF7530" s="508">
        <v>6.8000000000000005E-2</v>
      </c>
      <c r="AG7530" s="508">
        <v>6.8000000000000005E-2</v>
      </c>
      <c r="AH7530" s="508">
        <v>6.8000000000000005E-2</v>
      </c>
      <c r="AI7530" s="492">
        <v>6.8000000000000005E-2</v>
      </c>
      <c r="AJ7530" s="485"/>
    </row>
    <row r="7531" spans="2:36">
      <c r="B7531" s="136" t="s">
        <v>446</v>
      </c>
      <c r="C7531" s="132" t="s">
        <v>1371</v>
      </c>
      <c r="D7531" s="132" t="s">
        <v>1381</v>
      </c>
      <c r="E7531" s="508">
        <v>1.619</v>
      </c>
      <c r="F7531" s="508">
        <v>1.619</v>
      </c>
      <c r="G7531" s="508">
        <v>1.619</v>
      </c>
      <c r="H7531" s="508">
        <v>1.619</v>
      </c>
      <c r="I7531" s="508">
        <v>1.619</v>
      </c>
      <c r="J7531" s="508">
        <v>1.619</v>
      </c>
      <c r="K7531" s="508">
        <v>1.619</v>
      </c>
      <c r="L7531" s="508">
        <v>1.619</v>
      </c>
      <c r="M7531" s="508">
        <v>1.619</v>
      </c>
      <c r="N7531" s="508">
        <v>1.619</v>
      </c>
      <c r="O7531" s="508">
        <v>1.619</v>
      </c>
      <c r="P7531" s="508">
        <v>1.621</v>
      </c>
      <c r="Q7531" s="508">
        <v>1.621</v>
      </c>
      <c r="R7531" s="508">
        <v>1.621</v>
      </c>
      <c r="S7531" s="508">
        <v>1.621</v>
      </c>
      <c r="T7531" s="508">
        <v>1.621</v>
      </c>
      <c r="U7531" s="508">
        <v>1.621</v>
      </c>
      <c r="V7531" s="508">
        <v>1.621</v>
      </c>
      <c r="W7531" s="508">
        <v>0.875</v>
      </c>
      <c r="X7531" s="508">
        <v>0.875</v>
      </c>
      <c r="Y7531" s="508">
        <v>0.875</v>
      </c>
      <c r="Z7531" s="508">
        <v>0.875</v>
      </c>
      <c r="AA7531" s="508">
        <v>9.0999999999999998E-2</v>
      </c>
      <c r="AB7531" s="508">
        <v>9.0999999999999998E-2</v>
      </c>
      <c r="AC7531" s="508">
        <v>9.0999999999999998E-2</v>
      </c>
      <c r="AD7531" s="508">
        <v>5.2999999999999999E-2</v>
      </c>
      <c r="AE7531" s="508">
        <v>5.2999999999999999E-2</v>
      </c>
      <c r="AF7531" s="508">
        <v>4.4999999999999998E-2</v>
      </c>
      <c r="AG7531" s="508">
        <v>4.4999999999999998E-2</v>
      </c>
      <c r="AH7531" s="508">
        <v>4.4999999999999998E-2</v>
      </c>
      <c r="AI7531" s="492">
        <v>4.4999999999999998E-2</v>
      </c>
      <c r="AJ7531" s="485"/>
    </row>
    <row r="7532" spans="2:36">
      <c r="B7532" s="136" t="s">
        <v>448</v>
      </c>
      <c r="C7532" s="132" t="s">
        <v>1371</v>
      </c>
      <c r="D7532" s="132" t="s">
        <v>1381</v>
      </c>
      <c r="E7532" s="508">
        <v>1.4750000000000001</v>
      </c>
      <c r="F7532" s="508">
        <v>1.4750000000000001</v>
      </c>
      <c r="G7532" s="508">
        <v>1.4750000000000001</v>
      </c>
      <c r="H7532" s="508">
        <v>1.4750000000000001</v>
      </c>
      <c r="I7532" s="508">
        <v>1.4750000000000001</v>
      </c>
      <c r="J7532" s="508">
        <v>1.4750000000000001</v>
      </c>
      <c r="K7532" s="508">
        <v>1.4750000000000001</v>
      </c>
      <c r="L7532" s="508">
        <v>1.4750000000000001</v>
      </c>
      <c r="M7532" s="508">
        <v>1.4750000000000001</v>
      </c>
      <c r="N7532" s="508">
        <v>1.4750000000000001</v>
      </c>
      <c r="O7532" s="508">
        <v>1.4750000000000001</v>
      </c>
      <c r="P7532" s="508">
        <v>1.4770000000000001</v>
      </c>
      <c r="Q7532" s="508">
        <v>1.4770000000000001</v>
      </c>
      <c r="R7532" s="508">
        <v>1.4770000000000001</v>
      </c>
      <c r="S7532" s="508">
        <v>1.4770000000000001</v>
      </c>
      <c r="T7532" s="508">
        <v>1.4770000000000001</v>
      </c>
      <c r="U7532" s="508">
        <v>1.4770000000000001</v>
      </c>
      <c r="V7532" s="508">
        <v>1.4770000000000001</v>
      </c>
      <c r="W7532" s="508">
        <v>0.80500000000000005</v>
      </c>
      <c r="X7532" s="508">
        <v>0.80500000000000005</v>
      </c>
      <c r="Y7532" s="508">
        <v>0.80500000000000005</v>
      </c>
      <c r="Z7532" s="508">
        <v>0.80500000000000005</v>
      </c>
      <c r="AA7532" s="508">
        <v>9.1999999999999998E-2</v>
      </c>
      <c r="AB7532" s="508">
        <v>9.1999999999999998E-2</v>
      </c>
      <c r="AC7532" s="508">
        <v>9.1999999999999998E-2</v>
      </c>
      <c r="AD7532" s="508">
        <v>5.8999999999999997E-2</v>
      </c>
      <c r="AE7532" s="508">
        <v>5.8999999999999997E-2</v>
      </c>
      <c r="AF7532" s="508">
        <v>5.1999999999999998E-2</v>
      </c>
      <c r="AG7532" s="508">
        <v>5.1999999999999998E-2</v>
      </c>
      <c r="AH7532" s="508">
        <v>5.1999999999999998E-2</v>
      </c>
      <c r="AI7532" s="492">
        <v>5.1999999999999998E-2</v>
      </c>
      <c r="AJ7532" s="485"/>
    </row>
    <row r="7533" spans="2:36">
      <c r="B7533" s="136" t="s">
        <v>449</v>
      </c>
      <c r="C7533" s="132" t="s">
        <v>1371</v>
      </c>
      <c r="D7533" s="132" t="s">
        <v>1381</v>
      </c>
      <c r="E7533" s="508">
        <v>1.575</v>
      </c>
      <c r="F7533" s="508">
        <v>1.575</v>
      </c>
      <c r="G7533" s="508">
        <v>1.575</v>
      </c>
      <c r="H7533" s="508">
        <v>1.575</v>
      </c>
      <c r="I7533" s="508">
        <v>1.575</v>
      </c>
      <c r="J7533" s="508">
        <v>1.575</v>
      </c>
      <c r="K7533" s="508">
        <v>1.575</v>
      </c>
      <c r="L7533" s="508">
        <v>1.575</v>
      </c>
      <c r="M7533" s="508">
        <v>1.575</v>
      </c>
      <c r="N7533" s="508">
        <v>1.575</v>
      </c>
      <c r="O7533" s="508">
        <v>1.575</v>
      </c>
      <c r="P7533" s="508">
        <v>1.577</v>
      </c>
      <c r="Q7533" s="508">
        <v>1.577</v>
      </c>
      <c r="R7533" s="508">
        <v>1.577</v>
      </c>
      <c r="S7533" s="508">
        <v>1.577</v>
      </c>
      <c r="T7533" s="508">
        <v>1.577</v>
      </c>
      <c r="U7533" s="508">
        <v>1.577</v>
      </c>
      <c r="V7533" s="508">
        <v>1.577</v>
      </c>
      <c r="W7533" s="508">
        <v>0.84799999999999998</v>
      </c>
      <c r="X7533" s="508">
        <v>0.84799999999999998</v>
      </c>
      <c r="Y7533" s="508">
        <v>0.84799999999999998</v>
      </c>
      <c r="Z7533" s="508">
        <v>0.84799999999999998</v>
      </c>
      <c r="AA7533" s="508">
        <v>8.4000000000000005E-2</v>
      </c>
      <c r="AB7533" s="508">
        <v>8.4000000000000005E-2</v>
      </c>
      <c r="AC7533" s="508">
        <v>8.4000000000000005E-2</v>
      </c>
      <c r="AD7533" s="508">
        <v>4.8000000000000001E-2</v>
      </c>
      <c r="AE7533" s="508">
        <v>4.8000000000000001E-2</v>
      </c>
      <c r="AF7533" s="508">
        <v>0.04</v>
      </c>
      <c r="AG7533" s="508">
        <v>0.04</v>
      </c>
      <c r="AH7533" s="508">
        <v>0.04</v>
      </c>
      <c r="AI7533" s="492">
        <v>0.04</v>
      </c>
      <c r="AJ7533" s="485"/>
    </row>
    <row r="7534" spans="2:36">
      <c r="B7534" s="136" t="s">
        <v>450</v>
      </c>
      <c r="C7534" s="132" t="s">
        <v>1371</v>
      </c>
      <c r="D7534" s="132" t="s">
        <v>1381</v>
      </c>
      <c r="E7534" s="508">
        <v>1.5029999999999999</v>
      </c>
      <c r="F7534" s="508">
        <v>1.5029999999999999</v>
      </c>
      <c r="G7534" s="508">
        <v>1.5029999999999999</v>
      </c>
      <c r="H7534" s="508">
        <v>1.5029999999999999</v>
      </c>
      <c r="I7534" s="508">
        <v>1.5029999999999999</v>
      </c>
      <c r="J7534" s="508">
        <v>1.5029999999999999</v>
      </c>
      <c r="K7534" s="508">
        <v>1.5029999999999999</v>
      </c>
      <c r="L7534" s="508">
        <v>1.5029999999999999</v>
      </c>
      <c r="M7534" s="508">
        <v>1.5029999999999999</v>
      </c>
      <c r="N7534" s="508">
        <v>1.5029999999999999</v>
      </c>
      <c r="O7534" s="508">
        <v>1.5029999999999999</v>
      </c>
      <c r="P7534" s="508">
        <v>1.5049999999999999</v>
      </c>
      <c r="Q7534" s="508">
        <v>1.5049999999999999</v>
      </c>
      <c r="R7534" s="508">
        <v>1.5049999999999999</v>
      </c>
      <c r="S7534" s="508">
        <v>1.5049999999999999</v>
      </c>
      <c r="T7534" s="508">
        <v>1.5049999999999999</v>
      </c>
      <c r="U7534" s="508">
        <v>1.5049999999999999</v>
      </c>
      <c r="V7534" s="508">
        <v>1.5049999999999999</v>
      </c>
      <c r="W7534" s="508">
        <v>0.83399999999999996</v>
      </c>
      <c r="X7534" s="508">
        <v>0.83399999999999996</v>
      </c>
      <c r="Y7534" s="508">
        <v>0.83399999999999996</v>
      </c>
      <c r="Z7534" s="508">
        <v>0.83399999999999996</v>
      </c>
      <c r="AA7534" s="508">
        <v>0.108</v>
      </c>
      <c r="AB7534" s="508">
        <v>0.108</v>
      </c>
      <c r="AC7534" s="508">
        <v>0.108</v>
      </c>
      <c r="AD7534" s="508">
        <v>7.3999999999999996E-2</v>
      </c>
      <c r="AE7534" s="508">
        <v>7.3999999999999996E-2</v>
      </c>
      <c r="AF7534" s="508">
        <v>6.7000000000000004E-2</v>
      </c>
      <c r="AG7534" s="508">
        <v>6.7000000000000004E-2</v>
      </c>
      <c r="AH7534" s="508">
        <v>6.7000000000000004E-2</v>
      </c>
      <c r="AI7534" s="492">
        <v>6.7000000000000004E-2</v>
      </c>
      <c r="AJ7534" s="485"/>
    </row>
    <row r="7535" spans="2:36">
      <c r="B7535" s="136" t="s">
        <v>451</v>
      </c>
      <c r="C7535" s="132" t="s">
        <v>1371</v>
      </c>
      <c r="D7535" s="132" t="s">
        <v>1381</v>
      </c>
      <c r="E7535" s="508">
        <v>1.6950000000000001</v>
      </c>
      <c r="F7535" s="508">
        <v>1.6950000000000001</v>
      </c>
      <c r="G7535" s="508">
        <v>1.6950000000000001</v>
      </c>
      <c r="H7535" s="508">
        <v>1.6950000000000001</v>
      </c>
      <c r="I7535" s="508">
        <v>1.6950000000000001</v>
      </c>
      <c r="J7535" s="508">
        <v>1.6950000000000001</v>
      </c>
      <c r="K7535" s="508">
        <v>1.6950000000000001</v>
      </c>
      <c r="L7535" s="508">
        <v>1.6950000000000001</v>
      </c>
      <c r="M7535" s="508">
        <v>1.6950000000000001</v>
      </c>
      <c r="N7535" s="508">
        <v>1.6950000000000001</v>
      </c>
      <c r="O7535" s="508">
        <v>1.6950000000000001</v>
      </c>
      <c r="P7535" s="508">
        <v>1.698</v>
      </c>
      <c r="Q7535" s="508">
        <v>1.698</v>
      </c>
      <c r="R7535" s="508">
        <v>1.698</v>
      </c>
      <c r="S7535" s="508">
        <v>1.698</v>
      </c>
      <c r="T7535" s="508">
        <v>1.698</v>
      </c>
      <c r="U7535" s="508">
        <v>1.6970000000000001</v>
      </c>
      <c r="V7535" s="508">
        <v>1.6970000000000001</v>
      </c>
      <c r="W7535" s="508">
        <v>0.94199999999999995</v>
      </c>
      <c r="X7535" s="508">
        <v>0.94199999999999995</v>
      </c>
      <c r="Y7535" s="508">
        <v>0.94199999999999995</v>
      </c>
      <c r="Z7535" s="508">
        <v>0.94199999999999995</v>
      </c>
      <c r="AA7535" s="508">
        <v>0.11799999999999999</v>
      </c>
      <c r="AB7535" s="508">
        <v>0.11799999999999999</v>
      </c>
      <c r="AC7535" s="508">
        <v>0.11799999999999999</v>
      </c>
      <c r="AD7535" s="508">
        <v>0.08</v>
      </c>
      <c r="AE7535" s="508">
        <v>0.08</v>
      </c>
      <c r="AF7535" s="508">
        <v>7.1999999999999995E-2</v>
      </c>
      <c r="AG7535" s="508">
        <v>7.0999999999999994E-2</v>
      </c>
      <c r="AH7535" s="508">
        <v>7.0999999999999994E-2</v>
      </c>
      <c r="AI7535" s="492">
        <v>7.0999999999999994E-2</v>
      </c>
      <c r="AJ7535" s="485"/>
    </row>
    <row r="7536" spans="2:36">
      <c r="B7536" s="136" t="s">
        <v>452</v>
      </c>
      <c r="C7536" s="132" t="s">
        <v>1371</v>
      </c>
      <c r="D7536" s="132" t="s">
        <v>1381</v>
      </c>
      <c r="E7536" s="508">
        <v>1.5760000000000001</v>
      </c>
      <c r="F7536" s="508">
        <v>1.5760000000000001</v>
      </c>
      <c r="G7536" s="508">
        <v>1.5760000000000001</v>
      </c>
      <c r="H7536" s="508">
        <v>1.5760000000000001</v>
      </c>
      <c r="I7536" s="508">
        <v>1.5760000000000001</v>
      </c>
      <c r="J7536" s="508">
        <v>1.5760000000000001</v>
      </c>
      <c r="K7536" s="508">
        <v>1.5760000000000001</v>
      </c>
      <c r="L7536" s="508">
        <v>1.5760000000000001</v>
      </c>
      <c r="M7536" s="508">
        <v>1.5760000000000001</v>
      </c>
      <c r="N7536" s="508">
        <v>1.5760000000000001</v>
      </c>
      <c r="O7536" s="508">
        <v>1.5760000000000001</v>
      </c>
      <c r="P7536" s="508">
        <v>1.5780000000000001</v>
      </c>
      <c r="Q7536" s="508">
        <v>1.5780000000000001</v>
      </c>
      <c r="R7536" s="508">
        <v>1.5780000000000001</v>
      </c>
      <c r="S7536" s="508">
        <v>1.5780000000000001</v>
      </c>
      <c r="T7536" s="508">
        <v>1.5780000000000001</v>
      </c>
      <c r="U7536" s="508">
        <v>1.577</v>
      </c>
      <c r="V7536" s="508">
        <v>1.577</v>
      </c>
      <c r="W7536" s="508">
        <v>0.872</v>
      </c>
      <c r="X7536" s="508">
        <v>0.872</v>
      </c>
      <c r="Y7536" s="508">
        <v>0.872</v>
      </c>
      <c r="Z7536" s="508">
        <v>0.872</v>
      </c>
      <c r="AA7536" s="508">
        <v>0.109</v>
      </c>
      <c r="AB7536" s="508">
        <v>0.109</v>
      </c>
      <c r="AC7536" s="508">
        <v>0.109</v>
      </c>
      <c r="AD7536" s="508">
        <v>7.3999999999999996E-2</v>
      </c>
      <c r="AE7536" s="508">
        <v>7.3999999999999996E-2</v>
      </c>
      <c r="AF7536" s="508">
        <v>6.6000000000000003E-2</v>
      </c>
      <c r="AG7536" s="508">
        <v>6.6000000000000003E-2</v>
      </c>
      <c r="AH7536" s="508">
        <v>6.6000000000000003E-2</v>
      </c>
      <c r="AI7536" s="492">
        <v>6.6000000000000003E-2</v>
      </c>
      <c r="AJ7536" s="485"/>
    </row>
    <row r="7537" spans="2:36">
      <c r="B7537" s="136" t="s">
        <v>453</v>
      </c>
      <c r="C7537" s="132" t="s">
        <v>1371</v>
      </c>
      <c r="D7537" s="132" t="s">
        <v>1381</v>
      </c>
      <c r="E7537" s="508">
        <v>1.4810000000000001</v>
      </c>
      <c r="F7537" s="508">
        <v>1.4810000000000001</v>
      </c>
      <c r="G7537" s="508">
        <v>1.4810000000000001</v>
      </c>
      <c r="H7537" s="508">
        <v>1.4810000000000001</v>
      </c>
      <c r="I7537" s="508">
        <v>1.4810000000000001</v>
      </c>
      <c r="J7537" s="508">
        <v>1.4810000000000001</v>
      </c>
      <c r="K7537" s="508">
        <v>1.4810000000000001</v>
      </c>
      <c r="L7537" s="508">
        <v>1.4810000000000001</v>
      </c>
      <c r="M7537" s="508">
        <v>1.4810000000000001</v>
      </c>
      <c r="N7537" s="508">
        <v>1.4810000000000001</v>
      </c>
      <c r="O7537" s="508">
        <v>1.4810000000000001</v>
      </c>
      <c r="P7537" s="508">
        <v>1.4830000000000001</v>
      </c>
      <c r="Q7537" s="508">
        <v>1.4830000000000001</v>
      </c>
      <c r="R7537" s="508">
        <v>1.4830000000000001</v>
      </c>
      <c r="S7537" s="508">
        <v>1.4830000000000001</v>
      </c>
      <c r="T7537" s="508">
        <v>1.4830000000000001</v>
      </c>
      <c r="U7537" s="508">
        <v>1.482</v>
      </c>
      <c r="V7537" s="508">
        <v>1.482</v>
      </c>
      <c r="W7537" s="508">
        <v>0.82</v>
      </c>
      <c r="X7537" s="508">
        <v>0.82</v>
      </c>
      <c r="Y7537" s="508">
        <v>0.82</v>
      </c>
      <c r="Z7537" s="508">
        <v>0.82</v>
      </c>
      <c r="AA7537" s="508">
        <v>0.105</v>
      </c>
      <c r="AB7537" s="508">
        <v>0.105</v>
      </c>
      <c r="AC7537" s="508">
        <v>0.105</v>
      </c>
      <c r="AD7537" s="508">
        <v>7.1999999999999995E-2</v>
      </c>
      <c r="AE7537" s="508">
        <v>7.1999999999999995E-2</v>
      </c>
      <c r="AF7537" s="508">
        <v>6.5000000000000002E-2</v>
      </c>
      <c r="AG7537" s="508">
        <v>6.5000000000000002E-2</v>
      </c>
      <c r="AH7537" s="508">
        <v>6.5000000000000002E-2</v>
      </c>
      <c r="AI7537" s="492">
        <v>6.5000000000000002E-2</v>
      </c>
      <c r="AJ7537" s="485"/>
    </row>
    <row r="7538" spans="2:36">
      <c r="B7538" s="136" t="s">
        <v>454</v>
      </c>
      <c r="C7538" s="132" t="s">
        <v>1371</v>
      </c>
      <c r="D7538" s="132" t="s">
        <v>1381</v>
      </c>
      <c r="E7538" s="508">
        <v>1.4910000000000001</v>
      </c>
      <c r="F7538" s="508">
        <v>1.4910000000000001</v>
      </c>
      <c r="G7538" s="508">
        <v>1.4910000000000001</v>
      </c>
      <c r="H7538" s="508">
        <v>1.4910000000000001</v>
      </c>
      <c r="I7538" s="508">
        <v>1.4910000000000001</v>
      </c>
      <c r="J7538" s="508">
        <v>1.4910000000000001</v>
      </c>
      <c r="K7538" s="508">
        <v>1.4910000000000001</v>
      </c>
      <c r="L7538" s="508">
        <v>1.4910000000000001</v>
      </c>
      <c r="M7538" s="508">
        <v>1.4910000000000001</v>
      </c>
      <c r="N7538" s="508">
        <v>1.4910000000000001</v>
      </c>
      <c r="O7538" s="508">
        <v>1.4910000000000001</v>
      </c>
      <c r="P7538" s="508">
        <v>1.4930000000000001</v>
      </c>
      <c r="Q7538" s="508">
        <v>1.4930000000000001</v>
      </c>
      <c r="R7538" s="508">
        <v>1.4930000000000001</v>
      </c>
      <c r="S7538" s="508">
        <v>1.4930000000000001</v>
      </c>
      <c r="T7538" s="508">
        <v>1.4930000000000001</v>
      </c>
      <c r="U7538" s="508">
        <v>1.492</v>
      </c>
      <c r="V7538" s="508">
        <v>1.492</v>
      </c>
      <c r="W7538" s="508">
        <v>0.82099999999999995</v>
      </c>
      <c r="X7538" s="508">
        <v>0.82099999999999995</v>
      </c>
      <c r="Y7538" s="508">
        <v>0.82099999999999995</v>
      </c>
      <c r="Z7538" s="508">
        <v>0.82099999999999995</v>
      </c>
      <c r="AA7538" s="508">
        <v>0.10100000000000001</v>
      </c>
      <c r="AB7538" s="508">
        <v>0.10100000000000001</v>
      </c>
      <c r="AC7538" s="508">
        <v>0.10100000000000001</v>
      </c>
      <c r="AD7538" s="508">
        <v>6.7000000000000004E-2</v>
      </c>
      <c r="AE7538" s="508">
        <v>6.7000000000000004E-2</v>
      </c>
      <c r="AF7538" s="508">
        <v>0.06</v>
      </c>
      <c r="AG7538" s="508">
        <v>0.06</v>
      </c>
      <c r="AH7538" s="508">
        <v>0.06</v>
      </c>
      <c r="AI7538" s="492">
        <v>0.06</v>
      </c>
      <c r="AJ7538" s="485"/>
    </row>
    <row r="7539" spans="2:36">
      <c r="B7539" s="136" t="s">
        <v>455</v>
      </c>
      <c r="C7539" s="132" t="s">
        <v>1371</v>
      </c>
      <c r="D7539" s="132" t="s">
        <v>1381</v>
      </c>
      <c r="E7539" s="508">
        <v>1.4430000000000001</v>
      </c>
      <c r="F7539" s="508">
        <v>1.4430000000000001</v>
      </c>
      <c r="G7539" s="508">
        <v>1.4430000000000001</v>
      </c>
      <c r="H7539" s="508">
        <v>1.4430000000000001</v>
      </c>
      <c r="I7539" s="508">
        <v>1.4430000000000001</v>
      </c>
      <c r="J7539" s="508">
        <v>1.4430000000000001</v>
      </c>
      <c r="K7539" s="508">
        <v>1.4430000000000001</v>
      </c>
      <c r="L7539" s="508">
        <v>1.4430000000000001</v>
      </c>
      <c r="M7539" s="508">
        <v>1.4430000000000001</v>
      </c>
      <c r="N7539" s="508">
        <v>1.4430000000000001</v>
      </c>
      <c r="O7539" s="508">
        <v>1.4430000000000001</v>
      </c>
      <c r="P7539" s="508">
        <v>1.4450000000000001</v>
      </c>
      <c r="Q7539" s="508">
        <v>1.4450000000000001</v>
      </c>
      <c r="R7539" s="508">
        <v>1.4450000000000001</v>
      </c>
      <c r="S7539" s="508">
        <v>1.4450000000000001</v>
      </c>
      <c r="T7539" s="508">
        <v>1.4450000000000001</v>
      </c>
      <c r="U7539" s="508">
        <v>1.444</v>
      </c>
      <c r="V7539" s="508">
        <v>1.444</v>
      </c>
      <c r="W7539" s="508">
        <v>0.79100000000000004</v>
      </c>
      <c r="X7539" s="508">
        <v>0.79100000000000004</v>
      </c>
      <c r="Y7539" s="508">
        <v>0.79100000000000004</v>
      </c>
      <c r="Z7539" s="508">
        <v>0.79100000000000004</v>
      </c>
      <c r="AA7539" s="508">
        <v>9.6000000000000002E-2</v>
      </c>
      <c r="AB7539" s="508">
        <v>9.6000000000000002E-2</v>
      </c>
      <c r="AC7539" s="508">
        <v>9.6000000000000002E-2</v>
      </c>
      <c r="AD7539" s="508">
        <v>6.3E-2</v>
      </c>
      <c r="AE7539" s="508">
        <v>6.3E-2</v>
      </c>
      <c r="AF7539" s="508">
        <v>5.6000000000000001E-2</v>
      </c>
      <c r="AG7539" s="508">
        <v>5.6000000000000001E-2</v>
      </c>
      <c r="AH7539" s="508">
        <v>5.6000000000000001E-2</v>
      </c>
      <c r="AI7539" s="492">
        <v>5.6000000000000001E-2</v>
      </c>
      <c r="AJ7539" s="485"/>
    </row>
    <row r="7540" spans="2:36">
      <c r="B7540" s="136" t="s">
        <v>456</v>
      </c>
      <c r="C7540" s="132" t="s">
        <v>1371</v>
      </c>
      <c r="D7540" s="132" t="s">
        <v>1381</v>
      </c>
      <c r="E7540" s="508">
        <v>1.4890000000000001</v>
      </c>
      <c r="F7540" s="508">
        <v>1.4890000000000001</v>
      </c>
      <c r="G7540" s="508">
        <v>1.4890000000000001</v>
      </c>
      <c r="H7540" s="508">
        <v>1.4890000000000001</v>
      </c>
      <c r="I7540" s="508">
        <v>1.4890000000000001</v>
      </c>
      <c r="J7540" s="508">
        <v>1.4890000000000001</v>
      </c>
      <c r="K7540" s="508">
        <v>1.4890000000000001</v>
      </c>
      <c r="L7540" s="508">
        <v>1.4890000000000001</v>
      </c>
      <c r="M7540" s="508">
        <v>1.4890000000000001</v>
      </c>
      <c r="N7540" s="508">
        <v>1.4890000000000001</v>
      </c>
      <c r="O7540" s="508">
        <v>1.4890000000000001</v>
      </c>
      <c r="P7540" s="508">
        <v>1.4910000000000001</v>
      </c>
      <c r="Q7540" s="508">
        <v>1.4910000000000001</v>
      </c>
      <c r="R7540" s="508">
        <v>1.4910000000000001</v>
      </c>
      <c r="S7540" s="508">
        <v>1.4910000000000001</v>
      </c>
      <c r="T7540" s="508">
        <v>1.4910000000000001</v>
      </c>
      <c r="U7540" s="508">
        <v>1.49</v>
      </c>
      <c r="V7540" s="508">
        <v>1.49</v>
      </c>
      <c r="W7540" s="508">
        <v>0.80700000000000005</v>
      </c>
      <c r="X7540" s="508">
        <v>0.80700000000000005</v>
      </c>
      <c r="Y7540" s="508">
        <v>0.80700000000000005</v>
      </c>
      <c r="Z7540" s="508">
        <v>0.80700000000000005</v>
      </c>
      <c r="AA7540" s="508">
        <v>8.7999999999999995E-2</v>
      </c>
      <c r="AB7540" s="508">
        <v>8.7999999999999995E-2</v>
      </c>
      <c r="AC7540" s="508">
        <v>8.7999999999999995E-2</v>
      </c>
      <c r="AD7540" s="508">
        <v>5.3999999999999999E-2</v>
      </c>
      <c r="AE7540" s="508">
        <v>5.3999999999999999E-2</v>
      </c>
      <c r="AF7540" s="508">
        <v>4.5999999999999999E-2</v>
      </c>
      <c r="AG7540" s="508">
        <v>4.5999999999999999E-2</v>
      </c>
      <c r="AH7540" s="508">
        <v>4.5999999999999999E-2</v>
      </c>
      <c r="AI7540" s="492">
        <v>4.5999999999999999E-2</v>
      </c>
      <c r="AJ7540" s="485"/>
    </row>
    <row r="7541" spans="2:36">
      <c r="B7541" s="136" t="s">
        <v>457</v>
      </c>
      <c r="C7541" s="132" t="s">
        <v>1371</v>
      </c>
      <c r="D7541" s="132" t="s">
        <v>1381</v>
      </c>
      <c r="E7541" s="508">
        <v>1.4350000000000001</v>
      </c>
      <c r="F7541" s="508">
        <v>1.4350000000000001</v>
      </c>
      <c r="G7541" s="508">
        <v>1.4350000000000001</v>
      </c>
      <c r="H7541" s="508">
        <v>1.4350000000000001</v>
      </c>
      <c r="I7541" s="508">
        <v>1.4359999999999999</v>
      </c>
      <c r="J7541" s="508">
        <v>1.4350000000000001</v>
      </c>
      <c r="K7541" s="508">
        <v>1.4350000000000001</v>
      </c>
      <c r="L7541" s="508">
        <v>1.4350000000000001</v>
      </c>
      <c r="M7541" s="508">
        <v>1.4350000000000001</v>
      </c>
      <c r="N7541" s="508">
        <v>1.4350000000000001</v>
      </c>
      <c r="O7541" s="508">
        <v>1.4350000000000001</v>
      </c>
      <c r="P7541" s="508">
        <v>1.4370000000000001</v>
      </c>
      <c r="Q7541" s="508">
        <v>1.4370000000000001</v>
      </c>
      <c r="R7541" s="508">
        <v>1.4370000000000001</v>
      </c>
      <c r="S7541" s="508">
        <v>1.4370000000000001</v>
      </c>
      <c r="T7541" s="508">
        <v>1.4370000000000001</v>
      </c>
      <c r="U7541" s="508">
        <v>1.4370000000000001</v>
      </c>
      <c r="V7541" s="508">
        <v>1.4370000000000001</v>
      </c>
      <c r="W7541" s="508">
        <v>0.79600000000000004</v>
      </c>
      <c r="X7541" s="508">
        <v>0.79600000000000004</v>
      </c>
      <c r="Y7541" s="508">
        <v>0.79600000000000004</v>
      </c>
      <c r="Z7541" s="508">
        <v>0.79600000000000004</v>
      </c>
      <c r="AA7541" s="508">
        <v>0.104</v>
      </c>
      <c r="AB7541" s="508">
        <v>0.104</v>
      </c>
      <c r="AC7541" s="508">
        <v>0.104</v>
      </c>
      <c r="AD7541" s="508">
        <v>7.2999999999999995E-2</v>
      </c>
      <c r="AE7541" s="508">
        <v>7.2999999999999995E-2</v>
      </c>
      <c r="AF7541" s="508">
        <v>6.6000000000000003E-2</v>
      </c>
      <c r="AG7541" s="508">
        <v>6.6000000000000003E-2</v>
      </c>
      <c r="AH7541" s="508">
        <v>6.6000000000000003E-2</v>
      </c>
      <c r="AI7541" s="492">
        <v>6.6000000000000003E-2</v>
      </c>
      <c r="AJ7541" s="485"/>
    </row>
    <row r="7542" spans="2:36">
      <c r="B7542" s="136" t="s">
        <v>458</v>
      </c>
      <c r="C7542" s="132" t="s">
        <v>1371</v>
      </c>
      <c r="D7542" s="132" t="s">
        <v>1381</v>
      </c>
      <c r="E7542" s="508">
        <v>1.538</v>
      </c>
      <c r="F7542" s="508">
        <v>1.538</v>
      </c>
      <c r="G7542" s="508">
        <v>1.538</v>
      </c>
      <c r="H7542" s="508">
        <v>1.538</v>
      </c>
      <c r="I7542" s="508">
        <v>1.538</v>
      </c>
      <c r="J7542" s="508">
        <v>1.538</v>
      </c>
      <c r="K7542" s="508">
        <v>1.538</v>
      </c>
      <c r="L7542" s="508">
        <v>1.538</v>
      </c>
      <c r="M7542" s="508">
        <v>1.538</v>
      </c>
      <c r="N7542" s="508">
        <v>1.538</v>
      </c>
      <c r="O7542" s="508">
        <v>1.538</v>
      </c>
      <c r="P7542" s="508">
        <v>1.54</v>
      </c>
      <c r="Q7542" s="508">
        <v>1.54</v>
      </c>
      <c r="R7542" s="508">
        <v>1.54</v>
      </c>
      <c r="S7542" s="508">
        <v>1.54</v>
      </c>
      <c r="T7542" s="508">
        <v>1.54</v>
      </c>
      <c r="U7542" s="508">
        <v>1.5389999999999999</v>
      </c>
      <c r="V7542" s="508">
        <v>1.5389999999999999</v>
      </c>
      <c r="W7542" s="508">
        <v>0.84799999999999998</v>
      </c>
      <c r="X7542" s="508">
        <v>0.84799999999999998</v>
      </c>
      <c r="Y7542" s="508">
        <v>0.84799999999999998</v>
      </c>
      <c r="Z7542" s="508">
        <v>0.84799999999999998</v>
      </c>
      <c r="AA7542" s="508">
        <v>0.10299999999999999</v>
      </c>
      <c r="AB7542" s="508">
        <v>0.10299999999999999</v>
      </c>
      <c r="AC7542" s="508">
        <v>0.10299999999999999</v>
      </c>
      <c r="AD7542" s="508">
        <v>6.8000000000000005E-2</v>
      </c>
      <c r="AE7542" s="508">
        <v>6.8000000000000005E-2</v>
      </c>
      <c r="AF7542" s="508">
        <v>6.0999999999999999E-2</v>
      </c>
      <c r="AG7542" s="508">
        <v>6.0999999999999999E-2</v>
      </c>
      <c r="AH7542" s="508">
        <v>6.0999999999999999E-2</v>
      </c>
      <c r="AI7542" s="492">
        <v>6.0999999999999999E-2</v>
      </c>
      <c r="AJ7542" s="485"/>
    </row>
    <row r="7543" spans="2:36">
      <c r="B7543" s="136" t="s">
        <v>459</v>
      </c>
      <c r="C7543" s="132" t="s">
        <v>1371</v>
      </c>
      <c r="D7543" s="132" t="s">
        <v>1381</v>
      </c>
      <c r="E7543" s="508">
        <v>1.5509999999999999</v>
      </c>
      <c r="F7543" s="508">
        <v>1.5509999999999999</v>
      </c>
      <c r="G7543" s="508">
        <v>1.55</v>
      </c>
      <c r="H7543" s="508">
        <v>1.5509999999999999</v>
      </c>
      <c r="I7543" s="508">
        <v>1.5509999999999999</v>
      </c>
      <c r="J7543" s="508">
        <v>1.55</v>
      </c>
      <c r="K7543" s="508">
        <v>1.5509999999999999</v>
      </c>
      <c r="L7543" s="508">
        <v>1.55</v>
      </c>
      <c r="M7543" s="508">
        <v>1.55</v>
      </c>
      <c r="N7543" s="508">
        <v>1.55</v>
      </c>
      <c r="O7543" s="508">
        <v>1.5509999999999999</v>
      </c>
      <c r="P7543" s="508">
        <v>1.552</v>
      </c>
      <c r="Q7543" s="508">
        <v>1.552</v>
      </c>
      <c r="R7543" s="508">
        <v>1.552</v>
      </c>
      <c r="S7543" s="508">
        <v>1.552</v>
      </c>
      <c r="T7543" s="508">
        <v>1.552</v>
      </c>
      <c r="U7543" s="508">
        <v>1.552</v>
      </c>
      <c r="V7543" s="508">
        <v>1.552</v>
      </c>
      <c r="W7543" s="508">
        <v>0.86099999999999999</v>
      </c>
      <c r="X7543" s="508">
        <v>0.86099999999999999</v>
      </c>
      <c r="Y7543" s="508">
        <v>0.86099999999999999</v>
      </c>
      <c r="Z7543" s="508">
        <v>0.86099999999999999</v>
      </c>
      <c r="AA7543" s="508">
        <v>0.109</v>
      </c>
      <c r="AB7543" s="508">
        <v>0.109</v>
      </c>
      <c r="AC7543" s="508">
        <v>0.109</v>
      </c>
      <c r="AD7543" s="508">
        <v>7.4999999999999997E-2</v>
      </c>
      <c r="AE7543" s="508">
        <v>7.4999999999999997E-2</v>
      </c>
      <c r="AF7543" s="508">
        <v>6.7000000000000004E-2</v>
      </c>
      <c r="AG7543" s="508">
        <v>6.7000000000000004E-2</v>
      </c>
      <c r="AH7543" s="508">
        <v>6.7000000000000004E-2</v>
      </c>
      <c r="AI7543" s="492">
        <v>6.7000000000000004E-2</v>
      </c>
      <c r="AJ7543" s="485"/>
    </row>
    <row r="7544" spans="2:36">
      <c r="B7544" s="136" t="s">
        <v>460</v>
      </c>
      <c r="C7544" s="132" t="s">
        <v>1371</v>
      </c>
      <c r="D7544" s="132" t="s">
        <v>1381</v>
      </c>
      <c r="E7544" s="508">
        <v>1.5620000000000001</v>
      </c>
      <c r="F7544" s="508">
        <v>1.5620000000000001</v>
      </c>
      <c r="G7544" s="508">
        <v>1.5620000000000001</v>
      </c>
      <c r="H7544" s="508">
        <v>1.5620000000000001</v>
      </c>
      <c r="I7544" s="508">
        <v>1.5620000000000001</v>
      </c>
      <c r="J7544" s="508">
        <v>1.5620000000000001</v>
      </c>
      <c r="K7544" s="508">
        <v>1.5620000000000001</v>
      </c>
      <c r="L7544" s="508">
        <v>1.5620000000000001</v>
      </c>
      <c r="M7544" s="508">
        <v>1.5620000000000001</v>
      </c>
      <c r="N7544" s="508">
        <v>1.5620000000000001</v>
      </c>
      <c r="O7544" s="508">
        <v>1.5620000000000001</v>
      </c>
      <c r="P7544" s="508">
        <v>1.5640000000000001</v>
      </c>
      <c r="Q7544" s="508">
        <v>1.5640000000000001</v>
      </c>
      <c r="R7544" s="508">
        <v>1.5640000000000001</v>
      </c>
      <c r="S7544" s="508">
        <v>1.5640000000000001</v>
      </c>
      <c r="T7544" s="508">
        <v>1.5640000000000001</v>
      </c>
      <c r="U7544" s="508">
        <v>1.5629999999999999</v>
      </c>
      <c r="V7544" s="508">
        <v>1.5629999999999999</v>
      </c>
      <c r="W7544" s="508">
        <v>0.86899999999999999</v>
      </c>
      <c r="X7544" s="508">
        <v>0.86899999999999999</v>
      </c>
      <c r="Y7544" s="508">
        <v>0.86899999999999999</v>
      </c>
      <c r="Z7544" s="508">
        <v>0.86899999999999999</v>
      </c>
      <c r="AA7544" s="508">
        <v>0.112</v>
      </c>
      <c r="AB7544" s="508">
        <v>0.112</v>
      </c>
      <c r="AC7544" s="508">
        <v>0.112</v>
      </c>
      <c r="AD7544" s="508">
        <v>7.6999999999999999E-2</v>
      </c>
      <c r="AE7544" s="508">
        <v>7.6999999999999999E-2</v>
      </c>
      <c r="AF7544" s="508">
        <v>7.0000000000000007E-2</v>
      </c>
      <c r="AG7544" s="508">
        <v>7.0000000000000007E-2</v>
      </c>
      <c r="AH7544" s="508">
        <v>7.0000000000000007E-2</v>
      </c>
      <c r="AI7544" s="492">
        <v>7.0000000000000007E-2</v>
      </c>
      <c r="AJ7544" s="485"/>
    </row>
    <row r="7545" spans="2:36">
      <c r="B7545" s="136" t="s">
        <v>461</v>
      </c>
      <c r="C7545" s="132" t="s">
        <v>1371</v>
      </c>
      <c r="D7545" s="132" t="s">
        <v>1381</v>
      </c>
      <c r="E7545" s="508">
        <v>1.5409999999999999</v>
      </c>
      <c r="F7545" s="508">
        <v>1.5409999999999999</v>
      </c>
      <c r="G7545" s="508">
        <v>1.54</v>
      </c>
      <c r="H7545" s="508">
        <v>1.5409999999999999</v>
      </c>
      <c r="I7545" s="508">
        <v>1.5409999999999999</v>
      </c>
      <c r="J7545" s="508">
        <v>1.5409999999999999</v>
      </c>
      <c r="K7545" s="508">
        <v>1.5409999999999999</v>
      </c>
      <c r="L7545" s="508">
        <v>1.54</v>
      </c>
      <c r="M7545" s="508">
        <v>1.54</v>
      </c>
      <c r="N7545" s="508">
        <v>1.5409999999999999</v>
      </c>
      <c r="O7545" s="508">
        <v>1.5409999999999999</v>
      </c>
      <c r="P7545" s="508">
        <v>1.542</v>
      </c>
      <c r="Q7545" s="508">
        <v>1.542</v>
      </c>
      <c r="R7545" s="508">
        <v>1.542</v>
      </c>
      <c r="S7545" s="508">
        <v>1.542</v>
      </c>
      <c r="T7545" s="508">
        <v>1.542</v>
      </c>
      <c r="U7545" s="508">
        <v>1.542</v>
      </c>
      <c r="V7545" s="508">
        <v>1.542</v>
      </c>
      <c r="W7545" s="508">
        <v>0.86099999999999999</v>
      </c>
      <c r="X7545" s="508">
        <v>0.86099999999999999</v>
      </c>
      <c r="Y7545" s="508">
        <v>0.86099999999999999</v>
      </c>
      <c r="Z7545" s="508">
        <v>0.86099999999999999</v>
      </c>
      <c r="AA7545" s="508">
        <v>0.115</v>
      </c>
      <c r="AB7545" s="508">
        <v>0.115</v>
      </c>
      <c r="AC7545" s="508">
        <v>0.115</v>
      </c>
      <c r="AD7545" s="508">
        <v>8.1000000000000003E-2</v>
      </c>
      <c r="AE7545" s="508">
        <v>8.1000000000000003E-2</v>
      </c>
      <c r="AF7545" s="508">
        <v>7.2999999999999995E-2</v>
      </c>
      <c r="AG7545" s="508">
        <v>7.2999999999999995E-2</v>
      </c>
      <c r="AH7545" s="508">
        <v>7.2999999999999995E-2</v>
      </c>
      <c r="AI7545" s="492">
        <v>7.2999999999999995E-2</v>
      </c>
      <c r="AJ7545" s="485"/>
    </row>
    <row r="7546" spans="2:36">
      <c r="B7546" s="136" t="s">
        <v>462</v>
      </c>
      <c r="C7546" s="132" t="s">
        <v>1371</v>
      </c>
      <c r="D7546" s="132" t="s">
        <v>1381</v>
      </c>
      <c r="E7546" s="508">
        <v>1.464</v>
      </c>
      <c r="F7546" s="508">
        <v>1.464</v>
      </c>
      <c r="G7546" s="508">
        <v>1.464</v>
      </c>
      <c r="H7546" s="508">
        <v>1.464</v>
      </c>
      <c r="I7546" s="508">
        <v>1.464</v>
      </c>
      <c r="J7546" s="508">
        <v>1.464</v>
      </c>
      <c r="K7546" s="508">
        <v>1.464</v>
      </c>
      <c r="L7546" s="508">
        <v>1.464</v>
      </c>
      <c r="M7546" s="508">
        <v>1.464</v>
      </c>
      <c r="N7546" s="508">
        <v>1.464</v>
      </c>
      <c r="O7546" s="508">
        <v>1.464</v>
      </c>
      <c r="P7546" s="508">
        <v>1.4650000000000001</v>
      </c>
      <c r="Q7546" s="508">
        <v>1.4650000000000001</v>
      </c>
      <c r="R7546" s="508">
        <v>1.4650000000000001</v>
      </c>
      <c r="S7546" s="508">
        <v>1.4650000000000001</v>
      </c>
      <c r="T7546" s="508">
        <v>1.4650000000000001</v>
      </c>
      <c r="U7546" s="508">
        <v>1.4650000000000001</v>
      </c>
      <c r="V7546" s="508">
        <v>1.4650000000000001</v>
      </c>
      <c r="W7546" s="508">
        <v>0.79500000000000004</v>
      </c>
      <c r="X7546" s="508">
        <v>0.79500000000000004</v>
      </c>
      <c r="Y7546" s="508">
        <v>0.79500000000000004</v>
      </c>
      <c r="Z7546" s="508">
        <v>0.79500000000000004</v>
      </c>
      <c r="AA7546" s="508">
        <v>8.8999999999999996E-2</v>
      </c>
      <c r="AB7546" s="508">
        <v>8.8999999999999996E-2</v>
      </c>
      <c r="AC7546" s="508">
        <v>8.8999999999999996E-2</v>
      </c>
      <c r="AD7546" s="508">
        <v>5.6000000000000001E-2</v>
      </c>
      <c r="AE7546" s="508">
        <v>5.6000000000000001E-2</v>
      </c>
      <c r="AF7546" s="508">
        <v>4.8000000000000001E-2</v>
      </c>
      <c r="AG7546" s="508">
        <v>4.8000000000000001E-2</v>
      </c>
      <c r="AH7546" s="508">
        <v>4.8000000000000001E-2</v>
      </c>
      <c r="AI7546" s="492">
        <v>4.8000000000000001E-2</v>
      </c>
      <c r="AJ7546" s="485"/>
    </row>
    <row r="7547" spans="2:36">
      <c r="B7547" s="136" t="s">
        <v>463</v>
      </c>
      <c r="C7547" s="132" t="s">
        <v>1371</v>
      </c>
      <c r="D7547" s="132" t="s">
        <v>1381</v>
      </c>
      <c r="E7547" s="508">
        <v>1.4379999999999999</v>
      </c>
      <c r="F7547" s="508">
        <v>1.4379999999999999</v>
      </c>
      <c r="G7547" s="508">
        <v>1.4379999999999999</v>
      </c>
      <c r="H7547" s="508">
        <v>1.4379999999999999</v>
      </c>
      <c r="I7547" s="508">
        <v>1.4379999999999999</v>
      </c>
      <c r="J7547" s="508">
        <v>1.4379999999999999</v>
      </c>
      <c r="K7547" s="508">
        <v>1.4379999999999999</v>
      </c>
      <c r="L7547" s="508">
        <v>1.4379999999999999</v>
      </c>
      <c r="M7547" s="508">
        <v>1.4379999999999999</v>
      </c>
      <c r="N7547" s="508">
        <v>1.4379999999999999</v>
      </c>
      <c r="O7547" s="508">
        <v>1.4379999999999999</v>
      </c>
      <c r="P7547" s="508">
        <v>1.44</v>
      </c>
      <c r="Q7547" s="508">
        <v>1.44</v>
      </c>
      <c r="R7547" s="508">
        <v>1.44</v>
      </c>
      <c r="S7547" s="508">
        <v>1.44</v>
      </c>
      <c r="T7547" s="508">
        <v>1.44</v>
      </c>
      <c r="U7547" s="508">
        <v>1.4390000000000001</v>
      </c>
      <c r="V7547" s="508">
        <v>1.4390000000000001</v>
      </c>
      <c r="W7547" s="508">
        <v>0.79100000000000004</v>
      </c>
      <c r="X7547" s="508">
        <v>0.79100000000000004</v>
      </c>
      <c r="Y7547" s="508">
        <v>0.79100000000000004</v>
      </c>
      <c r="Z7547" s="508">
        <v>0.79100000000000004</v>
      </c>
      <c r="AA7547" s="508">
        <v>9.7000000000000003E-2</v>
      </c>
      <c r="AB7547" s="508">
        <v>9.7000000000000003E-2</v>
      </c>
      <c r="AC7547" s="508">
        <v>9.7000000000000003E-2</v>
      </c>
      <c r="AD7547" s="508">
        <v>6.4000000000000001E-2</v>
      </c>
      <c r="AE7547" s="508">
        <v>6.4000000000000001E-2</v>
      </c>
      <c r="AF7547" s="508">
        <v>5.7000000000000002E-2</v>
      </c>
      <c r="AG7547" s="508">
        <v>5.7000000000000002E-2</v>
      </c>
      <c r="AH7547" s="508">
        <v>5.7000000000000002E-2</v>
      </c>
      <c r="AI7547" s="492">
        <v>5.7000000000000002E-2</v>
      </c>
      <c r="AJ7547" s="485"/>
    </row>
    <row r="7548" spans="2:36">
      <c r="B7548" s="136" t="s">
        <v>464</v>
      </c>
      <c r="C7548" s="132" t="s">
        <v>1371</v>
      </c>
      <c r="D7548" s="132" t="s">
        <v>1381</v>
      </c>
      <c r="E7548" s="508">
        <v>1.4350000000000001</v>
      </c>
      <c r="F7548" s="508">
        <v>1.4350000000000001</v>
      </c>
      <c r="G7548" s="508">
        <v>1.4350000000000001</v>
      </c>
      <c r="H7548" s="508">
        <v>1.4350000000000001</v>
      </c>
      <c r="I7548" s="508">
        <v>1.4350000000000001</v>
      </c>
      <c r="J7548" s="508">
        <v>1.4350000000000001</v>
      </c>
      <c r="K7548" s="508">
        <v>1.4350000000000001</v>
      </c>
      <c r="L7548" s="508">
        <v>1.4350000000000001</v>
      </c>
      <c r="M7548" s="508">
        <v>1.4350000000000001</v>
      </c>
      <c r="N7548" s="508">
        <v>1.4350000000000001</v>
      </c>
      <c r="O7548" s="508">
        <v>1.4350000000000001</v>
      </c>
      <c r="P7548" s="508">
        <v>1.4370000000000001</v>
      </c>
      <c r="Q7548" s="508">
        <v>1.4370000000000001</v>
      </c>
      <c r="R7548" s="508">
        <v>1.4370000000000001</v>
      </c>
      <c r="S7548" s="508">
        <v>1.4370000000000001</v>
      </c>
      <c r="T7548" s="508">
        <v>1.4370000000000001</v>
      </c>
      <c r="U7548" s="508">
        <v>1.4370000000000001</v>
      </c>
      <c r="V7548" s="508">
        <v>1.4370000000000001</v>
      </c>
      <c r="W7548" s="508">
        <v>0.79700000000000004</v>
      </c>
      <c r="X7548" s="508">
        <v>0.79700000000000004</v>
      </c>
      <c r="Y7548" s="508">
        <v>0.79700000000000004</v>
      </c>
      <c r="Z7548" s="508">
        <v>0.79700000000000004</v>
      </c>
      <c r="AA7548" s="508">
        <v>0.105</v>
      </c>
      <c r="AB7548" s="508">
        <v>0.105</v>
      </c>
      <c r="AC7548" s="508">
        <v>0.105</v>
      </c>
      <c r="AD7548" s="508">
        <v>7.3999999999999996E-2</v>
      </c>
      <c r="AE7548" s="508">
        <v>7.3999999999999996E-2</v>
      </c>
      <c r="AF7548" s="508">
        <v>6.7000000000000004E-2</v>
      </c>
      <c r="AG7548" s="508">
        <v>6.7000000000000004E-2</v>
      </c>
      <c r="AH7548" s="508">
        <v>6.7000000000000004E-2</v>
      </c>
      <c r="AI7548" s="492">
        <v>6.7000000000000004E-2</v>
      </c>
      <c r="AJ7548" s="485"/>
    </row>
    <row r="7549" spans="2:36">
      <c r="B7549" s="136" t="s">
        <v>465</v>
      </c>
      <c r="C7549" s="132" t="s">
        <v>1371</v>
      </c>
      <c r="D7549" s="132" t="s">
        <v>1381</v>
      </c>
      <c r="E7549" s="508">
        <v>1.4610000000000001</v>
      </c>
      <c r="F7549" s="508">
        <v>1.4610000000000001</v>
      </c>
      <c r="G7549" s="508">
        <v>1.4610000000000001</v>
      </c>
      <c r="H7549" s="508">
        <v>1.4610000000000001</v>
      </c>
      <c r="I7549" s="508">
        <v>1.4610000000000001</v>
      </c>
      <c r="J7549" s="508">
        <v>1.4610000000000001</v>
      </c>
      <c r="K7549" s="508">
        <v>1.4610000000000001</v>
      </c>
      <c r="L7549" s="508">
        <v>1.4610000000000001</v>
      </c>
      <c r="M7549" s="508">
        <v>1.4610000000000001</v>
      </c>
      <c r="N7549" s="508">
        <v>1.4610000000000001</v>
      </c>
      <c r="O7549" s="508">
        <v>1.4610000000000001</v>
      </c>
      <c r="P7549" s="508">
        <v>1.4630000000000001</v>
      </c>
      <c r="Q7549" s="508">
        <v>1.4630000000000001</v>
      </c>
      <c r="R7549" s="508">
        <v>1.4630000000000001</v>
      </c>
      <c r="S7549" s="508">
        <v>1.4630000000000001</v>
      </c>
      <c r="T7549" s="508">
        <v>1.4630000000000001</v>
      </c>
      <c r="U7549" s="508">
        <v>1.462</v>
      </c>
      <c r="V7549" s="508">
        <v>1.462</v>
      </c>
      <c r="W7549" s="508">
        <v>0.80700000000000005</v>
      </c>
      <c r="X7549" s="508">
        <v>0.80700000000000005</v>
      </c>
      <c r="Y7549" s="508">
        <v>0.80700000000000005</v>
      </c>
      <c r="Z7549" s="508">
        <v>0.80700000000000005</v>
      </c>
      <c r="AA7549" s="508">
        <v>0.10299999999999999</v>
      </c>
      <c r="AB7549" s="508">
        <v>0.10299999999999999</v>
      </c>
      <c r="AC7549" s="508">
        <v>0.10299999999999999</v>
      </c>
      <c r="AD7549" s="508">
        <v>7.0000000000000007E-2</v>
      </c>
      <c r="AE7549" s="508">
        <v>7.0000000000000007E-2</v>
      </c>
      <c r="AF7549" s="508">
        <v>6.3E-2</v>
      </c>
      <c r="AG7549" s="508">
        <v>6.3E-2</v>
      </c>
      <c r="AH7549" s="508">
        <v>6.3E-2</v>
      </c>
      <c r="AI7549" s="492">
        <v>6.3E-2</v>
      </c>
      <c r="AJ7549" s="485"/>
    </row>
    <row r="7550" spans="2:36">
      <c r="B7550" s="136" t="s">
        <v>466</v>
      </c>
      <c r="C7550" s="132" t="s">
        <v>1371</v>
      </c>
      <c r="D7550" s="132" t="s">
        <v>1381</v>
      </c>
      <c r="E7550" s="508">
        <v>1.6</v>
      </c>
      <c r="F7550" s="508">
        <v>1.6</v>
      </c>
      <c r="G7550" s="508">
        <v>1.6</v>
      </c>
      <c r="H7550" s="508">
        <v>1.6</v>
      </c>
      <c r="I7550" s="508">
        <v>1.6</v>
      </c>
      <c r="J7550" s="508">
        <v>1.6</v>
      </c>
      <c r="K7550" s="508">
        <v>1.6</v>
      </c>
      <c r="L7550" s="508">
        <v>1.6</v>
      </c>
      <c r="M7550" s="508">
        <v>1.6</v>
      </c>
      <c r="N7550" s="508">
        <v>1.6</v>
      </c>
      <c r="O7550" s="508">
        <v>1.6</v>
      </c>
      <c r="P7550" s="508">
        <v>1.6020000000000001</v>
      </c>
      <c r="Q7550" s="508">
        <v>1.6020000000000001</v>
      </c>
      <c r="R7550" s="508">
        <v>1.6020000000000001</v>
      </c>
      <c r="S7550" s="508">
        <v>1.6020000000000001</v>
      </c>
      <c r="T7550" s="508">
        <v>1.6020000000000001</v>
      </c>
      <c r="U7550" s="508">
        <v>1.6020000000000001</v>
      </c>
      <c r="V7550" s="508">
        <v>1.6020000000000001</v>
      </c>
      <c r="W7550" s="508">
        <v>0.877</v>
      </c>
      <c r="X7550" s="508">
        <v>0.877</v>
      </c>
      <c r="Y7550" s="508">
        <v>0.877</v>
      </c>
      <c r="Z7550" s="508">
        <v>0.877</v>
      </c>
      <c r="AA7550" s="508">
        <v>0.10199999999999999</v>
      </c>
      <c r="AB7550" s="508">
        <v>0.10199999999999999</v>
      </c>
      <c r="AC7550" s="508">
        <v>0.10199999999999999</v>
      </c>
      <c r="AD7550" s="508">
        <v>6.5000000000000002E-2</v>
      </c>
      <c r="AE7550" s="508">
        <v>6.5000000000000002E-2</v>
      </c>
      <c r="AF7550" s="508">
        <v>5.7000000000000002E-2</v>
      </c>
      <c r="AG7550" s="508">
        <v>5.7000000000000002E-2</v>
      </c>
      <c r="AH7550" s="508">
        <v>5.7000000000000002E-2</v>
      </c>
      <c r="AI7550" s="492">
        <v>5.7000000000000002E-2</v>
      </c>
      <c r="AJ7550" s="485"/>
    </row>
    <row r="7551" spans="2:36">
      <c r="B7551" s="136" t="s">
        <v>467</v>
      </c>
      <c r="C7551" s="132" t="s">
        <v>1371</v>
      </c>
      <c r="D7551" s="132" t="s">
        <v>1381</v>
      </c>
      <c r="E7551" s="508">
        <v>1.5189999999999999</v>
      </c>
      <c r="F7551" s="508">
        <v>1.5189999999999999</v>
      </c>
      <c r="G7551" s="508">
        <v>1.5189999999999999</v>
      </c>
      <c r="H7551" s="508">
        <v>1.5189999999999999</v>
      </c>
      <c r="I7551" s="508">
        <v>1.5189999999999999</v>
      </c>
      <c r="J7551" s="508">
        <v>1.5189999999999999</v>
      </c>
      <c r="K7551" s="508">
        <v>1.5189999999999999</v>
      </c>
      <c r="L7551" s="508">
        <v>1.5189999999999999</v>
      </c>
      <c r="M7551" s="508">
        <v>1.5189999999999999</v>
      </c>
      <c r="N7551" s="508">
        <v>1.5189999999999999</v>
      </c>
      <c r="O7551" s="508">
        <v>1.5189999999999999</v>
      </c>
      <c r="P7551" s="508">
        <v>1.5209999999999999</v>
      </c>
      <c r="Q7551" s="508">
        <v>1.5209999999999999</v>
      </c>
      <c r="R7551" s="508">
        <v>1.5209999999999999</v>
      </c>
      <c r="S7551" s="508">
        <v>1.5209999999999999</v>
      </c>
      <c r="T7551" s="508">
        <v>1.5209999999999999</v>
      </c>
      <c r="U7551" s="508">
        <v>1.52</v>
      </c>
      <c r="V7551" s="508">
        <v>1.52</v>
      </c>
      <c r="W7551" s="508">
        <v>0.84499999999999997</v>
      </c>
      <c r="X7551" s="508">
        <v>0.84499999999999997</v>
      </c>
      <c r="Y7551" s="508">
        <v>0.84499999999999997</v>
      </c>
      <c r="Z7551" s="508">
        <v>0.84499999999999997</v>
      </c>
      <c r="AA7551" s="508">
        <v>0.109</v>
      </c>
      <c r="AB7551" s="508">
        <v>0.109</v>
      </c>
      <c r="AC7551" s="508">
        <v>0.109</v>
      </c>
      <c r="AD7551" s="508">
        <v>7.5999999999999998E-2</v>
      </c>
      <c r="AE7551" s="508">
        <v>7.5999999999999998E-2</v>
      </c>
      <c r="AF7551" s="508">
        <v>6.8000000000000005E-2</v>
      </c>
      <c r="AG7551" s="508">
        <v>6.8000000000000005E-2</v>
      </c>
      <c r="AH7551" s="508">
        <v>6.8000000000000005E-2</v>
      </c>
      <c r="AI7551" s="492">
        <v>6.8000000000000005E-2</v>
      </c>
      <c r="AJ7551" s="485"/>
    </row>
    <row r="7552" spans="2:36">
      <c r="B7552" s="136" t="s">
        <v>468</v>
      </c>
      <c r="C7552" s="132" t="s">
        <v>1371</v>
      </c>
      <c r="D7552" s="132" t="s">
        <v>1381</v>
      </c>
      <c r="E7552" s="508">
        <v>1.4039999999999999</v>
      </c>
      <c r="F7552" s="508">
        <v>1.4039999999999999</v>
      </c>
      <c r="G7552" s="508">
        <v>1.4039999999999999</v>
      </c>
      <c r="H7552" s="508">
        <v>1.4039999999999999</v>
      </c>
      <c r="I7552" s="508">
        <v>1.4039999999999999</v>
      </c>
      <c r="J7552" s="508">
        <v>1.4039999999999999</v>
      </c>
      <c r="K7552" s="508">
        <v>1.4039999999999999</v>
      </c>
      <c r="L7552" s="508">
        <v>1.4039999999999999</v>
      </c>
      <c r="M7552" s="508">
        <v>1.4039999999999999</v>
      </c>
      <c r="N7552" s="508">
        <v>1.4039999999999999</v>
      </c>
      <c r="O7552" s="508">
        <v>1.4039999999999999</v>
      </c>
      <c r="P7552" s="508">
        <v>1.4059999999999999</v>
      </c>
      <c r="Q7552" s="508">
        <v>1.4059999999999999</v>
      </c>
      <c r="R7552" s="508">
        <v>1.4059999999999999</v>
      </c>
      <c r="S7552" s="508">
        <v>1.4059999999999999</v>
      </c>
      <c r="T7552" s="508">
        <v>1.4059999999999999</v>
      </c>
      <c r="U7552" s="508">
        <v>1.405</v>
      </c>
      <c r="V7552" s="508">
        <v>1.405</v>
      </c>
      <c r="W7552" s="508">
        <v>0.76900000000000002</v>
      </c>
      <c r="X7552" s="508">
        <v>0.76900000000000002</v>
      </c>
      <c r="Y7552" s="508">
        <v>0.76900000000000002</v>
      </c>
      <c r="Z7552" s="508">
        <v>0.76900000000000002</v>
      </c>
      <c r="AA7552" s="508">
        <v>9.4E-2</v>
      </c>
      <c r="AB7552" s="508">
        <v>9.4E-2</v>
      </c>
      <c r="AC7552" s="508">
        <v>9.4E-2</v>
      </c>
      <c r="AD7552" s="508">
        <v>6.2E-2</v>
      </c>
      <c r="AE7552" s="508">
        <v>6.2E-2</v>
      </c>
      <c r="AF7552" s="508">
        <v>5.5E-2</v>
      </c>
      <c r="AG7552" s="508">
        <v>5.5E-2</v>
      </c>
      <c r="AH7552" s="508">
        <v>5.5E-2</v>
      </c>
      <c r="AI7552" s="492">
        <v>5.5E-2</v>
      </c>
      <c r="AJ7552" s="485"/>
    </row>
    <row r="7553" spans="2:36">
      <c r="B7553" s="136" t="s">
        <v>469</v>
      </c>
      <c r="C7553" s="132" t="s">
        <v>1371</v>
      </c>
      <c r="D7553" s="132" t="s">
        <v>1381</v>
      </c>
      <c r="E7553" s="508">
        <v>1.4650000000000001</v>
      </c>
      <c r="F7553" s="508">
        <v>1.4650000000000001</v>
      </c>
      <c r="G7553" s="508">
        <v>1.4650000000000001</v>
      </c>
      <c r="H7553" s="508">
        <v>1.4650000000000001</v>
      </c>
      <c r="I7553" s="508">
        <v>1.4650000000000001</v>
      </c>
      <c r="J7553" s="508">
        <v>1.4650000000000001</v>
      </c>
      <c r="K7553" s="508">
        <v>1.4650000000000001</v>
      </c>
      <c r="L7553" s="508">
        <v>1.4650000000000001</v>
      </c>
      <c r="M7553" s="508">
        <v>1.4650000000000001</v>
      </c>
      <c r="N7553" s="508">
        <v>1.4650000000000001</v>
      </c>
      <c r="O7553" s="508">
        <v>1.4650000000000001</v>
      </c>
      <c r="P7553" s="508">
        <v>1.4670000000000001</v>
      </c>
      <c r="Q7553" s="508">
        <v>1.4670000000000001</v>
      </c>
      <c r="R7553" s="508">
        <v>1.4670000000000001</v>
      </c>
      <c r="S7553" s="508">
        <v>1.4670000000000001</v>
      </c>
      <c r="T7553" s="508">
        <v>1.4670000000000001</v>
      </c>
      <c r="U7553" s="508">
        <v>1.466</v>
      </c>
      <c r="V7553" s="508">
        <v>1.466</v>
      </c>
      <c r="W7553" s="508">
        <v>0.80300000000000005</v>
      </c>
      <c r="X7553" s="508">
        <v>0.80300000000000005</v>
      </c>
      <c r="Y7553" s="508">
        <v>0.80300000000000005</v>
      </c>
      <c r="Z7553" s="508">
        <v>0.80300000000000005</v>
      </c>
      <c r="AA7553" s="508">
        <v>9.7000000000000003E-2</v>
      </c>
      <c r="AB7553" s="508">
        <v>9.7000000000000003E-2</v>
      </c>
      <c r="AC7553" s="508">
        <v>9.7000000000000003E-2</v>
      </c>
      <c r="AD7553" s="508">
        <v>6.4000000000000001E-2</v>
      </c>
      <c r="AE7553" s="508">
        <v>6.4000000000000001E-2</v>
      </c>
      <c r="AF7553" s="508">
        <v>5.7000000000000002E-2</v>
      </c>
      <c r="AG7553" s="508">
        <v>5.7000000000000002E-2</v>
      </c>
      <c r="AH7553" s="508">
        <v>5.7000000000000002E-2</v>
      </c>
      <c r="AI7553" s="492">
        <v>5.7000000000000002E-2</v>
      </c>
      <c r="AJ7553" s="485"/>
    </row>
    <row r="7554" spans="2:36">
      <c r="B7554" s="136" t="s">
        <v>470</v>
      </c>
      <c r="C7554" s="132" t="s">
        <v>1371</v>
      </c>
      <c r="D7554" s="132" t="s">
        <v>1381</v>
      </c>
      <c r="E7554" s="508">
        <v>1.5860000000000001</v>
      </c>
      <c r="F7554" s="508">
        <v>1.5860000000000001</v>
      </c>
      <c r="G7554" s="508">
        <v>1.585</v>
      </c>
      <c r="H7554" s="508">
        <v>1.5860000000000001</v>
      </c>
      <c r="I7554" s="508">
        <v>1.5860000000000001</v>
      </c>
      <c r="J7554" s="508">
        <v>1.585</v>
      </c>
      <c r="K7554" s="508">
        <v>1.585</v>
      </c>
      <c r="L7554" s="508">
        <v>1.585</v>
      </c>
      <c r="M7554" s="508">
        <v>1.585</v>
      </c>
      <c r="N7554" s="508">
        <v>1.585</v>
      </c>
      <c r="O7554" s="508">
        <v>1.585</v>
      </c>
      <c r="P7554" s="508">
        <v>1.5880000000000001</v>
      </c>
      <c r="Q7554" s="508">
        <v>1.5880000000000001</v>
      </c>
      <c r="R7554" s="508">
        <v>1.5880000000000001</v>
      </c>
      <c r="S7554" s="508">
        <v>1.5880000000000001</v>
      </c>
      <c r="T7554" s="508">
        <v>1.587</v>
      </c>
      <c r="U7554" s="508">
        <v>1.587</v>
      </c>
      <c r="V7554" s="508">
        <v>1.587</v>
      </c>
      <c r="W7554" s="508">
        <v>0.88</v>
      </c>
      <c r="X7554" s="508">
        <v>0.88</v>
      </c>
      <c r="Y7554" s="508">
        <v>0.88</v>
      </c>
      <c r="Z7554" s="508">
        <v>0.88</v>
      </c>
      <c r="AA7554" s="508">
        <v>0.111</v>
      </c>
      <c r="AB7554" s="508">
        <v>0.111</v>
      </c>
      <c r="AC7554" s="508">
        <v>0.111</v>
      </c>
      <c r="AD7554" s="508">
        <v>7.5999999999999998E-2</v>
      </c>
      <c r="AE7554" s="508">
        <v>7.5999999999999998E-2</v>
      </c>
      <c r="AF7554" s="508">
        <v>6.8000000000000005E-2</v>
      </c>
      <c r="AG7554" s="508">
        <v>6.8000000000000005E-2</v>
      </c>
      <c r="AH7554" s="508">
        <v>6.8000000000000005E-2</v>
      </c>
      <c r="AI7554" s="492">
        <v>6.8000000000000005E-2</v>
      </c>
      <c r="AJ7554" s="485"/>
    </row>
    <row r="7555" spans="2:36">
      <c r="B7555" s="136" t="s">
        <v>471</v>
      </c>
      <c r="C7555" s="132" t="s">
        <v>1371</v>
      </c>
      <c r="D7555" s="132" t="s">
        <v>1381</v>
      </c>
      <c r="E7555" s="508">
        <v>1.53</v>
      </c>
      <c r="F7555" s="508">
        <v>1.53</v>
      </c>
      <c r="G7555" s="508">
        <v>1.53</v>
      </c>
      <c r="H7555" s="508">
        <v>1.53</v>
      </c>
      <c r="I7555" s="508">
        <v>1.53</v>
      </c>
      <c r="J7555" s="508">
        <v>1.53</v>
      </c>
      <c r="K7555" s="508">
        <v>1.53</v>
      </c>
      <c r="L7555" s="508">
        <v>1.53</v>
      </c>
      <c r="M7555" s="508">
        <v>1.53</v>
      </c>
      <c r="N7555" s="508">
        <v>1.53</v>
      </c>
      <c r="O7555" s="508">
        <v>1.53</v>
      </c>
      <c r="P7555" s="508">
        <v>1.532</v>
      </c>
      <c r="Q7555" s="508">
        <v>1.532</v>
      </c>
      <c r="R7555" s="508">
        <v>1.532</v>
      </c>
      <c r="S7555" s="508">
        <v>1.532</v>
      </c>
      <c r="T7555" s="508">
        <v>1.532</v>
      </c>
      <c r="U7555" s="508">
        <v>1.5309999999999999</v>
      </c>
      <c r="V7555" s="508">
        <v>1.5309999999999999</v>
      </c>
      <c r="W7555" s="508">
        <v>0.83799999999999997</v>
      </c>
      <c r="X7555" s="508">
        <v>0.83799999999999997</v>
      </c>
      <c r="Y7555" s="508">
        <v>0.83799999999999997</v>
      </c>
      <c r="Z7555" s="508">
        <v>0.83799999999999997</v>
      </c>
      <c r="AA7555" s="508">
        <v>9.8000000000000004E-2</v>
      </c>
      <c r="AB7555" s="508">
        <v>9.8000000000000004E-2</v>
      </c>
      <c r="AC7555" s="508">
        <v>9.8000000000000004E-2</v>
      </c>
      <c r="AD7555" s="508">
        <v>6.3E-2</v>
      </c>
      <c r="AE7555" s="508">
        <v>6.3E-2</v>
      </c>
      <c r="AF7555" s="508">
        <v>5.6000000000000001E-2</v>
      </c>
      <c r="AG7555" s="508">
        <v>5.6000000000000001E-2</v>
      </c>
      <c r="AH7555" s="508">
        <v>5.6000000000000001E-2</v>
      </c>
      <c r="AI7555" s="492">
        <v>5.6000000000000001E-2</v>
      </c>
      <c r="AJ7555" s="485"/>
    </row>
    <row r="7556" spans="2:36">
      <c r="B7556" s="136" t="s">
        <v>472</v>
      </c>
      <c r="C7556" s="132" t="s">
        <v>1371</v>
      </c>
      <c r="D7556" s="132" t="s">
        <v>1381</v>
      </c>
      <c r="E7556" s="508">
        <v>1.45</v>
      </c>
      <c r="F7556" s="508">
        <v>1.45</v>
      </c>
      <c r="G7556" s="508">
        <v>1.45</v>
      </c>
      <c r="H7556" s="508">
        <v>1.45</v>
      </c>
      <c r="I7556" s="508">
        <v>1.45</v>
      </c>
      <c r="J7556" s="508">
        <v>1.45</v>
      </c>
      <c r="K7556" s="508">
        <v>1.45</v>
      </c>
      <c r="L7556" s="508">
        <v>1.45</v>
      </c>
      <c r="M7556" s="508">
        <v>1.45</v>
      </c>
      <c r="N7556" s="508">
        <v>1.45</v>
      </c>
      <c r="O7556" s="508">
        <v>1.45</v>
      </c>
      <c r="P7556" s="508">
        <v>1.452</v>
      </c>
      <c r="Q7556" s="508">
        <v>1.452</v>
      </c>
      <c r="R7556" s="508">
        <v>1.452</v>
      </c>
      <c r="S7556" s="508">
        <v>1.452</v>
      </c>
      <c r="T7556" s="508">
        <v>1.452</v>
      </c>
      <c r="U7556" s="508">
        <v>1.452</v>
      </c>
      <c r="V7556" s="508">
        <v>1.452</v>
      </c>
      <c r="W7556" s="508">
        <v>0.81</v>
      </c>
      <c r="X7556" s="508">
        <v>0.81</v>
      </c>
      <c r="Y7556" s="508">
        <v>0.81</v>
      </c>
      <c r="Z7556" s="508">
        <v>0.81</v>
      </c>
      <c r="AA7556" s="508">
        <v>0.111</v>
      </c>
      <c r="AB7556" s="508">
        <v>0.111</v>
      </c>
      <c r="AC7556" s="508">
        <v>0.111</v>
      </c>
      <c r="AD7556" s="508">
        <v>7.9000000000000001E-2</v>
      </c>
      <c r="AE7556" s="508">
        <v>7.9000000000000001E-2</v>
      </c>
      <c r="AF7556" s="508">
        <v>7.1999999999999995E-2</v>
      </c>
      <c r="AG7556" s="508">
        <v>7.1999999999999995E-2</v>
      </c>
      <c r="AH7556" s="508">
        <v>7.1999999999999995E-2</v>
      </c>
      <c r="AI7556" s="492">
        <v>7.1999999999999995E-2</v>
      </c>
      <c r="AJ7556" s="485"/>
    </row>
    <row r="7557" spans="2:36">
      <c r="B7557" s="136" t="s">
        <v>473</v>
      </c>
      <c r="C7557" s="132" t="s">
        <v>1371</v>
      </c>
      <c r="D7557" s="132" t="s">
        <v>1381</v>
      </c>
      <c r="E7557" s="508">
        <v>1.591</v>
      </c>
      <c r="F7557" s="508">
        <v>1.591</v>
      </c>
      <c r="G7557" s="508">
        <v>1.591</v>
      </c>
      <c r="H7557" s="508">
        <v>1.591</v>
      </c>
      <c r="I7557" s="508">
        <v>1.591</v>
      </c>
      <c r="J7557" s="508">
        <v>1.591</v>
      </c>
      <c r="K7557" s="508">
        <v>1.591</v>
      </c>
      <c r="L7557" s="508">
        <v>1.591</v>
      </c>
      <c r="M7557" s="508">
        <v>1.591</v>
      </c>
      <c r="N7557" s="508">
        <v>1.591</v>
      </c>
      <c r="O7557" s="508">
        <v>1.591</v>
      </c>
      <c r="P7557" s="508">
        <v>1.593</v>
      </c>
      <c r="Q7557" s="508">
        <v>1.593</v>
      </c>
      <c r="R7557" s="508">
        <v>1.593</v>
      </c>
      <c r="S7557" s="508">
        <v>1.593</v>
      </c>
      <c r="T7557" s="508">
        <v>1.593</v>
      </c>
      <c r="U7557" s="508">
        <v>1.5920000000000001</v>
      </c>
      <c r="V7557" s="508">
        <v>1.5920000000000001</v>
      </c>
      <c r="W7557" s="508">
        <v>0.88200000000000001</v>
      </c>
      <c r="X7557" s="508">
        <v>0.88200000000000001</v>
      </c>
      <c r="Y7557" s="508">
        <v>0.88200000000000001</v>
      </c>
      <c r="Z7557" s="508">
        <v>0.88200000000000001</v>
      </c>
      <c r="AA7557" s="508">
        <v>0.111</v>
      </c>
      <c r="AB7557" s="508">
        <v>0.111</v>
      </c>
      <c r="AC7557" s="508">
        <v>0.111</v>
      </c>
      <c r="AD7557" s="508">
        <v>7.4999999999999997E-2</v>
      </c>
      <c r="AE7557" s="508">
        <v>7.4999999999999997E-2</v>
      </c>
      <c r="AF7557" s="508">
        <v>6.8000000000000005E-2</v>
      </c>
      <c r="AG7557" s="508">
        <v>6.7000000000000004E-2</v>
      </c>
      <c r="AH7557" s="508">
        <v>6.7000000000000004E-2</v>
      </c>
      <c r="AI7557" s="492">
        <v>6.7000000000000004E-2</v>
      </c>
      <c r="AJ7557" s="485"/>
    </row>
    <row r="7558" spans="2:36">
      <c r="B7558" s="136" t="s">
        <v>474</v>
      </c>
      <c r="C7558" s="132" t="s">
        <v>1371</v>
      </c>
      <c r="D7558" s="132" t="s">
        <v>1381</v>
      </c>
      <c r="E7558" s="508">
        <v>1.5069999999999999</v>
      </c>
      <c r="F7558" s="508">
        <v>1.5069999999999999</v>
      </c>
      <c r="G7558" s="508">
        <v>1.5069999999999999</v>
      </c>
      <c r="H7558" s="508">
        <v>1.5069999999999999</v>
      </c>
      <c r="I7558" s="508">
        <v>1.5069999999999999</v>
      </c>
      <c r="J7558" s="508">
        <v>1.5069999999999999</v>
      </c>
      <c r="K7558" s="508">
        <v>1.5069999999999999</v>
      </c>
      <c r="L7558" s="508">
        <v>1.5069999999999999</v>
      </c>
      <c r="M7558" s="508">
        <v>1.5069999999999999</v>
      </c>
      <c r="N7558" s="508">
        <v>1.5069999999999999</v>
      </c>
      <c r="O7558" s="508">
        <v>1.5069999999999999</v>
      </c>
      <c r="P7558" s="508">
        <v>1.5089999999999999</v>
      </c>
      <c r="Q7558" s="508">
        <v>1.5089999999999999</v>
      </c>
      <c r="R7558" s="508">
        <v>1.5089999999999999</v>
      </c>
      <c r="S7558" s="508">
        <v>1.5089999999999999</v>
      </c>
      <c r="T7558" s="508">
        <v>1.5089999999999999</v>
      </c>
      <c r="U7558" s="508">
        <v>1.508</v>
      </c>
      <c r="V7558" s="508">
        <v>1.508</v>
      </c>
      <c r="W7558" s="508">
        <v>0.82499999999999996</v>
      </c>
      <c r="X7558" s="508">
        <v>0.82499999999999996</v>
      </c>
      <c r="Y7558" s="508">
        <v>0.82499999999999996</v>
      </c>
      <c r="Z7558" s="508">
        <v>0.82499999999999996</v>
      </c>
      <c r="AA7558" s="508">
        <v>9.7000000000000003E-2</v>
      </c>
      <c r="AB7558" s="508">
        <v>9.7000000000000003E-2</v>
      </c>
      <c r="AC7558" s="508">
        <v>9.7000000000000003E-2</v>
      </c>
      <c r="AD7558" s="508">
        <v>6.3E-2</v>
      </c>
      <c r="AE7558" s="508">
        <v>6.3E-2</v>
      </c>
      <c r="AF7558" s="508">
        <v>5.5E-2</v>
      </c>
      <c r="AG7558" s="508">
        <v>5.5E-2</v>
      </c>
      <c r="AH7558" s="508">
        <v>5.5E-2</v>
      </c>
      <c r="AI7558" s="492">
        <v>5.5E-2</v>
      </c>
      <c r="AJ7558" s="485"/>
    </row>
    <row r="7559" spans="2:36">
      <c r="B7559" s="136" t="s">
        <v>475</v>
      </c>
      <c r="C7559" s="132" t="s">
        <v>1371</v>
      </c>
      <c r="D7559" s="132" t="s">
        <v>1381</v>
      </c>
      <c r="E7559" s="508">
        <v>1.4970000000000001</v>
      </c>
      <c r="F7559" s="508">
        <v>1.4970000000000001</v>
      </c>
      <c r="G7559" s="508">
        <v>1.4970000000000001</v>
      </c>
      <c r="H7559" s="508">
        <v>1.4970000000000001</v>
      </c>
      <c r="I7559" s="508">
        <v>1.4970000000000001</v>
      </c>
      <c r="J7559" s="508">
        <v>1.4970000000000001</v>
      </c>
      <c r="K7559" s="508">
        <v>1.4970000000000001</v>
      </c>
      <c r="L7559" s="508">
        <v>1.4970000000000001</v>
      </c>
      <c r="M7559" s="508">
        <v>1.4970000000000001</v>
      </c>
      <c r="N7559" s="508">
        <v>1.4970000000000001</v>
      </c>
      <c r="O7559" s="508">
        <v>1.4970000000000001</v>
      </c>
      <c r="P7559" s="508">
        <v>1.4990000000000001</v>
      </c>
      <c r="Q7559" s="508">
        <v>1.4990000000000001</v>
      </c>
      <c r="R7559" s="508">
        <v>1.4990000000000001</v>
      </c>
      <c r="S7559" s="508">
        <v>1.4990000000000001</v>
      </c>
      <c r="T7559" s="508">
        <v>1.4990000000000001</v>
      </c>
      <c r="U7559" s="508">
        <v>1.4990000000000001</v>
      </c>
      <c r="V7559" s="508">
        <v>1.4990000000000001</v>
      </c>
      <c r="W7559" s="508">
        <v>0.82699999999999996</v>
      </c>
      <c r="X7559" s="508">
        <v>0.82699999999999996</v>
      </c>
      <c r="Y7559" s="508">
        <v>0.82699999999999996</v>
      </c>
      <c r="Z7559" s="508">
        <v>0.82699999999999996</v>
      </c>
      <c r="AA7559" s="508">
        <v>0.10299999999999999</v>
      </c>
      <c r="AB7559" s="508">
        <v>0.10299999999999999</v>
      </c>
      <c r="AC7559" s="508">
        <v>0.10299999999999999</v>
      </c>
      <c r="AD7559" s="508">
        <v>6.9000000000000006E-2</v>
      </c>
      <c r="AE7559" s="508">
        <v>6.9000000000000006E-2</v>
      </c>
      <c r="AF7559" s="508">
        <v>6.2E-2</v>
      </c>
      <c r="AG7559" s="508">
        <v>6.2E-2</v>
      </c>
      <c r="AH7559" s="508">
        <v>6.2E-2</v>
      </c>
      <c r="AI7559" s="492">
        <v>6.2E-2</v>
      </c>
      <c r="AJ7559" s="485"/>
    </row>
    <row r="7560" spans="2:36">
      <c r="B7560" s="136" t="s">
        <v>476</v>
      </c>
      <c r="C7560" s="132" t="s">
        <v>1371</v>
      </c>
      <c r="D7560" s="132" t="s">
        <v>1381</v>
      </c>
      <c r="E7560" s="508">
        <v>1.5529999999999999</v>
      </c>
      <c r="F7560" s="508">
        <v>1.5529999999999999</v>
      </c>
      <c r="G7560" s="508">
        <v>1.5529999999999999</v>
      </c>
      <c r="H7560" s="508">
        <v>1.5529999999999999</v>
      </c>
      <c r="I7560" s="508">
        <v>1.5529999999999999</v>
      </c>
      <c r="J7560" s="508">
        <v>1.5529999999999999</v>
      </c>
      <c r="K7560" s="508">
        <v>1.5529999999999999</v>
      </c>
      <c r="L7560" s="508">
        <v>1.5529999999999999</v>
      </c>
      <c r="M7560" s="508">
        <v>1.5529999999999999</v>
      </c>
      <c r="N7560" s="508">
        <v>1.5529999999999999</v>
      </c>
      <c r="O7560" s="508">
        <v>1.5529999999999999</v>
      </c>
      <c r="P7560" s="508">
        <v>1.5549999999999999</v>
      </c>
      <c r="Q7560" s="508">
        <v>1.5549999999999999</v>
      </c>
      <c r="R7560" s="508">
        <v>1.5549999999999999</v>
      </c>
      <c r="S7560" s="508">
        <v>1.5549999999999999</v>
      </c>
      <c r="T7560" s="508">
        <v>1.5549999999999999</v>
      </c>
      <c r="U7560" s="508">
        <v>1.5549999999999999</v>
      </c>
      <c r="V7560" s="508">
        <v>1.5549999999999999</v>
      </c>
      <c r="W7560" s="508">
        <v>0.85899999999999999</v>
      </c>
      <c r="X7560" s="508">
        <v>0.85899999999999999</v>
      </c>
      <c r="Y7560" s="508">
        <v>0.85899999999999999</v>
      </c>
      <c r="Z7560" s="508">
        <v>0.85899999999999999</v>
      </c>
      <c r="AA7560" s="508">
        <v>0.108</v>
      </c>
      <c r="AB7560" s="508">
        <v>0.108</v>
      </c>
      <c r="AC7560" s="508">
        <v>0.108</v>
      </c>
      <c r="AD7560" s="508">
        <v>7.2999999999999995E-2</v>
      </c>
      <c r="AE7560" s="508">
        <v>7.2999999999999995E-2</v>
      </c>
      <c r="AF7560" s="508">
        <v>6.5000000000000002E-2</v>
      </c>
      <c r="AG7560" s="508">
        <v>6.5000000000000002E-2</v>
      </c>
      <c r="AH7560" s="508">
        <v>6.5000000000000002E-2</v>
      </c>
      <c r="AI7560" s="492">
        <v>6.5000000000000002E-2</v>
      </c>
      <c r="AJ7560" s="485"/>
    </row>
    <row r="7561" spans="2:36">
      <c r="B7561" s="136" t="s">
        <v>478</v>
      </c>
      <c r="C7561" s="132" t="s">
        <v>1371</v>
      </c>
      <c r="D7561" s="132" t="s">
        <v>1381</v>
      </c>
      <c r="E7561" s="508">
        <v>1.605</v>
      </c>
      <c r="F7561" s="508">
        <v>1.605</v>
      </c>
      <c r="G7561" s="508">
        <v>1.605</v>
      </c>
      <c r="H7561" s="508">
        <v>1.605</v>
      </c>
      <c r="I7561" s="508">
        <v>1.605</v>
      </c>
      <c r="J7561" s="508">
        <v>1.605</v>
      </c>
      <c r="K7561" s="508">
        <v>1.605</v>
      </c>
      <c r="L7561" s="508">
        <v>1.605</v>
      </c>
      <c r="M7561" s="508">
        <v>1.605</v>
      </c>
      <c r="N7561" s="508">
        <v>1.605</v>
      </c>
      <c r="O7561" s="508">
        <v>1.605</v>
      </c>
      <c r="P7561" s="508">
        <v>1.607</v>
      </c>
      <c r="Q7561" s="508">
        <v>1.607</v>
      </c>
      <c r="R7561" s="508">
        <v>1.607</v>
      </c>
      <c r="S7561" s="508">
        <v>1.607</v>
      </c>
      <c r="T7561" s="508">
        <v>1.607</v>
      </c>
      <c r="U7561" s="508">
        <v>1.6060000000000001</v>
      </c>
      <c r="V7561" s="508">
        <v>1.6060000000000001</v>
      </c>
      <c r="W7561" s="508">
        <v>0.89</v>
      </c>
      <c r="X7561" s="508">
        <v>0.89</v>
      </c>
      <c r="Y7561" s="508">
        <v>0.89</v>
      </c>
      <c r="Z7561" s="508">
        <v>0.89</v>
      </c>
      <c r="AA7561" s="508">
        <v>0.112</v>
      </c>
      <c r="AB7561" s="508">
        <v>0.112</v>
      </c>
      <c r="AC7561" s="508">
        <v>0.112</v>
      </c>
      <c r="AD7561" s="508">
        <v>7.5999999999999998E-2</v>
      </c>
      <c r="AE7561" s="508">
        <v>7.5999999999999998E-2</v>
      </c>
      <c r="AF7561" s="508">
        <v>6.8000000000000005E-2</v>
      </c>
      <c r="AG7561" s="508">
        <v>6.8000000000000005E-2</v>
      </c>
      <c r="AH7561" s="508">
        <v>6.8000000000000005E-2</v>
      </c>
      <c r="AI7561" s="492">
        <v>6.8000000000000005E-2</v>
      </c>
      <c r="AJ7561" s="485"/>
    </row>
    <row r="7562" spans="2:36">
      <c r="B7562" s="136" t="s">
        <v>479</v>
      </c>
      <c r="C7562" s="132" t="s">
        <v>1371</v>
      </c>
      <c r="D7562" s="132" t="s">
        <v>1381</v>
      </c>
      <c r="E7562" s="508">
        <v>1.482</v>
      </c>
      <c r="F7562" s="508">
        <v>1.482</v>
      </c>
      <c r="G7562" s="508">
        <v>1.482</v>
      </c>
      <c r="H7562" s="508">
        <v>1.482</v>
      </c>
      <c r="I7562" s="508">
        <v>1.482</v>
      </c>
      <c r="J7562" s="508">
        <v>1.482</v>
      </c>
      <c r="K7562" s="508">
        <v>1.482</v>
      </c>
      <c r="L7562" s="508">
        <v>1.482</v>
      </c>
      <c r="M7562" s="508">
        <v>1.482</v>
      </c>
      <c r="N7562" s="508">
        <v>1.482</v>
      </c>
      <c r="O7562" s="508">
        <v>1.482</v>
      </c>
      <c r="P7562" s="508">
        <v>1.484</v>
      </c>
      <c r="Q7562" s="508">
        <v>1.484</v>
      </c>
      <c r="R7562" s="508">
        <v>1.484</v>
      </c>
      <c r="S7562" s="508">
        <v>1.484</v>
      </c>
      <c r="T7562" s="508">
        <v>1.484</v>
      </c>
      <c r="U7562" s="508">
        <v>1.4830000000000001</v>
      </c>
      <c r="V7562" s="508">
        <v>1.4830000000000001</v>
      </c>
      <c r="W7562" s="508">
        <v>0.80700000000000005</v>
      </c>
      <c r="X7562" s="508">
        <v>0.80700000000000005</v>
      </c>
      <c r="Y7562" s="508">
        <v>0.80700000000000005</v>
      </c>
      <c r="Z7562" s="508">
        <v>0.80700000000000005</v>
      </c>
      <c r="AA7562" s="508">
        <v>9.1999999999999998E-2</v>
      </c>
      <c r="AB7562" s="508">
        <v>9.1999999999999998E-2</v>
      </c>
      <c r="AC7562" s="508">
        <v>9.1999999999999998E-2</v>
      </c>
      <c r="AD7562" s="508">
        <v>5.8000000000000003E-2</v>
      </c>
      <c r="AE7562" s="508">
        <v>5.8000000000000003E-2</v>
      </c>
      <c r="AF7562" s="508">
        <v>5.0999999999999997E-2</v>
      </c>
      <c r="AG7562" s="508">
        <v>5.0999999999999997E-2</v>
      </c>
      <c r="AH7562" s="508">
        <v>5.0999999999999997E-2</v>
      </c>
      <c r="AI7562" s="492">
        <v>5.0999999999999997E-2</v>
      </c>
      <c r="AJ7562" s="485"/>
    </row>
    <row r="7563" spans="2:36">
      <c r="B7563" s="136" t="s">
        <v>480</v>
      </c>
      <c r="C7563" s="132" t="s">
        <v>1371</v>
      </c>
      <c r="D7563" s="132" t="s">
        <v>1381</v>
      </c>
      <c r="E7563" s="508">
        <v>1.419</v>
      </c>
      <c r="F7563" s="508">
        <v>1.419</v>
      </c>
      <c r="G7563" s="508">
        <v>1.419</v>
      </c>
      <c r="H7563" s="508">
        <v>1.419</v>
      </c>
      <c r="I7563" s="508">
        <v>1.419</v>
      </c>
      <c r="J7563" s="508">
        <v>1.419</v>
      </c>
      <c r="K7563" s="508">
        <v>1.419</v>
      </c>
      <c r="L7563" s="508">
        <v>1.419</v>
      </c>
      <c r="M7563" s="508">
        <v>1.419</v>
      </c>
      <c r="N7563" s="508">
        <v>1.419</v>
      </c>
      <c r="O7563" s="508">
        <v>1.419</v>
      </c>
      <c r="P7563" s="508">
        <v>1.421</v>
      </c>
      <c r="Q7563" s="508">
        <v>1.421</v>
      </c>
      <c r="R7563" s="508">
        <v>1.421</v>
      </c>
      <c r="S7563" s="508">
        <v>1.421</v>
      </c>
      <c r="T7563" s="508">
        <v>1.421</v>
      </c>
      <c r="U7563" s="508">
        <v>1.42</v>
      </c>
      <c r="V7563" s="508">
        <v>1.42</v>
      </c>
      <c r="W7563" s="508">
        <v>0.78600000000000003</v>
      </c>
      <c r="X7563" s="508">
        <v>0.78600000000000003</v>
      </c>
      <c r="Y7563" s="508">
        <v>0.78600000000000003</v>
      </c>
      <c r="Z7563" s="508">
        <v>0.78600000000000003</v>
      </c>
      <c r="AA7563" s="508">
        <v>0.10299999999999999</v>
      </c>
      <c r="AB7563" s="508">
        <v>0.10299999999999999</v>
      </c>
      <c r="AC7563" s="508">
        <v>0.10299999999999999</v>
      </c>
      <c r="AD7563" s="508">
        <v>7.1999999999999995E-2</v>
      </c>
      <c r="AE7563" s="508">
        <v>7.1999999999999995E-2</v>
      </c>
      <c r="AF7563" s="508">
        <v>6.5000000000000002E-2</v>
      </c>
      <c r="AG7563" s="508">
        <v>6.5000000000000002E-2</v>
      </c>
      <c r="AH7563" s="508">
        <v>6.5000000000000002E-2</v>
      </c>
      <c r="AI7563" s="492">
        <v>6.5000000000000002E-2</v>
      </c>
      <c r="AJ7563" s="485"/>
    </row>
    <row r="7564" spans="2:36">
      <c r="B7564" s="136" t="s">
        <v>481</v>
      </c>
      <c r="C7564" s="132" t="s">
        <v>1371</v>
      </c>
      <c r="D7564" s="132" t="s">
        <v>1381</v>
      </c>
      <c r="E7564" s="508">
        <v>1.5129999999999999</v>
      </c>
      <c r="F7564" s="508">
        <v>1.5129999999999999</v>
      </c>
      <c r="G7564" s="508">
        <v>1.5129999999999999</v>
      </c>
      <c r="H7564" s="508">
        <v>1.5129999999999999</v>
      </c>
      <c r="I7564" s="508">
        <v>1.5129999999999999</v>
      </c>
      <c r="J7564" s="508">
        <v>1.5129999999999999</v>
      </c>
      <c r="K7564" s="508">
        <v>1.5129999999999999</v>
      </c>
      <c r="L7564" s="508">
        <v>1.5129999999999999</v>
      </c>
      <c r="M7564" s="508">
        <v>1.5129999999999999</v>
      </c>
      <c r="N7564" s="508">
        <v>1.5129999999999999</v>
      </c>
      <c r="O7564" s="508">
        <v>1.5129999999999999</v>
      </c>
      <c r="P7564" s="508">
        <v>1.5149999999999999</v>
      </c>
      <c r="Q7564" s="508">
        <v>1.5149999999999999</v>
      </c>
      <c r="R7564" s="508">
        <v>1.5149999999999999</v>
      </c>
      <c r="S7564" s="508">
        <v>1.5149999999999999</v>
      </c>
      <c r="T7564" s="508">
        <v>1.5149999999999999</v>
      </c>
      <c r="U7564" s="508">
        <v>1.514</v>
      </c>
      <c r="V7564" s="508">
        <v>1.514</v>
      </c>
      <c r="W7564" s="508">
        <v>0.82899999999999996</v>
      </c>
      <c r="X7564" s="508">
        <v>0.82899999999999996</v>
      </c>
      <c r="Y7564" s="508">
        <v>0.82899999999999996</v>
      </c>
      <c r="Z7564" s="508">
        <v>0.82899999999999996</v>
      </c>
      <c r="AA7564" s="508">
        <v>9.8000000000000004E-2</v>
      </c>
      <c r="AB7564" s="508">
        <v>9.8000000000000004E-2</v>
      </c>
      <c r="AC7564" s="508">
        <v>9.8000000000000004E-2</v>
      </c>
      <c r="AD7564" s="508">
        <v>6.4000000000000001E-2</v>
      </c>
      <c r="AE7564" s="508">
        <v>6.4000000000000001E-2</v>
      </c>
      <c r="AF7564" s="508">
        <v>5.6000000000000001E-2</v>
      </c>
      <c r="AG7564" s="508">
        <v>5.6000000000000001E-2</v>
      </c>
      <c r="AH7564" s="508">
        <v>5.6000000000000001E-2</v>
      </c>
      <c r="AI7564" s="492">
        <v>5.6000000000000001E-2</v>
      </c>
      <c r="AJ7564" s="485"/>
    </row>
    <row r="7565" spans="2:36">
      <c r="B7565" s="136" t="s">
        <v>482</v>
      </c>
      <c r="C7565" s="132" t="s">
        <v>1371</v>
      </c>
      <c r="D7565" s="132" t="s">
        <v>1381</v>
      </c>
      <c r="E7565" s="508">
        <v>1.4970000000000001</v>
      </c>
      <c r="F7565" s="508">
        <v>1.4970000000000001</v>
      </c>
      <c r="G7565" s="508">
        <v>1.4970000000000001</v>
      </c>
      <c r="H7565" s="508">
        <v>1.4970000000000001</v>
      </c>
      <c r="I7565" s="508">
        <v>1.4970000000000001</v>
      </c>
      <c r="J7565" s="508">
        <v>1.4970000000000001</v>
      </c>
      <c r="K7565" s="508">
        <v>1.4970000000000001</v>
      </c>
      <c r="L7565" s="508">
        <v>1.4970000000000001</v>
      </c>
      <c r="M7565" s="508">
        <v>1.4970000000000001</v>
      </c>
      <c r="N7565" s="508">
        <v>1.4970000000000001</v>
      </c>
      <c r="O7565" s="508">
        <v>1.4970000000000001</v>
      </c>
      <c r="P7565" s="508">
        <v>1.4990000000000001</v>
      </c>
      <c r="Q7565" s="508">
        <v>1.4990000000000001</v>
      </c>
      <c r="R7565" s="508">
        <v>1.4990000000000001</v>
      </c>
      <c r="S7565" s="508">
        <v>1.4990000000000001</v>
      </c>
      <c r="T7565" s="508">
        <v>1.4990000000000001</v>
      </c>
      <c r="U7565" s="508">
        <v>1.498</v>
      </c>
      <c r="V7565" s="508">
        <v>1.498</v>
      </c>
      <c r="W7565" s="508">
        <v>0.81399999999999995</v>
      </c>
      <c r="X7565" s="508">
        <v>0.81399999999999995</v>
      </c>
      <c r="Y7565" s="508">
        <v>0.81399999999999995</v>
      </c>
      <c r="Z7565" s="508">
        <v>0.81399999999999995</v>
      </c>
      <c r="AA7565" s="508">
        <v>0.09</v>
      </c>
      <c r="AB7565" s="508">
        <v>0.09</v>
      </c>
      <c r="AC7565" s="508">
        <v>0.09</v>
      </c>
      <c r="AD7565" s="508">
        <v>5.6000000000000001E-2</v>
      </c>
      <c r="AE7565" s="508">
        <v>5.6000000000000001E-2</v>
      </c>
      <c r="AF7565" s="508">
        <v>4.8000000000000001E-2</v>
      </c>
      <c r="AG7565" s="508">
        <v>4.8000000000000001E-2</v>
      </c>
      <c r="AH7565" s="508">
        <v>4.8000000000000001E-2</v>
      </c>
      <c r="AI7565" s="492">
        <v>4.8000000000000001E-2</v>
      </c>
      <c r="AJ7565" s="485"/>
    </row>
    <row r="7566" spans="2:36">
      <c r="B7566" s="136" t="s">
        <v>483</v>
      </c>
      <c r="C7566" s="132" t="s">
        <v>1371</v>
      </c>
      <c r="D7566" s="132" t="s">
        <v>1381</v>
      </c>
      <c r="E7566" s="508">
        <v>1.5980000000000001</v>
      </c>
      <c r="F7566" s="508">
        <v>1.5980000000000001</v>
      </c>
      <c r="G7566" s="508">
        <v>1.5980000000000001</v>
      </c>
      <c r="H7566" s="508">
        <v>1.5980000000000001</v>
      </c>
      <c r="I7566" s="508">
        <v>1.5980000000000001</v>
      </c>
      <c r="J7566" s="508">
        <v>1.5980000000000001</v>
      </c>
      <c r="K7566" s="508">
        <v>1.5980000000000001</v>
      </c>
      <c r="L7566" s="508">
        <v>1.5980000000000001</v>
      </c>
      <c r="M7566" s="508">
        <v>1.5980000000000001</v>
      </c>
      <c r="N7566" s="508">
        <v>1.5980000000000001</v>
      </c>
      <c r="O7566" s="508">
        <v>1.5980000000000001</v>
      </c>
      <c r="P7566" s="508">
        <v>1.6</v>
      </c>
      <c r="Q7566" s="508">
        <v>1.6</v>
      </c>
      <c r="R7566" s="508">
        <v>1.6</v>
      </c>
      <c r="S7566" s="508">
        <v>1.6</v>
      </c>
      <c r="T7566" s="508">
        <v>1.6</v>
      </c>
      <c r="U7566" s="508">
        <v>1.599</v>
      </c>
      <c r="V7566" s="508">
        <v>1.599</v>
      </c>
      <c r="W7566" s="508">
        <v>0.88700000000000001</v>
      </c>
      <c r="X7566" s="508">
        <v>0.88700000000000001</v>
      </c>
      <c r="Y7566" s="508">
        <v>0.88700000000000001</v>
      </c>
      <c r="Z7566" s="508">
        <v>0.88700000000000001</v>
      </c>
      <c r="AA7566" s="508">
        <v>0.113</v>
      </c>
      <c r="AB7566" s="508">
        <v>0.113</v>
      </c>
      <c r="AC7566" s="508">
        <v>0.113</v>
      </c>
      <c r="AD7566" s="508">
        <v>7.6999999999999999E-2</v>
      </c>
      <c r="AE7566" s="508">
        <v>7.6999999999999999E-2</v>
      </c>
      <c r="AF7566" s="508">
        <v>6.9000000000000006E-2</v>
      </c>
      <c r="AG7566" s="508">
        <v>6.9000000000000006E-2</v>
      </c>
      <c r="AH7566" s="508">
        <v>6.9000000000000006E-2</v>
      </c>
      <c r="AI7566" s="492">
        <v>6.9000000000000006E-2</v>
      </c>
      <c r="AJ7566" s="485"/>
    </row>
    <row r="7567" spans="2:36">
      <c r="B7567" s="136" t="s">
        <v>484</v>
      </c>
      <c r="C7567" s="132" t="s">
        <v>1371</v>
      </c>
      <c r="D7567" s="132" t="s">
        <v>1381</v>
      </c>
      <c r="E7567" s="508">
        <v>1.4339999999999999</v>
      </c>
      <c r="F7567" s="508">
        <v>1.4339999999999999</v>
      </c>
      <c r="G7567" s="508">
        <v>1.4339999999999999</v>
      </c>
      <c r="H7567" s="508">
        <v>1.4339999999999999</v>
      </c>
      <c r="I7567" s="508">
        <v>1.4350000000000001</v>
      </c>
      <c r="J7567" s="508">
        <v>1.4339999999999999</v>
      </c>
      <c r="K7567" s="508">
        <v>1.4339999999999999</v>
      </c>
      <c r="L7567" s="508">
        <v>1.4339999999999999</v>
      </c>
      <c r="M7567" s="508">
        <v>1.4339999999999999</v>
      </c>
      <c r="N7567" s="508">
        <v>1.4339999999999999</v>
      </c>
      <c r="O7567" s="508">
        <v>1.4339999999999999</v>
      </c>
      <c r="P7567" s="508">
        <v>1.4359999999999999</v>
      </c>
      <c r="Q7567" s="508">
        <v>1.4359999999999999</v>
      </c>
      <c r="R7567" s="508">
        <v>1.4359999999999999</v>
      </c>
      <c r="S7567" s="508">
        <v>1.4359999999999999</v>
      </c>
      <c r="T7567" s="508">
        <v>1.4359999999999999</v>
      </c>
      <c r="U7567" s="508">
        <v>1.4359999999999999</v>
      </c>
      <c r="V7567" s="508">
        <v>1.4359999999999999</v>
      </c>
      <c r="W7567" s="508">
        <v>0.79700000000000004</v>
      </c>
      <c r="X7567" s="508">
        <v>0.79700000000000004</v>
      </c>
      <c r="Y7567" s="508">
        <v>0.79700000000000004</v>
      </c>
      <c r="Z7567" s="508">
        <v>0.79700000000000004</v>
      </c>
      <c r="AA7567" s="508">
        <v>0.105</v>
      </c>
      <c r="AB7567" s="508">
        <v>0.105</v>
      </c>
      <c r="AC7567" s="508">
        <v>0.105</v>
      </c>
      <c r="AD7567" s="508">
        <v>7.2999999999999995E-2</v>
      </c>
      <c r="AE7567" s="508">
        <v>7.2999999999999995E-2</v>
      </c>
      <c r="AF7567" s="508">
        <v>6.7000000000000004E-2</v>
      </c>
      <c r="AG7567" s="508">
        <v>6.6000000000000003E-2</v>
      </c>
      <c r="AH7567" s="508">
        <v>6.6000000000000003E-2</v>
      </c>
      <c r="AI7567" s="492">
        <v>6.6000000000000003E-2</v>
      </c>
      <c r="AJ7567" s="485"/>
    </row>
    <row r="7568" spans="2:36">
      <c r="B7568" s="136" t="s">
        <v>486</v>
      </c>
      <c r="C7568" s="132" t="s">
        <v>1371</v>
      </c>
      <c r="D7568" s="132" t="s">
        <v>1381</v>
      </c>
      <c r="E7568" s="508">
        <v>1.522</v>
      </c>
      <c r="F7568" s="508">
        <v>1.522</v>
      </c>
      <c r="G7568" s="508">
        <v>1.522</v>
      </c>
      <c r="H7568" s="508">
        <v>1.522</v>
      </c>
      <c r="I7568" s="508">
        <v>1.522</v>
      </c>
      <c r="J7568" s="508">
        <v>1.522</v>
      </c>
      <c r="K7568" s="508">
        <v>1.522</v>
      </c>
      <c r="L7568" s="508">
        <v>1.522</v>
      </c>
      <c r="M7568" s="508">
        <v>1.522</v>
      </c>
      <c r="N7568" s="508">
        <v>1.522</v>
      </c>
      <c r="O7568" s="508">
        <v>1.522</v>
      </c>
      <c r="P7568" s="508">
        <v>1.524</v>
      </c>
      <c r="Q7568" s="508">
        <v>1.524</v>
      </c>
      <c r="R7568" s="508">
        <v>1.524</v>
      </c>
      <c r="S7568" s="508">
        <v>1.524</v>
      </c>
      <c r="T7568" s="508">
        <v>1.524</v>
      </c>
      <c r="U7568" s="508">
        <v>1.524</v>
      </c>
      <c r="V7568" s="508">
        <v>1.524</v>
      </c>
      <c r="W7568" s="508">
        <v>0.83599999999999997</v>
      </c>
      <c r="X7568" s="508">
        <v>0.83599999999999997</v>
      </c>
      <c r="Y7568" s="508">
        <v>0.83599999999999997</v>
      </c>
      <c r="Z7568" s="508">
        <v>0.83599999999999997</v>
      </c>
      <c r="AA7568" s="508">
        <v>0.1</v>
      </c>
      <c r="AB7568" s="508">
        <v>0.1</v>
      </c>
      <c r="AC7568" s="508">
        <v>0.1</v>
      </c>
      <c r="AD7568" s="508">
        <v>6.6000000000000003E-2</v>
      </c>
      <c r="AE7568" s="508">
        <v>6.6000000000000003E-2</v>
      </c>
      <c r="AF7568" s="508">
        <v>5.8000000000000003E-2</v>
      </c>
      <c r="AG7568" s="508">
        <v>5.8000000000000003E-2</v>
      </c>
      <c r="AH7568" s="508">
        <v>5.8000000000000003E-2</v>
      </c>
      <c r="AI7568" s="492">
        <v>5.8000000000000003E-2</v>
      </c>
      <c r="AJ7568" s="485"/>
    </row>
    <row r="7569" spans="2:36">
      <c r="B7569" s="136" t="s">
        <v>487</v>
      </c>
      <c r="C7569" s="132" t="s">
        <v>1371</v>
      </c>
      <c r="D7569" s="132" t="s">
        <v>1381</v>
      </c>
      <c r="E7569" s="508">
        <v>1.5369999999999999</v>
      </c>
      <c r="F7569" s="508">
        <v>1.5369999999999999</v>
      </c>
      <c r="G7569" s="508">
        <v>1.5369999999999999</v>
      </c>
      <c r="H7569" s="508">
        <v>1.5369999999999999</v>
      </c>
      <c r="I7569" s="508">
        <v>1.5369999999999999</v>
      </c>
      <c r="J7569" s="508">
        <v>1.5369999999999999</v>
      </c>
      <c r="K7569" s="508">
        <v>1.5369999999999999</v>
      </c>
      <c r="L7569" s="508">
        <v>1.5369999999999999</v>
      </c>
      <c r="M7569" s="508">
        <v>1.5369999999999999</v>
      </c>
      <c r="N7569" s="508">
        <v>1.5369999999999999</v>
      </c>
      <c r="O7569" s="508">
        <v>1.5369999999999999</v>
      </c>
      <c r="P7569" s="508">
        <v>1.5389999999999999</v>
      </c>
      <c r="Q7569" s="508">
        <v>1.5389999999999999</v>
      </c>
      <c r="R7569" s="508">
        <v>1.5389999999999999</v>
      </c>
      <c r="S7569" s="508">
        <v>1.5389999999999999</v>
      </c>
      <c r="T7569" s="508">
        <v>1.5389999999999999</v>
      </c>
      <c r="U7569" s="508">
        <v>1.5389999999999999</v>
      </c>
      <c r="V7569" s="508">
        <v>1.5389999999999999</v>
      </c>
      <c r="W7569" s="508">
        <v>0.85099999999999998</v>
      </c>
      <c r="X7569" s="508">
        <v>0.85099999999999998</v>
      </c>
      <c r="Y7569" s="508">
        <v>0.85099999999999998</v>
      </c>
      <c r="Z7569" s="508">
        <v>0.85099999999999998</v>
      </c>
      <c r="AA7569" s="508">
        <v>0.107</v>
      </c>
      <c r="AB7569" s="508">
        <v>0.107</v>
      </c>
      <c r="AC7569" s="508">
        <v>0.107</v>
      </c>
      <c r="AD7569" s="508">
        <v>7.2999999999999995E-2</v>
      </c>
      <c r="AE7569" s="508">
        <v>7.2999999999999995E-2</v>
      </c>
      <c r="AF7569" s="508">
        <v>6.5000000000000002E-2</v>
      </c>
      <c r="AG7569" s="508">
        <v>6.5000000000000002E-2</v>
      </c>
      <c r="AH7569" s="508">
        <v>6.5000000000000002E-2</v>
      </c>
      <c r="AI7569" s="492">
        <v>6.5000000000000002E-2</v>
      </c>
      <c r="AJ7569" s="485"/>
    </row>
    <row r="7570" spans="2:36">
      <c r="B7570" s="136" t="s">
        <v>488</v>
      </c>
      <c r="C7570" s="132" t="s">
        <v>1371</v>
      </c>
      <c r="D7570" s="132" t="s">
        <v>1381</v>
      </c>
      <c r="E7570" s="508">
        <v>1.4450000000000001</v>
      </c>
      <c r="F7570" s="508">
        <v>1.4450000000000001</v>
      </c>
      <c r="G7570" s="508">
        <v>1.4450000000000001</v>
      </c>
      <c r="H7570" s="508">
        <v>1.4450000000000001</v>
      </c>
      <c r="I7570" s="508">
        <v>1.4450000000000001</v>
      </c>
      <c r="J7570" s="508">
        <v>1.4450000000000001</v>
      </c>
      <c r="K7570" s="508">
        <v>1.4450000000000001</v>
      </c>
      <c r="L7570" s="508">
        <v>1.4450000000000001</v>
      </c>
      <c r="M7570" s="508">
        <v>1.4450000000000001</v>
      </c>
      <c r="N7570" s="508">
        <v>1.4450000000000001</v>
      </c>
      <c r="O7570" s="508">
        <v>1.4450000000000001</v>
      </c>
      <c r="P7570" s="508">
        <v>1.4470000000000001</v>
      </c>
      <c r="Q7570" s="508">
        <v>1.4470000000000001</v>
      </c>
      <c r="R7570" s="508">
        <v>1.4470000000000001</v>
      </c>
      <c r="S7570" s="508">
        <v>1.4470000000000001</v>
      </c>
      <c r="T7570" s="508">
        <v>1.4470000000000001</v>
      </c>
      <c r="U7570" s="508">
        <v>1.446</v>
      </c>
      <c r="V7570" s="508">
        <v>1.446</v>
      </c>
      <c r="W7570" s="508">
        <v>0.79600000000000004</v>
      </c>
      <c r="X7570" s="508">
        <v>0.79600000000000004</v>
      </c>
      <c r="Y7570" s="508">
        <v>0.79600000000000004</v>
      </c>
      <c r="Z7570" s="508">
        <v>0.79600000000000004</v>
      </c>
      <c r="AA7570" s="508">
        <v>9.9000000000000005E-2</v>
      </c>
      <c r="AB7570" s="508">
        <v>9.9000000000000005E-2</v>
      </c>
      <c r="AC7570" s="508">
        <v>9.9000000000000005E-2</v>
      </c>
      <c r="AD7570" s="508">
        <v>6.6000000000000003E-2</v>
      </c>
      <c r="AE7570" s="508">
        <v>6.6000000000000003E-2</v>
      </c>
      <c r="AF7570" s="508">
        <v>5.8999999999999997E-2</v>
      </c>
      <c r="AG7570" s="508">
        <v>5.8999999999999997E-2</v>
      </c>
      <c r="AH7570" s="508">
        <v>5.8999999999999997E-2</v>
      </c>
      <c r="AI7570" s="492">
        <v>5.8999999999999997E-2</v>
      </c>
      <c r="AJ7570" s="485"/>
    </row>
    <row r="7571" spans="2:36">
      <c r="B7571" s="136" t="s">
        <v>489</v>
      </c>
      <c r="C7571" s="132" t="s">
        <v>1371</v>
      </c>
      <c r="D7571" s="132" t="s">
        <v>1381</v>
      </c>
      <c r="E7571" s="508">
        <v>1.504</v>
      </c>
      <c r="F7571" s="508">
        <v>1.504</v>
      </c>
      <c r="G7571" s="508">
        <v>1.504</v>
      </c>
      <c r="H7571" s="508">
        <v>1.504</v>
      </c>
      <c r="I7571" s="508">
        <v>1.504</v>
      </c>
      <c r="J7571" s="508">
        <v>1.504</v>
      </c>
      <c r="K7571" s="508">
        <v>1.504</v>
      </c>
      <c r="L7571" s="508">
        <v>1.504</v>
      </c>
      <c r="M7571" s="508">
        <v>1.504</v>
      </c>
      <c r="N7571" s="508">
        <v>1.504</v>
      </c>
      <c r="O7571" s="508">
        <v>1.504</v>
      </c>
      <c r="P7571" s="508">
        <v>1.506</v>
      </c>
      <c r="Q7571" s="508">
        <v>1.506</v>
      </c>
      <c r="R7571" s="508">
        <v>1.506</v>
      </c>
      <c r="S7571" s="508">
        <v>1.506</v>
      </c>
      <c r="T7571" s="508">
        <v>1.506</v>
      </c>
      <c r="U7571" s="508">
        <v>1.5049999999999999</v>
      </c>
      <c r="V7571" s="508">
        <v>1.5049999999999999</v>
      </c>
      <c r="W7571" s="508">
        <v>0.83699999999999997</v>
      </c>
      <c r="X7571" s="508">
        <v>0.83699999999999997</v>
      </c>
      <c r="Y7571" s="508">
        <v>0.83699999999999997</v>
      </c>
      <c r="Z7571" s="508">
        <v>0.83699999999999997</v>
      </c>
      <c r="AA7571" s="508">
        <v>0.109</v>
      </c>
      <c r="AB7571" s="508">
        <v>0.109</v>
      </c>
      <c r="AC7571" s="508">
        <v>0.109</v>
      </c>
      <c r="AD7571" s="508">
        <v>7.5999999999999998E-2</v>
      </c>
      <c r="AE7571" s="508">
        <v>7.5999999999999998E-2</v>
      </c>
      <c r="AF7571" s="508">
        <v>6.9000000000000006E-2</v>
      </c>
      <c r="AG7571" s="508">
        <v>6.9000000000000006E-2</v>
      </c>
      <c r="AH7571" s="508">
        <v>6.9000000000000006E-2</v>
      </c>
      <c r="AI7571" s="492">
        <v>6.9000000000000006E-2</v>
      </c>
      <c r="AJ7571" s="485"/>
    </row>
    <row r="7572" spans="2:36">
      <c r="B7572" s="136" t="s">
        <v>490</v>
      </c>
      <c r="C7572" s="132" t="s">
        <v>1371</v>
      </c>
      <c r="D7572" s="132" t="s">
        <v>1381</v>
      </c>
      <c r="E7572" s="508">
        <v>1.4259999999999999</v>
      </c>
      <c r="F7572" s="508">
        <v>1.4259999999999999</v>
      </c>
      <c r="G7572" s="508">
        <v>1.4259999999999999</v>
      </c>
      <c r="H7572" s="508">
        <v>1.4259999999999999</v>
      </c>
      <c r="I7572" s="508">
        <v>1.4259999999999999</v>
      </c>
      <c r="J7572" s="508">
        <v>1.4259999999999999</v>
      </c>
      <c r="K7572" s="508">
        <v>1.4259999999999999</v>
      </c>
      <c r="L7572" s="508">
        <v>1.4259999999999999</v>
      </c>
      <c r="M7572" s="508">
        <v>1.4259999999999999</v>
      </c>
      <c r="N7572" s="508">
        <v>1.4259999999999999</v>
      </c>
      <c r="O7572" s="508">
        <v>1.4259999999999999</v>
      </c>
      <c r="P7572" s="508">
        <v>1.4279999999999999</v>
      </c>
      <c r="Q7572" s="508">
        <v>1.4279999999999999</v>
      </c>
      <c r="R7572" s="508">
        <v>1.4279999999999999</v>
      </c>
      <c r="S7572" s="508">
        <v>1.4279999999999999</v>
      </c>
      <c r="T7572" s="508">
        <v>1.4279999999999999</v>
      </c>
      <c r="U7572" s="508">
        <v>1.4279999999999999</v>
      </c>
      <c r="V7572" s="508">
        <v>1.4279999999999999</v>
      </c>
      <c r="W7572" s="508">
        <v>0.79100000000000004</v>
      </c>
      <c r="X7572" s="508">
        <v>0.79100000000000004</v>
      </c>
      <c r="Y7572" s="508">
        <v>0.79100000000000004</v>
      </c>
      <c r="Z7572" s="508">
        <v>0.79100000000000004</v>
      </c>
      <c r="AA7572" s="508">
        <v>0.104</v>
      </c>
      <c r="AB7572" s="508">
        <v>0.104</v>
      </c>
      <c r="AC7572" s="508">
        <v>0.104</v>
      </c>
      <c r="AD7572" s="508">
        <v>7.2999999999999995E-2</v>
      </c>
      <c r="AE7572" s="508">
        <v>7.2999999999999995E-2</v>
      </c>
      <c r="AF7572" s="508">
        <v>6.6000000000000003E-2</v>
      </c>
      <c r="AG7572" s="508">
        <v>6.6000000000000003E-2</v>
      </c>
      <c r="AH7572" s="508">
        <v>6.6000000000000003E-2</v>
      </c>
      <c r="AI7572" s="492">
        <v>6.6000000000000003E-2</v>
      </c>
      <c r="AJ7572" s="485"/>
    </row>
    <row r="7573" spans="2:36">
      <c r="B7573" s="136" t="s">
        <v>435</v>
      </c>
      <c r="C7573" s="132" t="s">
        <v>1372</v>
      </c>
      <c r="D7573" s="132" t="s">
        <v>1381</v>
      </c>
      <c r="E7573" s="508">
        <v>3.5830000000000002</v>
      </c>
      <c r="F7573" s="508">
        <v>3.395</v>
      </c>
      <c r="G7573" s="508">
        <v>3.3820000000000001</v>
      </c>
      <c r="H7573" s="508">
        <v>3.4319999999999999</v>
      </c>
      <c r="I7573" s="508">
        <v>3.4319999999999999</v>
      </c>
      <c r="J7573" s="508">
        <v>2.508</v>
      </c>
      <c r="K7573" s="508">
        <v>2.508</v>
      </c>
      <c r="L7573" s="508">
        <v>2.5070000000000001</v>
      </c>
      <c r="M7573" s="508">
        <v>2.508</v>
      </c>
      <c r="N7573" s="508">
        <v>2.528</v>
      </c>
      <c r="O7573" s="508">
        <v>2.528</v>
      </c>
      <c r="P7573" s="508">
        <v>2.665</v>
      </c>
      <c r="Q7573" s="508">
        <v>2.6869999999999998</v>
      </c>
      <c r="R7573" s="508">
        <v>1.65</v>
      </c>
      <c r="S7573" s="508">
        <v>1.6519999999999999</v>
      </c>
      <c r="T7573" s="508">
        <v>1.6559999999999999</v>
      </c>
      <c r="U7573" s="508">
        <v>1.3939999999999999</v>
      </c>
      <c r="V7573" s="508">
        <v>1.395</v>
      </c>
      <c r="W7573" s="508">
        <v>1.395</v>
      </c>
      <c r="X7573" s="508">
        <v>1.395</v>
      </c>
      <c r="Y7573" s="508">
        <v>0.97299999999999998</v>
      </c>
      <c r="Z7573" s="508">
        <v>0.95199999999999996</v>
      </c>
      <c r="AA7573" s="508">
        <v>0.95199999999999996</v>
      </c>
      <c r="AB7573" s="508">
        <v>0.28999999999999998</v>
      </c>
      <c r="AC7573" s="508">
        <v>0.28899999999999998</v>
      </c>
      <c r="AD7573" s="508">
        <v>0.13400000000000001</v>
      </c>
      <c r="AE7573" s="508">
        <v>0.128</v>
      </c>
      <c r="AF7573" s="508">
        <v>0.11799999999999999</v>
      </c>
      <c r="AG7573" s="508">
        <v>0.115</v>
      </c>
      <c r="AH7573" s="508">
        <v>0.115</v>
      </c>
      <c r="AI7573" s="492">
        <v>0.115</v>
      </c>
      <c r="AJ7573" s="485"/>
    </row>
    <row r="7574" spans="2:36">
      <c r="B7574" s="136" t="s">
        <v>436</v>
      </c>
      <c r="C7574" s="132" t="s">
        <v>1372</v>
      </c>
      <c r="D7574" s="132" t="s">
        <v>1381</v>
      </c>
      <c r="E7574" s="508">
        <v>3.7160000000000002</v>
      </c>
      <c r="F7574" s="508">
        <v>3.306</v>
      </c>
      <c r="G7574" s="508">
        <v>3.2930000000000001</v>
      </c>
      <c r="H7574" s="508">
        <v>3.3439999999999999</v>
      </c>
      <c r="I7574" s="508">
        <v>3.3439999999999999</v>
      </c>
      <c r="J7574" s="508">
        <v>2.5510000000000002</v>
      </c>
      <c r="K7574" s="508">
        <v>2.5510000000000002</v>
      </c>
      <c r="L7574" s="508">
        <v>2.5499999999999998</v>
      </c>
      <c r="M7574" s="508">
        <v>2.5510000000000002</v>
      </c>
      <c r="N7574" s="508">
        <v>2.57</v>
      </c>
      <c r="O7574" s="508">
        <v>2.57</v>
      </c>
      <c r="P7574" s="508">
        <v>2.7130000000000001</v>
      </c>
      <c r="Q7574" s="508">
        <v>2.7360000000000002</v>
      </c>
      <c r="R7574" s="508">
        <v>1.716</v>
      </c>
      <c r="S7574" s="508">
        <v>1.7190000000000001</v>
      </c>
      <c r="T7574" s="508">
        <v>1.7230000000000001</v>
      </c>
      <c r="U7574" s="508">
        <v>1.4810000000000001</v>
      </c>
      <c r="V7574" s="508">
        <v>1.4810000000000001</v>
      </c>
      <c r="W7574" s="508">
        <v>1.4810000000000001</v>
      </c>
      <c r="X7574" s="508">
        <v>1.4810000000000001</v>
      </c>
      <c r="Y7574" s="508">
        <v>1.0649999999999999</v>
      </c>
      <c r="Z7574" s="508">
        <v>0.98299999999999998</v>
      </c>
      <c r="AA7574" s="508">
        <v>0.98299999999999998</v>
      </c>
      <c r="AB7574" s="508">
        <v>0.35599999999999998</v>
      </c>
      <c r="AC7574" s="508">
        <v>0.35599999999999998</v>
      </c>
      <c r="AD7574" s="508">
        <v>0.20100000000000001</v>
      </c>
      <c r="AE7574" s="508">
        <v>0.18099999999999999</v>
      </c>
      <c r="AF7574" s="508">
        <v>0.159</v>
      </c>
      <c r="AG7574" s="508">
        <v>0.14799999999999999</v>
      </c>
      <c r="AH7574" s="508">
        <v>0.14699999999999999</v>
      </c>
      <c r="AI7574" s="492">
        <v>0.14699999999999999</v>
      </c>
      <c r="AJ7574" s="485"/>
    </row>
    <row r="7575" spans="2:36">
      <c r="B7575" s="136" t="s">
        <v>437</v>
      </c>
      <c r="C7575" s="132" t="s">
        <v>1372</v>
      </c>
      <c r="D7575" s="132" t="s">
        <v>1381</v>
      </c>
      <c r="E7575" s="508">
        <v>3.1970000000000001</v>
      </c>
      <c r="F7575" s="508">
        <v>1.5760000000000001</v>
      </c>
      <c r="G7575" s="508">
        <v>1.169</v>
      </c>
      <c r="H7575" s="508">
        <v>1.093</v>
      </c>
      <c r="I7575" s="508">
        <v>0.97499999999999998</v>
      </c>
      <c r="J7575" s="508">
        <v>0.33900000000000002</v>
      </c>
      <c r="K7575" s="508">
        <v>0.23499999999999999</v>
      </c>
      <c r="L7575" s="508">
        <v>2.4E-2</v>
      </c>
      <c r="M7575" s="508">
        <v>0.32800000000000001</v>
      </c>
      <c r="N7575" s="508">
        <v>0.42599999999999999</v>
      </c>
      <c r="O7575" s="508">
        <v>0.318</v>
      </c>
      <c r="P7575" s="508">
        <v>0.113</v>
      </c>
      <c r="Q7575" s="508">
        <v>2.7E-2</v>
      </c>
      <c r="R7575" s="508">
        <v>1.6E-2</v>
      </c>
      <c r="S7575" s="508">
        <v>1.6E-2</v>
      </c>
      <c r="T7575" s="508">
        <v>1.6E-2</v>
      </c>
      <c r="U7575" s="508">
        <v>1.2999999999999999E-2</v>
      </c>
      <c r="V7575" s="508">
        <v>1.2999999999999999E-2</v>
      </c>
      <c r="W7575" s="508">
        <v>1.2999999999999999E-2</v>
      </c>
      <c r="X7575" s="508">
        <v>1.2999999999999999E-2</v>
      </c>
      <c r="Y7575" s="508">
        <v>8.9999999999999993E-3</v>
      </c>
      <c r="Z7575" s="508">
        <v>8.9999999999999993E-3</v>
      </c>
      <c r="AA7575" s="508">
        <v>8.9999999999999993E-3</v>
      </c>
      <c r="AB7575" s="508">
        <v>3.0000000000000001E-3</v>
      </c>
      <c r="AC7575" s="508">
        <v>3.0000000000000001E-3</v>
      </c>
      <c r="AD7575" s="508">
        <v>1E-3</v>
      </c>
      <c r="AE7575" s="508">
        <v>1E-3</v>
      </c>
      <c r="AF7575" s="508">
        <v>1E-3</v>
      </c>
      <c r="AG7575" s="508">
        <v>1E-3</v>
      </c>
      <c r="AH7575" s="508">
        <v>1E-3</v>
      </c>
      <c r="AI7575" s="492">
        <v>1E-3</v>
      </c>
      <c r="AJ7575" s="485"/>
    </row>
    <row r="7576" spans="2:36">
      <c r="B7576" s="136" t="s">
        <v>438</v>
      </c>
      <c r="C7576" s="132" t="s">
        <v>1372</v>
      </c>
      <c r="D7576" s="132" t="s">
        <v>1381</v>
      </c>
      <c r="E7576" s="508">
        <v>3.2829999999999999</v>
      </c>
      <c r="F7576" s="508">
        <v>3.0840000000000001</v>
      </c>
      <c r="G7576" s="508">
        <v>3.0720000000000001</v>
      </c>
      <c r="H7576" s="508">
        <v>3.117</v>
      </c>
      <c r="I7576" s="508">
        <v>3.117</v>
      </c>
      <c r="J7576" s="508">
        <v>2.343</v>
      </c>
      <c r="K7576" s="508">
        <v>2.343</v>
      </c>
      <c r="L7576" s="508">
        <v>2.3420000000000001</v>
      </c>
      <c r="M7576" s="508">
        <v>2.343</v>
      </c>
      <c r="N7576" s="508">
        <v>2.3610000000000002</v>
      </c>
      <c r="O7576" s="508">
        <v>2.3610000000000002</v>
      </c>
      <c r="P7576" s="508">
        <v>2.4900000000000002</v>
      </c>
      <c r="Q7576" s="508">
        <v>2.5110000000000001</v>
      </c>
      <c r="R7576" s="508">
        <v>1.498</v>
      </c>
      <c r="S7576" s="508">
        <v>1.5009999999999999</v>
      </c>
      <c r="T7576" s="508">
        <v>1.504</v>
      </c>
      <c r="U7576" s="508">
        <v>1.3009999999999999</v>
      </c>
      <c r="V7576" s="508">
        <v>1.3009999999999999</v>
      </c>
      <c r="W7576" s="508">
        <v>1.3009999999999999</v>
      </c>
      <c r="X7576" s="508">
        <v>1.3009999999999999</v>
      </c>
      <c r="Y7576" s="508">
        <v>0.89200000000000002</v>
      </c>
      <c r="Z7576" s="508">
        <v>0.86499999999999999</v>
      </c>
      <c r="AA7576" s="508">
        <v>0.86499999999999999</v>
      </c>
      <c r="AB7576" s="508">
        <v>0.26700000000000002</v>
      </c>
      <c r="AC7576" s="508">
        <v>0.26700000000000002</v>
      </c>
      <c r="AD7576" s="508">
        <v>0.13</v>
      </c>
      <c r="AE7576" s="508">
        <v>0.123</v>
      </c>
      <c r="AF7576" s="508">
        <v>0.112</v>
      </c>
      <c r="AG7576" s="508">
        <v>0.109</v>
      </c>
      <c r="AH7576" s="508">
        <v>0.108</v>
      </c>
      <c r="AI7576" s="492">
        <v>0.108</v>
      </c>
      <c r="AJ7576" s="485"/>
    </row>
    <row r="7577" spans="2:36">
      <c r="B7577" s="136" t="s">
        <v>439</v>
      </c>
      <c r="C7577" s="132" t="s">
        <v>1372</v>
      </c>
      <c r="D7577" s="132" t="s">
        <v>1381</v>
      </c>
      <c r="E7577" s="508">
        <v>3.3439999999999999</v>
      </c>
      <c r="F7577" s="508">
        <v>3.1459999999999999</v>
      </c>
      <c r="G7577" s="508">
        <v>3.1339999999999999</v>
      </c>
      <c r="H7577" s="508">
        <v>3.181</v>
      </c>
      <c r="I7577" s="508">
        <v>3.181</v>
      </c>
      <c r="J7577" s="508">
        <v>2.35</v>
      </c>
      <c r="K7577" s="508">
        <v>2.35</v>
      </c>
      <c r="L7577" s="508">
        <v>2.3490000000000002</v>
      </c>
      <c r="M7577" s="508">
        <v>2.35</v>
      </c>
      <c r="N7577" s="508">
        <v>2.4660000000000002</v>
      </c>
      <c r="O7577" s="508">
        <v>2.4660000000000002</v>
      </c>
      <c r="P7577" s="508">
        <v>2.601</v>
      </c>
      <c r="Q7577" s="508">
        <v>2.6230000000000002</v>
      </c>
      <c r="R7577" s="508">
        <v>1.6240000000000001</v>
      </c>
      <c r="S7577" s="508">
        <v>1.627</v>
      </c>
      <c r="T7577" s="508">
        <v>1.631</v>
      </c>
      <c r="U7577" s="508">
        <v>1.276</v>
      </c>
      <c r="V7577" s="508">
        <v>1.276</v>
      </c>
      <c r="W7577" s="508">
        <v>1.276</v>
      </c>
      <c r="X7577" s="508">
        <v>1.276</v>
      </c>
      <c r="Y7577" s="508">
        <v>0.79900000000000004</v>
      </c>
      <c r="Z7577" s="508">
        <v>0.78</v>
      </c>
      <c r="AA7577" s="508">
        <v>0.78</v>
      </c>
      <c r="AB7577" s="508">
        <v>0.23699999999999999</v>
      </c>
      <c r="AC7577" s="508">
        <v>0.23699999999999999</v>
      </c>
      <c r="AD7577" s="508">
        <v>0.11799999999999999</v>
      </c>
      <c r="AE7577" s="508">
        <v>0.112</v>
      </c>
      <c r="AF7577" s="508">
        <v>0.10100000000000001</v>
      </c>
      <c r="AG7577" s="508">
        <v>9.8000000000000004E-2</v>
      </c>
      <c r="AH7577" s="508">
        <v>9.8000000000000004E-2</v>
      </c>
      <c r="AI7577" s="492">
        <v>9.8000000000000004E-2</v>
      </c>
      <c r="AJ7577" s="485"/>
    </row>
    <row r="7578" spans="2:36">
      <c r="B7578" s="136" t="s">
        <v>440</v>
      </c>
      <c r="C7578" s="132" t="s">
        <v>1372</v>
      </c>
      <c r="D7578" s="132" t="s">
        <v>1381</v>
      </c>
      <c r="E7578" s="508">
        <v>3.4860000000000002</v>
      </c>
      <c r="F7578" s="508">
        <v>1.651</v>
      </c>
      <c r="G7578" s="508">
        <v>1.2250000000000001</v>
      </c>
      <c r="H7578" s="508">
        <v>1.145</v>
      </c>
      <c r="I7578" s="508">
        <v>1.022</v>
      </c>
      <c r="J7578" s="508">
        <v>0.36199999999999999</v>
      </c>
      <c r="K7578" s="508">
        <v>0.252</v>
      </c>
      <c r="L7578" s="508">
        <v>2.5999999999999999E-2</v>
      </c>
      <c r="M7578" s="508">
        <v>0.35099999999999998</v>
      </c>
      <c r="N7578" s="508">
        <v>0.44600000000000001</v>
      </c>
      <c r="O7578" s="508">
        <v>0.33300000000000002</v>
      </c>
      <c r="P7578" s="508">
        <v>0.11799999999999999</v>
      </c>
      <c r="Q7578" s="508">
        <v>2.8000000000000001E-2</v>
      </c>
      <c r="R7578" s="508">
        <v>1.7000000000000001E-2</v>
      </c>
      <c r="S7578" s="508">
        <v>1.7000000000000001E-2</v>
      </c>
      <c r="T7578" s="508">
        <v>1.7000000000000001E-2</v>
      </c>
      <c r="U7578" s="508">
        <v>1.4999999999999999E-2</v>
      </c>
      <c r="V7578" s="508">
        <v>1.4999999999999999E-2</v>
      </c>
      <c r="W7578" s="508">
        <v>1.4E-2</v>
      </c>
      <c r="X7578" s="508">
        <v>1.4999999999999999E-2</v>
      </c>
      <c r="Y7578" s="508">
        <v>0.01</v>
      </c>
      <c r="Z7578" s="508">
        <v>0.01</v>
      </c>
      <c r="AA7578" s="508">
        <v>0.01</v>
      </c>
      <c r="AB7578" s="508">
        <v>3.0000000000000001E-3</v>
      </c>
      <c r="AC7578" s="508">
        <v>3.0000000000000001E-3</v>
      </c>
      <c r="AD7578" s="508">
        <v>2E-3</v>
      </c>
      <c r="AE7578" s="508">
        <v>1E-3</v>
      </c>
      <c r="AF7578" s="508">
        <v>1E-3</v>
      </c>
      <c r="AG7578" s="508">
        <v>1E-3</v>
      </c>
      <c r="AH7578" s="508">
        <v>1E-3</v>
      </c>
      <c r="AI7578" s="492">
        <v>1E-3</v>
      </c>
      <c r="AJ7578" s="485"/>
    </row>
    <row r="7579" spans="2:36">
      <c r="B7579" s="136" t="s">
        <v>441</v>
      </c>
      <c r="C7579" s="132" t="s">
        <v>1372</v>
      </c>
      <c r="D7579" s="132" t="s">
        <v>1381</v>
      </c>
      <c r="E7579" s="508">
        <v>3.698</v>
      </c>
      <c r="F7579" s="508">
        <v>3.399</v>
      </c>
      <c r="G7579" s="508">
        <v>3.387</v>
      </c>
      <c r="H7579" s="508">
        <v>3.4380000000000002</v>
      </c>
      <c r="I7579" s="508">
        <v>3.4380000000000002</v>
      </c>
      <c r="J7579" s="508">
        <v>2.5499999999999998</v>
      </c>
      <c r="K7579" s="508">
        <v>2.5499999999999998</v>
      </c>
      <c r="L7579" s="508">
        <v>2.5489999999999999</v>
      </c>
      <c r="M7579" s="508">
        <v>2.5499999999999998</v>
      </c>
      <c r="N7579" s="508">
        <v>2.569</v>
      </c>
      <c r="O7579" s="508">
        <v>2.569</v>
      </c>
      <c r="P7579" s="508">
        <v>2.71</v>
      </c>
      <c r="Q7579" s="508">
        <v>2.7330000000000001</v>
      </c>
      <c r="R7579" s="508">
        <v>1.7170000000000001</v>
      </c>
      <c r="S7579" s="508">
        <v>1.72</v>
      </c>
      <c r="T7579" s="508">
        <v>1.724</v>
      </c>
      <c r="U7579" s="508">
        <v>1.532</v>
      </c>
      <c r="V7579" s="508">
        <v>1.532</v>
      </c>
      <c r="W7579" s="508">
        <v>1.532</v>
      </c>
      <c r="X7579" s="508">
        <v>1.532</v>
      </c>
      <c r="Y7579" s="508">
        <v>1.077</v>
      </c>
      <c r="Z7579" s="508">
        <v>1.03</v>
      </c>
      <c r="AA7579" s="508">
        <v>1.03</v>
      </c>
      <c r="AB7579" s="508">
        <v>0.33</v>
      </c>
      <c r="AC7579" s="508">
        <v>0.32900000000000001</v>
      </c>
      <c r="AD7579" s="508">
        <v>0.16400000000000001</v>
      </c>
      <c r="AE7579" s="508">
        <v>0.153</v>
      </c>
      <c r="AF7579" s="508">
        <v>0.13900000000000001</v>
      </c>
      <c r="AG7579" s="508">
        <v>0.13400000000000001</v>
      </c>
      <c r="AH7579" s="508">
        <v>0.13300000000000001</v>
      </c>
      <c r="AI7579" s="492">
        <v>0.13300000000000001</v>
      </c>
      <c r="AJ7579" s="485"/>
    </row>
    <row r="7580" spans="2:36">
      <c r="B7580" s="136" t="s">
        <v>443</v>
      </c>
      <c r="C7580" s="132" t="s">
        <v>1372</v>
      </c>
      <c r="D7580" s="132" t="s">
        <v>1381</v>
      </c>
      <c r="E7580" s="508">
        <v>3.62</v>
      </c>
      <c r="F7580" s="508">
        <v>3.363</v>
      </c>
      <c r="G7580" s="508">
        <v>3.35</v>
      </c>
      <c r="H7580" s="508">
        <v>3.4</v>
      </c>
      <c r="I7580" s="508">
        <v>3.4</v>
      </c>
      <c r="J7580" s="508">
        <v>2.456</v>
      </c>
      <c r="K7580" s="508">
        <v>2.456</v>
      </c>
      <c r="L7580" s="508">
        <v>2.4540000000000002</v>
      </c>
      <c r="M7580" s="508">
        <v>2.456</v>
      </c>
      <c r="N7580" s="508">
        <v>2.4740000000000002</v>
      </c>
      <c r="O7580" s="508">
        <v>2.4740000000000002</v>
      </c>
      <c r="P7580" s="508">
        <v>2.61</v>
      </c>
      <c r="Q7580" s="508">
        <v>2.6320000000000001</v>
      </c>
      <c r="R7580" s="508">
        <v>1.6850000000000001</v>
      </c>
      <c r="S7580" s="508">
        <v>1.6879999999999999</v>
      </c>
      <c r="T7580" s="508">
        <v>1.6919999999999999</v>
      </c>
      <c r="U7580" s="508">
        <v>1.5069999999999999</v>
      </c>
      <c r="V7580" s="508">
        <v>1.508</v>
      </c>
      <c r="W7580" s="508">
        <v>1.5069999999999999</v>
      </c>
      <c r="X7580" s="508">
        <v>1.508</v>
      </c>
      <c r="Y7580" s="508">
        <v>1.0609999999999999</v>
      </c>
      <c r="Z7580" s="508">
        <v>1.0229999999999999</v>
      </c>
      <c r="AA7580" s="508">
        <v>1.0229999999999999</v>
      </c>
      <c r="AB7580" s="508">
        <v>0.32</v>
      </c>
      <c r="AC7580" s="508">
        <v>0.32</v>
      </c>
      <c r="AD7580" s="508">
        <v>0.153</v>
      </c>
      <c r="AE7580" s="508">
        <v>0.14399999999999999</v>
      </c>
      <c r="AF7580" s="508">
        <v>0.13100000000000001</v>
      </c>
      <c r="AG7580" s="508">
        <v>0.127</v>
      </c>
      <c r="AH7580" s="508">
        <v>0.127</v>
      </c>
      <c r="AI7580" s="492">
        <v>0.127</v>
      </c>
      <c r="AJ7580" s="485"/>
    </row>
    <row r="7581" spans="2:36">
      <c r="B7581" s="136" t="s">
        <v>445</v>
      </c>
      <c r="C7581" s="132" t="s">
        <v>1372</v>
      </c>
      <c r="D7581" s="132" t="s">
        <v>1381</v>
      </c>
      <c r="E7581" s="508">
        <v>3.8540000000000001</v>
      </c>
      <c r="F7581" s="508">
        <v>1.8580000000000001</v>
      </c>
      <c r="G7581" s="508">
        <v>1.379</v>
      </c>
      <c r="H7581" s="508">
        <v>1.288</v>
      </c>
      <c r="I7581" s="508">
        <v>1.1499999999999999</v>
      </c>
      <c r="J7581" s="508">
        <v>0.38100000000000001</v>
      </c>
      <c r="K7581" s="508">
        <v>0.26500000000000001</v>
      </c>
      <c r="L7581" s="508">
        <v>2.7E-2</v>
      </c>
      <c r="M7581" s="508">
        <v>0.36899999999999999</v>
      </c>
      <c r="N7581" s="508">
        <v>0.46899999999999997</v>
      </c>
      <c r="O7581" s="508">
        <v>0.35</v>
      </c>
      <c r="P7581" s="508">
        <v>0.124</v>
      </c>
      <c r="Q7581" s="508">
        <v>2.9000000000000001E-2</v>
      </c>
      <c r="R7581" s="508">
        <v>1.9E-2</v>
      </c>
      <c r="S7581" s="508">
        <v>1.9E-2</v>
      </c>
      <c r="T7581" s="508">
        <v>1.9E-2</v>
      </c>
      <c r="U7581" s="508">
        <v>1.7000000000000001E-2</v>
      </c>
      <c r="V7581" s="508">
        <v>1.7000000000000001E-2</v>
      </c>
      <c r="W7581" s="508">
        <v>1.7000000000000001E-2</v>
      </c>
      <c r="X7581" s="508">
        <v>1.7000000000000001E-2</v>
      </c>
      <c r="Y7581" s="508">
        <v>1.2E-2</v>
      </c>
      <c r="Z7581" s="508">
        <v>1.2E-2</v>
      </c>
      <c r="AA7581" s="508">
        <v>1.2E-2</v>
      </c>
      <c r="AB7581" s="508">
        <v>4.0000000000000001E-3</v>
      </c>
      <c r="AC7581" s="508">
        <v>4.0000000000000001E-3</v>
      </c>
      <c r="AD7581" s="508">
        <v>2E-3</v>
      </c>
      <c r="AE7581" s="508">
        <v>2E-3</v>
      </c>
      <c r="AF7581" s="508">
        <v>2E-3</v>
      </c>
      <c r="AG7581" s="508">
        <v>1E-3</v>
      </c>
      <c r="AH7581" s="508">
        <v>1E-3</v>
      </c>
      <c r="AI7581" s="492">
        <v>1E-3</v>
      </c>
      <c r="AJ7581" s="485"/>
    </row>
    <row r="7582" spans="2:36">
      <c r="B7582" s="136" t="s">
        <v>446</v>
      </c>
      <c r="C7582" s="132" t="s">
        <v>1372</v>
      </c>
      <c r="D7582" s="132" t="s">
        <v>1381</v>
      </c>
      <c r="E7582" s="508">
        <v>3.8879999999999999</v>
      </c>
      <c r="F7582" s="508">
        <v>3.7770000000000001</v>
      </c>
      <c r="G7582" s="508">
        <v>3.7629999999999999</v>
      </c>
      <c r="H7582" s="508">
        <v>3.8170000000000002</v>
      </c>
      <c r="I7582" s="508">
        <v>3.8170000000000002</v>
      </c>
      <c r="J7582" s="508">
        <v>2.681</v>
      </c>
      <c r="K7582" s="508">
        <v>2.681</v>
      </c>
      <c r="L7582" s="508">
        <v>2.68</v>
      </c>
      <c r="M7582" s="508">
        <v>2.681</v>
      </c>
      <c r="N7582" s="508">
        <v>2.702</v>
      </c>
      <c r="O7582" s="508">
        <v>2.702</v>
      </c>
      <c r="P7582" s="508">
        <v>2.8490000000000002</v>
      </c>
      <c r="Q7582" s="508">
        <v>2.8719999999999999</v>
      </c>
      <c r="R7582" s="508">
        <v>1.8160000000000001</v>
      </c>
      <c r="S7582" s="508">
        <v>1.819</v>
      </c>
      <c r="T7582" s="508">
        <v>1.823</v>
      </c>
      <c r="U7582" s="508">
        <v>1.5449999999999999</v>
      </c>
      <c r="V7582" s="508">
        <v>1.5449999999999999</v>
      </c>
      <c r="W7582" s="508">
        <v>1.5449999999999999</v>
      </c>
      <c r="X7582" s="508">
        <v>1.546</v>
      </c>
      <c r="Y7582" s="508">
        <v>1.089</v>
      </c>
      <c r="Z7582" s="508">
        <v>1.08</v>
      </c>
      <c r="AA7582" s="508">
        <v>1.08</v>
      </c>
      <c r="AB7582" s="508">
        <v>0.32100000000000001</v>
      </c>
      <c r="AC7582" s="508">
        <v>0.32100000000000001</v>
      </c>
      <c r="AD7582" s="508">
        <v>0.14099999999999999</v>
      </c>
      <c r="AE7582" s="508">
        <v>0.13500000000000001</v>
      </c>
      <c r="AF7582" s="508">
        <v>0.125</v>
      </c>
      <c r="AG7582" s="508">
        <v>0.123</v>
      </c>
      <c r="AH7582" s="508">
        <v>0.123</v>
      </c>
      <c r="AI7582" s="492">
        <v>0.123</v>
      </c>
      <c r="AJ7582" s="485"/>
    </row>
    <row r="7583" spans="2:36">
      <c r="B7583" s="136" t="s">
        <v>448</v>
      </c>
      <c r="C7583" s="132" t="s">
        <v>1372</v>
      </c>
      <c r="D7583" s="132" t="s">
        <v>1381</v>
      </c>
      <c r="E7583" s="508">
        <v>3.5270000000000001</v>
      </c>
      <c r="F7583" s="508">
        <v>3.3239999999999998</v>
      </c>
      <c r="G7583" s="508">
        <v>3.3109999999999999</v>
      </c>
      <c r="H7583" s="508">
        <v>3.36</v>
      </c>
      <c r="I7583" s="508">
        <v>3.36</v>
      </c>
      <c r="J7583" s="508">
        <v>2.4969999999999999</v>
      </c>
      <c r="K7583" s="508">
        <v>2.4969999999999999</v>
      </c>
      <c r="L7583" s="508">
        <v>2.496</v>
      </c>
      <c r="M7583" s="508">
        <v>2.4980000000000002</v>
      </c>
      <c r="N7583" s="508">
        <v>2.5169999999999999</v>
      </c>
      <c r="O7583" s="508">
        <v>2.5169999999999999</v>
      </c>
      <c r="P7583" s="508">
        <v>2.6539999999999999</v>
      </c>
      <c r="Q7583" s="508">
        <v>2.6760000000000002</v>
      </c>
      <c r="R7583" s="508">
        <v>1.615</v>
      </c>
      <c r="S7583" s="508">
        <v>1.6180000000000001</v>
      </c>
      <c r="T7583" s="508">
        <v>1.6220000000000001</v>
      </c>
      <c r="U7583" s="508">
        <v>1.3819999999999999</v>
      </c>
      <c r="V7583" s="508">
        <v>1.3819999999999999</v>
      </c>
      <c r="W7583" s="508">
        <v>1.3819999999999999</v>
      </c>
      <c r="X7583" s="508">
        <v>1.3819999999999999</v>
      </c>
      <c r="Y7583" s="508">
        <v>0.95899999999999996</v>
      </c>
      <c r="Z7583" s="508">
        <v>0.93600000000000005</v>
      </c>
      <c r="AA7583" s="508">
        <v>0.93600000000000005</v>
      </c>
      <c r="AB7583" s="508">
        <v>0.28699999999999998</v>
      </c>
      <c r="AC7583" s="508">
        <v>0.28599999999999998</v>
      </c>
      <c r="AD7583" s="508">
        <v>0.13500000000000001</v>
      </c>
      <c r="AE7583" s="508">
        <v>0.129</v>
      </c>
      <c r="AF7583" s="508">
        <v>0.11799999999999999</v>
      </c>
      <c r="AG7583" s="508">
        <v>0.115</v>
      </c>
      <c r="AH7583" s="508">
        <v>0.115</v>
      </c>
      <c r="AI7583" s="492">
        <v>0.115</v>
      </c>
      <c r="AJ7583" s="485"/>
    </row>
    <row r="7584" spans="2:36">
      <c r="B7584" s="136" t="s">
        <v>449</v>
      </c>
      <c r="C7584" s="132" t="s">
        <v>1372</v>
      </c>
      <c r="D7584" s="132" t="s">
        <v>1381</v>
      </c>
      <c r="E7584" s="508">
        <v>3.3410000000000002</v>
      </c>
      <c r="F7584" s="508">
        <v>1.694</v>
      </c>
      <c r="G7584" s="508">
        <v>1.2569999999999999</v>
      </c>
      <c r="H7584" s="508">
        <v>1.175</v>
      </c>
      <c r="I7584" s="508">
        <v>1.048</v>
      </c>
      <c r="J7584" s="508">
        <v>0.35499999999999998</v>
      </c>
      <c r="K7584" s="508">
        <v>0.246</v>
      </c>
      <c r="L7584" s="508">
        <v>2.5000000000000001E-2</v>
      </c>
      <c r="M7584" s="508">
        <v>0.34300000000000003</v>
      </c>
      <c r="N7584" s="508">
        <v>0.437</v>
      </c>
      <c r="O7584" s="508">
        <v>0.32600000000000001</v>
      </c>
      <c r="P7584" s="508">
        <v>0.115</v>
      </c>
      <c r="Q7584" s="508">
        <v>2.7E-2</v>
      </c>
      <c r="R7584" s="508">
        <v>1.7000000000000001E-2</v>
      </c>
      <c r="S7584" s="508">
        <v>1.7000000000000001E-2</v>
      </c>
      <c r="T7584" s="508">
        <v>1.7000000000000001E-2</v>
      </c>
      <c r="U7584" s="508">
        <v>1.4999999999999999E-2</v>
      </c>
      <c r="V7584" s="508">
        <v>1.4999999999999999E-2</v>
      </c>
      <c r="W7584" s="508">
        <v>1.4999999999999999E-2</v>
      </c>
      <c r="X7584" s="508">
        <v>1.4999999999999999E-2</v>
      </c>
      <c r="Y7584" s="508">
        <v>0.01</v>
      </c>
      <c r="Z7584" s="508">
        <v>0.01</v>
      </c>
      <c r="AA7584" s="508">
        <v>0.01</v>
      </c>
      <c r="AB7584" s="508">
        <v>3.0000000000000001E-3</v>
      </c>
      <c r="AC7584" s="508">
        <v>3.0000000000000001E-3</v>
      </c>
      <c r="AD7584" s="508">
        <v>1E-3</v>
      </c>
      <c r="AE7584" s="508">
        <v>1E-3</v>
      </c>
      <c r="AF7584" s="508">
        <v>1E-3</v>
      </c>
      <c r="AG7584" s="508">
        <v>1E-3</v>
      </c>
      <c r="AH7584" s="508">
        <v>1E-3</v>
      </c>
      <c r="AI7584" s="492">
        <v>1E-3</v>
      </c>
      <c r="AJ7584" s="485"/>
    </row>
    <row r="7585" spans="2:36">
      <c r="B7585" s="136" t="s">
        <v>450</v>
      </c>
      <c r="C7585" s="132" t="s">
        <v>1372</v>
      </c>
      <c r="D7585" s="132" t="s">
        <v>1381</v>
      </c>
      <c r="E7585" s="508">
        <v>3.5310000000000001</v>
      </c>
      <c r="F7585" s="508">
        <v>3.2170000000000001</v>
      </c>
      <c r="G7585" s="508">
        <v>3.2050000000000001</v>
      </c>
      <c r="H7585" s="508">
        <v>3.254</v>
      </c>
      <c r="I7585" s="508">
        <v>3.254</v>
      </c>
      <c r="J7585" s="508">
        <v>2.4420000000000002</v>
      </c>
      <c r="K7585" s="508">
        <v>2.4420000000000002</v>
      </c>
      <c r="L7585" s="508">
        <v>2.4409999999999998</v>
      </c>
      <c r="M7585" s="508">
        <v>2.4420000000000002</v>
      </c>
      <c r="N7585" s="508">
        <v>2.4609999999999999</v>
      </c>
      <c r="O7585" s="508">
        <v>2.4609999999999999</v>
      </c>
      <c r="P7585" s="508">
        <v>2.5960000000000001</v>
      </c>
      <c r="Q7585" s="508">
        <v>2.6179999999999999</v>
      </c>
      <c r="R7585" s="508">
        <v>1.611</v>
      </c>
      <c r="S7585" s="508">
        <v>1.6140000000000001</v>
      </c>
      <c r="T7585" s="508">
        <v>1.6180000000000001</v>
      </c>
      <c r="U7585" s="508">
        <v>1.341</v>
      </c>
      <c r="V7585" s="508">
        <v>1.341</v>
      </c>
      <c r="W7585" s="508">
        <v>1.341</v>
      </c>
      <c r="X7585" s="508">
        <v>1.341</v>
      </c>
      <c r="Y7585" s="508">
        <v>0.94199999999999995</v>
      </c>
      <c r="Z7585" s="508">
        <v>0.89</v>
      </c>
      <c r="AA7585" s="508">
        <v>0.89100000000000001</v>
      </c>
      <c r="AB7585" s="508">
        <v>0.29099999999999998</v>
      </c>
      <c r="AC7585" s="508">
        <v>0.29099999999999998</v>
      </c>
      <c r="AD7585" s="508">
        <v>0.15</v>
      </c>
      <c r="AE7585" s="508">
        <v>0.13900000000000001</v>
      </c>
      <c r="AF7585" s="508">
        <v>0.125</v>
      </c>
      <c r="AG7585" s="508">
        <v>0.12</v>
      </c>
      <c r="AH7585" s="508">
        <v>0.12</v>
      </c>
      <c r="AI7585" s="492">
        <v>0.12</v>
      </c>
      <c r="AJ7585" s="485"/>
    </row>
    <row r="7586" spans="2:36">
      <c r="B7586" s="136" t="s">
        <v>451</v>
      </c>
      <c r="C7586" s="132" t="s">
        <v>1372</v>
      </c>
      <c r="D7586" s="132" t="s">
        <v>1381</v>
      </c>
      <c r="E7586" s="508">
        <v>4.093</v>
      </c>
      <c r="F7586" s="508">
        <v>3.7789999999999999</v>
      </c>
      <c r="G7586" s="508">
        <v>3.7650000000000001</v>
      </c>
      <c r="H7586" s="508">
        <v>3.8210000000000002</v>
      </c>
      <c r="I7586" s="508">
        <v>3.8210000000000002</v>
      </c>
      <c r="J7586" s="508">
        <v>2.7330000000000001</v>
      </c>
      <c r="K7586" s="508">
        <v>2.7330000000000001</v>
      </c>
      <c r="L7586" s="508">
        <v>2.7309999999999999</v>
      </c>
      <c r="M7586" s="508">
        <v>2.7330000000000001</v>
      </c>
      <c r="N7586" s="508">
        <v>2.7530000000000001</v>
      </c>
      <c r="O7586" s="508">
        <v>2.7530000000000001</v>
      </c>
      <c r="P7586" s="508">
        <v>2.9039999999999999</v>
      </c>
      <c r="Q7586" s="508">
        <v>2.9289999999999998</v>
      </c>
      <c r="R7586" s="508">
        <v>1.9079999999999999</v>
      </c>
      <c r="S7586" s="508">
        <v>1.9119999999999999</v>
      </c>
      <c r="T7586" s="508">
        <v>1.9159999999999999</v>
      </c>
      <c r="U7586" s="508">
        <v>1.605</v>
      </c>
      <c r="V7586" s="508">
        <v>1.605</v>
      </c>
      <c r="W7586" s="508">
        <v>1.605</v>
      </c>
      <c r="X7586" s="508">
        <v>1.6060000000000001</v>
      </c>
      <c r="Y7586" s="508">
        <v>1.1539999999999999</v>
      </c>
      <c r="Z7586" s="508">
        <v>1.1060000000000001</v>
      </c>
      <c r="AA7586" s="508">
        <v>1.1060000000000001</v>
      </c>
      <c r="AB7586" s="508">
        <v>0.35399999999999998</v>
      </c>
      <c r="AC7586" s="508">
        <v>0.35399999999999998</v>
      </c>
      <c r="AD7586" s="508">
        <v>0.17100000000000001</v>
      </c>
      <c r="AE7586" s="508">
        <v>0.161</v>
      </c>
      <c r="AF7586" s="508">
        <v>0.14599999999999999</v>
      </c>
      <c r="AG7586" s="508">
        <v>0.14000000000000001</v>
      </c>
      <c r="AH7586" s="508">
        <v>0.14000000000000001</v>
      </c>
      <c r="AI7586" s="492">
        <v>0.14000000000000001</v>
      </c>
      <c r="AJ7586" s="485"/>
    </row>
    <row r="7587" spans="2:36">
      <c r="B7587" s="136" t="s">
        <v>452</v>
      </c>
      <c r="C7587" s="132" t="s">
        <v>1372</v>
      </c>
      <c r="D7587" s="132" t="s">
        <v>1381</v>
      </c>
      <c r="E7587" s="508">
        <v>3.581</v>
      </c>
      <c r="F7587" s="508">
        <v>1.706</v>
      </c>
      <c r="G7587" s="508">
        <v>1.266</v>
      </c>
      <c r="H7587" s="508">
        <v>1.1830000000000001</v>
      </c>
      <c r="I7587" s="508">
        <v>1.056</v>
      </c>
      <c r="J7587" s="508">
        <v>0.36799999999999999</v>
      </c>
      <c r="K7587" s="508">
        <v>0.25600000000000001</v>
      </c>
      <c r="L7587" s="508">
        <v>2.5999999999999999E-2</v>
      </c>
      <c r="M7587" s="508">
        <v>0.35599999999999998</v>
      </c>
      <c r="N7587" s="508">
        <v>0.45300000000000001</v>
      </c>
      <c r="O7587" s="508">
        <v>0.33800000000000002</v>
      </c>
      <c r="P7587" s="508">
        <v>0.12</v>
      </c>
      <c r="Q7587" s="508">
        <v>2.8000000000000001E-2</v>
      </c>
      <c r="R7587" s="508">
        <v>1.7999999999999999E-2</v>
      </c>
      <c r="S7587" s="508">
        <v>1.7999999999999999E-2</v>
      </c>
      <c r="T7587" s="508">
        <v>1.7999999999999999E-2</v>
      </c>
      <c r="U7587" s="508">
        <v>1.4E-2</v>
      </c>
      <c r="V7587" s="508">
        <v>1.4E-2</v>
      </c>
      <c r="W7587" s="508">
        <v>1.4E-2</v>
      </c>
      <c r="X7587" s="508">
        <v>1.4E-2</v>
      </c>
      <c r="Y7587" s="508">
        <v>0.01</v>
      </c>
      <c r="Z7587" s="508">
        <v>0.01</v>
      </c>
      <c r="AA7587" s="508">
        <v>0.01</v>
      </c>
      <c r="AB7587" s="508">
        <v>3.0000000000000001E-3</v>
      </c>
      <c r="AC7587" s="508">
        <v>3.0000000000000001E-3</v>
      </c>
      <c r="AD7587" s="508">
        <v>2E-3</v>
      </c>
      <c r="AE7587" s="508">
        <v>1E-3</v>
      </c>
      <c r="AF7587" s="508">
        <v>1E-3</v>
      </c>
      <c r="AG7587" s="508">
        <v>1E-3</v>
      </c>
      <c r="AH7587" s="508">
        <v>1E-3</v>
      </c>
      <c r="AI7587" s="492">
        <v>1E-3</v>
      </c>
      <c r="AJ7587" s="485"/>
    </row>
    <row r="7588" spans="2:36">
      <c r="B7588" s="136" t="s">
        <v>453</v>
      </c>
      <c r="C7588" s="132" t="s">
        <v>1372</v>
      </c>
      <c r="D7588" s="132" t="s">
        <v>1381</v>
      </c>
      <c r="E7588" s="508">
        <v>3.4329999999999998</v>
      </c>
      <c r="F7588" s="508">
        <v>3.145</v>
      </c>
      <c r="G7588" s="508">
        <v>3.133</v>
      </c>
      <c r="H7588" s="508">
        <v>3.18</v>
      </c>
      <c r="I7588" s="508">
        <v>3.18</v>
      </c>
      <c r="J7588" s="508">
        <v>2.4039999999999999</v>
      </c>
      <c r="K7588" s="508">
        <v>2.4039999999999999</v>
      </c>
      <c r="L7588" s="508">
        <v>2.403</v>
      </c>
      <c r="M7588" s="508">
        <v>2.4039999999999999</v>
      </c>
      <c r="N7588" s="508">
        <v>2.4220000000000002</v>
      </c>
      <c r="O7588" s="508">
        <v>2.4220000000000002</v>
      </c>
      <c r="P7588" s="508">
        <v>2.5550000000000002</v>
      </c>
      <c r="Q7588" s="508">
        <v>2.577</v>
      </c>
      <c r="R7588" s="508">
        <v>1.577</v>
      </c>
      <c r="S7588" s="508">
        <v>1.58</v>
      </c>
      <c r="T7588" s="508">
        <v>1.5840000000000001</v>
      </c>
      <c r="U7588" s="508">
        <v>1.3640000000000001</v>
      </c>
      <c r="V7588" s="508">
        <v>1.365</v>
      </c>
      <c r="W7588" s="508">
        <v>1.365</v>
      </c>
      <c r="X7588" s="508">
        <v>1.365</v>
      </c>
      <c r="Y7588" s="508">
        <v>0.95699999999999996</v>
      </c>
      <c r="Z7588" s="508">
        <v>0.90500000000000003</v>
      </c>
      <c r="AA7588" s="508">
        <v>0.90500000000000003</v>
      </c>
      <c r="AB7588" s="508">
        <v>0.30199999999999999</v>
      </c>
      <c r="AC7588" s="508">
        <v>0.30199999999999999</v>
      </c>
      <c r="AD7588" s="508">
        <v>0.158</v>
      </c>
      <c r="AE7588" s="508">
        <v>0.14599999999999999</v>
      </c>
      <c r="AF7588" s="508">
        <v>0.13100000000000001</v>
      </c>
      <c r="AG7588" s="508">
        <v>0.124</v>
      </c>
      <c r="AH7588" s="508">
        <v>0.124</v>
      </c>
      <c r="AI7588" s="492">
        <v>0.124</v>
      </c>
      <c r="AJ7588" s="485"/>
    </row>
    <row r="7589" spans="2:36">
      <c r="B7589" s="136" t="s">
        <v>454</v>
      </c>
      <c r="C7589" s="132" t="s">
        <v>1372</v>
      </c>
      <c r="D7589" s="132" t="s">
        <v>1381</v>
      </c>
      <c r="E7589" s="508">
        <v>3.4510000000000001</v>
      </c>
      <c r="F7589" s="508">
        <v>3.1949999999999998</v>
      </c>
      <c r="G7589" s="508">
        <v>3.1840000000000002</v>
      </c>
      <c r="H7589" s="508">
        <v>3.2309999999999999</v>
      </c>
      <c r="I7589" s="508">
        <v>3.2309999999999999</v>
      </c>
      <c r="J7589" s="508">
        <v>2.4209999999999998</v>
      </c>
      <c r="K7589" s="508">
        <v>2.4209999999999998</v>
      </c>
      <c r="L7589" s="508">
        <v>2.42</v>
      </c>
      <c r="M7589" s="508">
        <v>2.4209999999999998</v>
      </c>
      <c r="N7589" s="508">
        <v>2.44</v>
      </c>
      <c r="O7589" s="508">
        <v>2.44</v>
      </c>
      <c r="P7589" s="508">
        <v>2.573</v>
      </c>
      <c r="Q7589" s="508">
        <v>2.5950000000000002</v>
      </c>
      <c r="R7589" s="508">
        <v>1.5880000000000001</v>
      </c>
      <c r="S7589" s="508">
        <v>1.591</v>
      </c>
      <c r="T7589" s="508">
        <v>1.595</v>
      </c>
      <c r="U7589" s="508">
        <v>1.387</v>
      </c>
      <c r="V7589" s="508">
        <v>1.387</v>
      </c>
      <c r="W7589" s="508">
        <v>1.387</v>
      </c>
      <c r="X7589" s="508">
        <v>1.3879999999999999</v>
      </c>
      <c r="Y7589" s="508">
        <v>0.96199999999999997</v>
      </c>
      <c r="Z7589" s="508">
        <v>0.92</v>
      </c>
      <c r="AA7589" s="508">
        <v>0.92</v>
      </c>
      <c r="AB7589" s="508">
        <v>0.29399999999999998</v>
      </c>
      <c r="AC7589" s="508">
        <v>0.29299999999999998</v>
      </c>
      <c r="AD7589" s="508">
        <v>0.14699999999999999</v>
      </c>
      <c r="AE7589" s="508">
        <v>0.13800000000000001</v>
      </c>
      <c r="AF7589" s="508">
        <v>0.125</v>
      </c>
      <c r="AG7589" s="508">
        <v>0.12</v>
      </c>
      <c r="AH7589" s="508">
        <v>0.12</v>
      </c>
      <c r="AI7589" s="492">
        <v>0.12</v>
      </c>
      <c r="AJ7589" s="485"/>
    </row>
    <row r="7590" spans="2:36">
      <c r="B7590" s="136" t="s">
        <v>455</v>
      </c>
      <c r="C7590" s="132" t="s">
        <v>1372</v>
      </c>
      <c r="D7590" s="132" t="s">
        <v>1381</v>
      </c>
      <c r="E7590" s="508">
        <v>3.18</v>
      </c>
      <c r="F7590" s="508">
        <v>1.5249999999999999</v>
      </c>
      <c r="G7590" s="508">
        <v>1.1319999999999999</v>
      </c>
      <c r="H7590" s="508">
        <v>1.0580000000000001</v>
      </c>
      <c r="I7590" s="508">
        <v>0.94399999999999995</v>
      </c>
      <c r="J7590" s="508">
        <v>0.34</v>
      </c>
      <c r="K7590" s="508">
        <v>0.23599999999999999</v>
      </c>
      <c r="L7590" s="508">
        <v>2.4E-2</v>
      </c>
      <c r="M7590" s="508">
        <v>0.32900000000000001</v>
      </c>
      <c r="N7590" s="508">
        <v>0.41899999999999998</v>
      </c>
      <c r="O7590" s="508">
        <v>0.313</v>
      </c>
      <c r="P7590" s="508">
        <v>0.111</v>
      </c>
      <c r="Q7590" s="508">
        <v>2.5999999999999999E-2</v>
      </c>
      <c r="R7590" s="508">
        <v>1.4999999999999999E-2</v>
      </c>
      <c r="S7590" s="508">
        <v>1.6E-2</v>
      </c>
      <c r="T7590" s="508">
        <v>1.6E-2</v>
      </c>
      <c r="U7590" s="508">
        <v>1.2999999999999999E-2</v>
      </c>
      <c r="V7590" s="508">
        <v>1.2999999999999999E-2</v>
      </c>
      <c r="W7590" s="508">
        <v>1.2999999999999999E-2</v>
      </c>
      <c r="X7590" s="508">
        <v>1.2999999999999999E-2</v>
      </c>
      <c r="Y7590" s="508">
        <v>8.9999999999999993E-3</v>
      </c>
      <c r="Z7590" s="508">
        <v>8.0000000000000002E-3</v>
      </c>
      <c r="AA7590" s="508">
        <v>8.0000000000000002E-3</v>
      </c>
      <c r="AB7590" s="508">
        <v>3.0000000000000001E-3</v>
      </c>
      <c r="AC7590" s="508">
        <v>3.0000000000000001E-3</v>
      </c>
      <c r="AD7590" s="508">
        <v>1E-3</v>
      </c>
      <c r="AE7590" s="508">
        <v>1E-3</v>
      </c>
      <c r="AF7590" s="508">
        <v>1E-3</v>
      </c>
      <c r="AG7590" s="508">
        <v>1E-3</v>
      </c>
      <c r="AH7590" s="508">
        <v>1E-3</v>
      </c>
      <c r="AI7590" s="492">
        <v>1E-3</v>
      </c>
      <c r="AJ7590" s="485"/>
    </row>
    <row r="7591" spans="2:36">
      <c r="B7591" s="136" t="s">
        <v>456</v>
      </c>
      <c r="C7591" s="132" t="s">
        <v>1372</v>
      </c>
      <c r="D7591" s="132" t="s">
        <v>1381</v>
      </c>
      <c r="E7591" s="508">
        <v>3.5270000000000001</v>
      </c>
      <c r="F7591" s="508">
        <v>3.3740000000000001</v>
      </c>
      <c r="G7591" s="508">
        <v>3.3620000000000001</v>
      </c>
      <c r="H7591" s="508">
        <v>3.411</v>
      </c>
      <c r="I7591" s="508">
        <v>3.411</v>
      </c>
      <c r="J7591" s="508">
        <v>2.504</v>
      </c>
      <c r="K7591" s="508">
        <v>2.504</v>
      </c>
      <c r="L7591" s="508">
        <v>2.5019999999999998</v>
      </c>
      <c r="M7591" s="508">
        <v>2.504</v>
      </c>
      <c r="N7591" s="508">
        <v>2.5230000000000001</v>
      </c>
      <c r="O7591" s="508">
        <v>2.5230000000000001</v>
      </c>
      <c r="P7591" s="508">
        <v>2.66</v>
      </c>
      <c r="Q7591" s="508">
        <v>2.6819999999999999</v>
      </c>
      <c r="R7591" s="508">
        <v>1.6240000000000001</v>
      </c>
      <c r="S7591" s="508">
        <v>1.627</v>
      </c>
      <c r="T7591" s="508">
        <v>1.631</v>
      </c>
      <c r="U7591" s="508">
        <v>1.3759999999999999</v>
      </c>
      <c r="V7591" s="508">
        <v>1.3759999999999999</v>
      </c>
      <c r="W7591" s="508">
        <v>1.3759999999999999</v>
      </c>
      <c r="X7591" s="508">
        <v>1.377</v>
      </c>
      <c r="Y7591" s="508">
        <v>0.95599999999999996</v>
      </c>
      <c r="Z7591" s="508">
        <v>0.94099999999999995</v>
      </c>
      <c r="AA7591" s="508">
        <v>0.94099999999999995</v>
      </c>
      <c r="AB7591" s="508">
        <v>0.28299999999999997</v>
      </c>
      <c r="AC7591" s="508">
        <v>0.28299999999999997</v>
      </c>
      <c r="AD7591" s="508">
        <v>0.13</v>
      </c>
      <c r="AE7591" s="508">
        <v>0.124</v>
      </c>
      <c r="AF7591" s="508">
        <v>0.114</v>
      </c>
      <c r="AG7591" s="508">
        <v>0.112</v>
      </c>
      <c r="AH7591" s="508">
        <v>0.112</v>
      </c>
      <c r="AI7591" s="492">
        <v>0.112</v>
      </c>
      <c r="AJ7591" s="485"/>
    </row>
    <row r="7592" spans="2:36">
      <c r="B7592" s="136" t="s">
        <v>457</v>
      </c>
      <c r="C7592" s="132" t="s">
        <v>1372</v>
      </c>
      <c r="D7592" s="132" t="s">
        <v>1381</v>
      </c>
      <c r="E7592" s="508">
        <v>3.4540000000000002</v>
      </c>
      <c r="F7592" s="508">
        <v>3.1389999999999998</v>
      </c>
      <c r="G7592" s="508">
        <v>3.1269999999999998</v>
      </c>
      <c r="H7592" s="508">
        <v>3.1749999999999998</v>
      </c>
      <c r="I7592" s="508">
        <v>3.1749999999999998</v>
      </c>
      <c r="J7592" s="508">
        <v>2.444</v>
      </c>
      <c r="K7592" s="508">
        <v>2.444</v>
      </c>
      <c r="L7592" s="508">
        <v>2.4430000000000001</v>
      </c>
      <c r="M7592" s="508">
        <v>2.4449999999999998</v>
      </c>
      <c r="N7592" s="508">
        <v>2.4630000000000001</v>
      </c>
      <c r="O7592" s="508">
        <v>2.4630000000000001</v>
      </c>
      <c r="P7592" s="508">
        <v>2.5979999999999999</v>
      </c>
      <c r="Q7592" s="508">
        <v>2.62</v>
      </c>
      <c r="R7592" s="508">
        <v>1.579</v>
      </c>
      <c r="S7592" s="508">
        <v>1.5820000000000001</v>
      </c>
      <c r="T7592" s="508">
        <v>1.5860000000000001</v>
      </c>
      <c r="U7592" s="508">
        <v>1.341</v>
      </c>
      <c r="V7592" s="508">
        <v>1.341</v>
      </c>
      <c r="W7592" s="508">
        <v>1.341</v>
      </c>
      <c r="X7592" s="508">
        <v>1.341</v>
      </c>
      <c r="Y7592" s="508">
        <v>0.94399999999999995</v>
      </c>
      <c r="Z7592" s="508">
        <v>0.89100000000000001</v>
      </c>
      <c r="AA7592" s="508">
        <v>0.89100000000000001</v>
      </c>
      <c r="AB7592" s="508">
        <v>0.29799999999999999</v>
      </c>
      <c r="AC7592" s="508">
        <v>0.29799999999999999</v>
      </c>
      <c r="AD7592" s="508">
        <v>0.157</v>
      </c>
      <c r="AE7592" s="508">
        <v>0.14499999999999999</v>
      </c>
      <c r="AF7592" s="508">
        <v>0.13</v>
      </c>
      <c r="AG7592" s="508">
        <v>0.123</v>
      </c>
      <c r="AH7592" s="508">
        <v>0.123</v>
      </c>
      <c r="AI7592" s="492">
        <v>0.123</v>
      </c>
      <c r="AJ7592" s="485"/>
    </row>
    <row r="7593" spans="2:36">
      <c r="B7593" s="136" t="s">
        <v>458</v>
      </c>
      <c r="C7593" s="132" t="s">
        <v>1372</v>
      </c>
      <c r="D7593" s="132" t="s">
        <v>1381</v>
      </c>
      <c r="E7593" s="508">
        <v>3.3730000000000002</v>
      </c>
      <c r="F7593" s="508">
        <v>1.617</v>
      </c>
      <c r="G7593" s="508">
        <v>1.2</v>
      </c>
      <c r="H7593" s="508">
        <v>1.1220000000000001</v>
      </c>
      <c r="I7593" s="508">
        <v>1.0009999999999999</v>
      </c>
      <c r="J7593" s="508">
        <v>0.35399999999999998</v>
      </c>
      <c r="K7593" s="508">
        <v>0.246</v>
      </c>
      <c r="L7593" s="508">
        <v>2.5000000000000001E-2</v>
      </c>
      <c r="M7593" s="508">
        <v>0.34200000000000003</v>
      </c>
      <c r="N7593" s="508">
        <v>0.435</v>
      </c>
      <c r="O7593" s="508">
        <v>0.32500000000000001</v>
      </c>
      <c r="P7593" s="508">
        <v>0.115</v>
      </c>
      <c r="Q7593" s="508">
        <v>2.7E-2</v>
      </c>
      <c r="R7593" s="508">
        <v>1.7000000000000001E-2</v>
      </c>
      <c r="S7593" s="508">
        <v>1.7000000000000001E-2</v>
      </c>
      <c r="T7593" s="508">
        <v>1.7000000000000001E-2</v>
      </c>
      <c r="U7593" s="508">
        <v>1.4999999999999999E-2</v>
      </c>
      <c r="V7593" s="508">
        <v>1.4999999999999999E-2</v>
      </c>
      <c r="W7593" s="508">
        <v>1.4999999999999999E-2</v>
      </c>
      <c r="X7593" s="508">
        <v>1.4999999999999999E-2</v>
      </c>
      <c r="Y7593" s="508">
        <v>0.01</v>
      </c>
      <c r="Z7593" s="508">
        <v>0.01</v>
      </c>
      <c r="AA7593" s="508">
        <v>0.01</v>
      </c>
      <c r="AB7593" s="508">
        <v>3.0000000000000001E-3</v>
      </c>
      <c r="AC7593" s="508">
        <v>3.0000000000000001E-3</v>
      </c>
      <c r="AD7593" s="508">
        <v>2E-3</v>
      </c>
      <c r="AE7593" s="508">
        <v>1E-3</v>
      </c>
      <c r="AF7593" s="508">
        <v>1E-3</v>
      </c>
      <c r="AG7593" s="508">
        <v>1E-3</v>
      </c>
      <c r="AH7593" s="508">
        <v>1E-3</v>
      </c>
      <c r="AI7593" s="492">
        <v>1E-3</v>
      </c>
      <c r="AJ7593" s="485"/>
    </row>
    <row r="7594" spans="2:36">
      <c r="B7594" s="136" t="s">
        <v>459</v>
      </c>
      <c r="C7594" s="132" t="s">
        <v>1372</v>
      </c>
      <c r="D7594" s="132" t="s">
        <v>1381</v>
      </c>
      <c r="E7594" s="508">
        <v>3.5950000000000002</v>
      </c>
      <c r="F7594" s="508">
        <v>3.294</v>
      </c>
      <c r="G7594" s="508">
        <v>3.282</v>
      </c>
      <c r="H7594" s="508">
        <v>3.331</v>
      </c>
      <c r="I7594" s="508">
        <v>3.3319999999999999</v>
      </c>
      <c r="J7594" s="508">
        <v>2.484</v>
      </c>
      <c r="K7594" s="508">
        <v>2.484</v>
      </c>
      <c r="L7594" s="508">
        <v>2.4830000000000001</v>
      </c>
      <c r="M7594" s="508">
        <v>2.484</v>
      </c>
      <c r="N7594" s="508">
        <v>2.5030000000000001</v>
      </c>
      <c r="O7594" s="508">
        <v>2.5030000000000001</v>
      </c>
      <c r="P7594" s="508">
        <v>2.64</v>
      </c>
      <c r="Q7594" s="508">
        <v>2.6629999999999998</v>
      </c>
      <c r="R7594" s="508">
        <v>1.661</v>
      </c>
      <c r="S7594" s="508">
        <v>1.6639999999999999</v>
      </c>
      <c r="T7594" s="508">
        <v>1.6679999999999999</v>
      </c>
      <c r="U7594" s="508">
        <v>1.48</v>
      </c>
      <c r="V7594" s="508">
        <v>1.4810000000000001</v>
      </c>
      <c r="W7594" s="508">
        <v>1.4810000000000001</v>
      </c>
      <c r="X7594" s="508">
        <v>1.4810000000000001</v>
      </c>
      <c r="Y7594" s="508">
        <v>1.0429999999999999</v>
      </c>
      <c r="Z7594" s="508">
        <v>0.99399999999999999</v>
      </c>
      <c r="AA7594" s="508">
        <v>0.99399999999999999</v>
      </c>
      <c r="AB7594" s="508">
        <v>0.32100000000000001</v>
      </c>
      <c r="AC7594" s="508">
        <v>0.32100000000000001</v>
      </c>
      <c r="AD7594" s="508">
        <v>0.161</v>
      </c>
      <c r="AE7594" s="508">
        <v>0.151</v>
      </c>
      <c r="AF7594" s="508">
        <v>0.13600000000000001</v>
      </c>
      <c r="AG7594" s="508">
        <v>0.13100000000000001</v>
      </c>
      <c r="AH7594" s="508">
        <v>0.13</v>
      </c>
      <c r="AI7594" s="492">
        <v>0.13</v>
      </c>
      <c r="AJ7594" s="485"/>
    </row>
    <row r="7595" spans="2:36">
      <c r="B7595" s="136" t="s">
        <v>460</v>
      </c>
      <c r="C7595" s="132" t="s">
        <v>1372</v>
      </c>
      <c r="D7595" s="132" t="s">
        <v>1381</v>
      </c>
      <c r="E7595" s="508">
        <v>3.85</v>
      </c>
      <c r="F7595" s="508">
        <v>3.52</v>
      </c>
      <c r="G7595" s="508">
        <v>3.5070000000000001</v>
      </c>
      <c r="H7595" s="508">
        <v>3.5590000000000002</v>
      </c>
      <c r="I7595" s="508">
        <v>3.56</v>
      </c>
      <c r="J7595" s="508">
        <v>2.64</v>
      </c>
      <c r="K7595" s="508">
        <v>2.64</v>
      </c>
      <c r="L7595" s="508">
        <v>2.6379999999999999</v>
      </c>
      <c r="M7595" s="508">
        <v>2.64</v>
      </c>
      <c r="N7595" s="508">
        <v>2.6589999999999998</v>
      </c>
      <c r="O7595" s="508">
        <v>2.6589999999999998</v>
      </c>
      <c r="P7595" s="508">
        <v>2.806</v>
      </c>
      <c r="Q7595" s="508">
        <v>2.8290000000000002</v>
      </c>
      <c r="R7595" s="508">
        <v>1.774</v>
      </c>
      <c r="S7595" s="508">
        <v>1.7769999999999999</v>
      </c>
      <c r="T7595" s="508">
        <v>1.782</v>
      </c>
      <c r="U7595" s="508">
        <v>1.423</v>
      </c>
      <c r="V7595" s="508">
        <v>1.423</v>
      </c>
      <c r="W7595" s="508">
        <v>1.423</v>
      </c>
      <c r="X7595" s="508">
        <v>1.4239999999999999</v>
      </c>
      <c r="Y7595" s="508">
        <v>1.006</v>
      </c>
      <c r="Z7595" s="508">
        <v>0.95499999999999996</v>
      </c>
      <c r="AA7595" s="508">
        <v>0.95499999999999996</v>
      </c>
      <c r="AB7595" s="508">
        <v>0.313</v>
      </c>
      <c r="AC7595" s="508">
        <v>0.312</v>
      </c>
      <c r="AD7595" s="508">
        <v>0.159</v>
      </c>
      <c r="AE7595" s="508">
        <v>0.14799999999999999</v>
      </c>
      <c r="AF7595" s="508">
        <v>0.13300000000000001</v>
      </c>
      <c r="AG7595" s="508">
        <v>0.127</v>
      </c>
      <c r="AH7595" s="508">
        <v>0.127</v>
      </c>
      <c r="AI7595" s="492">
        <v>0.127</v>
      </c>
      <c r="AJ7595" s="485"/>
    </row>
    <row r="7596" spans="2:36">
      <c r="B7596" s="136" t="s">
        <v>461</v>
      </c>
      <c r="C7596" s="132" t="s">
        <v>1372</v>
      </c>
      <c r="D7596" s="132" t="s">
        <v>1381</v>
      </c>
      <c r="E7596" s="508">
        <v>3.55</v>
      </c>
      <c r="F7596" s="508">
        <v>1.665</v>
      </c>
      <c r="G7596" s="508">
        <v>1.2350000000000001</v>
      </c>
      <c r="H7596" s="508">
        <v>1.155</v>
      </c>
      <c r="I7596" s="508">
        <v>1.0309999999999999</v>
      </c>
      <c r="J7596" s="508">
        <v>0.371</v>
      </c>
      <c r="K7596" s="508">
        <v>0.25700000000000001</v>
      </c>
      <c r="L7596" s="508">
        <v>2.5999999999999999E-2</v>
      </c>
      <c r="M7596" s="508">
        <v>0.35899999999999999</v>
      </c>
      <c r="N7596" s="508">
        <v>0.45600000000000002</v>
      </c>
      <c r="O7596" s="508">
        <v>0.34</v>
      </c>
      <c r="P7596" s="508">
        <v>0.121</v>
      </c>
      <c r="Q7596" s="508">
        <v>2.8000000000000001E-2</v>
      </c>
      <c r="R7596" s="508">
        <v>1.7999999999999999E-2</v>
      </c>
      <c r="S7596" s="508">
        <v>1.7999999999999999E-2</v>
      </c>
      <c r="T7596" s="508">
        <v>1.7999999999999999E-2</v>
      </c>
      <c r="U7596" s="508">
        <v>1.4E-2</v>
      </c>
      <c r="V7596" s="508">
        <v>1.4E-2</v>
      </c>
      <c r="W7596" s="508">
        <v>1.4E-2</v>
      </c>
      <c r="X7596" s="508">
        <v>1.4E-2</v>
      </c>
      <c r="Y7596" s="508">
        <v>0.01</v>
      </c>
      <c r="Z7596" s="508">
        <v>0.01</v>
      </c>
      <c r="AA7596" s="508">
        <v>0.01</v>
      </c>
      <c r="AB7596" s="508">
        <v>3.0000000000000001E-3</v>
      </c>
      <c r="AC7596" s="508">
        <v>3.0000000000000001E-3</v>
      </c>
      <c r="AD7596" s="508">
        <v>2E-3</v>
      </c>
      <c r="AE7596" s="508">
        <v>2E-3</v>
      </c>
      <c r="AF7596" s="508">
        <v>1E-3</v>
      </c>
      <c r="AG7596" s="508">
        <v>1E-3</v>
      </c>
      <c r="AH7596" s="508">
        <v>1E-3</v>
      </c>
      <c r="AI7596" s="492">
        <v>1E-3</v>
      </c>
      <c r="AJ7596" s="485"/>
    </row>
    <row r="7597" spans="2:36">
      <c r="B7597" s="136" t="s">
        <v>462</v>
      </c>
      <c r="C7597" s="132" t="s">
        <v>1372</v>
      </c>
      <c r="D7597" s="132" t="s">
        <v>1381</v>
      </c>
      <c r="E7597" s="508">
        <v>3.4079999999999999</v>
      </c>
      <c r="F7597" s="508">
        <v>3.2330000000000001</v>
      </c>
      <c r="G7597" s="508">
        <v>3.2210000000000001</v>
      </c>
      <c r="H7597" s="508">
        <v>3.2679999999999998</v>
      </c>
      <c r="I7597" s="508">
        <v>3.2679999999999998</v>
      </c>
      <c r="J7597" s="508">
        <v>2.423</v>
      </c>
      <c r="K7597" s="508">
        <v>2.423</v>
      </c>
      <c r="L7597" s="508">
        <v>2.4220000000000002</v>
      </c>
      <c r="M7597" s="508">
        <v>2.423</v>
      </c>
      <c r="N7597" s="508">
        <v>2.4409999999999998</v>
      </c>
      <c r="O7597" s="508">
        <v>2.4409999999999998</v>
      </c>
      <c r="P7597" s="508">
        <v>2.5739999999999998</v>
      </c>
      <c r="Q7597" s="508">
        <v>2.5960000000000001</v>
      </c>
      <c r="R7597" s="508">
        <v>1.57</v>
      </c>
      <c r="S7597" s="508">
        <v>1.573</v>
      </c>
      <c r="T7597" s="508">
        <v>1.577</v>
      </c>
      <c r="U7597" s="508">
        <v>1.319</v>
      </c>
      <c r="V7597" s="508">
        <v>1.319</v>
      </c>
      <c r="W7597" s="508">
        <v>1.319</v>
      </c>
      <c r="X7597" s="508">
        <v>1.319</v>
      </c>
      <c r="Y7597" s="508">
        <v>0.91300000000000003</v>
      </c>
      <c r="Z7597" s="508">
        <v>0.89400000000000002</v>
      </c>
      <c r="AA7597" s="508">
        <v>0.89400000000000002</v>
      </c>
      <c r="AB7597" s="508">
        <v>0.27200000000000002</v>
      </c>
      <c r="AC7597" s="508">
        <v>0.27100000000000002</v>
      </c>
      <c r="AD7597" s="508">
        <v>0.127</v>
      </c>
      <c r="AE7597" s="508">
        <v>0.121</v>
      </c>
      <c r="AF7597" s="508">
        <v>0.111</v>
      </c>
      <c r="AG7597" s="508">
        <v>0.108</v>
      </c>
      <c r="AH7597" s="508">
        <v>0.108</v>
      </c>
      <c r="AI7597" s="492">
        <v>0.108</v>
      </c>
      <c r="AJ7597" s="485"/>
    </row>
    <row r="7598" spans="2:36">
      <c r="B7598" s="136" t="s">
        <v>463</v>
      </c>
      <c r="C7598" s="132" t="s">
        <v>1372</v>
      </c>
      <c r="D7598" s="132" t="s">
        <v>1381</v>
      </c>
      <c r="E7598" s="508">
        <v>3.3029999999999999</v>
      </c>
      <c r="F7598" s="508">
        <v>3.0609999999999999</v>
      </c>
      <c r="G7598" s="508">
        <v>3.0489999999999999</v>
      </c>
      <c r="H7598" s="508">
        <v>3.0950000000000002</v>
      </c>
      <c r="I7598" s="508">
        <v>3.0950000000000002</v>
      </c>
      <c r="J7598" s="508">
        <v>2.3660000000000001</v>
      </c>
      <c r="K7598" s="508">
        <v>2.3660000000000001</v>
      </c>
      <c r="L7598" s="508">
        <v>2.3650000000000002</v>
      </c>
      <c r="M7598" s="508">
        <v>2.3660000000000001</v>
      </c>
      <c r="N7598" s="508">
        <v>2.3839999999999999</v>
      </c>
      <c r="O7598" s="508">
        <v>2.3839999999999999</v>
      </c>
      <c r="P7598" s="508">
        <v>2.5139999999999998</v>
      </c>
      <c r="Q7598" s="508">
        <v>2.5350000000000001</v>
      </c>
      <c r="R7598" s="508">
        <v>1.516</v>
      </c>
      <c r="S7598" s="508">
        <v>1.5189999999999999</v>
      </c>
      <c r="T7598" s="508">
        <v>1.5229999999999999</v>
      </c>
      <c r="U7598" s="508">
        <v>1.32</v>
      </c>
      <c r="V7598" s="508">
        <v>1.321</v>
      </c>
      <c r="W7598" s="508">
        <v>1.32</v>
      </c>
      <c r="X7598" s="508">
        <v>1.321</v>
      </c>
      <c r="Y7598" s="508">
        <v>0.91100000000000003</v>
      </c>
      <c r="Z7598" s="508">
        <v>0.873</v>
      </c>
      <c r="AA7598" s="508">
        <v>0.874</v>
      </c>
      <c r="AB7598" s="508">
        <v>0.27700000000000002</v>
      </c>
      <c r="AC7598" s="508">
        <v>0.27700000000000002</v>
      </c>
      <c r="AD7598" s="508">
        <v>0.13900000000000001</v>
      </c>
      <c r="AE7598" s="508">
        <v>0.13100000000000001</v>
      </c>
      <c r="AF7598" s="508">
        <v>0.11799999999999999</v>
      </c>
      <c r="AG7598" s="508">
        <v>0.114</v>
      </c>
      <c r="AH7598" s="508">
        <v>0.114</v>
      </c>
      <c r="AI7598" s="492">
        <v>0.114</v>
      </c>
      <c r="AJ7598" s="485"/>
    </row>
    <row r="7599" spans="2:36">
      <c r="B7599" s="136" t="s">
        <v>464</v>
      </c>
      <c r="C7599" s="132" t="s">
        <v>1372</v>
      </c>
      <c r="D7599" s="132" t="s">
        <v>1381</v>
      </c>
      <c r="E7599" s="508">
        <v>3.14</v>
      </c>
      <c r="F7599" s="508">
        <v>1.468</v>
      </c>
      <c r="G7599" s="508">
        <v>1.089</v>
      </c>
      <c r="H7599" s="508">
        <v>1.018</v>
      </c>
      <c r="I7599" s="508">
        <v>0.90900000000000003</v>
      </c>
      <c r="J7599" s="508">
        <v>0.33400000000000002</v>
      </c>
      <c r="K7599" s="508">
        <v>0.23200000000000001</v>
      </c>
      <c r="L7599" s="508">
        <v>2.4E-2</v>
      </c>
      <c r="M7599" s="508">
        <v>0.32300000000000001</v>
      </c>
      <c r="N7599" s="508">
        <v>0.41</v>
      </c>
      <c r="O7599" s="508">
        <v>0.30599999999999999</v>
      </c>
      <c r="P7599" s="508">
        <v>0.109</v>
      </c>
      <c r="Q7599" s="508">
        <v>2.5999999999999999E-2</v>
      </c>
      <c r="R7599" s="508">
        <v>1.4999999999999999E-2</v>
      </c>
      <c r="S7599" s="508">
        <v>1.4999999999999999E-2</v>
      </c>
      <c r="T7599" s="508">
        <v>1.4999999999999999E-2</v>
      </c>
      <c r="U7599" s="508">
        <v>1.2999999999999999E-2</v>
      </c>
      <c r="V7599" s="508">
        <v>1.2999999999999999E-2</v>
      </c>
      <c r="W7599" s="508">
        <v>1.2999999999999999E-2</v>
      </c>
      <c r="X7599" s="508">
        <v>1.2999999999999999E-2</v>
      </c>
      <c r="Y7599" s="508">
        <v>8.9999999999999993E-3</v>
      </c>
      <c r="Z7599" s="508">
        <v>8.0000000000000002E-3</v>
      </c>
      <c r="AA7599" s="508">
        <v>8.0000000000000002E-3</v>
      </c>
      <c r="AB7599" s="508">
        <v>3.0000000000000001E-3</v>
      </c>
      <c r="AC7599" s="508">
        <v>3.0000000000000001E-3</v>
      </c>
      <c r="AD7599" s="508">
        <v>2E-3</v>
      </c>
      <c r="AE7599" s="508">
        <v>1E-3</v>
      </c>
      <c r="AF7599" s="508">
        <v>1E-3</v>
      </c>
      <c r="AG7599" s="508">
        <v>1E-3</v>
      </c>
      <c r="AH7599" s="508">
        <v>1E-3</v>
      </c>
      <c r="AI7599" s="492">
        <v>1E-3</v>
      </c>
      <c r="AJ7599" s="485"/>
    </row>
    <row r="7600" spans="2:36">
      <c r="B7600" s="136" t="s">
        <v>465</v>
      </c>
      <c r="C7600" s="132" t="s">
        <v>1372</v>
      </c>
      <c r="D7600" s="132" t="s">
        <v>1381</v>
      </c>
      <c r="E7600" s="508">
        <v>3.4039999999999999</v>
      </c>
      <c r="F7600" s="508">
        <v>3.125</v>
      </c>
      <c r="G7600" s="508">
        <v>3.113</v>
      </c>
      <c r="H7600" s="508">
        <v>3.16</v>
      </c>
      <c r="I7600" s="508">
        <v>3.16</v>
      </c>
      <c r="J7600" s="508">
        <v>2.4009999999999998</v>
      </c>
      <c r="K7600" s="508">
        <v>2.4009999999999998</v>
      </c>
      <c r="L7600" s="508">
        <v>2.4</v>
      </c>
      <c r="M7600" s="508">
        <v>2.4009999999999998</v>
      </c>
      <c r="N7600" s="508">
        <v>2.419</v>
      </c>
      <c r="O7600" s="508">
        <v>2.419</v>
      </c>
      <c r="P7600" s="508">
        <v>2.552</v>
      </c>
      <c r="Q7600" s="508">
        <v>2.573</v>
      </c>
      <c r="R7600" s="508">
        <v>1.5529999999999999</v>
      </c>
      <c r="S7600" s="508">
        <v>1.556</v>
      </c>
      <c r="T7600" s="508">
        <v>1.5589999999999999</v>
      </c>
      <c r="U7600" s="508">
        <v>1.3440000000000001</v>
      </c>
      <c r="V7600" s="508">
        <v>1.3440000000000001</v>
      </c>
      <c r="W7600" s="508">
        <v>1.3440000000000001</v>
      </c>
      <c r="X7600" s="508">
        <v>1.3440000000000001</v>
      </c>
      <c r="Y7600" s="508">
        <v>0.94</v>
      </c>
      <c r="Z7600" s="508">
        <v>0.89100000000000001</v>
      </c>
      <c r="AA7600" s="508">
        <v>0.89100000000000001</v>
      </c>
      <c r="AB7600" s="508">
        <v>0.29399999999999998</v>
      </c>
      <c r="AC7600" s="508">
        <v>0.29399999999999998</v>
      </c>
      <c r="AD7600" s="508">
        <v>0.153</v>
      </c>
      <c r="AE7600" s="508">
        <v>0.14199999999999999</v>
      </c>
      <c r="AF7600" s="508">
        <v>0.127</v>
      </c>
      <c r="AG7600" s="508">
        <v>0.121</v>
      </c>
      <c r="AH7600" s="508">
        <v>0.121</v>
      </c>
      <c r="AI7600" s="492">
        <v>0.121</v>
      </c>
      <c r="AJ7600" s="485"/>
    </row>
    <row r="7601" spans="2:36">
      <c r="B7601" s="136" t="s">
        <v>466</v>
      </c>
      <c r="C7601" s="132" t="s">
        <v>1372</v>
      </c>
      <c r="D7601" s="132" t="s">
        <v>1381</v>
      </c>
      <c r="E7601" s="508">
        <v>3.762</v>
      </c>
      <c r="F7601" s="508">
        <v>3.5409999999999999</v>
      </c>
      <c r="G7601" s="508">
        <v>3.528</v>
      </c>
      <c r="H7601" s="508">
        <v>3.5790000000000002</v>
      </c>
      <c r="I7601" s="508">
        <v>3.5790000000000002</v>
      </c>
      <c r="J7601" s="508">
        <v>2.5680000000000001</v>
      </c>
      <c r="K7601" s="508">
        <v>2.5680000000000001</v>
      </c>
      <c r="L7601" s="508">
        <v>2.5670000000000002</v>
      </c>
      <c r="M7601" s="508">
        <v>2.5680000000000001</v>
      </c>
      <c r="N7601" s="508">
        <v>2.5880000000000001</v>
      </c>
      <c r="O7601" s="508">
        <v>2.5880000000000001</v>
      </c>
      <c r="P7601" s="508">
        <v>2.7290000000000001</v>
      </c>
      <c r="Q7601" s="508">
        <v>2.7509999999999999</v>
      </c>
      <c r="R7601" s="508">
        <v>1.728</v>
      </c>
      <c r="S7601" s="508">
        <v>1.7310000000000001</v>
      </c>
      <c r="T7601" s="508">
        <v>1.7350000000000001</v>
      </c>
      <c r="U7601" s="508">
        <v>1.5069999999999999</v>
      </c>
      <c r="V7601" s="508">
        <v>1.5069999999999999</v>
      </c>
      <c r="W7601" s="508">
        <v>1.5069999999999999</v>
      </c>
      <c r="X7601" s="508">
        <v>1.508</v>
      </c>
      <c r="Y7601" s="508">
        <v>1.0549999999999999</v>
      </c>
      <c r="Z7601" s="508">
        <v>1.026</v>
      </c>
      <c r="AA7601" s="508">
        <v>1.026</v>
      </c>
      <c r="AB7601" s="508">
        <v>0.316</v>
      </c>
      <c r="AC7601" s="508">
        <v>0.315</v>
      </c>
      <c r="AD7601" s="508">
        <v>0.14799999999999999</v>
      </c>
      <c r="AE7601" s="508">
        <v>0.14099999999999999</v>
      </c>
      <c r="AF7601" s="508">
        <v>0.128</v>
      </c>
      <c r="AG7601" s="508">
        <v>0.125</v>
      </c>
      <c r="AH7601" s="508">
        <v>0.125</v>
      </c>
      <c r="AI7601" s="492">
        <v>0.125</v>
      </c>
      <c r="AJ7601" s="485"/>
    </row>
    <row r="7602" spans="2:36">
      <c r="B7602" s="136" t="s">
        <v>467</v>
      </c>
      <c r="C7602" s="132" t="s">
        <v>1372</v>
      </c>
      <c r="D7602" s="132" t="s">
        <v>1381</v>
      </c>
      <c r="E7602" s="508">
        <v>3.31</v>
      </c>
      <c r="F7602" s="508">
        <v>1.5580000000000001</v>
      </c>
      <c r="G7602" s="508">
        <v>1.1559999999999999</v>
      </c>
      <c r="H7602" s="508">
        <v>1.081</v>
      </c>
      <c r="I7602" s="508">
        <v>0.96499999999999997</v>
      </c>
      <c r="J7602" s="508">
        <v>0.34599999999999997</v>
      </c>
      <c r="K7602" s="508">
        <v>0.24</v>
      </c>
      <c r="L7602" s="508">
        <v>2.5000000000000001E-2</v>
      </c>
      <c r="M7602" s="508">
        <v>0.33400000000000002</v>
      </c>
      <c r="N7602" s="508">
        <v>0.42499999999999999</v>
      </c>
      <c r="O7602" s="508">
        <v>0.317</v>
      </c>
      <c r="P7602" s="508">
        <v>0.112</v>
      </c>
      <c r="Q7602" s="508">
        <v>2.5999999999999999E-2</v>
      </c>
      <c r="R7602" s="508">
        <v>1.6E-2</v>
      </c>
      <c r="S7602" s="508">
        <v>1.6E-2</v>
      </c>
      <c r="T7602" s="508">
        <v>1.7000000000000001E-2</v>
      </c>
      <c r="U7602" s="508">
        <v>1.4E-2</v>
      </c>
      <c r="V7602" s="508">
        <v>1.4E-2</v>
      </c>
      <c r="W7602" s="508">
        <v>1.4E-2</v>
      </c>
      <c r="X7602" s="508">
        <v>1.4E-2</v>
      </c>
      <c r="Y7602" s="508">
        <v>0.01</v>
      </c>
      <c r="Z7602" s="508">
        <v>0.01</v>
      </c>
      <c r="AA7602" s="508">
        <v>0.01</v>
      </c>
      <c r="AB7602" s="508">
        <v>3.0000000000000001E-3</v>
      </c>
      <c r="AC7602" s="508">
        <v>3.0000000000000001E-3</v>
      </c>
      <c r="AD7602" s="508">
        <v>2E-3</v>
      </c>
      <c r="AE7602" s="508">
        <v>2E-3</v>
      </c>
      <c r="AF7602" s="508">
        <v>1E-3</v>
      </c>
      <c r="AG7602" s="508">
        <v>1E-3</v>
      </c>
      <c r="AH7602" s="508">
        <v>1E-3</v>
      </c>
      <c r="AI7602" s="492">
        <v>1E-3</v>
      </c>
      <c r="AJ7602" s="485"/>
    </row>
    <row r="7603" spans="2:36">
      <c r="B7603" s="136" t="s">
        <v>468</v>
      </c>
      <c r="C7603" s="132" t="s">
        <v>1372</v>
      </c>
      <c r="D7603" s="132" t="s">
        <v>1381</v>
      </c>
      <c r="E7603" s="508">
        <v>3.1259999999999999</v>
      </c>
      <c r="F7603" s="508">
        <v>2.8969999999999998</v>
      </c>
      <c r="G7603" s="508">
        <v>2.8860000000000001</v>
      </c>
      <c r="H7603" s="508">
        <v>2.9289999999999998</v>
      </c>
      <c r="I7603" s="508">
        <v>2.9289999999999998</v>
      </c>
      <c r="J7603" s="508">
        <v>2.2410000000000001</v>
      </c>
      <c r="K7603" s="508">
        <v>2.2410000000000001</v>
      </c>
      <c r="L7603" s="508">
        <v>2.2400000000000002</v>
      </c>
      <c r="M7603" s="508">
        <v>2.2410000000000001</v>
      </c>
      <c r="N7603" s="508">
        <v>2.2589999999999999</v>
      </c>
      <c r="O7603" s="508">
        <v>2.2589999999999999</v>
      </c>
      <c r="P7603" s="508">
        <v>2.3809999999999998</v>
      </c>
      <c r="Q7603" s="508">
        <v>2.4009999999999998</v>
      </c>
      <c r="R7603" s="508">
        <v>1.393</v>
      </c>
      <c r="S7603" s="508">
        <v>1.395</v>
      </c>
      <c r="T7603" s="508">
        <v>1.399</v>
      </c>
      <c r="U7603" s="508">
        <v>1.2430000000000001</v>
      </c>
      <c r="V7603" s="508">
        <v>1.244</v>
      </c>
      <c r="W7603" s="508">
        <v>1.2430000000000001</v>
      </c>
      <c r="X7603" s="508">
        <v>1.244</v>
      </c>
      <c r="Y7603" s="508">
        <v>0.87</v>
      </c>
      <c r="Z7603" s="508">
        <v>0.83399999999999996</v>
      </c>
      <c r="AA7603" s="508">
        <v>0.83499999999999996</v>
      </c>
      <c r="AB7603" s="508">
        <v>0.26400000000000001</v>
      </c>
      <c r="AC7603" s="508">
        <v>0.26400000000000001</v>
      </c>
      <c r="AD7603" s="508">
        <v>0.13200000000000001</v>
      </c>
      <c r="AE7603" s="508">
        <v>0.124</v>
      </c>
      <c r="AF7603" s="508">
        <v>0.113</v>
      </c>
      <c r="AG7603" s="508">
        <v>0.109</v>
      </c>
      <c r="AH7603" s="508">
        <v>0.109</v>
      </c>
      <c r="AI7603" s="492">
        <v>0.109</v>
      </c>
      <c r="AJ7603" s="485"/>
    </row>
    <row r="7604" spans="2:36">
      <c r="B7604" s="136" t="s">
        <v>469</v>
      </c>
      <c r="C7604" s="132" t="s">
        <v>1372</v>
      </c>
      <c r="D7604" s="132" t="s">
        <v>1381</v>
      </c>
      <c r="E7604" s="508">
        <v>3.3650000000000002</v>
      </c>
      <c r="F7604" s="508">
        <v>3.1280000000000001</v>
      </c>
      <c r="G7604" s="508">
        <v>3.1160000000000001</v>
      </c>
      <c r="H7604" s="508">
        <v>3.1619999999999999</v>
      </c>
      <c r="I7604" s="508">
        <v>3.1619999999999999</v>
      </c>
      <c r="J7604" s="508">
        <v>2.371</v>
      </c>
      <c r="K7604" s="508">
        <v>2.371</v>
      </c>
      <c r="L7604" s="508">
        <v>2.37</v>
      </c>
      <c r="M7604" s="508">
        <v>2.371</v>
      </c>
      <c r="N7604" s="508">
        <v>2.3889999999999998</v>
      </c>
      <c r="O7604" s="508">
        <v>2.3889999999999998</v>
      </c>
      <c r="P7604" s="508">
        <v>2.5190000000000001</v>
      </c>
      <c r="Q7604" s="508">
        <v>2.54</v>
      </c>
      <c r="R7604" s="508">
        <v>1.5289999999999999</v>
      </c>
      <c r="S7604" s="508">
        <v>1.532</v>
      </c>
      <c r="T7604" s="508">
        <v>1.5349999999999999</v>
      </c>
      <c r="U7604" s="508">
        <v>1.327</v>
      </c>
      <c r="V7604" s="508">
        <v>1.327</v>
      </c>
      <c r="W7604" s="508">
        <v>1.327</v>
      </c>
      <c r="X7604" s="508">
        <v>1.327</v>
      </c>
      <c r="Y7604" s="508">
        <v>0.92</v>
      </c>
      <c r="Z7604" s="508">
        <v>0.88400000000000001</v>
      </c>
      <c r="AA7604" s="508">
        <v>0.88400000000000001</v>
      </c>
      <c r="AB7604" s="508">
        <v>0.27900000000000003</v>
      </c>
      <c r="AC7604" s="508">
        <v>0.27900000000000003</v>
      </c>
      <c r="AD7604" s="508">
        <v>0.13800000000000001</v>
      </c>
      <c r="AE7604" s="508">
        <v>0.13</v>
      </c>
      <c r="AF7604" s="508">
        <v>0.11799999999999999</v>
      </c>
      <c r="AG7604" s="508">
        <v>0.114</v>
      </c>
      <c r="AH7604" s="508">
        <v>0.114</v>
      </c>
      <c r="AI7604" s="492">
        <v>0.114</v>
      </c>
      <c r="AJ7604" s="485"/>
    </row>
    <row r="7605" spans="2:36">
      <c r="B7605" s="136" t="s">
        <v>470</v>
      </c>
      <c r="C7605" s="132" t="s">
        <v>1372</v>
      </c>
      <c r="D7605" s="132" t="s">
        <v>1381</v>
      </c>
      <c r="E7605" s="508">
        <v>3.5640000000000001</v>
      </c>
      <c r="F7605" s="508">
        <v>1.6910000000000001</v>
      </c>
      <c r="G7605" s="508">
        <v>1.2549999999999999</v>
      </c>
      <c r="H7605" s="508">
        <v>1.173</v>
      </c>
      <c r="I7605" s="508">
        <v>1.0469999999999999</v>
      </c>
      <c r="J7605" s="508">
        <v>0.36699999999999999</v>
      </c>
      <c r="K7605" s="508">
        <v>0.255</v>
      </c>
      <c r="L7605" s="508">
        <v>2.5999999999999999E-2</v>
      </c>
      <c r="M7605" s="508">
        <v>0.35499999999999998</v>
      </c>
      <c r="N7605" s="508">
        <v>0.45200000000000001</v>
      </c>
      <c r="O7605" s="508">
        <v>0.33700000000000002</v>
      </c>
      <c r="P7605" s="508">
        <v>0.11899999999999999</v>
      </c>
      <c r="Q7605" s="508">
        <v>2.8000000000000001E-2</v>
      </c>
      <c r="R7605" s="508">
        <v>1.7999999999999999E-2</v>
      </c>
      <c r="S7605" s="508">
        <v>1.7999999999999999E-2</v>
      </c>
      <c r="T7605" s="508">
        <v>1.7999999999999999E-2</v>
      </c>
      <c r="U7605" s="508">
        <v>1.4999999999999999E-2</v>
      </c>
      <c r="V7605" s="508">
        <v>1.4999999999999999E-2</v>
      </c>
      <c r="W7605" s="508">
        <v>1.4999999999999999E-2</v>
      </c>
      <c r="X7605" s="508">
        <v>1.4999999999999999E-2</v>
      </c>
      <c r="Y7605" s="508">
        <v>1.0999999999999999E-2</v>
      </c>
      <c r="Z7605" s="508">
        <v>0.01</v>
      </c>
      <c r="AA7605" s="508">
        <v>0.01</v>
      </c>
      <c r="AB7605" s="508">
        <v>3.0000000000000001E-3</v>
      </c>
      <c r="AC7605" s="508">
        <v>3.0000000000000001E-3</v>
      </c>
      <c r="AD7605" s="508">
        <v>2E-3</v>
      </c>
      <c r="AE7605" s="508">
        <v>2E-3</v>
      </c>
      <c r="AF7605" s="508">
        <v>1E-3</v>
      </c>
      <c r="AG7605" s="508">
        <v>1E-3</v>
      </c>
      <c r="AH7605" s="508">
        <v>1E-3</v>
      </c>
      <c r="AI7605" s="492">
        <v>1E-3</v>
      </c>
      <c r="AJ7605" s="485"/>
    </row>
    <row r="7606" spans="2:36">
      <c r="B7606" s="136" t="s">
        <v>471</v>
      </c>
      <c r="C7606" s="132" t="s">
        <v>1372</v>
      </c>
      <c r="D7606" s="132" t="s">
        <v>1381</v>
      </c>
      <c r="E7606" s="508">
        <v>3.6779999999999999</v>
      </c>
      <c r="F7606" s="508">
        <v>3.448</v>
      </c>
      <c r="G7606" s="508">
        <v>3.4350000000000001</v>
      </c>
      <c r="H7606" s="508">
        <v>3.4860000000000002</v>
      </c>
      <c r="I7606" s="508">
        <v>3.4860000000000002</v>
      </c>
      <c r="J7606" s="508">
        <v>2.5590000000000002</v>
      </c>
      <c r="K7606" s="508">
        <v>2.5590000000000002</v>
      </c>
      <c r="L7606" s="508">
        <v>2.5579999999999998</v>
      </c>
      <c r="M7606" s="508">
        <v>2.5590000000000002</v>
      </c>
      <c r="N7606" s="508">
        <v>2.5790000000000002</v>
      </c>
      <c r="O7606" s="508">
        <v>2.5790000000000002</v>
      </c>
      <c r="P7606" s="508">
        <v>2.72</v>
      </c>
      <c r="Q7606" s="508">
        <v>2.7429999999999999</v>
      </c>
      <c r="R7606" s="508">
        <v>1.698</v>
      </c>
      <c r="S7606" s="508">
        <v>1.7010000000000001</v>
      </c>
      <c r="T7606" s="508">
        <v>1.7050000000000001</v>
      </c>
      <c r="U7606" s="508">
        <v>1.43</v>
      </c>
      <c r="V7606" s="508">
        <v>1.43</v>
      </c>
      <c r="W7606" s="508">
        <v>1.43</v>
      </c>
      <c r="X7606" s="508">
        <v>1.431</v>
      </c>
      <c r="Y7606" s="508">
        <v>1</v>
      </c>
      <c r="Z7606" s="508">
        <v>0.97199999999999998</v>
      </c>
      <c r="AA7606" s="508">
        <v>0.97199999999999998</v>
      </c>
      <c r="AB7606" s="508">
        <v>0.3</v>
      </c>
      <c r="AC7606" s="508">
        <v>0.29899999999999999</v>
      </c>
      <c r="AD7606" s="508">
        <v>0.14199999999999999</v>
      </c>
      <c r="AE7606" s="508">
        <v>0.13500000000000001</v>
      </c>
      <c r="AF7606" s="508">
        <v>0.123</v>
      </c>
      <c r="AG7606" s="508">
        <v>0.12</v>
      </c>
      <c r="AH7606" s="508">
        <v>0.11899999999999999</v>
      </c>
      <c r="AI7606" s="492">
        <v>0.11899999999999999</v>
      </c>
      <c r="AJ7606" s="485"/>
    </row>
    <row r="7607" spans="2:36">
      <c r="B7607" s="136" t="s">
        <v>472</v>
      </c>
      <c r="C7607" s="132" t="s">
        <v>1372</v>
      </c>
      <c r="D7607" s="132" t="s">
        <v>1381</v>
      </c>
      <c r="E7607" s="508">
        <v>3.4929999999999999</v>
      </c>
      <c r="F7607" s="508">
        <v>3.1520000000000001</v>
      </c>
      <c r="G7607" s="508">
        <v>3.14</v>
      </c>
      <c r="H7607" s="508">
        <v>3.1890000000000001</v>
      </c>
      <c r="I7607" s="508">
        <v>3.1890000000000001</v>
      </c>
      <c r="J7607" s="508">
        <v>2.4740000000000002</v>
      </c>
      <c r="K7607" s="508">
        <v>2.4740000000000002</v>
      </c>
      <c r="L7607" s="508">
        <v>2.4729999999999999</v>
      </c>
      <c r="M7607" s="508">
        <v>2.4740000000000002</v>
      </c>
      <c r="N7607" s="508">
        <v>2.492</v>
      </c>
      <c r="O7607" s="508">
        <v>2.492</v>
      </c>
      <c r="P7607" s="508">
        <v>2.63</v>
      </c>
      <c r="Q7607" s="508">
        <v>2.653</v>
      </c>
      <c r="R7607" s="508">
        <v>1.625</v>
      </c>
      <c r="S7607" s="508">
        <v>1.6279999999999999</v>
      </c>
      <c r="T7607" s="508">
        <v>1.633</v>
      </c>
      <c r="U7607" s="508">
        <v>1.2989999999999999</v>
      </c>
      <c r="V7607" s="508">
        <v>1.2989999999999999</v>
      </c>
      <c r="W7607" s="508">
        <v>1.2989999999999999</v>
      </c>
      <c r="X7607" s="508">
        <v>1.2989999999999999</v>
      </c>
      <c r="Y7607" s="508">
        <v>0.93200000000000005</v>
      </c>
      <c r="Z7607" s="508">
        <v>0.877</v>
      </c>
      <c r="AA7607" s="508">
        <v>0.877</v>
      </c>
      <c r="AB7607" s="508">
        <v>0.313</v>
      </c>
      <c r="AC7607" s="508">
        <v>0.313</v>
      </c>
      <c r="AD7607" s="508">
        <v>0.17399999999999999</v>
      </c>
      <c r="AE7607" s="508">
        <v>0.157</v>
      </c>
      <c r="AF7607" s="508">
        <v>0.13800000000000001</v>
      </c>
      <c r="AG7607" s="508">
        <v>0.128</v>
      </c>
      <c r="AH7607" s="508">
        <v>0.128</v>
      </c>
      <c r="AI7607" s="492">
        <v>0.128</v>
      </c>
      <c r="AJ7607" s="485"/>
    </row>
    <row r="7608" spans="2:36">
      <c r="B7608" s="136" t="s">
        <v>473</v>
      </c>
      <c r="C7608" s="132" t="s">
        <v>1372</v>
      </c>
      <c r="D7608" s="132" t="s">
        <v>1381</v>
      </c>
      <c r="E7608" s="508">
        <v>3.661</v>
      </c>
      <c r="F7608" s="508">
        <v>1.74</v>
      </c>
      <c r="G7608" s="508">
        <v>1.2909999999999999</v>
      </c>
      <c r="H7608" s="508">
        <v>1.2070000000000001</v>
      </c>
      <c r="I7608" s="508">
        <v>1.077</v>
      </c>
      <c r="J7608" s="508">
        <v>0.376</v>
      </c>
      <c r="K7608" s="508">
        <v>0.26100000000000001</v>
      </c>
      <c r="L7608" s="508">
        <v>2.7E-2</v>
      </c>
      <c r="M7608" s="508">
        <v>0.36299999999999999</v>
      </c>
      <c r="N7608" s="508">
        <v>0.46200000000000002</v>
      </c>
      <c r="O7608" s="508">
        <v>0.34499999999999997</v>
      </c>
      <c r="P7608" s="508">
        <v>0.122</v>
      </c>
      <c r="Q7608" s="508">
        <v>2.9000000000000001E-2</v>
      </c>
      <c r="R7608" s="508">
        <v>1.7999999999999999E-2</v>
      </c>
      <c r="S7608" s="508">
        <v>1.7999999999999999E-2</v>
      </c>
      <c r="T7608" s="508">
        <v>1.7999999999999999E-2</v>
      </c>
      <c r="U7608" s="508">
        <v>1.4E-2</v>
      </c>
      <c r="V7608" s="508">
        <v>1.4E-2</v>
      </c>
      <c r="W7608" s="508">
        <v>1.4E-2</v>
      </c>
      <c r="X7608" s="508">
        <v>1.4E-2</v>
      </c>
      <c r="Y7608" s="508">
        <v>0.01</v>
      </c>
      <c r="Z7608" s="508">
        <v>0.01</v>
      </c>
      <c r="AA7608" s="508">
        <v>0.01</v>
      </c>
      <c r="AB7608" s="508">
        <v>3.0000000000000001E-3</v>
      </c>
      <c r="AC7608" s="508">
        <v>3.0000000000000001E-3</v>
      </c>
      <c r="AD7608" s="508">
        <v>2E-3</v>
      </c>
      <c r="AE7608" s="508">
        <v>1E-3</v>
      </c>
      <c r="AF7608" s="508">
        <v>1E-3</v>
      </c>
      <c r="AG7608" s="508">
        <v>1E-3</v>
      </c>
      <c r="AH7608" s="508">
        <v>1E-3</v>
      </c>
      <c r="AI7608" s="492">
        <v>1E-3</v>
      </c>
      <c r="AJ7608" s="485"/>
    </row>
    <row r="7609" spans="2:36">
      <c r="B7609" s="136" t="s">
        <v>474</v>
      </c>
      <c r="C7609" s="132" t="s">
        <v>1372</v>
      </c>
      <c r="D7609" s="132" t="s">
        <v>1381</v>
      </c>
      <c r="E7609" s="508">
        <v>3.4620000000000002</v>
      </c>
      <c r="F7609" s="508">
        <v>3.2440000000000002</v>
      </c>
      <c r="G7609" s="508">
        <v>3.2320000000000002</v>
      </c>
      <c r="H7609" s="508">
        <v>3.28</v>
      </c>
      <c r="I7609" s="508">
        <v>3.28</v>
      </c>
      <c r="J7609" s="508">
        <v>2.4220000000000002</v>
      </c>
      <c r="K7609" s="508">
        <v>2.4220000000000002</v>
      </c>
      <c r="L7609" s="508">
        <v>2.4209999999999998</v>
      </c>
      <c r="M7609" s="508">
        <v>2.4220000000000002</v>
      </c>
      <c r="N7609" s="508">
        <v>2.4409999999999998</v>
      </c>
      <c r="O7609" s="508">
        <v>2.4409999999999998</v>
      </c>
      <c r="P7609" s="508">
        <v>2.5739999999999998</v>
      </c>
      <c r="Q7609" s="508">
        <v>2.5950000000000002</v>
      </c>
      <c r="R7609" s="508">
        <v>1.59</v>
      </c>
      <c r="S7609" s="508">
        <v>1.593</v>
      </c>
      <c r="T7609" s="508">
        <v>1.597</v>
      </c>
      <c r="U7609" s="508">
        <v>1.381</v>
      </c>
      <c r="V7609" s="508">
        <v>1.381</v>
      </c>
      <c r="W7609" s="508">
        <v>1.381</v>
      </c>
      <c r="X7609" s="508">
        <v>1.3819999999999999</v>
      </c>
      <c r="Y7609" s="508">
        <v>0.95599999999999996</v>
      </c>
      <c r="Z7609" s="508">
        <v>0.92500000000000004</v>
      </c>
      <c r="AA7609" s="508">
        <v>0.92500000000000004</v>
      </c>
      <c r="AB7609" s="508">
        <v>0.28799999999999998</v>
      </c>
      <c r="AC7609" s="508">
        <v>0.28699999999999998</v>
      </c>
      <c r="AD7609" s="508">
        <v>0.13900000000000001</v>
      </c>
      <c r="AE7609" s="508">
        <v>0.13100000000000001</v>
      </c>
      <c r="AF7609" s="508">
        <v>0.11899999999999999</v>
      </c>
      <c r="AG7609" s="508">
        <v>0.11600000000000001</v>
      </c>
      <c r="AH7609" s="508">
        <v>0.11600000000000001</v>
      </c>
      <c r="AI7609" s="492">
        <v>0.11600000000000001</v>
      </c>
      <c r="AJ7609" s="485"/>
    </row>
    <row r="7610" spans="2:36">
      <c r="B7610" s="136" t="s">
        <v>475</v>
      </c>
      <c r="C7610" s="132" t="s">
        <v>1372</v>
      </c>
      <c r="D7610" s="132" t="s">
        <v>1381</v>
      </c>
      <c r="E7610" s="508">
        <v>3.4940000000000002</v>
      </c>
      <c r="F7610" s="508">
        <v>3.2040000000000002</v>
      </c>
      <c r="G7610" s="508">
        <v>3.1920000000000002</v>
      </c>
      <c r="H7610" s="508">
        <v>3.24</v>
      </c>
      <c r="I7610" s="508">
        <v>3.24</v>
      </c>
      <c r="J7610" s="508">
        <v>2.42</v>
      </c>
      <c r="K7610" s="508">
        <v>2.42</v>
      </c>
      <c r="L7610" s="508">
        <v>2.419</v>
      </c>
      <c r="M7610" s="508">
        <v>2.42</v>
      </c>
      <c r="N7610" s="508">
        <v>2.4380000000000002</v>
      </c>
      <c r="O7610" s="508">
        <v>2.4380000000000002</v>
      </c>
      <c r="P7610" s="508">
        <v>2.5710000000000002</v>
      </c>
      <c r="Q7610" s="508">
        <v>2.593</v>
      </c>
      <c r="R7610" s="508">
        <v>1.583</v>
      </c>
      <c r="S7610" s="508">
        <v>1.5860000000000001</v>
      </c>
      <c r="T7610" s="508">
        <v>1.59</v>
      </c>
      <c r="U7610" s="508">
        <v>1.3320000000000001</v>
      </c>
      <c r="V7610" s="508">
        <v>1.3320000000000001</v>
      </c>
      <c r="W7610" s="508">
        <v>1.3320000000000001</v>
      </c>
      <c r="X7610" s="508">
        <v>1.3320000000000001</v>
      </c>
      <c r="Y7610" s="508">
        <v>0.92400000000000004</v>
      </c>
      <c r="Z7610" s="508">
        <v>0.88600000000000001</v>
      </c>
      <c r="AA7610" s="508">
        <v>0.88600000000000001</v>
      </c>
      <c r="AB7610" s="508">
        <v>0.27900000000000003</v>
      </c>
      <c r="AC7610" s="508">
        <v>0.27900000000000003</v>
      </c>
      <c r="AD7610" s="508">
        <v>0.13800000000000001</v>
      </c>
      <c r="AE7610" s="508">
        <v>0.13</v>
      </c>
      <c r="AF7610" s="508">
        <v>0.11799999999999999</v>
      </c>
      <c r="AG7610" s="508">
        <v>0.114</v>
      </c>
      <c r="AH7610" s="508">
        <v>0.114</v>
      </c>
      <c r="AI7610" s="492">
        <v>0.114</v>
      </c>
      <c r="AJ7610" s="485"/>
    </row>
    <row r="7611" spans="2:36">
      <c r="B7611" s="136" t="s">
        <v>476</v>
      </c>
      <c r="C7611" s="132" t="s">
        <v>1372</v>
      </c>
      <c r="D7611" s="132" t="s">
        <v>1381</v>
      </c>
      <c r="E7611" s="508">
        <v>3.5310000000000001</v>
      </c>
      <c r="F7611" s="508">
        <v>1.68</v>
      </c>
      <c r="G7611" s="508">
        <v>1.2470000000000001</v>
      </c>
      <c r="H7611" s="508">
        <v>1.165</v>
      </c>
      <c r="I7611" s="508">
        <v>1.04</v>
      </c>
      <c r="J7611" s="508">
        <v>0.36599999999999999</v>
      </c>
      <c r="K7611" s="508">
        <v>0.254</v>
      </c>
      <c r="L7611" s="508">
        <v>2.5999999999999999E-2</v>
      </c>
      <c r="M7611" s="508">
        <v>0.35399999999999998</v>
      </c>
      <c r="N7611" s="508">
        <v>0.45</v>
      </c>
      <c r="O7611" s="508">
        <v>0.33600000000000002</v>
      </c>
      <c r="P7611" s="508">
        <v>0.11899999999999999</v>
      </c>
      <c r="Q7611" s="508">
        <v>2.8000000000000001E-2</v>
      </c>
      <c r="R7611" s="508">
        <v>1.7000000000000001E-2</v>
      </c>
      <c r="S7611" s="508">
        <v>1.7000000000000001E-2</v>
      </c>
      <c r="T7611" s="508">
        <v>1.7000000000000001E-2</v>
      </c>
      <c r="U7611" s="508">
        <v>1.4999999999999999E-2</v>
      </c>
      <c r="V7611" s="508">
        <v>1.4999999999999999E-2</v>
      </c>
      <c r="W7611" s="508">
        <v>1.4999999999999999E-2</v>
      </c>
      <c r="X7611" s="508">
        <v>1.4999999999999999E-2</v>
      </c>
      <c r="Y7611" s="508">
        <v>0.01</v>
      </c>
      <c r="Z7611" s="508">
        <v>0.01</v>
      </c>
      <c r="AA7611" s="508">
        <v>0.01</v>
      </c>
      <c r="AB7611" s="508">
        <v>3.0000000000000001E-3</v>
      </c>
      <c r="AC7611" s="508">
        <v>3.0000000000000001E-3</v>
      </c>
      <c r="AD7611" s="508">
        <v>2E-3</v>
      </c>
      <c r="AE7611" s="508">
        <v>1E-3</v>
      </c>
      <c r="AF7611" s="508">
        <v>1E-3</v>
      </c>
      <c r="AG7611" s="508">
        <v>1E-3</v>
      </c>
      <c r="AH7611" s="508">
        <v>1E-3</v>
      </c>
      <c r="AI7611" s="492">
        <v>1E-3</v>
      </c>
      <c r="AJ7611" s="485"/>
    </row>
    <row r="7612" spans="2:36">
      <c r="B7612" s="136" t="s">
        <v>478</v>
      </c>
      <c r="C7612" s="132" t="s">
        <v>1372</v>
      </c>
      <c r="D7612" s="132" t="s">
        <v>1381</v>
      </c>
      <c r="E7612" s="508">
        <v>3.7509999999999999</v>
      </c>
      <c r="F7612" s="508">
        <v>3.4529999999999998</v>
      </c>
      <c r="G7612" s="508">
        <v>3.44</v>
      </c>
      <c r="H7612" s="508">
        <v>3.4910000000000001</v>
      </c>
      <c r="I7612" s="508">
        <v>3.4910000000000001</v>
      </c>
      <c r="J7612" s="508">
        <v>2.5550000000000002</v>
      </c>
      <c r="K7612" s="508">
        <v>2.5550000000000002</v>
      </c>
      <c r="L7612" s="508">
        <v>2.5539999999999998</v>
      </c>
      <c r="M7612" s="508">
        <v>2.5550000000000002</v>
      </c>
      <c r="N7612" s="508">
        <v>2.5750000000000002</v>
      </c>
      <c r="O7612" s="508">
        <v>2.5750000000000002</v>
      </c>
      <c r="P7612" s="508">
        <v>2.7160000000000002</v>
      </c>
      <c r="Q7612" s="508">
        <v>2.7389999999999999</v>
      </c>
      <c r="R7612" s="508">
        <v>1.7310000000000001</v>
      </c>
      <c r="S7612" s="508">
        <v>1.734</v>
      </c>
      <c r="T7612" s="508">
        <v>1.738</v>
      </c>
      <c r="U7612" s="508">
        <v>1.546</v>
      </c>
      <c r="V7612" s="508">
        <v>1.546</v>
      </c>
      <c r="W7612" s="508">
        <v>1.546</v>
      </c>
      <c r="X7612" s="508">
        <v>1.5469999999999999</v>
      </c>
      <c r="Y7612" s="508">
        <v>1.0960000000000001</v>
      </c>
      <c r="Z7612" s="508">
        <v>1.048</v>
      </c>
      <c r="AA7612" s="508">
        <v>1.048</v>
      </c>
      <c r="AB7612" s="508">
        <v>0.33500000000000002</v>
      </c>
      <c r="AC7612" s="508">
        <v>0.33400000000000002</v>
      </c>
      <c r="AD7612" s="508">
        <v>0.16500000000000001</v>
      </c>
      <c r="AE7612" s="508">
        <v>0.154</v>
      </c>
      <c r="AF7612" s="508">
        <v>0.14000000000000001</v>
      </c>
      <c r="AG7612" s="508">
        <v>0.13500000000000001</v>
      </c>
      <c r="AH7612" s="508">
        <v>0.13500000000000001</v>
      </c>
      <c r="AI7612" s="492">
        <v>0.13500000000000001</v>
      </c>
      <c r="AJ7612" s="485"/>
    </row>
    <row r="7613" spans="2:36">
      <c r="B7613" s="136" t="s">
        <v>479</v>
      </c>
      <c r="C7613" s="132" t="s">
        <v>1372</v>
      </c>
      <c r="D7613" s="132" t="s">
        <v>1381</v>
      </c>
      <c r="E7613" s="508">
        <v>3.32</v>
      </c>
      <c r="F7613" s="508">
        <v>1.621</v>
      </c>
      <c r="G7613" s="508">
        <v>1.2030000000000001</v>
      </c>
      <c r="H7613" s="508">
        <v>1.1240000000000001</v>
      </c>
      <c r="I7613" s="508">
        <v>1.0029999999999999</v>
      </c>
      <c r="J7613" s="508">
        <v>0.35299999999999998</v>
      </c>
      <c r="K7613" s="508">
        <v>0.245</v>
      </c>
      <c r="L7613" s="508">
        <v>2.5000000000000001E-2</v>
      </c>
      <c r="M7613" s="508">
        <v>0.34200000000000003</v>
      </c>
      <c r="N7613" s="508">
        <v>0.435</v>
      </c>
      <c r="O7613" s="508">
        <v>0.32400000000000001</v>
      </c>
      <c r="P7613" s="508">
        <v>0.115</v>
      </c>
      <c r="Q7613" s="508">
        <v>2.7E-2</v>
      </c>
      <c r="R7613" s="508">
        <v>1.6E-2</v>
      </c>
      <c r="S7613" s="508">
        <v>1.6E-2</v>
      </c>
      <c r="T7613" s="508">
        <v>1.6E-2</v>
      </c>
      <c r="U7613" s="508">
        <v>1.4E-2</v>
      </c>
      <c r="V7613" s="508">
        <v>1.4E-2</v>
      </c>
      <c r="W7613" s="508">
        <v>1.4E-2</v>
      </c>
      <c r="X7613" s="508">
        <v>1.4E-2</v>
      </c>
      <c r="Y7613" s="508">
        <v>0.01</v>
      </c>
      <c r="Z7613" s="508">
        <v>8.9999999999999993E-3</v>
      </c>
      <c r="AA7613" s="508">
        <v>8.9999999999999993E-3</v>
      </c>
      <c r="AB7613" s="508">
        <v>3.0000000000000001E-3</v>
      </c>
      <c r="AC7613" s="508">
        <v>3.0000000000000001E-3</v>
      </c>
      <c r="AD7613" s="508">
        <v>1E-3</v>
      </c>
      <c r="AE7613" s="508">
        <v>1E-3</v>
      </c>
      <c r="AF7613" s="508">
        <v>1E-3</v>
      </c>
      <c r="AG7613" s="508">
        <v>1E-3</v>
      </c>
      <c r="AH7613" s="508">
        <v>1E-3</v>
      </c>
      <c r="AI7613" s="492">
        <v>1E-3</v>
      </c>
      <c r="AJ7613" s="485"/>
    </row>
    <row r="7614" spans="2:36">
      <c r="B7614" s="136" t="s">
        <v>480</v>
      </c>
      <c r="C7614" s="132" t="s">
        <v>1372</v>
      </c>
      <c r="D7614" s="132" t="s">
        <v>1381</v>
      </c>
      <c r="E7614" s="508">
        <v>3.4039999999999999</v>
      </c>
      <c r="F7614" s="508">
        <v>3.1</v>
      </c>
      <c r="G7614" s="508">
        <v>3.0880000000000001</v>
      </c>
      <c r="H7614" s="508">
        <v>3.1349999999999998</v>
      </c>
      <c r="I7614" s="508">
        <v>3.1349999999999998</v>
      </c>
      <c r="J7614" s="508">
        <v>2.4289999999999998</v>
      </c>
      <c r="K7614" s="508">
        <v>2.4289999999999998</v>
      </c>
      <c r="L7614" s="508">
        <v>2.4279999999999999</v>
      </c>
      <c r="M7614" s="508">
        <v>2.4289999999999998</v>
      </c>
      <c r="N7614" s="508">
        <v>2.448</v>
      </c>
      <c r="O7614" s="508">
        <v>2.448</v>
      </c>
      <c r="P7614" s="508">
        <v>2.5819999999999999</v>
      </c>
      <c r="Q7614" s="508">
        <v>2.6040000000000001</v>
      </c>
      <c r="R7614" s="508">
        <v>1.5529999999999999</v>
      </c>
      <c r="S7614" s="508">
        <v>1.556</v>
      </c>
      <c r="T7614" s="508">
        <v>1.56</v>
      </c>
      <c r="U7614" s="508">
        <v>1.246</v>
      </c>
      <c r="V7614" s="508">
        <v>1.2470000000000001</v>
      </c>
      <c r="W7614" s="508">
        <v>1.246</v>
      </c>
      <c r="X7614" s="508">
        <v>1.2470000000000001</v>
      </c>
      <c r="Y7614" s="508">
        <v>0.88500000000000001</v>
      </c>
      <c r="Z7614" s="508">
        <v>0.83599999999999997</v>
      </c>
      <c r="AA7614" s="508">
        <v>0.83599999999999997</v>
      </c>
      <c r="AB7614" s="508">
        <v>0.28199999999999997</v>
      </c>
      <c r="AC7614" s="508">
        <v>0.28100000000000003</v>
      </c>
      <c r="AD7614" s="508">
        <v>0.15</v>
      </c>
      <c r="AE7614" s="508">
        <v>0.13800000000000001</v>
      </c>
      <c r="AF7614" s="508">
        <v>0.123</v>
      </c>
      <c r="AG7614" s="508">
        <v>0.11700000000000001</v>
      </c>
      <c r="AH7614" s="508">
        <v>0.11600000000000001</v>
      </c>
      <c r="AI7614" s="492">
        <v>0.11600000000000001</v>
      </c>
      <c r="AJ7614" s="485"/>
    </row>
    <row r="7615" spans="2:36">
      <c r="B7615" s="136" t="s">
        <v>481</v>
      </c>
      <c r="C7615" s="132" t="s">
        <v>1372</v>
      </c>
      <c r="D7615" s="132" t="s">
        <v>1381</v>
      </c>
      <c r="E7615" s="508">
        <v>3.6469999999999998</v>
      </c>
      <c r="F7615" s="508">
        <v>3.4129999999999998</v>
      </c>
      <c r="G7615" s="508">
        <v>3.4</v>
      </c>
      <c r="H7615" s="508">
        <v>3.45</v>
      </c>
      <c r="I7615" s="508">
        <v>3.45</v>
      </c>
      <c r="J7615" s="508">
        <v>2.5470000000000002</v>
      </c>
      <c r="K7615" s="508">
        <v>2.5470000000000002</v>
      </c>
      <c r="L7615" s="508">
        <v>2.5459999999999998</v>
      </c>
      <c r="M7615" s="508">
        <v>2.5470000000000002</v>
      </c>
      <c r="N7615" s="508">
        <v>2.5659999999999998</v>
      </c>
      <c r="O7615" s="508">
        <v>2.5659999999999998</v>
      </c>
      <c r="P7615" s="508">
        <v>2.706</v>
      </c>
      <c r="Q7615" s="508">
        <v>2.7290000000000001</v>
      </c>
      <c r="R7615" s="508">
        <v>1.6679999999999999</v>
      </c>
      <c r="S7615" s="508">
        <v>1.671</v>
      </c>
      <c r="T7615" s="508">
        <v>1.675</v>
      </c>
      <c r="U7615" s="508">
        <v>1.367</v>
      </c>
      <c r="V7615" s="508">
        <v>1.367</v>
      </c>
      <c r="W7615" s="508">
        <v>1.367</v>
      </c>
      <c r="X7615" s="508">
        <v>1.3680000000000001</v>
      </c>
      <c r="Y7615" s="508">
        <v>0.95499999999999996</v>
      </c>
      <c r="Z7615" s="508">
        <v>0.92600000000000005</v>
      </c>
      <c r="AA7615" s="508">
        <v>0.92600000000000005</v>
      </c>
      <c r="AB7615" s="508">
        <v>0.28699999999999998</v>
      </c>
      <c r="AC7615" s="508">
        <v>0.28599999999999998</v>
      </c>
      <c r="AD7615" s="508">
        <v>0.13700000000000001</v>
      </c>
      <c r="AE7615" s="508">
        <v>0.13</v>
      </c>
      <c r="AF7615" s="508">
        <v>0.11899999999999999</v>
      </c>
      <c r="AG7615" s="508">
        <v>0.115</v>
      </c>
      <c r="AH7615" s="508">
        <v>0.115</v>
      </c>
      <c r="AI7615" s="492">
        <v>0.115</v>
      </c>
      <c r="AJ7615" s="485"/>
    </row>
    <row r="7616" spans="2:36">
      <c r="B7616" s="136" t="s">
        <v>482</v>
      </c>
      <c r="C7616" s="132" t="s">
        <v>1372</v>
      </c>
      <c r="D7616" s="132" t="s">
        <v>1381</v>
      </c>
      <c r="E7616" s="508">
        <v>3.4540000000000002</v>
      </c>
      <c r="F7616" s="508">
        <v>3.2909999999999999</v>
      </c>
      <c r="G7616" s="508">
        <v>3.2789999999999999</v>
      </c>
      <c r="H7616" s="508">
        <v>3.327</v>
      </c>
      <c r="I7616" s="508">
        <v>3.327</v>
      </c>
      <c r="J7616" s="508">
        <v>2.4529999999999998</v>
      </c>
      <c r="K7616" s="508">
        <v>2.4529999999999998</v>
      </c>
      <c r="L7616" s="508">
        <v>2.452</v>
      </c>
      <c r="M7616" s="508">
        <v>2.4529999999999998</v>
      </c>
      <c r="N7616" s="508">
        <v>2.472</v>
      </c>
      <c r="O7616" s="508">
        <v>2.472</v>
      </c>
      <c r="P7616" s="508">
        <v>2.6059999999999999</v>
      </c>
      <c r="Q7616" s="508">
        <v>2.6280000000000001</v>
      </c>
      <c r="R7616" s="508">
        <v>1.597</v>
      </c>
      <c r="S7616" s="508">
        <v>1.6</v>
      </c>
      <c r="T7616" s="508">
        <v>1.6040000000000001</v>
      </c>
      <c r="U7616" s="508">
        <v>1.413</v>
      </c>
      <c r="V7616" s="508">
        <v>1.413</v>
      </c>
      <c r="W7616" s="508">
        <v>1.413</v>
      </c>
      <c r="X7616" s="508">
        <v>1.4139999999999999</v>
      </c>
      <c r="Y7616" s="508">
        <v>0.98</v>
      </c>
      <c r="Z7616" s="508">
        <v>0.96299999999999997</v>
      </c>
      <c r="AA7616" s="508">
        <v>0.96399999999999997</v>
      </c>
      <c r="AB7616" s="508">
        <v>0.29099999999999998</v>
      </c>
      <c r="AC7616" s="508">
        <v>0.29099999999999998</v>
      </c>
      <c r="AD7616" s="508">
        <v>0.13400000000000001</v>
      </c>
      <c r="AE7616" s="508">
        <v>0.129</v>
      </c>
      <c r="AF7616" s="508">
        <v>0.11799999999999999</v>
      </c>
      <c r="AG7616" s="508">
        <v>0.115</v>
      </c>
      <c r="AH7616" s="508">
        <v>0.115</v>
      </c>
      <c r="AI7616" s="492">
        <v>0.115</v>
      </c>
      <c r="AJ7616" s="485"/>
    </row>
    <row r="7617" spans="2:36">
      <c r="B7617" s="136" t="s">
        <v>483</v>
      </c>
      <c r="C7617" s="132" t="s">
        <v>1372</v>
      </c>
      <c r="D7617" s="132" t="s">
        <v>1381</v>
      </c>
      <c r="E7617" s="508">
        <v>3.867</v>
      </c>
      <c r="F7617" s="508">
        <v>3.5510000000000002</v>
      </c>
      <c r="G7617" s="508">
        <v>3.5379999999999998</v>
      </c>
      <c r="H7617" s="508">
        <v>3.59</v>
      </c>
      <c r="I7617" s="508">
        <v>3.59</v>
      </c>
      <c r="J7617" s="508">
        <v>2.6339999999999999</v>
      </c>
      <c r="K7617" s="508">
        <v>2.6339999999999999</v>
      </c>
      <c r="L7617" s="508">
        <v>2.633</v>
      </c>
      <c r="M7617" s="508">
        <v>2.6339999999999999</v>
      </c>
      <c r="N7617" s="508">
        <v>2.6539999999999999</v>
      </c>
      <c r="O7617" s="508">
        <v>2.6539999999999999</v>
      </c>
      <c r="P7617" s="508">
        <v>2.8</v>
      </c>
      <c r="Q7617" s="508">
        <v>2.823</v>
      </c>
      <c r="R7617" s="508">
        <v>1.784</v>
      </c>
      <c r="S7617" s="508">
        <v>1.7869999999999999</v>
      </c>
      <c r="T7617" s="508">
        <v>1.7909999999999999</v>
      </c>
      <c r="U7617" s="508">
        <v>1.4970000000000001</v>
      </c>
      <c r="V7617" s="508">
        <v>1.4970000000000001</v>
      </c>
      <c r="W7617" s="508">
        <v>1.4970000000000001</v>
      </c>
      <c r="X7617" s="508">
        <v>1.498</v>
      </c>
      <c r="Y7617" s="508">
        <v>1.0569999999999999</v>
      </c>
      <c r="Z7617" s="508">
        <v>1.006</v>
      </c>
      <c r="AA7617" s="508">
        <v>1.006</v>
      </c>
      <c r="AB7617" s="508">
        <v>0.32500000000000001</v>
      </c>
      <c r="AC7617" s="508">
        <v>0.32500000000000001</v>
      </c>
      <c r="AD7617" s="508">
        <v>0.16300000000000001</v>
      </c>
      <c r="AE7617" s="508">
        <v>0.152</v>
      </c>
      <c r="AF7617" s="508">
        <v>0.13700000000000001</v>
      </c>
      <c r="AG7617" s="508">
        <v>0.13200000000000001</v>
      </c>
      <c r="AH7617" s="508">
        <v>0.13100000000000001</v>
      </c>
      <c r="AI7617" s="492">
        <v>0.13100000000000001</v>
      </c>
      <c r="AJ7617" s="485"/>
    </row>
    <row r="7618" spans="2:36">
      <c r="B7618" s="136" t="s">
        <v>484</v>
      </c>
      <c r="C7618" s="132" t="s">
        <v>1372</v>
      </c>
      <c r="D7618" s="132" t="s">
        <v>1381</v>
      </c>
      <c r="E7618" s="508">
        <v>3.2429999999999999</v>
      </c>
      <c r="F7618" s="508">
        <v>1.5209999999999999</v>
      </c>
      <c r="G7618" s="508">
        <v>1.129</v>
      </c>
      <c r="H7618" s="508">
        <v>1.0549999999999999</v>
      </c>
      <c r="I7618" s="508">
        <v>0.94199999999999995</v>
      </c>
      <c r="J7618" s="508">
        <v>0.34599999999999997</v>
      </c>
      <c r="K7618" s="508">
        <v>0.24099999999999999</v>
      </c>
      <c r="L7618" s="508">
        <v>2.5000000000000001E-2</v>
      </c>
      <c r="M7618" s="508">
        <v>0.33500000000000002</v>
      </c>
      <c r="N7618" s="508">
        <v>0.42599999999999999</v>
      </c>
      <c r="O7618" s="508">
        <v>0.318</v>
      </c>
      <c r="P7618" s="508">
        <v>0.113</v>
      </c>
      <c r="Q7618" s="508">
        <v>2.7E-2</v>
      </c>
      <c r="R7618" s="508">
        <v>1.6E-2</v>
      </c>
      <c r="S7618" s="508">
        <v>1.6E-2</v>
      </c>
      <c r="T7618" s="508">
        <v>1.6E-2</v>
      </c>
      <c r="U7618" s="508">
        <v>1.2999999999999999E-2</v>
      </c>
      <c r="V7618" s="508">
        <v>1.2999999999999999E-2</v>
      </c>
      <c r="W7618" s="508">
        <v>1.2999999999999999E-2</v>
      </c>
      <c r="X7618" s="508">
        <v>1.2999999999999999E-2</v>
      </c>
      <c r="Y7618" s="508">
        <v>8.9999999999999993E-3</v>
      </c>
      <c r="Z7618" s="508">
        <v>8.9999999999999993E-3</v>
      </c>
      <c r="AA7618" s="508">
        <v>8.9999999999999993E-3</v>
      </c>
      <c r="AB7618" s="508">
        <v>3.0000000000000001E-3</v>
      </c>
      <c r="AC7618" s="508">
        <v>3.0000000000000001E-3</v>
      </c>
      <c r="AD7618" s="508">
        <v>2E-3</v>
      </c>
      <c r="AE7618" s="508">
        <v>1E-3</v>
      </c>
      <c r="AF7618" s="508">
        <v>1E-3</v>
      </c>
      <c r="AG7618" s="508">
        <v>1E-3</v>
      </c>
      <c r="AH7618" s="508">
        <v>1E-3</v>
      </c>
      <c r="AI7618" s="492">
        <v>1E-3</v>
      </c>
      <c r="AJ7618" s="485"/>
    </row>
    <row r="7619" spans="2:36">
      <c r="B7619" s="136" t="s">
        <v>486</v>
      </c>
      <c r="C7619" s="132" t="s">
        <v>1372</v>
      </c>
      <c r="D7619" s="132" t="s">
        <v>1381</v>
      </c>
      <c r="E7619" s="508">
        <v>3.5859999999999999</v>
      </c>
      <c r="F7619" s="508">
        <v>3.3410000000000002</v>
      </c>
      <c r="G7619" s="508">
        <v>3.3290000000000002</v>
      </c>
      <c r="H7619" s="508">
        <v>3.3780000000000001</v>
      </c>
      <c r="I7619" s="508">
        <v>3.3780000000000001</v>
      </c>
      <c r="J7619" s="508">
        <v>2.4969999999999999</v>
      </c>
      <c r="K7619" s="508">
        <v>2.4969999999999999</v>
      </c>
      <c r="L7619" s="508">
        <v>2.496</v>
      </c>
      <c r="M7619" s="508">
        <v>2.4969999999999999</v>
      </c>
      <c r="N7619" s="508">
        <v>2.516</v>
      </c>
      <c r="O7619" s="508">
        <v>2.516</v>
      </c>
      <c r="P7619" s="508">
        <v>2.653</v>
      </c>
      <c r="Q7619" s="508">
        <v>2.6749999999999998</v>
      </c>
      <c r="R7619" s="508">
        <v>1.6419999999999999</v>
      </c>
      <c r="S7619" s="508">
        <v>1.645</v>
      </c>
      <c r="T7619" s="508">
        <v>1.649</v>
      </c>
      <c r="U7619" s="508">
        <v>1.425</v>
      </c>
      <c r="V7619" s="508">
        <v>1.425</v>
      </c>
      <c r="W7619" s="508">
        <v>1.425</v>
      </c>
      <c r="X7619" s="508">
        <v>1.425</v>
      </c>
      <c r="Y7619" s="508">
        <v>1.0029999999999999</v>
      </c>
      <c r="Z7619" s="508">
        <v>0.96899999999999997</v>
      </c>
      <c r="AA7619" s="508">
        <v>0.96899999999999997</v>
      </c>
      <c r="AB7619" s="508">
        <v>0.30199999999999999</v>
      </c>
      <c r="AC7619" s="508">
        <v>0.30199999999999999</v>
      </c>
      <c r="AD7619" s="508">
        <v>0.14499999999999999</v>
      </c>
      <c r="AE7619" s="508">
        <v>0.13700000000000001</v>
      </c>
      <c r="AF7619" s="508">
        <v>0.125</v>
      </c>
      <c r="AG7619" s="508">
        <v>0.121</v>
      </c>
      <c r="AH7619" s="508">
        <v>0.121</v>
      </c>
      <c r="AI7619" s="492">
        <v>0.121</v>
      </c>
      <c r="AJ7619" s="485"/>
    </row>
    <row r="7620" spans="2:36">
      <c r="B7620" s="136" t="s">
        <v>487</v>
      </c>
      <c r="C7620" s="132" t="s">
        <v>1372</v>
      </c>
      <c r="D7620" s="132" t="s">
        <v>1381</v>
      </c>
      <c r="E7620" s="508">
        <v>3.6850000000000001</v>
      </c>
      <c r="F7620" s="508">
        <v>3.3740000000000001</v>
      </c>
      <c r="G7620" s="508">
        <v>3.3620000000000001</v>
      </c>
      <c r="H7620" s="508">
        <v>3.411</v>
      </c>
      <c r="I7620" s="508">
        <v>3.4119999999999999</v>
      </c>
      <c r="J7620" s="508">
        <v>2.5329999999999999</v>
      </c>
      <c r="K7620" s="508">
        <v>2.5329999999999999</v>
      </c>
      <c r="L7620" s="508">
        <v>2.532</v>
      </c>
      <c r="M7620" s="508">
        <v>2.5329999999999999</v>
      </c>
      <c r="N7620" s="508">
        <v>2.552</v>
      </c>
      <c r="O7620" s="508">
        <v>2.552</v>
      </c>
      <c r="P7620" s="508">
        <v>2.6909999999999998</v>
      </c>
      <c r="Q7620" s="508">
        <v>2.714</v>
      </c>
      <c r="R7620" s="508">
        <v>1.669</v>
      </c>
      <c r="S7620" s="508">
        <v>1.6719999999999999</v>
      </c>
      <c r="T7620" s="508">
        <v>1.6759999999999999</v>
      </c>
      <c r="U7620" s="508">
        <v>1.3939999999999999</v>
      </c>
      <c r="V7620" s="508">
        <v>1.3939999999999999</v>
      </c>
      <c r="W7620" s="508">
        <v>1.3939999999999999</v>
      </c>
      <c r="X7620" s="508">
        <v>1.395</v>
      </c>
      <c r="Y7620" s="508">
        <v>0.97399999999999998</v>
      </c>
      <c r="Z7620" s="508">
        <v>0.93200000000000005</v>
      </c>
      <c r="AA7620" s="508">
        <v>0.93300000000000005</v>
      </c>
      <c r="AB7620" s="508">
        <v>0.29499999999999998</v>
      </c>
      <c r="AC7620" s="508">
        <v>0.29399999999999998</v>
      </c>
      <c r="AD7620" s="508">
        <v>0.14499999999999999</v>
      </c>
      <c r="AE7620" s="508">
        <v>0.13700000000000001</v>
      </c>
      <c r="AF7620" s="508">
        <v>0.124</v>
      </c>
      <c r="AG7620" s="508">
        <v>0.12</v>
      </c>
      <c r="AH7620" s="508">
        <v>0.12</v>
      </c>
      <c r="AI7620" s="492">
        <v>0.12</v>
      </c>
      <c r="AJ7620" s="485"/>
    </row>
    <row r="7621" spans="2:36">
      <c r="B7621" s="136" t="s">
        <v>488</v>
      </c>
      <c r="C7621" s="132" t="s">
        <v>1372</v>
      </c>
      <c r="D7621" s="132" t="s">
        <v>1381</v>
      </c>
      <c r="E7621" s="508">
        <v>3.242</v>
      </c>
      <c r="F7621" s="508">
        <v>1.5429999999999999</v>
      </c>
      <c r="G7621" s="508">
        <v>1.145</v>
      </c>
      <c r="H7621" s="508">
        <v>1.071</v>
      </c>
      <c r="I7621" s="508">
        <v>0.95499999999999996</v>
      </c>
      <c r="J7621" s="508">
        <v>0.34599999999999997</v>
      </c>
      <c r="K7621" s="508">
        <v>0.24</v>
      </c>
      <c r="L7621" s="508">
        <v>2.5000000000000001E-2</v>
      </c>
      <c r="M7621" s="508">
        <v>0.33500000000000002</v>
      </c>
      <c r="N7621" s="508">
        <v>0.42599999999999999</v>
      </c>
      <c r="O7621" s="508">
        <v>0.318</v>
      </c>
      <c r="P7621" s="508">
        <v>0.113</v>
      </c>
      <c r="Q7621" s="508">
        <v>2.7E-2</v>
      </c>
      <c r="R7621" s="508">
        <v>1.6E-2</v>
      </c>
      <c r="S7621" s="508">
        <v>1.6E-2</v>
      </c>
      <c r="T7621" s="508">
        <v>1.6E-2</v>
      </c>
      <c r="U7621" s="508">
        <v>1.2999999999999999E-2</v>
      </c>
      <c r="V7621" s="508">
        <v>1.2999999999999999E-2</v>
      </c>
      <c r="W7621" s="508">
        <v>1.2999999999999999E-2</v>
      </c>
      <c r="X7621" s="508">
        <v>1.2999999999999999E-2</v>
      </c>
      <c r="Y7621" s="508">
        <v>8.9999999999999993E-3</v>
      </c>
      <c r="Z7621" s="508">
        <v>8.9999999999999993E-3</v>
      </c>
      <c r="AA7621" s="508">
        <v>8.9999999999999993E-3</v>
      </c>
      <c r="AB7621" s="508">
        <v>3.0000000000000001E-3</v>
      </c>
      <c r="AC7621" s="508">
        <v>3.0000000000000001E-3</v>
      </c>
      <c r="AD7621" s="508">
        <v>1E-3</v>
      </c>
      <c r="AE7621" s="508">
        <v>1E-3</v>
      </c>
      <c r="AF7621" s="508">
        <v>1E-3</v>
      </c>
      <c r="AG7621" s="508">
        <v>1E-3</v>
      </c>
      <c r="AH7621" s="508">
        <v>1E-3</v>
      </c>
      <c r="AI7621" s="492">
        <v>1E-3</v>
      </c>
      <c r="AJ7621" s="485"/>
    </row>
    <row r="7622" spans="2:36">
      <c r="B7622" s="136" t="s">
        <v>489</v>
      </c>
      <c r="C7622" s="132" t="s">
        <v>1372</v>
      </c>
      <c r="D7622" s="132" t="s">
        <v>1381</v>
      </c>
      <c r="E7622" s="508">
        <v>3.597</v>
      </c>
      <c r="F7622" s="508">
        <v>3.2759999999999998</v>
      </c>
      <c r="G7622" s="508">
        <v>3.2639999999999998</v>
      </c>
      <c r="H7622" s="508">
        <v>3.3130000000000002</v>
      </c>
      <c r="I7622" s="508">
        <v>3.3130000000000002</v>
      </c>
      <c r="J7622" s="508">
        <v>2.5070000000000001</v>
      </c>
      <c r="K7622" s="508">
        <v>2.508</v>
      </c>
      <c r="L7622" s="508">
        <v>2.5059999999999998</v>
      </c>
      <c r="M7622" s="508">
        <v>2.508</v>
      </c>
      <c r="N7622" s="508">
        <v>2.5259999999999998</v>
      </c>
      <c r="O7622" s="508">
        <v>2.5259999999999998</v>
      </c>
      <c r="P7622" s="508">
        <v>2.665</v>
      </c>
      <c r="Q7622" s="508">
        <v>2.6880000000000002</v>
      </c>
      <c r="R7622" s="508">
        <v>1.6639999999999999</v>
      </c>
      <c r="S7622" s="508">
        <v>1.667</v>
      </c>
      <c r="T7622" s="508">
        <v>1.6719999999999999</v>
      </c>
      <c r="U7622" s="508">
        <v>1.363</v>
      </c>
      <c r="V7622" s="508">
        <v>1.3640000000000001</v>
      </c>
      <c r="W7622" s="508">
        <v>1.363</v>
      </c>
      <c r="X7622" s="508">
        <v>1.3640000000000001</v>
      </c>
      <c r="Y7622" s="508">
        <v>0.97299999999999998</v>
      </c>
      <c r="Z7622" s="508">
        <v>0.92100000000000004</v>
      </c>
      <c r="AA7622" s="508">
        <v>0.92100000000000004</v>
      </c>
      <c r="AB7622" s="508">
        <v>0.308</v>
      </c>
      <c r="AC7622" s="508">
        <v>0.308</v>
      </c>
      <c r="AD7622" s="508">
        <v>0.16</v>
      </c>
      <c r="AE7622" s="508">
        <v>0.14799999999999999</v>
      </c>
      <c r="AF7622" s="508">
        <v>0.13200000000000001</v>
      </c>
      <c r="AG7622" s="508">
        <v>0.126</v>
      </c>
      <c r="AH7622" s="508">
        <v>0.126</v>
      </c>
      <c r="AI7622" s="492">
        <v>0.126</v>
      </c>
      <c r="AJ7622" s="485"/>
    </row>
    <row r="7623" spans="2:36">
      <c r="B7623" s="136" t="s">
        <v>490</v>
      </c>
      <c r="C7623" s="132" t="s">
        <v>1372</v>
      </c>
      <c r="D7623" s="132" t="s">
        <v>1381</v>
      </c>
      <c r="E7623" s="508">
        <v>3.351</v>
      </c>
      <c r="F7623" s="508">
        <v>3.0419999999999998</v>
      </c>
      <c r="G7623" s="508">
        <v>3.0310000000000001</v>
      </c>
      <c r="H7623" s="508">
        <v>3.077</v>
      </c>
      <c r="I7623" s="508">
        <v>3.077</v>
      </c>
      <c r="J7623" s="508">
        <v>2.375</v>
      </c>
      <c r="K7623" s="508">
        <v>2.375</v>
      </c>
      <c r="L7623" s="508">
        <v>2.3740000000000001</v>
      </c>
      <c r="M7623" s="508">
        <v>2.375</v>
      </c>
      <c r="N7623" s="508">
        <v>2.3929999999999998</v>
      </c>
      <c r="O7623" s="508">
        <v>2.3929999999999998</v>
      </c>
      <c r="P7623" s="508">
        <v>2.524</v>
      </c>
      <c r="Q7623" s="508">
        <v>2.5459999999999998</v>
      </c>
      <c r="R7623" s="508">
        <v>1.514</v>
      </c>
      <c r="S7623" s="508">
        <v>1.5169999999999999</v>
      </c>
      <c r="T7623" s="508">
        <v>1.5209999999999999</v>
      </c>
      <c r="U7623" s="508">
        <v>1.2569999999999999</v>
      </c>
      <c r="V7623" s="508">
        <v>1.258</v>
      </c>
      <c r="W7623" s="508">
        <v>1.258</v>
      </c>
      <c r="X7623" s="508">
        <v>1.258</v>
      </c>
      <c r="Y7623" s="508">
        <v>0.88500000000000001</v>
      </c>
      <c r="Z7623" s="508">
        <v>0.83099999999999996</v>
      </c>
      <c r="AA7623" s="508">
        <v>0.83099999999999996</v>
      </c>
      <c r="AB7623" s="508">
        <v>0.28100000000000003</v>
      </c>
      <c r="AC7623" s="508">
        <v>0.28100000000000003</v>
      </c>
      <c r="AD7623" s="508">
        <v>0.151</v>
      </c>
      <c r="AE7623" s="508">
        <v>0.13900000000000001</v>
      </c>
      <c r="AF7623" s="508">
        <v>0.124</v>
      </c>
      <c r="AG7623" s="508">
        <v>0.11700000000000001</v>
      </c>
      <c r="AH7623" s="508">
        <v>0.11700000000000001</v>
      </c>
      <c r="AI7623" s="492">
        <v>0.11700000000000001</v>
      </c>
      <c r="AJ7623" s="485"/>
    </row>
    <row r="7624" spans="2:36">
      <c r="B7624" s="136" t="s">
        <v>435</v>
      </c>
      <c r="C7624" s="132" t="s">
        <v>1373</v>
      </c>
      <c r="D7624" s="132" t="s">
        <v>1381</v>
      </c>
      <c r="E7624" s="508">
        <v>1.399</v>
      </c>
      <c r="F7624" s="508">
        <v>1.4319999999999999</v>
      </c>
      <c r="G7624" s="508">
        <v>1.3460000000000001</v>
      </c>
      <c r="H7624" s="508">
        <v>1.6259999999999999</v>
      </c>
      <c r="I7624" s="508">
        <v>1.663</v>
      </c>
      <c r="J7624" s="508">
        <v>1.532</v>
      </c>
      <c r="K7624" s="508">
        <v>1.702</v>
      </c>
      <c r="L7624" s="508">
        <v>1.5629999999999999</v>
      </c>
      <c r="M7624" s="508">
        <v>1.625</v>
      </c>
      <c r="N7624" s="508">
        <v>1.556</v>
      </c>
      <c r="O7624" s="508">
        <v>1.496</v>
      </c>
      <c r="P7624" s="508">
        <v>1.387</v>
      </c>
      <c r="Q7624" s="508">
        <v>1.3560000000000001</v>
      </c>
      <c r="R7624" s="508">
        <v>1.49</v>
      </c>
      <c r="S7624" s="508">
        <v>1.6040000000000001</v>
      </c>
      <c r="T7624" s="508">
        <v>1.4990000000000001</v>
      </c>
      <c r="U7624" s="508">
        <v>1.56</v>
      </c>
      <c r="V7624" s="508">
        <v>1.518</v>
      </c>
      <c r="W7624" s="508">
        <v>0.90700000000000003</v>
      </c>
      <c r="X7624" s="508">
        <v>0.91</v>
      </c>
      <c r="Y7624" s="508">
        <v>0.89800000000000002</v>
      </c>
      <c r="Z7624" s="508">
        <v>0.89700000000000002</v>
      </c>
      <c r="AA7624" s="508">
        <v>9.2999999999999999E-2</v>
      </c>
      <c r="AB7624" s="508">
        <v>9.5000000000000001E-2</v>
      </c>
      <c r="AC7624" s="508">
        <v>9.0999999999999998E-2</v>
      </c>
      <c r="AD7624" s="508">
        <v>5.6000000000000001E-2</v>
      </c>
      <c r="AE7624" s="508">
        <v>5.5E-2</v>
      </c>
      <c r="AF7624" s="508">
        <v>4.5999999999999999E-2</v>
      </c>
      <c r="AG7624" s="508">
        <v>4.5999999999999999E-2</v>
      </c>
      <c r="AH7624" s="508">
        <v>4.5999999999999999E-2</v>
      </c>
      <c r="AI7624" s="492">
        <v>4.5999999999999999E-2</v>
      </c>
      <c r="AJ7624" s="485"/>
    </row>
    <row r="7625" spans="2:36">
      <c r="B7625" s="136" t="s">
        <v>436</v>
      </c>
      <c r="C7625" s="132" t="s">
        <v>1373</v>
      </c>
      <c r="D7625" s="132" t="s">
        <v>1381</v>
      </c>
      <c r="E7625" s="508">
        <v>1.538</v>
      </c>
      <c r="F7625" s="508">
        <v>1.5509999999999999</v>
      </c>
      <c r="G7625" s="508">
        <v>1.4550000000000001</v>
      </c>
      <c r="H7625" s="508">
        <v>1.7030000000000001</v>
      </c>
      <c r="I7625" s="508">
        <v>1.726</v>
      </c>
      <c r="J7625" s="508">
        <v>1.5940000000000001</v>
      </c>
      <c r="K7625" s="508">
        <v>1.7450000000000001</v>
      </c>
      <c r="L7625" s="508">
        <v>1.607</v>
      </c>
      <c r="M7625" s="508">
        <v>1.659</v>
      </c>
      <c r="N7625" s="508">
        <v>1.5880000000000001</v>
      </c>
      <c r="O7625" s="508">
        <v>1.5269999999999999</v>
      </c>
      <c r="P7625" s="508">
        <v>1.4219999999999999</v>
      </c>
      <c r="Q7625" s="508">
        <v>1.3879999999999999</v>
      </c>
      <c r="R7625" s="508">
        <v>1.5089999999999999</v>
      </c>
      <c r="S7625" s="508">
        <v>1.611</v>
      </c>
      <c r="T7625" s="508">
        <v>1.498</v>
      </c>
      <c r="U7625" s="508">
        <v>1.5429999999999999</v>
      </c>
      <c r="V7625" s="508">
        <v>1.496</v>
      </c>
      <c r="W7625" s="508">
        <v>0.90200000000000002</v>
      </c>
      <c r="X7625" s="508">
        <v>0.90100000000000002</v>
      </c>
      <c r="Y7625" s="508">
        <v>0.88600000000000001</v>
      </c>
      <c r="Z7625" s="508">
        <v>0.88200000000000001</v>
      </c>
      <c r="AA7625" s="508">
        <v>0.10199999999999999</v>
      </c>
      <c r="AB7625" s="508">
        <v>0.10299999999999999</v>
      </c>
      <c r="AC7625" s="508">
        <v>9.8000000000000004E-2</v>
      </c>
      <c r="AD7625" s="508">
        <v>6.4000000000000001E-2</v>
      </c>
      <c r="AE7625" s="508">
        <v>6.3E-2</v>
      </c>
      <c r="AF7625" s="508">
        <v>5.2999999999999999E-2</v>
      </c>
      <c r="AG7625" s="508">
        <v>5.2999999999999999E-2</v>
      </c>
      <c r="AH7625" s="508">
        <v>5.2999999999999999E-2</v>
      </c>
      <c r="AI7625" s="492">
        <v>5.2999999999999999E-2</v>
      </c>
      <c r="AJ7625" s="485"/>
    </row>
    <row r="7626" spans="2:36">
      <c r="B7626" s="136" t="s">
        <v>437</v>
      </c>
      <c r="C7626" s="132" t="s">
        <v>1373</v>
      </c>
      <c r="D7626" s="132" t="s">
        <v>1381</v>
      </c>
      <c r="E7626" s="508">
        <v>1.3879999999999999</v>
      </c>
      <c r="F7626" s="508">
        <v>1.4239999999999999</v>
      </c>
      <c r="G7626" s="508">
        <v>1.3380000000000001</v>
      </c>
      <c r="H7626" s="508">
        <v>1.6240000000000001</v>
      </c>
      <c r="I7626" s="508">
        <v>1.6619999999999999</v>
      </c>
      <c r="J7626" s="508">
        <v>1.5309999999999999</v>
      </c>
      <c r="K7626" s="508">
        <v>1.7050000000000001</v>
      </c>
      <c r="L7626" s="508">
        <v>1.5649999999999999</v>
      </c>
      <c r="M7626" s="508">
        <v>1.629</v>
      </c>
      <c r="N7626" s="508">
        <v>1.5589999999999999</v>
      </c>
      <c r="O7626" s="508">
        <v>1.4990000000000001</v>
      </c>
      <c r="P7626" s="508">
        <v>1.39</v>
      </c>
      <c r="Q7626" s="508">
        <v>1.359</v>
      </c>
      <c r="R7626" s="508">
        <v>1.4950000000000001</v>
      </c>
      <c r="S7626" s="508">
        <v>1.611</v>
      </c>
      <c r="T7626" s="508">
        <v>1.5069999999999999</v>
      </c>
      <c r="U7626" s="508">
        <v>1.57</v>
      </c>
      <c r="V7626" s="508">
        <v>1.528</v>
      </c>
      <c r="W7626" s="508">
        <v>0.91200000000000003</v>
      </c>
      <c r="X7626" s="508">
        <v>0.91600000000000004</v>
      </c>
      <c r="Y7626" s="508">
        <v>0.90400000000000003</v>
      </c>
      <c r="Z7626" s="508">
        <v>0.90300000000000002</v>
      </c>
      <c r="AA7626" s="508">
        <v>9.1999999999999998E-2</v>
      </c>
      <c r="AB7626" s="508">
        <v>9.4E-2</v>
      </c>
      <c r="AC7626" s="508">
        <v>0.09</v>
      </c>
      <c r="AD7626" s="508">
        <v>5.5E-2</v>
      </c>
      <c r="AE7626" s="508">
        <v>5.5E-2</v>
      </c>
      <c r="AF7626" s="508">
        <v>4.4999999999999998E-2</v>
      </c>
      <c r="AG7626" s="508">
        <v>4.4999999999999998E-2</v>
      </c>
      <c r="AH7626" s="508">
        <v>4.4999999999999998E-2</v>
      </c>
      <c r="AI7626" s="492">
        <v>4.4999999999999998E-2</v>
      </c>
      <c r="AJ7626" s="485"/>
    </row>
    <row r="7627" spans="2:36">
      <c r="B7627" s="136" t="s">
        <v>438</v>
      </c>
      <c r="C7627" s="132" t="s">
        <v>1373</v>
      </c>
      <c r="D7627" s="132" t="s">
        <v>1381</v>
      </c>
      <c r="E7627" s="508">
        <v>1.33</v>
      </c>
      <c r="F7627" s="508">
        <v>1.3580000000000001</v>
      </c>
      <c r="G7627" s="508">
        <v>1.278</v>
      </c>
      <c r="H7627" s="508">
        <v>1.5289999999999999</v>
      </c>
      <c r="I7627" s="508">
        <v>1.5609999999999999</v>
      </c>
      <c r="J7627" s="508">
        <v>1.4419999999999999</v>
      </c>
      <c r="K7627" s="508">
        <v>1.595</v>
      </c>
      <c r="L7627" s="508">
        <v>1.4690000000000001</v>
      </c>
      <c r="M7627" s="508">
        <v>1.524</v>
      </c>
      <c r="N7627" s="508">
        <v>1.4610000000000001</v>
      </c>
      <c r="O7627" s="508">
        <v>1.407</v>
      </c>
      <c r="P7627" s="508">
        <v>1.3080000000000001</v>
      </c>
      <c r="Q7627" s="508">
        <v>1.2789999999999999</v>
      </c>
      <c r="R7627" s="508">
        <v>1.4</v>
      </c>
      <c r="S7627" s="508">
        <v>1.502</v>
      </c>
      <c r="T7627" s="508">
        <v>1.4059999999999999</v>
      </c>
      <c r="U7627" s="508">
        <v>1.4590000000000001</v>
      </c>
      <c r="V7627" s="508">
        <v>1.421</v>
      </c>
      <c r="W7627" s="508">
        <v>0.84299999999999997</v>
      </c>
      <c r="X7627" s="508">
        <v>0.84599999999999997</v>
      </c>
      <c r="Y7627" s="508">
        <v>0.83399999999999996</v>
      </c>
      <c r="Z7627" s="508">
        <v>0.83299999999999996</v>
      </c>
      <c r="AA7627" s="508">
        <v>8.6999999999999994E-2</v>
      </c>
      <c r="AB7627" s="508">
        <v>8.8999999999999996E-2</v>
      </c>
      <c r="AC7627" s="508">
        <v>8.5000000000000006E-2</v>
      </c>
      <c r="AD7627" s="508">
        <v>5.2999999999999999E-2</v>
      </c>
      <c r="AE7627" s="508">
        <v>5.1999999999999998E-2</v>
      </c>
      <c r="AF7627" s="508">
        <v>4.2999999999999997E-2</v>
      </c>
      <c r="AG7627" s="508">
        <v>4.2999999999999997E-2</v>
      </c>
      <c r="AH7627" s="508">
        <v>4.2999999999999997E-2</v>
      </c>
      <c r="AI7627" s="492">
        <v>4.2999999999999997E-2</v>
      </c>
      <c r="AJ7627" s="485"/>
    </row>
    <row r="7628" spans="2:36">
      <c r="B7628" s="136" t="s">
        <v>439</v>
      </c>
      <c r="C7628" s="132" t="s">
        <v>1373</v>
      </c>
      <c r="D7628" s="132" t="s">
        <v>1381</v>
      </c>
      <c r="E7628" s="508">
        <v>1.4179999999999999</v>
      </c>
      <c r="F7628" s="508">
        <v>1.45</v>
      </c>
      <c r="G7628" s="508">
        <v>1.363</v>
      </c>
      <c r="H7628" s="508">
        <v>1.643</v>
      </c>
      <c r="I7628" s="508">
        <v>1.679</v>
      </c>
      <c r="J7628" s="508">
        <v>1.548</v>
      </c>
      <c r="K7628" s="508">
        <v>1.718</v>
      </c>
      <c r="L7628" s="508">
        <v>1.5780000000000001</v>
      </c>
      <c r="M7628" s="508">
        <v>1.639</v>
      </c>
      <c r="N7628" s="508">
        <v>1.57</v>
      </c>
      <c r="O7628" s="508">
        <v>1.5089999999999999</v>
      </c>
      <c r="P7628" s="508">
        <v>1.4</v>
      </c>
      <c r="Q7628" s="508">
        <v>1.3680000000000001</v>
      </c>
      <c r="R7628" s="508">
        <v>1.5029999999999999</v>
      </c>
      <c r="S7628" s="508">
        <v>1.617</v>
      </c>
      <c r="T7628" s="508">
        <v>1.5109999999999999</v>
      </c>
      <c r="U7628" s="508">
        <v>1.571</v>
      </c>
      <c r="V7628" s="508">
        <v>1.528</v>
      </c>
      <c r="W7628" s="508">
        <v>0.91300000000000003</v>
      </c>
      <c r="X7628" s="508">
        <v>0.91600000000000004</v>
      </c>
      <c r="Y7628" s="508">
        <v>0.90400000000000003</v>
      </c>
      <c r="Z7628" s="508">
        <v>0.90300000000000002</v>
      </c>
      <c r="AA7628" s="508">
        <v>9.4E-2</v>
      </c>
      <c r="AB7628" s="508">
        <v>9.6000000000000002E-2</v>
      </c>
      <c r="AC7628" s="508">
        <v>9.1999999999999998E-2</v>
      </c>
      <c r="AD7628" s="508">
        <v>5.7000000000000002E-2</v>
      </c>
      <c r="AE7628" s="508">
        <v>5.6000000000000001E-2</v>
      </c>
      <c r="AF7628" s="508">
        <v>4.7E-2</v>
      </c>
      <c r="AG7628" s="508">
        <v>4.5999999999999999E-2</v>
      </c>
      <c r="AH7628" s="508">
        <v>4.5999999999999999E-2</v>
      </c>
      <c r="AI7628" s="492">
        <v>4.5999999999999999E-2</v>
      </c>
      <c r="AJ7628" s="485"/>
    </row>
    <row r="7629" spans="2:36">
      <c r="B7629" s="136" t="s">
        <v>440</v>
      </c>
      <c r="C7629" s="132" t="s">
        <v>1373</v>
      </c>
      <c r="D7629" s="132" t="s">
        <v>1381</v>
      </c>
      <c r="E7629" s="508">
        <v>1.498</v>
      </c>
      <c r="F7629" s="508">
        <v>1.52</v>
      </c>
      <c r="G7629" s="508">
        <v>1.427</v>
      </c>
      <c r="H7629" s="508">
        <v>1.694</v>
      </c>
      <c r="I7629" s="508">
        <v>1.724</v>
      </c>
      <c r="J7629" s="508">
        <v>1.59</v>
      </c>
      <c r="K7629" s="508">
        <v>1.752</v>
      </c>
      <c r="L7629" s="508">
        <v>1.6120000000000001</v>
      </c>
      <c r="M7629" s="508">
        <v>1.669</v>
      </c>
      <c r="N7629" s="508">
        <v>1.597</v>
      </c>
      <c r="O7629" s="508">
        <v>1.536</v>
      </c>
      <c r="P7629" s="508">
        <v>1.427</v>
      </c>
      <c r="Q7629" s="508">
        <v>1.393</v>
      </c>
      <c r="R7629" s="508">
        <v>1.5229999999999999</v>
      </c>
      <c r="S7629" s="508">
        <v>1.6319999999999999</v>
      </c>
      <c r="T7629" s="508">
        <v>1.52</v>
      </c>
      <c r="U7629" s="508">
        <v>1.573</v>
      </c>
      <c r="V7629" s="508">
        <v>1.528</v>
      </c>
      <c r="W7629" s="508">
        <v>0.91900000000000004</v>
      </c>
      <c r="X7629" s="508">
        <v>0.91900000000000004</v>
      </c>
      <c r="Y7629" s="508">
        <v>0.90500000000000003</v>
      </c>
      <c r="Z7629" s="508">
        <v>0.90200000000000002</v>
      </c>
      <c r="AA7629" s="508">
        <v>9.9000000000000005E-2</v>
      </c>
      <c r="AB7629" s="508">
        <v>0.10100000000000001</v>
      </c>
      <c r="AC7629" s="508">
        <v>9.6000000000000002E-2</v>
      </c>
      <c r="AD7629" s="508">
        <v>6.0999999999999999E-2</v>
      </c>
      <c r="AE7629" s="508">
        <v>6.0999999999999999E-2</v>
      </c>
      <c r="AF7629" s="508">
        <v>5.0999999999999997E-2</v>
      </c>
      <c r="AG7629" s="508">
        <v>5.0999999999999997E-2</v>
      </c>
      <c r="AH7629" s="508">
        <v>5.0999999999999997E-2</v>
      </c>
      <c r="AI7629" s="492">
        <v>5.0999999999999997E-2</v>
      </c>
      <c r="AJ7629" s="485"/>
    </row>
    <row r="7630" spans="2:36">
      <c r="B7630" s="136" t="s">
        <v>441</v>
      </c>
      <c r="C7630" s="132" t="s">
        <v>1373</v>
      </c>
      <c r="D7630" s="132" t="s">
        <v>1381</v>
      </c>
      <c r="E7630" s="508">
        <v>1.5089999999999999</v>
      </c>
      <c r="F7630" s="508">
        <v>1.5329999999999999</v>
      </c>
      <c r="G7630" s="508">
        <v>1.4390000000000001</v>
      </c>
      <c r="H7630" s="508">
        <v>1.7130000000000001</v>
      </c>
      <c r="I7630" s="508">
        <v>1.7450000000000001</v>
      </c>
      <c r="J7630" s="508">
        <v>1.609</v>
      </c>
      <c r="K7630" s="508">
        <v>1.776</v>
      </c>
      <c r="L7630" s="508">
        <v>1.6319999999999999</v>
      </c>
      <c r="M7630" s="508">
        <v>1.6910000000000001</v>
      </c>
      <c r="N7630" s="508">
        <v>1.6180000000000001</v>
      </c>
      <c r="O7630" s="508">
        <v>1.556</v>
      </c>
      <c r="P7630" s="508">
        <v>1.444</v>
      </c>
      <c r="Q7630" s="508">
        <v>1.411</v>
      </c>
      <c r="R7630" s="508">
        <v>1.544</v>
      </c>
      <c r="S7630" s="508">
        <v>1.6559999999999999</v>
      </c>
      <c r="T7630" s="508">
        <v>1.5429999999999999</v>
      </c>
      <c r="U7630" s="508">
        <v>1.5980000000000001</v>
      </c>
      <c r="V7630" s="508">
        <v>1.552</v>
      </c>
      <c r="W7630" s="508">
        <v>0.93300000000000005</v>
      </c>
      <c r="X7630" s="508">
        <v>0.93500000000000005</v>
      </c>
      <c r="Y7630" s="508">
        <v>0.92</v>
      </c>
      <c r="Z7630" s="508">
        <v>0.91800000000000004</v>
      </c>
      <c r="AA7630" s="508">
        <v>0.1</v>
      </c>
      <c r="AB7630" s="508">
        <v>0.10199999999999999</v>
      </c>
      <c r="AC7630" s="508">
        <v>9.7000000000000003E-2</v>
      </c>
      <c r="AD7630" s="508">
        <v>6.2E-2</v>
      </c>
      <c r="AE7630" s="508">
        <v>6.0999999999999999E-2</v>
      </c>
      <c r="AF7630" s="508">
        <v>5.0999999999999997E-2</v>
      </c>
      <c r="AG7630" s="508">
        <v>5.0999999999999997E-2</v>
      </c>
      <c r="AH7630" s="508">
        <v>5.0999999999999997E-2</v>
      </c>
      <c r="AI7630" s="492">
        <v>5.0999999999999997E-2</v>
      </c>
      <c r="AJ7630" s="485"/>
    </row>
    <row r="7631" spans="2:36">
      <c r="B7631" s="136" t="s">
        <v>443</v>
      </c>
      <c r="C7631" s="132" t="s">
        <v>1373</v>
      </c>
      <c r="D7631" s="132" t="s">
        <v>1381</v>
      </c>
      <c r="E7631" s="508">
        <v>1.548</v>
      </c>
      <c r="F7631" s="508">
        <v>1.579</v>
      </c>
      <c r="G7631" s="508">
        <v>1.4810000000000001</v>
      </c>
      <c r="H7631" s="508">
        <v>1.7849999999999999</v>
      </c>
      <c r="I7631" s="508">
        <v>1.8220000000000001</v>
      </c>
      <c r="J7631" s="508">
        <v>1.6759999999999999</v>
      </c>
      <c r="K7631" s="508">
        <v>1.861</v>
      </c>
      <c r="L7631" s="508">
        <v>1.7050000000000001</v>
      </c>
      <c r="M7631" s="508">
        <v>1.772</v>
      </c>
      <c r="N7631" s="508">
        <v>1.694</v>
      </c>
      <c r="O7631" s="508">
        <v>1.627</v>
      </c>
      <c r="P7631" s="508">
        <v>1.506</v>
      </c>
      <c r="Q7631" s="508">
        <v>1.47</v>
      </c>
      <c r="R7631" s="508">
        <v>1.617</v>
      </c>
      <c r="S7631" s="508">
        <v>1.7410000000000001</v>
      </c>
      <c r="T7631" s="508">
        <v>1.621</v>
      </c>
      <c r="U7631" s="508">
        <v>1.6850000000000001</v>
      </c>
      <c r="V7631" s="508">
        <v>1.6359999999999999</v>
      </c>
      <c r="W7631" s="508">
        <v>0.98799999999999999</v>
      </c>
      <c r="X7631" s="508">
        <v>0.99099999999999999</v>
      </c>
      <c r="Y7631" s="508">
        <v>0.97599999999999998</v>
      </c>
      <c r="Z7631" s="508">
        <v>0.97399999999999998</v>
      </c>
      <c r="AA7631" s="508">
        <v>0.104</v>
      </c>
      <c r="AB7631" s="508">
        <v>0.106</v>
      </c>
      <c r="AC7631" s="508">
        <v>0.10100000000000001</v>
      </c>
      <c r="AD7631" s="508">
        <v>6.3E-2</v>
      </c>
      <c r="AE7631" s="508">
        <v>6.3E-2</v>
      </c>
      <c r="AF7631" s="508">
        <v>5.1999999999999998E-2</v>
      </c>
      <c r="AG7631" s="508">
        <v>5.1999999999999998E-2</v>
      </c>
      <c r="AH7631" s="508">
        <v>5.1999999999999998E-2</v>
      </c>
      <c r="AI7631" s="492">
        <v>5.1999999999999998E-2</v>
      </c>
      <c r="AJ7631" s="485"/>
    </row>
    <row r="7632" spans="2:36">
      <c r="B7632" s="136" t="s">
        <v>445</v>
      </c>
      <c r="C7632" s="132" t="s">
        <v>1373</v>
      </c>
      <c r="D7632" s="132" t="s">
        <v>1381</v>
      </c>
      <c r="E7632" s="508">
        <v>1.71</v>
      </c>
      <c r="F7632" s="508">
        <v>1.748</v>
      </c>
      <c r="G7632" s="508">
        <v>1.6339999999999999</v>
      </c>
      <c r="H7632" s="508">
        <v>1.988</v>
      </c>
      <c r="I7632" s="508">
        <v>2.032</v>
      </c>
      <c r="J7632" s="508">
        <v>1.8620000000000001</v>
      </c>
      <c r="K7632" s="508">
        <v>2.0779999999999998</v>
      </c>
      <c r="L7632" s="508">
        <v>1.8979999999999999</v>
      </c>
      <c r="M7632" s="508">
        <v>1.976</v>
      </c>
      <c r="N7632" s="508">
        <v>1.885</v>
      </c>
      <c r="O7632" s="508">
        <v>1.8080000000000001</v>
      </c>
      <c r="P7632" s="508">
        <v>1.6679999999999999</v>
      </c>
      <c r="Q7632" s="508">
        <v>1.627</v>
      </c>
      <c r="R7632" s="508">
        <v>1.7969999999999999</v>
      </c>
      <c r="S7632" s="508">
        <v>1.9419999999999999</v>
      </c>
      <c r="T7632" s="508">
        <v>1.804</v>
      </c>
      <c r="U7632" s="508">
        <v>1.8779999999999999</v>
      </c>
      <c r="V7632" s="508">
        <v>1.823</v>
      </c>
      <c r="W7632" s="508">
        <v>1.1120000000000001</v>
      </c>
      <c r="X7632" s="508">
        <v>1.115</v>
      </c>
      <c r="Y7632" s="508">
        <v>1.099</v>
      </c>
      <c r="Z7632" s="508">
        <v>1.0960000000000001</v>
      </c>
      <c r="AA7632" s="508">
        <v>0.11600000000000001</v>
      </c>
      <c r="AB7632" s="508">
        <v>0.11899999999999999</v>
      </c>
      <c r="AC7632" s="508">
        <v>0.113</v>
      </c>
      <c r="AD7632" s="508">
        <v>7.0999999999999994E-2</v>
      </c>
      <c r="AE7632" s="508">
        <v>7.0000000000000007E-2</v>
      </c>
      <c r="AF7632" s="508">
        <v>5.8999999999999997E-2</v>
      </c>
      <c r="AG7632" s="508">
        <v>5.8000000000000003E-2</v>
      </c>
      <c r="AH7632" s="508">
        <v>5.8000000000000003E-2</v>
      </c>
      <c r="AI7632" s="492">
        <v>5.8000000000000003E-2</v>
      </c>
      <c r="AJ7632" s="485"/>
    </row>
    <row r="7633" spans="2:36">
      <c r="B7633" s="136" t="s">
        <v>446</v>
      </c>
      <c r="C7633" s="132" t="s">
        <v>1373</v>
      </c>
      <c r="D7633" s="132" t="s">
        <v>1381</v>
      </c>
      <c r="E7633" s="508">
        <v>1.4610000000000001</v>
      </c>
      <c r="F7633" s="508">
        <v>1.506</v>
      </c>
      <c r="G7633" s="508">
        <v>1.413</v>
      </c>
      <c r="H7633" s="508">
        <v>1.74</v>
      </c>
      <c r="I7633" s="508">
        <v>1.786</v>
      </c>
      <c r="J7633" s="508">
        <v>1.639</v>
      </c>
      <c r="K7633" s="508">
        <v>1.8380000000000001</v>
      </c>
      <c r="L7633" s="508">
        <v>1.681</v>
      </c>
      <c r="M7633" s="508">
        <v>1.7549999999999999</v>
      </c>
      <c r="N7633" s="508">
        <v>1.677</v>
      </c>
      <c r="O7633" s="508">
        <v>1.611</v>
      </c>
      <c r="P7633" s="508">
        <v>1.488</v>
      </c>
      <c r="Q7633" s="508">
        <v>1.4530000000000001</v>
      </c>
      <c r="R7633" s="508">
        <v>1.609</v>
      </c>
      <c r="S7633" s="508">
        <v>1.7410000000000001</v>
      </c>
      <c r="T7633" s="508">
        <v>1.627</v>
      </c>
      <c r="U7633" s="508">
        <v>1.7010000000000001</v>
      </c>
      <c r="V7633" s="508">
        <v>1.6559999999999999</v>
      </c>
      <c r="W7633" s="508">
        <v>0.99399999999999999</v>
      </c>
      <c r="X7633" s="508">
        <v>1</v>
      </c>
      <c r="Y7633" s="508">
        <v>0.98699999999999999</v>
      </c>
      <c r="Z7633" s="508">
        <v>0.98699999999999999</v>
      </c>
      <c r="AA7633" s="508">
        <v>9.8000000000000004E-2</v>
      </c>
      <c r="AB7633" s="508">
        <v>0.10100000000000001</v>
      </c>
      <c r="AC7633" s="508">
        <v>9.6000000000000002E-2</v>
      </c>
      <c r="AD7633" s="508">
        <v>5.8000000000000003E-2</v>
      </c>
      <c r="AE7633" s="508">
        <v>5.8000000000000003E-2</v>
      </c>
      <c r="AF7633" s="508">
        <v>4.8000000000000001E-2</v>
      </c>
      <c r="AG7633" s="508">
        <v>4.7E-2</v>
      </c>
      <c r="AH7633" s="508">
        <v>4.7E-2</v>
      </c>
      <c r="AI7633" s="492">
        <v>4.7E-2</v>
      </c>
      <c r="AJ7633" s="485"/>
    </row>
    <row r="7634" spans="2:36">
      <c r="B7634" s="136" t="s">
        <v>448</v>
      </c>
      <c r="C7634" s="132" t="s">
        <v>1373</v>
      </c>
      <c r="D7634" s="132" t="s">
        <v>1381</v>
      </c>
      <c r="E7634" s="508">
        <v>1.3560000000000001</v>
      </c>
      <c r="F7634" s="508">
        <v>1.3859999999999999</v>
      </c>
      <c r="G7634" s="508">
        <v>1.304</v>
      </c>
      <c r="H7634" s="508">
        <v>1.5660000000000001</v>
      </c>
      <c r="I7634" s="508">
        <v>1.6</v>
      </c>
      <c r="J7634" s="508">
        <v>1.4770000000000001</v>
      </c>
      <c r="K7634" s="508">
        <v>1.6359999999999999</v>
      </c>
      <c r="L7634" s="508">
        <v>1.5049999999999999</v>
      </c>
      <c r="M7634" s="508">
        <v>1.5629999999999999</v>
      </c>
      <c r="N7634" s="508">
        <v>1.4970000000000001</v>
      </c>
      <c r="O7634" s="508">
        <v>1.4410000000000001</v>
      </c>
      <c r="P7634" s="508">
        <v>1.339</v>
      </c>
      <c r="Q7634" s="508">
        <v>1.3089999999999999</v>
      </c>
      <c r="R7634" s="508">
        <v>1.4350000000000001</v>
      </c>
      <c r="S7634" s="508">
        <v>1.542</v>
      </c>
      <c r="T7634" s="508">
        <v>1.4419999999999999</v>
      </c>
      <c r="U7634" s="508">
        <v>1.498</v>
      </c>
      <c r="V7634" s="508">
        <v>1.4590000000000001</v>
      </c>
      <c r="W7634" s="508">
        <v>0.86699999999999999</v>
      </c>
      <c r="X7634" s="508">
        <v>0.871</v>
      </c>
      <c r="Y7634" s="508">
        <v>0.85899999999999999</v>
      </c>
      <c r="Z7634" s="508">
        <v>0.85799999999999998</v>
      </c>
      <c r="AA7634" s="508">
        <v>8.8999999999999996E-2</v>
      </c>
      <c r="AB7634" s="508">
        <v>9.0999999999999998E-2</v>
      </c>
      <c r="AC7634" s="508">
        <v>8.6999999999999994E-2</v>
      </c>
      <c r="AD7634" s="508">
        <v>5.3999999999999999E-2</v>
      </c>
      <c r="AE7634" s="508">
        <v>5.2999999999999999E-2</v>
      </c>
      <c r="AF7634" s="508">
        <v>4.3999999999999997E-2</v>
      </c>
      <c r="AG7634" s="508">
        <v>4.3999999999999997E-2</v>
      </c>
      <c r="AH7634" s="508">
        <v>4.3999999999999997E-2</v>
      </c>
      <c r="AI7634" s="492">
        <v>4.3999999999999997E-2</v>
      </c>
      <c r="AJ7634" s="485"/>
    </row>
    <row r="7635" spans="2:36">
      <c r="B7635" s="136" t="s">
        <v>449</v>
      </c>
      <c r="C7635" s="132" t="s">
        <v>1373</v>
      </c>
      <c r="D7635" s="132" t="s">
        <v>1381</v>
      </c>
      <c r="E7635" s="508">
        <v>1.4039999999999999</v>
      </c>
      <c r="F7635" s="508">
        <v>1.45</v>
      </c>
      <c r="G7635" s="508">
        <v>1.3620000000000001</v>
      </c>
      <c r="H7635" s="508">
        <v>1.679</v>
      </c>
      <c r="I7635" s="508">
        <v>1.7250000000000001</v>
      </c>
      <c r="J7635" s="508">
        <v>1.585</v>
      </c>
      <c r="K7635" s="508">
        <v>1.778</v>
      </c>
      <c r="L7635" s="508">
        <v>1.627</v>
      </c>
      <c r="M7635" s="508">
        <v>1.6990000000000001</v>
      </c>
      <c r="N7635" s="508">
        <v>1.625</v>
      </c>
      <c r="O7635" s="508">
        <v>1.5609999999999999</v>
      </c>
      <c r="P7635" s="508">
        <v>1.4430000000000001</v>
      </c>
      <c r="Q7635" s="508">
        <v>1.41</v>
      </c>
      <c r="R7635" s="508">
        <v>1.5609999999999999</v>
      </c>
      <c r="S7635" s="508">
        <v>1.6890000000000001</v>
      </c>
      <c r="T7635" s="508">
        <v>1.581</v>
      </c>
      <c r="U7635" s="508">
        <v>1.653</v>
      </c>
      <c r="V7635" s="508">
        <v>1.611</v>
      </c>
      <c r="W7635" s="508">
        <v>0.96299999999999997</v>
      </c>
      <c r="X7635" s="508">
        <v>0.96899999999999997</v>
      </c>
      <c r="Y7635" s="508">
        <v>0.95799999999999996</v>
      </c>
      <c r="Z7635" s="508">
        <v>0.95799999999999996</v>
      </c>
      <c r="AA7635" s="508">
        <v>9.4E-2</v>
      </c>
      <c r="AB7635" s="508">
        <v>9.7000000000000003E-2</v>
      </c>
      <c r="AC7635" s="508">
        <v>9.1999999999999998E-2</v>
      </c>
      <c r="AD7635" s="508">
        <v>5.5E-2</v>
      </c>
      <c r="AE7635" s="508">
        <v>5.5E-2</v>
      </c>
      <c r="AF7635" s="508">
        <v>4.4999999999999998E-2</v>
      </c>
      <c r="AG7635" s="508">
        <v>4.4999999999999998E-2</v>
      </c>
      <c r="AH7635" s="508">
        <v>4.4999999999999998E-2</v>
      </c>
      <c r="AI7635" s="492">
        <v>4.4999999999999998E-2</v>
      </c>
      <c r="AJ7635" s="485"/>
    </row>
    <row r="7636" spans="2:36">
      <c r="B7636" s="136" t="s">
        <v>450</v>
      </c>
      <c r="C7636" s="132" t="s">
        <v>1373</v>
      </c>
      <c r="D7636" s="132" t="s">
        <v>1381</v>
      </c>
      <c r="E7636" s="508">
        <v>1.4550000000000001</v>
      </c>
      <c r="F7636" s="508">
        <v>1.476</v>
      </c>
      <c r="G7636" s="508">
        <v>1.387</v>
      </c>
      <c r="H7636" s="508">
        <v>1.6439999999999999</v>
      </c>
      <c r="I7636" s="508">
        <v>1.6719999999999999</v>
      </c>
      <c r="J7636" s="508">
        <v>1.544</v>
      </c>
      <c r="K7636" s="508">
        <v>1.7</v>
      </c>
      <c r="L7636" s="508">
        <v>1.5640000000000001</v>
      </c>
      <c r="M7636" s="508">
        <v>1.619</v>
      </c>
      <c r="N7636" s="508">
        <v>1.5509999999999999</v>
      </c>
      <c r="O7636" s="508">
        <v>1.492</v>
      </c>
      <c r="P7636" s="508">
        <v>1.387</v>
      </c>
      <c r="Q7636" s="508">
        <v>1.355</v>
      </c>
      <c r="R7636" s="508">
        <v>1.4790000000000001</v>
      </c>
      <c r="S7636" s="508">
        <v>1.5840000000000001</v>
      </c>
      <c r="T7636" s="508">
        <v>1.4770000000000001</v>
      </c>
      <c r="U7636" s="508">
        <v>1.528</v>
      </c>
      <c r="V7636" s="508">
        <v>1.484</v>
      </c>
      <c r="W7636" s="508">
        <v>0.89</v>
      </c>
      <c r="X7636" s="508">
        <v>0.89100000000000001</v>
      </c>
      <c r="Y7636" s="508">
        <v>0.877</v>
      </c>
      <c r="Z7636" s="508">
        <v>0.874</v>
      </c>
      <c r="AA7636" s="508">
        <v>9.6000000000000002E-2</v>
      </c>
      <c r="AB7636" s="508">
        <v>9.8000000000000004E-2</v>
      </c>
      <c r="AC7636" s="508">
        <v>9.2999999999999999E-2</v>
      </c>
      <c r="AD7636" s="508">
        <v>5.8999999999999997E-2</v>
      </c>
      <c r="AE7636" s="508">
        <v>5.8999999999999997E-2</v>
      </c>
      <c r="AF7636" s="508">
        <v>4.9000000000000002E-2</v>
      </c>
      <c r="AG7636" s="508">
        <v>4.9000000000000002E-2</v>
      </c>
      <c r="AH7636" s="508">
        <v>4.9000000000000002E-2</v>
      </c>
      <c r="AI7636" s="492">
        <v>4.9000000000000002E-2</v>
      </c>
      <c r="AJ7636" s="485"/>
    </row>
    <row r="7637" spans="2:36">
      <c r="B7637" s="136" t="s">
        <v>451</v>
      </c>
      <c r="C7637" s="132" t="s">
        <v>1373</v>
      </c>
      <c r="D7637" s="132" t="s">
        <v>1381</v>
      </c>
      <c r="E7637" s="508">
        <v>1.657</v>
      </c>
      <c r="F7637" s="508">
        <v>1.6859999999999999</v>
      </c>
      <c r="G7637" s="508">
        <v>1.5780000000000001</v>
      </c>
      <c r="H7637" s="508">
        <v>1.8979999999999999</v>
      </c>
      <c r="I7637" s="508">
        <v>1.9350000000000001</v>
      </c>
      <c r="J7637" s="508">
        <v>1.778</v>
      </c>
      <c r="K7637" s="508">
        <v>1.9730000000000001</v>
      </c>
      <c r="L7637" s="508">
        <v>1.806</v>
      </c>
      <c r="M7637" s="508">
        <v>1.875</v>
      </c>
      <c r="N7637" s="508">
        <v>1.792</v>
      </c>
      <c r="O7637" s="508">
        <v>1.72</v>
      </c>
      <c r="P7637" s="508">
        <v>1.59</v>
      </c>
      <c r="Q7637" s="508">
        <v>1.552</v>
      </c>
      <c r="R7637" s="508">
        <v>1.706</v>
      </c>
      <c r="S7637" s="508">
        <v>1.837</v>
      </c>
      <c r="T7637" s="508">
        <v>1.7070000000000001</v>
      </c>
      <c r="U7637" s="508">
        <v>1.772</v>
      </c>
      <c r="V7637" s="508">
        <v>1.72</v>
      </c>
      <c r="W7637" s="508">
        <v>1.0449999999999999</v>
      </c>
      <c r="X7637" s="508">
        <v>1.0469999999999999</v>
      </c>
      <c r="Y7637" s="508">
        <v>1.0309999999999999</v>
      </c>
      <c r="Z7637" s="508">
        <v>1.028</v>
      </c>
      <c r="AA7637" s="508">
        <v>0.112</v>
      </c>
      <c r="AB7637" s="508">
        <v>0.114</v>
      </c>
      <c r="AC7637" s="508">
        <v>0.108</v>
      </c>
      <c r="AD7637" s="508">
        <v>6.9000000000000006E-2</v>
      </c>
      <c r="AE7637" s="508">
        <v>6.8000000000000005E-2</v>
      </c>
      <c r="AF7637" s="508">
        <v>5.7000000000000002E-2</v>
      </c>
      <c r="AG7637" s="508">
        <v>5.7000000000000002E-2</v>
      </c>
      <c r="AH7637" s="508">
        <v>5.7000000000000002E-2</v>
      </c>
      <c r="AI7637" s="492">
        <v>5.7000000000000002E-2</v>
      </c>
      <c r="AJ7637" s="485"/>
    </row>
    <row r="7638" spans="2:36">
      <c r="B7638" s="136" t="s">
        <v>452</v>
      </c>
      <c r="C7638" s="132" t="s">
        <v>1373</v>
      </c>
      <c r="D7638" s="132" t="s">
        <v>1381</v>
      </c>
      <c r="E7638" s="508">
        <v>1.5149999999999999</v>
      </c>
      <c r="F7638" s="508">
        <v>1.542</v>
      </c>
      <c r="G7638" s="508">
        <v>1.4470000000000001</v>
      </c>
      <c r="H7638" s="508">
        <v>1.732</v>
      </c>
      <c r="I7638" s="508">
        <v>1.7649999999999999</v>
      </c>
      <c r="J7638" s="508">
        <v>1.625</v>
      </c>
      <c r="K7638" s="508">
        <v>1.7989999999999999</v>
      </c>
      <c r="L7638" s="508">
        <v>1.651</v>
      </c>
      <c r="M7638" s="508">
        <v>1.7130000000000001</v>
      </c>
      <c r="N7638" s="508">
        <v>1.6379999999999999</v>
      </c>
      <c r="O7638" s="508">
        <v>1.575</v>
      </c>
      <c r="P7638" s="508">
        <v>1.46</v>
      </c>
      <c r="Q7638" s="508">
        <v>1.4259999999999999</v>
      </c>
      <c r="R7638" s="508">
        <v>1.5629999999999999</v>
      </c>
      <c r="S7638" s="508">
        <v>1.68</v>
      </c>
      <c r="T7638" s="508">
        <v>1.5649999999999999</v>
      </c>
      <c r="U7638" s="508">
        <v>1.623</v>
      </c>
      <c r="V7638" s="508">
        <v>1.5760000000000001</v>
      </c>
      <c r="W7638" s="508">
        <v>0.95</v>
      </c>
      <c r="X7638" s="508">
        <v>0.95099999999999996</v>
      </c>
      <c r="Y7638" s="508">
        <v>0.93700000000000006</v>
      </c>
      <c r="Z7638" s="508">
        <v>0.93500000000000005</v>
      </c>
      <c r="AA7638" s="508">
        <v>0.10100000000000001</v>
      </c>
      <c r="AB7638" s="508">
        <v>0.10299999999999999</v>
      </c>
      <c r="AC7638" s="508">
        <v>9.8000000000000004E-2</v>
      </c>
      <c r="AD7638" s="508">
        <v>6.2E-2</v>
      </c>
      <c r="AE7638" s="508">
        <v>6.0999999999999999E-2</v>
      </c>
      <c r="AF7638" s="508">
        <v>5.0999999999999997E-2</v>
      </c>
      <c r="AG7638" s="508">
        <v>5.0999999999999997E-2</v>
      </c>
      <c r="AH7638" s="508">
        <v>5.0999999999999997E-2</v>
      </c>
      <c r="AI7638" s="492">
        <v>5.0999999999999997E-2</v>
      </c>
      <c r="AJ7638" s="485"/>
    </row>
    <row r="7639" spans="2:36">
      <c r="B7639" s="136" t="s">
        <v>453</v>
      </c>
      <c r="C7639" s="132" t="s">
        <v>1373</v>
      </c>
      <c r="D7639" s="132" t="s">
        <v>1381</v>
      </c>
      <c r="E7639" s="508">
        <v>1.427</v>
      </c>
      <c r="F7639" s="508">
        <v>1.448</v>
      </c>
      <c r="G7639" s="508">
        <v>1.361</v>
      </c>
      <c r="H7639" s="508">
        <v>1.6120000000000001</v>
      </c>
      <c r="I7639" s="508">
        <v>1.64</v>
      </c>
      <c r="J7639" s="508">
        <v>1.5149999999999999</v>
      </c>
      <c r="K7639" s="508">
        <v>1.6679999999999999</v>
      </c>
      <c r="L7639" s="508">
        <v>1.536</v>
      </c>
      <c r="M7639" s="508">
        <v>1.589</v>
      </c>
      <c r="N7639" s="508">
        <v>1.5229999999999999</v>
      </c>
      <c r="O7639" s="508">
        <v>1.4650000000000001</v>
      </c>
      <c r="P7639" s="508">
        <v>1.363</v>
      </c>
      <c r="Q7639" s="508">
        <v>1.3320000000000001</v>
      </c>
      <c r="R7639" s="508">
        <v>1.4530000000000001</v>
      </c>
      <c r="S7639" s="508">
        <v>1.556</v>
      </c>
      <c r="T7639" s="508">
        <v>1.452</v>
      </c>
      <c r="U7639" s="508">
        <v>1.502</v>
      </c>
      <c r="V7639" s="508">
        <v>1.4590000000000001</v>
      </c>
      <c r="W7639" s="508">
        <v>0.873</v>
      </c>
      <c r="X7639" s="508">
        <v>0.874</v>
      </c>
      <c r="Y7639" s="508">
        <v>0.86099999999999999</v>
      </c>
      <c r="Z7639" s="508">
        <v>0.85799999999999998</v>
      </c>
      <c r="AA7639" s="508">
        <v>9.4E-2</v>
      </c>
      <c r="AB7639" s="508">
        <v>9.6000000000000002E-2</v>
      </c>
      <c r="AC7639" s="508">
        <v>9.0999999999999998E-2</v>
      </c>
      <c r="AD7639" s="508">
        <v>5.8000000000000003E-2</v>
      </c>
      <c r="AE7639" s="508">
        <v>5.7000000000000002E-2</v>
      </c>
      <c r="AF7639" s="508">
        <v>4.8000000000000001E-2</v>
      </c>
      <c r="AG7639" s="508">
        <v>4.8000000000000001E-2</v>
      </c>
      <c r="AH7639" s="508">
        <v>4.8000000000000001E-2</v>
      </c>
      <c r="AI7639" s="492">
        <v>4.8000000000000001E-2</v>
      </c>
      <c r="AJ7639" s="485"/>
    </row>
    <row r="7640" spans="2:36">
      <c r="B7640" s="136" t="s">
        <v>454</v>
      </c>
      <c r="C7640" s="132" t="s">
        <v>1373</v>
      </c>
      <c r="D7640" s="132" t="s">
        <v>1381</v>
      </c>
      <c r="E7640" s="508">
        <v>1.41</v>
      </c>
      <c r="F7640" s="508">
        <v>1.4350000000000001</v>
      </c>
      <c r="G7640" s="508">
        <v>1.349</v>
      </c>
      <c r="H7640" s="508">
        <v>1.6080000000000001</v>
      </c>
      <c r="I7640" s="508">
        <v>1.639</v>
      </c>
      <c r="J7640" s="508">
        <v>1.5129999999999999</v>
      </c>
      <c r="K7640" s="508">
        <v>1.671</v>
      </c>
      <c r="L7640" s="508">
        <v>1.5369999999999999</v>
      </c>
      <c r="M7640" s="508">
        <v>1.5940000000000001</v>
      </c>
      <c r="N7640" s="508">
        <v>1.526</v>
      </c>
      <c r="O7640" s="508">
        <v>1.4690000000000001</v>
      </c>
      <c r="P7640" s="508">
        <v>1.365</v>
      </c>
      <c r="Q7640" s="508">
        <v>1.3340000000000001</v>
      </c>
      <c r="R7640" s="508">
        <v>1.4590000000000001</v>
      </c>
      <c r="S7640" s="508">
        <v>1.5649999999999999</v>
      </c>
      <c r="T7640" s="508">
        <v>1.4610000000000001</v>
      </c>
      <c r="U7640" s="508">
        <v>1.5149999999999999</v>
      </c>
      <c r="V7640" s="508">
        <v>1.4730000000000001</v>
      </c>
      <c r="W7640" s="508">
        <v>0.88</v>
      </c>
      <c r="X7640" s="508">
        <v>0.88200000000000001</v>
      </c>
      <c r="Y7640" s="508">
        <v>0.86899999999999999</v>
      </c>
      <c r="Z7640" s="508">
        <v>0.86699999999999999</v>
      </c>
      <c r="AA7640" s="508">
        <v>9.2999999999999999E-2</v>
      </c>
      <c r="AB7640" s="508">
        <v>9.5000000000000001E-2</v>
      </c>
      <c r="AC7640" s="508">
        <v>0.09</v>
      </c>
      <c r="AD7640" s="508">
        <v>5.7000000000000002E-2</v>
      </c>
      <c r="AE7640" s="508">
        <v>5.6000000000000001E-2</v>
      </c>
      <c r="AF7640" s="508">
        <v>4.7E-2</v>
      </c>
      <c r="AG7640" s="508">
        <v>4.7E-2</v>
      </c>
      <c r="AH7640" s="508">
        <v>4.7E-2</v>
      </c>
      <c r="AI7640" s="492">
        <v>4.7E-2</v>
      </c>
      <c r="AJ7640" s="485"/>
    </row>
    <row r="7641" spans="2:36">
      <c r="B7641" s="136" t="s">
        <v>455</v>
      </c>
      <c r="C7641" s="132" t="s">
        <v>1373</v>
      </c>
      <c r="D7641" s="132" t="s">
        <v>1381</v>
      </c>
      <c r="E7641" s="508">
        <v>1.3420000000000001</v>
      </c>
      <c r="F7641" s="508">
        <v>1.367</v>
      </c>
      <c r="G7641" s="508">
        <v>1.2869999999999999</v>
      </c>
      <c r="H7641" s="508">
        <v>1.5309999999999999</v>
      </c>
      <c r="I7641" s="508">
        <v>1.56</v>
      </c>
      <c r="J7641" s="508">
        <v>1.4430000000000001</v>
      </c>
      <c r="K7641" s="508">
        <v>1.591</v>
      </c>
      <c r="L7641" s="508">
        <v>1.466</v>
      </c>
      <c r="M7641" s="508">
        <v>1.5189999999999999</v>
      </c>
      <c r="N7641" s="508">
        <v>1.456</v>
      </c>
      <c r="O7641" s="508">
        <v>1.403</v>
      </c>
      <c r="P7641" s="508">
        <v>1.306</v>
      </c>
      <c r="Q7641" s="508">
        <v>1.2769999999999999</v>
      </c>
      <c r="R7641" s="508">
        <v>1.3939999999999999</v>
      </c>
      <c r="S7641" s="508">
        <v>1.494</v>
      </c>
      <c r="T7641" s="508">
        <v>1.397</v>
      </c>
      <c r="U7641" s="508">
        <v>1.448</v>
      </c>
      <c r="V7641" s="508">
        <v>1.409</v>
      </c>
      <c r="W7641" s="508">
        <v>0.83599999999999997</v>
      </c>
      <c r="X7641" s="508">
        <v>0.83899999999999997</v>
      </c>
      <c r="Y7641" s="508">
        <v>0.82699999999999996</v>
      </c>
      <c r="Z7641" s="508">
        <v>0.82499999999999996</v>
      </c>
      <c r="AA7641" s="508">
        <v>8.7999999999999995E-2</v>
      </c>
      <c r="AB7641" s="508">
        <v>0.09</v>
      </c>
      <c r="AC7641" s="508">
        <v>8.5000000000000006E-2</v>
      </c>
      <c r="AD7641" s="508">
        <v>5.2999999999999999E-2</v>
      </c>
      <c r="AE7641" s="508">
        <v>5.2999999999999999E-2</v>
      </c>
      <c r="AF7641" s="508">
        <v>4.3999999999999997E-2</v>
      </c>
      <c r="AG7641" s="508">
        <v>4.3999999999999997E-2</v>
      </c>
      <c r="AH7641" s="508">
        <v>4.3999999999999997E-2</v>
      </c>
      <c r="AI7641" s="492">
        <v>4.3999999999999997E-2</v>
      </c>
      <c r="AJ7641" s="485"/>
    </row>
    <row r="7642" spans="2:36">
      <c r="B7642" s="136" t="s">
        <v>456</v>
      </c>
      <c r="C7642" s="132" t="s">
        <v>1373</v>
      </c>
      <c r="D7642" s="132" t="s">
        <v>1381</v>
      </c>
      <c r="E7642" s="508">
        <v>1.347</v>
      </c>
      <c r="F7642" s="508">
        <v>1.3819999999999999</v>
      </c>
      <c r="G7642" s="508">
        <v>1.3</v>
      </c>
      <c r="H7642" s="508">
        <v>1.5740000000000001</v>
      </c>
      <c r="I7642" s="508">
        <v>1.61</v>
      </c>
      <c r="J7642" s="508">
        <v>1.4850000000000001</v>
      </c>
      <c r="K7642" s="508">
        <v>1.651</v>
      </c>
      <c r="L7642" s="508">
        <v>1.5169999999999999</v>
      </c>
      <c r="M7642" s="508">
        <v>1.5780000000000001</v>
      </c>
      <c r="N7642" s="508">
        <v>1.5109999999999999</v>
      </c>
      <c r="O7642" s="508">
        <v>1.454</v>
      </c>
      <c r="P7642" s="508">
        <v>1.349</v>
      </c>
      <c r="Q7642" s="508">
        <v>1.32</v>
      </c>
      <c r="R7642" s="508">
        <v>1.45</v>
      </c>
      <c r="S7642" s="508">
        <v>1.5609999999999999</v>
      </c>
      <c r="T7642" s="508">
        <v>1.462</v>
      </c>
      <c r="U7642" s="508">
        <v>1.522</v>
      </c>
      <c r="V7642" s="508">
        <v>1.482</v>
      </c>
      <c r="W7642" s="508">
        <v>0.88100000000000001</v>
      </c>
      <c r="X7642" s="508">
        <v>0.88500000000000001</v>
      </c>
      <c r="Y7642" s="508">
        <v>0.874</v>
      </c>
      <c r="Z7642" s="508">
        <v>0.873</v>
      </c>
      <c r="AA7642" s="508">
        <v>8.8999999999999996E-2</v>
      </c>
      <c r="AB7642" s="508">
        <v>9.0999999999999998E-2</v>
      </c>
      <c r="AC7642" s="508">
        <v>8.6999999999999994E-2</v>
      </c>
      <c r="AD7642" s="508">
        <v>5.2999999999999999E-2</v>
      </c>
      <c r="AE7642" s="508">
        <v>5.2999999999999999E-2</v>
      </c>
      <c r="AF7642" s="508">
        <v>4.3999999999999997E-2</v>
      </c>
      <c r="AG7642" s="508">
        <v>4.2999999999999997E-2</v>
      </c>
      <c r="AH7642" s="508">
        <v>4.2999999999999997E-2</v>
      </c>
      <c r="AI7642" s="492">
        <v>4.2999999999999997E-2</v>
      </c>
      <c r="AJ7642" s="485"/>
    </row>
    <row r="7643" spans="2:36">
      <c r="B7643" s="136" t="s">
        <v>457</v>
      </c>
      <c r="C7643" s="132" t="s">
        <v>1373</v>
      </c>
      <c r="D7643" s="132" t="s">
        <v>1381</v>
      </c>
      <c r="E7643" s="508">
        <v>1.3959999999999999</v>
      </c>
      <c r="F7643" s="508">
        <v>1.413</v>
      </c>
      <c r="G7643" s="508">
        <v>1.33</v>
      </c>
      <c r="H7643" s="508">
        <v>1.5640000000000001</v>
      </c>
      <c r="I7643" s="508">
        <v>1.589</v>
      </c>
      <c r="J7643" s="508">
        <v>1.4710000000000001</v>
      </c>
      <c r="K7643" s="508">
        <v>1.613</v>
      </c>
      <c r="L7643" s="508">
        <v>1.488</v>
      </c>
      <c r="M7643" s="508">
        <v>1.538</v>
      </c>
      <c r="N7643" s="508">
        <v>1.474</v>
      </c>
      <c r="O7643" s="508">
        <v>1.419</v>
      </c>
      <c r="P7643" s="508">
        <v>1.3220000000000001</v>
      </c>
      <c r="Q7643" s="508">
        <v>1.2929999999999999</v>
      </c>
      <c r="R7643" s="508">
        <v>1.407</v>
      </c>
      <c r="S7643" s="508">
        <v>1.5029999999999999</v>
      </c>
      <c r="T7643" s="508">
        <v>1.403</v>
      </c>
      <c r="U7643" s="508">
        <v>1.4490000000000001</v>
      </c>
      <c r="V7643" s="508">
        <v>1.4079999999999999</v>
      </c>
      <c r="W7643" s="508">
        <v>0.83899999999999997</v>
      </c>
      <c r="X7643" s="508">
        <v>0.84</v>
      </c>
      <c r="Y7643" s="508">
        <v>0.82699999999999996</v>
      </c>
      <c r="Z7643" s="508">
        <v>0.82399999999999995</v>
      </c>
      <c r="AA7643" s="508">
        <v>9.0999999999999998E-2</v>
      </c>
      <c r="AB7643" s="508">
        <v>9.2999999999999999E-2</v>
      </c>
      <c r="AC7643" s="508">
        <v>8.7999999999999995E-2</v>
      </c>
      <c r="AD7643" s="508">
        <v>5.7000000000000002E-2</v>
      </c>
      <c r="AE7643" s="508">
        <v>5.6000000000000001E-2</v>
      </c>
      <c r="AF7643" s="508">
        <v>4.7E-2</v>
      </c>
      <c r="AG7643" s="508">
        <v>4.7E-2</v>
      </c>
      <c r="AH7643" s="508">
        <v>4.7E-2</v>
      </c>
      <c r="AI7643" s="492">
        <v>4.7E-2</v>
      </c>
      <c r="AJ7643" s="485"/>
    </row>
    <row r="7644" spans="2:36">
      <c r="B7644" s="136" t="s">
        <v>458</v>
      </c>
      <c r="C7644" s="132" t="s">
        <v>1373</v>
      </c>
      <c r="D7644" s="132" t="s">
        <v>1381</v>
      </c>
      <c r="E7644" s="508">
        <v>1.4450000000000001</v>
      </c>
      <c r="F7644" s="508">
        <v>1.472</v>
      </c>
      <c r="G7644" s="508">
        <v>1.383</v>
      </c>
      <c r="H7644" s="508">
        <v>1.653</v>
      </c>
      <c r="I7644" s="508">
        <v>1.6859999999999999</v>
      </c>
      <c r="J7644" s="508">
        <v>1.5549999999999999</v>
      </c>
      <c r="K7644" s="508">
        <v>1.7190000000000001</v>
      </c>
      <c r="L7644" s="508">
        <v>1.58</v>
      </c>
      <c r="M7644" s="508">
        <v>1.639</v>
      </c>
      <c r="N7644" s="508">
        <v>1.569</v>
      </c>
      <c r="O7644" s="508">
        <v>1.5089999999999999</v>
      </c>
      <c r="P7644" s="508">
        <v>1.4019999999999999</v>
      </c>
      <c r="Q7644" s="508">
        <v>1.369</v>
      </c>
      <c r="R7644" s="508">
        <v>1.5</v>
      </c>
      <c r="S7644" s="508">
        <v>1.61</v>
      </c>
      <c r="T7644" s="508">
        <v>1.5029999999999999</v>
      </c>
      <c r="U7644" s="508">
        <v>1.5589999999999999</v>
      </c>
      <c r="V7644" s="508">
        <v>1.5149999999999999</v>
      </c>
      <c r="W7644" s="508">
        <v>0.90700000000000003</v>
      </c>
      <c r="X7644" s="508">
        <v>0.90900000000000003</v>
      </c>
      <c r="Y7644" s="508">
        <v>0.89600000000000002</v>
      </c>
      <c r="Z7644" s="508">
        <v>0.89400000000000002</v>
      </c>
      <c r="AA7644" s="508">
        <v>9.5000000000000001E-2</v>
      </c>
      <c r="AB7644" s="508">
        <v>9.8000000000000004E-2</v>
      </c>
      <c r="AC7644" s="508">
        <v>9.2999999999999999E-2</v>
      </c>
      <c r="AD7644" s="508">
        <v>5.8000000000000003E-2</v>
      </c>
      <c r="AE7644" s="508">
        <v>5.8000000000000003E-2</v>
      </c>
      <c r="AF7644" s="508">
        <v>4.8000000000000001E-2</v>
      </c>
      <c r="AG7644" s="508">
        <v>4.8000000000000001E-2</v>
      </c>
      <c r="AH7644" s="508">
        <v>4.8000000000000001E-2</v>
      </c>
      <c r="AI7644" s="492">
        <v>4.8000000000000001E-2</v>
      </c>
      <c r="AJ7644" s="485"/>
    </row>
    <row r="7645" spans="2:36">
      <c r="B7645" s="136" t="s">
        <v>459</v>
      </c>
      <c r="C7645" s="132" t="s">
        <v>1373</v>
      </c>
      <c r="D7645" s="132" t="s">
        <v>1381</v>
      </c>
      <c r="E7645" s="508">
        <v>1.4910000000000001</v>
      </c>
      <c r="F7645" s="508">
        <v>1.5129999999999999</v>
      </c>
      <c r="G7645" s="508">
        <v>1.421</v>
      </c>
      <c r="H7645" s="508">
        <v>1.6879999999999999</v>
      </c>
      <c r="I7645" s="508">
        <v>1.718</v>
      </c>
      <c r="J7645" s="508">
        <v>1.585</v>
      </c>
      <c r="K7645" s="508">
        <v>1.7470000000000001</v>
      </c>
      <c r="L7645" s="508">
        <v>1.607</v>
      </c>
      <c r="M7645" s="508">
        <v>1.6639999999999999</v>
      </c>
      <c r="N7645" s="508">
        <v>1.593</v>
      </c>
      <c r="O7645" s="508">
        <v>1.532</v>
      </c>
      <c r="P7645" s="508">
        <v>1.423</v>
      </c>
      <c r="Q7645" s="508">
        <v>1.39</v>
      </c>
      <c r="R7645" s="508">
        <v>1.5189999999999999</v>
      </c>
      <c r="S7645" s="508">
        <v>1.6279999999999999</v>
      </c>
      <c r="T7645" s="508">
        <v>1.5169999999999999</v>
      </c>
      <c r="U7645" s="508">
        <v>1.571</v>
      </c>
      <c r="V7645" s="508">
        <v>1.526</v>
      </c>
      <c r="W7645" s="508">
        <v>0.91600000000000004</v>
      </c>
      <c r="X7645" s="508">
        <v>0.91700000000000004</v>
      </c>
      <c r="Y7645" s="508">
        <v>0.90300000000000002</v>
      </c>
      <c r="Z7645" s="508">
        <v>0.90100000000000002</v>
      </c>
      <c r="AA7645" s="508">
        <v>9.9000000000000005E-2</v>
      </c>
      <c r="AB7645" s="508">
        <v>0.10100000000000001</v>
      </c>
      <c r="AC7645" s="508">
        <v>9.6000000000000002E-2</v>
      </c>
      <c r="AD7645" s="508">
        <v>6.0999999999999999E-2</v>
      </c>
      <c r="AE7645" s="508">
        <v>0.06</v>
      </c>
      <c r="AF7645" s="508">
        <v>5.0999999999999997E-2</v>
      </c>
      <c r="AG7645" s="508">
        <v>0.05</v>
      </c>
      <c r="AH7645" s="508">
        <v>0.05</v>
      </c>
      <c r="AI7645" s="492">
        <v>0.05</v>
      </c>
      <c r="AJ7645" s="485"/>
    </row>
    <row r="7646" spans="2:36">
      <c r="B7646" s="136" t="s">
        <v>460</v>
      </c>
      <c r="C7646" s="132" t="s">
        <v>1373</v>
      </c>
      <c r="D7646" s="132" t="s">
        <v>1381</v>
      </c>
      <c r="E7646" s="508">
        <v>1.5129999999999999</v>
      </c>
      <c r="F7646" s="508">
        <v>1.5349999999999999</v>
      </c>
      <c r="G7646" s="508">
        <v>1.4410000000000001</v>
      </c>
      <c r="H7646" s="508">
        <v>1.7130000000000001</v>
      </c>
      <c r="I7646" s="508">
        <v>1.7430000000000001</v>
      </c>
      <c r="J7646" s="508">
        <v>1.607</v>
      </c>
      <c r="K7646" s="508">
        <v>1.772</v>
      </c>
      <c r="L7646" s="508">
        <v>1.629</v>
      </c>
      <c r="M7646" s="508">
        <v>1.6870000000000001</v>
      </c>
      <c r="N7646" s="508">
        <v>1.615</v>
      </c>
      <c r="O7646" s="508">
        <v>1.552</v>
      </c>
      <c r="P7646" s="508">
        <v>1.4410000000000001</v>
      </c>
      <c r="Q7646" s="508">
        <v>1.407</v>
      </c>
      <c r="R7646" s="508">
        <v>1.5389999999999999</v>
      </c>
      <c r="S7646" s="508">
        <v>1.65</v>
      </c>
      <c r="T7646" s="508">
        <v>1.5369999999999999</v>
      </c>
      <c r="U7646" s="508">
        <v>1.591</v>
      </c>
      <c r="V7646" s="508">
        <v>1.5449999999999999</v>
      </c>
      <c r="W7646" s="508">
        <v>0.93</v>
      </c>
      <c r="X7646" s="508">
        <v>0.93100000000000005</v>
      </c>
      <c r="Y7646" s="508">
        <v>0.91700000000000004</v>
      </c>
      <c r="Z7646" s="508">
        <v>0.91400000000000003</v>
      </c>
      <c r="AA7646" s="508">
        <v>0.1</v>
      </c>
      <c r="AB7646" s="508">
        <v>0.10199999999999999</v>
      </c>
      <c r="AC7646" s="508">
        <v>9.7000000000000003E-2</v>
      </c>
      <c r="AD7646" s="508">
        <v>6.2E-2</v>
      </c>
      <c r="AE7646" s="508">
        <v>6.0999999999999999E-2</v>
      </c>
      <c r="AF7646" s="508">
        <v>5.1999999999999998E-2</v>
      </c>
      <c r="AG7646" s="508">
        <v>5.0999999999999997E-2</v>
      </c>
      <c r="AH7646" s="508">
        <v>5.0999999999999997E-2</v>
      </c>
      <c r="AI7646" s="492">
        <v>5.0999999999999997E-2</v>
      </c>
      <c r="AJ7646" s="485"/>
    </row>
    <row r="7647" spans="2:36">
      <c r="B7647" s="136" t="s">
        <v>461</v>
      </c>
      <c r="C7647" s="132" t="s">
        <v>1373</v>
      </c>
      <c r="D7647" s="132" t="s">
        <v>1381</v>
      </c>
      <c r="E7647" s="508">
        <v>1.5149999999999999</v>
      </c>
      <c r="F7647" s="508">
        <v>1.534</v>
      </c>
      <c r="G7647" s="508">
        <v>1.44</v>
      </c>
      <c r="H7647" s="508">
        <v>1.702</v>
      </c>
      <c r="I7647" s="508">
        <v>1.73</v>
      </c>
      <c r="J7647" s="508">
        <v>1.5960000000000001</v>
      </c>
      <c r="K7647" s="508">
        <v>1.756</v>
      </c>
      <c r="L7647" s="508">
        <v>1.615</v>
      </c>
      <c r="M7647" s="508">
        <v>1.671</v>
      </c>
      <c r="N7647" s="508">
        <v>1.599</v>
      </c>
      <c r="O7647" s="508">
        <v>1.538</v>
      </c>
      <c r="P7647" s="508">
        <v>1.429</v>
      </c>
      <c r="Q7647" s="508">
        <v>1.395</v>
      </c>
      <c r="R7647" s="508">
        <v>1.5229999999999999</v>
      </c>
      <c r="S7647" s="508">
        <v>1.63</v>
      </c>
      <c r="T7647" s="508">
        <v>1.518</v>
      </c>
      <c r="U7647" s="508">
        <v>1.5680000000000001</v>
      </c>
      <c r="V7647" s="508">
        <v>1.522</v>
      </c>
      <c r="W7647" s="508">
        <v>0.91700000000000004</v>
      </c>
      <c r="X7647" s="508">
        <v>0.91700000000000004</v>
      </c>
      <c r="Y7647" s="508">
        <v>0.90200000000000002</v>
      </c>
      <c r="Z7647" s="508">
        <v>0.89900000000000002</v>
      </c>
      <c r="AA7647" s="508">
        <v>0.1</v>
      </c>
      <c r="AB7647" s="508">
        <v>0.10199999999999999</v>
      </c>
      <c r="AC7647" s="508">
        <v>9.7000000000000003E-2</v>
      </c>
      <c r="AD7647" s="508">
        <v>6.2E-2</v>
      </c>
      <c r="AE7647" s="508">
        <v>6.2E-2</v>
      </c>
      <c r="AF7647" s="508">
        <v>5.1999999999999998E-2</v>
      </c>
      <c r="AG7647" s="508">
        <v>5.1999999999999998E-2</v>
      </c>
      <c r="AH7647" s="508">
        <v>5.1999999999999998E-2</v>
      </c>
      <c r="AI7647" s="492">
        <v>5.1999999999999998E-2</v>
      </c>
      <c r="AJ7647" s="485"/>
    </row>
    <row r="7648" spans="2:36">
      <c r="B7648" s="136" t="s">
        <v>462</v>
      </c>
      <c r="C7648" s="132" t="s">
        <v>1373</v>
      </c>
      <c r="D7648" s="132" t="s">
        <v>1381</v>
      </c>
      <c r="E7648" s="508">
        <v>1.3480000000000001</v>
      </c>
      <c r="F7648" s="508">
        <v>1.38</v>
      </c>
      <c r="G7648" s="508">
        <v>1.2989999999999999</v>
      </c>
      <c r="H7648" s="508">
        <v>1.5649999999999999</v>
      </c>
      <c r="I7648" s="508">
        <v>1.6</v>
      </c>
      <c r="J7648" s="508">
        <v>1.476</v>
      </c>
      <c r="K7648" s="508">
        <v>1.6379999999999999</v>
      </c>
      <c r="L7648" s="508">
        <v>1.506</v>
      </c>
      <c r="M7648" s="508">
        <v>1.5649999999999999</v>
      </c>
      <c r="N7648" s="508">
        <v>1.4990000000000001</v>
      </c>
      <c r="O7648" s="508">
        <v>1.4419999999999999</v>
      </c>
      <c r="P7648" s="508">
        <v>1.339</v>
      </c>
      <c r="Q7648" s="508">
        <v>1.31</v>
      </c>
      <c r="R7648" s="508">
        <v>1.4370000000000001</v>
      </c>
      <c r="S7648" s="508">
        <v>1.5449999999999999</v>
      </c>
      <c r="T7648" s="508">
        <v>1.446</v>
      </c>
      <c r="U7648" s="508">
        <v>1.504</v>
      </c>
      <c r="V7648" s="508">
        <v>1.464</v>
      </c>
      <c r="W7648" s="508">
        <v>0.871</v>
      </c>
      <c r="X7648" s="508">
        <v>0.874</v>
      </c>
      <c r="Y7648" s="508">
        <v>0.86299999999999999</v>
      </c>
      <c r="Z7648" s="508">
        <v>0.86199999999999999</v>
      </c>
      <c r="AA7648" s="508">
        <v>8.8999999999999996E-2</v>
      </c>
      <c r="AB7648" s="508">
        <v>9.0999999999999998E-2</v>
      </c>
      <c r="AC7648" s="508">
        <v>8.6999999999999994E-2</v>
      </c>
      <c r="AD7648" s="508">
        <v>5.2999999999999999E-2</v>
      </c>
      <c r="AE7648" s="508">
        <v>5.2999999999999999E-2</v>
      </c>
      <c r="AF7648" s="508">
        <v>4.3999999999999997E-2</v>
      </c>
      <c r="AG7648" s="508">
        <v>4.3999999999999997E-2</v>
      </c>
      <c r="AH7648" s="508">
        <v>4.3999999999999997E-2</v>
      </c>
      <c r="AI7648" s="492">
        <v>4.3999999999999997E-2</v>
      </c>
      <c r="AJ7648" s="485"/>
    </row>
    <row r="7649" spans="2:36">
      <c r="B7649" s="136" t="s">
        <v>463</v>
      </c>
      <c r="C7649" s="132" t="s">
        <v>1373</v>
      </c>
      <c r="D7649" s="132" t="s">
        <v>1381</v>
      </c>
      <c r="E7649" s="508">
        <v>1.3420000000000001</v>
      </c>
      <c r="F7649" s="508">
        <v>1.3660000000000001</v>
      </c>
      <c r="G7649" s="508">
        <v>1.286</v>
      </c>
      <c r="H7649" s="508">
        <v>1.526</v>
      </c>
      <c r="I7649" s="508">
        <v>1.554</v>
      </c>
      <c r="J7649" s="508">
        <v>1.4379999999999999</v>
      </c>
      <c r="K7649" s="508">
        <v>1.583</v>
      </c>
      <c r="L7649" s="508">
        <v>1.46</v>
      </c>
      <c r="M7649" s="508">
        <v>1.512</v>
      </c>
      <c r="N7649" s="508">
        <v>1.45</v>
      </c>
      <c r="O7649" s="508">
        <v>1.3959999999999999</v>
      </c>
      <c r="P7649" s="508">
        <v>1.3</v>
      </c>
      <c r="Q7649" s="508">
        <v>1.272</v>
      </c>
      <c r="R7649" s="508">
        <v>1.387</v>
      </c>
      <c r="S7649" s="508">
        <v>1.4850000000000001</v>
      </c>
      <c r="T7649" s="508">
        <v>1.389</v>
      </c>
      <c r="U7649" s="508">
        <v>1.4379999999999999</v>
      </c>
      <c r="V7649" s="508">
        <v>1.4</v>
      </c>
      <c r="W7649" s="508">
        <v>0.83</v>
      </c>
      <c r="X7649" s="508">
        <v>0.83199999999999996</v>
      </c>
      <c r="Y7649" s="508">
        <v>0.82</v>
      </c>
      <c r="Z7649" s="508">
        <v>0.81799999999999995</v>
      </c>
      <c r="AA7649" s="508">
        <v>8.6999999999999994E-2</v>
      </c>
      <c r="AB7649" s="508">
        <v>8.8999999999999996E-2</v>
      </c>
      <c r="AC7649" s="508">
        <v>8.5000000000000006E-2</v>
      </c>
      <c r="AD7649" s="508">
        <v>5.3999999999999999E-2</v>
      </c>
      <c r="AE7649" s="508">
        <v>5.2999999999999999E-2</v>
      </c>
      <c r="AF7649" s="508">
        <v>4.3999999999999997E-2</v>
      </c>
      <c r="AG7649" s="508">
        <v>4.3999999999999997E-2</v>
      </c>
      <c r="AH7649" s="508">
        <v>4.3999999999999997E-2</v>
      </c>
      <c r="AI7649" s="492">
        <v>4.3999999999999997E-2</v>
      </c>
      <c r="AJ7649" s="485"/>
    </row>
    <row r="7650" spans="2:36">
      <c r="B7650" s="136" t="s">
        <v>464</v>
      </c>
      <c r="C7650" s="132" t="s">
        <v>1373</v>
      </c>
      <c r="D7650" s="132" t="s">
        <v>1381</v>
      </c>
      <c r="E7650" s="508">
        <v>1.3939999999999999</v>
      </c>
      <c r="F7650" s="508">
        <v>1.411</v>
      </c>
      <c r="G7650" s="508">
        <v>1.3280000000000001</v>
      </c>
      <c r="H7650" s="508">
        <v>1.56</v>
      </c>
      <c r="I7650" s="508">
        <v>1.585</v>
      </c>
      <c r="J7650" s="508">
        <v>1.4670000000000001</v>
      </c>
      <c r="K7650" s="508">
        <v>1.6080000000000001</v>
      </c>
      <c r="L7650" s="508">
        <v>1.4830000000000001</v>
      </c>
      <c r="M7650" s="508">
        <v>1.5329999999999999</v>
      </c>
      <c r="N7650" s="508">
        <v>1.4690000000000001</v>
      </c>
      <c r="O7650" s="508">
        <v>1.415</v>
      </c>
      <c r="P7650" s="508">
        <v>1.319</v>
      </c>
      <c r="Q7650" s="508">
        <v>1.2889999999999999</v>
      </c>
      <c r="R7650" s="508">
        <v>1.4019999999999999</v>
      </c>
      <c r="S7650" s="508">
        <v>1.498</v>
      </c>
      <c r="T7650" s="508">
        <v>1.3979999999999999</v>
      </c>
      <c r="U7650" s="508">
        <v>1.4430000000000001</v>
      </c>
      <c r="V7650" s="508">
        <v>1.4019999999999999</v>
      </c>
      <c r="W7650" s="508">
        <v>0.83599999999999997</v>
      </c>
      <c r="X7650" s="508">
        <v>0.83599999999999997</v>
      </c>
      <c r="Y7650" s="508">
        <v>0.82299999999999995</v>
      </c>
      <c r="Z7650" s="508">
        <v>0.82</v>
      </c>
      <c r="AA7650" s="508">
        <v>9.0999999999999998E-2</v>
      </c>
      <c r="AB7650" s="508">
        <v>9.2999999999999999E-2</v>
      </c>
      <c r="AC7650" s="508">
        <v>8.7999999999999995E-2</v>
      </c>
      <c r="AD7650" s="508">
        <v>5.7000000000000002E-2</v>
      </c>
      <c r="AE7650" s="508">
        <v>5.6000000000000001E-2</v>
      </c>
      <c r="AF7650" s="508">
        <v>4.7E-2</v>
      </c>
      <c r="AG7650" s="508">
        <v>4.7E-2</v>
      </c>
      <c r="AH7650" s="508">
        <v>4.7E-2</v>
      </c>
      <c r="AI7650" s="492">
        <v>4.7E-2</v>
      </c>
      <c r="AJ7650" s="485"/>
    </row>
    <row r="7651" spans="2:36">
      <c r="B7651" s="136" t="s">
        <v>465</v>
      </c>
      <c r="C7651" s="132" t="s">
        <v>1373</v>
      </c>
      <c r="D7651" s="132" t="s">
        <v>1381</v>
      </c>
      <c r="E7651" s="508">
        <v>1.3919999999999999</v>
      </c>
      <c r="F7651" s="508">
        <v>1.413</v>
      </c>
      <c r="G7651" s="508">
        <v>1.329</v>
      </c>
      <c r="H7651" s="508">
        <v>1.5720000000000001</v>
      </c>
      <c r="I7651" s="508">
        <v>1.6</v>
      </c>
      <c r="J7651" s="508">
        <v>1.4790000000000001</v>
      </c>
      <c r="K7651" s="508">
        <v>1.627</v>
      </c>
      <c r="L7651" s="508">
        <v>1.4990000000000001</v>
      </c>
      <c r="M7651" s="508">
        <v>1.5509999999999999</v>
      </c>
      <c r="N7651" s="508">
        <v>1.4870000000000001</v>
      </c>
      <c r="O7651" s="508">
        <v>1.431</v>
      </c>
      <c r="P7651" s="508">
        <v>1.333</v>
      </c>
      <c r="Q7651" s="508">
        <v>1.3029999999999999</v>
      </c>
      <c r="R7651" s="508">
        <v>1.42</v>
      </c>
      <c r="S7651" s="508">
        <v>1.52</v>
      </c>
      <c r="T7651" s="508">
        <v>1.419</v>
      </c>
      <c r="U7651" s="508">
        <v>1.468</v>
      </c>
      <c r="V7651" s="508">
        <v>1.427</v>
      </c>
      <c r="W7651" s="508">
        <v>0.85099999999999998</v>
      </c>
      <c r="X7651" s="508">
        <v>0.85199999999999998</v>
      </c>
      <c r="Y7651" s="508">
        <v>0.83899999999999997</v>
      </c>
      <c r="Z7651" s="508">
        <v>0.83699999999999997</v>
      </c>
      <c r="AA7651" s="508">
        <v>9.0999999999999998E-2</v>
      </c>
      <c r="AB7651" s="508">
        <v>9.2999999999999999E-2</v>
      </c>
      <c r="AC7651" s="508">
        <v>8.7999999999999995E-2</v>
      </c>
      <c r="AD7651" s="508">
        <v>5.6000000000000001E-2</v>
      </c>
      <c r="AE7651" s="508">
        <v>5.6000000000000001E-2</v>
      </c>
      <c r="AF7651" s="508">
        <v>4.7E-2</v>
      </c>
      <c r="AG7651" s="508">
        <v>4.5999999999999999E-2</v>
      </c>
      <c r="AH7651" s="508">
        <v>4.5999999999999999E-2</v>
      </c>
      <c r="AI7651" s="492">
        <v>4.5999999999999999E-2</v>
      </c>
      <c r="AJ7651" s="485"/>
    </row>
    <row r="7652" spans="2:36">
      <c r="B7652" s="136" t="s">
        <v>466</v>
      </c>
      <c r="C7652" s="132" t="s">
        <v>1373</v>
      </c>
      <c r="D7652" s="132" t="s">
        <v>1381</v>
      </c>
      <c r="E7652" s="508">
        <v>1.5</v>
      </c>
      <c r="F7652" s="508">
        <v>1.5329999999999999</v>
      </c>
      <c r="G7652" s="508">
        <v>1.4379999999999999</v>
      </c>
      <c r="H7652" s="508">
        <v>1.74</v>
      </c>
      <c r="I7652" s="508">
        <v>1.7769999999999999</v>
      </c>
      <c r="J7652" s="508">
        <v>1.635</v>
      </c>
      <c r="K7652" s="508">
        <v>1.8180000000000001</v>
      </c>
      <c r="L7652" s="508">
        <v>1.667</v>
      </c>
      <c r="M7652" s="508">
        <v>1.7330000000000001</v>
      </c>
      <c r="N7652" s="508">
        <v>1.657</v>
      </c>
      <c r="O7652" s="508">
        <v>1.5920000000000001</v>
      </c>
      <c r="P7652" s="508">
        <v>1.474</v>
      </c>
      <c r="Q7652" s="508">
        <v>1.44</v>
      </c>
      <c r="R7652" s="508">
        <v>1.585</v>
      </c>
      <c r="S7652" s="508">
        <v>1.7070000000000001</v>
      </c>
      <c r="T7652" s="508">
        <v>1.5920000000000001</v>
      </c>
      <c r="U7652" s="508">
        <v>1.6559999999999999</v>
      </c>
      <c r="V7652" s="508">
        <v>1.61</v>
      </c>
      <c r="W7652" s="508">
        <v>0.96899999999999997</v>
      </c>
      <c r="X7652" s="508">
        <v>0.97199999999999998</v>
      </c>
      <c r="Y7652" s="508">
        <v>0.95899999999999996</v>
      </c>
      <c r="Z7652" s="508">
        <v>0.95699999999999996</v>
      </c>
      <c r="AA7652" s="508">
        <v>0.1</v>
      </c>
      <c r="AB7652" s="508">
        <v>0.10299999999999999</v>
      </c>
      <c r="AC7652" s="508">
        <v>9.8000000000000004E-2</v>
      </c>
      <c r="AD7652" s="508">
        <v>6.0999999999999999E-2</v>
      </c>
      <c r="AE7652" s="508">
        <v>0.06</v>
      </c>
      <c r="AF7652" s="508">
        <v>0.05</v>
      </c>
      <c r="AG7652" s="508">
        <v>0.05</v>
      </c>
      <c r="AH7652" s="508">
        <v>0.05</v>
      </c>
      <c r="AI7652" s="492">
        <v>0.05</v>
      </c>
      <c r="AJ7652" s="485"/>
    </row>
    <row r="7653" spans="2:36">
      <c r="B7653" s="136" t="s">
        <v>467</v>
      </c>
      <c r="C7653" s="132" t="s">
        <v>1373</v>
      </c>
      <c r="D7653" s="132" t="s">
        <v>1381</v>
      </c>
      <c r="E7653" s="508">
        <v>1.4810000000000001</v>
      </c>
      <c r="F7653" s="508">
        <v>1.5009999999999999</v>
      </c>
      <c r="G7653" s="508">
        <v>1.41</v>
      </c>
      <c r="H7653" s="508">
        <v>1.67</v>
      </c>
      <c r="I7653" s="508">
        <v>1.6990000000000001</v>
      </c>
      <c r="J7653" s="508">
        <v>1.5680000000000001</v>
      </c>
      <c r="K7653" s="508">
        <v>1.726</v>
      </c>
      <c r="L7653" s="508">
        <v>1.5880000000000001</v>
      </c>
      <c r="M7653" s="508">
        <v>1.6439999999999999</v>
      </c>
      <c r="N7653" s="508">
        <v>1.5740000000000001</v>
      </c>
      <c r="O7653" s="508">
        <v>1.5129999999999999</v>
      </c>
      <c r="P7653" s="508">
        <v>1.407</v>
      </c>
      <c r="Q7653" s="508">
        <v>1.3740000000000001</v>
      </c>
      <c r="R7653" s="508">
        <v>1.5</v>
      </c>
      <c r="S7653" s="508">
        <v>1.607</v>
      </c>
      <c r="T7653" s="508">
        <v>1.4970000000000001</v>
      </c>
      <c r="U7653" s="508">
        <v>1.548</v>
      </c>
      <c r="V7653" s="508">
        <v>1.504</v>
      </c>
      <c r="W7653" s="508">
        <v>0.90300000000000002</v>
      </c>
      <c r="X7653" s="508">
        <v>0.90400000000000003</v>
      </c>
      <c r="Y7653" s="508">
        <v>0.89</v>
      </c>
      <c r="Z7653" s="508">
        <v>0.88700000000000001</v>
      </c>
      <c r="AA7653" s="508">
        <v>9.8000000000000004E-2</v>
      </c>
      <c r="AB7653" s="508">
        <v>0.1</v>
      </c>
      <c r="AC7653" s="508">
        <v>9.5000000000000001E-2</v>
      </c>
      <c r="AD7653" s="508">
        <v>6.0999999999999999E-2</v>
      </c>
      <c r="AE7653" s="508">
        <v>0.06</v>
      </c>
      <c r="AF7653" s="508">
        <v>0.05</v>
      </c>
      <c r="AG7653" s="508">
        <v>0.05</v>
      </c>
      <c r="AH7653" s="508">
        <v>0.05</v>
      </c>
      <c r="AI7653" s="492">
        <v>0.05</v>
      </c>
      <c r="AJ7653" s="485"/>
    </row>
    <row r="7654" spans="2:36">
      <c r="B7654" s="136" t="s">
        <v>468</v>
      </c>
      <c r="C7654" s="132" t="s">
        <v>1373</v>
      </c>
      <c r="D7654" s="132" t="s">
        <v>1381</v>
      </c>
      <c r="E7654" s="508">
        <v>1.302</v>
      </c>
      <c r="F7654" s="508">
        <v>1.325</v>
      </c>
      <c r="G7654" s="508">
        <v>1.2490000000000001</v>
      </c>
      <c r="H7654" s="508">
        <v>1.478</v>
      </c>
      <c r="I7654" s="508">
        <v>1.5049999999999999</v>
      </c>
      <c r="J7654" s="508">
        <v>1.3939999999999999</v>
      </c>
      <c r="K7654" s="508">
        <v>1.5329999999999999</v>
      </c>
      <c r="L7654" s="508">
        <v>1.415</v>
      </c>
      <c r="M7654" s="508">
        <v>1.4650000000000001</v>
      </c>
      <c r="N7654" s="508">
        <v>1.4059999999999999</v>
      </c>
      <c r="O7654" s="508">
        <v>1.355</v>
      </c>
      <c r="P7654" s="508">
        <v>1.2629999999999999</v>
      </c>
      <c r="Q7654" s="508">
        <v>1.236</v>
      </c>
      <c r="R7654" s="508">
        <v>1.3460000000000001</v>
      </c>
      <c r="S7654" s="508">
        <v>1.44</v>
      </c>
      <c r="T7654" s="508">
        <v>1.3480000000000001</v>
      </c>
      <c r="U7654" s="508">
        <v>1.395</v>
      </c>
      <c r="V7654" s="508">
        <v>1.3580000000000001</v>
      </c>
      <c r="W7654" s="508">
        <v>0.80300000000000005</v>
      </c>
      <c r="X7654" s="508">
        <v>0.80500000000000005</v>
      </c>
      <c r="Y7654" s="508">
        <v>0.79300000000000004</v>
      </c>
      <c r="Z7654" s="508">
        <v>0.79200000000000004</v>
      </c>
      <c r="AA7654" s="508">
        <v>8.4000000000000005E-2</v>
      </c>
      <c r="AB7654" s="508">
        <v>8.5999999999999993E-2</v>
      </c>
      <c r="AC7654" s="508">
        <v>8.2000000000000003E-2</v>
      </c>
      <c r="AD7654" s="508">
        <v>5.1999999999999998E-2</v>
      </c>
      <c r="AE7654" s="508">
        <v>5.0999999999999997E-2</v>
      </c>
      <c r="AF7654" s="508">
        <v>4.2999999999999997E-2</v>
      </c>
      <c r="AG7654" s="508">
        <v>4.2000000000000003E-2</v>
      </c>
      <c r="AH7654" s="508">
        <v>4.2000000000000003E-2</v>
      </c>
      <c r="AI7654" s="492">
        <v>4.2000000000000003E-2</v>
      </c>
      <c r="AJ7654" s="485"/>
    </row>
    <row r="7655" spans="2:36">
      <c r="B7655" s="136" t="s">
        <v>469</v>
      </c>
      <c r="C7655" s="132" t="s">
        <v>1373</v>
      </c>
      <c r="D7655" s="132" t="s">
        <v>1381</v>
      </c>
      <c r="E7655" s="508">
        <v>1.3779999999999999</v>
      </c>
      <c r="F7655" s="508">
        <v>1.403</v>
      </c>
      <c r="G7655" s="508">
        <v>1.32</v>
      </c>
      <c r="H7655" s="508">
        <v>1.573</v>
      </c>
      <c r="I7655" s="508">
        <v>1.603</v>
      </c>
      <c r="J7655" s="508">
        <v>1.4810000000000001</v>
      </c>
      <c r="K7655" s="508">
        <v>1.635</v>
      </c>
      <c r="L7655" s="508">
        <v>1.5049999999999999</v>
      </c>
      <c r="M7655" s="508">
        <v>1.56</v>
      </c>
      <c r="N7655" s="508">
        <v>1.4950000000000001</v>
      </c>
      <c r="O7655" s="508">
        <v>1.4390000000000001</v>
      </c>
      <c r="P7655" s="508">
        <v>1.3380000000000001</v>
      </c>
      <c r="Q7655" s="508">
        <v>1.3080000000000001</v>
      </c>
      <c r="R7655" s="508">
        <v>1.43</v>
      </c>
      <c r="S7655" s="508">
        <v>1.5329999999999999</v>
      </c>
      <c r="T7655" s="508">
        <v>1.4319999999999999</v>
      </c>
      <c r="U7655" s="508">
        <v>1.4850000000000001</v>
      </c>
      <c r="V7655" s="508">
        <v>1.444</v>
      </c>
      <c r="W7655" s="508">
        <v>0.86</v>
      </c>
      <c r="X7655" s="508">
        <v>0.86199999999999999</v>
      </c>
      <c r="Y7655" s="508">
        <v>0.85</v>
      </c>
      <c r="Z7655" s="508">
        <v>0.84799999999999998</v>
      </c>
      <c r="AA7655" s="508">
        <v>0.09</v>
      </c>
      <c r="AB7655" s="508">
        <v>9.1999999999999998E-2</v>
      </c>
      <c r="AC7655" s="508">
        <v>8.7999999999999995E-2</v>
      </c>
      <c r="AD7655" s="508">
        <v>5.5E-2</v>
      </c>
      <c r="AE7655" s="508">
        <v>5.5E-2</v>
      </c>
      <c r="AF7655" s="508">
        <v>4.5999999999999999E-2</v>
      </c>
      <c r="AG7655" s="508">
        <v>4.4999999999999998E-2</v>
      </c>
      <c r="AH7655" s="508">
        <v>4.4999999999999998E-2</v>
      </c>
      <c r="AI7655" s="492">
        <v>4.4999999999999998E-2</v>
      </c>
      <c r="AJ7655" s="485"/>
    </row>
    <row r="7656" spans="2:36">
      <c r="B7656" s="136" t="s">
        <v>470</v>
      </c>
      <c r="C7656" s="132" t="s">
        <v>1373</v>
      </c>
      <c r="D7656" s="132" t="s">
        <v>1381</v>
      </c>
      <c r="E7656" s="508">
        <v>1.5289999999999999</v>
      </c>
      <c r="F7656" s="508">
        <v>1.554</v>
      </c>
      <c r="G7656" s="508">
        <v>1.458</v>
      </c>
      <c r="H7656" s="508">
        <v>1.7410000000000001</v>
      </c>
      <c r="I7656" s="508">
        <v>1.7729999999999999</v>
      </c>
      <c r="J7656" s="508">
        <v>1.6339999999999999</v>
      </c>
      <c r="K7656" s="508">
        <v>1.8049999999999999</v>
      </c>
      <c r="L7656" s="508">
        <v>1.6579999999999999</v>
      </c>
      <c r="M7656" s="508">
        <v>1.7190000000000001</v>
      </c>
      <c r="N7656" s="508">
        <v>1.6439999999999999</v>
      </c>
      <c r="O7656" s="508">
        <v>1.58</v>
      </c>
      <c r="P7656" s="508">
        <v>1.466</v>
      </c>
      <c r="Q7656" s="508">
        <v>1.431</v>
      </c>
      <c r="R7656" s="508">
        <v>1.5680000000000001</v>
      </c>
      <c r="S7656" s="508">
        <v>1.6830000000000001</v>
      </c>
      <c r="T7656" s="508">
        <v>1.5669999999999999</v>
      </c>
      <c r="U7656" s="508">
        <v>1.6240000000000001</v>
      </c>
      <c r="V7656" s="508">
        <v>1.5780000000000001</v>
      </c>
      <c r="W7656" s="508">
        <v>0.95099999999999996</v>
      </c>
      <c r="X7656" s="508">
        <v>0.95199999999999996</v>
      </c>
      <c r="Y7656" s="508">
        <v>0.93799999999999994</v>
      </c>
      <c r="Z7656" s="508">
        <v>0.93500000000000005</v>
      </c>
      <c r="AA7656" s="508">
        <v>0.10199999999999999</v>
      </c>
      <c r="AB7656" s="508">
        <v>0.104</v>
      </c>
      <c r="AC7656" s="508">
        <v>9.9000000000000005E-2</v>
      </c>
      <c r="AD7656" s="508">
        <v>6.3E-2</v>
      </c>
      <c r="AE7656" s="508">
        <v>6.2E-2</v>
      </c>
      <c r="AF7656" s="508">
        <v>5.1999999999999998E-2</v>
      </c>
      <c r="AG7656" s="508">
        <v>5.1999999999999998E-2</v>
      </c>
      <c r="AH7656" s="508">
        <v>5.1999999999999998E-2</v>
      </c>
      <c r="AI7656" s="492">
        <v>5.1999999999999998E-2</v>
      </c>
      <c r="AJ7656" s="485"/>
    </row>
    <row r="7657" spans="2:36">
      <c r="B7657" s="136" t="s">
        <v>471</v>
      </c>
      <c r="C7657" s="132" t="s">
        <v>1373</v>
      </c>
      <c r="D7657" s="132" t="s">
        <v>1381</v>
      </c>
      <c r="E7657" s="508">
        <v>1.431</v>
      </c>
      <c r="F7657" s="508">
        <v>1.462</v>
      </c>
      <c r="G7657" s="508">
        <v>1.3740000000000001</v>
      </c>
      <c r="H7657" s="508">
        <v>1.653</v>
      </c>
      <c r="I7657" s="508">
        <v>1.6879999999999999</v>
      </c>
      <c r="J7657" s="508">
        <v>1.5549999999999999</v>
      </c>
      <c r="K7657" s="508">
        <v>1.7250000000000001</v>
      </c>
      <c r="L7657" s="508">
        <v>1.5840000000000001</v>
      </c>
      <c r="M7657" s="508">
        <v>1.6459999999999999</v>
      </c>
      <c r="N7657" s="508">
        <v>1.575</v>
      </c>
      <c r="O7657" s="508">
        <v>1.5149999999999999</v>
      </c>
      <c r="P7657" s="508">
        <v>1.405</v>
      </c>
      <c r="Q7657" s="508">
        <v>1.373</v>
      </c>
      <c r="R7657" s="508">
        <v>1.5069999999999999</v>
      </c>
      <c r="S7657" s="508">
        <v>1.621</v>
      </c>
      <c r="T7657" s="508">
        <v>1.5129999999999999</v>
      </c>
      <c r="U7657" s="508">
        <v>1.5720000000000001</v>
      </c>
      <c r="V7657" s="508">
        <v>1.5289999999999999</v>
      </c>
      <c r="W7657" s="508">
        <v>0.91500000000000004</v>
      </c>
      <c r="X7657" s="508">
        <v>0.91800000000000004</v>
      </c>
      <c r="Y7657" s="508">
        <v>0.90600000000000003</v>
      </c>
      <c r="Z7657" s="508">
        <v>0.90400000000000003</v>
      </c>
      <c r="AA7657" s="508">
        <v>9.5000000000000001E-2</v>
      </c>
      <c r="AB7657" s="508">
        <v>9.7000000000000003E-2</v>
      </c>
      <c r="AC7657" s="508">
        <v>9.2999999999999999E-2</v>
      </c>
      <c r="AD7657" s="508">
        <v>5.7000000000000002E-2</v>
      </c>
      <c r="AE7657" s="508">
        <v>5.7000000000000002E-2</v>
      </c>
      <c r="AF7657" s="508">
        <v>4.7E-2</v>
      </c>
      <c r="AG7657" s="508">
        <v>4.7E-2</v>
      </c>
      <c r="AH7657" s="508">
        <v>4.7E-2</v>
      </c>
      <c r="AI7657" s="492">
        <v>4.7E-2</v>
      </c>
      <c r="AJ7657" s="485"/>
    </row>
    <row r="7658" spans="2:36">
      <c r="B7658" s="136" t="s">
        <v>472</v>
      </c>
      <c r="C7658" s="132" t="s">
        <v>1373</v>
      </c>
      <c r="D7658" s="132" t="s">
        <v>1381</v>
      </c>
      <c r="E7658" s="508">
        <v>1.429</v>
      </c>
      <c r="F7658" s="508">
        <v>1.444</v>
      </c>
      <c r="G7658" s="508">
        <v>1.3580000000000001</v>
      </c>
      <c r="H7658" s="508">
        <v>1.591</v>
      </c>
      <c r="I7658" s="508">
        <v>1.615</v>
      </c>
      <c r="J7658" s="508">
        <v>1.494</v>
      </c>
      <c r="K7658" s="508">
        <v>1.6359999999999999</v>
      </c>
      <c r="L7658" s="508">
        <v>1.5089999999999999</v>
      </c>
      <c r="M7658" s="508">
        <v>1.5580000000000001</v>
      </c>
      <c r="N7658" s="508">
        <v>1.4930000000000001</v>
      </c>
      <c r="O7658" s="508">
        <v>1.4370000000000001</v>
      </c>
      <c r="P7658" s="508">
        <v>1.34</v>
      </c>
      <c r="Q7658" s="508">
        <v>1.3089999999999999</v>
      </c>
      <c r="R7658" s="508">
        <v>1.423</v>
      </c>
      <c r="S7658" s="508">
        <v>1.5189999999999999</v>
      </c>
      <c r="T7658" s="508">
        <v>1.4159999999999999</v>
      </c>
      <c r="U7658" s="508">
        <v>1.46</v>
      </c>
      <c r="V7658" s="508">
        <v>1.4179999999999999</v>
      </c>
      <c r="W7658" s="508">
        <v>0.84799999999999998</v>
      </c>
      <c r="X7658" s="508">
        <v>0.84799999999999998</v>
      </c>
      <c r="Y7658" s="508">
        <v>0.83399999999999996</v>
      </c>
      <c r="Z7658" s="508">
        <v>0.83099999999999996</v>
      </c>
      <c r="AA7658" s="508">
        <v>9.4E-2</v>
      </c>
      <c r="AB7658" s="508">
        <v>9.5000000000000001E-2</v>
      </c>
      <c r="AC7658" s="508">
        <v>0.09</v>
      </c>
      <c r="AD7658" s="508">
        <v>5.8000000000000003E-2</v>
      </c>
      <c r="AE7658" s="508">
        <v>5.8000000000000003E-2</v>
      </c>
      <c r="AF7658" s="508">
        <v>4.9000000000000002E-2</v>
      </c>
      <c r="AG7658" s="508">
        <v>4.8000000000000001E-2</v>
      </c>
      <c r="AH7658" s="508">
        <v>4.8000000000000001E-2</v>
      </c>
      <c r="AI7658" s="492">
        <v>4.8000000000000001E-2</v>
      </c>
      <c r="AJ7658" s="485"/>
    </row>
    <row r="7659" spans="2:36">
      <c r="B7659" s="136" t="s">
        <v>473</v>
      </c>
      <c r="C7659" s="132" t="s">
        <v>1373</v>
      </c>
      <c r="D7659" s="132" t="s">
        <v>1381</v>
      </c>
      <c r="E7659" s="508">
        <v>1.5349999999999999</v>
      </c>
      <c r="F7659" s="508">
        <v>1.5609999999999999</v>
      </c>
      <c r="G7659" s="508">
        <v>1.464</v>
      </c>
      <c r="H7659" s="508">
        <v>1.752</v>
      </c>
      <c r="I7659" s="508">
        <v>1.7849999999999999</v>
      </c>
      <c r="J7659" s="508">
        <v>1.6439999999999999</v>
      </c>
      <c r="K7659" s="508">
        <v>1.8180000000000001</v>
      </c>
      <c r="L7659" s="508">
        <v>1.669</v>
      </c>
      <c r="M7659" s="508">
        <v>1.7310000000000001</v>
      </c>
      <c r="N7659" s="508">
        <v>1.6559999999999999</v>
      </c>
      <c r="O7659" s="508">
        <v>1.591</v>
      </c>
      <c r="P7659" s="508">
        <v>1.4750000000000001</v>
      </c>
      <c r="Q7659" s="508">
        <v>1.44</v>
      </c>
      <c r="R7659" s="508">
        <v>1.579</v>
      </c>
      <c r="S7659" s="508">
        <v>1.696</v>
      </c>
      <c r="T7659" s="508">
        <v>1.58</v>
      </c>
      <c r="U7659" s="508">
        <v>1.6379999999999999</v>
      </c>
      <c r="V7659" s="508">
        <v>1.591</v>
      </c>
      <c r="W7659" s="508">
        <v>0.95899999999999996</v>
      </c>
      <c r="X7659" s="508">
        <v>0.96099999999999997</v>
      </c>
      <c r="Y7659" s="508">
        <v>0.94699999999999995</v>
      </c>
      <c r="Z7659" s="508">
        <v>0.94399999999999995</v>
      </c>
      <c r="AA7659" s="508">
        <v>0.10199999999999999</v>
      </c>
      <c r="AB7659" s="508">
        <v>0.104</v>
      </c>
      <c r="AC7659" s="508">
        <v>9.9000000000000005E-2</v>
      </c>
      <c r="AD7659" s="508">
        <v>6.3E-2</v>
      </c>
      <c r="AE7659" s="508">
        <v>6.2E-2</v>
      </c>
      <c r="AF7659" s="508">
        <v>5.1999999999999998E-2</v>
      </c>
      <c r="AG7659" s="508">
        <v>5.1999999999999998E-2</v>
      </c>
      <c r="AH7659" s="508">
        <v>5.1999999999999998E-2</v>
      </c>
      <c r="AI7659" s="492">
        <v>5.1999999999999998E-2</v>
      </c>
      <c r="AJ7659" s="485"/>
    </row>
    <row r="7660" spans="2:36">
      <c r="B7660" s="136" t="s">
        <v>474</v>
      </c>
      <c r="C7660" s="132" t="s">
        <v>1373</v>
      </c>
      <c r="D7660" s="132" t="s">
        <v>1381</v>
      </c>
      <c r="E7660" s="508">
        <v>1.403</v>
      </c>
      <c r="F7660" s="508">
        <v>1.4330000000000001</v>
      </c>
      <c r="G7660" s="508">
        <v>1.347</v>
      </c>
      <c r="H7660" s="508">
        <v>1.6180000000000001</v>
      </c>
      <c r="I7660" s="508">
        <v>1.6519999999999999</v>
      </c>
      <c r="J7660" s="508">
        <v>1.5229999999999999</v>
      </c>
      <c r="K7660" s="508">
        <v>1.6879999999999999</v>
      </c>
      <c r="L7660" s="508">
        <v>1.5509999999999999</v>
      </c>
      <c r="M7660" s="508">
        <v>1.611</v>
      </c>
      <c r="N7660" s="508">
        <v>1.542</v>
      </c>
      <c r="O7660" s="508">
        <v>1.484</v>
      </c>
      <c r="P7660" s="508">
        <v>1.377</v>
      </c>
      <c r="Q7660" s="508">
        <v>1.3460000000000001</v>
      </c>
      <c r="R7660" s="508">
        <v>1.476</v>
      </c>
      <c r="S7660" s="508">
        <v>1.5860000000000001</v>
      </c>
      <c r="T7660" s="508">
        <v>1.482</v>
      </c>
      <c r="U7660" s="508">
        <v>1.54</v>
      </c>
      <c r="V7660" s="508">
        <v>1.498</v>
      </c>
      <c r="W7660" s="508">
        <v>0.89400000000000002</v>
      </c>
      <c r="X7660" s="508">
        <v>0.89700000000000002</v>
      </c>
      <c r="Y7660" s="508">
        <v>0.88500000000000001</v>
      </c>
      <c r="Z7660" s="508">
        <v>0.88300000000000001</v>
      </c>
      <c r="AA7660" s="508">
        <v>9.2999999999999999E-2</v>
      </c>
      <c r="AB7660" s="508">
        <v>9.5000000000000001E-2</v>
      </c>
      <c r="AC7660" s="508">
        <v>0.09</v>
      </c>
      <c r="AD7660" s="508">
        <v>5.6000000000000001E-2</v>
      </c>
      <c r="AE7660" s="508">
        <v>5.6000000000000001E-2</v>
      </c>
      <c r="AF7660" s="508">
        <v>4.5999999999999999E-2</v>
      </c>
      <c r="AG7660" s="508">
        <v>4.5999999999999999E-2</v>
      </c>
      <c r="AH7660" s="508">
        <v>4.5999999999999999E-2</v>
      </c>
      <c r="AI7660" s="492">
        <v>4.5999999999999999E-2</v>
      </c>
      <c r="AJ7660" s="485"/>
    </row>
    <row r="7661" spans="2:36">
      <c r="B7661" s="136" t="s">
        <v>475</v>
      </c>
      <c r="C7661" s="132" t="s">
        <v>1373</v>
      </c>
      <c r="D7661" s="132" t="s">
        <v>1381</v>
      </c>
      <c r="E7661" s="508">
        <v>1.4279999999999999</v>
      </c>
      <c r="F7661" s="508">
        <v>1.452</v>
      </c>
      <c r="G7661" s="508">
        <v>1.365</v>
      </c>
      <c r="H7661" s="508">
        <v>1.6240000000000001</v>
      </c>
      <c r="I7661" s="508">
        <v>1.655</v>
      </c>
      <c r="J7661" s="508">
        <v>1.5269999999999999</v>
      </c>
      <c r="K7661" s="508">
        <v>1.6850000000000001</v>
      </c>
      <c r="L7661" s="508">
        <v>1.55</v>
      </c>
      <c r="M7661" s="508">
        <v>1.6060000000000001</v>
      </c>
      <c r="N7661" s="508">
        <v>1.538</v>
      </c>
      <c r="O7661" s="508">
        <v>1.48</v>
      </c>
      <c r="P7661" s="508">
        <v>1.3759999999999999</v>
      </c>
      <c r="Q7661" s="508">
        <v>1.3440000000000001</v>
      </c>
      <c r="R7661" s="508">
        <v>1.47</v>
      </c>
      <c r="S7661" s="508">
        <v>1.5760000000000001</v>
      </c>
      <c r="T7661" s="508">
        <v>1.47</v>
      </c>
      <c r="U7661" s="508">
        <v>1.5229999999999999</v>
      </c>
      <c r="V7661" s="508">
        <v>1.48</v>
      </c>
      <c r="W7661" s="508">
        <v>0.88600000000000001</v>
      </c>
      <c r="X7661" s="508">
        <v>0.88700000000000001</v>
      </c>
      <c r="Y7661" s="508">
        <v>0.874</v>
      </c>
      <c r="Z7661" s="508">
        <v>0.872</v>
      </c>
      <c r="AA7661" s="508">
        <v>9.4E-2</v>
      </c>
      <c r="AB7661" s="508">
        <v>9.6000000000000002E-2</v>
      </c>
      <c r="AC7661" s="508">
        <v>9.0999999999999998E-2</v>
      </c>
      <c r="AD7661" s="508">
        <v>5.8000000000000003E-2</v>
      </c>
      <c r="AE7661" s="508">
        <v>5.7000000000000002E-2</v>
      </c>
      <c r="AF7661" s="508">
        <v>4.8000000000000001E-2</v>
      </c>
      <c r="AG7661" s="508">
        <v>4.8000000000000001E-2</v>
      </c>
      <c r="AH7661" s="508">
        <v>4.8000000000000001E-2</v>
      </c>
      <c r="AI7661" s="492">
        <v>4.8000000000000001E-2</v>
      </c>
      <c r="AJ7661" s="485"/>
    </row>
    <row r="7662" spans="2:36">
      <c r="B7662" s="136" t="s">
        <v>476</v>
      </c>
      <c r="C7662" s="132" t="s">
        <v>1373</v>
      </c>
      <c r="D7662" s="132" t="s">
        <v>1381</v>
      </c>
      <c r="E7662" s="508">
        <v>1.4850000000000001</v>
      </c>
      <c r="F7662" s="508">
        <v>1.5109999999999999</v>
      </c>
      <c r="G7662" s="508">
        <v>1.4179999999999999</v>
      </c>
      <c r="H7662" s="508">
        <v>1.6919999999999999</v>
      </c>
      <c r="I7662" s="508">
        <v>1.724</v>
      </c>
      <c r="J7662" s="508">
        <v>1.589</v>
      </c>
      <c r="K7662" s="508">
        <v>1.756</v>
      </c>
      <c r="L7662" s="508">
        <v>1.613</v>
      </c>
      <c r="M7662" s="508">
        <v>1.6719999999999999</v>
      </c>
      <c r="N7662" s="508">
        <v>1.601</v>
      </c>
      <c r="O7662" s="508">
        <v>1.5389999999999999</v>
      </c>
      <c r="P7662" s="508">
        <v>1.429</v>
      </c>
      <c r="Q7662" s="508">
        <v>1.395</v>
      </c>
      <c r="R7662" s="508">
        <v>1.528</v>
      </c>
      <c r="S7662" s="508">
        <v>1.64</v>
      </c>
      <c r="T7662" s="508">
        <v>1.528</v>
      </c>
      <c r="U7662" s="508">
        <v>1.5840000000000001</v>
      </c>
      <c r="V7662" s="508">
        <v>1.5389999999999999</v>
      </c>
      <c r="W7662" s="508">
        <v>0.92400000000000004</v>
      </c>
      <c r="X7662" s="508">
        <v>0.92600000000000005</v>
      </c>
      <c r="Y7662" s="508">
        <v>0.91200000000000003</v>
      </c>
      <c r="Z7662" s="508">
        <v>0.91</v>
      </c>
      <c r="AA7662" s="508">
        <v>9.8000000000000004E-2</v>
      </c>
      <c r="AB7662" s="508">
        <v>0.10100000000000001</v>
      </c>
      <c r="AC7662" s="508">
        <v>9.6000000000000002E-2</v>
      </c>
      <c r="AD7662" s="508">
        <v>6.0999999999999999E-2</v>
      </c>
      <c r="AE7662" s="508">
        <v>0.06</v>
      </c>
      <c r="AF7662" s="508">
        <v>0.05</v>
      </c>
      <c r="AG7662" s="508">
        <v>0.05</v>
      </c>
      <c r="AH7662" s="508">
        <v>0.05</v>
      </c>
      <c r="AI7662" s="492">
        <v>0.05</v>
      </c>
      <c r="AJ7662" s="485"/>
    </row>
    <row r="7663" spans="2:36">
      <c r="B7663" s="136" t="s">
        <v>478</v>
      </c>
      <c r="C7663" s="132" t="s">
        <v>1373</v>
      </c>
      <c r="D7663" s="132" t="s">
        <v>1381</v>
      </c>
      <c r="E7663" s="508">
        <v>1.544</v>
      </c>
      <c r="F7663" s="508">
        <v>1.57</v>
      </c>
      <c r="G7663" s="508">
        <v>1.472</v>
      </c>
      <c r="H7663" s="508">
        <v>1.7589999999999999</v>
      </c>
      <c r="I7663" s="508">
        <v>1.7909999999999999</v>
      </c>
      <c r="J7663" s="508">
        <v>1.65</v>
      </c>
      <c r="K7663" s="508">
        <v>1.8240000000000001</v>
      </c>
      <c r="L7663" s="508">
        <v>1.675</v>
      </c>
      <c r="M7663" s="508">
        <v>1.736</v>
      </c>
      <c r="N7663" s="508">
        <v>1.661</v>
      </c>
      <c r="O7663" s="508">
        <v>1.5960000000000001</v>
      </c>
      <c r="P7663" s="508">
        <v>1.48</v>
      </c>
      <c r="Q7663" s="508">
        <v>1.4450000000000001</v>
      </c>
      <c r="R7663" s="508">
        <v>1.583</v>
      </c>
      <c r="S7663" s="508">
        <v>1.7</v>
      </c>
      <c r="T7663" s="508">
        <v>1.583</v>
      </c>
      <c r="U7663" s="508">
        <v>1.641</v>
      </c>
      <c r="V7663" s="508">
        <v>1.593</v>
      </c>
      <c r="W7663" s="508">
        <v>0.96099999999999997</v>
      </c>
      <c r="X7663" s="508">
        <v>0.96199999999999997</v>
      </c>
      <c r="Y7663" s="508">
        <v>0.94799999999999995</v>
      </c>
      <c r="Z7663" s="508">
        <v>0.94499999999999995</v>
      </c>
      <c r="AA7663" s="508">
        <v>0.10299999999999999</v>
      </c>
      <c r="AB7663" s="508">
        <v>0.105</v>
      </c>
      <c r="AC7663" s="508">
        <v>0.1</v>
      </c>
      <c r="AD7663" s="508">
        <v>6.3E-2</v>
      </c>
      <c r="AE7663" s="508">
        <v>6.3E-2</v>
      </c>
      <c r="AF7663" s="508">
        <v>5.2999999999999999E-2</v>
      </c>
      <c r="AG7663" s="508">
        <v>5.1999999999999998E-2</v>
      </c>
      <c r="AH7663" s="508">
        <v>5.1999999999999998E-2</v>
      </c>
      <c r="AI7663" s="492">
        <v>5.1999999999999998E-2</v>
      </c>
      <c r="AJ7663" s="485"/>
    </row>
    <row r="7664" spans="2:36">
      <c r="B7664" s="136" t="s">
        <v>479</v>
      </c>
      <c r="C7664" s="132" t="s">
        <v>1373</v>
      </c>
      <c r="D7664" s="132" t="s">
        <v>1381</v>
      </c>
      <c r="E7664" s="508">
        <v>1.3580000000000001</v>
      </c>
      <c r="F7664" s="508">
        <v>1.389</v>
      </c>
      <c r="G7664" s="508">
        <v>1.3069999999999999</v>
      </c>
      <c r="H7664" s="508">
        <v>1.5720000000000001</v>
      </c>
      <c r="I7664" s="508">
        <v>1.607</v>
      </c>
      <c r="J7664" s="508">
        <v>1.482</v>
      </c>
      <c r="K7664" s="508">
        <v>1.6439999999999999</v>
      </c>
      <c r="L7664" s="508">
        <v>1.5109999999999999</v>
      </c>
      <c r="M7664" s="508">
        <v>1.57</v>
      </c>
      <c r="N7664" s="508">
        <v>1.504</v>
      </c>
      <c r="O7664" s="508">
        <v>1.4470000000000001</v>
      </c>
      <c r="P7664" s="508">
        <v>1.3440000000000001</v>
      </c>
      <c r="Q7664" s="508">
        <v>1.3140000000000001</v>
      </c>
      <c r="R7664" s="508">
        <v>1.4419999999999999</v>
      </c>
      <c r="S7664" s="508">
        <v>1.55</v>
      </c>
      <c r="T7664" s="508">
        <v>1.45</v>
      </c>
      <c r="U7664" s="508">
        <v>1.5069999999999999</v>
      </c>
      <c r="V7664" s="508">
        <v>1.4670000000000001</v>
      </c>
      <c r="W7664" s="508">
        <v>0.873</v>
      </c>
      <c r="X7664" s="508">
        <v>0.876</v>
      </c>
      <c r="Y7664" s="508">
        <v>0.86399999999999999</v>
      </c>
      <c r="Z7664" s="508">
        <v>0.86299999999999999</v>
      </c>
      <c r="AA7664" s="508">
        <v>8.8999999999999996E-2</v>
      </c>
      <c r="AB7664" s="508">
        <v>9.1999999999999998E-2</v>
      </c>
      <c r="AC7664" s="508">
        <v>8.6999999999999994E-2</v>
      </c>
      <c r="AD7664" s="508">
        <v>5.3999999999999999E-2</v>
      </c>
      <c r="AE7664" s="508">
        <v>5.2999999999999999E-2</v>
      </c>
      <c r="AF7664" s="508">
        <v>4.3999999999999997E-2</v>
      </c>
      <c r="AG7664" s="508">
        <v>4.3999999999999997E-2</v>
      </c>
      <c r="AH7664" s="508">
        <v>4.3999999999999997E-2</v>
      </c>
      <c r="AI7664" s="492">
        <v>4.3999999999999997E-2</v>
      </c>
      <c r="AJ7664" s="485"/>
    </row>
    <row r="7665" spans="2:36">
      <c r="B7665" s="136" t="s">
        <v>480</v>
      </c>
      <c r="C7665" s="132" t="s">
        <v>1373</v>
      </c>
      <c r="D7665" s="132" t="s">
        <v>1381</v>
      </c>
      <c r="E7665" s="508">
        <v>1.365</v>
      </c>
      <c r="F7665" s="508">
        <v>1.3819999999999999</v>
      </c>
      <c r="G7665" s="508">
        <v>1.3009999999999999</v>
      </c>
      <c r="H7665" s="508">
        <v>1.5289999999999999</v>
      </c>
      <c r="I7665" s="508">
        <v>1.5529999999999999</v>
      </c>
      <c r="J7665" s="508">
        <v>1.4379999999999999</v>
      </c>
      <c r="K7665" s="508">
        <v>1.5760000000000001</v>
      </c>
      <c r="L7665" s="508">
        <v>1.4550000000000001</v>
      </c>
      <c r="M7665" s="508">
        <v>1.5029999999999999</v>
      </c>
      <c r="N7665" s="508">
        <v>1.4419999999999999</v>
      </c>
      <c r="O7665" s="508">
        <v>1.389</v>
      </c>
      <c r="P7665" s="508">
        <v>1.2949999999999999</v>
      </c>
      <c r="Q7665" s="508">
        <v>1.266</v>
      </c>
      <c r="R7665" s="508">
        <v>1.377</v>
      </c>
      <c r="S7665" s="508">
        <v>1.47</v>
      </c>
      <c r="T7665" s="508">
        <v>1.373</v>
      </c>
      <c r="U7665" s="508">
        <v>1.417</v>
      </c>
      <c r="V7665" s="508">
        <v>1.3779999999999999</v>
      </c>
      <c r="W7665" s="508">
        <v>0.81899999999999995</v>
      </c>
      <c r="X7665" s="508">
        <v>0.82</v>
      </c>
      <c r="Y7665" s="508">
        <v>0.80700000000000005</v>
      </c>
      <c r="Z7665" s="508">
        <v>0.80400000000000005</v>
      </c>
      <c r="AA7665" s="508">
        <v>8.8999999999999996E-2</v>
      </c>
      <c r="AB7665" s="508">
        <v>9.0999999999999998E-2</v>
      </c>
      <c r="AC7665" s="508">
        <v>8.5999999999999993E-2</v>
      </c>
      <c r="AD7665" s="508">
        <v>5.5E-2</v>
      </c>
      <c r="AE7665" s="508">
        <v>5.3999999999999999E-2</v>
      </c>
      <c r="AF7665" s="508">
        <v>4.5999999999999999E-2</v>
      </c>
      <c r="AG7665" s="508">
        <v>4.5999999999999999E-2</v>
      </c>
      <c r="AH7665" s="508">
        <v>4.5999999999999999E-2</v>
      </c>
      <c r="AI7665" s="492">
        <v>4.5999999999999999E-2</v>
      </c>
      <c r="AJ7665" s="485"/>
    </row>
    <row r="7666" spans="2:36">
      <c r="B7666" s="136" t="s">
        <v>481</v>
      </c>
      <c r="C7666" s="132" t="s">
        <v>1373</v>
      </c>
      <c r="D7666" s="132" t="s">
        <v>1381</v>
      </c>
      <c r="E7666" s="508">
        <v>1.409</v>
      </c>
      <c r="F7666" s="508">
        <v>1.4379999999999999</v>
      </c>
      <c r="G7666" s="508">
        <v>1.3520000000000001</v>
      </c>
      <c r="H7666" s="508">
        <v>1.621</v>
      </c>
      <c r="I7666" s="508">
        <v>1.655</v>
      </c>
      <c r="J7666" s="508">
        <v>1.526</v>
      </c>
      <c r="K7666" s="508">
        <v>1.69</v>
      </c>
      <c r="L7666" s="508">
        <v>1.554</v>
      </c>
      <c r="M7666" s="508">
        <v>1.613</v>
      </c>
      <c r="N7666" s="508">
        <v>1.544</v>
      </c>
      <c r="O7666" s="508">
        <v>1.486</v>
      </c>
      <c r="P7666" s="508">
        <v>1.379</v>
      </c>
      <c r="Q7666" s="508">
        <v>1.3480000000000001</v>
      </c>
      <c r="R7666" s="508">
        <v>1.478</v>
      </c>
      <c r="S7666" s="508">
        <v>1.587</v>
      </c>
      <c r="T7666" s="508">
        <v>1.4830000000000001</v>
      </c>
      <c r="U7666" s="508">
        <v>1.54</v>
      </c>
      <c r="V7666" s="508">
        <v>1.498</v>
      </c>
      <c r="W7666" s="508">
        <v>0.89500000000000002</v>
      </c>
      <c r="X7666" s="508">
        <v>0.89700000000000002</v>
      </c>
      <c r="Y7666" s="508">
        <v>0.88500000000000001</v>
      </c>
      <c r="Z7666" s="508">
        <v>0.88300000000000001</v>
      </c>
      <c r="AA7666" s="508">
        <v>9.2999999999999999E-2</v>
      </c>
      <c r="AB7666" s="508">
        <v>9.5000000000000001E-2</v>
      </c>
      <c r="AC7666" s="508">
        <v>9.0999999999999998E-2</v>
      </c>
      <c r="AD7666" s="508">
        <v>5.6000000000000001E-2</v>
      </c>
      <c r="AE7666" s="508">
        <v>5.6000000000000001E-2</v>
      </c>
      <c r="AF7666" s="508">
        <v>4.7E-2</v>
      </c>
      <c r="AG7666" s="508">
        <v>4.5999999999999999E-2</v>
      </c>
      <c r="AH7666" s="508">
        <v>4.5999999999999999E-2</v>
      </c>
      <c r="AI7666" s="492">
        <v>4.5999999999999999E-2</v>
      </c>
      <c r="AJ7666" s="485"/>
    </row>
    <row r="7667" spans="2:36">
      <c r="B7667" s="136" t="s">
        <v>482</v>
      </c>
      <c r="C7667" s="132" t="s">
        <v>1373</v>
      </c>
      <c r="D7667" s="132" t="s">
        <v>1381</v>
      </c>
      <c r="E7667" s="508">
        <v>1.353</v>
      </c>
      <c r="F7667" s="508">
        <v>1.387</v>
      </c>
      <c r="G7667" s="508">
        <v>1.3049999999999999</v>
      </c>
      <c r="H7667" s="508">
        <v>1.577</v>
      </c>
      <c r="I7667" s="508">
        <v>1.613</v>
      </c>
      <c r="J7667" s="508">
        <v>1.488</v>
      </c>
      <c r="K7667" s="508">
        <v>1.653</v>
      </c>
      <c r="L7667" s="508">
        <v>1.5189999999999999</v>
      </c>
      <c r="M7667" s="508">
        <v>1.58</v>
      </c>
      <c r="N7667" s="508">
        <v>1.5129999999999999</v>
      </c>
      <c r="O7667" s="508">
        <v>1.456</v>
      </c>
      <c r="P7667" s="508">
        <v>1.351</v>
      </c>
      <c r="Q7667" s="508">
        <v>1.321</v>
      </c>
      <c r="R7667" s="508">
        <v>1.452</v>
      </c>
      <c r="S7667" s="508">
        <v>1.5620000000000001</v>
      </c>
      <c r="T7667" s="508">
        <v>1.462</v>
      </c>
      <c r="U7667" s="508">
        <v>1.5209999999999999</v>
      </c>
      <c r="V7667" s="508">
        <v>1.482</v>
      </c>
      <c r="W7667" s="508">
        <v>0.88100000000000001</v>
      </c>
      <c r="X7667" s="508">
        <v>0.88500000000000001</v>
      </c>
      <c r="Y7667" s="508">
        <v>0.873</v>
      </c>
      <c r="Z7667" s="508">
        <v>0.873</v>
      </c>
      <c r="AA7667" s="508">
        <v>8.8999999999999996E-2</v>
      </c>
      <c r="AB7667" s="508">
        <v>9.1999999999999998E-2</v>
      </c>
      <c r="AC7667" s="508">
        <v>8.6999999999999994E-2</v>
      </c>
      <c r="AD7667" s="508">
        <v>5.2999999999999999E-2</v>
      </c>
      <c r="AE7667" s="508">
        <v>5.2999999999999999E-2</v>
      </c>
      <c r="AF7667" s="508">
        <v>4.3999999999999997E-2</v>
      </c>
      <c r="AG7667" s="508">
        <v>4.3999999999999997E-2</v>
      </c>
      <c r="AH7667" s="508">
        <v>4.3999999999999997E-2</v>
      </c>
      <c r="AI7667" s="492">
        <v>4.3999999999999997E-2</v>
      </c>
      <c r="AJ7667" s="485"/>
    </row>
    <row r="7668" spans="2:36">
      <c r="B7668" s="136" t="s">
        <v>483</v>
      </c>
      <c r="C7668" s="132" t="s">
        <v>1373</v>
      </c>
      <c r="D7668" s="132" t="s">
        <v>1381</v>
      </c>
      <c r="E7668" s="508">
        <v>1.5429999999999999</v>
      </c>
      <c r="F7668" s="508">
        <v>1.5680000000000001</v>
      </c>
      <c r="G7668" s="508">
        <v>1.47</v>
      </c>
      <c r="H7668" s="508">
        <v>1.754</v>
      </c>
      <c r="I7668" s="508">
        <v>1.786</v>
      </c>
      <c r="J7668" s="508">
        <v>1.645</v>
      </c>
      <c r="K7668" s="508">
        <v>1.8180000000000001</v>
      </c>
      <c r="L7668" s="508">
        <v>1.669</v>
      </c>
      <c r="M7668" s="508">
        <v>1.73</v>
      </c>
      <c r="N7668" s="508">
        <v>1.655</v>
      </c>
      <c r="O7668" s="508">
        <v>1.59</v>
      </c>
      <c r="P7668" s="508">
        <v>1.4750000000000001</v>
      </c>
      <c r="Q7668" s="508">
        <v>1.44</v>
      </c>
      <c r="R7668" s="508">
        <v>1.5780000000000001</v>
      </c>
      <c r="S7668" s="508">
        <v>1.6930000000000001</v>
      </c>
      <c r="T7668" s="508">
        <v>1.5760000000000001</v>
      </c>
      <c r="U7668" s="508">
        <v>1.633</v>
      </c>
      <c r="V7668" s="508">
        <v>1.5860000000000001</v>
      </c>
      <c r="W7668" s="508">
        <v>0.95699999999999996</v>
      </c>
      <c r="X7668" s="508">
        <v>0.95799999999999996</v>
      </c>
      <c r="Y7668" s="508">
        <v>0.94299999999999995</v>
      </c>
      <c r="Z7668" s="508">
        <v>0.94</v>
      </c>
      <c r="AA7668" s="508">
        <v>0.10299999999999999</v>
      </c>
      <c r="AB7668" s="508">
        <v>0.105</v>
      </c>
      <c r="AC7668" s="508">
        <v>0.1</v>
      </c>
      <c r="AD7668" s="508">
        <v>6.3E-2</v>
      </c>
      <c r="AE7668" s="508">
        <v>6.3E-2</v>
      </c>
      <c r="AF7668" s="508">
        <v>5.2999999999999999E-2</v>
      </c>
      <c r="AG7668" s="508">
        <v>5.1999999999999998E-2</v>
      </c>
      <c r="AH7668" s="508">
        <v>5.1999999999999998E-2</v>
      </c>
      <c r="AI7668" s="492">
        <v>5.1999999999999998E-2</v>
      </c>
      <c r="AJ7668" s="485"/>
    </row>
    <row r="7669" spans="2:36">
      <c r="B7669" s="136" t="s">
        <v>484</v>
      </c>
      <c r="C7669" s="132" t="s">
        <v>1373</v>
      </c>
      <c r="D7669" s="132" t="s">
        <v>1381</v>
      </c>
      <c r="E7669" s="508">
        <v>1.393</v>
      </c>
      <c r="F7669" s="508">
        <v>1.411</v>
      </c>
      <c r="G7669" s="508">
        <v>1.327</v>
      </c>
      <c r="H7669" s="508">
        <v>1.5609999999999999</v>
      </c>
      <c r="I7669" s="508">
        <v>1.585</v>
      </c>
      <c r="J7669" s="508">
        <v>1.4670000000000001</v>
      </c>
      <c r="K7669" s="508">
        <v>1.609</v>
      </c>
      <c r="L7669" s="508">
        <v>1.484</v>
      </c>
      <c r="M7669" s="508">
        <v>1.5329999999999999</v>
      </c>
      <c r="N7669" s="508">
        <v>1.47</v>
      </c>
      <c r="O7669" s="508">
        <v>1.4159999999999999</v>
      </c>
      <c r="P7669" s="508">
        <v>1.319</v>
      </c>
      <c r="Q7669" s="508">
        <v>1.29</v>
      </c>
      <c r="R7669" s="508">
        <v>1.403</v>
      </c>
      <c r="S7669" s="508">
        <v>1.498</v>
      </c>
      <c r="T7669" s="508">
        <v>1.3979999999999999</v>
      </c>
      <c r="U7669" s="508">
        <v>1.444</v>
      </c>
      <c r="V7669" s="508">
        <v>1.403</v>
      </c>
      <c r="W7669" s="508">
        <v>0.83599999999999997</v>
      </c>
      <c r="X7669" s="508">
        <v>0.83699999999999997</v>
      </c>
      <c r="Y7669" s="508">
        <v>0.82399999999999995</v>
      </c>
      <c r="Z7669" s="508">
        <v>0.82099999999999995</v>
      </c>
      <c r="AA7669" s="508">
        <v>9.0999999999999998E-2</v>
      </c>
      <c r="AB7669" s="508">
        <v>9.2999999999999999E-2</v>
      </c>
      <c r="AC7669" s="508">
        <v>8.7999999999999995E-2</v>
      </c>
      <c r="AD7669" s="508">
        <v>5.7000000000000002E-2</v>
      </c>
      <c r="AE7669" s="508">
        <v>5.6000000000000001E-2</v>
      </c>
      <c r="AF7669" s="508">
        <v>4.7E-2</v>
      </c>
      <c r="AG7669" s="508">
        <v>4.7E-2</v>
      </c>
      <c r="AH7669" s="508">
        <v>4.7E-2</v>
      </c>
      <c r="AI7669" s="492">
        <v>4.7E-2</v>
      </c>
      <c r="AJ7669" s="485"/>
    </row>
    <row r="7670" spans="2:36">
      <c r="B7670" s="136" t="s">
        <v>486</v>
      </c>
      <c r="C7670" s="132" t="s">
        <v>1373</v>
      </c>
      <c r="D7670" s="132" t="s">
        <v>1381</v>
      </c>
      <c r="E7670" s="508">
        <v>1.4259999999999999</v>
      </c>
      <c r="F7670" s="508">
        <v>1.454</v>
      </c>
      <c r="G7670" s="508">
        <v>1.3660000000000001</v>
      </c>
      <c r="H7670" s="508">
        <v>1.6359999999999999</v>
      </c>
      <c r="I7670" s="508">
        <v>1.6679999999999999</v>
      </c>
      <c r="J7670" s="508">
        <v>1.5389999999999999</v>
      </c>
      <c r="K7670" s="508">
        <v>1.7030000000000001</v>
      </c>
      <c r="L7670" s="508">
        <v>1.5649999999999999</v>
      </c>
      <c r="M7670" s="508">
        <v>1.6240000000000001</v>
      </c>
      <c r="N7670" s="508">
        <v>1.5549999999999999</v>
      </c>
      <c r="O7670" s="508">
        <v>1.496</v>
      </c>
      <c r="P7670" s="508">
        <v>1.389</v>
      </c>
      <c r="Q7670" s="508">
        <v>1.357</v>
      </c>
      <c r="R7670" s="508">
        <v>1.4870000000000001</v>
      </c>
      <c r="S7670" s="508">
        <v>1.597</v>
      </c>
      <c r="T7670" s="508">
        <v>1.4910000000000001</v>
      </c>
      <c r="U7670" s="508">
        <v>1.5469999999999999</v>
      </c>
      <c r="V7670" s="508">
        <v>1.5049999999999999</v>
      </c>
      <c r="W7670" s="508">
        <v>0.9</v>
      </c>
      <c r="X7670" s="508">
        <v>0.90200000000000002</v>
      </c>
      <c r="Y7670" s="508">
        <v>0.88900000000000001</v>
      </c>
      <c r="Z7670" s="508">
        <v>0.88700000000000001</v>
      </c>
      <c r="AA7670" s="508">
        <v>9.4E-2</v>
      </c>
      <c r="AB7670" s="508">
        <v>9.6000000000000002E-2</v>
      </c>
      <c r="AC7670" s="508">
        <v>9.1999999999999998E-2</v>
      </c>
      <c r="AD7670" s="508">
        <v>5.7000000000000002E-2</v>
      </c>
      <c r="AE7670" s="508">
        <v>5.7000000000000002E-2</v>
      </c>
      <c r="AF7670" s="508">
        <v>4.7E-2</v>
      </c>
      <c r="AG7670" s="508">
        <v>4.7E-2</v>
      </c>
      <c r="AH7670" s="508">
        <v>4.7E-2</v>
      </c>
      <c r="AI7670" s="492">
        <v>4.7E-2</v>
      </c>
      <c r="AJ7670" s="485"/>
    </row>
    <row r="7671" spans="2:36">
      <c r="B7671" s="136" t="s">
        <v>487</v>
      </c>
      <c r="C7671" s="132" t="s">
        <v>1373</v>
      </c>
      <c r="D7671" s="132" t="s">
        <v>1381</v>
      </c>
      <c r="E7671" s="508">
        <v>1.4630000000000001</v>
      </c>
      <c r="F7671" s="508">
        <v>1.486</v>
      </c>
      <c r="G7671" s="508">
        <v>1.3959999999999999</v>
      </c>
      <c r="H7671" s="508">
        <v>1.661</v>
      </c>
      <c r="I7671" s="508">
        <v>1.6910000000000001</v>
      </c>
      <c r="J7671" s="508">
        <v>1.56</v>
      </c>
      <c r="K7671" s="508">
        <v>1.7210000000000001</v>
      </c>
      <c r="L7671" s="508">
        <v>1.583</v>
      </c>
      <c r="M7671" s="508">
        <v>1.64</v>
      </c>
      <c r="N7671" s="508">
        <v>1.57</v>
      </c>
      <c r="O7671" s="508">
        <v>1.51</v>
      </c>
      <c r="P7671" s="508">
        <v>1.403</v>
      </c>
      <c r="Q7671" s="508">
        <v>1.371</v>
      </c>
      <c r="R7671" s="508">
        <v>1.4990000000000001</v>
      </c>
      <c r="S7671" s="508">
        <v>1.607</v>
      </c>
      <c r="T7671" s="508">
        <v>1.4990000000000001</v>
      </c>
      <c r="U7671" s="508">
        <v>1.552</v>
      </c>
      <c r="V7671" s="508">
        <v>1.508</v>
      </c>
      <c r="W7671" s="508">
        <v>0.90400000000000003</v>
      </c>
      <c r="X7671" s="508">
        <v>0.90600000000000003</v>
      </c>
      <c r="Y7671" s="508">
        <v>0.89200000000000002</v>
      </c>
      <c r="Z7671" s="508">
        <v>0.89</v>
      </c>
      <c r="AA7671" s="508">
        <v>9.7000000000000003E-2</v>
      </c>
      <c r="AB7671" s="508">
        <v>9.9000000000000005E-2</v>
      </c>
      <c r="AC7671" s="508">
        <v>9.4E-2</v>
      </c>
      <c r="AD7671" s="508">
        <v>5.8999999999999997E-2</v>
      </c>
      <c r="AE7671" s="508">
        <v>5.8999999999999997E-2</v>
      </c>
      <c r="AF7671" s="508">
        <v>4.9000000000000002E-2</v>
      </c>
      <c r="AG7671" s="508">
        <v>4.9000000000000002E-2</v>
      </c>
      <c r="AH7671" s="508">
        <v>4.9000000000000002E-2</v>
      </c>
      <c r="AI7671" s="492">
        <v>4.9000000000000002E-2</v>
      </c>
      <c r="AJ7671" s="485"/>
    </row>
    <row r="7672" spans="2:36">
      <c r="B7672" s="136" t="s">
        <v>488</v>
      </c>
      <c r="C7672" s="132" t="s">
        <v>1373</v>
      </c>
      <c r="D7672" s="132" t="s">
        <v>1381</v>
      </c>
      <c r="E7672" s="508">
        <v>1.363</v>
      </c>
      <c r="F7672" s="508">
        <v>1.3859999999999999</v>
      </c>
      <c r="G7672" s="508">
        <v>1.3049999999999999</v>
      </c>
      <c r="H7672" s="508">
        <v>1.548</v>
      </c>
      <c r="I7672" s="508">
        <v>1.5760000000000001</v>
      </c>
      <c r="J7672" s="508">
        <v>1.4570000000000001</v>
      </c>
      <c r="K7672" s="508">
        <v>1.605</v>
      </c>
      <c r="L7672" s="508">
        <v>1.4790000000000001</v>
      </c>
      <c r="M7672" s="508">
        <v>1.532</v>
      </c>
      <c r="N7672" s="508">
        <v>1.468</v>
      </c>
      <c r="O7672" s="508">
        <v>1.4139999999999999</v>
      </c>
      <c r="P7672" s="508">
        <v>1.3160000000000001</v>
      </c>
      <c r="Q7672" s="508">
        <v>1.2869999999999999</v>
      </c>
      <c r="R7672" s="508">
        <v>1.4039999999999999</v>
      </c>
      <c r="S7672" s="508">
        <v>1.5029999999999999</v>
      </c>
      <c r="T7672" s="508">
        <v>1.405</v>
      </c>
      <c r="U7672" s="508">
        <v>1.4550000000000001</v>
      </c>
      <c r="V7672" s="508">
        <v>1.415</v>
      </c>
      <c r="W7672" s="508">
        <v>0.84199999999999997</v>
      </c>
      <c r="X7672" s="508">
        <v>0.84299999999999997</v>
      </c>
      <c r="Y7672" s="508">
        <v>0.83099999999999996</v>
      </c>
      <c r="Z7672" s="508">
        <v>0.82899999999999996</v>
      </c>
      <c r="AA7672" s="508">
        <v>8.8999999999999996E-2</v>
      </c>
      <c r="AB7672" s="508">
        <v>9.0999999999999998E-2</v>
      </c>
      <c r="AC7672" s="508">
        <v>8.6999999999999994E-2</v>
      </c>
      <c r="AD7672" s="508">
        <v>5.5E-2</v>
      </c>
      <c r="AE7672" s="508">
        <v>5.3999999999999999E-2</v>
      </c>
      <c r="AF7672" s="508">
        <v>4.4999999999999998E-2</v>
      </c>
      <c r="AG7672" s="508">
        <v>4.4999999999999998E-2</v>
      </c>
      <c r="AH7672" s="508">
        <v>4.4999999999999998E-2</v>
      </c>
      <c r="AI7672" s="492">
        <v>4.4999999999999998E-2</v>
      </c>
      <c r="AJ7672" s="485"/>
    </row>
    <row r="7673" spans="2:36">
      <c r="B7673" s="136" t="s">
        <v>489</v>
      </c>
      <c r="C7673" s="132" t="s">
        <v>1373</v>
      </c>
      <c r="D7673" s="132" t="s">
        <v>1381</v>
      </c>
      <c r="E7673" s="508">
        <v>1.4630000000000001</v>
      </c>
      <c r="F7673" s="508">
        <v>1.4830000000000001</v>
      </c>
      <c r="G7673" s="508">
        <v>1.393</v>
      </c>
      <c r="H7673" s="508">
        <v>1.6459999999999999</v>
      </c>
      <c r="I7673" s="508">
        <v>1.6739999999999999</v>
      </c>
      <c r="J7673" s="508">
        <v>1.546</v>
      </c>
      <c r="K7673" s="508">
        <v>1.7</v>
      </c>
      <c r="L7673" s="508">
        <v>1.5649999999999999</v>
      </c>
      <c r="M7673" s="508">
        <v>1.619</v>
      </c>
      <c r="N7673" s="508">
        <v>1.55</v>
      </c>
      <c r="O7673" s="508">
        <v>1.4910000000000001</v>
      </c>
      <c r="P7673" s="508">
        <v>1.387</v>
      </c>
      <c r="Q7673" s="508">
        <v>1.355</v>
      </c>
      <c r="R7673" s="508">
        <v>1.478</v>
      </c>
      <c r="S7673" s="508">
        <v>1.5820000000000001</v>
      </c>
      <c r="T7673" s="508">
        <v>1.474</v>
      </c>
      <c r="U7673" s="508">
        <v>1.524</v>
      </c>
      <c r="V7673" s="508">
        <v>1.48</v>
      </c>
      <c r="W7673" s="508">
        <v>0.88800000000000001</v>
      </c>
      <c r="X7673" s="508">
        <v>0.88800000000000001</v>
      </c>
      <c r="Y7673" s="508">
        <v>0.874</v>
      </c>
      <c r="Z7673" s="508">
        <v>0.871</v>
      </c>
      <c r="AA7673" s="508">
        <v>9.6000000000000002E-2</v>
      </c>
      <c r="AB7673" s="508">
        <v>9.8000000000000004E-2</v>
      </c>
      <c r="AC7673" s="508">
        <v>9.2999999999999999E-2</v>
      </c>
      <c r="AD7673" s="508">
        <v>0.06</v>
      </c>
      <c r="AE7673" s="508">
        <v>5.8999999999999997E-2</v>
      </c>
      <c r="AF7673" s="508">
        <v>0.05</v>
      </c>
      <c r="AG7673" s="508">
        <v>4.9000000000000002E-2</v>
      </c>
      <c r="AH7673" s="508">
        <v>4.9000000000000002E-2</v>
      </c>
      <c r="AI7673" s="492">
        <v>4.9000000000000002E-2</v>
      </c>
      <c r="AJ7673" s="485"/>
    </row>
    <row r="7674" spans="2:36">
      <c r="B7674" s="136" t="s">
        <v>490</v>
      </c>
      <c r="C7674" s="132" t="s">
        <v>1373</v>
      </c>
      <c r="D7674" s="132" t="s">
        <v>1381</v>
      </c>
      <c r="E7674" s="508">
        <v>1.3779999999999999</v>
      </c>
      <c r="F7674" s="508">
        <v>1.395</v>
      </c>
      <c r="G7674" s="508">
        <v>1.3129999999999999</v>
      </c>
      <c r="H7674" s="508">
        <v>1.54</v>
      </c>
      <c r="I7674" s="508">
        <v>1.5640000000000001</v>
      </c>
      <c r="J7674" s="508">
        <v>1.448</v>
      </c>
      <c r="K7674" s="508">
        <v>1.5860000000000001</v>
      </c>
      <c r="L7674" s="508">
        <v>1.464</v>
      </c>
      <c r="M7674" s="508">
        <v>1.512</v>
      </c>
      <c r="N7674" s="508">
        <v>1.45</v>
      </c>
      <c r="O7674" s="508">
        <v>1.397</v>
      </c>
      <c r="P7674" s="508">
        <v>1.3029999999999999</v>
      </c>
      <c r="Q7674" s="508">
        <v>1.274</v>
      </c>
      <c r="R7674" s="508">
        <v>1.3839999999999999</v>
      </c>
      <c r="S7674" s="508">
        <v>1.478</v>
      </c>
      <c r="T7674" s="508">
        <v>1.379</v>
      </c>
      <c r="U7674" s="508">
        <v>1.423</v>
      </c>
      <c r="V7674" s="508">
        <v>1.383</v>
      </c>
      <c r="W7674" s="508">
        <v>0.82299999999999995</v>
      </c>
      <c r="X7674" s="508">
        <v>0.82399999999999995</v>
      </c>
      <c r="Y7674" s="508">
        <v>0.81100000000000005</v>
      </c>
      <c r="Z7674" s="508">
        <v>0.80800000000000005</v>
      </c>
      <c r="AA7674" s="508">
        <v>0.09</v>
      </c>
      <c r="AB7674" s="508">
        <v>9.0999999999999998E-2</v>
      </c>
      <c r="AC7674" s="508">
        <v>8.6999999999999994E-2</v>
      </c>
      <c r="AD7674" s="508">
        <v>5.6000000000000001E-2</v>
      </c>
      <c r="AE7674" s="508">
        <v>5.5E-2</v>
      </c>
      <c r="AF7674" s="508">
        <v>4.5999999999999999E-2</v>
      </c>
      <c r="AG7674" s="508">
        <v>4.5999999999999999E-2</v>
      </c>
      <c r="AH7674" s="508">
        <v>4.5999999999999999E-2</v>
      </c>
      <c r="AI7674" s="492">
        <v>4.5999999999999999E-2</v>
      </c>
      <c r="AJ7674" s="485"/>
    </row>
    <row r="7675" spans="2:36">
      <c r="B7675" s="136" t="s">
        <v>435</v>
      </c>
      <c r="C7675" s="132" t="s">
        <v>1374</v>
      </c>
      <c r="D7675" s="132" t="s">
        <v>1381</v>
      </c>
      <c r="E7675" s="508">
        <v>4.4340000000000002</v>
      </c>
      <c r="F7675" s="508">
        <v>3.72</v>
      </c>
      <c r="G7675" s="508">
        <v>3.298</v>
      </c>
      <c r="H7675" s="508">
        <v>3.3809999999999998</v>
      </c>
      <c r="I7675" s="508">
        <v>3.3660000000000001</v>
      </c>
      <c r="J7675" s="508">
        <v>3.07</v>
      </c>
      <c r="K7675" s="508">
        <v>2.9039999999999999</v>
      </c>
      <c r="L7675" s="508">
        <v>2.8570000000000002</v>
      </c>
      <c r="M7675" s="508">
        <v>2.7909999999999999</v>
      </c>
      <c r="N7675" s="508">
        <v>2.7480000000000002</v>
      </c>
      <c r="O7675" s="508">
        <v>2.5049999999999999</v>
      </c>
      <c r="P7675" s="508">
        <v>2.8079999999999998</v>
      </c>
      <c r="Q7675" s="508">
        <v>2.37</v>
      </c>
      <c r="R7675" s="508">
        <v>1.5209999999999999</v>
      </c>
      <c r="S7675" s="508">
        <v>1.4</v>
      </c>
      <c r="T7675" s="508">
        <v>1.421</v>
      </c>
      <c r="U7675" s="508">
        <v>0.995</v>
      </c>
      <c r="V7675" s="508">
        <v>1.099</v>
      </c>
      <c r="W7675" s="508"/>
      <c r="X7675" s="508">
        <v>0.99</v>
      </c>
      <c r="Y7675" s="508"/>
      <c r="Z7675" s="508"/>
      <c r="AA7675" s="508"/>
      <c r="AB7675" s="508"/>
      <c r="AC7675" s="508"/>
      <c r="AD7675" s="508"/>
      <c r="AE7675" s="508"/>
      <c r="AF7675" s="508"/>
      <c r="AG7675" s="508"/>
      <c r="AH7675" s="508"/>
      <c r="AI7675" s="492"/>
      <c r="AJ7675" s="485"/>
    </row>
    <row r="7676" spans="2:36">
      <c r="B7676" s="136" t="s">
        <v>436</v>
      </c>
      <c r="C7676" s="132" t="s">
        <v>1374</v>
      </c>
      <c r="D7676" s="132" t="s">
        <v>1381</v>
      </c>
      <c r="E7676" s="508">
        <v>5.0259999999999998</v>
      </c>
      <c r="F7676" s="508">
        <v>3.7469999999999999</v>
      </c>
      <c r="G7676" s="508">
        <v>3.335</v>
      </c>
      <c r="H7676" s="508">
        <v>3.3959999999999999</v>
      </c>
      <c r="I7676" s="508">
        <v>3.3610000000000002</v>
      </c>
      <c r="J7676" s="508">
        <v>3.1459999999999999</v>
      </c>
      <c r="K7676" s="508">
        <v>2.976</v>
      </c>
      <c r="L7676" s="508">
        <v>2.9159999999999999</v>
      </c>
      <c r="M7676" s="508">
        <v>2.84</v>
      </c>
      <c r="N7676" s="508">
        <v>2.7879999999999998</v>
      </c>
      <c r="O7676" s="508">
        <v>2.5550000000000002</v>
      </c>
      <c r="P7676" s="508">
        <v>2.8370000000000002</v>
      </c>
      <c r="Q7676" s="508">
        <v>2.4329999999999998</v>
      </c>
      <c r="R7676" s="508">
        <v>1.6040000000000001</v>
      </c>
      <c r="S7676" s="508">
        <v>1.4850000000000001</v>
      </c>
      <c r="T7676" s="508">
        <v>1.4630000000000001</v>
      </c>
      <c r="U7676" s="508">
        <v>1.0389999999999999</v>
      </c>
      <c r="V7676" s="508">
        <v>1.1220000000000001</v>
      </c>
      <c r="W7676" s="508"/>
      <c r="X7676" s="508">
        <v>0.995</v>
      </c>
      <c r="Y7676" s="508"/>
      <c r="Z7676" s="508"/>
      <c r="AA7676" s="508"/>
      <c r="AB7676" s="508"/>
      <c r="AC7676" s="508"/>
      <c r="AD7676" s="508"/>
      <c r="AE7676" s="508"/>
      <c r="AF7676" s="508"/>
      <c r="AG7676" s="508"/>
      <c r="AH7676" s="508"/>
      <c r="AI7676" s="492"/>
      <c r="AJ7676" s="485"/>
    </row>
    <row r="7677" spans="2:36">
      <c r="B7677" s="136" t="s">
        <v>437</v>
      </c>
      <c r="C7677" s="132" t="s">
        <v>1374</v>
      </c>
      <c r="D7677" s="132" t="s">
        <v>1381</v>
      </c>
      <c r="E7677" s="508">
        <v>4.1539999999999999</v>
      </c>
      <c r="F7677" s="508">
        <v>3.5640000000000001</v>
      </c>
      <c r="G7677" s="508">
        <v>3.153</v>
      </c>
      <c r="H7677" s="508">
        <v>3.2360000000000002</v>
      </c>
      <c r="I7677" s="508">
        <v>3.2229999999999999</v>
      </c>
      <c r="J7677" s="508">
        <v>2.9329999999999998</v>
      </c>
      <c r="K7677" s="508">
        <v>2.7709999999999999</v>
      </c>
      <c r="L7677" s="508">
        <v>2.7269999999999999</v>
      </c>
      <c r="M7677" s="508">
        <v>2.6640000000000001</v>
      </c>
      <c r="N7677" s="508">
        <v>2.673</v>
      </c>
      <c r="O7677" s="508">
        <v>2.4359999999999999</v>
      </c>
      <c r="P7677" s="508">
        <v>2.7320000000000002</v>
      </c>
      <c r="Q7677" s="508">
        <v>2.306</v>
      </c>
      <c r="R7677" s="508">
        <v>1.478</v>
      </c>
      <c r="S7677" s="508">
        <v>1.361</v>
      </c>
      <c r="T7677" s="508">
        <v>1.385</v>
      </c>
      <c r="U7677" s="508">
        <v>0.91400000000000003</v>
      </c>
      <c r="V7677" s="508">
        <v>1.028</v>
      </c>
      <c r="W7677" s="508"/>
      <c r="X7677" s="508">
        <v>0.91300000000000003</v>
      </c>
      <c r="Y7677" s="508"/>
      <c r="Z7677" s="508"/>
      <c r="AA7677" s="508"/>
      <c r="AB7677" s="508"/>
      <c r="AC7677" s="508"/>
      <c r="AD7677" s="508"/>
      <c r="AE7677" s="508"/>
      <c r="AF7677" s="508"/>
      <c r="AG7677" s="508"/>
      <c r="AH7677" s="508"/>
      <c r="AI7677" s="492"/>
      <c r="AJ7677" s="485"/>
    </row>
    <row r="7678" spans="2:36">
      <c r="B7678" s="136" t="s">
        <v>438</v>
      </c>
      <c r="C7678" s="132" t="s">
        <v>1374</v>
      </c>
      <c r="D7678" s="132" t="s">
        <v>1381</v>
      </c>
      <c r="E7678" s="508">
        <v>4.0270000000000001</v>
      </c>
      <c r="F7678" s="508">
        <v>3.3279999999999998</v>
      </c>
      <c r="G7678" s="508">
        <v>2.95</v>
      </c>
      <c r="H7678" s="508">
        <v>3.0230000000000001</v>
      </c>
      <c r="I7678" s="508">
        <v>3.008</v>
      </c>
      <c r="J7678" s="508">
        <v>2.7839999999999998</v>
      </c>
      <c r="K7678" s="508">
        <v>2.6339999999999999</v>
      </c>
      <c r="L7678" s="508">
        <v>2.5910000000000002</v>
      </c>
      <c r="M7678" s="508">
        <v>2.5310000000000001</v>
      </c>
      <c r="N7678" s="508">
        <v>2.4929999999999999</v>
      </c>
      <c r="O7678" s="508">
        <v>2.2749999999999999</v>
      </c>
      <c r="P7678" s="508">
        <v>2.5459999999999998</v>
      </c>
      <c r="Q7678" s="508">
        <v>2.1560000000000001</v>
      </c>
      <c r="R7678" s="508">
        <v>1.35</v>
      </c>
      <c r="S7678" s="508">
        <v>1.242</v>
      </c>
      <c r="T7678" s="508">
        <v>1.258</v>
      </c>
      <c r="U7678" s="508">
        <v>0.89500000000000002</v>
      </c>
      <c r="V7678" s="508">
        <v>0.99199999999999999</v>
      </c>
      <c r="W7678" s="508"/>
      <c r="X7678" s="508">
        <v>0.88800000000000001</v>
      </c>
      <c r="Y7678" s="508"/>
      <c r="Z7678" s="508"/>
      <c r="AA7678" s="508"/>
      <c r="AB7678" s="508"/>
      <c r="AC7678" s="508"/>
      <c r="AD7678" s="508"/>
      <c r="AE7678" s="508"/>
      <c r="AF7678" s="508"/>
      <c r="AG7678" s="508"/>
      <c r="AH7678" s="508"/>
      <c r="AI7678" s="492"/>
      <c r="AJ7678" s="485"/>
    </row>
    <row r="7679" spans="2:36">
      <c r="B7679" s="136" t="s">
        <v>439</v>
      </c>
      <c r="C7679" s="132" t="s">
        <v>1374</v>
      </c>
      <c r="D7679" s="132" t="s">
        <v>1381</v>
      </c>
      <c r="E7679" s="508">
        <v>4.298</v>
      </c>
      <c r="F7679" s="508">
        <v>3.5329999999999999</v>
      </c>
      <c r="G7679" s="508">
        <v>3.1080000000000001</v>
      </c>
      <c r="H7679" s="508">
        <v>3.1909999999999998</v>
      </c>
      <c r="I7679" s="508">
        <v>3.1760000000000002</v>
      </c>
      <c r="J7679" s="508">
        <v>2.9319999999999999</v>
      </c>
      <c r="K7679" s="508">
        <v>2.7650000000000001</v>
      </c>
      <c r="L7679" s="508">
        <v>2.718</v>
      </c>
      <c r="M7679" s="508">
        <v>2.6520000000000001</v>
      </c>
      <c r="N7679" s="508">
        <v>2.7</v>
      </c>
      <c r="O7679" s="508">
        <v>2.4540000000000002</v>
      </c>
      <c r="P7679" s="508">
        <v>2.7570000000000001</v>
      </c>
      <c r="Q7679" s="508">
        <v>2.3149999999999999</v>
      </c>
      <c r="R7679" s="508">
        <v>1.5049999999999999</v>
      </c>
      <c r="S7679" s="508">
        <v>1.3839999999999999</v>
      </c>
      <c r="T7679" s="508">
        <v>1.407</v>
      </c>
      <c r="U7679" s="508">
        <v>0.85899999999999999</v>
      </c>
      <c r="V7679" s="508">
        <v>0.97899999999999998</v>
      </c>
      <c r="W7679" s="508"/>
      <c r="X7679" s="508">
        <v>0.85499999999999998</v>
      </c>
      <c r="Y7679" s="508"/>
      <c r="Z7679" s="508"/>
      <c r="AA7679" s="508"/>
      <c r="AB7679" s="508"/>
      <c r="AC7679" s="508"/>
      <c r="AD7679" s="508"/>
      <c r="AE7679" s="508"/>
      <c r="AF7679" s="508"/>
      <c r="AG7679" s="508"/>
      <c r="AH7679" s="508"/>
      <c r="AI7679" s="492"/>
      <c r="AJ7679" s="485"/>
    </row>
    <row r="7680" spans="2:36">
      <c r="B7680" s="136" t="s">
        <v>440</v>
      </c>
      <c r="C7680" s="132" t="s">
        <v>1374</v>
      </c>
      <c r="D7680" s="132" t="s">
        <v>1381</v>
      </c>
      <c r="E7680" s="508">
        <v>4.92</v>
      </c>
      <c r="F7680" s="508">
        <v>3.8340000000000001</v>
      </c>
      <c r="G7680" s="508">
        <v>3.4039999999999999</v>
      </c>
      <c r="H7680" s="508">
        <v>3.4790000000000001</v>
      </c>
      <c r="I7680" s="508">
        <v>3.4529999999999998</v>
      </c>
      <c r="J7680" s="508">
        <v>3.1850000000000001</v>
      </c>
      <c r="K7680" s="508">
        <v>3.0110000000000001</v>
      </c>
      <c r="L7680" s="508">
        <v>2.956</v>
      </c>
      <c r="M7680" s="508">
        <v>2.883</v>
      </c>
      <c r="N7680" s="508">
        <v>2.8340000000000001</v>
      </c>
      <c r="O7680" s="508">
        <v>2.589</v>
      </c>
      <c r="P7680" s="508">
        <v>2.89</v>
      </c>
      <c r="Q7680" s="508">
        <v>2.4550000000000001</v>
      </c>
      <c r="R7680" s="508">
        <v>1.61</v>
      </c>
      <c r="S7680" s="508">
        <v>1.4870000000000001</v>
      </c>
      <c r="T7680" s="508">
        <v>1.486</v>
      </c>
      <c r="U7680" s="508">
        <v>1.028</v>
      </c>
      <c r="V7680" s="508">
        <v>1.1259999999999999</v>
      </c>
      <c r="W7680" s="508"/>
      <c r="X7680" s="508">
        <v>1.0049999999999999</v>
      </c>
      <c r="Y7680" s="508"/>
      <c r="Z7680" s="508"/>
      <c r="AA7680" s="508"/>
      <c r="AB7680" s="508"/>
      <c r="AC7680" s="508"/>
      <c r="AD7680" s="508"/>
      <c r="AE7680" s="508"/>
      <c r="AF7680" s="508"/>
      <c r="AG7680" s="508"/>
      <c r="AH7680" s="508"/>
      <c r="AI7680" s="492"/>
      <c r="AJ7680" s="485"/>
    </row>
    <row r="7681" spans="2:36">
      <c r="B7681" s="136" t="s">
        <v>441</v>
      </c>
      <c r="C7681" s="132" t="s">
        <v>1374</v>
      </c>
      <c r="D7681" s="132" t="s">
        <v>1381</v>
      </c>
      <c r="E7681" s="508">
        <v>4.8920000000000003</v>
      </c>
      <c r="F7681" s="508">
        <v>3.8559999999999999</v>
      </c>
      <c r="G7681" s="508">
        <v>3.4159999999999999</v>
      </c>
      <c r="H7681" s="508">
        <v>3.4950000000000001</v>
      </c>
      <c r="I7681" s="508">
        <v>3.472</v>
      </c>
      <c r="J7681" s="508">
        <v>3.1920000000000002</v>
      </c>
      <c r="K7681" s="508">
        <v>3.016</v>
      </c>
      <c r="L7681" s="508">
        <v>2.9620000000000002</v>
      </c>
      <c r="M7681" s="508">
        <v>2.8889999999999998</v>
      </c>
      <c r="N7681" s="508">
        <v>2.84</v>
      </c>
      <c r="O7681" s="508">
        <v>2.5880000000000001</v>
      </c>
      <c r="P7681" s="508">
        <v>2.8959999999999999</v>
      </c>
      <c r="Q7681" s="508">
        <v>2.4489999999999998</v>
      </c>
      <c r="R7681" s="508">
        <v>1.6180000000000001</v>
      </c>
      <c r="S7681" s="508">
        <v>1.492</v>
      </c>
      <c r="T7681" s="508">
        <v>1.498</v>
      </c>
      <c r="U7681" s="508">
        <v>1.103</v>
      </c>
      <c r="V7681" s="508">
        <v>1.21</v>
      </c>
      <c r="W7681" s="508"/>
      <c r="X7681" s="508">
        <v>1.0840000000000001</v>
      </c>
      <c r="Y7681" s="508"/>
      <c r="Z7681" s="508"/>
      <c r="AA7681" s="508"/>
      <c r="AB7681" s="508"/>
      <c r="AC7681" s="508"/>
      <c r="AD7681" s="508"/>
      <c r="AE7681" s="508"/>
      <c r="AF7681" s="508"/>
      <c r="AG7681" s="508"/>
      <c r="AH7681" s="508"/>
      <c r="AI7681" s="492"/>
      <c r="AJ7681" s="485"/>
    </row>
    <row r="7682" spans="2:36">
      <c r="B7682" s="136" t="s">
        <v>443</v>
      </c>
      <c r="C7682" s="132" t="s">
        <v>1374</v>
      </c>
      <c r="D7682" s="132" t="s">
        <v>1381</v>
      </c>
      <c r="E7682" s="508">
        <v>4.7679999999999998</v>
      </c>
      <c r="F7682" s="508">
        <v>3.8370000000000002</v>
      </c>
      <c r="G7682" s="508">
        <v>3.3969999999999998</v>
      </c>
      <c r="H7682" s="508">
        <v>3.4790000000000001</v>
      </c>
      <c r="I7682" s="508">
        <v>3.4590000000000001</v>
      </c>
      <c r="J7682" s="508">
        <v>3.1469999999999998</v>
      </c>
      <c r="K7682" s="508">
        <v>2.972</v>
      </c>
      <c r="L7682" s="508">
        <v>2.92</v>
      </c>
      <c r="M7682" s="508">
        <v>2.8490000000000002</v>
      </c>
      <c r="N7682" s="508">
        <v>2.802</v>
      </c>
      <c r="O7682" s="508">
        <v>2.5499999999999998</v>
      </c>
      <c r="P7682" s="508">
        <v>2.8580000000000001</v>
      </c>
      <c r="Q7682" s="508">
        <v>2.4079999999999999</v>
      </c>
      <c r="R7682" s="508">
        <v>1.611</v>
      </c>
      <c r="S7682" s="508">
        <v>1.4850000000000001</v>
      </c>
      <c r="T7682" s="508">
        <v>1.498</v>
      </c>
      <c r="U7682" s="508">
        <v>1.1080000000000001</v>
      </c>
      <c r="V7682" s="508">
        <v>1.2190000000000001</v>
      </c>
      <c r="W7682" s="508"/>
      <c r="X7682" s="508">
        <v>1.0940000000000001</v>
      </c>
      <c r="Y7682" s="508"/>
      <c r="Z7682" s="508"/>
      <c r="AA7682" s="508"/>
      <c r="AB7682" s="508"/>
      <c r="AC7682" s="508"/>
      <c r="AD7682" s="508"/>
      <c r="AE7682" s="508"/>
      <c r="AF7682" s="508"/>
      <c r="AG7682" s="508"/>
      <c r="AH7682" s="508"/>
      <c r="AI7682" s="492"/>
      <c r="AJ7682" s="485"/>
    </row>
    <row r="7683" spans="2:36">
      <c r="B7683" s="136" t="s">
        <v>445</v>
      </c>
      <c r="C7683" s="132" t="s">
        <v>1374</v>
      </c>
      <c r="D7683" s="132" t="s">
        <v>1381</v>
      </c>
      <c r="E7683" s="508">
        <v>5.4969999999999999</v>
      </c>
      <c r="F7683" s="508">
        <v>4.4740000000000002</v>
      </c>
      <c r="G7683" s="508">
        <v>3.9780000000000002</v>
      </c>
      <c r="H7683" s="508">
        <v>4.0720000000000001</v>
      </c>
      <c r="I7683" s="508">
        <v>4.05</v>
      </c>
      <c r="J7683" s="508">
        <v>3.5880000000000001</v>
      </c>
      <c r="K7683" s="508">
        <v>3.391</v>
      </c>
      <c r="L7683" s="508">
        <v>3.3330000000000002</v>
      </c>
      <c r="M7683" s="508">
        <v>3.2530000000000001</v>
      </c>
      <c r="N7683" s="508">
        <v>3.2</v>
      </c>
      <c r="O7683" s="508">
        <v>2.9159999999999999</v>
      </c>
      <c r="P7683" s="508">
        <v>3.266</v>
      </c>
      <c r="Q7683" s="508">
        <v>2.758</v>
      </c>
      <c r="R7683" s="508">
        <v>1.8879999999999999</v>
      </c>
      <c r="S7683" s="508">
        <v>1.746</v>
      </c>
      <c r="T7683" s="508">
        <v>1.762</v>
      </c>
      <c r="U7683" s="508">
        <v>1.319</v>
      </c>
      <c r="V7683" s="508">
        <v>1.4450000000000001</v>
      </c>
      <c r="W7683" s="508"/>
      <c r="X7683" s="508">
        <v>1.3049999999999999</v>
      </c>
      <c r="Y7683" s="508"/>
      <c r="Z7683" s="508"/>
      <c r="AA7683" s="508"/>
      <c r="AB7683" s="508"/>
      <c r="AC7683" s="508"/>
      <c r="AD7683" s="508"/>
      <c r="AE7683" s="508"/>
      <c r="AF7683" s="508"/>
      <c r="AG7683" s="508"/>
      <c r="AH7683" s="508"/>
      <c r="AI7683" s="492"/>
      <c r="AJ7683" s="485"/>
    </row>
    <row r="7684" spans="2:36">
      <c r="B7684" s="136" t="s">
        <v>446</v>
      </c>
      <c r="C7684" s="132" t="s">
        <v>1374</v>
      </c>
      <c r="D7684" s="132" t="s">
        <v>1381</v>
      </c>
      <c r="E7684" s="508">
        <v>4.694</v>
      </c>
      <c r="F7684" s="508">
        <v>4.194</v>
      </c>
      <c r="G7684" s="508">
        <v>3.7250000000000001</v>
      </c>
      <c r="H7684" s="508">
        <v>3.823</v>
      </c>
      <c r="I7684" s="508">
        <v>3.8109999999999999</v>
      </c>
      <c r="J7684" s="508">
        <v>3.3820000000000001</v>
      </c>
      <c r="K7684" s="508">
        <v>3.1989999999999998</v>
      </c>
      <c r="L7684" s="508">
        <v>3.1509999999999998</v>
      </c>
      <c r="M7684" s="508">
        <v>3.08</v>
      </c>
      <c r="N7684" s="508">
        <v>3.036</v>
      </c>
      <c r="O7684" s="508">
        <v>2.7650000000000001</v>
      </c>
      <c r="P7684" s="508">
        <v>3.105</v>
      </c>
      <c r="Q7684" s="508">
        <v>2.6150000000000002</v>
      </c>
      <c r="R7684" s="508">
        <v>1.712</v>
      </c>
      <c r="S7684" s="508">
        <v>1.579</v>
      </c>
      <c r="T7684" s="508">
        <v>1.6120000000000001</v>
      </c>
      <c r="U7684" s="508">
        <v>1.145</v>
      </c>
      <c r="V7684" s="508">
        <v>1.2669999999999999</v>
      </c>
      <c r="W7684" s="508"/>
      <c r="X7684" s="508">
        <v>1.1479999999999999</v>
      </c>
      <c r="Y7684" s="508"/>
      <c r="Z7684" s="508"/>
      <c r="AA7684" s="508"/>
      <c r="AB7684" s="508"/>
      <c r="AC7684" s="508"/>
      <c r="AD7684" s="508"/>
      <c r="AE7684" s="508"/>
      <c r="AF7684" s="508"/>
      <c r="AG7684" s="508"/>
      <c r="AH7684" s="508"/>
      <c r="AI7684" s="492"/>
      <c r="AJ7684" s="485"/>
    </row>
    <row r="7685" spans="2:36">
      <c r="B7685" s="136" t="s">
        <v>448</v>
      </c>
      <c r="C7685" s="132" t="s">
        <v>1374</v>
      </c>
      <c r="D7685" s="132" t="s">
        <v>1381</v>
      </c>
      <c r="E7685" s="508">
        <v>4.3280000000000003</v>
      </c>
      <c r="F7685" s="508">
        <v>3.6059999999999999</v>
      </c>
      <c r="G7685" s="508">
        <v>3.1960000000000002</v>
      </c>
      <c r="H7685" s="508">
        <v>3.2759999999999998</v>
      </c>
      <c r="I7685" s="508">
        <v>3.2610000000000001</v>
      </c>
      <c r="J7685" s="508">
        <v>2.9980000000000002</v>
      </c>
      <c r="K7685" s="508">
        <v>2.8359999999999999</v>
      </c>
      <c r="L7685" s="508">
        <v>2.79</v>
      </c>
      <c r="M7685" s="508">
        <v>2.726</v>
      </c>
      <c r="N7685" s="508">
        <v>2.6850000000000001</v>
      </c>
      <c r="O7685" s="508">
        <v>2.448</v>
      </c>
      <c r="P7685" s="508">
        <v>2.7429999999999999</v>
      </c>
      <c r="Q7685" s="508">
        <v>2.319</v>
      </c>
      <c r="R7685" s="508">
        <v>1.466</v>
      </c>
      <c r="S7685" s="508">
        <v>1.349</v>
      </c>
      <c r="T7685" s="508">
        <v>1.3680000000000001</v>
      </c>
      <c r="U7685" s="508">
        <v>0.96699999999999997</v>
      </c>
      <c r="V7685" s="508">
        <v>1.07</v>
      </c>
      <c r="W7685" s="508"/>
      <c r="X7685" s="508">
        <v>0.96199999999999997</v>
      </c>
      <c r="Y7685" s="508"/>
      <c r="Z7685" s="508"/>
      <c r="AA7685" s="508"/>
      <c r="AB7685" s="508"/>
      <c r="AC7685" s="508"/>
      <c r="AD7685" s="508"/>
      <c r="AE7685" s="508"/>
      <c r="AF7685" s="508"/>
      <c r="AG7685" s="508"/>
      <c r="AH7685" s="508"/>
      <c r="AI7685" s="492"/>
      <c r="AJ7685" s="485"/>
    </row>
    <row r="7686" spans="2:36">
      <c r="B7686" s="136" t="s">
        <v>449</v>
      </c>
      <c r="C7686" s="132" t="s">
        <v>1374</v>
      </c>
      <c r="D7686" s="132" t="s">
        <v>1381</v>
      </c>
      <c r="E7686" s="508">
        <v>4.2469999999999999</v>
      </c>
      <c r="F7686" s="508">
        <v>3.8759999999999999</v>
      </c>
      <c r="G7686" s="508">
        <v>3.431</v>
      </c>
      <c r="H7686" s="508">
        <v>3.524</v>
      </c>
      <c r="I7686" s="508">
        <v>3.5139999999999998</v>
      </c>
      <c r="J7686" s="508">
        <v>3.149</v>
      </c>
      <c r="K7686" s="508">
        <v>2.976</v>
      </c>
      <c r="L7686" s="508">
        <v>2.931</v>
      </c>
      <c r="M7686" s="508">
        <v>2.8650000000000002</v>
      </c>
      <c r="N7686" s="508">
        <v>2.823</v>
      </c>
      <c r="O7686" s="508">
        <v>2.5649999999999999</v>
      </c>
      <c r="P7686" s="508">
        <v>2.8860000000000001</v>
      </c>
      <c r="Q7686" s="508">
        <v>2.419</v>
      </c>
      <c r="R7686" s="508">
        <v>1.5820000000000001</v>
      </c>
      <c r="S7686" s="508">
        <v>1.4550000000000001</v>
      </c>
      <c r="T7686" s="508">
        <v>1.49</v>
      </c>
      <c r="U7686" s="508">
        <v>1.07</v>
      </c>
      <c r="V7686" s="508">
        <v>1.194</v>
      </c>
      <c r="W7686" s="508"/>
      <c r="X7686" s="508">
        <v>1.0760000000000001</v>
      </c>
      <c r="Y7686" s="508"/>
      <c r="Z7686" s="508"/>
      <c r="AA7686" s="508"/>
      <c r="AB7686" s="508"/>
      <c r="AC7686" s="508"/>
      <c r="AD7686" s="508"/>
      <c r="AE7686" s="508"/>
      <c r="AF7686" s="508"/>
      <c r="AG7686" s="508"/>
      <c r="AH7686" s="508"/>
      <c r="AI7686" s="492"/>
      <c r="AJ7686" s="485"/>
    </row>
    <row r="7687" spans="2:36">
      <c r="B7687" s="136" t="s">
        <v>450</v>
      </c>
      <c r="C7687" s="132" t="s">
        <v>1374</v>
      </c>
      <c r="D7687" s="132" t="s">
        <v>1381</v>
      </c>
      <c r="E7687" s="508">
        <v>4.6040000000000001</v>
      </c>
      <c r="F7687" s="508">
        <v>3.57</v>
      </c>
      <c r="G7687" s="508">
        <v>3.17</v>
      </c>
      <c r="H7687" s="508">
        <v>3.2389999999999999</v>
      </c>
      <c r="I7687" s="508">
        <v>3.2149999999999999</v>
      </c>
      <c r="J7687" s="508">
        <v>2.9830000000000001</v>
      </c>
      <c r="K7687" s="508">
        <v>2.8210000000000002</v>
      </c>
      <c r="L7687" s="508">
        <v>2.77</v>
      </c>
      <c r="M7687" s="508">
        <v>2.7029999999999998</v>
      </c>
      <c r="N7687" s="508">
        <v>2.657</v>
      </c>
      <c r="O7687" s="508">
        <v>2.4289999999999998</v>
      </c>
      <c r="P7687" s="508">
        <v>2.71</v>
      </c>
      <c r="Q7687" s="508">
        <v>2.3050000000000002</v>
      </c>
      <c r="R7687" s="508">
        <v>1.4890000000000001</v>
      </c>
      <c r="S7687" s="508">
        <v>1.375</v>
      </c>
      <c r="T7687" s="508">
        <v>1.375</v>
      </c>
      <c r="U7687" s="508">
        <v>0.94099999999999995</v>
      </c>
      <c r="V7687" s="508">
        <v>1.0309999999999999</v>
      </c>
      <c r="W7687" s="508"/>
      <c r="X7687" s="508">
        <v>0.92</v>
      </c>
      <c r="Y7687" s="508"/>
      <c r="Z7687" s="508"/>
      <c r="AA7687" s="508"/>
      <c r="AB7687" s="508"/>
      <c r="AC7687" s="508"/>
      <c r="AD7687" s="508"/>
      <c r="AE7687" s="508"/>
      <c r="AF7687" s="508"/>
      <c r="AG7687" s="508"/>
      <c r="AH7687" s="508"/>
      <c r="AI7687" s="492"/>
      <c r="AJ7687" s="485"/>
    </row>
    <row r="7688" spans="2:36">
      <c r="B7688" s="136" t="s">
        <v>451</v>
      </c>
      <c r="C7688" s="132" t="s">
        <v>1374</v>
      </c>
      <c r="D7688" s="132" t="s">
        <v>1381</v>
      </c>
      <c r="E7688" s="508">
        <v>5.5270000000000001</v>
      </c>
      <c r="F7688" s="508">
        <v>4.3890000000000002</v>
      </c>
      <c r="G7688" s="508">
        <v>3.899</v>
      </c>
      <c r="H7688" s="508">
        <v>3.9860000000000002</v>
      </c>
      <c r="I7688" s="508">
        <v>3.96</v>
      </c>
      <c r="J7688" s="508">
        <v>3.5680000000000001</v>
      </c>
      <c r="K7688" s="508">
        <v>3.371</v>
      </c>
      <c r="L7688" s="508">
        <v>3.3109999999999999</v>
      </c>
      <c r="M7688" s="508">
        <v>3.2290000000000001</v>
      </c>
      <c r="N7688" s="508">
        <v>3.1739999999999999</v>
      </c>
      <c r="O7688" s="508">
        <v>2.8940000000000001</v>
      </c>
      <c r="P7688" s="508">
        <v>3.2370000000000001</v>
      </c>
      <c r="Q7688" s="508">
        <v>2.7389999999999999</v>
      </c>
      <c r="R7688" s="508">
        <v>1.861</v>
      </c>
      <c r="S7688" s="508">
        <v>1.7210000000000001</v>
      </c>
      <c r="T7688" s="508">
        <v>1.726</v>
      </c>
      <c r="U7688" s="508">
        <v>1.2110000000000001</v>
      </c>
      <c r="V7688" s="508">
        <v>1.321</v>
      </c>
      <c r="W7688" s="508"/>
      <c r="X7688" s="508">
        <v>1.19</v>
      </c>
      <c r="Y7688" s="508"/>
      <c r="Z7688" s="508"/>
      <c r="AA7688" s="508"/>
      <c r="AB7688" s="508"/>
      <c r="AC7688" s="508"/>
      <c r="AD7688" s="508"/>
      <c r="AE7688" s="508"/>
      <c r="AF7688" s="508"/>
      <c r="AG7688" s="508"/>
      <c r="AH7688" s="508"/>
      <c r="AI7688" s="492"/>
      <c r="AJ7688" s="485"/>
    </row>
    <row r="7689" spans="2:36">
      <c r="B7689" s="136" t="s">
        <v>452</v>
      </c>
      <c r="C7689" s="132" t="s">
        <v>1374</v>
      </c>
      <c r="D7689" s="132" t="s">
        <v>1381</v>
      </c>
      <c r="E7689" s="508">
        <v>4.9550000000000001</v>
      </c>
      <c r="F7689" s="508">
        <v>3.94</v>
      </c>
      <c r="G7689" s="508">
        <v>3.4990000000000001</v>
      </c>
      <c r="H7689" s="508">
        <v>3.5790000000000002</v>
      </c>
      <c r="I7689" s="508">
        <v>3.556</v>
      </c>
      <c r="J7689" s="508">
        <v>3.246</v>
      </c>
      <c r="K7689" s="508">
        <v>3.069</v>
      </c>
      <c r="L7689" s="508">
        <v>3.0150000000000001</v>
      </c>
      <c r="M7689" s="508">
        <v>2.9420000000000002</v>
      </c>
      <c r="N7689" s="508">
        <v>2.8940000000000001</v>
      </c>
      <c r="O7689" s="508">
        <v>2.6419999999999999</v>
      </c>
      <c r="P7689" s="508">
        <v>2.952</v>
      </c>
      <c r="Q7689" s="508">
        <v>2.5049999999999999</v>
      </c>
      <c r="R7689" s="508">
        <v>1.6459999999999999</v>
      </c>
      <c r="S7689" s="508">
        <v>1.52</v>
      </c>
      <c r="T7689" s="508">
        <v>1.526</v>
      </c>
      <c r="U7689" s="508">
        <v>1.0089999999999999</v>
      </c>
      <c r="V7689" s="508">
        <v>1.1060000000000001</v>
      </c>
      <c r="W7689" s="508"/>
      <c r="X7689" s="508">
        <v>0.99199999999999999</v>
      </c>
      <c r="Y7689" s="508"/>
      <c r="Z7689" s="508"/>
      <c r="AA7689" s="508"/>
      <c r="AB7689" s="508"/>
      <c r="AC7689" s="508"/>
      <c r="AD7689" s="508"/>
      <c r="AE7689" s="508"/>
      <c r="AF7689" s="508"/>
      <c r="AG7689" s="508"/>
      <c r="AH7689" s="508"/>
      <c r="AI7689" s="492"/>
      <c r="AJ7689" s="485"/>
    </row>
    <row r="7690" spans="2:36">
      <c r="B7690" s="136" t="s">
        <v>453</v>
      </c>
      <c r="C7690" s="132" t="s">
        <v>1374</v>
      </c>
      <c r="D7690" s="132" t="s">
        <v>1381</v>
      </c>
      <c r="E7690" s="508">
        <v>4.4370000000000003</v>
      </c>
      <c r="F7690" s="508">
        <v>3.4809999999999999</v>
      </c>
      <c r="G7690" s="508">
        <v>3.09</v>
      </c>
      <c r="H7690" s="508">
        <v>3.157</v>
      </c>
      <c r="I7690" s="508">
        <v>3.133</v>
      </c>
      <c r="J7690" s="508">
        <v>2.919</v>
      </c>
      <c r="K7690" s="508">
        <v>2.7610000000000001</v>
      </c>
      <c r="L7690" s="508">
        <v>2.7109999999999999</v>
      </c>
      <c r="M7690" s="508">
        <v>2.6440000000000001</v>
      </c>
      <c r="N7690" s="508">
        <v>2.6</v>
      </c>
      <c r="O7690" s="508">
        <v>2.3769999999999998</v>
      </c>
      <c r="P7690" s="508">
        <v>2.65</v>
      </c>
      <c r="Q7690" s="508">
        <v>2.2570000000000001</v>
      </c>
      <c r="R7690" s="508">
        <v>1.452</v>
      </c>
      <c r="S7690" s="508">
        <v>1.34</v>
      </c>
      <c r="T7690" s="508">
        <v>1.3380000000000001</v>
      </c>
      <c r="U7690" s="508">
        <v>0.95</v>
      </c>
      <c r="V7690" s="508">
        <v>1.04</v>
      </c>
      <c r="W7690" s="508"/>
      <c r="X7690" s="508">
        <v>0.92600000000000005</v>
      </c>
      <c r="Y7690" s="508"/>
      <c r="Z7690" s="508"/>
      <c r="AA7690" s="508"/>
      <c r="AB7690" s="508"/>
      <c r="AC7690" s="508"/>
      <c r="AD7690" s="508"/>
      <c r="AE7690" s="508"/>
      <c r="AF7690" s="508"/>
      <c r="AG7690" s="508"/>
      <c r="AH7690" s="508"/>
      <c r="AI7690" s="492"/>
      <c r="AJ7690" s="485"/>
    </row>
    <row r="7691" spans="2:36">
      <c r="B7691" s="136" t="s">
        <v>454</v>
      </c>
      <c r="C7691" s="132" t="s">
        <v>1374</v>
      </c>
      <c r="D7691" s="132" t="s">
        <v>1381</v>
      </c>
      <c r="E7691" s="508">
        <v>4.3959999999999999</v>
      </c>
      <c r="F7691" s="508">
        <v>3.528</v>
      </c>
      <c r="G7691" s="508">
        <v>3.1269999999999998</v>
      </c>
      <c r="H7691" s="508">
        <v>3.2</v>
      </c>
      <c r="I7691" s="508">
        <v>3.18</v>
      </c>
      <c r="J7691" s="508">
        <v>2.9460000000000002</v>
      </c>
      <c r="K7691" s="508">
        <v>2.7850000000000001</v>
      </c>
      <c r="L7691" s="508">
        <v>2.7360000000000002</v>
      </c>
      <c r="M7691" s="508">
        <v>2.6709999999999998</v>
      </c>
      <c r="N7691" s="508">
        <v>2.6269999999999998</v>
      </c>
      <c r="O7691" s="508">
        <v>2.3969999999999998</v>
      </c>
      <c r="P7691" s="508">
        <v>2.681</v>
      </c>
      <c r="Q7691" s="508">
        <v>2.2709999999999999</v>
      </c>
      <c r="R7691" s="508">
        <v>1.46</v>
      </c>
      <c r="S7691" s="508">
        <v>1.345</v>
      </c>
      <c r="T7691" s="508">
        <v>1.353</v>
      </c>
      <c r="U7691" s="508">
        <v>0.96799999999999997</v>
      </c>
      <c r="V7691" s="508">
        <v>1.0669999999999999</v>
      </c>
      <c r="W7691" s="508"/>
      <c r="X7691" s="508">
        <v>0.95299999999999996</v>
      </c>
      <c r="Y7691" s="508"/>
      <c r="Z7691" s="508"/>
      <c r="AA7691" s="508"/>
      <c r="AB7691" s="508"/>
      <c r="AC7691" s="508"/>
      <c r="AD7691" s="508"/>
      <c r="AE7691" s="508"/>
      <c r="AF7691" s="508"/>
      <c r="AG7691" s="508"/>
      <c r="AH7691" s="508"/>
      <c r="AI7691" s="492"/>
      <c r="AJ7691" s="485"/>
    </row>
    <row r="7692" spans="2:36">
      <c r="B7692" s="136" t="s">
        <v>455</v>
      </c>
      <c r="C7692" s="132" t="s">
        <v>1374</v>
      </c>
      <c r="D7692" s="132" t="s">
        <v>1381</v>
      </c>
      <c r="E7692" s="508">
        <v>4.1920000000000002</v>
      </c>
      <c r="F7692" s="508">
        <v>3.3879999999999999</v>
      </c>
      <c r="G7692" s="508">
        <v>3.0070000000000001</v>
      </c>
      <c r="H7692" s="508">
        <v>3.0790000000000002</v>
      </c>
      <c r="I7692" s="508">
        <v>3.0609999999999999</v>
      </c>
      <c r="J7692" s="508">
        <v>2.84</v>
      </c>
      <c r="K7692" s="508">
        <v>2.6880000000000002</v>
      </c>
      <c r="L7692" s="508">
        <v>2.6429999999999998</v>
      </c>
      <c r="M7692" s="508">
        <v>2.5819999999999999</v>
      </c>
      <c r="N7692" s="508">
        <v>2.5419999999999998</v>
      </c>
      <c r="O7692" s="508">
        <v>2.323</v>
      </c>
      <c r="P7692" s="508">
        <v>2.5960000000000001</v>
      </c>
      <c r="Q7692" s="508">
        <v>2.206</v>
      </c>
      <c r="R7692" s="508">
        <v>1.3779999999999999</v>
      </c>
      <c r="S7692" s="508">
        <v>1.2689999999999999</v>
      </c>
      <c r="T7692" s="508">
        <v>1.28</v>
      </c>
      <c r="U7692" s="508">
        <v>0.85799999999999998</v>
      </c>
      <c r="V7692" s="508">
        <v>0.94499999999999995</v>
      </c>
      <c r="W7692" s="508"/>
      <c r="X7692" s="508">
        <v>0.84699999999999998</v>
      </c>
      <c r="Y7692" s="508"/>
      <c r="Z7692" s="508"/>
      <c r="AA7692" s="508"/>
      <c r="AB7692" s="508"/>
      <c r="AC7692" s="508"/>
      <c r="AD7692" s="508"/>
      <c r="AE7692" s="508"/>
      <c r="AF7692" s="508"/>
      <c r="AG7692" s="508"/>
      <c r="AH7692" s="508"/>
      <c r="AI7692" s="492"/>
      <c r="AJ7692" s="485"/>
    </row>
    <row r="7693" spans="2:36">
      <c r="B7693" s="136" t="s">
        <v>456</v>
      </c>
      <c r="C7693" s="132" t="s">
        <v>1374</v>
      </c>
      <c r="D7693" s="132" t="s">
        <v>1381</v>
      </c>
      <c r="E7693" s="508">
        <v>4.2460000000000004</v>
      </c>
      <c r="F7693" s="508">
        <v>3.653</v>
      </c>
      <c r="G7693" s="508">
        <v>3.2389999999999999</v>
      </c>
      <c r="H7693" s="508">
        <v>3.3220000000000001</v>
      </c>
      <c r="I7693" s="508">
        <v>3.31</v>
      </c>
      <c r="J7693" s="508">
        <v>3.0179999999999998</v>
      </c>
      <c r="K7693" s="508">
        <v>2.855</v>
      </c>
      <c r="L7693" s="508">
        <v>2.8109999999999999</v>
      </c>
      <c r="M7693" s="508">
        <v>2.7469999999999999</v>
      </c>
      <c r="N7693" s="508">
        <v>2.7069999999999999</v>
      </c>
      <c r="O7693" s="508">
        <v>2.4670000000000001</v>
      </c>
      <c r="P7693" s="508">
        <v>2.7669999999999999</v>
      </c>
      <c r="Q7693" s="508">
        <v>2.3359999999999999</v>
      </c>
      <c r="R7693" s="508">
        <v>1.478</v>
      </c>
      <c r="S7693" s="508">
        <v>1.36</v>
      </c>
      <c r="T7693" s="508">
        <v>1.385</v>
      </c>
      <c r="U7693" s="508">
        <v>0.97199999999999998</v>
      </c>
      <c r="V7693" s="508">
        <v>1.077</v>
      </c>
      <c r="W7693" s="508"/>
      <c r="X7693" s="508">
        <v>0.97099999999999997</v>
      </c>
      <c r="Y7693" s="508"/>
      <c r="Z7693" s="508"/>
      <c r="AA7693" s="508"/>
      <c r="AB7693" s="508"/>
      <c r="AC7693" s="508"/>
      <c r="AD7693" s="508"/>
      <c r="AE7693" s="508"/>
      <c r="AF7693" s="508"/>
      <c r="AG7693" s="508"/>
      <c r="AH7693" s="508"/>
      <c r="AI7693" s="492"/>
      <c r="AJ7693" s="485"/>
    </row>
    <row r="7694" spans="2:36">
      <c r="B7694" s="136" t="s">
        <v>457</v>
      </c>
      <c r="C7694" s="132" t="s">
        <v>1374</v>
      </c>
      <c r="D7694" s="132" t="s">
        <v>1381</v>
      </c>
      <c r="E7694" s="508">
        <v>4.5039999999999996</v>
      </c>
      <c r="F7694" s="508">
        <v>3.468</v>
      </c>
      <c r="G7694" s="508">
        <v>3.0760000000000001</v>
      </c>
      <c r="H7694" s="508">
        <v>3.141</v>
      </c>
      <c r="I7694" s="508">
        <v>3.1160000000000001</v>
      </c>
      <c r="J7694" s="508">
        <v>2.9380000000000002</v>
      </c>
      <c r="K7694" s="508">
        <v>2.7789999999999999</v>
      </c>
      <c r="L7694" s="508">
        <v>2.7269999999999999</v>
      </c>
      <c r="M7694" s="508">
        <v>2.66</v>
      </c>
      <c r="N7694" s="508">
        <v>2.6139999999999999</v>
      </c>
      <c r="O7694" s="508">
        <v>2.391</v>
      </c>
      <c r="P7694" s="508">
        <v>2.6640000000000001</v>
      </c>
      <c r="Q7694" s="508">
        <v>2.2709999999999999</v>
      </c>
      <c r="R7694" s="508">
        <v>1.446</v>
      </c>
      <c r="S7694" s="508">
        <v>1.3340000000000001</v>
      </c>
      <c r="T7694" s="508">
        <v>1.3280000000000001</v>
      </c>
      <c r="U7694" s="508">
        <v>0.92800000000000005</v>
      </c>
      <c r="V7694" s="508">
        <v>1.0129999999999999</v>
      </c>
      <c r="W7694" s="508"/>
      <c r="X7694" s="508">
        <v>0.90300000000000002</v>
      </c>
      <c r="Y7694" s="508"/>
      <c r="Z7694" s="508"/>
      <c r="AA7694" s="508"/>
      <c r="AB7694" s="508"/>
      <c r="AC7694" s="508"/>
      <c r="AD7694" s="508"/>
      <c r="AE7694" s="508"/>
      <c r="AF7694" s="508"/>
      <c r="AG7694" s="508"/>
      <c r="AH7694" s="508"/>
      <c r="AI7694" s="492"/>
      <c r="AJ7694" s="485"/>
    </row>
    <row r="7695" spans="2:36">
      <c r="B7695" s="136" t="s">
        <v>458</v>
      </c>
      <c r="C7695" s="132" t="s">
        <v>1374</v>
      </c>
      <c r="D7695" s="132" t="s">
        <v>1381</v>
      </c>
      <c r="E7695" s="508">
        <v>4.609</v>
      </c>
      <c r="F7695" s="508">
        <v>3.7130000000000001</v>
      </c>
      <c r="G7695" s="508">
        <v>3.2890000000000001</v>
      </c>
      <c r="H7695" s="508">
        <v>3.3679999999999999</v>
      </c>
      <c r="I7695" s="508">
        <v>3.3490000000000002</v>
      </c>
      <c r="J7695" s="508">
        <v>3.077</v>
      </c>
      <c r="K7695" s="508">
        <v>2.9089999999999998</v>
      </c>
      <c r="L7695" s="508">
        <v>2.859</v>
      </c>
      <c r="M7695" s="508">
        <v>2.79</v>
      </c>
      <c r="N7695" s="508">
        <v>2.7450000000000001</v>
      </c>
      <c r="O7695" s="508">
        <v>2.5019999999999998</v>
      </c>
      <c r="P7695" s="508">
        <v>2.8010000000000002</v>
      </c>
      <c r="Q7695" s="508">
        <v>2.367</v>
      </c>
      <c r="R7695" s="508">
        <v>1.5389999999999999</v>
      </c>
      <c r="S7695" s="508">
        <v>1.417</v>
      </c>
      <c r="T7695" s="508">
        <v>1.429</v>
      </c>
      <c r="U7695" s="508">
        <v>1.0469999999999999</v>
      </c>
      <c r="V7695" s="508">
        <v>1.151</v>
      </c>
      <c r="W7695" s="508"/>
      <c r="X7695" s="508">
        <v>1.034</v>
      </c>
      <c r="Y7695" s="508"/>
      <c r="Z7695" s="508"/>
      <c r="AA7695" s="508"/>
      <c r="AB7695" s="508"/>
      <c r="AC7695" s="508"/>
      <c r="AD7695" s="508"/>
      <c r="AE7695" s="508"/>
      <c r="AF7695" s="508"/>
      <c r="AG7695" s="508"/>
      <c r="AH7695" s="508"/>
      <c r="AI7695" s="492"/>
      <c r="AJ7695" s="485"/>
    </row>
    <row r="7696" spans="2:36">
      <c r="B7696" s="136" t="s">
        <v>459</v>
      </c>
      <c r="C7696" s="132" t="s">
        <v>1374</v>
      </c>
      <c r="D7696" s="132" t="s">
        <v>1381</v>
      </c>
      <c r="E7696" s="508">
        <v>4.7469999999999999</v>
      </c>
      <c r="F7696" s="508">
        <v>3.714</v>
      </c>
      <c r="G7696" s="508">
        <v>3.2930000000000001</v>
      </c>
      <c r="H7696" s="508">
        <v>3.367</v>
      </c>
      <c r="I7696" s="508">
        <v>3.343</v>
      </c>
      <c r="J7696" s="508">
        <v>3.0859999999999999</v>
      </c>
      <c r="K7696" s="508">
        <v>2.9159999999999999</v>
      </c>
      <c r="L7696" s="508">
        <v>2.8639999999999999</v>
      </c>
      <c r="M7696" s="508">
        <v>2.7930000000000001</v>
      </c>
      <c r="N7696" s="508">
        <v>2.746</v>
      </c>
      <c r="O7696" s="508">
        <v>2.5049999999999999</v>
      </c>
      <c r="P7696" s="508">
        <v>2.8</v>
      </c>
      <c r="Q7696" s="508">
        <v>2.3730000000000002</v>
      </c>
      <c r="R7696" s="508">
        <v>1.5569999999999999</v>
      </c>
      <c r="S7696" s="508">
        <v>1.4359999999999999</v>
      </c>
      <c r="T7696" s="508">
        <v>1.4390000000000001</v>
      </c>
      <c r="U7696" s="508">
        <v>1.0589999999999999</v>
      </c>
      <c r="V7696" s="508">
        <v>1.1599999999999999</v>
      </c>
      <c r="W7696" s="508"/>
      <c r="X7696" s="508">
        <v>1.038</v>
      </c>
      <c r="Y7696" s="508"/>
      <c r="Z7696" s="508"/>
      <c r="AA7696" s="508"/>
      <c r="AB7696" s="508"/>
      <c r="AC7696" s="508"/>
      <c r="AD7696" s="508"/>
      <c r="AE7696" s="508"/>
      <c r="AF7696" s="508"/>
      <c r="AG7696" s="508"/>
      <c r="AH7696" s="508"/>
      <c r="AI7696" s="492"/>
      <c r="AJ7696" s="485"/>
    </row>
    <row r="7697" spans="2:36">
      <c r="B7697" s="136" t="s">
        <v>460</v>
      </c>
      <c r="C7697" s="132" t="s">
        <v>1374</v>
      </c>
      <c r="D7697" s="132" t="s">
        <v>1381</v>
      </c>
      <c r="E7697" s="508">
        <v>5.0650000000000004</v>
      </c>
      <c r="F7697" s="508">
        <v>3.9569999999999999</v>
      </c>
      <c r="G7697" s="508">
        <v>3.5150000000000001</v>
      </c>
      <c r="H7697" s="508">
        <v>3.5910000000000002</v>
      </c>
      <c r="I7697" s="508">
        <v>3.5649999999999999</v>
      </c>
      <c r="J7697" s="508">
        <v>3.28</v>
      </c>
      <c r="K7697" s="508">
        <v>3.101</v>
      </c>
      <c r="L7697" s="508">
        <v>3.044</v>
      </c>
      <c r="M7697" s="508">
        <v>2.97</v>
      </c>
      <c r="N7697" s="508">
        <v>2.919</v>
      </c>
      <c r="O7697" s="508">
        <v>2.6669999999999998</v>
      </c>
      <c r="P7697" s="508">
        <v>2.976</v>
      </c>
      <c r="Q7697" s="508">
        <v>2.5299999999999998</v>
      </c>
      <c r="R7697" s="508">
        <v>1.6619999999999999</v>
      </c>
      <c r="S7697" s="508">
        <v>1.5349999999999999</v>
      </c>
      <c r="T7697" s="508">
        <v>1.5349999999999999</v>
      </c>
      <c r="U7697" s="508">
        <v>1.016</v>
      </c>
      <c r="V7697" s="508">
        <v>1.111</v>
      </c>
      <c r="W7697" s="508"/>
      <c r="X7697" s="508">
        <v>0.99399999999999999</v>
      </c>
      <c r="Y7697" s="508"/>
      <c r="Z7697" s="508"/>
      <c r="AA7697" s="508"/>
      <c r="AB7697" s="508"/>
      <c r="AC7697" s="508"/>
      <c r="AD7697" s="508"/>
      <c r="AE7697" s="508"/>
      <c r="AF7697" s="508"/>
      <c r="AG7697" s="508"/>
      <c r="AH7697" s="508"/>
      <c r="AI7697" s="492"/>
      <c r="AJ7697" s="485"/>
    </row>
    <row r="7698" spans="2:36">
      <c r="B7698" s="136" t="s">
        <v>461</v>
      </c>
      <c r="C7698" s="132" t="s">
        <v>1374</v>
      </c>
      <c r="D7698" s="132" t="s">
        <v>1381</v>
      </c>
      <c r="E7698" s="508">
        <v>5.0709999999999997</v>
      </c>
      <c r="F7698" s="508">
        <v>3.9129999999999998</v>
      </c>
      <c r="G7698" s="508">
        <v>3.47</v>
      </c>
      <c r="H7698" s="508">
        <v>3.5409999999999999</v>
      </c>
      <c r="I7698" s="508">
        <v>3.51</v>
      </c>
      <c r="J7698" s="508">
        <v>3.274</v>
      </c>
      <c r="K7698" s="508">
        <v>3.093</v>
      </c>
      <c r="L7698" s="508">
        <v>3.0329999999999999</v>
      </c>
      <c r="M7698" s="508">
        <v>2.9550000000000001</v>
      </c>
      <c r="N7698" s="508">
        <v>2.9020000000000001</v>
      </c>
      <c r="O7698" s="508">
        <v>2.65</v>
      </c>
      <c r="P7698" s="508">
        <v>2.9540000000000002</v>
      </c>
      <c r="Q7698" s="508">
        <v>2.512</v>
      </c>
      <c r="R7698" s="508">
        <v>1.6679999999999999</v>
      </c>
      <c r="S7698" s="508">
        <v>1.54</v>
      </c>
      <c r="T7698" s="508">
        <v>1.53</v>
      </c>
      <c r="U7698" s="508">
        <v>1.0169999999999999</v>
      </c>
      <c r="V7698" s="508">
        <v>1.105</v>
      </c>
      <c r="W7698" s="508"/>
      <c r="X7698" s="508">
        <v>0.98699999999999999</v>
      </c>
      <c r="Y7698" s="508"/>
      <c r="Z7698" s="508"/>
      <c r="AA7698" s="508"/>
      <c r="AB7698" s="508"/>
      <c r="AC7698" s="508"/>
      <c r="AD7698" s="508"/>
      <c r="AE7698" s="508"/>
      <c r="AF7698" s="508"/>
      <c r="AG7698" s="508"/>
      <c r="AH7698" s="508"/>
      <c r="AI7698" s="492"/>
      <c r="AJ7698" s="485"/>
    </row>
    <row r="7699" spans="2:36">
      <c r="B7699" s="136" t="s">
        <v>462</v>
      </c>
      <c r="C7699" s="132" t="s">
        <v>1374</v>
      </c>
      <c r="D7699" s="132" t="s">
        <v>1381</v>
      </c>
      <c r="E7699" s="508">
        <v>4.1779999999999999</v>
      </c>
      <c r="F7699" s="508">
        <v>3.516</v>
      </c>
      <c r="G7699" s="508">
        <v>3.1120000000000001</v>
      </c>
      <c r="H7699" s="508">
        <v>3.1909999999999998</v>
      </c>
      <c r="I7699" s="508">
        <v>3.177</v>
      </c>
      <c r="J7699" s="508">
        <v>2.927</v>
      </c>
      <c r="K7699" s="508">
        <v>2.7669999999999999</v>
      </c>
      <c r="L7699" s="508">
        <v>2.7229999999999999</v>
      </c>
      <c r="M7699" s="508">
        <v>2.66</v>
      </c>
      <c r="N7699" s="508">
        <v>2.6190000000000002</v>
      </c>
      <c r="O7699" s="508">
        <v>2.3860000000000001</v>
      </c>
      <c r="P7699" s="508">
        <v>2.6760000000000002</v>
      </c>
      <c r="Q7699" s="508">
        <v>2.2570000000000001</v>
      </c>
      <c r="R7699" s="508">
        <v>1.431</v>
      </c>
      <c r="S7699" s="508">
        <v>1.3149999999999999</v>
      </c>
      <c r="T7699" s="508">
        <v>1.3360000000000001</v>
      </c>
      <c r="U7699" s="508">
        <v>0.92600000000000005</v>
      </c>
      <c r="V7699" s="508">
        <v>1.026</v>
      </c>
      <c r="W7699" s="508"/>
      <c r="X7699" s="508">
        <v>0.92200000000000004</v>
      </c>
      <c r="Y7699" s="508"/>
      <c r="Z7699" s="508"/>
      <c r="AA7699" s="508"/>
      <c r="AB7699" s="508"/>
      <c r="AC7699" s="508"/>
      <c r="AD7699" s="508"/>
      <c r="AE7699" s="508"/>
      <c r="AF7699" s="508"/>
      <c r="AG7699" s="508"/>
      <c r="AH7699" s="508"/>
      <c r="AI7699" s="492"/>
      <c r="AJ7699" s="485"/>
    </row>
    <row r="7700" spans="2:36">
      <c r="B7700" s="136" t="s">
        <v>463</v>
      </c>
      <c r="C7700" s="132" t="s">
        <v>1374</v>
      </c>
      <c r="D7700" s="132" t="s">
        <v>1381</v>
      </c>
      <c r="E7700" s="508">
        <v>4.16</v>
      </c>
      <c r="F7700" s="508">
        <v>3.3420000000000001</v>
      </c>
      <c r="G7700" s="508">
        <v>2.9590000000000001</v>
      </c>
      <c r="H7700" s="508">
        <v>3.0289999999999999</v>
      </c>
      <c r="I7700" s="508">
        <v>3.0110000000000001</v>
      </c>
      <c r="J7700" s="508">
        <v>2.8159999999999998</v>
      </c>
      <c r="K7700" s="508">
        <v>2.6629999999999998</v>
      </c>
      <c r="L7700" s="508">
        <v>2.617</v>
      </c>
      <c r="M7700" s="508">
        <v>2.5539999999999998</v>
      </c>
      <c r="N7700" s="508">
        <v>2.5129999999999999</v>
      </c>
      <c r="O7700" s="508">
        <v>2.2930000000000001</v>
      </c>
      <c r="P7700" s="508">
        <v>2.5649999999999999</v>
      </c>
      <c r="Q7700" s="508">
        <v>2.1720000000000002</v>
      </c>
      <c r="R7700" s="508">
        <v>1.371</v>
      </c>
      <c r="S7700" s="508">
        <v>1.2609999999999999</v>
      </c>
      <c r="T7700" s="508">
        <v>1.27</v>
      </c>
      <c r="U7700" s="508">
        <v>0.90600000000000003</v>
      </c>
      <c r="V7700" s="508">
        <v>1.0009999999999999</v>
      </c>
      <c r="W7700" s="508"/>
      <c r="X7700" s="508">
        <v>0.89300000000000002</v>
      </c>
      <c r="Y7700" s="508"/>
      <c r="Z7700" s="508"/>
      <c r="AA7700" s="508"/>
      <c r="AB7700" s="508"/>
      <c r="AC7700" s="508"/>
      <c r="AD7700" s="508"/>
      <c r="AE7700" s="508"/>
      <c r="AF7700" s="508"/>
      <c r="AG7700" s="508"/>
      <c r="AH7700" s="508"/>
      <c r="AI7700" s="492"/>
      <c r="AJ7700" s="485"/>
    </row>
    <row r="7701" spans="2:36">
      <c r="B7701" s="136" t="s">
        <v>464</v>
      </c>
      <c r="C7701" s="132" t="s">
        <v>1374</v>
      </c>
      <c r="D7701" s="132" t="s">
        <v>1381</v>
      </c>
      <c r="E7701" s="508">
        <v>4.3419999999999996</v>
      </c>
      <c r="F7701" s="508">
        <v>3.3239999999999998</v>
      </c>
      <c r="G7701" s="508">
        <v>2.9529999999999998</v>
      </c>
      <c r="H7701" s="508">
        <v>3.0139999999999998</v>
      </c>
      <c r="I7701" s="508">
        <v>2.9889999999999999</v>
      </c>
      <c r="J7701" s="508">
        <v>2.8140000000000001</v>
      </c>
      <c r="K7701" s="508">
        <v>2.6629999999999998</v>
      </c>
      <c r="L7701" s="508">
        <v>2.6139999999999999</v>
      </c>
      <c r="M7701" s="508">
        <v>2.5489999999999999</v>
      </c>
      <c r="N7701" s="508">
        <v>2.5059999999999998</v>
      </c>
      <c r="O7701" s="508">
        <v>2.294</v>
      </c>
      <c r="P7701" s="508">
        <v>2.5539999999999998</v>
      </c>
      <c r="Q7701" s="508">
        <v>2.1819999999999999</v>
      </c>
      <c r="R7701" s="508">
        <v>1.383</v>
      </c>
      <c r="S7701" s="508">
        <v>1.2769999999999999</v>
      </c>
      <c r="T7701" s="508">
        <v>1.27</v>
      </c>
      <c r="U7701" s="508">
        <v>0.86499999999999999</v>
      </c>
      <c r="V7701" s="508">
        <v>0.94499999999999995</v>
      </c>
      <c r="W7701" s="508"/>
      <c r="X7701" s="508">
        <v>0.84</v>
      </c>
      <c r="Y7701" s="508"/>
      <c r="Z7701" s="508"/>
      <c r="AA7701" s="508"/>
      <c r="AB7701" s="508"/>
      <c r="AC7701" s="508"/>
      <c r="AD7701" s="508"/>
      <c r="AE7701" s="508"/>
      <c r="AF7701" s="508"/>
      <c r="AG7701" s="508"/>
      <c r="AH7701" s="508"/>
      <c r="AI7701" s="492"/>
      <c r="AJ7701" s="485"/>
    </row>
    <row r="7702" spans="2:36">
      <c r="B7702" s="136" t="s">
        <v>465</v>
      </c>
      <c r="C7702" s="132" t="s">
        <v>1374</v>
      </c>
      <c r="D7702" s="132" t="s">
        <v>1381</v>
      </c>
      <c r="E7702" s="508">
        <v>4.3410000000000002</v>
      </c>
      <c r="F7702" s="508">
        <v>3.4220000000000002</v>
      </c>
      <c r="G7702" s="508">
        <v>3.0409999999999999</v>
      </c>
      <c r="H7702" s="508">
        <v>3.1070000000000002</v>
      </c>
      <c r="I7702" s="508">
        <v>3.0840000000000001</v>
      </c>
      <c r="J7702" s="508">
        <v>2.8740000000000001</v>
      </c>
      <c r="K7702" s="508">
        <v>2.72</v>
      </c>
      <c r="L7702" s="508">
        <v>2.6709999999999998</v>
      </c>
      <c r="M7702" s="508">
        <v>2.6070000000000002</v>
      </c>
      <c r="N7702" s="508">
        <v>2.5640000000000001</v>
      </c>
      <c r="O7702" s="508">
        <v>2.3460000000000001</v>
      </c>
      <c r="P7702" s="508">
        <v>2.6150000000000002</v>
      </c>
      <c r="Q7702" s="508">
        <v>2.23</v>
      </c>
      <c r="R7702" s="508">
        <v>1.415</v>
      </c>
      <c r="S7702" s="508">
        <v>1.306</v>
      </c>
      <c r="T7702" s="508">
        <v>1.306</v>
      </c>
      <c r="U7702" s="508">
        <v>0.92800000000000005</v>
      </c>
      <c r="V7702" s="508">
        <v>1.0169999999999999</v>
      </c>
      <c r="W7702" s="508"/>
      <c r="X7702" s="508">
        <v>0.90600000000000003</v>
      </c>
      <c r="Y7702" s="508"/>
      <c r="Z7702" s="508"/>
      <c r="AA7702" s="508"/>
      <c r="AB7702" s="508"/>
      <c r="AC7702" s="508"/>
      <c r="AD7702" s="508"/>
      <c r="AE7702" s="508"/>
      <c r="AF7702" s="508"/>
      <c r="AG7702" s="508"/>
      <c r="AH7702" s="508"/>
      <c r="AI7702" s="492"/>
      <c r="AJ7702" s="485"/>
    </row>
    <row r="7703" spans="2:36">
      <c r="B7703" s="136" t="s">
        <v>466</v>
      </c>
      <c r="C7703" s="132" t="s">
        <v>1374</v>
      </c>
      <c r="D7703" s="132" t="s">
        <v>1381</v>
      </c>
      <c r="E7703" s="508">
        <v>4.7690000000000001</v>
      </c>
      <c r="F7703" s="508">
        <v>3.944</v>
      </c>
      <c r="G7703" s="508">
        <v>3.5059999999999998</v>
      </c>
      <c r="H7703" s="508">
        <v>3.5910000000000002</v>
      </c>
      <c r="I7703" s="508">
        <v>3.573</v>
      </c>
      <c r="J7703" s="508">
        <v>3.2149999999999999</v>
      </c>
      <c r="K7703" s="508">
        <v>3.0409999999999999</v>
      </c>
      <c r="L7703" s="508">
        <v>2.992</v>
      </c>
      <c r="M7703" s="508">
        <v>2.9220000000000002</v>
      </c>
      <c r="N7703" s="508">
        <v>2.8769999999999998</v>
      </c>
      <c r="O7703" s="508">
        <v>2.625</v>
      </c>
      <c r="P7703" s="508">
        <v>2.9390000000000001</v>
      </c>
      <c r="Q7703" s="508">
        <v>2.4870000000000001</v>
      </c>
      <c r="R7703" s="508">
        <v>1.627</v>
      </c>
      <c r="S7703" s="508">
        <v>1.502</v>
      </c>
      <c r="T7703" s="508">
        <v>1.52</v>
      </c>
      <c r="U7703" s="508">
        <v>1.0960000000000001</v>
      </c>
      <c r="V7703" s="508">
        <v>1.2090000000000001</v>
      </c>
      <c r="W7703" s="508"/>
      <c r="X7703" s="508">
        <v>1.087</v>
      </c>
      <c r="Y7703" s="508"/>
      <c r="Z7703" s="508"/>
      <c r="AA7703" s="508"/>
      <c r="AB7703" s="508"/>
      <c r="AC7703" s="508"/>
      <c r="AD7703" s="508"/>
      <c r="AE7703" s="508"/>
      <c r="AF7703" s="508"/>
      <c r="AG7703" s="508"/>
      <c r="AH7703" s="508"/>
      <c r="AI7703" s="492"/>
      <c r="AJ7703" s="485"/>
    </row>
    <row r="7704" spans="2:36">
      <c r="B7704" s="136" t="s">
        <v>467</v>
      </c>
      <c r="C7704" s="132" t="s">
        <v>1374</v>
      </c>
      <c r="D7704" s="132" t="s">
        <v>1381</v>
      </c>
      <c r="E7704" s="508">
        <v>4.6740000000000004</v>
      </c>
      <c r="F7704" s="508">
        <v>3.6190000000000002</v>
      </c>
      <c r="G7704" s="508">
        <v>3.2080000000000002</v>
      </c>
      <c r="H7704" s="508">
        <v>3.2770000000000001</v>
      </c>
      <c r="I7704" s="508">
        <v>3.2519999999999998</v>
      </c>
      <c r="J7704" s="508">
        <v>3.0259999999999998</v>
      </c>
      <c r="K7704" s="508">
        <v>2.86</v>
      </c>
      <c r="L7704" s="508">
        <v>2.806</v>
      </c>
      <c r="M7704" s="508">
        <v>2.7360000000000002</v>
      </c>
      <c r="N7704" s="508">
        <v>2.6890000000000001</v>
      </c>
      <c r="O7704" s="508">
        <v>2.4540000000000002</v>
      </c>
      <c r="P7704" s="508">
        <v>2.74</v>
      </c>
      <c r="Q7704" s="508">
        <v>2.3260000000000001</v>
      </c>
      <c r="R7704" s="508">
        <v>1.5249999999999999</v>
      </c>
      <c r="S7704" s="508">
        <v>1.407</v>
      </c>
      <c r="T7704" s="508">
        <v>1.4039999999999999</v>
      </c>
      <c r="U7704" s="508">
        <v>1.0109999999999999</v>
      </c>
      <c r="V7704" s="508">
        <v>1.105</v>
      </c>
      <c r="W7704" s="508"/>
      <c r="X7704" s="508">
        <v>0.98599999999999999</v>
      </c>
      <c r="Y7704" s="508"/>
      <c r="Z7704" s="508"/>
      <c r="AA7704" s="508"/>
      <c r="AB7704" s="508"/>
      <c r="AC7704" s="508"/>
      <c r="AD7704" s="508"/>
      <c r="AE7704" s="508"/>
      <c r="AF7704" s="508"/>
      <c r="AG7704" s="508"/>
      <c r="AH7704" s="508"/>
      <c r="AI7704" s="492"/>
      <c r="AJ7704" s="485"/>
    </row>
    <row r="7705" spans="2:36">
      <c r="B7705" s="136" t="s">
        <v>468</v>
      </c>
      <c r="C7705" s="132" t="s">
        <v>1374</v>
      </c>
      <c r="D7705" s="132" t="s">
        <v>1381</v>
      </c>
      <c r="E7705" s="508">
        <v>3.8330000000000002</v>
      </c>
      <c r="F7705" s="508">
        <v>3.08</v>
      </c>
      <c r="G7705" s="508">
        <v>2.7410000000000001</v>
      </c>
      <c r="H7705" s="508">
        <v>2.8039999999999998</v>
      </c>
      <c r="I7705" s="508">
        <v>2.7869999999999999</v>
      </c>
      <c r="J7705" s="508">
        <v>2.593</v>
      </c>
      <c r="K7705" s="508">
        <v>2.4580000000000002</v>
      </c>
      <c r="L7705" s="508">
        <v>2.4169999999999998</v>
      </c>
      <c r="M7705" s="508">
        <v>2.3620000000000001</v>
      </c>
      <c r="N7705" s="508">
        <v>2.327</v>
      </c>
      <c r="O7705" s="508">
        <v>2.1320000000000001</v>
      </c>
      <c r="P7705" s="508">
        <v>2.3769999999999998</v>
      </c>
      <c r="Q7705" s="508">
        <v>2.032</v>
      </c>
      <c r="R7705" s="508">
        <v>1.24</v>
      </c>
      <c r="S7705" s="508">
        <v>1.143</v>
      </c>
      <c r="T7705" s="508">
        <v>1.151</v>
      </c>
      <c r="U7705" s="508">
        <v>0.84899999999999998</v>
      </c>
      <c r="V7705" s="508">
        <v>0.93300000000000005</v>
      </c>
      <c r="W7705" s="508"/>
      <c r="X7705" s="508">
        <v>0.83599999999999997</v>
      </c>
      <c r="Y7705" s="508"/>
      <c r="Z7705" s="508"/>
      <c r="AA7705" s="508"/>
      <c r="AB7705" s="508"/>
      <c r="AC7705" s="508"/>
      <c r="AD7705" s="508"/>
      <c r="AE7705" s="508"/>
      <c r="AF7705" s="508"/>
      <c r="AG7705" s="508"/>
      <c r="AH7705" s="508"/>
      <c r="AI7705" s="492"/>
      <c r="AJ7705" s="485"/>
    </row>
    <row r="7706" spans="2:36">
      <c r="B7706" s="136" t="s">
        <v>469</v>
      </c>
      <c r="C7706" s="132" t="s">
        <v>1374</v>
      </c>
      <c r="D7706" s="132" t="s">
        <v>1381</v>
      </c>
      <c r="E7706" s="508">
        <v>4.2370000000000001</v>
      </c>
      <c r="F7706" s="508">
        <v>3.4060000000000001</v>
      </c>
      <c r="G7706" s="508">
        <v>3.024</v>
      </c>
      <c r="H7706" s="508">
        <v>3.0939999999999999</v>
      </c>
      <c r="I7706" s="508">
        <v>3.0760000000000001</v>
      </c>
      <c r="J7706" s="508">
        <v>2.8450000000000002</v>
      </c>
      <c r="K7706" s="508">
        <v>2.6920000000000002</v>
      </c>
      <c r="L7706" s="508">
        <v>2.6469999999999998</v>
      </c>
      <c r="M7706" s="508">
        <v>2.5840000000000001</v>
      </c>
      <c r="N7706" s="508">
        <v>2.544</v>
      </c>
      <c r="O7706" s="508">
        <v>2.3250000000000002</v>
      </c>
      <c r="P7706" s="508">
        <v>2.597</v>
      </c>
      <c r="Q7706" s="508">
        <v>2.2069999999999999</v>
      </c>
      <c r="R7706" s="508">
        <v>1.395</v>
      </c>
      <c r="S7706" s="508">
        <v>1.286</v>
      </c>
      <c r="T7706" s="508">
        <v>1.2949999999999999</v>
      </c>
      <c r="U7706" s="508">
        <v>0.92200000000000004</v>
      </c>
      <c r="V7706" s="508">
        <v>1.0169999999999999</v>
      </c>
      <c r="W7706" s="508"/>
      <c r="X7706" s="508">
        <v>0.90900000000000003</v>
      </c>
      <c r="Y7706" s="508"/>
      <c r="Z7706" s="508"/>
      <c r="AA7706" s="508"/>
      <c r="AB7706" s="508"/>
      <c r="AC7706" s="508"/>
      <c r="AD7706" s="508"/>
      <c r="AE7706" s="508"/>
      <c r="AF7706" s="508"/>
      <c r="AG7706" s="508"/>
      <c r="AH7706" s="508"/>
      <c r="AI7706" s="492"/>
      <c r="AJ7706" s="485"/>
    </row>
    <row r="7707" spans="2:36">
      <c r="B7707" s="136" t="s">
        <v>470</v>
      </c>
      <c r="C7707" s="132" t="s">
        <v>1374</v>
      </c>
      <c r="D7707" s="132" t="s">
        <v>1381</v>
      </c>
      <c r="E7707" s="508">
        <v>5.0069999999999997</v>
      </c>
      <c r="F7707" s="508">
        <v>3.9470000000000001</v>
      </c>
      <c r="G7707" s="508">
        <v>3.5009999999999999</v>
      </c>
      <c r="H7707" s="508">
        <v>3.58</v>
      </c>
      <c r="I7707" s="508">
        <v>3.556</v>
      </c>
      <c r="J7707" s="508">
        <v>3.258</v>
      </c>
      <c r="K7707" s="508">
        <v>3.0790000000000002</v>
      </c>
      <c r="L7707" s="508">
        <v>3.024</v>
      </c>
      <c r="M7707" s="508">
        <v>2.95</v>
      </c>
      <c r="N7707" s="508">
        <v>2.9</v>
      </c>
      <c r="O7707" s="508">
        <v>2.645</v>
      </c>
      <c r="P7707" s="508">
        <v>2.9580000000000002</v>
      </c>
      <c r="Q7707" s="508">
        <v>2.504</v>
      </c>
      <c r="R7707" s="508">
        <v>1.657</v>
      </c>
      <c r="S7707" s="508">
        <v>1.53</v>
      </c>
      <c r="T7707" s="508">
        <v>1.5349999999999999</v>
      </c>
      <c r="U7707" s="508">
        <v>1.099</v>
      </c>
      <c r="V7707" s="508">
        <v>1.204</v>
      </c>
      <c r="W7707" s="508"/>
      <c r="X7707" s="508">
        <v>1.08</v>
      </c>
      <c r="Y7707" s="508"/>
      <c r="Z7707" s="508"/>
      <c r="AA7707" s="508"/>
      <c r="AB7707" s="508"/>
      <c r="AC7707" s="508"/>
      <c r="AD7707" s="508"/>
      <c r="AE7707" s="508"/>
      <c r="AF7707" s="508"/>
      <c r="AG7707" s="508"/>
      <c r="AH7707" s="508"/>
      <c r="AI7707" s="492"/>
      <c r="AJ7707" s="485"/>
    </row>
    <row r="7708" spans="2:36">
      <c r="B7708" s="136" t="s">
        <v>471</v>
      </c>
      <c r="C7708" s="132" t="s">
        <v>1374</v>
      </c>
      <c r="D7708" s="132" t="s">
        <v>1381</v>
      </c>
      <c r="E7708" s="508">
        <v>4.6470000000000002</v>
      </c>
      <c r="F7708" s="508">
        <v>3.819</v>
      </c>
      <c r="G7708" s="508">
        <v>3.383</v>
      </c>
      <c r="H7708" s="508">
        <v>3.4660000000000002</v>
      </c>
      <c r="I7708" s="508">
        <v>3.4489999999999998</v>
      </c>
      <c r="J7708" s="508">
        <v>3.157</v>
      </c>
      <c r="K7708" s="508">
        <v>2.984</v>
      </c>
      <c r="L7708" s="508">
        <v>2.9340000000000002</v>
      </c>
      <c r="M7708" s="508">
        <v>2.8650000000000002</v>
      </c>
      <c r="N7708" s="508">
        <v>2.82</v>
      </c>
      <c r="O7708" s="508">
        <v>2.5680000000000001</v>
      </c>
      <c r="P7708" s="508">
        <v>2.879</v>
      </c>
      <c r="Q7708" s="508">
        <v>2.4289999999999998</v>
      </c>
      <c r="R7708" s="508">
        <v>1.5740000000000001</v>
      </c>
      <c r="S7708" s="508">
        <v>1.4490000000000001</v>
      </c>
      <c r="T7708" s="508">
        <v>1.4670000000000001</v>
      </c>
      <c r="U7708" s="508">
        <v>1.022</v>
      </c>
      <c r="V7708" s="508">
        <v>1.1279999999999999</v>
      </c>
      <c r="W7708" s="508"/>
      <c r="X7708" s="508">
        <v>1.014</v>
      </c>
      <c r="Y7708" s="508"/>
      <c r="Z7708" s="508"/>
      <c r="AA7708" s="508"/>
      <c r="AB7708" s="508"/>
      <c r="AC7708" s="508"/>
      <c r="AD7708" s="508"/>
      <c r="AE7708" s="508"/>
      <c r="AF7708" s="508"/>
      <c r="AG7708" s="508"/>
      <c r="AH7708" s="508"/>
      <c r="AI7708" s="492"/>
      <c r="AJ7708" s="485"/>
    </row>
    <row r="7709" spans="2:36">
      <c r="B7709" s="136" t="s">
        <v>472</v>
      </c>
      <c r="C7709" s="132" t="s">
        <v>1374</v>
      </c>
      <c r="D7709" s="132" t="s">
        <v>1381</v>
      </c>
      <c r="E7709" s="508">
        <v>4.6269999999999998</v>
      </c>
      <c r="F7709" s="508">
        <v>3.5339999999999998</v>
      </c>
      <c r="G7709" s="508">
        <v>3.1379999999999999</v>
      </c>
      <c r="H7709" s="508">
        <v>3.198</v>
      </c>
      <c r="I7709" s="508">
        <v>3.1659999999999999</v>
      </c>
      <c r="J7709" s="508">
        <v>3.0009999999999999</v>
      </c>
      <c r="K7709" s="508">
        <v>2.8380000000000001</v>
      </c>
      <c r="L7709" s="508">
        <v>2.7810000000000001</v>
      </c>
      <c r="M7709" s="508">
        <v>2.71</v>
      </c>
      <c r="N7709" s="508">
        <v>2.661</v>
      </c>
      <c r="O7709" s="508">
        <v>2.4359999999999999</v>
      </c>
      <c r="P7709" s="508">
        <v>2.7080000000000002</v>
      </c>
      <c r="Q7709" s="508">
        <v>2.3170000000000002</v>
      </c>
      <c r="R7709" s="508">
        <v>1.4990000000000001</v>
      </c>
      <c r="S7709" s="508">
        <v>1.385</v>
      </c>
      <c r="T7709" s="508">
        <v>1.3680000000000001</v>
      </c>
      <c r="U7709" s="508">
        <v>0.90300000000000002</v>
      </c>
      <c r="V7709" s="508">
        <v>0.97799999999999998</v>
      </c>
      <c r="W7709" s="508"/>
      <c r="X7709" s="508">
        <v>0.87</v>
      </c>
      <c r="Y7709" s="508"/>
      <c r="Z7709" s="508"/>
      <c r="AA7709" s="508"/>
      <c r="AB7709" s="508"/>
      <c r="AC7709" s="508"/>
      <c r="AD7709" s="508"/>
      <c r="AE7709" s="508"/>
      <c r="AF7709" s="508"/>
      <c r="AG7709" s="508"/>
      <c r="AH7709" s="508"/>
      <c r="AI7709" s="492"/>
      <c r="AJ7709" s="485"/>
    </row>
    <row r="7710" spans="2:36">
      <c r="B7710" s="136" t="s">
        <v>473</v>
      </c>
      <c r="C7710" s="132" t="s">
        <v>1374</v>
      </c>
      <c r="D7710" s="132" t="s">
        <v>1381</v>
      </c>
      <c r="E7710" s="508">
        <v>5.1150000000000002</v>
      </c>
      <c r="F7710" s="508">
        <v>4.0490000000000004</v>
      </c>
      <c r="G7710" s="508">
        <v>3.5939999999999999</v>
      </c>
      <c r="H7710" s="508">
        <v>3.6760000000000002</v>
      </c>
      <c r="I7710" s="508">
        <v>3.6509999999999998</v>
      </c>
      <c r="J7710" s="508">
        <v>3.335</v>
      </c>
      <c r="K7710" s="508">
        <v>3.1520000000000001</v>
      </c>
      <c r="L7710" s="508">
        <v>3.0960000000000001</v>
      </c>
      <c r="M7710" s="508">
        <v>3.0209999999999999</v>
      </c>
      <c r="N7710" s="508">
        <v>2.97</v>
      </c>
      <c r="O7710" s="508">
        <v>2.71</v>
      </c>
      <c r="P7710" s="508">
        <v>3.0289999999999999</v>
      </c>
      <c r="Q7710" s="508">
        <v>2.5670000000000002</v>
      </c>
      <c r="R7710" s="508">
        <v>1.6990000000000001</v>
      </c>
      <c r="S7710" s="508">
        <v>1.5680000000000001</v>
      </c>
      <c r="T7710" s="508">
        <v>1.5740000000000001</v>
      </c>
      <c r="U7710" s="508">
        <v>1.034</v>
      </c>
      <c r="V7710" s="508">
        <v>1.1339999999999999</v>
      </c>
      <c r="W7710" s="508"/>
      <c r="X7710" s="508">
        <v>1.016</v>
      </c>
      <c r="Y7710" s="508"/>
      <c r="Z7710" s="508"/>
      <c r="AA7710" s="508"/>
      <c r="AB7710" s="508"/>
      <c r="AC7710" s="508"/>
      <c r="AD7710" s="508"/>
      <c r="AE7710" s="508"/>
      <c r="AF7710" s="508"/>
      <c r="AG7710" s="508"/>
      <c r="AH7710" s="508"/>
      <c r="AI7710" s="492"/>
      <c r="AJ7710" s="485"/>
    </row>
    <row r="7711" spans="2:36">
      <c r="B7711" s="136" t="s">
        <v>474</v>
      </c>
      <c r="C7711" s="132" t="s">
        <v>1374</v>
      </c>
      <c r="D7711" s="132" t="s">
        <v>1381</v>
      </c>
      <c r="E7711" s="508">
        <v>4.3230000000000004</v>
      </c>
      <c r="F7711" s="508">
        <v>3.5590000000000002</v>
      </c>
      <c r="G7711" s="508">
        <v>3.1549999999999998</v>
      </c>
      <c r="H7711" s="508">
        <v>3.2320000000000002</v>
      </c>
      <c r="I7711" s="508">
        <v>3.2160000000000002</v>
      </c>
      <c r="J7711" s="508">
        <v>2.95</v>
      </c>
      <c r="K7711" s="508">
        <v>2.7890000000000001</v>
      </c>
      <c r="L7711" s="508">
        <v>2.7429999999999999</v>
      </c>
      <c r="M7711" s="508">
        <v>2.6789999999999998</v>
      </c>
      <c r="N7711" s="508">
        <v>2.637</v>
      </c>
      <c r="O7711" s="508">
        <v>2.4049999999999998</v>
      </c>
      <c r="P7711" s="508">
        <v>2.6930000000000001</v>
      </c>
      <c r="Q7711" s="508">
        <v>2.278</v>
      </c>
      <c r="R7711" s="508">
        <v>1.4610000000000001</v>
      </c>
      <c r="S7711" s="508">
        <v>1.345</v>
      </c>
      <c r="T7711" s="508">
        <v>1.36</v>
      </c>
      <c r="U7711" s="508">
        <v>0.97099999999999997</v>
      </c>
      <c r="V7711" s="508">
        <v>1.0740000000000001</v>
      </c>
      <c r="W7711" s="508"/>
      <c r="X7711" s="508">
        <v>0.96199999999999997</v>
      </c>
      <c r="Y7711" s="508"/>
      <c r="Z7711" s="508"/>
      <c r="AA7711" s="508"/>
      <c r="AB7711" s="508"/>
      <c r="AC7711" s="508"/>
      <c r="AD7711" s="508"/>
      <c r="AE7711" s="508"/>
      <c r="AF7711" s="508"/>
      <c r="AG7711" s="508"/>
      <c r="AH7711" s="508"/>
      <c r="AI7711" s="492"/>
      <c r="AJ7711" s="485"/>
    </row>
    <row r="7712" spans="2:36">
      <c r="B7712" s="136" t="s">
        <v>475</v>
      </c>
      <c r="C7712" s="132" t="s">
        <v>1374</v>
      </c>
      <c r="D7712" s="132" t="s">
        <v>1381</v>
      </c>
      <c r="E7712" s="508">
        <v>4.5</v>
      </c>
      <c r="F7712" s="508">
        <v>3.53</v>
      </c>
      <c r="G7712" s="508">
        <v>3.1280000000000001</v>
      </c>
      <c r="H7712" s="508">
        <v>3.202</v>
      </c>
      <c r="I7712" s="508">
        <v>3.1829999999999998</v>
      </c>
      <c r="J7712" s="508">
        <v>2.9430000000000001</v>
      </c>
      <c r="K7712" s="508">
        <v>2.7829999999999999</v>
      </c>
      <c r="L7712" s="508">
        <v>2.7349999999999999</v>
      </c>
      <c r="M7712" s="508">
        <v>2.67</v>
      </c>
      <c r="N7712" s="508">
        <v>2.6269999999999998</v>
      </c>
      <c r="O7712" s="508">
        <v>2.3969999999999998</v>
      </c>
      <c r="P7712" s="508">
        <v>2.681</v>
      </c>
      <c r="Q7712" s="508">
        <v>2.2709999999999999</v>
      </c>
      <c r="R7712" s="508">
        <v>1.456</v>
      </c>
      <c r="S7712" s="508">
        <v>1.341</v>
      </c>
      <c r="T7712" s="508">
        <v>1.351</v>
      </c>
      <c r="U7712" s="508">
        <v>0.93300000000000005</v>
      </c>
      <c r="V7712" s="508">
        <v>1.0289999999999999</v>
      </c>
      <c r="W7712" s="508"/>
      <c r="X7712" s="508">
        <v>0.92</v>
      </c>
      <c r="Y7712" s="508"/>
      <c r="Z7712" s="508"/>
      <c r="AA7712" s="508"/>
      <c r="AB7712" s="508"/>
      <c r="AC7712" s="508"/>
      <c r="AD7712" s="508"/>
      <c r="AE7712" s="508"/>
      <c r="AF7712" s="508"/>
      <c r="AG7712" s="508"/>
      <c r="AH7712" s="508"/>
      <c r="AI7712" s="492"/>
      <c r="AJ7712" s="485"/>
    </row>
    <row r="7713" spans="2:36">
      <c r="B7713" s="136" t="s">
        <v>476</v>
      </c>
      <c r="C7713" s="132" t="s">
        <v>1374</v>
      </c>
      <c r="D7713" s="132" t="s">
        <v>1381</v>
      </c>
      <c r="E7713" s="508">
        <v>4.8680000000000003</v>
      </c>
      <c r="F7713" s="508">
        <v>3.8580000000000001</v>
      </c>
      <c r="G7713" s="508">
        <v>3.427</v>
      </c>
      <c r="H7713" s="508">
        <v>3.504</v>
      </c>
      <c r="I7713" s="508">
        <v>3.4820000000000002</v>
      </c>
      <c r="J7713" s="508">
        <v>3.1909999999999998</v>
      </c>
      <c r="K7713" s="508">
        <v>3.0169999999999999</v>
      </c>
      <c r="L7713" s="508">
        <v>2.9649999999999999</v>
      </c>
      <c r="M7713" s="508">
        <v>2.8929999999999998</v>
      </c>
      <c r="N7713" s="508">
        <v>2.8460000000000001</v>
      </c>
      <c r="O7713" s="508">
        <v>2.5990000000000002</v>
      </c>
      <c r="P7713" s="508">
        <v>2.903</v>
      </c>
      <c r="Q7713" s="508">
        <v>2.4649999999999999</v>
      </c>
      <c r="R7713" s="508">
        <v>1.6060000000000001</v>
      </c>
      <c r="S7713" s="508">
        <v>1.4830000000000001</v>
      </c>
      <c r="T7713" s="508">
        <v>1.4890000000000001</v>
      </c>
      <c r="U7713" s="508">
        <v>1.0389999999999999</v>
      </c>
      <c r="V7713" s="508">
        <v>1.1379999999999999</v>
      </c>
      <c r="W7713" s="508"/>
      <c r="X7713" s="508">
        <v>1.0209999999999999</v>
      </c>
      <c r="Y7713" s="508"/>
      <c r="Z7713" s="508"/>
      <c r="AA7713" s="508"/>
      <c r="AB7713" s="508"/>
      <c r="AC7713" s="508"/>
      <c r="AD7713" s="508"/>
      <c r="AE7713" s="508"/>
      <c r="AF7713" s="508"/>
      <c r="AG7713" s="508"/>
      <c r="AH7713" s="508"/>
      <c r="AI7713" s="492"/>
      <c r="AJ7713" s="485"/>
    </row>
    <row r="7714" spans="2:36">
      <c r="B7714" s="136" t="s">
        <v>478</v>
      </c>
      <c r="C7714" s="132" t="s">
        <v>1374</v>
      </c>
      <c r="D7714" s="132" t="s">
        <v>1381</v>
      </c>
      <c r="E7714" s="508">
        <v>4.968</v>
      </c>
      <c r="F7714" s="508">
        <v>3.9159999999999999</v>
      </c>
      <c r="G7714" s="508">
        <v>3.4769999999999999</v>
      </c>
      <c r="H7714" s="508">
        <v>3.556</v>
      </c>
      <c r="I7714" s="508">
        <v>3.532</v>
      </c>
      <c r="J7714" s="508">
        <v>3.222</v>
      </c>
      <c r="K7714" s="508">
        <v>3.0449999999999999</v>
      </c>
      <c r="L7714" s="508">
        <v>2.9910000000000001</v>
      </c>
      <c r="M7714" s="508">
        <v>2.9180000000000001</v>
      </c>
      <c r="N7714" s="508">
        <v>2.87</v>
      </c>
      <c r="O7714" s="508">
        <v>2.6179999999999999</v>
      </c>
      <c r="P7714" s="508">
        <v>2.927</v>
      </c>
      <c r="Q7714" s="508">
        <v>2.48</v>
      </c>
      <c r="R7714" s="508">
        <v>1.643</v>
      </c>
      <c r="S7714" s="508">
        <v>1.5169999999999999</v>
      </c>
      <c r="T7714" s="508">
        <v>1.5229999999999999</v>
      </c>
      <c r="U7714" s="508">
        <v>1.127</v>
      </c>
      <c r="V7714" s="508">
        <v>1.234</v>
      </c>
      <c r="W7714" s="508"/>
      <c r="X7714" s="508">
        <v>1.107</v>
      </c>
      <c r="Y7714" s="508"/>
      <c r="Z7714" s="508"/>
      <c r="AA7714" s="508"/>
      <c r="AB7714" s="508"/>
      <c r="AC7714" s="508"/>
      <c r="AD7714" s="508"/>
      <c r="AE7714" s="508"/>
      <c r="AF7714" s="508"/>
      <c r="AG7714" s="508"/>
      <c r="AH7714" s="508"/>
      <c r="AI7714" s="492"/>
      <c r="AJ7714" s="485"/>
    </row>
    <row r="7715" spans="2:36">
      <c r="B7715" s="136" t="s">
        <v>479</v>
      </c>
      <c r="C7715" s="132" t="s">
        <v>1374</v>
      </c>
      <c r="D7715" s="132" t="s">
        <v>1381</v>
      </c>
      <c r="E7715" s="508">
        <v>4.3040000000000003</v>
      </c>
      <c r="F7715" s="508">
        <v>3.6070000000000002</v>
      </c>
      <c r="G7715" s="508">
        <v>3.2010000000000001</v>
      </c>
      <c r="H7715" s="508">
        <v>3.2810000000000001</v>
      </c>
      <c r="I7715" s="508">
        <v>3.266</v>
      </c>
      <c r="J7715" s="508">
        <v>2.988</v>
      </c>
      <c r="K7715" s="508">
        <v>2.8279999999999998</v>
      </c>
      <c r="L7715" s="508">
        <v>2.7829999999999999</v>
      </c>
      <c r="M7715" s="508">
        <v>2.72</v>
      </c>
      <c r="N7715" s="508">
        <v>2.68</v>
      </c>
      <c r="O7715" s="508">
        <v>2.4460000000000002</v>
      </c>
      <c r="P7715" s="508">
        <v>2.7389999999999999</v>
      </c>
      <c r="Q7715" s="508">
        <v>2.319</v>
      </c>
      <c r="R7715" s="508">
        <v>1.462</v>
      </c>
      <c r="S7715" s="508">
        <v>1.3460000000000001</v>
      </c>
      <c r="T7715" s="508">
        <v>1.3660000000000001</v>
      </c>
      <c r="U7715" s="508">
        <v>0.95099999999999996</v>
      </c>
      <c r="V7715" s="508">
        <v>1.0509999999999999</v>
      </c>
      <c r="W7715" s="508"/>
      <c r="X7715" s="508">
        <v>0.94599999999999995</v>
      </c>
      <c r="Y7715" s="508"/>
      <c r="Z7715" s="508"/>
      <c r="AA7715" s="508"/>
      <c r="AB7715" s="508"/>
      <c r="AC7715" s="508"/>
      <c r="AD7715" s="508"/>
      <c r="AE7715" s="508"/>
      <c r="AF7715" s="508"/>
      <c r="AG7715" s="508"/>
      <c r="AH7715" s="508"/>
      <c r="AI7715" s="492"/>
      <c r="AJ7715" s="485"/>
    </row>
    <row r="7716" spans="2:36">
      <c r="B7716" s="136" t="s">
        <v>480</v>
      </c>
      <c r="C7716" s="132" t="s">
        <v>1374</v>
      </c>
      <c r="D7716" s="132" t="s">
        <v>1381</v>
      </c>
      <c r="E7716" s="508">
        <v>4.3760000000000003</v>
      </c>
      <c r="F7716" s="508">
        <v>3.395</v>
      </c>
      <c r="G7716" s="508">
        <v>3.016</v>
      </c>
      <c r="H7716" s="508">
        <v>3.0779999999999998</v>
      </c>
      <c r="I7716" s="508">
        <v>3.0529999999999999</v>
      </c>
      <c r="J7716" s="508">
        <v>2.88</v>
      </c>
      <c r="K7716" s="508">
        <v>2.726</v>
      </c>
      <c r="L7716" s="508">
        <v>2.6749999999999998</v>
      </c>
      <c r="M7716" s="508">
        <v>2.61</v>
      </c>
      <c r="N7716" s="508">
        <v>2.5659999999999998</v>
      </c>
      <c r="O7716" s="508">
        <v>2.3490000000000002</v>
      </c>
      <c r="P7716" s="508">
        <v>2.6150000000000002</v>
      </c>
      <c r="Q7716" s="508">
        <v>2.2360000000000002</v>
      </c>
      <c r="R7716" s="508">
        <v>1.409</v>
      </c>
      <c r="S7716" s="508">
        <v>1.3</v>
      </c>
      <c r="T7716" s="508">
        <v>1.2929999999999999</v>
      </c>
      <c r="U7716" s="508">
        <v>0.85899999999999999</v>
      </c>
      <c r="V7716" s="508">
        <v>0.93500000000000005</v>
      </c>
      <c r="W7716" s="508"/>
      <c r="X7716" s="508">
        <v>0.83499999999999996</v>
      </c>
      <c r="Y7716" s="508"/>
      <c r="Z7716" s="508"/>
      <c r="AA7716" s="508"/>
      <c r="AB7716" s="508"/>
      <c r="AC7716" s="508"/>
      <c r="AD7716" s="508"/>
      <c r="AE7716" s="508"/>
      <c r="AF7716" s="508"/>
      <c r="AG7716" s="508"/>
      <c r="AH7716" s="508"/>
      <c r="AI7716" s="492"/>
      <c r="AJ7716" s="485"/>
    </row>
    <row r="7717" spans="2:36">
      <c r="B7717" s="136" t="s">
        <v>481</v>
      </c>
      <c r="C7717" s="132" t="s">
        <v>1374</v>
      </c>
      <c r="D7717" s="132" t="s">
        <v>1381</v>
      </c>
      <c r="E7717" s="508">
        <v>4.5659999999999998</v>
      </c>
      <c r="F7717" s="508">
        <v>3.7389999999999999</v>
      </c>
      <c r="G7717" s="508">
        <v>3.3180000000000001</v>
      </c>
      <c r="H7717" s="508">
        <v>3.3980000000000001</v>
      </c>
      <c r="I7717" s="508">
        <v>3.3809999999999998</v>
      </c>
      <c r="J7717" s="508">
        <v>3.0950000000000002</v>
      </c>
      <c r="K7717" s="508">
        <v>2.927</v>
      </c>
      <c r="L7717" s="508">
        <v>2.879</v>
      </c>
      <c r="M7717" s="508">
        <v>2.8119999999999998</v>
      </c>
      <c r="N7717" s="508">
        <v>2.7690000000000001</v>
      </c>
      <c r="O7717" s="508">
        <v>2.5259999999999998</v>
      </c>
      <c r="P7717" s="508">
        <v>2.827</v>
      </c>
      <c r="Q7717" s="508">
        <v>2.3940000000000001</v>
      </c>
      <c r="R7717" s="508">
        <v>1.532</v>
      </c>
      <c r="S7717" s="508">
        <v>1.4119999999999999</v>
      </c>
      <c r="T7717" s="508">
        <v>1.4279999999999999</v>
      </c>
      <c r="U7717" s="508">
        <v>0.96699999999999997</v>
      </c>
      <c r="V7717" s="508">
        <v>1.0660000000000001</v>
      </c>
      <c r="W7717" s="508"/>
      <c r="X7717" s="508">
        <v>0.95799999999999996</v>
      </c>
      <c r="Y7717" s="508"/>
      <c r="Z7717" s="508"/>
      <c r="AA7717" s="508"/>
      <c r="AB7717" s="508"/>
      <c r="AC7717" s="508"/>
      <c r="AD7717" s="508"/>
      <c r="AE7717" s="508"/>
      <c r="AF7717" s="508"/>
      <c r="AG7717" s="508"/>
      <c r="AH7717" s="508"/>
      <c r="AI7717" s="492"/>
      <c r="AJ7717" s="485"/>
    </row>
    <row r="7718" spans="2:36">
      <c r="B7718" s="136" t="s">
        <v>482</v>
      </c>
      <c r="C7718" s="132" t="s">
        <v>1374</v>
      </c>
      <c r="D7718" s="132" t="s">
        <v>1381</v>
      </c>
      <c r="E7718" s="508">
        <v>4.1900000000000004</v>
      </c>
      <c r="F7718" s="508">
        <v>3.585</v>
      </c>
      <c r="G7718" s="508">
        <v>3.1749999999999998</v>
      </c>
      <c r="H7718" s="508">
        <v>3.2570000000000001</v>
      </c>
      <c r="I7718" s="508">
        <v>3.2440000000000002</v>
      </c>
      <c r="J7718" s="508">
        <v>2.9649999999999999</v>
      </c>
      <c r="K7718" s="508">
        <v>2.8039999999999998</v>
      </c>
      <c r="L7718" s="508">
        <v>2.76</v>
      </c>
      <c r="M7718" s="508">
        <v>2.6970000000000001</v>
      </c>
      <c r="N7718" s="508">
        <v>2.657</v>
      </c>
      <c r="O7718" s="508">
        <v>2.42</v>
      </c>
      <c r="P7718" s="508">
        <v>2.7149999999999999</v>
      </c>
      <c r="Q7718" s="508">
        <v>2.2879999999999998</v>
      </c>
      <c r="R7718" s="508">
        <v>1.456</v>
      </c>
      <c r="S7718" s="508">
        <v>1.339</v>
      </c>
      <c r="T7718" s="508">
        <v>1.363</v>
      </c>
      <c r="U7718" s="508">
        <v>0.998</v>
      </c>
      <c r="V7718" s="508">
        <v>1.1060000000000001</v>
      </c>
      <c r="W7718" s="508"/>
      <c r="X7718" s="508">
        <v>0.996</v>
      </c>
      <c r="Y7718" s="508"/>
      <c r="Z7718" s="508"/>
      <c r="AA7718" s="508"/>
      <c r="AB7718" s="508"/>
      <c r="AC7718" s="508"/>
      <c r="AD7718" s="508"/>
      <c r="AE7718" s="508"/>
      <c r="AF7718" s="508"/>
      <c r="AG7718" s="508"/>
      <c r="AH7718" s="508"/>
      <c r="AI7718" s="492"/>
      <c r="AJ7718" s="485"/>
    </row>
    <row r="7719" spans="2:36">
      <c r="B7719" s="136" t="s">
        <v>483</v>
      </c>
      <c r="C7719" s="132" t="s">
        <v>1374</v>
      </c>
      <c r="D7719" s="132" t="s">
        <v>1381</v>
      </c>
      <c r="E7719" s="508">
        <v>5.1139999999999999</v>
      </c>
      <c r="F7719" s="508">
        <v>4.0209999999999999</v>
      </c>
      <c r="G7719" s="508">
        <v>3.5710000000000002</v>
      </c>
      <c r="H7719" s="508">
        <v>3.6509999999999998</v>
      </c>
      <c r="I7719" s="508">
        <v>3.625</v>
      </c>
      <c r="J7719" s="508">
        <v>3.3119999999999998</v>
      </c>
      <c r="K7719" s="508">
        <v>3.1309999999999998</v>
      </c>
      <c r="L7719" s="508">
        <v>3.0750000000000002</v>
      </c>
      <c r="M7719" s="508">
        <v>3</v>
      </c>
      <c r="N7719" s="508">
        <v>2.9489999999999998</v>
      </c>
      <c r="O7719" s="508">
        <v>2.6920000000000002</v>
      </c>
      <c r="P7719" s="508">
        <v>3.008</v>
      </c>
      <c r="Q7719" s="508">
        <v>2.5529999999999999</v>
      </c>
      <c r="R7719" s="508">
        <v>1.6890000000000001</v>
      </c>
      <c r="S7719" s="508">
        <v>1.5609999999999999</v>
      </c>
      <c r="T7719" s="508">
        <v>1.5629999999999999</v>
      </c>
      <c r="U7719" s="508">
        <v>1.083</v>
      </c>
      <c r="V7719" s="508">
        <v>1.1859999999999999</v>
      </c>
      <c r="W7719" s="508"/>
      <c r="X7719" s="508">
        <v>1.0609999999999999</v>
      </c>
      <c r="Y7719" s="508"/>
      <c r="Z7719" s="508"/>
      <c r="AA7719" s="508"/>
      <c r="AB7719" s="508"/>
      <c r="AC7719" s="508"/>
      <c r="AD7719" s="508"/>
      <c r="AE7719" s="508"/>
      <c r="AF7719" s="508"/>
      <c r="AG7719" s="508"/>
      <c r="AH7719" s="508"/>
      <c r="AI7719" s="492"/>
      <c r="AJ7719" s="485"/>
    </row>
    <row r="7720" spans="2:36">
      <c r="B7720" s="136" t="s">
        <v>484</v>
      </c>
      <c r="C7720" s="132" t="s">
        <v>1374</v>
      </c>
      <c r="D7720" s="132" t="s">
        <v>1381</v>
      </c>
      <c r="E7720" s="508">
        <v>4.492</v>
      </c>
      <c r="F7720" s="508">
        <v>3.4609999999999999</v>
      </c>
      <c r="G7720" s="508">
        <v>3.0710000000000002</v>
      </c>
      <c r="H7720" s="508">
        <v>3.1349999999999998</v>
      </c>
      <c r="I7720" s="508">
        <v>3.109</v>
      </c>
      <c r="J7720" s="508">
        <v>2.9329999999999998</v>
      </c>
      <c r="K7720" s="508">
        <v>2.774</v>
      </c>
      <c r="L7720" s="508">
        <v>2.7229999999999999</v>
      </c>
      <c r="M7720" s="508">
        <v>2.6549999999999998</v>
      </c>
      <c r="N7720" s="508">
        <v>2.609</v>
      </c>
      <c r="O7720" s="508">
        <v>2.387</v>
      </c>
      <c r="P7720" s="508">
        <v>2.6589999999999998</v>
      </c>
      <c r="Q7720" s="508">
        <v>2.2690000000000001</v>
      </c>
      <c r="R7720" s="508">
        <v>1.444</v>
      </c>
      <c r="S7720" s="508">
        <v>1.3320000000000001</v>
      </c>
      <c r="T7720" s="508">
        <v>1.3260000000000001</v>
      </c>
      <c r="U7720" s="508">
        <v>0.90800000000000003</v>
      </c>
      <c r="V7720" s="508">
        <v>0.99</v>
      </c>
      <c r="W7720" s="508"/>
      <c r="X7720" s="508">
        <v>0.88200000000000001</v>
      </c>
      <c r="Y7720" s="508"/>
      <c r="Z7720" s="508"/>
      <c r="AA7720" s="508"/>
      <c r="AB7720" s="508"/>
      <c r="AC7720" s="508"/>
      <c r="AD7720" s="508"/>
      <c r="AE7720" s="508"/>
      <c r="AF7720" s="508"/>
      <c r="AG7720" s="508"/>
      <c r="AH7720" s="508"/>
      <c r="AI7720" s="492"/>
      <c r="AJ7720" s="485"/>
    </row>
    <row r="7721" spans="2:36">
      <c r="B7721" s="136" t="s">
        <v>486</v>
      </c>
      <c r="C7721" s="132" t="s">
        <v>1374</v>
      </c>
      <c r="D7721" s="132" t="s">
        <v>1381</v>
      </c>
      <c r="E7721" s="508">
        <v>4.5380000000000003</v>
      </c>
      <c r="F7721" s="508">
        <v>3.68</v>
      </c>
      <c r="G7721" s="508">
        <v>3.2650000000000001</v>
      </c>
      <c r="H7721" s="508">
        <v>3.343</v>
      </c>
      <c r="I7721" s="508">
        <v>3.3250000000000002</v>
      </c>
      <c r="J7721" s="508">
        <v>3.0470000000000002</v>
      </c>
      <c r="K7721" s="508">
        <v>2.8820000000000001</v>
      </c>
      <c r="L7721" s="508">
        <v>2.8330000000000002</v>
      </c>
      <c r="M7721" s="508">
        <v>2.7669999999999999</v>
      </c>
      <c r="N7721" s="508">
        <v>2.7229999999999999</v>
      </c>
      <c r="O7721" s="508">
        <v>2.4849999999999999</v>
      </c>
      <c r="P7721" s="508">
        <v>2.78</v>
      </c>
      <c r="Q7721" s="508">
        <v>2.355</v>
      </c>
      <c r="R7721" s="508">
        <v>1.514</v>
      </c>
      <c r="S7721" s="508">
        <v>1.3959999999999999</v>
      </c>
      <c r="T7721" s="508">
        <v>1.409</v>
      </c>
      <c r="U7721" s="508">
        <v>1.0129999999999999</v>
      </c>
      <c r="V7721" s="508">
        <v>1.115</v>
      </c>
      <c r="W7721" s="508"/>
      <c r="X7721" s="508">
        <v>1.002</v>
      </c>
      <c r="Y7721" s="508"/>
      <c r="Z7721" s="508"/>
      <c r="AA7721" s="508"/>
      <c r="AB7721" s="508"/>
      <c r="AC7721" s="508"/>
      <c r="AD7721" s="508"/>
      <c r="AE7721" s="508"/>
      <c r="AF7721" s="508"/>
      <c r="AG7721" s="508"/>
      <c r="AH7721" s="508"/>
      <c r="AI7721" s="492"/>
      <c r="AJ7721" s="485"/>
    </row>
    <row r="7722" spans="2:36">
      <c r="B7722" s="136" t="s">
        <v>487</v>
      </c>
      <c r="C7722" s="132" t="s">
        <v>1374</v>
      </c>
      <c r="D7722" s="132" t="s">
        <v>1381</v>
      </c>
      <c r="E7722" s="508">
        <v>4.7679999999999998</v>
      </c>
      <c r="F7722" s="508">
        <v>3.7330000000000001</v>
      </c>
      <c r="G7722" s="508">
        <v>3.3130000000000002</v>
      </c>
      <c r="H7722" s="508">
        <v>3.391</v>
      </c>
      <c r="I7722" s="508">
        <v>3.37</v>
      </c>
      <c r="J7722" s="508">
        <v>3.0950000000000002</v>
      </c>
      <c r="K7722" s="508">
        <v>2.927</v>
      </c>
      <c r="L7722" s="508">
        <v>2.8769999999999998</v>
      </c>
      <c r="M7722" s="508">
        <v>2.8079999999999998</v>
      </c>
      <c r="N7722" s="508">
        <v>2.7629999999999999</v>
      </c>
      <c r="O7722" s="508">
        <v>2.5219999999999998</v>
      </c>
      <c r="P7722" s="508">
        <v>2.82</v>
      </c>
      <c r="Q7722" s="508">
        <v>2.391</v>
      </c>
      <c r="R7722" s="508">
        <v>1.5429999999999999</v>
      </c>
      <c r="S7722" s="508">
        <v>1.423</v>
      </c>
      <c r="T7722" s="508">
        <v>1.4330000000000001</v>
      </c>
      <c r="U7722" s="508">
        <v>0.98499999999999999</v>
      </c>
      <c r="V7722" s="508">
        <v>1.085</v>
      </c>
      <c r="W7722" s="508"/>
      <c r="X7722" s="508">
        <v>0.97099999999999997</v>
      </c>
      <c r="Y7722" s="508"/>
      <c r="Z7722" s="508"/>
      <c r="AA7722" s="508"/>
      <c r="AB7722" s="508"/>
      <c r="AC7722" s="508"/>
      <c r="AD7722" s="508"/>
      <c r="AE7722" s="508"/>
      <c r="AF7722" s="508"/>
      <c r="AG7722" s="508"/>
      <c r="AH7722" s="508"/>
      <c r="AI7722" s="492"/>
      <c r="AJ7722" s="485"/>
    </row>
    <row r="7723" spans="2:36">
      <c r="B7723" s="136" t="s">
        <v>488</v>
      </c>
      <c r="C7723" s="132" t="s">
        <v>1374</v>
      </c>
      <c r="D7723" s="132" t="s">
        <v>1381</v>
      </c>
      <c r="E7723" s="508">
        <v>4.3570000000000002</v>
      </c>
      <c r="F7723" s="508">
        <v>3.4630000000000001</v>
      </c>
      <c r="G7723" s="508">
        <v>3.07</v>
      </c>
      <c r="H7723" s="508">
        <v>3.1419999999999999</v>
      </c>
      <c r="I7723" s="508">
        <v>3.1219999999999999</v>
      </c>
      <c r="J7723" s="508">
        <v>2.9119999999999999</v>
      </c>
      <c r="K7723" s="508">
        <v>2.7549999999999999</v>
      </c>
      <c r="L7723" s="508">
        <v>2.7069999999999999</v>
      </c>
      <c r="M7723" s="508">
        <v>2.6429999999999998</v>
      </c>
      <c r="N7723" s="508">
        <v>2.6</v>
      </c>
      <c r="O7723" s="508">
        <v>2.375</v>
      </c>
      <c r="P7723" s="508">
        <v>2.6539999999999999</v>
      </c>
      <c r="Q7723" s="508">
        <v>2.2530000000000001</v>
      </c>
      <c r="R7723" s="508">
        <v>1.421</v>
      </c>
      <c r="S7723" s="508">
        <v>1.3080000000000001</v>
      </c>
      <c r="T7723" s="508">
        <v>1.3160000000000001</v>
      </c>
      <c r="U7723" s="508">
        <v>0.873</v>
      </c>
      <c r="V7723" s="508">
        <v>0.96099999999999997</v>
      </c>
      <c r="W7723" s="508"/>
      <c r="X7723" s="508">
        <v>0.85899999999999999</v>
      </c>
      <c r="Y7723" s="508"/>
      <c r="Z7723" s="508"/>
      <c r="AA7723" s="508"/>
      <c r="AB7723" s="508"/>
      <c r="AC7723" s="508"/>
      <c r="AD7723" s="508"/>
      <c r="AE7723" s="508"/>
      <c r="AF7723" s="508"/>
      <c r="AG7723" s="508"/>
      <c r="AH7723" s="508"/>
      <c r="AI7723" s="492"/>
      <c r="AJ7723" s="485"/>
    </row>
    <row r="7724" spans="2:36">
      <c r="B7724" s="136" t="s">
        <v>489</v>
      </c>
      <c r="C7724" s="132" t="s">
        <v>1374</v>
      </c>
      <c r="D7724" s="132" t="s">
        <v>1381</v>
      </c>
      <c r="E7724" s="508">
        <v>4.7460000000000004</v>
      </c>
      <c r="F7724" s="508">
        <v>3.6749999999999998</v>
      </c>
      <c r="G7724" s="508">
        <v>3.26</v>
      </c>
      <c r="H7724" s="508">
        <v>3.3290000000000002</v>
      </c>
      <c r="I7724" s="508">
        <v>3.302</v>
      </c>
      <c r="J7724" s="508">
        <v>3.081</v>
      </c>
      <c r="K7724" s="508">
        <v>2.9129999999999998</v>
      </c>
      <c r="L7724" s="508">
        <v>2.8580000000000001</v>
      </c>
      <c r="M7724" s="508">
        <v>2.7869999999999999</v>
      </c>
      <c r="N7724" s="508">
        <v>2.738</v>
      </c>
      <c r="O7724" s="508">
        <v>2.5019999999999998</v>
      </c>
      <c r="P7724" s="508">
        <v>2.79</v>
      </c>
      <c r="Q7724" s="508">
        <v>2.3740000000000001</v>
      </c>
      <c r="R7724" s="508">
        <v>1.5469999999999999</v>
      </c>
      <c r="S7724" s="508">
        <v>1.4279999999999999</v>
      </c>
      <c r="T7724" s="508">
        <v>1.423</v>
      </c>
      <c r="U7724" s="508">
        <v>0.96599999999999997</v>
      </c>
      <c r="V7724" s="508">
        <v>1.052</v>
      </c>
      <c r="W7724" s="508"/>
      <c r="X7724" s="508">
        <v>0.94099999999999995</v>
      </c>
      <c r="Y7724" s="508"/>
      <c r="Z7724" s="508"/>
      <c r="AA7724" s="508"/>
      <c r="AB7724" s="508"/>
      <c r="AC7724" s="508"/>
      <c r="AD7724" s="508"/>
      <c r="AE7724" s="508"/>
      <c r="AF7724" s="508"/>
      <c r="AG7724" s="508"/>
      <c r="AH7724" s="508"/>
      <c r="AI7724" s="492"/>
      <c r="AJ7724" s="485"/>
    </row>
    <row r="7725" spans="2:36">
      <c r="B7725" s="136" t="s">
        <v>490</v>
      </c>
      <c r="C7725" s="132" t="s">
        <v>1374</v>
      </c>
      <c r="D7725" s="132" t="s">
        <v>1381</v>
      </c>
      <c r="E7725" s="508">
        <v>4.3280000000000003</v>
      </c>
      <c r="F7725" s="508">
        <v>3.327</v>
      </c>
      <c r="G7725" s="508">
        <v>2.96</v>
      </c>
      <c r="H7725" s="508">
        <v>3.02</v>
      </c>
      <c r="I7725" s="508">
        <v>2.9950000000000001</v>
      </c>
      <c r="J7725" s="508">
        <v>2.8159999999999998</v>
      </c>
      <c r="K7725" s="508">
        <v>2.6659999999999999</v>
      </c>
      <c r="L7725" s="508">
        <v>2.617</v>
      </c>
      <c r="M7725" s="508">
        <v>2.5529999999999999</v>
      </c>
      <c r="N7725" s="508">
        <v>2.5099999999999998</v>
      </c>
      <c r="O7725" s="508">
        <v>2.302</v>
      </c>
      <c r="P7725" s="508">
        <v>2.5590000000000002</v>
      </c>
      <c r="Q7725" s="508">
        <v>2.194</v>
      </c>
      <c r="R7725" s="508">
        <v>1.379</v>
      </c>
      <c r="S7725" s="508">
        <v>1.274</v>
      </c>
      <c r="T7725" s="508">
        <v>1.266</v>
      </c>
      <c r="U7725" s="508">
        <v>0.86399999999999999</v>
      </c>
      <c r="V7725" s="508">
        <v>0.94199999999999995</v>
      </c>
      <c r="W7725" s="508"/>
      <c r="X7725" s="508">
        <v>0.83699999999999997</v>
      </c>
      <c r="Y7725" s="508"/>
      <c r="Z7725" s="508"/>
      <c r="AA7725" s="508"/>
      <c r="AB7725" s="508"/>
      <c r="AC7725" s="508"/>
      <c r="AD7725" s="508"/>
      <c r="AE7725" s="508"/>
      <c r="AF7725" s="508"/>
      <c r="AG7725" s="508"/>
      <c r="AH7725" s="508"/>
      <c r="AI7725" s="492"/>
      <c r="AJ7725" s="485"/>
    </row>
    <row r="7726" spans="2:36">
      <c r="B7726" s="136" t="s">
        <v>435</v>
      </c>
      <c r="C7726" s="132" t="s">
        <v>1375</v>
      </c>
      <c r="D7726" s="132" t="s">
        <v>1381</v>
      </c>
      <c r="E7726" s="508">
        <v>1.6659999999999999</v>
      </c>
      <c r="F7726" s="508">
        <v>1.605</v>
      </c>
      <c r="G7726" s="508">
        <v>1.5940000000000001</v>
      </c>
      <c r="H7726" s="508">
        <v>1.5569999999999999</v>
      </c>
      <c r="I7726" s="508">
        <v>1.5269999999999999</v>
      </c>
      <c r="J7726" s="508">
        <v>1.5569999999999999</v>
      </c>
      <c r="K7726" s="508">
        <v>1.5349999999999999</v>
      </c>
      <c r="L7726" s="508">
        <v>1.5329999999999999</v>
      </c>
      <c r="M7726" s="508">
        <v>1.504</v>
      </c>
      <c r="N7726" s="508">
        <v>1.5389999999999999</v>
      </c>
      <c r="O7726" s="508">
        <v>1.5580000000000001</v>
      </c>
      <c r="P7726" s="508">
        <v>1.528</v>
      </c>
      <c r="Q7726" s="508">
        <v>1.5620000000000001</v>
      </c>
      <c r="R7726" s="508">
        <v>1.5049999999999999</v>
      </c>
      <c r="S7726" s="508">
        <v>1.5620000000000001</v>
      </c>
      <c r="T7726" s="508">
        <v>1.5569999999999999</v>
      </c>
      <c r="U7726" s="508">
        <v>1.5369999999999999</v>
      </c>
      <c r="V7726" s="508">
        <v>1.6160000000000001</v>
      </c>
      <c r="W7726" s="508">
        <v>0.94099999999999995</v>
      </c>
      <c r="X7726" s="508">
        <v>0.94</v>
      </c>
      <c r="Y7726" s="508">
        <v>0.92900000000000005</v>
      </c>
      <c r="Z7726" s="508">
        <v>0.92800000000000005</v>
      </c>
      <c r="AA7726" s="508">
        <v>0.10100000000000001</v>
      </c>
      <c r="AB7726" s="508">
        <v>0.10299999999999999</v>
      </c>
      <c r="AC7726" s="508">
        <v>9.8000000000000004E-2</v>
      </c>
      <c r="AD7726" s="508">
        <v>6.0999999999999999E-2</v>
      </c>
      <c r="AE7726" s="508">
        <v>6.0999999999999999E-2</v>
      </c>
      <c r="AF7726" s="508">
        <v>5.0999999999999997E-2</v>
      </c>
      <c r="AG7726" s="508">
        <v>5.0999999999999997E-2</v>
      </c>
      <c r="AH7726" s="508">
        <v>5.0999999999999997E-2</v>
      </c>
      <c r="AI7726" s="492">
        <v>5.0999999999999997E-2</v>
      </c>
      <c r="AJ7726" s="485"/>
    </row>
    <row r="7727" spans="2:36">
      <c r="B7727" s="136" t="s">
        <v>436</v>
      </c>
      <c r="C7727" s="132" t="s">
        <v>1375</v>
      </c>
      <c r="D7727" s="132" t="s">
        <v>1381</v>
      </c>
      <c r="E7727" s="508">
        <v>2.4329999999999998</v>
      </c>
      <c r="F7727" s="508">
        <v>2.1739999999999999</v>
      </c>
      <c r="G7727" s="508">
        <v>2.0390000000000001</v>
      </c>
      <c r="H7727" s="508">
        <v>1.92</v>
      </c>
      <c r="I7727" s="508">
        <v>1.8320000000000001</v>
      </c>
      <c r="J7727" s="508">
        <v>1.8129999999999999</v>
      </c>
      <c r="K7727" s="508">
        <v>1.7569999999999999</v>
      </c>
      <c r="L7727" s="508">
        <v>1.726</v>
      </c>
      <c r="M7727" s="508">
        <v>1.675</v>
      </c>
      <c r="N7727" s="508">
        <v>1.6879999999999999</v>
      </c>
      <c r="O7727" s="508">
        <v>1.6890000000000001</v>
      </c>
      <c r="P7727" s="508">
        <v>1.647</v>
      </c>
      <c r="Q7727" s="508">
        <v>1.6659999999999999</v>
      </c>
      <c r="R7727" s="508">
        <v>1.6020000000000001</v>
      </c>
      <c r="S7727" s="508">
        <v>1.645</v>
      </c>
      <c r="T7727" s="508">
        <v>1.6140000000000001</v>
      </c>
      <c r="U7727" s="508">
        <v>1.577</v>
      </c>
      <c r="V7727" s="508">
        <v>1.637</v>
      </c>
      <c r="W7727" s="508">
        <v>0.97899999999999998</v>
      </c>
      <c r="X7727" s="508">
        <v>0.96899999999999997</v>
      </c>
      <c r="Y7727" s="508">
        <v>0.95099999999999996</v>
      </c>
      <c r="Z7727" s="508">
        <v>0.94399999999999995</v>
      </c>
      <c r="AA7727" s="508">
        <v>0.125</v>
      </c>
      <c r="AB7727" s="508">
        <v>0.124</v>
      </c>
      <c r="AC7727" s="508">
        <v>0.11799999999999999</v>
      </c>
      <c r="AD7727" s="508">
        <v>8.2000000000000003E-2</v>
      </c>
      <c r="AE7727" s="508">
        <v>0.08</v>
      </c>
      <c r="AF7727" s="508">
        <v>6.9000000000000006E-2</v>
      </c>
      <c r="AG7727" s="508">
        <v>6.9000000000000006E-2</v>
      </c>
      <c r="AH7727" s="508">
        <v>6.9000000000000006E-2</v>
      </c>
      <c r="AI7727" s="492">
        <v>6.9000000000000006E-2</v>
      </c>
      <c r="AJ7727" s="485"/>
    </row>
    <row r="7728" spans="2:36">
      <c r="B7728" s="136" t="s">
        <v>437</v>
      </c>
      <c r="C7728" s="132" t="s">
        <v>1375</v>
      </c>
      <c r="D7728" s="132" t="s">
        <v>1381</v>
      </c>
      <c r="E7728" s="508">
        <v>1.6040000000000001</v>
      </c>
      <c r="F7728" s="508">
        <v>1.5620000000000001</v>
      </c>
      <c r="G7728" s="508">
        <v>1.5629999999999999</v>
      </c>
      <c r="H7728" s="508">
        <v>1.534</v>
      </c>
      <c r="I7728" s="508">
        <v>1.5089999999999999</v>
      </c>
      <c r="J7728" s="508">
        <v>1.5429999999999999</v>
      </c>
      <c r="K7728" s="508">
        <v>1.5249999999999999</v>
      </c>
      <c r="L7728" s="508">
        <v>1.5249999999999999</v>
      </c>
      <c r="M7728" s="508">
        <v>1.498</v>
      </c>
      <c r="N7728" s="508">
        <v>1.536</v>
      </c>
      <c r="O7728" s="508">
        <v>1.5569999999999999</v>
      </c>
      <c r="P7728" s="508">
        <v>1.5269999999999999</v>
      </c>
      <c r="Q7728" s="508">
        <v>1.5629999999999999</v>
      </c>
      <c r="R7728" s="508">
        <v>1.506</v>
      </c>
      <c r="S7728" s="508">
        <v>1.5649999999999999</v>
      </c>
      <c r="T7728" s="508">
        <v>1.5620000000000001</v>
      </c>
      <c r="U7728" s="508">
        <v>1.544</v>
      </c>
      <c r="V7728" s="508">
        <v>1.625</v>
      </c>
      <c r="W7728" s="508">
        <v>0.94399999999999995</v>
      </c>
      <c r="X7728" s="508">
        <v>0.94399999999999995</v>
      </c>
      <c r="Y7728" s="508">
        <v>0.93300000000000005</v>
      </c>
      <c r="Z7728" s="508">
        <v>0.93300000000000005</v>
      </c>
      <c r="AA7728" s="508">
        <v>9.9000000000000005E-2</v>
      </c>
      <c r="AB7728" s="508">
        <v>0.10100000000000001</v>
      </c>
      <c r="AC7728" s="508">
        <v>9.7000000000000003E-2</v>
      </c>
      <c r="AD7728" s="508">
        <v>0.06</v>
      </c>
      <c r="AE7728" s="508">
        <v>5.8999999999999997E-2</v>
      </c>
      <c r="AF7728" s="508">
        <v>4.9000000000000002E-2</v>
      </c>
      <c r="AG7728" s="508">
        <v>4.9000000000000002E-2</v>
      </c>
      <c r="AH7728" s="508">
        <v>4.9000000000000002E-2</v>
      </c>
      <c r="AI7728" s="492">
        <v>4.9000000000000002E-2</v>
      </c>
      <c r="AJ7728" s="485"/>
    </row>
    <row r="7729" spans="2:36">
      <c r="B7729" s="136" t="s">
        <v>438</v>
      </c>
      <c r="C7729" s="132" t="s">
        <v>1375</v>
      </c>
      <c r="D7729" s="132" t="s">
        <v>1381</v>
      </c>
      <c r="E7729" s="508">
        <v>1.6439999999999999</v>
      </c>
      <c r="F7729" s="508">
        <v>1.5669999999999999</v>
      </c>
      <c r="G7729" s="508">
        <v>1.5429999999999999</v>
      </c>
      <c r="H7729" s="508">
        <v>1.5</v>
      </c>
      <c r="I7729" s="508">
        <v>1.466</v>
      </c>
      <c r="J7729" s="508">
        <v>1.488</v>
      </c>
      <c r="K7729" s="508">
        <v>1.464</v>
      </c>
      <c r="L7729" s="508">
        <v>1.4590000000000001</v>
      </c>
      <c r="M7729" s="508">
        <v>1.43</v>
      </c>
      <c r="N7729" s="508">
        <v>1.46</v>
      </c>
      <c r="O7729" s="508">
        <v>1.4750000000000001</v>
      </c>
      <c r="P7729" s="508">
        <v>1.446</v>
      </c>
      <c r="Q7729" s="508">
        <v>1.476</v>
      </c>
      <c r="R7729" s="508">
        <v>1.423</v>
      </c>
      <c r="S7729" s="508">
        <v>1.4730000000000001</v>
      </c>
      <c r="T7729" s="508">
        <v>1.4650000000000001</v>
      </c>
      <c r="U7729" s="508">
        <v>1.4450000000000001</v>
      </c>
      <c r="V7729" s="508">
        <v>1.5149999999999999</v>
      </c>
      <c r="W7729" s="508">
        <v>0.879</v>
      </c>
      <c r="X7729" s="508">
        <v>0.877</v>
      </c>
      <c r="Y7729" s="508">
        <v>0.86599999999999999</v>
      </c>
      <c r="Z7729" s="508">
        <v>0.86499999999999999</v>
      </c>
      <c r="AA7729" s="508">
        <v>9.6000000000000002E-2</v>
      </c>
      <c r="AB7729" s="508">
        <v>9.8000000000000004E-2</v>
      </c>
      <c r="AC7729" s="508">
        <v>9.2999999999999999E-2</v>
      </c>
      <c r="AD7729" s="508">
        <v>5.8999999999999997E-2</v>
      </c>
      <c r="AE7729" s="508">
        <v>5.8000000000000003E-2</v>
      </c>
      <c r="AF7729" s="508">
        <v>4.9000000000000002E-2</v>
      </c>
      <c r="AG7729" s="508">
        <v>4.9000000000000002E-2</v>
      </c>
      <c r="AH7729" s="508">
        <v>4.9000000000000002E-2</v>
      </c>
      <c r="AI7729" s="492">
        <v>4.9000000000000002E-2</v>
      </c>
      <c r="AJ7729" s="485"/>
    </row>
    <row r="7730" spans="2:36">
      <c r="B7730" s="136" t="s">
        <v>439</v>
      </c>
      <c r="C7730" s="132" t="s">
        <v>1375</v>
      </c>
      <c r="D7730" s="132" t="s">
        <v>1381</v>
      </c>
      <c r="E7730" s="508">
        <v>1.7</v>
      </c>
      <c r="F7730" s="508">
        <v>1.633</v>
      </c>
      <c r="G7730" s="508">
        <v>1.6180000000000001</v>
      </c>
      <c r="H7730" s="508">
        <v>1.579</v>
      </c>
      <c r="I7730" s="508">
        <v>1.5469999999999999</v>
      </c>
      <c r="J7730" s="508">
        <v>1.575</v>
      </c>
      <c r="K7730" s="508">
        <v>1.552</v>
      </c>
      <c r="L7730" s="508">
        <v>1.5489999999999999</v>
      </c>
      <c r="M7730" s="508">
        <v>1.5189999999999999</v>
      </c>
      <c r="N7730" s="508">
        <v>1.554</v>
      </c>
      <c r="O7730" s="508">
        <v>1.5720000000000001</v>
      </c>
      <c r="P7730" s="508">
        <v>1.5409999999999999</v>
      </c>
      <c r="Q7730" s="508">
        <v>1.5760000000000001</v>
      </c>
      <c r="R7730" s="508">
        <v>1.518</v>
      </c>
      <c r="S7730" s="508">
        <v>1.575</v>
      </c>
      <c r="T7730" s="508">
        <v>1.569</v>
      </c>
      <c r="U7730" s="508">
        <v>1.548</v>
      </c>
      <c r="V7730" s="508">
        <v>1.627</v>
      </c>
      <c r="W7730" s="508">
        <v>0.94799999999999995</v>
      </c>
      <c r="X7730" s="508">
        <v>0.94699999999999995</v>
      </c>
      <c r="Y7730" s="508">
        <v>0.93500000000000005</v>
      </c>
      <c r="Z7730" s="508">
        <v>0.93400000000000005</v>
      </c>
      <c r="AA7730" s="508">
        <v>0.10199999999999999</v>
      </c>
      <c r="AB7730" s="508">
        <v>0.104</v>
      </c>
      <c r="AC7730" s="508">
        <v>9.9000000000000005E-2</v>
      </c>
      <c r="AD7730" s="508">
        <v>6.2E-2</v>
      </c>
      <c r="AE7730" s="508">
        <v>6.2E-2</v>
      </c>
      <c r="AF7730" s="508">
        <v>5.1999999999999998E-2</v>
      </c>
      <c r="AG7730" s="508">
        <v>5.0999999999999997E-2</v>
      </c>
      <c r="AH7730" s="508">
        <v>5.1999999999999998E-2</v>
      </c>
      <c r="AI7730" s="492">
        <v>5.1999999999999998E-2</v>
      </c>
      <c r="AJ7730" s="485"/>
    </row>
    <row r="7731" spans="2:36">
      <c r="B7731" s="136" t="s">
        <v>440</v>
      </c>
      <c r="C7731" s="132" t="s">
        <v>1375</v>
      </c>
      <c r="D7731" s="132" t="s">
        <v>1381</v>
      </c>
      <c r="E7731" s="508">
        <v>2.0609999999999999</v>
      </c>
      <c r="F7731" s="508">
        <v>1.9019999999999999</v>
      </c>
      <c r="G7731" s="508">
        <v>1.83</v>
      </c>
      <c r="H7731" s="508">
        <v>1.7529999999999999</v>
      </c>
      <c r="I7731" s="508">
        <v>1.694</v>
      </c>
      <c r="J7731" s="508">
        <v>1.7</v>
      </c>
      <c r="K7731" s="508">
        <v>1.661</v>
      </c>
      <c r="L7731" s="508">
        <v>1.645</v>
      </c>
      <c r="M7731" s="508">
        <v>1.605</v>
      </c>
      <c r="N7731" s="508">
        <v>1.63</v>
      </c>
      <c r="O7731" s="508">
        <v>1.64</v>
      </c>
      <c r="P7731" s="508">
        <v>1.603</v>
      </c>
      <c r="Q7731" s="508">
        <v>1.631</v>
      </c>
      <c r="R7731" s="508">
        <v>1.569</v>
      </c>
      <c r="S7731" s="508">
        <v>1.621</v>
      </c>
      <c r="T7731" s="508">
        <v>1.603</v>
      </c>
      <c r="U7731" s="508">
        <v>1.5740000000000001</v>
      </c>
      <c r="V7731" s="508">
        <v>1.6439999999999999</v>
      </c>
      <c r="W7731" s="508">
        <v>0.97099999999999997</v>
      </c>
      <c r="X7731" s="508">
        <v>0.96599999999999997</v>
      </c>
      <c r="Y7731" s="508">
        <v>0.95099999999999996</v>
      </c>
      <c r="Z7731" s="508">
        <v>0.94699999999999995</v>
      </c>
      <c r="AA7731" s="508">
        <v>0.114</v>
      </c>
      <c r="AB7731" s="508">
        <v>0.114</v>
      </c>
      <c r="AC7731" s="508">
        <v>0.109</v>
      </c>
      <c r="AD7731" s="508">
        <v>7.1999999999999995E-2</v>
      </c>
      <c r="AE7731" s="508">
        <v>7.0999999999999994E-2</v>
      </c>
      <c r="AF7731" s="508">
        <v>0.06</v>
      </c>
      <c r="AG7731" s="508">
        <v>0.06</v>
      </c>
      <c r="AH7731" s="508">
        <v>0.06</v>
      </c>
      <c r="AI7731" s="492">
        <v>0.06</v>
      </c>
      <c r="AJ7731" s="485"/>
    </row>
    <row r="7732" spans="2:36">
      <c r="B7732" s="136" t="s">
        <v>441</v>
      </c>
      <c r="C7732" s="132" t="s">
        <v>1375</v>
      </c>
      <c r="D7732" s="132" t="s">
        <v>1381</v>
      </c>
      <c r="E7732" s="508">
        <v>2.0760000000000001</v>
      </c>
      <c r="F7732" s="508">
        <v>1.92</v>
      </c>
      <c r="G7732" s="508">
        <v>1.85</v>
      </c>
      <c r="H7732" s="508">
        <v>1.7729999999999999</v>
      </c>
      <c r="I7732" s="508">
        <v>1.7150000000000001</v>
      </c>
      <c r="J7732" s="508">
        <v>1.722</v>
      </c>
      <c r="K7732" s="508">
        <v>1.6830000000000001</v>
      </c>
      <c r="L7732" s="508">
        <v>1.6679999999999999</v>
      </c>
      <c r="M7732" s="508">
        <v>1.6279999999999999</v>
      </c>
      <c r="N7732" s="508">
        <v>1.6539999999999999</v>
      </c>
      <c r="O7732" s="508">
        <v>1.665</v>
      </c>
      <c r="P7732" s="508">
        <v>1.6279999999999999</v>
      </c>
      <c r="Q7732" s="508">
        <v>1.6559999999999999</v>
      </c>
      <c r="R7732" s="508">
        <v>1.593</v>
      </c>
      <c r="S7732" s="508">
        <v>1.6459999999999999</v>
      </c>
      <c r="T7732" s="508">
        <v>1.629</v>
      </c>
      <c r="U7732" s="508">
        <v>1.6</v>
      </c>
      <c r="V7732" s="508">
        <v>1.6719999999999999</v>
      </c>
      <c r="W7732" s="508">
        <v>0.98799999999999999</v>
      </c>
      <c r="X7732" s="508">
        <v>0.98299999999999998</v>
      </c>
      <c r="Y7732" s="508">
        <v>0.96799999999999997</v>
      </c>
      <c r="Z7732" s="508">
        <v>0.96399999999999997</v>
      </c>
      <c r="AA7732" s="508">
        <v>0.115</v>
      </c>
      <c r="AB7732" s="508">
        <v>0.11600000000000001</v>
      </c>
      <c r="AC7732" s="508">
        <v>0.111</v>
      </c>
      <c r="AD7732" s="508">
        <v>7.2999999999999995E-2</v>
      </c>
      <c r="AE7732" s="508">
        <v>7.1999999999999995E-2</v>
      </c>
      <c r="AF7732" s="508">
        <v>6.0999999999999999E-2</v>
      </c>
      <c r="AG7732" s="508">
        <v>6.0999999999999999E-2</v>
      </c>
      <c r="AH7732" s="508">
        <v>6.0999999999999999E-2</v>
      </c>
      <c r="AI7732" s="492">
        <v>6.0999999999999999E-2</v>
      </c>
      <c r="AJ7732" s="485"/>
    </row>
    <row r="7733" spans="2:36">
      <c r="B7733" s="136" t="s">
        <v>443</v>
      </c>
      <c r="C7733" s="132" t="s">
        <v>1375</v>
      </c>
      <c r="D7733" s="132" t="s">
        <v>1381</v>
      </c>
      <c r="E7733" s="508">
        <v>2.0179999999999998</v>
      </c>
      <c r="F7733" s="508">
        <v>1.895</v>
      </c>
      <c r="G7733" s="508">
        <v>1.849</v>
      </c>
      <c r="H7733" s="508">
        <v>1.786</v>
      </c>
      <c r="I7733" s="508">
        <v>1.736</v>
      </c>
      <c r="J7733" s="508">
        <v>1.756</v>
      </c>
      <c r="K7733" s="508">
        <v>1.722</v>
      </c>
      <c r="L7733" s="508">
        <v>1.712</v>
      </c>
      <c r="M7733" s="508">
        <v>1.673</v>
      </c>
      <c r="N7733" s="508">
        <v>1.7070000000000001</v>
      </c>
      <c r="O7733" s="508">
        <v>1.7230000000000001</v>
      </c>
      <c r="P7733" s="508">
        <v>1.6859999999999999</v>
      </c>
      <c r="Q7733" s="508">
        <v>1.7210000000000001</v>
      </c>
      <c r="R7733" s="508">
        <v>1.6539999999999999</v>
      </c>
      <c r="S7733" s="508">
        <v>1.7150000000000001</v>
      </c>
      <c r="T7733" s="508">
        <v>1.702</v>
      </c>
      <c r="U7733" s="508">
        <v>1.675</v>
      </c>
      <c r="V7733" s="508">
        <v>1.758</v>
      </c>
      <c r="W7733" s="508">
        <v>1.038</v>
      </c>
      <c r="X7733" s="508">
        <v>1.0349999999999999</v>
      </c>
      <c r="Y7733" s="508">
        <v>1.02</v>
      </c>
      <c r="Z7733" s="508">
        <v>1.018</v>
      </c>
      <c r="AA7733" s="508">
        <v>0.11700000000000001</v>
      </c>
      <c r="AB7733" s="508">
        <v>0.11799999999999999</v>
      </c>
      <c r="AC7733" s="508">
        <v>0.113</v>
      </c>
      <c r="AD7733" s="508">
        <v>7.2999999999999995E-2</v>
      </c>
      <c r="AE7733" s="508">
        <v>7.1999999999999995E-2</v>
      </c>
      <c r="AF7733" s="508">
        <v>6.0999999999999999E-2</v>
      </c>
      <c r="AG7733" s="508">
        <v>6.0999999999999999E-2</v>
      </c>
      <c r="AH7733" s="508">
        <v>6.0999999999999999E-2</v>
      </c>
      <c r="AI7733" s="492">
        <v>6.0999999999999999E-2</v>
      </c>
      <c r="AJ7733" s="485"/>
    </row>
    <row r="7734" spans="2:36">
      <c r="B7734" s="136" t="s">
        <v>445</v>
      </c>
      <c r="C7734" s="132" t="s">
        <v>1375</v>
      </c>
      <c r="D7734" s="132" t="s">
        <v>1381</v>
      </c>
      <c r="E7734" s="508">
        <v>2.2309999999999999</v>
      </c>
      <c r="F7734" s="508">
        <v>2.0979999999999999</v>
      </c>
      <c r="G7734" s="508">
        <v>2.0499999999999998</v>
      </c>
      <c r="H7734" s="508">
        <v>1.98</v>
      </c>
      <c r="I7734" s="508">
        <v>1.925</v>
      </c>
      <c r="J7734" s="508">
        <v>1.9510000000000001</v>
      </c>
      <c r="K7734" s="508">
        <v>1.913</v>
      </c>
      <c r="L7734" s="508">
        <v>1.903</v>
      </c>
      <c r="M7734" s="508">
        <v>1.859</v>
      </c>
      <c r="N7734" s="508">
        <v>1.899</v>
      </c>
      <c r="O7734" s="508">
        <v>1.919</v>
      </c>
      <c r="P7734" s="508">
        <v>1.8759999999999999</v>
      </c>
      <c r="Q7734" s="508">
        <v>1.917</v>
      </c>
      <c r="R7734" s="508">
        <v>1.84</v>
      </c>
      <c r="S7734" s="508">
        <v>1.911</v>
      </c>
      <c r="T7734" s="508">
        <v>1.897</v>
      </c>
      <c r="U7734" s="508">
        <v>1.8660000000000001</v>
      </c>
      <c r="V7734" s="508">
        <v>1.964</v>
      </c>
      <c r="W7734" s="508">
        <v>1.169</v>
      </c>
      <c r="X7734" s="508">
        <v>1.165</v>
      </c>
      <c r="Y7734" s="508">
        <v>1.149</v>
      </c>
      <c r="Z7734" s="508">
        <v>1.1459999999999999</v>
      </c>
      <c r="AA7734" s="508">
        <v>0.13100000000000001</v>
      </c>
      <c r="AB7734" s="508">
        <v>0.13300000000000001</v>
      </c>
      <c r="AC7734" s="508">
        <v>0.127</v>
      </c>
      <c r="AD7734" s="508">
        <v>8.2000000000000003E-2</v>
      </c>
      <c r="AE7734" s="508">
        <v>8.1000000000000003E-2</v>
      </c>
      <c r="AF7734" s="508">
        <v>6.8000000000000005E-2</v>
      </c>
      <c r="AG7734" s="508">
        <v>6.8000000000000005E-2</v>
      </c>
      <c r="AH7734" s="508">
        <v>6.8000000000000005E-2</v>
      </c>
      <c r="AI7734" s="492">
        <v>6.8000000000000005E-2</v>
      </c>
      <c r="AJ7734" s="485"/>
    </row>
    <row r="7735" spans="2:36">
      <c r="B7735" s="136" t="s">
        <v>446</v>
      </c>
      <c r="C7735" s="132" t="s">
        <v>1375</v>
      </c>
      <c r="D7735" s="132" t="s">
        <v>1381</v>
      </c>
      <c r="E7735" s="508">
        <v>1.5660000000000001</v>
      </c>
      <c r="F7735" s="508">
        <v>1.5629999999999999</v>
      </c>
      <c r="G7735" s="508">
        <v>1.591</v>
      </c>
      <c r="H7735" s="508">
        <v>1.577</v>
      </c>
      <c r="I7735" s="508">
        <v>1.5620000000000001</v>
      </c>
      <c r="J7735" s="508">
        <v>1.6120000000000001</v>
      </c>
      <c r="K7735" s="508">
        <v>1.5980000000000001</v>
      </c>
      <c r="L7735" s="508">
        <v>1.605</v>
      </c>
      <c r="M7735" s="508">
        <v>1.58</v>
      </c>
      <c r="N7735" s="508">
        <v>1.627</v>
      </c>
      <c r="O7735" s="508">
        <v>1.655</v>
      </c>
      <c r="P7735" s="508">
        <v>1.6240000000000001</v>
      </c>
      <c r="Q7735" s="508">
        <v>1.6679999999999999</v>
      </c>
      <c r="R7735" s="508">
        <v>1.6060000000000001</v>
      </c>
      <c r="S7735" s="508">
        <v>1.675</v>
      </c>
      <c r="T7735" s="508">
        <v>1.677</v>
      </c>
      <c r="U7735" s="508">
        <v>1.66</v>
      </c>
      <c r="V7735" s="508">
        <v>1.756</v>
      </c>
      <c r="W7735" s="508">
        <v>1.0209999999999999</v>
      </c>
      <c r="X7735" s="508">
        <v>1.0229999999999999</v>
      </c>
      <c r="Y7735" s="508">
        <v>1.0129999999999999</v>
      </c>
      <c r="Z7735" s="508">
        <v>1.0129999999999999</v>
      </c>
      <c r="AA7735" s="508">
        <v>0.10299999999999999</v>
      </c>
      <c r="AB7735" s="508">
        <v>0.106</v>
      </c>
      <c r="AC7735" s="508">
        <v>0.10100000000000001</v>
      </c>
      <c r="AD7735" s="508">
        <v>6.0999999999999999E-2</v>
      </c>
      <c r="AE7735" s="508">
        <v>6.0999999999999999E-2</v>
      </c>
      <c r="AF7735" s="508">
        <v>0.05</v>
      </c>
      <c r="AG7735" s="508">
        <v>0.05</v>
      </c>
      <c r="AH7735" s="508">
        <v>0.05</v>
      </c>
      <c r="AI7735" s="492">
        <v>0.05</v>
      </c>
      <c r="AJ7735" s="485"/>
    </row>
    <row r="7736" spans="2:36">
      <c r="B7736" s="136" t="s">
        <v>448</v>
      </c>
      <c r="C7736" s="132" t="s">
        <v>1375</v>
      </c>
      <c r="D7736" s="132" t="s">
        <v>1381</v>
      </c>
      <c r="E7736" s="508">
        <v>1.661</v>
      </c>
      <c r="F7736" s="508">
        <v>1.5880000000000001</v>
      </c>
      <c r="G7736" s="508">
        <v>1.5680000000000001</v>
      </c>
      <c r="H7736" s="508">
        <v>1.5269999999999999</v>
      </c>
      <c r="I7736" s="508">
        <v>1.494</v>
      </c>
      <c r="J7736" s="508">
        <v>1.518</v>
      </c>
      <c r="K7736" s="508">
        <v>1.4950000000000001</v>
      </c>
      <c r="L7736" s="508">
        <v>1.49</v>
      </c>
      <c r="M7736" s="508">
        <v>1.4610000000000001</v>
      </c>
      <c r="N7736" s="508">
        <v>1.4930000000000001</v>
      </c>
      <c r="O7736" s="508">
        <v>1.51</v>
      </c>
      <c r="P7736" s="508">
        <v>1.48</v>
      </c>
      <c r="Q7736" s="508">
        <v>1.5109999999999999</v>
      </c>
      <c r="R7736" s="508">
        <v>1.4570000000000001</v>
      </c>
      <c r="S7736" s="508">
        <v>1.51</v>
      </c>
      <c r="T7736" s="508">
        <v>1.5029999999999999</v>
      </c>
      <c r="U7736" s="508">
        <v>1.482</v>
      </c>
      <c r="V7736" s="508">
        <v>1.5549999999999999</v>
      </c>
      <c r="W7736" s="508">
        <v>0.90400000000000003</v>
      </c>
      <c r="X7736" s="508">
        <v>0.90300000000000002</v>
      </c>
      <c r="Y7736" s="508">
        <v>0.89100000000000001</v>
      </c>
      <c r="Z7736" s="508">
        <v>0.89</v>
      </c>
      <c r="AA7736" s="508">
        <v>9.8000000000000004E-2</v>
      </c>
      <c r="AB7736" s="508">
        <v>0.1</v>
      </c>
      <c r="AC7736" s="508">
        <v>9.5000000000000001E-2</v>
      </c>
      <c r="AD7736" s="508">
        <v>0.06</v>
      </c>
      <c r="AE7736" s="508">
        <v>0.06</v>
      </c>
      <c r="AF7736" s="508">
        <v>0.05</v>
      </c>
      <c r="AG7736" s="508">
        <v>0.05</v>
      </c>
      <c r="AH7736" s="508">
        <v>0.05</v>
      </c>
      <c r="AI7736" s="492">
        <v>0.05</v>
      </c>
      <c r="AJ7736" s="485"/>
    </row>
    <row r="7737" spans="2:36">
      <c r="B7737" s="136" t="s">
        <v>449</v>
      </c>
      <c r="C7737" s="132" t="s">
        <v>1375</v>
      </c>
      <c r="D7737" s="132" t="s">
        <v>1381</v>
      </c>
      <c r="E7737" s="508">
        <v>1.421</v>
      </c>
      <c r="F7737" s="508">
        <v>1.444</v>
      </c>
      <c r="G7737" s="508">
        <v>1.4870000000000001</v>
      </c>
      <c r="H7737" s="508">
        <v>1.484</v>
      </c>
      <c r="I7737" s="508">
        <v>1.478</v>
      </c>
      <c r="J7737" s="508">
        <v>1.5309999999999999</v>
      </c>
      <c r="K7737" s="508">
        <v>1.5229999999999999</v>
      </c>
      <c r="L7737" s="508">
        <v>1.534</v>
      </c>
      <c r="M7737" s="508">
        <v>1.512</v>
      </c>
      <c r="N7737" s="508">
        <v>1.56</v>
      </c>
      <c r="O7737" s="508">
        <v>1.589</v>
      </c>
      <c r="P7737" s="508">
        <v>1.5609999999999999</v>
      </c>
      <c r="Q7737" s="508">
        <v>1.605</v>
      </c>
      <c r="R7737" s="508">
        <v>1.546</v>
      </c>
      <c r="S7737" s="508">
        <v>1.615</v>
      </c>
      <c r="T7737" s="508">
        <v>1.62</v>
      </c>
      <c r="U7737" s="508">
        <v>1.6060000000000001</v>
      </c>
      <c r="V7737" s="508">
        <v>1.7</v>
      </c>
      <c r="W7737" s="508">
        <v>0.98299999999999998</v>
      </c>
      <c r="X7737" s="508">
        <v>0.98599999999999999</v>
      </c>
      <c r="Y7737" s="508">
        <v>0.97699999999999998</v>
      </c>
      <c r="Z7737" s="508">
        <v>0.97799999999999998</v>
      </c>
      <c r="AA7737" s="508">
        <v>9.7000000000000003E-2</v>
      </c>
      <c r="AB7737" s="508">
        <v>9.9000000000000005E-2</v>
      </c>
      <c r="AC7737" s="508">
        <v>9.6000000000000002E-2</v>
      </c>
      <c r="AD7737" s="508">
        <v>5.6000000000000001E-2</v>
      </c>
      <c r="AE7737" s="508">
        <v>5.6000000000000001E-2</v>
      </c>
      <c r="AF7737" s="508">
        <v>4.5999999999999999E-2</v>
      </c>
      <c r="AG7737" s="508">
        <v>4.5999999999999999E-2</v>
      </c>
      <c r="AH7737" s="508">
        <v>4.5999999999999999E-2</v>
      </c>
      <c r="AI7737" s="492">
        <v>4.5999999999999999E-2</v>
      </c>
      <c r="AJ7737" s="485"/>
    </row>
    <row r="7738" spans="2:36">
      <c r="B7738" s="136" t="s">
        <v>450</v>
      </c>
      <c r="C7738" s="132" t="s">
        <v>1375</v>
      </c>
      <c r="D7738" s="132" t="s">
        <v>1381</v>
      </c>
      <c r="E7738" s="508">
        <v>2.0419999999999998</v>
      </c>
      <c r="F7738" s="508">
        <v>1.8779999999999999</v>
      </c>
      <c r="G7738" s="508">
        <v>1.8029999999999999</v>
      </c>
      <c r="H7738" s="508">
        <v>1.724</v>
      </c>
      <c r="I7738" s="508">
        <v>1.6639999999999999</v>
      </c>
      <c r="J7738" s="508">
        <v>1.667</v>
      </c>
      <c r="K7738" s="508">
        <v>1.6279999999999999</v>
      </c>
      <c r="L7738" s="508">
        <v>1.611</v>
      </c>
      <c r="M7738" s="508">
        <v>1.571</v>
      </c>
      <c r="N7738" s="508">
        <v>1.5940000000000001</v>
      </c>
      <c r="O7738" s="508">
        <v>1.603</v>
      </c>
      <c r="P7738" s="508">
        <v>1.5669999999999999</v>
      </c>
      <c r="Q7738" s="508">
        <v>1.593</v>
      </c>
      <c r="R7738" s="508">
        <v>1.5329999999999999</v>
      </c>
      <c r="S7738" s="508">
        <v>1.5820000000000001</v>
      </c>
      <c r="T7738" s="508">
        <v>1.5629999999999999</v>
      </c>
      <c r="U7738" s="508">
        <v>1.534</v>
      </c>
      <c r="V7738" s="508">
        <v>1.6020000000000001</v>
      </c>
      <c r="W7738" s="508">
        <v>0.94499999999999995</v>
      </c>
      <c r="X7738" s="508">
        <v>0.93899999999999995</v>
      </c>
      <c r="Y7738" s="508">
        <v>0.92500000000000004</v>
      </c>
      <c r="Z7738" s="508">
        <v>0.92100000000000004</v>
      </c>
      <c r="AA7738" s="508">
        <v>0.111</v>
      </c>
      <c r="AB7738" s="508">
        <v>0.112</v>
      </c>
      <c r="AC7738" s="508">
        <v>0.107</v>
      </c>
      <c r="AD7738" s="508">
        <v>7.0999999999999994E-2</v>
      </c>
      <c r="AE7738" s="508">
        <v>7.0000000000000007E-2</v>
      </c>
      <c r="AF7738" s="508">
        <v>0.06</v>
      </c>
      <c r="AG7738" s="508">
        <v>5.8999999999999997E-2</v>
      </c>
      <c r="AH7738" s="508">
        <v>5.8999999999999997E-2</v>
      </c>
      <c r="AI7738" s="492">
        <v>5.8999999999999997E-2</v>
      </c>
      <c r="AJ7738" s="485"/>
    </row>
    <row r="7739" spans="2:36">
      <c r="B7739" s="136" t="s">
        <v>451</v>
      </c>
      <c r="C7739" s="132" t="s">
        <v>1375</v>
      </c>
      <c r="D7739" s="132" t="s">
        <v>1381</v>
      </c>
      <c r="E7739" s="508">
        <v>2.2719999999999998</v>
      </c>
      <c r="F7739" s="508">
        <v>2.105</v>
      </c>
      <c r="G7739" s="508">
        <v>2.0329999999999999</v>
      </c>
      <c r="H7739" s="508">
        <v>1.95</v>
      </c>
      <c r="I7739" s="508">
        <v>1.8859999999999999</v>
      </c>
      <c r="J7739" s="508">
        <v>1.8979999999999999</v>
      </c>
      <c r="K7739" s="508">
        <v>1.8560000000000001</v>
      </c>
      <c r="L7739" s="508">
        <v>1.84</v>
      </c>
      <c r="M7739" s="508">
        <v>1.794</v>
      </c>
      <c r="N7739" s="508">
        <v>1.8260000000000001</v>
      </c>
      <c r="O7739" s="508">
        <v>1.841</v>
      </c>
      <c r="P7739" s="508">
        <v>1.798</v>
      </c>
      <c r="Q7739" s="508">
        <v>1.833</v>
      </c>
      <c r="R7739" s="508">
        <v>1.76</v>
      </c>
      <c r="S7739" s="508">
        <v>1.823</v>
      </c>
      <c r="T7739" s="508">
        <v>1.804</v>
      </c>
      <c r="U7739" s="508">
        <v>1.772</v>
      </c>
      <c r="V7739" s="508">
        <v>1.857</v>
      </c>
      <c r="W7739" s="508">
        <v>1.1060000000000001</v>
      </c>
      <c r="X7739" s="508">
        <v>1.101</v>
      </c>
      <c r="Y7739" s="508">
        <v>1.0840000000000001</v>
      </c>
      <c r="Z7739" s="508">
        <v>1.08</v>
      </c>
      <c r="AA7739" s="508">
        <v>0.128</v>
      </c>
      <c r="AB7739" s="508">
        <v>0.129</v>
      </c>
      <c r="AC7739" s="508">
        <v>0.123</v>
      </c>
      <c r="AD7739" s="508">
        <v>8.1000000000000003E-2</v>
      </c>
      <c r="AE7739" s="508">
        <v>0.08</v>
      </c>
      <c r="AF7739" s="508">
        <v>6.8000000000000005E-2</v>
      </c>
      <c r="AG7739" s="508">
        <v>6.8000000000000005E-2</v>
      </c>
      <c r="AH7739" s="508">
        <v>6.8000000000000005E-2</v>
      </c>
      <c r="AI7739" s="492">
        <v>6.8000000000000005E-2</v>
      </c>
      <c r="AJ7739" s="485"/>
    </row>
    <row r="7740" spans="2:36">
      <c r="B7740" s="136" t="s">
        <v>452</v>
      </c>
      <c r="C7740" s="132" t="s">
        <v>1375</v>
      </c>
      <c r="D7740" s="132" t="s">
        <v>1381</v>
      </c>
      <c r="E7740" s="508">
        <v>2.0609999999999999</v>
      </c>
      <c r="F7740" s="508">
        <v>1.9139999999999999</v>
      </c>
      <c r="G7740" s="508">
        <v>1.851</v>
      </c>
      <c r="H7740" s="508">
        <v>1.778</v>
      </c>
      <c r="I7740" s="508">
        <v>1.722</v>
      </c>
      <c r="J7740" s="508">
        <v>1.7330000000000001</v>
      </c>
      <c r="K7740" s="508">
        <v>1.696</v>
      </c>
      <c r="L7740" s="508">
        <v>1.6819999999999999</v>
      </c>
      <c r="M7740" s="508">
        <v>1.6419999999999999</v>
      </c>
      <c r="N7740" s="508">
        <v>1.67</v>
      </c>
      <c r="O7740" s="508">
        <v>1.6830000000000001</v>
      </c>
      <c r="P7740" s="508">
        <v>1.6459999999999999</v>
      </c>
      <c r="Q7740" s="508">
        <v>1.6759999999999999</v>
      </c>
      <c r="R7740" s="508">
        <v>1.6120000000000001</v>
      </c>
      <c r="S7740" s="508">
        <v>1.6679999999999999</v>
      </c>
      <c r="T7740" s="508">
        <v>1.651</v>
      </c>
      <c r="U7740" s="508">
        <v>1.623</v>
      </c>
      <c r="V7740" s="508">
        <v>1.6990000000000001</v>
      </c>
      <c r="W7740" s="508">
        <v>1.004</v>
      </c>
      <c r="X7740" s="508">
        <v>0.999</v>
      </c>
      <c r="Y7740" s="508">
        <v>0.98499999999999999</v>
      </c>
      <c r="Z7740" s="508">
        <v>0.98099999999999998</v>
      </c>
      <c r="AA7740" s="508">
        <v>0.11600000000000001</v>
      </c>
      <c r="AB7740" s="508">
        <v>0.11700000000000001</v>
      </c>
      <c r="AC7740" s="508">
        <v>0.112</v>
      </c>
      <c r="AD7740" s="508">
        <v>7.2999999999999995E-2</v>
      </c>
      <c r="AE7740" s="508">
        <v>7.1999999999999995E-2</v>
      </c>
      <c r="AF7740" s="508">
        <v>6.0999999999999999E-2</v>
      </c>
      <c r="AG7740" s="508">
        <v>6.0999999999999999E-2</v>
      </c>
      <c r="AH7740" s="508">
        <v>6.0999999999999999E-2</v>
      </c>
      <c r="AI7740" s="492">
        <v>6.0999999999999999E-2</v>
      </c>
      <c r="AJ7740" s="485"/>
    </row>
    <row r="7741" spans="2:36">
      <c r="B7741" s="136" t="s">
        <v>453</v>
      </c>
      <c r="C7741" s="132" t="s">
        <v>1375</v>
      </c>
      <c r="D7741" s="132" t="s">
        <v>1381</v>
      </c>
      <c r="E7741" s="508">
        <v>1.986</v>
      </c>
      <c r="F7741" s="508">
        <v>1.83</v>
      </c>
      <c r="G7741" s="508">
        <v>1.7589999999999999</v>
      </c>
      <c r="H7741" s="508">
        <v>1.6839999999999999</v>
      </c>
      <c r="I7741" s="508">
        <v>1.627</v>
      </c>
      <c r="J7741" s="508">
        <v>1.6319999999999999</v>
      </c>
      <c r="K7741" s="508">
        <v>1.5940000000000001</v>
      </c>
      <c r="L7741" s="508">
        <v>1.5780000000000001</v>
      </c>
      <c r="M7741" s="508">
        <v>1.54</v>
      </c>
      <c r="N7741" s="508">
        <v>1.5620000000000001</v>
      </c>
      <c r="O7741" s="508">
        <v>1.5720000000000001</v>
      </c>
      <c r="P7741" s="508">
        <v>1.5369999999999999</v>
      </c>
      <c r="Q7741" s="508">
        <v>1.5620000000000001</v>
      </c>
      <c r="R7741" s="508">
        <v>1.504</v>
      </c>
      <c r="S7741" s="508">
        <v>1.552</v>
      </c>
      <c r="T7741" s="508">
        <v>1.5349999999999999</v>
      </c>
      <c r="U7741" s="508">
        <v>1.5069999999999999</v>
      </c>
      <c r="V7741" s="508">
        <v>1.573</v>
      </c>
      <c r="W7741" s="508">
        <v>0.92600000000000005</v>
      </c>
      <c r="X7741" s="508">
        <v>0.92100000000000004</v>
      </c>
      <c r="Y7741" s="508">
        <v>0.90700000000000003</v>
      </c>
      <c r="Z7741" s="508">
        <v>0.90300000000000002</v>
      </c>
      <c r="AA7741" s="508">
        <v>0.109</v>
      </c>
      <c r="AB7741" s="508">
        <v>0.109</v>
      </c>
      <c r="AC7741" s="508">
        <v>0.104</v>
      </c>
      <c r="AD7741" s="508">
        <v>6.9000000000000006E-2</v>
      </c>
      <c r="AE7741" s="508">
        <v>6.8000000000000005E-2</v>
      </c>
      <c r="AF7741" s="508">
        <v>5.8000000000000003E-2</v>
      </c>
      <c r="AG7741" s="508">
        <v>5.8000000000000003E-2</v>
      </c>
      <c r="AH7741" s="508">
        <v>5.8000000000000003E-2</v>
      </c>
      <c r="AI7741" s="492">
        <v>5.8000000000000003E-2</v>
      </c>
      <c r="AJ7741" s="485"/>
    </row>
    <row r="7742" spans="2:36">
      <c r="B7742" s="136" t="s">
        <v>454</v>
      </c>
      <c r="C7742" s="132" t="s">
        <v>1375</v>
      </c>
      <c r="D7742" s="132" t="s">
        <v>1381</v>
      </c>
      <c r="E7742" s="508">
        <v>1.87</v>
      </c>
      <c r="F7742" s="508">
        <v>1.7470000000000001</v>
      </c>
      <c r="G7742" s="508">
        <v>1.696</v>
      </c>
      <c r="H7742" s="508">
        <v>1.635</v>
      </c>
      <c r="I7742" s="508">
        <v>1.587</v>
      </c>
      <c r="J7742" s="508">
        <v>1.6</v>
      </c>
      <c r="K7742" s="508">
        <v>1.5680000000000001</v>
      </c>
      <c r="L7742" s="508">
        <v>1.5569999999999999</v>
      </c>
      <c r="M7742" s="508">
        <v>1.522</v>
      </c>
      <c r="N7742" s="508">
        <v>1.548</v>
      </c>
      <c r="O7742" s="508">
        <v>1.5609999999999999</v>
      </c>
      <c r="P7742" s="508">
        <v>1.528</v>
      </c>
      <c r="Q7742" s="508">
        <v>1.556</v>
      </c>
      <c r="R7742" s="508">
        <v>1.4990000000000001</v>
      </c>
      <c r="S7742" s="508">
        <v>1.5489999999999999</v>
      </c>
      <c r="T7742" s="508">
        <v>1.536</v>
      </c>
      <c r="U7742" s="508">
        <v>1.5109999999999999</v>
      </c>
      <c r="V7742" s="508">
        <v>1.581</v>
      </c>
      <c r="W7742" s="508">
        <v>0.92600000000000005</v>
      </c>
      <c r="X7742" s="508">
        <v>0.92300000000000004</v>
      </c>
      <c r="Y7742" s="508">
        <v>0.91</v>
      </c>
      <c r="Z7742" s="508">
        <v>0.90700000000000003</v>
      </c>
      <c r="AA7742" s="508">
        <v>0.105</v>
      </c>
      <c r="AB7742" s="508">
        <v>0.107</v>
      </c>
      <c r="AC7742" s="508">
        <v>0.10199999999999999</v>
      </c>
      <c r="AD7742" s="508">
        <v>6.6000000000000003E-2</v>
      </c>
      <c r="AE7742" s="508">
        <v>6.5000000000000002E-2</v>
      </c>
      <c r="AF7742" s="508">
        <v>5.5E-2</v>
      </c>
      <c r="AG7742" s="508">
        <v>5.5E-2</v>
      </c>
      <c r="AH7742" s="508">
        <v>5.5E-2</v>
      </c>
      <c r="AI7742" s="492">
        <v>5.5E-2</v>
      </c>
      <c r="AJ7742" s="485"/>
    </row>
    <row r="7743" spans="2:36">
      <c r="B7743" s="136" t="s">
        <v>455</v>
      </c>
      <c r="C7743" s="132" t="s">
        <v>1375</v>
      </c>
      <c r="D7743" s="132" t="s">
        <v>1381</v>
      </c>
      <c r="E7743" s="508">
        <v>1.7450000000000001</v>
      </c>
      <c r="F7743" s="508">
        <v>1.639</v>
      </c>
      <c r="G7743" s="508">
        <v>1.5980000000000001</v>
      </c>
      <c r="H7743" s="508">
        <v>1.544</v>
      </c>
      <c r="I7743" s="508">
        <v>1.502</v>
      </c>
      <c r="J7743" s="508">
        <v>1.516</v>
      </c>
      <c r="K7743" s="508">
        <v>1.4870000000000001</v>
      </c>
      <c r="L7743" s="508">
        <v>1.478</v>
      </c>
      <c r="M7743" s="508">
        <v>1.446</v>
      </c>
      <c r="N7743" s="508">
        <v>1.472</v>
      </c>
      <c r="O7743" s="508">
        <v>1.4850000000000001</v>
      </c>
      <c r="P7743" s="508">
        <v>1.454</v>
      </c>
      <c r="Q7743" s="508">
        <v>1.482</v>
      </c>
      <c r="R7743" s="508">
        <v>1.4279999999999999</v>
      </c>
      <c r="S7743" s="508">
        <v>1.476</v>
      </c>
      <c r="T7743" s="508">
        <v>1.4650000000000001</v>
      </c>
      <c r="U7743" s="508">
        <v>1.4419999999999999</v>
      </c>
      <c r="V7743" s="508">
        <v>1.508</v>
      </c>
      <c r="W7743" s="508">
        <v>0.878</v>
      </c>
      <c r="X7743" s="508">
        <v>0.876</v>
      </c>
      <c r="Y7743" s="508">
        <v>0.86399999999999999</v>
      </c>
      <c r="Z7743" s="508">
        <v>0.86099999999999999</v>
      </c>
      <c r="AA7743" s="508">
        <v>9.9000000000000005E-2</v>
      </c>
      <c r="AB7743" s="508">
        <v>0.1</v>
      </c>
      <c r="AC7743" s="508">
        <v>9.6000000000000002E-2</v>
      </c>
      <c r="AD7743" s="508">
        <v>6.2E-2</v>
      </c>
      <c r="AE7743" s="508">
        <v>6.0999999999999999E-2</v>
      </c>
      <c r="AF7743" s="508">
        <v>5.0999999999999997E-2</v>
      </c>
      <c r="AG7743" s="508">
        <v>5.0999999999999997E-2</v>
      </c>
      <c r="AH7743" s="508">
        <v>5.0999999999999997E-2</v>
      </c>
      <c r="AI7743" s="492">
        <v>5.0999999999999997E-2</v>
      </c>
      <c r="AJ7743" s="485"/>
    </row>
    <row r="7744" spans="2:36">
      <c r="B7744" s="136" t="s">
        <v>456</v>
      </c>
      <c r="C7744" s="132" t="s">
        <v>1375</v>
      </c>
      <c r="D7744" s="132" t="s">
        <v>1381</v>
      </c>
      <c r="E7744" s="508">
        <v>1.5409999999999999</v>
      </c>
      <c r="F7744" s="508">
        <v>1.5029999999999999</v>
      </c>
      <c r="G7744" s="508">
        <v>1.506</v>
      </c>
      <c r="H7744" s="508">
        <v>1.48</v>
      </c>
      <c r="I7744" s="508">
        <v>1.4570000000000001</v>
      </c>
      <c r="J7744" s="508">
        <v>1.4910000000000001</v>
      </c>
      <c r="K7744" s="508">
        <v>1.4730000000000001</v>
      </c>
      <c r="L7744" s="508">
        <v>1.474</v>
      </c>
      <c r="M7744" s="508">
        <v>1.4490000000000001</v>
      </c>
      <c r="N7744" s="508">
        <v>1.4850000000000001</v>
      </c>
      <c r="O7744" s="508">
        <v>1.506</v>
      </c>
      <c r="P7744" s="508">
        <v>1.478</v>
      </c>
      <c r="Q7744" s="508">
        <v>1.512</v>
      </c>
      <c r="R7744" s="508">
        <v>1.458</v>
      </c>
      <c r="S7744" s="508">
        <v>1.5149999999999999</v>
      </c>
      <c r="T7744" s="508">
        <v>1.512</v>
      </c>
      <c r="U7744" s="508">
        <v>1.4950000000000001</v>
      </c>
      <c r="V7744" s="508">
        <v>1.573</v>
      </c>
      <c r="W7744" s="508">
        <v>0.91100000000000003</v>
      </c>
      <c r="X7744" s="508">
        <v>0.91100000000000003</v>
      </c>
      <c r="Y7744" s="508">
        <v>0.9</v>
      </c>
      <c r="Z7744" s="508">
        <v>0.9</v>
      </c>
      <c r="AA7744" s="508">
        <v>9.5000000000000001E-2</v>
      </c>
      <c r="AB7744" s="508">
        <v>9.7000000000000003E-2</v>
      </c>
      <c r="AC7744" s="508">
        <v>9.2999999999999999E-2</v>
      </c>
      <c r="AD7744" s="508">
        <v>5.7000000000000002E-2</v>
      </c>
      <c r="AE7744" s="508">
        <v>5.7000000000000002E-2</v>
      </c>
      <c r="AF7744" s="508">
        <v>4.7E-2</v>
      </c>
      <c r="AG7744" s="508">
        <v>4.7E-2</v>
      </c>
      <c r="AH7744" s="508">
        <v>4.7E-2</v>
      </c>
      <c r="AI7744" s="492">
        <v>4.7E-2</v>
      </c>
      <c r="AJ7744" s="485"/>
    </row>
    <row r="7745" spans="2:36">
      <c r="B7745" s="136" t="s">
        <v>457</v>
      </c>
      <c r="C7745" s="132" t="s">
        <v>1375</v>
      </c>
      <c r="D7745" s="132" t="s">
        <v>1381</v>
      </c>
      <c r="E7745" s="508">
        <v>1.9770000000000001</v>
      </c>
      <c r="F7745" s="508">
        <v>1.8120000000000001</v>
      </c>
      <c r="G7745" s="508">
        <v>1.7330000000000001</v>
      </c>
      <c r="H7745" s="508">
        <v>1.6539999999999999</v>
      </c>
      <c r="I7745" s="508">
        <v>1.595</v>
      </c>
      <c r="J7745" s="508">
        <v>1.595</v>
      </c>
      <c r="K7745" s="508">
        <v>1.556</v>
      </c>
      <c r="L7745" s="508">
        <v>1.538</v>
      </c>
      <c r="M7745" s="508">
        <v>1.5</v>
      </c>
      <c r="N7745" s="508">
        <v>1.5189999999999999</v>
      </c>
      <c r="O7745" s="508">
        <v>1.526</v>
      </c>
      <c r="P7745" s="508">
        <v>1.492</v>
      </c>
      <c r="Q7745" s="508">
        <v>1.5149999999999999</v>
      </c>
      <c r="R7745" s="508">
        <v>1.4590000000000001</v>
      </c>
      <c r="S7745" s="508">
        <v>1.5029999999999999</v>
      </c>
      <c r="T7745" s="508">
        <v>1.484</v>
      </c>
      <c r="U7745" s="508">
        <v>1.456</v>
      </c>
      <c r="V7745" s="508">
        <v>1.5169999999999999</v>
      </c>
      <c r="W7745" s="508">
        <v>0.89200000000000002</v>
      </c>
      <c r="X7745" s="508">
        <v>0.88600000000000001</v>
      </c>
      <c r="Y7745" s="508">
        <v>0.872</v>
      </c>
      <c r="Z7745" s="508">
        <v>0.86799999999999999</v>
      </c>
      <c r="AA7745" s="508">
        <v>0.106</v>
      </c>
      <c r="AB7745" s="508">
        <v>0.107</v>
      </c>
      <c r="AC7745" s="508">
        <v>0.10199999999999999</v>
      </c>
      <c r="AD7745" s="508">
        <v>6.8000000000000005E-2</v>
      </c>
      <c r="AE7745" s="508">
        <v>6.7000000000000004E-2</v>
      </c>
      <c r="AF7745" s="508">
        <v>5.7000000000000002E-2</v>
      </c>
      <c r="AG7745" s="508">
        <v>5.7000000000000002E-2</v>
      </c>
      <c r="AH7745" s="508">
        <v>5.7000000000000002E-2</v>
      </c>
      <c r="AI7745" s="492">
        <v>5.7000000000000002E-2</v>
      </c>
      <c r="AJ7745" s="485"/>
    </row>
    <row r="7746" spans="2:36">
      <c r="B7746" s="136" t="s">
        <v>458</v>
      </c>
      <c r="C7746" s="132" t="s">
        <v>1375</v>
      </c>
      <c r="D7746" s="132" t="s">
        <v>1381</v>
      </c>
      <c r="E7746" s="508">
        <v>1.899</v>
      </c>
      <c r="F7746" s="508">
        <v>1.7789999999999999</v>
      </c>
      <c r="G7746" s="508">
        <v>1.7310000000000001</v>
      </c>
      <c r="H7746" s="508">
        <v>1.67</v>
      </c>
      <c r="I7746" s="508">
        <v>1.6220000000000001</v>
      </c>
      <c r="J7746" s="508">
        <v>1.637</v>
      </c>
      <c r="K7746" s="508">
        <v>1.605</v>
      </c>
      <c r="L7746" s="508">
        <v>1.595</v>
      </c>
      <c r="M7746" s="508">
        <v>1.5589999999999999</v>
      </c>
      <c r="N7746" s="508">
        <v>1.5880000000000001</v>
      </c>
      <c r="O7746" s="508">
        <v>1.601</v>
      </c>
      <c r="P7746" s="508">
        <v>1.5669999999999999</v>
      </c>
      <c r="Q7746" s="508">
        <v>1.597</v>
      </c>
      <c r="R7746" s="508">
        <v>1.538</v>
      </c>
      <c r="S7746" s="508">
        <v>1.591</v>
      </c>
      <c r="T7746" s="508">
        <v>1.5780000000000001</v>
      </c>
      <c r="U7746" s="508">
        <v>1.5529999999999999</v>
      </c>
      <c r="V7746" s="508">
        <v>1.6259999999999999</v>
      </c>
      <c r="W7746" s="508">
        <v>0.95399999999999996</v>
      </c>
      <c r="X7746" s="508">
        <v>0.95099999999999996</v>
      </c>
      <c r="Y7746" s="508">
        <v>0.93700000000000006</v>
      </c>
      <c r="Z7746" s="508">
        <v>0.93400000000000005</v>
      </c>
      <c r="AA7746" s="508">
        <v>0.108</v>
      </c>
      <c r="AB7746" s="508">
        <v>0.109</v>
      </c>
      <c r="AC7746" s="508">
        <v>0.104</v>
      </c>
      <c r="AD7746" s="508">
        <v>6.8000000000000005E-2</v>
      </c>
      <c r="AE7746" s="508">
        <v>6.7000000000000004E-2</v>
      </c>
      <c r="AF7746" s="508">
        <v>5.6000000000000001E-2</v>
      </c>
      <c r="AG7746" s="508">
        <v>5.6000000000000001E-2</v>
      </c>
      <c r="AH7746" s="508">
        <v>5.6000000000000001E-2</v>
      </c>
      <c r="AI7746" s="492">
        <v>5.6000000000000001E-2</v>
      </c>
      <c r="AJ7746" s="485"/>
    </row>
    <row r="7747" spans="2:36">
      <c r="B7747" s="136" t="s">
        <v>459</v>
      </c>
      <c r="C7747" s="132" t="s">
        <v>1375</v>
      </c>
      <c r="D7747" s="132" t="s">
        <v>1381</v>
      </c>
      <c r="E7747" s="508">
        <v>2.0640000000000001</v>
      </c>
      <c r="F7747" s="508">
        <v>1.9039999999999999</v>
      </c>
      <c r="G7747" s="508">
        <v>1.8320000000000001</v>
      </c>
      <c r="H7747" s="508">
        <v>1.754</v>
      </c>
      <c r="I7747" s="508">
        <v>1.6950000000000001</v>
      </c>
      <c r="J7747" s="508">
        <v>1.7010000000000001</v>
      </c>
      <c r="K7747" s="508">
        <v>1.6619999999999999</v>
      </c>
      <c r="L7747" s="508">
        <v>1.645</v>
      </c>
      <c r="M7747" s="508">
        <v>1.605</v>
      </c>
      <c r="N7747" s="508">
        <v>1.63</v>
      </c>
      <c r="O7747" s="508">
        <v>1.64</v>
      </c>
      <c r="P7747" s="508">
        <v>1.6040000000000001</v>
      </c>
      <c r="Q7747" s="508">
        <v>1.631</v>
      </c>
      <c r="R7747" s="508">
        <v>1.569</v>
      </c>
      <c r="S7747" s="508">
        <v>1.621</v>
      </c>
      <c r="T7747" s="508">
        <v>1.6020000000000001</v>
      </c>
      <c r="U7747" s="508">
        <v>1.573</v>
      </c>
      <c r="V7747" s="508">
        <v>1.6439999999999999</v>
      </c>
      <c r="W7747" s="508">
        <v>0.97099999999999997</v>
      </c>
      <c r="X7747" s="508">
        <v>0.96499999999999997</v>
      </c>
      <c r="Y7747" s="508">
        <v>0.95099999999999996</v>
      </c>
      <c r="Z7747" s="508">
        <v>0.94699999999999995</v>
      </c>
      <c r="AA7747" s="508">
        <v>0.114</v>
      </c>
      <c r="AB7747" s="508">
        <v>0.115</v>
      </c>
      <c r="AC7747" s="508">
        <v>0.109</v>
      </c>
      <c r="AD7747" s="508">
        <v>7.1999999999999995E-2</v>
      </c>
      <c r="AE7747" s="508">
        <v>7.0999999999999994E-2</v>
      </c>
      <c r="AF7747" s="508">
        <v>6.0999999999999999E-2</v>
      </c>
      <c r="AG7747" s="508">
        <v>0.06</v>
      </c>
      <c r="AH7747" s="508">
        <v>0.06</v>
      </c>
      <c r="AI7747" s="492">
        <v>0.06</v>
      </c>
      <c r="AJ7747" s="485"/>
    </row>
    <row r="7748" spans="2:36">
      <c r="B7748" s="136" t="s">
        <v>460</v>
      </c>
      <c r="C7748" s="132" t="s">
        <v>1375</v>
      </c>
      <c r="D7748" s="132" t="s">
        <v>1381</v>
      </c>
      <c r="E7748" s="508">
        <v>2.1389999999999998</v>
      </c>
      <c r="F7748" s="508">
        <v>1.9650000000000001</v>
      </c>
      <c r="G7748" s="508">
        <v>1.8839999999999999</v>
      </c>
      <c r="H7748" s="508">
        <v>1.8009999999999999</v>
      </c>
      <c r="I7748" s="508">
        <v>1.7370000000000001</v>
      </c>
      <c r="J7748" s="508">
        <v>1.74</v>
      </c>
      <c r="K7748" s="508">
        <v>1.6990000000000001</v>
      </c>
      <c r="L7748" s="508">
        <v>1.68</v>
      </c>
      <c r="M7748" s="508">
        <v>1.6379999999999999</v>
      </c>
      <c r="N7748" s="508">
        <v>1.6619999999999999</v>
      </c>
      <c r="O7748" s="508">
        <v>1.6719999999999999</v>
      </c>
      <c r="P7748" s="508">
        <v>1.6339999999999999</v>
      </c>
      <c r="Q7748" s="508">
        <v>1.661</v>
      </c>
      <c r="R7748" s="508">
        <v>1.5980000000000001</v>
      </c>
      <c r="S7748" s="508">
        <v>1.649</v>
      </c>
      <c r="T7748" s="508">
        <v>1.629</v>
      </c>
      <c r="U7748" s="508">
        <v>1.599</v>
      </c>
      <c r="V7748" s="508">
        <v>1.67</v>
      </c>
      <c r="W7748" s="508">
        <v>0.98899999999999999</v>
      </c>
      <c r="X7748" s="508">
        <v>0.98299999999999998</v>
      </c>
      <c r="Y7748" s="508">
        <v>0.96799999999999997</v>
      </c>
      <c r="Z7748" s="508">
        <v>0.96299999999999997</v>
      </c>
      <c r="AA7748" s="508">
        <v>0.11700000000000001</v>
      </c>
      <c r="AB7748" s="508">
        <v>0.11799999999999999</v>
      </c>
      <c r="AC7748" s="508">
        <v>0.112</v>
      </c>
      <c r="AD7748" s="508">
        <v>7.4999999999999997E-2</v>
      </c>
      <c r="AE7748" s="508">
        <v>7.2999999999999995E-2</v>
      </c>
      <c r="AF7748" s="508">
        <v>6.3E-2</v>
      </c>
      <c r="AG7748" s="508">
        <v>6.2E-2</v>
      </c>
      <c r="AH7748" s="508">
        <v>6.2E-2</v>
      </c>
      <c r="AI7748" s="492">
        <v>6.2E-2</v>
      </c>
      <c r="AJ7748" s="485"/>
    </row>
    <row r="7749" spans="2:36">
      <c r="B7749" s="136" t="s">
        <v>461</v>
      </c>
      <c r="C7749" s="132" t="s">
        <v>1375</v>
      </c>
      <c r="D7749" s="132" t="s">
        <v>1381</v>
      </c>
      <c r="E7749" s="508">
        <v>2.2200000000000002</v>
      </c>
      <c r="F7749" s="508">
        <v>2.02</v>
      </c>
      <c r="G7749" s="508">
        <v>1.923</v>
      </c>
      <c r="H7749" s="508">
        <v>1.829</v>
      </c>
      <c r="I7749" s="508">
        <v>1.7569999999999999</v>
      </c>
      <c r="J7749" s="508">
        <v>1.754</v>
      </c>
      <c r="K7749" s="508">
        <v>1.708</v>
      </c>
      <c r="L7749" s="508">
        <v>1.6859999999999999</v>
      </c>
      <c r="M7749" s="508">
        <v>1.641</v>
      </c>
      <c r="N7749" s="508">
        <v>1.6619999999999999</v>
      </c>
      <c r="O7749" s="508">
        <v>1.669</v>
      </c>
      <c r="P7749" s="508">
        <v>1.629</v>
      </c>
      <c r="Q7749" s="508">
        <v>1.6539999999999999</v>
      </c>
      <c r="R7749" s="508">
        <v>1.591</v>
      </c>
      <c r="S7749" s="508">
        <v>1.64</v>
      </c>
      <c r="T7749" s="508">
        <v>1.6160000000000001</v>
      </c>
      <c r="U7749" s="508">
        <v>1.5840000000000001</v>
      </c>
      <c r="V7749" s="508">
        <v>1.651</v>
      </c>
      <c r="W7749" s="508">
        <v>0.98</v>
      </c>
      <c r="X7749" s="508">
        <v>0.97299999999999998</v>
      </c>
      <c r="Y7749" s="508">
        <v>0.95699999999999996</v>
      </c>
      <c r="Z7749" s="508">
        <v>0.95199999999999996</v>
      </c>
      <c r="AA7749" s="508">
        <v>0.11899999999999999</v>
      </c>
      <c r="AB7749" s="508">
        <v>0.11899999999999999</v>
      </c>
      <c r="AC7749" s="508">
        <v>0.114</v>
      </c>
      <c r="AD7749" s="508">
        <v>7.6999999999999999E-2</v>
      </c>
      <c r="AE7749" s="508">
        <v>7.4999999999999997E-2</v>
      </c>
      <c r="AF7749" s="508">
        <v>6.4000000000000001E-2</v>
      </c>
      <c r="AG7749" s="508">
        <v>6.4000000000000001E-2</v>
      </c>
      <c r="AH7749" s="508">
        <v>6.4000000000000001E-2</v>
      </c>
      <c r="AI7749" s="492">
        <v>6.4000000000000001E-2</v>
      </c>
      <c r="AJ7749" s="485"/>
    </row>
    <row r="7750" spans="2:36">
      <c r="B7750" s="136" t="s">
        <v>462</v>
      </c>
      <c r="C7750" s="132" t="s">
        <v>1375</v>
      </c>
      <c r="D7750" s="132" t="s">
        <v>1381</v>
      </c>
      <c r="E7750" s="508">
        <v>1.589</v>
      </c>
      <c r="F7750" s="508">
        <v>1.5349999999999999</v>
      </c>
      <c r="G7750" s="508">
        <v>1.5269999999999999</v>
      </c>
      <c r="H7750" s="508">
        <v>1.494</v>
      </c>
      <c r="I7750" s="508">
        <v>1.4670000000000001</v>
      </c>
      <c r="J7750" s="508">
        <v>1.496</v>
      </c>
      <c r="K7750" s="508">
        <v>1.476</v>
      </c>
      <c r="L7750" s="508">
        <v>1.474</v>
      </c>
      <c r="M7750" s="508">
        <v>1.4470000000000001</v>
      </c>
      <c r="N7750" s="508">
        <v>1.4810000000000001</v>
      </c>
      <c r="O7750" s="508">
        <v>1.5</v>
      </c>
      <c r="P7750" s="508">
        <v>1.4710000000000001</v>
      </c>
      <c r="Q7750" s="508">
        <v>1.504</v>
      </c>
      <c r="R7750" s="508">
        <v>1.45</v>
      </c>
      <c r="S7750" s="508">
        <v>1.504</v>
      </c>
      <c r="T7750" s="508">
        <v>1.5</v>
      </c>
      <c r="U7750" s="508">
        <v>1.4810000000000001</v>
      </c>
      <c r="V7750" s="508">
        <v>1.556</v>
      </c>
      <c r="W7750" s="508">
        <v>0.90300000000000002</v>
      </c>
      <c r="X7750" s="508">
        <v>0.90200000000000002</v>
      </c>
      <c r="Y7750" s="508">
        <v>0.89100000000000001</v>
      </c>
      <c r="Z7750" s="508">
        <v>0.89</v>
      </c>
      <c r="AA7750" s="508">
        <v>9.6000000000000002E-2</v>
      </c>
      <c r="AB7750" s="508">
        <v>9.8000000000000004E-2</v>
      </c>
      <c r="AC7750" s="508">
        <v>9.4E-2</v>
      </c>
      <c r="AD7750" s="508">
        <v>5.8000000000000003E-2</v>
      </c>
      <c r="AE7750" s="508">
        <v>5.8000000000000003E-2</v>
      </c>
      <c r="AF7750" s="508">
        <v>4.8000000000000001E-2</v>
      </c>
      <c r="AG7750" s="508">
        <v>4.8000000000000001E-2</v>
      </c>
      <c r="AH7750" s="508">
        <v>4.8000000000000001E-2</v>
      </c>
      <c r="AI7750" s="492">
        <v>4.8000000000000001E-2</v>
      </c>
      <c r="AJ7750" s="485"/>
    </row>
    <row r="7751" spans="2:36">
      <c r="B7751" s="136" t="s">
        <v>463</v>
      </c>
      <c r="C7751" s="132" t="s">
        <v>1375</v>
      </c>
      <c r="D7751" s="132" t="s">
        <v>1381</v>
      </c>
      <c r="E7751" s="508">
        <v>1.766</v>
      </c>
      <c r="F7751" s="508">
        <v>1.6519999999999999</v>
      </c>
      <c r="G7751" s="508">
        <v>1.6060000000000001</v>
      </c>
      <c r="H7751" s="508">
        <v>1.5489999999999999</v>
      </c>
      <c r="I7751" s="508">
        <v>1.5049999999999999</v>
      </c>
      <c r="J7751" s="508">
        <v>1.5169999999999999</v>
      </c>
      <c r="K7751" s="508">
        <v>1.4870000000000001</v>
      </c>
      <c r="L7751" s="508">
        <v>1.476</v>
      </c>
      <c r="M7751" s="508">
        <v>1.444</v>
      </c>
      <c r="N7751" s="508">
        <v>1.4690000000000001</v>
      </c>
      <c r="O7751" s="508">
        <v>1.48</v>
      </c>
      <c r="P7751" s="508">
        <v>1.45</v>
      </c>
      <c r="Q7751" s="508">
        <v>1.476</v>
      </c>
      <c r="R7751" s="508">
        <v>1.423</v>
      </c>
      <c r="S7751" s="508">
        <v>1.47</v>
      </c>
      <c r="T7751" s="508">
        <v>1.4570000000000001</v>
      </c>
      <c r="U7751" s="508">
        <v>1.4339999999999999</v>
      </c>
      <c r="V7751" s="508">
        <v>1.4990000000000001</v>
      </c>
      <c r="W7751" s="508">
        <v>0.873</v>
      </c>
      <c r="X7751" s="508">
        <v>0.87</v>
      </c>
      <c r="Y7751" s="508">
        <v>0.85799999999999998</v>
      </c>
      <c r="Z7751" s="508">
        <v>0.85499999999999998</v>
      </c>
      <c r="AA7751" s="508">
        <v>9.9000000000000005E-2</v>
      </c>
      <c r="AB7751" s="508">
        <v>0.1</v>
      </c>
      <c r="AC7751" s="508">
        <v>9.6000000000000002E-2</v>
      </c>
      <c r="AD7751" s="508">
        <v>6.2E-2</v>
      </c>
      <c r="AE7751" s="508">
        <v>6.0999999999999999E-2</v>
      </c>
      <c r="AF7751" s="508">
        <v>5.1999999999999998E-2</v>
      </c>
      <c r="AG7751" s="508">
        <v>5.1999999999999998E-2</v>
      </c>
      <c r="AH7751" s="508">
        <v>5.1999999999999998E-2</v>
      </c>
      <c r="AI7751" s="492">
        <v>5.1999999999999998E-2</v>
      </c>
      <c r="AJ7751" s="485"/>
    </row>
    <row r="7752" spans="2:36">
      <c r="B7752" s="136" t="s">
        <v>464</v>
      </c>
      <c r="C7752" s="132" t="s">
        <v>1375</v>
      </c>
      <c r="D7752" s="132" t="s">
        <v>1381</v>
      </c>
      <c r="E7752" s="508">
        <v>2.0009999999999999</v>
      </c>
      <c r="F7752" s="508">
        <v>1.8280000000000001</v>
      </c>
      <c r="G7752" s="508">
        <v>1.7450000000000001</v>
      </c>
      <c r="H7752" s="508">
        <v>1.6639999999999999</v>
      </c>
      <c r="I7752" s="508">
        <v>1.6020000000000001</v>
      </c>
      <c r="J7752" s="508">
        <v>1.6</v>
      </c>
      <c r="K7752" s="508">
        <v>1.56</v>
      </c>
      <c r="L7752" s="508">
        <v>1.5409999999999999</v>
      </c>
      <c r="M7752" s="508">
        <v>1.502</v>
      </c>
      <c r="N7752" s="508">
        <v>1.52</v>
      </c>
      <c r="O7752" s="508">
        <v>1.5269999999999999</v>
      </c>
      <c r="P7752" s="508">
        <v>1.492</v>
      </c>
      <c r="Q7752" s="508">
        <v>1.5149999999999999</v>
      </c>
      <c r="R7752" s="508">
        <v>1.4590000000000001</v>
      </c>
      <c r="S7752" s="508">
        <v>1.502</v>
      </c>
      <c r="T7752" s="508">
        <v>1.482</v>
      </c>
      <c r="U7752" s="508">
        <v>1.454</v>
      </c>
      <c r="V7752" s="508">
        <v>1.5129999999999999</v>
      </c>
      <c r="W7752" s="508">
        <v>0.89</v>
      </c>
      <c r="X7752" s="508">
        <v>0.88500000000000001</v>
      </c>
      <c r="Y7752" s="508">
        <v>0.87</v>
      </c>
      <c r="Z7752" s="508">
        <v>0.86599999999999999</v>
      </c>
      <c r="AA7752" s="508">
        <v>0.107</v>
      </c>
      <c r="AB7752" s="508">
        <v>0.107</v>
      </c>
      <c r="AC7752" s="508">
        <v>0.10199999999999999</v>
      </c>
      <c r="AD7752" s="508">
        <v>6.9000000000000006E-2</v>
      </c>
      <c r="AE7752" s="508">
        <v>6.7000000000000004E-2</v>
      </c>
      <c r="AF7752" s="508">
        <v>5.8000000000000003E-2</v>
      </c>
      <c r="AG7752" s="508">
        <v>5.7000000000000002E-2</v>
      </c>
      <c r="AH7752" s="508">
        <v>5.7000000000000002E-2</v>
      </c>
      <c r="AI7752" s="492">
        <v>5.7000000000000002E-2</v>
      </c>
      <c r="AJ7752" s="485"/>
    </row>
    <row r="7753" spans="2:36">
      <c r="B7753" s="136" t="s">
        <v>465</v>
      </c>
      <c r="C7753" s="132" t="s">
        <v>1375</v>
      </c>
      <c r="D7753" s="132" t="s">
        <v>1381</v>
      </c>
      <c r="E7753" s="508">
        <v>1.919</v>
      </c>
      <c r="F7753" s="508">
        <v>1.7729999999999999</v>
      </c>
      <c r="G7753" s="508">
        <v>1.7070000000000001</v>
      </c>
      <c r="H7753" s="508">
        <v>1.6359999999999999</v>
      </c>
      <c r="I7753" s="508">
        <v>1.5820000000000001</v>
      </c>
      <c r="J7753" s="508">
        <v>1.5880000000000001</v>
      </c>
      <c r="K7753" s="508">
        <v>1.552</v>
      </c>
      <c r="L7753" s="508">
        <v>1.5369999999999999</v>
      </c>
      <c r="M7753" s="508">
        <v>1.5009999999999999</v>
      </c>
      <c r="N7753" s="508">
        <v>1.5229999999999999</v>
      </c>
      <c r="O7753" s="508">
        <v>1.532</v>
      </c>
      <c r="P7753" s="508">
        <v>1.4990000000000001</v>
      </c>
      <c r="Q7753" s="508">
        <v>1.524</v>
      </c>
      <c r="R7753" s="508">
        <v>1.468</v>
      </c>
      <c r="S7753" s="508">
        <v>1.514</v>
      </c>
      <c r="T7753" s="508">
        <v>1.498</v>
      </c>
      <c r="U7753" s="508">
        <v>1.472</v>
      </c>
      <c r="V7753" s="508">
        <v>1.536</v>
      </c>
      <c r="W7753" s="508">
        <v>0.90100000000000002</v>
      </c>
      <c r="X7753" s="508">
        <v>0.89600000000000002</v>
      </c>
      <c r="Y7753" s="508">
        <v>0.88300000000000001</v>
      </c>
      <c r="Z7753" s="508">
        <v>0.879</v>
      </c>
      <c r="AA7753" s="508">
        <v>0.105</v>
      </c>
      <c r="AB7753" s="508">
        <v>0.106</v>
      </c>
      <c r="AC7753" s="508">
        <v>0.10100000000000001</v>
      </c>
      <c r="AD7753" s="508">
        <v>6.7000000000000004E-2</v>
      </c>
      <c r="AE7753" s="508">
        <v>6.6000000000000003E-2</v>
      </c>
      <c r="AF7753" s="508">
        <v>5.6000000000000001E-2</v>
      </c>
      <c r="AG7753" s="508">
        <v>5.6000000000000001E-2</v>
      </c>
      <c r="AH7753" s="508">
        <v>5.6000000000000001E-2</v>
      </c>
      <c r="AI7753" s="492">
        <v>5.6000000000000001E-2</v>
      </c>
      <c r="AJ7753" s="485"/>
    </row>
    <row r="7754" spans="2:36">
      <c r="B7754" s="136" t="s">
        <v>466</v>
      </c>
      <c r="C7754" s="132" t="s">
        <v>1375</v>
      </c>
      <c r="D7754" s="132" t="s">
        <v>1381</v>
      </c>
      <c r="E7754" s="508">
        <v>1.857</v>
      </c>
      <c r="F7754" s="508">
        <v>1.7689999999999999</v>
      </c>
      <c r="G7754" s="508">
        <v>1.744</v>
      </c>
      <c r="H7754" s="508">
        <v>1.6950000000000001</v>
      </c>
      <c r="I7754" s="508">
        <v>1.6559999999999999</v>
      </c>
      <c r="J7754" s="508">
        <v>1.6830000000000001</v>
      </c>
      <c r="K7754" s="508">
        <v>1.6559999999999999</v>
      </c>
      <c r="L7754" s="508">
        <v>1.65</v>
      </c>
      <c r="M7754" s="508">
        <v>1.6160000000000001</v>
      </c>
      <c r="N7754" s="508">
        <v>1.6519999999999999</v>
      </c>
      <c r="O7754" s="508">
        <v>1.671</v>
      </c>
      <c r="P7754" s="508">
        <v>1.637</v>
      </c>
      <c r="Q7754" s="508">
        <v>1.673</v>
      </c>
      <c r="R7754" s="508">
        <v>1.609</v>
      </c>
      <c r="S7754" s="508">
        <v>1.67</v>
      </c>
      <c r="T7754" s="508">
        <v>1.6619999999999999</v>
      </c>
      <c r="U7754" s="508">
        <v>1.6379999999999999</v>
      </c>
      <c r="V7754" s="508">
        <v>1.722</v>
      </c>
      <c r="W7754" s="508">
        <v>1.0109999999999999</v>
      </c>
      <c r="X7754" s="508">
        <v>1.0089999999999999</v>
      </c>
      <c r="Y7754" s="508">
        <v>0.996</v>
      </c>
      <c r="Z7754" s="508">
        <v>0.99399999999999999</v>
      </c>
      <c r="AA7754" s="508">
        <v>0.111</v>
      </c>
      <c r="AB7754" s="508">
        <v>0.112</v>
      </c>
      <c r="AC7754" s="508">
        <v>0.107</v>
      </c>
      <c r="AD7754" s="508">
        <v>6.8000000000000005E-2</v>
      </c>
      <c r="AE7754" s="508">
        <v>6.7000000000000004E-2</v>
      </c>
      <c r="AF7754" s="508">
        <v>5.6000000000000001E-2</v>
      </c>
      <c r="AG7754" s="508">
        <v>5.6000000000000001E-2</v>
      </c>
      <c r="AH7754" s="508">
        <v>5.6000000000000001E-2</v>
      </c>
      <c r="AI7754" s="492">
        <v>5.6000000000000001E-2</v>
      </c>
      <c r="AJ7754" s="485"/>
    </row>
    <row r="7755" spans="2:36">
      <c r="B7755" s="136" t="s">
        <v>467</v>
      </c>
      <c r="C7755" s="132" t="s">
        <v>1375</v>
      </c>
      <c r="D7755" s="132" t="s">
        <v>1381</v>
      </c>
      <c r="E7755" s="508">
        <v>2.0880000000000001</v>
      </c>
      <c r="F7755" s="508">
        <v>1.917</v>
      </c>
      <c r="G7755" s="508">
        <v>1.837</v>
      </c>
      <c r="H7755" s="508">
        <v>1.7549999999999999</v>
      </c>
      <c r="I7755" s="508">
        <v>1.6919999999999999</v>
      </c>
      <c r="J7755" s="508">
        <v>1.6950000000000001</v>
      </c>
      <c r="K7755" s="508">
        <v>1.6539999999999999</v>
      </c>
      <c r="L7755" s="508">
        <v>1.6359999999999999</v>
      </c>
      <c r="M7755" s="508">
        <v>1.595</v>
      </c>
      <c r="N7755" s="508">
        <v>1.6180000000000001</v>
      </c>
      <c r="O7755" s="508">
        <v>1.627</v>
      </c>
      <c r="P7755" s="508">
        <v>1.59</v>
      </c>
      <c r="Q7755" s="508">
        <v>1.6160000000000001</v>
      </c>
      <c r="R7755" s="508">
        <v>1.5549999999999999</v>
      </c>
      <c r="S7755" s="508">
        <v>1.6040000000000001</v>
      </c>
      <c r="T7755" s="508">
        <v>1.585</v>
      </c>
      <c r="U7755" s="508">
        <v>1.5549999999999999</v>
      </c>
      <c r="V7755" s="508">
        <v>1.623</v>
      </c>
      <c r="W7755" s="508">
        <v>0.95899999999999996</v>
      </c>
      <c r="X7755" s="508">
        <v>0.95299999999999996</v>
      </c>
      <c r="Y7755" s="508">
        <v>0.93899999999999995</v>
      </c>
      <c r="Z7755" s="508">
        <v>0.93400000000000005</v>
      </c>
      <c r="AA7755" s="508">
        <v>0.114</v>
      </c>
      <c r="AB7755" s="508">
        <v>0.114</v>
      </c>
      <c r="AC7755" s="508">
        <v>0.109</v>
      </c>
      <c r="AD7755" s="508">
        <v>7.2999999999999995E-2</v>
      </c>
      <c r="AE7755" s="508">
        <v>7.0999999999999994E-2</v>
      </c>
      <c r="AF7755" s="508">
        <v>6.0999999999999999E-2</v>
      </c>
      <c r="AG7755" s="508">
        <v>6.0999999999999999E-2</v>
      </c>
      <c r="AH7755" s="508">
        <v>6.0999999999999999E-2</v>
      </c>
      <c r="AI7755" s="492">
        <v>6.0999999999999999E-2</v>
      </c>
      <c r="AJ7755" s="485"/>
    </row>
    <row r="7756" spans="2:36">
      <c r="B7756" s="136" t="s">
        <v>468</v>
      </c>
      <c r="C7756" s="132" t="s">
        <v>1375</v>
      </c>
      <c r="D7756" s="132" t="s">
        <v>1381</v>
      </c>
      <c r="E7756" s="508">
        <v>1.698</v>
      </c>
      <c r="F7756" s="508">
        <v>1.5920000000000001</v>
      </c>
      <c r="G7756" s="508">
        <v>1.5489999999999999</v>
      </c>
      <c r="H7756" s="508">
        <v>1.496</v>
      </c>
      <c r="I7756" s="508">
        <v>1.454</v>
      </c>
      <c r="J7756" s="508">
        <v>1.466</v>
      </c>
      <c r="K7756" s="508">
        <v>1.4379999999999999</v>
      </c>
      <c r="L7756" s="508">
        <v>1.429</v>
      </c>
      <c r="M7756" s="508">
        <v>1.3979999999999999</v>
      </c>
      <c r="N7756" s="508">
        <v>1.4219999999999999</v>
      </c>
      <c r="O7756" s="508">
        <v>1.4330000000000001</v>
      </c>
      <c r="P7756" s="508">
        <v>1.4039999999999999</v>
      </c>
      <c r="Q7756" s="508">
        <v>1.43</v>
      </c>
      <c r="R7756" s="508">
        <v>1.379</v>
      </c>
      <c r="S7756" s="508">
        <v>1.4239999999999999</v>
      </c>
      <c r="T7756" s="508">
        <v>1.4119999999999999</v>
      </c>
      <c r="U7756" s="508">
        <v>1.39</v>
      </c>
      <c r="V7756" s="508">
        <v>1.452</v>
      </c>
      <c r="W7756" s="508">
        <v>0.84299999999999997</v>
      </c>
      <c r="X7756" s="508">
        <v>0.84</v>
      </c>
      <c r="Y7756" s="508">
        <v>0.82799999999999996</v>
      </c>
      <c r="Z7756" s="508">
        <v>0.82599999999999996</v>
      </c>
      <c r="AA7756" s="508">
        <v>9.5000000000000001E-2</v>
      </c>
      <c r="AB7756" s="508">
        <v>9.6000000000000002E-2</v>
      </c>
      <c r="AC7756" s="508">
        <v>9.1999999999999998E-2</v>
      </c>
      <c r="AD7756" s="508">
        <v>0.06</v>
      </c>
      <c r="AE7756" s="508">
        <v>5.8999999999999997E-2</v>
      </c>
      <c r="AF7756" s="508">
        <v>0.05</v>
      </c>
      <c r="AG7756" s="508">
        <v>4.9000000000000002E-2</v>
      </c>
      <c r="AH7756" s="508">
        <v>4.9000000000000002E-2</v>
      </c>
      <c r="AI7756" s="492">
        <v>4.9000000000000002E-2</v>
      </c>
      <c r="AJ7756" s="485"/>
    </row>
    <row r="7757" spans="2:36">
      <c r="B7757" s="136" t="s">
        <v>469</v>
      </c>
      <c r="C7757" s="132" t="s">
        <v>1375</v>
      </c>
      <c r="D7757" s="132" t="s">
        <v>1381</v>
      </c>
      <c r="E7757" s="508">
        <v>1.774</v>
      </c>
      <c r="F7757" s="508">
        <v>1.6679999999999999</v>
      </c>
      <c r="G7757" s="508">
        <v>1.6279999999999999</v>
      </c>
      <c r="H7757" s="508">
        <v>1.5740000000000001</v>
      </c>
      <c r="I7757" s="508">
        <v>1.5309999999999999</v>
      </c>
      <c r="J7757" s="508">
        <v>1.5469999999999999</v>
      </c>
      <c r="K7757" s="508">
        <v>1.518</v>
      </c>
      <c r="L7757" s="508">
        <v>1.5089999999999999</v>
      </c>
      <c r="M7757" s="508">
        <v>1.4770000000000001</v>
      </c>
      <c r="N7757" s="508">
        <v>1.504</v>
      </c>
      <c r="O7757" s="508">
        <v>1.518</v>
      </c>
      <c r="P7757" s="508">
        <v>1.486</v>
      </c>
      <c r="Q7757" s="508">
        <v>1.5149999999999999</v>
      </c>
      <c r="R7757" s="508">
        <v>1.46</v>
      </c>
      <c r="S7757" s="508">
        <v>1.51</v>
      </c>
      <c r="T7757" s="508">
        <v>1.498</v>
      </c>
      <c r="U7757" s="508">
        <v>1.4750000000000001</v>
      </c>
      <c r="V7757" s="508">
        <v>1.544</v>
      </c>
      <c r="W7757" s="508">
        <v>0.90100000000000002</v>
      </c>
      <c r="X7757" s="508">
        <v>0.89800000000000002</v>
      </c>
      <c r="Y7757" s="508">
        <v>0.88600000000000001</v>
      </c>
      <c r="Z7757" s="508">
        <v>0.88400000000000001</v>
      </c>
      <c r="AA7757" s="508">
        <v>0.10100000000000001</v>
      </c>
      <c r="AB7757" s="508">
        <v>0.10199999999999999</v>
      </c>
      <c r="AC7757" s="508">
        <v>9.8000000000000004E-2</v>
      </c>
      <c r="AD7757" s="508">
        <v>6.3E-2</v>
      </c>
      <c r="AE7757" s="508">
        <v>6.2E-2</v>
      </c>
      <c r="AF7757" s="508">
        <v>5.1999999999999998E-2</v>
      </c>
      <c r="AG7757" s="508">
        <v>5.1999999999999998E-2</v>
      </c>
      <c r="AH7757" s="508">
        <v>5.1999999999999998E-2</v>
      </c>
      <c r="AI7757" s="492">
        <v>5.1999999999999998E-2</v>
      </c>
      <c r="AJ7757" s="485"/>
    </row>
    <row r="7758" spans="2:36">
      <c r="B7758" s="136" t="s">
        <v>470</v>
      </c>
      <c r="C7758" s="132" t="s">
        <v>1375</v>
      </c>
      <c r="D7758" s="132" t="s">
        <v>1381</v>
      </c>
      <c r="E7758" s="508">
        <v>2.1080000000000001</v>
      </c>
      <c r="F7758" s="508">
        <v>1.9490000000000001</v>
      </c>
      <c r="G7758" s="508">
        <v>1.879</v>
      </c>
      <c r="H7758" s="508">
        <v>1.8009999999999999</v>
      </c>
      <c r="I7758" s="508">
        <v>1.7410000000000001</v>
      </c>
      <c r="J7758" s="508">
        <v>1.75</v>
      </c>
      <c r="K7758" s="508">
        <v>1.7110000000000001</v>
      </c>
      <c r="L7758" s="508">
        <v>1.6950000000000001</v>
      </c>
      <c r="M7758" s="508">
        <v>1.6539999999999999</v>
      </c>
      <c r="N7758" s="508">
        <v>1.681</v>
      </c>
      <c r="O7758" s="508">
        <v>1.6919999999999999</v>
      </c>
      <c r="P7758" s="508">
        <v>1.6539999999999999</v>
      </c>
      <c r="Q7758" s="508">
        <v>1.6839999999999999</v>
      </c>
      <c r="R7758" s="508">
        <v>1.62</v>
      </c>
      <c r="S7758" s="508">
        <v>1.6739999999999999</v>
      </c>
      <c r="T7758" s="508">
        <v>1.6559999999999999</v>
      </c>
      <c r="U7758" s="508">
        <v>1.627</v>
      </c>
      <c r="V7758" s="508">
        <v>1.702</v>
      </c>
      <c r="W7758" s="508">
        <v>1.0069999999999999</v>
      </c>
      <c r="X7758" s="508">
        <v>1.002</v>
      </c>
      <c r="Y7758" s="508">
        <v>0.98699999999999999</v>
      </c>
      <c r="Z7758" s="508">
        <v>0.98299999999999998</v>
      </c>
      <c r="AA7758" s="508">
        <v>0.11700000000000001</v>
      </c>
      <c r="AB7758" s="508">
        <v>0.11799999999999999</v>
      </c>
      <c r="AC7758" s="508">
        <v>0.113</v>
      </c>
      <c r="AD7758" s="508">
        <v>7.3999999999999996E-2</v>
      </c>
      <c r="AE7758" s="508">
        <v>7.2999999999999995E-2</v>
      </c>
      <c r="AF7758" s="508">
        <v>6.2E-2</v>
      </c>
      <c r="AG7758" s="508">
        <v>6.2E-2</v>
      </c>
      <c r="AH7758" s="508">
        <v>6.2E-2</v>
      </c>
      <c r="AI7758" s="492">
        <v>6.2E-2</v>
      </c>
      <c r="AJ7758" s="485"/>
    </row>
    <row r="7759" spans="2:36">
      <c r="B7759" s="136" t="s">
        <v>471</v>
      </c>
      <c r="C7759" s="132" t="s">
        <v>1375</v>
      </c>
      <c r="D7759" s="132" t="s">
        <v>1381</v>
      </c>
      <c r="E7759" s="508">
        <v>1.794</v>
      </c>
      <c r="F7759" s="508">
        <v>1.704</v>
      </c>
      <c r="G7759" s="508">
        <v>1.675</v>
      </c>
      <c r="H7759" s="508">
        <v>1.6259999999999999</v>
      </c>
      <c r="I7759" s="508">
        <v>1.587</v>
      </c>
      <c r="J7759" s="508">
        <v>1.61</v>
      </c>
      <c r="K7759" s="508">
        <v>1.5820000000000001</v>
      </c>
      <c r="L7759" s="508">
        <v>1.5760000000000001</v>
      </c>
      <c r="M7759" s="508">
        <v>1.544</v>
      </c>
      <c r="N7759" s="508">
        <v>1.5760000000000001</v>
      </c>
      <c r="O7759" s="508">
        <v>1.593</v>
      </c>
      <c r="P7759" s="508">
        <v>1.56</v>
      </c>
      <c r="Q7759" s="508">
        <v>1.593</v>
      </c>
      <c r="R7759" s="508">
        <v>1.534</v>
      </c>
      <c r="S7759" s="508">
        <v>1.59</v>
      </c>
      <c r="T7759" s="508">
        <v>1.581</v>
      </c>
      <c r="U7759" s="508">
        <v>1.5580000000000001</v>
      </c>
      <c r="V7759" s="508">
        <v>1.635</v>
      </c>
      <c r="W7759" s="508">
        <v>0.95699999999999996</v>
      </c>
      <c r="X7759" s="508">
        <v>0.95499999999999996</v>
      </c>
      <c r="Y7759" s="508">
        <v>0.94199999999999995</v>
      </c>
      <c r="Z7759" s="508">
        <v>0.94</v>
      </c>
      <c r="AA7759" s="508">
        <v>0.105</v>
      </c>
      <c r="AB7759" s="508">
        <v>0.107</v>
      </c>
      <c r="AC7759" s="508">
        <v>0.10199999999999999</v>
      </c>
      <c r="AD7759" s="508">
        <v>6.5000000000000002E-2</v>
      </c>
      <c r="AE7759" s="508">
        <v>6.4000000000000001E-2</v>
      </c>
      <c r="AF7759" s="508">
        <v>5.3999999999999999E-2</v>
      </c>
      <c r="AG7759" s="508">
        <v>5.3999999999999999E-2</v>
      </c>
      <c r="AH7759" s="508">
        <v>5.3999999999999999E-2</v>
      </c>
      <c r="AI7759" s="492">
        <v>5.3999999999999999E-2</v>
      </c>
      <c r="AJ7759" s="485"/>
    </row>
    <row r="7760" spans="2:36">
      <c r="B7760" s="136" t="s">
        <v>472</v>
      </c>
      <c r="C7760" s="132" t="s">
        <v>1375</v>
      </c>
      <c r="D7760" s="132" t="s">
        <v>1381</v>
      </c>
      <c r="E7760" s="508">
        <v>2.1259999999999999</v>
      </c>
      <c r="F7760" s="508">
        <v>1.9259999999999999</v>
      </c>
      <c r="G7760" s="508">
        <v>1.825</v>
      </c>
      <c r="H7760" s="508">
        <v>1.732</v>
      </c>
      <c r="I7760" s="508">
        <v>1.6619999999999999</v>
      </c>
      <c r="J7760" s="508">
        <v>1.6539999999999999</v>
      </c>
      <c r="K7760" s="508">
        <v>1.609</v>
      </c>
      <c r="L7760" s="508">
        <v>1.5860000000000001</v>
      </c>
      <c r="M7760" s="508">
        <v>1.544</v>
      </c>
      <c r="N7760" s="508">
        <v>1.56</v>
      </c>
      <c r="O7760" s="508">
        <v>1.5640000000000001</v>
      </c>
      <c r="P7760" s="508">
        <v>1.528</v>
      </c>
      <c r="Q7760" s="508">
        <v>1.5489999999999999</v>
      </c>
      <c r="R7760" s="508">
        <v>1.4910000000000001</v>
      </c>
      <c r="S7760" s="508">
        <v>1.5329999999999999</v>
      </c>
      <c r="T7760" s="508">
        <v>1.51</v>
      </c>
      <c r="U7760" s="508">
        <v>1.4790000000000001</v>
      </c>
      <c r="V7760" s="508">
        <v>1.5369999999999999</v>
      </c>
      <c r="W7760" s="508">
        <v>0.90900000000000003</v>
      </c>
      <c r="X7760" s="508">
        <v>0.90200000000000002</v>
      </c>
      <c r="Y7760" s="508">
        <v>0.88700000000000001</v>
      </c>
      <c r="Z7760" s="508">
        <v>0.88100000000000001</v>
      </c>
      <c r="AA7760" s="508">
        <v>0.112</v>
      </c>
      <c r="AB7760" s="508">
        <v>0.112</v>
      </c>
      <c r="AC7760" s="508">
        <v>0.106</v>
      </c>
      <c r="AD7760" s="508">
        <v>7.1999999999999995E-2</v>
      </c>
      <c r="AE7760" s="508">
        <v>7.0999999999999994E-2</v>
      </c>
      <c r="AF7760" s="508">
        <v>6.0999999999999999E-2</v>
      </c>
      <c r="AG7760" s="508">
        <v>6.0999999999999999E-2</v>
      </c>
      <c r="AH7760" s="508">
        <v>6.0999999999999999E-2</v>
      </c>
      <c r="AI7760" s="492">
        <v>6.0999999999999999E-2</v>
      </c>
      <c r="AJ7760" s="485"/>
    </row>
    <row r="7761" spans="2:36">
      <c r="B7761" s="136" t="s">
        <v>473</v>
      </c>
      <c r="C7761" s="132" t="s">
        <v>1375</v>
      </c>
      <c r="D7761" s="132" t="s">
        <v>1381</v>
      </c>
      <c r="E7761" s="508">
        <v>2.11</v>
      </c>
      <c r="F7761" s="508">
        <v>1.954</v>
      </c>
      <c r="G7761" s="508">
        <v>1.8859999999999999</v>
      </c>
      <c r="H7761" s="508">
        <v>1.8089999999999999</v>
      </c>
      <c r="I7761" s="508">
        <v>1.75</v>
      </c>
      <c r="J7761" s="508">
        <v>1.76</v>
      </c>
      <c r="K7761" s="508">
        <v>1.7210000000000001</v>
      </c>
      <c r="L7761" s="508">
        <v>1.7050000000000001</v>
      </c>
      <c r="M7761" s="508">
        <v>1.6639999999999999</v>
      </c>
      <c r="N7761" s="508">
        <v>1.6919999999999999</v>
      </c>
      <c r="O7761" s="508">
        <v>1.704</v>
      </c>
      <c r="P7761" s="508">
        <v>1.6659999999999999</v>
      </c>
      <c r="Q7761" s="508">
        <v>1.6970000000000001</v>
      </c>
      <c r="R7761" s="508">
        <v>1.631</v>
      </c>
      <c r="S7761" s="508">
        <v>1.6870000000000001</v>
      </c>
      <c r="T7761" s="508">
        <v>1.67</v>
      </c>
      <c r="U7761" s="508">
        <v>1.64</v>
      </c>
      <c r="V7761" s="508">
        <v>1.7170000000000001</v>
      </c>
      <c r="W7761" s="508">
        <v>1.016</v>
      </c>
      <c r="X7761" s="508">
        <v>1.0109999999999999</v>
      </c>
      <c r="Y7761" s="508">
        <v>0.996</v>
      </c>
      <c r="Z7761" s="508">
        <v>0.99199999999999999</v>
      </c>
      <c r="AA7761" s="508">
        <v>0.11799999999999999</v>
      </c>
      <c r="AB7761" s="508">
        <v>0.11899999999999999</v>
      </c>
      <c r="AC7761" s="508">
        <v>0.114</v>
      </c>
      <c r="AD7761" s="508">
        <v>7.4999999999999997E-2</v>
      </c>
      <c r="AE7761" s="508">
        <v>7.2999999999999995E-2</v>
      </c>
      <c r="AF7761" s="508">
        <v>6.2E-2</v>
      </c>
      <c r="AG7761" s="508">
        <v>6.2E-2</v>
      </c>
      <c r="AH7761" s="508">
        <v>6.2E-2</v>
      </c>
      <c r="AI7761" s="492">
        <v>6.2E-2</v>
      </c>
      <c r="AJ7761" s="485"/>
    </row>
    <row r="7762" spans="2:36">
      <c r="B7762" s="136" t="s">
        <v>474</v>
      </c>
      <c r="C7762" s="132" t="s">
        <v>1375</v>
      </c>
      <c r="D7762" s="132" t="s">
        <v>1381</v>
      </c>
      <c r="E7762" s="508">
        <v>1.768</v>
      </c>
      <c r="F7762" s="508">
        <v>1.677</v>
      </c>
      <c r="G7762" s="508">
        <v>1.647</v>
      </c>
      <c r="H7762" s="508">
        <v>1.5980000000000001</v>
      </c>
      <c r="I7762" s="508">
        <v>1.5589999999999999</v>
      </c>
      <c r="J7762" s="508">
        <v>1.581</v>
      </c>
      <c r="K7762" s="508">
        <v>1.554</v>
      </c>
      <c r="L7762" s="508">
        <v>1.5469999999999999</v>
      </c>
      <c r="M7762" s="508">
        <v>1.5149999999999999</v>
      </c>
      <c r="N7762" s="508">
        <v>1.546</v>
      </c>
      <c r="O7762" s="508">
        <v>1.5629999999999999</v>
      </c>
      <c r="P7762" s="508">
        <v>1.5309999999999999</v>
      </c>
      <c r="Q7762" s="508">
        <v>1.5620000000000001</v>
      </c>
      <c r="R7762" s="508">
        <v>1.5049999999999999</v>
      </c>
      <c r="S7762" s="508">
        <v>1.5589999999999999</v>
      </c>
      <c r="T7762" s="508">
        <v>1.55</v>
      </c>
      <c r="U7762" s="508">
        <v>1.5269999999999999</v>
      </c>
      <c r="V7762" s="508">
        <v>1.6020000000000001</v>
      </c>
      <c r="W7762" s="508">
        <v>0.93600000000000005</v>
      </c>
      <c r="X7762" s="508">
        <v>0.93300000000000005</v>
      </c>
      <c r="Y7762" s="508">
        <v>0.92100000000000004</v>
      </c>
      <c r="Z7762" s="508">
        <v>0.91900000000000004</v>
      </c>
      <c r="AA7762" s="508">
        <v>0.10299999999999999</v>
      </c>
      <c r="AB7762" s="508">
        <v>0.105</v>
      </c>
      <c r="AC7762" s="508">
        <v>0.1</v>
      </c>
      <c r="AD7762" s="508">
        <v>6.4000000000000001E-2</v>
      </c>
      <c r="AE7762" s="508">
        <v>6.3E-2</v>
      </c>
      <c r="AF7762" s="508">
        <v>5.2999999999999999E-2</v>
      </c>
      <c r="AG7762" s="508">
        <v>5.2999999999999999E-2</v>
      </c>
      <c r="AH7762" s="508">
        <v>5.2999999999999999E-2</v>
      </c>
      <c r="AI7762" s="492">
        <v>5.2999999999999999E-2</v>
      </c>
      <c r="AJ7762" s="485"/>
    </row>
    <row r="7763" spans="2:36">
      <c r="B7763" s="136" t="s">
        <v>475</v>
      </c>
      <c r="C7763" s="132" t="s">
        <v>1375</v>
      </c>
      <c r="D7763" s="132" t="s">
        <v>1381</v>
      </c>
      <c r="E7763" s="508">
        <v>1.925</v>
      </c>
      <c r="F7763" s="508">
        <v>1.79</v>
      </c>
      <c r="G7763" s="508">
        <v>1.732</v>
      </c>
      <c r="H7763" s="508">
        <v>1.665</v>
      </c>
      <c r="I7763" s="508">
        <v>1.613</v>
      </c>
      <c r="J7763" s="508">
        <v>1.6240000000000001</v>
      </c>
      <c r="K7763" s="508">
        <v>1.589</v>
      </c>
      <c r="L7763" s="508">
        <v>1.5760000000000001</v>
      </c>
      <c r="M7763" s="508">
        <v>1.54</v>
      </c>
      <c r="N7763" s="508">
        <v>1.5660000000000001</v>
      </c>
      <c r="O7763" s="508">
        <v>1.577</v>
      </c>
      <c r="P7763" s="508">
        <v>1.5429999999999999</v>
      </c>
      <c r="Q7763" s="508">
        <v>1.571</v>
      </c>
      <c r="R7763" s="508">
        <v>1.5129999999999999</v>
      </c>
      <c r="S7763" s="508">
        <v>1.5629999999999999</v>
      </c>
      <c r="T7763" s="508">
        <v>1.548</v>
      </c>
      <c r="U7763" s="508">
        <v>1.522</v>
      </c>
      <c r="V7763" s="508">
        <v>1.591</v>
      </c>
      <c r="W7763" s="508">
        <v>0.93400000000000005</v>
      </c>
      <c r="X7763" s="508">
        <v>0.93</v>
      </c>
      <c r="Y7763" s="508">
        <v>0.91700000000000004</v>
      </c>
      <c r="Z7763" s="508">
        <v>0.91400000000000003</v>
      </c>
      <c r="AA7763" s="508">
        <v>0.108</v>
      </c>
      <c r="AB7763" s="508">
        <v>0.108</v>
      </c>
      <c r="AC7763" s="508">
        <v>0.104</v>
      </c>
      <c r="AD7763" s="508">
        <v>6.8000000000000005E-2</v>
      </c>
      <c r="AE7763" s="508">
        <v>6.7000000000000004E-2</v>
      </c>
      <c r="AF7763" s="508">
        <v>5.7000000000000002E-2</v>
      </c>
      <c r="AG7763" s="508">
        <v>5.6000000000000001E-2</v>
      </c>
      <c r="AH7763" s="508">
        <v>5.6000000000000001E-2</v>
      </c>
      <c r="AI7763" s="492">
        <v>5.6000000000000001E-2</v>
      </c>
      <c r="AJ7763" s="485"/>
    </row>
    <row r="7764" spans="2:36">
      <c r="B7764" s="136" t="s">
        <v>476</v>
      </c>
      <c r="C7764" s="132" t="s">
        <v>1375</v>
      </c>
      <c r="D7764" s="132" t="s">
        <v>1381</v>
      </c>
      <c r="E7764" s="508">
        <v>2.0219999999999998</v>
      </c>
      <c r="F7764" s="508">
        <v>1.8759999999999999</v>
      </c>
      <c r="G7764" s="508">
        <v>1.8129999999999999</v>
      </c>
      <c r="H7764" s="508">
        <v>1.7410000000000001</v>
      </c>
      <c r="I7764" s="508">
        <v>1.6850000000000001</v>
      </c>
      <c r="J7764" s="508">
        <v>1.6950000000000001</v>
      </c>
      <c r="K7764" s="508">
        <v>1.6579999999999999</v>
      </c>
      <c r="L7764" s="508">
        <v>1.6439999999999999</v>
      </c>
      <c r="M7764" s="508">
        <v>1.605</v>
      </c>
      <c r="N7764" s="508">
        <v>1.6319999999999999</v>
      </c>
      <c r="O7764" s="508">
        <v>1.6439999999999999</v>
      </c>
      <c r="P7764" s="508">
        <v>1.6080000000000001</v>
      </c>
      <c r="Q7764" s="508">
        <v>1.637</v>
      </c>
      <c r="R7764" s="508">
        <v>1.575</v>
      </c>
      <c r="S7764" s="508">
        <v>1.6279999999999999</v>
      </c>
      <c r="T7764" s="508">
        <v>1.6120000000000001</v>
      </c>
      <c r="U7764" s="508">
        <v>1.5840000000000001</v>
      </c>
      <c r="V7764" s="508">
        <v>1.657</v>
      </c>
      <c r="W7764" s="508">
        <v>0.97699999999999998</v>
      </c>
      <c r="X7764" s="508">
        <v>0.97299999999999998</v>
      </c>
      <c r="Y7764" s="508">
        <v>0.95799999999999996</v>
      </c>
      <c r="Z7764" s="508">
        <v>0.95499999999999996</v>
      </c>
      <c r="AA7764" s="508">
        <v>0.113</v>
      </c>
      <c r="AB7764" s="508">
        <v>0.114</v>
      </c>
      <c r="AC7764" s="508">
        <v>0.109</v>
      </c>
      <c r="AD7764" s="508">
        <v>7.0999999999999994E-2</v>
      </c>
      <c r="AE7764" s="508">
        <v>7.0000000000000007E-2</v>
      </c>
      <c r="AF7764" s="508">
        <v>0.06</v>
      </c>
      <c r="AG7764" s="508">
        <v>5.8999999999999997E-2</v>
      </c>
      <c r="AH7764" s="508">
        <v>5.8999999999999997E-2</v>
      </c>
      <c r="AI7764" s="492">
        <v>5.8999999999999997E-2</v>
      </c>
      <c r="AJ7764" s="485"/>
    </row>
    <row r="7765" spans="2:36">
      <c r="B7765" s="136" t="s">
        <v>478</v>
      </c>
      <c r="C7765" s="132" t="s">
        <v>1375</v>
      </c>
      <c r="D7765" s="132" t="s">
        <v>1381</v>
      </c>
      <c r="E7765" s="508">
        <v>2.109</v>
      </c>
      <c r="F7765" s="508">
        <v>1.9530000000000001</v>
      </c>
      <c r="G7765" s="508">
        <v>1.885</v>
      </c>
      <c r="H7765" s="508">
        <v>1.8089999999999999</v>
      </c>
      <c r="I7765" s="508">
        <v>1.75</v>
      </c>
      <c r="J7765" s="508">
        <v>1.76</v>
      </c>
      <c r="K7765" s="508">
        <v>1.7210000000000001</v>
      </c>
      <c r="L7765" s="508">
        <v>1.706</v>
      </c>
      <c r="M7765" s="508">
        <v>1.6639999999999999</v>
      </c>
      <c r="N7765" s="508">
        <v>1.6919999999999999</v>
      </c>
      <c r="O7765" s="508">
        <v>1.7050000000000001</v>
      </c>
      <c r="P7765" s="508">
        <v>1.6659999999999999</v>
      </c>
      <c r="Q7765" s="508">
        <v>1.6970000000000001</v>
      </c>
      <c r="R7765" s="508">
        <v>1.6319999999999999</v>
      </c>
      <c r="S7765" s="508">
        <v>1.6870000000000001</v>
      </c>
      <c r="T7765" s="508">
        <v>1.67</v>
      </c>
      <c r="U7765" s="508">
        <v>1.64</v>
      </c>
      <c r="V7765" s="508">
        <v>1.7170000000000001</v>
      </c>
      <c r="W7765" s="508">
        <v>1.016</v>
      </c>
      <c r="X7765" s="508">
        <v>1.0109999999999999</v>
      </c>
      <c r="Y7765" s="508">
        <v>0.996</v>
      </c>
      <c r="Z7765" s="508">
        <v>0.99199999999999999</v>
      </c>
      <c r="AA7765" s="508">
        <v>0.11799999999999999</v>
      </c>
      <c r="AB7765" s="508">
        <v>0.11899999999999999</v>
      </c>
      <c r="AC7765" s="508">
        <v>0.113</v>
      </c>
      <c r="AD7765" s="508">
        <v>7.4999999999999997E-2</v>
      </c>
      <c r="AE7765" s="508">
        <v>7.2999999999999995E-2</v>
      </c>
      <c r="AF7765" s="508">
        <v>6.2E-2</v>
      </c>
      <c r="AG7765" s="508">
        <v>6.2E-2</v>
      </c>
      <c r="AH7765" s="508">
        <v>6.2E-2</v>
      </c>
      <c r="AI7765" s="492">
        <v>6.2E-2</v>
      </c>
      <c r="AJ7765" s="485"/>
    </row>
    <row r="7766" spans="2:36">
      <c r="B7766" s="136" t="s">
        <v>479</v>
      </c>
      <c r="C7766" s="132" t="s">
        <v>1375</v>
      </c>
      <c r="D7766" s="132" t="s">
        <v>1381</v>
      </c>
      <c r="E7766" s="508">
        <v>1.643</v>
      </c>
      <c r="F7766" s="508">
        <v>1.5760000000000001</v>
      </c>
      <c r="G7766" s="508">
        <v>1.5609999999999999</v>
      </c>
      <c r="H7766" s="508">
        <v>1.522</v>
      </c>
      <c r="I7766" s="508">
        <v>1.4910000000000001</v>
      </c>
      <c r="J7766" s="508">
        <v>1.5169999999999999</v>
      </c>
      <c r="K7766" s="508">
        <v>1.4950000000000001</v>
      </c>
      <c r="L7766" s="508">
        <v>1.492</v>
      </c>
      <c r="M7766" s="508">
        <v>1.4630000000000001</v>
      </c>
      <c r="N7766" s="508">
        <v>1.496</v>
      </c>
      <c r="O7766" s="508">
        <v>1.5129999999999999</v>
      </c>
      <c r="P7766" s="508">
        <v>1.484</v>
      </c>
      <c r="Q7766" s="508">
        <v>1.516</v>
      </c>
      <c r="R7766" s="508">
        <v>1.4610000000000001</v>
      </c>
      <c r="S7766" s="508">
        <v>1.5149999999999999</v>
      </c>
      <c r="T7766" s="508">
        <v>1.508</v>
      </c>
      <c r="U7766" s="508">
        <v>1.4890000000000001</v>
      </c>
      <c r="V7766" s="508">
        <v>1.5629999999999999</v>
      </c>
      <c r="W7766" s="508">
        <v>0.90800000000000003</v>
      </c>
      <c r="X7766" s="508">
        <v>0.90700000000000003</v>
      </c>
      <c r="Y7766" s="508">
        <v>0.89600000000000002</v>
      </c>
      <c r="Z7766" s="508">
        <v>0.89400000000000002</v>
      </c>
      <c r="AA7766" s="508">
        <v>9.8000000000000004E-2</v>
      </c>
      <c r="AB7766" s="508">
        <v>0.1</v>
      </c>
      <c r="AC7766" s="508">
        <v>9.5000000000000001E-2</v>
      </c>
      <c r="AD7766" s="508">
        <v>0.06</v>
      </c>
      <c r="AE7766" s="508">
        <v>5.8999999999999997E-2</v>
      </c>
      <c r="AF7766" s="508">
        <v>0.05</v>
      </c>
      <c r="AG7766" s="508">
        <v>4.9000000000000002E-2</v>
      </c>
      <c r="AH7766" s="508">
        <v>4.9000000000000002E-2</v>
      </c>
      <c r="AI7766" s="492">
        <v>4.9000000000000002E-2</v>
      </c>
      <c r="AJ7766" s="485"/>
    </row>
    <row r="7767" spans="2:36">
      <c r="B7767" s="136" t="s">
        <v>480</v>
      </c>
      <c r="C7767" s="132" t="s">
        <v>1375</v>
      </c>
      <c r="D7767" s="132" t="s">
        <v>1381</v>
      </c>
      <c r="E7767" s="508">
        <v>1.9330000000000001</v>
      </c>
      <c r="F7767" s="508">
        <v>1.772</v>
      </c>
      <c r="G7767" s="508">
        <v>1.6950000000000001</v>
      </c>
      <c r="H7767" s="508">
        <v>1.619</v>
      </c>
      <c r="I7767" s="508">
        <v>1.5609999999999999</v>
      </c>
      <c r="J7767" s="508">
        <v>1.5609999999999999</v>
      </c>
      <c r="K7767" s="508">
        <v>1.5229999999999999</v>
      </c>
      <c r="L7767" s="508">
        <v>1.5049999999999999</v>
      </c>
      <c r="M7767" s="508">
        <v>1.468</v>
      </c>
      <c r="N7767" s="508">
        <v>1.4870000000000001</v>
      </c>
      <c r="O7767" s="508">
        <v>1.494</v>
      </c>
      <c r="P7767" s="508">
        <v>1.4610000000000001</v>
      </c>
      <c r="Q7767" s="508">
        <v>1.4830000000000001</v>
      </c>
      <c r="R7767" s="508">
        <v>1.429</v>
      </c>
      <c r="S7767" s="508">
        <v>1.472</v>
      </c>
      <c r="T7767" s="508">
        <v>1.4530000000000001</v>
      </c>
      <c r="U7767" s="508">
        <v>1.4259999999999999</v>
      </c>
      <c r="V7767" s="508">
        <v>1.4850000000000001</v>
      </c>
      <c r="W7767" s="508">
        <v>0.871</v>
      </c>
      <c r="X7767" s="508">
        <v>0.86499999999999999</v>
      </c>
      <c r="Y7767" s="508">
        <v>0.85199999999999998</v>
      </c>
      <c r="Z7767" s="508">
        <v>0.84799999999999998</v>
      </c>
      <c r="AA7767" s="508">
        <v>0.104</v>
      </c>
      <c r="AB7767" s="508">
        <v>0.104</v>
      </c>
      <c r="AC7767" s="508">
        <v>9.9000000000000005E-2</v>
      </c>
      <c r="AD7767" s="508">
        <v>6.6000000000000003E-2</v>
      </c>
      <c r="AE7767" s="508">
        <v>6.5000000000000002E-2</v>
      </c>
      <c r="AF7767" s="508">
        <v>5.6000000000000001E-2</v>
      </c>
      <c r="AG7767" s="508">
        <v>5.5E-2</v>
      </c>
      <c r="AH7767" s="508">
        <v>5.5E-2</v>
      </c>
      <c r="AI7767" s="492">
        <v>5.5E-2</v>
      </c>
      <c r="AJ7767" s="485"/>
    </row>
    <row r="7768" spans="2:36">
      <c r="B7768" s="136" t="s">
        <v>481</v>
      </c>
      <c r="C7768" s="132" t="s">
        <v>1375</v>
      </c>
      <c r="D7768" s="132" t="s">
        <v>1381</v>
      </c>
      <c r="E7768" s="508">
        <v>1.782</v>
      </c>
      <c r="F7768" s="508">
        <v>1.6870000000000001</v>
      </c>
      <c r="G7768" s="508">
        <v>1.655</v>
      </c>
      <c r="H7768" s="508">
        <v>1.6040000000000001</v>
      </c>
      <c r="I7768" s="508">
        <v>1.5649999999999999</v>
      </c>
      <c r="J7768" s="508">
        <v>1.585</v>
      </c>
      <c r="K7768" s="508">
        <v>1.5580000000000001</v>
      </c>
      <c r="L7768" s="508">
        <v>1.5509999999999999</v>
      </c>
      <c r="M7768" s="508">
        <v>1.518</v>
      </c>
      <c r="N7768" s="508">
        <v>1.5489999999999999</v>
      </c>
      <c r="O7768" s="508">
        <v>1.5649999999999999</v>
      </c>
      <c r="P7768" s="508">
        <v>1.532</v>
      </c>
      <c r="Q7768" s="508">
        <v>1.5640000000000001</v>
      </c>
      <c r="R7768" s="508">
        <v>1.506</v>
      </c>
      <c r="S7768" s="508">
        <v>1.56</v>
      </c>
      <c r="T7768" s="508">
        <v>1.55</v>
      </c>
      <c r="U7768" s="508">
        <v>1.5269999999999999</v>
      </c>
      <c r="V7768" s="508">
        <v>1.6020000000000001</v>
      </c>
      <c r="W7768" s="508">
        <v>0.93600000000000005</v>
      </c>
      <c r="X7768" s="508">
        <v>0.93300000000000005</v>
      </c>
      <c r="Y7768" s="508">
        <v>0.92100000000000004</v>
      </c>
      <c r="Z7768" s="508">
        <v>0.91900000000000004</v>
      </c>
      <c r="AA7768" s="508">
        <v>0.104</v>
      </c>
      <c r="AB7768" s="508">
        <v>0.105</v>
      </c>
      <c r="AC7768" s="508">
        <v>0.1</v>
      </c>
      <c r="AD7768" s="508">
        <v>6.4000000000000001E-2</v>
      </c>
      <c r="AE7768" s="508">
        <v>6.3E-2</v>
      </c>
      <c r="AF7768" s="508">
        <v>5.2999999999999999E-2</v>
      </c>
      <c r="AG7768" s="508">
        <v>5.2999999999999999E-2</v>
      </c>
      <c r="AH7768" s="508">
        <v>5.2999999999999999E-2</v>
      </c>
      <c r="AI7768" s="492">
        <v>5.2999999999999999E-2</v>
      </c>
      <c r="AJ7768" s="485"/>
    </row>
    <row r="7769" spans="2:36">
      <c r="B7769" s="136" t="s">
        <v>482</v>
      </c>
      <c r="C7769" s="132" t="s">
        <v>1375</v>
      </c>
      <c r="D7769" s="132" t="s">
        <v>1381</v>
      </c>
      <c r="E7769" s="508">
        <v>1.581</v>
      </c>
      <c r="F7769" s="508">
        <v>1.534</v>
      </c>
      <c r="G7769" s="508">
        <v>1.5309999999999999</v>
      </c>
      <c r="H7769" s="508">
        <v>1.5</v>
      </c>
      <c r="I7769" s="508">
        <v>1.474</v>
      </c>
      <c r="J7769" s="508">
        <v>1.5049999999999999</v>
      </c>
      <c r="K7769" s="508">
        <v>1.486</v>
      </c>
      <c r="L7769" s="508">
        <v>1.486</v>
      </c>
      <c r="M7769" s="508">
        <v>1.4590000000000001</v>
      </c>
      <c r="N7769" s="508">
        <v>1.494</v>
      </c>
      <c r="O7769" s="508">
        <v>1.514</v>
      </c>
      <c r="P7769" s="508">
        <v>1.4850000000000001</v>
      </c>
      <c r="Q7769" s="508">
        <v>1.5189999999999999</v>
      </c>
      <c r="R7769" s="508">
        <v>1.464</v>
      </c>
      <c r="S7769" s="508">
        <v>1.52</v>
      </c>
      <c r="T7769" s="508">
        <v>1.5169999999999999</v>
      </c>
      <c r="U7769" s="508">
        <v>1.498</v>
      </c>
      <c r="V7769" s="508">
        <v>1.575</v>
      </c>
      <c r="W7769" s="508">
        <v>0.91300000000000003</v>
      </c>
      <c r="X7769" s="508">
        <v>0.91300000000000003</v>
      </c>
      <c r="Y7769" s="508">
        <v>0.90200000000000002</v>
      </c>
      <c r="Z7769" s="508">
        <v>0.90200000000000002</v>
      </c>
      <c r="AA7769" s="508">
        <v>9.7000000000000003E-2</v>
      </c>
      <c r="AB7769" s="508">
        <v>9.8000000000000004E-2</v>
      </c>
      <c r="AC7769" s="508">
        <v>9.4E-2</v>
      </c>
      <c r="AD7769" s="508">
        <v>5.8999999999999997E-2</v>
      </c>
      <c r="AE7769" s="508">
        <v>5.8000000000000003E-2</v>
      </c>
      <c r="AF7769" s="508">
        <v>4.8000000000000001E-2</v>
      </c>
      <c r="AG7769" s="508">
        <v>4.8000000000000001E-2</v>
      </c>
      <c r="AH7769" s="508">
        <v>4.8000000000000001E-2</v>
      </c>
      <c r="AI7769" s="492">
        <v>4.8000000000000001E-2</v>
      </c>
      <c r="AJ7769" s="485"/>
    </row>
    <row r="7770" spans="2:36">
      <c r="B7770" s="136" t="s">
        <v>483</v>
      </c>
      <c r="C7770" s="132" t="s">
        <v>1375</v>
      </c>
      <c r="D7770" s="132" t="s">
        <v>1381</v>
      </c>
      <c r="E7770" s="508">
        <v>2.1389999999999998</v>
      </c>
      <c r="F7770" s="508">
        <v>1.974</v>
      </c>
      <c r="G7770" s="508">
        <v>1.9</v>
      </c>
      <c r="H7770" s="508">
        <v>1.82</v>
      </c>
      <c r="I7770" s="508">
        <v>1.758</v>
      </c>
      <c r="J7770" s="508">
        <v>1.766</v>
      </c>
      <c r="K7770" s="508">
        <v>1.7250000000000001</v>
      </c>
      <c r="L7770" s="508">
        <v>1.7090000000000001</v>
      </c>
      <c r="M7770" s="508">
        <v>1.667</v>
      </c>
      <c r="N7770" s="508">
        <v>1.6930000000000001</v>
      </c>
      <c r="O7770" s="508">
        <v>1.7050000000000001</v>
      </c>
      <c r="P7770" s="508">
        <v>1.6659999999999999</v>
      </c>
      <c r="Q7770" s="508">
        <v>1.696</v>
      </c>
      <c r="R7770" s="508">
        <v>1.631</v>
      </c>
      <c r="S7770" s="508">
        <v>1.6850000000000001</v>
      </c>
      <c r="T7770" s="508">
        <v>1.6659999999999999</v>
      </c>
      <c r="U7770" s="508">
        <v>1.6359999999999999</v>
      </c>
      <c r="V7770" s="508">
        <v>1.7110000000000001</v>
      </c>
      <c r="W7770" s="508">
        <v>1.0129999999999999</v>
      </c>
      <c r="X7770" s="508">
        <v>1.008</v>
      </c>
      <c r="Y7770" s="508">
        <v>0.99299999999999999</v>
      </c>
      <c r="Z7770" s="508">
        <v>0.98899999999999999</v>
      </c>
      <c r="AA7770" s="508">
        <v>0.11899999999999999</v>
      </c>
      <c r="AB7770" s="508">
        <v>0.11899999999999999</v>
      </c>
      <c r="AC7770" s="508">
        <v>0.114</v>
      </c>
      <c r="AD7770" s="508">
        <v>7.4999999999999997E-2</v>
      </c>
      <c r="AE7770" s="508">
        <v>7.3999999999999996E-2</v>
      </c>
      <c r="AF7770" s="508">
        <v>6.3E-2</v>
      </c>
      <c r="AG7770" s="508">
        <v>6.3E-2</v>
      </c>
      <c r="AH7770" s="508">
        <v>6.3E-2</v>
      </c>
      <c r="AI7770" s="492">
        <v>6.3E-2</v>
      </c>
      <c r="AJ7770" s="485"/>
    </row>
    <row r="7771" spans="2:36">
      <c r="B7771" s="136" t="s">
        <v>484</v>
      </c>
      <c r="C7771" s="132" t="s">
        <v>1375</v>
      </c>
      <c r="D7771" s="132" t="s">
        <v>1381</v>
      </c>
      <c r="E7771" s="508">
        <v>1.9910000000000001</v>
      </c>
      <c r="F7771" s="508">
        <v>1.821</v>
      </c>
      <c r="G7771" s="508">
        <v>1.74</v>
      </c>
      <c r="H7771" s="508">
        <v>1.659</v>
      </c>
      <c r="I7771" s="508">
        <v>1.5980000000000001</v>
      </c>
      <c r="J7771" s="508">
        <v>1.597</v>
      </c>
      <c r="K7771" s="508">
        <v>1.5569999999999999</v>
      </c>
      <c r="L7771" s="508">
        <v>1.5389999999999999</v>
      </c>
      <c r="M7771" s="508">
        <v>1.5</v>
      </c>
      <c r="N7771" s="508">
        <v>1.5189999999999999</v>
      </c>
      <c r="O7771" s="508">
        <v>1.526</v>
      </c>
      <c r="P7771" s="508">
        <v>1.4910000000000001</v>
      </c>
      <c r="Q7771" s="508">
        <v>1.514</v>
      </c>
      <c r="R7771" s="508">
        <v>1.458</v>
      </c>
      <c r="S7771" s="508">
        <v>1.502</v>
      </c>
      <c r="T7771" s="508">
        <v>1.482</v>
      </c>
      <c r="U7771" s="508">
        <v>1.454</v>
      </c>
      <c r="V7771" s="508">
        <v>1.514</v>
      </c>
      <c r="W7771" s="508">
        <v>0.89</v>
      </c>
      <c r="X7771" s="508">
        <v>0.88500000000000001</v>
      </c>
      <c r="Y7771" s="508">
        <v>0.871</v>
      </c>
      <c r="Z7771" s="508">
        <v>0.86599999999999999</v>
      </c>
      <c r="AA7771" s="508">
        <v>0.107</v>
      </c>
      <c r="AB7771" s="508">
        <v>0.107</v>
      </c>
      <c r="AC7771" s="508">
        <v>0.10199999999999999</v>
      </c>
      <c r="AD7771" s="508">
        <v>6.8000000000000005E-2</v>
      </c>
      <c r="AE7771" s="508">
        <v>6.7000000000000004E-2</v>
      </c>
      <c r="AF7771" s="508">
        <v>5.7000000000000002E-2</v>
      </c>
      <c r="AG7771" s="508">
        <v>5.7000000000000002E-2</v>
      </c>
      <c r="AH7771" s="508">
        <v>5.7000000000000002E-2</v>
      </c>
      <c r="AI7771" s="492">
        <v>5.7000000000000002E-2</v>
      </c>
      <c r="AJ7771" s="485"/>
    </row>
    <row r="7772" spans="2:36">
      <c r="B7772" s="136" t="s">
        <v>486</v>
      </c>
      <c r="C7772" s="132" t="s">
        <v>1375</v>
      </c>
      <c r="D7772" s="132" t="s">
        <v>1381</v>
      </c>
      <c r="E7772" s="508">
        <v>1.8380000000000001</v>
      </c>
      <c r="F7772" s="508">
        <v>1.73</v>
      </c>
      <c r="G7772" s="508">
        <v>1.69</v>
      </c>
      <c r="H7772" s="508">
        <v>1.635</v>
      </c>
      <c r="I7772" s="508">
        <v>1.591</v>
      </c>
      <c r="J7772" s="508">
        <v>1.609</v>
      </c>
      <c r="K7772" s="508">
        <v>1.579</v>
      </c>
      <c r="L7772" s="508">
        <v>1.57</v>
      </c>
      <c r="M7772" s="508">
        <v>1.536</v>
      </c>
      <c r="N7772" s="508">
        <v>1.5660000000000001</v>
      </c>
      <c r="O7772" s="508">
        <v>1.581</v>
      </c>
      <c r="P7772" s="508">
        <v>1.548</v>
      </c>
      <c r="Q7772" s="508">
        <v>1.5780000000000001</v>
      </c>
      <c r="R7772" s="508">
        <v>1.52</v>
      </c>
      <c r="S7772" s="508">
        <v>1.573</v>
      </c>
      <c r="T7772" s="508">
        <v>1.5620000000000001</v>
      </c>
      <c r="U7772" s="508">
        <v>1.538</v>
      </c>
      <c r="V7772" s="508">
        <v>1.6120000000000001</v>
      </c>
      <c r="W7772" s="508">
        <v>0.94399999999999995</v>
      </c>
      <c r="X7772" s="508">
        <v>0.94099999999999995</v>
      </c>
      <c r="Y7772" s="508">
        <v>0.92800000000000005</v>
      </c>
      <c r="Z7772" s="508">
        <v>0.92500000000000004</v>
      </c>
      <c r="AA7772" s="508">
        <v>0.106</v>
      </c>
      <c r="AB7772" s="508">
        <v>0.107</v>
      </c>
      <c r="AC7772" s="508">
        <v>0.10199999999999999</v>
      </c>
      <c r="AD7772" s="508">
        <v>6.6000000000000003E-2</v>
      </c>
      <c r="AE7772" s="508">
        <v>6.5000000000000002E-2</v>
      </c>
      <c r="AF7772" s="508">
        <v>5.5E-2</v>
      </c>
      <c r="AG7772" s="508">
        <v>5.5E-2</v>
      </c>
      <c r="AH7772" s="508">
        <v>5.5E-2</v>
      </c>
      <c r="AI7772" s="492">
        <v>5.5E-2</v>
      </c>
      <c r="AJ7772" s="485"/>
    </row>
    <row r="7773" spans="2:36">
      <c r="B7773" s="136" t="s">
        <v>487</v>
      </c>
      <c r="C7773" s="132" t="s">
        <v>1375</v>
      </c>
      <c r="D7773" s="132" t="s">
        <v>1381</v>
      </c>
      <c r="E7773" s="508">
        <v>2.0049999999999999</v>
      </c>
      <c r="F7773" s="508">
        <v>1.8560000000000001</v>
      </c>
      <c r="G7773" s="508">
        <v>1.7909999999999999</v>
      </c>
      <c r="H7773" s="508">
        <v>1.718</v>
      </c>
      <c r="I7773" s="508">
        <v>1.6619999999999999</v>
      </c>
      <c r="J7773" s="508">
        <v>1.67</v>
      </c>
      <c r="K7773" s="508">
        <v>1.633</v>
      </c>
      <c r="L7773" s="508">
        <v>1.6180000000000001</v>
      </c>
      <c r="M7773" s="508">
        <v>1.58</v>
      </c>
      <c r="N7773" s="508">
        <v>1.605</v>
      </c>
      <c r="O7773" s="508">
        <v>1.6160000000000001</v>
      </c>
      <c r="P7773" s="508">
        <v>1.58</v>
      </c>
      <c r="Q7773" s="508">
        <v>1.6080000000000001</v>
      </c>
      <c r="R7773" s="508">
        <v>1.548</v>
      </c>
      <c r="S7773" s="508">
        <v>1.599</v>
      </c>
      <c r="T7773" s="508">
        <v>1.5820000000000001</v>
      </c>
      <c r="U7773" s="508">
        <v>1.554</v>
      </c>
      <c r="V7773" s="508">
        <v>1.6240000000000001</v>
      </c>
      <c r="W7773" s="508">
        <v>0.95699999999999996</v>
      </c>
      <c r="X7773" s="508">
        <v>0.95199999999999996</v>
      </c>
      <c r="Y7773" s="508">
        <v>0.93799999999999994</v>
      </c>
      <c r="Z7773" s="508">
        <v>0.93400000000000005</v>
      </c>
      <c r="AA7773" s="508">
        <v>0.111</v>
      </c>
      <c r="AB7773" s="508">
        <v>0.112</v>
      </c>
      <c r="AC7773" s="508">
        <v>0.107</v>
      </c>
      <c r="AD7773" s="508">
        <v>7.0000000000000007E-2</v>
      </c>
      <c r="AE7773" s="508">
        <v>6.9000000000000006E-2</v>
      </c>
      <c r="AF7773" s="508">
        <v>5.8999999999999997E-2</v>
      </c>
      <c r="AG7773" s="508">
        <v>5.8999999999999997E-2</v>
      </c>
      <c r="AH7773" s="508">
        <v>5.8999999999999997E-2</v>
      </c>
      <c r="AI7773" s="492">
        <v>5.8999999999999997E-2</v>
      </c>
      <c r="AJ7773" s="485"/>
    </row>
    <row r="7774" spans="2:36">
      <c r="B7774" s="136" t="s">
        <v>488</v>
      </c>
      <c r="C7774" s="132" t="s">
        <v>1375</v>
      </c>
      <c r="D7774" s="132" t="s">
        <v>1381</v>
      </c>
      <c r="E7774" s="508">
        <v>1.825</v>
      </c>
      <c r="F7774" s="508">
        <v>1.7010000000000001</v>
      </c>
      <c r="G7774" s="508">
        <v>1.647</v>
      </c>
      <c r="H7774" s="508">
        <v>1.585</v>
      </c>
      <c r="I7774" s="508">
        <v>1.538</v>
      </c>
      <c r="J7774" s="508">
        <v>1.548</v>
      </c>
      <c r="K7774" s="508">
        <v>1.516</v>
      </c>
      <c r="L7774" s="508">
        <v>1.504</v>
      </c>
      <c r="M7774" s="508">
        <v>1.47</v>
      </c>
      <c r="N7774" s="508">
        <v>1.494</v>
      </c>
      <c r="O7774" s="508">
        <v>1.5049999999999999</v>
      </c>
      <c r="P7774" s="508">
        <v>1.4730000000000001</v>
      </c>
      <c r="Q7774" s="508">
        <v>1.4990000000000001</v>
      </c>
      <c r="R7774" s="508">
        <v>1.4450000000000001</v>
      </c>
      <c r="S7774" s="508">
        <v>1.492</v>
      </c>
      <c r="T7774" s="508">
        <v>1.478</v>
      </c>
      <c r="U7774" s="508">
        <v>1.454</v>
      </c>
      <c r="V7774" s="508">
        <v>1.5189999999999999</v>
      </c>
      <c r="W7774" s="508">
        <v>0.88700000000000001</v>
      </c>
      <c r="X7774" s="508">
        <v>0.88400000000000001</v>
      </c>
      <c r="Y7774" s="508">
        <v>0.871</v>
      </c>
      <c r="Z7774" s="508">
        <v>0.86799999999999999</v>
      </c>
      <c r="AA7774" s="508">
        <v>0.10199999999999999</v>
      </c>
      <c r="AB7774" s="508">
        <v>0.10299999999999999</v>
      </c>
      <c r="AC7774" s="508">
        <v>9.8000000000000004E-2</v>
      </c>
      <c r="AD7774" s="508">
        <v>6.4000000000000001E-2</v>
      </c>
      <c r="AE7774" s="508">
        <v>6.3E-2</v>
      </c>
      <c r="AF7774" s="508">
        <v>5.2999999999999999E-2</v>
      </c>
      <c r="AG7774" s="508">
        <v>5.2999999999999999E-2</v>
      </c>
      <c r="AH7774" s="508">
        <v>5.2999999999999999E-2</v>
      </c>
      <c r="AI7774" s="492">
        <v>5.2999999999999999E-2</v>
      </c>
      <c r="AJ7774" s="485"/>
    </row>
    <row r="7775" spans="2:36">
      <c r="B7775" s="136" t="s">
        <v>489</v>
      </c>
      <c r="C7775" s="132" t="s">
        <v>1375</v>
      </c>
      <c r="D7775" s="132" t="s">
        <v>1381</v>
      </c>
      <c r="E7775" s="508">
        <v>2.085</v>
      </c>
      <c r="F7775" s="508">
        <v>1.91</v>
      </c>
      <c r="G7775" s="508">
        <v>1.8260000000000001</v>
      </c>
      <c r="H7775" s="508">
        <v>1.7430000000000001</v>
      </c>
      <c r="I7775" s="508">
        <v>1.679</v>
      </c>
      <c r="J7775" s="508">
        <v>1.68</v>
      </c>
      <c r="K7775" s="508">
        <v>1.6379999999999999</v>
      </c>
      <c r="L7775" s="508">
        <v>1.619</v>
      </c>
      <c r="M7775" s="508">
        <v>1.5780000000000001</v>
      </c>
      <c r="N7775" s="508">
        <v>1.599</v>
      </c>
      <c r="O7775" s="508">
        <v>1.607</v>
      </c>
      <c r="P7775" s="508">
        <v>1.571</v>
      </c>
      <c r="Q7775" s="508">
        <v>1.5960000000000001</v>
      </c>
      <c r="R7775" s="508">
        <v>1.536</v>
      </c>
      <c r="S7775" s="508">
        <v>1.583</v>
      </c>
      <c r="T7775" s="508">
        <v>1.5629999999999999</v>
      </c>
      <c r="U7775" s="508">
        <v>1.5329999999999999</v>
      </c>
      <c r="V7775" s="508">
        <v>1.599</v>
      </c>
      <c r="W7775" s="508">
        <v>0.94399999999999995</v>
      </c>
      <c r="X7775" s="508">
        <v>0.93899999999999995</v>
      </c>
      <c r="Y7775" s="508">
        <v>0.92400000000000004</v>
      </c>
      <c r="Z7775" s="508">
        <v>0.91900000000000004</v>
      </c>
      <c r="AA7775" s="508">
        <v>0.113</v>
      </c>
      <c r="AB7775" s="508">
        <v>0.113</v>
      </c>
      <c r="AC7775" s="508">
        <v>0.108</v>
      </c>
      <c r="AD7775" s="508">
        <v>7.1999999999999995E-2</v>
      </c>
      <c r="AE7775" s="508">
        <v>7.0999999999999994E-2</v>
      </c>
      <c r="AF7775" s="508">
        <v>6.0999999999999999E-2</v>
      </c>
      <c r="AG7775" s="508">
        <v>0.06</v>
      </c>
      <c r="AH7775" s="508">
        <v>0.06</v>
      </c>
      <c r="AI7775" s="492">
        <v>0.06</v>
      </c>
      <c r="AJ7775" s="485"/>
    </row>
    <row r="7776" spans="2:36">
      <c r="B7776" s="136" t="s">
        <v>490</v>
      </c>
      <c r="C7776" s="132" t="s">
        <v>1375</v>
      </c>
      <c r="D7776" s="132" t="s">
        <v>1381</v>
      </c>
      <c r="E7776" s="508">
        <v>1.958</v>
      </c>
      <c r="F7776" s="508">
        <v>1.792</v>
      </c>
      <c r="G7776" s="508">
        <v>1.712</v>
      </c>
      <c r="H7776" s="508">
        <v>1.633</v>
      </c>
      <c r="I7776" s="508">
        <v>1.573</v>
      </c>
      <c r="J7776" s="508">
        <v>1.5720000000000001</v>
      </c>
      <c r="K7776" s="508">
        <v>1.5329999999999999</v>
      </c>
      <c r="L7776" s="508">
        <v>1.5149999999999999</v>
      </c>
      <c r="M7776" s="508">
        <v>1.4770000000000001</v>
      </c>
      <c r="N7776" s="508">
        <v>1.496</v>
      </c>
      <c r="O7776" s="508">
        <v>1.502</v>
      </c>
      <c r="P7776" s="508">
        <v>1.4690000000000001</v>
      </c>
      <c r="Q7776" s="508">
        <v>1.4910000000000001</v>
      </c>
      <c r="R7776" s="508">
        <v>1.4359999999999999</v>
      </c>
      <c r="S7776" s="508">
        <v>1.4790000000000001</v>
      </c>
      <c r="T7776" s="508">
        <v>1.4590000000000001</v>
      </c>
      <c r="U7776" s="508">
        <v>1.4319999999999999</v>
      </c>
      <c r="V7776" s="508">
        <v>1.49</v>
      </c>
      <c r="W7776" s="508">
        <v>0.875</v>
      </c>
      <c r="X7776" s="508">
        <v>0.86899999999999999</v>
      </c>
      <c r="Y7776" s="508">
        <v>0.85499999999999998</v>
      </c>
      <c r="Z7776" s="508">
        <v>0.85099999999999998</v>
      </c>
      <c r="AA7776" s="508">
        <v>0.105</v>
      </c>
      <c r="AB7776" s="508">
        <v>0.105</v>
      </c>
      <c r="AC7776" s="508">
        <v>0.1</v>
      </c>
      <c r="AD7776" s="508">
        <v>6.7000000000000004E-2</v>
      </c>
      <c r="AE7776" s="508">
        <v>6.6000000000000003E-2</v>
      </c>
      <c r="AF7776" s="508">
        <v>5.6000000000000001E-2</v>
      </c>
      <c r="AG7776" s="508">
        <v>5.6000000000000001E-2</v>
      </c>
      <c r="AH7776" s="508">
        <v>5.6000000000000001E-2</v>
      </c>
      <c r="AI7776" s="492">
        <v>5.6000000000000001E-2</v>
      </c>
      <c r="AJ7776" s="485"/>
    </row>
    <row r="7777" spans="2:36">
      <c r="B7777" s="136" t="s">
        <v>435</v>
      </c>
      <c r="C7777" s="132" t="s">
        <v>1376</v>
      </c>
      <c r="D7777" s="132" t="s">
        <v>1381</v>
      </c>
      <c r="E7777" s="508">
        <v>9.9770000000000003</v>
      </c>
      <c r="F7777" s="508">
        <v>6.75</v>
      </c>
      <c r="G7777" s="508">
        <v>6.1059999999999999</v>
      </c>
      <c r="H7777" s="508">
        <v>5.7160000000000002</v>
      </c>
      <c r="I7777" s="508">
        <v>5.0990000000000002</v>
      </c>
      <c r="J7777" s="508">
        <v>4.2060000000000004</v>
      </c>
      <c r="K7777" s="508">
        <v>4.05</v>
      </c>
      <c r="L7777" s="508">
        <v>3.923</v>
      </c>
      <c r="M7777" s="508">
        <v>3.508</v>
      </c>
      <c r="N7777" s="508">
        <v>3.48</v>
      </c>
      <c r="O7777" s="508">
        <v>3.3319999999999999</v>
      </c>
      <c r="P7777" s="508">
        <v>3.4340000000000002</v>
      </c>
      <c r="Q7777" s="508">
        <v>3.407</v>
      </c>
      <c r="R7777" s="508">
        <v>2.218</v>
      </c>
      <c r="S7777" s="508">
        <v>2.1589999999999998</v>
      </c>
      <c r="T7777" s="508">
        <v>1.8480000000000001</v>
      </c>
      <c r="U7777" s="508">
        <v>1.448</v>
      </c>
      <c r="V7777" s="508">
        <v>1.355</v>
      </c>
      <c r="W7777" s="508">
        <v>1.272</v>
      </c>
      <c r="X7777" s="508">
        <v>1.2150000000000001</v>
      </c>
      <c r="Y7777" s="508">
        <v>0.85699999999999998</v>
      </c>
      <c r="Z7777" s="508">
        <v>0.83299999999999996</v>
      </c>
      <c r="AA7777" s="508">
        <v>0.80800000000000005</v>
      </c>
      <c r="AB7777" s="508">
        <v>0.26</v>
      </c>
      <c r="AC7777" s="508">
        <v>0.24399999999999999</v>
      </c>
      <c r="AD7777" s="508">
        <v>0.104</v>
      </c>
      <c r="AE7777" s="508">
        <v>9.8000000000000004E-2</v>
      </c>
      <c r="AF7777" s="508">
        <v>8.8999999999999996E-2</v>
      </c>
      <c r="AG7777" s="508">
        <v>8.7999999999999995E-2</v>
      </c>
      <c r="AH7777" s="508">
        <v>8.6999999999999994E-2</v>
      </c>
      <c r="AI7777" s="492">
        <v>8.6999999999999994E-2</v>
      </c>
      <c r="AJ7777" s="485"/>
    </row>
    <row r="7778" spans="2:36">
      <c r="B7778" s="136" t="s">
        <v>436</v>
      </c>
      <c r="C7778" s="132" t="s">
        <v>1376</v>
      </c>
      <c r="D7778" s="132" t="s">
        <v>1381</v>
      </c>
      <c r="E7778" s="508">
        <v>12.678000000000001</v>
      </c>
      <c r="F7778" s="508">
        <v>7.18</v>
      </c>
      <c r="G7778" s="508">
        <v>6.3940000000000001</v>
      </c>
      <c r="H7778" s="508">
        <v>5.93</v>
      </c>
      <c r="I7778" s="508">
        <v>5.2709999999999999</v>
      </c>
      <c r="J7778" s="508">
        <v>4.5309999999999997</v>
      </c>
      <c r="K7778" s="508">
        <v>4.3159999999999998</v>
      </c>
      <c r="L7778" s="508">
        <v>4.141</v>
      </c>
      <c r="M7778" s="508">
        <v>3.718</v>
      </c>
      <c r="N7778" s="508">
        <v>3.653</v>
      </c>
      <c r="O7778" s="508">
        <v>3.4830000000000001</v>
      </c>
      <c r="P7778" s="508">
        <v>3.5779999999999998</v>
      </c>
      <c r="Q7778" s="508">
        <v>3.53</v>
      </c>
      <c r="R7778" s="508">
        <v>2.3769999999999998</v>
      </c>
      <c r="S7778" s="508">
        <v>2.3029999999999999</v>
      </c>
      <c r="T7778" s="508">
        <v>1.964</v>
      </c>
      <c r="U7778" s="508">
        <v>1.552</v>
      </c>
      <c r="V7778" s="508">
        <v>1.4379999999999999</v>
      </c>
      <c r="W7778" s="508">
        <v>1.3380000000000001</v>
      </c>
      <c r="X7778" s="508">
        <v>1.268</v>
      </c>
      <c r="Y7778" s="508">
        <v>0.91</v>
      </c>
      <c r="Z7778" s="508">
        <v>0.83</v>
      </c>
      <c r="AA7778" s="508">
        <v>0.80100000000000005</v>
      </c>
      <c r="AB7778" s="508">
        <v>0.29299999999999998</v>
      </c>
      <c r="AC7778" s="508">
        <v>0.27400000000000002</v>
      </c>
      <c r="AD7778" s="508">
        <v>0.13800000000000001</v>
      </c>
      <c r="AE7778" s="508">
        <v>0.123</v>
      </c>
      <c r="AF7778" s="508">
        <v>0.106</v>
      </c>
      <c r="AG7778" s="508">
        <v>0.10100000000000001</v>
      </c>
      <c r="AH7778" s="508">
        <v>0.1</v>
      </c>
      <c r="AI7778" s="492">
        <v>0.1</v>
      </c>
      <c r="AJ7778" s="485"/>
    </row>
    <row r="7779" spans="2:36">
      <c r="B7779" s="136" t="s">
        <v>437</v>
      </c>
      <c r="C7779" s="132" t="s">
        <v>1376</v>
      </c>
      <c r="D7779" s="132" t="s">
        <v>1381</v>
      </c>
      <c r="E7779" s="508">
        <v>9.3369999999999997</v>
      </c>
      <c r="F7779" s="508">
        <v>6.4749999999999996</v>
      </c>
      <c r="G7779" s="508">
        <v>5.859</v>
      </c>
      <c r="H7779" s="508">
        <v>5.484</v>
      </c>
      <c r="I7779" s="508">
        <v>4.8879999999999999</v>
      </c>
      <c r="J7779" s="508">
        <v>4.0190000000000001</v>
      </c>
      <c r="K7779" s="508">
        <v>3.871</v>
      </c>
      <c r="L7779" s="508">
        <v>3.75</v>
      </c>
      <c r="M7779" s="508">
        <v>3.3479999999999999</v>
      </c>
      <c r="N7779" s="508">
        <v>3.3769999999999998</v>
      </c>
      <c r="O7779" s="508">
        <v>3.234</v>
      </c>
      <c r="P7779" s="508">
        <v>3.3340000000000001</v>
      </c>
      <c r="Q7779" s="508">
        <v>3.31</v>
      </c>
      <c r="R7779" s="508">
        <v>2.1549999999999998</v>
      </c>
      <c r="S7779" s="508">
        <v>2.0990000000000002</v>
      </c>
      <c r="T7779" s="508">
        <v>1.798</v>
      </c>
      <c r="U7779" s="508">
        <v>1.385</v>
      </c>
      <c r="V7779" s="508">
        <v>1.288</v>
      </c>
      <c r="W7779" s="508">
        <v>1.2</v>
      </c>
      <c r="X7779" s="508">
        <v>1.1399999999999999</v>
      </c>
      <c r="Y7779" s="508">
        <v>0.75900000000000001</v>
      </c>
      <c r="Z7779" s="508">
        <v>0.73699999999999999</v>
      </c>
      <c r="AA7779" s="508">
        <v>0.71099999999999997</v>
      </c>
      <c r="AB7779" s="508">
        <v>0.23</v>
      </c>
      <c r="AC7779" s="508">
        <v>0.21299999999999999</v>
      </c>
      <c r="AD7779" s="508">
        <v>9.2999999999999999E-2</v>
      </c>
      <c r="AE7779" s="508">
        <v>8.7999999999999995E-2</v>
      </c>
      <c r="AF7779" s="508">
        <v>7.8E-2</v>
      </c>
      <c r="AG7779" s="508">
        <v>7.6999999999999999E-2</v>
      </c>
      <c r="AH7779" s="508">
        <v>7.6999999999999999E-2</v>
      </c>
      <c r="AI7779" s="492">
        <v>7.6999999999999999E-2</v>
      </c>
      <c r="AJ7779" s="485"/>
    </row>
    <row r="7780" spans="2:36">
      <c r="B7780" s="136" t="s">
        <v>438</v>
      </c>
      <c r="C7780" s="132" t="s">
        <v>1376</v>
      </c>
      <c r="D7780" s="132" t="s">
        <v>1381</v>
      </c>
      <c r="E7780" s="508">
        <v>9.2409999999999997</v>
      </c>
      <c r="F7780" s="508">
        <v>6.08</v>
      </c>
      <c r="G7780" s="508">
        <v>5.49</v>
      </c>
      <c r="H7780" s="508">
        <v>5.133</v>
      </c>
      <c r="I7780" s="508">
        <v>4.5750000000000002</v>
      </c>
      <c r="J7780" s="508">
        <v>3.827</v>
      </c>
      <c r="K7780" s="508">
        <v>3.6829999999999998</v>
      </c>
      <c r="L7780" s="508">
        <v>3.5640000000000001</v>
      </c>
      <c r="M7780" s="508">
        <v>3.1909999999999998</v>
      </c>
      <c r="N7780" s="508">
        <v>3.1629999999999998</v>
      </c>
      <c r="O7780" s="508">
        <v>3.028</v>
      </c>
      <c r="P7780" s="508">
        <v>3.121</v>
      </c>
      <c r="Q7780" s="508">
        <v>3.0950000000000002</v>
      </c>
      <c r="R7780" s="508">
        <v>1.9810000000000001</v>
      </c>
      <c r="S7780" s="508">
        <v>1.9279999999999999</v>
      </c>
      <c r="T7780" s="508">
        <v>1.6459999999999999</v>
      </c>
      <c r="U7780" s="508">
        <v>1.3240000000000001</v>
      </c>
      <c r="V7780" s="508">
        <v>1.234</v>
      </c>
      <c r="W7780" s="508">
        <v>1.1539999999999999</v>
      </c>
      <c r="X7780" s="508">
        <v>1.099</v>
      </c>
      <c r="Y7780" s="508">
        <v>0.76100000000000001</v>
      </c>
      <c r="Z7780" s="508">
        <v>0.73199999999999998</v>
      </c>
      <c r="AA7780" s="508">
        <v>0.70799999999999996</v>
      </c>
      <c r="AB7780" s="508">
        <v>0.23100000000000001</v>
      </c>
      <c r="AC7780" s="508">
        <v>0.216</v>
      </c>
      <c r="AD7780" s="508">
        <v>9.6000000000000002E-2</v>
      </c>
      <c r="AE7780" s="508">
        <v>0.09</v>
      </c>
      <c r="AF7780" s="508">
        <v>8.1000000000000003E-2</v>
      </c>
      <c r="AG7780" s="508">
        <v>7.9000000000000001E-2</v>
      </c>
      <c r="AH7780" s="508">
        <v>7.9000000000000001E-2</v>
      </c>
      <c r="AI7780" s="492">
        <v>7.9000000000000001E-2</v>
      </c>
      <c r="AJ7780" s="485"/>
    </row>
    <row r="7781" spans="2:36">
      <c r="B7781" s="136" t="s">
        <v>439</v>
      </c>
      <c r="C7781" s="132" t="s">
        <v>1376</v>
      </c>
      <c r="D7781" s="132" t="s">
        <v>1381</v>
      </c>
      <c r="E7781" s="508">
        <v>9.8859999999999992</v>
      </c>
      <c r="F7781" s="508">
        <v>6.52</v>
      </c>
      <c r="G7781" s="508">
        <v>5.8810000000000002</v>
      </c>
      <c r="H7781" s="508">
        <v>5.49</v>
      </c>
      <c r="I7781" s="508">
        <v>4.8719999999999999</v>
      </c>
      <c r="J7781" s="508">
        <v>4.0380000000000003</v>
      </c>
      <c r="K7781" s="508">
        <v>3.8839999999999999</v>
      </c>
      <c r="L7781" s="508">
        <v>3.7589999999999999</v>
      </c>
      <c r="M7781" s="508">
        <v>3.3420000000000001</v>
      </c>
      <c r="N7781" s="508">
        <v>3.4129999999999998</v>
      </c>
      <c r="O7781" s="508">
        <v>3.2650000000000001</v>
      </c>
      <c r="P7781" s="508">
        <v>3.3650000000000002</v>
      </c>
      <c r="Q7781" s="508">
        <v>3.3380000000000001</v>
      </c>
      <c r="R7781" s="508">
        <v>2.1960000000000002</v>
      </c>
      <c r="S7781" s="508">
        <v>2.1379999999999999</v>
      </c>
      <c r="T7781" s="508">
        <v>1.8260000000000001</v>
      </c>
      <c r="U7781" s="508">
        <v>1.3480000000000001</v>
      </c>
      <c r="V7781" s="508">
        <v>1.2430000000000001</v>
      </c>
      <c r="W7781" s="508">
        <v>1.1499999999999999</v>
      </c>
      <c r="X7781" s="508">
        <v>1.0860000000000001</v>
      </c>
      <c r="Y7781" s="508">
        <v>0.68</v>
      </c>
      <c r="Z7781" s="508">
        <v>0.65600000000000003</v>
      </c>
      <c r="AA7781" s="508">
        <v>0.628</v>
      </c>
      <c r="AB7781" s="508">
        <v>0.20699999999999999</v>
      </c>
      <c r="AC7781" s="508">
        <v>0.189</v>
      </c>
      <c r="AD7781" s="508">
        <v>8.5999999999999993E-2</v>
      </c>
      <c r="AE7781" s="508">
        <v>8.1000000000000003E-2</v>
      </c>
      <c r="AF7781" s="508">
        <v>7.0000000000000007E-2</v>
      </c>
      <c r="AG7781" s="508">
        <v>6.9000000000000006E-2</v>
      </c>
      <c r="AH7781" s="508">
        <v>6.9000000000000006E-2</v>
      </c>
      <c r="AI7781" s="492">
        <v>6.9000000000000006E-2</v>
      </c>
      <c r="AJ7781" s="485"/>
    </row>
    <row r="7782" spans="2:36">
      <c r="B7782" s="136" t="s">
        <v>440</v>
      </c>
      <c r="C7782" s="132" t="s">
        <v>1376</v>
      </c>
      <c r="D7782" s="132" t="s">
        <v>1381</v>
      </c>
      <c r="E7782" s="508">
        <v>11.646000000000001</v>
      </c>
      <c r="F7782" s="508">
        <v>7.0910000000000002</v>
      </c>
      <c r="G7782" s="508">
        <v>6.367</v>
      </c>
      <c r="H7782" s="508">
        <v>5.9329999999999998</v>
      </c>
      <c r="I7782" s="508">
        <v>5.282</v>
      </c>
      <c r="J7782" s="508">
        <v>4.4349999999999996</v>
      </c>
      <c r="K7782" s="508">
        <v>4.2489999999999997</v>
      </c>
      <c r="L7782" s="508">
        <v>4.0970000000000004</v>
      </c>
      <c r="M7782" s="508">
        <v>3.6680000000000001</v>
      </c>
      <c r="N7782" s="508">
        <v>3.6219999999999999</v>
      </c>
      <c r="O7782" s="508">
        <v>3.4609999999999999</v>
      </c>
      <c r="P7782" s="508">
        <v>3.5609999999999999</v>
      </c>
      <c r="Q7782" s="508">
        <v>3.524</v>
      </c>
      <c r="R7782" s="508">
        <v>2.343</v>
      </c>
      <c r="S7782" s="508">
        <v>2.2759999999999998</v>
      </c>
      <c r="T7782" s="508">
        <v>1.944</v>
      </c>
      <c r="U7782" s="508">
        <v>1.5069999999999999</v>
      </c>
      <c r="V7782" s="508">
        <v>1.403</v>
      </c>
      <c r="W7782" s="508">
        <v>1.3109999999999999</v>
      </c>
      <c r="X7782" s="508">
        <v>1.2470000000000001</v>
      </c>
      <c r="Y7782" s="508">
        <v>0.88100000000000001</v>
      </c>
      <c r="Z7782" s="508">
        <v>0.83</v>
      </c>
      <c r="AA7782" s="508">
        <v>0.80200000000000005</v>
      </c>
      <c r="AB7782" s="508">
        <v>0.27100000000000002</v>
      </c>
      <c r="AC7782" s="508">
        <v>0.254</v>
      </c>
      <c r="AD7782" s="508">
        <v>0.11700000000000001</v>
      </c>
      <c r="AE7782" s="508">
        <v>0.108</v>
      </c>
      <c r="AF7782" s="508">
        <v>9.6000000000000002E-2</v>
      </c>
      <c r="AG7782" s="508">
        <v>9.2999999999999999E-2</v>
      </c>
      <c r="AH7782" s="508">
        <v>9.2999999999999999E-2</v>
      </c>
      <c r="AI7782" s="492">
        <v>9.2999999999999999E-2</v>
      </c>
      <c r="AJ7782" s="485"/>
    </row>
    <row r="7783" spans="2:36">
      <c r="B7783" s="136" t="s">
        <v>441</v>
      </c>
      <c r="C7783" s="132" t="s">
        <v>1376</v>
      </c>
      <c r="D7783" s="132" t="s">
        <v>1381</v>
      </c>
      <c r="E7783" s="508">
        <v>11.625</v>
      </c>
      <c r="F7783" s="508">
        <v>7.1509999999999998</v>
      </c>
      <c r="G7783" s="508">
        <v>6.4249999999999998</v>
      </c>
      <c r="H7783" s="508">
        <v>5.9880000000000004</v>
      </c>
      <c r="I7783" s="508">
        <v>5.3259999999999996</v>
      </c>
      <c r="J7783" s="508">
        <v>4.4530000000000003</v>
      </c>
      <c r="K7783" s="508">
        <v>4.2690000000000001</v>
      </c>
      <c r="L7783" s="508">
        <v>4.1180000000000003</v>
      </c>
      <c r="M7783" s="508">
        <v>3.68</v>
      </c>
      <c r="N7783" s="508">
        <v>3.637</v>
      </c>
      <c r="O7783" s="508">
        <v>3.4729999999999999</v>
      </c>
      <c r="P7783" s="508">
        <v>3.5750000000000002</v>
      </c>
      <c r="Q7783" s="508">
        <v>3.5379999999999998</v>
      </c>
      <c r="R7783" s="508">
        <v>2.3690000000000002</v>
      </c>
      <c r="S7783" s="508">
        <v>2.302</v>
      </c>
      <c r="T7783" s="508">
        <v>1.966</v>
      </c>
      <c r="U7783" s="508">
        <v>1.6160000000000001</v>
      </c>
      <c r="V7783" s="508">
        <v>1.5069999999999999</v>
      </c>
      <c r="W7783" s="508">
        <v>1.41</v>
      </c>
      <c r="X7783" s="508">
        <v>1.3420000000000001</v>
      </c>
      <c r="Y7783" s="508">
        <v>0.95</v>
      </c>
      <c r="Z7783" s="508">
        <v>0.9</v>
      </c>
      <c r="AA7783" s="508">
        <v>0.871</v>
      </c>
      <c r="AB7783" s="508">
        <v>0.29099999999999998</v>
      </c>
      <c r="AC7783" s="508">
        <v>0.27200000000000002</v>
      </c>
      <c r="AD7783" s="508">
        <v>0.123</v>
      </c>
      <c r="AE7783" s="508">
        <v>0.114</v>
      </c>
      <c r="AF7783" s="508">
        <v>0.10199999999999999</v>
      </c>
      <c r="AG7783" s="508">
        <v>9.9000000000000005E-2</v>
      </c>
      <c r="AH7783" s="508">
        <v>9.9000000000000005E-2</v>
      </c>
      <c r="AI7783" s="492">
        <v>9.9000000000000005E-2</v>
      </c>
      <c r="AJ7783" s="485"/>
    </row>
    <row r="7784" spans="2:36">
      <c r="B7784" s="136" t="s">
        <v>443</v>
      </c>
      <c r="C7784" s="132" t="s">
        <v>1376</v>
      </c>
      <c r="D7784" s="132" t="s">
        <v>1381</v>
      </c>
      <c r="E7784" s="508">
        <v>11.17</v>
      </c>
      <c r="F7784" s="508">
        <v>7.0839999999999996</v>
      </c>
      <c r="G7784" s="508">
        <v>6.3819999999999997</v>
      </c>
      <c r="H7784" s="508">
        <v>5.9580000000000002</v>
      </c>
      <c r="I7784" s="508">
        <v>5.3040000000000003</v>
      </c>
      <c r="J7784" s="508">
        <v>4.3789999999999996</v>
      </c>
      <c r="K7784" s="508">
        <v>4.2039999999999997</v>
      </c>
      <c r="L7784" s="508">
        <v>4.0609999999999999</v>
      </c>
      <c r="M7784" s="508">
        <v>3.6259999999999999</v>
      </c>
      <c r="N7784" s="508">
        <v>3.5880000000000001</v>
      </c>
      <c r="O7784" s="508">
        <v>3.4279999999999999</v>
      </c>
      <c r="P7784" s="508">
        <v>3.53</v>
      </c>
      <c r="Q7784" s="508">
        <v>3.496</v>
      </c>
      <c r="R7784" s="508">
        <v>2.3570000000000002</v>
      </c>
      <c r="S7784" s="508">
        <v>2.2930000000000001</v>
      </c>
      <c r="T7784" s="508">
        <v>1.962</v>
      </c>
      <c r="U7784" s="508">
        <v>1.6220000000000001</v>
      </c>
      <c r="V7784" s="508">
        <v>1.5149999999999999</v>
      </c>
      <c r="W7784" s="508">
        <v>1.42</v>
      </c>
      <c r="X7784" s="508">
        <v>1.3540000000000001</v>
      </c>
      <c r="Y7784" s="508">
        <v>0.96</v>
      </c>
      <c r="Z7784" s="508">
        <v>0.91900000000000004</v>
      </c>
      <c r="AA7784" s="508">
        <v>0.89</v>
      </c>
      <c r="AB7784" s="508">
        <v>0.29199999999999998</v>
      </c>
      <c r="AC7784" s="508">
        <v>0.27400000000000002</v>
      </c>
      <c r="AD7784" s="508">
        <v>0.11899999999999999</v>
      </c>
      <c r="AE7784" s="508">
        <v>0.111</v>
      </c>
      <c r="AF7784" s="508">
        <v>0.1</v>
      </c>
      <c r="AG7784" s="508">
        <v>9.8000000000000004E-2</v>
      </c>
      <c r="AH7784" s="508">
        <v>9.8000000000000004E-2</v>
      </c>
      <c r="AI7784" s="492">
        <v>9.8000000000000004E-2</v>
      </c>
      <c r="AJ7784" s="485"/>
    </row>
    <row r="7785" spans="2:36">
      <c r="B7785" s="136" t="s">
        <v>445</v>
      </c>
      <c r="C7785" s="132" t="s">
        <v>1376</v>
      </c>
      <c r="D7785" s="132" t="s">
        <v>1381</v>
      </c>
      <c r="E7785" s="508">
        <v>12.698</v>
      </c>
      <c r="F7785" s="508">
        <v>8.1449999999999996</v>
      </c>
      <c r="G7785" s="508">
        <v>7.3540000000000001</v>
      </c>
      <c r="H7785" s="508">
        <v>6.8780000000000001</v>
      </c>
      <c r="I7785" s="508">
        <v>6.1420000000000003</v>
      </c>
      <c r="J7785" s="508">
        <v>4.9749999999999996</v>
      </c>
      <c r="K7785" s="508">
        <v>4.7779999999999996</v>
      </c>
      <c r="L7785" s="508">
        <v>4.6180000000000003</v>
      </c>
      <c r="M7785" s="508">
        <v>4.1269999999999998</v>
      </c>
      <c r="N7785" s="508">
        <v>4.0860000000000003</v>
      </c>
      <c r="O7785" s="508">
        <v>3.9060000000000001</v>
      </c>
      <c r="P7785" s="508">
        <v>4.0220000000000002</v>
      </c>
      <c r="Q7785" s="508">
        <v>3.9849999999999999</v>
      </c>
      <c r="R7785" s="508">
        <v>2.7370000000000001</v>
      </c>
      <c r="S7785" s="508">
        <v>2.6640000000000001</v>
      </c>
      <c r="T7785" s="508">
        <v>2.2919999999999998</v>
      </c>
      <c r="U7785" s="508">
        <v>1.9059999999999999</v>
      </c>
      <c r="V7785" s="508">
        <v>1.7849999999999999</v>
      </c>
      <c r="W7785" s="508">
        <v>1.679</v>
      </c>
      <c r="X7785" s="508">
        <v>1.6040000000000001</v>
      </c>
      <c r="Y7785" s="508">
        <v>1.1599999999999999</v>
      </c>
      <c r="Z7785" s="508">
        <v>1.1140000000000001</v>
      </c>
      <c r="AA7785" s="508">
        <v>1.0820000000000001</v>
      </c>
      <c r="AB7785" s="508">
        <v>0.35199999999999998</v>
      </c>
      <c r="AC7785" s="508">
        <v>0.33200000000000002</v>
      </c>
      <c r="AD7785" s="508">
        <v>0.14000000000000001</v>
      </c>
      <c r="AE7785" s="508">
        <v>0.13200000000000001</v>
      </c>
      <c r="AF7785" s="508">
        <v>0.11899999999999999</v>
      </c>
      <c r="AG7785" s="508">
        <v>0.11700000000000001</v>
      </c>
      <c r="AH7785" s="508">
        <v>0.11700000000000001</v>
      </c>
      <c r="AI7785" s="492">
        <v>0.11700000000000001</v>
      </c>
      <c r="AJ7785" s="485"/>
    </row>
    <row r="7786" spans="2:36">
      <c r="B7786" s="136" t="s">
        <v>446</v>
      </c>
      <c r="C7786" s="132" t="s">
        <v>1376</v>
      </c>
      <c r="D7786" s="132" t="s">
        <v>1381</v>
      </c>
      <c r="E7786" s="508">
        <v>10.071</v>
      </c>
      <c r="F7786" s="508">
        <v>7.4729999999999999</v>
      </c>
      <c r="G7786" s="508">
        <v>6.7910000000000004</v>
      </c>
      <c r="H7786" s="508">
        <v>6.3760000000000003</v>
      </c>
      <c r="I7786" s="508">
        <v>5.7030000000000003</v>
      </c>
      <c r="J7786" s="508">
        <v>4.59</v>
      </c>
      <c r="K7786" s="508">
        <v>4.43</v>
      </c>
      <c r="L7786" s="508">
        <v>4.2990000000000004</v>
      </c>
      <c r="M7786" s="508">
        <v>3.843</v>
      </c>
      <c r="N7786" s="508">
        <v>3.8210000000000002</v>
      </c>
      <c r="O7786" s="508">
        <v>3.66</v>
      </c>
      <c r="P7786" s="508">
        <v>3.7759999999999998</v>
      </c>
      <c r="Q7786" s="508">
        <v>3.7509999999999999</v>
      </c>
      <c r="R7786" s="508">
        <v>2.4780000000000002</v>
      </c>
      <c r="S7786" s="508">
        <v>2.4169999999999998</v>
      </c>
      <c r="T7786" s="508">
        <v>2.0790000000000002</v>
      </c>
      <c r="U7786" s="508">
        <v>1.6479999999999999</v>
      </c>
      <c r="V7786" s="508">
        <v>1.548</v>
      </c>
      <c r="W7786" s="508">
        <v>1.458</v>
      </c>
      <c r="X7786" s="508">
        <v>1.397</v>
      </c>
      <c r="Y7786" s="508">
        <v>0.997</v>
      </c>
      <c r="Z7786" s="508">
        <v>0.98399999999999999</v>
      </c>
      <c r="AA7786" s="508">
        <v>0.95599999999999996</v>
      </c>
      <c r="AB7786" s="508">
        <v>0.30099999999999999</v>
      </c>
      <c r="AC7786" s="508">
        <v>0.28399999999999997</v>
      </c>
      <c r="AD7786" s="508">
        <v>0.115</v>
      </c>
      <c r="AE7786" s="508">
        <v>0.11</v>
      </c>
      <c r="AF7786" s="508">
        <v>0.10100000000000001</v>
      </c>
      <c r="AG7786" s="508">
        <v>0.1</v>
      </c>
      <c r="AH7786" s="508">
        <v>9.9000000000000005E-2</v>
      </c>
      <c r="AI7786" s="492">
        <v>9.9000000000000005E-2</v>
      </c>
      <c r="AJ7786" s="485"/>
    </row>
    <row r="7787" spans="2:36">
      <c r="B7787" s="136" t="s">
        <v>448</v>
      </c>
      <c r="C7787" s="132" t="s">
        <v>1376</v>
      </c>
      <c r="D7787" s="132" t="s">
        <v>1381</v>
      </c>
      <c r="E7787" s="508">
        <v>9.8949999999999996</v>
      </c>
      <c r="F7787" s="508">
        <v>6.5730000000000004</v>
      </c>
      <c r="G7787" s="508">
        <v>5.94</v>
      </c>
      <c r="H7787" s="508">
        <v>5.556</v>
      </c>
      <c r="I7787" s="508">
        <v>4.9539999999999997</v>
      </c>
      <c r="J7787" s="508">
        <v>4.1189999999999998</v>
      </c>
      <c r="K7787" s="508">
        <v>3.9649999999999999</v>
      </c>
      <c r="L7787" s="508">
        <v>3.839</v>
      </c>
      <c r="M7787" s="508">
        <v>3.4350000000000001</v>
      </c>
      <c r="N7787" s="508">
        <v>3.4060000000000001</v>
      </c>
      <c r="O7787" s="508">
        <v>3.2610000000000001</v>
      </c>
      <c r="P7787" s="508">
        <v>3.3610000000000002</v>
      </c>
      <c r="Q7787" s="508">
        <v>3.3340000000000001</v>
      </c>
      <c r="R7787" s="508">
        <v>2.15</v>
      </c>
      <c r="S7787" s="508">
        <v>2.0920000000000001</v>
      </c>
      <c r="T7787" s="508">
        <v>1.788</v>
      </c>
      <c r="U7787" s="508">
        <v>1.4159999999999999</v>
      </c>
      <c r="V7787" s="508">
        <v>1.323</v>
      </c>
      <c r="W7787" s="508">
        <v>1.2410000000000001</v>
      </c>
      <c r="X7787" s="508">
        <v>1.1839999999999999</v>
      </c>
      <c r="Y7787" s="508">
        <v>0.83099999999999996</v>
      </c>
      <c r="Z7787" s="508">
        <v>0.80400000000000005</v>
      </c>
      <c r="AA7787" s="508">
        <v>0.77900000000000003</v>
      </c>
      <c r="AB7787" s="508">
        <v>0.252</v>
      </c>
      <c r="AC7787" s="508">
        <v>0.23599999999999999</v>
      </c>
      <c r="AD7787" s="508">
        <v>0.10199999999999999</v>
      </c>
      <c r="AE7787" s="508">
        <v>9.7000000000000003E-2</v>
      </c>
      <c r="AF7787" s="508">
        <v>8.6999999999999994E-2</v>
      </c>
      <c r="AG7787" s="508">
        <v>8.5999999999999993E-2</v>
      </c>
      <c r="AH7787" s="508">
        <v>8.5999999999999993E-2</v>
      </c>
      <c r="AI7787" s="492">
        <v>8.5999999999999993E-2</v>
      </c>
      <c r="AJ7787" s="485"/>
    </row>
    <row r="7788" spans="2:36">
      <c r="B7788" s="136" t="s">
        <v>449</v>
      </c>
      <c r="C7788" s="132" t="s">
        <v>1376</v>
      </c>
      <c r="D7788" s="132" t="s">
        <v>1381</v>
      </c>
      <c r="E7788" s="508">
        <v>8.9860000000000007</v>
      </c>
      <c r="F7788" s="508">
        <v>6.952</v>
      </c>
      <c r="G7788" s="508">
        <v>6.3140000000000001</v>
      </c>
      <c r="H7788" s="508">
        <v>5.9240000000000004</v>
      </c>
      <c r="I7788" s="508">
        <v>5.2889999999999997</v>
      </c>
      <c r="J7788" s="508">
        <v>4.2770000000000001</v>
      </c>
      <c r="K7788" s="508">
        <v>4.1289999999999996</v>
      </c>
      <c r="L7788" s="508">
        <v>4.008</v>
      </c>
      <c r="M7788" s="508">
        <v>3.5760000000000001</v>
      </c>
      <c r="N7788" s="508">
        <v>3.556</v>
      </c>
      <c r="O7788" s="508">
        <v>3.4049999999999998</v>
      </c>
      <c r="P7788" s="508">
        <v>3.5129999999999999</v>
      </c>
      <c r="Q7788" s="508">
        <v>3.49</v>
      </c>
      <c r="R7788" s="508">
        <v>2.3010000000000002</v>
      </c>
      <c r="S7788" s="508">
        <v>2.2440000000000002</v>
      </c>
      <c r="T7788" s="508">
        <v>1.925</v>
      </c>
      <c r="U7788" s="508">
        <v>1.5660000000000001</v>
      </c>
      <c r="V7788" s="508">
        <v>1.4670000000000001</v>
      </c>
      <c r="W7788" s="508">
        <v>1.3779999999999999</v>
      </c>
      <c r="X7788" s="508">
        <v>1.3169999999999999</v>
      </c>
      <c r="Y7788" s="508">
        <v>0.91600000000000004</v>
      </c>
      <c r="Z7788" s="508">
        <v>0.90600000000000003</v>
      </c>
      <c r="AA7788" s="508">
        <v>0.879</v>
      </c>
      <c r="AB7788" s="508">
        <v>0.27700000000000002</v>
      </c>
      <c r="AC7788" s="508">
        <v>0.25900000000000001</v>
      </c>
      <c r="AD7788" s="508">
        <v>0.106</v>
      </c>
      <c r="AE7788" s="508">
        <v>0.10100000000000001</v>
      </c>
      <c r="AF7788" s="508">
        <v>9.1999999999999998E-2</v>
      </c>
      <c r="AG7788" s="508">
        <v>9.0999999999999998E-2</v>
      </c>
      <c r="AH7788" s="508">
        <v>9.0999999999999998E-2</v>
      </c>
      <c r="AI7788" s="492">
        <v>9.0999999999999998E-2</v>
      </c>
      <c r="AJ7788" s="485"/>
    </row>
    <row r="7789" spans="2:36">
      <c r="B7789" s="136" t="s">
        <v>450</v>
      </c>
      <c r="C7789" s="132" t="s">
        <v>1376</v>
      </c>
      <c r="D7789" s="132" t="s">
        <v>1381</v>
      </c>
      <c r="E7789" s="508">
        <v>11.111000000000001</v>
      </c>
      <c r="F7789" s="508">
        <v>6.6589999999999998</v>
      </c>
      <c r="G7789" s="508">
        <v>5.976</v>
      </c>
      <c r="H7789" s="508">
        <v>5.5679999999999996</v>
      </c>
      <c r="I7789" s="508">
        <v>4.9569999999999999</v>
      </c>
      <c r="J7789" s="508">
        <v>4.1859999999999999</v>
      </c>
      <c r="K7789" s="508">
        <v>4.0090000000000003</v>
      </c>
      <c r="L7789" s="508">
        <v>3.8650000000000002</v>
      </c>
      <c r="M7789" s="508">
        <v>3.4630000000000001</v>
      </c>
      <c r="N7789" s="508">
        <v>3.42</v>
      </c>
      <c r="O7789" s="508">
        <v>3.2679999999999998</v>
      </c>
      <c r="P7789" s="508">
        <v>3.3620000000000001</v>
      </c>
      <c r="Q7789" s="508">
        <v>3.327</v>
      </c>
      <c r="R7789" s="508">
        <v>2.1909999999999998</v>
      </c>
      <c r="S7789" s="508">
        <v>2.1280000000000001</v>
      </c>
      <c r="T7789" s="508">
        <v>1.8160000000000001</v>
      </c>
      <c r="U7789" s="508">
        <v>1.393</v>
      </c>
      <c r="V7789" s="508">
        <v>1.296</v>
      </c>
      <c r="W7789" s="508">
        <v>1.21</v>
      </c>
      <c r="X7789" s="508">
        <v>1.1499999999999999</v>
      </c>
      <c r="Y7789" s="508">
        <v>0.81299999999999994</v>
      </c>
      <c r="Z7789" s="508">
        <v>0.76100000000000001</v>
      </c>
      <c r="AA7789" s="508">
        <v>0.73499999999999999</v>
      </c>
      <c r="AB7789" s="508">
        <v>0.25</v>
      </c>
      <c r="AC7789" s="508">
        <v>0.23400000000000001</v>
      </c>
      <c r="AD7789" s="508">
        <v>0.108</v>
      </c>
      <c r="AE7789" s="508">
        <v>0.1</v>
      </c>
      <c r="AF7789" s="508">
        <v>8.8999999999999996E-2</v>
      </c>
      <c r="AG7789" s="508">
        <v>8.5999999999999993E-2</v>
      </c>
      <c r="AH7789" s="508">
        <v>8.5999999999999993E-2</v>
      </c>
      <c r="AI7789" s="492">
        <v>8.5999999999999993E-2</v>
      </c>
      <c r="AJ7789" s="485"/>
    </row>
    <row r="7790" spans="2:36">
      <c r="B7790" s="136" t="s">
        <v>451</v>
      </c>
      <c r="C7790" s="132" t="s">
        <v>1376</v>
      </c>
      <c r="D7790" s="132" t="s">
        <v>1381</v>
      </c>
      <c r="E7790" s="508">
        <v>13.032</v>
      </c>
      <c r="F7790" s="508">
        <v>8.0990000000000002</v>
      </c>
      <c r="G7790" s="508">
        <v>7.2839999999999998</v>
      </c>
      <c r="H7790" s="508">
        <v>6.7960000000000003</v>
      </c>
      <c r="I7790" s="508">
        <v>6.0570000000000004</v>
      </c>
      <c r="J7790" s="508">
        <v>4.99</v>
      </c>
      <c r="K7790" s="508">
        <v>4.7809999999999997</v>
      </c>
      <c r="L7790" s="508">
        <v>4.6120000000000001</v>
      </c>
      <c r="M7790" s="508">
        <v>4.1230000000000002</v>
      </c>
      <c r="N7790" s="508">
        <v>4.0739999999999998</v>
      </c>
      <c r="O7790" s="508">
        <v>3.891</v>
      </c>
      <c r="P7790" s="508">
        <v>4.0039999999999996</v>
      </c>
      <c r="Q7790" s="508">
        <v>3.9630000000000001</v>
      </c>
      <c r="R7790" s="508">
        <v>2.7109999999999999</v>
      </c>
      <c r="S7790" s="508">
        <v>2.6360000000000001</v>
      </c>
      <c r="T7790" s="508">
        <v>2.2599999999999998</v>
      </c>
      <c r="U7790" s="508">
        <v>1.752</v>
      </c>
      <c r="V7790" s="508">
        <v>1.639</v>
      </c>
      <c r="W7790" s="508">
        <v>1.538</v>
      </c>
      <c r="X7790" s="508">
        <v>1.468</v>
      </c>
      <c r="Y7790" s="508">
        <v>1.0620000000000001</v>
      </c>
      <c r="Z7790" s="508">
        <v>1.01</v>
      </c>
      <c r="AA7790" s="508">
        <v>0.98</v>
      </c>
      <c r="AB7790" s="508">
        <v>0.32600000000000001</v>
      </c>
      <c r="AC7790" s="508">
        <v>0.307</v>
      </c>
      <c r="AD7790" s="508">
        <v>0.13500000000000001</v>
      </c>
      <c r="AE7790" s="508">
        <v>0.125</v>
      </c>
      <c r="AF7790" s="508">
        <v>0.112</v>
      </c>
      <c r="AG7790" s="508">
        <v>0.109</v>
      </c>
      <c r="AH7790" s="508">
        <v>0.109</v>
      </c>
      <c r="AI7790" s="492">
        <v>0.109</v>
      </c>
      <c r="AJ7790" s="485"/>
    </row>
    <row r="7791" spans="2:36">
      <c r="B7791" s="136" t="s">
        <v>452</v>
      </c>
      <c r="C7791" s="132" t="s">
        <v>1376</v>
      </c>
      <c r="D7791" s="132" t="s">
        <v>1381</v>
      </c>
      <c r="E7791" s="508">
        <v>11.754</v>
      </c>
      <c r="F7791" s="508">
        <v>7.29</v>
      </c>
      <c r="G7791" s="508">
        <v>6.5579999999999998</v>
      </c>
      <c r="H7791" s="508">
        <v>6.1189999999999998</v>
      </c>
      <c r="I7791" s="508">
        <v>5.4539999999999997</v>
      </c>
      <c r="J7791" s="508">
        <v>4.5389999999999997</v>
      </c>
      <c r="K7791" s="508">
        <v>4.3529999999999998</v>
      </c>
      <c r="L7791" s="508">
        <v>4.2</v>
      </c>
      <c r="M7791" s="508">
        <v>3.7610000000000001</v>
      </c>
      <c r="N7791" s="508">
        <v>3.7170000000000001</v>
      </c>
      <c r="O7791" s="508">
        <v>3.552</v>
      </c>
      <c r="P7791" s="508">
        <v>3.657</v>
      </c>
      <c r="Q7791" s="508">
        <v>3.62</v>
      </c>
      <c r="R7791" s="508">
        <v>2.4140000000000001</v>
      </c>
      <c r="S7791" s="508">
        <v>2.347</v>
      </c>
      <c r="T7791" s="508">
        <v>2.0089999999999999</v>
      </c>
      <c r="U7791" s="508">
        <v>1.4810000000000001</v>
      </c>
      <c r="V7791" s="508">
        <v>1.3819999999999999</v>
      </c>
      <c r="W7791" s="508">
        <v>1.294</v>
      </c>
      <c r="X7791" s="508">
        <v>1.2330000000000001</v>
      </c>
      <c r="Y7791" s="508">
        <v>0.878</v>
      </c>
      <c r="Z7791" s="508">
        <v>0.83299999999999996</v>
      </c>
      <c r="AA7791" s="508">
        <v>0.80700000000000005</v>
      </c>
      <c r="AB7791" s="508">
        <v>0.26900000000000002</v>
      </c>
      <c r="AC7791" s="508">
        <v>0.253</v>
      </c>
      <c r="AD7791" s="508">
        <v>0.113</v>
      </c>
      <c r="AE7791" s="508">
        <v>0.105</v>
      </c>
      <c r="AF7791" s="508">
        <v>9.4E-2</v>
      </c>
      <c r="AG7791" s="508">
        <v>9.0999999999999998E-2</v>
      </c>
      <c r="AH7791" s="508">
        <v>9.0999999999999998E-2</v>
      </c>
      <c r="AI7791" s="492">
        <v>9.0999999999999998E-2</v>
      </c>
      <c r="AJ7791" s="485"/>
    </row>
    <row r="7792" spans="2:36">
      <c r="B7792" s="136" t="s">
        <v>453</v>
      </c>
      <c r="C7792" s="132" t="s">
        <v>1376</v>
      </c>
      <c r="D7792" s="132" t="s">
        <v>1381</v>
      </c>
      <c r="E7792" s="508">
        <v>10.673999999999999</v>
      </c>
      <c r="F7792" s="508">
        <v>6.5170000000000003</v>
      </c>
      <c r="G7792" s="508">
        <v>5.843</v>
      </c>
      <c r="H7792" s="508">
        <v>5.4409999999999998</v>
      </c>
      <c r="I7792" s="508">
        <v>4.843</v>
      </c>
      <c r="J7792" s="508">
        <v>4.1070000000000002</v>
      </c>
      <c r="K7792" s="508">
        <v>3.9319999999999999</v>
      </c>
      <c r="L7792" s="508">
        <v>3.7890000000000001</v>
      </c>
      <c r="M7792" s="508">
        <v>3.3959999999999999</v>
      </c>
      <c r="N7792" s="508">
        <v>3.3519999999999999</v>
      </c>
      <c r="O7792" s="508">
        <v>3.202</v>
      </c>
      <c r="P7792" s="508">
        <v>3.2949999999999999</v>
      </c>
      <c r="Q7792" s="508">
        <v>3.2589999999999999</v>
      </c>
      <c r="R7792" s="508">
        <v>2.141</v>
      </c>
      <c r="S7792" s="508">
        <v>2.0779999999999998</v>
      </c>
      <c r="T7792" s="508">
        <v>1.7729999999999999</v>
      </c>
      <c r="U7792" s="508">
        <v>1.4119999999999999</v>
      </c>
      <c r="V7792" s="508">
        <v>1.3120000000000001</v>
      </c>
      <c r="W7792" s="508">
        <v>1.224</v>
      </c>
      <c r="X7792" s="508">
        <v>1.163</v>
      </c>
      <c r="Y7792" s="508">
        <v>0.81899999999999995</v>
      </c>
      <c r="Z7792" s="508">
        <v>0.76700000000000002</v>
      </c>
      <c r="AA7792" s="508">
        <v>0.74099999999999999</v>
      </c>
      <c r="AB7792" s="508">
        <v>0.255</v>
      </c>
      <c r="AC7792" s="508">
        <v>0.23899999999999999</v>
      </c>
      <c r="AD7792" s="508">
        <v>0.113</v>
      </c>
      <c r="AE7792" s="508">
        <v>0.10299999999999999</v>
      </c>
      <c r="AF7792" s="508">
        <v>9.0999999999999998E-2</v>
      </c>
      <c r="AG7792" s="508">
        <v>8.7999999999999995E-2</v>
      </c>
      <c r="AH7792" s="508">
        <v>8.6999999999999994E-2</v>
      </c>
      <c r="AI7792" s="492">
        <v>8.6999999999999994E-2</v>
      </c>
      <c r="AJ7792" s="485"/>
    </row>
    <row r="7793" spans="2:36">
      <c r="B7793" s="136" t="s">
        <v>454</v>
      </c>
      <c r="C7793" s="132" t="s">
        <v>1376</v>
      </c>
      <c r="D7793" s="132" t="s">
        <v>1381</v>
      </c>
      <c r="E7793" s="508">
        <v>10.391999999999999</v>
      </c>
      <c r="F7793" s="508">
        <v>6.5419999999999998</v>
      </c>
      <c r="G7793" s="508">
        <v>5.8849999999999998</v>
      </c>
      <c r="H7793" s="508">
        <v>5.4889999999999999</v>
      </c>
      <c r="I7793" s="508">
        <v>4.8860000000000001</v>
      </c>
      <c r="J7793" s="508">
        <v>4.1050000000000004</v>
      </c>
      <c r="K7793" s="508">
        <v>3.9390000000000001</v>
      </c>
      <c r="L7793" s="508">
        <v>3.8029999999999999</v>
      </c>
      <c r="M7793" s="508">
        <v>3.403</v>
      </c>
      <c r="N7793" s="508">
        <v>3.3660000000000001</v>
      </c>
      <c r="O7793" s="508">
        <v>3.2170000000000001</v>
      </c>
      <c r="P7793" s="508">
        <v>3.3119999999999998</v>
      </c>
      <c r="Q7793" s="508">
        <v>3.2810000000000001</v>
      </c>
      <c r="R7793" s="508">
        <v>2.149</v>
      </c>
      <c r="S7793" s="508">
        <v>2.089</v>
      </c>
      <c r="T7793" s="508">
        <v>1.782</v>
      </c>
      <c r="U7793" s="508">
        <v>1.4370000000000001</v>
      </c>
      <c r="V7793" s="508">
        <v>1.3380000000000001</v>
      </c>
      <c r="W7793" s="508">
        <v>1.25</v>
      </c>
      <c r="X7793" s="508">
        <v>1.1879999999999999</v>
      </c>
      <c r="Y7793" s="508">
        <v>0.82899999999999996</v>
      </c>
      <c r="Z7793" s="508">
        <v>0.78600000000000003</v>
      </c>
      <c r="AA7793" s="508">
        <v>0.76</v>
      </c>
      <c r="AB7793" s="508">
        <v>0.254</v>
      </c>
      <c r="AC7793" s="508">
        <v>0.23699999999999999</v>
      </c>
      <c r="AD7793" s="508">
        <v>0.108</v>
      </c>
      <c r="AE7793" s="508">
        <v>0.1</v>
      </c>
      <c r="AF7793" s="508">
        <v>8.8999999999999996E-2</v>
      </c>
      <c r="AG7793" s="508">
        <v>8.6999999999999994E-2</v>
      </c>
      <c r="AH7793" s="508">
        <v>8.6999999999999994E-2</v>
      </c>
      <c r="AI7793" s="492">
        <v>8.6999999999999994E-2</v>
      </c>
      <c r="AJ7793" s="485"/>
    </row>
    <row r="7794" spans="2:36">
      <c r="B7794" s="136" t="s">
        <v>455</v>
      </c>
      <c r="C7794" s="132" t="s">
        <v>1376</v>
      </c>
      <c r="D7794" s="132" t="s">
        <v>1381</v>
      </c>
      <c r="E7794" s="508">
        <v>9.8010000000000002</v>
      </c>
      <c r="F7794" s="508">
        <v>6.2190000000000003</v>
      </c>
      <c r="G7794" s="508">
        <v>5.6059999999999999</v>
      </c>
      <c r="H7794" s="508">
        <v>5.2370000000000001</v>
      </c>
      <c r="I7794" s="508">
        <v>4.6680000000000001</v>
      </c>
      <c r="J7794" s="508">
        <v>3.927</v>
      </c>
      <c r="K7794" s="508">
        <v>3.774</v>
      </c>
      <c r="L7794" s="508">
        <v>3.6480000000000001</v>
      </c>
      <c r="M7794" s="508">
        <v>3.27</v>
      </c>
      <c r="N7794" s="508">
        <v>3.238</v>
      </c>
      <c r="O7794" s="508">
        <v>3.0990000000000002</v>
      </c>
      <c r="P7794" s="508">
        <v>3.1920000000000002</v>
      </c>
      <c r="Q7794" s="508">
        <v>3.1640000000000001</v>
      </c>
      <c r="R7794" s="508">
        <v>2.0259999999999998</v>
      </c>
      <c r="S7794" s="508">
        <v>1.97</v>
      </c>
      <c r="T7794" s="508">
        <v>1.6819999999999999</v>
      </c>
      <c r="U7794" s="508">
        <v>1.2609999999999999</v>
      </c>
      <c r="V7794" s="508">
        <v>1.1759999999999999</v>
      </c>
      <c r="W7794" s="508">
        <v>1.101</v>
      </c>
      <c r="X7794" s="508">
        <v>1.0489999999999999</v>
      </c>
      <c r="Y7794" s="508">
        <v>0.73699999999999999</v>
      </c>
      <c r="Z7794" s="508">
        <v>0.70399999999999996</v>
      </c>
      <c r="AA7794" s="508">
        <v>0.68200000000000005</v>
      </c>
      <c r="AB7794" s="508">
        <v>0.22500000000000001</v>
      </c>
      <c r="AC7794" s="508">
        <v>0.21</v>
      </c>
      <c r="AD7794" s="508">
        <v>9.5000000000000001E-2</v>
      </c>
      <c r="AE7794" s="508">
        <v>8.7999999999999995E-2</v>
      </c>
      <c r="AF7794" s="508">
        <v>7.9000000000000001E-2</v>
      </c>
      <c r="AG7794" s="508">
        <v>7.8E-2</v>
      </c>
      <c r="AH7794" s="508">
        <v>7.8E-2</v>
      </c>
      <c r="AI7794" s="492">
        <v>7.8E-2</v>
      </c>
      <c r="AJ7794" s="485"/>
    </row>
    <row r="7795" spans="2:36">
      <c r="B7795" s="136" t="s">
        <v>456</v>
      </c>
      <c r="C7795" s="132" t="s">
        <v>1376</v>
      </c>
      <c r="D7795" s="132" t="s">
        <v>1381</v>
      </c>
      <c r="E7795" s="508">
        <v>9.4</v>
      </c>
      <c r="F7795" s="508">
        <v>6.5869999999999997</v>
      </c>
      <c r="G7795" s="508">
        <v>5.968</v>
      </c>
      <c r="H7795" s="508">
        <v>5.5919999999999996</v>
      </c>
      <c r="I7795" s="508">
        <v>4.9909999999999997</v>
      </c>
      <c r="J7795" s="508">
        <v>4.1120000000000001</v>
      </c>
      <c r="K7795" s="508">
        <v>3.9649999999999999</v>
      </c>
      <c r="L7795" s="508">
        <v>3.8439999999999999</v>
      </c>
      <c r="M7795" s="508">
        <v>3.4380000000000002</v>
      </c>
      <c r="N7795" s="508">
        <v>3.415</v>
      </c>
      <c r="O7795" s="508">
        <v>3.2709999999999999</v>
      </c>
      <c r="P7795" s="508">
        <v>3.3730000000000002</v>
      </c>
      <c r="Q7795" s="508">
        <v>3.3490000000000002</v>
      </c>
      <c r="R7795" s="508">
        <v>2.1560000000000001</v>
      </c>
      <c r="S7795" s="508">
        <v>2.1</v>
      </c>
      <c r="T7795" s="508">
        <v>1.7969999999999999</v>
      </c>
      <c r="U7795" s="508">
        <v>1.4139999999999999</v>
      </c>
      <c r="V7795" s="508">
        <v>1.3240000000000001</v>
      </c>
      <c r="W7795" s="508">
        <v>1.2430000000000001</v>
      </c>
      <c r="X7795" s="508">
        <v>1.1879999999999999</v>
      </c>
      <c r="Y7795" s="508">
        <v>0.83499999999999996</v>
      </c>
      <c r="Z7795" s="508">
        <v>0.81699999999999995</v>
      </c>
      <c r="AA7795" s="508">
        <v>0.79200000000000004</v>
      </c>
      <c r="AB7795" s="508">
        <v>0.253</v>
      </c>
      <c r="AC7795" s="508">
        <v>0.23699999999999999</v>
      </c>
      <c r="AD7795" s="508">
        <v>0.1</v>
      </c>
      <c r="AE7795" s="508">
        <v>9.5000000000000001E-2</v>
      </c>
      <c r="AF7795" s="508">
        <v>8.6999999999999994E-2</v>
      </c>
      <c r="AG7795" s="508">
        <v>8.5999999999999993E-2</v>
      </c>
      <c r="AH7795" s="508">
        <v>8.5000000000000006E-2</v>
      </c>
      <c r="AI7795" s="492">
        <v>8.5000000000000006E-2</v>
      </c>
      <c r="AJ7795" s="485"/>
    </row>
    <row r="7796" spans="2:36">
      <c r="B7796" s="136" t="s">
        <v>457</v>
      </c>
      <c r="C7796" s="132" t="s">
        <v>1376</v>
      </c>
      <c r="D7796" s="132" t="s">
        <v>1381</v>
      </c>
      <c r="E7796" s="508">
        <v>10.912000000000001</v>
      </c>
      <c r="F7796" s="508">
        <v>6.52</v>
      </c>
      <c r="G7796" s="508">
        <v>5.8380000000000001</v>
      </c>
      <c r="H7796" s="508">
        <v>5.431</v>
      </c>
      <c r="I7796" s="508">
        <v>4.8280000000000003</v>
      </c>
      <c r="J7796" s="508">
        <v>4.1340000000000003</v>
      </c>
      <c r="K7796" s="508">
        <v>3.9550000000000001</v>
      </c>
      <c r="L7796" s="508">
        <v>3.81</v>
      </c>
      <c r="M7796" s="508">
        <v>3.415</v>
      </c>
      <c r="N7796" s="508">
        <v>3.3690000000000002</v>
      </c>
      <c r="O7796" s="508">
        <v>3.218</v>
      </c>
      <c r="P7796" s="508">
        <v>3.31</v>
      </c>
      <c r="Q7796" s="508">
        <v>3.274</v>
      </c>
      <c r="R7796" s="508">
        <v>2.1320000000000001</v>
      </c>
      <c r="S7796" s="508">
        <v>2.069</v>
      </c>
      <c r="T7796" s="508">
        <v>1.7609999999999999</v>
      </c>
      <c r="U7796" s="508">
        <v>1.371</v>
      </c>
      <c r="V7796" s="508">
        <v>1.274</v>
      </c>
      <c r="W7796" s="508">
        <v>1.1890000000000001</v>
      </c>
      <c r="X7796" s="508">
        <v>1.1299999999999999</v>
      </c>
      <c r="Y7796" s="508">
        <v>0.79900000000000004</v>
      </c>
      <c r="Z7796" s="508">
        <v>0.747</v>
      </c>
      <c r="AA7796" s="508">
        <v>0.72199999999999998</v>
      </c>
      <c r="AB7796" s="508">
        <v>0.249</v>
      </c>
      <c r="AC7796" s="508">
        <v>0.23300000000000001</v>
      </c>
      <c r="AD7796" s="508">
        <v>0.111</v>
      </c>
      <c r="AE7796" s="508">
        <v>0.10100000000000001</v>
      </c>
      <c r="AF7796" s="508">
        <v>0.09</v>
      </c>
      <c r="AG7796" s="508">
        <v>8.5999999999999993E-2</v>
      </c>
      <c r="AH7796" s="508">
        <v>8.5999999999999993E-2</v>
      </c>
      <c r="AI7796" s="492">
        <v>8.5999999999999993E-2</v>
      </c>
      <c r="AJ7796" s="485"/>
    </row>
    <row r="7797" spans="2:36">
      <c r="B7797" s="136" t="s">
        <v>458</v>
      </c>
      <c r="C7797" s="132" t="s">
        <v>1376</v>
      </c>
      <c r="D7797" s="132" t="s">
        <v>1381</v>
      </c>
      <c r="E7797" s="508">
        <v>10.794</v>
      </c>
      <c r="F7797" s="508">
        <v>6.8369999999999997</v>
      </c>
      <c r="G7797" s="508">
        <v>6.1580000000000004</v>
      </c>
      <c r="H7797" s="508">
        <v>5.7480000000000002</v>
      </c>
      <c r="I7797" s="508">
        <v>5.117</v>
      </c>
      <c r="J7797" s="508">
        <v>4.266</v>
      </c>
      <c r="K7797" s="508">
        <v>4.0970000000000004</v>
      </c>
      <c r="L7797" s="508">
        <v>3.9580000000000002</v>
      </c>
      <c r="M7797" s="508">
        <v>3.5379999999999998</v>
      </c>
      <c r="N7797" s="508">
        <v>3.5019999999999998</v>
      </c>
      <c r="O7797" s="508">
        <v>3.347</v>
      </c>
      <c r="P7797" s="508">
        <v>3.4470000000000001</v>
      </c>
      <c r="Q7797" s="508">
        <v>3.415</v>
      </c>
      <c r="R7797" s="508">
        <v>2.2549999999999999</v>
      </c>
      <c r="S7797" s="508">
        <v>2.1920000000000002</v>
      </c>
      <c r="T7797" s="508">
        <v>1.873</v>
      </c>
      <c r="U7797" s="508">
        <v>1.528</v>
      </c>
      <c r="V7797" s="508">
        <v>1.4259999999999999</v>
      </c>
      <c r="W7797" s="508">
        <v>1.337</v>
      </c>
      <c r="X7797" s="508">
        <v>1.2749999999999999</v>
      </c>
      <c r="Y7797" s="508">
        <v>0.90300000000000002</v>
      </c>
      <c r="Z7797" s="508">
        <v>0.86399999999999999</v>
      </c>
      <c r="AA7797" s="508">
        <v>0.83699999999999997</v>
      </c>
      <c r="AB7797" s="508">
        <v>0.27500000000000002</v>
      </c>
      <c r="AC7797" s="508">
        <v>0.25800000000000001</v>
      </c>
      <c r="AD7797" s="508">
        <v>0.114</v>
      </c>
      <c r="AE7797" s="508">
        <v>0.107</v>
      </c>
      <c r="AF7797" s="508">
        <v>9.6000000000000002E-2</v>
      </c>
      <c r="AG7797" s="508">
        <v>9.4E-2</v>
      </c>
      <c r="AH7797" s="508">
        <v>9.4E-2</v>
      </c>
      <c r="AI7797" s="492">
        <v>9.4E-2</v>
      </c>
      <c r="AJ7797" s="485"/>
    </row>
    <row r="7798" spans="2:36">
      <c r="B7798" s="136" t="s">
        <v>459</v>
      </c>
      <c r="C7798" s="132" t="s">
        <v>1376</v>
      </c>
      <c r="D7798" s="132" t="s">
        <v>1381</v>
      </c>
      <c r="E7798" s="508">
        <v>11.311999999999999</v>
      </c>
      <c r="F7798" s="508">
        <v>6.8979999999999997</v>
      </c>
      <c r="G7798" s="508">
        <v>6.194</v>
      </c>
      <c r="H7798" s="508">
        <v>5.7709999999999999</v>
      </c>
      <c r="I7798" s="508">
        <v>5.1340000000000003</v>
      </c>
      <c r="J7798" s="508">
        <v>4.3099999999999996</v>
      </c>
      <c r="K7798" s="508">
        <v>4.13</v>
      </c>
      <c r="L7798" s="508">
        <v>3.9830000000000001</v>
      </c>
      <c r="M7798" s="508">
        <v>3.5619999999999998</v>
      </c>
      <c r="N7798" s="508">
        <v>3.5190000000000001</v>
      </c>
      <c r="O7798" s="508">
        <v>3.3610000000000002</v>
      </c>
      <c r="P7798" s="508">
        <v>3.4590000000000001</v>
      </c>
      <c r="Q7798" s="508">
        <v>3.423</v>
      </c>
      <c r="R7798" s="508">
        <v>2.2799999999999998</v>
      </c>
      <c r="S7798" s="508">
        <v>2.2149999999999999</v>
      </c>
      <c r="T7798" s="508">
        <v>1.891</v>
      </c>
      <c r="U7798" s="508">
        <v>1.552</v>
      </c>
      <c r="V7798" s="508">
        <v>1.446</v>
      </c>
      <c r="W7798" s="508">
        <v>1.353</v>
      </c>
      <c r="X7798" s="508">
        <v>1.2869999999999999</v>
      </c>
      <c r="Y7798" s="508">
        <v>0.91200000000000003</v>
      </c>
      <c r="Z7798" s="508">
        <v>0.86099999999999999</v>
      </c>
      <c r="AA7798" s="508">
        <v>0.83299999999999996</v>
      </c>
      <c r="AB7798" s="508">
        <v>0.28000000000000003</v>
      </c>
      <c r="AC7798" s="508">
        <v>0.26200000000000001</v>
      </c>
      <c r="AD7798" s="508">
        <v>0.12</v>
      </c>
      <c r="AE7798" s="508">
        <v>0.111</v>
      </c>
      <c r="AF7798" s="508">
        <v>9.9000000000000005E-2</v>
      </c>
      <c r="AG7798" s="508">
        <v>9.6000000000000002E-2</v>
      </c>
      <c r="AH7798" s="508">
        <v>9.6000000000000002E-2</v>
      </c>
      <c r="AI7798" s="492">
        <v>9.6000000000000002E-2</v>
      </c>
      <c r="AJ7798" s="485"/>
    </row>
    <row r="7799" spans="2:36">
      <c r="B7799" s="136" t="s">
        <v>460</v>
      </c>
      <c r="C7799" s="132" t="s">
        <v>1376</v>
      </c>
      <c r="D7799" s="132" t="s">
        <v>1381</v>
      </c>
      <c r="E7799" s="508">
        <v>12.192</v>
      </c>
      <c r="F7799" s="508">
        <v>7.38</v>
      </c>
      <c r="G7799" s="508">
        <v>6.6219999999999999</v>
      </c>
      <c r="H7799" s="508">
        <v>6.1689999999999996</v>
      </c>
      <c r="I7799" s="508">
        <v>5.4930000000000003</v>
      </c>
      <c r="J7799" s="508">
        <v>4.6120000000000001</v>
      </c>
      <c r="K7799" s="508">
        <v>4.4160000000000004</v>
      </c>
      <c r="L7799" s="508">
        <v>4.2560000000000002</v>
      </c>
      <c r="M7799" s="508">
        <v>3.8119999999999998</v>
      </c>
      <c r="N7799" s="508">
        <v>3.762</v>
      </c>
      <c r="O7799" s="508">
        <v>3.5939999999999999</v>
      </c>
      <c r="P7799" s="508">
        <v>3.6970000000000001</v>
      </c>
      <c r="Q7799" s="508">
        <v>3.6579999999999999</v>
      </c>
      <c r="R7799" s="508">
        <v>2.4420000000000002</v>
      </c>
      <c r="S7799" s="508">
        <v>2.3719999999999999</v>
      </c>
      <c r="T7799" s="508">
        <v>2.028</v>
      </c>
      <c r="U7799" s="508">
        <v>1.4970000000000001</v>
      </c>
      <c r="V7799" s="508">
        <v>1.3939999999999999</v>
      </c>
      <c r="W7799" s="508">
        <v>1.3029999999999999</v>
      </c>
      <c r="X7799" s="508">
        <v>1.24</v>
      </c>
      <c r="Y7799" s="508">
        <v>0.88100000000000001</v>
      </c>
      <c r="Z7799" s="508">
        <v>0.82899999999999996</v>
      </c>
      <c r="AA7799" s="508">
        <v>0.80200000000000005</v>
      </c>
      <c r="AB7799" s="508">
        <v>0.27200000000000002</v>
      </c>
      <c r="AC7799" s="508">
        <v>0.255</v>
      </c>
      <c r="AD7799" s="508">
        <v>0.11700000000000001</v>
      </c>
      <c r="AE7799" s="508">
        <v>0.108</v>
      </c>
      <c r="AF7799" s="508">
        <v>9.6000000000000002E-2</v>
      </c>
      <c r="AG7799" s="508">
        <v>9.2999999999999999E-2</v>
      </c>
      <c r="AH7799" s="508">
        <v>9.2999999999999999E-2</v>
      </c>
      <c r="AI7799" s="492">
        <v>9.2999999999999999E-2</v>
      </c>
      <c r="AJ7799" s="485"/>
    </row>
    <row r="7800" spans="2:36">
      <c r="B7800" s="136" t="s">
        <v>461</v>
      </c>
      <c r="C7800" s="132" t="s">
        <v>1376</v>
      </c>
      <c r="D7800" s="132" t="s">
        <v>1381</v>
      </c>
      <c r="E7800" s="508">
        <v>12.471</v>
      </c>
      <c r="F7800" s="508">
        <v>7.4459999999999997</v>
      </c>
      <c r="G7800" s="508">
        <v>6.6509999999999998</v>
      </c>
      <c r="H7800" s="508">
        <v>6.1769999999999996</v>
      </c>
      <c r="I7800" s="508">
        <v>5.4870000000000001</v>
      </c>
      <c r="J7800" s="508">
        <v>4.67</v>
      </c>
      <c r="K7800" s="508">
        <v>4.4580000000000002</v>
      </c>
      <c r="L7800" s="508">
        <v>4.2859999999999996</v>
      </c>
      <c r="M7800" s="508">
        <v>3.8370000000000002</v>
      </c>
      <c r="N7800" s="508">
        <v>3.778</v>
      </c>
      <c r="O7800" s="508">
        <v>3.6030000000000002</v>
      </c>
      <c r="P7800" s="508">
        <v>3.7040000000000002</v>
      </c>
      <c r="Q7800" s="508">
        <v>3.6589999999999998</v>
      </c>
      <c r="R7800" s="508">
        <v>2.468</v>
      </c>
      <c r="S7800" s="508">
        <v>2.3940000000000001</v>
      </c>
      <c r="T7800" s="508">
        <v>2.0409999999999999</v>
      </c>
      <c r="U7800" s="508">
        <v>1.4970000000000001</v>
      </c>
      <c r="V7800" s="508">
        <v>1.393</v>
      </c>
      <c r="W7800" s="508">
        <v>1.302</v>
      </c>
      <c r="X7800" s="508">
        <v>1.238</v>
      </c>
      <c r="Y7800" s="508">
        <v>0.89</v>
      </c>
      <c r="Z7800" s="508">
        <v>0.83299999999999996</v>
      </c>
      <c r="AA7800" s="508">
        <v>0.80500000000000005</v>
      </c>
      <c r="AB7800" s="508">
        <v>0.28199999999999997</v>
      </c>
      <c r="AC7800" s="508">
        <v>0.26500000000000001</v>
      </c>
      <c r="AD7800" s="508">
        <v>0.126</v>
      </c>
      <c r="AE7800" s="508">
        <v>0.114</v>
      </c>
      <c r="AF7800" s="508">
        <v>0.1</v>
      </c>
      <c r="AG7800" s="508">
        <v>9.6000000000000002E-2</v>
      </c>
      <c r="AH7800" s="508">
        <v>9.6000000000000002E-2</v>
      </c>
      <c r="AI7800" s="492">
        <v>9.6000000000000002E-2</v>
      </c>
      <c r="AJ7800" s="485"/>
    </row>
    <row r="7801" spans="2:36">
      <c r="B7801" s="136" t="s">
        <v>462</v>
      </c>
      <c r="C7801" s="132" t="s">
        <v>1376</v>
      </c>
      <c r="D7801" s="132" t="s">
        <v>1381</v>
      </c>
      <c r="E7801" s="508">
        <v>9.4250000000000007</v>
      </c>
      <c r="F7801" s="508">
        <v>6.407</v>
      </c>
      <c r="G7801" s="508">
        <v>5.7939999999999996</v>
      </c>
      <c r="H7801" s="508">
        <v>5.4210000000000003</v>
      </c>
      <c r="I7801" s="508">
        <v>4.8310000000000004</v>
      </c>
      <c r="J7801" s="508">
        <v>4.0110000000000001</v>
      </c>
      <c r="K7801" s="508">
        <v>3.863</v>
      </c>
      <c r="L7801" s="508">
        <v>3.742</v>
      </c>
      <c r="M7801" s="508">
        <v>3.3450000000000002</v>
      </c>
      <c r="N7801" s="508">
        <v>3.319</v>
      </c>
      <c r="O7801" s="508">
        <v>3.177</v>
      </c>
      <c r="P7801" s="508">
        <v>3.2749999999999999</v>
      </c>
      <c r="Q7801" s="508">
        <v>3.25</v>
      </c>
      <c r="R7801" s="508">
        <v>2.0950000000000002</v>
      </c>
      <c r="S7801" s="508">
        <v>2.04</v>
      </c>
      <c r="T7801" s="508">
        <v>1.742</v>
      </c>
      <c r="U7801" s="508">
        <v>1.355</v>
      </c>
      <c r="V7801" s="508">
        <v>1.2669999999999999</v>
      </c>
      <c r="W7801" s="508">
        <v>1.1879999999999999</v>
      </c>
      <c r="X7801" s="508">
        <v>1.1339999999999999</v>
      </c>
      <c r="Y7801" s="508">
        <v>0.79400000000000004</v>
      </c>
      <c r="Z7801" s="508">
        <v>0.77200000000000002</v>
      </c>
      <c r="AA7801" s="508">
        <v>0.748</v>
      </c>
      <c r="AB7801" s="508">
        <v>0.24</v>
      </c>
      <c r="AC7801" s="508">
        <v>0.22500000000000001</v>
      </c>
      <c r="AD7801" s="508">
        <v>9.7000000000000003E-2</v>
      </c>
      <c r="AE7801" s="508">
        <v>9.0999999999999998E-2</v>
      </c>
      <c r="AF7801" s="508">
        <v>8.3000000000000004E-2</v>
      </c>
      <c r="AG7801" s="508">
        <v>8.2000000000000003E-2</v>
      </c>
      <c r="AH7801" s="508">
        <v>8.1000000000000003E-2</v>
      </c>
      <c r="AI7801" s="492">
        <v>8.1000000000000003E-2</v>
      </c>
      <c r="AJ7801" s="485"/>
    </row>
    <row r="7802" spans="2:36">
      <c r="B7802" s="136" t="s">
        <v>463</v>
      </c>
      <c r="C7802" s="132" t="s">
        <v>1376</v>
      </c>
      <c r="D7802" s="132" t="s">
        <v>1381</v>
      </c>
      <c r="E7802" s="508">
        <v>9.8089999999999993</v>
      </c>
      <c r="F7802" s="508">
        <v>6.194</v>
      </c>
      <c r="G7802" s="508">
        <v>5.5720000000000001</v>
      </c>
      <c r="H7802" s="508">
        <v>5.1959999999999997</v>
      </c>
      <c r="I7802" s="508">
        <v>4.6219999999999999</v>
      </c>
      <c r="J7802" s="508">
        <v>3.91</v>
      </c>
      <c r="K7802" s="508">
        <v>3.754</v>
      </c>
      <c r="L7802" s="508">
        <v>3.6259999999999999</v>
      </c>
      <c r="M7802" s="508">
        <v>3.2450000000000001</v>
      </c>
      <c r="N7802" s="508">
        <v>3.21</v>
      </c>
      <c r="O7802" s="508">
        <v>3.069</v>
      </c>
      <c r="P7802" s="508">
        <v>3.161</v>
      </c>
      <c r="Q7802" s="508">
        <v>3.1309999999999998</v>
      </c>
      <c r="R7802" s="508">
        <v>2.0219999999999998</v>
      </c>
      <c r="S7802" s="508">
        <v>1.964</v>
      </c>
      <c r="T7802" s="508">
        <v>1.673</v>
      </c>
      <c r="U7802" s="508">
        <v>1.343</v>
      </c>
      <c r="V7802" s="508">
        <v>1.25</v>
      </c>
      <c r="W7802" s="508">
        <v>1.1679999999999999</v>
      </c>
      <c r="X7802" s="508">
        <v>1.111</v>
      </c>
      <c r="Y7802" s="508">
        <v>0.77200000000000002</v>
      </c>
      <c r="Z7802" s="508">
        <v>0.73399999999999999</v>
      </c>
      <c r="AA7802" s="508">
        <v>0.70899999999999996</v>
      </c>
      <c r="AB7802" s="508">
        <v>0.23599999999999999</v>
      </c>
      <c r="AC7802" s="508">
        <v>0.22</v>
      </c>
      <c r="AD7802" s="508">
        <v>0.10100000000000001</v>
      </c>
      <c r="AE7802" s="508">
        <v>9.4E-2</v>
      </c>
      <c r="AF7802" s="508">
        <v>8.4000000000000005E-2</v>
      </c>
      <c r="AG7802" s="508">
        <v>8.2000000000000003E-2</v>
      </c>
      <c r="AH7802" s="508">
        <v>8.2000000000000003E-2</v>
      </c>
      <c r="AI7802" s="492">
        <v>8.2000000000000003E-2</v>
      </c>
      <c r="AJ7802" s="485"/>
    </row>
    <row r="7803" spans="2:36">
      <c r="B7803" s="136" t="s">
        <v>464</v>
      </c>
      <c r="C7803" s="132" t="s">
        <v>1376</v>
      </c>
      <c r="D7803" s="132" t="s">
        <v>1381</v>
      </c>
      <c r="E7803" s="508">
        <v>10.602</v>
      </c>
      <c r="F7803" s="508">
        <v>6.2489999999999997</v>
      </c>
      <c r="G7803" s="508">
        <v>5.5949999999999998</v>
      </c>
      <c r="H7803" s="508">
        <v>5.2039999999999997</v>
      </c>
      <c r="I7803" s="508">
        <v>4.63</v>
      </c>
      <c r="J7803" s="508">
        <v>3.9670000000000001</v>
      </c>
      <c r="K7803" s="508">
        <v>3.7949999999999999</v>
      </c>
      <c r="L7803" s="508">
        <v>3.6549999999999998</v>
      </c>
      <c r="M7803" s="508">
        <v>3.2789999999999999</v>
      </c>
      <c r="N7803" s="508">
        <v>3.234</v>
      </c>
      <c r="O7803" s="508">
        <v>3.09</v>
      </c>
      <c r="P7803" s="508">
        <v>3.1779999999999999</v>
      </c>
      <c r="Q7803" s="508">
        <v>3.1429999999999998</v>
      </c>
      <c r="R7803" s="508">
        <v>2.0419999999999998</v>
      </c>
      <c r="S7803" s="508">
        <v>1.9810000000000001</v>
      </c>
      <c r="T7803" s="508">
        <v>1.6879999999999999</v>
      </c>
      <c r="U7803" s="508">
        <v>1.2869999999999999</v>
      </c>
      <c r="V7803" s="508">
        <v>1.1950000000000001</v>
      </c>
      <c r="W7803" s="508">
        <v>1.1140000000000001</v>
      </c>
      <c r="X7803" s="508">
        <v>1.0569999999999999</v>
      </c>
      <c r="Y7803" s="508">
        <v>0.745</v>
      </c>
      <c r="Z7803" s="508">
        <v>0.69099999999999995</v>
      </c>
      <c r="AA7803" s="508">
        <v>0.66700000000000004</v>
      </c>
      <c r="AB7803" s="508">
        <v>0.23200000000000001</v>
      </c>
      <c r="AC7803" s="508">
        <v>0.216</v>
      </c>
      <c r="AD7803" s="508">
        <v>0.104</v>
      </c>
      <c r="AE7803" s="508">
        <v>9.5000000000000001E-2</v>
      </c>
      <c r="AF7803" s="508">
        <v>8.4000000000000005E-2</v>
      </c>
      <c r="AG7803" s="508">
        <v>8.1000000000000003E-2</v>
      </c>
      <c r="AH7803" s="508">
        <v>0.08</v>
      </c>
      <c r="AI7803" s="492">
        <v>0.08</v>
      </c>
      <c r="AJ7803" s="485"/>
    </row>
    <row r="7804" spans="2:36">
      <c r="B7804" s="136" t="s">
        <v>465</v>
      </c>
      <c r="C7804" s="132" t="s">
        <v>1376</v>
      </c>
      <c r="D7804" s="132" t="s">
        <v>1381</v>
      </c>
      <c r="E7804" s="508">
        <v>10.375</v>
      </c>
      <c r="F7804" s="508">
        <v>6.3659999999999997</v>
      </c>
      <c r="G7804" s="508">
        <v>5.7149999999999999</v>
      </c>
      <c r="H7804" s="508">
        <v>5.3250000000000002</v>
      </c>
      <c r="I7804" s="508">
        <v>4.7430000000000003</v>
      </c>
      <c r="J7804" s="508">
        <v>4.0229999999999997</v>
      </c>
      <c r="K7804" s="508">
        <v>3.8540000000000001</v>
      </c>
      <c r="L7804" s="508">
        <v>3.7170000000000001</v>
      </c>
      <c r="M7804" s="508">
        <v>3.3340000000000001</v>
      </c>
      <c r="N7804" s="508">
        <v>3.2919999999999998</v>
      </c>
      <c r="O7804" s="508">
        <v>3.1469999999999998</v>
      </c>
      <c r="P7804" s="508">
        <v>3.2389999999999999</v>
      </c>
      <c r="Q7804" s="508">
        <v>3.206</v>
      </c>
      <c r="R7804" s="508">
        <v>2.0830000000000002</v>
      </c>
      <c r="S7804" s="508">
        <v>2.0230000000000001</v>
      </c>
      <c r="T7804" s="508">
        <v>1.726</v>
      </c>
      <c r="U7804" s="508">
        <v>1.3759999999999999</v>
      </c>
      <c r="V7804" s="508">
        <v>1.2789999999999999</v>
      </c>
      <c r="W7804" s="508">
        <v>1.194</v>
      </c>
      <c r="X7804" s="508">
        <v>1.135</v>
      </c>
      <c r="Y7804" s="508">
        <v>0.79800000000000004</v>
      </c>
      <c r="Z7804" s="508">
        <v>0.749</v>
      </c>
      <c r="AA7804" s="508">
        <v>0.72299999999999998</v>
      </c>
      <c r="AB7804" s="508">
        <v>0.248</v>
      </c>
      <c r="AC7804" s="508">
        <v>0.23100000000000001</v>
      </c>
      <c r="AD7804" s="508">
        <v>0.109</v>
      </c>
      <c r="AE7804" s="508">
        <v>0.1</v>
      </c>
      <c r="AF7804" s="508">
        <v>8.7999999999999995E-2</v>
      </c>
      <c r="AG7804" s="508">
        <v>8.5000000000000006E-2</v>
      </c>
      <c r="AH7804" s="508">
        <v>8.5000000000000006E-2</v>
      </c>
      <c r="AI7804" s="492">
        <v>8.5000000000000006E-2</v>
      </c>
      <c r="AJ7804" s="485"/>
    </row>
    <row r="7805" spans="2:36">
      <c r="B7805" s="136" t="s">
        <v>466</v>
      </c>
      <c r="C7805" s="132" t="s">
        <v>1376</v>
      </c>
      <c r="D7805" s="132" t="s">
        <v>1381</v>
      </c>
      <c r="E7805" s="508">
        <v>10.801</v>
      </c>
      <c r="F7805" s="508">
        <v>7.1260000000000003</v>
      </c>
      <c r="G7805" s="508">
        <v>6.4450000000000003</v>
      </c>
      <c r="H7805" s="508">
        <v>6.0339999999999998</v>
      </c>
      <c r="I7805" s="508">
        <v>5.39</v>
      </c>
      <c r="J7805" s="508">
        <v>4.4109999999999996</v>
      </c>
      <c r="K7805" s="508">
        <v>4.2439999999999998</v>
      </c>
      <c r="L7805" s="508">
        <v>4.1079999999999997</v>
      </c>
      <c r="M7805" s="508">
        <v>3.6760000000000002</v>
      </c>
      <c r="N7805" s="508">
        <v>3.645</v>
      </c>
      <c r="O7805" s="508">
        <v>3.488</v>
      </c>
      <c r="P7805" s="508">
        <v>3.5950000000000002</v>
      </c>
      <c r="Q7805" s="508">
        <v>3.5649999999999999</v>
      </c>
      <c r="R7805" s="508">
        <v>2.36</v>
      </c>
      <c r="S7805" s="508">
        <v>2.2970000000000002</v>
      </c>
      <c r="T7805" s="508">
        <v>1.972</v>
      </c>
      <c r="U7805" s="508">
        <v>1.5980000000000001</v>
      </c>
      <c r="V7805" s="508">
        <v>1.494</v>
      </c>
      <c r="W7805" s="508">
        <v>1.401</v>
      </c>
      <c r="X7805" s="508">
        <v>1.337</v>
      </c>
      <c r="Y7805" s="508">
        <v>0.94499999999999995</v>
      </c>
      <c r="Z7805" s="508">
        <v>0.91200000000000003</v>
      </c>
      <c r="AA7805" s="508">
        <v>0.88400000000000001</v>
      </c>
      <c r="AB7805" s="508">
        <v>0.28699999999999998</v>
      </c>
      <c r="AC7805" s="508">
        <v>0.26900000000000002</v>
      </c>
      <c r="AD7805" s="508">
        <v>0.115</v>
      </c>
      <c r="AE7805" s="508">
        <v>0.109</v>
      </c>
      <c r="AF7805" s="508">
        <v>9.8000000000000004E-2</v>
      </c>
      <c r="AG7805" s="508">
        <v>9.6000000000000002E-2</v>
      </c>
      <c r="AH7805" s="508">
        <v>9.6000000000000002E-2</v>
      </c>
      <c r="AI7805" s="492">
        <v>9.6000000000000002E-2</v>
      </c>
      <c r="AJ7805" s="485"/>
    </row>
    <row r="7806" spans="2:36">
      <c r="B7806" s="136" t="s">
        <v>467</v>
      </c>
      <c r="C7806" s="132" t="s">
        <v>1376</v>
      </c>
      <c r="D7806" s="132" t="s">
        <v>1381</v>
      </c>
      <c r="E7806" s="508">
        <v>11.294</v>
      </c>
      <c r="F7806" s="508">
        <v>6.7919999999999998</v>
      </c>
      <c r="G7806" s="508">
        <v>6.085</v>
      </c>
      <c r="H7806" s="508">
        <v>5.6630000000000003</v>
      </c>
      <c r="I7806" s="508">
        <v>5.0339999999999998</v>
      </c>
      <c r="J7806" s="508">
        <v>4.26</v>
      </c>
      <c r="K7806" s="508">
        <v>4.0759999999999996</v>
      </c>
      <c r="L7806" s="508">
        <v>3.927</v>
      </c>
      <c r="M7806" s="508">
        <v>3.5139999999999998</v>
      </c>
      <c r="N7806" s="508">
        <v>3.4670000000000001</v>
      </c>
      <c r="O7806" s="508">
        <v>3.31</v>
      </c>
      <c r="P7806" s="508">
        <v>3.4049999999999998</v>
      </c>
      <c r="Q7806" s="508">
        <v>3.3679999999999999</v>
      </c>
      <c r="R7806" s="508">
        <v>2.242</v>
      </c>
      <c r="S7806" s="508">
        <v>2.177</v>
      </c>
      <c r="T7806" s="508">
        <v>1.8560000000000001</v>
      </c>
      <c r="U7806" s="508">
        <v>1.49</v>
      </c>
      <c r="V7806" s="508">
        <v>1.3859999999999999</v>
      </c>
      <c r="W7806" s="508">
        <v>1.2949999999999999</v>
      </c>
      <c r="X7806" s="508">
        <v>1.2310000000000001</v>
      </c>
      <c r="Y7806" s="508">
        <v>0.874</v>
      </c>
      <c r="Z7806" s="508">
        <v>0.82</v>
      </c>
      <c r="AA7806" s="508">
        <v>0.79300000000000004</v>
      </c>
      <c r="AB7806" s="508">
        <v>0.27100000000000002</v>
      </c>
      <c r="AC7806" s="508">
        <v>0.254</v>
      </c>
      <c r="AD7806" s="508">
        <v>0.11799999999999999</v>
      </c>
      <c r="AE7806" s="508">
        <v>0.108</v>
      </c>
      <c r="AF7806" s="508">
        <v>9.6000000000000002E-2</v>
      </c>
      <c r="AG7806" s="508">
        <v>9.2999999999999999E-2</v>
      </c>
      <c r="AH7806" s="508">
        <v>9.2999999999999999E-2</v>
      </c>
      <c r="AI7806" s="492">
        <v>9.2999999999999999E-2</v>
      </c>
      <c r="AJ7806" s="485"/>
    </row>
    <row r="7807" spans="2:36">
      <c r="B7807" s="136" t="s">
        <v>468</v>
      </c>
      <c r="C7807" s="132" t="s">
        <v>1376</v>
      </c>
      <c r="D7807" s="132" t="s">
        <v>1381</v>
      </c>
      <c r="E7807" s="508">
        <v>8.8960000000000008</v>
      </c>
      <c r="F7807" s="508">
        <v>5.6070000000000002</v>
      </c>
      <c r="G7807" s="508">
        <v>5.0570000000000004</v>
      </c>
      <c r="H7807" s="508">
        <v>4.726</v>
      </c>
      <c r="I7807" s="508">
        <v>4.22</v>
      </c>
      <c r="J7807" s="508">
        <v>3.5670000000000002</v>
      </c>
      <c r="K7807" s="508">
        <v>3.4279999999999999</v>
      </c>
      <c r="L7807" s="508">
        <v>3.3149999999999999</v>
      </c>
      <c r="M7807" s="508">
        <v>2.9790000000000001</v>
      </c>
      <c r="N7807" s="508">
        <v>2.95</v>
      </c>
      <c r="O7807" s="508">
        <v>2.8250000000000002</v>
      </c>
      <c r="P7807" s="508">
        <v>2.911</v>
      </c>
      <c r="Q7807" s="508">
        <v>2.8860000000000001</v>
      </c>
      <c r="R7807" s="508">
        <v>1.8140000000000001</v>
      </c>
      <c r="S7807" s="508">
        <v>1.764</v>
      </c>
      <c r="T7807" s="508">
        <v>1.5069999999999999</v>
      </c>
      <c r="U7807" s="508">
        <v>1.2410000000000001</v>
      </c>
      <c r="V7807" s="508">
        <v>1.1579999999999999</v>
      </c>
      <c r="W7807" s="508">
        <v>1.0840000000000001</v>
      </c>
      <c r="X7807" s="508">
        <v>1.0329999999999999</v>
      </c>
      <c r="Y7807" s="508">
        <v>0.72899999999999998</v>
      </c>
      <c r="Z7807" s="508">
        <v>0.69399999999999995</v>
      </c>
      <c r="AA7807" s="508">
        <v>0.67200000000000004</v>
      </c>
      <c r="AB7807" s="508">
        <v>0.223</v>
      </c>
      <c r="AC7807" s="508">
        <v>0.20799999999999999</v>
      </c>
      <c r="AD7807" s="508">
        <v>9.5000000000000001E-2</v>
      </c>
      <c r="AE7807" s="508">
        <v>8.8999999999999996E-2</v>
      </c>
      <c r="AF7807" s="508">
        <v>0.08</v>
      </c>
      <c r="AG7807" s="508">
        <v>7.8E-2</v>
      </c>
      <c r="AH7807" s="508">
        <v>7.8E-2</v>
      </c>
      <c r="AI7807" s="492">
        <v>7.8E-2</v>
      </c>
      <c r="AJ7807" s="485"/>
    </row>
    <row r="7808" spans="2:36">
      <c r="B7808" s="136" t="s">
        <v>469</v>
      </c>
      <c r="C7808" s="132" t="s">
        <v>1376</v>
      </c>
      <c r="D7808" s="132" t="s">
        <v>1381</v>
      </c>
      <c r="E7808" s="508">
        <v>9.8360000000000003</v>
      </c>
      <c r="F7808" s="508">
        <v>6.2409999999999997</v>
      </c>
      <c r="G7808" s="508">
        <v>5.6239999999999997</v>
      </c>
      <c r="H7808" s="508">
        <v>5.2530000000000001</v>
      </c>
      <c r="I7808" s="508">
        <v>4.6840000000000002</v>
      </c>
      <c r="J7808" s="508">
        <v>3.9289999999999998</v>
      </c>
      <c r="K7808" s="508">
        <v>3.774</v>
      </c>
      <c r="L7808" s="508">
        <v>3.6480000000000001</v>
      </c>
      <c r="M7808" s="508">
        <v>3.2690000000000001</v>
      </c>
      <c r="N7808" s="508">
        <v>3.2360000000000002</v>
      </c>
      <c r="O7808" s="508">
        <v>3.0960000000000001</v>
      </c>
      <c r="P7808" s="508">
        <v>3.1890000000000001</v>
      </c>
      <c r="Q7808" s="508">
        <v>3.161</v>
      </c>
      <c r="R7808" s="508">
        <v>2.04</v>
      </c>
      <c r="S7808" s="508">
        <v>1.9830000000000001</v>
      </c>
      <c r="T7808" s="508">
        <v>1.694</v>
      </c>
      <c r="U7808" s="508">
        <v>1.36</v>
      </c>
      <c r="V7808" s="508">
        <v>1.2669999999999999</v>
      </c>
      <c r="W7808" s="508">
        <v>1.1850000000000001</v>
      </c>
      <c r="X7808" s="508">
        <v>1.127</v>
      </c>
      <c r="Y7808" s="508">
        <v>0.78800000000000003</v>
      </c>
      <c r="Z7808" s="508">
        <v>0.75</v>
      </c>
      <c r="AA7808" s="508">
        <v>0.72599999999999998</v>
      </c>
      <c r="AB7808" s="508">
        <v>0.24099999999999999</v>
      </c>
      <c r="AC7808" s="508">
        <v>0.22500000000000001</v>
      </c>
      <c r="AD7808" s="508">
        <v>0.10199999999999999</v>
      </c>
      <c r="AE7808" s="508">
        <v>9.5000000000000001E-2</v>
      </c>
      <c r="AF7808" s="508">
        <v>8.5000000000000006E-2</v>
      </c>
      <c r="AG7808" s="508">
        <v>8.3000000000000004E-2</v>
      </c>
      <c r="AH7808" s="508">
        <v>8.2000000000000003E-2</v>
      </c>
      <c r="AI7808" s="492">
        <v>8.2000000000000003E-2</v>
      </c>
      <c r="AJ7808" s="485"/>
    </row>
    <row r="7809" spans="2:36">
      <c r="B7809" s="136" t="s">
        <v>470</v>
      </c>
      <c r="C7809" s="132" t="s">
        <v>1376</v>
      </c>
      <c r="D7809" s="132" t="s">
        <v>1381</v>
      </c>
      <c r="E7809" s="508">
        <v>11.917</v>
      </c>
      <c r="F7809" s="508">
        <v>7.3209999999999997</v>
      </c>
      <c r="G7809" s="508">
        <v>6.5789999999999997</v>
      </c>
      <c r="H7809" s="508">
        <v>6.1340000000000003</v>
      </c>
      <c r="I7809" s="508">
        <v>5.4610000000000003</v>
      </c>
      <c r="J7809" s="508">
        <v>4.5549999999999997</v>
      </c>
      <c r="K7809" s="508">
        <v>4.3659999999999997</v>
      </c>
      <c r="L7809" s="508">
        <v>4.2119999999999997</v>
      </c>
      <c r="M7809" s="508">
        <v>3.7669999999999999</v>
      </c>
      <c r="N7809" s="508">
        <v>3.722</v>
      </c>
      <c r="O7809" s="508">
        <v>3.5550000000000002</v>
      </c>
      <c r="P7809" s="508">
        <v>3.6589999999999998</v>
      </c>
      <c r="Q7809" s="508">
        <v>3.6219999999999999</v>
      </c>
      <c r="R7809" s="508">
        <v>2.4279999999999999</v>
      </c>
      <c r="S7809" s="508">
        <v>2.36</v>
      </c>
      <c r="T7809" s="508">
        <v>2.0169999999999999</v>
      </c>
      <c r="U7809" s="508">
        <v>1.609</v>
      </c>
      <c r="V7809" s="508">
        <v>1.5009999999999999</v>
      </c>
      <c r="W7809" s="508">
        <v>1.405</v>
      </c>
      <c r="X7809" s="508">
        <v>1.339</v>
      </c>
      <c r="Y7809" s="508">
        <v>0.95399999999999996</v>
      </c>
      <c r="Z7809" s="508">
        <v>0.90400000000000003</v>
      </c>
      <c r="AA7809" s="508">
        <v>0.875</v>
      </c>
      <c r="AB7809" s="508">
        <v>0.29199999999999998</v>
      </c>
      <c r="AC7809" s="508">
        <v>0.27400000000000002</v>
      </c>
      <c r="AD7809" s="508">
        <v>0.123</v>
      </c>
      <c r="AE7809" s="508">
        <v>0.114</v>
      </c>
      <c r="AF7809" s="508">
        <v>0.10199999999999999</v>
      </c>
      <c r="AG7809" s="508">
        <v>9.9000000000000005E-2</v>
      </c>
      <c r="AH7809" s="508">
        <v>9.9000000000000005E-2</v>
      </c>
      <c r="AI7809" s="492">
        <v>9.9000000000000005E-2</v>
      </c>
      <c r="AJ7809" s="485"/>
    </row>
    <row r="7810" spans="2:36">
      <c r="B7810" s="136" t="s">
        <v>471</v>
      </c>
      <c r="C7810" s="132" t="s">
        <v>1376</v>
      </c>
      <c r="D7810" s="132" t="s">
        <v>1381</v>
      </c>
      <c r="E7810" s="508">
        <v>10.72</v>
      </c>
      <c r="F7810" s="508">
        <v>6.9980000000000002</v>
      </c>
      <c r="G7810" s="508">
        <v>6.3159999999999998</v>
      </c>
      <c r="H7810" s="508">
        <v>5.9039999999999999</v>
      </c>
      <c r="I7810" s="508">
        <v>5.26</v>
      </c>
      <c r="J7810" s="508">
        <v>4.3579999999999997</v>
      </c>
      <c r="K7810" s="508">
        <v>4.1909999999999998</v>
      </c>
      <c r="L7810" s="508">
        <v>4.0540000000000003</v>
      </c>
      <c r="M7810" s="508">
        <v>3.6230000000000002</v>
      </c>
      <c r="N7810" s="508">
        <v>3.59</v>
      </c>
      <c r="O7810" s="508">
        <v>3.4340000000000002</v>
      </c>
      <c r="P7810" s="508">
        <v>3.5379999999999998</v>
      </c>
      <c r="Q7810" s="508">
        <v>3.508</v>
      </c>
      <c r="R7810" s="508">
        <v>2.306</v>
      </c>
      <c r="S7810" s="508">
        <v>2.2440000000000002</v>
      </c>
      <c r="T7810" s="508">
        <v>1.9179999999999999</v>
      </c>
      <c r="U7810" s="508">
        <v>1.4950000000000001</v>
      </c>
      <c r="V7810" s="508">
        <v>1.397</v>
      </c>
      <c r="W7810" s="508">
        <v>1.31</v>
      </c>
      <c r="X7810" s="508">
        <v>1.25</v>
      </c>
      <c r="Y7810" s="508">
        <v>0.88200000000000001</v>
      </c>
      <c r="Z7810" s="508">
        <v>0.85099999999999998</v>
      </c>
      <c r="AA7810" s="508">
        <v>0.82499999999999996</v>
      </c>
      <c r="AB7810" s="508">
        <v>0.26800000000000002</v>
      </c>
      <c r="AC7810" s="508">
        <v>0.251</v>
      </c>
      <c r="AD7810" s="508">
        <v>0.109</v>
      </c>
      <c r="AE7810" s="508">
        <v>0.10199999999999999</v>
      </c>
      <c r="AF7810" s="508">
        <v>9.1999999999999998E-2</v>
      </c>
      <c r="AG7810" s="508">
        <v>9.0999999999999998E-2</v>
      </c>
      <c r="AH7810" s="508">
        <v>9.0999999999999998E-2</v>
      </c>
      <c r="AI7810" s="492">
        <v>9.0999999999999998E-2</v>
      </c>
      <c r="AJ7810" s="485"/>
    </row>
    <row r="7811" spans="2:36">
      <c r="B7811" s="136" t="s">
        <v>472</v>
      </c>
      <c r="C7811" s="132" t="s">
        <v>1376</v>
      </c>
      <c r="D7811" s="132" t="s">
        <v>1381</v>
      </c>
      <c r="E7811" s="508">
        <v>11.499000000000001</v>
      </c>
      <c r="F7811" s="508">
        <v>6.7770000000000001</v>
      </c>
      <c r="G7811" s="508">
        <v>6.0389999999999997</v>
      </c>
      <c r="H7811" s="508">
        <v>5.601</v>
      </c>
      <c r="I7811" s="508">
        <v>4.9740000000000002</v>
      </c>
      <c r="J7811" s="508">
        <v>4.3010000000000002</v>
      </c>
      <c r="K7811" s="508">
        <v>4.1020000000000003</v>
      </c>
      <c r="L7811" s="508">
        <v>3.9390000000000001</v>
      </c>
      <c r="M7811" s="508">
        <v>3.5339999999999998</v>
      </c>
      <c r="N7811" s="508">
        <v>3.4750000000000001</v>
      </c>
      <c r="O7811" s="508">
        <v>3.3149999999999999</v>
      </c>
      <c r="P7811" s="508">
        <v>3.4060000000000001</v>
      </c>
      <c r="Q7811" s="508">
        <v>3.3620000000000001</v>
      </c>
      <c r="R7811" s="508">
        <v>2.2269999999999999</v>
      </c>
      <c r="S7811" s="508">
        <v>2.1579999999999999</v>
      </c>
      <c r="T7811" s="508">
        <v>1.8360000000000001</v>
      </c>
      <c r="U7811" s="508">
        <v>1.337</v>
      </c>
      <c r="V7811" s="508">
        <v>1.2410000000000001</v>
      </c>
      <c r="W7811" s="508">
        <v>1.1579999999999999</v>
      </c>
      <c r="X7811" s="508">
        <v>1.099</v>
      </c>
      <c r="Y7811" s="508">
        <v>0.78900000000000003</v>
      </c>
      <c r="Z7811" s="508">
        <v>0.73499999999999999</v>
      </c>
      <c r="AA7811" s="508">
        <v>0.70899999999999996</v>
      </c>
      <c r="AB7811" s="508">
        <v>0.25600000000000001</v>
      </c>
      <c r="AC7811" s="508">
        <v>0.24</v>
      </c>
      <c r="AD7811" s="508">
        <v>0.11899999999999999</v>
      </c>
      <c r="AE7811" s="508">
        <v>0.106</v>
      </c>
      <c r="AF7811" s="508">
        <v>9.2999999999999999E-2</v>
      </c>
      <c r="AG7811" s="508">
        <v>8.7999999999999995E-2</v>
      </c>
      <c r="AH7811" s="508">
        <v>8.7999999999999995E-2</v>
      </c>
      <c r="AI7811" s="492">
        <v>8.7999999999999995E-2</v>
      </c>
      <c r="AJ7811" s="485"/>
    </row>
    <row r="7812" spans="2:36">
      <c r="B7812" s="136" t="s">
        <v>473</v>
      </c>
      <c r="C7812" s="132" t="s">
        <v>1376</v>
      </c>
      <c r="D7812" s="132" t="s">
        <v>1381</v>
      </c>
      <c r="E7812" s="508">
        <v>12.192</v>
      </c>
      <c r="F7812" s="508">
        <v>7.5129999999999999</v>
      </c>
      <c r="G7812" s="508">
        <v>6.7539999999999996</v>
      </c>
      <c r="H7812" s="508">
        <v>6.2990000000000004</v>
      </c>
      <c r="I7812" s="508">
        <v>5.6109999999999998</v>
      </c>
      <c r="J7812" s="508">
        <v>4.6710000000000003</v>
      </c>
      <c r="K7812" s="508">
        <v>4.4779999999999998</v>
      </c>
      <c r="L7812" s="508">
        <v>4.32</v>
      </c>
      <c r="M7812" s="508">
        <v>3.8650000000000002</v>
      </c>
      <c r="N7812" s="508">
        <v>3.819</v>
      </c>
      <c r="O7812" s="508">
        <v>3.649</v>
      </c>
      <c r="P7812" s="508">
        <v>3.7549999999999999</v>
      </c>
      <c r="Q7812" s="508">
        <v>3.718</v>
      </c>
      <c r="R7812" s="508">
        <v>2.4929999999999999</v>
      </c>
      <c r="S7812" s="508">
        <v>2.423</v>
      </c>
      <c r="T7812" s="508">
        <v>2.073</v>
      </c>
      <c r="U7812" s="508">
        <v>1.52</v>
      </c>
      <c r="V7812" s="508">
        <v>1.4179999999999999</v>
      </c>
      <c r="W7812" s="508">
        <v>1.327</v>
      </c>
      <c r="X7812" s="508">
        <v>1.264</v>
      </c>
      <c r="Y7812" s="508">
        <v>0.89800000000000002</v>
      </c>
      <c r="Z7812" s="508">
        <v>0.85099999999999998</v>
      </c>
      <c r="AA7812" s="508">
        <v>0.82399999999999995</v>
      </c>
      <c r="AB7812" s="508">
        <v>0.27500000000000002</v>
      </c>
      <c r="AC7812" s="508">
        <v>0.25800000000000001</v>
      </c>
      <c r="AD7812" s="508">
        <v>0.11600000000000001</v>
      </c>
      <c r="AE7812" s="508">
        <v>0.107</v>
      </c>
      <c r="AF7812" s="508">
        <v>9.6000000000000002E-2</v>
      </c>
      <c r="AG7812" s="508">
        <v>9.2999999999999999E-2</v>
      </c>
      <c r="AH7812" s="508">
        <v>9.2999999999999999E-2</v>
      </c>
      <c r="AI7812" s="492">
        <v>9.2999999999999999E-2</v>
      </c>
      <c r="AJ7812" s="485"/>
    </row>
    <row r="7813" spans="2:36">
      <c r="B7813" s="136" t="s">
        <v>474</v>
      </c>
      <c r="C7813" s="132" t="s">
        <v>1376</v>
      </c>
      <c r="D7813" s="132" t="s">
        <v>1381</v>
      </c>
      <c r="E7813" s="508">
        <v>10</v>
      </c>
      <c r="F7813" s="508">
        <v>6.52</v>
      </c>
      <c r="G7813" s="508">
        <v>5.8840000000000003</v>
      </c>
      <c r="H7813" s="508">
        <v>5.5</v>
      </c>
      <c r="I7813" s="508">
        <v>4.9029999999999996</v>
      </c>
      <c r="J7813" s="508">
        <v>4.0750000000000002</v>
      </c>
      <c r="K7813" s="508">
        <v>3.9180000000000001</v>
      </c>
      <c r="L7813" s="508">
        <v>3.79</v>
      </c>
      <c r="M7813" s="508">
        <v>3.391</v>
      </c>
      <c r="N7813" s="508">
        <v>3.359</v>
      </c>
      <c r="O7813" s="508">
        <v>3.214</v>
      </c>
      <c r="P7813" s="508">
        <v>3.3109999999999999</v>
      </c>
      <c r="Q7813" s="508">
        <v>3.2829999999999999</v>
      </c>
      <c r="R7813" s="508">
        <v>2.1419999999999999</v>
      </c>
      <c r="S7813" s="508">
        <v>2.0840000000000001</v>
      </c>
      <c r="T7813" s="508">
        <v>1.782</v>
      </c>
      <c r="U7813" s="508">
        <v>1.4339999999999999</v>
      </c>
      <c r="V7813" s="508">
        <v>1.337</v>
      </c>
      <c r="W7813" s="508">
        <v>1.252</v>
      </c>
      <c r="X7813" s="508">
        <v>1.1919999999999999</v>
      </c>
      <c r="Y7813" s="508">
        <v>0.83199999999999996</v>
      </c>
      <c r="Z7813" s="508">
        <v>0.79900000000000004</v>
      </c>
      <c r="AA7813" s="508">
        <v>0.77300000000000002</v>
      </c>
      <c r="AB7813" s="508">
        <v>0.253</v>
      </c>
      <c r="AC7813" s="508">
        <v>0.23699999999999999</v>
      </c>
      <c r="AD7813" s="508">
        <v>0.104</v>
      </c>
      <c r="AE7813" s="508">
        <v>9.8000000000000004E-2</v>
      </c>
      <c r="AF7813" s="508">
        <v>8.7999999999999995E-2</v>
      </c>
      <c r="AG7813" s="508">
        <v>8.5999999999999993E-2</v>
      </c>
      <c r="AH7813" s="508">
        <v>8.5999999999999993E-2</v>
      </c>
      <c r="AI7813" s="492">
        <v>8.5999999999999993E-2</v>
      </c>
      <c r="AJ7813" s="485"/>
    </row>
    <row r="7814" spans="2:36">
      <c r="B7814" s="136" t="s">
        <v>475</v>
      </c>
      <c r="C7814" s="132" t="s">
        <v>1376</v>
      </c>
      <c r="D7814" s="132" t="s">
        <v>1381</v>
      </c>
      <c r="E7814" s="508">
        <v>10.686</v>
      </c>
      <c r="F7814" s="508">
        <v>6.5049999999999999</v>
      </c>
      <c r="G7814" s="508">
        <v>5.8579999999999997</v>
      </c>
      <c r="H7814" s="508">
        <v>5.468</v>
      </c>
      <c r="I7814" s="508">
        <v>4.87</v>
      </c>
      <c r="J7814" s="508">
        <v>4.08</v>
      </c>
      <c r="K7814" s="508">
        <v>3.9169999999999998</v>
      </c>
      <c r="L7814" s="508">
        <v>3.7850000000000001</v>
      </c>
      <c r="M7814" s="508">
        <v>3.387</v>
      </c>
      <c r="N7814" s="508">
        <v>3.3519999999999999</v>
      </c>
      <c r="O7814" s="508">
        <v>3.2050000000000001</v>
      </c>
      <c r="P7814" s="508">
        <v>3.3010000000000002</v>
      </c>
      <c r="Q7814" s="508">
        <v>3.2709999999999999</v>
      </c>
      <c r="R7814" s="508">
        <v>2.1349999999999998</v>
      </c>
      <c r="S7814" s="508">
        <v>2.0760000000000001</v>
      </c>
      <c r="T7814" s="508">
        <v>1.772</v>
      </c>
      <c r="U7814" s="508">
        <v>1.3779999999999999</v>
      </c>
      <c r="V7814" s="508">
        <v>1.284</v>
      </c>
      <c r="W7814" s="508">
        <v>1.2</v>
      </c>
      <c r="X7814" s="508">
        <v>1.1419999999999999</v>
      </c>
      <c r="Y7814" s="508">
        <v>0.79800000000000004</v>
      </c>
      <c r="Z7814" s="508">
        <v>0.75900000000000001</v>
      </c>
      <c r="AA7814" s="508">
        <v>0.73399999999999999</v>
      </c>
      <c r="AB7814" s="508">
        <v>0.24299999999999999</v>
      </c>
      <c r="AC7814" s="508">
        <v>0.22700000000000001</v>
      </c>
      <c r="AD7814" s="508">
        <v>0.10199999999999999</v>
      </c>
      <c r="AE7814" s="508">
        <v>9.5000000000000001E-2</v>
      </c>
      <c r="AF7814" s="508">
        <v>8.5000000000000006E-2</v>
      </c>
      <c r="AG7814" s="508">
        <v>8.3000000000000004E-2</v>
      </c>
      <c r="AH7814" s="508">
        <v>8.3000000000000004E-2</v>
      </c>
      <c r="AI7814" s="492">
        <v>8.3000000000000004E-2</v>
      </c>
      <c r="AJ7814" s="485"/>
    </row>
    <row r="7815" spans="2:36">
      <c r="B7815" s="136" t="s">
        <v>476</v>
      </c>
      <c r="C7815" s="132" t="s">
        <v>1376</v>
      </c>
      <c r="D7815" s="132" t="s">
        <v>1381</v>
      </c>
      <c r="E7815" s="508">
        <v>11.519</v>
      </c>
      <c r="F7815" s="508">
        <v>7.1210000000000004</v>
      </c>
      <c r="G7815" s="508">
        <v>6.407</v>
      </c>
      <c r="H7815" s="508">
        <v>5.9779999999999998</v>
      </c>
      <c r="I7815" s="508">
        <v>5.327</v>
      </c>
      <c r="J7815" s="508">
        <v>4.4470000000000001</v>
      </c>
      <c r="K7815" s="508">
        <v>4.2649999999999997</v>
      </c>
      <c r="L7815" s="508">
        <v>4.117</v>
      </c>
      <c r="M7815" s="508">
        <v>3.6859999999999999</v>
      </c>
      <c r="N7815" s="508">
        <v>3.6440000000000001</v>
      </c>
      <c r="O7815" s="508">
        <v>3.484</v>
      </c>
      <c r="P7815" s="508">
        <v>3.5859999999999999</v>
      </c>
      <c r="Q7815" s="508">
        <v>3.5510000000000002</v>
      </c>
      <c r="R7815" s="508">
        <v>2.3519999999999999</v>
      </c>
      <c r="S7815" s="508">
        <v>2.286</v>
      </c>
      <c r="T7815" s="508">
        <v>1.9550000000000001</v>
      </c>
      <c r="U7815" s="508">
        <v>1.52</v>
      </c>
      <c r="V7815" s="508">
        <v>1.4179999999999999</v>
      </c>
      <c r="W7815" s="508">
        <v>1.3280000000000001</v>
      </c>
      <c r="X7815" s="508">
        <v>1.2649999999999999</v>
      </c>
      <c r="Y7815" s="508">
        <v>0.90200000000000002</v>
      </c>
      <c r="Z7815" s="508">
        <v>0.85499999999999998</v>
      </c>
      <c r="AA7815" s="508">
        <v>0.82799999999999996</v>
      </c>
      <c r="AB7815" s="508">
        <v>0.27600000000000002</v>
      </c>
      <c r="AC7815" s="508">
        <v>0.25900000000000001</v>
      </c>
      <c r="AD7815" s="508">
        <v>0.11600000000000001</v>
      </c>
      <c r="AE7815" s="508">
        <v>0.108</v>
      </c>
      <c r="AF7815" s="508">
        <v>9.7000000000000003E-2</v>
      </c>
      <c r="AG7815" s="508">
        <v>9.4E-2</v>
      </c>
      <c r="AH7815" s="508">
        <v>9.4E-2</v>
      </c>
      <c r="AI7815" s="492">
        <v>9.4E-2</v>
      </c>
      <c r="AJ7815" s="485"/>
    </row>
    <row r="7816" spans="2:36">
      <c r="B7816" s="136" t="s">
        <v>478</v>
      </c>
      <c r="C7816" s="132" t="s">
        <v>1376</v>
      </c>
      <c r="D7816" s="132" t="s">
        <v>1381</v>
      </c>
      <c r="E7816" s="508">
        <v>11.702</v>
      </c>
      <c r="F7816" s="508">
        <v>7.2130000000000001</v>
      </c>
      <c r="G7816" s="508">
        <v>6.4880000000000004</v>
      </c>
      <c r="H7816" s="508">
        <v>6.0529999999999999</v>
      </c>
      <c r="I7816" s="508">
        <v>5.3920000000000003</v>
      </c>
      <c r="J7816" s="508">
        <v>4.4809999999999999</v>
      </c>
      <c r="K7816" s="508">
        <v>4.2969999999999997</v>
      </c>
      <c r="L7816" s="508">
        <v>4.1470000000000002</v>
      </c>
      <c r="M7816" s="508">
        <v>3.7090000000000001</v>
      </c>
      <c r="N7816" s="508">
        <v>3.6669999999999998</v>
      </c>
      <c r="O7816" s="508">
        <v>3.504</v>
      </c>
      <c r="P7816" s="508">
        <v>3.6059999999999999</v>
      </c>
      <c r="Q7816" s="508">
        <v>3.57</v>
      </c>
      <c r="R7816" s="508">
        <v>2.3940000000000001</v>
      </c>
      <c r="S7816" s="508">
        <v>2.327</v>
      </c>
      <c r="T7816" s="508">
        <v>1.9910000000000001</v>
      </c>
      <c r="U7816" s="508">
        <v>1.641</v>
      </c>
      <c r="V7816" s="508">
        <v>1.532</v>
      </c>
      <c r="W7816" s="508">
        <v>1.4350000000000001</v>
      </c>
      <c r="X7816" s="508">
        <v>1.367</v>
      </c>
      <c r="Y7816" s="508">
        <v>0.97499999999999998</v>
      </c>
      <c r="Z7816" s="508">
        <v>0.92600000000000005</v>
      </c>
      <c r="AA7816" s="508">
        <v>0.89700000000000002</v>
      </c>
      <c r="AB7816" s="508">
        <v>0.29799999999999999</v>
      </c>
      <c r="AC7816" s="508">
        <v>0.28000000000000003</v>
      </c>
      <c r="AD7816" s="508">
        <v>0.125</v>
      </c>
      <c r="AE7816" s="508">
        <v>0.11600000000000001</v>
      </c>
      <c r="AF7816" s="508">
        <v>0.104</v>
      </c>
      <c r="AG7816" s="508">
        <v>0.10100000000000001</v>
      </c>
      <c r="AH7816" s="508">
        <v>0.10100000000000001</v>
      </c>
      <c r="AI7816" s="492">
        <v>0.10100000000000001</v>
      </c>
      <c r="AJ7816" s="485"/>
    </row>
    <row r="7817" spans="2:36">
      <c r="B7817" s="136" t="s">
        <v>479</v>
      </c>
      <c r="C7817" s="132" t="s">
        <v>1376</v>
      </c>
      <c r="D7817" s="132" t="s">
        <v>1381</v>
      </c>
      <c r="E7817" s="508">
        <v>9.7479999999999993</v>
      </c>
      <c r="F7817" s="508">
        <v>6.5350000000000001</v>
      </c>
      <c r="G7817" s="508">
        <v>5.9119999999999999</v>
      </c>
      <c r="H7817" s="508">
        <v>5.5350000000000001</v>
      </c>
      <c r="I7817" s="508">
        <v>4.9400000000000004</v>
      </c>
      <c r="J7817" s="508">
        <v>4.0940000000000003</v>
      </c>
      <c r="K7817" s="508">
        <v>3.9420000000000002</v>
      </c>
      <c r="L7817" s="508">
        <v>3.8180000000000001</v>
      </c>
      <c r="M7817" s="508">
        <v>3.419</v>
      </c>
      <c r="N7817" s="508">
        <v>3.3919999999999999</v>
      </c>
      <c r="O7817" s="508">
        <v>3.2490000000000001</v>
      </c>
      <c r="P7817" s="508">
        <v>3.3490000000000002</v>
      </c>
      <c r="Q7817" s="508">
        <v>3.323</v>
      </c>
      <c r="R7817" s="508">
        <v>2.137</v>
      </c>
      <c r="S7817" s="508">
        <v>2.08</v>
      </c>
      <c r="T7817" s="508">
        <v>1.78</v>
      </c>
      <c r="U7817" s="508">
        <v>1.3859999999999999</v>
      </c>
      <c r="V7817" s="508">
        <v>1.296</v>
      </c>
      <c r="W7817" s="508">
        <v>1.2170000000000001</v>
      </c>
      <c r="X7817" s="508">
        <v>1.1619999999999999</v>
      </c>
      <c r="Y7817" s="508">
        <v>0.82099999999999995</v>
      </c>
      <c r="Z7817" s="508">
        <v>0.79600000000000004</v>
      </c>
      <c r="AA7817" s="508">
        <v>0.77200000000000002</v>
      </c>
      <c r="AB7817" s="508">
        <v>0.249</v>
      </c>
      <c r="AC7817" s="508">
        <v>0.23400000000000001</v>
      </c>
      <c r="AD7817" s="508">
        <v>0.10100000000000001</v>
      </c>
      <c r="AE7817" s="508">
        <v>9.5000000000000001E-2</v>
      </c>
      <c r="AF7817" s="508">
        <v>8.5999999999999993E-2</v>
      </c>
      <c r="AG7817" s="508">
        <v>8.5000000000000006E-2</v>
      </c>
      <c r="AH7817" s="508">
        <v>8.5000000000000006E-2</v>
      </c>
      <c r="AI7817" s="492">
        <v>8.5000000000000006E-2</v>
      </c>
      <c r="AJ7817" s="485"/>
    </row>
    <row r="7818" spans="2:36">
      <c r="B7818" s="136" t="s">
        <v>480</v>
      </c>
      <c r="C7818" s="132" t="s">
        <v>1376</v>
      </c>
      <c r="D7818" s="132" t="s">
        <v>1381</v>
      </c>
      <c r="E7818" s="508">
        <v>10.6</v>
      </c>
      <c r="F7818" s="508">
        <v>6.375</v>
      </c>
      <c r="G7818" s="508">
        <v>5.7069999999999999</v>
      </c>
      <c r="H7818" s="508">
        <v>5.3090000000000002</v>
      </c>
      <c r="I7818" s="508">
        <v>4.7229999999999999</v>
      </c>
      <c r="J7818" s="508">
        <v>4.0549999999999997</v>
      </c>
      <c r="K7818" s="508">
        <v>3.879</v>
      </c>
      <c r="L7818" s="508">
        <v>3.7360000000000002</v>
      </c>
      <c r="M7818" s="508">
        <v>3.3530000000000002</v>
      </c>
      <c r="N7818" s="508">
        <v>3.3069999999999999</v>
      </c>
      <c r="O7818" s="508">
        <v>3.16</v>
      </c>
      <c r="P7818" s="508">
        <v>3.25</v>
      </c>
      <c r="Q7818" s="508">
        <v>3.214</v>
      </c>
      <c r="R7818" s="508">
        <v>2.0790000000000002</v>
      </c>
      <c r="S7818" s="508">
        <v>2.0169999999999999</v>
      </c>
      <c r="T7818" s="508">
        <v>1.7170000000000001</v>
      </c>
      <c r="U7818" s="508">
        <v>1.262</v>
      </c>
      <c r="V7818" s="508">
        <v>1.1739999999999999</v>
      </c>
      <c r="W7818" s="508">
        <v>1.097</v>
      </c>
      <c r="X7818" s="508">
        <v>1.042</v>
      </c>
      <c r="Y7818" s="508">
        <v>0.74399999999999999</v>
      </c>
      <c r="Z7818" s="508">
        <v>0.69599999999999995</v>
      </c>
      <c r="AA7818" s="508">
        <v>0.67300000000000004</v>
      </c>
      <c r="AB7818" s="508">
        <v>0.23300000000000001</v>
      </c>
      <c r="AC7818" s="508">
        <v>0.219</v>
      </c>
      <c r="AD7818" s="508">
        <v>0.105</v>
      </c>
      <c r="AE7818" s="508">
        <v>9.5000000000000001E-2</v>
      </c>
      <c r="AF7818" s="508">
        <v>8.4000000000000005E-2</v>
      </c>
      <c r="AG7818" s="508">
        <v>8.1000000000000003E-2</v>
      </c>
      <c r="AH7818" s="508">
        <v>8.1000000000000003E-2</v>
      </c>
      <c r="AI7818" s="492">
        <v>8.1000000000000003E-2</v>
      </c>
      <c r="AJ7818" s="485"/>
    </row>
    <row r="7819" spans="2:36">
      <c r="B7819" s="136" t="s">
        <v>481</v>
      </c>
      <c r="C7819" s="132" t="s">
        <v>1376</v>
      </c>
      <c r="D7819" s="132" t="s">
        <v>1381</v>
      </c>
      <c r="E7819" s="508">
        <v>10.505000000000001</v>
      </c>
      <c r="F7819" s="508">
        <v>6.82</v>
      </c>
      <c r="G7819" s="508">
        <v>6.157</v>
      </c>
      <c r="H7819" s="508">
        <v>5.7569999999999997</v>
      </c>
      <c r="I7819" s="508">
        <v>5.1349999999999998</v>
      </c>
      <c r="J7819" s="508">
        <v>4.2640000000000002</v>
      </c>
      <c r="K7819" s="508">
        <v>4.0999999999999996</v>
      </c>
      <c r="L7819" s="508">
        <v>3.9660000000000002</v>
      </c>
      <c r="M7819" s="508">
        <v>3.55</v>
      </c>
      <c r="N7819" s="508">
        <v>3.5179999999999998</v>
      </c>
      <c r="O7819" s="508">
        <v>3.3660000000000001</v>
      </c>
      <c r="P7819" s="508">
        <v>3.468</v>
      </c>
      <c r="Q7819" s="508">
        <v>3.4390000000000001</v>
      </c>
      <c r="R7819" s="508">
        <v>2.2400000000000002</v>
      </c>
      <c r="S7819" s="508">
        <v>2.1789999999999998</v>
      </c>
      <c r="T7819" s="508">
        <v>1.8640000000000001</v>
      </c>
      <c r="U7819" s="508">
        <v>1.413</v>
      </c>
      <c r="V7819" s="508">
        <v>1.32</v>
      </c>
      <c r="W7819" s="508">
        <v>1.238</v>
      </c>
      <c r="X7819" s="508">
        <v>1.181</v>
      </c>
      <c r="Y7819" s="508">
        <v>0.83299999999999996</v>
      </c>
      <c r="Z7819" s="508">
        <v>0.80100000000000005</v>
      </c>
      <c r="AA7819" s="508">
        <v>0.77600000000000002</v>
      </c>
      <c r="AB7819" s="508">
        <v>0.253</v>
      </c>
      <c r="AC7819" s="508">
        <v>0.23699999999999999</v>
      </c>
      <c r="AD7819" s="508">
        <v>0.104</v>
      </c>
      <c r="AE7819" s="508">
        <v>9.7000000000000003E-2</v>
      </c>
      <c r="AF7819" s="508">
        <v>8.7999999999999995E-2</v>
      </c>
      <c r="AG7819" s="508">
        <v>8.5999999999999993E-2</v>
      </c>
      <c r="AH7819" s="508">
        <v>8.5999999999999993E-2</v>
      </c>
      <c r="AI7819" s="492">
        <v>8.5999999999999993E-2</v>
      </c>
      <c r="AJ7819" s="485"/>
    </row>
    <row r="7820" spans="2:36">
      <c r="B7820" s="136" t="s">
        <v>482</v>
      </c>
      <c r="C7820" s="132" t="s">
        <v>1376</v>
      </c>
      <c r="D7820" s="132" t="s">
        <v>1381</v>
      </c>
      <c r="E7820" s="508">
        <v>9.4090000000000007</v>
      </c>
      <c r="F7820" s="508">
        <v>6.4980000000000002</v>
      </c>
      <c r="G7820" s="508">
        <v>5.8819999999999997</v>
      </c>
      <c r="H7820" s="508">
        <v>5.5069999999999997</v>
      </c>
      <c r="I7820" s="508">
        <v>4.91</v>
      </c>
      <c r="J7820" s="508">
        <v>4.0549999999999997</v>
      </c>
      <c r="K7820" s="508">
        <v>3.907</v>
      </c>
      <c r="L7820" s="508">
        <v>3.786</v>
      </c>
      <c r="M7820" s="508">
        <v>3.3839999999999999</v>
      </c>
      <c r="N7820" s="508">
        <v>3.359</v>
      </c>
      <c r="O7820" s="508">
        <v>3.2160000000000002</v>
      </c>
      <c r="P7820" s="508">
        <v>3.3149999999999999</v>
      </c>
      <c r="Q7820" s="508">
        <v>3.2909999999999999</v>
      </c>
      <c r="R7820" s="508">
        <v>2.13</v>
      </c>
      <c r="S7820" s="508">
        <v>2.0739999999999998</v>
      </c>
      <c r="T7820" s="508">
        <v>1.774</v>
      </c>
      <c r="U7820" s="508">
        <v>1.4550000000000001</v>
      </c>
      <c r="V7820" s="508">
        <v>1.361</v>
      </c>
      <c r="W7820" s="508">
        <v>1.278</v>
      </c>
      <c r="X7820" s="508">
        <v>1.22</v>
      </c>
      <c r="Y7820" s="508">
        <v>0.85699999999999998</v>
      </c>
      <c r="Z7820" s="508">
        <v>0.83599999999999997</v>
      </c>
      <c r="AA7820" s="508">
        <v>0.81</v>
      </c>
      <c r="AB7820" s="508">
        <v>0.25900000000000001</v>
      </c>
      <c r="AC7820" s="508">
        <v>0.24299999999999999</v>
      </c>
      <c r="AD7820" s="508">
        <v>0.104</v>
      </c>
      <c r="AE7820" s="508">
        <v>9.8000000000000004E-2</v>
      </c>
      <c r="AF7820" s="508">
        <v>8.8999999999999996E-2</v>
      </c>
      <c r="AG7820" s="508">
        <v>8.7999999999999995E-2</v>
      </c>
      <c r="AH7820" s="508">
        <v>8.7999999999999995E-2</v>
      </c>
      <c r="AI7820" s="492">
        <v>8.7999999999999995E-2</v>
      </c>
      <c r="AJ7820" s="485"/>
    </row>
    <row r="7821" spans="2:36">
      <c r="B7821" s="136" t="s">
        <v>483</v>
      </c>
      <c r="C7821" s="132" t="s">
        <v>1376</v>
      </c>
      <c r="D7821" s="132" t="s">
        <v>1381</v>
      </c>
      <c r="E7821" s="508">
        <v>12.16</v>
      </c>
      <c r="F7821" s="508">
        <v>7.4390000000000001</v>
      </c>
      <c r="G7821" s="508">
        <v>6.6849999999999996</v>
      </c>
      <c r="H7821" s="508">
        <v>6.2329999999999997</v>
      </c>
      <c r="I7821" s="508">
        <v>5.5529999999999999</v>
      </c>
      <c r="J7821" s="508">
        <v>4.6289999999999996</v>
      </c>
      <c r="K7821" s="508">
        <v>4.4359999999999999</v>
      </c>
      <c r="L7821" s="508">
        <v>4.2779999999999996</v>
      </c>
      <c r="M7821" s="508">
        <v>3.8290000000000002</v>
      </c>
      <c r="N7821" s="508">
        <v>3.782</v>
      </c>
      <c r="O7821" s="508">
        <v>3.6139999999999999</v>
      </c>
      <c r="P7821" s="508">
        <v>3.7189999999999999</v>
      </c>
      <c r="Q7821" s="508">
        <v>3.68</v>
      </c>
      <c r="R7821" s="508">
        <v>2.468</v>
      </c>
      <c r="S7821" s="508">
        <v>2.399</v>
      </c>
      <c r="T7821" s="508">
        <v>2.052</v>
      </c>
      <c r="U7821" s="508">
        <v>1.589</v>
      </c>
      <c r="V7821" s="508">
        <v>1.4810000000000001</v>
      </c>
      <c r="W7821" s="508">
        <v>1.3859999999999999</v>
      </c>
      <c r="X7821" s="508">
        <v>1.319</v>
      </c>
      <c r="Y7821" s="508">
        <v>0.93700000000000006</v>
      </c>
      <c r="Z7821" s="508">
        <v>0.88300000000000001</v>
      </c>
      <c r="AA7821" s="508">
        <v>0.85499999999999998</v>
      </c>
      <c r="AB7821" s="508">
        <v>0.28699999999999998</v>
      </c>
      <c r="AC7821" s="508">
        <v>0.26900000000000002</v>
      </c>
      <c r="AD7821" s="508">
        <v>0.122</v>
      </c>
      <c r="AE7821" s="508">
        <v>0.113</v>
      </c>
      <c r="AF7821" s="508">
        <v>0.10100000000000001</v>
      </c>
      <c r="AG7821" s="508">
        <v>9.8000000000000004E-2</v>
      </c>
      <c r="AH7821" s="508">
        <v>9.8000000000000004E-2</v>
      </c>
      <c r="AI7821" s="492">
        <v>9.8000000000000004E-2</v>
      </c>
      <c r="AJ7821" s="485"/>
    </row>
    <row r="7822" spans="2:36">
      <c r="B7822" s="136" t="s">
        <v>484</v>
      </c>
      <c r="C7822" s="132" t="s">
        <v>1376</v>
      </c>
      <c r="D7822" s="132" t="s">
        <v>1381</v>
      </c>
      <c r="E7822" s="508">
        <v>10.94</v>
      </c>
      <c r="F7822" s="508">
        <v>6.5259999999999998</v>
      </c>
      <c r="G7822" s="508">
        <v>5.84</v>
      </c>
      <c r="H7822" s="508">
        <v>5.43</v>
      </c>
      <c r="I7822" s="508">
        <v>4.8280000000000003</v>
      </c>
      <c r="J7822" s="508">
        <v>4.141</v>
      </c>
      <c r="K7822" s="508">
        <v>3.96</v>
      </c>
      <c r="L7822" s="508">
        <v>3.8130000000000002</v>
      </c>
      <c r="M7822" s="508">
        <v>3.419</v>
      </c>
      <c r="N7822" s="508">
        <v>3.371</v>
      </c>
      <c r="O7822" s="508">
        <v>3.22</v>
      </c>
      <c r="P7822" s="508">
        <v>3.3119999999999998</v>
      </c>
      <c r="Q7822" s="508">
        <v>3.274</v>
      </c>
      <c r="R7822" s="508">
        <v>2.1339999999999999</v>
      </c>
      <c r="S7822" s="508">
        <v>2.0710000000000002</v>
      </c>
      <c r="T7822" s="508">
        <v>1.7629999999999999</v>
      </c>
      <c r="U7822" s="508">
        <v>1.343</v>
      </c>
      <c r="V7822" s="508">
        <v>1.248</v>
      </c>
      <c r="W7822" s="508">
        <v>1.165</v>
      </c>
      <c r="X7822" s="508">
        <v>1.1060000000000001</v>
      </c>
      <c r="Y7822" s="508">
        <v>0.78500000000000003</v>
      </c>
      <c r="Z7822" s="508">
        <v>0.73299999999999998</v>
      </c>
      <c r="AA7822" s="508">
        <v>0.70799999999999996</v>
      </c>
      <c r="AB7822" s="508">
        <v>0.246</v>
      </c>
      <c r="AC7822" s="508">
        <v>0.23100000000000001</v>
      </c>
      <c r="AD7822" s="508">
        <v>0.111</v>
      </c>
      <c r="AE7822" s="508">
        <v>0.10100000000000001</v>
      </c>
      <c r="AF7822" s="508">
        <v>8.8999999999999996E-2</v>
      </c>
      <c r="AG7822" s="508">
        <v>8.5000000000000006E-2</v>
      </c>
      <c r="AH7822" s="508">
        <v>8.5000000000000006E-2</v>
      </c>
      <c r="AI7822" s="492">
        <v>8.5000000000000006E-2</v>
      </c>
      <c r="AJ7822" s="485"/>
    </row>
    <row r="7823" spans="2:36">
      <c r="B7823" s="136" t="s">
        <v>486</v>
      </c>
      <c r="C7823" s="132" t="s">
        <v>1376</v>
      </c>
      <c r="D7823" s="132" t="s">
        <v>1381</v>
      </c>
      <c r="E7823" s="508">
        <v>10.519</v>
      </c>
      <c r="F7823" s="508">
        <v>6.7320000000000002</v>
      </c>
      <c r="G7823" s="508">
        <v>6.0720000000000001</v>
      </c>
      <c r="H7823" s="508">
        <v>5.6740000000000004</v>
      </c>
      <c r="I7823" s="508">
        <v>5.0579999999999998</v>
      </c>
      <c r="J7823" s="508">
        <v>4.2069999999999999</v>
      </c>
      <c r="K7823" s="508">
        <v>4.0430000000000001</v>
      </c>
      <c r="L7823" s="508">
        <v>3.9089999999999998</v>
      </c>
      <c r="M7823" s="508">
        <v>3.4990000000000001</v>
      </c>
      <c r="N7823" s="508">
        <v>3.4649999999999999</v>
      </c>
      <c r="O7823" s="508">
        <v>3.3140000000000001</v>
      </c>
      <c r="P7823" s="508">
        <v>3.4140000000000001</v>
      </c>
      <c r="Q7823" s="508">
        <v>3.3839999999999999</v>
      </c>
      <c r="R7823" s="508">
        <v>2.214</v>
      </c>
      <c r="S7823" s="508">
        <v>2.153</v>
      </c>
      <c r="T7823" s="508">
        <v>1.8420000000000001</v>
      </c>
      <c r="U7823" s="508">
        <v>1.476</v>
      </c>
      <c r="V7823" s="508">
        <v>1.379</v>
      </c>
      <c r="W7823" s="508">
        <v>1.294</v>
      </c>
      <c r="X7823" s="508">
        <v>1.234</v>
      </c>
      <c r="Y7823" s="508">
        <v>0.877</v>
      </c>
      <c r="Z7823" s="508">
        <v>0.84099999999999997</v>
      </c>
      <c r="AA7823" s="508">
        <v>0.81499999999999995</v>
      </c>
      <c r="AB7823" s="508">
        <v>0.26700000000000002</v>
      </c>
      <c r="AC7823" s="508">
        <v>0.25</v>
      </c>
      <c r="AD7823" s="508">
        <v>0.11</v>
      </c>
      <c r="AE7823" s="508">
        <v>0.10299999999999999</v>
      </c>
      <c r="AF7823" s="508">
        <v>9.2999999999999999E-2</v>
      </c>
      <c r="AG7823" s="508">
        <v>9.0999999999999998E-2</v>
      </c>
      <c r="AH7823" s="508">
        <v>9.0999999999999998E-2</v>
      </c>
      <c r="AI7823" s="492">
        <v>9.0999999999999998E-2</v>
      </c>
      <c r="AJ7823" s="485"/>
    </row>
    <row r="7824" spans="2:36">
      <c r="B7824" s="136" t="s">
        <v>487</v>
      </c>
      <c r="C7824" s="132" t="s">
        <v>1376</v>
      </c>
      <c r="D7824" s="132" t="s">
        <v>1381</v>
      </c>
      <c r="E7824" s="508">
        <v>11.308999999999999</v>
      </c>
      <c r="F7824" s="508">
        <v>6.8529999999999998</v>
      </c>
      <c r="G7824" s="508">
        <v>6.173</v>
      </c>
      <c r="H7824" s="508">
        <v>5.7629999999999999</v>
      </c>
      <c r="I7824" s="508">
        <v>5.1360000000000001</v>
      </c>
      <c r="J7824" s="508">
        <v>4.2859999999999996</v>
      </c>
      <c r="K7824" s="508">
        <v>4.1150000000000002</v>
      </c>
      <c r="L7824" s="508">
        <v>3.9750000000000001</v>
      </c>
      <c r="M7824" s="508">
        <v>3.5590000000000002</v>
      </c>
      <c r="N7824" s="508">
        <v>3.5209999999999999</v>
      </c>
      <c r="O7824" s="508">
        <v>3.367</v>
      </c>
      <c r="P7824" s="508">
        <v>3.4670000000000001</v>
      </c>
      <c r="Q7824" s="508">
        <v>3.4350000000000001</v>
      </c>
      <c r="R7824" s="508">
        <v>2.2559999999999998</v>
      </c>
      <c r="S7824" s="508">
        <v>2.1930000000000001</v>
      </c>
      <c r="T7824" s="508">
        <v>1.875</v>
      </c>
      <c r="U7824" s="508">
        <v>1.448</v>
      </c>
      <c r="V7824" s="508">
        <v>1.35</v>
      </c>
      <c r="W7824" s="508">
        <v>1.2629999999999999</v>
      </c>
      <c r="X7824" s="508">
        <v>1.202</v>
      </c>
      <c r="Y7824" s="508">
        <v>0.84599999999999997</v>
      </c>
      <c r="Z7824" s="508">
        <v>0.80300000000000005</v>
      </c>
      <c r="AA7824" s="508">
        <v>0.77800000000000002</v>
      </c>
      <c r="AB7824" s="508">
        <v>0.25700000000000001</v>
      </c>
      <c r="AC7824" s="508">
        <v>0.24099999999999999</v>
      </c>
      <c r="AD7824" s="508">
        <v>0.108</v>
      </c>
      <c r="AE7824" s="508">
        <v>0.10100000000000001</v>
      </c>
      <c r="AF7824" s="508">
        <v>9.0999999999999998E-2</v>
      </c>
      <c r="AG7824" s="508">
        <v>8.7999999999999995E-2</v>
      </c>
      <c r="AH7824" s="508">
        <v>8.7999999999999995E-2</v>
      </c>
      <c r="AI7824" s="492">
        <v>8.7999999999999995E-2</v>
      </c>
      <c r="AJ7824" s="485"/>
    </row>
    <row r="7825" spans="2:36">
      <c r="B7825" s="136" t="s">
        <v>488</v>
      </c>
      <c r="C7825" s="132" t="s">
        <v>1376</v>
      </c>
      <c r="D7825" s="132" t="s">
        <v>1381</v>
      </c>
      <c r="E7825" s="508">
        <v>10.351000000000001</v>
      </c>
      <c r="F7825" s="508">
        <v>6.4189999999999996</v>
      </c>
      <c r="G7825" s="508">
        <v>5.774</v>
      </c>
      <c r="H7825" s="508">
        <v>5.3860000000000001</v>
      </c>
      <c r="I7825" s="508">
        <v>4.7949999999999999</v>
      </c>
      <c r="J7825" s="508">
        <v>4.0529999999999999</v>
      </c>
      <c r="K7825" s="508">
        <v>3.89</v>
      </c>
      <c r="L7825" s="508">
        <v>3.7570000000000001</v>
      </c>
      <c r="M7825" s="508">
        <v>3.3650000000000002</v>
      </c>
      <c r="N7825" s="508">
        <v>3.3290000000000002</v>
      </c>
      <c r="O7825" s="508">
        <v>3.1829999999999998</v>
      </c>
      <c r="P7825" s="508">
        <v>3.2770000000000001</v>
      </c>
      <c r="Q7825" s="508">
        <v>3.246</v>
      </c>
      <c r="R7825" s="508">
        <v>2.0960000000000001</v>
      </c>
      <c r="S7825" s="508">
        <v>2.036</v>
      </c>
      <c r="T7825" s="508">
        <v>1.736</v>
      </c>
      <c r="U7825" s="508">
        <v>1.29</v>
      </c>
      <c r="V7825" s="508">
        <v>1.202</v>
      </c>
      <c r="W7825" s="508">
        <v>1.1240000000000001</v>
      </c>
      <c r="X7825" s="508">
        <v>1.069</v>
      </c>
      <c r="Y7825" s="508">
        <v>0.749</v>
      </c>
      <c r="Z7825" s="508">
        <v>0.71099999999999997</v>
      </c>
      <c r="AA7825" s="508">
        <v>0.68700000000000006</v>
      </c>
      <c r="AB7825" s="508">
        <v>0.22900000000000001</v>
      </c>
      <c r="AC7825" s="508">
        <v>0.214</v>
      </c>
      <c r="AD7825" s="508">
        <v>9.8000000000000004E-2</v>
      </c>
      <c r="AE7825" s="508">
        <v>9.0999999999999998E-2</v>
      </c>
      <c r="AF7825" s="508">
        <v>8.1000000000000003E-2</v>
      </c>
      <c r="AG7825" s="508">
        <v>7.9000000000000001E-2</v>
      </c>
      <c r="AH7825" s="508">
        <v>7.9000000000000001E-2</v>
      </c>
      <c r="AI7825" s="492">
        <v>7.9000000000000001E-2</v>
      </c>
      <c r="AJ7825" s="485"/>
    </row>
    <row r="7826" spans="2:36">
      <c r="B7826" s="136" t="s">
        <v>489</v>
      </c>
      <c r="C7826" s="132" t="s">
        <v>1376</v>
      </c>
      <c r="D7826" s="132" t="s">
        <v>1381</v>
      </c>
      <c r="E7826" s="508">
        <v>11.516</v>
      </c>
      <c r="F7826" s="508">
        <v>6.92</v>
      </c>
      <c r="G7826" s="508">
        <v>6.1950000000000003</v>
      </c>
      <c r="H7826" s="508">
        <v>5.7619999999999996</v>
      </c>
      <c r="I7826" s="508">
        <v>5.1230000000000002</v>
      </c>
      <c r="J7826" s="508">
        <v>4.3529999999999998</v>
      </c>
      <c r="K7826" s="508">
        <v>4.1630000000000003</v>
      </c>
      <c r="L7826" s="508">
        <v>4.008</v>
      </c>
      <c r="M7826" s="508">
        <v>3.59</v>
      </c>
      <c r="N7826" s="508">
        <v>3.5390000000000001</v>
      </c>
      <c r="O7826" s="508">
        <v>3.379</v>
      </c>
      <c r="P7826" s="508">
        <v>3.4750000000000001</v>
      </c>
      <c r="Q7826" s="508">
        <v>3.4359999999999999</v>
      </c>
      <c r="R7826" s="508">
        <v>2.2810000000000001</v>
      </c>
      <c r="S7826" s="508">
        <v>2.214</v>
      </c>
      <c r="T7826" s="508">
        <v>1.887</v>
      </c>
      <c r="U7826" s="508">
        <v>1.4159999999999999</v>
      </c>
      <c r="V7826" s="508">
        <v>1.319</v>
      </c>
      <c r="W7826" s="508">
        <v>1.2330000000000001</v>
      </c>
      <c r="X7826" s="508">
        <v>1.173</v>
      </c>
      <c r="Y7826" s="508">
        <v>0.84099999999999997</v>
      </c>
      <c r="Z7826" s="508">
        <v>0.78900000000000003</v>
      </c>
      <c r="AA7826" s="508">
        <v>0.76400000000000001</v>
      </c>
      <c r="AB7826" s="508">
        <v>0.26300000000000001</v>
      </c>
      <c r="AC7826" s="508">
        <v>0.246</v>
      </c>
      <c r="AD7826" s="508">
        <v>0.11600000000000001</v>
      </c>
      <c r="AE7826" s="508">
        <v>0.106</v>
      </c>
      <c r="AF7826" s="508">
        <v>9.4E-2</v>
      </c>
      <c r="AG7826" s="508">
        <v>0.09</v>
      </c>
      <c r="AH7826" s="508">
        <v>0.09</v>
      </c>
      <c r="AI7826" s="492">
        <v>0.09</v>
      </c>
      <c r="AJ7826" s="485"/>
    </row>
    <row r="7827" spans="2:36">
      <c r="B7827" s="136" t="s">
        <v>490</v>
      </c>
      <c r="C7827" s="132" t="s">
        <v>1376</v>
      </c>
      <c r="D7827" s="132" t="s">
        <v>1381</v>
      </c>
      <c r="E7827" s="508">
        <v>10.427</v>
      </c>
      <c r="F7827" s="508">
        <v>6.202</v>
      </c>
      <c r="G7827" s="508">
        <v>5.5549999999999997</v>
      </c>
      <c r="H7827" s="508">
        <v>5.1710000000000003</v>
      </c>
      <c r="I7827" s="508">
        <v>4.6050000000000004</v>
      </c>
      <c r="J7827" s="508">
        <v>3.9460000000000002</v>
      </c>
      <c r="K7827" s="508">
        <v>3.7749999999999999</v>
      </c>
      <c r="L7827" s="508">
        <v>3.637</v>
      </c>
      <c r="M7827" s="508">
        <v>3.2669999999999999</v>
      </c>
      <c r="N7827" s="508">
        <v>3.222</v>
      </c>
      <c r="O7827" s="508">
        <v>3.08</v>
      </c>
      <c r="P7827" s="508">
        <v>3.1680000000000001</v>
      </c>
      <c r="Q7827" s="508">
        <v>3.1339999999999999</v>
      </c>
      <c r="R7827" s="508">
        <v>2.0219999999999998</v>
      </c>
      <c r="S7827" s="508">
        <v>1.962</v>
      </c>
      <c r="T7827" s="508">
        <v>1.6719999999999999</v>
      </c>
      <c r="U7827" s="508">
        <v>1.276</v>
      </c>
      <c r="V7827" s="508">
        <v>1.1839999999999999</v>
      </c>
      <c r="W7827" s="508">
        <v>1.105</v>
      </c>
      <c r="X7827" s="508">
        <v>1.048</v>
      </c>
      <c r="Y7827" s="508">
        <v>0.74199999999999999</v>
      </c>
      <c r="Z7827" s="508">
        <v>0.68899999999999995</v>
      </c>
      <c r="AA7827" s="508">
        <v>0.66500000000000004</v>
      </c>
      <c r="AB7827" s="508">
        <v>0.23200000000000001</v>
      </c>
      <c r="AC7827" s="508">
        <v>0.217</v>
      </c>
      <c r="AD7827" s="508">
        <v>0.105</v>
      </c>
      <c r="AE7827" s="508">
        <v>9.5000000000000001E-2</v>
      </c>
      <c r="AF7827" s="508">
        <v>8.4000000000000005E-2</v>
      </c>
      <c r="AG7827" s="508">
        <v>8.1000000000000003E-2</v>
      </c>
      <c r="AH7827" s="508">
        <v>8.1000000000000003E-2</v>
      </c>
      <c r="AI7827" s="492">
        <v>8.1000000000000003E-2</v>
      </c>
      <c r="AJ7827" s="485"/>
    </row>
    <row r="7828" spans="2:36">
      <c r="B7828" s="136" t="s">
        <v>435</v>
      </c>
      <c r="C7828" s="132" t="s">
        <v>1377</v>
      </c>
      <c r="D7828" s="132" t="s">
        <v>1381</v>
      </c>
      <c r="E7828" s="508"/>
      <c r="F7828" s="508"/>
      <c r="G7828" s="508"/>
      <c r="H7828" s="508"/>
      <c r="I7828" s="508"/>
      <c r="J7828" s="508">
        <v>2.8370000000000002</v>
      </c>
      <c r="K7828" s="508">
        <v>2.8370000000000002</v>
      </c>
      <c r="L7828" s="508">
        <v>2.8370000000000002</v>
      </c>
      <c r="M7828" s="508">
        <v>2.8370000000000002</v>
      </c>
      <c r="N7828" s="508">
        <v>2.8370000000000002</v>
      </c>
      <c r="O7828" s="508">
        <v>2.8370000000000002</v>
      </c>
      <c r="P7828" s="508">
        <v>2.8370000000000002</v>
      </c>
      <c r="Q7828" s="508">
        <v>2.8370000000000002</v>
      </c>
      <c r="R7828" s="508">
        <v>2.8370000000000002</v>
      </c>
      <c r="S7828" s="508">
        <v>2.8359999999999999</v>
      </c>
      <c r="T7828" s="508">
        <v>2.8359999999999999</v>
      </c>
      <c r="U7828" s="508">
        <v>2.8359999999999999</v>
      </c>
      <c r="V7828" s="508">
        <v>0.745</v>
      </c>
      <c r="W7828" s="508">
        <v>0.745</v>
      </c>
      <c r="X7828" s="508">
        <v>0.42</v>
      </c>
      <c r="Y7828" s="508">
        <v>0.42</v>
      </c>
      <c r="Z7828" s="508">
        <v>0.42</v>
      </c>
      <c r="AA7828" s="508">
        <v>0.158</v>
      </c>
      <c r="AB7828" s="508">
        <v>0.158</v>
      </c>
      <c r="AC7828" s="508">
        <v>0.158</v>
      </c>
      <c r="AD7828" s="508">
        <v>5.8000000000000003E-2</v>
      </c>
      <c r="AE7828" s="508">
        <v>5.8000000000000003E-2</v>
      </c>
      <c r="AF7828" s="508">
        <v>5.8000000000000003E-2</v>
      </c>
      <c r="AG7828" s="508">
        <v>5.8000000000000003E-2</v>
      </c>
      <c r="AH7828" s="508">
        <v>5.8000000000000003E-2</v>
      </c>
      <c r="AI7828" s="492">
        <v>5.8000000000000003E-2</v>
      </c>
      <c r="AJ7828" s="485"/>
    </row>
    <row r="7829" spans="2:36">
      <c r="B7829" s="136" t="s">
        <v>436</v>
      </c>
      <c r="C7829" s="132" t="s">
        <v>1377</v>
      </c>
      <c r="D7829" s="132" t="s">
        <v>1381</v>
      </c>
      <c r="E7829" s="508"/>
      <c r="F7829" s="508"/>
      <c r="G7829" s="508"/>
      <c r="H7829" s="508"/>
      <c r="I7829" s="508"/>
      <c r="J7829" s="508">
        <v>2.8239999999999998</v>
      </c>
      <c r="K7829" s="508">
        <v>2.8239999999999998</v>
      </c>
      <c r="L7829" s="508">
        <v>2.823</v>
      </c>
      <c r="M7829" s="508">
        <v>2.823</v>
      </c>
      <c r="N7829" s="508">
        <v>2.823</v>
      </c>
      <c r="O7829" s="508">
        <v>2.823</v>
      </c>
      <c r="P7829" s="508">
        <v>2.823</v>
      </c>
      <c r="Q7829" s="508">
        <v>2.8220000000000001</v>
      </c>
      <c r="R7829" s="508">
        <v>2.8220000000000001</v>
      </c>
      <c r="S7829" s="508">
        <v>2.8220000000000001</v>
      </c>
      <c r="T7829" s="508">
        <v>2.8220000000000001</v>
      </c>
      <c r="U7829" s="508">
        <v>2.8220000000000001</v>
      </c>
      <c r="V7829" s="508">
        <v>0.70599999999999996</v>
      </c>
      <c r="W7829" s="508">
        <v>0.70599999999999996</v>
      </c>
      <c r="X7829" s="508">
        <v>0.39800000000000002</v>
      </c>
      <c r="Y7829" s="508">
        <v>0.39800000000000002</v>
      </c>
      <c r="Z7829" s="508">
        <v>0.39800000000000002</v>
      </c>
      <c r="AA7829" s="508">
        <v>0.15</v>
      </c>
      <c r="AB7829" s="508">
        <v>0.15</v>
      </c>
      <c r="AC7829" s="508">
        <v>0.15</v>
      </c>
      <c r="AD7829" s="508">
        <v>5.7000000000000002E-2</v>
      </c>
      <c r="AE7829" s="508">
        <v>5.7000000000000002E-2</v>
      </c>
      <c r="AF7829" s="508">
        <v>5.7000000000000002E-2</v>
      </c>
      <c r="AG7829" s="508">
        <v>5.7000000000000002E-2</v>
      </c>
      <c r="AH7829" s="508">
        <v>5.6000000000000001E-2</v>
      </c>
      <c r="AI7829" s="492">
        <v>5.6000000000000001E-2</v>
      </c>
      <c r="AJ7829" s="485"/>
    </row>
    <row r="7830" spans="2:36">
      <c r="B7830" s="136" t="s">
        <v>437</v>
      </c>
      <c r="C7830" s="132" t="s">
        <v>1377</v>
      </c>
      <c r="D7830" s="132" t="s">
        <v>1381</v>
      </c>
      <c r="E7830" s="508"/>
      <c r="F7830" s="508"/>
      <c r="G7830" s="508"/>
      <c r="H7830" s="508"/>
      <c r="I7830" s="508"/>
      <c r="J7830" s="508">
        <v>2.927</v>
      </c>
      <c r="K7830" s="508">
        <v>2.927</v>
      </c>
      <c r="L7830" s="508">
        <v>2.927</v>
      </c>
      <c r="M7830" s="508">
        <v>2.927</v>
      </c>
      <c r="N7830" s="508">
        <v>2.927</v>
      </c>
      <c r="O7830" s="508">
        <v>2.927</v>
      </c>
      <c r="P7830" s="508">
        <v>2.927</v>
      </c>
      <c r="Q7830" s="508">
        <v>2.927</v>
      </c>
      <c r="R7830" s="508">
        <v>2.927</v>
      </c>
      <c r="S7830" s="508">
        <v>2.927</v>
      </c>
      <c r="T7830" s="508">
        <v>2.927</v>
      </c>
      <c r="U7830" s="508">
        <v>2.927</v>
      </c>
      <c r="V7830" s="508">
        <v>0.78</v>
      </c>
      <c r="W7830" s="508">
        <v>0.78</v>
      </c>
      <c r="X7830" s="508">
        <v>0.439</v>
      </c>
      <c r="Y7830" s="508">
        <v>0.439</v>
      </c>
      <c r="Z7830" s="508">
        <v>0.439</v>
      </c>
      <c r="AA7830" s="508">
        <v>0.16500000000000001</v>
      </c>
      <c r="AB7830" s="508">
        <v>0.16500000000000001</v>
      </c>
      <c r="AC7830" s="508">
        <v>0.16500000000000001</v>
      </c>
      <c r="AD7830" s="508">
        <v>6.0999999999999999E-2</v>
      </c>
      <c r="AE7830" s="508">
        <v>6.0999999999999999E-2</v>
      </c>
      <c r="AF7830" s="508">
        <v>6.0999999999999999E-2</v>
      </c>
      <c r="AG7830" s="508">
        <v>6.0999999999999999E-2</v>
      </c>
      <c r="AH7830" s="508">
        <v>0.06</v>
      </c>
      <c r="AI7830" s="492">
        <v>0.06</v>
      </c>
      <c r="AJ7830" s="485"/>
    </row>
    <row r="7831" spans="2:36">
      <c r="B7831" s="136" t="s">
        <v>438</v>
      </c>
      <c r="C7831" s="132" t="s">
        <v>1377</v>
      </c>
      <c r="D7831" s="132" t="s">
        <v>1381</v>
      </c>
      <c r="E7831" s="508"/>
      <c r="F7831" s="508"/>
      <c r="G7831" s="508"/>
      <c r="H7831" s="508"/>
      <c r="I7831" s="508"/>
      <c r="J7831" s="508">
        <v>2.7730000000000001</v>
      </c>
      <c r="K7831" s="508">
        <v>2.7730000000000001</v>
      </c>
      <c r="L7831" s="508">
        <v>2.7730000000000001</v>
      </c>
      <c r="M7831" s="508">
        <v>2.7730000000000001</v>
      </c>
      <c r="N7831" s="508">
        <v>2.7719999999999998</v>
      </c>
      <c r="O7831" s="508">
        <v>2.7719999999999998</v>
      </c>
      <c r="P7831" s="508">
        <v>2.7719999999999998</v>
      </c>
      <c r="Q7831" s="508">
        <v>2.7719999999999998</v>
      </c>
      <c r="R7831" s="508">
        <v>2.7719999999999998</v>
      </c>
      <c r="S7831" s="508">
        <v>2.7719999999999998</v>
      </c>
      <c r="T7831" s="508">
        <v>2.7719999999999998</v>
      </c>
      <c r="U7831" s="508">
        <v>2.7719999999999998</v>
      </c>
      <c r="V7831" s="508">
        <v>0.67300000000000004</v>
      </c>
      <c r="W7831" s="508">
        <v>0.67300000000000004</v>
      </c>
      <c r="X7831" s="508">
        <v>0.379</v>
      </c>
      <c r="Y7831" s="508">
        <v>0.379</v>
      </c>
      <c r="Z7831" s="508">
        <v>0.379</v>
      </c>
      <c r="AA7831" s="508">
        <v>0.14199999999999999</v>
      </c>
      <c r="AB7831" s="508">
        <v>0.14199999999999999</v>
      </c>
      <c r="AC7831" s="508">
        <v>0.14199999999999999</v>
      </c>
      <c r="AD7831" s="508">
        <v>5.3999999999999999E-2</v>
      </c>
      <c r="AE7831" s="508">
        <v>5.3999999999999999E-2</v>
      </c>
      <c r="AF7831" s="508">
        <v>5.3999999999999999E-2</v>
      </c>
      <c r="AG7831" s="508">
        <v>5.3999999999999999E-2</v>
      </c>
      <c r="AH7831" s="508">
        <v>5.3999999999999999E-2</v>
      </c>
      <c r="AI7831" s="492">
        <v>5.3999999999999999E-2</v>
      </c>
      <c r="AJ7831" s="485"/>
    </row>
    <row r="7832" spans="2:36">
      <c r="B7832" s="136" t="s">
        <v>439</v>
      </c>
      <c r="C7832" s="132" t="s">
        <v>1377</v>
      </c>
      <c r="D7832" s="132" t="s">
        <v>1381</v>
      </c>
      <c r="E7832" s="508"/>
      <c r="F7832" s="508"/>
      <c r="G7832" s="508"/>
      <c r="H7832" s="508"/>
      <c r="I7832" s="508"/>
      <c r="J7832" s="508">
        <v>2.9340000000000002</v>
      </c>
      <c r="K7832" s="508">
        <v>2.9329999999999998</v>
      </c>
      <c r="L7832" s="508">
        <v>2.9329999999999998</v>
      </c>
      <c r="M7832" s="508">
        <v>2.9329999999999998</v>
      </c>
      <c r="N7832" s="508">
        <v>2.9329999999999998</v>
      </c>
      <c r="O7832" s="508">
        <v>2.9329999999999998</v>
      </c>
      <c r="P7832" s="508">
        <v>2.9329999999999998</v>
      </c>
      <c r="Q7832" s="508">
        <v>2.9329999999999998</v>
      </c>
      <c r="R7832" s="508">
        <v>2.9329999999999998</v>
      </c>
      <c r="S7832" s="508">
        <v>2.9329999999999998</v>
      </c>
      <c r="T7832" s="508">
        <v>2.9329999999999998</v>
      </c>
      <c r="U7832" s="508">
        <v>2.9329999999999998</v>
      </c>
      <c r="V7832" s="508">
        <v>0.77200000000000002</v>
      </c>
      <c r="W7832" s="508">
        <v>0.77200000000000002</v>
      </c>
      <c r="X7832" s="508">
        <v>0.435</v>
      </c>
      <c r="Y7832" s="508">
        <v>0.435</v>
      </c>
      <c r="Z7832" s="508">
        <v>0.435</v>
      </c>
      <c r="AA7832" s="508">
        <v>0.16300000000000001</v>
      </c>
      <c r="AB7832" s="508">
        <v>0.16300000000000001</v>
      </c>
      <c r="AC7832" s="508">
        <v>0.16300000000000001</v>
      </c>
      <c r="AD7832" s="508">
        <v>0.06</v>
      </c>
      <c r="AE7832" s="508">
        <v>0.06</v>
      </c>
      <c r="AF7832" s="508">
        <v>0.06</v>
      </c>
      <c r="AG7832" s="508">
        <v>0.06</v>
      </c>
      <c r="AH7832" s="508">
        <v>0.06</v>
      </c>
      <c r="AI7832" s="492">
        <v>0.06</v>
      </c>
      <c r="AJ7832" s="485"/>
    </row>
    <row r="7833" spans="2:36">
      <c r="B7833" s="136" t="s">
        <v>440</v>
      </c>
      <c r="C7833" s="132" t="s">
        <v>1377</v>
      </c>
      <c r="D7833" s="132" t="s">
        <v>1381</v>
      </c>
      <c r="E7833" s="508"/>
      <c r="F7833" s="508"/>
      <c r="G7833" s="508"/>
      <c r="H7833" s="508"/>
      <c r="I7833" s="508"/>
      <c r="J7833" s="508">
        <v>2.887</v>
      </c>
      <c r="K7833" s="508">
        <v>2.887</v>
      </c>
      <c r="L7833" s="508">
        <v>2.887</v>
      </c>
      <c r="M7833" s="508">
        <v>2.887</v>
      </c>
      <c r="N7833" s="508">
        <v>2.887</v>
      </c>
      <c r="O7833" s="508">
        <v>2.887</v>
      </c>
      <c r="P7833" s="508">
        <v>2.8860000000000001</v>
      </c>
      <c r="Q7833" s="508">
        <v>2.8860000000000001</v>
      </c>
      <c r="R7833" s="508">
        <v>2.8860000000000001</v>
      </c>
      <c r="S7833" s="508">
        <v>2.8860000000000001</v>
      </c>
      <c r="T7833" s="508">
        <v>2.8860000000000001</v>
      </c>
      <c r="U7833" s="508">
        <v>2.8860000000000001</v>
      </c>
      <c r="V7833" s="508">
        <v>0.749</v>
      </c>
      <c r="W7833" s="508">
        <v>0.749</v>
      </c>
      <c r="X7833" s="508">
        <v>0.42199999999999999</v>
      </c>
      <c r="Y7833" s="508">
        <v>0.42199999999999999</v>
      </c>
      <c r="Z7833" s="508">
        <v>0.42199999999999999</v>
      </c>
      <c r="AA7833" s="508">
        <v>0.159</v>
      </c>
      <c r="AB7833" s="508">
        <v>0.159</v>
      </c>
      <c r="AC7833" s="508">
        <v>0.159</v>
      </c>
      <c r="AD7833" s="508">
        <v>5.8999999999999997E-2</v>
      </c>
      <c r="AE7833" s="508">
        <v>5.8999999999999997E-2</v>
      </c>
      <c r="AF7833" s="508">
        <v>5.8999999999999997E-2</v>
      </c>
      <c r="AG7833" s="508">
        <v>5.8999999999999997E-2</v>
      </c>
      <c r="AH7833" s="508">
        <v>5.8999999999999997E-2</v>
      </c>
      <c r="AI7833" s="492">
        <v>5.8999999999999997E-2</v>
      </c>
      <c r="AJ7833" s="485"/>
    </row>
    <row r="7834" spans="2:36">
      <c r="B7834" s="136" t="s">
        <v>441</v>
      </c>
      <c r="C7834" s="132" t="s">
        <v>1377</v>
      </c>
      <c r="D7834" s="132" t="s">
        <v>1381</v>
      </c>
      <c r="E7834" s="508"/>
      <c r="F7834" s="508"/>
      <c r="G7834" s="508"/>
      <c r="H7834" s="508"/>
      <c r="I7834" s="508"/>
      <c r="J7834" s="508">
        <v>2.948</v>
      </c>
      <c r="K7834" s="508">
        <v>2.948</v>
      </c>
      <c r="L7834" s="508">
        <v>2.9470000000000001</v>
      </c>
      <c r="M7834" s="508">
        <v>2.9470000000000001</v>
      </c>
      <c r="N7834" s="508">
        <v>2.9470000000000001</v>
      </c>
      <c r="O7834" s="508">
        <v>2.9470000000000001</v>
      </c>
      <c r="P7834" s="508">
        <v>2.9470000000000001</v>
      </c>
      <c r="Q7834" s="508">
        <v>2.9470000000000001</v>
      </c>
      <c r="R7834" s="508">
        <v>2.9470000000000001</v>
      </c>
      <c r="S7834" s="508">
        <v>2.9470000000000001</v>
      </c>
      <c r="T7834" s="508">
        <v>2.9470000000000001</v>
      </c>
      <c r="U7834" s="508">
        <v>2.9460000000000002</v>
      </c>
      <c r="V7834" s="508">
        <v>0.77600000000000002</v>
      </c>
      <c r="W7834" s="508">
        <v>0.77500000000000002</v>
      </c>
      <c r="X7834" s="508">
        <v>0.437</v>
      </c>
      <c r="Y7834" s="508">
        <v>0.437</v>
      </c>
      <c r="Z7834" s="508">
        <v>0.437</v>
      </c>
      <c r="AA7834" s="508">
        <v>0.16400000000000001</v>
      </c>
      <c r="AB7834" s="508">
        <v>0.16400000000000001</v>
      </c>
      <c r="AC7834" s="508">
        <v>0.16400000000000001</v>
      </c>
      <c r="AD7834" s="508">
        <v>6.0999999999999999E-2</v>
      </c>
      <c r="AE7834" s="508">
        <v>6.0999999999999999E-2</v>
      </c>
      <c r="AF7834" s="508">
        <v>6.0999999999999999E-2</v>
      </c>
      <c r="AG7834" s="508">
        <v>6.0999999999999999E-2</v>
      </c>
      <c r="AH7834" s="508">
        <v>6.0999999999999999E-2</v>
      </c>
      <c r="AI7834" s="492">
        <v>6.0999999999999999E-2</v>
      </c>
      <c r="AJ7834" s="485"/>
    </row>
    <row r="7835" spans="2:36">
      <c r="B7835" s="136" t="s">
        <v>443</v>
      </c>
      <c r="C7835" s="132" t="s">
        <v>1377</v>
      </c>
      <c r="D7835" s="132" t="s">
        <v>1381</v>
      </c>
      <c r="E7835" s="508"/>
      <c r="F7835" s="508"/>
      <c r="G7835" s="508"/>
      <c r="H7835" s="508"/>
      <c r="I7835" s="508"/>
      <c r="J7835" s="508">
        <v>2.9039999999999999</v>
      </c>
      <c r="K7835" s="508">
        <v>2.9039999999999999</v>
      </c>
      <c r="L7835" s="508">
        <v>2.9039999999999999</v>
      </c>
      <c r="M7835" s="508">
        <v>2.9039999999999999</v>
      </c>
      <c r="N7835" s="508">
        <v>2.9039999999999999</v>
      </c>
      <c r="O7835" s="508">
        <v>2.9039999999999999</v>
      </c>
      <c r="P7835" s="508">
        <v>2.9039999999999999</v>
      </c>
      <c r="Q7835" s="508">
        <v>2.903</v>
      </c>
      <c r="R7835" s="508">
        <v>2.903</v>
      </c>
      <c r="S7835" s="508">
        <v>2.903</v>
      </c>
      <c r="T7835" s="508">
        <v>2.903</v>
      </c>
      <c r="U7835" s="508">
        <v>2.903</v>
      </c>
      <c r="V7835" s="508">
        <v>0.81399999999999995</v>
      </c>
      <c r="W7835" s="508">
        <v>0.81399999999999995</v>
      </c>
      <c r="X7835" s="508">
        <v>0.45900000000000002</v>
      </c>
      <c r="Y7835" s="508">
        <v>0.45900000000000002</v>
      </c>
      <c r="Z7835" s="508">
        <v>0.45900000000000002</v>
      </c>
      <c r="AA7835" s="508">
        <v>0.17199999999999999</v>
      </c>
      <c r="AB7835" s="508">
        <v>0.17199999999999999</v>
      </c>
      <c r="AC7835" s="508">
        <v>0.17199999999999999</v>
      </c>
      <c r="AD7835" s="508">
        <v>6.3E-2</v>
      </c>
      <c r="AE7835" s="508">
        <v>6.3E-2</v>
      </c>
      <c r="AF7835" s="508">
        <v>6.3E-2</v>
      </c>
      <c r="AG7835" s="508">
        <v>6.3E-2</v>
      </c>
      <c r="AH7835" s="508">
        <v>6.3E-2</v>
      </c>
      <c r="AI7835" s="492">
        <v>6.3E-2</v>
      </c>
      <c r="AJ7835" s="485"/>
    </row>
    <row r="7836" spans="2:36">
      <c r="B7836" s="136" t="s">
        <v>445</v>
      </c>
      <c r="C7836" s="132" t="s">
        <v>1377</v>
      </c>
      <c r="D7836" s="132" t="s">
        <v>1381</v>
      </c>
      <c r="E7836" s="508"/>
      <c r="F7836" s="508"/>
      <c r="G7836" s="508"/>
      <c r="H7836" s="508"/>
      <c r="I7836" s="508"/>
      <c r="J7836" s="508">
        <v>3.1360000000000001</v>
      </c>
      <c r="K7836" s="508">
        <v>3.1360000000000001</v>
      </c>
      <c r="L7836" s="508">
        <v>3.1360000000000001</v>
      </c>
      <c r="M7836" s="508">
        <v>3.1360000000000001</v>
      </c>
      <c r="N7836" s="508">
        <v>3.1360000000000001</v>
      </c>
      <c r="O7836" s="508">
        <v>3.1360000000000001</v>
      </c>
      <c r="P7836" s="508">
        <v>3.1360000000000001</v>
      </c>
      <c r="Q7836" s="508">
        <v>3.1360000000000001</v>
      </c>
      <c r="R7836" s="508">
        <v>3.1360000000000001</v>
      </c>
      <c r="S7836" s="508">
        <v>3.1349999999999998</v>
      </c>
      <c r="T7836" s="508">
        <v>3.1349999999999998</v>
      </c>
      <c r="U7836" s="508">
        <v>3.1349999999999998</v>
      </c>
      <c r="V7836" s="508">
        <v>0.97</v>
      </c>
      <c r="W7836" s="508">
        <v>0.97</v>
      </c>
      <c r="X7836" s="508">
        <v>0.54700000000000004</v>
      </c>
      <c r="Y7836" s="508">
        <v>0.54700000000000004</v>
      </c>
      <c r="Z7836" s="508">
        <v>0.54600000000000004</v>
      </c>
      <c r="AA7836" s="508">
        <v>0.20499999999999999</v>
      </c>
      <c r="AB7836" s="508">
        <v>0.20499999999999999</v>
      </c>
      <c r="AC7836" s="508">
        <v>0.20499999999999999</v>
      </c>
      <c r="AD7836" s="508">
        <v>7.2999999999999995E-2</v>
      </c>
      <c r="AE7836" s="508">
        <v>7.2999999999999995E-2</v>
      </c>
      <c r="AF7836" s="508">
        <v>7.2999999999999995E-2</v>
      </c>
      <c r="AG7836" s="508">
        <v>7.2999999999999995E-2</v>
      </c>
      <c r="AH7836" s="508">
        <v>7.2999999999999995E-2</v>
      </c>
      <c r="AI7836" s="492">
        <v>7.2999999999999995E-2</v>
      </c>
      <c r="AJ7836" s="485"/>
    </row>
    <row r="7837" spans="2:36">
      <c r="B7837" s="136" t="s">
        <v>446</v>
      </c>
      <c r="C7837" s="132" t="s">
        <v>1377</v>
      </c>
      <c r="D7837" s="132" t="s">
        <v>1381</v>
      </c>
      <c r="E7837" s="508"/>
      <c r="F7837" s="508"/>
      <c r="G7837" s="508"/>
      <c r="H7837" s="508"/>
      <c r="I7837" s="508"/>
      <c r="J7837" s="508">
        <v>3.016</v>
      </c>
      <c r="K7837" s="508">
        <v>3.016</v>
      </c>
      <c r="L7837" s="508">
        <v>3.016</v>
      </c>
      <c r="M7837" s="508">
        <v>3.016</v>
      </c>
      <c r="N7837" s="508">
        <v>3.016</v>
      </c>
      <c r="O7837" s="508">
        <v>3.016</v>
      </c>
      <c r="P7837" s="508">
        <v>3.016</v>
      </c>
      <c r="Q7837" s="508">
        <v>3.016</v>
      </c>
      <c r="R7837" s="508">
        <v>3.0150000000000001</v>
      </c>
      <c r="S7837" s="508">
        <v>3.0150000000000001</v>
      </c>
      <c r="T7837" s="508">
        <v>3.0150000000000001</v>
      </c>
      <c r="U7837" s="508">
        <v>3.0150000000000001</v>
      </c>
      <c r="V7837" s="508">
        <v>0.874</v>
      </c>
      <c r="W7837" s="508">
        <v>0.874</v>
      </c>
      <c r="X7837" s="508">
        <v>0.49299999999999999</v>
      </c>
      <c r="Y7837" s="508">
        <v>0.49299999999999999</v>
      </c>
      <c r="Z7837" s="508">
        <v>0.49299999999999999</v>
      </c>
      <c r="AA7837" s="508">
        <v>0.185</v>
      </c>
      <c r="AB7837" s="508">
        <v>0.185</v>
      </c>
      <c r="AC7837" s="508">
        <v>0.185</v>
      </c>
      <c r="AD7837" s="508">
        <v>6.6000000000000003E-2</v>
      </c>
      <c r="AE7837" s="508">
        <v>6.6000000000000003E-2</v>
      </c>
      <c r="AF7837" s="508">
        <v>6.6000000000000003E-2</v>
      </c>
      <c r="AG7837" s="508">
        <v>6.6000000000000003E-2</v>
      </c>
      <c r="AH7837" s="508">
        <v>6.6000000000000003E-2</v>
      </c>
      <c r="AI7837" s="492">
        <v>6.6000000000000003E-2</v>
      </c>
      <c r="AJ7837" s="485"/>
    </row>
    <row r="7838" spans="2:36">
      <c r="B7838" s="136" t="s">
        <v>448</v>
      </c>
      <c r="C7838" s="132" t="s">
        <v>1377</v>
      </c>
      <c r="D7838" s="132" t="s">
        <v>1381</v>
      </c>
      <c r="E7838" s="508"/>
      <c r="F7838" s="508"/>
      <c r="G7838" s="508"/>
      <c r="H7838" s="508"/>
      <c r="I7838" s="508"/>
      <c r="J7838" s="508">
        <v>2.8119999999999998</v>
      </c>
      <c r="K7838" s="508">
        <v>2.8119999999999998</v>
      </c>
      <c r="L7838" s="508">
        <v>2.8119999999999998</v>
      </c>
      <c r="M7838" s="508">
        <v>2.8119999999999998</v>
      </c>
      <c r="N7838" s="508">
        <v>2.8119999999999998</v>
      </c>
      <c r="O7838" s="508">
        <v>2.8119999999999998</v>
      </c>
      <c r="P7838" s="508">
        <v>2.8119999999999998</v>
      </c>
      <c r="Q7838" s="508">
        <v>2.8119999999999998</v>
      </c>
      <c r="R7838" s="508">
        <v>2.8119999999999998</v>
      </c>
      <c r="S7838" s="508">
        <v>2.8119999999999998</v>
      </c>
      <c r="T7838" s="508">
        <v>2.8119999999999998</v>
      </c>
      <c r="U7838" s="508">
        <v>2.8119999999999998</v>
      </c>
      <c r="V7838" s="508">
        <v>0.70499999999999996</v>
      </c>
      <c r="W7838" s="508">
        <v>0.70499999999999996</v>
      </c>
      <c r="X7838" s="508">
        <v>0.39700000000000002</v>
      </c>
      <c r="Y7838" s="508">
        <v>0.39700000000000002</v>
      </c>
      <c r="Z7838" s="508">
        <v>0.39700000000000002</v>
      </c>
      <c r="AA7838" s="508">
        <v>0.14899999999999999</v>
      </c>
      <c r="AB7838" s="508">
        <v>0.14899999999999999</v>
      </c>
      <c r="AC7838" s="508">
        <v>0.14899999999999999</v>
      </c>
      <c r="AD7838" s="508">
        <v>5.6000000000000001E-2</v>
      </c>
      <c r="AE7838" s="508">
        <v>5.6000000000000001E-2</v>
      </c>
      <c r="AF7838" s="508">
        <v>5.6000000000000001E-2</v>
      </c>
      <c r="AG7838" s="508">
        <v>5.6000000000000001E-2</v>
      </c>
      <c r="AH7838" s="508">
        <v>5.6000000000000001E-2</v>
      </c>
      <c r="AI7838" s="492">
        <v>5.6000000000000001E-2</v>
      </c>
      <c r="AJ7838" s="485"/>
    </row>
    <row r="7839" spans="2:36">
      <c r="B7839" s="136" t="s">
        <v>449</v>
      </c>
      <c r="C7839" s="132" t="s">
        <v>1377</v>
      </c>
      <c r="D7839" s="132" t="s">
        <v>1381</v>
      </c>
      <c r="E7839" s="508"/>
      <c r="F7839" s="508"/>
      <c r="G7839" s="508"/>
      <c r="H7839" s="508"/>
      <c r="I7839" s="508"/>
      <c r="J7839" s="508">
        <v>2.9460000000000002</v>
      </c>
      <c r="K7839" s="508">
        <v>2.9460000000000002</v>
      </c>
      <c r="L7839" s="508">
        <v>2.9460000000000002</v>
      </c>
      <c r="M7839" s="508">
        <v>2.9460000000000002</v>
      </c>
      <c r="N7839" s="508">
        <v>2.9460000000000002</v>
      </c>
      <c r="O7839" s="508">
        <v>2.9460000000000002</v>
      </c>
      <c r="P7839" s="508">
        <v>2.9460000000000002</v>
      </c>
      <c r="Q7839" s="508">
        <v>2.9460000000000002</v>
      </c>
      <c r="R7839" s="508">
        <v>2.9460000000000002</v>
      </c>
      <c r="S7839" s="508">
        <v>2.9460000000000002</v>
      </c>
      <c r="T7839" s="508">
        <v>2.9460000000000002</v>
      </c>
      <c r="U7839" s="508">
        <v>2.9460000000000002</v>
      </c>
      <c r="V7839" s="508">
        <v>0.83199999999999996</v>
      </c>
      <c r="W7839" s="508">
        <v>0.83199999999999996</v>
      </c>
      <c r="X7839" s="508">
        <v>0.46899999999999997</v>
      </c>
      <c r="Y7839" s="508">
        <v>0.46899999999999997</v>
      </c>
      <c r="Z7839" s="508">
        <v>0.46899999999999997</v>
      </c>
      <c r="AA7839" s="508">
        <v>0.17599999999999999</v>
      </c>
      <c r="AB7839" s="508">
        <v>0.17599999999999999</v>
      </c>
      <c r="AC7839" s="508">
        <v>0.17599999999999999</v>
      </c>
      <c r="AD7839" s="508">
        <v>6.4000000000000001E-2</v>
      </c>
      <c r="AE7839" s="508">
        <v>6.4000000000000001E-2</v>
      </c>
      <c r="AF7839" s="508">
        <v>6.4000000000000001E-2</v>
      </c>
      <c r="AG7839" s="508">
        <v>6.4000000000000001E-2</v>
      </c>
      <c r="AH7839" s="508">
        <v>6.3E-2</v>
      </c>
      <c r="AI7839" s="492">
        <v>6.3E-2</v>
      </c>
      <c r="AJ7839" s="485"/>
    </row>
    <row r="7840" spans="2:36">
      <c r="B7840" s="136" t="s">
        <v>450</v>
      </c>
      <c r="C7840" s="132" t="s">
        <v>1377</v>
      </c>
      <c r="D7840" s="132" t="s">
        <v>1381</v>
      </c>
      <c r="E7840" s="508"/>
      <c r="F7840" s="508"/>
      <c r="G7840" s="508"/>
      <c r="H7840" s="508"/>
      <c r="I7840" s="508"/>
      <c r="J7840" s="508">
        <v>2.798</v>
      </c>
      <c r="K7840" s="508">
        <v>2.798</v>
      </c>
      <c r="L7840" s="508">
        <v>2.798</v>
      </c>
      <c r="M7840" s="508">
        <v>2.7970000000000002</v>
      </c>
      <c r="N7840" s="508">
        <v>2.7970000000000002</v>
      </c>
      <c r="O7840" s="508">
        <v>2.7970000000000002</v>
      </c>
      <c r="P7840" s="508">
        <v>2.7970000000000002</v>
      </c>
      <c r="Q7840" s="508">
        <v>2.7970000000000002</v>
      </c>
      <c r="R7840" s="508">
        <v>2.7970000000000002</v>
      </c>
      <c r="S7840" s="508">
        <v>2.7970000000000002</v>
      </c>
      <c r="T7840" s="508">
        <v>2.7970000000000002</v>
      </c>
      <c r="U7840" s="508">
        <v>2.7970000000000002</v>
      </c>
      <c r="V7840" s="508">
        <v>0.70399999999999996</v>
      </c>
      <c r="W7840" s="508">
        <v>0.70399999999999996</v>
      </c>
      <c r="X7840" s="508">
        <v>0.39700000000000002</v>
      </c>
      <c r="Y7840" s="508">
        <v>0.39700000000000002</v>
      </c>
      <c r="Z7840" s="508">
        <v>0.39700000000000002</v>
      </c>
      <c r="AA7840" s="508">
        <v>0.14899999999999999</v>
      </c>
      <c r="AB7840" s="508">
        <v>0.14899999999999999</v>
      </c>
      <c r="AC7840" s="508">
        <v>0.14899999999999999</v>
      </c>
      <c r="AD7840" s="508">
        <v>5.6000000000000001E-2</v>
      </c>
      <c r="AE7840" s="508">
        <v>5.6000000000000001E-2</v>
      </c>
      <c r="AF7840" s="508">
        <v>5.6000000000000001E-2</v>
      </c>
      <c r="AG7840" s="508">
        <v>5.6000000000000001E-2</v>
      </c>
      <c r="AH7840" s="508">
        <v>5.6000000000000001E-2</v>
      </c>
      <c r="AI7840" s="492">
        <v>5.6000000000000001E-2</v>
      </c>
      <c r="AJ7840" s="485"/>
    </row>
    <row r="7841" spans="2:36">
      <c r="B7841" s="136" t="s">
        <v>451</v>
      </c>
      <c r="C7841" s="132" t="s">
        <v>1377</v>
      </c>
      <c r="D7841" s="132" t="s">
        <v>1381</v>
      </c>
      <c r="E7841" s="508"/>
      <c r="F7841" s="508"/>
      <c r="G7841" s="508"/>
      <c r="H7841" s="508"/>
      <c r="I7841" s="508"/>
      <c r="J7841" s="508">
        <v>3.0640000000000001</v>
      </c>
      <c r="K7841" s="508">
        <v>3.0640000000000001</v>
      </c>
      <c r="L7841" s="508">
        <v>3.0640000000000001</v>
      </c>
      <c r="M7841" s="508">
        <v>3.0630000000000002</v>
      </c>
      <c r="N7841" s="508">
        <v>3.0630000000000002</v>
      </c>
      <c r="O7841" s="508">
        <v>3.0630000000000002</v>
      </c>
      <c r="P7841" s="508">
        <v>3.0630000000000002</v>
      </c>
      <c r="Q7841" s="508">
        <v>3.0630000000000002</v>
      </c>
      <c r="R7841" s="508">
        <v>3.0630000000000002</v>
      </c>
      <c r="S7841" s="508">
        <v>3.0630000000000002</v>
      </c>
      <c r="T7841" s="508">
        <v>3.0619999999999998</v>
      </c>
      <c r="U7841" s="508">
        <v>3.0619999999999998</v>
      </c>
      <c r="V7841" s="508">
        <v>0.89500000000000002</v>
      </c>
      <c r="W7841" s="508">
        <v>0.89500000000000002</v>
      </c>
      <c r="X7841" s="508">
        <v>0.504</v>
      </c>
      <c r="Y7841" s="508">
        <v>0.504</v>
      </c>
      <c r="Z7841" s="508">
        <v>0.504</v>
      </c>
      <c r="AA7841" s="508">
        <v>0.19</v>
      </c>
      <c r="AB7841" s="508">
        <v>0.19</v>
      </c>
      <c r="AC7841" s="508">
        <v>0.19</v>
      </c>
      <c r="AD7841" s="508">
        <v>6.8000000000000005E-2</v>
      </c>
      <c r="AE7841" s="508">
        <v>6.8000000000000005E-2</v>
      </c>
      <c r="AF7841" s="508">
        <v>6.8000000000000005E-2</v>
      </c>
      <c r="AG7841" s="508">
        <v>6.8000000000000005E-2</v>
      </c>
      <c r="AH7841" s="508">
        <v>6.8000000000000005E-2</v>
      </c>
      <c r="AI7841" s="492">
        <v>6.8000000000000005E-2</v>
      </c>
      <c r="AJ7841" s="485"/>
    </row>
    <row r="7842" spans="2:36">
      <c r="B7842" s="136" t="s">
        <v>452</v>
      </c>
      <c r="C7842" s="132" t="s">
        <v>1377</v>
      </c>
      <c r="D7842" s="132" t="s">
        <v>1381</v>
      </c>
      <c r="E7842" s="508"/>
      <c r="F7842" s="508"/>
      <c r="G7842" s="508"/>
      <c r="H7842" s="508"/>
      <c r="I7842" s="508"/>
      <c r="J7842" s="508">
        <v>2.8959999999999999</v>
      </c>
      <c r="K7842" s="508">
        <v>2.8959999999999999</v>
      </c>
      <c r="L7842" s="508">
        <v>2.8959999999999999</v>
      </c>
      <c r="M7842" s="508">
        <v>2.8959999999999999</v>
      </c>
      <c r="N7842" s="508">
        <v>2.895</v>
      </c>
      <c r="O7842" s="508">
        <v>2.895</v>
      </c>
      <c r="P7842" s="508">
        <v>2.895</v>
      </c>
      <c r="Q7842" s="508">
        <v>2.895</v>
      </c>
      <c r="R7842" s="508">
        <v>2.895</v>
      </c>
      <c r="S7842" s="508">
        <v>2.895</v>
      </c>
      <c r="T7842" s="508">
        <v>2.895</v>
      </c>
      <c r="U7842" s="508">
        <v>2.895</v>
      </c>
      <c r="V7842" s="508">
        <v>0.78300000000000003</v>
      </c>
      <c r="W7842" s="508">
        <v>0.78300000000000003</v>
      </c>
      <c r="X7842" s="508">
        <v>0.441</v>
      </c>
      <c r="Y7842" s="508">
        <v>0.441</v>
      </c>
      <c r="Z7842" s="508">
        <v>0.441</v>
      </c>
      <c r="AA7842" s="508">
        <v>0.16600000000000001</v>
      </c>
      <c r="AB7842" s="508">
        <v>0.16600000000000001</v>
      </c>
      <c r="AC7842" s="508">
        <v>0.16600000000000001</v>
      </c>
      <c r="AD7842" s="508">
        <v>6.0999999999999999E-2</v>
      </c>
      <c r="AE7842" s="508">
        <v>6.0999999999999999E-2</v>
      </c>
      <c r="AF7842" s="508">
        <v>6.0999999999999999E-2</v>
      </c>
      <c r="AG7842" s="508">
        <v>6.0999999999999999E-2</v>
      </c>
      <c r="AH7842" s="508">
        <v>6.0999999999999999E-2</v>
      </c>
      <c r="AI7842" s="492">
        <v>6.0999999999999999E-2</v>
      </c>
      <c r="AJ7842" s="485"/>
    </row>
    <row r="7843" spans="2:36">
      <c r="B7843" s="136" t="s">
        <v>453</v>
      </c>
      <c r="C7843" s="132" t="s">
        <v>1377</v>
      </c>
      <c r="D7843" s="132" t="s">
        <v>1381</v>
      </c>
      <c r="E7843" s="508"/>
      <c r="F7843" s="508"/>
      <c r="G7843" s="508"/>
      <c r="H7843" s="508"/>
      <c r="I7843" s="508"/>
      <c r="J7843" s="508">
        <v>2.7709999999999999</v>
      </c>
      <c r="K7843" s="508">
        <v>2.7709999999999999</v>
      </c>
      <c r="L7843" s="508">
        <v>2.7709999999999999</v>
      </c>
      <c r="M7843" s="508">
        <v>2.7709999999999999</v>
      </c>
      <c r="N7843" s="508">
        <v>2.7709999999999999</v>
      </c>
      <c r="O7843" s="508">
        <v>2.7709999999999999</v>
      </c>
      <c r="P7843" s="508">
        <v>2.7709999999999999</v>
      </c>
      <c r="Q7843" s="508">
        <v>2.7709999999999999</v>
      </c>
      <c r="R7843" s="508">
        <v>2.77</v>
      </c>
      <c r="S7843" s="508">
        <v>2.77</v>
      </c>
      <c r="T7843" s="508">
        <v>2.77</v>
      </c>
      <c r="U7843" s="508">
        <v>2.77</v>
      </c>
      <c r="V7843" s="508">
        <v>0.68400000000000005</v>
      </c>
      <c r="W7843" s="508">
        <v>0.68400000000000005</v>
      </c>
      <c r="X7843" s="508">
        <v>0.38500000000000001</v>
      </c>
      <c r="Y7843" s="508">
        <v>0.38500000000000001</v>
      </c>
      <c r="Z7843" s="508">
        <v>0.38500000000000001</v>
      </c>
      <c r="AA7843" s="508">
        <v>0.14499999999999999</v>
      </c>
      <c r="AB7843" s="508">
        <v>0.14499999999999999</v>
      </c>
      <c r="AC7843" s="508">
        <v>0.14499999999999999</v>
      </c>
      <c r="AD7843" s="508">
        <v>5.5E-2</v>
      </c>
      <c r="AE7843" s="508">
        <v>5.5E-2</v>
      </c>
      <c r="AF7843" s="508">
        <v>5.5E-2</v>
      </c>
      <c r="AG7843" s="508">
        <v>5.5E-2</v>
      </c>
      <c r="AH7843" s="508">
        <v>5.5E-2</v>
      </c>
      <c r="AI7843" s="492">
        <v>5.5E-2</v>
      </c>
      <c r="AJ7843" s="485"/>
    </row>
    <row r="7844" spans="2:36">
      <c r="B7844" s="136" t="s">
        <v>454</v>
      </c>
      <c r="C7844" s="132" t="s">
        <v>1377</v>
      </c>
      <c r="D7844" s="132" t="s">
        <v>1381</v>
      </c>
      <c r="E7844" s="508"/>
      <c r="F7844" s="508"/>
      <c r="G7844" s="508"/>
      <c r="H7844" s="508"/>
      <c r="I7844" s="508"/>
      <c r="J7844" s="508">
        <v>2.802</v>
      </c>
      <c r="K7844" s="508">
        <v>2.802</v>
      </c>
      <c r="L7844" s="508">
        <v>2.802</v>
      </c>
      <c r="M7844" s="508">
        <v>2.802</v>
      </c>
      <c r="N7844" s="508">
        <v>2.802</v>
      </c>
      <c r="O7844" s="508">
        <v>2.802</v>
      </c>
      <c r="P7844" s="508">
        <v>2.802</v>
      </c>
      <c r="Q7844" s="508">
        <v>2.802</v>
      </c>
      <c r="R7844" s="508">
        <v>2.8010000000000002</v>
      </c>
      <c r="S7844" s="508">
        <v>2.8010000000000002</v>
      </c>
      <c r="T7844" s="508">
        <v>2.8010000000000002</v>
      </c>
      <c r="U7844" s="508">
        <v>2.8010000000000002</v>
      </c>
      <c r="V7844" s="508">
        <v>0.70199999999999996</v>
      </c>
      <c r="W7844" s="508">
        <v>0.70199999999999996</v>
      </c>
      <c r="X7844" s="508">
        <v>0.39600000000000002</v>
      </c>
      <c r="Y7844" s="508">
        <v>0.39600000000000002</v>
      </c>
      <c r="Z7844" s="508">
        <v>0.39600000000000002</v>
      </c>
      <c r="AA7844" s="508">
        <v>0.14899999999999999</v>
      </c>
      <c r="AB7844" s="508">
        <v>0.14899999999999999</v>
      </c>
      <c r="AC7844" s="508">
        <v>0.14899999999999999</v>
      </c>
      <c r="AD7844" s="508">
        <v>5.6000000000000001E-2</v>
      </c>
      <c r="AE7844" s="508">
        <v>5.6000000000000001E-2</v>
      </c>
      <c r="AF7844" s="508">
        <v>5.6000000000000001E-2</v>
      </c>
      <c r="AG7844" s="508">
        <v>5.6000000000000001E-2</v>
      </c>
      <c r="AH7844" s="508">
        <v>5.6000000000000001E-2</v>
      </c>
      <c r="AI7844" s="492">
        <v>5.6000000000000001E-2</v>
      </c>
      <c r="AJ7844" s="485"/>
    </row>
    <row r="7845" spans="2:36">
      <c r="B7845" s="136" t="s">
        <v>455</v>
      </c>
      <c r="C7845" s="132" t="s">
        <v>1377</v>
      </c>
      <c r="D7845" s="132" t="s">
        <v>1381</v>
      </c>
      <c r="E7845" s="508"/>
      <c r="F7845" s="508"/>
      <c r="G7845" s="508"/>
      <c r="H7845" s="508"/>
      <c r="I7845" s="508"/>
      <c r="J7845" s="508">
        <v>2.7789999999999999</v>
      </c>
      <c r="K7845" s="508">
        <v>2.778</v>
      </c>
      <c r="L7845" s="508">
        <v>2.778</v>
      </c>
      <c r="M7845" s="508">
        <v>2.778</v>
      </c>
      <c r="N7845" s="508">
        <v>2.778</v>
      </c>
      <c r="O7845" s="508">
        <v>2.778</v>
      </c>
      <c r="P7845" s="508">
        <v>2.778</v>
      </c>
      <c r="Q7845" s="508">
        <v>2.778</v>
      </c>
      <c r="R7845" s="508">
        <v>2.778</v>
      </c>
      <c r="S7845" s="508">
        <v>2.778</v>
      </c>
      <c r="T7845" s="508">
        <v>2.778</v>
      </c>
      <c r="U7845" s="508">
        <v>2.778</v>
      </c>
      <c r="V7845" s="508">
        <v>0.66500000000000004</v>
      </c>
      <c r="W7845" s="508">
        <v>0.66500000000000004</v>
      </c>
      <c r="X7845" s="508">
        <v>0.375</v>
      </c>
      <c r="Y7845" s="508">
        <v>0.375</v>
      </c>
      <c r="Z7845" s="508">
        <v>0.375</v>
      </c>
      <c r="AA7845" s="508">
        <v>0.14099999999999999</v>
      </c>
      <c r="AB7845" s="508">
        <v>0.14099999999999999</v>
      </c>
      <c r="AC7845" s="508">
        <v>0.14099999999999999</v>
      </c>
      <c r="AD7845" s="508">
        <v>5.3999999999999999E-2</v>
      </c>
      <c r="AE7845" s="508">
        <v>5.3999999999999999E-2</v>
      </c>
      <c r="AF7845" s="508">
        <v>5.3999999999999999E-2</v>
      </c>
      <c r="AG7845" s="508">
        <v>5.3999999999999999E-2</v>
      </c>
      <c r="AH7845" s="508">
        <v>5.2999999999999999E-2</v>
      </c>
      <c r="AI7845" s="492">
        <v>5.2999999999999999E-2</v>
      </c>
      <c r="AJ7845" s="485"/>
    </row>
    <row r="7846" spans="2:36">
      <c r="B7846" s="136" t="s">
        <v>456</v>
      </c>
      <c r="C7846" s="132" t="s">
        <v>1377</v>
      </c>
      <c r="D7846" s="132" t="s">
        <v>1381</v>
      </c>
      <c r="E7846" s="508"/>
      <c r="F7846" s="508"/>
      <c r="G7846" s="508"/>
      <c r="H7846" s="508"/>
      <c r="I7846" s="508"/>
      <c r="J7846" s="508">
        <v>2.843</v>
      </c>
      <c r="K7846" s="508">
        <v>2.843</v>
      </c>
      <c r="L7846" s="508">
        <v>2.843</v>
      </c>
      <c r="M7846" s="508">
        <v>2.843</v>
      </c>
      <c r="N7846" s="508">
        <v>2.843</v>
      </c>
      <c r="O7846" s="508">
        <v>2.843</v>
      </c>
      <c r="P7846" s="508">
        <v>2.843</v>
      </c>
      <c r="Q7846" s="508">
        <v>2.843</v>
      </c>
      <c r="R7846" s="508">
        <v>2.843</v>
      </c>
      <c r="S7846" s="508">
        <v>2.843</v>
      </c>
      <c r="T7846" s="508">
        <v>2.843</v>
      </c>
      <c r="U7846" s="508">
        <v>2.843</v>
      </c>
      <c r="V7846" s="508">
        <v>0.73099999999999998</v>
      </c>
      <c r="W7846" s="508">
        <v>0.73099999999999998</v>
      </c>
      <c r="X7846" s="508">
        <v>0.41199999999999998</v>
      </c>
      <c r="Y7846" s="508">
        <v>0.41199999999999998</v>
      </c>
      <c r="Z7846" s="508">
        <v>0.41199999999999998</v>
      </c>
      <c r="AA7846" s="508">
        <v>0.155</v>
      </c>
      <c r="AB7846" s="508">
        <v>0.155</v>
      </c>
      <c r="AC7846" s="508">
        <v>0.155</v>
      </c>
      <c r="AD7846" s="508">
        <v>5.8000000000000003E-2</v>
      </c>
      <c r="AE7846" s="508">
        <v>5.8000000000000003E-2</v>
      </c>
      <c r="AF7846" s="508">
        <v>5.8000000000000003E-2</v>
      </c>
      <c r="AG7846" s="508">
        <v>5.8000000000000003E-2</v>
      </c>
      <c r="AH7846" s="508">
        <v>5.7000000000000002E-2</v>
      </c>
      <c r="AI7846" s="492">
        <v>5.7000000000000002E-2</v>
      </c>
      <c r="AJ7846" s="485"/>
    </row>
    <row r="7847" spans="2:36">
      <c r="B7847" s="136" t="s">
        <v>457</v>
      </c>
      <c r="C7847" s="132" t="s">
        <v>1377</v>
      </c>
      <c r="D7847" s="132" t="s">
        <v>1381</v>
      </c>
      <c r="E7847" s="508"/>
      <c r="F7847" s="508"/>
      <c r="G7847" s="508"/>
      <c r="H7847" s="508"/>
      <c r="I7847" s="508"/>
      <c r="J7847" s="508">
        <v>2.702</v>
      </c>
      <c r="K7847" s="508">
        <v>2.7010000000000001</v>
      </c>
      <c r="L7847" s="508">
        <v>2.7010000000000001</v>
      </c>
      <c r="M7847" s="508">
        <v>2.7010000000000001</v>
      </c>
      <c r="N7847" s="508">
        <v>2.7010000000000001</v>
      </c>
      <c r="O7847" s="508">
        <v>2.7010000000000001</v>
      </c>
      <c r="P7847" s="508">
        <v>2.7010000000000001</v>
      </c>
      <c r="Q7847" s="508">
        <v>2.7010000000000001</v>
      </c>
      <c r="R7847" s="508">
        <v>2.7</v>
      </c>
      <c r="S7847" s="508">
        <v>2.7</v>
      </c>
      <c r="T7847" s="508">
        <v>2.7</v>
      </c>
      <c r="U7847" s="508">
        <v>2.7</v>
      </c>
      <c r="V7847" s="508">
        <v>0.63300000000000001</v>
      </c>
      <c r="W7847" s="508">
        <v>0.63300000000000001</v>
      </c>
      <c r="X7847" s="508">
        <v>0.35699999999999998</v>
      </c>
      <c r="Y7847" s="508">
        <v>0.35699999999999998</v>
      </c>
      <c r="Z7847" s="508">
        <v>0.35699999999999998</v>
      </c>
      <c r="AA7847" s="508">
        <v>0.13400000000000001</v>
      </c>
      <c r="AB7847" s="508">
        <v>0.13400000000000001</v>
      </c>
      <c r="AC7847" s="508">
        <v>0.13400000000000001</v>
      </c>
      <c r="AD7847" s="508">
        <v>5.1999999999999998E-2</v>
      </c>
      <c r="AE7847" s="508">
        <v>5.1999999999999998E-2</v>
      </c>
      <c r="AF7847" s="508">
        <v>5.1999999999999998E-2</v>
      </c>
      <c r="AG7847" s="508">
        <v>5.1999999999999998E-2</v>
      </c>
      <c r="AH7847" s="508">
        <v>5.0999999999999997E-2</v>
      </c>
      <c r="AI7847" s="492">
        <v>5.0999999999999997E-2</v>
      </c>
      <c r="AJ7847" s="485"/>
    </row>
    <row r="7848" spans="2:36">
      <c r="B7848" s="136" t="s">
        <v>458</v>
      </c>
      <c r="C7848" s="132" t="s">
        <v>1377</v>
      </c>
      <c r="D7848" s="132" t="s">
        <v>1381</v>
      </c>
      <c r="E7848" s="508"/>
      <c r="F7848" s="508"/>
      <c r="G7848" s="508"/>
      <c r="H7848" s="508"/>
      <c r="I7848" s="508"/>
      <c r="J7848" s="508">
        <v>2.895</v>
      </c>
      <c r="K7848" s="508">
        <v>2.895</v>
      </c>
      <c r="L7848" s="508">
        <v>2.895</v>
      </c>
      <c r="M7848" s="508">
        <v>2.895</v>
      </c>
      <c r="N7848" s="508">
        <v>2.895</v>
      </c>
      <c r="O7848" s="508">
        <v>2.895</v>
      </c>
      <c r="P7848" s="508">
        <v>2.895</v>
      </c>
      <c r="Q7848" s="508">
        <v>2.8940000000000001</v>
      </c>
      <c r="R7848" s="508">
        <v>2.8940000000000001</v>
      </c>
      <c r="S7848" s="508">
        <v>2.8940000000000001</v>
      </c>
      <c r="T7848" s="508">
        <v>2.8940000000000001</v>
      </c>
      <c r="U7848" s="508">
        <v>2.8940000000000001</v>
      </c>
      <c r="V7848" s="508">
        <v>0.749</v>
      </c>
      <c r="W7848" s="508">
        <v>0.749</v>
      </c>
      <c r="X7848" s="508">
        <v>0.42199999999999999</v>
      </c>
      <c r="Y7848" s="508">
        <v>0.42199999999999999</v>
      </c>
      <c r="Z7848" s="508">
        <v>0.42199999999999999</v>
      </c>
      <c r="AA7848" s="508">
        <v>0.159</v>
      </c>
      <c r="AB7848" s="508">
        <v>0.159</v>
      </c>
      <c r="AC7848" s="508">
        <v>0.159</v>
      </c>
      <c r="AD7848" s="508">
        <v>5.8999999999999997E-2</v>
      </c>
      <c r="AE7848" s="508">
        <v>5.8999999999999997E-2</v>
      </c>
      <c r="AF7848" s="508">
        <v>5.8999999999999997E-2</v>
      </c>
      <c r="AG7848" s="508">
        <v>5.8999999999999997E-2</v>
      </c>
      <c r="AH7848" s="508">
        <v>5.8999999999999997E-2</v>
      </c>
      <c r="AI7848" s="492">
        <v>5.8999999999999997E-2</v>
      </c>
      <c r="AJ7848" s="485"/>
    </row>
    <row r="7849" spans="2:36">
      <c r="B7849" s="136" t="s">
        <v>459</v>
      </c>
      <c r="C7849" s="132" t="s">
        <v>1377</v>
      </c>
      <c r="D7849" s="132" t="s">
        <v>1381</v>
      </c>
      <c r="E7849" s="508"/>
      <c r="F7849" s="508"/>
      <c r="G7849" s="508"/>
      <c r="H7849" s="508"/>
      <c r="I7849" s="508"/>
      <c r="J7849" s="508">
        <v>2.895</v>
      </c>
      <c r="K7849" s="508">
        <v>2.895</v>
      </c>
      <c r="L7849" s="508">
        <v>2.895</v>
      </c>
      <c r="M7849" s="508">
        <v>2.895</v>
      </c>
      <c r="N7849" s="508">
        <v>2.895</v>
      </c>
      <c r="O7849" s="508">
        <v>2.895</v>
      </c>
      <c r="P7849" s="508">
        <v>2.8940000000000001</v>
      </c>
      <c r="Q7849" s="508">
        <v>2.8940000000000001</v>
      </c>
      <c r="R7849" s="508">
        <v>2.8940000000000001</v>
      </c>
      <c r="S7849" s="508">
        <v>2.8940000000000001</v>
      </c>
      <c r="T7849" s="508">
        <v>2.8940000000000001</v>
      </c>
      <c r="U7849" s="508">
        <v>2.8940000000000001</v>
      </c>
      <c r="V7849" s="508">
        <v>0.748</v>
      </c>
      <c r="W7849" s="508">
        <v>0.748</v>
      </c>
      <c r="X7849" s="508">
        <v>0.42199999999999999</v>
      </c>
      <c r="Y7849" s="508">
        <v>0.42199999999999999</v>
      </c>
      <c r="Z7849" s="508">
        <v>0.42199999999999999</v>
      </c>
      <c r="AA7849" s="508">
        <v>0.159</v>
      </c>
      <c r="AB7849" s="508">
        <v>0.159</v>
      </c>
      <c r="AC7849" s="508">
        <v>0.159</v>
      </c>
      <c r="AD7849" s="508">
        <v>5.8999999999999997E-2</v>
      </c>
      <c r="AE7849" s="508">
        <v>5.8999999999999997E-2</v>
      </c>
      <c r="AF7849" s="508">
        <v>5.8999999999999997E-2</v>
      </c>
      <c r="AG7849" s="508">
        <v>5.8999999999999997E-2</v>
      </c>
      <c r="AH7849" s="508">
        <v>5.8999999999999997E-2</v>
      </c>
      <c r="AI7849" s="492">
        <v>5.8999999999999997E-2</v>
      </c>
      <c r="AJ7849" s="485"/>
    </row>
    <row r="7850" spans="2:36">
      <c r="B7850" s="136" t="s">
        <v>460</v>
      </c>
      <c r="C7850" s="132" t="s">
        <v>1377</v>
      </c>
      <c r="D7850" s="132" t="s">
        <v>1381</v>
      </c>
      <c r="E7850" s="508"/>
      <c r="F7850" s="508"/>
      <c r="G7850" s="508"/>
      <c r="H7850" s="508"/>
      <c r="I7850" s="508"/>
      <c r="J7850" s="508">
        <v>2.8879999999999999</v>
      </c>
      <c r="K7850" s="508">
        <v>2.8879999999999999</v>
      </c>
      <c r="L7850" s="508">
        <v>2.8879999999999999</v>
      </c>
      <c r="M7850" s="508">
        <v>2.8879999999999999</v>
      </c>
      <c r="N7850" s="508">
        <v>2.887</v>
      </c>
      <c r="O7850" s="508">
        <v>2.887</v>
      </c>
      <c r="P7850" s="508">
        <v>2.887</v>
      </c>
      <c r="Q7850" s="508">
        <v>2.887</v>
      </c>
      <c r="R7850" s="508">
        <v>2.887</v>
      </c>
      <c r="S7850" s="508">
        <v>2.887</v>
      </c>
      <c r="T7850" s="508">
        <v>2.887</v>
      </c>
      <c r="U7850" s="508">
        <v>2.887</v>
      </c>
      <c r="V7850" s="508">
        <v>0.75900000000000001</v>
      </c>
      <c r="W7850" s="508">
        <v>0.75900000000000001</v>
      </c>
      <c r="X7850" s="508">
        <v>0.42799999999999999</v>
      </c>
      <c r="Y7850" s="508">
        <v>0.42799999999999999</v>
      </c>
      <c r="Z7850" s="508">
        <v>0.42799999999999999</v>
      </c>
      <c r="AA7850" s="508">
        <v>0.161</v>
      </c>
      <c r="AB7850" s="508">
        <v>0.161</v>
      </c>
      <c r="AC7850" s="508">
        <v>0.161</v>
      </c>
      <c r="AD7850" s="508">
        <v>0.06</v>
      </c>
      <c r="AE7850" s="508">
        <v>0.06</v>
      </c>
      <c r="AF7850" s="508">
        <v>0.06</v>
      </c>
      <c r="AG7850" s="508">
        <v>0.06</v>
      </c>
      <c r="AH7850" s="508">
        <v>0.06</v>
      </c>
      <c r="AI7850" s="492">
        <v>5.8999999999999997E-2</v>
      </c>
      <c r="AJ7850" s="485"/>
    </row>
    <row r="7851" spans="2:36">
      <c r="B7851" s="136" t="s">
        <v>461</v>
      </c>
      <c r="C7851" s="132" t="s">
        <v>1377</v>
      </c>
      <c r="D7851" s="132" t="s">
        <v>1381</v>
      </c>
      <c r="E7851" s="508"/>
      <c r="F7851" s="508"/>
      <c r="G7851" s="508"/>
      <c r="H7851" s="508"/>
      <c r="I7851" s="508"/>
      <c r="J7851" s="508">
        <v>2.8250000000000002</v>
      </c>
      <c r="K7851" s="508">
        <v>2.8239999999999998</v>
      </c>
      <c r="L7851" s="508">
        <v>2.8239999999999998</v>
      </c>
      <c r="M7851" s="508">
        <v>2.8239999999999998</v>
      </c>
      <c r="N7851" s="508">
        <v>2.8239999999999998</v>
      </c>
      <c r="O7851" s="508">
        <v>2.8239999999999998</v>
      </c>
      <c r="P7851" s="508">
        <v>2.8239999999999998</v>
      </c>
      <c r="Q7851" s="508">
        <v>2.823</v>
      </c>
      <c r="R7851" s="508">
        <v>2.823</v>
      </c>
      <c r="S7851" s="508">
        <v>2.823</v>
      </c>
      <c r="T7851" s="508">
        <v>2.823</v>
      </c>
      <c r="U7851" s="508">
        <v>2.823</v>
      </c>
      <c r="V7851" s="508">
        <v>0.72399999999999998</v>
      </c>
      <c r="W7851" s="508">
        <v>0.72399999999999998</v>
      </c>
      <c r="X7851" s="508">
        <v>0.40799999999999997</v>
      </c>
      <c r="Y7851" s="508">
        <v>0.40799999999999997</v>
      </c>
      <c r="Z7851" s="508">
        <v>0.40799999999999997</v>
      </c>
      <c r="AA7851" s="508">
        <v>0.154</v>
      </c>
      <c r="AB7851" s="508">
        <v>0.154</v>
      </c>
      <c r="AC7851" s="508">
        <v>0.154</v>
      </c>
      <c r="AD7851" s="508">
        <v>5.8000000000000003E-2</v>
      </c>
      <c r="AE7851" s="508">
        <v>5.8000000000000003E-2</v>
      </c>
      <c r="AF7851" s="508">
        <v>5.8000000000000003E-2</v>
      </c>
      <c r="AG7851" s="508">
        <v>5.8000000000000003E-2</v>
      </c>
      <c r="AH7851" s="508">
        <v>5.7000000000000002E-2</v>
      </c>
      <c r="AI7851" s="492">
        <v>5.7000000000000002E-2</v>
      </c>
      <c r="AJ7851" s="485"/>
    </row>
    <row r="7852" spans="2:36">
      <c r="B7852" s="136" t="s">
        <v>462</v>
      </c>
      <c r="C7852" s="132" t="s">
        <v>1377</v>
      </c>
      <c r="D7852" s="132" t="s">
        <v>1381</v>
      </c>
      <c r="E7852" s="508"/>
      <c r="F7852" s="508"/>
      <c r="G7852" s="508"/>
      <c r="H7852" s="508"/>
      <c r="I7852" s="508"/>
      <c r="J7852" s="508">
        <v>2.7650000000000001</v>
      </c>
      <c r="K7852" s="508">
        <v>2.7639999999999998</v>
      </c>
      <c r="L7852" s="508">
        <v>2.7639999999999998</v>
      </c>
      <c r="M7852" s="508">
        <v>2.7639999999999998</v>
      </c>
      <c r="N7852" s="508">
        <v>2.7639999999999998</v>
      </c>
      <c r="O7852" s="508">
        <v>2.7639999999999998</v>
      </c>
      <c r="P7852" s="508">
        <v>2.7639999999999998</v>
      </c>
      <c r="Q7852" s="508">
        <v>2.7639999999999998</v>
      </c>
      <c r="R7852" s="508">
        <v>2.7639999999999998</v>
      </c>
      <c r="S7852" s="508">
        <v>2.7639999999999998</v>
      </c>
      <c r="T7852" s="508">
        <v>2.7639999999999998</v>
      </c>
      <c r="U7852" s="508">
        <v>2.7639999999999998</v>
      </c>
      <c r="V7852" s="508">
        <v>0.69699999999999995</v>
      </c>
      <c r="W7852" s="508">
        <v>0.69699999999999995</v>
      </c>
      <c r="X7852" s="508">
        <v>0.39300000000000002</v>
      </c>
      <c r="Y7852" s="508">
        <v>0.39300000000000002</v>
      </c>
      <c r="Z7852" s="508">
        <v>0.39300000000000002</v>
      </c>
      <c r="AA7852" s="508">
        <v>0.14699999999999999</v>
      </c>
      <c r="AB7852" s="508">
        <v>0.14699999999999999</v>
      </c>
      <c r="AC7852" s="508">
        <v>0.14699999999999999</v>
      </c>
      <c r="AD7852" s="508">
        <v>5.5E-2</v>
      </c>
      <c r="AE7852" s="508">
        <v>5.5E-2</v>
      </c>
      <c r="AF7852" s="508">
        <v>5.5E-2</v>
      </c>
      <c r="AG7852" s="508">
        <v>5.5E-2</v>
      </c>
      <c r="AH7852" s="508">
        <v>5.5E-2</v>
      </c>
      <c r="AI7852" s="492">
        <v>5.5E-2</v>
      </c>
      <c r="AJ7852" s="485"/>
    </row>
    <row r="7853" spans="2:36">
      <c r="B7853" s="136" t="s">
        <v>463</v>
      </c>
      <c r="C7853" s="132" t="s">
        <v>1377</v>
      </c>
      <c r="D7853" s="132" t="s">
        <v>1381</v>
      </c>
      <c r="E7853" s="508"/>
      <c r="F7853" s="508"/>
      <c r="G7853" s="508"/>
      <c r="H7853" s="508"/>
      <c r="I7853" s="508"/>
      <c r="J7853" s="508">
        <v>2.7669999999999999</v>
      </c>
      <c r="K7853" s="508">
        <v>2.7669999999999999</v>
      </c>
      <c r="L7853" s="508">
        <v>2.7669999999999999</v>
      </c>
      <c r="M7853" s="508">
        <v>2.7669999999999999</v>
      </c>
      <c r="N7853" s="508">
        <v>2.766</v>
      </c>
      <c r="O7853" s="508">
        <v>2.766</v>
      </c>
      <c r="P7853" s="508">
        <v>2.766</v>
      </c>
      <c r="Q7853" s="508">
        <v>2.766</v>
      </c>
      <c r="R7853" s="508">
        <v>2.766</v>
      </c>
      <c r="S7853" s="508">
        <v>2.766</v>
      </c>
      <c r="T7853" s="508">
        <v>2.766</v>
      </c>
      <c r="U7853" s="508">
        <v>2.766</v>
      </c>
      <c r="V7853" s="508">
        <v>0.65100000000000002</v>
      </c>
      <c r="W7853" s="508">
        <v>0.65100000000000002</v>
      </c>
      <c r="X7853" s="508">
        <v>0.36699999999999999</v>
      </c>
      <c r="Y7853" s="508">
        <v>0.36699999999999999</v>
      </c>
      <c r="Z7853" s="508">
        <v>0.36699999999999999</v>
      </c>
      <c r="AA7853" s="508">
        <v>0.13800000000000001</v>
      </c>
      <c r="AB7853" s="508">
        <v>0.13800000000000001</v>
      </c>
      <c r="AC7853" s="508">
        <v>0.13800000000000001</v>
      </c>
      <c r="AD7853" s="508">
        <v>5.2999999999999999E-2</v>
      </c>
      <c r="AE7853" s="508">
        <v>5.2999999999999999E-2</v>
      </c>
      <c r="AF7853" s="508">
        <v>5.2999999999999999E-2</v>
      </c>
      <c r="AG7853" s="508">
        <v>5.2999999999999999E-2</v>
      </c>
      <c r="AH7853" s="508">
        <v>5.2999999999999999E-2</v>
      </c>
      <c r="AI7853" s="492">
        <v>5.2999999999999999E-2</v>
      </c>
      <c r="AJ7853" s="485"/>
    </row>
    <row r="7854" spans="2:36">
      <c r="B7854" s="136" t="s">
        <v>464</v>
      </c>
      <c r="C7854" s="132" t="s">
        <v>1377</v>
      </c>
      <c r="D7854" s="132" t="s">
        <v>1381</v>
      </c>
      <c r="E7854" s="508"/>
      <c r="F7854" s="508"/>
      <c r="G7854" s="508"/>
      <c r="H7854" s="508"/>
      <c r="I7854" s="508"/>
      <c r="J7854" s="508">
        <v>2.7130000000000001</v>
      </c>
      <c r="K7854" s="508">
        <v>2.7130000000000001</v>
      </c>
      <c r="L7854" s="508">
        <v>2.7120000000000002</v>
      </c>
      <c r="M7854" s="508">
        <v>2.7120000000000002</v>
      </c>
      <c r="N7854" s="508">
        <v>2.7120000000000002</v>
      </c>
      <c r="O7854" s="508">
        <v>2.7120000000000002</v>
      </c>
      <c r="P7854" s="508">
        <v>2.7120000000000002</v>
      </c>
      <c r="Q7854" s="508">
        <v>2.7120000000000002</v>
      </c>
      <c r="R7854" s="508">
        <v>2.7120000000000002</v>
      </c>
      <c r="S7854" s="508">
        <v>2.7109999999999999</v>
      </c>
      <c r="T7854" s="508">
        <v>2.7109999999999999</v>
      </c>
      <c r="U7854" s="508">
        <v>2.7109999999999999</v>
      </c>
      <c r="V7854" s="508">
        <v>0.63400000000000001</v>
      </c>
      <c r="W7854" s="508">
        <v>0.63400000000000001</v>
      </c>
      <c r="X7854" s="508">
        <v>0.35699999999999998</v>
      </c>
      <c r="Y7854" s="508">
        <v>0.35699999999999998</v>
      </c>
      <c r="Z7854" s="508">
        <v>0.35699999999999998</v>
      </c>
      <c r="AA7854" s="508">
        <v>0.13400000000000001</v>
      </c>
      <c r="AB7854" s="508">
        <v>0.13400000000000001</v>
      </c>
      <c r="AC7854" s="508">
        <v>0.13400000000000001</v>
      </c>
      <c r="AD7854" s="508">
        <v>5.1999999999999998E-2</v>
      </c>
      <c r="AE7854" s="508">
        <v>5.1999999999999998E-2</v>
      </c>
      <c r="AF7854" s="508">
        <v>5.1999999999999998E-2</v>
      </c>
      <c r="AG7854" s="508">
        <v>5.1999999999999998E-2</v>
      </c>
      <c r="AH7854" s="508">
        <v>5.0999999999999997E-2</v>
      </c>
      <c r="AI7854" s="492">
        <v>5.0999999999999997E-2</v>
      </c>
      <c r="AJ7854" s="485"/>
    </row>
    <row r="7855" spans="2:36">
      <c r="B7855" s="136" t="s">
        <v>465</v>
      </c>
      <c r="C7855" s="132" t="s">
        <v>1377</v>
      </c>
      <c r="D7855" s="132" t="s">
        <v>1381</v>
      </c>
      <c r="E7855" s="508"/>
      <c r="F7855" s="508"/>
      <c r="G7855" s="508"/>
      <c r="H7855" s="508"/>
      <c r="I7855" s="508"/>
      <c r="J7855" s="508">
        <v>2.7789999999999999</v>
      </c>
      <c r="K7855" s="508">
        <v>2.7789999999999999</v>
      </c>
      <c r="L7855" s="508">
        <v>2.7789999999999999</v>
      </c>
      <c r="M7855" s="508">
        <v>2.7789999999999999</v>
      </c>
      <c r="N7855" s="508">
        <v>2.7789999999999999</v>
      </c>
      <c r="O7855" s="508">
        <v>2.7789999999999999</v>
      </c>
      <c r="P7855" s="508">
        <v>2.7789999999999999</v>
      </c>
      <c r="Q7855" s="508">
        <v>2.7789999999999999</v>
      </c>
      <c r="R7855" s="508">
        <v>2.7789999999999999</v>
      </c>
      <c r="S7855" s="508">
        <v>2.778</v>
      </c>
      <c r="T7855" s="508">
        <v>2.778</v>
      </c>
      <c r="U7855" s="508">
        <v>2.778</v>
      </c>
      <c r="V7855" s="508">
        <v>0.67</v>
      </c>
      <c r="W7855" s="508">
        <v>0.67</v>
      </c>
      <c r="X7855" s="508">
        <v>0.377</v>
      </c>
      <c r="Y7855" s="508">
        <v>0.377</v>
      </c>
      <c r="Z7855" s="508">
        <v>0.377</v>
      </c>
      <c r="AA7855" s="508">
        <v>0.14199999999999999</v>
      </c>
      <c r="AB7855" s="508">
        <v>0.14199999999999999</v>
      </c>
      <c r="AC7855" s="508">
        <v>0.14199999999999999</v>
      </c>
      <c r="AD7855" s="508">
        <v>5.3999999999999999E-2</v>
      </c>
      <c r="AE7855" s="508">
        <v>5.3999999999999999E-2</v>
      </c>
      <c r="AF7855" s="508">
        <v>5.3999999999999999E-2</v>
      </c>
      <c r="AG7855" s="508">
        <v>5.3999999999999999E-2</v>
      </c>
      <c r="AH7855" s="508">
        <v>5.3999999999999999E-2</v>
      </c>
      <c r="AI7855" s="492">
        <v>5.3999999999999999E-2</v>
      </c>
      <c r="AJ7855" s="485"/>
    </row>
    <row r="7856" spans="2:36">
      <c r="B7856" s="136" t="s">
        <v>466</v>
      </c>
      <c r="C7856" s="132" t="s">
        <v>1377</v>
      </c>
      <c r="D7856" s="132" t="s">
        <v>1381</v>
      </c>
      <c r="E7856" s="508"/>
      <c r="F7856" s="508"/>
      <c r="G7856" s="508"/>
      <c r="H7856" s="508"/>
      <c r="I7856" s="508"/>
      <c r="J7856" s="508">
        <v>2.976</v>
      </c>
      <c r="K7856" s="508">
        <v>2.976</v>
      </c>
      <c r="L7856" s="508">
        <v>2.976</v>
      </c>
      <c r="M7856" s="508">
        <v>2.976</v>
      </c>
      <c r="N7856" s="508">
        <v>2.976</v>
      </c>
      <c r="O7856" s="508">
        <v>2.9750000000000001</v>
      </c>
      <c r="P7856" s="508">
        <v>2.9750000000000001</v>
      </c>
      <c r="Q7856" s="508">
        <v>2.9750000000000001</v>
      </c>
      <c r="R7856" s="508">
        <v>2.9750000000000001</v>
      </c>
      <c r="S7856" s="508">
        <v>2.9750000000000001</v>
      </c>
      <c r="T7856" s="508">
        <v>2.9750000000000001</v>
      </c>
      <c r="U7856" s="508">
        <v>2.9750000000000001</v>
      </c>
      <c r="V7856" s="508">
        <v>0.82899999999999996</v>
      </c>
      <c r="W7856" s="508">
        <v>0.82899999999999996</v>
      </c>
      <c r="X7856" s="508">
        <v>0.46700000000000003</v>
      </c>
      <c r="Y7856" s="508">
        <v>0.46700000000000003</v>
      </c>
      <c r="Z7856" s="508">
        <v>0.46700000000000003</v>
      </c>
      <c r="AA7856" s="508">
        <v>0.17599999999999999</v>
      </c>
      <c r="AB7856" s="508">
        <v>0.17599999999999999</v>
      </c>
      <c r="AC7856" s="508">
        <v>0.17599999999999999</v>
      </c>
      <c r="AD7856" s="508">
        <v>6.4000000000000001E-2</v>
      </c>
      <c r="AE7856" s="508">
        <v>6.4000000000000001E-2</v>
      </c>
      <c r="AF7856" s="508">
        <v>6.4000000000000001E-2</v>
      </c>
      <c r="AG7856" s="508">
        <v>6.4000000000000001E-2</v>
      </c>
      <c r="AH7856" s="508">
        <v>6.4000000000000001E-2</v>
      </c>
      <c r="AI7856" s="492">
        <v>6.4000000000000001E-2</v>
      </c>
      <c r="AJ7856" s="485"/>
    </row>
    <row r="7857" spans="2:36">
      <c r="B7857" s="136" t="s">
        <v>467</v>
      </c>
      <c r="C7857" s="132" t="s">
        <v>1377</v>
      </c>
      <c r="D7857" s="132" t="s">
        <v>1381</v>
      </c>
      <c r="E7857" s="508"/>
      <c r="F7857" s="508"/>
      <c r="G7857" s="508"/>
      <c r="H7857" s="508"/>
      <c r="I7857" s="508"/>
      <c r="J7857" s="508">
        <v>2.806</v>
      </c>
      <c r="K7857" s="508">
        <v>2.806</v>
      </c>
      <c r="L7857" s="508">
        <v>2.806</v>
      </c>
      <c r="M7857" s="508">
        <v>2.806</v>
      </c>
      <c r="N7857" s="508">
        <v>2.806</v>
      </c>
      <c r="O7857" s="508">
        <v>2.8050000000000002</v>
      </c>
      <c r="P7857" s="508">
        <v>2.8050000000000002</v>
      </c>
      <c r="Q7857" s="508">
        <v>2.8050000000000002</v>
      </c>
      <c r="R7857" s="508">
        <v>2.8050000000000002</v>
      </c>
      <c r="S7857" s="508">
        <v>2.8050000000000002</v>
      </c>
      <c r="T7857" s="508">
        <v>2.8050000000000002</v>
      </c>
      <c r="U7857" s="508">
        <v>2.8050000000000002</v>
      </c>
      <c r="V7857" s="508">
        <v>0.71199999999999997</v>
      </c>
      <c r="W7857" s="508">
        <v>0.71199999999999997</v>
      </c>
      <c r="X7857" s="508">
        <v>0.40100000000000002</v>
      </c>
      <c r="Y7857" s="508">
        <v>0.40100000000000002</v>
      </c>
      <c r="Z7857" s="508">
        <v>0.40100000000000002</v>
      </c>
      <c r="AA7857" s="508">
        <v>0.151</v>
      </c>
      <c r="AB7857" s="508">
        <v>0.151</v>
      </c>
      <c r="AC7857" s="508">
        <v>0.151</v>
      </c>
      <c r="AD7857" s="508">
        <v>5.7000000000000002E-2</v>
      </c>
      <c r="AE7857" s="508">
        <v>5.7000000000000002E-2</v>
      </c>
      <c r="AF7857" s="508">
        <v>5.7000000000000002E-2</v>
      </c>
      <c r="AG7857" s="508">
        <v>5.7000000000000002E-2</v>
      </c>
      <c r="AH7857" s="508">
        <v>5.6000000000000001E-2</v>
      </c>
      <c r="AI7857" s="492">
        <v>5.6000000000000001E-2</v>
      </c>
      <c r="AJ7857" s="485"/>
    </row>
    <row r="7858" spans="2:36">
      <c r="B7858" s="136" t="s">
        <v>468</v>
      </c>
      <c r="C7858" s="132" t="s">
        <v>1377</v>
      </c>
      <c r="D7858" s="132" t="s">
        <v>1381</v>
      </c>
      <c r="E7858" s="508"/>
      <c r="F7858" s="508"/>
      <c r="G7858" s="508"/>
      <c r="H7858" s="508"/>
      <c r="I7858" s="508"/>
      <c r="J7858" s="508">
        <v>2.7530000000000001</v>
      </c>
      <c r="K7858" s="508">
        <v>2.7530000000000001</v>
      </c>
      <c r="L7858" s="508">
        <v>2.7530000000000001</v>
      </c>
      <c r="M7858" s="508">
        <v>2.7530000000000001</v>
      </c>
      <c r="N7858" s="508">
        <v>2.7530000000000001</v>
      </c>
      <c r="O7858" s="508">
        <v>2.7530000000000001</v>
      </c>
      <c r="P7858" s="508">
        <v>2.7530000000000001</v>
      </c>
      <c r="Q7858" s="508">
        <v>2.7530000000000001</v>
      </c>
      <c r="R7858" s="508">
        <v>2.7530000000000001</v>
      </c>
      <c r="S7858" s="508">
        <v>2.7519999999999998</v>
      </c>
      <c r="T7858" s="508">
        <v>2.7519999999999998</v>
      </c>
      <c r="U7858" s="508">
        <v>2.7519999999999998</v>
      </c>
      <c r="V7858" s="508">
        <v>0.63</v>
      </c>
      <c r="W7858" s="508">
        <v>0.63</v>
      </c>
      <c r="X7858" s="508">
        <v>0.35499999999999998</v>
      </c>
      <c r="Y7858" s="508">
        <v>0.35499999999999998</v>
      </c>
      <c r="Z7858" s="508">
        <v>0.35499999999999998</v>
      </c>
      <c r="AA7858" s="508">
        <v>0.13300000000000001</v>
      </c>
      <c r="AB7858" s="508">
        <v>0.13300000000000001</v>
      </c>
      <c r="AC7858" s="508">
        <v>0.13300000000000001</v>
      </c>
      <c r="AD7858" s="508">
        <v>5.1999999999999998E-2</v>
      </c>
      <c r="AE7858" s="508">
        <v>5.0999999999999997E-2</v>
      </c>
      <c r="AF7858" s="508">
        <v>5.0999999999999997E-2</v>
      </c>
      <c r="AG7858" s="508">
        <v>5.0999999999999997E-2</v>
      </c>
      <c r="AH7858" s="508">
        <v>5.0999999999999997E-2</v>
      </c>
      <c r="AI7858" s="492">
        <v>5.0999999999999997E-2</v>
      </c>
      <c r="AJ7858" s="485"/>
    </row>
    <row r="7859" spans="2:36">
      <c r="B7859" s="136" t="s">
        <v>469</v>
      </c>
      <c r="C7859" s="132" t="s">
        <v>1377</v>
      </c>
      <c r="D7859" s="132" t="s">
        <v>1381</v>
      </c>
      <c r="E7859" s="508"/>
      <c r="F7859" s="508"/>
      <c r="G7859" s="508"/>
      <c r="H7859" s="508"/>
      <c r="I7859" s="508"/>
      <c r="J7859" s="508">
        <v>2.7879999999999998</v>
      </c>
      <c r="K7859" s="508">
        <v>2.7879999999999998</v>
      </c>
      <c r="L7859" s="508">
        <v>2.7879999999999998</v>
      </c>
      <c r="M7859" s="508">
        <v>2.7879999999999998</v>
      </c>
      <c r="N7859" s="508">
        <v>2.7879999999999998</v>
      </c>
      <c r="O7859" s="508">
        <v>2.7869999999999999</v>
      </c>
      <c r="P7859" s="508">
        <v>2.7869999999999999</v>
      </c>
      <c r="Q7859" s="508">
        <v>2.7869999999999999</v>
      </c>
      <c r="R7859" s="508">
        <v>2.7869999999999999</v>
      </c>
      <c r="S7859" s="508">
        <v>2.7869999999999999</v>
      </c>
      <c r="T7859" s="508">
        <v>2.7869999999999999</v>
      </c>
      <c r="U7859" s="508">
        <v>2.7869999999999999</v>
      </c>
      <c r="V7859" s="508">
        <v>0.68700000000000006</v>
      </c>
      <c r="W7859" s="508">
        <v>0.68700000000000006</v>
      </c>
      <c r="X7859" s="508">
        <v>0.38700000000000001</v>
      </c>
      <c r="Y7859" s="508">
        <v>0.38700000000000001</v>
      </c>
      <c r="Z7859" s="508">
        <v>0.38700000000000001</v>
      </c>
      <c r="AA7859" s="508">
        <v>0.14499999999999999</v>
      </c>
      <c r="AB7859" s="508">
        <v>0.14499999999999999</v>
      </c>
      <c r="AC7859" s="508">
        <v>0.14499999999999999</v>
      </c>
      <c r="AD7859" s="508">
        <v>5.5E-2</v>
      </c>
      <c r="AE7859" s="508">
        <v>5.5E-2</v>
      </c>
      <c r="AF7859" s="508">
        <v>5.5E-2</v>
      </c>
      <c r="AG7859" s="508">
        <v>5.5E-2</v>
      </c>
      <c r="AH7859" s="508">
        <v>5.5E-2</v>
      </c>
      <c r="AI7859" s="492">
        <v>5.5E-2</v>
      </c>
      <c r="AJ7859" s="485"/>
    </row>
    <row r="7860" spans="2:36">
      <c r="B7860" s="136" t="s">
        <v>470</v>
      </c>
      <c r="C7860" s="132" t="s">
        <v>1377</v>
      </c>
      <c r="D7860" s="132" t="s">
        <v>1381</v>
      </c>
      <c r="E7860" s="508"/>
      <c r="F7860" s="508"/>
      <c r="G7860" s="508"/>
      <c r="H7860" s="508"/>
      <c r="I7860" s="508"/>
      <c r="J7860" s="508">
        <v>2.9209999999999998</v>
      </c>
      <c r="K7860" s="508">
        <v>2.9209999999999998</v>
      </c>
      <c r="L7860" s="508">
        <v>2.9209999999999998</v>
      </c>
      <c r="M7860" s="508">
        <v>2.92</v>
      </c>
      <c r="N7860" s="508">
        <v>2.92</v>
      </c>
      <c r="O7860" s="508">
        <v>2.92</v>
      </c>
      <c r="P7860" s="508">
        <v>2.92</v>
      </c>
      <c r="Q7860" s="508">
        <v>2.92</v>
      </c>
      <c r="R7860" s="508">
        <v>2.92</v>
      </c>
      <c r="S7860" s="508">
        <v>2.92</v>
      </c>
      <c r="T7860" s="508">
        <v>2.92</v>
      </c>
      <c r="U7860" s="508">
        <v>2.919</v>
      </c>
      <c r="V7860" s="508">
        <v>0.78500000000000003</v>
      </c>
      <c r="W7860" s="508">
        <v>0.78400000000000003</v>
      </c>
      <c r="X7860" s="508">
        <v>0.442</v>
      </c>
      <c r="Y7860" s="508">
        <v>0.442</v>
      </c>
      <c r="Z7860" s="508">
        <v>0.442</v>
      </c>
      <c r="AA7860" s="508">
        <v>0.16600000000000001</v>
      </c>
      <c r="AB7860" s="508">
        <v>0.16600000000000001</v>
      </c>
      <c r="AC7860" s="508">
        <v>0.16600000000000001</v>
      </c>
      <c r="AD7860" s="508">
        <v>6.0999999999999999E-2</v>
      </c>
      <c r="AE7860" s="508">
        <v>6.0999999999999999E-2</v>
      </c>
      <c r="AF7860" s="508">
        <v>6.0999999999999999E-2</v>
      </c>
      <c r="AG7860" s="508">
        <v>6.0999999999999999E-2</v>
      </c>
      <c r="AH7860" s="508">
        <v>6.0999999999999999E-2</v>
      </c>
      <c r="AI7860" s="492">
        <v>6.0999999999999999E-2</v>
      </c>
      <c r="AJ7860" s="485"/>
    </row>
    <row r="7861" spans="2:36">
      <c r="B7861" s="136" t="s">
        <v>471</v>
      </c>
      <c r="C7861" s="132" t="s">
        <v>1377</v>
      </c>
      <c r="D7861" s="132" t="s">
        <v>1381</v>
      </c>
      <c r="E7861" s="508"/>
      <c r="F7861" s="508"/>
      <c r="G7861" s="508"/>
      <c r="H7861" s="508"/>
      <c r="I7861" s="508"/>
      <c r="J7861" s="508">
        <v>2.8540000000000001</v>
      </c>
      <c r="K7861" s="508">
        <v>2.8530000000000002</v>
      </c>
      <c r="L7861" s="508">
        <v>2.8530000000000002</v>
      </c>
      <c r="M7861" s="508">
        <v>2.8530000000000002</v>
      </c>
      <c r="N7861" s="508">
        <v>2.8530000000000002</v>
      </c>
      <c r="O7861" s="508">
        <v>2.8530000000000002</v>
      </c>
      <c r="P7861" s="508">
        <v>2.8530000000000002</v>
      </c>
      <c r="Q7861" s="508">
        <v>2.8530000000000002</v>
      </c>
      <c r="R7861" s="508">
        <v>2.8530000000000002</v>
      </c>
      <c r="S7861" s="508">
        <v>2.8530000000000002</v>
      </c>
      <c r="T7861" s="508">
        <v>2.8530000000000002</v>
      </c>
      <c r="U7861" s="508">
        <v>2.8530000000000002</v>
      </c>
      <c r="V7861" s="508">
        <v>0.75</v>
      </c>
      <c r="W7861" s="508">
        <v>0.75</v>
      </c>
      <c r="X7861" s="508">
        <v>0.42299999999999999</v>
      </c>
      <c r="Y7861" s="508">
        <v>0.42299999999999999</v>
      </c>
      <c r="Z7861" s="508">
        <v>0.42299999999999999</v>
      </c>
      <c r="AA7861" s="508">
        <v>0.159</v>
      </c>
      <c r="AB7861" s="508">
        <v>0.159</v>
      </c>
      <c r="AC7861" s="508">
        <v>0.159</v>
      </c>
      <c r="AD7861" s="508">
        <v>5.8999999999999997E-2</v>
      </c>
      <c r="AE7861" s="508">
        <v>5.8999999999999997E-2</v>
      </c>
      <c r="AF7861" s="508">
        <v>5.8999999999999997E-2</v>
      </c>
      <c r="AG7861" s="508">
        <v>5.8999999999999997E-2</v>
      </c>
      <c r="AH7861" s="508">
        <v>5.8999999999999997E-2</v>
      </c>
      <c r="AI7861" s="492">
        <v>5.8999999999999997E-2</v>
      </c>
      <c r="AJ7861" s="485"/>
    </row>
    <row r="7862" spans="2:36">
      <c r="B7862" s="136" t="s">
        <v>472</v>
      </c>
      <c r="C7862" s="132" t="s">
        <v>1377</v>
      </c>
      <c r="D7862" s="132" t="s">
        <v>1381</v>
      </c>
      <c r="E7862" s="508"/>
      <c r="F7862" s="508"/>
      <c r="G7862" s="508"/>
      <c r="H7862" s="508"/>
      <c r="I7862" s="508"/>
      <c r="J7862" s="508">
        <v>2.706</v>
      </c>
      <c r="K7862" s="508">
        <v>2.706</v>
      </c>
      <c r="L7862" s="508">
        <v>2.706</v>
      </c>
      <c r="M7862" s="508">
        <v>2.706</v>
      </c>
      <c r="N7862" s="508">
        <v>2.706</v>
      </c>
      <c r="O7862" s="508">
        <v>2.706</v>
      </c>
      <c r="P7862" s="508">
        <v>2.7050000000000001</v>
      </c>
      <c r="Q7862" s="508">
        <v>2.7050000000000001</v>
      </c>
      <c r="R7862" s="508">
        <v>2.7050000000000001</v>
      </c>
      <c r="S7862" s="508">
        <v>2.7050000000000001</v>
      </c>
      <c r="T7862" s="508">
        <v>2.7050000000000001</v>
      </c>
      <c r="U7862" s="508">
        <v>2.7050000000000001</v>
      </c>
      <c r="V7862" s="508">
        <v>0.63600000000000001</v>
      </c>
      <c r="W7862" s="508">
        <v>0.63600000000000001</v>
      </c>
      <c r="X7862" s="508">
        <v>0.35899999999999999</v>
      </c>
      <c r="Y7862" s="508">
        <v>0.35799999999999998</v>
      </c>
      <c r="Z7862" s="508">
        <v>0.35799999999999998</v>
      </c>
      <c r="AA7862" s="508">
        <v>0.13500000000000001</v>
      </c>
      <c r="AB7862" s="508">
        <v>0.13500000000000001</v>
      </c>
      <c r="AC7862" s="508">
        <v>0.13500000000000001</v>
      </c>
      <c r="AD7862" s="508">
        <v>5.1999999999999998E-2</v>
      </c>
      <c r="AE7862" s="508">
        <v>5.1999999999999998E-2</v>
      </c>
      <c r="AF7862" s="508">
        <v>5.1999999999999998E-2</v>
      </c>
      <c r="AG7862" s="508">
        <v>5.1999999999999998E-2</v>
      </c>
      <c r="AH7862" s="508">
        <v>5.1999999999999998E-2</v>
      </c>
      <c r="AI7862" s="492">
        <v>5.1999999999999998E-2</v>
      </c>
      <c r="AJ7862" s="485"/>
    </row>
    <row r="7863" spans="2:36">
      <c r="B7863" s="136" t="s">
        <v>473</v>
      </c>
      <c r="C7863" s="132" t="s">
        <v>1377</v>
      </c>
      <c r="D7863" s="132" t="s">
        <v>1381</v>
      </c>
      <c r="E7863" s="508"/>
      <c r="F7863" s="508"/>
      <c r="G7863" s="508"/>
      <c r="H7863" s="508"/>
      <c r="I7863" s="508"/>
      <c r="J7863" s="508">
        <v>2.915</v>
      </c>
      <c r="K7863" s="508">
        <v>2.915</v>
      </c>
      <c r="L7863" s="508">
        <v>2.915</v>
      </c>
      <c r="M7863" s="508">
        <v>2.915</v>
      </c>
      <c r="N7863" s="508">
        <v>2.915</v>
      </c>
      <c r="O7863" s="508">
        <v>2.915</v>
      </c>
      <c r="P7863" s="508">
        <v>2.915</v>
      </c>
      <c r="Q7863" s="508">
        <v>2.9140000000000001</v>
      </c>
      <c r="R7863" s="508">
        <v>2.9140000000000001</v>
      </c>
      <c r="S7863" s="508">
        <v>2.9140000000000001</v>
      </c>
      <c r="T7863" s="508">
        <v>2.9140000000000001</v>
      </c>
      <c r="U7863" s="508">
        <v>2.9140000000000001</v>
      </c>
      <c r="V7863" s="508">
        <v>0.79300000000000004</v>
      </c>
      <c r="W7863" s="508">
        <v>0.79200000000000004</v>
      </c>
      <c r="X7863" s="508">
        <v>0.44700000000000001</v>
      </c>
      <c r="Y7863" s="508">
        <v>0.44600000000000001</v>
      </c>
      <c r="Z7863" s="508">
        <v>0.44600000000000001</v>
      </c>
      <c r="AA7863" s="508">
        <v>0.16800000000000001</v>
      </c>
      <c r="AB7863" s="508">
        <v>0.16800000000000001</v>
      </c>
      <c r="AC7863" s="508">
        <v>0.16800000000000001</v>
      </c>
      <c r="AD7863" s="508">
        <v>6.2E-2</v>
      </c>
      <c r="AE7863" s="508">
        <v>6.2E-2</v>
      </c>
      <c r="AF7863" s="508">
        <v>6.2E-2</v>
      </c>
      <c r="AG7863" s="508">
        <v>6.2E-2</v>
      </c>
      <c r="AH7863" s="508">
        <v>6.2E-2</v>
      </c>
      <c r="AI7863" s="492">
        <v>6.0999999999999999E-2</v>
      </c>
      <c r="AJ7863" s="485"/>
    </row>
    <row r="7864" spans="2:36">
      <c r="B7864" s="136" t="s">
        <v>474</v>
      </c>
      <c r="C7864" s="132" t="s">
        <v>1377</v>
      </c>
      <c r="D7864" s="132" t="s">
        <v>1381</v>
      </c>
      <c r="E7864" s="508"/>
      <c r="F7864" s="508"/>
      <c r="G7864" s="508"/>
      <c r="H7864" s="508"/>
      <c r="I7864" s="508"/>
      <c r="J7864" s="508">
        <v>2.8340000000000001</v>
      </c>
      <c r="K7864" s="508">
        <v>2.8340000000000001</v>
      </c>
      <c r="L7864" s="508">
        <v>2.8340000000000001</v>
      </c>
      <c r="M7864" s="508">
        <v>2.8340000000000001</v>
      </c>
      <c r="N7864" s="508">
        <v>2.8340000000000001</v>
      </c>
      <c r="O7864" s="508">
        <v>2.8340000000000001</v>
      </c>
      <c r="P7864" s="508">
        <v>2.8340000000000001</v>
      </c>
      <c r="Q7864" s="508">
        <v>2.8330000000000002</v>
      </c>
      <c r="R7864" s="508">
        <v>2.8330000000000002</v>
      </c>
      <c r="S7864" s="508">
        <v>2.8330000000000002</v>
      </c>
      <c r="T7864" s="508">
        <v>2.8330000000000002</v>
      </c>
      <c r="U7864" s="508">
        <v>2.8330000000000002</v>
      </c>
      <c r="V7864" s="508">
        <v>0.73</v>
      </c>
      <c r="W7864" s="508">
        <v>0.73</v>
      </c>
      <c r="X7864" s="508">
        <v>0.41099999999999998</v>
      </c>
      <c r="Y7864" s="508">
        <v>0.41099999999999998</v>
      </c>
      <c r="Z7864" s="508">
        <v>0.41099999999999998</v>
      </c>
      <c r="AA7864" s="508">
        <v>0.155</v>
      </c>
      <c r="AB7864" s="508">
        <v>0.155</v>
      </c>
      <c r="AC7864" s="508">
        <v>0.155</v>
      </c>
      <c r="AD7864" s="508">
        <v>5.8000000000000003E-2</v>
      </c>
      <c r="AE7864" s="508">
        <v>5.8000000000000003E-2</v>
      </c>
      <c r="AF7864" s="508">
        <v>5.8000000000000003E-2</v>
      </c>
      <c r="AG7864" s="508">
        <v>5.8000000000000003E-2</v>
      </c>
      <c r="AH7864" s="508">
        <v>5.7000000000000002E-2</v>
      </c>
      <c r="AI7864" s="492">
        <v>5.7000000000000002E-2</v>
      </c>
      <c r="AJ7864" s="485"/>
    </row>
    <row r="7865" spans="2:36">
      <c r="B7865" s="136" t="s">
        <v>475</v>
      </c>
      <c r="C7865" s="132" t="s">
        <v>1377</v>
      </c>
      <c r="D7865" s="132" t="s">
        <v>1381</v>
      </c>
      <c r="E7865" s="508"/>
      <c r="F7865" s="508"/>
      <c r="G7865" s="508"/>
      <c r="H7865" s="508"/>
      <c r="I7865" s="508"/>
      <c r="J7865" s="508">
        <v>2.802</v>
      </c>
      <c r="K7865" s="508">
        <v>2.802</v>
      </c>
      <c r="L7865" s="508">
        <v>2.802</v>
      </c>
      <c r="M7865" s="508">
        <v>2.802</v>
      </c>
      <c r="N7865" s="508">
        <v>2.8010000000000002</v>
      </c>
      <c r="O7865" s="508">
        <v>2.8010000000000002</v>
      </c>
      <c r="P7865" s="508">
        <v>2.8010000000000002</v>
      </c>
      <c r="Q7865" s="508">
        <v>2.8010000000000002</v>
      </c>
      <c r="R7865" s="508">
        <v>2.8010000000000002</v>
      </c>
      <c r="S7865" s="508">
        <v>2.8010000000000002</v>
      </c>
      <c r="T7865" s="508">
        <v>2.8010000000000002</v>
      </c>
      <c r="U7865" s="508">
        <v>2.8010000000000002</v>
      </c>
      <c r="V7865" s="508">
        <v>0.70499999999999996</v>
      </c>
      <c r="W7865" s="508">
        <v>0.70499999999999996</v>
      </c>
      <c r="X7865" s="508">
        <v>0.39700000000000002</v>
      </c>
      <c r="Y7865" s="508">
        <v>0.39700000000000002</v>
      </c>
      <c r="Z7865" s="508">
        <v>0.39700000000000002</v>
      </c>
      <c r="AA7865" s="508">
        <v>0.14899999999999999</v>
      </c>
      <c r="AB7865" s="508">
        <v>0.14899999999999999</v>
      </c>
      <c r="AC7865" s="508">
        <v>0.14899999999999999</v>
      </c>
      <c r="AD7865" s="508">
        <v>5.6000000000000001E-2</v>
      </c>
      <c r="AE7865" s="508">
        <v>5.6000000000000001E-2</v>
      </c>
      <c r="AF7865" s="508">
        <v>5.6000000000000001E-2</v>
      </c>
      <c r="AG7865" s="508">
        <v>5.6000000000000001E-2</v>
      </c>
      <c r="AH7865" s="508">
        <v>5.6000000000000001E-2</v>
      </c>
      <c r="AI7865" s="492">
        <v>5.6000000000000001E-2</v>
      </c>
      <c r="AJ7865" s="485"/>
    </row>
    <row r="7866" spans="2:36">
      <c r="B7866" s="136" t="s">
        <v>476</v>
      </c>
      <c r="C7866" s="132" t="s">
        <v>1377</v>
      </c>
      <c r="D7866" s="132" t="s">
        <v>1381</v>
      </c>
      <c r="E7866" s="508"/>
      <c r="F7866" s="508"/>
      <c r="G7866" s="508"/>
      <c r="H7866" s="508"/>
      <c r="I7866" s="508"/>
      <c r="J7866" s="508">
        <v>2.891</v>
      </c>
      <c r="K7866" s="508">
        <v>2.891</v>
      </c>
      <c r="L7866" s="508">
        <v>2.891</v>
      </c>
      <c r="M7866" s="508">
        <v>2.891</v>
      </c>
      <c r="N7866" s="508">
        <v>2.89</v>
      </c>
      <c r="O7866" s="508">
        <v>2.89</v>
      </c>
      <c r="P7866" s="508">
        <v>2.89</v>
      </c>
      <c r="Q7866" s="508">
        <v>2.89</v>
      </c>
      <c r="R7866" s="508">
        <v>2.89</v>
      </c>
      <c r="S7866" s="508">
        <v>2.89</v>
      </c>
      <c r="T7866" s="508">
        <v>2.89</v>
      </c>
      <c r="U7866" s="508">
        <v>2.89</v>
      </c>
      <c r="V7866" s="508">
        <v>0.76</v>
      </c>
      <c r="W7866" s="508">
        <v>0.76</v>
      </c>
      <c r="X7866" s="508">
        <v>0.42799999999999999</v>
      </c>
      <c r="Y7866" s="508">
        <v>0.42799999999999999</v>
      </c>
      <c r="Z7866" s="508">
        <v>0.42799999999999999</v>
      </c>
      <c r="AA7866" s="508">
        <v>0.161</v>
      </c>
      <c r="AB7866" s="508">
        <v>0.161</v>
      </c>
      <c r="AC7866" s="508">
        <v>0.161</v>
      </c>
      <c r="AD7866" s="508">
        <v>0.06</v>
      </c>
      <c r="AE7866" s="508">
        <v>0.06</v>
      </c>
      <c r="AF7866" s="508">
        <v>0.06</v>
      </c>
      <c r="AG7866" s="508">
        <v>0.06</v>
      </c>
      <c r="AH7866" s="508">
        <v>0.06</v>
      </c>
      <c r="AI7866" s="492">
        <v>5.8999999999999997E-2</v>
      </c>
      <c r="AJ7866" s="485"/>
    </row>
    <row r="7867" spans="2:36">
      <c r="B7867" s="136" t="s">
        <v>478</v>
      </c>
      <c r="C7867" s="132" t="s">
        <v>1377</v>
      </c>
      <c r="D7867" s="132" t="s">
        <v>1381</v>
      </c>
      <c r="E7867" s="508"/>
      <c r="F7867" s="508"/>
      <c r="G7867" s="508"/>
      <c r="H7867" s="508"/>
      <c r="I7867" s="508"/>
      <c r="J7867" s="508">
        <v>2.9740000000000002</v>
      </c>
      <c r="K7867" s="508">
        <v>2.9740000000000002</v>
      </c>
      <c r="L7867" s="508">
        <v>2.9740000000000002</v>
      </c>
      <c r="M7867" s="508">
        <v>2.9740000000000002</v>
      </c>
      <c r="N7867" s="508">
        <v>2.9740000000000002</v>
      </c>
      <c r="O7867" s="508">
        <v>2.9729999999999999</v>
      </c>
      <c r="P7867" s="508">
        <v>2.9729999999999999</v>
      </c>
      <c r="Q7867" s="508">
        <v>2.9729999999999999</v>
      </c>
      <c r="R7867" s="508">
        <v>2.9729999999999999</v>
      </c>
      <c r="S7867" s="508">
        <v>2.9729999999999999</v>
      </c>
      <c r="T7867" s="508">
        <v>2.9729999999999999</v>
      </c>
      <c r="U7867" s="508">
        <v>2.9729999999999999</v>
      </c>
      <c r="V7867" s="508">
        <v>0.80700000000000005</v>
      </c>
      <c r="W7867" s="508">
        <v>0.80700000000000005</v>
      </c>
      <c r="X7867" s="508">
        <v>0.45500000000000002</v>
      </c>
      <c r="Y7867" s="508">
        <v>0.45500000000000002</v>
      </c>
      <c r="Z7867" s="508">
        <v>0.45500000000000002</v>
      </c>
      <c r="AA7867" s="508">
        <v>0.17100000000000001</v>
      </c>
      <c r="AB7867" s="508">
        <v>0.17100000000000001</v>
      </c>
      <c r="AC7867" s="508">
        <v>0.17100000000000001</v>
      </c>
      <c r="AD7867" s="508">
        <v>6.3E-2</v>
      </c>
      <c r="AE7867" s="508">
        <v>6.3E-2</v>
      </c>
      <c r="AF7867" s="508">
        <v>6.3E-2</v>
      </c>
      <c r="AG7867" s="508">
        <v>6.3E-2</v>
      </c>
      <c r="AH7867" s="508">
        <v>6.3E-2</v>
      </c>
      <c r="AI7867" s="492">
        <v>6.3E-2</v>
      </c>
      <c r="AJ7867" s="485"/>
    </row>
    <row r="7868" spans="2:36">
      <c r="B7868" s="136" t="s">
        <v>479</v>
      </c>
      <c r="C7868" s="132" t="s">
        <v>1377</v>
      </c>
      <c r="D7868" s="132" t="s">
        <v>1381</v>
      </c>
      <c r="E7868" s="508"/>
      <c r="F7868" s="508"/>
      <c r="G7868" s="508"/>
      <c r="H7868" s="508"/>
      <c r="I7868" s="508"/>
      <c r="J7868" s="508">
        <v>2.831</v>
      </c>
      <c r="K7868" s="508">
        <v>2.831</v>
      </c>
      <c r="L7868" s="508">
        <v>2.83</v>
      </c>
      <c r="M7868" s="508">
        <v>2.83</v>
      </c>
      <c r="N7868" s="508">
        <v>2.83</v>
      </c>
      <c r="O7868" s="508">
        <v>2.83</v>
      </c>
      <c r="P7868" s="508">
        <v>2.83</v>
      </c>
      <c r="Q7868" s="508">
        <v>2.83</v>
      </c>
      <c r="R7868" s="508">
        <v>2.83</v>
      </c>
      <c r="S7868" s="508">
        <v>2.83</v>
      </c>
      <c r="T7868" s="508">
        <v>2.83</v>
      </c>
      <c r="U7868" s="508">
        <v>2.83</v>
      </c>
      <c r="V7868" s="508">
        <v>0.71699999999999997</v>
      </c>
      <c r="W7868" s="508">
        <v>0.71699999999999997</v>
      </c>
      <c r="X7868" s="508">
        <v>0.40400000000000003</v>
      </c>
      <c r="Y7868" s="508">
        <v>0.40400000000000003</v>
      </c>
      <c r="Z7868" s="508">
        <v>0.40400000000000003</v>
      </c>
      <c r="AA7868" s="508">
        <v>0.152</v>
      </c>
      <c r="AB7868" s="508">
        <v>0.152</v>
      </c>
      <c r="AC7868" s="508">
        <v>0.152</v>
      </c>
      <c r="AD7868" s="508">
        <v>5.7000000000000002E-2</v>
      </c>
      <c r="AE7868" s="508">
        <v>5.7000000000000002E-2</v>
      </c>
      <c r="AF7868" s="508">
        <v>5.7000000000000002E-2</v>
      </c>
      <c r="AG7868" s="508">
        <v>5.7000000000000002E-2</v>
      </c>
      <c r="AH7868" s="508">
        <v>5.7000000000000002E-2</v>
      </c>
      <c r="AI7868" s="492">
        <v>5.7000000000000002E-2</v>
      </c>
      <c r="AJ7868" s="485"/>
    </row>
    <row r="7869" spans="2:36">
      <c r="B7869" s="136" t="s">
        <v>480</v>
      </c>
      <c r="C7869" s="132" t="s">
        <v>1377</v>
      </c>
      <c r="D7869" s="132" t="s">
        <v>1381</v>
      </c>
      <c r="E7869" s="508"/>
      <c r="F7869" s="508"/>
      <c r="G7869" s="508"/>
      <c r="H7869" s="508"/>
      <c r="I7869" s="508"/>
      <c r="J7869" s="508">
        <v>2.7160000000000002</v>
      </c>
      <c r="K7869" s="508">
        <v>2.7160000000000002</v>
      </c>
      <c r="L7869" s="508">
        <v>2.7149999999999999</v>
      </c>
      <c r="M7869" s="508">
        <v>2.7149999999999999</v>
      </c>
      <c r="N7869" s="508">
        <v>2.7149999999999999</v>
      </c>
      <c r="O7869" s="508">
        <v>2.7149999999999999</v>
      </c>
      <c r="P7869" s="508">
        <v>2.7149999999999999</v>
      </c>
      <c r="Q7869" s="508">
        <v>2.7149999999999999</v>
      </c>
      <c r="R7869" s="508">
        <v>2.7149999999999999</v>
      </c>
      <c r="S7869" s="508">
        <v>2.7149999999999999</v>
      </c>
      <c r="T7869" s="508">
        <v>2.714</v>
      </c>
      <c r="U7869" s="508">
        <v>2.714</v>
      </c>
      <c r="V7869" s="508">
        <v>0.622</v>
      </c>
      <c r="W7869" s="508">
        <v>0.622</v>
      </c>
      <c r="X7869" s="508">
        <v>0.35</v>
      </c>
      <c r="Y7869" s="508">
        <v>0.35</v>
      </c>
      <c r="Z7869" s="508">
        <v>0.35</v>
      </c>
      <c r="AA7869" s="508">
        <v>0.13200000000000001</v>
      </c>
      <c r="AB7869" s="508">
        <v>0.13200000000000001</v>
      </c>
      <c r="AC7869" s="508">
        <v>0.13200000000000001</v>
      </c>
      <c r="AD7869" s="508">
        <v>5.0999999999999997E-2</v>
      </c>
      <c r="AE7869" s="508">
        <v>5.0999999999999997E-2</v>
      </c>
      <c r="AF7869" s="508">
        <v>5.0999999999999997E-2</v>
      </c>
      <c r="AG7869" s="508">
        <v>5.0999999999999997E-2</v>
      </c>
      <c r="AH7869" s="508">
        <v>5.0999999999999997E-2</v>
      </c>
      <c r="AI7869" s="492">
        <v>5.0999999999999997E-2</v>
      </c>
      <c r="AJ7869" s="485"/>
    </row>
    <row r="7870" spans="2:36">
      <c r="B7870" s="136" t="s">
        <v>481</v>
      </c>
      <c r="C7870" s="132" t="s">
        <v>1377</v>
      </c>
      <c r="D7870" s="132" t="s">
        <v>1381</v>
      </c>
      <c r="E7870" s="508"/>
      <c r="F7870" s="508"/>
      <c r="G7870" s="508"/>
      <c r="H7870" s="508"/>
      <c r="I7870" s="508"/>
      <c r="J7870" s="508">
        <v>2.8610000000000002</v>
      </c>
      <c r="K7870" s="508">
        <v>2.8610000000000002</v>
      </c>
      <c r="L7870" s="508">
        <v>2.8610000000000002</v>
      </c>
      <c r="M7870" s="508">
        <v>2.8610000000000002</v>
      </c>
      <c r="N7870" s="508">
        <v>2.8610000000000002</v>
      </c>
      <c r="O7870" s="508">
        <v>2.8610000000000002</v>
      </c>
      <c r="P7870" s="508">
        <v>2.8610000000000002</v>
      </c>
      <c r="Q7870" s="508">
        <v>2.8610000000000002</v>
      </c>
      <c r="R7870" s="508">
        <v>2.8610000000000002</v>
      </c>
      <c r="S7870" s="508">
        <v>2.8610000000000002</v>
      </c>
      <c r="T7870" s="508">
        <v>2.86</v>
      </c>
      <c r="U7870" s="508">
        <v>2.86</v>
      </c>
      <c r="V7870" s="508">
        <v>0.73699999999999999</v>
      </c>
      <c r="W7870" s="508">
        <v>0.73699999999999999</v>
      </c>
      <c r="X7870" s="508">
        <v>0.41499999999999998</v>
      </c>
      <c r="Y7870" s="508">
        <v>0.41499999999999998</v>
      </c>
      <c r="Z7870" s="508">
        <v>0.41499999999999998</v>
      </c>
      <c r="AA7870" s="508">
        <v>0.156</v>
      </c>
      <c r="AB7870" s="508">
        <v>0.156</v>
      </c>
      <c r="AC7870" s="508">
        <v>0.156</v>
      </c>
      <c r="AD7870" s="508">
        <v>5.8000000000000003E-2</v>
      </c>
      <c r="AE7870" s="508">
        <v>5.8000000000000003E-2</v>
      </c>
      <c r="AF7870" s="508">
        <v>5.8000000000000003E-2</v>
      </c>
      <c r="AG7870" s="508">
        <v>5.8000000000000003E-2</v>
      </c>
      <c r="AH7870" s="508">
        <v>5.8000000000000003E-2</v>
      </c>
      <c r="AI7870" s="492">
        <v>5.8000000000000003E-2</v>
      </c>
      <c r="AJ7870" s="485"/>
    </row>
    <row r="7871" spans="2:36">
      <c r="B7871" s="136" t="s">
        <v>482</v>
      </c>
      <c r="C7871" s="132" t="s">
        <v>1377</v>
      </c>
      <c r="D7871" s="132" t="s">
        <v>1381</v>
      </c>
      <c r="E7871" s="508"/>
      <c r="F7871" s="508"/>
      <c r="G7871" s="508"/>
      <c r="H7871" s="508"/>
      <c r="I7871" s="508"/>
      <c r="J7871" s="508">
        <v>2.8639999999999999</v>
      </c>
      <c r="K7871" s="508">
        <v>2.8639999999999999</v>
      </c>
      <c r="L7871" s="508">
        <v>2.8639999999999999</v>
      </c>
      <c r="M7871" s="508">
        <v>2.8639999999999999</v>
      </c>
      <c r="N7871" s="508">
        <v>2.8639999999999999</v>
      </c>
      <c r="O7871" s="508">
        <v>2.8639999999999999</v>
      </c>
      <c r="P7871" s="508">
        <v>2.8639999999999999</v>
      </c>
      <c r="Q7871" s="508">
        <v>2.8639999999999999</v>
      </c>
      <c r="R7871" s="508">
        <v>2.8639999999999999</v>
      </c>
      <c r="S7871" s="508">
        <v>2.8639999999999999</v>
      </c>
      <c r="T7871" s="508">
        <v>2.8639999999999999</v>
      </c>
      <c r="U7871" s="508">
        <v>2.8639999999999999</v>
      </c>
      <c r="V7871" s="508">
        <v>0.73399999999999999</v>
      </c>
      <c r="W7871" s="508">
        <v>0.73399999999999999</v>
      </c>
      <c r="X7871" s="508">
        <v>0.41399999999999998</v>
      </c>
      <c r="Y7871" s="508">
        <v>0.41399999999999998</v>
      </c>
      <c r="Z7871" s="508">
        <v>0.41399999999999998</v>
      </c>
      <c r="AA7871" s="508">
        <v>0.155</v>
      </c>
      <c r="AB7871" s="508">
        <v>0.155</v>
      </c>
      <c r="AC7871" s="508">
        <v>0.155</v>
      </c>
      <c r="AD7871" s="508">
        <v>5.8000000000000003E-2</v>
      </c>
      <c r="AE7871" s="508">
        <v>5.8000000000000003E-2</v>
      </c>
      <c r="AF7871" s="508">
        <v>5.8000000000000003E-2</v>
      </c>
      <c r="AG7871" s="508">
        <v>5.8000000000000003E-2</v>
      </c>
      <c r="AH7871" s="508">
        <v>5.8000000000000003E-2</v>
      </c>
      <c r="AI7871" s="492">
        <v>5.8000000000000003E-2</v>
      </c>
      <c r="AJ7871" s="485"/>
    </row>
    <row r="7872" spans="2:36">
      <c r="B7872" s="136" t="s">
        <v>483</v>
      </c>
      <c r="C7872" s="132" t="s">
        <v>1377</v>
      </c>
      <c r="D7872" s="132" t="s">
        <v>1381</v>
      </c>
      <c r="E7872" s="508"/>
      <c r="F7872" s="508"/>
      <c r="G7872" s="508"/>
      <c r="H7872" s="508"/>
      <c r="I7872" s="508"/>
      <c r="J7872" s="508">
        <v>2.9540000000000002</v>
      </c>
      <c r="K7872" s="508">
        <v>2.9540000000000002</v>
      </c>
      <c r="L7872" s="508">
        <v>2.9540000000000002</v>
      </c>
      <c r="M7872" s="508">
        <v>2.9540000000000002</v>
      </c>
      <c r="N7872" s="508">
        <v>2.9540000000000002</v>
      </c>
      <c r="O7872" s="508">
        <v>2.9529999999999998</v>
      </c>
      <c r="P7872" s="508">
        <v>2.9529999999999998</v>
      </c>
      <c r="Q7872" s="508">
        <v>2.9529999999999998</v>
      </c>
      <c r="R7872" s="508">
        <v>2.9529999999999998</v>
      </c>
      <c r="S7872" s="508">
        <v>2.9529999999999998</v>
      </c>
      <c r="T7872" s="508">
        <v>2.9529999999999998</v>
      </c>
      <c r="U7872" s="508">
        <v>2.9529999999999998</v>
      </c>
      <c r="V7872" s="508">
        <v>0.79800000000000004</v>
      </c>
      <c r="W7872" s="508">
        <v>0.79800000000000004</v>
      </c>
      <c r="X7872" s="508">
        <v>0.45</v>
      </c>
      <c r="Y7872" s="508">
        <v>0.45</v>
      </c>
      <c r="Z7872" s="508">
        <v>0.45</v>
      </c>
      <c r="AA7872" s="508">
        <v>0.16900000000000001</v>
      </c>
      <c r="AB7872" s="508">
        <v>0.16900000000000001</v>
      </c>
      <c r="AC7872" s="508">
        <v>0.16900000000000001</v>
      </c>
      <c r="AD7872" s="508">
        <v>6.2E-2</v>
      </c>
      <c r="AE7872" s="508">
        <v>6.2E-2</v>
      </c>
      <c r="AF7872" s="508">
        <v>6.2E-2</v>
      </c>
      <c r="AG7872" s="508">
        <v>6.2E-2</v>
      </c>
      <c r="AH7872" s="508">
        <v>6.2E-2</v>
      </c>
      <c r="AI7872" s="492">
        <v>6.2E-2</v>
      </c>
      <c r="AJ7872" s="485"/>
    </row>
    <row r="7873" spans="2:36">
      <c r="B7873" s="136" t="s">
        <v>484</v>
      </c>
      <c r="C7873" s="132" t="s">
        <v>1377</v>
      </c>
      <c r="D7873" s="132" t="s">
        <v>1381</v>
      </c>
      <c r="E7873" s="508"/>
      <c r="F7873" s="508"/>
      <c r="G7873" s="508"/>
      <c r="H7873" s="508"/>
      <c r="I7873" s="508"/>
      <c r="J7873" s="508">
        <v>2.7050000000000001</v>
      </c>
      <c r="K7873" s="508">
        <v>2.7050000000000001</v>
      </c>
      <c r="L7873" s="508">
        <v>2.7050000000000001</v>
      </c>
      <c r="M7873" s="508">
        <v>2.7040000000000002</v>
      </c>
      <c r="N7873" s="508">
        <v>2.7040000000000002</v>
      </c>
      <c r="O7873" s="508">
        <v>2.7040000000000002</v>
      </c>
      <c r="P7873" s="508">
        <v>2.7040000000000002</v>
      </c>
      <c r="Q7873" s="508">
        <v>2.7040000000000002</v>
      </c>
      <c r="R7873" s="508">
        <v>2.7040000000000002</v>
      </c>
      <c r="S7873" s="508">
        <v>2.7040000000000002</v>
      </c>
      <c r="T7873" s="508">
        <v>2.7029999999999998</v>
      </c>
      <c r="U7873" s="508">
        <v>2.7029999999999998</v>
      </c>
      <c r="V7873" s="508">
        <v>0.63100000000000001</v>
      </c>
      <c r="W7873" s="508">
        <v>0.63100000000000001</v>
      </c>
      <c r="X7873" s="508">
        <v>0.35599999999999998</v>
      </c>
      <c r="Y7873" s="508">
        <v>0.35599999999999998</v>
      </c>
      <c r="Z7873" s="508">
        <v>0.35599999999999998</v>
      </c>
      <c r="AA7873" s="508">
        <v>0.13400000000000001</v>
      </c>
      <c r="AB7873" s="508">
        <v>0.13400000000000001</v>
      </c>
      <c r="AC7873" s="508">
        <v>0.13400000000000001</v>
      </c>
      <c r="AD7873" s="508">
        <v>5.1999999999999998E-2</v>
      </c>
      <c r="AE7873" s="508">
        <v>5.1999999999999998E-2</v>
      </c>
      <c r="AF7873" s="508">
        <v>5.1999999999999998E-2</v>
      </c>
      <c r="AG7873" s="508">
        <v>5.1999999999999998E-2</v>
      </c>
      <c r="AH7873" s="508">
        <v>5.0999999999999997E-2</v>
      </c>
      <c r="AI7873" s="492">
        <v>5.0999999999999997E-2</v>
      </c>
      <c r="AJ7873" s="485"/>
    </row>
    <row r="7874" spans="2:36">
      <c r="B7874" s="136" t="s">
        <v>486</v>
      </c>
      <c r="C7874" s="132" t="s">
        <v>1377</v>
      </c>
      <c r="D7874" s="132" t="s">
        <v>1381</v>
      </c>
      <c r="E7874" s="508"/>
      <c r="F7874" s="508"/>
      <c r="G7874" s="508"/>
      <c r="H7874" s="508"/>
      <c r="I7874" s="508"/>
      <c r="J7874" s="508">
        <v>2.8730000000000002</v>
      </c>
      <c r="K7874" s="508">
        <v>2.8730000000000002</v>
      </c>
      <c r="L7874" s="508">
        <v>2.8730000000000002</v>
      </c>
      <c r="M7874" s="508">
        <v>2.8730000000000002</v>
      </c>
      <c r="N7874" s="508">
        <v>2.8730000000000002</v>
      </c>
      <c r="O7874" s="508">
        <v>2.8730000000000002</v>
      </c>
      <c r="P7874" s="508">
        <v>2.8730000000000002</v>
      </c>
      <c r="Q7874" s="508">
        <v>2.8719999999999999</v>
      </c>
      <c r="R7874" s="508">
        <v>2.8719999999999999</v>
      </c>
      <c r="S7874" s="508">
        <v>2.8719999999999999</v>
      </c>
      <c r="T7874" s="508">
        <v>2.8719999999999999</v>
      </c>
      <c r="U7874" s="508">
        <v>2.8719999999999999</v>
      </c>
      <c r="V7874" s="508">
        <v>0.74199999999999999</v>
      </c>
      <c r="W7874" s="508">
        <v>0.74199999999999999</v>
      </c>
      <c r="X7874" s="508">
        <v>0.41799999999999998</v>
      </c>
      <c r="Y7874" s="508">
        <v>0.41799999999999998</v>
      </c>
      <c r="Z7874" s="508">
        <v>0.41799999999999998</v>
      </c>
      <c r="AA7874" s="508">
        <v>0.157</v>
      </c>
      <c r="AB7874" s="508">
        <v>0.157</v>
      </c>
      <c r="AC7874" s="508">
        <v>0.157</v>
      </c>
      <c r="AD7874" s="508">
        <v>5.8999999999999997E-2</v>
      </c>
      <c r="AE7874" s="508">
        <v>5.8999999999999997E-2</v>
      </c>
      <c r="AF7874" s="508">
        <v>5.8000000000000003E-2</v>
      </c>
      <c r="AG7874" s="508">
        <v>5.8000000000000003E-2</v>
      </c>
      <c r="AH7874" s="508">
        <v>5.8000000000000003E-2</v>
      </c>
      <c r="AI7874" s="492">
        <v>5.8000000000000003E-2</v>
      </c>
      <c r="AJ7874" s="485"/>
    </row>
    <row r="7875" spans="2:36">
      <c r="B7875" s="136" t="s">
        <v>487</v>
      </c>
      <c r="C7875" s="132" t="s">
        <v>1377</v>
      </c>
      <c r="D7875" s="132" t="s">
        <v>1381</v>
      </c>
      <c r="E7875" s="508"/>
      <c r="F7875" s="508"/>
      <c r="G7875" s="508"/>
      <c r="H7875" s="508"/>
      <c r="I7875" s="508"/>
      <c r="J7875" s="508">
        <v>2.8929999999999998</v>
      </c>
      <c r="K7875" s="508">
        <v>2.8919999999999999</v>
      </c>
      <c r="L7875" s="508">
        <v>2.8919999999999999</v>
      </c>
      <c r="M7875" s="508">
        <v>2.8919999999999999</v>
      </c>
      <c r="N7875" s="508">
        <v>2.8919999999999999</v>
      </c>
      <c r="O7875" s="508">
        <v>2.8919999999999999</v>
      </c>
      <c r="P7875" s="508">
        <v>2.8919999999999999</v>
      </c>
      <c r="Q7875" s="508">
        <v>2.8919999999999999</v>
      </c>
      <c r="R7875" s="508">
        <v>2.8919999999999999</v>
      </c>
      <c r="S7875" s="508">
        <v>2.8919999999999999</v>
      </c>
      <c r="T7875" s="508">
        <v>2.891</v>
      </c>
      <c r="U7875" s="508">
        <v>2.891</v>
      </c>
      <c r="V7875" s="508">
        <v>0.74299999999999999</v>
      </c>
      <c r="W7875" s="508">
        <v>0.74299999999999999</v>
      </c>
      <c r="X7875" s="508">
        <v>0.41899999999999998</v>
      </c>
      <c r="Y7875" s="508">
        <v>0.41899999999999998</v>
      </c>
      <c r="Z7875" s="508">
        <v>0.41899999999999998</v>
      </c>
      <c r="AA7875" s="508">
        <v>0.157</v>
      </c>
      <c r="AB7875" s="508">
        <v>0.157</v>
      </c>
      <c r="AC7875" s="508">
        <v>0.157</v>
      </c>
      <c r="AD7875" s="508">
        <v>5.8999999999999997E-2</v>
      </c>
      <c r="AE7875" s="508">
        <v>5.8999999999999997E-2</v>
      </c>
      <c r="AF7875" s="508">
        <v>5.8999999999999997E-2</v>
      </c>
      <c r="AG7875" s="508">
        <v>5.8999999999999997E-2</v>
      </c>
      <c r="AH7875" s="508">
        <v>5.8999999999999997E-2</v>
      </c>
      <c r="AI7875" s="492">
        <v>5.8999999999999997E-2</v>
      </c>
      <c r="AJ7875" s="485"/>
    </row>
    <row r="7876" spans="2:36">
      <c r="B7876" s="136" t="s">
        <v>488</v>
      </c>
      <c r="C7876" s="132" t="s">
        <v>1377</v>
      </c>
      <c r="D7876" s="132" t="s">
        <v>1381</v>
      </c>
      <c r="E7876" s="508"/>
      <c r="F7876" s="508"/>
      <c r="G7876" s="508"/>
      <c r="H7876" s="508"/>
      <c r="I7876" s="508"/>
      <c r="J7876" s="508">
        <v>2.7530000000000001</v>
      </c>
      <c r="K7876" s="508">
        <v>2.7530000000000001</v>
      </c>
      <c r="L7876" s="508">
        <v>2.7530000000000001</v>
      </c>
      <c r="M7876" s="508">
        <v>2.7519999999999998</v>
      </c>
      <c r="N7876" s="508">
        <v>2.7519999999999998</v>
      </c>
      <c r="O7876" s="508">
        <v>2.7519999999999998</v>
      </c>
      <c r="P7876" s="508">
        <v>2.7519999999999998</v>
      </c>
      <c r="Q7876" s="508">
        <v>2.7519999999999998</v>
      </c>
      <c r="R7876" s="508">
        <v>2.7519999999999998</v>
      </c>
      <c r="S7876" s="508">
        <v>2.7519999999999998</v>
      </c>
      <c r="T7876" s="508">
        <v>2.7519999999999998</v>
      </c>
      <c r="U7876" s="508">
        <v>2.7519999999999998</v>
      </c>
      <c r="V7876" s="508">
        <v>0.65700000000000003</v>
      </c>
      <c r="W7876" s="508">
        <v>0.65700000000000003</v>
      </c>
      <c r="X7876" s="508">
        <v>0.37</v>
      </c>
      <c r="Y7876" s="508">
        <v>0.37</v>
      </c>
      <c r="Z7876" s="508">
        <v>0.37</v>
      </c>
      <c r="AA7876" s="508">
        <v>0.13900000000000001</v>
      </c>
      <c r="AB7876" s="508">
        <v>0.13900000000000001</v>
      </c>
      <c r="AC7876" s="508">
        <v>0.13900000000000001</v>
      </c>
      <c r="AD7876" s="508">
        <v>5.2999999999999999E-2</v>
      </c>
      <c r="AE7876" s="508">
        <v>5.2999999999999999E-2</v>
      </c>
      <c r="AF7876" s="508">
        <v>5.2999999999999999E-2</v>
      </c>
      <c r="AG7876" s="508">
        <v>5.2999999999999999E-2</v>
      </c>
      <c r="AH7876" s="508">
        <v>5.2999999999999999E-2</v>
      </c>
      <c r="AI7876" s="492">
        <v>5.2999999999999999E-2</v>
      </c>
      <c r="AJ7876" s="485"/>
    </row>
    <row r="7877" spans="2:36">
      <c r="B7877" s="136" t="s">
        <v>489</v>
      </c>
      <c r="C7877" s="132" t="s">
        <v>1377</v>
      </c>
      <c r="D7877" s="132" t="s">
        <v>1381</v>
      </c>
      <c r="E7877" s="508"/>
      <c r="F7877" s="508"/>
      <c r="G7877" s="508"/>
      <c r="H7877" s="508"/>
      <c r="I7877" s="508"/>
      <c r="J7877" s="508">
        <v>2.7970000000000002</v>
      </c>
      <c r="K7877" s="508">
        <v>2.7970000000000002</v>
      </c>
      <c r="L7877" s="508">
        <v>2.7970000000000002</v>
      </c>
      <c r="M7877" s="508">
        <v>2.7970000000000002</v>
      </c>
      <c r="N7877" s="508">
        <v>2.7959999999999998</v>
      </c>
      <c r="O7877" s="508">
        <v>2.7959999999999998</v>
      </c>
      <c r="P7877" s="508">
        <v>2.7959999999999998</v>
      </c>
      <c r="Q7877" s="508">
        <v>2.7959999999999998</v>
      </c>
      <c r="R7877" s="508">
        <v>2.7959999999999998</v>
      </c>
      <c r="S7877" s="508">
        <v>2.7959999999999998</v>
      </c>
      <c r="T7877" s="508">
        <v>2.7959999999999998</v>
      </c>
      <c r="U7877" s="508">
        <v>2.7959999999999998</v>
      </c>
      <c r="V7877" s="508">
        <v>0.69799999999999995</v>
      </c>
      <c r="W7877" s="508">
        <v>0.69799999999999995</v>
      </c>
      <c r="X7877" s="508">
        <v>0.39300000000000002</v>
      </c>
      <c r="Y7877" s="508">
        <v>0.39300000000000002</v>
      </c>
      <c r="Z7877" s="508">
        <v>0.39300000000000002</v>
      </c>
      <c r="AA7877" s="508">
        <v>0.14799999999999999</v>
      </c>
      <c r="AB7877" s="508">
        <v>0.14799999999999999</v>
      </c>
      <c r="AC7877" s="508">
        <v>0.14799999999999999</v>
      </c>
      <c r="AD7877" s="508">
        <v>5.6000000000000001E-2</v>
      </c>
      <c r="AE7877" s="508">
        <v>5.6000000000000001E-2</v>
      </c>
      <c r="AF7877" s="508">
        <v>5.6000000000000001E-2</v>
      </c>
      <c r="AG7877" s="508">
        <v>5.6000000000000001E-2</v>
      </c>
      <c r="AH7877" s="508">
        <v>5.6000000000000001E-2</v>
      </c>
      <c r="AI7877" s="492">
        <v>5.6000000000000001E-2</v>
      </c>
      <c r="AJ7877" s="485"/>
    </row>
    <row r="7878" spans="2:36">
      <c r="B7878" s="136" t="s">
        <v>490</v>
      </c>
      <c r="C7878" s="132" t="s">
        <v>1377</v>
      </c>
      <c r="D7878" s="132" t="s">
        <v>1381</v>
      </c>
      <c r="E7878" s="508"/>
      <c r="F7878" s="508"/>
      <c r="G7878" s="508"/>
      <c r="H7878" s="508"/>
      <c r="I7878" s="508"/>
      <c r="J7878" s="508">
        <v>2.7370000000000001</v>
      </c>
      <c r="K7878" s="508">
        <v>2.7370000000000001</v>
      </c>
      <c r="L7878" s="508">
        <v>2.7370000000000001</v>
      </c>
      <c r="M7878" s="508">
        <v>2.7370000000000001</v>
      </c>
      <c r="N7878" s="508">
        <v>2.7360000000000002</v>
      </c>
      <c r="O7878" s="508">
        <v>2.7360000000000002</v>
      </c>
      <c r="P7878" s="508">
        <v>2.7360000000000002</v>
      </c>
      <c r="Q7878" s="508">
        <v>2.7360000000000002</v>
      </c>
      <c r="R7878" s="508">
        <v>2.7360000000000002</v>
      </c>
      <c r="S7878" s="508">
        <v>2.7360000000000002</v>
      </c>
      <c r="T7878" s="508">
        <v>2.7360000000000002</v>
      </c>
      <c r="U7878" s="508">
        <v>2.7360000000000002</v>
      </c>
      <c r="V7878" s="508">
        <v>0.63100000000000001</v>
      </c>
      <c r="W7878" s="508">
        <v>0.63100000000000001</v>
      </c>
      <c r="X7878" s="508">
        <v>0.35499999999999998</v>
      </c>
      <c r="Y7878" s="508">
        <v>0.35499999999999998</v>
      </c>
      <c r="Z7878" s="508">
        <v>0.35499999999999998</v>
      </c>
      <c r="AA7878" s="508">
        <v>0.13400000000000001</v>
      </c>
      <c r="AB7878" s="508">
        <v>0.13400000000000001</v>
      </c>
      <c r="AC7878" s="508">
        <v>0.13400000000000001</v>
      </c>
      <c r="AD7878" s="508">
        <v>5.1999999999999998E-2</v>
      </c>
      <c r="AE7878" s="508">
        <v>5.1999999999999998E-2</v>
      </c>
      <c r="AF7878" s="508">
        <v>5.1999999999999998E-2</v>
      </c>
      <c r="AG7878" s="508">
        <v>5.1999999999999998E-2</v>
      </c>
      <c r="AH7878" s="508">
        <v>5.0999999999999997E-2</v>
      </c>
      <c r="AI7878" s="492">
        <v>5.0999999999999997E-2</v>
      </c>
      <c r="AJ7878" s="485"/>
    </row>
    <row r="7879" spans="2:36">
      <c r="B7879" s="136" t="s">
        <v>435</v>
      </c>
      <c r="C7879" s="132" t="s">
        <v>1378</v>
      </c>
      <c r="D7879" s="132" t="s">
        <v>1381</v>
      </c>
      <c r="E7879" s="508">
        <v>1.3779999999999999</v>
      </c>
      <c r="F7879" s="508">
        <v>1.3779999999999999</v>
      </c>
      <c r="G7879" s="508">
        <v>1.377</v>
      </c>
      <c r="H7879" s="508">
        <v>1.3759999999999999</v>
      </c>
      <c r="I7879" s="508">
        <v>1.3759999999999999</v>
      </c>
      <c r="J7879" s="508">
        <v>1.375</v>
      </c>
      <c r="K7879" s="508">
        <v>1.375</v>
      </c>
      <c r="L7879" s="508">
        <v>1.3740000000000001</v>
      </c>
      <c r="M7879" s="508">
        <v>1.373</v>
      </c>
      <c r="N7879" s="508">
        <v>1.373</v>
      </c>
      <c r="O7879" s="508">
        <v>1.3720000000000001</v>
      </c>
      <c r="P7879" s="508">
        <v>1.373</v>
      </c>
      <c r="Q7879" s="508">
        <v>1.3720000000000001</v>
      </c>
      <c r="R7879" s="508">
        <v>1.3720000000000001</v>
      </c>
      <c r="S7879" s="508">
        <v>1.371</v>
      </c>
      <c r="T7879" s="508">
        <v>1.371</v>
      </c>
      <c r="U7879" s="508">
        <v>1.371</v>
      </c>
      <c r="V7879" s="508">
        <v>1.37</v>
      </c>
      <c r="W7879" s="508">
        <v>0.86099999999999999</v>
      </c>
      <c r="X7879" s="508">
        <v>0.86</v>
      </c>
      <c r="Y7879" s="508">
        <v>0.86</v>
      </c>
      <c r="Z7879" s="508">
        <v>0.76400000000000001</v>
      </c>
      <c r="AA7879" s="508">
        <v>7.8E-2</v>
      </c>
      <c r="AB7879" s="508">
        <v>6.5000000000000002E-2</v>
      </c>
      <c r="AC7879" s="508">
        <v>6.5000000000000002E-2</v>
      </c>
      <c r="AD7879" s="508">
        <v>4.2000000000000003E-2</v>
      </c>
      <c r="AE7879" s="508">
        <v>4.2000000000000003E-2</v>
      </c>
      <c r="AF7879" s="508">
        <v>3.9E-2</v>
      </c>
      <c r="AG7879" s="508">
        <v>3.7999999999999999E-2</v>
      </c>
      <c r="AH7879" s="508">
        <v>3.7999999999999999E-2</v>
      </c>
      <c r="AI7879" s="492">
        <v>3.7999999999999999E-2</v>
      </c>
      <c r="AJ7879" s="485"/>
    </row>
    <row r="7880" spans="2:36">
      <c r="B7880" s="136" t="s">
        <v>436</v>
      </c>
      <c r="C7880" s="132" t="s">
        <v>1378</v>
      </c>
      <c r="D7880" s="132" t="s">
        <v>1381</v>
      </c>
      <c r="E7880" s="508">
        <v>1.405</v>
      </c>
      <c r="F7880" s="508">
        <v>1.403</v>
      </c>
      <c r="G7880" s="508">
        <v>1.401</v>
      </c>
      <c r="H7880" s="508">
        <v>1.399</v>
      </c>
      <c r="I7880" s="508">
        <v>1.397</v>
      </c>
      <c r="J7880" s="508">
        <v>1.395</v>
      </c>
      <c r="K7880" s="508">
        <v>1.393</v>
      </c>
      <c r="L7880" s="508">
        <v>1.3919999999999999</v>
      </c>
      <c r="M7880" s="508">
        <v>1.39</v>
      </c>
      <c r="N7880" s="508">
        <v>1.3879999999999999</v>
      </c>
      <c r="O7880" s="508">
        <v>1.387</v>
      </c>
      <c r="P7880" s="508">
        <v>1.3859999999999999</v>
      </c>
      <c r="Q7880" s="508">
        <v>1.385</v>
      </c>
      <c r="R7880" s="508">
        <v>1.383</v>
      </c>
      <c r="S7880" s="508">
        <v>1.3819999999999999</v>
      </c>
      <c r="T7880" s="508">
        <v>1.381</v>
      </c>
      <c r="U7880" s="508">
        <v>1.379</v>
      </c>
      <c r="V7880" s="508">
        <v>1.3779999999999999</v>
      </c>
      <c r="W7880" s="508">
        <v>0.85499999999999998</v>
      </c>
      <c r="X7880" s="508">
        <v>0.85399999999999998</v>
      </c>
      <c r="Y7880" s="508">
        <v>0.85299999999999998</v>
      </c>
      <c r="Z7880" s="508">
        <v>0.75900000000000001</v>
      </c>
      <c r="AA7880" s="508">
        <v>8.5999999999999993E-2</v>
      </c>
      <c r="AB7880" s="508">
        <v>7.2999999999999995E-2</v>
      </c>
      <c r="AC7880" s="508">
        <v>7.2999999999999995E-2</v>
      </c>
      <c r="AD7880" s="508">
        <v>0.05</v>
      </c>
      <c r="AE7880" s="508">
        <v>4.9000000000000002E-2</v>
      </c>
      <c r="AF7880" s="508">
        <v>4.5999999999999999E-2</v>
      </c>
      <c r="AG7880" s="508">
        <v>4.5999999999999999E-2</v>
      </c>
      <c r="AH7880" s="508">
        <v>4.4999999999999998E-2</v>
      </c>
      <c r="AI7880" s="492">
        <v>4.4999999999999998E-2</v>
      </c>
      <c r="AJ7880" s="485"/>
    </row>
    <row r="7881" spans="2:36">
      <c r="B7881" s="136" t="s">
        <v>437</v>
      </c>
      <c r="C7881" s="132" t="s">
        <v>1378</v>
      </c>
      <c r="D7881" s="132" t="s">
        <v>1381</v>
      </c>
      <c r="E7881" s="508">
        <v>1.401</v>
      </c>
      <c r="F7881" s="508">
        <v>1.401</v>
      </c>
      <c r="G7881" s="508">
        <v>1.4</v>
      </c>
      <c r="H7881" s="508">
        <v>1.4</v>
      </c>
      <c r="I7881" s="508">
        <v>1.399</v>
      </c>
      <c r="J7881" s="508">
        <v>1.399</v>
      </c>
      <c r="K7881" s="508">
        <v>1.3979999999999999</v>
      </c>
      <c r="L7881" s="508">
        <v>1.3979999999999999</v>
      </c>
      <c r="M7881" s="508">
        <v>1.397</v>
      </c>
      <c r="N7881" s="508">
        <v>1.397</v>
      </c>
      <c r="O7881" s="508">
        <v>1.397</v>
      </c>
      <c r="P7881" s="508">
        <v>1.397</v>
      </c>
      <c r="Q7881" s="508">
        <v>1.397</v>
      </c>
      <c r="R7881" s="508">
        <v>1.3959999999999999</v>
      </c>
      <c r="S7881" s="508">
        <v>1.3959999999999999</v>
      </c>
      <c r="T7881" s="508">
        <v>1.3959999999999999</v>
      </c>
      <c r="U7881" s="508">
        <v>1.395</v>
      </c>
      <c r="V7881" s="508">
        <v>1.395</v>
      </c>
      <c r="W7881" s="508">
        <v>0.877</v>
      </c>
      <c r="X7881" s="508">
        <v>0.877</v>
      </c>
      <c r="Y7881" s="508">
        <v>0.876</v>
      </c>
      <c r="Z7881" s="508">
        <v>0.77800000000000002</v>
      </c>
      <c r="AA7881" s="508">
        <v>7.9000000000000001E-2</v>
      </c>
      <c r="AB7881" s="508">
        <v>6.6000000000000003E-2</v>
      </c>
      <c r="AC7881" s="508">
        <v>6.6000000000000003E-2</v>
      </c>
      <c r="AD7881" s="508">
        <v>4.2000000000000003E-2</v>
      </c>
      <c r="AE7881" s="508">
        <v>4.2000000000000003E-2</v>
      </c>
      <c r="AF7881" s="508">
        <v>3.9E-2</v>
      </c>
      <c r="AG7881" s="508">
        <v>3.7999999999999999E-2</v>
      </c>
      <c r="AH7881" s="508">
        <v>3.7999999999999999E-2</v>
      </c>
      <c r="AI7881" s="492">
        <v>3.7999999999999999E-2</v>
      </c>
      <c r="AJ7881" s="485"/>
    </row>
    <row r="7882" spans="2:36">
      <c r="B7882" s="136" t="s">
        <v>438</v>
      </c>
      <c r="C7882" s="132" t="s">
        <v>1378</v>
      </c>
      <c r="D7882" s="132" t="s">
        <v>1381</v>
      </c>
      <c r="E7882" s="508">
        <v>1.3480000000000001</v>
      </c>
      <c r="F7882" s="508">
        <v>1.347</v>
      </c>
      <c r="G7882" s="508">
        <v>1.347</v>
      </c>
      <c r="H7882" s="508">
        <v>1.3460000000000001</v>
      </c>
      <c r="I7882" s="508">
        <v>1.345</v>
      </c>
      <c r="J7882" s="508">
        <v>1.3440000000000001</v>
      </c>
      <c r="K7882" s="508">
        <v>1.3440000000000001</v>
      </c>
      <c r="L7882" s="508">
        <v>1.343</v>
      </c>
      <c r="M7882" s="508">
        <v>1.3420000000000001</v>
      </c>
      <c r="N7882" s="508">
        <v>1.3420000000000001</v>
      </c>
      <c r="O7882" s="508">
        <v>1.341</v>
      </c>
      <c r="P7882" s="508">
        <v>1.3420000000000001</v>
      </c>
      <c r="Q7882" s="508">
        <v>1.341</v>
      </c>
      <c r="R7882" s="508">
        <v>1.34</v>
      </c>
      <c r="S7882" s="508">
        <v>1.34</v>
      </c>
      <c r="T7882" s="508">
        <v>1.339</v>
      </c>
      <c r="U7882" s="508">
        <v>1.339</v>
      </c>
      <c r="V7882" s="508">
        <v>1.339</v>
      </c>
      <c r="W7882" s="508">
        <v>0.81499999999999995</v>
      </c>
      <c r="X7882" s="508">
        <v>0.81499999999999995</v>
      </c>
      <c r="Y7882" s="508">
        <v>0.81399999999999995</v>
      </c>
      <c r="Z7882" s="508">
        <v>0.72399999999999998</v>
      </c>
      <c r="AA7882" s="508">
        <v>7.4999999999999997E-2</v>
      </c>
      <c r="AB7882" s="508">
        <v>6.3E-2</v>
      </c>
      <c r="AC7882" s="508">
        <v>6.3E-2</v>
      </c>
      <c r="AD7882" s="508">
        <v>0.04</v>
      </c>
      <c r="AE7882" s="508">
        <v>0.04</v>
      </c>
      <c r="AF7882" s="508">
        <v>3.6999999999999998E-2</v>
      </c>
      <c r="AG7882" s="508">
        <v>3.6999999999999998E-2</v>
      </c>
      <c r="AH7882" s="508">
        <v>3.6999999999999998E-2</v>
      </c>
      <c r="AI7882" s="492">
        <v>3.6999999999999998E-2</v>
      </c>
      <c r="AJ7882" s="485"/>
    </row>
    <row r="7883" spans="2:36">
      <c r="B7883" s="136" t="s">
        <v>439</v>
      </c>
      <c r="C7883" s="132" t="s">
        <v>1378</v>
      </c>
      <c r="D7883" s="132" t="s">
        <v>1381</v>
      </c>
      <c r="E7883" s="508">
        <v>1.411</v>
      </c>
      <c r="F7883" s="508">
        <v>1.41</v>
      </c>
      <c r="G7883" s="508">
        <v>1.409</v>
      </c>
      <c r="H7883" s="508">
        <v>1.4079999999999999</v>
      </c>
      <c r="I7883" s="508">
        <v>1.4079999999999999</v>
      </c>
      <c r="J7883" s="508">
        <v>1.407</v>
      </c>
      <c r="K7883" s="508">
        <v>1.407</v>
      </c>
      <c r="L7883" s="508">
        <v>1.4059999999999999</v>
      </c>
      <c r="M7883" s="508">
        <v>1.405</v>
      </c>
      <c r="N7883" s="508">
        <v>1.405</v>
      </c>
      <c r="O7883" s="508">
        <v>1.4039999999999999</v>
      </c>
      <c r="P7883" s="508">
        <v>1.405</v>
      </c>
      <c r="Q7883" s="508">
        <v>1.4039999999999999</v>
      </c>
      <c r="R7883" s="508">
        <v>1.4039999999999999</v>
      </c>
      <c r="S7883" s="508">
        <v>1.403</v>
      </c>
      <c r="T7883" s="508">
        <v>1.403</v>
      </c>
      <c r="U7883" s="508">
        <v>1.4019999999999999</v>
      </c>
      <c r="V7883" s="508">
        <v>1.4019999999999999</v>
      </c>
      <c r="W7883" s="508">
        <v>0.88</v>
      </c>
      <c r="X7883" s="508">
        <v>0.879</v>
      </c>
      <c r="Y7883" s="508">
        <v>0.879</v>
      </c>
      <c r="Z7883" s="508">
        <v>0.78100000000000003</v>
      </c>
      <c r="AA7883" s="508">
        <v>0.08</v>
      </c>
      <c r="AB7883" s="508">
        <v>6.7000000000000004E-2</v>
      </c>
      <c r="AC7883" s="508">
        <v>6.7000000000000004E-2</v>
      </c>
      <c r="AD7883" s="508">
        <v>4.2999999999999997E-2</v>
      </c>
      <c r="AE7883" s="508">
        <v>4.2999999999999997E-2</v>
      </c>
      <c r="AF7883" s="508">
        <v>0.04</v>
      </c>
      <c r="AG7883" s="508">
        <v>3.9E-2</v>
      </c>
      <c r="AH7883" s="508">
        <v>3.9E-2</v>
      </c>
      <c r="AI7883" s="492">
        <v>3.9E-2</v>
      </c>
      <c r="AJ7883" s="485"/>
    </row>
    <row r="7884" spans="2:36">
      <c r="B7884" s="136" t="s">
        <v>440</v>
      </c>
      <c r="C7884" s="132" t="s">
        <v>1378</v>
      </c>
      <c r="D7884" s="132" t="s">
        <v>1381</v>
      </c>
      <c r="E7884" s="508">
        <v>1.411</v>
      </c>
      <c r="F7884" s="508">
        <v>1.41</v>
      </c>
      <c r="G7884" s="508">
        <v>1.409</v>
      </c>
      <c r="H7884" s="508">
        <v>1.407</v>
      </c>
      <c r="I7884" s="508">
        <v>1.4059999999999999</v>
      </c>
      <c r="J7884" s="508">
        <v>1.405</v>
      </c>
      <c r="K7884" s="508">
        <v>1.4039999999999999</v>
      </c>
      <c r="L7884" s="508">
        <v>1.403</v>
      </c>
      <c r="M7884" s="508">
        <v>1.401</v>
      </c>
      <c r="N7884" s="508">
        <v>1.4</v>
      </c>
      <c r="O7884" s="508">
        <v>1.399</v>
      </c>
      <c r="P7884" s="508">
        <v>1.399</v>
      </c>
      <c r="Q7884" s="508">
        <v>1.3979999999999999</v>
      </c>
      <c r="R7884" s="508">
        <v>1.397</v>
      </c>
      <c r="S7884" s="508">
        <v>1.397</v>
      </c>
      <c r="T7884" s="508">
        <v>1.3959999999999999</v>
      </c>
      <c r="U7884" s="508">
        <v>1.395</v>
      </c>
      <c r="V7884" s="508">
        <v>1.3939999999999999</v>
      </c>
      <c r="W7884" s="508">
        <v>0.873</v>
      </c>
      <c r="X7884" s="508">
        <v>0.873</v>
      </c>
      <c r="Y7884" s="508">
        <v>0.872</v>
      </c>
      <c r="Z7884" s="508">
        <v>0.77500000000000002</v>
      </c>
      <c r="AA7884" s="508">
        <v>8.3000000000000004E-2</v>
      </c>
      <c r="AB7884" s="508">
        <v>7.0000000000000007E-2</v>
      </c>
      <c r="AC7884" s="508">
        <v>7.0000000000000007E-2</v>
      </c>
      <c r="AD7884" s="508">
        <v>4.5999999999999999E-2</v>
      </c>
      <c r="AE7884" s="508">
        <v>4.5999999999999999E-2</v>
      </c>
      <c r="AF7884" s="508">
        <v>4.2999999999999997E-2</v>
      </c>
      <c r="AG7884" s="508">
        <v>4.2999999999999997E-2</v>
      </c>
      <c r="AH7884" s="508">
        <v>4.2000000000000003E-2</v>
      </c>
      <c r="AI7884" s="492">
        <v>4.2000000000000003E-2</v>
      </c>
      <c r="AJ7884" s="485"/>
    </row>
    <row r="7885" spans="2:36">
      <c r="B7885" s="136" t="s">
        <v>441</v>
      </c>
      <c r="C7885" s="132" t="s">
        <v>1378</v>
      </c>
      <c r="D7885" s="132" t="s">
        <v>1381</v>
      </c>
      <c r="E7885" s="508">
        <v>1.4339999999999999</v>
      </c>
      <c r="F7885" s="508">
        <v>1.4330000000000001</v>
      </c>
      <c r="G7885" s="508">
        <v>1.4319999999999999</v>
      </c>
      <c r="H7885" s="508">
        <v>1.431</v>
      </c>
      <c r="I7885" s="508">
        <v>1.429</v>
      </c>
      <c r="J7885" s="508">
        <v>1.4279999999999999</v>
      </c>
      <c r="K7885" s="508">
        <v>1.427</v>
      </c>
      <c r="L7885" s="508">
        <v>1.4259999999999999</v>
      </c>
      <c r="M7885" s="508">
        <v>1.425</v>
      </c>
      <c r="N7885" s="508">
        <v>1.4239999999999999</v>
      </c>
      <c r="O7885" s="508">
        <v>1.423</v>
      </c>
      <c r="P7885" s="508">
        <v>1.423</v>
      </c>
      <c r="Q7885" s="508">
        <v>1.4219999999999999</v>
      </c>
      <c r="R7885" s="508">
        <v>1.421</v>
      </c>
      <c r="S7885" s="508">
        <v>1.42</v>
      </c>
      <c r="T7885" s="508">
        <v>1.419</v>
      </c>
      <c r="U7885" s="508">
        <v>1.4179999999999999</v>
      </c>
      <c r="V7885" s="508">
        <v>1.4179999999999999</v>
      </c>
      <c r="W7885" s="508">
        <v>0.89400000000000002</v>
      </c>
      <c r="X7885" s="508">
        <v>0.89300000000000002</v>
      </c>
      <c r="Y7885" s="508">
        <v>0.89200000000000002</v>
      </c>
      <c r="Z7885" s="508">
        <v>0.79300000000000004</v>
      </c>
      <c r="AA7885" s="508">
        <v>8.5000000000000006E-2</v>
      </c>
      <c r="AB7885" s="508">
        <v>7.1999999999999995E-2</v>
      </c>
      <c r="AC7885" s="508">
        <v>7.0999999999999994E-2</v>
      </c>
      <c r="AD7885" s="508">
        <v>4.7E-2</v>
      </c>
      <c r="AE7885" s="508">
        <v>4.7E-2</v>
      </c>
      <c r="AF7885" s="508">
        <v>4.3999999999999997E-2</v>
      </c>
      <c r="AG7885" s="508">
        <v>4.2999999999999997E-2</v>
      </c>
      <c r="AH7885" s="508">
        <v>4.2999999999999997E-2</v>
      </c>
      <c r="AI7885" s="492">
        <v>4.2999999999999997E-2</v>
      </c>
      <c r="AJ7885" s="485"/>
    </row>
    <row r="7886" spans="2:36">
      <c r="B7886" s="136" t="s">
        <v>443</v>
      </c>
      <c r="C7886" s="132" t="s">
        <v>1378</v>
      </c>
      <c r="D7886" s="132" t="s">
        <v>1381</v>
      </c>
      <c r="E7886" s="508">
        <v>1.427</v>
      </c>
      <c r="F7886" s="508">
        <v>1.4259999999999999</v>
      </c>
      <c r="G7886" s="508">
        <v>1.425</v>
      </c>
      <c r="H7886" s="508">
        <v>1.4239999999999999</v>
      </c>
      <c r="I7886" s="508">
        <v>1.423</v>
      </c>
      <c r="J7886" s="508">
        <v>1.4219999999999999</v>
      </c>
      <c r="K7886" s="508">
        <v>1.421</v>
      </c>
      <c r="L7886" s="508">
        <v>1.42</v>
      </c>
      <c r="M7886" s="508">
        <v>1.419</v>
      </c>
      <c r="N7886" s="508">
        <v>1.4179999999999999</v>
      </c>
      <c r="O7886" s="508">
        <v>1.417</v>
      </c>
      <c r="P7886" s="508">
        <v>1.417</v>
      </c>
      <c r="Q7886" s="508">
        <v>1.417</v>
      </c>
      <c r="R7886" s="508">
        <v>1.4159999999999999</v>
      </c>
      <c r="S7886" s="508">
        <v>1.415</v>
      </c>
      <c r="T7886" s="508">
        <v>1.415</v>
      </c>
      <c r="U7886" s="508">
        <v>1.4139999999999999</v>
      </c>
      <c r="V7886" s="508">
        <v>1.413</v>
      </c>
      <c r="W7886" s="508">
        <v>0.91500000000000004</v>
      </c>
      <c r="X7886" s="508">
        <v>0.91500000000000004</v>
      </c>
      <c r="Y7886" s="508">
        <v>0.91400000000000003</v>
      </c>
      <c r="Z7886" s="508">
        <v>0.81200000000000006</v>
      </c>
      <c r="AA7886" s="508">
        <v>8.5000000000000006E-2</v>
      </c>
      <c r="AB7886" s="508">
        <v>7.1999999999999995E-2</v>
      </c>
      <c r="AC7886" s="508">
        <v>7.1999999999999995E-2</v>
      </c>
      <c r="AD7886" s="508">
        <v>4.7E-2</v>
      </c>
      <c r="AE7886" s="508">
        <v>4.5999999999999999E-2</v>
      </c>
      <c r="AF7886" s="508">
        <v>4.2999999999999997E-2</v>
      </c>
      <c r="AG7886" s="508">
        <v>4.2999999999999997E-2</v>
      </c>
      <c r="AH7886" s="508">
        <v>4.2999999999999997E-2</v>
      </c>
      <c r="AI7886" s="492">
        <v>4.2000000000000003E-2</v>
      </c>
      <c r="AJ7886" s="485"/>
    </row>
    <row r="7887" spans="2:36">
      <c r="B7887" s="136" t="s">
        <v>445</v>
      </c>
      <c r="C7887" s="132" t="s">
        <v>1378</v>
      </c>
      <c r="D7887" s="132" t="s">
        <v>1381</v>
      </c>
      <c r="E7887" s="508">
        <v>1.5169999999999999</v>
      </c>
      <c r="F7887" s="508">
        <v>1.5149999999999999</v>
      </c>
      <c r="G7887" s="508">
        <v>1.514</v>
      </c>
      <c r="H7887" s="508">
        <v>1.5129999999999999</v>
      </c>
      <c r="I7887" s="508">
        <v>1.512</v>
      </c>
      <c r="J7887" s="508">
        <v>1.5109999999999999</v>
      </c>
      <c r="K7887" s="508">
        <v>1.51</v>
      </c>
      <c r="L7887" s="508">
        <v>1.5089999999999999</v>
      </c>
      <c r="M7887" s="508">
        <v>1.508</v>
      </c>
      <c r="N7887" s="508">
        <v>1.5069999999999999</v>
      </c>
      <c r="O7887" s="508">
        <v>1.5069999999999999</v>
      </c>
      <c r="P7887" s="508">
        <v>1.5069999999999999</v>
      </c>
      <c r="Q7887" s="508">
        <v>1.506</v>
      </c>
      <c r="R7887" s="508">
        <v>1.5049999999999999</v>
      </c>
      <c r="S7887" s="508">
        <v>1.504</v>
      </c>
      <c r="T7887" s="508">
        <v>1.504</v>
      </c>
      <c r="U7887" s="508">
        <v>1.5029999999999999</v>
      </c>
      <c r="V7887" s="508">
        <v>1.502</v>
      </c>
      <c r="W7887" s="508">
        <v>1.01</v>
      </c>
      <c r="X7887" s="508">
        <v>1.0089999999999999</v>
      </c>
      <c r="Y7887" s="508">
        <v>1.008</v>
      </c>
      <c r="Z7887" s="508">
        <v>0.89600000000000002</v>
      </c>
      <c r="AA7887" s="508">
        <v>9.4E-2</v>
      </c>
      <c r="AB7887" s="508">
        <v>7.9000000000000001E-2</v>
      </c>
      <c r="AC7887" s="508">
        <v>7.9000000000000001E-2</v>
      </c>
      <c r="AD7887" s="508">
        <v>5.0999999999999997E-2</v>
      </c>
      <c r="AE7887" s="508">
        <v>5.0999999999999997E-2</v>
      </c>
      <c r="AF7887" s="508">
        <v>4.7E-2</v>
      </c>
      <c r="AG7887" s="508">
        <v>4.7E-2</v>
      </c>
      <c r="AH7887" s="508">
        <v>4.7E-2</v>
      </c>
      <c r="AI7887" s="492">
        <v>4.7E-2</v>
      </c>
      <c r="AJ7887" s="485"/>
    </row>
    <row r="7888" spans="2:36">
      <c r="B7888" s="136" t="s">
        <v>446</v>
      </c>
      <c r="C7888" s="132" t="s">
        <v>1378</v>
      </c>
      <c r="D7888" s="132" t="s">
        <v>1381</v>
      </c>
      <c r="E7888" s="508">
        <v>1.4379999999999999</v>
      </c>
      <c r="F7888" s="508">
        <v>1.4379999999999999</v>
      </c>
      <c r="G7888" s="508">
        <v>1.4379999999999999</v>
      </c>
      <c r="H7888" s="508">
        <v>1.4370000000000001</v>
      </c>
      <c r="I7888" s="508">
        <v>1.4370000000000001</v>
      </c>
      <c r="J7888" s="508">
        <v>1.4370000000000001</v>
      </c>
      <c r="K7888" s="508">
        <v>1.4370000000000001</v>
      </c>
      <c r="L7888" s="508">
        <v>1.4359999999999999</v>
      </c>
      <c r="M7888" s="508">
        <v>1.4359999999999999</v>
      </c>
      <c r="N7888" s="508">
        <v>1.4359999999999999</v>
      </c>
      <c r="O7888" s="508">
        <v>1.4359999999999999</v>
      </c>
      <c r="P7888" s="508">
        <v>1.4359999999999999</v>
      </c>
      <c r="Q7888" s="508">
        <v>1.4359999999999999</v>
      </c>
      <c r="R7888" s="508">
        <v>1.4359999999999999</v>
      </c>
      <c r="S7888" s="508">
        <v>1.4359999999999999</v>
      </c>
      <c r="T7888" s="508">
        <v>1.4359999999999999</v>
      </c>
      <c r="U7888" s="508">
        <v>1.4350000000000001</v>
      </c>
      <c r="V7888" s="508">
        <v>1.4350000000000001</v>
      </c>
      <c r="W7888" s="508">
        <v>0.93400000000000005</v>
      </c>
      <c r="X7888" s="508">
        <v>0.93400000000000005</v>
      </c>
      <c r="Y7888" s="508">
        <v>0.93300000000000005</v>
      </c>
      <c r="Z7888" s="508">
        <v>0.82899999999999996</v>
      </c>
      <c r="AA7888" s="508">
        <v>8.2000000000000003E-2</v>
      </c>
      <c r="AB7888" s="508">
        <v>6.8000000000000005E-2</v>
      </c>
      <c r="AC7888" s="508">
        <v>6.8000000000000005E-2</v>
      </c>
      <c r="AD7888" s="508">
        <v>4.2999999999999997E-2</v>
      </c>
      <c r="AE7888" s="508">
        <v>4.2999999999999997E-2</v>
      </c>
      <c r="AF7888" s="508">
        <v>0.04</v>
      </c>
      <c r="AG7888" s="508">
        <v>3.9E-2</v>
      </c>
      <c r="AH7888" s="508">
        <v>3.9E-2</v>
      </c>
      <c r="AI7888" s="492">
        <v>3.9E-2</v>
      </c>
      <c r="AJ7888" s="485"/>
    </row>
    <row r="7889" spans="2:36">
      <c r="B7889" s="136" t="s">
        <v>448</v>
      </c>
      <c r="C7889" s="132" t="s">
        <v>1378</v>
      </c>
      <c r="D7889" s="132" t="s">
        <v>1381</v>
      </c>
      <c r="E7889" s="508">
        <v>1.365</v>
      </c>
      <c r="F7889" s="508">
        <v>1.3640000000000001</v>
      </c>
      <c r="G7889" s="508">
        <v>1.363</v>
      </c>
      <c r="H7889" s="508">
        <v>1.363</v>
      </c>
      <c r="I7889" s="508">
        <v>1.3620000000000001</v>
      </c>
      <c r="J7889" s="508">
        <v>1.361</v>
      </c>
      <c r="K7889" s="508">
        <v>1.361</v>
      </c>
      <c r="L7889" s="508">
        <v>1.36</v>
      </c>
      <c r="M7889" s="508">
        <v>1.359</v>
      </c>
      <c r="N7889" s="508">
        <v>1.359</v>
      </c>
      <c r="O7889" s="508">
        <v>1.3580000000000001</v>
      </c>
      <c r="P7889" s="508">
        <v>1.359</v>
      </c>
      <c r="Q7889" s="508">
        <v>1.3580000000000001</v>
      </c>
      <c r="R7889" s="508">
        <v>1.3580000000000001</v>
      </c>
      <c r="S7889" s="508">
        <v>1.357</v>
      </c>
      <c r="T7889" s="508">
        <v>1.357</v>
      </c>
      <c r="U7889" s="508">
        <v>1.3560000000000001</v>
      </c>
      <c r="V7889" s="508">
        <v>1.3560000000000001</v>
      </c>
      <c r="W7889" s="508">
        <v>0.83599999999999997</v>
      </c>
      <c r="X7889" s="508">
        <v>0.83499999999999996</v>
      </c>
      <c r="Y7889" s="508">
        <v>0.83499999999999996</v>
      </c>
      <c r="Z7889" s="508">
        <v>0.74199999999999999</v>
      </c>
      <c r="AA7889" s="508">
        <v>7.5999999999999998E-2</v>
      </c>
      <c r="AB7889" s="508">
        <v>6.4000000000000001E-2</v>
      </c>
      <c r="AC7889" s="508">
        <v>6.4000000000000001E-2</v>
      </c>
      <c r="AD7889" s="508">
        <v>4.1000000000000002E-2</v>
      </c>
      <c r="AE7889" s="508">
        <v>4.1000000000000002E-2</v>
      </c>
      <c r="AF7889" s="508">
        <v>3.7999999999999999E-2</v>
      </c>
      <c r="AG7889" s="508">
        <v>3.7999999999999999E-2</v>
      </c>
      <c r="AH7889" s="508">
        <v>3.7999999999999999E-2</v>
      </c>
      <c r="AI7889" s="492">
        <v>3.7999999999999999E-2</v>
      </c>
      <c r="AJ7889" s="485"/>
    </row>
    <row r="7890" spans="2:36">
      <c r="B7890" s="136" t="s">
        <v>449</v>
      </c>
      <c r="C7890" s="132" t="s">
        <v>1378</v>
      </c>
      <c r="D7890" s="132" t="s">
        <v>1381</v>
      </c>
      <c r="E7890" s="508">
        <v>1.411</v>
      </c>
      <c r="F7890" s="508">
        <v>1.41</v>
      </c>
      <c r="G7890" s="508">
        <v>1.41</v>
      </c>
      <c r="H7890" s="508">
        <v>1.41</v>
      </c>
      <c r="I7890" s="508">
        <v>1.41</v>
      </c>
      <c r="J7890" s="508">
        <v>1.41</v>
      </c>
      <c r="K7890" s="508">
        <v>1.41</v>
      </c>
      <c r="L7890" s="508">
        <v>1.41</v>
      </c>
      <c r="M7890" s="508">
        <v>1.41</v>
      </c>
      <c r="N7890" s="508">
        <v>1.41</v>
      </c>
      <c r="O7890" s="508">
        <v>1.41</v>
      </c>
      <c r="P7890" s="508">
        <v>1.41</v>
      </c>
      <c r="Q7890" s="508">
        <v>1.41</v>
      </c>
      <c r="R7890" s="508">
        <v>1.41</v>
      </c>
      <c r="S7890" s="508">
        <v>1.41</v>
      </c>
      <c r="T7890" s="508">
        <v>1.41</v>
      </c>
      <c r="U7890" s="508">
        <v>1.41</v>
      </c>
      <c r="V7890" s="508">
        <v>1.41</v>
      </c>
      <c r="W7890" s="508">
        <v>0.90900000000000003</v>
      </c>
      <c r="X7890" s="508">
        <v>0.90900000000000003</v>
      </c>
      <c r="Y7890" s="508">
        <v>0.90900000000000003</v>
      </c>
      <c r="Z7890" s="508">
        <v>0.80600000000000005</v>
      </c>
      <c r="AA7890" s="508">
        <v>7.9000000000000001E-2</v>
      </c>
      <c r="AB7890" s="508">
        <v>6.6000000000000003E-2</v>
      </c>
      <c r="AC7890" s="508">
        <v>6.6000000000000003E-2</v>
      </c>
      <c r="AD7890" s="508">
        <v>4.1000000000000002E-2</v>
      </c>
      <c r="AE7890" s="508">
        <v>4.1000000000000002E-2</v>
      </c>
      <c r="AF7890" s="508">
        <v>3.6999999999999998E-2</v>
      </c>
      <c r="AG7890" s="508">
        <v>3.6999999999999998E-2</v>
      </c>
      <c r="AH7890" s="508">
        <v>3.6999999999999998E-2</v>
      </c>
      <c r="AI7890" s="492">
        <v>3.6999999999999998E-2</v>
      </c>
      <c r="AJ7890" s="485"/>
    </row>
    <row r="7891" spans="2:36">
      <c r="B7891" s="136" t="s">
        <v>450</v>
      </c>
      <c r="C7891" s="132" t="s">
        <v>1378</v>
      </c>
      <c r="D7891" s="132" t="s">
        <v>1381</v>
      </c>
      <c r="E7891" s="508">
        <v>1.379</v>
      </c>
      <c r="F7891" s="508">
        <v>1.3779999999999999</v>
      </c>
      <c r="G7891" s="508">
        <v>1.3759999999999999</v>
      </c>
      <c r="H7891" s="508">
        <v>1.375</v>
      </c>
      <c r="I7891" s="508">
        <v>1.3740000000000001</v>
      </c>
      <c r="J7891" s="508">
        <v>1.373</v>
      </c>
      <c r="K7891" s="508">
        <v>1.3720000000000001</v>
      </c>
      <c r="L7891" s="508">
        <v>1.37</v>
      </c>
      <c r="M7891" s="508">
        <v>1.369</v>
      </c>
      <c r="N7891" s="508">
        <v>1.3680000000000001</v>
      </c>
      <c r="O7891" s="508">
        <v>1.367</v>
      </c>
      <c r="P7891" s="508">
        <v>1.367</v>
      </c>
      <c r="Q7891" s="508">
        <v>1.3660000000000001</v>
      </c>
      <c r="R7891" s="508">
        <v>1.365</v>
      </c>
      <c r="S7891" s="508">
        <v>1.3640000000000001</v>
      </c>
      <c r="T7891" s="508">
        <v>1.363</v>
      </c>
      <c r="U7891" s="508">
        <v>1.3620000000000001</v>
      </c>
      <c r="V7891" s="508">
        <v>1.3620000000000001</v>
      </c>
      <c r="W7891" s="508">
        <v>0.84499999999999997</v>
      </c>
      <c r="X7891" s="508">
        <v>0.84399999999999997</v>
      </c>
      <c r="Y7891" s="508">
        <v>0.84299999999999997</v>
      </c>
      <c r="Z7891" s="508">
        <v>0.75</v>
      </c>
      <c r="AA7891" s="508">
        <v>8.1000000000000003E-2</v>
      </c>
      <c r="AB7891" s="508">
        <v>6.9000000000000006E-2</v>
      </c>
      <c r="AC7891" s="508">
        <v>6.8000000000000005E-2</v>
      </c>
      <c r="AD7891" s="508">
        <v>4.4999999999999998E-2</v>
      </c>
      <c r="AE7891" s="508">
        <v>4.4999999999999998E-2</v>
      </c>
      <c r="AF7891" s="508">
        <v>4.2000000000000003E-2</v>
      </c>
      <c r="AG7891" s="508">
        <v>4.2000000000000003E-2</v>
      </c>
      <c r="AH7891" s="508">
        <v>4.1000000000000002E-2</v>
      </c>
      <c r="AI7891" s="492">
        <v>4.1000000000000002E-2</v>
      </c>
      <c r="AJ7891" s="485"/>
    </row>
    <row r="7892" spans="2:36">
      <c r="B7892" s="136" t="s">
        <v>451</v>
      </c>
      <c r="C7892" s="132" t="s">
        <v>1378</v>
      </c>
      <c r="D7892" s="132" t="s">
        <v>1381</v>
      </c>
      <c r="E7892" s="508">
        <v>1.49</v>
      </c>
      <c r="F7892" s="508">
        <v>1.488</v>
      </c>
      <c r="G7892" s="508">
        <v>1.4870000000000001</v>
      </c>
      <c r="H7892" s="508">
        <v>1.486</v>
      </c>
      <c r="I7892" s="508">
        <v>1.484</v>
      </c>
      <c r="J7892" s="508">
        <v>1.4830000000000001</v>
      </c>
      <c r="K7892" s="508">
        <v>1.482</v>
      </c>
      <c r="L7892" s="508">
        <v>1.4810000000000001</v>
      </c>
      <c r="M7892" s="508">
        <v>1.48</v>
      </c>
      <c r="N7892" s="508">
        <v>1.4790000000000001</v>
      </c>
      <c r="O7892" s="508">
        <v>1.478</v>
      </c>
      <c r="P7892" s="508">
        <v>1.4770000000000001</v>
      </c>
      <c r="Q7892" s="508">
        <v>1.4770000000000001</v>
      </c>
      <c r="R7892" s="508">
        <v>1.476</v>
      </c>
      <c r="S7892" s="508">
        <v>1.4750000000000001</v>
      </c>
      <c r="T7892" s="508">
        <v>1.474</v>
      </c>
      <c r="U7892" s="508">
        <v>1.4730000000000001</v>
      </c>
      <c r="V7892" s="508">
        <v>1.472</v>
      </c>
      <c r="W7892" s="508">
        <v>0.96699999999999997</v>
      </c>
      <c r="X7892" s="508">
        <v>0.96599999999999997</v>
      </c>
      <c r="Y7892" s="508">
        <v>0.96599999999999997</v>
      </c>
      <c r="Z7892" s="508">
        <v>0.85899999999999999</v>
      </c>
      <c r="AA7892" s="508">
        <v>9.0999999999999998E-2</v>
      </c>
      <c r="AB7892" s="508">
        <v>7.6999999999999999E-2</v>
      </c>
      <c r="AC7892" s="508">
        <v>7.6999999999999999E-2</v>
      </c>
      <c r="AD7892" s="508">
        <v>5.0999999999999997E-2</v>
      </c>
      <c r="AE7892" s="508">
        <v>0.05</v>
      </c>
      <c r="AF7892" s="508">
        <v>4.7E-2</v>
      </c>
      <c r="AG7892" s="508">
        <v>4.7E-2</v>
      </c>
      <c r="AH7892" s="508">
        <v>4.5999999999999999E-2</v>
      </c>
      <c r="AI7892" s="492">
        <v>4.5999999999999999E-2</v>
      </c>
      <c r="AJ7892" s="485"/>
    </row>
    <row r="7893" spans="2:36">
      <c r="B7893" s="136" t="s">
        <v>452</v>
      </c>
      <c r="C7893" s="132" t="s">
        <v>1378</v>
      </c>
      <c r="D7893" s="132" t="s">
        <v>1381</v>
      </c>
      <c r="E7893" s="508">
        <v>1.417</v>
      </c>
      <c r="F7893" s="508">
        <v>1.4159999999999999</v>
      </c>
      <c r="G7893" s="508">
        <v>1.415</v>
      </c>
      <c r="H7893" s="508">
        <v>1.4139999999999999</v>
      </c>
      <c r="I7893" s="508">
        <v>1.413</v>
      </c>
      <c r="J7893" s="508">
        <v>1.4119999999999999</v>
      </c>
      <c r="K7893" s="508">
        <v>1.41</v>
      </c>
      <c r="L7893" s="508">
        <v>1.409</v>
      </c>
      <c r="M7893" s="508">
        <v>1.4079999999999999</v>
      </c>
      <c r="N7893" s="508">
        <v>1.4079999999999999</v>
      </c>
      <c r="O7893" s="508">
        <v>1.407</v>
      </c>
      <c r="P7893" s="508">
        <v>1.407</v>
      </c>
      <c r="Q7893" s="508">
        <v>1.4059999999999999</v>
      </c>
      <c r="R7893" s="508">
        <v>1.405</v>
      </c>
      <c r="S7893" s="508">
        <v>1.4039999999999999</v>
      </c>
      <c r="T7893" s="508">
        <v>1.403</v>
      </c>
      <c r="U7893" s="508">
        <v>1.4019999999999999</v>
      </c>
      <c r="V7893" s="508">
        <v>1.4019999999999999</v>
      </c>
      <c r="W7893" s="508">
        <v>0.89200000000000002</v>
      </c>
      <c r="X7893" s="508">
        <v>0.89200000000000002</v>
      </c>
      <c r="Y7893" s="508">
        <v>0.89100000000000001</v>
      </c>
      <c r="Z7893" s="508">
        <v>0.79200000000000004</v>
      </c>
      <c r="AA7893" s="508">
        <v>8.4000000000000005E-2</v>
      </c>
      <c r="AB7893" s="508">
        <v>7.0999999999999994E-2</v>
      </c>
      <c r="AC7893" s="508">
        <v>7.0999999999999994E-2</v>
      </c>
      <c r="AD7893" s="508">
        <v>4.7E-2</v>
      </c>
      <c r="AE7893" s="508">
        <v>4.5999999999999999E-2</v>
      </c>
      <c r="AF7893" s="508">
        <v>4.2999999999999997E-2</v>
      </c>
      <c r="AG7893" s="508">
        <v>4.2999999999999997E-2</v>
      </c>
      <c r="AH7893" s="508">
        <v>4.2999999999999997E-2</v>
      </c>
      <c r="AI7893" s="492">
        <v>4.2000000000000003E-2</v>
      </c>
      <c r="AJ7893" s="485"/>
    </row>
    <row r="7894" spans="2:36">
      <c r="B7894" s="136" t="s">
        <v>453</v>
      </c>
      <c r="C7894" s="132" t="s">
        <v>1378</v>
      </c>
      <c r="D7894" s="132" t="s">
        <v>1381</v>
      </c>
      <c r="E7894" s="508">
        <v>1.3660000000000001</v>
      </c>
      <c r="F7894" s="508">
        <v>1.365</v>
      </c>
      <c r="G7894" s="508">
        <v>1.3640000000000001</v>
      </c>
      <c r="H7894" s="508">
        <v>1.363</v>
      </c>
      <c r="I7894" s="508">
        <v>1.361</v>
      </c>
      <c r="J7894" s="508">
        <v>1.36</v>
      </c>
      <c r="K7894" s="508">
        <v>1.359</v>
      </c>
      <c r="L7894" s="508">
        <v>1.3580000000000001</v>
      </c>
      <c r="M7894" s="508">
        <v>1.357</v>
      </c>
      <c r="N7894" s="508">
        <v>1.3560000000000001</v>
      </c>
      <c r="O7894" s="508">
        <v>1.355</v>
      </c>
      <c r="P7894" s="508">
        <v>1.355</v>
      </c>
      <c r="Q7894" s="508">
        <v>1.3540000000000001</v>
      </c>
      <c r="R7894" s="508">
        <v>1.353</v>
      </c>
      <c r="S7894" s="508">
        <v>1.3520000000000001</v>
      </c>
      <c r="T7894" s="508">
        <v>1.351</v>
      </c>
      <c r="U7894" s="508">
        <v>1.35</v>
      </c>
      <c r="V7894" s="508">
        <v>1.35</v>
      </c>
      <c r="W7894" s="508">
        <v>0.83099999999999996</v>
      </c>
      <c r="X7894" s="508">
        <v>0.83</v>
      </c>
      <c r="Y7894" s="508">
        <v>0.82899999999999996</v>
      </c>
      <c r="Z7894" s="508">
        <v>0.73799999999999999</v>
      </c>
      <c r="AA7894" s="508">
        <v>7.9000000000000001E-2</v>
      </c>
      <c r="AB7894" s="508">
        <v>6.7000000000000004E-2</v>
      </c>
      <c r="AC7894" s="508">
        <v>6.7000000000000004E-2</v>
      </c>
      <c r="AD7894" s="508">
        <v>4.3999999999999997E-2</v>
      </c>
      <c r="AE7894" s="508">
        <v>4.3999999999999997E-2</v>
      </c>
      <c r="AF7894" s="508">
        <v>4.1000000000000002E-2</v>
      </c>
      <c r="AG7894" s="508">
        <v>4.1000000000000002E-2</v>
      </c>
      <c r="AH7894" s="508">
        <v>4.1000000000000002E-2</v>
      </c>
      <c r="AI7894" s="492">
        <v>0.04</v>
      </c>
      <c r="AJ7894" s="485"/>
    </row>
    <row r="7895" spans="2:36">
      <c r="B7895" s="136" t="s">
        <v>454</v>
      </c>
      <c r="C7895" s="132" t="s">
        <v>1378</v>
      </c>
      <c r="D7895" s="132" t="s">
        <v>1381</v>
      </c>
      <c r="E7895" s="508">
        <v>1.373</v>
      </c>
      <c r="F7895" s="508">
        <v>1.3720000000000001</v>
      </c>
      <c r="G7895" s="508">
        <v>1.371</v>
      </c>
      <c r="H7895" s="508">
        <v>1.37</v>
      </c>
      <c r="I7895" s="508">
        <v>1.369</v>
      </c>
      <c r="J7895" s="508">
        <v>1.3680000000000001</v>
      </c>
      <c r="K7895" s="508">
        <v>1.367</v>
      </c>
      <c r="L7895" s="508">
        <v>1.3660000000000001</v>
      </c>
      <c r="M7895" s="508">
        <v>1.365</v>
      </c>
      <c r="N7895" s="508">
        <v>1.3640000000000001</v>
      </c>
      <c r="O7895" s="508">
        <v>1.3640000000000001</v>
      </c>
      <c r="P7895" s="508">
        <v>1.3640000000000001</v>
      </c>
      <c r="Q7895" s="508">
        <v>1.363</v>
      </c>
      <c r="R7895" s="508">
        <v>1.3620000000000001</v>
      </c>
      <c r="S7895" s="508">
        <v>1.361</v>
      </c>
      <c r="T7895" s="508">
        <v>1.361</v>
      </c>
      <c r="U7895" s="508">
        <v>1.36</v>
      </c>
      <c r="V7895" s="508">
        <v>1.359</v>
      </c>
      <c r="W7895" s="508">
        <v>0.84099999999999997</v>
      </c>
      <c r="X7895" s="508">
        <v>0.84</v>
      </c>
      <c r="Y7895" s="508">
        <v>0.84</v>
      </c>
      <c r="Z7895" s="508">
        <v>0.747</v>
      </c>
      <c r="AA7895" s="508">
        <v>7.9000000000000001E-2</v>
      </c>
      <c r="AB7895" s="508">
        <v>6.7000000000000004E-2</v>
      </c>
      <c r="AC7895" s="508">
        <v>6.6000000000000003E-2</v>
      </c>
      <c r="AD7895" s="508">
        <v>4.2999999999999997E-2</v>
      </c>
      <c r="AE7895" s="508">
        <v>4.2999999999999997E-2</v>
      </c>
      <c r="AF7895" s="508">
        <v>0.04</v>
      </c>
      <c r="AG7895" s="508">
        <v>0.04</v>
      </c>
      <c r="AH7895" s="508">
        <v>0.04</v>
      </c>
      <c r="AI7895" s="492">
        <v>3.9E-2</v>
      </c>
      <c r="AJ7895" s="485"/>
    </row>
    <row r="7896" spans="2:36">
      <c r="B7896" s="136" t="s">
        <v>455</v>
      </c>
      <c r="C7896" s="132" t="s">
        <v>1378</v>
      </c>
      <c r="D7896" s="132" t="s">
        <v>1381</v>
      </c>
      <c r="E7896" s="508">
        <v>1.3520000000000001</v>
      </c>
      <c r="F7896" s="508">
        <v>1.351</v>
      </c>
      <c r="G7896" s="508">
        <v>1.35</v>
      </c>
      <c r="H7896" s="508">
        <v>1.349</v>
      </c>
      <c r="I7896" s="508">
        <v>1.3480000000000001</v>
      </c>
      <c r="J7896" s="508">
        <v>1.347</v>
      </c>
      <c r="K7896" s="508">
        <v>1.3460000000000001</v>
      </c>
      <c r="L7896" s="508">
        <v>1.345</v>
      </c>
      <c r="M7896" s="508">
        <v>1.345</v>
      </c>
      <c r="N7896" s="508">
        <v>1.3440000000000001</v>
      </c>
      <c r="O7896" s="508">
        <v>1.343</v>
      </c>
      <c r="P7896" s="508">
        <v>1.343</v>
      </c>
      <c r="Q7896" s="508">
        <v>1.343</v>
      </c>
      <c r="R7896" s="508">
        <v>1.3420000000000001</v>
      </c>
      <c r="S7896" s="508">
        <v>1.341</v>
      </c>
      <c r="T7896" s="508">
        <v>1.341</v>
      </c>
      <c r="U7896" s="508">
        <v>1.34</v>
      </c>
      <c r="V7896" s="508">
        <v>1.339</v>
      </c>
      <c r="W7896" s="508">
        <v>0.81100000000000005</v>
      </c>
      <c r="X7896" s="508">
        <v>0.81100000000000005</v>
      </c>
      <c r="Y7896" s="508">
        <v>0.81</v>
      </c>
      <c r="Z7896" s="508">
        <v>0.72</v>
      </c>
      <c r="AA7896" s="508">
        <v>7.5999999999999998E-2</v>
      </c>
      <c r="AB7896" s="508">
        <v>6.4000000000000001E-2</v>
      </c>
      <c r="AC7896" s="508">
        <v>6.4000000000000001E-2</v>
      </c>
      <c r="AD7896" s="508">
        <v>4.1000000000000002E-2</v>
      </c>
      <c r="AE7896" s="508">
        <v>4.1000000000000002E-2</v>
      </c>
      <c r="AF7896" s="508">
        <v>3.7999999999999999E-2</v>
      </c>
      <c r="AG7896" s="508">
        <v>3.7999999999999999E-2</v>
      </c>
      <c r="AH7896" s="508">
        <v>3.7999999999999999E-2</v>
      </c>
      <c r="AI7896" s="492">
        <v>3.7999999999999999E-2</v>
      </c>
      <c r="AJ7896" s="485"/>
    </row>
    <row r="7897" spans="2:36">
      <c r="B7897" s="136" t="s">
        <v>456</v>
      </c>
      <c r="C7897" s="132" t="s">
        <v>1378</v>
      </c>
      <c r="D7897" s="132" t="s">
        <v>1381</v>
      </c>
      <c r="E7897" s="508">
        <v>1.371</v>
      </c>
      <c r="F7897" s="508">
        <v>1.37</v>
      </c>
      <c r="G7897" s="508">
        <v>1.37</v>
      </c>
      <c r="H7897" s="508">
        <v>1.369</v>
      </c>
      <c r="I7897" s="508">
        <v>1.369</v>
      </c>
      <c r="J7897" s="508">
        <v>1.3680000000000001</v>
      </c>
      <c r="K7897" s="508">
        <v>1.3680000000000001</v>
      </c>
      <c r="L7897" s="508">
        <v>1.367</v>
      </c>
      <c r="M7897" s="508">
        <v>1.367</v>
      </c>
      <c r="N7897" s="508">
        <v>1.367</v>
      </c>
      <c r="O7897" s="508">
        <v>1.3660000000000001</v>
      </c>
      <c r="P7897" s="508">
        <v>1.367</v>
      </c>
      <c r="Q7897" s="508">
        <v>1.3660000000000001</v>
      </c>
      <c r="R7897" s="508">
        <v>1.3660000000000001</v>
      </c>
      <c r="S7897" s="508">
        <v>1.3660000000000001</v>
      </c>
      <c r="T7897" s="508">
        <v>1.365</v>
      </c>
      <c r="U7897" s="508">
        <v>1.365</v>
      </c>
      <c r="V7897" s="508">
        <v>1.365</v>
      </c>
      <c r="W7897" s="508">
        <v>0.84799999999999998</v>
      </c>
      <c r="X7897" s="508">
        <v>0.84799999999999998</v>
      </c>
      <c r="Y7897" s="508">
        <v>0.84699999999999998</v>
      </c>
      <c r="Z7897" s="508">
        <v>0.752</v>
      </c>
      <c r="AA7897" s="508">
        <v>7.5999999999999998E-2</v>
      </c>
      <c r="AB7897" s="508">
        <v>6.4000000000000001E-2</v>
      </c>
      <c r="AC7897" s="508">
        <v>6.3E-2</v>
      </c>
      <c r="AD7897" s="508">
        <v>0.04</v>
      </c>
      <c r="AE7897" s="508">
        <v>0.04</v>
      </c>
      <c r="AF7897" s="508">
        <v>3.6999999999999998E-2</v>
      </c>
      <c r="AG7897" s="508">
        <v>3.6999999999999998E-2</v>
      </c>
      <c r="AH7897" s="508">
        <v>3.6999999999999998E-2</v>
      </c>
      <c r="AI7897" s="492">
        <v>3.6999999999999998E-2</v>
      </c>
      <c r="AJ7897" s="485"/>
    </row>
    <row r="7898" spans="2:36">
      <c r="B7898" s="136" t="s">
        <v>457</v>
      </c>
      <c r="C7898" s="132" t="s">
        <v>1378</v>
      </c>
      <c r="D7898" s="132" t="s">
        <v>1381</v>
      </c>
      <c r="E7898" s="508">
        <v>1.341</v>
      </c>
      <c r="F7898" s="508">
        <v>1.34</v>
      </c>
      <c r="G7898" s="508">
        <v>1.3380000000000001</v>
      </c>
      <c r="H7898" s="508">
        <v>1.337</v>
      </c>
      <c r="I7898" s="508">
        <v>1.3360000000000001</v>
      </c>
      <c r="J7898" s="508">
        <v>1.3340000000000001</v>
      </c>
      <c r="K7898" s="508">
        <v>1.333</v>
      </c>
      <c r="L7898" s="508">
        <v>1.3320000000000001</v>
      </c>
      <c r="M7898" s="508">
        <v>1.331</v>
      </c>
      <c r="N7898" s="508">
        <v>1.33</v>
      </c>
      <c r="O7898" s="508">
        <v>1.329</v>
      </c>
      <c r="P7898" s="508">
        <v>1.329</v>
      </c>
      <c r="Q7898" s="508">
        <v>1.3280000000000001</v>
      </c>
      <c r="R7898" s="508">
        <v>1.327</v>
      </c>
      <c r="S7898" s="508">
        <v>1.3260000000000001</v>
      </c>
      <c r="T7898" s="508">
        <v>1.325</v>
      </c>
      <c r="U7898" s="508">
        <v>1.3240000000000001</v>
      </c>
      <c r="V7898" s="508">
        <v>1.323</v>
      </c>
      <c r="W7898" s="508">
        <v>0.80100000000000005</v>
      </c>
      <c r="X7898" s="508">
        <v>0.8</v>
      </c>
      <c r="Y7898" s="508">
        <v>0.79900000000000004</v>
      </c>
      <c r="Z7898" s="508">
        <v>0.71099999999999997</v>
      </c>
      <c r="AA7898" s="508">
        <v>7.6999999999999999E-2</v>
      </c>
      <c r="AB7898" s="508">
        <v>6.6000000000000003E-2</v>
      </c>
      <c r="AC7898" s="508">
        <v>6.5000000000000002E-2</v>
      </c>
      <c r="AD7898" s="508">
        <v>4.3999999999999997E-2</v>
      </c>
      <c r="AE7898" s="508">
        <v>4.2999999999999997E-2</v>
      </c>
      <c r="AF7898" s="508">
        <v>0.04</v>
      </c>
      <c r="AG7898" s="508">
        <v>0.04</v>
      </c>
      <c r="AH7898" s="508">
        <v>0.04</v>
      </c>
      <c r="AI7898" s="492">
        <v>3.9E-2</v>
      </c>
      <c r="AJ7898" s="485"/>
    </row>
    <row r="7899" spans="2:36">
      <c r="B7899" s="136" t="s">
        <v>458</v>
      </c>
      <c r="C7899" s="132" t="s">
        <v>1378</v>
      </c>
      <c r="D7899" s="132" t="s">
        <v>1381</v>
      </c>
      <c r="E7899" s="508">
        <v>1.407</v>
      </c>
      <c r="F7899" s="508">
        <v>1.4059999999999999</v>
      </c>
      <c r="G7899" s="508">
        <v>1.405</v>
      </c>
      <c r="H7899" s="508">
        <v>1.4039999999999999</v>
      </c>
      <c r="I7899" s="508">
        <v>1.403</v>
      </c>
      <c r="J7899" s="508">
        <v>1.4019999999999999</v>
      </c>
      <c r="K7899" s="508">
        <v>1.401</v>
      </c>
      <c r="L7899" s="508">
        <v>1.4</v>
      </c>
      <c r="M7899" s="508">
        <v>1.399</v>
      </c>
      <c r="N7899" s="508">
        <v>1.3979999999999999</v>
      </c>
      <c r="O7899" s="508">
        <v>1.397</v>
      </c>
      <c r="P7899" s="508">
        <v>1.3979999999999999</v>
      </c>
      <c r="Q7899" s="508">
        <v>1.397</v>
      </c>
      <c r="R7899" s="508">
        <v>1.3959999999999999</v>
      </c>
      <c r="S7899" s="508">
        <v>1.395</v>
      </c>
      <c r="T7899" s="508">
        <v>1.395</v>
      </c>
      <c r="U7899" s="508">
        <v>1.3939999999999999</v>
      </c>
      <c r="V7899" s="508">
        <v>1.393</v>
      </c>
      <c r="W7899" s="508">
        <v>0.871</v>
      </c>
      <c r="X7899" s="508">
        <v>0.871</v>
      </c>
      <c r="Y7899" s="508">
        <v>0.87</v>
      </c>
      <c r="Z7899" s="508">
        <v>0.77300000000000002</v>
      </c>
      <c r="AA7899" s="508">
        <v>8.1000000000000003E-2</v>
      </c>
      <c r="AB7899" s="508">
        <v>6.9000000000000006E-2</v>
      </c>
      <c r="AC7899" s="508">
        <v>6.8000000000000005E-2</v>
      </c>
      <c r="AD7899" s="508">
        <v>4.4999999999999998E-2</v>
      </c>
      <c r="AE7899" s="508">
        <v>4.3999999999999997E-2</v>
      </c>
      <c r="AF7899" s="508">
        <v>4.1000000000000002E-2</v>
      </c>
      <c r="AG7899" s="508">
        <v>4.1000000000000002E-2</v>
      </c>
      <c r="AH7899" s="508">
        <v>4.1000000000000002E-2</v>
      </c>
      <c r="AI7899" s="492">
        <v>4.1000000000000002E-2</v>
      </c>
      <c r="AJ7899" s="485"/>
    </row>
    <row r="7900" spans="2:36">
      <c r="B7900" s="136" t="s">
        <v>459</v>
      </c>
      <c r="C7900" s="132" t="s">
        <v>1378</v>
      </c>
      <c r="D7900" s="132" t="s">
        <v>1381</v>
      </c>
      <c r="E7900" s="508">
        <v>1.415</v>
      </c>
      <c r="F7900" s="508">
        <v>1.4139999999999999</v>
      </c>
      <c r="G7900" s="508">
        <v>1.4119999999999999</v>
      </c>
      <c r="H7900" s="508">
        <v>1.411</v>
      </c>
      <c r="I7900" s="508">
        <v>1.41</v>
      </c>
      <c r="J7900" s="508">
        <v>1.409</v>
      </c>
      <c r="K7900" s="508">
        <v>1.407</v>
      </c>
      <c r="L7900" s="508">
        <v>1.4059999999999999</v>
      </c>
      <c r="M7900" s="508">
        <v>1.405</v>
      </c>
      <c r="N7900" s="508">
        <v>1.4039999999999999</v>
      </c>
      <c r="O7900" s="508">
        <v>1.403</v>
      </c>
      <c r="P7900" s="508">
        <v>1.403</v>
      </c>
      <c r="Q7900" s="508">
        <v>1.4019999999999999</v>
      </c>
      <c r="R7900" s="508">
        <v>1.401</v>
      </c>
      <c r="S7900" s="508">
        <v>1.4</v>
      </c>
      <c r="T7900" s="508">
        <v>1.399</v>
      </c>
      <c r="U7900" s="508">
        <v>1.399</v>
      </c>
      <c r="V7900" s="508">
        <v>1.3979999999999999</v>
      </c>
      <c r="W7900" s="508">
        <v>0.875</v>
      </c>
      <c r="X7900" s="508">
        <v>0.875</v>
      </c>
      <c r="Y7900" s="508">
        <v>0.874</v>
      </c>
      <c r="Z7900" s="508">
        <v>0.77700000000000002</v>
      </c>
      <c r="AA7900" s="508">
        <v>8.3000000000000004E-2</v>
      </c>
      <c r="AB7900" s="508">
        <v>7.0999999999999994E-2</v>
      </c>
      <c r="AC7900" s="508">
        <v>7.0000000000000007E-2</v>
      </c>
      <c r="AD7900" s="508">
        <v>4.5999999999999999E-2</v>
      </c>
      <c r="AE7900" s="508">
        <v>4.5999999999999999E-2</v>
      </c>
      <c r="AF7900" s="508">
        <v>4.2999999999999997E-2</v>
      </c>
      <c r="AG7900" s="508">
        <v>4.2999999999999997E-2</v>
      </c>
      <c r="AH7900" s="508">
        <v>4.2000000000000003E-2</v>
      </c>
      <c r="AI7900" s="492">
        <v>4.2000000000000003E-2</v>
      </c>
      <c r="AJ7900" s="485"/>
    </row>
    <row r="7901" spans="2:36">
      <c r="B7901" s="136" t="s">
        <v>460</v>
      </c>
      <c r="C7901" s="132" t="s">
        <v>1378</v>
      </c>
      <c r="D7901" s="132" t="s">
        <v>1381</v>
      </c>
      <c r="E7901" s="508">
        <v>1.4159999999999999</v>
      </c>
      <c r="F7901" s="508">
        <v>1.415</v>
      </c>
      <c r="G7901" s="508">
        <v>1.413</v>
      </c>
      <c r="H7901" s="508">
        <v>1.4119999999999999</v>
      </c>
      <c r="I7901" s="508">
        <v>1.411</v>
      </c>
      <c r="J7901" s="508">
        <v>1.409</v>
      </c>
      <c r="K7901" s="508">
        <v>1.4079999999999999</v>
      </c>
      <c r="L7901" s="508">
        <v>1.407</v>
      </c>
      <c r="M7901" s="508">
        <v>1.4059999999999999</v>
      </c>
      <c r="N7901" s="508">
        <v>1.405</v>
      </c>
      <c r="O7901" s="508">
        <v>1.403</v>
      </c>
      <c r="P7901" s="508">
        <v>1.403</v>
      </c>
      <c r="Q7901" s="508">
        <v>1.4019999999999999</v>
      </c>
      <c r="R7901" s="508">
        <v>1.401</v>
      </c>
      <c r="S7901" s="508">
        <v>1.4</v>
      </c>
      <c r="T7901" s="508">
        <v>1.399</v>
      </c>
      <c r="U7901" s="508">
        <v>1.399</v>
      </c>
      <c r="V7901" s="508">
        <v>1.3979999999999999</v>
      </c>
      <c r="W7901" s="508">
        <v>0.88100000000000001</v>
      </c>
      <c r="X7901" s="508">
        <v>0.88</v>
      </c>
      <c r="Y7901" s="508">
        <v>0.879</v>
      </c>
      <c r="Z7901" s="508">
        <v>0.78200000000000003</v>
      </c>
      <c r="AA7901" s="508">
        <v>8.4000000000000005E-2</v>
      </c>
      <c r="AB7901" s="508">
        <v>7.0999999999999994E-2</v>
      </c>
      <c r="AC7901" s="508">
        <v>7.0999999999999994E-2</v>
      </c>
      <c r="AD7901" s="508">
        <v>4.7E-2</v>
      </c>
      <c r="AE7901" s="508">
        <v>4.7E-2</v>
      </c>
      <c r="AF7901" s="508">
        <v>4.3999999999999997E-2</v>
      </c>
      <c r="AG7901" s="508">
        <v>4.2999999999999997E-2</v>
      </c>
      <c r="AH7901" s="508">
        <v>4.2999999999999997E-2</v>
      </c>
      <c r="AI7901" s="492">
        <v>4.2999999999999997E-2</v>
      </c>
      <c r="AJ7901" s="485"/>
    </row>
    <row r="7902" spans="2:36">
      <c r="B7902" s="136" t="s">
        <v>461</v>
      </c>
      <c r="C7902" s="132" t="s">
        <v>1378</v>
      </c>
      <c r="D7902" s="132" t="s">
        <v>1381</v>
      </c>
      <c r="E7902" s="508">
        <v>1.401</v>
      </c>
      <c r="F7902" s="508">
        <v>1.399</v>
      </c>
      <c r="G7902" s="508">
        <v>1.3979999999999999</v>
      </c>
      <c r="H7902" s="508">
        <v>1.3959999999999999</v>
      </c>
      <c r="I7902" s="508">
        <v>1.395</v>
      </c>
      <c r="J7902" s="508">
        <v>1.393</v>
      </c>
      <c r="K7902" s="508">
        <v>1.3919999999999999</v>
      </c>
      <c r="L7902" s="508">
        <v>1.391</v>
      </c>
      <c r="M7902" s="508">
        <v>1.389</v>
      </c>
      <c r="N7902" s="508">
        <v>1.3879999999999999</v>
      </c>
      <c r="O7902" s="508">
        <v>1.387</v>
      </c>
      <c r="P7902" s="508">
        <v>1.3859999999999999</v>
      </c>
      <c r="Q7902" s="508">
        <v>1.385</v>
      </c>
      <c r="R7902" s="508">
        <v>1.3839999999999999</v>
      </c>
      <c r="S7902" s="508">
        <v>1.383</v>
      </c>
      <c r="T7902" s="508">
        <v>1.3819999999999999</v>
      </c>
      <c r="U7902" s="508">
        <v>1.381</v>
      </c>
      <c r="V7902" s="508">
        <v>1.38</v>
      </c>
      <c r="W7902" s="508">
        <v>0.86499999999999999</v>
      </c>
      <c r="X7902" s="508">
        <v>0.86399999999999999</v>
      </c>
      <c r="Y7902" s="508">
        <v>0.86299999999999999</v>
      </c>
      <c r="Z7902" s="508">
        <v>0.76800000000000002</v>
      </c>
      <c r="AA7902" s="508">
        <v>8.4000000000000005E-2</v>
      </c>
      <c r="AB7902" s="508">
        <v>7.0999999999999994E-2</v>
      </c>
      <c r="AC7902" s="508">
        <v>7.0999999999999994E-2</v>
      </c>
      <c r="AD7902" s="508">
        <v>4.8000000000000001E-2</v>
      </c>
      <c r="AE7902" s="508">
        <v>4.7E-2</v>
      </c>
      <c r="AF7902" s="508">
        <v>4.3999999999999997E-2</v>
      </c>
      <c r="AG7902" s="508">
        <v>4.3999999999999997E-2</v>
      </c>
      <c r="AH7902" s="508">
        <v>4.2999999999999997E-2</v>
      </c>
      <c r="AI7902" s="492">
        <v>4.2999999999999997E-2</v>
      </c>
      <c r="AJ7902" s="485"/>
    </row>
    <row r="7903" spans="2:36">
      <c r="B7903" s="136" t="s">
        <v>462</v>
      </c>
      <c r="C7903" s="132" t="s">
        <v>1378</v>
      </c>
      <c r="D7903" s="132" t="s">
        <v>1381</v>
      </c>
      <c r="E7903" s="508">
        <v>1.349</v>
      </c>
      <c r="F7903" s="508">
        <v>1.349</v>
      </c>
      <c r="G7903" s="508">
        <v>1.3480000000000001</v>
      </c>
      <c r="H7903" s="508">
        <v>1.347</v>
      </c>
      <c r="I7903" s="508">
        <v>1.347</v>
      </c>
      <c r="J7903" s="508">
        <v>1.3460000000000001</v>
      </c>
      <c r="K7903" s="508">
        <v>1.3460000000000001</v>
      </c>
      <c r="L7903" s="508">
        <v>1.345</v>
      </c>
      <c r="M7903" s="508">
        <v>1.345</v>
      </c>
      <c r="N7903" s="508">
        <v>1.3440000000000001</v>
      </c>
      <c r="O7903" s="508">
        <v>1.3440000000000001</v>
      </c>
      <c r="P7903" s="508">
        <v>1.3440000000000001</v>
      </c>
      <c r="Q7903" s="508">
        <v>1.3440000000000001</v>
      </c>
      <c r="R7903" s="508">
        <v>1.343</v>
      </c>
      <c r="S7903" s="508">
        <v>1.343</v>
      </c>
      <c r="T7903" s="508">
        <v>1.343</v>
      </c>
      <c r="U7903" s="508">
        <v>1.3420000000000001</v>
      </c>
      <c r="V7903" s="508">
        <v>1.3420000000000001</v>
      </c>
      <c r="W7903" s="508">
        <v>0.83</v>
      </c>
      <c r="X7903" s="508">
        <v>0.83</v>
      </c>
      <c r="Y7903" s="508">
        <v>0.83</v>
      </c>
      <c r="Z7903" s="508">
        <v>0.73699999999999999</v>
      </c>
      <c r="AA7903" s="508">
        <v>7.4999999999999997E-2</v>
      </c>
      <c r="AB7903" s="508">
        <v>6.3E-2</v>
      </c>
      <c r="AC7903" s="508">
        <v>6.3E-2</v>
      </c>
      <c r="AD7903" s="508">
        <v>0.04</v>
      </c>
      <c r="AE7903" s="508">
        <v>0.04</v>
      </c>
      <c r="AF7903" s="508">
        <v>3.6999999999999998E-2</v>
      </c>
      <c r="AG7903" s="508">
        <v>3.6999999999999998E-2</v>
      </c>
      <c r="AH7903" s="508">
        <v>3.6999999999999998E-2</v>
      </c>
      <c r="AI7903" s="492">
        <v>3.6999999999999998E-2</v>
      </c>
      <c r="AJ7903" s="485"/>
    </row>
    <row r="7904" spans="2:36">
      <c r="B7904" s="136" t="s">
        <v>463</v>
      </c>
      <c r="C7904" s="132" t="s">
        <v>1378</v>
      </c>
      <c r="D7904" s="132" t="s">
        <v>1381</v>
      </c>
      <c r="E7904" s="508">
        <v>1.351</v>
      </c>
      <c r="F7904" s="508">
        <v>1.35</v>
      </c>
      <c r="G7904" s="508">
        <v>1.349</v>
      </c>
      <c r="H7904" s="508">
        <v>1.3480000000000001</v>
      </c>
      <c r="I7904" s="508">
        <v>1.347</v>
      </c>
      <c r="J7904" s="508">
        <v>1.3460000000000001</v>
      </c>
      <c r="K7904" s="508">
        <v>1.345</v>
      </c>
      <c r="L7904" s="508">
        <v>1.345</v>
      </c>
      <c r="M7904" s="508">
        <v>1.3440000000000001</v>
      </c>
      <c r="N7904" s="508">
        <v>1.343</v>
      </c>
      <c r="O7904" s="508">
        <v>1.3420000000000001</v>
      </c>
      <c r="P7904" s="508">
        <v>1.3420000000000001</v>
      </c>
      <c r="Q7904" s="508">
        <v>1.3420000000000001</v>
      </c>
      <c r="R7904" s="508">
        <v>1.341</v>
      </c>
      <c r="S7904" s="508">
        <v>1.34</v>
      </c>
      <c r="T7904" s="508">
        <v>1.34</v>
      </c>
      <c r="U7904" s="508">
        <v>1.339</v>
      </c>
      <c r="V7904" s="508">
        <v>1.3380000000000001</v>
      </c>
      <c r="W7904" s="508">
        <v>0.80800000000000005</v>
      </c>
      <c r="X7904" s="508">
        <v>0.80800000000000005</v>
      </c>
      <c r="Y7904" s="508">
        <v>0.80700000000000005</v>
      </c>
      <c r="Z7904" s="508">
        <v>0.71699999999999997</v>
      </c>
      <c r="AA7904" s="508">
        <v>7.5999999999999998E-2</v>
      </c>
      <c r="AB7904" s="508">
        <v>6.4000000000000001E-2</v>
      </c>
      <c r="AC7904" s="508">
        <v>6.4000000000000001E-2</v>
      </c>
      <c r="AD7904" s="508">
        <v>4.2000000000000003E-2</v>
      </c>
      <c r="AE7904" s="508">
        <v>4.1000000000000002E-2</v>
      </c>
      <c r="AF7904" s="508">
        <v>3.9E-2</v>
      </c>
      <c r="AG7904" s="508">
        <v>3.7999999999999999E-2</v>
      </c>
      <c r="AH7904" s="508">
        <v>3.7999999999999999E-2</v>
      </c>
      <c r="AI7904" s="492">
        <v>3.7999999999999999E-2</v>
      </c>
      <c r="AJ7904" s="485"/>
    </row>
    <row r="7905" spans="2:36">
      <c r="B7905" s="136" t="s">
        <v>464</v>
      </c>
      <c r="C7905" s="132" t="s">
        <v>1378</v>
      </c>
      <c r="D7905" s="132" t="s">
        <v>1381</v>
      </c>
      <c r="E7905" s="508">
        <v>1.343</v>
      </c>
      <c r="F7905" s="508">
        <v>1.3420000000000001</v>
      </c>
      <c r="G7905" s="508">
        <v>1.34</v>
      </c>
      <c r="H7905" s="508">
        <v>1.339</v>
      </c>
      <c r="I7905" s="508">
        <v>1.3380000000000001</v>
      </c>
      <c r="J7905" s="508">
        <v>1.3360000000000001</v>
      </c>
      <c r="K7905" s="508">
        <v>1.335</v>
      </c>
      <c r="L7905" s="508">
        <v>1.3340000000000001</v>
      </c>
      <c r="M7905" s="508">
        <v>1.333</v>
      </c>
      <c r="N7905" s="508">
        <v>1.3320000000000001</v>
      </c>
      <c r="O7905" s="508">
        <v>1.331</v>
      </c>
      <c r="P7905" s="508">
        <v>1.33</v>
      </c>
      <c r="Q7905" s="508">
        <v>1.329</v>
      </c>
      <c r="R7905" s="508">
        <v>1.3280000000000001</v>
      </c>
      <c r="S7905" s="508">
        <v>1.327</v>
      </c>
      <c r="T7905" s="508">
        <v>1.3260000000000001</v>
      </c>
      <c r="U7905" s="508">
        <v>1.3260000000000001</v>
      </c>
      <c r="V7905" s="508">
        <v>1.325</v>
      </c>
      <c r="W7905" s="508">
        <v>0.8</v>
      </c>
      <c r="X7905" s="508">
        <v>0.79900000000000004</v>
      </c>
      <c r="Y7905" s="508">
        <v>0.79800000000000004</v>
      </c>
      <c r="Z7905" s="508">
        <v>0.71</v>
      </c>
      <c r="AA7905" s="508">
        <v>7.6999999999999999E-2</v>
      </c>
      <c r="AB7905" s="508">
        <v>6.6000000000000003E-2</v>
      </c>
      <c r="AC7905" s="508">
        <v>6.5000000000000002E-2</v>
      </c>
      <c r="AD7905" s="508">
        <v>4.3999999999999997E-2</v>
      </c>
      <c r="AE7905" s="508">
        <v>4.2999999999999997E-2</v>
      </c>
      <c r="AF7905" s="508">
        <v>4.1000000000000002E-2</v>
      </c>
      <c r="AG7905" s="508">
        <v>0.04</v>
      </c>
      <c r="AH7905" s="508">
        <v>0.04</v>
      </c>
      <c r="AI7905" s="492">
        <v>0.04</v>
      </c>
      <c r="AJ7905" s="485"/>
    </row>
    <row r="7906" spans="2:36">
      <c r="B7906" s="136" t="s">
        <v>465</v>
      </c>
      <c r="C7906" s="132" t="s">
        <v>1378</v>
      </c>
      <c r="D7906" s="132" t="s">
        <v>1381</v>
      </c>
      <c r="E7906" s="508">
        <v>1.361</v>
      </c>
      <c r="F7906" s="508">
        <v>1.36</v>
      </c>
      <c r="G7906" s="508">
        <v>1.359</v>
      </c>
      <c r="H7906" s="508">
        <v>1.3580000000000001</v>
      </c>
      <c r="I7906" s="508">
        <v>1.357</v>
      </c>
      <c r="J7906" s="508">
        <v>1.3560000000000001</v>
      </c>
      <c r="K7906" s="508">
        <v>1.3540000000000001</v>
      </c>
      <c r="L7906" s="508">
        <v>1.353</v>
      </c>
      <c r="M7906" s="508">
        <v>1.3520000000000001</v>
      </c>
      <c r="N7906" s="508">
        <v>1.351</v>
      </c>
      <c r="O7906" s="508">
        <v>1.35</v>
      </c>
      <c r="P7906" s="508">
        <v>1.35</v>
      </c>
      <c r="Q7906" s="508">
        <v>1.35</v>
      </c>
      <c r="R7906" s="508">
        <v>1.349</v>
      </c>
      <c r="S7906" s="508">
        <v>1.3480000000000001</v>
      </c>
      <c r="T7906" s="508">
        <v>1.347</v>
      </c>
      <c r="U7906" s="508">
        <v>1.3460000000000001</v>
      </c>
      <c r="V7906" s="508">
        <v>1.345</v>
      </c>
      <c r="W7906" s="508">
        <v>0.81899999999999995</v>
      </c>
      <c r="X7906" s="508">
        <v>0.81799999999999995</v>
      </c>
      <c r="Y7906" s="508">
        <v>0.81799999999999995</v>
      </c>
      <c r="Z7906" s="508">
        <v>0.72699999999999998</v>
      </c>
      <c r="AA7906" s="508">
        <v>7.8E-2</v>
      </c>
      <c r="AB7906" s="508">
        <v>6.6000000000000003E-2</v>
      </c>
      <c r="AC7906" s="508">
        <v>6.6000000000000003E-2</v>
      </c>
      <c r="AD7906" s="508">
        <v>4.2999999999999997E-2</v>
      </c>
      <c r="AE7906" s="508">
        <v>4.2999999999999997E-2</v>
      </c>
      <c r="AF7906" s="508">
        <v>0.04</v>
      </c>
      <c r="AG7906" s="508">
        <v>0.04</v>
      </c>
      <c r="AH7906" s="508">
        <v>0.04</v>
      </c>
      <c r="AI7906" s="492">
        <v>3.9E-2</v>
      </c>
      <c r="AJ7906" s="485"/>
    </row>
    <row r="7907" spans="2:36">
      <c r="B7907" s="136" t="s">
        <v>466</v>
      </c>
      <c r="C7907" s="132" t="s">
        <v>1378</v>
      </c>
      <c r="D7907" s="132" t="s">
        <v>1381</v>
      </c>
      <c r="E7907" s="508">
        <v>1.4339999999999999</v>
      </c>
      <c r="F7907" s="508">
        <v>1.4339999999999999</v>
      </c>
      <c r="G7907" s="508">
        <v>1.4330000000000001</v>
      </c>
      <c r="H7907" s="508">
        <v>1.4319999999999999</v>
      </c>
      <c r="I7907" s="508">
        <v>1.431</v>
      </c>
      <c r="J7907" s="508">
        <v>1.43</v>
      </c>
      <c r="K7907" s="508">
        <v>1.43</v>
      </c>
      <c r="L7907" s="508">
        <v>1.429</v>
      </c>
      <c r="M7907" s="508">
        <v>1.4279999999999999</v>
      </c>
      <c r="N7907" s="508">
        <v>1.4279999999999999</v>
      </c>
      <c r="O7907" s="508">
        <v>1.427</v>
      </c>
      <c r="P7907" s="508">
        <v>1.427</v>
      </c>
      <c r="Q7907" s="508">
        <v>1.427</v>
      </c>
      <c r="R7907" s="508">
        <v>1.4259999999999999</v>
      </c>
      <c r="S7907" s="508">
        <v>1.425</v>
      </c>
      <c r="T7907" s="508">
        <v>1.425</v>
      </c>
      <c r="U7907" s="508">
        <v>1.4239999999999999</v>
      </c>
      <c r="V7907" s="508">
        <v>1.4239999999999999</v>
      </c>
      <c r="W7907" s="508">
        <v>0.91400000000000003</v>
      </c>
      <c r="X7907" s="508">
        <v>0.91300000000000003</v>
      </c>
      <c r="Y7907" s="508">
        <v>0.91300000000000003</v>
      </c>
      <c r="Z7907" s="508">
        <v>0.81100000000000005</v>
      </c>
      <c r="AA7907" s="508">
        <v>8.4000000000000005E-2</v>
      </c>
      <c r="AB7907" s="508">
        <v>7.0000000000000007E-2</v>
      </c>
      <c r="AC7907" s="508">
        <v>7.0000000000000007E-2</v>
      </c>
      <c r="AD7907" s="508">
        <v>4.4999999999999998E-2</v>
      </c>
      <c r="AE7907" s="508">
        <v>4.4999999999999998E-2</v>
      </c>
      <c r="AF7907" s="508">
        <v>4.2000000000000003E-2</v>
      </c>
      <c r="AG7907" s="508">
        <v>4.2000000000000003E-2</v>
      </c>
      <c r="AH7907" s="508">
        <v>4.1000000000000002E-2</v>
      </c>
      <c r="AI7907" s="492">
        <v>4.1000000000000002E-2</v>
      </c>
      <c r="AJ7907" s="485"/>
    </row>
    <row r="7908" spans="2:36">
      <c r="B7908" s="136" t="s">
        <v>467</v>
      </c>
      <c r="C7908" s="132" t="s">
        <v>1378</v>
      </c>
      <c r="D7908" s="132" t="s">
        <v>1381</v>
      </c>
      <c r="E7908" s="508">
        <v>1.3879999999999999</v>
      </c>
      <c r="F7908" s="508">
        <v>1.3859999999999999</v>
      </c>
      <c r="G7908" s="508">
        <v>1.385</v>
      </c>
      <c r="H7908" s="508">
        <v>1.383</v>
      </c>
      <c r="I7908" s="508">
        <v>1.3819999999999999</v>
      </c>
      <c r="J7908" s="508">
        <v>1.381</v>
      </c>
      <c r="K7908" s="508">
        <v>1.38</v>
      </c>
      <c r="L7908" s="508">
        <v>1.379</v>
      </c>
      <c r="M7908" s="508">
        <v>1.377</v>
      </c>
      <c r="N7908" s="508">
        <v>1.3759999999999999</v>
      </c>
      <c r="O7908" s="508">
        <v>1.375</v>
      </c>
      <c r="P7908" s="508">
        <v>1.375</v>
      </c>
      <c r="Q7908" s="508">
        <v>1.3740000000000001</v>
      </c>
      <c r="R7908" s="508">
        <v>1.373</v>
      </c>
      <c r="S7908" s="508">
        <v>1.3720000000000001</v>
      </c>
      <c r="T7908" s="508">
        <v>1.371</v>
      </c>
      <c r="U7908" s="508">
        <v>1.37</v>
      </c>
      <c r="V7908" s="508">
        <v>1.369</v>
      </c>
      <c r="W7908" s="508">
        <v>0.85399999999999998</v>
      </c>
      <c r="X7908" s="508">
        <v>0.85299999999999998</v>
      </c>
      <c r="Y7908" s="508">
        <v>0.85299999999999998</v>
      </c>
      <c r="Z7908" s="508">
        <v>0.75800000000000001</v>
      </c>
      <c r="AA7908" s="508">
        <v>8.2000000000000003E-2</v>
      </c>
      <c r="AB7908" s="508">
        <v>6.9000000000000006E-2</v>
      </c>
      <c r="AC7908" s="508">
        <v>6.9000000000000006E-2</v>
      </c>
      <c r="AD7908" s="508">
        <v>4.5999999999999999E-2</v>
      </c>
      <c r="AE7908" s="508">
        <v>4.5999999999999999E-2</v>
      </c>
      <c r="AF7908" s="508">
        <v>4.2999999999999997E-2</v>
      </c>
      <c r="AG7908" s="508">
        <v>4.2000000000000003E-2</v>
      </c>
      <c r="AH7908" s="508">
        <v>4.2000000000000003E-2</v>
      </c>
      <c r="AI7908" s="492">
        <v>4.2000000000000003E-2</v>
      </c>
      <c r="AJ7908" s="485"/>
    </row>
    <row r="7909" spans="2:36">
      <c r="B7909" s="136" t="s">
        <v>468</v>
      </c>
      <c r="C7909" s="132" t="s">
        <v>1378</v>
      </c>
      <c r="D7909" s="132" t="s">
        <v>1381</v>
      </c>
      <c r="E7909" s="508">
        <v>1.335</v>
      </c>
      <c r="F7909" s="508">
        <v>1.3340000000000001</v>
      </c>
      <c r="G7909" s="508">
        <v>1.333</v>
      </c>
      <c r="H7909" s="508">
        <v>1.3320000000000001</v>
      </c>
      <c r="I7909" s="508">
        <v>1.331</v>
      </c>
      <c r="J7909" s="508">
        <v>1.331</v>
      </c>
      <c r="K7909" s="508">
        <v>1.33</v>
      </c>
      <c r="L7909" s="508">
        <v>1.329</v>
      </c>
      <c r="M7909" s="508">
        <v>1.3280000000000001</v>
      </c>
      <c r="N7909" s="508">
        <v>1.327</v>
      </c>
      <c r="O7909" s="508">
        <v>1.327</v>
      </c>
      <c r="P7909" s="508">
        <v>1.327</v>
      </c>
      <c r="Q7909" s="508">
        <v>1.3260000000000001</v>
      </c>
      <c r="R7909" s="508">
        <v>1.325</v>
      </c>
      <c r="S7909" s="508">
        <v>1.325</v>
      </c>
      <c r="T7909" s="508">
        <v>1.3240000000000001</v>
      </c>
      <c r="U7909" s="508">
        <v>1.323</v>
      </c>
      <c r="V7909" s="508">
        <v>1.323</v>
      </c>
      <c r="W7909" s="508">
        <v>0.78700000000000003</v>
      </c>
      <c r="X7909" s="508">
        <v>0.78600000000000003</v>
      </c>
      <c r="Y7909" s="508">
        <v>0.78500000000000003</v>
      </c>
      <c r="Z7909" s="508">
        <v>0.69799999999999995</v>
      </c>
      <c r="AA7909" s="508">
        <v>7.2999999999999995E-2</v>
      </c>
      <c r="AB7909" s="508">
        <v>6.2E-2</v>
      </c>
      <c r="AC7909" s="508">
        <v>6.2E-2</v>
      </c>
      <c r="AD7909" s="508">
        <v>0.04</v>
      </c>
      <c r="AE7909" s="508">
        <v>0.04</v>
      </c>
      <c r="AF7909" s="508">
        <v>3.6999999999999998E-2</v>
      </c>
      <c r="AG7909" s="508">
        <v>3.6999999999999998E-2</v>
      </c>
      <c r="AH7909" s="508">
        <v>3.6999999999999998E-2</v>
      </c>
      <c r="AI7909" s="492">
        <v>3.6999999999999998E-2</v>
      </c>
      <c r="AJ7909" s="485"/>
    </row>
    <row r="7910" spans="2:36">
      <c r="B7910" s="136" t="s">
        <v>469</v>
      </c>
      <c r="C7910" s="132" t="s">
        <v>1378</v>
      </c>
      <c r="D7910" s="132" t="s">
        <v>1381</v>
      </c>
      <c r="E7910" s="508">
        <v>1.359</v>
      </c>
      <c r="F7910" s="508">
        <v>1.3580000000000001</v>
      </c>
      <c r="G7910" s="508">
        <v>1.3580000000000001</v>
      </c>
      <c r="H7910" s="508">
        <v>1.357</v>
      </c>
      <c r="I7910" s="508">
        <v>1.3560000000000001</v>
      </c>
      <c r="J7910" s="508">
        <v>1.355</v>
      </c>
      <c r="K7910" s="508">
        <v>1.3540000000000001</v>
      </c>
      <c r="L7910" s="508">
        <v>1.353</v>
      </c>
      <c r="M7910" s="508">
        <v>1.3520000000000001</v>
      </c>
      <c r="N7910" s="508">
        <v>1.3520000000000001</v>
      </c>
      <c r="O7910" s="508">
        <v>1.351</v>
      </c>
      <c r="P7910" s="508">
        <v>1.351</v>
      </c>
      <c r="Q7910" s="508">
        <v>1.35</v>
      </c>
      <c r="R7910" s="508">
        <v>1.35</v>
      </c>
      <c r="S7910" s="508">
        <v>1.349</v>
      </c>
      <c r="T7910" s="508">
        <v>1.3480000000000001</v>
      </c>
      <c r="U7910" s="508">
        <v>1.3480000000000001</v>
      </c>
      <c r="V7910" s="508">
        <v>1.347</v>
      </c>
      <c r="W7910" s="508">
        <v>0.82599999999999996</v>
      </c>
      <c r="X7910" s="508">
        <v>0.82499999999999996</v>
      </c>
      <c r="Y7910" s="508">
        <v>0.82399999999999995</v>
      </c>
      <c r="Z7910" s="508">
        <v>0.73299999999999998</v>
      </c>
      <c r="AA7910" s="508">
        <v>7.6999999999999999E-2</v>
      </c>
      <c r="AB7910" s="508">
        <v>6.5000000000000002E-2</v>
      </c>
      <c r="AC7910" s="508">
        <v>6.5000000000000002E-2</v>
      </c>
      <c r="AD7910" s="508">
        <v>4.2000000000000003E-2</v>
      </c>
      <c r="AE7910" s="508">
        <v>4.2000000000000003E-2</v>
      </c>
      <c r="AF7910" s="508">
        <v>3.9E-2</v>
      </c>
      <c r="AG7910" s="508">
        <v>3.9E-2</v>
      </c>
      <c r="AH7910" s="508">
        <v>3.7999999999999999E-2</v>
      </c>
      <c r="AI7910" s="492">
        <v>3.7999999999999999E-2</v>
      </c>
      <c r="AJ7910" s="485"/>
    </row>
    <row r="7911" spans="2:36">
      <c r="B7911" s="136" t="s">
        <v>470</v>
      </c>
      <c r="C7911" s="132" t="s">
        <v>1378</v>
      </c>
      <c r="D7911" s="132" t="s">
        <v>1381</v>
      </c>
      <c r="E7911" s="508">
        <v>1.429</v>
      </c>
      <c r="F7911" s="508">
        <v>1.4279999999999999</v>
      </c>
      <c r="G7911" s="508">
        <v>1.4259999999999999</v>
      </c>
      <c r="H7911" s="508">
        <v>1.425</v>
      </c>
      <c r="I7911" s="508">
        <v>1.4239999999999999</v>
      </c>
      <c r="J7911" s="508">
        <v>1.423</v>
      </c>
      <c r="K7911" s="508">
        <v>1.421</v>
      </c>
      <c r="L7911" s="508">
        <v>1.42</v>
      </c>
      <c r="M7911" s="508">
        <v>1.419</v>
      </c>
      <c r="N7911" s="508">
        <v>1.4179999999999999</v>
      </c>
      <c r="O7911" s="508">
        <v>1.417</v>
      </c>
      <c r="P7911" s="508">
        <v>1.417</v>
      </c>
      <c r="Q7911" s="508">
        <v>1.4159999999999999</v>
      </c>
      <c r="R7911" s="508">
        <v>1.415</v>
      </c>
      <c r="S7911" s="508">
        <v>1.4139999999999999</v>
      </c>
      <c r="T7911" s="508">
        <v>1.4139999999999999</v>
      </c>
      <c r="U7911" s="508">
        <v>1.413</v>
      </c>
      <c r="V7911" s="508">
        <v>1.4119999999999999</v>
      </c>
      <c r="W7911" s="508">
        <v>0.89800000000000002</v>
      </c>
      <c r="X7911" s="508">
        <v>0.89700000000000002</v>
      </c>
      <c r="Y7911" s="508">
        <v>0.89600000000000002</v>
      </c>
      <c r="Z7911" s="508">
        <v>0.79700000000000004</v>
      </c>
      <c r="AA7911" s="508">
        <v>8.5000000000000006E-2</v>
      </c>
      <c r="AB7911" s="508">
        <v>7.1999999999999995E-2</v>
      </c>
      <c r="AC7911" s="508">
        <v>7.1999999999999995E-2</v>
      </c>
      <c r="AD7911" s="508">
        <v>4.7E-2</v>
      </c>
      <c r="AE7911" s="508">
        <v>4.7E-2</v>
      </c>
      <c r="AF7911" s="508">
        <v>4.3999999999999997E-2</v>
      </c>
      <c r="AG7911" s="508">
        <v>4.3999999999999997E-2</v>
      </c>
      <c r="AH7911" s="508">
        <v>4.2999999999999997E-2</v>
      </c>
      <c r="AI7911" s="492">
        <v>4.2999999999999997E-2</v>
      </c>
      <c r="AJ7911" s="485"/>
    </row>
    <row r="7912" spans="2:36">
      <c r="B7912" s="136" t="s">
        <v>471</v>
      </c>
      <c r="C7912" s="132" t="s">
        <v>1378</v>
      </c>
      <c r="D7912" s="132" t="s">
        <v>1381</v>
      </c>
      <c r="E7912" s="508">
        <v>1.391</v>
      </c>
      <c r="F7912" s="508">
        <v>1.39</v>
      </c>
      <c r="G7912" s="508">
        <v>1.389</v>
      </c>
      <c r="H7912" s="508">
        <v>1.389</v>
      </c>
      <c r="I7912" s="508">
        <v>1.3879999999999999</v>
      </c>
      <c r="J7912" s="508">
        <v>1.387</v>
      </c>
      <c r="K7912" s="508">
        <v>1.3859999999999999</v>
      </c>
      <c r="L7912" s="508">
        <v>1.3859999999999999</v>
      </c>
      <c r="M7912" s="508">
        <v>1.385</v>
      </c>
      <c r="N7912" s="508">
        <v>1.3839999999999999</v>
      </c>
      <c r="O7912" s="508">
        <v>1.3839999999999999</v>
      </c>
      <c r="P7912" s="508">
        <v>1.3839999999999999</v>
      </c>
      <c r="Q7912" s="508">
        <v>1.383</v>
      </c>
      <c r="R7912" s="508">
        <v>1.383</v>
      </c>
      <c r="S7912" s="508">
        <v>1.3819999999999999</v>
      </c>
      <c r="T7912" s="508">
        <v>1.381</v>
      </c>
      <c r="U7912" s="508">
        <v>1.381</v>
      </c>
      <c r="V7912" s="508">
        <v>1.38</v>
      </c>
      <c r="W7912" s="508">
        <v>0.86899999999999999</v>
      </c>
      <c r="X7912" s="508">
        <v>0.86899999999999999</v>
      </c>
      <c r="Y7912" s="508">
        <v>0.86799999999999999</v>
      </c>
      <c r="Z7912" s="508">
        <v>0.77100000000000002</v>
      </c>
      <c r="AA7912" s="508">
        <v>0.08</v>
      </c>
      <c r="AB7912" s="508">
        <v>6.7000000000000004E-2</v>
      </c>
      <c r="AC7912" s="508">
        <v>6.7000000000000004E-2</v>
      </c>
      <c r="AD7912" s="508">
        <v>4.2999999999999997E-2</v>
      </c>
      <c r="AE7912" s="508">
        <v>4.2999999999999997E-2</v>
      </c>
      <c r="AF7912" s="508">
        <v>0.04</v>
      </c>
      <c r="AG7912" s="508">
        <v>0.04</v>
      </c>
      <c r="AH7912" s="508">
        <v>0.04</v>
      </c>
      <c r="AI7912" s="492">
        <v>3.9E-2</v>
      </c>
      <c r="AJ7912" s="485"/>
    </row>
    <row r="7913" spans="2:36">
      <c r="B7913" s="136" t="s">
        <v>472</v>
      </c>
      <c r="C7913" s="132" t="s">
        <v>1378</v>
      </c>
      <c r="D7913" s="132" t="s">
        <v>1381</v>
      </c>
      <c r="E7913" s="508">
        <v>1.35</v>
      </c>
      <c r="F7913" s="508">
        <v>1.3480000000000001</v>
      </c>
      <c r="G7913" s="508">
        <v>1.347</v>
      </c>
      <c r="H7913" s="508">
        <v>1.345</v>
      </c>
      <c r="I7913" s="508">
        <v>1.3440000000000001</v>
      </c>
      <c r="J7913" s="508">
        <v>1.3420000000000001</v>
      </c>
      <c r="K7913" s="508">
        <v>1.341</v>
      </c>
      <c r="L7913" s="508">
        <v>1.339</v>
      </c>
      <c r="M7913" s="508">
        <v>1.3380000000000001</v>
      </c>
      <c r="N7913" s="508">
        <v>1.337</v>
      </c>
      <c r="O7913" s="508">
        <v>1.3360000000000001</v>
      </c>
      <c r="P7913" s="508">
        <v>1.335</v>
      </c>
      <c r="Q7913" s="508">
        <v>1.3340000000000001</v>
      </c>
      <c r="R7913" s="508">
        <v>1.333</v>
      </c>
      <c r="S7913" s="508">
        <v>1.3320000000000001</v>
      </c>
      <c r="T7913" s="508">
        <v>1.331</v>
      </c>
      <c r="U7913" s="508">
        <v>1.33</v>
      </c>
      <c r="V7913" s="508">
        <v>1.329</v>
      </c>
      <c r="W7913" s="508">
        <v>0.80700000000000005</v>
      </c>
      <c r="X7913" s="508">
        <v>0.80600000000000005</v>
      </c>
      <c r="Y7913" s="508">
        <v>0.80500000000000005</v>
      </c>
      <c r="Z7913" s="508">
        <v>0.71599999999999997</v>
      </c>
      <c r="AA7913" s="508">
        <v>7.9000000000000001E-2</v>
      </c>
      <c r="AB7913" s="508">
        <v>6.7000000000000004E-2</v>
      </c>
      <c r="AC7913" s="508">
        <v>6.7000000000000004E-2</v>
      </c>
      <c r="AD7913" s="508">
        <v>4.4999999999999998E-2</v>
      </c>
      <c r="AE7913" s="508">
        <v>4.4999999999999998E-2</v>
      </c>
      <c r="AF7913" s="508">
        <v>4.2000000000000003E-2</v>
      </c>
      <c r="AG7913" s="508">
        <v>4.2000000000000003E-2</v>
      </c>
      <c r="AH7913" s="508">
        <v>4.1000000000000002E-2</v>
      </c>
      <c r="AI7913" s="492">
        <v>4.1000000000000002E-2</v>
      </c>
      <c r="AJ7913" s="485"/>
    </row>
    <row r="7914" spans="2:36">
      <c r="B7914" s="136" t="s">
        <v>473</v>
      </c>
      <c r="C7914" s="132" t="s">
        <v>1378</v>
      </c>
      <c r="D7914" s="132" t="s">
        <v>1381</v>
      </c>
      <c r="E7914" s="508">
        <v>1.4279999999999999</v>
      </c>
      <c r="F7914" s="508">
        <v>1.4259999999999999</v>
      </c>
      <c r="G7914" s="508">
        <v>1.425</v>
      </c>
      <c r="H7914" s="508">
        <v>1.4239999999999999</v>
      </c>
      <c r="I7914" s="508">
        <v>1.423</v>
      </c>
      <c r="J7914" s="508">
        <v>1.421</v>
      </c>
      <c r="K7914" s="508">
        <v>1.42</v>
      </c>
      <c r="L7914" s="508">
        <v>1.419</v>
      </c>
      <c r="M7914" s="508">
        <v>1.4179999999999999</v>
      </c>
      <c r="N7914" s="508">
        <v>1.417</v>
      </c>
      <c r="O7914" s="508">
        <v>1.4159999999999999</v>
      </c>
      <c r="P7914" s="508">
        <v>1.4159999999999999</v>
      </c>
      <c r="Q7914" s="508">
        <v>1.415</v>
      </c>
      <c r="R7914" s="508">
        <v>1.4139999999999999</v>
      </c>
      <c r="S7914" s="508">
        <v>1.413</v>
      </c>
      <c r="T7914" s="508">
        <v>1.413</v>
      </c>
      <c r="U7914" s="508">
        <v>1.4119999999999999</v>
      </c>
      <c r="V7914" s="508">
        <v>1.411</v>
      </c>
      <c r="W7914" s="508">
        <v>0.90100000000000002</v>
      </c>
      <c r="X7914" s="508">
        <v>0.9</v>
      </c>
      <c r="Y7914" s="508">
        <v>0.9</v>
      </c>
      <c r="Z7914" s="508">
        <v>0.8</v>
      </c>
      <c r="AA7914" s="508">
        <v>8.5000000000000006E-2</v>
      </c>
      <c r="AB7914" s="508">
        <v>7.1999999999999995E-2</v>
      </c>
      <c r="AC7914" s="508">
        <v>7.1999999999999995E-2</v>
      </c>
      <c r="AD7914" s="508">
        <v>4.7E-2</v>
      </c>
      <c r="AE7914" s="508">
        <v>4.7E-2</v>
      </c>
      <c r="AF7914" s="508">
        <v>4.3999999999999997E-2</v>
      </c>
      <c r="AG7914" s="508">
        <v>4.3999999999999997E-2</v>
      </c>
      <c r="AH7914" s="508">
        <v>4.2999999999999997E-2</v>
      </c>
      <c r="AI7914" s="492">
        <v>4.2999999999999997E-2</v>
      </c>
      <c r="AJ7914" s="485"/>
    </row>
    <row r="7915" spans="2:36">
      <c r="B7915" s="136" t="s">
        <v>474</v>
      </c>
      <c r="C7915" s="132" t="s">
        <v>1378</v>
      </c>
      <c r="D7915" s="132" t="s">
        <v>1381</v>
      </c>
      <c r="E7915" s="508">
        <v>1.38</v>
      </c>
      <c r="F7915" s="508">
        <v>1.379</v>
      </c>
      <c r="G7915" s="508">
        <v>1.3779999999999999</v>
      </c>
      <c r="H7915" s="508">
        <v>1.377</v>
      </c>
      <c r="I7915" s="508">
        <v>1.3759999999999999</v>
      </c>
      <c r="J7915" s="508">
        <v>1.3759999999999999</v>
      </c>
      <c r="K7915" s="508">
        <v>1.375</v>
      </c>
      <c r="L7915" s="508">
        <v>1.3740000000000001</v>
      </c>
      <c r="M7915" s="508">
        <v>1.373</v>
      </c>
      <c r="N7915" s="508">
        <v>1.373</v>
      </c>
      <c r="O7915" s="508">
        <v>1.3720000000000001</v>
      </c>
      <c r="P7915" s="508">
        <v>1.3720000000000001</v>
      </c>
      <c r="Q7915" s="508">
        <v>1.3720000000000001</v>
      </c>
      <c r="R7915" s="508">
        <v>1.371</v>
      </c>
      <c r="S7915" s="508">
        <v>1.371</v>
      </c>
      <c r="T7915" s="508">
        <v>1.37</v>
      </c>
      <c r="U7915" s="508">
        <v>1.369</v>
      </c>
      <c r="V7915" s="508">
        <v>1.369</v>
      </c>
      <c r="W7915" s="508">
        <v>0.85399999999999998</v>
      </c>
      <c r="X7915" s="508">
        <v>0.85299999999999998</v>
      </c>
      <c r="Y7915" s="508">
        <v>0.85299999999999998</v>
      </c>
      <c r="Z7915" s="508">
        <v>0.75800000000000001</v>
      </c>
      <c r="AA7915" s="508">
        <v>7.9000000000000001E-2</v>
      </c>
      <c r="AB7915" s="508">
        <v>6.6000000000000003E-2</v>
      </c>
      <c r="AC7915" s="508">
        <v>6.6000000000000003E-2</v>
      </c>
      <c r="AD7915" s="508">
        <v>4.2999999999999997E-2</v>
      </c>
      <c r="AE7915" s="508">
        <v>4.2000000000000003E-2</v>
      </c>
      <c r="AF7915" s="508">
        <v>3.9E-2</v>
      </c>
      <c r="AG7915" s="508">
        <v>3.9E-2</v>
      </c>
      <c r="AH7915" s="508">
        <v>3.9E-2</v>
      </c>
      <c r="AI7915" s="492">
        <v>3.9E-2</v>
      </c>
      <c r="AJ7915" s="485"/>
    </row>
    <row r="7916" spans="2:36">
      <c r="B7916" s="136" t="s">
        <v>475</v>
      </c>
      <c r="C7916" s="132" t="s">
        <v>1378</v>
      </c>
      <c r="D7916" s="132" t="s">
        <v>1381</v>
      </c>
      <c r="E7916" s="508">
        <v>1.3759999999999999</v>
      </c>
      <c r="F7916" s="508">
        <v>1.375</v>
      </c>
      <c r="G7916" s="508">
        <v>1.3740000000000001</v>
      </c>
      <c r="H7916" s="508">
        <v>1.3720000000000001</v>
      </c>
      <c r="I7916" s="508">
        <v>1.371</v>
      </c>
      <c r="J7916" s="508">
        <v>1.37</v>
      </c>
      <c r="K7916" s="508">
        <v>1.369</v>
      </c>
      <c r="L7916" s="508">
        <v>1.3680000000000001</v>
      </c>
      <c r="M7916" s="508">
        <v>1.367</v>
      </c>
      <c r="N7916" s="508">
        <v>1.367</v>
      </c>
      <c r="O7916" s="508">
        <v>1.3660000000000001</v>
      </c>
      <c r="P7916" s="508">
        <v>1.3660000000000001</v>
      </c>
      <c r="Q7916" s="508">
        <v>1.365</v>
      </c>
      <c r="R7916" s="508">
        <v>1.3640000000000001</v>
      </c>
      <c r="S7916" s="508">
        <v>1.363</v>
      </c>
      <c r="T7916" s="508">
        <v>1.3620000000000001</v>
      </c>
      <c r="U7916" s="508">
        <v>1.3620000000000001</v>
      </c>
      <c r="V7916" s="508">
        <v>1.361</v>
      </c>
      <c r="W7916" s="508">
        <v>0.84399999999999997</v>
      </c>
      <c r="X7916" s="508">
        <v>0.84299999999999997</v>
      </c>
      <c r="Y7916" s="508">
        <v>0.84199999999999997</v>
      </c>
      <c r="Z7916" s="508">
        <v>0.749</v>
      </c>
      <c r="AA7916" s="508">
        <v>7.9000000000000001E-2</v>
      </c>
      <c r="AB7916" s="508">
        <v>6.7000000000000004E-2</v>
      </c>
      <c r="AC7916" s="508">
        <v>6.7000000000000004E-2</v>
      </c>
      <c r="AD7916" s="508">
        <v>4.3999999999999997E-2</v>
      </c>
      <c r="AE7916" s="508">
        <v>4.3999999999999997E-2</v>
      </c>
      <c r="AF7916" s="508">
        <v>4.1000000000000002E-2</v>
      </c>
      <c r="AG7916" s="508">
        <v>0.04</v>
      </c>
      <c r="AH7916" s="508">
        <v>0.04</v>
      </c>
      <c r="AI7916" s="492">
        <v>0.04</v>
      </c>
      <c r="AJ7916" s="485"/>
    </row>
    <row r="7917" spans="2:36">
      <c r="B7917" s="136" t="s">
        <v>476</v>
      </c>
      <c r="C7917" s="132" t="s">
        <v>1378</v>
      </c>
      <c r="D7917" s="132" t="s">
        <v>1381</v>
      </c>
      <c r="E7917" s="508">
        <v>1.411</v>
      </c>
      <c r="F7917" s="508">
        <v>1.41</v>
      </c>
      <c r="G7917" s="508">
        <v>1.4079999999999999</v>
      </c>
      <c r="H7917" s="508">
        <v>1.407</v>
      </c>
      <c r="I7917" s="508">
        <v>1.4059999999999999</v>
      </c>
      <c r="J7917" s="508">
        <v>1.405</v>
      </c>
      <c r="K7917" s="508">
        <v>1.4039999999999999</v>
      </c>
      <c r="L7917" s="508">
        <v>1.403</v>
      </c>
      <c r="M7917" s="508">
        <v>1.4019999999999999</v>
      </c>
      <c r="N7917" s="508">
        <v>1.401</v>
      </c>
      <c r="O7917" s="508">
        <v>1.4</v>
      </c>
      <c r="P7917" s="508">
        <v>1.4</v>
      </c>
      <c r="Q7917" s="508">
        <v>1.399</v>
      </c>
      <c r="R7917" s="508">
        <v>1.3979999999999999</v>
      </c>
      <c r="S7917" s="508">
        <v>1.397</v>
      </c>
      <c r="T7917" s="508">
        <v>1.397</v>
      </c>
      <c r="U7917" s="508">
        <v>1.3959999999999999</v>
      </c>
      <c r="V7917" s="508">
        <v>1.395</v>
      </c>
      <c r="W7917" s="508">
        <v>0.878</v>
      </c>
      <c r="X7917" s="508">
        <v>0.877</v>
      </c>
      <c r="Y7917" s="508">
        <v>0.877</v>
      </c>
      <c r="Z7917" s="508">
        <v>0.77900000000000003</v>
      </c>
      <c r="AA7917" s="508">
        <v>8.3000000000000004E-2</v>
      </c>
      <c r="AB7917" s="508">
        <v>7.0000000000000007E-2</v>
      </c>
      <c r="AC7917" s="508">
        <v>7.0000000000000007E-2</v>
      </c>
      <c r="AD7917" s="508">
        <v>4.5999999999999999E-2</v>
      </c>
      <c r="AE7917" s="508">
        <v>4.5999999999999999E-2</v>
      </c>
      <c r="AF7917" s="508">
        <v>4.2999999999999997E-2</v>
      </c>
      <c r="AG7917" s="508">
        <v>4.2000000000000003E-2</v>
      </c>
      <c r="AH7917" s="508">
        <v>4.2000000000000003E-2</v>
      </c>
      <c r="AI7917" s="492">
        <v>4.2000000000000003E-2</v>
      </c>
      <c r="AJ7917" s="485"/>
    </row>
    <row r="7918" spans="2:36">
      <c r="B7918" s="136" t="s">
        <v>478</v>
      </c>
      <c r="C7918" s="132" t="s">
        <v>1378</v>
      </c>
      <c r="D7918" s="132" t="s">
        <v>1381</v>
      </c>
      <c r="E7918" s="508">
        <v>1.4450000000000001</v>
      </c>
      <c r="F7918" s="508">
        <v>1.444</v>
      </c>
      <c r="G7918" s="508">
        <v>1.4430000000000001</v>
      </c>
      <c r="H7918" s="508">
        <v>1.4419999999999999</v>
      </c>
      <c r="I7918" s="508">
        <v>1.44</v>
      </c>
      <c r="J7918" s="508">
        <v>1.4390000000000001</v>
      </c>
      <c r="K7918" s="508">
        <v>1.4379999999999999</v>
      </c>
      <c r="L7918" s="508">
        <v>1.4370000000000001</v>
      </c>
      <c r="M7918" s="508">
        <v>1.4359999999999999</v>
      </c>
      <c r="N7918" s="508">
        <v>1.4350000000000001</v>
      </c>
      <c r="O7918" s="508">
        <v>1.4339999999999999</v>
      </c>
      <c r="P7918" s="508">
        <v>1.4339999999999999</v>
      </c>
      <c r="Q7918" s="508">
        <v>1.4330000000000001</v>
      </c>
      <c r="R7918" s="508">
        <v>1.4319999999999999</v>
      </c>
      <c r="S7918" s="508">
        <v>1.431</v>
      </c>
      <c r="T7918" s="508">
        <v>1.43</v>
      </c>
      <c r="U7918" s="508">
        <v>1.429</v>
      </c>
      <c r="V7918" s="508">
        <v>1.429</v>
      </c>
      <c r="W7918" s="508">
        <v>0.91100000000000003</v>
      </c>
      <c r="X7918" s="508">
        <v>0.91</v>
      </c>
      <c r="Y7918" s="508">
        <v>0.90900000000000003</v>
      </c>
      <c r="Z7918" s="508">
        <v>0.80800000000000005</v>
      </c>
      <c r="AA7918" s="508">
        <v>8.5999999999999993E-2</v>
      </c>
      <c r="AB7918" s="508">
        <v>7.2999999999999995E-2</v>
      </c>
      <c r="AC7918" s="508">
        <v>7.2999999999999995E-2</v>
      </c>
      <c r="AD7918" s="508">
        <v>4.8000000000000001E-2</v>
      </c>
      <c r="AE7918" s="508">
        <v>4.8000000000000001E-2</v>
      </c>
      <c r="AF7918" s="508">
        <v>4.3999999999999997E-2</v>
      </c>
      <c r="AG7918" s="508">
        <v>4.3999999999999997E-2</v>
      </c>
      <c r="AH7918" s="508">
        <v>4.3999999999999997E-2</v>
      </c>
      <c r="AI7918" s="492">
        <v>4.2999999999999997E-2</v>
      </c>
      <c r="AJ7918" s="485"/>
    </row>
    <row r="7919" spans="2:36">
      <c r="B7919" s="136" t="s">
        <v>479</v>
      </c>
      <c r="C7919" s="132" t="s">
        <v>1378</v>
      </c>
      <c r="D7919" s="132" t="s">
        <v>1381</v>
      </c>
      <c r="E7919" s="508">
        <v>1.369</v>
      </c>
      <c r="F7919" s="508">
        <v>1.3680000000000001</v>
      </c>
      <c r="G7919" s="508">
        <v>1.367</v>
      </c>
      <c r="H7919" s="508">
        <v>1.367</v>
      </c>
      <c r="I7919" s="508">
        <v>1.3660000000000001</v>
      </c>
      <c r="J7919" s="508">
        <v>1.365</v>
      </c>
      <c r="K7919" s="508">
        <v>1.365</v>
      </c>
      <c r="L7919" s="508">
        <v>1.3640000000000001</v>
      </c>
      <c r="M7919" s="508">
        <v>1.3640000000000001</v>
      </c>
      <c r="N7919" s="508">
        <v>1.363</v>
      </c>
      <c r="O7919" s="508">
        <v>1.3620000000000001</v>
      </c>
      <c r="P7919" s="508">
        <v>1.363</v>
      </c>
      <c r="Q7919" s="508">
        <v>1.3620000000000001</v>
      </c>
      <c r="R7919" s="508">
        <v>1.3620000000000001</v>
      </c>
      <c r="S7919" s="508">
        <v>1.361</v>
      </c>
      <c r="T7919" s="508">
        <v>1.361</v>
      </c>
      <c r="U7919" s="508">
        <v>1.361</v>
      </c>
      <c r="V7919" s="508">
        <v>1.36</v>
      </c>
      <c r="W7919" s="508">
        <v>0.84</v>
      </c>
      <c r="X7919" s="508">
        <v>0.84</v>
      </c>
      <c r="Y7919" s="508">
        <v>0.84</v>
      </c>
      <c r="Z7919" s="508">
        <v>0.746</v>
      </c>
      <c r="AA7919" s="508">
        <v>7.5999999999999998E-2</v>
      </c>
      <c r="AB7919" s="508">
        <v>6.4000000000000001E-2</v>
      </c>
      <c r="AC7919" s="508">
        <v>6.4000000000000001E-2</v>
      </c>
      <c r="AD7919" s="508">
        <v>4.1000000000000002E-2</v>
      </c>
      <c r="AE7919" s="508">
        <v>4.1000000000000002E-2</v>
      </c>
      <c r="AF7919" s="508">
        <v>3.7999999999999999E-2</v>
      </c>
      <c r="AG7919" s="508">
        <v>3.7999999999999999E-2</v>
      </c>
      <c r="AH7919" s="508">
        <v>3.7999999999999999E-2</v>
      </c>
      <c r="AI7919" s="492">
        <v>3.7999999999999999E-2</v>
      </c>
      <c r="AJ7919" s="485"/>
    </row>
    <row r="7920" spans="2:36">
      <c r="B7920" s="136" t="s">
        <v>480</v>
      </c>
      <c r="C7920" s="132" t="s">
        <v>1378</v>
      </c>
      <c r="D7920" s="132" t="s">
        <v>1381</v>
      </c>
      <c r="E7920" s="508">
        <v>1.3380000000000001</v>
      </c>
      <c r="F7920" s="508">
        <v>1.337</v>
      </c>
      <c r="G7920" s="508">
        <v>1.3360000000000001</v>
      </c>
      <c r="H7920" s="508">
        <v>1.3340000000000001</v>
      </c>
      <c r="I7920" s="508">
        <v>1.333</v>
      </c>
      <c r="J7920" s="508">
        <v>1.3320000000000001</v>
      </c>
      <c r="K7920" s="508">
        <v>1.331</v>
      </c>
      <c r="L7920" s="508">
        <v>1.33</v>
      </c>
      <c r="M7920" s="508">
        <v>1.3280000000000001</v>
      </c>
      <c r="N7920" s="508">
        <v>1.327</v>
      </c>
      <c r="O7920" s="508">
        <v>1.3260000000000001</v>
      </c>
      <c r="P7920" s="508">
        <v>1.3260000000000001</v>
      </c>
      <c r="Q7920" s="508">
        <v>1.325</v>
      </c>
      <c r="R7920" s="508">
        <v>1.3240000000000001</v>
      </c>
      <c r="S7920" s="508">
        <v>1.323</v>
      </c>
      <c r="T7920" s="508">
        <v>1.3220000000000001</v>
      </c>
      <c r="U7920" s="508">
        <v>1.3220000000000001</v>
      </c>
      <c r="V7920" s="508">
        <v>1.321</v>
      </c>
      <c r="W7920" s="508">
        <v>0.79100000000000004</v>
      </c>
      <c r="X7920" s="508">
        <v>0.79</v>
      </c>
      <c r="Y7920" s="508">
        <v>0.78900000000000003</v>
      </c>
      <c r="Z7920" s="508">
        <v>0.70199999999999996</v>
      </c>
      <c r="AA7920" s="508">
        <v>7.5999999999999998E-2</v>
      </c>
      <c r="AB7920" s="508">
        <v>6.5000000000000002E-2</v>
      </c>
      <c r="AC7920" s="508">
        <v>6.4000000000000001E-2</v>
      </c>
      <c r="AD7920" s="508">
        <v>4.2999999999999997E-2</v>
      </c>
      <c r="AE7920" s="508">
        <v>4.2999999999999997E-2</v>
      </c>
      <c r="AF7920" s="508">
        <v>0.04</v>
      </c>
      <c r="AG7920" s="508">
        <v>3.9E-2</v>
      </c>
      <c r="AH7920" s="508">
        <v>3.9E-2</v>
      </c>
      <c r="AI7920" s="492">
        <v>3.9E-2</v>
      </c>
      <c r="AJ7920" s="485"/>
    </row>
    <row r="7921" spans="2:36">
      <c r="B7921" s="136" t="s">
        <v>481</v>
      </c>
      <c r="C7921" s="132" t="s">
        <v>1378</v>
      </c>
      <c r="D7921" s="132" t="s">
        <v>1381</v>
      </c>
      <c r="E7921" s="508">
        <v>1.3879999999999999</v>
      </c>
      <c r="F7921" s="508">
        <v>1.387</v>
      </c>
      <c r="G7921" s="508">
        <v>1.3859999999999999</v>
      </c>
      <c r="H7921" s="508">
        <v>1.385</v>
      </c>
      <c r="I7921" s="508">
        <v>1.3839999999999999</v>
      </c>
      <c r="J7921" s="508">
        <v>1.383</v>
      </c>
      <c r="K7921" s="508">
        <v>1.383</v>
      </c>
      <c r="L7921" s="508">
        <v>1.3819999999999999</v>
      </c>
      <c r="M7921" s="508">
        <v>1.381</v>
      </c>
      <c r="N7921" s="508">
        <v>1.38</v>
      </c>
      <c r="O7921" s="508">
        <v>1.38</v>
      </c>
      <c r="P7921" s="508">
        <v>1.38</v>
      </c>
      <c r="Q7921" s="508">
        <v>1.379</v>
      </c>
      <c r="R7921" s="508">
        <v>1.379</v>
      </c>
      <c r="S7921" s="508">
        <v>1.3779999999999999</v>
      </c>
      <c r="T7921" s="508">
        <v>1.3779999999999999</v>
      </c>
      <c r="U7921" s="508">
        <v>1.377</v>
      </c>
      <c r="V7921" s="508">
        <v>1.3759999999999999</v>
      </c>
      <c r="W7921" s="508">
        <v>0.85699999999999998</v>
      </c>
      <c r="X7921" s="508">
        <v>0.85699999999999998</v>
      </c>
      <c r="Y7921" s="508">
        <v>0.85599999999999998</v>
      </c>
      <c r="Z7921" s="508">
        <v>0.76100000000000001</v>
      </c>
      <c r="AA7921" s="508">
        <v>7.9000000000000001E-2</v>
      </c>
      <c r="AB7921" s="508">
        <v>6.7000000000000004E-2</v>
      </c>
      <c r="AC7921" s="508">
        <v>6.6000000000000003E-2</v>
      </c>
      <c r="AD7921" s="508">
        <v>4.2999999999999997E-2</v>
      </c>
      <c r="AE7921" s="508">
        <v>4.2999999999999997E-2</v>
      </c>
      <c r="AF7921" s="508">
        <v>0.04</v>
      </c>
      <c r="AG7921" s="508">
        <v>0.04</v>
      </c>
      <c r="AH7921" s="508">
        <v>3.9E-2</v>
      </c>
      <c r="AI7921" s="492">
        <v>3.9E-2</v>
      </c>
      <c r="AJ7921" s="485"/>
    </row>
    <row r="7922" spans="2:36">
      <c r="B7922" s="136" t="s">
        <v>482</v>
      </c>
      <c r="C7922" s="132" t="s">
        <v>1378</v>
      </c>
      <c r="D7922" s="132" t="s">
        <v>1381</v>
      </c>
      <c r="E7922" s="508">
        <v>1.38</v>
      </c>
      <c r="F7922" s="508">
        <v>1.379</v>
      </c>
      <c r="G7922" s="508">
        <v>1.379</v>
      </c>
      <c r="H7922" s="508">
        <v>1.3779999999999999</v>
      </c>
      <c r="I7922" s="508">
        <v>1.3779999999999999</v>
      </c>
      <c r="J7922" s="508">
        <v>1.377</v>
      </c>
      <c r="K7922" s="508">
        <v>1.377</v>
      </c>
      <c r="L7922" s="508">
        <v>1.3759999999999999</v>
      </c>
      <c r="M7922" s="508">
        <v>1.3759999999999999</v>
      </c>
      <c r="N7922" s="508">
        <v>1.375</v>
      </c>
      <c r="O7922" s="508">
        <v>1.375</v>
      </c>
      <c r="P7922" s="508">
        <v>1.375</v>
      </c>
      <c r="Q7922" s="508">
        <v>1.375</v>
      </c>
      <c r="R7922" s="508">
        <v>1.3740000000000001</v>
      </c>
      <c r="S7922" s="508">
        <v>1.3740000000000001</v>
      </c>
      <c r="T7922" s="508">
        <v>1.3740000000000001</v>
      </c>
      <c r="U7922" s="508">
        <v>1.373</v>
      </c>
      <c r="V7922" s="508">
        <v>1.373</v>
      </c>
      <c r="W7922" s="508">
        <v>0.85199999999999998</v>
      </c>
      <c r="X7922" s="508">
        <v>0.85199999999999998</v>
      </c>
      <c r="Y7922" s="508">
        <v>0.85199999999999998</v>
      </c>
      <c r="Z7922" s="508">
        <v>0.75600000000000001</v>
      </c>
      <c r="AA7922" s="508">
        <v>7.6999999999999999E-2</v>
      </c>
      <c r="AB7922" s="508">
        <v>6.4000000000000001E-2</v>
      </c>
      <c r="AC7922" s="508">
        <v>6.4000000000000001E-2</v>
      </c>
      <c r="AD7922" s="508">
        <v>4.1000000000000002E-2</v>
      </c>
      <c r="AE7922" s="508">
        <v>4.1000000000000002E-2</v>
      </c>
      <c r="AF7922" s="508">
        <v>3.7999999999999999E-2</v>
      </c>
      <c r="AG7922" s="508">
        <v>3.7999999999999999E-2</v>
      </c>
      <c r="AH7922" s="508">
        <v>3.6999999999999998E-2</v>
      </c>
      <c r="AI7922" s="492">
        <v>3.6999999999999998E-2</v>
      </c>
      <c r="AJ7922" s="485"/>
    </row>
    <row r="7923" spans="2:36">
      <c r="B7923" s="136" t="s">
        <v>483</v>
      </c>
      <c r="C7923" s="132" t="s">
        <v>1378</v>
      </c>
      <c r="D7923" s="132" t="s">
        <v>1381</v>
      </c>
      <c r="E7923" s="508">
        <v>1.4390000000000001</v>
      </c>
      <c r="F7923" s="508">
        <v>1.4379999999999999</v>
      </c>
      <c r="G7923" s="508">
        <v>1.4370000000000001</v>
      </c>
      <c r="H7923" s="508">
        <v>1.4350000000000001</v>
      </c>
      <c r="I7923" s="508">
        <v>1.4339999999999999</v>
      </c>
      <c r="J7923" s="508">
        <v>1.4330000000000001</v>
      </c>
      <c r="K7923" s="508">
        <v>1.4319999999999999</v>
      </c>
      <c r="L7923" s="508">
        <v>1.431</v>
      </c>
      <c r="M7923" s="508">
        <v>1.43</v>
      </c>
      <c r="N7923" s="508">
        <v>1.4279999999999999</v>
      </c>
      <c r="O7923" s="508">
        <v>1.427</v>
      </c>
      <c r="P7923" s="508">
        <v>1.427</v>
      </c>
      <c r="Q7923" s="508">
        <v>1.4259999999999999</v>
      </c>
      <c r="R7923" s="508">
        <v>1.425</v>
      </c>
      <c r="S7923" s="508">
        <v>1.425</v>
      </c>
      <c r="T7923" s="508">
        <v>1.4239999999999999</v>
      </c>
      <c r="U7923" s="508">
        <v>1.423</v>
      </c>
      <c r="V7923" s="508">
        <v>1.4219999999999999</v>
      </c>
      <c r="W7923" s="508">
        <v>0.90500000000000003</v>
      </c>
      <c r="X7923" s="508">
        <v>0.90400000000000003</v>
      </c>
      <c r="Y7923" s="508">
        <v>0.90300000000000002</v>
      </c>
      <c r="Z7923" s="508">
        <v>0.80300000000000005</v>
      </c>
      <c r="AA7923" s="508">
        <v>8.5999999999999993E-2</v>
      </c>
      <c r="AB7923" s="508">
        <v>7.2999999999999995E-2</v>
      </c>
      <c r="AC7923" s="508">
        <v>7.1999999999999995E-2</v>
      </c>
      <c r="AD7923" s="508">
        <v>4.8000000000000001E-2</v>
      </c>
      <c r="AE7923" s="508">
        <v>4.8000000000000001E-2</v>
      </c>
      <c r="AF7923" s="508">
        <v>4.3999999999999997E-2</v>
      </c>
      <c r="AG7923" s="508">
        <v>4.3999999999999997E-2</v>
      </c>
      <c r="AH7923" s="508">
        <v>4.3999999999999997E-2</v>
      </c>
      <c r="AI7923" s="492">
        <v>4.3999999999999997E-2</v>
      </c>
      <c r="AJ7923" s="485"/>
    </row>
    <row r="7924" spans="2:36">
      <c r="B7924" s="136" t="s">
        <v>484</v>
      </c>
      <c r="C7924" s="132" t="s">
        <v>1378</v>
      </c>
      <c r="D7924" s="132" t="s">
        <v>1381</v>
      </c>
      <c r="E7924" s="508">
        <v>1.3420000000000001</v>
      </c>
      <c r="F7924" s="508">
        <v>1.34</v>
      </c>
      <c r="G7924" s="508">
        <v>1.339</v>
      </c>
      <c r="H7924" s="508">
        <v>1.3380000000000001</v>
      </c>
      <c r="I7924" s="508">
        <v>1.3360000000000001</v>
      </c>
      <c r="J7924" s="508">
        <v>1.335</v>
      </c>
      <c r="K7924" s="508">
        <v>1.3340000000000001</v>
      </c>
      <c r="L7924" s="508">
        <v>1.333</v>
      </c>
      <c r="M7924" s="508">
        <v>1.331</v>
      </c>
      <c r="N7924" s="508">
        <v>1.33</v>
      </c>
      <c r="O7924" s="508">
        <v>1.329</v>
      </c>
      <c r="P7924" s="508">
        <v>1.329</v>
      </c>
      <c r="Q7924" s="508">
        <v>1.3280000000000001</v>
      </c>
      <c r="R7924" s="508">
        <v>1.327</v>
      </c>
      <c r="S7924" s="508">
        <v>1.3260000000000001</v>
      </c>
      <c r="T7924" s="508">
        <v>1.325</v>
      </c>
      <c r="U7924" s="508">
        <v>1.3240000000000001</v>
      </c>
      <c r="V7924" s="508">
        <v>1.323</v>
      </c>
      <c r="W7924" s="508">
        <v>0.8</v>
      </c>
      <c r="X7924" s="508">
        <v>0.79900000000000004</v>
      </c>
      <c r="Y7924" s="508">
        <v>0.79800000000000004</v>
      </c>
      <c r="Z7924" s="508">
        <v>0.71</v>
      </c>
      <c r="AA7924" s="508">
        <v>7.6999999999999999E-2</v>
      </c>
      <c r="AB7924" s="508">
        <v>6.6000000000000003E-2</v>
      </c>
      <c r="AC7924" s="508">
        <v>6.5000000000000002E-2</v>
      </c>
      <c r="AD7924" s="508">
        <v>4.3999999999999997E-2</v>
      </c>
      <c r="AE7924" s="508">
        <v>4.2999999999999997E-2</v>
      </c>
      <c r="AF7924" s="508">
        <v>0.04</v>
      </c>
      <c r="AG7924" s="508">
        <v>0.04</v>
      </c>
      <c r="AH7924" s="508">
        <v>0.04</v>
      </c>
      <c r="AI7924" s="492">
        <v>0.04</v>
      </c>
      <c r="AJ7924" s="485"/>
    </row>
    <row r="7925" spans="2:36">
      <c r="B7925" s="136" t="s">
        <v>486</v>
      </c>
      <c r="C7925" s="132" t="s">
        <v>1378</v>
      </c>
      <c r="D7925" s="132" t="s">
        <v>1381</v>
      </c>
      <c r="E7925" s="508">
        <v>1.395</v>
      </c>
      <c r="F7925" s="508">
        <v>1.3939999999999999</v>
      </c>
      <c r="G7925" s="508">
        <v>1.393</v>
      </c>
      <c r="H7925" s="508">
        <v>1.3919999999999999</v>
      </c>
      <c r="I7925" s="508">
        <v>1.391</v>
      </c>
      <c r="J7925" s="508">
        <v>1.39</v>
      </c>
      <c r="K7925" s="508">
        <v>1.389</v>
      </c>
      <c r="L7925" s="508">
        <v>1.3879999999999999</v>
      </c>
      <c r="M7925" s="508">
        <v>1.3879999999999999</v>
      </c>
      <c r="N7925" s="508">
        <v>1.387</v>
      </c>
      <c r="O7925" s="508">
        <v>1.3859999999999999</v>
      </c>
      <c r="P7925" s="508">
        <v>1.3859999999999999</v>
      </c>
      <c r="Q7925" s="508">
        <v>1.385</v>
      </c>
      <c r="R7925" s="508">
        <v>1.385</v>
      </c>
      <c r="S7925" s="508">
        <v>1.3839999999999999</v>
      </c>
      <c r="T7925" s="508">
        <v>1.3839999999999999</v>
      </c>
      <c r="U7925" s="508">
        <v>1.383</v>
      </c>
      <c r="V7925" s="508">
        <v>1.3819999999999999</v>
      </c>
      <c r="W7925" s="508">
        <v>0.86199999999999999</v>
      </c>
      <c r="X7925" s="508">
        <v>0.86199999999999999</v>
      </c>
      <c r="Y7925" s="508">
        <v>0.86099999999999999</v>
      </c>
      <c r="Z7925" s="508">
        <v>0.76500000000000001</v>
      </c>
      <c r="AA7925" s="508">
        <v>0.08</v>
      </c>
      <c r="AB7925" s="508">
        <v>6.7000000000000004E-2</v>
      </c>
      <c r="AC7925" s="508">
        <v>6.7000000000000004E-2</v>
      </c>
      <c r="AD7925" s="508">
        <v>4.3999999999999997E-2</v>
      </c>
      <c r="AE7925" s="508">
        <v>4.2999999999999997E-2</v>
      </c>
      <c r="AF7925" s="508">
        <v>0.04</v>
      </c>
      <c r="AG7925" s="508">
        <v>0.04</v>
      </c>
      <c r="AH7925" s="508">
        <v>0.04</v>
      </c>
      <c r="AI7925" s="492">
        <v>0.04</v>
      </c>
      <c r="AJ7925" s="485"/>
    </row>
    <row r="7926" spans="2:36">
      <c r="B7926" s="136" t="s">
        <v>487</v>
      </c>
      <c r="C7926" s="132" t="s">
        <v>1378</v>
      </c>
      <c r="D7926" s="132" t="s">
        <v>1381</v>
      </c>
      <c r="E7926" s="508">
        <v>1.4079999999999999</v>
      </c>
      <c r="F7926" s="508">
        <v>1.407</v>
      </c>
      <c r="G7926" s="508">
        <v>1.4059999999999999</v>
      </c>
      <c r="H7926" s="508">
        <v>1.4039999999999999</v>
      </c>
      <c r="I7926" s="508">
        <v>1.403</v>
      </c>
      <c r="J7926" s="508">
        <v>1.4019999999999999</v>
      </c>
      <c r="K7926" s="508">
        <v>1.401</v>
      </c>
      <c r="L7926" s="508">
        <v>1.4</v>
      </c>
      <c r="M7926" s="508">
        <v>1.399</v>
      </c>
      <c r="N7926" s="508">
        <v>1.3979999999999999</v>
      </c>
      <c r="O7926" s="508">
        <v>1.397</v>
      </c>
      <c r="P7926" s="508">
        <v>1.397</v>
      </c>
      <c r="Q7926" s="508">
        <v>1.3959999999999999</v>
      </c>
      <c r="R7926" s="508">
        <v>1.395</v>
      </c>
      <c r="S7926" s="508">
        <v>1.3939999999999999</v>
      </c>
      <c r="T7926" s="508">
        <v>1.3939999999999999</v>
      </c>
      <c r="U7926" s="508">
        <v>1.393</v>
      </c>
      <c r="V7926" s="508">
        <v>1.3919999999999999</v>
      </c>
      <c r="W7926" s="508">
        <v>0.86799999999999999</v>
      </c>
      <c r="X7926" s="508">
        <v>0.86699999999999999</v>
      </c>
      <c r="Y7926" s="508">
        <v>0.86599999999999999</v>
      </c>
      <c r="Z7926" s="508">
        <v>0.77</v>
      </c>
      <c r="AA7926" s="508">
        <v>8.2000000000000003E-2</v>
      </c>
      <c r="AB7926" s="508">
        <v>7.0000000000000007E-2</v>
      </c>
      <c r="AC7926" s="508">
        <v>6.9000000000000006E-2</v>
      </c>
      <c r="AD7926" s="508">
        <v>4.5999999999999999E-2</v>
      </c>
      <c r="AE7926" s="508">
        <v>4.4999999999999998E-2</v>
      </c>
      <c r="AF7926" s="508">
        <v>4.2000000000000003E-2</v>
      </c>
      <c r="AG7926" s="508">
        <v>4.2000000000000003E-2</v>
      </c>
      <c r="AH7926" s="508">
        <v>4.2000000000000003E-2</v>
      </c>
      <c r="AI7926" s="492">
        <v>4.1000000000000002E-2</v>
      </c>
      <c r="AJ7926" s="485"/>
    </row>
    <row r="7927" spans="2:36">
      <c r="B7927" s="136" t="s">
        <v>488</v>
      </c>
      <c r="C7927" s="132" t="s">
        <v>1378</v>
      </c>
      <c r="D7927" s="132" t="s">
        <v>1381</v>
      </c>
      <c r="E7927" s="508">
        <v>1.35</v>
      </c>
      <c r="F7927" s="508">
        <v>1.349</v>
      </c>
      <c r="G7927" s="508">
        <v>1.3480000000000001</v>
      </c>
      <c r="H7927" s="508">
        <v>1.347</v>
      </c>
      <c r="I7927" s="508">
        <v>1.3460000000000001</v>
      </c>
      <c r="J7927" s="508">
        <v>1.345</v>
      </c>
      <c r="K7927" s="508">
        <v>1.3440000000000001</v>
      </c>
      <c r="L7927" s="508">
        <v>1.343</v>
      </c>
      <c r="M7927" s="508">
        <v>1.3420000000000001</v>
      </c>
      <c r="N7927" s="508">
        <v>1.341</v>
      </c>
      <c r="O7927" s="508">
        <v>1.34</v>
      </c>
      <c r="P7927" s="508">
        <v>1.34</v>
      </c>
      <c r="Q7927" s="508">
        <v>1.339</v>
      </c>
      <c r="R7927" s="508">
        <v>1.339</v>
      </c>
      <c r="S7927" s="508">
        <v>1.3380000000000001</v>
      </c>
      <c r="T7927" s="508">
        <v>1.337</v>
      </c>
      <c r="U7927" s="508">
        <v>1.337</v>
      </c>
      <c r="V7927" s="508">
        <v>1.3360000000000001</v>
      </c>
      <c r="W7927" s="508">
        <v>0.81100000000000005</v>
      </c>
      <c r="X7927" s="508">
        <v>0.81100000000000005</v>
      </c>
      <c r="Y7927" s="508">
        <v>0.81</v>
      </c>
      <c r="Z7927" s="508">
        <v>0.72</v>
      </c>
      <c r="AA7927" s="508">
        <v>7.5999999999999998E-2</v>
      </c>
      <c r="AB7927" s="508">
        <v>6.5000000000000002E-2</v>
      </c>
      <c r="AC7927" s="508">
        <v>6.4000000000000001E-2</v>
      </c>
      <c r="AD7927" s="508">
        <v>4.2000000000000003E-2</v>
      </c>
      <c r="AE7927" s="508">
        <v>4.2000000000000003E-2</v>
      </c>
      <c r="AF7927" s="508">
        <v>3.9E-2</v>
      </c>
      <c r="AG7927" s="508">
        <v>3.9E-2</v>
      </c>
      <c r="AH7927" s="508">
        <v>3.9E-2</v>
      </c>
      <c r="AI7927" s="492">
        <v>3.7999999999999999E-2</v>
      </c>
      <c r="AJ7927" s="485"/>
    </row>
    <row r="7928" spans="2:36">
      <c r="B7928" s="136" t="s">
        <v>489</v>
      </c>
      <c r="C7928" s="132" t="s">
        <v>1378</v>
      </c>
      <c r="D7928" s="132" t="s">
        <v>1381</v>
      </c>
      <c r="E7928" s="508">
        <v>1.3819999999999999</v>
      </c>
      <c r="F7928" s="508">
        <v>1.38</v>
      </c>
      <c r="G7928" s="508">
        <v>1.379</v>
      </c>
      <c r="H7928" s="508">
        <v>1.377</v>
      </c>
      <c r="I7928" s="508">
        <v>1.3759999999999999</v>
      </c>
      <c r="J7928" s="508">
        <v>1.375</v>
      </c>
      <c r="K7928" s="508">
        <v>1.373</v>
      </c>
      <c r="L7928" s="508">
        <v>1.3720000000000001</v>
      </c>
      <c r="M7928" s="508">
        <v>1.371</v>
      </c>
      <c r="N7928" s="508">
        <v>1.37</v>
      </c>
      <c r="O7928" s="508">
        <v>1.369</v>
      </c>
      <c r="P7928" s="508">
        <v>1.369</v>
      </c>
      <c r="Q7928" s="508">
        <v>1.3680000000000001</v>
      </c>
      <c r="R7928" s="508">
        <v>1.367</v>
      </c>
      <c r="S7928" s="508">
        <v>1.3660000000000001</v>
      </c>
      <c r="T7928" s="508">
        <v>1.365</v>
      </c>
      <c r="U7928" s="508">
        <v>1.3640000000000001</v>
      </c>
      <c r="V7928" s="508">
        <v>1.363</v>
      </c>
      <c r="W7928" s="508">
        <v>0.84399999999999997</v>
      </c>
      <c r="X7928" s="508">
        <v>0.84299999999999997</v>
      </c>
      <c r="Y7928" s="508">
        <v>0.84199999999999997</v>
      </c>
      <c r="Z7928" s="508">
        <v>0.749</v>
      </c>
      <c r="AA7928" s="508">
        <v>8.1000000000000003E-2</v>
      </c>
      <c r="AB7928" s="508">
        <v>6.9000000000000006E-2</v>
      </c>
      <c r="AC7928" s="508">
        <v>6.9000000000000006E-2</v>
      </c>
      <c r="AD7928" s="508">
        <v>4.5999999999999999E-2</v>
      </c>
      <c r="AE7928" s="508">
        <v>4.4999999999999998E-2</v>
      </c>
      <c r="AF7928" s="508">
        <v>4.2000000000000003E-2</v>
      </c>
      <c r="AG7928" s="508">
        <v>4.2000000000000003E-2</v>
      </c>
      <c r="AH7928" s="508">
        <v>4.2000000000000003E-2</v>
      </c>
      <c r="AI7928" s="492">
        <v>4.1000000000000002E-2</v>
      </c>
      <c r="AJ7928" s="485"/>
    </row>
    <row r="7929" spans="2:36">
      <c r="B7929" s="136" t="s">
        <v>490</v>
      </c>
      <c r="C7929" s="132" t="s">
        <v>1378</v>
      </c>
      <c r="D7929" s="132" t="s">
        <v>1381</v>
      </c>
      <c r="E7929" s="508">
        <v>1.345</v>
      </c>
      <c r="F7929" s="508">
        <v>1.343</v>
      </c>
      <c r="G7929" s="508">
        <v>1.3420000000000001</v>
      </c>
      <c r="H7929" s="508">
        <v>1.341</v>
      </c>
      <c r="I7929" s="508">
        <v>1.339</v>
      </c>
      <c r="J7929" s="508">
        <v>1.3380000000000001</v>
      </c>
      <c r="K7929" s="508">
        <v>1.337</v>
      </c>
      <c r="L7929" s="508">
        <v>1.3360000000000001</v>
      </c>
      <c r="M7929" s="508">
        <v>1.335</v>
      </c>
      <c r="N7929" s="508">
        <v>1.3340000000000001</v>
      </c>
      <c r="O7929" s="508">
        <v>1.3320000000000001</v>
      </c>
      <c r="P7929" s="508">
        <v>1.3320000000000001</v>
      </c>
      <c r="Q7929" s="508">
        <v>1.331</v>
      </c>
      <c r="R7929" s="508">
        <v>1.33</v>
      </c>
      <c r="S7929" s="508">
        <v>1.329</v>
      </c>
      <c r="T7929" s="508">
        <v>1.3280000000000001</v>
      </c>
      <c r="U7929" s="508">
        <v>1.3280000000000001</v>
      </c>
      <c r="V7929" s="508">
        <v>1.327</v>
      </c>
      <c r="W7929" s="508">
        <v>0.79500000000000004</v>
      </c>
      <c r="X7929" s="508">
        <v>0.79400000000000004</v>
      </c>
      <c r="Y7929" s="508">
        <v>0.79300000000000004</v>
      </c>
      <c r="Z7929" s="508">
        <v>0.70499999999999996</v>
      </c>
      <c r="AA7929" s="508">
        <v>7.6999999999999999E-2</v>
      </c>
      <c r="AB7929" s="508">
        <v>6.5000000000000002E-2</v>
      </c>
      <c r="AC7929" s="508">
        <v>6.5000000000000002E-2</v>
      </c>
      <c r="AD7929" s="508">
        <v>4.2999999999999997E-2</v>
      </c>
      <c r="AE7929" s="508">
        <v>4.2999999999999997E-2</v>
      </c>
      <c r="AF7929" s="508">
        <v>0.04</v>
      </c>
      <c r="AG7929" s="508">
        <v>0.04</v>
      </c>
      <c r="AH7929" s="508">
        <v>0.04</v>
      </c>
      <c r="AI7929" s="492">
        <v>3.9E-2</v>
      </c>
      <c r="AJ7929" s="485"/>
    </row>
    <row r="7930" spans="2:36">
      <c r="B7930" s="136" t="s">
        <v>435</v>
      </c>
      <c r="C7930" s="132" t="s">
        <v>1362</v>
      </c>
      <c r="D7930" s="132" t="s">
        <v>1384</v>
      </c>
      <c r="E7930" s="508">
        <v>6.2E-2</v>
      </c>
      <c r="F7930" s="508">
        <v>6.2E-2</v>
      </c>
      <c r="G7930" s="508">
        <v>6.2E-2</v>
      </c>
      <c r="H7930" s="508">
        <v>6.2E-2</v>
      </c>
      <c r="I7930" s="508">
        <v>6.2E-2</v>
      </c>
      <c r="J7930" s="508">
        <v>6.2E-2</v>
      </c>
      <c r="K7930" s="508">
        <v>6.2E-2</v>
      </c>
      <c r="L7930" s="508">
        <v>6.2E-2</v>
      </c>
      <c r="M7930" s="508">
        <v>6.2E-2</v>
      </c>
      <c r="N7930" s="508">
        <v>6.2E-2</v>
      </c>
      <c r="O7930" s="508">
        <v>6.2E-2</v>
      </c>
      <c r="P7930" s="508">
        <v>6.2E-2</v>
      </c>
      <c r="Q7930" s="508">
        <v>6.2E-2</v>
      </c>
      <c r="R7930" s="508">
        <v>6.2E-2</v>
      </c>
      <c r="S7930" s="508">
        <v>6.2E-2</v>
      </c>
      <c r="T7930" s="508">
        <v>6.2E-2</v>
      </c>
      <c r="U7930" s="508">
        <v>6.2E-2</v>
      </c>
      <c r="V7930" s="508">
        <v>6.2E-2</v>
      </c>
      <c r="W7930" s="508">
        <v>6.2E-2</v>
      </c>
      <c r="X7930" s="508">
        <v>6.2E-2</v>
      </c>
      <c r="Y7930" s="508">
        <v>6.2E-2</v>
      </c>
      <c r="Z7930" s="508">
        <v>6.2E-2</v>
      </c>
      <c r="AA7930" s="508">
        <v>6.2E-2</v>
      </c>
      <c r="AB7930" s="508">
        <v>6.2E-2</v>
      </c>
      <c r="AC7930" s="508">
        <v>6.2E-2</v>
      </c>
      <c r="AD7930" s="508">
        <v>6.0999999999999999E-2</v>
      </c>
      <c r="AE7930" s="508">
        <v>6.0999999999999999E-2</v>
      </c>
      <c r="AF7930" s="508">
        <v>6.0999999999999999E-2</v>
      </c>
      <c r="AG7930" s="508">
        <v>6.0999999999999999E-2</v>
      </c>
      <c r="AH7930" s="508">
        <v>5.6000000000000001E-2</v>
      </c>
      <c r="AI7930" s="492">
        <v>5.6000000000000001E-2</v>
      </c>
      <c r="AJ7930" s="485"/>
    </row>
    <row r="7931" spans="2:36">
      <c r="B7931" s="136" t="s">
        <v>436</v>
      </c>
      <c r="C7931" s="132" t="s">
        <v>1362</v>
      </c>
      <c r="D7931" s="132" t="s">
        <v>1384</v>
      </c>
      <c r="E7931" s="508">
        <v>6.3E-2</v>
      </c>
      <c r="F7931" s="508">
        <v>6.3E-2</v>
      </c>
      <c r="G7931" s="508">
        <v>6.3E-2</v>
      </c>
      <c r="H7931" s="508">
        <v>6.3E-2</v>
      </c>
      <c r="I7931" s="508">
        <v>6.3E-2</v>
      </c>
      <c r="J7931" s="508">
        <v>6.3E-2</v>
      </c>
      <c r="K7931" s="508">
        <v>6.2E-2</v>
      </c>
      <c r="L7931" s="508">
        <v>6.2E-2</v>
      </c>
      <c r="M7931" s="508">
        <v>6.2E-2</v>
      </c>
      <c r="N7931" s="508">
        <v>6.2E-2</v>
      </c>
      <c r="O7931" s="508">
        <v>6.2E-2</v>
      </c>
      <c r="P7931" s="508">
        <v>6.2E-2</v>
      </c>
      <c r="Q7931" s="508">
        <v>6.2E-2</v>
      </c>
      <c r="R7931" s="508">
        <v>6.2E-2</v>
      </c>
      <c r="S7931" s="508">
        <v>6.2E-2</v>
      </c>
      <c r="T7931" s="508">
        <v>6.2E-2</v>
      </c>
      <c r="U7931" s="508">
        <v>6.2E-2</v>
      </c>
      <c r="V7931" s="508">
        <v>6.2E-2</v>
      </c>
      <c r="W7931" s="508">
        <v>6.2E-2</v>
      </c>
      <c r="X7931" s="508">
        <v>6.2E-2</v>
      </c>
      <c r="Y7931" s="508">
        <v>6.2E-2</v>
      </c>
      <c r="Z7931" s="508">
        <v>6.2E-2</v>
      </c>
      <c r="AA7931" s="508">
        <v>6.2E-2</v>
      </c>
      <c r="AB7931" s="508">
        <v>6.2E-2</v>
      </c>
      <c r="AC7931" s="508">
        <v>6.2E-2</v>
      </c>
      <c r="AD7931" s="508">
        <v>0.06</v>
      </c>
      <c r="AE7931" s="508">
        <v>0.06</v>
      </c>
      <c r="AF7931" s="508">
        <v>0.06</v>
      </c>
      <c r="AG7931" s="508">
        <v>0.06</v>
      </c>
      <c r="AH7931" s="508">
        <v>5.5E-2</v>
      </c>
      <c r="AI7931" s="492">
        <v>5.5E-2</v>
      </c>
      <c r="AJ7931" s="485"/>
    </row>
    <row r="7932" spans="2:36">
      <c r="B7932" s="136" t="s">
        <v>437</v>
      </c>
      <c r="C7932" s="132" t="s">
        <v>1362</v>
      </c>
      <c r="D7932" s="132" t="s">
        <v>1384</v>
      </c>
      <c r="E7932" s="508">
        <v>6.4000000000000001E-2</v>
      </c>
      <c r="F7932" s="508">
        <v>6.4000000000000001E-2</v>
      </c>
      <c r="G7932" s="508">
        <v>6.4000000000000001E-2</v>
      </c>
      <c r="H7932" s="508">
        <v>6.4000000000000001E-2</v>
      </c>
      <c r="I7932" s="508">
        <v>6.4000000000000001E-2</v>
      </c>
      <c r="J7932" s="508">
        <v>6.4000000000000001E-2</v>
      </c>
      <c r="K7932" s="508">
        <v>6.4000000000000001E-2</v>
      </c>
      <c r="L7932" s="508">
        <v>6.4000000000000001E-2</v>
      </c>
      <c r="M7932" s="508">
        <v>6.4000000000000001E-2</v>
      </c>
      <c r="N7932" s="508">
        <v>6.4000000000000001E-2</v>
      </c>
      <c r="O7932" s="508">
        <v>6.4000000000000001E-2</v>
      </c>
      <c r="P7932" s="508">
        <v>6.4000000000000001E-2</v>
      </c>
      <c r="Q7932" s="508">
        <v>6.4000000000000001E-2</v>
      </c>
      <c r="R7932" s="508">
        <v>6.4000000000000001E-2</v>
      </c>
      <c r="S7932" s="508">
        <v>6.4000000000000001E-2</v>
      </c>
      <c r="T7932" s="508">
        <v>6.4000000000000001E-2</v>
      </c>
      <c r="U7932" s="508">
        <v>6.4000000000000001E-2</v>
      </c>
      <c r="V7932" s="508">
        <v>6.4000000000000001E-2</v>
      </c>
      <c r="W7932" s="508">
        <v>6.4000000000000001E-2</v>
      </c>
      <c r="X7932" s="508">
        <v>6.4000000000000001E-2</v>
      </c>
      <c r="Y7932" s="508">
        <v>6.4000000000000001E-2</v>
      </c>
      <c r="Z7932" s="508">
        <v>6.4000000000000001E-2</v>
      </c>
      <c r="AA7932" s="508">
        <v>6.4000000000000001E-2</v>
      </c>
      <c r="AB7932" s="508">
        <v>6.4000000000000001E-2</v>
      </c>
      <c r="AC7932" s="508">
        <v>6.4000000000000001E-2</v>
      </c>
      <c r="AD7932" s="508">
        <v>6.3E-2</v>
      </c>
      <c r="AE7932" s="508">
        <v>6.3E-2</v>
      </c>
      <c r="AF7932" s="508">
        <v>6.3E-2</v>
      </c>
      <c r="AG7932" s="508">
        <v>6.3E-2</v>
      </c>
      <c r="AH7932" s="508">
        <v>5.7000000000000002E-2</v>
      </c>
      <c r="AI7932" s="492">
        <v>5.7000000000000002E-2</v>
      </c>
      <c r="AJ7932" s="485"/>
    </row>
    <row r="7933" spans="2:36">
      <c r="B7933" s="136" t="s">
        <v>438</v>
      </c>
      <c r="C7933" s="132" t="s">
        <v>1362</v>
      </c>
      <c r="D7933" s="132" t="s">
        <v>1384</v>
      </c>
      <c r="E7933" s="508">
        <v>6.3E-2</v>
      </c>
      <c r="F7933" s="508">
        <v>6.3E-2</v>
      </c>
      <c r="G7933" s="508">
        <v>6.3E-2</v>
      </c>
      <c r="H7933" s="508">
        <v>6.3E-2</v>
      </c>
      <c r="I7933" s="508">
        <v>6.3E-2</v>
      </c>
      <c r="J7933" s="508">
        <v>6.3E-2</v>
      </c>
      <c r="K7933" s="508">
        <v>6.2E-2</v>
      </c>
      <c r="L7933" s="508">
        <v>6.3E-2</v>
      </c>
      <c r="M7933" s="508">
        <v>6.2E-2</v>
      </c>
      <c r="N7933" s="508">
        <v>6.3E-2</v>
      </c>
      <c r="O7933" s="508">
        <v>6.3E-2</v>
      </c>
      <c r="P7933" s="508">
        <v>6.3E-2</v>
      </c>
      <c r="Q7933" s="508">
        <v>6.3E-2</v>
      </c>
      <c r="R7933" s="508">
        <v>6.3E-2</v>
      </c>
      <c r="S7933" s="508">
        <v>6.2E-2</v>
      </c>
      <c r="T7933" s="508">
        <v>6.2E-2</v>
      </c>
      <c r="U7933" s="508">
        <v>6.3E-2</v>
      </c>
      <c r="V7933" s="508">
        <v>6.2E-2</v>
      </c>
      <c r="W7933" s="508">
        <v>6.2E-2</v>
      </c>
      <c r="X7933" s="508">
        <v>6.2E-2</v>
      </c>
      <c r="Y7933" s="508">
        <v>6.2E-2</v>
      </c>
      <c r="Z7933" s="508">
        <v>6.2E-2</v>
      </c>
      <c r="AA7933" s="508">
        <v>6.2E-2</v>
      </c>
      <c r="AB7933" s="508">
        <v>6.2E-2</v>
      </c>
      <c r="AC7933" s="508">
        <v>6.2E-2</v>
      </c>
      <c r="AD7933" s="508">
        <v>6.0999999999999999E-2</v>
      </c>
      <c r="AE7933" s="508">
        <v>6.0999999999999999E-2</v>
      </c>
      <c r="AF7933" s="508">
        <v>6.0999999999999999E-2</v>
      </c>
      <c r="AG7933" s="508">
        <v>6.0999999999999999E-2</v>
      </c>
      <c r="AH7933" s="508">
        <v>5.6000000000000001E-2</v>
      </c>
      <c r="AI7933" s="492">
        <v>5.6000000000000001E-2</v>
      </c>
      <c r="AJ7933" s="485"/>
    </row>
    <row r="7934" spans="2:36">
      <c r="B7934" s="136" t="s">
        <v>439</v>
      </c>
      <c r="C7934" s="132" t="s">
        <v>1362</v>
      </c>
      <c r="D7934" s="132" t="s">
        <v>1384</v>
      </c>
      <c r="E7934" s="508">
        <v>0.06</v>
      </c>
      <c r="F7934" s="508">
        <v>0.06</v>
      </c>
      <c r="G7934" s="508">
        <v>0.06</v>
      </c>
      <c r="H7934" s="508">
        <v>0.06</v>
      </c>
      <c r="I7934" s="508">
        <v>0.06</v>
      </c>
      <c r="J7934" s="508">
        <v>0.06</v>
      </c>
      <c r="K7934" s="508">
        <v>0.06</v>
      </c>
      <c r="L7934" s="508">
        <v>0.06</v>
      </c>
      <c r="M7934" s="508">
        <v>0.06</v>
      </c>
      <c r="N7934" s="508">
        <v>0.06</v>
      </c>
      <c r="O7934" s="508">
        <v>0.06</v>
      </c>
      <c r="P7934" s="508">
        <v>0.06</v>
      </c>
      <c r="Q7934" s="508">
        <v>0.06</v>
      </c>
      <c r="R7934" s="508">
        <v>0.06</v>
      </c>
      <c r="S7934" s="508">
        <v>0.06</v>
      </c>
      <c r="T7934" s="508">
        <v>0.06</v>
      </c>
      <c r="U7934" s="508">
        <v>0.06</v>
      </c>
      <c r="V7934" s="508">
        <v>0.06</v>
      </c>
      <c r="W7934" s="508">
        <v>0.06</v>
      </c>
      <c r="X7934" s="508">
        <v>0.06</v>
      </c>
      <c r="Y7934" s="508">
        <v>0.06</v>
      </c>
      <c r="Z7934" s="508">
        <v>0.06</v>
      </c>
      <c r="AA7934" s="508">
        <v>0.06</v>
      </c>
      <c r="AB7934" s="508">
        <v>0.06</v>
      </c>
      <c r="AC7934" s="508">
        <v>0.06</v>
      </c>
      <c r="AD7934" s="508">
        <v>5.8999999999999997E-2</v>
      </c>
      <c r="AE7934" s="508">
        <v>5.8999999999999997E-2</v>
      </c>
      <c r="AF7934" s="508">
        <v>5.8999999999999997E-2</v>
      </c>
      <c r="AG7934" s="508">
        <v>5.8999999999999997E-2</v>
      </c>
      <c r="AH7934" s="508">
        <v>5.3999999999999999E-2</v>
      </c>
      <c r="AI7934" s="492">
        <v>5.3999999999999999E-2</v>
      </c>
      <c r="AJ7934" s="485"/>
    </row>
    <row r="7935" spans="2:36">
      <c r="B7935" s="136" t="s">
        <v>440</v>
      </c>
      <c r="C7935" s="132" t="s">
        <v>1362</v>
      </c>
      <c r="D7935" s="132" t="s">
        <v>1384</v>
      </c>
      <c r="E7935" s="508">
        <v>6.2E-2</v>
      </c>
      <c r="F7935" s="508">
        <v>6.2E-2</v>
      </c>
      <c r="G7935" s="508">
        <v>6.2E-2</v>
      </c>
      <c r="H7935" s="508">
        <v>6.2E-2</v>
      </c>
      <c r="I7935" s="508">
        <v>6.2E-2</v>
      </c>
      <c r="J7935" s="508">
        <v>6.2E-2</v>
      </c>
      <c r="K7935" s="508">
        <v>6.0999999999999999E-2</v>
      </c>
      <c r="L7935" s="508">
        <v>6.0999999999999999E-2</v>
      </c>
      <c r="M7935" s="508">
        <v>6.0999999999999999E-2</v>
      </c>
      <c r="N7935" s="508">
        <v>6.0999999999999999E-2</v>
      </c>
      <c r="O7935" s="508">
        <v>6.0999999999999999E-2</v>
      </c>
      <c r="P7935" s="508">
        <v>6.0999999999999999E-2</v>
      </c>
      <c r="Q7935" s="508">
        <v>6.0999999999999999E-2</v>
      </c>
      <c r="R7935" s="508">
        <v>6.0999999999999999E-2</v>
      </c>
      <c r="S7935" s="508">
        <v>6.0999999999999999E-2</v>
      </c>
      <c r="T7935" s="508">
        <v>6.0999999999999999E-2</v>
      </c>
      <c r="U7935" s="508">
        <v>6.0999999999999999E-2</v>
      </c>
      <c r="V7935" s="508">
        <v>6.0999999999999999E-2</v>
      </c>
      <c r="W7935" s="508">
        <v>6.0999999999999999E-2</v>
      </c>
      <c r="X7935" s="508">
        <v>6.0999999999999999E-2</v>
      </c>
      <c r="Y7935" s="508">
        <v>6.0999999999999999E-2</v>
      </c>
      <c r="Z7935" s="508">
        <v>6.0999999999999999E-2</v>
      </c>
      <c r="AA7935" s="508">
        <v>6.0999999999999999E-2</v>
      </c>
      <c r="AB7935" s="508">
        <v>6.0999999999999999E-2</v>
      </c>
      <c r="AC7935" s="508">
        <v>6.0999999999999999E-2</v>
      </c>
      <c r="AD7935" s="508">
        <v>0.06</v>
      </c>
      <c r="AE7935" s="508">
        <v>0.06</v>
      </c>
      <c r="AF7935" s="508">
        <v>0.06</v>
      </c>
      <c r="AG7935" s="508">
        <v>0.06</v>
      </c>
      <c r="AH7935" s="508">
        <v>5.3999999999999999E-2</v>
      </c>
      <c r="AI7935" s="492">
        <v>5.3999999999999999E-2</v>
      </c>
      <c r="AJ7935" s="485"/>
    </row>
    <row r="7936" spans="2:36">
      <c r="B7936" s="136" t="s">
        <v>441</v>
      </c>
      <c r="C7936" s="132" t="s">
        <v>1362</v>
      </c>
      <c r="D7936" s="132" t="s">
        <v>1384</v>
      </c>
      <c r="E7936" s="508">
        <v>5.8999999999999997E-2</v>
      </c>
      <c r="F7936" s="508">
        <v>5.8999999999999997E-2</v>
      </c>
      <c r="G7936" s="508">
        <v>5.8999999999999997E-2</v>
      </c>
      <c r="H7936" s="508">
        <v>5.8999999999999997E-2</v>
      </c>
      <c r="I7936" s="508">
        <v>5.8999999999999997E-2</v>
      </c>
      <c r="J7936" s="508">
        <v>5.8999999999999997E-2</v>
      </c>
      <c r="K7936" s="508">
        <v>5.8999999999999997E-2</v>
      </c>
      <c r="L7936" s="508">
        <v>5.8999999999999997E-2</v>
      </c>
      <c r="M7936" s="508">
        <v>5.8999999999999997E-2</v>
      </c>
      <c r="N7936" s="508">
        <v>5.8999999999999997E-2</v>
      </c>
      <c r="O7936" s="508">
        <v>5.8999999999999997E-2</v>
      </c>
      <c r="P7936" s="508">
        <v>5.8999999999999997E-2</v>
      </c>
      <c r="Q7936" s="508">
        <v>5.8999999999999997E-2</v>
      </c>
      <c r="R7936" s="508">
        <v>5.8999999999999997E-2</v>
      </c>
      <c r="S7936" s="508">
        <v>5.8999999999999997E-2</v>
      </c>
      <c r="T7936" s="508">
        <v>5.8999999999999997E-2</v>
      </c>
      <c r="U7936" s="508">
        <v>5.8999999999999997E-2</v>
      </c>
      <c r="V7936" s="508">
        <v>5.8999999999999997E-2</v>
      </c>
      <c r="W7936" s="508">
        <v>5.8999999999999997E-2</v>
      </c>
      <c r="X7936" s="508">
        <v>5.8999999999999997E-2</v>
      </c>
      <c r="Y7936" s="508">
        <v>5.8999999999999997E-2</v>
      </c>
      <c r="Z7936" s="508">
        <v>5.8999999999999997E-2</v>
      </c>
      <c r="AA7936" s="508">
        <v>5.8999999999999997E-2</v>
      </c>
      <c r="AB7936" s="508">
        <v>5.8999999999999997E-2</v>
      </c>
      <c r="AC7936" s="508">
        <v>5.8999999999999997E-2</v>
      </c>
      <c r="AD7936" s="508">
        <v>5.8000000000000003E-2</v>
      </c>
      <c r="AE7936" s="508">
        <v>5.8000000000000003E-2</v>
      </c>
      <c r="AF7936" s="508">
        <v>5.8000000000000003E-2</v>
      </c>
      <c r="AG7936" s="508">
        <v>5.8000000000000003E-2</v>
      </c>
      <c r="AH7936" s="508">
        <v>5.2999999999999999E-2</v>
      </c>
      <c r="AI7936" s="492">
        <v>5.2999999999999999E-2</v>
      </c>
      <c r="AJ7936" s="485"/>
    </row>
    <row r="7937" spans="2:36">
      <c r="B7937" s="136" t="s">
        <v>443</v>
      </c>
      <c r="C7937" s="132" t="s">
        <v>1362</v>
      </c>
      <c r="D7937" s="132" t="s">
        <v>1384</v>
      </c>
      <c r="E7937" s="508">
        <v>5.8000000000000003E-2</v>
      </c>
      <c r="F7937" s="508">
        <v>5.8000000000000003E-2</v>
      </c>
      <c r="G7937" s="508">
        <v>5.8000000000000003E-2</v>
      </c>
      <c r="H7937" s="508">
        <v>5.8000000000000003E-2</v>
      </c>
      <c r="I7937" s="508">
        <v>5.8000000000000003E-2</v>
      </c>
      <c r="J7937" s="508">
        <v>5.8000000000000003E-2</v>
      </c>
      <c r="K7937" s="508">
        <v>5.8000000000000003E-2</v>
      </c>
      <c r="L7937" s="508">
        <v>5.8000000000000003E-2</v>
      </c>
      <c r="M7937" s="508">
        <v>5.8000000000000003E-2</v>
      </c>
      <c r="N7937" s="508">
        <v>5.8000000000000003E-2</v>
      </c>
      <c r="O7937" s="508">
        <v>5.8000000000000003E-2</v>
      </c>
      <c r="P7937" s="508">
        <v>5.8000000000000003E-2</v>
      </c>
      <c r="Q7937" s="508">
        <v>5.8000000000000003E-2</v>
      </c>
      <c r="R7937" s="508">
        <v>5.8000000000000003E-2</v>
      </c>
      <c r="S7937" s="508">
        <v>5.8000000000000003E-2</v>
      </c>
      <c r="T7937" s="508">
        <v>5.8000000000000003E-2</v>
      </c>
      <c r="U7937" s="508">
        <v>5.8000000000000003E-2</v>
      </c>
      <c r="V7937" s="508">
        <v>5.8000000000000003E-2</v>
      </c>
      <c r="W7937" s="508">
        <v>5.8000000000000003E-2</v>
      </c>
      <c r="X7937" s="508">
        <v>5.8000000000000003E-2</v>
      </c>
      <c r="Y7937" s="508">
        <v>5.8000000000000003E-2</v>
      </c>
      <c r="Z7937" s="508">
        <v>5.8000000000000003E-2</v>
      </c>
      <c r="AA7937" s="508">
        <v>5.8000000000000003E-2</v>
      </c>
      <c r="AB7937" s="508">
        <v>5.8000000000000003E-2</v>
      </c>
      <c r="AC7937" s="508">
        <v>5.8000000000000003E-2</v>
      </c>
      <c r="AD7937" s="508">
        <v>5.8000000000000003E-2</v>
      </c>
      <c r="AE7937" s="508">
        <v>5.8000000000000003E-2</v>
      </c>
      <c r="AF7937" s="508">
        <v>5.8000000000000003E-2</v>
      </c>
      <c r="AG7937" s="508">
        <v>5.8000000000000003E-2</v>
      </c>
      <c r="AH7937" s="508">
        <v>5.2999999999999999E-2</v>
      </c>
      <c r="AI7937" s="492">
        <v>5.2999999999999999E-2</v>
      </c>
      <c r="AJ7937" s="485"/>
    </row>
    <row r="7938" spans="2:36">
      <c r="B7938" s="136" t="s">
        <v>445</v>
      </c>
      <c r="C7938" s="132" t="s">
        <v>1362</v>
      </c>
      <c r="D7938" s="132" t="s">
        <v>1384</v>
      </c>
      <c r="E7938" s="508">
        <v>6.0999999999999999E-2</v>
      </c>
      <c r="F7938" s="508">
        <v>6.0999999999999999E-2</v>
      </c>
      <c r="G7938" s="508">
        <v>6.0999999999999999E-2</v>
      </c>
      <c r="H7938" s="508">
        <v>6.0999999999999999E-2</v>
      </c>
      <c r="I7938" s="508">
        <v>6.0999999999999999E-2</v>
      </c>
      <c r="J7938" s="508">
        <v>6.0999999999999999E-2</v>
      </c>
      <c r="K7938" s="508">
        <v>6.0999999999999999E-2</v>
      </c>
      <c r="L7938" s="508">
        <v>6.0999999999999999E-2</v>
      </c>
      <c r="M7938" s="508">
        <v>6.0999999999999999E-2</v>
      </c>
      <c r="N7938" s="508">
        <v>6.0999999999999999E-2</v>
      </c>
      <c r="O7938" s="508">
        <v>6.0999999999999999E-2</v>
      </c>
      <c r="P7938" s="508">
        <v>6.0999999999999999E-2</v>
      </c>
      <c r="Q7938" s="508">
        <v>6.0999999999999999E-2</v>
      </c>
      <c r="R7938" s="508">
        <v>6.0999999999999999E-2</v>
      </c>
      <c r="S7938" s="508">
        <v>6.0999999999999999E-2</v>
      </c>
      <c r="T7938" s="508">
        <v>6.0999999999999999E-2</v>
      </c>
      <c r="U7938" s="508">
        <v>6.0999999999999999E-2</v>
      </c>
      <c r="V7938" s="508">
        <v>6.0999999999999999E-2</v>
      </c>
      <c r="W7938" s="508">
        <v>6.0999999999999999E-2</v>
      </c>
      <c r="X7938" s="508">
        <v>6.0999999999999999E-2</v>
      </c>
      <c r="Y7938" s="508">
        <v>6.0999999999999999E-2</v>
      </c>
      <c r="Z7938" s="508">
        <v>6.0999999999999999E-2</v>
      </c>
      <c r="AA7938" s="508">
        <v>6.0999999999999999E-2</v>
      </c>
      <c r="AB7938" s="508">
        <v>6.0999999999999999E-2</v>
      </c>
      <c r="AC7938" s="508">
        <v>6.0999999999999999E-2</v>
      </c>
      <c r="AD7938" s="508">
        <v>6.0999999999999999E-2</v>
      </c>
      <c r="AE7938" s="508">
        <v>6.0999999999999999E-2</v>
      </c>
      <c r="AF7938" s="508">
        <v>6.0999999999999999E-2</v>
      </c>
      <c r="AG7938" s="508">
        <v>6.0999999999999999E-2</v>
      </c>
      <c r="AH7938" s="508">
        <v>5.6000000000000001E-2</v>
      </c>
      <c r="AI7938" s="492">
        <v>5.6000000000000001E-2</v>
      </c>
      <c r="AJ7938" s="485"/>
    </row>
    <row r="7939" spans="2:36">
      <c r="B7939" s="136" t="s">
        <v>446</v>
      </c>
      <c r="C7939" s="132" t="s">
        <v>1362</v>
      </c>
      <c r="D7939" s="132" t="s">
        <v>1384</v>
      </c>
      <c r="E7939" s="508">
        <v>6.3E-2</v>
      </c>
      <c r="F7939" s="508">
        <v>6.3E-2</v>
      </c>
      <c r="G7939" s="508">
        <v>6.3E-2</v>
      </c>
      <c r="H7939" s="508">
        <v>6.4000000000000001E-2</v>
      </c>
      <c r="I7939" s="508">
        <v>6.4000000000000001E-2</v>
      </c>
      <c r="J7939" s="508">
        <v>6.4000000000000001E-2</v>
      </c>
      <c r="K7939" s="508">
        <v>6.3E-2</v>
      </c>
      <c r="L7939" s="508">
        <v>6.4000000000000001E-2</v>
      </c>
      <c r="M7939" s="508">
        <v>6.4000000000000001E-2</v>
      </c>
      <c r="N7939" s="508">
        <v>6.4000000000000001E-2</v>
      </c>
      <c r="O7939" s="508">
        <v>6.4000000000000001E-2</v>
      </c>
      <c r="P7939" s="508">
        <v>6.4000000000000001E-2</v>
      </c>
      <c r="Q7939" s="508">
        <v>6.4000000000000001E-2</v>
      </c>
      <c r="R7939" s="508">
        <v>6.4000000000000001E-2</v>
      </c>
      <c r="S7939" s="508">
        <v>6.4000000000000001E-2</v>
      </c>
      <c r="T7939" s="508">
        <v>6.4000000000000001E-2</v>
      </c>
      <c r="U7939" s="508">
        <v>6.4000000000000001E-2</v>
      </c>
      <c r="V7939" s="508">
        <v>6.4000000000000001E-2</v>
      </c>
      <c r="W7939" s="508">
        <v>6.4000000000000001E-2</v>
      </c>
      <c r="X7939" s="508">
        <v>6.4000000000000001E-2</v>
      </c>
      <c r="Y7939" s="508">
        <v>6.4000000000000001E-2</v>
      </c>
      <c r="Z7939" s="508">
        <v>6.4000000000000001E-2</v>
      </c>
      <c r="AA7939" s="508">
        <v>6.4000000000000001E-2</v>
      </c>
      <c r="AB7939" s="508">
        <v>6.4000000000000001E-2</v>
      </c>
      <c r="AC7939" s="508">
        <v>6.4000000000000001E-2</v>
      </c>
      <c r="AD7939" s="508">
        <v>6.3E-2</v>
      </c>
      <c r="AE7939" s="508">
        <v>6.3E-2</v>
      </c>
      <c r="AF7939" s="508">
        <v>6.3E-2</v>
      </c>
      <c r="AG7939" s="508">
        <v>6.3E-2</v>
      </c>
      <c r="AH7939" s="508">
        <v>5.8000000000000003E-2</v>
      </c>
      <c r="AI7939" s="492">
        <v>5.8000000000000003E-2</v>
      </c>
      <c r="AJ7939" s="485"/>
    </row>
    <row r="7940" spans="2:36">
      <c r="B7940" s="136" t="s">
        <v>448</v>
      </c>
      <c r="C7940" s="132" t="s">
        <v>1362</v>
      </c>
      <c r="D7940" s="132" t="s">
        <v>1384</v>
      </c>
      <c r="E7940" s="508">
        <v>6.2E-2</v>
      </c>
      <c r="F7940" s="508">
        <v>6.2E-2</v>
      </c>
      <c r="G7940" s="508">
        <v>6.2E-2</v>
      </c>
      <c r="H7940" s="508">
        <v>6.3E-2</v>
      </c>
      <c r="I7940" s="508">
        <v>6.3E-2</v>
      </c>
      <c r="J7940" s="508">
        <v>6.3E-2</v>
      </c>
      <c r="K7940" s="508">
        <v>6.2E-2</v>
      </c>
      <c r="L7940" s="508">
        <v>6.2E-2</v>
      </c>
      <c r="M7940" s="508">
        <v>6.2E-2</v>
      </c>
      <c r="N7940" s="508">
        <v>6.2E-2</v>
      </c>
      <c r="O7940" s="508">
        <v>6.2E-2</v>
      </c>
      <c r="P7940" s="508">
        <v>6.2E-2</v>
      </c>
      <c r="Q7940" s="508">
        <v>6.2E-2</v>
      </c>
      <c r="R7940" s="508">
        <v>6.2E-2</v>
      </c>
      <c r="S7940" s="508">
        <v>6.2E-2</v>
      </c>
      <c r="T7940" s="508">
        <v>6.2E-2</v>
      </c>
      <c r="U7940" s="508">
        <v>6.2E-2</v>
      </c>
      <c r="V7940" s="508">
        <v>6.2E-2</v>
      </c>
      <c r="W7940" s="508">
        <v>6.2E-2</v>
      </c>
      <c r="X7940" s="508">
        <v>6.2E-2</v>
      </c>
      <c r="Y7940" s="508">
        <v>6.2E-2</v>
      </c>
      <c r="Z7940" s="508">
        <v>6.2E-2</v>
      </c>
      <c r="AA7940" s="508">
        <v>6.2E-2</v>
      </c>
      <c r="AB7940" s="508">
        <v>6.2E-2</v>
      </c>
      <c r="AC7940" s="508">
        <v>6.2E-2</v>
      </c>
      <c r="AD7940" s="508">
        <v>6.0999999999999999E-2</v>
      </c>
      <c r="AE7940" s="508">
        <v>6.0999999999999999E-2</v>
      </c>
      <c r="AF7940" s="508">
        <v>6.0999999999999999E-2</v>
      </c>
      <c r="AG7940" s="508">
        <v>6.0999999999999999E-2</v>
      </c>
      <c r="AH7940" s="508">
        <v>5.5E-2</v>
      </c>
      <c r="AI7940" s="492">
        <v>5.5E-2</v>
      </c>
      <c r="AJ7940" s="485"/>
    </row>
    <row r="7941" spans="2:36">
      <c r="B7941" s="136" t="s">
        <v>449</v>
      </c>
      <c r="C7941" s="132" t="s">
        <v>1362</v>
      </c>
      <c r="D7941" s="132" t="s">
        <v>1384</v>
      </c>
      <c r="E7941" s="508">
        <v>0.06</v>
      </c>
      <c r="F7941" s="508">
        <v>0.06</v>
      </c>
      <c r="G7941" s="508">
        <v>0.06</v>
      </c>
      <c r="H7941" s="508">
        <v>0.06</v>
      </c>
      <c r="I7941" s="508">
        <v>0.06</v>
      </c>
      <c r="J7941" s="508">
        <v>0.06</v>
      </c>
      <c r="K7941" s="508">
        <v>0.06</v>
      </c>
      <c r="L7941" s="508">
        <v>0.06</v>
      </c>
      <c r="M7941" s="508">
        <v>0.06</v>
      </c>
      <c r="N7941" s="508">
        <v>0.06</v>
      </c>
      <c r="O7941" s="508">
        <v>0.06</v>
      </c>
      <c r="P7941" s="508">
        <v>0.06</v>
      </c>
      <c r="Q7941" s="508">
        <v>0.06</v>
      </c>
      <c r="R7941" s="508">
        <v>6.0999999999999999E-2</v>
      </c>
      <c r="S7941" s="508">
        <v>6.0999999999999999E-2</v>
      </c>
      <c r="T7941" s="508">
        <v>6.0999999999999999E-2</v>
      </c>
      <c r="U7941" s="508">
        <v>6.0999999999999999E-2</v>
      </c>
      <c r="V7941" s="508">
        <v>6.0999999999999999E-2</v>
      </c>
      <c r="W7941" s="508">
        <v>6.0999999999999999E-2</v>
      </c>
      <c r="X7941" s="508">
        <v>6.0999999999999999E-2</v>
      </c>
      <c r="Y7941" s="508">
        <v>6.0999999999999999E-2</v>
      </c>
      <c r="Z7941" s="508">
        <v>6.0999999999999999E-2</v>
      </c>
      <c r="AA7941" s="508">
        <v>6.0999999999999999E-2</v>
      </c>
      <c r="AB7941" s="508">
        <v>6.0999999999999999E-2</v>
      </c>
      <c r="AC7941" s="508">
        <v>6.0999999999999999E-2</v>
      </c>
      <c r="AD7941" s="508">
        <v>0.06</v>
      </c>
      <c r="AE7941" s="508">
        <v>0.06</v>
      </c>
      <c r="AF7941" s="508">
        <v>0.06</v>
      </c>
      <c r="AG7941" s="508">
        <v>0.06</v>
      </c>
      <c r="AH7941" s="508">
        <v>5.5E-2</v>
      </c>
      <c r="AI7941" s="492">
        <v>5.5E-2</v>
      </c>
      <c r="AJ7941" s="485"/>
    </row>
    <row r="7942" spans="2:36">
      <c r="B7942" s="136" t="s">
        <v>450</v>
      </c>
      <c r="C7942" s="132" t="s">
        <v>1362</v>
      </c>
      <c r="D7942" s="132" t="s">
        <v>1384</v>
      </c>
      <c r="E7942" s="508">
        <v>6.3E-2</v>
      </c>
      <c r="F7942" s="508">
        <v>6.3E-2</v>
      </c>
      <c r="G7942" s="508">
        <v>6.3E-2</v>
      </c>
      <c r="H7942" s="508">
        <v>6.3E-2</v>
      </c>
      <c r="I7942" s="508">
        <v>6.3E-2</v>
      </c>
      <c r="J7942" s="508">
        <v>6.3E-2</v>
      </c>
      <c r="K7942" s="508">
        <v>6.2E-2</v>
      </c>
      <c r="L7942" s="508">
        <v>6.2E-2</v>
      </c>
      <c r="M7942" s="508">
        <v>6.2E-2</v>
      </c>
      <c r="N7942" s="508">
        <v>6.2E-2</v>
      </c>
      <c r="O7942" s="508">
        <v>6.2E-2</v>
      </c>
      <c r="P7942" s="508">
        <v>6.2E-2</v>
      </c>
      <c r="Q7942" s="508">
        <v>6.2E-2</v>
      </c>
      <c r="R7942" s="508">
        <v>6.2E-2</v>
      </c>
      <c r="S7942" s="508">
        <v>6.2E-2</v>
      </c>
      <c r="T7942" s="508">
        <v>6.2E-2</v>
      </c>
      <c r="U7942" s="508">
        <v>6.2E-2</v>
      </c>
      <c r="V7942" s="508">
        <v>6.2E-2</v>
      </c>
      <c r="W7942" s="508">
        <v>6.2E-2</v>
      </c>
      <c r="X7942" s="508">
        <v>6.2E-2</v>
      </c>
      <c r="Y7942" s="508">
        <v>6.2E-2</v>
      </c>
      <c r="Z7942" s="508">
        <v>6.2E-2</v>
      </c>
      <c r="AA7942" s="508">
        <v>6.2E-2</v>
      </c>
      <c r="AB7942" s="508">
        <v>6.2E-2</v>
      </c>
      <c r="AC7942" s="508">
        <v>6.2E-2</v>
      </c>
      <c r="AD7942" s="508">
        <v>0.06</v>
      </c>
      <c r="AE7942" s="508">
        <v>0.06</v>
      </c>
      <c r="AF7942" s="508">
        <v>0.06</v>
      </c>
      <c r="AG7942" s="508">
        <v>0.06</v>
      </c>
      <c r="AH7942" s="508">
        <v>5.5E-2</v>
      </c>
      <c r="AI7942" s="492">
        <v>5.5E-2</v>
      </c>
      <c r="AJ7942" s="485"/>
    </row>
    <row r="7943" spans="2:36">
      <c r="B7943" s="136" t="s">
        <v>451</v>
      </c>
      <c r="C7943" s="132" t="s">
        <v>1362</v>
      </c>
      <c r="D7943" s="132" t="s">
        <v>1384</v>
      </c>
      <c r="E7943" s="508">
        <v>0.06</v>
      </c>
      <c r="F7943" s="508">
        <v>0.06</v>
      </c>
      <c r="G7943" s="508">
        <v>0.06</v>
      </c>
      <c r="H7943" s="508">
        <v>0.06</v>
      </c>
      <c r="I7943" s="508">
        <v>0.06</v>
      </c>
      <c r="J7943" s="508">
        <v>0.06</v>
      </c>
      <c r="K7943" s="508">
        <v>0.06</v>
      </c>
      <c r="L7943" s="508">
        <v>0.06</v>
      </c>
      <c r="M7943" s="508">
        <v>0.06</v>
      </c>
      <c r="N7943" s="508">
        <v>0.06</v>
      </c>
      <c r="O7943" s="508">
        <v>0.06</v>
      </c>
      <c r="P7943" s="508">
        <v>0.06</v>
      </c>
      <c r="Q7943" s="508">
        <v>0.06</v>
      </c>
      <c r="R7943" s="508">
        <v>0.06</v>
      </c>
      <c r="S7943" s="508">
        <v>0.06</v>
      </c>
      <c r="T7943" s="508">
        <v>0.06</v>
      </c>
      <c r="U7943" s="508">
        <v>0.06</v>
      </c>
      <c r="V7943" s="508">
        <v>0.06</v>
      </c>
      <c r="W7943" s="508">
        <v>0.06</v>
      </c>
      <c r="X7943" s="508">
        <v>0.06</v>
      </c>
      <c r="Y7943" s="508">
        <v>0.06</v>
      </c>
      <c r="Z7943" s="508">
        <v>0.06</v>
      </c>
      <c r="AA7943" s="508">
        <v>0.06</v>
      </c>
      <c r="AB7943" s="508">
        <v>0.06</v>
      </c>
      <c r="AC7943" s="508">
        <v>0.06</v>
      </c>
      <c r="AD7943" s="508">
        <v>0.06</v>
      </c>
      <c r="AE7943" s="508">
        <v>0.06</v>
      </c>
      <c r="AF7943" s="508">
        <v>0.06</v>
      </c>
      <c r="AG7943" s="508">
        <v>0.06</v>
      </c>
      <c r="AH7943" s="508">
        <v>5.5E-2</v>
      </c>
      <c r="AI7943" s="492">
        <v>5.5E-2</v>
      </c>
      <c r="AJ7943" s="485"/>
    </row>
    <row r="7944" spans="2:36">
      <c r="B7944" s="136" t="s">
        <v>452</v>
      </c>
      <c r="C7944" s="132" t="s">
        <v>1362</v>
      </c>
      <c r="D7944" s="132" t="s">
        <v>1384</v>
      </c>
      <c r="E7944" s="508">
        <v>6.2E-2</v>
      </c>
      <c r="F7944" s="508">
        <v>6.2E-2</v>
      </c>
      <c r="G7944" s="508">
        <v>6.2E-2</v>
      </c>
      <c r="H7944" s="508">
        <v>6.2E-2</v>
      </c>
      <c r="I7944" s="508">
        <v>6.2E-2</v>
      </c>
      <c r="J7944" s="508">
        <v>6.2E-2</v>
      </c>
      <c r="K7944" s="508">
        <v>6.2E-2</v>
      </c>
      <c r="L7944" s="508">
        <v>6.2E-2</v>
      </c>
      <c r="M7944" s="508">
        <v>6.2E-2</v>
      </c>
      <c r="N7944" s="508">
        <v>6.2E-2</v>
      </c>
      <c r="O7944" s="508">
        <v>6.2E-2</v>
      </c>
      <c r="P7944" s="508">
        <v>6.2E-2</v>
      </c>
      <c r="Q7944" s="508">
        <v>6.2E-2</v>
      </c>
      <c r="R7944" s="508">
        <v>6.2E-2</v>
      </c>
      <c r="S7944" s="508">
        <v>6.2E-2</v>
      </c>
      <c r="T7944" s="508">
        <v>6.2E-2</v>
      </c>
      <c r="U7944" s="508">
        <v>6.2E-2</v>
      </c>
      <c r="V7944" s="508">
        <v>6.2E-2</v>
      </c>
      <c r="W7944" s="508">
        <v>6.2E-2</v>
      </c>
      <c r="X7944" s="508">
        <v>6.2E-2</v>
      </c>
      <c r="Y7944" s="508">
        <v>6.2E-2</v>
      </c>
      <c r="Z7944" s="508">
        <v>6.2E-2</v>
      </c>
      <c r="AA7944" s="508">
        <v>6.2E-2</v>
      </c>
      <c r="AB7944" s="508">
        <v>6.2E-2</v>
      </c>
      <c r="AC7944" s="508">
        <v>6.2E-2</v>
      </c>
      <c r="AD7944" s="508">
        <v>0.06</v>
      </c>
      <c r="AE7944" s="508">
        <v>0.06</v>
      </c>
      <c r="AF7944" s="508">
        <v>0.06</v>
      </c>
      <c r="AG7944" s="508">
        <v>0.06</v>
      </c>
      <c r="AH7944" s="508">
        <v>5.5E-2</v>
      </c>
      <c r="AI7944" s="492">
        <v>5.5E-2</v>
      </c>
      <c r="AJ7944" s="485"/>
    </row>
    <row r="7945" spans="2:36">
      <c r="B7945" s="136" t="s">
        <v>453</v>
      </c>
      <c r="C7945" s="132" t="s">
        <v>1362</v>
      </c>
      <c r="D7945" s="132" t="s">
        <v>1384</v>
      </c>
      <c r="E7945" s="508">
        <v>6.3E-2</v>
      </c>
      <c r="F7945" s="508">
        <v>6.3E-2</v>
      </c>
      <c r="G7945" s="508">
        <v>6.3E-2</v>
      </c>
      <c r="H7945" s="508">
        <v>6.3E-2</v>
      </c>
      <c r="I7945" s="508">
        <v>6.3E-2</v>
      </c>
      <c r="J7945" s="508">
        <v>6.3E-2</v>
      </c>
      <c r="K7945" s="508">
        <v>6.2E-2</v>
      </c>
      <c r="L7945" s="508">
        <v>6.2E-2</v>
      </c>
      <c r="M7945" s="508">
        <v>6.2E-2</v>
      </c>
      <c r="N7945" s="508">
        <v>6.2E-2</v>
      </c>
      <c r="O7945" s="508">
        <v>6.2E-2</v>
      </c>
      <c r="P7945" s="508">
        <v>6.2E-2</v>
      </c>
      <c r="Q7945" s="508">
        <v>6.2E-2</v>
      </c>
      <c r="R7945" s="508">
        <v>6.2E-2</v>
      </c>
      <c r="S7945" s="508">
        <v>6.2E-2</v>
      </c>
      <c r="T7945" s="508">
        <v>6.2E-2</v>
      </c>
      <c r="U7945" s="508">
        <v>6.2E-2</v>
      </c>
      <c r="V7945" s="508">
        <v>6.2E-2</v>
      </c>
      <c r="W7945" s="508">
        <v>6.2E-2</v>
      </c>
      <c r="X7945" s="508">
        <v>6.2E-2</v>
      </c>
      <c r="Y7945" s="508">
        <v>6.2E-2</v>
      </c>
      <c r="Z7945" s="508">
        <v>6.2E-2</v>
      </c>
      <c r="AA7945" s="508">
        <v>6.2E-2</v>
      </c>
      <c r="AB7945" s="508">
        <v>6.2E-2</v>
      </c>
      <c r="AC7945" s="508">
        <v>6.2E-2</v>
      </c>
      <c r="AD7945" s="508">
        <v>0.06</v>
      </c>
      <c r="AE7945" s="508">
        <v>0.06</v>
      </c>
      <c r="AF7945" s="508">
        <v>0.06</v>
      </c>
      <c r="AG7945" s="508">
        <v>0.06</v>
      </c>
      <c r="AH7945" s="508">
        <v>5.5E-2</v>
      </c>
      <c r="AI7945" s="492">
        <v>5.5E-2</v>
      </c>
      <c r="AJ7945" s="485"/>
    </row>
    <row r="7946" spans="2:36">
      <c r="B7946" s="136" t="s">
        <v>454</v>
      </c>
      <c r="C7946" s="132" t="s">
        <v>1362</v>
      </c>
      <c r="D7946" s="132" t="s">
        <v>1384</v>
      </c>
      <c r="E7946" s="508">
        <v>6.2E-2</v>
      </c>
      <c r="F7946" s="508">
        <v>6.2E-2</v>
      </c>
      <c r="G7946" s="508">
        <v>6.2E-2</v>
      </c>
      <c r="H7946" s="508">
        <v>6.2E-2</v>
      </c>
      <c r="I7946" s="508">
        <v>6.2E-2</v>
      </c>
      <c r="J7946" s="508">
        <v>6.2E-2</v>
      </c>
      <c r="K7946" s="508">
        <v>6.0999999999999999E-2</v>
      </c>
      <c r="L7946" s="508">
        <v>6.0999999999999999E-2</v>
      </c>
      <c r="M7946" s="508">
        <v>6.0999999999999999E-2</v>
      </c>
      <c r="N7946" s="508">
        <v>6.0999999999999999E-2</v>
      </c>
      <c r="O7946" s="508">
        <v>6.0999999999999999E-2</v>
      </c>
      <c r="P7946" s="508">
        <v>6.0999999999999999E-2</v>
      </c>
      <c r="Q7946" s="508">
        <v>6.0999999999999999E-2</v>
      </c>
      <c r="R7946" s="508">
        <v>6.0999999999999999E-2</v>
      </c>
      <c r="S7946" s="508">
        <v>6.0999999999999999E-2</v>
      </c>
      <c r="T7946" s="508">
        <v>6.0999999999999999E-2</v>
      </c>
      <c r="U7946" s="508">
        <v>6.0999999999999999E-2</v>
      </c>
      <c r="V7946" s="508">
        <v>6.0999999999999999E-2</v>
      </c>
      <c r="W7946" s="508">
        <v>6.0999999999999999E-2</v>
      </c>
      <c r="X7946" s="508">
        <v>6.0999999999999999E-2</v>
      </c>
      <c r="Y7946" s="508">
        <v>6.0999999999999999E-2</v>
      </c>
      <c r="Z7946" s="508">
        <v>6.0999999999999999E-2</v>
      </c>
      <c r="AA7946" s="508">
        <v>6.0999999999999999E-2</v>
      </c>
      <c r="AB7946" s="508">
        <v>6.0999999999999999E-2</v>
      </c>
      <c r="AC7946" s="508">
        <v>6.0999999999999999E-2</v>
      </c>
      <c r="AD7946" s="508">
        <v>0.06</v>
      </c>
      <c r="AE7946" s="508">
        <v>0.06</v>
      </c>
      <c r="AF7946" s="508">
        <v>0.06</v>
      </c>
      <c r="AG7946" s="508">
        <v>0.06</v>
      </c>
      <c r="AH7946" s="508">
        <v>5.5E-2</v>
      </c>
      <c r="AI7946" s="492">
        <v>5.5E-2</v>
      </c>
      <c r="AJ7946" s="485"/>
    </row>
    <row r="7947" spans="2:36">
      <c r="B7947" s="136" t="s">
        <v>455</v>
      </c>
      <c r="C7947" s="132" t="s">
        <v>1362</v>
      </c>
      <c r="D7947" s="132" t="s">
        <v>1384</v>
      </c>
      <c r="E7947" s="508">
        <v>6.4000000000000001E-2</v>
      </c>
      <c r="F7947" s="508">
        <v>6.4000000000000001E-2</v>
      </c>
      <c r="G7947" s="508">
        <v>6.4000000000000001E-2</v>
      </c>
      <c r="H7947" s="508">
        <v>6.4000000000000001E-2</v>
      </c>
      <c r="I7947" s="508">
        <v>6.4000000000000001E-2</v>
      </c>
      <c r="J7947" s="508">
        <v>6.4000000000000001E-2</v>
      </c>
      <c r="K7947" s="508">
        <v>6.3E-2</v>
      </c>
      <c r="L7947" s="508">
        <v>6.3E-2</v>
      </c>
      <c r="M7947" s="508">
        <v>6.3E-2</v>
      </c>
      <c r="N7947" s="508">
        <v>6.3E-2</v>
      </c>
      <c r="O7947" s="508">
        <v>6.3E-2</v>
      </c>
      <c r="P7947" s="508">
        <v>6.3E-2</v>
      </c>
      <c r="Q7947" s="508">
        <v>6.3E-2</v>
      </c>
      <c r="R7947" s="508">
        <v>6.3E-2</v>
      </c>
      <c r="S7947" s="508">
        <v>6.3E-2</v>
      </c>
      <c r="T7947" s="508">
        <v>6.3E-2</v>
      </c>
      <c r="U7947" s="508">
        <v>6.3E-2</v>
      </c>
      <c r="V7947" s="508">
        <v>6.3E-2</v>
      </c>
      <c r="W7947" s="508">
        <v>6.3E-2</v>
      </c>
      <c r="X7947" s="508">
        <v>6.3E-2</v>
      </c>
      <c r="Y7947" s="508">
        <v>6.3E-2</v>
      </c>
      <c r="Z7947" s="508">
        <v>6.3E-2</v>
      </c>
      <c r="AA7947" s="508">
        <v>6.3E-2</v>
      </c>
      <c r="AB7947" s="508">
        <v>6.3E-2</v>
      </c>
      <c r="AC7947" s="508">
        <v>6.3E-2</v>
      </c>
      <c r="AD7947" s="508">
        <v>6.0999999999999999E-2</v>
      </c>
      <c r="AE7947" s="508">
        <v>6.0999999999999999E-2</v>
      </c>
      <c r="AF7947" s="508">
        <v>6.0999999999999999E-2</v>
      </c>
      <c r="AG7947" s="508">
        <v>6.0999999999999999E-2</v>
      </c>
      <c r="AH7947" s="508">
        <v>5.6000000000000001E-2</v>
      </c>
      <c r="AI7947" s="492">
        <v>5.6000000000000001E-2</v>
      </c>
      <c r="AJ7947" s="485"/>
    </row>
    <row r="7948" spans="2:36">
      <c r="B7948" s="136" t="s">
        <v>456</v>
      </c>
      <c r="C7948" s="132" t="s">
        <v>1362</v>
      </c>
      <c r="D7948" s="132" t="s">
        <v>1384</v>
      </c>
      <c r="E7948" s="508">
        <v>6.3E-2</v>
      </c>
      <c r="F7948" s="508">
        <v>6.3E-2</v>
      </c>
      <c r="G7948" s="508">
        <v>6.3E-2</v>
      </c>
      <c r="H7948" s="508">
        <v>6.3E-2</v>
      </c>
      <c r="I7948" s="508">
        <v>6.3E-2</v>
      </c>
      <c r="J7948" s="508">
        <v>6.3E-2</v>
      </c>
      <c r="K7948" s="508">
        <v>6.3E-2</v>
      </c>
      <c r="L7948" s="508">
        <v>6.3E-2</v>
      </c>
      <c r="M7948" s="508">
        <v>6.3E-2</v>
      </c>
      <c r="N7948" s="508">
        <v>6.3E-2</v>
      </c>
      <c r="O7948" s="508">
        <v>6.3E-2</v>
      </c>
      <c r="P7948" s="508">
        <v>6.3E-2</v>
      </c>
      <c r="Q7948" s="508">
        <v>6.3E-2</v>
      </c>
      <c r="R7948" s="508">
        <v>6.3E-2</v>
      </c>
      <c r="S7948" s="508">
        <v>6.3E-2</v>
      </c>
      <c r="T7948" s="508">
        <v>6.3E-2</v>
      </c>
      <c r="U7948" s="508">
        <v>6.3E-2</v>
      </c>
      <c r="V7948" s="508">
        <v>6.3E-2</v>
      </c>
      <c r="W7948" s="508">
        <v>6.3E-2</v>
      </c>
      <c r="X7948" s="508">
        <v>6.3E-2</v>
      </c>
      <c r="Y7948" s="508">
        <v>6.3E-2</v>
      </c>
      <c r="Z7948" s="508">
        <v>6.3E-2</v>
      </c>
      <c r="AA7948" s="508">
        <v>6.3E-2</v>
      </c>
      <c r="AB7948" s="508">
        <v>6.3E-2</v>
      </c>
      <c r="AC7948" s="508">
        <v>6.3E-2</v>
      </c>
      <c r="AD7948" s="508">
        <v>6.2E-2</v>
      </c>
      <c r="AE7948" s="508">
        <v>6.2E-2</v>
      </c>
      <c r="AF7948" s="508">
        <v>6.2E-2</v>
      </c>
      <c r="AG7948" s="508">
        <v>6.2E-2</v>
      </c>
      <c r="AH7948" s="508">
        <v>5.6000000000000001E-2</v>
      </c>
      <c r="AI7948" s="492">
        <v>5.6000000000000001E-2</v>
      </c>
      <c r="AJ7948" s="485"/>
    </row>
    <row r="7949" spans="2:36">
      <c r="B7949" s="136" t="s">
        <v>457</v>
      </c>
      <c r="C7949" s="132" t="s">
        <v>1362</v>
      </c>
      <c r="D7949" s="132" t="s">
        <v>1384</v>
      </c>
      <c r="E7949" s="508">
        <v>6.2E-2</v>
      </c>
      <c r="F7949" s="508">
        <v>6.2E-2</v>
      </c>
      <c r="G7949" s="508">
        <v>6.2E-2</v>
      </c>
      <c r="H7949" s="508">
        <v>6.2E-2</v>
      </c>
      <c r="I7949" s="508">
        <v>6.2E-2</v>
      </c>
      <c r="J7949" s="508">
        <v>6.2E-2</v>
      </c>
      <c r="K7949" s="508">
        <v>6.0999999999999999E-2</v>
      </c>
      <c r="L7949" s="508">
        <v>6.2E-2</v>
      </c>
      <c r="M7949" s="508">
        <v>6.0999999999999999E-2</v>
      </c>
      <c r="N7949" s="508">
        <v>6.0999999999999999E-2</v>
      </c>
      <c r="O7949" s="508">
        <v>6.0999999999999999E-2</v>
      </c>
      <c r="P7949" s="508">
        <v>6.0999999999999999E-2</v>
      </c>
      <c r="Q7949" s="508">
        <v>6.0999999999999999E-2</v>
      </c>
      <c r="R7949" s="508">
        <v>6.0999999999999999E-2</v>
      </c>
      <c r="S7949" s="508">
        <v>6.0999999999999999E-2</v>
      </c>
      <c r="T7949" s="508">
        <v>6.0999999999999999E-2</v>
      </c>
      <c r="U7949" s="508">
        <v>6.0999999999999999E-2</v>
      </c>
      <c r="V7949" s="508">
        <v>6.0999999999999999E-2</v>
      </c>
      <c r="W7949" s="508">
        <v>6.0999999999999999E-2</v>
      </c>
      <c r="X7949" s="508">
        <v>6.0999999999999999E-2</v>
      </c>
      <c r="Y7949" s="508">
        <v>6.0999999999999999E-2</v>
      </c>
      <c r="Z7949" s="508">
        <v>6.0999999999999999E-2</v>
      </c>
      <c r="AA7949" s="508">
        <v>6.0999999999999999E-2</v>
      </c>
      <c r="AB7949" s="508">
        <v>6.0999999999999999E-2</v>
      </c>
      <c r="AC7949" s="508">
        <v>6.0999999999999999E-2</v>
      </c>
      <c r="AD7949" s="508">
        <v>5.8999999999999997E-2</v>
      </c>
      <c r="AE7949" s="508">
        <v>5.8999999999999997E-2</v>
      </c>
      <c r="AF7949" s="508">
        <v>5.8999999999999997E-2</v>
      </c>
      <c r="AG7949" s="508">
        <v>5.8999999999999997E-2</v>
      </c>
      <c r="AH7949" s="508">
        <v>5.3999999999999999E-2</v>
      </c>
      <c r="AI7949" s="492">
        <v>5.3999999999999999E-2</v>
      </c>
      <c r="AJ7949" s="485"/>
    </row>
    <row r="7950" spans="2:36">
      <c r="B7950" s="136" t="s">
        <v>458</v>
      </c>
      <c r="C7950" s="132" t="s">
        <v>1362</v>
      </c>
      <c r="D7950" s="132" t="s">
        <v>1384</v>
      </c>
      <c r="E7950" s="508">
        <v>0.06</v>
      </c>
      <c r="F7950" s="508">
        <v>0.06</v>
      </c>
      <c r="G7950" s="508">
        <v>0.06</v>
      </c>
      <c r="H7950" s="508">
        <v>0.06</v>
      </c>
      <c r="I7950" s="508">
        <v>0.06</v>
      </c>
      <c r="J7950" s="508">
        <v>0.06</v>
      </c>
      <c r="K7950" s="508">
        <v>0.06</v>
      </c>
      <c r="L7950" s="508">
        <v>0.06</v>
      </c>
      <c r="M7950" s="508">
        <v>0.06</v>
      </c>
      <c r="N7950" s="508">
        <v>0.06</v>
      </c>
      <c r="O7950" s="508">
        <v>0.06</v>
      </c>
      <c r="P7950" s="508">
        <v>0.06</v>
      </c>
      <c r="Q7950" s="508">
        <v>0.06</v>
      </c>
      <c r="R7950" s="508">
        <v>0.06</v>
      </c>
      <c r="S7950" s="508">
        <v>0.06</v>
      </c>
      <c r="T7950" s="508">
        <v>0.06</v>
      </c>
      <c r="U7950" s="508">
        <v>0.06</v>
      </c>
      <c r="V7950" s="508">
        <v>0.06</v>
      </c>
      <c r="W7950" s="508">
        <v>0.06</v>
      </c>
      <c r="X7950" s="508">
        <v>0.06</v>
      </c>
      <c r="Y7950" s="508">
        <v>0.06</v>
      </c>
      <c r="Z7950" s="508">
        <v>0.06</v>
      </c>
      <c r="AA7950" s="508">
        <v>0.06</v>
      </c>
      <c r="AB7950" s="508">
        <v>0.06</v>
      </c>
      <c r="AC7950" s="508">
        <v>0.06</v>
      </c>
      <c r="AD7950" s="508">
        <v>5.8999999999999997E-2</v>
      </c>
      <c r="AE7950" s="508">
        <v>5.8999999999999997E-2</v>
      </c>
      <c r="AF7950" s="508">
        <v>5.8999999999999997E-2</v>
      </c>
      <c r="AG7950" s="508">
        <v>5.8999999999999997E-2</v>
      </c>
      <c r="AH7950" s="508">
        <v>5.3999999999999999E-2</v>
      </c>
      <c r="AI7950" s="492">
        <v>5.3999999999999999E-2</v>
      </c>
      <c r="AJ7950" s="485"/>
    </row>
    <row r="7951" spans="2:36">
      <c r="B7951" s="136" t="s">
        <v>459</v>
      </c>
      <c r="C7951" s="132" t="s">
        <v>1362</v>
      </c>
      <c r="D7951" s="132" t="s">
        <v>1384</v>
      </c>
      <c r="E7951" s="508">
        <v>0.06</v>
      </c>
      <c r="F7951" s="508">
        <v>0.06</v>
      </c>
      <c r="G7951" s="508">
        <v>0.06</v>
      </c>
      <c r="H7951" s="508">
        <v>0.06</v>
      </c>
      <c r="I7951" s="508">
        <v>0.06</v>
      </c>
      <c r="J7951" s="508">
        <v>0.06</v>
      </c>
      <c r="K7951" s="508">
        <v>0.06</v>
      </c>
      <c r="L7951" s="508">
        <v>0.06</v>
      </c>
      <c r="M7951" s="508">
        <v>0.06</v>
      </c>
      <c r="N7951" s="508">
        <v>0.06</v>
      </c>
      <c r="O7951" s="508">
        <v>0.06</v>
      </c>
      <c r="P7951" s="508">
        <v>0.06</v>
      </c>
      <c r="Q7951" s="508">
        <v>0.06</v>
      </c>
      <c r="R7951" s="508">
        <v>0.06</v>
      </c>
      <c r="S7951" s="508">
        <v>0.06</v>
      </c>
      <c r="T7951" s="508">
        <v>0.06</v>
      </c>
      <c r="U7951" s="508">
        <v>0.06</v>
      </c>
      <c r="V7951" s="508">
        <v>0.06</v>
      </c>
      <c r="W7951" s="508">
        <v>0.06</v>
      </c>
      <c r="X7951" s="508">
        <v>0.06</v>
      </c>
      <c r="Y7951" s="508">
        <v>0.06</v>
      </c>
      <c r="Z7951" s="508">
        <v>0.06</v>
      </c>
      <c r="AA7951" s="508">
        <v>0.06</v>
      </c>
      <c r="AB7951" s="508">
        <v>0.06</v>
      </c>
      <c r="AC7951" s="508">
        <v>0.06</v>
      </c>
      <c r="AD7951" s="508">
        <v>5.8999999999999997E-2</v>
      </c>
      <c r="AE7951" s="508">
        <v>5.8999999999999997E-2</v>
      </c>
      <c r="AF7951" s="508">
        <v>5.8999999999999997E-2</v>
      </c>
      <c r="AG7951" s="508">
        <v>5.8999999999999997E-2</v>
      </c>
      <c r="AH7951" s="508">
        <v>5.3999999999999999E-2</v>
      </c>
      <c r="AI7951" s="492">
        <v>5.3999999999999999E-2</v>
      </c>
      <c r="AJ7951" s="485"/>
    </row>
    <row r="7952" spans="2:36">
      <c r="B7952" s="136" t="s">
        <v>460</v>
      </c>
      <c r="C7952" s="132" t="s">
        <v>1362</v>
      </c>
      <c r="D7952" s="132" t="s">
        <v>1384</v>
      </c>
      <c r="E7952" s="508">
        <v>6.2E-2</v>
      </c>
      <c r="F7952" s="508">
        <v>6.2E-2</v>
      </c>
      <c r="G7952" s="508">
        <v>6.2E-2</v>
      </c>
      <c r="H7952" s="508">
        <v>6.2E-2</v>
      </c>
      <c r="I7952" s="508">
        <v>6.2E-2</v>
      </c>
      <c r="J7952" s="508">
        <v>6.2E-2</v>
      </c>
      <c r="K7952" s="508">
        <v>6.0999999999999999E-2</v>
      </c>
      <c r="L7952" s="508">
        <v>6.0999999999999999E-2</v>
      </c>
      <c r="M7952" s="508">
        <v>6.0999999999999999E-2</v>
      </c>
      <c r="N7952" s="508">
        <v>6.0999999999999999E-2</v>
      </c>
      <c r="O7952" s="508">
        <v>6.0999999999999999E-2</v>
      </c>
      <c r="P7952" s="508">
        <v>6.0999999999999999E-2</v>
      </c>
      <c r="Q7952" s="508">
        <v>6.0999999999999999E-2</v>
      </c>
      <c r="R7952" s="508">
        <v>6.0999999999999999E-2</v>
      </c>
      <c r="S7952" s="508">
        <v>6.0999999999999999E-2</v>
      </c>
      <c r="T7952" s="508">
        <v>6.0999999999999999E-2</v>
      </c>
      <c r="U7952" s="508">
        <v>6.0999999999999999E-2</v>
      </c>
      <c r="V7952" s="508">
        <v>6.0999999999999999E-2</v>
      </c>
      <c r="W7952" s="508">
        <v>6.0999999999999999E-2</v>
      </c>
      <c r="X7952" s="508">
        <v>6.0999999999999999E-2</v>
      </c>
      <c r="Y7952" s="508">
        <v>6.0999999999999999E-2</v>
      </c>
      <c r="Z7952" s="508">
        <v>6.0999999999999999E-2</v>
      </c>
      <c r="AA7952" s="508">
        <v>6.0999999999999999E-2</v>
      </c>
      <c r="AB7952" s="508">
        <v>6.0999999999999999E-2</v>
      </c>
      <c r="AC7952" s="508">
        <v>6.0999999999999999E-2</v>
      </c>
      <c r="AD7952" s="508">
        <v>0.06</v>
      </c>
      <c r="AE7952" s="508">
        <v>0.06</v>
      </c>
      <c r="AF7952" s="508">
        <v>0.06</v>
      </c>
      <c r="AG7952" s="508">
        <v>0.06</v>
      </c>
      <c r="AH7952" s="508">
        <v>5.5E-2</v>
      </c>
      <c r="AI7952" s="492">
        <v>5.5E-2</v>
      </c>
      <c r="AJ7952" s="485"/>
    </row>
    <row r="7953" spans="2:36">
      <c r="B7953" s="136" t="s">
        <v>461</v>
      </c>
      <c r="C7953" s="132" t="s">
        <v>1362</v>
      </c>
      <c r="D7953" s="132" t="s">
        <v>1384</v>
      </c>
      <c r="E7953" s="508">
        <v>0.06</v>
      </c>
      <c r="F7953" s="508">
        <v>0.06</v>
      </c>
      <c r="G7953" s="508">
        <v>0.06</v>
      </c>
      <c r="H7953" s="508">
        <v>0.06</v>
      </c>
      <c r="I7953" s="508">
        <v>0.06</v>
      </c>
      <c r="J7953" s="508">
        <v>0.06</v>
      </c>
      <c r="K7953" s="508">
        <v>0.06</v>
      </c>
      <c r="L7953" s="508">
        <v>0.06</v>
      </c>
      <c r="M7953" s="508">
        <v>0.06</v>
      </c>
      <c r="N7953" s="508">
        <v>0.06</v>
      </c>
      <c r="O7953" s="508">
        <v>0.06</v>
      </c>
      <c r="P7953" s="508">
        <v>0.06</v>
      </c>
      <c r="Q7953" s="508">
        <v>0.06</v>
      </c>
      <c r="R7953" s="508">
        <v>0.06</v>
      </c>
      <c r="S7953" s="508">
        <v>0.06</v>
      </c>
      <c r="T7953" s="508">
        <v>0.06</v>
      </c>
      <c r="U7953" s="508">
        <v>0.06</v>
      </c>
      <c r="V7953" s="508">
        <v>0.06</v>
      </c>
      <c r="W7953" s="508">
        <v>0.06</v>
      </c>
      <c r="X7953" s="508">
        <v>0.06</v>
      </c>
      <c r="Y7953" s="508">
        <v>0.06</v>
      </c>
      <c r="Z7953" s="508">
        <v>0.06</v>
      </c>
      <c r="AA7953" s="508">
        <v>0.06</v>
      </c>
      <c r="AB7953" s="508">
        <v>0.06</v>
      </c>
      <c r="AC7953" s="508">
        <v>0.06</v>
      </c>
      <c r="AD7953" s="508">
        <v>5.8999999999999997E-2</v>
      </c>
      <c r="AE7953" s="508">
        <v>5.8999999999999997E-2</v>
      </c>
      <c r="AF7953" s="508">
        <v>5.8999999999999997E-2</v>
      </c>
      <c r="AG7953" s="508">
        <v>5.8999999999999997E-2</v>
      </c>
      <c r="AH7953" s="508">
        <v>5.2999999999999999E-2</v>
      </c>
      <c r="AI7953" s="492">
        <v>5.2999999999999999E-2</v>
      </c>
      <c r="AJ7953" s="485"/>
    </row>
    <row r="7954" spans="2:36">
      <c r="B7954" s="136" t="s">
        <v>462</v>
      </c>
      <c r="C7954" s="132" t="s">
        <v>1362</v>
      </c>
      <c r="D7954" s="132" t="s">
        <v>1384</v>
      </c>
      <c r="E7954" s="508">
        <v>6.2E-2</v>
      </c>
      <c r="F7954" s="508">
        <v>6.2E-2</v>
      </c>
      <c r="G7954" s="508">
        <v>6.2E-2</v>
      </c>
      <c r="H7954" s="508">
        <v>6.2E-2</v>
      </c>
      <c r="I7954" s="508">
        <v>6.2E-2</v>
      </c>
      <c r="J7954" s="508">
        <v>6.2E-2</v>
      </c>
      <c r="K7954" s="508">
        <v>6.0999999999999999E-2</v>
      </c>
      <c r="L7954" s="508">
        <v>6.2E-2</v>
      </c>
      <c r="M7954" s="508">
        <v>6.0999999999999999E-2</v>
      </c>
      <c r="N7954" s="508">
        <v>6.0999999999999999E-2</v>
      </c>
      <c r="O7954" s="508">
        <v>6.2E-2</v>
      </c>
      <c r="P7954" s="508">
        <v>6.2E-2</v>
      </c>
      <c r="Q7954" s="508">
        <v>6.2E-2</v>
      </c>
      <c r="R7954" s="508">
        <v>6.2E-2</v>
      </c>
      <c r="S7954" s="508">
        <v>6.0999999999999999E-2</v>
      </c>
      <c r="T7954" s="508">
        <v>6.0999999999999999E-2</v>
      </c>
      <c r="U7954" s="508">
        <v>6.2E-2</v>
      </c>
      <c r="V7954" s="508">
        <v>6.0999999999999999E-2</v>
      </c>
      <c r="W7954" s="508">
        <v>6.2E-2</v>
      </c>
      <c r="X7954" s="508">
        <v>6.2E-2</v>
      </c>
      <c r="Y7954" s="508">
        <v>6.2E-2</v>
      </c>
      <c r="Z7954" s="508">
        <v>6.2E-2</v>
      </c>
      <c r="AA7954" s="508">
        <v>6.2E-2</v>
      </c>
      <c r="AB7954" s="508">
        <v>6.2E-2</v>
      </c>
      <c r="AC7954" s="508">
        <v>6.2E-2</v>
      </c>
      <c r="AD7954" s="508">
        <v>0.06</v>
      </c>
      <c r="AE7954" s="508">
        <v>0.06</v>
      </c>
      <c r="AF7954" s="508">
        <v>0.06</v>
      </c>
      <c r="AG7954" s="508">
        <v>0.06</v>
      </c>
      <c r="AH7954" s="508">
        <v>5.5E-2</v>
      </c>
      <c r="AI7954" s="492">
        <v>5.5E-2</v>
      </c>
      <c r="AJ7954" s="485"/>
    </row>
    <row r="7955" spans="2:36">
      <c r="B7955" s="136" t="s">
        <v>463</v>
      </c>
      <c r="C7955" s="132" t="s">
        <v>1362</v>
      </c>
      <c r="D7955" s="132" t="s">
        <v>1384</v>
      </c>
      <c r="E7955" s="508">
        <v>6.2E-2</v>
      </c>
      <c r="F7955" s="508">
        <v>6.2E-2</v>
      </c>
      <c r="G7955" s="508">
        <v>6.0999999999999999E-2</v>
      </c>
      <c r="H7955" s="508">
        <v>6.2E-2</v>
      </c>
      <c r="I7955" s="508">
        <v>6.2E-2</v>
      </c>
      <c r="J7955" s="508">
        <v>6.0999999999999999E-2</v>
      </c>
      <c r="K7955" s="508">
        <v>6.0999999999999999E-2</v>
      </c>
      <c r="L7955" s="508">
        <v>6.0999999999999999E-2</v>
      </c>
      <c r="M7955" s="508">
        <v>6.0999999999999999E-2</v>
      </c>
      <c r="N7955" s="508">
        <v>6.0999999999999999E-2</v>
      </c>
      <c r="O7955" s="508">
        <v>6.0999999999999999E-2</v>
      </c>
      <c r="P7955" s="508">
        <v>6.0999999999999999E-2</v>
      </c>
      <c r="Q7955" s="508">
        <v>6.0999999999999999E-2</v>
      </c>
      <c r="R7955" s="508">
        <v>6.0999999999999999E-2</v>
      </c>
      <c r="S7955" s="508">
        <v>6.0999999999999999E-2</v>
      </c>
      <c r="T7955" s="508">
        <v>6.0999999999999999E-2</v>
      </c>
      <c r="U7955" s="508">
        <v>6.0999999999999999E-2</v>
      </c>
      <c r="V7955" s="508">
        <v>6.0999999999999999E-2</v>
      </c>
      <c r="W7955" s="508">
        <v>6.0999999999999999E-2</v>
      </c>
      <c r="X7955" s="508">
        <v>6.0999999999999999E-2</v>
      </c>
      <c r="Y7955" s="508">
        <v>6.0999999999999999E-2</v>
      </c>
      <c r="Z7955" s="508">
        <v>6.0999999999999999E-2</v>
      </c>
      <c r="AA7955" s="508">
        <v>6.0999999999999999E-2</v>
      </c>
      <c r="AB7955" s="508">
        <v>6.0999999999999999E-2</v>
      </c>
      <c r="AC7955" s="508">
        <v>6.0999999999999999E-2</v>
      </c>
      <c r="AD7955" s="508">
        <v>0.06</v>
      </c>
      <c r="AE7955" s="508">
        <v>0.06</v>
      </c>
      <c r="AF7955" s="508">
        <v>0.06</v>
      </c>
      <c r="AG7955" s="508">
        <v>0.06</v>
      </c>
      <c r="AH7955" s="508">
        <v>5.3999999999999999E-2</v>
      </c>
      <c r="AI7955" s="492">
        <v>5.3999999999999999E-2</v>
      </c>
      <c r="AJ7955" s="485"/>
    </row>
    <row r="7956" spans="2:36">
      <c r="B7956" s="136" t="s">
        <v>464</v>
      </c>
      <c r="C7956" s="132" t="s">
        <v>1362</v>
      </c>
      <c r="D7956" s="132" t="s">
        <v>1384</v>
      </c>
      <c r="E7956" s="508">
        <v>6.4000000000000001E-2</v>
      </c>
      <c r="F7956" s="508">
        <v>6.4000000000000001E-2</v>
      </c>
      <c r="G7956" s="508">
        <v>6.4000000000000001E-2</v>
      </c>
      <c r="H7956" s="508">
        <v>6.4000000000000001E-2</v>
      </c>
      <c r="I7956" s="508">
        <v>6.4000000000000001E-2</v>
      </c>
      <c r="J7956" s="508">
        <v>6.3E-2</v>
      </c>
      <c r="K7956" s="508">
        <v>6.3E-2</v>
      </c>
      <c r="L7956" s="508">
        <v>6.3E-2</v>
      </c>
      <c r="M7956" s="508">
        <v>6.2E-2</v>
      </c>
      <c r="N7956" s="508">
        <v>6.3E-2</v>
      </c>
      <c r="O7956" s="508">
        <v>6.3E-2</v>
      </c>
      <c r="P7956" s="508">
        <v>6.2E-2</v>
      </c>
      <c r="Q7956" s="508">
        <v>6.3E-2</v>
      </c>
      <c r="R7956" s="508">
        <v>6.2E-2</v>
      </c>
      <c r="S7956" s="508">
        <v>6.2E-2</v>
      </c>
      <c r="T7956" s="508">
        <v>6.2E-2</v>
      </c>
      <c r="U7956" s="508">
        <v>6.2E-2</v>
      </c>
      <c r="V7956" s="508">
        <v>6.2E-2</v>
      </c>
      <c r="W7956" s="508">
        <v>6.2E-2</v>
      </c>
      <c r="X7956" s="508">
        <v>6.2E-2</v>
      </c>
      <c r="Y7956" s="508">
        <v>6.2E-2</v>
      </c>
      <c r="Z7956" s="508">
        <v>6.2E-2</v>
      </c>
      <c r="AA7956" s="508">
        <v>6.2E-2</v>
      </c>
      <c r="AB7956" s="508">
        <v>6.2E-2</v>
      </c>
      <c r="AC7956" s="508">
        <v>6.2E-2</v>
      </c>
      <c r="AD7956" s="508">
        <v>0.06</v>
      </c>
      <c r="AE7956" s="508">
        <v>0.06</v>
      </c>
      <c r="AF7956" s="508">
        <v>0.06</v>
      </c>
      <c r="AG7956" s="508">
        <v>0.06</v>
      </c>
      <c r="AH7956" s="508">
        <v>5.5E-2</v>
      </c>
      <c r="AI7956" s="492">
        <v>5.5E-2</v>
      </c>
      <c r="AJ7956" s="485"/>
    </row>
    <row r="7957" spans="2:36">
      <c r="B7957" s="136" t="s">
        <v>465</v>
      </c>
      <c r="C7957" s="132" t="s">
        <v>1362</v>
      </c>
      <c r="D7957" s="132" t="s">
        <v>1384</v>
      </c>
      <c r="E7957" s="508">
        <v>6.4000000000000001E-2</v>
      </c>
      <c r="F7957" s="508">
        <v>6.4000000000000001E-2</v>
      </c>
      <c r="G7957" s="508">
        <v>6.4000000000000001E-2</v>
      </c>
      <c r="H7957" s="508">
        <v>6.4000000000000001E-2</v>
      </c>
      <c r="I7957" s="508">
        <v>6.4000000000000001E-2</v>
      </c>
      <c r="J7957" s="508">
        <v>6.4000000000000001E-2</v>
      </c>
      <c r="K7957" s="508">
        <v>6.3E-2</v>
      </c>
      <c r="L7957" s="508">
        <v>6.3E-2</v>
      </c>
      <c r="M7957" s="508">
        <v>6.3E-2</v>
      </c>
      <c r="N7957" s="508">
        <v>6.3E-2</v>
      </c>
      <c r="O7957" s="508">
        <v>6.3E-2</v>
      </c>
      <c r="P7957" s="508">
        <v>6.3E-2</v>
      </c>
      <c r="Q7957" s="508">
        <v>6.3E-2</v>
      </c>
      <c r="R7957" s="508">
        <v>6.3E-2</v>
      </c>
      <c r="S7957" s="508">
        <v>6.3E-2</v>
      </c>
      <c r="T7957" s="508">
        <v>6.3E-2</v>
      </c>
      <c r="U7957" s="508">
        <v>6.3E-2</v>
      </c>
      <c r="V7957" s="508">
        <v>6.3E-2</v>
      </c>
      <c r="W7957" s="508">
        <v>6.3E-2</v>
      </c>
      <c r="X7957" s="508">
        <v>6.3E-2</v>
      </c>
      <c r="Y7957" s="508">
        <v>6.3E-2</v>
      </c>
      <c r="Z7957" s="508">
        <v>6.3E-2</v>
      </c>
      <c r="AA7957" s="508">
        <v>6.3E-2</v>
      </c>
      <c r="AB7957" s="508">
        <v>6.3E-2</v>
      </c>
      <c r="AC7957" s="508">
        <v>6.3E-2</v>
      </c>
      <c r="AD7957" s="508">
        <v>6.0999999999999999E-2</v>
      </c>
      <c r="AE7957" s="508">
        <v>6.0999999999999999E-2</v>
      </c>
      <c r="AF7957" s="508">
        <v>6.0999999999999999E-2</v>
      </c>
      <c r="AG7957" s="508">
        <v>6.0999999999999999E-2</v>
      </c>
      <c r="AH7957" s="508">
        <v>5.6000000000000001E-2</v>
      </c>
      <c r="AI7957" s="492">
        <v>5.6000000000000001E-2</v>
      </c>
      <c r="AJ7957" s="485"/>
    </row>
    <row r="7958" spans="2:36">
      <c r="B7958" s="136" t="s">
        <v>466</v>
      </c>
      <c r="C7958" s="132" t="s">
        <v>1362</v>
      </c>
      <c r="D7958" s="132" t="s">
        <v>1384</v>
      </c>
      <c r="E7958" s="508">
        <v>6.3E-2</v>
      </c>
      <c r="F7958" s="508">
        <v>6.3E-2</v>
      </c>
      <c r="G7958" s="508">
        <v>6.3E-2</v>
      </c>
      <c r="H7958" s="508">
        <v>6.3E-2</v>
      </c>
      <c r="I7958" s="508">
        <v>6.3E-2</v>
      </c>
      <c r="J7958" s="508">
        <v>6.3E-2</v>
      </c>
      <c r="K7958" s="508">
        <v>6.3E-2</v>
      </c>
      <c r="L7958" s="508">
        <v>6.3E-2</v>
      </c>
      <c r="M7958" s="508">
        <v>6.3E-2</v>
      </c>
      <c r="N7958" s="508">
        <v>6.3E-2</v>
      </c>
      <c r="O7958" s="508">
        <v>6.3E-2</v>
      </c>
      <c r="P7958" s="508">
        <v>6.3E-2</v>
      </c>
      <c r="Q7958" s="508">
        <v>6.3E-2</v>
      </c>
      <c r="R7958" s="508">
        <v>6.3E-2</v>
      </c>
      <c r="S7958" s="508">
        <v>6.3E-2</v>
      </c>
      <c r="T7958" s="508">
        <v>6.3E-2</v>
      </c>
      <c r="U7958" s="508">
        <v>6.3E-2</v>
      </c>
      <c r="V7958" s="508">
        <v>6.3E-2</v>
      </c>
      <c r="W7958" s="508">
        <v>6.3E-2</v>
      </c>
      <c r="X7958" s="508">
        <v>6.3E-2</v>
      </c>
      <c r="Y7958" s="508">
        <v>6.3E-2</v>
      </c>
      <c r="Z7958" s="508">
        <v>6.3E-2</v>
      </c>
      <c r="AA7958" s="508">
        <v>6.3E-2</v>
      </c>
      <c r="AB7958" s="508">
        <v>6.3E-2</v>
      </c>
      <c r="AC7958" s="508">
        <v>6.3E-2</v>
      </c>
      <c r="AD7958" s="508">
        <v>6.2E-2</v>
      </c>
      <c r="AE7958" s="508">
        <v>6.2E-2</v>
      </c>
      <c r="AF7958" s="508">
        <v>6.2E-2</v>
      </c>
      <c r="AG7958" s="508">
        <v>6.2E-2</v>
      </c>
      <c r="AH7958" s="508">
        <v>5.6000000000000001E-2</v>
      </c>
      <c r="AI7958" s="492">
        <v>5.6000000000000001E-2</v>
      </c>
      <c r="AJ7958" s="485"/>
    </row>
    <row r="7959" spans="2:36">
      <c r="B7959" s="136" t="s">
        <v>467</v>
      </c>
      <c r="C7959" s="132" t="s">
        <v>1362</v>
      </c>
      <c r="D7959" s="132" t="s">
        <v>1384</v>
      </c>
      <c r="E7959" s="508">
        <v>6.0999999999999999E-2</v>
      </c>
      <c r="F7959" s="508">
        <v>6.0999999999999999E-2</v>
      </c>
      <c r="G7959" s="508">
        <v>0.06</v>
      </c>
      <c r="H7959" s="508">
        <v>0.06</v>
      </c>
      <c r="I7959" s="508">
        <v>0.06</v>
      </c>
      <c r="J7959" s="508">
        <v>0.06</v>
      </c>
      <c r="K7959" s="508">
        <v>0.06</v>
      </c>
      <c r="L7959" s="508">
        <v>0.06</v>
      </c>
      <c r="M7959" s="508">
        <v>0.06</v>
      </c>
      <c r="N7959" s="508">
        <v>0.06</v>
      </c>
      <c r="O7959" s="508">
        <v>0.06</v>
      </c>
      <c r="P7959" s="508">
        <v>0.06</v>
      </c>
      <c r="Q7959" s="508">
        <v>0.06</v>
      </c>
      <c r="R7959" s="508">
        <v>0.06</v>
      </c>
      <c r="S7959" s="508">
        <v>0.06</v>
      </c>
      <c r="T7959" s="508">
        <v>0.06</v>
      </c>
      <c r="U7959" s="508">
        <v>0.06</v>
      </c>
      <c r="V7959" s="508">
        <v>0.06</v>
      </c>
      <c r="W7959" s="508">
        <v>0.06</v>
      </c>
      <c r="X7959" s="508">
        <v>0.06</v>
      </c>
      <c r="Y7959" s="508">
        <v>0.06</v>
      </c>
      <c r="Z7959" s="508">
        <v>0.06</v>
      </c>
      <c r="AA7959" s="508">
        <v>0.06</v>
      </c>
      <c r="AB7959" s="508">
        <v>0.06</v>
      </c>
      <c r="AC7959" s="508">
        <v>0.06</v>
      </c>
      <c r="AD7959" s="508">
        <v>5.8999999999999997E-2</v>
      </c>
      <c r="AE7959" s="508">
        <v>5.8999999999999997E-2</v>
      </c>
      <c r="AF7959" s="508">
        <v>5.8999999999999997E-2</v>
      </c>
      <c r="AG7959" s="508">
        <v>5.8999999999999997E-2</v>
      </c>
      <c r="AH7959" s="508">
        <v>5.2999999999999999E-2</v>
      </c>
      <c r="AI7959" s="492">
        <v>5.2999999999999999E-2</v>
      </c>
      <c r="AJ7959" s="485"/>
    </row>
    <row r="7960" spans="2:36">
      <c r="B7960" s="136" t="s">
        <v>468</v>
      </c>
      <c r="C7960" s="132" t="s">
        <v>1362</v>
      </c>
      <c r="D7960" s="132" t="s">
        <v>1384</v>
      </c>
      <c r="E7960" s="508">
        <v>6.5000000000000002E-2</v>
      </c>
      <c r="F7960" s="508">
        <v>6.5000000000000002E-2</v>
      </c>
      <c r="G7960" s="508">
        <v>6.5000000000000002E-2</v>
      </c>
      <c r="H7960" s="508">
        <v>6.5000000000000002E-2</v>
      </c>
      <c r="I7960" s="508">
        <v>6.5000000000000002E-2</v>
      </c>
      <c r="J7960" s="508">
        <v>6.5000000000000002E-2</v>
      </c>
      <c r="K7960" s="508">
        <v>6.4000000000000001E-2</v>
      </c>
      <c r="L7960" s="508">
        <v>6.4000000000000001E-2</v>
      </c>
      <c r="M7960" s="508">
        <v>6.4000000000000001E-2</v>
      </c>
      <c r="N7960" s="508">
        <v>6.4000000000000001E-2</v>
      </c>
      <c r="O7960" s="508">
        <v>6.4000000000000001E-2</v>
      </c>
      <c r="P7960" s="508">
        <v>6.4000000000000001E-2</v>
      </c>
      <c r="Q7960" s="508">
        <v>6.4000000000000001E-2</v>
      </c>
      <c r="R7960" s="508">
        <v>6.4000000000000001E-2</v>
      </c>
      <c r="S7960" s="508">
        <v>6.4000000000000001E-2</v>
      </c>
      <c r="T7960" s="508">
        <v>6.4000000000000001E-2</v>
      </c>
      <c r="U7960" s="508">
        <v>6.4000000000000001E-2</v>
      </c>
      <c r="V7960" s="508">
        <v>6.4000000000000001E-2</v>
      </c>
      <c r="W7960" s="508">
        <v>6.4000000000000001E-2</v>
      </c>
      <c r="X7960" s="508">
        <v>6.4000000000000001E-2</v>
      </c>
      <c r="Y7960" s="508">
        <v>6.4000000000000001E-2</v>
      </c>
      <c r="Z7960" s="508">
        <v>6.4000000000000001E-2</v>
      </c>
      <c r="AA7960" s="508">
        <v>6.4000000000000001E-2</v>
      </c>
      <c r="AB7960" s="508">
        <v>6.4000000000000001E-2</v>
      </c>
      <c r="AC7960" s="508">
        <v>6.4000000000000001E-2</v>
      </c>
      <c r="AD7960" s="508">
        <v>6.0999999999999999E-2</v>
      </c>
      <c r="AE7960" s="508">
        <v>6.0999999999999999E-2</v>
      </c>
      <c r="AF7960" s="508">
        <v>6.0999999999999999E-2</v>
      </c>
      <c r="AG7960" s="508">
        <v>6.0999999999999999E-2</v>
      </c>
      <c r="AH7960" s="508">
        <v>5.6000000000000001E-2</v>
      </c>
      <c r="AI7960" s="492">
        <v>5.6000000000000001E-2</v>
      </c>
      <c r="AJ7960" s="485"/>
    </row>
    <row r="7961" spans="2:36">
      <c r="B7961" s="136" t="s">
        <v>469</v>
      </c>
      <c r="C7961" s="132" t="s">
        <v>1362</v>
      </c>
      <c r="D7961" s="132" t="s">
        <v>1384</v>
      </c>
      <c r="E7961" s="508">
        <v>6.4000000000000001E-2</v>
      </c>
      <c r="F7961" s="508">
        <v>6.4000000000000001E-2</v>
      </c>
      <c r="G7961" s="508">
        <v>6.4000000000000001E-2</v>
      </c>
      <c r="H7961" s="508">
        <v>6.4000000000000001E-2</v>
      </c>
      <c r="I7961" s="508">
        <v>6.4000000000000001E-2</v>
      </c>
      <c r="J7961" s="508">
        <v>6.4000000000000001E-2</v>
      </c>
      <c r="K7961" s="508">
        <v>6.3E-2</v>
      </c>
      <c r="L7961" s="508">
        <v>6.3E-2</v>
      </c>
      <c r="M7961" s="508">
        <v>6.3E-2</v>
      </c>
      <c r="N7961" s="508">
        <v>6.3E-2</v>
      </c>
      <c r="O7961" s="508">
        <v>6.3E-2</v>
      </c>
      <c r="P7961" s="508">
        <v>6.3E-2</v>
      </c>
      <c r="Q7961" s="508">
        <v>6.3E-2</v>
      </c>
      <c r="R7961" s="508">
        <v>6.3E-2</v>
      </c>
      <c r="S7961" s="508">
        <v>6.3E-2</v>
      </c>
      <c r="T7961" s="508">
        <v>6.3E-2</v>
      </c>
      <c r="U7961" s="508">
        <v>6.3E-2</v>
      </c>
      <c r="V7961" s="508">
        <v>6.3E-2</v>
      </c>
      <c r="W7961" s="508">
        <v>6.3E-2</v>
      </c>
      <c r="X7961" s="508">
        <v>6.3E-2</v>
      </c>
      <c r="Y7961" s="508">
        <v>6.3E-2</v>
      </c>
      <c r="Z7961" s="508">
        <v>6.3E-2</v>
      </c>
      <c r="AA7961" s="508">
        <v>6.3E-2</v>
      </c>
      <c r="AB7961" s="508">
        <v>6.3E-2</v>
      </c>
      <c r="AC7961" s="508">
        <v>6.3E-2</v>
      </c>
      <c r="AD7961" s="508">
        <v>6.0999999999999999E-2</v>
      </c>
      <c r="AE7961" s="508">
        <v>6.0999999999999999E-2</v>
      </c>
      <c r="AF7961" s="508">
        <v>6.0999999999999999E-2</v>
      </c>
      <c r="AG7961" s="508">
        <v>6.0999999999999999E-2</v>
      </c>
      <c r="AH7961" s="508">
        <v>5.6000000000000001E-2</v>
      </c>
      <c r="AI7961" s="492">
        <v>5.6000000000000001E-2</v>
      </c>
      <c r="AJ7961" s="485"/>
    </row>
    <row r="7962" spans="2:36">
      <c r="B7962" s="136" t="s">
        <v>470</v>
      </c>
      <c r="C7962" s="132" t="s">
        <v>1362</v>
      </c>
      <c r="D7962" s="132" t="s">
        <v>1384</v>
      </c>
      <c r="E7962" s="508">
        <v>0.06</v>
      </c>
      <c r="F7962" s="508">
        <v>0.06</v>
      </c>
      <c r="G7962" s="508">
        <v>0.06</v>
      </c>
      <c r="H7962" s="508">
        <v>0.06</v>
      </c>
      <c r="I7962" s="508">
        <v>0.06</v>
      </c>
      <c r="J7962" s="508">
        <v>0.06</v>
      </c>
      <c r="K7962" s="508">
        <v>0.06</v>
      </c>
      <c r="L7962" s="508">
        <v>0.06</v>
      </c>
      <c r="M7962" s="508">
        <v>0.06</v>
      </c>
      <c r="N7962" s="508">
        <v>0.06</v>
      </c>
      <c r="O7962" s="508">
        <v>0.06</v>
      </c>
      <c r="P7962" s="508">
        <v>0.06</v>
      </c>
      <c r="Q7962" s="508">
        <v>0.06</v>
      </c>
      <c r="R7962" s="508">
        <v>0.06</v>
      </c>
      <c r="S7962" s="508">
        <v>0.06</v>
      </c>
      <c r="T7962" s="508">
        <v>0.06</v>
      </c>
      <c r="U7962" s="508">
        <v>0.06</v>
      </c>
      <c r="V7962" s="508">
        <v>0.06</v>
      </c>
      <c r="W7962" s="508">
        <v>0.06</v>
      </c>
      <c r="X7962" s="508">
        <v>0.06</v>
      </c>
      <c r="Y7962" s="508">
        <v>0.06</v>
      </c>
      <c r="Z7962" s="508">
        <v>0.06</v>
      </c>
      <c r="AA7962" s="508">
        <v>0.06</v>
      </c>
      <c r="AB7962" s="508">
        <v>0.06</v>
      </c>
      <c r="AC7962" s="508">
        <v>0.06</v>
      </c>
      <c r="AD7962" s="508">
        <v>5.8999999999999997E-2</v>
      </c>
      <c r="AE7962" s="508">
        <v>5.8999999999999997E-2</v>
      </c>
      <c r="AF7962" s="508">
        <v>5.8999999999999997E-2</v>
      </c>
      <c r="AG7962" s="508">
        <v>5.8999999999999997E-2</v>
      </c>
      <c r="AH7962" s="508">
        <v>5.3999999999999999E-2</v>
      </c>
      <c r="AI7962" s="492">
        <v>5.3999999999999999E-2</v>
      </c>
      <c r="AJ7962" s="485"/>
    </row>
    <row r="7963" spans="2:36">
      <c r="B7963" s="136" t="s">
        <v>471</v>
      </c>
      <c r="C7963" s="132" t="s">
        <v>1362</v>
      </c>
      <c r="D7963" s="132" t="s">
        <v>1384</v>
      </c>
      <c r="E7963" s="508">
        <v>6.0999999999999999E-2</v>
      </c>
      <c r="F7963" s="508">
        <v>6.0999999999999999E-2</v>
      </c>
      <c r="G7963" s="508">
        <v>6.0999999999999999E-2</v>
      </c>
      <c r="H7963" s="508">
        <v>6.0999999999999999E-2</v>
      </c>
      <c r="I7963" s="508">
        <v>6.0999999999999999E-2</v>
      </c>
      <c r="J7963" s="508">
        <v>6.0999999999999999E-2</v>
      </c>
      <c r="K7963" s="508">
        <v>0.06</v>
      </c>
      <c r="L7963" s="508">
        <v>0.06</v>
      </c>
      <c r="M7963" s="508">
        <v>0.06</v>
      </c>
      <c r="N7963" s="508">
        <v>0.06</v>
      </c>
      <c r="O7963" s="508">
        <v>0.06</v>
      </c>
      <c r="P7963" s="508">
        <v>0.06</v>
      </c>
      <c r="Q7963" s="508">
        <v>0.06</v>
      </c>
      <c r="R7963" s="508">
        <v>0.06</v>
      </c>
      <c r="S7963" s="508">
        <v>0.06</v>
      </c>
      <c r="T7963" s="508">
        <v>0.06</v>
      </c>
      <c r="U7963" s="508">
        <v>0.06</v>
      </c>
      <c r="V7963" s="508">
        <v>0.06</v>
      </c>
      <c r="W7963" s="508">
        <v>0.06</v>
      </c>
      <c r="X7963" s="508">
        <v>0.06</v>
      </c>
      <c r="Y7963" s="508">
        <v>0.06</v>
      </c>
      <c r="Z7963" s="508">
        <v>0.06</v>
      </c>
      <c r="AA7963" s="508">
        <v>0.06</v>
      </c>
      <c r="AB7963" s="508">
        <v>0.06</v>
      </c>
      <c r="AC7963" s="508">
        <v>0.06</v>
      </c>
      <c r="AD7963" s="508">
        <v>0.06</v>
      </c>
      <c r="AE7963" s="508">
        <v>0.06</v>
      </c>
      <c r="AF7963" s="508">
        <v>0.06</v>
      </c>
      <c r="AG7963" s="508">
        <v>0.06</v>
      </c>
      <c r="AH7963" s="508">
        <v>5.3999999999999999E-2</v>
      </c>
      <c r="AI7963" s="492">
        <v>5.3999999999999999E-2</v>
      </c>
      <c r="AJ7963" s="485"/>
    </row>
    <row r="7964" spans="2:36">
      <c r="B7964" s="136" t="s">
        <v>472</v>
      </c>
      <c r="C7964" s="132" t="s">
        <v>1362</v>
      </c>
      <c r="D7964" s="132" t="s">
        <v>1384</v>
      </c>
      <c r="E7964" s="508">
        <v>6.3E-2</v>
      </c>
      <c r="F7964" s="508">
        <v>6.3E-2</v>
      </c>
      <c r="G7964" s="508">
        <v>6.3E-2</v>
      </c>
      <c r="H7964" s="508">
        <v>6.3E-2</v>
      </c>
      <c r="I7964" s="508">
        <v>6.3E-2</v>
      </c>
      <c r="J7964" s="508">
        <v>6.2E-2</v>
      </c>
      <c r="K7964" s="508">
        <v>6.2E-2</v>
      </c>
      <c r="L7964" s="508">
        <v>6.2E-2</v>
      </c>
      <c r="M7964" s="508">
        <v>6.2E-2</v>
      </c>
      <c r="N7964" s="508">
        <v>6.2E-2</v>
      </c>
      <c r="O7964" s="508">
        <v>6.2E-2</v>
      </c>
      <c r="P7964" s="508">
        <v>6.2E-2</v>
      </c>
      <c r="Q7964" s="508">
        <v>6.2E-2</v>
      </c>
      <c r="R7964" s="508">
        <v>6.2E-2</v>
      </c>
      <c r="S7964" s="508">
        <v>6.0999999999999999E-2</v>
      </c>
      <c r="T7964" s="508">
        <v>6.0999999999999999E-2</v>
      </c>
      <c r="U7964" s="508">
        <v>6.2E-2</v>
      </c>
      <c r="V7964" s="508">
        <v>6.0999999999999999E-2</v>
      </c>
      <c r="W7964" s="508">
        <v>6.0999999999999999E-2</v>
      </c>
      <c r="X7964" s="508">
        <v>6.0999999999999999E-2</v>
      </c>
      <c r="Y7964" s="508">
        <v>6.0999999999999999E-2</v>
      </c>
      <c r="Z7964" s="508">
        <v>6.0999999999999999E-2</v>
      </c>
      <c r="AA7964" s="508">
        <v>6.0999999999999999E-2</v>
      </c>
      <c r="AB7964" s="508">
        <v>6.0999999999999999E-2</v>
      </c>
      <c r="AC7964" s="508">
        <v>6.0999999999999999E-2</v>
      </c>
      <c r="AD7964" s="508">
        <v>0.06</v>
      </c>
      <c r="AE7964" s="508">
        <v>0.06</v>
      </c>
      <c r="AF7964" s="508">
        <v>0.06</v>
      </c>
      <c r="AG7964" s="508">
        <v>0.06</v>
      </c>
      <c r="AH7964" s="508">
        <v>5.3999999999999999E-2</v>
      </c>
      <c r="AI7964" s="492">
        <v>5.3999999999999999E-2</v>
      </c>
      <c r="AJ7964" s="485"/>
    </row>
    <row r="7965" spans="2:36">
      <c r="B7965" s="136" t="s">
        <v>473</v>
      </c>
      <c r="C7965" s="132" t="s">
        <v>1362</v>
      </c>
      <c r="D7965" s="132" t="s">
        <v>1384</v>
      </c>
      <c r="E7965" s="508">
        <v>6.0999999999999999E-2</v>
      </c>
      <c r="F7965" s="508">
        <v>6.0999999999999999E-2</v>
      </c>
      <c r="G7965" s="508">
        <v>6.0999999999999999E-2</v>
      </c>
      <c r="H7965" s="508">
        <v>6.0999999999999999E-2</v>
      </c>
      <c r="I7965" s="508">
        <v>6.0999999999999999E-2</v>
      </c>
      <c r="J7965" s="508">
        <v>6.0999999999999999E-2</v>
      </c>
      <c r="K7965" s="508">
        <v>6.0999999999999999E-2</v>
      </c>
      <c r="L7965" s="508">
        <v>6.0999999999999999E-2</v>
      </c>
      <c r="M7965" s="508">
        <v>6.0999999999999999E-2</v>
      </c>
      <c r="N7965" s="508">
        <v>6.0999999999999999E-2</v>
      </c>
      <c r="O7965" s="508">
        <v>6.0999999999999999E-2</v>
      </c>
      <c r="P7965" s="508">
        <v>6.0999999999999999E-2</v>
      </c>
      <c r="Q7965" s="508">
        <v>6.0999999999999999E-2</v>
      </c>
      <c r="R7965" s="508">
        <v>6.0999999999999999E-2</v>
      </c>
      <c r="S7965" s="508">
        <v>6.0999999999999999E-2</v>
      </c>
      <c r="T7965" s="508">
        <v>6.0999999999999999E-2</v>
      </c>
      <c r="U7965" s="508">
        <v>6.0999999999999999E-2</v>
      </c>
      <c r="V7965" s="508">
        <v>6.0999999999999999E-2</v>
      </c>
      <c r="W7965" s="508">
        <v>6.0999999999999999E-2</v>
      </c>
      <c r="X7965" s="508">
        <v>6.0999999999999999E-2</v>
      </c>
      <c r="Y7965" s="508">
        <v>6.0999999999999999E-2</v>
      </c>
      <c r="Z7965" s="508">
        <v>6.0999999999999999E-2</v>
      </c>
      <c r="AA7965" s="508">
        <v>6.0999999999999999E-2</v>
      </c>
      <c r="AB7965" s="508">
        <v>6.0999999999999999E-2</v>
      </c>
      <c r="AC7965" s="508">
        <v>6.0999999999999999E-2</v>
      </c>
      <c r="AD7965" s="508">
        <v>0.06</v>
      </c>
      <c r="AE7965" s="508">
        <v>0.06</v>
      </c>
      <c r="AF7965" s="508">
        <v>0.06</v>
      </c>
      <c r="AG7965" s="508">
        <v>0.06</v>
      </c>
      <c r="AH7965" s="508">
        <v>5.5E-2</v>
      </c>
      <c r="AI7965" s="492">
        <v>5.5E-2</v>
      </c>
      <c r="AJ7965" s="485"/>
    </row>
    <row r="7966" spans="2:36">
      <c r="B7966" s="136" t="s">
        <v>474</v>
      </c>
      <c r="C7966" s="132" t="s">
        <v>1362</v>
      </c>
      <c r="D7966" s="132" t="s">
        <v>1384</v>
      </c>
      <c r="E7966" s="508">
        <v>6.2E-2</v>
      </c>
      <c r="F7966" s="508">
        <v>6.2E-2</v>
      </c>
      <c r="G7966" s="508">
        <v>6.2E-2</v>
      </c>
      <c r="H7966" s="508">
        <v>6.2E-2</v>
      </c>
      <c r="I7966" s="508">
        <v>6.3E-2</v>
      </c>
      <c r="J7966" s="508">
        <v>6.2E-2</v>
      </c>
      <c r="K7966" s="508">
        <v>6.2E-2</v>
      </c>
      <c r="L7966" s="508">
        <v>6.2E-2</v>
      </c>
      <c r="M7966" s="508">
        <v>6.2E-2</v>
      </c>
      <c r="N7966" s="508">
        <v>6.2E-2</v>
      </c>
      <c r="O7966" s="508">
        <v>6.2E-2</v>
      </c>
      <c r="P7966" s="508">
        <v>6.2E-2</v>
      </c>
      <c r="Q7966" s="508">
        <v>6.2E-2</v>
      </c>
      <c r="R7966" s="508">
        <v>6.2E-2</v>
      </c>
      <c r="S7966" s="508">
        <v>6.2E-2</v>
      </c>
      <c r="T7966" s="508">
        <v>6.2E-2</v>
      </c>
      <c r="U7966" s="508">
        <v>6.2E-2</v>
      </c>
      <c r="V7966" s="508">
        <v>6.2E-2</v>
      </c>
      <c r="W7966" s="508">
        <v>6.2E-2</v>
      </c>
      <c r="X7966" s="508">
        <v>6.2E-2</v>
      </c>
      <c r="Y7966" s="508">
        <v>6.2E-2</v>
      </c>
      <c r="Z7966" s="508">
        <v>6.2E-2</v>
      </c>
      <c r="AA7966" s="508">
        <v>6.2E-2</v>
      </c>
      <c r="AB7966" s="508">
        <v>6.2E-2</v>
      </c>
      <c r="AC7966" s="508">
        <v>6.2E-2</v>
      </c>
      <c r="AD7966" s="508">
        <v>6.0999999999999999E-2</v>
      </c>
      <c r="AE7966" s="508">
        <v>6.0999999999999999E-2</v>
      </c>
      <c r="AF7966" s="508">
        <v>6.0999999999999999E-2</v>
      </c>
      <c r="AG7966" s="508">
        <v>6.0999999999999999E-2</v>
      </c>
      <c r="AH7966" s="508">
        <v>5.5E-2</v>
      </c>
      <c r="AI7966" s="492">
        <v>5.5E-2</v>
      </c>
      <c r="AJ7966" s="485"/>
    </row>
    <row r="7967" spans="2:36">
      <c r="B7967" s="136" t="s">
        <v>475</v>
      </c>
      <c r="C7967" s="132" t="s">
        <v>1362</v>
      </c>
      <c r="D7967" s="132" t="s">
        <v>1384</v>
      </c>
      <c r="E7967" s="508">
        <v>6.2E-2</v>
      </c>
      <c r="F7967" s="508">
        <v>6.2E-2</v>
      </c>
      <c r="G7967" s="508">
        <v>6.0999999999999999E-2</v>
      </c>
      <c r="H7967" s="508">
        <v>6.0999999999999999E-2</v>
      </c>
      <c r="I7967" s="508">
        <v>6.0999999999999999E-2</v>
      </c>
      <c r="J7967" s="508">
        <v>6.0999999999999999E-2</v>
      </c>
      <c r="K7967" s="508">
        <v>6.0999999999999999E-2</v>
      </c>
      <c r="L7967" s="508">
        <v>6.0999999999999999E-2</v>
      </c>
      <c r="M7967" s="508">
        <v>6.0999999999999999E-2</v>
      </c>
      <c r="N7967" s="508">
        <v>6.0999999999999999E-2</v>
      </c>
      <c r="O7967" s="508">
        <v>6.0999999999999999E-2</v>
      </c>
      <c r="P7967" s="508">
        <v>6.0999999999999999E-2</v>
      </c>
      <c r="Q7967" s="508">
        <v>6.0999999999999999E-2</v>
      </c>
      <c r="R7967" s="508">
        <v>6.0999999999999999E-2</v>
      </c>
      <c r="S7967" s="508">
        <v>6.0999999999999999E-2</v>
      </c>
      <c r="T7967" s="508">
        <v>6.0999999999999999E-2</v>
      </c>
      <c r="U7967" s="508">
        <v>6.0999999999999999E-2</v>
      </c>
      <c r="V7967" s="508">
        <v>6.0999999999999999E-2</v>
      </c>
      <c r="W7967" s="508">
        <v>6.0999999999999999E-2</v>
      </c>
      <c r="X7967" s="508">
        <v>6.0999999999999999E-2</v>
      </c>
      <c r="Y7967" s="508">
        <v>6.0999999999999999E-2</v>
      </c>
      <c r="Z7967" s="508">
        <v>6.0999999999999999E-2</v>
      </c>
      <c r="AA7967" s="508">
        <v>6.0999999999999999E-2</v>
      </c>
      <c r="AB7967" s="508">
        <v>6.0999999999999999E-2</v>
      </c>
      <c r="AC7967" s="508">
        <v>6.0999999999999999E-2</v>
      </c>
      <c r="AD7967" s="508">
        <v>5.8999999999999997E-2</v>
      </c>
      <c r="AE7967" s="508">
        <v>5.8999999999999997E-2</v>
      </c>
      <c r="AF7967" s="508">
        <v>5.8999999999999997E-2</v>
      </c>
      <c r="AG7967" s="508">
        <v>5.8999999999999997E-2</v>
      </c>
      <c r="AH7967" s="508">
        <v>5.3999999999999999E-2</v>
      </c>
      <c r="AI7967" s="492">
        <v>5.3999999999999999E-2</v>
      </c>
      <c r="AJ7967" s="485"/>
    </row>
    <row r="7968" spans="2:36">
      <c r="B7968" s="136" t="s">
        <v>476</v>
      </c>
      <c r="C7968" s="132" t="s">
        <v>1362</v>
      </c>
      <c r="D7968" s="132" t="s">
        <v>1384</v>
      </c>
      <c r="E7968" s="508">
        <v>6.2E-2</v>
      </c>
      <c r="F7968" s="508">
        <v>6.2E-2</v>
      </c>
      <c r="G7968" s="508">
        <v>6.2E-2</v>
      </c>
      <c r="H7968" s="508">
        <v>6.2E-2</v>
      </c>
      <c r="I7968" s="508">
        <v>6.2E-2</v>
      </c>
      <c r="J7968" s="508">
        <v>6.2E-2</v>
      </c>
      <c r="K7968" s="508">
        <v>6.2E-2</v>
      </c>
      <c r="L7968" s="508">
        <v>6.2E-2</v>
      </c>
      <c r="M7968" s="508">
        <v>6.2E-2</v>
      </c>
      <c r="N7968" s="508">
        <v>6.2E-2</v>
      </c>
      <c r="O7968" s="508">
        <v>6.2E-2</v>
      </c>
      <c r="P7968" s="508">
        <v>6.2E-2</v>
      </c>
      <c r="Q7968" s="508">
        <v>6.2E-2</v>
      </c>
      <c r="R7968" s="508">
        <v>6.2E-2</v>
      </c>
      <c r="S7968" s="508">
        <v>6.2E-2</v>
      </c>
      <c r="T7968" s="508">
        <v>6.2E-2</v>
      </c>
      <c r="U7968" s="508">
        <v>6.2E-2</v>
      </c>
      <c r="V7968" s="508">
        <v>6.2E-2</v>
      </c>
      <c r="W7968" s="508">
        <v>6.2E-2</v>
      </c>
      <c r="X7968" s="508">
        <v>6.2E-2</v>
      </c>
      <c r="Y7968" s="508">
        <v>6.2E-2</v>
      </c>
      <c r="Z7968" s="508">
        <v>6.2E-2</v>
      </c>
      <c r="AA7968" s="508">
        <v>6.2E-2</v>
      </c>
      <c r="AB7968" s="508">
        <v>6.2E-2</v>
      </c>
      <c r="AC7968" s="508">
        <v>6.2E-2</v>
      </c>
      <c r="AD7968" s="508">
        <v>0.06</v>
      </c>
      <c r="AE7968" s="508">
        <v>0.06</v>
      </c>
      <c r="AF7968" s="508">
        <v>0.06</v>
      </c>
      <c r="AG7968" s="508">
        <v>0.06</v>
      </c>
      <c r="AH7968" s="508">
        <v>5.5E-2</v>
      </c>
      <c r="AI7968" s="492">
        <v>5.5E-2</v>
      </c>
      <c r="AJ7968" s="485"/>
    </row>
    <row r="7969" spans="2:36">
      <c r="B7969" s="136" t="s">
        <v>478</v>
      </c>
      <c r="C7969" s="132" t="s">
        <v>1362</v>
      </c>
      <c r="D7969" s="132" t="s">
        <v>1384</v>
      </c>
      <c r="E7969" s="508">
        <v>6.0999999999999999E-2</v>
      </c>
      <c r="F7969" s="508">
        <v>6.0999999999999999E-2</v>
      </c>
      <c r="G7969" s="508">
        <v>6.0999999999999999E-2</v>
      </c>
      <c r="H7969" s="508">
        <v>6.0999999999999999E-2</v>
      </c>
      <c r="I7969" s="508">
        <v>6.0999999999999999E-2</v>
      </c>
      <c r="J7969" s="508">
        <v>6.0999999999999999E-2</v>
      </c>
      <c r="K7969" s="508">
        <v>0.06</v>
      </c>
      <c r="L7969" s="508">
        <v>0.06</v>
      </c>
      <c r="M7969" s="508">
        <v>0.06</v>
      </c>
      <c r="N7969" s="508">
        <v>0.06</v>
      </c>
      <c r="O7969" s="508">
        <v>0.06</v>
      </c>
      <c r="P7969" s="508">
        <v>0.06</v>
      </c>
      <c r="Q7969" s="508">
        <v>0.06</v>
      </c>
      <c r="R7969" s="508">
        <v>0.06</v>
      </c>
      <c r="S7969" s="508">
        <v>0.06</v>
      </c>
      <c r="T7969" s="508">
        <v>0.06</v>
      </c>
      <c r="U7969" s="508">
        <v>0.06</v>
      </c>
      <c r="V7969" s="508">
        <v>0.06</v>
      </c>
      <c r="W7969" s="508">
        <v>0.06</v>
      </c>
      <c r="X7969" s="508">
        <v>0.06</v>
      </c>
      <c r="Y7969" s="508">
        <v>0.06</v>
      </c>
      <c r="Z7969" s="508">
        <v>0.06</v>
      </c>
      <c r="AA7969" s="508">
        <v>0.06</v>
      </c>
      <c r="AB7969" s="508">
        <v>0.06</v>
      </c>
      <c r="AC7969" s="508">
        <v>0.06</v>
      </c>
      <c r="AD7969" s="508">
        <v>5.8999999999999997E-2</v>
      </c>
      <c r="AE7969" s="508">
        <v>5.8999999999999997E-2</v>
      </c>
      <c r="AF7969" s="508">
        <v>5.8999999999999997E-2</v>
      </c>
      <c r="AG7969" s="508">
        <v>5.8999999999999997E-2</v>
      </c>
      <c r="AH7969" s="508">
        <v>5.3999999999999999E-2</v>
      </c>
      <c r="AI7969" s="492">
        <v>5.3999999999999999E-2</v>
      </c>
      <c r="AJ7969" s="485"/>
    </row>
    <row r="7970" spans="2:36">
      <c r="B7970" s="136" t="s">
        <v>479</v>
      </c>
      <c r="C7970" s="132" t="s">
        <v>1362</v>
      </c>
      <c r="D7970" s="132" t="s">
        <v>1384</v>
      </c>
      <c r="E7970" s="508">
        <v>6.4000000000000001E-2</v>
      </c>
      <c r="F7970" s="508">
        <v>6.4000000000000001E-2</v>
      </c>
      <c r="G7970" s="508">
        <v>6.4000000000000001E-2</v>
      </c>
      <c r="H7970" s="508">
        <v>6.4000000000000001E-2</v>
      </c>
      <c r="I7970" s="508">
        <v>6.4000000000000001E-2</v>
      </c>
      <c r="J7970" s="508">
        <v>6.4000000000000001E-2</v>
      </c>
      <c r="K7970" s="508">
        <v>6.3E-2</v>
      </c>
      <c r="L7970" s="508">
        <v>6.3E-2</v>
      </c>
      <c r="M7970" s="508">
        <v>6.3E-2</v>
      </c>
      <c r="N7970" s="508">
        <v>6.3E-2</v>
      </c>
      <c r="O7970" s="508">
        <v>6.3E-2</v>
      </c>
      <c r="P7970" s="508">
        <v>6.3E-2</v>
      </c>
      <c r="Q7970" s="508">
        <v>6.3E-2</v>
      </c>
      <c r="R7970" s="508">
        <v>6.3E-2</v>
      </c>
      <c r="S7970" s="508">
        <v>6.3E-2</v>
      </c>
      <c r="T7970" s="508">
        <v>6.3E-2</v>
      </c>
      <c r="U7970" s="508">
        <v>6.3E-2</v>
      </c>
      <c r="V7970" s="508">
        <v>6.3E-2</v>
      </c>
      <c r="W7970" s="508">
        <v>6.3E-2</v>
      </c>
      <c r="X7970" s="508">
        <v>6.3E-2</v>
      </c>
      <c r="Y7970" s="508">
        <v>6.3E-2</v>
      </c>
      <c r="Z7970" s="508">
        <v>6.3E-2</v>
      </c>
      <c r="AA7970" s="508">
        <v>6.3E-2</v>
      </c>
      <c r="AB7970" s="508">
        <v>6.3E-2</v>
      </c>
      <c r="AC7970" s="508">
        <v>6.3E-2</v>
      </c>
      <c r="AD7970" s="508">
        <v>6.2E-2</v>
      </c>
      <c r="AE7970" s="508">
        <v>6.2E-2</v>
      </c>
      <c r="AF7970" s="508">
        <v>6.2E-2</v>
      </c>
      <c r="AG7970" s="508">
        <v>6.2E-2</v>
      </c>
      <c r="AH7970" s="508">
        <v>5.6000000000000001E-2</v>
      </c>
      <c r="AI7970" s="492">
        <v>5.6000000000000001E-2</v>
      </c>
      <c r="AJ7970" s="485"/>
    </row>
    <row r="7971" spans="2:36">
      <c r="B7971" s="136" t="s">
        <v>480</v>
      </c>
      <c r="C7971" s="132" t="s">
        <v>1362</v>
      </c>
      <c r="D7971" s="132" t="s">
        <v>1384</v>
      </c>
      <c r="E7971" s="508">
        <v>6.4000000000000001E-2</v>
      </c>
      <c r="F7971" s="508">
        <v>6.4000000000000001E-2</v>
      </c>
      <c r="G7971" s="508">
        <v>6.4000000000000001E-2</v>
      </c>
      <c r="H7971" s="508">
        <v>6.4000000000000001E-2</v>
      </c>
      <c r="I7971" s="508">
        <v>6.4000000000000001E-2</v>
      </c>
      <c r="J7971" s="508">
        <v>6.4000000000000001E-2</v>
      </c>
      <c r="K7971" s="508">
        <v>6.3E-2</v>
      </c>
      <c r="L7971" s="508">
        <v>6.3E-2</v>
      </c>
      <c r="M7971" s="508">
        <v>6.3E-2</v>
      </c>
      <c r="N7971" s="508">
        <v>6.3E-2</v>
      </c>
      <c r="O7971" s="508">
        <v>6.3E-2</v>
      </c>
      <c r="P7971" s="508">
        <v>6.3E-2</v>
      </c>
      <c r="Q7971" s="508">
        <v>6.3E-2</v>
      </c>
      <c r="R7971" s="508">
        <v>6.3E-2</v>
      </c>
      <c r="S7971" s="508">
        <v>6.3E-2</v>
      </c>
      <c r="T7971" s="508">
        <v>6.3E-2</v>
      </c>
      <c r="U7971" s="508">
        <v>6.3E-2</v>
      </c>
      <c r="V7971" s="508">
        <v>6.3E-2</v>
      </c>
      <c r="W7971" s="508">
        <v>6.3E-2</v>
      </c>
      <c r="X7971" s="508">
        <v>6.3E-2</v>
      </c>
      <c r="Y7971" s="508">
        <v>6.3E-2</v>
      </c>
      <c r="Z7971" s="508">
        <v>6.3E-2</v>
      </c>
      <c r="AA7971" s="508">
        <v>6.3E-2</v>
      </c>
      <c r="AB7971" s="508">
        <v>6.3E-2</v>
      </c>
      <c r="AC7971" s="508">
        <v>6.3E-2</v>
      </c>
      <c r="AD7971" s="508">
        <v>6.0999999999999999E-2</v>
      </c>
      <c r="AE7971" s="508">
        <v>6.0999999999999999E-2</v>
      </c>
      <c r="AF7971" s="508">
        <v>6.0999999999999999E-2</v>
      </c>
      <c r="AG7971" s="508">
        <v>6.0999999999999999E-2</v>
      </c>
      <c r="AH7971" s="508">
        <v>5.5E-2</v>
      </c>
      <c r="AI7971" s="492">
        <v>5.5E-2</v>
      </c>
      <c r="AJ7971" s="485"/>
    </row>
    <row r="7972" spans="2:36">
      <c r="B7972" s="136" t="s">
        <v>481</v>
      </c>
      <c r="C7972" s="132" t="s">
        <v>1362</v>
      </c>
      <c r="D7972" s="132" t="s">
        <v>1384</v>
      </c>
      <c r="E7972" s="508">
        <v>6.3E-2</v>
      </c>
      <c r="F7972" s="508">
        <v>6.3E-2</v>
      </c>
      <c r="G7972" s="508">
        <v>6.3E-2</v>
      </c>
      <c r="H7972" s="508">
        <v>6.3E-2</v>
      </c>
      <c r="I7972" s="508">
        <v>6.3E-2</v>
      </c>
      <c r="J7972" s="508">
        <v>6.3E-2</v>
      </c>
      <c r="K7972" s="508">
        <v>6.2E-2</v>
      </c>
      <c r="L7972" s="508">
        <v>6.2E-2</v>
      </c>
      <c r="M7972" s="508">
        <v>6.2E-2</v>
      </c>
      <c r="N7972" s="508">
        <v>6.2E-2</v>
      </c>
      <c r="O7972" s="508">
        <v>6.2E-2</v>
      </c>
      <c r="P7972" s="508">
        <v>6.2E-2</v>
      </c>
      <c r="Q7972" s="508">
        <v>6.2E-2</v>
      </c>
      <c r="R7972" s="508">
        <v>6.2E-2</v>
      </c>
      <c r="S7972" s="508">
        <v>6.2E-2</v>
      </c>
      <c r="T7972" s="508">
        <v>6.2E-2</v>
      </c>
      <c r="U7972" s="508">
        <v>6.2E-2</v>
      </c>
      <c r="V7972" s="508">
        <v>6.2E-2</v>
      </c>
      <c r="W7972" s="508">
        <v>6.2E-2</v>
      </c>
      <c r="X7972" s="508">
        <v>6.2E-2</v>
      </c>
      <c r="Y7972" s="508">
        <v>6.2E-2</v>
      </c>
      <c r="Z7972" s="508">
        <v>6.2E-2</v>
      </c>
      <c r="AA7972" s="508">
        <v>6.2E-2</v>
      </c>
      <c r="AB7972" s="508">
        <v>6.2E-2</v>
      </c>
      <c r="AC7972" s="508">
        <v>6.2E-2</v>
      </c>
      <c r="AD7972" s="508">
        <v>6.0999999999999999E-2</v>
      </c>
      <c r="AE7972" s="508">
        <v>6.0999999999999999E-2</v>
      </c>
      <c r="AF7972" s="508">
        <v>6.0999999999999999E-2</v>
      </c>
      <c r="AG7972" s="508">
        <v>6.0999999999999999E-2</v>
      </c>
      <c r="AH7972" s="508">
        <v>5.6000000000000001E-2</v>
      </c>
      <c r="AI7972" s="492">
        <v>5.6000000000000001E-2</v>
      </c>
      <c r="AJ7972" s="485"/>
    </row>
    <row r="7973" spans="2:36">
      <c r="B7973" s="136" t="s">
        <v>482</v>
      </c>
      <c r="C7973" s="132" t="s">
        <v>1362</v>
      </c>
      <c r="D7973" s="132" t="s">
        <v>1384</v>
      </c>
      <c r="E7973" s="508">
        <v>6.2E-2</v>
      </c>
      <c r="F7973" s="508">
        <v>6.2E-2</v>
      </c>
      <c r="G7973" s="508">
        <v>6.2E-2</v>
      </c>
      <c r="H7973" s="508">
        <v>6.2E-2</v>
      </c>
      <c r="I7973" s="508">
        <v>6.2E-2</v>
      </c>
      <c r="J7973" s="508">
        <v>6.2E-2</v>
      </c>
      <c r="K7973" s="508">
        <v>6.2E-2</v>
      </c>
      <c r="L7973" s="508">
        <v>6.2E-2</v>
      </c>
      <c r="M7973" s="508">
        <v>6.2E-2</v>
      </c>
      <c r="N7973" s="508">
        <v>6.2E-2</v>
      </c>
      <c r="O7973" s="508">
        <v>6.2E-2</v>
      </c>
      <c r="P7973" s="508">
        <v>6.2E-2</v>
      </c>
      <c r="Q7973" s="508">
        <v>6.2E-2</v>
      </c>
      <c r="R7973" s="508">
        <v>6.2E-2</v>
      </c>
      <c r="S7973" s="508">
        <v>6.2E-2</v>
      </c>
      <c r="T7973" s="508">
        <v>6.2E-2</v>
      </c>
      <c r="U7973" s="508">
        <v>6.2E-2</v>
      </c>
      <c r="V7973" s="508">
        <v>6.2E-2</v>
      </c>
      <c r="W7973" s="508">
        <v>6.2E-2</v>
      </c>
      <c r="X7973" s="508">
        <v>6.2E-2</v>
      </c>
      <c r="Y7973" s="508">
        <v>6.2E-2</v>
      </c>
      <c r="Z7973" s="508">
        <v>6.2E-2</v>
      </c>
      <c r="AA7973" s="508">
        <v>6.2E-2</v>
      </c>
      <c r="AB7973" s="508">
        <v>6.2E-2</v>
      </c>
      <c r="AC7973" s="508">
        <v>6.2E-2</v>
      </c>
      <c r="AD7973" s="508">
        <v>6.0999999999999999E-2</v>
      </c>
      <c r="AE7973" s="508">
        <v>6.0999999999999999E-2</v>
      </c>
      <c r="AF7973" s="508">
        <v>6.0999999999999999E-2</v>
      </c>
      <c r="AG7973" s="508">
        <v>6.0999999999999999E-2</v>
      </c>
      <c r="AH7973" s="508">
        <v>5.6000000000000001E-2</v>
      </c>
      <c r="AI7973" s="492">
        <v>5.6000000000000001E-2</v>
      </c>
      <c r="AJ7973" s="485"/>
    </row>
    <row r="7974" spans="2:36">
      <c r="B7974" s="136" t="s">
        <v>483</v>
      </c>
      <c r="C7974" s="132" t="s">
        <v>1362</v>
      </c>
      <c r="D7974" s="132" t="s">
        <v>1384</v>
      </c>
      <c r="E7974" s="508">
        <v>6.2E-2</v>
      </c>
      <c r="F7974" s="508">
        <v>6.2E-2</v>
      </c>
      <c r="G7974" s="508">
        <v>6.2E-2</v>
      </c>
      <c r="H7974" s="508">
        <v>6.2E-2</v>
      </c>
      <c r="I7974" s="508">
        <v>6.2E-2</v>
      </c>
      <c r="J7974" s="508">
        <v>6.2E-2</v>
      </c>
      <c r="K7974" s="508">
        <v>6.0999999999999999E-2</v>
      </c>
      <c r="L7974" s="508">
        <v>6.0999999999999999E-2</v>
      </c>
      <c r="M7974" s="508">
        <v>6.0999999999999999E-2</v>
      </c>
      <c r="N7974" s="508">
        <v>6.0999999999999999E-2</v>
      </c>
      <c r="O7974" s="508">
        <v>6.0999999999999999E-2</v>
      </c>
      <c r="P7974" s="508">
        <v>6.0999999999999999E-2</v>
      </c>
      <c r="Q7974" s="508">
        <v>6.0999999999999999E-2</v>
      </c>
      <c r="R7974" s="508">
        <v>6.0999999999999999E-2</v>
      </c>
      <c r="S7974" s="508">
        <v>6.0999999999999999E-2</v>
      </c>
      <c r="T7974" s="508">
        <v>6.0999999999999999E-2</v>
      </c>
      <c r="U7974" s="508">
        <v>6.0999999999999999E-2</v>
      </c>
      <c r="V7974" s="508">
        <v>6.0999999999999999E-2</v>
      </c>
      <c r="W7974" s="508">
        <v>6.0999999999999999E-2</v>
      </c>
      <c r="X7974" s="508">
        <v>6.0999999999999999E-2</v>
      </c>
      <c r="Y7974" s="508">
        <v>6.0999999999999999E-2</v>
      </c>
      <c r="Z7974" s="508">
        <v>6.0999999999999999E-2</v>
      </c>
      <c r="AA7974" s="508">
        <v>6.0999999999999999E-2</v>
      </c>
      <c r="AB7974" s="508">
        <v>6.0999999999999999E-2</v>
      </c>
      <c r="AC7974" s="508">
        <v>6.0999999999999999E-2</v>
      </c>
      <c r="AD7974" s="508">
        <v>0.06</v>
      </c>
      <c r="AE7974" s="508">
        <v>0.06</v>
      </c>
      <c r="AF7974" s="508">
        <v>0.06</v>
      </c>
      <c r="AG7974" s="508">
        <v>0.06</v>
      </c>
      <c r="AH7974" s="508">
        <v>5.5E-2</v>
      </c>
      <c r="AI7974" s="492">
        <v>5.5E-2</v>
      </c>
      <c r="AJ7974" s="485"/>
    </row>
    <row r="7975" spans="2:36">
      <c r="B7975" s="136" t="s">
        <v>484</v>
      </c>
      <c r="C7975" s="132" t="s">
        <v>1362</v>
      </c>
      <c r="D7975" s="132" t="s">
        <v>1384</v>
      </c>
      <c r="E7975" s="508">
        <v>6.3E-2</v>
      </c>
      <c r="F7975" s="508">
        <v>6.3E-2</v>
      </c>
      <c r="G7975" s="508">
        <v>6.3E-2</v>
      </c>
      <c r="H7975" s="508">
        <v>6.3E-2</v>
      </c>
      <c r="I7975" s="508">
        <v>6.3E-2</v>
      </c>
      <c r="J7975" s="508">
        <v>6.2E-2</v>
      </c>
      <c r="K7975" s="508">
        <v>6.2E-2</v>
      </c>
      <c r="L7975" s="508">
        <v>6.2E-2</v>
      </c>
      <c r="M7975" s="508">
        <v>6.2E-2</v>
      </c>
      <c r="N7975" s="508">
        <v>6.2E-2</v>
      </c>
      <c r="O7975" s="508">
        <v>6.2E-2</v>
      </c>
      <c r="P7975" s="508">
        <v>6.2E-2</v>
      </c>
      <c r="Q7975" s="508">
        <v>6.2E-2</v>
      </c>
      <c r="R7975" s="508">
        <v>6.2E-2</v>
      </c>
      <c r="S7975" s="508">
        <v>6.0999999999999999E-2</v>
      </c>
      <c r="T7975" s="508">
        <v>6.0999999999999999E-2</v>
      </c>
      <c r="U7975" s="508">
        <v>6.2E-2</v>
      </c>
      <c r="V7975" s="508">
        <v>6.0999999999999999E-2</v>
      </c>
      <c r="W7975" s="508">
        <v>6.0999999999999999E-2</v>
      </c>
      <c r="X7975" s="508">
        <v>6.0999999999999999E-2</v>
      </c>
      <c r="Y7975" s="508">
        <v>6.0999999999999999E-2</v>
      </c>
      <c r="Z7975" s="508">
        <v>6.0999999999999999E-2</v>
      </c>
      <c r="AA7975" s="508">
        <v>6.0999999999999999E-2</v>
      </c>
      <c r="AB7975" s="508">
        <v>6.0999999999999999E-2</v>
      </c>
      <c r="AC7975" s="508">
        <v>6.0999999999999999E-2</v>
      </c>
      <c r="AD7975" s="508">
        <v>0.06</v>
      </c>
      <c r="AE7975" s="508">
        <v>0.06</v>
      </c>
      <c r="AF7975" s="508">
        <v>0.06</v>
      </c>
      <c r="AG7975" s="508">
        <v>0.06</v>
      </c>
      <c r="AH7975" s="508">
        <v>5.3999999999999999E-2</v>
      </c>
      <c r="AI7975" s="492">
        <v>5.3999999999999999E-2</v>
      </c>
      <c r="AJ7975" s="485"/>
    </row>
    <row r="7976" spans="2:36">
      <c r="B7976" s="136" t="s">
        <v>486</v>
      </c>
      <c r="C7976" s="132" t="s">
        <v>1362</v>
      </c>
      <c r="D7976" s="132" t="s">
        <v>1384</v>
      </c>
      <c r="E7976" s="508">
        <v>6.2E-2</v>
      </c>
      <c r="F7976" s="508">
        <v>6.2E-2</v>
      </c>
      <c r="G7976" s="508">
        <v>6.2E-2</v>
      </c>
      <c r="H7976" s="508">
        <v>6.2E-2</v>
      </c>
      <c r="I7976" s="508">
        <v>6.2E-2</v>
      </c>
      <c r="J7976" s="508">
        <v>6.2E-2</v>
      </c>
      <c r="K7976" s="508">
        <v>6.2E-2</v>
      </c>
      <c r="L7976" s="508">
        <v>6.2E-2</v>
      </c>
      <c r="M7976" s="508">
        <v>6.2E-2</v>
      </c>
      <c r="N7976" s="508">
        <v>6.2E-2</v>
      </c>
      <c r="O7976" s="508">
        <v>6.2E-2</v>
      </c>
      <c r="P7976" s="508">
        <v>6.2E-2</v>
      </c>
      <c r="Q7976" s="508">
        <v>6.2E-2</v>
      </c>
      <c r="R7976" s="508">
        <v>6.2E-2</v>
      </c>
      <c r="S7976" s="508">
        <v>6.2E-2</v>
      </c>
      <c r="T7976" s="508">
        <v>6.2E-2</v>
      </c>
      <c r="U7976" s="508">
        <v>6.2E-2</v>
      </c>
      <c r="V7976" s="508">
        <v>6.2E-2</v>
      </c>
      <c r="W7976" s="508">
        <v>6.2E-2</v>
      </c>
      <c r="X7976" s="508">
        <v>6.2E-2</v>
      </c>
      <c r="Y7976" s="508">
        <v>6.2E-2</v>
      </c>
      <c r="Z7976" s="508">
        <v>6.2E-2</v>
      </c>
      <c r="AA7976" s="508">
        <v>6.2E-2</v>
      </c>
      <c r="AB7976" s="508">
        <v>6.2E-2</v>
      </c>
      <c r="AC7976" s="508">
        <v>6.2E-2</v>
      </c>
      <c r="AD7976" s="508">
        <v>0.06</v>
      </c>
      <c r="AE7976" s="508">
        <v>0.06</v>
      </c>
      <c r="AF7976" s="508">
        <v>0.06</v>
      </c>
      <c r="AG7976" s="508">
        <v>0.06</v>
      </c>
      <c r="AH7976" s="508">
        <v>5.5E-2</v>
      </c>
      <c r="AI7976" s="492">
        <v>5.5E-2</v>
      </c>
      <c r="AJ7976" s="485"/>
    </row>
    <row r="7977" spans="2:36">
      <c r="B7977" s="136" t="s">
        <v>487</v>
      </c>
      <c r="C7977" s="132" t="s">
        <v>1362</v>
      </c>
      <c r="D7977" s="132" t="s">
        <v>1384</v>
      </c>
      <c r="E7977" s="508">
        <v>6.2E-2</v>
      </c>
      <c r="F7977" s="508">
        <v>6.2E-2</v>
      </c>
      <c r="G7977" s="508">
        <v>6.2E-2</v>
      </c>
      <c r="H7977" s="508">
        <v>6.2E-2</v>
      </c>
      <c r="I7977" s="508">
        <v>6.2E-2</v>
      </c>
      <c r="J7977" s="508">
        <v>6.2E-2</v>
      </c>
      <c r="K7977" s="508">
        <v>6.0999999999999999E-2</v>
      </c>
      <c r="L7977" s="508">
        <v>6.0999999999999999E-2</v>
      </c>
      <c r="M7977" s="508">
        <v>6.0999999999999999E-2</v>
      </c>
      <c r="N7977" s="508">
        <v>6.0999999999999999E-2</v>
      </c>
      <c r="O7977" s="508">
        <v>6.0999999999999999E-2</v>
      </c>
      <c r="P7977" s="508">
        <v>6.0999999999999999E-2</v>
      </c>
      <c r="Q7977" s="508">
        <v>6.0999999999999999E-2</v>
      </c>
      <c r="R7977" s="508">
        <v>6.0999999999999999E-2</v>
      </c>
      <c r="S7977" s="508">
        <v>6.0999999999999999E-2</v>
      </c>
      <c r="T7977" s="508">
        <v>6.0999999999999999E-2</v>
      </c>
      <c r="U7977" s="508">
        <v>6.0999999999999999E-2</v>
      </c>
      <c r="V7977" s="508">
        <v>6.0999999999999999E-2</v>
      </c>
      <c r="W7977" s="508">
        <v>6.0999999999999999E-2</v>
      </c>
      <c r="X7977" s="508">
        <v>6.0999999999999999E-2</v>
      </c>
      <c r="Y7977" s="508">
        <v>6.0999999999999999E-2</v>
      </c>
      <c r="Z7977" s="508">
        <v>6.0999999999999999E-2</v>
      </c>
      <c r="AA7977" s="508">
        <v>6.0999999999999999E-2</v>
      </c>
      <c r="AB7977" s="508">
        <v>6.0999999999999999E-2</v>
      </c>
      <c r="AC7977" s="508">
        <v>6.0999999999999999E-2</v>
      </c>
      <c r="AD7977" s="508">
        <v>0.06</v>
      </c>
      <c r="AE7977" s="508">
        <v>0.06</v>
      </c>
      <c r="AF7977" s="508">
        <v>0.06</v>
      </c>
      <c r="AG7977" s="508">
        <v>0.06</v>
      </c>
      <c r="AH7977" s="508">
        <v>5.3999999999999999E-2</v>
      </c>
      <c r="AI7977" s="492">
        <v>5.3999999999999999E-2</v>
      </c>
      <c r="AJ7977" s="485"/>
    </row>
    <row r="7978" spans="2:36">
      <c r="B7978" s="136" t="s">
        <v>488</v>
      </c>
      <c r="C7978" s="132" t="s">
        <v>1362</v>
      </c>
      <c r="D7978" s="132" t="s">
        <v>1384</v>
      </c>
      <c r="E7978" s="508">
        <v>6.3E-2</v>
      </c>
      <c r="F7978" s="508">
        <v>6.3E-2</v>
      </c>
      <c r="G7978" s="508">
        <v>6.3E-2</v>
      </c>
      <c r="H7978" s="508">
        <v>6.3E-2</v>
      </c>
      <c r="I7978" s="508">
        <v>6.3E-2</v>
      </c>
      <c r="J7978" s="508">
        <v>6.2E-2</v>
      </c>
      <c r="K7978" s="508">
        <v>6.2E-2</v>
      </c>
      <c r="L7978" s="508">
        <v>6.2E-2</v>
      </c>
      <c r="M7978" s="508">
        <v>6.2E-2</v>
      </c>
      <c r="N7978" s="508">
        <v>6.2E-2</v>
      </c>
      <c r="O7978" s="508">
        <v>6.2E-2</v>
      </c>
      <c r="P7978" s="508">
        <v>6.2E-2</v>
      </c>
      <c r="Q7978" s="508">
        <v>6.2E-2</v>
      </c>
      <c r="R7978" s="508">
        <v>6.2E-2</v>
      </c>
      <c r="S7978" s="508">
        <v>6.2E-2</v>
      </c>
      <c r="T7978" s="508">
        <v>6.2E-2</v>
      </c>
      <c r="U7978" s="508">
        <v>6.2E-2</v>
      </c>
      <c r="V7978" s="508">
        <v>6.2E-2</v>
      </c>
      <c r="W7978" s="508">
        <v>6.2E-2</v>
      </c>
      <c r="X7978" s="508">
        <v>6.2E-2</v>
      </c>
      <c r="Y7978" s="508">
        <v>6.2E-2</v>
      </c>
      <c r="Z7978" s="508">
        <v>6.2E-2</v>
      </c>
      <c r="AA7978" s="508">
        <v>6.2E-2</v>
      </c>
      <c r="AB7978" s="508">
        <v>6.2E-2</v>
      </c>
      <c r="AC7978" s="508">
        <v>6.2E-2</v>
      </c>
      <c r="AD7978" s="508">
        <v>0.06</v>
      </c>
      <c r="AE7978" s="508">
        <v>0.06</v>
      </c>
      <c r="AF7978" s="508">
        <v>0.06</v>
      </c>
      <c r="AG7978" s="508">
        <v>0.06</v>
      </c>
      <c r="AH7978" s="508">
        <v>5.5E-2</v>
      </c>
      <c r="AI7978" s="492">
        <v>5.5E-2</v>
      </c>
      <c r="AJ7978" s="485"/>
    </row>
    <row r="7979" spans="2:36">
      <c r="B7979" s="136" t="s">
        <v>489</v>
      </c>
      <c r="C7979" s="132" t="s">
        <v>1362</v>
      </c>
      <c r="D7979" s="132" t="s">
        <v>1384</v>
      </c>
      <c r="E7979" s="508">
        <v>6.2E-2</v>
      </c>
      <c r="F7979" s="508">
        <v>6.2E-2</v>
      </c>
      <c r="G7979" s="508">
        <v>6.2E-2</v>
      </c>
      <c r="H7979" s="508">
        <v>6.2E-2</v>
      </c>
      <c r="I7979" s="508">
        <v>6.2E-2</v>
      </c>
      <c r="J7979" s="508">
        <v>6.0999999999999999E-2</v>
      </c>
      <c r="K7979" s="508">
        <v>6.0999999999999999E-2</v>
      </c>
      <c r="L7979" s="508">
        <v>6.0999999999999999E-2</v>
      </c>
      <c r="M7979" s="508">
        <v>6.0999999999999999E-2</v>
      </c>
      <c r="N7979" s="508">
        <v>6.0999999999999999E-2</v>
      </c>
      <c r="O7979" s="508">
        <v>6.0999999999999999E-2</v>
      </c>
      <c r="P7979" s="508">
        <v>6.0999999999999999E-2</v>
      </c>
      <c r="Q7979" s="508">
        <v>6.0999999999999999E-2</v>
      </c>
      <c r="R7979" s="508">
        <v>6.0999999999999999E-2</v>
      </c>
      <c r="S7979" s="508">
        <v>6.0999999999999999E-2</v>
      </c>
      <c r="T7979" s="508">
        <v>6.0999999999999999E-2</v>
      </c>
      <c r="U7979" s="508">
        <v>6.0999999999999999E-2</v>
      </c>
      <c r="V7979" s="508">
        <v>6.0999999999999999E-2</v>
      </c>
      <c r="W7979" s="508">
        <v>6.0999999999999999E-2</v>
      </c>
      <c r="X7979" s="508">
        <v>6.0999999999999999E-2</v>
      </c>
      <c r="Y7979" s="508">
        <v>6.0999999999999999E-2</v>
      </c>
      <c r="Z7979" s="508">
        <v>6.0999999999999999E-2</v>
      </c>
      <c r="AA7979" s="508">
        <v>6.0999999999999999E-2</v>
      </c>
      <c r="AB7979" s="508">
        <v>6.0999999999999999E-2</v>
      </c>
      <c r="AC7979" s="508">
        <v>6.0999999999999999E-2</v>
      </c>
      <c r="AD7979" s="508">
        <v>5.8999999999999997E-2</v>
      </c>
      <c r="AE7979" s="508">
        <v>5.8999999999999997E-2</v>
      </c>
      <c r="AF7979" s="508">
        <v>5.8999999999999997E-2</v>
      </c>
      <c r="AG7979" s="508">
        <v>5.8999999999999997E-2</v>
      </c>
      <c r="AH7979" s="508">
        <v>5.3999999999999999E-2</v>
      </c>
      <c r="AI7979" s="492">
        <v>5.3999999999999999E-2</v>
      </c>
      <c r="AJ7979" s="485"/>
    </row>
    <row r="7980" spans="2:36">
      <c r="B7980" s="136" t="s">
        <v>490</v>
      </c>
      <c r="C7980" s="132" t="s">
        <v>1362</v>
      </c>
      <c r="D7980" s="132" t="s">
        <v>1384</v>
      </c>
      <c r="E7980" s="508">
        <v>6.5000000000000002E-2</v>
      </c>
      <c r="F7980" s="508">
        <v>6.5000000000000002E-2</v>
      </c>
      <c r="G7980" s="508">
        <v>6.5000000000000002E-2</v>
      </c>
      <c r="H7980" s="508">
        <v>6.5000000000000002E-2</v>
      </c>
      <c r="I7980" s="508">
        <v>6.5000000000000002E-2</v>
      </c>
      <c r="J7980" s="508">
        <v>6.5000000000000002E-2</v>
      </c>
      <c r="K7980" s="508">
        <v>6.4000000000000001E-2</v>
      </c>
      <c r="L7980" s="508">
        <v>6.4000000000000001E-2</v>
      </c>
      <c r="M7980" s="508">
        <v>6.4000000000000001E-2</v>
      </c>
      <c r="N7980" s="508">
        <v>6.4000000000000001E-2</v>
      </c>
      <c r="O7980" s="508">
        <v>6.4000000000000001E-2</v>
      </c>
      <c r="P7980" s="508">
        <v>6.4000000000000001E-2</v>
      </c>
      <c r="Q7980" s="508">
        <v>6.4000000000000001E-2</v>
      </c>
      <c r="R7980" s="508">
        <v>6.4000000000000001E-2</v>
      </c>
      <c r="S7980" s="508">
        <v>6.3E-2</v>
      </c>
      <c r="T7980" s="508">
        <v>6.3E-2</v>
      </c>
      <c r="U7980" s="508">
        <v>6.4000000000000001E-2</v>
      </c>
      <c r="V7980" s="508">
        <v>6.3E-2</v>
      </c>
      <c r="W7980" s="508">
        <v>6.3E-2</v>
      </c>
      <c r="X7980" s="508">
        <v>6.3E-2</v>
      </c>
      <c r="Y7980" s="508">
        <v>6.3E-2</v>
      </c>
      <c r="Z7980" s="508">
        <v>6.3E-2</v>
      </c>
      <c r="AA7980" s="508">
        <v>6.3E-2</v>
      </c>
      <c r="AB7980" s="508">
        <v>6.3E-2</v>
      </c>
      <c r="AC7980" s="508">
        <v>6.3E-2</v>
      </c>
      <c r="AD7980" s="508">
        <v>6.0999999999999999E-2</v>
      </c>
      <c r="AE7980" s="508">
        <v>6.0999999999999999E-2</v>
      </c>
      <c r="AF7980" s="508">
        <v>6.0999999999999999E-2</v>
      </c>
      <c r="AG7980" s="508">
        <v>6.0999999999999999E-2</v>
      </c>
      <c r="AH7980" s="508">
        <v>5.6000000000000001E-2</v>
      </c>
      <c r="AI7980" s="492">
        <v>5.6000000000000001E-2</v>
      </c>
      <c r="AJ7980" s="485"/>
    </row>
    <row r="7981" spans="2:36">
      <c r="B7981" s="136" t="s">
        <v>435</v>
      </c>
      <c r="C7981" s="132" t="s">
        <v>1363</v>
      </c>
      <c r="D7981" s="132" t="s">
        <v>1384</v>
      </c>
      <c r="E7981" s="508">
        <v>5.7000000000000002E-2</v>
      </c>
      <c r="F7981" s="508">
        <v>5.6000000000000001E-2</v>
      </c>
      <c r="G7981" s="508">
        <v>5.6000000000000001E-2</v>
      </c>
      <c r="H7981" s="508">
        <v>5.6000000000000001E-2</v>
      </c>
      <c r="I7981" s="508">
        <v>5.6000000000000001E-2</v>
      </c>
      <c r="J7981" s="508">
        <v>5.6000000000000001E-2</v>
      </c>
      <c r="K7981" s="508">
        <v>5.6000000000000001E-2</v>
      </c>
      <c r="L7981" s="508">
        <v>5.6000000000000001E-2</v>
      </c>
      <c r="M7981" s="508">
        <v>5.6000000000000001E-2</v>
      </c>
      <c r="N7981" s="508">
        <v>5.6000000000000001E-2</v>
      </c>
      <c r="O7981" s="508">
        <v>5.6000000000000001E-2</v>
      </c>
      <c r="P7981" s="508">
        <v>5.6000000000000001E-2</v>
      </c>
      <c r="Q7981" s="508">
        <v>5.6000000000000001E-2</v>
      </c>
      <c r="R7981" s="508">
        <v>5.6000000000000001E-2</v>
      </c>
      <c r="S7981" s="508">
        <v>5.6000000000000001E-2</v>
      </c>
      <c r="T7981" s="508">
        <v>5.6000000000000001E-2</v>
      </c>
      <c r="U7981" s="508">
        <v>5.6000000000000001E-2</v>
      </c>
      <c r="V7981" s="508">
        <v>5.6000000000000001E-2</v>
      </c>
      <c r="W7981" s="508">
        <v>5.3999999999999999E-2</v>
      </c>
      <c r="X7981" s="508">
        <v>5.3999999999999999E-2</v>
      </c>
      <c r="Y7981" s="508">
        <v>5.3999999999999999E-2</v>
      </c>
      <c r="Z7981" s="508">
        <v>5.3999999999999999E-2</v>
      </c>
      <c r="AA7981" s="508">
        <v>5.3999999999999999E-2</v>
      </c>
      <c r="AB7981" s="508">
        <v>5.3999999999999999E-2</v>
      </c>
      <c r="AC7981" s="508">
        <v>5.3999999999999999E-2</v>
      </c>
      <c r="AD7981" s="508">
        <v>5.3999999999999999E-2</v>
      </c>
      <c r="AE7981" s="508">
        <v>5.3999999999999999E-2</v>
      </c>
      <c r="AF7981" s="508">
        <v>5.3999999999999999E-2</v>
      </c>
      <c r="AG7981" s="508">
        <v>5.3999999999999999E-2</v>
      </c>
      <c r="AH7981" s="508">
        <v>0.05</v>
      </c>
      <c r="AI7981" s="492">
        <v>0.05</v>
      </c>
      <c r="AJ7981" s="485"/>
    </row>
    <row r="7982" spans="2:36">
      <c r="B7982" s="136" t="s">
        <v>436</v>
      </c>
      <c r="C7982" s="132" t="s">
        <v>1363</v>
      </c>
      <c r="D7982" s="132" t="s">
        <v>1384</v>
      </c>
      <c r="E7982" s="508">
        <v>5.6000000000000001E-2</v>
      </c>
      <c r="F7982" s="508">
        <v>5.5E-2</v>
      </c>
      <c r="G7982" s="508">
        <v>5.5E-2</v>
      </c>
      <c r="H7982" s="508">
        <v>5.5E-2</v>
      </c>
      <c r="I7982" s="508">
        <v>5.5E-2</v>
      </c>
      <c r="J7982" s="508">
        <v>5.3999999999999999E-2</v>
      </c>
      <c r="K7982" s="508">
        <v>5.3999999999999999E-2</v>
      </c>
      <c r="L7982" s="508">
        <v>5.3999999999999999E-2</v>
      </c>
      <c r="M7982" s="508">
        <v>5.3999999999999999E-2</v>
      </c>
      <c r="N7982" s="508">
        <v>5.3999999999999999E-2</v>
      </c>
      <c r="O7982" s="508">
        <v>5.3999999999999999E-2</v>
      </c>
      <c r="P7982" s="508">
        <v>5.3999999999999999E-2</v>
      </c>
      <c r="Q7982" s="508">
        <v>5.3999999999999999E-2</v>
      </c>
      <c r="R7982" s="508">
        <v>5.3999999999999999E-2</v>
      </c>
      <c r="S7982" s="508">
        <v>5.3999999999999999E-2</v>
      </c>
      <c r="T7982" s="508">
        <v>5.3999999999999999E-2</v>
      </c>
      <c r="U7982" s="508">
        <v>5.3999999999999999E-2</v>
      </c>
      <c r="V7982" s="508">
        <v>5.3999999999999999E-2</v>
      </c>
      <c r="W7982" s="508">
        <v>5.1999999999999998E-2</v>
      </c>
      <c r="X7982" s="508">
        <v>5.1999999999999998E-2</v>
      </c>
      <c r="Y7982" s="508">
        <v>5.1999999999999998E-2</v>
      </c>
      <c r="Z7982" s="508">
        <v>5.1999999999999998E-2</v>
      </c>
      <c r="AA7982" s="508">
        <v>5.1999999999999998E-2</v>
      </c>
      <c r="AB7982" s="508">
        <v>5.1999999999999998E-2</v>
      </c>
      <c r="AC7982" s="508">
        <v>5.1999999999999998E-2</v>
      </c>
      <c r="AD7982" s="508">
        <v>5.1999999999999998E-2</v>
      </c>
      <c r="AE7982" s="508">
        <v>5.1999999999999998E-2</v>
      </c>
      <c r="AF7982" s="508">
        <v>5.1999999999999998E-2</v>
      </c>
      <c r="AG7982" s="508">
        <v>5.1999999999999998E-2</v>
      </c>
      <c r="AH7982" s="508">
        <v>4.8000000000000001E-2</v>
      </c>
      <c r="AI7982" s="492">
        <v>4.8000000000000001E-2</v>
      </c>
      <c r="AJ7982" s="485"/>
    </row>
    <row r="7983" spans="2:36">
      <c r="B7983" s="136" t="s">
        <v>437</v>
      </c>
      <c r="C7983" s="132" t="s">
        <v>1363</v>
      </c>
      <c r="D7983" s="132" t="s">
        <v>1384</v>
      </c>
      <c r="E7983" s="508">
        <v>5.8000000000000003E-2</v>
      </c>
      <c r="F7983" s="508">
        <v>5.7000000000000002E-2</v>
      </c>
      <c r="G7983" s="508">
        <v>5.7000000000000002E-2</v>
      </c>
      <c r="H7983" s="508">
        <v>5.7000000000000002E-2</v>
      </c>
      <c r="I7983" s="508">
        <v>5.7000000000000002E-2</v>
      </c>
      <c r="J7983" s="508">
        <v>5.7000000000000002E-2</v>
      </c>
      <c r="K7983" s="508">
        <v>5.7000000000000002E-2</v>
      </c>
      <c r="L7983" s="508">
        <v>5.7000000000000002E-2</v>
      </c>
      <c r="M7983" s="508">
        <v>5.7000000000000002E-2</v>
      </c>
      <c r="N7983" s="508">
        <v>5.7000000000000002E-2</v>
      </c>
      <c r="O7983" s="508">
        <v>5.7000000000000002E-2</v>
      </c>
      <c r="P7983" s="508">
        <v>5.7000000000000002E-2</v>
      </c>
      <c r="Q7983" s="508">
        <v>5.7000000000000002E-2</v>
      </c>
      <c r="R7983" s="508">
        <v>5.7000000000000002E-2</v>
      </c>
      <c r="S7983" s="508">
        <v>5.7000000000000002E-2</v>
      </c>
      <c r="T7983" s="508">
        <v>5.7000000000000002E-2</v>
      </c>
      <c r="U7983" s="508">
        <v>5.7000000000000002E-2</v>
      </c>
      <c r="V7983" s="508">
        <v>5.7000000000000002E-2</v>
      </c>
      <c r="W7983" s="508">
        <v>5.5E-2</v>
      </c>
      <c r="X7983" s="508">
        <v>5.5E-2</v>
      </c>
      <c r="Y7983" s="508">
        <v>5.5E-2</v>
      </c>
      <c r="Z7983" s="508">
        <v>5.5E-2</v>
      </c>
      <c r="AA7983" s="508">
        <v>5.5E-2</v>
      </c>
      <c r="AB7983" s="508">
        <v>5.5E-2</v>
      </c>
      <c r="AC7983" s="508">
        <v>5.5E-2</v>
      </c>
      <c r="AD7983" s="508">
        <v>5.5E-2</v>
      </c>
      <c r="AE7983" s="508">
        <v>5.5E-2</v>
      </c>
      <c r="AF7983" s="508">
        <v>5.5E-2</v>
      </c>
      <c r="AG7983" s="508">
        <v>5.5E-2</v>
      </c>
      <c r="AH7983" s="508">
        <v>5.0999999999999997E-2</v>
      </c>
      <c r="AI7983" s="492">
        <v>5.0999999999999997E-2</v>
      </c>
      <c r="AJ7983" s="485"/>
    </row>
    <row r="7984" spans="2:36">
      <c r="B7984" s="136" t="s">
        <v>438</v>
      </c>
      <c r="C7984" s="132" t="s">
        <v>1363</v>
      </c>
      <c r="D7984" s="132" t="s">
        <v>1384</v>
      </c>
      <c r="E7984" s="508">
        <v>5.6000000000000001E-2</v>
      </c>
      <c r="F7984" s="508">
        <v>5.5E-2</v>
      </c>
      <c r="G7984" s="508">
        <v>5.5E-2</v>
      </c>
      <c r="H7984" s="508">
        <v>5.5E-2</v>
      </c>
      <c r="I7984" s="508">
        <v>5.5E-2</v>
      </c>
      <c r="J7984" s="508">
        <v>5.5E-2</v>
      </c>
      <c r="K7984" s="508">
        <v>5.5E-2</v>
      </c>
      <c r="L7984" s="508">
        <v>5.5E-2</v>
      </c>
      <c r="M7984" s="508">
        <v>5.5E-2</v>
      </c>
      <c r="N7984" s="508">
        <v>5.5E-2</v>
      </c>
      <c r="O7984" s="508">
        <v>5.5E-2</v>
      </c>
      <c r="P7984" s="508">
        <v>5.5E-2</v>
      </c>
      <c r="Q7984" s="508">
        <v>5.5E-2</v>
      </c>
      <c r="R7984" s="508">
        <v>5.5E-2</v>
      </c>
      <c r="S7984" s="508">
        <v>5.5E-2</v>
      </c>
      <c r="T7984" s="508">
        <v>5.5E-2</v>
      </c>
      <c r="U7984" s="508">
        <v>5.5E-2</v>
      </c>
      <c r="V7984" s="508">
        <v>5.5E-2</v>
      </c>
      <c r="W7984" s="508">
        <v>5.2999999999999999E-2</v>
      </c>
      <c r="X7984" s="508">
        <v>5.2999999999999999E-2</v>
      </c>
      <c r="Y7984" s="508">
        <v>5.2999999999999999E-2</v>
      </c>
      <c r="Z7984" s="508">
        <v>5.2999999999999999E-2</v>
      </c>
      <c r="AA7984" s="508">
        <v>5.2999999999999999E-2</v>
      </c>
      <c r="AB7984" s="508">
        <v>5.2999999999999999E-2</v>
      </c>
      <c r="AC7984" s="508">
        <v>5.2999999999999999E-2</v>
      </c>
      <c r="AD7984" s="508">
        <v>5.2999999999999999E-2</v>
      </c>
      <c r="AE7984" s="508">
        <v>5.2999999999999999E-2</v>
      </c>
      <c r="AF7984" s="508">
        <v>5.2999999999999999E-2</v>
      </c>
      <c r="AG7984" s="508">
        <v>5.2999999999999999E-2</v>
      </c>
      <c r="AH7984" s="508">
        <v>4.9000000000000002E-2</v>
      </c>
      <c r="AI7984" s="492">
        <v>4.9000000000000002E-2</v>
      </c>
      <c r="AJ7984" s="485"/>
    </row>
    <row r="7985" spans="2:36">
      <c r="B7985" s="136" t="s">
        <v>439</v>
      </c>
      <c r="C7985" s="132" t="s">
        <v>1363</v>
      </c>
      <c r="D7985" s="132" t="s">
        <v>1384</v>
      </c>
      <c r="E7985" s="508">
        <v>5.7000000000000002E-2</v>
      </c>
      <c r="F7985" s="508">
        <v>5.6000000000000001E-2</v>
      </c>
      <c r="G7985" s="508">
        <v>5.6000000000000001E-2</v>
      </c>
      <c r="H7985" s="508">
        <v>5.6000000000000001E-2</v>
      </c>
      <c r="I7985" s="508">
        <v>5.6000000000000001E-2</v>
      </c>
      <c r="J7985" s="508">
        <v>5.6000000000000001E-2</v>
      </c>
      <c r="K7985" s="508">
        <v>5.6000000000000001E-2</v>
      </c>
      <c r="L7985" s="508">
        <v>5.6000000000000001E-2</v>
      </c>
      <c r="M7985" s="508">
        <v>5.6000000000000001E-2</v>
      </c>
      <c r="N7985" s="508">
        <v>5.6000000000000001E-2</v>
      </c>
      <c r="O7985" s="508">
        <v>5.6000000000000001E-2</v>
      </c>
      <c r="P7985" s="508">
        <v>5.6000000000000001E-2</v>
      </c>
      <c r="Q7985" s="508">
        <v>5.6000000000000001E-2</v>
      </c>
      <c r="R7985" s="508">
        <v>5.6000000000000001E-2</v>
      </c>
      <c r="S7985" s="508">
        <v>5.6000000000000001E-2</v>
      </c>
      <c r="T7985" s="508">
        <v>5.6000000000000001E-2</v>
      </c>
      <c r="U7985" s="508">
        <v>5.6000000000000001E-2</v>
      </c>
      <c r="V7985" s="508">
        <v>5.6000000000000001E-2</v>
      </c>
      <c r="W7985" s="508">
        <v>5.2999999999999999E-2</v>
      </c>
      <c r="X7985" s="508">
        <v>5.2999999999999999E-2</v>
      </c>
      <c r="Y7985" s="508">
        <v>5.2999999999999999E-2</v>
      </c>
      <c r="Z7985" s="508">
        <v>5.2999999999999999E-2</v>
      </c>
      <c r="AA7985" s="508">
        <v>5.2999999999999999E-2</v>
      </c>
      <c r="AB7985" s="508">
        <v>5.2999999999999999E-2</v>
      </c>
      <c r="AC7985" s="508">
        <v>5.2999999999999999E-2</v>
      </c>
      <c r="AD7985" s="508">
        <v>5.2999999999999999E-2</v>
      </c>
      <c r="AE7985" s="508">
        <v>5.2999999999999999E-2</v>
      </c>
      <c r="AF7985" s="508">
        <v>5.2999999999999999E-2</v>
      </c>
      <c r="AG7985" s="508">
        <v>5.2999999999999999E-2</v>
      </c>
      <c r="AH7985" s="508">
        <v>4.9000000000000002E-2</v>
      </c>
      <c r="AI7985" s="492">
        <v>4.9000000000000002E-2</v>
      </c>
      <c r="AJ7985" s="485"/>
    </row>
    <row r="7986" spans="2:36">
      <c r="B7986" s="136" t="s">
        <v>440</v>
      </c>
      <c r="C7986" s="132" t="s">
        <v>1363</v>
      </c>
      <c r="D7986" s="132" t="s">
        <v>1384</v>
      </c>
      <c r="E7986" s="508">
        <v>5.7000000000000002E-2</v>
      </c>
      <c r="F7986" s="508">
        <v>5.6000000000000001E-2</v>
      </c>
      <c r="G7986" s="508">
        <v>5.6000000000000001E-2</v>
      </c>
      <c r="H7986" s="508">
        <v>5.6000000000000001E-2</v>
      </c>
      <c r="I7986" s="508">
        <v>5.5E-2</v>
      </c>
      <c r="J7986" s="508">
        <v>5.5E-2</v>
      </c>
      <c r="K7986" s="508">
        <v>5.5E-2</v>
      </c>
      <c r="L7986" s="508">
        <v>5.5E-2</v>
      </c>
      <c r="M7986" s="508">
        <v>5.5E-2</v>
      </c>
      <c r="N7986" s="508">
        <v>5.5E-2</v>
      </c>
      <c r="O7986" s="508">
        <v>5.5E-2</v>
      </c>
      <c r="P7986" s="508">
        <v>5.5E-2</v>
      </c>
      <c r="Q7986" s="508">
        <v>5.5E-2</v>
      </c>
      <c r="R7986" s="508">
        <v>5.5E-2</v>
      </c>
      <c r="S7986" s="508">
        <v>5.5E-2</v>
      </c>
      <c r="T7986" s="508">
        <v>5.5E-2</v>
      </c>
      <c r="U7986" s="508">
        <v>5.5E-2</v>
      </c>
      <c r="V7986" s="508">
        <v>5.5E-2</v>
      </c>
      <c r="W7986" s="508">
        <v>5.2999999999999999E-2</v>
      </c>
      <c r="X7986" s="508">
        <v>5.2999999999999999E-2</v>
      </c>
      <c r="Y7986" s="508">
        <v>5.2999999999999999E-2</v>
      </c>
      <c r="Z7986" s="508">
        <v>5.2999999999999999E-2</v>
      </c>
      <c r="AA7986" s="508">
        <v>5.2999999999999999E-2</v>
      </c>
      <c r="AB7986" s="508">
        <v>5.2999999999999999E-2</v>
      </c>
      <c r="AC7986" s="508">
        <v>5.2999999999999999E-2</v>
      </c>
      <c r="AD7986" s="508">
        <v>5.2999999999999999E-2</v>
      </c>
      <c r="AE7986" s="508">
        <v>5.2999999999999999E-2</v>
      </c>
      <c r="AF7986" s="508">
        <v>5.2999999999999999E-2</v>
      </c>
      <c r="AG7986" s="508">
        <v>5.2999999999999999E-2</v>
      </c>
      <c r="AH7986" s="508">
        <v>4.9000000000000002E-2</v>
      </c>
      <c r="AI7986" s="492">
        <v>4.9000000000000002E-2</v>
      </c>
      <c r="AJ7986" s="485"/>
    </row>
    <row r="7987" spans="2:36">
      <c r="B7987" s="136" t="s">
        <v>441</v>
      </c>
      <c r="C7987" s="132" t="s">
        <v>1363</v>
      </c>
      <c r="D7987" s="132" t="s">
        <v>1384</v>
      </c>
      <c r="E7987" s="508">
        <v>5.7000000000000002E-2</v>
      </c>
      <c r="F7987" s="508">
        <v>5.6000000000000001E-2</v>
      </c>
      <c r="G7987" s="508">
        <v>5.6000000000000001E-2</v>
      </c>
      <c r="H7987" s="508">
        <v>5.6000000000000001E-2</v>
      </c>
      <c r="I7987" s="508">
        <v>5.6000000000000001E-2</v>
      </c>
      <c r="J7987" s="508">
        <v>5.6000000000000001E-2</v>
      </c>
      <c r="K7987" s="508">
        <v>5.6000000000000001E-2</v>
      </c>
      <c r="L7987" s="508">
        <v>5.6000000000000001E-2</v>
      </c>
      <c r="M7987" s="508">
        <v>5.6000000000000001E-2</v>
      </c>
      <c r="N7987" s="508">
        <v>5.5E-2</v>
      </c>
      <c r="O7987" s="508">
        <v>5.5E-2</v>
      </c>
      <c r="P7987" s="508">
        <v>5.5E-2</v>
      </c>
      <c r="Q7987" s="508">
        <v>5.5E-2</v>
      </c>
      <c r="R7987" s="508">
        <v>5.5E-2</v>
      </c>
      <c r="S7987" s="508">
        <v>5.5E-2</v>
      </c>
      <c r="T7987" s="508">
        <v>5.5E-2</v>
      </c>
      <c r="U7987" s="508">
        <v>5.5E-2</v>
      </c>
      <c r="V7987" s="508">
        <v>5.5E-2</v>
      </c>
      <c r="W7987" s="508">
        <v>5.2999999999999999E-2</v>
      </c>
      <c r="X7987" s="508">
        <v>5.2999999999999999E-2</v>
      </c>
      <c r="Y7987" s="508">
        <v>5.2999999999999999E-2</v>
      </c>
      <c r="Z7987" s="508">
        <v>5.2999999999999999E-2</v>
      </c>
      <c r="AA7987" s="508">
        <v>5.2999999999999999E-2</v>
      </c>
      <c r="AB7987" s="508">
        <v>5.2999999999999999E-2</v>
      </c>
      <c r="AC7987" s="508">
        <v>5.2999999999999999E-2</v>
      </c>
      <c r="AD7987" s="508">
        <v>5.2999999999999999E-2</v>
      </c>
      <c r="AE7987" s="508">
        <v>5.2999999999999999E-2</v>
      </c>
      <c r="AF7987" s="508">
        <v>5.2999999999999999E-2</v>
      </c>
      <c r="AG7987" s="508">
        <v>5.2999999999999999E-2</v>
      </c>
      <c r="AH7987" s="508">
        <v>4.9000000000000002E-2</v>
      </c>
      <c r="AI7987" s="492">
        <v>4.9000000000000002E-2</v>
      </c>
      <c r="AJ7987" s="485"/>
    </row>
    <row r="7988" spans="2:36">
      <c r="B7988" s="136" t="s">
        <v>443</v>
      </c>
      <c r="C7988" s="132" t="s">
        <v>1363</v>
      </c>
      <c r="D7988" s="132" t="s">
        <v>1384</v>
      </c>
      <c r="E7988" s="508">
        <v>5.8000000000000003E-2</v>
      </c>
      <c r="F7988" s="508">
        <v>5.7000000000000002E-2</v>
      </c>
      <c r="G7988" s="508">
        <v>5.7000000000000002E-2</v>
      </c>
      <c r="H7988" s="508">
        <v>5.7000000000000002E-2</v>
      </c>
      <c r="I7988" s="508">
        <v>5.7000000000000002E-2</v>
      </c>
      <c r="J7988" s="508">
        <v>5.7000000000000002E-2</v>
      </c>
      <c r="K7988" s="508">
        <v>5.7000000000000002E-2</v>
      </c>
      <c r="L7988" s="508">
        <v>5.6000000000000001E-2</v>
      </c>
      <c r="M7988" s="508">
        <v>5.6000000000000001E-2</v>
      </c>
      <c r="N7988" s="508">
        <v>5.6000000000000001E-2</v>
      </c>
      <c r="O7988" s="508">
        <v>5.6000000000000001E-2</v>
      </c>
      <c r="P7988" s="508">
        <v>5.6000000000000001E-2</v>
      </c>
      <c r="Q7988" s="508">
        <v>5.6000000000000001E-2</v>
      </c>
      <c r="R7988" s="508">
        <v>5.6000000000000001E-2</v>
      </c>
      <c r="S7988" s="508">
        <v>5.6000000000000001E-2</v>
      </c>
      <c r="T7988" s="508">
        <v>5.6000000000000001E-2</v>
      </c>
      <c r="U7988" s="508">
        <v>5.6000000000000001E-2</v>
      </c>
      <c r="V7988" s="508">
        <v>5.6000000000000001E-2</v>
      </c>
      <c r="W7988" s="508">
        <v>5.3999999999999999E-2</v>
      </c>
      <c r="X7988" s="508">
        <v>5.3999999999999999E-2</v>
      </c>
      <c r="Y7988" s="508">
        <v>5.3999999999999999E-2</v>
      </c>
      <c r="Z7988" s="508">
        <v>5.3999999999999999E-2</v>
      </c>
      <c r="AA7988" s="508">
        <v>5.3999999999999999E-2</v>
      </c>
      <c r="AB7988" s="508">
        <v>5.3999999999999999E-2</v>
      </c>
      <c r="AC7988" s="508">
        <v>5.3999999999999999E-2</v>
      </c>
      <c r="AD7988" s="508">
        <v>5.3999999999999999E-2</v>
      </c>
      <c r="AE7988" s="508">
        <v>5.3999999999999999E-2</v>
      </c>
      <c r="AF7988" s="508">
        <v>5.3999999999999999E-2</v>
      </c>
      <c r="AG7988" s="508">
        <v>5.3999999999999999E-2</v>
      </c>
      <c r="AH7988" s="508">
        <v>0.05</v>
      </c>
      <c r="AI7988" s="492">
        <v>0.05</v>
      </c>
      <c r="AJ7988" s="485"/>
    </row>
    <row r="7989" spans="2:36">
      <c r="B7989" s="136" t="s">
        <v>445</v>
      </c>
      <c r="C7989" s="132" t="s">
        <v>1363</v>
      </c>
      <c r="D7989" s="132" t="s">
        <v>1384</v>
      </c>
      <c r="E7989" s="508">
        <v>6.0999999999999999E-2</v>
      </c>
      <c r="F7989" s="508">
        <v>0.06</v>
      </c>
      <c r="G7989" s="508">
        <v>0.06</v>
      </c>
      <c r="H7989" s="508">
        <v>5.8999999999999997E-2</v>
      </c>
      <c r="I7989" s="508">
        <v>5.8999999999999997E-2</v>
      </c>
      <c r="J7989" s="508">
        <v>5.8999999999999997E-2</v>
      </c>
      <c r="K7989" s="508">
        <v>5.8999999999999997E-2</v>
      </c>
      <c r="L7989" s="508">
        <v>5.8999999999999997E-2</v>
      </c>
      <c r="M7989" s="508">
        <v>5.8999999999999997E-2</v>
      </c>
      <c r="N7989" s="508">
        <v>5.8999999999999997E-2</v>
      </c>
      <c r="O7989" s="508">
        <v>5.8999999999999997E-2</v>
      </c>
      <c r="P7989" s="508">
        <v>5.8999999999999997E-2</v>
      </c>
      <c r="Q7989" s="508">
        <v>5.8999999999999997E-2</v>
      </c>
      <c r="R7989" s="508">
        <v>5.8999999999999997E-2</v>
      </c>
      <c r="S7989" s="508">
        <v>5.8999999999999997E-2</v>
      </c>
      <c r="T7989" s="508">
        <v>5.8999999999999997E-2</v>
      </c>
      <c r="U7989" s="508">
        <v>5.8999999999999997E-2</v>
      </c>
      <c r="V7989" s="508">
        <v>5.8999999999999997E-2</v>
      </c>
      <c r="W7989" s="508">
        <v>5.6000000000000001E-2</v>
      </c>
      <c r="X7989" s="508">
        <v>5.6000000000000001E-2</v>
      </c>
      <c r="Y7989" s="508">
        <v>5.6000000000000001E-2</v>
      </c>
      <c r="Z7989" s="508">
        <v>5.6000000000000001E-2</v>
      </c>
      <c r="AA7989" s="508">
        <v>5.6000000000000001E-2</v>
      </c>
      <c r="AB7989" s="508">
        <v>5.6000000000000001E-2</v>
      </c>
      <c r="AC7989" s="508">
        <v>5.6000000000000001E-2</v>
      </c>
      <c r="AD7989" s="508">
        <v>5.6000000000000001E-2</v>
      </c>
      <c r="AE7989" s="508">
        <v>5.6000000000000001E-2</v>
      </c>
      <c r="AF7989" s="508">
        <v>5.6000000000000001E-2</v>
      </c>
      <c r="AG7989" s="508">
        <v>5.6000000000000001E-2</v>
      </c>
      <c r="AH7989" s="508">
        <v>5.2999999999999999E-2</v>
      </c>
      <c r="AI7989" s="492">
        <v>5.2999999999999999E-2</v>
      </c>
      <c r="AJ7989" s="485"/>
    </row>
    <row r="7990" spans="2:36">
      <c r="B7990" s="136" t="s">
        <v>446</v>
      </c>
      <c r="C7990" s="132" t="s">
        <v>1363</v>
      </c>
      <c r="D7990" s="132" t="s">
        <v>1384</v>
      </c>
      <c r="E7990" s="508">
        <v>5.8999999999999997E-2</v>
      </c>
      <c r="F7990" s="508">
        <v>5.8999999999999997E-2</v>
      </c>
      <c r="G7990" s="508">
        <v>5.8999999999999997E-2</v>
      </c>
      <c r="H7990" s="508">
        <v>5.8999999999999997E-2</v>
      </c>
      <c r="I7990" s="508">
        <v>5.8999999999999997E-2</v>
      </c>
      <c r="J7990" s="508">
        <v>5.8999999999999997E-2</v>
      </c>
      <c r="K7990" s="508">
        <v>5.8999999999999997E-2</v>
      </c>
      <c r="L7990" s="508">
        <v>5.8999999999999997E-2</v>
      </c>
      <c r="M7990" s="508">
        <v>5.8999999999999997E-2</v>
      </c>
      <c r="N7990" s="508">
        <v>5.8999999999999997E-2</v>
      </c>
      <c r="O7990" s="508">
        <v>5.8999999999999997E-2</v>
      </c>
      <c r="P7990" s="508">
        <v>5.8999999999999997E-2</v>
      </c>
      <c r="Q7990" s="508">
        <v>5.8999999999999997E-2</v>
      </c>
      <c r="R7990" s="508">
        <v>5.8999999999999997E-2</v>
      </c>
      <c r="S7990" s="508">
        <v>5.8999999999999997E-2</v>
      </c>
      <c r="T7990" s="508">
        <v>5.8999999999999997E-2</v>
      </c>
      <c r="U7990" s="508">
        <v>5.8999999999999997E-2</v>
      </c>
      <c r="V7990" s="508">
        <v>5.8999999999999997E-2</v>
      </c>
      <c r="W7990" s="508">
        <v>5.7000000000000002E-2</v>
      </c>
      <c r="X7990" s="508">
        <v>5.7000000000000002E-2</v>
      </c>
      <c r="Y7990" s="508">
        <v>5.7000000000000002E-2</v>
      </c>
      <c r="Z7990" s="508">
        <v>5.7000000000000002E-2</v>
      </c>
      <c r="AA7990" s="508">
        <v>5.7000000000000002E-2</v>
      </c>
      <c r="AB7990" s="508">
        <v>5.7000000000000002E-2</v>
      </c>
      <c r="AC7990" s="508">
        <v>5.7000000000000002E-2</v>
      </c>
      <c r="AD7990" s="508">
        <v>5.7000000000000002E-2</v>
      </c>
      <c r="AE7990" s="508">
        <v>5.7000000000000002E-2</v>
      </c>
      <c r="AF7990" s="508">
        <v>5.7000000000000002E-2</v>
      </c>
      <c r="AG7990" s="508">
        <v>5.7000000000000002E-2</v>
      </c>
      <c r="AH7990" s="508">
        <v>5.2999999999999999E-2</v>
      </c>
      <c r="AI7990" s="492">
        <v>5.2999999999999999E-2</v>
      </c>
      <c r="AJ7990" s="485"/>
    </row>
    <row r="7991" spans="2:36">
      <c r="B7991" s="136" t="s">
        <v>448</v>
      </c>
      <c r="C7991" s="132" t="s">
        <v>1363</v>
      </c>
      <c r="D7991" s="132" t="s">
        <v>1384</v>
      </c>
      <c r="E7991" s="508">
        <v>5.6000000000000001E-2</v>
      </c>
      <c r="F7991" s="508">
        <v>5.6000000000000001E-2</v>
      </c>
      <c r="G7991" s="508">
        <v>5.6000000000000001E-2</v>
      </c>
      <c r="H7991" s="508">
        <v>5.6000000000000001E-2</v>
      </c>
      <c r="I7991" s="508">
        <v>5.6000000000000001E-2</v>
      </c>
      <c r="J7991" s="508">
        <v>5.6000000000000001E-2</v>
      </c>
      <c r="K7991" s="508">
        <v>5.6000000000000001E-2</v>
      </c>
      <c r="L7991" s="508">
        <v>5.6000000000000001E-2</v>
      </c>
      <c r="M7991" s="508">
        <v>5.6000000000000001E-2</v>
      </c>
      <c r="N7991" s="508">
        <v>5.6000000000000001E-2</v>
      </c>
      <c r="O7991" s="508">
        <v>5.6000000000000001E-2</v>
      </c>
      <c r="P7991" s="508">
        <v>5.6000000000000001E-2</v>
      </c>
      <c r="Q7991" s="508">
        <v>5.6000000000000001E-2</v>
      </c>
      <c r="R7991" s="508">
        <v>5.6000000000000001E-2</v>
      </c>
      <c r="S7991" s="508">
        <v>5.6000000000000001E-2</v>
      </c>
      <c r="T7991" s="508">
        <v>5.6000000000000001E-2</v>
      </c>
      <c r="U7991" s="508">
        <v>5.5E-2</v>
      </c>
      <c r="V7991" s="508">
        <v>5.5E-2</v>
      </c>
      <c r="W7991" s="508">
        <v>5.2999999999999999E-2</v>
      </c>
      <c r="X7991" s="508">
        <v>5.2999999999999999E-2</v>
      </c>
      <c r="Y7991" s="508">
        <v>5.2999999999999999E-2</v>
      </c>
      <c r="Z7991" s="508">
        <v>5.2999999999999999E-2</v>
      </c>
      <c r="AA7991" s="508">
        <v>5.2999999999999999E-2</v>
      </c>
      <c r="AB7991" s="508">
        <v>5.2999999999999999E-2</v>
      </c>
      <c r="AC7991" s="508">
        <v>5.2999999999999999E-2</v>
      </c>
      <c r="AD7991" s="508">
        <v>5.2999999999999999E-2</v>
      </c>
      <c r="AE7991" s="508">
        <v>5.2999999999999999E-2</v>
      </c>
      <c r="AF7991" s="508">
        <v>5.2999999999999999E-2</v>
      </c>
      <c r="AG7991" s="508">
        <v>5.2999999999999999E-2</v>
      </c>
      <c r="AH7991" s="508">
        <v>4.9000000000000002E-2</v>
      </c>
      <c r="AI7991" s="492">
        <v>4.9000000000000002E-2</v>
      </c>
      <c r="AJ7991" s="485"/>
    </row>
    <row r="7992" spans="2:36">
      <c r="B7992" s="136" t="s">
        <v>449</v>
      </c>
      <c r="C7992" s="132" t="s">
        <v>1363</v>
      </c>
      <c r="D7992" s="132" t="s">
        <v>1384</v>
      </c>
      <c r="E7992" s="508">
        <v>5.8000000000000003E-2</v>
      </c>
      <c r="F7992" s="508">
        <v>5.8000000000000003E-2</v>
      </c>
      <c r="G7992" s="508">
        <v>5.8000000000000003E-2</v>
      </c>
      <c r="H7992" s="508">
        <v>5.8000000000000003E-2</v>
      </c>
      <c r="I7992" s="508">
        <v>5.8000000000000003E-2</v>
      </c>
      <c r="J7992" s="508">
        <v>5.8000000000000003E-2</v>
      </c>
      <c r="K7992" s="508">
        <v>5.8000000000000003E-2</v>
      </c>
      <c r="L7992" s="508">
        <v>5.8000000000000003E-2</v>
      </c>
      <c r="M7992" s="508">
        <v>5.8000000000000003E-2</v>
      </c>
      <c r="N7992" s="508">
        <v>5.8000000000000003E-2</v>
      </c>
      <c r="O7992" s="508">
        <v>5.8000000000000003E-2</v>
      </c>
      <c r="P7992" s="508">
        <v>5.8000000000000003E-2</v>
      </c>
      <c r="Q7992" s="508">
        <v>5.8000000000000003E-2</v>
      </c>
      <c r="R7992" s="508">
        <v>5.8000000000000003E-2</v>
      </c>
      <c r="S7992" s="508">
        <v>5.8000000000000003E-2</v>
      </c>
      <c r="T7992" s="508">
        <v>5.8000000000000003E-2</v>
      </c>
      <c r="U7992" s="508">
        <v>5.8000000000000003E-2</v>
      </c>
      <c r="V7992" s="508">
        <v>5.8000000000000003E-2</v>
      </c>
      <c r="W7992" s="508">
        <v>5.5E-2</v>
      </c>
      <c r="X7992" s="508">
        <v>5.5E-2</v>
      </c>
      <c r="Y7992" s="508">
        <v>5.5E-2</v>
      </c>
      <c r="Z7992" s="508">
        <v>5.5E-2</v>
      </c>
      <c r="AA7992" s="508">
        <v>5.5E-2</v>
      </c>
      <c r="AB7992" s="508">
        <v>5.5E-2</v>
      </c>
      <c r="AC7992" s="508">
        <v>5.5E-2</v>
      </c>
      <c r="AD7992" s="508">
        <v>5.5E-2</v>
      </c>
      <c r="AE7992" s="508">
        <v>5.5E-2</v>
      </c>
      <c r="AF7992" s="508">
        <v>5.5E-2</v>
      </c>
      <c r="AG7992" s="508">
        <v>5.5E-2</v>
      </c>
      <c r="AH7992" s="508">
        <v>5.1999999999999998E-2</v>
      </c>
      <c r="AI7992" s="492">
        <v>5.1999999999999998E-2</v>
      </c>
      <c r="AJ7992" s="485"/>
    </row>
    <row r="7993" spans="2:36">
      <c r="B7993" s="136" t="s">
        <v>450</v>
      </c>
      <c r="C7993" s="132" t="s">
        <v>1363</v>
      </c>
      <c r="D7993" s="132" t="s">
        <v>1384</v>
      </c>
      <c r="E7993" s="508">
        <v>5.6000000000000001E-2</v>
      </c>
      <c r="F7993" s="508">
        <v>5.5E-2</v>
      </c>
      <c r="G7993" s="508">
        <v>5.5E-2</v>
      </c>
      <c r="H7993" s="508">
        <v>5.5E-2</v>
      </c>
      <c r="I7993" s="508">
        <v>5.5E-2</v>
      </c>
      <c r="J7993" s="508">
        <v>5.5E-2</v>
      </c>
      <c r="K7993" s="508">
        <v>5.5E-2</v>
      </c>
      <c r="L7993" s="508">
        <v>5.5E-2</v>
      </c>
      <c r="M7993" s="508">
        <v>5.5E-2</v>
      </c>
      <c r="N7993" s="508">
        <v>5.5E-2</v>
      </c>
      <c r="O7993" s="508">
        <v>5.5E-2</v>
      </c>
      <c r="P7993" s="508">
        <v>5.5E-2</v>
      </c>
      <c r="Q7993" s="508">
        <v>5.5E-2</v>
      </c>
      <c r="R7993" s="508">
        <v>5.5E-2</v>
      </c>
      <c r="S7993" s="508">
        <v>5.5E-2</v>
      </c>
      <c r="T7993" s="508">
        <v>5.5E-2</v>
      </c>
      <c r="U7993" s="508">
        <v>5.5E-2</v>
      </c>
      <c r="V7993" s="508">
        <v>5.3999999999999999E-2</v>
      </c>
      <c r="W7993" s="508">
        <v>5.1999999999999998E-2</v>
      </c>
      <c r="X7993" s="508">
        <v>5.1999999999999998E-2</v>
      </c>
      <c r="Y7993" s="508">
        <v>5.1999999999999998E-2</v>
      </c>
      <c r="Z7993" s="508">
        <v>5.1999999999999998E-2</v>
      </c>
      <c r="AA7993" s="508">
        <v>5.1999999999999998E-2</v>
      </c>
      <c r="AB7993" s="508">
        <v>5.1999999999999998E-2</v>
      </c>
      <c r="AC7993" s="508">
        <v>5.1999999999999998E-2</v>
      </c>
      <c r="AD7993" s="508">
        <v>5.1999999999999998E-2</v>
      </c>
      <c r="AE7993" s="508">
        <v>5.1999999999999998E-2</v>
      </c>
      <c r="AF7993" s="508">
        <v>5.1999999999999998E-2</v>
      </c>
      <c r="AG7993" s="508">
        <v>5.1999999999999998E-2</v>
      </c>
      <c r="AH7993" s="508">
        <v>4.8000000000000001E-2</v>
      </c>
      <c r="AI7993" s="492">
        <v>4.8000000000000001E-2</v>
      </c>
      <c r="AJ7993" s="485"/>
    </row>
    <row r="7994" spans="2:36">
      <c r="B7994" s="136" t="s">
        <v>451</v>
      </c>
      <c r="C7994" s="132" t="s">
        <v>1363</v>
      </c>
      <c r="D7994" s="132" t="s">
        <v>1384</v>
      </c>
      <c r="E7994" s="508">
        <v>5.8999999999999997E-2</v>
      </c>
      <c r="F7994" s="508">
        <v>5.8000000000000003E-2</v>
      </c>
      <c r="G7994" s="508">
        <v>5.8000000000000003E-2</v>
      </c>
      <c r="H7994" s="508">
        <v>5.8000000000000003E-2</v>
      </c>
      <c r="I7994" s="508">
        <v>5.8000000000000003E-2</v>
      </c>
      <c r="J7994" s="508">
        <v>5.8000000000000003E-2</v>
      </c>
      <c r="K7994" s="508">
        <v>5.8000000000000003E-2</v>
      </c>
      <c r="L7994" s="508">
        <v>5.7000000000000002E-2</v>
      </c>
      <c r="M7994" s="508">
        <v>5.7000000000000002E-2</v>
      </c>
      <c r="N7994" s="508">
        <v>5.7000000000000002E-2</v>
      </c>
      <c r="O7994" s="508">
        <v>5.7000000000000002E-2</v>
      </c>
      <c r="P7994" s="508">
        <v>5.7000000000000002E-2</v>
      </c>
      <c r="Q7994" s="508">
        <v>5.7000000000000002E-2</v>
      </c>
      <c r="R7994" s="508">
        <v>5.7000000000000002E-2</v>
      </c>
      <c r="S7994" s="508">
        <v>5.7000000000000002E-2</v>
      </c>
      <c r="T7994" s="508">
        <v>5.7000000000000002E-2</v>
      </c>
      <c r="U7994" s="508">
        <v>5.7000000000000002E-2</v>
      </c>
      <c r="V7994" s="508">
        <v>5.7000000000000002E-2</v>
      </c>
      <c r="W7994" s="508">
        <v>5.5E-2</v>
      </c>
      <c r="X7994" s="508">
        <v>5.5E-2</v>
      </c>
      <c r="Y7994" s="508">
        <v>5.5E-2</v>
      </c>
      <c r="Z7994" s="508">
        <v>5.5E-2</v>
      </c>
      <c r="AA7994" s="508">
        <v>5.5E-2</v>
      </c>
      <c r="AB7994" s="508">
        <v>5.5E-2</v>
      </c>
      <c r="AC7994" s="508">
        <v>5.5E-2</v>
      </c>
      <c r="AD7994" s="508">
        <v>5.5E-2</v>
      </c>
      <c r="AE7994" s="508">
        <v>5.5E-2</v>
      </c>
      <c r="AF7994" s="508">
        <v>5.5E-2</v>
      </c>
      <c r="AG7994" s="508">
        <v>5.5E-2</v>
      </c>
      <c r="AH7994" s="508">
        <v>5.0999999999999997E-2</v>
      </c>
      <c r="AI7994" s="492">
        <v>5.0999999999999997E-2</v>
      </c>
      <c r="AJ7994" s="485"/>
    </row>
    <row r="7995" spans="2:36">
      <c r="B7995" s="136" t="s">
        <v>452</v>
      </c>
      <c r="C7995" s="132" t="s">
        <v>1363</v>
      </c>
      <c r="D7995" s="132" t="s">
        <v>1384</v>
      </c>
      <c r="E7995" s="508">
        <v>5.7000000000000002E-2</v>
      </c>
      <c r="F7995" s="508">
        <v>5.7000000000000002E-2</v>
      </c>
      <c r="G7995" s="508">
        <v>5.6000000000000001E-2</v>
      </c>
      <c r="H7995" s="508">
        <v>5.6000000000000001E-2</v>
      </c>
      <c r="I7995" s="508">
        <v>5.6000000000000001E-2</v>
      </c>
      <c r="J7995" s="508">
        <v>5.6000000000000001E-2</v>
      </c>
      <c r="K7995" s="508">
        <v>5.6000000000000001E-2</v>
      </c>
      <c r="L7995" s="508">
        <v>5.6000000000000001E-2</v>
      </c>
      <c r="M7995" s="508">
        <v>5.6000000000000001E-2</v>
      </c>
      <c r="N7995" s="508">
        <v>5.6000000000000001E-2</v>
      </c>
      <c r="O7995" s="508">
        <v>5.6000000000000001E-2</v>
      </c>
      <c r="P7995" s="508">
        <v>5.6000000000000001E-2</v>
      </c>
      <c r="Q7995" s="508">
        <v>5.6000000000000001E-2</v>
      </c>
      <c r="R7995" s="508">
        <v>5.6000000000000001E-2</v>
      </c>
      <c r="S7995" s="508">
        <v>5.6000000000000001E-2</v>
      </c>
      <c r="T7995" s="508">
        <v>5.6000000000000001E-2</v>
      </c>
      <c r="U7995" s="508">
        <v>5.6000000000000001E-2</v>
      </c>
      <c r="V7995" s="508">
        <v>5.6000000000000001E-2</v>
      </c>
      <c r="W7995" s="508">
        <v>5.2999999999999999E-2</v>
      </c>
      <c r="X7995" s="508">
        <v>5.2999999999999999E-2</v>
      </c>
      <c r="Y7995" s="508">
        <v>5.2999999999999999E-2</v>
      </c>
      <c r="Z7995" s="508">
        <v>5.2999999999999999E-2</v>
      </c>
      <c r="AA7995" s="508">
        <v>5.2999999999999999E-2</v>
      </c>
      <c r="AB7995" s="508">
        <v>5.2999999999999999E-2</v>
      </c>
      <c r="AC7995" s="508">
        <v>5.2999999999999999E-2</v>
      </c>
      <c r="AD7995" s="508">
        <v>5.2999999999999999E-2</v>
      </c>
      <c r="AE7995" s="508">
        <v>5.2999999999999999E-2</v>
      </c>
      <c r="AF7995" s="508">
        <v>5.2999999999999999E-2</v>
      </c>
      <c r="AG7995" s="508">
        <v>5.2999999999999999E-2</v>
      </c>
      <c r="AH7995" s="508">
        <v>4.9000000000000002E-2</v>
      </c>
      <c r="AI7995" s="492">
        <v>4.9000000000000002E-2</v>
      </c>
      <c r="AJ7995" s="485"/>
    </row>
    <row r="7996" spans="2:36">
      <c r="B7996" s="136" t="s">
        <v>453</v>
      </c>
      <c r="C7996" s="132" t="s">
        <v>1363</v>
      </c>
      <c r="D7996" s="132" t="s">
        <v>1384</v>
      </c>
      <c r="E7996" s="508">
        <v>5.6000000000000001E-2</v>
      </c>
      <c r="F7996" s="508">
        <v>5.5E-2</v>
      </c>
      <c r="G7996" s="508">
        <v>5.5E-2</v>
      </c>
      <c r="H7996" s="508">
        <v>5.5E-2</v>
      </c>
      <c r="I7996" s="508">
        <v>5.5E-2</v>
      </c>
      <c r="J7996" s="508">
        <v>5.5E-2</v>
      </c>
      <c r="K7996" s="508">
        <v>5.5E-2</v>
      </c>
      <c r="L7996" s="508">
        <v>5.5E-2</v>
      </c>
      <c r="M7996" s="508">
        <v>5.5E-2</v>
      </c>
      <c r="N7996" s="508">
        <v>5.5E-2</v>
      </c>
      <c r="O7996" s="508">
        <v>5.5E-2</v>
      </c>
      <c r="P7996" s="508">
        <v>5.5E-2</v>
      </c>
      <c r="Q7996" s="508">
        <v>5.5E-2</v>
      </c>
      <c r="R7996" s="508">
        <v>5.5E-2</v>
      </c>
      <c r="S7996" s="508">
        <v>5.5E-2</v>
      </c>
      <c r="T7996" s="508">
        <v>5.3999999999999999E-2</v>
      </c>
      <c r="U7996" s="508">
        <v>5.3999999999999999E-2</v>
      </c>
      <c r="V7996" s="508">
        <v>5.3999999999999999E-2</v>
      </c>
      <c r="W7996" s="508">
        <v>5.1999999999999998E-2</v>
      </c>
      <c r="X7996" s="508">
        <v>5.1999999999999998E-2</v>
      </c>
      <c r="Y7996" s="508">
        <v>5.1999999999999998E-2</v>
      </c>
      <c r="Z7996" s="508">
        <v>5.1999999999999998E-2</v>
      </c>
      <c r="AA7996" s="508">
        <v>5.1999999999999998E-2</v>
      </c>
      <c r="AB7996" s="508">
        <v>5.1999999999999998E-2</v>
      </c>
      <c r="AC7996" s="508">
        <v>5.1999999999999998E-2</v>
      </c>
      <c r="AD7996" s="508">
        <v>5.1999999999999998E-2</v>
      </c>
      <c r="AE7996" s="508">
        <v>5.1999999999999998E-2</v>
      </c>
      <c r="AF7996" s="508">
        <v>5.1999999999999998E-2</v>
      </c>
      <c r="AG7996" s="508">
        <v>5.1999999999999998E-2</v>
      </c>
      <c r="AH7996" s="508">
        <v>4.8000000000000001E-2</v>
      </c>
      <c r="AI7996" s="492">
        <v>4.8000000000000001E-2</v>
      </c>
      <c r="AJ7996" s="485"/>
    </row>
    <row r="7997" spans="2:36">
      <c r="B7997" s="136" t="s">
        <v>454</v>
      </c>
      <c r="C7997" s="132" t="s">
        <v>1363</v>
      </c>
      <c r="D7997" s="132" t="s">
        <v>1384</v>
      </c>
      <c r="E7997" s="508">
        <v>5.6000000000000001E-2</v>
      </c>
      <c r="F7997" s="508">
        <v>5.6000000000000001E-2</v>
      </c>
      <c r="G7997" s="508">
        <v>5.5E-2</v>
      </c>
      <c r="H7997" s="508">
        <v>5.5E-2</v>
      </c>
      <c r="I7997" s="508">
        <v>5.5E-2</v>
      </c>
      <c r="J7997" s="508">
        <v>5.5E-2</v>
      </c>
      <c r="K7997" s="508">
        <v>5.5E-2</v>
      </c>
      <c r="L7997" s="508">
        <v>5.5E-2</v>
      </c>
      <c r="M7997" s="508">
        <v>5.5E-2</v>
      </c>
      <c r="N7997" s="508">
        <v>5.5E-2</v>
      </c>
      <c r="O7997" s="508">
        <v>5.5E-2</v>
      </c>
      <c r="P7997" s="508">
        <v>5.5E-2</v>
      </c>
      <c r="Q7997" s="508">
        <v>5.5E-2</v>
      </c>
      <c r="R7997" s="508">
        <v>5.5E-2</v>
      </c>
      <c r="S7997" s="508">
        <v>5.5E-2</v>
      </c>
      <c r="T7997" s="508">
        <v>5.5E-2</v>
      </c>
      <c r="U7997" s="508">
        <v>5.5E-2</v>
      </c>
      <c r="V7997" s="508">
        <v>5.5E-2</v>
      </c>
      <c r="W7997" s="508">
        <v>5.2999999999999999E-2</v>
      </c>
      <c r="X7997" s="508">
        <v>5.2999999999999999E-2</v>
      </c>
      <c r="Y7997" s="508">
        <v>5.2999999999999999E-2</v>
      </c>
      <c r="Z7997" s="508">
        <v>5.2999999999999999E-2</v>
      </c>
      <c r="AA7997" s="508">
        <v>5.2999999999999999E-2</v>
      </c>
      <c r="AB7997" s="508">
        <v>5.2999999999999999E-2</v>
      </c>
      <c r="AC7997" s="508">
        <v>5.2999999999999999E-2</v>
      </c>
      <c r="AD7997" s="508">
        <v>5.2999999999999999E-2</v>
      </c>
      <c r="AE7997" s="508">
        <v>5.2999999999999999E-2</v>
      </c>
      <c r="AF7997" s="508">
        <v>5.2999999999999999E-2</v>
      </c>
      <c r="AG7997" s="508">
        <v>5.2999999999999999E-2</v>
      </c>
      <c r="AH7997" s="508">
        <v>4.9000000000000002E-2</v>
      </c>
      <c r="AI7997" s="492">
        <v>4.9000000000000002E-2</v>
      </c>
      <c r="AJ7997" s="485"/>
    </row>
    <row r="7998" spans="2:36">
      <c r="B7998" s="136" t="s">
        <v>455</v>
      </c>
      <c r="C7998" s="132" t="s">
        <v>1363</v>
      </c>
      <c r="D7998" s="132" t="s">
        <v>1384</v>
      </c>
      <c r="E7998" s="508">
        <v>5.6000000000000001E-2</v>
      </c>
      <c r="F7998" s="508">
        <v>5.5E-2</v>
      </c>
      <c r="G7998" s="508">
        <v>5.5E-2</v>
      </c>
      <c r="H7998" s="508">
        <v>5.5E-2</v>
      </c>
      <c r="I7998" s="508">
        <v>5.5E-2</v>
      </c>
      <c r="J7998" s="508">
        <v>5.5E-2</v>
      </c>
      <c r="K7998" s="508">
        <v>5.5E-2</v>
      </c>
      <c r="L7998" s="508">
        <v>5.5E-2</v>
      </c>
      <c r="M7998" s="508">
        <v>5.5E-2</v>
      </c>
      <c r="N7998" s="508">
        <v>5.5E-2</v>
      </c>
      <c r="O7998" s="508">
        <v>5.5E-2</v>
      </c>
      <c r="P7998" s="508">
        <v>5.5E-2</v>
      </c>
      <c r="Q7998" s="508">
        <v>5.5E-2</v>
      </c>
      <c r="R7998" s="508">
        <v>5.5E-2</v>
      </c>
      <c r="S7998" s="508">
        <v>5.5E-2</v>
      </c>
      <c r="T7998" s="508">
        <v>5.5E-2</v>
      </c>
      <c r="U7998" s="508">
        <v>5.5E-2</v>
      </c>
      <c r="V7998" s="508">
        <v>5.5E-2</v>
      </c>
      <c r="W7998" s="508">
        <v>5.1999999999999998E-2</v>
      </c>
      <c r="X7998" s="508">
        <v>5.1999999999999998E-2</v>
      </c>
      <c r="Y7998" s="508">
        <v>5.1999999999999998E-2</v>
      </c>
      <c r="Z7998" s="508">
        <v>5.1999999999999998E-2</v>
      </c>
      <c r="AA7998" s="508">
        <v>5.1999999999999998E-2</v>
      </c>
      <c r="AB7998" s="508">
        <v>5.1999999999999998E-2</v>
      </c>
      <c r="AC7998" s="508">
        <v>5.1999999999999998E-2</v>
      </c>
      <c r="AD7998" s="508">
        <v>5.1999999999999998E-2</v>
      </c>
      <c r="AE7998" s="508">
        <v>5.1999999999999998E-2</v>
      </c>
      <c r="AF7998" s="508">
        <v>5.1999999999999998E-2</v>
      </c>
      <c r="AG7998" s="508">
        <v>5.1999999999999998E-2</v>
      </c>
      <c r="AH7998" s="508">
        <v>4.8000000000000001E-2</v>
      </c>
      <c r="AI7998" s="492">
        <v>4.8000000000000001E-2</v>
      </c>
      <c r="AJ7998" s="485"/>
    </row>
    <row r="7999" spans="2:36">
      <c r="B7999" s="136" t="s">
        <v>456</v>
      </c>
      <c r="C7999" s="132" t="s">
        <v>1363</v>
      </c>
      <c r="D7999" s="132" t="s">
        <v>1384</v>
      </c>
      <c r="E7999" s="508">
        <v>5.7000000000000002E-2</v>
      </c>
      <c r="F7999" s="508">
        <v>5.6000000000000001E-2</v>
      </c>
      <c r="G7999" s="508">
        <v>5.6000000000000001E-2</v>
      </c>
      <c r="H7999" s="508">
        <v>5.6000000000000001E-2</v>
      </c>
      <c r="I7999" s="508">
        <v>5.6000000000000001E-2</v>
      </c>
      <c r="J7999" s="508">
        <v>5.6000000000000001E-2</v>
      </c>
      <c r="K7999" s="508">
        <v>5.6000000000000001E-2</v>
      </c>
      <c r="L7999" s="508">
        <v>5.6000000000000001E-2</v>
      </c>
      <c r="M7999" s="508">
        <v>5.6000000000000001E-2</v>
      </c>
      <c r="N7999" s="508">
        <v>5.6000000000000001E-2</v>
      </c>
      <c r="O7999" s="508">
        <v>5.7000000000000002E-2</v>
      </c>
      <c r="P7999" s="508">
        <v>5.7000000000000002E-2</v>
      </c>
      <c r="Q7999" s="508">
        <v>5.7000000000000002E-2</v>
      </c>
      <c r="R7999" s="508">
        <v>5.7000000000000002E-2</v>
      </c>
      <c r="S7999" s="508">
        <v>5.7000000000000002E-2</v>
      </c>
      <c r="T7999" s="508">
        <v>5.7000000000000002E-2</v>
      </c>
      <c r="U7999" s="508">
        <v>5.7000000000000002E-2</v>
      </c>
      <c r="V7999" s="508">
        <v>5.6000000000000001E-2</v>
      </c>
      <c r="W7999" s="508">
        <v>5.3999999999999999E-2</v>
      </c>
      <c r="X7999" s="508">
        <v>5.3999999999999999E-2</v>
      </c>
      <c r="Y7999" s="508">
        <v>5.3999999999999999E-2</v>
      </c>
      <c r="Z7999" s="508">
        <v>5.3999999999999999E-2</v>
      </c>
      <c r="AA7999" s="508">
        <v>5.3999999999999999E-2</v>
      </c>
      <c r="AB7999" s="508">
        <v>5.3999999999999999E-2</v>
      </c>
      <c r="AC7999" s="508">
        <v>5.3999999999999999E-2</v>
      </c>
      <c r="AD7999" s="508">
        <v>5.3999999999999999E-2</v>
      </c>
      <c r="AE7999" s="508">
        <v>5.3999999999999999E-2</v>
      </c>
      <c r="AF7999" s="508">
        <v>5.3999999999999999E-2</v>
      </c>
      <c r="AG7999" s="508">
        <v>5.3999999999999999E-2</v>
      </c>
      <c r="AH7999" s="508">
        <v>0.05</v>
      </c>
      <c r="AI7999" s="492">
        <v>0.05</v>
      </c>
      <c r="AJ7999" s="485"/>
    </row>
    <row r="8000" spans="2:36">
      <c r="B8000" s="136" t="s">
        <v>457</v>
      </c>
      <c r="C8000" s="132" t="s">
        <v>1363</v>
      </c>
      <c r="D8000" s="132" t="s">
        <v>1384</v>
      </c>
      <c r="E8000" s="508">
        <v>5.5E-2</v>
      </c>
      <c r="F8000" s="508">
        <v>5.3999999999999999E-2</v>
      </c>
      <c r="G8000" s="508">
        <v>5.3999999999999999E-2</v>
      </c>
      <c r="H8000" s="508">
        <v>5.3999999999999999E-2</v>
      </c>
      <c r="I8000" s="508">
        <v>5.3999999999999999E-2</v>
      </c>
      <c r="J8000" s="508">
        <v>5.3999999999999999E-2</v>
      </c>
      <c r="K8000" s="508">
        <v>5.3999999999999999E-2</v>
      </c>
      <c r="L8000" s="508">
        <v>5.3999999999999999E-2</v>
      </c>
      <c r="M8000" s="508">
        <v>5.3999999999999999E-2</v>
      </c>
      <c r="N8000" s="508">
        <v>5.3999999999999999E-2</v>
      </c>
      <c r="O8000" s="508">
        <v>5.3999999999999999E-2</v>
      </c>
      <c r="P8000" s="508">
        <v>5.3999999999999999E-2</v>
      </c>
      <c r="Q8000" s="508">
        <v>5.3999999999999999E-2</v>
      </c>
      <c r="R8000" s="508">
        <v>5.3999999999999999E-2</v>
      </c>
      <c r="S8000" s="508">
        <v>5.3999999999999999E-2</v>
      </c>
      <c r="T8000" s="508">
        <v>5.3999999999999999E-2</v>
      </c>
      <c r="U8000" s="508">
        <v>5.2999999999999999E-2</v>
      </c>
      <c r="V8000" s="508">
        <v>5.2999999999999999E-2</v>
      </c>
      <c r="W8000" s="508">
        <v>5.0999999999999997E-2</v>
      </c>
      <c r="X8000" s="508">
        <v>5.0999999999999997E-2</v>
      </c>
      <c r="Y8000" s="508">
        <v>5.0999999999999997E-2</v>
      </c>
      <c r="Z8000" s="508">
        <v>5.0999999999999997E-2</v>
      </c>
      <c r="AA8000" s="508">
        <v>5.0999999999999997E-2</v>
      </c>
      <c r="AB8000" s="508">
        <v>5.0999999999999997E-2</v>
      </c>
      <c r="AC8000" s="508">
        <v>5.0999999999999997E-2</v>
      </c>
      <c r="AD8000" s="508">
        <v>5.0999999999999997E-2</v>
      </c>
      <c r="AE8000" s="508">
        <v>5.0999999999999997E-2</v>
      </c>
      <c r="AF8000" s="508">
        <v>5.0999999999999997E-2</v>
      </c>
      <c r="AG8000" s="508">
        <v>5.0999999999999997E-2</v>
      </c>
      <c r="AH8000" s="508">
        <v>4.7E-2</v>
      </c>
      <c r="AI8000" s="492">
        <v>4.7E-2</v>
      </c>
      <c r="AJ8000" s="485"/>
    </row>
    <row r="8001" spans="2:36">
      <c r="B8001" s="136" t="s">
        <v>458</v>
      </c>
      <c r="C8001" s="132" t="s">
        <v>1363</v>
      </c>
      <c r="D8001" s="132" t="s">
        <v>1384</v>
      </c>
      <c r="E8001" s="508">
        <v>5.7000000000000002E-2</v>
      </c>
      <c r="F8001" s="508">
        <v>5.6000000000000001E-2</v>
      </c>
      <c r="G8001" s="508">
        <v>5.6000000000000001E-2</v>
      </c>
      <c r="H8001" s="508">
        <v>5.6000000000000001E-2</v>
      </c>
      <c r="I8001" s="508">
        <v>5.6000000000000001E-2</v>
      </c>
      <c r="J8001" s="508">
        <v>5.6000000000000001E-2</v>
      </c>
      <c r="K8001" s="508">
        <v>5.6000000000000001E-2</v>
      </c>
      <c r="L8001" s="508">
        <v>5.6000000000000001E-2</v>
      </c>
      <c r="M8001" s="508">
        <v>5.6000000000000001E-2</v>
      </c>
      <c r="N8001" s="508">
        <v>5.6000000000000001E-2</v>
      </c>
      <c r="O8001" s="508">
        <v>5.6000000000000001E-2</v>
      </c>
      <c r="P8001" s="508">
        <v>5.6000000000000001E-2</v>
      </c>
      <c r="Q8001" s="508">
        <v>5.6000000000000001E-2</v>
      </c>
      <c r="R8001" s="508">
        <v>5.6000000000000001E-2</v>
      </c>
      <c r="S8001" s="508">
        <v>5.5E-2</v>
      </c>
      <c r="T8001" s="508">
        <v>5.5E-2</v>
      </c>
      <c r="U8001" s="508">
        <v>5.5E-2</v>
      </c>
      <c r="V8001" s="508">
        <v>5.5E-2</v>
      </c>
      <c r="W8001" s="508">
        <v>5.2999999999999999E-2</v>
      </c>
      <c r="X8001" s="508">
        <v>5.2999999999999999E-2</v>
      </c>
      <c r="Y8001" s="508">
        <v>5.2999999999999999E-2</v>
      </c>
      <c r="Z8001" s="508">
        <v>5.2999999999999999E-2</v>
      </c>
      <c r="AA8001" s="508">
        <v>5.2999999999999999E-2</v>
      </c>
      <c r="AB8001" s="508">
        <v>5.2999999999999999E-2</v>
      </c>
      <c r="AC8001" s="508">
        <v>5.2999999999999999E-2</v>
      </c>
      <c r="AD8001" s="508">
        <v>5.2999999999999999E-2</v>
      </c>
      <c r="AE8001" s="508">
        <v>5.2999999999999999E-2</v>
      </c>
      <c r="AF8001" s="508">
        <v>5.2999999999999999E-2</v>
      </c>
      <c r="AG8001" s="508">
        <v>5.2999999999999999E-2</v>
      </c>
      <c r="AH8001" s="508">
        <v>4.9000000000000002E-2</v>
      </c>
      <c r="AI8001" s="492">
        <v>4.9000000000000002E-2</v>
      </c>
      <c r="AJ8001" s="485"/>
    </row>
    <row r="8002" spans="2:36">
      <c r="B8002" s="136" t="s">
        <v>459</v>
      </c>
      <c r="C8002" s="132" t="s">
        <v>1363</v>
      </c>
      <c r="D8002" s="132" t="s">
        <v>1384</v>
      </c>
      <c r="E8002" s="508">
        <v>5.6000000000000001E-2</v>
      </c>
      <c r="F8002" s="508">
        <v>5.6000000000000001E-2</v>
      </c>
      <c r="G8002" s="508">
        <v>5.6000000000000001E-2</v>
      </c>
      <c r="H8002" s="508">
        <v>5.5E-2</v>
      </c>
      <c r="I8002" s="508">
        <v>5.5E-2</v>
      </c>
      <c r="J8002" s="508">
        <v>5.5E-2</v>
      </c>
      <c r="K8002" s="508">
        <v>5.5E-2</v>
      </c>
      <c r="L8002" s="508">
        <v>5.5E-2</v>
      </c>
      <c r="M8002" s="508">
        <v>5.5E-2</v>
      </c>
      <c r="N8002" s="508">
        <v>5.5E-2</v>
      </c>
      <c r="O8002" s="508">
        <v>5.5E-2</v>
      </c>
      <c r="P8002" s="508">
        <v>5.5E-2</v>
      </c>
      <c r="Q8002" s="508">
        <v>5.5E-2</v>
      </c>
      <c r="R8002" s="508">
        <v>5.5E-2</v>
      </c>
      <c r="S8002" s="508">
        <v>5.5E-2</v>
      </c>
      <c r="T8002" s="508">
        <v>5.5E-2</v>
      </c>
      <c r="U8002" s="508">
        <v>5.5E-2</v>
      </c>
      <c r="V8002" s="508">
        <v>5.5E-2</v>
      </c>
      <c r="W8002" s="508">
        <v>5.2999999999999999E-2</v>
      </c>
      <c r="X8002" s="508">
        <v>5.2999999999999999E-2</v>
      </c>
      <c r="Y8002" s="508">
        <v>5.2999999999999999E-2</v>
      </c>
      <c r="Z8002" s="508">
        <v>5.2999999999999999E-2</v>
      </c>
      <c r="AA8002" s="508">
        <v>5.2999999999999999E-2</v>
      </c>
      <c r="AB8002" s="508">
        <v>5.2999999999999999E-2</v>
      </c>
      <c r="AC8002" s="508">
        <v>5.2999999999999999E-2</v>
      </c>
      <c r="AD8002" s="508">
        <v>5.1999999999999998E-2</v>
      </c>
      <c r="AE8002" s="508">
        <v>5.1999999999999998E-2</v>
      </c>
      <c r="AF8002" s="508">
        <v>5.1999999999999998E-2</v>
      </c>
      <c r="AG8002" s="508">
        <v>5.1999999999999998E-2</v>
      </c>
      <c r="AH8002" s="508">
        <v>4.9000000000000002E-2</v>
      </c>
      <c r="AI8002" s="492">
        <v>4.9000000000000002E-2</v>
      </c>
      <c r="AJ8002" s="485"/>
    </row>
    <row r="8003" spans="2:36">
      <c r="B8003" s="136" t="s">
        <v>460</v>
      </c>
      <c r="C8003" s="132" t="s">
        <v>1363</v>
      </c>
      <c r="D8003" s="132" t="s">
        <v>1384</v>
      </c>
      <c r="E8003" s="508">
        <v>5.7000000000000002E-2</v>
      </c>
      <c r="F8003" s="508">
        <v>5.6000000000000001E-2</v>
      </c>
      <c r="G8003" s="508">
        <v>5.6000000000000001E-2</v>
      </c>
      <c r="H8003" s="508">
        <v>5.6000000000000001E-2</v>
      </c>
      <c r="I8003" s="508">
        <v>5.6000000000000001E-2</v>
      </c>
      <c r="J8003" s="508">
        <v>5.5E-2</v>
      </c>
      <c r="K8003" s="508">
        <v>5.5E-2</v>
      </c>
      <c r="L8003" s="508">
        <v>5.5E-2</v>
      </c>
      <c r="M8003" s="508">
        <v>5.5E-2</v>
      </c>
      <c r="N8003" s="508">
        <v>5.5E-2</v>
      </c>
      <c r="O8003" s="508">
        <v>5.5E-2</v>
      </c>
      <c r="P8003" s="508">
        <v>5.5E-2</v>
      </c>
      <c r="Q8003" s="508">
        <v>5.5E-2</v>
      </c>
      <c r="R8003" s="508">
        <v>5.5E-2</v>
      </c>
      <c r="S8003" s="508">
        <v>5.5E-2</v>
      </c>
      <c r="T8003" s="508">
        <v>5.5E-2</v>
      </c>
      <c r="U8003" s="508">
        <v>5.5E-2</v>
      </c>
      <c r="V8003" s="508">
        <v>5.5E-2</v>
      </c>
      <c r="W8003" s="508">
        <v>5.2999999999999999E-2</v>
      </c>
      <c r="X8003" s="508">
        <v>5.2999999999999999E-2</v>
      </c>
      <c r="Y8003" s="508">
        <v>5.2999999999999999E-2</v>
      </c>
      <c r="Z8003" s="508">
        <v>5.2999999999999999E-2</v>
      </c>
      <c r="AA8003" s="508">
        <v>5.2999999999999999E-2</v>
      </c>
      <c r="AB8003" s="508">
        <v>5.2999999999999999E-2</v>
      </c>
      <c r="AC8003" s="508">
        <v>5.2999999999999999E-2</v>
      </c>
      <c r="AD8003" s="508">
        <v>5.2999999999999999E-2</v>
      </c>
      <c r="AE8003" s="508">
        <v>5.2999999999999999E-2</v>
      </c>
      <c r="AF8003" s="508">
        <v>5.2999999999999999E-2</v>
      </c>
      <c r="AG8003" s="508">
        <v>5.2999999999999999E-2</v>
      </c>
      <c r="AH8003" s="508">
        <v>4.9000000000000002E-2</v>
      </c>
      <c r="AI8003" s="492">
        <v>4.9000000000000002E-2</v>
      </c>
      <c r="AJ8003" s="485"/>
    </row>
    <row r="8004" spans="2:36">
      <c r="B8004" s="136" t="s">
        <v>461</v>
      </c>
      <c r="C8004" s="132" t="s">
        <v>1363</v>
      </c>
      <c r="D8004" s="132" t="s">
        <v>1384</v>
      </c>
      <c r="E8004" s="508">
        <v>5.6000000000000001E-2</v>
      </c>
      <c r="F8004" s="508">
        <v>5.6000000000000001E-2</v>
      </c>
      <c r="G8004" s="508">
        <v>5.5E-2</v>
      </c>
      <c r="H8004" s="508">
        <v>5.5E-2</v>
      </c>
      <c r="I8004" s="508">
        <v>5.5E-2</v>
      </c>
      <c r="J8004" s="508">
        <v>5.5E-2</v>
      </c>
      <c r="K8004" s="508">
        <v>5.5E-2</v>
      </c>
      <c r="L8004" s="508">
        <v>5.5E-2</v>
      </c>
      <c r="M8004" s="508">
        <v>5.5E-2</v>
      </c>
      <c r="N8004" s="508">
        <v>5.5E-2</v>
      </c>
      <c r="O8004" s="508">
        <v>5.5E-2</v>
      </c>
      <c r="P8004" s="508">
        <v>5.5E-2</v>
      </c>
      <c r="Q8004" s="508">
        <v>5.5E-2</v>
      </c>
      <c r="R8004" s="508">
        <v>5.5E-2</v>
      </c>
      <c r="S8004" s="508">
        <v>5.5E-2</v>
      </c>
      <c r="T8004" s="508">
        <v>5.5E-2</v>
      </c>
      <c r="U8004" s="508">
        <v>5.5E-2</v>
      </c>
      <c r="V8004" s="508">
        <v>5.5E-2</v>
      </c>
      <c r="W8004" s="508">
        <v>5.1999999999999998E-2</v>
      </c>
      <c r="X8004" s="508">
        <v>5.1999999999999998E-2</v>
      </c>
      <c r="Y8004" s="508">
        <v>5.1999999999999998E-2</v>
      </c>
      <c r="Z8004" s="508">
        <v>5.1999999999999998E-2</v>
      </c>
      <c r="AA8004" s="508">
        <v>5.1999999999999998E-2</v>
      </c>
      <c r="AB8004" s="508">
        <v>5.1999999999999998E-2</v>
      </c>
      <c r="AC8004" s="508">
        <v>5.1999999999999998E-2</v>
      </c>
      <c r="AD8004" s="508">
        <v>5.1999999999999998E-2</v>
      </c>
      <c r="AE8004" s="508">
        <v>5.1999999999999998E-2</v>
      </c>
      <c r="AF8004" s="508">
        <v>5.1999999999999998E-2</v>
      </c>
      <c r="AG8004" s="508">
        <v>5.1999999999999998E-2</v>
      </c>
      <c r="AH8004" s="508">
        <v>4.8000000000000001E-2</v>
      </c>
      <c r="AI8004" s="492">
        <v>4.8000000000000001E-2</v>
      </c>
      <c r="AJ8004" s="485"/>
    </row>
    <row r="8005" spans="2:36">
      <c r="B8005" s="136" t="s">
        <v>462</v>
      </c>
      <c r="C8005" s="132" t="s">
        <v>1363</v>
      </c>
      <c r="D8005" s="132" t="s">
        <v>1384</v>
      </c>
      <c r="E8005" s="508">
        <v>5.6000000000000001E-2</v>
      </c>
      <c r="F8005" s="508">
        <v>5.6000000000000001E-2</v>
      </c>
      <c r="G8005" s="508">
        <v>5.6000000000000001E-2</v>
      </c>
      <c r="H8005" s="508">
        <v>5.6000000000000001E-2</v>
      </c>
      <c r="I8005" s="508">
        <v>5.6000000000000001E-2</v>
      </c>
      <c r="J8005" s="508">
        <v>5.6000000000000001E-2</v>
      </c>
      <c r="K8005" s="508">
        <v>5.6000000000000001E-2</v>
      </c>
      <c r="L8005" s="508">
        <v>5.6000000000000001E-2</v>
      </c>
      <c r="M8005" s="508">
        <v>5.6000000000000001E-2</v>
      </c>
      <c r="N8005" s="508">
        <v>5.6000000000000001E-2</v>
      </c>
      <c r="O8005" s="508">
        <v>5.6000000000000001E-2</v>
      </c>
      <c r="P8005" s="508">
        <v>5.6000000000000001E-2</v>
      </c>
      <c r="Q8005" s="508">
        <v>5.6000000000000001E-2</v>
      </c>
      <c r="R8005" s="508">
        <v>5.6000000000000001E-2</v>
      </c>
      <c r="S8005" s="508">
        <v>5.6000000000000001E-2</v>
      </c>
      <c r="T8005" s="508">
        <v>5.6000000000000001E-2</v>
      </c>
      <c r="U8005" s="508">
        <v>5.6000000000000001E-2</v>
      </c>
      <c r="V8005" s="508">
        <v>5.6000000000000001E-2</v>
      </c>
      <c r="W8005" s="508">
        <v>5.2999999999999999E-2</v>
      </c>
      <c r="X8005" s="508">
        <v>5.2999999999999999E-2</v>
      </c>
      <c r="Y8005" s="508">
        <v>5.2999999999999999E-2</v>
      </c>
      <c r="Z8005" s="508">
        <v>5.2999999999999999E-2</v>
      </c>
      <c r="AA8005" s="508">
        <v>5.2999999999999999E-2</v>
      </c>
      <c r="AB8005" s="508">
        <v>5.2999999999999999E-2</v>
      </c>
      <c r="AC8005" s="508">
        <v>5.2999999999999999E-2</v>
      </c>
      <c r="AD8005" s="508">
        <v>5.2999999999999999E-2</v>
      </c>
      <c r="AE8005" s="508">
        <v>5.2999999999999999E-2</v>
      </c>
      <c r="AF8005" s="508">
        <v>5.2999999999999999E-2</v>
      </c>
      <c r="AG8005" s="508">
        <v>5.2999999999999999E-2</v>
      </c>
      <c r="AH8005" s="508">
        <v>0.05</v>
      </c>
      <c r="AI8005" s="492">
        <v>0.05</v>
      </c>
      <c r="AJ8005" s="485"/>
    </row>
    <row r="8006" spans="2:36">
      <c r="B8006" s="136" t="s">
        <v>463</v>
      </c>
      <c r="C8006" s="132" t="s">
        <v>1363</v>
      </c>
      <c r="D8006" s="132" t="s">
        <v>1384</v>
      </c>
      <c r="E8006" s="508">
        <v>5.5E-2</v>
      </c>
      <c r="F8006" s="508">
        <v>5.5E-2</v>
      </c>
      <c r="G8006" s="508">
        <v>5.5E-2</v>
      </c>
      <c r="H8006" s="508">
        <v>5.5E-2</v>
      </c>
      <c r="I8006" s="508">
        <v>5.5E-2</v>
      </c>
      <c r="J8006" s="508">
        <v>5.5E-2</v>
      </c>
      <c r="K8006" s="508">
        <v>5.5E-2</v>
      </c>
      <c r="L8006" s="508">
        <v>5.5E-2</v>
      </c>
      <c r="M8006" s="508">
        <v>5.5E-2</v>
      </c>
      <c r="N8006" s="508">
        <v>5.5E-2</v>
      </c>
      <c r="O8006" s="508">
        <v>5.5E-2</v>
      </c>
      <c r="P8006" s="508">
        <v>5.5E-2</v>
      </c>
      <c r="Q8006" s="508">
        <v>5.5E-2</v>
      </c>
      <c r="R8006" s="508">
        <v>5.5E-2</v>
      </c>
      <c r="S8006" s="508">
        <v>5.5E-2</v>
      </c>
      <c r="T8006" s="508">
        <v>5.5E-2</v>
      </c>
      <c r="U8006" s="508">
        <v>5.3999999999999999E-2</v>
      </c>
      <c r="V8006" s="508">
        <v>5.3999999999999999E-2</v>
      </c>
      <c r="W8006" s="508">
        <v>5.1999999999999998E-2</v>
      </c>
      <c r="X8006" s="508">
        <v>5.1999999999999998E-2</v>
      </c>
      <c r="Y8006" s="508">
        <v>5.1999999999999998E-2</v>
      </c>
      <c r="Z8006" s="508">
        <v>5.1999999999999998E-2</v>
      </c>
      <c r="AA8006" s="508">
        <v>5.1999999999999998E-2</v>
      </c>
      <c r="AB8006" s="508">
        <v>5.1999999999999998E-2</v>
      </c>
      <c r="AC8006" s="508">
        <v>5.1999999999999998E-2</v>
      </c>
      <c r="AD8006" s="508">
        <v>5.1999999999999998E-2</v>
      </c>
      <c r="AE8006" s="508">
        <v>5.1999999999999998E-2</v>
      </c>
      <c r="AF8006" s="508">
        <v>5.1999999999999998E-2</v>
      </c>
      <c r="AG8006" s="508">
        <v>5.1999999999999998E-2</v>
      </c>
      <c r="AH8006" s="508">
        <v>4.8000000000000001E-2</v>
      </c>
      <c r="AI8006" s="492">
        <v>4.8000000000000001E-2</v>
      </c>
      <c r="AJ8006" s="485"/>
    </row>
    <row r="8007" spans="2:36">
      <c r="B8007" s="136" t="s">
        <v>464</v>
      </c>
      <c r="C8007" s="132" t="s">
        <v>1363</v>
      </c>
      <c r="D8007" s="132" t="s">
        <v>1384</v>
      </c>
      <c r="E8007" s="508">
        <v>5.5E-2</v>
      </c>
      <c r="F8007" s="508">
        <v>5.5E-2</v>
      </c>
      <c r="G8007" s="508">
        <v>5.3999999999999999E-2</v>
      </c>
      <c r="H8007" s="508">
        <v>5.3999999999999999E-2</v>
      </c>
      <c r="I8007" s="508">
        <v>5.3999999999999999E-2</v>
      </c>
      <c r="J8007" s="508">
        <v>5.3999999999999999E-2</v>
      </c>
      <c r="K8007" s="508">
        <v>5.3999999999999999E-2</v>
      </c>
      <c r="L8007" s="508">
        <v>5.3999999999999999E-2</v>
      </c>
      <c r="M8007" s="508">
        <v>5.3999999999999999E-2</v>
      </c>
      <c r="N8007" s="508">
        <v>5.3999999999999999E-2</v>
      </c>
      <c r="O8007" s="508">
        <v>5.3999999999999999E-2</v>
      </c>
      <c r="P8007" s="508">
        <v>5.3999999999999999E-2</v>
      </c>
      <c r="Q8007" s="508">
        <v>5.3999999999999999E-2</v>
      </c>
      <c r="R8007" s="508">
        <v>5.3999999999999999E-2</v>
      </c>
      <c r="S8007" s="508">
        <v>5.3999999999999999E-2</v>
      </c>
      <c r="T8007" s="508">
        <v>5.3999999999999999E-2</v>
      </c>
      <c r="U8007" s="508">
        <v>5.3999999999999999E-2</v>
      </c>
      <c r="V8007" s="508">
        <v>5.3999999999999999E-2</v>
      </c>
      <c r="W8007" s="508">
        <v>5.0999999999999997E-2</v>
      </c>
      <c r="X8007" s="508">
        <v>5.0999999999999997E-2</v>
      </c>
      <c r="Y8007" s="508">
        <v>5.0999999999999997E-2</v>
      </c>
      <c r="Z8007" s="508">
        <v>5.0999999999999997E-2</v>
      </c>
      <c r="AA8007" s="508">
        <v>5.0999999999999997E-2</v>
      </c>
      <c r="AB8007" s="508">
        <v>5.0999999999999997E-2</v>
      </c>
      <c r="AC8007" s="508">
        <v>5.0999999999999997E-2</v>
      </c>
      <c r="AD8007" s="508">
        <v>5.0999999999999997E-2</v>
      </c>
      <c r="AE8007" s="508">
        <v>5.0999999999999997E-2</v>
      </c>
      <c r="AF8007" s="508">
        <v>5.0999999999999997E-2</v>
      </c>
      <c r="AG8007" s="508">
        <v>5.0999999999999997E-2</v>
      </c>
      <c r="AH8007" s="508">
        <v>4.8000000000000001E-2</v>
      </c>
      <c r="AI8007" s="492">
        <v>4.8000000000000001E-2</v>
      </c>
      <c r="AJ8007" s="485"/>
    </row>
    <row r="8008" spans="2:36">
      <c r="B8008" s="136" t="s">
        <v>465</v>
      </c>
      <c r="C8008" s="132" t="s">
        <v>1363</v>
      </c>
      <c r="D8008" s="132" t="s">
        <v>1384</v>
      </c>
      <c r="E8008" s="508">
        <v>5.6000000000000001E-2</v>
      </c>
      <c r="F8008" s="508">
        <v>5.5E-2</v>
      </c>
      <c r="G8008" s="508">
        <v>5.5E-2</v>
      </c>
      <c r="H8008" s="508">
        <v>5.5E-2</v>
      </c>
      <c r="I8008" s="508">
        <v>5.5E-2</v>
      </c>
      <c r="J8008" s="508">
        <v>5.5E-2</v>
      </c>
      <c r="K8008" s="508">
        <v>5.5E-2</v>
      </c>
      <c r="L8008" s="508">
        <v>5.5E-2</v>
      </c>
      <c r="M8008" s="508">
        <v>5.5E-2</v>
      </c>
      <c r="N8008" s="508">
        <v>5.5E-2</v>
      </c>
      <c r="O8008" s="508">
        <v>5.5E-2</v>
      </c>
      <c r="P8008" s="508">
        <v>5.5E-2</v>
      </c>
      <c r="Q8008" s="508">
        <v>5.5E-2</v>
      </c>
      <c r="R8008" s="508">
        <v>5.5E-2</v>
      </c>
      <c r="S8008" s="508">
        <v>5.5E-2</v>
      </c>
      <c r="T8008" s="508">
        <v>5.3999999999999999E-2</v>
      </c>
      <c r="U8008" s="508">
        <v>5.3999999999999999E-2</v>
      </c>
      <c r="V8008" s="508">
        <v>5.3999999999999999E-2</v>
      </c>
      <c r="W8008" s="508">
        <v>5.1999999999999998E-2</v>
      </c>
      <c r="X8008" s="508">
        <v>5.1999999999999998E-2</v>
      </c>
      <c r="Y8008" s="508">
        <v>5.1999999999999998E-2</v>
      </c>
      <c r="Z8008" s="508">
        <v>5.1999999999999998E-2</v>
      </c>
      <c r="AA8008" s="508">
        <v>5.1999999999999998E-2</v>
      </c>
      <c r="AB8008" s="508">
        <v>5.1999999999999998E-2</v>
      </c>
      <c r="AC8008" s="508">
        <v>5.1999999999999998E-2</v>
      </c>
      <c r="AD8008" s="508">
        <v>5.1999999999999998E-2</v>
      </c>
      <c r="AE8008" s="508">
        <v>5.1999999999999998E-2</v>
      </c>
      <c r="AF8008" s="508">
        <v>5.1999999999999998E-2</v>
      </c>
      <c r="AG8008" s="508">
        <v>5.1999999999999998E-2</v>
      </c>
      <c r="AH8008" s="508">
        <v>4.8000000000000001E-2</v>
      </c>
      <c r="AI8008" s="492">
        <v>4.8000000000000001E-2</v>
      </c>
      <c r="AJ8008" s="485"/>
    </row>
    <row r="8009" spans="2:36">
      <c r="B8009" s="136" t="s">
        <v>466</v>
      </c>
      <c r="C8009" s="132" t="s">
        <v>1363</v>
      </c>
      <c r="D8009" s="132" t="s">
        <v>1384</v>
      </c>
      <c r="E8009" s="508">
        <v>5.8000000000000003E-2</v>
      </c>
      <c r="F8009" s="508">
        <v>5.7000000000000002E-2</v>
      </c>
      <c r="G8009" s="508">
        <v>5.7000000000000002E-2</v>
      </c>
      <c r="H8009" s="508">
        <v>5.7000000000000002E-2</v>
      </c>
      <c r="I8009" s="508">
        <v>5.7000000000000002E-2</v>
      </c>
      <c r="J8009" s="508">
        <v>5.7000000000000002E-2</v>
      </c>
      <c r="K8009" s="508">
        <v>5.7000000000000002E-2</v>
      </c>
      <c r="L8009" s="508">
        <v>5.7000000000000002E-2</v>
      </c>
      <c r="M8009" s="508">
        <v>5.7000000000000002E-2</v>
      </c>
      <c r="N8009" s="508">
        <v>5.7000000000000002E-2</v>
      </c>
      <c r="O8009" s="508">
        <v>5.7000000000000002E-2</v>
      </c>
      <c r="P8009" s="508">
        <v>5.7000000000000002E-2</v>
      </c>
      <c r="Q8009" s="508">
        <v>5.7000000000000002E-2</v>
      </c>
      <c r="R8009" s="508">
        <v>5.7000000000000002E-2</v>
      </c>
      <c r="S8009" s="508">
        <v>5.7000000000000002E-2</v>
      </c>
      <c r="T8009" s="508">
        <v>5.7000000000000002E-2</v>
      </c>
      <c r="U8009" s="508">
        <v>5.7000000000000002E-2</v>
      </c>
      <c r="V8009" s="508">
        <v>5.7000000000000002E-2</v>
      </c>
      <c r="W8009" s="508">
        <v>5.5E-2</v>
      </c>
      <c r="X8009" s="508">
        <v>5.5E-2</v>
      </c>
      <c r="Y8009" s="508">
        <v>5.5E-2</v>
      </c>
      <c r="Z8009" s="508">
        <v>5.5E-2</v>
      </c>
      <c r="AA8009" s="508">
        <v>5.5E-2</v>
      </c>
      <c r="AB8009" s="508">
        <v>5.5E-2</v>
      </c>
      <c r="AC8009" s="508">
        <v>5.5E-2</v>
      </c>
      <c r="AD8009" s="508">
        <v>5.5E-2</v>
      </c>
      <c r="AE8009" s="508">
        <v>5.5E-2</v>
      </c>
      <c r="AF8009" s="508">
        <v>5.5E-2</v>
      </c>
      <c r="AG8009" s="508">
        <v>5.5E-2</v>
      </c>
      <c r="AH8009" s="508">
        <v>5.0999999999999997E-2</v>
      </c>
      <c r="AI8009" s="492">
        <v>5.0999999999999997E-2</v>
      </c>
      <c r="AJ8009" s="485"/>
    </row>
    <row r="8010" spans="2:36">
      <c r="B8010" s="136" t="s">
        <v>467</v>
      </c>
      <c r="C8010" s="132" t="s">
        <v>1363</v>
      </c>
      <c r="D8010" s="132" t="s">
        <v>1384</v>
      </c>
      <c r="E8010" s="508">
        <v>5.6000000000000001E-2</v>
      </c>
      <c r="F8010" s="508">
        <v>5.5E-2</v>
      </c>
      <c r="G8010" s="508">
        <v>5.5E-2</v>
      </c>
      <c r="H8010" s="508">
        <v>5.5E-2</v>
      </c>
      <c r="I8010" s="508">
        <v>5.5E-2</v>
      </c>
      <c r="J8010" s="508">
        <v>5.5E-2</v>
      </c>
      <c r="K8010" s="508">
        <v>5.5E-2</v>
      </c>
      <c r="L8010" s="508">
        <v>5.5E-2</v>
      </c>
      <c r="M8010" s="508">
        <v>5.5E-2</v>
      </c>
      <c r="N8010" s="508">
        <v>5.5E-2</v>
      </c>
      <c r="O8010" s="508">
        <v>5.5E-2</v>
      </c>
      <c r="P8010" s="508">
        <v>5.5E-2</v>
      </c>
      <c r="Q8010" s="508">
        <v>5.5E-2</v>
      </c>
      <c r="R8010" s="508">
        <v>5.5E-2</v>
      </c>
      <c r="S8010" s="508">
        <v>5.5E-2</v>
      </c>
      <c r="T8010" s="508">
        <v>5.3999999999999999E-2</v>
      </c>
      <c r="U8010" s="508">
        <v>5.3999999999999999E-2</v>
      </c>
      <c r="V8010" s="508">
        <v>5.3999999999999999E-2</v>
      </c>
      <c r="W8010" s="508">
        <v>5.1999999999999998E-2</v>
      </c>
      <c r="X8010" s="508">
        <v>5.1999999999999998E-2</v>
      </c>
      <c r="Y8010" s="508">
        <v>5.1999999999999998E-2</v>
      </c>
      <c r="Z8010" s="508">
        <v>5.1999999999999998E-2</v>
      </c>
      <c r="AA8010" s="508">
        <v>5.1999999999999998E-2</v>
      </c>
      <c r="AB8010" s="508">
        <v>5.1999999999999998E-2</v>
      </c>
      <c r="AC8010" s="508">
        <v>5.1999999999999998E-2</v>
      </c>
      <c r="AD8010" s="508">
        <v>5.1999999999999998E-2</v>
      </c>
      <c r="AE8010" s="508">
        <v>5.1999999999999998E-2</v>
      </c>
      <c r="AF8010" s="508">
        <v>5.1999999999999998E-2</v>
      </c>
      <c r="AG8010" s="508">
        <v>5.1999999999999998E-2</v>
      </c>
      <c r="AH8010" s="508">
        <v>4.8000000000000001E-2</v>
      </c>
      <c r="AI8010" s="492">
        <v>4.8000000000000001E-2</v>
      </c>
      <c r="AJ8010" s="485"/>
    </row>
    <row r="8011" spans="2:36">
      <c r="B8011" s="136" t="s">
        <v>468</v>
      </c>
      <c r="C8011" s="132" t="s">
        <v>1363</v>
      </c>
      <c r="D8011" s="132" t="s">
        <v>1384</v>
      </c>
      <c r="E8011" s="508">
        <v>5.5E-2</v>
      </c>
      <c r="F8011" s="508">
        <v>5.5E-2</v>
      </c>
      <c r="G8011" s="508">
        <v>5.3999999999999999E-2</v>
      </c>
      <c r="H8011" s="508">
        <v>5.3999999999999999E-2</v>
      </c>
      <c r="I8011" s="508">
        <v>5.3999999999999999E-2</v>
      </c>
      <c r="J8011" s="508">
        <v>5.3999999999999999E-2</v>
      </c>
      <c r="K8011" s="508">
        <v>5.3999999999999999E-2</v>
      </c>
      <c r="L8011" s="508">
        <v>5.3999999999999999E-2</v>
      </c>
      <c r="M8011" s="508">
        <v>5.3999999999999999E-2</v>
      </c>
      <c r="N8011" s="508">
        <v>5.3999999999999999E-2</v>
      </c>
      <c r="O8011" s="508">
        <v>5.3999999999999999E-2</v>
      </c>
      <c r="P8011" s="508">
        <v>5.3999999999999999E-2</v>
      </c>
      <c r="Q8011" s="508">
        <v>5.3999999999999999E-2</v>
      </c>
      <c r="R8011" s="508">
        <v>5.3999999999999999E-2</v>
      </c>
      <c r="S8011" s="508">
        <v>5.3999999999999999E-2</v>
      </c>
      <c r="T8011" s="508">
        <v>5.3999999999999999E-2</v>
      </c>
      <c r="U8011" s="508">
        <v>5.3999999999999999E-2</v>
      </c>
      <c r="V8011" s="508">
        <v>5.3999999999999999E-2</v>
      </c>
      <c r="W8011" s="508">
        <v>5.1999999999999998E-2</v>
      </c>
      <c r="X8011" s="508">
        <v>5.1999999999999998E-2</v>
      </c>
      <c r="Y8011" s="508">
        <v>5.1999999999999998E-2</v>
      </c>
      <c r="Z8011" s="508">
        <v>5.1999999999999998E-2</v>
      </c>
      <c r="AA8011" s="508">
        <v>5.1999999999999998E-2</v>
      </c>
      <c r="AB8011" s="508">
        <v>5.1999999999999998E-2</v>
      </c>
      <c r="AC8011" s="508">
        <v>5.1999999999999998E-2</v>
      </c>
      <c r="AD8011" s="508">
        <v>5.1999999999999998E-2</v>
      </c>
      <c r="AE8011" s="508">
        <v>5.1999999999999998E-2</v>
      </c>
      <c r="AF8011" s="508">
        <v>5.1999999999999998E-2</v>
      </c>
      <c r="AG8011" s="508">
        <v>5.1999999999999998E-2</v>
      </c>
      <c r="AH8011" s="508">
        <v>4.8000000000000001E-2</v>
      </c>
      <c r="AI8011" s="492">
        <v>4.8000000000000001E-2</v>
      </c>
      <c r="AJ8011" s="485"/>
    </row>
    <row r="8012" spans="2:36">
      <c r="B8012" s="136" t="s">
        <v>469</v>
      </c>
      <c r="C8012" s="132" t="s">
        <v>1363</v>
      </c>
      <c r="D8012" s="132" t="s">
        <v>1384</v>
      </c>
      <c r="E8012" s="508">
        <v>5.6000000000000001E-2</v>
      </c>
      <c r="F8012" s="508">
        <v>5.5E-2</v>
      </c>
      <c r="G8012" s="508">
        <v>5.5E-2</v>
      </c>
      <c r="H8012" s="508">
        <v>5.5E-2</v>
      </c>
      <c r="I8012" s="508">
        <v>5.5E-2</v>
      </c>
      <c r="J8012" s="508">
        <v>5.5E-2</v>
      </c>
      <c r="K8012" s="508">
        <v>5.5E-2</v>
      </c>
      <c r="L8012" s="508">
        <v>5.5E-2</v>
      </c>
      <c r="M8012" s="508">
        <v>5.5E-2</v>
      </c>
      <c r="N8012" s="508">
        <v>5.5E-2</v>
      </c>
      <c r="O8012" s="508">
        <v>5.5E-2</v>
      </c>
      <c r="P8012" s="508">
        <v>5.5E-2</v>
      </c>
      <c r="Q8012" s="508">
        <v>5.5E-2</v>
      </c>
      <c r="R8012" s="508">
        <v>5.5E-2</v>
      </c>
      <c r="S8012" s="508">
        <v>5.5E-2</v>
      </c>
      <c r="T8012" s="508">
        <v>5.5E-2</v>
      </c>
      <c r="U8012" s="508">
        <v>5.5E-2</v>
      </c>
      <c r="V8012" s="508">
        <v>5.5E-2</v>
      </c>
      <c r="W8012" s="508">
        <v>5.2999999999999999E-2</v>
      </c>
      <c r="X8012" s="508">
        <v>5.1999999999999998E-2</v>
      </c>
      <c r="Y8012" s="508">
        <v>5.1999999999999998E-2</v>
      </c>
      <c r="Z8012" s="508">
        <v>5.1999999999999998E-2</v>
      </c>
      <c r="AA8012" s="508">
        <v>5.1999999999999998E-2</v>
      </c>
      <c r="AB8012" s="508">
        <v>5.1999999999999998E-2</v>
      </c>
      <c r="AC8012" s="508">
        <v>5.1999999999999998E-2</v>
      </c>
      <c r="AD8012" s="508">
        <v>5.1999999999999998E-2</v>
      </c>
      <c r="AE8012" s="508">
        <v>5.1999999999999998E-2</v>
      </c>
      <c r="AF8012" s="508">
        <v>5.1999999999999998E-2</v>
      </c>
      <c r="AG8012" s="508">
        <v>5.1999999999999998E-2</v>
      </c>
      <c r="AH8012" s="508">
        <v>4.9000000000000002E-2</v>
      </c>
      <c r="AI8012" s="492">
        <v>4.9000000000000002E-2</v>
      </c>
      <c r="AJ8012" s="485"/>
    </row>
    <row r="8013" spans="2:36">
      <c r="B8013" s="136" t="s">
        <v>470</v>
      </c>
      <c r="C8013" s="132" t="s">
        <v>1363</v>
      </c>
      <c r="D8013" s="132" t="s">
        <v>1384</v>
      </c>
      <c r="E8013" s="508">
        <v>5.7000000000000002E-2</v>
      </c>
      <c r="F8013" s="508">
        <v>5.6000000000000001E-2</v>
      </c>
      <c r="G8013" s="508">
        <v>5.6000000000000001E-2</v>
      </c>
      <c r="H8013" s="508">
        <v>5.6000000000000001E-2</v>
      </c>
      <c r="I8013" s="508">
        <v>5.6000000000000001E-2</v>
      </c>
      <c r="J8013" s="508">
        <v>5.6000000000000001E-2</v>
      </c>
      <c r="K8013" s="508">
        <v>5.6000000000000001E-2</v>
      </c>
      <c r="L8013" s="508">
        <v>5.6000000000000001E-2</v>
      </c>
      <c r="M8013" s="508">
        <v>5.6000000000000001E-2</v>
      </c>
      <c r="N8013" s="508">
        <v>5.6000000000000001E-2</v>
      </c>
      <c r="O8013" s="508">
        <v>5.6000000000000001E-2</v>
      </c>
      <c r="P8013" s="508">
        <v>5.6000000000000001E-2</v>
      </c>
      <c r="Q8013" s="508">
        <v>5.6000000000000001E-2</v>
      </c>
      <c r="R8013" s="508">
        <v>5.6000000000000001E-2</v>
      </c>
      <c r="S8013" s="508">
        <v>5.6000000000000001E-2</v>
      </c>
      <c r="T8013" s="508">
        <v>5.5E-2</v>
      </c>
      <c r="U8013" s="508">
        <v>5.5E-2</v>
      </c>
      <c r="V8013" s="508">
        <v>5.5E-2</v>
      </c>
      <c r="W8013" s="508">
        <v>5.2999999999999999E-2</v>
      </c>
      <c r="X8013" s="508">
        <v>5.2999999999999999E-2</v>
      </c>
      <c r="Y8013" s="508">
        <v>5.2999999999999999E-2</v>
      </c>
      <c r="Z8013" s="508">
        <v>5.2999999999999999E-2</v>
      </c>
      <c r="AA8013" s="508">
        <v>5.2999999999999999E-2</v>
      </c>
      <c r="AB8013" s="508">
        <v>5.2999999999999999E-2</v>
      </c>
      <c r="AC8013" s="508">
        <v>5.2999999999999999E-2</v>
      </c>
      <c r="AD8013" s="508">
        <v>5.2999999999999999E-2</v>
      </c>
      <c r="AE8013" s="508">
        <v>5.2999999999999999E-2</v>
      </c>
      <c r="AF8013" s="508">
        <v>5.2999999999999999E-2</v>
      </c>
      <c r="AG8013" s="508">
        <v>5.2999999999999999E-2</v>
      </c>
      <c r="AH8013" s="508">
        <v>4.9000000000000002E-2</v>
      </c>
      <c r="AI8013" s="492">
        <v>4.9000000000000002E-2</v>
      </c>
      <c r="AJ8013" s="485"/>
    </row>
    <row r="8014" spans="2:36">
      <c r="B8014" s="136" t="s">
        <v>471</v>
      </c>
      <c r="C8014" s="132" t="s">
        <v>1363</v>
      </c>
      <c r="D8014" s="132" t="s">
        <v>1384</v>
      </c>
      <c r="E8014" s="508">
        <v>5.7000000000000002E-2</v>
      </c>
      <c r="F8014" s="508">
        <v>5.6000000000000001E-2</v>
      </c>
      <c r="G8014" s="508">
        <v>5.6000000000000001E-2</v>
      </c>
      <c r="H8014" s="508">
        <v>5.6000000000000001E-2</v>
      </c>
      <c r="I8014" s="508">
        <v>5.6000000000000001E-2</v>
      </c>
      <c r="J8014" s="508">
        <v>5.6000000000000001E-2</v>
      </c>
      <c r="K8014" s="508">
        <v>5.6000000000000001E-2</v>
      </c>
      <c r="L8014" s="508">
        <v>5.6000000000000001E-2</v>
      </c>
      <c r="M8014" s="508">
        <v>5.6000000000000001E-2</v>
      </c>
      <c r="N8014" s="508">
        <v>5.6000000000000001E-2</v>
      </c>
      <c r="O8014" s="508">
        <v>5.6000000000000001E-2</v>
      </c>
      <c r="P8014" s="508">
        <v>5.6000000000000001E-2</v>
      </c>
      <c r="Q8014" s="508">
        <v>5.6000000000000001E-2</v>
      </c>
      <c r="R8014" s="508">
        <v>5.6000000000000001E-2</v>
      </c>
      <c r="S8014" s="508">
        <v>5.6000000000000001E-2</v>
      </c>
      <c r="T8014" s="508">
        <v>5.6000000000000001E-2</v>
      </c>
      <c r="U8014" s="508">
        <v>5.6000000000000001E-2</v>
      </c>
      <c r="V8014" s="508">
        <v>5.6000000000000001E-2</v>
      </c>
      <c r="W8014" s="508">
        <v>5.2999999999999999E-2</v>
      </c>
      <c r="X8014" s="508">
        <v>5.2999999999999999E-2</v>
      </c>
      <c r="Y8014" s="508">
        <v>5.2999999999999999E-2</v>
      </c>
      <c r="Z8014" s="508">
        <v>5.2999999999999999E-2</v>
      </c>
      <c r="AA8014" s="508">
        <v>5.2999999999999999E-2</v>
      </c>
      <c r="AB8014" s="508">
        <v>5.2999999999999999E-2</v>
      </c>
      <c r="AC8014" s="508">
        <v>5.2999999999999999E-2</v>
      </c>
      <c r="AD8014" s="508">
        <v>5.2999999999999999E-2</v>
      </c>
      <c r="AE8014" s="508">
        <v>5.2999999999999999E-2</v>
      </c>
      <c r="AF8014" s="508">
        <v>5.2999999999999999E-2</v>
      </c>
      <c r="AG8014" s="508">
        <v>5.2999999999999999E-2</v>
      </c>
      <c r="AH8014" s="508">
        <v>0.05</v>
      </c>
      <c r="AI8014" s="492">
        <v>0.05</v>
      </c>
      <c r="AJ8014" s="485"/>
    </row>
    <row r="8015" spans="2:36">
      <c r="B8015" s="136" t="s">
        <v>472</v>
      </c>
      <c r="C8015" s="132" t="s">
        <v>1363</v>
      </c>
      <c r="D8015" s="132" t="s">
        <v>1384</v>
      </c>
      <c r="E8015" s="508">
        <v>5.5E-2</v>
      </c>
      <c r="F8015" s="508">
        <v>5.5E-2</v>
      </c>
      <c r="G8015" s="508">
        <v>5.3999999999999999E-2</v>
      </c>
      <c r="H8015" s="508">
        <v>5.3999999999999999E-2</v>
      </c>
      <c r="I8015" s="508">
        <v>5.3999999999999999E-2</v>
      </c>
      <c r="J8015" s="508">
        <v>5.3999999999999999E-2</v>
      </c>
      <c r="K8015" s="508">
        <v>5.3999999999999999E-2</v>
      </c>
      <c r="L8015" s="508">
        <v>5.3999999999999999E-2</v>
      </c>
      <c r="M8015" s="508">
        <v>5.3999999999999999E-2</v>
      </c>
      <c r="N8015" s="508">
        <v>5.3999999999999999E-2</v>
      </c>
      <c r="O8015" s="508">
        <v>5.3999999999999999E-2</v>
      </c>
      <c r="P8015" s="508">
        <v>5.3999999999999999E-2</v>
      </c>
      <c r="Q8015" s="508">
        <v>5.3999999999999999E-2</v>
      </c>
      <c r="R8015" s="508">
        <v>5.3999999999999999E-2</v>
      </c>
      <c r="S8015" s="508">
        <v>5.3999999999999999E-2</v>
      </c>
      <c r="T8015" s="508">
        <v>5.3999999999999999E-2</v>
      </c>
      <c r="U8015" s="508">
        <v>5.3999999999999999E-2</v>
      </c>
      <c r="V8015" s="508">
        <v>5.3999999999999999E-2</v>
      </c>
      <c r="W8015" s="508">
        <v>5.0999999999999997E-2</v>
      </c>
      <c r="X8015" s="508">
        <v>5.0999999999999997E-2</v>
      </c>
      <c r="Y8015" s="508">
        <v>5.0999999999999997E-2</v>
      </c>
      <c r="Z8015" s="508">
        <v>5.0999999999999997E-2</v>
      </c>
      <c r="AA8015" s="508">
        <v>5.0999999999999997E-2</v>
      </c>
      <c r="AB8015" s="508">
        <v>5.0999999999999997E-2</v>
      </c>
      <c r="AC8015" s="508">
        <v>5.0999999999999997E-2</v>
      </c>
      <c r="AD8015" s="508">
        <v>5.0999999999999997E-2</v>
      </c>
      <c r="AE8015" s="508">
        <v>5.0999999999999997E-2</v>
      </c>
      <c r="AF8015" s="508">
        <v>5.0999999999999997E-2</v>
      </c>
      <c r="AG8015" s="508">
        <v>5.0999999999999997E-2</v>
      </c>
      <c r="AH8015" s="508">
        <v>4.8000000000000001E-2</v>
      </c>
      <c r="AI8015" s="492">
        <v>4.8000000000000001E-2</v>
      </c>
      <c r="AJ8015" s="485"/>
    </row>
    <row r="8016" spans="2:36">
      <c r="B8016" s="136" t="s">
        <v>473</v>
      </c>
      <c r="C8016" s="132" t="s">
        <v>1363</v>
      </c>
      <c r="D8016" s="132" t="s">
        <v>1384</v>
      </c>
      <c r="E8016" s="508">
        <v>5.7000000000000002E-2</v>
      </c>
      <c r="F8016" s="508">
        <v>5.7000000000000002E-2</v>
      </c>
      <c r="G8016" s="508">
        <v>5.6000000000000001E-2</v>
      </c>
      <c r="H8016" s="508">
        <v>5.6000000000000001E-2</v>
      </c>
      <c r="I8016" s="508">
        <v>5.6000000000000001E-2</v>
      </c>
      <c r="J8016" s="508">
        <v>5.6000000000000001E-2</v>
      </c>
      <c r="K8016" s="508">
        <v>5.6000000000000001E-2</v>
      </c>
      <c r="L8016" s="508">
        <v>5.6000000000000001E-2</v>
      </c>
      <c r="M8016" s="508">
        <v>5.6000000000000001E-2</v>
      </c>
      <c r="N8016" s="508">
        <v>5.6000000000000001E-2</v>
      </c>
      <c r="O8016" s="508">
        <v>5.6000000000000001E-2</v>
      </c>
      <c r="P8016" s="508">
        <v>5.6000000000000001E-2</v>
      </c>
      <c r="Q8016" s="508">
        <v>5.6000000000000001E-2</v>
      </c>
      <c r="R8016" s="508">
        <v>5.6000000000000001E-2</v>
      </c>
      <c r="S8016" s="508">
        <v>5.6000000000000001E-2</v>
      </c>
      <c r="T8016" s="508">
        <v>5.6000000000000001E-2</v>
      </c>
      <c r="U8016" s="508">
        <v>5.6000000000000001E-2</v>
      </c>
      <c r="V8016" s="508">
        <v>5.6000000000000001E-2</v>
      </c>
      <c r="W8016" s="508">
        <v>5.2999999999999999E-2</v>
      </c>
      <c r="X8016" s="508">
        <v>5.2999999999999999E-2</v>
      </c>
      <c r="Y8016" s="508">
        <v>5.2999999999999999E-2</v>
      </c>
      <c r="Z8016" s="508">
        <v>5.2999999999999999E-2</v>
      </c>
      <c r="AA8016" s="508">
        <v>5.2999999999999999E-2</v>
      </c>
      <c r="AB8016" s="508">
        <v>5.2999999999999999E-2</v>
      </c>
      <c r="AC8016" s="508">
        <v>5.2999999999999999E-2</v>
      </c>
      <c r="AD8016" s="508">
        <v>5.2999999999999999E-2</v>
      </c>
      <c r="AE8016" s="508">
        <v>5.2999999999999999E-2</v>
      </c>
      <c r="AF8016" s="508">
        <v>5.2999999999999999E-2</v>
      </c>
      <c r="AG8016" s="508">
        <v>5.2999999999999999E-2</v>
      </c>
      <c r="AH8016" s="508">
        <v>0.05</v>
      </c>
      <c r="AI8016" s="492">
        <v>0.05</v>
      </c>
      <c r="AJ8016" s="485"/>
    </row>
    <row r="8017" spans="2:36">
      <c r="B8017" s="136" t="s">
        <v>474</v>
      </c>
      <c r="C8017" s="132" t="s">
        <v>1363</v>
      </c>
      <c r="D8017" s="132" t="s">
        <v>1384</v>
      </c>
      <c r="E8017" s="508">
        <v>5.7000000000000002E-2</v>
      </c>
      <c r="F8017" s="508">
        <v>5.6000000000000001E-2</v>
      </c>
      <c r="G8017" s="508">
        <v>5.6000000000000001E-2</v>
      </c>
      <c r="H8017" s="508">
        <v>5.6000000000000001E-2</v>
      </c>
      <c r="I8017" s="508">
        <v>5.6000000000000001E-2</v>
      </c>
      <c r="J8017" s="508">
        <v>5.6000000000000001E-2</v>
      </c>
      <c r="K8017" s="508">
        <v>5.6000000000000001E-2</v>
      </c>
      <c r="L8017" s="508">
        <v>5.6000000000000001E-2</v>
      </c>
      <c r="M8017" s="508">
        <v>5.6000000000000001E-2</v>
      </c>
      <c r="N8017" s="508">
        <v>5.6000000000000001E-2</v>
      </c>
      <c r="O8017" s="508">
        <v>5.6000000000000001E-2</v>
      </c>
      <c r="P8017" s="508">
        <v>5.6000000000000001E-2</v>
      </c>
      <c r="Q8017" s="508">
        <v>5.6000000000000001E-2</v>
      </c>
      <c r="R8017" s="508">
        <v>5.6000000000000001E-2</v>
      </c>
      <c r="S8017" s="508">
        <v>5.6000000000000001E-2</v>
      </c>
      <c r="T8017" s="508">
        <v>5.6000000000000001E-2</v>
      </c>
      <c r="U8017" s="508">
        <v>5.6000000000000001E-2</v>
      </c>
      <c r="V8017" s="508">
        <v>5.6000000000000001E-2</v>
      </c>
      <c r="W8017" s="508">
        <v>5.2999999999999999E-2</v>
      </c>
      <c r="X8017" s="508">
        <v>5.2999999999999999E-2</v>
      </c>
      <c r="Y8017" s="508">
        <v>5.2999999999999999E-2</v>
      </c>
      <c r="Z8017" s="508">
        <v>5.2999999999999999E-2</v>
      </c>
      <c r="AA8017" s="508">
        <v>5.2999999999999999E-2</v>
      </c>
      <c r="AB8017" s="508">
        <v>5.2999999999999999E-2</v>
      </c>
      <c r="AC8017" s="508">
        <v>5.2999999999999999E-2</v>
      </c>
      <c r="AD8017" s="508">
        <v>5.2999999999999999E-2</v>
      </c>
      <c r="AE8017" s="508">
        <v>5.2999999999999999E-2</v>
      </c>
      <c r="AF8017" s="508">
        <v>5.2999999999999999E-2</v>
      </c>
      <c r="AG8017" s="508">
        <v>5.2999999999999999E-2</v>
      </c>
      <c r="AH8017" s="508">
        <v>0.05</v>
      </c>
      <c r="AI8017" s="492">
        <v>0.05</v>
      </c>
      <c r="AJ8017" s="485"/>
    </row>
    <row r="8018" spans="2:36">
      <c r="B8018" s="136" t="s">
        <v>475</v>
      </c>
      <c r="C8018" s="132" t="s">
        <v>1363</v>
      </c>
      <c r="D8018" s="132" t="s">
        <v>1384</v>
      </c>
      <c r="E8018" s="508">
        <v>5.6000000000000001E-2</v>
      </c>
      <c r="F8018" s="508">
        <v>5.5E-2</v>
      </c>
      <c r="G8018" s="508">
        <v>5.5E-2</v>
      </c>
      <c r="H8018" s="508">
        <v>5.5E-2</v>
      </c>
      <c r="I8018" s="508">
        <v>5.5E-2</v>
      </c>
      <c r="J8018" s="508">
        <v>5.5E-2</v>
      </c>
      <c r="K8018" s="508">
        <v>5.5E-2</v>
      </c>
      <c r="L8018" s="508">
        <v>5.5E-2</v>
      </c>
      <c r="M8018" s="508">
        <v>5.5E-2</v>
      </c>
      <c r="N8018" s="508">
        <v>5.3999999999999999E-2</v>
      </c>
      <c r="O8018" s="508">
        <v>5.3999999999999999E-2</v>
      </c>
      <c r="P8018" s="508">
        <v>5.3999999999999999E-2</v>
      </c>
      <c r="Q8018" s="508">
        <v>5.3999999999999999E-2</v>
      </c>
      <c r="R8018" s="508">
        <v>5.3999999999999999E-2</v>
      </c>
      <c r="S8018" s="508">
        <v>5.3999999999999999E-2</v>
      </c>
      <c r="T8018" s="508">
        <v>5.3999999999999999E-2</v>
      </c>
      <c r="U8018" s="508">
        <v>5.3999999999999999E-2</v>
      </c>
      <c r="V8018" s="508">
        <v>5.3999999999999999E-2</v>
      </c>
      <c r="W8018" s="508">
        <v>5.1999999999999998E-2</v>
      </c>
      <c r="X8018" s="508">
        <v>5.1999999999999998E-2</v>
      </c>
      <c r="Y8018" s="508">
        <v>5.1999999999999998E-2</v>
      </c>
      <c r="Z8018" s="508">
        <v>5.1999999999999998E-2</v>
      </c>
      <c r="AA8018" s="508">
        <v>5.1999999999999998E-2</v>
      </c>
      <c r="AB8018" s="508">
        <v>5.1999999999999998E-2</v>
      </c>
      <c r="AC8018" s="508">
        <v>5.1999999999999998E-2</v>
      </c>
      <c r="AD8018" s="508">
        <v>5.1999999999999998E-2</v>
      </c>
      <c r="AE8018" s="508">
        <v>5.1999999999999998E-2</v>
      </c>
      <c r="AF8018" s="508">
        <v>5.1999999999999998E-2</v>
      </c>
      <c r="AG8018" s="508">
        <v>5.1999999999999998E-2</v>
      </c>
      <c r="AH8018" s="508">
        <v>4.8000000000000001E-2</v>
      </c>
      <c r="AI8018" s="492">
        <v>4.8000000000000001E-2</v>
      </c>
      <c r="AJ8018" s="485"/>
    </row>
    <row r="8019" spans="2:36">
      <c r="B8019" s="136" t="s">
        <v>476</v>
      </c>
      <c r="C8019" s="132" t="s">
        <v>1363</v>
      </c>
      <c r="D8019" s="132" t="s">
        <v>1384</v>
      </c>
      <c r="E8019" s="508">
        <v>5.7000000000000002E-2</v>
      </c>
      <c r="F8019" s="508">
        <v>5.6000000000000001E-2</v>
      </c>
      <c r="G8019" s="508">
        <v>5.6000000000000001E-2</v>
      </c>
      <c r="H8019" s="508">
        <v>5.6000000000000001E-2</v>
      </c>
      <c r="I8019" s="508">
        <v>5.6000000000000001E-2</v>
      </c>
      <c r="J8019" s="508">
        <v>5.6000000000000001E-2</v>
      </c>
      <c r="K8019" s="508">
        <v>5.6000000000000001E-2</v>
      </c>
      <c r="L8019" s="508">
        <v>5.5E-2</v>
      </c>
      <c r="M8019" s="508">
        <v>5.5E-2</v>
      </c>
      <c r="N8019" s="508">
        <v>5.5E-2</v>
      </c>
      <c r="O8019" s="508">
        <v>5.5E-2</v>
      </c>
      <c r="P8019" s="508">
        <v>5.5E-2</v>
      </c>
      <c r="Q8019" s="508">
        <v>5.5E-2</v>
      </c>
      <c r="R8019" s="508">
        <v>5.5E-2</v>
      </c>
      <c r="S8019" s="508">
        <v>5.5E-2</v>
      </c>
      <c r="T8019" s="508">
        <v>5.5E-2</v>
      </c>
      <c r="U8019" s="508">
        <v>5.5E-2</v>
      </c>
      <c r="V8019" s="508">
        <v>5.5E-2</v>
      </c>
      <c r="W8019" s="508">
        <v>5.2999999999999999E-2</v>
      </c>
      <c r="X8019" s="508">
        <v>5.2999999999999999E-2</v>
      </c>
      <c r="Y8019" s="508">
        <v>5.2999999999999999E-2</v>
      </c>
      <c r="Z8019" s="508">
        <v>5.2999999999999999E-2</v>
      </c>
      <c r="AA8019" s="508">
        <v>5.2999999999999999E-2</v>
      </c>
      <c r="AB8019" s="508">
        <v>5.2999999999999999E-2</v>
      </c>
      <c r="AC8019" s="508">
        <v>5.2999999999999999E-2</v>
      </c>
      <c r="AD8019" s="508">
        <v>5.2999999999999999E-2</v>
      </c>
      <c r="AE8019" s="508">
        <v>5.2999999999999999E-2</v>
      </c>
      <c r="AF8019" s="508">
        <v>5.2999999999999999E-2</v>
      </c>
      <c r="AG8019" s="508">
        <v>5.2999999999999999E-2</v>
      </c>
      <c r="AH8019" s="508">
        <v>4.9000000000000002E-2</v>
      </c>
      <c r="AI8019" s="492">
        <v>4.9000000000000002E-2</v>
      </c>
      <c r="AJ8019" s="485"/>
    </row>
    <row r="8020" spans="2:36">
      <c r="B8020" s="136" t="s">
        <v>478</v>
      </c>
      <c r="C8020" s="132" t="s">
        <v>1363</v>
      </c>
      <c r="D8020" s="132" t="s">
        <v>1384</v>
      </c>
      <c r="E8020" s="508">
        <v>5.7000000000000002E-2</v>
      </c>
      <c r="F8020" s="508">
        <v>5.7000000000000002E-2</v>
      </c>
      <c r="G8020" s="508">
        <v>5.6000000000000001E-2</v>
      </c>
      <c r="H8020" s="508">
        <v>5.6000000000000001E-2</v>
      </c>
      <c r="I8020" s="508">
        <v>5.6000000000000001E-2</v>
      </c>
      <c r="J8020" s="508">
        <v>5.6000000000000001E-2</v>
      </c>
      <c r="K8020" s="508">
        <v>5.6000000000000001E-2</v>
      </c>
      <c r="L8020" s="508">
        <v>5.6000000000000001E-2</v>
      </c>
      <c r="M8020" s="508">
        <v>5.6000000000000001E-2</v>
      </c>
      <c r="N8020" s="508">
        <v>5.6000000000000001E-2</v>
      </c>
      <c r="O8020" s="508">
        <v>5.6000000000000001E-2</v>
      </c>
      <c r="P8020" s="508">
        <v>5.6000000000000001E-2</v>
      </c>
      <c r="Q8020" s="508">
        <v>5.6000000000000001E-2</v>
      </c>
      <c r="R8020" s="508">
        <v>5.6000000000000001E-2</v>
      </c>
      <c r="S8020" s="508">
        <v>5.6000000000000001E-2</v>
      </c>
      <c r="T8020" s="508">
        <v>5.6000000000000001E-2</v>
      </c>
      <c r="U8020" s="508">
        <v>5.6000000000000001E-2</v>
      </c>
      <c r="V8020" s="508">
        <v>5.6000000000000001E-2</v>
      </c>
      <c r="W8020" s="508">
        <v>5.2999999999999999E-2</v>
      </c>
      <c r="X8020" s="508">
        <v>5.2999999999999999E-2</v>
      </c>
      <c r="Y8020" s="508">
        <v>5.2999999999999999E-2</v>
      </c>
      <c r="Z8020" s="508">
        <v>5.2999999999999999E-2</v>
      </c>
      <c r="AA8020" s="508">
        <v>5.2999999999999999E-2</v>
      </c>
      <c r="AB8020" s="508">
        <v>5.2999999999999999E-2</v>
      </c>
      <c r="AC8020" s="508">
        <v>5.2999999999999999E-2</v>
      </c>
      <c r="AD8020" s="508">
        <v>5.2999999999999999E-2</v>
      </c>
      <c r="AE8020" s="508">
        <v>5.2999999999999999E-2</v>
      </c>
      <c r="AF8020" s="508">
        <v>5.2999999999999999E-2</v>
      </c>
      <c r="AG8020" s="508">
        <v>5.2999999999999999E-2</v>
      </c>
      <c r="AH8020" s="508">
        <v>0.05</v>
      </c>
      <c r="AI8020" s="492">
        <v>0.05</v>
      </c>
      <c r="AJ8020" s="485"/>
    </row>
    <row r="8021" spans="2:36">
      <c r="B8021" s="136" t="s">
        <v>479</v>
      </c>
      <c r="C8021" s="132" t="s">
        <v>1363</v>
      </c>
      <c r="D8021" s="132" t="s">
        <v>1384</v>
      </c>
      <c r="E8021" s="508">
        <v>5.6000000000000001E-2</v>
      </c>
      <c r="F8021" s="508">
        <v>5.6000000000000001E-2</v>
      </c>
      <c r="G8021" s="508">
        <v>5.6000000000000001E-2</v>
      </c>
      <c r="H8021" s="508">
        <v>5.6000000000000001E-2</v>
      </c>
      <c r="I8021" s="508">
        <v>5.6000000000000001E-2</v>
      </c>
      <c r="J8021" s="508">
        <v>5.6000000000000001E-2</v>
      </c>
      <c r="K8021" s="508">
        <v>5.6000000000000001E-2</v>
      </c>
      <c r="L8021" s="508">
        <v>5.6000000000000001E-2</v>
      </c>
      <c r="M8021" s="508">
        <v>5.6000000000000001E-2</v>
      </c>
      <c r="N8021" s="508">
        <v>5.6000000000000001E-2</v>
      </c>
      <c r="O8021" s="508">
        <v>5.6000000000000001E-2</v>
      </c>
      <c r="P8021" s="508">
        <v>5.6000000000000001E-2</v>
      </c>
      <c r="Q8021" s="508">
        <v>5.6000000000000001E-2</v>
      </c>
      <c r="R8021" s="508">
        <v>5.6000000000000001E-2</v>
      </c>
      <c r="S8021" s="508">
        <v>5.6000000000000001E-2</v>
      </c>
      <c r="T8021" s="508">
        <v>5.6000000000000001E-2</v>
      </c>
      <c r="U8021" s="508">
        <v>5.6000000000000001E-2</v>
      </c>
      <c r="V8021" s="508">
        <v>5.6000000000000001E-2</v>
      </c>
      <c r="W8021" s="508">
        <v>5.2999999999999999E-2</v>
      </c>
      <c r="X8021" s="508">
        <v>5.2999999999999999E-2</v>
      </c>
      <c r="Y8021" s="508">
        <v>5.2999999999999999E-2</v>
      </c>
      <c r="Z8021" s="508">
        <v>5.2999999999999999E-2</v>
      </c>
      <c r="AA8021" s="508">
        <v>5.2999999999999999E-2</v>
      </c>
      <c r="AB8021" s="508">
        <v>5.2999999999999999E-2</v>
      </c>
      <c r="AC8021" s="508">
        <v>5.2999999999999999E-2</v>
      </c>
      <c r="AD8021" s="508">
        <v>5.2999999999999999E-2</v>
      </c>
      <c r="AE8021" s="508">
        <v>5.2999999999999999E-2</v>
      </c>
      <c r="AF8021" s="508">
        <v>5.2999999999999999E-2</v>
      </c>
      <c r="AG8021" s="508">
        <v>5.2999999999999999E-2</v>
      </c>
      <c r="AH8021" s="508">
        <v>0.05</v>
      </c>
      <c r="AI8021" s="492">
        <v>0.05</v>
      </c>
      <c r="AJ8021" s="485"/>
    </row>
    <row r="8022" spans="2:36">
      <c r="B8022" s="136" t="s">
        <v>480</v>
      </c>
      <c r="C8022" s="132" t="s">
        <v>1363</v>
      </c>
      <c r="D8022" s="132" t="s">
        <v>1384</v>
      </c>
      <c r="E8022" s="508">
        <v>5.5E-2</v>
      </c>
      <c r="F8022" s="508">
        <v>5.5E-2</v>
      </c>
      <c r="G8022" s="508">
        <v>5.3999999999999999E-2</v>
      </c>
      <c r="H8022" s="508">
        <v>5.3999999999999999E-2</v>
      </c>
      <c r="I8022" s="508">
        <v>5.3999999999999999E-2</v>
      </c>
      <c r="J8022" s="508">
        <v>5.3999999999999999E-2</v>
      </c>
      <c r="K8022" s="508">
        <v>5.3999999999999999E-2</v>
      </c>
      <c r="L8022" s="508">
        <v>5.3999999999999999E-2</v>
      </c>
      <c r="M8022" s="508">
        <v>5.3999999999999999E-2</v>
      </c>
      <c r="N8022" s="508">
        <v>5.3999999999999999E-2</v>
      </c>
      <c r="O8022" s="508">
        <v>5.3999999999999999E-2</v>
      </c>
      <c r="P8022" s="508">
        <v>5.3999999999999999E-2</v>
      </c>
      <c r="Q8022" s="508">
        <v>5.3999999999999999E-2</v>
      </c>
      <c r="R8022" s="508">
        <v>5.3999999999999999E-2</v>
      </c>
      <c r="S8022" s="508">
        <v>5.3999999999999999E-2</v>
      </c>
      <c r="T8022" s="508">
        <v>5.3999999999999999E-2</v>
      </c>
      <c r="U8022" s="508">
        <v>5.3999999999999999E-2</v>
      </c>
      <c r="V8022" s="508">
        <v>5.3999999999999999E-2</v>
      </c>
      <c r="W8022" s="508">
        <v>5.1999999999999998E-2</v>
      </c>
      <c r="X8022" s="508">
        <v>5.1999999999999998E-2</v>
      </c>
      <c r="Y8022" s="508">
        <v>5.1999999999999998E-2</v>
      </c>
      <c r="Z8022" s="508">
        <v>5.0999999999999997E-2</v>
      </c>
      <c r="AA8022" s="508">
        <v>5.0999999999999997E-2</v>
      </c>
      <c r="AB8022" s="508">
        <v>5.0999999999999997E-2</v>
      </c>
      <c r="AC8022" s="508">
        <v>5.0999999999999997E-2</v>
      </c>
      <c r="AD8022" s="508">
        <v>5.0999999999999997E-2</v>
      </c>
      <c r="AE8022" s="508">
        <v>5.0999999999999997E-2</v>
      </c>
      <c r="AF8022" s="508">
        <v>5.0999999999999997E-2</v>
      </c>
      <c r="AG8022" s="508">
        <v>5.0999999999999997E-2</v>
      </c>
      <c r="AH8022" s="508">
        <v>4.8000000000000001E-2</v>
      </c>
      <c r="AI8022" s="492">
        <v>4.8000000000000001E-2</v>
      </c>
      <c r="AJ8022" s="485"/>
    </row>
    <row r="8023" spans="2:36">
      <c r="B8023" s="136" t="s">
        <v>481</v>
      </c>
      <c r="C8023" s="132" t="s">
        <v>1363</v>
      </c>
      <c r="D8023" s="132" t="s">
        <v>1384</v>
      </c>
      <c r="E8023" s="508">
        <v>5.7000000000000002E-2</v>
      </c>
      <c r="F8023" s="508">
        <v>5.6000000000000001E-2</v>
      </c>
      <c r="G8023" s="508">
        <v>5.6000000000000001E-2</v>
      </c>
      <c r="H8023" s="508">
        <v>5.6000000000000001E-2</v>
      </c>
      <c r="I8023" s="508">
        <v>5.6000000000000001E-2</v>
      </c>
      <c r="J8023" s="508">
        <v>5.6000000000000001E-2</v>
      </c>
      <c r="K8023" s="508">
        <v>5.6000000000000001E-2</v>
      </c>
      <c r="L8023" s="508">
        <v>5.6000000000000001E-2</v>
      </c>
      <c r="M8023" s="508">
        <v>5.6000000000000001E-2</v>
      </c>
      <c r="N8023" s="508">
        <v>5.6000000000000001E-2</v>
      </c>
      <c r="O8023" s="508">
        <v>5.6000000000000001E-2</v>
      </c>
      <c r="P8023" s="508">
        <v>5.6000000000000001E-2</v>
      </c>
      <c r="Q8023" s="508">
        <v>5.6000000000000001E-2</v>
      </c>
      <c r="R8023" s="508">
        <v>5.6000000000000001E-2</v>
      </c>
      <c r="S8023" s="508">
        <v>5.6000000000000001E-2</v>
      </c>
      <c r="T8023" s="508">
        <v>5.6000000000000001E-2</v>
      </c>
      <c r="U8023" s="508">
        <v>5.6000000000000001E-2</v>
      </c>
      <c r="V8023" s="508">
        <v>5.6000000000000001E-2</v>
      </c>
      <c r="W8023" s="508">
        <v>5.2999999999999999E-2</v>
      </c>
      <c r="X8023" s="508">
        <v>5.2999999999999999E-2</v>
      </c>
      <c r="Y8023" s="508">
        <v>5.2999999999999999E-2</v>
      </c>
      <c r="Z8023" s="508">
        <v>5.2999999999999999E-2</v>
      </c>
      <c r="AA8023" s="508">
        <v>5.2999999999999999E-2</v>
      </c>
      <c r="AB8023" s="508">
        <v>5.2999999999999999E-2</v>
      </c>
      <c r="AC8023" s="508">
        <v>5.2999999999999999E-2</v>
      </c>
      <c r="AD8023" s="508">
        <v>5.2999999999999999E-2</v>
      </c>
      <c r="AE8023" s="508">
        <v>5.2999999999999999E-2</v>
      </c>
      <c r="AF8023" s="508">
        <v>5.2999999999999999E-2</v>
      </c>
      <c r="AG8023" s="508">
        <v>5.2999999999999999E-2</v>
      </c>
      <c r="AH8023" s="508">
        <v>4.9000000000000002E-2</v>
      </c>
      <c r="AI8023" s="492">
        <v>4.9000000000000002E-2</v>
      </c>
      <c r="AJ8023" s="485"/>
    </row>
    <row r="8024" spans="2:36">
      <c r="B8024" s="136" t="s">
        <v>482</v>
      </c>
      <c r="C8024" s="132" t="s">
        <v>1363</v>
      </c>
      <c r="D8024" s="132" t="s">
        <v>1384</v>
      </c>
      <c r="E8024" s="508">
        <v>5.7000000000000002E-2</v>
      </c>
      <c r="F8024" s="508">
        <v>5.6000000000000001E-2</v>
      </c>
      <c r="G8024" s="508">
        <v>5.6000000000000001E-2</v>
      </c>
      <c r="H8024" s="508">
        <v>5.6000000000000001E-2</v>
      </c>
      <c r="I8024" s="508">
        <v>5.6000000000000001E-2</v>
      </c>
      <c r="J8024" s="508">
        <v>5.6000000000000001E-2</v>
      </c>
      <c r="K8024" s="508">
        <v>5.6000000000000001E-2</v>
      </c>
      <c r="L8024" s="508">
        <v>5.6000000000000001E-2</v>
      </c>
      <c r="M8024" s="508">
        <v>5.6000000000000001E-2</v>
      </c>
      <c r="N8024" s="508">
        <v>5.6000000000000001E-2</v>
      </c>
      <c r="O8024" s="508">
        <v>5.6000000000000001E-2</v>
      </c>
      <c r="P8024" s="508">
        <v>5.6000000000000001E-2</v>
      </c>
      <c r="Q8024" s="508">
        <v>5.7000000000000002E-2</v>
      </c>
      <c r="R8024" s="508">
        <v>5.7000000000000002E-2</v>
      </c>
      <c r="S8024" s="508">
        <v>5.7000000000000002E-2</v>
      </c>
      <c r="T8024" s="508">
        <v>5.6000000000000001E-2</v>
      </c>
      <c r="U8024" s="508">
        <v>5.6000000000000001E-2</v>
      </c>
      <c r="V8024" s="508">
        <v>5.6000000000000001E-2</v>
      </c>
      <c r="W8024" s="508">
        <v>5.3999999999999999E-2</v>
      </c>
      <c r="X8024" s="508">
        <v>5.3999999999999999E-2</v>
      </c>
      <c r="Y8024" s="508">
        <v>5.3999999999999999E-2</v>
      </c>
      <c r="Z8024" s="508">
        <v>5.3999999999999999E-2</v>
      </c>
      <c r="AA8024" s="508">
        <v>5.3999999999999999E-2</v>
      </c>
      <c r="AB8024" s="508">
        <v>5.3999999999999999E-2</v>
      </c>
      <c r="AC8024" s="508">
        <v>5.3999999999999999E-2</v>
      </c>
      <c r="AD8024" s="508">
        <v>5.3999999999999999E-2</v>
      </c>
      <c r="AE8024" s="508">
        <v>5.3999999999999999E-2</v>
      </c>
      <c r="AF8024" s="508">
        <v>5.3999999999999999E-2</v>
      </c>
      <c r="AG8024" s="508">
        <v>5.3999999999999999E-2</v>
      </c>
      <c r="AH8024" s="508">
        <v>0.05</v>
      </c>
      <c r="AI8024" s="492">
        <v>0.05</v>
      </c>
      <c r="AJ8024" s="485"/>
    </row>
    <row r="8025" spans="2:36">
      <c r="B8025" s="136" t="s">
        <v>483</v>
      </c>
      <c r="C8025" s="132" t="s">
        <v>1363</v>
      </c>
      <c r="D8025" s="132" t="s">
        <v>1384</v>
      </c>
      <c r="E8025" s="508">
        <v>5.7000000000000002E-2</v>
      </c>
      <c r="F8025" s="508">
        <v>5.7000000000000002E-2</v>
      </c>
      <c r="G8025" s="508">
        <v>5.6000000000000001E-2</v>
      </c>
      <c r="H8025" s="508">
        <v>5.6000000000000001E-2</v>
      </c>
      <c r="I8025" s="508">
        <v>5.6000000000000001E-2</v>
      </c>
      <c r="J8025" s="508">
        <v>5.6000000000000001E-2</v>
      </c>
      <c r="K8025" s="508">
        <v>5.6000000000000001E-2</v>
      </c>
      <c r="L8025" s="508">
        <v>5.6000000000000001E-2</v>
      </c>
      <c r="M8025" s="508">
        <v>5.6000000000000001E-2</v>
      </c>
      <c r="N8025" s="508">
        <v>5.6000000000000001E-2</v>
      </c>
      <c r="O8025" s="508">
        <v>5.6000000000000001E-2</v>
      </c>
      <c r="P8025" s="508">
        <v>5.6000000000000001E-2</v>
      </c>
      <c r="Q8025" s="508">
        <v>5.6000000000000001E-2</v>
      </c>
      <c r="R8025" s="508">
        <v>5.6000000000000001E-2</v>
      </c>
      <c r="S8025" s="508">
        <v>5.6000000000000001E-2</v>
      </c>
      <c r="T8025" s="508">
        <v>5.6000000000000001E-2</v>
      </c>
      <c r="U8025" s="508">
        <v>5.6000000000000001E-2</v>
      </c>
      <c r="V8025" s="508">
        <v>5.6000000000000001E-2</v>
      </c>
      <c r="W8025" s="508">
        <v>5.2999999999999999E-2</v>
      </c>
      <c r="X8025" s="508">
        <v>5.2999999999999999E-2</v>
      </c>
      <c r="Y8025" s="508">
        <v>5.2999999999999999E-2</v>
      </c>
      <c r="Z8025" s="508">
        <v>5.2999999999999999E-2</v>
      </c>
      <c r="AA8025" s="508">
        <v>5.2999999999999999E-2</v>
      </c>
      <c r="AB8025" s="508">
        <v>5.2999999999999999E-2</v>
      </c>
      <c r="AC8025" s="508">
        <v>5.2999999999999999E-2</v>
      </c>
      <c r="AD8025" s="508">
        <v>5.2999999999999999E-2</v>
      </c>
      <c r="AE8025" s="508">
        <v>5.2999999999999999E-2</v>
      </c>
      <c r="AF8025" s="508">
        <v>5.2999999999999999E-2</v>
      </c>
      <c r="AG8025" s="508">
        <v>5.2999999999999999E-2</v>
      </c>
      <c r="AH8025" s="508">
        <v>0.05</v>
      </c>
      <c r="AI8025" s="492">
        <v>0.05</v>
      </c>
      <c r="AJ8025" s="485"/>
    </row>
    <row r="8026" spans="2:36">
      <c r="B8026" s="136" t="s">
        <v>484</v>
      </c>
      <c r="C8026" s="132" t="s">
        <v>1363</v>
      </c>
      <c r="D8026" s="132" t="s">
        <v>1384</v>
      </c>
      <c r="E8026" s="508">
        <v>5.5E-2</v>
      </c>
      <c r="F8026" s="508">
        <v>5.3999999999999999E-2</v>
      </c>
      <c r="G8026" s="508">
        <v>5.3999999999999999E-2</v>
      </c>
      <c r="H8026" s="508">
        <v>5.3999999999999999E-2</v>
      </c>
      <c r="I8026" s="508">
        <v>5.3999999999999999E-2</v>
      </c>
      <c r="J8026" s="508">
        <v>5.3999999999999999E-2</v>
      </c>
      <c r="K8026" s="508">
        <v>5.3999999999999999E-2</v>
      </c>
      <c r="L8026" s="508">
        <v>5.3999999999999999E-2</v>
      </c>
      <c r="M8026" s="508">
        <v>5.3999999999999999E-2</v>
      </c>
      <c r="N8026" s="508">
        <v>5.3999999999999999E-2</v>
      </c>
      <c r="O8026" s="508">
        <v>5.3999999999999999E-2</v>
      </c>
      <c r="P8026" s="508">
        <v>5.3999999999999999E-2</v>
      </c>
      <c r="Q8026" s="508">
        <v>5.3999999999999999E-2</v>
      </c>
      <c r="R8026" s="508">
        <v>5.3999999999999999E-2</v>
      </c>
      <c r="S8026" s="508">
        <v>5.3999999999999999E-2</v>
      </c>
      <c r="T8026" s="508">
        <v>5.3999999999999999E-2</v>
      </c>
      <c r="U8026" s="508">
        <v>5.3999999999999999E-2</v>
      </c>
      <c r="V8026" s="508">
        <v>5.3999999999999999E-2</v>
      </c>
      <c r="W8026" s="508">
        <v>5.0999999999999997E-2</v>
      </c>
      <c r="X8026" s="508">
        <v>5.0999999999999997E-2</v>
      </c>
      <c r="Y8026" s="508">
        <v>5.0999999999999997E-2</v>
      </c>
      <c r="Z8026" s="508">
        <v>5.0999999999999997E-2</v>
      </c>
      <c r="AA8026" s="508">
        <v>5.0999999999999997E-2</v>
      </c>
      <c r="AB8026" s="508">
        <v>5.0999999999999997E-2</v>
      </c>
      <c r="AC8026" s="508">
        <v>5.0999999999999997E-2</v>
      </c>
      <c r="AD8026" s="508">
        <v>5.0999999999999997E-2</v>
      </c>
      <c r="AE8026" s="508">
        <v>5.0999999999999997E-2</v>
      </c>
      <c r="AF8026" s="508">
        <v>5.0999999999999997E-2</v>
      </c>
      <c r="AG8026" s="508">
        <v>5.0999999999999997E-2</v>
      </c>
      <c r="AH8026" s="508">
        <v>4.7E-2</v>
      </c>
      <c r="AI8026" s="492">
        <v>4.7E-2</v>
      </c>
      <c r="AJ8026" s="485"/>
    </row>
    <row r="8027" spans="2:36">
      <c r="B8027" s="136" t="s">
        <v>486</v>
      </c>
      <c r="C8027" s="132" t="s">
        <v>1363</v>
      </c>
      <c r="D8027" s="132" t="s">
        <v>1384</v>
      </c>
      <c r="E8027" s="508">
        <v>5.6000000000000001E-2</v>
      </c>
      <c r="F8027" s="508">
        <v>5.6000000000000001E-2</v>
      </c>
      <c r="G8027" s="508">
        <v>5.6000000000000001E-2</v>
      </c>
      <c r="H8027" s="508">
        <v>5.6000000000000001E-2</v>
      </c>
      <c r="I8027" s="508">
        <v>5.6000000000000001E-2</v>
      </c>
      <c r="J8027" s="508">
        <v>5.6000000000000001E-2</v>
      </c>
      <c r="K8027" s="508">
        <v>5.6000000000000001E-2</v>
      </c>
      <c r="L8027" s="508">
        <v>5.6000000000000001E-2</v>
      </c>
      <c r="M8027" s="508">
        <v>5.6000000000000001E-2</v>
      </c>
      <c r="N8027" s="508">
        <v>5.5E-2</v>
      </c>
      <c r="O8027" s="508">
        <v>5.5E-2</v>
      </c>
      <c r="P8027" s="508">
        <v>5.5E-2</v>
      </c>
      <c r="Q8027" s="508">
        <v>5.5E-2</v>
      </c>
      <c r="R8027" s="508">
        <v>5.6000000000000001E-2</v>
      </c>
      <c r="S8027" s="508">
        <v>5.5E-2</v>
      </c>
      <c r="T8027" s="508">
        <v>5.5E-2</v>
      </c>
      <c r="U8027" s="508">
        <v>5.5E-2</v>
      </c>
      <c r="V8027" s="508">
        <v>5.5E-2</v>
      </c>
      <c r="W8027" s="508">
        <v>5.2999999999999999E-2</v>
      </c>
      <c r="X8027" s="508">
        <v>5.2999999999999999E-2</v>
      </c>
      <c r="Y8027" s="508">
        <v>5.2999999999999999E-2</v>
      </c>
      <c r="Z8027" s="508">
        <v>5.2999999999999999E-2</v>
      </c>
      <c r="AA8027" s="508">
        <v>5.2999999999999999E-2</v>
      </c>
      <c r="AB8027" s="508">
        <v>5.2999999999999999E-2</v>
      </c>
      <c r="AC8027" s="508">
        <v>5.2999999999999999E-2</v>
      </c>
      <c r="AD8027" s="508">
        <v>5.2999999999999999E-2</v>
      </c>
      <c r="AE8027" s="508">
        <v>5.2999999999999999E-2</v>
      </c>
      <c r="AF8027" s="508">
        <v>5.2999999999999999E-2</v>
      </c>
      <c r="AG8027" s="508">
        <v>5.2999999999999999E-2</v>
      </c>
      <c r="AH8027" s="508">
        <v>4.9000000000000002E-2</v>
      </c>
      <c r="AI8027" s="492">
        <v>4.9000000000000002E-2</v>
      </c>
      <c r="AJ8027" s="485"/>
    </row>
    <row r="8028" spans="2:36">
      <c r="B8028" s="136" t="s">
        <v>487</v>
      </c>
      <c r="C8028" s="132" t="s">
        <v>1363</v>
      </c>
      <c r="D8028" s="132" t="s">
        <v>1384</v>
      </c>
      <c r="E8028" s="508">
        <v>5.6000000000000001E-2</v>
      </c>
      <c r="F8028" s="508">
        <v>5.6000000000000001E-2</v>
      </c>
      <c r="G8028" s="508">
        <v>5.5E-2</v>
      </c>
      <c r="H8028" s="508">
        <v>5.5E-2</v>
      </c>
      <c r="I8028" s="508">
        <v>5.5E-2</v>
      </c>
      <c r="J8028" s="508">
        <v>5.5E-2</v>
      </c>
      <c r="K8028" s="508">
        <v>5.5E-2</v>
      </c>
      <c r="L8028" s="508">
        <v>5.5E-2</v>
      </c>
      <c r="M8028" s="508">
        <v>5.5E-2</v>
      </c>
      <c r="N8028" s="508">
        <v>5.5E-2</v>
      </c>
      <c r="O8028" s="508">
        <v>5.5E-2</v>
      </c>
      <c r="P8028" s="508">
        <v>5.5E-2</v>
      </c>
      <c r="Q8028" s="508">
        <v>5.5E-2</v>
      </c>
      <c r="R8028" s="508">
        <v>5.5E-2</v>
      </c>
      <c r="S8028" s="508">
        <v>5.5E-2</v>
      </c>
      <c r="T8028" s="508">
        <v>5.5E-2</v>
      </c>
      <c r="U8028" s="508">
        <v>5.5E-2</v>
      </c>
      <c r="V8028" s="508">
        <v>5.5E-2</v>
      </c>
      <c r="W8028" s="508">
        <v>5.1999999999999998E-2</v>
      </c>
      <c r="X8028" s="508">
        <v>5.1999999999999998E-2</v>
      </c>
      <c r="Y8028" s="508">
        <v>5.1999999999999998E-2</v>
      </c>
      <c r="Z8028" s="508">
        <v>5.1999999999999998E-2</v>
      </c>
      <c r="AA8028" s="508">
        <v>5.1999999999999998E-2</v>
      </c>
      <c r="AB8028" s="508">
        <v>5.1999999999999998E-2</v>
      </c>
      <c r="AC8028" s="508">
        <v>5.1999999999999998E-2</v>
      </c>
      <c r="AD8028" s="508">
        <v>5.1999999999999998E-2</v>
      </c>
      <c r="AE8028" s="508">
        <v>5.1999999999999998E-2</v>
      </c>
      <c r="AF8028" s="508">
        <v>5.1999999999999998E-2</v>
      </c>
      <c r="AG8028" s="508">
        <v>5.1999999999999998E-2</v>
      </c>
      <c r="AH8028" s="508">
        <v>4.9000000000000002E-2</v>
      </c>
      <c r="AI8028" s="492">
        <v>4.9000000000000002E-2</v>
      </c>
      <c r="AJ8028" s="485"/>
    </row>
    <row r="8029" spans="2:36">
      <c r="B8029" s="136" t="s">
        <v>488</v>
      </c>
      <c r="C8029" s="132" t="s">
        <v>1363</v>
      </c>
      <c r="D8029" s="132" t="s">
        <v>1384</v>
      </c>
      <c r="E8029" s="508">
        <v>5.5E-2</v>
      </c>
      <c r="F8029" s="508">
        <v>5.5E-2</v>
      </c>
      <c r="G8029" s="508">
        <v>5.5E-2</v>
      </c>
      <c r="H8029" s="508">
        <v>5.5E-2</v>
      </c>
      <c r="I8029" s="508">
        <v>5.5E-2</v>
      </c>
      <c r="J8029" s="508">
        <v>5.3999999999999999E-2</v>
      </c>
      <c r="K8029" s="508">
        <v>5.3999999999999999E-2</v>
      </c>
      <c r="L8029" s="508">
        <v>5.3999999999999999E-2</v>
      </c>
      <c r="M8029" s="508">
        <v>5.3999999999999999E-2</v>
      </c>
      <c r="N8029" s="508">
        <v>5.3999999999999999E-2</v>
      </c>
      <c r="O8029" s="508">
        <v>5.3999999999999999E-2</v>
      </c>
      <c r="P8029" s="508">
        <v>5.3999999999999999E-2</v>
      </c>
      <c r="Q8029" s="508">
        <v>5.3999999999999999E-2</v>
      </c>
      <c r="R8029" s="508">
        <v>5.3999999999999999E-2</v>
      </c>
      <c r="S8029" s="508">
        <v>5.3999999999999999E-2</v>
      </c>
      <c r="T8029" s="508">
        <v>5.3999999999999999E-2</v>
      </c>
      <c r="U8029" s="508">
        <v>5.3999999999999999E-2</v>
      </c>
      <c r="V8029" s="508">
        <v>5.3999999999999999E-2</v>
      </c>
      <c r="W8029" s="508">
        <v>5.1999999999999998E-2</v>
      </c>
      <c r="X8029" s="508">
        <v>5.1999999999999998E-2</v>
      </c>
      <c r="Y8029" s="508">
        <v>5.1999999999999998E-2</v>
      </c>
      <c r="Z8029" s="508">
        <v>5.1999999999999998E-2</v>
      </c>
      <c r="AA8029" s="508">
        <v>5.1999999999999998E-2</v>
      </c>
      <c r="AB8029" s="508">
        <v>5.1999999999999998E-2</v>
      </c>
      <c r="AC8029" s="508">
        <v>5.1999999999999998E-2</v>
      </c>
      <c r="AD8029" s="508">
        <v>5.1999999999999998E-2</v>
      </c>
      <c r="AE8029" s="508">
        <v>5.1999999999999998E-2</v>
      </c>
      <c r="AF8029" s="508">
        <v>5.1999999999999998E-2</v>
      </c>
      <c r="AG8029" s="508">
        <v>5.1999999999999998E-2</v>
      </c>
      <c r="AH8029" s="508">
        <v>4.8000000000000001E-2</v>
      </c>
      <c r="AI8029" s="492">
        <v>4.8000000000000001E-2</v>
      </c>
      <c r="AJ8029" s="485"/>
    </row>
    <row r="8030" spans="2:36">
      <c r="B8030" s="136" t="s">
        <v>489</v>
      </c>
      <c r="C8030" s="132" t="s">
        <v>1363</v>
      </c>
      <c r="D8030" s="132" t="s">
        <v>1384</v>
      </c>
      <c r="E8030" s="508">
        <v>5.6000000000000001E-2</v>
      </c>
      <c r="F8030" s="508">
        <v>5.5E-2</v>
      </c>
      <c r="G8030" s="508">
        <v>5.5E-2</v>
      </c>
      <c r="H8030" s="508">
        <v>5.5E-2</v>
      </c>
      <c r="I8030" s="508">
        <v>5.5E-2</v>
      </c>
      <c r="J8030" s="508">
        <v>5.5E-2</v>
      </c>
      <c r="K8030" s="508">
        <v>5.5E-2</v>
      </c>
      <c r="L8030" s="508">
        <v>5.5E-2</v>
      </c>
      <c r="M8030" s="508">
        <v>5.5E-2</v>
      </c>
      <c r="N8030" s="508">
        <v>5.5E-2</v>
      </c>
      <c r="O8030" s="508">
        <v>5.5E-2</v>
      </c>
      <c r="P8030" s="508">
        <v>5.3999999999999999E-2</v>
      </c>
      <c r="Q8030" s="508">
        <v>5.3999999999999999E-2</v>
      </c>
      <c r="R8030" s="508">
        <v>5.3999999999999999E-2</v>
      </c>
      <c r="S8030" s="508">
        <v>5.3999999999999999E-2</v>
      </c>
      <c r="T8030" s="508">
        <v>5.3999999999999999E-2</v>
      </c>
      <c r="U8030" s="508">
        <v>5.3999999999999999E-2</v>
      </c>
      <c r="V8030" s="508">
        <v>5.3999999999999999E-2</v>
      </c>
      <c r="W8030" s="508">
        <v>5.1999999999999998E-2</v>
      </c>
      <c r="X8030" s="508">
        <v>5.1999999999999998E-2</v>
      </c>
      <c r="Y8030" s="508">
        <v>5.1999999999999998E-2</v>
      </c>
      <c r="Z8030" s="508">
        <v>5.1999999999999998E-2</v>
      </c>
      <c r="AA8030" s="508">
        <v>5.1999999999999998E-2</v>
      </c>
      <c r="AB8030" s="508">
        <v>5.1999999999999998E-2</v>
      </c>
      <c r="AC8030" s="508">
        <v>5.1999999999999998E-2</v>
      </c>
      <c r="AD8030" s="508">
        <v>5.1999999999999998E-2</v>
      </c>
      <c r="AE8030" s="508">
        <v>5.1999999999999998E-2</v>
      </c>
      <c r="AF8030" s="508">
        <v>5.1999999999999998E-2</v>
      </c>
      <c r="AG8030" s="508">
        <v>5.1999999999999998E-2</v>
      </c>
      <c r="AH8030" s="508">
        <v>4.8000000000000001E-2</v>
      </c>
      <c r="AI8030" s="492">
        <v>4.8000000000000001E-2</v>
      </c>
      <c r="AJ8030" s="485"/>
    </row>
    <row r="8031" spans="2:36">
      <c r="B8031" s="136" t="s">
        <v>490</v>
      </c>
      <c r="C8031" s="132" t="s">
        <v>1363</v>
      </c>
      <c r="D8031" s="132" t="s">
        <v>1384</v>
      </c>
      <c r="E8031" s="508">
        <v>5.5E-2</v>
      </c>
      <c r="F8031" s="508">
        <v>5.5E-2</v>
      </c>
      <c r="G8031" s="508">
        <v>5.3999999999999999E-2</v>
      </c>
      <c r="H8031" s="508">
        <v>5.3999999999999999E-2</v>
      </c>
      <c r="I8031" s="508">
        <v>5.3999999999999999E-2</v>
      </c>
      <c r="J8031" s="508">
        <v>5.3999999999999999E-2</v>
      </c>
      <c r="K8031" s="508">
        <v>5.3999999999999999E-2</v>
      </c>
      <c r="L8031" s="508">
        <v>5.3999999999999999E-2</v>
      </c>
      <c r="M8031" s="508">
        <v>5.3999999999999999E-2</v>
      </c>
      <c r="N8031" s="508">
        <v>5.3999999999999999E-2</v>
      </c>
      <c r="O8031" s="508">
        <v>5.3999999999999999E-2</v>
      </c>
      <c r="P8031" s="508">
        <v>5.3999999999999999E-2</v>
      </c>
      <c r="Q8031" s="508">
        <v>5.3999999999999999E-2</v>
      </c>
      <c r="R8031" s="508">
        <v>5.3999999999999999E-2</v>
      </c>
      <c r="S8031" s="508">
        <v>5.3999999999999999E-2</v>
      </c>
      <c r="T8031" s="508">
        <v>5.3999999999999999E-2</v>
      </c>
      <c r="U8031" s="508">
        <v>5.3999999999999999E-2</v>
      </c>
      <c r="V8031" s="508">
        <v>5.3999999999999999E-2</v>
      </c>
      <c r="W8031" s="508">
        <v>5.0999999999999997E-2</v>
      </c>
      <c r="X8031" s="508">
        <v>5.0999999999999997E-2</v>
      </c>
      <c r="Y8031" s="508">
        <v>5.0999999999999997E-2</v>
      </c>
      <c r="Z8031" s="508">
        <v>5.0999999999999997E-2</v>
      </c>
      <c r="AA8031" s="508">
        <v>5.0999999999999997E-2</v>
      </c>
      <c r="AB8031" s="508">
        <v>5.0999999999999997E-2</v>
      </c>
      <c r="AC8031" s="508">
        <v>5.0999999999999997E-2</v>
      </c>
      <c r="AD8031" s="508">
        <v>5.0999999999999997E-2</v>
      </c>
      <c r="AE8031" s="508">
        <v>5.0999999999999997E-2</v>
      </c>
      <c r="AF8031" s="508">
        <v>5.0999999999999997E-2</v>
      </c>
      <c r="AG8031" s="508">
        <v>5.0999999999999997E-2</v>
      </c>
      <c r="AH8031" s="508">
        <v>4.8000000000000001E-2</v>
      </c>
      <c r="AI8031" s="492">
        <v>4.8000000000000001E-2</v>
      </c>
      <c r="AJ8031" s="485"/>
    </row>
    <row r="8032" spans="2:36">
      <c r="B8032" s="136" t="s">
        <v>435</v>
      </c>
      <c r="C8032" s="132" t="s">
        <v>1382</v>
      </c>
      <c r="D8032" s="132" t="s">
        <v>1384</v>
      </c>
      <c r="E8032" s="508">
        <v>1.9E-2</v>
      </c>
      <c r="F8032" s="508">
        <v>1.2999999999999999E-2</v>
      </c>
      <c r="G8032" s="508">
        <v>1.2E-2</v>
      </c>
      <c r="H8032" s="508">
        <v>1.6E-2</v>
      </c>
      <c r="I8032" s="508">
        <v>1.6E-2</v>
      </c>
      <c r="J8032" s="508">
        <v>1.7000000000000001E-2</v>
      </c>
      <c r="K8032" s="508">
        <v>1.7999999999999999E-2</v>
      </c>
      <c r="L8032" s="508">
        <v>1.9E-2</v>
      </c>
      <c r="M8032" s="508">
        <v>1.7999999999999999E-2</v>
      </c>
      <c r="N8032" s="508">
        <v>0.02</v>
      </c>
      <c r="O8032" s="508">
        <v>1.9E-2</v>
      </c>
      <c r="P8032" s="508">
        <v>0.01</v>
      </c>
      <c r="Q8032" s="508">
        <v>1.0999999999999999E-2</v>
      </c>
      <c r="R8032" s="508">
        <v>1.0999999999999999E-2</v>
      </c>
      <c r="S8032" s="508">
        <v>1.0999999999999999E-2</v>
      </c>
      <c r="T8032" s="508">
        <v>1.0999999999999999E-2</v>
      </c>
      <c r="U8032" s="508">
        <v>1.2999999999999999E-2</v>
      </c>
      <c r="V8032" s="508">
        <v>1.2999999999999999E-2</v>
      </c>
      <c r="W8032" s="508">
        <v>1.2999999999999999E-2</v>
      </c>
      <c r="X8032" s="508">
        <v>1.2E-2</v>
      </c>
      <c r="Y8032" s="508">
        <v>1.2E-2</v>
      </c>
      <c r="Z8032" s="508">
        <v>1.2E-2</v>
      </c>
      <c r="AA8032" s="508">
        <v>1.2E-2</v>
      </c>
      <c r="AB8032" s="508">
        <v>1.0999999999999999E-2</v>
      </c>
      <c r="AC8032" s="508">
        <v>0.01</v>
      </c>
      <c r="AD8032" s="508">
        <v>0.01</v>
      </c>
      <c r="AE8032" s="508">
        <v>0.01</v>
      </c>
      <c r="AF8032" s="508">
        <v>8.9999999999999993E-3</v>
      </c>
      <c r="AG8032" s="508">
        <v>8.9999999999999993E-3</v>
      </c>
      <c r="AH8032" s="508">
        <v>8.9999999999999993E-3</v>
      </c>
      <c r="AI8032" s="492">
        <v>8.9999999999999993E-3</v>
      </c>
      <c r="AJ8032" s="485"/>
    </row>
    <row r="8033" spans="2:36">
      <c r="B8033" s="136" t="s">
        <v>436</v>
      </c>
      <c r="C8033" s="132" t="s">
        <v>1382</v>
      </c>
      <c r="D8033" s="132" t="s">
        <v>1384</v>
      </c>
      <c r="E8033" s="508">
        <v>1.9E-2</v>
      </c>
      <c r="F8033" s="508">
        <v>1.2999999999999999E-2</v>
      </c>
      <c r="G8033" s="508">
        <v>1.2E-2</v>
      </c>
      <c r="H8033" s="508">
        <v>1.6E-2</v>
      </c>
      <c r="I8033" s="508">
        <v>1.6E-2</v>
      </c>
      <c r="J8033" s="508">
        <v>1.7000000000000001E-2</v>
      </c>
      <c r="K8033" s="508">
        <v>1.7999999999999999E-2</v>
      </c>
      <c r="L8033" s="508">
        <v>1.7999999999999999E-2</v>
      </c>
      <c r="M8033" s="508">
        <v>1.7999999999999999E-2</v>
      </c>
      <c r="N8033" s="508">
        <v>0.02</v>
      </c>
      <c r="O8033" s="508">
        <v>1.9E-2</v>
      </c>
      <c r="P8033" s="508">
        <v>0.01</v>
      </c>
      <c r="Q8033" s="508">
        <v>1.0999999999999999E-2</v>
      </c>
      <c r="R8033" s="508">
        <v>1.0999999999999999E-2</v>
      </c>
      <c r="S8033" s="508">
        <v>1.0999999999999999E-2</v>
      </c>
      <c r="T8033" s="508">
        <v>0.01</v>
      </c>
      <c r="U8033" s="508">
        <v>1.2999999999999999E-2</v>
      </c>
      <c r="V8033" s="508">
        <v>1.2999999999999999E-2</v>
      </c>
      <c r="W8033" s="508">
        <v>1.2999999999999999E-2</v>
      </c>
      <c r="X8033" s="508">
        <v>1.2E-2</v>
      </c>
      <c r="Y8033" s="508">
        <v>1.2E-2</v>
      </c>
      <c r="Z8033" s="508">
        <v>1.2E-2</v>
      </c>
      <c r="AA8033" s="508">
        <v>1.2E-2</v>
      </c>
      <c r="AB8033" s="508">
        <v>0.01</v>
      </c>
      <c r="AC8033" s="508">
        <v>0.01</v>
      </c>
      <c r="AD8033" s="508">
        <v>0.01</v>
      </c>
      <c r="AE8033" s="508">
        <v>0.01</v>
      </c>
      <c r="AF8033" s="508">
        <v>8.9999999999999993E-3</v>
      </c>
      <c r="AG8033" s="508">
        <v>8.9999999999999993E-3</v>
      </c>
      <c r="AH8033" s="508">
        <v>8.9999999999999993E-3</v>
      </c>
      <c r="AI8033" s="492">
        <v>8.9999999999999993E-3</v>
      </c>
      <c r="AJ8033" s="485"/>
    </row>
    <row r="8034" spans="2:36">
      <c r="B8034" s="136" t="s">
        <v>437</v>
      </c>
      <c r="C8034" s="132" t="s">
        <v>1382</v>
      </c>
      <c r="D8034" s="132" t="s">
        <v>1384</v>
      </c>
      <c r="E8034" s="508">
        <v>1.9E-2</v>
      </c>
      <c r="F8034" s="508">
        <v>1.4E-2</v>
      </c>
      <c r="G8034" s="508">
        <v>1.2E-2</v>
      </c>
      <c r="H8034" s="508">
        <v>1.6E-2</v>
      </c>
      <c r="I8034" s="508">
        <v>1.6E-2</v>
      </c>
      <c r="J8034" s="508">
        <v>1.7000000000000001E-2</v>
      </c>
      <c r="K8034" s="508">
        <v>1.7999999999999999E-2</v>
      </c>
      <c r="L8034" s="508">
        <v>1.9E-2</v>
      </c>
      <c r="M8034" s="508">
        <v>1.7999999999999999E-2</v>
      </c>
      <c r="N8034" s="508">
        <v>0.02</v>
      </c>
      <c r="O8034" s="508">
        <v>1.9E-2</v>
      </c>
      <c r="P8034" s="508">
        <v>0.01</v>
      </c>
      <c r="Q8034" s="508">
        <v>1.0999999999999999E-2</v>
      </c>
      <c r="R8034" s="508">
        <v>1.0999999999999999E-2</v>
      </c>
      <c r="S8034" s="508">
        <v>1.0999999999999999E-2</v>
      </c>
      <c r="T8034" s="508">
        <v>1.0999999999999999E-2</v>
      </c>
      <c r="U8034" s="508">
        <v>1.2999999999999999E-2</v>
      </c>
      <c r="V8034" s="508">
        <v>1.2999999999999999E-2</v>
      </c>
      <c r="W8034" s="508">
        <v>1.2999999999999999E-2</v>
      </c>
      <c r="X8034" s="508">
        <v>1.2999999999999999E-2</v>
      </c>
      <c r="Y8034" s="508">
        <v>1.2E-2</v>
      </c>
      <c r="Z8034" s="508">
        <v>1.2E-2</v>
      </c>
      <c r="AA8034" s="508">
        <v>1.2E-2</v>
      </c>
      <c r="AB8034" s="508">
        <v>1.0999999999999999E-2</v>
      </c>
      <c r="AC8034" s="508">
        <v>0.01</v>
      </c>
      <c r="AD8034" s="508">
        <v>0.01</v>
      </c>
      <c r="AE8034" s="508">
        <v>0.01</v>
      </c>
      <c r="AF8034" s="508">
        <v>0.01</v>
      </c>
      <c r="AG8034" s="508">
        <v>0.01</v>
      </c>
      <c r="AH8034" s="508">
        <v>8.9999999999999993E-3</v>
      </c>
      <c r="AI8034" s="492">
        <v>8.9999999999999993E-3</v>
      </c>
      <c r="AJ8034" s="485"/>
    </row>
    <row r="8035" spans="2:36">
      <c r="B8035" s="136" t="s">
        <v>438</v>
      </c>
      <c r="C8035" s="132" t="s">
        <v>1382</v>
      </c>
      <c r="D8035" s="132" t="s">
        <v>1384</v>
      </c>
      <c r="E8035" s="508">
        <v>1.9E-2</v>
      </c>
      <c r="F8035" s="508">
        <v>1.2999999999999999E-2</v>
      </c>
      <c r="G8035" s="508">
        <v>1.2E-2</v>
      </c>
      <c r="H8035" s="508">
        <v>1.6E-2</v>
      </c>
      <c r="I8035" s="508">
        <v>1.4999999999999999E-2</v>
      </c>
      <c r="J8035" s="508">
        <v>1.7000000000000001E-2</v>
      </c>
      <c r="K8035" s="508">
        <v>1.7999999999999999E-2</v>
      </c>
      <c r="L8035" s="508">
        <v>1.7999999999999999E-2</v>
      </c>
      <c r="M8035" s="508">
        <v>1.7999999999999999E-2</v>
      </c>
      <c r="N8035" s="508">
        <v>0.02</v>
      </c>
      <c r="O8035" s="508">
        <v>1.9E-2</v>
      </c>
      <c r="P8035" s="508">
        <v>0.01</v>
      </c>
      <c r="Q8035" s="508">
        <v>1.0999999999999999E-2</v>
      </c>
      <c r="R8035" s="508">
        <v>1.0999999999999999E-2</v>
      </c>
      <c r="S8035" s="508">
        <v>1.0999999999999999E-2</v>
      </c>
      <c r="T8035" s="508">
        <v>1.0999999999999999E-2</v>
      </c>
      <c r="U8035" s="508">
        <v>1.2999999999999999E-2</v>
      </c>
      <c r="V8035" s="508">
        <v>1.2999999999999999E-2</v>
      </c>
      <c r="W8035" s="508">
        <v>1.2999999999999999E-2</v>
      </c>
      <c r="X8035" s="508">
        <v>1.2E-2</v>
      </c>
      <c r="Y8035" s="508">
        <v>1.2E-2</v>
      </c>
      <c r="Z8035" s="508">
        <v>1.2E-2</v>
      </c>
      <c r="AA8035" s="508">
        <v>1.2E-2</v>
      </c>
      <c r="AB8035" s="508">
        <v>0.01</v>
      </c>
      <c r="AC8035" s="508">
        <v>0.01</v>
      </c>
      <c r="AD8035" s="508">
        <v>0.01</v>
      </c>
      <c r="AE8035" s="508">
        <v>0.01</v>
      </c>
      <c r="AF8035" s="508">
        <v>8.9999999999999993E-3</v>
      </c>
      <c r="AG8035" s="508">
        <v>8.9999999999999993E-3</v>
      </c>
      <c r="AH8035" s="508">
        <v>8.9999999999999993E-3</v>
      </c>
      <c r="AI8035" s="492">
        <v>8.9999999999999993E-3</v>
      </c>
      <c r="AJ8035" s="485"/>
    </row>
    <row r="8036" spans="2:36">
      <c r="B8036" s="136" t="s">
        <v>439</v>
      </c>
      <c r="C8036" s="132" t="s">
        <v>1382</v>
      </c>
      <c r="D8036" s="132" t="s">
        <v>1384</v>
      </c>
      <c r="E8036" s="508">
        <v>1.9E-2</v>
      </c>
      <c r="F8036" s="508">
        <v>1.2999999999999999E-2</v>
      </c>
      <c r="G8036" s="508">
        <v>1.2E-2</v>
      </c>
      <c r="H8036" s="508">
        <v>1.6E-2</v>
      </c>
      <c r="I8036" s="508">
        <v>1.6E-2</v>
      </c>
      <c r="J8036" s="508">
        <v>1.7000000000000001E-2</v>
      </c>
      <c r="K8036" s="508">
        <v>1.7999999999999999E-2</v>
      </c>
      <c r="L8036" s="508">
        <v>1.9E-2</v>
      </c>
      <c r="M8036" s="508">
        <v>1.7999999999999999E-2</v>
      </c>
      <c r="N8036" s="508">
        <v>0.02</v>
      </c>
      <c r="O8036" s="508">
        <v>1.9E-2</v>
      </c>
      <c r="P8036" s="508">
        <v>0.01</v>
      </c>
      <c r="Q8036" s="508">
        <v>1.0999999999999999E-2</v>
      </c>
      <c r="R8036" s="508">
        <v>1.0999999999999999E-2</v>
      </c>
      <c r="S8036" s="508">
        <v>1.0999999999999999E-2</v>
      </c>
      <c r="T8036" s="508">
        <v>1.0999999999999999E-2</v>
      </c>
      <c r="U8036" s="508">
        <v>1.2999999999999999E-2</v>
      </c>
      <c r="V8036" s="508">
        <v>1.2999999999999999E-2</v>
      </c>
      <c r="W8036" s="508">
        <v>1.2999999999999999E-2</v>
      </c>
      <c r="X8036" s="508">
        <v>1.2E-2</v>
      </c>
      <c r="Y8036" s="508">
        <v>1.2E-2</v>
      </c>
      <c r="Z8036" s="508">
        <v>1.2E-2</v>
      </c>
      <c r="AA8036" s="508">
        <v>1.2E-2</v>
      </c>
      <c r="AB8036" s="508">
        <v>0.01</v>
      </c>
      <c r="AC8036" s="508">
        <v>0.01</v>
      </c>
      <c r="AD8036" s="508">
        <v>0.01</v>
      </c>
      <c r="AE8036" s="508">
        <v>0.01</v>
      </c>
      <c r="AF8036" s="508">
        <v>8.9999999999999993E-3</v>
      </c>
      <c r="AG8036" s="508">
        <v>8.9999999999999993E-3</v>
      </c>
      <c r="AH8036" s="508">
        <v>8.9999999999999993E-3</v>
      </c>
      <c r="AI8036" s="492">
        <v>8.9999999999999993E-3</v>
      </c>
      <c r="AJ8036" s="485"/>
    </row>
    <row r="8037" spans="2:36">
      <c r="B8037" s="136" t="s">
        <v>440</v>
      </c>
      <c r="C8037" s="132" t="s">
        <v>1382</v>
      </c>
      <c r="D8037" s="132" t="s">
        <v>1384</v>
      </c>
      <c r="E8037" s="508">
        <v>1.9E-2</v>
      </c>
      <c r="F8037" s="508">
        <v>1.2999999999999999E-2</v>
      </c>
      <c r="G8037" s="508">
        <v>1.2E-2</v>
      </c>
      <c r="H8037" s="508">
        <v>1.6E-2</v>
      </c>
      <c r="I8037" s="508">
        <v>1.6E-2</v>
      </c>
      <c r="J8037" s="508">
        <v>1.7000000000000001E-2</v>
      </c>
      <c r="K8037" s="508">
        <v>1.7999999999999999E-2</v>
      </c>
      <c r="L8037" s="508">
        <v>1.9E-2</v>
      </c>
      <c r="M8037" s="508">
        <v>1.7999999999999999E-2</v>
      </c>
      <c r="N8037" s="508">
        <v>0.02</v>
      </c>
      <c r="O8037" s="508">
        <v>1.9E-2</v>
      </c>
      <c r="P8037" s="508">
        <v>0.01</v>
      </c>
      <c r="Q8037" s="508">
        <v>1.0999999999999999E-2</v>
      </c>
      <c r="R8037" s="508">
        <v>1.0999999999999999E-2</v>
      </c>
      <c r="S8037" s="508">
        <v>1.0999999999999999E-2</v>
      </c>
      <c r="T8037" s="508">
        <v>1.0999999999999999E-2</v>
      </c>
      <c r="U8037" s="508">
        <v>1.2999999999999999E-2</v>
      </c>
      <c r="V8037" s="508">
        <v>1.2999999999999999E-2</v>
      </c>
      <c r="W8037" s="508">
        <v>1.2999999999999999E-2</v>
      </c>
      <c r="X8037" s="508">
        <v>1.2E-2</v>
      </c>
      <c r="Y8037" s="508">
        <v>1.2E-2</v>
      </c>
      <c r="Z8037" s="508">
        <v>1.2E-2</v>
      </c>
      <c r="AA8037" s="508">
        <v>1.2E-2</v>
      </c>
      <c r="AB8037" s="508">
        <v>0.01</v>
      </c>
      <c r="AC8037" s="508">
        <v>0.01</v>
      </c>
      <c r="AD8037" s="508">
        <v>0.01</v>
      </c>
      <c r="AE8037" s="508">
        <v>0.01</v>
      </c>
      <c r="AF8037" s="508">
        <v>8.9999999999999993E-3</v>
      </c>
      <c r="AG8037" s="508">
        <v>8.9999999999999993E-3</v>
      </c>
      <c r="AH8037" s="508">
        <v>8.9999999999999993E-3</v>
      </c>
      <c r="AI8037" s="492">
        <v>8.9999999999999993E-3</v>
      </c>
      <c r="AJ8037" s="485"/>
    </row>
    <row r="8038" spans="2:36">
      <c r="B8038" s="136" t="s">
        <v>441</v>
      </c>
      <c r="C8038" s="132" t="s">
        <v>1382</v>
      </c>
      <c r="D8038" s="132" t="s">
        <v>1384</v>
      </c>
      <c r="E8038" s="508">
        <v>1.9E-2</v>
      </c>
      <c r="F8038" s="508">
        <v>1.2999999999999999E-2</v>
      </c>
      <c r="G8038" s="508">
        <v>1.2E-2</v>
      </c>
      <c r="H8038" s="508">
        <v>1.6E-2</v>
      </c>
      <c r="I8038" s="508">
        <v>1.6E-2</v>
      </c>
      <c r="J8038" s="508">
        <v>1.7000000000000001E-2</v>
      </c>
      <c r="K8038" s="508">
        <v>1.7999999999999999E-2</v>
      </c>
      <c r="L8038" s="508">
        <v>1.9E-2</v>
      </c>
      <c r="M8038" s="508">
        <v>1.7999999999999999E-2</v>
      </c>
      <c r="N8038" s="508">
        <v>0.02</v>
      </c>
      <c r="O8038" s="508">
        <v>1.9E-2</v>
      </c>
      <c r="P8038" s="508">
        <v>0.01</v>
      </c>
      <c r="Q8038" s="508">
        <v>1.0999999999999999E-2</v>
      </c>
      <c r="R8038" s="508">
        <v>1.0999999999999999E-2</v>
      </c>
      <c r="S8038" s="508">
        <v>1.0999999999999999E-2</v>
      </c>
      <c r="T8038" s="508">
        <v>1.0999999999999999E-2</v>
      </c>
      <c r="U8038" s="508">
        <v>1.2999999999999999E-2</v>
      </c>
      <c r="V8038" s="508">
        <v>1.2999999999999999E-2</v>
      </c>
      <c r="W8038" s="508">
        <v>1.2999999999999999E-2</v>
      </c>
      <c r="X8038" s="508">
        <v>1.2E-2</v>
      </c>
      <c r="Y8038" s="508">
        <v>1.2E-2</v>
      </c>
      <c r="Z8038" s="508">
        <v>1.2E-2</v>
      </c>
      <c r="AA8038" s="508">
        <v>1.2E-2</v>
      </c>
      <c r="AB8038" s="508">
        <v>0.01</v>
      </c>
      <c r="AC8038" s="508">
        <v>0.01</v>
      </c>
      <c r="AD8038" s="508">
        <v>0.01</v>
      </c>
      <c r="AE8038" s="508">
        <v>0.01</v>
      </c>
      <c r="AF8038" s="508">
        <v>8.9999999999999993E-3</v>
      </c>
      <c r="AG8038" s="508">
        <v>8.9999999999999993E-3</v>
      </c>
      <c r="AH8038" s="508">
        <v>8.9999999999999993E-3</v>
      </c>
      <c r="AI8038" s="492">
        <v>8.9999999999999993E-3</v>
      </c>
      <c r="AJ8038" s="485"/>
    </row>
    <row r="8039" spans="2:36">
      <c r="B8039" s="136" t="s">
        <v>443</v>
      </c>
      <c r="C8039" s="132" t="s">
        <v>1382</v>
      </c>
      <c r="D8039" s="132" t="s">
        <v>1384</v>
      </c>
      <c r="E8039" s="508">
        <v>1.9E-2</v>
      </c>
      <c r="F8039" s="508">
        <v>1.2999999999999999E-2</v>
      </c>
      <c r="G8039" s="508">
        <v>1.2E-2</v>
      </c>
      <c r="H8039" s="508">
        <v>1.6E-2</v>
      </c>
      <c r="I8039" s="508">
        <v>1.6E-2</v>
      </c>
      <c r="J8039" s="508">
        <v>1.7000000000000001E-2</v>
      </c>
      <c r="K8039" s="508">
        <v>1.7999999999999999E-2</v>
      </c>
      <c r="L8039" s="508">
        <v>1.9E-2</v>
      </c>
      <c r="M8039" s="508">
        <v>1.7999999999999999E-2</v>
      </c>
      <c r="N8039" s="508">
        <v>0.02</v>
      </c>
      <c r="O8039" s="508">
        <v>1.9E-2</v>
      </c>
      <c r="P8039" s="508">
        <v>0.01</v>
      </c>
      <c r="Q8039" s="508">
        <v>1.0999999999999999E-2</v>
      </c>
      <c r="R8039" s="508">
        <v>1.0999999999999999E-2</v>
      </c>
      <c r="S8039" s="508">
        <v>1.0999999999999999E-2</v>
      </c>
      <c r="T8039" s="508">
        <v>1.0999999999999999E-2</v>
      </c>
      <c r="U8039" s="508">
        <v>1.2999999999999999E-2</v>
      </c>
      <c r="V8039" s="508">
        <v>1.2999999999999999E-2</v>
      </c>
      <c r="W8039" s="508">
        <v>1.2999999999999999E-2</v>
      </c>
      <c r="X8039" s="508">
        <v>1.2E-2</v>
      </c>
      <c r="Y8039" s="508">
        <v>1.2E-2</v>
      </c>
      <c r="Z8039" s="508">
        <v>1.2E-2</v>
      </c>
      <c r="AA8039" s="508">
        <v>1.2E-2</v>
      </c>
      <c r="AB8039" s="508">
        <v>1.0999999999999999E-2</v>
      </c>
      <c r="AC8039" s="508">
        <v>0.01</v>
      </c>
      <c r="AD8039" s="508">
        <v>0.01</v>
      </c>
      <c r="AE8039" s="508">
        <v>0.01</v>
      </c>
      <c r="AF8039" s="508">
        <v>8.9999999999999993E-3</v>
      </c>
      <c r="AG8039" s="508">
        <v>8.9999999999999993E-3</v>
      </c>
      <c r="AH8039" s="508">
        <v>8.9999999999999993E-3</v>
      </c>
      <c r="AI8039" s="492">
        <v>8.9999999999999993E-3</v>
      </c>
      <c r="AJ8039" s="485"/>
    </row>
    <row r="8040" spans="2:36">
      <c r="B8040" s="136" t="s">
        <v>445</v>
      </c>
      <c r="C8040" s="132" t="s">
        <v>1382</v>
      </c>
      <c r="D8040" s="132" t="s">
        <v>1384</v>
      </c>
      <c r="E8040" s="508">
        <v>0.02</v>
      </c>
      <c r="F8040" s="508">
        <v>1.4E-2</v>
      </c>
      <c r="G8040" s="508">
        <v>1.2E-2</v>
      </c>
      <c r="H8040" s="508">
        <v>1.7000000000000001E-2</v>
      </c>
      <c r="I8040" s="508">
        <v>1.6E-2</v>
      </c>
      <c r="J8040" s="508">
        <v>1.7000000000000001E-2</v>
      </c>
      <c r="K8040" s="508">
        <v>1.9E-2</v>
      </c>
      <c r="L8040" s="508">
        <v>1.9E-2</v>
      </c>
      <c r="M8040" s="508">
        <v>1.7999999999999999E-2</v>
      </c>
      <c r="N8040" s="508">
        <v>2.1000000000000001E-2</v>
      </c>
      <c r="O8040" s="508">
        <v>0.02</v>
      </c>
      <c r="P8040" s="508">
        <v>0.01</v>
      </c>
      <c r="Q8040" s="508">
        <v>1.0999999999999999E-2</v>
      </c>
      <c r="R8040" s="508">
        <v>1.0999999999999999E-2</v>
      </c>
      <c r="S8040" s="508">
        <v>1.0999999999999999E-2</v>
      </c>
      <c r="T8040" s="508">
        <v>1.0999999999999999E-2</v>
      </c>
      <c r="U8040" s="508">
        <v>1.4E-2</v>
      </c>
      <c r="V8040" s="508">
        <v>1.4E-2</v>
      </c>
      <c r="W8040" s="508">
        <v>1.4E-2</v>
      </c>
      <c r="X8040" s="508">
        <v>1.2999999999999999E-2</v>
      </c>
      <c r="Y8040" s="508">
        <v>1.2999999999999999E-2</v>
      </c>
      <c r="Z8040" s="508">
        <v>1.2999999999999999E-2</v>
      </c>
      <c r="AA8040" s="508">
        <v>1.2999999999999999E-2</v>
      </c>
      <c r="AB8040" s="508">
        <v>1.0999999999999999E-2</v>
      </c>
      <c r="AC8040" s="508">
        <v>0.01</v>
      </c>
      <c r="AD8040" s="508">
        <v>0.01</v>
      </c>
      <c r="AE8040" s="508">
        <v>1.0999999999999999E-2</v>
      </c>
      <c r="AF8040" s="508">
        <v>0.01</v>
      </c>
      <c r="AG8040" s="508">
        <v>0.01</v>
      </c>
      <c r="AH8040" s="508">
        <v>0.01</v>
      </c>
      <c r="AI8040" s="492">
        <v>8.9999999999999993E-3</v>
      </c>
      <c r="AJ8040" s="485"/>
    </row>
    <row r="8041" spans="2:36">
      <c r="B8041" s="136" t="s">
        <v>446</v>
      </c>
      <c r="C8041" s="132" t="s">
        <v>1382</v>
      </c>
      <c r="D8041" s="132" t="s">
        <v>1384</v>
      </c>
      <c r="E8041" s="508">
        <v>0.02</v>
      </c>
      <c r="F8041" s="508">
        <v>1.4E-2</v>
      </c>
      <c r="G8041" s="508">
        <v>1.2E-2</v>
      </c>
      <c r="H8041" s="508">
        <v>1.7000000000000001E-2</v>
      </c>
      <c r="I8041" s="508">
        <v>1.6E-2</v>
      </c>
      <c r="J8041" s="508">
        <v>1.7000000000000001E-2</v>
      </c>
      <c r="K8041" s="508">
        <v>1.9E-2</v>
      </c>
      <c r="L8041" s="508">
        <v>1.9E-2</v>
      </c>
      <c r="M8041" s="508">
        <v>1.9E-2</v>
      </c>
      <c r="N8041" s="508">
        <v>2.1000000000000001E-2</v>
      </c>
      <c r="O8041" s="508">
        <v>0.02</v>
      </c>
      <c r="P8041" s="508">
        <v>1.0999999999999999E-2</v>
      </c>
      <c r="Q8041" s="508">
        <v>1.0999999999999999E-2</v>
      </c>
      <c r="R8041" s="508">
        <v>1.0999999999999999E-2</v>
      </c>
      <c r="S8041" s="508">
        <v>1.0999999999999999E-2</v>
      </c>
      <c r="T8041" s="508">
        <v>1.0999999999999999E-2</v>
      </c>
      <c r="U8041" s="508">
        <v>1.4E-2</v>
      </c>
      <c r="V8041" s="508">
        <v>1.4E-2</v>
      </c>
      <c r="W8041" s="508">
        <v>1.4E-2</v>
      </c>
      <c r="X8041" s="508">
        <v>1.2999999999999999E-2</v>
      </c>
      <c r="Y8041" s="508">
        <v>1.2999999999999999E-2</v>
      </c>
      <c r="Z8041" s="508">
        <v>1.2999999999999999E-2</v>
      </c>
      <c r="AA8041" s="508">
        <v>1.2999999999999999E-2</v>
      </c>
      <c r="AB8041" s="508">
        <v>1.0999999999999999E-2</v>
      </c>
      <c r="AC8041" s="508">
        <v>0.01</v>
      </c>
      <c r="AD8041" s="508">
        <v>0.01</v>
      </c>
      <c r="AE8041" s="508">
        <v>1.0999999999999999E-2</v>
      </c>
      <c r="AF8041" s="508">
        <v>0.01</v>
      </c>
      <c r="AG8041" s="508">
        <v>0.01</v>
      </c>
      <c r="AH8041" s="508">
        <v>0.01</v>
      </c>
      <c r="AI8041" s="492">
        <v>0.01</v>
      </c>
      <c r="AJ8041" s="485"/>
    </row>
    <row r="8042" spans="2:36">
      <c r="B8042" s="136" t="s">
        <v>448</v>
      </c>
      <c r="C8042" s="132" t="s">
        <v>1382</v>
      </c>
      <c r="D8042" s="132" t="s">
        <v>1384</v>
      </c>
      <c r="E8042" s="508">
        <v>1.9E-2</v>
      </c>
      <c r="F8042" s="508">
        <v>1.2999999999999999E-2</v>
      </c>
      <c r="G8042" s="508">
        <v>1.2E-2</v>
      </c>
      <c r="H8042" s="508">
        <v>1.6E-2</v>
      </c>
      <c r="I8042" s="508">
        <v>1.4999999999999999E-2</v>
      </c>
      <c r="J8042" s="508">
        <v>1.7000000000000001E-2</v>
      </c>
      <c r="K8042" s="508">
        <v>1.7999999999999999E-2</v>
      </c>
      <c r="L8042" s="508">
        <v>1.9E-2</v>
      </c>
      <c r="M8042" s="508">
        <v>1.7999999999999999E-2</v>
      </c>
      <c r="N8042" s="508">
        <v>0.02</v>
      </c>
      <c r="O8042" s="508">
        <v>1.9E-2</v>
      </c>
      <c r="P8042" s="508">
        <v>0.01</v>
      </c>
      <c r="Q8042" s="508">
        <v>1.0999999999999999E-2</v>
      </c>
      <c r="R8042" s="508">
        <v>1.0999999999999999E-2</v>
      </c>
      <c r="S8042" s="508">
        <v>1.0999999999999999E-2</v>
      </c>
      <c r="T8042" s="508">
        <v>1.0999999999999999E-2</v>
      </c>
      <c r="U8042" s="508">
        <v>1.2999999999999999E-2</v>
      </c>
      <c r="V8042" s="508">
        <v>1.2999999999999999E-2</v>
      </c>
      <c r="W8042" s="508">
        <v>1.2999999999999999E-2</v>
      </c>
      <c r="X8042" s="508">
        <v>1.2E-2</v>
      </c>
      <c r="Y8042" s="508">
        <v>1.2E-2</v>
      </c>
      <c r="Z8042" s="508">
        <v>1.2E-2</v>
      </c>
      <c r="AA8042" s="508">
        <v>1.2E-2</v>
      </c>
      <c r="AB8042" s="508">
        <v>0.01</v>
      </c>
      <c r="AC8042" s="508">
        <v>0.01</v>
      </c>
      <c r="AD8042" s="508">
        <v>0.01</v>
      </c>
      <c r="AE8042" s="508">
        <v>0.01</v>
      </c>
      <c r="AF8042" s="508">
        <v>8.9999999999999993E-3</v>
      </c>
      <c r="AG8042" s="508">
        <v>8.9999999999999993E-3</v>
      </c>
      <c r="AH8042" s="508">
        <v>8.9999999999999993E-3</v>
      </c>
      <c r="AI8042" s="492">
        <v>8.9999999999999993E-3</v>
      </c>
      <c r="AJ8042" s="485"/>
    </row>
    <row r="8043" spans="2:36">
      <c r="B8043" s="136" t="s">
        <v>449</v>
      </c>
      <c r="C8043" s="132" t="s">
        <v>1382</v>
      </c>
      <c r="D8043" s="132" t="s">
        <v>1384</v>
      </c>
      <c r="E8043" s="508">
        <v>1.9E-2</v>
      </c>
      <c r="F8043" s="508">
        <v>1.4E-2</v>
      </c>
      <c r="G8043" s="508">
        <v>1.2E-2</v>
      </c>
      <c r="H8043" s="508">
        <v>1.6E-2</v>
      </c>
      <c r="I8043" s="508">
        <v>1.6E-2</v>
      </c>
      <c r="J8043" s="508">
        <v>1.7000000000000001E-2</v>
      </c>
      <c r="K8043" s="508">
        <v>1.7999999999999999E-2</v>
      </c>
      <c r="L8043" s="508">
        <v>1.9E-2</v>
      </c>
      <c r="M8043" s="508">
        <v>1.7999999999999999E-2</v>
      </c>
      <c r="N8043" s="508">
        <v>0.02</v>
      </c>
      <c r="O8043" s="508">
        <v>1.9E-2</v>
      </c>
      <c r="P8043" s="508">
        <v>0.01</v>
      </c>
      <c r="Q8043" s="508">
        <v>1.0999999999999999E-2</v>
      </c>
      <c r="R8043" s="508">
        <v>1.0999999999999999E-2</v>
      </c>
      <c r="S8043" s="508">
        <v>1.0999999999999999E-2</v>
      </c>
      <c r="T8043" s="508">
        <v>1.0999999999999999E-2</v>
      </c>
      <c r="U8043" s="508">
        <v>1.2999999999999999E-2</v>
      </c>
      <c r="V8043" s="508">
        <v>1.2999999999999999E-2</v>
      </c>
      <c r="W8043" s="508">
        <v>1.2999999999999999E-2</v>
      </c>
      <c r="X8043" s="508">
        <v>1.2999999999999999E-2</v>
      </c>
      <c r="Y8043" s="508">
        <v>1.2E-2</v>
      </c>
      <c r="Z8043" s="508">
        <v>1.2E-2</v>
      </c>
      <c r="AA8043" s="508">
        <v>1.2E-2</v>
      </c>
      <c r="AB8043" s="508">
        <v>1.0999999999999999E-2</v>
      </c>
      <c r="AC8043" s="508">
        <v>0.01</v>
      </c>
      <c r="AD8043" s="508">
        <v>0.01</v>
      </c>
      <c r="AE8043" s="508">
        <v>0.01</v>
      </c>
      <c r="AF8043" s="508">
        <v>0.01</v>
      </c>
      <c r="AG8043" s="508">
        <v>0.01</v>
      </c>
      <c r="AH8043" s="508">
        <v>8.9999999999999993E-3</v>
      </c>
      <c r="AI8043" s="492">
        <v>8.9999999999999993E-3</v>
      </c>
      <c r="AJ8043" s="485"/>
    </row>
    <row r="8044" spans="2:36">
      <c r="B8044" s="136" t="s">
        <v>450</v>
      </c>
      <c r="C8044" s="132" t="s">
        <v>1382</v>
      </c>
      <c r="D8044" s="132" t="s">
        <v>1384</v>
      </c>
      <c r="E8044" s="508">
        <v>1.9E-2</v>
      </c>
      <c r="F8044" s="508">
        <v>1.2999999999999999E-2</v>
      </c>
      <c r="G8044" s="508">
        <v>1.2E-2</v>
      </c>
      <c r="H8044" s="508">
        <v>1.6E-2</v>
      </c>
      <c r="I8044" s="508">
        <v>1.4999999999999999E-2</v>
      </c>
      <c r="J8044" s="508">
        <v>1.7000000000000001E-2</v>
      </c>
      <c r="K8044" s="508">
        <v>1.7999999999999999E-2</v>
      </c>
      <c r="L8044" s="508">
        <v>1.7999999999999999E-2</v>
      </c>
      <c r="M8044" s="508">
        <v>1.7999999999999999E-2</v>
      </c>
      <c r="N8044" s="508">
        <v>0.02</v>
      </c>
      <c r="O8044" s="508">
        <v>1.9E-2</v>
      </c>
      <c r="P8044" s="508">
        <v>0.01</v>
      </c>
      <c r="Q8044" s="508">
        <v>0.01</v>
      </c>
      <c r="R8044" s="508">
        <v>1.0999999999999999E-2</v>
      </c>
      <c r="S8044" s="508">
        <v>1.0999999999999999E-2</v>
      </c>
      <c r="T8044" s="508">
        <v>0.01</v>
      </c>
      <c r="U8044" s="508">
        <v>1.2999999999999999E-2</v>
      </c>
      <c r="V8044" s="508">
        <v>1.2999999999999999E-2</v>
      </c>
      <c r="W8044" s="508">
        <v>1.2999999999999999E-2</v>
      </c>
      <c r="X8044" s="508">
        <v>1.2E-2</v>
      </c>
      <c r="Y8044" s="508">
        <v>1.2E-2</v>
      </c>
      <c r="Z8044" s="508">
        <v>1.2E-2</v>
      </c>
      <c r="AA8044" s="508">
        <v>1.2E-2</v>
      </c>
      <c r="AB8044" s="508">
        <v>0.01</v>
      </c>
      <c r="AC8044" s="508">
        <v>0.01</v>
      </c>
      <c r="AD8044" s="508">
        <v>0.01</v>
      </c>
      <c r="AE8044" s="508">
        <v>0.01</v>
      </c>
      <c r="AF8044" s="508">
        <v>8.9999999999999993E-3</v>
      </c>
      <c r="AG8044" s="508">
        <v>8.9999999999999993E-3</v>
      </c>
      <c r="AH8044" s="508">
        <v>8.9999999999999993E-3</v>
      </c>
      <c r="AI8044" s="492">
        <v>8.9999999999999993E-3</v>
      </c>
      <c r="AJ8044" s="485"/>
    </row>
    <row r="8045" spans="2:36">
      <c r="B8045" s="136" t="s">
        <v>451</v>
      </c>
      <c r="C8045" s="132" t="s">
        <v>1382</v>
      </c>
      <c r="D8045" s="132" t="s">
        <v>1384</v>
      </c>
      <c r="E8045" s="508">
        <v>0.02</v>
      </c>
      <c r="F8045" s="508">
        <v>1.4E-2</v>
      </c>
      <c r="G8045" s="508">
        <v>1.2E-2</v>
      </c>
      <c r="H8045" s="508">
        <v>1.7000000000000001E-2</v>
      </c>
      <c r="I8045" s="508">
        <v>1.6E-2</v>
      </c>
      <c r="J8045" s="508">
        <v>1.7000000000000001E-2</v>
      </c>
      <c r="K8045" s="508">
        <v>1.7999999999999999E-2</v>
      </c>
      <c r="L8045" s="508">
        <v>1.9E-2</v>
      </c>
      <c r="M8045" s="508">
        <v>1.7999999999999999E-2</v>
      </c>
      <c r="N8045" s="508">
        <v>0.02</v>
      </c>
      <c r="O8045" s="508">
        <v>1.9E-2</v>
      </c>
      <c r="P8045" s="508">
        <v>0.01</v>
      </c>
      <c r="Q8045" s="508">
        <v>1.0999999999999999E-2</v>
      </c>
      <c r="R8045" s="508">
        <v>1.0999999999999999E-2</v>
      </c>
      <c r="S8045" s="508">
        <v>1.0999999999999999E-2</v>
      </c>
      <c r="T8045" s="508">
        <v>1.0999999999999999E-2</v>
      </c>
      <c r="U8045" s="508">
        <v>1.2999999999999999E-2</v>
      </c>
      <c r="V8045" s="508">
        <v>1.2999999999999999E-2</v>
      </c>
      <c r="W8045" s="508">
        <v>1.2999999999999999E-2</v>
      </c>
      <c r="X8045" s="508">
        <v>1.2999999999999999E-2</v>
      </c>
      <c r="Y8045" s="508">
        <v>1.2E-2</v>
      </c>
      <c r="Z8045" s="508">
        <v>1.2E-2</v>
      </c>
      <c r="AA8045" s="508">
        <v>1.2E-2</v>
      </c>
      <c r="AB8045" s="508">
        <v>1.0999999999999999E-2</v>
      </c>
      <c r="AC8045" s="508">
        <v>0.01</v>
      </c>
      <c r="AD8045" s="508">
        <v>0.01</v>
      </c>
      <c r="AE8045" s="508">
        <v>0.01</v>
      </c>
      <c r="AF8045" s="508">
        <v>0.01</v>
      </c>
      <c r="AG8045" s="508">
        <v>0.01</v>
      </c>
      <c r="AH8045" s="508">
        <v>8.9999999999999993E-3</v>
      </c>
      <c r="AI8045" s="492">
        <v>8.9999999999999993E-3</v>
      </c>
      <c r="AJ8045" s="485"/>
    </row>
    <row r="8046" spans="2:36">
      <c r="B8046" s="136" t="s">
        <v>452</v>
      </c>
      <c r="C8046" s="132" t="s">
        <v>1382</v>
      </c>
      <c r="D8046" s="132" t="s">
        <v>1384</v>
      </c>
      <c r="E8046" s="508">
        <v>1.9E-2</v>
      </c>
      <c r="F8046" s="508">
        <v>1.4E-2</v>
      </c>
      <c r="G8046" s="508">
        <v>1.2E-2</v>
      </c>
      <c r="H8046" s="508">
        <v>1.6E-2</v>
      </c>
      <c r="I8046" s="508">
        <v>1.6E-2</v>
      </c>
      <c r="J8046" s="508">
        <v>1.7000000000000001E-2</v>
      </c>
      <c r="K8046" s="508">
        <v>1.7999999999999999E-2</v>
      </c>
      <c r="L8046" s="508">
        <v>1.9E-2</v>
      </c>
      <c r="M8046" s="508">
        <v>1.7999999999999999E-2</v>
      </c>
      <c r="N8046" s="508">
        <v>0.02</v>
      </c>
      <c r="O8046" s="508">
        <v>1.9E-2</v>
      </c>
      <c r="P8046" s="508">
        <v>0.01</v>
      </c>
      <c r="Q8046" s="508">
        <v>1.0999999999999999E-2</v>
      </c>
      <c r="R8046" s="508">
        <v>1.0999999999999999E-2</v>
      </c>
      <c r="S8046" s="508">
        <v>1.0999999999999999E-2</v>
      </c>
      <c r="T8046" s="508">
        <v>1.0999999999999999E-2</v>
      </c>
      <c r="U8046" s="508">
        <v>1.2999999999999999E-2</v>
      </c>
      <c r="V8046" s="508">
        <v>1.2999999999999999E-2</v>
      </c>
      <c r="W8046" s="508">
        <v>1.2999999999999999E-2</v>
      </c>
      <c r="X8046" s="508">
        <v>1.2E-2</v>
      </c>
      <c r="Y8046" s="508">
        <v>1.2E-2</v>
      </c>
      <c r="Z8046" s="508">
        <v>1.2E-2</v>
      </c>
      <c r="AA8046" s="508">
        <v>1.2E-2</v>
      </c>
      <c r="AB8046" s="508">
        <v>0.01</v>
      </c>
      <c r="AC8046" s="508">
        <v>0.01</v>
      </c>
      <c r="AD8046" s="508">
        <v>0.01</v>
      </c>
      <c r="AE8046" s="508">
        <v>0.01</v>
      </c>
      <c r="AF8046" s="508">
        <v>8.9999999999999993E-3</v>
      </c>
      <c r="AG8046" s="508">
        <v>8.9999999999999993E-3</v>
      </c>
      <c r="AH8046" s="508">
        <v>8.9999999999999993E-3</v>
      </c>
      <c r="AI8046" s="492">
        <v>8.9999999999999993E-3</v>
      </c>
      <c r="AJ8046" s="485"/>
    </row>
    <row r="8047" spans="2:36">
      <c r="B8047" s="136" t="s">
        <v>453</v>
      </c>
      <c r="C8047" s="132" t="s">
        <v>1382</v>
      </c>
      <c r="D8047" s="132" t="s">
        <v>1384</v>
      </c>
      <c r="E8047" s="508">
        <v>1.9E-2</v>
      </c>
      <c r="F8047" s="508">
        <v>1.2999999999999999E-2</v>
      </c>
      <c r="G8047" s="508">
        <v>1.2E-2</v>
      </c>
      <c r="H8047" s="508">
        <v>1.6E-2</v>
      </c>
      <c r="I8047" s="508">
        <v>1.4999999999999999E-2</v>
      </c>
      <c r="J8047" s="508">
        <v>1.7000000000000001E-2</v>
      </c>
      <c r="K8047" s="508">
        <v>1.7999999999999999E-2</v>
      </c>
      <c r="L8047" s="508">
        <v>1.7999999999999999E-2</v>
      </c>
      <c r="M8047" s="508">
        <v>1.7999999999999999E-2</v>
      </c>
      <c r="N8047" s="508">
        <v>0.02</v>
      </c>
      <c r="O8047" s="508">
        <v>1.9E-2</v>
      </c>
      <c r="P8047" s="508">
        <v>0.01</v>
      </c>
      <c r="Q8047" s="508">
        <v>0.01</v>
      </c>
      <c r="R8047" s="508">
        <v>1.0999999999999999E-2</v>
      </c>
      <c r="S8047" s="508">
        <v>1.0999999999999999E-2</v>
      </c>
      <c r="T8047" s="508">
        <v>0.01</v>
      </c>
      <c r="U8047" s="508">
        <v>1.2999999999999999E-2</v>
      </c>
      <c r="V8047" s="508">
        <v>1.2999999999999999E-2</v>
      </c>
      <c r="W8047" s="508">
        <v>1.2999999999999999E-2</v>
      </c>
      <c r="X8047" s="508">
        <v>1.2E-2</v>
      </c>
      <c r="Y8047" s="508">
        <v>1.2E-2</v>
      </c>
      <c r="Z8047" s="508">
        <v>1.2E-2</v>
      </c>
      <c r="AA8047" s="508">
        <v>1.2E-2</v>
      </c>
      <c r="AB8047" s="508">
        <v>0.01</v>
      </c>
      <c r="AC8047" s="508">
        <v>0.01</v>
      </c>
      <c r="AD8047" s="508">
        <v>0.01</v>
      </c>
      <c r="AE8047" s="508">
        <v>0.01</v>
      </c>
      <c r="AF8047" s="508">
        <v>8.9999999999999993E-3</v>
      </c>
      <c r="AG8047" s="508">
        <v>8.9999999999999993E-3</v>
      </c>
      <c r="AH8047" s="508">
        <v>8.9999999999999993E-3</v>
      </c>
      <c r="AI8047" s="492">
        <v>8.9999999999999993E-3</v>
      </c>
      <c r="AJ8047" s="485"/>
    </row>
    <row r="8048" spans="2:36">
      <c r="B8048" s="136" t="s">
        <v>454</v>
      </c>
      <c r="C8048" s="132" t="s">
        <v>1382</v>
      </c>
      <c r="D8048" s="132" t="s">
        <v>1384</v>
      </c>
      <c r="E8048" s="508">
        <v>1.9E-2</v>
      </c>
      <c r="F8048" s="508">
        <v>1.2999999999999999E-2</v>
      </c>
      <c r="G8048" s="508">
        <v>1.2E-2</v>
      </c>
      <c r="H8048" s="508">
        <v>1.6E-2</v>
      </c>
      <c r="I8048" s="508">
        <v>1.4999999999999999E-2</v>
      </c>
      <c r="J8048" s="508">
        <v>1.7000000000000001E-2</v>
      </c>
      <c r="K8048" s="508">
        <v>1.7999999999999999E-2</v>
      </c>
      <c r="L8048" s="508">
        <v>1.7999999999999999E-2</v>
      </c>
      <c r="M8048" s="508">
        <v>1.7999999999999999E-2</v>
      </c>
      <c r="N8048" s="508">
        <v>0.02</v>
      </c>
      <c r="O8048" s="508">
        <v>1.9E-2</v>
      </c>
      <c r="P8048" s="508">
        <v>0.01</v>
      </c>
      <c r="Q8048" s="508">
        <v>1.0999999999999999E-2</v>
      </c>
      <c r="R8048" s="508">
        <v>1.0999999999999999E-2</v>
      </c>
      <c r="S8048" s="508">
        <v>1.0999999999999999E-2</v>
      </c>
      <c r="T8048" s="508">
        <v>1.0999999999999999E-2</v>
      </c>
      <c r="U8048" s="508">
        <v>1.2999999999999999E-2</v>
      </c>
      <c r="V8048" s="508">
        <v>1.2999999999999999E-2</v>
      </c>
      <c r="W8048" s="508">
        <v>1.2999999999999999E-2</v>
      </c>
      <c r="X8048" s="508">
        <v>1.2E-2</v>
      </c>
      <c r="Y8048" s="508">
        <v>1.2E-2</v>
      </c>
      <c r="Z8048" s="508">
        <v>1.2E-2</v>
      </c>
      <c r="AA8048" s="508">
        <v>1.2E-2</v>
      </c>
      <c r="AB8048" s="508">
        <v>0.01</v>
      </c>
      <c r="AC8048" s="508">
        <v>0.01</v>
      </c>
      <c r="AD8048" s="508">
        <v>0.01</v>
      </c>
      <c r="AE8048" s="508">
        <v>0.01</v>
      </c>
      <c r="AF8048" s="508">
        <v>8.9999999999999993E-3</v>
      </c>
      <c r="AG8048" s="508">
        <v>8.9999999999999993E-3</v>
      </c>
      <c r="AH8048" s="508">
        <v>8.9999999999999993E-3</v>
      </c>
      <c r="AI8048" s="492">
        <v>8.9999999999999993E-3</v>
      </c>
      <c r="AJ8048" s="485"/>
    </row>
    <row r="8049" spans="2:36">
      <c r="B8049" s="136" t="s">
        <v>455</v>
      </c>
      <c r="C8049" s="132" t="s">
        <v>1382</v>
      </c>
      <c r="D8049" s="132" t="s">
        <v>1384</v>
      </c>
      <c r="E8049" s="508">
        <v>1.9E-2</v>
      </c>
      <c r="F8049" s="508">
        <v>1.2999999999999999E-2</v>
      </c>
      <c r="G8049" s="508">
        <v>1.2E-2</v>
      </c>
      <c r="H8049" s="508">
        <v>1.6E-2</v>
      </c>
      <c r="I8049" s="508">
        <v>1.4999999999999999E-2</v>
      </c>
      <c r="J8049" s="508">
        <v>1.6E-2</v>
      </c>
      <c r="K8049" s="508">
        <v>1.7999999999999999E-2</v>
      </c>
      <c r="L8049" s="508">
        <v>1.7999999999999999E-2</v>
      </c>
      <c r="M8049" s="508">
        <v>1.7999999999999999E-2</v>
      </c>
      <c r="N8049" s="508">
        <v>0.02</v>
      </c>
      <c r="O8049" s="508">
        <v>1.9E-2</v>
      </c>
      <c r="P8049" s="508">
        <v>0.01</v>
      </c>
      <c r="Q8049" s="508">
        <v>0.01</v>
      </c>
      <c r="R8049" s="508">
        <v>1.0999999999999999E-2</v>
      </c>
      <c r="S8049" s="508">
        <v>1.0999999999999999E-2</v>
      </c>
      <c r="T8049" s="508">
        <v>0.01</v>
      </c>
      <c r="U8049" s="508">
        <v>1.2999999999999999E-2</v>
      </c>
      <c r="V8049" s="508">
        <v>1.2999999999999999E-2</v>
      </c>
      <c r="W8049" s="508">
        <v>1.2999999999999999E-2</v>
      </c>
      <c r="X8049" s="508">
        <v>1.2E-2</v>
      </c>
      <c r="Y8049" s="508">
        <v>1.2E-2</v>
      </c>
      <c r="Z8049" s="508">
        <v>1.2E-2</v>
      </c>
      <c r="AA8049" s="508">
        <v>1.2E-2</v>
      </c>
      <c r="AB8049" s="508">
        <v>0.01</v>
      </c>
      <c r="AC8049" s="508">
        <v>0.01</v>
      </c>
      <c r="AD8049" s="508">
        <v>0.01</v>
      </c>
      <c r="AE8049" s="508">
        <v>0.01</v>
      </c>
      <c r="AF8049" s="508">
        <v>8.9999999999999993E-3</v>
      </c>
      <c r="AG8049" s="508">
        <v>8.9999999999999993E-3</v>
      </c>
      <c r="AH8049" s="508">
        <v>8.9999999999999993E-3</v>
      </c>
      <c r="AI8049" s="492">
        <v>8.9999999999999993E-3</v>
      </c>
      <c r="AJ8049" s="485"/>
    </row>
    <row r="8050" spans="2:36">
      <c r="B8050" s="136" t="s">
        <v>456</v>
      </c>
      <c r="C8050" s="132" t="s">
        <v>1382</v>
      </c>
      <c r="D8050" s="132" t="s">
        <v>1384</v>
      </c>
      <c r="E8050" s="508">
        <v>1.9E-2</v>
      </c>
      <c r="F8050" s="508">
        <v>1.2999999999999999E-2</v>
      </c>
      <c r="G8050" s="508">
        <v>1.2E-2</v>
      </c>
      <c r="H8050" s="508">
        <v>1.6E-2</v>
      </c>
      <c r="I8050" s="508">
        <v>1.6E-2</v>
      </c>
      <c r="J8050" s="508">
        <v>1.7000000000000001E-2</v>
      </c>
      <c r="K8050" s="508">
        <v>1.7999999999999999E-2</v>
      </c>
      <c r="L8050" s="508">
        <v>1.9E-2</v>
      </c>
      <c r="M8050" s="508">
        <v>1.7999999999999999E-2</v>
      </c>
      <c r="N8050" s="508">
        <v>0.02</v>
      </c>
      <c r="O8050" s="508">
        <v>1.9E-2</v>
      </c>
      <c r="P8050" s="508">
        <v>0.01</v>
      </c>
      <c r="Q8050" s="508">
        <v>1.0999999999999999E-2</v>
      </c>
      <c r="R8050" s="508">
        <v>1.0999999999999999E-2</v>
      </c>
      <c r="S8050" s="508">
        <v>1.0999999999999999E-2</v>
      </c>
      <c r="T8050" s="508">
        <v>1.0999999999999999E-2</v>
      </c>
      <c r="U8050" s="508">
        <v>1.2999999999999999E-2</v>
      </c>
      <c r="V8050" s="508">
        <v>1.2999999999999999E-2</v>
      </c>
      <c r="W8050" s="508">
        <v>1.2999999999999999E-2</v>
      </c>
      <c r="X8050" s="508">
        <v>1.2E-2</v>
      </c>
      <c r="Y8050" s="508">
        <v>1.2E-2</v>
      </c>
      <c r="Z8050" s="508">
        <v>1.2E-2</v>
      </c>
      <c r="AA8050" s="508">
        <v>1.2E-2</v>
      </c>
      <c r="AB8050" s="508">
        <v>1.0999999999999999E-2</v>
      </c>
      <c r="AC8050" s="508">
        <v>0.01</v>
      </c>
      <c r="AD8050" s="508">
        <v>0.01</v>
      </c>
      <c r="AE8050" s="508">
        <v>0.01</v>
      </c>
      <c r="AF8050" s="508">
        <v>0.01</v>
      </c>
      <c r="AG8050" s="508">
        <v>8.9999999999999993E-3</v>
      </c>
      <c r="AH8050" s="508">
        <v>8.9999999999999993E-3</v>
      </c>
      <c r="AI8050" s="492">
        <v>8.9999999999999993E-3</v>
      </c>
      <c r="AJ8050" s="485"/>
    </row>
    <row r="8051" spans="2:36">
      <c r="B8051" s="136" t="s">
        <v>457</v>
      </c>
      <c r="C8051" s="132" t="s">
        <v>1382</v>
      </c>
      <c r="D8051" s="132" t="s">
        <v>1384</v>
      </c>
      <c r="E8051" s="508">
        <v>1.9E-2</v>
      </c>
      <c r="F8051" s="508">
        <v>1.2999999999999999E-2</v>
      </c>
      <c r="G8051" s="508">
        <v>1.2E-2</v>
      </c>
      <c r="H8051" s="508">
        <v>1.6E-2</v>
      </c>
      <c r="I8051" s="508">
        <v>1.4999999999999999E-2</v>
      </c>
      <c r="J8051" s="508">
        <v>1.6E-2</v>
      </c>
      <c r="K8051" s="508">
        <v>1.7999999999999999E-2</v>
      </c>
      <c r="L8051" s="508">
        <v>1.7999999999999999E-2</v>
      </c>
      <c r="M8051" s="508">
        <v>1.7000000000000001E-2</v>
      </c>
      <c r="N8051" s="508">
        <v>1.9E-2</v>
      </c>
      <c r="O8051" s="508">
        <v>1.7999999999999999E-2</v>
      </c>
      <c r="P8051" s="508">
        <v>0.01</v>
      </c>
      <c r="Q8051" s="508">
        <v>0.01</v>
      </c>
      <c r="R8051" s="508">
        <v>0.01</v>
      </c>
      <c r="S8051" s="508">
        <v>0.01</v>
      </c>
      <c r="T8051" s="508">
        <v>0.01</v>
      </c>
      <c r="U8051" s="508">
        <v>1.2E-2</v>
      </c>
      <c r="V8051" s="508">
        <v>1.2E-2</v>
      </c>
      <c r="W8051" s="508">
        <v>1.2E-2</v>
      </c>
      <c r="X8051" s="508">
        <v>1.2E-2</v>
      </c>
      <c r="Y8051" s="508">
        <v>1.0999999999999999E-2</v>
      </c>
      <c r="Z8051" s="508">
        <v>1.0999999999999999E-2</v>
      </c>
      <c r="AA8051" s="508">
        <v>1.0999999999999999E-2</v>
      </c>
      <c r="AB8051" s="508">
        <v>0.01</v>
      </c>
      <c r="AC8051" s="508">
        <v>8.9999999999999993E-3</v>
      </c>
      <c r="AD8051" s="508">
        <v>8.9999999999999993E-3</v>
      </c>
      <c r="AE8051" s="508">
        <v>0.01</v>
      </c>
      <c r="AF8051" s="508">
        <v>8.9999999999999993E-3</v>
      </c>
      <c r="AG8051" s="508">
        <v>8.9999999999999993E-3</v>
      </c>
      <c r="AH8051" s="508">
        <v>8.9999999999999993E-3</v>
      </c>
      <c r="AI8051" s="492">
        <v>8.0000000000000002E-3</v>
      </c>
      <c r="AJ8051" s="485"/>
    </row>
    <row r="8052" spans="2:36">
      <c r="B8052" s="136" t="s">
        <v>458</v>
      </c>
      <c r="C8052" s="132" t="s">
        <v>1382</v>
      </c>
      <c r="D8052" s="132" t="s">
        <v>1384</v>
      </c>
      <c r="E8052" s="508">
        <v>1.9E-2</v>
      </c>
      <c r="F8052" s="508">
        <v>1.2999999999999999E-2</v>
      </c>
      <c r="G8052" s="508">
        <v>1.2E-2</v>
      </c>
      <c r="H8052" s="508">
        <v>1.6E-2</v>
      </c>
      <c r="I8052" s="508">
        <v>1.6E-2</v>
      </c>
      <c r="J8052" s="508">
        <v>1.7000000000000001E-2</v>
      </c>
      <c r="K8052" s="508">
        <v>1.7999999999999999E-2</v>
      </c>
      <c r="L8052" s="508">
        <v>1.9E-2</v>
      </c>
      <c r="M8052" s="508">
        <v>1.7999999999999999E-2</v>
      </c>
      <c r="N8052" s="508">
        <v>0.02</v>
      </c>
      <c r="O8052" s="508">
        <v>1.9E-2</v>
      </c>
      <c r="P8052" s="508">
        <v>0.01</v>
      </c>
      <c r="Q8052" s="508">
        <v>1.0999999999999999E-2</v>
      </c>
      <c r="R8052" s="508">
        <v>1.0999999999999999E-2</v>
      </c>
      <c r="S8052" s="508">
        <v>1.0999999999999999E-2</v>
      </c>
      <c r="T8052" s="508">
        <v>1.0999999999999999E-2</v>
      </c>
      <c r="U8052" s="508">
        <v>1.2999999999999999E-2</v>
      </c>
      <c r="V8052" s="508">
        <v>1.2999999999999999E-2</v>
      </c>
      <c r="W8052" s="508">
        <v>1.2999999999999999E-2</v>
      </c>
      <c r="X8052" s="508">
        <v>1.2E-2</v>
      </c>
      <c r="Y8052" s="508">
        <v>1.2E-2</v>
      </c>
      <c r="Z8052" s="508">
        <v>1.2E-2</v>
      </c>
      <c r="AA8052" s="508">
        <v>1.2E-2</v>
      </c>
      <c r="AB8052" s="508">
        <v>0.01</v>
      </c>
      <c r="AC8052" s="508">
        <v>0.01</v>
      </c>
      <c r="AD8052" s="508">
        <v>0.01</v>
      </c>
      <c r="AE8052" s="508">
        <v>0.01</v>
      </c>
      <c r="AF8052" s="508">
        <v>8.9999999999999993E-3</v>
      </c>
      <c r="AG8052" s="508">
        <v>8.9999999999999993E-3</v>
      </c>
      <c r="AH8052" s="508">
        <v>8.9999999999999993E-3</v>
      </c>
      <c r="AI8052" s="492">
        <v>8.9999999999999993E-3</v>
      </c>
      <c r="AJ8052" s="485"/>
    </row>
    <row r="8053" spans="2:36">
      <c r="B8053" s="136" t="s">
        <v>459</v>
      </c>
      <c r="C8053" s="132" t="s">
        <v>1382</v>
      </c>
      <c r="D8053" s="132" t="s">
        <v>1384</v>
      </c>
      <c r="E8053" s="508">
        <v>1.9E-2</v>
      </c>
      <c r="F8053" s="508">
        <v>1.2999999999999999E-2</v>
      </c>
      <c r="G8053" s="508">
        <v>1.2E-2</v>
      </c>
      <c r="H8053" s="508">
        <v>1.6E-2</v>
      </c>
      <c r="I8053" s="508">
        <v>1.6E-2</v>
      </c>
      <c r="J8053" s="508">
        <v>1.7000000000000001E-2</v>
      </c>
      <c r="K8053" s="508">
        <v>1.7999999999999999E-2</v>
      </c>
      <c r="L8053" s="508">
        <v>1.9E-2</v>
      </c>
      <c r="M8053" s="508">
        <v>1.7999999999999999E-2</v>
      </c>
      <c r="N8053" s="508">
        <v>0.02</v>
      </c>
      <c r="O8053" s="508">
        <v>1.9E-2</v>
      </c>
      <c r="P8053" s="508">
        <v>0.01</v>
      </c>
      <c r="Q8053" s="508">
        <v>1.0999999999999999E-2</v>
      </c>
      <c r="R8053" s="508">
        <v>1.0999999999999999E-2</v>
      </c>
      <c r="S8053" s="508">
        <v>1.0999999999999999E-2</v>
      </c>
      <c r="T8053" s="508">
        <v>1.0999999999999999E-2</v>
      </c>
      <c r="U8053" s="508">
        <v>1.2999999999999999E-2</v>
      </c>
      <c r="V8053" s="508">
        <v>1.2999999999999999E-2</v>
      </c>
      <c r="W8053" s="508">
        <v>1.2999999999999999E-2</v>
      </c>
      <c r="X8053" s="508">
        <v>1.2E-2</v>
      </c>
      <c r="Y8053" s="508">
        <v>1.2E-2</v>
      </c>
      <c r="Z8053" s="508">
        <v>1.2E-2</v>
      </c>
      <c r="AA8053" s="508">
        <v>1.2E-2</v>
      </c>
      <c r="AB8053" s="508">
        <v>0.01</v>
      </c>
      <c r="AC8053" s="508">
        <v>0.01</v>
      </c>
      <c r="AD8053" s="508">
        <v>0.01</v>
      </c>
      <c r="AE8053" s="508">
        <v>0.01</v>
      </c>
      <c r="AF8053" s="508">
        <v>8.9999999999999993E-3</v>
      </c>
      <c r="AG8053" s="508">
        <v>8.9999999999999993E-3</v>
      </c>
      <c r="AH8053" s="508">
        <v>8.9999999999999993E-3</v>
      </c>
      <c r="AI8053" s="492">
        <v>8.9999999999999993E-3</v>
      </c>
      <c r="AJ8053" s="485"/>
    </row>
    <row r="8054" spans="2:36">
      <c r="B8054" s="136" t="s">
        <v>460</v>
      </c>
      <c r="C8054" s="132" t="s">
        <v>1382</v>
      </c>
      <c r="D8054" s="132" t="s">
        <v>1384</v>
      </c>
      <c r="E8054" s="508">
        <v>1.9E-2</v>
      </c>
      <c r="F8054" s="508">
        <v>1.2999999999999999E-2</v>
      </c>
      <c r="G8054" s="508">
        <v>1.2E-2</v>
      </c>
      <c r="H8054" s="508">
        <v>1.6E-2</v>
      </c>
      <c r="I8054" s="508">
        <v>1.6E-2</v>
      </c>
      <c r="J8054" s="508">
        <v>1.7000000000000001E-2</v>
      </c>
      <c r="K8054" s="508">
        <v>1.7999999999999999E-2</v>
      </c>
      <c r="L8054" s="508">
        <v>1.9E-2</v>
      </c>
      <c r="M8054" s="508">
        <v>1.7999999999999999E-2</v>
      </c>
      <c r="N8054" s="508">
        <v>0.02</v>
      </c>
      <c r="O8054" s="508">
        <v>1.9E-2</v>
      </c>
      <c r="P8054" s="508">
        <v>0.01</v>
      </c>
      <c r="Q8054" s="508">
        <v>1.0999999999999999E-2</v>
      </c>
      <c r="R8054" s="508">
        <v>1.0999999999999999E-2</v>
      </c>
      <c r="S8054" s="508">
        <v>1.0999999999999999E-2</v>
      </c>
      <c r="T8054" s="508">
        <v>1.0999999999999999E-2</v>
      </c>
      <c r="U8054" s="508">
        <v>1.2999999999999999E-2</v>
      </c>
      <c r="V8054" s="508">
        <v>1.2999999999999999E-2</v>
      </c>
      <c r="W8054" s="508">
        <v>1.2999999999999999E-2</v>
      </c>
      <c r="X8054" s="508">
        <v>1.2E-2</v>
      </c>
      <c r="Y8054" s="508">
        <v>1.2E-2</v>
      </c>
      <c r="Z8054" s="508">
        <v>1.2E-2</v>
      </c>
      <c r="AA8054" s="508">
        <v>1.2E-2</v>
      </c>
      <c r="AB8054" s="508">
        <v>0.01</v>
      </c>
      <c r="AC8054" s="508">
        <v>0.01</v>
      </c>
      <c r="AD8054" s="508">
        <v>0.01</v>
      </c>
      <c r="AE8054" s="508">
        <v>0.01</v>
      </c>
      <c r="AF8054" s="508">
        <v>8.9999999999999993E-3</v>
      </c>
      <c r="AG8054" s="508">
        <v>8.9999999999999993E-3</v>
      </c>
      <c r="AH8054" s="508">
        <v>8.9999999999999993E-3</v>
      </c>
      <c r="AI8054" s="492">
        <v>8.9999999999999993E-3</v>
      </c>
      <c r="AJ8054" s="485"/>
    </row>
    <row r="8055" spans="2:36">
      <c r="B8055" s="136" t="s">
        <v>461</v>
      </c>
      <c r="C8055" s="132" t="s">
        <v>1382</v>
      </c>
      <c r="D8055" s="132" t="s">
        <v>1384</v>
      </c>
      <c r="E8055" s="508">
        <v>1.9E-2</v>
      </c>
      <c r="F8055" s="508">
        <v>1.2999999999999999E-2</v>
      </c>
      <c r="G8055" s="508">
        <v>1.2E-2</v>
      </c>
      <c r="H8055" s="508">
        <v>1.6E-2</v>
      </c>
      <c r="I8055" s="508">
        <v>1.4999999999999999E-2</v>
      </c>
      <c r="J8055" s="508">
        <v>1.7000000000000001E-2</v>
      </c>
      <c r="K8055" s="508">
        <v>1.7999999999999999E-2</v>
      </c>
      <c r="L8055" s="508">
        <v>1.7999999999999999E-2</v>
      </c>
      <c r="M8055" s="508">
        <v>1.7999999999999999E-2</v>
      </c>
      <c r="N8055" s="508">
        <v>0.02</v>
      </c>
      <c r="O8055" s="508">
        <v>1.9E-2</v>
      </c>
      <c r="P8055" s="508">
        <v>0.01</v>
      </c>
      <c r="Q8055" s="508">
        <v>1.0999999999999999E-2</v>
      </c>
      <c r="R8055" s="508">
        <v>1.0999999999999999E-2</v>
      </c>
      <c r="S8055" s="508">
        <v>1.0999999999999999E-2</v>
      </c>
      <c r="T8055" s="508">
        <v>1.0999999999999999E-2</v>
      </c>
      <c r="U8055" s="508">
        <v>1.2999999999999999E-2</v>
      </c>
      <c r="V8055" s="508">
        <v>1.2999999999999999E-2</v>
      </c>
      <c r="W8055" s="508">
        <v>1.2999999999999999E-2</v>
      </c>
      <c r="X8055" s="508">
        <v>1.2E-2</v>
      </c>
      <c r="Y8055" s="508">
        <v>1.2E-2</v>
      </c>
      <c r="Z8055" s="508">
        <v>1.2E-2</v>
      </c>
      <c r="AA8055" s="508">
        <v>1.2E-2</v>
      </c>
      <c r="AB8055" s="508">
        <v>0.01</v>
      </c>
      <c r="AC8055" s="508">
        <v>0.01</v>
      </c>
      <c r="AD8055" s="508">
        <v>0.01</v>
      </c>
      <c r="AE8055" s="508">
        <v>0.01</v>
      </c>
      <c r="AF8055" s="508">
        <v>8.9999999999999993E-3</v>
      </c>
      <c r="AG8055" s="508">
        <v>8.9999999999999993E-3</v>
      </c>
      <c r="AH8055" s="508">
        <v>8.9999999999999993E-3</v>
      </c>
      <c r="AI8055" s="492">
        <v>8.9999999999999993E-3</v>
      </c>
      <c r="AJ8055" s="485"/>
    </row>
    <row r="8056" spans="2:36">
      <c r="B8056" s="136" t="s">
        <v>462</v>
      </c>
      <c r="C8056" s="132" t="s">
        <v>1382</v>
      </c>
      <c r="D8056" s="132" t="s">
        <v>1384</v>
      </c>
      <c r="E8056" s="508">
        <v>1.9E-2</v>
      </c>
      <c r="F8056" s="508">
        <v>1.2999999999999999E-2</v>
      </c>
      <c r="G8056" s="508">
        <v>1.2E-2</v>
      </c>
      <c r="H8056" s="508">
        <v>1.6E-2</v>
      </c>
      <c r="I8056" s="508">
        <v>1.4999999999999999E-2</v>
      </c>
      <c r="J8056" s="508">
        <v>1.7000000000000001E-2</v>
      </c>
      <c r="K8056" s="508">
        <v>1.7999999999999999E-2</v>
      </c>
      <c r="L8056" s="508">
        <v>1.7999999999999999E-2</v>
      </c>
      <c r="M8056" s="508">
        <v>1.7999999999999999E-2</v>
      </c>
      <c r="N8056" s="508">
        <v>0.02</v>
      </c>
      <c r="O8056" s="508">
        <v>1.9E-2</v>
      </c>
      <c r="P8056" s="508">
        <v>0.01</v>
      </c>
      <c r="Q8056" s="508">
        <v>1.0999999999999999E-2</v>
      </c>
      <c r="R8056" s="508">
        <v>1.0999999999999999E-2</v>
      </c>
      <c r="S8056" s="508">
        <v>1.0999999999999999E-2</v>
      </c>
      <c r="T8056" s="508">
        <v>1.0999999999999999E-2</v>
      </c>
      <c r="U8056" s="508">
        <v>1.2999999999999999E-2</v>
      </c>
      <c r="V8056" s="508">
        <v>1.2999999999999999E-2</v>
      </c>
      <c r="W8056" s="508">
        <v>1.2999999999999999E-2</v>
      </c>
      <c r="X8056" s="508">
        <v>1.2E-2</v>
      </c>
      <c r="Y8056" s="508">
        <v>1.2E-2</v>
      </c>
      <c r="Z8056" s="508">
        <v>1.2E-2</v>
      </c>
      <c r="AA8056" s="508">
        <v>1.2E-2</v>
      </c>
      <c r="AB8056" s="508">
        <v>0.01</v>
      </c>
      <c r="AC8056" s="508">
        <v>0.01</v>
      </c>
      <c r="AD8056" s="508">
        <v>0.01</v>
      </c>
      <c r="AE8056" s="508">
        <v>0.01</v>
      </c>
      <c r="AF8056" s="508">
        <v>8.9999999999999993E-3</v>
      </c>
      <c r="AG8056" s="508">
        <v>8.9999999999999993E-3</v>
      </c>
      <c r="AH8056" s="508">
        <v>8.9999999999999993E-3</v>
      </c>
      <c r="AI8056" s="492">
        <v>8.9999999999999993E-3</v>
      </c>
      <c r="AJ8056" s="485"/>
    </row>
    <row r="8057" spans="2:36">
      <c r="B8057" s="136" t="s">
        <v>463</v>
      </c>
      <c r="C8057" s="132" t="s">
        <v>1382</v>
      </c>
      <c r="D8057" s="132" t="s">
        <v>1384</v>
      </c>
      <c r="E8057" s="508">
        <v>1.9E-2</v>
      </c>
      <c r="F8057" s="508">
        <v>1.2999999999999999E-2</v>
      </c>
      <c r="G8057" s="508">
        <v>1.2E-2</v>
      </c>
      <c r="H8057" s="508">
        <v>1.6E-2</v>
      </c>
      <c r="I8057" s="508">
        <v>1.4999999999999999E-2</v>
      </c>
      <c r="J8057" s="508">
        <v>1.6E-2</v>
      </c>
      <c r="K8057" s="508">
        <v>1.7999999999999999E-2</v>
      </c>
      <c r="L8057" s="508">
        <v>1.7999999999999999E-2</v>
      </c>
      <c r="M8057" s="508">
        <v>1.7999999999999999E-2</v>
      </c>
      <c r="N8057" s="508">
        <v>0.02</v>
      </c>
      <c r="O8057" s="508">
        <v>1.9E-2</v>
      </c>
      <c r="P8057" s="508">
        <v>0.01</v>
      </c>
      <c r="Q8057" s="508">
        <v>0.01</v>
      </c>
      <c r="R8057" s="508">
        <v>1.0999999999999999E-2</v>
      </c>
      <c r="S8057" s="508">
        <v>0.01</v>
      </c>
      <c r="T8057" s="508">
        <v>0.01</v>
      </c>
      <c r="U8057" s="508">
        <v>1.2999999999999999E-2</v>
      </c>
      <c r="V8057" s="508">
        <v>1.2E-2</v>
      </c>
      <c r="W8057" s="508">
        <v>1.2E-2</v>
      </c>
      <c r="X8057" s="508">
        <v>1.2E-2</v>
      </c>
      <c r="Y8057" s="508">
        <v>1.2E-2</v>
      </c>
      <c r="Z8057" s="508">
        <v>1.2E-2</v>
      </c>
      <c r="AA8057" s="508">
        <v>1.0999999999999999E-2</v>
      </c>
      <c r="AB8057" s="508">
        <v>0.01</v>
      </c>
      <c r="AC8057" s="508">
        <v>0.01</v>
      </c>
      <c r="AD8057" s="508">
        <v>8.9999999999999993E-3</v>
      </c>
      <c r="AE8057" s="508">
        <v>0.01</v>
      </c>
      <c r="AF8057" s="508">
        <v>8.9999999999999993E-3</v>
      </c>
      <c r="AG8057" s="508">
        <v>8.9999999999999993E-3</v>
      </c>
      <c r="AH8057" s="508">
        <v>8.9999999999999993E-3</v>
      </c>
      <c r="AI8057" s="492">
        <v>8.9999999999999993E-3</v>
      </c>
      <c r="AJ8057" s="485"/>
    </row>
    <row r="8058" spans="2:36">
      <c r="B8058" s="136" t="s">
        <v>464</v>
      </c>
      <c r="C8058" s="132" t="s">
        <v>1382</v>
      </c>
      <c r="D8058" s="132" t="s">
        <v>1384</v>
      </c>
      <c r="E8058" s="508">
        <v>1.9E-2</v>
      </c>
      <c r="F8058" s="508">
        <v>1.2999999999999999E-2</v>
      </c>
      <c r="G8058" s="508">
        <v>1.2E-2</v>
      </c>
      <c r="H8058" s="508">
        <v>1.6E-2</v>
      </c>
      <c r="I8058" s="508">
        <v>1.4999999999999999E-2</v>
      </c>
      <c r="J8058" s="508">
        <v>1.6E-2</v>
      </c>
      <c r="K8058" s="508">
        <v>1.7999999999999999E-2</v>
      </c>
      <c r="L8058" s="508">
        <v>1.7999999999999999E-2</v>
      </c>
      <c r="M8058" s="508">
        <v>1.7000000000000001E-2</v>
      </c>
      <c r="N8058" s="508">
        <v>1.9E-2</v>
      </c>
      <c r="O8058" s="508">
        <v>1.7999999999999999E-2</v>
      </c>
      <c r="P8058" s="508">
        <v>0.01</v>
      </c>
      <c r="Q8058" s="508">
        <v>0.01</v>
      </c>
      <c r="R8058" s="508">
        <v>0.01</v>
      </c>
      <c r="S8058" s="508">
        <v>0.01</v>
      </c>
      <c r="T8058" s="508">
        <v>0.01</v>
      </c>
      <c r="U8058" s="508">
        <v>1.2999999999999999E-2</v>
      </c>
      <c r="V8058" s="508">
        <v>1.2E-2</v>
      </c>
      <c r="W8058" s="508">
        <v>1.2E-2</v>
      </c>
      <c r="X8058" s="508">
        <v>1.2E-2</v>
      </c>
      <c r="Y8058" s="508">
        <v>1.0999999999999999E-2</v>
      </c>
      <c r="Z8058" s="508">
        <v>1.0999999999999999E-2</v>
      </c>
      <c r="AA8058" s="508">
        <v>1.0999999999999999E-2</v>
      </c>
      <c r="AB8058" s="508">
        <v>0.01</v>
      </c>
      <c r="AC8058" s="508">
        <v>8.9999999999999993E-3</v>
      </c>
      <c r="AD8058" s="508">
        <v>8.9999999999999993E-3</v>
      </c>
      <c r="AE8058" s="508">
        <v>0.01</v>
      </c>
      <c r="AF8058" s="508">
        <v>8.9999999999999993E-3</v>
      </c>
      <c r="AG8058" s="508">
        <v>8.9999999999999993E-3</v>
      </c>
      <c r="AH8058" s="508">
        <v>8.9999999999999993E-3</v>
      </c>
      <c r="AI8058" s="492">
        <v>8.9999999999999993E-3</v>
      </c>
      <c r="AJ8058" s="485"/>
    </row>
    <row r="8059" spans="2:36">
      <c r="B8059" s="136" t="s">
        <v>465</v>
      </c>
      <c r="C8059" s="132" t="s">
        <v>1382</v>
      </c>
      <c r="D8059" s="132" t="s">
        <v>1384</v>
      </c>
      <c r="E8059" s="508">
        <v>1.9E-2</v>
      </c>
      <c r="F8059" s="508">
        <v>1.2999999999999999E-2</v>
      </c>
      <c r="G8059" s="508">
        <v>1.2E-2</v>
      </c>
      <c r="H8059" s="508">
        <v>1.6E-2</v>
      </c>
      <c r="I8059" s="508">
        <v>1.4999999999999999E-2</v>
      </c>
      <c r="J8059" s="508">
        <v>1.7000000000000001E-2</v>
      </c>
      <c r="K8059" s="508">
        <v>1.7999999999999999E-2</v>
      </c>
      <c r="L8059" s="508">
        <v>1.7999999999999999E-2</v>
      </c>
      <c r="M8059" s="508">
        <v>1.7999999999999999E-2</v>
      </c>
      <c r="N8059" s="508">
        <v>0.02</v>
      </c>
      <c r="O8059" s="508">
        <v>1.9E-2</v>
      </c>
      <c r="P8059" s="508">
        <v>0.01</v>
      </c>
      <c r="Q8059" s="508">
        <v>0.01</v>
      </c>
      <c r="R8059" s="508">
        <v>1.0999999999999999E-2</v>
      </c>
      <c r="S8059" s="508">
        <v>1.0999999999999999E-2</v>
      </c>
      <c r="T8059" s="508">
        <v>0.01</v>
      </c>
      <c r="U8059" s="508">
        <v>1.2999999999999999E-2</v>
      </c>
      <c r="V8059" s="508">
        <v>1.2999999999999999E-2</v>
      </c>
      <c r="W8059" s="508">
        <v>1.2999999999999999E-2</v>
      </c>
      <c r="X8059" s="508">
        <v>1.2E-2</v>
      </c>
      <c r="Y8059" s="508">
        <v>1.2E-2</v>
      </c>
      <c r="Z8059" s="508">
        <v>1.2E-2</v>
      </c>
      <c r="AA8059" s="508">
        <v>1.2E-2</v>
      </c>
      <c r="AB8059" s="508">
        <v>0.01</v>
      </c>
      <c r="AC8059" s="508">
        <v>0.01</v>
      </c>
      <c r="AD8059" s="508">
        <v>0.01</v>
      </c>
      <c r="AE8059" s="508">
        <v>0.01</v>
      </c>
      <c r="AF8059" s="508">
        <v>8.9999999999999993E-3</v>
      </c>
      <c r="AG8059" s="508">
        <v>8.9999999999999993E-3</v>
      </c>
      <c r="AH8059" s="508">
        <v>8.9999999999999993E-3</v>
      </c>
      <c r="AI8059" s="492">
        <v>8.9999999999999993E-3</v>
      </c>
      <c r="AJ8059" s="485"/>
    </row>
    <row r="8060" spans="2:36">
      <c r="B8060" s="136" t="s">
        <v>466</v>
      </c>
      <c r="C8060" s="132" t="s">
        <v>1382</v>
      </c>
      <c r="D8060" s="132" t="s">
        <v>1384</v>
      </c>
      <c r="E8060" s="508">
        <v>1.9E-2</v>
      </c>
      <c r="F8060" s="508">
        <v>1.4E-2</v>
      </c>
      <c r="G8060" s="508">
        <v>1.2E-2</v>
      </c>
      <c r="H8060" s="508">
        <v>1.6E-2</v>
      </c>
      <c r="I8060" s="508">
        <v>1.6E-2</v>
      </c>
      <c r="J8060" s="508">
        <v>1.7000000000000001E-2</v>
      </c>
      <c r="K8060" s="508">
        <v>1.7999999999999999E-2</v>
      </c>
      <c r="L8060" s="508">
        <v>1.9E-2</v>
      </c>
      <c r="M8060" s="508">
        <v>1.7999999999999999E-2</v>
      </c>
      <c r="N8060" s="508">
        <v>0.02</v>
      </c>
      <c r="O8060" s="508">
        <v>1.9E-2</v>
      </c>
      <c r="P8060" s="508">
        <v>0.01</v>
      </c>
      <c r="Q8060" s="508">
        <v>1.0999999999999999E-2</v>
      </c>
      <c r="R8060" s="508">
        <v>1.0999999999999999E-2</v>
      </c>
      <c r="S8060" s="508">
        <v>1.0999999999999999E-2</v>
      </c>
      <c r="T8060" s="508">
        <v>1.0999999999999999E-2</v>
      </c>
      <c r="U8060" s="508">
        <v>1.2999999999999999E-2</v>
      </c>
      <c r="V8060" s="508">
        <v>1.2999999999999999E-2</v>
      </c>
      <c r="W8060" s="508">
        <v>1.2999999999999999E-2</v>
      </c>
      <c r="X8060" s="508">
        <v>1.2999999999999999E-2</v>
      </c>
      <c r="Y8060" s="508">
        <v>1.2E-2</v>
      </c>
      <c r="Z8060" s="508">
        <v>1.2E-2</v>
      </c>
      <c r="AA8060" s="508">
        <v>1.2E-2</v>
      </c>
      <c r="AB8060" s="508">
        <v>1.0999999999999999E-2</v>
      </c>
      <c r="AC8060" s="508">
        <v>0.01</v>
      </c>
      <c r="AD8060" s="508">
        <v>0.01</v>
      </c>
      <c r="AE8060" s="508">
        <v>0.01</v>
      </c>
      <c r="AF8060" s="508">
        <v>0.01</v>
      </c>
      <c r="AG8060" s="508">
        <v>0.01</v>
      </c>
      <c r="AH8060" s="508">
        <v>8.9999999999999993E-3</v>
      </c>
      <c r="AI8060" s="492">
        <v>8.9999999999999993E-3</v>
      </c>
      <c r="AJ8060" s="485"/>
    </row>
    <row r="8061" spans="2:36">
      <c r="B8061" s="136" t="s">
        <v>467</v>
      </c>
      <c r="C8061" s="132" t="s">
        <v>1382</v>
      </c>
      <c r="D8061" s="132" t="s">
        <v>1384</v>
      </c>
      <c r="E8061" s="508">
        <v>1.9E-2</v>
      </c>
      <c r="F8061" s="508">
        <v>1.2999999999999999E-2</v>
      </c>
      <c r="G8061" s="508">
        <v>1.2E-2</v>
      </c>
      <c r="H8061" s="508">
        <v>1.6E-2</v>
      </c>
      <c r="I8061" s="508">
        <v>1.4999999999999999E-2</v>
      </c>
      <c r="J8061" s="508">
        <v>1.7000000000000001E-2</v>
      </c>
      <c r="K8061" s="508">
        <v>1.7999999999999999E-2</v>
      </c>
      <c r="L8061" s="508">
        <v>1.7999999999999999E-2</v>
      </c>
      <c r="M8061" s="508">
        <v>1.7999999999999999E-2</v>
      </c>
      <c r="N8061" s="508">
        <v>0.02</v>
      </c>
      <c r="O8061" s="508">
        <v>1.9E-2</v>
      </c>
      <c r="P8061" s="508">
        <v>0.01</v>
      </c>
      <c r="Q8061" s="508">
        <v>0.01</v>
      </c>
      <c r="R8061" s="508">
        <v>1.0999999999999999E-2</v>
      </c>
      <c r="S8061" s="508">
        <v>0.01</v>
      </c>
      <c r="T8061" s="508">
        <v>0.01</v>
      </c>
      <c r="U8061" s="508">
        <v>1.2999999999999999E-2</v>
      </c>
      <c r="V8061" s="508">
        <v>1.2999999999999999E-2</v>
      </c>
      <c r="W8061" s="508">
        <v>1.2999999999999999E-2</v>
      </c>
      <c r="X8061" s="508">
        <v>1.2E-2</v>
      </c>
      <c r="Y8061" s="508">
        <v>1.2E-2</v>
      </c>
      <c r="Z8061" s="508">
        <v>1.2E-2</v>
      </c>
      <c r="AA8061" s="508">
        <v>1.2E-2</v>
      </c>
      <c r="AB8061" s="508">
        <v>0.01</v>
      </c>
      <c r="AC8061" s="508">
        <v>0.01</v>
      </c>
      <c r="AD8061" s="508">
        <v>0.01</v>
      </c>
      <c r="AE8061" s="508">
        <v>0.01</v>
      </c>
      <c r="AF8061" s="508">
        <v>8.9999999999999993E-3</v>
      </c>
      <c r="AG8061" s="508">
        <v>8.9999999999999993E-3</v>
      </c>
      <c r="AH8061" s="508">
        <v>8.9999999999999993E-3</v>
      </c>
      <c r="AI8061" s="492">
        <v>8.9999999999999993E-3</v>
      </c>
      <c r="AJ8061" s="485"/>
    </row>
    <row r="8062" spans="2:36">
      <c r="B8062" s="136" t="s">
        <v>468</v>
      </c>
      <c r="C8062" s="132" t="s">
        <v>1382</v>
      </c>
      <c r="D8062" s="132" t="s">
        <v>1384</v>
      </c>
      <c r="E8062" s="508">
        <v>1.9E-2</v>
      </c>
      <c r="F8062" s="508">
        <v>1.2999999999999999E-2</v>
      </c>
      <c r="G8062" s="508">
        <v>1.2E-2</v>
      </c>
      <c r="H8062" s="508">
        <v>1.6E-2</v>
      </c>
      <c r="I8062" s="508">
        <v>1.4999999999999999E-2</v>
      </c>
      <c r="J8062" s="508">
        <v>1.6E-2</v>
      </c>
      <c r="K8062" s="508">
        <v>1.7999999999999999E-2</v>
      </c>
      <c r="L8062" s="508">
        <v>1.7999999999999999E-2</v>
      </c>
      <c r="M8062" s="508">
        <v>1.7000000000000001E-2</v>
      </c>
      <c r="N8062" s="508">
        <v>1.9E-2</v>
      </c>
      <c r="O8062" s="508">
        <v>1.7999999999999999E-2</v>
      </c>
      <c r="P8062" s="508">
        <v>0.01</v>
      </c>
      <c r="Q8062" s="508">
        <v>0.01</v>
      </c>
      <c r="R8062" s="508">
        <v>1.0999999999999999E-2</v>
      </c>
      <c r="S8062" s="508">
        <v>0.01</v>
      </c>
      <c r="T8062" s="508">
        <v>0.01</v>
      </c>
      <c r="U8062" s="508">
        <v>1.2999999999999999E-2</v>
      </c>
      <c r="V8062" s="508">
        <v>1.2E-2</v>
      </c>
      <c r="W8062" s="508">
        <v>1.2E-2</v>
      </c>
      <c r="X8062" s="508">
        <v>1.2E-2</v>
      </c>
      <c r="Y8062" s="508">
        <v>1.0999999999999999E-2</v>
      </c>
      <c r="Z8062" s="508">
        <v>1.0999999999999999E-2</v>
      </c>
      <c r="AA8062" s="508">
        <v>1.0999999999999999E-2</v>
      </c>
      <c r="AB8062" s="508">
        <v>0.01</v>
      </c>
      <c r="AC8062" s="508">
        <v>8.9999999999999993E-3</v>
      </c>
      <c r="AD8062" s="508">
        <v>8.9999999999999993E-3</v>
      </c>
      <c r="AE8062" s="508">
        <v>0.01</v>
      </c>
      <c r="AF8062" s="508">
        <v>8.9999999999999993E-3</v>
      </c>
      <c r="AG8062" s="508">
        <v>8.9999999999999993E-3</v>
      </c>
      <c r="AH8062" s="508">
        <v>8.9999999999999993E-3</v>
      </c>
      <c r="AI8062" s="492">
        <v>8.9999999999999993E-3</v>
      </c>
      <c r="AJ8062" s="485"/>
    </row>
    <row r="8063" spans="2:36">
      <c r="B8063" s="136" t="s">
        <v>469</v>
      </c>
      <c r="C8063" s="132" t="s">
        <v>1382</v>
      </c>
      <c r="D8063" s="132" t="s">
        <v>1384</v>
      </c>
      <c r="E8063" s="508">
        <v>1.9E-2</v>
      </c>
      <c r="F8063" s="508">
        <v>1.2999999999999999E-2</v>
      </c>
      <c r="G8063" s="508">
        <v>1.2E-2</v>
      </c>
      <c r="H8063" s="508">
        <v>1.6E-2</v>
      </c>
      <c r="I8063" s="508">
        <v>1.4999999999999999E-2</v>
      </c>
      <c r="J8063" s="508">
        <v>1.7000000000000001E-2</v>
      </c>
      <c r="K8063" s="508">
        <v>1.7999999999999999E-2</v>
      </c>
      <c r="L8063" s="508">
        <v>1.7999999999999999E-2</v>
      </c>
      <c r="M8063" s="508">
        <v>1.7999999999999999E-2</v>
      </c>
      <c r="N8063" s="508">
        <v>0.02</v>
      </c>
      <c r="O8063" s="508">
        <v>1.9E-2</v>
      </c>
      <c r="P8063" s="508">
        <v>0.01</v>
      </c>
      <c r="Q8063" s="508">
        <v>1.0999999999999999E-2</v>
      </c>
      <c r="R8063" s="508">
        <v>1.0999999999999999E-2</v>
      </c>
      <c r="S8063" s="508">
        <v>1.0999999999999999E-2</v>
      </c>
      <c r="T8063" s="508">
        <v>1.0999999999999999E-2</v>
      </c>
      <c r="U8063" s="508">
        <v>1.2999999999999999E-2</v>
      </c>
      <c r="V8063" s="508">
        <v>1.2999999999999999E-2</v>
      </c>
      <c r="W8063" s="508">
        <v>1.2999999999999999E-2</v>
      </c>
      <c r="X8063" s="508">
        <v>1.2E-2</v>
      </c>
      <c r="Y8063" s="508">
        <v>1.2E-2</v>
      </c>
      <c r="Z8063" s="508">
        <v>1.2E-2</v>
      </c>
      <c r="AA8063" s="508">
        <v>1.2E-2</v>
      </c>
      <c r="AB8063" s="508">
        <v>0.01</v>
      </c>
      <c r="AC8063" s="508">
        <v>0.01</v>
      </c>
      <c r="AD8063" s="508">
        <v>0.01</v>
      </c>
      <c r="AE8063" s="508">
        <v>0.01</v>
      </c>
      <c r="AF8063" s="508">
        <v>8.9999999999999993E-3</v>
      </c>
      <c r="AG8063" s="508">
        <v>8.9999999999999993E-3</v>
      </c>
      <c r="AH8063" s="508">
        <v>8.9999999999999993E-3</v>
      </c>
      <c r="AI8063" s="492">
        <v>8.9999999999999993E-3</v>
      </c>
      <c r="AJ8063" s="485"/>
    </row>
    <row r="8064" spans="2:36">
      <c r="B8064" s="136" t="s">
        <v>470</v>
      </c>
      <c r="C8064" s="132" t="s">
        <v>1382</v>
      </c>
      <c r="D8064" s="132" t="s">
        <v>1384</v>
      </c>
      <c r="E8064" s="508">
        <v>1.9E-2</v>
      </c>
      <c r="F8064" s="508">
        <v>1.2999999999999999E-2</v>
      </c>
      <c r="G8064" s="508">
        <v>1.2E-2</v>
      </c>
      <c r="H8064" s="508">
        <v>1.6E-2</v>
      </c>
      <c r="I8064" s="508">
        <v>1.6E-2</v>
      </c>
      <c r="J8064" s="508">
        <v>1.7000000000000001E-2</v>
      </c>
      <c r="K8064" s="508">
        <v>1.7999999999999999E-2</v>
      </c>
      <c r="L8064" s="508">
        <v>1.9E-2</v>
      </c>
      <c r="M8064" s="508">
        <v>1.7999999999999999E-2</v>
      </c>
      <c r="N8064" s="508">
        <v>0.02</v>
      </c>
      <c r="O8064" s="508">
        <v>1.9E-2</v>
      </c>
      <c r="P8064" s="508">
        <v>0.01</v>
      </c>
      <c r="Q8064" s="508">
        <v>1.0999999999999999E-2</v>
      </c>
      <c r="R8064" s="508">
        <v>1.0999999999999999E-2</v>
      </c>
      <c r="S8064" s="508">
        <v>1.0999999999999999E-2</v>
      </c>
      <c r="T8064" s="508">
        <v>1.0999999999999999E-2</v>
      </c>
      <c r="U8064" s="508">
        <v>1.2999999999999999E-2</v>
      </c>
      <c r="V8064" s="508">
        <v>1.2999999999999999E-2</v>
      </c>
      <c r="W8064" s="508">
        <v>1.2999999999999999E-2</v>
      </c>
      <c r="X8064" s="508">
        <v>1.2E-2</v>
      </c>
      <c r="Y8064" s="508">
        <v>1.2E-2</v>
      </c>
      <c r="Z8064" s="508">
        <v>1.2E-2</v>
      </c>
      <c r="AA8064" s="508">
        <v>1.2E-2</v>
      </c>
      <c r="AB8064" s="508">
        <v>0.01</v>
      </c>
      <c r="AC8064" s="508">
        <v>0.01</v>
      </c>
      <c r="AD8064" s="508">
        <v>0.01</v>
      </c>
      <c r="AE8064" s="508">
        <v>0.01</v>
      </c>
      <c r="AF8064" s="508">
        <v>8.9999999999999993E-3</v>
      </c>
      <c r="AG8064" s="508">
        <v>8.9999999999999993E-3</v>
      </c>
      <c r="AH8064" s="508">
        <v>8.9999999999999993E-3</v>
      </c>
      <c r="AI8064" s="492">
        <v>8.9999999999999993E-3</v>
      </c>
      <c r="AJ8064" s="485"/>
    </row>
    <row r="8065" spans="2:36">
      <c r="B8065" s="136" t="s">
        <v>471</v>
      </c>
      <c r="C8065" s="132" t="s">
        <v>1382</v>
      </c>
      <c r="D8065" s="132" t="s">
        <v>1384</v>
      </c>
      <c r="E8065" s="508">
        <v>1.9E-2</v>
      </c>
      <c r="F8065" s="508">
        <v>1.2999999999999999E-2</v>
      </c>
      <c r="G8065" s="508">
        <v>1.2E-2</v>
      </c>
      <c r="H8065" s="508">
        <v>1.6E-2</v>
      </c>
      <c r="I8065" s="508">
        <v>1.6E-2</v>
      </c>
      <c r="J8065" s="508">
        <v>1.7000000000000001E-2</v>
      </c>
      <c r="K8065" s="508">
        <v>1.7999999999999999E-2</v>
      </c>
      <c r="L8065" s="508">
        <v>1.9E-2</v>
      </c>
      <c r="M8065" s="508">
        <v>1.7999999999999999E-2</v>
      </c>
      <c r="N8065" s="508">
        <v>0.02</v>
      </c>
      <c r="O8065" s="508">
        <v>1.9E-2</v>
      </c>
      <c r="P8065" s="508">
        <v>0.01</v>
      </c>
      <c r="Q8065" s="508">
        <v>1.0999999999999999E-2</v>
      </c>
      <c r="R8065" s="508">
        <v>1.0999999999999999E-2</v>
      </c>
      <c r="S8065" s="508">
        <v>1.0999999999999999E-2</v>
      </c>
      <c r="T8065" s="508">
        <v>1.0999999999999999E-2</v>
      </c>
      <c r="U8065" s="508">
        <v>1.2999999999999999E-2</v>
      </c>
      <c r="V8065" s="508">
        <v>1.2999999999999999E-2</v>
      </c>
      <c r="W8065" s="508">
        <v>1.2999999999999999E-2</v>
      </c>
      <c r="X8065" s="508">
        <v>1.2E-2</v>
      </c>
      <c r="Y8065" s="508">
        <v>1.2E-2</v>
      </c>
      <c r="Z8065" s="508">
        <v>1.2E-2</v>
      </c>
      <c r="AA8065" s="508">
        <v>1.2E-2</v>
      </c>
      <c r="AB8065" s="508">
        <v>0.01</v>
      </c>
      <c r="AC8065" s="508">
        <v>0.01</v>
      </c>
      <c r="AD8065" s="508">
        <v>0.01</v>
      </c>
      <c r="AE8065" s="508">
        <v>0.01</v>
      </c>
      <c r="AF8065" s="508">
        <v>8.9999999999999993E-3</v>
      </c>
      <c r="AG8065" s="508">
        <v>8.9999999999999993E-3</v>
      </c>
      <c r="AH8065" s="508">
        <v>8.9999999999999993E-3</v>
      </c>
      <c r="AI8065" s="492">
        <v>8.9999999999999993E-3</v>
      </c>
      <c r="AJ8065" s="485"/>
    </row>
    <row r="8066" spans="2:36">
      <c r="B8066" s="136" t="s">
        <v>472</v>
      </c>
      <c r="C8066" s="132" t="s">
        <v>1382</v>
      </c>
      <c r="D8066" s="132" t="s">
        <v>1384</v>
      </c>
      <c r="E8066" s="508">
        <v>1.9E-2</v>
      </c>
      <c r="F8066" s="508">
        <v>1.2999999999999999E-2</v>
      </c>
      <c r="G8066" s="508">
        <v>1.2E-2</v>
      </c>
      <c r="H8066" s="508">
        <v>1.6E-2</v>
      </c>
      <c r="I8066" s="508">
        <v>1.4999999999999999E-2</v>
      </c>
      <c r="J8066" s="508">
        <v>1.6E-2</v>
      </c>
      <c r="K8066" s="508">
        <v>1.7999999999999999E-2</v>
      </c>
      <c r="L8066" s="508">
        <v>1.7999999999999999E-2</v>
      </c>
      <c r="M8066" s="508">
        <v>1.7000000000000001E-2</v>
      </c>
      <c r="N8066" s="508">
        <v>1.9E-2</v>
      </c>
      <c r="O8066" s="508">
        <v>1.7999999999999999E-2</v>
      </c>
      <c r="P8066" s="508">
        <v>0.01</v>
      </c>
      <c r="Q8066" s="508">
        <v>0.01</v>
      </c>
      <c r="R8066" s="508">
        <v>1.0999999999999999E-2</v>
      </c>
      <c r="S8066" s="508">
        <v>0.01</v>
      </c>
      <c r="T8066" s="508">
        <v>0.01</v>
      </c>
      <c r="U8066" s="508">
        <v>1.2999999999999999E-2</v>
      </c>
      <c r="V8066" s="508">
        <v>1.2E-2</v>
      </c>
      <c r="W8066" s="508">
        <v>1.2E-2</v>
      </c>
      <c r="X8066" s="508">
        <v>1.2E-2</v>
      </c>
      <c r="Y8066" s="508">
        <v>1.0999999999999999E-2</v>
      </c>
      <c r="Z8066" s="508">
        <v>1.0999999999999999E-2</v>
      </c>
      <c r="AA8066" s="508">
        <v>1.0999999999999999E-2</v>
      </c>
      <c r="AB8066" s="508">
        <v>0.01</v>
      </c>
      <c r="AC8066" s="508">
        <v>8.9999999999999993E-3</v>
      </c>
      <c r="AD8066" s="508">
        <v>8.9999999999999993E-3</v>
      </c>
      <c r="AE8066" s="508">
        <v>0.01</v>
      </c>
      <c r="AF8066" s="508">
        <v>8.9999999999999993E-3</v>
      </c>
      <c r="AG8066" s="508">
        <v>8.9999999999999993E-3</v>
      </c>
      <c r="AH8066" s="508">
        <v>8.9999999999999993E-3</v>
      </c>
      <c r="AI8066" s="492">
        <v>8.9999999999999993E-3</v>
      </c>
      <c r="AJ8066" s="485"/>
    </row>
    <row r="8067" spans="2:36">
      <c r="B8067" s="136" t="s">
        <v>473</v>
      </c>
      <c r="C8067" s="132" t="s">
        <v>1382</v>
      </c>
      <c r="D8067" s="132" t="s">
        <v>1384</v>
      </c>
      <c r="E8067" s="508">
        <v>1.9E-2</v>
      </c>
      <c r="F8067" s="508">
        <v>1.4E-2</v>
      </c>
      <c r="G8067" s="508">
        <v>1.2E-2</v>
      </c>
      <c r="H8067" s="508">
        <v>1.6E-2</v>
      </c>
      <c r="I8067" s="508">
        <v>1.6E-2</v>
      </c>
      <c r="J8067" s="508">
        <v>1.7000000000000001E-2</v>
      </c>
      <c r="K8067" s="508">
        <v>1.7999999999999999E-2</v>
      </c>
      <c r="L8067" s="508">
        <v>1.9E-2</v>
      </c>
      <c r="M8067" s="508">
        <v>1.7999999999999999E-2</v>
      </c>
      <c r="N8067" s="508">
        <v>0.02</v>
      </c>
      <c r="O8067" s="508">
        <v>1.9E-2</v>
      </c>
      <c r="P8067" s="508">
        <v>0.01</v>
      </c>
      <c r="Q8067" s="508">
        <v>1.0999999999999999E-2</v>
      </c>
      <c r="R8067" s="508">
        <v>1.0999999999999999E-2</v>
      </c>
      <c r="S8067" s="508">
        <v>1.0999999999999999E-2</v>
      </c>
      <c r="T8067" s="508">
        <v>1.0999999999999999E-2</v>
      </c>
      <c r="U8067" s="508">
        <v>1.2999999999999999E-2</v>
      </c>
      <c r="V8067" s="508">
        <v>1.2999999999999999E-2</v>
      </c>
      <c r="W8067" s="508">
        <v>1.2999999999999999E-2</v>
      </c>
      <c r="X8067" s="508">
        <v>1.2E-2</v>
      </c>
      <c r="Y8067" s="508">
        <v>1.2E-2</v>
      </c>
      <c r="Z8067" s="508">
        <v>1.2E-2</v>
      </c>
      <c r="AA8067" s="508">
        <v>1.2E-2</v>
      </c>
      <c r="AB8067" s="508">
        <v>0.01</v>
      </c>
      <c r="AC8067" s="508">
        <v>0.01</v>
      </c>
      <c r="AD8067" s="508">
        <v>0.01</v>
      </c>
      <c r="AE8067" s="508">
        <v>0.01</v>
      </c>
      <c r="AF8067" s="508">
        <v>8.9999999999999993E-3</v>
      </c>
      <c r="AG8067" s="508">
        <v>8.9999999999999993E-3</v>
      </c>
      <c r="AH8067" s="508">
        <v>8.9999999999999993E-3</v>
      </c>
      <c r="AI8067" s="492">
        <v>8.9999999999999993E-3</v>
      </c>
      <c r="AJ8067" s="485"/>
    </row>
    <row r="8068" spans="2:36">
      <c r="B8068" s="136" t="s">
        <v>474</v>
      </c>
      <c r="C8068" s="132" t="s">
        <v>1382</v>
      </c>
      <c r="D8068" s="132" t="s">
        <v>1384</v>
      </c>
      <c r="E8068" s="508">
        <v>1.9E-2</v>
      </c>
      <c r="F8068" s="508">
        <v>1.2999999999999999E-2</v>
      </c>
      <c r="G8068" s="508">
        <v>1.2E-2</v>
      </c>
      <c r="H8068" s="508">
        <v>1.6E-2</v>
      </c>
      <c r="I8068" s="508">
        <v>1.6E-2</v>
      </c>
      <c r="J8068" s="508">
        <v>1.7000000000000001E-2</v>
      </c>
      <c r="K8068" s="508">
        <v>1.7999999999999999E-2</v>
      </c>
      <c r="L8068" s="508">
        <v>1.9E-2</v>
      </c>
      <c r="M8068" s="508">
        <v>1.7999999999999999E-2</v>
      </c>
      <c r="N8068" s="508">
        <v>0.02</v>
      </c>
      <c r="O8068" s="508">
        <v>1.9E-2</v>
      </c>
      <c r="P8068" s="508">
        <v>0.01</v>
      </c>
      <c r="Q8068" s="508">
        <v>1.0999999999999999E-2</v>
      </c>
      <c r="R8068" s="508">
        <v>1.0999999999999999E-2</v>
      </c>
      <c r="S8068" s="508">
        <v>1.0999999999999999E-2</v>
      </c>
      <c r="T8068" s="508">
        <v>1.0999999999999999E-2</v>
      </c>
      <c r="U8068" s="508">
        <v>1.2999999999999999E-2</v>
      </c>
      <c r="V8068" s="508">
        <v>1.2999999999999999E-2</v>
      </c>
      <c r="W8068" s="508">
        <v>1.2999999999999999E-2</v>
      </c>
      <c r="X8068" s="508">
        <v>1.2E-2</v>
      </c>
      <c r="Y8068" s="508">
        <v>1.2E-2</v>
      </c>
      <c r="Z8068" s="508">
        <v>1.2E-2</v>
      </c>
      <c r="AA8068" s="508">
        <v>1.2E-2</v>
      </c>
      <c r="AB8068" s="508">
        <v>0.01</v>
      </c>
      <c r="AC8068" s="508">
        <v>0.01</v>
      </c>
      <c r="AD8068" s="508">
        <v>0.01</v>
      </c>
      <c r="AE8068" s="508">
        <v>0.01</v>
      </c>
      <c r="AF8068" s="508">
        <v>8.9999999999999993E-3</v>
      </c>
      <c r="AG8068" s="508">
        <v>8.9999999999999993E-3</v>
      </c>
      <c r="AH8068" s="508">
        <v>8.9999999999999993E-3</v>
      </c>
      <c r="AI8068" s="492">
        <v>8.9999999999999993E-3</v>
      </c>
      <c r="AJ8068" s="485"/>
    </row>
    <row r="8069" spans="2:36">
      <c r="B8069" s="136" t="s">
        <v>475</v>
      </c>
      <c r="C8069" s="132" t="s">
        <v>1382</v>
      </c>
      <c r="D8069" s="132" t="s">
        <v>1384</v>
      </c>
      <c r="E8069" s="508">
        <v>1.9E-2</v>
      </c>
      <c r="F8069" s="508">
        <v>1.2999999999999999E-2</v>
      </c>
      <c r="G8069" s="508">
        <v>1.2E-2</v>
      </c>
      <c r="H8069" s="508">
        <v>1.6E-2</v>
      </c>
      <c r="I8069" s="508">
        <v>1.4999999999999999E-2</v>
      </c>
      <c r="J8069" s="508">
        <v>1.6E-2</v>
      </c>
      <c r="K8069" s="508">
        <v>1.7999999999999999E-2</v>
      </c>
      <c r="L8069" s="508">
        <v>1.7999999999999999E-2</v>
      </c>
      <c r="M8069" s="508">
        <v>1.7999999999999999E-2</v>
      </c>
      <c r="N8069" s="508">
        <v>0.02</v>
      </c>
      <c r="O8069" s="508">
        <v>1.9E-2</v>
      </c>
      <c r="P8069" s="508">
        <v>0.01</v>
      </c>
      <c r="Q8069" s="508">
        <v>0.01</v>
      </c>
      <c r="R8069" s="508">
        <v>1.0999999999999999E-2</v>
      </c>
      <c r="S8069" s="508">
        <v>0.01</v>
      </c>
      <c r="T8069" s="508">
        <v>0.01</v>
      </c>
      <c r="U8069" s="508">
        <v>1.2999999999999999E-2</v>
      </c>
      <c r="V8069" s="508">
        <v>1.2E-2</v>
      </c>
      <c r="W8069" s="508">
        <v>1.2E-2</v>
      </c>
      <c r="X8069" s="508">
        <v>1.2E-2</v>
      </c>
      <c r="Y8069" s="508">
        <v>1.2E-2</v>
      </c>
      <c r="Z8069" s="508">
        <v>1.2E-2</v>
      </c>
      <c r="AA8069" s="508">
        <v>1.2E-2</v>
      </c>
      <c r="AB8069" s="508">
        <v>0.01</v>
      </c>
      <c r="AC8069" s="508">
        <v>0.01</v>
      </c>
      <c r="AD8069" s="508">
        <v>8.9999999999999993E-3</v>
      </c>
      <c r="AE8069" s="508">
        <v>0.01</v>
      </c>
      <c r="AF8069" s="508">
        <v>8.9999999999999993E-3</v>
      </c>
      <c r="AG8069" s="508">
        <v>8.9999999999999993E-3</v>
      </c>
      <c r="AH8069" s="508">
        <v>8.9999999999999993E-3</v>
      </c>
      <c r="AI8069" s="492">
        <v>8.9999999999999993E-3</v>
      </c>
      <c r="AJ8069" s="485"/>
    </row>
    <row r="8070" spans="2:36">
      <c r="B8070" s="136" t="s">
        <v>476</v>
      </c>
      <c r="C8070" s="132" t="s">
        <v>1382</v>
      </c>
      <c r="D8070" s="132" t="s">
        <v>1384</v>
      </c>
      <c r="E8070" s="508">
        <v>1.9E-2</v>
      </c>
      <c r="F8070" s="508">
        <v>1.2999999999999999E-2</v>
      </c>
      <c r="G8070" s="508">
        <v>1.2E-2</v>
      </c>
      <c r="H8070" s="508">
        <v>1.6E-2</v>
      </c>
      <c r="I8070" s="508">
        <v>1.6E-2</v>
      </c>
      <c r="J8070" s="508">
        <v>1.7000000000000001E-2</v>
      </c>
      <c r="K8070" s="508">
        <v>1.7999999999999999E-2</v>
      </c>
      <c r="L8070" s="508">
        <v>1.9E-2</v>
      </c>
      <c r="M8070" s="508">
        <v>1.7999999999999999E-2</v>
      </c>
      <c r="N8070" s="508">
        <v>0.02</v>
      </c>
      <c r="O8070" s="508">
        <v>1.9E-2</v>
      </c>
      <c r="P8070" s="508">
        <v>0.01</v>
      </c>
      <c r="Q8070" s="508">
        <v>1.0999999999999999E-2</v>
      </c>
      <c r="R8070" s="508">
        <v>1.0999999999999999E-2</v>
      </c>
      <c r="S8070" s="508">
        <v>1.0999999999999999E-2</v>
      </c>
      <c r="T8070" s="508">
        <v>1.0999999999999999E-2</v>
      </c>
      <c r="U8070" s="508">
        <v>1.2999999999999999E-2</v>
      </c>
      <c r="V8070" s="508">
        <v>1.2999999999999999E-2</v>
      </c>
      <c r="W8070" s="508">
        <v>1.2999999999999999E-2</v>
      </c>
      <c r="X8070" s="508">
        <v>1.2E-2</v>
      </c>
      <c r="Y8070" s="508">
        <v>1.2E-2</v>
      </c>
      <c r="Z8070" s="508">
        <v>1.2E-2</v>
      </c>
      <c r="AA8070" s="508">
        <v>1.2E-2</v>
      </c>
      <c r="AB8070" s="508">
        <v>0.01</v>
      </c>
      <c r="AC8070" s="508">
        <v>0.01</v>
      </c>
      <c r="AD8070" s="508">
        <v>0.01</v>
      </c>
      <c r="AE8070" s="508">
        <v>0.01</v>
      </c>
      <c r="AF8070" s="508">
        <v>8.9999999999999993E-3</v>
      </c>
      <c r="AG8070" s="508">
        <v>8.9999999999999993E-3</v>
      </c>
      <c r="AH8070" s="508">
        <v>8.9999999999999993E-3</v>
      </c>
      <c r="AI8070" s="492">
        <v>8.9999999999999993E-3</v>
      </c>
      <c r="AJ8070" s="485"/>
    </row>
    <row r="8071" spans="2:36">
      <c r="B8071" s="136" t="s">
        <v>478</v>
      </c>
      <c r="C8071" s="132" t="s">
        <v>1382</v>
      </c>
      <c r="D8071" s="132" t="s">
        <v>1384</v>
      </c>
      <c r="E8071" s="508">
        <v>1.9E-2</v>
      </c>
      <c r="F8071" s="508">
        <v>1.4E-2</v>
      </c>
      <c r="G8071" s="508">
        <v>1.2E-2</v>
      </c>
      <c r="H8071" s="508">
        <v>1.6E-2</v>
      </c>
      <c r="I8071" s="508">
        <v>1.6E-2</v>
      </c>
      <c r="J8071" s="508">
        <v>1.7000000000000001E-2</v>
      </c>
      <c r="K8071" s="508">
        <v>1.7999999999999999E-2</v>
      </c>
      <c r="L8071" s="508">
        <v>1.9E-2</v>
      </c>
      <c r="M8071" s="508">
        <v>1.7999999999999999E-2</v>
      </c>
      <c r="N8071" s="508">
        <v>0.02</v>
      </c>
      <c r="O8071" s="508">
        <v>1.9E-2</v>
      </c>
      <c r="P8071" s="508">
        <v>0.01</v>
      </c>
      <c r="Q8071" s="508">
        <v>1.0999999999999999E-2</v>
      </c>
      <c r="R8071" s="508">
        <v>1.0999999999999999E-2</v>
      </c>
      <c r="S8071" s="508">
        <v>1.0999999999999999E-2</v>
      </c>
      <c r="T8071" s="508">
        <v>1.0999999999999999E-2</v>
      </c>
      <c r="U8071" s="508">
        <v>1.2999999999999999E-2</v>
      </c>
      <c r="V8071" s="508">
        <v>1.2999999999999999E-2</v>
      </c>
      <c r="W8071" s="508">
        <v>1.2999999999999999E-2</v>
      </c>
      <c r="X8071" s="508">
        <v>1.2E-2</v>
      </c>
      <c r="Y8071" s="508">
        <v>1.2E-2</v>
      </c>
      <c r="Z8071" s="508">
        <v>1.2E-2</v>
      </c>
      <c r="AA8071" s="508">
        <v>1.2E-2</v>
      </c>
      <c r="AB8071" s="508">
        <v>0.01</v>
      </c>
      <c r="AC8071" s="508">
        <v>0.01</v>
      </c>
      <c r="AD8071" s="508">
        <v>0.01</v>
      </c>
      <c r="AE8071" s="508">
        <v>0.01</v>
      </c>
      <c r="AF8071" s="508">
        <v>8.9999999999999993E-3</v>
      </c>
      <c r="AG8071" s="508">
        <v>8.9999999999999993E-3</v>
      </c>
      <c r="AH8071" s="508">
        <v>8.9999999999999993E-3</v>
      </c>
      <c r="AI8071" s="492">
        <v>8.9999999999999993E-3</v>
      </c>
      <c r="AJ8071" s="485"/>
    </row>
    <row r="8072" spans="2:36">
      <c r="B8072" s="136" t="s">
        <v>479</v>
      </c>
      <c r="C8072" s="132" t="s">
        <v>1382</v>
      </c>
      <c r="D8072" s="132" t="s">
        <v>1384</v>
      </c>
      <c r="E8072" s="508">
        <v>1.9E-2</v>
      </c>
      <c r="F8072" s="508">
        <v>1.2999999999999999E-2</v>
      </c>
      <c r="G8072" s="508">
        <v>1.2E-2</v>
      </c>
      <c r="H8072" s="508">
        <v>1.6E-2</v>
      </c>
      <c r="I8072" s="508">
        <v>1.6E-2</v>
      </c>
      <c r="J8072" s="508">
        <v>1.7000000000000001E-2</v>
      </c>
      <c r="K8072" s="508">
        <v>1.7999999999999999E-2</v>
      </c>
      <c r="L8072" s="508">
        <v>1.9E-2</v>
      </c>
      <c r="M8072" s="508">
        <v>1.7999999999999999E-2</v>
      </c>
      <c r="N8072" s="508">
        <v>0.02</v>
      </c>
      <c r="O8072" s="508">
        <v>1.9E-2</v>
      </c>
      <c r="P8072" s="508">
        <v>0.01</v>
      </c>
      <c r="Q8072" s="508">
        <v>1.0999999999999999E-2</v>
      </c>
      <c r="R8072" s="508">
        <v>1.0999999999999999E-2</v>
      </c>
      <c r="S8072" s="508">
        <v>1.0999999999999999E-2</v>
      </c>
      <c r="T8072" s="508">
        <v>1.0999999999999999E-2</v>
      </c>
      <c r="U8072" s="508">
        <v>1.2999999999999999E-2</v>
      </c>
      <c r="V8072" s="508">
        <v>1.2999999999999999E-2</v>
      </c>
      <c r="W8072" s="508">
        <v>1.2999999999999999E-2</v>
      </c>
      <c r="X8072" s="508">
        <v>1.2E-2</v>
      </c>
      <c r="Y8072" s="508">
        <v>1.2E-2</v>
      </c>
      <c r="Z8072" s="508">
        <v>1.2E-2</v>
      </c>
      <c r="AA8072" s="508">
        <v>1.2E-2</v>
      </c>
      <c r="AB8072" s="508">
        <v>0.01</v>
      </c>
      <c r="AC8072" s="508">
        <v>0.01</v>
      </c>
      <c r="AD8072" s="508">
        <v>0.01</v>
      </c>
      <c r="AE8072" s="508">
        <v>0.01</v>
      </c>
      <c r="AF8072" s="508">
        <v>8.9999999999999993E-3</v>
      </c>
      <c r="AG8072" s="508">
        <v>8.9999999999999993E-3</v>
      </c>
      <c r="AH8072" s="508">
        <v>8.9999999999999993E-3</v>
      </c>
      <c r="AI8072" s="492">
        <v>8.9999999999999993E-3</v>
      </c>
      <c r="AJ8072" s="485"/>
    </row>
    <row r="8073" spans="2:36">
      <c r="B8073" s="136" t="s">
        <v>480</v>
      </c>
      <c r="C8073" s="132" t="s">
        <v>1382</v>
      </c>
      <c r="D8073" s="132" t="s">
        <v>1384</v>
      </c>
      <c r="E8073" s="508">
        <v>1.9E-2</v>
      </c>
      <c r="F8073" s="508">
        <v>1.2999999999999999E-2</v>
      </c>
      <c r="G8073" s="508">
        <v>1.2E-2</v>
      </c>
      <c r="H8073" s="508">
        <v>1.6E-2</v>
      </c>
      <c r="I8073" s="508">
        <v>1.4999999999999999E-2</v>
      </c>
      <c r="J8073" s="508">
        <v>1.6E-2</v>
      </c>
      <c r="K8073" s="508">
        <v>1.7999999999999999E-2</v>
      </c>
      <c r="L8073" s="508">
        <v>1.7999999999999999E-2</v>
      </c>
      <c r="M8073" s="508">
        <v>1.7000000000000001E-2</v>
      </c>
      <c r="N8073" s="508">
        <v>1.9E-2</v>
      </c>
      <c r="O8073" s="508">
        <v>1.7999999999999999E-2</v>
      </c>
      <c r="P8073" s="508">
        <v>0.01</v>
      </c>
      <c r="Q8073" s="508">
        <v>0.01</v>
      </c>
      <c r="R8073" s="508">
        <v>1.0999999999999999E-2</v>
      </c>
      <c r="S8073" s="508">
        <v>0.01</v>
      </c>
      <c r="T8073" s="508">
        <v>0.01</v>
      </c>
      <c r="U8073" s="508">
        <v>1.2999999999999999E-2</v>
      </c>
      <c r="V8073" s="508">
        <v>1.2E-2</v>
      </c>
      <c r="W8073" s="508">
        <v>1.2E-2</v>
      </c>
      <c r="X8073" s="508">
        <v>1.2E-2</v>
      </c>
      <c r="Y8073" s="508">
        <v>1.0999999999999999E-2</v>
      </c>
      <c r="Z8073" s="508">
        <v>1.0999999999999999E-2</v>
      </c>
      <c r="AA8073" s="508">
        <v>1.0999999999999999E-2</v>
      </c>
      <c r="AB8073" s="508">
        <v>0.01</v>
      </c>
      <c r="AC8073" s="508">
        <v>8.9999999999999993E-3</v>
      </c>
      <c r="AD8073" s="508">
        <v>8.9999999999999993E-3</v>
      </c>
      <c r="AE8073" s="508">
        <v>0.01</v>
      </c>
      <c r="AF8073" s="508">
        <v>8.9999999999999993E-3</v>
      </c>
      <c r="AG8073" s="508">
        <v>8.9999999999999993E-3</v>
      </c>
      <c r="AH8073" s="508">
        <v>8.9999999999999993E-3</v>
      </c>
      <c r="AI8073" s="492">
        <v>8.9999999999999993E-3</v>
      </c>
      <c r="AJ8073" s="485"/>
    </row>
    <row r="8074" spans="2:36">
      <c r="B8074" s="136" t="s">
        <v>481</v>
      </c>
      <c r="C8074" s="132" t="s">
        <v>1382</v>
      </c>
      <c r="D8074" s="132" t="s">
        <v>1384</v>
      </c>
      <c r="E8074" s="508">
        <v>1.9E-2</v>
      </c>
      <c r="F8074" s="508">
        <v>1.2999999999999999E-2</v>
      </c>
      <c r="G8074" s="508">
        <v>1.2E-2</v>
      </c>
      <c r="H8074" s="508">
        <v>1.6E-2</v>
      </c>
      <c r="I8074" s="508">
        <v>1.6E-2</v>
      </c>
      <c r="J8074" s="508">
        <v>1.7000000000000001E-2</v>
      </c>
      <c r="K8074" s="508">
        <v>1.7999999999999999E-2</v>
      </c>
      <c r="L8074" s="508">
        <v>1.9E-2</v>
      </c>
      <c r="M8074" s="508">
        <v>1.7999999999999999E-2</v>
      </c>
      <c r="N8074" s="508">
        <v>0.02</v>
      </c>
      <c r="O8074" s="508">
        <v>1.9E-2</v>
      </c>
      <c r="P8074" s="508">
        <v>0.01</v>
      </c>
      <c r="Q8074" s="508">
        <v>1.0999999999999999E-2</v>
      </c>
      <c r="R8074" s="508">
        <v>1.0999999999999999E-2</v>
      </c>
      <c r="S8074" s="508">
        <v>1.0999999999999999E-2</v>
      </c>
      <c r="T8074" s="508">
        <v>1.0999999999999999E-2</v>
      </c>
      <c r="U8074" s="508">
        <v>1.2999999999999999E-2</v>
      </c>
      <c r="V8074" s="508">
        <v>1.2999999999999999E-2</v>
      </c>
      <c r="W8074" s="508">
        <v>1.2999999999999999E-2</v>
      </c>
      <c r="X8074" s="508">
        <v>1.2E-2</v>
      </c>
      <c r="Y8074" s="508">
        <v>1.2E-2</v>
      </c>
      <c r="Z8074" s="508">
        <v>1.2E-2</v>
      </c>
      <c r="AA8074" s="508">
        <v>1.2E-2</v>
      </c>
      <c r="AB8074" s="508">
        <v>0.01</v>
      </c>
      <c r="AC8074" s="508">
        <v>0.01</v>
      </c>
      <c r="AD8074" s="508">
        <v>0.01</v>
      </c>
      <c r="AE8074" s="508">
        <v>0.01</v>
      </c>
      <c r="AF8074" s="508">
        <v>8.9999999999999993E-3</v>
      </c>
      <c r="AG8074" s="508">
        <v>8.9999999999999993E-3</v>
      </c>
      <c r="AH8074" s="508">
        <v>8.9999999999999993E-3</v>
      </c>
      <c r="AI8074" s="492">
        <v>8.9999999999999993E-3</v>
      </c>
      <c r="AJ8074" s="485"/>
    </row>
    <row r="8075" spans="2:36">
      <c r="B8075" s="136" t="s">
        <v>482</v>
      </c>
      <c r="C8075" s="132" t="s">
        <v>1382</v>
      </c>
      <c r="D8075" s="132" t="s">
        <v>1384</v>
      </c>
      <c r="E8075" s="508">
        <v>1.9E-2</v>
      </c>
      <c r="F8075" s="508">
        <v>1.2999999999999999E-2</v>
      </c>
      <c r="G8075" s="508">
        <v>1.2E-2</v>
      </c>
      <c r="H8075" s="508">
        <v>1.6E-2</v>
      </c>
      <c r="I8075" s="508">
        <v>1.6E-2</v>
      </c>
      <c r="J8075" s="508">
        <v>1.7000000000000001E-2</v>
      </c>
      <c r="K8075" s="508">
        <v>1.7999999999999999E-2</v>
      </c>
      <c r="L8075" s="508">
        <v>1.9E-2</v>
      </c>
      <c r="M8075" s="508">
        <v>1.7999999999999999E-2</v>
      </c>
      <c r="N8075" s="508">
        <v>0.02</v>
      </c>
      <c r="O8075" s="508">
        <v>1.9E-2</v>
      </c>
      <c r="P8075" s="508">
        <v>0.01</v>
      </c>
      <c r="Q8075" s="508">
        <v>1.0999999999999999E-2</v>
      </c>
      <c r="R8075" s="508">
        <v>1.0999999999999999E-2</v>
      </c>
      <c r="S8075" s="508">
        <v>1.0999999999999999E-2</v>
      </c>
      <c r="T8075" s="508">
        <v>1.0999999999999999E-2</v>
      </c>
      <c r="U8075" s="508">
        <v>1.2999999999999999E-2</v>
      </c>
      <c r="V8075" s="508">
        <v>1.2999999999999999E-2</v>
      </c>
      <c r="W8075" s="508">
        <v>1.2999999999999999E-2</v>
      </c>
      <c r="X8075" s="508">
        <v>1.2E-2</v>
      </c>
      <c r="Y8075" s="508">
        <v>1.2E-2</v>
      </c>
      <c r="Z8075" s="508">
        <v>1.2E-2</v>
      </c>
      <c r="AA8075" s="508">
        <v>1.2E-2</v>
      </c>
      <c r="AB8075" s="508">
        <v>1.0999999999999999E-2</v>
      </c>
      <c r="AC8075" s="508">
        <v>0.01</v>
      </c>
      <c r="AD8075" s="508">
        <v>0.01</v>
      </c>
      <c r="AE8075" s="508">
        <v>0.01</v>
      </c>
      <c r="AF8075" s="508">
        <v>0.01</v>
      </c>
      <c r="AG8075" s="508">
        <v>8.9999999999999993E-3</v>
      </c>
      <c r="AH8075" s="508">
        <v>8.9999999999999993E-3</v>
      </c>
      <c r="AI8075" s="492">
        <v>8.9999999999999993E-3</v>
      </c>
      <c r="AJ8075" s="485"/>
    </row>
    <row r="8076" spans="2:36">
      <c r="B8076" s="136" t="s">
        <v>483</v>
      </c>
      <c r="C8076" s="132" t="s">
        <v>1382</v>
      </c>
      <c r="D8076" s="132" t="s">
        <v>1384</v>
      </c>
      <c r="E8076" s="508">
        <v>1.9E-2</v>
      </c>
      <c r="F8076" s="508">
        <v>1.4E-2</v>
      </c>
      <c r="G8076" s="508">
        <v>1.2E-2</v>
      </c>
      <c r="H8076" s="508">
        <v>1.6E-2</v>
      </c>
      <c r="I8076" s="508">
        <v>1.6E-2</v>
      </c>
      <c r="J8076" s="508">
        <v>1.7000000000000001E-2</v>
      </c>
      <c r="K8076" s="508">
        <v>1.7999999999999999E-2</v>
      </c>
      <c r="L8076" s="508">
        <v>1.9E-2</v>
      </c>
      <c r="M8076" s="508">
        <v>1.7999999999999999E-2</v>
      </c>
      <c r="N8076" s="508">
        <v>0.02</v>
      </c>
      <c r="O8076" s="508">
        <v>1.9E-2</v>
      </c>
      <c r="P8076" s="508">
        <v>0.01</v>
      </c>
      <c r="Q8076" s="508">
        <v>1.0999999999999999E-2</v>
      </c>
      <c r="R8076" s="508">
        <v>1.0999999999999999E-2</v>
      </c>
      <c r="S8076" s="508">
        <v>1.0999999999999999E-2</v>
      </c>
      <c r="T8076" s="508">
        <v>1.0999999999999999E-2</v>
      </c>
      <c r="U8076" s="508">
        <v>1.2999999999999999E-2</v>
      </c>
      <c r="V8076" s="508">
        <v>1.2999999999999999E-2</v>
      </c>
      <c r="W8076" s="508">
        <v>1.2999999999999999E-2</v>
      </c>
      <c r="X8076" s="508">
        <v>1.2E-2</v>
      </c>
      <c r="Y8076" s="508">
        <v>1.2E-2</v>
      </c>
      <c r="Z8076" s="508">
        <v>1.2E-2</v>
      </c>
      <c r="AA8076" s="508">
        <v>1.2E-2</v>
      </c>
      <c r="AB8076" s="508">
        <v>1.0999999999999999E-2</v>
      </c>
      <c r="AC8076" s="508">
        <v>0.01</v>
      </c>
      <c r="AD8076" s="508">
        <v>0.01</v>
      </c>
      <c r="AE8076" s="508">
        <v>0.01</v>
      </c>
      <c r="AF8076" s="508">
        <v>8.9999999999999993E-3</v>
      </c>
      <c r="AG8076" s="508">
        <v>8.9999999999999993E-3</v>
      </c>
      <c r="AH8076" s="508">
        <v>8.9999999999999993E-3</v>
      </c>
      <c r="AI8076" s="492">
        <v>8.9999999999999993E-3</v>
      </c>
      <c r="AJ8076" s="485"/>
    </row>
    <row r="8077" spans="2:36">
      <c r="B8077" s="136" t="s">
        <v>484</v>
      </c>
      <c r="C8077" s="132" t="s">
        <v>1382</v>
      </c>
      <c r="D8077" s="132" t="s">
        <v>1384</v>
      </c>
      <c r="E8077" s="508">
        <v>1.9E-2</v>
      </c>
      <c r="F8077" s="508">
        <v>1.2999999999999999E-2</v>
      </c>
      <c r="G8077" s="508">
        <v>1.2E-2</v>
      </c>
      <c r="H8077" s="508">
        <v>1.6E-2</v>
      </c>
      <c r="I8077" s="508">
        <v>1.4999999999999999E-2</v>
      </c>
      <c r="J8077" s="508">
        <v>1.6E-2</v>
      </c>
      <c r="K8077" s="508">
        <v>1.7999999999999999E-2</v>
      </c>
      <c r="L8077" s="508">
        <v>1.7999999999999999E-2</v>
      </c>
      <c r="M8077" s="508">
        <v>1.7000000000000001E-2</v>
      </c>
      <c r="N8077" s="508">
        <v>1.9E-2</v>
      </c>
      <c r="O8077" s="508">
        <v>1.7999999999999999E-2</v>
      </c>
      <c r="P8077" s="508">
        <v>0.01</v>
      </c>
      <c r="Q8077" s="508">
        <v>0.01</v>
      </c>
      <c r="R8077" s="508">
        <v>0.01</v>
      </c>
      <c r="S8077" s="508">
        <v>0.01</v>
      </c>
      <c r="T8077" s="508">
        <v>0.01</v>
      </c>
      <c r="U8077" s="508">
        <v>1.2E-2</v>
      </c>
      <c r="V8077" s="508">
        <v>1.2E-2</v>
      </c>
      <c r="W8077" s="508">
        <v>1.2E-2</v>
      </c>
      <c r="X8077" s="508">
        <v>1.2E-2</v>
      </c>
      <c r="Y8077" s="508">
        <v>1.0999999999999999E-2</v>
      </c>
      <c r="Z8077" s="508">
        <v>1.0999999999999999E-2</v>
      </c>
      <c r="AA8077" s="508">
        <v>1.0999999999999999E-2</v>
      </c>
      <c r="AB8077" s="508">
        <v>0.01</v>
      </c>
      <c r="AC8077" s="508">
        <v>8.9999999999999993E-3</v>
      </c>
      <c r="AD8077" s="508">
        <v>8.9999999999999993E-3</v>
      </c>
      <c r="AE8077" s="508">
        <v>0.01</v>
      </c>
      <c r="AF8077" s="508">
        <v>8.9999999999999993E-3</v>
      </c>
      <c r="AG8077" s="508">
        <v>8.9999999999999993E-3</v>
      </c>
      <c r="AH8077" s="508">
        <v>8.9999999999999993E-3</v>
      </c>
      <c r="AI8077" s="492">
        <v>8.9999999999999993E-3</v>
      </c>
      <c r="AJ8077" s="485"/>
    </row>
    <row r="8078" spans="2:36">
      <c r="B8078" s="136" t="s">
        <v>486</v>
      </c>
      <c r="C8078" s="132" t="s">
        <v>1382</v>
      </c>
      <c r="D8078" s="132" t="s">
        <v>1384</v>
      </c>
      <c r="E8078" s="508">
        <v>1.9E-2</v>
      </c>
      <c r="F8078" s="508">
        <v>1.2999999999999999E-2</v>
      </c>
      <c r="G8078" s="508">
        <v>1.2E-2</v>
      </c>
      <c r="H8078" s="508">
        <v>1.6E-2</v>
      </c>
      <c r="I8078" s="508">
        <v>1.6E-2</v>
      </c>
      <c r="J8078" s="508">
        <v>1.7000000000000001E-2</v>
      </c>
      <c r="K8078" s="508">
        <v>1.7999999999999999E-2</v>
      </c>
      <c r="L8078" s="508">
        <v>1.9E-2</v>
      </c>
      <c r="M8078" s="508">
        <v>1.7999999999999999E-2</v>
      </c>
      <c r="N8078" s="508">
        <v>0.02</v>
      </c>
      <c r="O8078" s="508">
        <v>1.9E-2</v>
      </c>
      <c r="P8078" s="508">
        <v>0.01</v>
      </c>
      <c r="Q8078" s="508">
        <v>1.0999999999999999E-2</v>
      </c>
      <c r="R8078" s="508">
        <v>1.0999999999999999E-2</v>
      </c>
      <c r="S8078" s="508">
        <v>1.0999999999999999E-2</v>
      </c>
      <c r="T8078" s="508">
        <v>1.0999999999999999E-2</v>
      </c>
      <c r="U8078" s="508">
        <v>1.2999999999999999E-2</v>
      </c>
      <c r="V8078" s="508">
        <v>1.2999999999999999E-2</v>
      </c>
      <c r="W8078" s="508">
        <v>1.2999999999999999E-2</v>
      </c>
      <c r="X8078" s="508">
        <v>1.2E-2</v>
      </c>
      <c r="Y8078" s="508">
        <v>1.2E-2</v>
      </c>
      <c r="Z8078" s="508">
        <v>1.2E-2</v>
      </c>
      <c r="AA8078" s="508">
        <v>1.2E-2</v>
      </c>
      <c r="AB8078" s="508">
        <v>0.01</v>
      </c>
      <c r="AC8078" s="508">
        <v>0.01</v>
      </c>
      <c r="AD8078" s="508">
        <v>0.01</v>
      </c>
      <c r="AE8078" s="508">
        <v>0.01</v>
      </c>
      <c r="AF8078" s="508">
        <v>8.9999999999999993E-3</v>
      </c>
      <c r="AG8078" s="508">
        <v>8.9999999999999993E-3</v>
      </c>
      <c r="AH8078" s="508">
        <v>8.9999999999999993E-3</v>
      </c>
      <c r="AI8078" s="492">
        <v>8.9999999999999993E-3</v>
      </c>
      <c r="AJ8078" s="485"/>
    </row>
    <row r="8079" spans="2:36">
      <c r="B8079" s="136" t="s">
        <v>487</v>
      </c>
      <c r="C8079" s="132" t="s">
        <v>1382</v>
      </c>
      <c r="D8079" s="132" t="s">
        <v>1384</v>
      </c>
      <c r="E8079" s="508">
        <v>1.9E-2</v>
      </c>
      <c r="F8079" s="508">
        <v>1.2999999999999999E-2</v>
      </c>
      <c r="G8079" s="508">
        <v>1.2E-2</v>
      </c>
      <c r="H8079" s="508">
        <v>1.6E-2</v>
      </c>
      <c r="I8079" s="508">
        <v>1.4999999999999999E-2</v>
      </c>
      <c r="J8079" s="508">
        <v>1.7000000000000001E-2</v>
      </c>
      <c r="K8079" s="508">
        <v>1.7999999999999999E-2</v>
      </c>
      <c r="L8079" s="508">
        <v>1.7999999999999999E-2</v>
      </c>
      <c r="M8079" s="508">
        <v>1.7999999999999999E-2</v>
      </c>
      <c r="N8079" s="508">
        <v>0.02</v>
      </c>
      <c r="O8079" s="508">
        <v>1.9E-2</v>
      </c>
      <c r="P8079" s="508">
        <v>0.01</v>
      </c>
      <c r="Q8079" s="508">
        <v>1.0999999999999999E-2</v>
      </c>
      <c r="R8079" s="508">
        <v>1.0999999999999999E-2</v>
      </c>
      <c r="S8079" s="508">
        <v>1.0999999999999999E-2</v>
      </c>
      <c r="T8079" s="508">
        <v>1.0999999999999999E-2</v>
      </c>
      <c r="U8079" s="508">
        <v>1.2999999999999999E-2</v>
      </c>
      <c r="V8079" s="508">
        <v>1.2999999999999999E-2</v>
      </c>
      <c r="W8079" s="508">
        <v>1.2999999999999999E-2</v>
      </c>
      <c r="X8079" s="508">
        <v>1.2E-2</v>
      </c>
      <c r="Y8079" s="508">
        <v>1.2E-2</v>
      </c>
      <c r="Z8079" s="508">
        <v>1.2E-2</v>
      </c>
      <c r="AA8079" s="508">
        <v>1.2E-2</v>
      </c>
      <c r="AB8079" s="508">
        <v>0.01</v>
      </c>
      <c r="AC8079" s="508">
        <v>0.01</v>
      </c>
      <c r="AD8079" s="508">
        <v>0.01</v>
      </c>
      <c r="AE8079" s="508">
        <v>0.01</v>
      </c>
      <c r="AF8079" s="508">
        <v>8.9999999999999993E-3</v>
      </c>
      <c r="AG8079" s="508">
        <v>8.9999999999999993E-3</v>
      </c>
      <c r="AH8079" s="508">
        <v>8.9999999999999993E-3</v>
      </c>
      <c r="AI8079" s="492">
        <v>8.9999999999999993E-3</v>
      </c>
      <c r="AJ8079" s="485"/>
    </row>
    <row r="8080" spans="2:36">
      <c r="B8080" s="136" t="s">
        <v>488</v>
      </c>
      <c r="C8080" s="132" t="s">
        <v>1382</v>
      </c>
      <c r="D8080" s="132" t="s">
        <v>1384</v>
      </c>
      <c r="E8080" s="508">
        <v>1.9E-2</v>
      </c>
      <c r="F8080" s="508">
        <v>1.2999999999999999E-2</v>
      </c>
      <c r="G8080" s="508">
        <v>1.2E-2</v>
      </c>
      <c r="H8080" s="508">
        <v>1.6E-2</v>
      </c>
      <c r="I8080" s="508">
        <v>1.4999999999999999E-2</v>
      </c>
      <c r="J8080" s="508">
        <v>1.6E-2</v>
      </c>
      <c r="K8080" s="508">
        <v>1.7999999999999999E-2</v>
      </c>
      <c r="L8080" s="508">
        <v>1.7999999999999999E-2</v>
      </c>
      <c r="M8080" s="508">
        <v>1.7000000000000001E-2</v>
      </c>
      <c r="N8080" s="508">
        <v>0.02</v>
      </c>
      <c r="O8080" s="508">
        <v>1.7999999999999999E-2</v>
      </c>
      <c r="P8080" s="508">
        <v>0.01</v>
      </c>
      <c r="Q8080" s="508">
        <v>0.01</v>
      </c>
      <c r="R8080" s="508">
        <v>1.0999999999999999E-2</v>
      </c>
      <c r="S8080" s="508">
        <v>0.01</v>
      </c>
      <c r="T8080" s="508">
        <v>0.01</v>
      </c>
      <c r="U8080" s="508">
        <v>1.2999999999999999E-2</v>
      </c>
      <c r="V8080" s="508">
        <v>1.2E-2</v>
      </c>
      <c r="W8080" s="508">
        <v>1.2E-2</v>
      </c>
      <c r="X8080" s="508">
        <v>1.2E-2</v>
      </c>
      <c r="Y8080" s="508">
        <v>1.2E-2</v>
      </c>
      <c r="Z8080" s="508">
        <v>1.2E-2</v>
      </c>
      <c r="AA8080" s="508">
        <v>1.0999999999999999E-2</v>
      </c>
      <c r="AB8080" s="508">
        <v>0.01</v>
      </c>
      <c r="AC8080" s="508">
        <v>0.01</v>
      </c>
      <c r="AD8080" s="508">
        <v>8.9999999999999993E-3</v>
      </c>
      <c r="AE8080" s="508">
        <v>0.01</v>
      </c>
      <c r="AF8080" s="508">
        <v>8.9999999999999993E-3</v>
      </c>
      <c r="AG8080" s="508">
        <v>8.9999999999999993E-3</v>
      </c>
      <c r="AH8080" s="508">
        <v>8.9999999999999993E-3</v>
      </c>
      <c r="AI8080" s="492">
        <v>8.9999999999999993E-3</v>
      </c>
      <c r="AJ8080" s="485"/>
    </row>
    <row r="8081" spans="2:36">
      <c r="B8081" s="136" t="s">
        <v>489</v>
      </c>
      <c r="C8081" s="132" t="s">
        <v>1382</v>
      </c>
      <c r="D8081" s="132" t="s">
        <v>1384</v>
      </c>
      <c r="E8081" s="508">
        <v>1.9E-2</v>
      </c>
      <c r="F8081" s="508">
        <v>1.2999999999999999E-2</v>
      </c>
      <c r="G8081" s="508">
        <v>1.2E-2</v>
      </c>
      <c r="H8081" s="508">
        <v>1.6E-2</v>
      </c>
      <c r="I8081" s="508">
        <v>1.4999999999999999E-2</v>
      </c>
      <c r="J8081" s="508">
        <v>1.7000000000000001E-2</v>
      </c>
      <c r="K8081" s="508">
        <v>1.7999999999999999E-2</v>
      </c>
      <c r="L8081" s="508">
        <v>1.7999999999999999E-2</v>
      </c>
      <c r="M8081" s="508">
        <v>1.7999999999999999E-2</v>
      </c>
      <c r="N8081" s="508">
        <v>0.02</v>
      </c>
      <c r="O8081" s="508">
        <v>1.9E-2</v>
      </c>
      <c r="P8081" s="508">
        <v>0.01</v>
      </c>
      <c r="Q8081" s="508">
        <v>0.01</v>
      </c>
      <c r="R8081" s="508">
        <v>1.0999999999999999E-2</v>
      </c>
      <c r="S8081" s="508">
        <v>1.0999999999999999E-2</v>
      </c>
      <c r="T8081" s="508">
        <v>0.01</v>
      </c>
      <c r="U8081" s="508">
        <v>1.2999999999999999E-2</v>
      </c>
      <c r="V8081" s="508">
        <v>1.2999999999999999E-2</v>
      </c>
      <c r="W8081" s="508">
        <v>1.2999999999999999E-2</v>
      </c>
      <c r="X8081" s="508">
        <v>1.2E-2</v>
      </c>
      <c r="Y8081" s="508">
        <v>1.2E-2</v>
      </c>
      <c r="Z8081" s="508">
        <v>1.2E-2</v>
      </c>
      <c r="AA8081" s="508">
        <v>1.2E-2</v>
      </c>
      <c r="AB8081" s="508">
        <v>0.01</v>
      </c>
      <c r="AC8081" s="508">
        <v>0.01</v>
      </c>
      <c r="AD8081" s="508">
        <v>0.01</v>
      </c>
      <c r="AE8081" s="508">
        <v>0.01</v>
      </c>
      <c r="AF8081" s="508">
        <v>8.9999999999999993E-3</v>
      </c>
      <c r="AG8081" s="508">
        <v>8.9999999999999993E-3</v>
      </c>
      <c r="AH8081" s="508">
        <v>8.9999999999999993E-3</v>
      </c>
      <c r="AI8081" s="492">
        <v>8.9999999999999993E-3</v>
      </c>
      <c r="AJ8081" s="485"/>
    </row>
    <row r="8082" spans="2:36">
      <c r="B8082" s="136" t="s">
        <v>490</v>
      </c>
      <c r="C8082" s="132" t="s">
        <v>1382</v>
      </c>
      <c r="D8082" s="132" t="s">
        <v>1384</v>
      </c>
      <c r="E8082" s="508">
        <v>1.9E-2</v>
      </c>
      <c r="F8082" s="508">
        <v>1.2999999999999999E-2</v>
      </c>
      <c r="G8082" s="508">
        <v>1.2E-2</v>
      </c>
      <c r="H8082" s="508">
        <v>1.6E-2</v>
      </c>
      <c r="I8082" s="508">
        <v>1.4999999999999999E-2</v>
      </c>
      <c r="J8082" s="508">
        <v>1.6E-2</v>
      </c>
      <c r="K8082" s="508">
        <v>1.7999999999999999E-2</v>
      </c>
      <c r="L8082" s="508">
        <v>1.7999999999999999E-2</v>
      </c>
      <c r="M8082" s="508">
        <v>1.7999999999999999E-2</v>
      </c>
      <c r="N8082" s="508">
        <v>1.9E-2</v>
      </c>
      <c r="O8082" s="508">
        <v>1.7999999999999999E-2</v>
      </c>
      <c r="P8082" s="508">
        <v>0.01</v>
      </c>
      <c r="Q8082" s="508">
        <v>0.01</v>
      </c>
      <c r="R8082" s="508">
        <v>1.0999999999999999E-2</v>
      </c>
      <c r="S8082" s="508">
        <v>0.01</v>
      </c>
      <c r="T8082" s="508">
        <v>0.01</v>
      </c>
      <c r="U8082" s="508">
        <v>1.2999999999999999E-2</v>
      </c>
      <c r="V8082" s="508">
        <v>1.2E-2</v>
      </c>
      <c r="W8082" s="508">
        <v>1.2E-2</v>
      </c>
      <c r="X8082" s="508">
        <v>1.2E-2</v>
      </c>
      <c r="Y8082" s="508">
        <v>1.0999999999999999E-2</v>
      </c>
      <c r="Z8082" s="508">
        <v>1.0999999999999999E-2</v>
      </c>
      <c r="AA8082" s="508">
        <v>1.0999999999999999E-2</v>
      </c>
      <c r="AB8082" s="508">
        <v>0.01</v>
      </c>
      <c r="AC8082" s="508">
        <v>8.9999999999999993E-3</v>
      </c>
      <c r="AD8082" s="508">
        <v>8.9999999999999993E-3</v>
      </c>
      <c r="AE8082" s="508">
        <v>0.01</v>
      </c>
      <c r="AF8082" s="508">
        <v>8.9999999999999993E-3</v>
      </c>
      <c r="AG8082" s="508">
        <v>8.9999999999999993E-3</v>
      </c>
      <c r="AH8082" s="508">
        <v>8.9999999999999993E-3</v>
      </c>
      <c r="AI8082" s="492">
        <v>8.9999999999999993E-3</v>
      </c>
      <c r="AJ8082" s="485"/>
    </row>
    <row r="8083" spans="2:36">
      <c r="B8083" s="136" t="s">
        <v>435</v>
      </c>
      <c r="C8083" s="132" t="s">
        <v>1383</v>
      </c>
      <c r="D8083" s="132" t="s">
        <v>1384</v>
      </c>
      <c r="E8083" s="508">
        <v>2.048</v>
      </c>
      <c r="F8083" s="508">
        <v>2.0219999999999998</v>
      </c>
      <c r="G8083" s="508">
        <v>2.0939999999999999</v>
      </c>
      <c r="H8083" s="508">
        <v>2.0680000000000001</v>
      </c>
      <c r="I8083" s="508">
        <v>2.06</v>
      </c>
      <c r="J8083" s="508">
        <v>2.0579999999999998</v>
      </c>
      <c r="K8083" s="508">
        <v>2.0059999999999998</v>
      </c>
      <c r="L8083" s="508">
        <v>1.992</v>
      </c>
      <c r="M8083" s="508">
        <v>1.9730000000000001</v>
      </c>
      <c r="N8083" s="508">
        <v>1.9239999999999999</v>
      </c>
      <c r="O8083" s="508">
        <v>1.87</v>
      </c>
      <c r="P8083" s="508">
        <v>0.79100000000000004</v>
      </c>
      <c r="Q8083" s="508">
        <v>0.77200000000000002</v>
      </c>
      <c r="R8083" s="508">
        <v>0.61899999999999999</v>
      </c>
      <c r="S8083" s="508">
        <v>0.57399999999999995</v>
      </c>
      <c r="T8083" s="508">
        <v>0.56299999999999994</v>
      </c>
      <c r="U8083" s="508">
        <v>0.38600000000000001</v>
      </c>
      <c r="V8083" s="508">
        <v>0.3</v>
      </c>
      <c r="W8083" s="508">
        <v>0.254</v>
      </c>
      <c r="X8083" s="508">
        <v>0.17799999999999999</v>
      </c>
      <c r="Y8083" s="508">
        <v>0.13200000000000001</v>
      </c>
      <c r="Z8083" s="508">
        <v>7.4999999999999997E-2</v>
      </c>
      <c r="AA8083" s="508">
        <v>7.1999999999999995E-2</v>
      </c>
      <c r="AB8083" s="508">
        <v>6.3E-2</v>
      </c>
      <c r="AC8083" s="508">
        <v>6.0999999999999999E-2</v>
      </c>
      <c r="AD8083" s="508">
        <v>5.5E-2</v>
      </c>
      <c r="AE8083" s="508">
        <v>5.1999999999999998E-2</v>
      </c>
      <c r="AF8083" s="508">
        <v>4.4999999999999998E-2</v>
      </c>
      <c r="AG8083" s="508">
        <v>4.3999999999999997E-2</v>
      </c>
      <c r="AH8083" s="508">
        <v>4.2999999999999997E-2</v>
      </c>
      <c r="AI8083" s="492">
        <v>4.2000000000000003E-2</v>
      </c>
      <c r="AJ8083" s="485"/>
    </row>
    <row r="8084" spans="2:36">
      <c r="B8084" s="136" t="s">
        <v>436</v>
      </c>
      <c r="C8084" s="132" t="s">
        <v>1383</v>
      </c>
      <c r="D8084" s="132" t="s">
        <v>1384</v>
      </c>
      <c r="E8084" s="508">
        <v>1.256</v>
      </c>
      <c r="F8084" s="508">
        <v>1.234</v>
      </c>
      <c r="G8084" s="508">
        <v>1.2709999999999999</v>
      </c>
      <c r="H8084" s="508">
        <v>1.258</v>
      </c>
      <c r="I8084" s="508">
        <v>1.252</v>
      </c>
      <c r="J8084" s="508">
        <v>1.25</v>
      </c>
      <c r="K8084" s="508">
        <v>1.224</v>
      </c>
      <c r="L8084" s="508">
        <v>1.2130000000000001</v>
      </c>
      <c r="M8084" s="508">
        <v>1.2</v>
      </c>
      <c r="N8084" s="508">
        <v>1.1779999999999999</v>
      </c>
      <c r="O8084" s="508">
        <v>1.1559999999999999</v>
      </c>
      <c r="P8084" s="508">
        <v>0.436</v>
      </c>
      <c r="Q8084" s="508">
        <v>0.433</v>
      </c>
      <c r="R8084" s="508">
        <v>0.375</v>
      </c>
      <c r="S8084" s="508">
        <v>0.35699999999999998</v>
      </c>
      <c r="T8084" s="508">
        <v>0.35</v>
      </c>
      <c r="U8084" s="508">
        <v>0.22500000000000001</v>
      </c>
      <c r="V8084" s="508">
        <v>0.17599999999999999</v>
      </c>
      <c r="W8084" s="508">
        <v>0.15</v>
      </c>
      <c r="X8084" s="508">
        <v>0.108</v>
      </c>
      <c r="Y8084" s="508">
        <v>8.3000000000000004E-2</v>
      </c>
      <c r="Z8084" s="508">
        <v>4.3999999999999997E-2</v>
      </c>
      <c r="AA8084" s="508">
        <v>4.2999999999999997E-2</v>
      </c>
      <c r="AB8084" s="508">
        <v>3.7999999999999999E-2</v>
      </c>
      <c r="AC8084" s="508">
        <v>3.6999999999999998E-2</v>
      </c>
      <c r="AD8084" s="508">
        <v>3.5000000000000003E-2</v>
      </c>
      <c r="AE8084" s="508">
        <v>3.3000000000000002E-2</v>
      </c>
      <c r="AF8084" s="508">
        <v>0.03</v>
      </c>
      <c r="AG8084" s="508">
        <v>2.9000000000000001E-2</v>
      </c>
      <c r="AH8084" s="508">
        <v>2.8000000000000001E-2</v>
      </c>
      <c r="AI8084" s="492">
        <v>2.8000000000000001E-2</v>
      </c>
      <c r="AJ8084" s="485"/>
    </row>
    <row r="8085" spans="2:36">
      <c r="B8085" s="136" t="s">
        <v>437</v>
      </c>
      <c r="C8085" s="132" t="s">
        <v>1383</v>
      </c>
      <c r="D8085" s="132" t="s">
        <v>1384</v>
      </c>
      <c r="E8085" s="508">
        <v>2.3359999999999999</v>
      </c>
      <c r="F8085" s="508">
        <v>2.3109999999999999</v>
      </c>
      <c r="G8085" s="508">
        <v>2.395</v>
      </c>
      <c r="H8085" s="508">
        <v>2.3639999999999999</v>
      </c>
      <c r="I8085" s="508">
        <v>2.3580000000000001</v>
      </c>
      <c r="J8085" s="508">
        <v>2.355</v>
      </c>
      <c r="K8085" s="508">
        <v>2.2949999999999999</v>
      </c>
      <c r="L8085" s="508">
        <v>2.2810000000000001</v>
      </c>
      <c r="M8085" s="508">
        <v>2.262</v>
      </c>
      <c r="N8085" s="508">
        <v>2.2010000000000001</v>
      </c>
      <c r="O8085" s="508">
        <v>2.1309999999999998</v>
      </c>
      <c r="P8085" s="508">
        <v>0.95699999999999996</v>
      </c>
      <c r="Q8085" s="508">
        <v>0.91900000000000004</v>
      </c>
      <c r="R8085" s="508">
        <v>0.69799999999999995</v>
      </c>
      <c r="S8085" s="508">
        <v>0.63500000000000001</v>
      </c>
      <c r="T8085" s="508">
        <v>0.621</v>
      </c>
      <c r="U8085" s="508">
        <v>0.43</v>
      </c>
      <c r="V8085" s="508">
        <v>0.33800000000000002</v>
      </c>
      <c r="W8085" s="508">
        <v>0.28699999999999998</v>
      </c>
      <c r="X8085" s="508">
        <v>0.19900000000000001</v>
      </c>
      <c r="Y8085" s="508">
        <v>0.14899999999999999</v>
      </c>
      <c r="Z8085" s="508">
        <v>8.6999999999999994E-2</v>
      </c>
      <c r="AA8085" s="508">
        <v>8.3000000000000004E-2</v>
      </c>
      <c r="AB8085" s="508">
        <v>7.2999999999999995E-2</v>
      </c>
      <c r="AC8085" s="508">
        <v>7.0999999999999994E-2</v>
      </c>
      <c r="AD8085" s="508">
        <v>6.3E-2</v>
      </c>
      <c r="AE8085" s="508">
        <v>0.06</v>
      </c>
      <c r="AF8085" s="508">
        <v>5.2999999999999999E-2</v>
      </c>
      <c r="AG8085" s="508">
        <v>5.1999999999999998E-2</v>
      </c>
      <c r="AH8085" s="508">
        <v>5.0999999999999997E-2</v>
      </c>
      <c r="AI8085" s="492">
        <v>0.05</v>
      </c>
      <c r="AJ8085" s="485"/>
    </row>
    <row r="8086" spans="2:36">
      <c r="B8086" s="136" t="s">
        <v>438</v>
      </c>
      <c r="C8086" s="132" t="s">
        <v>1383</v>
      </c>
      <c r="D8086" s="132" t="s">
        <v>1384</v>
      </c>
      <c r="E8086" s="508">
        <v>1.9319999999999999</v>
      </c>
      <c r="F8086" s="508">
        <v>1.907</v>
      </c>
      <c r="G8086" s="508">
        <v>1.976</v>
      </c>
      <c r="H8086" s="508">
        <v>1.95</v>
      </c>
      <c r="I8086" s="508">
        <v>1.9430000000000001</v>
      </c>
      <c r="J8086" s="508">
        <v>1.9410000000000001</v>
      </c>
      <c r="K8086" s="508">
        <v>1.8919999999999999</v>
      </c>
      <c r="L8086" s="508">
        <v>1.8779999999999999</v>
      </c>
      <c r="M8086" s="508">
        <v>1.86</v>
      </c>
      <c r="N8086" s="508">
        <v>1.8140000000000001</v>
      </c>
      <c r="O8086" s="508">
        <v>1.7629999999999999</v>
      </c>
      <c r="P8086" s="508">
        <v>0.747</v>
      </c>
      <c r="Q8086" s="508">
        <v>0.73</v>
      </c>
      <c r="R8086" s="508">
        <v>0.58499999999999996</v>
      </c>
      <c r="S8086" s="508">
        <v>0.54200000000000004</v>
      </c>
      <c r="T8086" s="508">
        <v>0.53200000000000003</v>
      </c>
      <c r="U8086" s="508">
        <v>0.36399999999999999</v>
      </c>
      <c r="V8086" s="508">
        <v>0.28299999999999997</v>
      </c>
      <c r="W8086" s="508">
        <v>0.23899999999999999</v>
      </c>
      <c r="X8086" s="508">
        <v>0.16800000000000001</v>
      </c>
      <c r="Y8086" s="508">
        <v>0.125</v>
      </c>
      <c r="Z8086" s="508">
        <v>7.0999999999999994E-2</v>
      </c>
      <c r="AA8086" s="508">
        <v>6.8000000000000005E-2</v>
      </c>
      <c r="AB8086" s="508">
        <v>0.06</v>
      </c>
      <c r="AC8086" s="508">
        <v>5.8000000000000003E-2</v>
      </c>
      <c r="AD8086" s="508">
        <v>5.1999999999999998E-2</v>
      </c>
      <c r="AE8086" s="508">
        <v>4.9000000000000002E-2</v>
      </c>
      <c r="AF8086" s="508">
        <v>4.2999999999999997E-2</v>
      </c>
      <c r="AG8086" s="508">
        <v>4.2000000000000003E-2</v>
      </c>
      <c r="AH8086" s="508">
        <v>4.1000000000000002E-2</v>
      </c>
      <c r="AI8086" s="492">
        <v>0.04</v>
      </c>
      <c r="AJ8086" s="485"/>
    </row>
    <row r="8087" spans="2:36">
      <c r="B8087" s="136" t="s">
        <v>439</v>
      </c>
      <c r="C8087" s="132" t="s">
        <v>1383</v>
      </c>
      <c r="D8087" s="132" t="s">
        <v>1384</v>
      </c>
      <c r="E8087" s="508">
        <v>1.911</v>
      </c>
      <c r="F8087" s="508">
        <v>1.887</v>
      </c>
      <c r="G8087" s="508">
        <v>1.946</v>
      </c>
      <c r="H8087" s="508">
        <v>1.925</v>
      </c>
      <c r="I8087" s="508">
        <v>1.9179999999999999</v>
      </c>
      <c r="J8087" s="508">
        <v>1.915</v>
      </c>
      <c r="K8087" s="508">
        <v>1.871</v>
      </c>
      <c r="L8087" s="508">
        <v>1.855</v>
      </c>
      <c r="M8087" s="508">
        <v>1.835</v>
      </c>
      <c r="N8087" s="508">
        <v>1.79</v>
      </c>
      <c r="O8087" s="508">
        <v>1.7410000000000001</v>
      </c>
      <c r="P8087" s="508">
        <v>0.70899999999999996</v>
      </c>
      <c r="Q8087" s="508">
        <v>0.69099999999999995</v>
      </c>
      <c r="R8087" s="508">
        <v>0.55000000000000004</v>
      </c>
      <c r="S8087" s="508">
        <v>0.51</v>
      </c>
      <c r="T8087" s="508">
        <v>0.499</v>
      </c>
      <c r="U8087" s="508">
        <v>0.33600000000000002</v>
      </c>
      <c r="V8087" s="508">
        <v>0.26400000000000001</v>
      </c>
      <c r="W8087" s="508">
        <v>0.22600000000000001</v>
      </c>
      <c r="X8087" s="508">
        <v>0.161</v>
      </c>
      <c r="Y8087" s="508">
        <v>0.123</v>
      </c>
      <c r="Z8087" s="508">
        <v>7.0000000000000007E-2</v>
      </c>
      <c r="AA8087" s="508">
        <v>6.8000000000000005E-2</v>
      </c>
      <c r="AB8087" s="508">
        <v>5.8999999999999997E-2</v>
      </c>
      <c r="AC8087" s="508">
        <v>5.8000000000000003E-2</v>
      </c>
      <c r="AD8087" s="508">
        <v>5.0999999999999997E-2</v>
      </c>
      <c r="AE8087" s="508">
        <v>4.9000000000000002E-2</v>
      </c>
      <c r="AF8087" s="508">
        <v>4.2999999999999997E-2</v>
      </c>
      <c r="AG8087" s="508">
        <v>4.2000000000000003E-2</v>
      </c>
      <c r="AH8087" s="508">
        <v>4.1000000000000002E-2</v>
      </c>
      <c r="AI8087" s="492">
        <v>0.04</v>
      </c>
      <c r="AJ8087" s="485"/>
    </row>
    <row r="8088" spans="2:36">
      <c r="B8088" s="136" t="s">
        <v>440</v>
      </c>
      <c r="C8088" s="132" t="s">
        <v>1383</v>
      </c>
      <c r="D8088" s="132" t="s">
        <v>1384</v>
      </c>
      <c r="E8088" s="508">
        <v>1.681</v>
      </c>
      <c r="F8088" s="508">
        <v>1.66</v>
      </c>
      <c r="G8088" s="508">
        <v>1.72</v>
      </c>
      <c r="H8088" s="508">
        <v>1.6970000000000001</v>
      </c>
      <c r="I8088" s="508">
        <v>1.6919999999999999</v>
      </c>
      <c r="J8088" s="508">
        <v>1.6890000000000001</v>
      </c>
      <c r="K8088" s="508">
        <v>1.647</v>
      </c>
      <c r="L8088" s="508">
        <v>1.6379999999999999</v>
      </c>
      <c r="M8088" s="508">
        <v>1.625</v>
      </c>
      <c r="N8088" s="508">
        <v>1.585</v>
      </c>
      <c r="O8088" s="508">
        <v>1.5389999999999999</v>
      </c>
      <c r="P8088" s="508">
        <v>0.624</v>
      </c>
      <c r="Q8088" s="508">
        <v>0.61</v>
      </c>
      <c r="R8088" s="508">
        <v>0.51</v>
      </c>
      <c r="S8088" s="508">
        <v>0.47699999999999998</v>
      </c>
      <c r="T8088" s="508">
        <v>0.46700000000000003</v>
      </c>
      <c r="U8088" s="508">
        <v>0.312</v>
      </c>
      <c r="V8088" s="508">
        <v>0.245</v>
      </c>
      <c r="W8088" s="508">
        <v>0.20899999999999999</v>
      </c>
      <c r="X8088" s="508">
        <v>0.14699999999999999</v>
      </c>
      <c r="Y8088" s="508">
        <v>0.111</v>
      </c>
      <c r="Z8088" s="508">
        <v>6.0999999999999999E-2</v>
      </c>
      <c r="AA8088" s="508">
        <v>5.8999999999999997E-2</v>
      </c>
      <c r="AB8088" s="508">
        <v>5.1999999999999998E-2</v>
      </c>
      <c r="AC8088" s="508">
        <v>0.05</v>
      </c>
      <c r="AD8088" s="508">
        <v>4.5999999999999999E-2</v>
      </c>
      <c r="AE8088" s="508">
        <v>4.2999999999999997E-2</v>
      </c>
      <c r="AF8088" s="508">
        <v>3.7999999999999999E-2</v>
      </c>
      <c r="AG8088" s="508">
        <v>3.6999999999999998E-2</v>
      </c>
      <c r="AH8088" s="508">
        <v>3.5999999999999997E-2</v>
      </c>
      <c r="AI8088" s="492">
        <v>3.5999999999999997E-2</v>
      </c>
      <c r="AJ8088" s="485"/>
    </row>
    <row r="8089" spans="2:36">
      <c r="B8089" s="136" t="s">
        <v>441</v>
      </c>
      <c r="C8089" s="132" t="s">
        <v>1383</v>
      </c>
      <c r="D8089" s="132" t="s">
        <v>1384</v>
      </c>
      <c r="E8089" s="508">
        <v>1.611</v>
      </c>
      <c r="F8089" s="508">
        <v>1.59</v>
      </c>
      <c r="G8089" s="508">
        <v>1.581</v>
      </c>
      <c r="H8089" s="508">
        <v>1.5669999999999999</v>
      </c>
      <c r="I8089" s="508">
        <v>1.56</v>
      </c>
      <c r="J8089" s="508">
        <v>1.5580000000000001</v>
      </c>
      <c r="K8089" s="508">
        <v>1.526</v>
      </c>
      <c r="L8089" s="508">
        <v>1.5109999999999999</v>
      </c>
      <c r="M8089" s="508">
        <v>1.492</v>
      </c>
      <c r="N8089" s="508">
        <v>1.4610000000000001</v>
      </c>
      <c r="O8089" s="508">
        <v>1.4279999999999999</v>
      </c>
      <c r="P8089" s="508">
        <v>0.57299999999999995</v>
      </c>
      <c r="Q8089" s="508">
        <v>0.55900000000000005</v>
      </c>
      <c r="R8089" s="508">
        <v>0.45</v>
      </c>
      <c r="S8089" s="508">
        <v>0.42</v>
      </c>
      <c r="T8089" s="508">
        <v>0.41199999999999998</v>
      </c>
      <c r="U8089" s="508">
        <v>0.26900000000000002</v>
      </c>
      <c r="V8089" s="508">
        <v>0.21299999999999999</v>
      </c>
      <c r="W8089" s="508">
        <v>0.183</v>
      </c>
      <c r="X8089" s="508">
        <v>0.13100000000000001</v>
      </c>
      <c r="Y8089" s="508">
        <v>0.10100000000000001</v>
      </c>
      <c r="Z8089" s="508">
        <v>5.6000000000000001E-2</v>
      </c>
      <c r="AA8089" s="508">
        <v>5.5E-2</v>
      </c>
      <c r="AB8089" s="508">
        <v>4.9000000000000002E-2</v>
      </c>
      <c r="AC8089" s="508">
        <v>4.8000000000000001E-2</v>
      </c>
      <c r="AD8089" s="508">
        <v>4.2999999999999997E-2</v>
      </c>
      <c r="AE8089" s="508">
        <v>4.1000000000000002E-2</v>
      </c>
      <c r="AF8089" s="508">
        <v>3.6999999999999998E-2</v>
      </c>
      <c r="AG8089" s="508">
        <v>3.5999999999999997E-2</v>
      </c>
      <c r="AH8089" s="508">
        <v>3.5999999999999997E-2</v>
      </c>
      <c r="AI8089" s="492">
        <v>3.5000000000000003E-2</v>
      </c>
      <c r="AJ8089" s="485"/>
    </row>
    <row r="8090" spans="2:36">
      <c r="B8090" s="136" t="s">
        <v>443</v>
      </c>
      <c r="C8090" s="132" t="s">
        <v>1383</v>
      </c>
      <c r="D8090" s="132" t="s">
        <v>1384</v>
      </c>
      <c r="E8090" s="508">
        <v>1.6619999999999999</v>
      </c>
      <c r="F8090" s="508">
        <v>1.639</v>
      </c>
      <c r="G8090" s="508">
        <v>1.6839999999999999</v>
      </c>
      <c r="H8090" s="508">
        <v>1.669</v>
      </c>
      <c r="I8090" s="508">
        <v>1.6619999999999999</v>
      </c>
      <c r="J8090" s="508">
        <v>1.66</v>
      </c>
      <c r="K8090" s="508">
        <v>1.6240000000000001</v>
      </c>
      <c r="L8090" s="508">
        <v>1.609</v>
      </c>
      <c r="M8090" s="508">
        <v>1.589</v>
      </c>
      <c r="N8090" s="508">
        <v>1.556</v>
      </c>
      <c r="O8090" s="508">
        <v>1.522</v>
      </c>
      <c r="P8090" s="508">
        <v>0.621</v>
      </c>
      <c r="Q8090" s="508">
        <v>0.60599999999999998</v>
      </c>
      <c r="R8090" s="508">
        <v>0.48299999999999998</v>
      </c>
      <c r="S8090" s="508">
        <v>0.44900000000000001</v>
      </c>
      <c r="T8090" s="508">
        <v>0.441</v>
      </c>
      <c r="U8090" s="508">
        <v>0.29199999999999998</v>
      </c>
      <c r="V8090" s="508">
        <v>0.23</v>
      </c>
      <c r="W8090" s="508">
        <v>0.19700000000000001</v>
      </c>
      <c r="X8090" s="508">
        <v>0.14000000000000001</v>
      </c>
      <c r="Y8090" s="508">
        <v>0.108</v>
      </c>
      <c r="Z8090" s="508">
        <v>6.0999999999999999E-2</v>
      </c>
      <c r="AA8090" s="508">
        <v>5.8999999999999997E-2</v>
      </c>
      <c r="AB8090" s="508">
        <v>5.1999999999999998E-2</v>
      </c>
      <c r="AC8090" s="508">
        <v>5.0999999999999997E-2</v>
      </c>
      <c r="AD8090" s="508">
        <v>4.5999999999999999E-2</v>
      </c>
      <c r="AE8090" s="508">
        <v>4.4999999999999998E-2</v>
      </c>
      <c r="AF8090" s="508">
        <v>3.9E-2</v>
      </c>
      <c r="AG8090" s="508">
        <v>3.9E-2</v>
      </c>
      <c r="AH8090" s="508">
        <v>3.7999999999999999E-2</v>
      </c>
      <c r="AI8090" s="492">
        <v>3.6999999999999998E-2</v>
      </c>
      <c r="AJ8090" s="485"/>
    </row>
    <row r="8091" spans="2:36">
      <c r="B8091" s="136" t="s">
        <v>445</v>
      </c>
      <c r="C8091" s="132" t="s">
        <v>1383</v>
      </c>
      <c r="D8091" s="132" t="s">
        <v>1384</v>
      </c>
      <c r="E8091" s="508">
        <v>1.8080000000000001</v>
      </c>
      <c r="F8091" s="508">
        <v>1.7849999999999999</v>
      </c>
      <c r="G8091" s="508">
        <v>1.83</v>
      </c>
      <c r="H8091" s="508">
        <v>1.8169999999999999</v>
      </c>
      <c r="I8091" s="508">
        <v>1.8089999999999999</v>
      </c>
      <c r="J8091" s="508">
        <v>1.8069999999999999</v>
      </c>
      <c r="K8091" s="508">
        <v>1.7689999999999999</v>
      </c>
      <c r="L8091" s="508">
        <v>1.7529999999999999</v>
      </c>
      <c r="M8091" s="508">
        <v>1.7330000000000001</v>
      </c>
      <c r="N8091" s="508">
        <v>1.6970000000000001</v>
      </c>
      <c r="O8091" s="508">
        <v>1.66</v>
      </c>
      <c r="P8091" s="508">
        <v>0.65800000000000003</v>
      </c>
      <c r="Q8091" s="508">
        <v>0.64200000000000002</v>
      </c>
      <c r="R8091" s="508">
        <v>0.50700000000000001</v>
      </c>
      <c r="S8091" s="508">
        <v>0.47199999999999998</v>
      </c>
      <c r="T8091" s="508">
        <v>0.46400000000000002</v>
      </c>
      <c r="U8091" s="508">
        <v>0.307</v>
      </c>
      <c r="V8091" s="508">
        <v>0.24099999999999999</v>
      </c>
      <c r="W8091" s="508">
        <v>0.20599999999999999</v>
      </c>
      <c r="X8091" s="508">
        <v>0.14599999999999999</v>
      </c>
      <c r="Y8091" s="508">
        <v>0.11600000000000001</v>
      </c>
      <c r="Z8091" s="508">
        <v>6.5000000000000002E-2</v>
      </c>
      <c r="AA8091" s="508">
        <v>6.3E-2</v>
      </c>
      <c r="AB8091" s="508">
        <v>5.6000000000000001E-2</v>
      </c>
      <c r="AC8091" s="508">
        <v>5.5E-2</v>
      </c>
      <c r="AD8091" s="508">
        <v>0.05</v>
      </c>
      <c r="AE8091" s="508">
        <v>4.8000000000000001E-2</v>
      </c>
      <c r="AF8091" s="508">
        <v>4.2000000000000003E-2</v>
      </c>
      <c r="AG8091" s="508">
        <v>4.2000000000000003E-2</v>
      </c>
      <c r="AH8091" s="508">
        <v>4.1000000000000002E-2</v>
      </c>
      <c r="AI8091" s="492">
        <v>0.04</v>
      </c>
      <c r="AJ8091" s="485"/>
    </row>
    <row r="8092" spans="2:36">
      <c r="B8092" s="136" t="s">
        <v>446</v>
      </c>
      <c r="C8092" s="132" t="s">
        <v>1383</v>
      </c>
      <c r="D8092" s="132" t="s">
        <v>1384</v>
      </c>
      <c r="E8092" s="508">
        <v>2.452</v>
      </c>
      <c r="F8092" s="508">
        <v>2.4220000000000002</v>
      </c>
      <c r="G8092" s="508">
        <v>2.5030000000000001</v>
      </c>
      <c r="H8092" s="508">
        <v>2.476</v>
      </c>
      <c r="I8092" s="508">
        <v>2.4670000000000001</v>
      </c>
      <c r="J8092" s="508">
        <v>2.464</v>
      </c>
      <c r="K8092" s="508">
        <v>2.403</v>
      </c>
      <c r="L8092" s="508">
        <v>2.3849999999999998</v>
      </c>
      <c r="M8092" s="508">
        <v>2.3620000000000001</v>
      </c>
      <c r="N8092" s="508">
        <v>2.3039999999999998</v>
      </c>
      <c r="O8092" s="508">
        <v>2.2410000000000001</v>
      </c>
      <c r="P8092" s="508">
        <v>0.96799999999999997</v>
      </c>
      <c r="Q8092" s="508">
        <v>0.94399999999999995</v>
      </c>
      <c r="R8092" s="508">
        <v>0.73699999999999999</v>
      </c>
      <c r="S8092" s="508">
        <v>0.68</v>
      </c>
      <c r="T8092" s="508">
        <v>0.66800000000000004</v>
      </c>
      <c r="U8092" s="508">
        <v>0.46400000000000002</v>
      </c>
      <c r="V8092" s="508">
        <v>0.35899999999999999</v>
      </c>
      <c r="W8092" s="508">
        <v>0.30299999999999999</v>
      </c>
      <c r="X8092" s="508">
        <v>0.21099999999999999</v>
      </c>
      <c r="Y8092" s="508">
        <v>0.156</v>
      </c>
      <c r="Z8092" s="508">
        <v>8.8999999999999996E-2</v>
      </c>
      <c r="AA8092" s="508">
        <v>8.5999999999999993E-2</v>
      </c>
      <c r="AB8092" s="508">
        <v>7.4999999999999997E-2</v>
      </c>
      <c r="AC8092" s="508">
        <v>7.2999999999999995E-2</v>
      </c>
      <c r="AD8092" s="508">
        <v>6.5000000000000002E-2</v>
      </c>
      <c r="AE8092" s="508">
        <v>6.2E-2</v>
      </c>
      <c r="AF8092" s="508">
        <v>5.3999999999999999E-2</v>
      </c>
      <c r="AG8092" s="508">
        <v>5.2999999999999999E-2</v>
      </c>
      <c r="AH8092" s="508">
        <v>5.1999999999999998E-2</v>
      </c>
      <c r="AI8092" s="492">
        <v>0.05</v>
      </c>
      <c r="AJ8092" s="485"/>
    </row>
    <row r="8093" spans="2:36">
      <c r="B8093" s="136" t="s">
        <v>448</v>
      </c>
      <c r="C8093" s="132" t="s">
        <v>1383</v>
      </c>
      <c r="D8093" s="132" t="s">
        <v>1384</v>
      </c>
      <c r="E8093" s="508">
        <v>1.952</v>
      </c>
      <c r="F8093" s="508">
        <v>1.927</v>
      </c>
      <c r="G8093" s="508">
        <v>1.994</v>
      </c>
      <c r="H8093" s="508">
        <v>1.9690000000000001</v>
      </c>
      <c r="I8093" s="508">
        <v>1.962</v>
      </c>
      <c r="J8093" s="508">
        <v>1.9590000000000001</v>
      </c>
      <c r="K8093" s="508">
        <v>1.875</v>
      </c>
      <c r="L8093" s="508">
        <v>1.86</v>
      </c>
      <c r="M8093" s="508">
        <v>1.8420000000000001</v>
      </c>
      <c r="N8093" s="508">
        <v>1.796</v>
      </c>
      <c r="O8093" s="508">
        <v>1.7470000000000001</v>
      </c>
      <c r="P8093" s="508">
        <v>0.74</v>
      </c>
      <c r="Q8093" s="508">
        <v>0.72099999999999997</v>
      </c>
      <c r="R8093" s="508">
        <v>0.56899999999999995</v>
      </c>
      <c r="S8093" s="508">
        <v>0.52700000000000002</v>
      </c>
      <c r="T8093" s="508">
        <v>0.51700000000000002</v>
      </c>
      <c r="U8093" s="508">
        <v>0.35299999999999998</v>
      </c>
      <c r="V8093" s="508">
        <v>0.27300000000000002</v>
      </c>
      <c r="W8093" s="508">
        <v>0.23100000000000001</v>
      </c>
      <c r="X8093" s="508">
        <v>0.16200000000000001</v>
      </c>
      <c r="Y8093" s="508">
        <v>0.12</v>
      </c>
      <c r="Z8093" s="508">
        <v>6.8000000000000005E-2</v>
      </c>
      <c r="AA8093" s="508">
        <v>6.5000000000000002E-2</v>
      </c>
      <c r="AB8093" s="508">
        <v>5.8000000000000003E-2</v>
      </c>
      <c r="AC8093" s="508">
        <v>5.6000000000000001E-2</v>
      </c>
      <c r="AD8093" s="508">
        <v>5.0999999999999997E-2</v>
      </c>
      <c r="AE8093" s="508">
        <v>4.8000000000000001E-2</v>
      </c>
      <c r="AF8093" s="508">
        <v>4.2999999999999997E-2</v>
      </c>
      <c r="AG8093" s="508">
        <v>4.2999999999999997E-2</v>
      </c>
      <c r="AH8093" s="508">
        <v>4.2000000000000003E-2</v>
      </c>
      <c r="AI8093" s="492">
        <v>4.1000000000000002E-2</v>
      </c>
      <c r="AJ8093" s="485"/>
    </row>
    <row r="8094" spans="2:36">
      <c r="B8094" s="136" t="s">
        <v>449</v>
      </c>
      <c r="C8094" s="132" t="s">
        <v>1383</v>
      </c>
      <c r="D8094" s="132" t="s">
        <v>1384</v>
      </c>
      <c r="E8094" s="508">
        <v>2.3889999999999998</v>
      </c>
      <c r="F8094" s="508">
        <v>2.3570000000000002</v>
      </c>
      <c r="G8094" s="508">
        <v>2.4350000000000001</v>
      </c>
      <c r="H8094" s="508">
        <v>2.4089999999999998</v>
      </c>
      <c r="I8094" s="508">
        <v>2.399</v>
      </c>
      <c r="J8094" s="508">
        <v>2.3959999999999999</v>
      </c>
      <c r="K8094" s="508">
        <v>2.3380000000000001</v>
      </c>
      <c r="L8094" s="508">
        <v>2.3180000000000001</v>
      </c>
      <c r="M8094" s="508">
        <v>2.2930000000000001</v>
      </c>
      <c r="N8094" s="508">
        <v>2.238</v>
      </c>
      <c r="O8094" s="508">
        <v>2.1800000000000002</v>
      </c>
      <c r="P8094" s="508">
        <v>0.94299999999999995</v>
      </c>
      <c r="Q8094" s="508">
        <v>0.92</v>
      </c>
      <c r="R8094" s="508">
        <v>0.71499999999999997</v>
      </c>
      <c r="S8094" s="508">
        <v>0.66</v>
      </c>
      <c r="T8094" s="508">
        <v>0.64800000000000002</v>
      </c>
      <c r="U8094" s="508">
        <v>0.45100000000000001</v>
      </c>
      <c r="V8094" s="508">
        <v>0.34799999999999998</v>
      </c>
      <c r="W8094" s="508">
        <v>0.29299999999999998</v>
      </c>
      <c r="X8094" s="508">
        <v>0.20499999999999999</v>
      </c>
      <c r="Y8094" s="508">
        <v>0.151</v>
      </c>
      <c r="Z8094" s="508">
        <v>8.6999999999999994E-2</v>
      </c>
      <c r="AA8094" s="508">
        <v>8.4000000000000005E-2</v>
      </c>
      <c r="AB8094" s="508">
        <v>7.2999999999999995E-2</v>
      </c>
      <c r="AC8094" s="508">
        <v>7.0999999999999994E-2</v>
      </c>
      <c r="AD8094" s="508">
        <v>6.3E-2</v>
      </c>
      <c r="AE8094" s="508">
        <v>0.06</v>
      </c>
      <c r="AF8094" s="508">
        <v>5.1999999999999998E-2</v>
      </c>
      <c r="AG8094" s="508">
        <v>5.0999999999999997E-2</v>
      </c>
      <c r="AH8094" s="508">
        <v>0.05</v>
      </c>
      <c r="AI8094" s="492">
        <v>4.9000000000000002E-2</v>
      </c>
      <c r="AJ8094" s="485"/>
    </row>
    <row r="8095" spans="2:36">
      <c r="B8095" s="136" t="s">
        <v>450</v>
      </c>
      <c r="C8095" s="132" t="s">
        <v>1383</v>
      </c>
      <c r="D8095" s="132" t="s">
        <v>1384</v>
      </c>
      <c r="E8095" s="508">
        <v>1.617</v>
      </c>
      <c r="F8095" s="508">
        <v>1.595</v>
      </c>
      <c r="G8095" s="508">
        <v>1.6539999999999999</v>
      </c>
      <c r="H8095" s="508">
        <v>1.6319999999999999</v>
      </c>
      <c r="I8095" s="508">
        <v>1.6259999999999999</v>
      </c>
      <c r="J8095" s="508">
        <v>1.623</v>
      </c>
      <c r="K8095" s="508">
        <v>1.583</v>
      </c>
      <c r="L8095" s="508">
        <v>1.573</v>
      </c>
      <c r="M8095" s="508">
        <v>1.5609999999999999</v>
      </c>
      <c r="N8095" s="508">
        <v>1.5229999999999999</v>
      </c>
      <c r="O8095" s="508">
        <v>1.4810000000000001</v>
      </c>
      <c r="P8095" s="508">
        <v>0.60699999999999998</v>
      </c>
      <c r="Q8095" s="508">
        <v>0.59499999999999997</v>
      </c>
      <c r="R8095" s="508">
        <v>0.498</v>
      </c>
      <c r="S8095" s="508">
        <v>0.46600000000000003</v>
      </c>
      <c r="T8095" s="508">
        <v>0.45700000000000002</v>
      </c>
      <c r="U8095" s="508">
        <v>0.30499999999999999</v>
      </c>
      <c r="V8095" s="508">
        <v>0.23899999999999999</v>
      </c>
      <c r="W8095" s="508">
        <v>0.20200000000000001</v>
      </c>
      <c r="X8095" s="508">
        <v>0.14199999999999999</v>
      </c>
      <c r="Y8095" s="508">
        <v>0.106</v>
      </c>
      <c r="Z8095" s="508">
        <v>5.8000000000000003E-2</v>
      </c>
      <c r="AA8095" s="508">
        <v>5.6000000000000001E-2</v>
      </c>
      <c r="AB8095" s="508">
        <v>0.05</v>
      </c>
      <c r="AC8095" s="508">
        <v>4.8000000000000001E-2</v>
      </c>
      <c r="AD8095" s="508">
        <v>4.2999999999999997E-2</v>
      </c>
      <c r="AE8095" s="508">
        <v>4.1000000000000002E-2</v>
      </c>
      <c r="AF8095" s="508">
        <v>3.5999999999999997E-2</v>
      </c>
      <c r="AG8095" s="508">
        <v>3.5999999999999997E-2</v>
      </c>
      <c r="AH8095" s="508">
        <v>3.5000000000000003E-2</v>
      </c>
      <c r="AI8095" s="492">
        <v>3.4000000000000002E-2</v>
      </c>
      <c r="AJ8095" s="485"/>
    </row>
    <row r="8096" spans="2:36">
      <c r="B8096" s="136" t="s">
        <v>451</v>
      </c>
      <c r="C8096" s="132" t="s">
        <v>1383</v>
      </c>
      <c r="D8096" s="132" t="s">
        <v>1384</v>
      </c>
      <c r="E8096" s="508">
        <v>1.74</v>
      </c>
      <c r="F8096" s="508">
        <v>1.716</v>
      </c>
      <c r="G8096" s="508">
        <v>1.7649999999999999</v>
      </c>
      <c r="H8096" s="508">
        <v>1.7490000000000001</v>
      </c>
      <c r="I8096" s="508">
        <v>1.742</v>
      </c>
      <c r="J8096" s="508">
        <v>1.74</v>
      </c>
      <c r="K8096" s="508">
        <v>1.702</v>
      </c>
      <c r="L8096" s="508">
        <v>1.6870000000000001</v>
      </c>
      <c r="M8096" s="508">
        <v>1.669</v>
      </c>
      <c r="N8096" s="508">
        <v>1.6339999999999999</v>
      </c>
      <c r="O8096" s="508">
        <v>1.5960000000000001</v>
      </c>
      <c r="P8096" s="508">
        <v>0.627</v>
      </c>
      <c r="Q8096" s="508">
        <v>0.61399999999999999</v>
      </c>
      <c r="R8096" s="508">
        <v>0.501</v>
      </c>
      <c r="S8096" s="508">
        <v>0.46899999999999997</v>
      </c>
      <c r="T8096" s="508">
        <v>0.46100000000000002</v>
      </c>
      <c r="U8096" s="508">
        <v>0.30499999999999999</v>
      </c>
      <c r="V8096" s="508">
        <v>0.23899999999999999</v>
      </c>
      <c r="W8096" s="508">
        <v>0.20399999999999999</v>
      </c>
      <c r="X8096" s="508">
        <v>0.14499999999999999</v>
      </c>
      <c r="Y8096" s="508">
        <v>0.111</v>
      </c>
      <c r="Z8096" s="508">
        <v>6.0999999999999999E-2</v>
      </c>
      <c r="AA8096" s="508">
        <v>5.8999999999999997E-2</v>
      </c>
      <c r="AB8096" s="508">
        <v>5.2999999999999999E-2</v>
      </c>
      <c r="AC8096" s="508">
        <v>5.0999999999999997E-2</v>
      </c>
      <c r="AD8096" s="508">
        <v>4.5999999999999999E-2</v>
      </c>
      <c r="AE8096" s="508">
        <v>4.3999999999999997E-2</v>
      </c>
      <c r="AF8096" s="508">
        <v>3.9E-2</v>
      </c>
      <c r="AG8096" s="508">
        <v>3.9E-2</v>
      </c>
      <c r="AH8096" s="508">
        <v>3.7999999999999999E-2</v>
      </c>
      <c r="AI8096" s="492">
        <v>3.6999999999999998E-2</v>
      </c>
      <c r="AJ8096" s="485"/>
    </row>
    <row r="8097" spans="2:36">
      <c r="B8097" s="136" t="s">
        <v>452</v>
      </c>
      <c r="C8097" s="132" t="s">
        <v>1383</v>
      </c>
      <c r="D8097" s="132" t="s">
        <v>1384</v>
      </c>
      <c r="E8097" s="508">
        <v>1.7210000000000001</v>
      </c>
      <c r="F8097" s="508">
        <v>1.696</v>
      </c>
      <c r="G8097" s="508">
        <v>1.752</v>
      </c>
      <c r="H8097" s="508">
        <v>1.732</v>
      </c>
      <c r="I8097" s="508">
        <v>1.7250000000000001</v>
      </c>
      <c r="J8097" s="508">
        <v>1.7230000000000001</v>
      </c>
      <c r="K8097" s="508">
        <v>1.6819999999999999</v>
      </c>
      <c r="L8097" s="508">
        <v>1.669</v>
      </c>
      <c r="M8097" s="508">
        <v>1.653</v>
      </c>
      <c r="N8097" s="508">
        <v>1.6160000000000001</v>
      </c>
      <c r="O8097" s="508">
        <v>1.5780000000000001</v>
      </c>
      <c r="P8097" s="508">
        <v>0.64300000000000002</v>
      </c>
      <c r="Q8097" s="508">
        <v>0.63300000000000001</v>
      </c>
      <c r="R8097" s="508">
        <v>0.52200000000000002</v>
      </c>
      <c r="S8097" s="508">
        <v>0.49</v>
      </c>
      <c r="T8097" s="508">
        <v>0.48099999999999998</v>
      </c>
      <c r="U8097" s="508">
        <v>0.32300000000000001</v>
      </c>
      <c r="V8097" s="508">
        <v>0.25</v>
      </c>
      <c r="W8097" s="508">
        <v>0.21199999999999999</v>
      </c>
      <c r="X8097" s="508">
        <v>0.15</v>
      </c>
      <c r="Y8097" s="508">
        <v>0.112</v>
      </c>
      <c r="Z8097" s="508">
        <v>6.0999999999999999E-2</v>
      </c>
      <c r="AA8097" s="508">
        <v>0.06</v>
      </c>
      <c r="AB8097" s="508">
        <v>5.2999999999999999E-2</v>
      </c>
      <c r="AC8097" s="508">
        <v>5.0999999999999997E-2</v>
      </c>
      <c r="AD8097" s="508">
        <v>4.5999999999999999E-2</v>
      </c>
      <c r="AE8097" s="508">
        <v>4.3999999999999997E-2</v>
      </c>
      <c r="AF8097" s="508">
        <v>3.9E-2</v>
      </c>
      <c r="AG8097" s="508">
        <v>3.7999999999999999E-2</v>
      </c>
      <c r="AH8097" s="508">
        <v>3.6999999999999998E-2</v>
      </c>
      <c r="AI8097" s="492">
        <v>3.5999999999999997E-2</v>
      </c>
      <c r="AJ8097" s="485"/>
    </row>
    <row r="8098" spans="2:36">
      <c r="B8098" s="136" t="s">
        <v>453</v>
      </c>
      <c r="C8098" s="132" t="s">
        <v>1383</v>
      </c>
      <c r="D8098" s="132" t="s">
        <v>1384</v>
      </c>
      <c r="E8098" s="508">
        <v>1.5980000000000001</v>
      </c>
      <c r="F8098" s="508">
        <v>1.575</v>
      </c>
      <c r="G8098" s="508">
        <v>1.629</v>
      </c>
      <c r="H8098" s="508">
        <v>1.609</v>
      </c>
      <c r="I8098" s="508">
        <v>1.603</v>
      </c>
      <c r="J8098" s="508">
        <v>1.6</v>
      </c>
      <c r="K8098" s="508">
        <v>1.5629999999999999</v>
      </c>
      <c r="L8098" s="508">
        <v>1.55</v>
      </c>
      <c r="M8098" s="508">
        <v>1.5349999999999999</v>
      </c>
      <c r="N8098" s="508">
        <v>1.5</v>
      </c>
      <c r="O8098" s="508">
        <v>1.4630000000000001</v>
      </c>
      <c r="P8098" s="508">
        <v>0.59099999999999997</v>
      </c>
      <c r="Q8098" s="508">
        <v>0.58099999999999996</v>
      </c>
      <c r="R8098" s="508">
        <v>0.48099999999999998</v>
      </c>
      <c r="S8098" s="508">
        <v>0.45100000000000001</v>
      </c>
      <c r="T8098" s="508">
        <v>0.442</v>
      </c>
      <c r="U8098" s="508">
        <v>0.29499999999999998</v>
      </c>
      <c r="V8098" s="508">
        <v>0.23</v>
      </c>
      <c r="W8098" s="508">
        <v>0.19500000000000001</v>
      </c>
      <c r="X8098" s="508">
        <v>0.13900000000000001</v>
      </c>
      <c r="Y8098" s="508">
        <v>0.104</v>
      </c>
      <c r="Z8098" s="508">
        <v>5.7000000000000002E-2</v>
      </c>
      <c r="AA8098" s="508">
        <v>5.6000000000000001E-2</v>
      </c>
      <c r="AB8098" s="508">
        <v>4.9000000000000002E-2</v>
      </c>
      <c r="AC8098" s="508">
        <v>4.8000000000000001E-2</v>
      </c>
      <c r="AD8098" s="508">
        <v>4.2999999999999997E-2</v>
      </c>
      <c r="AE8098" s="508">
        <v>4.1000000000000002E-2</v>
      </c>
      <c r="AF8098" s="508">
        <v>3.5999999999999997E-2</v>
      </c>
      <c r="AG8098" s="508">
        <v>3.5000000000000003E-2</v>
      </c>
      <c r="AH8098" s="508">
        <v>3.5000000000000003E-2</v>
      </c>
      <c r="AI8098" s="492">
        <v>3.4000000000000002E-2</v>
      </c>
      <c r="AJ8098" s="485"/>
    </row>
    <row r="8099" spans="2:36">
      <c r="B8099" s="136" t="s">
        <v>454</v>
      </c>
      <c r="C8099" s="132" t="s">
        <v>1383</v>
      </c>
      <c r="D8099" s="132" t="s">
        <v>1384</v>
      </c>
      <c r="E8099" s="508">
        <v>1.7829999999999999</v>
      </c>
      <c r="F8099" s="508">
        <v>1.7589999999999999</v>
      </c>
      <c r="G8099" s="508">
        <v>1.821</v>
      </c>
      <c r="H8099" s="508">
        <v>1.798</v>
      </c>
      <c r="I8099" s="508">
        <v>1.7909999999999999</v>
      </c>
      <c r="J8099" s="508">
        <v>1.7889999999999999</v>
      </c>
      <c r="K8099" s="508">
        <v>1.746</v>
      </c>
      <c r="L8099" s="508">
        <v>1.7330000000000001</v>
      </c>
      <c r="M8099" s="508">
        <v>1.716</v>
      </c>
      <c r="N8099" s="508">
        <v>1.675</v>
      </c>
      <c r="O8099" s="508">
        <v>1.629</v>
      </c>
      <c r="P8099" s="508">
        <v>0.67300000000000004</v>
      </c>
      <c r="Q8099" s="508">
        <v>0.65800000000000003</v>
      </c>
      <c r="R8099" s="508">
        <v>0.53300000000000003</v>
      </c>
      <c r="S8099" s="508">
        <v>0.496</v>
      </c>
      <c r="T8099" s="508">
        <v>0.48599999999999999</v>
      </c>
      <c r="U8099" s="508">
        <v>0.32800000000000001</v>
      </c>
      <c r="V8099" s="508">
        <v>0.25600000000000001</v>
      </c>
      <c r="W8099" s="508">
        <v>0.218</v>
      </c>
      <c r="X8099" s="508">
        <v>0.154</v>
      </c>
      <c r="Y8099" s="508">
        <v>0.11600000000000001</v>
      </c>
      <c r="Z8099" s="508">
        <v>6.5000000000000002E-2</v>
      </c>
      <c r="AA8099" s="508">
        <v>6.3E-2</v>
      </c>
      <c r="AB8099" s="508">
        <v>5.5E-2</v>
      </c>
      <c r="AC8099" s="508">
        <v>5.3999999999999999E-2</v>
      </c>
      <c r="AD8099" s="508">
        <v>4.8000000000000001E-2</v>
      </c>
      <c r="AE8099" s="508">
        <v>4.5999999999999999E-2</v>
      </c>
      <c r="AF8099" s="508">
        <v>0.04</v>
      </c>
      <c r="AG8099" s="508">
        <v>3.9E-2</v>
      </c>
      <c r="AH8099" s="508">
        <v>3.7999999999999999E-2</v>
      </c>
      <c r="AI8099" s="492">
        <v>3.6999999999999998E-2</v>
      </c>
      <c r="AJ8099" s="485"/>
    </row>
    <row r="8100" spans="2:36">
      <c r="B8100" s="136" t="s">
        <v>455</v>
      </c>
      <c r="C8100" s="132" t="s">
        <v>1383</v>
      </c>
      <c r="D8100" s="132" t="s">
        <v>1384</v>
      </c>
      <c r="E8100" s="508">
        <v>1.7589999999999999</v>
      </c>
      <c r="F8100" s="508">
        <v>1.734</v>
      </c>
      <c r="G8100" s="508">
        <v>1.7949999999999999</v>
      </c>
      <c r="H8100" s="508">
        <v>1.772</v>
      </c>
      <c r="I8100" s="508">
        <v>1.7649999999999999</v>
      </c>
      <c r="J8100" s="508">
        <v>1.7629999999999999</v>
      </c>
      <c r="K8100" s="508">
        <v>1.72</v>
      </c>
      <c r="L8100" s="508">
        <v>1.706</v>
      </c>
      <c r="M8100" s="508">
        <v>1.6890000000000001</v>
      </c>
      <c r="N8100" s="508">
        <v>1.6479999999999999</v>
      </c>
      <c r="O8100" s="508">
        <v>1.605</v>
      </c>
      <c r="P8100" s="508">
        <v>0.67</v>
      </c>
      <c r="Q8100" s="508">
        <v>0.65600000000000003</v>
      </c>
      <c r="R8100" s="508">
        <v>0.53200000000000003</v>
      </c>
      <c r="S8100" s="508">
        <v>0.496</v>
      </c>
      <c r="T8100" s="508">
        <v>0.48599999999999999</v>
      </c>
      <c r="U8100" s="508">
        <v>0.32900000000000001</v>
      </c>
      <c r="V8100" s="508">
        <v>0.255</v>
      </c>
      <c r="W8100" s="508">
        <v>0.216</v>
      </c>
      <c r="X8100" s="508">
        <v>0.153</v>
      </c>
      <c r="Y8100" s="508">
        <v>0.114</v>
      </c>
      <c r="Z8100" s="508">
        <v>6.4000000000000001E-2</v>
      </c>
      <c r="AA8100" s="508">
        <v>6.2E-2</v>
      </c>
      <c r="AB8100" s="508">
        <v>5.3999999999999999E-2</v>
      </c>
      <c r="AC8100" s="508">
        <v>5.2999999999999999E-2</v>
      </c>
      <c r="AD8100" s="508">
        <v>4.7E-2</v>
      </c>
      <c r="AE8100" s="508">
        <v>4.4999999999999998E-2</v>
      </c>
      <c r="AF8100" s="508">
        <v>3.9E-2</v>
      </c>
      <c r="AG8100" s="508">
        <v>3.9E-2</v>
      </c>
      <c r="AH8100" s="508">
        <v>3.7999999999999999E-2</v>
      </c>
      <c r="AI8100" s="492">
        <v>3.6999999999999998E-2</v>
      </c>
      <c r="AJ8100" s="485"/>
    </row>
    <row r="8101" spans="2:36">
      <c r="B8101" s="136" t="s">
        <v>456</v>
      </c>
      <c r="C8101" s="132" t="s">
        <v>1383</v>
      </c>
      <c r="D8101" s="132" t="s">
        <v>1384</v>
      </c>
      <c r="E8101" s="508">
        <v>2.1829999999999998</v>
      </c>
      <c r="F8101" s="508">
        <v>2.1549999999999998</v>
      </c>
      <c r="G8101" s="508">
        <v>2.2320000000000002</v>
      </c>
      <c r="H8101" s="508">
        <v>2.2040000000000002</v>
      </c>
      <c r="I8101" s="508">
        <v>2.1960000000000002</v>
      </c>
      <c r="J8101" s="508">
        <v>2.194</v>
      </c>
      <c r="K8101" s="508">
        <v>2.1389999999999998</v>
      </c>
      <c r="L8101" s="508">
        <v>2.1230000000000002</v>
      </c>
      <c r="M8101" s="508">
        <v>2.1019999999999999</v>
      </c>
      <c r="N8101" s="508">
        <v>2.0489999999999999</v>
      </c>
      <c r="O8101" s="508">
        <v>1.9910000000000001</v>
      </c>
      <c r="P8101" s="508">
        <v>0.85799999999999998</v>
      </c>
      <c r="Q8101" s="508">
        <v>0.83599999999999997</v>
      </c>
      <c r="R8101" s="508">
        <v>0.65800000000000003</v>
      </c>
      <c r="S8101" s="508">
        <v>0.60799999999999998</v>
      </c>
      <c r="T8101" s="508">
        <v>0.59699999999999998</v>
      </c>
      <c r="U8101" s="508">
        <v>0.41199999999999998</v>
      </c>
      <c r="V8101" s="508">
        <v>0.32</v>
      </c>
      <c r="W8101" s="508">
        <v>0.27</v>
      </c>
      <c r="X8101" s="508">
        <v>0.189</v>
      </c>
      <c r="Y8101" s="508">
        <v>0.14000000000000001</v>
      </c>
      <c r="Z8101" s="508">
        <v>0.08</v>
      </c>
      <c r="AA8101" s="508">
        <v>7.6999999999999999E-2</v>
      </c>
      <c r="AB8101" s="508">
        <v>6.8000000000000005E-2</v>
      </c>
      <c r="AC8101" s="508">
        <v>6.6000000000000003E-2</v>
      </c>
      <c r="AD8101" s="508">
        <v>5.8000000000000003E-2</v>
      </c>
      <c r="AE8101" s="508">
        <v>5.5E-2</v>
      </c>
      <c r="AF8101" s="508">
        <v>4.8000000000000001E-2</v>
      </c>
      <c r="AG8101" s="508">
        <v>4.7E-2</v>
      </c>
      <c r="AH8101" s="508">
        <v>4.5999999999999999E-2</v>
      </c>
      <c r="AI8101" s="492">
        <v>4.4999999999999998E-2</v>
      </c>
      <c r="AJ8101" s="485"/>
    </row>
    <row r="8102" spans="2:36">
      <c r="B8102" s="136" t="s">
        <v>457</v>
      </c>
      <c r="C8102" s="132" t="s">
        <v>1383</v>
      </c>
      <c r="D8102" s="132" t="s">
        <v>1384</v>
      </c>
      <c r="E8102" s="508">
        <v>1.399</v>
      </c>
      <c r="F8102" s="508">
        <v>1.3779999999999999</v>
      </c>
      <c r="G8102" s="508">
        <v>1.4219999999999999</v>
      </c>
      <c r="H8102" s="508">
        <v>1.405</v>
      </c>
      <c r="I8102" s="508">
        <v>1.399</v>
      </c>
      <c r="J8102" s="508">
        <v>1.397</v>
      </c>
      <c r="K8102" s="508">
        <v>1.3660000000000001</v>
      </c>
      <c r="L8102" s="508">
        <v>1.353</v>
      </c>
      <c r="M8102" s="508">
        <v>1.3380000000000001</v>
      </c>
      <c r="N8102" s="508">
        <v>1.3089999999999999</v>
      </c>
      <c r="O8102" s="508">
        <v>1.2789999999999999</v>
      </c>
      <c r="P8102" s="508">
        <v>0.50700000000000001</v>
      </c>
      <c r="Q8102" s="508">
        <v>0.5</v>
      </c>
      <c r="R8102" s="508">
        <v>0.41699999999999998</v>
      </c>
      <c r="S8102" s="508">
        <v>0.39300000000000002</v>
      </c>
      <c r="T8102" s="508">
        <v>0.38500000000000001</v>
      </c>
      <c r="U8102" s="508">
        <v>0.253</v>
      </c>
      <c r="V8102" s="508">
        <v>0.19700000000000001</v>
      </c>
      <c r="W8102" s="508">
        <v>0.16800000000000001</v>
      </c>
      <c r="X8102" s="508">
        <v>0.121</v>
      </c>
      <c r="Y8102" s="508">
        <v>9.1999999999999998E-2</v>
      </c>
      <c r="Z8102" s="508">
        <v>0.05</v>
      </c>
      <c r="AA8102" s="508">
        <v>4.9000000000000002E-2</v>
      </c>
      <c r="AB8102" s="508">
        <v>4.2999999999999997E-2</v>
      </c>
      <c r="AC8102" s="508">
        <v>4.2000000000000003E-2</v>
      </c>
      <c r="AD8102" s="508">
        <v>3.7999999999999999E-2</v>
      </c>
      <c r="AE8102" s="508">
        <v>3.6999999999999998E-2</v>
      </c>
      <c r="AF8102" s="508">
        <v>3.2000000000000001E-2</v>
      </c>
      <c r="AG8102" s="508">
        <v>3.2000000000000001E-2</v>
      </c>
      <c r="AH8102" s="508">
        <v>3.1E-2</v>
      </c>
      <c r="AI8102" s="492">
        <v>0.03</v>
      </c>
      <c r="AJ8102" s="485"/>
    </row>
    <row r="8103" spans="2:36">
      <c r="B8103" s="136" t="s">
        <v>458</v>
      </c>
      <c r="C8103" s="132" t="s">
        <v>1383</v>
      </c>
      <c r="D8103" s="132" t="s">
        <v>1384</v>
      </c>
      <c r="E8103" s="508">
        <v>1.671</v>
      </c>
      <c r="F8103" s="508">
        <v>1.6479999999999999</v>
      </c>
      <c r="G8103" s="508">
        <v>1.696</v>
      </c>
      <c r="H8103" s="508">
        <v>1.679</v>
      </c>
      <c r="I8103" s="508">
        <v>1.6719999999999999</v>
      </c>
      <c r="J8103" s="508">
        <v>1.67</v>
      </c>
      <c r="K8103" s="508">
        <v>1.6339999999999999</v>
      </c>
      <c r="L8103" s="508">
        <v>1.6180000000000001</v>
      </c>
      <c r="M8103" s="508">
        <v>1.599</v>
      </c>
      <c r="N8103" s="508">
        <v>1.5640000000000001</v>
      </c>
      <c r="O8103" s="508">
        <v>1.5269999999999999</v>
      </c>
      <c r="P8103" s="508">
        <v>0.63100000000000001</v>
      </c>
      <c r="Q8103" s="508">
        <v>0.61499999999999999</v>
      </c>
      <c r="R8103" s="508">
        <v>0.48799999999999999</v>
      </c>
      <c r="S8103" s="508">
        <v>0.45300000000000001</v>
      </c>
      <c r="T8103" s="508">
        <v>0.44400000000000001</v>
      </c>
      <c r="U8103" s="508">
        <v>0.29499999999999998</v>
      </c>
      <c r="V8103" s="508">
        <v>0.23200000000000001</v>
      </c>
      <c r="W8103" s="508">
        <v>0.19800000000000001</v>
      </c>
      <c r="X8103" s="508">
        <v>0.14099999999999999</v>
      </c>
      <c r="Y8103" s="508">
        <v>0.108</v>
      </c>
      <c r="Z8103" s="508">
        <v>6.0999999999999999E-2</v>
      </c>
      <c r="AA8103" s="508">
        <v>5.8999999999999997E-2</v>
      </c>
      <c r="AB8103" s="508">
        <v>5.2999999999999999E-2</v>
      </c>
      <c r="AC8103" s="508">
        <v>5.0999999999999997E-2</v>
      </c>
      <c r="AD8103" s="508">
        <v>4.5999999999999999E-2</v>
      </c>
      <c r="AE8103" s="508">
        <v>4.3999999999999997E-2</v>
      </c>
      <c r="AF8103" s="508">
        <v>3.9E-2</v>
      </c>
      <c r="AG8103" s="508">
        <v>3.7999999999999999E-2</v>
      </c>
      <c r="AH8103" s="508">
        <v>3.7999999999999999E-2</v>
      </c>
      <c r="AI8103" s="492">
        <v>3.6999999999999998E-2</v>
      </c>
      <c r="AJ8103" s="485"/>
    </row>
    <row r="8104" spans="2:36">
      <c r="B8104" s="136" t="s">
        <v>459</v>
      </c>
      <c r="C8104" s="132" t="s">
        <v>1383</v>
      </c>
      <c r="D8104" s="132" t="s">
        <v>1384</v>
      </c>
      <c r="E8104" s="508">
        <v>1.552</v>
      </c>
      <c r="F8104" s="508">
        <v>1.532</v>
      </c>
      <c r="G8104" s="508">
        <v>1.573</v>
      </c>
      <c r="H8104" s="508">
        <v>1.5589999999999999</v>
      </c>
      <c r="I8104" s="508">
        <v>1.552</v>
      </c>
      <c r="J8104" s="508">
        <v>1.55</v>
      </c>
      <c r="K8104" s="508">
        <v>1.518</v>
      </c>
      <c r="L8104" s="508">
        <v>1.5029999999999999</v>
      </c>
      <c r="M8104" s="508">
        <v>1.4850000000000001</v>
      </c>
      <c r="N8104" s="508">
        <v>1.4530000000000001</v>
      </c>
      <c r="O8104" s="508">
        <v>1.419</v>
      </c>
      <c r="P8104" s="508">
        <v>0.54900000000000004</v>
      </c>
      <c r="Q8104" s="508">
        <v>0.53400000000000003</v>
      </c>
      <c r="R8104" s="508">
        <v>0.432</v>
      </c>
      <c r="S8104" s="508">
        <v>0.40300000000000002</v>
      </c>
      <c r="T8104" s="508">
        <v>0.39500000000000002</v>
      </c>
      <c r="U8104" s="508">
        <v>0.25800000000000001</v>
      </c>
      <c r="V8104" s="508">
        <v>0.20399999999999999</v>
      </c>
      <c r="W8104" s="508">
        <v>0.17499999999999999</v>
      </c>
      <c r="X8104" s="508">
        <v>0.125</v>
      </c>
      <c r="Y8104" s="508">
        <v>9.6000000000000002E-2</v>
      </c>
      <c r="Z8104" s="508">
        <v>5.2999999999999999E-2</v>
      </c>
      <c r="AA8104" s="508">
        <v>5.1999999999999998E-2</v>
      </c>
      <c r="AB8104" s="508">
        <v>4.5999999999999999E-2</v>
      </c>
      <c r="AC8104" s="508">
        <v>4.4999999999999998E-2</v>
      </c>
      <c r="AD8104" s="508">
        <v>4.1000000000000002E-2</v>
      </c>
      <c r="AE8104" s="508">
        <v>3.9E-2</v>
      </c>
      <c r="AF8104" s="508">
        <v>3.5000000000000003E-2</v>
      </c>
      <c r="AG8104" s="508">
        <v>3.5000000000000003E-2</v>
      </c>
      <c r="AH8104" s="508">
        <v>3.4000000000000002E-2</v>
      </c>
      <c r="AI8104" s="492">
        <v>3.4000000000000002E-2</v>
      </c>
      <c r="AJ8104" s="485"/>
    </row>
    <row r="8105" spans="2:36">
      <c r="B8105" s="136" t="s">
        <v>460</v>
      </c>
      <c r="C8105" s="132" t="s">
        <v>1383</v>
      </c>
      <c r="D8105" s="132" t="s">
        <v>1384</v>
      </c>
      <c r="E8105" s="508">
        <v>1.5980000000000001</v>
      </c>
      <c r="F8105" s="508">
        <v>1.5740000000000001</v>
      </c>
      <c r="G8105" s="508">
        <v>1.6240000000000001</v>
      </c>
      <c r="H8105" s="508">
        <v>1.607</v>
      </c>
      <c r="I8105" s="508">
        <v>1.599</v>
      </c>
      <c r="J8105" s="508">
        <v>1.597</v>
      </c>
      <c r="K8105" s="508">
        <v>1.5609999999999999</v>
      </c>
      <c r="L8105" s="508">
        <v>1.548</v>
      </c>
      <c r="M8105" s="508">
        <v>1.532</v>
      </c>
      <c r="N8105" s="508">
        <v>1.4990000000000001</v>
      </c>
      <c r="O8105" s="508">
        <v>1.464</v>
      </c>
      <c r="P8105" s="508">
        <v>0.58499999999999996</v>
      </c>
      <c r="Q8105" s="508">
        <v>0.57599999999999996</v>
      </c>
      <c r="R8105" s="508">
        <v>0.47899999999999998</v>
      </c>
      <c r="S8105" s="508">
        <v>0.45</v>
      </c>
      <c r="T8105" s="508">
        <v>0.442</v>
      </c>
      <c r="U8105" s="508">
        <v>0.29299999999999998</v>
      </c>
      <c r="V8105" s="508">
        <v>0.22800000000000001</v>
      </c>
      <c r="W8105" s="508">
        <v>0.19400000000000001</v>
      </c>
      <c r="X8105" s="508">
        <v>0.13800000000000001</v>
      </c>
      <c r="Y8105" s="508">
        <v>0.104</v>
      </c>
      <c r="Z8105" s="508">
        <v>5.7000000000000002E-2</v>
      </c>
      <c r="AA8105" s="508">
        <v>5.5E-2</v>
      </c>
      <c r="AB8105" s="508">
        <v>4.9000000000000002E-2</v>
      </c>
      <c r="AC8105" s="508">
        <v>4.8000000000000001E-2</v>
      </c>
      <c r="AD8105" s="508">
        <v>4.2999999999999997E-2</v>
      </c>
      <c r="AE8105" s="508">
        <v>4.1000000000000002E-2</v>
      </c>
      <c r="AF8105" s="508">
        <v>3.5999999999999997E-2</v>
      </c>
      <c r="AG8105" s="508">
        <v>3.5999999999999997E-2</v>
      </c>
      <c r="AH8105" s="508">
        <v>3.5000000000000003E-2</v>
      </c>
      <c r="AI8105" s="492">
        <v>3.4000000000000002E-2</v>
      </c>
      <c r="AJ8105" s="485"/>
    </row>
    <row r="8106" spans="2:36">
      <c r="B8106" s="136" t="s">
        <v>461</v>
      </c>
      <c r="C8106" s="132" t="s">
        <v>1383</v>
      </c>
      <c r="D8106" s="132" t="s">
        <v>1384</v>
      </c>
      <c r="E8106" s="508">
        <v>1.5429999999999999</v>
      </c>
      <c r="F8106" s="508">
        <v>1.518</v>
      </c>
      <c r="G8106" s="508">
        <v>1.57</v>
      </c>
      <c r="H8106" s="508">
        <v>1.5509999999999999</v>
      </c>
      <c r="I8106" s="508">
        <v>1.544</v>
      </c>
      <c r="J8106" s="508">
        <v>1.542</v>
      </c>
      <c r="K8106" s="508">
        <v>1.5049999999999999</v>
      </c>
      <c r="L8106" s="508">
        <v>1.4930000000000001</v>
      </c>
      <c r="M8106" s="508">
        <v>1.4790000000000001</v>
      </c>
      <c r="N8106" s="508">
        <v>1.4470000000000001</v>
      </c>
      <c r="O8106" s="508">
        <v>1.4139999999999999</v>
      </c>
      <c r="P8106" s="508">
        <v>0.57199999999999995</v>
      </c>
      <c r="Q8106" s="508">
        <v>0.56499999999999995</v>
      </c>
      <c r="R8106" s="508">
        <v>0.47499999999999998</v>
      </c>
      <c r="S8106" s="508">
        <v>0.44800000000000001</v>
      </c>
      <c r="T8106" s="508">
        <v>0.44</v>
      </c>
      <c r="U8106" s="508">
        <v>0.29299999999999998</v>
      </c>
      <c r="V8106" s="508">
        <v>0.22600000000000001</v>
      </c>
      <c r="W8106" s="508">
        <v>0.192</v>
      </c>
      <c r="X8106" s="508">
        <v>0.13600000000000001</v>
      </c>
      <c r="Y8106" s="508">
        <v>0.10100000000000001</v>
      </c>
      <c r="Z8106" s="508">
        <v>5.5E-2</v>
      </c>
      <c r="AA8106" s="508">
        <v>5.2999999999999999E-2</v>
      </c>
      <c r="AB8106" s="508">
        <v>4.7E-2</v>
      </c>
      <c r="AC8106" s="508">
        <v>4.5999999999999999E-2</v>
      </c>
      <c r="AD8106" s="508">
        <v>4.2000000000000003E-2</v>
      </c>
      <c r="AE8106" s="508">
        <v>0.04</v>
      </c>
      <c r="AF8106" s="508">
        <v>3.5000000000000003E-2</v>
      </c>
      <c r="AG8106" s="508">
        <v>3.4000000000000002E-2</v>
      </c>
      <c r="AH8106" s="508">
        <v>3.4000000000000002E-2</v>
      </c>
      <c r="AI8106" s="492">
        <v>3.3000000000000002E-2</v>
      </c>
      <c r="AJ8106" s="485"/>
    </row>
    <row r="8107" spans="2:36">
      <c r="B8107" s="136" t="s">
        <v>462</v>
      </c>
      <c r="C8107" s="132" t="s">
        <v>1383</v>
      </c>
      <c r="D8107" s="132" t="s">
        <v>1384</v>
      </c>
      <c r="E8107" s="508">
        <v>2.0499999999999998</v>
      </c>
      <c r="F8107" s="508">
        <v>2.0230000000000001</v>
      </c>
      <c r="G8107" s="508">
        <v>2.0979999999999999</v>
      </c>
      <c r="H8107" s="508">
        <v>2.0699999999999998</v>
      </c>
      <c r="I8107" s="508">
        <v>2.0630000000000002</v>
      </c>
      <c r="J8107" s="508">
        <v>2.06</v>
      </c>
      <c r="K8107" s="508">
        <v>2.008</v>
      </c>
      <c r="L8107" s="508">
        <v>1.9930000000000001</v>
      </c>
      <c r="M8107" s="508">
        <v>1.9750000000000001</v>
      </c>
      <c r="N8107" s="508">
        <v>1.925</v>
      </c>
      <c r="O8107" s="508">
        <v>1.87</v>
      </c>
      <c r="P8107" s="508">
        <v>0.80100000000000005</v>
      </c>
      <c r="Q8107" s="508">
        <v>0.78200000000000003</v>
      </c>
      <c r="R8107" s="508">
        <v>0.625</v>
      </c>
      <c r="S8107" s="508">
        <v>0.57999999999999996</v>
      </c>
      <c r="T8107" s="508">
        <v>0.56799999999999995</v>
      </c>
      <c r="U8107" s="508">
        <v>0.39200000000000002</v>
      </c>
      <c r="V8107" s="508">
        <v>0.30399999999999999</v>
      </c>
      <c r="W8107" s="508">
        <v>0.25600000000000001</v>
      </c>
      <c r="X8107" s="508">
        <v>0.17899999999999999</v>
      </c>
      <c r="Y8107" s="508">
        <v>0.13200000000000001</v>
      </c>
      <c r="Z8107" s="508">
        <v>7.4999999999999997E-2</v>
      </c>
      <c r="AA8107" s="508">
        <v>7.1999999999999995E-2</v>
      </c>
      <c r="AB8107" s="508">
        <v>6.3E-2</v>
      </c>
      <c r="AC8107" s="508">
        <v>6.0999999999999999E-2</v>
      </c>
      <c r="AD8107" s="508">
        <v>5.5E-2</v>
      </c>
      <c r="AE8107" s="508">
        <v>5.1999999999999998E-2</v>
      </c>
      <c r="AF8107" s="508">
        <v>4.4999999999999998E-2</v>
      </c>
      <c r="AG8107" s="508">
        <v>4.3999999999999997E-2</v>
      </c>
      <c r="AH8107" s="508">
        <v>4.2999999999999997E-2</v>
      </c>
      <c r="AI8107" s="492">
        <v>4.2000000000000003E-2</v>
      </c>
      <c r="AJ8107" s="485"/>
    </row>
    <row r="8108" spans="2:36">
      <c r="B8108" s="136" t="s">
        <v>463</v>
      </c>
      <c r="C8108" s="132" t="s">
        <v>1383</v>
      </c>
      <c r="D8108" s="132" t="s">
        <v>1384</v>
      </c>
      <c r="E8108" s="508">
        <v>1.7190000000000001</v>
      </c>
      <c r="F8108" s="508">
        <v>1.696</v>
      </c>
      <c r="G8108" s="508">
        <v>1.754</v>
      </c>
      <c r="H8108" s="508">
        <v>1.732</v>
      </c>
      <c r="I8108" s="508">
        <v>1.7250000000000001</v>
      </c>
      <c r="J8108" s="508">
        <v>1.7230000000000001</v>
      </c>
      <c r="K8108" s="508">
        <v>1.6819999999999999</v>
      </c>
      <c r="L8108" s="508">
        <v>1.6679999999999999</v>
      </c>
      <c r="M8108" s="508">
        <v>1.65</v>
      </c>
      <c r="N8108" s="508">
        <v>1.61</v>
      </c>
      <c r="O8108" s="508">
        <v>1.5669999999999999</v>
      </c>
      <c r="P8108" s="508">
        <v>0.64800000000000002</v>
      </c>
      <c r="Q8108" s="508">
        <v>0.63300000000000001</v>
      </c>
      <c r="R8108" s="508">
        <v>0.50800000000000001</v>
      </c>
      <c r="S8108" s="508">
        <v>0.47299999999999998</v>
      </c>
      <c r="T8108" s="508">
        <v>0.46300000000000002</v>
      </c>
      <c r="U8108" s="508">
        <v>0.312</v>
      </c>
      <c r="V8108" s="508">
        <v>0.24299999999999999</v>
      </c>
      <c r="W8108" s="508">
        <v>0.20599999999999999</v>
      </c>
      <c r="X8108" s="508">
        <v>0.14699999999999999</v>
      </c>
      <c r="Y8108" s="508">
        <v>0.111</v>
      </c>
      <c r="Z8108" s="508">
        <v>6.2E-2</v>
      </c>
      <c r="AA8108" s="508">
        <v>0.06</v>
      </c>
      <c r="AB8108" s="508">
        <v>5.2999999999999999E-2</v>
      </c>
      <c r="AC8108" s="508">
        <v>5.1999999999999998E-2</v>
      </c>
      <c r="AD8108" s="508">
        <v>4.5999999999999999E-2</v>
      </c>
      <c r="AE8108" s="508">
        <v>4.3999999999999997E-2</v>
      </c>
      <c r="AF8108" s="508">
        <v>3.9E-2</v>
      </c>
      <c r="AG8108" s="508">
        <v>3.7999999999999999E-2</v>
      </c>
      <c r="AH8108" s="508">
        <v>3.6999999999999998E-2</v>
      </c>
      <c r="AI8108" s="492">
        <v>3.5999999999999997E-2</v>
      </c>
      <c r="AJ8108" s="485"/>
    </row>
    <row r="8109" spans="2:36">
      <c r="B8109" s="136" t="s">
        <v>464</v>
      </c>
      <c r="C8109" s="132" t="s">
        <v>1383</v>
      </c>
      <c r="D8109" s="132" t="s">
        <v>1384</v>
      </c>
      <c r="E8109" s="508">
        <v>1.4910000000000001</v>
      </c>
      <c r="F8109" s="508">
        <v>1.4690000000000001</v>
      </c>
      <c r="G8109" s="508">
        <v>1.5249999999999999</v>
      </c>
      <c r="H8109" s="508">
        <v>1.5029999999999999</v>
      </c>
      <c r="I8109" s="508">
        <v>1.498</v>
      </c>
      <c r="J8109" s="508">
        <v>1.496</v>
      </c>
      <c r="K8109" s="508">
        <v>1.458</v>
      </c>
      <c r="L8109" s="508">
        <v>1.4490000000000001</v>
      </c>
      <c r="M8109" s="508">
        <v>1.4370000000000001</v>
      </c>
      <c r="N8109" s="508">
        <v>1.4019999999999999</v>
      </c>
      <c r="O8109" s="508">
        <v>1.3640000000000001</v>
      </c>
      <c r="P8109" s="508">
        <v>0.55200000000000005</v>
      </c>
      <c r="Q8109" s="508">
        <v>0.54300000000000004</v>
      </c>
      <c r="R8109" s="508">
        <v>0.46</v>
      </c>
      <c r="S8109" s="508">
        <v>0.432</v>
      </c>
      <c r="T8109" s="508">
        <v>0.42299999999999999</v>
      </c>
      <c r="U8109" s="508">
        <v>0.28100000000000003</v>
      </c>
      <c r="V8109" s="508">
        <v>0.219</v>
      </c>
      <c r="W8109" s="508">
        <v>0.186</v>
      </c>
      <c r="X8109" s="508">
        <v>0.13200000000000001</v>
      </c>
      <c r="Y8109" s="508">
        <v>9.9000000000000005E-2</v>
      </c>
      <c r="Z8109" s="508">
        <v>5.3999999999999999E-2</v>
      </c>
      <c r="AA8109" s="508">
        <v>5.1999999999999998E-2</v>
      </c>
      <c r="AB8109" s="508">
        <v>4.5999999999999999E-2</v>
      </c>
      <c r="AC8109" s="508">
        <v>4.4999999999999998E-2</v>
      </c>
      <c r="AD8109" s="508">
        <v>0.04</v>
      </c>
      <c r="AE8109" s="508">
        <v>3.7999999999999999E-2</v>
      </c>
      <c r="AF8109" s="508">
        <v>3.4000000000000002E-2</v>
      </c>
      <c r="AG8109" s="508">
        <v>3.3000000000000002E-2</v>
      </c>
      <c r="AH8109" s="508">
        <v>3.2000000000000001E-2</v>
      </c>
      <c r="AI8109" s="492">
        <v>3.2000000000000001E-2</v>
      </c>
      <c r="AJ8109" s="485"/>
    </row>
    <row r="8110" spans="2:36">
      <c r="B8110" s="136" t="s">
        <v>465</v>
      </c>
      <c r="C8110" s="132" t="s">
        <v>1383</v>
      </c>
      <c r="D8110" s="132" t="s">
        <v>1384</v>
      </c>
      <c r="E8110" s="508">
        <v>1.66</v>
      </c>
      <c r="F8110" s="508">
        <v>1.637</v>
      </c>
      <c r="G8110" s="508">
        <v>1.6950000000000001</v>
      </c>
      <c r="H8110" s="508">
        <v>1.673</v>
      </c>
      <c r="I8110" s="508">
        <v>1.667</v>
      </c>
      <c r="J8110" s="508">
        <v>1.665</v>
      </c>
      <c r="K8110" s="508">
        <v>1.6240000000000001</v>
      </c>
      <c r="L8110" s="508">
        <v>1.613</v>
      </c>
      <c r="M8110" s="508">
        <v>1.5980000000000001</v>
      </c>
      <c r="N8110" s="508">
        <v>1.56</v>
      </c>
      <c r="O8110" s="508">
        <v>1.518</v>
      </c>
      <c r="P8110" s="508">
        <v>0.61899999999999999</v>
      </c>
      <c r="Q8110" s="508">
        <v>0.60699999999999998</v>
      </c>
      <c r="R8110" s="508">
        <v>0.501</v>
      </c>
      <c r="S8110" s="508">
        <v>0.46800000000000003</v>
      </c>
      <c r="T8110" s="508">
        <v>0.45900000000000002</v>
      </c>
      <c r="U8110" s="508">
        <v>0.307</v>
      </c>
      <c r="V8110" s="508">
        <v>0.24</v>
      </c>
      <c r="W8110" s="508">
        <v>0.20399999999999999</v>
      </c>
      <c r="X8110" s="508">
        <v>0.14399999999999999</v>
      </c>
      <c r="Y8110" s="508">
        <v>0.109</v>
      </c>
      <c r="Z8110" s="508">
        <v>0.06</v>
      </c>
      <c r="AA8110" s="508">
        <v>5.8000000000000003E-2</v>
      </c>
      <c r="AB8110" s="508">
        <v>5.0999999999999997E-2</v>
      </c>
      <c r="AC8110" s="508">
        <v>0.05</v>
      </c>
      <c r="AD8110" s="508">
        <v>4.4999999999999998E-2</v>
      </c>
      <c r="AE8110" s="508">
        <v>4.2000000000000003E-2</v>
      </c>
      <c r="AF8110" s="508">
        <v>3.6999999999999998E-2</v>
      </c>
      <c r="AG8110" s="508">
        <v>3.5999999999999997E-2</v>
      </c>
      <c r="AH8110" s="508">
        <v>3.5999999999999997E-2</v>
      </c>
      <c r="AI8110" s="492">
        <v>3.5000000000000003E-2</v>
      </c>
      <c r="AJ8110" s="485"/>
    </row>
    <row r="8111" spans="2:36">
      <c r="B8111" s="136" t="s">
        <v>466</v>
      </c>
      <c r="C8111" s="132" t="s">
        <v>1383</v>
      </c>
      <c r="D8111" s="132" t="s">
        <v>1384</v>
      </c>
      <c r="E8111" s="508">
        <v>2.1629999999999998</v>
      </c>
      <c r="F8111" s="508">
        <v>2.1389999999999998</v>
      </c>
      <c r="G8111" s="508">
        <v>2.218</v>
      </c>
      <c r="H8111" s="508">
        <v>2.1890000000000001</v>
      </c>
      <c r="I8111" s="508">
        <v>2.1829999999999998</v>
      </c>
      <c r="J8111" s="508">
        <v>2.1800000000000002</v>
      </c>
      <c r="K8111" s="508">
        <v>2.1240000000000001</v>
      </c>
      <c r="L8111" s="508">
        <v>2.113</v>
      </c>
      <c r="M8111" s="508">
        <v>2.0979999999999999</v>
      </c>
      <c r="N8111" s="508">
        <v>2.0419999999999998</v>
      </c>
      <c r="O8111" s="508">
        <v>1.978</v>
      </c>
      <c r="P8111" s="508">
        <v>0.84299999999999997</v>
      </c>
      <c r="Q8111" s="508">
        <v>0.81499999999999995</v>
      </c>
      <c r="R8111" s="508">
        <v>0.65</v>
      </c>
      <c r="S8111" s="508">
        <v>0.59899999999999998</v>
      </c>
      <c r="T8111" s="508">
        <v>0.58599999999999997</v>
      </c>
      <c r="U8111" s="508">
        <v>0.40200000000000002</v>
      </c>
      <c r="V8111" s="508">
        <v>0.317</v>
      </c>
      <c r="W8111" s="508">
        <v>0.26900000000000002</v>
      </c>
      <c r="X8111" s="508">
        <v>0.185</v>
      </c>
      <c r="Y8111" s="508">
        <v>0.13900000000000001</v>
      </c>
      <c r="Z8111" s="508">
        <v>7.9000000000000001E-2</v>
      </c>
      <c r="AA8111" s="508">
        <v>7.5999999999999998E-2</v>
      </c>
      <c r="AB8111" s="508">
        <v>6.7000000000000004E-2</v>
      </c>
      <c r="AC8111" s="508">
        <v>6.5000000000000002E-2</v>
      </c>
      <c r="AD8111" s="508">
        <v>5.7000000000000002E-2</v>
      </c>
      <c r="AE8111" s="508">
        <v>5.3999999999999999E-2</v>
      </c>
      <c r="AF8111" s="508">
        <v>4.7E-2</v>
      </c>
      <c r="AG8111" s="508">
        <v>4.5999999999999999E-2</v>
      </c>
      <c r="AH8111" s="508">
        <v>4.5999999999999999E-2</v>
      </c>
      <c r="AI8111" s="492">
        <v>4.4999999999999998E-2</v>
      </c>
      <c r="AJ8111" s="485"/>
    </row>
    <row r="8112" spans="2:36">
      <c r="B8112" s="136" t="s">
        <v>467</v>
      </c>
      <c r="C8112" s="132" t="s">
        <v>1383</v>
      </c>
      <c r="D8112" s="132" t="s">
        <v>1384</v>
      </c>
      <c r="E8112" s="508">
        <v>1.488</v>
      </c>
      <c r="F8112" s="508">
        <v>1.4670000000000001</v>
      </c>
      <c r="G8112" s="508">
        <v>1.51</v>
      </c>
      <c r="H8112" s="508">
        <v>1.494</v>
      </c>
      <c r="I8112" s="508">
        <v>1.488</v>
      </c>
      <c r="J8112" s="508">
        <v>1.486</v>
      </c>
      <c r="K8112" s="508">
        <v>1.454</v>
      </c>
      <c r="L8112" s="508">
        <v>1.4410000000000001</v>
      </c>
      <c r="M8112" s="508">
        <v>1.425</v>
      </c>
      <c r="N8112" s="508">
        <v>1.3939999999999999</v>
      </c>
      <c r="O8112" s="508">
        <v>1.361</v>
      </c>
      <c r="P8112" s="508">
        <v>0.52700000000000002</v>
      </c>
      <c r="Q8112" s="508">
        <v>0.51600000000000001</v>
      </c>
      <c r="R8112" s="508">
        <v>0.42199999999999999</v>
      </c>
      <c r="S8112" s="508">
        <v>0.39600000000000002</v>
      </c>
      <c r="T8112" s="508">
        <v>0.38800000000000001</v>
      </c>
      <c r="U8112" s="508">
        <v>0.254</v>
      </c>
      <c r="V8112" s="508">
        <v>0.19900000000000001</v>
      </c>
      <c r="W8112" s="508">
        <v>0.17100000000000001</v>
      </c>
      <c r="X8112" s="508">
        <v>0.121</v>
      </c>
      <c r="Y8112" s="508">
        <v>9.2999999999999999E-2</v>
      </c>
      <c r="Z8112" s="508">
        <v>5.0999999999999997E-2</v>
      </c>
      <c r="AA8112" s="508">
        <v>0.05</v>
      </c>
      <c r="AB8112" s="508">
        <v>4.3999999999999997E-2</v>
      </c>
      <c r="AC8112" s="508">
        <v>4.2999999999999997E-2</v>
      </c>
      <c r="AD8112" s="508">
        <v>3.9E-2</v>
      </c>
      <c r="AE8112" s="508">
        <v>3.6999999999999998E-2</v>
      </c>
      <c r="AF8112" s="508">
        <v>3.4000000000000002E-2</v>
      </c>
      <c r="AG8112" s="508">
        <v>3.3000000000000002E-2</v>
      </c>
      <c r="AH8112" s="508">
        <v>3.3000000000000002E-2</v>
      </c>
      <c r="AI8112" s="492">
        <v>3.2000000000000001E-2</v>
      </c>
      <c r="AJ8112" s="485"/>
    </row>
    <row r="8113" spans="2:36">
      <c r="B8113" s="136" t="s">
        <v>468</v>
      </c>
      <c r="C8113" s="132" t="s">
        <v>1383</v>
      </c>
      <c r="D8113" s="132" t="s">
        <v>1384</v>
      </c>
      <c r="E8113" s="508">
        <v>1.516</v>
      </c>
      <c r="F8113" s="508">
        <v>1.494</v>
      </c>
      <c r="G8113" s="508">
        <v>1.5389999999999999</v>
      </c>
      <c r="H8113" s="508">
        <v>1.522</v>
      </c>
      <c r="I8113" s="508">
        <v>1.516</v>
      </c>
      <c r="J8113" s="508">
        <v>1.514</v>
      </c>
      <c r="K8113" s="508">
        <v>1.4810000000000001</v>
      </c>
      <c r="L8113" s="508">
        <v>1.466</v>
      </c>
      <c r="M8113" s="508">
        <v>1.448</v>
      </c>
      <c r="N8113" s="508">
        <v>1.4159999999999999</v>
      </c>
      <c r="O8113" s="508">
        <v>1.383</v>
      </c>
      <c r="P8113" s="508">
        <v>0.56100000000000005</v>
      </c>
      <c r="Q8113" s="508">
        <v>0.54700000000000004</v>
      </c>
      <c r="R8113" s="508">
        <v>0.43</v>
      </c>
      <c r="S8113" s="508">
        <v>0.39900000000000002</v>
      </c>
      <c r="T8113" s="508">
        <v>0.39200000000000002</v>
      </c>
      <c r="U8113" s="508">
        <v>0.26800000000000002</v>
      </c>
      <c r="V8113" s="508">
        <v>0.21</v>
      </c>
      <c r="W8113" s="508">
        <v>0.17899999999999999</v>
      </c>
      <c r="X8113" s="508">
        <v>0.127</v>
      </c>
      <c r="Y8113" s="508">
        <v>9.7000000000000003E-2</v>
      </c>
      <c r="Z8113" s="508">
        <v>5.3999999999999999E-2</v>
      </c>
      <c r="AA8113" s="508">
        <v>5.2999999999999999E-2</v>
      </c>
      <c r="AB8113" s="508">
        <v>4.7E-2</v>
      </c>
      <c r="AC8113" s="508">
        <v>4.5999999999999999E-2</v>
      </c>
      <c r="AD8113" s="508">
        <v>4.1000000000000002E-2</v>
      </c>
      <c r="AE8113" s="508">
        <v>0.04</v>
      </c>
      <c r="AF8113" s="508">
        <v>3.5999999999999997E-2</v>
      </c>
      <c r="AG8113" s="508">
        <v>3.5000000000000003E-2</v>
      </c>
      <c r="AH8113" s="508">
        <v>3.4000000000000002E-2</v>
      </c>
      <c r="AI8113" s="492">
        <v>3.4000000000000002E-2</v>
      </c>
      <c r="AJ8113" s="485"/>
    </row>
    <row r="8114" spans="2:36">
      <c r="B8114" s="136" t="s">
        <v>469</v>
      </c>
      <c r="C8114" s="132" t="s">
        <v>1383</v>
      </c>
      <c r="D8114" s="132" t="s">
        <v>1384</v>
      </c>
      <c r="E8114" s="508">
        <v>1.8779999999999999</v>
      </c>
      <c r="F8114" s="508">
        <v>1.857</v>
      </c>
      <c r="G8114" s="508">
        <v>1.9319999999999999</v>
      </c>
      <c r="H8114" s="508">
        <v>1.9019999999999999</v>
      </c>
      <c r="I8114" s="508">
        <v>1.897</v>
      </c>
      <c r="J8114" s="508">
        <v>1.895</v>
      </c>
      <c r="K8114" s="508">
        <v>1.8440000000000001</v>
      </c>
      <c r="L8114" s="508">
        <v>1.8360000000000001</v>
      </c>
      <c r="M8114" s="508">
        <v>1.8240000000000001</v>
      </c>
      <c r="N8114" s="508">
        <v>1.774</v>
      </c>
      <c r="O8114" s="508">
        <v>1.7150000000000001</v>
      </c>
      <c r="P8114" s="508">
        <v>0.72899999999999998</v>
      </c>
      <c r="Q8114" s="508">
        <v>0.70599999999999996</v>
      </c>
      <c r="R8114" s="508">
        <v>0.57699999999999996</v>
      </c>
      <c r="S8114" s="508">
        <v>0.53400000000000003</v>
      </c>
      <c r="T8114" s="508">
        <v>0.52200000000000002</v>
      </c>
      <c r="U8114" s="508">
        <v>0.35399999999999998</v>
      </c>
      <c r="V8114" s="508">
        <v>0.28000000000000003</v>
      </c>
      <c r="W8114" s="508">
        <v>0.23799999999999999</v>
      </c>
      <c r="X8114" s="508">
        <v>0.16500000000000001</v>
      </c>
      <c r="Y8114" s="508">
        <v>0.124</v>
      </c>
      <c r="Z8114" s="508">
        <v>7.0000000000000007E-2</v>
      </c>
      <c r="AA8114" s="508">
        <v>6.8000000000000005E-2</v>
      </c>
      <c r="AB8114" s="508">
        <v>5.8999999999999997E-2</v>
      </c>
      <c r="AC8114" s="508">
        <v>5.7000000000000002E-2</v>
      </c>
      <c r="AD8114" s="508">
        <v>0.05</v>
      </c>
      <c r="AE8114" s="508">
        <v>4.7E-2</v>
      </c>
      <c r="AF8114" s="508">
        <v>4.1000000000000002E-2</v>
      </c>
      <c r="AG8114" s="508">
        <v>0.04</v>
      </c>
      <c r="AH8114" s="508">
        <v>0.04</v>
      </c>
      <c r="AI8114" s="492">
        <v>3.9E-2</v>
      </c>
      <c r="AJ8114" s="485"/>
    </row>
    <row r="8115" spans="2:36">
      <c r="B8115" s="136" t="s">
        <v>470</v>
      </c>
      <c r="C8115" s="132" t="s">
        <v>1383</v>
      </c>
      <c r="D8115" s="132" t="s">
        <v>1384</v>
      </c>
      <c r="E8115" s="508">
        <v>1.5609999999999999</v>
      </c>
      <c r="F8115" s="508">
        <v>1.538</v>
      </c>
      <c r="G8115" s="508">
        <v>1.583</v>
      </c>
      <c r="H8115" s="508">
        <v>1.5680000000000001</v>
      </c>
      <c r="I8115" s="508">
        <v>1.56</v>
      </c>
      <c r="J8115" s="508">
        <v>1.5580000000000001</v>
      </c>
      <c r="K8115" s="508">
        <v>1.5249999999999999</v>
      </c>
      <c r="L8115" s="508">
        <v>1.5109999999999999</v>
      </c>
      <c r="M8115" s="508">
        <v>1.4930000000000001</v>
      </c>
      <c r="N8115" s="508">
        <v>1.4630000000000001</v>
      </c>
      <c r="O8115" s="508">
        <v>1.4319999999999999</v>
      </c>
      <c r="P8115" s="508">
        <v>0.58199999999999996</v>
      </c>
      <c r="Q8115" s="508">
        <v>0.56899999999999995</v>
      </c>
      <c r="R8115" s="508">
        <v>0.46200000000000002</v>
      </c>
      <c r="S8115" s="508">
        <v>0.432</v>
      </c>
      <c r="T8115" s="508">
        <v>0.42399999999999999</v>
      </c>
      <c r="U8115" s="508">
        <v>0.28000000000000003</v>
      </c>
      <c r="V8115" s="508">
        <v>0.219</v>
      </c>
      <c r="W8115" s="508">
        <v>0.186</v>
      </c>
      <c r="X8115" s="508">
        <v>0.13200000000000001</v>
      </c>
      <c r="Y8115" s="508">
        <v>0.1</v>
      </c>
      <c r="Z8115" s="508">
        <v>5.5E-2</v>
      </c>
      <c r="AA8115" s="508">
        <v>5.2999999999999999E-2</v>
      </c>
      <c r="AB8115" s="508">
        <v>4.8000000000000001E-2</v>
      </c>
      <c r="AC8115" s="508">
        <v>4.5999999999999999E-2</v>
      </c>
      <c r="AD8115" s="508">
        <v>4.2000000000000003E-2</v>
      </c>
      <c r="AE8115" s="508">
        <v>0.04</v>
      </c>
      <c r="AF8115" s="508">
        <v>3.5999999999999997E-2</v>
      </c>
      <c r="AG8115" s="508">
        <v>3.5999999999999997E-2</v>
      </c>
      <c r="AH8115" s="508">
        <v>3.5999999999999997E-2</v>
      </c>
      <c r="AI8115" s="492">
        <v>3.5000000000000003E-2</v>
      </c>
      <c r="AJ8115" s="485"/>
    </row>
    <row r="8116" spans="2:36">
      <c r="B8116" s="136" t="s">
        <v>471</v>
      </c>
      <c r="C8116" s="132" t="s">
        <v>1383</v>
      </c>
      <c r="D8116" s="132" t="s">
        <v>1384</v>
      </c>
      <c r="E8116" s="508">
        <v>1.925</v>
      </c>
      <c r="F8116" s="508">
        <v>1.899</v>
      </c>
      <c r="G8116" s="508">
        <v>1.966</v>
      </c>
      <c r="H8116" s="508">
        <v>1.9419999999999999</v>
      </c>
      <c r="I8116" s="508">
        <v>1.9339999999999999</v>
      </c>
      <c r="J8116" s="508">
        <v>1.9319999999999999</v>
      </c>
      <c r="K8116" s="508">
        <v>1.8839999999999999</v>
      </c>
      <c r="L8116" s="508">
        <v>1.87</v>
      </c>
      <c r="M8116" s="508">
        <v>1.853</v>
      </c>
      <c r="N8116" s="508">
        <v>1.8080000000000001</v>
      </c>
      <c r="O8116" s="508">
        <v>1.7589999999999999</v>
      </c>
      <c r="P8116" s="508">
        <v>0.73299999999999998</v>
      </c>
      <c r="Q8116" s="508">
        <v>0.71799999999999997</v>
      </c>
      <c r="R8116" s="508">
        <v>0.57999999999999996</v>
      </c>
      <c r="S8116" s="508">
        <v>0.53900000000000003</v>
      </c>
      <c r="T8116" s="508">
        <v>0.52900000000000003</v>
      </c>
      <c r="U8116" s="508">
        <v>0.36</v>
      </c>
      <c r="V8116" s="508">
        <v>0.28000000000000003</v>
      </c>
      <c r="W8116" s="508">
        <v>0.23699999999999999</v>
      </c>
      <c r="X8116" s="508">
        <v>0.16600000000000001</v>
      </c>
      <c r="Y8116" s="508">
        <v>0.124</v>
      </c>
      <c r="Z8116" s="508">
        <v>6.9000000000000006E-2</v>
      </c>
      <c r="AA8116" s="508">
        <v>6.7000000000000004E-2</v>
      </c>
      <c r="AB8116" s="508">
        <v>5.8999999999999997E-2</v>
      </c>
      <c r="AC8116" s="508">
        <v>5.7000000000000002E-2</v>
      </c>
      <c r="AD8116" s="508">
        <v>5.0999999999999997E-2</v>
      </c>
      <c r="AE8116" s="508">
        <v>4.9000000000000002E-2</v>
      </c>
      <c r="AF8116" s="508">
        <v>4.2000000000000003E-2</v>
      </c>
      <c r="AG8116" s="508">
        <v>4.2000000000000003E-2</v>
      </c>
      <c r="AH8116" s="508">
        <v>4.1000000000000002E-2</v>
      </c>
      <c r="AI8116" s="492">
        <v>0.04</v>
      </c>
      <c r="AJ8116" s="485"/>
    </row>
    <row r="8117" spans="2:36">
      <c r="B8117" s="136" t="s">
        <v>472</v>
      </c>
      <c r="C8117" s="132" t="s">
        <v>1383</v>
      </c>
      <c r="D8117" s="132" t="s">
        <v>1384</v>
      </c>
      <c r="E8117" s="508">
        <v>1.4390000000000001</v>
      </c>
      <c r="F8117" s="508">
        <v>1.4159999999999999</v>
      </c>
      <c r="G8117" s="508">
        <v>1.468</v>
      </c>
      <c r="H8117" s="508">
        <v>1.448</v>
      </c>
      <c r="I8117" s="508">
        <v>1.4410000000000001</v>
      </c>
      <c r="J8117" s="508">
        <v>1.4390000000000001</v>
      </c>
      <c r="K8117" s="508">
        <v>1.4039999999999999</v>
      </c>
      <c r="L8117" s="508">
        <v>1.3939999999999999</v>
      </c>
      <c r="M8117" s="508">
        <v>1.381</v>
      </c>
      <c r="N8117" s="508">
        <v>1.35</v>
      </c>
      <c r="O8117" s="508">
        <v>1.3169999999999999</v>
      </c>
      <c r="P8117" s="508">
        <v>0.53400000000000003</v>
      </c>
      <c r="Q8117" s="508">
        <v>0.52800000000000002</v>
      </c>
      <c r="R8117" s="508">
        <v>0.44800000000000001</v>
      </c>
      <c r="S8117" s="508">
        <v>0.42299999999999999</v>
      </c>
      <c r="T8117" s="508">
        <v>0.41499999999999998</v>
      </c>
      <c r="U8117" s="508">
        <v>0.27500000000000002</v>
      </c>
      <c r="V8117" s="508">
        <v>0.21299999999999999</v>
      </c>
      <c r="W8117" s="508">
        <v>0.18</v>
      </c>
      <c r="X8117" s="508">
        <v>0.128</v>
      </c>
      <c r="Y8117" s="508">
        <v>9.5000000000000001E-2</v>
      </c>
      <c r="Z8117" s="508">
        <v>5.0999999999999997E-2</v>
      </c>
      <c r="AA8117" s="508">
        <v>0.05</v>
      </c>
      <c r="AB8117" s="508">
        <v>4.3999999999999997E-2</v>
      </c>
      <c r="AC8117" s="508">
        <v>4.2999999999999997E-2</v>
      </c>
      <c r="AD8117" s="508">
        <v>3.9E-2</v>
      </c>
      <c r="AE8117" s="508">
        <v>3.6999999999999998E-2</v>
      </c>
      <c r="AF8117" s="508">
        <v>3.3000000000000002E-2</v>
      </c>
      <c r="AG8117" s="508">
        <v>3.2000000000000001E-2</v>
      </c>
      <c r="AH8117" s="508">
        <v>3.2000000000000001E-2</v>
      </c>
      <c r="AI8117" s="492">
        <v>3.1E-2</v>
      </c>
      <c r="AJ8117" s="485"/>
    </row>
    <row r="8118" spans="2:36">
      <c r="B8118" s="136" t="s">
        <v>473</v>
      </c>
      <c r="C8118" s="132" t="s">
        <v>1383</v>
      </c>
      <c r="D8118" s="132" t="s">
        <v>1384</v>
      </c>
      <c r="E8118" s="508">
        <v>1.6910000000000001</v>
      </c>
      <c r="F8118" s="508">
        <v>1.665</v>
      </c>
      <c r="G8118" s="508">
        <v>1.7210000000000001</v>
      </c>
      <c r="H8118" s="508">
        <v>1.702</v>
      </c>
      <c r="I8118" s="508">
        <v>1.694</v>
      </c>
      <c r="J8118" s="508">
        <v>1.6910000000000001</v>
      </c>
      <c r="K8118" s="508">
        <v>1.6519999999999999</v>
      </c>
      <c r="L8118" s="508">
        <v>1.639</v>
      </c>
      <c r="M8118" s="508">
        <v>1.623</v>
      </c>
      <c r="N8118" s="508">
        <v>1.5880000000000001</v>
      </c>
      <c r="O8118" s="508">
        <v>1.5509999999999999</v>
      </c>
      <c r="P8118" s="508">
        <v>0.63600000000000001</v>
      </c>
      <c r="Q8118" s="508">
        <v>0.626</v>
      </c>
      <c r="R8118" s="508">
        <v>0.51700000000000002</v>
      </c>
      <c r="S8118" s="508">
        <v>0.48499999999999999</v>
      </c>
      <c r="T8118" s="508">
        <v>0.47599999999999998</v>
      </c>
      <c r="U8118" s="508">
        <v>0.31900000000000001</v>
      </c>
      <c r="V8118" s="508">
        <v>0.247</v>
      </c>
      <c r="W8118" s="508">
        <v>0.21</v>
      </c>
      <c r="X8118" s="508">
        <v>0.14799999999999999</v>
      </c>
      <c r="Y8118" s="508">
        <v>0.11</v>
      </c>
      <c r="Z8118" s="508">
        <v>0.06</v>
      </c>
      <c r="AA8118" s="508">
        <v>5.8000000000000003E-2</v>
      </c>
      <c r="AB8118" s="508">
        <v>5.1999999999999998E-2</v>
      </c>
      <c r="AC8118" s="508">
        <v>0.05</v>
      </c>
      <c r="AD8118" s="508">
        <v>4.4999999999999998E-2</v>
      </c>
      <c r="AE8118" s="508">
        <v>4.2999999999999997E-2</v>
      </c>
      <c r="AF8118" s="508">
        <v>3.7999999999999999E-2</v>
      </c>
      <c r="AG8118" s="508">
        <v>3.6999999999999998E-2</v>
      </c>
      <c r="AH8118" s="508">
        <v>3.6999999999999998E-2</v>
      </c>
      <c r="AI8118" s="492">
        <v>3.5999999999999997E-2</v>
      </c>
      <c r="AJ8118" s="485"/>
    </row>
    <row r="8119" spans="2:36">
      <c r="B8119" s="136" t="s">
        <v>474</v>
      </c>
      <c r="C8119" s="132" t="s">
        <v>1383</v>
      </c>
      <c r="D8119" s="132" t="s">
        <v>1384</v>
      </c>
      <c r="E8119" s="508">
        <v>1.98</v>
      </c>
      <c r="F8119" s="508">
        <v>1.9550000000000001</v>
      </c>
      <c r="G8119" s="508">
        <v>2.0249999999999999</v>
      </c>
      <c r="H8119" s="508">
        <v>1.9990000000000001</v>
      </c>
      <c r="I8119" s="508">
        <v>1.992</v>
      </c>
      <c r="J8119" s="508">
        <v>1.99</v>
      </c>
      <c r="K8119" s="508">
        <v>1.94</v>
      </c>
      <c r="L8119" s="508">
        <v>1.927</v>
      </c>
      <c r="M8119" s="508">
        <v>1.91</v>
      </c>
      <c r="N8119" s="508">
        <v>1.8620000000000001</v>
      </c>
      <c r="O8119" s="508">
        <v>1.8089999999999999</v>
      </c>
      <c r="P8119" s="508">
        <v>0.76400000000000001</v>
      </c>
      <c r="Q8119" s="508">
        <v>0.745</v>
      </c>
      <c r="R8119" s="508">
        <v>0.59799999999999998</v>
      </c>
      <c r="S8119" s="508">
        <v>0.55400000000000005</v>
      </c>
      <c r="T8119" s="508">
        <v>0.54300000000000004</v>
      </c>
      <c r="U8119" s="508">
        <v>0.372</v>
      </c>
      <c r="V8119" s="508">
        <v>0.28899999999999998</v>
      </c>
      <c r="W8119" s="508">
        <v>0.245</v>
      </c>
      <c r="X8119" s="508">
        <v>0.17199999999999999</v>
      </c>
      <c r="Y8119" s="508">
        <v>0.128</v>
      </c>
      <c r="Z8119" s="508">
        <v>7.1999999999999995E-2</v>
      </c>
      <c r="AA8119" s="508">
        <v>7.0000000000000007E-2</v>
      </c>
      <c r="AB8119" s="508">
        <v>6.0999999999999999E-2</v>
      </c>
      <c r="AC8119" s="508">
        <v>5.8999999999999997E-2</v>
      </c>
      <c r="AD8119" s="508">
        <v>5.2999999999999999E-2</v>
      </c>
      <c r="AE8119" s="508">
        <v>0.05</v>
      </c>
      <c r="AF8119" s="508">
        <v>4.3999999999999997E-2</v>
      </c>
      <c r="AG8119" s="508">
        <v>4.2999999999999997E-2</v>
      </c>
      <c r="AH8119" s="508">
        <v>4.2000000000000003E-2</v>
      </c>
      <c r="AI8119" s="492">
        <v>4.1000000000000002E-2</v>
      </c>
      <c r="AJ8119" s="485"/>
    </row>
    <row r="8120" spans="2:36">
      <c r="B8120" s="136" t="s">
        <v>475</v>
      </c>
      <c r="C8120" s="132" t="s">
        <v>1383</v>
      </c>
      <c r="D8120" s="132" t="s">
        <v>1384</v>
      </c>
      <c r="E8120" s="508">
        <v>1.615</v>
      </c>
      <c r="F8120" s="508">
        <v>1.591</v>
      </c>
      <c r="G8120" s="508">
        <v>1.6459999999999999</v>
      </c>
      <c r="H8120" s="508">
        <v>1.6259999999999999</v>
      </c>
      <c r="I8120" s="508">
        <v>1.619</v>
      </c>
      <c r="J8120" s="508">
        <v>1.6160000000000001</v>
      </c>
      <c r="K8120" s="508">
        <v>1.5780000000000001</v>
      </c>
      <c r="L8120" s="508">
        <v>1.5649999999999999</v>
      </c>
      <c r="M8120" s="508">
        <v>1.55</v>
      </c>
      <c r="N8120" s="508">
        <v>1.5149999999999999</v>
      </c>
      <c r="O8120" s="508">
        <v>1.4770000000000001</v>
      </c>
      <c r="P8120" s="508">
        <v>0.59799999999999998</v>
      </c>
      <c r="Q8120" s="508">
        <v>0.58899999999999997</v>
      </c>
      <c r="R8120" s="508">
        <v>0.49</v>
      </c>
      <c r="S8120" s="508">
        <v>0.46100000000000002</v>
      </c>
      <c r="T8120" s="508">
        <v>0.45200000000000001</v>
      </c>
      <c r="U8120" s="508">
        <v>0.30199999999999999</v>
      </c>
      <c r="V8120" s="508">
        <v>0.23400000000000001</v>
      </c>
      <c r="W8120" s="508">
        <v>0.19800000000000001</v>
      </c>
      <c r="X8120" s="508">
        <v>0.14000000000000001</v>
      </c>
      <c r="Y8120" s="508">
        <v>0.105</v>
      </c>
      <c r="Z8120" s="508">
        <v>5.7000000000000002E-2</v>
      </c>
      <c r="AA8120" s="508">
        <v>5.5E-2</v>
      </c>
      <c r="AB8120" s="508">
        <v>4.9000000000000002E-2</v>
      </c>
      <c r="AC8120" s="508">
        <v>4.8000000000000001E-2</v>
      </c>
      <c r="AD8120" s="508">
        <v>4.2999999999999997E-2</v>
      </c>
      <c r="AE8120" s="508">
        <v>4.1000000000000002E-2</v>
      </c>
      <c r="AF8120" s="508">
        <v>3.5999999999999997E-2</v>
      </c>
      <c r="AG8120" s="508">
        <v>3.5999999999999997E-2</v>
      </c>
      <c r="AH8120" s="508">
        <v>3.5000000000000003E-2</v>
      </c>
      <c r="AI8120" s="492">
        <v>3.4000000000000002E-2</v>
      </c>
      <c r="AJ8120" s="485"/>
    </row>
    <row r="8121" spans="2:36">
      <c r="B8121" s="136" t="s">
        <v>476</v>
      </c>
      <c r="C8121" s="132" t="s">
        <v>1383</v>
      </c>
      <c r="D8121" s="132" t="s">
        <v>1384</v>
      </c>
      <c r="E8121" s="508">
        <v>1.627</v>
      </c>
      <c r="F8121" s="508">
        <v>1.603</v>
      </c>
      <c r="G8121" s="508">
        <v>1.6539999999999999</v>
      </c>
      <c r="H8121" s="508">
        <v>1.6359999999999999</v>
      </c>
      <c r="I8121" s="508">
        <v>1.629</v>
      </c>
      <c r="J8121" s="508">
        <v>1.627</v>
      </c>
      <c r="K8121" s="508">
        <v>1.59</v>
      </c>
      <c r="L8121" s="508">
        <v>1.5760000000000001</v>
      </c>
      <c r="M8121" s="508">
        <v>1.56</v>
      </c>
      <c r="N8121" s="508">
        <v>1.526</v>
      </c>
      <c r="O8121" s="508">
        <v>1.4910000000000001</v>
      </c>
      <c r="P8121" s="508">
        <v>0.6</v>
      </c>
      <c r="Q8121" s="508">
        <v>0.58899999999999997</v>
      </c>
      <c r="R8121" s="508">
        <v>0.47899999999999998</v>
      </c>
      <c r="S8121" s="508">
        <v>0.44900000000000001</v>
      </c>
      <c r="T8121" s="508">
        <v>0.441</v>
      </c>
      <c r="U8121" s="508">
        <v>0.29299999999999998</v>
      </c>
      <c r="V8121" s="508">
        <v>0.22800000000000001</v>
      </c>
      <c r="W8121" s="508">
        <v>0.193</v>
      </c>
      <c r="X8121" s="508">
        <v>0.13700000000000001</v>
      </c>
      <c r="Y8121" s="508">
        <v>0.10199999999999999</v>
      </c>
      <c r="Z8121" s="508">
        <v>5.6000000000000001E-2</v>
      </c>
      <c r="AA8121" s="508">
        <v>5.3999999999999999E-2</v>
      </c>
      <c r="AB8121" s="508">
        <v>4.8000000000000001E-2</v>
      </c>
      <c r="AC8121" s="508">
        <v>4.7E-2</v>
      </c>
      <c r="AD8121" s="508">
        <v>4.2999999999999997E-2</v>
      </c>
      <c r="AE8121" s="508">
        <v>4.1000000000000002E-2</v>
      </c>
      <c r="AF8121" s="508">
        <v>3.6999999999999998E-2</v>
      </c>
      <c r="AG8121" s="508">
        <v>3.5999999999999997E-2</v>
      </c>
      <c r="AH8121" s="508">
        <v>3.5999999999999997E-2</v>
      </c>
      <c r="AI8121" s="492">
        <v>3.5000000000000003E-2</v>
      </c>
      <c r="AJ8121" s="485"/>
    </row>
    <row r="8122" spans="2:36">
      <c r="B8122" s="136" t="s">
        <v>478</v>
      </c>
      <c r="C8122" s="132" t="s">
        <v>1383</v>
      </c>
      <c r="D8122" s="132" t="s">
        <v>1384</v>
      </c>
      <c r="E8122" s="508">
        <v>1.6160000000000001</v>
      </c>
      <c r="F8122" s="508">
        <v>1.595</v>
      </c>
      <c r="G8122" s="508">
        <v>1.637</v>
      </c>
      <c r="H8122" s="508">
        <v>1.623</v>
      </c>
      <c r="I8122" s="508">
        <v>1.6160000000000001</v>
      </c>
      <c r="J8122" s="508">
        <v>1.6140000000000001</v>
      </c>
      <c r="K8122" s="508">
        <v>1.581</v>
      </c>
      <c r="L8122" s="508">
        <v>1.5660000000000001</v>
      </c>
      <c r="M8122" s="508">
        <v>1.5469999999999999</v>
      </c>
      <c r="N8122" s="508">
        <v>1.514</v>
      </c>
      <c r="O8122" s="508">
        <v>1.4790000000000001</v>
      </c>
      <c r="P8122" s="508">
        <v>0.56899999999999995</v>
      </c>
      <c r="Q8122" s="508">
        <v>0.55600000000000005</v>
      </c>
      <c r="R8122" s="508">
        <v>0.45</v>
      </c>
      <c r="S8122" s="508">
        <v>0.42099999999999999</v>
      </c>
      <c r="T8122" s="508">
        <v>0.41299999999999998</v>
      </c>
      <c r="U8122" s="508">
        <v>0.27</v>
      </c>
      <c r="V8122" s="508">
        <v>0.21299999999999999</v>
      </c>
      <c r="W8122" s="508">
        <v>0.183</v>
      </c>
      <c r="X8122" s="508">
        <v>0.13100000000000001</v>
      </c>
      <c r="Y8122" s="508">
        <v>0.10199999999999999</v>
      </c>
      <c r="Z8122" s="508">
        <v>5.6000000000000001E-2</v>
      </c>
      <c r="AA8122" s="508">
        <v>5.5E-2</v>
      </c>
      <c r="AB8122" s="508">
        <v>4.9000000000000002E-2</v>
      </c>
      <c r="AC8122" s="508">
        <v>4.8000000000000001E-2</v>
      </c>
      <c r="AD8122" s="508">
        <v>4.2999999999999997E-2</v>
      </c>
      <c r="AE8122" s="508">
        <v>4.2000000000000003E-2</v>
      </c>
      <c r="AF8122" s="508">
        <v>3.6999999999999998E-2</v>
      </c>
      <c r="AG8122" s="508">
        <v>3.5999999999999997E-2</v>
      </c>
      <c r="AH8122" s="508">
        <v>3.5999999999999997E-2</v>
      </c>
      <c r="AI8122" s="492">
        <v>3.5000000000000003E-2</v>
      </c>
      <c r="AJ8122" s="485"/>
    </row>
    <row r="8123" spans="2:36">
      <c r="B8123" s="136" t="s">
        <v>479</v>
      </c>
      <c r="C8123" s="132" t="s">
        <v>1383</v>
      </c>
      <c r="D8123" s="132" t="s">
        <v>1384</v>
      </c>
      <c r="E8123" s="508">
        <v>2.0310000000000001</v>
      </c>
      <c r="F8123" s="508">
        <v>2.004</v>
      </c>
      <c r="G8123" s="508">
        <v>2.077</v>
      </c>
      <c r="H8123" s="508">
        <v>2.0499999999999998</v>
      </c>
      <c r="I8123" s="508">
        <v>2.0430000000000001</v>
      </c>
      <c r="J8123" s="508">
        <v>2.0409999999999999</v>
      </c>
      <c r="K8123" s="508">
        <v>1.9890000000000001</v>
      </c>
      <c r="L8123" s="508">
        <v>1.9750000000000001</v>
      </c>
      <c r="M8123" s="508">
        <v>1.9570000000000001</v>
      </c>
      <c r="N8123" s="508">
        <v>1.9079999999999999</v>
      </c>
      <c r="O8123" s="508">
        <v>1.8540000000000001</v>
      </c>
      <c r="P8123" s="508">
        <v>0.78700000000000003</v>
      </c>
      <c r="Q8123" s="508">
        <v>0.77</v>
      </c>
      <c r="R8123" s="508">
        <v>0.61699999999999999</v>
      </c>
      <c r="S8123" s="508">
        <v>0.57199999999999995</v>
      </c>
      <c r="T8123" s="508">
        <v>0.56100000000000005</v>
      </c>
      <c r="U8123" s="508">
        <v>0.38500000000000001</v>
      </c>
      <c r="V8123" s="508">
        <v>0.29899999999999999</v>
      </c>
      <c r="W8123" s="508">
        <v>0.252</v>
      </c>
      <c r="X8123" s="508">
        <v>0.17699999999999999</v>
      </c>
      <c r="Y8123" s="508">
        <v>0.13100000000000001</v>
      </c>
      <c r="Z8123" s="508">
        <v>7.3999999999999996E-2</v>
      </c>
      <c r="AA8123" s="508">
        <v>7.0999999999999994E-2</v>
      </c>
      <c r="AB8123" s="508">
        <v>6.3E-2</v>
      </c>
      <c r="AC8123" s="508">
        <v>6.0999999999999999E-2</v>
      </c>
      <c r="AD8123" s="508">
        <v>5.3999999999999999E-2</v>
      </c>
      <c r="AE8123" s="508">
        <v>5.0999999999999997E-2</v>
      </c>
      <c r="AF8123" s="508">
        <v>4.4999999999999998E-2</v>
      </c>
      <c r="AG8123" s="508">
        <v>4.3999999999999997E-2</v>
      </c>
      <c r="AH8123" s="508">
        <v>4.2999999999999997E-2</v>
      </c>
      <c r="AI8123" s="492">
        <v>4.2000000000000003E-2</v>
      </c>
      <c r="AJ8123" s="485"/>
    </row>
    <row r="8124" spans="2:36">
      <c r="B8124" s="136" t="s">
        <v>480</v>
      </c>
      <c r="C8124" s="132" t="s">
        <v>1383</v>
      </c>
      <c r="D8124" s="132" t="s">
        <v>1384</v>
      </c>
      <c r="E8124" s="508">
        <v>1.55</v>
      </c>
      <c r="F8124" s="508">
        <v>1.526</v>
      </c>
      <c r="G8124" s="508">
        <v>1.5840000000000001</v>
      </c>
      <c r="H8124" s="508">
        <v>1.5620000000000001</v>
      </c>
      <c r="I8124" s="508">
        <v>1.5549999999999999</v>
      </c>
      <c r="J8124" s="508">
        <v>1.5529999999999999</v>
      </c>
      <c r="K8124" s="508">
        <v>1.514</v>
      </c>
      <c r="L8124" s="508">
        <v>1.5029999999999999</v>
      </c>
      <c r="M8124" s="508">
        <v>1.49</v>
      </c>
      <c r="N8124" s="508">
        <v>1.454</v>
      </c>
      <c r="O8124" s="508">
        <v>1.4159999999999999</v>
      </c>
      <c r="P8124" s="508">
        <v>0.58399999999999996</v>
      </c>
      <c r="Q8124" s="508">
        <v>0.57499999999999996</v>
      </c>
      <c r="R8124" s="508">
        <v>0.48299999999999998</v>
      </c>
      <c r="S8124" s="508">
        <v>0.45300000000000001</v>
      </c>
      <c r="T8124" s="508">
        <v>0.44500000000000001</v>
      </c>
      <c r="U8124" s="508">
        <v>0.29799999999999999</v>
      </c>
      <c r="V8124" s="508">
        <v>0.23100000000000001</v>
      </c>
      <c r="W8124" s="508">
        <v>0.19500000000000001</v>
      </c>
      <c r="X8124" s="508">
        <v>0.13800000000000001</v>
      </c>
      <c r="Y8124" s="508">
        <v>0.10299999999999999</v>
      </c>
      <c r="Z8124" s="508">
        <v>5.6000000000000001E-2</v>
      </c>
      <c r="AA8124" s="508">
        <v>5.3999999999999999E-2</v>
      </c>
      <c r="AB8124" s="508">
        <v>4.8000000000000001E-2</v>
      </c>
      <c r="AC8124" s="508">
        <v>4.7E-2</v>
      </c>
      <c r="AD8124" s="508">
        <v>4.2000000000000003E-2</v>
      </c>
      <c r="AE8124" s="508">
        <v>0.04</v>
      </c>
      <c r="AF8124" s="508">
        <v>3.5000000000000003E-2</v>
      </c>
      <c r="AG8124" s="508">
        <v>3.4000000000000002E-2</v>
      </c>
      <c r="AH8124" s="508">
        <v>3.4000000000000002E-2</v>
      </c>
      <c r="AI8124" s="492">
        <v>3.3000000000000002E-2</v>
      </c>
      <c r="AJ8124" s="485"/>
    </row>
    <row r="8125" spans="2:36">
      <c r="B8125" s="136" t="s">
        <v>481</v>
      </c>
      <c r="C8125" s="132" t="s">
        <v>1383</v>
      </c>
      <c r="D8125" s="132" t="s">
        <v>1384</v>
      </c>
      <c r="E8125" s="508">
        <v>1.907</v>
      </c>
      <c r="F8125" s="508">
        <v>1.881</v>
      </c>
      <c r="G8125" s="508">
        <v>1.9470000000000001</v>
      </c>
      <c r="H8125" s="508">
        <v>1.923</v>
      </c>
      <c r="I8125" s="508">
        <v>1.9159999999999999</v>
      </c>
      <c r="J8125" s="508">
        <v>1.913</v>
      </c>
      <c r="K8125" s="508">
        <v>1.8660000000000001</v>
      </c>
      <c r="L8125" s="508">
        <v>1.8520000000000001</v>
      </c>
      <c r="M8125" s="508">
        <v>1.835</v>
      </c>
      <c r="N8125" s="508">
        <v>1.7909999999999999</v>
      </c>
      <c r="O8125" s="508">
        <v>1.742</v>
      </c>
      <c r="P8125" s="508">
        <v>0.72699999999999998</v>
      </c>
      <c r="Q8125" s="508">
        <v>0.71099999999999997</v>
      </c>
      <c r="R8125" s="508">
        <v>0.57399999999999995</v>
      </c>
      <c r="S8125" s="508">
        <v>0.53500000000000003</v>
      </c>
      <c r="T8125" s="508">
        <v>0.52400000000000002</v>
      </c>
      <c r="U8125" s="508">
        <v>0.35699999999999998</v>
      </c>
      <c r="V8125" s="508">
        <v>0.27600000000000002</v>
      </c>
      <c r="W8125" s="508">
        <v>0.23400000000000001</v>
      </c>
      <c r="X8125" s="508">
        <v>0.16400000000000001</v>
      </c>
      <c r="Y8125" s="508">
        <v>0.121</v>
      </c>
      <c r="Z8125" s="508">
        <v>6.8000000000000005E-2</v>
      </c>
      <c r="AA8125" s="508">
        <v>6.6000000000000003E-2</v>
      </c>
      <c r="AB8125" s="508">
        <v>5.8000000000000003E-2</v>
      </c>
      <c r="AC8125" s="508">
        <v>5.6000000000000001E-2</v>
      </c>
      <c r="AD8125" s="508">
        <v>0.05</v>
      </c>
      <c r="AE8125" s="508">
        <v>4.8000000000000001E-2</v>
      </c>
      <c r="AF8125" s="508">
        <v>4.2000000000000003E-2</v>
      </c>
      <c r="AG8125" s="508">
        <v>4.1000000000000002E-2</v>
      </c>
      <c r="AH8125" s="508">
        <v>4.1000000000000002E-2</v>
      </c>
      <c r="AI8125" s="492">
        <v>0.04</v>
      </c>
      <c r="AJ8125" s="485"/>
    </row>
    <row r="8126" spans="2:36">
      <c r="B8126" s="136" t="s">
        <v>482</v>
      </c>
      <c r="C8126" s="132" t="s">
        <v>1383</v>
      </c>
      <c r="D8126" s="132" t="s">
        <v>1384</v>
      </c>
      <c r="E8126" s="508">
        <v>2.1349999999999998</v>
      </c>
      <c r="F8126" s="508">
        <v>2.11</v>
      </c>
      <c r="G8126" s="508">
        <v>2.1320000000000001</v>
      </c>
      <c r="H8126" s="508">
        <v>2.1070000000000002</v>
      </c>
      <c r="I8126" s="508">
        <v>2.1</v>
      </c>
      <c r="J8126" s="508">
        <v>2.0979999999999999</v>
      </c>
      <c r="K8126" s="508">
        <v>2.048</v>
      </c>
      <c r="L8126" s="508">
        <v>2.0310000000000001</v>
      </c>
      <c r="M8126" s="508">
        <v>2.0089999999999999</v>
      </c>
      <c r="N8126" s="508">
        <v>1.9590000000000001</v>
      </c>
      <c r="O8126" s="508">
        <v>1.9039999999999999</v>
      </c>
      <c r="P8126" s="508">
        <v>0.81399999999999995</v>
      </c>
      <c r="Q8126" s="508">
        <v>0.78900000000000003</v>
      </c>
      <c r="R8126" s="508">
        <v>0.60199999999999998</v>
      </c>
      <c r="S8126" s="508">
        <v>0.55200000000000005</v>
      </c>
      <c r="T8126" s="508">
        <v>0.54100000000000004</v>
      </c>
      <c r="U8126" s="508">
        <v>0.371</v>
      </c>
      <c r="V8126" s="508">
        <v>0.28899999999999998</v>
      </c>
      <c r="W8126" s="508">
        <v>0.245</v>
      </c>
      <c r="X8126" s="508">
        <v>0.17199999999999999</v>
      </c>
      <c r="Y8126" s="508">
        <v>0.129</v>
      </c>
      <c r="Z8126" s="508">
        <v>7.3999999999999996E-2</v>
      </c>
      <c r="AA8126" s="508">
        <v>7.0999999999999994E-2</v>
      </c>
      <c r="AB8126" s="508">
        <v>6.3E-2</v>
      </c>
      <c r="AC8126" s="508">
        <v>6.0999999999999999E-2</v>
      </c>
      <c r="AD8126" s="508">
        <v>5.6000000000000001E-2</v>
      </c>
      <c r="AE8126" s="508">
        <v>5.2999999999999999E-2</v>
      </c>
      <c r="AF8126" s="508">
        <v>4.7E-2</v>
      </c>
      <c r="AG8126" s="508">
        <v>4.5999999999999999E-2</v>
      </c>
      <c r="AH8126" s="508">
        <v>4.5999999999999999E-2</v>
      </c>
      <c r="AI8126" s="492">
        <v>4.4999999999999998E-2</v>
      </c>
      <c r="AJ8126" s="485"/>
    </row>
    <row r="8127" spans="2:36">
      <c r="B8127" s="136" t="s">
        <v>483</v>
      </c>
      <c r="C8127" s="132" t="s">
        <v>1383</v>
      </c>
      <c r="D8127" s="132" t="s">
        <v>1384</v>
      </c>
      <c r="E8127" s="508">
        <v>1.754</v>
      </c>
      <c r="F8127" s="508">
        <v>1.7310000000000001</v>
      </c>
      <c r="G8127" s="508">
        <v>1.7929999999999999</v>
      </c>
      <c r="H8127" s="508">
        <v>1.77</v>
      </c>
      <c r="I8127" s="508">
        <v>1.764</v>
      </c>
      <c r="J8127" s="508">
        <v>1.7609999999999999</v>
      </c>
      <c r="K8127" s="508">
        <v>1.718</v>
      </c>
      <c r="L8127" s="508">
        <v>1.708</v>
      </c>
      <c r="M8127" s="508">
        <v>1.694</v>
      </c>
      <c r="N8127" s="508">
        <v>1.653</v>
      </c>
      <c r="O8127" s="508">
        <v>1.607</v>
      </c>
      <c r="P8127" s="508">
        <v>0.66400000000000003</v>
      </c>
      <c r="Q8127" s="508">
        <v>0.64800000000000002</v>
      </c>
      <c r="R8127" s="508">
        <v>0.53300000000000003</v>
      </c>
      <c r="S8127" s="508">
        <v>0.497</v>
      </c>
      <c r="T8127" s="508">
        <v>0.48699999999999999</v>
      </c>
      <c r="U8127" s="508">
        <v>0.32600000000000001</v>
      </c>
      <c r="V8127" s="508">
        <v>0.25600000000000001</v>
      </c>
      <c r="W8127" s="508">
        <v>0.217</v>
      </c>
      <c r="X8127" s="508">
        <v>0.151</v>
      </c>
      <c r="Y8127" s="508">
        <v>0.113</v>
      </c>
      <c r="Z8127" s="508">
        <v>6.3E-2</v>
      </c>
      <c r="AA8127" s="508">
        <v>6.0999999999999999E-2</v>
      </c>
      <c r="AB8127" s="508">
        <v>5.3999999999999999E-2</v>
      </c>
      <c r="AC8127" s="508">
        <v>5.2999999999999999E-2</v>
      </c>
      <c r="AD8127" s="508">
        <v>4.7E-2</v>
      </c>
      <c r="AE8127" s="508">
        <v>4.3999999999999997E-2</v>
      </c>
      <c r="AF8127" s="508">
        <v>3.9E-2</v>
      </c>
      <c r="AG8127" s="508">
        <v>3.7999999999999999E-2</v>
      </c>
      <c r="AH8127" s="508">
        <v>3.7999999999999999E-2</v>
      </c>
      <c r="AI8127" s="492">
        <v>3.6999999999999998E-2</v>
      </c>
      <c r="AJ8127" s="485"/>
    </row>
    <row r="8128" spans="2:36">
      <c r="B8128" s="136" t="s">
        <v>484</v>
      </c>
      <c r="C8128" s="132" t="s">
        <v>1383</v>
      </c>
      <c r="D8128" s="132" t="s">
        <v>1384</v>
      </c>
      <c r="E8128" s="508">
        <v>1.45</v>
      </c>
      <c r="F8128" s="508">
        <v>1.4279999999999999</v>
      </c>
      <c r="G8128" s="508">
        <v>1.4770000000000001</v>
      </c>
      <c r="H8128" s="508">
        <v>1.458</v>
      </c>
      <c r="I8128" s="508">
        <v>1.452</v>
      </c>
      <c r="J8128" s="508">
        <v>1.45</v>
      </c>
      <c r="K8128" s="508">
        <v>1.4159999999999999</v>
      </c>
      <c r="L8128" s="508">
        <v>1.4039999999999999</v>
      </c>
      <c r="M8128" s="508">
        <v>1.39</v>
      </c>
      <c r="N8128" s="508">
        <v>1.359</v>
      </c>
      <c r="O8128" s="508">
        <v>1.3260000000000001</v>
      </c>
      <c r="P8128" s="508">
        <v>0.53</v>
      </c>
      <c r="Q8128" s="508">
        <v>0.52100000000000002</v>
      </c>
      <c r="R8128" s="508">
        <v>0.435</v>
      </c>
      <c r="S8128" s="508">
        <v>0.40899999999999997</v>
      </c>
      <c r="T8128" s="508">
        <v>0.40200000000000002</v>
      </c>
      <c r="U8128" s="508">
        <v>0.26600000000000001</v>
      </c>
      <c r="V8128" s="508">
        <v>0.20599999999999999</v>
      </c>
      <c r="W8128" s="508">
        <v>0.17499999999999999</v>
      </c>
      <c r="X8128" s="508">
        <v>0.123</v>
      </c>
      <c r="Y8128" s="508">
        <v>9.1999999999999998E-2</v>
      </c>
      <c r="Z8128" s="508">
        <v>0.05</v>
      </c>
      <c r="AA8128" s="508">
        <v>4.8000000000000001E-2</v>
      </c>
      <c r="AB8128" s="508">
        <v>4.2999999999999997E-2</v>
      </c>
      <c r="AC8128" s="508">
        <v>4.2000000000000003E-2</v>
      </c>
      <c r="AD8128" s="508">
        <v>3.7999999999999999E-2</v>
      </c>
      <c r="AE8128" s="508">
        <v>3.5999999999999997E-2</v>
      </c>
      <c r="AF8128" s="508">
        <v>3.3000000000000002E-2</v>
      </c>
      <c r="AG8128" s="508">
        <v>3.2000000000000001E-2</v>
      </c>
      <c r="AH8128" s="508">
        <v>3.2000000000000001E-2</v>
      </c>
      <c r="AI8128" s="492">
        <v>3.1E-2</v>
      </c>
      <c r="AJ8128" s="485"/>
    </row>
    <row r="8129" spans="2:36">
      <c r="B8129" s="136" t="s">
        <v>486</v>
      </c>
      <c r="C8129" s="132" t="s">
        <v>1383</v>
      </c>
      <c r="D8129" s="132" t="s">
        <v>1384</v>
      </c>
      <c r="E8129" s="508">
        <v>1.786</v>
      </c>
      <c r="F8129" s="508">
        <v>1.762</v>
      </c>
      <c r="G8129" s="508">
        <v>1.8169999999999999</v>
      </c>
      <c r="H8129" s="508">
        <v>1.7969999999999999</v>
      </c>
      <c r="I8129" s="508">
        <v>1.774</v>
      </c>
      <c r="J8129" s="508">
        <v>1.772</v>
      </c>
      <c r="K8129" s="508">
        <v>1.732</v>
      </c>
      <c r="L8129" s="508">
        <v>1.7170000000000001</v>
      </c>
      <c r="M8129" s="508">
        <v>1.698</v>
      </c>
      <c r="N8129" s="508">
        <v>1.6579999999999999</v>
      </c>
      <c r="O8129" s="508">
        <v>1.6160000000000001</v>
      </c>
      <c r="P8129" s="508">
        <v>0.65800000000000003</v>
      </c>
      <c r="Q8129" s="508">
        <v>0.64300000000000002</v>
      </c>
      <c r="R8129" s="508">
        <v>0.51600000000000001</v>
      </c>
      <c r="S8129" s="508">
        <v>0.48099999999999998</v>
      </c>
      <c r="T8129" s="508">
        <v>0.47099999999999997</v>
      </c>
      <c r="U8129" s="508">
        <v>0.316</v>
      </c>
      <c r="V8129" s="508">
        <v>0.247</v>
      </c>
      <c r="W8129" s="508">
        <v>0.21</v>
      </c>
      <c r="X8129" s="508">
        <v>0.15</v>
      </c>
      <c r="Y8129" s="508">
        <v>0.113</v>
      </c>
      <c r="Z8129" s="508">
        <v>6.4000000000000001E-2</v>
      </c>
      <c r="AA8129" s="508">
        <v>6.2E-2</v>
      </c>
      <c r="AB8129" s="508">
        <v>5.3999999999999999E-2</v>
      </c>
      <c r="AC8129" s="508">
        <v>5.2999999999999999E-2</v>
      </c>
      <c r="AD8129" s="508">
        <v>4.8000000000000001E-2</v>
      </c>
      <c r="AE8129" s="508">
        <v>4.4999999999999998E-2</v>
      </c>
      <c r="AF8129" s="508">
        <v>0.04</v>
      </c>
      <c r="AG8129" s="508">
        <v>3.9E-2</v>
      </c>
      <c r="AH8129" s="508">
        <v>3.9E-2</v>
      </c>
      <c r="AI8129" s="492">
        <v>3.7999999999999999E-2</v>
      </c>
      <c r="AJ8129" s="485"/>
    </row>
    <row r="8130" spans="2:36">
      <c r="B8130" s="136" t="s">
        <v>487</v>
      </c>
      <c r="C8130" s="132" t="s">
        <v>1383</v>
      </c>
      <c r="D8130" s="132" t="s">
        <v>1384</v>
      </c>
      <c r="E8130" s="508">
        <v>1.6220000000000001</v>
      </c>
      <c r="F8130" s="508">
        <v>1.5960000000000001</v>
      </c>
      <c r="G8130" s="508">
        <v>1.615</v>
      </c>
      <c r="H8130" s="508">
        <v>1.597</v>
      </c>
      <c r="I8130" s="508">
        <v>1.589</v>
      </c>
      <c r="J8130" s="508">
        <v>1.587</v>
      </c>
      <c r="K8130" s="508">
        <v>1.55</v>
      </c>
      <c r="L8130" s="508">
        <v>1.5369999999999999</v>
      </c>
      <c r="M8130" s="508">
        <v>1.5209999999999999</v>
      </c>
      <c r="N8130" s="508">
        <v>1.4890000000000001</v>
      </c>
      <c r="O8130" s="508">
        <v>1.456</v>
      </c>
      <c r="P8130" s="508">
        <v>0.59599999999999997</v>
      </c>
      <c r="Q8130" s="508">
        <v>0.58799999999999997</v>
      </c>
      <c r="R8130" s="508">
        <v>0.49199999999999999</v>
      </c>
      <c r="S8130" s="508">
        <v>0.46300000000000002</v>
      </c>
      <c r="T8130" s="508">
        <v>0.45500000000000002</v>
      </c>
      <c r="U8130" s="508">
        <v>0.30299999999999999</v>
      </c>
      <c r="V8130" s="508">
        <v>0.23499999999999999</v>
      </c>
      <c r="W8130" s="508">
        <v>0.19900000000000001</v>
      </c>
      <c r="X8130" s="508">
        <v>0.14000000000000001</v>
      </c>
      <c r="Y8130" s="508">
        <v>0.105</v>
      </c>
      <c r="Z8130" s="508">
        <v>5.7000000000000002E-2</v>
      </c>
      <c r="AA8130" s="508">
        <v>5.5E-2</v>
      </c>
      <c r="AB8130" s="508">
        <v>4.9000000000000002E-2</v>
      </c>
      <c r="AC8130" s="508">
        <v>4.8000000000000001E-2</v>
      </c>
      <c r="AD8130" s="508">
        <v>4.2999999999999997E-2</v>
      </c>
      <c r="AE8130" s="508">
        <v>4.1000000000000002E-2</v>
      </c>
      <c r="AF8130" s="508">
        <v>3.5999999999999997E-2</v>
      </c>
      <c r="AG8130" s="508">
        <v>3.5999999999999997E-2</v>
      </c>
      <c r="AH8130" s="508">
        <v>3.5000000000000003E-2</v>
      </c>
      <c r="AI8130" s="492">
        <v>3.4000000000000002E-2</v>
      </c>
      <c r="AJ8130" s="485"/>
    </row>
    <row r="8131" spans="2:36">
      <c r="B8131" s="136" t="s">
        <v>488</v>
      </c>
      <c r="C8131" s="132" t="s">
        <v>1383</v>
      </c>
      <c r="D8131" s="132" t="s">
        <v>1384</v>
      </c>
      <c r="E8131" s="508">
        <v>1.6830000000000001</v>
      </c>
      <c r="F8131" s="508">
        <v>1.659</v>
      </c>
      <c r="G8131" s="508">
        <v>1.72</v>
      </c>
      <c r="H8131" s="508">
        <v>1.6970000000000001</v>
      </c>
      <c r="I8131" s="508">
        <v>1.69</v>
      </c>
      <c r="J8131" s="508">
        <v>1.6879999999999999</v>
      </c>
      <c r="K8131" s="508">
        <v>1.6459999999999999</v>
      </c>
      <c r="L8131" s="508">
        <v>1.6339999999999999</v>
      </c>
      <c r="M8131" s="508">
        <v>1.6180000000000001</v>
      </c>
      <c r="N8131" s="508">
        <v>1.579</v>
      </c>
      <c r="O8131" s="508">
        <v>1.5369999999999999</v>
      </c>
      <c r="P8131" s="508">
        <v>0.63700000000000001</v>
      </c>
      <c r="Q8131" s="508">
        <v>0.626</v>
      </c>
      <c r="R8131" s="508">
        <v>0.51600000000000001</v>
      </c>
      <c r="S8131" s="508">
        <v>0.48299999999999998</v>
      </c>
      <c r="T8131" s="508">
        <v>0.47399999999999998</v>
      </c>
      <c r="U8131" s="508">
        <v>0.31900000000000001</v>
      </c>
      <c r="V8131" s="508">
        <v>0.248</v>
      </c>
      <c r="W8131" s="508">
        <v>0.20899999999999999</v>
      </c>
      <c r="X8131" s="508">
        <v>0.14799999999999999</v>
      </c>
      <c r="Y8131" s="508">
        <v>0.11</v>
      </c>
      <c r="Z8131" s="508">
        <v>6.0999999999999999E-2</v>
      </c>
      <c r="AA8131" s="508">
        <v>5.8999999999999997E-2</v>
      </c>
      <c r="AB8131" s="508">
        <v>5.1999999999999998E-2</v>
      </c>
      <c r="AC8131" s="508">
        <v>0.05</v>
      </c>
      <c r="AD8131" s="508">
        <v>4.4999999999999998E-2</v>
      </c>
      <c r="AE8131" s="508">
        <v>4.2999999999999997E-2</v>
      </c>
      <c r="AF8131" s="508">
        <v>3.6999999999999998E-2</v>
      </c>
      <c r="AG8131" s="508">
        <v>3.6999999999999998E-2</v>
      </c>
      <c r="AH8131" s="508">
        <v>3.5999999999999997E-2</v>
      </c>
      <c r="AI8131" s="492">
        <v>3.5000000000000003E-2</v>
      </c>
      <c r="AJ8131" s="485"/>
    </row>
    <row r="8132" spans="2:36">
      <c r="B8132" s="136" t="s">
        <v>489</v>
      </c>
      <c r="C8132" s="132" t="s">
        <v>1383</v>
      </c>
      <c r="D8132" s="132" t="s">
        <v>1384</v>
      </c>
      <c r="E8132" s="508">
        <v>1.5209999999999999</v>
      </c>
      <c r="F8132" s="508">
        <v>1.4970000000000001</v>
      </c>
      <c r="G8132" s="508">
        <v>1.5469999999999999</v>
      </c>
      <c r="H8132" s="508">
        <v>1.5289999999999999</v>
      </c>
      <c r="I8132" s="508">
        <v>1.522</v>
      </c>
      <c r="J8132" s="508">
        <v>1.52</v>
      </c>
      <c r="K8132" s="508">
        <v>1.4850000000000001</v>
      </c>
      <c r="L8132" s="508">
        <v>1.472</v>
      </c>
      <c r="M8132" s="508">
        <v>1.4570000000000001</v>
      </c>
      <c r="N8132" s="508">
        <v>1.425</v>
      </c>
      <c r="O8132" s="508">
        <v>1.3919999999999999</v>
      </c>
      <c r="P8132" s="508">
        <v>0.55900000000000005</v>
      </c>
      <c r="Q8132" s="508">
        <v>0.55100000000000005</v>
      </c>
      <c r="R8132" s="508">
        <v>0.46</v>
      </c>
      <c r="S8132" s="508">
        <v>0.433</v>
      </c>
      <c r="T8132" s="508">
        <v>0.42499999999999999</v>
      </c>
      <c r="U8132" s="508">
        <v>0.28199999999999997</v>
      </c>
      <c r="V8132" s="508">
        <v>0.219</v>
      </c>
      <c r="W8132" s="508">
        <v>0.186</v>
      </c>
      <c r="X8132" s="508">
        <v>0.13200000000000001</v>
      </c>
      <c r="Y8132" s="508">
        <v>9.9000000000000005E-2</v>
      </c>
      <c r="Z8132" s="508">
        <v>5.3999999999999999E-2</v>
      </c>
      <c r="AA8132" s="508">
        <v>5.1999999999999998E-2</v>
      </c>
      <c r="AB8132" s="508">
        <v>4.7E-2</v>
      </c>
      <c r="AC8132" s="508">
        <v>4.4999999999999998E-2</v>
      </c>
      <c r="AD8132" s="508">
        <v>4.1000000000000002E-2</v>
      </c>
      <c r="AE8132" s="508">
        <v>3.9E-2</v>
      </c>
      <c r="AF8132" s="508">
        <v>3.5000000000000003E-2</v>
      </c>
      <c r="AG8132" s="508">
        <v>3.4000000000000002E-2</v>
      </c>
      <c r="AH8132" s="508">
        <v>3.3000000000000002E-2</v>
      </c>
      <c r="AI8132" s="492">
        <v>3.3000000000000002E-2</v>
      </c>
      <c r="AJ8132" s="485"/>
    </row>
    <row r="8133" spans="2:36">
      <c r="B8133" s="136" t="s">
        <v>490</v>
      </c>
      <c r="C8133" s="132" t="s">
        <v>1383</v>
      </c>
      <c r="D8133" s="132" t="s">
        <v>1384</v>
      </c>
      <c r="E8133" s="508">
        <v>1.536</v>
      </c>
      <c r="F8133" s="508">
        <v>1.5149999999999999</v>
      </c>
      <c r="G8133" s="508">
        <v>1.5740000000000001</v>
      </c>
      <c r="H8133" s="508">
        <v>1.5509999999999999</v>
      </c>
      <c r="I8133" s="508">
        <v>1.5449999999999999</v>
      </c>
      <c r="J8133" s="508">
        <v>1.5429999999999999</v>
      </c>
      <c r="K8133" s="508">
        <v>1.504</v>
      </c>
      <c r="L8133" s="508">
        <v>1.4950000000000001</v>
      </c>
      <c r="M8133" s="508">
        <v>1.484</v>
      </c>
      <c r="N8133" s="508">
        <v>1.4470000000000001</v>
      </c>
      <c r="O8133" s="508">
        <v>1.4039999999999999</v>
      </c>
      <c r="P8133" s="508">
        <v>0.56899999999999995</v>
      </c>
      <c r="Q8133" s="508">
        <v>0.55800000000000005</v>
      </c>
      <c r="R8133" s="508">
        <v>0.47199999999999998</v>
      </c>
      <c r="S8133" s="508">
        <v>0.443</v>
      </c>
      <c r="T8133" s="508">
        <v>0.434</v>
      </c>
      <c r="U8133" s="508">
        <v>0.28799999999999998</v>
      </c>
      <c r="V8133" s="508">
        <v>0.22600000000000001</v>
      </c>
      <c r="W8133" s="508">
        <v>0.192</v>
      </c>
      <c r="X8133" s="508">
        <v>0.13600000000000001</v>
      </c>
      <c r="Y8133" s="508">
        <v>0.10299999999999999</v>
      </c>
      <c r="Z8133" s="508">
        <v>5.6000000000000001E-2</v>
      </c>
      <c r="AA8133" s="508">
        <v>5.3999999999999999E-2</v>
      </c>
      <c r="AB8133" s="508">
        <v>4.8000000000000001E-2</v>
      </c>
      <c r="AC8133" s="508">
        <v>4.5999999999999999E-2</v>
      </c>
      <c r="AD8133" s="508">
        <v>4.2000000000000003E-2</v>
      </c>
      <c r="AE8133" s="508">
        <v>3.9E-2</v>
      </c>
      <c r="AF8133" s="508">
        <v>3.4000000000000002E-2</v>
      </c>
      <c r="AG8133" s="508">
        <v>3.4000000000000002E-2</v>
      </c>
      <c r="AH8133" s="508">
        <v>3.3000000000000002E-2</v>
      </c>
      <c r="AI8133" s="492">
        <v>3.2000000000000001E-2</v>
      </c>
      <c r="AJ8133" s="485"/>
    </row>
    <row r="8134" spans="2:36">
      <c r="B8134" s="136" t="s">
        <v>435</v>
      </c>
      <c r="C8134" s="132" t="s">
        <v>1366</v>
      </c>
      <c r="D8134" s="132" t="s">
        <v>1384</v>
      </c>
      <c r="E8134" s="508">
        <v>8.0000000000000002E-3</v>
      </c>
      <c r="F8134" s="508">
        <v>1.4E-2</v>
      </c>
      <c r="G8134" s="508">
        <v>1.4E-2</v>
      </c>
      <c r="H8134" s="508">
        <v>1.4E-2</v>
      </c>
      <c r="I8134" s="508">
        <v>1.4E-2</v>
      </c>
      <c r="J8134" s="508">
        <v>1.4E-2</v>
      </c>
      <c r="K8134" s="508">
        <v>1.4E-2</v>
      </c>
      <c r="L8134" s="508">
        <v>1.2999999999999999E-2</v>
      </c>
      <c r="M8134" s="508">
        <v>1.2999999999999999E-2</v>
      </c>
      <c r="N8134" s="508">
        <v>1.2999999999999999E-2</v>
      </c>
      <c r="O8134" s="508">
        <v>1.2999999999999999E-2</v>
      </c>
      <c r="P8134" s="508">
        <v>7.0000000000000001E-3</v>
      </c>
      <c r="Q8134" s="508">
        <v>7.0000000000000001E-3</v>
      </c>
      <c r="R8134" s="508">
        <v>7.0000000000000001E-3</v>
      </c>
      <c r="S8134" s="508">
        <v>7.0000000000000001E-3</v>
      </c>
      <c r="T8134" s="508">
        <v>7.0000000000000001E-3</v>
      </c>
      <c r="U8134" s="508">
        <v>7.0000000000000001E-3</v>
      </c>
      <c r="V8134" s="508">
        <v>7.0000000000000001E-3</v>
      </c>
      <c r="W8134" s="508">
        <v>7.0000000000000001E-3</v>
      </c>
      <c r="X8134" s="508">
        <v>7.0000000000000001E-3</v>
      </c>
      <c r="Y8134" s="508">
        <v>7.0000000000000001E-3</v>
      </c>
      <c r="Z8134" s="508">
        <v>7.0000000000000001E-3</v>
      </c>
      <c r="AA8134" s="508">
        <v>7.0000000000000001E-3</v>
      </c>
      <c r="AB8134" s="508">
        <v>7.0000000000000001E-3</v>
      </c>
      <c r="AC8134" s="508">
        <v>7.0000000000000001E-3</v>
      </c>
      <c r="AD8134" s="508">
        <v>7.0000000000000001E-3</v>
      </c>
      <c r="AE8134" s="508">
        <v>7.0000000000000001E-3</v>
      </c>
      <c r="AF8134" s="508">
        <v>5.0000000000000001E-3</v>
      </c>
      <c r="AG8134" s="508">
        <v>5.0000000000000001E-3</v>
      </c>
      <c r="AH8134" s="508">
        <v>5.0000000000000001E-3</v>
      </c>
      <c r="AI8134" s="492">
        <v>5.0000000000000001E-3</v>
      </c>
      <c r="AJ8134" s="485"/>
    </row>
    <row r="8135" spans="2:36">
      <c r="B8135" s="136" t="s">
        <v>436</v>
      </c>
      <c r="C8135" s="132" t="s">
        <v>1366</v>
      </c>
      <c r="D8135" s="132" t="s">
        <v>1384</v>
      </c>
      <c r="E8135" s="508">
        <v>8.0000000000000002E-3</v>
      </c>
      <c r="F8135" s="508">
        <v>1.2999999999999999E-2</v>
      </c>
      <c r="G8135" s="508">
        <v>1.2999999999999999E-2</v>
      </c>
      <c r="H8135" s="508">
        <v>1.2999999999999999E-2</v>
      </c>
      <c r="I8135" s="508">
        <v>1.2999999999999999E-2</v>
      </c>
      <c r="J8135" s="508">
        <v>1.2999999999999999E-2</v>
      </c>
      <c r="K8135" s="508">
        <v>1.2999999999999999E-2</v>
      </c>
      <c r="L8135" s="508">
        <v>1.2999999999999999E-2</v>
      </c>
      <c r="M8135" s="508">
        <v>1.2999999999999999E-2</v>
      </c>
      <c r="N8135" s="508">
        <v>1.2999999999999999E-2</v>
      </c>
      <c r="O8135" s="508">
        <v>1.2999999999999999E-2</v>
      </c>
      <c r="P8135" s="508">
        <v>7.0000000000000001E-3</v>
      </c>
      <c r="Q8135" s="508">
        <v>7.0000000000000001E-3</v>
      </c>
      <c r="R8135" s="508">
        <v>7.0000000000000001E-3</v>
      </c>
      <c r="S8135" s="508">
        <v>7.0000000000000001E-3</v>
      </c>
      <c r="T8135" s="508">
        <v>6.0000000000000001E-3</v>
      </c>
      <c r="U8135" s="508">
        <v>6.0000000000000001E-3</v>
      </c>
      <c r="V8135" s="508">
        <v>6.0000000000000001E-3</v>
      </c>
      <c r="W8135" s="508">
        <v>6.0000000000000001E-3</v>
      </c>
      <c r="X8135" s="508">
        <v>6.0000000000000001E-3</v>
      </c>
      <c r="Y8135" s="508">
        <v>6.0000000000000001E-3</v>
      </c>
      <c r="Z8135" s="508">
        <v>6.0000000000000001E-3</v>
      </c>
      <c r="AA8135" s="508">
        <v>6.0000000000000001E-3</v>
      </c>
      <c r="AB8135" s="508">
        <v>6.0000000000000001E-3</v>
      </c>
      <c r="AC8135" s="508">
        <v>6.0000000000000001E-3</v>
      </c>
      <c r="AD8135" s="508">
        <v>6.0000000000000001E-3</v>
      </c>
      <c r="AE8135" s="508">
        <v>6.0000000000000001E-3</v>
      </c>
      <c r="AF8135" s="508">
        <v>5.0000000000000001E-3</v>
      </c>
      <c r="AG8135" s="508">
        <v>5.0000000000000001E-3</v>
      </c>
      <c r="AH8135" s="508">
        <v>5.0000000000000001E-3</v>
      </c>
      <c r="AI8135" s="492">
        <v>5.0000000000000001E-3</v>
      </c>
      <c r="AJ8135" s="485"/>
    </row>
    <row r="8136" spans="2:36">
      <c r="B8136" s="136" t="s">
        <v>437</v>
      </c>
      <c r="C8136" s="132" t="s">
        <v>1366</v>
      </c>
      <c r="D8136" s="132" t="s">
        <v>1384</v>
      </c>
      <c r="E8136" s="508">
        <v>8.0000000000000002E-3</v>
      </c>
      <c r="F8136" s="508">
        <v>1.4E-2</v>
      </c>
      <c r="G8136" s="508">
        <v>1.4E-2</v>
      </c>
      <c r="H8136" s="508">
        <v>1.4E-2</v>
      </c>
      <c r="I8136" s="508">
        <v>1.4E-2</v>
      </c>
      <c r="J8136" s="508">
        <v>1.4E-2</v>
      </c>
      <c r="K8136" s="508">
        <v>1.4E-2</v>
      </c>
      <c r="L8136" s="508">
        <v>1.4E-2</v>
      </c>
      <c r="M8136" s="508">
        <v>1.4E-2</v>
      </c>
      <c r="N8136" s="508">
        <v>1.4E-2</v>
      </c>
      <c r="O8136" s="508">
        <v>1.4E-2</v>
      </c>
      <c r="P8136" s="508">
        <v>7.0000000000000001E-3</v>
      </c>
      <c r="Q8136" s="508">
        <v>7.0000000000000001E-3</v>
      </c>
      <c r="R8136" s="508">
        <v>7.0000000000000001E-3</v>
      </c>
      <c r="S8136" s="508">
        <v>7.0000000000000001E-3</v>
      </c>
      <c r="T8136" s="508">
        <v>7.0000000000000001E-3</v>
      </c>
      <c r="U8136" s="508">
        <v>7.0000000000000001E-3</v>
      </c>
      <c r="V8136" s="508">
        <v>7.0000000000000001E-3</v>
      </c>
      <c r="W8136" s="508">
        <v>7.0000000000000001E-3</v>
      </c>
      <c r="X8136" s="508">
        <v>7.0000000000000001E-3</v>
      </c>
      <c r="Y8136" s="508">
        <v>7.0000000000000001E-3</v>
      </c>
      <c r="Z8136" s="508">
        <v>7.0000000000000001E-3</v>
      </c>
      <c r="AA8136" s="508">
        <v>7.0000000000000001E-3</v>
      </c>
      <c r="AB8136" s="508">
        <v>7.0000000000000001E-3</v>
      </c>
      <c r="AC8136" s="508">
        <v>7.0000000000000001E-3</v>
      </c>
      <c r="AD8136" s="508">
        <v>7.0000000000000001E-3</v>
      </c>
      <c r="AE8136" s="508">
        <v>7.0000000000000001E-3</v>
      </c>
      <c r="AF8136" s="508">
        <v>5.0000000000000001E-3</v>
      </c>
      <c r="AG8136" s="508">
        <v>5.0000000000000001E-3</v>
      </c>
      <c r="AH8136" s="508">
        <v>5.0000000000000001E-3</v>
      </c>
      <c r="AI8136" s="492">
        <v>5.0000000000000001E-3</v>
      </c>
      <c r="AJ8136" s="485"/>
    </row>
    <row r="8137" spans="2:36">
      <c r="B8137" s="136" t="s">
        <v>438</v>
      </c>
      <c r="C8137" s="132" t="s">
        <v>1366</v>
      </c>
      <c r="D8137" s="132" t="s">
        <v>1384</v>
      </c>
      <c r="E8137" s="508">
        <v>8.0000000000000002E-3</v>
      </c>
      <c r="F8137" s="508">
        <v>1.2999999999999999E-2</v>
      </c>
      <c r="G8137" s="508">
        <v>1.2999999999999999E-2</v>
      </c>
      <c r="H8137" s="508">
        <v>1.2999999999999999E-2</v>
      </c>
      <c r="I8137" s="508">
        <v>1.2999999999999999E-2</v>
      </c>
      <c r="J8137" s="508">
        <v>1.2999999999999999E-2</v>
      </c>
      <c r="K8137" s="508">
        <v>1.2999999999999999E-2</v>
      </c>
      <c r="L8137" s="508">
        <v>1.2999999999999999E-2</v>
      </c>
      <c r="M8137" s="508">
        <v>1.2999999999999999E-2</v>
      </c>
      <c r="N8137" s="508">
        <v>1.2999999999999999E-2</v>
      </c>
      <c r="O8137" s="508">
        <v>1.2999999999999999E-2</v>
      </c>
      <c r="P8137" s="508">
        <v>7.0000000000000001E-3</v>
      </c>
      <c r="Q8137" s="508">
        <v>7.0000000000000001E-3</v>
      </c>
      <c r="R8137" s="508">
        <v>7.0000000000000001E-3</v>
      </c>
      <c r="S8137" s="508">
        <v>7.0000000000000001E-3</v>
      </c>
      <c r="T8137" s="508">
        <v>7.0000000000000001E-3</v>
      </c>
      <c r="U8137" s="508">
        <v>6.0000000000000001E-3</v>
      </c>
      <c r="V8137" s="508">
        <v>6.0000000000000001E-3</v>
      </c>
      <c r="W8137" s="508">
        <v>6.0000000000000001E-3</v>
      </c>
      <c r="X8137" s="508">
        <v>6.0000000000000001E-3</v>
      </c>
      <c r="Y8137" s="508">
        <v>6.0000000000000001E-3</v>
      </c>
      <c r="Z8137" s="508">
        <v>6.0000000000000001E-3</v>
      </c>
      <c r="AA8137" s="508">
        <v>6.0000000000000001E-3</v>
      </c>
      <c r="AB8137" s="508">
        <v>6.0000000000000001E-3</v>
      </c>
      <c r="AC8137" s="508">
        <v>6.0000000000000001E-3</v>
      </c>
      <c r="AD8137" s="508">
        <v>6.0000000000000001E-3</v>
      </c>
      <c r="AE8137" s="508">
        <v>7.0000000000000001E-3</v>
      </c>
      <c r="AF8137" s="508">
        <v>5.0000000000000001E-3</v>
      </c>
      <c r="AG8137" s="508">
        <v>5.0000000000000001E-3</v>
      </c>
      <c r="AH8137" s="508">
        <v>5.0000000000000001E-3</v>
      </c>
      <c r="AI8137" s="492">
        <v>5.0000000000000001E-3</v>
      </c>
      <c r="AJ8137" s="485"/>
    </row>
    <row r="8138" spans="2:36">
      <c r="B8138" s="136" t="s">
        <v>439</v>
      </c>
      <c r="C8138" s="132" t="s">
        <v>1366</v>
      </c>
      <c r="D8138" s="132" t="s">
        <v>1384</v>
      </c>
      <c r="E8138" s="508">
        <v>8.0000000000000002E-3</v>
      </c>
      <c r="F8138" s="508">
        <v>1.2999999999999999E-2</v>
      </c>
      <c r="G8138" s="508">
        <v>1.2999999999999999E-2</v>
      </c>
      <c r="H8138" s="508">
        <v>1.2999999999999999E-2</v>
      </c>
      <c r="I8138" s="508">
        <v>1.2999999999999999E-2</v>
      </c>
      <c r="J8138" s="508">
        <v>1.2999999999999999E-2</v>
      </c>
      <c r="K8138" s="508">
        <v>1.2999999999999999E-2</v>
      </c>
      <c r="L8138" s="508">
        <v>1.2999999999999999E-2</v>
      </c>
      <c r="M8138" s="508">
        <v>1.2999999999999999E-2</v>
      </c>
      <c r="N8138" s="508">
        <v>1.2999999999999999E-2</v>
      </c>
      <c r="O8138" s="508">
        <v>1.2999999999999999E-2</v>
      </c>
      <c r="P8138" s="508">
        <v>7.0000000000000001E-3</v>
      </c>
      <c r="Q8138" s="508">
        <v>7.0000000000000001E-3</v>
      </c>
      <c r="R8138" s="508">
        <v>7.0000000000000001E-3</v>
      </c>
      <c r="S8138" s="508">
        <v>7.0000000000000001E-3</v>
      </c>
      <c r="T8138" s="508">
        <v>7.0000000000000001E-3</v>
      </c>
      <c r="U8138" s="508">
        <v>7.0000000000000001E-3</v>
      </c>
      <c r="V8138" s="508">
        <v>7.0000000000000001E-3</v>
      </c>
      <c r="W8138" s="508">
        <v>7.0000000000000001E-3</v>
      </c>
      <c r="X8138" s="508">
        <v>7.0000000000000001E-3</v>
      </c>
      <c r="Y8138" s="508">
        <v>7.0000000000000001E-3</v>
      </c>
      <c r="Z8138" s="508">
        <v>7.0000000000000001E-3</v>
      </c>
      <c r="AA8138" s="508">
        <v>7.0000000000000001E-3</v>
      </c>
      <c r="AB8138" s="508">
        <v>7.0000000000000001E-3</v>
      </c>
      <c r="AC8138" s="508">
        <v>6.0000000000000001E-3</v>
      </c>
      <c r="AD8138" s="508">
        <v>7.0000000000000001E-3</v>
      </c>
      <c r="AE8138" s="508">
        <v>7.0000000000000001E-3</v>
      </c>
      <c r="AF8138" s="508">
        <v>5.0000000000000001E-3</v>
      </c>
      <c r="AG8138" s="508">
        <v>5.0000000000000001E-3</v>
      </c>
      <c r="AH8138" s="508">
        <v>5.0000000000000001E-3</v>
      </c>
      <c r="AI8138" s="492">
        <v>5.0000000000000001E-3</v>
      </c>
      <c r="AJ8138" s="485"/>
    </row>
    <row r="8139" spans="2:36">
      <c r="B8139" s="136" t="s">
        <v>440</v>
      </c>
      <c r="C8139" s="132" t="s">
        <v>1366</v>
      </c>
      <c r="D8139" s="132" t="s">
        <v>1384</v>
      </c>
      <c r="E8139" s="508">
        <v>8.0000000000000002E-3</v>
      </c>
      <c r="F8139" s="508">
        <v>1.2999999999999999E-2</v>
      </c>
      <c r="G8139" s="508">
        <v>1.2999999999999999E-2</v>
      </c>
      <c r="H8139" s="508">
        <v>1.2999999999999999E-2</v>
      </c>
      <c r="I8139" s="508">
        <v>1.2999999999999999E-2</v>
      </c>
      <c r="J8139" s="508">
        <v>1.2999999999999999E-2</v>
      </c>
      <c r="K8139" s="508">
        <v>1.2999999999999999E-2</v>
      </c>
      <c r="L8139" s="508">
        <v>1.2999999999999999E-2</v>
      </c>
      <c r="M8139" s="508">
        <v>1.2999999999999999E-2</v>
      </c>
      <c r="N8139" s="508">
        <v>1.2999999999999999E-2</v>
      </c>
      <c r="O8139" s="508">
        <v>1.2999999999999999E-2</v>
      </c>
      <c r="P8139" s="508">
        <v>7.0000000000000001E-3</v>
      </c>
      <c r="Q8139" s="508">
        <v>7.0000000000000001E-3</v>
      </c>
      <c r="R8139" s="508">
        <v>7.0000000000000001E-3</v>
      </c>
      <c r="S8139" s="508">
        <v>7.0000000000000001E-3</v>
      </c>
      <c r="T8139" s="508">
        <v>7.0000000000000001E-3</v>
      </c>
      <c r="U8139" s="508">
        <v>7.0000000000000001E-3</v>
      </c>
      <c r="V8139" s="508">
        <v>7.0000000000000001E-3</v>
      </c>
      <c r="W8139" s="508">
        <v>7.0000000000000001E-3</v>
      </c>
      <c r="X8139" s="508">
        <v>7.0000000000000001E-3</v>
      </c>
      <c r="Y8139" s="508">
        <v>6.0000000000000001E-3</v>
      </c>
      <c r="Z8139" s="508">
        <v>6.0000000000000001E-3</v>
      </c>
      <c r="AA8139" s="508">
        <v>6.0000000000000001E-3</v>
      </c>
      <c r="AB8139" s="508">
        <v>7.0000000000000001E-3</v>
      </c>
      <c r="AC8139" s="508">
        <v>6.0000000000000001E-3</v>
      </c>
      <c r="AD8139" s="508">
        <v>7.0000000000000001E-3</v>
      </c>
      <c r="AE8139" s="508">
        <v>7.0000000000000001E-3</v>
      </c>
      <c r="AF8139" s="508">
        <v>5.0000000000000001E-3</v>
      </c>
      <c r="AG8139" s="508">
        <v>5.0000000000000001E-3</v>
      </c>
      <c r="AH8139" s="508">
        <v>5.0000000000000001E-3</v>
      </c>
      <c r="AI8139" s="492">
        <v>5.0000000000000001E-3</v>
      </c>
      <c r="AJ8139" s="485"/>
    </row>
    <row r="8140" spans="2:36">
      <c r="B8140" s="136" t="s">
        <v>441</v>
      </c>
      <c r="C8140" s="132" t="s">
        <v>1366</v>
      </c>
      <c r="D8140" s="132" t="s">
        <v>1384</v>
      </c>
      <c r="E8140" s="508">
        <v>8.0000000000000002E-3</v>
      </c>
      <c r="F8140" s="508">
        <v>1.2999999999999999E-2</v>
      </c>
      <c r="G8140" s="508">
        <v>1.2999999999999999E-2</v>
      </c>
      <c r="H8140" s="508">
        <v>1.2999999999999999E-2</v>
      </c>
      <c r="I8140" s="508">
        <v>1.2999999999999999E-2</v>
      </c>
      <c r="J8140" s="508">
        <v>1.2999999999999999E-2</v>
      </c>
      <c r="K8140" s="508">
        <v>1.2999999999999999E-2</v>
      </c>
      <c r="L8140" s="508">
        <v>1.2999999999999999E-2</v>
      </c>
      <c r="M8140" s="508">
        <v>1.2999999999999999E-2</v>
      </c>
      <c r="N8140" s="508">
        <v>1.2999999999999999E-2</v>
      </c>
      <c r="O8140" s="508">
        <v>1.2999999999999999E-2</v>
      </c>
      <c r="P8140" s="508">
        <v>7.0000000000000001E-3</v>
      </c>
      <c r="Q8140" s="508">
        <v>7.0000000000000001E-3</v>
      </c>
      <c r="R8140" s="508">
        <v>7.0000000000000001E-3</v>
      </c>
      <c r="S8140" s="508">
        <v>7.0000000000000001E-3</v>
      </c>
      <c r="T8140" s="508">
        <v>7.0000000000000001E-3</v>
      </c>
      <c r="U8140" s="508">
        <v>7.0000000000000001E-3</v>
      </c>
      <c r="V8140" s="508">
        <v>7.0000000000000001E-3</v>
      </c>
      <c r="W8140" s="508">
        <v>7.0000000000000001E-3</v>
      </c>
      <c r="X8140" s="508">
        <v>7.0000000000000001E-3</v>
      </c>
      <c r="Y8140" s="508">
        <v>7.0000000000000001E-3</v>
      </c>
      <c r="Z8140" s="508">
        <v>6.0000000000000001E-3</v>
      </c>
      <c r="AA8140" s="508">
        <v>6.0000000000000001E-3</v>
      </c>
      <c r="AB8140" s="508">
        <v>7.0000000000000001E-3</v>
      </c>
      <c r="AC8140" s="508">
        <v>6.0000000000000001E-3</v>
      </c>
      <c r="AD8140" s="508">
        <v>7.0000000000000001E-3</v>
      </c>
      <c r="AE8140" s="508">
        <v>7.0000000000000001E-3</v>
      </c>
      <c r="AF8140" s="508">
        <v>5.0000000000000001E-3</v>
      </c>
      <c r="AG8140" s="508">
        <v>5.0000000000000001E-3</v>
      </c>
      <c r="AH8140" s="508">
        <v>5.0000000000000001E-3</v>
      </c>
      <c r="AI8140" s="492">
        <v>5.0000000000000001E-3</v>
      </c>
      <c r="AJ8140" s="485"/>
    </row>
    <row r="8141" spans="2:36">
      <c r="B8141" s="136" t="s">
        <v>443</v>
      </c>
      <c r="C8141" s="132" t="s">
        <v>1366</v>
      </c>
      <c r="D8141" s="132" t="s">
        <v>1384</v>
      </c>
      <c r="E8141" s="508">
        <v>8.0000000000000002E-3</v>
      </c>
      <c r="F8141" s="508">
        <v>1.4E-2</v>
      </c>
      <c r="G8141" s="508">
        <v>1.4E-2</v>
      </c>
      <c r="H8141" s="508">
        <v>1.4E-2</v>
      </c>
      <c r="I8141" s="508">
        <v>1.4E-2</v>
      </c>
      <c r="J8141" s="508">
        <v>1.4E-2</v>
      </c>
      <c r="K8141" s="508">
        <v>1.4E-2</v>
      </c>
      <c r="L8141" s="508">
        <v>1.4E-2</v>
      </c>
      <c r="M8141" s="508">
        <v>1.2999999999999999E-2</v>
      </c>
      <c r="N8141" s="508">
        <v>1.2999999999999999E-2</v>
      </c>
      <c r="O8141" s="508">
        <v>1.2999999999999999E-2</v>
      </c>
      <c r="P8141" s="508">
        <v>7.0000000000000001E-3</v>
      </c>
      <c r="Q8141" s="508">
        <v>7.0000000000000001E-3</v>
      </c>
      <c r="R8141" s="508">
        <v>7.0000000000000001E-3</v>
      </c>
      <c r="S8141" s="508">
        <v>7.0000000000000001E-3</v>
      </c>
      <c r="T8141" s="508">
        <v>7.0000000000000001E-3</v>
      </c>
      <c r="U8141" s="508">
        <v>7.0000000000000001E-3</v>
      </c>
      <c r="V8141" s="508">
        <v>7.0000000000000001E-3</v>
      </c>
      <c r="W8141" s="508">
        <v>7.0000000000000001E-3</v>
      </c>
      <c r="X8141" s="508">
        <v>7.0000000000000001E-3</v>
      </c>
      <c r="Y8141" s="508">
        <v>7.0000000000000001E-3</v>
      </c>
      <c r="Z8141" s="508">
        <v>7.0000000000000001E-3</v>
      </c>
      <c r="AA8141" s="508">
        <v>7.0000000000000001E-3</v>
      </c>
      <c r="AB8141" s="508">
        <v>7.0000000000000001E-3</v>
      </c>
      <c r="AC8141" s="508">
        <v>7.0000000000000001E-3</v>
      </c>
      <c r="AD8141" s="508">
        <v>7.0000000000000001E-3</v>
      </c>
      <c r="AE8141" s="508">
        <v>7.0000000000000001E-3</v>
      </c>
      <c r="AF8141" s="508">
        <v>5.0000000000000001E-3</v>
      </c>
      <c r="AG8141" s="508">
        <v>5.0000000000000001E-3</v>
      </c>
      <c r="AH8141" s="508">
        <v>5.0000000000000001E-3</v>
      </c>
      <c r="AI8141" s="492">
        <v>5.0000000000000001E-3</v>
      </c>
      <c r="AJ8141" s="485"/>
    </row>
    <row r="8142" spans="2:36">
      <c r="B8142" s="136" t="s">
        <v>445</v>
      </c>
      <c r="C8142" s="132" t="s">
        <v>1366</v>
      </c>
      <c r="D8142" s="132" t="s">
        <v>1384</v>
      </c>
      <c r="E8142" s="508">
        <v>8.0000000000000002E-3</v>
      </c>
      <c r="F8142" s="508">
        <v>1.4E-2</v>
      </c>
      <c r="G8142" s="508">
        <v>1.4E-2</v>
      </c>
      <c r="H8142" s="508">
        <v>1.4E-2</v>
      </c>
      <c r="I8142" s="508">
        <v>1.4E-2</v>
      </c>
      <c r="J8142" s="508">
        <v>1.4E-2</v>
      </c>
      <c r="K8142" s="508">
        <v>1.4E-2</v>
      </c>
      <c r="L8142" s="508">
        <v>1.4E-2</v>
      </c>
      <c r="M8142" s="508">
        <v>1.4E-2</v>
      </c>
      <c r="N8142" s="508">
        <v>1.4E-2</v>
      </c>
      <c r="O8142" s="508">
        <v>1.4E-2</v>
      </c>
      <c r="P8142" s="508">
        <v>7.0000000000000001E-3</v>
      </c>
      <c r="Q8142" s="508">
        <v>7.0000000000000001E-3</v>
      </c>
      <c r="R8142" s="508">
        <v>7.0000000000000001E-3</v>
      </c>
      <c r="S8142" s="508">
        <v>7.0000000000000001E-3</v>
      </c>
      <c r="T8142" s="508">
        <v>7.0000000000000001E-3</v>
      </c>
      <c r="U8142" s="508">
        <v>7.0000000000000001E-3</v>
      </c>
      <c r="V8142" s="508">
        <v>7.0000000000000001E-3</v>
      </c>
      <c r="W8142" s="508">
        <v>7.0000000000000001E-3</v>
      </c>
      <c r="X8142" s="508">
        <v>7.0000000000000001E-3</v>
      </c>
      <c r="Y8142" s="508">
        <v>7.0000000000000001E-3</v>
      </c>
      <c r="Z8142" s="508">
        <v>7.0000000000000001E-3</v>
      </c>
      <c r="AA8142" s="508">
        <v>7.0000000000000001E-3</v>
      </c>
      <c r="AB8142" s="508">
        <v>7.0000000000000001E-3</v>
      </c>
      <c r="AC8142" s="508">
        <v>7.0000000000000001E-3</v>
      </c>
      <c r="AD8142" s="508">
        <v>7.0000000000000001E-3</v>
      </c>
      <c r="AE8142" s="508">
        <v>7.0000000000000001E-3</v>
      </c>
      <c r="AF8142" s="508">
        <v>6.0000000000000001E-3</v>
      </c>
      <c r="AG8142" s="508">
        <v>5.0000000000000001E-3</v>
      </c>
      <c r="AH8142" s="508">
        <v>5.0000000000000001E-3</v>
      </c>
      <c r="AI8142" s="492">
        <v>5.0000000000000001E-3</v>
      </c>
      <c r="AJ8142" s="485"/>
    </row>
    <row r="8143" spans="2:36">
      <c r="B8143" s="136" t="s">
        <v>446</v>
      </c>
      <c r="C8143" s="132" t="s">
        <v>1366</v>
      </c>
      <c r="D8143" s="132" t="s">
        <v>1384</v>
      </c>
      <c r="E8143" s="508">
        <v>8.0000000000000002E-3</v>
      </c>
      <c r="F8143" s="508">
        <v>1.4E-2</v>
      </c>
      <c r="G8143" s="508">
        <v>1.4E-2</v>
      </c>
      <c r="H8143" s="508">
        <v>1.4E-2</v>
      </c>
      <c r="I8143" s="508">
        <v>1.4E-2</v>
      </c>
      <c r="J8143" s="508">
        <v>1.4E-2</v>
      </c>
      <c r="K8143" s="508">
        <v>1.4E-2</v>
      </c>
      <c r="L8143" s="508">
        <v>1.4E-2</v>
      </c>
      <c r="M8143" s="508">
        <v>1.4E-2</v>
      </c>
      <c r="N8143" s="508">
        <v>1.4E-2</v>
      </c>
      <c r="O8143" s="508">
        <v>1.4E-2</v>
      </c>
      <c r="P8143" s="508">
        <v>7.0000000000000001E-3</v>
      </c>
      <c r="Q8143" s="508">
        <v>7.0000000000000001E-3</v>
      </c>
      <c r="R8143" s="508">
        <v>7.0000000000000001E-3</v>
      </c>
      <c r="S8143" s="508">
        <v>7.0000000000000001E-3</v>
      </c>
      <c r="T8143" s="508">
        <v>7.0000000000000001E-3</v>
      </c>
      <c r="U8143" s="508">
        <v>7.0000000000000001E-3</v>
      </c>
      <c r="V8143" s="508">
        <v>7.0000000000000001E-3</v>
      </c>
      <c r="W8143" s="508">
        <v>7.0000000000000001E-3</v>
      </c>
      <c r="X8143" s="508">
        <v>7.0000000000000001E-3</v>
      </c>
      <c r="Y8143" s="508">
        <v>7.0000000000000001E-3</v>
      </c>
      <c r="Z8143" s="508">
        <v>7.0000000000000001E-3</v>
      </c>
      <c r="AA8143" s="508">
        <v>7.0000000000000001E-3</v>
      </c>
      <c r="AB8143" s="508">
        <v>7.0000000000000001E-3</v>
      </c>
      <c r="AC8143" s="508">
        <v>7.0000000000000001E-3</v>
      </c>
      <c r="AD8143" s="508">
        <v>7.0000000000000001E-3</v>
      </c>
      <c r="AE8143" s="508">
        <v>7.0000000000000001E-3</v>
      </c>
      <c r="AF8143" s="508">
        <v>6.0000000000000001E-3</v>
      </c>
      <c r="AG8143" s="508">
        <v>5.0000000000000001E-3</v>
      </c>
      <c r="AH8143" s="508">
        <v>5.0000000000000001E-3</v>
      </c>
      <c r="AI8143" s="492">
        <v>5.0000000000000001E-3</v>
      </c>
      <c r="AJ8143" s="485"/>
    </row>
    <row r="8144" spans="2:36">
      <c r="B8144" s="136" t="s">
        <v>448</v>
      </c>
      <c r="C8144" s="132" t="s">
        <v>1366</v>
      </c>
      <c r="D8144" s="132" t="s">
        <v>1384</v>
      </c>
      <c r="E8144" s="508">
        <v>8.0000000000000002E-3</v>
      </c>
      <c r="F8144" s="508">
        <v>1.2999999999999999E-2</v>
      </c>
      <c r="G8144" s="508">
        <v>1.2999999999999999E-2</v>
      </c>
      <c r="H8144" s="508">
        <v>1.2999999999999999E-2</v>
      </c>
      <c r="I8144" s="508">
        <v>1.2999999999999999E-2</v>
      </c>
      <c r="J8144" s="508">
        <v>1.2999999999999999E-2</v>
      </c>
      <c r="K8144" s="508">
        <v>1.2999999999999999E-2</v>
      </c>
      <c r="L8144" s="508">
        <v>1.2999999999999999E-2</v>
      </c>
      <c r="M8144" s="508">
        <v>1.2999999999999999E-2</v>
      </c>
      <c r="N8144" s="508">
        <v>1.2999999999999999E-2</v>
      </c>
      <c r="O8144" s="508">
        <v>1.2999999999999999E-2</v>
      </c>
      <c r="P8144" s="508">
        <v>7.0000000000000001E-3</v>
      </c>
      <c r="Q8144" s="508">
        <v>7.0000000000000001E-3</v>
      </c>
      <c r="R8144" s="508">
        <v>7.0000000000000001E-3</v>
      </c>
      <c r="S8144" s="508">
        <v>7.0000000000000001E-3</v>
      </c>
      <c r="T8144" s="508">
        <v>7.0000000000000001E-3</v>
      </c>
      <c r="U8144" s="508">
        <v>7.0000000000000001E-3</v>
      </c>
      <c r="V8144" s="508">
        <v>7.0000000000000001E-3</v>
      </c>
      <c r="W8144" s="508">
        <v>7.0000000000000001E-3</v>
      </c>
      <c r="X8144" s="508">
        <v>7.0000000000000001E-3</v>
      </c>
      <c r="Y8144" s="508">
        <v>7.0000000000000001E-3</v>
      </c>
      <c r="Z8144" s="508">
        <v>6.0000000000000001E-3</v>
      </c>
      <c r="AA8144" s="508">
        <v>6.0000000000000001E-3</v>
      </c>
      <c r="AB8144" s="508">
        <v>7.0000000000000001E-3</v>
      </c>
      <c r="AC8144" s="508">
        <v>6.0000000000000001E-3</v>
      </c>
      <c r="AD8144" s="508">
        <v>7.0000000000000001E-3</v>
      </c>
      <c r="AE8144" s="508">
        <v>7.0000000000000001E-3</v>
      </c>
      <c r="AF8144" s="508">
        <v>5.0000000000000001E-3</v>
      </c>
      <c r="AG8144" s="508">
        <v>5.0000000000000001E-3</v>
      </c>
      <c r="AH8144" s="508">
        <v>5.0000000000000001E-3</v>
      </c>
      <c r="AI8144" s="492">
        <v>5.0000000000000001E-3</v>
      </c>
      <c r="AJ8144" s="485"/>
    </row>
    <row r="8145" spans="2:36">
      <c r="B8145" s="136" t="s">
        <v>449</v>
      </c>
      <c r="C8145" s="132" t="s">
        <v>1366</v>
      </c>
      <c r="D8145" s="132" t="s">
        <v>1384</v>
      </c>
      <c r="E8145" s="508">
        <v>8.0000000000000002E-3</v>
      </c>
      <c r="F8145" s="508">
        <v>1.4E-2</v>
      </c>
      <c r="G8145" s="508">
        <v>1.4E-2</v>
      </c>
      <c r="H8145" s="508">
        <v>1.4E-2</v>
      </c>
      <c r="I8145" s="508">
        <v>1.4E-2</v>
      </c>
      <c r="J8145" s="508">
        <v>1.4E-2</v>
      </c>
      <c r="K8145" s="508">
        <v>1.4E-2</v>
      </c>
      <c r="L8145" s="508">
        <v>1.4E-2</v>
      </c>
      <c r="M8145" s="508">
        <v>1.4E-2</v>
      </c>
      <c r="N8145" s="508">
        <v>1.4E-2</v>
      </c>
      <c r="O8145" s="508">
        <v>1.4E-2</v>
      </c>
      <c r="P8145" s="508">
        <v>7.0000000000000001E-3</v>
      </c>
      <c r="Q8145" s="508">
        <v>7.0000000000000001E-3</v>
      </c>
      <c r="R8145" s="508">
        <v>7.0000000000000001E-3</v>
      </c>
      <c r="S8145" s="508">
        <v>7.0000000000000001E-3</v>
      </c>
      <c r="T8145" s="508">
        <v>7.0000000000000001E-3</v>
      </c>
      <c r="U8145" s="508">
        <v>7.0000000000000001E-3</v>
      </c>
      <c r="V8145" s="508">
        <v>7.0000000000000001E-3</v>
      </c>
      <c r="W8145" s="508">
        <v>7.0000000000000001E-3</v>
      </c>
      <c r="X8145" s="508">
        <v>7.0000000000000001E-3</v>
      </c>
      <c r="Y8145" s="508">
        <v>7.0000000000000001E-3</v>
      </c>
      <c r="Z8145" s="508">
        <v>7.0000000000000001E-3</v>
      </c>
      <c r="AA8145" s="508">
        <v>7.0000000000000001E-3</v>
      </c>
      <c r="AB8145" s="508">
        <v>7.0000000000000001E-3</v>
      </c>
      <c r="AC8145" s="508">
        <v>7.0000000000000001E-3</v>
      </c>
      <c r="AD8145" s="508">
        <v>7.0000000000000001E-3</v>
      </c>
      <c r="AE8145" s="508">
        <v>7.0000000000000001E-3</v>
      </c>
      <c r="AF8145" s="508">
        <v>5.0000000000000001E-3</v>
      </c>
      <c r="AG8145" s="508">
        <v>5.0000000000000001E-3</v>
      </c>
      <c r="AH8145" s="508">
        <v>5.0000000000000001E-3</v>
      </c>
      <c r="AI8145" s="492">
        <v>5.0000000000000001E-3</v>
      </c>
      <c r="AJ8145" s="485"/>
    </row>
    <row r="8146" spans="2:36">
      <c r="B8146" s="136" t="s">
        <v>450</v>
      </c>
      <c r="C8146" s="132" t="s">
        <v>1366</v>
      </c>
      <c r="D8146" s="132" t="s">
        <v>1384</v>
      </c>
      <c r="E8146" s="508">
        <v>8.0000000000000002E-3</v>
      </c>
      <c r="F8146" s="508">
        <v>1.2999999999999999E-2</v>
      </c>
      <c r="G8146" s="508">
        <v>1.2999999999999999E-2</v>
      </c>
      <c r="H8146" s="508">
        <v>1.2999999999999999E-2</v>
      </c>
      <c r="I8146" s="508">
        <v>1.2999999999999999E-2</v>
      </c>
      <c r="J8146" s="508">
        <v>1.2999999999999999E-2</v>
      </c>
      <c r="K8146" s="508">
        <v>1.2999999999999999E-2</v>
      </c>
      <c r="L8146" s="508">
        <v>1.2999999999999999E-2</v>
      </c>
      <c r="M8146" s="508">
        <v>1.2999999999999999E-2</v>
      </c>
      <c r="N8146" s="508">
        <v>1.2999999999999999E-2</v>
      </c>
      <c r="O8146" s="508">
        <v>1.2999999999999999E-2</v>
      </c>
      <c r="P8146" s="508">
        <v>7.0000000000000001E-3</v>
      </c>
      <c r="Q8146" s="508">
        <v>7.0000000000000001E-3</v>
      </c>
      <c r="R8146" s="508">
        <v>7.0000000000000001E-3</v>
      </c>
      <c r="S8146" s="508">
        <v>7.0000000000000001E-3</v>
      </c>
      <c r="T8146" s="508">
        <v>6.0000000000000001E-3</v>
      </c>
      <c r="U8146" s="508">
        <v>6.0000000000000001E-3</v>
      </c>
      <c r="V8146" s="508">
        <v>6.0000000000000001E-3</v>
      </c>
      <c r="W8146" s="508">
        <v>6.0000000000000001E-3</v>
      </c>
      <c r="X8146" s="508">
        <v>6.0000000000000001E-3</v>
      </c>
      <c r="Y8146" s="508">
        <v>6.0000000000000001E-3</v>
      </c>
      <c r="Z8146" s="508">
        <v>6.0000000000000001E-3</v>
      </c>
      <c r="AA8146" s="508">
        <v>6.0000000000000001E-3</v>
      </c>
      <c r="AB8146" s="508">
        <v>6.0000000000000001E-3</v>
      </c>
      <c r="AC8146" s="508">
        <v>6.0000000000000001E-3</v>
      </c>
      <c r="AD8146" s="508">
        <v>6.0000000000000001E-3</v>
      </c>
      <c r="AE8146" s="508">
        <v>6.0000000000000001E-3</v>
      </c>
      <c r="AF8146" s="508">
        <v>5.0000000000000001E-3</v>
      </c>
      <c r="AG8146" s="508">
        <v>5.0000000000000001E-3</v>
      </c>
      <c r="AH8146" s="508">
        <v>5.0000000000000001E-3</v>
      </c>
      <c r="AI8146" s="492">
        <v>5.0000000000000001E-3</v>
      </c>
      <c r="AJ8146" s="485"/>
    </row>
    <row r="8147" spans="2:36">
      <c r="B8147" s="136" t="s">
        <v>451</v>
      </c>
      <c r="C8147" s="132" t="s">
        <v>1366</v>
      </c>
      <c r="D8147" s="132" t="s">
        <v>1384</v>
      </c>
      <c r="E8147" s="508">
        <v>8.0000000000000002E-3</v>
      </c>
      <c r="F8147" s="508">
        <v>1.4E-2</v>
      </c>
      <c r="G8147" s="508">
        <v>1.4E-2</v>
      </c>
      <c r="H8147" s="508">
        <v>1.4E-2</v>
      </c>
      <c r="I8147" s="508">
        <v>1.4E-2</v>
      </c>
      <c r="J8147" s="508">
        <v>1.4E-2</v>
      </c>
      <c r="K8147" s="508">
        <v>1.4E-2</v>
      </c>
      <c r="L8147" s="508">
        <v>1.4E-2</v>
      </c>
      <c r="M8147" s="508">
        <v>1.4E-2</v>
      </c>
      <c r="N8147" s="508">
        <v>1.4E-2</v>
      </c>
      <c r="O8147" s="508">
        <v>1.4E-2</v>
      </c>
      <c r="P8147" s="508">
        <v>7.0000000000000001E-3</v>
      </c>
      <c r="Q8147" s="508">
        <v>7.0000000000000001E-3</v>
      </c>
      <c r="R8147" s="508">
        <v>7.0000000000000001E-3</v>
      </c>
      <c r="S8147" s="508">
        <v>7.0000000000000001E-3</v>
      </c>
      <c r="T8147" s="508">
        <v>7.0000000000000001E-3</v>
      </c>
      <c r="U8147" s="508">
        <v>7.0000000000000001E-3</v>
      </c>
      <c r="V8147" s="508">
        <v>7.0000000000000001E-3</v>
      </c>
      <c r="W8147" s="508">
        <v>7.0000000000000001E-3</v>
      </c>
      <c r="X8147" s="508">
        <v>7.0000000000000001E-3</v>
      </c>
      <c r="Y8147" s="508">
        <v>7.0000000000000001E-3</v>
      </c>
      <c r="Z8147" s="508">
        <v>7.0000000000000001E-3</v>
      </c>
      <c r="AA8147" s="508">
        <v>7.0000000000000001E-3</v>
      </c>
      <c r="AB8147" s="508">
        <v>7.0000000000000001E-3</v>
      </c>
      <c r="AC8147" s="508">
        <v>7.0000000000000001E-3</v>
      </c>
      <c r="AD8147" s="508">
        <v>7.0000000000000001E-3</v>
      </c>
      <c r="AE8147" s="508">
        <v>7.0000000000000001E-3</v>
      </c>
      <c r="AF8147" s="508">
        <v>5.0000000000000001E-3</v>
      </c>
      <c r="AG8147" s="508">
        <v>5.0000000000000001E-3</v>
      </c>
      <c r="AH8147" s="508">
        <v>5.0000000000000001E-3</v>
      </c>
      <c r="AI8147" s="492">
        <v>5.0000000000000001E-3</v>
      </c>
      <c r="AJ8147" s="485"/>
    </row>
    <row r="8148" spans="2:36">
      <c r="B8148" s="136" t="s">
        <v>452</v>
      </c>
      <c r="C8148" s="132" t="s">
        <v>1366</v>
      </c>
      <c r="D8148" s="132" t="s">
        <v>1384</v>
      </c>
      <c r="E8148" s="508">
        <v>8.0000000000000002E-3</v>
      </c>
      <c r="F8148" s="508">
        <v>1.4E-2</v>
      </c>
      <c r="G8148" s="508">
        <v>1.4E-2</v>
      </c>
      <c r="H8148" s="508">
        <v>1.4E-2</v>
      </c>
      <c r="I8148" s="508">
        <v>1.4E-2</v>
      </c>
      <c r="J8148" s="508">
        <v>1.4E-2</v>
      </c>
      <c r="K8148" s="508">
        <v>1.4E-2</v>
      </c>
      <c r="L8148" s="508">
        <v>1.4E-2</v>
      </c>
      <c r="M8148" s="508">
        <v>1.2999999999999999E-2</v>
      </c>
      <c r="N8148" s="508">
        <v>1.2999999999999999E-2</v>
      </c>
      <c r="O8148" s="508">
        <v>1.2999999999999999E-2</v>
      </c>
      <c r="P8148" s="508">
        <v>7.0000000000000001E-3</v>
      </c>
      <c r="Q8148" s="508">
        <v>7.0000000000000001E-3</v>
      </c>
      <c r="R8148" s="508">
        <v>7.0000000000000001E-3</v>
      </c>
      <c r="S8148" s="508">
        <v>7.0000000000000001E-3</v>
      </c>
      <c r="T8148" s="508">
        <v>7.0000000000000001E-3</v>
      </c>
      <c r="U8148" s="508">
        <v>7.0000000000000001E-3</v>
      </c>
      <c r="V8148" s="508">
        <v>7.0000000000000001E-3</v>
      </c>
      <c r="W8148" s="508">
        <v>7.0000000000000001E-3</v>
      </c>
      <c r="X8148" s="508">
        <v>7.0000000000000001E-3</v>
      </c>
      <c r="Y8148" s="508">
        <v>7.0000000000000001E-3</v>
      </c>
      <c r="Z8148" s="508">
        <v>7.0000000000000001E-3</v>
      </c>
      <c r="AA8148" s="508">
        <v>7.0000000000000001E-3</v>
      </c>
      <c r="AB8148" s="508">
        <v>7.0000000000000001E-3</v>
      </c>
      <c r="AC8148" s="508">
        <v>7.0000000000000001E-3</v>
      </c>
      <c r="AD8148" s="508">
        <v>7.0000000000000001E-3</v>
      </c>
      <c r="AE8148" s="508">
        <v>7.0000000000000001E-3</v>
      </c>
      <c r="AF8148" s="508">
        <v>5.0000000000000001E-3</v>
      </c>
      <c r="AG8148" s="508">
        <v>5.0000000000000001E-3</v>
      </c>
      <c r="AH8148" s="508">
        <v>5.0000000000000001E-3</v>
      </c>
      <c r="AI8148" s="492">
        <v>5.0000000000000001E-3</v>
      </c>
      <c r="AJ8148" s="485"/>
    </row>
    <row r="8149" spans="2:36">
      <c r="B8149" s="136" t="s">
        <v>453</v>
      </c>
      <c r="C8149" s="132" t="s">
        <v>1366</v>
      </c>
      <c r="D8149" s="132" t="s">
        <v>1384</v>
      </c>
      <c r="E8149" s="508">
        <v>8.0000000000000002E-3</v>
      </c>
      <c r="F8149" s="508">
        <v>1.2999999999999999E-2</v>
      </c>
      <c r="G8149" s="508">
        <v>1.2999999999999999E-2</v>
      </c>
      <c r="H8149" s="508">
        <v>1.2999999999999999E-2</v>
      </c>
      <c r="I8149" s="508">
        <v>1.2999999999999999E-2</v>
      </c>
      <c r="J8149" s="508">
        <v>1.2999999999999999E-2</v>
      </c>
      <c r="K8149" s="508">
        <v>1.2999999999999999E-2</v>
      </c>
      <c r="L8149" s="508">
        <v>1.2999999999999999E-2</v>
      </c>
      <c r="M8149" s="508">
        <v>1.2999999999999999E-2</v>
      </c>
      <c r="N8149" s="508">
        <v>1.2999999999999999E-2</v>
      </c>
      <c r="O8149" s="508">
        <v>1.2999999999999999E-2</v>
      </c>
      <c r="P8149" s="508">
        <v>7.0000000000000001E-3</v>
      </c>
      <c r="Q8149" s="508">
        <v>7.0000000000000001E-3</v>
      </c>
      <c r="R8149" s="508">
        <v>7.0000000000000001E-3</v>
      </c>
      <c r="S8149" s="508">
        <v>6.0000000000000001E-3</v>
      </c>
      <c r="T8149" s="508">
        <v>6.0000000000000001E-3</v>
      </c>
      <c r="U8149" s="508">
        <v>6.0000000000000001E-3</v>
      </c>
      <c r="V8149" s="508">
        <v>6.0000000000000001E-3</v>
      </c>
      <c r="W8149" s="508">
        <v>6.0000000000000001E-3</v>
      </c>
      <c r="X8149" s="508">
        <v>6.0000000000000001E-3</v>
      </c>
      <c r="Y8149" s="508">
        <v>6.0000000000000001E-3</v>
      </c>
      <c r="Z8149" s="508">
        <v>6.0000000000000001E-3</v>
      </c>
      <c r="AA8149" s="508">
        <v>6.0000000000000001E-3</v>
      </c>
      <c r="AB8149" s="508">
        <v>6.0000000000000001E-3</v>
      </c>
      <c r="AC8149" s="508">
        <v>6.0000000000000001E-3</v>
      </c>
      <c r="AD8149" s="508">
        <v>6.0000000000000001E-3</v>
      </c>
      <c r="AE8149" s="508">
        <v>6.0000000000000001E-3</v>
      </c>
      <c r="AF8149" s="508">
        <v>5.0000000000000001E-3</v>
      </c>
      <c r="AG8149" s="508">
        <v>5.0000000000000001E-3</v>
      </c>
      <c r="AH8149" s="508">
        <v>5.0000000000000001E-3</v>
      </c>
      <c r="AI8149" s="492">
        <v>5.0000000000000001E-3</v>
      </c>
      <c r="AJ8149" s="485"/>
    </row>
    <row r="8150" spans="2:36">
      <c r="B8150" s="136" t="s">
        <v>454</v>
      </c>
      <c r="C8150" s="132" t="s">
        <v>1366</v>
      </c>
      <c r="D8150" s="132" t="s">
        <v>1384</v>
      </c>
      <c r="E8150" s="508">
        <v>8.0000000000000002E-3</v>
      </c>
      <c r="F8150" s="508">
        <v>1.2999999999999999E-2</v>
      </c>
      <c r="G8150" s="508">
        <v>1.2999999999999999E-2</v>
      </c>
      <c r="H8150" s="508">
        <v>1.2999999999999999E-2</v>
      </c>
      <c r="I8150" s="508">
        <v>1.2999999999999999E-2</v>
      </c>
      <c r="J8150" s="508">
        <v>1.2999999999999999E-2</v>
      </c>
      <c r="K8150" s="508">
        <v>1.2999999999999999E-2</v>
      </c>
      <c r="L8150" s="508">
        <v>1.2999999999999999E-2</v>
      </c>
      <c r="M8150" s="508">
        <v>1.2999999999999999E-2</v>
      </c>
      <c r="N8150" s="508">
        <v>1.2999999999999999E-2</v>
      </c>
      <c r="O8150" s="508">
        <v>1.2999999999999999E-2</v>
      </c>
      <c r="P8150" s="508">
        <v>7.0000000000000001E-3</v>
      </c>
      <c r="Q8150" s="508">
        <v>7.0000000000000001E-3</v>
      </c>
      <c r="R8150" s="508">
        <v>7.0000000000000001E-3</v>
      </c>
      <c r="S8150" s="508">
        <v>7.0000000000000001E-3</v>
      </c>
      <c r="T8150" s="508">
        <v>7.0000000000000001E-3</v>
      </c>
      <c r="U8150" s="508">
        <v>7.0000000000000001E-3</v>
      </c>
      <c r="V8150" s="508">
        <v>6.0000000000000001E-3</v>
      </c>
      <c r="W8150" s="508">
        <v>6.0000000000000001E-3</v>
      </c>
      <c r="X8150" s="508">
        <v>6.0000000000000001E-3</v>
      </c>
      <c r="Y8150" s="508">
        <v>6.0000000000000001E-3</v>
      </c>
      <c r="Z8150" s="508">
        <v>6.0000000000000001E-3</v>
      </c>
      <c r="AA8150" s="508">
        <v>6.0000000000000001E-3</v>
      </c>
      <c r="AB8150" s="508">
        <v>6.0000000000000001E-3</v>
      </c>
      <c r="AC8150" s="508">
        <v>6.0000000000000001E-3</v>
      </c>
      <c r="AD8150" s="508">
        <v>6.0000000000000001E-3</v>
      </c>
      <c r="AE8150" s="508">
        <v>7.0000000000000001E-3</v>
      </c>
      <c r="AF8150" s="508">
        <v>5.0000000000000001E-3</v>
      </c>
      <c r="AG8150" s="508">
        <v>5.0000000000000001E-3</v>
      </c>
      <c r="AH8150" s="508">
        <v>5.0000000000000001E-3</v>
      </c>
      <c r="AI8150" s="492">
        <v>5.0000000000000001E-3</v>
      </c>
      <c r="AJ8150" s="485"/>
    </row>
    <row r="8151" spans="2:36">
      <c r="B8151" s="136" t="s">
        <v>455</v>
      </c>
      <c r="C8151" s="132" t="s">
        <v>1366</v>
      </c>
      <c r="D8151" s="132" t="s">
        <v>1384</v>
      </c>
      <c r="E8151" s="508">
        <v>8.0000000000000002E-3</v>
      </c>
      <c r="F8151" s="508">
        <v>1.2999999999999999E-2</v>
      </c>
      <c r="G8151" s="508">
        <v>1.2999999999999999E-2</v>
      </c>
      <c r="H8151" s="508">
        <v>1.2999999999999999E-2</v>
      </c>
      <c r="I8151" s="508">
        <v>1.2999999999999999E-2</v>
      </c>
      <c r="J8151" s="508">
        <v>1.2999999999999999E-2</v>
      </c>
      <c r="K8151" s="508">
        <v>1.2999999999999999E-2</v>
      </c>
      <c r="L8151" s="508">
        <v>1.2999999999999999E-2</v>
      </c>
      <c r="M8151" s="508">
        <v>1.2999999999999999E-2</v>
      </c>
      <c r="N8151" s="508">
        <v>1.2999999999999999E-2</v>
      </c>
      <c r="O8151" s="508">
        <v>1.2999999999999999E-2</v>
      </c>
      <c r="P8151" s="508">
        <v>7.0000000000000001E-3</v>
      </c>
      <c r="Q8151" s="508">
        <v>7.0000000000000001E-3</v>
      </c>
      <c r="R8151" s="508">
        <v>6.0000000000000001E-3</v>
      </c>
      <c r="S8151" s="508">
        <v>6.0000000000000001E-3</v>
      </c>
      <c r="T8151" s="508">
        <v>6.0000000000000001E-3</v>
      </c>
      <c r="U8151" s="508">
        <v>6.0000000000000001E-3</v>
      </c>
      <c r="V8151" s="508">
        <v>6.0000000000000001E-3</v>
      </c>
      <c r="W8151" s="508">
        <v>6.0000000000000001E-3</v>
      </c>
      <c r="X8151" s="508">
        <v>6.0000000000000001E-3</v>
      </c>
      <c r="Y8151" s="508">
        <v>6.0000000000000001E-3</v>
      </c>
      <c r="Z8151" s="508">
        <v>6.0000000000000001E-3</v>
      </c>
      <c r="AA8151" s="508">
        <v>6.0000000000000001E-3</v>
      </c>
      <c r="AB8151" s="508">
        <v>6.0000000000000001E-3</v>
      </c>
      <c r="AC8151" s="508">
        <v>6.0000000000000001E-3</v>
      </c>
      <c r="AD8151" s="508">
        <v>6.0000000000000001E-3</v>
      </c>
      <c r="AE8151" s="508">
        <v>6.0000000000000001E-3</v>
      </c>
      <c r="AF8151" s="508">
        <v>5.0000000000000001E-3</v>
      </c>
      <c r="AG8151" s="508">
        <v>5.0000000000000001E-3</v>
      </c>
      <c r="AH8151" s="508">
        <v>5.0000000000000001E-3</v>
      </c>
      <c r="AI8151" s="492">
        <v>5.0000000000000001E-3</v>
      </c>
      <c r="AJ8151" s="485"/>
    </row>
    <row r="8152" spans="2:36">
      <c r="B8152" s="136" t="s">
        <v>456</v>
      </c>
      <c r="C8152" s="132" t="s">
        <v>1366</v>
      </c>
      <c r="D8152" s="132" t="s">
        <v>1384</v>
      </c>
      <c r="E8152" s="508">
        <v>8.0000000000000002E-3</v>
      </c>
      <c r="F8152" s="508">
        <v>1.4E-2</v>
      </c>
      <c r="G8152" s="508">
        <v>1.4E-2</v>
      </c>
      <c r="H8152" s="508">
        <v>1.4E-2</v>
      </c>
      <c r="I8152" s="508">
        <v>1.4E-2</v>
      </c>
      <c r="J8152" s="508">
        <v>1.4E-2</v>
      </c>
      <c r="K8152" s="508">
        <v>1.4E-2</v>
      </c>
      <c r="L8152" s="508">
        <v>1.4E-2</v>
      </c>
      <c r="M8152" s="508">
        <v>1.4E-2</v>
      </c>
      <c r="N8152" s="508">
        <v>1.2999999999999999E-2</v>
      </c>
      <c r="O8152" s="508">
        <v>1.2999999999999999E-2</v>
      </c>
      <c r="P8152" s="508">
        <v>7.0000000000000001E-3</v>
      </c>
      <c r="Q8152" s="508">
        <v>7.0000000000000001E-3</v>
      </c>
      <c r="R8152" s="508">
        <v>7.0000000000000001E-3</v>
      </c>
      <c r="S8152" s="508">
        <v>7.0000000000000001E-3</v>
      </c>
      <c r="T8152" s="508">
        <v>7.0000000000000001E-3</v>
      </c>
      <c r="U8152" s="508">
        <v>7.0000000000000001E-3</v>
      </c>
      <c r="V8152" s="508">
        <v>7.0000000000000001E-3</v>
      </c>
      <c r="W8152" s="508">
        <v>7.0000000000000001E-3</v>
      </c>
      <c r="X8152" s="508">
        <v>7.0000000000000001E-3</v>
      </c>
      <c r="Y8152" s="508">
        <v>7.0000000000000001E-3</v>
      </c>
      <c r="Z8152" s="508">
        <v>7.0000000000000001E-3</v>
      </c>
      <c r="AA8152" s="508">
        <v>7.0000000000000001E-3</v>
      </c>
      <c r="AB8152" s="508">
        <v>7.0000000000000001E-3</v>
      </c>
      <c r="AC8152" s="508">
        <v>7.0000000000000001E-3</v>
      </c>
      <c r="AD8152" s="508">
        <v>7.0000000000000001E-3</v>
      </c>
      <c r="AE8152" s="508">
        <v>7.0000000000000001E-3</v>
      </c>
      <c r="AF8152" s="508">
        <v>5.0000000000000001E-3</v>
      </c>
      <c r="AG8152" s="508">
        <v>5.0000000000000001E-3</v>
      </c>
      <c r="AH8152" s="508">
        <v>5.0000000000000001E-3</v>
      </c>
      <c r="AI8152" s="492">
        <v>5.0000000000000001E-3</v>
      </c>
      <c r="AJ8152" s="485"/>
    </row>
    <row r="8153" spans="2:36">
      <c r="B8153" s="136" t="s">
        <v>457</v>
      </c>
      <c r="C8153" s="132" t="s">
        <v>1366</v>
      </c>
      <c r="D8153" s="132" t="s">
        <v>1384</v>
      </c>
      <c r="E8153" s="508">
        <v>8.0000000000000002E-3</v>
      </c>
      <c r="F8153" s="508">
        <v>1.2999999999999999E-2</v>
      </c>
      <c r="G8153" s="508">
        <v>1.2999999999999999E-2</v>
      </c>
      <c r="H8153" s="508">
        <v>1.2999999999999999E-2</v>
      </c>
      <c r="I8153" s="508">
        <v>1.2999999999999999E-2</v>
      </c>
      <c r="J8153" s="508">
        <v>1.2999999999999999E-2</v>
      </c>
      <c r="K8153" s="508">
        <v>1.2999999999999999E-2</v>
      </c>
      <c r="L8153" s="508">
        <v>1.2999999999999999E-2</v>
      </c>
      <c r="M8153" s="508">
        <v>1.2999999999999999E-2</v>
      </c>
      <c r="N8153" s="508">
        <v>1.2999999999999999E-2</v>
      </c>
      <c r="O8153" s="508">
        <v>1.2999999999999999E-2</v>
      </c>
      <c r="P8153" s="508">
        <v>6.0000000000000001E-3</v>
      </c>
      <c r="Q8153" s="508">
        <v>6.0000000000000001E-3</v>
      </c>
      <c r="R8153" s="508">
        <v>6.0000000000000001E-3</v>
      </c>
      <c r="S8153" s="508">
        <v>6.0000000000000001E-3</v>
      </c>
      <c r="T8153" s="508">
        <v>6.0000000000000001E-3</v>
      </c>
      <c r="U8153" s="508">
        <v>6.0000000000000001E-3</v>
      </c>
      <c r="V8153" s="508">
        <v>6.0000000000000001E-3</v>
      </c>
      <c r="W8153" s="508">
        <v>6.0000000000000001E-3</v>
      </c>
      <c r="X8153" s="508">
        <v>6.0000000000000001E-3</v>
      </c>
      <c r="Y8153" s="508">
        <v>6.0000000000000001E-3</v>
      </c>
      <c r="Z8153" s="508">
        <v>6.0000000000000001E-3</v>
      </c>
      <c r="AA8153" s="508">
        <v>6.0000000000000001E-3</v>
      </c>
      <c r="AB8153" s="508">
        <v>6.0000000000000001E-3</v>
      </c>
      <c r="AC8153" s="508">
        <v>6.0000000000000001E-3</v>
      </c>
      <c r="AD8153" s="508">
        <v>6.0000000000000001E-3</v>
      </c>
      <c r="AE8153" s="508">
        <v>6.0000000000000001E-3</v>
      </c>
      <c r="AF8153" s="508">
        <v>5.0000000000000001E-3</v>
      </c>
      <c r="AG8153" s="508">
        <v>5.0000000000000001E-3</v>
      </c>
      <c r="AH8153" s="508">
        <v>5.0000000000000001E-3</v>
      </c>
      <c r="AI8153" s="492">
        <v>5.0000000000000001E-3</v>
      </c>
      <c r="AJ8153" s="485"/>
    </row>
    <row r="8154" spans="2:36">
      <c r="B8154" s="136" t="s">
        <v>458</v>
      </c>
      <c r="C8154" s="132" t="s">
        <v>1366</v>
      </c>
      <c r="D8154" s="132" t="s">
        <v>1384</v>
      </c>
      <c r="E8154" s="508">
        <v>8.0000000000000002E-3</v>
      </c>
      <c r="F8154" s="508">
        <v>1.2999999999999999E-2</v>
      </c>
      <c r="G8154" s="508">
        <v>1.2999999999999999E-2</v>
      </c>
      <c r="H8154" s="508">
        <v>1.2999999999999999E-2</v>
      </c>
      <c r="I8154" s="508">
        <v>1.2999999999999999E-2</v>
      </c>
      <c r="J8154" s="508">
        <v>1.2999999999999999E-2</v>
      </c>
      <c r="K8154" s="508">
        <v>1.2999999999999999E-2</v>
      </c>
      <c r="L8154" s="508">
        <v>1.2999999999999999E-2</v>
      </c>
      <c r="M8154" s="508">
        <v>1.2999999999999999E-2</v>
      </c>
      <c r="N8154" s="508">
        <v>1.2999999999999999E-2</v>
      </c>
      <c r="O8154" s="508">
        <v>1.2999999999999999E-2</v>
      </c>
      <c r="P8154" s="508">
        <v>7.0000000000000001E-3</v>
      </c>
      <c r="Q8154" s="508">
        <v>7.0000000000000001E-3</v>
      </c>
      <c r="R8154" s="508">
        <v>7.0000000000000001E-3</v>
      </c>
      <c r="S8154" s="508">
        <v>7.0000000000000001E-3</v>
      </c>
      <c r="T8154" s="508">
        <v>7.0000000000000001E-3</v>
      </c>
      <c r="U8154" s="508">
        <v>7.0000000000000001E-3</v>
      </c>
      <c r="V8154" s="508">
        <v>7.0000000000000001E-3</v>
      </c>
      <c r="W8154" s="508">
        <v>7.0000000000000001E-3</v>
      </c>
      <c r="X8154" s="508">
        <v>7.0000000000000001E-3</v>
      </c>
      <c r="Y8154" s="508">
        <v>7.0000000000000001E-3</v>
      </c>
      <c r="Z8154" s="508">
        <v>7.0000000000000001E-3</v>
      </c>
      <c r="AA8154" s="508">
        <v>6.0000000000000001E-3</v>
      </c>
      <c r="AB8154" s="508">
        <v>7.0000000000000001E-3</v>
      </c>
      <c r="AC8154" s="508">
        <v>6.0000000000000001E-3</v>
      </c>
      <c r="AD8154" s="508">
        <v>7.0000000000000001E-3</v>
      </c>
      <c r="AE8154" s="508">
        <v>7.0000000000000001E-3</v>
      </c>
      <c r="AF8154" s="508">
        <v>5.0000000000000001E-3</v>
      </c>
      <c r="AG8154" s="508">
        <v>5.0000000000000001E-3</v>
      </c>
      <c r="AH8154" s="508">
        <v>5.0000000000000001E-3</v>
      </c>
      <c r="AI8154" s="492">
        <v>5.0000000000000001E-3</v>
      </c>
      <c r="AJ8154" s="485"/>
    </row>
    <row r="8155" spans="2:36">
      <c r="B8155" s="136" t="s">
        <v>459</v>
      </c>
      <c r="C8155" s="132" t="s">
        <v>1366</v>
      </c>
      <c r="D8155" s="132" t="s">
        <v>1384</v>
      </c>
      <c r="E8155" s="508">
        <v>8.0000000000000002E-3</v>
      </c>
      <c r="F8155" s="508">
        <v>1.2999999999999999E-2</v>
      </c>
      <c r="G8155" s="508">
        <v>1.2999999999999999E-2</v>
      </c>
      <c r="H8155" s="508">
        <v>1.2999999999999999E-2</v>
      </c>
      <c r="I8155" s="508">
        <v>1.2999999999999999E-2</v>
      </c>
      <c r="J8155" s="508">
        <v>1.2999999999999999E-2</v>
      </c>
      <c r="K8155" s="508">
        <v>1.2999999999999999E-2</v>
      </c>
      <c r="L8155" s="508">
        <v>1.2999999999999999E-2</v>
      </c>
      <c r="M8155" s="508">
        <v>1.2999999999999999E-2</v>
      </c>
      <c r="N8155" s="508">
        <v>1.2999999999999999E-2</v>
      </c>
      <c r="O8155" s="508">
        <v>1.2999999999999999E-2</v>
      </c>
      <c r="P8155" s="508">
        <v>7.0000000000000001E-3</v>
      </c>
      <c r="Q8155" s="508">
        <v>7.0000000000000001E-3</v>
      </c>
      <c r="R8155" s="508">
        <v>7.0000000000000001E-3</v>
      </c>
      <c r="S8155" s="508">
        <v>7.0000000000000001E-3</v>
      </c>
      <c r="T8155" s="508">
        <v>7.0000000000000001E-3</v>
      </c>
      <c r="U8155" s="508">
        <v>7.0000000000000001E-3</v>
      </c>
      <c r="V8155" s="508">
        <v>6.0000000000000001E-3</v>
      </c>
      <c r="W8155" s="508">
        <v>6.0000000000000001E-3</v>
      </c>
      <c r="X8155" s="508">
        <v>6.0000000000000001E-3</v>
      </c>
      <c r="Y8155" s="508">
        <v>6.0000000000000001E-3</v>
      </c>
      <c r="Z8155" s="508">
        <v>6.0000000000000001E-3</v>
      </c>
      <c r="AA8155" s="508">
        <v>6.0000000000000001E-3</v>
      </c>
      <c r="AB8155" s="508">
        <v>6.0000000000000001E-3</v>
      </c>
      <c r="AC8155" s="508">
        <v>6.0000000000000001E-3</v>
      </c>
      <c r="AD8155" s="508">
        <v>6.0000000000000001E-3</v>
      </c>
      <c r="AE8155" s="508">
        <v>7.0000000000000001E-3</v>
      </c>
      <c r="AF8155" s="508">
        <v>5.0000000000000001E-3</v>
      </c>
      <c r="AG8155" s="508">
        <v>5.0000000000000001E-3</v>
      </c>
      <c r="AH8155" s="508">
        <v>5.0000000000000001E-3</v>
      </c>
      <c r="AI8155" s="492">
        <v>5.0000000000000001E-3</v>
      </c>
      <c r="AJ8155" s="485"/>
    </row>
    <row r="8156" spans="2:36">
      <c r="B8156" s="136" t="s">
        <v>460</v>
      </c>
      <c r="C8156" s="132" t="s">
        <v>1366</v>
      </c>
      <c r="D8156" s="132" t="s">
        <v>1384</v>
      </c>
      <c r="E8156" s="508">
        <v>8.0000000000000002E-3</v>
      </c>
      <c r="F8156" s="508">
        <v>1.4E-2</v>
      </c>
      <c r="G8156" s="508">
        <v>1.4E-2</v>
      </c>
      <c r="H8156" s="508">
        <v>1.4E-2</v>
      </c>
      <c r="I8156" s="508">
        <v>1.2999999999999999E-2</v>
      </c>
      <c r="J8156" s="508">
        <v>1.2999999999999999E-2</v>
      </c>
      <c r="K8156" s="508">
        <v>1.2999999999999999E-2</v>
      </c>
      <c r="L8156" s="508">
        <v>1.2999999999999999E-2</v>
      </c>
      <c r="M8156" s="508">
        <v>1.2999999999999999E-2</v>
      </c>
      <c r="N8156" s="508">
        <v>1.2999999999999999E-2</v>
      </c>
      <c r="O8156" s="508">
        <v>1.2999999999999999E-2</v>
      </c>
      <c r="P8156" s="508">
        <v>7.0000000000000001E-3</v>
      </c>
      <c r="Q8156" s="508">
        <v>7.0000000000000001E-3</v>
      </c>
      <c r="R8156" s="508">
        <v>7.0000000000000001E-3</v>
      </c>
      <c r="S8156" s="508">
        <v>7.0000000000000001E-3</v>
      </c>
      <c r="T8156" s="508">
        <v>7.0000000000000001E-3</v>
      </c>
      <c r="U8156" s="508">
        <v>7.0000000000000001E-3</v>
      </c>
      <c r="V8156" s="508">
        <v>7.0000000000000001E-3</v>
      </c>
      <c r="W8156" s="508">
        <v>7.0000000000000001E-3</v>
      </c>
      <c r="X8156" s="508">
        <v>7.0000000000000001E-3</v>
      </c>
      <c r="Y8156" s="508">
        <v>7.0000000000000001E-3</v>
      </c>
      <c r="Z8156" s="508">
        <v>7.0000000000000001E-3</v>
      </c>
      <c r="AA8156" s="508">
        <v>7.0000000000000001E-3</v>
      </c>
      <c r="AB8156" s="508">
        <v>7.0000000000000001E-3</v>
      </c>
      <c r="AC8156" s="508">
        <v>6.0000000000000001E-3</v>
      </c>
      <c r="AD8156" s="508">
        <v>7.0000000000000001E-3</v>
      </c>
      <c r="AE8156" s="508">
        <v>7.0000000000000001E-3</v>
      </c>
      <c r="AF8156" s="508">
        <v>5.0000000000000001E-3</v>
      </c>
      <c r="AG8156" s="508">
        <v>5.0000000000000001E-3</v>
      </c>
      <c r="AH8156" s="508">
        <v>5.0000000000000001E-3</v>
      </c>
      <c r="AI8156" s="492">
        <v>5.0000000000000001E-3</v>
      </c>
      <c r="AJ8156" s="485"/>
    </row>
    <row r="8157" spans="2:36">
      <c r="B8157" s="136" t="s">
        <v>461</v>
      </c>
      <c r="C8157" s="132" t="s">
        <v>1366</v>
      </c>
      <c r="D8157" s="132" t="s">
        <v>1384</v>
      </c>
      <c r="E8157" s="508">
        <v>8.0000000000000002E-3</v>
      </c>
      <c r="F8157" s="508">
        <v>1.2999999999999999E-2</v>
      </c>
      <c r="G8157" s="508">
        <v>1.2999999999999999E-2</v>
      </c>
      <c r="H8157" s="508">
        <v>1.2999999999999999E-2</v>
      </c>
      <c r="I8157" s="508">
        <v>1.2999999999999999E-2</v>
      </c>
      <c r="J8157" s="508">
        <v>1.2999999999999999E-2</v>
      </c>
      <c r="K8157" s="508">
        <v>1.2999999999999999E-2</v>
      </c>
      <c r="L8157" s="508">
        <v>1.2999999999999999E-2</v>
      </c>
      <c r="M8157" s="508">
        <v>1.2999999999999999E-2</v>
      </c>
      <c r="N8157" s="508">
        <v>1.2999999999999999E-2</v>
      </c>
      <c r="O8157" s="508">
        <v>1.2999999999999999E-2</v>
      </c>
      <c r="P8157" s="508">
        <v>7.0000000000000001E-3</v>
      </c>
      <c r="Q8157" s="508">
        <v>7.0000000000000001E-3</v>
      </c>
      <c r="R8157" s="508">
        <v>7.0000000000000001E-3</v>
      </c>
      <c r="S8157" s="508">
        <v>7.0000000000000001E-3</v>
      </c>
      <c r="T8157" s="508">
        <v>6.0000000000000001E-3</v>
      </c>
      <c r="U8157" s="508">
        <v>6.0000000000000001E-3</v>
      </c>
      <c r="V8157" s="508">
        <v>6.0000000000000001E-3</v>
      </c>
      <c r="W8157" s="508">
        <v>6.0000000000000001E-3</v>
      </c>
      <c r="X8157" s="508">
        <v>6.0000000000000001E-3</v>
      </c>
      <c r="Y8157" s="508">
        <v>6.0000000000000001E-3</v>
      </c>
      <c r="Z8157" s="508">
        <v>6.0000000000000001E-3</v>
      </c>
      <c r="AA8157" s="508">
        <v>6.0000000000000001E-3</v>
      </c>
      <c r="AB8157" s="508">
        <v>6.0000000000000001E-3</v>
      </c>
      <c r="AC8157" s="508">
        <v>6.0000000000000001E-3</v>
      </c>
      <c r="AD8157" s="508">
        <v>6.0000000000000001E-3</v>
      </c>
      <c r="AE8157" s="508">
        <v>6.0000000000000001E-3</v>
      </c>
      <c r="AF8157" s="508">
        <v>5.0000000000000001E-3</v>
      </c>
      <c r="AG8157" s="508">
        <v>5.0000000000000001E-3</v>
      </c>
      <c r="AH8157" s="508">
        <v>5.0000000000000001E-3</v>
      </c>
      <c r="AI8157" s="492">
        <v>5.0000000000000001E-3</v>
      </c>
      <c r="AJ8157" s="485"/>
    </row>
    <row r="8158" spans="2:36">
      <c r="B8158" s="136" t="s">
        <v>462</v>
      </c>
      <c r="C8158" s="132" t="s">
        <v>1366</v>
      </c>
      <c r="D8158" s="132" t="s">
        <v>1384</v>
      </c>
      <c r="E8158" s="508">
        <v>8.0000000000000002E-3</v>
      </c>
      <c r="F8158" s="508">
        <v>1.2999999999999999E-2</v>
      </c>
      <c r="G8158" s="508">
        <v>1.2999999999999999E-2</v>
      </c>
      <c r="H8158" s="508">
        <v>1.2999999999999999E-2</v>
      </c>
      <c r="I8158" s="508">
        <v>1.2999999999999999E-2</v>
      </c>
      <c r="J8158" s="508">
        <v>1.2999999999999999E-2</v>
      </c>
      <c r="K8158" s="508">
        <v>1.2999999999999999E-2</v>
      </c>
      <c r="L8158" s="508">
        <v>1.2999999999999999E-2</v>
      </c>
      <c r="M8158" s="508">
        <v>1.2999999999999999E-2</v>
      </c>
      <c r="N8158" s="508">
        <v>1.2999999999999999E-2</v>
      </c>
      <c r="O8158" s="508">
        <v>1.2999999999999999E-2</v>
      </c>
      <c r="P8158" s="508">
        <v>7.0000000000000001E-3</v>
      </c>
      <c r="Q8158" s="508">
        <v>7.0000000000000001E-3</v>
      </c>
      <c r="R8158" s="508">
        <v>7.0000000000000001E-3</v>
      </c>
      <c r="S8158" s="508">
        <v>7.0000000000000001E-3</v>
      </c>
      <c r="T8158" s="508">
        <v>7.0000000000000001E-3</v>
      </c>
      <c r="U8158" s="508">
        <v>7.0000000000000001E-3</v>
      </c>
      <c r="V8158" s="508">
        <v>7.0000000000000001E-3</v>
      </c>
      <c r="W8158" s="508">
        <v>7.0000000000000001E-3</v>
      </c>
      <c r="X8158" s="508">
        <v>7.0000000000000001E-3</v>
      </c>
      <c r="Y8158" s="508">
        <v>7.0000000000000001E-3</v>
      </c>
      <c r="Z8158" s="508">
        <v>6.0000000000000001E-3</v>
      </c>
      <c r="AA8158" s="508">
        <v>6.0000000000000001E-3</v>
      </c>
      <c r="AB8158" s="508">
        <v>7.0000000000000001E-3</v>
      </c>
      <c r="AC8158" s="508">
        <v>6.0000000000000001E-3</v>
      </c>
      <c r="AD8158" s="508">
        <v>7.0000000000000001E-3</v>
      </c>
      <c r="AE8158" s="508">
        <v>7.0000000000000001E-3</v>
      </c>
      <c r="AF8158" s="508">
        <v>5.0000000000000001E-3</v>
      </c>
      <c r="AG8158" s="508">
        <v>5.0000000000000001E-3</v>
      </c>
      <c r="AH8158" s="508">
        <v>5.0000000000000001E-3</v>
      </c>
      <c r="AI8158" s="492">
        <v>5.0000000000000001E-3</v>
      </c>
      <c r="AJ8158" s="485"/>
    </row>
    <row r="8159" spans="2:36">
      <c r="B8159" s="136" t="s">
        <v>463</v>
      </c>
      <c r="C8159" s="132" t="s">
        <v>1366</v>
      </c>
      <c r="D8159" s="132" t="s">
        <v>1384</v>
      </c>
      <c r="E8159" s="508">
        <v>8.0000000000000002E-3</v>
      </c>
      <c r="F8159" s="508">
        <v>1.2999999999999999E-2</v>
      </c>
      <c r="G8159" s="508">
        <v>1.2999999999999999E-2</v>
      </c>
      <c r="H8159" s="508">
        <v>1.2999999999999999E-2</v>
      </c>
      <c r="I8159" s="508">
        <v>1.2999999999999999E-2</v>
      </c>
      <c r="J8159" s="508">
        <v>1.2999999999999999E-2</v>
      </c>
      <c r="K8159" s="508">
        <v>1.2999999999999999E-2</v>
      </c>
      <c r="L8159" s="508">
        <v>1.2999999999999999E-2</v>
      </c>
      <c r="M8159" s="508">
        <v>1.2999999999999999E-2</v>
      </c>
      <c r="N8159" s="508">
        <v>1.2999999999999999E-2</v>
      </c>
      <c r="O8159" s="508">
        <v>1.2999999999999999E-2</v>
      </c>
      <c r="P8159" s="508">
        <v>6.0000000000000001E-3</v>
      </c>
      <c r="Q8159" s="508">
        <v>6.0000000000000001E-3</v>
      </c>
      <c r="R8159" s="508">
        <v>6.0000000000000001E-3</v>
      </c>
      <c r="S8159" s="508">
        <v>6.0000000000000001E-3</v>
      </c>
      <c r="T8159" s="508">
        <v>6.0000000000000001E-3</v>
      </c>
      <c r="U8159" s="508">
        <v>6.0000000000000001E-3</v>
      </c>
      <c r="V8159" s="508">
        <v>6.0000000000000001E-3</v>
      </c>
      <c r="W8159" s="508">
        <v>6.0000000000000001E-3</v>
      </c>
      <c r="X8159" s="508">
        <v>6.0000000000000001E-3</v>
      </c>
      <c r="Y8159" s="508">
        <v>6.0000000000000001E-3</v>
      </c>
      <c r="Z8159" s="508">
        <v>6.0000000000000001E-3</v>
      </c>
      <c r="AA8159" s="508">
        <v>6.0000000000000001E-3</v>
      </c>
      <c r="AB8159" s="508">
        <v>6.0000000000000001E-3</v>
      </c>
      <c r="AC8159" s="508">
        <v>6.0000000000000001E-3</v>
      </c>
      <c r="AD8159" s="508">
        <v>6.0000000000000001E-3</v>
      </c>
      <c r="AE8159" s="508">
        <v>6.0000000000000001E-3</v>
      </c>
      <c r="AF8159" s="508">
        <v>5.0000000000000001E-3</v>
      </c>
      <c r="AG8159" s="508">
        <v>5.0000000000000001E-3</v>
      </c>
      <c r="AH8159" s="508">
        <v>5.0000000000000001E-3</v>
      </c>
      <c r="AI8159" s="492">
        <v>5.0000000000000001E-3</v>
      </c>
      <c r="AJ8159" s="485"/>
    </row>
    <row r="8160" spans="2:36">
      <c r="B8160" s="136" t="s">
        <v>464</v>
      </c>
      <c r="C8160" s="132" t="s">
        <v>1366</v>
      </c>
      <c r="D8160" s="132" t="s">
        <v>1384</v>
      </c>
      <c r="E8160" s="508">
        <v>8.0000000000000002E-3</v>
      </c>
      <c r="F8160" s="508">
        <v>1.2999999999999999E-2</v>
      </c>
      <c r="G8160" s="508">
        <v>1.2999999999999999E-2</v>
      </c>
      <c r="H8160" s="508">
        <v>1.2999999999999999E-2</v>
      </c>
      <c r="I8160" s="508">
        <v>1.2999999999999999E-2</v>
      </c>
      <c r="J8160" s="508">
        <v>1.2999999999999999E-2</v>
      </c>
      <c r="K8160" s="508">
        <v>1.2999999999999999E-2</v>
      </c>
      <c r="L8160" s="508">
        <v>1.2999999999999999E-2</v>
      </c>
      <c r="M8160" s="508">
        <v>1.2999999999999999E-2</v>
      </c>
      <c r="N8160" s="508">
        <v>1.2999999999999999E-2</v>
      </c>
      <c r="O8160" s="508">
        <v>1.2999999999999999E-2</v>
      </c>
      <c r="P8160" s="508">
        <v>6.0000000000000001E-3</v>
      </c>
      <c r="Q8160" s="508">
        <v>6.0000000000000001E-3</v>
      </c>
      <c r="R8160" s="508">
        <v>6.0000000000000001E-3</v>
      </c>
      <c r="S8160" s="508">
        <v>6.0000000000000001E-3</v>
      </c>
      <c r="T8160" s="508">
        <v>6.0000000000000001E-3</v>
      </c>
      <c r="U8160" s="508">
        <v>6.0000000000000001E-3</v>
      </c>
      <c r="V8160" s="508">
        <v>6.0000000000000001E-3</v>
      </c>
      <c r="W8160" s="508">
        <v>6.0000000000000001E-3</v>
      </c>
      <c r="X8160" s="508">
        <v>6.0000000000000001E-3</v>
      </c>
      <c r="Y8160" s="508">
        <v>6.0000000000000001E-3</v>
      </c>
      <c r="Z8160" s="508">
        <v>6.0000000000000001E-3</v>
      </c>
      <c r="AA8160" s="508">
        <v>6.0000000000000001E-3</v>
      </c>
      <c r="AB8160" s="508">
        <v>6.0000000000000001E-3</v>
      </c>
      <c r="AC8160" s="508">
        <v>6.0000000000000001E-3</v>
      </c>
      <c r="AD8160" s="508">
        <v>6.0000000000000001E-3</v>
      </c>
      <c r="AE8160" s="508">
        <v>6.0000000000000001E-3</v>
      </c>
      <c r="AF8160" s="508">
        <v>5.0000000000000001E-3</v>
      </c>
      <c r="AG8160" s="508">
        <v>5.0000000000000001E-3</v>
      </c>
      <c r="AH8160" s="508">
        <v>5.0000000000000001E-3</v>
      </c>
      <c r="AI8160" s="492">
        <v>5.0000000000000001E-3</v>
      </c>
      <c r="AJ8160" s="485"/>
    </row>
    <row r="8161" spans="2:36">
      <c r="B8161" s="136" t="s">
        <v>465</v>
      </c>
      <c r="C8161" s="132" t="s">
        <v>1366</v>
      </c>
      <c r="D8161" s="132" t="s">
        <v>1384</v>
      </c>
      <c r="E8161" s="508">
        <v>8.0000000000000002E-3</v>
      </c>
      <c r="F8161" s="508">
        <v>1.2999999999999999E-2</v>
      </c>
      <c r="G8161" s="508">
        <v>1.2999999999999999E-2</v>
      </c>
      <c r="H8161" s="508">
        <v>1.2999999999999999E-2</v>
      </c>
      <c r="I8161" s="508">
        <v>1.2999999999999999E-2</v>
      </c>
      <c r="J8161" s="508">
        <v>1.2999999999999999E-2</v>
      </c>
      <c r="K8161" s="508">
        <v>1.2999999999999999E-2</v>
      </c>
      <c r="L8161" s="508">
        <v>1.2999999999999999E-2</v>
      </c>
      <c r="M8161" s="508">
        <v>1.2999999999999999E-2</v>
      </c>
      <c r="N8161" s="508">
        <v>1.2999999999999999E-2</v>
      </c>
      <c r="O8161" s="508">
        <v>1.2999999999999999E-2</v>
      </c>
      <c r="P8161" s="508">
        <v>7.0000000000000001E-3</v>
      </c>
      <c r="Q8161" s="508">
        <v>7.0000000000000001E-3</v>
      </c>
      <c r="R8161" s="508">
        <v>7.0000000000000001E-3</v>
      </c>
      <c r="S8161" s="508">
        <v>6.0000000000000001E-3</v>
      </c>
      <c r="T8161" s="508">
        <v>6.0000000000000001E-3</v>
      </c>
      <c r="U8161" s="508">
        <v>6.0000000000000001E-3</v>
      </c>
      <c r="V8161" s="508">
        <v>6.0000000000000001E-3</v>
      </c>
      <c r="W8161" s="508">
        <v>6.0000000000000001E-3</v>
      </c>
      <c r="X8161" s="508">
        <v>6.0000000000000001E-3</v>
      </c>
      <c r="Y8161" s="508">
        <v>6.0000000000000001E-3</v>
      </c>
      <c r="Z8161" s="508">
        <v>6.0000000000000001E-3</v>
      </c>
      <c r="AA8161" s="508">
        <v>6.0000000000000001E-3</v>
      </c>
      <c r="AB8161" s="508">
        <v>6.0000000000000001E-3</v>
      </c>
      <c r="AC8161" s="508">
        <v>6.0000000000000001E-3</v>
      </c>
      <c r="AD8161" s="508">
        <v>6.0000000000000001E-3</v>
      </c>
      <c r="AE8161" s="508">
        <v>6.0000000000000001E-3</v>
      </c>
      <c r="AF8161" s="508">
        <v>5.0000000000000001E-3</v>
      </c>
      <c r="AG8161" s="508">
        <v>5.0000000000000001E-3</v>
      </c>
      <c r="AH8161" s="508">
        <v>5.0000000000000001E-3</v>
      </c>
      <c r="AI8161" s="492">
        <v>5.0000000000000001E-3</v>
      </c>
      <c r="AJ8161" s="485"/>
    </row>
    <row r="8162" spans="2:36">
      <c r="B8162" s="136" t="s">
        <v>466</v>
      </c>
      <c r="C8162" s="132" t="s">
        <v>1366</v>
      </c>
      <c r="D8162" s="132" t="s">
        <v>1384</v>
      </c>
      <c r="E8162" s="508">
        <v>8.0000000000000002E-3</v>
      </c>
      <c r="F8162" s="508">
        <v>1.4E-2</v>
      </c>
      <c r="G8162" s="508">
        <v>1.4E-2</v>
      </c>
      <c r="H8162" s="508">
        <v>1.4E-2</v>
      </c>
      <c r="I8162" s="508">
        <v>1.4E-2</v>
      </c>
      <c r="J8162" s="508">
        <v>1.4E-2</v>
      </c>
      <c r="K8162" s="508">
        <v>1.4E-2</v>
      </c>
      <c r="L8162" s="508">
        <v>1.4E-2</v>
      </c>
      <c r="M8162" s="508">
        <v>1.4E-2</v>
      </c>
      <c r="N8162" s="508">
        <v>1.4E-2</v>
      </c>
      <c r="O8162" s="508">
        <v>1.4E-2</v>
      </c>
      <c r="P8162" s="508">
        <v>7.0000000000000001E-3</v>
      </c>
      <c r="Q8162" s="508">
        <v>7.0000000000000001E-3</v>
      </c>
      <c r="R8162" s="508">
        <v>7.0000000000000001E-3</v>
      </c>
      <c r="S8162" s="508">
        <v>7.0000000000000001E-3</v>
      </c>
      <c r="T8162" s="508">
        <v>7.0000000000000001E-3</v>
      </c>
      <c r="U8162" s="508">
        <v>7.0000000000000001E-3</v>
      </c>
      <c r="V8162" s="508">
        <v>7.0000000000000001E-3</v>
      </c>
      <c r="W8162" s="508">
        <v>7.0000000000000001E-3</v>
      </c>
      <c r="X8162" s="508">
        <v>7.0000000000000001E-3</v>
      </c>
      <c r="Y8162" s="508">
        <v>7.0000000000000001E-3</v>
      </c>
      <c r="Z8162" s="508">
        <v>7.0000000000000001E-3</v>
      </c>
      <c r="AA8162" s="508">
        <v>7.0000000000000001E-3</v>
      </c>
      <c r="AB8162" s="508">
        <v>7.0000000000000001E-3</v>
      </c>
      <c r="AC8162" s="508">
        <v>7.0000000000000001E-3</v>
      </c>
      <c r="AD8162" s="508">
        <v>7.0000000000000001E-3</v>
      </c>
      <c r="AE8162" s="508">
        <v>7.0000000000000001E-3</v>
      </c>
      <c r="AF8162" s="508">
        <v>5.0000000000000001E-3</v>
      </c>
      <c r="AG8162" s="508">
        <v>5.0000000000000001E-3</v>
      </c>
      <c r="AH8162" s="508">
        <v>5.0000000000000001E-3</v>
      </c>
      <c r="AI8162" s="492">
        <v>5.0000000000000001E-3</v>
      </c>
      <c r="AJ8162" s="485"/>
    </row>
    <row r="8163" spans="2:36">
      <c r="B8163" s="136" t="s">
        <v>467</v>
      </c>
      <c r="C8163" s="132" t="s">
        <v>1366</v>
      </c>
      <c r="D8163" s="132" t="s">
        <v>1384</v>
      </c>
      <c r="E8163" s="508">
        <v>8.0000000000000002E-3</v>
      </c>
      <c r="F8163" s="508">
        <v>1.2999999999999999E-2</v>
      </c>
      <c r="G8163" s="508">
        <v>1.2999999999999999E-2</v>
      </c>
      <c r="H8163" s="508">
        <v>1.2999999999999999E-2</v>
      </c>
      <c r="I8163" s="508">
        <v>1.2999999999999999E-2</v>
      </c>
      <c r="J8163" s="508">
        <v>1.2999999999999999E-2</v>
      </c>
      <c r="K8163" s="508">
        <v>1.2999999999999999E-2</v>
      </c>
      <c r="L8163" s="508">
        <v>1.2999999999999999E-2</v>
      </c>
      <c r="M8163" s="508">
        <v>1.2999999999999999E-2</v>
      </c>
      <c r="N8163" s="508">
        <v>1.2999999999999999E-2</v>
      </c>
      <c r="O8163" s="508">
        <v>1.2999999999999999E-2</v>
      </c>
      <c r="P8163" s="508">
        <v>7.0000000000000001E-3</v>
      </c>
      <c r="Q8163" s="508">
        <v>7.0000000000000001E-3</v>
      </c>
      <c r="R8163" s="508">
        <v>6.0000000000000001E-3</v>
      </c>
      <c r="S8163" s="508">
        <v>6.0000000000000001E-3</v>
      </c>
      <c r="T8163" s="508">
        <v>6.0000000000000001E-3</v>
      </c>
      <c r="U8163" s="508">
        <v>6.0000000000000001E-3</v>
      </c>
      <c r="V8163" s="508">
        <v>6.0000000000000001E-3</v>
      </c>
      <c r="W8163" s="508">
        <v>6.0000000000000001E-3</v>
      </c>
      <c r="X8163" s="508">
        <v>6.0000000000000001E-3</v>
      </c>
      <c r="Y8163" s="508">
        <v>6.0000000000000001E-3</v>
      </c>
      <c r="Z8163" s="508">
        <v>6.0000000000000001E-3</v>
      </c>
      <c r="AA8163" s="508">
        <v>6.0000000000000001E-3</v>
      </c>
      <c r="AB8163" s="508">
        <v>6.0000000000000001E-3</v>
      </c>
      <c r="AC8163" s="508">
        <v>6.0000000000000001E-3</v>
      </c>
      <c r="AD8163" s="508">
        <v>6.0000000000000001E-3</v>
      </c>
      <c r="AE8163" s="508">
        <v>6.0000000000000001E-3</v>
      </c>
      <c r="AF8163" s="508">
        <v>5.0000000000000001E-3</v>
      </c>
      <c r="AG8163" s="508">
        <v>5.0000000000000001E-3</v>
      </c>
      <c r="AH8163" s="508">
        <v>5.0000000000000001E-3</v>
      </c>
      <c r="AI8163" s="492">
        <v>5.0000000000000001E-3</v>
      </c>
      <c r="AJ8163" s="485"/>
    </row>
    <row r="8164" spans="2:36">
      <c r="B8164" s="136" t="s">
        <v>468</v>
      </c>
      <c r="C8164" s="132" t="s">
        <v>1366</v>
      </c>
      <c r="D8164" s="132" t="s">
        <v>1384</v>
      </c>
      <c r="E8164" s="508">
        <v>8.0000000000000002E-3</v>
      </c>
      <c r="F8164" s="508">
        <v>1.2999999999999999E-2</v>
      </c>
      <c r="G8164" s="508">
        <v>1.2999999999999999E-2</v>
      </c>
      <c r="H8164" s="508">
        <v>1.2999999999999999E-2</v>
      </c>
      <c r="I8164" s="508">
        <v>1.2999999999999999E-2</v>
      </c>
      <c r="J8164" s="508">
        <v>1.2999999999999999E-2</v>
      </c>
      <c r="K8164" s="508">
        <v>1.2999999999999999E-2</v>
      </c>
      <c r="L8164" s="508">
        <v>1.2999999999999999E-2</v>
      </c>
      <c r="M8164" s="508">
        <v>1.2999999999999999E-2</v>
      </c>
      <c r="N8164" s="508">
        <v>1.2999999999999999E-2</v>
      </c>
      <c r="O8164" s="508">
        <v>1.2999999999999999E-2</v>
      </c>
      <c r="P8164" s="508">
        <v>6.0000000000000001E-3</v>
      </c>
      <c r="Q8164" s="508">
        <v>6.0000000000000001E-3</v>
      </c>
      <c r="R8164" s="508">
        <v>6.0000000000000001E-3</v>
      </c>
      <c r="S8164" s="508">
        <v>6.0000000000000001E-3</v>
      </c>
      <c r="T8164" s="508">
        <v>6.0000000000000001E-3</v>
      </c>
      <c r="U8164" s="508">
        <v>6.0000000000000001E-3</v>
      </c>
      <c r="V8164" s="508">
        <v>6.0000000000000001E-3</v>
      </c>
      <c r="W8164" s="508">
        <v>6.0000000000000001E-3</v>
      </c>
      <c r="X8164" s="508">
        <v>6.0000000000000001E-3</v>
      </c>
      <c r="Y8164" s="508">
        <v>6.0000000000000001E-3</v>
      </c>
      <c r="Z8164" s="508">
        <v>6.0000000000000001E-3</v>
      </c>
      <c r="AA8164" s="508">
        <v>6.0000000000000001E-3</v>
      </c>
      <c r="AB8164" s="508">
        <v>6.0000000000000001E-3</v>
      </c>
      <c r="AC8164" s="508">
        <v>6.0000000000000001E-3</v>
      </c>
      <c r="AD8164" s="508">
        <v>6.0000000000000001E-3</v>
      </c>
      <c r="AE8164" s="508">
        <v>6.0000000000000001E-3</v>
      </c>
      <c r="AF8164" s="508">
        <v>5.0000000000000001E-3</v>
      </c>
      <c r="AG8164" s="508">
        <v>5.0000000000000001E-3</v>
      </c>
      <c r="AH8164" s="508">
        <v>5.0000000000000001E-3</v>
      </c>
      <c r="AI8164" s="492">
        <v>5.0000000000000001E-3</v>
      </c>
      <c r="AJ8164" s="485"/>
    </row>
    <row r="8165" spans="2:36">
      <c r="B8165" s="136" t="s">
        <v>469</v>
      </c>
      <c r="C8165" s="132" t="s">
        <v>1366</v>
      </c>
      <c r="D8165" s="132" t="s">
        <v>1384</v>
      </c>
      <c r="E8165" s="508">
        <v>8.0000000000000002E-3</v>
      </c>
      <c r="F8165" s="508">
        <v>1.2999999999999999E-2</v>
      </c>
      <c r="G8165" s="508">
        <v>1.2999999999999999E-2</v>
      </c>
      <c r="H8165" s="508">
        <v>1.2999999999999999E-2</v>
      </c>
      <c r="I8165" s="508">
        <v>1.2999999999999999E-2</v>
      </c>
      <c r="J8165" s="508">
        <v>1.2999999999999999E-2</v>
      </c>
      <c r="K8165" s="508">
        <v>1.2999999999999999E-2</v>
      </c>
      <c r="L8165" s="508">
        <v>1.2999999999999999E-2</v>
      </c>
      <c r="M8165" s="508">
        <v>1.2999999999999999E-2</v>
      </c>
      <c r="N8165" s="508">
        <v>1.2999999999999999E-2</v>
      </c>
      <c r="O8165" s="508">
        <v>1.2999999999999999E-2</v>
      </c>
      <c r="P8165" s="508">
        <v>7.0000000000000001E-3</v>
      </c>
      <c r="Q8165" s="508">
        <v>7.0000000000000001E-3</v>
      </c>
      <c r="R8165" s="508">
        <v>7.0000000000000001E-3</v>
      </c>
      <c r="S8165" s="508">
        <v>7.0000000000000001E-3</v>
      </c>
      <c r="T8165" s="508">
        <v>6.0000000000000001E-3</v>
      </c>
      <c r="U8165" s="508">
        <v>6.0000000000000001E-3</v>
      </c>
      <c r="V8165" s="508">
        <v>6.0000000000000001E-3</v>
      </c>
      <c r="W8165" s="508">
        <v>6.0000000000000001E-3</v>
      </c>
      <c r="X8165" s="508">
        <v>6.0000000000000001E-3</v>
      </c>
      <c r="Y8165" s="508">
        <v>6.0000000000000001E-3</v>
      </c>
      <c r="Z8165" s="508">
        <v>6.0000000000000001E-3</v>
      </c>
      <c r="AA8165" s="508">
        <v>6.0000000000000001E-3</v>
      </c>
      <c r="AB8165" s="508">
        <v>6.0000000000000001E-3</v>
      </c>
      <c r="AC8165" s="508">
        <v>6.0000000000000001E-3</v>
      </c>
      <c r="AD8165" s="508">
        <v>6.0000000000000001E-3</v>
      </c>
      <c r="AE8165" s="508">
        <v>7.0000000000000001E-3</v>
      </c>
      <c r="AF8165" s="508">
        <v>5.0000000000000001E-3</v>
      </c>
      <c r="AG8165" s="508">
        <v>5.0000000000000001E-3</v>
      </c>
      <c r="AH8165" s="508">
        <v>5.0000000000000001E-3</v>
      </c>
      <c r="AI8165" s="492">
        <v>5.0000000000000001E-3</v>
      </c>
      <c r="AJ8165" s="485"/>
    </row>
    <row r="8166" spans="2:36">
      <c r="B8166" s="136" t="s">
        <v>470</v>
      </c>
      <c r="C8166" s="132" t="s">
        <v>1366</v>
      </c>
      <c r="D8166" s="132" t="s">
        <v>1384</v>
      </c>
      <c r="E8166" s="508">
        <v>8.0000000000000002E-3</v>
      </c>
      <c r="F8166" s="508">
        <v>1.4E-2</v>
      </c>
      <c r="G8166" s="508">
        <v>1.4E-2</v>
      </c>
      <c r="H8166" s="508">
        <v>1.4E-2</v>
      </c>
      <c r="I8166" s="508">
        <v>1.2999999999999999E-2</v>
      </c>
      <c r="J8166" s="508">
        <v>1.2999999999999999E-2</v>
      </c>
      <c r="K8166" s="508">
        <v>1.2999999999999999E-2</v>
      </c>
      <c r="L8166" s="508">
        <v>1.2999999999999999E-2</v>
      </c>
      <c r="M8166" s="508">
        <v>1.2999999999999999E-2</v>
      </c>
      <c r="N8166" s="508">
        <v>1.2999999999999999E-2</v>
      </c>
      <c r="O8166" s="508">
        <v>1.2999999999999999E-2</v>
      </c>
      <c r="P8166" s="508">
        <v>7.0000000000000001E-3</v>
      </c>
      <c r="Q8166" s="508">
        <v>7.0000000000000001E-3</v>
      </c>
      <c r="R8166" s="508">
        <v>7.0000000000000001E-3</v>
      </c>
      <c r="S8166" s="508">
        <v>7.0000000000000001E-3</v>
      </c>
      <c r="T8166" s="508">
        <v>7.0000000000000001E-3</v>
      </c>
      <c r="U8166" s="508">
        <v>7.0000000000000001E-3</v>
      </c>
      <c r="V8166" s="508">
        <v>7.0000000000000001E-3</v>
      </c>
      <c r="W8166" s="508">
        <v>7.0000000000000001E-3</v>
      </c>
      <c r="X8166" s="508">
        <v>7.0000000000000001E-3</v>
      </c>
      <c r="Y8166" s="508">
        <v>7.0000000000000001E-3</v>
      </c>
      <c r="Z8166" s="508">
        <v>7.0000000000000001E-3</v>
      </c>
      <c r="AA8166" s="508">
        <v>7.0000000000000001E-3</v>
      </c>
      <c r="AB8166" s="508">
        <v>7.0000000000000001E-3</v>
      </c>
      <c r="AC8166" s="508">
        <v>6.0000000000000001E-3</v>
      </c>
      <c r="AD8166" s="508">
        <v>7.0000000000000001E-3</v>
      </c>
      <c r="AE8166" s="508">
        <v>7.0000000000000001E-3</v>
      </c>
      <c r="AF8166" s="508">
        <v>5.0000000000000001E-3</v>
      </c>
      <c r="AG8166" s="508">
        <v>5.0000000000000001E-3</v>
      </c>
      <c r="AH8166" s="508">
        <v>5.0000000000000001E-3</v>
      </c>
      <c r="AI8166" s="492">
        <v>5.0000000000000001E-3</v>
      </c>
      <c r="AJ8166" s="485"/>
    </row>
    <row r="8167" spans="2:36">
      <c r="B8167" s="136" t="s">
        <v>471</v>
      </c>
      <c r="C8167" s="132" t="s">
        <v>1366</v>
      </c>
      <c r="D8167" s="132" t="s">
        <v>1384</v>
      </c>
      <c r="E8167" s="508">
        <v>8.0000000000000002E-3</v>
      </c>
      <c r="F8167" s="508">
        <v>1.2999999999999999E-2</v>
      </c>
      <c r="G8167" s="508">
        <v>1.2999999999999999E-2</v>
      </c>
      <c r="H8167" s="508">
        <v>1.2999999999999999E-2</v>
      </c>
      <c r="I8167" s="508">
        <v>1.2999999999999999E-2</v>
      </c>
      <c r="J8167" s="508">
        <v>1.2999999999999999E-2</v>
      </c>
      <c r="K8167" s="508">
        <v>1.2999999999999999E-2</v>
      </c>
      <c r="L8167" s="508">
        <v>1.2999999999999999E-2</v>
      </c>
      <c r="M8167" s="508">
        <v>1.2999999999999999E-2</v>
      </c>
      <c r="N8167" s="508">
        <v>1.2999999999999999E-2</v>
      </c>
      <c r="O8167" s="508">
        <v>1.2999999999999999E-2</v>
      </c>
      <c r="P8167" s="508">
        <v>7.0000000000000001E-3</v>
      </c>
      <c r="Q8167" s="508">
        <v>7.0000000000000001E-3</v>
      </c>
      <c r="R8167" s="508">
        <v>7.0000000000000001E-3</v>
      </c>
      <c r="S8167" s="508">
        <v>7.0000000000000001E-3</v>
      </c>
      <c r="T8167" s="508">
        <v>7.0000000000000001E-3</v>
      </c>
      <c r="U8167" s="508">
        <v>7.0000000000000001E-3</v>
      </c>
      <c r="V8167" s="508">
        <v>7.0000000000000001E-3</v>
      </c>
      <c r="W8167" s="508">
        <v>7.0000000000000001E-3</v>
      </c>
      <c r="X8167" s="508">
        <v>7.0000000000000001E-3</v>
      </c>
      <c r="Y8167" s="508">
        <v>7.0000000000000001E-3</v>
      </c>
      <c r="Z8167" s="508">
        <v>7.0000000000000001E-3</v>
      </c>
      <c r="AA8167" s="508">
        <v>7.0000000000000001E-3</v>
      </c>
      <c r="AB8167" s="508">
        <v>7.0000000000000001E-3</v>
      </c>
      <c r="AC8167" s="508">
        <v>6.0000000000000001E-3</v>
      </c>
      <c r="AD8167" s="508">
        <v>7.0000000000000001E-3</v>
      </c>
      <c r="AE8167" s="508">
        <v>7.0000000000000001E-3</v>
      </c>
      <c r="AF8167" s="508">
        <v>5.0000000000000001E-3</v>
      </c>
      <c r="AG8167" s="508">
        <v>5.0000000000000001E-3</v>
      </c>
      <c r="AH8167" s="508">
        <v>5.0000000000000001E-3</v>
      </c>
      <c r="AI8167" s="492">
        <v>5.0000000000000001E-3</v>
      </c>
      <c r="AJ8167" s="485"/>
    </row>
    <row r="8168" spans="2:36">
      <c r="B8168" s="136" t="s">
        <v>472</v>
      </c>
      <c r="C8168" s="132" t="s">
        <v>1366</v>
      </c>
      <c r="D8168" s="132" t="s">
        <v>1384</v>
      </c>
      <c r="E8168" s="508">
        <v>8.0000000000000002E-3</v>
      </c>
      <c r="F8168" s="508">
        <v>1.2999999999999999E-2</v>
      </c>
      <c r="G8168" s="508">
        <v>1.2999999999999999E-2</v>
      </c>
      <c r="H8168" s="508">
        <v>1.2999999999999999E-2</v>
      </c>
      <c r="I8168" s="508">
        <v>1.2999999999999999E-2</v>
      </c>
      <c r="J8168" s="508">
        <v>1.2999999999999999E-2</v>
      </c>
      <c r="K8168" s="508">
        <v>1.2999999999999999E-2</v>
      </c>
      <c r="L8168" s="508">
        <v>1.2999999999999999E-2</v>
      </c>
      <c r="M8168" s="508">
        <v>1.2999999999999999E-2</v>
      </c>
      <c r="N8168" s="508">
        <v>1.2999999999999999E-2</v>
      </c>
      <c r="O8168" s="508">
        <v>1.2999999999999999E-2</v>
      </c>
      <c r="P8168" s="508">
        <v>6.0000000000000001E-3</v>
      </c>
      <c r="Q8168" s="508">
        <v>6.0000000000000001E-3</v>
      </c>
      <c r="R8168" s="508">
        <v>6.0000000000000001E-3</v>
      </c>
      <c r="S8168" s="508">
        <v>6.0000000000000001E-3</v>
      </c>
      <c r="T8168" s="508">
        <v>6.0000000000000001E-3</v>
      </c>
      <c r="U8168" s="508">
        <v>6.0000000000000001E-3</v>
      </c>
      <c r="V8168" s="508">
        <v>6.0000000000000001E-3</v>
      </c>
      <c r="W8168" s="508">
        <v>6.0000000000000001E-3</v>
      </c>
      <c r="X8168" s="508">
        <v>6.0000000000000001E-3</v>
      </c>
      <c r="Y8168" s="508">
        <v>6.0000000000000001E-3</v>
      </c>
      <c r="Z8168" s="508">
        <v>6.0000000000000001E-3</v>
      </c>
      <c r="AA8168" s="508">
        <v>6.0000000000000001E-3</v>
      </c>
      <c r="AB8168" s="508">
        <v>6.0000000000000001E-3</v>
      </c>
      <c r="AC8168" s="508">
        <v>6.0000000000000001E-3</v>
      </c>
      <c r="AD8168" s="508">
        <v>6.0000000000000001E-3</v>
      </c>
      <c r="AE8168" s="508">
        <v>6.0000000000000001E-3</v>
      </c>
      <c r="AF8168" s="508">
        <v>5.0000000000000001E-3</v>
      </c>
      <c r="AG8168" s="508">
        <v>5.0000000000000001E-3</v>
      </c>
      <c r="AH8168" s="508">
        <v>5.0000000000000001E-3</v>
      </c>
      <c r="AI8168" s="492">
        <v>5.0000000000000001E-3</v>
      </c>
      <c r="AJ8168" s="485"/>
    </row>
    <row r="8169" spans="2:36">
      <c r="B8169" s="136" t="s">
        <v>473</v>
      </c>
      <c r="C8169" s="132" t="s">
        <v>1366</v>
      </c>
      <c r="D8169" s="132" t="s">
        <v>1384</v>
      </c>
      <c r="E8169" s="508">
        <v>8.0000000000000002E-3</v>
      </c>
      <c r="F8169" s="508">
        <v>1.4E-2</v>
      </c>
      <c r="G8169" s="508">
        <v>1.4E-2</v>
      </c>
      <c r="H8169" s="508">
        <v>1.4E-2</v>
      </c>
      <c r="I8169" s="508">
        <v>1.4E-2</v>
      </c>
      <c r="J8169" s="508">
        <v>1.4E-2</v>
      </c>
      <c r="K8169" s="508">
        <v>1.4E-2</v>
      </c>
      <c r="L8169" s="508">
        <v>1.4E-2</v>
      </c>
      <c r="M8169" s="508">
        <v>1.2999999999999999E-2</v>
      </c>
      <c r="N8169" s="508">
        <v>1.2999999999999999E-2</v>
      </c>
      <c r="O8169" s="508">
        <v>1.2999999999999999E-2</v>
      </c>
      <c r="P8169" s="508">
        <v>7.0000000000000001E-3</v>
      </c>
      <c r="Q8169" s="508">
        <v>7.0000000000000001E-3</v>
      </c>
      <c r="R8169" s="508">
        <v>7.0000000000000001E-3</v>
      </c>
      <c r="S8169" s="508">
        <v>7.0000000000000001E-3</v>
      </c>
      <c r="T8169" s="508">
        <v>7.0000000000000001E-3</v>
      </c>
      <c r="U8169" s="508">
        <v>7.0000000000000001E-3</v>
      </c>
      <c r="V8169" s="508">
        <v>7.0000000000000001E-3</v>
      </c>
      <c r="W8169" s="508">
        <v>7.0000000000000001E-3</v>
      </c>
      <c r="X8169" s="508">
        <v>7.0000000000000001E-3</v>
      </c>
      <c r="Y8169" s="508">
        <v>7.0000000000000001E-3</v>
      </c>
      <c r="Z8169" s="508">
        <v>7.0000000000000001E-3</v>
      </c>
      <c r="AA8169" s="508">
        <v>7.0000000000000001E-3</v>
      </c>
      <c r="AB8169" s="508">
        <v>7.0000000000000001E-3</v>
      </c>
      <c r="AC8169" s="508">
        <v>7.0000000000000001E-3</v>
      </c>
      <c r="AD8169" s="508">
        <v>7.0000000000000001E-3</v>
      </c>
      <c r="AE8169" s="508">
        <v>7.0000000000000001E-3</v>
      </c>
      <c r="AF8169" s="508">
        <v>5.0000000000000001E-3</v>
      </c>
      <c r="AG8169" s="508">
        <v>5.0000000000000001E-3</v>
      </c>
      <c r="AH8169" s="508">
        <v>5.0000000000000001E-3</v>
      </c>
      <c r="AI8169" s="492">
        <v>5.0000000000000001E-3</v>
      </c>
      <c r="AJ8169" s="485"/>
    </row>
    <row r="8170" spans="2:36">
      <c r="B8170" s="136" t="s">
        <v>474</v>
      </c>
      <c r="C8170" s="132" t="s">
        <v>1366</v>
      </c>
      <c r="D8170" s="132" t="s">
        <v>1384</v>
      </c>
      <c r="E8170" s="508">
        <v>8.0000000000000002E-3</v>
      </c>
      <c r="F8170" s="508">
        <v>1.4E-2</v>
      </c>
      <c r="G8170" s="508">
        <v>1.2999999999999999E-2</v>
      </c>
      <c r="H8170" s="508">
        <v>1.2999999999999999E-2</v>
      </c>
      <c r="I8170" s="508">
        <v>1.2999999999999999E-2</v>
      </c>
      <c r="J8170" s="508">
        <v>1.2999999999999999E-2</v>
      </c>
      <c r="K8170" s="508">
        <v>1.2999999999999999E-2</v>
      </c>
      <c r="L8170" s="508">
        <v>1.2999999999999999E-2</v>
      </c>
      <c r="M8170" s="508">
        <v>1.2999999999999999E-2</v>
      </c>
      <c r="N8170" s="508">
        <v>1.2999999999999999E-2</v>
      </c>
      <c r="O8170" s="508">
        <v>1.2999999999999999E-2</v>
      </c>
      <c r="P8170" s="508">
        <v>7.0000000000000001E-3</v>
      </c>
      <c r="Q8170" s="508">
        <v>7.0000000000000001E-3</v>
      </c>
      <c r="R8170" s="508">
        <v>7.0000000000000001E-3</v>
      </c>
      <c r="S8170" s="508">
        <v>7.0000000000000001E-3</v>
      </c>
      <c r="T8170" s="508">
        <v>7.0000000000000001E-3</v>
      </c>
      <c r="U8170" s="508">
        <v>7.0000000000000001E-3</v>
      </c>
      <c r="V8170" s="508">
        <v>7.0000000000000001E-3</v>
      </c>
      <c r="W8170" s="508">
        <v>7.0000000000000001E-3</v>
      </c>
      <c r="X8170" s="508">
        <v>7.0000000000000001E-3</v>
      </c>
      <c r="Y8170" s="508">
        <v>7.0000000000000001E-3</v>
      </c>
      <c r="Z8170" s="508">
        <v>7.0000000000000001E-3</v>
      </c>
      <c r="AA8170" s="508">
        <v>7.0000000000000001E-3</v>
      </c>
      <c r="AB8170" s="508">
        <v>7.0000000000000001E-3</v>
      </c>
      <c r="AC8170" s="508">
        <v>7.0000000000000001E-3</v>
      </c>
      <c r="AD8170" s="508">
        <v>7.0000000000000001E-3</v>
      </c>
      <c r="AE8170" s="508">
        <v>7.0000000000000001E-3</v>
      </c>
      <c r="AF8170" s="508">
        <v>5.0000000000000001E-3</v>
      </c>
      <c r="AG8170" s="508">
        <v>5.0000000000000001E-3</v>
      </c>
      <c r="AH8170" s="508">
        <v>5.0000000000000001E-3</v>
      </c>
      <c r="AI8170" s="492">
        <v>5.0000000000000001E-3</v>
      </c>
      <c r="AJ8170" s="485"/>
    </row>
    <row r="8171" spans="2:36">
      <c r="B8171" s="136" t="s">
        <v>475</v>
      </c>
      <c r="C8171" s="132" t="s">
        <v>1366</v>
      </c>
      <c r="D8171" s="132" t="s">
        <v>1384</v>
      </c>
      <c r="E8171" s="508">
        <v>8.0000000000000002E-3</v>
      </c>
      <c r="F8171" s="508">
        <v>1.2999999999999999E-2</v>
      </c>
      <c r="G8171" s="508">
        <v>1.2999999999999999E-2</v>
      </c>
      <c r="H8171" s="508">
        <v>1.2999999999999999E-2</v>
      </c>
      <c r="I8171" s="508">
        <v>1.2999999999999999E-2</v>
      </c>
      <c r="J8171" s="508">
        <v>1.2999999999999999E-2</v>
      </c>
      <c r="K8171" s="508">
        <v>1.2999999999999999E-2</v>
      </c>
      <c r="L8171" s="508">
        <v>1.2999999999999999E-2</v>
      </c>
      <c r="M8171" s="508">
        <v>1.2999999999999999E-2</v>
      </c>
      <c r="N8171" s="508">
        <v>1.2999999999999999E-2</v>
      </c>
      <c r="O8171" s="508">
        <v>1.2999999999999999E-2</v>
      </c>
      <c r="P8171" s="508">
        <v>6.0000000000000001E-3</v>
      </c>
      <c r="Q8171" s="508">
        <v>6.0000000000000001E-3</v>
      </c>
      <c r="R8171" s="508">
        <v>6.0000000000000001E-3</v>
      </c>
      <c r="S8171" s="508">
        <v>6.0000000000000001E-3</v>
      </c>
      <c r="T8171" s="508">
        <v>6.0000000000000001E-3</v>
      </c>
      <c r="U8171" s="508">
        <v>6.0000000000000001E-3</v>
      </c>
      <c r="V8171" s="508">
        <v>6.0000000000000001E-3</v>
      </c>
      <c r="W8171" s="508">
        <v>6.0000000000000001E-3</v>
      </c>
      <c r="X8171" s="508">
        <v>6.0000000000000001E-3</v>
      </c>
      <c r="Y8171" s="508">
        <v>6.0000000000000001E-3</v>
      </c>
      <c r="Z8171" s="508">
        <v>6.0000000000000001E-3</v>
      </c>
      <c r="AA8171" s="508">
        <v>6.0000000000000001E-3</v>
      </c>
      <c r="AB8171" s="508">
        <v>6.0000000000000001E-3</v>
      </c>
      <c r="AC8171" s="508">
        <v>6.0000000000000001E-3</v>
      </c>
      <c r="AD8171" s="508">
        <v>6.0000000000000001E-3</v>
      </c>
      <c r="AE8171" s="508">
        <v>6.0000000000000001E-3</v>
      </c>
      <c r="AF8171" s="508">
        <v>5.0000000000000001E-3</v>
      </c>
      <c r="AG8171" s="508">
        <v>5.0000000000000001E-3</v>
      </c>
      <c r="AH8171" s="508">
        <v>5.0000000000000001E-3</v>
      </c>
      <c r="AI8171" s="492">
        <v>5.0000000000000001E-3</v>
      </c>
      <c r="AJ8171" s="485"/>
    </row>
    <row r="8172" spans="2:36">
      <c r="B8172" s="136" t="s">
        <v>476</v>
      </c>
      <c r="C8172" s="132" t="s">
        <v>1366</v>
      </c>
      <c r="D8172" s="132" t="s">
        <v>1384</v>
      </c>
      <c r="E8172" s="508">
        <v>8.0000000000000002E-3</v>
      </c>
      <c r="F8172" s="508">
        <v>1.4E-2</v>
      </c>
      <c r="G8172" s="508">
        <v>1.4E-2</v>
      </c>
      <c r="H8172" s="508">
        <v>1.4E-2</v>
      </c>
      <c r="I8172" s="508">
        <v>1.2999999999999999E-2</v>
      </c>
      <c r="J8172" s="508">
        <v>1.2999999999999999E-2</v>
      </c>
      <c r="K8172" s="508">
        <v>1.2999999999999999E-2</v>
      </c>
      <c r="L8172" s="508">
        <v>1.2999999999999999E-2</v>
      </c>
      <c r="M8172" s="508">
        <v>1.2999999999999999E-2</v>
      </c>
      <c r="N8172" s="508">
        <v>1.2999999999999999E-2</v>
      </c>
      <c r="O8172" s="508">
        <v>1.2999999999999999E-2</v>
      </c>
      <c r="P8172" s="508">
        <v>7.0000000000000001E-3</v>
      </c>
      <c r="Q8172" s="508">
        <v>7.0000000000000001E-3</v>
      </c>
      <c r="R8172" s="508">
        <v>7.0000000000000001E-3</v>
      </c>
      <c r="S8172" s="508">
        <v>7.0000000000000001E-3</v>
      </c>
      <c r="T8172" s="508">
        <v>7.0000000000000001E-3</v>
      </c>
      <c r="U8172" s="508">
        <v>7.0000000000000001E-3</v>
      </c>
      <c r="V8172" s="508">
        <v>7.0000000000000001E-3</v>
      </c>
      <c r="W8172" s="508">
        <v>7.0000000000000001E-3</v>
      </c>
      <c r="X8172" s="508">
        <v>7.0000000000000001E-3</v>
      </c>
      <c r="Y8172" s="508">
        <v>7.0000000000000001E-3</v>
      </c>
      <c r="Z8172" s="508">
        <v>7.0000000000000001E-3</v>
      </c>
      <c r="AA8172" s="508">
        <v>7.0000000000000001E-3</v>
      </c>
      <c r="AB8172" s="508">
        <v>7.0000000000000001E-3</v>
      </c>
      <c r="AC8172" s="508">
        <v>6.0000000000000001E-3</v>
      </c>
      <c r="AD8172" s="508">
        <v>7.0000000000000001E-3</v>
      </c>
      <c r="AE8172" s="508">
        <v>7.0000000000000001E-3</v>
      </c>
      <c r="AF8172" s="508">
        <v>5.0000000000000001E-3</v>
      </c>
      <c r="AG8172" s="508">
        <v>5.0000000000000001E-3</v>
      </c>
      <c r="AH8172" s="508">
        <v>5.0000000000000001E-3</v>
      </c>
      <c r="AI8172" s="492">
        <v>5.0000000000000001E-3</v>
      </c>
      <c r="AJ8172" s="485"/>
    </row>
    <row r="8173" spans="2:36">
      <c r="B8173" s="136" t="s">
        <v>478</v>
      </c>
      <c r="C8173" s="132" t="s">
        <v>1366</v>
      </c>
      <c r="D8173" s="132" t="s">
        <v>1384</v>
      </c>
      <c r="E8173" s="508">
        <v>8.0000000000000002E-3</v>
      </c>
      <c r="F8173" s="508">
        <v>1.4E-2</v>
      </c>
      <c r="G8173" s="508">
        <v>1.4E-2</v>
      </c>
      <c r="H8173" s="508">
        <v>1.4E-2</v>
      </c>
      <c r="I8173" s="508">
        <v>1.4E-2</v>
      </c>
      <c r="J8173" s="508">
        <v>1.4E-2</v>
      </c>
      <c r="K8173" s="508">
        <v>1.4E-2</v>
      </c>
      <c r="L8173" s="508">
        <v>1.4E-2</v>
      </c>
      <c r="M8173" s="508">
        <v>1.2999999999999999E-2</v>
      </c>
      <c r="N8173" s="508">
        <v>1.2999999999999999E-2</v>
      </c>
      <c r="O8173" s="508">
        <v>1.2999999999999999E-2</v>
      </c>
      <c r="P8173" s="508">
        <v>7.0000000000000001E-3</v>
      </c>
      <c r="Q8173" s="508">
        <v>7.0000000000000001E-3</v>
      </c>
      <c r="R8173" s="508">
        <v>7.0000000000000001E-3</v>
      </c>
      <c r="S8173" s="508">
        <v>7.0000000000000001E-3</v>
      </c>
      <c r="T8173" s="508">
        <v>7.0000000000000001E-3</v>
      </c>
      <c r="U8173" s="508">
        <v>7.0000000000000001E-3</v>
      </c>
      <c r="V8173" s="508">
        <v>7.0000000000000001E-3</v>
      </c>
      <c r="W8173" s="508">
        <v>7.0000000000000001E-3</v>
      </c>
      <c r="X8173" s="508">
        <v>7.0000000000000001E-3</v>
      </c>
      <c r="Y8173" s="508">
        <v>7.0000000000000001E-3</v>
      </c>
      <c r="Z8173" s="508">
        <v>7.0000000000000001E-3</v>
      </c>
      <c r="AA8173" s="508">
        <v>7.0000000000000001E-3</v>
      </c>
      <c r="AB8173" s="508">
        <v>7.0000000000000001E-3</v>
      </c>
      <c r="AC8173" s="508">
        <v>7.0000000000000001E-3</v>
      </c>
      <c r="AD8173" s="508">
        <v>7.0000000000000001E-3</v>
      </c>
      <c r="AE8173" s="508">
        <v>7.0000000000000001E-3</v>
      </c>
      <c r="AF8173" s="508">
        <v>5.0000000000000001E-3</v>
      </c>
      <c r="AG8173" s="508">
        <v>5.0000000000000001E-3</v>
      </c>
      <c r="AH8173" s="508">
        <v>5.0000000000000001E-3</v>
      </c>
      <c r="AI8173" s="492">
        <v>5.0000000000000001E-3</v>
      </c>
      <c r="AJ8173" s="485"/>
    </row>
    <row r="8174" spans="2:36">
      <c r="B8174" s="136" t="s">
        <v>479</v>
      </c>
      <c r="C8174" s="132" t="s">
        <v>1366</v>
      </c>
      <c r="D8174" s="132" t="s">
        <v>1384</v>
      </c>
      <c r="E8174" s="508">
        <v>8.0000000000000002E-3</v>
      </c>
      <c r="F8174" s="508">
        <v>1.2999999999999999E-2</v>
      </c>
      <c r="G8174" s="508">
        <v>1.2999999999999999E-2</v>
      </c>
      <c r="H8174" s="508">
        <v>1.2999999999999999E-2</v>
      </c>
      <c r="I8174" s="508">
        <v>1.2999999999999999E-2</v>
      </c>
      <c r="J8174" s="508">
        <v>1.2999999999999999E-2</v>
      </c>
      <c r="K8174" s="508">
        <v>1.2999999999999999E-2</v>
      </c>
      <c r="L8174" s="508">
        <v>1.2999999999999999E-2</v>
      </c>
      <c r="M8174" s="508">
        <v>1.2999999999999999E-2</v>
      </c>
      <c r="N8174" s="508">
        <v>1.2999999999999999E-2</v>
      </c>
      <c r="O8174" s="508">
        <v>1.2999999999999999E-2</v>
      </c>
      <c r="P8174" s="508">
        <v>7.0000000000000001E-3</v>
      </c>
      <c r="Q8174" s="508">
        <v>7.0000000000000001E-3</v>
      </c>
      <c r="R8174" s="508">
        <v>7.0000000000000001E-3</v>
      </c>
      <c r="S8174" s="508">
        <v>7.0000000000000001E-3</v>
      </c>
      <c r="T8174" s="508">
        <v>7.0000000000000001E-3</v>
      </c>
      <c r="U8174" s="508">
        <v>7.0000000000000001E-3</v>
      </c>
      <c r="V8174" s="508">
        <v>7.0000000000000001E-3</v>
      </c>
      <c r="W8174" s="508">
        <v>7.0000000000000001E-3</v>
      </c>
      <c r="X8174" s="508">
        <v>7.0000000000000001E-3</v>
      </c>
      <c r="Y8174" s="508">
        <v>7.0000000000000001E-3</v>
      </c>
      <c r="Z8174" s="508">
        <v>7.0000000000000001E-3</v>
      </c>
      <c r="AA8174" s="508">
        <v>7.0000000000000001E-3</v>
      </c>
      <c r="AB8174" s="508">
        <v>7.0000000000000001E-3</v>
      </c>
      <c r="AC8174" s="508">
        <v>7.0000000000000001E-3</v>
      </c>
      <c r="AD8174" s="508">
        <v>7.0000000000000001E-3</v>
      </c>
      <c r="AE8174" s="508">
        <v>7.0000000000000001E-3</v>
      </c>
      <c r="AF8174" s="508">
        <v>5.0000000000000001E-3</v>
      </c>
      <c r="AG8174" s="508">
        <v>5.0000000000000001E-3</v>
      </c>
      <c r="AH8174" s="508">
        <v>5.0000000000000001E-3</v>
      </c>
      <c r="AI8174" s="492">
        <v>5.0000000000000001E-3</v>
      </c>
      <c r="AJ8174" s="485"/>
    </row>
    <row r="8175" spans="2:36">
      <c r="B8175" s="136" t="s">
        <v>480</v>
      </c>
      <c r="C8175" s="132" t="s">
        <v>1366</v>
      </c>
      <c r="D8175" s="132" t="s">
        <v>1384</v>
      </c>
      <c r="E8175" s="508">
        <v>8.0000000000000002E-3</v>
      </c>
      <c r="F8175" s="508">
        <v>1.2999999999999999E-2</v>
      </c>
      <c r="G8175" s="508">
        <v>1.2999999999999999E-2</v>
      </c>
      <c r="H8175" s="508">
        <v>1.2999999999999999E-2</v>
      </c>
      <c r="I8175" s="508">
        <v>1.2999999999999999E-2</v>
      </c>
      <c r="J8175" s="508">
        <v>1.2999999999999999E-2</v>
      </c>
      <c r="K8175" s="508">
        <v>1.2999999999999999E-2</v>
      </c>
      <c r="L8175" s="508">
        <v>1.2999999999999999E-2</v>
      </c>
      <c r="M8175" s="508">
        <v>1.2999999999999999E-2</v>
      </c>
      <c r="N8175" s="508">
        <v>1.2999999999999999E-2</v>
      </c>
      <c r="O8175" s="508">
        <v>1.2999999999999999E-2</v>
      </c>
      <c r="P8175" s="508">
        <v>6.0000000000000001E-3</v>
      </c>
      <c r="Q8175" s="508">
        <v>6.0000000000000001E-3</v>
      </c>
      <c r="R8175" s="508">
        <v>6.0000000000000001E-3</v>
      </c>
      <c r="S8175" s="508">
        <v>6.0000000000000001E-3</v>
      </c>
      <c r="T8175" s="508">
        <v>6.0000000000000001E-3</v>
      </c>
      <c r="U8175" s="508">
        <v>6.0000000000000001E-3</v>
      </c>
      <c r="V8175" s="508">
        <v>6.0000000000000001E-3</v>
      </c>
      <c r="W8175" s="508">
        <v>6.0000000000000001E-3</v>
      </c>
      <c r="X8175" s="508">
        <v>6.0000000000000001E-3</v>
      </c>
      <c r="Y8175" s="508">
        <v>6.0000000000000001E-3</v>
      </c>
      <c r="Z8175" s="508">
        <v>6.0000000000000001E-3</v>
      </c>
      <c r="AA8175" s="508">
        <v>6.0000000000000001E-3</v>
      </c>
      <c r="AB8175" s="508">
        <v>6.0000000000000001E-3</v>
      </c>
      <c r="AC8175" s="508">
        <v>6.0000000000000001E-3</v>
      </c>
      <c r="AD8175" s="508">
        <v>6.0000000000000001E-3</v>
      </c>
      <c r="AE8175" s="508">
        <v>6.0000000000000001E-3</v>
      </c>
      <c r="AF8175" s="508">
        <v>5.0000000000000001E-3</v>
      </c>
      <c r="AG8175" s="508">
        <v>5.0000000000000001E-3</v>
      </c>
      <c r="AH8175" s="508">
        <v>5.0000000000000001E-3</v>
      </c>
      <c r="AI8175" s="492">
        <v>5.0000000000000001E-3</v>
      </c>
      <c r="AJ8175" s="485"/>
    </row>
    <row r="8176" spans="2:36">
      <c r="B8176" s="136" t="s">
        <v>481</v>
      </c>
      <c r="C8176" s="132" t="s">
        <v>1366</v>
      </c>
      <c r="D8176" s="132" t="s">
        <v>1384</v>
      </c>
      <c r="E8176" s="508">
        <v>8.0000000000000002E-3</v>
      </c>
      <c r="F8176" s="508">
        <v>1.4E-2</v>
      </c>
      <c r="G8176" s="508">
        <v>1.2999999999999999E-2</v>
      </c>
      <c r="H8176" s="508">
        <v>1.2999999999999999E-2</v>
      </c>
      <c r="I8176" s="508">
        <v>1.2999999999999999E-2</v>
      </c>
      <c r="J8176" s="508">
        <v>1.2999999999999999E-2</v>
      </c>
      <c r="K8176" s="508">
        <v>1.2999999999999999E-2</v>
      </c>
      <c r="L8176" s="508">
        <v>1.2999999999999999E-2</v>
      </c>
      <c r="M8176" s="508">
        <v>1.2999999999999999E-2</v>
      </c>
      <c r="N8176" s="508">
        <v>1.2999999999999999E-2</v>
      </c>
      <c r="O8176" s="508">
        <v>1.2999999999999999E-2</v>
      </c>
      <c r="P8176" s="508">
        <v>7.0000000000000001E-3</v>
      </c>
      <c r="Q8176" s="508">
        <v>7.0000000000000001E-3</v>
      </c>
      <c r="R8176" s="508">
        <v>7.0000000000000001E-3</v>
      </c>
      <c r="S8176" s="508">
        <v>7.0000000000000001E-3</v>
      </c>
      <c r="T8176" s="508">
        <v>7.0000000000000001E-3</v>
      </c>
      <c r="U8176" s="508">
        <v>7.0000000000000001E-3</v>
      </c>
      <c r="V8176" s="508">
        <v>7.0000000000000001E-3</v>
      </c>
      <c r="W8176" s="508">
        <v>7.0000000000000001E-3</v>
      </c>
      <c r="X8176" s="508">
        <v>7.0000000000000001E-3</v>
      </c>
      <c r="Y8176" s="508">
        <v>7.0000000000000001E-3</v>
      </c>
      <c r="Z8176" s="508">
        <v>7.0000000000000001E-3</v>
      </c>
      <c r="AA8176" s="508">
        <v>7.0000000000000001E-3</v>
      </c>
      <c r="AB8176" s="508">
        <v>7.0000000000000001E-3</v>
      </c>
      <c r="AC8176" s="508">
        <v>6.0000000000000001E-3</v>
      </c>
      <c r="AD8176" s="508">
        <v>7.0000000000000001E-3</v>
      </c>
      <c r="AE8176" s="508">
        <v>7.0000000000000001E-3</v>
      </c>
      <c r="AF8176" s="508">
        <v>5.0000000000000001E-3</v>
      </c>
      <c r="AG8176" s="508">
        <v>5.0000000000000001E-3</v>
      </c>
      <c r="AH8176" s="508">
        <v>5.0000000000000001E-3</v>
      </c>
      <c r="AI8176" s="492">
        <v>5.0000000000000001E-3</v>
      </c>
      <c r="AJ8176" s="485"/>
    </row>
    <row r="8177" spans="2:36">
      <c r="B8177" s="136" t="s">
        <v>482</v>
      </c>
      <c r="C8177" s="132" t="s">
        <v>1366</v>
      </c>
      <c r="D8177" s="132" t="s">
        <v>1384</v>
      </c>
      <c r="E8177" s="508">
        <v>8.0000000000000002E-3</v>
      </c>
      <c r="F8177" s="508">
        <v>1.4E-2</v>
      </c>
      <c r="G8177" s="508">
        <v>1.4E-2</v>
      </c>
      <c r="H8177" s="508">
        <v>1.4E-2</v>
      </c>
      <c r="I8177" s="508">
        <v>1.4E-2</v>
      </c>
      <c r="J8177" s="508">
        <v>1.4E-2</v>
      </c>
      <c r="K8177" s="508">
        <v>1.4E-2</v>
      </c>
      <c r="L8177" s="508">
        <v>1.2999999999999999E-2</v>
      </c>
      <c r="M8177" s="508">
        <v>1.2999999999999999E-2</v>
      </c>
      <c r="N8177" s="508">
        <v>1.2999999999999999E-2</v>
      </c>
      <c r="O8177" s="508">
        <v>1.2999999999999999E-2</v>
      </c>
      <c r="P8177" s="508">
        <v>7.0000000000000001E-3</v>
      </c>
      <c r="Q8177" s="508">
        <v>7.0000000000000001E-3</v>
      </c>
      <c r="R8177" s="508">
        <v>7.0000000000000001E-3</v>
      </c>
      <c r="S8177" s="508">
        <v>7.0000000000000001E-3</v>
      </c>
      <c r="T8177" s="508">
        <v>7.0000000000000001E-3</v>
      </c>
      <c r="U8177" s="508">
        <v>7.0000000000000001E-3</v>
      </c>
      <c r="V8177" s="508">
        <v>7.0000000000000001E-3</v>
      </c>
      <c r="W8177" s="508">
        <v>7.0000000000000001E-3</v>
      </c>
      <c r="X8177" s="508">
        <v>7.0000000000000001E-3</v>
      </c>
      <c r="Y8177" s="508">
        <v>7.0000000000000001E-3</v>
      </c>
      <c r="Z8177" s="508">
        <v>7.0000000000000001E-3</v>
      </c>
      <c r="AA8177" s="508">
        <v>7.0000000000000001E-3</v>
      </c>
      <c r="AB8177" s="508">
        <v>7.0000000000000001E-3</v>
      </c>
      <c r="AC8177" s="508">
        <v>7.0000000000000001E-3</v>
      </c>
      <c r="AD8177" s="508">
        <v>7.0000000000000001E-3</v>
      </c>
      <c r="AE8177" s="508">
        <v>7.0000000000000001E-3</v>
      </c>
      <c r="AF8177" s="508">
        <v>5.0000000000000001E-3</v>
      </c>
      <c r="AG8177" s="508">
        <v>5.0000000000000001E-3</v>
      </c>
      <c r="AH8177" s="508">
        <v>5.0000000000000001E-3</v>
      </c>
      <c r="AI8177" s="492">
        <v>5.0000000000000001E-3</v>
      </c>
      <c r="AJ8177" s="485"/>
    </row>
    <row r="8178" spans="2:36">
      <c r="B8178" s="136" t="s">
        <v>483</v>
      </c>
      <c r="C8178" s="132" t="s">
        <v>1366</v>
      </c>
      <c r="D8178" s="132" t="s">
        <v>1384</v>
      </c>
      <c r="E8178" s="508">
        <v>8.0000000000000002E-3</v>
      </c>
      <c r="F8178" s="508">
        <v>1.4E-2</v>
      </c>
      <c r="G8178" s="508">
        <v>1.4E-2</v>
      </c>
      <c r="H8178" s="508">
        <v>1.4E-2</v>
      </c>
      <c r="I8178" s="508">
        <v>1.4E-2</v>
      </c>
      <c r="J8178" s="508">
        <v>1.4E-2</v>
      </c>
      <c r="K8178" s="508">
        <v>1.4E-2</v>
      </c>
      <c r="L8178" s="508">
        <v>1.4E-2</v>
      </c>
      <c r="M8178" s="508">
        <v>1.4E-2</v>
      </c>
      <c r="N8178" s="508">
        <v>1.2999999999999999E-2</v>
      </c>
      <c r="O8178" s="508">
        <v>1.2999999999999999E-2</v>
      </c>
      <c r="P8178" s="508">
        <v>7.0000000000000001E-3</v>
      </c>
      <c r="Q8178" s="508">
        <v>7.0000000000000001E-3</v>
      </c>
      <c r="R8178" s="508">
        <v>7.0000000000000001E-3</v>
      </c>
      <c r="S8178" s="508">
        <v>7.0000000000000001E-3</v>
      </c>
      <c r="T8178" s="508">
        <v>7.0000000000000001E-3</v>
      </c>
      <c r="U8178" s="508">
        <v>7.0000000000000001E-3</v>
      </c>
      <c r="V8178" s="508">
        <v>7.0000000000000001E-3</v>
      </c>
      <c r="W8178" s="508">
        <v>7.0000000000000001E-3</v>
      </c>
      <c r="X8178" s="508">
        <v>7.0000000000000001E-3</v>
      </c>
      <c r="Y8178" s="508">
        <v>7.0000000000000001E-3</v>
      </c>
      <c r="Z8178" s="508">
        <v>7.0000000000000001E-3</v>
      </c>
      <c r="AA8178" s="508">
        <v>7.0000000000000001E-3</v>
      </c>
      <c r="AB8178" s="508">
        <v>7.0000000000000001E-3</v>
      </c>
      <c r="AC8178" s="508">
        <v>7.0000000000000001E-3</v>
      </c>
      <c r="AD8178" s="508">
        <v>7.0000000000000001E-3</v>
      </c>
      <c r="AE8178" s="508">
        <v>7.0000000000000001E-3</v>
      </c>
      <c r="AF8178" s="508">
        <v>5.0000000000000001E-3</v>
      </c>
      <c r="AG8178" s="508">
        <v>5.0000000000000001E-3</v>
      </c>
      <c r="AH8178" s="508">
        <v>5.0000000000000001E-3</v>
      </c>
      <c r="AI8178" s="492">
        <v>5.0000000000000001E-3</v>
      </c>
      <c r="AJ8178" s="485"/>
    </row>
    <row r="8179" spans="2:36">
      <c r="B8179" s="136" t="s">
        <v>484</v>
      </c>
      <c r="C8179" s="132" t="s">
        <v>1366</v>
      </c>
      <c r="D8179" s="132" t="s">
        <v>1384</v>
      </c>
      <c r="E8179" s="508">
        <v>8.0000000000000002E-3</v>
      </c>
      <c r="F8179" s="508">
        <v>1.2999999999999999E-2</v>
      </c>
      <c r="G8179" s="508">
        <v>1.2999999999999999E-2</v>
      </c>
      <c r="H8179" s="508">
        <v>1.2999999999999999E-2</v>
      </c>
      <c r="I8179" s="508">
        <v>1.2999999999999999E-2</v>
      </c>
      <c r="J8179" s="508">
        <v>1.2999999999999999E-2</v>
      </c>
      <c r="K8179" s="508">
        <v>1.2999999999999999E-2</v>
      </c>
      <c r="L8179" s="508">
        <v>1.2999999999999999E-2</v>
      </c>
      <c r="M8179" s="508">
        <v>1.2999999999999999E-2</v>
      </c>
      <c r="N8179" s="508">
        <v>1.2999999999999999E-2</v>
      </c>
      <c r="O8179" s="508">
        <v>1.2999999999999999E-2</v>
      </c>
      <c r="P8179" s="508">
        <v>6.0000000000000001E-3</v>
      </c>
      <c r="Q8179" s="508">
        <v>6.0000000000000001E-3</v>
      </c>
      <c r="R8179" s="508">
        <v>6.0000000000000001E-3</v>
      </c>
      <c r="S8179" s="508">
        <v>6.0000000000000001E-3</v>
      </c>
      <c r="T8179" s="508">
        <v>6.0000000000000001E-3</v>
      </c>
      <c r="U8179" s="508">
        <v>6.0000000000000001E-3</v>
      </c>
      <c r="V8179" s="508">
        <v>6.0000000000000001E-3</v>
      </c>
      <c r="W8179" s="508">
        <v>6.0000000000000001E-3</v>
      </c>
      <c r="X8179" s="508">
        <v>6.0000000000000001E-3</v>
      </c>
      <c r="Y8179" s="508">
        <v>6.0000000000000001E-3</v>
      </c>
      <c r="Z8179" s="508">
        <v>6.0000000000000001E-3</v>
      </c>
      <c r="AA8179" s="508">
        <v>6.0000000000000001E-3</v>
      </c>
      <c r="AB8179" s="508">
        <v>6.0000000000000001E-3</v>
      </c>
      <c r="AC8179" s="508">
        <v>6.0000000000000001E-3</v>
      </c>
      <c r="AD8179" s="508">
        <v>6.0000000000000001E-3</v>
      </c>
      <c r="AE8179" s="508">
        <v>6.0000000000000001E-3</v>
      </c>
      <c r="AF8179" s="508">
        <v>5.0000000000000001E-3</v>
      </c>
      <c r="AG8179" s="508">
        <v>5.0000000000000001E-3</v>
      </c>
      <c r="AH8179" s="508">
        <v>5.0000000000000001E-3</v>
      </c>
      <c r="AI8179" s="492">
        <v>5.0000000000000001E-3</v>
      </c>
      <c r="AJ8179" s="485"/>
    </row>
    <row r="8180" spans="2:36">
      <c r="B8180" s="136" t="s">
        <v>486</v>
      </c>
      <c r="C8180" s="132" t="s">
        <v>1366</v>
      </c>
      <c r="D8180" s="132" t="s">
        <v>1384</v>
      </c>
      <c r="E8180" s="508">
        <v>8.0000000000000002E-3</v>
      </c>
      <c r="F8180" s="508">
        <v>1.2999999999999999E-2</v>
      </c>
      <c r="G8180" s="508">
        <v>1.2999999999999999E-2</v>
      </c>
      <c r="H8180" s="508">
        <v>1.2999999999999999E-2</v>
      </c>
      <c r="I8180" s="508">
        <v>1.2999999999999999E-2</v>
      </c>
      <c r="J8180" s="508">
        <v>1.2999999999999999E-2</v>
      </c>
      <c r="K8180" s="508">
        <v>1.2999999999999999E-2</v>
      </c>
      <c r="L8180" s="508">
        <v>1.2999999999999999E-2</v>
      </c>
      <c r="M8180" s="508">
        <v>1.2999999999999999E-2</v>
      </c>
      <c r="N8180" s="508">
        <v>1.2999999999999999E-2</v>
      </c>
      <c r="O8180" s="508">
        <v>1.2999999999999999E-2</v>
      </c>
      <c r="P8180" s="508">
        <v>7.0000000000000001E-3</v>
      </c>
      <c r="Q8180" s="508">
        <v>7.0000000000000001E-3</v>
      </c>
      <c r="R8180" s="508">
        <v>7.0000000000000001E-3</v>
      </c>
      <c r="S8180" s="508">
        <v>7.0000000000000001E-3</v>
      </c>
      <c r="T8180" s="508">
        <v>7.0000000000000001E-3</v>
      </c>
      <c r="U8180" s="508">
        <v>7.0000000000000001E-3</v>
      </c>
      <c r="V8180" s="508">
        <v>7.0000000000000001E-3</v>
      </c>
      <c r="W8180" s="508">
        <v>7.0000000000000001E-3</v>
      </c>
      <c r="X8180" s="508">
        <v>7.0000000000000001E-3</v>
      </c>
      <c r="Y8180" s="508">
        <v>7.0000000000000001E-3</v>
      </c>
      <c r="Z8180" s="508">
        <v>7.0000000000000001E-3</v>
      </c>
      <c r="AA8180" s="508">
        <v>7.0000000000000001E-3</v>
      </c>
      <c r="AB8180" s="508">
        <v>7.0000000000000001E-3</v>
      </c>
      <c r="AC8180" s="508">
        <v>6.0000000000000001E-3</v>
      </c>
      <c r="AD8180" s="508">
        <v>7.0000000000000001E-3</v>
      </c>
      <c r="AE8180" s="508">
        <v>7.0000000000000001E-3</v>
      </c>
      <c r="AF8180" s="508">
        <v>5.0000000000000001E-3</v>
      </c>
      <c r="AG8180" s="508">
        <v>5.0000000000000001E-3</v>
      </c>
      <c r="AH8180" s="508">
        <v>5.0000000000000001E-3</v>
      </c>
      <c r="AI8180" s="492">
        <v>5.0000000000000001E-3</v>
      </c>
      <c r="AJ8180" s="485"/>
    </row>
    <row r="8181" spans="2:36">
      <c r="B8181" s="136" t="s">
        <v>487</v>
      </c>
      <c r="C8181" s="132" t="s">
        <v>1366</v>
      </c>
      <c r="D8181" s="132" t="s">
        <v>1384</v>
      </c>
      <c r="E8181" s="508">
        <v>8.0000000000000002E-3</v>
      </c>
      <c r="F8181" s="508">
        <v>1.2999999999999999E-2</v>
      </c>
      <c r="G8181" s="508">
        <v>1.2999999999999999E-2</v>
      </c>
      <c r="H8181" s="508">
        <v>1.2999999999999999E-2</v>
      </c>
      <c r="I8181" s="508">
        <v>1.2999999999999999E-2</v>
      </c>
      <c r="J8181" s="508">
        <v>1.2999999999999999E-2</v>
      </c>
      <c r="K8181" s="508">
        <v>1.2999999999999999E-2</v>
      </c>
      <c r="L8181" s="508">
        <v>1.2999999999999999E-2</v>
      </c>
      <c r="M8181" s="508">
        <v>1.2999999999999999E-2</v>
      </c>
      <c r="N8181" s="508">
        <v>1.2999999999999999E-2</v>
      </c>
      <c r="O8181" s="508">
        <v>1.2999999999999999E-2</v>
      </c>
      <c r="P8181" s="508">
        <v>7.0000000000000001E-3</v>
      </c>
      <c r="Q8181" s="508">
        <v>7.0000000000000001E-3</v>
      </c>
      <c r="R8181" s="508">
        <v>7.0000000000000001E-3</v>
      </c>
      <c r="S8181" s="508">
        <v>7.0000000000000001E-3</v>
      </c>
      <c r="T8181" s="508">
        <v>7.0000000000000001E-3</v>
      </c>
      <c r="U8181" s="508">
        <v>6.0000000000000001E-3</v>
      </c>
      <c r="V8181" s="508">
        <v>6.0000000000000001E-3</v>
      </c>
      <c r="W8181" s="508">
        <v>6.0000000000000001E-3</v>
      </c>
      <c r="X8181" s="508">
        <v>6.0000000000000001E-3</v>
      </c>
      <c r="Y8181" s="508">
        <v>6.0000000000000001E-3</v>
      </c>
      <c r="Z8181" s="508">
        <v>6.0000000000000001E-3</v>
      </c>
      <c r="AA8181" s="508">
        <v>6.0000000000000001E-3</v>
      </c>
      <c r="AB8181" s="508">
        <v>6.0000000000000001E-3</v>
      </c>
      <c r="AC8181" s="508">
        <v>6.0000000000000001E-3</v>
      </c>
      <c r="AD8181" s="508">
        <v>6.0000000000000001E-3</v>
      </c>
      <c r="AE8181" s="508">
        <v>7.0000000000000001E-3</v>
      </c>
      <c r="AF8181" s="508">
        <v>5.0000000000000001E-3</v>
      </c>
      <c r="AG8181" s="508">
        <v>5.0000000000000001E-3</v>
      </c>
      <c r="AH8181" s="508">
        <v>5.0000000000000001E-3</v>
      </c>
      <c r="AI8181" s="492">
        <v>5.0000000000000001E-3</v>
      </c>
      <c r="AJ8181" s="485"/>
    </row>
    <row r="8182" spans="2:36">
      <c r="B8182" s="136" t="s">
        <v>488</v>
      </c>
      <c r="C8182" s="132" t="s">
        <v>1366</v>
      </c>
      <c r="D8182" s="132" t="s">
        <v>1384</v>
      </c>
      <c r="E8182" s="508">
        <v>8.0000000000000002E-3</v>
      </c>
      <c r="F8182" s="508">
        <v>1.2999999999999999E-2</v>
      </c>
      <c r="G8182" s="508">
        <v>1.2999999999999999E-2</v>
      </c>
      <c r="H8182" s="508">
        <v>1.2999999999999999E-2</v>
      </c>
      <c r="I8182" s="508">
        <v>1.2999999999999999E-2</v>
      </c>
      <c r="J8182" s="508">
        <v>1.2999999999999999E-2</v>
      </c>
      <c r="K8182" s="508">
        <v>1.2999999999999999E-2</v>
      </c>
      <c r="L8182" s="508">
        <v>1.2999999999999999E-2</v>
      </c>
      <c r="M8182" s="508">
        <v>1.2999999999999999E-2</v>
      </c>
      <c r="N8182" s="508">
        <v>1.2999999999999999E-2</v>
      </c>
      <c r="O8182" s="508">
        <v>1.2999999999999999E-2</v>
      </c>
      <c r="P8182" s="508">
        <v>6.0000000000000001E-3</v>
      </c>
      <c r="Q8182" s="508">
        <v>6.0000000000000001E-3</v>
      </c>
      <c r="R8182" s="508">
        <v>6.0000000000000001E-3</v>
      </c>
      <c r="S8182" s="508">
        <v>6.0000000000000001E-3</v>
      </c>
      <c r="T8182" s="508">
        <v>6.0000000000000001E-3</v>
      </c>
      <c r="U8182" s="508">
        <v>6.0000000000000001E-3</v>
      </c>
      <c r="V8182" s="508">
        <v>6.0000000000000001E-3</v>
      </c>
      <c r="W8182" s="508">
        <v>6.0000000000000001E-3</v>
      </c>
      <c r="X8182" s="508">
        <v>6.0000000000000001E-3</v>
      </c>
      <c r="Y8182" s="508">
        <v>6.0000000000000001E-3</v>
      </c>
      <c r="Z8182" s="508">
        <v>6.0000000000000001E-3</v>
      </c>
      <c r="AA8182" s="508">
        <v>6.0000000000000001E-3</v>
      </c>
      <c r="AB8182" s="508">
        <v>6.0000000000000001E-3</v>
      </c>
      <c r="AC8182" s="508">
        <v>6.0000000000000001E-3</v>
      </c>
      <c r="AD8182" s="508">
        <v>6.0000000000000001E-3</v>
      </c>
      <c r="AE8182" s="508">
        <v>6.0000000000000001E-3</v>
      </c>
      <c r="AF8182" s="508">
        <v>5.0000000000000001E-3</v>
      </c>
      <c r="AG8182" s="508">
        <v>5.0000000000000001E-3</v>
      </c>
      <c r="AH8182" s="508">
        <v>5.0000000000000001E-3</v>
      </c>
      <c r="AI8182" s="492">
        <v>5.0000000000000001E-3</v>
      </c>
      <c r="AJ8182" s="485"/>
    </row>
    <row r="8183" spans="2:36">
      <c r="B8183" s="136" t="s">
        <v>489</v>
      </c>
      <c r="C8183" s="132" t="s">
        <v>1366</v>
      </c>
      <c r="D8183" s="132" t="s">
        <v>1384</v>
      </c>
      <c r="E8183" s="508">
        <v>8.0000000000000002E-3</v>
      </c>
      <c r="F8183" s="508">
        <v>1.2999999999999999E-2</v>
      </c>
      <c r="G8183" s="508">
        <v>1.2999999999999999E-2</v>
      </c>
      <c r="H8183" s="508">
        <v>1.2999999999999999E-2</v>
      </c>
      <c r="I8183" s="508">
        <v>1.2999999999999999E-2</v>
      </c>
      <c r="J8183" s="508">
        <v>1.2999999999999999E-2</v>
      </c>
      <c r="K8183" s="508">
        <v>1.2999999999999999E-2</v>
      </c>
      <c r="L8183" s="508">
        <v>1.2999999999999999E-2</v>
      </c>
      <c r="M8183" s="508">
        <v>1.2999999999999999E-2</v>
      </c>
      <c r="N8183" s="508">
        <v>1.2999999999999999E-2</v>
      </c>
      <c r="O8183" s="508">
        <v>1.2999999999999999E-2</v>
      </c>
      <c r="P8183" s="508">
        <v>7.0000000000000001E-3</v>
      </c>
      <c r="Q8183" s="508">
        <v>7.0000000000000001E-3</v>
      </c>
      <c r="R8183" s="508">
        <v>6.0000000000000001E-3</v>
      </c>
      <c r="S8183" s="508">
        <v>6.0000000000000001E-3</v>
      </c>
      <c r="T8183" s="508">
        <v>6.0000000000000001E-3</v>
      </c>
      <c r="U8183" s="508">
        <v>6.0000000000000001E-3</v>
      </c>
      <c r="V8183" s="508">
        <v>6.0000000000000001E-3</v>
      </c>
      <c r="W8183" s="508">
        <v>6.0000000000000001E-3</v>
      </c>
      <c r="X8183" s="508">
        <v>6.0000000000000001E-3</v>
      </c>
      <c r="Y8183" s="508">
        <v>6.0000000000000001E-3</v>
      </c>
      <c r="Z8183" s="508">
        <v>6.0000000000000001E-3</v>
      </c>
      <c r="AA8183" s="508">
        <v>6.0000000000000001E-3</v>
      </c>
      <c r="AB8183" s="508">
        <v>6.0000000000000001E-3</v>
      </c>
      <c r="AC8183" s="508">
        <v>6.0000000000000001E-3</v>
      </c>
      <c r="AD8183" s="508">
        <v>6.0000000000000001E-3</v>
      </c>
      <c r="AE8183" s="508">
        <v>6.0000000000000001E-3</v>
      </c>
      <c r="AF8183" s="508">
        <v>5.0000000000000001E-3</v>
      </c>
      <c r="AG8183" s="508">
        <v>5.0000000000000001E-3</v>
      </c>
      <c r="AH8183" s="508">
        <v>5.0000000000000001E-3</v>
      </c>
      <c r="AI8183" s="492">
        <v>5.0000000000000001E-3</v>
      </c>
      <c r="AJ8183" s="485"/>
    </row>
    <row r="8184" spans="2:36">
      <c r="B8184" s="136" t="s">
        <v>490</v>
      </c>
      <c r="C8184" s="132" t="s">
        <v>1366</v>
      </c>
      <c r="D8184" s="132" t="s">
        <v>1384</v>
      </c>
      <c r="E8184" s="508">
        <v>8.0000000000000002E-3</v>
      </c>
      <c r="F8184" s="508">
        <v>1.2999999999999999E-2</v>
      </c>
      <c r="G8184" s="508">
        <v>1.2999999999999999E-2</v>
      </c>
      <c r="H8184" s="508">
        <v>1.2999999999999999E-2</v>
      </c>
      <c r="I8184" s="508">
        <v>1.2999999999999999E-2</v>
      </c>
      <c r="J8184" s="508">
        <v>1.2999999999999999E-2</v>
      </c>
      <c r="K8184" s="508">
        <v>1.2999999999999999E-2</v>
      </c>
      <c r="L8184" s="508">
        <v>1.2999999999999999E-2</v>
      </c>
      <c r="M8184" s="508">
        <v>1.2999999999999999E-2</v>
      </c>
      <c r="N8184" s="508">
        <v>1.2999999999999999E-2</v>
      </c>
      <c r="O8184" s="508">
        <v>1.2999999999999999E-2</v>
      </c>
      <c r="P8184" s="508">
        <v>6.0000000000000001E-3</v>
      </c>
      <c r="Q8184" s="508">
        <v>6.0000000000000001E-3</v>
      </c>
      <c r="R8184" s="508">
        <v>6.0000000000000001E-3</v>
      </c>
      <c r="S8184" s="508">
        <v>6.0000000000000001E-3</v>
      </c>
      <c r="T8184" s="508">
        <v>6.0000000000000001E-3</v>
      </c>
      <c r="U8184" s="508">
        <v>6.0000000000000001E-3</v>
      </c>
      <c r="V8184" s="508">
        <v>6.0000000000000001E-3</v>
      </c>
      <c r="W8184" s="508">
        <v>6.0000000000000001E-3</v>
      </c>
      <c r="X8184" s="508">
        <v>6.0000000000000001E-3</v>
      </c>
      <c r="Y8184" s="508">
        <v>6.0000000000000001E-3</v>
      </c>
      <c r="Z8184" s="508">
        <v>6.0000000000000001E-3</v>
      </c>
      <c r="AA8184" s="508">
        <v>6.0000000000000001E-3</v>
      </c>
      <c r="AB8184" s="508">
        <v>6.0000000000000001E-3</v>
      </c>
      <c r="AC8184" s="508">
        <v>6.0000000000000001E-3</v>
      </c>
      <c r="AD8184" s="508">
        <v>6.0000000000000001E-3</v>
      </c>
      <c r="AE8184" s="508">
        <v>6.0000000000000001E-3</v>
      </c>
      <c r="AF8184" s="508">
        <v>5.0000000000000001E-3</v>
      </c>
      <c r="AG8184" s="508">
        <v>5.0000000000000001E-3</v>
      </c>
      <c r="AH8184" s="508">
        <v>5.0000000000000001E-3</v>
      </c>
      <c r="AI8184" s="492">
        <v>5.0000000000000001E-3</v>
      </c>
      <c r="AJ8184" s="485"/>
    </row>
    <row r="8185" spans="2:36">
      <c r="B8185" s="136" t="s">
        <v>435</v>
      </c>
      <c r="C8185" s="132" t="s">
        <v>1367</v>
      </c>
      <c r="D8185" s="132" t="s">
        <v>1384</v>
      </c>
      <c r="E8185" s="508">
        <v>2.5379999999999998</v>
      </c>
      <c r="F8185" s="508">
        <v>2.512</v>
      </c>
      <c r="G8185" s="508">
        <v>2.4889999999999999</v>
      </c>
      <c r="H8185" s="508">
        <v>2.464</v>
      </c>
      <c r="I8185" s="508">
        <v>2.4249999999999998</v>
      </c>
      <c r="J8185" s="508">
        <v>2.3780000000000001</v>
      </c>
      <c r="K8185" s="508">
        <v>2.3109999999999999</v>
      </c>
      <c r="L8185" s="508">
        <v>2.2599999999999998</v>
      </c>
      <c r="M8185" s="508">
        <v>2.1949999999999998</v>
      </c>
      <c r="N8185" s="508">
        <v>2.137</v>
      </c>
      <c r="O8185" s="508">
        <v>2.073</v>
      </c>
      <c r="P8185" s="508">
        <v>0.81399999999999995</v>
      </c>
      <c r="Q8185" s="508">
        <v>0.76500000000000001</v>
      </c>
      <c r="R8185" s="508">
        <v>0.499</v>
      </c>
      <c r="S8185" s="508">
        <v>0.37</v>
      </c>
      <c r="T8185" s="508">
        <v>0.315</v>
      </c>
      <c r="U8185" s="508">
        <v>0.191</v>
      </c>
      <c r="V8185" s="508">
        <v>0.185</v>
      </c>
      <c r="W8185" s="508">
        <v>0.17899999999999999</v>
      </c>
      <c r="X8185" s="508">
        <v>0.13500000000000001</v>
      </c>
      <c r="Y8185" s="508">
        <v>0.13100000000000001</v>
      </c>
      <c r="Z8185" s="508">
        <v>8.6999999999999994E-2</v>
      </c>
      <c r="AA8185" s="508">
        <v>8.4000000000000005E-2</v>
      </c>
      <c r="AB8185" s="508">
        <v>7.2999999999999995E-2</v>
      </c>
      <c r="AC8185" s="508">
        <v>7.0999999999999994E-2</v>
      </c>
      <c r="AD8185" s="508">
        <v>6.0999999999999999E-2</v>
      </c>
      <c r="AE8185" s="508">
        <v>0.06</v>
      </c>
      <c r="AF8185" s="508">
        <v>4.9000000000000002E-2</v>
      </c>
      <c r="AG8185" s="508">
        <v>4.8000000000000001E-2</v>
      </c>
      <c r="AH8185" s="508">
        <v>4.7E-2</v>
      </c>
      <c r="AI8185" s="492">
        <v>4.5999999999999999E-2</v>
      </c>
      <c r="AJ8185" s="485"/>
    </row>
    <row r="8186" spans="2:36">
      <c r="B8186" s="136" t="s">
        <v>436</v>
      </c>
      <c r="C8186" s="132" t="s">
        <v>1367</v>
      </c>
      <c r="D8186" s="132" t="s">
        <v>1384</v>
      </c>
      <c r="E8186" s="508">
        <v>1.5529999999999999</v>
      </c>
      <c r="F8186" s="508">
        <v>1.5309999999999999</v>
      </c>
      <c r="G8186" s="508">
        <v>1.518</v>
      </c>
      <c r="H8186" s="508">
        <v>1.5029999999999999</v>
      </c>
      <c r="I8186" s="508">
        <v>1.482</v>
      </c>
      <c r="J8186" s="508">
        <v>1.456</v>
      </c>
      <c r="K8186" s="508">
        <v>1.419</v>
      </c>
      <c r="L8186" s="508">
        <v>1.3919999999999999</v>
      </c>
      <c r="M8186" s="508">
        <v>1.357</v>
      </c>
      <c r="N8186" s="508">
        <v>1.325</v>
      </c>
      <c r="O8186" s="508">
        <v>1.2909999999999999</v>
      </c>
      <c r="P8186" s="508">
        <v>0.44500000000000001</v>
      </c>
      <c r="Q8186" s="508">
        <v>0.42499999999999999</v>
      </c>
      <c r="R8186" s="508">
        <v>0.311</v>
      </c>
      <c r="S8186" s="508">
        <v>0.24399999999999999</v>
      </c>
      <c r="T8186" s="508">
        <v>0.21299999999999999</v>
      </c>
      <c r="U8186" s="508">
        <v>0.113</v>
      </c>
      <c r="V8186" s="508">
        <v>0.11</v>
      </c>
      <c r="W8186" s="508">
        <v>0.107</v>
      </c>
      <c r="X8186" s="508">
        <v>8.4000000000000005E-2</v>
      </c>
      <c r="Y8186" s="508">
        <v>8.2000000000000003E-2</v>
      </c>
      <c r="Z8186" s="508">
        <v>4.9000000000000002E-2</v>
      </c>
      <c r="AA8186" s="508">
        <v>4.8000000000000001E-2</v>
      </c>
      <c r="AB8186" s="508">
        <v>4.2999999999999997E-2</v>
      </c>
      <c r="AC8186" s="508">
        <v>4.2000000000000003E-2</v>
      </c>
      <c r="AD8186" s="508">
        <v>3.7999999999999999E-2</v>
      </c>
      <c r="AE8186" s="508">
        <v>3.6999999999999998E-2</v>
      </c>
      <c r="AF8186" s="508">
        <v>3.2000000000000001E-2</v>
      </c>
      <c r="AG8186" s="508">
        <v>3.1E-2</v>
      </c>
      <c r="AH8186" s="508">
        <v>0.03</v>
      </c>
      <c r="AI8186" s="492">
        <v>0.03</v>
      </c>
      <c r="AJ8186" s="485"/>
    </row>
    <row r="8187" spans="2:36">
      <c r="B8187" s="136" t="s">
        <v>437</v>
      </c>
      <c r="C8187" s="132" t="s">
        <v>1367</v>
      </c>
      <c r="D8187" s="132" t="s">
        <v>1384</v>
      </c>
      <c r="E8187" s="508">
        <v>2.7959999999999998</v>
      </c>
      <c r="F8187" s="508">
        <v>2.7730000000000001</v>
      </c>
      <c r="G8187" s="508">
        <v>2.746</v>
      </c>
      <c r="H8187" s="508">
        <v>2.72</v>
      </c>
      <c r="I8187" s="508">
        <v>2.6760000000000002</v>
      </c>
      <c r="J8187" s="508">
        <v>2.6240000000000001</v>
      </c>
      <c r="K8187" s="508">
        <v>2.5489999999999999</v>
      </c>
      <c r="L8187" s="508">
        <v>2.492</v>
      </c>
      <c r="M8187" s="508">
        <v>2.42</v>
      </c>
      <c r="N8187" s="508">
        <v>2.3540000000000001</v>
      </c>
      <c r="O8187" s="508">
        <v>2.2829999999999999</v>
      </c>
      <c r="P8187" s="508">
        <v>0.97699999999999998</v>
      </c>
      <c r="Q8187" s="508">
        <v>0.90700000000000003</v>
      </c>
      <c r="R8187" s="508">
        <v>0.56200000000000006</v>
      </c>
      <c r="S8187" s="508">
        <v>0.41199999999999998</v>
      </c>
      <c r="T8187" s="508">
        <v>0.35199999999999998</v>
      </c>
      <c r="U8187" s="508">
        <v>0.224</v>
      </c>
      <c r="V8187" s="508">
        <v>0.215</v>
      </c>
      <c r="W8187" s="508">
        <v>0.20799999999999999</v>
      </c>
      <c r="X8187" s="508">
        <v>0.15</v>
      </c>
      <c r="Y8187" s="508">
        <v>0.14499999999999999</v>
      </c>
      <c r="Z8187" s="508">
        <v>9.9000000000000005E-2</v>
      </c>
      <c r="AA8187" s="508">
        <v>9.6000000000000002E-2</v>
      </c>
      <c r="AB8187" s="508">
        <v>8.3000000000000004E-2</v>
      </c>
      <c r="AC8187" s="508">
        <v>8.1000000000000003E-2</v>
      </c>
      <c r="AD8187" s="508">
        <v>7.0000000000000007E-2</v>
      </c>
      <c r="AE8187" s="508">
        <v>6.9000000000000006E-2</v>
      </c>
      <c r="AF8187" s="508">
        <v>5.7000000000000002E-2</v>
      </c>
      <c r="AG8187" s="508">
        <v>5.7000000000000002E-2</v>
      </c>
      <c r="AH8187" s="508">
        <v>5.5E-2</v>
      </c>
      <c r="AI8187" s="492">
        <v>5.3999999999999999E-2</v>
      </c>
      <c r="AJ8187" s="485"/>
    </row>
    <row r="8188" spans="2:36">
      <c r="B8188" s="136" t="s">
        <v>438</v>
      </c>
      <c r="C8188" s="132" t="s">
        <v>1367</v>
      </c>
      <c r="D8188" s="132" t="s">
        <v>1384</v>
      </c>
      <c r="E8188" s="508">
        <v>2.4220000000000002</v>
      </c>
      <c r="F8188" s="508">
        <v>2.3969999999999998</v>
      </c>
      <c r="G8188" s="508">
        <v>2.375</v>
      </c>
      <c r="H8188" s="508">
        <v>2.351</v>
      </c>
      <c r="I8188" s="508">
        <v>2.3130000000000002</v>
      </c>
      <c r="J8188" s="508">
        <v>2.2679999999999998</v>
      </c>
      <c r="K8188" s="508">
        <v>2.2029999999999998</v>
      </c>
      <c r="L8188" s="508">
        <v>2.1539999999999999</v>
      </c>
      <c r="M8188" s="508">
        <v>2.0910000000000002</v>
      </c>
      <c r="N8188" s="508">
        <v>2.0350000000000001</v>
      </c>
      <c r="O8188" s="508">
        <v>1.974</v>
      </c>
      <c r="P8188" s="508">
        <v>0.77500000000000002</v>
      </c>
      <c r="Q8188" s="508">
        <v>0.72799999999999998</v>
      </c>
      <c r="R8188" s="508">
        <v>0.47599999999999998</v>
      </c>
      <c r="S8188" s="508">
        <v>0.35399999999999998</v>
      </c>
      <c r="T8188" s="508">
        <v>0.30199999999999999</v>
      </c>
      <c r="U8188" s="508">
        <v>0.182</v>
      </c>
      <c r="V8188" s="508">
        <v>0.17599999999999999</v>
      </c>
      <c r="W8188" s="508">
        <v>0.17</v>
      </c>
      <c r="X8188" s="508">
        <v>0.129</v>
      </c>
      <c r="Y8188" s="508">
        <v>0.125</v>
      </c>
      <c r="Z8188" s="508">
        <v>8.3000000000000004E-2</v>
      </c>
      <c r="AA8188" s="508">
        <v>0.08</v>
      </c>
      <c r="AB8188" s="508">
        <v>7.0000000000000007E-2</v>
      </c>
      <c r="AC8188" s="508">
        <v>6.8000000000000005E-2</v>
      </c>
      <c r="AD8188" s="508">
        <v>5.8999999999999997E-2</v>
      </c>
      <c r="AE8188" s="508">
        <v>5.7000000000000002E-2</v>
      </c>
      <c r="AF8188" s="508">
        <v>4.7E-2</v>
      </c>
      <c r="AG8188" s="508">
        <v>4.5999999999999999E-2</v>
      </c>
      <c r="AH8188" s="508">
        <v>4.4999999999999998E-2</v>
      </c>
      <c r="AI8188" s="492">
        <v>4.3999999999999997E-2</v>
      </c>
      <c r="AJ8188" s="485"/>
    </row>
    <row r="8189" spans="2:36">
      <c r="B8189" s="136" t="s">
        <v>439</v>
      </c>
      <c r="C8189" s="132" t="s">
        <v>1367</v>
      </c>
      <c r="D8189" s="132" t="s">
        <v>1384</v>
      </c>
      <c r="E8189" s="508">
        <v>2.2629999999999999</v>
      </c>
      <c r="F8189" s="508">
        <v>2.2410000000000001</v>
      </c>
      <c r="G8189" s="508">
        <v>2.2200000000000002</v>
      </c>
      <c r="H8189" s="508">
        <v>2.1970000000000001</v>
      </c>
      <c r="I8189" s="508">
        <v>2.1619999999999999</v>
      </c>
      <c r="J8189" s="508">
        <v>2.12</v>
      </c>
      <c r="K8189" s="508">
        <v>2.0609999999999999</v>
      </c>
      <c r="L8189" s="508">
        <v>2.0150000000000001</v>
      </c>
      <c r="M8189" s="508">
        <v>1.958</v>
      </c>
      <c r="N8189" s="508">
        <v>1.905</v>
      </c>
      <c r="O8189" s="508">
        <v>1.8480000000000001</v>
      </c>
      <c r="P8189" s="508">
        <v>0.70099999999999996</v>
      </c>
      <c r="Q8189" s="508">
        <v>0.65900000000000003</v>
      </c>
      <c r="R8189" s="508">
        <v>0.437</v>
      </c>
      <c r="S8189" s="508">
        <v>0.33</v>
      </c>
      <c r="T8189" s="508">
        <v>0.28499999999999998</v>
      </c>
      <c r="U8189" s="508">
        <v>0.16800000000000001</v>
      </c>
      <c r="V8189" s="508">
        <v>0.16300000000000001</v>
      </c>
      <c r="W8189" s="508">
        <v>0.158</v>
      </c>
      <c r="X8189" s="508">
        <v>0.121</v>
      </c>
      <c r="Y8189" s="508">
        <v>0.11700000000000001</v>
      </c>
      <c r="Z8189" s="508">
        <v>7.6999999999999999E-2</v>
      </c>
      <c r="AA8189" s="508">
        <v>7.4999999999999997E-2</v>
      </c>
      <c r="AB8189" s="508">
        <v>6.5000000000000002E-2</v>
      </c>
      <c r="AC8189" s="508">
        <v>6.4000000000000001E-2</v>
      </c>
      <c r="AD8189" s="508">
        <v>5.5E-2</v>
      </c>
      <c r="AE8189" s="508">
        <v>5.3999999999999999E-2</v>
      </c>
      <c r="AF8189" s="508">
        <v>4.4999999999999998E-2</v>
      </c>
      <c r="AG8189" s="508">
        <v>4.3999999999999997E-2</v>
      </c>
      <c r="AH8189" s="508">
        <v>4.2999999999999997E-2</v>
      </c>
      <c r="AI8189" s="492">
        <v>4.2000000000000003E-2</v>
      </c>
      <c r="AJ8189" s="485"/>
    </row>
    <row r="8190" spans="2:36">
      <c r="B8190" s="136" t="s">
        <v>440</v>
      </c>
      <c r="C8190" s="132" t="s">
        <v>1367</v>
      </c>
      <c r="D8190" s="132" t="s">
        <v>1384</v>
      </c>
      <c r="E8190" s="508">
        <v>2.0409999999999999</v>
      </c>
      <c r="F8190" s="508">
        <v>2.0209999999999999</v>
      </c>
      <c r="G8190" s="508">
        <v>2.0030000000000001</v>
      </c>
      <c r="H8190" s="508">
        <v>1.984</v>
      </c>
      <c r="I8190" s="508">
        <v>1.954</v>
      </c>
      <c r="J8190" s="508">
        <v>1.917</v>
      </c>
      <c r="K8190" s="508">
        <v>1.865</v>
      </c>
      <c r="L8190" s="508">
        <v>1.825</v>
      </c>
      <c r="M8190" s="508">
        <v>1.7749999999999999</v>
      </c>
      <c r="N8190" s="508">
        <v>1.73</v>
      </c>
      <c r="O8190" s="508">
        <v>1.681</v>
      </c>
      <c r="P8190" s="508">
        <v>0.63600000000000001</v>
      </c>
      <c r="Q8190" s="508">
        <v>0.6</v>
      </c>
      <c r="R8190" s="508">
        <v>0.41499999999999998</v>
      </c>
      <c r="S8190" s="508">
        <v>0.31900000000000001</v>
      </c>
      <c r="T8190" s="508">
        <v>0.27600000000000002</v>
      </c>
      <c r="U8190" s="508">
        <v>0.16200000000000001</v>
      </c>
      <c r="V8190" s="508">
        <v>0.157</v>
      </c>
      <c r="W8190" s="508">
        <v>0.152</v>
      </c>
      <c r="X8190" s="508">
        <v>0.113</v>
      </c>
      <c r="Y8190" s="508">
        <v>0.11</v>
      </c>
      <c r="Z8190" s="508">
        <v>7.0000000000000007E-2</v>
      </c>
      <c r="AA8190" s="508">
        <v>6.8000000000000005E-2</v>
      </c>
      <c r="AB8190" s="508">
        <v>5.8999999999999997E-2</v>
      </c>
      <c r="AC8190" s="508">
        <v>5.8000000000000003E-2</v>
      </c>
      <c r="AD8190" s="508">
        <v>5.0999999999999997E-2</v>
      </c>
      <c r="AE8190" s="508">
        <v>0.05</v>
      </c>
      <c r="AF8190" s="508">
        <v>4.1000000000000002E-2</v>
      </c>
      <c r="AG8190" s="508">
        <v>0.04</v>
      </c>
      <c r="AH8190" s="508">
        <v>0.04</v>
      </c>
      <c r="AI8190" s="492">
        <v>3.9E-2</v>
      </c>
      <c r="AJ8190" s="485"/>
    </row>
    <row r="8191" spans="2:36">
      <c r="B8191" s="136" t="s">
        <v>441</v>
      </c>
      <c r="C8191" s="132" t="s">
        <v>1367</v>
      </c>
      <c r="D8191" s="132" t="s">
        <v>1384</v>
      </c>
      <c r="E8191" s="508">
        <v>1.901</v>
      </c>
      <c r="F8191" s="508">
        <v>1.88</v>
      </c>
      <c r="G8191" s="508">
        <v>1.7729999999999999</v>
      </c>
      <c r="H8191" s="508">
        <v>1.754</v>
      </c>
      <c r="I8191" s="508">
        <v>1.728</v>
      </c>
      <c r="J8191" s="508">
        <v>1.696</v>
      </c>
      <c r="K8191" s="508">
        <v>1.6519999999999999</v>
      </c>
      <c r="L8191" s="508">
        <v>1.617</v>
      </c>
      <c r="M8191" s="508">
        <v>1.573</v>
      </c>
      <c r="N8191" s="508">
        <v>1.534</v>
      </c>
      <c r="O8191" s="508">
        <v>1.492</v>
      </c>
      <c r="P8191" s="508">
        <v>0.56299999999999994</v>
      </c>
      <c r="Q8191" s="508">
        <v>0.53</v>
      </c>
      <c r="R8191" s="508">
        <v>0.36099999999999999</v>
      </c>
      <c r="S8191" s="508">
        <v>0.27700000000000002</v>
      </c>
      <c r="T8191" s="508">
        <v>0.24099999999999999</v>
      </c>
      <c r="U8191" s="508">
        <v>0.13600000000000001</v>
      </c>
      <c r="V8191" s="508">
        <v>0.13200000000000001</v>
      </c>
      <c r="W8191" s="508">
        <v>0.128</v>
      </c>
      <c r="X8191" s="508">
        <v>9.8000000000000004E-2</v>
      </c>
      <c r="Y8191" s="508">
        <v>9.5000000000000001E-2</v>
      </c>
      <c r="Z8191" s="508">
        <v>0.06</v>
      </c>
      <c r="AA8191" s="508">
        <v>5.8999999999999997E-2</v>
      </c>
      <c r="AB8191" s="508">
        <v>5.1999999999999998E-2</v>
      </c>
      <c r="AC8191" s="508">
        <v>5.0999999999999997E-2</v>
      </c>
      <c r="AD8191" s="508">
        <v>4.4999999999999998E-2</v>
      </c>
      <c r="AE8191" s="508">
        <v>4.3999999999999997E-2</v>
      </c>
      <c r="AF8191" s="508">
        <v>3.7999999999999999E-2</v>
      </c>
      <c r="AG8191" s="508">
        <v>3.7999999999999999E-2</v>
      </c>
      <c r="AH8191" s="508">
        <v>3.6999999999999998E-2</v>
      </c>
      <c r="AI8191" s="492">
        <v>3.5999999999999997E-2</v>
      </c>
      <c r="AJ8191" s="485"/>
    </row>
    <row r="8192" spans="2:36">
      <c r="B8192" s="136" t="s">
        <v>443</v>
      </c>
      <c r="C8192" s="132" t="s">
        <v>1367</v>
      </c>
      <c r="D8192" s="132" t="s">
        <v>1384</v>
      </c>
      <c r="E8192" s="508">
        <v>1.99</v>
      </c>
      <c r="F8192" s="508">
        <v>1.9670000000000001</v>
      </c>
      <c r="G8192" s="508">
        <v>1.95</v>
      </c>
      <c r="H8192" s="508">
        <v>1.929</v>
      </c>
      <c r="I8192" s="508">
        <v>1.901</v>
      </c>
      <c r="J8192" s="508">
        <v>1.8660000000000001</v>
      </c>
      <c r="K8192" s="508">
        <v>1.8160000000000001</v>
      </c>
      <c r="L8192" s="508">
        <v>1.778</v>
      </c>
      <c r="M8192" s="508">
        <v>1.73</v>
      </c>
      <c r="N8192" s="508">
        <v>1.6859999999999999</v>
      </c>
      <c r="O8192" s="508">
        <v>1.639</v>
      </c>
      <c r="P8192" s="508">
        <v>0.63100000000000001</v>
      </c>
      <c r="Q8192" s="508">
        <v>0.59399999999999997</v>
      </c>
      <c r="R8192" s="508">
        <v>0.39700000000000002</v>
      </c>
      <c r="S8192" s="508">
        <v>0.30299999999999999</v>
      </c>
      <c r="T8192" s="508">
        <v>0.26300000000000001</v>
      </c>
      <c r="U8192" s="508">
        <v>0.151</v>
      </c>
      <c r="V8192" s="508">
        <v>0.14599999999999999</v>
      </c>
      <c r="W8192" s="508">
        <v>0.14199999999999999</v>
      </c>
      <c r="X8192" s="508">
        <v>0.109</v>
      </c>
      <c r="Y8192" s="508">
        <v>0.106</v>
      </c>
      <c r="Z8192" s="508">
        <v>6.8000000000000005E-2</v>
      </c>
      <c r="AA8192" s="508">
        <v>6.6000000000000003E-2</v>
      </c>
      <c r="AB8192" s="508">
        <v>5.8999999999999997E-2</v>
      </c>
      <c r="AC8192" s="508">
        <v>5.7000000000000002E-2</v>
      </c>
      <c r="AD8192" s="508">
        <v>0.05</v>
      </c>
      <c r="AE8192" s="508">
        <v>0.05</v>
      </c>
      <c r="AF8192" s="508">
        <v>4.2000000000000003E-2</v>
      </c>
      <c r="AG8192" s="508">
        <v>4.1000000000000002E-2</v>
      </c>
      <c r="AH8192" s="508">
        <v>4.1000000000000002E-2</v>
      </c>
      <c r="AI8192" s="492">
        <v>0.04</v>
      </c>
      <c r="AJ8192" s="485"/>
    </row>
    <row r="8193" spans="2:36">
      <c r="B8193" s="136" t="s">
        <v>445</v>
      </c>
      <c r="C8193" s="132" t="s">
        <v>1367</v>
      </c>
      <c r="D8193" s="132" t="s">
        <v>1384</v>
      </c>
      <c r="E8193" s="508">
        <v>2.048</v>
      </c>
      <c r="F8193" s="508">
        <v>2.024</v>
      </c>
      <c r="G8193" s="508">
        <v>2.0070000000000001</v>
      </c>
      <c r="H8193" s="508">
        <v>1.986</v>
      </c>
      <c r="I8193" s="508">
        <v>1.958</v>
      </c>
      <c r="J8193" s="508">
        <v>1.9239999999999999</v>
      </c>
      <c r="K8193" s="508">
        <v>1.8740000000000001</v>
      </c>
      <c r="L8193" s="508">
        <v>1.8360000000000001</v>
      </c>
      <c r="M8193" s="508">
        <v>1.788</v>
      </c>
      <c r="N8193" s="508">
        <v>1.746</v>
      </c>
      <c r="O8193" s="508">
        <v>1.6990000000000001</v>
      </c>
      <c r="P8193" s="508">
        <v>0.63100000000000001</v>
      </c>
      <c r="Q8193" s="508">
        <v>0.59399999999999997</v>
      </c>
      <c r="R8193" s="508">
        <v>0.39</v>
      </c>
      <c r="S8193" s="508">
        <v>0.29199999999999998</v>
      </c>
      <c r="T8193" s="508">
        <v>0.251</v>
      </c>
      <c r="U8193" s="508">
        <v>0.14299999999999999</v>
      </c>
      <c r="V8193" s="508">
        <v>0.13800000000000001</v>
      </c>
      <c r="W8193" s="508">
        <v>0.13500000000000001</v>
      </c>
      <c r="X8193" s="508">
        <v>0.10299999999999999</v>
      </c>
      <c r="Y8193" s="508">
        <v>0.106</v>
      </c>
      <c r="Z8193" s="508">
        <v>6.8000000000000005E-2</v>
      </c>
      <c r="AA8193" s="508">
        <v>6.6000000000000003E-2</v>
      </c>
      <c r="AB8193" s="508">
        <v>5.8999999999999997E-2</v>
      </c>
      <c r="AC8193" s="508">
        <v>5.8000000000000003E-2</v>
      </c>
      <c r="AD8193" s="508">
        <v>5.2999999999999999E-2</v>
      </c>
      <c r="AE8193" s="508">
        <v>5.1999999999999998E-2</v>
      </c>
      <c r="AF8193" s="508">
        <v>4.2999999999999997E-2</v>
      </c>
      <c r="AG8193" s="508">
        <v>4.2999999999999997E-2</v>
      </c>
      <c r="AH8193" s="508">
        <v>4.2000000000000003E-2</v>
      </c>
      <c r="AI8193" s="492">
        <v>4.1000000000000002E-2</v>
      </c>
      <c r="AJ8193" s="485"/>
    </row>
    <row r="8194" spans="2:36">
      <c r="B8194" s="136" t="s">
        <v>446</v>
      </c>
      <c r="C8194" s="132" t="s">
        <v>1367</v>
      </c>
      <c r="D8194" s="132" t="s">
        <v>1384</v>
      </c>
      <c r="E8194" s="508">
        <v>2.8610000000000002</v>
      </c>
      <c r="F8194" s="508">
        <v>2.831</v>
      </c>
      <c r="G8194" s="508">
        <v>2.8039999999999998</v>
      </c>
      <c r="H8194" s="508">
        <v>2.7759999999999998</v>
      </c>
      <c r="I8194" s="508">
        <v>2.7330000000000001</v>
      </c>
      <c r="J8194" s="508">
        <v>2.6819999999999999</v>
      </c>
      <c r="K8194" s="508">
        <v>2.6059999999999999</v>
      </c>
      <c r="L8194" s="508">
        <v>2.5499999999999998</v>
      </c>
      <c r="M8194" s="508">
        <v>2.4780000000000002</v>
      </c>
      <c r="N8194" s="508">
        <v>2.4140000000000001</v>
      </c>
      <c r="O8194" s="508">
        <v>2.343</v>
      </c>
      <c r="P8194" s="508">
        <v>0.95</v>
      </c>
      <c r="Q8194" s="508">
        <v>0.89200000000000002</v>
      </c>
      <c r="R8194" s="508">
        <v>0.56200000000000006</v>
      </c>
      <c r="S8194" s="508">
        <v>0.40400000000000003</v>
      </c>
      <c r="T8194" s="508">
        <v>0.33900000000000002</v>
      </c>
      <c r="U8194" s="508">
        <v>0.21</v>
      </c>
      <c r="V8194" s="508">
        <v>0.20300000000000001</v>
      </c>
      <c r="W8194" s="508">
        <v>0.19700000000000001</v>
      </c>
      <c r="X8194" s="508">
        <v>0.14799999999999999</v>
      </c>
      <c r="Y8194" s="508">
        <v>0.14399999999999999</v>
      </c>
      <c r="Z8194" s="508">
        <v>9.7000000000000003E-2</v>
      </c>
      <c r="AA8194" s="508">
        <v>9.5000000000000001E-2</v>
      </c>
      <c r="AB8194" s="508">
        <v>8.2000000000000003E-2</v>
      </c>
      <c r="AC8194" s="508">
        <v>0.08</v>
      </c>
      <c r="AD8194" s="508">
        <v>7.0000000000000007E-2</v>
      </c>
      <c r="AE8194" s="508">
        <v>6.8000000000000005E-2</v>
      </c>
      <c r="AF8194" s="508">
        <v>5.6000000000000001E-2</v>
      </c>
      <c r="AG8194" s="508">
        <v>5.5E-2</v>
      </c>
      <c r="AH8194" s="508">
        <v>5.3999999999999999E-2</v>
      </c>
      <c r="AI8194" s="492">
        <v>5.2999999999999999E-2</v>
      </c>
      <c r="AJ8194" s="485"/>
    </row>
    <row r="8195" spans="2:36">
      <c r="B8195" s="136" t="s">
        <v>448</v>
      </c>
      <c r="C8195" s="132" t="s">
        <v>1367</v>
      </c>
      <c r="D8195" s="132" t="s">
        <v>1384</v>
      </c>
      <c r="E8195" s="508">
        <v>2.42</v>
      </c>
      <c r="F8195" s="508">
        <v>2.3959999999999999</v>
      </c>
      <c r="G8195" s="508">
        <v>2.3730000000000002</v>
      </c>
      <c r="H8195" s="508">
        <v>2.3490000000000002</v>
      </c>
      <c r="I8195" s="508">
        <v>2.3109999999999999</v>
      </c>
      <c r="J8195" s="508">
        <v>2.266</v>
      </c>
      <c r="K8195" s="508">
        <v>2.145</v>
      </c>
      <c r="L8195" s="508">
        <v>2.097</v>
      </c>
      <c r="M8195" s="508">
        <v>2.0369999999999999</v>
      </c>
      <c r="N8195" s="508">
        <v>1.982</v>
      </c>
      <c r="O8195" s="508">
        <v>1.923</v>
      </c>
      <c r="P8195" s="508">
        <v>0.755</v>
      </c>
      <c r="Q8195" s="508">
        <v>0.70699999999999996</v>
      </c>
      <c r="R8195" s="508">
        <v>0.45200000000000001</v>
      </c>
      <c r="S8195" s="508">
        <v>0.33200000000000002</v>
      </c>
      <c r="T8195" s="508">
        <v>0.28199999999999997</v>
      </c>
      <c r="U8195" s="508">
        <v>0.16800000000000001</v>
      </c>
      <c r="V8195" s="508">
        <v>0.16200000000000001</v>
      </c>
      <c r="W8195" s="508">
        <v>0.157</v>
      </c>
      <c r="X8195" s="508">
        <v>0.12</v>
      </c>
      <c r="Y8195" s="508">
        <v>0.11600000000000001</v>
      </c>
      <c r="Z8195" s="508">
        <v>7.6999999999999999E-2</v>
      </c>
      <c r="AA8195" s="508">
        <v>7.4999999999999997E-2</v>
      </c>
      <c r="AB8195" s="508">
        <v>6.5000000000000002E-2</v>
      </c>
      <c r="AC8195" s="508">
        <v>6.4000000000000001E-2</v>
      </c>
      <c r="AD8195" s="508">
        <v>5.6000000000000001E-2</v>
      </c>
      <c r="AE8195" s="508">
        <v>5.5E-2</v>
      </c>
      <c r="AF8195" s="508">
        <v>4.7E-2</v>
      </c>
      <c r="AG8195" s="508">
        <v>4.7E-2</v>
      </c>
      <c r="AH8195" s="508">
        <v>4.5999999999999999E-2</v>
      </c>
      <c r="AI8195" s="492">
        <v>4.4999999999999998E-2</v>
      </c>
      <c r="AJ8195" s="485"/>
    </row>
    <row r="8196" spans="2:36">
      <c r="B8196" s="136" t="s">
        <v>449</v>
      </c>
      <c r="C8196" s="132" t="s">
        <v>1367</v>
      </c>
      <c r="D8196" s="132" t="s">
        <v>1384</v>
      </c>
      <c r="E8196" s="508">
        <v>2.8090000000000002</v>
      </c>
      <c r="F8196" s="508">
        <v>2.7770000000000001</v>
      </c>
      <c r="G8196" s="508">
        <v>2.7509999999999999</v>
      </c>
      <c r="H8196" s="508">
        <v>2.722</v>
      </c>
      <c r="I8196" s="508">
        <v>2.68</v>
      </c>
      <c r="J8196" s="508">
        <v>2.629</v>
      </c>
      <c r="K8196" s="508">
        <v>2.5539999999999998</v>
      </c>
      <c r="L8196" s="508">
        <v>2.4980000000000002</v>
      </c>
      <c r="M8196" s="508">
        <v>2.427</v>
      </c>
      <c r="N8196" s="508">
        <v>2.3639999999999999</v>
      </c>
      <c r="O8196" s="508">
        <v>2.294</v>
      </c>
      <c r="P8196" s="508">
        <v>0.92900000000000005</v>
      </c>
      <c r="Q8196" s="508">
        <v>0.871</v>
      </c>
      <c r="R8196" s="508">
        <v>0.54600000000000004</v>
      </c>
      <c r="S8196" s="508">
        <v>0.39100000000000001</v>
      </c>
      <c r="T8196" s="508">
        <v>0.32800000000000001</v>
      </c>
      <c r="U8196" s="508">
        <v>0.20200000000000001</v>
      </c>
      <c r="V8196" s="508">
        <v>0.19500000000000001</v>
      </c>
      <c r="W8196" s="508">
        <v>0.189</v>
      </c>
      <c r="X8196" s="508">
        <v>0.14399999999999999</v>
      </c>
      <c r="Y8196" s="508">
        <v>0.14000000000000001</v>
      </c>
      <c r="Z8196" s="508">
        <v>9.5000000000000001E-2</v>
      </c>
      <c r="AA8196" s="508">
        <v>9.1999999999999998E-2</v>
      </c>
      <c r="AB8196" s="508">
        <v>0.08</v>
      </c>
      <c r="AC8196" s="508">
        <v>7.8E-2</v>
      </c>
      <c r="AD8196" s="508">
        <v>6.8000000000000005E-2</v>
      </c>
      <c r="AE8196" s="508">
        <v>6.7000000000000004E-2</v>
      </c>
      <c r="AF8196" s="508">
        <v>5.5E-2</v>
      </c>
      <c r="AG8196" s="508">
        <v>5.3999999999999999E-2</v>
      </c>
      <c r="AH8196" s="508">
        <v>5.2999999999999999E-2</v>
      </c>
      <c r="AI8196" s="492">
        <v>5.1999999999999998E-2</v>
      </c>
      <c r="AJ8196" s="485"/>
    </row>
    <row r="8197" spans="2:36">
      <c r="B8197" s="136" t="s">
        <v>450</v>
      </c>
      <c r="C8197" s="132" t="s">
        <v>1367</v>
      </c>
      <c r="D8197" s="132" t="s">
        <v>1384</v>
      </c>
      <c r="E8197" s="508">
        <v>2.052</v>
      </c>
      <c r="F8197" s="508">
        <v>2.0310000000000001</v>
      </c>
      <c r="G8197" s="508">
        <v>2.0129999999999999</v>
      </c>
      <c r="H8197" s="508">
        <v>1.9930000000000001</v>
      </c>
      <c r="I8197" s="508">
        <v>1.9630000000000001</v>
      </c>
      <c r="J8197" s="508">
        <v>1.9259999999999999</v>
      </c>
      <c r="K8197" s="508">
        <v>1.873</v>
      </c>
      <c r="L8197" s="508">
        <v>1.833</v>
      </c>
      <c r="M8197" s="508">
        <v>1.782</v>
      </c>
      <c r="N8197" s="508">
        <v>1.7370000000000001</v>
      </c>
      <c r="O8197" s="508">
        <v>1.6870000000000001</v>
      </c>
      <c r="P8197" s="508">
        <v>0.63900000000000001</v>
      </c>
      <c r="Q8197" s="508">
        <v>0.60199999999999998</v>
      </c>
      <c r="R8197" s="508">
        <v>0.41599999999999998</v>
      </c>
      <c r="S8197" s="508">
        <v>0.31900000000000001</v>
      </c>
      <c r="T8197" s="508">
        <v>0.27500000000000002</v>
      </c>
      <c r="U8197" s="508">
        <v>0.16200000000000001</v>
      </c>
      <c r="V8197" s="508">
        <v>0.156</v>
      </c>
      <c r="W8197" s="508">
        <v>0.151</v>
      </c>
      <c r="X8197" s="508">
        <v>0.112</v>
      </c>
      <c r="Y8197" s="508">
        <v>0.109</v>
      </c>
      <c r="Z8197" s="508">
        <v>6.9000000000000006E-2</v>
      </c>
      <c r="AA8197" s="508">
        <v>6.8000000000000005E-2</v>
      </c>
      <c r="AB8197" s="508">
        <v>5.8999999999999997E-2</v>
      </c>
      <c r="AC8197" s="508">
        <v>5.7000000000000002E-2</v>
      </c>
      <c r="AD8197" s="508">
        <v>0.05</v>
      </c>
      <c r="AE8197" s="508">
        <v>4.9000000000000002E-2</v>
      </c>
      <c r="AF8197" s="508">
        <v>0.04</v>
      </c>
      <c r="AG8197" s="508">
        <v>0.04</v>
      </c>
      <c r="AH8197" s="508">
        <v>3.9E-2</v>
      </c>
      <c r="AI8197" s="492">
        <v>3.7999999999999999E-2</v>
      </c>
      <c r="AJ8197" s="485"/>
    </row>
    <row r="8198" spans="2:36">
      <c r="B8198" s="136" t="s">
        <v>451</v>
      </c>
      <c r="C8198" s="132" t="s">
        <v>1367</v>
      </c>
      <c r="D8198" s="132" t="s">
        <v>1384</v>
      </c>
      <c r="E8198" s="508">
        <v>2.02</v>
      </c>
      <c r="F8198" s="508">
        <v>1.996</v>
      </c>
      <c r="G8198" s="508">
        <v>1.9790000000000001</v>
      </c>
      <c r="H8198" s="508">
        <v>1.9590000000000001</v>
      </c>
      <c r="I8198" s="508">
        <v>1.931</v>
      </c>
      <c r="J8198" s="508">
        <v>1.8959999999999999</v>
      </c>
      <c r="K8198" s="508">
        <v>1.8460000000000001</v>
      </c>
      <c r="L8198" s="508">
        <v>1.8080000000000001</v>
      </c>
      <c r="M8198" s="508">
        <v>1.7609999999999999</v>
      </c>
      <c r="N8198" s="508">
        <v>1.718</v>
      </c>
      <c r="O8198" s="508">
        <v>1.671</v>
      </c>
      <c r="P8198" s="508">
        <v>0.60799999999999998</v>
      </c>
      <c r="Q8198" s="508">
        <v>0.57499999999999996</v>
      </c>
      <c r="R8198" s="508">
        <v>0.39200000000000002</v>
      </c>
      <c r="S8198" s="508">
        <v>0.29799999999999999</v>
      </c>
      <c r="T8198" s="508">
        <v>0.25700000000000001</v>
      </c>
      <c r="U8198" s="508">
        <v>0.14599999999999999</v>
      </c>
      <c r="V8198" s="508">
        <v>0.14199999999999999</v>
      </c>
      <c r="W8198" s="508">
        <v>0.13800000000000001</v>
      </c>
      <c r="X8198" s="508">
        <v>0.105</v>
      </c>
      <c r="Y8198" s="508">
        <v>0.10299999999999999</v>
      </c>
      <c r="Z8198" s="508">
        <v>6.5000000000000002E-2</v>
      </c>
      <c r="AA8198" s="508">
        <v>6.4000000000000001E-2</v>
      </c>
      <c r="AB8198" s="508">
        <v>5.6000000000000001E-2</v>
      </c>
      <c r="AC8198" s="508">
        <v>5.5E-2</v>
      </c>
      <c r="AD8198" s="508">
        <v>4.8000000000000001E-2</v>
      </c>
      <c r="AE8198" s="508">
        <v>4.7E-2</v>
      </c>
      <c r="AF8198" s="508">
        <v>4.1000000000000002E-2</v>
      </c>
      <c r="AG8198" s="508">
        <v>0.04</v>
      </c>
      <c r="AH8198" s="508">
        <v>3.9E-2</v>
      </c>
      <c r="AI8198" s="492">
        <v>3.7999999999999999E-2</v>
      </c>
      <c r="AJ8198" s="485"/>
    </row>
    <row r="8199" spans="2:36">
      <c r="B8199" s="136" t="s">
        <v>452</v>
      </c>
      <c r="C8199" s="132" t="s">
        <v>1367</v>
      </c>
      <c r="D8199" s="132" t="s">
        <v>1384</v>
      </c>
      <c r="E8199" s="508">
        <v>2.0960000000000001</v>
      </c>
      <c r="F8199" s="508">
        <v>2.0699999999999998</v>
      </c>
      <c r="G8199" s="508">
        <v>2.052</v>
      </c>
      <c r="H8199" s="508">
        <v>2.0310000000000001</v>
      </c>
      <c r="I8199" s="508">
        <v>2.0009999999999999</v>
      </c>
      <c r="J8199" s="508">
        <v>1.9650000000000001</v>
      </c>
      <c r="K8199" s="508">
        <v>1.9119999999999999</v>
      </c>
      <c r="L8199" s="508">
        <v>1.8720000000000001</v>
      </c>
      <c r="M8199" s="508">
        <v>1.8220000000000001</v>
      </c>
      <c r="N8199" s="508">
        <v>1.7769999999999999</v>
      </c>
      <c r="O8199" s="508">
        <v>1.7270000000000001</v>
      </c>
      <c r="P8199" s="508">
        <v>0.64900000000000002</v>
      </c>
      <c r="Q8199" s="508">
        <v>0.61399999999999999</v>
      </c>
      <c r="R8199" s="508">
        <v>0.41699999999999998</v>
      </c>
      <c r="S8199" s="508">
        <v>0.314</v>
      </c>
      <c r="T8199" s="508">
        <v>0.26900000000000002</v>
      </c>
      <c r="U8199" s="508">
        <v>0.155</v>
      </c>
      <c r="V8199" s="508">
        <v>0.15</v>
      </c>
      <c r="W8199" s="508">
        <v>0.14599999999999999</v>
      </c>
      <c r="X8199" s="508">
        <v>0.112</v>
      </c>
      <c r="Y8199" s="508">
        <v>0.109</v>
      </c>
      <c r="Z8199" s="508">
        <v>7.0000000000000007E-2</v>
      </c>
      <c r="AA8199" s="508">
        <v>6.8000000000000005E-2</v>
      </c>
      <c r="AB8199" s="508">
        <v>5.8999999999999997E-2</v>
      </c>
      <c r="AC8199" s="508">
        <v>5.8000000000000003E-2</v>
      </c>
      <c r="AD8199" s="508">
        <v>5.0999999999999997E-2</v>
      </c>
      <c r="AE8199" s="508">
        <v>0.05</v>
      </c>
      <c r="AF8199" s="508">
        <v>4.1000000000000002E-2</v>
      </c>
      <c r="AG8199" s="508">
        <v>4.1000000000000002E-2</v>
      </c>
      <c r="AH8199" s="508">
        <v>0.04</v>
      </c>
      <c r="AI8199" s="492">
        <v>3.9E-2</v>
      </c>
      <c r="AJ8199" s="485"/>
    </row>
    <row r="8200" spans="2:36">
      <c r="B8200" s="136" t="s">
        <v>453</v>
      </c>
      <c r="C8200" s="132" t="s">
        <v>1367</v>
      </c>
      <c r="D8200" s="132" t="s">
        <v>1384</v>
      </c>
      <c r="E8200" s="508">
        <v>2.0190000000000001</v>
      </c>
      <c r="F8200" s="508">
        <v>1.9970000000000001</v>
      </c>
      <c r="G8200" s="508">
        <v>1.9790000000000001</v>
      </c>
      <c r="H8200" s="508">
        <v>1.9590000000000001</v>
      </c>
      <c r="I8200" s="508">
        <v>1.929</v>
      </c>
      <c r="J8200" s="508">
        <v>1.8919999999999999</v>
      </c>
      <c r="K8200" s="508">
        <v>1.84</v>
      </c>
      <c r="L8200" s="508">
        <v>1.8009999999999999</v>
      </c>
      <c r="M8200" s="508">
        <v>1.7509999999999999</v>
      </c>
      <c r="N8200" s="508">
        <v>1.706</v>
      </c>
      <c r="O8200" s="508">
        <v>1.657</v>
      </c>
      <c r="P8200" s="508">
        <v>0.61599999999999999</v>
      </c>
      <c r="Q8200" s="508">
        <v>0.58199999999999996</v>
      </c>
      <c r="R8200" s="508">
        <v>0.39900000000000002</v>
      </c>
      <c r="S8200" s="508">
        <v>0.30499999999999999</v>
      </c>
      <c r="T8200" s="508">
        <v>0.26300000000000001</v>
      </c>
      <c r="U8200" s="508">
        <v>0.151</v>
      </c>
      <c r="V8200" s="508">
        <v>0.14599999999999999</v>
      </c>
      <c r="W8200" s="508">
        <v>0.14199999999999999</v>
      </c>
      <c r="X8200" s="508">
        <v>0.109</v>
      </c>
      <c r="Y8200" s="508">
        <v>0.106</v>
      </c>
      <c r="Z8200" s="508">
        <v>6.7000000000000004E-2</v>
      </c>
      <c r="AA8200" s="508">
        <v>6.6000000000000003E-2</v>
      </c>
      <c r="AB8200" s="508">
        <v>5.7000000000000002E-2</v>
      </c>
      <c r="AC8200" s="508">
        <v>5.6000000000000001E-2</v>
      </c>
      <c r="AD8200" s="508">
        <v>4.9000000000000002E-2</v>
      </c>
      <c r="AE8200" s="508">
        <v>4.8000000000000001E-2</v>
      </c>
      <c r="AF8200" s="508">
        <v>0.04</v>
      </c>
      <c r="AG8200" s="508">
        <v>3.9E-2</v>
      </c>
      <c r="AH8200" s="508">
        <v>3.7999999999999999E-2</v>
      </c>
      <c r="AI8200" s="492">
        <v>3.6999999999999998E-2</v>
      </c>
      <c r="AJ8200" s="485"/>
    </row>
    <row r="8201" spans="2:36">
      <c r="B8201" s="136" t="s">
        <v>454</v>
      </c>
      <c r="C8201" s="132" t="s">
        <v>1367</v>
      </c>
      <c r="D8201" s="132" t="s">
        <v>1384</v>
      </c>
      <c r="E8201" s="508">
        <v>2.2229999999999999</v>
      </c>
      <c r="F8201" s="508">
        <v>2.2000000000000002</v>
      </c>
      <c r="G8201" s="508">
        <v>2.1800000000000002</v>
      </c>
      <c r="H8201" s="508">
        <v>2.1579999999999999</v>
      </c>
      <c r="I8201" s="508">
        <v>2.1240000000000001</v>
      </c>
      <c r="J8201" s="508">
        <v>2.0830000000000002</v>
      </c>
      <c r="K8201" s="508">
        <v>2.0249999999999999</v>
      </c>
      <c r="L8201" s="508">
        <v>1.98</v>
      </c>
      <c r="M8201" s="508">
        <v>1.9239999999999999</v>
      </c>
      <c r="N8201" s="508">
        <v>1.873</v>
      </c>
      <c r="O8201" s="508">
        <v>1.8180000000000001</v>
      </c>
      <c r="P8201" s="508">
        <v>0.69599999999999995</v>
      </c>
      <c r="Q8201" s="508">
        <v>0.65500000000000003</v>
      </c>
      <c r="R8201" s="508">
        <v>0.437</v>
      </c>
      <c r="S8201" s="508">
        <v>0.33</v>
      </c>
      <c r="T8201" s="508">
        <v>0.28399999999999997</v>
      </c>
      <c r="U8201" s="508">
        <v>0.16800000000000001</v>
      </c>
      <c r="V8201" s="508">
        <v>0.16200000000000001</v>
      </c>
      <c r="W8201" s="508">
        <v>0.157</v>
      </c>
      <c r="X8201" s="508">
        <v>0.11899999999999999</v>
      </c>
      <c r="Y8201" s="508">
        <v>0.11600000000000001</v>
      </c>
      <c r="Z8201" s="508">
        <v>7.4999999999999997E-2</v>
      </c>
      <c r="AA8201" s="508">
        <v>7.2999999999999995E-2</v>
      </c>
      <c r="AB8201" s="508">
        <v>6.4000000000000001E-2</v>
      </c>
      <c r="AC8201" s="508">
        <v>6.2E-2</v>
      </c>
      <c r="AD8201" s="508">
        <v>5.3999999999999999E-2</v>
      </c>
      <c r="AE8201" s="508">
        <v>5.2999999999999999E-2</v>
      </c>
      <c r="AF8201" s="508">
        <v>4.3999999999999997E-2</v>
      </c>
      <c r="AG8201" s="508">
        <v>4.2999999999999997E-2</v>
      </c>
      <c r="AH8201" s="508">
        <v>4.2000000000000003E-2</v>
      </c>
      <c r="AI8201" s="492">
        <v>4.1000000000000002E-2</v>
      </c>
      <c r="AJ8201" s="485"/>
    </row>
    <row r="8202" spans="2:36">
      <c r="B8202" s="136" t="s">
        <v>455</v>
      </c>
      <c r="C8202" s="132" t="s">
        <v>1367</v>
      </c>
      <c r="D8202" s="132" t="s">
        <v>1384</v>
      </c>
      <c r="E8202" s="508">
        <v>2.206</v>
      </c>
      <c r="F8202" s="508">
        <v>2.1819999999999999</v>
      </c>
      <c r="G8202" s="508">
        <v>2.1619999999999999</v>
      </c>
      <c r="H8202" s="508">
        <v>2.1389999999999998</v>
      </c>
      <c r="I8202" s="508">
        <v>2.105</v>
      </c>
      <c r="J8202" s="508">
        <v>2.0640000000000001</v>
      </c>
      <c r="K8202" s="508">
        <v>2.0059999999999998</v>
      </c>
      <c r="L8202" s="508">
        <v>1.962</v>
      </c>
      <c r="M8202" s="508">
        <v>1.905</v>
      </c>
      <c r="N8202" s="508">
        <v>1.855</v>
      </c>
      <c r="O8202" s="508">
        <v>1.7989999999999999</v>
      </c>
      <c r="P8202" s="508">
        <v>0.69099999999999995</v>
      </c>
      <c r="Q8202" s="508">
        <v>0.65100000000000002</v>
      </c>
      <c r="R8202" s="508">
        <v>0.434</v>
      </c>
      <c r="S8202" s="508">
        <v>0.32600000000000001</v>
      </c>
      <c r="T8202" s="508">
        <v>0.27900000000000003</v>
      </c>
      <c r="U8202" s="508">
        <v>0.16400000000000001</v>
      </c>
      <c r="V8202" s="508">
        <v>0.158</v>
      </c>
      <c r="W8202" s="508">
        <v>0.153</v>
      </c>
      <c r="X8202" s="508">
        <v>0.11799999999999999</v>
      </c>
      <c r="Y8202" s="508">
        <v>0.114</v>
      </c>
      <c r="Z8202" s="508">
        <v>7.4999999999999997E-2</v>
      </c>
      <c r="AA8202" s="508">
        <v>7.2999999999999995E-2</v>
      </c>
      <c r="AB8202" s="508">
        <v>6.3E-2</v>
      </c>
      <c r="AC8202" s="508">
        <v>6.2E-2</v>
      </c>
      <c r="AD8202" s="508">
        <v>5.3999999999999999E-2</v>
      </c>
      <c r="AE8202" s="508">
        <v>5.1999999999999998E-2</v>
      </c>
      <c r="AF8202" s="508">
        <v>4.2999999999999997E-2</v>
      </c>
      <c r="AG8202" s="508">
        <v>4.2999999999999997E-2</v>
      </c>
      <c r="AH8202" s="508">
        <v>4.2000000000000003E-2</v>
      </c>
      <c r="AI8202" s="492">
        <v>4.1000000000000002E-2</v>
      </c>
      <c r="AJ8202" s="485"/>
    </row>
    <row r="8203" spans="2:36">
      <c r="B8203" s="136" t="s">
        <v>456</v>
      </c>
      <c r="C8203" s="132" t="s">
        <v>1367</v>
      </c>
      <c r="D8203" s="132" t="s">
        <v>1384</v>
      </c>
      <c r="E8203" s="508">
        <v>2.6680000000000001</v>
      </c>
      <c r="F8203" s="508">
        <v>2.64</v>
      </c>
      <c r="G8203" s="508">
        <v>2.6150000000000002</v>
      </c>
      <c r="H8203" s="508">
        <v>2.589</v>
      </c>
      <c r="I8203" s="508">
        <v>2.5470000000000002</v>
      </c>
      <c r="J8203" s="508">
        <v>2.4980000000000002</v>
      </c>
      <c r="K8203" s="508">
        <v>2.4260000000000002</v>
      </c>
      <c r="L8203" s="508">
        <v>2.3719999999999999</v>
      </c>
      <c r="M8203" s="508">
        <v>2.3029999999999999</v>
      </c>
      <c r="N8203" s="508">
        <v>2.2410000000000001</v>
      </c>
      <c r="O8203" s="508">
        <v>2.1739999999999999</v>
      </c>
      <c r="P8203" s="508">
        <v>0.872</v>
      </c>
      <c r="Q8203" s="508">
        <v>0.81799999999999995</v>
      </c>
      <c r="R8203" s="508">
        <v>0.52200000000000002</v>
      </c>
      <c r="S8203" s="508">
        <v>0.38200000000000001</v>
      </c>
      <c r="T8203" s="508">
        <v>0.32300000000000001</v>
      </c>
      <c r="U8203" s="508">
        <v>0.19800000000000001</v>
      </c>
      <c r="V8203" s="508">
        <v>0.191</v>
      </c>
      <c r="W8203" s="508">
        <v>0.185</v>
      </c>
      <c r="X8203" s="508">
        <v>0.14000000000000001</v>
      </c>
      <c r="Y8203" s="508">
        <v>0.13600000000000001</v>
      </c>
      <c r="Z8203" s="508">
        <v>9.0999999999999998E-2</v>
      </c>
      <c r="AA8203" s="508">
        <v>8.8999999999999996E-2</v>
      </c>
      <c r="AB8203" s="508">
        <v>7.6999999999999999E-2</v>
      </c>
      <c r="AC8203" s="508">
        <v>7.4999999999999997E-2</v>
      </c>
      <c r="AD8203" s="508">
        <v>6.5000000000000002E-2</v>
      </c>
      <c r="AE8203" s="508">
        <v>6.3E-2</v>
      </c>
      <c r="AF8203" s="508">
        <v>5.1999999999999998E-2</v>
      </c>
      <c r="AG8203" s="508">
        <v>5.0999999999999997E-2</v>
      </c>
      <c r="AH8203" s="508">
        <v>0.05</v>
      </c>
      <c r="AI8203" s="492">
        <v>4.9000000000000002E-2</v>
      </c>
      <c r="AJ8203" s="485"/>
    </row>
    <row r="8204" spans="2:36">
      <c r="B8204" s="136" t="s">
        <v>457</v>
      </c>
      <c r="C8204" s="132" t="s">
        <v>1367</v>
      </c>
      <c r="D8204" s="132" t="s">
        <v>1384</v>
      </c>
      <c r="E8204" s="508">
        <v>1.8080000000000001</v>
      </c>
      <c r="F8204" s="508">
        <v>1.786</v>
      </c>
      <c r="G8204" s="508">
        <v>1.77</v>
      </c>
      <c r="H8204" s="508">
        <v>1.7509999999999999</v>
      </c>
      <c r="I8204" s="508">
        <v>1.724</v>
      </c>
      <c r="J8204" s="508">
        <v>1.6910000000000001</v>
      </c>
      <c r="K8204" s="508">
        <v>1.645</v>
      </c>
      <c r="L8204" s="508">
        <v>1.609</v>
      </c>
      <c r="M8204" s="508">
        <v>1.5640000000000001</v>
      </c>
      <c r="N8204" s="508">
        <v>1.5229999999999999</v>
      </c>
      <c r="O8204" s="508">
        <v>1.4790000000000001</v>
      </c>
      <c r="P8204" s="508">
        <v>0.53800000000000003</v>
      </c>
      <c r="Q8204" s="508">
        <v>0.50900000000000001</v>
      </c>
      <c r="R8204" s="508">
        <v>0.35599999999999998</v>
      </c>
      <c r="S8204" s="508">
        <v>0.27700000000000002</v>
      </c>
      <c r="T8204" s="508">
        <v>0.24099999999999999</v>
      </c>
      <c r="U8204" s="508">
        <v>0.13400000000000001</v>
      </c>
      <c r="V8204" s="508">
        <v>0.13</v>
      </c>
      <c r="W8204" s="508">
        <v>0.126</v>
      </c>
      <c r="X8204" s="508">
        <v>9.8000000000000004E-2</v>
      </c>
      <c r="Y8204" s="508">
        <v>9.5000000000000001E-2</v>
      </c>
      <c r="Z8204" s="508">
        <v>0.06</v>
      </c>
      <c r="AA8204" s="508">
        <v>5.8000000000000003E-2</v>
      </c>
      <c r="AB8204" s="508">
        <v>5.0999999999999997E-2</v>
      </c>
      <c r="AC8204" s="508">
        <v>0.05</v>
      </c>
      <c r="AD8204" s="508">
        <v>4.3999999999999997E-2</v>
      </c>
      <c r="AE8204" s="508">
        <v>4.2999999999999997E-2</v>
      </c>
      <c r="AF8204" s="508">
        <v>3.5999999999999997E-2</v>
      </c>
      <c r="AG8204" s="508">
        <v>3.5000000000000003E-2</v>
      </c>
      <c r="AH8204" s="508">
        <v>3.5000000000000003E-2</v>
      </c>
      <c r="AI8204" s="492">
        <v>3.4000000000000002E-2</v>
      </c>
      <c r="AJ8204" s="485"/>
    </row>
    <row r="8205" spans="2:36">
      <c r="B8205" s="136" t="s">
        <v>458</v>
      </c>
      <c r="C8205" s="132" t="s">
        <v>1367</v>
      </c>
      <c r="D8205" s="132" t="s">
        <v>1384</v>
      </c>
      <c r="E8205" s="508">
        <v>1.9830000000000001</v>
      </c>
      <c r="F8205" s="508">
        <v>1.9590000000000001</v>
      </c>
      <c r="G8205" s="508">
        <v>1.9419999999999999</v>
      </c>
      <c r="H8205" s="508">
        <v>1.921</v>
      </c>
      <c r="I8205" s="508">
        <v>1.8919999999999999</v>
      </c>
      <c r="J8205" s="508">
        <v>1.8560000000000001</v>
      </c>
      <c r="K8205" s="508">
        <v>1.806</v>
      </c>
      <c r="L8205" s="508">
        <v>1.7669999999999999</v>
      </c>
      <c r="M8205" s="508">
        <v>1.7190000000000001</v>
      </c>
      <c r="N8205" s="508">
        <v>1.6739999999999999</v>
      </c>
      <c r="O8205" s="508">
        <v>1.627</v>
      </c>
      <c r="P8205" s="508">
        <v>0.629</v>
      </c>
      <c r="Q8205" s="508">
        <v>0.59199999999999997</v>
      </c>
      <c r="R8205" s="508">
        <v>0.39200000000000002</v>
      </c>
      <c r="S8205" s="508">
        <v>0.29699999999999999</v>
      </c>
      <c r="T8205" s="508">
        <v>0.25700000000000001</v>
      </c>
      <c r="U8205" s="508">
        <v>0.14799999999999999</v>
      </c>
      <c r="V8205" s="508">
        <v>0.14299999999999999</v>
      </c>
      <c r="W8205" s="508">
        <v>0.13900000000000001</v>
      </c>
      <c r="X8205" s="508">
        <v>0.106</v>
      </c>
      <c r="Y8205" s="508">
        <v>0.10299999999999999</v>
      </c>
      <c r="Z8205" s="508">
        <v>6.7000000000000004E-2</v>
      </c>
      <c r="AA8205" s="508">
        <v>6.5000000000000002E-2</v>
      </c>
      <c r="AB8205" s="508">
        <v>5.8000000000000003E-2</v>
      </c>
      <c r="AC8205" s="508">
        <v>5.6000000000000001E-2</v>
      </c>
      <c r="AD8205" s="508">
        <v>4.9000000000000002E-2</v>
      </c>
      <c r="AE8205" s="508">
        <v>4.8000000000000001E-2</v>
      </c>
      <c r="AF8205" s="508">
        <v>4.1000000000000002E-2</v>
      </c>
      <c r="AG8205" s="508">
        <v>0.04</v>
      </c>
      <c r="AH8205" s="508">
        <v>0.04</v>
      </c>
      <c r="AI8205" s="492">
        <v>3.9E-2</v>
      </c>
      <c r="AJ8205" s="485"/>
    </row>
    <row r="8206" spans="2:36">
      <c r="B8206" s="136" t="s">
        <v>459</v>
      </c>
      <c r="C8206" s="132" t="s">
        <v>1367</v>
      </c>
      <c r="D8206" s="132" t="s">
        <v>1384</v>
      </c>
      <c r="E8206" s="508">
        <v>1.873</v>
      </c>
      <c r="F8206" s="508">
        <v>1.853</v>
      </c>
      <c r="G8206" s="508">
        <v>1.837</v>
      </c>
      <c r="H8206" s="508">
        <v>1.8169999999999999</v>
      </c>
      <c r="I8206" s="508">
        <v>1.7889999999999999</v>
      </c>
      <c r="J8206" s="508">
        <v>1.7549999999999999</v>
      </c>
      <c r="K8206" s="508">
        <v>1.7090000000000001</v>
      </c>
      <c r="L8206" s="508">
        <v>1.6719999999999999</v>
      </c>
      <c r="M8206" s="508">
        <v>1.6259999999999999</v>
      </c>
      <c r="N8206" s="508">
        <v>1.5840000000000001</v>
      </c>
      <c r="O8206" s="508">
        <v>1.5389999999999999</v>
      </c>
      <c r="P8206" s="508">
        <v>0.55000000000000004</v>
      </c>
      <c r="Q8206" s="508">
        <v>0.51600000000000001</v>
      </c>
      <c r="R8206" s="508">
        <v>0.35099999999999998</v>
      </c>
      <c r="S8206" s="508">
        <v>0.27</v>
      </c>
      <c r="T8206" s="508">
        <v>0.23599999999999999</v>
      </c>
      <c r="U8206" s="508">
        <v>0.13200000000000001</v>
      </c>
      <c r="V8206" s="508">
        <v>0.128</v>
      </c>
      <c r="W8206" s="508">
        <v>0.124</v>
      </c>
      <c r="X8206" s="508">
        <v>9.4E-2</v>
      </c>
      <c r="Y8206" s="508">
        <v>9.0999999999999998E-2</v>
      </c>
      <c r="Z8206" s="508">
        <v>5.8000000000000003E-2</v>
      </c>
      <c r="AA8206" s="508">
        <v>5.6000000000000001E-2</v>
      </c>
      <c r="AB8206" s="508">
        <v>0.05</v>
      </c>
      <c r="AC8206" s="508">
        <v>4.9000000000000002E-2</v>
      </c>
      <c r="AD8206" s="508">
        <v>4.2999999999999997E-2</v>
      </c>
      <c r="AE8206" s="508">
        <v>4.2000000000000003E-2</v>
      </c>
      <c r="AF8206" s="508">
        <v>3.6999999999999998E-2</v>
      </c>
      <c r="AG8206" s="508">
        <v>3.5999999999999997E-2</v>
      </c>
      <c r="AH8206" s="508">
        <v>3.5999999999999997E-2</v>
      </c>
      <c r="AI8206" s="492">
        <v>3.5999999999999997E-2</v>
      </c>
      <c r="AJ8206" s="485"/>
    </row>
    <row r="8207" spans="2:36">
      <c r="B8207" s="136" t="s">
        <v>460</v>
      </c>
      <c r="C8207" s="132" t="s">
        <v>1367</v>
      </c>
      <c r="D8207" s="132" t="s">
        <v>1384</v>
      </c>
      <c r="E8207" s="508">
        <v>1.9430000000000001</v>
      </c>
      <c r="F8207" s="508">
        <v>1.919</v>
      </c>
      <c r="G8207" s="508">
        <v>1.9019999999999999</v>
      </c>
      <c r="H8207" s="508">
        <v>1.883</v>
      </c>
      <c r="I8207" s="508">
        <v>1.855</v>
      </c>
      <c r="J8207" s="508">
        <v>1.821</v>
      </c>
      <c r="K8207" s="508">
        <v>1.7729999999999999</v>
      </c>
      <c r="L8207" s="508">
        <v>1.736</v>
      </c>
      <c r="M8207" s="508">
        <v>1.6890000000000001</v>
      </c>
      <c r="N8207" s="508">
        <v>1.647</v>
      </c>
      <c r="O8207" s="508">
        <v>1.601</v>
      </c>
      <c r="P8207" s="508">
        <v>0.58899999999999997</v>
      </c>
      <c r="Q8207" s="508">
        <v>0.55700000000000005</v>
      </c>
      <c r="R8207" s="508">
        <v>0.38600000000000001</v>
      </c>
      <c r="S8207" s="508">
        <v>0.29399999999999998</v>
      </c>
      <c r="T8207" s="508">
        <v>0.253</v>
      </c>
      <c r="U8207" s="508">
        <v>0.14299999999999999</v>
      </c>
      <c r="V8207" s="508">
        <v>0.13900000000000001</v>
      </c>
      <c r="W8207" s="508">
        <v>0.13500000000000001</v>
      </c>
      <c r="X8207" s="508">
        <v>0.104</v>
      </c>
      <c r="Y8207" s="508">
        <v>0.10100000000000001</v>
      </c>
      <c r="Z8207" s="508">
        <v>6.4000000000000001E-2</v>
      </c>
      <c r="AA8207" s="508">
        <v>6.3E-2</v>
      </c>
      <c r="AB8207" s="508">
        <v>5.5E-2</v>
      </c>
      <c r="AC8207" s="508">
        <v>5.3999999999999999E-2</v>
      </c>
      <c r="AD8207" s="508">
        <v>4.7E-2</v>
      </c>
      <c r="AE8207" s="508">
        <v>4.5999999999999999E-2</v>
      </c>
      <c r="AF8207" s="508">
        <v>3.9E-2</v>
      </c>
      <c r="AG8207" s="508">
        <v>3.7999999999999999E-2</v>
      </c>
      <c r="AH8207" s="508">
        <v>3.6999999999999998E-2</v>
      </c>
      <c r="AI8207" s="492">
        <v>3.5999999999999997E-2</v>
      </c>
      <c r="AJ8207" s="485"/>
    </row>
    <row r="8208" spans="2:36">
      <c r="B8208" s="136" t="s">
        <v>461</v>
      </c>
      <c r="C8208" s="132" t="s">
        <v>1367</v>
      </c>
      <c r="D8208" s="132" t="s">
        <v>1384</v>
      </c>
      <c r="E8208" s="508">
        <v>1.893</v>
      </c>
      <c r="F8208" s="508">
        <v>1.8680000000000001</v>
      </c>
      <c r="G8208" s="508">
        <v>1.851</v>
      </c>
      <c r="H8208" s="508">
        <v>1.833</v>
      </c>
      <c r="I8208" s="508">
        <v>1.806</v>
      </c>
      <c r="J8208" s="508">
        <v>1.7729999999999999</v>
      </c>
      <c r="K8208" s="508">
        <v>1.7250000000000001</v>
      </c>
      <c r="L8208" s="508">
        <v>1.69</v>
      </c>
      <c r="M8208" s="508">
        <v>1.6439999999999999</v>
      </c>
      <c r="N8208" s="508">
        <v>1.6040000000000001</v>
      </c>
      <c r="O8208" s="508">
        <v>1.5589999999999999</v>
      </c>
      <c r="P8208" s="508">
        <v>0.57899999999999996</v>
      </c>
      <c r="Q8208" s="508">
        <v>0.54900000000000004</v>
      </c>
      <c r="R8208" s="508">
        <v>0.38100000000000001</v>
      </c>
      <c r="S8208" s="508">
        <v>0.28799999999999998</v>
      </c>
      <c r="T8208" s="508">
        <v>0.247</v>
      </c>
      <c r="U8208" s="508">
        <v>0.13900000000000001</v>
      </c>
      <c r="V8208" s="508">
        <v>0.13500000000000001</v>
      </c>
      <c r="W8208" s="508">
        <v>0.13100000000000001</v>
      </c>
      <c r="X8208" s="508">
        <v>0.10100000000000001</v>
      </c>
      <c r="Y8208" s="508">
        <v>9.9000000000000005E-2</v>
      </c>
      <c r="Z8208" s="508">
        <v>6.2E-2</v>
      </c>
      <c r="AA8208" s="508">
        <v>6.0999999999999999E-2</v>
      </c>
      <c r="AB8208" s="508">
        <v>5.2999999999999999E-2</v>
      </c>
      <c r="AC8208" s="508">
        <v>5.1999999999999998E-2</v>
      </c>
      <c r="AD8208" s="508">
        <v>4.5999999999999999E-2</v>
      </c>
      <c r="AE8208" s="508">
        <v>4.4999999999999998E-2</v>
      </c>
      <c r="AF8208" s="508">
        <v>3.7999999999999999E-2</v>
      </c>
      <c r="AG8208" s="508">
        <v>3.6999999999999998E-2</v>
      </c>
      <c r="AH8208" s="508">
        <v>3.5999999999999997E-2</v>
      </c>
      <c r="AI8208" s="492">
        <v>3.5000000000000003E-2</v>
      </c>
      <c r="AJ8208" s="485"/>
    </row>
    <row r="8209" spans="2:36">
      <c r="B8209" s="136" t="s">
        <v>462</v>
      </c>
      <c r="C8209" s="132" t="s">
        <v>1367</v>
      </c>
      <c r="D8209" s="132" t="s">
        <v>1384</v>
      </c>
      <c r="E8209" s="508">
        <v>2.593</v>
      </c>
      <c r="F8209" s="508">
        <v>2.5670000000000002</v>
      </c>
      <c r="G8209" s="508">
        <v>2.5430000000000001</v>
      </c>
      <c r="H8209" s="508">
        <v>2.5169999999999999</v>
      </c>
      <c r="I8209" s="508">
        <v>2.476</v>
      </c>
      <c r="J8209" s="508">
        <v>2.4279999999999999</v>
      </c>
      <c r="K8209" s="508">
        <v>2.3580000000000001</v>
      </c>
      <c r="L8209" s="508">
        <v>2.3050000000000002</v>
      </c>
      <c r="M8209" s="508">
        <v>2.238</v>
      </c>
      <c r="N8209" s="508">
        <v>2.1779999999999999</v>
      </c>
      <c r="O8209" s="508">
        <v>2.1120000000000001</v>
      </c>
      <c r="P8209" s="508">
        <v>0.83899999999999997</v>
      </c>
      <c r="Q8209" s="508">
        <v>0.78700000000000003</v>
      </c>
      <c r="R8209" s="508">
        <v>0.51</v>
      </c>
      <c r="S8209" s="508">
        <v>0.377</v>
      </c>
      <c r="T8209" s="508">
        <v>0.32100000000000001</v>
      </c>
      <c r="U8209" s="508">
        <v>0.19600000000000001</v>
      </c>
      <c r="V8209" s="508">
        <v>0.189</v>
      </c>
      <c r="W8209" s="508">
        <v>0.183</v>
      </c>
      <c r="X8209" s="508">
        <v>0.13800000000000001</v>
      </c>
      <c r="Y8209" s="508">
        <v>0.13300000000000001</v>
      </c>
      <c r="Z8209" s="508">
        <v>8.8999999999999996E-2</v>
      </c>
      <c r="AA8209" s="508">
        <v>8.5999999999999993E-2</v>
      </c>
      <c r="AB8209" s="508">
        <v>7.4999999999999997E-2</v>
      </c>
      <c r="AC8209" s="508">
        <v>7.2999999999999995E-2</v>
      </c>
      <c r="AD8209" s="508">
        <v>6.3E-2</v>
      </c>
      <c r="AE8209" s="508">
        <v>6.0999999999999999E-2</v>
      </c>
      <c r="AF8209" s="508">
        <v>0.05</v>
      </c>
      <c r="AG8209" s="508">
        <v>4.9000000000000002E-2</v>
      </c>
      <c r="AH8209" s="508">
        <v>4.8000000000000001E-2</v>
      </c>
      <c r="AI8209" s="492">
        <v>4.7E-2</v>
      </c>
      <c r="AJ8209" s="485"/>
    </row>
    <row r="8210" spans="2:36">
      <c r="B8210" s="136" t="s">
        <v>463</v>
      </c>
      <c r="C8210" s="132" t="s">
        <v>1367</v>
      </c>
      <c r="D8210" s="132" t="s">
        <v>1384</v>
      </c>
      <c r="E8210" s="508">
        <v>2.14</v>
      </c>
      <c r="F8210" s="508">
        <v>2.117</v>
      </c>
      <c r="G8210" s="508">
        <v>2.0979999999999999</v>
      </c>
      <c r="H8210" s="508">
        <v>2.0750000000000002</v>
      </c>
      <c r="I8210" s="508">
        <v>2.0419999999999998</v>
      </c>
      <c r="J8210" s="508">
        <v>2.0019999999999998</v>
      </c>
      <c r="K8210" s="508">
        <v>1.946</v>
      </c>
      <c r="L8210" s="508">
        <v>1.9019999999999999</v>
      </c>
      <c r="M8210" s="508">
        <v>1.847</v>
      </c>
      <c r="N8210" s="508">
        <v>1.7969999999999999</v>
      </c>
      <c r="O8210" s="508">
        <v>1.7430000000000001</v>
      </c>
      <c r="P8210" s="508">
        <v>0.66600000000000004</v>
      </c>
      <c r="Q8210" s="508">
        <v>0.626</v>
      </c>
      <c r="R8210" s="508">
        <v>0.41499999999999998</v>
      </c>
      <c r="S8210" s="508">
        <v>0.313</v>
      </c>
      <c r="T8210" s="508">
        <v>0.26900000000000002</v>
      </c>
      <c r="U8210" s="508">
        <v>0.157</v>
      </c>
      <c r="V8210" s="508">
        <v>0.152</v>
      </c>
      <c r="W8210" s="508">
        <v>0.14699999999999999</v>
      </c>
      <c r="X8210" s="508">
        <v>0.113</v>
      </c>
      <c r="Y8210" s="508">
        <v>0.11</v>
      </c>
      <c r="Z8210" s="508">
        <v>7.0999999999999994E-2</v>
      </c>
      <c r="AA8210" s="508">
        <v>6.9000000000000006E-2</v>
      </c>
      <c r="AB8210" s="508">
        <v>6.0999999999999999E-2</v>
      </c>
      <c r="AC8210" s="508">
        <v>5.8999999999999997E-2</v>
      </c>
      <c r="AD8210" s="508">
        <v>5.0999999999999997E-2</v>
      </c>
      <c r="AE8210" s="508">
        <v>0.05</v>
      </c>
      <c r="AF8210" s="508">
        <v>4.2000000000000003E-2</v>
      </c>
      <c r="AG8210" s="508">
        <v>4.1000000000000002E-2</v>
      </c>
      <c r="AH8210" s="508">
        <v>4.1000000000000002E-2</v>
      </c>
      <c r="AI8210" s="492">
        <v>0.04</v>
      </c>
      <c r="AJ8210" s="485"/>
    </row>
    <row r="8211" spans="2:36">
      <c r="B8211" s="136" t="s">
        <v>464</v>
      </c>
      <c r="C8211" s="132" t="s">
        <v>1367</v>
      </c>
      <c r="D8211" s="132" t="s">
        <v>1384</v>
      </c>
      <c r="E8211" s="508">
        <v>1.9470000000000001</v>
      </c>
      <c r="F8211" s="508">
        <v>1.927</v>
      </c>
      <c r="G8211" s="508">
        <v>1.909</v>
      </c>
      <c r="H8211" s="508">
        <v>1.89</v>
      </c>
      <c r="I8211" s="508">
        <v>1.861</v>
      </c>
      <c r="J8211" s="508">
        <v>1.825</v>
      </c>
      <c r="K8211" s="508">
        <v>1.774</v>
      </c>
      <c r="L8211" s="508">
        <v>1.736</v>
      </c>
      <c r="M8211" s="508">
        <v>1.6870000000000001</v>
      </c>
      <c r="N8211" s="508">
        <v>1.643</v>
      </c>
      <c r="O8211" s="508">
        <v>1.5940000000000001</v>
      </c>
      <c r="P8211" s="508">
        <v>0.59299999999999997</v>
      </c>
      <c r="Q8211" s="508">
        <v>0.56000000000000005</v>
      </c>
      <c r="R8211" s="508">
        <v>0.39400000000000002</v>
      </c>
      <c r="S8211" s="508">
        <v>0.30499999999999999</v>
      </c>
      <c r="T8211" s="508">
        <v>0.26500000000000001</v>
      </c>
      <c r="U8211" s="508">
        <v>0.153</v>
      </c>
      <c r="V8211" s="508">
        <v>0.14699999999999999</v>
      </c>
      <c r="W8211" s="508">
        <v>0.14299999999999999</v>
      </c>
      <c r="X8211" s="508">
        <v>0.108</v>
      </c>
      <c r="Y8211" s="508">
        <v>0.104</v>
      </c>
      <c r="Z8211" s="508">
        <v>6.6000000000000003E-2</v>
      </c>
      <c r="AA8211" s="508">
        <v>6.4000000000000001E-2</v>
      </c>
      <c r="AB8211" s="508">
        <v>5.6000000000000001E-2</v>
      </c>
      <c r="AC8211" s="508">
        <v>5.5E-2</v>
      </c>
      <c r="AD8211" s="508">
        <v>4.7E-2</v>
      </c>
      <c r="AE8211" s="508">
        <v>4.5999999999999999E-2</v>
      </c>
      <c r="AF8211" s="508">
        <v>3.7999999999999999E-2</v>
      </c>
      <c r="AG8211" s="508">
        <v>3.6999999999999998E-2</v>
      </c>
      <c r="AH8211" s="508">
        <v>3.6999999999999998E-2</v>
      </c>
      <c r="AI8211" s="492">
        <v>3.5999999999999997E-2</v>
      </c>
      <c r="AJ8211" s="485"/>
    </row>
    <row r="8212" spans="2:36">
      <c r="B8212" s="136" t="s">
        <v>465</v>
      </c>
      <c r="C8212" s="132" t="s">
        <v>1367</v>
      </c>
      <c r="D8212" s="132" t="s">
        <v>1384</v>
      </c>
      <c r="E8212" s="508">
        <v>2.0910000000000002</v>
      </c>
      <c r="F8212" s="508">
        <v>2.069</v>
      </c>
      <c r="G8212" s="508">
        <v>2.0499999999999998</v>
      </c>
      <c r="H8212" s="508">
        <v>2.0299999999999998</v>
      </c>
      <c r="I8212" s="508">
        <v>1.998</v>
      </c>
      <c r="J8212" s="508">
        <v>1.96</v>
      </c>
      <c r="K8212" s="508">
        <v>1.9059999999999999</v>
      </c>
      <c r="L8212" s="508">
        <v>1.8640000000000001</v>
      </c>
      <c r="M8212" s="508">
        <v>1.8120000000000001</v>
      </c>
      <c r="N8212" s="508">
        <v>1.764</v>
      </c>
      <c r="O8212" s="508">
        <v>1.712</v>
      </c>
      <c r="P8212" s="508">
        <v>0.64500000000000002</v>
      </c>
      <c r="Q8212" s="508">
        <v>0.60799999999999998</v>
      </c>
      <c r="R8212" s="508">
        <v>0.41499999999999998</v>
      </c>
      <c r="S8212" s="508">
        <v>0.317</v>
      </c>
      <c r="T8212" s="508">
        <v>0.27300000000000002</v>
      </c>
      <c r="U8212" s="508">
        <v>0.159</v>
      </c>
      <c r="V8212" s="508">
        <v>0.154</v>
      </c>
      <c r="W8212" s="508">
        <v>0.14899999999999999</v>
      </c>
      <c r="X8212" s="508">
        <v>0.113</v>
      </c>
      <c r="Y8212" s="508">
        <v>0.11</v>
      </c>
      <c r="Z8212" s="508">
        <v>7.0999999999999994E-2</v>
      </c>
      <c r="AA8212" s="508">
        <v>6.9000000000000006E-2</v>
      </c>
      <c r="AB8212" s="508">
        <v>0.06</v>
      </c>
      <c r="AC8212" s="508">
        <v>5.8000000000000003E-2</v>
      </c>
      <c r="AD8212" s="508">
        <v>5.0999999999999997E-2</v>
      </c>
      <c r="AE8212" s="508">
        <v>0.05</v>
      </c>
      <c r="AF8212" s="508">
        <v>4.1000000000000002E-2</v>
      </c>
      <c r="AG8212" s="508">
        <v>0.04</v>
      </c>
      <c r="AH8212" s="508">
        <v>3.9E-2</v>
      </c>
      <c r="AI8212" s="492">
        <v>3.9E-2</v>
      </c>
      <c r="AJ8212" s="485"/>
    </row>
    <row r="8213" spans="2:36">
      <c r="B8213" s="136" t="s">
        <v>466</v>
      </c>
      <c r="C8213" s="132" t="s">
        <v>1367</v>
      </c>
      <c r="D8213" s="132" t="s">
        <v>1384</v>
      </c>
      <c r="E8213" s="508">
        <v>2.601</v>
      </c>
      <c r="F8213" s="508">
        <v>2.58</v>
      </c>
      <c r="G8213" s="508">
        <v>2.5550000000000002</v>
      </c>
      <c r="H8213" s="508">
        <v>2.532</v>
      </c>
      <c r="I8213" s="508">
        <v>2.492</v>
      </c>
      <c r="J8213" s="508">
        <v>2.4449999999999998</v>
      </c>
      <c r="K8213" s="508">
        <v>2.3769999999999998</v>
      </c>
      <c r="L8213" s="508">
        <v>2.3250000000000002</v>
      </c>
      <c r="M8213" s="508">
        <v>2.2599999999999998</v>
      </c>
      <c r="N8213" s="508">
        <v>2.2010000000000001</v>
      </c>
      <c r="O8213" s="508">
        <v>2.137</v>
      </c>
      <c r="P8213" s="508">
        <v>0.86</v>
      </c>
      <c r="Q8213" s="508">
        <v>0.80400000000000005</v>
      </c>
      <c r="R8213" s="508">
        <v>0.52700000000000002</v>
      </c>
      <c r="S8213" s="508">
        <v>0.39500000000000002</v>
      </c>
      <c r="T8213" s="508">
        <v>0.33900000000000002</v>
      </c>
      <c r="U8213" s="508">
        <v>0.21299999999999999</v>
      </c>
      <c r="V8213" s="508">
        <v>0.20499999999999999</v>
      </c>
      <c r="W8213" s="508">
        <v>0.19900000000000001</v>
      </c>
      <c r="X8213" s="508">
        <v>0.14099999999999999</v>
      </c>
      <c r="Y8213" s="508">
        <v>0.13700000000000001</v>
      </c>
      <c r="Z8213" s="508">
        <v>9.1999999999999998E-2</v>
      </c>
      <c r="AA8213" s="508">
        <v>8.8999999999999996E-2</v>
      </c>
      <c r="AB8213" s="508">
        <v>7.6999999999999999E-2</v>
      </c>
      <c r="AC8213" s="508">
        <v>7.4999999999999997E-2</v>
      </c>
      <c r="AD8213" s="508">
        <v>6.5000000000000002E-2</v>
      </c>
      <c r="AE8213" s="508">
        <v>6.3E-2</v>
      </c>
      <c r="AF8213" s="508">
        <v>5.1999999999999998E-2</v>
      </c>
      <c r="AG8213" s="508">
        <v>5.0999999999999997E-2</v>
      </c>
      <c r="AH8213" s="508">
        <v>0.05</v>
      </c>
      <c r="AI8213" s="492">
        <v>4.9000000000000002E-2</v>
      </c>
      <c r="AJ8213" s="485"/>
    </row>
    <row r="8214" spans="2:36">
      <c r="B8214" s="136" t="s">
        <v>467</v>
      </c>
      <c r="C8214" s="132" t="s">
        <v>1367</v>
      </c>
      <c r="D8214" s="132" t="s">
        <v>1384</v>
      </c>
      <c r="E8214" s="508">
        <v>1.8620000000000001</v>
      </c>
      <c r="F8214" s="508">
        <v>1.841</v>
      </c>
      <c r="G8214" s="508">
        <v>1.8260000000000001</v>
      </c>
      <c r="H8214" s="508">
        <v>1.806</v>
      </c>
      <c r="I8214" s="508">
        <v>1.7789999999999999</v>
      </c>
      <c r="J8214" s="508">
        <v>1.7450000000000001</v>
      </c>
      <c r="K8214" s="508">
        <v>1.698</v>
      </c>
      <c r="L8214" s="508">
        <v>1.661</v>
      </c>
      <c r="M8214" s="508">
        <v>1.6160000000000001</v>
      </c>
      <c r="N8214" s="508">
        <v>1.5740000000000001</v>
      </c>
      <c r="O8214" s="508">
        <v>1.5289999999999999</v>
      </c>
      <c r="P8214" s="508">
        <v>0.54400000000000004</v>
      </c>
      <c r="Q8214" s="508">
        <v>0.51200000000000001</v>
      </c>
      <c r="R8214" s="508">
        <v>0.35099999999999998</v>
      </c>
      <c r="S8214" s="508">
        <v>0.27100000000000002</v>
      </c>
      <c r="T8214" s="508">
        <v>0.23599999999999999</v>
      </c>
      <c r="U8214" s="508">
        <v>0.13100000000000001</v>
      </c>
      <c r="V8214" s="508">
        <v>0.127</v>
      </c>
      <c r="W8214" s="508">
        <v>0.123</v>
      </c>
      <c r="X8214" s="508">
        <v>9.4E-2</v>
      </c>
      <c r="Y8214" s="508">
        <v>9.0999999999999998E-2</v>
      </c>
      <c r="Z8214" s="508">
        <v>5.7000000000000002E-2</v>
      </c>
      <c r="AA8214" s="508">
        <v>5.6000000000000001E-2</v>
      </c>
      <c r="AB8214" s="508">
        <v>4.9000000000000002E-2</v>
      </c>
      <c r="AC8214" s="508">
        <v>4.8000000000000001E-2</v>
      </c>
      <c r="AD8214" s="508">
        <v>4.2999999999999997E-2</v>
      </c>
      <c r="AE8214" s="508">
        <v>4.2000000000000003E-2</v>
      </c>
      <c r="AF8214" s="508">
        <v>3.5999999999999997E-2</v>
      </c>
      <c r="AG8214" s="508">
        <v>3.5999999999999997E-2</v>
      </c>
      <c r="AH8214" s="508">
        <v>3.5000000000000003E-2</v>
      </c>
      <c r="AI8214" s="492">
        <v>3.4000000000000002E-2</v>
      </c>
      <c r="AJ8214" s="485"/>
    </row>
    <row r="8215" spans="2:36">
      <c r="B8215" s="136" t="s">
        <v>468</v>
      </c>
      <c r="C8215" s="132" t="s">
        <v>1367</v>
      </c>
      <c r="D8215" s="132" t="s">
        <v>1384</v>
      </c>
      <c r="E8215" s="508">
        <v>1.895</v>
      </c>
      <c r="F8215" s="508">
        <v>1.873</v>
      </c>
      <c r="G8215" s="508">
        <v>1.8560000000000001</v>
      </c>
      <c r="H8215" s="508">
        <v>1.8360000000000001</v>
      </c>
      <c r="I8215" s="508">
        <v>1.8069999999999999</v>
      </c>
      <c r="J8215" s="508">
        <v>1.772</v>
      </c>
      <c r="K8215" s="508">
        <v>1.7230000000000001</v>
      </c>
      <c r="L8215" s="508">
        <v>1.6850000000000001</v>
      </c>
      <c r="M8215" s="508">
        <v>1.637</v>
      </c>
      <c r="N8215" s="508">
        <v>1.5940000000000001</v>
      </c>
      <c r="O8215" s="508">
        <v>1.5469999999999999</v>
      </c>
      <c r="P8215" s="508">
        <v>0.58399999999999996</v>
      </c>
      <c r="Q8215" s="508">
        <v>0.54800000000000004</v>
      </c>
      <c r="R8215" s="508">
        <v>0.36</v>
      </c>
      <c r="S8215" s="508">
        <v>0.27200000000000002</v>
      </c>
      <c r="T8215" s="508">
        <v>0.23499999999999999</v>
      </c>
      <c r="U8215" s="508">
        <v>0.14199999999999999</v>
      </c>
      <c r="V8215" s="508">
        <v>0.13700000000000001</v>
      </c>
      <c r="W8215" s="508">
        <v>0.13300000000000001</v>
      </c>
      <c r="X8215" s="508">
        <v>0.10199999999999999</v>
      </c>
      <c r="Y8215" s="508">
        <v>9.9000000000000005E-2</v>
      </c>
      <c r="Z8215" s="508">
        <v>6.4000000000000001E-2</v>
      </c>
      <c r="AA8215" s="508">
        <v>6.2E-2</v>
      </c>
      <c r="AB8215" s="508">
        <v>5.5E-2</v>
      </c>
      <c r="AC8215" s="508">
        <v>5.3999999999999999E-2</v>
      </c>
      <c r="AD8215" s="508">
        <v>4.7E-2</v>
      </c>
      <c r="AE8215" s="508">
        <v>4.8000000000000001E-2</v>
      </c>
      <c r="AF8215" s="508">
        <v>0.04</v>
      </c>
      <c r="AG8215" s="508">
        <v>3.9E-2</v>
      </c>
      <c r="AH8215" s="508">
        <v>3.9E-2</v>
      </c>
      <c r="AI8215" s="492">
        <v>3.7999999999999999E-2</v>
      </c>
      <c r="AJ8215" s="485"/>
    </row>
    <row r="8216" spans="2:36">
      <c r="B8216" s="136" t="s">
        <v>469</v>
      </c>
      <c r="C8216" s="132" t="s">
        <v>1367</v>
      </c>
      <c r="D8216" s="132" t="s">
        <v>1384</v>
      </c>
      <c r="E8216" s="508">
        <v>2.3969999999999998</v>
      </c>
      <c r="F8216" s="508">
        <v>2.379</v>
      </c>
      <c r="G8216" s="508">
        <v>2.3559999999999999</v>
      </c>
      <c r="H8216" s="508">
        <v>2.335</v>
      </c>
      <c r="I8216" s="508">
        <v>2.2970000000000002</v>
      </c>
      <c r="J8216" s="508">
        <v>2.2519999999999998</v>
      </c>
      <c r="K8216" s="508">
        <v>2.1880000000000002</v>
      </c>
      <c r="L8216" s="508">
        <v>2.1389999999999998</v>
      </c>
      <c r="M8216" s="508">
        <v>2.077</v>
      </c>
      <c r="N8216" s="508">
        <v>2.0209999999999999</v>
      </c>
      <c r="O8216" s="508">
        <v>1.96</v>
      </c>
      <c r="P8216" s="508">
        <v>0.78400000000000003</v>
      </c>
      <c r="Q8216" s="508">
        <v>0.73299999999999998</v>
      </c>
      <c r="R8216" s="508">
        <v>0.495</v>
      </c>
      <c r="S8216" s="508">
        <v>0.38</v>
      </c>
      <c r="T8216" s="508">
        <v>0.32900000000000001</v>
      </c>
      <c r="U8216" s="508">
        <v>0.20499999999999999</v>
      </c>
      <c r="V8216" s="508">
        <v>0.19700000000000001</v>
      </c>
      <c r="W8216" s="508">
        <v>0.19</v>
      </c>
      <c r="X8216" s="508">
        <v>0.13500000000000001</v>
      </c>
      <c r="Y8216" s="508">
        <v>0.13100000000000001</v>
      </c>
      <c r="Z8216" s="508">
        <v>8.5999999999999993E-2</v>
      </c>
      <c r="AA8216" s="508">
        <v>8.4000000000000005E-2</v>
      </c>
      <c r="AB8216" s="508">
        <v>7.1999999999999995E-2</v>
      </c>
      <c r="AC8216" s="508">
        <v>7.0000000000000007E-2</v>
      </c>
      <c r="AD8216" s="508">
        <v>0.06</v>
      </c>
      <c r="AE8216" s="508">
        <v>5.8000000000000003E-2</v>
      </c>
      <c r="AF8216" s="508">
        <v>4.7E-2</v>
      </c>
      <c r="AG8216" s="508">
        <v>4.7E-2</v>
      </c>
      <c r="AH8216" s="508">
        <v>4.5999999999999999E-2</v>
      </c>
      <c r="AI8216" s="492">
        <v>4.4999999999999998E-2</v>
      </c>
      <c r="AJ8216" s="485"/>
    </row>
    <row r="8217" spans="2:36">
      <c r="B8217" s="136" t="s">
        <v>470</v>
      </c>
      <c r="C8217" s="132" t="s">
        <v>1367</v>
      </c>
      <c r="D8217" s="132" t="s">
        <v>1384</v>
      </c>
      <c r="E8217" s="508">
        <v>1.851</v>
      </c>
      <c r="F8217" s="508">
        <v>1.827</v>
      </c>
      <c r="G8217" s="508">
        <v>1.8120000000000001</v>
      </c>
      <c r="H8217" s="508">
        <v>1.7929999999999999</v>
      </c>
      <c r="I8217" s="508">
        <v>1.7669999999999999</v>
      </c>
      <c r="J8217" s="508">
        <v>1.7350000000000001</v>
      </c>
      <c r="K8217" s="508">
        <v>1.6890000000000001</v>
      </c>
      <c r="L8217" s="508">
        <v>1.655</v>
      </c>
      <c r="M8217" s="508">
        <v>1.611</v>
      </c>
      <c r="N8217" s="508">
        <v>1.5720000000000001</v>
      </c>
      <c r="O8217" s="508">
        <v>1.5289999999999999</v>
      </c>
      <c r="P8217" s="508">
        <v>0.57999999999999996</v>
      </c>
      <c r="Q8217" s="508">
        <v>0.54700000000000004</v>
      </c>
      <c r="R8217" s="508">
        <v>0.36899999999999999</v>
      </c>
      <c r="S8217" s="508">
        <v>0.28000000000000003</v>
      </c>
      <c r="T8217" s="508">
        <v>0.24199999999999999</v>
      </c>
      <c r="U8217" s="508">
        <v>0.13600000000000001</v>
      </c>
      <c r="V8217" s="508">
        <v>0.13100000000000001</v>
      </c>
      <c r="W8217" s="508">
        <v>0.128</v>
      </c>
      <c r="X8217" s="508">
        <v>9.7000000000000003E-2</v>
      </c>
      <c r="Y8217" s="508">
        <v>9.4E-2</v>
      </c>
      <c r="Z8217" s="508">
        <v>0.06</v>
      </c>
      <c r="AA8217" s="508">
        <v>5.8000000000000003E-2</v>
      </c>
      <c r="AB8217" s="508">
        <v>5.1999999999999998E-2</v>
      </c>
      <c r="AC8217" s="508">
        <v>5.0999999999999997E-2</v>
      </c>
      <c r="AD8217" s="508">
        <v>4.4999999999999998E-2</v>
      </c>
      <c r="AE8217" s="508">
        <v>4.3999999999999997E-2</v>
      </c>
      <c r="AF8217" s="508">
        <v>3.7999999999999999E-2</v>
      </c>
      <c r="AG8217" s="508">
        <v>3.7999999999999999E-2</v>
      </c>
      <c r="AH8217" s="508">
        <v>3.7999999999999999E-2</v>
      </c>
      <c r="AI8217" s="492">
        <v>3.6999999999999998E-2</v>
      </c>
      <c r="AJ8217" s="485"/>
    </row>
    <row r="8218" spans="2:36">
      <c r="B8218" s="136" t="s">
        <v>471</v>
      </c>
      <c r="C8218" s="132" t="s">
        <v>1367</v>
      </c>
      <c r="D8218" s="132" t="s">
        <v>1384</v>
      </c>
      <c r="E8218" s="508">
        <v>2.3620000000000001</v>
      </c>
      <c r="F8218" s="508">
        <v>2.3370000000000002</v>
      </c>
      <c r="G8218" s="508">
        <v>2.3149999999999999</v>
      </c>
      <c r="H8218" s="508">
        <v>2.2919999999999998</v>
      </c>
      <c r="I8218" s="508">
        <v>2.2559999999999998</v>
      </c>
      <c r="J8218" s="508">
        <v>2.2130000000000001</v>
      </c>
      <c r="K8218" s="508">
        <v>2.1509999999999998</v>
      </c>
      <c r="L8218" s="508">
        <v>2.1040000000000001</v>
      </c>
      <c r="M8218" s="508">
        <v>2.0449999999999999</v>
      </c>
      <c r="N8218" s="508">
        <v>1.9910000000000001</v>
      </c>
      <c r="O8218" s="508">
        <v>1.9330000000000001</v>
      </c>
      <c r="P8218" s="508">
        <v>0.746</v>
      </c>
      <c r="Q8218" s="508">
        <v>0.70199999999999996</v>
      </c>
      <c r="R8218" s="508">
        <v>0.46400000000000002</v>
      </c>
      <c r="S8218" s="508">
        <v>0.34499999999999997</v>
      </c>
      <c r="T8218" s="508">
        <v>0.29399999999999998</v>
      </c>
      <c r="U8218" s="508">
        <v>0.17599999999999999</v>
      </c>
      <c r="V8218" s="508">
        <v>0.16900000000000001</v>
      </c>
      <c r="W8218" s="508">
        <v>0.16400000000000001</v>
      </c>
      <c r="X8218" s="508">
        <v>0.125</v>
      </c>
      <c r="Y8218" s="508">
        <v>0.121</v>
      </c>
      <c r="Z8218" s="508">
        <v>7.9000000000000001E-2</v>
      </c>
      <c r="AA8218" s="508">
        <v>7.6999999999999999E-2</v>
      </c>
      <c r="AB8218" s="508">
        <v>6.7000000000000004E-2</v>
      </c>
      <c r="AC8218" s="508">
        <v>6.6000000000000003E-2</v>
      </c>
      <c r="AD8218" s="508">
        <v>5.7000000000000002E-2</v>
      </c>
      <c r="AE8218" s="508">
        <v>5.6000000000000001E-2</v>
      </c>
      <c r="AF8218" s="508">
        <v>4.5999999999999999E-2</v>
      </c>
      <c r="AG8218" s="508">
        <v>4.4999999999999998E-2</v>
      </c>
      <c r="AH8218" s="508">
        <v>4.3999999999999997E-2</v>
      </c>
      <c r="AI8218" s="492">
        <v>4.2999999999999997E-2</v>
      </c>
      <c r="AJ8218" s="485"/>
    </row>
    <row r="8219" spans="2:36">
      <c r="B8219" s="136" t="s">
        <v>472</v>
      </c>
      <c r="C8219" s="132" t="s">
        <v>1367</v>
      </c>
      <c r="D8219" s="132" t="s">
        <v>1384</v>
      </c>
      <c r="E8219" s="508">
        <v>1.845</v>
      </c>
      <c r="F8219" s="508">
        <v>1.821</v>
      </c>
      <c r="G8219" s="508">
        <v>1.8049999999999999</v>
      </c>
      <c r="H8219" s="508">
        <v>1.7869999999999999</v>
      </c>
      <c r="I8219" s="508">
        <v>1.76</v>
      </c>
      <c r="J8219" s="508">
        <v>1.726</v>
      </c>
      <c r="K8219" s="508">
        <v>1.679</v>
      </c>
      <c r="L8219" s="508">
        <v>1.643</v>
      </c>
      <c r="M8219" s="508">
        <v>1.5980000000000001</v>
      </c>
      <c r="N8219" s="508">
        <v>1.5569999999999999</v>
      </c>
      <c r="O8219" s="508">
        <v>1.5129999999999999</v>
      </c>
      <c r="P8219" s="508">
        <v>0.56100000000000005</v>
      </c>
      <c r="Q8219" s="508">
        <v>0.53200000000000003</v>
      </c>
      <c r="R8219" s="508">
        <v>0.372</v>
      </c>
      <c r="S8219" s="508">
        <v>0.28499999999999998</v>
      </c>
      <c r="T8219" s="508">
        <v>0.245</v>
      </c>
      <c r="U8219" s="508">
        <v>0.13800000000000001</v>
      </c>
      <c r="V8219" s="508">
        <v>0.13300000000000001</v>
      </c>
      <c r="W8219" s="508">
        <v>0.129</v>
      </c>
      <c r="X8219" s="508">
        <v>0.1</v>
      </c>
      <c r="Y8219" s="508">
        <v>9.7000000000000003E-2</v>
      </c>
      <c r="Z8219" s="508">
        <v>6.0999999999999999E-2</v>
      </c>
      <c r="AA8219" s="508">
        <v>5.8999999999999997E-2</v>
      </c>
      <c r="AB8219" s="508">
        <v>5.1999999999999998E-2</v>
      </c>
      <c r="AC8219" s="508">
        <v>5.0999999999999997E-2</v>
      </c>
      <c r="AD8219" s="508">
        <v>4.3999999999999997E-2</v>
      </c>
      <c r="AE8219" s="508">
        <v>4.3999999999999997E-2</v>
      </c>
      <c r="AF8219" s="508">
        <v>3.5999999999999997E-2</v>
      </c>
      <c r="AG8219" s="508">
        <v>3.5999999999999997E-2</v>
      </c>
      <c r="AH8219" s="508">
        <v>3.5000000000000003E-2</v>
      </c>
      <c r="AI8219" s="492">
        <v>3.4000000000000002E-2</v>
      </c>
      <c r="AJ8219" s="485"/>
    </row>
    <row r="8220" spans="2:36">
      <c r="B8220" s="136" t="s">
        <v>473</v>
      </c>
      <c r="C8220" s="132" t="s">
        <v>1367</v>
      </c>
      <c r="D8220" s="132" t="s">
        <v>1384</v>
      </c>
      <c r="E8220" s="508">
        <v>2.0329999999999999</v>
      </c>
      <c r="F8220" s="508">
        <v>2.0070000000000001</v>
      </c>
      <c r="G8220" s="508">
        <v>1.99</v>
      </c>
      <c r="H8220" s="508">
        <v>1.97</v>
      </c>
      <c r="I8220" s="508">
        <v>1.9410000000000001</v>
      </c>
      <c r="J8220" s="508">
        <v>1.9059999999999999</v>
      </c>
      <c r="K8220" s="508">
        <v>1.855</v>
      </c>
      <c r="L8220" s="508">
        <v>1.8169999999999999</v>
      </c>
      <c r="M8220" s="508">
        <v>1.7689999999999999</v>
      </c>
      <c r="N8220" s="508">
        <v>1.726</v>
      </c>
      <c r="O8220" s="508">
        <v>1.6779999999999999</v>
      </c>
      <c r="P8220" s="508">
        <v>0.63700000000000001</v>
      </c>
      <c r="Q8220" s="508">
        <v>0.60199999999999998</v>
      </c>
      <c r="R8220" s="508">
        <v>0.41</v>
      </c>
      <c r="S8220" s="508">
        <v>0.308</v>
      </c>
      <c r="T8220" s="508">
        <v>0.26300000000000001</v>
      </c>
      <c r="U8220" s="508">
        <v>0.151</v>
      </c>
      <c r="V8220" s="508">
        <v>0.14599999999999999</v>
      </c>
      <c r="W8220" s="508">
        <v>0.14199999999999999</v>
      </c>
      <c r="X8220" s="508">
        <v>0.109</v>
      </c>
      <c r="Y8220" s="508">
        <v>0.106</v>
      </c>
      <c r="Z8220" s="508">
        <v>6.7000000000000004E-2</v>
      </c>
      <c r="AA8220" s="508">
        <v>6.6000000000000003E-2</v>
      </c>
      <c r="AB8220" s="508">
        <v>5.8000000000000003E-2</v>
      </c>
      <c r="AC8220" s="508">
        <v>5.7000000000000002E-2</v>
      </c>
      <c r="AD8220" s="508">
        <v>4.9000000000000002E-2</v>
      </c>
      <c r="AE8220" s="508">
        <v>4.8000000000000001E-2</v>
      </c>
      <c r="AF8220" s="508">
        <v>0.04</v>
      </c>
      <c r="AG8220" s="508">
        <v>0.04</v>
      </c>
      <c r="AH8220" s="508">
        <v>3.9E-2</v>
      </c>
      <c r="AI8220" s="492">
        <v>3.7999999999999999E-2</v>
      </c>
      <c r="AJ8220" s="485"/>
    </row>
    <row r="8221" spans="2:36">
      <c r="B8221" s="136" t="s">
        <v>474</v>
      </c>
      <c r="C8221" s="132" t="s">
        <v>1367</v>
      </c>
      <c r="D8221" s="132" t="s">
        <v>1384</v>
      </c>
      <c r="E8221" s="508">
        <v>2.4500000000000002</v>
      </c>
      <c r="F8221" s="508">
        <v>2.4249999999999998</v>
      </c>
      <c r="G8221" s="508">
        <v>2.403</v>
      </c>
      <c r="H8221" s="508">
        <v>2.379</v>
      </c>
      <c r="I8221" s="508">
        <v>2.3420000000000001</v>
      </c>
      <c r="J8221" s="508">
        <v>2.2970000000000002</v>
      </c>
      <c r="K8221" s="508">
        <v>2.2320000000000002</v>
      </c>
      <c r="L8221" s="508">
        <v>2.1829999999999998</v>
      </c>
      <c r="M8221" s="508">
        <v>2.121</v>
      </c>
      <c r="N8221" s="508">
        <v>2.0649999999999999</v>
      </c>
      <c r="O8221" s="508">
        <v>2.004</v>
      </c>
      <c r="P8221" s="508">
        <v>0.78700000000000003</v>
      </c>
      <c r="Q8221" s="508">
        <v>0.73899999999999999</v>
      </c>
      <c r="R8221" s="508">
        <v>0.48399999999999999</v>
      </c>
      <c r="S8221" s="508">
        <v>0.36</v>
      </c>
      <c r="T8221" s="508">
        <v>0.308</v>
      </c>
      <c r="U8221" s="508">
        <v>0.187</v>
      </c>
      <c r="V8221" s="508">
        <v>0.18</v>
      </c>
      <c r="W8221" s="508">
        <v>0.17399999999999999</v>
      </c>
      <c r="X8221" s="508">
        <v>0.13100000000000001</v>
      </c>
      <c r="Y8221" s="508">
        <v>0.127</v>
      </c>
      <c r="Z8221" s="508">
        <v>8.4000000000000005E-2</v>
      </c>
      <c r="AA8221" s="508">
        <v>8.2000000000000003E-2</v>
      </c>
      <c r="AB8221" s="508">
        <v>7.0999999999999994E-2</v>
      </c>
      <c r="AC8221" s="508">
        <v>6.9000000000000006E-2</v>
      </c>
      <c r="AD8221" s="508">
        <v>0.06</v>
      </c>
      <c r="AE8221" s="508">
        <v>5.8000000000000003E-2</v>
      </c>
      <c r="AF8221" s="508">
        <v>4.8000000000000001E-2</v>
      </c>
      <c r="AG8221" s="508">
        <v>4.7E-2</v>
      </c>
      <c r="AH8221" s="508">
        <v>4.5999999999999999E-2</v>
      </c>
      <c r="AI8221" s="492">
        <v>4.4999999999999998E-2</v>
      </c>
      <c r="AJ8221" s="485"/>
    </row>
    <row r="8222" spans="2:36">
      <c r="B8222" s="136" t="s">
        <v>475</v>
      </c>
      <c r="C8222" s="132" t="s">
        <v>1367</v>
      </c>
      <c r="D8222" s="132" t="s">
        <v>1384</v>
      </c>
      <c r="E8222" s="508">
        <v>2.0339999999999998</v>
      </c>
      <c r="F8222" s="508">
        <v>2.0099999999999998</v>
      </c>
      <c r="G8222" s="508">
        <v>1.992</v>
      </c>
      <c r="H8222" s="508">
        <v>1.9710000000000001</v>
      </c>
      <c r="I8222" s="508">
        <v>1.9410000000000001</v>
      </c>
      <c r="J8222" s="508">
        <v>1.9039999999999999</v>
      </c>
      <c r="K8222" s="508">
        <v>1.8520000000000001</v>
      </c>
      <c r="L8222" s="508">
        <v>1.8120000000000001</v>
      </c>
      <c r="M8222" s="508">
        <v>1.762</v>
      </c>
      <c r="N8222" s="508">
        <v>1.716</v>
      </c>
      <c r="O8222" s="508">
        <v>1.667</v>
      </c>
      <c r="P8222" s="508">
        <v>0.61699999999999999</v>
      </c>
      <c r="Q8222" s="508">
        <v>0.58399999999999996</v>
      </c>
      <c r="R8222" s="508">
        <v>0.40100000000000002</v>
      </c>
      <c r="S8222" s="508">
        <v>0.30499999999999999</v>
      </c>
      <c r="T8222" s="508">
        <v>0.26200000000000001</v>
      </c>
      <c r="U8222" s="508">
        <v>0.15</v>
      </c>
      <c r="V8222" s="508">
        <v>0.14499999999999999</v>
      </c>
      <c r="W8222" s="508">
        <v>0.14099999999999999</v>
      </c>
      <c r="X8222" s="508">
        <v>0.107</v>
      </c>
      <c r="Y8222" s="508">
        <v>0.104</v>
      </c>
      <c r="Z8222" s="508">
        <v>6.6000000000000003E-2</v>
      </c>
      <c r="AA8222" s="508">
        <v>6.5000000000000002E-2</v>
      </c>
      <c r="AB8222" s="508">
        <v>5.7000000000000002E-2</v>
      </c>
      <c r="AC8222" s="508">
        <v>5.5E-2</v>
      </c>
      <c r="AD8222" s="508">
        <v>4.8000000000000001E-2</v>
      </c>
      <c r="AE8222" s="508">
        <v>4.7E-2</v>
      </c>
      <c r="AF8222" s="508">
        <v>0.04</v>
      </c>
      <c r="AG8222" s="508">
        <v>3.9E-2</v>
      </c>
      <c r="AH8222" s="508">
        <v>3.7999999999999999E-2</v>
      </c>
      <c r="AI8222" s="492">
        <v>3.6999999999999998E-2</v>
      </c>
      <c r="AJ8222" s="485"/>
    </row>
    <row r="8223" spans="2:36">
      <c r="B8223" s="136" t="s">
        <v>476</v>
      </c>
      <c r="C8223" s="132" t="s">
        <v>1367</v>
      </c>
      <c r="D8223" s="132" t="s">
        <v>1384</v>
      </c>
      <c r="E8223" s="508">
        <v>1.9530000000000001</v>
      </c>
      <c r="F8223" s="508">
        <v>1.929</v>
      </c>
      <c r="G8223" s="508">
        <v>1.9119999999999999</v>
      </c>
      <c r="H8223" s="508">
        <v>1.893</v>
      </c>
      <c r="I8223" s="508">
        <v>1.865</v>
      </c>
      <c r="J8223" s="508">
        <v>1.831</v>
      </c>
      <c r="K8223" s="508">
        <v>1.782</v>
      </c>
      <c r="L8223" s="508">
        <v>1.7450000000000001</v>
      </c>
      <c r="M8223" s="508">
        <v>1.698</v>
      </c>
      <c r="N8223" s="508">
        <v>1.6559999999999999</v>
      </c>
      <c r="O8223" s="508">
        <v>1.61</v>
      </c>
      <c r="P8223" s="508">
        <v>0.59799999999999998</v>
      </c>
      <c r="Q8223" s="508">
        <v>0.56399999999999995</v>
      </c>
      <c r="R8223" s="508">
        <v>0.377</v>
      </c>
      <c r="S8223" s="508">
        <v>0.28199999999999997</v>
      </c>
      <c r="T8223" s="508">
        <v>0.24099999999999999</v>
      </c>
      <c r="U8223" s="508">
        <v>0.13600000000000001</v>
      </c>
      <c r="V8223" s="508">
        <v>0.13200000000000001</v>
      </c>
      <c r="W8223" s="508">
        <v>0.128</v>
      </c>
      <c r="X8223" s="508">
        <v>9.8000000000000004E-2</v>
      </c>
      <c r="Y8223" s="508">
        <v>9.6000000000000002E-2</v>
      </c>
      <c r="Z8223" s="508">
        <v>6.0999999999999999E-2</v>
      </c>
      <c r="AA8223" s="508">
        <v>5.8999999999999997E-2</v>
      </c>
      <c r="AB8223" s="508">
        <v>5.1999999999999998E-2</v>
      </c>
      <c r="AC8223" s="508">
        <v>5.0999999999999997E-2</v>
      </c>
      <c r="AD8223" s="508">
        <v>4.7E-2</v>
      </c>
      <c r="AE8223" s="508">
        <v>4.5999999999999999E-2</v>
      </c>
      <c r="AF8223" s="508">
        <v>3.9E-2</v>
      </c>
      <c r="AG8223" s="508">
        <v>3.9E-2</v>
      </c>
      <c r="AH8223" s="508">
        <v>3.7999999999999999E-2</v>
      </c>
      <c r="AI8223" s="492">
        <v>3.7999999999999999E-2</v>
      </c>
      <c r="AJ8223" s="485"/>
    </row>
    <row r="8224" spans="2:36">
      <c r="B8224" s="136" t="s">
        <v>478</v>
      </c>
      <c r="C8224" s="132" t="s">
        <v>1367</v>
      </c>
      <c r="D8224" s="132" t="s">
        <v>1384</v>
      </c>
      <c r="E8224" s="508">
        <v>1.915</v>
      </c>
      <c r="F8224" s="508">
        <v>1.893</v>
      </c>
      <c r="G8224" s="508">
        <v>1.8779999999999999</v>
      </c>
      <c r="H8224" s="508">
        <v>1.857</v>
      </c>
      <c r="I8224" s="508">
        <v>1.83</v>
      </c>
      <c r="J8224" s="508">
        <v>1.796</v>
      </c>
      <c r="K8224" s="508">
        <v>1.7490000000000001</v>
      </c>
      <c r="L8224" s="508">
        <v>1.7110000000000001</v>
      </c>
      <c r="M8224" s="508">
        <v>1.665</v>
      </c>
      <c r="N8224" s="508">
        <v>1.623</v>
      </c>
      <c r="O8224" s="508">
        <v>1.577</v>
      </c>
      <c r="P8224" s="508">
        <v>0.56100000000000005</v>
      </c>
      <c r="Q8224" s="508">
        <v>0.53</v>
      </c>
      <c r="R8224" s="508">
        <v>0.36299999999999999</v>
      </c>
      <c r="S8224" s="508">
        <v>0.28100000000000003</v>
      </c>
      <c r="T8224" s="508">
        <v>0.245</v>
      </c>
      <c r="U8224" s="508">
        <v>0.13800000000000001</v>
      </c>
      <c r="V8224" s="508">
        <v>0.13300000000000001</v>
      </c>
      <c r="W8224" s="508">
        <v>0.13</v>
      </c>
      <c r="X8224" s="508">
        <v>9.9000000000000005E-2</v>
      </c>
      <c r="Y8224" s="508">
        <v>9.6000000000000002E-2</v>
      </c>
      <c r="Z8224" s="508">
        <v>6.0999999999999999E-2</v>
      </c>
      <c r="AA8224" s="508">
        <v>5.8999999999999997E-2</v>
      </c>
      <c r="AB8224" s="508">
        <v>5.2999999999999999E-2</v>
      </c>
      <c r="AC8224" s="508">
        <v>5.1999999999999998E-2</v>
      </c>
      <c r="AD8224" s="508">
        <v>4.4999999999999998E-2</v>
      </c>
      <c r="AE8224" s="508">
        <v>4.5999999999999999E-2</v>
      </c>
      <c r="AF8224" s="508">
        <v>3.9E-2</v>
      </c>
      <c r="AG8224" s="508">
        <v>3.7999999999999999E-2</v>
      </c>
      <c r="AH8224" s="508">
        <v>3.6999999999999998E-2</v>
      </c>
      <c r="AI8224" s="492">
        <v>3.5999999999999997E-2</v>
      </c>
      <c r="AJ8224" s="485"/>
    </row>
    <row r="8225" spans="2:36">
      <c r="B8225" s="136" t="s">
        <v>479</v>
      </c>
      <c r="C8225" s="132" t="s">
        <v>1367</v>
      </c>
      <c r="D8225" s="132" t="s">
        <v>1384</v>
      </c>
      <c r="E8225" s="508">
        <v>2.5070000000000001</v>
      </c>
      <c r="F8225" s="508">
        <v>2.4809999999999999</v>
      </c>
      <c r="G8225" s="508">
        <v>2.4580000000000002</v>
      </c>
      <c r="H8225" s="508">
        <v>2.4329999999999998</v>
      </c>
      <c r="I8225" s="508">
        <v>2.395</v>
      </c>
      <c r="J8225" s="508">
        <v>2.3490000000000002</v>
      </c>
      <c r="K8225" s="508">
        <v>2.282</v>
      </c>
      <c r="L8225" s="508">
        <v>2.2320000000000002</v>
      </c>
      <c r="M8225" s="508">
        <v>2.1680000000000001</v>
      </c>
      <c r="N8225" s="508">
        <v>2.11</v>
      </c>
      <c r="O8225" s="508">
        <v>2.0470000000000002</v>
      </c>
      <c r="P8225" s="508">
        <v>0.80600000000000005</v>
      </c>
      <c r="Q8225" s="508">
        <v>0.75800000000000001</v>
      </c>
      <c r="R8225" s="508">
        <v>0.49399999999999999</v>
      </c>
      <c r="S8225" s="508">
        <v>0.36599999999999999</v>
      </c>
      <c r="T8225" s="508">
        <v>0.311</v>
      </c>
      <c r="U8225" s="508">
        <v>0.188</v>
      </c>
      <c r="V8225" s="508">
        <v>0.182</v>
      </c>
      <c r="W8225" s="508">
        <v>0.17599999999999999</v>
      </c>
      <c r="X8225" s="508">
        <v>0.13300000000000001</v>
      </c>
      <c r="Y8225" s="508">
        <v>0.129</v>
      </c>
      <c r="Z8225" s="508">
        <v>8.5000000000000006E-2</v>
      </c>
      <c r="AA8225" s="508">
        <v>8.3000000000000004E-2</v>
      </c>
      <c r="AB8225" s="508">
        <v>7.1999999999999995E-2</v>
      </c>
      <c r="AC8225" s="508">
        <v>7.0000000000000007E-2</v>
      </c>
      <c r="AD8225" s="508">
        <v>6.0999999999999999E-2</v>
      </c>
      <c r="AE8225" s="508">
        <v>5.8999999999999997E-2</v>
      </c>
      <c r="AF8225" s="508">
        <v>4.9000000000000002E-2</v>
      </c>
      <c r="AG8225" s="508">
        <v>4.8000000000000001E-2</v>
      </c>
      <c r="AH8225" s="508">
        <v>4.7E-2</v>
      </c>
      <c r="AI8225" s="492">
        <v>4.5999999999999999E-2</v>
      </c>
      <c r="AJ8225" s="485"/>
    </row>
    <row r="8226" spans="2:36">
      <c r="B8226" s="136" t="s">
        <v>480</v>
      </c>
      <c r="C8226" s="132" t="s">
        <v>1367</v>
      </c>
      <c r="D8226" s="132" t="s">
        <v>1384</v>
      </c>
      <c r="E8226" s="508">
        <v>1.988</v>
      </c>
      <c r="F8226" s="508">
        <v>1.9650000000000001</v>
      </c>
      <c r="G8226" s="508">
        <v>1.9470000000000001</v>
      </c>
      <c r="H8226" s="508">
        <v>1.927</v>
      </c>
      <c r="I8226" s="508">
        <v>1.897</v>
      </c>
      <c r="J8226" s="508">
        <v>1.86</v>
      </c>
      <c r="K8226" s="508">
        <v>1.8080000000000001</v>
      </c>
      <c r="L8226" s="508">
        <v>1.7689999999999999</v>
      </c>
      <c r="M8226" s="508">
        <v>1.7190000000000001</v>
      </c>
      <c r="N8226" s="508">
        <v>1.6739999999999999</v>
      </c>
      <c r="O8226" s="508">
        <v>1.6240000000000001</v>
      </c>
      <c r="P8226" s="508">
        <v>0.61399999999999999</v>
      </c>
      <c r="Q8226" s="508">
        <v>0.57999999999999996</v>
      </c>
      <c r="R8226" s="508">
        <v>0.40100000000000002</v>
      </c>
      <c r="S8226" s="508">
        <v>0.30499999999999999</v>
      </c>
      <c r="T8226" s="508">
        <v>0.26200000000000001</v>
      </c>
      <c r="U8226" s="508">
        <v>0.151</v>
      </c>
      <c r="V8226" s="508">
        <v>0.14599999999999999</v>
      </c>
      <c r="W8226" s="508">
        <v>0.14099999999999999</v>
      </c>
      <c r="X8226" s="508">
        <v>0.108</v>
      </c>
      <c r="Y8226" s="508">
        <v>0.105</v>
      </c>
      <c r="Z8226" s="508">
        <v>6.7000000000000004E-2</v>
      </c>
      <c r="AA8226" s="508">
        <v>6.5000000000000002E-2</v>
      </c>
      <c r="AB8226" s="508">
        <v>5.7000000000000002E-2</v>
      </c>
      <c r="AC8226" s="508">
        <v>5.5E-2</v>
      </c>
      <c r="AD8226" s="508">
        <v>4.8000000000000001E-2</v>
      </c>
      <c r="AE8226" s="508">
        <v>4.7E-2</v>
      </c>
      <c r="AF8226" s="508">
        <v>3.9E-2</v>
      </c>
      <c r="AG8226" s="508">
        <v>3.7999999999999999E-2</v>
      </c>
      <c r="AH8226" s="508">
        <v>3.6999999999999998E-2</v>
      </c>
      <c r="AI8226" s="492">
        <v>3.6999999999999998E-2</v>
      </c>
      <c r="AJ8226" s="485"/>
    </row>
    <row r="8227" spans="2:36">
      <c r="B8227" s="136" t="s">
        <v>481</v>
      </c>
      <c r="C8227" s="132" t="s">
        <v>1367</v>
      </c>
      <c r="D8227" s="132" t="s">
        <v>1384</v>
      </c>
      <c r="E8227" s="508">
        <v>2.3319999999999999</v>
      </c>
      <c r="F8227" s="508">
        <v>2.3069999999999999</v>
      </c>
      <c r="G8227" s="508">
        <v>2.2850000000000001</v>
      </c>
      <c r="H8227" s="508">
        <v>2.262</v>
      </c>
      <c r="I8227" s="508">
        <v>2.2269999999999999</v>
      </c>
      <c r="J8227" s="508">
        <v>2.1850000000000001</v>
      </c>
      <c r="K8227" s="508">
        <v>2.1240000000000001</v>
      </c>
      <c r="L8227" s="508">
        <v>2.077</v>
      </c>
      <c r="M8227" s="508">
        <v>2.0190000000000001</v>
      </c>
      <c r="N8227" s="508">
        <v>1.966</v>
      </c>
      <c r="O8227" s="508">
        <v>1.909</v>
      </c>
      <c r="P8227" s="508">
        <v>0.73699999999999999</v>
      </c>
      <c r="Q8227" s="508">
        <v>0.69299999999999995</v>
      </c>
      <c r="R8227" s="508">
        <v>0.45700000000000002</v>
      </c>
      <c r="S8227" s="508">
        <v>0.33900000000000002</v>
      </c>
      <c r="T8227" s="508">
        <v>0.28799999999999998</v>
      </c>
      <c r="U8227" s="508">
        <v>0.17100000000000001</v>
      </c>
      <c r="V8227" s="508">
        <v>0.16500000000000001</v>
      </c>
      <c r="W8227" s="508">
        <v>0.16</v>
      </c>
      <c r="X8227" s="508">
        <v>0.121</v>
      </c>
      <c r="Y8227" s="508">
        <v>0.11700000000000001</v>
      </c>
      <c r="Z8227" s="508">
        <v>7.6999999999999999E-2</v>
      </c>
      <c r="AA8227" s="508">
        <v>7.4999999999999997E-2</v>
      </c>
      <c r="AB8227" s="508">
        <v>6.5000000000000002E-2</v>
      </c>
      <c r="AC8227" s="508">
        <v>6.4000000000000001E-2</v>
      </c>
      <c r="AD8227" s="508">
        <v>5.5E-2</v>
      </c>
      <c r="AE8227" s="508">
        <v>5.3999999999999999E-2</v>
      </c>
      <c r="AF8227" s="508">
        <v>4.4999999999999998E-2</v>
      </c>
      <c r="AG8227" s="508">
        <v>4.3999999999999997E-2</v>
      </c>
      <c r="AH8227" s="508">
        <v>4.3999999999999997E-2</v>
      </c>
      <c r="AI8227" s="492">
        <v>4.2999999999999997E-2</v>
      </c>
      <c r="AJ8227" s="485"/>
    </row>
    <row r="8228" spans="2:36">
      <c r="B8228" s="136" t="s">
        <v>482</v>
      </c>
      <c r="C8228" s="132" t="s">
        <v>1367</v>
      </c>
      <c r="D8228" s="132" t="s">
        <v>1384</v>
      </c>
      <c r="E8228" s="508">
        <v>2.5790000000000002</v>
      </c>
      <c r="F8228" s="508">
        <v>2.5550000000000002</v>
      </c>
      <c r="G8228" s="508">
        <v>2.4569999999999999</v>
      </c>
      <c r="H8228" s="508">
        <v>2.431</v>
      </c>
      <c r="I8228" s="508">
        <v>2.3919999999999999</v>
      </c>
      <c r="J8228" s="508">
        <v>2.3450000000000002</v>
      </c>
      <c r="K8228" s="508">
        <v>2.2789999999999999</v>
      </c>
      <c r="L8228" s="508">
        <v>2.2269999999999999</v>
      </c>
      <c r="M8228" s="508">
        <v>2.1629999999999998</v>
      </c>
      <c r="N8228" s="508">
        <v>2.1040000000000001</v>
      </c>
      <c r="O8228" s="508">
        <v>2.0409999999999999</v>
      </c>
      <c r="P8228" s="508">
        <v>0.81599999999999995</v>
      </c>
      <c r="Q8228" s="508">
        <v>0.76200000000000001</v>
      </c>
      <c r="R8228" s="508">
        <v>0.47199999999999998</v>
      </c>
      <c r="S8228" s="508">
        <v>0.34200000000000003</v>
      </c>
      <c r="T8228" s="508">
        <v>0.29099999999999998</v>
      </c>
      <c r="U8228" s="508">
        <v>0.17599999999999999</v>
      </c>
      <c r="V8228" s="508">
        <v>0.17</v>
      </c>
      <c r="W8228" s="508">
        <v>0.16400000000000001</v>
      </c>
      <c r="X8228" s="508">
        <v>0.125</v>
      </c>
      <c r="Y8228" s="508">
        <v>0.121</v>
      </c>
      <c r="Z8228" s="508">
        <v>8.1000000000000003E-2</v>
      </c>
      <c r="AA8228" s="508">
        <v>7.9000000000000001E-2</v>
      </c>
      <c r="AB8228" s="508">
        <v>6.9000000000000006E-2</v>
      </c>
      <c r="AC8228" s="508">
        <v>6.8000000000000005E-2</v>
      </c>
      <c r="AD8228" s="508">
        <v>0.06</v>
      </c>
      <c r="AE8228" s="508">
        <v>5.8999999999999997E-2</v>
      </c>
      <c r="AF8228" s="508">
        <v>0.05</v>
      </c>
      <c r="AG8228" s="508">
        <v>4.9000000000000002E-2</v>
      </c>
      <c r="AH8228" s="508">
        <v>4.9000000000000002E-2</v>
      </c>
      <c r="AI8228" s="492">
        <v>4.8000000000000001E-2</v>
      </c>
      <c r="AJ8228" s="485"/>
    </row>
    <row r="8229" spans="2:36">
      <c r="B8229" s="136" t="s">
        <v>483</v>
      </c>
      <c r="C8229" s="132" t="s">
        <v>1367</v>
      </c>
      <c r="D8229" s="132" t="s">
        <v>1384</v>
      </c>
      <c r="E8229" s="508">
        <v>2.0920000000000001</v>
      </c>
      <c r="F8229" s="508">
        <v>2.0699999999999998</v>
      </c>
      <c r="G8229" s="508">
        <v>2.0510000000000002</v>
      </c>
      <c r="H8229" s="508">
        <v>2.032</v>
      </c>
      <c r="I8229" s="508">
        <v>2.0019999999999998</v>
      </c>
      <c r="J8229" s="508">
        <v>1.9650000000000001</v>
      </c>
      <c r="K8229" s="508">
        <v>1.9119999999999999</v>
      </c>
      <c r="L8229" s="508">
        <v>1.8720000000000001</v>
      </c>
      <c r="M8229" s="508">
        <v>1.8220000000000001</v>
      </c>
      <c r="N8229" s="508">
        <v>1.776</v>
      </c>
      <c r="O8229" s="508">
        <v>1.726</v>
      </c>
      <c r="P8229" s="508">
        <v>0.66900000000000004</v>
      </c>
      <c r="Q8229" s="508">
        <v>0.628</v>
      </c>
      <c r="R8229" s="508">
        <v>0.42499999999999999</v>
      </c>
      <c r="S8229" s="508">
        <v>0.32200000000000001</v>
      </c>
      <c r="T8229" s="508">
        <v>0.27700000000000002</v>
      </c>
      <c r="U8229" s="508">
        <v>0.16400000000000001</v>
      </c>
      <c r="V8229" s="508">
        <v>0.158</v>
      </c>
      <c r="W8229" s="508">
        <v>0.153</v>
      </c>
      <c r="X8229" s="508">
        <v>0.112</v>
      </c>
      <c r="Y8229" s="508">
        <v>0.108</v>
      </c>
      <c r="Z8229" s="508">
        <v>7.0999999999999994E-2</v>
      </c>
      <c r="AA8229" s="508">
        <v>6.9000000000000006E-2</v>
      </c>
      <c r="AB8229" s="508">
        <v>6.0999999999999999E-2</v>
      </c>
      <c r="AC8229" s="508">
        <v>5.8999999999999997E-2</v>
      </c>
      <c r="AD8229" s="508">
        <v>5.0999999999999997E-2</v>
      </c>
      <c r="AE8229" s="508">
        <v>0.05</v>
      </c>
      <c r="AF8229" s="508">
        <v>4.2000000000000003E-2</v>
      </c>
      <c r="AG8229" s="508">
        <v>4.1000000000000002E-2</v>
      </c>
      <c r="AH8229" s="508">
        <v>0.04</v>
      </c>
      <c r="AI8229" s="492">
        <v>3.9E-2</v>
      </c>
      <c r="AJ8229" s="485"/>
    </row>
    <row r="8230" spans="2:36">
      <c r="B8230" s="136" t="s">
        <v>484</v>
      </c>
      <c r="C8230" s="132" t="s">
        <v>1367</v>
      </c>
      <c r="D8230" s="132" t="s">
        <v>1384</v>
      </c>
      <c r="E8230" s="508">
        <v>1.871</v>
      </c>
      <c r="F8230" s="508">
        <v>1.8480000000000001</v>
      </c>
      <c r="G8230" s="508">
        <v>1.8320000000000001</v>
      </c>
      <c r="H8230" s="508">
        <v>1.8129999999999999</v>
      </c>
      <c r="I8230" s="508">
        <v>1.7849999999999999</v>
      </c>
      <c r="J8230" s="508">
        <v>1.7509999999999999</v>
      </c>
      <c r="K8230" s="508">
        <v>1.7030000000000001</v>
      </c>
      <c r="L8230" s="508">
        <v>1.6659999999999999</v>
      </c>
      <c r="M8230" s="508">
        <v>1.62</v>
      </c>
      <c r="N8230" s="508">
        <v>1.577</v>
      </c>
      <c r="O8230" s="508">
        <v>1.532</v>
      </c>
      <c r="P8230" s="508">
        <v>0.55800000000000005</v>
      </c>
      <c r="Q8230" s="508">
        <v>0.52600000000000002</v>
      </c>
      <c r="R8230" s="508">
        <v>0.36199999999999999</v>
      </c>
      <c r="S8230" s="508">
        <v>0.27600000000000002</v>
      </c>
      <c r="T8230" s="508">
        <v>0.23799999999999999</v>
      </c>
      <c r="U8230" s="508">
        <v>0.13200000000000001</v>
      </c>
      <c r="V8230" s="508">
        <v>0.128</v>
      </c>
      <c r="W8230" s="508">
        <v>0.124</v>
      </c>
      <c r="X8230" s="508">
        <v>9.4E-2</v>
      </c>
      <c r="Y8230" s="508">
        <v>9.1999999999999998E-2</v>
      </c>
      <c r="Z8230" s="508">
        <v>5.8000000000000003E-2</v>
      </c>
      <c r="AA8230" s="508">
        <v>5.6000000000000001E-2</v>
      </c>
      <c r="AB8230" s="508">
        <v>0.05</v>
      </c>
      <c r="AC8230" s="508">
        <v>4.8000000000000001E-2</v>
      </c>
      <c r="AD8230" s="508">
        <v>4.2999999999999997E-2</v>
      </c>
      <c r="AE8230" s="508">
        <v>4.2000000000000003E-2</v>
      </c>
      <c r="AF8230" s="508">
        <v>3.5999999999999997E-2</v>
      </c>
      <c r="AG8230" s="508">
        <v>3.5999999999999997E-2</v>
      </c>
      <c r="AH8230" s="508">
        <v>3.5000000000000003E-2</v>
      </c>
      <c r="AI8230" s="492">
        <v>3.5000000000000003E-2</v>
      </c>
      <c r="AJ8230" s="485"/>
    </row>
    <row r="8231" spans="2:36">
      <c r="B8231" s="136" t="s">
        <v>486</v>
      </c>
      <c r="C8231" s="132" t="s">
        <v>1367</v>
      </c>
      <c r="D8231" s="132" t="s">
        <v>1384</v>
      </c>
      <c r="E8231" s="508">
        <v>2.1739999999999999</v>
      </c>
      <c r="F8231" s="508">
        <v>2.15</v>
      </c>
      <c r="G8231" s="508">
        <v>2.1309999999999998</v>
      </c>
      <c r="H8231" s="508">
        <v>2.109</v>
      </c>
      <c r="I8231" s="508">
        <v>2.0499999999999998</v>
      </c>
      <c r="J8231" s="508">
        <v>2.0099999999999998</v>
      </c>
      <c r="K8231" s="508">
        <v>1.9550000000000001</v>
      </c>
      <c r="L8231" s="508">
        <v>1.9119999999999999</v>
      </c>
      <c r="M8231" s="508">
        <v>1.859</v>
      </c>
      <c r="N8231" s="508">
        <v>1.81</v>
      </c>
      <c r="O8231" s="508">
        <v>1.758</v>
      </c>
      <c r="P8231" s="508">
        <v>0.66300000000000003</v>
      </c>
      <c r="Q8231" s="508">
        <v>0.624</v>
      </c>
      <c r="R8231" s="508">
        <v>0.41499999999999998</v>
      </c>
      <c r="S8231" s="508">
        <v>0.313</v>
      </c>
      <c r="T8231" s="508">
        <v>0.27</v>
      </c>
      <c r="U8231" s="508">
        <v>0.157</v>
      </c>
      <c r="V8231" s="508">
        <v>0.152</v>
      </c>
      <c r="W8231" s="508">
        <v>0.14699999999999999</v>
      </c>
      <c r="X8231" s="508">
        <v>0.113</v>
      </c>
      <c r="Y8231" s="508">
        <v>0.11</v>
      </c>
      <c r="Z8231" s="508">
        <v>7.0999999999999994E-2</v>
      </c>
      <c r="AA8231" s="508">
        <v>6.9000000000000006E-2</v>
      </c>
      <c r="AB8231" s="508">
        <v>6.0999999999999999E-2</v>
      </c>
      <c r="AC8231" s="508">
        <v>5.8999999999999997E-2</v>
      </c>
      <c r="AD8231" s="508">
        <v>5.1999999999999998E-2</v>
      </c>
      <c r="AE8231" s="508">
        <v>5.0999999999999997E-2</v>
      </c>
      <c r="AF8231" s="508">
        <v>4.2999999999999997E-2</v>
      </c>
      <c r="AG8231" s="508">
        <v>4.2000000000000003E-2</v>
      </c>
      <c r="AH8231" s="508">
        <v>4.1000000000000002E-2</v>
      </c>
      <c r="AI8231" s="492">
        <v>4.1000000000000002E-2</v>
      </c>
      <c r="AJ8231" s="485"/>
    </row>
    <row r="8232" spans="2:36">
      <c r="B8232" s="136" t="s">
        <v>487</v>
      </c>
      <c r="C8232" s="132" t="s">
        <v>1367</v>
      </c>
      <c r="D8232" s="132" t="s">
        <v>1384</v>
      </c>
      <c r="E8232" s="508">
        <v>1.966</v>
      </c>
      <c r="F8232" s="508">
        <v>1.9410000000000001</v>
      </c>
      <c r="G8232" s="508">
        <v>1.867</v>
      </c>
      <c r="H8232" s="508">
        <v>1.8480000000000001</v>
      </c>
      <c r="I8232" s="508">
        <v>1.821</v>
      </c>
      <c r="J8232" s="508">
        <v>1.788</v>
      </c>
      <c r="K8232" s="508">
        <v>1.74</v>
      </c>
      <c r="L8232" s="508">
        <v>1.7050000000000001</v>
      </c>
      <c r="M8232" s="508">
        <v>1.659</v>
      </c>
      <c r="N8232" s="508">
        <v>1.619</v>
      </c>
      <c r="O8232" s="508">
        <v>1.5740000000000001</v>
      </c>
      <c r="P8232" s="508">
        <v>0.59499999999999997</v>
      </c>
      <c r="Q8232" s="508">
        <v>0.56399999999999995</v>
      </c>
      <c r="R8232" s="508">
        <v>0.39</v>
      </c>
      <c r="S8232" s="508">
        <v>0.29599999999999999</v>
      </c>
      <c r="T8232" s="508">
        <v>0.253</v>
      </c>
      <c r="U8232" s="508">
        <v>0.14399999999999999</v>
      </c>
      <c r="V8232" s="508">
        <v>0.13900000000000001</v>
      </c>
      <c r="W8232" s="508">
        <v>0.13500000000000001</v>
      </c>
      <c r="X8232" s="508">
        <v>0.10299999999999999</v>
      </c>
      <c r="Y8232" s="508">
        <v>0.10100000000000001</v>
      </c>
      <c r="Z8232" s="508">
        <v>6.4000000000000001E-2</v>
      </c>
      <c r="AA8232" s="508">
        <v>6.2E-2</v>
      </c>
      <c r="AB8232" s="508">
        <v>5.5E-2</v>
      </c>
      <c r="AC8232" s="508">
        <v>5.2999999999999999E-2</v>
      </c>
      <c r="AD8232" s="508">
        <v>4.5999999999999999E-2</v>
      </c>
      <c r="AE8232" s="508">
        <v>4.7E-2</v>
      </c>
      <c r="AF8232" s="508">
        <v>3.9E-2</v>
      </c>
      <c r="AG8232" s="508">
        <v>3.7999999999999999E-2</v>
      </c>
      <c r="AH8232" s="508">
        <v>3.6999999999999998E-2</v>
      </c>
      <c r="AI8232" s="492">
        <v>3.5999999999999997E-2</v>
      </c>
      <c r="AJ8232" s="485"/>
    </row>
    <row r="8233" spans="2:36">
      <c r="B8233" s="136" t="s">
        <v>488</v>
      </c>
      <c r="C8233" s="132" t="s">
        <v>1367</v>
      </c>
      <c r="D8233" s="132" t="s">
        <v>1384</v>
      </c>
      <c r="E8233" s="508">
        <v>2.1349999999999998</v>
      </c>
      <c r="F8233" s="508">
        <v>2.1110000000000002</v>
      </c>
      <c r="G8233" s="508">
        <v>2.0920000000000001</v>
      </c>
      <c r="H8233" s="508">
        <v>2.0699999999999998</v>
      </c>
      <c r="I8233" s="508">
        <v>2.0379999999999998</v>
      </c>
      <c r="J8233" s="508">
        <v>1.998</v>
      </c>
      <c r="K8233" s="508">
        <v>1.9419999999999999</v>
      </c>
      <c r="L8233" s="508">
        <v>1.9</v>
      </c>
      <c r="M8233" s="508">
        <v>1.8460000000000001</v>
      </c>
      <c r="N8233" s="508">
        <v>1.7969999999999999</v>
      </c>
      <c r="O8233" s="508">
        <v>1.744</v>
      </c>
      <c r="P8233" s="508">
        <v>0.66300000000000003</v>
      </c>
      <c r="Q8233" s="508">
        <v>0.626</v>
      </c>
      <c r="R8233" s="508">
        <v>0.42399999999999999</v>
      </c>
      <c r="S8233" s="508">
        <v>0.32100000000000001</v>
      </c>
      <c r="T8233" s="508">
        <v>0.27500000000000002</v>
      </c>
      <c r="U8233" s="508">
        <v>0.161</v>
      </c>
      <c r="V8233" s="508">
        <v>0.155</v>
      </c>
      <c r="W8233" s="508">
        <v>0.15</v>
      </c>
      <c r="X8233" s="508">
        <v>0.115</v>
      </c>
      <c r="Y8233" s="508">
        <v>0.112</v>
      </c>
      <c r="Z8233" s="508">
        <v>7.1999999999999995E-2</v>
      </c>
      <c r="AA8233" s="508">
        <v>7.0000000000000007E-2</v>
      </c>
      <c r="AB8233" s="508">
        <v>6.0999999999999999E-2</v>
      </c>
      <c r="AC8233" s="508">
        <v>5.8999999999999997E-2</v>
      </c>
      <c r="AD8233" s="508">
        <v>5.1999999999999998E-2</v>
      </c>
      <c r="AE8233" s="508">
        <v>0.05</v>
      </c>
      <c r="AF8233" s="508">
        <v>4.2000000000000003E-2</v>
      </c>
      <c r="AG8233" s="508">
        <v>4.1000000000000002E-2</v>
      </c>
      <c r="AH8233" s="508">
        <v>0.04</v>
      </c>
      <c r="AI8233" s="492">
        <v>3.9E-2</v>
      </c>
      <c r="AJ8233" s="485"/>
    </row>
    <row r="8234" spans="2:36">
      <c r="B8234" s="136" t="s">
        <v>489</v>
      </c>
      <c r="C8234" s="132" t="s">
        <v>1367</v>
      </c>
      <c r="D8234" s="132" t="s">
        <v>1384</v>
      </c>
      <c r="E8234" s="508">
        <v>1.895</v>
      </c>
      <c r="F8234" s="508">
        <v>1.871</v>
      </c>
      <c r="G8234" s="508">
        <v>1.8540000000000001</v>
      </c>
      <c r="H8234" s="508">
        <v>1.835</v>
      </c>
      <c r="I8234" s="508">
        <v>1.8080000000000001</v>
      </c>
      <c r="J8234" s="508">
        <v>1.774</v>
      </c>
      <c r="K8234" s="508">
        <v>1.726</v>
      </c>
      <c r="L8234" s="508">
        <v>1.6890000000000001</v>
      </c>
      <c r="M8234" s="508">
        <v>1.643</v>
      </c>
      <c r="N8234" s="508">
        <v>1.601</v>
      </c>
      <c r="O8234" s="508">
        <v>1.556</v>
      </c>
      <c r="P8234" s="508">
        <v>0.57299999999999995</v>
      </c>
      <c r="Q8234" s="508">
        <v>0.54200000000000004</v>
      </c>
      <c r="R8234" s="508">
        <v>0.375</v>
      </c>
      <c r="S8234" s="508">
        <v>0.28599999999999998</v>
      </c>
      <c r="T8234" s="508">
        <v>0.247</v>
      </c>
      <c r="U8234" s="508">
        <v>0.13900000000000001</v>
      </c>
      <c r="V8234" s="508">
        <v>0.13400000000000001</v>
      </c>
      <c r="W8234" s="508">
        <v>0.13</v>
      </c>
      <c r="X8234" s="508">
        <v>0.10100000000000001</v>
      </c>
      <c r="Y8234" s="508">
        <v>9.8000000000000004E-2</v>
      </c>
      <c r="Z8234" s="508">
        <v>6.2E-2</v>
      </c>
      <c r="AA8234" s="508">
        <v>0.06</v>
      </c>
      <c r="AB8234" s="508">
        <v>5.2999999999999999E-2</v>
      </c>
      <c r="AC8234" s="508">
        <v>5.1999999999999998E-2</v>
      </c>
      <c r="AD8234" s="508">
        <v>4.4999999999999998E-2</v>
      </c>
      <c r="AE8234" s="508">
        <v>4.3999999999999997E-2</v>
      </c>
      <c r="AF8234" s="508">
        <v>3.6999999999999998E-2</v>
      </c>
      <c r="AG8234" s="508">
        <v>3.6999999999999998E-2</v>
      </c>
      <c r="AH8234" s="508">
        <v>3.5999999999999997E-2</v>
      </c>
      <c r="AI8234" s="492">
        <v>3.5000000000000003E-2</v>
      </c>
      <c r="AJ8234" s="485"/>
    </row>
    <row r="8235" spans="2:36">
      <c r="B8235" s="136" t="s">
        <v>490</v>
      </c>
      <c r="C8235" s="132" t="s">
        <v>1367</v>
      </c>
      <c r="D8235" s="132" t="s">
        <v>1384</v>
      </c>
      <c r="E8235" s="508">
        <v>1.986</v>
      </c>
      <c r="F8235" s="508">
        <v>1.9670000000000001</v>
      </c>
      <c r="G8235" s="508">
        <v>1.948</v>
      </c>
      <c r="H8235" s="508">
        <v>1.93</v>
      </c>
      <c r="I8235" s="508">
        <v>1.899</v>
      </c>
      <c r="J8235" s="508">
        <v>1.8620000000000001</v>
      </c>
      <c r="K8235" s="508">
        <v>1.8109999999999999</v>
      </c>
      <c r="L8235" s="508">
        <v>1.7709999999999999</v>
      </c>
      <c r="M8235" s="508">
        <v>1.7210000000000001</v>
      </c>
      <c r="N8235" s="508">
        <v>1.675</v>
      </c>
      <c r="O8235" s="508">
        <v>1.6259999999999999</v>
      </c>
      <c r="P8235" s="508">
        <v>0.60799999999999998</v>
      </c>
      <c r="Q8235" s="508">
        <v>0.57399999999999995</v>
      </c>
      <c r="R8235" s="508">
        <v>0.40400000000000003</v>
      </c>
      <c r="S8235" s="508">
        <v>0.315</v>
      </c>
      <c r="T8235" s="508">
        <v>0.27300000000000002</v>
      </c>
      <c r="U8235" s="508">
        <v>0.16</v>
      </c>
      <c r="V8235" s="508">
        <v>0.154</v>
      </c>
      <c r="W8235" s="508">
        <v>0.14899999999999999</v>
      </c>
      <c r="X8235" s="508">
        <v>0.111</v>
      </c>
      <c r="Y8235" s="508">
        <v>0.108</v>
      </c>
      <c r="Z8235" s="508">
        <v>6.9000000000000006E-2</v>
      </c>
      <c r="AA8235" s="508">
        <v>6.7000000000000004E-2</v>
      </c>
      <c r="AB8235" s="508">
        <v>5.8000000000000003E-2</v>
      </c>
      <c r="AC8235" s="508">
        <v>5.6000000000000001E-2</v>
      </c>
      <c r="AD8235" s="508">
        <v>4.9000000000000002E-2</v>
      </c>
      <c r="AE8235" s="508">
        <v>4.7E-2</v>
      </c>
      <c r="AF8235" s="508">
        <v>3.9E-2</v>
      </c>
      <c r="AG8235" s="508">
        <v>3.7999999999999999E-2</v>
      </c>
      <c r="AH8235" s="508">
        <v>3.6999999999999998E-2</v>
      </c>
      <c r="AI8235" s="492">
        <v>3.5999999999999997E-2</v>
      </c>
      <c r="AJ8235" s="485"/>
    </row>
    <row r="8236" spans="2:36">
      <c r="B8236" s="136" t="s">
        <v>435</v>
      </c>
      <c r="C8236" s="132" t="s">
        <v>1368</v>
      </c>
      <c r="D8236" s="132" t="s">
        <v>1384</v>
      </c>
      <c r="E8236" s="508">
        <v>1.7999999999999999E-2</v>
      </c>
      <c r="F8236" s="508">
        <v>1.2999999999999999E-2</v>
      </c>
      <c r="G8236" s="508">
        <v>1.2E-2</v>
      </c>
      <c r="H8236" s="508">
        <v>1.6E-2</v>
      </c>
      <c r="I8236" s="508">
        <v>1.6E-2</v>
      </c>
      <c r="J8236" s="508">
        <v>1.7000000000000001E-2</v>
      </c>
      <c r="K8236" s="508">
        <v>1.7999999999999999E-2</v>
      </c>
      <c r="L8236" s="508">
        <v>1.9E-2</v>
      </c>
      <c r="M8236" s="508">
        <v>1.7999999999999999E-2</v>
      </c>
      <c r="N8236" s="508">
        <v>0.02</v>
      </c>
      <c r="O8236" s="508">
        <v>1.9E-2</v>
      </c>
      <c r="P8236" s="508">
        <v>8.9999999999999993E-3</v>
      </c>
      <c r="Q8236" s="508">
        <v>0.01</v>
      </c>
      <c r="R8236" s="508">
        <v>0.01</v>
      </c>
      <c r="S8236" s="508">
        <v>0.01</v>
      </c>
      <c r="T8236" s="508">
        <v>0.01</v>
      </c>
      <c r="U8236" s="508">
        <v>1.2999999999999999E-2</v>
      </c>
      <c r="V8236" s="508">
        <v>1.2999999999999999E-2</v>
      </c>
      <c r="W8236" s="508">
        <v>1.2999999999999999E-2</v>
      </c>
      <c r="X8236" s="508">
        <v>1.2E-2</v>
      </c>
      <c r="Y8236" s="508">
        <v>1.2E-2</v>
      </c>
      <c r="Z8236" s="508">
        <v>1.2E-2</v>
      </c>
      <c r="AA8236" s="508">
        <v>1.2E-2</v>
      </c>
      <c r="AB8236" s="508">
        <v>1.0999999999999999E-2</v>
      </c>
      <c r="AC8236" s="508">
        <v>0.01</v>
      </c>
      <c r="AD8236" s="508">
        <v>0.01</v>
      </c>
      <c r="AE8236" s="508">
        <v>1.0999999999999999E-2</v>
      </c>
      <c r="AF8236" s="508">
        <v>0.01</v>
      </c>
      <c r="AG8236" s="508">
        <v>0.01</v>
      </c>
      <c r="AH8236" s="508">
        <v>0.01</v>
      </c>
      <c r="AI8236" s="492">
        <v>0.01</v>
      </c>
      <c r="AJ8236" s="485"/>
    </row>
    <row r="8237" spans="2:36">
      <c r="B8237" s="136" t="s">
        <v>436</v>
      </c>
      <c r="C8237" s="132" t="s">
        <v>1368</v>
      </c>
      <c r="D8237" s="132" t="s">
        <v>1384</v>
      </c>
      <c r="E8237" s="508">
        <v>1.7999999999999999E-2</v>
      </c>
      <c r="F8237" s="508">
        <v>1.2999999999999999E-2</v>
      </c>
      <c r="G8237" s="508">
        <v>1.2E-2</v>
      </c>
      <c r="H8237" s="508">
        <v>1.6E-2</v>
      </c>
      <c r="I8237" s="508">
        <v>1.6E-2</v>
      </c>
      <c r="J8237" s="508">
        <v>1.6E-2</v>
      </c>
      <c r="K8237" s="508">
        <v>1.7999999999999999E-2</v>
      </c>
      <c r="L8237" s="508">
        <v>1.9E-2</v>
      </c>
      <c r="M8237" s="508">
        <v>1.7999999999999999E-2</v>
      </c>
      <c r="N8237" s="508">
        <v>0.02</v>
      </c>
      <c r="O8237" s="508">
        <v>1.9E-2</v>
      </c>
      <c r="P8237" s="508">
        <v>8.9999999999999993E-3</v>
      </c>
      <c r="Q8237" s="508">
        <v>0.01</v>
      </c>
      <c r="R8237" s="508">
        <v>0.01</v>
      </c>
      <c r="S8237" s="508">
        <v>0.01</v>
      </c>
      <c r="T8237" s="508">
        <v>0.01</v>
      </c>
      <c r="U8237" s="508">
        <v>1.2E-2</v>
      </c>
      <c r="V8237" s="508">
        <v>1.2E-2</v>
      </c>
      <c r="W8237" s="508">
        <v>1.2E-2</v>
      </c>
      <c r="X8237" s="508">
        <v>1.2E-2</v>
      </c>
      <c r="Y8237" s="508">
        <v>1.2E-2</v>
      </c>
      <c r="Z8237" s="508">
        <v>1.2E-2</v>
      </c>
      <c r="AA8237" s="508">
        <v>1.2E-2</v>
      </c>
      <c r="AB8237" s="508">
        <v>1.0999999999999999E-2</v>
      </c>
      <c r="AC8237" s="508">
        <v>0.01</v>
      </c>
      <c r="AD8237" s="508">
        <v>0.01</v>
      </c>
      <c r="AE8237" s="508">
        <v>0.01</v>
      </c>
      <c r="AF8237" s="508">
        <v>0.01</v>
      </c>
      <c r="AG8237" s="508">
        <v>0.01</v>
      </c>
      <c r="AH8237" s="508">
        <v>0.01</v>
      </c>
      <c r="AI8237" s="492">
        <v>8.9999999999999993E-3</v>
      </c>
      <c r="AJ8237" s="485"/>
    </row>
    <row r="8238" spans="2:36">
      <c r="B8238" s="136" t="s">
        <v>437</v>
      </c>
      <c r="C8238" s="132" t="s">
        <v>1368</v>
      </c>
      <c r="D8238" s="132" t="s">
        <v>1384</v>
      </c>
      <c r="E8238" s="508">
        <v>1.9E-2</v>
      </c>
      <c r="F8238" s="508">
        <v>1.2999999999999999E-2</v>
      </c>
      <c r="G8238" s="508">
        <v>1.2E-2</v>
      </c>
      <c r="H8238" s="508">
        <v>1.7000000000000001E-2</v>
      </c>
      <c r="I8238" s="508">
        <v>1.6E-2</v>
      </c>
      <c r="J8238" s="508">
        <v>1.7000000000000001E-2</v>
      </c>
      <c r="K8238" s="508">
        <v>1.9E-2</v>
      </c>
      <c r="L8238" s="508">
        <v>1.9E-2</v>
      </c>
      <c r="M8238" s="508">
        <v>1.7999999999999999E-2</v>
      </c>
      <c r="N8238" s="508">
        <v>2.1000000000000001E-2</v>
      </c>
      <c r="O8238" s="508">
        <v>1.9E-2</v>
      </c>
      <c r="P8238" s="508">
        <v>0.01</v>
      </c>
      <c r="Q8238" s="508">
        <v>0.01</v>
      </c>
      <c r="R8238" s="508">
        <v>1.0999999999999999E-2</v>
      </c>
      <c r="S8238" s="508">
        <v>0.01</v>
      </c>
      <c r="T8238" s="508">
        <v>1.0999999999999999E-2</v>
      </c>
      <c r="U8238" s="508">
        <v>1.2999999999999999E-2</v>
      </c>
      <c r="V8238" s="508">
        <v>1.2999999999999999E-2</v>
      </c>
      <c r="W8238" s="508">
        <v>1.2999999999999999E-2</v>
      </c>
      <c r="X8238" s="508">
        <v>1.2999999999999999E-2</v>
      </c>
      <c r="Y8238" s="508">
        <v>1.2E-2</v>
      </c>
      <c r="Z8238" s="508">
        <v>1.2E-2</v>
      </c>
      <c r="AA8238" s="508">
        <v>1.2E-2</v>
      </c>
      <c r="AB8238" s="508">
        <v>1.0999999999999999E-2</v>
      </c>
      <c r="AC8238" s="508">
        <v>1.0999999999999999E-2</v>
      </c>
      <c r="AD8238" s="508">
        <v>1.0999999999999999E-2</v>
      </c>
      <c r="AE8238" s="508">
        <v>1.0999999999999999E-2</v>
      </c>
      <c r="AF8238" s="508">
        <v>1.0999999999999999E-2</v>
      </c>
      <c r="AG8238" s="508">
        <v>0.01</v>
      </c>
      <c r="AH8238" s="508">
        <v>0.01</v>
      </c>
      <c r="AI8238" s="492">
        <v>0.01</v>
      </c>
      <c r="AJ8238" s="485"/>
    </row>
    <row r="8239" spans="2:36">
      <c r="B8239" s="136" t="s">
        <v>438</v>
      </c>
      <c r="C8239" s="132" t="s">
        <v>1368</v>
      </c>
      <c r="D8239" s="132" t="s">
        <v>1384</v>
      </c>
      <c r="E8239" s="508">
        <v>1.7999999999999999E-2</v>
      </c>
      <c r="F8239" s="508">
        <v>1.2999999999999999E-2</v>
      </c>
      <c r="G8239" s="508">
        <v>1.0999999999999999E-2</v>
      </c>
      <c r="H8239" s="508">
        <v>1.6E-2</v>
      </c>
      <c r="I8239" s="508">
        <v>1.4999999999999999E-2</v>
      </c>
      <c r="J8239" s="508">
        <v>1.6E-2</v>
      </c>
      <c r="K8239" s="508">
        <v>1.7999999999999999E-2</v>
      </c>
      <c r="L8239" s="508">
        <v>1.9E-2</v>
      </c>
      <c r="M8239" s="508">
        <v>1.7999999999999999E-2</v>
      </c>
      <c r="N8239" s="508">
        <v>0.02</v>
      </c>
      <c r="O8239" s="508">
        <v>1.9E-2</v>
      </c>
      <c r="P8239" s="508">
        <v>8.9999999999999993E-3</v>
      </c>
      <c r="Q8239" s="508">
        <v>0.01</v>
      </c>
      <c r="R8239" s="508">
        <v>0.01</v>
      </c>
      <c r="S8239" s="508">
        <v>0.01</v>
      </c>
      <c r="T8239" s="508">
        <v>0.01</v>
      </c>
      <c r="U8239" s="508">
        <v>1.2E-2</v>
      </c>
      <c r="V8239" s="508">
        <v>1.2E-2</v>
      </c>
      <c r="W8239" s="508">
        <v>1.2E-2</v>
      </c>
      <c r="X8239" s="508">
        <v>1.2E-2</v>
      </c>
      <c r="Y8239" s="508">
        <v>1.2E-2</v>
      </c>
      <c r="Z8239" s="508">
        <v>1.2E-2</v>
      </c>
      <c r="AA8239" s="508">
        <v>1.2E-2</v>
      </c>
      <c r="AB8239" s="508">
        <v>1.0999999999999999E-2</v>
      </c>
      <c r="AC8239" s="508">
        <v>0.01</v>
      </c>
      <c r="AD8239" s="508">
        <v>0.01</v>
      </c>
      <c r="AE8239" s="508">
        <v>0.01</v>
      </c>
      <c r="AF8239" s="508">
        <v>0.01</v>
      </c>
      <c r="AG8239" s="508">
        <v>0.01</v>
      </c>
      <c r="AH8239" s="508">
        <v>0.01</v>
      </c>
      <c r="AI8239" s="492">
        <v>0.01</v>
      </c>
      <c r="AJ8239" s="485"/>
    </row>
    <row r="8240" spans="2:36">
      <c r="B8240" s="136" t="s">
        <v>439</v>
      </c>
      <c r="C8240" s="132" t="s">
        <v>1368</v>
      </c>
      <c r="D8240" s="132" t="s">
        <v>1384</v>
      </c>
      <c r="E8240" s="508">
        <v>1.7999999999999999E-2</v>
      </c>
      <c r="F8240" s="508">
        <v>1.2999999999999999E-2</v>
      </c>
      <c r="G8240" s="508">
        <v>1.2E-2</v>
      </c>
      <c r="H8240" s="508">
        <v>1.6E-2</v>
      </c>
      <c r="I8240" s="508">
        <v>1.6E-2</v>
      </c>
      <c r="J8240" s="508">
        <v>1.6E-2</v>
      </c>
      <c r="K8240" s="508">
        <v>1.7999999999999999E-2</v>
      </c>
      <c r="L8240" s="508">
        <v>1.9E-2</v>
      </c>
      <c r="M8240" s="508">
        <v>1.7999999999999999E-2</v>
      </c>
      <c r="N8240" s="508">
        <v>0.02</v>
      </c>
      <c r="O8240" s="508">
        <v>1.9E-2</v>
      </c>
      <c r="P8240" s="508">
        <v>8.9999999999999993E-3</v>
      </c>
      <c r="Q8240" s="508">
        <v>0.01</v>
      </c>
      <c r="R8240" s="508">
        <v>0.01</v>
      </c>
      <c r="S8240" s="508">
        <v>0.01</v>
      </c>
      <c r="T8240" s="508">
        <v>0.01</v>
      </c>
      <c r="U8240" s="508">
        <v>1.2E-2</v>
      </c>
      <c r="V8240" s="508">
        <v>1.2E-2</v>
      </c>
      <c r="W8240" s="508">
        <v>1.2E-2</v>
      </c>
      <c r="X8240" s="508">
        <v>1.2E-2</v>
      </c>
      <c r="Y8240" s="508">
        <v>1.2E-2</v>
      </c>
      <c r="Z8240" s="508">
        <v>1.2E-2</v>
      </c>
      <c r="AA8240" s="508">
        <v>1.2E-2</v>
      </c>
      <c r="AB8240" s="508">
        <v>1.0999999999999999E-2</v>
      </c>
      <c r="AC8240" s="508">
        <v>0.01</v>
      </c>
      <c r="AD8240" s="508">
        <v>0.01</v>
      </c>
      <c r="AE8240" s="508">
        <v>1.0999999999999999E-2</v>
      </c>
      <c r="AF8240" s="508">
        <v>0.01</v>
      </c>
      <c r="AG8240" s="508">
        <v>0.01</v>
      </c>
      <c r="AH8240" s="508">
        <v>0.01</v>
      </c>
      <c r="AI8240" s="492">
        <v>0.01</v>
      </c>
      <c r="AJ8240" s="485"/>
    </row>
    <row r="8241" spans="2:36">
      <c r="B8241" s="136" t="s">
        <v>440</v>
      </c>
      <c r="C8241" s="132" t="s">
        <v>1368</v>
      </c>
      <c r="D8241" s="132" t="s">
        <v>1384</v>
      </c>
      <c r="E8241" s="508">
        <v>1.7999999999999999E-2</v>
      </c>
      <c r="F8241" s="508">
        <v>1.2999999999999999E-2</v>
      </c>
      <c r="G8241" s="508">
        <v>1.2E-2</v>
      </c>
      <c r="H8241" s="508">
        <v>1.6E-2</v>
      </c>
      <c r="I8241" s="508">
        <v>1.6E-2</v>
      </c>
      <c r="J8241" s="508">
        <v>1.6E-2</v>
      </c>
      <c r="K8241" s="508">
        <v>1.7999999999999999E-2</v>
      </c>
      <c r="L8241" s="508">
        <v>1.9E-2</v>
      </c>
      <c r="M8241" s="508">
        <v>1.7999999999999999E-2</v>
      </c>
      <c r="N8241" s="508">
        <v>0.02</v>
      </c>
      <c r="O8241" s="508">
        <v>1.9E-2</v>
      </c>
      <c r="P8241" s="508">
        <v>8.9999999999999993E-3</v>
      </c>
      <c r="Q8241" s="508">
        <v>0.01</v>
      </c>
      <c r="R8241" s="508">
        <v>0.01</v>
      </c>
      <c r="S8241" s="508">
        <v>0.01</v>
      </c>
      <c r="T8241" s="508">
        <v>0.01</v>
      </c>
      <c r="U8241" s="508">
        <v>1.2E-2</v>
      </c>
      <c r="V8241" s="508">
        <v>1.2E-2</v>
      </c>
      <c r="W8241" s="508">
        <v>1.2E-2</v>
      </c>
      <c r="X8241" s="508">
        <v>1.2E-2</v>
      </c>
      <c r="Y8241" s="508">
        <v>1.2E-2</v>
      </c>
      <c r="Z8241" s="508">
        <v>1.2E-2</v>
      </c>
      <c r="AA8241" s="508">
        <v>1.2E-2</v>
      </c>
      <c r="AB8241" s="508">
        <v>1.0999999999999999E-2</v>
      </c>
      <c r="AC8241" s="508">
        <v>0.01</v>
      </c>
      <c r="AD8241" s="508">
        <v>0.01</v>
      </c>
      <c r="AE8241" s="508">
        <v>1.0999999999999999E-2</v>
      </c>
      <c r="AF8241" s="508">
        <v>0.01</v>
      </c>
      <c r="AG8241" s="508">
        <v>0.01</v>
      </c>
      <c r="AH8241" s="508">
        <v>0.01</v>
      </c>
      <c r="AI8241" s="492">
        <v>0.01</v>
      </c>
      <c r="AJ8241" s="485"/>
    </row>
    <row r="8242" spans="2:36">
      <c r="B8242" s="136" t="s">
        <v>441</v>
      </c>
      <c r="C8242" s="132" t="s">
        <v>1368</v>
      </c>
      <c r="D8242" s="132" t="s">
        <v>1384</v>
      </c>
      <c r="E8242" s="508">
        <v>1.7999999999999999E-2</v>
      </c>
      <c r="F8242" s="508">
        <v>1.2999999999999999E-2</v>
      </c>
      <c r="G8242" s="508">
        <v>1.2E-2</v>
      </c>
      <c r="H8242" s="508">
        <v>1.6E-2</v>
      </c>
      <c r="I8242" s="508">
        <v>1.6E-2</v>
      </c>
      <c r="J8242" s="508">
        <v>1.7000000000000001E-2</v>
      </c>
      <c r="K8242" s="508">
        <v>1.7999999999999999E-2</v>
      </c>
      <c r="L8242" s="508">
        <v>1.9E-2</v>
      </c>
      <c r="M8242" s="508">
        <v>1.7999999999999999E-2</v>
      </c>
      <c r="N8242" s="508">
        <v>0.02</v>
      </c>
      <c r="O8242" s="508">
        <v>1.9E-2</v>
      </c>
      <c r="P8242" s="508">
        <v>8.9999999999999993E-3</v>
      </c>
      <c r="Q8242" s="508">
        <v>0.01</v>
      </c>
      <c r="R8242" s="508">
        <v>0.01</v>
      </c>
      <c r="S8242" s="508">
        <v>0.01</v>
      </c>
      <c r="T8242" s="508">
        <v>0.01</v>
      </c>
      <c r="U8242" s="508">
        <v>1.2E-2</v>
      </c>
      <c r="V8242" s="508">
        <v>1.2E-2</v>
      </c>
      <c r="W8242" s="508">
        <v>1.2E-2</v>
      </c>
      <c r="X8242" s="508">
        <v>1.2E-2</v>
      </c>
      <c r="Y8242" s="508">
        <v>1.2E-2</v>
      </c>
      <c r="Z8242" s="508">
        <v>1.2E-2</v>
      </c>
      <c r="AA8242" s="508">
        <v>1.2E-2</v>
      </c>
      <c r="AB8242" s="508">
        <v>1.0999999999999999E-2</v>
      </c>
      <c r="AC8242" s="508">
        <v>0.01</v>
      </c>
      <c r="AD8242" s="508">
        <v>0.01</v>
      </c>
      <c r="AE8242" s="508">
        <v>1.0999999999999999E-2</v>
      </c>
      <c r="AF8242" s="508">
        <v>0.01</v>
      </c>
      <c r="AG8242" s="508">
        <v>0.01</v>
      </c>
      <c r="AH8242" s="508">
        <v>0.01</v>
      </c>
      <c r="AI8242" s="492">
        <v>0.01</v>
      </c>
      <c r="AJ8242" s="485"/>
    </row>
    <row r="8243" spans="2:36">
      <c r="B8243" s="136" t="s">
        <v>443</v>
      </c>
      <c r="C8243" s="132" t="s">
        <v>1368</v>
      </c>
      <c r="D8243" s="132" t="s">
        <v>1384</v>
      </c>
      <c r="E8243" s="508">
        <v>1.7999999999999999E-2</v>
      </c>
      <c r="F8243" s="508">
        <v>1.2999999999999999E-2</v>
      </c>
      <c r="G8243" s="508">
        <v>1.2E-2</v>
      </c>
      <c r="H8243" s="508">
        <v>1.6E-2</v>
      </c>
      <c r="I8243" s="508">
        <v>1.6E-2</v>
      </c>
      <c r="J8243" s="508">
        <v>1.7000000000000001E-2</v>
      </c>
      <c r="K8243" s="508">
        <v>1.7999999999999999E-2</v>
      </c>
      <c r="L8243" s="508">
        <v>1.9E-2</v>
      </c>
      <c r="M8243" s="508">
        <v>1.7999999999999999E-2</v>
      </c>
      <c r="N8243" s="508">
        <v>0.02</v>
      </c>
      <c r="O8243" s="508">
        <v>1.9E-2</v>
      </c>
      <c r="P8243" s="508">
        <v>8.9999999999999993E-3</v>
      </c>
      <c r="Q8243" s="508">
        <v>0.01</v>
      </c>
      <c r="R8243" s="508">
        <v>0.01</v>
      </c>
      <c r="S8243" s="508">
        <v>0.01</v>
      </c>
      <c r="T8243" s="508">
        <v>0.01</v>
      </c>
      <c r="U8243" s="508">
        <v>1.2999999999999999E-2</v>
      </c>
      <c r="V8243" s="508">
        <v>1.2999999999999999E-2</v>
      </c>
      <c r="W8243" s="508">
        <v>1.2999999999999999E-2</v>
      </c>
      <c r="X8243" s="508">
        <v>1.2E-2</v>
      </c>
      <c r="Y8243" s="508">
        <v>1.2E-2</v>
      </c>
      <c r="Z8243" s="508">
        <v>1.2E-2</v>
      </c>
      <c r="AA8243" s="508">
        <v>1.2E-2</v>
      </c>
      <c r="AB8243" s="508">
        <v>1.0999999999999999E-2</v>
      </c>
      <c r="AC8243" s="508">
        <v>0.01</v>
      </c>
      <c r="AD8243" s="508">
        <v>0.01</v>
      </c>
      <c r="AE8243" s="508">
        <v>1.0999999999999999E-2</v>
      </c>
      <c r="AF8243" s="508">
        <v>0.01</v>
      </c>
      <c r="AG8243" s="508">
        <v>0.01</v>
      </c>
      <c r="AH8243" s="508">
        <v>0.01</v>
      </c>
      <c r="AI8243" s="492">
        <v>0.01</v>
      </c>
      <c r="AJ8243" s="485"/>
    </row>
    <row r="8244" spans="2:36">
      <c r="B8244" s="136" t="s">
        <v>445</v>
      </c>
      <c r="C8244" s="132" t="s">
        <v>1368</v>
      </c>
      <c r="D8244" s="132" t="s">
        <v>1384</v>
      </c>
      <c r="E8244" s="508">
        <v>1.9E-2</v>
      </c>
      <c r="F8244" s="508">
        <v>1.4E-2</v>
      </c>
      <c r="G8244" s="508">
        <v>1.2E-2</v>
      </c>
      <c r="H8244" s="508">
        <v>1.7000000000000001E-2</v>
      </c>
      <c r="I8244" s="508">
        <v>1.6E-2</v>
      </c>
      <c r="J8244" s="508">
        <v>1.7000000000000001E-2</v>
      </c>
      <c r="K8244" s="508">
        <v>1.9E-2</v>
      </c>
      <c r="L8244" s="508">
        <v>0.02</v>
      </c>
      <c r="M8244" s="508">
        <v>1.9E-2</v>
      </c>
      <c r="N8244" s="508">
        <v>2.1000000000000001E-2</v>
      </c>
      <c r="O8244" s="508">
        <v>0.02</v>
      </c>
      <c r="P8244" s="508">
        <v>0.01</v>
      </c>
      <c r="Q8244" s="508">
        <v>0.01</v>
      </c>
      <c r="R8244" s="508">
        <v>1.0999999999999999E-2</v>
      </c>
      <c r="S8244" s="508">
        <v>1.0999999999999999E-2</v>
      </c>
      <c r="T8244" s="508">
        <v>1.0999999999999999E-2</v>
      </c>
      <c r="U8244" s="508">
        <v>1.2999999999999999E-2</v>
      </c>
      <c r="V8244" s="508">
        <v>1.2999999999999999E-2</v>
      </c>
      <c r="W8244" s="508">
        <v>1.2999999999999999E-2</v>
      </c>
      <c r="X8244" s="508">
        <v>1.2999999999999999E-2</v>
      </c>
      <c r="Y8244" s="508">
        <v>1.2999999999999999E-2</v>
      </c>
      <c r="Z8244" s="508">
        <v>1.2999999999999999E-2</v>
      </c>
      <c r="AA8244" s="508">
        <v>1.2999999999999999E-2</v>
      </c>
      <c r="AB8244" s="508">
        <v>1.2E-2</v>
      </c>
      <c r="AC8244" s="508">
        <v>1.0999999999999999E-2</v>
      </c>
      <c r="AD8244" s="508">
        <v>1.0999999999999999E-2</v>
      </c>
      <c r="AE8244" s="508">
        <v>1.0999999999999999E-2</v>
      </c>
      <c r="AF8244" s="508">
        <v>1.0999999999999999E-2</v>
      </c>
      <c r="AG8244" s="508">
        <v>1.0999999999999999E-2</v>
      </c>
      <c r="AH8244" s="508">
        <v>0.01</v>
      </c>
      <c r="AI8244" s="492">
        <v>0.01</v>
      </c>
      <c r="AJ8244" s="485"/>
    </row>
    <row r="8245" spans="2:36">
      <c r="B8245" s="136" t="s">
        <v>446</v>
      </c>
      <c r="C8245" s="132" t="s">
        <v>1368</v>
      </c>
      <c r="D8245" s="132" t="s">
        <v>1384</v>
      </c>
      <c r="E8245" s="508">
        <v>1.9E-2</v>
      </c>
      <c r="F8245" s="508">
        <v>1.4E-2</v>
      </c>
      <c r="G8245" s="508">
        <v>1.2E-2</v>
      </c>
      <c r="H8245" s="508">
        <v>1.7000000000000001E-2</v>
      </c>
      <c r="I8245" s="508">
        <v>1.6E-2</v>
      </c>
      <c r="J8245" s="508">
        <v>1.7000000000000001E-2</v>
      </c>
      <c r="K8245" s="508">
        <v>1.9E-2</v>
      </c>
      <c r="L8245" s="508">
        <v>0.02</v>
      </c>
      <c r="M8245" s="508">
        <v>1.9E-2</v>
      </c>
      <c r="N8245" s="508">
        <v>2.1000000000000001E-2</v>
      </c>
      <c r="O8245" s="508">
        <v>0.02</v>
      </c>
      <c r="P8245" s="508">
        <v>0.01</v>
      </c>
      <c r="Q8245" s="508">
        <v>0.01</v>
      </c>
      <c r="R8245" s="508">
        <v>1.0999999999999999E-2</v>
      </c>
      <c r="S8245" s="508">
        <v>1.0999999999999999E-2</v>
      </c>
      <c r="T8245" s="508">
        <v>1.0999999999999999E-2</v>
      </c>
      <c r="U8245" s="508">
        <v>1.2999999999999999E-2</v>
      </c>
      <c r="V8245" s="508">
        <v>1.2999999999999999E-2</v>
      </c>
      <c r="W8245" s="508">
        <v>1.2999999999999999E-2</v>
      </c>
      <c r="X8245" s="508">
        <v>1.2999999999999999E-2</v>
      </c>
      <c r="Y8245" s="508">
        <v>1.2999999999999999E-2</v>
      </c>
      <c r="Z8245" s="508">
        <v>1.2999999999999999E-2</v>
      </c>
      <c r="AA8245" s="508">
        <v>1.2999999999999999E-2</v>
      </c>
      <c r="AB8245" s="508">
        <v>1.2E-2</v>
      </c>
      <c r="AC8245" s="508">
        <v>1.0999999999999999E-2</v>
      </c>
      <c r="AD8245" s="508">
        <v>1.0999999999999999E-2</v>
      </c>
      <c r="AE8245" s="508">
        <v>1.0999999999999999E-2</v>
      </c>
      <c r="AF8245" s="508">
        <v>1.0999999999999999E-2</v>
      </c>
      <c r="AG8245" s="508">
        <v>1.0999999999999999E-2</v>
      </c>
      <c r="AH8245" s="508">
        <v>0.01</v>
      </c>
      <c r="AI8245" s="492">
        <v>0.01</v>
      </c>
      <c r="AJ8245" s="485"/>
    </row>
    <row r="8246" spans="2:36">
      <c r="B8246" s="136" t="s">
        <v>448</v>
      </c>
      <c r="C8246" s="132" t="s">
        <v>1368</v>
      </c>
      <c r="D8246" s="132" t="s">
        <v>1384</v>
      </c>
      <c r="E8246" s="508">
        <v>1.7999999999999999E-2</v>
      </c>
      <c r="F8246" s="508">
        <v>1.2999999999999999E-2</v>
      </c>
      <c r="G8246" s="508">
        <v>1.0999999999999999E-2</v>
      </c>
      <c r="H8246" s="508">
        <v>1.6E-2</v>
      </c>
      <c r="I8246" s="508">
        <v>1.6E-2</v>
      </c>
      <c r="J8246" s="508">
        <v>1.6E-2</v>
      </c>
      <c r="K8246" s="508">
        <v>1.7999999999999999E-2</v>
      </c>
      <c r="L8246" s="508">
        <v>1.9E-2</v>
      </c>
      <c r="M8246" s="508">
        <v>1.7999999999999999E-2</v>
      </c>
      <c r="N8246" s="508">
        <v>0.02</v>
      </c>
      <c r="O8246" s="508">
        <v>1.9E-2</v>
      </c>
      <c r="P8246" s="508">
        <v>8.9999999999999993E-3</v>
      </c>
      <c r="Q8246" s="508">
        <v>0.01</v>
      </c>
      <c r="R8246" s="508">
        <v>0.01</v>
      </c>
      <c r="S8246" s="508">
        <v>0.01</v>
      </c>
      <c r="T8246" s="508">
        <v>0.01</v>
      </c>
      <c r="U8246" s="508">
        <v>1.2E-2</v>
      </c>
      <c r="V8246" s="508">
        <v>1.2E-2</v>
      </c>
      <c r="W8246" s="508">
        <v>1.2E-2</v>
      </c>
      <c r="X8246" s="508">
        <v>1.2E-2</v>
      </c>
      <c r="Y8246" s="508">
        <v>1.2E-2</v>
      </c>
      <c r="Z8246" s="508">
        <v>1.2E-2</v>
      </c>
      <c r="AA8246" s="508">
        <v>1.2E-2</v>
      </c>
      <c r="AB8246" s="508">
        <v>1.0999999999999999E-2</v>
      </c>
      <c r="AC8246" s="508">
        <v>0.01</v>
      </c>
      <c r="AD8246" s="508">
        <v>0.01</v>
      </c>
      <c r="AE8246" s="508">
        <v>1.0999999999999999E-2</v>
      </c>
      <c r="AF8246" s="508">
        <v>0.01</v>
      </c>
      <c r="AG8246" s="508">
        <v>0.01</v>
      </c>
      <c r="AH8246" s="508">
        <v>0.01</v>
      </c>
      <c r="AI8246" s="492">
        <v>0.01</v>
      </c>
      <c r="AJ8246" s="485"/>
    </row>
    <row r="8247" spans="2:36">
      <c r="B8247" s="136" t="s">
        <v>449</v>
      </c>
      <c r="C8247" s="132" t="s">
        <v>1368</v>
      </c>
      <c r="D8247" s="132" t="s">
        <v>1384</v>
      </c>
      <c r="E8247" s="508">
        <v>1.9E-2</v>
      </c>
      <c r="F8247" s="508">
        <v>1.2999999999999999E-2</v>
      </c>
      <c r="G8247" s="508">
        <v>1.2E-2</v>
      </c>
      <c r="H8247" s="508">
        <v>1.7000000000000001E-2</v>
      </c>
      <c r="I8247" s="508">
        <v>1.6E-2</v>
      </c>
      <c r="J8247" s="508">
        <v>1.7000000000000001E-2</v>
      </c>
      <c r="K8247" s="508">
        <v>1.7999999999999999E-2</v>
      </c>
      <c r="L8247" s="508">
        <v>1.9E-2</v>
      </c>
      <c r="M8247" s="508">
        <v>1.7999999999999999E-2</v>
      </c>
      <c r="N8247" s="508">
        <v>2.1000000000000001E-2</v>
      </c>
      <c r="O8247" s="508">
        <v>1.9E-2</v>
      </c>
      <c r="P8247" s="508">
        <v>0.01</v>
      </c>
      <c r="Q8247" s="508">
        <v>0.01</v>
      </c>
      <c r="R8247" s="508">
        <v>1.0999999999999999E-2</v>
      </c>
      <c r="S8247" s="508">
        <v>0.01</v>
      </c>
      <c r="T8247" s="508">
        <v>1.0999999999999999E-2</v>
      </c>
      <c r="U8247" s="508">
        <v>1.2999999999999999E-2</v>
      </c>
      <c r="V8247" s="508">
        <v>1.2999999999999999E-2</v>
      </c>
      <c r="W8247" s="508">
        <v>1.2999999999999999E-2</v>
      </c>
      <c r="X8247" s="508">
        <v>1.2999999999999999E-2</v>
      </c>
      <c r="Y8247" s="508">
        <v>1.2E-2</v>
      </c>
      <c r="Z8247" s="508">
        <v>1.2999999999999999E-2</v>
      </c>
      <c r="AA8247" s="508">
        <v>1.2E-2</v>
      </c>
      <c r="AB8247" s="508">
        <v>1.0999999999999999E-2</v>
      </c>
      <c r="AC8247" s="508">
        <v>1.0999999999999999E-2</v>
      </c>
      <c r="AD8247" s="508">
        <v>1.0999999999999999E-2</v>
      </c>
      <c r="AE8247" s="508">
        <v>1.0999999999999999E-2</v>
      </c>
      <c r="AF8247" s="508">
        <v>1.0999999999999999E-2</v>
      </c>
      <c r="AG8247" s="508">
        <v>0.01</v>
      </c>
      <c r="AH8247" s="508">
        <v>0.01</v>
      </c>
      <c r="AI8247" s="492">
        <v>0.01</v>
      </c>
      <c r="AJ8247" s="485"/>
    </row>
    <row r="8248" spans="2:36">
      <c r="B8248" s="136" t="s">
        <v>450</v>
      </c>
      <c r="C8248" s="132" t="s">
        <v>1368</v>
      </c>
      <c r="D8248" s="132" t="s">
        <v>1384</v>
      </c>
      <c r="E8248" s="508">
        <v>1.7999999999999999E-2</v>
      </c>
      <c r="F8248" s="508">
        <v>1.2999999999999999E-2</v>
      </c>
      <c r="G8248" s="508">
        <v>1.0999999999999999E-2</v>
      </c>
      <c r="H8248" s="508">
        <v>1.6E-2</v>
      </c>
      <c r="I8248" s="508">
        <v>1.4999999999999999E-2</v>
      </c>
      <c r="J8248" s="508">
        <v>1.6E-2</v>
      </c>
      <c r="K8248" s="508">
        <v>1.7999999999999999E-2</v>
      </c>
      <c r="L8248" s="508">
        <v>1.9E-2</v>
      </c>
      <c r="M8248" s="508">
        <v>1.7999999999999999E-2</v>
      </c>
      <c r="N8248" s="508">
        <v>0.02</v>
      </c>
      <c r="O8248" s="508">
        <v>1.9E-2</v>
      </c>
      <c r="P8248" s="508">
        <v>8.9999999999999993E-3</v>
      </c>
      <c r="Q8248" s="508">
        <v>0.01</v>
      </c>
      <c r="R8248" s="508">
        <v>0.01</v>
      </c>
      <c r="S8248" s="508">
        <v>0.01</v>
      </c>
      <c r="T8248" s="508">
        <v>0.01</v>
      </c>
      <c r="U8248" s="508">
        <v>1.2E-2</v>
      </c>
      <c r="V8248" s="508">
        <v>1.2E-2</v>
      </c>
      <c r="W8248" s="508">
        <v>1.2E-2</v>
      </c>
      <c r="X8248" s="508">
        <v>1.2E-2</v>
      </c>
      <c r="Y8248" s="508">
        <v>1.2E-2</v>
      </c>
      <c r="Z8248" s="508">
        <v>1.2E-2</v>
      </c>
      <c r="AA8248" s="508">
        <v>1.2E-2</v>
      </c>
      <c r="AB8248" s="508">
        <v>1.0999999999999999E-2</v>
      </c>
      <c r="AC8248" s="508">
        <v>0.01</v>
      </c>
      <c r="AD8248" s="508">
        <v>0.01</v>
      </c>
      <c r="AE8248" s="508">
        <v>0.01</v>
      </c>
      <c r="AF8248" s="508">
        <v>0.01</v>
      </c>
      <c r="AG8248" s="508">
        <v>0.01</v>
      </c>
      <c r="AH8248" s="508">
        <v>0.01</v>
      </c>
      <c r="AI8248" s="492">
        <v>0.01</v>
      </c>
      <c r="AJ8248" s="485"/>
    </row>
    <row r="8249" spans="2:36">
      <c r="B8249" s="136" t="s">
        <v>451</v>
      </c>
      <c r="C8249" s="132" t="s">
        <v>1368</v>
      </c>
      <c r="D8249" s="132" t="s">
        <v>1384</v>
      </c>
      <c r="E8249" s="508">
        <v>1.9E-2</v>
      </c>
      <c r="F8249" s="508">
        <v>1.4E-2</v>
      </c>
      <c r="G8249" s="508">
        <v>1.2E-2</v>
      </c>
      <c r="H8249" s="508">
        <v>1.7000000000000001E-2</v>
      </c>
      <c r="I8249" s="508">
        <v>1.6E-2</v>
      </c>
      <c r="J8249" s="508">
        <v>1.7000000000000001E-2</v>
      </c>
      <c r="K8249" s="508">
        <v>1.9E-2</v>
      </c>
      <c r="L8249" s="508">
        <v>1.9E-2</v>
      </c>
      <c r="M8249" s="508">
        <v>1.7999999999999999E-2</v>
      </c>
      <c r="N8249" s="508">
        <v>2.1000000000000001E-2</v>
      </c>
      <c r="O8249" s="508">
        <v>1.9E-2</v>
      </c>
      <c r="P8249" s="508">
        <v>0.01</v>
      </c>
      <c r="Q8249" s="508">
        <v>0.01</v>
      </c>
      <c r="R8249" s="508">
        <v>1.0999999999999999E-2</v>
      </c>
      <c r="S8249" s="508">
        <v>0.01</v>
      </c>
      <c r="T8249" s="508">
        <v>1.0999999999999999E-2</v>
      </c>
      <c r="U8249" s="508">
        <v>1.2999999999999999E-2</v>
      </c>
      <c r="V8249" s="508">
        <v>1.2999999999999999E-2</v>
      </c>
      <c r="W8249" s="508">
        <v>1.2999999999999999E-2</v>
      </c>
      <c r="X8249" s="508">
        <v>1.2E-2</v>
      </c>
      <c r="Y8249" s="508">
        <v>1.2E-2</v>
      </c>
      <c r="Z8249" s="508">
        <v>1.2E-2</v>
      </c>
      <c r="AA8249" s="508">
        <v>1.2E-2</v>
      </c>
      <c r="AB8249" s="508">
        <v>1.0999999999999999E-2</v>
      </c>
      <c r="AC8249" s="508">
        <v>1.0999999999999999E-2</v>
      </c>
      <c r="AD8249" s="508">
        <v>1.0999999999999999E-2</v>
      </c>
      <c r="AE8249" s="508">
        <v>1.0999999999999999E-2</v>
      </c>
      <c r="AF8249" s="508">
        <v>0.01</v>
      </c>
      <c r="AG8249" s="508">
        <v>0.01</v>
      </c>
      <c r="AH8249" s="508">
        <v>0.01</v>
      </c>
      <c r="AI8249" s="492">
        <v>0.01</v>
      </c>
      <c r="AJ8249" s="485"/>
    </row>
    <row r="8250" spans="2:36">
      <c r="B8250" s="136" t="s">
        <v>452</v>
      </c>
      <c r="C8250" s="132" t="s">
        <v>1368</v>
      </c>
      <c r="D8250" s="132" t="s">
        <v>1384</v>
      </c>
      <c r="E8250" s="508">
        <v>1.7999999999999999E-2</v>
      </c>
      <c r="F8250" s="508">
        <v>1.2999999999999999E-2</v>
      </c>
      <c r="G8250" s="508">
        <v>1.2E-2</v>
      </c>
      <c r="H8250" s="508">
        <v>1.6E-2</v>
      </c>
      <c r="I8250" s="508">
        <v>1.6E-2</v>
      </c>
      <c r="J8250" s="508">
        <v>1.7000000000000001E-2</v>
      </c>
      <c r="K8250" s="508">
        <v>1.7999999999999999E-2</v>
      </c>
      <c r="L8250" s="508">
        <v>1.9E-2</v>
      </c>
      <c r="M8250" s="508">
        <v>1.7999999999999999E-2</v>
      </c>
      <c r="N8250" s="508">
        <v>0.02</v>
      </c>
      <c r="O8250" s="508">
        <v>1.9E-2</v>
      </c>
      <c r="P8250" s="508">
        <v>8.9999999999999993E-3</v>
      </c>
      <c r="Q8250" s="508">
        <v>0.01</v>
      </c>
      <c r="R8250" s="508">
        <v>0.01</v>
      </c>
      <c r="S8250" s="508">
        <v>0.01</v>
      </c>
      <c r="T8250" s="508">
        <v>0.01</v>
      </c>
      <c r="U8250" s="508">
        <v>1.2999999999999999E-2</v>
      </c>
      <c r="V8250" s="508">
        <v>1.2E-2</v>
      </c>
      <c r="W8250" s="508">
        <v>1.2999999999999999E-2</v>
      </c>
      <c r="X8250" s="508">
        <v>1.2E-2</v>
      </c>
      <c r="Y8250" s="508">
        <v>1.2E-2</v>
      </c>
      <c r="Z8250" s="508">
        <v>1.2E-2</v>
      </c>
      <c r="AA8250" s="508">
        <v>1.2E-2</v>
      </c>
      <c r="AB8250" s="508">
        <v>1.0999999999999999E-2</v>
      </c>
      <c r="AC8250" s="508">
        <v>0.01</v>
      </c>
      <c r="AD8250" s="508">
        <v>0.01</v>
      </c>
      <c r="AE8250" s="508">
        <v>1.0999999999999999E-2</v>
      </c>
      <c r="AF8250" s="508">
        <v>0.01</v>
      </c>
      <c r="AG8250" s="508">
        <v>0.01</v>
      </c>
      <c r="AH8250" s="508">
        <v>0.01</v>
      </c>
      <c r="AI8250" s="492">
        <v>0.01</v>
      </c>
      <c r="AJ8250" s="485"/>
    </row>
    <row r="8251" spans="2:36">
      <c r="B8251" s="136" t="s">
        <v>453</v>
      </c>
      <c r="C8251" s="132" t="s">
        <v>1368</v>
      </c>
      <c r="D8251" s="132" t="s">
        <v>1384</v>
      </c>
      <c r="E8251" s="508">
        <v>1.7999999999999999E-2</v>
      </c>
      <c r="F8251" s="508">
        <v>1.2999999999999999E-2</v>
      </c>
      <c r="G8251" s="508">
        <v>1.0999999999999999E-2</v>
      </c>
      <c r="H8251" s="508">
        <v>1.6E-2</v>
      </c>
      <c r="I8251" s="508">
        <v>1.4999999999999999E-2</v>
      </c>
      <c r="J8251" s="508">
        <v>1.6E-2</v>
      </c>
      <c r="K8251" s="508">
        <v>1.7999999999999999E-2</v>
      </c>
      <c r="L8251" s="508">
        <v>1.9E-2</v>
      </c>
      <c r="M8251" s="508">
        <v>1.7999999999999999E-2</v>
      </c>
      <c r="N8251" s="508">
        <v>0.02</v>
      </c>
      <c r="O8251" s="508">
        <v>1.9E-2</v>
      </c>
      <c r="P8251" s="508">
        <v>8.9999999999999993E-3</v>
      </c>
      <c r="Q8251" s="508">
        <v>0.01</v>
      </c>
      <c r="R8251" s="508">
        <v>0.01</v>
      </c>
      <c r="S8251" s="508">
        <v>0.01</v>
      </c>
      <c r="T8251" s="508">
        <v>0.01</v>
      </c>
      <c r="U8251" s="508">
        <v>1.2E-2</v>
      </c>
      <c r="V8251" s="508">
        <v>1.2E-2</v>
      </c>
      <c r="W8251" s="508">
        <v>1.2E-2</v>
      </c>
      <c r="X8251" s="508">
        <v>1.2E-2</v>
      </c>
      <c r="Y8251" s="508">
        <v>1.2E-2</v>
      </c>
      <c r="Z8251" s="508">
        <v>1.2E-2</v>
      </c>
      <c r="AA8251" s="508">
        <v>1.2E-2</v>
      </c>
      <c r="AB8251" s="508">
        <v>1.0999999999999999E-2</v>
      </c>
      <c r="AC8251" s="508">
        <v>0.01</v>
      </c>
      <c r="AD8251" s="508">
        <v>0.01</v>
      </c>
      <c r="AE8251" s="508">
        <v>0.01</v>
      </c>
      <c r="AF8251" s="508">
        <v>0.01</v>
      </c>
      <c r="AG8251" s="508">
        <v>0.01</v>
      </c>
      <c r="AH8251" s="508">
        <v>0.01</v>
      </c>
      <c r="AI8251" s="492">
        <v>8.9999999999999993E-3</v>
      </c>
      <c r="AJ8251" s="485"/>
    </row>
    <row r="8252" spans="2:36">
      <c r="B8252" s="136" t="s">
        <v>454</v>
      </c>
      <c r="C8252" s="132" t="s">
        <v>1368</v>
      </c>
      <c r="D8252" s="132" t="s">
        <v>1384</v>
      </c>
      <c r="E8252" s="508">
        <v>1.7999999999999999E-2</v>
      </c>
      <c r="F8252" s="508">
        <v>1.2999999999999999E-2</v>
      </c>
      <c r="G8252" s="508">
        <v>1.0999999999999999E-2</v>
      </c>
      <c r="H8252" s="508">
        <v>1.6E-2</v>
      </c>
      <c r="I8252" s="508">
        <v>1.6E-2</v>
      </c>
      <c r="J8252" s="508">
        <v>1.6E-2</v>
      </c>
      <c r="K8252" s="508">
        <v>1.7999999999999999E-2</v>
      </c>
      <c r="L8252" s="508">
        <v>1.9E-2</v>
      </c>
      <c r="M8252" s="508">
        <v>1.7999999999999999E-2</v>
      </c>
      <c r="N8252" s="508">
        <v>0.02</v>
      </c>
      <c r="O8252" s="508">
        <v>1.9E-2</v>
      </c>
      <c r="P8252" s="508">
        <v>8.9999999999999993E-3</v>
      </c>
      <c r="Q8252" s="508">
        <v>0.01</v>
      </c>
      <c r="R8252" s="508">
        <v>0.01</v>
      </c>
      <c r="S8252" s="508">
        <v>0.01</v>
      </c>
      <c r="T8252" s="508">
        <v>0.01</v>
      </c>
      <c r="U8252" s="508">
        <v>1.2E-2</v>
      </c>
      <c r="V8252" s="508">
        <v>1.2E-2</v>
      </c>
      <c r="W8252" s="508">
        <v>1.2E-2</v>
      </c>
      <c r="X8252" s="508">
        <v>1.2E-2</v>
      </c>
      <c r="Y8252" s="508">
        <v>1.2E-2</v>
      </c>
      <c r="Z8252" s="508">
        <v>1.2E-2</v>
      </c>
      <c r="AA8252" s="508">
        <v>1.2E-2</v>
      </c>
      <c r="AB8252" s="508">
        <v>1.0999999999999999E-2</v>
      </c>
      <c r="AC8252" s="508">
        <v>0.01</v>
      </c>
      <c r="AD8252" s="508">
        <v>0.01</v>
      </c>
      <c r="AE8252" s="508">
        <v>0.01</v>
      </c>
      <c r="AF8252" s="508">
        <v>0.01</v>
      </c>
      <c r="AG8252" s="508">
        <v>0.01</v>
      </c>
      <c r="AH8252" s="508">
        <v>0.01</v>
      </c>
      <c r="AI8252" s="492">
        <v>0.01</v>
      </c>
      <c r="AJ8252" s="485"/>
    </row>
    <row r="8253" spans="2:36">
      <c r="B8253" s="136" t="s">
        <v>455</v>
      </c>
      <c r="C8253" s="132" t="s">
        <v>1368</v>
      </c>
      <c r="D8253" s="132" t="s">
        <v>1384</v>
      </c>
      <c r="E8253" s="508">
        <v>1.7999999999999999E-2</v>
      </c>
      <c r="F8253" s="508">
        <v>1.2999999999999999E-2</v>
      </c>
      <c r="G8253" s="508">
        <v>1.0999999999999999E-2</v>
      </c>
      <c r="H8253" s="508">
        <v>1.6E-2</v>
      </c>
      <c r="I8253" s="508">
        <v>1.4999999999999999E-2</v>
      </c>
      <c r="J8253" s="508">
        <v>1.6E-2</v>
      </c>
      <c r="K8253" s="508">
        <v>1.7999999999999999E-2</v>
      </c>
      <c r="L8253" s="508">
        <v>1.9E-2</v>
      </c>
      <c r="M8253" s="508">
        <v>1.7999999999999999E-2</v>
      </c>
      <c r="N8253" s="508">
        <v>0.02</v>
      </c>
      <c r="O8253" s="508">
        <v>1.9E-2</v>
      </c>
      <c r="P8253" s="508">
        <v>8.9999999999999993E-3</v>
      </c>
      <c r="Q8253" s="508">
        <v>0.01</v>
      </c>
      <c r="R8253" s="508">
        <v>0.01</v>
      </c>
      <c r="S8253" s="508">
        <v>0.01</v>
      </c>
      <c r="T8253" s="508">
        <v>0.01</v>
      </c>
      <c r="U8253" s="508">
        <v>1.2E-2</v>
      </c>
      <c r="V8253" s="508">
        <v>1.2E-2</v>
      </c>
      <c r="W8253" s="508">
        <v>1.2E-2</v>
      </c>
      <c r="X8253" s="508">
        <v>1.2E-2</v>
      </c>
      <c r="Y8253" s="508">
        <v>1.2E-2</v>
      </c>
      <c r="Z8253" s="508">
        <v>1.2E-2</v>
      </c>
      <c r="AA8253" s="508">
        <v>1.2E-2</v>
      </c>
      <c r="AB8253" s="508">
        <v>1.0999999999999999E-2</v>
      </c>
      <c r="AC8253" s="508">
        <v>0.01</v>
      </c>
      <c r="AD8253" s="508">
        <v>0.01</v>
      </c>
      <c r="AE8253" s="508">
        <v>0.01</v>
      </c>
      <c r="AF8253" s="508">
        <v>0.01</v>
      </c>
      <c r="AG8253" s="508">
        <v>0.01</v>
      </c>
      <c r="AH8253" s="508">
        <v>0.01</v>
      </c>
      <c r="AI8253" s="492">
        <v>8.9999999999999993E-3</v>
      </c>
      <c r="AJ8253" s="485"/>
    </row>
    <row r="8254" spans="2:36">
      <c r="B8254" s="136" t="s">
        <v>456</v>
      </c>
      <c r="C8254" s="132" t="s">
        <v>1368</v>
      </c>
      <c r="D8254" s="132" t="s">
        <v>1384</v>
      </c>
      <c r="E8254" s="508">
        <v>1.7999999999999999E-2</v>
      </c>
      <c r="F8254" s="508">
        <v>1.2999999999999999E-2</v>
      </c>
      <c r="G8254" s="508">
        <v>1.2E-2</v>
      </c>
      <c r="H8254" s="508">
        <v>1.6E-2</v>
      </c>
      <c r="I8254" s="508">
        <v>1.6E-2</v>
      </c>
      <c r="J8254" s="508">
        <v>1.7000000000000001E-2</v>
      </c>
      <c r="K8254" s="508">
        <v>1.7999999999999999E-2</v>
      </c>
      <c r="L8254" s="508">
        <v>1.9E-2</v>
      </c>
      <c r="M8254" s="508">
        <v>1.7999999999999999E-2</v>
      </c>
      <c r="N8254" s="508">
        <v>0.02</v>
      </c>
      <c r="O8254" s="508">
        <v>1.9E-2</v>
      </c>
      <c r="P8254" s="508">
        <v>0.01</v>
      </c>
      <c r="Q8254" s="508">
        <v>0.01</v>
      </c>
      <c r="R8254" s="508">
        <v>1.0999999999999999E-2</v>
      </c>
      <c r="S8254" s="508">
        <v>0.01</v>
      </c>
      <c r="T8254" s="508">
        <v>0.01</v>
      </c>
      <c r="U8254" s="508">
        <v>1.2999999999999999E-2</v>
      </c>
      <c r="V8254" s="508">
        <v>1.2999999999999999E-2</v>
      </c>
      <c r="W8254" s="508">
        <v>1.2999999999999999E-2</v>
      </c>
      <c r="X8254" s="508">
        <v>1.2E-2</v>
      </c>
      <c r="Y8254" s="508">
        <v>1.2E-2</v>
      </c>
      <c r="Z8254" s="508">
        <v>1.2E-2</v>
      </c>
      <c r="AA8254" s="508">
        <v>1.2E-2</v>
      </c>
      <c r="AB8254" s="508">
        <v>1.0999999999999999E-2</v>
      </c>
      <c r="AC8254" s="508">
        <v>1.0999999999999999E-2</v>
      </c>
      <c r="AD8254" s="508">
        <v>0.01</v>
      </c>
      <c r="AE8254" s="508">
        <v>1.0999999999999999E-2</v>
      </c>
      <c r="AF8254" s="508">
        <v>0.01</v>
      </c>
      <c r="AG8254" s="508">
        <v>0.01</v>
      </c>
      <c r="AH8254" s="508">
        <v>0.01</v>
      </c>
      <c r="AI8254" s="492">
        <v>0.01</v>
      </c>
      <c r="AJ8254" s="485"/>
    </row>
    <row r="8255" spans="2:36">
      <c r="B8255" s="136" t="s">
        <v>457</v>
      </c>
      <c r="C8255" s="132" t="s">
        <v>1368</v>
      </c>
      <c r="D8255" s="132" t="s">
        <v>1384</v>
      </c>
      <c r="E8255" s="508">
        <v>1.7999999999999999E-2</v>
      </c>
      <c r="F8255" s="508">
        <v>1.2999999999999999E-2</v>
      </c>
      <c r="G8255" s="508">
        <v>1.0999999999999999E-2</v>
      </c>
      <c r="H8255" s="508">
        <v>1.6E-2</v>
      </c>
      <c r="I8255" s="508">
        <v>1.4999999999999999E-2</v>
      </c>
      <c r="J8255" s="508">
        <v>1.6E-2</v>
      </c>
      <c r="K8255" s="508">
        <v>1.7999999999999999E-2</v>
      </c>
      <c r="L8255" s="508">
        <v>1.7999999999999999E-2</v>
      </c>
      <c r="M8255" s="508">
        <v>1.7999999999999999E-2</v>
      </c>
      <c r="N8255" s="508">
        <v>1.9E-2</v>
      </c>
      <c r="O8255" s="508">
        <v>1.7999999999999999E-2</v>
      </c>
      <c r="P8255" s="508">
        <v>8.9999999999999993E-3</v>
      </c>
      <c r="Q8255" s="508">
        <v>0.01</v>
      </c>
      <c r="R8255" s="508">
        <v>0.01</v>
      </c>
      <c r="S8255" s="508">
        <v>0.01</v>
      </c>
      <c r="T8255" s="508">
        <v>0.01</v>
      </c>
      <c r="U8255" s="508">
        <v>1.2E-2</v>
      </c>
      <c r="V8255" s="508">
        <v>1.2E-2</v>
      </c>
      <c r="W8255" s="508">
        <v>1.2E-2</v>
      </c>
      <c r="X8255" s="508">
        <v>1.2E-2</v>
      </c>
      <c r="Y8255" s="508">
        <v>1.0999999999999999E-2</v>
      </c>
      <c r="Z8255" s="508">
        <v>1.2E-2</v>
      </c>
      <c r="AA8255" s="508">
        <v>1.0999999999999999E-2</v>
      </c>
      <c r="AB8255" s="508">
        <v>0.01</v>
      </c>
      <c r="AC8255" s="508">
        <v>0.01</v>
      </c>
      <c r="AD8255" s="508">
        <v>0.01</v>
      </c>
      <c r="AE8255" s="508">
        <v>0.01</v>
      </c>
      <c r="AF8255" s="508">
        <v>0.01</v>
      </c>
      <c r="AG8255" s="508">
        <v>0.01</v>
      </c>
      <c r="AH8255" s="508">
        <v>8.9999999999999993E-3</v>
      </c>
      <c r="AI8255" s="492">
        <v>8.9999999999999993E-3</v>
      </c>
      <c r="AJ8255" s="485"/>
    </row>
    <row r="8256" spans="2:36">
      <c r="B8256" s="136" t="s">
        <v>458</v>
      </c>
      <c r="C8256" s="132" t="s">
        <v>1368</v>
      </c>
      <c r="D8256" s="132" t="s">
        <v>1384</v>
      </c>
      <c r="E8256" s="508">
        <v>1.7999999999999999E-2</v>
      </c>
      <c r="F8256" s="508">
        <v>1.2999999999999999E-2</v>
      </c>
      <c r="G8256" s="508">
        <v>1.2E-2</v>
      </c>
      <c r="H8256" s="508">
        <v>1.6E-2</v>
      </c>
      <c r="I8256" s="508">
        <v>1.6E-2</v>
      </c>
      <c r="J8256" s="508">
        <v>1.6E-2</v>
      </c>
      <c r="K8256" s="508">
        <v>1.7999999999999999E-2</v>
      </c>
      <c r="L8256" s="508">
        <v>1.9E-2</v>
      </c>
      <c r="M8256" s="508">
        <v>1.7999999999999999E-2</v>
      </c>
      <c r="N8256" s="508">
        <v>0.02</v>
      </c>
      <c r="O8256" s="508">
        <v>1.9E-2</v>
      </c>
      <c r="P8256" s="508">
        <v>8.9999999999999993E-3</v>
      </c>
      <c r="Q8256" s="508">
        <v>0.01</v>
      </c>
      <c r="R8256" s="508">
        <v>0.01</v>
      </c>
      <c r="S8256" s="508">
        <v>0.01</v>
      </c>
      <c r="T8256" s="508">
        <v>0.01</v>
      </c>
      <c r="U8256" s="508">
        <v>1.2E-2</v>
      </c>
      <c r="V8256" s="508">
        <v>1.2E-2</v>
      </c>
      <c r="W8256" s="508">
        <v>1.2E-2</v>
      </c>
      <c r="X8256" s="508">
        <v>1.2E-2</v>
      </c>
      <c r="Y8256" s="508">
        <v>1.2E-2</v>
      </c>
      <c r="Z8256" s="508">
        <v>1.2E-2</v>
      </c>
      <c r="AA8256" s="508">
        <v>1.2E-2</v>
      </c>
      <c r="AB8256" s="508">
        <v>1.0999999999999999E-2</v>
      </c>
      <c r="AC8256" s="508">
        <v>0.01</v>
      </c>
      <c r="AD8256" s="508">
        <v>0.01</v>
      </c>
      <c r="AE8256" s="508">
        <v>1.0999999999999999E-2</v>
      </c>
      <c r="AF8256" s="508">
        <v>0.01</v>
      </c>
      <c r="AG8256" s="508">
        <v>0.01</v>
      </c>
      <c r="AH8256" s="508">
        <v>0.01</v>
      </c>
      <c r="AI8256" s="492">
        <v>0.01</v>
      </c>
      <c r="AJ8256" s="485"/>
    </row>
    <row r="8257" spans="2:36">
      <c r="B8257" s="136" t="s">
        <v>459</v>
      </c>
      <c r="C8257" s="132" t="s">
        <v>1368</v>
      </c>
      <c r="D8257" s="132" t="s">
        <v>1384</v>
      </c>
      <c r="E8257" s="508">
        <v>1.7999999999999999E-2</v>
      </c>
      <c r="F8257" s="508">
        <v>1.2999999999999999E-2</v>
      </c>
      <c r="G8257" s="508">
        <v>1.2E-2</v>
      </c>
      <c r="H8257" s="508">
        <v>1.6E-2</v>
      </c>
      <c r="I8257" s="508">
        <v>1.6E-2</v>
      </c>
      <c r="J8257" s="508">
        <v>1.6E-2</v>
      </c>
      <c r="K8257" s="508">
        <v>1.7999999999999999E-2</v>
      </c>
      <c r="L8257" s="508">
        <v>1.9E-2</v>
      </c>
      <c r="M8257" s="508">
        <v>1.7999999999999999E-2</v>
      </c>
      <c r="N8257" s="508">
        <v>0.02</v>
      </c>
      <c r="O8257" s="508">
        <v>1.9E-2</v>
      </c>
      <c r="P8257" s="508">
        <v>8.9999999999999993E-3</v>
      </c>
      <c r="Q8257" s="508">
        <v>0.01</v>
      </c>
      <c r="R8257" s="508">
        <v>0.01</v>
      </c>
      <c r="S8257" s="508">
        <v>0.01</v>
      </c>
      <c r="T8257" s="508">
        <v>0.01</v>
      </c>
      <c r="U8257" s="508">
        <v>1.2E-2</v>
      </c>
      <c r="V8257" s="508">
        <v>1.2E-2</v>
      </c>
      <c r="W8257" s="508">
        <v>1.2E-2</v>
      </c>
      <c r="X8257" s="508">
        <v>1.2E-2</v>
      </c>
      <c r="Y8257" s="508">
        <v>1.2E-2</v>
      </c>
      <c r="Z8257" s="508">
        <v>1.2E-2</v>
      </c>
      <c r="AA8257" s="508">
        <v>1.2E-2</v>
      </c>
      <c r="AB8257" s="508">
        <v>1.0999999999999999E-2</v>
      </c>
      <c r="AC8257" s="508">
        <v>0.01</v>
      </c>
      <c r="AD8257" s="508">
        <v>0.01</v>
      </c>
      <c r="AE8257" s="508">
        <v>0.01</v>
      </c>
      <c r="AF8257" s="508">
        <v>0.01</v>
      </c>
      <c r="AG8257" s="508">
        <v>0.01</v>
      </c>
      <c r="AH8257" s="508">
        <v>0.01</v>
      </c>
      <c r="AI8257" s="492">
        <v>0.01</v>
      </c>
      <c r="AJ8257" s="485"/>
    </row>
    <row r="8258" spans="2:36">
      <c r="B8258" s="136" t="s">
        <v>460</v>
      </c>
      <c r="C8258" s="132" t="s">
        <v>1368</v>
      </c>
      <c r="D8258" s="132" t="s">
        <v>1384</v>
      </c>
      <c r="E8258" s="508">
        <v>1.7999999999999999E-2</v>
      </c>
      <c r="F8258" s="508">
        <v>1.2999999999999999E-2</v>
      </c>
      <c r="G8258" s="508">
        <v>1.2E-2</v>
      </c>
      <c r="H8258" s="508">
        <v>1.6E-2</v>
      </c>
      <c r="I8258" s="508">
        <v>1.6E-2</v>
      </c>
      <c r="J8258" s="508">
        <v>1.6E-2</v>
      </c>
      <c r="K8258" s="508">
        <v>1.7999999999999999E-2</v>
      </c>
      <c r="L8258" s="508">
        <v>1.9E-2</v>
      </c>
      <c r="M8258" s="508">
        <v>1.7999999999999999E-2</v>
      </c>
      <c r="N8258" s="508">
        <v>0.02</v>
      </c>
      <c r="O8258" s="508">
        <v>1.9E-2</v>
      </c>
      <c r="P8258" s="508">
        <v>8.9999999999999993E-3</v>
      </c>
      <c r="Q8258" s="508">
        <v>0.01</v>
      </c>
      <c r="R8258" s="508">
        <v>0.01</v>
      </c>
      <c r="S8258" s="508">
        <v>0.01</v>
      </c>
      <c r="T8258" s="508">
        <v>0.01</v>
      </c>
      <c r="U8258" s="508">
        <v>1.2E-2</v>
      </c>
      <c r="V8258" s="508">
        <v>1.2E-2</v>
      </c>
      <c r="W8258" s="508">
        <v>1.2E-2</v>
      </c>
      <c r="X8258" s="508">
        <v>1.2E-2</v>
      </c>
      <c r="Y8258" s="508">
        <v>1.2E-2</v>
      </c>
      <c r="Z8258" s="508">
        <v>1.2E-2</v>
      </c>
      <c r="AA8258" s="508">
        <v>1.2E-2</v>
      </c>
      <c r="AB8258" s="508">
        <v>1.0999999999999999E-2</v>
      </c>
      <c r="AC8258" s="508">
        <v>0.01</v>
      </c>
      <c r="AD8258" s="508">
        <v>0.01</v>
      </c>
      <c r="AE8258" s="508">
        <v>1.0999999999999999E-2</v>
      </c>
      <c r="AF8258" s="508">
        <v>0.01</v>
      </c>
      <c r="AG8258" s="508">
        <v>0.01</v>
      </c>
      <c r="AH8258" s="508">
        <v>0.01</v>
      </c>
      <c r="AI8258" s="492">
        <v>0.01</v>
      </c>
      <c r="AJ8258" s="485"/>
    </row>
    <row r="8259" spans="2:36">
      <c r="B8259" s="136" t="s">
        <v>461</v>
      </c>
      <c r="C8259" s="132" t="s">
        <v>1368</v>
      </c>
      <c r="D8259" s="132" t="s">
        <v>1384</v>
      </c>
      <c r="E8259" s="508">
        <v>1.7999999999999999E-2</v>
      </c>
      <c r="F8259" s="508">
        <v>1.2999999999999999E-2</v>
      </c>
      <c r="G8259" s="508">
        <v>1.2E-2</v>
      </c>
      <c r="H8259" s="508">
        <v>1.6E-2</v>
      </c>
      <c r="I8259" s="508">
        <v>1.6E-2</v>
      </c>
      <c r="J8259" s="508">
        <v>1.6E-2</v>
      </c>
      <c r="K8259" s="508">
        <v>1.7999999999999999E-2</v>
      </c>
      <c r="L8259" s="508">
        <v>1.9E-2</v>
      </c>
      <c r="M8259" s="508">
        <v>1.7999999999999999E-2</v>
      </c>
      <c r="N8259" s="508">
        <v>0.02</v>
      </c>
      <c r="O8259" s="508">
        <v>1.9E-2</v>
      </c>
      <c r="P8259" s="508">
        <v>8.9999999999999993E-3</v>
      </c>
      <c r="Q8259" s="508">
        <v>0.01</v>
      </c>
      <c r="R8259" s="508">
        <v>0.01</v>
      </c>
      <c r="S8259" s="508">
        <v>0.01</v>
      </c>
      <c r="T8259" s="508">
        <v>0.01</v>
      </c>
      <c r="U8259" s="508">
        <v>1.2E-2</v>
      </c>
      <c r="V8259" s="508">
        <v>1.2E-2</v>
      </c>
      <c r="W8259" s="508">
        <v>1.2E-2</v>
      </c>
      <c r="X8259" s="508">
        <v>1.2E-2</v>
      </c>
      <c r="Y8259" s="508">
        <v>1.2E-2</v>
      </c>
      <c r="Z8259" s="508">
        <v>1.2E-2</v>
      </c>
      <c r="AA8259" s="508">
        <v>1.2E-2</v>
      </c>
      <c r="AB8259" s="508">
        <v>1.0999999999999999E-2</v>
      </c>
      <c r="AC8259" s="508">
        <v>0.01</v>
      </c>
      <c r="AD8259" s="508">
        <v>0.01</v>
      </c>
      <c r="AE8259" s="508">
        <v>0.01</v>
      </c>
      <c r="AF8259" s="508">
        <v>0.01</v>
      </c>
      <c r="AG8259" s="508">
        <v>0.01</v>
      </c>
      <c r="AH8259" s="508">
        <v>0.01</v>
      </c>
      <c r="AI8259" s="492">
        <v>0.01</v>
      </c>
      <c r="AJ8259" s="485"/>
    </row>
    <row r="8260" spans="2:36">
      <c r="B8260" s="136" t="s">
        <v>462</v>
      </c>
      <c r="C8260" s="132" t="s">
        <v>1368</v>
      </c>
      <c r="D8260" s="132" t="s">
        <v>1384</v>
      </c>
      <c r="E8260" s="508">
        <v>1.7999999999999999E-2</v>
      </c>
      <c r="F8260" s="508">
        <v>1.2999999999999999E-2</v>
      </c>
      <c r="G8260" s="508">
        <v>1.0999999999999999E-2</v>
      </c>
      <c r="H8260" s="508">
        <v>1.6E-2</v>
      </c>
      <c r="I8260" s="508">
        <v>1.6E-2</v>
      </c>
      <c r="J8260" s="508">
        <v>1.6E-2</v>
      </c>
      <c r="K8260" s="508">
        <v>1.7999999999999999E-2</v>
      </c>
      <c r="L8260" s="508">
        <v>1.9E-2</v>
      </c>
      <c r="M8260" s="508">
        <v>1.7999999999999999E-2</v>
      </c>
      <c r="N8260" s="508">
        <v>0.02</v>
      </c>
      <c r="O8260" s="508">
        <v>1.9E-2</v>
      </c>
      <c r="P8260" s="508">
        <v>8.9999999999999993E-3</v>
      </c>
      <c r="Q8260" s="508">
        <v>0.01</v>
      </c>
      <c r="R8260" s="508">
        <v>0.01</v>
      </c>
      <c r="S8260" s="508">
        <v>0.01</v>
      </c>
      <c r="T8260" s="508">
        <v>0.01</v>
      </c>
      <c r="U8260" s="508">
        <v>1.2E-2</v>
      </c>
      <c r="V8260" s="508">
        <v>1.2E-2</v>
      </c>
      <c r="W8260" s="508">
        <v>1.2E-2</v>
      </c>
      <c r="X8260" s="508">
        <v>1.2E-2</v>
      </c>
      <c r="Y8260" s="508">
        <v>1.2E-2</v>
      </c>
      <c r="Z8260" s="508">
        <v>1.2E-2</v>
      </c>
      <c r="AA8260" s="508">
        <v>1.2E-2</v>
      </c>
      <c r="AB8260" s="508">
        <v>1.0999999999999999E-2</v>
      </c>
      <c r="AC8260" s="508">
        <v>0.01</v>
      </c>
      <c r="AD8260" s="508">
        <v>0.01</v>
      </c>
      <c r="AE8260" s="508">
        <v>1.0999999999999999E-2</v>
      </c>
      <c r="AF8260" s="508">
        <v>0.01</v>
      </c>
      <c r="AG8260" s="508">
        <v>0.01</v>
      </c>
      <c r="AH8260" s="508">
        <v>0.01</v>
      </c>
      <c r="AI8260" s="492">
        <v>0.01</v>
      </c>
      <c r="AJ8260" s="485"/>
    </row>
    <row r="8261" spans="2:36">
      <c r="B8261" s="136" t="s">
        <v>463</v>
      </c>
      <c r="C8261" s="132" t="s">
        <v>1368</v>
      </c>
      <c r="D8261" s="132" t="s">
        <v>1384</v>
      </c>
      <c r="E8261" s="508">
        <v>1.7999999999999999E-2</v>
      </c>
      <c r="F8261" s="508">
        <v>1.2999999999999999E-2</v>
      </c>
      <c r="G8261" s="508">
        <v>1.0999999999999999E-2</v>
      </c>
      <c r="H8261" s="508">
        <v>1.6E-2</v>
      </c>
      <c r="I8261" s="508">
        <v>1.4999999999999999E-2</v>
      </c>
      <c r="J8261" s="508">
        <v>1.6E-2</v>
      </c>
      <c r="K8261" s="508">
        <v>1.7999999999999999E-2</v>
      </c>
      <c r="L8261" s="508">
        <v>1.9E-2</v>
      </c>
      <c r="M8261" s="508">
        <v>1.7999999999999999E-2</v>
      </c>
      <c r="N8261" s="508">
        <v>0.02</v>
      </c>
      <c r="O8261" s="508">
        <v>1.9E-2</v>
      </c>
      <c r="P8261" s="508">
        <v>8.9999999999999993E-3</v>
      </c>
      <c r="Q8261" s="508">
        <v>0.01</v>
      </c>
      <c r="R8261" s="508">
        <v>0.01</v>
      </c>
      <c r="S8261" s="508">
        <v>0.01</v>
      </c>
      <c r="T8261" s="508">
        <v>0.01</v>
      </c>
      <c r="U8261" s="508">
        <v>1.2E-2</v>
      </c>
      <c r="V8261" s="508">
        <v>1.2E-2</v>
      </c>
      <c r="W8261" s="508">
        <v>1.2E-2</v>
      </c>
      <c r="X8261" s="508">
        <v>1.2E-2</v>
      </c>
      <c r="Y8261" s="508">
        <v>1.2E-2</v>
      </c>
      <c r="Z8261" s="508">
        <v>1.2E-2</v>
      </c>
      <c r="AA8261" s="508">
        <v>1.2E-2</v>
      </c>
      <c r="AB8261" s="508">
        <v>1.0999999999999999E-2</v>
      </c>
      <c r="AC8261" s="508">
        <v>0.01</v>
      </c>
      <c r="AD8261" s="508">
        <v>0.01</v>
      </c>
      <c r="AE8261" s="508">
        <v>0.01</v>
      </c>
      <c r="AF8261" s="508">
        <v>0.01</v>
      </c>
      <c r="AG8261" s="508">
        <v>0.01</v>
      </c>
      <c r="AH8261" s="508">
        <v>0.01</v>
      </c>
      <c r="AI8261" s="492">
        <v>8.9999999999999993E-3</v>
      </c>
      <c r="AJ8261" s="485"/>
    </row>
    <row r="8262" spans="2:36">
      <c r="B8262" s="136" t="s">
        <v>464</v>
      </c>
      <c r="C8262" s="132" t="s">
        <v>1368</v>
      </c>
      <c r="D8262" s="132" t="s">
        <v>1384</v>
      </c>
      <c r="E8262" s="508">
        <v>1.7999999999999999E-2</v>
      </c>
      <c r="F8262" s="508">
        <v>1.2999999999999999E-2</v>
      </c>
      <c r="G8262" s="508">
        <v>1.0999999999999999E-2</v>
      </c>
      <c r="H8262" s="508">
        <v>1.6E-2</v>
      </c>
      <c r="I8262" s="508">
        <v>1.4999999999999999E-2</v>
      </c>
      <c r="J8262" s="508">
        <v>1.6E-2</v>
      </c>
      <c r="K8262" s="508">
        <v>1.7999999999999999E-2</v>
      </c>
      <c r="L8262" s="508">
        <v>1.7999999999999999E-2</v>
      </c>
      <c r="M8262" s="508">
        <v>1.7999999999999999E-2</v>
      </c>
      <c r="N8262" s="508">
        <v>0.02</v>
      </c>
      <c r="O8262" s="508">
        <v>1.9E-2</v>
      </c>
      <c r="P8262" s="508">
        <v>8.9999999999999993E-3</v>
      </c>
      <c r="Q8262" s="508">
        <v>0.01</v>
      </c>
      <c r="R8262" s="508">
        <v>0.01</v>
      </c>
      <c r="S8262" s="508">
        <v>0.01</v>
      </c>
      <c r="T8262" s="508">
        <v>0.01</v>
      </c>
      <c r="U8262" s="508">
        <v>1.2E-2</v>
      </c>
      <c r="V8262" s="508">
        <v>1.2E-2</v>
      </c>
      <c r="W8262" s="508">
        <v>1.2E-2</v>
      </c>
      <c r="X8262" s="508">
        <v>1.2E-2</v>
      </c>
      <c r="Y8262" s="508">
        <v>1.0999999999999999E-2</v>
      </c>
      <c r="Z8262" s="508">
        <v>1.2E-2</v>
      </c>
      <c r="AA8262" s="508">
        <v>1.2E-2</v>
      </c>
      <c r="AB8262" s="508">
        <v>0.01</v>
      </c>
      <c r="AC8262" s="508">
        <v>0.01</v>
      </c>
      <c r="AD8262" s="508">
        <v>0.01</v>
      </c>
      <c r="AE8262" s="508">
        <v>0.01</v>
      </c>
      <c r="AF8262" s="508">
        <v>0.01</v>
      </c>
      <c r="AG8262" s="508">
        <v>0.01</v>
      </c>
      <c r="AH8262" s="508">
        <v>8.9999999999999993E-3</v>
      </c>
      <c r="AI8262" s="492">
        <v>8.9999999999999993E-3</v>
      </c>
      <c r="AJ8262" s="485"/>
    </row>
    <row r="8263" spans="2:36">
      <c r="B8263" s="136" t="s">
        <v>465</v>
      </c>
      <c r="C8263" s="132" t="s">
        <v>1368</v>
      </c>
      <c r="D8263" s="132" t="s">
        <v>1384</v>
      </c>
      <c r="E8263" s="508">
        <v>1.7999999999999999E-2</v>
      </c>
      <c r="F8263" s="508">
        <v>1.2999999999999999E-2</v>
      </c>
      <c r="G8263" s="508">
        <v>1.0999999999999999E-2</v>
      </c>
      <c r="H8263" s="508">
        <v>1.6E-2</v>
      </c>
      <c r="I8263" s="508">
        <v>1.4999999999999999E-2</v>
      </c>
      <c r="J8263" s="508">
        <v>1.6E-2</v>
      </c>
      <c r="K8263" s="508">
        <v>1.7999999999999999E-2</v>
      </c>
      <c r="L8263" s="508">
        <v>1.9E-2</v>
      </c>
      <c r="M8263" s="508">
        <v>1.7999999999999999E-2</v>
      </c>
      <c r="N8263" s="508">
        <v>0.02</v>
      </c>
      <c r="O8263" s="508">
        <v>1.9E-2</v>
      </c>
      <c r="P8263" s="508">
        <v>8.9999999999999993E-3</v>
      </c>
      <c r="Q8263" s="508">
        <v>0.01</v>
      </c>
      <c r="R8263" s="508">
        <v>0.01</v>
      </c>
      <c r="S8263" s="508">
        <v>0.01</v>
      </c>
      <c r="T8263" s="508">
        <v>0.01</v>
      </c>
      <c r="U8263" s="508">
        <v>1.2E-2</v>
      </c>
      <c r="V8263" s="508">
        <v>1.2E-2</v>
      </c>
      <c r="W8263" s="508">
        <v>1.2E-2</v>
      </c>
      <c r="X8263" s="508">
        <v>1.2E-2</v>
      </c>
      <c r="Y8263" s="508">
        <v>1.2E-2</v>
      </c>
      <c r="Z8263" s="508">
        <v>1.2E-2</v>
      </c>
      <c r="AA8263" s="508">
        <v>1.2E-2</v>
      </c>
      <c r="AB8263" s="508">
        <v>1.0999999999999999E-2</v>
      </c>
      <c r="AC8263" s="508">
        <v>0.01</v>
      </c>
      <c r="AD8263" s="508">
        <v>0.01</v>
      </c>
      <c r="AE8263" s="508">
        <v>0.01</v>
      </c>
      <c r="AF8263" s="508">
        <v>0.01</v>
      </c>
      <c r="AG8263" s="508">
        <v>0.01</v>
      </c>
      <c r="AH8263" s="508">
        <v>0.01</v>
      </c>
      <c r="AI8263" s="492">
        <v>8.9999999999999993E-3</v>
      </c>
      <c r="AJ8263" s="485"/>
    </row>
    <row r="8264" spans="2:36">
      <c r="B8264" s="136" t="s">
        <v>466</v>
      </c>
      <c r="C8264" s="132" t="s">
        <v>1368</v>
      </c>
      <c r="D8264" s="132" t="s">
        <v>1384</v>
      </c>
      <c r="E8264" s="508">
        <v>1.9E-2</v>
      </c>
      <c r="F8264" s="508">
        <v>1.2999999999999999E-2</v>
      </c>
      <c r="G8264" s="508">
        <v>1.2E-2</v>
      </c>
      <c r="H8264" s="508">
        <v>1.7000000000000001E-2</v>
      </c>
      <c r="I8264" s="508">
        <v>1.6E-2</v>
      </c>
      <c r="J8264" s="508">
        <v>1.7000000000000001E-2</v>
      </c>
      <c r="K8264" s="508">
        <v>1.7999999999999999E-2</v>
      </c>
      <c r="L8264" s="508">
        <v>1.9E-2</v>
      </c>
      <c r="M8264" s="508">
        <v>1.7999999999999999E-2</v>
      </c>
      <c r="N8264" s="508">
        <v>2.1000000000000001E-2</v>
      </c>
      <c r="O8264" s="508">
        <v>1.9E-2</v>
      </c>
      <c r="P8264" s="508">
        <v>0.01</v>
      </c>
      <c r="Q8264" s="508">
        <v>0.01</v>
      </c>
      <c r="R8264" s="508">
        <v>1.0999999999999999E-2</v>
      </c>
      <c r="S8264" s="508">
        <v>0.01</v>
      </c>
      <c r="T8264" s="508">
        <v>1.0999999999999999E-2</v>
      </c>
      <c r="U8264" s="508">
        <v>1.2999999999999999E-2</v>
      </c>
      <c r="V8264" s="508">
        <v>1.2999999999999999E-2</v>
      </c>
      <c r="W8264" s="508">
        <v>1.2999999999999999E-2</v>
      </c>
      <c r="X8264" s="508">
        <v>1.2E-2</v>
      </c>
      <c r="Y8264" s="508">
        <v>1.2E-2</v>
      </c>
      <c r="Z8264" s="508">
        <v>1.2E-2</v>
      </c>
      <c r="AA8264" s="508">
        <v>1.2E-2</v>
      </c>
      <c r="AB8264" s="508">
        <v>1.0999999999999999E-2</v>
      </c>
      <c r="AC8264" s="508">
        <v>1.0999999999999999E-2</v>
      </c>
      <c r="AD8264" s="508">
        <v>1.0999999999999999E-2</v>
      </c>
      <c r="AE8264" s="508">
        <v>1.0999999999999999E-2</v>
      </c>
      <c r="AF8264" s="508">
        <v>0.01</v>
      </c>
      <c r="AG8264" s="508">
        <v>0.01</v>
      </c>
      <c r="AH8264" s="508">
        <v>0.01</v>
      </c>
      <c r="AI8264" s="492">
        <v>0.01</v>
      </c>
      <c r="AJ8264" s="485"/>
    </row>
    <row r="8265" spans="2:36">
      <c r="B8265" s="136" t="s">
        <v>467</v>
      </c>
      <c r="C8265" s="132" t="s">
        <v>1368</v>
      </c>
      <c r="D8265" s="132" t="s">
        <v>1384</v>
      </c>
      <c r="E8265" s="508">
        <v>1.7999999999999999E-2</v>
      </c>
      <c r="F8265" s="508">
        <v>1.2999999999999999E-2</v>
      </c>
      <c r="G8265" s="508">
        <v>1.0999999999999999E-2</v>
      </c>
      <c r="H8265" s="508">
        <v>1.6E-2</v>
      </c>
      <c r="I8265" s="508">
        <v>1.4999999999999999E-2</v>
      </c>
      <c r="J8265" s="508">
        <v>1.6E-2</v>
      </c>
      <c r="K8265" s="508">
        <v>1.7999999999999999E-2</v>
      </c>
      <c r="L8265" s="508">
        <v>1.9E-2</v>
      </c>
      <c r="M8265" s="508">
        <v>1.7999999999999999E-2</v>
      </c>
      <c r="N8265" s="508">
        <v>0.02</v>
      </c>
      <c r="O8265" s="508">
        <v>1.9E-2</v>
      </c>
      <c r="P8265" s="508">
        <v>8.9999999999999993E-3</v>
      </c>
      <c r="Q8265" s="508">
        <v>0.01</v>
      </c>
      <c r="R8265" s="508">
        <v>0.01</v>
      </c>
      <c r="S8265" s="508">
        <v>0.01</v>
      </c>
      <c r="T8265" s="508">
        <v>0.01</v>
      </c>
      <c r="U8265" s="508">
        <v>1.2E-2</v>
      </c>
      <c r="V8265" s="508">
        <v>1.2E-2</v>
      </c>
      <c r="W8265" s="508">
        <v>1.2E-2</v>
      </c>
      <c r="X8265" s="508">
        <v>1.2E-2</v>
      </c>
      <c r="Y8265" s="508">
        <v>1.2E-2</v>
      </c>
      <c r="Z8265" s="508">
        <v>1.2E-2</v>
      </c>
      <c r="AA8265" s="508">
        <v>1.2E-2</v>
      </c>
      <c r="AB8265" s="508">
        <v>1.0999999999999999E-2</v>
      </c>
      <c r="AC8265" s="508">
        <v>0.01</v>
      </c>
      <c r="AD8265" s="508">
        <v>0.01</v>
      </c>
      <c r="AE8265" s="508">
        <v>0.01</v>
      </c>
      <c r="AF8265" s="508">
        <v>0.01</v>
      </c>
      <c r="AG8265" s="508">
        <v>0.01</v>
      </c>
      <c r="AH8265" s="508">
        <v>0.01</v>
      </c>
      <c r="AI8265" s="492">
        <v>8.9999999999999993E-3</v>
      </c>
      <c r="AJ8265" s="485"/>
    </row>
    <row r="8266" spans="2:36">
      <c r="B8266" s="136" t="s">
        <v>468</v>
      </c>
      <c r="C8266" s="132" t="s">
        <v>1368</v>
      </c>
      <c r="D8266" s="132" t="s">
        <v>1384</v>
      </c>
      <c r="E8266" s="508">
        <v>1.7999999999999999E-2</v>
      </c>
      <c r="F8266" s="508">
        <v>1.2999999999999999E-2</v>
      </c>
      <c r="G8266" s="508">
        <v>1.0999999999999999E-2</v>
      </c>
      <c r="H8266" s="508">
        <v>1.6E-2</v>
      </c>
      <c r="I8266" s="508">
        <v>1.4999999999999999E-2</v>
      </c>
      <c r="J8266" s="508">
        <v>1.6E-2</v>
      </c>
      <c r="K8266" s="508">
        <v>1.7999999999999999E-2</v>
      </c>
      <c r="L8266" s="508">
        <v>1.9E-2</v>
      </c>
      <c r="M8266" s="508">
        <v>1.7999999999999999E-2</v>
      </c>
      <c r="N8266" s="508">
        <v>0.02</v>
      </c>
      <c r="O8266" s="508">
        <v>1.9E-2</v>
      </c>
      <c r="P8266" s="508">
        <v>8.9999999999999993E-3</v>
      </c>
      <c r="Q8266" s="508">
        <v>0.01</v>
      </c>
      <c r="R8266" s="508">
        <v>0.01</v>
      </c>
      <c r="S8266" s="508">
        <v>0.01</v>
      </c>
      <c r="T8266" s="508">
        <v>0.01</v>
      </c>
      <c r="U8266" s="508">
        <v>1.2E-2</v>
      </c>
      <c r="V8266" s="508">
        <v>1.2E-2</v>
      </c>
      <c r="W8266" s="508">
        <v>1.2E-2</v>
      </c>
      <c r="X8266" s="508">
        <v>1.2E-2</v>
      </c>
      <c r="Y8266" s="508">
        <v>1.2E-2</v>
      </c>
      <c r="Z8266" s="508">
        <v>1.2E-2</v>
      </c>
      <c r="AA8266" s="508">
        <v>1.2E-2</v>
      </c>
      <c r="AB8266" s="508">
        <v>1.0999999999999999E-2</v>
      </c>
      <c r="AC8266" s="508">
        <v>0.01</v>
      </c>
      <c r="AD8266" s="508">
        <v>0.01</v>
      </c>
      <c r="AE8266" s="508">
        <v>0.01</v>
      </c>
      <c r="AF8266" s="508">
        <v>0.01</v>
      </c>
      <c r="AG8266" s="508">
        <v>0.01</v>
      </c>
      <c r="AH8266" s="508">
        <v>0.01</v>
      </c>
      <c r="AI8266" s="492">
        <v>8.9999999999999993E-3</v>
      </c>
      <c r="AJ8266" s="485"/>
    </row>
    <row r="8267" spans="2:36">
      <c r="B8267" s="136" t="s">
        <v>469</v>
      </c>
      <c r="C8267" s="132" t="s">
        <v>1368</v>
      </c>
      <c r="D8267" s="132" t="s">
        <v>1384</v>
      </c>
      <c r="E8267" s="508">
        <v>1.7999999999999999E-2</v>
      </c>
      <c r="F8267" s="508">
        <v>1.2999999999999999E-2</v>
      </c>
      <c r="G8267" s="508">
        <v>1.0999999999999999E-2</v>
      </c>
      <c r="H8267" s="508">
        <v>1.6E-2</v>
      </c>
      <c r="I8267" s="508">
        <v>1.4999999999999999E-2</v>
      </c>
      <c r="J8267" s="508">
        <v>1.6E-2</v>
      </c>
      <c r="K8267" s="508">
        <v>1.7999999999999999E-2</v>
      </c>
      <c r="L8267" s="508">
        <v>1.9E-2</v>
      </c>
      <c r="M8267" s="508">
        <v>1.7999999999999999E-2</v>
      </c>
      <c r="N8267" s="508">
        <v>0.02</v>
      </c>
      <c r="O8267" s="508">
        <v>1.9E-2</v>
      </c>
      <c r="P8267" s="508">
        <v>8.9999999999999993E-3</v>
      </c>
      <c r="Q8267" s="508">
        <v>0.01</v>
      </c>
      <c r="R8267" s="508">
        <v>0.01</v>
      </c>
      <c r="S8267" s="508">
        <v>0.01</v>
      </c>
      <c r="T8267" s="508">
        <v>0.01</v>
      </c>
      <c r="U8267" s="508">
        <v>1.2E-2</v>
      </c>
      <c r="V8267" s="508">
        <v>1.2E-2</v>
      </c>
      <c r="W8267" s="508">
        <v>1.2E-2</v>
      </c>
      <c r="X8267" s="508">
        <v>1.2E-2</v>
      </c>
      <c r="Y8267" s="508">
        <v>1.2E-2</v>
      </c>
      <c r="Z8267" s="508">
        <v>1.2E-2</v>
      </c>
      <c r="AA8267" s="508">
        <v>1.2E-2</v>
      </c>
      <c r="AB8267" s="508">
        <v>1.0999999999999999E-2</v>
      </c>
      <c r="AC8267" s="508">
        <v>0.01</v>
      </c>
      <c r="AD8267" s="508">
        <v>0.01</v>
      </c>
      <c r="AE8267" s="508">
        <v>0.01</v>
      </c>
      <c r="AF8267" s="508">
        <v>0.01</v>
      </c>
      <c r="AG8267" s="508">
        <v>0.01</v>
      </c>
      <c r="AH8267" s="508">
        <v>0.01</v>
      </c>
      <c r="AI8267" s="492">
        <v>0.01</v>
      </c>
      <c r="AJ8267" s="485"/>
    </row>
    <row r="8268" spans="2:36">
      <c r="B8268" s="136" t="s">
        <v>470</v>
      </c>
      <c r="C8268" s="132" t="s">
        <v>1368</v>
      </c>
      <c r="D8268" s="132" t="s">
        <v>1384</v>
      </c>
      <c r="E8268" s="508">
        <v>1.7999999999999999E-2</v>
      </c>
      <c r="F8268" s="508">
        <v>1.2999999999999999E-2</v>
      </c>
      <c r="G8268" s="508">
        <v>1.2E-2</v>
      </c>
      <c r="H8268" s="508">
        <v>1.6E-2</v>
      </c>
      <c r="I8268" s="508">
        <v>1.6E-2</v>
      </c>
      <c r="J8268" s="508">
        <v>1.7000000000000001E-2</v>
      </c>
      <c r="K8268" s="508">
        <v>1.7999999999999999E-2</v>
      </c>
      <c r="L8268" s="508">
        <v>1.9E-2</v>
      </c>
      <c r="M8268" s="508">
        <v>1.7999999999999999E-2</v>
      </c>
      <c r="N8268" s="508">
        <v>0.02</v>
      </c>
      <c r="O8268" s="508">
        <v>1.9E-2</v>
      </c>
      <c r="P8268" s="508">
        <v>8.9999999999999993E-3</v>
      </c>
      <c r="Q8268" s="508">
        <v>0.01</v>
      </c>
      <c r="R8268" s="508">
        <v>0.01</v>
      </c>
      <c r="S8268" s="508">
        <v>0.01</v>
      </c>
      <c r="T8268" s="508">
        <v>0.01</v>
      </c>
      <c r="U8268" s="508">
        <v>1.2E-2</v>
      </c>
      <c r="V8268" s="508">
        <v>1.2E-2</v>
      </c>
      <c r="W8268" s="508">
        <v>1.2E-2</v>
      </c>
      <c r="X8268" s="508">
        <v>1.2E-2</v>
      </c>
      <c r="Y8268" s="508">
        <v>1.2E-2</v>
      </c>
      <c r="Z8268" s="508">
        <v>1.2E-2</v>
      </c>
      <c r="AA8268" s="508">
        <v>1.2E-2</v>
      </c>
      <c r="AB8268" s="508">
        <v>1.0999999999999999E-2</v>
      </c>
      <c r="AC8268" s="508">
        <v>0.01</v>
      </c>
      <c r="AD8268" s="508">
        <v>0.01</v>
      </c>
      <c r="AE8268" s="508">
        <v>1.0999999999999999E-2</v>
      </c>
      <c r="AF8268" s="508">
        <v>0.01</v>
      </c>
      <c r="AG8268" s="508">
        <v>0.01</v>
      </c>
      <c r="AH8268" s="508">
        <v>0.01</v>
      </c>
      <c r="AI8268" s="492">
        <v>0.01</v>
      </c>
      <c r="AJ8268" s="485"/>
    </row>
    <row r="8269" spans="2:36">
      <c r="B8269" s="136" t="s">
        <v>471</v>
      </c>
      <c r="C8269" s="132" t="s">
        <v>1368</v>
      </c>
      <c r="D8269" s="132" t="s">
        <v>1384</v>
      </c>
      <c r="E8269" s="508">
        <v>1.7999999999999999E-2</v>
      </c>
      <c r="F8269" s="508">
        <v>1.2999999999999999E-2</v>
      </c>
      <c r="G8269" s="508">
        <v>1.2E-2</v>
      </c>
      <c r="H8269" s="508">
        <v>1.6E-2</v>
      </c>
      <c r="I8269" s="508">
        <v>1.6E-2</v>
      </c>
      <c r="J8269" s="508">
        <v>1.6E-2</v>
      </c>
      <c r="K8269" s="508">
        <v>1.7999999999999999E-2</v>
      </c>
      <c r="L8269" s="508">
        <v>1.9E-2</v>
      </c>
      <c r="M8269" s="508">
        <v>1.7999999999999999E-2</v>
      </c>
      <c r="N8269" s="508">
        <v>0.02</v>
      </c>
      <c r="O8269" s="508">
        <v>1.9E-2</v>
      </c>
      <c r="P8269" s="508">
        <v>8.9999999999999993E-3</v>
      </c>
      <c r="Q8269" s="508">
        <v>0.01</v>
      </c>
      <c r="R8269" s="508">
        <v>0.01</v>
      </c>
      <c r="S8269" s="508">
        <v>0.01</v>
      </c>
      <c r="T8269" s="508">
        <v>0.01</v>
      </c>
      <c r="U8269" s="508">
        <v>1.2E-2</v>
      </c>
      <c r="V8269" s="508">
        <v>1.2E-2</v>
      </c>
      <c r="W8269" s="508">
        <v>1.2E-2</v>
      </c>
      <c r="X8269" s="508">
        <v>1.2E-2</v>
      </c>
      <c r="Y8269" s="508">
        <v>1.2E-2</v>
      </c>
      <c r="Z8269" s="508">
        <v>1.2E-2</v>
      </c>
      <c r="AA8269" s="508">
        <v>1.2E-2</v>
      </c>
      <c r="AB8269" s="508">
        <v>1.0999999999999999E-2</v>
      </c>
      <c r="AC8269" s="508">
        <v>0.01</v>
      </c>
      <c r="AD8269" s="508">
        <v>0.01</v>
      </c>
      <c r="AE8269" s="508">
        <v>1.0999999999999999E-2</v>
      </c>
      <c r="AF8269" s="508">
        <v>0.01</v>
      </c>
      <c r="AG8269" s="508">
        <v>0.01</v>
      </c>
      <c r="AH8269" s="508">
        <v>0.01</v>
      </c>
      <c r="AI8269" s="492">
        <v>0.01</v>
      </c>
      <c r="AJ8269" s="485"/>
    </row>
    <row r="8270" spans="2:36">
      <c r="B8270" s="136" t="s">
        <v>472</v>
      </c>
      <c r="C8270" s="132" t="s">
        <v>1368</v>
      </c>
      <c r="D8270" s="132" t="s">
        <v>1384</v>
      </c>
      <c r="E8270" s="508">
        <v>1.7999999999999999E-2</v>
      </c>
      <c r="F8270" s="508">
        <v>1.2999999999999999E-2</v>
      </c>
      <c r="G8270" s="508">
        <v>1.0999999999999999E-2</v>
      </c>
      <c r="H8270" s="508">
        <v>1.6E-2</v>
      </c>
      <c r="I8270" s="508">
        <v>1.4999999999999999E-2</v>
      </c>
      <c r="J8270" s="508">
        <v>1.6E-2</v>
      </c>
      <c r="K8270" s="508">
        <v>1.7999999999999999E-2</v>
      </c>
      <c r="L8270" s="508">
        <v>1.7999999999999999E-2</v>
      </c>
      <c r="M8270" s="508">
        <v>1.7999999999999999E-2</v>
      </c>
      <c r="N8270" s="508">
        <v>0.02</v>
      </c>
      <c r="O8270" s="508">
        <v>1.9E-2</v>
      </c>
      <c r="P8270" s="508">
        <v>8.9999999999999993E-3</v>
      </c>
      <c r="Q8270" s="508">
        <v>0.01</v>
      </c>
      <c r="R8270" s="508">
        <v>0.01</v>
      </c>
      <c r="S8270" s="508">
        <v>0.01</v>
      </c>
      <c r="T8270" s="508">
        <v>0.01</v>
      </c>
      <c r="U8270" s="508">
        <v>1.2E-2</v>
      </c>
      <c r="V8270" s="508">
        <v>1.2E-2</v>
      </c>
      <c r="W8270" s="508">
        <v>1.2E-2</v>
      </c>
      <c r="X8270" s="508">
        <v>1.2E-2</v>
      </c>
      <c r="Y8270" s="508">
        <v>1.0999999999999999E-2</v>
      </c>
      <c r="Z8270" s="508">
        <v>1.2E-2</v>
      </c>
      <c r="AA8270" s="508">
        <v>1.2E-2</v>
      </c>
      <c r="AB8270" s="508">
        <v>0.01</v>
      </c>
      <c r="AC8270" s="508">
        <v>0.01</v>
      </c>
      <c r="AD8270" s="508">
        <v>0.01</v>
      </c>
      <c r="AE8270" s="508">
        <v>0.01</v>
      </c>
      <c r="AF8270" s="508">
        <v>0.01</v>
      </c>
      <c r="AG8270" s="508">
        <v>0.01</v>
      </c>
      <c r="AH8270" s="508">
        <v>8.9999999999999993E-3</v>
      </c>
      <c r="AI8270" s="492">
        <v>8.9999999999999993E-3</v>
      </c>
      <c r="AJ8270" s="485"/>
    </row>
    <row r="8271" spans="2:36">
      <c r="B8271" s="136" t="s">
        <v>473</v>
      </c>
      <c r="C8271" s="132" t="s">
        <v>1368</v>
      </c>
      <c r="D8271" s="132" t="s">
        <v>1384</v>
      </c>
      <c r="E8271" s="508">
        <v>1.7999999999999999E-2</v>
      </c>
      <c r="F8271" s="508">
        <v>1.2999999999999999E-2</v>
      </c>
      <c r="G8271" s="508">
        <v>1.2E-2</v>
      </c>
      <c r="H8271" s="508">
        <v>1.6E-2</v>
      </c>
      <c r="I8271" s="508">
        <v>1.6E-2</v>
      </c>
      <c r="J8271" s="508">
        <v>1.7000000000000001E-2</v>
      </c>
      <c r="K8271" s="508">
        <v>1.7999999999999999E-2</v>
      </c>
      <c r="L8271" s="508">
        <v>1.9E-2</v>
      </c>
      <c r="M8271" s="508">
        <v>1.7999999999999999E-2</v>
      </c>
      <c r="N8271" s="508">
        <v>0.02</v>
      </c>
      <c r="O8271" s="508">
        <v>1.9E-2</v>
      </c>
      <c r="P8271" s="508">
        <v>8.9999999999999993E-3</v>
      </c>
      <c r="Q8271" s="508">
        <v>0.01</v>
      </c>
      <c r="R8271" s="508">
        <v>0.01</v>
      </c>
      <c r="S8271" s="508">
        <v>0.01</v>
      </c>
      <c r="T8271" s="508">
        <v>0.01</v>
      </c>
      <c r="U8271" s="508">
        <v>1.2999999999999999E-2</v>
      </c>
      <c r="V8271" s="508">
        <v>1.2E-2</v>
      </c>
      <c r="W8271" s="508">
        <v>1.2999999999999999E-2</v>
      </c>
      <c r="X8271" s="508">
        <v>1.2E-2</v>
      </c>
      <c r="Y8271" s="508">
        <v>1.2E-2</v>
      </c>
      <c r="Z8271" s="508">
        <v>1.2E-2</v>
      </c>
      <c r="AA8271" s="508">
        <v>1.2E-2</v>
      </c>
      <c r="AB8271" s="508">
        <v>1.0999999999999999E-2</v>
      </c>
      <c r="AC8271" s="508">
        <v>0.01</v>
      </c>
      <c r="AD8271" s="508">
        <v>0.01</v>
      </c>
      <c r="AE8271" s="508">
        <v>1.0999999999999999E-2</v>
      </c>
      <c r="AF8271" s="508">
        <v>0.01</v>
      </c>
      <c r="AG8271" s="508">
        <v>0.01</v>
      </c>
      <c r="AH8271" s="508">
        <v>0.01</v>
      </c>
      <c r="AI8271" s="492">
        <v>0.01</v>
      </c>
      <c r="AJ8271" s="485"/>
    </row>
    <row r="8272" spans="2:36">
      <c r="B8272" s="136" t="s">
        <v>474</v>
      </c>
      <c r="C8272" s="132" t="s">
        <v>1368</v>
      </c>
      <c r="D8272" s="132" t="s">
        <v>1384</v>
      </c>
      <c r="E8272" s="508">
        <v>1.7999999999999999E-2</v>
      </c>
      <c r="F8272" s="508">
        <v>1.2999999999999999E-2</v>
      </c>
      <c r="G8272" s="508">
        <v>1.2E-2</v>
      </c>
      <c r="H8272" s="508">
        <v>1.6E-2</v>
      </c>
      <c r="I8272" s="508">
        <v>1.6E-2</v>
      </c>
      <c r="J8272" s="508">
        <v>1.6E-2</v>
      </c>
      <c r="K8272" s="508">
        <v>1.7999999999999999E-2</v>
      </c>
      <c r="L8272" s="508">
        <v>1.9E-2</v>
      </c>
      <c r="M8272" s="508">
        <v>1.7999999999999999E-2</v>
      </c>
      <c r="N8272" s="508">
        <v>0.02</v>
      </c>
      <c r="O8272" s="508">
        <v>1.9E-2</v>
      </c>
      <c r="P8272" s="508">
        <v>8.9999999999999993E-3</v>
      </c>
      <c r="Q8272" s="508">
        <v>0.01</v>
      </c>
      <c r="R8272" s="508">
        <v>0.01</v>
      </c>
      <c r="S8272" s="508">
        <v>0.01</v>
      </c>
      <c r="T8272" s="508">
        <v>0.01</v>
      </c>
      <c r="U8272" s="508">
        <v>1.2999999999999999E-2</v>
      </c>
      <c r="V8272" s="508">
        <v>1.2E-2</v>
      </c>
      <c r="W8272" s="508">
        <v>1.2E-2</v>
      </c>
      <c r="X8272" s="508">
        <v>1.2E-2</v>
      </c>
      <c r="Y8272" s="508">
        <v>1.2E-2</v>
      </c>
      <c r="Z8272" s="508">
        <v>1.2E-2</v>
      </c>
      <c r="AA8272" s="508">
        <v>1.2E-2</v>
      </c>
      <c r="AB8272" s="508">
        <v>1.0999999999999999E-2</v>
      </c>
      <c r="AC8272" s="508">
        <v>0.01</v>
      </c>
      <c r="AD8272" s="508">
        <v>0.01</v>
      </c>
      <c r="AE8272" s="508">
        <v>1.0999999999999999E-2</v>
      </c>
      <c r="AF8272" s="508">
        <v>0.01</v>
      </c>
      <c r="AG8272" s="508">
        <v>0.01</v>
      </c>
      <c r="AH8272" s="508">
        <v>0.01</v>
      </c>
      <c r="AI8272" s="492">
        <v>0.01</v>
      </c>
      <c r="AJ8272" s="485"/>
    </row>
    <row r="8273" spans="2:36">
      <c r="B8273" s="136" t="s">
        <v>475</v>
      </c>
      <c r="C8273" s="132" t="s">
        <v>1368</v>
      </c>
      <c r="D8273" s="132" t="s">
        <v>1384</v>
      </c>
      <c r="E8273" s="508">
        <v>1.7999999999999999E-2</v>
      </c>
      <c r="F8273" s="508">
        <v>1.2999999999999999E-2</v>
      </c>
      <c r="G8273" s="508">
        <v>1.0999999999999999E-2</v>
      </c>
      <c r="H8273" s="508">
        <v>1.6E-2</v>
      </c>
      <c r="I8273" s="508">
        <v>1.4999999999999999E-2</v>
      </c>
      <c r="J8273" s="508">
        <v>1.6E-2</v>
      </c>
      <c r="K8273" s="508">
        <v>1.7999999999999999E-2</v>
      </c>
      <c r="L8273" s="508">
        <v>1.9E-2</v>
      </c>
      <c r="M8273" s="508">
        <v>1.7999999999999999E-2</v>
      </c>
      <c r="N8273" s="508">
        <v>0.02</v>
      </c>
      <c r="O8273" s="508">
        <v>1.9E-2</v>
      </c>
      <c r="P8273" s="508">
        <v>8.9999999999999993E-3</v>
      </c>
      <c r="Q8273" s="508">
        <v>0.01</v>
      </c>
      <c r="R8273" s="508">
        <v>0.01</v>
      </c>
      <c r="S8273" s="508">
        <v>0.01</v>
      </c>
      <c r="T8273" s="508">
        <v>0.01</v>
      </c>
      <c r="U8273" s="508">
        <v>1.2E-2</v>
      </c>
      <c r="V8273" s="508">
        <v>1.2E-2</v>
      </c>
      <c r="W8273" s="508">
        <v>1.2E-2</v>
      </c>
      <c r="X8273" s="508">
        <v>1.2E-2</v>
      </c>
      <c r="Y8273" s="508">
        <v>1.2E-2</v>
      </c>
      <c r="Z8273" s="508">
        <v>1.2E-2</v>
      </c>
      <c r="AA8273" s="508">
        <v>1.2E-2</v>
      </c>
      <c r="AB8273" s="508">
        <v>1.0999999999999999E-2</v>
      </c>
      <c r="AC8273" s="508">
        <v>0.01</v>
      </c>
      <c r="AD8273" s="508">
        <v>0.01</v>
      </c>
      <c r="AE8273" s="508">
        <v>0.01</v>
      </c>
      <c r="AF8273" s="508">
        <v>0.01</v>
      </c>
      <c r="AG8273" s="508">
        <v>0.01</v>
      </c>
      <c r="AH8273" s="508">
        <v>0.01</v>
      </c>
      <c r="AI8273" s="492">
        <v>8.9999999999999993E-3</v>
      </c>
      <c r="AJ8273" s="485"/>
    </row>
    <row r="8274" spans="2:36">
      <c r="B8274" s="136" t="s">
        <v>476</v>
      </c>
      <c r="C8274" s="132" t="s">
        <v>1368</v>
      </c>
      <c r="D8274" s="132" t="s">
        <v>1384</v>
      </c>
      <c r="E8274" s="508">
        <v>1.7999999999999999E-2</v>
      </c>
      <c r="F8274" s="508">
        <v>1.2999999999999999E-2</v>
      </c>
      <c r="G8274" s="508">
        <v>1.2E-2</v>
      </c>
      <c r="H8274" s="508">
        <v>1.6E-2</v>
      </c>
      <c r="I8274" s="508">
        <v>1.6E-2</v>
      </c>
      <c r="J8274" s="508">
        <v>1.7000000000000001E-2</v>
      </c>
      <c r="K8274" s="508">
        <v>1.7999999999999999E-2</v>
      </c>
      <c r="L8274" s="508">
        <v>1.9E-2</v>
      </c>
      <c r="M8274" s="508">
        <v>1.7999999999999999E-2</v>
      </c>
      <c r="N8274" s="508">
        <v>0.02</v>
      </c>
      <c r="O8274" s="508">
        <v>1.9E-2</v>
      </c>
      <c r="P8274" s="508">
        <v>8.9999999999999993E-3</v>
      </c>
      <c r="Q8274" s="508">
        <v>0.01</v>
      </c>
      <c r="R8274" s="508">
        <v>0.01</v>
      </c>
      <c r="S8274" s="508">
        <v>0.01</v>
      </c>
      <c r="T8274" s="508">
        <v>0.01</v>
      </c>
      <c r="U8274" s="508">
        <v>1.2E-2</v>
      </c>
      <c r="V8274" s="508">
        <v>1.2E-2</v>
      </c>
      <c r="W8274" s="508">
        <v>1.2E-2</v>
      </c>
      <c r="X8274" s="508">
        <v>1.2E-2</v>
      </c>
      <c r="Y8274" s="508">
        <v>1.2E-2</v>
      </c>
      <c r="Z8274" s="508">
        <v>1.2E-2</v>
      </c>
      <c r="AA8274" s="508">
        <v>1.2E-2</v>
      </c>
      <c r="AB8274" s="508">
        <v>1.0999999999999999E-2</v>
      </c>
      <c r="AC8274" s="508">
        <v>0.01</v>
      </c>
      <c r="AD8274" s="508">
        <v>0.01</v>
      </c>
      <c r="AE8274" s="508">
        <v>1.0999999999999999E-2</v>
      </c>
      <c r="AF8274" s="508">
        <v>0.01</v>
      </c>
      <c r="AG8274" s="508">
        <v>0.01</v>
      </c>
      <c r="AH8274" s="508">
        <v>0.01</v>
      </c>
      <c r="AI8274" s="492">
        <v>0.01</v>
      </c>
      <c r="AJ8274" s="485"/>
    </row>
    <row r="8275" spans="2:36">
      <c r="B8275" s="136" t="s">
        <v>478</v>
      </c>
      <c r="C8275" s="132" t="s">
        <v>1368</v>
      </c>
      <c r="D8275" s="132" t="s">
        <v>1384</v>
      </c>
      <c r="E8275" s="508">
        <v>1.9E-2</v>
      </c>
      <c r="F8275" s="508">
        <v>1.2999999999999999E-2</v>
      </c>
      <c r="G8275" s="508">
        <v>1.2E-2</v>
      </c>
      <c r="H8275" s="508">
        <v>1.6E-2</v>
      </c>
      <c r="I8275" s="508">
        <v>1.6E-2</v>
      </c>
      <c r="J8275" s="508">
        <v>1.7000000000000001E-2</v>
      </c>
      <c r="K8275" s="508">
        <v>1.7999999999999999E-2</v>
      </c>
      <c r="L8275" s="508">
        <v>1.9E-2</v>
      </c>
      <c r="M8275" s="508">
        <v>1.7999999999999999E-2</v>
      </c>
      <c r="N8275" s="508">
        <v>0.02</v>
      </c>
      <c r="O8275" s="508">
        <v>1.9E-2</v>
      </c>
      <c r="P8275" s="508">
        <v>8.9999999999999993E-3</v>
      </c>
      <c r="Q8275" s="508">
        <v>0.01</v>
      </c>
      <c r="R8275" s="508">
        <v>0.01</v>
      </c>
      <c r="S8275" s="508">
        <v>0.01</v>
      </c>
      <c r="T8275" s="508">
        <v>0.01</v>
      </c>
      <c r="U8275" s="508">
        <v>1.2999999999999999E-2</v>
      </c>
      <c r="V8275" s="508">
        <v>1.2999999999999999E-2</v>
      </c>
      <c r="W8275" s="508">
        <v>1.2999999999999999E-2</v>
      </c>
      <c r="X8275" s="508">
        <v>1.2E-2</v>
      </c>
      <c r="Y8275" s="508">
        <v>1.2E-2</v>
      </c>
      <c r="Z8275" s="508">
        <v>1.2E-2</v>
      </c>
      <c r="AA8275" s="508">
        <v>1.2E-2</v>
      </c>
      <c r="AB8275" s="508">
        <v>1.0999999999999999E-2</v>
      </c>
      <c r="AC8275" s="508">
        <v>0.01</v>
      </c>
      <c r="AD8275" s="508">
        <v>0.01</v>
      </c>
      <c r="AE8275" s="508">
        <v>1.0999999999999999E-2</v>
      </c>
      <c r="AF8275" s="508">
        <v>0.01</v>
      </c>
      <c r="AG8275" s="508">
        <v>0.01</v>
      </c>
      <c r="AH8275" s="508">
        <v>0.01</v>
      </c>
      <c r="AI8275" s="492">
        <v>0.01</v>
      </c>
      <c r="AJ8275" s="485"/>
    </row>
    <row r="8276" spans="2:36">
      <c r="B8276" s="136" t="s">
        <v>479</v>
      </c>
      <c r="C8276" s="132" t="s">
        <v>1368</v>
      </c>
      <c r="D8276" s="132" t="s">
        <v>1384</v>
      </c>
      <c r="E8276" s="508">
        <v>1.7999999999999999E-2</v>
      </c>
      <c r="F8276" s="508">
        <v>1.2999999999999999E-2</v>
      </c>
      <c r="G8276" s="508">
        <v>1.2E-2</v>
      </c>
      <c r="H8276" s="508">
        <v>1.6E-2</v>
      </c>
      <c r="I8276" s="508">
        <v>1.6E-2</v>
      </c>
      <c r="J8276" s="508">
        <v>1.6E-2</v>
      </c>
      <c r="K8276" s="508">
        <v>1.7999999999999999E-2</v>
      </c>
      <c r="L8276" s="508">
        <v>1.9E-2</v>
      </c>
      <c r="M8276" s="508">
        <v>1.7999999999999999E-2</v>
      </c>
      <c r="N8276" s="508">
        <v>0.02</v>
      </c>
      <c r="O8276" s="508">
        <v>1.9E-2</v>
      </c>
      <c r="P8276" s="508">
        <v>8.9999999999999993E-3</v>
      </c>
      <c r="Q8276" s="508">
        <v>0.01</v>
      </c>
      <c r="R8276" s="508">
        <v>0.01</v>
      </c>
      <c r="S8276" s="508">
        <v>0.01</v>
      </c>
      <c r="T8276" s="508">
        <v>0.01</v>
      </c>
      <c r="U8276" s="508">
        <v>1.2999999999999999E-2</v>
      </c>
      <c r="V8276" s="508">
        <v>1.2E-2</v>
      </c>
      <c r="W8276" s="508">
        <v>1.2E-2</v>
      </c>
      <c r="X8276" s="508">
        <v>1.2E-2</v>
      </c>
      <c r="Y8276" s="508">
        <v>1.2E-2</v>
      </c>
      <c r="Z8276" s="508">
        <v>1.2E-2</v>
      </c>
      <c r="AA8276" s="508">
        <v>1.2E-2</v>
      </c>
      <c r="AB8276" s="508">
        <v>1.0999999999999999E-2</v>
      </c>
      <c r="AC8276" s="508">
        <v>0.01</v>
      </c>
      <c r="AD8276" s="508">
        <v>0.01</v>
      </c>
      <c r="AE8276" s="508">
        <v>1.0999999999999999E-2</v>
      </c>
      <c r="AF8276" s="508">
        <v>0.01</v>
      </c>
      <c r="AG8276" s="508">
        <v>0.01</v>
      </c>
      <c r="AH8276" s="508">
        <v>0.01</v>
      </c>
      <c r="AI8276" s="492">
        <v>0.01</v>
      </c>
      <c r="AJ8276" s="485"/>
    </row>
    <row r="8277" spans="2:36">
      <c r="B8277" s="136" t="s">
        <v>480</v>
      </c>
      <c r="C8277" s="132" t="s">
        <v>1368</v>
      </c>
      <c r="D8277" s="132" t="s">
        <v>1384</v>
      </c>
      <c r="E8277" s="508">
        <v>1.7999999999999999E-2</v>
      </c>
      <c r="F8277" s="508">
        <v>1.2999999999999999E-2</v>
      </c>
      <c r="G8277" s="508">
        <v>1.0999999999999999E-2</v>
      </c>
      <c r="H8277" s="508">
        <v>1.6E-2</v>
      </c>
      <c r="I8277" s="508">
        <v>1.4999999999999999E-2</v>
      </c>
      <c r="J8277" s="508">
        <v>1.6E-2</v>
      </c>
      <c r="K8277" s="508">
        <v>1.7999999999999999E-2</v>
      </c>
      <c r="L8277" s="508">
        <v>1.7999999999999999E-2</v>
      </c>
      <c r="M8277" s="508">
        <v>1.7999999999999999E-2</v>
      </c>
      <c r="N8277" s="508">
        <v>0.02</v>
      </c>
      <c r="O8277" s="508">
        <v>1.9E-2</v>
      </c>
      <c r="P8277" s="508">
        <v>8.9999999999999993E-3</v>
      </c>
      <c r="Q8277" s="508">
        <v>0.01</v>
      </c>
      <c r="R8277" s="508">
        <v>0.01</v>
      </c>
      <c r="S8277" s="508">
        <v>0.01</v>
      </c>
      <c r="T8277" s="508">
        <v>0.01</v>
      </c>
      <c r="U8277" s="508">
        <v>1.2E-2</v>
      </c>
      <c r="V8277" s="508">
        <v>1.2E-2</v>
      </c>
      <c r="W8277" s="508">
        <v>1.2E-2</v>
      </c>
      <c r="X8277" s="508">
        <v>1.2E-2</v>
      </c>
      <c r="Y8277" s="508">
        <v>1.0999999999999999E-2</v>
      </c>
      <c r="Z8277" s="508">
        <v>1.2E-2</v>
      </c>
      <c r="AA8277" s="508">
        <v>1.2E-2</v>
      </c>
      <c r="AB8277" s="508">
        <v>0.01</v>
      </c>
      <c r="AC8277" s="508">
        <v>0.01</v>
      </c>
      <c r="AD8277" s="508">
        <v>0.01</v>
      </c>
      <c r="AE8277" s="508">
        <v>0.01</v>
      </c>
      <c r="AF8277" s="508">
        <v>0.01</v>
      </c>
      <c r="AG8277" s="508">
        <v>0.01</v>
      </c>
      <c r="AH8277" s="508">
        <v>8.9999999999999993E-3</v>
      </c>
      <c r="AI8277" s="492">
        <v>8.9999999999999993E-3</v>
      </c>
      <c r="AJ8277" s="485"/>
    </row>
    <row r="8278" spans="2:36">
      <c r="B8278" s="136" t="s">
        <v>481</v>
      </c>
      <c r="C8278" s="132" t="s">
        <v>1368</v>
      </c>
      <c r="D8278" s="132" t="s">
        <v>1384</v>
      </c>
      <c r="E8278" s="508">
        <v>1.7999999999999999E-2</v>
      </c>
      <c r="F8278" s="508">
        <v>1.2999999999999999E-2</v>
      </c>
      <c r="G8278" s="508">
        <v>1.2E-2</v>
      </c>
      <c r="H8278" s="508">
        <v>1.6E-2</v>
      </c>
      <c r="I8278" s="508">
        <v>1.6E-2</v>
      </c>
      <c r="J8278" s="508">
        <v>1.6E-2</v>
      </c>
      <c r="K8278" s="508">
        <v>1.7999999999999999E-2</v>
      </c>
      <c r="L8278" s="508">
        <v>1.9E-2</v>
      </c>
      <c r="M8278" s="508">
        <v>1.7999999999999999E-2</v>
      </c>
      <c r="N8278" s="508">
        <v>0.02</v>
      </c>
      <c r="O8278" s="508">
        <v>1.9E-2</v>
      </c>
      <c r="P8278" s="508">
        <v>8.9999999999999993E-3</v>
      </c>
      <c r="Q8278" s="508">
        <v>0.01</v>
      </c>
      <c r="R8278" s="508">
        <v>0.01</v>
      </c>
      <c r="S8278" s="508">
        <v>0.01</v>
      </c>
      <c r="T8278" s="508">
        <v>0.01</v>
      </c>
      <c r="U8278" s="508">
        <v>1.2999999999999999E-2</v>
      </c>
      <c r="V8278" s="508">
        <v>1.2E-2</v>
      </c>
      <c r="W8278" s="508">
        <v>1.2E-2</v>
      </c>
      <c r="X8278" s="508">
        <v>1.2E-2</v>
      </c>
      <c r="Y8278" s="508">
        <v>1.2E-2</v>
      </c>
      <c r="Z8278" s="508">
        <v>1.2E-2</v>
      </c>
      <c r="AA8278" s="508">
        <v>1.2E-2</v>
      </c>
      <c r="AB8278" s="508">
        <v>1.0999999999999999E-2</v>
      </c>
      <c r="AC8278" s="508">
        <v>0.01</v>
      </c>
      <c r="AD8278" s="508">
        <v>0.01</v>
      </c>
      <c r="AE8278" s="508">
        <v>1.0999999999999999E-2</v>
      </c>
      <c r="AF8278" s="508">
        <v>0.01</v>
      </c>
      <c r="AG8278" s="508">
        <v>0.01</v>
      </c>
      <c r="AH8278" s="508">
        <v>0.01</v>
      </c>
      <c r="AI8278" s="492">
        <v>0.01</v>
      </c>
      <c r="AJ8278" s="485"/>
    </row>
    <row r="8279" spans="2:36">
      <c r="B8279" s="136" t="s">
        <v>482</v>
      </c>
      <c r="C8279" s="132" t="s">
        <v>1368</v>
      </c>
      <c r="D8279" s="132" t="s">
        <v>1384</v>
      </c>
      <c r="E8279" s="508">
        <v>1.7999999999999999E-2</v>
      </c>
      <c r="F8279" s="508">
        <v>1.2999999999999999E-2</v>
      </c>
      <c r="G8279" s="508">
        <v>1.2E-2</v>
      </c>
      <c r="H8279" s="508">
        <v>1.6E-2</v>
      </c>
      <c r="I8279" s="508">
        <v>1.6E-2</v>
      </c>
      <c r="J8279" s="508">
        <v>1.7000000000000001E-2</v>
      </c>
      <c r="K8279" s="508">
        <v>1.7999999999999999E-2</v>
      </c>
      <c r="L8279" s="508">
        <v>1.9E-2</v>
      </c>
      <c r="M8279" s="508">
        <v>1.7999999999999999E-2</v>
      </c>
      <c r="N8279" s="508">
        <v>0.02</v>
      </c>
      <c r="O8279" s="508">
        <v>1.9E-2</v>
      </c>
      <c r="P8279" s="508">
        <v>0.01</v>
      </c>
      <c r="Q8279" s="508">
        <v>0.01</v>
      </c>
      <c r="R8279" s="508">
        <v>1.0999999999999999E-2</v>
      </c>
      <c r="S8279" s="508">
        <v>0.01</v>
      </c>
      <c r="T8279" s="508">
        <v>0.01</v>
      </c>
      <c r="U8279" s="508">
        <v>1.2999999999999999E-2</v>
      </c>
      <c r="V8279" s="508">
        <v>1.2999999999999999E-2</v>
      </c>
      <c r="W8279" s="508">
        <v>1.2999999999999999E-2</v>
      </c>
      <c r="X8279" s="508">
        <v>1.2E-2</v>
      </c>
      <c r="Y8279" s="508">
        <v>1.2E-2</v>
      </c>
      <c r="Z8279" s="508">
        <v>1.2E-2</v>
      </c>
      <c r="AA8279" s="508">
        <v>1.2E-2</v>
      </c>
      <c r="AB8279" s="508">
        <v>1.0999999999999999E-2</v>
      </c>
      <c r="AC8279" s="508">
        <v>1.0999999999999999E-2</v>
      </c>
      <c r="AD8279" s="508">
        <v>0.01</v>
      </c>
      <c r="AE8279" s="508">
        <v>1.0999999999999999E-2</v>
      </c>
      <c r="AF8279" s="508">
        <v>0.01</v>
      </c>
      <c r="AG8279" s="508">
        <v>0.01</v>
      </c>
      <c r="AH8279" s="508">
        <v>0.01</v>
      </c>
      <c r="AI8279" s="492">
        <v>0.01</v>
      </c>
      <c r="AJ8279" s="485"/>
    </row>
    <row r="8280" spans="2:36">
      <c r="B8280" s="136" t="s">
        <v>483</v>
      </c>
      <c r="C8280" s="132" t="s">
        <v>1368</v>
      </c>
      <c r="D8280" s="132" t="s">
        <v>1384</v>
      </c>
      <c r="E8280" s="508">
        <v>1.9E-2</v>
      </c>
      <c r="F8280" s="508">
        <v>1.2999999999999999E-2</v>
      </c>
      <c r="G8280" s="508">
        <v>1.2E-2</v>
      </c>
      <c r="H8280" s="508">
        <v>1.6E-2</v>
      </c>
      <c r="I8280" s="508">
        <v>1.6E-2</v>
      </c>
      <c r="J8280" s="508">
        <v>1.7000000000000001E-2</v>
      </c>
      <c r="K8280" s="508">
        <v>1.7999999999999999E-2</v>
      </c>
      <c r="L8280" s="508">
        <v>1.9E-2</v>
      </c>
      <c r="M8280" s="508">
        <v>1.7999999999999999E-2</v>
      </c>
      <c r="N8280" s="508">
        <v>0.02</v>
      </c>
      <c r="O8280" s="508">
        <v>1.9E-2</v>
      </c>
      <c r="P8280" s="508">
        <v>0.01</v>
      </c>
      <c r="Q8280" s="508">
        <v>0.01</v>
      </c>
      <c r="R8280" s="508">
        <v>0.01</v>
      </c>
      <c r="S8280" s="508">
        <v>0.01</v>
      </c>
      <c r="T8280" s="508">
        <v>0.01</v>
      </c>
      <c r="U8280" s="508">
        <v>1.2999999999999999E-2</v>
      </c>
      <c r="V8280" s="508">
        <v>1.2999999999999999E-2</v>
      </c>
      <c r="W8280" s="508">
        <v>1.2999999999999999E-2</v>
      </c>
      <c r="X8280" s="508">
        <v>1.2E-2</v>
      </c>
      <c r="Y8280" s="508">
        <v>1.2E-2</v>
      </c>
      <c r="Z8280" s="508">
        <v>1.2E-2</v>
      </c>
      <c r="AA8280" s="508">
        <v>1.2E-2</v>
      </c>
      <c r="AB8280" s="508">
        <v>1.0999999999999999E-2</v>
      </c>
      <c r="AC8280" s="508">
        <v>0.01</v>
      </c>
      <c r="AD8280" s="508">
        <v>0.01</v>
      </c>
      <c r="AE8280" s="508">
        <v>1.0999999999999999E-2</v>
      </c>
      <c r="AF8280" s="508">
        <v>0.01</v>
      </c>
      <c r="AG8280" s="508">
        <v>0.01</v>
      </c>
      <c r="AH8280" s="508">
        <v>0.01</v>
      </c>
      <c r="AI8280" s="492">
        <v>0.01</v>
      </c>
      <c r="AJ8280" s="485"/>
    </row>
    <row r="8281" spans="2:36">
      <c r="B8281" s="136" t="s">
        <v>484</v>
      </c>
      <c r="C8281" s="132" t="s">
        <v>1368</v>
      </c>
      <c r="D8281" s="132" t="s">
        <v>1384</v>
      </c>
      <c r="E8281" s="508">
        <v>1.7999999999999999E-2</v>
      </c>
      <c r="F8281" s="508">
        <v>1.2999999999999999E-2</v>
      </c>
      <c r="G8281" s="508">
        <v>1.0999999999999999E-2</v>
      </c>
      <c r="H8281" s="508">
        <v>1.6E-2</v>
      </c>
      <c r="I8281" s="508">
        <v>1.4999999999999999E-2</v>
      </c>
      <c r="J8281" s="508">
        <v>1.6E-2</v>
      </c>
      <c r="K8281" s="508">
        <v>1.7999999999999999E-2</v>
      </c>
      <c r="L8281" s="508">
        <v>1.7999999999999999E-2</v>
      </c>
      <c r="M8281" s="508">
        <v>1.7999999999999999E-2</v>
      </c>
      <c r="N8281" s="508">
        <v>1.9E-2</v>
      </c>
      <c r="O8281" s="508">
        <v>1.7999999999999999E-2</v>
      </c>
      <c r="P8281" s="508">
        <v>8.9999999999999993E-3</v>
      </c>
      <c r="Q8281" s="508">
        <v>0.01</v>
      </c>
      <c r="R8281" s="508">
        <v>0.01</v>
      </c>
      <c r="S8281" s="508">
        <v>0.01</v>
      </c>
      <c r="T8281" s="508">
        <v>0.01</v>
      </c>
      <c r="U8281" s="508">
        <v>1.2E-2</v>
      </c>
      <c r="V8281" s="508">
        <v>1.2E-2</v>
      </c>
      <c r="W8281" s="508">
        <v>1.2E-2</v>
      </c>
      <c r="X8281" s="508">
        <v>1.2E-2</v>
      </c>
      <c r="Y8281" s="508">
        <v>1.0999999999999999E-2</v>
      </c>
      <c r="Z8281" s="508">
        <v>1.2E-2</v>
      </c>
      <c r="AA8281" s="508">
        <v>1.0999999999999999E-2</v>
      </c>
      <c r="AB8281" s="508">
        <v>0.01</v>
      </c>
      <c r="AC8281" s="508">
        <v>0.01</v>
      </c>
      <c r="AD8281" s="508">
        <v>0.01</v>
      </c>
      <c r="AE8281" s="508">
        <v>0.01</v>
      </c>
      <c r="AF8281" s="508">
        <v>0.01</v>
      </c>
      <c r="AG8281" s="508">
        <v>0.01</v>
      </c>
      <c r="AH8281" s="508">
        <v>8.9999999999999993E-3</v>
      </c>
      <c r="AI8281" s="492">
        <v>8.9999999999999993E-3</v>
      </c>
      <c r="AJ8281" s="485"/>
    </row>
    <row r="8282" spans="2:36">
      <c r="B8282" s="136" t="s">
        <v>486</v>
      </c>
      <c r="C8282" s="132" t="s">
        <v>1368</v>
      </c>
      <c r="D8282" s="132" t="s">
        <v>1384</v>
      </c>
      <c r="E8282" s="508">
        <v>1.7999999999999999E-2</v>
      </c>
      <c r="F8282" s="508">
        <v>1.2999999999999999E-2</v>
      </c>
      <c r="G8282" s="508">
        <v>1.2E-2</v>
      </c>
      <c r="H8282" s="508">
        <v>1.6E-2</v>
      </c>
      <c r="I8282" s="508">
        <v>1.6E-2</v>
      </c>
      <c r="J8282" s="508">
        <v>1.6E-2</v>
      </c>
      <c r="K8282" s="508">
        <v>1.7999999999999999E-2</v>
      </c>
      <c r="L8282" s="508">
        <v>1.9E-2</v>
      </c>
      <c r="M8282" s="508">
        <v>1.7999999999999999E-2</v>
      </c>
      <c r="N8282" s="508">
        <v>0.02</v>
      </c>
      <c r="O8282" s="508">
        <v>1.9E-2</v>
      </c>
      <c r="P8282" s="508">
        <v>8.9999999999999993E-3</v>
      </c>
      <c r="Q8282" s="508">
        <v>0.01</v>
      </c>
      <c r="R8282" s="508">
        <v>0.01</v>
      </c>
      <c r="S8282" s="508">
        <v>0.01</v>
      </c>
      <c r="T8282" s="508">
        <v>0.01</v>
      </c>
      <c r="U8282" s="508">
        <v>1.2E-2</v>
      </c>
      <c r="V8282" s="508">
        <v>1.2E-2</v>
      </c>
      <c r="W8282" s="508">
        <v>1.2E-2</v>
      </c>
      <c r="X8282" s="508">
        <v>1.2E-2</v>
      </c>
      <c r="Y8282" s="508">
        <v>1.2E-2</v>
      </c>
      <c r="Z8282" s="508">
        <v>1.2E-2</v>
      </c>
      <c r="AA8282" s="508">
        <v>1.2E-2</v>
      </c>
      <c r="AB8282" s="508">
        <v>1.0999999999999999E-2</v>
      </c>
      <c r="AC8282" s="508">
        <v>0.01</v>
      </c>
      <c r="AD8282" s="508">
        <v>0.01</v>
      </c>
      <c r="AE8282" s="508">
        <v>1.0999999999999999E-2</v>
      </c>
      <c r="AF8282" s="508">
        <v>0.01</v>
      </c>
      <c r="AG8282" s="508">
        <v>0.01</v>
      </c>
      <c r="AH8282" s="508">
        <v>0.01</v>
      </c>
      <c r="AI8282" s="492">
        <v>0.01</v>
      </c>
      <c r="AJ8282" s="485"/>
    </row>
    <row r="8283" spans="2:36">
      <c r="B8283" s="136" t="s">
        <v>487</v>
      </c>
      <c r="C8283" s="132" t="s">
        <v>1368</v>
      </c>
      <c r="D8283" s="132" t="s">
        <v>1384</v>
      </c>
      <c r="E8283" s="508">
        <v>1.7999999999999999E-2</v>
      </c>
      <c r="F8283" s="508">
        <v>1.2999999999999999E-2</v>
      </c>
      <c r="G8283" s="508">
        <v>1.2E-2</v>
      </c>
      <c r="H8283" s="508">
        <v>1.6E-2</v>
      </c>
      <c r="I8283" s="508">
        <v>1.6E-2</v>
      </c>
      <c r="J8283" s="508">
        <v>1.6E-2</v>
      </c>
      <c r="K8283" s="508">
        <v>1.7999999999999999E-2</v>
      </c>
      <c r="L8283" s="508">
        <v>1.9E-2</v>
      </c>
      <c r="M8283" s="508">
        <v>1.7999999999999999E-2</v>
      </c>
      <c r="N8283" s="508">
        <v>0.02</v>
      </c>
      <c r="O8283" s="508">
        <v>1.9E-2</v>
      </c>
      <c r="P8283" s="508">
        <v>8.9999999999999993E-3</v>
      </c>
      <c r="Q8283" s="508">
        <v>0.01</v>
      </c>
      <c r="R8283" s="508">
        <v>0.01</v>
      </c>
      <c r="S8283" s="508">
        <v>0.01</v>
      </c>
      <c r="T8283" s="508">
        <v>0.01</v>
      </c>
      <c r="U8283" s="508">
        <v>1.2E-2</v>
      </c>
      <c r="V8283" s="508">
        <v>1.2E-2</v>
      </c>
      <c r="W8283" s="508">
        <v>1.2E-2</v>
      </c>
      <c r="X8283" s="508">
        <v>1.2E-2</v>
      </c>
      <c r="Y8283" s="508">
        <v>1.2E-2</v>
      </c>
      <c r="Z8283" s="508">
        <v>1.2E-2</v>
      </c>
      <c r="AA8283" s="508">
        <v>1.2E-2</v>
      </c>
      <c r="AB8283" s="508">
        <v>1.0999999999999999E-2</v>
      </c>
      <c r="AC8283" s="508">
        <v>0.01</v>
      </c>
      <c r="AD8283" s="508">
        <v>0.01</v>
      </c>
      <c r="AE8283" s="508">
        <v>0.01</v>
      </c>
      <c r="AF8283" s="508">
        <v>0.01</v>
      </c>
      <c r="AG8283" s="508">
        <v>0.01</v>
      </c>
      <c r="AH8283" s="508">
        <v>0.01</v>
      </c>
      <c r="AI8283" s="492">
        <v>0.01</v>
      </c>
      <c r="AJ8283" s="485"/>
    </row>
    <row r="8284" spans="2:36">
      <c r="B8284" s="136" t="s">
        <v>488</v>
      </c>
      <c r="C8284" s="132" t="s">
        <v>1368</v>
      </c>
      <c r="D8284" s="132" t="s">
        <v>1384</v>
      </c>
      <c r="E8284" s="508">
        <v>1.7999999999999999E-2</v>
      </c>
      <c r="F8284" s="508">
        <v>1.2999999999999999E-2</v>
      </c>
      <c r="G8284" s="508">
        <v>1.0999999999999999E-2</v>
      </c>
      <c r="H8284" s="508">
        <v>1.6E-2</v>
      </c>
      <c r="I8284" s="508">
        <v>1.4999999999999999E-2</v>
      </c>
      <c r="J8284" s="508">
        <v>1.6E-2</v>
      </c>
      <c r="K8284" s="508">
        <v>1.7999999999999999E-2</v>
      </c>
      <c r="L8284" s="508">
        <v>1.9E-2</v>
      </c>
      <c r="M8284" s="508">
        <v>1.7999999999999999E-2</v>
      </c>
      <c r="N8284" s="508">
        <v>0.02</v>
      </c>
      <c r="O8284" s="508">
        <v>1.9E-2</v>
      </c>
      <c r="P8284" s="508">
        <v>8.9999999999999993E-3</v>
      </c>
      <c r="Q8284" s="508">
        <v>0.01</v>
      </c>
      <c r="R8284" s="508">
        <v>0.01</v>
      </c>
      <c r="S8284" s="508">
        <v>0.01</v>
      </c>
      <c r="T8284" s="508">
        <v>0.01</v>
      </c>
      <c r="U8284" s="508">
        <v>1.2E-2</v>
      </c>
      <c r="V8284" s="508">
        <v>1.2E-2</v>
      </c>
      <c r="W8284" s="508">
        <v>1.2E-2</v>
      </c>
      <c r="X8284" s="508">
        <v>1.2E-2</v>
      </c>
      <c r="Y8284" s="508">
        <v>1.2E-2</v>
      </c>
      <c r="Z8284" s="508">
        <v>1.2E-2</v>
      </c>
      <c r="AA8284" s="508">
        <v>1.2E-2</v>
      </c>
      <c r="AB8284" s="508">
        <v>1.0999999999999999E-2</v>
      </c>
      <c r="AC8284" s="508">
        <v>0.01</v>
      </c>
      <c r="AD8284" s="508">
        <v>0.01</v>
      </c>
      <c r="AE8284" s="508">
        <v>0.01</v>
      </c>
      <c r="AF8284" s="508">
        <v>0.01</v>
      </c>
      <c r="AG8284" s="508">
        <v>0.01</v>
      </c>
      <c r="AH8284" s="508">
        <v>0.01</v>
      </c>
      <c r="AI8284" s="492">
        <v>8.9999999999999993E-3</v>
      </c>
      <c r="AJ8284" s="485"/>
    </row>
    <row r="8285" spans="2:36">
      <c r="B8285" s="136" t="s">
        <v>489</v>
      </c>
      <c r="C8285" s="132" t="s">
        <v>1368</v>
      </c>
      <c r="D8285" s="132" t="s">
        <v>1384</v>
      </c>
      <c r="E8285" s="508">
        <v>1.7999999999999999E-2</v>
      </c>
      <c r="F8285" s="508">
        <v>1.2999999999999999E-2</v>
      </c>
      <c r="G8285" s="508">
        <v>1.0999999999999999E-2</v>
      </c>
      <c r="H8285" s="508">
        <v>1.6E-2</v>
      </c>
      <c r="I8285" s="508">
        <v>1.4999999999999999E-2</v>
      </c>
      <c r="J8285" s="508">
        <v>1.6E-2</v>
      </c>
      <c r="K8285" s="508">
        <v>1.7999999999999999E-2</v>
      </c>
      <c r="L8285" s="508">
        <v>1.9E-2</v>
      </c>
      <c r="M8285" s="508">
        <v>1.7999999999999999E-2</v>
      </c>
      <c r="N8285" s="508">
        <v>0.02</v>
      </c>
      <c r="O8285" s="508">
        <v>1.9E-2</v>
      </c>
      <c r="P8285" s="508">
        <v>8.9999999999999993E-3</v>
      </c>
      <c r="Q8285" s="508">
        <v>0.01</v>
      </c>
      <c r="R8285" s="508">
        <v>0.01</v>
      </c>
      <c r="S8285" s="508">
        <v>0.01</v>
      </c>
      <c r="T8285" s="508">
        <v>0.01</v>
      </c>
      <c r="U8285" s="508">
        <v>1.2E-2</v>
      </c>
      <c r="V8285" s="508">
        <v>1.2E-2</v>
      </c>
      <c r="W8285" s="508">
        <v>1.2E-2</v>
      </c>
      <c r="X8285" s="508">
        <v>1.2E-2</v>
      </c>
      <c r="Y8285" s="508">
        <v>1.2E-2</v>
      </c>
      <c r="Z8285" s="508">
        <v>1.2E-2</v>
      </c>
      <c r="AA8285" s="508">
        <v>1.2E-2</v>
      </c>
      <c r="AB8285" s="508">
        <v>1.0999999999999999E-2</v>
      </c>
      <c r="AC8285" s="508">
        <v>0.01</v>
      </c>
      <c r="AD8285" s="508">
        <v>0.01</v>
      </c>
      <c r="AE8285" s="508">
        <v>0.01</v>
      </c>
      <c r="AF8285" s="508">
        <v>0.01</v>
      </c>
      <c r="AG8285" s="508">
        <v>0.01</v>
      </c>
      <c r="AH8285" s="508">
        <v>0.01</v>
      </c>
      <c r="AI8285" s="492">
        <v>8.9999999999999993E-3</v>
      </c>
      <c r="AJ8285" s="485"/>
    </row>
    <row r="8286" spans="2:36">
      <c r="B8286" s="136" t="s">
        <v>490</v>
      </c>
      <c r="C8286" s="132" t="s">
        <v>1368</v>
      </c>
      <c r="D8286" s="132" t="s">
        <v>1384</v>
      </c>
      <c r="E8286" s="508">
        <v>1.7999999999999999E-2</v>
      </c>
      <c r="F8286" s="508">
        <v>1.2999999999999999E-2</v>
      </c>
      <c r="G8286" s="508">
        <v>1.0999999999999999E-2</v>
      </c>
      <c r="H8286" s="508">
        <v>1.6E-2</v>
      </c>
      <c r="I8286" s="508">
        <v>1.4999999999999999E-2</v>
      </c>
      <c r="J8286" s="508">
        <v>1.6E-2</v>
      </c>
      <c r="K8286" s="508">
        <v>1.7999999999999999E-2</v>
      </c>
      <c r="L8286" s="508">
        <v>1.9E-2</v>
      </c>
      <c r="M8286" s="508">
        <v>1.7999999999999999E-2</v>
      </c>
      <c r="N8286" s="508">
        <v>0.02</v>
      </c>
      <c r="O8286" s="508">
        <v>1.9E-2</v>
      </c>
      <c r="P8286" s="508">
        <v>8.9999999999999993E-3</v>
      </c>
      <c r="Q8286" s="508">
        <v>0.01</v>
      </c>
      <c r="R8286" s="508">
        <v>0.01</v>
      </c>
      <c r="S8286" s="508">
        <v>0.01</v>
      </c>
      <c r="T8286" s="508">
        <v>0.01</v>
      </c>
      <c r="U8286" s="508">
        <v>1.2E-2</v>
      </c>
      <c r="V8286" s="508">
        <v>1.2E-2</v>
      </c>
      <c r="W8286" s="508">
        <v>1.2E-2</v>
      </c>
      <c r="X8286" s="508">
        <v>1.2E-2</v>
      </c>
      <c r="Y8286" s="508">
        <v>1.2E-2</v>
      </c>
      <c r="Z8286" s="508">
        <v>1.2E-2</v>
      </c>
      <c r="AA8286" s="508">
        <v>1.2E-2</v>
      </c>
      <c r="AB8286" s="508">
        <v>1.0999999999999999E-2</v>
      </c>
      <c r="AC8286" s="508">
        <v>0.01</v>
      </c>
      <c r="AD8286" s="508">
        <v>0.01</v>
      </c>
      <c r="AE8286" s="508">
        <v>0.01</v>
      </c>
      <c r="AF8286" s="508">
        <v>0.01</v>
      </c>
      <c r="AG8286" s="508">
        <v>0.01</v>
      </c>
      <c r="AH8286" s="508">
        <v>8.9999999999999993E-3</v>
      </c>
      <c r="AI8286" s="492">
        <v>8.9999999999999993E-3</v>
      </c>
      <c r="AJ8286" s="485"/>
    </row>
    <row r="8287" spans="2:36">
      <c r="B8287" s="136" t="s">
        <v>435</v>
      </c>
      <c r="C8287" s="132" t="s">
        <v>1369</v>
      </c>
      <c r="D8287" s="132" t="s">
        <v>1384</v>
      </c>
      <c r="E8287" s="508">
        <v>2.0640000000000001</v>
      </c>
      <c r="F8287" s="508">
        <v>2.0350000000000001</v>
      </c>
      <c r="G8287" s="508">
        <v>2.1</v>
      </c>
      <c r="H8287" s="508">
        <v>2.0840000000000001</v>
      </c>
      <c r="I8287" s="508">
        <v>2.0699999999999998</v>
      </c>
      <c r="J8287" s="508">
        <v>2.0659999999999998</v>
      </c>
      <c r="K8287" s="508">
        <v>2.0219999999999998</v>
      </c>
      <c r="L8287" s="508">
        <v>1.9930000000000001</v>
      </c>
      <c r="M8287" s="508">
        <v>1.96</v>
      </c>
      <c r="N8287" s="508">
        <v>1.927</v>
      </c>
      <c r="O8287" s="508">
        <v>1.8939999999999999</v>
      </c>
      <c r="P8287" s="508">
        <v>0.80300000000000005</v>
      </c>
      <c r="Q8287" s="508">
        <v>0.78800000000000003</v>
      </c>
      <c r="R8287" s="508">
        <v>0.624</v>
      </c>
      <c r="S8287" s="508">
        <v>0.57999999999999996</v>
      </c>
      <c r="T8287" s="508">
        <v>0.57099999999999995</v>
      </c>
      <c r="U8287" s="508">
        <v>0.379</v>
      </c>
      <c r="V8287" s="508">
        <v>0.27100000000000002</v>
      </c>
      <c r="W8287" s="508">
        <v>0.216</v>
      </c>
      <c r="X8287" s="508">
        <v>0.155</v>
      </c>
      <c r="Y8287" s="508">
        <v>0.125</v>
      </c>
      <c r="Z8287" s="508">
        <v>7.5999999999999998E-2</v>
      </c>
      <c r="AA8287" s="508">
        <v>7.2999999999999995E-2</v>
      </c>
      <c r="AB8287" s="508">
        <v>6.3E-2</v>
      </c>
      <c r="AC8287" s="508">
        <v>6.0999999999999999E-2</v>
      </c>
      <c r="AD8287" s="508">
        <v>5.3999999999999999E-2</v>
      </c>
      <c r="AE8287" s="508">
        <v>5.0999999999999997E-2</v>
      </c>
      <c r="AF8287" s="508">
        <v>4.3999999999999997E-2</v>
      </c>
      <c r="AG8287" s="508">
        <v>4.3999999999999997E-2</v>
      </c>
      <c r="AH8287" s="508">
        <v>4.2999999999999997E-2</v>
      </c>
      <c r="AI8287" s="492">
        <v>4.2000000000000003E-2</v>
      </c>
      <c r="AJ8287" s="485"/>
    </row>
    <row r="8288" spans="2:36">
      <c r="B8288" s="136" t="s">
        <v>436</v>
      </c>
      <c r="C8288" s="132" t="s">
        <v>1369</v>
      </c>
      <c r="D8288" s="132" t="s">
        <v>1384</v>
      </c>
      <c r="E8288" s="508">
        <v>1.256</v>
      </c>
      <c r="F8288" s="508">
        <v>1.234</v>
      </c>
      <c r="G8288" s="508">
        <v>1.2689999999999999</v>
      </c>
      <c r="H8288" s="508">
        <v>1.2589999999999999</v>
      </c>
      <c r="I8288" s="508">
        <v>1.2509999999999999</v>
      </c>
      <c r="J8288" s="508">
        <v>1.2490000000000001</v>
      </c>
      <c r="K8288" s="508">
        <v>1.2250000000000001</v>
      </c>
      <c r="L8288" s="508">
        <v>1.2110000000000001</v>
      </c>
      <c r="M8288" s="508">
        <v>1.1950000000000001</v>
      </c>
      <c r="N8288" s="508">
        <v>1.1759999999999999</v>
      </c>
      <c r="O8288" s="508">
        <v>1.159</v>
      </c>
      <c r="P8288" s="508">
        <v>0.437</v>
      </c>
      <c r="Q8288" s="508">
        <v>0.435</v>
      </c>
      <c r="R8288" s="508">
        <v>0.375</v>
      </c>
      <c r="S8288" s="508">
        <v>0.35799999999999998</v>
      </c>
      <c r="T8288" s="508">
        <v>0.35199999999999998</v>
      </c>
      <c r="U8288" s="508">
        <v>0.217</v>
      </c>
      <c r="V8288" s="508">
        <v>0.157</v>
      </c>
      <c r="W8288" s="508">
        <v>0.127</v>
      </c>
      <c r="X8288" s="508">
        <v>9.5000000000000001E-2</v>
      </c>
      <c r="Y8288" s="508">
        <v>7.8E-2</v>
      </c>
      <c r="Z8288" s="508">
        <v>4.3999999999999997E-2</v>
      </c>
      <c r="AA8288" s="508">
        <v>4.2999999999999997E-2</v>
      </c>
      <c r="AB8288" s="508">
        <v>3.7999999999999999E-2</v>
      </c>
      <c r="AC8288" s="508">
        <v>3.6999999999999998E-2</v>
      </c>
      <c r="AD8288" s="508">
        <v>3.4000000000000002E-2</v>
      </c>
      <c r="AE8288" s="508">
        <v>3.3000000000000002E-2</v>
      </c>
      <c r="AF8288" s="508">
        <v>2.9000000000000001E-2</v>
      </c>
      <c r="AG8288" s="508">
        <v>2.9000000000000001E-2</v>
      </c>
      <c r="AH8288" s="508">
        <v>2.8000000000000001E-2</v>
      </c>
      <c r="AI8288" s="492">
        <v>2.8000000000000001E-2</v>
      </c>
      <c r="AJ8288" s="485"/>
    </row>
    <row r="8289" spans="2:36">
      <c r="B8289" s="136" t="s">
        <v>437</v>
      </c>
      <c r="C8289" s="132" t="s">
        <v>1369</v>
      </c>
      <c r="D8289" s="132" t="s">
        <v>1384</v>
      </c>
      <c r="E8289" s="508">
        <v>2.38</v>
      </c>
      <c r="F8289" s="508">
        <v>2.351</v>
      </c>
      <c r="G8289" s="508">
        <v>2.423</v>
      </c>
      <c r="H8289" s="508">
        <v>2.407</v>
      </c>
      <c r="I8289" s="508">
        <v>2.3919999999999999</v>
      </c>
      <c r="J8289" s="508">
        <v>2.3860000000000001</v>
      </c>
      <c r="K8289" s="508">
        <v>2.3380000000000001</v>
      </c>
      <c r="L8289" s="508">
        <v>2.302</v>
      </c>
      <c r="M8289" s="508">
        <v>2.262</v>
      </c>
      <c r="N8289" s="508">
        <v>2.222</v>
      </c>
      <c r="O8289" s="508">
        <v>2.1840000000000002</v>
      </c>
      <c r="P8289" s="508">
        <v>0.99</v>
      </c>
      <c r="Q8289" s="508">
        <v>0.95699999999999996</v>
      </c>
      <c r="R8289" s="508">
        <v>0.71499999999999997</v>
      </c>
      <c r="S8289" s="508">
        <v>0.65300000000000002</v>
      </c>
      <c r="T8289" s="508">
        <v>0.64200000000000002</v>
      </c>
      <c r="U8289" s="508">
        <v>0.434</v>
      </c>
      <c r="V8289" s="508">
        <v>0.315</v>
      </c>
      <c r="W8289" s="508">
        <v>0.255</v>
      </c>
      <c r="X8289" s="508">
        <v>0.17699999999999999</v>
      </c>
      <c r="Y8289" s="508">
        <v>0.14399999999999999</v>
      </c>
      <c r="Z8289" s="508">
        <v>0.09</v>
      </c>
      <c r="AA8289" s="508">
        <v>8.5000000000000006E-2</v>
      </c>
      <c r="AB8289" s="508">
        <v>7.4999999999999997E-2</v>
      </c>
      <c r="AC8289" s="508">
        <v>7.1999999999999995E-2</v>
      </c>
      <c r="AD8289" s="508">
        <v>6.4000000000000001E-2</v>
      </c>
      <c r="AE8289" s="508">
        <v>0.06</v>
      </c>
      <c r="AF8289" s="508">
        <v>5.2999999999999999E-2</v>
      </c>
      <c r="AG8289" s="508">
        <v>5.1999999999999998E-2</v>
      </c>
      <c r="AH8289" s="508">
        <v>5.0999999999999997E-2</v>
      </c>
      <c r="AI8289" s="492">
        <v>0.05</v>
      </c>
      <c r="AJ8289" s="485"/>
    </row>
    <row r="8290" spans="2:36">
      <c r="B8290" s="136" t="s">
        <v>438</v>
      </c>
      <c r="C8290" s="132" t="s">
        <v>1369</v>
      </c>
      <c r="D8290" s="132" t="s">
        <v>1384</v>
      </c>
      <c r="E8290" s="508">
        <v>1.9470000000000001</v>
      </c>
      <c r="F8290" s="508">
        <v>1.92</v>
      </c>
      <c r="G8290" s="508">
        <v>1.982</v>
      </c>
      <c r="H8290" s="508">
        <v>1.9650000000000001</v>
      </c>
      <c r="I8290" s="508">
        <v>1.952</v>
      </c>
      <c r="J8290" s="508">
        <v>1.9490000000000001</v>
      </c>
      <c r="K8290" s="508">
        <v>1.907</v>
      </c>
      <c r="L8290" s="508">
        <v>1.88</v>
      </c>
      <c r="M8290" s="508">
        <v>1.849</v>
      </c>
      <c r="N8290" s="508">
        <v>1.8169999999999999</v>
      </c>
      <c r="O8290" s="508">
        <v>1.786</v>
      </c>
      <c r="P8290" s="508">
        <v>0.75900000000000001</v>
      </c>
      <c r="Q8290" s="508">
        <v>0.745</v>
      </c>
      <c r="R8290" s="508">
        <v>0.59</v>
      </c>
      <c r="S8290" s="508">
        <v>0.54900000000000004</v>
      </c>
      <c r="T8290" s="508">
        <v>0.54</v>
      </c>
      <c r="U8290" s="508">
        <v>0.35699999999999998</v>
      </c>
      <c r="V8290" s="508">
        <v>0.255</v>
      </c>
      <c r="W8290" s="508">
        <v>0.20399999999999999</v>
      </c>
      <c r="X8290" s="508">
        <v>0.14699999999999999</v>
      </c>
      <c r="Y8290" s="508">
        <v>0.11899999999999999</v>
      </c>
      <c r="Z8290" s="508">
        <v>7.1999999999999995E-2</v>
      </c>
      <c r="AA8290" s="508">
        <v>6.8000000000000005E-2</v>
      </c>
      <c r="AB8290" s="508">
        <v>0.06</v>
      </c>
      <c r="AC8290" s="508">
        <v>5.8000000000000003E-2</v>
      </c>
      <c r="AD8290" s="508">
        <v>5.1999999999999998E-2</v>
      </c>
      <c r="AE8290" s="508">
        <v>4.9000000000000002E-2</v>
      </c>
      <c r="AF8290" s="508">
        <v>4.2000000000000003E-2</v>
      </c>
      <c r="AG8290" s="508">
        <v>4.2000000000000003E-2</v>
      </c>
      <c r="AH8290" s="508">
        <v>4.1000000000000002E-2</v>
      </c>
      <c r="AI8290" s="492">
        <v>0.04</v>
      </c>
      <c r="AJ8290" s="485"/>
    </row>
    <row r="8291" spans="2:36">
      <c r="B8291" s="136" t="s">
        <v>439</v>
      </c>
      <c r="C8291" s="132" t="s">
        <v>1369</v>
      </c>
      <c r="D8291" s="132" t="s">
        <v>1384</v>
      </c>
      <c r="E8291" s="508">
        <v>1.9139999999999999</v>
      </c>
      <c r="F8291" s="508">
        <v>1.8879999999999999</v>
      </c>
      <c r="G8291" s="508">
        <v>1.9410000000000001</v>
      </c>
      <c r="H8291" s="508">
        <v>1.9279999999999999</v>
      </c>
      <c r="I8291" s="508">
        <v>1.9159999999999999</v>
      </c>
      <c r="J8291" s="508">
        <v>1.9119999999999999</v>
      </c>
      <c r="K8291" s="508">
        <v>1.8740000000000001</v>
      </c>
      <c r="L8291" s="508">
        <v>1.847</v>
      </c>
      <c r="M8291" s="508">
        <v>1.8160000000000001</v>
      </c>
      <c r="N8291" s="508">
        <v>1.7829999999999999</v>
      </c>
      <c r="O8291" s="508">
        <v>1.7509999999999999</v>
      </c>
      <c r="P8291" s="508">
        <v>0.71399999999999997</v>
      </c>
      <c r="Q8291" s="508">
        <v>0.69899999999999995</v>
      </c>
      <c r="R8291" s="508">
        <v>0.55200000000000005</v>
      </c>
      <c r="S8291" s="508">
        <v>0.51200000000000001</v>
      </c>
      <c r="T8291" s="508">
        <v>0.504</v>
      </c>
      <c r="U8291" s="508">
        <v>0.32700000000000001</v>
      </c>
      <c r="V8291" s="508">
        <v>0.23799999999999999</v>
      </c>
      <c r="W8291" s="508">
        <v>0.193</v>
      </c>
      <c r="X8291" s="508">
        <v>0.14099999999999999</v>
      </c>
      <c r="Y8291" s="508">
        <v>0.11600000000000001</v>
      </c>
      <c r="Z8291" s="508">
        <v>7.0000000000000007E-2</v>
      </c>
      <c r="AA8291" s="508">
        <v>6.7000000000000004E-2</v>
      </c>
      <c r="AB8291" s="508">
        <v>5.8999999999999997E-2</v>
      </c>
      <c r="AC8291" s="508">
        <v>5.7000000000000002E-2</v>
      </c>
      <c r="AD8291" s="508">
        <v>5.0999999999999997E-2</v>
      </c>
      <c r="AE8291" s="508">
        <v>4.8000000000000001E-2</v>
      </c>
      <c r="AF8291" s="508">
        <v>4.2000000000000003E-2</v>
      </c>
      <c r="AG8291" s="508">
        <v>4.1000000000000002E-2</v>
      </c>
      <c r="AH8291" s="508">
        <v>4.1000000000000002E-2</v>
      </c>
      <c r="AI8291" s="492">
        <v>0.04</v>
      </c>
      <c r="AJ8291" s="485"/>
    </row>
    <row r="8292" spans="2:36">
      <c r="B8292" s="136" t="s">
        <v>440</v>
      </c>
      <c r="C8292" s="132" t="s">
        <v>1369</v>
      </c>
      <c r="D8292" s="132" t="s">
        <v>1384</v>
      </c>
      <c r="E8292" s="508">
        <v>1.706</v>
      </c>
      <c r="F8292" s="508">
        <v>1.6819999999999999</v>
      </c>
      <c r="G8292" s="508">
        <v>1.7350000000000001</v>
      </c>
      <c r="H8292" s="508">
        <v>1.7230000000000001</v>
      </c>
      <c r="I8292" s="508">
        <v>1.71</v>
      </c>
      <c r="J8292" s="508">
        <v>1.706</v>
      </c>
      <c r="K8292" s="508">
        <v>1.6719999999999999</v>
      </c>
      <c r="L8292" s="508">
        <v>1.6479999999999999</v>
      </c>
      <c r="M8292" s="508">
        <v>1.6220000000000001</v>
      </c>
      <c r="N8292" s="508">
        <v>1.5960000000000001</v>
      </c>
      <c r="O8292" s="508">
        <v>1.571</v>
      </c>
      <c r="P8292" s="508">
        <v>0.64100000000000001</v>
      </c>
      <c r="Q8292" s="508">
        <v>0.63</v>
      </c>
      <c r="R8292" s="508">
        <v>0.51900000000000002</v>
      </c>
      <c r="S8292" s="508">
        <v>0.48599999999999999</v>
      </c>
      <c r="T8292" s="508">
        <v>0.47899999999999998</v>
      </c>
      <c r="U8292" s="508">
        <v>0.31</v>
      </c>
      <c r="V8292" s="508">
        <v>0.22600000000000001</v>
      </c>
      <c r="W8292" s="508">
        <v>0.183</v>
      </c>
      <c r="X8292" s="508">
        <v>0.13</v>
      </c>
      <c r="Y8292" s="508">
        <v>0.107</v>
      </c>
      <c r="Z8292" s="508">
        <v>6.3E-2</v>
      </c>
      <c r="AA8292" s="508">
        <v>0.06</v>
      </c>
      <c r="AB8292" s="508">
        <v>5.2999999999999999E-2</v>
      </c>
      <c r="AC8292" s="508">
        <v>5.0999999999999997E-2</v>
      </c>
      <c r="AD8292" s="508">
        <v>4.5999999999999999E-2</v>
      </c>
      <c r="AE8292" s="508">
        <v>4.2999999999999997E-2</v>
      </c>
      <c r="AF8292" s="508">
        <v>3.7999999999999999E-2</v>
      </c>
      <c r="AG8292" s="508">
        <v>3.6999999999999998E-2</v>
      </c>
      <c r="AH8292" s="508">
        <v>3.5999999999999997E-2</v>
      </c>
      <c r="AI8292" s="492">
        <v>3.5999999999999997E-2</v>
      </c>
      <c r="AJ8292" s="485"/>
    </row>
    <row r="8293" spans="2:36">
      <c r="B8293" s="136" t="s">
        <v>441</v>
      </c>
      <c r="C8293" s="132" t="s">
        <v>1369</v>
      </c>
      <c r="D8293" s="132" t="s">
        <v>1384</v>
      </c>
      <c r="E8293" s="508">
        <v>1.6040000000000001</v>
      </c>
      <c r="F8293" s="508">
        <v>1.5820000000000001</v>
      </c>
      <c r="G8293" s="508">
        <v>1.569</v>
      </c>
      <c r="H8293" s="508">
        <v>1.5580000000000001</v>
      </c>
      <c r="I8293" s="508">
        <v>1.5489999999999999</v>
      </c>
      <c r="J8293" s="508">
        <v>1.5469999999999999</v>
      </c>
      <c r="K8293" s="508">
        <v>1.518</v>
      </c>
      <c r="L8293" s="508">
        <v>1.498</v>
      </c>
      <c r="M8293" s="508">
        <v>1.4750000000000001</v>
      </c>
      <c r="N8293" s="508">
        <v>1.4490000000000001</v>
      </c>
      <c r="O8293" s="508">
        <v>1.4239999999999999</v>
      </c>
      <c r="P8293" s="508">
        <v>0.57199999999999995</v>
      </c>
      <c r="Q8293" s="508">
        <v>0.56100000000000005</v>
      </c>
      <c r="R8293" s="508">
        <v>0.44900000000000001</v>
      </c>
      <c r="S8293" s="508">
        <v>0.42</v>
      </c>
      <c r="T8293" s="508">
        <v>0.41299999999999998</v>
      </c>
      <c r="U8293" s="508">
        <v>0.26</v>
      </c>
      <c r="V8293" s="508">
        <v>0.191</v>
      </c>
      <c r="W8293" s="508">
        <v>0.156</v>
      </c>
      <c r="X8293" s="508">
        <v>0.115</v>
      </c>
      <c r="Y8293" s="508">
        <v>9.5000000000000001E-2</v>
      </c>
      <c r="Z8293" s="508">
        <v>5.6000000000000001E-2</v>
      </c>
      <c r="AA8293" s="508">
        <v>5.3999999999999999E-2</v>
      </c>
      <c r="AB8293" s="508">
        <v>4.9000000000000002E-2</v>
      </c>
      <c r="AC8293" s="508">
        <v>4.7E-2</v>
      </c>
      <c r="AD8293" s="508">
        <v>4.2000000000000003E-2</v>
      </c>
      <c r="AE8293" s="508">
        <v>0.04</v>
      </c>
      <c r="AF8293" s="508">
        <v>3.5999999999999997E-2</v>
      </c>
      <c r="AG8293" s="508">
        <v>3.5999999999999997E-2</v>
      </c>
      <c r="AH8293" s="508">
        <v>3.5000000000000003E-2</v>
      </c>
      <c r="AI8293" s="492">
        <v>3.4000000000000002E-2</v>
      </c>
      <c r="AJ8293" s="485"/>
    </row>
    <row r="8294" spans="2:36">
      <c r="B8294" s="136" t="s">
        <v>443</v>
      </c>
      <c r="C8294" s="132" t="s">
        <v>1369</v>
      </c>
      <c r="D8294" s="132" t="s">
        <v>1384</v>
      </c>
      <c r="E8294" s="508">
        <v>1.651</v>
      </c>
      <c r="F8294" s="508">
        <v>1.6279999999999999</v>
      </c>
      <c r="G8294" s="508">
        <v>1.67</v>
      </c>
      <c r="H8294" s="508">
        <v>1.659</v>
      </c>
      <c r="I8294" s="508">
        <v>1.649</v>
      </c>
      <c r="J8294" s="508">
        <v>1.647</v>
      </c>
      <c r="K8294" s="508">
        <v>1.6140000000000001</v>
      </c>
      <c r="L8294" s="508">
        <v>1.5940000000000001</v>
      </c>
      <c r="M8294" s="508">
        <v>1.57</v>
      </c>
      <c r="N8294" s="508">
        <v>1.5429999999999999</v>
      </c>
      <c r="O8294" s="508">
        <v>1.5169999999999999</v>
      </c>
      <c r="P8294" s="508">
        <v>0.621</v>
      </c>
      <c r="Q8294" s="508">
        <v>0.60799999999999998</v>
      </c>
      <c r="R8294" s="508">
        <v>0.48199999999999998</v>
      </c>
      <c r="S8294" s="508">
        <v>0.44900000000000001</v>
      </c>
      <c r="T8294" s="508">
        <v>0.442</v>
      </c>
      <c r="U8294" s="508">
        <v>0.28199999999999997</v>
      </c>
      <c r="V8294" s="508">
        <v>0.20599999999999999</v>
      </c>
      <c r="W8294" s="508">
        <v>0.16700000000000001</v>
      </c>
      <c r="X8294" s="508">
        <v>0.123</v>
      </c>
      <c r="Y8294" s="508">
        <v>0.10199999999999999</v>
      </c>
      <c r="Z8294" s="508">
        <v>6.0999999999999999E-2</v>
      </c>
      <c r="AA8294" s="508">
        <v>5.8999999999999997E-2</v>
      </c>
      <c r="AB8294" s="508">
        <v>5.1999999999999998E-2</v>
      </c>
      <c r="AC8294" s="508">
        <v>5.0999999999999997E-2</v>
      </c>
      <c r="AD8294" s="508">
        <v>4.4999999999999998E-2</v>
      </c>
      <c r="AE8294" s="508">
        <v>4.3999999999999997E-2</v>
      </c>
      <c r="AF8294" s="508">
        <v>3.9E-2</v>
      </c>
      <c r="AG8294" s="508">
        <v>3.7999999999999999E-2</v>
      </c>
      <c r="AH8294" s="508">
        <v>3.6999999999999998E-2</v>
      </c>
      <c r="AI8294" s="492">
        <v>3.5999999999999997E-2</v>
      </c>
      <c r="AJ8294" s="485"/>
    </row>
    <row r="8295" spans="2:36">
      <c r="B8295" s="136" t="s">
        <v>445</v>
      </c>
      <c r="C8295" s="132" t="s">
        <v>1369</v>
      </c>
      <c r="D8295" s="132" t="s">
        <v>1384</v>
      </c>
      <c r="E8295" s="508">
        <v>1.798</v>
      </c>
      <c r="F8295" s="508">
        <v>1.7729999999999999</v>
      </c>
      <c r="G8295" s="508">
        <v>1.8160000000000001</v>
      </c>
      <c r="H8295" s="508">
        <v>1.806</v>
      </c>
      <c r="I8295" s="508">
        <v>1.7949999999999999</v>
      </c>
      <c r="J8295" s="508">
        <v>1.7929999999999999</v>
      </c>
      <c r="K8295" s="508">
        <v>1.7589999999999999</v>
      </c>
      <c r="L8295" s="508">
        <v>1.7370000000000001</v>
      </c>
      <c r="M8295" s="508">
        <v>1.7110000000000001</v>
      </c>
      <c r="N8295" s="508">
        <v>1.6819999999999999</v>
      </c>
      <c r="O8295" s="508">
        <v>1.655</v>
      </c>
      <c r="P8295" s="508">
        <v>0.65700000000000003</v>
      </c>
      <c r="Q8295" s="508">
        <v>0.64300000000000002</v>
      </c>
      <c r="R8295" s="508">
        <v>0.50600000000000001</v>
      </c>
      <c r="S8295" s="508">
        <v>0.47099999999999997</v>
      </c>
      <c r="T8295" s="508">
        <v>0.46400000000000002</v>
      </c>
      <c r="U8295" s="508">
        <v>0.29599999999999999</v>
      </c>
      <c r="V8295" s="508">
        <v>0.215</v>
      </c>
      <c r="W8295" s="508">
        <v>0.17399999999999999</v>
      </c>
      <c r="X8295" s="508">
        <v>0.127</v>
      </c>
      <c r="Y8295" s="508">
        <v>0.109</v>
      </c>
      <c r="Z8295" s="508">
        <v>6.5000000000000002E-2</v>
      </c>
      <c r="AA8295" s="508">
        <v>6.2E-2</v>
      </c>
      <c r="AB8295" s="508">
        <v>5.6000000000000001E-2</v>
      </c>
      <c r="AC8295" s="508">
        <v>5.3999999999999999E-2</v>
      </c>
      <c r="AD8295" s="508">
        <v>0.05</v>
      </c>
      <c r="AE8295" s="508">
        <v>4.8000000000000001E-2</v>
      </c>
      <c r="AF8295" s="508">
        <v>4.2000000000000003E-2</v>
      </c>
      <c r="AG8295" s="508">
        <v>4.1000000000000002E-2</v>
      </c>
      <c r="AH8295" s="508">
        <v>0.04</v>
      </c>
      <c r="AI8295" s="492">
        <v>3.9E-2</v>
      </c>
      <c r="AJ8295" s="485"/>
    </row>
    <row r="8296" spans="2:36">
      <c r="B8296" s="136" t="s">
        <v>446</v>
      </c>
      <c r="C8296" s="132" t="s">
        <v>1369</v>
      </c>
      <c r="D8296" s="132" t="s">
        <v>1384</v>
      </c>
      <c r="E8296" s="508">
        <v>2.4649999999999999</v>
      </c>
      <c r="F8296" s="508">
        <v>2.431</v>
      </c>
      <c r="G8296" s="508">
        <v>2.504</v>
      </c>
      <c r="H8296" s="508">
        <v>2.4889999999999999</v>
      </c>
      <c r="I8296" s="508">
        <v>2.472</v>
      </c>
      <c r="J8296" s="508">
        <v>2.468</v>
      </c>
      <c r="K8296" s="508">
        <v>2.4159999999999999</v>
      </c>
      <c r="L8296" s="508">
        <v>2.3809999999999998</v>
      </c>
      <c r="M8296" s="508">
        <v>2.3420000000000001</v>
      </c>
      <c r="N8296" s="508">
        <v>2.302</v>
      </c>
      <c r="O8296" s="508">
        <v>2.2629999999999999</v>
      </c>
      <c r="P8296" s="508">
        <v>0.98199999999999998</v>
      </c>
      <c r="Q8296" s="508">
        <v>0.96099999999999997</v>
      </c>
      <c r="R8296" s="508">
        <v>0.74299999999999999</v>
      </c>
      <c r="S8296" s="508">
        <v>0.68700000000000006</v>
      </c>
      <c r="T8296" s="508">
        <v>0.67700000000000005</v>
      </c>
      <c r="U8296" s="508">
        <v>0.45400000000000001</v>
      </c>
      <c r="V8296" s="508">
        <v>0.32300000000000001</v>
      </c>
      <c r="W8296" s="508">
        <v>0.25600000000000001</v>
      </c>
      <c r="X8296" s="508">
        <v>0.183</v>
      </c>
      <c r="Y8296" s="508">
        <v>0.14699999999999999</v>
      </c>
      <c r="Z8296" s="508">
        <v>0.09</v>
      </c>
      <c r="AA8296" s="508">
        <v>8.5999999999999993E-2</v>
      </c>
      <c r="AB8296" s="508">
        <v>7.4999999999999997E-2</v>
      </c>
      <c r="AC8296" s="508">
        <v>7.2999999999999995E-2</v>
      </c>
      <c r="AD8296" s="508">
        <v>6.5000000000000002E-2</v>
      </c>
      <c r="AE8296" s="508">
        <v>6.0999999999999999E-2</v>
      </c>
      <c r="AF8296" s="508">
        <v>5.2999999999999999E-2</v>
      </c>
      <c r="AG8296" s="508">
        <v>5.1999999999999998E-2</v>
      </c>
      <c r="AH8296" s="508">
        <v>5.0999999999999997E-2</v>
      </c>
      <c r="AI8296" s="492">
        <v>0.05</v>
      </c>
      <c r="AJ8296" s="485"/>
    </row>
    <row r="8297" spans="2:36">
      <c r="B8297" s="136" t="s">
        <v>448</v>
      </c>
      <c r="C8297" s="132" t="s">
        <v>1369</v>
      </c>
      <c r="D8297" s="132" t="s">
        <v>1384</v>
      </c>
      <c r="E8297" s="508">
        <v>1.964</v>
      </c>
      <c r="F8297" s="508">
        <v>1.9370000000000001</v>
      </c>
      <c r="G8297" s="508">
        <v>1.9970000000000001</v>
      </c>
      <c r="H8297" s="508">
        <v>1.9810000000000001</v>
      </c>
      <c r="I8297" s="508">
        <v>1.968</v>
      </c>
      <c r="J8297" s="508">
        <v>1.964</v>
      </c>
      <c r="K8297" s="508">
        <v>1.885</v>
      </c>
      <c r="L8297" s="508">
        <v>1.8580000000000001</v>
      </c>
      <c r="M8297" s="508">
        <v>1.8280000000000001</v>
      </c>
      <c r="N8297" s="508">
        <v>1.796</v>
      </c>
      <c r="O8297" s="508">
        <v>1.7649999999999999</v>
      </c>
      <c r="P8297" s="508">
        <v>0.748</v>
      </c>
      <c r="Q8297" s="508">
        <v>0.73199999999999998</v>
      </c>
      <c r="R8297" s="508">
        <v>0.57199999999999995</v>
      </c>
      <c r="S8297" s="508">
        <v>0.53100000000000003</v>
      </c>
      <c r="T8297" s="508">
        <v>0.52200000000000002</v>
      </c>
      <c r="U8297" s="508">
        <v>0.34300000000000003</v>
      </c>
      <c r="V8297" s="508">
        <v>0.245</v>
      </c>
      <c r="W8297" s="508">
        <v>0.19400000000000001</v>
      </c>
      <c r="X8297" s="508">
        <v>0.14000000000000001</v>
      </c>
      <c r="Y8297" s="508">
        <v>0.113</v>
      </c>
      <c r="Z8297" s="508">
        <v>6.8000000000000005E-2</v>
      </c>
      <c r="AA8297" s="508">
        <v>6.5000000000000002E-2</v>
      </c>
      <c r="AB8297" s="508">
        <v>5.8000000000000003E-2</v>
      </c>
      <c r="AC8297" s="508">
        <v>5.6000000000000001E-2</v>
      </c>
      <c r="AD8297" s="508">
        <v>5.0999999999999997E-2</v>
      </c>
      <c r="AE8297" s="508">
        <v>4.8000000000000001E-2</v>
      </c>
      <c r="AF8297" s="508">
        <v>4.2000000000000003E-2</v>
      </c>
      <c r="AG8297" s="508">
        <v>4.2000000000000003E-2</v>
      </c>
      <c r="AH8297" s="508">
        <v>4.1000000000000002E-2</v>
      </c>
      <c r="AI8297" s="492">
        <v>0.04</v>
      </c>
      <c r="AJ8297" s="485"/>
    </row>
    <row r="8298" spans="2:36">
      <c r="B8298" s="136" t="s">
        <v>449</v>
      </c>
      <c r="C8298" s="132" t="s">
        <v>1369</v>
      </c>
      <c r="D8298" s="132" t="s">
        <v>1384</v>
      </c>
      <c r="E8298" s="508">
        <v>2.3889999999999998</v>
      </c>
      <c r="F8298" s="508">
        <v>2.355</v>
      </c>
      <c r="G8298" s="508">
        <v>2.4260000000000002</v>
      </c>
      <c r="H8298" s="508">
        <v>2.4089999999999998</v>
      </c>
      <c r="I8298" s="508">
        <v>2.3929999999999998</v>
      </c>
      <c r="J8298" s="508">
        <v>2.3889999999999998</v>
      </c>
      <c r="K8298" s="508">
        <v>2.3380000000000001</v>
      </c>
      <c r="L8298" s="508">
        <v>2.3050000000000002</v>
      </c>
      <c r="M8298" s="508">
        <v>2.2679999999999998</v>
      </c>
      <c r="N8298" s="508">
        <v>2.2269999999999999</v>
      </c>
      <c r="O8298" s="508">
        <v>2.1890000000000001</v>
      </c>
      <c r="P8298" s="508">
        <v>0.95</v>
      </c>
      <c r="Q8298" s="508">
        <v>0.93</v>
      </c>
      <c r="R8298" s="508">
        <v>0.71699999999999997</v>
      </c>
      <c r="S8298" s="508">
        <v>0.66400000000000003</v>
      </c>
      <c r="T8298" s="508">
        <v>0.65400000000000003</v>
      </c>
      <c r="U8298" s="508">
        <v>0.438</v>
      </c>
      <c r="V8298" s="508">
        <v>0.31</v>
      </c>
      <c r="W8298" s="508">
        <v>0.245</v>
      </c>
      <c r="X8298" s="508">
        <v>0.17699999999999999</v>
      </c>
      <c r="Y8298" s="508">
        <v>0.14199999999999999</v>
      </c>
      <c r="Z8298" s="508">
        <v>8.6999999999999994E-2</v>
      </c>
      <c r="AA8298" s="508">
        <v>8.3000000000000004E-2</v>
      </c>
      <c r="AB8298" s="508">
        <v>7.2999999999999995E-2</v>
      </c>
      <c r="AC8298" s="508">
        <v>7.0999999999999994E-2</v>
      </c>
      <c r="AD8298" s="508">
        <v>6.3E-2</v>
      </c>
      <c r="AE8298" s="508">
        <v>0.06</v>
      </c>
      <c r="AF8298" s="508">
        <v>5.1999999999999998E-2</v>
      </c>
      <c r="AG8298" s="508">
        <v>5.0999999999999997E-2</v>
      </c>
      <c r="AH8298" s="508">
        <v>0.05</v>
      </c>
      <c r="AI8298" s="492">
        <v>4.9000000000000002E-2</v>
      </c>
      <c r="AJ8298" s="485"/>
    </row>
    <row r="8299" spans="2:36">
      <c r="B8299" s="136" t="s">
        <v>450</v>
      </c>
      <c r="C8299" s="132" t="s">
        <v>1369</v>
      </c>
      <c r="D8299" s="132" t="s">
        <v>1384</v>
      </c>
      <c r="E8299" s="508">
        <v>1.641</v>
      </c>
      <c r="F8299" s="508">
        <v>1.6160000000000001</v>
      </c>
      <c r="G8299" s="508">
        <v>1.669</v>
      </c>
      <c r="H8299" s="508">
        <v>1.655</v>
      </c>
      <c r="I8299" s="508">
        <v>1.6439999999999999</v>
      </c>
      <c r="J8299" s="508">
        <v>1.64</v>
      </c>
      <c r="K8299" s="508">
        <v>1.6060000000000001</v>
      </c>
      <c r="L8299" s="508">
        <v>1.5840000000000001</v>
      </c>
      <c r="M8299" s="508">
        <v>1.5589999999999999</v>
      </c>
      <c r="N8299" s="508">
        <v>1.534</v>
      </c>
      <c r="O8299" s="508">
        <v>1.5109999999999999</v>
      </c>
      <c r="P8299" s="508">
        <v>0.622</v>
      </c>
      <c r="Q8299" s="508">
        <v>0.61299999999999999</v>
      </c>
      <c r="R8299" s="508">
        <v>0.50600000000000001</v>
      </c>
      <c r="S8299" s="508">
        <v>0.47499999999999998</v>
      </c>
      <c r="T8299" s="508">
        <v>0.46800000000000003</v>
      </c>
      <c r="U8299" s="508">
        <v>0.30299999999999999</v>
      </c>
      <c r="V8299" s="508">
        <v>0.219</v>
      </c>
      <c r="W8299" s="508">
        <v>0.17599999999999999</v>
      </c>
      <c r="X8299" s="508">
        <v>0.125</v>
      </c>
      <c r="Y8299" s="508">
        <v>0.10199999999999999</v>
      </c>
      <c r="Z8299" s="508">
        <v>0.06</v>
      </c>
      <c r="AA8299" s="508">
        <v>5.7000000000000002E-2</v>
      </c>
      <c r="AB8299" s="508">
        <v>0.05</v>
      </c>
      <c r="AC8299" s="508">
        <v>4.9000000000000002E-2</v>
      </c>
      <c r="AD8299" s="508">
        <v>4.3999999999999997E-2</v>
      </c>
      <c r="AE8299" s="508">
        <v>4.1000000000000002E-2</v>
      </c>
      <c r="AF8299" s="508">
        <v>3.5999999999999997E-2</v>
      </c>
      <c r="AG8299" s="508">
        <v>3.5999999999999997E-2</v>
      </c>
      <c r="AH8299" s="508">
        <v>3.5000000000000003E-2</v>
      </c>
      <c r="AI8299" s="492">
        <v>3.4000000000000002E-2</v>
      </c>
      <c r="AJ8299" s="485"/>
    </row>
    <row r="8300" spans="2:36">
      <c r="B8300" s="136" t="s">
        <v>451</v>
      </c>
      <c r="C8300" s="132" t="s">
        <v>1369</v>
      </c>
      <c r="D8300" s="132" t="s">
        <v>1384</v>
      </c>
      <c r="E8300" s="508">
        <v>1.738</v>
      </c>
      <c r="F8300" s="508">
        <v>1.7130000000000001</v>
      </c>
      <c r="G8300" s="508">
        <v>1.758</v>
      </c>
      <c r="H8300" s="508">
        <v>1.748</v>
      </c>
      <c r="I8300" s="508">
        <v>1.7370000000000001</v>
      </c>
      <c r="J8300" s="508">
        <v>1.734</v>
      </c>
      <c r="K8300" s="508">
        <v>1.7</v>
      </c>
      <c r="L8300" s="508">
        <v>1.679</v>
      </c>
      <c r="M8300" s="508">
        <v>1.653</v>
      </c>
      <c r="N8300" s="508">
        <v>1.6259999999999999</v>
      </c>
      <c r="O8300" s="508">
        <v>1.6</v>
      </c>
      <c r="P8300" s="508">
        <v>0.628</v>
      </c>
      <c r="Q8300" s="508">
        <v>0.61799999999999999</v>
      </c>
      <c r="R8300" s="508">
        <v>0.501</v>
      </c>
      <c r="S8300" s="508">
        <v>0.47</v>
      </c>
      <c r="T8300" s="508">
        <v>0.46300000000000002</v>
      </c>
      <c r="U8300" s="508">
        <v>0.29499999999999998</v>
      </c>
      <c r="V8300" s="508">
        <v>0.214</v>
      </c>
      <c r="W8300" s="508">
        <v>0.17299999999999999</v>
      </c>
      <c r="X8300" s="508">
        <v>0.127</v>
      </c>
      <c r="Y8300" s="508">
        <v>0.104</v>
      </c>
      <c r="Z8300" s="508">
        <v>6.0999999999999999E-2</v>
      </c>
      <c r="AA8300" s="508">
        <v>5.8999999999999997E-2</v>
      </c>
      <c r="AB8300" s="508">
        <v>5.2999999999999999E-2</v>
      </c>
      <c r="AC8300" s="508">
        <v>5.0999999999999997E-2</v>
      </c>
      <c r="AD8300" s="508">
        <v>4.5999999999999999E-2</v>
      </c>
      <c r="AE8300" s="508">
        <v>4.3999999999999997E-2</v>
      </c>
      <c r="AF8300" s="508">
        <v>3.9E-2</v>
      </c>
      <c r="AG8300" s="508">
        <v>3.7999999999999999E-2</v>
      </c>
      <c r="AH8300" s="508">
        <v>3.6999999999999998E-2</v>
      </c>
      <c r="AI8300" s="492">
        <v>3.6999999999999998E-2</v>
      </c>
      <c r="AJ8300" s="485"/>
    </row>
    <row r="8301" spans="2:36">
      <c r="B8301" s="136" t="s">
        <v>452</v>
      </c>
      <c r="C8301" s="132" t="s">
        <v>1369</v>
      </c>
      <c r="D8301" s="132" t="s">
        <v>1384</v>
      </c>
      <c r="E8301" s="508">
        <v>1.7270000000000001</v>
      </c>
      <c r="F8301" s="508">
        <v>1.7010000000000001</v>
      </c>
      <c r="G8301" s="508">
        <v>1.752</v>
      </c>
      <c r="H8301" s="508">
        <v>1.7390000000000001</v>
      </c>
      <c r="I8301" s="508">
        <v>1.7270000000000001</v>
      </c>
      <c r="J8301" s="508">
        <v>1.724</v>
      </c>
      <c r="K8301" s="508">
        <v>1.6879999999999999</v>
      </c>
      <c r="L8301" s="508">
        <v>1.6659999999999999</v>
      </c>
      <c r="M8301" s="508">
        <v>1.641</v>
      </c>
      <c r="N8301" s="508">
        <v>1.615</v>
      </c>
      <c r="O8301" s="508">
        <v>1.59</v>
      </c>
      <c r="P8301" s="508">
        <v>0.64800000000000002</v>
      </c>
      <c r="Q8301" s="508">
        <v>0.64</v>
      </c>
      <c r="R8301" s="508">
        <v>0.52400000000000002</v>
      </c>
      <c r="S8301" s="508">
        <v>0.49299999999999999</v>
      </c>
      <c r="T8301" s="508">
        <v>0.48499999999999999</v>
      </c>
      <c r="U8301" s="508">
        <v>0.314</v>
      </c>
      <c r="V8301" s="508">
        <v>0.224</v>
      </c>
      <c r="W8301" s="508">
        <v>0.17899999999999999</v>
      </c>
      <c r="X8301" s="508">
        <v>0.13</v>
      </c>
      <c r="Y8301" s="508">
        <v>0.106</v>
      </c>
      <c r="Z8301" s="508">
        <v>6.2E-2</v>
      </c>
      <c r="AA8301" s="508">
        <v>0.06</v>
      </c>
      <c r="AB8301" s="508">
        <v>5.2999999999999999E-2</v>
      </c>
      <c r="AC8301" s="508">
        <v>5.0999999999999997E-2</v>
      </c>
      <c r="AD8301" s="508">
        <v>4.5999999999999999E-2</v>
      </c>
      <c r="AE8301" s="508">
        <v>4.3999999999999997E-2</v>
      </c>
      <c r="AF8301" s="508">
        <v>3.7999999999999999E-2</v>
      </c>
      <c r="AG8301" s="508">
        <v>3.7999999999999999E-2</v>
      </c>
      <c r="AH8301" s="508">
        <v>3.6999999999999998E-2</v>
      </c>
      <c r="AI8301" s="492">
        <v>3.5999999999999997E-2</v>
      </c>
      <c r="AJ8301" s="485"/>
    </row>
    <row r="8302" spans="2:36">
      <c r="B8302" s="136" t="s">
        <v>453</v>
      </c>
      <c r="C8302" s="132" t="s">
        <v>1369</v>
      </c>
      <c r="D8302" s="132" t="s">
        <v>1384</v>
      </c>
      <c r="E8302" s="508">
        <v>1.607</v>
      </c>
      <c r="F8302" s="508">
        <v>1.5820000000000001</v>
      </c>
      <c r="G8302" s="508">
        <v>1.6319999999999999</v>
      </c>
      <c r="H8302" s="508">
        <v>1.6180000000000001</v>
      </c>
      <c r="I8302" s="508">
        <v>1.607</v>
      </c>
      <c r="J8302" s="508">
        <v>1.6040000000000001</v>
      </c>
      <c r="K8302" s="508">
        <v>1.571</v>
      </c>
      <c r="L8302" s="508">
        <v>1.55</v>
      </c>
      <c r="M8302" s="508">
        <v>1.526</v>
      </c>
      <c r="N8302" s="508">
        <v>1.5009999999999999</v>
      </c>
      <c r="O8302" s="508">
        <v>1.4770000000000001</v>
      </c>
      <c r="P8302" s="508">
        <v>0.59699999999999998</v>
      </c>
      <c r="Q8302" s="508">
        <v>0.58899999999999997</v>
      </c>
      <c r="R8302" s="508">
        <v>0.48399999999999999</v>
      </c>
      <c r="S8302" s="508">
        <v>0.45400000000000001</v>
      </c>
      <c r="T8302" s="508">
        <v>0.44700000000000001</v>
      </c>
      <c r="U8302" s="508">
        <v>0.28799999999999998</v>
      </c>
      <c r="V8302" s="508">
        <v>0.20699999999999999</v>
      </c>
      <c r="W8302" s="508">
        <v>0.16600000000000001</v>
      </c>
      <c r="X8302" s="508">
        <v>0.121</v>
      </c>
      <c r="Y8302" s="508">
        <v>9.9000000000000005E-2</v>
      </c>
      <c r="Z8302" s="508">
        <v>5.8000000000000003E-2</v>
      </c>
      <c r="AA8302" s="508">
        <v>5.6000000000000001E-2</v>
      </c>
      <c r="AB8302" s="508">
        <v>4.9000000000000002E-2</v>
      </c>
      <c r="AC8302" s="508">
        <v>4.8000000000000001E-2</v>
      </c>
      <c r="AD8302" s="508">
        <v>4.2999999999999997E-2</v>
      </c>
      <c r="AE8302" s="508">
        <v>4.1000000000000002E-2</v>
      </c>
      <c r="AF8302" s="508">
        <v>3.5999999999999997E-2</v>
      </c>
      <c r="AG8302" s="508">
        <v>3.5000000000000003E-2</v>
      </c>
      <c r="AH8302" s="508">
        <v>3.4000000000000002E-2</v>
      </c>
      <c r="AI8302" s="492">
        <v>3.4000000000000002E-2</v>
      </c>
      <c r="AJ8302" s="485"/>
    </row>
    <row r="8303" spans="2:36">
      <c r="B8303" s="136" t="s">
        <v>454</v>
      </c>
      <c r="C8303" s="132" t="s">
        <v>1369</v>
      </c>
      <c r="D8303" s="132" t="s">
        <v>1384</v>
      </c>
      <c r="E8303" s="508">
        <v>1.796</v>
      </c>
      <c r="F8303" s="508">
        <v>1.7709999999999999</v>
      </c>
      <c r="G8303" s="508">
        <v>1.8260000000000001</v>
      </c>
      <c r="H8303" s="508">
        <v>1.8120000000000001</v>
      </c>
      <c r="I8303" s="508">
        <v>1.8</v>
      </c>
      <c r="J8303" s="508">
        <v>1.796</v>
      </c>
      <c r="K8303" s="508">
        <v>1.7589999999999999</v>
      </c>
      <c r="L8303" s="508">
        <v>1.7350000000000001</v>
      </c>
      <c r="M8303" s="508">
        <v>1.706</v>
      </c>
      <c r="N8303" s="508">
        <v>1.677</v>
      </c>
      <c r="O8303" s="508">
        <v>1.649</v>
      </c>
      <c r="P8303" s="508">
        <v>0.68300000000000005</v>
      </c>
      <c r="Q8303" s="508">
        <v>0.67100000000000004</v>
      </c>
      <c r="R8303" s="508">
        <v>0.53800000000000003</v>
      </c>
      <c r="S8303" s="508">
        <v>0.502</v>
      </c>
      <c r="T8303" s="508">
        <v>0.49399999999999999</v>
      </c>
      <c r="U8303" s="508">
        <v>0.32200000000000001</v>
      </c>
      <c r="V8303" s="508">
        <v>0.23200000000000001</v>
      </c>
      <c r="W8303" s="508">
        <v>0.186</v>
      </c>
      <c r="X8303" s="508">
        <v>0.13500000000000001</v>
      </c>
      <c r="Y8303" s="508">
        <v>0.11</v>
      </c>
      <c r="Z8303" s="508">
        <v>6.6000000000000003E-2</v>
      </c>
      <c r="AA8303" s="508">
        <v>6.3E-2</v>
      </c>
      <c r="AB8303" s="508">
        <v>5.5E-2</v>
      </c>
      <c r="AC8303" s="508">
        <v>5.3999999999999999E-2</v>
      </c>
      <c r="AD8303" s="508">
        <v>4.8000000000000001E-2</v>
      </c>
      <c r="AE8303" s="508">
        <v>4.4999999999999998E-2</v>
      </c>
      <c r="AF8303" s="508">
        <v>3.9E-2</v>
      </c>
      <c r="AG8303" s="508">
        <v>3.9E-2</v>
      </c>
      <c r="AH8303" s="508">
        <v>3.7999999999999999E-2</v>
      </c>
      <c r="AI8303" s="492">
        <v>3.6999999999999998E-2</v>
      </c>
      <c r="AJ8303" s="485"/>
    </row>
    <row r="8304" spans="2:36">
      <c r="B8304" s="136" t="s">
        <v>455</v>
      </c>
      <c r="C8304" s="132" t="s">
        <v>1369</v>
      </c>
      <c r="D8304" s="132" t="s">
        <v>1384</v>
      </c>
      <c r="E8304" s="508">
        <v>1.7689999999999999</v>
      </c>
      <c r="F8304" s="508">
        <v>1.742</v>
      </c>
      <c r="G8304" s="508">
        <v>1.798</v>
      </c>
      <c r="H8304" s="508">
        <v>1.782</v>
      </c>
      <c r="I8304" s="508">
        <v>1.7709999999999999</v>
      </c>
      <c r="J8304" s="508">
        <v>1.7669999999999999</v>
      </c>
      <c r="K8304" s="508">
        <v>1.73</v>
      </c>
      <c r="L8304" s="508">
        <v>1.706</v>
      </c>
      <c r="M8304" s="508">
        <v>1.6779999999999999</v>
      </c>
      <c r="N8304" s="508">
        <v>1.649</v>
      </c>
      <c r="O8304" s="508">
        <v>1.621</v>
      </c>
      <c r="P8304" s="508">
        <v>0.67700000000000005</v>
      </c>
      <c r="Q8304" s="508">
        <v>0.66600000000000004</v>
      </c>
      <c r="R8304" s="508">
        <v>0.53500000000000003</v>
      </c>
      <c r="S8304" s="508">
        <v>0.5</v>
      </c>
      <c r="T8304" s="508">
        <v>0.49199999999999999</v>
      </c>
      <c r="U8304" s="508">
        <v>0.32</v>
      </c>
      <c r="V8304" s="508">
        <v>0.22900000000000001</v>
      </c>
      <c r="W8304" s="508">
        <v>0.183</v>
      </c>
      <c r="X8304" s="508">
        <v>0.13400000000000001</v>
      </c>
      <c r="Y8304" s="508">
        <v>0.108</v>
      </c>
      <c r="Z8304" s="508">
        <v>6.5000000000000002E-2</v>
      </c>
      <c r="AA8304" s="508">
        <v>6.2E-2</v>
      </c>
      <c r="AB8304" s="508">
        <v>5.5E-2</v>
      </c>
      <c r="AC8304" s="508">
        <v>5.2999999999999999E-2</v>
      </c>
      <c r="AD8304" s="508">
        <v>4.7E-2</v>
      </c>
      <c r="AE8304" s="508">
        <v>4.4999999999999998E-2</v>
      </c>
      <c r="AF8304" s="508">
        <v>3.9E-2</v>
      </c>
      <c r="AG8304" s="508">
        <v>3.7999999999999999E-2</v>
      </c>
      <c r="AH8304" s="508">
        <v>3.7999999999999999E-2</v>
      </c>
      <c r="AI8304" s="492">
        <v>3.6999999999999998E-2</v>
      </c>
      <c r="AJ8304" s="485"/>
    </row>
    <row r="8305" spans="2:36">
      <c r="B8305" s="136" t="s">
        <v>456</v>
      </c>
      <c r="C8305" s="132" t="s">
        <v>1369</v>
      </c>
      <c r="D8305" s="132" t="s">
        <v>1384</v>
      </c>
      <c r="E8305" s="508">
        <v>2.198</v>
      </c>
      <c r="F8305" s="508">
        <v>2.1669999999999998</v>
      </c>
      <c r="G8305" s="508">
        <v>2.2360000000000002</v>
      </c>
      <c r="H8305" s="508">
        <v>2.2189999999999999</v>
      </c>
      <c r="I8305" s="508">
        <v>2.2040000000000002</v>
      </c>
      <c r="J8305" s="508">
        <v>2.2000000000000002</v>
      </c>
      <c r="K8305" s="508">
        <v>2.153</v>
      </c>
      <c r="L8305" s="508">
        <v>2.1219999999999999</v>
      </c>
      <c r="M8305" s="508">
        <v>2.0870000000000002</v>
      </c>
      <c r="N8305" s="508">
        <v>2.0499999999999998</v>
      </c>
      <c r="O8305" s="508">
        <v>2.0150000000000001</v>
      </c>
      <c r="P8305" s="508">
        <v>0.871</v>
      </c>
      <c r="Q8305" s="508">
        <v>0.85199999999999998</v>
      </c>
      <c r="R8305" s="508">
        <v>0.66400000000000003</v>
      </c>
      <c r="S8305" s="508">
        <v>0.61499999999999999</v>
      </c>
      <c r="T8305" s="508">
        <v>0.60499999999999998</v>
      </c>
      <c r="U8305" s="508">
        <v>0.40400000000000003</v>
      </c>
      <c r="V8305" s="508">
        <v>0.28799999999999998</v>
      </c>
      <c r="W8305" s="508">
        <v>0.22900000000000001</v>
      </c>
      <c r="X8305" s="508">
        <v>0.16400000000000001</v>
      </c>
      <c r="Y8305" s="508">
        <v>0.13200000000000001</v>
      </c>
      <c r="Z8305" s="508">
        <v>8.1000000000000003E-2</v>
      </c>
      <c r="AA8305" s="508">
        <v>7.6999999999999999E-2</v>
      </c>
      <c r="AB8305" s="508">
        <v>6.8000000000000005E-2</v>
      </c>
      <c r="AC8305" s="508">
        <v>6.5000000000000002E-2</v>
      </c>
      <c r="AD8305" s="508">
        <v>5.8000000000000003E-2</v>
      </c>
      <c r="AE8305" s="508">
        <v>5.5E-2</v>
      </c>
      <c r="AF8305" s="508">
        <v>4.7E-2</v>
      </c>
      <c r="AG8305" s="508">
        <v>4.7E-2</v>
      </c>
      <c r="AH8305" s="508">
        <v>4.5999999999999999E-2</v>
      </c>
      <c r="AI8305" s="492">
        <v>4.4999999999999998E-2</v>
      </c>
      <c r="AJ8305" s="485"/>
    </row>
    <row r="8306" spans="2:36">
      <c r="B8306" s="136" t="s">
        <v>457</v>
      </c>
      <c r="C8306" s="132" t="s">
        <v>1369</v>
      </c>
      <c r="D8306" s="132" t="s">
        <v>1384</v>
      </c>
      <c r="E8306" s="508">
        <v>1.4</v>
      </c>
      <c r="F8306" s="508">
        <v>1.377</v>
      </c>
      <c r="G8306" s="508">
        <v>1.419</v>
      </c>
      <c r="H8306" s="508">
        <v>1.4059999999999999</v>
      </c>
      <c r="I8306" s="508">
        <v>1.397</v>
      </c>
      <c r="J8306" s="508">
        <v>1.395</v>
      </c>
      <c r="K8306" s="508">
        <v>1.3660000000000001</v>
      </c>
      <c r="L8306" s="508">
        <v>1.349</v>
      </c>
      <c r="M8306" s="508">
        <v>1.3280000000000001</v>
      </c>
      <c r="N8306" s="508">
        <v>1.306</v>
      </c>
      <c r="O8306" s="508">
        <v>1.284</v>
      </c>
      <c r="P8306" s="508">
        <v>0.50900000000000001</v>
      </c>
      <c r="Q8306" s="508">
        <v>0.503</v>
      </c>
      <c r="R8306" s="508">
        <v>0.41799999999999998</v>
      </c>
      <c r="S8306" s="508">
        <v>0.39400000000000002</v>
      </c>
      <c r="T8306" s="508">
        <v>0.38700000000000001</v>
      </c>
      <c r="U8306" s="508">
        <v>0.24399999999999999</v>
      </c>
      <c r="V8306" s="508">
        <v>0.17699999999999999</v>
      </c>
      <c r="W8306" s="508">
        <v>0.14299999999999999</v>
      </c>
      <c r="X8306" s="508">
        <v>0.106</v>
      </c>
      <c r="Y8306" s="508">
        <v>8.6999999999999994E-2</v>
      </c>
      <c r="Z8306" s="508">
        <v>0.05</v>
      </c>
      <c r="AA8306" s="508">
        <v>4.9000000000000002E-2</v>
      </c>
      <c r="AB8306" s="508">
        <v>4.2999999999999997E-2</v>
      </c>
      <c r="AC8306" s="508">
        <v>4.2000000000000003E-2</v>
      </c>
      <c r="AD8306" s="508">
        <v>3.7999999999999999E-2</v>
      </c>
      <c r="AE8306" s="508">
        <v>3.5999999999999997E-2</v>
      </c>
      <c r="AF8306" s="508">
        <v>3.2000000000000001E-2</v>
      </c>
      <c r="AG8306" s="508">
        <v>3.1E-2</v>
      </c>
      <c r="AH8306" s="508">
        <v>3.1E-2</v>
      </c>
      <c r="AI8306" s="492">
        <v>0.03</v>
      </c>
      <c r="AJ8306" s="485"/>
    </row>
    <row r="8307" spans="2:36">
      <c r="B8307" s="136" t="s">
        <v>458</v>
      </c>
      <c r="C8307" s="132" t="s">
        <v>1369</v>
      </c>
      <c r="D8307" s="132" t="s">
        <v>1384</v>
      </c>
      <c r="E8307" s="508">
        <v>1.6679999999999999</v>
      </c>
      <c r="F8307" s="508">
        <v>1.6439999999999999</v>
      </c>
      <c r="G8307" s="508">
        <v>1.6879999999999999</v>
      </c>
      <c r="H8307" s="508">
        <v>1.6759999999999999</v>
      </c>
      <c r="I8307" s="508">
        <v>1.6659999999999999</v>
      </c>
      <c r="J8307" s="508">
        <v>1.663</v>
      </c>
      <c r="K8307" s="508">
        <v>1.631</v>
      </c>
      <c r="L8307" s="508">
        <v>1.609</v>
      </c>
      <c r="M8307" s="508">
        <v>1.5840000000000001</v>
      </c>
      <c r="N8307" s="508">
        <v>1.556</v>
      </c>
      <c r="O8307" s="508">
        <v>1.5289999999999999</v>
      </c>
      <c r="P8307" s="508">
        <v>0.63200000000000001</v>
      </c>
      <c r="Q8307" s="508">
        <v>0.61899999999999999</v>
      </c>
      <c r="R8307" s="508">
        <v>0.48799999999999999</v>
      </c>
      <c r="S8307" s="508">
        <v>0.45400000000000001</v>
      </c>
      <c r="T8307" s="508">
        <v>0.44700000000000001</v>
      </c>
      <c r="U8307" s="508">
        <v>0.28599999999999998</v>
      </c>
      <c r="V8307" s="508">
        <v>0.20799999999999999</v>
      </c>
      <c r="W8307" s="508">
        <v>0.16800000000000001</v>
      </c>
      <c r="X8307" s="508">
        <v>0.124</v>
      </c>
      <c r="Y8307" s="508">
        <v>0.10199999999999999</v>
      </c>
      <c r="Z8307" s="508">
        <v>6.0999999999999999E-2</v>
      </c>
      <c r="AA8307" s="508">
        <v>5.8999999999999997E-2</v>
      </c>
      <c r="AB8307" s="508">
        <v>5.1999999999999998E-2</v>
      </c>
      <c r="AC8307" s="508">
        <v>5.0999999999999997E-2</v>
      </c>
      <c r="AD8307" s="508">
        <v>4.4999999999999998E-2</v>
      </c>
      <c r="AE8307" s="508">
        <v>4.2999999999999997E-2</v>
      </c>
      <c r="AF8307" s="508">
        <v>3.7999999999999999E-2</v>
      </c>
      <c r="AG8307" s="508">
        <v>3.7999999999999999E-2</v>
      </c>
      <c r="AH8307" s="508">
        <v>3.6999999999999998E-2</v>
      </c>
      <c r="AI8307" s="492">
        <v>3.6999999999999998E-2</v>
      </c>
      <c r="AJ8307" s="485"/>
    </row>
    <row r="8308" spans="2:36">
      <c r="B8308" s="136" t="s">
        <v>459</v>
      </c>
      <c r="C8308" s="132" t="s">
        <v>1369</v>
      </c>
      <c r="D8308" s="132" t="s">
        <v>1384</v>
      </c>
      <c r="E8308" s="508">
        <v>1.4950000000000001</v>
      </c>
      <c r="F8308" s="508">
        <v>1.474</v>
      </c>
      <c r="G8308" s="508">
        <v>1.512</v>
      </c>
      <c r="H8308" s="508">
        <v>1.5009999999999999</v>
      </c>
      <c r="I8308" s="508">
        <v>1.492</v>
      </c>
      <c r="J8308" s="508">
        <v>1.49</v>
      </c>
      <c r="K8308" s="508">
        <v>1.462</v>
      </c>
      <c r="L8308" s="508">
        <v>1.4430000000000001</v>
      </c>
      <c r="M8308" s="508">
        <v>1.421</v>
      </c>
      <c r="N8308" s="508">
        <v>1.3959999999999999</v>
      </c>
      <c r="O8308" s="508">
        <v>1.373</v>
      </c>
      <c r="P8308" s="508">
        <v>0.54700000000000004</v>
      </c>
      <c r="Q8308" s="508">
        <v>0.53600000000000003</v>
      </c>
      <c r="R8308" s="508">
        <v>0.43099999999999999</v>
      </c>
      <c r="S8308" s="508">
        <v>0.40300000000000002</v>
      </c>
      <c r="T8308" s="508">
        <v>0.39600000000000002</v>
      </c>
      <c r="U8308" s="508">
        <v>0.249</v>
      </c>
      <c r="V8308" s="508">
        <v>0.183</v>
      </c>
      <c r="W8308" s="508">
        <v>0.14899999999999999</v>
      </c>
      <c r="X8308" s="508">
        <v>0.109</v>
      </c>
      <c r="Y8308" s="508">
        <v>0.09</v>
      </c>
      <c r="Z8308" s="508">
        <v>5.2999999999999999E-2</v>
      </c>
      <c r="AA8308" s="508">
        <v>5.0999999999999997E-2</v>
      </c>
      <c r="AB8308" s="508">
        <v>4.5999999999999999E-2</v>
      </c>
      <c r="AC8308" s="508">
        <v>4.3999999999999997E-2</v>
      </c>
      <c r="AD8308" s="508">
        <v>4.2000000000000003E-2</v>
      </c>
      <c r="AE8308" s="508">
        <v>0.04</v>
      </c>
      <c r="AF8308" s="508">
        <v>3.5000000000000003E-2</v>
      </c>
      <c r="AG8308" s="508">
        <v>3.5000000000000003E-2</v>
      </c>
      <c r="AH8308" s="508">
        <v>3.4000000000000002E-2</v>
      </c>
      <c r="AI8308" s="492">
        <v>3.3000000000000002E-2</v>
      </c>
      <c r="AJ8308" s="485"/>
    </row>
    <row r="8309" spans="2:36">
      <c r="B8309" s="136" t="s">
        <v>460</v>
      </c>
      <c r="C8309" s="132" t="s">
        <v>1369</v>
      </c>
      <c r="D8309" s="132" t="s">
        <v>1384</v>
      </c>
      <c r="E8309" s="508">
        <v>1.6020000000000001</v>
      </c>
      <c r="F8309" s="508">
        <v>1.577</v>
      </c>
      <c r="G8309" s="508">
        <v>1.623</v>
      </c>
      <c r="H8309" s="508">
        <v>1.611</v>
      </c>
      <c r="I8309" s="508">
        <v>1.6</v>
      </c>
      <c r="J8309" s="508">
        <v>1.597</v>
      </c>
      <c r="K8309" s="508">
        <v>1.5649999999999999</v>
      </c>
      <c r="L8309" s="508">
        <v>1.5449999999999999</v>
      </c>
      <c r="M8309" s="508">
        <v>1.522</v>
      </c>
      <c r="N8309" s="508">
        <v>1.4970000000000001</v>
      </c>
      <c r="O8309" s="508">
        <v>1.4730000000000001</v>
      </c>
      <c r="P8309" s="508">
        <v>0.58799999999999997</v>
      </c>
      <c r="Q8309" s="508">
        <v>0.58199999999999996</v>
      </c>
      <c r="R8309" s="508">
        <v>0.48099999999999998</v>
      </c>
      <c r="S8309" s="508">
        <v>0.45300000000000001</v>
      </c>
      <c r="T8309" s="508">
        <v>0.44500000000000001</v>
      </c>
      <c r="U8309" s="508">
        <v>0.28399999999999997</v>
      </c>
      <c r="V8309" s="508">
        <v>0.20499999999999999</v>
      </c>
      <c r="W8309" s="508">
        <v>0.16400000000000001</v>
      </c>
      <c r="X8309" s="508">
        <v>0.121</v>
      </c>
      <c r="Y8309" s="508">
        <v>9.9000000000000005E-2</v>
      </c>
      <c r="Z8309" s="508">
        <v>5.7000000000000002E-2</v>
      </c>
      <c r="AA8309" s="508">
        <v>5.5E-2</v>
      </c>
      <c r="AB8309" s="508">
        <v>4.9000000000000002E-2</v>
      </c>
      <c r="AC8309" s="508">
        <v>4.8000000000000001E-2</v>
      </c>
      <c r="AD8309" s="508">
        <v>4.2999999999999997E-2</v>
      </c>
      <c r="AE8309" s="508">
        <v>4.1000000000000002E-2</v>
      </c>
      <c r="AF8309" s="508">
        <v>3.5999999999999997E-2</v>
      </c>
      <c r="AG8309" s="508">
        <v>3.5000000000000003E-2</v>
      </c>
      <c r="AH8309" s="508">
        <v>3.5000000000000003E-2</v>
      </c>
      <c r="AI8309" s="492">
        <v>3.4000000000000002E-2</v>
      </c>
      <c r="AJ8309" s="485"/>
    </row>
    <row r="8310" spans="2:36">
      <c r="B8310" s="136" t="s">
        <v>461</v>
      </c>
      <c r="C8310" s="132" t="s">
        <v>1369</v>
      </c>
      <c r="D8310" s="132" t="s">
        <v>1384</v>
      </c>
      <c r="E8310" s="508">
        <v>1.5489999999999999</v>
      </c>
      <c r="F8310" s="508">
        <v>1.5229999999999999</v>
      </c>
      <c r="G8310" s="508">
        <v>1.571</v>
      </c>
      <c r="H8310" s="508">
        <v>1.5580000000000001</v>
      </c>
      <c r="I8310" s="508">
        <v>1.5469999999999999</v>
      </c>
      <c r="J8310" s="508">
        <v>1.544</v>
      </c>
      <c r="K8310" s="508">
        <v>1.512</v>
      </c>
      <c r="L8310" s="508">
        <v>1.492</v>
      </c>
      <c r="M8310" s="508">
        <v>1.47</v>
      </c>
      <c r="N8310" s="508">
        <v>1.4470000000000001</v>
      </c>
      <c r="O8310" s="508">
        <v>1.425</v>
      </c>
      <c r="P8310" s="508">
        <v>0.57599999999999996</v>
      </c>
      <c r="Q8310" s="508">
        <v>0.57099999999999995</v>
      </c>
      <c r="R8310" s="508">
        <v>0.47699999999999998</v>
      </c>
      <c r="S8310" s="508">
        <v>0.45100000000000001</v>
      </c>
      <c r="T8310" s="508">
        <v>0.44400000000000001</v>
      </c>
      <c r="U8310" s="508">
        <v>0.28399999999999997</v>
      </c>
      <c r="V8310" s="508">
        <v>0.20300000000000001</v>
      </c>
      <c r="W8310" s="508">
        <v>0.161</v>
      </c>
      <c r="X8310" s="508">
        <v>0.11799999999999999</v>
      </c>
      <c r="Y8310" s="508">
        <v>9.6000000000000002E-2</v>
      </c>
      <c r="Z8310" s="508">
        <v>5.5E-2</v>
      </c>
      <c r="AA8310" s="508">
        <v>5.2999999999999999E-2</v>
      </c>
      <c r="AB8310" s="508">
        <v>4.7E-2</v>
      </c>
      <c r="AC8310" s="508">
        <v>4.5999999999999999E-2</v>
      </c>
      <c r="AD8310" s="508">
        <v>4.1000000000000002E-2</v>
      </c>
      <c r="AE8310" s="508">
        <v>3.9E-2</v>
      </c>
      <c r="AF8310" s="508">
        <v>3.5000000000000003E-2</v>
      </c>
      <c r="AG8310" s="508">
        <v>3.4000000000000002E-2</v>
      </c>
      <c r="AH8310" s="508">
        <v>3.3000000000000002E-2</v>
      </c>
      <c r="AI8310" s="492">
        <v>3.3000000000000002E-2</v>
      </c>
      <c r="AJ8310" s="485"/>
    </row>
    <row r="8311" spans="2:36">
      <c r="B8311" s="136" t="s">
        <v>462</v>
      </c>
      <c r="C8311" s="132" t="s">
        <v>1369</v>
      </c>
      <c r="D8311" s="132" t="s">
        <v>1384</v>
      </c>
      <c r="E8311" s="508">
        <v>2.0680000000000001</v>
      </c>
      <c r="F8311" s="508">
        <v>2.0379999999999998</v>
      </c>
      <c r="G8311" s="508">
        <v>2.105</v>
      </c>
      <c r="H8311" s="508">
        <v>2.0880000000000001</v>
      </c>
      <c r="I8311" s="508">
        <v>2.0739999999999998</v>
      </c>
      <c r="J8311" s="508">
        <v>2.0699999999999998</v>
      </c>
      <c r="K8311" s="508">
        <v>2.0249999999999999</v>
      </c>
      <c r="L8311" s="508">
        <v>1.996</v>
      </c>
      <c r="M8311" s="508">
        <v>1.9630000000000001</v>
      </c>
      <c r="N8311" s="508">
        <v>1.929</v>
      </c>
      <c r="O8311" s="508">
        <v>1.8959999999999999</v>
      </c>
      <c r="P8311" s="508">
        <v>0.81499999999999995</v>
      </c>
      <c r="Q8311" s="508">
        <v>0.79900000000000004</v>
      </c>
      <c r="R8311" s="508">
        <v>0.63200000000000001</v>
      </c>
      <c r="S8311" s="508">
        <v>0.58699999999999997</v>
      </c>
      <c r="T8311" s="508">
        <v>0.57799999999999996</v>
      </c>
      <c r="U8311" s="508">
        <v>0.38500000000000001</v>
      </c>
      <c r="V8311" s="508">
        <v>0.27400000000000002</v>
      </c>
      <c r="W8311" s="508">
        <v>0.218</v>
      </c>
      <c r="X8311" s="508">
        <v>0.156</v>
      </c>
      <c r="Y8311" s="508">
        <v>0.126</v>
      </c>
      <c r="Z8311" s="508">
        <v>7.5999999999999998E-2</v>
      </c>
      <c r="AA8311" s="508">
        <v>7.2999999999999995E-2</v>
      </c>
      <c r="AB8311" s="508">
        <v>6.4000000000000001E-2</v>
      </c>
      <c r="AC8311" s="508">
        <v>6.0999999999999999E-2</v>
      </c>
      <c r="AD8311" s="508">
        <v>5.3999999999999999E-2</v>
      </c>
      <c r="AE8311" s="508">
        <v>5.0999999999999997E-2</v>
      </c>
      <c r="AF8311" s="508">
        <v>4.3999999999999997E-2</v>
      </c>
      <c r="AG8311" s="508">
        <v>4.3999999999999997E-2</v>
      </c>
      <c r="AH8311" s="508">
        <v>4.2999999999999997E-2</v>
      </c>
      <c r="AI8311" s="492">
        <v>4.2000000000000003E-2</v>
      </c>
      <c r="AJ8311" s="485"/>
    </row>
    <row r="8312" spans="2:36">
      <c r="B8312" s="136" t="s">
        <v>463</v>
      </c>
      <c r="C8312" s="132" t="s">
        <v>1369</v>
      </c>
      <c r="D8312" s="132" t="s">
        <v>1384</v>
      </c>
      <c r="E8312" s="508">
        <v>1.726</v>
      </c>
      <c r="F8312" s="508">
        <v>1.7010000000000001</v>
      </c>
      <c r="G8312" s="508">
        <v>1.7529999999999999</v>
      </c>
      <c r="H8312" s="508">
        <v>1.738</v>
      </c>
      <c r="I8312" s="508">
        <v>1.728</v>
      </c>
      <c r="J8312" s="508">
        <v>1.724</v>
      </c>
      <c r="K8312" s="508">
        <v>1.6890000000000001</v>
      </c>
      <c r="L8312" s="508">
        <v>1.665</v>
      </c>
      <c r="M8312" s="508">
        <v>1.6379999999999999</v>
      </c>
      <c r="N8312" s="508">
        <v>1.6080000000000001</v>
      </c>
      <c r="O8312" s="508">
        <v>1.58</v>
      </c>
      <c r="P8312" s="508">
        <v>0.65400000000000003</v>
      </c>
      <c r="Q8312" s="508">
        <v>0.64200000000000002</v>
      </c>
      <c r="R8312" s="508">
        <v>0.51100000000000001</v>
      </c>
      <c r="S8312" s="508">
        <v>0.47599999999999998</v>
      </c>
      <c r="T8312" s="508">
        <v>0.46800000000000003</v>
      </c>
      <c r="U8312" s="508">
        <v>0.30299999999999999</v>
      </c>
      <c r="V8312" s="508">
        <v>0.219</v>
      </c>
      <c r="W8312" s="508">
        <v>0.17499999999999999</v>
      </c>
      <c r="X8312" s="508">
        <v>0.128</v>
      </c>
      <c r="Y8312" s="508">
        <v>0.105</v>
      </c>
      <c r="Z8312" s="508">
        <v>6.3E-2</v>
      </c>
      <c r="AA8312" s="508">
        <v>0.06</v>
      </c>
      <c r="AB8312" s="508">
        <v>5.2999999999999999E-2</v>
      </c>
      <c r="AC8312" s="508">
        <v>5.0999999999999997E-2</v>
      </c>
      <c r="AD8312" s="508">
        <v>4.5999999999999999E-2</v>
      </c>
      <c r="AE8312" s="508">
        <v>4.3999999999999997E-2</v>
      </c>
      <c r="AF8312" s="508">
        <v>3.7999999999999999E-2</v>
      </c>
      <c r="AG8312" s="508">
        <v>3.7999999999999999E-2</v>
      </c>
      <c r="AH8312" s="508">
        <v>3.6999999999999998E-2</v>
      </c>
      <c r="AI8312" s="492">
        <v>3.5999999999999997E-2</v>
      </c>
      <c r="AJ8312" s="485"/>
    </row>
    <row r="8313" spans="2:36">
      <c r="B8313" s="136" t="s">
        <v>464</v>
      </c>
      <c r="C8313" s="132" t="s">
        <v>1369</v>
      </c>
      <c r="D8313" s="132" t="s">
        <v>1384</v>
      </c>
      <c r="E8313" s="508">
        <v>1.5109999999999999</v>
      </c>
      <c r="F8313" s="508">
        <v>1.488</v>
      </c>
      <c r="G8313" s="508">
        <v>1.538</v>
      </c>
      <c r="H8313" s="508">
        <v>1.524</v>
      </c>
      <c r="I8313" s="508">
        <v>1.5129999999999999</v>
      </c>
      <c r="J8313" s="508">
        <v>1.51</v>
      </c>
      <c r="K8313" s="508">
        <v>1.478</v>
      </c>
      <c r="L8313" s="508">
        <v>1.458</v>
      </c>
      <c r="M8313" s="508">
        <v>1.4350000000000001</v>
      </c>
      <c r="N8313" s="508">
        <v>1.4119999999999999</v>
      </c>
      <c r="O8313" s="508">
        <v>1.39</v>
      </c>
      <c r="P8313" s="508">
        <v>0.56499999999999995</v>
      </c>
      <c r="Q8313" s="508">
        <v>0.55700000000000005</v>
      </c>
      <c r="R8313" s="508">
        <v>0.46600000000000003</v>
      </c>
      <c r="S8313" s="508">
        <v>0.439</v>
      </c>
      <c r="T8313" s="508">
        <v>0.432</v>
      </c>
      <c r="U8313" s="508">
        <v>0.27800000000000002</v>
      </c>
      <c r="V8313" s="508">
        <v>0.20100000000000001</v>
      </c>
      <c r="W8313" s="508">
        <v>0.161</v>
      </c>
      <c r="X8313" s="508">
        <v>0.11700000000000001</v>
      </c>
      <c r="Y8313" s="508">
        <v>9.5000000000000001E-2</v>
      </c>
      <c r="Z8313" s="508">
        <v>5.6000000000000001E-2</v>
      </c>
      <c r="AA8313" s="508">
        <v>5.2999999999999999E-2</v>
      </c>
      <c r="AB8313" s="508">
        <v>4.7E-2</v>
      </c>
      <c r="AC8313" s="508">
        <v>4.4999999999999998E-2</v>
      </c>
      <c r="AD8313" s="508">
        <v>4.1000000000000002E-2</v>
      </c>
      <c r="AE8313" s="508">
        <v>3.7999999999999999E-2</v>
      </c>
      <c r="AF8313" s="508">
        <v>3.3000000000000002E-2</v>
      </c>
      <c r="AG8313" s="508">
        <v>3.3000000000000002E-2</v>
      </c>
      <c r="AH8313" s="508">
        <v>3.2000000000000001E-2</v>
      </c>
      <c r="AI8313" s="492">
        <v>3.2000000000000001E-2</v>
      </c>
      <c r="AJ8313" s="485"/>
    </row>
    <row r="8314" spans="2:36">
      <c r="B8314" s="136" t="s">
        <v>465</v>
      </c>
      <c r="C8314" s="132" t="s">
        <v>1369</v>
      </c>
      <c r="D8314" s="132" t="s">
        <v>1384</v>
      </c>
      <c r="E8314" s="508">
        <v>1.6759999999999999</v>
      </c>
      <c r="F8314" s="508">
        <v>1.651</v>
      </c>
      <c r="G8314" s="508">
        <v>1.704</v>
      </c>
      <c r="H8314" s="508">
        <v>1.6890000000000001</v>
      </c>
      <c r="I8314" s="508">
        <v>1.6779999999999999</v>
      </c>
      <c r="J8314" s="508">
        <v>1.675</v>
      </c>
      <c r="K8314" s="508">
        <v>1.64</v>
      </c>
      <c r="L8314" s="508">
        <v>1.6180000000000001</v>
      </c>
      <c r="M8314" s="508">
        <v>1.5920000000000001</v>
      </c>
      <c r="N8314" s="508">
        <v>1.5649999999999999</v>
      </c>
      <c r="O8314" s="508">
        <v>1.54</v>
      </c>
      <c r="P8314" s="508">
        <v>0.63</v>
      </c>
      <c r="Q8314" s="508">
        <v>0.62</v>
      </c>
      <c r="R8314" s="508">
        <v>0.50600000000000001</v>
      </c>
      <c r="S8314" s="508">
        <v>0.47399999999999998</v>
      </c>
      <c r="T8314" s="508">
        <v>0.46600000000000003</v>
      </c>
      <c r="U8314" s="508">
        <v>0.30199999999999999</v>
      </c>
      <c r="V8314" s="508">
        <v>0.218</v>
      </c>
      <c r="W8314" s="508">
        <v>0.17499999999999999</v>
      </c>
      <c r="X8314" s="508">
        <v>0.127</v>
      </c>
      <c r="Y8314" s="508">
        <v>0.104</v>
      </c>
      <c r="Z8314" s="508">
        <v>6.0999999999999999E-2</v>
      </c>
      <c r="AA8314" s="508">
        <v>5.8999999999999997E-2</v>
      </c>
      <c r="AB8314" s="508">
        <v>5.1999999999999998E-2</v>
      </c>
      <c r="AC8314" s="508">
        <v>0.05</v>
      </c>
      <c r="AD8314" s="508">
        <v>4.4999999999999998E-2</v>
      </c>
      <c r="AE8314" s="508">
        <v>4.2000000000000003E-2</v>
      </c>
      <c r="AF8314" s="508">
        <v>3.6999999999999998E-2</v>
      </c>
      <c r="AG8314" s="508">
        <v>3.5999999999999997E-2</v>
      </c>
      <c r="AH8314" s="508">
        <v>3.5000000000000003E-2</v>
      </c>
      <c r="AI8314" s="492">
        <v>3.5000000000000003E-2</v>
      </c>
      <c r="AJ8314" s="485"/>
    </row>
    <row r="8315" spans="2:36">
      <c r="B8315" s="136" t="s">
        <v>466</v>
      </c>
      <c r="C8315" s="132" t="s">
        <v>1369</v>
      </c>
      <c r="D8315" s="132" t="s">
        <v>1384</v>
      </c>
      <c r="E8315" s="508">
        <v>2.2050000000000001</v>
      </c>
      <c r="F8315" s="508">
        <v>2.177</v>
      </c>
      <c r="G8315" s="508">
        <v>2.2440000000000002</v>
      </c>
      <c r="H8315" s="508">
        <v>2.23</v>
      </c>
      <c r="I8315" s="508">
        <v>2.2149999999999999</v>
      </c>
      <c r="J8315" s="508">
        <v>2.21</v>
      </c>
      <c r="K8315" s="508">
        <v>2.165</v>
      </c>
      <c r="L8315" s="508">
        <v>2.133</v>
      </c>
      <c r="M8315" s="508">
        <v>2.097</v>
      </c>
      <c r="N8315" s="508">
        <v>2.0630000000000002</v>
      </c>
      <c r="O8315" s="508">
        <v>2.0289999999999999</v>
      </c>
      <c r="P8315" s="508">
        <v>0.875</v>
      </c>
      <c r="Q8315" s="508">
        <v>0.85199999999999998</v>
      </c>
      <c r="R8315" s="508">
        <v>0.66800000000000004</v>
      </c>
      <c r="S8315" s="508">
        <v>0.61799999999999999</v>
      </c>
      <c r="T8315" s="508">
        <v>0.60799999999999998</v>
      </c>
      <c r="U8315" s="508">
        <v>0.40799999999999997</v>
      </c>
      <c r="V8315" s="508">
        <v>0.29799999999999999</v>
      </c>
      <c r="W8315" s="508">
        <v>0.24099999999999999</v>
      </c>
      <c r="X8315" s="508">
        <v>0.16600000000000001</v>
      </c>
      <c r="Y8315" s="508">
        <v>0.13600000000000001</v>
      </c>
      <c r="Z8315" s="508">
        <v>8.3000000000000004E-2</v>
      </c>
      <c r="AA8315" s="508">
        <v>7.9000000000000001E-2</v>
      </c>
      <c r="AB8315" s="508">
        <v>6.9000000000000006E-2</v>
      </c>
      <c r="AC8315" s="508">
        <v>6.6000000000000003E-2</v>
      </c>
      <c r="AD8315" s="508">
        <v>5.8999999999999997E-2</v>
      </c>
      <c r="AE8315" s="508">
        <v>5.5E-2</v>
      </c>
      <c r="AF8315" s="508">
        <v>4.7E-2</v>
      </c>
      <c r="AG8315" s="508">
        <v>4.7E-2</v>
      </c>
      <c r="AH8315" s="508">
        <v>4.5999999999999999E-2</v>
      </c>
      <c r="AI8315" s="492">
        <v>4.4999999999999998E-2</v>
      </c>
      <c r="AJ8315" s="485"/>
    </row>
    <row r="8316" spans="2:36">
      <c r="B8316" s="136" t="s">
        <v>467</v>
      </c>
      <c r="C8316" s="132" t="s">
        <v>1369</v>
      </c>
      <c r="D8316" s="132" t="s">
        <v>1384</v>
      </c>
      <c r="E8316" s="508">
        <v>1.486</v>
      </c>
      <c r="F8316" s="508">
        <v>1.464</v>
      </c>
      <c r="G8316" s="508">
        <v>1.504</v>
      </c>
      <c r="H8316" s="508">
        <v>1.4930000000000001</v>
      </c>
      <c r="I8316" s="508">
        <v>1.484</v>
      </c>
      <c r="J8316" s="508">
        <v>1.4810000000000001</v>
      </c>
      <c r="K8316" s="508">
        <v>1.4530000000000001</v>
      </c>
      <c r="L8316" s="508">
        <v>1.4339999999999999</v>
      </c>
      <c r="M8316" s="508">
        <v>1.4119999999999999</v>
      </c>
      <c r="N8316" s="508">
        <v>1.3879999999999999</v>
      </c>
      <c r="O8316" s="508">
        <v>1.3640000000000001</v>
      </c>
      <c r="P8316" s="508">
        <v>0.52800000000000002</v>
      </c>
      <c r="Q8316" s="508">
        <v>0.51800000000000002</v>
      </c>
      <c r="R8316" s="508">
        <v>0.42199999999999999</v>
      </c>
      <c r="S8316" s="508">
        <v>0.39600000000000002</v>
      </c>
      <c r="T8316" s="508">
        <v>0.39</v>
      </c>
      <c r="U8316" s="508">
        <v>0.245</v>
      </c>
      <c r="V8316" s="508">
        <v>0.17899999999999999</v>
      </c>
      <c r="W8316" s="508">
        <v>0.14499999999999999</v>
      </c>
      <c r="X8316" s="508">
        <v>0.106</v>
      </c>
      <c r="Y8316" s="508">
        <v>8.7999999999999995E-2</v>
      </c>
      <c r="Z8316" s="508">
        <v>5.0999999999999997E-2</v>
      </c>
      <c r="AA8316" s="508">
        <v>4.9000000000000002E-2</v>
      </c>
      <c r="AB8316" s="508">
        <v>4.3999999999999997E-2</v>
      </c>
      <c r="AC8316" s="508">
        <v>4.2999999999999997E-2</v>
      </c>
      <c r="AD8316" s="508">
        <v>3.9E-2</v>
      </c>
      <c r="AE8316" s="508">
        <v>3.6999999999999998E-2</v>
      </c>
      <c r="AF8316" s="508">
        <v>3.3000000000000002E-2</v>
      </c>
      <c r="AG8316" s="508">
        <v>3.3000000000000002E-2</v>
      </c>
      <c r="AH8316" s="508">
        <v>3.2000000000000001E-2</v>
      </c>
      <c r="AI8316" s="492">
        <v>3.1E-2</v>
      </c>
      <c r="AJ8316" s="485"/>
    </row>
    <row r="8317" spans="2:36">
      <c r="B8317" s="136" t="s">
        <v>468</v>
      </c>
      <c r="C8317" s="132" t="s">
        <v>1369</v>
      </c>
      <c r="D8317" s="132" t="s">
        <v>1384</v>
      </c>
      <c r="E8317" s="508">
        <v>1.518</v>
      </c>
      <c r="F8317" s="508">
        <v>1.4950000000000001</v>
      </c>
      <c r="G8317" s="508">
        <v>1.538</v>
      </c>
      <c r="H8317" s="508">
        <v>1.5249999999999999</v>
      </c>
      <c r="I8317" s="508">
        <v>1.516</v>
      </c>
      <c r="J8317" s="508">
        <v>1.514</v>
      </c>
      <c r="K8317" s="508">
        <v>1.484</v>
      </c>
      <c r="L8317" s="508">
        <v>1.464</v>
      </c>
      <c r="M8317" s="508">
        <v>1.4410000000000001</v>
      </c>
      <c r="N8317" s="508">
        <v>1.4139999999999999</v>
      </c>
      <c r="O8317" s="508">
        <v>1.389</v>
      </c>
      <c r="P8317" s="508">
        <v>0.56699999999999995</v>
      </c>
      <c r="Q8317" s="508">
        <v>0.55500000000000005</v>
      </c>
      <c r="R8317" s="508">
        <v>0.437</v>
      </c>
      <c r="S8317" s="508">
        <v>0.40699999999999997</v>
      </c>
      <c r="T8317" s="508">
        <v>0.4</v>
      </c>
      <c r="U8317" s="508">
        <v>0.26100000000000001</v>
      </c>
      <c r="V8317" s="508">
        <v>0.19</v>
      </c>
      <c r="W8317" s="508">
        <v>0.154</v>
      </c>
      <c r="X8317" s="508">
        <v>0.113</v>
      </c>
      <c r="Y8317" s="508">
        <v>9.4E-2</v>
      </c>
      <c r="Z8317" s="508">
        <v>5.6000000000000001E-2</v>
      </c>
      <c r="AA8317" s="508">
        <v>5.3999999999999999E-2</v>
      </c>
      <c r="AB8317" s="508">
        <v>4.8000000000000001E-2</v>
      </c>
      <c r="AC8317" s="508">
        <v>4.7E-2</v>
      </c>
      <c r="AD8317" s="508">
        <v>4.2000000000000003E-2</v>
      </c>
      <c r="AE8317" s="508">
        <v>4.1000000000000002E-2</v>
      </c>
      <c r="AF8317" s="508">
        <v>3.5999999999999997E-2</v>
      </c>
      <c r="AG8317" s="508">
        <v>3.5000000000000003E-2</v>
      </c>
      <c r="AH8317" s="508">
        <v>3.5000000000000003E-2</v>
      </c>
      <c r="AI8317" s="492">
        <v>3.4000000000000002E-2</v>
      </c>
      <c r="AJ8317" s="485"/>
    </row>
    <row r="8318" spans="2:36">
      <c r="B8318" s="136" t="s">
        <v>469</v>
      </c>
      <c r="C8318" s="132" t="s">
        <v>1369</v>
      </c>
      <c r="D8318" s="132" t="s">
        <v>1384</v>
      </c>
      <c r="E8318" s="508">
        <v>1.925</v>
      </c>
      <c r="F8318" s="508">
        <v>1.9</v>
      </c>
      <c r="G8318" s="508">
        <v>1.964</v>
      </c>
      <c r="H8318" s="508">
        <v>1.9490000000000001</v>
      </c>
      <c r="I8318" s="508">
        <v>1.9350000000000001</v>
      </c>
      <c r="J8318" s="508">
        <v>1.93</v>
      </c>
      <c r="K8318" s="508">
        <v>1.89</v>
      </c>
      <c r="L8318" s="508">
        <v>1.861</v>
      </c>
      <c r="M8318" s="508">
        <v>1.829</v>
      </c>
      <c r="N8318" s="508">
        <v>1.7989999999999999</v>
      </c>
      <c r="O8318" s="508">
        <v>1.7689999999999999</v>
      </c>
      <c r="P8318" s="508">
        <v>0.76100000000000001</v>
      </c>
      <c r="Q8318" s="508">
        <v>0.74299999999999999</v>
      </c>
      <c r="R8318" s="508">
        <v>0.59499999999999997</v>
      </c>
      <c r="S8318" s="508">
        <v>0.55300000000000005</v>
      </c>
      <c r="T8318" s="508">
        <v>0.54400000000000004</v>
      </c>
      <c r="U8318" s="508">
        <v>0.36199999999999999</v>
      </c>
      <c r="V8318" s="508">
        <v>0.26500000000000001</v>
      </c>
      <c r="W8318" s="508">
        <v>0.215</v>
      </c>
      <c r="X8318" s="508">
        <v>0.14899999999999999</v>
      </c>
      <c r="Y8318" s="508">
        <v>0.122</v>
      </c>
      <c r="Z8318" s="508">
        <v>7.3999999999999996E-2</v>
      </c>
      <c r="AA8318" s="508">
        <v>7.0000000000000007E-2</v>
      </c>
      <c r="AB8318" s="508">
        <v>6.0999999999999999E-2</v>
      </c>
      <c r="AC8318" s="508">
        <v>5.8000000000000003E-2</v>
      </c>
      <c r="AD8318" s="508">
        <v>5.0999999999999997E-2</v>
      </c>
      <c r="AE8318" s="508">
        <v>4.8000000000000001E-2</v>
      </c>
      <c r="AF8318" s="508">
        <v>4.1000000000000002E-2</v>
      </c>
      <c r="AG8318" s="508">
        <v>4.1000000000000002E-2</v>
      </c>
      <c r="AH8318" s="508">
        <v>0.04</v>
      </c>
      <c r="AI8318" s="492">
        <v>3.9E-2</v>
      </c>
      <c r="AJ8318" s="485"/>
    </row>
    <row r="8319" spans="2:36">
      <c r="B8319" s="136" t="s">
        <v>470</v>
      </c>
      <c r="C8319" s="132" t="s">
        <v>1369</v>
      </c>
      <c r="D8319" s="132" t="s">
        <v>1384</v>
      </c>
      <c r="E8319" s="508">
        <v>1.5589999999999999</v>
      </c>
      <c r="F8319" s="508">
        <v>1.5349999999999999</v>
      </c>
      <c r="G8319" s="508">
        <v>1.577</v>
      </c>
      <c r="H8319" s="508">
        <v>1.5649999999999999</v>
      </c>
      <c r="I8319" s="508">
        <v>1.5549999999999999</v>
      </c>
      <c r="J8319" s="508">
        <v>1.5529999999999999</v>
      </c>
      <c r="K8319" s="508">
        <v>1.522</v>
      </c>
      <c r="L8319" s="508">
        <v>1.5029999999999999</v>
      </c>
      <c r="M8319" s="508">
        <v>1.4810000000000001</v>
      </c>
      <c r="N8319" s="508">
        <v>1.4570000000000001</v>
      </c>
      <c r="O8319" s="508">
        <v>1.4330000000000001</v>
      </c>
      <c r="P8319" s="508">
        <v>0.58299999999999996</v>
      </c>
      <c r="Q8319" s="508">
        <v>0.57199999999999995</v>
      </c>
      <c r="R8319" s="508">
        <v>0.46200000000000002</v>
      </c>
      <c r="S8319" s="508">
        <v>0.433</v>
      </c>
      <c r="T8319" s="508">
        <v>0.42599999999999999</v>
      </c>
      <c r="U8319" s="508">
        <v>0.27</v>
      </c>
      <c r="V8319" s="508">
        <v>0.19600000000000001</v>
      </c>
      <c r="W8319" s="508">
        <v>0.158</v>
      </c>
      <c r="X8319" s="508">
        <v>0.115</v>
      </c>
      <c r="Y8319" s="508">
        <v>9.4E-2</v>
      </c>
      <c r="Z8319" s="508">
        <v>5.5E-2</v>
      </c>
      <c r="AA8319" s="508">
        <v>5.2999999999999999E-2</v>
      </c>
      <c r="AB8319" s="508">
        <v>4.7E-2</v>
      </c>
      <c r="AC8319" s="508">
        <v>4.5999999999999999E-2</v>
      </c>
      <c r="AD8319" s="508">
        <v>4.2000000000000003E-2</v>
      </c>
      <c r="AE8319" s="508">
        <v>0.04</v>
      </c>
      <c r="AF8319" s="508">
        <v>3.5999999999999997E-2</v>
      </c>
      <c r="AG8319" s="508">
        <v>3.5000000000000003E-2</v>
      </c>
      <c r="AH8319" s="508">
        <v>3.5000000000000003E-2</v>
      </c>
      <c r="AI8319" s="492">
        <v>3.4000000000000002E-2</v>
      </c>
      <c r="AJ8319" s="485"/>
    </row>
    <row r="8320" spans="2:36">
      <c r="B8320" s="136" t="s">
        <v>471</v>
      </c>
      <c r="C8320" s="132" t="s">
        <v>1369</v>
      </c>
      <c r="D8320" s="132" t="s">
        <v>1384</v>
      </c>
      <c r="E8320" s="508">
        <v>1.9370000000000001</v>
      </c>
      <c r="F8320" s="508">
        <v>1.91</v>
      </c>
      <c r="G8320" s="508">
        <v>1.9690000000000001</v>
      </c>
      <c r="H8320" s="508">
        <v>1.954</v>
      </c>
      <c r="I8320" s="508">
        <v>1.9410000000000001</v>
      </c>
      <c r="J8320" s="508">
        <v>1.9370000000000001</v>
      </c>
      <c r="K8320" s="508">
        <v>1.8959999999999999</v>
      </c>
      <c r="L8320" s="508">
        <v>1.87</v>
      </c>
      <c r="M8320" s="508">
        <v>1.84</v>
      </c>
      <c r="N8320" s="508">
        <v>1.8080000000000001</v>
      </c>
      <c r="O8320" s="508">
        <v>1.7789999999999999</v>
      </c>
      <c r="P8320" s="508">
        <v>0.74299999999999999</v>
      </c>
      <c r="Q8320" s="508">
        <v>0.73</v>
      </c>
      <c r="R8320" s="508">
        <v>0.58399999999999996</v>
      </c>
      <c r="S8320" s="508">
        <v>0.54400000000000004</v>
      </c>
      <c r="T8320" s="508">
        <v>0.53600000000000003</v>
      </c>
      <c r="U8320" s="508">
        <v>0.35199999999999998</v>
      </c>
      <c r="V8320" s="508">
        <v>0.252</v>
      </c>
      <c r="W8320" s="508">
        <v>0.20100000000000001</v>
      </c>
      <c r="X8320" s="508">
        <v>0.14499999999999999</v>
      </c>
      <c r="Y8320" s="508">
        <v>0.11700000000000001</v>
      </c>
      <c r="Z8320" s="508">
        <v>7.0000000000000007E-2</v>
      </c>
      <c r="AA8320" s="508">
        <v>6.7000000000000004E-2</v>
      </c>
      <c r="AB8320" s="508">
        <v>5.8999999999999997E-2</v>
      </c>
      <c r="AC8320" s="508">
        <v>5.7000000000000002E-2</v>
      </c>
      <c r="AD8320" s="508">
        <v>5.0999999999999997E-2</v>
      </c>
      <c r="AE8320" s="508">
        <v>4.8000000000000001E-2</v>
      </c>
      <c r="AF8320" s="508">
        <v>4.2000000000000003E-2</v>
      </c>
      <c r="AG8320" s="508">
        <v>4.1000000000000002E-2</v>
      </c>
      <c r="AH8320" s="508">
        <v>0.04</v>
      </c>
      <c r="AI8320" s="492">
        <v>0.04</v>
      </c>
      <c r="AJ8320" s="485"/>
    </row>
    <row r="8321" spans="2:36">
      <c r="B8321" s="136" t="s">
        <v>472</v>
      </c>
      <c r="C8321" s="132" t="s">
        <v>1369</v>
      </c>
      <c r="D8321" s="132" t="s">
        <v>1384</v>
      </c>
      <c r="E8321" s="508">
        <v>1.45</v>
      </c>
      <c r="F8321" s="508">
        <v>1.425</v>
      </c>
      <c r="G8321" s="508">
        <v>1.472</v>
      </c>
      <c r="H8321" s="508">
        <v>1.4590000000000001</v>
      </c>
      <c r="I8321" s="508">
        <v>1.448</v>
      </c>
      <c r="J8321" s="508">
        <v>1.446</v>
      </c>
      <c r="K8321" s="508">
        <v>1.415</v>
      </c>
      <c r="L8321" s="508">
        <v>1.3959999999999999</v>
      </c>
      <c r="M8321" s="508">
        <v>1.375</v>
      </c>
      <c r="N8321" s="508">
        <v>1.353</v>
      </c>
      <c r="O8321" s="508">
        <v>1.3320000000000001</v>
      </c>
      <c r="P8321" s="508">
        <v>0.54</v>
      </c>
      <c r="Q8321" s="508">
        <v>0.53500000000000003</v>
      </c>
      <c r="R8321" s="508">
        <v>0.45100000000000001</v>
      </c>
      <c r="S8321" s="508">
        <v>0.42599999999999999</v>
      </c>
      <c r="T8321" s="508">
        <v>0.41899999999999998</v>
      </c>
      <c r="U8321" s="508">
        <v>0.26800000000000002</v>
      </c>
      <c r="V8321" s="508">
        <v>0.191</v>
      </c>
      <c r="W8321" s="508">
        <v>0.152</v>
      </c>
      <c r="X8321" s="508">
        <v>0.112</v>
      </c>
      <c r="Y8321" s="508">
        <v>9.0999999999999998E-2</v>
      </c>
      <c r="Z8321" s="508">
        <v>5.1999999999999998E-2</v>
      </c>
      <c r="AA8321" s="508">
        <v>0.05</v>
      </c>
      <c r="AB8321" s="508">
        <v>4.3999999999999997E-2</v>
      </c>
      <c r="AC8321" s="508">
        <v>4.2999999999999997E-2</v>
      </c>
      <c r="AD8321" s="508">
        <v>3.9E-2</v>
      </c>
      <c r="AE8321" s="508">
        <v>3.6999999999999998E-2</v>
      </c>
      <c r="AF8321" s="508">
        <v>3.2000000000000001E-2</v>
      </c>
      <c r="AG8321" s="508">
        <v>3.2000000000000001E-2</v>
      </c>
      <c r="AH8321" s="508">
        <v>3.1E-2</v>
      </c>
      <c r="AI8321" s="492">
        <v>3.1E-2</v>
      </c>
      <c r="AJ8321" s="485"/>
    </row>
    <row r="8322" spans="2:36">
      <c r="B8322" s="136" t="s">
        <v>473</v>
      </c>
      <c r="C8322" s="132" t="s">
        <v>1369</v>
      </c>
      <c r="D8322" s="132" t="s">
        <v>1384</v>
      </c>
      <c r="E8322" s="508">
        <v>1.6970000000000001</v>
      </c>
      <c r="F8322" s="508">
        <v>1.67</v>
      </c>
      <c r="G8322" s="508">
        <v>1.7210000000000001</v>
      </c>
      <c r="H8322" s="508">
        <v>1.708</v>
      </c>
      <c r="I8322" s="508">
        <v>1.696</v>
      </c>
      <c r="J8322" s="508">
        <v>1.6930000000000001</v>
      </c>
      <c r="K8322" s="508">
        <v>1.6579999999999999</v>
      </c>
      <c r="L8322" s="508">
        <v>1.637</v>
      </c>
      <c r="M8322" s="508">
        <v>1.613</v>
      </c>
      <c r="N8322" s="508">
        <v>1.587</v>
      </c>
      <c r="O8322" s="508">
        <v>1.5629999999999999</v>
      </c>
      <c r="P8322" s="508">
        <v>0.64100000000000001</v>
      </c>
      <c r="Q8322" s="508">
        <v>0.63300000000000001</v>
      </c>
      <c r="R8322" s="508">
        <v>0.51900000000000002</v>
      </c>
      <c r="S8322" s="508">
        <v>0.48799999999999999</v>
      </c>
      <c r="T8322" s="508">
        <v>0.48099999999999998</v>
      </c>
      <c r="U8322" s="508">
        <v>0.31</v>
      </c>
      <c r="V8322" s="508">
        <v>0.222</v>
      </c>
      <c r="W8322" s="508">
        <v>0.17699999999999999</v>
      </c>
      <c r="X8322" s="508">
        <v>0.128</v>
      </c>
      <c r="Y8322" s="508">
        <v>0.104</v>
      </c>
      <c r="Z8322" s="508">
        <v>6.0999999999999999E-2</v>
      </c>
      <c r="AA8322" s="508">
        <v>5.8000000000000003E-2</v>
      </c>
      <c r="AB8322" s="508">
        <v>5.1999999999999998E-2</v>
      </c>
      <c r="AC8322" s="508">
        <v>0.05</v>
      </c>
      <c r="AD8322" s="508">
        <v>4.4999999999999998E-2</v>
      </c>
      <c r="AE8322" s="508">
        <v>4.2999999999999997E-2</v>
      </c>
      <c r="AF8322" s="508">
        <v>3.7999999999999999E-2</v>
      </c>
      <c r="AG8322" s="508">
        <v>3.6999999999999998E-2</v>
      </c>
      <c r="AH8322" s="508">
        <v>3.6999999999999998E-2</v>
      </c>
      <c r="AI8322" s="492">
        <v>3.5999999999999997E-2</v>
      </c>
      <c r="AJ8322" s="485"/>
    </row>
    <row r="8323" spans="2:36">
      <c r="B8323" s="136" t="s">
        <v>474</v>
      </c>
      <c r="C8323" s="132" t="s">
        <v>1369</v>
      </c>
      <c r="D8323" s="132" t="s">
        <v>1384</v>
      </c>
      <c r="E8323" s="508">
        <v>2</v>
      </c>
      <c r="F8323" s="508">
        <v>1.9730000000000001</v>
      </c>
      <c r="G8323" s="508">
        <v>2.0350000000000001</v>
      </c>
      <c r="H8323" s="508">
        <v>2.02</v>
      </c>
      <c r="I8323" s="508">
        <v>2.0059999999999998</v>
      </c>
      <c r="J8323" s="508">
        <v>2.0019999999999998</v>
      </c>
      <c r="K8323" s="508">
        <v>1.96</v>
      </c>
      <c r="L8323" s="508">
        <v>1.9319999999999999</v>
      </c>
      <c r="M8323" s="508">
        <v>1.901</v>
      </c>
      <c r="N8323" s="508">
        <v>1.8680000000000001</v>
      </c>
      <c r="O8323" s="508">
        <v>1.837</v>
      </c>
      <c r="P8323" s="508">
        <v>0.77900000000000003</v>
      </c>
      <c r="Q8323" s="508">
        <v>0.76300000000000001</v>
      </c>
      <c r="R8323" s="508">
        <v>0.60499999999999998</v>
      </c>
      <c r="S8323" s="508">
        <v>0.56200000000000006</v>
      </c>
      <c r="T8323" s="508">
        <v>0.55400000000000005</v>
      </c>
      <c r="U8323" s="508">
        <v>0.36599999999999999</v>
      </c>
      <c r="V8323" s="508">
        <v>0.26300000000000001</v>
      </c>
      <c r="W8323" s="508">
        <v>0.21</v>
      </c>
      <c r="X8323" s="508">
        <v>0.15</v>
      </c>
      <c r="Y8323" s="508">
        <v>0.122</v>
      </c>
      <c r="Z8323" s="508">
        <v>7.3999999999999996E-2</v>
      </c>
      <c r="AA8323" s="508">
        <v>7.0000000000000007E-2</v>
      </c>
      <c r="AB8323" s="508">
        <v>6.2E-2</v>
      </c>
      <c r="AC8323" s="508">
        <v>5.8999999999999997E-2</v>
      </c>
      <c r="AD8323" s="508">
        <v>5.2999999999999999E-2</v>
      </c>
      <c r="AE8323" s="508">
        <v>0.05</v>
      </c>
      <c r="AF8323" s="508">
        <v>4.2999999999999997E-2</v>
      </c>
      <c r="AG8323" s="508">
        <v>4.2999999999999997E-2</v>
      </c>
      <c r="AH8323" s="508">
        <v>4.2000000000000003E-2</v>
      </c>
      <c r="AI8323" s="492">
        <v>4.1000000000000002E-2</v>
      </c>
      <c r="AJ8323" s="485"/>
    </row>
    <row r="8324" spans="2:36">
      <c r="B8324" s="136" t="s">
        <v>475</v>
      </c>
      <c r="C8324" s="132" t="s">
        <v>1369</v>
      </c>
      <c r="D8324" s="132" t="s">
        <v>1384</v>
      </c>
      <c r="E8324" s="508">
        <v>1.6220000000000001</v>
      </c>
      <c r="F8324" s="508">
        <v>1.597</v>
      </c>
      <c r="G8324" s="508">
        <v>1.647</v>
      </c>
      <c r="H8324" s="508">
        <v>1.633</v>
      </c>
      <c r="I8324" s="508">
        <v>1.6220000000000001</v>
      </c>
      <c r="J8324" s="508">
        <v>1.619</v>
      </c>
      <c r="K8324" s="508">
        <v>1.585</v>
      </c>
      <c r="L8324" s="508">
        <v>1.5640000000000001</v>
      </c>
      <c r="M8324" s="508">
        <v>1.54</v>
      </c>
      <c r="N8324" s="508">
        <v>1.514</v>
      </c>
      <c r="O8324" s="508">
        <v>1.49</v>
      </c>
      <c r="P8324" s="508">
        <v>0.60299999999999998</v>
      </c>
      <c r="Q8324" s="508">
        <v>0.59599999999999997</v>
      </c>
      <c r="R8324" s="508">
        <v>0.49299999999999999</v>
      </c>
      <c r="S8324" s="508">
        <v>0.46400000000000002</v>
      </c>
      <c r="T8324" s="508">
        <v>0.45700000000000002</v>
      </c>
      <c r="U8324" s="508">
        <v>0.29399999999999998</v>
      </c>
      <c r="V8324" s="508">
        <v>0.21</v>
      </c>
      <c r="W8324" s="508">
        <v>0.16800000000000001</v>
      </c>
      <c r="X8324" s="508">
        <v>0.122</v>
      </c>
      <c r="Y8324" s="508">
        <v>9.9000000000000005E-2</v>
      </c>
      <c r="Z8324" s="508">
        <v>5.8000000000000003E-2</v>
      </c>
      <c r="AA8324" s="508">
        <v>5.5E-2</v>
      </c>
      <c r="AB8324" s="508">
        <v>4.9000000000000002E-2</v>
      </c>
      <c r="AC8324" s="508">
        <v>4.8000000000000001E-2</v>
      </c>
      <c r="AD8324" s="508">
        <v>4.2999999999999997E-2</v>
      </c>
      <c r="AE8324" s="508">
        <v>0.04</v>
      </c>
      <c r="AF8324" s="508">
        <v>3.5999999999999997E-2</v>
      </c>
      <c r="AG8324" s="508">
        <v>3.5000000000000003E-2</v>
      </c>
      <c r="AH8324" s="508">
        <v>3.4000000000000002E-2</v>
      </c>
      <c r="AI8324" s="492">
        <v>3.4000000000000002E-2</v>
      </c>
      <c r="AJ8324" s="485"/>
    </row>
    <row r="8325" spans="2:36">
      <c r="B8325" s="136" t="s">
        <v>476</v>
      </c>
      <c r="C8325" s="132" t="s">
        <v>1369</v>
      </c>
      <c r="D8325" s="132" t="s">
        <v>1384</v>
      </c>
      <c r="E8325" s="508">
        <v>1.627</v>
      </c>
      <c r="F8325" s="508">
        <v>1.6020000000000001</v>
      </c>
      <c r="G8325" s="508">
        <v>1.649</v>
      </c>
      <c r="H8325" s="508">
        <v>1.637</v>
      </c>
      <c r="I8325" s="508">
        <v>1.6259999999999999</v>
      </c>
      <c r="J8325" s="508">
        <v>1.623</v>
      </c>
      <c r="K8325" s="508">
        <v>1.59</v>
      </c>
      <c r="L8325" s="508">
        <v>1.57</v>
      </c>
      <c r="M8325" s="508">
        <v>1.546</v>
      </c>
      <c r="N8325" s="508">
        <v>1.5209999999999999</v>
      </c>
      <c r="O8325" s="508">
        <v>1.496</v>
      </c>
      <c r="P8325" s="508">
        <v>0.60299999999999998</v>
      </c>
      <c r="Q8325" s="508">
        <v>0.59299999999999997</v>
      </c>
      <c r="R8325" s="508">
        <v>0.48</v>
      </c>
      <c r="S8325" s="508">
        <v>0.45</v>
      </c>
      <c r="T8325" s="508">
        <v>0.443</v>
      </c>
      <c r="U8325" s="508">
        <v>0.28299999999999997</v>
      </c>
      <c r="V8325" s="508">
        <v>0.20300000000000001</v>
      </c>
      <c r="W8325" s="508">
        <v>0.16200000000000001</v>
      </c>
      <c r="X8325" s="508">
        <v>0.11799999999999999</v>
      </c>
      <c r="Y8325" s="508">
        <v>9.6000000000000002E-2</v>
      </c>
      <c r="Z8325" s="508">
        <v>5.6000000000000001E-2</v>
      </c>
      <c r="AA8325" s="508">
        <v>5.3999999999999999E-2</v>
      </c>
      <c r="AB8325" s="508">
        <v>4.8000000000000001E-2</v>
      </c>
      <c r="AC8325" s="508">
        <v>4.7E-2</v>
      </c>
      <c r="AD8325" s="508">
        <v>4.2999999999999997E-2</v>
      </c>
      <c r="AE8325" s="508">
        <v>4.1000000000000002E-2</v>
      </c>
      <c r="AF8325" s="508">
        <v>3.6999999999999998E-2</v>
      </c>
      <c r="AG8325" s="508">
        <v>3.5999999999999997E-2</v>
      </c>
      <c r="AH8325" s="508">
        <v>3.5000000000000003E-2</v>
      </c>
      <c r="AI8325" s="492">
        <v>3.5000000000000003E-2</v>
      </c>
      <c r="AJ8325" s="485"/>
    </row>
    <row r="8326" spans="2:36">
      <c r="B8326" s="136" t="s">
        <v>478</v>
      </c>
      <c r="C8326" s="132" t="s">
        <v>1369</v>
      </c>
      <c r="D8326" s="132" t="s">
        <v>1384</v>
      </c>
      <c r="E8326" s="508">
        <v>1.61</v>
      </c>
      <c r="F8326" s="508">
        <v>1.5880000000000001</v>
      </c>
      <c r="G8326" s="508">
        <v>1.627</v>
      </c>
      <c r="H8326" s="508">
        <v>1.617</v>
      </c>
      <c r="I8326" s="508">
        <v>1.6080000000000001</v>
      </c>
      <c r="J8326" s="508">
        <v>1.605</v>
      </c>
      <c r="K8326" s="508">
        <v>1.575</v>
      </c>
      <c r="L8326" s="508">
        <v>1.5549999999999999</v>
      </c>
      <c r="M8326" s="508">
        <v>1.5309999999999999</v>
      </c>
      <c r="N8326" s="508">
        <v>1.504</v>
      </c>
      <c r="O8326" s="508">
        <v>1.478</v>
      </c>
      <c r="P8326" s="508">
        <v>0.56799999999999995</v>
      </c>
      <c r="Q8326" s="508">
        <v>0.55700000000000005</v>
      </c>
      <c r="R8326" s="508">
        <v>0.45</v>
      </c>
      <c r="S8326" s="508">
        <v>0.42099999999999999</v>
      </c>
      <c r="T8326" s="508">
        <v>0.41399999999999998</v>
      </c>
      <c r="U8326" s="508">
        <v>0.26</v>
      </c>
      <c r="V8326" s="508">
        <v>0.192</v>
      </c>
      <c r="W8326" s="508">
        <v>0.157</v>
      </c>
      <c r="X8326" s="508">
        <v>0.115</v>
      </c>
      <c r="Y8326" s="508">
        <v>9.6000000000000002E-2</v>
      </c>
      <c r="Z8326" s="508">
        <v>5.6000000000000001E-2</v>
      </c>
      <c r="AA8326" s="508">
        <v>5.3999999999999999E-2</v>
      </c>
      <c r="AB8326" s="508">
        <v>4.9000000000000002E-2</v>
      </c>
      <c r="AC8326" s="508">
        <v>4.7E-2</v>
      </c>
      <c r="AD8326" s="508">
        <v>4.2000000000000003E-2</v>
      </c>
      <c r="AE8326" s="508">
        <v>4.2000000000000003E-2</v>
      </c>
      <c r="AF8326" s="508">
        <v>3.6999999999999998E-2</v>
      </c>
      <c r="AG8326" s="508">
        <v>3.5999999999999997E-2</v>
      </c>
      <c r="AH8326" s="508">
        <v>3.5000000000000003E-2</v>
      </c>
      <c r="AI8326" s="492">
        <v>3.4000000000000002E-2</v>
      </c>
      <c r="AJ8326" s="485"/>
    </row>
    <row r="8327" spans="2:36">
      <c r="B8327" s="136" t="s">
        <v>479</v>
      </c>
      <c r="C8327" s="132" t="s">
        <v>1369</v>
      </c>
      <c r="D8327" s="132" t="s">
        <v>1384</v>
      </c>
      <c r="E8327" s="508">
        <v>2.048</v>
      </c>
      <c r="F8327" s="508">
        <v>2.0190000000000001</v>
      </c>
      <c r="G8327" s="508">
        <v>2.0840000000000001</v>
      </c>
      <c r="H8327" s="508">
        <v>2.0680000000000001</v>
      </c>
      <c r="I8327" s="508">
        <v>2.0539999999999998</v>
      </c>
      <c r="J8327" s="508">
        <v>2.0499999999999998</v>
      </c>
      <c r="K8327" s="508">
        <v>2.0059999999999998</v>
      </c>
      <c r="L8327" s="508">
        <v>1.9770000000000001</v>
      </c>
      <c r="M8327" s="508">
        <v>1.9450000000000001</v>
      </c>
      <c r="N8327" s="508">
        <v>1.911</v>
      </c>
      <c r="O8327" s="508">
        <v>1.879</v>
      </c>
      <c r="P8327" s="508">
        <v>0.8</v>
      </c>
      <c r="Q8327" s="508">
        <v>0.78500000000000003</v>
      </c>
      <c r="R8327" s="508">
        <v>0.623</v>
      </c>
      <c r="S8327" s="508">
        <v>0.57899999999999996</v>
      </c>
      <c r="T8327" s="508">
        <v>0.56999999999999995</v>
      </c>
      <c r="U8327" s="508">
        <v>0.378</v>
      </c>
      <c r="V8327" s="508">
        <v>0.27</v>
      </c>
      <c r="W8327" s="508">
        <v>0.214</v>
      </c>
      <c r="X8327" s="508">
        <v>0.154</v>
      </c>
      <c r="Y8327" s="508">
        <v>0.124</v>
      </c>
      <c r="Z8327" s="508">
        <v>7.4999999999999997E-2</v>
      </c>
      <c r="AA8327" s="508">
        <v>7.1999999999999995E-2</v>
      </c>
      <c r="AB8327" s="508">
        <v>6.3E-2</v>
      </c>
      <c r="AC8327" s="508">
        <v>6.0999999999999999E-2</v>
      </c>
      <c r="AD8327" s="508">
        <v>5.3999999999999999E-2</v>
      </c>
      <c r="AE8327" s="508">
        <v>5.0999999999999997E-2</v>
      </c>
      <c r="AF8327" s="508">
        <v>4.3999999999999997E-2</v>
      </c>
      <c r="AG8327" s="508">
        <v>4.2999999999999997E-2</v>
      </c>
      <c r="AH8327" s="508">
        <v>4.2000000000000003E-2</v>
      </c>
      <c r="AI8327" s="492">
        <v>4.2000000000000003E-2</v>
      </c>
      <c r="AJ8327" s="485"/>
    </row>
    <row r="8328" spans="2:36">
      <c r="B8328" s="136" t="s">
        <v>480</v>
      </c>
      <c r="C8328" s="132" t="s">
        <v>1369</v>
      </c>
      <c r="D8328" s="132" t="s">
        <v>1384</v>
      </c>
      <c r="E8328" s="508">
        <v>1.5649999999999999</v>
      </c>
      <c r="F8328" s="508">
        <v>1.54</v>
      </c>
      <c r="G8328" s="508">
        <v>1.593</v>
      </c>
      <c r="H8328" s="508">
        <v>1.577</v>
      </c>
      <c r="I8328" s="508">
        <v>1.5660000000000001</v>
      </c>
      <c r="J8328" s="508">
        <v>1.5629999999999999</v>
      </c>
      <c r="K8328" s="508">
        <v>1.53</v>
      </c>
      <c r="L8328" s="508">
        <v>1.5089999999999999</v>
      </c>
      <c r="M8328" s="508">
        <v>1.4850000000000001</v>
      </c>
      <c r="N8328" s="508">
        <v>1.46</v>
      </c>
      <c r="O8328" s="508">
        <v>1.4370000000000001</v>
      </c>
      <c r="P8328" s="508">
        <v>0.59299999999999997</v>
      </c>
      <c r="Q8328" s="508">
        <v>0.58599999999999997</v>
      </c>
      <c r="R8328" s="508">
        <v>0.48699999999999999</v>
      </c>
      <c r="S8328" s="508">
        <v>0.45900000000000002</v>
      </c>
      <c r="T8328" s="508">
        <v>0.45100000000000001</v>
      </c>
      <c r="U8328" s="508">
        <v>0.29199999999999998</v>
      </c>
      <c r="V8328" s="508">
        <v>0.20799999999999999</v>
      </c>
      <c r="W8328" s="508">
        <v>0.16600000000000001</v>
      </c>
      <c r="X8328" s="508">
        <v>0.121</v>
      </c>
      <c r="Y8328" s="508">
        <v>9.8000000000000004E-2</v>
      </c>
      <c r="Z8328" s="508">
        <v>5.7000000000000002E-2</v>
      </c>
      <c r="AA8328" s="508">
        <v>5.5E-2</v>
      </c>
      <c r="AB8328" s="508">
        <v>4.8000000000000001E-2</v>
      </c>
      <c r="AC8328" s="508">
        <v>4.7E-2</v>
      </c>
      <c r="AD8328" s="508">
        <v>4.2000000000000003E-2</v>
      </c>
      <c r="AE8328" s="508">
        <v>0.04</v>
      </c>
      <c r="AF8328" s="508">
        <v>3.5000000000000003E-2</v>
      </c>
      <c r="AG8328" s="508">
        <v>3.4000000000000002E-2</v>
      </c>
      <c r="AH8328" s="508">
        <v>3.3000000000000002E-2</v>
      </c>
      <c r="AI8328" s="492">
        <v>3.3000000000000002E-2</v>
      </c>
      <c r="AJ8328" s="485"/>
    </row>
    <row r="8329" spans="2:36">
      <c r="B8329" s="136" t="s">
        <v>481</v>
      </c>
      <c r="C8329" s="132" t="s">
        <v>1369</v>
      </c>
      <c r="D8329" s="132" t="s">
        <v>1384</v>
      </c>
      <c r="E8329" s="508">
        <v>1.92</v>
      </c>
      <c r="F8329" s="508">
        <v>1.8919999999999999</v>
      </c>
      <c r="G8329" s="508">
        <v>1.952</v>
      </c>
      <c r="H8329" s="508">
        <v>1.9370000000000001</v>
      </c>
      <c r="I8329" s="508">
        <v>1.9239999999999999</v>
      </c>
      <c r="J8329" s="508">
        <v>1.92</v>
      </c>
      <c r="K8329" s="508">
        <v>1.88</v>
      </c>
      <c r="L8329" s="508">
        <v>1.853</v>
      </c>
      <c r="M8329" s="508">
        <v>1.823</v>
      </c>
      <c r="N8329" s="508">
        <v>1.792</v>
      </c>
      <c r="O8329" s="508">
        <v>1.7629999999999999</v>
      </c>
      <c r="P8329" s="508">
        <v>0.73699999999999999</v>
      </c>
      <c r="Q8329" s="508">
        <v>0.72399999999999998</v>
      </c>
      <c r="R8329" s="508">
        <v>0.57899999999999996</v>
      </c>
      <c r="S8329" s="508">
        <v>0.54</v>
      </c>
      <c r="T8329" s="508">
        <v>0.53100000000000003</v>
      </c>
      <c r="U8329" s="508">
        <v>0.34899999999999998</v>
      </c>
      <c r="V8329" s="508">
        <v>0.249</v>
      </c>
      <c r="W8329" s="508">
        <v>0.19800000000000001</v>
      </c>
      <c r="X8329" s="508">
        <v>0.14199999999999999</v>
      </c>
      <c r="Y8329" s="508">
        <v>0.115</v>
      </c>
      <c r="Z8329" s="508">
        <v>6.9000000000000006E-2</v>
      </c>
      <c r="AA8329" s="508">
        <v>6.6000000000000003E-2</v>
      </c>
      <c r="AB8329" s="508">
        <v>5.8000000000000003E-2</v>
      </c>
      <c r="AC8329" s="508">
        <v>5.6000000000000001E-2</v>
      </c>
      <c r="AD8329" s="508">
        <v>0.05</v>
      </c>
      <c r="AE8329" s="508">
        <v>4.8000000000000001E-2</v>
      </c>
      <c r="AF8329" s="508">
        <v>4.2000000000000003E-2</v>
      </c>
      <c r="AG8329" s="508">
        <v>4.1000000000000002E-2</v>
      </c>
      <c r="AH8329" s="508">
        <v>0.04</v>
      </c>
      <c r="AI8329" s="492">
        <v>3.9E-2</v>
      </c>
      <c r="AJ8329" s="485"/>
    </row>
    <row r="8330" spans="2:36">
      <c r="B8330" s="136" t="s">
        <v>482</v>
      </c>
      <c r="C8330" s="132" t="s">
        <v>1369</v>
      </c>
      <c r="D8330" s="132" t="s">
        <v>1384</v>
      </c>
      <c r="E8330" s="508">
        <v>2.1459999999999999</v>
      </c>
      <c r="F8330" s="508">
        <v>2.1190000000000002</v>
      </c>
      <c r="G8330" s="508">
        <v>2.1320000000000001</v>
      </c>
      <c r="H8330" s="508">
        <v>2.117</v>
      </c>
      <c r="I8330" s="508">
        <v>2.1040000000000001</v>
      </c>
      <c r="J8330" s="508">
        <v>2.1</v>
      </c>
      <c r="K8330" s="508">
        <v>2.0569999999999999</v>
      </c>
      <c r="L8330" s="508">
        <v>2.0270000000000001</v>
      </c>
      <c r="M8330" s="508">
        <v>1.9930000000000001</v>
      </c>
      <c r="N8330" s="508">
        <v>1.956</v>
      </c>
      <c r="O8330" s="508">
        <v>1.921</v>
      </c>
      <c r="P8330" s="508">
        <v>0.82399999999999995</v>
      </c>
      <c r="Q8330" s="508">
        <v>0.80100000000000005</v>
      </c>
      <c r="R8330" s="508">
        <v>0.60499999999999998</v>
      </c>
      <c r="S8330" s="508">
        <v>0.55600000000000005</v>
      </c>
      <c r="T8330" s="508">
        <v>0.54800000000000004</v>
      </c>
      <c r="U8330" s="508">
        <v>0.36199999999999999</v>
      </c>
      <c r="V8330" s="508">
        <v>0.26</v>
      </c>
      <c r="W8330" s="508">
        <v>0.20699999999999999</v>
      </c>
      <c r="X8330" s="508">
        <v>0.15</v>
      </c>
      <c r="Y8330" s="508">
        <v>0.121</v>
      </c>
      <c r="Z8330" s="508">
        <v>7.3999999999999996E-2</v>
      </c>
      <c r="AA8330" s="508">
        <v>7.0999999999999994E-2</v>
      </c>
      <c r="AB8330" s="508">
        <v>6.3E-2</v>
      </c>
      <c r="AC8330" s="508">
        <v>6.0999999999999999E-2</v>
      </c>
      <c r="AD8330" s="508">
        <v>5.5E-2</v>
      </c>
      <c r="AE8330" s="508">
        <v>5.1999999999999998E-2</v>
      </c>
      <c r="AF8330" s="508">
        <v>4.5999999999999999E-2</v>
      </c>
      <c r="AG8330" s="508">
        <v>4.5999999999999999E-2</v>
      </c>
      <c r="AH8330" s="508">
        <v>4.4999999999999998E-2</v>
      </c>
      <c r="AI8330" s="492">
        <v>4.3999999999999997E-2</v>
      </c>
      <c r="AJ8330" s="485"/>
    </row>
    <row r="8331" spans="2:36">
      <c r="B8331" s="136" t="s">
        <v>483</v>
      </c>
      <c r="C8331" s="132" t="s">
        <v>1369</v>
      </c>
      <c r="D8331" s="132" t="s">
        <v>1384</v>
      </c>
      <c r="E8331" s="508">
        <v>1.778</v>
      </c>
      <c r="F8331" s="508">
        <v>1.752</v>
      </c>
      <c r="G8331" s="508">
        <v>1.8069999999999999</v>
      </c>
      <c r="H8331" s="508">
        <v>1.794</v>
      </c>
      <c r="I8331" s="508">
        <v>1.7809999999999999</v>
      </c>
      <c r="J8331" s="508">
        <v>1.778</v>
      </c>
      <c r="K8331" s="508">
        <v>1.742</v>
      </c>
      <c r="L8331" s="508">
        <v>1.7170000000000001</v>
      </c>
      <c r="M8331" s="508">
        <v>1.69</v>
      </c>
      <c r="N8331" s="508">
        <v>1.6639999999999999</v>
      </c>
      <c r="O8331" s="508">
        <v>1.6379999999999999</v>
      </c>
      <c r="P8331" s="508">
        <v>0.68200000000000005</v>
      </c>
      <c r="Q8331" s="508">
        <v>0.66800000000000004</v>
      </c>
      <c r="R8331" s="508">
        <v>0.54200000000000004</v>
      </c>
      <c r="S8331" s="508">
        <v>0.50700000000000001</v>
      </c>
      <c r="T8331" s="508">
        <v>0.499</v>
      </c>
      <c r="U8331" s="508">
        <v>0.32500000000000001</v>
      </c>
      <c r="V8331" s="508">
        <v>0.23499999999999999</v>
      </c>
      <c r="W8331" s="508">
        <v>0.189</v>
      </c>
      <c r="X8331" s="508">
        <v>0.13300000000000001</v>
      </c>
      <c r="Y8331" s="508">
        <v>0.109</v>
      </c>
      <c r="Z8331" s="508">
        <v>6.5000000000000002E-2</v>
      </c>
      <c r="AA8331" s="508">
        <v>6.2E-2</v>
      </c>
      <c r="AB8331" s="508">
        <v>5.5E-2</v>
      </c>
      <c r="AC8331" s="508">
        <v>5.2999999999999999E-2</v>
      </c>
      <c r="AD8331" s="508">
        <v>4.7E-2</v>
      </c>
      <c r="AE8331" s="508">
        <v>4.3999999999999997E-2</v>
      </c>
      <c r="AF8331" s="508">
        <v>3.9E-2</v>
      </c>
      <c r="AG8331" s="508">
        <v>3.7999999999999999E-2</v>
      </c>
      <c r="AH8331" s="508">
        <v>3.7999999999999999E-2</v>
      </c>
      <c r="AI8331" s="492">
        <v>3.6999999999999998E-2</v>
      </c>
      <c r="AJ8331" s="485"/>
    </row>
    <row r="8332" spans="2:36">
      <c r="B8332" s="136" t="s">
        <v>484</v>
      </c>
      <c r="C8332" s="132" t="s">
        <v>1369</v>
      </c>
      <c r="D8332" s="132" t="s">
        <v>1384</v>
      </c>
      <c r="E8332" s="508">
        <v>1.456</v>
      </c>
      <c r="F8332" s="508">
        <v>1.4319999999999999</v>
      </c>
      <c r="G8332" s="508">
        <v>1.478</v>
      </c>
      <c r="H8332" s="508">
        <v>1.464</v>
      </c>
      <c r="I8332" s="508">
        <v>1.4550000000000001</v>
      </c>
      <c r="J8332" s="508">
        <v>1.452</v>
      </c>
      <c r="K8332" s="508">
        <v>1.4219999999999999</v>
      </c>
      <c r="L8332" s="508">
        <v>1.403</v>
      </c>
      <c r="M8332" s="508">
        <v>1.3819999999999999</v>
      </c>
      <c r="N8332" s="508">
        <v>1.359</v>
      </c>
      <c r="O8332" s="508">
        <v>1.337</v>
      </c>
      <c r="P8332" s="508">
        <v>0.53400000000000003</v>
      </c>
      <c r="Q8332" s="508">
        <v>0.52700000000000002</v>
      </c>
      <c r="R8332" s="508">
        <v>0.437</v>
      </c>
      <c r="S8332" s="508">
        <v>0.41099999999999998</v>
      </c>
      <c r="T8332" s="508">
        <v>0.40500000000000003</v>
      </c>
      <c r="U8332" s="508">
        <v>0.25700000000000001</v>
      </c>
      <c r="V8332" s="508">
        <v>0.184</v>
      </c>
      <c r="W8332" s="508">
        <v>0.14699999999999999</v>
      </c>
      <c r="X8332" s="508">
        <v>0.107</v>
      </c>
      <c r="Y8332" s="508">
        <v>8.6999999999999994E-2</v>
      </c>
      <c r="Z8332" s="508">
        <v>0.05</v>
      </c>
      <c r="AA8332" s="508">
        <v>4.8000000000000001E-2</v>
      </c>
      <c r="AB8332" s="508">
        <v>4.2999999999999997E-2</v>
      </c>
      <c r="AC8332" s="508">
        <v>4.2000000000000003E-2</v>
      </c>
      <c r="AD8332" s="508">
        <v>3.7999999999999999E-2</v>
      </c>
      <c r="AE8332" s="508">
        <v>3.5999999999999997E-2</v>
      </c>
      <c r="AF8332" s="508">
        <v>3.2000000000000001E-2</v>
      </c>
      <c r="AG8332" s="508">
        <v>3.2000000000000001E-2</v>
      </c>
      <c r="AH8332" s="508">
        <v>3.1E-2</v>
      </c>
      <c r="AI8332" s="492">
        <v>3.1E-2</v>
      </c>
      <c r="AJ8332" s="485"/>
    </row>
    <row r="8333" spans="2:36">
      <c r="B8333" s="136" t="s">
        <v>486</v>
      </c>
      <c r="C8333" s="132" t="s">
        <v>1369</v>
      </c>
      <c r="D8333" s="132" t="s">
        <v>1384</v>
      </c>
      <c r="E8333" s="508">
        <v>1.788</v>
      </c>
      <c r="F8333" s="508">
        <v>1.7629999999999999</v>
      </c>
      <c r="G8333" s="508">
        <v>1.8129999999999999</v>
      </c>
      <c r="H8333" s="508">
        <v>1.8</v>
      </c>
      <c r="I8333" s="508">
        <v>1.772</v>
      </c>
      <c r="J8333" s="508">
        <v>1.7689999999999999</v>
      </c>
      <c r="K8333" s="508">
        <v>1.7330000000000001</v>
      </c>
      <c r="L8333" s="508">
        <v>1.71</v>
      </c>
      <c r="M8333" s="508">
        <v>1.6819999999999999</v>
      </c>
      <c r="N8333" s="508">
        <v>1.653</v>
      </c>
      <c r="O8333" s="508">
        <v>1.6240000000000001</v>
      </c>
      <c r="P8333" s="508">
        <v>0.66200000000000003</v>
      </c>
      <c r="Q8333" s="508">
        <v>0.65</v>
      </c>
      <c r="R8333" s="508">
        <v>0.51700000000000002</v>
      </c>
      <c r="S8333" s="508">
        <v>0.48199999999999998</v>
      </c>
      <c r="T8333" s="508">
        <v>0.47499999999999998</v>
      </c>
      <c r="U8333" s="508">
        <v>0.30599999999999999</v>
      </c>
      <c r="V8333" s="508">
        <v>0.222</v>
      </c>
      <c r="W8333" s="508">
        <v>0.17799999999999999</v>
      </c>
      <c r="X8333" s="508">
        <v>0.13100000000000001</v>
      </c>
      <c r="Y8333" s="508">
        <v>0.107</v>
      </c>
      <c r="Z8333" s="508">
        <v>6.4000000000000001E-2</v>
      </c>
      <c r="AA8333" s="508">
        <v>6.2E-2</v>
      </c>
      <c r="AB8333" s="508">
        <v>5.3999999999999999E-2</v>
      </c>
      <c r="AC8333" s="508">
        <v>5.2999999999999999E-2</v>
      </c>
      <c r="AD8333" s="508">
        <v>4.7E-2</v>
      </c>
      <c r="AE8333" s="508">
        <v>4.4999999999999998E-2</v>
      </c>
      <c r="AF8333" s="508">
        <v>3.9E-2</v>
      </c>
      <c r="AG8333" s="508">
        <v>3.9E-2</v>
      </c>
      <c r="AH8333" s="508">
        <v>3.7999999999999999E-2</v>
      </c>
      <c r="AI8333" s="492">
        <v>3.6999999999999998E-2</v>
      </c>
      <c r="AJ8333" s="485"/>
    </row>
    <row r="8334" spans="2:36">
      <c r="B8334" s="136" t="s">
        <v>487</v>
      </c>
      <c r="C8334" s="132" t="s">
        <v>1369</v>
      </c>
      <c r="D8334" s="132" t="s">
        <v>1384</v>
      </c>
      <c r="E8334" s="508">
        <v>1.625</v>
      </c>
      <c r="F8334" s="508">
        <v>1.599</v>
      </c>
      <c r="G8334" s="508">
        <v>1.6140000000000001</v>
      </c>
      <c r="H8334" s="508">
        <v>1.601</v>
      </c>
      <c r="I8334" s="508">
        <v>1.59</v>
      </c>
      <c r="J8334" s="508">
        <v>1.587</v>
      </c>
      <c r="K8334" s="508">
        <v>1.554</v>
      </c>
      <c r="L8334" s="508">
        <v>1.534</v>
      </c>
      <c r="M8334" s="508">
        <v>1.512</v>
      </c>
      <c r="N8334" s="508">
        <v>1.4870000000000001</v>
      </c>
      <c r="O8334" s="508">
        <v>1.464</v>
      </c>
      <c r="P8334" s="508">
        <v>0.6</v>
      </c>
      <c r="Q8334" s="508">
        <v>0.59399999999999997</v>
      </c>
      <c r="R8334" s="508">
        <v>0.49399999999999999</v>
      </c>
      <c r="S8334" s="508">
        <v>0.46600000000000003</v>
      </c>
      <c r="T8334" s="508">
        <v>0.45800000000000002</v>
      </c>
      <c r="U8334" s="508">
        <v>0.29399999999999998</v>
      </c>
      <c r="V8334" s="508">
        <v>0.21</v>
      </c>
      <c r="W8334" s="508">
        <v>0.16700000000000001</v>
      </c>
      <c r="X8334" s="508">
        <v>0.122</v>
      </c>
      <c r="Y8334" s="508">
        <v>9.9000000000000005E-2</v>
      </c>
      <c r="Z8334" s="508">
        <v>5.7000000000000002E-2</v>
      </c>
      <c r="AA8334" s="508">
        <v>5.5E-2</v>
      </c>
      <c r="AB8334" s="508">
        <v>4.9000000000000002E-2</v>
      </c>
      <c r="AC8334" s="508">
        <v>4.7E-2</v>
      </c>
      <c r="AD8334" s="508">
        <v>4.2999999999999997E-2</v>
      </c>
      <c r="AE8334" s="508">
        <v>4.1000000000000002E-2</v>
      </c>
      <c r="AF8334" s="508">
        <v>3.5999999999999997E-2</v>
      </c>
      <c r="AG8334" s="508">
        <v>3.5000000000000003E-2</v>
      </c>
      <c r="AH8334" s="508">
        <v>3.5000000000000003E-2</v>
      </c>
      <c r="AI8334" s="492">
        <v>3.4000000000000002E-2</v>
      </c>
      <c r="AJ8334" s="485"/>
    </row>
    <row r="8335" spans="2:36">
      <c r="B8335" s="136" t="s">
        <v>488</v>
      </c>
      <c r="C8335" s="132" t="s">
        <v>1369</v>
      </c>
      <c r="D8335" s="132" t="s">
        <v>1384</v>
      </c>
      <c r="E8335" s="508">
        <v>1.696</v>
      </c>
      <c r="F8335" s="508">
        <v>1.67</v>
      </c>
      <c r="G8335" s="508">
        <v>1.726</v>
      </c>
      <c r="H8335" s="508">
        <v>1.71</v>
      </c>
      <c r="I8335" s="508">
        <v>1.698</v>
      </c>
      <c r="J8335" s="508">
        <v>1.6950000000000001</v>
      </c>
      <c r="K8335" s="508">
        <v>1.659</v>
      </c>
      <c r="L8335" s="508">
        <v>1.6359999999999999</v>
      </c>
      <c r="M8335" s="508">
        <v>1.61</v>
      </c>
      <c r="N8335" s="508">
        <v>1.583</v>
      </c>
      <c r="O8335" s="508">
        <v>1.5569999999999999</v>
      </c>
      <c r="P8335" s="508">
        <v>0.64500000000000002</v>
      </c>
      <c r="Q8335" s="508">
        <v>0.63700000000000001</v>
      </c>
      <c r="R8335" s="508">
        <v>0.52</v>
      </c>
      <c r="S8335" s="508">
        <v>0.48799999999999999</v>
      </c>
      <c r="T8335" s="508">
        <v>0.48</v>
      </c>
      <c r="U8335" s="508">
        <v>0.312</v>
      </c>
      <c r="V8335" s="508">
        <v>0.223</v>
      </c>
      <c r="W8335" s="508">
        <v>0.17799999999999999</v>
      </c>
      <c r="X8335" s="508">
        <v>0.129</v>
      </c>
      <c r="Y8335" s="508">
        <v>0.105</v>
      </c>
      <c r="Z8335" s="508">
        <v>6.2E-2</v>
      </c>
      <c r="AA8335" s="508">
        <v>5.8999999999999997E-2</v>
      </c>
      <c r="AB8335" s="508">
        <v>5.1999999999999998E-2</v>
      </c>
      <c r="AC8335" s="508">
        <v>0.05</v>
      </c>
      <c r="AD8335" s="508">
        <v>4.4999999999999998E-2</v>
      </c>
      <c r="AE8335" s="508">
        <v>4.2999999999999997E-2</v>
      </c>
      <c r="AF8335" s="508">
        <v>3.6999999999999998E-2</v>
      </c>
      <c r="AG8335" s="508">
        <v>3.6999999999999998E-2</v>
      </c>
      <c r="AH8335" s="508">
        <v>3.5999999999999997E-2</v>
      </c>
      <c r="AI8335" s="492">
        <v>3.5000000000000003E-2</v>
      </c>
      <c r="AJ8335" s="485"/>
    </row>
    <row r="8336" spans="2:36">
      <c r="B8336" s="136" t="s">
        <v>489</v>
      </c>
      <c r="C8336" s="132" t="s">
        <v>1369</v>
      </c>
      <c r="D8336" s="132" t="s">
        <v>1384</v>
      </c>
      <c r="E8336" s="508">
        <v>1.524</v>
      </c>
      <c r="F8336" s="508">
        <v>1.5</v>
      </c>
      <c r="G8336" s="508">
        <v>1.546</v>
      </c>
      <c r="H8336" s="508">
        <v>1.5329999999999999</v>
      </c>
      <c r="I8336" s="508">
        <v>1.5229999999999999</v>
      </c>
      <c r="J8336" s="508">
        <v>1.52</v>
      </c>
      <c r="K8336" s="508">
        <v>1.488</v>
      </c>
      <c r="L8336" s="508">
        <v>1.4690000000000001</v>
      </c>
      <c r="M8336" s="508">
        <v>1.4470000000000001</v>
      </c>
      <c r="N8336" s="508">
        <v>1.423</v>
      </c>
      <c r="O8336" s="508">
        <v>1.4</v>
      </c>
      <c r="P8336" s="508">
        <v>0.56200000000000006</v>
      </c>
      <c r="Q8336" s="508">
        <v>0.55600000000000005</v>
      </c>
      <c r="R8336" s="508">
        <v>0.46100000000000002</v>
      </c>
      <c r="S8336" s="508">
        <v>0.435</v>
      </c>
      <c r="T8336" s="508">
        <v>0.42799999999999999</v>
      </c>
      <c r="U8336" s="508">
        <v>0.27300000000000002</v>
      </c>
      <c r="V8336" s="508">
        <v>0.19600000000000001</v>
      </c>
      <c r="W8336" s="508">
        <v>0.156</v>
      </c>
      <c r="X8336" s="508">
        <v>0.115</v>
      </c>
      <c r="Y8336" s="508">
        <v>9.4E-2</v>
      </c>
      <c r="Z8336" s="508">
        <v>5.3999999999999999E-2</v>
      </c>
      <c r="AA8336" s="508">
        <v>5.1999999999999998E-2</v>
      </c>
      <c r="AB8336" s="508">
        <v>4.7E-2</v>
      </c>
      <c r="AC8336" s="508">
        <v>4.4999999999999998E-2</v>
      </c>
      <c r="AD8336" s="508">
        <v>4.1000000000000002E-2</v>
      </c>
      <c r="AE8336" s="508">
        <v>3.9E-2</v>
      </c>
      <c r="AF8336" s="508">
        <v>3.4000000000000002E-2</v>
      </c>
      <c r="AG8336" s="508">
        <v>3.4000000000000002E-2</v>
      </c>
      <c r="AH8336" s="508">
        <v>3.3000000000000002E-2</v>
      </c>
      <c r="AI8336" s="492">
        <v>3.2000000000000001E-2</v>
      </c>
      <c r="AJ8336" s="485"/>
    </row>
    <row r="8337" spans="2:36">
      <c r="B8337" s="136" t="s">
        <v>490</v>
      </c>
      <c r="C8337" s="132" t="s">
        <v>1369</v>
      </c>
      <c r="D8337" s="132" t="s">
        <v>1384</v>
      </c>
      <c r="E8337" s="508">
        <v>1.5629999999999999</v>
      </c>
      <c r="F8337" s="508">
        <v>1.54</v>
      </c>
      <c r="G8337" s="508">
        <v>1.591</v>
      </c>
      <c r="H8337" s="508">
        <v>1.577</v>
      </c>
      <c r="I8337" s="508">
        <v>1.5660000000000001</v>
      </c>
      <c r="J8337" s="508">
        <v>1.5620000000000001</v>
      </c>
      <c r="K8337" s="508">
        <v>1.53</v>
      </c>
      <c r="L8337" s="508">
        <v>1.508</v>
      </c>
      <c r="M8337" s="508">
        <v>1.484</v>
      </c>
      <c r="N8337" s="508">
        <v>1.46</v>
      </c>
      <c r="O8337" s="508">
        <v>1.4370000000000001</v>
      </c>
      <c r="P8337" s="508">
        <v>0.58499999999999996</v>
      </c>
      <c r="Q8337" s="508">
        <v>0.57699999999999996</v>
      </c>
      <c r="R8337" s="508">
        <v>0.48099999999999998</v>
      </c>
      <c r="S8337" s="508">
        <v>0.45300000000000001</v>
      </c>
      <c r="T8337" s="508">
        <v>0.44500000000000001</v>
      </c>
      <c r="U8337" s="508">
        <v>0.28799999999999998</v>
      </c>
      <c r="V8337" s="508">
        <v>0.20899999999999999</v>
      </c>
      <c r="W8337" s="508">
        <v>0.16900000000000001</v>
      </c>
      <c r="X8337" s="508">
        <v>0.121</v>
      </c>
      <c r="Y8337" s="508">
        <v>9.9000000000000005E-2</v>
      </c>
      <c r="Z8337" s="508">
        <v>5.8000000000000003E-2</v>
      </c>
      <c r="AA8337" s="508">
        <v>5.6000000000000001E-2</v>
      </c>
      <c r="AB8337" s="508">
        <v>4.9000000000000002E-2</v>
      </c>
      <c r="AC8337" s="508">
        <v>4.7E-2</v>
      </c>
      <c r="AD8337" s="508">
        <v>4.2000000000000003E-2</v>
      </c>
      <c r="AE8337" s="508">
        <v>3.9E-2</v>
      </c>
      <c r="AF8337" s="508">
        <v>3.4000000000000002E-2</v>
      </c>
      <c r="AG8337" s="508">
        <v>3.4000000000000002E-2</v>
      </c>
      <c r="AH8337" s="508">
        <v>3.3000000000000002E-2</v>
      </c>
      <c r="AI8337" s="492">
        <v>3.2000000000000001E-2</v>
      </c>
      <c r="AJ8337" s="485"/>
    </row>
    <row r="8338" spans="2:36">
      <c r="B8338" s="136" t="s">
        <v>435</v>
      </c>
      <c r="C8338" s="132" t="s">
        <v>1370</v>
      </c>
      <c r="D8338" s="132" t="s">
        <v>1384</v>
      </c>
      <c r="E8338" s="508">
        <v>5.7000000000000002E-2</v>
      </c>
      <c r="F8338" s="508">
        <v>5.6000000000000001E-2</v>
      </c>
      <c r="G8338" s="508">
        <v>5.5E-2</v>
      </c>
      <c r="H8338" s="508">
        <v>5.5E-2</v>
      </c>
      <c r="I8338" s="508">
        <v>5.5E-2</v>
      </c>
      <c r="J8338" s="508">
        <v>5.5E-2</v>
      </c>
      <c r="K8338" s="508">
        <v>5.5E-2</v>
      </c>
      <c r="L8338" s="508">
        <v>5.5E-2</v>
      </c>
      <c r="M8338" s="508">
        <v>5.5E-2</v>
      </c>
      <c r="N8338" s="508">
        <v>5.5E-2</v>
      </c>
      <c r="O8338" s="508">
        <v>5.5E-2</v>
      </c>
      <c r="P8338" s="508">
        <v>5.5E-2</v>
      </c>
      <c r="Q8338" s="508">
        <v>5.2999999999999999E-2</v>
      </c>
      <c r="R8338" s="508">
        <v>5.5E-2</v>
      </c>
      <c r="S8338" s="508">
        <v>5.2999999999999999E-2</v>
      </c>
      <c r="T8338" s="508">
        <v>5.2999999999999999E-2</v>
      </c>
      <c r="U8338" s="508">
        <v>5.5E-2</v>
      </c>
      <c r="V8338" s="508">
        <v>5.5E-2</v>
      </c>
      <c r="W8338" s="508">
        <v>5.2999999999999999E-2</v>
      </c>
      <c r="X8338" s="508">
        <v>5.2999999999999999E-2</v>
      </c>
      <c r="Y8338" s="508">
        <v>5.2999999999999999E-2</v>
      </c>
      <c r="Z8338" s="508">
        <v>5.2999999999999999E-2</v>
      </c>
      <c r="AA8338" s="508">
        <v>5.2999999999999999E-2</v>
      </c>
      <c r="AB8338" s="508">
        <v>5.2999999999999999E-2</v>
      </c>
      <c r="AC8338" s="508">
        <v>5.2999999999999999E-2</v>
      </c>
      <c r="AD8338" s="508">
        <v>5.2999999999999999E-2</v>
      </c>
      <c r="AE8338" s="508">
        <v>5.2999999999999999E-2</v>
      </c>
      <c r="AF8338" s="508">
        <v>5.2999999999999999E-2</v>
      </c>
      <c r="AG8338" s="508">
        <v>5.2999999999999999E-2</v>
      </c>
      <c r="AH8338" s="508">
        <v>5.0999999999999997E-2</v>
      </c>
      <c r="AI8338" s="492">
        <v>5.0999999999999997E-2</v>
      </c>
      <c r="AJ8338" s="485"/>
    </row>
    <row r="8339" spans="2:36">
      <c r="B8339" s="136" t="s">
        <v>436</v>
      </c>
      <c r="C8339" s="132" t="s">
        <v>1370</v>
      </c>
      <c r="D8339" s="132" t="s">
        <v>1384</v>
      </c>
      <c r="E8339" s="508">
        <v>5.6000000000000001E-2</v>
      </c>
      <c r="F8339" s="508">
        <v>5.5E-2</v>
      </c>
      <c r="G8339" s="508">
        <v>5.3999999999999999E-2</v>
      </c>
      <c r="H8339" s="508">
        <v>5.3999999999999999E-2</v>
      </c>
      <c r="I8339" s="508">
        <v>5.3999999999999999E-2</v>
      </c>
      <c r="J8339" s="508">
        <v>5.3999999999999999E-2</v>
      </c>
      <c r="K8339" s="508">
        <v>5.3999999999999999E-2</v>
      </c>
      <c r="L8339" s="508">
        <v>5.2999999999999999E-2</v>
      </c>
      <c r="M8339" s="508">
        <v>5.2999999999999999E-2</v>
      </c>
      <c r="N8339" s="508">
        <v>5.2999999999999999E-2</v>
      </c>
      <c r="O8339" s="508">
        <v>5.2999999999999999E-2</v>
      </c>
      <c r="P8339" s="508">
        <v>5.2999999999999999E-2</v>
      </c>
      <c r="Q8339" s="508">
        <v>5.1999999999999998E-2</v>
      </c>
      <c r="R8339" s="508">
        <v>5.2999999999999999E-2</v>
      </c>
      <c r="S8339" s="508">
        <v>5.1999999999999998E-2</v>
      </c>
      <c r="T8339" s="508">
        <v>5.1999999999999998E-2</v>
      </c>
      <c r="U8339" s="508">
        <v>5.2999999999999999E-2</v>
      </c>
      <c r="V8339" s="508">
        <v>5.2999999999999999E-2</v>
      </c>
      <c r="W8339" s="508">
        <v>5.1999999999999998E-2</v>
      </c>
      <c r="X8339" s="508">
        <v>5.1999999999999998E-2</v>
      </c>
      <c r="Y8339" s="508">
        <v>5.1999999999999998E-2</v>
      </c>
      <c r="Z8339" s="508">
        <v>5.1999999999999998E-2</v>
      </c>
      <c r="AA8339" s="508">
        <v>5.1999999999999998E-2</v>
      </c>
      <c r="AB8339" s="508">
        <v>5.1999999999999998E-2</v>
      </c>
      <c r="AC8339" s="508">
        <v>5.1999999999999998E-2</v>
      </c>
      <c r="AD8339" s="508">
        <v>5.1999999999999998E-2</v>
      </c>
      <c r="AE8339" s="508">
        <v>5.1999999999999998E-2</v>
      </c>
      <c r="AF8339" s="508">
        <v>5.1999999999999998E-2</v>
      </c>
      <c r="AG8339" s="508">
        <v>5.1999999999999998E-2</v>
      </c>
      <c r="AH8339" s="508">
        <v>4.9000000000000002E-2</v>
      </c>
      <c r="AI8339" s="492">
        <v>4.9000000000000002E-2</v>
      </c>
      <c r="AJ8339" s="485"/>
    </row>
    <row r="8340" spans="2:36">
      <c r="B8340" s="136" t="s">
        <v>437</v>
      </c>
      <c r="C8340" s="132" t="s">
        <v>1370</v>
      </c>
      <c r="D8340" s="132" t="s">
        <v>1384</v>
      </c>
      <c r="E8340" s="508">
        <v>5.8000000000000003E-2</v>
      </c>
      <c r="F8340" s="508">
        <v>5.7000000000000002E-2</v>
      </c>
      <c r="G8340" s="508">
        <v>5.6000000000000001E-2</v>
      </c>
      <c r="H8340" s="508">
        <v>5.6000000000000001E-2</v>
      </c>
      <c r="I8340" s="508">
        <v>5.6000000000000001E-2</v>
      </c>
      <c r="J8340" s="508">
        <v>5.6000000000000001E-2</v>
      </c>
      <c r="K8340" s="508">
        <v>5.6000000000000001E-2</v>
      </c>
      <c r="L8340" s="508">
        <v>5.6000000000000001E-2</v>
      </c>
      <c r="M8340" s="508">
        <v>5.6000000000000001E-2</v>
      </c>
      <c r="N8340" s="508">
        <v>5.6000000000000001E-2</v>
      </c>
      <c r="O8340" s="508">
        <v>5.6000000000000001E-2</v>
      </c>
      <c r="P8340" s="508">
        <v>5.6000000000000001E-2</v>
      </c>
      <c r="Q8340" s="508">
        <v>5.5E-2</v>
      </c>
      <c r="R8340" s="508">
        <v>5.6000000000000001E-2</v>
      </c>
      <c r="S8340" s="508">
        <v>5.5E-2</v>
      </c>
      <c r="T8340" s="508">
        <v>5.5E-2</v>
      </c>
      <c r="U8340" s="508">
        <v>5.6000000000000001E-2</v>
      </c>
      <c r="V8340" s="508">
        <v>5.6000000000000001E-2</v>
      </c>
      <c r="W8340" s="508">
        <v>5.5E-2</v>
      </c>
      <c r="X8340" s="508">
        <v>5.5E-2</v>
      </c>
      <c r="Y8340" s="508">
        <v>5.5E-2</v>
      </c>
      <c r="Z8340" s="508">
        <v>5.5E-2</v>
      </c>
      <c r="AA8340" s="508">
        <v>5.5E-2</v>
      </c>
      <c r="AB8340" s="508">
        <v>5.5E-2</v>
      </c>
      <c r="AC8340" s="508">
        <v>5.5E-2</v>
      </c>
      <c r="AD8340" s="508">
        <v>5.5E-2</v>
      </c>
      <c r="AE8340" s="508">
        <v>5.5E-2</v>
      </c>
      <c r="AF8340" s="508">
        <v>5.5E-2</v>
      </c>
      <c r="AG8340" s="508">
        <v>5.5E-2</v>
      </c>
      <c r="AH8340" s="508">
        <v>5.2999999999999999E-2</v>
      </c>
      <c r="AI8340" s="492">
        <v>5.2999999999999999E-2</v>
      </c>
      <c r="AJ8340" s="485"/>
    </row>
    <row r="8341" spans="2:36">
      <c r="B8341" s="136" t="s">
        <v>438</v>
      </c>
      <c r="C8341" s="132" t="s">
        <v>1370</v>
      </c>
      <c r="D8341" s="132" t="s">
        <v>1384</v>
      </c>
      <c r="E8341" s="508">
        <v>5.6000000000000001E-2</v>
      </c>
      <c r="F8341" s="508">
        <v>5.5E-2</v>
      </c>
      <c r="G8341" s="508">
        <v>5.5E-2</v>
      </c>
      <c r="H8341" s="508">
        <v>5.3999999999999999E-2</v>
      </c>
      <c r="I8341" s="508">
        <v>5.3999999999999999E-2</v>
      </c>
      <c r="J8341" s="508">
        <v>5.3999999999999999E-2</v>
      </c>
      <c r="K8341" s="508">
        <v>5.3999999999999999E-2</v>
      </c>
      <c r="L8341" s="508">
        <v>5.3999999999999999E-2</v>
      </c>
      <c r="M8341" s="508">
        <v>5.3999999999999999E-2</v>
      </c>
      <c r="N8341" s="508">
        <v>5.3999999999999999E-2</v>
      </c>
      <c r="O8341" s="508">
        <v>5.3999999999999999E-2</v>
      </c>
      <c r="P8341" s="508">
        <v>5.3999999999999999E-2</v>
      </c>
      <c r="Q8341" s="508">
        <v>5.2999999999999999E-2</v>
      </c>
      <c r="R8341" s="508">
        <v>5.3999999999999999E-2</v>
      </c>
      <c r="S8341" s="508">
        <v>5.2999999999999999E-2</v>
      </c>
      <c r="T8341" s="508">
        <v>5.2999999999999999E-2</v>
      </c>
      <c r="U8341" s="508">
        <v>5.3999999999999999E-2</v>
      </c>
      <c r="V8341" s="508">
        <v>5.3999999999999999E-2</v>
      </c>
      <c r="W8341" s="508">
        <v>5.2999999999999999E-2</v>
      </c>
      <c r="X8341" s="508">
        <v>5.2999999999999999E-2</v>
      </c>
      <c r="Y8341" s="508">
        <v>5.2999999999999999E-2</v>
      </c>
      <c r="Z8341" s="508">
        <v>5.2999999999999999E-2</v>
      </c>
      <c r="AA8341" s="508">
        <v>5.2999999999999999E-2</v>
      </c>
      <c r="AB8341" s="508">
        <v>5.2999999999999999E-2</v>
      </c>
      <c r="AC8341" s="508">
        <v>5.2999999999999999E-2</v>
      </c>
      <c r="AD8341" s="508">
        <v>5.2999999999999999E-2</v>
      </c>
      <c r="AE8341" s="508">
        <v>5.2999999999999999E-2</v>
      </c>
      <c r="AF8341" s="508">
        <v>5.2999999999999999E-2</v>
      </c>
      <c r="AG8341" s="508">
        <v>5.2999999999999999E-2</v>
      </c>
      <c r="AH8341" s="508">
        <v>5.0999999999999997E-2</v>
      </c>
      <c r="AI8341" s="492">
        <v>5.0999999999999997E-2</v>
      </c>
      <c r="AJ8341" s="485"/>
    </row>
    <row r="8342" spans="2:36">
      <c r="B8342" s="136" t="s">
        <v>439</v>
      </c>
      <c r="C8342" s="132" t="s">
        <v>1370</v>
      </c>
      <c r="D8342" s="132" t="s">
        <v>1384</v>
      </c>
      <c r="E8342" s="508">
        <v>5.7000000000000002E-2</v>
      </c>
      <c r="F8342" s="508">
        <v>5.6000000000000001E-2</v>
      </c>
      <c r="G8342" s="508">
        <v>5.5E-2</v>
      </c>
      <c r="H8342" s="508">
        <v>5.5E-2</v>
      </c>
      <c r="I8342" s="508">
        <v>5.5E-2</v>
      </c>
      <c r="J8342" s="508">
        <v>5.5E-2</v>
      </c>
      <c r="K8342" s="508">
        <v>5.5E-2</v>
      </c>
      <c r="L8342" s="508">
        <v>5.5E-2</v>
      </c>
      <c r="M8342" s="508">
        <v>5.5E-2</v>
      </c>
      <c r="N8342" s="508">
        <v>5.5E-2</v>
      </c>
      <c r="O8342" s="508">
        <v>5.5E-2</v>
      </c>
      <c r="P8342" s="508">
        <v>5.5E-2</v>
      </c>
      <c r="Q8342" s="508">
        <v>5.2999999999999999E-2</v>
      </c>
      <c r="R8342" s="508">
        <v>5.5E-2</v>
      </c>
      <c r="S8342" s="508">
        <v>5.2999999999999999E-2</v>
      </c>
      <c r="T8342" s="508">
        <v>5.2999999999999999E-2</v>
      </c>
      <c r="U8342" s="508">
        <v>5.5E-2</v>
      </c>
      <c r="V8342" s="508">
        <v>5.5E-2</v>
      </c>
      <c r="W8342" s="508">
        <v>5.2999999999999999E-2</v>
      </c>
      <c r="X8342" s="508">
        <v>5.2999999999999999E-2</v>
      </c>
      <c r="Y8342" s="508">
        <v>5.2999999999999999E-2</v>
      </c>
      <c r="Z8342" s="508">
        <v>5.2999999999999999E-2</v>
      </c>
      <c r="AA8342" s="508">
        <v>5.2999999999999999E-2</v>
      </c>
      <c r="AB8342" s="508">
        <v>5.2999999999999999E-2</v>
      </c>
      <c r="AC8342" s="508">
        <v>5.2999999999999999E-2</v>
      </c>
      <c r="AD8342" s="508">
        <v>5.2999999999999999E-2</v>
      </c>
      <c r="AE8342" s="508">
        <v>5.2999999999999999E-2</v>
      </c>
      <c r="AF8342" s="508">
        <v>5.2999999999999999E-2</v>
      </c>
      <c r="AG8342" s="508">
        <v>5.2999999999999999E-2</v>
      </c>
      <c r="AH8342" s="508">
        <v>5.0999999999999997E-2</v>
      </c>
      <c r="AI8342" s="492">
        <v>5.0999999999999997E-2</v>
      </c>
      <c r="AJ8342" s="485"/>
    </row>
    <row r="8343" spans="2:36">
      <c r="B8343" s="136" t="s">
        <v>440</v>
      </c>
      <c r="C8343" s="132" t="s">
        <v>1370</v>
      </c>
      <c r="D8343" s="132" t="s">
        <v>1384</v>
      </c>
      <c r="E8343" s="508">
        <v>5.7000000000000002E-2</v>
      </c>
      <c r="F8343" s="508">
        <v>5.6000000000000001E-2</v>
      </c>
      <c r="G8343" s="508">
        <v>5.5E-2</v>
      </c>
      <c r="H8343" s="508">
        <v>5.5E-2</v>
      </c>
      <c r="I8343" s="508">
        <v>5.5E-2</v>
      </c>
      <c r="J8343" s="508">
        <v>5.5E-2</v>
      </c>
      <c r="K8343" s="508">
        <v>5.3999999999999999E-2</v>
      </c>
      <c r="L8343" s="508">
        <v>5.3999999999999999E-2</v>
      </c>
      <c r="M8343" s="508">
        <v>5.3999999999999999E-2</v>
      </c>
      <c r="N8343" s="508">
        <v>5.3999999999999999E-2</v>
      </c>
      <c r="O8343" s="508">
        <v>5.3999999999999999E-2</v>
      </c>
      <c r="P8343" s="508">
        <v>5.3999999999999999E-2</v>
      </c>
      <c r="Q8343" s="508">
        <v>5.2999999999999999E-2</v>
      </c>
      <c r="R8343" s="508">
        <v>5.3999999999999999E-2</v>
      </c>
      <c r="S8343" s="508">
        <v>5.2999999999999999E-2</v>
      </c>
      <c r="T8343" s="508">
        <v>5.2999999999999999E-2</v>
      </c>
      <c r="U8343" s="508">
        <v>5.3999999999999999E-2</v>
      </c>
      <c r="V8343" s="508">
        <v>5.3999999999999999E-2</v>
      </c>
      <c r="W8343" s="508">
        <v>5.2999999999999999E-2</v>
      </c>
      <c r="X8343" s="508">
        <v>5.2999999999999999E-2</v>
      </c>
      <c r="Y8343" s="508">
        <v>5.2999999999999999E-2</v>
      </c>
      <c r="Z8343" s="508">
        <v>5.2999999999999999E-2</v>
      </c>
      <c r="AA8343" s="508">
        <v>5.2999999999999999E-2</v>
      </c>
      <c r="AB8343" s="508">
        <v>5.2999999999999999E-2</v>
      </c>
      <c r="AC8343" s="508">
        <v>5.2999999999999999E-2</v>
      </c>
      <c r="AD8343" s="508">
        <v>5.2999999999999999E-2</v>
      </c>
      <c r="AE8343" s="508">
        <v>5.2999999999999999E-2</v>
      </c>
      <c r="AF8343" s="508">
        <v>5.2999999999999999E-2</v>
      </c>
      <c r="AG8343" s="508">
        <v>5.2999999999999999E-2</v>
      </c>
      <c r="AH8343" s="508">
        <v>0.05</v>
      </c>
      <c r="AI8343" s="492">
        <v>0.05</v>
      </c>
      <c r="AJ8343" s="485"/>
    </row>
    <row r="8344" spans="2:36">
      <c r="B8344" s="136" t="s">
        <v>441</v>
      </c>
      <c r="C8344" s="132" t="s">
        <v>1370</v>
      </c>
      <c r="D8344" s="132" t="s">
        <v>1384</v>
      </c>
      <c r="E8344" s="508">
        <v>5.8000000000000003E-2</v>
      </c>
      <c r="F8344" s="508">
        <v>5.6000000000000001E-2</v>
      </c>
      <c r="G8344" s="508">
        <v>5.6000000000000001E-2</v>
      </c>
      <c r="H8344" s="508">
        <v>5.5E-2</v>
      </c>
      <c r="I8344" s="508">
        <v>5.5E-2</v>
      </c>
      <c r="J8344" s="508">
        <v>5.5E-2</v>
      </c>
      <c r="K8344" s="508">
        <v>5.5E-2</v>
      </c>
      <c r="L8344" s="508">
        <v>5.5E-2</v>
      </c>
      <c r="M8344" s="508">
        <v>5.5E-2</v>
      </c>
      <c r="N8344" s="508">
        <v>5.5E-2</v>
      </c>
      <c r="O8344" s="508">
        <v>5.5E-2</v>
      </c>
      <c r="P8344" s="508">
        <v>5.5E-2</v>
      </c>
      <c r="Q8344" s="508">
        <v>5.2999999999999999E-2</v>
      </c>
      <c r="R8344" s="508">
        <v>5.5E-2</v>
      </c>
      <c r="S8344" s="508">
        <v>5.2999999999999999E-2</v>
      </c>
      <c r="T8344" s="508">
        <v>5.2999999999999999E-2</v>
      </c>
      <c r="U8344" s="508">
        <v>5.5E-2</v>
      </c>
      <c r="V8344" s="508">
        <v>5.5E-2</v>
      </c>
      <c r="W8344" s="508">
        <v>5.2999999999999999E-2</v>
      </c>
      <c r="X8344" s="508">
        <v>5.2999999999999999E-2</v>
      </c>
      <c r="Y8344" s="508">
        <v>5.2999999999999999E-2</v>
      </c>
      <c r="Z8344" s="508">
        <v>5.2999999999999999E-2</v>
      </c>
      <c r="AA8344" s="508">
        <v>5.2999999999999999E-2</v>
      </c>
      <c r="AB8344" s="508">
        <v>5.2999999999999999E-2</v>
      </c>
      <c r="AC8344" s="508">
        <v>5.2999999999999999E-2</v>
      </c>
      <c r="AD8344" s="508">
        <v>5.2999999999999999E-2</v>
      </c>
      <c r="AE8344" s="508">
        <v>5.2999999999999999E-2</v>
      </c>
      <c r="AF8344" s="508">
        <v>5.2999999999999999E-2</v>
      </c>
      <c r="AG8344" s="508">
        <v>5.2999999999999999E-2</v>
      </c>
      <c r="AH8344" s="508">
        <v>5.0999999999999997E-2</v>
      </c>
      <c r="AI8344" s="492">
        <v>5.0999999999999997E-2</v>
      </c>
      <c r="AJ8344" s="485"/>
    </row>
    <row r="8345" spans="2:36">
      <c r="B8345" s="136" t="s">
        <v>443</v>
      </c>
      <c r="C8345" s="132" t="s">
        <v>1370</v>
      </c>
      <c r="D8345" s="132" t="s">
        <v>1384</v>
      </c>
      <c r="E8345" s="508">
        <v>5.8000000000000003E-2</v>
      </c>
      <c r="F8345" s="508">
        <v>5.6000000000000001E-2</v>
      </c>
      <c r="G8345" s="508">
        <v>5.5E-2</v>
      </c>
      <c r="H8345" s="508">
        <v>5.5E-2</v>
      </c>
      <c r="I8345" s="508">
        <v>5.5E-2</v>
      </c>
      <c r="J8345" s="508">
        <v>5.5E-2</v>
      </c>
      <c r="K8345" s="508">
        <v>5.5E-2</v>
      </c>
      <c r="L8345" s="508">
        <v>5.5E-2</v>
      </c>
      <c r="M8345" s="508">
        <v>5.5E-2</v>
      </c>
      <c r="N8345" s="508">
        <v>5.5E-2</v>
      </c>
      <c r="O8345" s="508">
        <v>5.5E-2</v>
      </c>
      <c r="P8345" s="508">
        <v>5.5E-2</v>
      </c>
      <c r="Q8345" s="508">
        <v>5.2999999999999999E-2</v>
      </c>
      <c r="R8345" s="508">
        <v>5.5E-2</v>
      </c>
      <c r="S8345" s="508">
        <v>5.2999999999999999E-2</v>
      </c>
      <c r="T8345" s="508">
        <v>5.2999999999999999E-2</v>
      </c>
      <c r="U8345" s="508">
        <v>5.5E-2</v>
      </c>
      <c r="V8345" s="508">
        <v>5.5E-2</v>
      </c>
      <c r="W8345" s="508">
        <v>5.2999999999999999E-2</v>
      </c>
      <c r="X8345" s="508">
        <v>5.2999999999999999E-2</v>
      </c>
      <c r="Y8345" s="508">
        <v>5.2999999999999999E-2</v>
      </c>
      <c r="Z8345" s="508">
        <v>5.2999999999999999E-2</v>
      </c>
      <c r="AA8345" s="508">
        <v>5.2999999999999999E-2</v>
      </c>
      <c r="AB8345" s="508">
        <v>5.2999999999999999E-2</v>
      </c>
      <c r="AC8345" s="508">
        <v>5.2999999999999999E-2</v>
      </c>
      <c r="AD8345" s="508">
        <v>5.2999999999999999E-2</v>
      </c>
      <c r="AE8345" s="508">
        <v>5.2999999999999999E-2</v>
      </c>
      <c r="AF8345" s="508">
        <v>5.2999999999999999E-2</v>
      </c>
      <c r="AG8345" s="508">
        <v>5.2999999999999999E-2</v>
      </c>
      <c r="AH8345" s="508">
        <v>5.0999999999999997E-2</v>
      </c>
      <c r="AI8345" s="492">
        <v>5.0999999999999997E-2</v>
      </c>
      <c r="AJ8345" s="485"/>
    </row>
    <row r="8346" spans="2:36">
      <c r="B8346" s="136" t="s">
        <v>445</v>
      </c>
      <c r="C8346" s="132" t="s">
        <v>1370</v>
      </c>
      <c r="D8346" s="132" t="s">
        <v>1384</v>
      </c>
      <c r="E8346" s="508">
        <v>6.0999999999999999E-2</v>
      </c>
      <c r="F8346" s="508">
        <v>5.8999999999999997E-2</v>
      </c>
      <c r="G8346" s="508">
        <v>5.8000000000000003E-2</v>
      </c>
      <c r="H8346" s="508">
        <v>5.8000000000000003E-2</v>
      </c>
      <c r="I8346" s="508">
        <v>5.8000000000000003E-2</v>
      </c>
      <c r="J8346" s="508">
        <v>5.8000000000000003E-2</v>
      </c>
      <c r="K8346" s="508">
        <v>5.8000000000000003E-2</v>
      </c>
      <c r="L8346" s="508">
        <v>5.8000000000000003E-2</v>
      </c>
      <c r="M8346" s="508">
        <v>5.8000000000000003E-2</v>
      </c>
      <c r="N8346" s="508">
        <v>5.8000000000000003E-2</v>
      </c>
      <c r="O8346" s="508">
        <v>5.8000000000000003E-2</v>
      </c>
      <c r="P8346" s="508">
        <v>5.8000000000000003E-2</v>
      </c>
      <c r="Q8346" s="508">
        <v>5.6000000000000001E-2</v>
      </c>
      <c r="R8346" s="508">
        <v>5.8000000000000003E-2</v>
      </c>
      <c r="S8346" s="508">
        <v>5.6000000000000001E-2</v>
      </c>
      <c r="T8346" s="508">
        <v>5.6000000000000001E-2</v>
      </c>
      <c r="U8346" s="508">
        <v>5.7000000000000002E-2</v>
      </c>
      <c r="V8346" s="508">
        <v>5.7000000000000002E-2</v>
      </c>
      <c r="W8346" s="508">
        <v>5.6000000000000001E-2</v>
      </c>
      <c r="X8346" s="508">
        <v>5.6000000000000001E-2</v>
      </c>
      <c r="Y8346" s="508">
        <v>5.6000000000000001E-2</v>
      </c>
      <c r="Z8346" s="508">
        <v>5.6000000000000001E-2</v>
      </c>
      <c r="AA8346" s="508">
        <v>5.6000000000000001E-2</v>
      </c>
      <c r="AB8346" s="508">
        <v>5.6000000000000001E-2</v>
      </c>
      <c r="AC8346" s="508">
        <v>5.6000000000000001E-2</v>
      </c>
      <c r="AD8346" s="508">
        <v>5.6000000000000001E-2</v>
      </c>
      <c r="AE8346" s="508">
        <v>5.6000000000000001E-2</v>
      </c>
      <c r="AF8346" s="508">
        <v>5.6000000000000001E-2</v>
      </c>
      <c r="AG8346" s="508">
        <v>5.6000000000000001E-2</v>
      </c>
      <c r="AH8346" s="508">
        <v>5.2999999999999999E-2</v>
      </c>
      <c r="AI8346" s="492">
        <v>5.2999999999999999E-2</v>
      </c>
      <c r="AJ8346" s="485"/>
    </row>
    <row r="8347" spans="2:36">
      <c r="B8347" s="136" t="s">
        <v>446</v>
      </c>
      <c r="C8347" s="132" t="s">
        <v>1370</v>
      </c>
      <c r="D8347" s="132" t="s">
        <v>1384</v>
      </c>
      <c r="E8347" s="508">
        <v>5.8999999999999997E-2</v>
      </c>
      <c r="F8347" s="508">
        <v>5.8000000000000003E-2</v>
      </c>
      <c r="G8347" s="508">
        <v>5.8000000000000003E-2</v>
      </c>
      <c r="H8347" s="508">
        <v>5.8000000000000003E-2</v>
      </c>
      <c r="I8347" s="508">
        <v>5.8000000000000003E-2</v>
      </c>
      <c r="J8347" s="508">
        <v>5.8000000000000003E-2</v>
      </c>
      <c r="K8347" s="508">
        <v>5.8000000000000003E-2</v>
      </c>
      <c r="L8347" s="508">
        <v>5.8000000000000003E-2</v>
      </c>
      <c r="M8347" s="508">
        <v>5.8000000000000003E-2</v>
      </c>
      <c r="N8347" s="508">
        <v>5.8000000000000003E-2</v>
      </c>
      <c r="O8347" s="508">
        <v>5.8000000000000003E-2</v>
      </c>
      <c r="P8347" s="508">
        <v>5.8000000000000003E-2</v>
      </c>
      <c r="Q8347" s="508">
        <v>5.6000000000000001E-2</v>
      </c>
      <c r="R8347" s="508">
        <v>5.8000000000000003E-2</v>
      </c>
      <c r="S8347" s="508">
        <v>5.6000000000000001E-2</v>
      </c>
      <c r="T8347" s="508">
        <v>5.6000000000000001E-2</v>
      </c>
      <c r="U8347" s="508">
        <v>5.8000000000000003E-2</v>
      </c>
      <c r="V8347" s="508">
        <v>5.8000000000000003E-2</v>
      </c>
      <c r="W8347" s="508">
        <v>5.6000000000000001E-2</v>
      </c>
      <c r="X8347" s="508">
        <v>5.6000000000000001E-2</v>
      </c>
      <c r="Y8347" s="508">
        <v>5.6000000000000001E-2</v>
      </c>
      <c r="Z8347" s="508">
        <v>5.6000000000000001E-2</v>
      </c>
      <c r="AA8347" s="508">
        <v>5.6000000000000001E-2</v>
      </c>
      <c r="AB8347" s="508">
        <v>5.6000000000000001E-2</v>
      </c>
      <c r="AC8347" s="508">
        <v>5.6000000000000001E-2</v>
      </c>
      <c r="AD8347" s="508">
        <v>5.6000000000000001E-2</v>
      </c>
      <c r="AE8347" s="508">
        <v>5.6000000000000001E-2</v>
      </c>
      <c r="AF8347" s="508">
        <v>5.6000000000000001E-2</v>
      </c>
      <c r="AG8347" s="508">
        <v>5.6000000000000001E-2</v>
      </c>
      <c r="AH8347" s="508">
        <v>5.3999999999999999E-2</v>
      </c>
      <c r="AI8347" s="492">
        <v>5.3999999999999999E-2</v>
      </c>
      <c r="AJ8347" s="485"/>
    </row>
    <row r="8348" spans="2:36">
      <c r="B8348" s="136" t="s">
        <v>448</v>
      </c>
      <c r="C8348" s="132" t="s">
        <v>1370</v>
      </c>
      <c r="D8348" s="132" t="s">
        <v>1384</v>
      </c>
      <c r="E8348" s="508">
        <v>5.6000000000000001E-2</v>
      </c>
      <c r="F8348" s="508">
        <v>5.5E-2</v>
      </c>
      <c r="G8348" s="508">
        <v>5.5E-2</v>
      </c>
      <c r="H8348" s="508">
        <v>5.5E-2</v>
      </c>
      <c r="I8348" s="508">
        <v>5.5E-2</v>
      </c>
      <c r="J8348" s="508">
        <v>5.5E-2</v>
      </c>
      <c r="K8348" s="508">
        <v>5.5E-2</v>
      </c>
      <c r="L8348" s="508">
        <v>5.5E-2</v>
      </c>
      <c r="M8348" s="508">
        <v>5.5E-2</v>
      </c>
      <c r="N8348" s="508">
        <v>5.5E-2</v>
      </c>
      <c r="O8348" s="508">
        <v>5.5E-2</v>
      </c>
      <c r="P8348" s="508">
        <v>5.5E-2</v>
      </c>
      <c r="Q8348" s="508">
        <v>5.2999999999999999E-2</v>
      </c>
      <c r="R8348" s="508">
        <v>5.5E-2</v>
      </c>
      <c r="S8348" s="508">
        <v>5.2999999999999999E-2</v>
      </c>
      <c r="T8348" s="508">
        <v>5.2999999999999999E-2</v>
      </c>
      <c r="U8348" s="508">
        <v>5.5E-2</v>
      </c>
      <c r="V8348" s="508">
        <v>5.5E-2</v>
      </c>
      <c r="W8348" s="508">
        <v>5.2999999999999999E-2</v>
      </c>
      <c r="X8348" s="508">
        <v>5.2999999999999999E-2</v>
      </c>
      <c r="Y8348" s="508">
        <v>5.2999999999999999E-2</v>
      </c>
      <c r="Z8348" s="508">
        <v>5.2999999999999999E-2</v>
      </c>
      <c r="AA8348" s="508">
        <v>5.2999999999999999E-2</v>
      </c>
      <c r="AB8348" s="508">
        <v>5.2999999999999999E-2</v>
      </c>
      <c r="AC8348" s="508">
        <v>5.2999999999999999E-2</v>
      </c>
      <c r="AD8348" s="508">
        <v>5.2999999999999999E-2</v>
      </c>
      <c r="AE8348" s="508">
        <v>5.2999999999999999E-2</v>
      </c>
      <c r="AF8348" s="508">
        <v>5.2999999999999999E-2</v>
      </c>
      <c r="AG8348" s="508">
        <v>5.2999999999999999E-2</v>
      </c>
      <c r="AH8348" s="508">
        <v>5.0999999999999997E-2</v>
      </c>
      <c r="AI8348" s="492">
        <v>5.0999999999999997E-2</v>
      </c>
      <c r="AJ8348" s="485"/>
    </row>
    <row r="8349" spans="2:36">
      <c r="B8349" s="136" t="s">
        <v>449</v>
      </c>
      <c r="C8349" s="132" t="s">
        <v>1370</v>
      </c>
      <c r="D8349" s="132" t="s">
        <v>1384</v>
      </c>
      <c r="E8349" s="508">
        <v>5.8000000000000003E-2</v>
      </c>
      <c r="F8349" s="508">
        <v>5.7000000000000002E-2</v>
      </c>
      <c r="G8349" s="508">
        <v>5.6000000000000001E-2</v>
      </c>
      <c r="H8349" s="508">
        <v>5.6000000000000001E-2</v>
      </c>
      <c r="I8349" s="508">
        <v>5.6000000000000001E-2</v>
      </c>
      <c r="J8349" s="508">
        <v>5.6000000000000001E-2</v>
      </c>
      <c r="K8349" s="508">
        <v>5.6000000000000001E-2</v>
      </c>
      <c r="L8349" s="508">
        <v>5.6000000000000001E-2</v>
      </c>
      <c r="M8349" s="508">
        <v>5.6000000000000001E-2</v>
      </c>
      <c r="N8349" s="508">
        <v>5.6000000000000001E-2</v>
      </c>
      <c r="O8349" s="508">
        <v>5.6000000000000001E-2</v>
      </c>
      <c r="P8349" s="508">
        <v>5.6000000000000001E-2</v>
      </c>
      <c r="Q8349" s="508">
        <v>5.5E-2</v>
      </c>
      <c r="R8349" s="508">
        <v>5.7000000000000002E-2</v>
      </c>
      <c r="S8349" s="508">
        <v>5.5E-2</v>
      </c>
      <c r="T8349" s="508">
        <v>5.5E-2</v>
      </c>
      <c r="U8349" s="508">
        <v>5.6000000000000001E-2</v>
      </c>
      <c r="V8349" s="508">
        <v>5.6000000000000001E-2</v>
      </c>
      <c r="W8349" s="508">
        <v>5.5E-2</v>
      </c>
      <c r="X8349" s="508">
        <v>5.5E-2</v>
      </c>
      <c r="Y8349" s="508">
        <v>5.5E-2</v>
      </c>
      <c r="Z8349" s="508">
        <v>5.5E-2</v>
      </c>
      <c r="AA8349" s="508">
        <v>5.5E-2</v>
      </c>
      <c r="AB8349" s="508">
        <v>5.5E-2</v>
      </c>
      <c r="AC8349" s="508">
        <v>5.5E-2</v>
      </c>
      <c r="AD8349" s="508">
        <v>5.5E-2</v>
      </c>
      <c r="AE8349" s="508">
        <v>5.5E-2</v>
      </c>
      <c r="AF8349" s="508">
        <v>5.5E-2</v>
      </c>
      <c r="AG8349" s="508">
        <v>5.5E-2</v>
      </c>
      <c r="AH8349" s="508">
        <v>5.2999999999999999E-2</v>
      </c>
      <c r="AI8349" s="492">
        <v>5.2999999999999999E-2</v>
      </c>
      <c r="AJ8349" s="485"/>
    </row>
    <row r="8350" spans="2:36">
      <c r="B8350" s="136" t="s">
        <v>450</v>
      </c>
      <c r="C8350" s="132" t="s">
        <v>1370</v>
      </c>
      <c r="D8350" s="132" t="s">
        <v>1384</v>
      </c>
      <c r="E8350" s="508">
        <v>5.6000000000000001E-2</v>
      </c>
      <c r="F8350" s="508">
        <v>5.5E-2</v>
      </c>
      <c r="G8350" s="508">
        <v>5.3999999999999999E-2</v>
      </c>
      <c r="H8350" s="508">
        <v>5.3999999999999999E-2</v>
      </c>
      <c r="I8350" s="508">
        <v>5.3999999999999999E-2</v>
      </c>
      <c r="J8350" s="508">
        <v>5.3999999999999999E-2</v>
      </c>
      <c r="K8350" s="508">
        <v>5.3999999999999999E-2</v>
      </c>
      <c r="L8350" s="508">
        <v>5.3999999999999999E-2</v>
      </c>
      <c r="M8350" s="508">
        <v>5.3999999999999999E-2</v>
      </c>
      <c r="N8350" s="508">
        <v>5.3999999999999999E-2</v>
      </c>
      <c r="O8350" s="508">
        <v>5.3999999999999999E-2</v>
      </c>
      <c r="P8350" s="508">
        <v>5.3999999999999999E-2</v>
      </c>
      <c r="Q8350" s="508">
        <v>5.1999999999999998E-2</v>
      </c>
      <c r="R8350" s="508">
        <v>5.3999999999999999E-2</v>
      </c>
      <c r="S8350" s="508">
        <v>5.1999999999999998E-2</v>
      </c>
      <c r="T8350" s="508">
        <v>5.1999999999999998E-2</v>
      </c>
      <c r="U8350" s="508">
        <v>5.3999999999999999E-2</v>
      </c>
      <c r="V8350" s="508">
        <v>5.3999999999999999E-2</v>
      </c>
      <c r="W8350" s="508">
        <v>5.1999999999999998E-2</v>
      </c>
      <c r="X8350" s="508">
        <v>5.1999999999999998E-2</v>
      </c>
      <c r="Y8350" s="508">
        <v>5.1999999999999998E-2</v>
      </c>
      <c r="Z8350" s="508">
        <v>5.1999999999999998E-2</v>
      </c>
      <c r="AA8350" s="508">
        <v>5.1999999999999998E-2</v>
      </c>
      <c r="AB8350" s="508">
        <v>5.1999999999999998E-2</v>
      </c>
      <c r="AC8350" s="508">
        <v>5.1999999999999998E-2</v>
      </c>
      <c r="AD8350" s="508">
        <v>5.1999999999999998E-2</v>
      </c>
      <c r="AE8350" s="508">
        <v>5.1999999999999998E-2</v>
      </c>
      <c r="AF8350" s="508">
        <v>5.1999999999999998E-2</v>
      </c>
      <c r="AG8350" s="508">
        <v>5.1999999999999998E-2</v>
      </c>
      <c r="AH8350" s="508">
        <v>0.05</v>
      </c>
      <c r="AI8350" s="492">
        <v>0.05</v>
      </c>
      <c r="AJ8350" s="485"/>
    </row>
    <row r="8351" spans="2:36">
      <c r="B8351" s="136" t="s">
        <v>451</v>
      </c>
      <c r="C8351" s="132" t="s">
        <v>1370</v>
      </c>
      <c r="D8351" s="132" t="s">
        <v>1384</v>
      </c>
      <c r="E8351" s="508">
        <v>0.06</v>
      </c>
      <c r="F8351" s="508">
        <v>5.8000000000000003E-2</v>
      </c>
      <c r="G8351" s="508">
        <v>5.7000000000000002E-2</v>
      </c>
      <c r="H8351" s="508">
        <v>5.7000000000000002E-2</v>
      </c>
      <c r="I8351" s="508">
        <v>5.7000000000000002E-2</v>
      </c>
      <c r="J8351" s="508">
        <v>5.7000000000000002E-2</v>
      </c>
      <c r="K8351" s="508">
        <v>5.6000000000000001E-2</v>
      </c>
      <c r="L8351" s="508">
        <v>5.6000000000000001E-2</v>
      </c>
      <c r="M8351" s="508">
        <v>5.6000000000000001E-2</v>
      </c>
      <c r="N8351" s="508">
        <v>5.6000000000000001E-2</v>
      </c>
      <c r="O8351" s="508">
        <v>5.6000000000000001E-2</v>
      </c>
      <c r="P8351" s="508">
        <v>5.6000000000000001E-2</v>
      </c>
      <c r="Q8351" s="508">
        <v>5.5E-2</v>
      </c>
      <c r="R8351" s="508">
        <v>5.6000000000000001E-2</v>
      </c>
      <c r="S8351" s="508">
        <v>5.5E-2</v>
      </c>
      <c r="T8351" s="508">
        <v>5.5E-2</v>
      </c>
      <c r="U8351" s="508">
        <v>5.6000000000000001E-2</v>
      </c>
      <c r="V8351" s="508">
        <v>5.6000000000000001E-2</v>
      </c>
      <c r="W8351" s="508">
        <v>5.5E-2</v>
      </c>
      <c r="X8351" s="508">
        <v>5.3999999999999999E-2</v>
      </c>
      <c r="Y8351" s="508">
        <v>5.3999999999999999E-2</v>
      </c>
      <c r="Z8351" s="508">
        <v>5.3999999999999999E-2</v>
      </c>
      <c r="AA8351" s="508">
        <v>5.3999999999999999E-2</v>
      </c>
      <c r="AB8351" s="508">
        <v>5.3999999999999999E-2</v>
      </c>
      <c r="AC8351" s="508">
        <v>5.3999999999999999E-2</v>
      </c>
      <c r="AD8351" s="508">
        <v>5.3999999999999999E-2</v>
      </c>
      <c r="AE8351" s="508">
        <v>5.3999999999999999E-2</v>
      </c>
      <c r="AF8351" s="508">
        <v>5.3999999999999999E-2</v>
      </c>
      <c r="AG8351" s="508">
        <v>5.3999999999999999E-2</v>
      </c>
      <c r="AH8351" s="508">
        <v>5.1999999999999998E-2</v>
      </c>
      <c r="AI8351" s="492">
        <v>5.1999999999999998E-2</v>
      </c>
      <c r="AJ8351" s="485"/>
    </row>
    <row r="8352" spans="2:36">
      <c r="B8352" s="136" t="s">
        <v>452</v>
      </c>
      <c r="C8352" s="132" t="s">
        <v>1370</v>
      </c>
      <c r="D8352" s="132" t="s">
        <v>1384</v>
      </c>
      <c r="E8352" s="508">
        <v>5.7000000000000002E-2</v>
      </c>
      <c r="F8352" s="508">
        <v>5.6000000000000001E-2</v>
      </c>
      <c r="G8352" s="508">
        <v>5.5E-2</v>
      </c>
      <c r="H8352" s="508">
        <v>5.5E-2</v>
      </c>
      <c r="I8352" s="508">
        <v>5.5E-2</v>
      </c>
      <c r="J8352" s="508">
        <v>5.5E-2</v>
      </c>
      <c r="K8352" s="508">
        <v>5.5E-2</v>
      </c>
      <c r="L8352" s="508">
        <v>5.5E-2</v>
      </c>
      <c r="M8352" s="508">
        <v>5.5E-2</v>
      </c>
      <c r="N8352" s="508">
        <v>5.5E-2</v>
      </c>
      <c r="O8352" s="508">
        <v>5.5E-2</v>
      </c>
      <c r="P8352" s="508">
        <v>5.5E-2</v>
      </c>
      <c r="Q8352" s="508">
        <v>5.2999999999999999E-2</v>
      </c>
      <c r="R8352" s="508">
        <v>5.5E-2</v>
      </c>
      <c r="S8352" s="508">
        <v>5.2999999999999999E-2</v>
      </c>
      <c r="T8352" s="508">
        <v>5.2999999999999999E-2</v>
      </c>
      <c r="U8352" s="508">
        <v>5.5E-2</v>
      </c>
      <c r="V8352" s="508">
        <v>5.5E-2</v>
      </c>
      <c r="W8352" s="508">
        <v>5.2999999999999999E-2</v>
      </c>
      <c r="X8352" s="508">
        <v>5.2999999999999999E-2</v>
      </c>
      <c r="Y8352" s="508">
        <v>5.2999999999999999E-2</v>
      </c>
      <c r="Z8352" s="508">
        <v>5.2999999999999999E-2</v>
      </c>
      <c r="AA8352" s="508">
        <v>5.2999999999999999E-2</v>
      </c>
      <c r="AB8352" s="508">
        <v>5.2999999999999999E-2</v>
      </c>
      <c r="AC8352" s="508">
        <v>5.2999999999999999E-2</v>
      </c>
      <c r="AD8352" s="508">
        <v>5.2999999999999999E-2</v>
      </c>
      <c r="AE8352" s="508">
        <v>5.2999999999999999E-2</v>
      </c>
      <c r="AF8352" s="508">
        <v>5.2999999999999999E-2</v>
      </c>
      <c r="AG8352" s="508">
        <v>5.2999999999999999E-2</v>
      </c>
      <c r="AH8352" s="508">
        <v>5.0999999999999997E-2</v>
      </c>
      <c r="AI8352" s="492">
        <v>5.0999999999999997E-2</v>
      </c>
      <c r="AJ8352" s="485"/>
    </row>
    <row r="8353" spans="2:36">
      <c r="B8353" s="136" t="s">
        <v>453</v>
      </c>
      <c r="C8353" s="132" t="s">
        <v>1370</v>
      </c>
      <c r="D8353" s="132" t="s">
        <v>1384</v>
      </c>
      <c r="E8353" s="508">
        <v>5.6000000000000001E-2</v>
      </c>
      <c r="F8353" s="508">
        <v>5.5E-2</v>
      </c>
      <c r="G8353" s="508">
        <v>5.3999999999999999E-2</v>
      </c>
      <c r="H8353" s="508">
        <v>5.3999999999999999E-2</v>
      </c>
      <c r="I8353" s="508">
        <v>5.3999999999999999E-2</v>
      </c>
      <c r="J8353" s="508">
        <v>5.3999999999999999E-2</v>
      </c>
      <c r="K8353" s="508">
        <v>5.3999999999999999E-2</v>
      </c>
      <c r="L8353" s="508">
        <v>5.3999999999999999E-2</v>
      </c>
      <c r="M8353" s="508">
        <v>5.3999999999999999E-2</v>
      </c>
      <c r="N8353" s="508">
        <v>5.3999999999999999E-2</v>
      </c>
      <c r="O8353" s="508">
        <v>5.3999999999999999E-2</v>
      </c>
      <c r="P8353" s="508">
        <v>5.3999999999999999E-2</v>
      </c>
      <c r="Q8353" s="508">
        <v>5.1999999999999998E-2</v>
      </c>
      <c r="R8353" s="508">
        <v>5.3999999999999999E-2</v>
      </c>
      <c r="S8353" s="508">
        <v>5.1999999999999998E-2</v>
      </c>
      <c r="T8353" s="508">
        <v>5.1999999999999998E-2</v>
      </c>
      <c r="U8353" s="508">
        <v>5.2999999999999999E-2</v>
      </c>
      <c r="V8353" s="508">
        <v>5.2999999999999999E-2</v>
      </c>
      <c r="W8353" s="508">
        <v>5.1999999999999998E-2</v>
      </c>
      <c r="X8353" s="508">
        <v>5.1999999999999998E-2</v>
      </c>
      <c r="Y8353" s="508">
        <v>5.1999999999999998E-2</v>
      </c>
      <c r="Z8353" s="508">
        <v>5.1999999999999998E-2</v>
      </c>
      <c r="AA8353" s="508">
        <v>5.1999999999999998E-2</v>
      </c>
      <c r="AB8353" s="508">
        <v>5.1999999999999998E-2</v>
      </c>
      <c r="AC8353" s="508">
        <v>5.1999999999999998E-2</v>
      </c>
      <c r="AD8353" s="508">
        <v>5.1999999999999998E-2</v>
      </c>
      <c r="AE8353" s="508">
        <v>5.1999999999999998E-2</v>
      </c>
      <c r="AF8353" s="508">
        <v>5.1999999999999998E-2</v>
      </c>
      <c r="AG8353" s="508">
        <v>5.1999999999999998E-2</v>
      </c>
      <c r="AH8353" s="508">
        <v>0.05</v>
      </c>
      <c r="AI8353" s="492">
        <v>0.05</v>
      </c>
      <c r="AJ8353" s="485"/>
    </row>
    <row r="8354" spans="2:36">
      <c r="B8354" s="136" t="s">
        <v>454</v>
      </c>
      <c r="C8354" s="132" t="s">
        <v>1370</v>
      </c>
      <c r="D8354" s="132" t="s">
        <v>1384</v>
      </c>
      <c r="E8354" s="508">
        <v>5.6000000000000001E-2</v>
      </c>
      <c r="F8354" s="508">
        <v>5.5E-2</v>
      </c>
      <c r="G8354" s="508">
        <v>5.5E-2</v>
      </c>
      <c r="H8354" s="508">
        <v>5.3999999999999999E-2</v>
      </c>
      <c r="I8354" s="508">
        <v>5.3999999999999999E-2</v>
      </c>
      <c r="J8354" s="508">
        <v>5.3999999999999999E-2</v>
      </c>
      <c r="K8354" s="508">
        <v>5.3999999999999999E-2</v>
      </c>
      <c r="L8354" s="508">
        <v>5.3999999999999999E-2</v>
      </c>
      <c r="M8354" s="508">
        <v>5.3999999999999999E-2</v>
      </c>
      <c r="N8354" s="508">
        <v>5.3999999999999999E-2</v>
      </c>
      <c r="O8354" s="508">
        <v>5.3999999999999999E-2</v>
      </c>
      <c r="P8354" s="508">
        <v>5.3999999999999999E-2</v>
      </c>
      <c r="Q8354" s="508">
        <v>5.2999999999999999E-2</v>
      </c>
      <c r="R8354" s="508">
        <v>5.3999999999999999E-2</v>
      </c>
      <c r="S8354" s="508">
        <v>5.2999999999999999E-2</v>
      </c>
      <c r="T8354" s="508">
        <v>5.2999999999999999E-2</v>
      </c>
      <c r="U8354" s="508">
        <v>5.3999999999999999E-2</v>
      </c>
      <c r="V8354" s="508">
        <v>5.3999999999999999E-2</v>
      </c>
      <c r="W8354" s="508">
        <v>5.1999999999999998E-2</v>
      </c>
      <c r="X8354" s="508">
        <v>5.1999999999999998E-2</v>
      </c>
      <c r="Y8354" s="508">
        <v>5.1999999999999998E-2</v>
      </c>
      <c r="Z8354" s="508">
        <v>5.1999999999999998E-2</v>
      </c>
      <c r="AA8354" s="508">
        <v>5.1999999999999998E-2</v>
      </c>
      <c r="AB8354" s="508">
        <v>5.1999999999999998E-2</v>
      </c>
      <c r="AC8354" s="508">
        <v>5.1999999999999998E-2</v>
      </c>
      <c r="AD8354" s="508">
        <v>5.1999999999999998E-2</v>
      </c>
      <c r="AE8354" s="508">
        <v>5.1999999999999998E-2</v>
      </c>
      <c r="AF8354" s="508">
        <v>5.1999999999999998E-2</v>
      </c>
      <c r="AG8354" s="508">
        <v>5.1999999999999998E-2</v>
      </c>
      <c r="AH8354" s="508">
        <v>0.05</v>
      </c>
      <c r="AI8354" s="492">
        <v>0.05</v>
      </c>
      <c r="AJ8354" s="485"/>
    </row>
    <row r="8355" spans="2:36">
      <c r="B8355" s="136" t="s">
        <v>455</v>
      </c>
      <c r="C8355" s="132" t="s">
        <v>1370</v>
      </c>
      <c r="D8355" s="132" t="s">
        <v>1384</v>
      </c>
      <c r="E8355" s="508">
        <v>5.6000000000000001E-2</v>
      </c>
      <c r="F8355" s="508">
        <v>5.5E-2</v>
      </c>
      <c r="G8355" s="508">
        <v>5.3999999999999999E-2</v>
      </c>
      <c r="H8355" s="508">
        <v>5.3999999999999999E-2</v>
      </c>
      <c r="I8355" s="508">
        <v>5.3999999999999999E-2</v>
      </c>
      <c r="J8355" s="508">
        <v>5.3999999999999999E-2</v>
      </c>
      <c r="K8355" s="508">
        <v>5.3999999999999999E-2</v>
      </c>
      <c r="L8355" s="508">
        <v>5.3999999999999999E-2</v>
      </c>
      <c r="M8355" s="508">
        <v>5.3999999999999999E-2</v>
      </c>
      <c r="N8355" s="508">
        <v>5.3999999999999999E-2</v>
      </c>
      <c r="O8355" s="508">
        <v>5.3999999999999999E-2</v>
      </c>
      <c r="P8355" s="508">
        <v>5.3999999999999999E-2</v>
      </c>
      <c r="Q8355" s="508">
        <v>5.1999999999999998E-2</v>
      </c>
      <c r="R8355" s="508">
        <v>5.3999999999999999E-2</v>
      </c>
      <c r="S8355" s="508">
        <v>5.1999999999999998E-2</v>
      </c>
      <c r="T8355" s="508">
        <v>5.1999999999999998E-2</v>
      </c>
      <c r="U8355" s="508">
        <v>5.3999999999999999E-2</v>
      </c>
      <c r="V8355" s="508">
        <v>5.3999999999999999E-2</v>
      </c>
      <c r="W8355" s="508">
        <v>5.1999999999999998E-2</v>
      </c>
      <c r="X8355" s="508">
        <v>5.1999999999999998E-2</v>
      </c>
      <c r="Y8355" s="508">
        <v>5.1999999999999998E-2</v>
      </c>
      <c r="Z8355" s="508">
        <v>5.1999999999999998E-2</v>
      </c>
      <c r="AA8355" s="508">
        <v>5.1999999999999998E-2</v>
      </c>
      <c r="AB8355" s="508">
        <v>5.1999999999999998E-2</v>
      </c>
      <c r="AC8355" s="508">
        <v>5.1999999999999998E-2</v>
      </c>
      <c r="AD8355" s="508">
        <v>5.1999999999999998E-2</v>
      </c>
      <c r="AE8355" s="508">
        <v>5.1999999999999998E-2</v>
      </c>
      <c r="AF8355" s="508">
        <v>5.1999999999999998E-2</v>
      </c>
      <c r="AG8355" s="508">
        <v>5.1999999999999998E-2</v>
      </c>
      <c r="AH8355" s="508">
        <v>0.05</v>
      </c>
      <c r="AI8355" s="492">
        <v>0.05</v>
      </c>
      <c r="AJ8355" s="485"/>
    </row>
    <row r="8356" spans="2:36">
      <c r="B8356" s="136" t="s">
        <v>456</v>
      </c>
      <c r="C8356" s="132" t="s">
        <v>1370</v>
      </c>
      <c r="D8356" s="132" t="s">
        <v>1384</v>
      </c>
      <c r="E8356" s="508">
        <v>5.7000000000000002E-2</v>
      </c>
      <c r="F8356" s="508">
        <v>5.6000000000000001E-2</v>
      </c>
      <c r="G8356" s="508">
        <v>5.5E-2</v>
      </c>
      <c r="H8356" s="508">
        <v>5.5E-2</v>
      </c>
      <c r="I8356" s="508">
        <v>5.5E-2</v>
      </c>
      <c r="J8356" s="508">
        <v>5.5E-2</v>
      </c>
      <c r="K8356" s="508">
        <v>5.5E-2</v>
      </c>
      <c r="L8356" s="508">
        <v>5.5E-2</v>
      </c>
      <c r="M8356" s="508">
        <v>5.5E-2</v>
      </c>
      <c r="N8356" s="508">
        <v>5.5E-2</v>
      </c>
      <c r="O8356" s="508">
        <v>5.5E-2</v>
      </c>
      <c r="P8356" s="508">
        <v>5.6000000000000001E-2</v>
      </c>
      <c r="Q8356" s="508">
        <v>5.3999999999999999E-2</v>
      </c>
      <c r="R8356" s="508">
        <v>5.6000000000000001E-2</v>
      </c>
      <c r="S8356" s="508">
        <v>5.3999999999999999E-2</v>
      </c>
      <c r="T8356" s="508">
        <v>5.3999999999999999E-2</v>
      </c>
      <c r="U8356" s="508">
        <v>5.6000000000000001E-2</v>
      </c>
      <c r="V8356" s="508">
        <v>5.6000000000000001E-2</v>
      </c>
      <c r="W8356" s="508">
        <v>5.3999999999999999E-2</v>
      </c>
      <c r="X8356" s="508">
        <v>5.3999999999999999E-2</v>
      </c>
      <c r="Y8356" s="508">
        <v>5.3999999999999999E-2</v>
      </c>
      <c r="Z8356" s="508">
        <v>5.3999999999999999E-2</v>
      </c>
      <c r="AA8356" s="508">
        <v>5.3999999999999999E-2</v>
      </c>
      <c r="AB8356" s="508">
        <v>5.3999999999999999E-2</v>
      </c>
      <c r="AC8356" s="508">
        <v>5.3999999999999999E-2</v>
      </c>
      <c r="AD8356" s="508">
        <v>5.3999999999999999E-2</v>
      </c>
      <c r="AE8356" s="508">
        <v>5.3999999999999999E-2</v>
      </c>
      <c r="AF8356" s="508">
        <v>5.3999999999999999E-2</v>
      </c>
      <c r="AG8356" s="508">
        <v>5.3999999999999999E-2</v>
      </c>
      <c r="AH8356" s="508">
        <v>5.1999999999999998E-2</v>
      </c>
      <c r="AI8356" s="492">
        <v>5.1999999999999998E-2</v>
      </c>
      <c r="AJ8356" s="485"/>
    </row>
    <row r="8357" spans="2:36">
      <c r="B8357" s="136" t="s">
        <v>457</v>
      </c>
      <c r="C8357" s="132" t="s">
        <v>1370</v>
      </c>
      <c r="D8357" s="132" t="s">
        <v>1384</v>
      </c>
      <c r="E8357" s="508">
        <v>5.5E-2</v>
      </c>
      <c r="F8357" s="508">
        <v>5.3999999999999999E-2</v>
      </c>
      <c r="G8357" s="508">
        <v>5.2999999999999999E-2</v>
      </c>
      <c r="H8357" s="508">
        <v>5.2999999999999999E-2</v>
      </c>
      <c r="I8357" s="508">
        <v>5.2999999999999999E-2</v>
      </c>
      <c r="J8357" s="508">
        <v>5.2999999999999999E-2</v>
      </c>
      <c r="K8357" s="508">
        <v>5.2999999999999999E-2</v>
      </c>
      <c r="L8357" s="508">
        <v>5.2999999999999999E-2</v>
      </c>
      <c r="M8357" s="508">
        <v>5.2999999999999999E-2</v>
      </c>
      <c r="N8357" s="508">
        <v>5.2999999999999999E-2</v>
      </c>
      <c r="O8357" s="508">
        <v>5.2999999999999999E-2</v>
      </c>
      <c r="P8357" s="508">
        <v>5.2999999999999999E-2</v>
      </c>
      <c r="Q8357" s="508">
        <v>5.0999999999999997E-2</v>
      </c>
      <c r="R8357" s="508">
        <v>5.2999999999999999E-2</v>
      </c>
      <c r="S8357" s="508">
        <v>5.0999999999999997E-2</v>
      </c>
      <c r="T8357" s="508">
        <v>5.0999999999999997E-2</v>
      </c>
      <c r="U8357" s="508">
        <v>5.1999999999999998E-2</v>
      </c>
      <c r="V8357" s="508">
        <v>5.1999999999999998E-2</v>
      </c>
      <c r="W8357" s="508">
        <v>5.0999999999999997E-2</v>
      </c>
      <c r="X8357" s="508">
        <v>5.0999999999999997E-2</v>
      </c>
      <c r="Y8357" s="508">
        <v>5.0999999999999997E-2</v>
      </c>
      <c r="Z8357" s="508">
        <v>5.0999999999999997E-2</v>
      </c>
      <c r="AA8357" s="508">
        <v>5.0999999999999997E-2</v>
      </c>
      <c r="AB8357" s="508">
        <v>5.0999999999999997E-2</v>
      </c>
      <c r="AC8357" s="508">
        <v>5.0999999999999997E-2</v>
      </c>
      <c r="AD8357" s="508">
        <v>5.0999999999999997E-2</v>
      </c>
      <c r="AE8357" s="508">
        <v>5.0999999999999997E-2</v>
      </c>
      <c r="AF8357" s="508">
        <v>5.0999999999999997E-2</v>
      </c>
      <c r="AG8357" s="508">
        <v>5.0999999999999997E-2</v>
      </c>
      <c r="AH8357" s="508">
        <v>4.9000000000000002E-2</v>
      </c>
      <c r="AI8357" s="492">
        <v>4.9000000000000002E-2</v>
      </c>
      <c r="AJ8357" s="485"/>
    </row>
    <row r="8358" spans="2:36">
      <c r="B8358" s="136" t="s">
        <v>458</v>
      </c>
      <c r="C8358" s="132" t="s">
        <v>1370</v>
      </c>
      <c r="D8358" s="132" t="s">
        <v>1384</v>
      </c>
      <c r="E8358" s="508">
        <v>5.7000000000000002E-2</v>
      </c>
      <c r="F8358" s="508">
        <v>5.6000000000000001E-2</v>
      </c>
      <c r="G8358" s="508">
        <v>5.5E-2</v>
      </c>
      <c r="H8358" s="508">
        <v>5.5E-2</v>
      </c>
      <c r="I8358" s="508">
        <v>5.5E-2</v>
      </c>
      <c r="J8358" s="508">
        <v>5.5E-2</v>
      </c>
      <c r="K8358" s="508">
        <v>5.5E-2</v>
      </c>
      <c r="L8358" s="508">
        <v>5.5E-2</v>
      </c>
      <c r="M8358" s="508">
        <v>5.5E-2</v>
      </c>
      <c r="N8358" s="508">
        <v>5.5E-2</v>
      </c>
      <c r="O8358" s="508">
        <v>5.5E-2</v>
      </c>
      <c r="P8358" s="508">
        <v>5.5E-2</v>
      </c>
      <c r="Q8358" s="508">
        <v>5.2999999999999999E-2</v>
      </c>
      <c r="R8358" s="508">
        <v>5.5E-2</v>
      </c>
      <c r="S8358" s="508">
        <v>5.2999999999999999E-2</v>
      </c>
      <c r="T8358" s="508">
        <v>5.2999999999999999E-2</v>
      </c>
      <c r="U8358" s="508">
        <v>5.5E-2</v>
      </c>
      <c r="V8358" s="508">
        <v>5.5E-2</v>
      </c>
      <c r="W8358" s="508">
        <v>5.2999999999999999E-2</v>
      </c>
      <c r="X8358" s="508">
        <v>5.2999999999999999E-2</v>
      </c>
      <c r="Y8358" s="508">
        <v>5.2999999999999999E-2</v>
      </c>
      <c r="Z8358" s="508">
        <v>5.2999999999999999E-2</v>
      </c>
      <c r="AA8358" s="508">
        <v>5.2999999999999999E-2</v>
      </c>
      <c r="AB8358" s="508">
        <v>5.2999999999999999E-2</v>
      </c>
      <c r="AC8358" s="508">
        <v>5.2999999999999999E-2</v>
      </c>
      <c r="AD8358" s="508">
        <v>5.2999999999999999E-2</v>
      </c>
      <c r="AE8358" s="508">
        <v>5.2999999999999999E-2</v>
      </c>
      <c r="AF8358" s="508">
        <v>5.2999999999999999E-2</v>
      </c>
      <c r="AG8358" s="508">
        <v>5.2999999999999999E-2</v>
      </c>
      <c r="AH8358" s="508">
        <v>5.0999999999999997E-2</v>
      </c>
      <c r="AI8358" s="492">
        <v>5.0999999999999997E-2</v>
      </c>
      <c r="AJ8358" s="485"/>
    </row>
    <row r="8359" spans="2:36">
      <c r="B8359" s="136" t="s">
        <v>459</v>
      </c>
      <c r="C8359" s="132" t="s">
        <v>1370</v>
      </c>
      <c r="D8359" s="132" t="s">
        <v>1384</v>
      </c>
      <c r="E8359" s="508">
        <v>5.7000000000000002E-2</v>
      </c>
      <c r="F8359" s="508">
        <v>5.6000000000000001E-2</v>
      </c>
      <c r="G8359" s="508">
        <v>5.5E-2</v>
      </c>
      <c r="H8359" s="508">
        <v>5.5E-2</v>
      </c>
      <c r="I8359" s="508">
        <v>5.5E-2</v>
      </c>
      <c r="J8359" s="508">
        <v>5.3999999999999999E-2</v>
      </c>
      <c r="K8359" s="508">
        <v>5.3999999999999999E-2</v>
      </c>
      <c r="L8359" s="508">
        <v>5.3999999999999999E-2</v>
      </c>
      <c r="M8359" s="508">
        <v>5.3999999999999999E-2</v>
      </c>
      <c r="N8359" s="508">
        <v>5.3999999999999999E-2</v>
      </c>
      <c r="O8359" s="508">
        <v>5.3999999999999999E-2</v>
      </c>
      <c r="P8359" s="508">
        <v>5.3999999999999999E-2</v>
      </c>
      <c r="Q8359" s="508">
        <v>5.2999999999999999E-2</v>
      </c>
      <c r="R8359" s="508">
        <v>5.3999999999999999E-2</v>
      </c>
      <c r="S8359" s="508">
        <v>5.2999999999999999E-2</v>
      </c>
      <c r="T8359" s="508">
        <v>5.2999999999999999E-2</v>
      </c>
      <c r="U8359" s="508">
        <v>5.3999999999999999E-2</v>
      </c>
      <c r="V8359" s="508">
        <v>5.3999999999999999E-2</v>
      </c>
      <c r="W8359" s="508">
        <v>5.2999999999999999E-2</v>
      </c>
      <c r="X8359" s="508">
        <v>5.2999999999999999E-2</v>
      </c>
      <c r="Y8359" s="508">
        <v>5.2999999999999999E-2</v>
      </c>
      <c r="Z8359" s="508">
        <v>5.2999999999999999E-2</v>
      </c>
      <c r="AA8359" s="508">
        <v>5.1999999999999998E-2</v>
      </c>
      <c r="AB8359" s="508">
        <v>5.1999999999999998E-2</v>
      </c>
      <c r="AC8359" s="508">
        <v>5.1999999999999998E-2</v>
      </c>
      <c r="AD8359" s="508">
        <v>5.1999999999999998E-2</v>
      </c>
      <c r="AE8359" s="508">
        <v>5.1999999999999998E-2</v>
      </c>
      <c r="AF8359" s="508">
        <v>5.1999999999999998E-2</v>
      </c>
      <c r="AG8359" s="508">
        <v>5.1999999999999998E-2</v>
      </c>
      <c r="AH8359" s="508">
        <v>0.05</v>
      </c>
      <c r="AI8359" s="492">
        <v>0.05</v>
      </c>
      <c r="AJ8359" s="485"/>
    </row>
    <row r="8360" spans="2:36">
      <c r="B8360" s="136" t="s">
        <v>460</v>
      </c>
      <c r="C8360" s="132" t="s">
        <v>1370</v>
      </c>
      <c r="D8360" s="132" t="s">
        <v>1384</v>
      </c>
      <c r="E8360" s="508">
        <v>5.7000000000000002E-2</v>
      </c>
      <c r="F8360" s="508">
        <v>5.6000000000000001E-2</v>
      </c>
      <c r="G8360" s="508">
        <v>5.5E-2</v>
      </c>
      <c r="H8360" s="508">
        <v>5.5E-2</v>
      </c>
      <c r="I8360" s="508">
        <v>5.5E-2</v>
      </c>
      <c r="J8360" s="508">
        <v>5.5E-2</v>
      </c>
      <c r="K8360" s="508">
        <v>5.3999999999999999E-2</v>
      </c>
      <c r="L8360" s="508">
        <v>5.3999999999999999E-2</v>
      </c>
      <c r="M8360" s="508">
        <v>5.3999999999999999E-2</v>
      </c>
      <c r="N8360" s="508">
        <v>5.3999999999999999E-2</v>
      </c>
      <c r="O8360" s="508">
        <v>5.3999999999999999E-2</v>
      </c>
      <c r="P8360" s="508">
        <v>5.3999999999999999E-2</v>
      </c>
      <c r="Q8360" s="508">
        <v>5.2999999999999999E-2</v>
      </c>
      <c r="R8360" s="508">
        <v>5.3999999999999999E-2</v>
      </c>
      <c r="S8360" s="508">
        <v>5.2999999999999999E-2</v>
      </c>
      <c r="T8360" s="508">
        <v>5.2999999999999999E-2</v>
      </c>
      <c r="U8360" s="508">
        <v>5.3999999999999999E-2</v>
      </c>
      <c r="V8360" s="508">
        <v>5.3999999999999999E-2</v>
      </c>
      <c r="W8360" s="508">
        <v>5.2999999999999999E-2</v>
      </c>
      <c r="X8360" s="508">
        <v>5.2999999999999999E-2</v>
      </c>
      <c r="Y8360" s="508">
        <v>5.2999999999999999E-2</v>
      </c>
      <c r="Z8360" s="508">
        <v>5.2999999999999999E-2</v>
      </c>
      <c r="AA8360" s="508">
        <v>5.2999999999999999E-2</v>
      </c>
      <c r="AB8360" s="508">
        <v>5.2999999999999999E-2</v>
      </c>
      <c r="AC8360" s="508">
        <v>5.2999999999999999E-2</v>
      </c>
      <c r="AD8360" s="508">
        <v>5.2999999999999999E-2</v>
      </c>
      <c r="AE8360" s="508">
        <v>5.2999999999999999E-2</v>
      </c>
      <c r="AF8360" s="508">
        <v>5.2999999999999999E-2</v>
      </c>
      <c r="AG8360" s="508">
        <v>5.2999999999999999E-2</v>
      </c>
      <c r="AH8360" s="508">
        <v>0.05</v>
      </c>
      <c r="AI8360" s="492">
        <v>0.05</v>
      </c>
      <c r="AJ8360" s="485"/>
    </row>
    <row r="8361" spans="2:36">
      <c r="B8361" s="136" t="s">
        <v>461</v>
      </c>
      <c r="C8361" s="132" t="s">
        <v>1370</v>
      </c>
      <c r="D8361" s="132" t="s">
        <v>1384</v>
      </c>
      <c r="E8361" s="508">
        <v>5.7000000000000002E-2</v>
      </c>
      <c r="F8361" s="508">
        <v>5.5E-2</v>
      </c>
      <c r="G8361" s="508">
        <v>5.3999999999999999E-2</v>
      </c>
      <c r="H8361" s="508">
        <v>5.3999999999999999E-2</v>
      </c>
      <c r="I8361" s="508">
        <v>5.3999999999999999E-2</v>
      </c>
      <c r="J8361" s="508">
        <v>5.3999999999999999E-2</v>
      </c>
      <c r="K8361" s="508">
        <v>5.3999999999999999E-2</v>
      </c>
      <c r="L8361" s="508">
        <v>5.3999999999999999E-2</v>
      </c>
      <c r="M8361" s="508">
        <v>5.3999999999999999E-2</v>
      </c>
      <c r="N8361" s="508">
        <v>5.3999999999999999E-2</v>
      </c>
      <c r="O8361" s="508">
        <v>5.3999999999999999E-2</v>
      </c>
      <c r="P8361" s="508">
        <v>5.3999999999999999E-2</v>
      </c>
      <c r="Q8361" s="508">
        <v>5.1999999999999998E-2</v>
      </c>
      <c r="R8361" s="508">
        <v>5.3999999999999999E-2</v>
      </c>
      <c r="S8361" s="508">
        <v>5.1999999999999998E-2</v>
      </c>
      <c r="T8361" s="508">
        <v>5.1999999999999998E-2</v>
      </c>
      <c r="U8361" s="508">
        <v>5.3999999999999999E-2</v>
      </c>
      <c r="V8361" s="508">
        <v>5.2999999999999999E-2</v>
      </c>
      <c r="W8361" s="508">
        <v>5.1999999999999998E-2</v>
      </c>
      <c r="X8361" s="508">
        <v>5.1999999999999998E-2</v>
      </c>
      <c r="Y8361" s="508">
        <v>5.1999999999999998E-2</v>
      </c>
      <c r="Z8361" s="508">
        <v>5.1999999999999998E-2</v>
      </c>
      <c r="AA8361" s="508">
        <v>5.1999999999999998E-2</v>
      </c>
      <c r="AB8361" s="508">
        <v>5.1999999999999998E-2</v>
      </c>
      <c r="AC8361" s="508">
        <v>5.1999999999999998E-2</v>
      </c>
      <c r="AD8361" s="508">
        <v>5.1999999999999998E-2</v>
      </c>
      <c r="AE8361" s="508">
        <v>5.1999999999999998E-2</v>
      </c>
      <c r="AF8361" s="508">
        <v>5.1999999999999998E-2</v>
      </c>
      <c r="AG8361" s="508">
        <v>5.1999999999999998E-2</v>
      </c>
      <c r="AH8361" s="508">
        <v>0.05</v>
      </c>
      <c r="AI8361" s="492">
        <v>0.05</v>
      </c>
      <c r="AJ8361" s="485"/>
    </row>
    <row r="8362" spans="2:36">
      <c r="B8362" s="136" t="s">
        <v>462</v>
      </c>
      <c r="C8362" s="132" t="s">
        <v>1370</v>
      </c>
      <c r="D8362" s="132" t="s">
        <v>1384</v>
      </c>
      <c r="E8362" s="508">
        <v>5.6000000000000001E-2</v>
      </c>
      <c r="F8362" s="508">
        <v>5.5E-2</v>
      </c>
      <c r="G8362" s="508">
        <v>5.5E-2</v>
      </c>
      <c r="H8362" s="508">
        <v>5.3999999999999999E-2</v>
      </c>
      <c r="I8362" s="508">
        <v>5.3999999999999999E-2</v>
      </c>
      <c r="J8362" s="508">
        <v>5.3999999999999999E-2</v>
      </c>
      <c r="K8362" s="508">
        <v>5.3999999999999999E-2</v>
      </c>
      <c r="L8362" s="508">
        <v>5.3999999999999999E-2</v>
      </c>
      <c r="M8362" s="508">
        <v>5.3999999999999999E-2</v>
      </c>
      <c r="N8362" s="508">
        <v>5.3999999999999999E-2</v>
      </c>
      <c r="O8362" s="508">
        <v>5.3999999999999999E-2</v>
      </c>
      <c r="P8362" s="508">
        <v>5.3999999999999999E-2</v>
      </c>
      <c r="Q8362" s="508">
        <v>5.2999999999999999E-2</v>
      </c>
      <c r="R8362" s="508">
        <v>5.3999999999999999E-2</v>
      </c>
      <c r="S8362" s="508">
        <v>5.2999999999999999E-2</v>
      </c>
      <c r="T8362" s="508">
        <v>5.2999999999999999E-2</v>
      </c>
      <c r="U8362" s="508">
        <v>5.3999999999999999E-2</v>
      </c>
      <c r="V8362" s="508">
        <v>5.3999999999999999E-2</v>
      </c>
      <c r="W8362" s="508">
        <v>5.2999999999999999E-2</v>
      </c>
      <c r="X8362" s="508">
        <v>5.2999999999999999E-2</v>
      </c>
      <c r="Y8362" s="508">
        <v>5.2999999999999999E-2</v>
      </c>
      <c r="Z8362" s="508">
        <v>5.2999999999999999E-2</v>
      </c>
      <c r="AA8362" s="508">
        <v>5.2999999999999999E-2</v>
      </c>
      <c r="AB8362" s="508">
        <v>5.2999999999999999E-2</v>
      </c>
      <c r="AC8362" s="508">
        <v>5.2999999999999999E-2</v>
      </c>
      <c r="AD8362" s="508">
        <v>5.2999999999999999E-2</v>
      </c>
      <c r="AE8362" s="508">
        <v>5.2999999999999999E-2</v>
      </c>
      <c r="AF8362" s="508">
        <v>5.2999999999999999E-2</v>
      </c>
      <c r="AG8362" s="508">
        <v>5.2999999999999999E-2</v>
      </c>
      <c r="AH8362" s="508">
        <v>5.0999999999999997E-2</v>
      </c>
      <c r="AI8362" s="492">
        <v>5.0999999999999997E-2</v>
      </c>
      <c r="AJ8362" s="485"/>
    </row>
    <row r="8363" spans="2:36">
      <c r="B8363" s="136" t="s">
        <v>463</v>
      </c>
      <c r="C8363" s="132" t="s">
        <v>1370</v>
      </c>
      <c r="D8363" s="132" t="s">
        <v>1384</v>
      </c>
      <c r="E8363" s="508">
        <v>5.6000000000000001E-2</v>
      </c>
      <c r="F8363" s="508">
        <v>5.5E-2</v>
      </c>
      <c r="G8363" s="508">
        <v>5.3999999999999999E-2</v>
      </c>
      <c r="H8363" s="508">
        <v>5.3999999999999999E-2</v>
      </c>
      <c r="I8363" s="508">
        <v>5.3999999999999999E-2</v>
      </c>
      <c r="J8363" s="508">
        <v>5.3999999999999999E-2</v>
      </c>
      <c r="K8363" s="508">
        <v>5.3999999999999999E-2</v>
      </c>
      <c r="L8363" s="508">
        <v>5.3999999999999999E-2</v>
      </c>
      <c r="M8363" s="508">
        <v>5.3999999999999999E-2</v>
      </c>
      <c r="N8363" s="508">
        <v>5.3999999999999999E-2</v>
      </c>
      <c r="O8363" s="508">
        <v>5.3999999999999999E-2</v>
      </c>
      <c r="P8363" s="508">
        <v>5.3999999999999999E-2</v>
      </c>
      <c r="Q8363" s="508">
        <v>5.1999999999999998E-2</v>
      </c>
      <c r="R8363" s="508">
        <v>5.3999999999999999E-2</v>
      </c>
      <c r="S8363" s="508">
        <v>5.1999999999999998E-2</v>
      </c>
      <c r="T8363" s="508">
        <v>5.1999999999999998E-2</v>
      </c>
      <c r="U8363" s="508">
        <v>5.3999999999999999E-2</v>
      </c>
      <c r="V8363" s="508">
        <v>5.3999999999999999E-2</v>
      </c>
      <c r="W8363" s="508">
        <v>5.1999999999999998E-2</v>
      </c>
      <c r="X8363" s="508">
        <v>5.1999999999999998E-2</v>
      </c>
      <c r="Y8363" s="508">
        <v>5.1999999999999998E-2</v>
      </c>
      <c r="Z8363" s="508">
        <v>5.1999999999999998E-2</v>
      </c>
      <c r="AA8363" s="508">
        <v>5.1999999999999998E-2</v>
      </c>
      <c r="AB8363" s="508">
        <v>5.1999999999999998E-2</v>
      </c>
      <c r="AC8363" s="508">
        <v>5.1999999999999998E-2</v>
      </c>
      <c r="AD8363" s="508">
        <v>5.1999999999999998E-2</v>
      </c>
      <c r="AE8363" s="508">
        <v>5.1999999999999998E-2</v>
      </c>
      <c r="AF8363" s="508">
        <v>5.1999999999999998E-2</v>
      </c>
      <c r="AG8363" s="508">
        <v>5.1999999999999998E-2</v>
      </c>
      <c r="AH8363" s="508">
        <v>0.05</v>
      </c>
      <c r="AI8363" s="492">
        <v>0.05</v>
      </c>
      <c r="AJ8363" s="485"/>
    </row>
    <row r="8364" spans="2:36">
      <c r="B8364" s="136" t="s">
        <v>464</v>
      </c>
      <c r="C8364" s="132" t="s">
        <v>1370</v>
      </c>
      <c r="D8364" s="132" t="s">
        <v>1384</v>
      </c>
      <c r="E8364" s="508">
        <v>5.5E-2</v>
      </c>
      <c r="F8364" s="508">
        <v>5.3999999999999999E-2</v>
      </c>
      <c r="G8364" s="508">
        <v>5.3999999999999999E-2</v>
      </c>
      <c r="H8364" s="508">
        <v>5.2999999999999999E-2</v>
      </c>
      <c r="I8364" s="508">
        <v>5.2999999999999999E-2</v>
      </c>
      <c r="J8364" s="508">
        <v>5.2999999999999999E-2</v>
      </c>
      <c r="K8364" s="508">
        <v>5.2999999999999999E-2</v>
      </c>
      <c r="L8364" s="508">
        <v>5.2999999999999999E-2</v>
      </c>
      <c r="M8364" s="508">
        <v>5.2999999999999999E-2</v>
      </c>
      <c r="N8364" s="508">
        <v>5.2999999999999999E-2</v>
      </c>
      <c r="O8364" s="508">
        <v>5.2999999999999999E-2</v>
      </c>
      <c r="P8364" s="508">
        <v>5.2999999999999999E-2</v>
      </c>
      <c r="Q8364" s="508">
        <v>5.0999999999999997E-2</v>
      </c>
      <c r="R8364" s="508">
        <v>5.2999999999999999E-2</v>
      </c>
      <c r="S8364" s="508">
        <v>5.0999999999999997E-2</v>
      </c>
      <c r="T8364" s="508">
        <v>5.0999999999999997E-2</v>
      </c>
      <c r="U8364" s="508">
        <v>5.2999999999999999E-2</v>
      </c>
      <c r="V8364" s="508">
        <v>5.2999999999999999E-2</v>
      </c>
      <c r="W8364" s="508">
        <v>5.0999999999999997E-2</v>
      </c>
      <c r="X8364" s="508">
        <v>5.0999999999999997E-2</v>
      </c>
      <c r="Y8364" s="508">
        <v>5.0999999999999997E-2</v>
      </c>
      <c r="Z8364" s="508">
        <v>5.0999999999999997E-2</v>
      </c>
      <c r="AA8364" s="508">
        <v>5.0999999999999997E-2</v>
      </c>
      <c r="AB8364" s="508">
        <v>5.0999999999999997E-2</v>
      </c>
      <c r="AC8364" s="508">
        <v>5.0999999999999997E-2</v>
      </c>
      <c r="AD8364" s="508">
        <v>5.0999999999999997E-2</v>
      </c>
      <c r="AE8364" s="508">
        <v>5.0999999999999997E-2</v>
      </c>
      <c r="AF8364" s="508">
        <v>5.0999999999999997E-2</v>
      </c>
      <c r="AG8364" s="508">
        <v>5.0999999999999997E-2</v>
      </c>
      <c r="AH8364" s="508">
        <v>4.9000000000000002E-2</v>
      </c>
      <c r="AI8364" s="492">
        <v>4.9000000000000002E-2</v>
      </c>
      <c r="AJ8364" s="485"/>
    </row>
    <row r="8365" spans="2:36">
      <c r="B8365" s="136" t="s">
        <v>465</v>
      </c>
      <c r="C8365" s="132" t="s">
        <v>1370</v>
      </c>
      <c r="D8365" s="132" t="s">
        <v>1384</v>
      </c>
      <c r="E8365" s="508">
        <v>5.6000000000000001E-2</v>
      </c>
      <c r="F8365" s="508">
        <v>5.5E-2</v>
      </c>
      <c r="G8365" s="508">
        <v>5.3999999999999999E-2</v>
      </c>
      <c r="H8365" s="508">
        <v>5.3999999999999999E-2</v>
      </c>
      <c r="I8365" s="508">
        <v>5.3999999999999999E-2</v>
      </c>
      <c r="J8365" s="508">
        <v>5.3999999999999999E-2</v>
      </c>
      <c r="K8365" s="508">
        <v>5.3999999999999999E-2</v>
      </c>
      <c r="L8365" s="508">
        <v>5.3999999999999999E-2</v>
      </c>
      <c r="M8365" s="508">
        <v>5.3999999999999999E-2</v>
      </c>
      <c r="N8365" s="508">
        <v>5.3999999999999999E-2</v>
      </c>
      <c r="O8365" s="508">
        <v>5.3999999999999999E-2</v>
      </c>
      <c r="P8365" s="508">
        <v>5.3999999999999999E-2</v>
      </c>
      <c r="Q8365" s="508">
        <v>5.1999999999999998E-2</v>
      </c>
      <c r="R8365" s="508">
        <v>5.3999999999999999E-2</v>
      </c>
      <c r="S8365" s="508">
        <v>5.1999999999999998E-2</v>
      </c>
      <c r="T8365" s="508">
        <v>5.1999999999999998E-2</v>
      </c>
      <c r="U8365" s="508">
        <v>5.3999999999999999E-2</v>
      </c>
      <c r="V8365" s="508">
        <v>5.3999999999999999E-2</v>
      </c>
      <c r="W8365" s="508">
        <v>5.1999999999999998E-2</v>
      </c>
      <c r="X8365" s="508">
        <v>5.1999999999999998E-2</v>
      </c>
      <c r="Y8365" s="508">
        <v>5.1999999999999998E-2</v>
      </c>
      <c r="Z8365" s="508">
        <v>5.1999999999999998E-2</v>
      </c>
      <c r="AA8365" s="508">
        <v>5.1999999999999998E-2</v>
      </c>
      <c r="AB8365" s="508">
        <v>5.1999999999999998E-2</v>
      </c>
      <c r="AC8365" s="508">
        <v>5.1999999999999998E-2</v>
      </c>
      <c r="AD8365" s="508">
        <v>5.1999999999999998E-2</v>
      </c>
      <c r="AE8365" s="508">
        <v>5.1999999999999998E-2</v>
      </c>
      <c r="AF8365" s="508">
        <v>5.1999999999999998E-2</v>
      </c>
      <c r="AG8365" s="508">
        <v>5.1999999999999998E-2</v>
      </c>
      <c r="AH8365" s="508">
        <v>0.05</v>
      </c>
      <c r="AI8365" s="492">
        <v>0.05</v>
      </c>
      <c r="AJ8365" s="485"/>
    </row>
    <row r="8366" spans="2:36">
      <c r="B8366" s="136" t="s">
        <v>466</v>
      </c>
      <c r="C8366" s="132" t="s">
        <v>1370</v>
      </c>
      <c r="D8366" s="132" t="s">
        <v>1384</v>
      </c>
      <c r="E8366" s="508">
        <v>5.8000000000000003E-2</v>
      </c>
      <c r="F8366" s="508">
        <v>5.7000000000000002E-2</v>
      </c>
      <c r="G8366" s="508">
        <v>5.6000000000000001E-2</v>
      </c>
      <c r="H8366" s="508">
        <v>5.6000000000000001E-2</v>
      </c>
      <c r="I8366" s="508">
        <v>5.6000000000000001E-2</v>
      </c>
      <c r="J8366" s="508">
        <v>5.6000000000000001E-2</v>
      </c>
      <c r="K8366" s="508">
        <v>5.6000000000000001E-2</v>
      </c>
      <c r="L8366" s="508">
        <v>5.6000000000000001E-2</v>
      </c>
      <c r="M8366" s="508">
        <v>5.6000000000000001E-2</v>
      </c>
      <c r="N8366" s="508">
        <v>5.6000000000000001E-2</v>
      </c>
      <c r="O8366" s="508">
        <v>5.6000000000000001E-2</v>
      </c>
      <c r="P8366" s="508">
        <v>5.6000000000000001E-2</v>
      </c>
      <c r="Q8366" s="508">
        <v>5.3999999999999999E-2</v>
      </c>
      <c r="R8366" s="508">
        <v>5.6000000000000001E-2</v>
      </c>
      <c r="S8366" s="508">
        <v>5.3999999999999999E-2</v>
      </c>
      <c r="T8366" s="508">
        <v>5.3999999999999999E-2</v>
      </c>
      <c r="U8366" s="508">
        <v>5.6000000000000001E-2</v>
      </c>
      <c r="V8366" s="508">
        <v>5.6000000000000001E-2</v>
      </c>
      <c r="W8366" s="508">
        <v>5.3999999999999999E-2</v>
      </c>
      <c r="X8366" s="508">
        <v>5.3999999999999999E-2</v>
      </c>
      <c r="Y8366" s="508">
        <v>5.3999999999999999E-2</v>
      </c>
      <c r="Z8366" s="508">
        <v>5.3999999999999999E-2</v>
      </c>
      <c r="AA8366" s="508">
        <v>5.3999999999999999E-2</v>
      </c>
      <c r="AB8366" s="508">
        <v>5.3999999999999999E-2</v>
      </c>
      <c r="AC8366" s="508">
        <v>5.3999999999999999E-2</v>
      </c>
      <c r="AD8366" s="508">
        <v>5.3999999999999999E-2</v>
      </c>
      <c r="AE8366" s="508">
        <v>5.3999999999999999E-2</v>
      </c>
      <c r="AF8366" s="508">
        <v>5.3999999999999999E-2</v>
      </c>
      <c r="AG8366" s="508">
        <v>5.3999999999999999E-2</v>
      </c>
      <c r="AH8366" s="508">
        <v>5.1999999999999998E-2</v>
      </c>
      <c r="AI8366" s="492">
        <v>5.1999999999999998E-2</v>
      </c>
      <c r="AJ8366" s="485"/>
    </row>
    <row r="8367" spans="2:36">
      <c r="B8367" s="136" t="s">
        <v>467</v>
      </c>
      <c r="C8367" s="132" t="s">
        <v>1370</v>
      </c>
      <c r="D8367" s="132" t="s">
        <v>1384</v>
      </c>
      <c r="E8367" s="508">
        <v>5.6000000000000001E-2</v>
      </c>
      <c r="F8367" s="508">
        <v>5.5E-2</v>
      </c>
      <c r="G8367" s="508">
        <v>5.3999999999999999E-2</v>
      </c>
      <c r="H8367" s="508">
        <v>5.3999999999999999E-2</v>
      </c>
      <c r="I8367" s="508">
        <v>5.3999999999999999E-2</v>
      </c>
      <c r="J8367" s="508">
        <v>5.3999999999999999E-2</v>
      </c>
      <c r="K8367" s="508">
        <v>5.3999999999999999E-2</v>
      </c>
      <c r="L8367" s="508">
        <v>5.3999999999999999E-2</v>
      </c>
      <c r="M8367" s="508">
        <v>5.2999999999999999E-2</v>
      </c>
      <c r="N8367" s="508">
        <v>5.2999999999999999E-2</v>
      </c>
      <c r="O8367" s="508">
        <v>5.2999999999999999E-2</v>
      </c>
      <c r="P8367" s="508">
        <v>5.2999999999999999E-2</v>
      </c>
      <c r="Q8367" s="508">
        <v>5.1999999999999998E-2</v>
      </c>
      <c r="R8367" s="508">
        <v>5.2999999999999999E-2</v>
      </c>
      <c r="S8367" s="508">
        <v>5.1999999999999998E-2</v>
      </c>
      <c r="T8367" s="508">
        <v>5.1999999999999998E-2</v>
      </c>
      <c r="U8367" s="508">
        <v>5.2999999999999999E-2</v>
      </c>
      <c r="V8367" s="508">
        <v>5.2999999999999999E-2</v>
      </c>
      <c r="W8367" s="508">
        <v>5.1999999999999998E-2</v>
      </c>
      <c r="X8367" s="508">
        <v>5.1999999999999998E-2</v>
      </c>
      <c r="Y8367" s="508">
        <v>5.1999999999999998E-2</v>
      </c>
      <c r="Z8367" s="508">
        <v>5.1999999999999998E-2</v>
      </c>
      <c r="AA8367" s="508">
        <v>5.1999999999999998E-2</v>
      </c>
      <c r="AB8367" s="508">
        <v>5.1999999999999998E-2</v>
      </c>
      <c r="AC8367" s="508">
        <v>5.1999999999999998E-2</v>
      </c>
      <c r="AD8367" s="508">
        <v>5.1999999999999998E-2</v>
      </c>
      <c r="AE8367" s="508">
        <v>5.1999999999999998E-2</v>
      </c>
      <c r="AF8367" s="508">
        <v>5.1999999999999998E-2</v>
      </c>
      <c r="AG8367" s="508">
        <v>5.1999999999999998E-2</v>
      </c>
      <c r="AH8367" s="508">
        <v>0.05</v>
      </c>
      <c r="AI8367" s="492">
        <v>0.05</v>
      </c>
      <c r="AJ8367" s="485"/>
    </row>
    <row r="8368" spans="2:36">
      <c r="B8368" s="136" t="s">
        <v>468</v>
      </c>
      <c r="C8368" s="132" t="s">
        <v>1370</v>
      </c>
      <c r="D8368" s="132" t="s">
        <v>1384</v>
      </c>
      <c r="E8368" s="508">
        <v>5.5E-2</v>
      </c>
      <c r="F8368" s="508">
        <v>5.3999999999999999E-2</v>
      </c>
      <c r="G8368" s="508">
        <v>5.3999999999999999E-2</v>
      </c>
      <c r="H8368" s="508">
        <v>5.3999999999999999E-2</v>
      </c>
      <c r="I8368" s="508">
        <v>5.3999999999999999E-2</v>
      </c>
      <c r="J8368" s="508">
        <v>5.3999999999999999E-2</v>
      </c>
      <c r="K8368" s="508">
        <v>5.3999999999999999E-2</v>
      </c>
      <c r="L8368" s="508">
        <v>5.3999999999999999E-2</v>
      </c>
      <c r="M8368" s="508">
        <v>5.3999999999999999E-2</v>
      </c>
      <c r="N8368" s="508">
        <v>5.3999999999999999E-2</v>
      </c>
      <c r="O8368" s="508">
        <v>5.3999999999999999E-2</v>
      </c>
      <c r="P8368" s="508">
        <v>5.3999999999999999E-2</v>
      </c>
      <c r="Q8368" s="508">
        <v>5.1999999999999998E-2</v>
      </c>
      <c r="R8368" s="508">
        <v>5.3999999999999999E-2</v>
      </c>
      <c r="S8368" s="508">
        <v>5.1999999999999998E-2</v>
      </c>
      <c r="T8368" s="508">
        <v>5.1999999999999998E-2</v>
      </c>
      <c r="U8368" s="508">
        <v>5.3999999999999999E-2</v>
      </c>
      <c r="V8368" s="508">
        <v>5.3999999999999999E-2</v>
      </c>
      <c r="W8368" s="508">
        <v>5.1999999999999998E-2</v>
      </c>
      <c r="X8368" s="508">
        <v>5.1999999999999998E-2</v>
      </c>
      <c r="Y8368" s="508">
        <v>5.1999999999999998E-2</v>
      </c>
      <c r="Z8368" s="508">
        <v>5.1999999999999998E-2</v>
      </c>
      <c r="AA8368" s="508">
        <v>5.1999999999999998E-2</v>
      </c>
      <c r="AB8368" s="508">
        <v>5.1999999999999998E-2</v>
      </c>
      <c r="AC8368" s="508">
        <v>5.1999999999999998E-2</v>
      </c>
      <c r="AD8368" s="508">
        <v>5.1999999999999998E-2</v>
      </c>
      <c r="AE8368" s="508">
        <v>5.1999999999999998E-2</v>
      </c>
      <c r="AF8368" s="508">
        <v>5.1999999999999998E-2</v>
      </c>
      <c r="AG8368" s="508">
        <v>5.1999999999999998E-2</v>
      </c>
      <c r="AH8368" s="508">
        <v>0.05</v>
      </c>
      <c r="AI8368" s="492">
        <v>0.05</v>
      </c>
      <c r="AJ8368" s="485"/>
    </row>
    <row r="8369" spans="2:36">
      <c r="B8369" s="136" t="s">
        <v>469</v>
      </c>
      <c r="C8369" s="132" t="s">
        <v>1370</v>
      </c>
      <c r="D8369" s="132" t="s">
        <v>1384</v>
      </c>
      <c r="E8369" s="508">
        <v>5.6000000000000001E-2</v>
      </c>
      <c r="F8369" s="508">
        <v>5.5E-2</v>
      </c>
      <c r="G8369" s="508">
        <v>5.3999999999999999E-2</v>
      </c>
      <c r="H8369" s="508">
        <v>5.3999999999999999E-2</v>
      </c>
      <c r="I8369" s="508">
        <v>5.3999999999999999E-2</v>
      </c>
      <c r="J8369" s="508">
        <v>5.3999999999999999E-2</v>
      </c>
      <c r="K8369" s="508">
        <v>5.3999999999999999E-2</v>
      </c>
      <c r="L8369" s="508">
        <v>5.3999999999999999E-2</v>
      </c>
      <c r="M8369" s="508">
        <v>5.3999999999999999E-2</v>
      </c>
      <c r="N8369" s="508">
        <v>5.3999999999999999E-2</v>
      </c>
      <c r="O8369" s="508">
        <v>5.3999999999999999E-2</v>
      </c>
      <c r="P8369" s="508">
        <v>5.3999999999999999E-2</v>
      </c>
      <c r="Q8369" s="508">
        <v>5.1999999999999998E-2</v>
      </c>
      <c r="R8369" s="508">
        <v>5.3999999999999999E-2</v>
      </c>
      <c r="S8369" s="508">
        <v>5.1999999999999998E-2</v>
      </c>
      <c r="T8369" s="508">
        <v>5.1999999999999998E-2</v>
      </c>
      <c r="U8369" s="508">
        <v>5.3999999999999999E-2</v>
      </c>
      <c r="V8369" s="508">
        <v>5.3999999999999999E-2</v>
      </c>
      <c r="W8369" s="508">
        <v>5.1999999999999998E-2</v>
      </c>
      <c r="X8369" s="508">
        <v>5.1999999999999998E-2</v>
      </c>
      <c r="Y8369" s="508">
        <v>5.1999999999999998E-2</v>
      </c>
      <c r="Z8369" s="508">
        <v>5.1999999999999998E-2</v>
      </c>
      <c r="AA8369" s="508">
        <v>5.1999999999999998E-2</v>
      </c>
      <c r="AB8369" s="508">
        <v>5.1999999999999998E-2</v>
      </c>
      <c r="AC8369" s="508">
        <v>5.1999999999999998E-2</v>
      </c>
      <c r="AD8369" s="508">
        <v>5.1999999999999998E-2</v>
      </c>
      <c r="AE8369" s="508">
        <v>5.1999999999999998E-2</v>
      </c>
      <c r="AF8369" s="508">
        <v>5.1999999999999998E-2</v>
      </c>
      <c r="AG8369" s="508">
        <v>5.1999999999999998E-2</v>
      </c>
      <c r="AH8369" s="508">
        <v>0.05</v>
      </c>
      <c r="AI8369" s="492">
        <v>0.05</v>
      </c>
      <c r="AJ8369" s="485"/>
    </row>
    <row r="8370" spans="2:36">
      <c r="B8370" s="136" t="s">
        <v>470</v>
      </c>
      <c r="C8370" s="132" t="s">
        <v>1370</v>
      </c>
      <c r="D8370" s="132" t="s">
        <v>1384</v>
      </c>
      <c r="E8370" s="508">
        <v>5.8000000000000003E-2</v>
      </c>
      <c r="F8370" s="508">
        <v>5.6000000000000001E-2</v>
      </c>
      <c r="G8370" s="508">
        <v>5.5E-2</v>
      </c>
      <c r="H8370" s="508">
        <v>5.5E-2</v>
      </c>
      <c r="I8370" s="508">
        <v>5.5E-2</v>
      </c>
      <c r="J8370" s="508">
        <v>5.5E-2</v>
      </c>
      <c r="K8370" s="508">
        <v>5.5E-2</v>
      </c>
      <c r="L8370" s="508">
        <v>5.5E-2</v>
      </c>
      <c r="M8370" s="508">
        <v>5.5E-2</v>
      </c>
      <c r="N8370" s="508">
        <v>5.5E-2</v>
      </c>
      <c r="O8370" s="508">
        <v>5.5E-2</v>
      </c>
      <c r="P8370" s="508">
        <v>5.5E-2</v>
      </c>
      <c r="Q8370" s="508">
        <v>5.2999999999999999E-2</v>
      </c>
      <c r="R8370" s="508">
        <v>5.5E-2</v>
      </c>
      <c r="S8370" s="508">
        <v>5.2999999999999999E-2</v>
      </c>
      <c r="T8370" s="508">
        <v>5.2999999999999999E-2</v>
      </c>
      <c r="U8370" s="508">
        <v>5.3999999999999999E-2</v>
      </c>
      <c r="V8370" s="508">
        <v>5.3999999999999999E-2</v>
      </c>
      <c r="W8370" s="508">
        <v>5.2999999999999999E-2</v>
      </c>
      <c r="X8370" s="508">
        <v>5.2999999999999999E-2</v>
      </c>
      <c r="Y8370" s="508">
        <v>5.2999999999999999E-2</v>
      </c>
      <c r="Z8370" s="508">
        <v>5.2999999999999999E-2</v>
      </c>
      <c r="AA8370" s="508">
        <v>5.2999999999999999E-2</v>
      </c>
      <c r="AB8370" s="508">
        <v>5.2999999999999999E-2</v>
      </c>
      <c r="AC8370" s="508">
        <v>5.2999999999999999E-2</v>
      </c>
      <c r="AD8370" s="508">
        <v>5.2999999999999999E-2</v>
      </c>
      <c r="AE8370" s="508">
        <v>5.2999999999999999E-2</v>
      </c>
      <c r="AF8370" s="508">
        <v>5.2999999999999999E-2</v>
      </c>
      <c r="AG8370" s="508">
        <v>5.2999999999999999E-2</v>
      </c>
      <c r="AH8370" s="508">
        <v>5.0999999999999997E-2</v>
      </c>
      <c r="AI8370" s="492">
        <v>5.0999999999999997E-2</v>
      </c>
      <c r="AJ8370" s="485"/>
    </row>
    <row r="8371" spans="2:36">
      <c r="B8371" s="136" t="s">
        <v>471</v>
      </c>
      <c r="C8371" s="132" t="s">
        <v>1370</v>
      </c>
      <c r="D8371" s="132" t="s">
        <v>1384</v>
      </c>
      <c r="E8371" s="508">
        <v>5.7000000000000002E-2</v>
      </c>
      <c r="F8371" s="508">
        <v>5.5E-2</v>
      </c>
      <c r="G8371" s="508">
        <v>5.5E-2</v>
      </c>
      <c r="H8371" s="508">
        <v>5.5E-2</v>
      </c>
      <c r="I8371" s="508">
        <v>5.5E-2</v>
      </c>
      <c r="J8371" s="508">
        <v>5.5E-2</v>
      </c>
      <c r="K8371" s="508">
        <v>5.5E-2</v>
      </c>
      <c r="L8371" s="508">
        <v>5.5E-2</v>
      </c>
      <c r="M8371" s="508">
        <v>5.5E-2</v>
      </c>
      <c r="N8371" s="508">
        <v>5.5E-2</v>
      </c>
      <c r="O8371" s="508">
        <v>5.5E-2</v>
      </c>
      <c r="P8371" s="508">
        <v>5.5E-2</v>
      </c>
      <c r="Q8371" s="508">
        <v>5.2999999999999999E-2</v>
      </c>
      <c r="R8371" s="508">
        <v>5.5E-2</v>
      </c>
      <c r="S8371" s="508">
        <v>5.2999999999999999E-2</v>
      </c>
      <c r="T8371" s="508">
        <v>5.2999999999999999E-2</v>
      </c>
      <c r="U8371" s="508">
        <v>5.5E-2</v>
      </c>
      <c r="V8371" s="508">
        <v>5.5E-2</v>
      </c>
      <c r="W8371" s="508">
        <v>5.2999999999999999E-2</v>
      </c>
      <c r="X8371" s="508">
        <v>5.2999999999999999E-2</v>
      </c>
      <c r="Y8371" s="508">
        <v>5.2999999999999999E-2</v>
      </c>
      <c r="Z8371" s="508">
        <v>5.2999999999999999E-2</v>
      </c>
      <c r="AA8371" s="508">
        <v>5.2999999999999999E-2</v>
      </c>
      <c r="AB8371" s="508">
        <v>5.2999999999999999E-2</v>
      </c>
      <c r="AC8371" s="508">
        <v>5.2999999999999999E-2</v>
      </c>
      <c r="AD8371" s="508">
        <v>5.2999999999999999E-2</v>
      </c>
      <c r="AE8371" s="508">
        <v>5.2999999999999999E-2</v>
      </c>
      <c r="AF8371" s="508">
        <v>5.2999999999999999E-2</v>
      </c>
      <c r="AG8371" s="508">
        <v>5.2999999999999999E-2</v>
      </c>
      <c r="AH8371" s="508">
        <v>5.0999999999999997E-2</v>
      </c>
      <c r="AI8371" s="492">
        <v>5.0999999999999997E-2</v>
      </c>
      <c r="AJ8371" s="485"/>
    </row>
    <row r="8372" spans="2:36">
      <c r="B8372" s="136" t="s">
        <v>472</v>
      </c>
      <c r="C8372" s="132" t="s">
        <v>1370</v>
      </c>
      <c r="D8372" s="132" t="s">
        <v>1384</v>
      </c>
      <c r="E8372" s="508">
        <v>5.5E-2</v>
      </c>
      <c r="F8372" s="508">
        <v>5.3999999999999999E-2</v>
      </c>
      <c r="G8372" s="508">
        <v>5.2999999999999999E-2</v>
      </c>
      <c r="H8372" s="508">
        <v>5.2999999999999999E-2</v>
      </c>
      <c r="I8372" s="508">
        <v>5.2999999999999999E-2</v>
      </c>
      <c r="J8372" s="508">
        <v>5.2999999999999999E-2</v>
      </c>
      <c r="K8372" s="508">
        <v>5.2999999999999999E-2</v>
      </c>
      <c r="L8372" s="508">
        <v>5.2999999999999999E-2</v>
      </c>
      <c r="M8372" s="508">
        <v>5.2999999999999999E-2</v>
      </c>
      <c r="N8372" s="508">
        <v>5.2999999999999999E-2</v>
      </c>
      <c r="O8372" s="508">
        <v>5.2999999999999999E-2</v>
      </c>
      <c r="P8372" s="508">
        <v>5.2999999999999999E-2</v>
      </c>
      <c r="Q8372" s="508">
        <v>5.0999999999999997E-2</v>
      </c>
      <c r="R8372" s="508">
        <v>5.2999999999999999E-2</v>
      </c>
      <c r="S8372" s="508">
        <v>5.0999999999999997E-2</v>
      </c>
      <c r="T8372" s="508">
        <v>5.0999999999999997E-2</v>
      </c>
      <c r="U8372" s="508">
        <v>5.2999999999999999E-2</v>
      </c>
      <c r="V8372" s="508">
        <v>5.2999999999999999E-2</v>
      </c>
      <c r="W8372" s="508">
        <v>5.0999999999999997E-2</v>
      </c>
      <c r="X8372" s="508">
        <v>5.0999999999999997E-2</v>
      </c>
      <c r="Y8372" s="508">
        <v>5.0999999999999997E-2</v>
      </c>
      <c r="Z8372" s="508">
        <v>5.0999999999999997E-2</v>
      </c>
      <c r="AA8372" s="508">
        <v>5.0999999999999997E-2</v>
      </c>
      <c r="AB8372" s="508">
        <v>5.0999999999999997E-2</v>
      </c>
      <c r="AC8372" s="508">
        <v>5.0999999999999997E-2</v>
      </c>
      <c r="AD8372" s="508">
        <v>5.0999999999999997E-2</v>
      </c>
      <c r="AE8372" s="508">
        <v>5.0999999999999997E-2</v>
      </c>
      <c r="AF8372" s="508">
        <v>5.0999999999999997E-2</v>
      </c>
      <c r="AG8372" s="508">
        <v>5.0999999999999997E-2</v>
      </c>
      <c r="AH8372" s="508">
        <v>4.9000000000000002E-2</v>
      </c>
      <c r="AI8372" s="492">
        <v>4.9000000000000002E-2</v>
      </c>
      <c r="AJ8372" s="485"/>
    </row>
    <row r="8373" spans="2:36">
      <c r="B8373" s="136" t="s">
        <v>473</v>
      </c>
      <c r="C8373" s="132" t="s">
        <v>1370</v>
      </c>
      <c r="D8373" s="132" t="s">
        <v>1384</v>
      </c>
      <c r="E8373" s="508">
        <v>5.8000000000000003E-2</v>
      </c>
      <c r="F8373" s="508">
        <v>5.6000000000000001E-2</v>
      </c>
      <c r="G8373" s="508">
        <v>5.5E-2</v>
      </c>
      <c r="H8373" s="508">
        <v>5.5E-2</v>
      </c>
      <c r="I8373" s="508">
        <v>5.5E-2</v>
      </c>
      <c r="J8373" s="508">
        <v>5.5E-2</v>
      </c>
      <c r="K8373" s="508">
        <v>5.5E-2</v>
      </c>
      <c r="L8373" s="508">
        <v>5.5E-2</v>
      </c>
      <c r="M8373" s="508">
        <v>5.5E-2</v>
      </c>
      <c r="N8373" s="508">
        <v>5.5E-2</v>
      </c>
      <c r="O8373" s="508">
        <v>5.5E-2</v>
      </c>
      <c r="P8373" s="508">
        <v>5.5E-2</v>
      </c>
      <c r="Q8373" s="508">
        <v>5.2999999999999999E-2</v>
      </c>
      <c r="R8373" s="508">
        <v>5.5E-2</v>
      </c>
      <c r="S8373" s="508">
        <v>5.2999999999999999E-2</v>
      </c>
      <c r="T8373" s="508">
        <v>5.2999999999999999E-2</v>
      </c>
      <c r="U8373" s="508">
        <v>5.5E-2</v>
      </c>
      <c r="V8373" s="508">
        <v>5.5E-2</v>
      </c>
      <c r="W8373" s="508">
        <v>5.2999999999999999E-2</v>
      </c>
      <c r="X8373" s="508">
        <v>5.2999999999999999E-2</v>
      </c>
      <c r="Y8373" s="508">
        <v>5.2999999999999999E-2</v>
      </c>
      <c r="Z8373" s="508">
        <v>5.2999999999999999E-2</v>
      </c>
      <c r="AA8373" s="508">
        <v>5.2999999999999999E-2</v>
      </c>
      <c r="AB8373" s="508">
        <v>5.2999999999999999E-2</v>
      </c>
      <c r="AC8373" s="508">
        <v>5.2999999999999999E-2</v>
      </c>
      <c r="AD8373" s="508">
        <v>5.2999999999999999E-2</v>
      </c>
      <c r="AE8373" s="508">
        <v>5.2999999999999999E-2</v>
      </c>
      <c r="AF8373" s="508">
        <v>5.2999999999999999E-2</v>
      </c>
      <c r="AG8373" s="508">
        <v>5.2999999999999999E-2</v>
      </c>
      <c r="AH8373" s="508">
        <v>5.0999999999999997E-2</v>
      </c>
      <c r="AI8373" s="492">
        <v>5.0999999999999997E-2</v>
      </c>
      <c r="AJ8373" s="485"/>
    </row>
    <row r="8374" spans="2:36">
      <c r="B8374" s="136" t="s">
        <v>474</v>
      </c>
      <c r="C8374" s="132" t="s">
        <v>1370</v>
      </c>
      <c r="D8374" s="132" t="s">
        <v>1384</v>
      </c>
      <c r="E8374" s="508">
        <v>5.7000000000000002E-2</v>
      </c>
      <c r="F8374" s="508">
        <v>5.5E-2</v>
      </c>
      <c r="G8374" s="508">
        <v>5.5E-2</v>
      </c>
      <c r="H8374" s="508">
        <v>5.5E-2</v>
      </c>
      <c r="I8374" s="508">
        <v>5.5E-2</v>
      </c>
      <c r="J8374" s="508">
        <v>5.5E-2</v>
      </c>
      <c r="K8374" s="508">
        <v>5.5E-2</v>
      </c>
      <c r="L8374" s="508">
        <v>5.5E-2</v>
      </c>
      <c r="M8374" s="508">
        <v>5.5E-2</v>
      </c>
      <c r="N8374" s="508">
        <v>5.5E-2</v>
      </c>
      <c r="O8374" s="508">
        <v>5.5E-2</v>
      </c>
      <c r="P8374" s="508">
        <v>5.5E-2</v>
      </c>
      <c r="Q8374" s="508">
        <v>5.2999999999999999E-2</v>
      </c>
      <c r="R8374" s="508">
        <v>5.5E-2</v>
      </c>
      <c r="S8374" s="508">
        <v>5.2999999999999999E-2</v>
      </c>
      <c r="T8374" s="508">
        <v>5.2999999999999999E-2</v>
      </c>
      <c r="U8374" s="508">
        <v>5.5E-2</v>
      </c>
      <c r="V8374" s="508">
        <v>5.5E-2</v>
      </c>
      <c r="W8374" s="508">
        <v>5.2999999999999999E-2</v>
      </c>
      <c r="X8374" s="508">
        <v>5.2999999999999999E-2</v>
      </c>
      <c r="Y8374" s="508">
        <v>5.2999999999999999E-2</v>
      </c>
      <c r="Z8374" s="508">
        <v>5.2999999999999999E-2</v>
      </c>
      <c r="AA8374" s="508">
        <v>5.2999999999999999E-2</v>
      </c>
      <c r="AB8374" s="508">
        <v>5.2999999999999999E-2</v>
      </c>
      <c r="AC8374" s="508">
        <v>5.2999999999999999E-2</v>
      </c>
      <c r="AD8374" s="508">
        <v>5.2999999999999999E-2</v>
      </c>
      <c r="AE8374" s="508">
        <v>5.2999999999999999E-2</v>
      </c>
      <c r="AF8374" s="508">
        <v>5.2999999999999999E-2</v>
      </c>
      <c r="AG8374" s="508">
        <v>5.2999999999999999E-2</v>
      </c>
      <c r="AH8374" s="508">
        <v>5.0999999999999997E-2</v>
      </c>
      <c r="AI8374" s="492">
        <v>5.0999999999999997E-2</v>
      </c>
      <c r="AJ8374" s="485"/>
    </row>
    <row r="8375" spans="2:36">
      <c r="B8375" s="136" t="s">
        <v>475</v>
      </c>
      <c r="C8375" s="132" t="s">
        <v>1370</v>
      </c>
      <c r="D8375" s="132" t="s">
        <v>1384</v>
      </c>
      <c r="E8375" s="508">
        <v>5.6000000000000001E-2</v>
      </c>
      <c r="F8375" s="508">
        <v>5.5E-2</v>
      </c>
      <c r="G8375" s="508">
        <v>5.3999999999999999E-2</v>
      </c>
      <c r="H8375" s="508">
        <v>5.3999999999999999E-2</v>
      </c>
      <c r="I8375" s="508">
        <v>5.3999999999999999E-2</v>
      </c>
      <c r="J8375" s="508">
        <v>5.3999999999999999E-2</v>
      </c>
      <c r="K8375" s="508">
        <v>5.3999999999999999E-2</v>
      </c>
      <c r="L8375" s="508">
        <v>5.2999999999999999E-2</v>
      </c>
      <c r="M8375" s="508">
        <v>5.2999999999999999E-2</v>
      </c>
      <c r="N8375" s="508">
        <v>5.2999999999999999E-2</v>
      </c>
      <c r="O8375" s="508">
        <v>5.2999999999999999E-2</v>
      </c>
      <c r="P8375" s="508">
        <v>5.2999999999999999E-2</v>
      </c>
      <c r="Q8375" s="508">
        <v>5.1999999999999998E-2</v>
      </c>
      <c r="R8375" s="508">
        <v>5.2999999999999999E-2</v>
      </c>
      <c r="S8375" s="508">
        <v>5.1999999999999998E-2</v>
      </c>
      <c r="T8375" s="508">
        <v>5.1999999999999998E-2</v>
      </c>
      <c r="U8375" s="508">
        <v>5.2999999999999999E-2</v>
      </c>
      <c r="V8375" s="508">
        <v>5.2999999999999999E-2</v>
      </c>
      <c r="W8375" s="508">
        <v>5.1999999999999998E-2</v>
      </c>
      <c r="X8375" s="508">
        <v>5.1999999999999998E-2</v>
      </c>
      <c r="Y8375" s="508">
        <v>5.1999999999999998E-2</v>
      </c>
      <c r="Z8375" s="508">
        <v>5.1999999999999998E-2</v>
      </c>
      <c r="AA8375" s="508">
        <v>5.1999999999999998E-2</v>
      </c>
      <c r="AB8375" s="508">
        <v>5.1999999999999998E-2</v>
      </c>
      <c r="AC8375" s="508">
        <v>5.1999999999999998E-2</v>
      </c>
      <c r="AD8375" s="508">
        <v>5.1999999999999998E-2</v>
      </c>
      <c r="AE8375" s="508">
        <v>5.1999999999999998E-2</v>
      </c>
      <c r="AF8375" s="508">
        <v>5.1999999999999998E-2</v>
      </c>
      <c r="AG8375" s="508">
        <v>5.1999999999999998E-2</v>
      </c>
      <c r="AH8375" s="508">
        <v>0.05</v>
      </c>
      <c r="AI8375" s="492">
        <v>0.05</v>
      </c>
      <c r="AJ8375" s="485"/>
    </row>
    <row r="8376" spans="2:36">
      <c r="B8376" s="136" t="s">
        <v>476</v>
      </c>
      <c r="C8376" s="132" t="s">
        <v>1370</v>
      </c>
      <c r="D8376" s="132" t="s">
        <v>1384</v>
      </c>
      <c r="E8376" s="508">
        <v>5.7000000000000002E-2</v>
      </c>
      <c r="F8376" s="508">
        <v>5.6000000000000001E-2</v>
      </c>
      <c r="G8376" s="508">
        <v>5.5E-2</v>
      </c>
      <c r="H8376" s="508">
        <v>5.5E-2</v>
      </c>
      <c r="I8376" s="508">
        <v>5.5E-2</v>
      </c>
      <c r="J8376" s="508">
        <v>5.5E-2</v>
      </c>
      <c r="K8376" s="508">
        <v>5.5E-2</v>
      </c>
      <c r="L8376" s="508">
        <v>5.5E-2</v>
      </c>
      <c r="M8376" s="508">
        <v>5.5E-2</v>
      </c>
      <c r="N8376" s="508">
        <v>5.3999999999999999E-2</v>
      </c>
      <c r="O8376" s="508">
        <v>5.3999999999999999E-2</v>
      </c>
      <c r="P8376" s="508">
        <v>5.3999999999999999E-2</v>
      </c>
      <c r="Q8376" s="508">
        <v>5.2999999999999999E-2</v>
      </c>
      <c r="R8376" s="508">
        <v>5.3999999999999999E-2</v>
      </c>
      <c r="S8376" s="508">
        <v>5.2999999999999999E-2</v>
      </c>
      <c r="T8376" s="508">
        <v>5.2999999999999999E-2</v>
      </c>
      <c r="U8376" s="508">
        <v>5.3999999999999999E-2</v>
      </c>
      <c r="V8376" s="508">
        <v>5.3999999999999999E-2</v>
      </c>
      <c r="W8376" s="508">
        <v>5.2999999999999999E-2</v>
      </c>
      <c r="X8376" s="508">
        <v>5.2999999999999999E-2</v>
      </c>
      <c r="Y8376" s="508">
        <v>5.2999999999999999E-2</v>
      </c>
      <c r="Z8376" s="508">
        <v>5.2999999999999999E-2</v>
      </c>
      <c r="AA8376" s="508">
        <v>5.2999999999999999E-2</v>
      </c>
      <c r="AB8376" s="508">
        <v>5.2999999999999999E-2</v>
      </c>
      <c r="AC8376" s="508">
        <v>5.2999999999999999E-2</v>
      </c>
      <c r="AD8376" s="508">
        <v>5.2999999999999999E-2</v>
      </c>
      <c r="AE8376" s="508">
        <v>5.2999999999999999E-2</v>
      </c>
      <c r="AF8376" s="508">
        <v>5.2999999999999999E-2</v>
      </c>
      <c r="AG8376" s="508">
        <v>5.2999999999999999E-2</v>
      </c>
      <c r="AH8376" s="508">
        <v>5.0999999999999997E-2</v>
      </c>
      <c r="AI8376" s="492">
        <v>5.0999999999999997E-2</v>
      </c>
      <c r="AJ8376" s="485"/>
    </row>
    <row r="8377" spans="2:36">
      <c r="B8377" s="136" t="s">
        <v>478</v>
      </c>
      <c r="C8377" s="132" t="s">
        <v>1370</v>
      </c>
      <c r="D8377" s="132" t="s">
        <v>1384</v>
      </c>
      <c r="E8377" s="508">
        <v>5.8000000000000003E-2</v>
      </c>
      <c r="F8377" s="508">
        <v>5.6000000000000001E-2</v>
      </c>
      <c r="G8377" s="508">
        <v>5.6000000000000001E-2</v>
      </c>
      <c r="H8377" s="508">
        <v>5.6000000000000001E-2</v>
      </c>
      <c r="I8377" s="508">
        <v>5.5E-2</v>
      </c>
      <c r="J8377" s="508">
        <v>5.5E-2</v>
      </c>
      <c r="K8377" s="508">
        <v>5.5E-2</v>
      </c>
      <c r="L8377" s="508">
        <v>5.5E-2</v>
      </c>
      <c r="M8377" s="508">
        <v>5.5E-2</v>
      </c>
      <c r="N8377" s="508">
        <v>5.5E-2</v>
      </c>
      <c r="O8377" s="508">
        <v>5.5E-2</v>
      </c>
      <c r="P8377" s="508">
        <v>5.5E-2</v>
      </c>
      <c r="Q8377" s="508">
        <v>5.2999999999999999E-2</v>
      </c>
      <c r="R8377" s="508">
        <v>5.5E-2</v>
      </c>
      <c r="S8377" s="508">
        <v>5.2999999999999999E-2</v>
      </c>
      <c r="T8377" s="508">
        <v>5.2999999999999999E-2</v>
      </c>
      <c r="U8377" s="508">
        <v>5.5E-2</v>
      </c>
      <c r="V8377" s="508">
        <v>5.5E-2</v>
      </c>
      <c r="W8377" s="508">
        <v>5.2999999999999999E-2</v>
      </c>
      <c r="X8377" s="508">
        <v>5.2999999999999999E-2</v>
      </c>
      <c r="Y8377" s="508">
        <v>5.2999999999999999E-2</v>
      </c>
      <c r="Z8377" s="508">
        <v>5.2999999999999999E-2</v>
      </c>
      <c r="AA8377" s="508">
        <v>5.2999999999999999E-2</v>
      </c>
      <c r="AB8377" s="508">
        <v>5.2999999999999999E-2</v>
      </c>
      <c r="AC8377" s="508">
        <v>5.2999999999999999E-2</v>
      </c>
      <c r="AD8377" s="508">
        <v>5.2999999999999999E-2</v>
      </c>
      <c r="AE8377" s="508">
        <v>5.2999999999999999E-2</v>
      </c>
      <c r="AF8377" s="508">
        <v>5.2999999999999999E-2</v>
      </c>
      <c r="AG8377" s="508">
        <v>5.2999999999999999E-2</v>
      </c>
      <c r="AH8377" s="508">
        <v>5.0999999999999997E-2</v>
      </c>
      <c r="AI8377" s="492">
        <v>5.0999999999999997E-2</v>
      </c>
      <c r="AJ8377" s="485"/>
    </row>
    <row r="8378" spans="2:36">
      <c r="B8378" s="136" t="s">
        <v>479</v>
      </c>
      <c r="C8378" s="132" t="s">
        <v>1370</v>
      </c>
      <c r="D8378" s="132" t="s">
        <v>1384</v>
      </c>
      <c r="E8378" s="508">
        <v>5.7000000000000002E-2</v>
      </c>
      <c r="F8378" s="508">
        <v>5.5E-2</v>
      </c>
      <c r="G8378" s="508">
        <v>5.5E-2</v>
      </c>
      <c r="H8378" s="508">
        <v>5.5E-2</v>
      </c>
      <c r="I8378" s="508">
        <v>5.5E-2</v>
      </c>
      <c r="J8378" s="508">
        <v>5.5E-2</v>
      </c>
      <c r="K8378" s="508">
        <v>5.5E-2</v>
      </c>
      <c r="L8378" s="508">
        <v>5.5E-2</v>
      </c>
      <c r="M8378" s="508">
        <v>5.5E-2</v>
      </c>
      <c r="N8378" s="508">
        <v>5.5E-2</v>
      </c>
      <c r="O8378" s="508">
        <v>5.5E-2</v>
      </c>
      <c r="P8378" s="508">
        <v>5.5E-2</v>
      </c>
      <c r="Q8378" s="508">
        <v>5.2999999999999999E-2</v>
      </c>
      <c r="R8378" s="508">
        <v>5.5E-2</v>
      </c>
      <c r="S8378" s="508">
        <v>5.2999999999999999E-2</v>
      </c>
      <c r="T8378" s="508">
        <v>5.2999999999999999E-2</v>
      </c>
      <c r="U8378" s="508">
        <v>5.5E-2</v>
      </c>
      <c r="V8378" s="508">
        <v>5.5E-2</v>
      </c>
      <c r="W8378" s="508">
        <v>5.2999999999999999E-2</v>
      </c>
      <c r="X8378" s="508">
        <v>5.2999999999999999E-2</v>
      </c>
      <c r="Y8378" s="508">
        <v>5.2999999999999999E-2</v>
      </c>
      <c r="Z8378" s="508">
        <v>5.2999999999999999E-2</v>
      </c>
      <c r="AA8378" s="508">
        <v>5.2999999999999999E-2</v>
      </c>
      <c r="AB8378" s="508">
        <v>5.2999999999999999E-2</v>
      </c>
      <c r="AC8378" s="508">
        <v>5.2999999999999999E-2</v>
      </c>
      <c r="AD8378" s="508">
        <v>5.2999999999999999E-2</v>
      </c>
      <c r="AE8378" s="508">
        <v>5.2999999999999999E-2</v>
      </c>
      <c r="AF8378" s="508">
        <v>5.2999999999999999E-2</v>
      </c>
      <c r="AG8378" s="508">
        <v>5.2999999999999999E-2</v>
      </c>
      <c r="AH8378" s="508">
        <v>5.0999999999999997E-2</v>
      </c>
      <c r="AI8378" s="492">
        <v>5.0999999999999997E-2</v>
      </c>
      <c r="AJ8378" s="485"/>
    </row>
    <row r="8379" spans="2:36">
      <c r="B8379" s="136" t="s">
        <v>480</v>
      </c>
      <c r="C8379" s="132" t="s">
        <v>1370</v>
      </c>
      <c r="D8379" s="132" t="s">
        <v>1384</v>
      </c>
      <c r="E8379" s="508">
        <v>5.5E-2</v>
      </c>
      <c r="F8379" s="508">
        <v>5.3999999999999999E-2</v>
      </c>
      <c r="G8379" s="508">
        <v>5.3999999999999999E-2</v>
      </c>
      <c r="H8379" s="508">
        <v>5.2999999999999999E-2</v>
      </c>
      <c r="I8379" s="508">
        <v>5.2999999999999999E-2</v>
      </c>
      <c r="J8379" s="508">
        <v>5.2999999999999999E-2</v>
      </c>
      <c r="K8379" s="508">
        <v>5.2999999999999999E-2</v>
      </c>
      <c r="L8379" s="508">
        <v>5.2999999999999999E-2</v>
      </c>
      <c r="M8379" s="508">
        <v>5.2999999999999999E-2</v>
      </c>
      <c r="N8379" s="508">
        <v>5.2999999999999999E-2</v>
      </c>
      <c r="O8379" s="508">
        <v>5.2999999999999999E-2</v>
      </c>
      <c r="P8379" s="508">
        <v>5.2999999999999999E-2</v>
      </c>
      <c r="Q8379" s="508">
        <v>5.1999999999999998E-2</v>
      </c>
      <c r="R8379" s="508">
        <v>5.2999999999999999E-2</v>
      </c>
      <c r="S8379" s="508">
        <v>5.1999999999999998E-2</v>
      </c>
      <c r="T8379" s="508">
        <v>5.1999999999999998E-2</v>
      </c>
      <c r="U8379" s="508">
        <v>5.2999999999999999E-2</v>
      </c>
      <c r="V8379" s="508">
        <v>5.2999999999999999E-2</v>
      </c>
      <c r="W8379" s="508">
        <v>5.1999999999999998E-2</v>
      </c>
      <c r="X8379" s="508">
        <v>5.1999999999999998E-2</v>
      </c>
      <c r="Y8379" s="508">
        <v>5.1999999999999998E-2</v>
      </c>
      <c r="Z8379" s="508">
        <v>5.0999999999999997E-2</v>
      </c>
      <c r="AA8379" s="508">
        <v>5.0999999999999997E-2</v>
      </c>
      <c r="AB8379" s="508">
        <v>5.0999999999999997E-2</v>
      </c>
      <c r="AC8379" s="508">
        <v>5.0999999999999997E-2</v>
      </c>
      <c r="AD8379" s="508">
        <v>5.0999999999999997E-2</v>
      </c>
      <c r="AE8379" s="508">
        <v>5.0999999999999997E-2</v>
      </c>
      <c r="AF8379" s="508">
        <v>5.0999999999999997E-2</v>
      </c>
      <c r="AG8379" s="508">
        <v>5.0999999999999997E-2</v>
      </c>
      <c r="AH8379" s="508">
        <v>4.9000000000000002E-2</v>
      </c>
      <c r="AI8379" s="492">
        <v>4.9000000000000002E-2</v>
      </c>
      <c r="AJ8379" s="485"/>
    </row>
    <row r="8380" spans="2:36">
      <c r="B8380" s="136" t="s">
        <v>481</v>
      </c>
      <c r="C8380" s="132" t="s">
        <v>1370</v>
      </c>
      <c r="D8380" s="132" t="s">
        <v>1384</v>
      </c>
      <c r="E8380" s="508">
        <v>5.7000000000000002E-2</v>
      </c>
      <c r="F8380" s="508">
        <v>5.6000000000000001E-2</v>
      </c>
      <c r="G8380" s="508">
        <v>5.5E-2</v>
      </c>
      <c r="H8380" s="508">
        <v>5.5E-2</v>
      </c>
      <c r="I8380" s="508">
        <v>5.5E-2</v>
      </c>
      <c r="J8380" s="508">
        <v>5.5E-2</v>
      </c>
      <c r="K8380" s="508">
        <v>5.5E-2</v>
      </c>
      <c r="L8380" s="508">
        <v>5.5E-2</v>
      </c>
      <c r="M8380" s="508">
        <v>5.5E-2</v>
      </c>
      <c r="N8380" s="508">
        <v>5.5E-2</v>
      </c>
      <c r="O8380" s="508">
        <v>5.5E-2</v>
      </c>
      <c r="P8380" s="508">
        <v>5.5E-2</v>
      </c>
      <c r="Q8380" s="508">
        <v>5.2999999999999999E-2</v>
      </c>
      <c r="R8380" s="508">
        <v>5.5E-2</v>
      </c>
      <c r="S8380" s="508">
        <v>5.2999999999999999E-2</v>
      </c>
      <c r="T8380" s="508">
        <v>5.2999999999999999E-2</v>
      </c>
      <c r="U8380" s="508">
        <v>5.5E-2</v>
      </c>
      <c r="V8380" s="508">
        <v>5.5E-2</v>
      </c>
      <c r="W8380" s="508">
        <v>5.2999999999999999E-2</v>
      </c>
      <c r="X8380" s="508">
        <v>5.2999999999999999E-2</v>
      </c>
      <c r="Y8380" s="508">
        <v>5.2999999999999999E-2</v>
      </c>
      <c r="Z8380" s="508">
        <v>5.2999999999999999E-2</v>
      </c>
      <c r="AA8380" s="508">
        <v>5.2999999999999999E-2</v>
      </c>
      <c r="AB8380" s="508">
        <v>5.2999999999999999E-2</v>
      </c>
      <c r="AC8380" s="508">
        <v>5.2999999999999999E-2</v>
      </c>
      <c r="AD8380" s="508">
        <v>5.2999999999999999E-2</v>
      </c>
      <c r="AE8380" s="508">
        <v>5.2999999999999999E-2</v>
      </c>
      <c r="AF8380" s="508">
        <v>5.2999999999999999E-2</v>
      </c>
      <c r="AG8380" s="508">
        <v>5.2999999999999999E-2</v>
      </c>
      <c r="AH8380" s="508">
        <v>5.0999999999999997E-2</v>
      </c>
      <c r="AI8380" s="492">
        <v>5.0999999999999997E-2</v>
      </c>
      <c r="AJ8380" s="485"/>
    </row>
    <row r="8381" spans="2:36">
      <c r="B8381" s="136" t="s">
        <v>482</v>
      </c>
      <c r="C8381" s="132" t="s">
        <v>1370</v>
      </c>
      <c r="D8381" s="132" t="s">
        <v>1384</v>
      </c>
      <c r="E8381" s="508">
        <v>5.7000000000000002E-2</v>
      </c>
      <c r="F8381" s="508">
        <v>5.6000000000000001E-2</v>
      </c>
      <c r="G8381" s="508">
        <v>5.6000000000000001E-2</v>
      </c>
      <c r="H8381" s="508">
        <v>5.5E-2</v>
      </c>
      <c r="I8381" s="508">
        <v>5.5E-2</v>
      </c>
      <c r="J8381" s="508">
        <v>5.5E-2</v>
      </c>
      <c r="K8381" s="508">
        <v>5.5E-2</v>
      </c>
      <c r="L8381" s="508">
        <v>5.5E-2</v>
      </c>
      <c r="M8381" s="508">
        <v>5.5E-2</v>
      </c>
      <c r="N8381" s="508">
        <v>5.5E-2</v>
      </c>
      <c r="O8381" s="508">
        <v>5.6000000000000001E-2</v>
      </c>
      <c r="P8381" s="508">
        <v>5.6000000000000001E-2</v>
      </c>
      <c r="Q8381" s="508">
        <v>5.3999999999999999E-2</v>
      </c>
      <c r="R8381" s="508">
        <v>5.6000000000000001E-2</v>
      </c>
      <c r="S8381" s="508">
        <v>5.3999999999999999E-2</v>
      </c>
      <c r="T8381" s="508">
        <v>5.3999999999999999E-2</v>
      </c>
      <c r="U8381" s="508">
        <v>5.6000000000000001E-2</v>
      </c>
      <c r="V8381" s="508">
        <v>5.6000000000000001E-2</v>
      </c>
      <c r="W8381" s="508">
        <v>5.3999999999999999E-2</v>
      </c>
      <c r="X8381" s="508">
        <v>5.3999999999999999E-2</v>
      </c>
      <c r="Y8381" s="508">
        <v>5.3999999999999999E-2</v>
      </c>
      <c r="Z8381" s="508">
        <v>5.3999999999999999E-2</v>
      </c>
      <c r="AA8381" s="508">
        <v>5.3999999999999999E-2</v>
      </c>
      <c r="AB8381" s="508">
        <v>5.3999999999999999E-2</v>
      </c>
      <c r="AC8381" s="508">
        <v>5.3999999999999999E-2</v>
      </c>
      <c r="AD8381" s="508">
        <v>5.3999999999999999E-2</v>
      </c>
      <c r="AE8381" s="508">
        <v>5.3999999999999999E-2</v>
      </c>
      <c r="AF8381" s="508">
        <v>5.3999999999999999E-2</v>
      </c>
      <c r="AG8381" s="508">
        <v>5.3999999999999999E-2</v>
      </c>
      <c r="AH8381" s="508">
        <v>5.1999999999999998E-2</v>
      </c>
      <c r="AI8381" s="492">
        <v>5.1999999999999998E-2</v>
      </c>
      <c r="AJ8381" s="485"/>
    </row>
    <row r="8382" spans="2:36">
      <c r="B8382" s="136" t="s">
        <v>483</v>
      </c>
      <c r="C8382" s="132" t="s">
        <v>1370</v>
      </c>
      <c r="D8382" s="132" t="s">
        <v>1384</v>
      </c>
      <c r="E8382" s="508">
        <v>5.8000000000000003E-2</v>
      </c>
      <c r="F8382" s="508">
        <v>5.6000000000000001E-2</v>
      </c>
      <c r="G8382" s="508">
        <v>5.6000000000000001E-2</v>
      </c>
      <c r="H8382" s="508">
        <v>5.6000000000000001E-2</v>
      </c>
      <c r="I8382" s="508">
        <v>5.5E-2</v>
      </c>
      <c r="J8382" s="508">
        <v>5.5E-2</v>
      </c>
      <c r="K8382" s="508">
        <v>5.5E-2</v>
      </c>
      <c r="L8382" s="508">
        <v>5.5E-2</v>
      </c>
      <c r="M8382" s="508">
        <v>5.5E-2</v>
      </c>
      <c r="N8382" s="508">
        <v>5.5E-2</v>
      </c>
      <c r="O8382" s="508">
        <v>5.5E-2</v>
      </c>
      <c r="P8382" s="508">
        <v>5.5E-2</v>
      </c>
      <c r="Q8382" s="508">
        <v>5.2999999999999999E-2</v>
      </c>
      <c r="R8382" s="508">
        <v>5.5E-2</v>
      </c>
      <c r="S8382" s="508">
        <v>5.2999999999999999E-2</v>
      </c>
      <c r="T8382" s="508">
        <v>5.2999999999999999E-2</v>
      </c>
      <c r="U8382" s="508">
        <v>5.5E-2</v>
      </c>
      <c r="V8382" s="508">
        <v>5.5E-2</v>
      </c>
      <c r="W8382" s="508">
        <v>5.2999999999999999E-2</v>
      </c>
      <c r="X8382" s="508">
        <v>5.2999999999999999E-2</v>
      </c>
      <c r="Y8382" s="508">
        <v>5.2999999999999999E-2</v>
      </c>
      <c r="Z8382" s="508">
        <v>5.2999999999999999E-2</v>
      </c>
      <c r="AA8382" s="508">
        <v>5.2999999999999999E-2</v>
      </c>
      <c r="AB8382" s="508">
        <v>5.2999999999999999E-2</v>
      </c>
      <c r="AC8382" s="508">
        <v>5.2999999999999999E-2</v>
      </c>
      <c r="AD8382" s="508">
        <v>5.2999999999999999E-2</v>
      </c>
      <c r="AE8382" s="508">
        <v>5.2999999999999999E-2</v>
      </c>
      <c r="AF8382" s="508">
        <v>5.2999999999999999E-2</v>
      </c>
      <c r="AG8382" s="508">
        <v>5.2999999999999999E-2</v>
      </c>
      <c r="AH8382" s="508">
        <v>5.0999999999999997E-2</v>
      </c>
      <c r="AI8382" s="492">
        <v>5.0999999999999997E-2</v>
      </c>
      <c r="AJ8382" s="485"/>
    </row>
    <row r="8383" spans="2:36">
      <c r="B8383" s="136" t="s">
        <v>484</v>
      </c>
      <c r="C8383" s="132" t="s">
        <v>1370</v>
      </c>
      <c r="D8383" s="132" t="s">
        <v>1384</v>
      </c>
      <c r="E8383" s="508">
        <v>5.5E-2</v>
      </c>
      <c r="F8383" s="508">
        <v>5.3999999999999999E-2</v>
      </c>
      <c r="G8383" s="508">
        <v>5.2999999999999999E-2</v>
      </c>
      <c r="H8383" s="508">
        <v>5.2999999999999999E-2</v>
      </c>
      <c r="I8383" s="508">
        <v>5.2999999999999999E-2</v>
      </c>
      <c r="J8383" s="508">
        <v>5.2999999999999999E-2</v>
      </c>
      <c r="K8383" s="508">
        <v>5.2999999999999999E-2</v>
      </c>
      <c r="L8383" s="508">
        <v>5.2999999999999999E-2</v>
      </c>
      <c r="M8383" s="508">
        <v>5.2999999999999999E-2</v>
      </c>
      <c r="N8383" s="508">
        <v>5.2999999999999999E-2</v>
      </c>
      <c r="O8383" s="508">
        <v>5.2999999999999999E-2</v>
      </c>
      <c r="P8383" s="508">
        <v>5.2999999999999999E-2</v>
      </c>
      <c r="Q8383" s="508">
        <v>5.0999999999999997E-2</v>
      </c>
      <c r="R8383" s="508">
        <v>5.2999999999999999E-2</v>
      </c>
      <c r="S8383" s="508">
        <v>5.0999999999999997E-2</v>
      </c>
      <c r="T8383" s="508">
        <v>5.0999999999999997E-2</v>
      </c>
      <c r="U8383" s="508">
        <v>5.2999999999999999E-2</v>
      </c>
      <c r="V8383" s="508">
        <v>5.2999999999999999E-2</v>
      </c>
      <c r="W8383" s="508">
        <v>5.0999999999999997E-2</v>
      </c>
      <c r="X8383" s="508">
        <v>5.0999999999999997E-2</v>
      </c>
      <c r="Y8383" s="508">
        <v>5.0999999999999997E-2</v>
      </c>
      <c r="Z8383" s="508">
        <v>5.0999999999999997E-2</v>
      </c>
      <c r="AA8383" s="508">
        <v>5.0999999999999997E-2</v>
      </c>
      <c r="AB8383" s="508">
        <v>5.0999999999999997E-2</v>
      </c>
      <c r="AC8383" s="508">
        <v>5.0999999999999997E-2</v>
      </c>
      <c r="AD8383" s="508">
        <v>5.0999999999999997E-2</v>
      </c>
      <c r="AE8383" s="508">
        <v>5.0999999999999997E-2</v>
      </c>
      <c r="AF8383" s="508">
        <v>5.0999999999999997E-2</v>
      </c>
      <c r="AG8383" s="508">
        <v>5.0999999999999997E-2</v>
      </c>
      <c r="AH8383" s="508">
        <v>4.9000000000000002E-2</v>
      </c>
      <c r="AI8383" s="492">
        <v>4.9000000000000002E-2</v>
      </c>
      <c r="AJ8383" s="485"/>
    </row>
    <row r="8384" spans="2:36">
      <c r="B8384" s="136" t="s">
        <v>486</v>
      </c>
      <c r="C8384" s="132" t="s">
        <v>1370</v>
      </c>
      <c r="D8384" s="132" t="s">
        <v>1384</v>
      </c>
      <c r="E8384" s="508">
        <v>5.7000000000000002E-2</v>
      </c>
      <c r="F8384" s="508">
        <v>5.6000000000000001E-2</v>
      </c>
      <c r="G8384" s="508">
        <v>5.5E-2</v>
      </c>
      <c r="H8384" s="508">
        <v>5.5E-2</v>
      </c>
      <c r="I8384" s="508">
        <v>5.5E-2</v>
      </c>
      <c r="J8384" s="508">
        <v>5.5E-2</v>
      </c>
      <c r="K8384" s="508">
        <v>5.5E-2</v>
      </c>
      <c r="L8384" s="508">
        <v>5.5E-2</v>
      </c>
      <c r="M8384" s="508">
        <v>5.5E-2</v>
      </c>
      <c r="N8384" s="508">
        <v>5.5E-2</v>
      </c>
      <c r="O8384" s="508">
        <v>5.5E-2</v>
      </c>
      <c r="P8384" s="508">
        <v>5.5E-2</v>
      </c>
      <c r="Q8384" s="508">
        <v>5.2999999999999999E-2</v>
      </c>
      <c r="R8384" s="508">
        <v>5.5E-2</v>
      </c>
      <c r="S8384" s="508">
        <v>5.2999999999999999E-2</v>
      </c>
      <c r="T8384" s="508">
        <v>5.2999999999999999E-2</v>
      </c>
      <c r="U8384" s="508">
        <v>5.5E-2</v>
      </c>
      <c r="V8384" s="508">
        <v>5.5E-2</v>
      </c>
      <c r="W8384" s="508">
        <v>5.2999999999999999E-2</v>
      </c>
      <c r="X8384" s="508">
        <v>5.2999999999999999E-2</v>
      </c>
      <c r="Y8384" s="508">
        <v>5.2999999999999999E-2</v>
      </c>
      <c r="Z8384" s="508">
        <v>5.2999999999999999E-2</v>
      </c>
      <c r="AA8384" s="508">
        <v>5.2999999999999999E-2</v>
      </c>
      <c r="AB8384" s="508">
        <v>5.2999999999999999E-2</v>
      </c>
      <c r="AC8384" s="508">
        <v>5.2999999999999999E-2</v>
      </c>
      <c r="AD8384" s="508">
        <v>5.2999999999999999E-2</v>
      </c>
      <c r="AE8384" s="508">
        <v>5.2999999999999999E-2</v>
      </c>
      <c r="AF8384" s="508">
        <v>5.2999999999999999E-2</v>
      </c>
      <c r="AG8384" s="508">
        <v>5.2999999999999999E-2</v>
      </c>
      <c r="AH8384" s="508">
        <v>5.0999999999999997E-2</v>
      </c>
      <c r="AI8384" s="492">
        <v>5.0999999999999997E-2</v>
      </c>
      <c r="AJ8384" s="485"/>
    </row>
    <row r="8385" spans="2:36">
      <c r="B8385" s="136" t="s">
        <v>487</v>
      </c>
      <c r="C8385" s="132" t="s">
        <v>1370</v>
      </c>
      <c r="D8385" s="132" t="s">
        <v>1384</v>
      </c>
      <c r="E8385" s="508">
        <v>5.7000000000000002E-2</v>
      </c>
      <c r="F8385" s="508">
        <v>5.5E-2</v>
      </c>
      <c r="G8385" s="508">
        <v>5.5E-2</v>
      </c>
      <c r="H8385" s="508">
        <v>5.5E-2</v>
      </c>
      <c r="I8385" s="508">
        <v>5.3999999999999999E-2</v>
      </c>
      <c r="J8385" s="508">
        <v>5.3999999999999999E-2</v>
      </c>
      <c r="K8385" s="508">
        <v>5.3999999999999999E-2</v>
      </c>
      <c r="L8385" s="508">
        <v>5.3999999999999999E-2</v>
      </c>
      <c r="M8385" s="508">
        <v>5.3999999999999999E-2</v>
      </c>
      <c r="N8385" s="508">
        <v>5.3999999999999999E-2</v>
      </c>
      <c r="O8385" s="508">
        <v>5.3999999999999999E-2</v>
      </c>
      <c r="P8385" s="508">
        <v>5.3999999999999999E-2</v>
      </c>
      <c r="Q8385" s="508">
        <v>5.1999999999999998E-2</v>
      </c>
      <c r="R8385" s="508">
        <v>5.3999999999999999E-2</v>
      </c>
      <c r="S8385" s="508">
        <v>5.1999999999999998E-2</v>
      </c>
      <c r="T8385" s="508">
        <v>5.1999999999999998E-2</v>
      </c>
      <c r="U8385" s="508">
        <v>5.3999999999999999E-2</v>
      </c>
      <c r="V8385" s="508">
        <v>5.3999999999999999E-2</v>
      </c>
      <c r="W8385" s="508">
        <v>5.1999999999999998E-2</v>
      </c>
      <c r="X8385" s="508">
        <v>5.1999999999999998E-2</v>
      </c>
      <c r="Y8385" s="508">
        <v>5.1999999999999998E-2</v>
      </c>
      <c r="Z8385" s="508">
        <v>5.1999999999999998E-2</v>
      </c>
      <c r="AA8385" s="508">
        <v>5.1999999999999998E-2</v>
      </c>
      <c r="AB8385" s="508">
        <v>5.1999999999999998E-2</v>
      </c>
      <c r="AC8385" s="508">
        <v>5.1999999999999998E-2</v>
      </c>
      <c r="AD8385" s="508">
        <v>5.1999999999999998E-2</v>
      </c>
      <c r="AE8385" s="508">
        <v>5.1999999999999998E-2</v>
      </c>
      <c r="AF8385" s="508">
        <v>5.1999999999999998E-2</v>
      </c>
      <c r="AG8385" s="508">
        <v>5.1999999999999998E-2</v>
      </c>
      <c r="AH8385" s="508">
        <v>0.05</v>
      </c>
      <c r="AI8385" s="492">
        <v>0.05</v>
      </c>
      <c r="AJ8385" s="485"/>
    </row>
    <row r="8386" spans="2:36">
      <c r="B8386" s="136" t="s">
        <v>488</v>
      </c>
      <c r="C8386" s="132" t="s">
        <v>1370</v>
      </c>
      <c r="D8386" s="132" t="s">
        <v>1384</v>
      </c>
      <c r="E8386" s="508">
        <v>5.6000000000000001E-2</v>
      </c>
      <c r="F8386" s="508">
        <v>5.3999999999999999E-2</v>
      </c>
      <c r="G8386" s="508">
        <v>5.3999999999999999E-2</v>
      </c>
      <c r="H8386" s="508">
        <v>5.3999999999999999E-2</v>
      </c>
      <c r="I8386" s="508">
        <v>5.3999999999999999E-2</v>
      </c>
      <c r="J8386" s="508">
        <v>5.3999999999999999E-2</v>
      </c>
      <c r="K8386" s="508">
        <v>5.2999999999999999E-2</v>
      </c>
      <c r="L8386" s="508">
        <v>5.2999999999999999E-2</v>
      </c>
      <c r="M8386" s="508">
        <v>5.2999999999999999E-2</v>
      </c>
      <c r="N8386" s="508">
        <v>5.2999999999999999E-2</v>
      </c>
      <c r="O8386" s="508">
        <v>5.2999999999999999E-2</v>
      </c>
      <c r="P8386" s="508">
        <v>5.2999999999999999E-2</v>
      </c>
      <c r="Q8386" s="508">
        <v>5.1999999999999998E-2</v>
      </c>
      <c r="R8386" s="508">
        <v>5.2999999999999999E-2</v>
      </c>
      <c r="S8386" s="508">
        <v>5.1999999999999998E-2</v>
      </c>
      <c r="T8386" s="508">
        <v>5.1999999999999998E-2</v>
      </c>
      <c r="U8386" s="508">
        <v>5.2999999999999999E-2</v>
      </c>
      <c r="V8386" s="508">
        <v>5.2999999999999999E-2</v>
      </c>
      <c r="W8386" s="508">
        <v>5.1999999999999998E-2</v>
      </c>
      <c r="X8386" s="508">
        <v>5.1999999999999998E-2</v>
      </c>
      <c r="Y8386" s="508">
        <v>5.1999999999999998E-2</v>
      </c>
      <c r="Z8386" s="508">
        <v>5.1999999999999998E-2</v>
      </c>
      <c r="AA8386" s="508">
        <v>5.1999999999999998E-2</v>
      </c>
      <c r="AB8386" s="508">
        <v>5.1999999999999998E-2</v>
      </c>
      <c r="AC8386" s="508">
        <v>5.1999999999999998E-2</v>
      </c>
      <c r="AD8386" s="508">
        <v>5.1999999999999998E-2</v>
      </c>
      <c r="AE8386" s="508">
        <v>5.1999999999999998E-2</v>
      </c>
      <c r="AF8386" s="508">
        <v>5.1999999999999998E-2</v>
      </c>
      <c r="AG8386" s="508">
        <v>5.1999999999999998E-2</v>
      </c>
      <c r="AH8386" s="508">
        <v>0.05</v>
      </c>
      <c r="AI8386" s="492">
        <v>0.05</v>
      </c>
      <c r="AJ8386" s="485"/>
    </row>
    <row r="8387" spans="2:36">
      <c r="B8387" s="136" t="s">
        <v>489</v>
      </c>
      <c r="C8387" s="132" t="s">
        <v>1370</v>
      </c>
      <c r="D8387" s="132" t="s">
        <v>1384</v>
      </c>
      <c r="E8387" s="508">
        <v>5.6000000000000001E-2</v>
      </c>
      <c r="F8387" s="508">
        <v>5.5E-2</v>
      </c>
      <c r="G8387" s="508">
        <v>5.3999999999999999E-2</v>
      </c>
      <c r="H8387" s="508">
        <v>5.3999999999999999E-2</v>
      </c>
      <c r="I8387" s="508">
        <v>5.3999999999999999E-2</v>
      </c>
      <c r="J8387" s="508">
        <v>5.3999999999999999E-2</v>
      </c>
      <c r="K8387" s="508">
        <v>5.3999999999999999E-2</v>
      </c>
      <c r="L8387" s="508">
        <v>5.3999999999999999E-2</v>
      </c>
      <c r="M8387" s="508">
        <v>5.3999999999999999E-2</v>
      </c>
      <c r="N8387" s="508">
        <v>5.2999999999999999E-2</v>
      </c>
      <c r="O8387" s="508">
        <v>5.2999999999999999E-2</v>
      </c>
      <c r="P8387" s="508">
        <v>5.2999999999999999E-2</v>
      </c>
      <c r="Q8387" s="508">
        <v>5.1999999999999998E-2</v>
      </c>
      <c r="R8387" s="508">
        <v>5.2999999999999999E-2</v>
      </c>
      <c r="S8387" s="508">
        <v>5.1999999999999998E-2</v>
      </c>
      <c r="T8387" s="508">
        <v>5.1999999999999998E-2</v>
      </c>
      <c r="U8387" s="508">
        <v>5.2999999999999999E-2</v>
      </c>
      <c r="V8387" s="508">
        <v>5.2999999999999999E-2</v>
      </c>
      <c r="W8387" s="508">
        <v>5.1999999999999998E-2</v>
      </c>
      <c r="X8387" s="508">
        <v>5.1999999999999998E-2</v>
      </c>
      <c r="Y8387" s="508">
        <v>5.1999999999999998E-2</v>
      </c>
      <c r="Z8387" s="508">
        <v>5.1999999999999998E-2</v>
      </c>
      <c r="AA8387" s="508">
        <v>5.1999999999999998E-2</v>
      </c>
      <c r="AB8387" s="508">
        <v>5.1999999999999998E-2</v>
      </c>
      <c r="AC8387" s="508">
        <v>5.1999999999999998E-2</v>
      </c>
      <c r="AD8387" s="508">
        <v>5.1999999999999998E-2</v>
      </c>
      <c r="AE8387" s="508">
        <v>5.1999999999999998E-2</v>
      </c>
      <c r="AF8387" s="508">
        <v>5.1999999999999998E-2</v>
      </c>
      <c r="AG8387" s="508">
        <v>5.1999999999999998E-2</v>
      </c>
      <c r="AH8387" s="508">
        <v>0.05</v>
      </c>
      <c r="AI8387" s="492">
        <v>0.05</v>
      </c>
      <c r="AJ8387" s="485"/>
    </row>
    <row r="8388" spans="2:36">
      <c r="B8388" s="136" t="s">
        <v>490</v>
      </c>
      <c r="C8388" s="132" t="s">
        <v>1370</v>
      </c>
      <c r="D8388" s="132" t="s">
        <v>1384</v>
      </c>
      <c r="E8388" s="508">
        <v>5.5E-2</v>
      </c>
      <c r="F8388" s="508">
        <v>5.3999999999999999E-2</v>
      </c>
      <c r="G8388" s="508">
        <v>5.3999999999999999E-2</v>
      </c>
      <c r="H8388" s="508">
        <v>5.3999999999999999E-2</v>
      </c>
      <c r="I8388" s="508">
        <v>5.2999999999999999E-2</v>
      </c>
      <c r="J8388" s="508">
        <v>5.2999999999999999E-2</v>
      </c>
      <c r="K8388" s="508">
        <v>5.2999999999999999E-2</v>
      </c>
      <c r="L8388" s="508">
        <v>5.2999999999999999E-2</v>
      </c>
      <c r="M8388" s="508">
        <v>5.2999999999999999E-2</v>
      </c>
      <c r="N8388" s="508">
        <v>5.2999999999999999E-2</v>
      </c>
      <c r="O8388" s="508">
        <v>5.2999999999999999E-2</v>
      </c>
      <c r="P8388" s="508">
        <v>5.2999999999999999E-2</v>
      </c>
      <c r="Q8388" s="508">
        <v>5.1999999999999998E-2</v>
      </c>
      <c r="R8388" s="508">
        <v>5.2999999999999999E-2</v>
      </c>
      <c r="S8388" s="508">
        <v>5.1999999999999998E-2</v>
      </c>
      <c r="T8388" s="508">
        <v>5.1999999999999998E-2</v>
      </c>
      <c r="U8388" s="508">
        <v>5.2999999999999999E-2</v>
      </c>
      <c r="V8388" s="508">
        <v>5.2999999999999999E-2</v>
      </c>
      <c r="W8388" s="508">
        <v>5.1999999999999998E-2</v>
      </c>
      <c r="X8388" s="508">
        <v>5.1999999999999998E-2</v>
      </c>
      <c r="Y8388" s="508">
        <v>5.1999999999999998E-2</v>
      </c>
      <c r="Z8388" s="508">
        <v>5.1999999999999998E-2</v>
      </c>
      <c r="AA8388" s="508">
        <v>5.1999999999999998E-2</v>
      </c>
      <c r="AB8388" s="508">
        <v>5.1999999999999998E-2</v>
      </c>
      <c r="AC8388" s="508">
        <v>5.1999999999999998E-2</v>
      </c>
      <c r="AD8388" s="508">
        <v>5.1999999999999998E-2</v>
      </c>
      <c r="AE8388" s="508">
        <v>5.1999999999999998E-2</v>
      </c>
      <c r="AF8388" s="508">
        <v>5.1999999999999998E-2</v>
      </c>
      <c r="AG8388" s="508">
        <v>5.1999999999999998E-2</v>
      </c>
      <c r="AH8388" s="508">
        <v>4.9000000000000002E-2</v>
      </c>
      <c r="AI8388" s="492">
        <v>4.9000000000000002E-2</v>
      </c>
      <c r="AJ8388" s="485"/>
    </row>
    <row r="8389" spans="2:36">
      <c r="B8389" s="136" t="s">
        <v>435</v>
      </c>
      <c r="C8389" s="132" t="s">
        <v>1371</v>
      </c>
      <c r="D8389" s="132" t="s">
        <v>1384</v>
      </c>
      <c r="E8389" s="508">
        <v>3.1E-2</v>
      </c>
      <c r="F8389" s="508">
        <v>3.1E-2</v>
      </c>
      <c r="G8389" s="508">
        <v>3.1E-2</v>
      </c>
      <c r="H8389" s="508">
        <v>3.1E-2</v>
      </c>
      <c r="I8389" s="508">
        <v>3.1E-2</v>
      </c>
      <c r="J8389" s="508">
        <v>3.1E-2</v>
      </c>
      <c r="K8389" s="508">
        <v>3.1E-2</v>
      </c>
      <c r="L8389" s="508">
        <v>3.1E-2</v>
      </c>
      <c r="M8389" s="508">
        <v>3.1E-2</v>
      </c>
      <c r="N8389" s="508">
        <v>3.1E-2</v>
      </c>
      <c r="O8389" s="508">
        <v>3.1E-2</v>
      </c>
      <c r="P8389" s="508">
        <v>3.1E-2</v>
      </c>
      <c r="Q8389" s="508">
        <v>3.1E-2</v>
      </c>
      <c r="R8389" s="508">
        <v>3.1E-2</v>
      </c>
      <c r="S8389" s="508">
        <v>3.1E-2</v>
      </c>
      <c r="T8389" s="508">
        <v>3.1E-2</v>
      </c>
      <c r="U8389" s="508">
        <v>3.1E-2</v>
      </c>
      <c r="V8389" s="508">
        <v>3.1E-2</v>
      </c>
      <c r="W8389" s="508">
        <v>3.1E-2</v>
      </c>
      <c r="X8389" s="508">
        <v>3.1E-2</v>
      </c>
      <c r="Y8389" s="508">
        <v>3.1E-2</v>
      </c>
      <c r="Z8389" s="508">
        <v>3.1E-2</v>
      </c>
      <c r="AA8389" s="508">
        <v>3.1E-2</v>
      </c>
      <c r="AB8389" s="508">
        <v>3.1E-2</v>
      </c>
      <c r="AC8389" s="508">
        <v>3.1E-2</v>
      </c>
      <c r="AD8389" s="508">
        <v>3.1E-2</v>
      </c>
      <c r="AE8389" s="508">
        <v>3.1E-2</v>
      </c>
      <c r="AF8389" s="508">
        <v>3.1E-2</v>
      </c>
      <c r="AG8389" s="508">
        <v>3.1E-2</v>
      </c>
      <c r="AH8389" s="508">
        <v>0.03</v>
      </c>
      <c r="AI8389" s="492">
        <v>0.03</v>
      </c>
      <c r="AJ8389" s="485"/>
    </row>
    <row r="8390" spans="2:36">
      <c r="B8390" s="136" t="s">
        <v>436</v>
      </c>
      <c r="C8390" s="132" t="s">
        <v>1371</v>
      </c>
      <c r="D8390" s="132" t="s">
        <v>1384</v>
      </c>
      <c r="E8390" s="508">
        <v>3.1E-2</v>
      </c>
      <c r="F8390" s="508">
        <v>3.1E-2</v>
      </c>
      <c r="G8390" s="508">
        <v>3.1E-2</v>
      </c>
      <c r="H8390" s="508">
        <v>3.1E-2</v>
      </c>
      <c r="I8390" s="508">
        <v>3.1E-2</v>
      </c>
      <c r="J8390" s="508">
        <v>3.1E-2</v>
      </c>
      <c r="K8390" s="508">
        <v>3.1E-2</v>
      </c>
      <c r="L8390" s="508">
        <v>3.1E-2</v>
      </c>
      <c r="M8390" s="508">
        <v>3.1E-2</v>
      </c>
      <c r="N8390" s="508">
        <v>3.1E-2</v>
      </c>
      <c r="O8390" s="508">
        <v>3.1E-2</v>
      </c>
      <c r="P8390" s="508">
        <v>3.1E-2</v>
      </c>
      <c r="Q8390" s="508">
        <v>3.1E-2</v>
      </c>
      <c r="R8390" s="508">
        <v>3.1E-2</v>
      </c>
      <c r="S8390" s="508">
        <v>3.1E-2</v>
      </c>
      <c r="T8390" s="508">
        <v>3.1E-2</v>
      </c>
      <c r="U8390" s="508">
        <v>3.1E-2</v>
      </c>
      <c r="V8390" s="508">
        <v>3.1E-2</v>
      </c>
      <c r="W8390" s="508">
        <v>3.1E-2</v>
      </c>
      <c r="X8390" s="508">
        <v>3.1E-2</v>
      </c>
      <c r="Y8390" s="508">
        <v>3.1E-2</v>
      </c>
      <c r="Z8390" s="508">
        <v>3.1E-2</v>
      </c>
      <c r="AA8390" s="508">
        <v>3.1E-2</v>
      </c>
      <c r="AB8390" s="508">
        <v>3.1E-2</v>
      </c>
      <c r="AC8390" s="508">
        <v>3.1E-2</v>
      </c>
      <c r="AD8390" s="508">
        <v>3.1E-2</v>
      </c>
      <c r="AE8390" s="508">
        <v>3.1E-2</v>
      </c>
      <c r="AF8390" s="508">
        <v>3.1E-2</v>
      </c>
      <c r="AG8390" s="508">
        <v>3.1E-2</v>
      </c>
      <c r="AH8390" s="508">
        <v>2.9000000000000001E-2</v>
      </c>
      <c r="AI8390" s="492">
        <v>2.9000000000000001E-2</v>
      </c>
      <c r="AJ8390" s="485"/>
    </row>
    <row r="8391" spans="2:36">
      <c r="B8391" s="136" t="s">
        <v>437</v>
      </c>
      <c r="C8391" s="132" t="s">
        <v>1371</v>
      </c>
      <c r="D8391" s="132" t="s">
        <v>1384</v>
      </c>
      <c r="E8391" s="508">
        <v>3.2000000000000001E-2</v>
      </c>
      <c r="F8391" s="508">
        <v>3.2000000000000001E-2</v>
      </c>
      <c r="G8391" s="508">
        <v>3.2000000000000001E-2</v>
      </c>
      <c r="H8391" s="508">
        <v>3.2000000000000001E-2</v>
      </c>
      <c r="I8391" s="508">
        <v>3.2000000000000001E-2</v>
      </c>
      <c r="J8391" s="508">
        <v>3.2000000000000001E-2</v>
      </c>
      <c r="K8391" s="508">
        <v>3.3000000000000002E-2</v>
      </c>
      <c r="L8391" s="508">
        <v>3.3000000000000002E-2</v>
      </c>
      <c r="M8391" s="508">
        <v>3.3000000000000002E-2</v>
      </c>
      <c r="N8391" s="508">
        <v>3.3000000000000002E-2</v>
      </c>
      <c r="O8391" s="508">
        <v>3.3000000000000002E-2</v>
      </c>
      <c r="P8391" s="508">
        <v>3.3000000000000002E-2</v>
      </c>
      <c r="Q8391" s="508">
        <v>3.3000000000000002E-2</v>
      </c>
      <c r="R8391" s="508">
        <v>3.3000000000000002E-2</v>
      </c>
      <c r="S8391" s="508">
        <v>3.3000000000000002E-2</v>
      </c>
      <c r="T8391" s="508">
        <v>3.3000000000000002E-2</v>
      </c>
      <c r="U8391" s="508">
        <v>3.3000000000000002E-2</v>
      </c>
      <c r="V8391" s="508">
        <v>3.3000000000000002E-2</v>
      </c>
      <c r="W8391" s="508">
        <v>3.3000000000000002E-2</v>
      </c>
      <c r="X8391" s="508">
        <v>3.3000000000000002E-2</v>
      </c>
      <c r="Y8391" s="508">
        <v>3.3000000000000002E-2</v>
      </c>
      <c r="Z8391" s="508">
        <v>3.3000000000000002E-2</v>
      </c>
      <c r="AA8391" s="508">
        <v>3.3000000000000002E-2</v>
      </c>
      <c r="AB8391" s="508">
        <v>3.3000000000000002E-2</v>
      </c>
      <c r="AC8391" s="508">
        <v>3.3000000000000002E-2</v>
      </c>
      <c r="AD8391" s="508">
        <v>3.3000000000000002E-2</v>
      </c>
      <c r="AE8391" s="508">
        <v>3.3000000000000002E-2</v>
      </c>
      <c r="AF8391" s="508">
        <v>3.3000000000000002E-2</v>
      </c>
      <c r="AG8391" s="508">
        <v>3.3000000000000002E-2</v>
      </c>
      <c r="AH8391" s="508">
        <v>3.1E-2</v>
      </c>
      <c r="AI8391" s="492">
        <v>3.1E-2</v>
      </c>
      <c r="AJ8391" s="485"/>
    </row>
    <row r="8392" spans="2:36">
      <c r="B8392" s="136" t="s">
        <v>438</v>
      </c>
      <c r="C8392" s="132" t="s">
        <v>1371</v>
      </c>
      <c r="D8392" s="132" t="s">
        <v>1384</v>
      </c>
      <c r="E8392" s="508">
        <v>3.1E-2</v>
      </c>
      <c r="F8392" s="508">
        <v>3.1E-2</v>
      </c>
      <c r="G8392" s="508">
        <v>3.1E-2</v>
      </c>
      <c r="H8392" s="508">
        <v>3.1E-2</v>
      </c>
      <c r="I8392" s="508">
        <v>3.1E-2</v>
      </c>
      <c r="J8392" s="508">
        <v>3.1E-2</v>
      </c>
      <c r="K8392" s="508">
        <v>3.1E-2</v>
      </c>
      <c r="L8392" s="508">
        <v>3.1E-2</v>
      </c>
      <c r="M8392" s="508">
        <v>3.1E-2</v>
      </c>
      <c r="N8392" s="508">
        <v>3.1E-2</v>
      </c>
      <c r="O8392" s="508">
        <v>3.1E-2</v>
      </c>
      <c r="P8392" s="508">
        <v>3.1E-2</v>
      </c>
      <c r="Q8392" s="508">
        <v>3.1E-2</v>
      </c>
      <c r="R8392" s="508">
        <v>3.1E-2</v>
      </c>
      <c r="S8392" s="508">
        <v>3.1E-2</v>
      </c>
      <c r="T8392" s="508">
        <v>3.1E-2</v>
      </c>
      <c r="U8392" s="508">
        <v>3.1E-2</v>
      </c>
      <c r="V8392" s="508">
        <v>3.1E-2</v>
      </c>
      <c r="W8392" s="508">
        <v>3.1E-2</v>
      </c>
      <c r="X8392" s="508">
        <v>3.1E-2</v>
      </c>
      <c r="Y8392" s="508">
        <v>3.1E-2</v>
      </c>
      <c r="Z8392" s="508">
        <v>3.1E-2</v>
      </c>
      <c r="AA8392" s="508">
        <v>3.1E-2</v>
      </c>
      <c r="AB8392" s="508">
        <v>3.1E-2</v>
      </c>
      <c r="AC8392" s="508">
        <v>3.1E-2</v>
      </c>
      <c r="AD8392" s="508">
        <v>3.1E-2</v>
      </c>
      <c r="AE8392" s="508">
        <v>3.1E-2</v>
      </c>
      <c r="AF8392" s="508">
        <v>3.1E-2</v>
      </c>
      <c r="AG8392" s="508">
        <v>3.1E-2</v>
      </c>
      <c r="AH8392" s="508">
        <v>0.03</v>
      </c>
      <c r="AI8392" s="492">
        <v>0.03</v>
      </c>
      <c r="AJ8392" s="485"/>
    </row>
    <row r="8393" spans="2:36">
      <c r="B8393" s="136" t="s">
        <v>439</v>
      </c>
      <c r="C8393" s="132" t="s">
        <v>1371</v>
      </c>
      <c r="D8393" s="132" t="s">
        <v>1384</v>
      </c>
      <c r="E8393" s="508">
        <v>3.2000000000000001E-2</v>
      </c>
      <c r="F8393" s="508">
        <v>3.2000000000000001E-2</v>
      </c>
      <c r="G8393" s="508">
        <v>3.2000000000000001E-2</v>
      </c>
      <c r="H8393" s="508">
        <v>3.2000000000000001E-2</v>
      </c>
      <c r="I8393" s="508">
        <v>3.2000000000000001E-2</v>
      </c>
      <c r="J8393" s="508">
        <v>3.2000000000000001E-2</v>
      </c>
      <c r="K8393" s="508">
        <v>3.2000000000000001E-2</v>
      </c>
      <c r="L8393" s="508">
        <v>3.2000000000000001E-2</v>
      </c>
      <c r="M8393" s="508">
        <v>3.2000000000000001E-2</v>
      </c>
      <c r="N8393" s="508">
        <v>3.2000000000000001E-2</v>
      </c>
      <c r="O8393" s="508">
        <v>3.2000000000000001E-2</v>
      </c>
      <c r="P8393" s="508">
        <v>3.2000000000000001E-2</v>
      </c>
      <c r="Q8393" s="508">
        <v>3.2000000000000001E-2</v>
      </c>
      <c r="R8393" s="508">
        <v>3.2000000000000001E-2</v>
      </c>
      <c r="S8393" s="508">
        <v>3.2000000000000001E-2</v>
      </c>
      <c r="T8393" s="508">
        <v>3.2000000000000001E-2</v>
      </c>
      <c r="U8393" s="508">
        <v>3.2000000000000001E-2</v>
      </c>
      <c r="V8393" s="508">
        <v>3.2000000000000001E-2</v>
      </c>
      <c r="W8393" s="508">
        <v>3.2000000000000001E-2</v>
      </c>
      <c r="X8393" s="508">
        <v>3.2000000000000001E-2</v>
      </c>
      <c r="Y8393" s="508">
        <v>3.2000000000000001E-2</v>
      </c>
      <c r="Z8393" s="508">
        <v>3.2000000000000001E-2</v>
      </c>
      <c r="AA8393" s="508">
        <v>3.2000000000000001E-2</v>
      </c>
      <c r="AB8393" s="508">
        <v>3.2000000000000001E-2</v>
      </c>
      <c r="AC8393" s="508">
        <v>3.2000000000000001E-2</v>
      </c>
      <c r="AD8393" s="508">
        <v>3.2000000000000001E-2</v>
      </c>
      <c r="AE8393" s="508">
        <v>3.2000000000000001E-2</v>
      </c>
      <c r="AF8393" s="508">
        <v>3.2000000000000001E-2</v>
      </c>
      <c r="AG8393" s="508">
        <v>3.2000000000000001E-2</v>
      </c>
      <c r="AH8393" s="508">
        <v>0.03</v>
      </c>
      <c r="AI8393" s="492">
        <v>0.03</v>
      </c>
      <c r="AJ8393" s="485"/>
    </row>
    <row r="8394" spans="2:36">
      <c r="B8394" s="136" t="s">
        <v>440</v>
      </c>
      <c r="C8394" s="132" t="s">
        <v>1371</v>
      </c>
      <c r="D8394" s="132" t="s">
        <v>1384</v>
      </c>
      <c r="E8394" s="508">
        <v>3.1E-2</v>
      </c>
      <c r="F8394" s="508">
        <v>3.1E-2</v>
      </c>
      <c r="G8394" s="508">
        <v>3.1E-2</v>
      </c>
      <c r="H8394" s="508">
        <v>3.1E-2</v>
      </c>
      <c r="I8394" s="508">
        <v>3.1E-2</v>
      </c>
      <c r="J8394" s="508">
        <v>3.1E-2</v>
      </c>
      <c r="K8394" s="508">
        <v>3.1E-2</v>
      </c>
      <c r="L8394" s="508">
        <v>3.1E-2</v>
      </c>
      <c r="M8394" s="508">
        <v>3.1E-2</v>
      </c>
      <c r="N8394" s="508">
        <v>3.1E-2</v>
      </c>
      <c r="O8394" s="508">
        <v>3.1E-2</v>
      </c>
      <c r="P8394" s="508">
        <v>3.1E-2</v>
      </c>
      <c r="Q8394" s="508">
        <v>3.1E-2</v>
      </c>
      <c r="R8394" s="508">
        <v>3.1E-2</v>
      </c>
      <c r="S8394" s="508">
        <v>3.1E-2</v>
      </c>
      <c r="T8394" s="508">
        <v>3.1E-2</v>
      </c>
      <c r="U8394" s="508">
        <v>3.1E-2</v>
      </c>
      <c r="V8394" s="508">
        <v>3.1E-2</v>
      </c>
      <c r="W8394" s="508">
        <v>3.1E-2</v>
      </c>
      <c r="X8394" s="508">
        <v>3.1E-2</v>
      </c>
      <c r="Y8394" s="508">
        <v>3.1E-2</v>
      </c>
      <c r="Z8394" s="508">
        <v>3.1E-2</v>
      </c>
      <c r="AA8394" s="508">
        <v>3.1E-2</v>
      </c>
      <c r="AB8394" s="508">
        <v>3.1E-2</v>
      </c>
      <c r="AC8394" s="508">
        <v>3.1E-2</v>
      </c>
      <c r="AD8394" s="508">
        <v>3.1E-2</v>
      </c>
      <c r="AE8394" s="508">
        <v>3.1E-2</v>
      </c>
      <c r="AF8394" s="508">
        <v>3.1E-2</v>
      </c>
      <c r="AG8394" s="508">
        <v>3.1E-2</v>
      </c>
      <c r="AH8394" s="508">
        <v>0.03</v>
      </c>
      <c r="AI8394" s="492">
        <v>0.03</v>
      </c>
      <c r="AJ8394" s="485"/>
    </row>
    <row r="8395" spans="2:36">
      <c r="B8395" s="136" t="s">
        <v>441</v>
      </c>
      <c r="C8395" s="132" t="s">
        <v>1371</v>
      </c>
      <c r="D8395" s="132" t="s">
        <v>1384</v>
      </c>
      <c r="E8395" s="508">
        <v>3.2000000000000001E-2</v>
      </c>
      <c r="F8395" s="508">
        <v>3.2000000000000001E-2</v>
      </c>
      <c r="G8395" s="508">
        <v>3.2000000000000001E-2</v>
      </c>
      <c r="H8395" s="508">
        <v>3.2000000000000001E-2</v>
      </c>
      <c r="I8395" s="508">
        <v>3.2000000000000001E-2</v>
      </c>
      <c r="J8395" s="508">
        <v>3.2000000000000001E-2</v>
      </c>
      <c r="K8395" s="508">
        <v>3.2000000000000001E-2</v>
      </c>
      <c r="L8395" s="508">
        <v>3.2000000000000001E-2</v>
      </c>
      <c r="M8395" s="508">
        <v>3.2000000000000001E-2</v>
      </c>
      <c r="N8395" s="508">
        <v>3.2000000000000001E-2</v>
      </c>
      <c r="O8395" s="508">
        <v>3.2000000000000001E-2</v>
      </c>
      <c r="P8395" s="508">
        <v>3.2000000000000001E-2</v>
      </c>
      <c r="Q8395" s="508">
        <v>3.2000000000000001E-2</v>
      </c>
      <c r="R8395" s="508">
        <v>3.2000000000000001E-2</v>
      </c>
      <c r="S8395" s="508">
        <v>3.2000000000000001E-2</v>
      </c>
      <c r="T8395" s="508">
        <v>3.2000000000000001E-2</v>
      </c>
      <c r="U8395" s="508">
        <v>3.2000000000000001E-2</v>
      </c>
      <c r="V8395" s="508">
        <v>3.2000000000000001E-2</v>
      </c>
      <c r="W8395" s="508">
        <v>3.2000000000000001E-2</v>
      </c>
      <c r="X8395" s="508">
        <v>3.2000000000000001E-2</v>
      </c>
      <c r="Y8395" s="508">
        <v>3.2000000000000001E-2</v>
      </c>
      <c r="Z8395" s="508">
        <v>3.2000000000000001E-2</v>
      </c>
      <c r="AA8395" s="508">
        <v>3.2000000000000001E-2</v>
      </c>
      <c r="AB8395" s="508">
        <v>3.2000000000000001E-2</v>
      </c>
      <c r="AC8395" s="508">
        <v>3.2000000000000001E-2</v>
      </c>
      <c r="AD8395" s="508">
        <v>3.2000000000000001E-2</v>
      </c>
      <c r="AE8395" s="508">
        <v>3.2000000000000001E-2</v>
      </c>
      <c r="AF8395" s="508">
        <v>3.2000000000000001E-2</v>
      </c>
      <c r="AG8395" s="508">
        <v>3.2000000000000001E-2</v>
      </c>
      <c r="AH8395" s="508">
        <v>0.03</v>
      </c>
      <c r="AI8395" s="492">
        <v>0.03</v>
      </c>
      <c r="AJ8395" s="485"/>
    </row>
    <row r="8396" spans="2:36">
      <c r="B8396" s="136" t="s">
        <v>443</v>
      </c>
      <c r="C8396" s="132" t="s">
        <v>1371</v>
      </c>
      <c r="D8396" s="132" t="s">
        <v>1384</v>
      </c>
      <c r="E8396" s="508">
        <v>0.03</v>
      </c>
      <c r="F8396" s="508">
        <v>0.03</v>
      </c>
      <c r="G8396" s="508">
        <v>0.03</v>
      </c>
      <c r="H8396" s="508">
        <v>0.03</v>
      </c>
      <c r="I8396" s="508">
        <v>0.03</v>
      </c>
      <c r="J8396" s="508">
        <v>0.03</v>
      </c>
      <c r="K8396" s="508">
        <v>0.03</v>
      </c>
      <c r="L8396" s="508">
        <v>0.03</v>
      </c>
      <c r="M8396" s="508">
        <v>0.03</v>
      </c>
      <c r="N8396" s="508">
        <v>0.03</v>
      </c>
      <c r="O8396" s="508">
        <v>0.03</v>
      </c>
      <c r="P8396" s="508">
        <v>0.03</v>
      </c>
      <c r="Q8396" s="508">
        <v>3.1E-2</v>
      </c>
      <c r="R8396" s="508">
        <v>3.1E-2</v>
      </c>
      <c r="S8396" s="508">
        <v>3.1E-2</v>
      </c>
      <c r="T8396" s="508">
        <v>3.1E-2</v>
      </c>
      <c r="U8396" s="508">
        <v>3.1E-2</v>
      </c>
      <c r="V8396" s="508">
        <v>3.1E-2</v>
      </c>
      <c r="W8396" s="508">
        <v>3.1E-2</v>
      </c>
      <c r="X8396" s="508">
        <v>3.1E-2</v>
      </c>
      <c r="Y8396" s="508">
        <v>3.1E-2</v>
      </c>
      <c r="Z8396" s="508">
        <v>3.1E-2</v>
      </c>
      <c r="AA8396" s="508">
        <v>3.1E-2</v>
      </c>
      <c r="AB8396" s="508">
        <v>3.1E-2</v>
      </c>
      <c r="AC8396" s="508">
        <v>3.1E-2</v>
      </c>
      <c r="AD8396" s="508">
        <v>3.1E-2</v>
      </c>
      <c r="AE8396" s="508">
        <v>3.1E-2</v>
      </c>
      <c r="AF8396" s="508">
        <v>3.1E-2</v>
      </c>
      <c r="AG8396" s="508">
        <v>3.1E-2</v>
      </c>
      <c r="AH8396" s="508">
        <v>2.9000000000000001E-2</v>
      </c>
      <c r="AI8396" s="492">
        <v>2.9000000000000001E-2</v>
      </c>
      <c r="AJ8396" s="485"/>
    </row>
    <row r="8397" spans="2:36">
      <c r="B8397" s="136" t="s">
        <v>445</v>
      </c>
      <c r="C8397" s="132" t="s">
        <v>1371</v>
      </c>
      <c r="D8397" s="132" t="s">
        <v>1384</v>
      </c>
      <c r="E8397" s="508">
        <v>3.2000000000000001E-2</v>
      </c>
      <c r="F8397" s="508">
        <v>3.2000000000000001E-2</v>
      </c>
      <c r="G8397" s="508">
        <v>3.2000000000000001E-2</v>
      </c>
      <c r="H8397" s="508">
        <v>3.2000000000000001E-2</v>
      </c>
      <c r="I8397" s="508">
        <v>3.2000000000000001E-2</v>
      </c>
      <c r="J8397" s="508">
        <v>3.2000000000000001E-2</v>
      </c>
      <c r="K8397" s="508">
        <v>3.2000000000000001E-2</v>
      </c>
      <c r="L8397" s="508">
        <v>3.2000000000000001E-2</v>
      </c>
      <c r="M8397" s="508">
        <v>3.2000000000000001E-2</v>
      </c>
      <c r="N8397" s="508">
        <v>3.2000000000000001E-2</v>
      </c>
      <c r="O8397" s="508">
        <v>3.2000000000000001E-2</v>
      </c>
      <c r="P8397" s="508">
        <v>3.2000000000000001E-2</v>
      </c>
      <c r="Q8397" s="508">
        <v>3.2000000000000001E-2</v>
      </c>
      <c r="R8397" s="508">
        <v>3.2000000000000001E-2</v>
      </c>
      <c r="S8397" s="508">
        <v>3.2000000000000001E-2</v>
      </c>
      <c r="T8397" s="508">
        <v>3.2000000000000001E-2</v>
      </c>
      <c r="U8397" s="508">
        <v>3.2000000000000001E-2</v>
      </c>
      <c r="V8397" s="508">
        <v>3.2000000000000001E-2</v>
      </c>
      <c r="W8397" s="508">
        <v>3.2000000000000001E-2</v>
      </c>
      <c r="X8397" s="508">
        <v>3.2000000000000001E-2</v>
      </c>
      <c r="Y8397" s="508">
        <v>3.2000000000000001E-2</v>
      </c>
      <c r="Z8397" s="508">
        <v>3.2000000000000001E-2</v>
      </c>
      <c r="AA8397" s="508">
        <v>3.2000000000000001E-2</v>
      </c>
      <c r="AB8397" s="508">
        <v>3.2000000000000001E-2</v>
      </c>
      <c r="AC8397" s="508">
        <v>3.2000000000000001E-2</v>
      </c>
      <c r="AD8397" s="508">
        <v>3.2000000000000001E-2</v>
      </c>
      <c r="AE8397" s="508">
        <v>3.2000000000000001E-2</v>
      </c>
      <c r="AF8397" s="508">
        <v>3.2000000000000001E-2</v>
      </c>
      <c r="AG8397" s="508">
        <v>3.2000000000000001E-2</v>
      </c>
      <c r="AH8397" s="508">
        <v>0.03</v>
      </c>
      <c r="AI8397" s="492">
        <v>0.03</v>
      </c>
      <c r="AJ8397" s="485"/>
    </row>
    <row r="8398" spans="2:36">
      <c r="B8398" s="136" t="s">
        <v>446</v>
      </c>
      <c r="C8398" s="132" t="s">
        <v>1371</v>
      </c>
      <c r="D8398" s="132" t="s">
        <v>1384</v>
      </c>
      <c r="E8398" s="508">
        <v>3.2000000000000001E-2</v>
      </c>
      <c r="F8398" s="508">
        <v>3.2000000000000001E-2</v>
      </c>
      <c r="G8398" s="508">
        <v>3.2000000000000001E-2</v>
      </c>
      <c r="H8398" s="508">
        <v>3.2000000000000001E-2</v>
      </c>
      <c r="I8398" s="508">
        <v>3.2000000000000001E-2</v>
      </c>
      <c r="J8398" s="508">
        <v>3.2000000000000001E-2</v>
      </c>
      <c r="K8398" s="508">
        <v>3.2000000000000001E-2</v>
      </c>
      <c r="L8398" s="508">
        <v>3.3000000000000002E-2</v>
      </c>
      <c r="M8398" s="508">
        <v>3.3000000000000002E-2</v>
      </c>
      <c r="N8398" s="508">
        <v>3.3000000000000002E-2</v>
      </c>
      <c r="O8398" s="508">
        <v>3.3000000000000002E-2</v>
      </c>
      <c r="P8398" s="508">
        <v>3.3000000000000002E-2</v>
      </c>
      <c r="Q8398" s="508">
        <v>3.3000000000000002E-2</v>
      </c>
      <c r="R8398" s="508">
        <v>3.3000000000000002E-2</v>
      </c>
      <c r="S8398" s="508">
        <v>3.3000000000000002E-2</v>
      </c>
      <c r="T8398" s="508">
        <v>3.3000000000000002E-2</v>
      </c>
      <c r="U8398" s="508">
        <v>3.3000000000000002E-2</v>
      </c>
      <c r="V8398" s="508">
        <v>3.3000000000000002E-2</v>
      </c>
      <c r="W8398" s="508">
        <v>3.3000000000000002E-2</v>
      </c>
      <c r="X8398" s="508">
        <v>3.3000000000000002E-2</v>
      </c>
      <c r="Y8398" s="508">
        <v>3.3000000000000002E-2</v>
      </c>
      <c r="Z8398" s="508">
        <v>3.3000000000000002E-2</v>
      </c>
      <c r="AA8398" s="508">
        <v>3.3000000000000002E-2</v>
      </c>
      <c r="AB8398" s="508">
        <v>3.3000000000000002E-2</v>
      </c>
      <c r="AC8398" s="508">
        <v>3.3000000000000002E-2</v>
      </c>
      <c r="AD8398" s="508">
        <v>3.3000000000000002E-2</v>
      </c>
      <c r="AE8398" s="508">
        <v>3.3000000000000002E-2</v>
      </c>
      <c r="AF8398" s="508">
        <v>3.3000000000000002E-2</v>
      </c>
      <c r="AG8398" s="508">
        <v>3.3000000000000002E-2</v>
      </c>
      <c r="AH8398" s="508">
        <v>3.1E-2</v>
      </c>
      <c r="AI8398" s="492">
        <v>3.1E-2</v>
      </c>
      <c r="AJ8398" s="485"/>
    </row>
    <row r="8399" spans="2:36">
      <c r="B8399" s="136" t="s">
        <v>448</v>
      </c>
      <c r="C8399" s="132" t="s">
        <v>1371</v>
      </c>
      <c r="D8399" s="132" t="s">
        <v>1384</v>
      </c>
      <c r="E8399" s="508">
        <v>3.1E-2</v>
      </c>
      <c r="F8399" s="508">
        <v>3.1E-2</v>
      </c>
      <c r="G8399" s="508">
        <v>3.1E-2</v>
      </c>
      <c r="H8399" s="508">
        <v>3.1E-2</v>
      </c>
      <c r="I8399" s="508">
        <v>3.1E-2</v>
      </c>
      <c r="J8399" s="508">
        <v>3.1E-2</v>
      </c>
      <c r="K8399" s="508">
        <v>3.1E-2</v>
      </c>
      <c r="L8399" s="508">
        <v>3.1E-2</v>
      </c>
      <c r="M8399" s="508">
        <v>3.1E-2</v>
      </c>
      <c r="N8399" s="508">
        <v>3.1E-2</v>
      </c>
      <c r="O8399" s="508">
        <v>3.1E-2</v>
      </c>
      <c r="P8399" s="508">
        <v>3.1E-2</v>
      </c>
      <c r="Q8399" s="508">
        <v>3.1E-2</v>
      </c>
      <c r="R8399" s="508">
        <v>3.1E-2</v>
      </c>
      <c r="S8399" s="508">
        <v>3.1E-2</v>
      </c>
      <c r="T8399" s="508">
        <v>3.1E-2</v>
      </c>
      <c r="U8399" s="508">
        <v>3.1E-2</v>
      </c>
      <c r="V8399" s="508">
        <v>3.1E-2</v>
      </c>
      <c r="W8399" s="508">
        <v>3.2000000000000001E-2</v>
      </c>
      <c r="X8399" s="508">
        <v>3.2000000000000001E-2</v>
      </c>
      <c r="Y8399" s="508">
        <v>3.2000000000000001E-2</v>
      </c>
      <c r="Z8399" s="508">
        <v>3.2000000000000001E-2</v>
      </c>
      <c r="AA8399" s="508">
        <v>3.2000000000000001E-2</v>
      </c>
      <c r="AB8399" s="508">
        <v>3.2000000000000001E-2</v>
      </c>
      <c r="AC8399" s="508">
        <v>3.2000000000000001E-2</v>
      </c>
      <c r="AD8399" s="508">
        <v>3.2000000000000001E-2</v>
      </c>
      <c r="AE8399" s="508">
        <v>3.2000000000000001E-2</v>
      </c>
      <c r="AF8399" s="508">
        <v>3.2000000000000001E-2</v>
      </c>
      <c r="AG8399" s="508">
        <v>3.2000000000000001E-2</v>
      </c>
      <c r="AH8399" s="508">
        <v>0.03</v>
      </c>
      <c r="AI8399" s="492">
        <v>0.03</v>
      </c>
      <c r="AJ8399" s="485"/>
    </row>
    <row r="8400" spans="2:36">
      <c r="B8400" s="136" t="s">
        <v>449</v>
      </c>
      <c r="C8400" s="132" t="s">
        <v>1371</v>
      </c>
      <c r="D8400" s="132" t="s">
        <v>1384</v>
      </c>
      <c r="E8400" s="508">
        <v>3.1E-2</v>
      </c>
      <c r="F8400" s="508">
        <v>3.1E-2</v>
      </c>
      <c r="G8400" s="508">
        <v>3.1E-2</v>
      </c>
      <c r="H8400" s="508">
        <v>3.1E-2</v>
      </c>
      <c r="I8400" s="508">
        <v>3.2000000000000001E-2</v>
      </c>
      <c r="J8400" s="508">
        <v>3.2000000000000001E-2</v>
      </c>
      <c r="K8400" s="508">
        <v>3.2000000000000001E-2</v>
      </c>
      <c r="L8400" s="508">
        <v>3.2000000000000001E-2</v>
      </c>
      <c r="M8400" s="508">
        <v>3.2000000000000001E-2</v>
      </c>
      <c r="N8400" s="508">
        <v>3.2000000000000001E-2</v>
      </c>
      <c r="O8400" s="508">
        <v>3.2000000000000001E-2</v>
      </c>
      <c r="P8400" s="508">
        <v>3.2000000000000001E-2</v>
      </c>
      <c r="Q8400" s="508">
        <v>3.2000000000000001E-2</v>
      </c>
      <c r="R8400" s="508">
        <v>3.2000000000000001E-2</v>
      </c>
      <c r="S8400" s="508">
        <v>3.2000000000000001E-2</v>
      </c>
      <c r="T8400" s="508">
        <v>3.2000000000000001E-2</v>
      </c>
      <c r="U8400" s="508">
        <v>3.2000000000000001E-2</v>
      </c>
      <c r="V8400" s="508">
        <v>3.2000000000000001E-2</v>
      </c>
      <c r="W8400" s="508">
        <v>3.2000000000000001E-2</v>
      </c>
      <c r="X8400" s="508">
        <v>3.2000000000000001E-2</v>
      </c>
      <c r="Y8400" s="508">
        <v>3.2000000000000001E-2</v>
      </c>
      <c r="Z8400" s="508">
        <v>3.2000000000000001E-2</v>
      </c>
      <c r="AA8400" s="508">
        <v>3.2000000000000001E-2</v>
      </c>
      <c r="AB8400" s="508">
        <v>3.2000000000000001E-2</v>
      </c>
      <c r="AC8400" s="508">
        <v>3.2000000000000001E-2</v>
      </c>
      <c r="AD8400" s="508">
        <v>3.2000000000000001E-2</v>
      </c>
      <c r="AE8400" s="508">
        <v>3.2000000000000001E-2</v>
      </c>
      <c r="AF8400" s="508">
        <v>3.2000000000000001E-2</v>
      </c>
      <c r="AG8400" s="508">
        <v>3.2000000000000001E-2</v>
      </c>
      <c r="AH8400" s="508">
        <v>0.03</v>
      </c>
      <c r="AI8400" s="492">
        <v>0.03</v>
      </c>
      <c r="AJ8400" s="485"/>
    </row>
    <row r="8401" spans="2:36">
      <c r="B8401" s="136" t="s">
        <v>450</v>
      </c>
      <c r="C8401" s="132" t="s">
        <v>1371</v>
      </c>
      <c r="D8401" s="132" t="s">
        <v>1384</v>
      </c>
      <c r="E8401" s="508">
        <v>0.03</v>
      </c>
      <c r="F8401" s="508">
        <v>0.03</v>
      </c>
      <c r="G8401" s="508">
        <v>0.03</v>
      </c>
      <c r="H8401" s="508">
        <v>0.03</v>
      </c>
      <c r="I8401" s="508">
        <v>0.03</v>
      </c>
      <c r="J8401" s="508">
        <v>0.03</v>
      </c>
      <c r="K8401" s="508">
        <v>0.03</v>
      </c>
      <c r="L8401" s="508">
        <v>0.03</v>
      </c>
      <c r="M8401" s="508">
        <v>0.03</v>
      </c>
      <c r="N8401" s="508">
        <v>0.03</v>
      </c>
      <c r="O8401" s="508">
        <v>3.1E-2</v>
      </c>
      <c r="P8401" s="508">
        <v>3.1E-2</v>
      </c>
      <c r="Q8401" s="508">
        <v>3.1E-2</v>
      </c>
      <c r="R8401" s="508">
        <v>3.1E-2</v>
      </c>
      <c r="S8401" s="508">
        <v>3.1E-2</v>
      </c>
      <c r="T8401" s="508">
        <v>3.1E-2</v>
      </c>
      <c r="U8401" s="508">
        <v>3.1E-2</v>
      </c>
      <c r="V8401" s="508">
        <v>3.1E-2</v>
      </c>
      <c r="W8401" s="508">
        <v>3.1E-2</v>
      </c>
      <c r="X8401" s="508">
        <v>3.1E-2</v>
      </c>
      <c r="Y8401" s="508">
        <v>3.1E-2</v>
      </c>
      <c r="Z8401" s="508">
        <v>3.1E-2</v>
      </c>
      <c r="AA8401" s="508">
        <v>3.1E-2</v>
      </c>
      <c r="AB8401" s="508">
        <v>3.1E-2</v>
      </c>
      <c r="AC8401" s="508">
        <v>3.1E-2</v>
      </c>
      <c r="AD8401" s="508">
        <v>3.1E-2</v>
      </c>
      <c r="AE8401" s="508">
        <v>3.1E-2</v>
      </c>
      <c r="AF8401" s="508">
        <v>3.1E-2</v>
      </c>
      <c r="AG8401" s="508">
        <v>3.1E-2</v>
      </c>
      <c r="AH8401" s="508">
        <v>2.9000000000000001E-2</v>
      </c>
      <c r="AI8401" s="492">
        <v>2.9000000000000001E-2</v>
      </c>
      <c r="AJ8401" s="485"/>
    </row>
    <row r="8402" spans="2:36">
      <c r="B8402" s="136" t="s">
        <v>451</v>
      </c>
      <c r="C8402" s="132" t="s">
        <v>1371</v>
      </c>
      <c r="D8402" s="132" t="s">
        <v>1384</v>
      </c>
      <c r="E8402" s="508">
        <v>3.2000000000000001E-2</v>
      </c>
      <c r="F8402" s="508">
        <v>3.2000000000000001E-2</v>
      </c>
      <c r="G8402" s="508">
        <v>3.2000000000000001E-2</v>
      </c>
      <c r="H8402" s="508">
        <v>3.2000000000000001E-2</v>
      </c>
      <c r="I8402" s="508">
        <v>3.2000000000000001E-2</v>
      </c>
      <c r="J8402" s="508">
        <v>3.2000000000000001E-2</v>
      </c>
      <c r="K8402" s="508">
        <v>3.2000000000000001E-2</v>
      </c>
      <c r="L8402" s="508">
        <v>3.2000000000000001E-2</v>
      </c>
      <c r="M8402" s="508">
        <v>3.2000000000000001E-2</v>
      </c>
      <c r="N8402" s="508">
        <v>3.2000000000000001E-2</v>
      </c>
      <c r="O8402" s="508">
        <v>3.2000000000000001E-2</v>
      </c>
      <c r="P8402" s="508">
        <v>3.2000000000000001E-2</v>
      </c>
      <c r="Q8402" s="508">
        <v>3.2000000000000001E-2</v>
      </c>
      <c r="R8402" s="508">
        <v>3.2000000000000001E-2</v>
      </c>
      <c r="S8402" s="508">
        <v>3.2000000000000001E-2</v>
      </c>
      <c r="T8402" s="508">
        <v>3.2000000000000001E-2</v>
      </c>
      <c r="U8402" s="508">
        <v>3.2000000000000001E-2</v>
      </c>
      <c r="V8402" s="508">
        <v>3.2000000000000001E-2</v>
      </c>
      <c r="W8402" s="508">
        <v>3.2000000000000001E-2</v>
      </c>
      <c r="X8402" s="508">
        <v>3.2000000000000001E-2</v>
      </c>
      <c r="Y8402" s="508">
        <v>3.2000000000000001E-2</v>
      </c>
      <c r="Z8402" s="508">
        <v>3.2000000000000001E-2</v>
      </c>
      <c r="AA8402" s="508">
        <v>3.2000000000000001E-2</v>
      </c>
      <c r="AB8402" s="508">
        <v>3.2000000000000001E-2</v>
      </c>
      <c r="AC8402" s="508">
        <v>3.2000000000000001E-2</v>
      </c>
      <c r="AD8402" s="508">
        <v>3.2000000000000001E-2</v>
      </c>
      <c r="AE8402" s="508">
        <v>3.2000000000000001E-2</v>
      </c>
      <c r="AF8402" s="508">
        <v>3.2000000000000001E-2</v>
      </c>
      <c r="AG8402" s="508">
        <v>3.2000000000000001E-2</v>
      </c>
      <c r="AH8402" s="508">
        <v>0.03</v>
      </c>
      <c r="AI8402" s="492">
        <v>0.03</v>
      </c>
      <c r="AJ8402" s="485"/>
    </row>
    <row r="8403" spans="2:36">
      <c r="B8403" s="136" t="s">
        <v>452</v>
      </c>
      <c r="C8403" s="132" t="s">
        <v>1371</v>
      </c>
      <c r="D8403" s="132" t="s">
        <v>1384</v>
      </c>
      <c r="E8403" s="508">
        <v>3.1E-2</v>
      </c>
      <c r="F8403" s="508">
        <v>3.1E-2</v>
      </c>
      <c r="G8403" s="508">
        <v>3.1E-2</v>
      </c>
      <c r="H8403" s="508">
        <v>3.1E-2</v>
      </c>
      <c r="I8403" s="508">
        <v>3.1E-2</v>
      </c>
      <c r="J8403" s="508">
        <v>3.1E-2</v>
      </c>
      <c r="K8403" s="508">
        <v>3.1E-2</v>
      </c>
      <c r="L8403" s="508">
        <v>3.1E-2</v>
      </c>
      <c r="M8403" s="508">
        <v>3.1E-2</v>
      </c>
      <c r="N8403" s="508">
        <v>3.1E-2</v>
      </c>
      <c r="O8403" s="508">
        <v>3.1E-2</v>
      </c>
      <c r="P8403" s="508">
        <v>3.1E-2</v>
      </c>
      <c r="Q8403" s="508">
        <v>3.1E-2</v>
      </c>
      <c r="R8403" s="508">
        <v>3.1E-2</v>
      </c>
      <c r="S8403" s="508">
        <v>3.1E-2</v>
      </c>
      <c r="T8403" s="508">
        <v>3.1E-2</v>
      </c>
      <c r="U8403" s="508">
        <v>3.1E-2</v>
      </c>
      <c r="V8403" s="508">
        <v>3.1E-2</v>
      </c>
      <c r="W8403" s="508">
        <v>3.1E-2</v>
      </c>
      <c r="X8403" s="508">
        <v>3.1E-2</v>
      </c>
      <c r="Y8403" s="508">
        <v>3.1E-2</v>
      </c>
      <c r="Z8403" s="508">
        <v>3.1E-2</v>
      </c>
      <c r="AA8403" s="508">
        <v>3.1E-2</v>
      </c>
      <c r="AB8403" s="508">
        <v>3.1E-2</v>
      </c>
      <c r="AC8403" s="508">
        <v>3.1E-2</v>
      </c>
      <c r="AD8403" s="508">
        <v>3.1E-2</v>
      </c>
      <c r="AE8403" s="508">
        <v>3.1E-2</v>
      </c>
      <c r="AF8403" s="508">
        <v>3.1E-2</v>
      </c>
      <c r="AG8403" s="508">
        <v>3.1E-2</v>
      </c>
      <c r="AH8403" s="508">
        <v>2.9000000000000001E-2</v>
      </c>
      <c r="AI8403" s="492">
        <v>2.9000000000000001E-2</v>
      </c>
      <c r="AJ8403" s="485"/>
    </row>
    <row r="8404" spans="2:36">
      <c r="B8404" s="136" t="s">
        <v>453</v>
      </c>
      <c r="C8404" s="132" t="s">
        <v>1371</v>
      </c>
      <c r="D8404" s="132" t="s">
        <v>1384</v>
      </c>
      <c r="E8404" s="508">
        <v>0.03</v>
      </c>
      <c r="F8404" s="508">
        <v>0.03</v>
      </c>
      <c r="G8404" s="508">
        <v>0.03</v>
      </c>
      <c r="H8404" s="508">
        <v>0.03</v>
      </c>
      <c r="I8404" s="508">
        <v>0.03</v>
      </c>
      <c r="J8404" s="508">
        <v>0.03</v>
      </c>
      <c r="K8404" s="508">
        <v>0.03</v>
      </c>
      <c r="L8404" s="508">
        <v>0.03</v>
      </c>
      <c r="M8404" s="508">
        <v>0.03</v>
      </c>
      <c r="N8404" s="508">
        <v>0.03</v>
      </c>
      <c r="O8404" s="508">
        <v>0.03</v>
      </c>
      <c r="P8404" s="508">
        <v>3.1E-2</v>
      </c>
      <c r="Q8404" s="508">
        <v>3.1E-2</v>
      </c>
      <c r="R8404" s="508">
        <v>3.1E-2</v>
      </c>
      <c r="S8404" s="508">
        <v>3.1E-2</v>
      </c>
      <c r="T8404" s="508">
        <v>3.1E-2</v>
      </c>
      <c r="U8404" s="508">
        <v>3.1E-2</v>
      </c>
      <c r="V8404" s="508">
        <v>3.1E-2</v>
      </c>
      <c r="W8404" s="508">
        <v>3.1E-2</v>
      </c>
      <c r="X8404" s="508">
        <v>3.1E-2</v>
      </c>
      <c r="Y8404" s="508">
        <v>3.1E-2</v>
      </c>
      <c r="Z8404" s="508">
        <v>3.1E-2</v>
      </c>
      <c r="AA8404" s="508">
        <v>3.1E-2</v>
      </c>
      <c r="AB8404" s="508">
        <v>3.1E-2</v>
      </c>
      <c r="AC8404" s="508">
        <v>3.1E-2</v>
      </c>
      <c r="AD8404" s="508">
        <v>3.1E-2</v>
      </c>
      <c r="AE8404" s="508">
        <v>3.1E-2</v>
      </c>
      <c r="AF8404" s="508">
        <v>3.1E-2</v>
      </c>
      <c r="AG8404" s="508">
        <v>3.1E-2</v>
      </c>
      <c r="AH8404" s="508">
        <v>2.9000000000000001E-2</v>
      </c>
      <c r="AI8404" s="492">
        <v>2.9000000000000001E-2</v>
      </c>
      <c r="AJ8404" s="485"/>
    </row>
    <row r="8405" spans="2:36">
      <c r="B8405" s="136" t="s">
        <v>454</v>
      </c>
      <c r="C8405" s="132" t="s">
        <v>1371</v>
      </c>
      <c r="D8405" s="132" t="s">
        <v>1384</v>
      </c>
      <c r="E8405" s="508">
        <v>3.1E-2</v>
      </c>
      <c r="F8405" s="508">
        <v>3.1E-2</v>
      </c>
      <c r="G8405" s="508">
        <v>3.1E-2</v>
      </c>
      <c r="H8405" s="508">
        <v>3.1E-2</v>
      </c>
      <c r="I8405" s="508">
        <v>3.1E-2</v>
      </c>
      <c r="J8405" s="508">
        <v>3.1E-2</v>
      </c>
      <c r="K8405" s="508">
        <v>3.1E-2</v>
      </c>
      <c r="L8405" s="508">
        <v>3.1E-2</v>
      </c>
      <c r="M8405" s="508">
        <v>3.1E-2</v>
      </c>
      <c r="N8405" s="508">
        <v>3.1E-2</v>
      </c>
      <c r="O8405" s="508">
        <v>3.1E-2</v>
      </c>
      <c r="P8405" s="508">
        <v>3.1E-2</v>
      </c>
      <c r="Q8405" s="508">
        <v>3.1E-2</v>
      </c>
      <c r="R8405" s="508">
        <v>3.1E-2</v>
      </c>
      <c r="S8405" s="508">
        <v>3.1E-2</v>
      </c>
      <c r="T8405" s="508">
        <v>3.1E-2</v>
      </c>
      <c r="U8405" s="508">
        <v>3.1E-2</v>
      </c>
      <c r="V8405" s="508">
        <v>3.1E-2</v>
      </c>
      <c r="W8405" s="508">
        <v>3.1E-2</v>
      </c>
      <c r="X8405" s="508">
        <v>3.1E-2</v>
      </c>
      <c r="Y8405" s="508">
        <v>3.1E-2</v>
      </c>
      <c r="Z8405" s="508">
        <v>3.1E-2</v>
      </c>
      <c r="AA8405" s="508">
        <v>3.1E-2</v>
      </c>
      <c r="AB8405" s="508">
        <v>3.1E-2</v>
      </c>
      <c r="AC8405" s="508">
        <v>3.1E-2</v>
      </c>
      <c r="AD8405" s="508">
        <v>3.1E-2</v>
      </c>
      <c r="AE8405" s="508">
        <v>3.1E-2</v>
      </c>
      <c r="AF8405" s="508">
        <v>3.1E-2</v>
      </c>
      <c r="AG8405" s="508">
        <v>3.1E-2</v>
      </c>
      <c r="AH8405" s="508">
        <v>2.9000000000000001E-2</v>
      </c>
      <c r="AI8405" s="492">
        <v>2.9000000000000001E-2</v>
      </c>
      <c r="AJ8405" s="485"/>
    </row>
    <row r="8406" spans="2:36">
      <c r="B8406" s="136" t="s">
        <v>455</v>
      </c>
      <c r="C8406" s="132" t="s">
        <v>1371</v>
      </c>
      <c r="D8406" s="132" t="s">
        <v>1384</v>
      </c>
      <c r="E8406" s="508">
        <v>3.1E-2</v>
      </c>
      <c r="F8406" s="508">
        <v>3.1E-2</v>
      </c>
      <c r="G8406" s="508">
        <v>3.1E-2</v>
      </c>
      <c r="H8406" s="508">
        <v>3.1E-2</v>
      </c>
      <c r="I8406" s="508">
        <v>3.1E-2</v>
      </c>
      <c r="J8406" s="508">
        <v>3.1E-2</v>
      </c>
      <c r="K8406" s="508">
        <v>3.1E-2</v>
      </c>
      <c r="L8406" s="508">
        <v>3.1E-2</v>
      </c>
      <c r="M8406" s="508">
        <v>3.1E-2</v>
      </c>
      <c r="N8406" s="508">
        <v>3.1E-2</v>
      </c>
      <c r="O8406" s="508">
        <v>3.1E-2</v>
      </c>
      <c r="P8406" s="508">
        <v>3.1E-2</v>
      </c>
      <c r="Q8406" s="508">
        <v>3.1E-2</v>
      </c>
      <c r="R8406" s="508">
        <v>3.1E-2</v>
      </c>
      <c r="S8406" s="508">
        <v>3.1E-2</v>
      </c>
      <c r="T8406" s="508">
        <v>3.1E-2</v>
      </c>
      <c r="U8406" s="508">
        <v>3.1E-2</v>
      </c>
      <c r="V8406" s="508">
        <v>3.1E-2</v>
      </c>
      <c r="W8406" s="508">
        <v>3.1E-2</v>
      </c>
      <c r="X8406" s="508">
        <v>3.1E-2</v>
      </c>
      <c r="Y8406" s="508">
        <v>3.1E-2</v>
      </c>
      <c r="Z8406" s="508">
        <v>3.1E-2</v>
      </c>
      <c r="AA8406" s="508">
        <v>3.1E-2</v>
      </c>
      <c r="AB8406" s="508">
        <v>3.1E-2</v>
      </c>
      <c r="AC8406" s="508">
        <v>3.1E-2</v>
      </c>
      <c r="AD8406" s="508">
        <v>3.1E-2</v>
      </c>
      <c r="AE8406" s="508">
        <v>3.1E-2</v>
      </c>
      <c r="AF8406" s="508">
        <v>3.1E-2</v>
      </c>
      <c r="AG8406" s="508">
        <v>3.1E-2</v>
      </c>
      <c r="AH8406" s="508">
        <v>0.03</v>
      </c>
      <c r="AI8406" s="492">
        <v>0.03</v>
      </c>
      <c r="AJ8406" s="485"/>
    </row>
    <row r="8407" spans="2:36">
      <c r="B8407" s="136" t="s">
        <v>456</v>
      </c>
      <c r="C8407" s="132" t="s">
        <v>1371</v>
      </c>
      <c r="D8407" s="132" t="s">
        <v>1384</v>
      </c>
      <c r="E8407" s="508">
        <v>3.1E-2</v>
      </c>
      <c r="F8407" s="508">
        <v>3.1E-2</v>
      </c>
      <c r="G8407" s="508">
        <v>3.1E-2</v>
      </c>
      <c r="H8407" s="508">
        <v>3.2000000000000001E-2</v>
      </c>
      <c r="I8407" s="508">
        <v>3.2000000000000001E-2</v>
      </c>
      <c r="J8407" s="508">
        <v>3.2000000000000001E-2</v>
      </c>
      <c r="K8407" s="508">
        <v>3.2000000000000001E-2</v>
      </c>
      <c r="L8407" s="508">
        <v>3.2000000000000001E-2</v>
      </c>
      <c r="M8407" s="508">
        <v>3.2000000000000001E-2</v>
      </c>
      <c r="N8407" s="508">
        <v>3.2000000000000001E-2</v>
      </c>
      <c r="O8407" s="508">
        <v>3.2000000000000001E-2</v>
      </c>
      <c r="P8407" s="508">
        <v>3.2000000000000001E-2</v>
      </c>
      <c r="Q8407" s="508">
        <v>3.2000000000000001E-2</v>
      </c>
      <c r="R8407" s="508">
        <v>3.2000000000000001E-2</v>
      </c>
      <c r="S8407" s="508">
        <v>3.2000000000000001E-2</v>
      </c>
      <c r="T8407" s="508">
        <v>3.2000000000000001E-2</v>
      </c>
      <c r="U8407" s="508">
        <v>3.2000000000000001E-2</v>
      </c>
      <c r="V8407" s="508">
        <v>3.2000000000000001E-2</v>
      </c>
      <c r="W8407" s="508">
        <v>3.2000000000000001E-2</v>
      </c>
      <c r="X8407" s="508">
        <v>3.2000000000000001E-2</v>
      </c>
      <c r="Y8407" s="508">
        <v>3.2000000000000001E-2</v>
      </c>
      <c r="Z8407" s="508">
        <v>3.2000000000000001E-2</v>
      </c>
      <c r="AA8407" s="508">
        <v>3.2000000000000001E-2</v>
      </c>
      <c r="AB8407" s="508">
        <v>3.2000000000000001E-2</v>
      </c>
      <c r="AC8407" s="508">
        <v>3.2000000000000001E-2</v>
      </c>
      <c r="AD8407" s="508">
        <v>3.2000000000000001E-2</v>
      </c>
      <c r="AE8407" s="508">
        <v>3.2000000000000001E-2</v>
      </c>
      <c r="AF8407" s="508">
        <v>3.2000000000000001E-2</v>
      </c>
      <c r="AG8407" s="508">
        <v>3.2000000000000001E-2</v>
      </c>
      <c r="AH8407" s="508">
        <v>0.03</v>
      </c>
      <c r="AI8407" s="492">
        <v>0.03</v>
      </c>
      <c r="AJ8407" s="485"/>
    </row>
    <row r="8408" spans="2:36">
      <c r="B8408" s="136" t="s">
        <v>457</v>
      </c>
      <c r="C8408" s="132" t="s">
        <v>1371</v>
      </c>
      <c r="D8408" s="132" t="s">
        <v>1384</v>
      </c>
      <c r="E8408" s="508">
        <v>0.03</v>
      </c>
      <c r="F8408" s="508">
        <v>0.03</v>
      </c>
      <c r="G8408" s="508">
        <v>0.03</v>
      </c>
      <c r="H8408" s="508">
        <v>0.03</v>
      </c>
      <c r="I8408" s="508">
        <v>0.03</v>
      </c>
      <c r="J8408" s="508">
        <v>0.03</v>
      </c>
      <c r="K8408" s="508">
        <v>0.03</v>
      </c>
      <c r="L8408" s="508">
        <v>0.03</v>
      </c>
      <c r="M8408" s="508">
        <v>0.03</v>
      </c>
      <c r="N8408" s="508">
        <v>0.03</v>
      </c>
      <c r="O8408" s="508">
        <v>0.03</v>
      </c>
      <c r="P8408" s="508">
        <v>0.03</v>
      </c>
      <c r="Q8408" s="508">
        <v>0.03</v>
      </c>
      <c r="R8408" s="508">
        <v>0.03</v>
      </c>
      <c r="S8408" s="508">
        <v>0.03</v>
      </c>
      <c r="T8408" s="508">
        <v>0.03</v>
      </c>
      <c r="U8408" s="508">
        <v>0.03</v>
      </c>
      <c r="V8408" s="508">
        <v>0.03</v>
      </c>
      <c r="W8408" s="508">
        <v>0.03</v>
      </c>
      <c r="X8408" s="508">
        <v>0.03</v>
      </c>
      <c r="Y8408" s="508">
        <v>0.03</v>
      </c>
      <c r="Z8408" s="508">
        <v>0.03</v>
      </c>
      <c r="AA8408" s="508">
        <v>0.03</v>
      </c>
      <c r="AB8408" s="508">
        <v>0.03</v>
      </c>
      <c r="AC8408" s="508">
        <v>0.03</v>
      </c>
      <c r="AD8408" s="508">
        <v>0.03</v>
      </c>
      <c r="AE8408" s="508">
        <v>0.03</v>
      </c>
      <c r="AF8408" s="508">
        <v>0.03</v>
      </c>
      <c r="AG8408" s="508">
        <v>0.03</v>
      </c>
      <c r="AH8408" s="508">
        <v>2.8000000000000001E-2</v>
      </c>
      <c r="AI8408" s="492">
        <v>2.8000000000000001E-2</v>
      </c>
      <c r="AJ8408" s="485"/>
    </row>
    <row r="8409" spans="2:36">
      <c r="B8409" s="136" t="s">
        <v>458</v>
      </c>
      <c r="C8409" s="132" t="s">
        <v>1371</v>
      </c>
      <c r="D8409" s="132" t="s">
        <v>1384</v>
      </c>
      <c r="E8409" s="508">
        <v>3.2000000000000001E-2</v>
      </c>
      <c r="F8409" s="508">
        <v>3.2000000000000001E-2</v>
      </c>
      <c r="G8409" s="508">
        <v>3.2000000000000001E-2</v>
      </c>
      <c r="H8409" s="508">
        <v>3.2000000000000001E-2</v>
      </c>
      <c r="I8409" s="508">
        <v>3.2000000000000001E-2</v>
      </c>
      <c r="J8409" s="508">
        <v>3.2000000000000001E-2</v>
      </c>
      <c r="K8409" s="508">
        <v>3.2000000000000001E-2</v>
      </c>
      <c r="L8409" s="508">
        <v>3.2000000000000001E-2</v>
      </c>
      <c r="M8409" s="508">
        <v>3.2000000000000001E-2</v>
      </c>
      <c r="N8409" s="508">
        <v>3.2000000000000001E-2</v>
      </c>
      <c r="O8409" s="508">
        <v>3.2000000000000001E-2</v>
      </c>
      <c r="P8409" s="508">
        <v>3.2000000000000001E-2</v>
      </c>
      <c r="Q8409" s="508">
        <v>3.2000000000000001E-2</v>
      </c>
      <c r="R8409" s="508">
        <v>3.2000000000000001E-2</v>
      </c>
      <c r="S8409" s="508">
        <v>3.2000000000000001E-2</v>
      </c>
      <c r="T8409" s="508">
        <v>3.2000000000000001E-2</v>
      </c>
      <c r="U8409" s="508">
        <v>3.2000000000000001E-2</v>
      </c>
      <c r="V8409" s="508">
        <v>3.2000000000000001E-2</v>
      </c>
      <c r="W8409" s="508">
        <v>3.2000000000000001E-2</v>
      </c>
      <c r="X8409" s="508">
        <v>3.2000000000000001E-2</v>
      </c>
      <c r="Y8409" s="508">
        <v>3.2000000000000001E-2</v>
      </c>
      <c r="Z8409" s="508">
        <v>3.2000000000000001E-2</v>
      </c>
      <c r="AA8409" s="508">
        <v>3.2000000000000001E-2</v>
      </c>
      <c r="AB8409" s="508">
        <v>3.2000000000000001E-2</v>
      </c>
      <c r="AC8409" s="508">
        <v>3.2000000000000001E-2</v>
      </c>
      <c r="AD8409" s="508">
        <v>3.2000000000000001E-2</v>
      </c>
      <c r="AE8409" s="508">
        <v>3.2000000000000001E-2</v>
      </c>
      <c r="AF8409" s="508">
        <v>3.2000000000000001E-2</v>
      </c>
      <c r="AG8409" s="508">
        <v>3.2000000000000001E-2</v>
      </c>
      <c r="AH8409" s="508">
        <v>0.03</v>
      </c>
      <c r="AI8409" s="492">
        <v>0.03</v>
      </c>
      <c r="AJ8409" s="485"/>
    </row>
    <row r="8410" spans="2:36">
      <c r="B8410" s="136" t="s">
        <v>459</v>
      </c>
      <c r="C8410" s="132" t="s">
        <v>1371</v>
      </c>
      <c r="D8410" s="132" t="s">
        <v>1384</v>
      </c>
      <c r="E8410" s="508">
        <v>3.1E-2</v>
      </c>
      <c r="F8410" s="508">
        <v>3.1E-2</v>
      </c>
      <c r="G8410" s="508">
        <v>3.1E-2</v>
      </c>
      <c r="H8410" s="508">
        <v>3.1E-2</v>
      </c>
      <c r="I8410" s="508">
        <v>3.1E-2</v>
      </c>
      <c r="J8410" s="508">
        <v>3.1E-2</v>
      </c>
      <c r="K8410" s="508">
        <v>3.1E-2</v>
      </c>
      <c r="L8410" s="508">
        <v>3.1E-2</v>
      </c>
      <c r="M8410" s="508">
        <v>3.1E-2</v>
      </c>
      <c r="N8410" s="508">
        <v>3.2000000000000001E-2</v>
      </c>
      <c r="O8410" s="508">
        <v>3.2000000000000001E-2</v>
      </c>
      <c r="P8410" s="508">
        <v>3.2000000000000001E-2</v>
      </c>
      <c r="Q8410" s="508">
        <v>3.2000000000000001E-2</v>
      </c>
      <c r="R8410" s="508">
        <v>3.2000000000000001E-2</v>
      </c>
      <c r="S8410" s="508">
        <v>3.2000000000000001E-2</v>
      </c>
      <c r="T8410" s="508">
        <v>3.2000000000000001E-2</v>
      </c>
      <c r="U8410" s="508">
        <v>3.2000000000000001E-2</v>
      </c>
      <c r="V8410" s="508">
        <v>3.2000000000000001E-2</v>
      </c>
      <c r="W8410" s="508">
        <v>3.2000000000000001E-2</v>
      </c>
      <c r="X8410" s="508">
        <v>3.2000000000000001E-2</v>
      </c>
      <c r="Y8410" s="508">
        <v>3.2000000000000001E-2</v>
      </c>
      <c r="Z8410" s="508">
        <v>3.2000000000000001E-2</v>
      </c>
      <c r="AA8410" s="508">
        <v>3.2000000000000001E-2</v>
      </c>
      <c r="AB8410" s="508">
        <v>3.2000000000000001E-2</v>
      </c>
      <c r="AC8410" s="508">
        <v>3.2000000000000001E-2</v>
      </c>
      <c r="AD8410" s="508">
        <v>3.2000000000000001E-2</v>
      </c>
      <c r="AE8410" s="508">
        <v>3.2000000000000001E-2</v>
      </c>
      <c r="AF8410" s="508">
        <v>3.2000000000000001E-2</v>
      </c>
      <c r="AG8410" s="508">
        <v>3.2000000000000001E-2</v>
      </c>
      <c r="AH8410" s="508">
        <v>0.03</v>
      </c>
      <c r="AI8410" s="492">
        <v>0.03</v>
      </c>
      <c r="AJ8410" s="485"/>
    </row>
    <row r="8411" spans="2:36">
      <c r="B8411" s="136" t="s">
        <v>460</v>
      </c>
      <c r="C8411" s="132" t="s">
        <v>1371</v>
      </c>
      <c r="D8411" s="132" t="s">
        <v>1384</v>
      </c>
      <c r="E8411" s="508">
        <v>3.1E-2</v>
      </c>
      <c r="F8411" s="508">
        <v>3.1E-2</v>
      </c>
      <c r="G8411" s="508">
        <v>3.1E-2</v>
      </c>
      <c r="H8411" s="508">
        <v>3.1E-2</v>
      </c>
      <c r="I8411" s="508">
        <v>3.1E-2</v>
      </c>
      <c r="J8411" s="508">
        <v>3.1E-2</v>
      </c>
      <c r="K8411" s="508">
        <v>3.1E-2</v>
      </c>
      <c r="L8411" s="508">
        <v>3.1E-2</v>
      </c>
      <c r="M8411" s="508">
        <v>3.1E-2</v>
      </c>
      <c r="N8411" s="508">
        <v>3.1E-2</v>
      </c>
      <c r="O8411" s="508">
        <v>3.1E-2</v>
      </c>
      <c r="P8411" s="508">
        <v>3.1E-2</v>
      </c>
      <c r="Q8411" s="508">
        <v>3.1E-2</v>
      </c>
      <c r="R8411" s="508">
        <v>3.1E-2</v>
      </c>
      <c r="S8411" s="508">
        <v>3.1E-2</v>
      </c>
      <c r="T8411" s="508">
        <v>3.1E-2</v>
      </c>
      <c r="U8411" s="508">
        <v>3.1E-2</v>
      </c>
      <c r="V8411" s="508">
        <v>3.1E-2</v>
      </c>
      <c r="W8411" s="508">
        <v>3.1E-2</v>
      </c>
      <c r="X8411" s="508">
        <v>3.1E-2</v>
      </c>
      <c r="Y8411" s="508">
        <v>3.1E-2</v>
      </c>
      <c r="Z8411" s="508">
        <v>3.1E-2</v>
      </c>
      <c r="AA8411" s="508">
        <v>3.1E-2</v>
      </c>
      <c r="AB8411" s="508">
        <v>3.1E-2</v>
      </c>
      <c r="AC8411" s="508">
        <v>3.1E-2</v>
      </c>
      <c r="AD8411" s="508">
        <v>3.1E-2</v>
      </c>
      <c r="AE8411" s="508">
        <v>3.1E-2</v>
      </c>
      <c r="AF8411" s="508">
        <v>3.1E-2</v>
      </c>
      <c r="AG8411" s="508">
        <v>3.1E-2</v>
      </c>
      <c r="AH8411" s="508">
        <v>0.03</v>
      </c>
      <c r="AI8411" s="492">
        <v>0.03</v>
      </c>
      <c r="AJ8411" s="485"/>
    </row>
    <row r="8412" spans="2:36">
      <c r="B8412" s="136" t="s">
        <v>461</v>
      </c>
      <c r="C8412" s="132" t="s">
        <v>1371</v>
      </c>
      <c r="D8412" s="132" t="s">
        <v>1384</v>
      </c>
      <c r="E8412" s="508">
        <v>0.03</v>
      </c>
      <c r="F8412" s="508">
        <v>0.03</v>
      </c>
      <c r="G8412" s="508">
        <v>0.03</v>
      </c>
      <c r="H8412" s="508">
        <v>0.03</v>
      </c>
      <c r="I8412" s="508">
        <v>0.03</v>
      </c>
      <c r="J8412" s="508">
        <v>3.1E-2</v>
      </c>
      <c r="K8412" s="508">
        <v>3.1E-2</v>
      </c>
      <c r="L8412" s="508">
        <v>3.1E-2</v>
      </c>
      <c r="M8412" s="508">
        <v>3.1E-2</v>
      </c>
      <c r="N8412" s="508">
        <v>3.1E-2</v>
      </c>
      <c r="O8412" s="508">
        <v>3.1E-2</v>
      </c>
      <c r="P8412" s="508">
        <v>3.1E-2</v>
      </c>
      <c r="Q8412" s="508">
        <v>3.1E-2</v>
      </c>
      <c r="R8412" s="508">
        <v>3.1E-2</v>
      </c>
      <c r="S8412" s="508">
        <v>3.1E-2</v>
      </c>
      <c r="T8412" s="508">
        <v>3.1E-2</v>
      </c>
      <c r="U8412" s="508">
        <v>3.1E-2</v>
      </c>
      <c r="V8412" s="508">
        <v>3.1E-2</v>
      </c>
      <c r="W8412" s="508">
        <v>3.1E-2</v>
      </c>
      <c r="X8412" s="508">
        <v>3.1E-2</v>
      </c>
      <c r="Y8412" s="508">
        <v>3.1E-2</v>
      </c>
      <c r="Z8412" s="508">
        <v>3.1E-2</v>
      </c>
      <c r="AA8412" s="508">
        <v>3.1E-2</v>
      </c>
      <c r="AB8412" s="508">
        <v>3.1E-2</v>
      </c>
      <c r="AC8412" s="508">
        <v>3.1E-2</v>
      </c>
      <c r="AD8412" s="508">
        <v>3.1E-2</v>
      </c>
      <c r="AE8412" s="508">
        <v>3.1E-2</v>
      </c>
      <c r="AF8412" s="508">
        <v>3.1E-2</v>
      </c>
      <c r="AG8412" s="508">
        <v>3.1E-2</v>
      </c>
      <c r="AH8412" s="508">
        <v>2.9000000000000001E-2</v>
      </c>
      <c r="AI8412" s="492">
        <v>2.9000000000000001E-2</v>
      </c>
      <c r="AJ8412" s="485"/>
    </row>
    <row r="8413" spans="2:36">
      <c r="B8413" s="136" t="s">
        <v>462</v>
      </c>
      <c r="C8413" s="132" t="s">
        <v>1371</v>
      </c>
      <c r="D8413" s="132" t="s">
        <v>1384</v>
      </c>
      <c r="E8413" s="508">
        <v>0.03</v>
      </c>
      <c r="F8413" s="508">
        <v>0.03</v>
      </c>
      <c r="G8413" s="508">
        <v>0.03</v>
      </c>
      <c r="H8413" s="508">
        <v>0.03</v>
      </c>
      <c r="I8413" s="508">
        <v>0.03</v>
      </c>
      <c r="J8413" s="508">
        <v>3.1E-2</v>
      </c>
      <c r="K8413" s="508">
        <v>3.1E-2</v>
      </c>
      <c r="L8413" s="508">
        <v>3.1E-2</v>
      </c>
      <c r="M8413" s="508">
        <v>3.1E-2</v>
      </c>
      <c r="N8413" s="508">
        <v>3.1E-2</v>
      </c>
      <c r="O8413" s="508">
        <v>3.1E-2</v>
      </c>
      <c r="P8413" s="508">
        <v>3.1E-2</v>
      </c>
      <c r="Q8413" s="508">
        <v>3.1E-2</v>
      </c>
      <c r="R8413" s="508">
        <v>3.1E-2</v>
      </c>
      <c r="S8413" s="508">
        <v>3.1E-2</v>
      </c>
      <c r="T8413" s="508">
        <v>3.1E-2</v>
      </c>
      <c r="U8413" s="508">
        <v>3.1E-2</v>
      </c>
      <c r="V8413" s="508">
        <v>3.1E-2</v>
      </c>
      <c r="W8413" s="508">
        <v>3.1E-2</v>
      </c>
      <c r="X8413" s="508">
        <v>3.1E-2</v>
      </c>
      <c r="Y8413" s="508">
        <v>3.1E-2</v>
      </c>
      <c r="Z8413" s="508">
        <v>3.1E-2</v>
      </c>
      <c r="AA8413" s="508">
        <v>3.1E-2</v>
      </c>
      <c r="AB8413" s="508">
        <v>3.1E-2</v>
      </c>
      <c r="AC8413" s="508">
        <v>3.1E-2</v>
      </c>
      <c r="AD8413" s="508">
        <v>3.1E-2</v>
      </c>
      <c r="AE8413" s="508">
        <v>3.1E-2</v>
      </c>
      <c r="AF8413" s="508">
        <v>3.1E-2</v>
      </c>
      <c r="AG8413" s="508">
        <v>3.1E-2</v>
      </c>
      <c r="AH8413" s="508">
        <v>2.9000000000000001E-2</v>
      </c>
      <c r="AI8413" s="492">
        <v>2.9000000000000001E-2</v>
      </c>
      <c r="AJ8413" s="485"/>
    </row>
    <row r="8414" spans="2:36">
      <c r="B8414" s="136" t="s">
        <v>463</v>
      </c>
      <c r="C8414" s="132" t="s">
        <v>1371</v>
      </c>
      <c r="D8414" s="132" t="s">
        <v>1384</v>
      </c>
      <c r="E8414" s="508">
        <v>3.1E-2</v>
      </c>
      <c r="F8414" s="508">
        <v>3.1E-2</v>
      </c>
      <c r="G8414" s="508">
        <v>3.1E-2</v>
      </c>
      <c r="H8414" s="508">
        <v>3.1E-2</v>
      </c>
      <c r="I8414" s="508">
        <v>3.1E-2</v>
      </c>
      <c r="J8414" s="508">
        <v>3.1E-2</v>
      </c>
      <c r="K8414" s="508">
        <v>3.1E-2</v>
      </c>
      <c r="L8414" s="508">
        <v>3.1E-2</v>
      </c>
      <c r="M8414" s="508">
        <v>3.1E-2</v>
      </c>
      <c r="N8414" s="508">
        <v>3.1E-2</v>
      </c>
      <c r="O8414" s="508">
        <v>3.1E-2</v>
      </c>
      <c r="P8414" s="508">
        <v>3.1E-2</v>
      </c>
      <c r="Q8414" s="508">
        <v>3.1E-2</v>
      </c>
      <c r="R8414" s="508">
        <v>3.1E-2</v>
      </c>
      <c r="S8414" s="508">
        <v>3.1E-2</v>
      </c>
      <c r="T8414" s="508">
        <v>3.1E-2</v>
      </c>
      <c r="U8414" s="508">
        <v>3.1E-2</v>
      </c>
      <c r="V8414" s="508">
        <v>3.1E-2</v>
      </c>
      <c r="W8414" s="508">
        <v>3.1E-2</v>
      </c>
      <c r="X8414" s="508">
        <v>3.1E-2</v>
      </c>
      <c r="Y8414" s="508">
        <v>3.1E-2</v>
      </c>
      <c r="Z8414" s="508">
        <v>3.1E-2</v>
      </c>
      <c r="AA8414" s="508">
        <v>3.1E-2</v>
      </c>
      <c r="AB8414" s="508">
        <v>3.1E-2</v>
      </c>
      <c r="AC8414" s="508">
        <v>3.1E-2</v>
      </c>
      <c r="AD8414" s="508">
        <v>3.1E-2</v>
      </c>
      <c r="AE8414" s="508">
        <v>3.1E-2</v>
      </c>
      <c r="AF8414" s="508">
        <v>3.1E-2</v>
      </c>
      <c r="AG8414" s="508">
        <v>3.1E-2</v>
      </c>
      <c r="AH8414" s="508">
        <v>0.03</v>
      </c>
      <c r="AI8414" s="492">
        <v>0.03</v>
      </c>
      <c r="AJ8414" s="485"/>
    </row>
    <row r="8415" spans="2:36">
      <c r="B8415" s="136" t="s">
        <v>464</v>
      </c>
      <c r="C8415" s="132" t="s">
        <v>1371</v>
      </c>
      <c r="D8415" s="132" t="s">
        <v>1384</v>
      </c>
      <c r="E8415" s="508">
        <v>0.03</v>
      </c>
      <c r="F8415" s="508">
        <v>0.03</v>
      </c>
      <c r="G8415" s="508">
        <v>0.03</v>
      </c>
      <c r="H8415" s="508">
        <v>0.03</v>
      </c>
      <c r="I8415" s="508">
        <v>0.03</v>
      </c>
      <c r="J8415" s="508">
        <v>0.03</v>
      </c>
      <c r="K8415" s="508">
        <v>0.03</v>
      </c>
      <c r="L8415" s="508">
        <v>0.03</v>
      </c>
      <c r="M8415" s="508">
        <v>0.03</v>
      </c>
      <c r="N8415" s="508">
        <v>0.03</v>
      </c>
      <c r="O8415" s="508">
        <v>0.03</v>
      </c>
      <c r="P8415" s="508">
        <v>0.03</v>
      </c>
      <c r="Q8415" s="508">
        <v>0.03</v>
      </c>
      <c r="R8415" s="508">
        <v>0.03</v>
      </c>
      <c r="S8415" s="508">
        <v>0.03</v>
      </c>
      <c r="T8415" s="508">
        <v>0.03</v>
      </c>
      <c r="U8415" s="508">
        <v>0.03</v>
      </c>
      <c r="V8415" s="508">
        <v>0.03</v>
      </c>
      <c r="W8415" s="508">
        <v>0.03</v>
      </c>
      <c r="X8415" s="508">
        <v>0.03</v>
      </c>
      <c r="Y8415" s="508">
        <v>0.03</v>
      </c>
      <c r="Z8415" s="508">
        <v>0.03</v>
      </c>
      <c r="AA8415" s="508">
        <v>0.03</v>
      </c>
      <c r="AB8415" s="508">
        <v>0.03</v>
      </c>
      <c r="AC8415" s="508">
        <v>0.03</v>
      </c>
      <c r="AD8415" s="508">
        <v>0.03</v>
      </c>
      <c r="AE8415" s="508">
        <v>0.03</v>
      </c>
      <c r="AF8415" s="508">
        <v>0.03</v>
      </c>
      <c r="AG8415" s="508">
        <v>0.03</v>
      </c>
      <c r="AH8415" s="508">
        <v>2.9000000000000001E-2</v>
      </c>
      <c r="AI8415" s="492">
        <v>2.9000000000000001E-2</v>
      </c>
      <c r="AJ8415" s="485"/>
    </row>
    <row r="8416" spans="2:36">
      <c r="B8416" s="136" t="s">
        <v>465</v>
      </c>
      <c r="C8416" s="132" t="s">
        <v>1371</v>
      </c>
      <c r="D8416" s="132" t="s">
        <v>1384</v>
      </c>
      <c r="E8416" s="508">
        <v>3.1E-2</v>
      </c>
      <c r="F8416" s="508">
        <v>3.1E-2</v>
      </c>
      <c r="G8416" s="508">
        <v>3.1E-2</v>
      </c>
      <c r="H8416" s="508">
        <v>3.1E-2</v>
      </c>
      <c r="I8416" s="508">
        <v>3.1E-2</v>
      </c>
      <c r="J8416" s="508">
        <v>3.1E-2</v>
      </c>
      <c r="K8416" s="508">
        <v>3.1E-2</v>
      </c>
      <c r="L8416" s="508">
        <v>3.1E-2</v>
      </c>
      <c r="M8416" s="508">
        <v>3.1E-2</v>
      </c>
      <c r="N8416" s="508">
        <v>3.1E-2</v>
      </c>
      <c r="O8416" s="508">
        <v>3.1E-2</v>
      </c>
      <c r="P8416" s="508">
        <v>3.1E-2</v>
      </c>
      <c r="Q8416" s="508">
        <v>3.1E-2</v>
      </c>
      <c r="R8416" s="508">
        <v>3.1E-2</v>
      </c>
      <c r="S8416" s="508">
        <v>3.1E-2</v>
      </c>
      <c r="T8416" s="508">
        <v>3.1E-2</v>
      </c>
      <c r="U8416" s="508">
        <v>3.1E-2</v>
      </c>
      <c r="V8416" s="508">
        <v>3.1E-2</v>
      </c>
      <c r="W8416" s="508">
        <v>3.1E-2</v>
      </c>
      <c r="X8416" s="508">
        <v>3.1E-2</v>
      </c>
      <c r="Y8416" s="508">
        <v>3.1E-2</v>
      </c>
      <c r="Z8416" s="508">
        <v>3.1E-2</v>
      </c>
      <c r="AA8416" s="508">
        <v>3.1E-2</v>
      </c>
      <c r="AB8416" s="508">
        <v>3.1E-2</v>
      </c>
      <c r="AC8416" s="508">
        <v>3.1E-2</v>
      </c>
      <c r="AD8416" s="508">
        <v>3.1E-2</v>
      </c>
      <c r="AE8416" s="508">
        <v>3.1E-2</v>
      </c>
      <c r="AF8416" s="508">
        <v>3.1E-2</v>
      </c>
      <c r="AG8416" s="508">
        <v>3.1E-2</v>
      </c>
      <c r="AH8416" s="508">
        <v>2.9000000000000001E-2</v>
      </c>
      <c r="AI8416" s="492">
        <v>2.9000000000000001E-2</v>
      </c>
      <c r="AJ8416" s="485"/>
    </row>
    <row r="8417" spans="2:36">
      <c r="B8417" s="136" t="s">
        <v>466</v>
      </c>
      <c r="C8417" s="132" t="s">
        <v>1371</v>
      </c>
      <c r="D8417" s="132" t="s">
        <v>1384</v>
      </c>
      <c r="E8417" s="508">
        <v>3.2000000000000001E-2</v>
      </c>
      <c r="F8417" s="508">
        <v>3.2000000000000001E-2</v>
      </c>
      <c r="G8417" s="508">
        <v>3.2000000000000001E-2</v>
      </c>
      <c r="H8417" s="508">
        <v>3.2000000000000001E-2</v>
      </c>
      <c r="I8417" s="508">
        <v>3.2000000000000001E-2</v>
      </c>
      <c r="J8417" s="508">
        <v>3.2000000000000001E-2</v>
      </c>
      <c r="K8417" s="508">
        <v>3.2000000000000001E-2</v>
      </c>
      <c r="L8417" s="508">
        <v>3.2000000000000001E-2</v>
      </c>
      <c r="M8417" s="508">
        <v>3.2000000000000001E-2</v>
      </c>
      <c r="N8417" s="508">
        <v>3.2000000000000001E-2</v>
      </c>
      <c r="O8417" s="508">
        <v>3.2000000000000001E-2</v>
      </c>
      <c r="P8417" s="508">
        <v>3.2000000000000001E-2</v>
      </c>
      <c r="Q8417" s="508">
        <v>3.2000000000000001E-2</v>
      </c>
      <c r="R8417" s="508">
        <v>3.2000000000000001E-2</v>
      </c>
      <c r="S8417" s="508">
        <v>3.2000000000000001E-2</v>
      </c>
      <c r="T8417" s="508">
        <v>3.2000000000000001E-2</v>
      </c>
      <c r="U8417" s="508">
        <v>3.2000000000000001E-2</v>
      </c>
      <c r="V8417" s="508">
        <v>3.2000000000000001E-2</v>
      </c>
      <c r="W8417" s="508">
        <v>3.2000000000000001E-2</v>
      </c>
      <c r="X8417" s="508">
        <v>3.2000000000000001E-2</v>
      </c>
      <c r="Y8417" s="508">
        <v>3.2000000000000001E-2</v>
      </c>
      <c r="Z8417" s="508">
        <v>3.2000000000000001E-2</v>
      </c>
      <c r="AA8417" s="508">
        <v>3.2000000000000001E-2</v>
      </c>
      <c r="AB8417" s="508">
        <v>3.2000000000000001E-2</v>
      </c>
      <c r="AC8417" s="508">
        <v>3.2000000000000001E-2</v>
      </c>
      <c r="AD8417" s="508">
        <v>3.2000000000000001E-2</v>
      </c>
      <c r="AE8417" s="508">
        <v>3.2000000000000001E-2</v>
      </c>
      <c r="AF8417" s="508">
        <v>3.2000000000000001E-2</v>
      </c>
      <c r="AG8417" s="508">
        <v>3.2000000000000001E-2</v>
      </c>
      <c r="AH8417" s="508">
        <v>0.03</v>
      </c>
      <c r="AI8417" s="492">
        <v>0.03</v>
      </c>
      <c r="AJ8417" s="485"/>
    </row>
    <row r="8418" spans="2:36">
      <c r="B8418" s="136" t="s">
        <v>467</v>
      </c>
      <c r="C8418" s="132" t="s">
        <v>1371</v>
      </c>
      <c r="D8418" s="132" t="s">
        <v>1384</v>
      </c>
      <c r="E8418" s="508">
        <v>0.03</v>
      </c>
      <c r="F8418" s="508">
        <v>0.03</v>
      </c>
      <c r="G8418" s="508">
        <v>0.03</v>
      </c>
      <c r="H8418" s="508">
        <v>0.03</v>
      </c>
      <c r="I8418" s="508">
        <v>0.03</v>
      </c>
      <c r="J8418" s="508">
        <v>0.03</v>
      </c>
      <c r="K8418" s="508">
        <v>0.03</v>
      </c>
      <c r="L8418" s="508">
        <v>0.03</v>
      </c>
      <c r="M8418" s="508">
        <v>0.03</v>
      </c>
      <c r="N8418" s="508">
        <v>0.03</v>
      </c>
      <c r="O8418" s="508">
        <v>0.03</v>
      </c>
      <c r="P8418" s="508">
        <v>0.03</v>
      </c>
      <c r="Q8418" s="508">
        <v>0.03</v>
      </c>
      <c r="R8418" s="508">
        <v>0.03</v>
      </c>
      <c r="S8418" s="508">
        <v>0.03</v>
      </c>
      <c r="T8418" s="508">
        <v>0.03</v>
      </c>
      <c r="U8418" s="508">
        <v>0.03</v>
      </c>
      <c r="V8418" s="508">
        <v>0.03</v>
      </c>
      <c r="W8418" s="508">
        <v>0.03</v>
      </c>
      <c r="X8418" s="508">
        <v>0.03</v>
      </c>
      <c r="Y8418" s="508">
        <v>0.03</v>
      </c>
      <c r="Z8418" s="508">
        <v>0.03</v>
      </c>
      <c r="AA8418" s="508">
        <v>0.03</v>
      </c>
      <c r="AB8418" s="508">
        <v>0.03</v>
      </c>
      <c r="AC8418" s="508">
        <v>0.03</v>
      </c>
      <c r="AD8418" s="508">
        <v>0.03</v>
      </c>
      <c r="AE8418" s="508">
        <v>0.03</v>
      </c>
      <c r="AF8418" s="508">
        <v>0.03</v>
      </c>
      <c r="AG8418" s="508">
        <v>0.03</v>
      </c>
      <c r="AH8418" s="508">
        <v>2.9000000000000001E-2</v>
      </c>
      <c r="AI8418" s="492">
        <v>2.9000000000000001E-2</v>
      </c>
      <c r="AJ8418" s="485"/>
    </row>
    <row r="8419" spans="2:36">
      <c r="B8419" s="136" t="s">
        <v>468</v>
      </c>
      <c r="C8419" s="132" t="s">
        <v>1371</v>
      </c>
      <c r="D8419" s="132" t="s">
        <v>1384</v>
      </c>
      <c r="E8419" s="508">
        <v>3.1E-2</v>
      </c>
      <c r="F8419" s="508">
        <v>3.1E-2</v>
      </c>
      <c r="G8419" s="508">
        <v>3.1E-2</v>
      </c>
      <c r="H8419" s="508">
        <v>3.1E-2</v>
      </c>
      <c r="I8419" s="508">
        <v>3.1E-2</v>
      </c>
      <c r="J8419" s="508">
        <v>3.1E-2</v>
      </c>
      <c r="K8419" s="508">
        <v>3.1E-2</v>
      </c>
      <c r="L8419" s="508">
        <v>3.1E-2</v>
      </c>
      <c r="M8419" s="508">
        <v>3.1E-2</v>
      </c>
      <c r="N8419" s="508">
        <v>3.1E-2</v>
      </c>
      <c r="O8419" s="508">
        <v>3.1E-2</v>
      </c>
      <c r="P8419" s="508">
        <v>3.1E-2</v>
      </c>
      <c r="Q8419" s="508">
        <v>3.1E-2</v>
      </c>
      <c r="R8419" s="508">
        <v>3.1E-2</v>
      </c>
      <c r="S8419" s="508">
        <v>3.1E-2</v>
      </c>
      <c r="T8419" s="508">
        <v>3.1E-2</v>
      </c>
      <c r="U8419" s="508">
        <v>3.2000000000000001E-2</v>
      </c>
      <c r="V8419" s="508">
        <v>3.2000000000000001E-2</v>
      </c>
      <c r="W8419" s="508">
        <v>3.2000000000000001E-2</v>
      </c>
      <c r="X8419" s="508">
        <v>3.2000000000000001E-2</v>
      </c>
      <c r="Y8419" s="508">
        <v>3.2000000000000001E-2</v>
      </c>
      <c r="Z8419" s="508">
        <v>3.2000000000000001E-2</v>
      </c>
      <c r="AA8419" s="508">
        <v>3.2000000000000001E-2</v>
      </c>
      <c r="AB8419" s="508">
        <v>3.2000000000000001E-2</v>
      </c>
      <c r="AC8419" s="508">
        <v>3.2000000000000001E-2</v>
      </c>
      <c r="AD8419" s="508">
        <v>3.2000000000000001E-2</v>
      </c>
      <c r="AE8419" s="508">
        <v>3.2000000000000001E-2</v>
      </c>
      <c r="AF8419" s="508">
        <v>3.2000000000000001E-2</v>
      </c>
      <c r="AG8419" s="508">
        <v>3.2000000000000001E-2</v>
      </c>
      <c r="AH8419" s="508">
        <v>0.03</v>
      </c>
      <c r="AI8419" s="492">
        <v>0.03</v>
      </c>
      <c r="AJ8419" s="485"/>
    </row>
    <row r="8420" spans="2:36">
      <c r="B8420" s="136" t="s">
        <v>469</v>
      </c>
      <c r="C8420" s="132" t="s">
        <v>1371</v>
      </c>
      <c r="D8420" s="132" t="s">
        <v>1384</v>
      </c>
      <c r="E8420" s="508">
        <v>3.1E-2</v>
      </c>
      <c r="F8420" s="508">
        <v>3.1E-2</v>
      </c>
      <c r="G8420" s="508">
        <v>3.1E-2</v>
      </c>
      <c r="H8420" s="508">
        <v>3.1E-2</v>
      </c>
      <c r="I8420" s="508">
        <v>3.1E-2</v>
      </c>
      <c r="J8420" s="508">
        <v>3.1E-2</v>
      </c>
      <c r="K8420" s="508">
        <v>3.1E-2</v>
      </c>
      <c r="L8420" s="508">
        <v>3.1E-2</v>
      </c>
      <c r="M8420" s="508">
        <v>3.1E-2</v>
      </c>
      <c r="N8420" s="508">
        <v>3.1E-2</v>
      </c>
      <c r="O8420" s="508">
        <v>3.1E-2</v>
      </c>
      <c r="P8420" s="508">
        <v>3.1E-2</v>
      </c>
      <c r="Q8420" s="508">
        <v>3.1E-2</v>
      </c>
      <c r="R8420" s="508">
        <v>3.1E-2</v>
      </c>
      <c r="S8420" s="508">
        <v>3.1E-2</v>
      </c>
      <c r="T8420" s="508">
        <v>3.1E-2</v>
      </c>
      <c r="U8420" s="508">
        <v>3.1E-2</v>
      </c>
      <c r="V8420" s="508">
        <v>3.1E-2</v>
      </c>
      <c r="W8420" s="508">
        <v>3.1E-2</v>
      </c>
      <c r="X8420" s="508">
        <v>3.1E-2</v>
      </c>
      <c r="Y8420" s="508">
        <v>3.1E-2</v>
      </c>
      <c r="Z8420" s="508">
        <v>3.1E-2</v>
      </c>
      <c r="AA8420" s="508">
        <v>3.1E-2</v>
      </c>
      <c r="AB8420" s="508">
        <v>3.1E-2</v>
      </c>
      <c r="AC8420" s="508">
        <v>3.1E-2</v>
      </c>
      <c r="AD8420" s="508">
        <v>3.1E-2</v>
      </c>
      <c r="AE8420" s="508">
        <v>3.1E-2</v>
      </c>
      <c r="AF8420" s="508">
        <v>3.1E-2</v>
      </c>
      <c r="AG8420" s="508">
        <v>3.1E-2</v>
      </c>
      <c r="AH8420" s="508">
        <v>2.9000000000000001E-2</v>
      </c>
      <c r="AI8420" s="492">
        <v>2.9000000000000001E-2</v>
      </c>
      <c r="AJ8420" s="485"/>
    </row>
    <row r="8421" spans="2:36">
      <c r="B8421" s="136" t="s">
        <v>470</v>
      </c>
      <c r="C8421" s="132" t="s">
        <v>1371</v>
      </c>
      <c r="D8421" s="132" t="s">
        <v>1384</v>
      </c>
      <c r="E8421" s="508">
        <v>3.1E-2</v>
      </c>
      <c r="F8421" s="508">
        <v>3.1E-2</v>
      </c>
      <c r="G8421" s="508">
        <v>3.1E-2</v>
      </c>
      <c r="H8421" s="508">
        <v>3.1E-2</v>
      </c>
      <c r="I8421" s="508">
        <v>3.1E-2</v>
      </c>
      <c r="J8421" s="508">
        <v>3.1E-2</v>
      </c>
      <c r="K8421" s="508">
        <v>3.1E-2</v>
      </c>
      <c r="L8421" s="508">
        <v>3.1E-2</v>
      </c>
      <c r="M8421" s="508">
        <v>3.1E-2</v>
      </c>
      <c r="N8421" s="508">
        <v>3.1E-2</v>
      </c>
      <c r="O8421" s="508">
        <v>3.1E-2</v>
      </c>
      <c r="P8421" s="508">
        <v>3.1E-2</v>
      </c>
      <c r="Q8421" s="508">
        <v>3.1E-2</v>
      </c>
      <c r="R8421" s="508">
        <v>3.1E-2</v>
      </c>
      <c r="S8421" s="508">
        <v>3.1E-2</v>
      </c>
      <c r="T8421" s="508">
        <v>3.1E-2</v>
      </c>
      <c r="U8421" s="508">
        <v>3.1E-2</v>
      </c>
      <c r="V8421" s="508">
        <v>3.1E-2</v>
      </c>
      <c r="W8421" s="508">
        <v>3.1E-2</v>
      </c>
      <c r="X8421" s="508">
        <v>3.1E-2</v>
      </c>
      <c r="Y8421" s="508">
        <v>3.1E-2</v>
      </c>
      <c r="Z8421" s="508">
        <v>3.1E-2</v>
      </c>
      <c r="AA8421" s="508">
        <v>3.1E-2</v>
      </c>
      <c r="AB8421" s="508">
        <v>3.1E-2</v>
      </c>
      <c r="AC8421" s="508">
        <v>3.1E-2</v>
      </c>
      <c r="AD8421" s="508">
        <v>3.1E-2</v>
      </c>
      <c r="AE8421" s="508">
        <v>3.1E-2</v>
      </c>
      <c r="AF8421" s="508">
        <v>3.1E-2</v>
      </c>
      <c r="AG8421" s="508">
        <v>3.1E-2</v>
      </c>
      <c r="AH8421" s="508">
        <v>0.03</v>
      </c>
      <c r="AI8421" s="492">
        <v>0.03</v>
      </c>
      <c r="AJ8421" s="485"/>
    </row>
    <row r="8422" spans="2:36">
      <c r="B8422" s="136" t="s">
        <v>471</v>
      </c>
      <c r="C8422" s="132" t="s">
        <v>1371</v>
      </c>
      <c r="D8422" s="132" t="s">
        <v>1384</v>
      </c>
      <c r="E8422" s="508">
        <v>3.1E-2</v>
      </c>
      <c r="F8422" s="508">
        <v>3.1E-2</v>
      </c>
      <c r="G8422" s="508">
        <v>3.1E-2</v>
      </c>
      <c r="H8422" s="508">
        <v>3.1E-2</v>
      </c>
      <c r="I8422" s="508">
        <v>3.1E-2</v>
      </c>
      <c r="J8422" s="508">
        <v>3.1E-2</v>
      </c>
      <c r="K8422" s="508">
        <v>3.1E-2</v>
      </c>
      <c r="L8422" s="508">
        <v>3.1E-2</v>
      </c>
      <c r="M8422" s="508">
        <v>3.1E-2</v>
      </c>
      <c r="N8422" s="508">
        <v>3.1E-2</v>
      </c>
      <c r="O8422" s="508">
        <v>3.1E-2</v>
      </c>
      <c r="P8422" s="508">
        <v>3.1E-2</v>
      </c>
      <c r="Q8422" s="508">
        <v>3.1E-2</v>
      </c>
      <c r="R8422" s="508">
        <v>3.1E-2</v>
      </c>
      <c r="S8422" s="508">
        <v>3.1E-2</v>
      </c>
      <c r="T8422" s="508">
        <v>3.1E-2</v>
      </c>
      <c r="U8422" s="508">
        <v>3.1E-2</v>
      </c>
      <c r="V8422" s="508">
        <v>3.1E-2</v>
      </c>
      <c r="W8422" s="508">
        <v>3.1E-2</v>
      </c>
      <c r="X8422" s="508">
        <v>3.1E-2</v>
      </c>
      <c r="Y8422" s="508">
        <v>3.1E-2</v>
      </c>
      <c r="Z8422" s="508">
        <v>3.1E-2</v>
      </c>
      <c r="AA8422" s="508">
        <v>3.1E-2</v>
      </c>
      <c r="AB8422" s="508">
        <v>3.1E-2</v>
      </c>
      <c r="AC8422" s="508">
        <v>3.1E-2</v>
      </c>
      <c r="AD8422" s="508">
        <v>3.1E-2</v>
      </c>
      <c r="AE8422" s="508">
        <v>3.1E-2</v>
      </c>
      <c r="AF8422" s="508">
        <v>3.1E-2</v>
      </c>
      <c r="AG8422" s="508">
        <v>3.1E-2</v>
      </c>
      <c r="AH8422" s="508">
        <v>2.9000000000000001E-2</v>
      </c>
      <c r="AI8422" s="492">
        <v>2.9000000000000001E-2</v>
      </c>
      <c r="AJ8422" s="485"/>
    </row>
    <row r="8423" spans="2:36">
      <c r="B8423" s="136" t="s">
        <v>472</v>
      </c>
      <c r="C8423" s="132" t="s">
        <v>1371</v>
      </c>
      <c r="D8423" s="132" t="s">
        <v>1384</v>
      </c>
      <c r="E8423" s="508">
        <v>0.03</v>
      </c>
      <c r="F8423" s="508">
        <v>0.03</v>
      </c>
      <c r="G8423" s="508">
        <v>0.03</v>
      </c>
      <c r="H8423" s="508">
        <v>0.03</v>
      </c>
      <c r="I8423" s="508">
        <v>0.03</v>
      </c>
      <c r="J8423" s="508">
        <v>0.03</v>
      </c>
      <c r="K8423" s="508">
        <v>0.03</v>
      </c>
      <c r="L8423" s="508">
        <v>0.03</v>
      </c>
      <c r="M8423" s="508">
        <v>0.03</v>
      </c>
      <c r="N8423" s="508">
        <v>0.03</v>
      </c>
      <c r="O8423" s="508">
        <v>0.03</v>
      </c>
      <c r="P8423" s="508">
        <v>0.03</v>
      </c>
      <c r="Q8423" s="508">
        <v>0.03</v>
      </c>
      <c r="R8423" s="508">
        <v>0.03</v>
      </c>
      <c r="S8423" s="508">
        <v>0.03</v>
      </c>
      <c r="T8423" s="508">
        <v>0.03</v>
      </c>
      <c r="U8423" s="508">
        <v>0.03</v>
      </c>
      <c r="V8423" s="508">
        <v>0.03</v>
      </c>
      <c r="W8423" s="508">
        <v>0.03</v>
      </c>
      <c r="X8423" s="508">
        <v>0.03</v>
      </c>
      <c r="Y8423" s="508">
        <v>0.03</v>
      </c>
      <c r="Z8423" s="508">
        <v>0.03</v>
      </c>
      <c r="AA8423" s="508">
        <v>0.03</v>
      </c>
      <c r="AB8423" s="508">
        <v>0.03</v>
      </c>
      <c r="AC8423" s="508">
        <v>0.03</v>
      </c>
      <c r="AD8423" s="508">
        <v>0.03</v>
      </c>
      <c r="AE8423" s="508">
        <v>0.03</v>
      </c>
      <c r="AF8423" s="508">
        <v>0.03</v>
      </c>
      <c r="AG8423" s="508">
        <v>0.03</v>
      </c>
      <c r="AH8423" s="508">
        <v>2.8000000000000001E-2</v>
      </c>
      <c r="AI8423" s="492">
        <v>2.8000000000000001E-2</v>
      </c>
      <c r="AJ8423" s="485"/>
    </row>
    <row r="8424" spans="2:36">
      <c r="B8424" s="136" t="s">
        <v>473</v>
      </c>
      <c r="C8424" s="132" t="s">
        <v>1371</v>
      </c>
      <c r="D8424" s="132" t="s">
        <v>1384</v>
      </c>
      <c r="E8424" s="508">
        <v>3.1E-2</v>
      </c>
      <c r="F8424" s="508">
        <v>3.1E-2</v>
      </c>
      <c r="G8424" s="508">
        <v>3.1E-2</v>
      </c>
      <c r="H8424" s="508">
        <v>3.1E-2</v>
      </c>
      <c r="I8424" s="508">
        <v>3.1E-2</v>
      </c>
      <c r="J8424" s="508">
        <v>3.1E-2</v>
      </c>
      <c r="K8424" s="508">
        <v>3.1E-2</v>
      </c>
      <c r="L8424" s="508">
        <v>3.1E-2</v>
      </c>
      <c r="M8424" s="508">
        <v>3.1E-2</v>
      </c>
      <c r="N8424" s="508">
        <v>3.1E-2</v>
      </c>
      <c r="O8424" s="508">
        <v>3.1E-2</v>
      </c>
      <c r="P8424" s="508">
        <v>3.1E-2</v>
      </c>
      <c r="Q8424" s="508">
        <v>3.1E-2</v>
      </c>
      <c r="R8424" s="508">
        <v>3.1E-2</v>
      </c>
      <c r="S8424" s="508">
        <v>3.1E-2</v>
      </c>
      <c r="T8424" s="508">
        <v>3.1E-2</v>
      </c>
      <c r="U8424" s="508">
        <v>3.1E-2</v>
      </c>
      <c r="V8424" s="508">
        <v>3.1E-2</v>
      </c>
      <c r="W8424" s="508">
        <v>3.1E-2</v>
      </c>
      <c r="X8424" s="508">
        <v>3.1E-2</v>
      </c>
      <c r="Y8424" s="508">
        <v>3.1E-2</v>
      </c>
      <c r="Z8424" s="508">
        <v>3.1E-2</v>
      </c>
      <c r="AA8424" s="508">
        <v>3.1E-2</v>
      </c>
      <c r="AB8424" s="508">
        <v>3.1E-2</v>
      </c>
      <c r="AC8424" s="508">
        <v>3.1E-2</v>
      </c>
      <c r="AD8424" s="508">
        <v>3.1E-2</v>
      </c>
      <c r="AE8424" s="508">
        <v>3.1E-2</v>
      </c>
      <c r="AF8424" s="508">
        <v>3.1E-2</v>
      </c>
      <c r="AG8424" s="508">
        <v>3.1E-2</v>
      </c>
      <c r="AH8424" s="508">
        <v>2.9000000000000001E-2</v>
      </c>
      <c r="AI8424" s="492">
        <v>2.9000000000000001E-2</v>
      </c>
      <c r="AJ8424" s="485"/>
    </row>
    <row r="8425" spans="2:36">
      <c r="B8425" s="136" t="s">
        <v>474</v>
      </c>
      <c r="C8425" s="132" t="s">
        <v>1371</v>
      </c>
      <c r="D8425" s="132" t="s">
        <v>1384</v>
      </c>
      <c r="E8425" s="508">
        <v>3.1E-2</v>
      </c>
      <c r="F8425" s="508">
        <v>3.1E-2</v>
      </c>
      <c r="G8425" s="508">
        <v>3.1E-2</v>
      </c>
      <c r="H8425" s="508">
        <v>3.1E-2</v>
      </c>
      <c r="I8425" s="508">
        <v>3.1E-2</v>
      </c>
      <c r="J8425" s="508">
        <v>3.1E-2</v>
      </c>
      <c r="K8425" s="508">
        <v>3.1E-2</v>
      </c>
      <c r="L8425" s="508">
        <v>3.1E-2</v>
      </c>
      <c r="M8425" s="508">
        <v>3.1E-2</v>
      </c>
      <c r="N8425" s="508">
        <v>3.1E-2</v>
      </c>
      <c r="O8425" s="508">
        <v>3.1E-2</v>
      </c>
      <c r="P8425" s="508">
        <v>3.1E-2</v>
      </c>
      <c r="Q8425" s="508">
        <v>3.1E-2</v>
      </c>
      <c r="R8425" s="508">
        <v>3.1E-2</v>
      </c>
      <c r="S8425" s="508">
        <v>3.1E-2</v>
      </c>
      <c r="T8425" s="508">
        <v>3.1E-2</v>
      </c>
      <c r="U8425" s="508">
        <v>3.1E-2</v>
      </c>
      <c r="V8425" s="508">
        <v>3.1E-2</v>
      </c>
      <c r="W8425" s="508">
        <v>3.1E-2</v>
      </c>
      <c r="X8425" s="508">
        <v>3.1E-2</v>
      </c>
      <c r="Y8425" s="508">
        <v>3.1E-2</v>
      </c>
      <c r="Z8425" s="508">
        <v>3.1E-2</v>
      </c>
      <c r="AA8425" s="508">
        <v>3.1E-2</v>
      </c>
      <c r="AB8425" s="508">
        <v>3.1E-2</v>
      </c>
      <c r="AC8425" s="508">
        <v>3.1E-2</v>
      </c>
      <c r="AD8425" s="508">
        <v>3.1E-2</v>
      </c>
      <c r="AE8425" s="508">
        <v>3.1E-2</v>
      </c>
      <c r="AF8425" s="508">
        <v>3.1E-2</v>
      </c>
      <c r="AG8425" s="508">
        <v>3.1E-2</v>
      </c>
      <c r="AH8425" s="508">
        <v>0.03</v>
      </c>
      <c r="AI8425" s="492">
        <v>0.03</v>
      </c>
      <c r="AJ8425" s="485"/>
    </row>
    <row r="8426" spans="2:36">
      <c r="B8426" s="136" t="s">
        <v>475</v>
      </c>
      <c r="C8426" s="132" t="s">
        <v>1371</v>
      </c>
      <c r="D8426" s="132" t="s">
        <v>1384</v>
      </c>
      <c r="E8426" s="508">
        <v>0.03</v>
      </c>
      <c r="F8426" s="508">
        <v>0.03</v>
      </c>
      <c r="G8426" s="508">
        <v>0.03</v>
      </c>
      <c r="H8426" s="508">
        <v>0.03</v>
      </c>
      <c r="I8426" s="508">
        <v>0.03</v>
      </c>
      <c r="J8426" s="508">
        <v>0.03</v>
      </c>
      <c r="K8426" s="508">
        <v>0.03</v>
      </c>
      <c r="L8426" s="508">
        <v>0.03</v>
      </c>
      <c r="M8426" s="508">
        <v>0.03</v>
      </c>
      <c r="N8426" s="508">
        <v>0.03</v>
      </c>
      <c r="O8426" s="508">
        <v>0.03</v>
      </c>
      <c r="P8426" s="508">
        <v>0.03</v>
      </c>
      <c r="Q8426" s="508">
        <v>0.03</v>
      </c>
      <c r="R8426" s="508">
        <v>0.03</v>
      </c>
      <c r="S8426" s="508">
        <v>0.03</v>
      </c>
      <c r="T8426" s="508">
        <v>0.03</v>
      </c>
      <c r="U8426" s="508">
        <v>0.03</v>
      </c>
      <c r="V8426" s="508">
        <v>0.03</v>
      </c>
      <c r="W8426" s="508">
        <v>0.03</v>
      </c>
      <c r="X8426" s="508">
        <v>0.03</v>
      </c>
      <c r="Y8426" s="508">
        <v>0.03</v>
      </c>
      <c r="Z8426" s="508">
        <v>0.03</v>
      </c>
      <c r="AA8426" s="508">
        <v>0.03</v>
      </c>
      <c r="AB8426" s="508">
        <v>0.03</v>
      </c>
      <c r="AC8426" s="508">
        <v>0.03</v>
      </c>
      <c r="AD8426" s="508">
        <v>0.03</v>
      </c>
      <c r="AE8426" s="508">
        <v>0.03</v>
      </c>
      <c r="AF8426" s="508">
        <v>0.03</v>
      </c>
      <c r="AG8426" s="508">
        <v>0.03</v>
      </c>
      <c r="AH8426" s="508">
        <v>2.9000000000000001E-2</v>
      </c>
      <c r="AI8426" s="492">
        <v>2.9000000000000001E-2</v>
      </c>
      <c r="AJ8426" s="485"/>
    </row>
    <row r="8427" spans="2:36">
      <c r="B8427" s="136" t="s">
        <v>476</v>
      </c>
      <c r="C8427" s="132" t="s">
        <v>1371</v>
      </c>
      <c r="D8427" s="132" t="s">
        <v>1384</v>
      </c>
      <c r="E8427" s="508">
        <v>3.1E-2</v>
      </c>
      <c r="F8427" s="508">
        <v>3.1E-2</v>
      </c>
      <c r="G8427" s="508">
        <v>3.1E-2</v>
      </c>
      <c r="H8427" s="508">
        <v>3.1E-2</v>
      </c>
      <c r="I8427" s="508">
        <v>3.1E-2</v>
      </c>
      <c r="J8427" s="508">
        <v>3.1E-2</v>
      </c>
      <c r="K8427" s="508">
        <v>3.1E-2</v>
      </c>
      <c r="L8427" s="508">
        <v>3.1E-2</v>
      </c>
      <c r="M8427" s="508">
        <v>3.1E-2</v>
      </c>
      <c r="N8427" s="508">
        <v>3.1E-2</v>
      </c>
      <c r="O8427" s="508">
        <v>3.1E-2</v>
      </c>
      <c r="P8427" s="508">
        <v>3.1E-2</v>
      </c>
      <c r="Q8427" s="508">
        <v>3.1E-2</v>
      </c>
      <c r="R8427" s="508">
        <v>3.1E-2</v>
      </c>
      <c r="S8427" s="508">
        <v>3.1E-2</v>
      </c>
      <c r="T8427" s="508">
        <v>3.1E-2</v>
      </c>
      <c r="U8427" s="508">
        <v>3.1E-2</v>
      </c>
      <c r="V8427" s="508">
        <v>3.1E-2</v>
      </c>
      <c r="W8427" s="508">
        <v>3.1E-2</v>
      </c>
      <c r="X8427" s="508">
        <v>3.1E-2</v>
      </c>
      <c r="Y8427" s="508">
        <v>3.1E-2</v>
      </c>
      <c r="Z8427" s="508">
        <v>3.1E-2</v>
      </c>
      <c r="AA8427" s="508">
        <v>3.1E-2</v>
      </c>
      <c r="AB8427" s="508">
        <v>3.1E-2</v>
      </c>
      <c r="AC8427" s="508">
        <v>3.1E-2</v>
      </c>
      <c r="AD8427" s="508">
        <v>3.1E-2</v>
      </c>
      <c r="AE8427" s="508">
        <v>3.1E-2</v>
      </c>
      <c r="AF8427" s="508">
        <v>3.1E-2</v>
      </c>
      <c r="AG8427" s="508">
        <v>3.1E-2</v>
      </c>
      <c r="AH8427" s="508">
        <v>0.03</v>
      </c>
      <c r="AI8427" s="492">
        <v>0.03</v>
      </c>
      <c r="AJ8427" s="485"/>
    </row>
    <row r="8428" spans="2:36">
      <c r="B8428" s="136" t="s">
        <v>478</v>
      </c>
      <c r="C8428" s="132" t="s">
        <v>1371</v>
      </c>
      <c r="D8428" s="132" t="s">
        <v>1384</v>
      </c>
      <c r="E8428" s="508">
        <v>3.2000000000000001E-2</v>
      </c>
      <c r="F8428" s="508">
        <v>3.2000000000000001E-2</v>
      </c>
      <c r="G8428" s="508">
        <v>3.2000000000000001E-2</v>
      </c>
      <c r="H8428" s="508">
        <v>3.2000000000000001E-2</v>
      </c>
      <c r="I8428" s="508">
        <v>3.2000000000000001E-2</v>
      </c>
      <c r="J8428" s="508">
        <v>3.2000000000000001E-2</v>
      </c>
      <c r="K8428" s="508">
        <v>3.2000000000000001E-2</v>
      </c>
      <c r="L8428" s="508">
        <v>3.2000000000000001E-2</v>
      </c>
      <c r="M8428" s="508">
        <v>3.2000000000000001E-2</v>
      </c>
      <c r="N8428" s="508">
        <v>3.2000000000000001E-2</v>
      </c>
      <c r="O8428" s="508">
        <v>3.2000000000000001E-2</v>
      </c>
      <c r="P8428" s="508">
        <v>3.2000000000000001E-2</v>
      </c>
      <c r="Q8428" s="508">
        <v>3.2000000000000001E-2</v>
      </c>
      <c r="R8428" s="508">
        <v>3.2000000000000001E-2</v>
      </c>
      <c r="S8428" s="508">
        <v>3.2000000000000001E-2</v>
      </c>
      <c r="T8428" s="508">
        <v>3.2000000000000001E-2</v>
      </c>
      <c r="U8428" s="508">
        <v>3.2000000000000001E-2</v>
      </c>
      <c r="V8428" s="508">
        <v>3.2000000000000001E-2</v>
      </c>
      <c r="W8428" s="508">
        <v>3.2000000000000001E-2</v>
      </c>
      <c r="X8428" s="508">
        <v>3.2000000000000001E-2</v>
      </c>
      <c r="Y8428" s="508">
        <v>3.2000000000000001E-2</v>
      </c>
      <c r="Z8428" s="508">
        <v>3.2000000000000001E-2</v>
      </c>
      <c r="AA8428" s="508">
        <v>3.2000000000000001E-2</v>
      </c>
      <c r="AB8428" s="508">
        <v>3.2000000000000001E-2</v>
      </c>
      <c r="AC8428" s="508">
        <v>3.2000000000000001E-2</v>
      </c>
      <c r="AD8428" s="508">
        <v>3.2000000000000001E-2</v>
      </c>
      <c r="AE8428" s="508">
        <v>3.2000000000000001E-2</v>
      </c>
      <c r="AF8428" s="508">
        <v>3.2000000000000001E-2</v>
      </c>
      <c r="AG8428" s="508">
        <v>3.2000000000000001E-2</v>
      </c>
      <c r="AH8428" s="508">
        <v>0.03</v>
      </c>
      <c r="AI8428" s="492">
        <v>0.03</v>
      </c>
      <c r="AJ8428" s="485"/>
    </row>
    <row r="8429" spans="2:36">
      <c r="B8429" s="136" t="s">
        <v>479</v>
      </c>
      <c r="C8429" s="132" t="s">
        <v>1371</v>
      </c>
      <c r="D8429" s="132" t="s">
        <v>1384</v>
      </c>
      <c r="E8429" s="508">
        <v>3.1E-2</v>
      </c>
      <c r="F8429" s="508">
        <v>3.1E-2</v>
      </c>
      <c r="G8429" s="508">
        <v>3.1E-2</v>
      </c>
      <c r="H8429" s="508">
        <v>3.1E-2</v>
      </c>
      <c r="I8429" s="508">
        <v>3.1E-2</v>
      </c>
      <c r="J8429" s="508">
        <v>3.1E-2</v>
      </c>
      <c r="K8429" s="508">
        <v>3.1E-2</v>
      </c>
      <c r="L8429" s="508">
        <v>3.1E-2</v>
      </c>
      <c r="M8429" s="508">
        <v>3.2000000000000001E-2</v>
      </c>
      <c r="N8429" s="508">
        <v>3.2000000000000001E-2</v>
      </c>
      <c r="O8429" s="508">
        <v>3.2000000000000001E-2</v>
      </c>
      <c r="P8429" s="508">
        <v>3.2000000000000001E-2</v>
      </c>
      <c r="Q8429" s="508">
        <v>3.2000000000000001E-2</v>
      </c>
      <c r="R8429" s="508">
        <v>3.2000000000000001E-2</v>
      </c>
      <c r="S8429" s="508">
        <v>3.2000000000000001E-2</v>
      </c>
      <c r="T8429" s="508">
        <v>3.2000000000000001E-2</v>
      </c>
      <c r="U8429" s="508">
        <v>3.2000000000000001E-2</v>
      </c>
      <c r="V8429" s="508">
        <v>3.2000000000000001E-2</v>
      </c>
      <c r="W8429" s="508">
        <v>3.2000000000000001E-2</v>
      </c>
      <c r="X8429" s="508">
        <v>3.2000000000000001E-2</v>
      </c>
      <c r="Y8429" s="508">
        <v>3.2000000000000001E-2</v>
      </c>
      <c r="Z8429" s="508">
        <v>3.2000000000000001E-2</v>
      </c>
      <c r="AA8429" s="508">
        <v>3.2000000000000001E-2</v>
      </c>
      <c r="AB8429" s="508">
        <v>3.2000000000000001E-2</v>
      </c>
      <c r="AC8429" s="508">
        <v>3.2000000000000001E-2</v>
      </c>
      <c r="AD8429" s="508">
        <v>3.2000000000000001E-2</v>
      </c>
      <c r="AE8429" s="508">
        <v>3.2000000000000001E-2</v>
      </c>
      <c r="AF8429" s="508">
        <v>3.2000000000000001E-2</v>
      </c>
      <c r="AG8429" s="508">
        <v>3.2000000000000001E-2</v>
      </c>
      <c r="AH8429" s="508">
        <v>0.03</v>
      </c>
      <c r="AI8429" s="492">
        <v>0.03</v>
      </c>
      <c r="AJ8429" s="485"/>
    </row>
    <row r="8430" spans="2:36">
      <c r="B8430" s="136" t="s">
        <v>480</v>
      </c>
      <c r="C8430" s="132" t="s">
        <v>1371</v>
      </c>
      <c r="D8430" s="132" t="s">
        <v>1384</v>
      </c>
      <c r="E8430" s="508">
        <v>3.1E-2</v>
      </c>
      <c r="F8430" s="508">
        <v>3.1E-2</v>
      </c>
      <c r="G8430" s="508">
        <v>3.1E-2</v>
      </c>
      <c r="H8430" s="508">
        <v>3.1E-2</v>
      </c>
      <c r="I8430" s="508">
        <v>3.1E-2</v>
      </c>
      <c r="J8430" s="508">
        <v>3.1E-2</v>
      </c>
      <c r="K8430" s="508">
        <v>3.1E-2</v>
      </c>
      <c r="L8430" s="508">
        <v>3.1E-2</v>
      </c>
      <c r="M8430" s="508">
        <v>3.1E-2</v>
      </c>
      <c r="N8430" s="508">
        <v>3.1E-2</v>
      </c>
      <c r="O8430" s="508">
        <v>3.1E-2</v>
      </c>
      <c r="P8430" s="508">
        <v>3.1E-2</v>
      </c>
      <c r="Q8430" s="508">
        <v>3.1E-2</v>
      </c>
      <c r="R8430" s="508">
        <v>3.1E-2</v>
      </c>
      <c r="S8430" s="508">
        <v>3.1E-2</v>
      </c>
      <c r="T8430" s="508">
        <v>3.1E-2</v>
      </c>
      <c r="U8430" s="508">
        <v>3.1E-2</v>
      </c>
      <c r="V8430" s="508">
        <v>3.1E-2</v>
      </c>
      <c r="W8430" s="508">
        <v>3.1E-2</v>
      </c>
      <c r="X8430" s="508">
        <v>3.1E-2</v>
      </c>
      <c r="Y8430" s="508">
        <v>3.1E-2</v>
      </c>
      <c r="Z8430" s="508">
        <v>3.1E-2</v>
      </c>
      <c r="AA8430" s="508">
        <v>3.1E-2</v>
      </c>
      <c r="AB8430" s="508">
        <v>3.1E-2</v>
      </c>
      <c r="AC8430" s="508">
        <v>3.1E-2</v>
      </c>
      <c r="AD8430" s="508">
        <v>3.1E-2</v>
      </c>
      <c r="AE8430" s="508">
        <v>3.1E-2</v>
      </c>
      <c r="AF8430" s="508">
        <v>3.1E-2</v>
      </c>
      <c r="AG8430" s="508">
        <v>3.1E-2</v>
      </c>
      <c r="AH8430" s="508">
        <v>2.9000000000000001E-2</v>
      </c>
      <c r="AI8430" s="492">
        <v>2.9000000000000001E-2</v>
      </c>
      <c r="AJ8430" s="485"/>
    </row>
    <row r="8431" spans="2:36">
      <c r="B8431" s="136" t="s">
        <v>481</v>
      </c>
      <c r="C8431" s="132" t="s">
        <v>1371</v>
      </c>
      <c r="D8431" s="132" t="s">
        <v>1384</v>
      </c>
      <c r="E8431" s="508">
        <v>3.1E-2</v>
      </c>
      <c r="F8431" s="508">
        <v>3.1E-2</v>
      </c>
      <c r="G8431" s="508">
        <v>3.1E-2</v>
      </c>
      <c r="H8431" s="508">
        <v>3.1E-2</v>
      </c>
      <c r="I8431" s="508">
        <v>3.1E-2</v>
      </c>
      <c r="J8431" s="508">
        <v>3.1E-2</v>
      </c>
      <c r="K8431" s="508">
        <v>3.1E-2</v>
      </c>
      <c r="L8431" s="508">
        <v>3.1E-2</v>
      </c>
      <c r="M8431" s="508">
        <v>3.2000000000000001E-2</v>
      </c>
      <c r="N8431" s="508">
        <v>3.2000000000000001E-2</v>
      </c>
      <c r="O8431" s="508">
        <v>3.2000000000000001E-2</v>
      </c>
      <c r="P8431" s="508">
        <v>3.2000000000000001E-2</v>
      </c>
      <c r="Q8431" s="508">
        <v>3.2000000000000001E-2</v>
      </c>
      <c r="R8431" s="508">
        <v>3.2000000000000001E-2</v>
      </c>
      <c r="S8431" s="508">
        <v>3.2000000000000001E-2</v>
      </c>
      <c r="T8431" s="508">
        <v>3.2000000000000001E-2</v>
      </c>
      <c r="U8431" s="508">
        <v>3.2000000000000001E-2</v>
      </c>
      <c r="V8431" s="508">
        <v>3.2000000000000001E-2</v>
      </c>
      <c r="W8431" s="508">
        <v>3.2000000000000001E-2</v>
      </c>
      <c r="X8431" s="508">
        <v>3.2000000000000001E-2</v>
      </c>
      <c r="Y8431" s="508">
        <v>3.2000000000000001E-2</v>
      </c>
      <c r="Z8431" s="508">
        <v>3.2000000000000001E-2</v>
      </c>
      <c r="AA8431" s="508">
        <v>3.2000000000000001E-2</v>
      </c>
      <c r="AB8431" s="508">
        <v>3.2000000000000001E-2</v>
      </c>
      <c r="AC8431" s="508">
        <v>3.2000000000000001E-2</v>
      </c>
      <c r="AD8431" s="508">
        <v>3.2000000000000001E-2</v>
      </c>
      <c r="AE8431" s="508">
        <v>3.2000000000000001E-2</v>
      </c>
      <c r="AF8431" s="508">
        <v>3.2000000000000001E-2</v>
      </c>
      <c r="AG8431" s="508">
        <v>3.2000000000000001E-2</v>
      </c>
      <c r="AH8431" s="508">
        <v>0.03</v>
      </c>
      <c r="AI8431" s="492">
        <v>0.03</v>
      </c>
      <c r="AJ8431" s="485"/>
    </row>
    <row r="8432" spans="2:36">
      <c r="B8432" s="136" t="s">
        <v>482</v>
      </c>
      <c r="C8432" s="132" t="s">
        <v>1371</v>
      </c>
      <c r="D8432" s="132" t="s">
        <v>1384</v>
      </c>
      <c r="E8432" s="508">
        <v>3.2000000000000001E-2</v>
      </c>
      <c r="F8432" s="508">
        <v>3.2000000000000001E-2</v>
      </c>
      <c r="G8432" s="508">
        <v>3.2000000000000001E-2</v>
      </c>
      <c r="H8432" s="508">
        <v>3.2000000000000001E-2</v>
      </c>
      <c r="I8432" s="508">
        <v>3.2000000000000001E-2</v>
      </c>
      <c r="J8432" s="508">
        <v>3.2000000000000001E-2</v>
      </c>
      <c r="K8432" s="508">
        <v>3.2000000000000001E-2</v>
      </c>
      <c r="L8432" s="508">
        <v>3.2000000000000001E-2</v>
      </c>
      <c r="M8432" s="508">
        <v>3.2000000000000001E-2</v>
      </c>
      <c r="N8432" s="508">
        <v>3.2000000000000001E-2</v>
      </c>
      <c r="O8432" s="508">
        <v>3.2000000000000001E-2</v>
      </c>
      <c r="P8432" s="508">
        <v>3.2000000000000001E-2</v>
      </c>
      <c r="Q8432" s="508">
        <v>3.2000000000000001E-2</v>
      </c>
      <c r="R8432" s="508">
        <v>3.2000000000000001E-2</v>
      </c>
      <c r="S8432" s="508">
        <v>3.2000000000000001E-2</v>
      </c>
      <c r="T8432" s="508">
        <v>3.2000000000000001E-2</v>
      </c>
      <c r="U8432" s="508">
        <v>3.2000000000000001E-2</v>
      </c>
      <c r="V8432" s="508">
        <v>3.2000000000000001E-2</v>
      </c>
      <c r="W8432" s="508">
        <v>3.2000000000000001E-2</v>
      </c>
      <c r="X8432" s="508">
        <v>3.2000000000000001E-2</v>
      </c>
      <c r="Y8432" s="508">
        <v>3.2000000000000001E-2</v>
      </c>
      <c r="Z8432" s="508">
        <v>3.2000000000000001E-2</v>
      </c>
      <c r="AA8432" s="508">
        <v>3.2000000000000001E-2</v>
      </c>
      <c r="AB8432" s="508">
        <v>3.2000000000000001E-2</v>
      </c>
      <c r="AC8432" s="508">
        <v>3.2000000000000001E-2</v>
      </c>
      <c r="AD8432" s="508">
        <v>3.2000000000000001E-2</v>
      </c>
      <c r="AE8432" s="508">
        <v>3.2000000000000001E-2</v>
      </c>
      <c r="AF8432" s="508">
        <v>3.2000000000000001E-2</v>
      </c>
      <c r="AG8432" s="508">
        <v>3.2000000000000001E-2</v>
      </c>
      <c r="AH8432" s="508">
        <v>3.1E-2</v>
      </c>
      <c r="AI8432" s="492">
        <v>3.1E-2</v>
      </c>
      <c r="AJ8432" s="485"/>
    </row>
    <row r="8433" spans="2:36">
      <c r="B8433" s="136" t="s">
        <v>483</v>
      </c>
      <c r="C8433" s="132" t="s">
        <v>1371</v>
      </c>
      <c r="D8433" s="132" t="s">
        <v>1384</v>
      </c>
      <c r="E8433" s="508">
        <v>3.2000000000000001E-2</v>
      </c>
      <c r="F8433" s="508">
        <v>3.2000000000000001E-2</v>
      </c>
      <c r="G8433" s="508">
        <v>3.2000000000000001E-2</v>
      </c>
      <c r="H8433" s="508">
        <v>3.2000000000000001E-2</v>
      </c>
      <c r="I8433" s="508">
        <v>3.2000000000000001E-2</v>
      </c>
      <c r="J8433" s="508">
        <v>3.2000000000000001E-2</v>
      </c>
      <c r="K8433" s="508">
        <v>3.2000000000000001E-2</v>
      </c>
      <c r="L8433" s="508">
        <v>3.2000000000000001E-2</v>
      </c>
      <c r="M8433" s="508">
        <v>3.2000000000000001E-2</v>
      </c>
      <c r="N8433" s="508">
        <v>3.2000000000000001E-2</v>
      </c>
      <c r="O8433" s="508">
        <v>3.2000000000000001E-2</v>
      </c>
      <c r="P8433" s="508">
        <v>3.2000000000000001E-2</v>
      </c>
      <c r="Q8433" s="508">
        <v>3.2000000000000001E-2</v>
      </c>
      <c r="R8433" s="508">
        <v>3.2000000000000001E-2</v>
      </c>
      <c r="S8433" s="508">
        <v>3.2000000000000001E-2</v>
      </c>
      <c r="T8433" s="508">
        <v>3.2000000000000001E-2</v>
      </c>
      <c r="U8433" s="508">
        <v>3.2000000000000001E-2</v>
      </c>
      <c r="V8433" s="508">
        <v>3.2000000000000001E-2</v>
      </c>
      <c r="W8433" s="508">
        <v>3.2000000000000001E-2</v>
      </c>
      <c r="X8433" s="508">
        <v>3.2000000000000001E-2</v>
      </c>
      <c r="Y8433" s="508">
        <v>3.2000000000000001E-2</v>
      </c>
      <c r="Z8433" s="508">
        <v>3.2000000000000001E-2</v>
      </c>
      <c r="AA8433" s="508">
        <v>3.2000000000000001E-2</v>
      </c>
      <c r="AB8433" s="508">
        <v>3.2000000000000001E-2</v>
      </c>
      <c r="AC8433" s="508">
        <v>3.2000000000000001E-2</v>
      </c>
      <c r="AD8433" s="508">
        <v>3.2000000000000001E-2</v>
      </c>
      <c r="AE8433" s="508">
        <v>3.2000000000000001E-2</v>
      </c>
      <c r="AF8433" s="508">
        <v>3.2000000000000001E-2</v>
      </c>
      <c r="AG8433" s="508">
        <v>3.2000000000000001E-2</v>
      </c>
      <c r="AH8433" s="508">
        <v>0.03</v>
      </c>
      <c r="AI8433" s="492">
        <v>0.03</v>
      </c>
      <c r="AJ8433" s="485"/>
    </row>
    <row r="8434" spans="2:36">
      <c r="B8434" s="136" t="s">
        <v>484</v>
      </c>
      <c r="C8434" s="132" t="s">
        <v>1371</v>
      </c>
      <c r="D8434" s="132" t="s">
        <v>1384</v>
      </c>
      <c r="E8434" s="508">
        <v>0.03</v>
      </c>
      <c r="F8434" s="508">
        <v>0.03</v>
      </c>
      <c r="G8434" s="508">
        <v>0.03</v>
      </c>
      <c r="H8434" s="508">
        <v>0.03</v>
      </c>
      <c r="I8434" s="508">
        <v>0.03</v>
      </c>
      <c r="J8434" s="508">
        <v>0.03</v>
      </c>
      <c r="K8434" s="508">
        <v>0.03</v>
      </c>
      <c r="L8434" s="508">
        <v>0.03</v>
      </c>
      <c r="M8434" s="508">
        <v>0.03</v>
      </c>
      <c r="N8434" s="508">
        <v>0.03</v>
      </c>
      <c r="O8434" s="508">
        <v>0.03</v>
      </c>
      <c r="P8434" s="508">
        <v>0.03</v>
      </c>
      <c r="Q8434" s="508">
        <v>0.03</v>
      </c>
      <c r="R8434" s="508">
        <v>0.03</v>
      </c>
      <c r="S8434" s="508">
        <v>0.03</v>
      </c>
      <c r="T8434" s="508">
        <v>0.03</v>
      </c>
      <c r="U8434" s="508">
        <v>0.03</v>
      </c>
      <c r="V8434" s="508">
        <v>0.03</v>
      </c>
      <c r="W8434" s="508">
        <v>0.03</v>
      </c>
      <c r="X8434" s="508">
        <v>0.03</v>
      </c>
      <c r="Y8434" s="508">
        <v>0.03</v>
      </c>
      <c r="Z8434" s="508">
        <v>0.03</v>
      </c>
      <c r="AA8434" s="508">
        <v>0.03</v>
      </c>
      <c r="AB8434" s="508">
        <v>0.03</v>
      </c>
      <c r="AC8434" s="508">
        <v>0.03</v>
      </c>
      <c r="AD8434" s="508">
        <v>0.03</v>
      </c>
      <c r="AE8434" s="508">
        <v>0.03</v>
      </c>
      <c r="AF8434" s="508">
        <v>0.03</v>
      </c>
      <c r="AG8434" s="508">
        <v>0.03</v>
      </c>
      <c r="AH8434" s="508">
        <v>2.8000000000000001E-2</v>
      </c>
      <c r="AI8434" s="492">
        <v>2.8000000000000001E-2</v>
      </c>
      <c r="AJ8434" s="485"/>
    </row>
    <row r="8435" spans="2:36">
      <c r="B8435" s="136" t="s">
        <v>486</v>
      </c>
      <c r="C8435" s="132" t="s">
        <v>1371</v>
      </c>
      <c r="D8435" s="132" t="s">
        <v>1384</v>
      </c>
      <c r="E8435" s="508">
        <v>3.1E-2</v>
      </c>
      <c r="F8435" s="508">
        <v>3.1E-2</v>
      </c>
      <c r="G8435" s="508">
        <v>3.1E-2</v>
      </c>
      <c r="H8435" s="508">
        <v>3.1E-2</v>
      </c>
      <c r="I8435" s="508">
        <v>3.1E-2</v>
      </c>
      <c r="J8435" s="508">
        <v>3.1E-2</v>
      </c>
      <c r="K8435" s="508">
        <v>3.1E-2</v>
      </c>
      <c r="L8435" s="508">
        <v>3.1E-2</v>
      </c>
      <c r="M8435" s="508">
        <v>3.2000000000000001E-2</v>
      </c>
      <c r="N8435" s="508">
        <v>3.2000000000000001E-2</v>
      </c>
      <c r="O8435" s="508">
        <v>3.2000000000000001E-2</v>
      </c>
      <c r="P8435" s="508">
        <v>3.2000000000000001E-2</v>
      </c>
      <c r="Q8435" s="508">
        <v>3.2000000000000001E-2</v>
      </c>
      <c r="R8435" s="508">
        <v>3.2000000000000001E-2</v>
      </c>
      <c r="S8435" s="508">
        <v>3.2000000000000001E-2</v>
      </c>
      <c r="T8435" s="508">
        <v>3.2000000000000001E-2</v>
      </c>
      <c r="U8435" s="508">
        <v>3.2000000000000001E-2</v>
      </c>
      <c r="V8435" s="508">
        <v>3.2000000000000001E-2</v>
      </c>
      <c r="W8435" s="508">
        <v>3.2000000000000001E-2</v>
      </c>
      <c r="X8435" s="508">
        <v>3.2000000000000001E-2</v>
      </c>
      <c r="Y8435" s="508">
        <v>3.2000000000000001E-2</v>
      </c>
      <c r="Z8435" s="508">
        <v>3.2000000000000001E-2</v>
      </c>
      <c r="AA8435" s="508">
        <v>3.2000000000000001E-2</v>
      </c>
      <c r="AB8435" s="508">
        <v>3.2000000000000001E-2</v>
      </c>
      <c r="AC8435" s="508">
        <v>3.2000000000000001E-2</v>
      </c>
      <c r="AD8435" s="508">
        <v>3.2000000000000001E-2</v>
      </c>
      <c r="AE8435" s="508">
        <v>3.2000000000000001E-2</v>
      </c>
      <c r="AF8435" s="508">
        <v>3.2000000000000001E-2</v>
      </c>
      <c r="AG8435" s="508">
        <v>3.2000000000000001E-2</v>
      </c>
      <c r="AH8435" s="508">
        <v>0.03</v>
      </c>
      <c r="AI8435" s="492">
        <v>0.03</v>
      </c>
      <c r="AJ8435" s="485"/>
    </row>
    <row r="8436" spans="2:36">
      <c r="B8436" s="136" t="s">
        <v>487</v>
      </c>
      <c r="C8436" s="132" t="s">
        <v>1371</v>
      </c>
      <c r="D8436" s="132" t="s">
        <v>1384</v>
      </c>
      <c r="E8436" s="508">
        <v>3.1E-2</v>
      </c>
      <c r="F8436" s="508">
        <v>3.1E-2</v>
      </c>
      <c r="G8436" s="508">
        <v>3.1E-2</v>
      </c>
      <c r="H8436" s="508">
        <v>3.1E-2</v>
      </c>
      <c r="I8436" s="508">
        <v>3.1E-2</v>
      </c>
      <c r="J8436" s="508">
        <v>3.1E-2</v>
      </c>
      <c r="K8436" s="508">
        <v>3.1E-2</v>
      </c>
      <c r="L8436" s="508">
        <v>3.1E-2</v>
      </c>
      <c r="M8436" s="508">
        <v>3.1E-2</v>
      </c>
      <c r="N8436" s="508">
        <v>3.1E-2</v>
      </c>
      <c r="O8436" s="508">
        <v>3.1E-2</v>
      </c>
      <c r="P8436" s="508">
        <v>3.1E-2</v>
      </c>
      <c r="Q8436" s="508">
        <v>3.1E-2</v>
      </c>
      <c r="R8436" s="508">
        <v>3.1E-2</v>
      </c>
      <c r="S8436" s="508">
        <v>3.1E-2</v>
      </c>
      <c r="T8436" s="508">
        <v>3.1E-2</v>
      </c>
      <c r="U8436" s="508">
        <v>3.1E-2</v>
      </c>
      <c r="V8436" s="508">
        <v>3.1E-2</v>
      </c>
      <c r="W8436" s="508">
        <v>3.2000000000000001E-2</v>
      </c>
      <c r="X8436" s="508">
        <v>3.2000000000000001E-2</v>
      </c>
      <c r="Y8436" s="508">
        <v>3.2000000000000001E-2</v>
      </c>
      <c r="Z8436" s="508">
        <v>3.2000000000000001E-2</v>
      </c>
      <c r="AA8436" s="508">
        <v>3.2000000000000001E-2</v>
      </c>
      <c r="AB8436" s="508">
        <v>3.2000000000000001E-2</v>
      </c>
      <c r="AC8436" s="508">
        <v>3.2000000000000001E-2</v>
      </c>
      <c r="AD8436" s="508">
        <v>3.2000000000000001E-2</v>
      </c>
      <c r="AE8436" s="508">
        <v>3.2000000000000001E-2</v>
      </c>
      <c r="AF8436" s="508">
        <v>3.2000000000000001E-2</v>
      </c>
      <c r="AG8436" s="508">
        <v>3.2000000000000001E-2</v>
      </c>
      <c r="AH8436" s="508">
        <v>0.03</v>
      </c>
      <c r="AI8436" s="492">
        <v>0.03</v>
      </c>
      <c r="AJ8436" s="485"/>
    </row>
    <row r="8437" spans="2:36">
      <c r="B8437" s="136" t="s">
        <v>488</v>
      </c>
      <c r="C8437" s="132" t="s">
        <v>1371</v>
      </c>
      <c r="D8437" s="132" t="s">
        <v>1384</v>
      </c>
      <c r="E8437" s="508">
        <v>3.1E-2</v>
      </c>
      <c r="F8437" s="508">
        <v>3.1E-2</v>
      </c>
      <c r="G8437" s="508">
        <v>3.1E-2</v>
      </c>
      <c r="H8437" s="508">
        <v>3.1E-2</v>
      </c>
      <c r="I8437" s="508">
        <v>3.1E-2</v>
      </c>
      <c r="J8437" s="508">
        <v>3.1E-2</v>
      </c>
      <c r="K8437" s="508">
        <v>3.1E-2</v>
      </c>
      <c r="L8437" s="508">
        <v>3.1E-2</v>
      </c>
      <c r="M8437" s="508">
        <v>3.1E-2</v>
      </c>
      <c r="N8437" s="508">
        <v>3.1E-2</v>
      </c>
      <c r="O8437" s="508">
        <v>3.1E-2</v>
      </c>
      <c r="P8437" s="508">
        <v>3.1E-2</v>
      </c>
      <c r="Q8437" s="508">
        <v>3.1E-2</v>
      </c>
      <c r="R8437" s="508">
        <v>3.1E-2</v>
      </c>
      <c r="S8437" s="508">
        <v>3.1E-2</v>
      </c>
      <c r="T8437" s="508">
        <v>3.1E-2</v>
      </c>
      <c r="U8437" s="508">
        <v>3.1E-2</v>
      </c>
      <c r="V8437" s="508">
        <v>3.1E-2</v>
      </c>
      <c r="W8437" s="508">
        <v>3.1E-2</v>
      </c>
      <c r="X8437" s="508">
        <v>3.1E-2</v>
      </c>
      <c r="Y8437" s="508">
        <v>3.1E-2</v>
      </c>
      <c r="Z8437" s="508">
        <v>3.1E-2</v>
      </c>
      <c r="AA8437" s="508">
        <v>3.1E-2</v>
      </c>
      <c r="AB8437" s="508">
        <v>3.1E-2</v>
      </c>
      <c r="AC8437" s="508">
        <v>3.1E-2</v>
      </c>
      <c r="AD8437" s="508">
        <v>3.1E-2</v>
      </c>
      <c r="AE8437" s="508">
        <v>3.1E-2</v>
      </c>
      <c r="AF8437" s="508">
        <v>3.1E-2</v>
      </c>
      <c r="AG8437" s="508">
        <v>3.1E-2</v>
      </c>
      <c r="AH8437" s="508">
        <v>2.9000000000000001E-2</v>
      </c>
      <c r="AI8437" s="492">
        <v>2.9000000000000001E-2</v>
      </c>
      <c r="AJ8437" s="485"/>
    </row>
    <row r="8438" spans="2:36">
      <c r="B8438" s="136" t="s">
        <v>489</v>
      </c>
      <c r="C8438" s="132" t="s">
        <v>1371</v>
      </c>
      <c r="D8438" s="132" t="s">
        <v>1384</v>
      </c>
      <c r="E8438" s="508">
        <v>0.03</v>
      </c>
      <c r="F8438" s="508">
        <v>0.03</v>
      </c>
      <c r="G8438" s="508">
        <v>0.03</v>
      </c>
      <c r="H8438" s="508">
        <v>0.03</v>
      </c>
      <c r="I8438" s="508">
        <v>3.1E-2</v>
      </c>
      <c r="J8438" s="508">
        <v>3.1E-2</v>
      </c>
      <c r="K8438" s="508">
        <v>3.1E-2</v>
      </c>
      <c r="L8438" s="508">
        <v>3.1E-2</v>
      </c>
      <c r="M8438" s="508">
        <v>3.1E-2</v>
      </c>
      <c r="N8438" s="508">
        <v>3.1E-2</v>
      </c>
      <c r="O8438" s="508">
        <v>3.1E-2</v>
      </c>
      <c r="P8438" s="508">
        <v>3.1E-2</v>
      </c>
      <c r="Q8438" s="508">
        <v>3.1E-2</v>
      </c>
      <c r="R8438" s="508">
        <v>3.1E-2</v>
      </c>
      <c r="S8438" s="508">
        <v>3.1E-2</v>
      </c>
      <c r="T8438" s="508">
        <v>3.1E-2</v>
      </c>
      <c r="U8438" s="508">
        <v>3.1E-2</v>
      </c>
      <c r="V8438" s="508">
        <v>3.1E-2</v>
      </c>
      <c r="W8438" s="508">
        <v>3.1E-2</v>
      </c>
      <c r="X8438" s="508">
        <v>3.1E-2</v>
      </c>
      <c r="Y8438" s="508">
        <v>3.1E-2</v>
      </c>
      <c r="Z8438" s="508">
        <v>3.1E-2</v>
      </c>
      <c r="AA8438" s="508">
        <v>3.1E-2</v>
      </c>
      <c r="AB8438" s="508">
        <v>3.1E-2</v>
      </c>
      <c r="AC8438" s="508">
        <v>3.1E-2</v>
      </c>
      <c r="AD8438" s="508">
        <v>3.1E-2</v>
      </c>
      <c r="AE8438" s="508">
        <v>3.1E-2</v>
      </c>
      <c r="AF8438" s="508">
        <v>3.1E-2</v>
      </c>
      <c r="AG8438" s="508">
        <v>3.1E-2</v>
      </c>
      <c r="AH8438" s="508">
        <v>2.9000000000000001E-2</v>
      </c>
      <c r="AI8438" s="492">
        <v>2.9000000000000001E-2</v>
      </c>
      <c r="AJ8438" s="485"/>
    </row>
    <row r="8439" spans="2:36">
      <c r="B8439" s="136" t="s">
        <v>490</v>
      </c>
      <c r="C8439" s="132" t="s">
        <v>1371</v>
      </c>
      <c r="D8439" s="132" t="s">
        <v>1384</v>
      </c>
      <c r="E8439" s="508">
        <v>3.1E-2</v>
      </c>
      <c r="F8439" s="508">
        <v>3.1E-2</v>
      </c>
      <c r="G8439" s="508">
        <v>3.1E-2</v>
      </c>
      <c r="H8439" s="508">
        <v>3.1E-2</v>
      </c>
      <c r="I8439" s="508">
        <v>3.1E-2</v>
      </c>
      <c r="J8439" s="508">
        <v>3.1E-2</v>
      </c>
      <c r="K8439" s="508">
        <v>3.1E-2</v>
      </c>
      <c r="L8439" s="508">
        <v>3.1E-2</v>
      </c>
      <c r="M8439" s="508">
        <v>3.1E-2</v>
      </c>
      <c r="N8439" s="508">
        <v>3.1E-2</v>
      </c>
      <c r="O8439" s="508">
        <v>3.1E-2</v>
      </c>
      <c r="P8439" s="508">
        <v>3.1E-2</v>
      </c>
      <c r="Q8439" s="508">
        <v>3.1E-2</v>
      </c>
      <c r="R8439" s="508">
        <v>3.1E-2</v>
      </c>
      <c r="S8439" s="508">
        <v>3.1E-2</v>
      </c>
      <c r="T8439" s="508">
        <v>3.1E-2</v>
      </c>
      <c r="U8439" s="508">
        <v>3.1E-2</v>
      </c>
      <c r="V8439" s="508">
        <v>3.1E-2</v>
      </c>
      <c r="W8439" s="508">
        <v>3.1E-2</v>
      </c>
      <c r="X8439" s="508">
        <v>3.1E-2</v>
      </c>
      <c r="Y8439" s="508">
        <v>3.1E-2</v>
      </c>
      <c r="Z8439" s="508">
        <v>3.1E-2</v>
      </c>
      <c r="AA8439" s="508">
        <v>3.1E-2</v>
      </c>
      <c r="AB8439" s="508">
        <v>3.1E-2</v>
      </c>
      <c r="AC8439" s="508">
        <v>3.1E-2</v>
      </c>
      <c r="AD8439" s="508">
        <v>3.1E-2</v>
      </c>
      <c r="AE8439" s="508">
        <v>3.1E-2</v>
      </c>
      <c r="AF8439" s="508">
        <v>3.1E-2</v>
      </c>
      <c r="AG8439" s="508">
        <v>3.1E-2</v>
      </c>
      <c r="AH8439" s="508">
        <v>2.9000000000000001E-2</v>
      </c>
      <c r="AI8439" s="492">
        <v>2.9000000000000001E-2</v>
      </c>
      <c r="AJ8439" s="485"/>
    </row>
    <row r="8440" spans="2:36">
      <c r="B8440" s="136" t="s">
        <v>435</v>
      </c>
      <c r="C8440" s="132" t="s">
        <v>1372</v>
      </c>
      <c r="D8440" s="132" t="s">
        <v>1384</v>
      </c>
      <c r="E8440" s="508">
        <v>1.58</v>
      </c>
      <c r="F8440" s="508">
        <v>1.5580000000000001</v>
      </c>
      <c r="G8440" s="508">
        <v>1.554</v>
      </c>
      <c r="H8440" s="508">
        <v>1.554</v>
      </c>
      <c r="I8440" s="508">
        <v>1.5549999999999999</v>
      </c>
      <c r="J8440" s="508">
        <v>1.5529999999999999</v>
      </c>
      <c r="K8440" s="508">
        <v>1.5529999999999999</v>
      </c>
      <c r="L8440" s="508">
        <v>1.5529999999999999</v>
      </c>
      <c r="M8440" s="508">
        <v>1.5549999999999999</v>
      </c>
      <c r="N8440" s="508">
        <v>1.5549999999999999</v>
      </c>
      <c r="O8440" s="508">
        <v>1.5569999999999999</v>
      </c>
      <c r="P8440" s="508">
        <v>0.876</v>
      </c>
      <c r="Q8440" s="508">
        <v>0.86599999999999999</v>
      </c>
      <c r="R8440" s="508">
        <v>0.78200000000000003</v>
      </c>
      <c r="S8440" s="508">
        <v>0.76600000000000001</v>
      </c>
      <c r="T8440" s="508">
        <v>0.76600000000000001</v>
      </c>
      <c r="U8440" s="508">
        <v>0.69499999999999995</v>
      </c>
      <c r="V8440" s="508">
        <v>0.69499999999999995</v>
      </c>
      <c r="W8440" s="508">
        <v>0.69599999999999995</v>
      </c>
      <c r="X8440" s="508">
        <v>0.67300000000000004</v>
      </c>
      <c r="Y8440" s="508">
        <v>0.67300000000000004</v>
      </c>
      <c r="Z8440" s="508">
        <v>0.64700000000000002</v>
      </c>
      <c r="AA8440" s="508">
        <v>0.64700000000000002</v>
      </c>
      <c r="AB8440" s="508">
        <v>0.64300000000000002</v>
      </c>
      <c r="AC8440" s="508">
        <v>0.64300000000000002</v>
      </c>
      <c r="AD8440" s="508">
        <v>0.63900000000000001</v>
      </c>
      <c r="AE8440" s="508">
        <v>0.63900000000000001</v>
      </c>
      <c r="AF8440" s="508">
        <v>0.63600000000000001</v>
      </c>
      <c r="AG8440" s="508">
        <v>0.63600000000000001</v>
      </c>
      <c r="AH8440" s="508">
        <v>0.63300000000000001</v>
      </c>
      <c r="AI8440" s="492">
        <v>0.63300000000000001</v>
      </c>
      <c r="AJ8440" s="485"/>
    </row>
    <row r="8441" spans="2:36">
      <c r="B8441" s="136" t="s">
        <v>436</v>
      </c>
      <c r="C8441" s="132" t="s">
        <v>1372</v>
      </c>
      <c r="D8441" s="132" t="s">
        <v>1384</v>
      </c>
      <c r="E8441" s="508">
        <v>0.95899999999999996</v>
      </c>
      <c r="F8441" s="508">
        <v>0.49299999999999999</v>
      </c>
      <c r="G8441" s="508">
        <v>0.36699999999999999</v>
      </c>
      <c r="H8441" s="508">
        <v>0.33800000000000002</v>
      </c>
      <c r="I8441" s="508">
        <v>0.30199999999999999</v>
      </c>
      <c r="J8441" s="508">
        <v>0.14399999999999999</v>
      </c>
      <c r="K8441" s="508">
        <v>0.1</v>
      </c>
      <c r="L8441" s="508">
        <v>0.01</v>
      </c>
      <c r="M8441" s="508">
        <v>0.13900000000000001</v>
      </c>
      <c r="N8441" s="508">
        <v>0.17499999999999999</v>
      </c>
      <c r="O8441" s="508">
        <v>0.13100000000000001</v>
      </c>
      <c r="P8441" s="508">
        <v>2.1999999999999999E-2</v>
      </c>
      <c r="Q8441" s="508">
        <v>5.0000000000000001E-3</v>
      </c>
      <c r="R8441" s="508">
        <v>5.0000000000000001E-3</v>
      </c>
      <c r="S8441" s="508">
        <v>5.0000000000000001E-3</v>
      </c>
      <c r="T8441" s="508">
        <v>5.0000000000000001E-3</v>
      </c>
      <c r="U8441" s="508">
        <v>4.0000000000000001E-3</v>
      </c>
      <c r="V8441" s="508">
        <v>4.0000000000000001E-3</v>
      </c>
      <c r="W8441" s="508">
        <v>4.0000000000000001E-3</v>
      </c>
      <c r="X8441" s="508">
        <v>4.0000000000000001E-3</v>
      </c>
      <c r="Y8441" s="508">
        <v>4.0000000000000001E-3</v>
      </c>
      <c r="Z8441" s="508">
        <v>4.0000000000000001E-3</v>
      </c>
      <c r="AA8441" s="508">
        <v>4.0000000000000001E-3</v>
      </c>
      <c r="AB8441" s="508">
        <v>4.0000000000000001E-3</v>
      </c>
      <c r="AC8441" s="508">
        <v>4.0000000000000001E-3</v>
      </c>
      <c r="AD8441" s="508">
        <v>4.0000000000000001E-3</v>
      </c>
      <c r="AE8441" s="508">
        <v>4.0000000000000001E-3</v>
      </c>
      <c r="AF8441" s="508">
        <v>4.0000000000000001E-3</v>
      </c>
      <c r="AG8441" s="508">
        <v>4.0000000000000001E-3</v>
      </c>
      <c r="AH8441" s="508">
        <v>4.0000000000000001E-3</v>
      </c>
      <c r="AI8441" s="492">
        <v>4.0000000000000001E-3</v>
      </c>
      <c r="AJ8441" s="485"/>
    </row>
    <row r="8442" spans="2:36">
      <c r="B8442" s="136" t="s">
        <v>437</v>
      </c>
      <c r="C8442" s="132" t="s">
        <v>1372</v>
      </c>
      <c r="D8442" s="132" t="s">
        <v>1384</v>
      </c>
      <c r="E8442" s="508">
        <v>1.774</v>
      </c>
      <c r="F8442" s="508">
        <v>1.734</v>
      </c>
      <c r="G8442" s="508">
        <v>1.7270000000000001</v>
      </c>
      <c r="H8442" s="508">
        <v>1.726</v>
      </c>
      <c r="I8442" s="508">
        <v>1.7270000000000001</v>
      </c>
      <c r="J8442" s="508">
        <v>1.724</v>
      </c>
      <c r="K8442" s="508">
        <v>1.724</v>
      </c>
      <c r="L8442" s="508">
        <v>1.724</v>
      </c>
      <c r="M8442" s="508">
        <v>1.726</v>
      </c>
      <c r="N8442" s="508">
        <v>1.7270000000000001</v>
      </c>
      <c r="O8442" s="508">
        <v>1.728</v>
      </c>
      <c r="P8442" s="508">
        <v>0.99299999999999999</v>
      </c>
      <c r="Q8442" s="508">
        <v>0.98</v>
      </c>
      <c r="R8442" s="508">
        <v>0.86</v>
      </c>
      <c r="S8442" s="508">
        <v>0.83799999999999997</v>
      </c>
      <c r="T8442" s="508">
        <v>0.83799999999999997</v>
      </c>
      <c r="U8442" s="508">
        <v>0.76400000000000001</v>
      </c>
      <c r="V8442" s="508">
        <v>0.76400000000000001</v>
      </c>
      <c r="W8442" s="508">
        <v>0.76500000000000001</v>
      </c>
      <c r="X8442" s="508">
        <v>0.74099999999999999</v>
      </c>
      <c r="Y8442" s="508">
        <v>0.74099999999999999</v>
      </c>
      <c r="Z8442" s="508">
        <v>0.71399999999999997</v>
      </c>
      <c r="AA8442" s="508">
        <v>0.71399999999999997</v>
      </c>
      <c r="AB8442" s="508">
        <v>0.71099999999999997</v>
      </c>
      <c r="AC8442" s="508">
        <v>0.71099999999999997</v>
      </c>
      <c r="AD8442" s="508">
        <v>0.70699999999999996</v>
      </c>
      <c r="AE8442" s="508">
        <v>0.70699999999999996</v>
      </c>
      <c r="AF8442" s="508">
        <v>0.70299999999999996</v>
      </c>
      <c r="AG8442" s="508">
        <v>0.70299999999999996</v>
      </c>
      <c r="AH8442" s="508">
        <v>0.7</v>
      </c>
      <c r="AI8442" s="492">
        <v>0.7</v>
      </c>
      <c r="AJ8442" s="485"/>
    </row>
    <row r="8443" spans="2:36">
      <c r="B8443" s="136" t="s">
        <v>438</v>
      </c>
      <c r="C8443" s="132" t="s">
        <v>1372</v>
      </c>
      <c r="D8443" s="132" t="s">
        <v>1384</v>
      </c>
      <c r="E8443" s="508">
        <v>1.476</v>
      </c>
      <c r="F8443" s="508">
        <v>1.4570000000000001</v>
      </c>
      <c r="G8443" s="508">
        <v>1.454</v>
      </c>
      <c r="H8443" s="508">
        <v>1.454</v>
      </c>
      <c r="I8443" s="508">
        <v>1.4550000000000001</v>
      </c>
      <c r="J8443" s="508">
        <v>1.454</v>
      </c>
      <c r="K8443" s="508">
        <v>1.454</v>
      </c>
      <c r="L8443" s="508">
        <v>1.454</v>
      </c>
      <c r="M8443" s="508">
        <v>1.4550000000000001</v>
      </c>
      <c r="N8443" s="508">
        <v>1.456</v>
      </c>
      <c r="O8443" s="508">
        <v>1.4570000000000001</v>
      </c>
      <c r="P8443" s="508">
        <v>0.83499999999999996</v>
      </c>
      <c r="Q8443" s="508">
        <v>0.82699999999999996</v>
      </c>
      <c r="R8443" s="508">
        <v>0.751</v>
      </c>
      <c r="S8443" s="508">
        <v>0.73699999999999999</v>
      </c>
      <c r="T8443" s="508">
        <v>0.73699999999999999</v>
      </c>
      <c r="U8443" s="508">
        <v>0.67100000000000004</v>
      </c>
      <c r="V8443" s="508">
        <v>0.67100000000000004</v>
      </c>
      <c r="W8443" s="508">
        <v>0.67100000000000004</v>
      </c>
      <c r="X8443" s="508">
        <v>0.65100000000000002</v>
      </c>
      <c r="Y8443" s="508">
        <v>0.65100000000000002</v>
      </c>
      <c r="Z8443" s="508">
        <v>0.627</v>
      </c>
      <c r="AA8443" s="508">
        <v>0.627</v>
      </c>
      <c r="AB8443" s="508">
        <v>0.624</v>
      </c>
      <c r="AC8443" s="508">
        <v>0.624</v>
      </c>
      <c r="AD8443" s="508">
        <v>0.62</v>
      </c>
      <c r="AE8443" s="508">
        <v>0.62</v>
      </c>
      <c r="AF8443" s="508">
        <v>0.61699999999999999</v>
      </c>
      <c r="AG8443" s="508">
        <v>0.61699999999999999</v>
      </c>
      <c r="AH8443" s="508">
        <v>0.61399999999999999</v>
      </c>
      <c r="AI8443" s="492">
        <v>0.61399999999999999</v>
      </c>
      <c r="AJ8443" s="485"/>
    </row>
    <row r="8444" spans="2:36">
      <c r="B8444" s="136" t="s">
        <v>439</v>
      </c>
      <c r="C8444" s="132" t="s">
        <v>1372</v>
      </c>
      <c r="D8444" s="132" t="s">
        <v>1384</v>
      </c>
      <c r="E8444" s="508">
        <v>1.395</v>
      </c>
      <c r="F8444" s="508">
        <v>0.71299999999999997</v>
      </c>
      <c r="G8444" s="508">
        <v>0.53</v>
      </c>
      <c r="H8444" s="508">
        <v>0.48799999999999999</v>
      </c>
      <c r="I8444" s="508">
        <v>0.435</v>
      </c>
      <c r="J8444" s="508">
        <v>0.20699999999999999</v>
      </c>
      <c r="K8444" s="508">
        <v>0.14399999999999999</v>
      </c>
      <c r="L8444" s="508">
        <v>1.4999999999999999E-2</v>
      </c>
      <c r="M8444" s="508">
        <v>0.20100000000000001</v>
      </c>
      <c r="N8444" s="508">
        <v>0.253</v>
      </c>
      <c r="O8444" s="508">
        <v>0.189</v>
      </c>
      <c r="P8444" s="508">
        <v>3.4000000000000002E-2</v>
      </c>
      <c r="Q8444" s="508">
        <v>8.0000000000000002E-3</v>
      </c>
      <c r="R8444" s="508">
        <v>7.0000000000000001E-3</v>
      </c>
      <c r="S8444" s="508">
        <v>7.0000000000000001E-3</v>
      </c>
      <c r="T8444" s="508">
        <v>7.0000000000000001E-3</v>
      </c>
      <c r="U8444" s="508">
        <v>6.0000000000000001E-3</v>
      </c>
      <c r="V8444" s="508">
        <v>6.0000000000000001E-3</v>
      </c>
      <c r="W8444" s="508">
        <v>6.0000000000000001E-3</v>
      </c>
      <c r="X8444" s="508">
        <v>6.0000000000000001E-3</v>
      </c>
      <c r="Y8444" s="508">
        <v>6.0000000000000001E-3</v>
      </c>
      <c r="Z8444" s="508">
        <v>6.0000000000000001E-3</v>
      </c>
      <c r="AA8444" s="508">
        <v>6.0000000000000001E-3</v>
      </c>
      <c r="AB8444" s="508">
        <v>6.0000000000000001E-3</v>
      </c>
      <c r="AC8444" s="508">
        <v>6.0000000000000001E-3</v>
      </c>
      <c r="AD8444" s="508">
        <v>6.0000000000000001E-3</v>
      </c>
      <c r="AE8444" s="508">
        <v>6.0000000000000001E-3</v>
      </c>
      <c r="AF8444" s="508">
        <v>6.0000000000000001E-3</v>
      </c>
      <c r="AG8444" s="508">
        <v>6.0000000000000001E-3</v>
      </c>
      <c r="AH8444" s="508">
        <v>6.0000000000000001E-3</v>
      </c>
      <c r="AI8444" s="492">
        <v>6.0000000000000001E-3</v>
      </c>
      <c r="AJ8444" s="485"/>
    </row>
    <row r="8445" spans="2:36">
      <c r="B8445" s="136" t="s">
        <v>440</v>
      </c>
      <c r="C8445" s="132" t="s">
        <v>1372</v>
      </c>
      <c r="D8445" s="132" t="s">
        <v>1384</v>
      </c>
      <c r="E8445" s="508">
        <v>1.3160000000000001</v>
      </c>
      <c r="F8445" s="508">
        <v>1.2909999999999999</v>
      </c>
      <c r="G8445" s="508">
        <v>1.286</v>
      </c>
      <c r="H8445" s="508">
        <v>1.284</v>
      </c>
      <c r="I8445" s="508">
        <v>1.2829999999999999</v>
      </c>
      <c r="J8445" s="508">
        <v>1.2809999999999999</v>
      </c>
      <c r="K8445" s="508">
        <v>1.28</v>
      </c>
      <c r="L8445" s="508">
        <v>1.28</v>
      </c>
      <c r="M8445" s="508">
        <v>1.2809999999999999</v>
      </c>
      <c r="N8445" s="508">
        <v>1.2809999999999999</v>
      </c>
      <c r="O8445" s="508">
        <v>1.282</v>
      </c>
      <c r="P8445" s="508">
        <v>0.69599999999999995</v>
      </c>
      <c r="Q8445" s="508">
        <v>0.69</v>
      </c>
      <c r="R8445" s="508">
        <v>0.63700000000000001</v>
      </c>
      <c r="S8445" s="508">
        <v>0.628</v>
      </c>
      <c r="T8445" s="508">
        <v>0.628</v>
      </c>
      <c r="U8445" s="508">
        <v>0.56100000000000005</v>
      </c>
      <c r="V8445" s="508">
        <v>0.56100000000000005</v>
      </c>
      <c r="W8445" s="508">
        <v>0.56100000000000005</v>
      </c>
      <c r="X8445" s="508">
        <v>0.54200000000000004</v>
      </c>
      <c r="Y8445" s="508">
        <v>0.54200000000000004</v>
      </c>
      <c r="Z8445" s="508">
        <v>0.51900000000000002</v>
      </c>
      <c r="AA8445" s="508">
        <v>0.51900000000000002</v>
      </c>
      <c r="AB8445" s="508">
        <v>0.51600000000000001</v>
      </c>
      <c r="AC8445" s="508">
        <v>0.51600000000000001</v>
      </c>
      <c r="AD8445" s="508">
        <v>0.51400000000000001</v>
      </c>
      <c r="AE8445" s="508">
        <v>0.51400000000000001</v>
      </c>
      <c r="AF8445" s="508">
        <v>0.51100000000000001</v>
      </c>
      <c r="AG8445" s="508">
        <v>0.51100000000000001</v>
      </c>
      <c r="AH8445" s="508">
        <v>0.50900000000000001</v>
      </c>
      <c r="AI8445" s="492">
        <v>0.50900000000000001</v>
      </c>
      <c r="AJ8445" s="485"/>
    </row>
    <row r="8446" spans="2:36">
      <c r="B8446" s="136" t="s">
        <v>441</v>
      </c>
      <c r="C8446" s="132" t="s">
        <v>1372</v>
      </c>
      <c r="D8446" s="132" t="s">
        <v>1384</v>
      </c>
      <c r="E8446" s="508">
        <v>1.2769999999999999</v>
      </c>
      <c r="F8446" s="508">
        <v>1.27</v>
      </c>
      <c r="G8446" s="508">
        <v>1.2689999999999999</v>
      </c>
      <c r="H8446" s="508">
        <v>1.2689999999999999</v>
      </c>
      <c r="I8446" s="508">
        <v>1.2689999999999999</v>
      </c>
      <c r="J8446" s="508">
        <v>1.2689999999999999</v>
      </c>
      <c r="K8446" s="508">
        <v>1.268</v>
      </c>
      <c r="L8446" s="508">
        <v>1.268</v>
      </c>
      <c r="M8446" s="508">
        <v>1.2689999999999999</v>
      </c>
      <c r="N8446" s="508">
        <v>1.2689999999999999</v>
      </c>
      <c r="O8446" s="508">
        <v>1.2689999999999999</v>
      </c>
      <c r="P8446" s="508">
        <v>0.64900000000000002</v>
      </c>
      <c r="Q8446" s="508">
        <v>0.64200000000000002</v>
      </c>
      <c r="R8446" s="508">
        <v>0.58199999999999996</v>
      </c>
      <c r="S8446" s="508">
        <v>0.57199999999999995</v>
      </c>
      <c r="T8446" s="508">
        <v>0.57199999999999995</v>
      </c>
      <c r="U8446" s="508">
        <v>0.5</v>
      </c>
      <c r="V8446" s="508">
        <v>0.5</v>
      </c>
      <c r="W8446" s="508">
        <v>0.5</v>
      </c>
      <c r="X8446" s="508">
        <v>0.48</v>
      </c>
      <c r="Y8446" s="508">
        <v>0.48</v>
      </c>
      <c r="Z8446" s="508">
        <v>0.45400000000000001</v>
      </c>
      <c r="AA8446" s="508">
        <v>0.45400000000000001</v>
      </c>
      <c r="AB8446" s="508">
        <v>0.45100000000000001</v>
      </c>
      <c r="AC8446" s="508">
        <v>0.45100000000000001</v>
      </c>
      <c r="AD8446" s="508">
        <v>0.44800000000000001</v>
      </c>
      <c r="AE8446" s="508">
        <v>0.44800000000000001</v>
      </c>
      <c r="AF8446" s="508">
        <v>0.44500000000000001</v>
      </c>
      <c r="AG8446" s="508">
        <v>0.44500000000000001</v>
      </c>
      <c r="AH8446" s="508">
        <v>0.443</v>
      </c>
      <c r="AI8446" s="492">
        <v>0.443</v>
      </c>
      <c r="AJ8446" s="485"/>
    </row>
    <row r="8447" spans="2:36">
      <c r="B8447" s="136" t="s">
        <v>443</v>
      </c>
      <c r="C8447" s="132" t="s">
        <v>1372</v>
      </c>
      <c r="D8447" s="132" t="s">
        <v>1384</v>
      </c>
      <c r="E8447" s="508">
        <v>1.2769999999999999</v>
      </c>
      <c r="F8447" s="508">
        <v>0.65600000000000003</v>
      </c>
      <c r="G8447" s="508">
        <v>0.48799999999999999</v>
      </c>
      <c r="H8447" s="508">
        <v>0.44900000000000001</v>
      </c>
      <c r="I8447" s="508">
        <v>0.40100000000000002</v>
      </c>
      <c r="J8447" s="508">
        <v>0.191</v>
      </c>
      <c r="K8447" s="508">
        <v>0.13300000000000001</v>
      </c>
      <c r="L8447" s="508">
        <v>1.4E-2</v>
      </c>
      <c r="M8447" s="508">
        <v>0.185</v>
      </c>
      <c r="N8447" s="508">
        <v>0.23300000000000001</v>
      </c>
      <c r="O8447" s="508">
        <v>0.17399999999999999</v>
      </c>
      <c r="P8447" s="508">
        <v>0.03</v>
      </c>
      <c r="Q8447" s="508">
        <v>7.0000000000000001E-3</v>
      </c>
      <c r="R8447" s="508">
        <v>6.0000000000000001E-3</v>
      </c>
      <c r="S8447" s="508">
        <v>6.0000000000000001E-3</v>
      </c>
      <c r="T8447" s="508">
        <v>6.0000000000000001E-3</v>
      </c>
      <c r="U8447" s="508">
        <v>5.0000000000000001E-3</v>
      </c>
      <c r="V8447" s="508">
        <v>5.0000000000000001E-3</v>
      </c>
      <c r="W8447" s="508">
        <v>5.0000000000000001E-3</v>
      </c>
      <c r="X8447" s="508">
        <v>5.0000000000000001E-3</v>
      </c>
      <c r="Y8447" s="508">
        <v>5.0000000000000001E-3</v>
      </c>
      <c r="Z8447" s="508">
        <v>5.0000000000000001E-3</v>
      </c>
      <c r="AA8447" s="508">
        <v>5.0000000000000001E-3</v>
      </c>
      <c r="AB8447" s="508">
        <v>5.0000000000000001E-3</v>
      </c>
      <c r="AC8447" s="508">
        <v>5.0000000000000001E-3</v>
      </c>
      <c r="AD8447" s="508">
        <v>5.0000000000000001E-3</v>
      </c>
      <c r="AE8447" s="508">
        <v>5.0000000000000001E-3</v>
      </c>
      <c r="AF8447" s="508">
        <v>5.0000000000000001E-3</v>
      </c>
      <c r="AG8447" s="508">
        <v>5.0000000000000001E-3</v>
      </c>
      <c r="AH8447" s="508">
        <v>5.0000000000000001E-3</v>
      </c>
      <c r="AI8447" s="492">
        <v>5.0000000000000001E-3</v>
      </c>
      <c r="AJ8447" s="485"/>
    </row>
    <row r="8448" spans="2:36">
      <c r="B8448" s="136" t="s">
        <v>445</v>
      </c>
      <c r="C8448" s="132" t="s">
        <v>1372</v>
      </c>
      <c r="D8448" s="132" t="s">
        <v>1384</v>
      </c>
      <c r="E8448" s="508">
        <v>1.5069999999999999</v>
      </c>
      <c r="F8448" s="508">
        <v>1.4970000000000001</v>
      </c>
      <c r="G8448" s="508">
        <v>1.496</v>
      </c>
      <c r="H8448" s="508">
        <v>1.4950000000000001</v>
      </c>
      <c r="I8448" s="508">
        <v>1.496</v>
      </c>
      <c r="J8448" s="508">
        <v>1.496</v>
      </c>
      <c r="K8448" s="508">
        <v>1.496</v>
      </c>
      <c r="L8448" s="508">
        <v>1.4950000000000001</v>
      </c>
      <c r="M8448" s="508">
        <v>1.496</v>
      </c>
      <c r="N8448" s="508">
        <v>1.496</v>
      </c>
      <c r="O8448" s="508">
        <v>1.4970000000000001</v>
      </c>
      <c r="P8448" s="508">
        <v>0.74199999999999999</v>
      </c>
      <c r="Q8448" s="508">
        <v>0.73299999999999998</v>
      </c>
      <c r="R8448" s="508">
        <v>0.65200000000000002</v>
      </c>
      <c r="S8448" s="508">
        <v>0.63800000000000001</v>
      </c>
      <c r="T8448" s="508">
        <v>0.63800000000000001</v>
      </c>
      <c r="U8448" s="508">
        <v>0.55400000000000005</v>
      </c>
      <c r="V8448" s="508">
        <v>0.55400000000000005</v>
      </c>
      <c r="W8448" s="508">
        <v>0.55500000000000005</v>
      </c>
      <c r="X8448" s="508">
        <v>0.53</v>
      </c>
      <c r="Y8448" s="508">
        <v>0.53</v>
      </c>
      <c r="Z8448" s="508">
        <v>0.5</v>
      </c>
      <c r="AA8448" s="508">
        <v>0.5</v>
      </c>
      <c r="AB8448" s="508">
        <v>0.496</v>
      </c>
      <c r="AC8448" s="508">
        <v>0.496</v>
      </c>
      <c r="AD8448" s="508">
        <v>0.49299999999999999</v>
      </c>
      <c r="AE8448" s="508">
        <v>0.49299999999999999</v>
      </c>
      <c r="AF8448" s="508">
        <v>0.48899999999999999</v>
      </c>
      <c r="AG8448" s="508">
        <v>0.48899999999999999</v>
      </c>
      <c r="AH8448" s="508">
        <v>0.48699999999999999</v>
      </c>
      <c r="AI8448" s="492">
        <v>0.48699999999999999</v>
      </c>
      <c r="AJ8448" s="485"/>
    </row>
    <row r="8449" spans="2:36">
      <c r="B8449" s="136" t="s">
        <v>446</v>
      </c>
      <c r="C8449" s="132" t="s">
        <v>1372</v>
      </c>
      <c r="D8449" s="132" t="s">
        <v>1384</v>
      </c>
      <c r="E8449" s="508">
        <v>1.9390000000000001</v>
      </c>
      <c r="F8449" s="508">
        <v>1.913</v>
      </c>
      <c r="G8449" s="508">
        <v>1.91</v>
      </c>
      <c r="H8449" s="508">
        <v>1.911</v>
      </c>
      <c r="I8449" s="508">
        <v>1.913</v>
      </c>
      <c r="J8449" s="508">
        <v>1.9119999999999999</v>
      </c>
      <c r="K8449" s="508">
        <v>1.9119999999999999</v>
      </c>
      <c r="L8449" s="508">
        <v>1.913</v>
      </c>
      <c r="M8449" s="508">
        <v>1.915</v>
      </c>
      <c r="N8449" s="508">
        <v>1.9159999999999999</v>
      </c>
      <c r="O8449" s="508">
        <v>1.917</v>
      </c>
      <c r="P8449" s="508">
        <v>1.081</v>
      </c>
      <c r="Q8449" s="508">
        <v>1.0669999999999999</v>
      </c>
      <c r="R8449" s="508">
        <v>0.94599999999999995</v>
      </c>
      <c r="S8449" s="508">
        <v>0.92300000000000004</v>
      </c>
      <c r="T8449" s="508">
        <v>0.92300000000000004</v>
      </c>
      <c r="U8449" s="508">
        <v>0.84</v>
      </c>
      <c r="V8449" s="508">
        <v>0.84</v>
      </c>
      <c r="W8449" s="508">
        <v>0.84099999999999997</v>
      </c>
      <c r="X8449" s="508">
        <v>0.81200000000000006</v>
      </c>
      <c r="Y8449" s="508">
        <v>0.81200000000000006</v>
      </c>
      <c r="Z8449" s="508">
        <v>0.78200000000000003</v>
      </c>
      <c r="AA8449" s="508">
        <v>0.78200000000000003</v>
      </c>
      <c r="AB8449" s="508">
        <v>0.77700000000000002</v>
      </c>
      <c r="AC8449" s="508">
        <v>0.77700000000000002</v>
      </c>
      <c r="AD8449" s="508">
        <v>0.77200000000000002</v>
      </c>
      <c r="AE8449" s="508">
        <v>0.77200000000000002</v>
      </c>
      <c r="AF8449" s="508">
        <v>0.76700000000000002</v>
      </c>
      <c r="AG8449" s="508">
        <v>0.76700000000000002</v>
      </c>
      <c r="AH8449" s="508">
        <v>0.76400000000000001</v>
      </c>
      <c r="AI8449" s="492">
        <v>0.76400000000000001</v>
      </c>
      <c r="AJ8449" s="485"/>
    </row>
    <row r="8450" spans="2:36">
      <c r="B8450" s="136" t="s">
        <v>448</v>
      </c>
      <c r="C8450" s="132" t="s">
        <v>1372</v>
      </c>
      <c r="D8450" s="132" t="s">
        <v>1384</v>
      </c>
      <c r="E8450" s="508">
        <v>1.391</v>
      </c>
      <c r="F8450" s="508">
        <v>0.71</v>
      </c>
      <c r="G8450" s="508">
        <v>0.52700000000000002</v>
      </c>
      <c r="H8450" s="508">
        <v>0.48599999999999999</v>
      </c>
      <c r="I8450" s="508">
        <v>0.434</v>
      </c>
      <c r="J8450" s="508">
        <v>0.20699999999999999</v>
      </c>
      <c r="K8450" s="508">
        <v>0.14299999999999999</v>
      </c>
      <c r="L8450" s="508">
        <v>1.4999999999999999E-2</v>
      </c>
      <c r="M8450" s="508">
        <v>0.2</v>
      </c>
      <c r="N8450" s="508">
        <v>0.253</v>
      </c>
      <c r="O8450" s="508">
        <v>0.189</v>
      </c>
      <c r="P8450" s="508">
        <v>3.5999999999999997E-2</v>
      </c>
      <c r="Q8450" s="508">
        <v>8.0000000000000002E-3</v>
      </c>
      <c r="R8450" s="508">
        <v>7.0000000000000001E-3</v>
      </c>
      <c r="S8450" s="508">
        <v>7.0000000000000001E-3</v>
      </c>
      <c r="T8450" s="508">
        <v>7.0000000000000001E-3</v>
      </c>
      <c r="U8450" s="508">
        <v>7.0000000000000001E-3</v>
      </c>
      <c r="V8450" s="508">
        <v>7.0000000000000001E-3</v>
      </c>
      <c r="W8450" s="508">
        <v>7.0000000000000001E-3</v>
      </c>
      <c r="X8450" s="508">
        <v>6.0000000000000001E-3</v>
      </c>
      <c r="Y8450" s="508">
        <v>6.0000000000000001E-3</v>
      </c>
      <c r="Z8450" s="508">
        <v>6.0000000000000001E-3</v>
      </c>
      <c r="AA8450" s="508">
        <v>6.0000000000000001E-3</v>
      </c>
      <c r="AB8450" s="508">
        <v>6.0000000000000001E-3</v>
      </c>
      <c r="AC8450" s="508">
        <v>6.0000000000000001E-3</v>
      </c>
      <c r="AD8450" s="508">
        <v>6.0000000000000001E-3</v>
      </c>
      <c r="AE8450" s="508">
        <v>6.0000000000000001E-3</v>
      </c>
      <c r="AF8450" s="508">
        <v>6.0000000000000001E-3</v>
      </c>
      <c r="AG8450" s="508">
        <v>6.0000000000000001E-3</v>
      </c>
      <c r="AH8450" s="508">
        <v>6.0000000000000001E-3</v>
      </c>
      <c r="AI8450" s="492">
        <v>6.0000000000000001E-3</v>
      </c>
      <c r="AJ8450" s="485"/>
    </row>
    <row r="8451" spans="2:36">
      <c r="B8451" s="136" t="s">
        <v>449</v>
      </c>
      <c r="C8451" s="132" t="s">
        <v>1372</v>
      </c>
      <c r="D8451" s="132" t="s">
        <v>1384</v>
      </c>
      <c r="E8451" s="508">
        <v>1.925</v>
      </c>
      <c r="F8451" s="508">
        <v>1.9059999999999999</v>
      </c>
      <c r="G8451" s="508">
        <v>1.9039999999999999</v>
      </c>
      <c r="H8451" s="508">
        <v>1.9039999999999999</v>
      </c>
      <c r="I8451" s="508">
        <v>1.9059999999999999</v>
      </c>
      <c r="J8451" s="508">
        <v>1.9059999999999999</v>
      </c>
      <c r="K8451" s="508">
        <v>1.9059999999999999</v>
      </c>
      <c r="L8451" s="508">
        <v>1.9059999999999999</v>
      </c>
      <c r="M8451" s="508">
        <v>1.9079999999999999</v>
      </c>
      <c r="N8451" s="508">
        <v>1.909</v>
      </c>
      <c r="O8451" s="508">
        <v>1.91</v>
      </c>
      <c r="P8451" s="508">
        <v>1.071</v>
      </c>
      <c r="Q8451" s="508">
        <v>1.0569999999999999</v>
      </c>
      <c r="R8451" s="508">
        <v>0.93500000000000005</v>
      </c>
      <c r="S8451" s="508">
        <v>0.91200000000000003</v>
      </c>
      <c r="T8451" s="508">
        <v>0.91200000000000003</v>
      </c>
      <c r="U8451" s="508">
        <v>0.82899999999999996</v>
      </c>
      <c r="V8451" s="508">
        <v>0.82899999999999996</v>
      </c>
      <c r="W8451" s="508">
        <v>0.83</v>
      </c>
      <c r="X8451" s="508">
        <v>0.8</v>
      </c>
      <c r="Y8451" s="508">
        <v>0.8</v>
      </c>
      <c r="Z8451" s="508">
        <v>0.76900000000000002</v>
      </c>
      <c r="AA8451" s="508">
        <v>0.76900000000000002</v>
      </c>
      <c r="AB8451" s="508">
        <v>0.76400000000000001</v>
      </c>
      <c r="AC8451" s="508">
        <v>0.76400000000000001</v>
      </c>
      <c r="AD8451" s="508">
        <v>0.75800000000000001</v>
      </c>
      <c r="AE8451" s="508">
        <v>0.75800000000000001</v>
      </c>
      <c r="AF8451" s="508">
        <v>0.753</v>
      </c>
      <c r="AG8451" s="508">
        <v>0.753</v>
      </c>
      <c r="AH8451" s="508">
        <v>0.75</v>
      </c>
      <c r="AI8451" s="492">
        <v>0.75</v>
      </c>
      <c r="AJ8451" s="485"/>
    </row>
    <row r="8452" spans="2:36">
      <c r="B8452" s="136" t="s">
        <v>450</v>
      </c>
      <c r="C8452" s="132" t="s">
        <v>1372</v>
      </c>
      <c r="D8452" s="132" t="s">
        <v>1384</v>
      </c>
      <c r="E8452" s="508">
        <v>1.2529999999999999</v>
      </c>
      <c r="F8452" s="508">
        <v>1.2330000000000001</v>
      </c>
      <c r="G8452" s="508">
        <v>1.2290000000000001</v>
      </c>
      <c r="H8452" s="508">
        <v>1.228</v>
      </c>
      <c r="I8452" s="508">
        <v>1.228</v>
      </c>
      <c r="J8452" s="508">
        <v>1.226</v>
      </c>
      <c r="K8452" s="508">
        <v>1.226</v>
      </c>
      <c r="L8452" s="508">
        <v>1.2250000000000001</v>
      </c>
      <c r="M8452" s="508">
        <v>1.226</v>
      </c>
      <c r="N8452" s="508">
        <v>1.226</v>
      </c>
      <c r="O8452" s="508">
        <v>1.2270000000000001</v>
      </c>
      <c r="P8452" s="508">
        <v>0.67500000000000004</v>
      </c>
      <c r="Q8452" s="508">
        <v>0.66900000000000004</v>
      </c>
      <c r="R8452" s="508">
        <v>0.62</v>
      </c>
      <c r="S8452" s="508">
        <v>0.61199999999999999</v>
      </c>
      <c r="T8452" s="508">
        <v>0.61199999999999999</v>
      </c>
      <c r="U8452" s="508">
        <v>0.54800000000000004</v>
      </c>
      <c r="V8452" s="508">
        <v>0.54800000000000004</v>
      </c>
      <c r="W8452" s="508">
        <v>0.54900000000000004</v>
      </c>
      <c r="X8452" s="508">
        <v>0.53100000000000003</v>
      </c>
      <c r="Y8452" s="508">
        <v>0.53100000000000003</v>
      </c>
      <c r="Z8452" s="508">
        <v>0.50900000000000001</v>
      </c>
      <c r="AA8452" s="508">
        <v>0.50900000000000001</v>
      </c>
      <c r="AB8452" s="508">
        <v>0.50700000000000001</v>
      </c>
      <c r="AC8452" s="508">
        <v>0.50700000000000001</v>
      </c>
      <c r="AD8452" s="508">
        <v>0.505</v>
      </c>
      <c r="AE8452" s="508">
        <v>0.505</v>
      </c>
      <c r="AF8452" s="508">
        <v>0.503</v>
      </c>
      <c r="AG8452" s="508">
        <v>0.503</v>
      </c>
      <c r="AH8452" s="508">
        <v>0.501</v>
      </c>
      <c r="AI8452" s="492">
        <v>0.501</v>
      </c>
      <c r="AJ8452" s="485"/>
    </row>
    <row r="8453" spans="2:36">
      <c r="B8453" s="136" t="s">
        <v>451</v>
      </c>
      <c r="C8453" s="132" t="s">
        <v>1372</v>
      </c>
      <c r="D8453" s="132" t="s">
        <v>1384</v>
      </c>
      <c r="E8453" s="508">
        <v>1.33</v>
      </c>
      <c r="F8453" s="508">
        <v>0.68200000000000005</v>
      </c>
      <c r="G8453" s="508">
        <v>0.50700000000000001</v>
      </c>
      <c r="H8453" s="508">
        <v>0.46700000000000003</v>
      </c>
      <c r="I8453" s="508">
        <v>0.41699999999999998</v>
      </c>
      <c r="J8453" s="508">
        <v>0.19900000000000001</v>
      </c>
      <c r="K8453" s="508">
        <v>0.13800000000000001</v>
      </c>
      <c r="L8453" s="508">
        <v>1.4E-2</v>
      </c>
      <c r="M8453" s="508">
        <v>0.192</v>
      </c>
      <c r="N8453" s="508">
        <v>0.24299999999999999</v>
      </c>
      <c r="O8453" s="508">
        <v>0.18099999999999999</v>
      </c>
      <c r="P8453" s="508">
        <v>3.1E-2</v>
      </c>
      <c r="Q8453" s="508">
        <v>7.0000000000000001E-3</v>
      </c>
      <c r="R8453" s="508">
        <v>6.0000000000000001E-3</v>
      </c>
      <c r="S8453" s="508">
        <v>6.0000000000000001E-3</v>
      </c>
      <c r="T8453" s="508">
        <v>6.0000000000000001E-3</v>
      </c>
      <c r="U8453" s="508">
        <v>6.0000000000000001E-3</v>
      </c>
      <c r="V8453" s="508">
        <v>6.0000000000000001E-3</v>
      </c>
      <c r="W8453" s="508">
        <v>6.0000000000000001E-3</v>
      </c>
      <c r="X8453" s="508">
        <v>5.0000000000000001E-3</v>
      </c>
      <c r="Y8453" s="508">
        <v>5.0000000000000001E-3</v>
      </c>
      <c r="Z8453" s="508">
        <v>5.0000000000000001E-3</v>
      </c>
      <c r="AA8453" s="508">
        <v>5.0000000000000001E-3</v>
      </c>
      <c r="AB8453" s="508">
        <v>5.0000000000000001E-3</v>
      </c>
      <c r="AC8453" s="508">
        <v>5.0000000000000001E-3</v>
      </c>
      <c r="AD8453" s="508">
        <v>5.0000000000000001E-3</v>
      </c>
      <c r="AE8453" s="508">
        <v>5.0000000000000001E-3</v>
      </c>
      <c r="AF8453" s="508">
        <v>5.0000000000000001E-3</v>
      </c>
      <c r="AG8453" s="508">
        <v>5.0000000000000001E-3</v>
      </c>
      <c r="AH8453" s="508">
        <v>5.0000000000000001E-3</v>
      </c>
      <c r="AI8453" s="492">
        <v>5.0000000000000001E-3</v>
      </c>
      <c r="AJ8453" s="485"/>
    </row>
    <row r="8454" spans="2:36">
      <c r="B8454" s="136" t="s">
        <v>452</v>
      </c>
      <c r="C8454" s="132" t="s">
        <v>1372</v>
      </c>
      <c r="D8454" s="132" t="s">
        <v>1384</v>
      </c>
      <c r="E8454" s="508">
        <v>1.373</v>
      </c>
      <c r="F8454" s="508">
        <v>1.36</v>
      </c>
      <c r="G8454" s="508">
        <v>1.3580000000000001</v>
      </c>
      <c r="H8454" s="508">
        <v>1.3580000000000001</v>
      </c>
      <c r="I8454" s="508">
        <v>1.3580000000000001</v>
      </c>
      <c r="J8454" s="508">
        <v>1.357</v>
      </c>
      <c r="K8454" s="508">
        <v>1.357</v>
      </c>
      <c r="L8454" s="508">
        <v>1.3560000000000001</v>
      </c>
      <c r="M8454" s="508">
        <v>1.357</v>
      </c>
      <c r="N8454" s="508">
        <v>1.3580000000000001</v>
      </c>
      <c r="O8454" s="508">
        <v>1.3580000000000001</v>
      </c>
      <c r="P8454" s="508">
        <v>0.73299999999999998</v>
      </c>
      <c r="Q8454" s="508">
        <v>0.72599999999999998</v>
      </c>
      <c r="R8454" s="508">
        <v>0.66600000000000004</v>
      </c>
      <c r="S8454" s="508">
        <v>0.65600000000000003</v>
      </c>
      <c r="T8454" s="508">
        <v>0.65600000000000003</v>
      </c>
      <c r="U8454" s="508">
        <v>0.58599999999999997</v>
      </c>
      <c r="V8454" s="508">
        <v>0.58599999999999997</v>
      </c>
      <c r="W8454" s="508">
        <v>0.58599999999999997</v>
      </c>
      <c r="X8454" s="508">
        <v>0.56599999999999995</v>
      </c>
      <c r="Y8454" s="508">
        <v>0.56599999999999995</v>
      </c>
      <c r="Z8454" s="508">
        <v>0.54100000000000004</v>
      </c>
      <c r="AA8454" s="508">
        <v>0.54100000000000004</v>
      </c>
      <c r="AB8454" s="508">
        <v>0.53900000000000003</v>
      </c>
      <c r="AC8454" s="508">
        <v>0.53900000000000003</v>
      </c>
      <c r="AD8454" s="508">
        <v>0.53600000000000003</v>
      </c>
      <c r="AE8454" s="508">
        <v>0.53600000000000003</v>
      </c>
      <c r="AF8454" s="508">
        <v>0.53300000000000003</v>
      </c>
      <c r="AG8454" s="508">
        <v>0.53300000000000003</v>
      </c>
      <c r="AH8454" s="508">
        <v>0.53100000000000003</v>
      </c>
      <c r="AI8454" s="492">
        <v>0.53100000000000003</v>
      </c>
      <c r="AJ8454" s="485"/>
    </row>
    <row r="8455" spans="2:36">
      <c r="B8455" s="136" t="s">
        <v>453</v>
      </c>
      <c r="C8455" s="132" t="s">
        <v>1372</v>
      </c>
      <c r="D8455" s="132" t="s">
        <v>1384</v>
      </c>
      <c r="E8455" s="508">
        <v>1.2330000000000001</v>
      </c>
      <c r="F8455" s="508">
        <v>1.2210000000000001</v>
      </c>
      <c r="G8455" s="508">
        <v>1.2190000000000001</v>
      </c>
      <c r="H8455" s="508">
        <v>1.2190000000000001</v>
      </c>
      <c r="I8455" s="508">
        <v>1.2190000000000001</v>
      </c>
      <c r="J8455" s="508">
        <v>1.218</v>
      </c>
      <c r="K8455" s="508">
        <v>1.218</v>
      </c>
      <c r="L8455" s="508">
        <v>1.218</v>
      </c>
      <c r="M8455" s="508">
        <v>1.2190000000000001</v>
      </c>
      <c r="N8455" s="508">
        <v>1.2190000000000001</v>
      </c>
      <c r="O8455" s="508">
        <v>1.22</v>
      </c>
      <c r="P8455" s="508">
        <v>0.66500000000000004</v>
      </c>
      <c r="Q8455" s="508">
        <v>0.65900000000000003</v>
      </c>
      <c r="R8455" s="508">
        <v>0.60799999999999998</v>
      </c>
      <c r="S8455" s="508">
        <v>0.59899999999999998</v>
      </c>
      <c r="T8455" s="508">
        <v>0.59899999999999998</v>
      </c>
      <c r="U8455" s="508">
        <v>0.53600000000000003</v>
      </c>
      <c r="V8455" s="508">
        <v>0.53600000000000003</v>
      </c>
      <c r="W8455" s="508">
        <v>0.53600000000000003</v>
      </c>
      <c r="X8455" s="508">
        <v>0.51900000000000002</v>
      </c>
      <c r="Y8455" s="508">
        <v>0.51900000000000002</v>
      </c>
      <c r="Z8455" s="508">
        <v>0.497</v>
      </c>
      <c r="AA8455" s="508">
        <v>0.497</v>
      </c>
      <c r="AB8455" s="508">
        <v>0.49399999999999999</v>
      </c>
      <c r="AC8455" s="508">
        <v>0.49399999999999999</v>
      </c>
      <c r="AD8455" s="508">
        <v>0.49199999999999999</v>
      </c>
      <c r="AE8455" s="508">
        <v>0.49199999999999999</v>
      </c>
      <c r="AF8455" s="508">
        <v>0.49</v>
      </c>
      <c r="AG8455" s="508">
        <v>0.49</v>
      </c>
      <c r="AH8455" s="508">
        <v>0.48699999999999999</v>
      </c>
      <c r="AI8455" s="492">
        <v>0.48699999999999999</v>
      </c>
      <c r="AJ8455" s="485"/>
    </row>
    <row r="8456" spans="2:36">
      <c r="B8456" s="136" t="s">
        <v>454</v>
      </c>
      <c r="C8456" s="132" t="s">
        <v>1372</v>
      </c>
      <c r="D8456" s="132" t="s">
        <v>1384</v>
      </c>
      <c r="E8456" s="508">
        <v>1.282</v>
      </c>
      <c r="F8456" s="508">
        <v>0.65400000000000003</v>
      </c>
      <c r="G8456" s="508">
        <v>0.48599999999999999</v>
      </c>
      <c r="H8456" s="508">
        <v>0.44700000000000001</v>
      </c>
      <c r="I8456" s="508">
        <v>0.39900000000000002</v>
      </c>
      <c r="J8456" s="508">
        <v>0.19</v>
      </c>
      <c r="K8456" s="508">
        <v>0.13200000000000001</v>
      </c>
      <c r="L8456" s="508">
        <v>1.4E-2</v>
      </c>
      <c r="M8456" s="508">
        <v>0.184</v>
      </c>
      <c r="N8456" s="508">
        <v>0.23300000000000001</v>
      </c>
      <c r="O8456" s="508">
        <v>0.17399999999999999</v>
      </c>
      <c r="P8456" s="508">
        <v>3.2000000000000001E-2</v>
      </c>
      <c r="Q8456" s="508">
        <v>7.0000000000000001E-3</v>
      </c>
      <c r="R8456" s="508">
        <v>7.0000000000000001E-3</v>
      </c>
      <c r="S8456" s="508">
        <v>7.0000000000000001E-3</v>
      </c>
      <c r="T8456" s="508">
        <v>7.0000000000000001E-3</v>
      </c>
      <c r="U8456" s="508">
        <v>6.0000000000000001E-3</v>
      </c>
      <c r="V8456" s="508">
        <v>6.0000000000000001E-3</v>
      </c>
      <c r="W8456" s="508">
        <v>6.0000000000000001E-3</v>
      </c>
      <c r="X8456" s="508">
        <v>6.0000000000000001E-3</v>
      </c>
      <c r="Y8456" s="508">
        <v>6.0000000000000001E-3</v>
      </c>
      <c r="Z8456" s="508">
        <v>6.0000000000000001E-3</v>
      </c>
      <c r="AA8456" s="508">
        <v>6.0000000000000001E-3</v>
      </c>
      <c r="AB8456" s="508">
        <v>6.0000000000000001E-3</v>
      </c>
      <c r="AC8456" s="508">
        <v>6.0000000000000001E-3</v>
      </c>
      <c r="AD8456" s="508">
        <v>6.0000000000000001E-3</v>
      </c>
      <c r="AE8456" s="508">
        <v>6.0000000000000001E-3</v>
      </c>
      <c r="AF8456" s="508">
        <v>6.0000000000000001E-3</v>
      </c>
      <c r="AG8456" s="508">
        <v>6.0000000000000001E-3</v>
      </c>
      <c r="AH8456" s="508">
        <v>5.0000000000000001E-3</v>
      </c>
      <c r="AI8456" s="492">
        <v>5.0000000000000001E-3</v>
      </c>
      <c r="AJ8456" s="485"/>
    </row>
    <row r="8457" spans="2:36">
      <c r="B8457" s="136" t="s">
        <v>455</v>
      </c>
      <c r="C8457" s="132" t="s">
        <v>1372</v>
      </c>
      <c r="D8457" s="132" t="s">
        <v>1384</v>
      </c>
      <c r="E8457" s="508">
        <v>1.343</v>
      </c>
      <c r="F8457" s="508">
        <v>1.329</v>
      </c>
      <c r="G8457" s="508">
        <v>1.327</v>
      </c>
      <c r="H8457" s="508">
        <v>1.3260000000000001</v>
      </c>
      <c r="I8457" s="508">
        <v>1.327</v>
      </c>
      <c r="J8457" s="508">
        <v>1.3260000000000001</v>
      </c>
      <c r="K8457" s="508">
        <v>1.3260000000000001</v>
      </c>
      <c r="L8457" s="508">
        <v>1.325</v>
      </c>
      <c r="M8457" s="508">
        <v>1.327</v>
      </c>
      <c r="N8457" s="508">
        <v>1.327</v>
      </c>
      <c r="O8457" s="508">
        <v>1.3280000000000001</v>
      </c>
      <c r="P8457" s="508">
        <v>0.755</v>
      </c>
      <c r="Q8457" s="508">
        <v>0.748</v>
      </c>
      <c r="R8457" s="508">
        <v>0.68500000000000005</v>
      </c>
      <c r="S8457" s="508">
        <v>0.67400000000000004</v>
      </c>
      <c r="T8457" s="508">
        <v>0.67400000000000004</v>
      </c>
      <c r="U8457" s="508">
        <v>0.61</v>
      </c>
      <c r="V8457" s="508">
        <v>0.61</v>
      </c>
      <c r="W8457" s="508">
        <v>0.61</v>
      </c>
      <c r="X8457" s="508">
        <v>0.59099999999999997</v>
      </c>
      <c r="Y8457" s="508">
        <v>0.59099999999999997</v>
      </c>
      <c r="Z8457" s="508">
        <v>0.56899999999999995</v>
      </c>
      <c r="AA8457" s="508">
        <v>0.56899999999999995</v>
      </c>
      <c r="AB8457" s="508">
        <v>0.56599999999999995</v>
      </c>
      <c r="AC8457" s="508">
        <v>0.56599999999999995</v>
      </c>
      <c r="AD8457" s="508">
        <v>0.56299999999999994</v>
      </c>
      <c r="AE8457" s="508">
        <v>0.56299999999999994</v>
      </c>
      <c r="AF8457" s="508">
        <v>0.56000000000000005</v>
      </c>
      <c r="AG8457" s="508">
        <v>0.56000000000000005</v>
      </c>
      <c r="AH8457" s="508">
        <v>0.55700000000000005</v>
      </c>
      <c r="AI8457" s="492">
        <v>0.55700000000000005</v>
      </c>
      <c r="AJ8457" s="485"/>
    </row>
    <row r="8458" spans="2:36">
      <c r="B8458" s="136" t="s">
        <v>456</v>
      </c>
      <c r="C8458" s="132" t="s">
        <v>1372</v>
      </c>
      <c r="D8458" s="132" t="s">
        <v>1384</v>
      </c>
      <c r="E8458" s="508">
        <v>1.679</v>
      </c>
      <c r="F8458" s="508">
        <v>1.6559999999999999</v>
      </c>
      <c r="G8458" s="508">
        <v>1.653</v>
      </c>
      <c r="H8458" s="508">
        <v>1.6539999999999999</v>
      </c>
      <c r="I8458" s="508">
        <v>1.655</v>
      </c>
      <c r="J8458" s="508">
        <v>1.6539999999999999</v>
      </c>
      <c r="K8458" s="508">
        <v>1.6539999999999999</v>
      </c>
      <c r="L8458" s="508">
        <v>1.655</v>
      </c>
      <c r="M8458" s="508">
        <v>1.657</v>
      </c>
      <c r="N8458" s="508">
        <v>1.657</v>
      </c>
      <c r="O8458" s="508">
        <v>1.659</v>
      </c>
      <c r="P8458" s="508">
        <v>0.95499999999999996</v>
      </c>
      <c r="Q8458" s="508">
        <v>0.94399999999999995</v>
      </c>
      <c r="R8458" s="508">
        <v>0.84699999999999998</v>
      </c>
      <c r="S8458" s="508">
        <v>0.82899999999999996</v>
      </c>
      <c r="T8458" s="508">
        <v>0.82899999999999996</v>
      </c>
      <c r="U8458" s="508">
        <v>0.75700000000000001</v>
      </c>
      <c r="V8458" s="508">
        <v>0.75700000000000001</v>
      </c>
      <c r="W8458" s="508">
        <v>0.75800000000000001</v>
      </c>
      <c r="X8458" s="508">
        <v>0.73399999999999999</v>
      </c>
      <c r="Y8458" s="508">
        <v>0.73399999999999999</v>
      </c>
      <c r="Z8458" s="508">
        <v>0.70699999999999996</v>
      </c>
      <c r="AA8458" s="508">
        <v>0.70699999999999996</v>
      </c>
      <c r="AB8458" s="508">
        <v>0.70399999999999996</v>
      </c>
      <c r="AC8458" s="508">
        <v>0.70399999999999996</v>
      </c>
      <c r="AD8458" s="508">
        <v>0.69899999999999995</v>
      </c>
      <c r="AE8458" s="508">
        <v>0.69899999999999995</v>
      </c>
      <c r="AF8458" s="508">
        <v>0.69599999999999995</v>
      </c>
      <c r="AG8458" s="508">
        <v>0.69599999999999995</v>
      </c>
      <c r="AH8458" s="508">
        <v>0.69199999999999995</v>
      </c>
      <c r="AI8458" s="492">
        <v>0.69199999999999995</v>
      </c>
      <c r="AJ8458" s="485"/>
    </row>
    <row r="8459" spans="2:36">
      <c r="B8459" s="136" t="s">
        <v>457</v>
      </c>
      <c r="C8459" s="132" t="s">
        <v>1372</v>
      </c>
      <c r="D8459" s="132" t="s">
        <v>1384</v>
      </c>
      <c r="E8459" s="508">
        <v>1.022</v>
      </c>
      <c r="F8459" s="508">
        <v>0.52400000000000002</v>
      </c>
      <c r="G8459" s="508">
        <v>0.39</v>
      </c>
      <c r="H8459" s="508">
        <v>0.35899999999999999</v>
      </c>
      <c r="I8459" s="508">
        <v>0.32100000000000001</v>
      </c>
      <c r="J8459" s="508">
        <v>0.153</v>
      </c>
      <c r="K8459" s="508">
        <v>0.106</v>
      </c>
      <c r="L8459" s="508">
        <v>1.0999999999999999E-2</v>
      </c>
      <c r="M8459" s="508">
        <v>0.14799999999999999</v>
      </c>
      <c r="N8459" s="508">
        <v>0.187</v>
      </c>
      <c r="O8459" s="508">
        <v>0.13900000000000001</v>
      </c>
      <c r="P8459" s="508">
        <v>2.5000000000000001E-2</v>
      </c>
      <c r="Q8459" s="508">
        <v>6.0000000000000001E-3</v>
      </c>
      <c r="R8459" s="508">
        <v>5.0000000000000001E-3</v>
      </c>
      <c r="S8459" s="508">
        <v>5.0000000000000001E-3</v>
      </c>
      <c r="T8459" s="508">
        <v>5.0000000000000001E-3</v>
      </c>
      <c r="U8459" s="508">
        <v>5.0000000000000001E-3</v>
      </c>
      <c r="V8459" s="508">
        <v>5.0000000000000001E-3</v>
      </c>
      <c r="W8459" s="508">
        <v>5.0000000000000001E-3</v>
      </c>
      <c r="X8459" s="508">
        <v>4.0000000000000001E-3</v>
      </c>
      <c r="Y8459" s="508">
        <v>4.0000000000000001E-3</v>
      </c>
      <c r="Z8459" s="508">
        <v>4.0000000000000001E-3</v>
      </c>
      <c r="AA8459" s="508">
        <v>4.0000000000000001E-3</v>
      </c>
      <c r="AB8459" s="508">
        <v>4.0000000000000001E-3</v>
      </c>
      <c r="AC8459" s="508">
        <v>4.0000000000000001E-3</v>
      </c>
      <c r="AD8459" s="508">
        <v>4.0000000000000001E-3</v>
      </c>
      <c r="AE8459" s="508">
        <v>4.0000000000000001E-3</v>
      </c>
      <c r="AF8459" s="508">
        <v>4.0000000000000001E-3</v>
      </c>
      <c r="AG8459" s="508">
        <v>4.0000000000000001E-3</v>
      </c>
      <c r="AH8459" s="508">
        <v>4.0000000000000001E-3</v>
      </c>
      <c r="AI8459" s="492">
        <v>4.0000000000000001E-3</v>
      </c>
      <c r="AJ8459" s="485"/>
    </row>
    <row r="8460" spans="2:36">
      <c r="B8460" s="136" t="s">
        <v>458</v>
      </c>
      <c r="C8460" s="132" t="s">
        <v>1372</v>
      </c>
      <c r="D8460" s="132" t="s">
        <v>1384</v>
      </c>
      <c r="E8460" s="508">
        <v>1.345</v>
      </c>
      <c r="F8460" s="508">
        <v>1.3360000000000001</v>
      </c>
      <c r="G8460" s="508">
        <v>1.335</v>
      </c>
      <c r="H8460" s="508">
        <v>1.3340000000000001</v>
      </c>
      <c r="I8460" s="508">
        <v>1.335</v>
      </c>
      <c r="J8460" s="508">
        <v>1.335</v>
      </c>
      <c r="K8460" s="508">
        <v>1.335</v>
      </c>
      <c r="L8460" s="508">
        <v>1.3340000000000001</v>
      </c>
      <c r="M8460" s="508">
        <v>1.335</v>
      </c>
      <c r="N8460" s="508">
        <v>1.335</v>
      </c>
      <c r="O8460" s="508">
        <v>1.3360000000000001</v>
      </c>
      <c r="P8460" s="508">
        <v>0.70699999999999996</v>
      </c>
      <c r="Q8460" s="508">
        <v>0.69899999999999995</v>
      </c>
      <c r="R8460" s="508">
        <v>0.63</v>
      </c>
      <c r="S8460" s="508">
        <v>0.61699999999999999</v>
      </c>
      <c r="T8460" s="508">
        <v>0.61699999999999999</v>
      </c>
      <c r="U8460" s="508">
        <v>0.54600000000000004</v>
      </c>
      <c r="V8460" s="508">
        <v>0.54600000000000004</v>
      </c>
      <c r="W8460" s="508">
        <v>0.54600000000000004</v>
      </c>
      <c r="X8460" s="508">
        <v>0.52600000000000002</v>
      </c>
      <c r="Y8460" s="508">
        <v>0.52600000000000002</v>
      </c>
      <c r="Z8460" s="508">
        <v>0.5</v>
      </c>
      <c r="AA8460" s="508">
        <v>0.5</v>
      </c>
      <c r="AB8460" s="508">
        <v>0.497</v>
      </c>
      <c r="AC8460" s="508">
        <v>0.497</v>
      </c>
      <c r="AD8460" s="508">
        <v>0.49299999999999999</v>
      </c>
      <c r="AE8460" s="508">
        <v>0.49299999999999999</v>
      </c>
      <c r="AF8460" s="508">
        <v>0.49</v>
      </c>
      <c r="AG8460" s="508">
        <v>0.49</v>
      </c>
      <c r="AH8460" s="508">
        <v>0.48799999999999999</v>
      </c>
      <c r="AI8460" s="492">
        <v>0.48799999999999999</v>
      </c>
      <c r="AJ8460" s="485"/>
    </row>
    <row r="8461" spans="2:36">
      <c r="B8461" s="136" t="s">
        <v>459</v>
      </c>
      <c r="C8461" s="132" t="s">
        <v>1372</v>
      </c>
      <c r="D8461" s="132" t="s">
        <v>1384</v>
      </c>
      <c r="E8461" s="508">
        <v>1.2130000000000001</v>
      </c>
      <c r="F8461" s="508">
        <v>1.2070000000000001</v>
      </c>
      <c r="G8461" s="508">
        <v>1.206</v>
      </c>
      <c r="H8461" s="508">
        <v>1.2050000000000001</v>
      </c>
      <c r="I8461" s="508">
        <v>1.2050000000000001</v>
      </c>
      <c r="J8461" s="508">
        <v>1.2050000000000001</v>
      </c>
      <c r="K8461" s="508">
        <v>1.2050000000000001</v>
      </c>
      <c r="L8461" s="508">
        <v>1.204</v>
      </c>
      <c r="M8461" s="508">
        <v>1.2050000000000001</v>
      </c>
      <c r="N8461" s="508">
        <v>1.2050000000000001</v>
      </c>
      <c r="O8461" s="508">
        <v>1.206</v>
      </c>
      <c r="P8461" s="508">
        <v>0.61399999999999999</v>
      </c>
      <c r="Q8461" s="508">
        <v>0.60699999999999998</v>
      </c>
      <c r="R8461" s="508">
        <v>0.55400000000000005</v>
      </c>
      <c r="S8461" s="508">
        <v>0.54400000000000004</v>
      </c>
      <c r="T8461" s="508">
        <v>0.54400000000000004</v>
      </c>
      <c r="U8461" s="508">
        <v>0.47499999999999998</v>
      </c>
      <c r="V8461" s="508">
        <v>0.47499999999999998</v>
      </c>
      <c r="W8461" s="508">
        <v>0.47499999999999998</v>
      </c>
      <c r="X8461" s="508">
        <v>0.45600000000000002</v>
      </c>
      <c r="Y8461" s="508">
        <v>0.45600000000000002</v>
      </c>
      <c r="Z8461" s="508">
        <v>0.43099999999999999</v>
      </c>
      <c r="AA8461" s="508">
        <v>0.43099999999999999</v>
      </c>
      <c r="AB8461" s="508">
        <v>0.42899999999999999</v>
      </c>
      <c r="AC8461" s="508">
        <v>0.42899999999999999</v>
      </c>
      <c r="AD8461" s="508">
        <v>0.42599999999999999</v>
      </c>
      <c r="AE8461" s="508">
        <v>0.42599999999999999</v>
      </c>
      <c r="AF8461" s="508">
        <v>0.42299999999999999</v>
      </c>
      <c r="AG8461" s="508">
        <v>0.42299999999999999</v>
      </c>
      <c r="AH8461" s="508">
        <v>0.42099999999999999</v>
      </c>
      <c r="AI8461" s="492">
        <v>0.42099999999999999</v>
      </c>
      <c r="AJ8461" s="485"/>
    </row>
    <row r="8462" spans="2:36">
      <c r="B8462" s="136" t="s">
        <v>460</v>
      </c>
      <c r="C8462" s="132" t="s">
        <v>1372</v>
      </c>
      <c r="D8462" s="132" t="s">
        <v>1384</v>
      </c>
      <c r="E8462" s="508">
        <v>1.194</v>
      </c>
      <c r="F8462" s="508">
        <v>0.61199999999999999</v>
      </c>
      <c r="G8462" s="508">
        <v>0.45500000000000002</v>
      </c>
      <c r="H8462" s="508">
        <v>0.41899999999999998</v>
      </c>
      <c r="I8462" s="508">
        <v>0.374</v>
      </c>
      <c r="J8462" s="508">
        <v>0.17799999999999999</v>
      </c>
      <c r="K8462" s="508">
        <v>0.124</v>
      </c>
      <c r="L8462" s="508">
        <v>1.2999999999999999E-2</v>
      </c>
      <c r="M8462" s="508">
        <v>0.17199999999999999</v>
      </c>
      <c r="N8462" s="508">
        <v>0.218</v>
      </c>
      <c r="O8462" s="508">
        <v>0.16200000000000001</v>
      </c>
      <c r="P8462" s="508">
        <v>2.9000000000000001E-2</v>
      </c>
      <c r="Q8462" s="508">
        <v>7.0000000000000001E-3</v>
      </c>
      <c r="R8462" s="508">
        <v>6.0000000000000001E-3</v>
      </c>
      <c r="S8462" s="508">
        <v>6.0000000000000001E-3</v>
      </c>
      <c r="T8462" s="508">
        <v>6.0000000000000001E-3</v>
      </c>
      <c r="U8462" s="508">
        <v>5.0000000000000001E-3</v>
      </c>
      <c r="V8462" s="508">
        <v>5.0000000000000001E-3</v>
      </c>
      <c r="W8462" s="508">
        <v>5.0000000000000001E-3</v>
      </c>
      <c r="X8462" s="508">
        <v>5.0000000000000001E-3</v>
      </c>
      <c r="Y8462" s="508">
        <v>5.0000000000000001E-3</v>
      </c>
      <c r="Z8462" s="508">
        <v>5.0000000000000001E-3</v>
      </c>
      <c r="AA8462" s="508">
        <v>5.0000000000000001E-3</v>
      </c>
      <c r="AB8462" s="508">
        <v>5.0000000000000001E-3</v>
      </c>
      <c r="AC8462" s="508">
        <v>5.0000000000000001E-3</v>
      </c>
      <c r="AD8462" s="508">
        <v>5.0000000000000001E-3</v>
      </c>
      <c r="AE8462" s="508">
        <v>5.0000000000000001E-3</v>
      </c>
      <c r="AF8462" s="508">
        <v>5.0000000000000001E-3</v>
      </c>
      <c r="AG8462" s="508">
        <v>5.0000000000000001E-3</v>
      </c>
      <c r="AH8462" s="508">
        <v>5.0000000000000001E-3</v>
      </c>
      <c r="AI8462" s="492">
        <v>5.0000000000000001E-3</v>
      </c>
      <c r="AJ8462" s="485"/>
    </row>
    <row r="8463" spans="2:36">
      <c r="B8463" s="136" t="s">
        <v>461</v>
      </c>
      <c r="C8463" s="132" t="s">
        <v>1372</v>
      </c>
      <c r="D8463" s="132" t="s">
        <v>1384</v>
      </c>
      <c r="E8463" s="508">
        <v>1.2490000000000001</v>
      </c>
      <c r="F8463" s="508">
        <v>1.2390000000000001</v>
      </c>
      <c r="G8463" s="508">
        <v>1.2370000000000001</v>
      </c>
      <c r="H8463" s="508">
        <v>1.236</v>
      </c>
      <c r="I8463" s="508">
        <v>1.236</v>
      </c>
      <c r="J8463" s="508">
        <v>1.236</v>
      </c>
      <c r="K8463" s="508">
        <v>1.236</v>
      </c>
      <c r="L8463" s="508">
        <v>1.2350000000000001</v>
      </c>
      <c r="M8463" s="508">
        <v>1.236</v>
      </c>
      <c r="N8463" s="508">
        <v>1.236</v>
      </c>
      <c r="O8463" s="508">
        <v>1.236</v>
      </c>
      <c r="P8463" s="508">
        <v>0.67</v>
      </c>
      <c r="Q8463" s="508">
        <v>0.66500000000000004</v>
      </c>
      <c r="R8463" s="508">
        <v>0.61699999999999999</v>
      </c>
      <c r="S8463" s="508">
        <v>0.60899999999999999</v>
      </c>
      <c r="T8463" s="508">
        <v>0.60899999999999999</v>
      </c>
      <c r="U8463" s="508">
        <v>0.54300000000000004</v>
      </c>
      <c r="V8463" s="508">
        <v>0.54300000000000004</v>
      </c>
      <c r="W8463" s="508">
        <v>0.54400000000000004</v>
      </c>
      <c r="X8463" s="508">
        <v>0.52600000000000002</v>
      </c>
      <c r="Y8463" s="508">
        <v>0.52600000000000002</v>
      </c>
      <c r="Z8463" s="508">
        <v>0.503</v>
      </c>
      <c r="AA8463" s="508">
        <v>0.503</v>
      </c>
      <c r="AB8463" s="508">
        <v>0.501</v>
      </c>
      <c r="AC8463" s="508">
        <v>0.501</v>
      </c>
      <c r="AD8463" s="508">
        <v>0.498</v>
      </c>
      <c r="AE8463" s="508">
        <v>0.498</v>
      </c>
      <c r="AF8463" s="508">
        <v>0.496</v>
      </c>
      <c r="AG8463" s="508">
        <v>0.496</v>
      </c>
      <c r="AH8463" s="508">
        <v>0.49399999999999999</v>
      </c>
      <c r="AI8463" s="492">
        <v>0.49399999999999999</v>
      </c>
      <c r="AJ8463" s="485"/>
    </row>
    <row r="8464" spans="2:36">
      <c r="B8464" s="136" t="s">
        <v>462</v>
      </c>
      <c r="C8464" s="132" t="s">
        <v>1372</v>
      </c>
      <c r="D8464" s="132" t="s">
        <v>1384</v>
      </c>
      <c r="E8464" s="508">
        <v>1.5760000000000001</v>
      </c>
      <c r="F8464" s="508">
        <v>1.554</v>
      </c>
      <c r="G8464" s="508">
        <v>1.55</v>
      </c>
      <c r="H8464" s="508">
        <v>1.55</v>
      </c>
      <c r="I8464" s="508">
        <v>1.552</v>
      </c>
      <c r="J8464" s="508">
        <v>1.55</v>
      </c>
      <c r="K8464" s="508">
        <v>1.55</v>
      </c>
      <c r="L8464" s="508">
        <v>1.55</v>
      </c>
      <c r="M8464" s="508">
        <v>1.552</v>
      </c>
      <c r="N8464" s="508">
        <v>1.5529999999999999</v>
      </c>
      <c r="O8464" s="508">
        <v>1.554</v>
      </c>
      <c r="P8464" s="508">
        <v>0.89</v>
      </c>
      <c r="Q8464" s="508">
        <v>0.88</v>
      </c>
      <c r="R8464" s="508">
        <v>0.79500000000000004</v>
      </c>
      <c r="S8464" s="508">
        <v>0.77900000000000003</v>
      </c>
      <c r="T8464" s="508">
        <v>0.77900000000000003</v>
      </c>
      <c r="U8464" s="508">
        <v>0.71</v>
      </c>
      <c r="V8464" s="508">
        <v>0.71</v>
      </c>
      <c r="W8464" s="508">
        <v>0.71099999999999997</v>
      </c>
      <c r="X8464" s="508">
        <v>0.68799999999999994</v>
      </c>
      <c r="Y8464" s="508">
        <v>0.68799999999999994</v>
      </c>
      <c r="Z8464" s="508">
        <v>0.66300000000000003</v>
      </c>
      <c r="AA8464" s="508">
        <v>0.66300000000000003</v>
      </c>
      <c r="AB8464" s="508">
        <v>0.66</v>
      </c>
      <c r="AC8464" s="508">
        <v>0.66</v>
      </c>
      <c r="AD8464" s="508">
        <v>0.65600000000000003</v>
      </c>
      <c r="AE8464" s="508">
        <v>0.65600000000000003</v>
      </c>
      <c r="AF8464" s="508">
        <v>0.65300000000000002</v>
      </c>
      <c r="AG8464" s="508">
        <v>0.65300000000000002</v>
      </c>
      <c r="AH8464" s="508">
        <v>0.65</v>
      </c>
      <c r="AI8464" s="492">
        <v>0.64900000000000002</v>
      </c>
      <c r="AJ8464" s="485"/>
    </row>
    <row r="8465" spans="2:36">
      <c r="B8465" s="136" t="s">
        <v>463</v>
      </c>
      <c r="C8465" s="132" t="s">
        <v>1372</v>
      </c>
      <c r="D8465" s="132" t="s">
        <v>1384</v>
      </c>
      <c r="E8465" s="508">
        <v>1.236</v>
      </c>
      <c r="F8465" s="508">
        <v>0.63200000000000001</v>
      </c>
      <c r="G8465" s="508">
        <v>0.47</v>
      </c>
      <c r="H8465" s="508">
        <v>0.433</v>
      </c>
      <c r="I8465" s="508">
        <v>0.38700000000000001</v>
      </c>
      <c r="J8465" s="508">
        <v>0.184</v>
      </c>
      <c r="K8465" s="508">
        <v>0.128</v>
      </c>
      <c r="L8465" s="508">
        <v>1.2999999999999999E-2</v>
      </c>
      <c r="M8465" s="508">
        <v>0.17799999999999999</v>
      </c>
      <c r="N8465" s="508">
        <v>0.22500000000000001</v>
      </c>
      <c r="O8465" s="508">
        <v>0.16800000000000001</v>
      </c>
      <c r="P8465" s="508">
        <v>3.2000000000000001E-2</v>
      </c>
      <c r="Q8465" s="508">
        <v>7.0000000000000001E-3</v>
      </c>
      <c r="R8465" s="508">
        <v>7.0000000000000001E-3</v>
      </c>
      <c r="S8465" s="508">
        <v>7.0000000000000001E-3</v>
      </c>
      <c r="T8465" s="508">
        <v>7.0000000000000001E-3</v>
      </c>
      <c r="U8465" s="508">
        <v>6.0000000000000001E-3</v>
      </c>
      <c r="V8465" s="508">
        <v>6.0000000000000001E-3</v>
      </c>
      <c r="W8465" s="508">
        <v>6.0000000000000001E-3</v>
      </c>
      <c r="X8465" s="508">
        <v>6.0000000000000001E-3</v>
      </c>
      <c r="Y8465" s="508">
        <v>6.0000000000000001E-3</v>
      </c>
      <c r="Z8465" s="508">
        <v>5.0000000000000001E-3</v>
      </c>
      <c r="AA8465" s="508">
        <v>5.0000000000000001E-3</v>
      </c>
      <c r="AB8465" s="508">
        <v>5.0000000000000001E-3</v>
      </c>
      <c r="AC8465" s="508">
        <v>5.0000000000000001E-3</v>
      </c>
      <c r="AD8465" s="508">
        <v>5.0000000000000001E-3</v>
      </c>
      <c r="AE8465" s="508">
        <v>5.0000000000000001E-3</v>
      </c>
      <c r="AF8465" s="508">
        <v>5.0000000000000001E-3</v>
      </c>
      <c r="AG8465" s="508">
        <v>5.0000000000000001E-3</v>
      </c>
      <c r="AH8465" s="508">
        <v>5.0000000000000001E-3</v>
      </c>
      <c r="AI8465" s="492">
        <v>5.0000000000000001E-3</v>
      </c>
      <c r="AJ8465" s="485"/>
    </row>
    <row r="8466" spans="2:36">
      <c r="B8466" s="136" t="s">
        <v>464</v>
      </c>
      <c r="C8466" s="132" t="s">
        <v>1372</v>
      </c>
      <c r="D8466" s="132" t="s">
        <v>1384</v>
      </c>
      <c r="E8466" s="508">
        <v>1.131</v>
      </c>
      <c r="F8466" s="508">
        <v>1.115</v>
      </c>
      <c r="G8466" s="508">
        <v>1.1120000000000001</v>
      </c>
      <c r="H8466" s="508">
        <v>1.111</v>
      </c>
      <c r="I8466" s="508">
        <v>1.111</v>
      </c>
      <c r="J8466" s="508">
        <v>1.109</v>
      </c>
      <c r="K8466" s="508">
        <v>1.109</v>
      </c>
      <c r="L8466" s="508">
        <v>1.1080000000000001</v>
      </c>
      <c r="M8466" s="508">
        <v>1.109</v>
      </c>
      <c r="N8466" s="508">
        <v>1.1100000000000001</v>
      </c>
      <c r="O8466" s="508">
        <v>1.1100000000000001</v>
      </c>
      <c r="P8466" s="508">
        <v>0.61699999999999999</v>
      </c>
      <c r="Q8466" s="508">
        <v>0.61199999999999999</v>
      </c>
      <c r="R8466" s="508">
        <v>0.57199999999999995</v>
      </c>
      <c r="S8466" s="508">
        <v>0.56499999999999995</v>
      </c>
      <c r="T8466" s="508">
        <v>0.56499999999999995</v>
      </c>
      <c r="U8466" s="508">
        <v>0.50700000000000001</v>
      </c>
      <c r="V8466" s="508">
        <v>0.50700000000000001</v>
      </c>
      <c r="W8466" s="508">
        <v>0.50700000000000001</v>
      </c>
      <c r="X8466" s="508">
        <v>0.49199999999999999</v>
      </c>
      <c r="Y8466" s="508">
        <v>0.49199999999999999</v>
      </c>
      <c r="Z8466" s="508">
        <v>0.47199999999999998</v>
      </c>
      <c r="AA8466" s="508">
        <v>0.47199999999999998</v>
      </c>
      <c r="AB8466" s="508">
        <v>0.47099999999999997</v>
      </c>
      <c r="AC8466" s="508">
        <v>0.47099999999999997</v>
      </c>
      <c r="AD8466" s="508">
        <v>0.46899999999999997</v>
      </c>
      <c r="AE8466" s="508">
        <v>0.46899999999999997</v>
      </c>
      <c r="AF8466" s="508">
        <v>0.46700000000000003</v>
      </c>
      <c r="AG8466" s="508">
        <v>0.46700000000000003</v>
      </c>
      <c r="AH8466" s="508">
        <v>0.46500000000000002</v>
      </c>
      <c r="AI8466" s="492">
        <v>0.46500000000000002</v>
      </c>
      <c r="AJ8466" s="485"/>
    </row>
    <row r="8467" spans="2:36">
      <c r="B8467" s="136" t="s">
        <v>465</v>
      </c>
      <c r="C8467" s="132" t="s">
        <v>1372</v>
      </c>
      <c r="D8467" s="132" t="s">
        <v>1384</v>
      </c>
      <c r="E8467" s="508">
        <v>1.2569999999999999</v>
      </c>
      <c r="F8467" s="508">
        <v>1.2410000000000001</v>
      </c>
      <c r="G8467" s="508">
        <v>1.2390000000000001</v>
      </c>
      <c r="H8467" s="508">
        <v>1.238</v>
      </c>
      <c r="I8467" s="508">
        <v>1.238</v>
      </c>
      <c r="J8467" s="508">
        <v>1.2370000000000001</v>
      </c>
      <c r="K8467" s="508">
        <v>1.2370000000000001</v>
      </c>
      <c r="L8467" s="508">
        <v>1.236</v>
      </c>
      <c r="M8467" s="508">
        <v>1.238</v>
      </c>
      <c r="N8467" s="508">
        <v>1.238</v>
      </c>
      <c r="O8467" s="508">
        <v>1.2390000000000001</v>
      </c>
      <c r="P8467" s="508">
        <v>0.69099999999999995</v>
      </c>
      <c r="Q8467" s="508">
        <v>0.68500000000000005</v>
      </c>
      <c r="R8467" s="508">
        <v>0.63100000000000001</v>
      </c>
      <c r="S8467" s="508">
        <v>0.622</v>
      </c>
      <c r="T8467" s="508">
        <v>0.622</v>
      </c>
      <c r="U8467" s="508">
        <v>0.56000000000000005</v>
      </c>
      <c r="V8467" s="508">
        <v>0.56000000000000005</v>
      </c>
      <c r="W8467" s="508">
        <v>0.56000000000000005</v>
      </c>
      <c r="X8467" s="508">
        <v>0.54300000000000004</v>
      </c>
      <c r="Y8467" s="508">
        <v>0.54300000000000004</v>
      </c>
      <c r="Z8467" s="508">
        <v>0.52100000000000002</v>
      </c>
      <c r="AA8467" s="508">
        <v>0.52100000000000002</v>
      </c>
      <c r="AB8467" s="508">
        <v>0.51900000000000002</v>
      </c>
      <c r="AC8467" s="508">
        <v>0.51900000000000002</v>
      </c>
      <c r="AD8467" s="508">
        <v>0.51700000000000002</v>
      </c>
      <c r="AE8467" s="508">
        <v>0.51700000000000002</v>
      </c>
      <c r="AF8467" s="508">
        <v>0.51500000000000001</v>
      </c>
      <c r="AG8467" s="508">
        <v>0.51500000000000001</v>
      </c>
      <c r="AH8467" s="508">
        <v>0.51200000000000001</v>
      </c>
      <c r="AI8467" s="492">
        <v>0.51200000000000001</v>
      </c>
      <c r="AJ8467" s="485"/>
    </row>
    <row r="8468" spans="2:36">
      <c r="B8468" s="136" t="s">
        <v>466</v>
      </c>
      <c r="C8468" s="132" t="s">
        <v>1372</v>
      </c>
      <c r="D8468" s="132" t="s">
        <v>1384</v>
      </c>
      <c r="E8468" s="508">
        <v>1.5649999999999999</v>
      </c>
      <c r="F8468" s="508">
        <v>0.79</v>
      </c>
      <c r="G8468" s="508">
        <v>0.58599999999999997</v>
      </c>
      <c r="H8468" s="508">
        <v>0.53900000000000003</v>
      </c>
      <c r="I8468" s="508">
        <v>0.48099999999999998</v>
      </c>
      <c r="J8468" s="508">
        <v>0.22900000000000001</v>
      </c>
      <c r="K8468" s="508">
        <v>0.159</v>
      </c>
      <c r="L8468" s="508">
        <v>1.6E-2</v>
      </c>
      <c r="M8468" s="508">
        <v>0.221</v>
      </c>
      <c r="N8468" s="508">
        <v>0.28000000000000003</v>
      </c>
      <c r="O8468" s="508">
        <v>0.20899999999999999</v>
      </c>
      <c r="P8468" s="508">
        <v>3.9E-2</v>
      </c>
      <c r="Q8468" s="508">
        <v>8.9999999999999993E-3</v>
      </c>
      <c r="R8468" s="508">
        <v>8.0000000000000002E-3</v>
      </c>
      <c r="S8468" s="508">
        <v>8.0000000000000002E-3</v>
      </c>
      <c r="T8468" s="508">
        <v>8.0000000000000002E-3</v>
      </c>
      <c r="U8468" s="508">
        <v>7.0000000000000001E-3</v>
      </c>
      <c r="V8468" s="508">
        <v>7.0000000000000001E-3</v>
      </c>
      <c r="W8468" s="508">
        <v>7.0000000000000001E-3</v>
      </c>
      <c r="X8468" s="508">
        <v>7.0000000000000001E-3</v>
      </c>
      <c r="Y8468" s="508">
        <v>7.0000000000000001E-3</v>
      </c>
      <c r="Z8468" s="508">
        <v>7.0000000000000001E-3</v>
      </c>
      <c r="AA8468" s="508">
        <v>7.0000000000000001E-3</v>
      </c>
      <c r="AB8468" s="508">
        <v>7.0000000000000001E-3</v>
      </c>
      <c r="AC8468" s="508">
        <v>7.0000000000000001E-3</v>
      </c>
      <c r="AD8468" s="508">
        <v>7.0000000000000001E-3</v>
      </c>
      <c r="AE8468" s="508">
        <v>7.0000000000000001E-3</v>
      </c>
      <c r="AF8468" s="508">
        <v>7.0000000000000001E-3</v>
      </c>
      <c r="AG8468" s="508">
        <v>7.0000000000000001E-3</v>
      </c>
      <c r="AH8468" s="508">
        <v>6.0000000000000001E-3</v>
      </c>
      <c r="AI8468" s="492">
        <v>6.0000000000000001E-3</v>
      </c>
      <c r="AJ8468" s="485"/>
    </row>
    <row r="8469" spans="2:36">
      <c r="B8469" s="136" t="s">
        <v>467</v>
      </c>
      <c r="C8469" s="132" t="s">
        <v>1372</v>
      </c>
      <c r="D8469" s="132" t="s">
        <v>1384</v>
      </c>
      <c r="E8469" s="508">
        <v>1.153</v>
      </c>
      <c r="F8469" s="508">
        <v>1.145</v>
      </c>
      <c r="G8469" s="508">
        <v>1.1439999999999999</v>
      </c>
      <c r="H8469" s="508">
        <v>1.1439999999999999</v>
      </c>
      <c r="I8469" s="508">
        <v>1.1439999999999999</v>
      </c>
      <c r="J8469" s="508">
        <v>1.143</v>
      </c>
      <c r="K8469" s="508">
        <v>1.143</v>
      </c>
      <c r="L8469" s="508">
        <v>1.1419999999999999</v>
      </c>
      <c r="M8469" s="508">
        <v>1.143</v>
      </c>
      <c r="N8469" s="508">
        <v>1.143</v>
      </c>
      <c r="O8469" s="508">
        <v>1.1439999999999999</v>
      </c>
      <c r="P8469" s="508">
        <v>0.58699999999999997</v>
      </c>
      <c r="Q8469" s="508">
        <v>0.58199999999999996</v>
      </c>
      <c r="R8469" s="508">
        <v>0.53400000000000003</v>
      </c>
      <c r="S8469" s="508">
        <v>0.52600000000000002</v>
      </c>
      <c r="T8469" s="508">
        <v>0.52600000000000002</v>
      </c>
      <c r="U8469" s="508">
        <v>0.46100000000000002</v>
      </c>
      <c r="V8469" s="508">
        <v>0.46100000000000002</v>
      </c>
      <c r="W8469" s="508">
        <v>0.46100000000000002</v>
      </c>
      <c r="X8469" s="508">
        <v>0.443</v>
      </c>
      <c r="Y8469" s="508">
        <v>0.443</v>
      </c>
      <c r="Z8469" s="508">
        <v>0.42</v>
      </c>
      <c r="AA8469" s="508">
        <v>0.42</v>
      </c>
      <c r="AB8469" s="508">
        <v>0.41799999999999998</v>
      </c>
      <c r="AC8469" s="508">
        <v>0.41799999999999998</v>
      </c>
      <c r="AD8469" s="508">
        <v>0.41499999999999998</v>
      </c>
      <c r="AE8469" s="508">
        <v>0.41499999999999998</v>
      </c>
      <c r="AF8469" s="508">
        <v>0.41299999999999998</v>
      </c>
      <c r="AG8469" s="508">
        <v>0.41299999999999998</v>
      </c>
      <c r="AH8469" s="508">
        <v>0.41099999999999998</v>
      </c>
      <c r="AI8469" s="492">
        <v>0.41099999999999998</v>
      </c>
      <c r="AJ8469" s="485"/>
    </row>
    <row r="8470" spans="2:36">
      <c r="B8470" s="136" t="s">
        <v>468</v>
      </c>
      <c r="C8470" s="132" t="s">
        <v>1372</v>
      </c>
      <c r="D8470" s="132" t="s">
        <v>1384</v>
      </c>
      <c r="E8470" s="508">
        <v>1.165</v>
      </c>
      <c r="F8470" s="508">
        <v>1.159</v>
      </c>
      <c r="G8470" s="508">
        <v>1.1579999999999999</v>
      </c>
      <c r="H8470" s="508">
        <v>1.157</v>
      </c>
      <c r="I8470" s="508">
        <v>1.1579999999999999</v>
      </c>
      <c r="J8470" s="508">
        <v>1.1579999999999999</v>
      </c>
      <c r="K8470" s="508">
        <v>1.157</v>
      </c>
      <c r="L8470" s="508">
        <v>1.157</v>
      </c>
      <c r="M8470" s="508">
        <v>1.1579999999999999</v>
      </c>
      <c r="N8470" s="508">
        <v>1.1579999999999999</v>
      </c>
      <c r="O8470" s="508">
        <v>1.159</v>
      </c>
      <c r="P8470" s="508">
        <v>0.63100000000000001</v>
      </c>
      <c r="Q8470" s="508">
        <v>0.625</v>
      </c>
      <c r="R8470" s="508">
        <v>0.56999999999999995</v>
      </c>
      <c r="S8470" s="508">
        <v>0.56000000000000005</v>
      </c>
      <c r="T8470" s="508">
        <v>0.56000000000000005</v>
      </c>
      <c r="U8470" s="508">
        <v>0.5</v>
      </c>
      <c r="V8470" s="508">
        <v>0.5</v>
      </c>
      <c r="W8470" s="508">
        <v>0.5</v>
      </c>
      <c r="X8470" s="508">
        <v>0.48199999999999998</v>
      </c>
      <c r="Y8470" s="508">
        <v>0.48199999999999998</v>
      </c>
      <c r="Z8470" s="508">
        <v>0.46100000000000002</v>
      </c>
      <c r="AA8470" s="508">
        <v>0.46100000000000002</v>
      </c>
      <c r="AB8470" s="508">
        <v>0.45800000000000002</v>
      </c>
      <c r="AC8470" s="508">
        <v>0.45800000000000002</v>
      </c>
      <c r="AD8470" s="508">
        <v>0.45600000000000002</v>
      </c>
      <c r="AE8470" s="508">
        <v>0.45600000000000002</v>
      </c>
      <c r="AF8470" s="508">
        <v>0.45300000000000001</v>
      </c>
      <c r="AG8470" s="508">
        <v>0.45300000000000001</v>
      </c>
      <c r="AH8470" s="508">
        <v>0.45</v>
      </c>
      <c r="AI8470" s="492">
        <v>0.45</v>
      </c>
      <c r="AJ8470" s="485"/>
    </row>
    <row r="8471" spans="2:36">
      <c r="B8471" s="136" t="s">
        <v>469</v>
      </c>
      <c r="C8471" s="132" t="s">
        <v>1372</v>
      </c>
      <c r="D8471" s="132" t="s">
        <v>1384</v>
      </c>
      <c r="E8471" s="508">
        <v>1.3140000000000001</v>
      </c>
      <c r="F8471" s="508">
        <v>0.66100000000000003</v>
      </c>
      <c r="G8471" s="508">
        <v>0.49</v>
      </c>
      <c r="H8471" s="508">
        <v>0.45100000000000001</v>
      </c>
      <c r="I8471" s="508">
        <v>0.40200000000000002</v>
      </c>
      <c r="J8471" s="508">
        <v>0.191</v>
      </c>
      <c r="K8471" s="508">
        <v>0.13300000000000001</v>
      </c>
      <c r="L8471" s="508">
        <v>1.4E-2</v>
      </c>
      <c r="M8471" s="508">
        <v>0.185</v>
      </c>
      <c r="N8471" s="508">
        <v>0.23400000000000001</v>
      </c>
      <c r="O8471" s="508">
        <v>0.17399999999999999</v>
      </c>
      <c r="P8471" s="508">
        <v>3.3000000000000002E-2</v>
      </c>
      <c r="Q8471" s="508">
        <v>8.0000000000000002E-3</v>
      </c>
      <c r="R8471" s="508">
        <v>7.0000000000000001E-3</v>
      </c>
      <c r="S8471" s="508">
        <v>7.0000000000000001E-3</v>
      </c>
      <c r="T8471" s="508">
        <v>7.0000000000000001E-3</v>
      </c>
      <c r="U8471" s="508">
        <v>6.0000000000000001E-3</v>
      </c>
      <c r="V8471" s="508">
        <v>6.0000000000000001E-3</v>
      </c>
      <c r="W8471" s="508">
        <v>6.0000000000000001E-3</v>
      </c>
      <c r="X8471" s="508">
        <v>6.0000000000000001E-3</v>
      </c>
      <c r="Y8471" s="508">
        <v>6.0000000000000001E-3</v>
      </c>
      <c r="Z8471" s="508">
        <v>6.0000000000000001E-3</v>
      </c>
      <c r="AA8471" s="508">
        <v>6.0000000000000001E-3</v>
      </c>
      <c r="AB8471" s="508">
        <v>6.0000000000000001E-3</v>
      </c>
      <c r="AC8471" s="508">
        <v>6.0000000000000001E-3</v>
      </c>
      <c r="AD8471" s="508">
        <v>6.0000000000000001E-3</v>
      </c>
      <c r="AE8471" s="508">
        <v>6.0000000000000001E-3</v>
      </c>
      <c r="AF8471" s="508">
        <v>6.0000000000000001E-3</v>
      </c>
      <c r="AG8471" s="508">
        <v>6.0000000000000001E-3</v>
      </c>
      <c r="AH8471" s="508">
        <v>6.0000000000000001E-3</v>
      </c>
      <c r="AI8471" s="492">
        <v>6.0000000000000001E-3</v>
      </c>
      <c r="AJ8471" s="485"/>
    </row>
    <row r="8472" spans="2:36">
      <c r="B8472" s="136" t="s">
        <v>470</v>
      </c>
      <c r="C8472" s="132" t="s">
        <v>1372</v>
      </c>
      <c r="D8472" s="132" t="s">
        <v>1384</v>
      </c>
      <c r="E8472" s="508">
        <v>1.294</v>
      </c>
      <c r="F8472" s="508">
        <v>1.286</v>
      </c>
      <c r="G8472" s="508">
        <v>1.2849999999999999</v>
      </c>
      <c r="H8472" s="508">
        <v>1.2849999999999999</v>
      </c>
      <c r="I8472" s="508">
        <v>1.2849999999999999</v>
      </c>
      <c r="J8472" s="508">
        <v>1.2849999999999999</v>
      </c>
      <c r="K8472" s="508">
        <v>1.284</v>
      </c>
      <c r="L8472" s="508">
        <v>1.284</v>
      </c>
      <c r="M8472" s="508">
        <v>1.2849999999999999</v>
      </c>
      <c r="N8472" s="508">
        <v>1.2849999999999999</v>
      </c>
      <c r="O8472" s="508">
        <v>1.2849999999999999</v>
      </c>
      <c r="P8472" s="508">
        <v>0.66400000000000003</v>
      </c>
      <c r="Q8472" s="508">
        <v>0.65700000000000003</v>
      </c>
      <c r="R8472" s="508">
        <v>0.6</v>
      </c>
      <c r="S8472" s="508">
        <v>0.59</v>
      </c>
      <c r="T8472" s="508">
        <v>0.59</v>
      </c>
      <c r="U8472" s="508">
        <v>0.51900000000000002</v>
      </c>
      <c r="V8472" s="508">
        <v>0.51900000000000002</v>
      </c>
      <c r="W8472" s="508">
        <v>0.51900000000000002</v>
      </c>
      <c r="X8472" s="508">
        <v>0.499</v>
      </c>
      <c r="Y8472" s="508">
        <v>0.499</v>
      </c>
      <c r="Z8472" s="508">
        <v>0.47399999999999998</v>
      </c>
      <c r="AA8472" s="508">
        <v>0.47399999999999998</v>
      </c>
      <c r="AB8472" s="508">
        <v>0.47099999999999997</v>
      </c>
      <c r="AC8472" s="508">
        <v>0.47099999999999997</v>
      </c>
      <c r="AD8472" s="508">
        <v>0.46800000000000003</v>
      </c>
      <c r="AE8472" s="508">
        <v>0.46800000000000003</v>
      </c>
      <c r="AF8472" s="508">
        <v>0.46500000000000002</v>
      </c>
      <c r="AG8472" s="508">
        <v>0.46500000000000002</v>
      </c>
      <c r="AH8472" s="508">
        <v>0.46300000000000002</v>
      </c>
      <c r="AI8472" s="492">
        <v>0.46300000000000002</v>
      </c>
      <c r="AJ8472" s="485"/>
    </row>
    <row r="8473" spans="2:36">
      <c r="B8473" s="136" t="s">
        <v>471</v>
      </c>
      <c r="C8473" s="132" t="s">
        <v>1372</v>
      </c>
      <c r="D8473" s="132" t="s">
        <v>1384</v>
      </c>
      <c r="E8473" s="508">
        <v>1.506</v>
      </c>
      <c r="F8473" s="508">
        <v>1.4870000000000001</v>
      </c>
      <c r="G8473" s="508">
        <v>1.484</v>
      </c>
      <c r="H8473" s="508">
        <v>1.484</v>
      </c>
      <c r="I8473" s="508">
        <v>1.484</v>
      </c>
      <c r="J8473" s="508">
        <v>1.4830000000000001</v>
      </c>
      <c r="K8473" s="508">
        <v>1.4830000000000001</v>
      </c>
      <c r="L8473" s="508">
        <v>1.4830000000000001</v>
      </c>
      <c r="M8473" s="508">
        <v>1.484</v>
      </c>
      <c r="N8473" s="508">
        <v>1.4850000000000001</v>
      </c>
      <c r="O8473" s="508">
        <v>1.4850000000000001</v>
      </c>
      <c r="P8473" s="508">
        <v>0.82599999999999996</v>
      </c>
      <c r="Q8473" s="508">
        <v>0.81699999999999995</v>
      </c>
      <c r="R8473" s="508">
        <v>0.74099999999999999</v>
      </c>
      <c r="S8473" s="508">
        <v>0.72699999999999998</v>
      </c>
      <c r="T8473" s="508">
        <v>0.72699999999999998</v>
      </c>
      <c r="U8473" s="508">
        <v>0.65600000000000003</v>
      </c>
      <c r="V8473" s="508">
        <v>0.65600000000000003</v>
      </c>
      <c r="W8473" s="508">
        <v>0.65700000000000003</v>
      </c>
      <c r="X8473" s="508">
        <v>0.63500000000000001</v>
      </c>
      <c r="Y8473" s="508">
        <v>0.63500000000000001</v>
      </c>
      <c r="Z8473" s="508">
        <v>0.60899999999999999</v>
      </c>
      <c r="AA8473" s="508">
        <v>0.60899999999999999</v>
      </c>
      <c r="AB8473" s="508">
        <v>0.60599999999999998</v>
      </c>
      <c r="AC8473" s="508">
        <v>0.60599999999999998</v>
      </c>
      <c r="AD8473" s="508">
        <v>0.60199999999999998</v>
      </c>
      <c r="AE8473" s="508">
        <v>0.60199999999999998</v>
      </c>
      <c r="AF8473" s="508">
        <v>0.59899999999999998</v>
      </c>
      <c r="AG8473" s="508">
        <v>0.59899999999999998</v>
      </c>
      <c r="AH8473" s="508">
        <v>0.59599999999999997</v>
      </c>
      <c r="AI8473" s="492">
        <v>0.59599999999999997</v>
      </c>
      <c r="AJ8473" s="485"/>
    </row>
    <row r="8474" spans="2:36">
      <c r="B8474" s="136" t="s">
        <v>472</v>
      </c>
      <c r="C8474" s="132" t="s">
        <v>1372</v>
      </c>
      <c r="D8474" s="132" t="s">
        <v>1384</v>
      </c>
      <c r="E8474" s="508">
        <v>1.056</v>
      </c>
      <c r="F8474" s="508">
        <v>0.54</v>
      </c>
      <c r="G8474" s="508">
        <v>0.40200000000000002</v>
      </c>
      <c r="H8474" s="508">
        <v>0.37</v>
      </c>
      <c r="I8474" s="508">
        <v>0.33</v>
      </c>
      <c r="J8474" s="508">
        <v>0.157</v>
      </c>
      <c r="K8474" s="508">
        <v>0.109</v>
      </c>
      <c r="L8474" s="508">
        <v>1.0999999999999999E-2</v>
      </c>
      <c r="M8474" s="508">
        <v>0.152</v>
      </c>
      <c r="N8474" s="508">
        <v>0.192</v>
      </c>
      <c r="O8474" s="508">
        <v>0.14299999999999999</v>
      </c>
      <c r="P8474" s="508">
        <v>2.7E-2</v>
      </c>
      <c r="Q8474" s="508">
        <v>6.0000000000000001E-3</v>
      </c>
      <c r="R8474" s="508">
        <v>6.0000000000000001E-3</v>
      </c>
      <c r="S8474" s="508">
        <v>6.0000000000000001E-3</v>
      </c>
      <c r="T8474" s="508">
        <v>6.0000000000000001E-3</v>
      </c>
      <c r="U8474" s="508">
        <v>5.0000000000000001E-3</v>
      </c>
      <c r="V8474" s="508">
        <v>5.0000000000000001E-3</v>
      </c>
      <c r="W8474" s="508">
        <v>5.0000000000000001E-3</v>
      </c>
      <c r="X8474" s="508">
        <v>5.0000000000000001E-3</v>
      </c>
      <c r="Y8474" s="508">
        <v>5.0000000000000001E-3</v>
      </c>
      <c r="Z8474" s="508">
        <v>5.0000000000000001E-3</v>
      </c>
      <c r="AA8474" s="508">
        <v>5.0000000000000001E-3</v>
      </c>
      <c r="AB8474" s="508">
        <v>5.0000000000000001E-3</v>
      </c>
      <c r="AC8474" s="508">
        <v>5.0000000000000001E-3</v>
      </c>
      <c r="AD8474" s="508">
        <v>5.0000000000000001E-3</v>
      </c>
      <c r="AE8474" s="508">
        <v>5.0000000000000001E-3</v>
      </c>
      <c r="AF8474" s="508">
        <v>5.0000000000000001E-3</v>
      </c>
      <c r="AG8474" s="508">
        <v>5.0000000000000001E-3</v>
      </c>
      <c r="AH8474" s="508">
        <v>5.0000000000000001E-3</v>
      </c>
      <c r="AI8474" s="492">
        <v>5.0000000000000001E-3</v>
      </c>
      <c r="AJ8474" s="485"/>
    </row>
    <row r="8475" spans="2:36">
      <c r="B8475" s="136" t="s">
        <v>473</v>
      </c>
      <c r="C8475" s="132" t="s">
        <v>1372</v>
      </c>
      <c r="D8475" s="132" t="s">
        <v>1384</v>
      </c>
      <c r="E8475" s="508">
        <v>1.3779999999999999</v>
      </c>
      <c r="F8475" s="508">
        <v>1.3660000000000001</v>
      </c>
      <c r="G8475" s="508">
        <v>1.3640000000000001</v>
      </c>
      <c r="H8475" s="508">
        <v>1.363</v>
      </c>
      <c r="I8475" s="508">
        <v>1.363</v>
      </c>
      <c r="J8475" s="508">
        <v>1.3620000000000001</v>
      </c>
      <c r="K8475" s="508">
        <v>1.3620000000000001</v>
      </c>
      <c r="L8475" s="508">
        <v>1.361</v>
      </c>
      <c r="M8475" s="508">
        <v>1.3620000000000001</v>
      </c>
      <c r="N8475" s="508">
        <v>1.363</v>
      </c>
      <c r="O8475" s="508">
        <v>1.363</v>
      </c>
      <c r="P8475" s="508">
        <v>0.73299999999999998</v>
      </c>
      <c r="Q8475" s="508">
        <v>0.72599999999999998</v>
      </c>
      <c r="R8475" s="508">
        <v>0.66700000000000004</v>
      </c>
      <c r="S8475" s="508">
        <v>0.65600000000000003</v>
      </c>
      <c r="T8475" s="508">
        <v>0.65600000000000003</v>
      </c>
      <c r="U8475" s="508">
        <v>0.58599999999999997</v>
      </c>
      <c r="V8475" s="508">
        <v>0.58599999999999997</v>
      </c>
      <c r="W8475" s="508">
        <v>0.58599999999999997</v>
      </c>
      <c r="X8475" s="508">
        <v>0.56499999999999995</v>
      </c>
      <c r="Y8475" s="508">
        <v>0.56499999999999995</v>
      </c>
      <c r="Z8475" s="508">
        <v>0.54100000000000004</v>
      </c>
      <c r="AA8475" s="508">
        <v>0.54100000000000004</v>
      </c>
      <c r="AB8475" s="508">
        <v>0.53800000000000003</v>
      </c>
      <c r="AC8475" s="508">
        <v>0.53800000000000003</v>
      </c>
      <c r="AD8475" s="508">
        <v>0.53500000000000003</v>
      </c>
      <c r="AE8475" s="508">
        <v>0.53500000000000003</v>
      </c>
      <c r="AF8475" s="508">
        <v>0.53200000000000003</v>
      </c>
      <c r="AG8475" s="508">
        <v>0.53200000000000003</v>
      </c>
      <c r="AH8475" s="508">
        <v>0.53</v>
      </c>
      <c r="AI8475" s="492">
        <v>0.53</v>
      </c>
      <c r="AJ8475" s="485"/>
    </row>
    <row r="8476" spans="2:36">
      <c r="B8476" s="136" t="s">
        <v>474</v>
      </c>
      <c r="C8476" s="132" t="s">
        <v>1372</v>
      </c>
      <c r="D8476" s="132" t="s">
        <v>1384</v>
      </c>
      <c r="E8476" s="508">
        <v>1.5189999999999999</v>
      </c>
      <c r="F8476" s="508">
        <v>1.496</v>
      </c>
      <c r="G8476" s="508">
        <v>1.4930000000000001</v>
      </c>
      <c r="H8476" s="508">
        <v>1.4930000000000001</v>
      </c>
      <c r="I8476" s="508">
        <v>1.494</v>
      </c>
      <c r="J8476" s="508">
        <v>1.492</v>
      </c>
      <c r="K8476" s="508">
        <v>1.492</v>
      </c>
      <c r="L8476" s="508">
        <v>1.492</v>
      </c>
      <c r="M8476" s="508">
        <v>1.494</v>
      </c>
      <c r="N8476" s="508">
        <v>1.494</v>
      </c>
      <c r="O8476" s="508">
        <v>1.4950000000000001</v>
      </c>
      <c r="P8476" s="508">
        <v>0.84399999999999997</v>
      </c>
      <c r="Q8476" s="508">
        <v>0.83499999999999996</v>
      </c>
      <c r="R8476" s="508">
        <v>0.75600000000000001</v>
      </c>
      <c r="S8476" s="508">
        <v>0.74099999999999999</v>
      </c>
      <c r="T8476" s="508">
        <v>0.74099999999999999</v>
      </c>
      <c r="U8476" s="508">
        <v>0.67200000000000004</v>
      </c>
      <c r="V8476" s="508">
        <v>0.67200000000000004</v>
      </c>
      <c r="W8476" s="508">
        <v>0.67300000000000004</v>
      </c>
      <c r="X8476" s="508">
        <v>0.65100000000000002</v>
      </c>
      <c r="Y8476" s="508">
        <v>0.65100000000000002</v>
      </c>
      <c r="Z8476" s="508">
        <v>0.627</v>
      </c>
      <c r="AA8476" s="508">
        <v>0.627</v>
      </c>
      <c r="AB8476" s="508">
        <v>0.624</v>
      </c>
      <c r="AC8476" s="508">
        <v>0.624</v>
      </c>
      <c r="AD8476" s="508">
        <v>0.621</v>
      </c>
      <c r="AE8476" s="508">
        <v>0.621</v>
      </c>
      <c r="AF8476" s="508">
        <v>0.61799999999999999</v>
      </c>
      <c r="AG8476" s="508">
        <v>0.61799999999999999</v>
      </c>
      <c r="AH8476" s="508">
        <v>0.61499999999999999</v>
      </c>
      <c r="AI8476" s="492">
        <v>0.61499999999999999</v>
      </c>
      <c r="AJ8476" s="485"/>
    </row>
    <row r="8477" spans="2:36">
      <c r="B8477" s="136" t="s">
        <v>475</v>
      </c>
      <c r="C8477" s="132" t="s">
        <v>1372</v>
      </c>
      <c r="D8477" s="132" t="s">
        <v>1384</v>
      </c>
      <c r="E8477" s="508">
        <v>1.2070000000000001</v>
      </c>
      <c r="F8477" s="508">
        <v>0.61699999999999999</v>
      </c>
      <c r="G8477" s="508">
        <v>0.45900000000000002</v>
      </c>
      <c r="H8477" s="508">
        <v>0.42199999999999999</v>
      </c>
      <c r="I8477" s="508">
        <v>0.377</v>
      </c>
      <c r="J8477" s="508">
        <v>0.18</v>
      </c>
      <c r="K8477" s="508">
        <v>0.125</v>
      </c>
      <c r="L8477" s="508">
        <v>1.2999999999999999E-2</v>
      </c>
      <c r="M8477" s="508">
        <v>0.17399999999999999</v>
      </c>
      <c r="N8477" s="508">
        <v>0.219</v>
      </c>
      <c r="O8477" s="508">
        <v>0.16400000000000001</v>
      </c>
      <c r="P8477" s="508">
        <v>0.03</v>
      </c>
      <c r="Q8477" s="508">
        <v>7.0000000000000001E-3</v>
      </c>
      <c r="R8477" s="508">
        <v>6.0000000000000001E-3</v>
      </c>
      <c r="S8477" s="508">
        <v>6.0000000000000001E-3</v>
      </c>
      <c r="T8477" s="508">
        <v>6.0000000000000001E-3</v>
      </c>
      <c r="U8477" s="508">
        <v>6.0000000000000001E-3</v>
      </c>
      <c r="V8477" s="508">
        <v>6.0000000000000001E-3</v>
      </c>
      <c r="W8477" s="508">
        <v>6.0000000000000001E-3</v>
      </c>
      <c r="X8477" s="508">
        <v>5.0000000000000001E-3</v>
      </c>
      <c r="Y8477" s="508">
        <v>5.0000000000000001E-3</v>
      </c>
      <c r="Z8477" s="508">
        <v>5.0000000000000001E-3</v>
      </c>
      <c r="AA8477" s="508">
        <v>5.0000000000000001E-3</v>
      </c>
      <c r="AB8477" s="508">
        <v>5.0000000000000001E-3</v>
      </c>
      <c r="AC8477" s="508">
        <v>5.0000000000000001E-3</v>
      </c>
      <c r="AD8477" s="508">
        <v>5.0000000000000001E-3</v>
      </c>
      <c r="AE8477" s="508">
        <v>5.0000000000000001E-3</v>
      </c>
      <c r="AF8477" s="508">
        <v>5.0000000000000001E-3</v>
      </c>
      <c r="AG8477" s="508">
        <v>5.0000000000000001E-3</v>
      </c>
      <c r="AH8477" s="508">
        <v>5.0000000000000001E-3</v>
      </c>
      <c r="AI8477" s="492">
        <v>5.0000000000000001E-3</v>
      </c>
      <c r="AJ8477" s="485"/>
    </row>
    <row r="8478" spans="2:36">
      <c r="B8478" s="136" t="s">
        <v>476</v>
      </c>
      <c r="C8478" s="132" t="s">
        <v>1372</v>
      </c>
      <c r="D8478" s="132" t="s">
        <v>1384</v>
      </c>
      <c r="E8478" s="508">
        <v>1.306</v>
      </c>
      <c r="F8478" s="508">
        <v>1.296</v>
      </c>
      <c r="G8478" s="508">
        <v>1.294</v>
      </c>
      <c r="H8478" s="508">
        <v>1.2929999999999999</v>
      </c>
      <c r="I8478" s="508">
        <v>1.2929999999999999</v>
      </c>
      <c r="J8478" s="508">
        <v>1.2929999999999999</v>
      </c>
      <c r="K8478" s="508">
        <v>1.2929999999999999</v>
      </c>
      <c r="L8478" s="508">
        <v>1.292</v>
      </c>
      <c r="M8478" s="508">
        <v>1.2929999999999999</v>
      </c>
      <c r="N8478" s="508">
        <v>1.2929999999999999</v>
      </c>
      <c r="O8478" s="508">
        <v>1.294</v>
      </c>
      <c r="P8478" s="508">
        <v>0.69</v>
      </c>
      <c r="Q8478" s="508">
        <v>0.68400000000000005</v>
      </c>
      <c r="R8478" s="508">
        <v>0.626</v>
      </c>
      <c r="S8478" s="508">
        <v>0.61599999999999999</v>
      </c>
      <c r="T8478" s="508">
        <v>0.61599999999999999</v>
      </c>
      <c r="U8478" s="508">
        <v>0.54800000000000004</v>
      </c>
      <c r="V8478" s="508">
        <v>0.54800000000000004</v>
      </c>
      <c r="W8478" s="508">
        <v>0.54800000000000004</v>
      </c>
      <c r="X8478" s="508">
        <v>0.52800000000000002</v>
      </c>
      <c r="Y8478" s="508">
        <v>0.52800000000000002</v>
      </c>
      <c r="Z8478" s="508">
        <v>0.504</v>
      </c>
      <c r="AA8478" s="508">
        <v>0.504</v>
      </c>
      <c r="AB8478" s="508">
        <v>0.501</v>
      </c>
      <c r="AC8478" s="508">
        <v>0.501</v>
      </c>
      <c r="AD8478" s="508">
        <v>0.499</v>
      </c>
      <c r="AE8478" s="508">
        <v>0.498</v>
      </c>
      <c r="AF8478" s="508">
        <v>0.496</v>
      </c>
      <c r="AG8478" s="508">
        <v>0.496</v>
      </c>
      <c r="AH8478" s="508">
        <v>0.49399999999999999</v>
      </c>
      <c r="AI8478" s="492">
        <v>0.49399999999999999</v>
      </c>
      <c r="AJ8478" s="485"/>
    </row>
    <row r="8479" spans="2:36">
      <c r="B8479" s="136" t="s">
        <v>478</v>
      </c>
      <c r="C8479" s="132" t="s">
        <v>1372</v>
      </c>
      <c r="D8479" s="132" t="s">
        <v>1384</v>
      </c>
      <c r="E8479" s="508">
        <v>1.2010000000000001</v>
      </c>
      <c r="F8479" s="508">
        <v>0.61699999999999999</v>
      </c>
      <c r="G8479" s="508">
        <v>0.45900000000000002</v>
      </c>
      <c r="H8479" s="508">
        <v>0.42299999999999999</v>
      </c>
      <c r="I8479" s="508">
        <v>0.377</v>
      </c>
      <c r="J8479" s="508">
        <v>0.18</v>
      </c>
      <c r="K8479" s="508">
        <v>0.125</v>
      </c>
      <c r="L8479" s="508">
        <v>1.2999999999999999E-2</v>
      </c>
      <c r="M8479" s="508">
        <v>0.17399999999999999</v>
      </c>
      <c r="N8479" s="508">
        <v>0.219</v>
      </c>
      <c r="O8479" s="508">
        <v>0.16400000000000001</v>
      </c>
      <c r="P8479" s="508">
        <v>2.8000000000000001E-2</v>
      </c>
      <c r="Q8479" s="508">
        <v>6.0000000000000001E-3</v>
      </c>
      <c r="R8479" s="508">
        <v>6.0000000000000001E-3</v>
      </c>
      <c r="S8479" s="508">
        <v>6.0000000000000001E-3</v>
      </c>
      <c r="T8479" s="508">
        <v>6.0000000000000001E-3</v>
      </c>
      <c r="U8479" s="508">
        <v>5.0000000000000001E-3</v>
      </c>
      <c r="V8479" s="508">
        <v>5.0000000000000001E-3</v>
      </c>
      <c r="W8479" s="508">
        <v>5.0000000000000001E-3</v>
      </c>
      <c r="X8479" s="508">
        <v>5.0000000000000001E-3</v>
      </c>
      <c r="Y8479" s="508">
        <v>5.0000000000000001E-3</v>
      </c>
      <c r="Z8479" s="508">
        <v>4.0000000000000001E-3</v>
      </c>
      <c r="AA8479" s="508">
        <v>4.0000000000000001E-3</v>
      </c>
      <c r="AB8479" s="508">
        <v>4.0000000000000001E-3</v>
      </c>
      <c r="AC8479" s="508">
        <v>4.0000000000000001E-3</v>
      </c>
      <c r="AD8479" s="508">
        <v>4.0000000000000001E-3</v>
      </c>
      <c r="AE8479" s="508">
        <v>4.0000000000000001E-3</v>
      </c>
      <c r="AF8479" s="508">
        <v>4.0000000000000001E-3</v>
      </c>
      <c r="AG8479" s="508">
        <v>4.0000000000000001E-3</v>
      </c>
      <c r="AH8479" s="508">
        <v>4.0000000000000001E-3</v>
      </c>
      <c r="AI8479" s="492">
        <v>4.0000000000000001E-3</v>
      </c>
      <c r="AJ8479" s="485"/>
    </row>
    <row r="8480" spans="2:36">
      <c r="B8480" s="136" t="s">
        <v>479</v>
      </c>
      <c r="C8480" s="132" t="s">
        <v>1372</v>
      </c>
      <c r="D8480" s="132" t="s">
        <v>1384</v>
      </c>
      <c r="E8480" s="508">
        <v>1.5529999999999999</v>
      </c>
      <c r="F8480" s="508">
        <v>1.532</v>
      </c>
      <c r="G8480" s="508">
        <v>1.5289999999999999</v>
      </c>
      <c r="H8480" s="508">
        <v>1.5289999999999999</v>
      </c>
      <c r="I8480" s="508">
        <v>1.5289999999999999</v>
      </c>
      <c r="J8480" s="508">
        <v>1.528</v>
      </c>
      <c r="K8480" s="508">
        <v>1.528</v>
      </c>
      <c r="L8480" s="508">
        <v>1.528</v>
      </c>
      <c r="M8480" s="508">
        <v>1.53</v>
      </c>
      <c r="N8480" s="508">
        <v>1.53</v>
      </c>
      <c r="O8480" s="508">
        <v>1.5309999999999999</v>
      </c>
      <c r="P8480" s="508">
        <v>0.879</v>
      </c>
      <c r="Q8480" s="508">
        <v>0.86899999999999999</v>
      </c>
      <c r="R8480" s="508">
        <v>0.78800000000000003</v>
      </c>
      <c r="S8480" s="508">
        <v>0.77400000000000002</v>
      </c>
      <c r="T8480" s="508">
        <v>0.77400000000000002</v>
      </c>
      <c r="U8480" s="508">
        <v>0.70499999999999996</v>
      </c>
      <c r="V8480" s="508">
        <v>0.70499999999999996</v>
      </c>
      <c r="W8480" s="508">
        <v>0.70599999999999996</v>
      </c>
      <c r="X8480" s="508">
        <v>0.68400000000000005</v>
      </c>
      <c r="Y8480" s="508">
        <v>0.68400000000000005</v>
      </c>
      <c r="Z8480" s="508">
        <v>0.65900000000000003</v>
      </c>
      <c r="AA8480" s="508">
        <v>0.65900000000000003</v>
      </c>
      <c r="AB8480" s="508">
        <v>0.65600000000000003</v>
      </c>
      <c r="AC8480" s="508">
        <v>0.65600000000000003</v>
      </c>
      <c r="AD8480" s="508">
        <v>0.65200000000000002</v>
      </c>
      <c r="AE8480" s="508">
        <v>0.65200000000000002</v>
      </c>
      <c r="AF8480" s="508">
        <v>0.64900000000000002</v>
      </c>
      <c r="AG8480" s="508">
        <v>0.64900000000000002</v>
      </c>
      <c r="AH8480" s="508">
        <v>0.64600000000000002</v>
      </c>
      <c r="AI8480" s="492">
        <v>0.64600000000000002</v>
      </c>
      <c r="AJ8480" s="485"/>
    </row>
    <row r="8481" spans="2:36">
      <c r="B8481" s="136" t="s">
        <v>480</v>
      </c>
      <c r="C8481" s="132" t="s">
        <v>1372</v>
      </c>
      <c r="D8481" s="132" t="s">
        <v>1384</v>
      </c>
      <c r="E8481" s="508">
        <v>1.1879999999999999</v>
      </c>
      <c r="F8481" s="508">
        <v>1.175</v>
      </c>
      <c r="G8481" s="508">
        <v>1.1719999999999999</v>
      </c>
      <c r="H8481" s="508">
        <v>1.171</v>
      </c>
      <c r="I8481" s="508">
        <v>1.171</v>
      </c>
      <c r="J8481" s="508">
        <v>1.17</v>
      </c>
      <c r="K8481" s="508">
        <v>1.17</v>
      </c>
      <c r="L8481" s="508">
        <v>1.17</v>
      </c>
      <c r="M8481" s="508">
        <v>1.171</v>
      </c>
      <c r="N8481" s="508">
        <v>1.171</v>
      </c>
      <c r="O8481" s="508">
        <v>1.171</v>
      </c>
      <c r="P8481" s="508">
        <v>0.66900000000000004</v>
      </c>
      <c r="Q8481" s="508">
        <v>0.66300000000000003</v>
      </c>
      <c r="R8481" s="508">
        <v>0.61899999999999999</v>
      </c>
      <c r="S8481" s="508">
        <v>0.61099999999999999</v>
      </c>
      <c r="T8481" s="508">
        <v>0.61099999999999999</v>
      </c>
      <c r="U8481" s="508">
        <v>0.55300000000000005</v>
      </c>
      <c r="V8481" s="508">
        <v>0.55300000000000005</v>
      </c>
      <c r="W8481" s="508">
        <v>0.55300000000000005</v>
      </c>
      <c r="X8481" s="508">
        <v>0.53700000000000003</v>
      </c>
      <c r="Y8481" s="508">
        <v>0.53700000000000003</v>
      </c>
      <c r="Z8481" s="508">
        <v>0.51700000000000002</v>
      </c>
      <c r="AA8481" s="508">
        <v>0.51700000000000002</v>
      </c>
      <c r="AB8481" s="508">
        <v>0.51500000000000001</v>
      </c>
      <c r="AC8481" s="508">
        <v>0.51500000000000001</v>
      </c>
      <c r="AD8481" s="508">
        <v>0.51300000000000001</v>
      </c>
      <c r="AE8481" s="508">
        <v>0.51300000000000001</v>
      </c>
      <c r="AF8481" s="508">
        <v>0.51100000000000001</v>
      </c>
      <c r="AG8481" s="508">
        <v>0.51100000000000001</v>
      </c>
      <c r="AH8481" s="508">
        <v>0.50800000000000001</v>
      </c>
      <c r="AI8481" s="492">
        <v>0.50800000000000001</v>
      </c>
      <c r="AJ8481" s="485"/>
    </row>
    <row r="8482" spans="2:36">
      <c r="B8482" s="136" t="s">
        <v>481</v>
      </c>
      <c r="C8482" s="132" t="s">
        <v>1372</v>
      </c>
      <c r="D8482" s="132" t="s">
        <v>1384</v>
      </c>
      <c r="E8482" s="508">
        <v>1.482</v>
      </c>
      <c r="F8482" s="508">
        <v>1.464</v>
      </c>
      <c r="G8482" s="508">
        <v>1.4610000000000001</v>
      </c>
      <c r="H8482" s="508">
        <v>1.46</v>
      </c>
      <c r="I8482" s="508">
        <v>1.4610000000000001</v>
      </c>
      <c r="J8482" s="508">
        <v>1.46</v>
      </c>
      <c r="K8482" s="508">
        <v>1.46</v>
      </c>
      <c r="L8482" s="508">
        <v>1.4590000000000001</v>
      </c>
      <c r="M8482" s="508">
        <v>1.4610000000000001</v>
      </c>
      <c r="N8482" s="508">
        <v>1.4610000000000001</v>
      </c>
      <c r="O8482" s="508">
        <v>1.462</v>
      </c>
      <c r="P8482" s="508">
        <v>0.82199999999999995</v>
      </c>
      <c r="Q8482" s="508">
        <v>0.81399999999999995</v>
      </c>
      <c r="R8482" s="508">
        <v>0.74099999999999999</v>
      </c>
      <c r="S8482" s="508">
        <v>0.72799999999999998</v>
      </c>
      <c r="T8482" s="508">
        <v>0.72799999999999998</v>
      </c>
      <c r="U8482" s="508">
        <v>0.65900000000000003</v>
      </c>
      <c r="V8482" s="508">
        <v>0.65900000000000003</v>
      </c>
      <c r="W8482" s="508">
        <v>0.65900000000000003</v>
      </c>
      <c r="X8482" s="508">
        <v>0.63800000000000001</v>
      </c>
      <c r="Y8482" s="508">
        <v>0.63800000000000001</v>
      </c>
      <c r="Z8482" s="508">
        <v>0.61299999999999999</v>
      </c>
      <c r="AA8482" s="508">
        <v>0.61299999999999999</v>
      </c>
      <c r="AB8482" s="508">
        <v>0.61</v>
      </c>
      <c r="AC8482" s="508">
        <v>0.61</v>
      </c>
      <c r="AD8482" s="508">
        <v>0.60699999999999998</v>
      </c>
      <c r="AE8482" s="508">
        <v>0.60699999999999998</v>
      </c>
      <c r="AF8482" s="508">
        <v>0.60399999999999998</v>
      </c>
      <c r="AG8482" s="508">
        <v>0.60399999999999998</v>
      </c>
      <c r="AH8482" s="508">
        <v>0.60099999999999998</v>
      </c>
      <c r="AI8482" s="492">
        <v>0.60099999999999998</v>
      </c>
      <c r="AJ8482" s="485"/>
    </row>
    <row r="8483" spans="2:36">
      <c r="B8483" s="136" t="s">
        <v>482</v>
      </c>
      <c r="C8483" s="132" t="s">
        <v>1372</v>
      </c>
      <c r="D8483" s="132" t="s">
        <v>1384</v>
      </c>
      <c r="E8483" s="508">
        <v>1.6060000000000001</v>
      </c>
      <c r="F8483" s="508">
        <v>1.5860000000000001</v>
      </c>
      <c r="G8483" s="508">
        <v>1.583</v>
      </c>
      <c r="H8483" s="508">
        <v>1.583</v>
      </c>
      <c r="I8483" s="508">
        <v>1.5840000000000001</v>
      </c>
      <c r="J8483" s="508">
        <v>1.583</v>
      </c>
      <c r="K8483" s="508">
        <v>1.583</v>
      </c>
      <c r="L8483" s="508">
        <v>1.583</v>
      </c>
      <c r="M8483" s="508">
        <v>1.585</v>
      </c>
      <c r="N8483" s="508">
        <v>1.5860000000000001</v>
      </c>
      <c r="O8483" s="508">
        <v>1.587</v>
      </c>
      <c r="P8483" s="508">
        <v>0.89700000000000002</v>
      </c>
      <c r="Q8483" s="508">
        <v>0.88500000000000001</v>
      </c>
      <c r="R8483" s="508">
        <v>0.78400000000000003</v>
      </c>
      <c r="S8483" s="508">
        <v>0.76500000000000001</v>
      </c>
      <c r="T8483" s="508">
        <v>0.76500000000000001</v>
      </c>
      <c r="U8483" s="508">
        <v>0.69299999999999995</v>
      </c>
      <c r="V8483" s="508">
        <v>0.69299999999999995</v>
      </c>
      <c r="W8483" s="508">
        <v>0.69399999999999995</v>
      </c>
      <c r="X8483" s="508">
        <v>0.67</v>
      </c>
      <c r="Y8483" s="508">
        <v>0.67</v>
      </c>
      <c r="Z8483" s="508">
        <v>0.64400000000000002</v>
      </c>
      <c r="AA8483" s="508">
        <v>0.64400000000000002</v>
      </c>
      <c r="AB8483" s="508">
        <v>0.64</v>
      </c>
      <c r="AC8483" s="508">
        <v>0.64</v>
      </c>
      <c r="AD8483" s="508">
        <v>0.63600000000000001</v>
      </c>
      <c r="AE8483" s="508">
        <v>0.63600000000000001</v>
      </c>
      <c r="AF8483" s="508">
        <v>0.63300000000000001</v>
      </c>
      <c r="AG8483" s="508">
        <v>0.63300000000000001</v>
      </c>
      <c r="AH8483" s="508">
        <v>0.63</v>
      </c>
      <c r="AI8483" s="492">
        <v>0.63</v>
      </c>
      <c r="AJ8483" s="485"/>
    </row>
    <row r="8484" spans="2:36">
      <c r="B8484" s="136" t="s">
        <v>483</v>
      </c>
      <c r="C8484" s="132" t="s">
        <v>1372</v>
      </c>
      <c r="D8484" s="132" t="s">
        <v>1384</v>
      </c>
      <c r="E8484" s="508">
        <v>1.3120000000000001</v>
      </c>
      <c r="F8484" s="508">
        <v>0.66600000000000004</v>
      </c>
      <c r="G8484" s="508">
        <v>0.49399999999999999</v>
      </c>
      <c r="H8484" s="508">
        <v>0.45500000000000002</v>
      </c>
      <c r="I8484" s="508">
        <v>0.40600000000000003</v>
      </c>
      <c r="J8484" s="508">
        <v>0.193</v>
      </c>
      <c r="K8484" s="508">
        <v>0.13400000000000001</v>
      </c>
      <c r="L8484" s="508">
        <v>1.4E-2</v>
      </c>
      <c r="M8484" s="508">
        <v>0.187</v>
      </c>
      <c r="N8484" s="508">
        <v>0.23599999999999999</v>
      </c>
      <c r="O8484" s="508">
        <v>0.17599999999999999</v>
      </c>
      <c r="P8484" s="508">
        <v>3.2000000000000001E-2</v>
      </c>
      <c r="Q8484" s="508">
        <v>7.0000000000000001E-3</v>
      </c>
      <c r="R8484" s="508">
        <v>7.0000000000000001E-3</v>
      </c>
      <c r="S8484" s="508">
        <v>7.0000000000000001E-3</v>
      </c>
      <c r="T8484" s="508">
        <v>7.0000000000000001E-3</v>
      </c>
      <c r="U8484" s="508">
        <v>6.0000000000000001E-3</v>
      </c>
      <c r="V8484" s="508">
        <v>6.0000000000000001E-3</v>
      </c>
      <c r="W8484" s="508">
        <v>6.0000000000000001E-3</v>
      </c>
      <c r="X8484" s="508">
        <v>6.0000000000000001E-3</v>
      </c>
      <c r="Y8484" s="508">
        <v>6.0000000000000001E-3</v>
      </c>
      <c r="Z8484" s="508">
        <v>6.0000000000000001E-3</v>
      </c>
      <c r="AA8484" s="508">
        <v>6.0000000000000001E-3</v>
      </c>
      <c r="AB8484" s="508">
        <v>6.0000000000000001E-3</v>
      </c>
      <c r="AC8484" s="508">
        <v>6.0000000000000001E-3</v>
      </c>
      <c r="AD8484" s="508">
        <v>5.0000000000000001E-3</v>
      </c>
      <c r="AE8484" s="508">
        <v>5.0000000000000001E-3</v>
      </c>
      <c r="AF8484" s="508">
        <v>5.0000000000000001E-3</v>
      </c>
      <c r="AG8484" s="508">
        <v>5.0000000000000001E-3</v>
      </c>
      <c r="AH8484" s="508">
        <v>5.0000000000000001E-3</v>
      </c>
      <c r="AI8484" s="492">
        <v>5.0000000000000001E-3</v>
      </c>
      <c r="AJ8484" s="485"/>
    </row>
    <row r="8485" spans="2:36">
      <c r="B8485" s="136" t="s">
        <v>484</v>
      </c>
      <c r="C8485" s="132" t="s">
        <v>1372</v>
      </c>
      <c r="D8485" s="132" t="s">
        <v>1384</v>
      </c>
      <c r="E8485" s="508">
        <v>1.1259999999999999</v>
      </c>
      <c r="F8485" s="508">
        <v>1.117</v>
      </c>
      <c r="G8485" s="508">
        <v>1.115</v>
      </c>
      <c r="H8485" s="508">
        <v>1.1140000000000001</v>
      </c>
      <c r="I8485" s="508">
        <v>1.1140000000000001</v>
      </c>
      <c r="J8485" s="508">
        <v>1.1140000000000001</v>
      </c>
      <c r="K8485" s="508">
        <v>1.1140000000000001</v>
      </c>
      <c r="L8485" s="508">
        <v>1.113</v>
      </c>
      <c r="M8485" s="508">
        <v>1.1140000000000001</v>
      </c>
      <c r="N8485" s="508">
        <v>1.1140000000000001</v>
      </c>
      <c r="O8485" s="508">
        <v>1.1140000000000001</v>
      </c>
      <c r="P8485" s="508">
        <v>0.60699999999999998</v>
      </c>
      <c r="Q8485" s="508">
        <v>0.60199999999999998</v>
      </c>
      <c r="R8485" s="508">
        <v>0.56100000000000005</v>
      </c>
      <c r="S8485" s="508">
        <v>0.55400000000000005</v>
      </c>
      <c r="T8485" s="508">
        <v>0.55400000000000005</v>
      </c>
      <c r="U8485" s="508">
        <v>0.495</v>
      </c>
      <c r="V8485" s="508">
        <v>0.495</v>
      </c>
      <c r="W8485" s="508">
        <v>0.495</v>
      </c>
      <c r="X8485" s="508">
        <v>0.47899999999999998</v>
      </c>
      <c r="Y8485" s="508">
        <v>0.47899999999999998</v>
      </c>
      <c r="Z8485" s="508">
        <v>0.45900000000000002</v>
      </c>
      <c r="AA8485" s="508">
        <v>0.45900000000000002</v>
      </c>
      <c r="AB8485" s="508">
        <v>0.45700000000000002</v>
      </c>
      <c r="AC8485" s="508">
        <v>0.45700000000000002</v>
      </c>
      <c r="AD8485" s="508">
        <v>0.45400000000000001</v>
      </c>
      <c r="AE8485" s="508">
        <v>0.45400000000000001</v>
      </c>
      <c r="AF8485" s="508">
        <v>0.45200000000000001</v>
      </c>
      <c r="AG8485" s="508">
        <v>0.45200000000000001</v>
      </c>
      <c r="AH8485" s="508">
        <v>0.45</v>
      </c>
      <c r="AI8485" s="492">
        <v>0.45</v>
      </c>
      <c r="AJ8485" s="485"/>
    </row>
    <row r="8486" spans="2:36">
      <c r="B8486" s="136" t="s">
        <v>486</v>
      </c>
      <c r="C8486" s="132" t="s">
        <v>1372</v>
      </c>
      <c r="D8486" s="132" t="s">
        <v>1384</v>
      </c>
      <c r="E8486" s="508">
        <v>1.373</v>
      </c>
      <c r="F8486" s="508">
        <v>1.361</v>
      </c>
      <c r="G8486" s="508">
        <v>1.359</v>
      </c>
      <c r="H8486" s="508">
        <v>1.3580000000000001</v>
      </c>
      <c r="I8486" s="508">
        <v>1.359</v>
      </c>
      <c r="J8486" s="508">
        <v>1.3580000000000001</v>
      </c>
      <c r="K8486" s="508">
        <v>1.3580000000000001</v>
      </c>
      <c r="L8486" s="508">
        <v>1.357</v>
      </c>
      <c r="M8486" s="508">
        <v>1.3580000000000001</v>
      </c>
      <c r="N8486" s="508">
        <v>1.359</v>
      </c>
      <c r="O8486" s="508">
        <v>1.359</v>
      </c>
      <c r="P8486" s="508">
        <v>0.73599999999999999</v>
      </c>
      <c r="Q8486" s="508">
        <v>0.72799999999999998</v>
      </c>
      <c r="R8486" s="508">
        <v>0.66</v>
      </c>
      <c r="S8486" s="508">
        <v>0.64800000000000002</v>
      </c>
      <c r="T8486" s="508">
        <v>0.64800000000000002</v>
      </c>
      <c r="U8486" s="508">
        <v>0.57799999999999996</v>
      </c>
      <c r="V8486" s="508">
        <v>0.57799999999999996</v>
      </c>
      <c r="W8486" s="508">
        <v>0.57799999999999996</v>
      </c>
      <c r="X8486" s="508">
        <v>0.55800000000000005</v>
      </c>
      <c r="Y8486" s="508">
        <v>0.55800000000000005</v>
      </c>
      <c r="Z8486" s="508">
        <v>0.53300000000000003</v>
      </c>
      <c r="AA8486" s="508">
        <v>0.53300000000000003</v>
      </c>
      <c r="AB8486" s="508">
        <v>0.53</v>
      </c>
      <c r="AC8486" s="508">
        <v>0.53</v>
      </c>
      <c r="AD8486" s="508">
        <v>0.52700000000000002</v>
      </c>
      <c r="AE8486" s="508">
        <v>0.52700000000000002</v>
      </c>
      <c r="AF8486" s="508">
        <v>0.52300000000000002</v>
      </c>
      <c r="AG8486" s="508">
        <v>0.52300000000000002</v>
      </c>
      <c r="AH8486" s="508">
        <v>0.52100000000000002</v>
      </c>
      <c r="AI8486" s="492">
        <v>0.52100000000000002</v>
      </c>
      <c r="AJ8486" s="485"/>
    </row>
    <row r="8487" spans="2:36">
      <c r="B8487" s="136" t="s">
        <v>487</v>
      </c>
      <c r="C8487" s="132" t="s">
        <v>1372</v>
      </c>
      <c r="D8487" s="132" t="s">
        <v>1384</v>
      </c>
      <c r="E8487" s="508">
        <v>1.2430000000000001</v>
      </c>
      <c r="F8487" s="508">
        <v>0.63700000000000001</v>
      </c>
      <c r="G8487" s="508">
        <v>0.47399999999999998</v>
      </c>
      <c r="H8487" s="508">
        <v>0.436</v>
      </c>
      <c r="I8487" s="508">
        <v>0.38900000000000001</v>
      </c>
      <c r="J8487" s="508">
        <v>0.185</v>
      </c>
      <c r="K8487" s="508">
        <v>0.129</v>
      </c>
      <c r="L8487" s="508">
        <v>1.2999999999999999E-2</v>
      </c>
      <c r="M8487" s="508">
        <v>0.17899999999999999</v>
      </c>
      <c r="N8487" s="508">
        <v>0.22600000000000001</v>
      </c>
      <c r="O8487" s="508">
        <v>0.16900000000000001</v>
      </c>
      <c r="P8487" s="508">
        <v>3.1E-2</v>
      </c>
      <c r="Q8487" s="508">
        <v>7.0000000000000001E-3</v>
      </c>
      <c r="R8487" s="508">
        <v>7.0000000000000001E-3</v>
      </c>
      <c r="S8487" s="508">
        <v>6.0000000000000001E-3</v>
      </c>
      <c r="T8487" s="508">
        <v>6.0000000000000001E-3</v>
      </c>
      <c r="U8487" s="508">
        <v>6.0000000000000001E-3</v>
      </c>
      <c r="V8487" s="508">
        <v>6.0000000000000001E-3</v>
      </c>
      <c r="W8487" s="508">
        <v>6.0000000000000001E-3</v>
      </c>
      <c r="X8487" s="508">
        <v>6.0000000000000001E-3</v>
      </c>
      <c r="Y8487" s="508">
        <v>6.0000000000000001E-3</v>
      </c>
      <c r="Z8487" s="508">
        <v>5.0000000000000001E-3</v>
      </c>
      <c r="AA8487" s="508">
        <v>5.0000000000000001E-3</v>
      </c>
      <c r="AB8487" s="508">
        <v>5.0000000000000001E-3</v>
      </c>
      <c r="AC8487" s="508">
        <v>5.0000000000000001E-3</v>
      </c>
      <c r="AD8487" s="508">
        <v>5.0000000000000001E-3</v>
      </c>
      <c r="AE8487" s="508">
        <v>5.0000000000000001E-3</v>
      </c>
      <c r="AF8487" s="508">
        <v>5.0000000000000001E-3</v>
      </c>
      <c r="AG8487" s="508">
        <v>5.0000000000000001E-3</v>
      </c>
      <c r="AH8487" s="508">
        <v>5.0000000000000001E-3</v>
      </c>
      <c r="AI8487" s="492">
        <v>5.0000000000000001E-3</v>
      </c>
      <c r="AJ8487" s="485"/>
    </row>
    <row r="8488" spans="2:36">
      <c r="B8488" s="136" t="s">
        <v>488</v>
      </c>
      <c r="C8488" s="132" t="s">
        <v>1372</v>
      </c>
      <c r="D8488" s="132" t="s">
        <v>1384</v>
      </c>
      <c r="E8488" s="508">
        <v>1.3029999999999999</v>
      </c>
      <c r="F8488" s="508">
        <v>1.288</v>
      </c>
      <c r="G8488" s="508">
        <v>1.286</v>
      </c>
      <c r="H8488" s="508">
        <v>1.2849999999999999</v>
      </c>
      <c r="I8488" s="508">
        <v>1.2849999999999999</v>
      </c>
      <c r="J8488" s="508">
        <v>1.284</v>
      </c>
      <c r="K8488" s="508">
        <v>1.284</v>
      </c>
      <c r="L8488" s="508">
        <v>1.2829999999999999</v>
      </c>
      <c r="M8488" s="508">
        <v>1.284</v>
      </c>
      <c r="N8488" s="508">
        <v>1.2849999999999999</v>
      </c>
      <c r="O8488" s="508">
        <v>1.2849999999999999</v>
      </c>
      <c r="P8488" s="508">
        <v>0.72599999999999998</v>
      </c>
      <c r="Q8488" s="508">
        <v>0.72</v>
      </c>
      <c r="R8488" s="508">
        <v>0.66400000000000003</v>
      </c>
      <c r="S8488" s="508">
        <v>0.65400000000000003</v>
      </c>
      <c r="T8488" s="508">
        <v>0.65400000000000003</v>
      </c>
      <c r="U8488" s="508">
        <v>0.59099999999999997</v>
      </c>
      <c r="V8488" s="508">
        <v>0.59099999999999997</v>
      </c>
      <c r="W8488" s="508">
        <v>0.59199999999999997</v>
      </c>
      <c r="X8488" s="508">
        <v>0.57299999999999995</v>
      </c>
      <c r="Y8488" s="508">
        <v>0.57299999999999995</v>
      </c>
      <c r="Z8488" s="508">
        <v>0.55100000000000005</v>
      </c>
      <c r="AA8488" s="508">
        <v>0.55100000000000005</v>
      </c>
      <c r="AB8488" s="508">
        <v>0.54900000000000004</v>
      </c>
      <c r="AC8488" s="508">
        <v>0.54900000000000004</v>
      </c>
      <c r="AD8488" s="508">
        <v>0.54600000000000004</v>
      </c>
      <c r="AE8488" s="508">
        <v>0.54600000000000004</v>
      </c>
      <c r="AF8488" s="508">
        <v>0.54400000000000004</v>
      </c>
      <c r="AG8488" s="508">
        <v>0.54400000000000004</v>
      </c>
      <c r="AH8488" s="508">
        <v>0.54100000000000004</v>
      </c>
      <c r="AI8488" s="492">
        <v>0.54100000000000004</v>
      </c>
      <c r="AJ8488" s="485"/>
    </row>
    <row r="8489" spans="2:36">
      <c r="B8489" s="136" t="s">
        <v>489</v>
      </c>
      <c r="C8489" s="132" t="s">
        <v>1372</v>
      </c>
      <c r="D8489" s="132" t="s">
        <v>1384</v>
      </c>
      <c r="E8489" s="508">
        <v>1.204</v>
      </c>
      <c r="F8489" s="508">
        <v>1.1950000000000001</v>
      </c>
      <c r="G8489" s="508">
        <v>1.1930000000000001</v>
      </c>
      <c r="H8489" s="508">
        <v>1.1930000000000001</v>
      </c>
      <c r="I8489" s="508">
        <v>1.1930000000000001</v>
      </c>
      <c r="J8489" s="508">
        <v>1.1919999999999999</v>
      </c>
      <c r="K8489" s="508">
        <v>1.1919999999999999</v>
      </c>
      <c r="L8489" s="508">
        <v>1.1910000000000001</v>
      </c>
      <c r="M8489" s="508">
        <v>1.1919999999999999</v>
      </c>
      <c r="N8489" s="508">
        <v>1.1919999999999999</v>
      </c>
      <c r="O8489" s="508">
        <v>1.1930000000000001</v>
      </c>
      <c r="P8489" s="508">
        <v>0.64400000000000002</v>
      </c>
      <c r="Q8489" s="508">
        <v>0.63900000000000001</v>
      </c>
      <c r="R8489" s="508">
        <v>0.59199999999999997</v>
      </c>
      <c r="S8489" s="508">
        <v>0.58399999999999996</v>
      </c>
      <c r="T8489" s="508">
        <v>0.58399999999999996</v>
      </c>
      <c r="U8489" s="508">
        <v>0.52</v>
      </c>
      <c r="V8489" s="508">
        <v>0.52</v>
      </c>
      <c r="W8489" s="508">
        <v>0.52</v>
      </c>
      <c r="X8489" s="508">
        <v>0.503</v>
      </c>
      <c r="Y8489" s="508">
        <v>0.503</v>
      </c>
      <c r="Z8489" s="508">
        <v>0.48</v>
      </c>
      <c r="AA8489" s="508">
        <v>0.48</v>
      </c>
      <c r="AB8489" s="508">
        <v>0.47799999999999998</v>
      </c>
      <c r="AC8489" s="508">
        <v>0.47799999999999998</v>
      </c>
      <c r="AD8489" s="508">
        <v>0.47499999999999998</v>
      </c>
      <c r="AE8489" s="508">
        <v>0.47499999999999998</v>
      </c>
      <c r="AF8489" s="508">
        <v>0.47299999999999998</v>
      </c>
      <c r="AG8489" s="508">
        <v>0.47299999999999998</v>
      </c>
      <c r="AH8489" s="508">
        <v>0.47099999999999997</v>
      </c>
      <c r="AI8489" s="492">
        <v>0.47099999999999997</v>
      </c>
      <c r="AJ8489" s="485"/>
    </row>
    <row r="8490" spans="2:36">
      <c r="B8490" s="136" t="s">
        <v>490</v>
      </c>
      <c r="C8490" s="132" t="s">
        <v>1372</v>
      </c>
      <c r="D8490" s="132" t="s">
        <v>1384</v>
      </c>
      <c r="E8490" s="508">
        <v>1.077</v>
      </c>
      <c r="F8490" s="508">
        <v>0.54700000000000004</v>
      </c>
      <c r="G8490" s="508">
        <v>0.40600000000000003</v>
      </c>
      <c r="H8490" s="508">
        <v>0.373</v>
      </c>
      <c r="I8490" s="508">
        <v>0.33300000000000002</v>
      </c>
      <c r="J8490" s="508">
        <v>0.159</v>
      </c>
      <c r="K8490" s="508">
        <v>0.11</v>
      </c>
      <c r="L8490" s="508">
        <v>1.0999999999999999E-2</v>
      </c>
      <c r="M8490" s="508">
        <v>0.153</v>
      </c>
      <c r="N8490" s="508">
        <v>0.19400000000000001</v>
      </c>
      <c r="O8490" s="508">
        <v>0.14499999999999999</v>
      </c>
      <c r="P8490" s="508">
        <v>2.7E-2</v>
      </c>
      <c r="Q8490" s="508">
        <v>6.0000000000000001E-3</v>
      </c>
      <c r="R8490" s="508">
        <v>6.0000000000000001E-3</v>
      </c>
      <c r="S8490" s="508">
        <v>6.0000000000000001E-3</v>
      </c>
      <c r="T8490" s="508">
        <v>6.0000000000000001E-3</v>
      </c>
      <c r="U8490" s="508">
        <v>5.0000000000000001E-3</v>
      </c>
      <c r="V8490" s="508">
        <v>5.0000000000000001E-3</v>
      </c>
      <c r="W8490" s="508">
        <v>5.0000000000000001E-3</v>
      </c>
      <c r="X8490" s="508">
        <v>5.0000000000000001E-3</v>
      </c>
      <c r="Y8490" s="508">
        <v>5.0000000000000001E-3</v>
      </c>
      <c r="Z8490" s="508">
        <v>5.0000000000000001E-3</v>
      </c>
      <c r="AA8490" s="508">
        <v>5.0000000000000001E-3</v>
      </c>
      <c r="AB8490" s="508">
        <v>5.0000000000000001E-3</v>
      </c>
      <c r="AC8490" s="508">
        <v>5.0000000000000001E-3</v>
      </c>
      <c r="AD8490" s="508">
        <v>5.0000000000000001E-3</v>
      </c>
      <c r="AE8490" s="508">
        <v>5.0000000000000001E-3</v>
      </c>
      <c r="AF8490" s="508">
        <v>5.0000000000000001E-3</v>
      </c>
      <c r="AG8490" s="508">
        <v>5.0000000000000001E-3</v>
      </c>
      <c r="AH8490" s="508">
        <v>5.0000000000000001E-3</v>
      </c>
      <c r="AI8490" s="492">
        <v>5.0000000000000001E-3</v>
      </c>
      <c r="AJ8490" s="485"/>
    </row>
    <row r="8491" spans="2:36">
      <c r="B8491" s="136" t="s">
        <v>435</v>
      </c>
      <c r="C8491" s="132" t="s">
        <v>1373</v>
      </c>
      <c r="D8491" s="132" t="s">
        <v>1384</v>
      </c>
      <c r="E8491" s="508">
        <v>0.03</v>
      </c>
      <c r="F8491" s="508">
        <v>0.03</v>
      </c>
      <c r="G8491" s="508">
        <v>0.03</v>
      </c>
      <c r="H8491" s="508">
        <v>0.03</v>
      </c>
      <c r="I8491" s="508">
        <v>0.03</v>
      </c>
      <c r="J8491" s="508">
        <v>0.03</v>
      </c>
      <c r="K8491" s="508">
        <v>0.03</v>
      </c>
      <c r="L8491" s="508">
        <v>0.03</v>
      </c>
      <c r="M8491" s="508">
        <v>0.03</v>
      </c>
      <c r="N8491" s="508">
        <v>0.03</v>
      </c>
      <c r="O8491" s="508">
        <v>0.03</v>
      </c>
      <c r="P8491" s="508">
        <v>2.4E-2</v>
      </c>
      <c r="Q8491" s="508">
        <v>2.4E-2</v>
      </c>
      <c r="R8491" s="508">
        <v>2.4E-2</v>
      </c>
      <c r="S8491" s="508">
        <v>2.4E-2</v>
      </c>
      <c r="T8491" s="508">
        <v>2.4E-2</v>
      </c>
      <c r="U8491" s="508">
        <v>2.4E-2</v>
      </c>
      <c r="V8491" s="508">
        <v>2.3E-2</v>
      </c>
      <c r="W8491" s="508">
        <v>2.3E-2</v>
      </c>
      <c r="X8491" s="508">
        <v>2.3E-2</v>
      </c>
      <c r="Y8491" s="508">
        <v>2.3E-2</v>
      </c>
      <c r="Z8491" s="508">
        <v>2.3E-2</v>
      </c>
      <c r="AA8491" s="508">
        <v>2.3E-2</v>
      </c>
      <c r="AB8491" s="508">
        <v>2.3E-2</v>
      </c>
      <c r="AC8491" s="508">
        <v>2.3E-2</v>
      </c>
      <c r="AD8491" s="508">
        <v>2.3E-2</v>
      </c>
      <c r="AE8491" s="508">
        <v>2.3E-2</v>
      </c>
      <c r="AF8491" s="508">
        <v>2.3E-2</v>
      </c>
      <c r="AG8491" s="508">
        <v>2.3E-2</v>
      </c>
      <c r="AH8491" s="508">
        <v>2.1999999999999999E-2</v>
      </c>
      <c r="AI8491" s="492">
        <v>2.1999999999999999E-2</v>
      </c>
      <c r="AJ8491" s="485"/>
    </row>
    <row r="8492" spans="2:36">
      <c r="B8492" s="136" t="s">
        <v>436</v>
      </c>
      <c r="C8492" s="132" t="s">
        <v>1373</v>
      </c>
      <c r="D8492" s="132" t="s">
        <v>1384</v>
      </c>
      <c r="E8492" s="508">
        <v>2.9000000000000001E-2</v>
      </c>
      <c r="F8492" s="508">
        <v>2.9000000000000001E-2</v>
      </c>
      <c r="G8492" s="508">
        <v>2.9000000000000001E-2</v>
      </c>
      <c r="H8492" s="508">
        <v>2.9000000000000001E-2</v>
      </c>
      <c r="I8492" s="508">
        <v>2.9000000000000001E-2</v>
      </c>
      <c r="J8492" s="508">
        <v>2.9000000000000001E-2</v>
      </c>
      <c r="K8492" s="508">
        <v>2.9000000000000001E-2</v>
      </c>
      <c r="L8492" s="508">
        <v>2.9000000000000001E-2</v>
      </c>
      <c r="M8492" s="508">
        <v>2.9000000000000001E-2</v>
      </c>
      <c r="N8492" s="508">
        <v>2.9000000000000001E-2</v>
      </c>
      <c r="O8492" s="508">
        <v>2.9000000000000001E-2</v>
      </c>
      <c r="P8492" s="508">
        <v>2.3E-2</v>
      </c>
      <c r="Q8492" s="508">
        <v>2.3E-2</v>
      </c>
      <c r="R8492" s="508">
        <v>2.3E-2</v>
      </c>
      <c r="S8492" s="508">
        <v>2.1999999999999999E-2</v>
      </c>
      <c r="T8492" s="508">
        <v>2.1999999999999999E-2</v>
      </c>
      <c r="U8492" s="508">
        <v>2.1999999999999999E-2</v>
      </c>
      <c r="V8492" s="508">
        <v>2.1999999999999999E-2</v>
      </c>
      <c r="W8492" s="508">
        <v>2.1999999999999999E-2</v>
      </c>
      <c r="X8492" s="508">
        <v>2.1999999999999999E-2</v>
      </c>
      <c r="Y8492" s="508">
        <v>2.1999999999999999E-2</v>
      </c>
      <c r="Z8492" s="508">
        <v>2.1999999999999999E-2</v>
      </c>
      <c r="AA8492" s="508">
        <v>2.1999999999999999E-2</v>
      </c>
      <c r="AB8492" s="508">
        <v>2.1999999999999999E-2</v>
      </c>
      <c r="AC8492" s="508">
        <v>2.1999999999999999E-2</v>
      </c>
      <c r="AD8492" s="508">
        <v>2.1999999999999999E-2</v>
      </c>
      <c r="AE8492" s="508">
        <v>2.1999999999999999E-2</v>
      </c>
      <c r="AF8492" s="508">
        <v>2.1999999999999999E-2</v>
      </c>
      <c r="AG8492" s="508">
        <v>2.1999999999999999E-2</v>
      </c>
      <c r="AH8492" s="508">
        <v>2.1000000000000001E-2</v>
      </c>
      <c r="AI8492" s="492">
        <v>2.1000000000000001E-2</v>
      </c>
      <c r="AJ8492" s="485"/>
    </row>
    <row r="8493" spans="2:36">
      <c r="B8493" s="136" t="s">
        <v>437</v>
      </c>
      <c r="C8493" s="132" t="s">
        <v>1373</v>
      </c>
      <c r="D8493" s="132" t="s">
        <v>1384</v>
      </c>
      <c r="E8493" s="508">
        <v>3.2000000000000001E-2</v>
      </c>
      <c r="F8493" s="508">
        <v>3.1E-2</v>
      </c>
      <c r="G8493" s="508">
        <v>3.1E-2</v>
      </c>
      <c r="H8493" s="508">
        <v>3.1E-2</v>
      </c>
      <c r="I8493" s="508">
        <v>3.1E-2</v>
      </c>
      <c r="J8493" s="508">
        <v>3.2000000000000001E-2</v>
      </c>
      <c r="K8493" s="508">
        <v>3.1E-2</v>
      </c>
      <c r="L8493" s="508">
        <v>3.2000000000000001E-2</v>
      </c>
      <c r="M8493" s="508">
        <v>3.2000000000000001E-2</v>
      </c>
      <c r="N8493" s="508">
        <v>3.2000000000000001E-2</v>
      </c>
      <c r="O8493" s="508">
        <v>3.2000000000000001E-2</v>
      </c>
      <c r="P8493" s="508">
        <v>2.5000000000000001E-2</v>
      </c>
      <c r="Q8493" s="508">
        <v>2.5000000000000001E-2</v>
      </c>
      <c r="R8493" s="508">
        <v>2.5000000000000001E-2</v>
      </c>
      <c r="S8493" s="508">
        <v>2.5000000000000001E-2</v>
      </c>
      <c r="T8493" s="508">
        <v>2.5000000000000001E-2</v>
      </c>
      <c r="U8493" s="508">
        <v>2.5000000000000001E-2</v>
      </c>
      <c r="V8493" s="508">
        <v>2.5000000000000001E-2</v>
      </c>
      <c r="W8493" s="508">
        <v>2.5000000000000001E-2</v>
      </c>
      <c r="X8493" s="508">
        <v>2.5000000000000001E-2</v>
      </c>
      <c r="Y8493" s="508">
        <v>2.5000000000000001E-2</v>
      </c>
      <c r="Z8493" s="508">
        <v>2.5000000000000001E-2</v>
      </c>
      <c r="AA8493" s="508">
        <v>2.5000000000000001E-2</v>
      </c>
      <c r="AB8493" s="508">
        <v>2.5000000000000001E-2</v>
      </c>
      <c r="AC8493" s="508">
        <v>2.5000000000000001E-2</v>
      </c>
      <c r="AD8493" s="508">
        <v>2.5000000000000001E-2</v>
      </c>
      <c r="AE8493" s="508">
        <v>2.5000000000000001E-2</v>
      </c>
      <c r="AF8493" s="508">
        <v>2.5000000000000001E-2</v>
      </c>
      <c r="AG8493" s="508">
        <v>2.5000000000000001E-2</v>
      </c>
      <c r="AH8493" s="508">
        <v>2.4E-2</v>
      </c>
      <c r="AI8493" s="492">
        <v>2.4E-2</v>
      </c>
      <c r="AJ8493" s="485"/>
    </row>
    <row r="8494" spans="2:36">
      <c r="B8494" s="136" t="s">
        <v>438</v>
      </c>
      <c r="C8494" s="132" t="s">
        <v>1373</v>
      </c>
      <c r="D8494" s="132" t="s">
        <v>1384</v>
      </c>
      <c r="E8494" s="508">
        <v>2.9000000000000001E-2</v>
      </c>
      <c r="F8494" s="508">
        <v>2.9000000000000001E-2</v>
      </c>
      <c r="G8494" s="508">
        <v>2.9000000000000001E-2</v>
      </c>
      <c r="H8494" s="508">
        <v>2.9000000000000001E-2</v>
      </c>
      <c r="I8494" s="508">
        <v>2.9000000000000001E-2</v>
      </c>
      <c r="J8494" s="508">
        <v>2.9000000000000001E-2</v>
      </c>
      <c r="K8494" s="508">
        <v>2.9000000000000001E-2</v>
      </c>
      <c r="L8494" s="508">
        <v>2.9000000000000001E-2</v>
      </c>
      <c r="M8494" s="508">
        <v>2.9000000000000001E-2</v>
      </c>
      <c r="N8494" s="508">
        <v>2.9000000000000001E-2</v>
      </c>
      <c r="O8494" s="508">
        <v>2.9000000000000001E-2</v>
      </c>
      <c r="P8494" s="508">
        <v>2.3E-2</v>
      </c>
      <c r="Q8494" s="508">
        <v>2.3E-2</v>
      </c>
      <c r="R8494" s="508">
        <v>2.3E-2</v>
      </c>
      <c r="S8494" s="508">
        <v>2.3E-2</v>
      </c>
      <c r="T8494" s="508">
        <v>2.3E-2</v>
      </c>
      <c r="U8494" s="508">
        <v>2.3E-2</v>
      </c>
      <c r="V8494" s="508">
        <v>2.3E-2</v>
      </c>
      <c r="W8494" s="508">
        <v>2.3E-2</v>
      </c>
      <c r="X8494" s="508">
        <v>2.3E-2</v>
      </c>
      <c r="Y8494" s="508">
        <v>2.3E-2</v>
      </c>
      <c r="Z8494" s="508">
        <v>2.3E-2</v>
      </c>
      <c r="AA8494" s="508">
        <v>2.3E-2</v>
      </c>
      <c r="AB8494" s="508">
        <v>2.3E-2</v>
      </c>
      <c r="AC8494" s="508">
        <v>2.3E-2</v>
      </c>
      <c r="AD8494" s="508">
        <v>2.3E-2</v>
      </c>
      <c r="AE8494" s="508">
        <v>2.3E-2</v>
      </c>
      <c r="AF8494" s="508">
        <v>2.3E-2</v>
      </c>
      <c r="AG8494" s="508">
        <v>2.3E-2</v>
      </c>
      <c r="AH8494" s="508">
        <v>2.1999999999999999E-2</v>
      </c>
      <c r="AI8494" s="492">
        <v>2.1999999999999999E-2</v>
      </c>
      <c r="AJ8494" s="485"/>
    </row>
    <row r="8495" spans="2:36">
      <c r="B8495" s="136" t="s">
        <v>439</v>
      </c>
      <c r="C8495" s="132" t="s">
        <v>1373</v>
      </c>
      <c r="D8495" s="132" t="s">
        <v>1384</v>
      </c>
      <c r="E8495" s="508">
        <v>3.1E-2</v>
      </c>
      <c r="F8495" s="508">
        <v>3.1E-2</v>
      </c>
      <c r="G8495" s="508">
        <v>3.1E-2</v>
      </c>
      <c r="H8495" s="508">
        <v>3.1E-2</v>
      </c>
      <c r="I8495" s="508">
        <v>3.1E-2</v>
      </c>
      <c r="J8495" s="508">
        <v>3.1E-2</v>
      </c>
      <c r="K8495" s="508">
        <v>3.1E-2</v>
      </c>
      <c r="L8495" s="508">
        <v>3.1E-2</v>
      </c>
      <c r="M8495" s="508">
        <v>3.1E-2</v>
      </c>
      <c r="N8495" s="508">
        <v>3.1E-2</v>
      </c>
      <c r="O8495" s="508">
        <v>3.1E-2</v>
      </c>
      <c r="P8495" s="508">
        <v>2.4E-2</v>
      </c>
      <c r="Q8495" s="508">
        <v>2.4E-2</v>
      </c>
      <c r="R8495" s="508">
        <v>2.4E-2</v>
      </c>
      <c r="S8495" s="508">
        <v>2.4E-2</v>
      </c>
      <c r="T8495" s="508">
        <v>2.4E-2</v>
      </c>
      <c r="U8495" s="508">
        <v>2.4E-2</v>
      </c>
      <c r="V8495" s="508">
        <v>2.4E-2</v>
      </c>
      <c r="W8495" s="508">
        <v>2.4E-2</v>
      </c>
      <c r="X8495" s="508">
        <v>2.4E-2</v>
      </c>
      <c r="Y8495" s="508">
        <v>2.4E-2</v>
      </c>
      <c r="Z8495" s="508">
        <v>2.4E-2</v>
      </c>
      <c r="AA8495" s="508">
        <v>2.4E-2</v>
      </c>
      <c r="AB8495" s="508">
        <v>2.4E-2</v>
      </c>
      <c r="AC8495" s="508">
        <v>2.4E-2</v>
      </c>
      <c r="AD8495" s="508">
        <v>2.4E-2</v>
      </c>
      <c r="AE8495" s="508">
        <v>2.4E-2</v>
      </c>
      <c r="AF8495" s="508">
        <v>2.4E-2</v>
      </c>
      <c r="AG8495" s="508">
        <v>2.4E-2</v>
      </c>
      <c r="AH8495" s="508">
        <v>2.3E-2</v>
      </c>
      <c r="AI8495" s="492">
        <v>2.3E-2</v>
      </c>
      <c r="AJ8495" s="485"/>
    </row>
    <row r="8496" spans="2:36">
      <c r="B8496" s="136" t="s">
        <v>440</v>
      </c>
      <c r="C8496" s="132" t="s">
        <v>1373</v>
      </c>
      <c r="D8496" s="132" t="s">
        <v>1384</v>
      </c>
      <c r="E8496" s="508">
        <v>3.1E-2</v>
      </c>
      <c r="F8496" s="508">
        <v>0.03</v>
      </c>
      <c r="G8496" s="508">
        <v>0.03</v>
      </c>
      <c r="H8496" s="508">
        <v>0.03</v>
      </c>
      <c r="I8496" s="508">
        <v>0.03</v>
      </c>
      <c r="J8496" s="508">
        <v>0.03</v>
      </c>
      <c r="K8496" s="508">
        <v>0.03</v>
      </c>
      <c r="L8496" s="508">
        <v>0.03</v>
      </c>
      <c r="M8496" s="508">
        <v>0.03</v>
      </c>
      <c r="N8496" s="508">
        <v>0.03</v>
      </c>
      <c r="O8496" s="508">
        <v>0.03</v>
      </c>
      <c r="P8496" s="508">
        <v>2.4E-2</v>
      </c>
      <c r="Q8496" s="508">
        <v>2.4E-2</v>
      </c>
      <c r="R8496" s="508">
        <v>2.4E-2</v>
      </c>
      <c r="S8496" s="508">
        <v>2.3E-2</v>
      </c>
      <c r="T8496" s="508">
        <v>2.3E-2</v>
      </c>
      <c r="U8496" s="508">
        <v>2.3E-2</v>
      </c>
      <c r="V8496" s="508">
        <v>2.3E-2</v>
      </c>
      <c r="W8496" s="508">
        <v>2.3E-2</v>
      </c>
      <c r="X8496" s="508">
        <v>2.3E-2</v>
      </c>
      <c r="Y8496" s="508">
        <v>2.3E-2</v>
      </c>
      <c r="Z8496" s="508">
        <v>2.3E-2</v>
      </c>
      <c r="AA8496" s="508">
        <v>2.3E-2</v>
      </c>
      <c r="AB8496" s="508">
        <v>2.3E-2</v>
      </c>
      <c r="AC8496" s="508">
        <v>2.3E-2</v>
      </c>
      <c r="AD8496" s="508">
        <v>2.3E-2</v>
      </c>
      <c r="AE8496" s="508">
        <v>2.3E-2</v>
      </c>
      <c r="AF8496" s="508">
        <v>2.3E-2</v>
      </c>
      <c r="AG8496" s="508">
        <v>2.3E-2</v>
      </c>
      <c r="AH8496" s="508">
        <v>2.1999999999999999E-2</v>
      </c>
      <c r="AI8496" s="492">
        <v>2.1999999999999999E-2</v>
      </c>
      <c r="AJ8496" s="485"/>
    </row>
    <row r="8497" spans="2:36">
      <c r="B8497" s="136" t="s">
        <v>441</v>
      </c>
      <c r="C8497" s="132" t="s">
        <v>1373</v>
      </c>
      <c r="D8497" s="132" t="s">
        <v>1384</v>
      </c>
      <c r="E8497" s="508">
        <v>3.1E-2</v>
      </c>
      <c r="F8497" s="508">
        <v>3.1E-2</v>
      </c>
      <c r="G8497" s="508">
        <v>3.1E-2</v>
      </c>
      <c r="H8497" s="508">
        <v>3.1E-2</v>
      </c>
      <c r="I8497" s="508">
        <v>3.1E-2</v>
      </c>
      <c r="J8497" s="508">
        <v>3.1E-2</v>
      </c>
      <c r="K8497" s="508">
        <v>3.1E-2</v>
      </c>
      <c r="L8497" s="508">
        <v>3.1E-2</v>
      </c>
      <c r="M8497" s="508">
        <v>3.1E-2</v>
      </c>
      <c r="N8497" s="508">
        <v>3.1E-2</v>
      </c>
      <c r="O8497" s="508">
        <v>3.1E-2</v>
      </c>
      <c r="P8497" s="508">
        <v>2.4E-2</v>
      </c>
      <c r="Q8497" s="508">
        <v>2.4E-2</v>
      </c>
      <c r="R8497" s="508">
        <v>2.4E-2</v>
      </c>
      <c r="S8497" s="508">
        <v>2.4E-2</v>
      </c>
      <c r="T8497" s="508">
        <v>2.4E-2</v>
      </c>
      <c r="U8497" s="508">
        <v>2.4E-2</v>
      </c>
      <c r="V8497" s="508">
        <v>2.4E-2</v>
      </c>
      <c r="W8497" s="508">
        <v>2.4E-2</v>
      </c>
      <c r="X8497" s="508">
        <v>2.4E-2</v>
      </c>
      <c r="Y8497" s="508">
        <v>2.4E-2</v>
      </c>
      <c r="Z8497" s="508">
        <v>2.4E-2</v>
      </c>
      <c r="AA8497" s="508">
        <v>2.4E-2</v>
      </c>
      <c r="AB8497" s="508">
        <v>2.4E-2</v>
      </c>
      <c r="AC8497" s="508">
        <v>2.4E-2</v>
      </c>
      <c r="AD8497" s="508">
        <v>2.4E-2</v>
      </c>
      <c r="AE8497" s="508">
        <v>2.4E-2</v>
      </c>
      <c r="AF8497" s="508">
        <v>2.4E-2</v>
      </c>
      <c r="AG8497" s="508">
        <v>2.4E-2</v>
      </c>
      <c r="AH8497" s="508">
        <v>2.3E-2</v>
      </c>
      <c r="AI8497" s="492">
        <v>2.3E-2</v>
      </c>
      <c r="AJ8497" s="485"/>
    </row>
    <row r="8498" spans="2:36">
      <c r="B8498" s="136" t="s">
        <v>443</v>
      </c>
      <c r="C8498" s="132" t="s">
        <v>1373</v>
      </c>
      <c r="D8498" s="132" t="s">
        <v>1384</v>
      </c>
      <c r="E8498" s="508">
        <v>3.1E-2</v>
      </c>
      <c r="F8498" s="508">
        <v>3.1E-2</v>
      </c>
      <c r="G8498" s="508">
        <v>3.1E-2</v>
      </c>
      <c r="H8498" s="508">
        <v>3.1E-2</v>
      </c>
      <c r="I8498" s="508">
        <v>3.1E-2</v>
      </c>
      <c r="J8498" s="508">
        <v>3.1E-2</v>
      </c>
      <c r="K8498" s="508">
        <v>3.1E-2</v>
      </c>
      <c r="L8498" s="508">
        <v>3.1E-2</v>
      </c>
      <c r="M8498" s="508">
        <v>3.1E-2</v>
      </c>
      <c r="N8498" s="508">
        <v>3.1E-2</v>
      </c>
      <c r="O8498" s="508">
        <v>3.1E-2</v>
      </c>
      <c r="P8498" s="508">
        <v>2.4E-2</v>
      </c>
      <c r="Q8498" s="508">
        <v>2.4E-2</v>
      </c>
      <c r="R8498" s="508">
        <v>2.4E-2</v>
      </c>
      <c r="S8498" s="508">
        <v>2.4E-2</v>
      </c>
      <c r="T8498" s="508">
        <v>2.4E-2</v>
      </c>
      <c r="U8498" s="508">
        <v>2.4E-2</v>
      </c>
      <c r="V8498" s="508">
        <v>2.4E-2</v>
      </c>
      <c r="W8498" s="508">
        <v>2.4E-2</v>
      </c>
      <c r="X8498" s="508">
        <v>2.4E-2</v>
      </c>
      <c r="Y8498" s="508">
        <v>2.4E-2</v>
      </c>
      <c r="Z8498" s="508">
        <v>2.4E-2</v>
      </c>
      <c r="AA8498" s="508">
        <v>2.4E-2</v>
      </c>
      <c r="AB8498" s="508">
        <v>2.4E-2</v>
      </c>
      <c r="AC8498" s="508">
        <v>2.4E-2</v>
      </c>
      <c r="AD8498" s="508">
        <v>2.4E-2</v>
      </c>
      <c r="AE8498" s="508">
        <v>2.4E-2</v>
      </c>
      <c r="AF8498" s="508">
        <v>2.4E-2</v>
      </c>
      <c r="AG8498" s="508">
        <v>2.4E-2</v>
      </c>
      <c r="AH8498" s="508">
        <v>2.3E-2</v>
      </c>
      <c r="AI8498" s="492">
        <v>2.3E-2</v>
      </c>
      <c r="AJ8498" s="485"/>
    </row>
    <row r="8499" spans="2:36">
      <c r="B8499" s="136" t="s">
        <v>445</v>
      </c>
      <c r="C8499" s="132" t="s">
        <v>1373</v>
      </c>
      <c r="D8499" s="132" t="s">
        <v>1384</v>
      </c>
      <c r="E8499" s="508">
        <v>3.5000000000000003E-2</v>
      </c>
      <c r="F8499" s="508">
        <v>3.4000000000000002E-2</v>
      </c>
      <c r="G8499" s="508">
        <v>3.4000000000000002E-2</v>
      </c>
      <c r="H8499" s="508">
        <v>3.4000000000000002E-2</v>
      </c>
      <c r="I8499" s="508">
        <v>3.4000000000000002E-2</v>
      </c>
      <c r="J8499" s="508">
        <v>3.4000000000000002E-2</v>
      </c>
      <c r="K8499" s="508">
        <v>3.4000000000000002E-2</v>
      </c>
      <c r="L8499" s="508">
        <v>3.4000000000000002E-2</v>
      </c>
      <c r="M8499" s="508">
        <v>3.4000000000000002E-2</v>
      </c>
      <c r="N8499" s="508">
        <v>3.4000000000000002E-2</v>
      </c>
      <c r="O8499" s="508">
        <v>3.4000000000000002E-2</v>
      </c>
      <c r="P8499" s="508">
        <v>2.7E-2</v>
      </c>
      <c r="Q8499" s="508">
        <v>2.7E-2</v>
      </c>
      <c r="R8499" s="508">
        <v>2.7E-2</v>
      </c>
      <c r="S8499" s="508">
        <v>2.7E-2</v>
      </c>
      <c r="T8499" s="508">
        <v>2.7E-2</v>
      </c>
      <c r="U8499" s="508">
        <v>2.7E-2</v>
      </c>
      <c r="V8499" s="508">
        <v>2.7E-2</v>
      </c>
      <c r="W8499" s="508">
        <v>2.7E-2</v>
      </c>
      <c r="X8499" s="508">
        <v>2.7E-2</v>
      </c>
      <c r="Y8499" s="508">
        <v>2.7E-2</v>
      </c>
      <c r="Z8499" s="508">
        <v>2.7E-2</v>
      </c>
      <c r="AA8499" s="508">
        <v>2.7E-2</v>
      </c>
      <c r="AB8499" s="508">
        <v>2.7E-2</v>
      </c>
      <c r="AC8499" s="508">
        <v>2.7E-2</v>
      </c>
      <c r="AD8499" s="508">
        <v>2.7E-2</v>
      </c>
      <c r="AE8499" s="508">
        <v>2.7E-2</v>
      </c>
      <c r="AF8499" s="508">
        <v>2.7E-2</v>
      </c>
      <c r="AG8499" s="508">
        <v>2.7E-2</v>
      </c>
      <c r="AH8499" s="508">
        <v>2.5000000000000001E-2</v>
      </c>
      <c r="AI8499" s="492">
        <v>2.5000000000000001E-2</v>
      </c>
      <c r="AJ8499" s="485"/>
    </row>
    <row r="8500" spans="2:36">
      <c r="B8500" s="136" t="s">
        <v>446</v>
      </c>
      <c r="C8500" s="132" t="s">
        <v>1373</v>
      </c>
      <c r="D8500" s="132" t="s">
        <v>1384</v>
      </c>
      <c r="E8500" s="508">
        <v>3.3000000000000002E-2</v>
      </c>
      <c r="F8500" s="508">
        <v>3.3000000000000002E-2</v>
      </c>
      <c r="G8500" s="508">
        <v>3.3000000000000002E-2</v>
      </c>
      <c r="H8500" s="508">
        <v>3.3000000000000002E-2</v>
      </c>
      <c r="I8500" s="508">
        <v>3.3000000000000002E-2</v>
      </c>
      <c r="J8500" s="508">
        <v>3.3000000000000002E-2</v>
      </c>
      <c r="K8500" s="508">
        <v>3.3000000000000002E-2</v>
      </c>
      <c r="L8500" s="508">
        <v>3.3000000000000002E-2</v>
      </c>
      <c r="M8500" s="508">
        <v>3.3000000000000002E-2</v>
      </c>
      <c r="N8500" s="508">
        <v>3.3000000000000002E-2</v>
      </c>
      <c r="O8500" s="508">
        <v>3.3000000000000002E-2</v>
      </c>
      <c r="P8500" s="508">
        <v>2.5999999999999999E-2</v>
      </c>
      <c r="Q8500" s="508">
        <v>2.5999999999999999E-2</v>
      </c>
      <c r="R8500" s="508">
        <v>2.5999999999999999E-2</v>
      </c>
      <c r="S8500" s="508">
        <v>2.5999999999999999E-2</v>
      </c>
      <c r="T8500" s="508">
        <v>2.5999999999999999E-2</v>
      </c>
      <c r="U8500" s="508">
        <v>2.5999999999999999E-2</v>
      </c>
      <c r="V8500" s="508">
        <v>2.5999999999999999E-2</v>
      </c>
      <c r="W8500" s="508">
        <v>2.5999999999999999E-2</v>
      </c>
      <c r="X8500" s="508">
        <v>2.5999999999999999E-2</v>
      </c>
      <c r="Y8500" s="508">
        <v>2.5999999999999999E-2</v>
      </c>
      <c r="Z8500" s="508">
        <v>2.5999999999999999E-2</v>
      </c>
      <c r="AA8500" s="508">
        <v>2.5999999999999999E-2</v>
      </c>
      <c r="AB8500" s="508">
        <v>2.5999999999999999E-2</v>
      </c>
      <c r="AC8500" s="508">
        <v>2.5999999999999999E-2</v>
      </c>
      <c r="AD8500" s="508">
        <v>2.5999999999999999E-2</v>
      </c>
      <c r="AE8500" s="508">
        <v>2.5999999999999999E-2</v>
      </c>
      <c r="AF8500" s="508">
        <v>2.5999999999999999E-2</v>
      </c>
      <c r="AG8500" s="508">
        <v>2.5999999999999999E-2</v>
      </c>
      <c r="AH8500" s="508">
        <v>2.5000000000000001E-2</v>
      </c>
      <c r="AI8500" s="492">
        <v>2.5000000000000001E-2</v>
      </c>
      <c r="AJ8500" s="485"/>
    </row>
    <row r="8501" spans="2:36">
      <c r="B8501" s="136" t="s">
        <v>448</v>
      </c>
      <c r="C8501" s="132" t="s">
        <v>1373</v>
      </c>
      <c r="D8501" s="132" t="s">
        <v>1384</v>
      </c>
      <c r="E8501" s="508">
        <v>0.03</v>
      </c>
      <c r="F8501" s="508">
        <v>0.03</v>
      </c>
      <c r="G8501" s="508">
        <v>0.03</v>
      </c>
      <c r="H8501" s="508">
        <v>0.03</v>
      </c>
      <c r="I8501" s="508">
        <v>0.03</v>
      </c>
      <c r="J8501" s="508">
        <v>0.03</v>
      </c>
      <c r="K8501" s="508">
        <v>2.9000000000000001E-2</v>
      </c>
      <c r="L8501" s="508">
        <v>0.03</v>
      </c>
      <c r="M8501" s="508">
        <v>0.03</v>
      </c>
      <c r="N8501" s="508">
        <v>2.9000000000000001E-2</v>
      </c>
      <c r="O8501" s="508">
        <v>0.03</v>
      </c>
      <c r="P8501" s="508">
        <v>2.3E-2</v>
      </c>
      <c r="Q8501" s="508">
        <v>2.3E-2</v>
      </c>
      <c r="R8501" s="508">
        <v>2.3E-2</v>
      </c>
      <c r="S8501" s="508">
        <v>2.3E-2</v>
      </c>
      <c r="T8501" s="508">
        <v>2.3E-2</v>
      </c>
      <c r="U8501" s="508">
        <v>2.3E-2</v>
      </c>
      <c r="V8501" s="508">
        <v>2.3E-2</v>
      </c>
      <c r="W8501" s="508">
        <v>2.3E-2</v>
      </c>
      <c r="X8501" s="508">
        <v>2.3E-2</v>
      </c>
      <c r="Y8501" s="508">
        <v>2.3E-2</v>
      </c>
      <c r="Z8501" s="508">
        <v>2.3E-2</v>
      </c>
      <c r="AA8501" s="508">
        <v>2.3E-2</v>
      </c>
      <c r="AB8501" s="508">
        <v>2.3E-2</v>
      </c>
      <c r="AC8501" s="508">
        <v>2.3E-2</v>
      </c>
      <c r="AD8501" s="508">
        <v>2.3E-2</v>
      </c>
      <c r="AE8501" s="508">
        <v>2.3E-2</v>
      </c>
      <c r="AF8501" s="508">
        <v>2.3E-2</v>
      </c>
      <c r="AG8501" s="508">
        <v>2.3E-2</v>
      </c>
      <c r="AH8501" s="508">
        <v>2.1999999999999999E-2</v>
      </c>
      <c r="AI8501" s="492">
        <v>2.1999999999999999E-2</v>
      </c>
      <c r="AJ8501" s="485"/>
    </row>
    <row r="8502" spans="2:36">
      <c r="B8502" s="136" t="s">
        <v>449</v>
      </c>
      <c r="C8502" s="132" t="s">
        <v>1373</v>
      </c>
      <c r="D8502" s="132" t="s">
        <v>1384</v>
      </c>
      <c r="E8502" s="508">
        <v>3.2000000000000001E-2</v>
      </c>
      <c r="F8502" s="508">
        <v>3.2000000000000001E-2</v>
      </c>
      <c r="G8502" s="508">
        <v>3.2000000000000001E-2</v>
      </c>
      <c r="H8502" s="508">
        <v>3.2000000000000001E-2</v>
      </c>
      <c r="I8502" s="508">
        <v>3.2000000000000001E-2</v>
      </c>
      <c r="J8502" s="508">
        <v>3.2000000000000001E-2</v>
      </c>
      <c r="K8502" s="508">
        <v>3.2000000000000001E-2</v>
      </c>
      <c r="L8502" s="508">
        <v>3.2000000000000001E-2</v>
      </c>
      <c r="M8502" s="508">
        <v>3.2000000000000001E-2</v>
      </c>
      <c r="N8502" s="508">
        <v>3.2000000000000001E-2</v>
      </c>
      <c r="O8502" s="508">
        <v>3.2000000000000001E-2</v>
      </c>
      <c r="P8502" s="508">
        <v>2.5000000000000001E-2</v>
      </c>
      <c r="Q8502" s="508">
        <v>2.5000000000000001E-2</v>
      </c>
      <c r="R8502" s="508">
        <v>2.5000000000000001E-2</v>
      </c>
      <c r="S8502" s="508">
        <v>2.5000000000000001E-2</v>
      </c>
      <c r="T8502" s="508">
        <v>2.5000000000000001E-2</v>
      </c>
      <c r="U8502" s="508">
        <v>2.5000000000000001E-2</v>
      </c>
      <c r="V8502" s="508">
        <v>2.5000000000000001E-2</v>
      </c>
      <c r="W8502" s="508">
        <v>2.5000000000000001E-2</v>
      </c>
      <c r="X8502" s="508">
        <v>2.5000000000000001E-2</v>
      </c>
      <c r="Y8502" s="508">
        <v>2.5000000000000001E-2</v>
      </c>
      <c r="Z8502" s="508">
        <v>2.5000000000000001E-2</v>
      </c>
      <c r="AA8502" s="508">
        <v>2.5000000000000001E-2</v>
      </c>
      <c r="AB8502" s="508">
        <v>2.5000000000000001E-2</v>
      </c>
      <c r="AC8502" s="508">
        <v>2.5000000000000001E-2</v>
      </c>
      <c r="AD8502" s="508">
        <v>2.5000000000000001E-2</v>
      </c>
      <c r="AE8502" s="508">
        <v>2.5000000000000001E-2</v>
      </c>
      <c r="AF8502" s="508">
        <v>2.5000000000000001E-2</v>
      </c>
      <c r="AG8502" s="508">
        <v>2.5000000000000001E-2</v>
      </c>
      <c r="AH8502" s="508">
        <v>2.4E-2</v>
      </c>
      <c r="AI8502" s="492">
        <v>2.4E-2</v>
      </c>
      <c r="AJ8502" s="485"/>
    </row>
    <row r="8503" spans="2:36">
      <c r="B8503" s="136" t="s">
        <v>450</v>
      </c>
      <c r="C8503" s="132" t="s">
        <v>1373</v>
      </c>
      <c r="D8503" s="132" t="s">
        <v>1384</v>
      </c>
      <c r="E8503" s="508">
        <v>2.9000000000000001E-2</v>
      </c>
      <c r="F8503" s="508">
        <v>2.9000000000000001E-2</v>
      </c>
      <c r="G8503" s="508">
        <v>2.9000000000000001E-2</v>
      </c>
      <c r="H8503" s="508">
        <v>2.9000000000000001E-2</v>
      </c>
      <c r="I8503" s="508">
        <v>2.9000000000000001E-2</v>
      </c>
      <c r="J8503" s="508">
        <v>2.9000000000000001E-2</v>
      </c>
      <c r="K8503" s="508">
        <v>2.9000000000000001E-2</v>
      </c>
      <c r="L8503" s="508">
        <v>2.9000000000000001E-2</v>
      </c>
      <c r="M8503" s="508">
        <v>2.9000000000000001E-2</v>
      </c>
      <c r="N8503" s="508">
        <v>2.9000000000000001E-2</v>
      </c>
      <c r="O8503" s="508">
        <v>2.9000000000000001E-2</v>
      </c>
      <c r="P8503" s="508">
        <v>2.3E-2</v>
      </c>
      <c r="Q8503" s="508">
        <v>2.3E-2</v>
      </c>
      <c r="R8503" s="508">
        <v>2.3E-2</v>
      </c>
      <c r="S8503" s="508">
        <v>2.3E-2</v>
      </c>
      <c r="T8503" s="508">
        <v>2.1999999999999999E-2</v>
      </c>
      <c r="U8503" s="508">
        <v>2.1999999999999999E-2</v>
      </c>
      <c r="V8503" s="508">
        <v>2.1999999999999999E-2</v>
      </c>
      <c r="W8503" s="508">
        <v>2.1999999999999999E-2</v>
      </c>
      <c r="X8503" s="508">
        <v>2.1999999999999999E-2</v>
      </c>
      <c r="Y8503" s="508">
        <v>2.1999999999999999E-2</v>
      </c>
      <c r="Z8503" s="508">
        <v>2.1999999999999999E-2</v>
      </c>
      <c r="AA8503" s="508">
        <v>2.1999999999999999E-2</v>
      </c>
      <c r="AB8503" s="508">
        <v>2.1999999999999999E-2</v>
      </c>
      <c r="AC8503" s="508">
        <v>2.1999999999999999E-2</v>
      </c>
      <c r="AD8503" s="508">
        <v>2.1999999999999999E-2</v>
      </c>
      <c r="AE8503" s="508">
        <v>2.1999999999999999E-2</v>
      </c>
      <c r="AF8503" s="508">
        <v>2.1999999999999999E-2</v>
      </c>
      <c r="AG8503" s="508">
        <v>2.1999999999999999E-2</v>
      </c>
      <c r="AH8503" s="508">
        <v>2.1000000000000001E-2</v>
      </c>
      <c r="AI8503" s="492">
        <v>2.1000000000000001E-2</v>
      </c>
      <c r="AJ8503" s="485"/>
    </row>
    <row r="8504" spans="2:36">
      <c r="B8504" s="136" t="s">
        <v>451</v>
      </c>
      <c r="C8504" s="132" t="s">
        <v>1373</v>
      </c>
      <c r="D8504" s="132" t="s">
        <v>1384</v>
      </c>
      <c r="E8504" s="508">
        <v>3.3000000000000002E-2</v>
      </c>
      <c r="F8504" s="508">
        <v>3.3000000000000002E-2</v>
      </c>
      <c r="G8504" s="508">
        <v>3.3000000000000002E-2</v>
      </c>
      <c r="H8504" s="508">
        <v>3.3000000000000002E-2</v>
      </c>
      <c r="I8504" s="508">
        <v>3.3000000000000002E-2</v>
      </c>
      <c r="J8504" s="508">
        <v>3.3000000000000002E-2</v>
      </c>
      <c r="K8504" s="508">
        <v>3.3000000000000002E-2</v>
      </c>
      <c r="L8504" s="508">
        <v>3.3000000000000002E-2</v>
      </c>
      <c r="M8504" s="508">
        <v>3.3000000000000002E-2</v>
      </c>
      <c r="N8504" s="508">
        <v>3.3000000000000002E-2</v>
      </c>
      <c r="O8504" s="508">
        <v>3.3000000000000002E-2</v>
      </c>
      <c r="P8504" s="508">
        <v>2.5999999999999999E-2</v>
      </c>
      <c r="Q8504" s="508">
        <v>2.5999999999999999E-2</v>
      </c>
      <c r="R8504" s="508">
        <v>2.5999999999999999E-2</v>
      </c>
      <c r="S8504" s="508">
        <v>2.5999999999999999E-2</v>
      </c>
      <c r="T8504" s="508">
        <v>2.5999999999999999E-2</v>
      </c>
      <c r="U8504" s="508">
        <v>2.5999999999999999E-2</v>
      </c>
      <c r="V8504" s="508">
        <v>2.5999999999999999E-2</v>
      </c>
      <c r="W8504" s="508">
        <v>2.5000000000000001E-2</v>
      </c>
      <c r="X8504" s="508">
        <v>2.5000000000000001E-2</v>
      </c>
      <c r="Y8504" s="508">
        <v>2.5000000000000001E-2</v>
      </c>
      <c r="Z8504" s="508">
        <v>2.5000000000000001E-2</v>
      </c>
      <c r="AA8504" s="508">
        <v>2.5000000000000001E-2</v>
      </c>
      <c r="AB8504" s="508">
        <v>2.5000000000000001E-2</v>
      </c>
      <c r="AC8504" s="508">
        <v>2.5000000000000001E-2</v>
      </c>
      <c r="AD8504" s="508">
        <v>2.5000000000000001E-2</v>
      </c>
      <c r="AE8504" s="508">
        <v>2.5000000000000001E-2</v>
      </c>
      <c r="AF8504" s="508">
        <v>2.5000000000000001E-2</v>
      </c>
      <c r="AG8504" s="508">
        <v>2.5000000000000001E-2</v>
      </c>
      <c r="AH8504" s="508">
        <v>2.4E-2</v>
      </c>
      <c r="AI8504" s="492">
        <v>2.4E-2</v>
      </c>
      <c r="AJ8504" s="485"/>
    </row>
    <row r="8505" spans="2:36">
      <c r="B8505" s="136" t="s">
        <v>452</v>
      </c>
      <c r="C8505" s="132" t="s">
        <v>1373</v>
      </c>
      <c r="D8505" s="132" t="s">
        <v>1384</v>
      </c>
      <c r="E8505" s="508">
        <v>3.1E-2</v>
      </c>
      <c r="F8505" s="508">
        <v>3.1E-2</v>
      </c>
      <c r="G8505" s="508">
        <v>3.1E-2</v>
      </c>
      <c r="H8505" s="508">
        <v>0.03</v>
      </c>
      <c r="I8505" s="508">
        <v>0.03</v>
      </c>
      <c r="J8505" s="508">
        <v>0.03</v>
      </c>
      <c r="K8505" s="508">
        <v>0.03</v>
      </c>
      <c r="L8505" s="508">
        <v>0.03</v>
      </c>
      <c r="M8505" s="508">
        <v>0.03</v>
      </c>
      <c r="N8505" s="508">
        <v>0.03</v>
      </c>
      <c r="O8505" s="508">
        <v>0.03</v>
      </c>
      <c r="P8505" s="508">
        <v>2.4E-2</v>
      </c>
      <c r="Q8505" s="508">
        <v>2.4E-2</v>
      </c>
      <c r="R8505" s="508">
        <v>2.4E-2</v>
      </c>
      <c r="S8505" s="508">
        <v>2.4E-2</v>
      </c>
      <c r="T8505" s="508">
        <v>2.4E-2</v>
      </c>
      <c r="U8505" s="508">
        <v>2.4E-2</v>
      </c>
      <c r="V8505" s="508">
        <v>2.4E-2</v>
      </c>
      <c r="W8505" s="508">
        <v>2.4E-2</v>
      </c>
      <c r="X8505" s="508">
        <v>2.4E-2</v>
      </c>
      <c r="Y8505" s="508">
        <v>2.4E-2</v>
      </c>
      <c r="Z8505" s="508">
        <v>2.4E-2</v>
      </c>
      <c r="AA8505" s="508">
        <v>2.4E-2</v>
      </c>
      <c r="AB8505" s="508">
        <v>2.4E-2</v>
      </c>
      <c r="AC8505" s="508">
        <v>2.3E-2</v>
      </c>
      <c r="AD8505" s="508">
        <v>2.3E-2</v>
      </c>
      <c r="AE8505" s="508">
        <v>2.3E-2</v>
      </c>
      <c r="AF8505" s="508">
        <v>2.3E-2</v>
      </c>
      <c r="AG8505" s="508">
        <v>2.3E-2</v>
      </c>
      <c r="AH8505" s="508">
        <v>2.3E-2</v>
      </c>
      <c r="AI8505" s="492">
        <v>2.1999999999999999E-2</v>
      </c>
      <c r="AJ8505" s="485"/>
    </row>
    <row r="8506" spans="2:36">
      <c r="B8506" s="136" t="s">
        <v>453</v>
      </c>
      <c r="C8506" s="132" t="s">
        <v>1373</v>
      </c>
      <c r="D8506" s="132" t="s">
        <v>1384</v>
      </c>
      <c r="E8506" s="508">
        <v>2.9000000000000001E-2</v>
      </c>
      <c r="F8506" s="508">
        <v>2.9000000000000001E-2</v>
      </c>
      <c r="G8506" s="508">
        <v>2.9000000000000001E-2</v>
      </c>
      <c r="H8506" s="508">
        <v>2.9000000000000001E-2</v>
      </c>
      <c r="I8506" s="508">
        <v>2.9000000000000001E-2</v>
      </c>
      <c r="J8506" s="508">
        <v>2.9000000000000001E-2</v>
      </c>
      <c r="K8506" s="508">
        <v>2.9000000000000001E-2</v>
      </c>
      <c r="L8506" s="508">
        <v>2.9000000000000001E-2</v>
      </c>
      <c r="M8506" s="508">
        <v>2.9000000000000001E-2</v>
      </c>
      <c r="N8506" s="508">
        <v>2.9000000000000001E-2</v>
      </c>
      <c r="O8506" s="508">
        <v>2.9000000000000001E-2</v>
      </c>
      <c r="P8506" s="508">
        <v>2.1999999999999999E-2</v>
      </c>
      <c r="Q8506" s="508">
        <v>2.1999999999999999E-2</v>
      </c>
      <c r="R8506" s="508">
        <v>2.1999999999999999E-2</v>
      </c>
      <c r="S8506" s="508">
        <v>2.1999999999999999E-2</v>
      </c>
      <c r="T8506" s="508">
        <v>2.1999999999999999E-2</v>
      </c>
      <c r="U8506" s="508">
        <v>2.1999999999999999E-2</v>
      </c>
      <c r="V8506" s="508">
        <v>2.1999999999999999E-2</v>
      </c>
      <c r="W8506" s="508">
        <v>2.1999999999999999E-2</v>
      </c>
      <c r="X8506" s="508">
        <v>2.1999999999999999E-2</v>
      </c>
      <c r="Y8506" s="508">
        <v>2.1999999999999999E-2</v>
      </c>
      <c r="Z8506" s="508">
        <v>2.1999999999999999E-2</v>
      </c>
      <c r="AA8506" s="508">
        <v>2.1999999999999999E-2</v>
      </c>
      <c r="AB8506" s="508">
        <v>2.1999999999999999E-2</v>
      </c>
      <c r="AC8506" s="508">
        <v>2.1999999999999999E-2</v>
      </c>
      <c r="AD8506" s="508">
        <v>2.1999999999999999E-2</v>
      </c>
      <c r="AE8506" s="508">
        <v>2.1999999999999999E-2</v>
      </c>
      <c r="AF8506" s="508">
        <v>2.1999999999999999E-2</v>
      </c>
      <c r="AG8506" s="508">
        <v>2.1999999999999999E-2</v>
      </c>
      <c r="AH8506" s="508">
        <v>2.1000000000000001E-2</v>
      </c>
      <c r="AI8506" s="492">
        <v>2.1000000000000001E-2</v>
      </c>
      <c r="AJ8506" s="485"/>
    </row>
    <row r="8507" spans="2:36">
      <c r="B8507" s="136" t="s">
        <v>454</v>
      </c>
      <c r="C8507" s="132" t="s">
        <v>1373</v>
      </c>
      <c r="D8507" s="132" t="s">
        <v>1384</v>
      </c>
      <c r="E8507" s="508">
        <v>0.03</v>
      </c>
      <c r="F8507" s="508">
        <v>2.9000000000000001E-2</v>
      </c>
      <c r="G8507" s="508">
        <v>2.9000000000000001E-2</v>
      </c>
      <c r="H8507" s="508">
        <v>2.9000000000000001E-2</v>
      </c>
      <c r="I8507" s="508">
        <v>2.9000000000000001E-2</v>
      </c>
      <c r="J8507" s="508">
        <v>2.9000000000000001E-2</v>
      </c>
      <c r="K8507" s="508">
        <v>2.9000000000000001E-2</v>
      </c>
      <c r="L8507" s="508">
        <v>2.9000000000000001E-2</v>
      </c>
      <c r="M8507" s="508">
        <v>2.9000000000000001E-2</v>
      </c>
      <c r="N8507" s="508">
        <v>2.9000000000000001E-2</v>
      </c>
      <c r="O8507" s="508">
        <v>2.9000000000000001E-2</v>
      </c>
      <c r="P8507" s="508">
        <v>2.3E-2</v>
      </c>
      <c r="Q8507" s="508">
        <v>2.3E-2</v>
      </c>
      <c r="R8507" s="508">
        <v>2.3E-2</v>
      </c>
      <c r="S8507" s="508">
        <v>2.3E-2</v>
      </c>
      <c r="T8507" s="508">
        <v>2.3E-2</v>
      </c>
      <c r="U8507" s="508">
        <v>2.3E-2</v>
      </c>
      <c r="V8507" s="508">
        <v>2.3E-2</v>
      </c>
      <c r="W8507" s="508">
        <v>2.3E-2</v>
      </c>
      <c r="X8507" s="508">
        <v>2.3E-2</v>
      </c>
      <c r="Y8507" s="508">
        <v>2.3E-2</v>
      </c>
      <c r="Z8507" s="508">
        <v>2.3E-2</v>
      </c>
      <c r="AA8507" s="508">
        <v>2.3E-2</v>
      </c>
      <c r="AB8507" s="508">
        <v>2.3E-2</v>
      </c>
      <c r="AC8507" s="508">
        <v>2.3E-2</v>
      </c>
      <c r="AD8507" s="508">
        <v>2.3E-2</v>
      </c>
      <c r="AE8507" s="508">
        <v>2.3E-2</v>
      </c>
      <c r="AF8507" s="508">
        <v>2.3E-2</v>
      </c>
      <c r="AG8507" s="508">
        <v>2.3E-2</v>
      </c>
      <c r="AH8507" s="508">
        <v>2.1999999999999999E-2</v>
      </c>
      <c r="AI8507" s="492">
        <v>2.1999999999999999E-2</v>
      </c>
      <c r="AJ8507" s="485"/>
    </row>
    <row r="8508" spans="2:36">
      <c r="B8508" s="136" t="s">
        <v>455</v>
      </c>
      <c r="C8508" s="132" t="s">
        <v>1373</v>
      </c>
      <c r="D8508" s="132" t="s">
        <v>1384</v>
      </c>
      <c r="E8508" s="508">
        <v>2.9000000000000001E-2</v>
      </c>
      <c r="F8508" s="508">
        <v>2.9000000000000001E-2</v>
      </c>
      <c r="G8508" s="508">
        <v>2.9000000000000001E-2</v>
      </c>
      <c r="H8508" s="508">
        <v>2.9000000000000001E-2</v>
      </c>
      <c r="I8508" s="508">
        <v>2.9000000000000001E-2</v>
      </c>
      <c r="J8508" s="508">
        <v>2.9000000000000001E-2</v>
      </c>
      <c r="K8508" s="508">
        <v>2.9000000000000001E-2</v>
      </c>
      <c r="L8508" s="508">
        <v>2.9000000000000001E-2</v>
      </c>
      <c r="M8508" s="508">
        <v>2.9000000000000001E-2</v>
      </c>
      <c r="N8508" s="508">
        <v>2.9000000000000001E-2</v>
      </c>
      <c r="O8508" s="508">
        <v>2.9000000000000001E-2</v>
      </c>
      <c r="P8508" s="508">
        <v>2.3E-2</v>
      </c>
      <c r="Q8508" s="508">
        <v>2.3E-2</v>
      </c>
      <c r="R8508" s="508">
        <v>2.3E-2</v>
      </c>
      <c r="S8508" s="508">
        <v>2.3E-2</v>
      </c>
      <c r="T8508" s="508">
        <v>2.1999999999999999E-2</v>
      </c>
      <c r="U8508" s="508">
        <v>2.1999999999999999E-2</v>
      </c>
      <c r="V8508" s="508">
        <v>2.1999999999999999E-2</v>
      </c>
      <c r="W8508" s="508">
        <v>2.1999999999999999E-2</v>
      </c>
      <c r="X8508" s="508">
        <v>2.1999999999999999E-2</v>
      </c>
      <c r="Y8508" s="508">
        <v>2.1999999999999999E-2</v>
      </c>
      <c r="Z8508" s="508">
        <v>2.1999999999999999E-2</v>
      </c>
      <c r="AA8508" s="508">
        <v>2.1999999999999999E-2</v>
      </c>
      <c r="AB8508" s="508">
        <v>2.1999999999999999E-2</v>
      </c>
      <c r="AC8508" s="508">
        <v>2.1999999999999999E-2</v>
      </c>
      <c r="AD8508" s="508">
        <v>2.1999999999999999E-2</v>
      </c>
      <c r="AE8508" s="508">
        <v>2.1999999999999999E-2</v>
      </c>
      <c r="AF8508" s="508">
        <v>2.1999999999999999E-2</v>
      </c>
      <c r="AG8508" s="508">
        <v>2.1999999999999999E-2</v>
      </c>
      <c r="AH8508" s="508">
        <v>2.1000000000000001E-2</v>
      </c>
      <c r="AI8508" s="492">
        <v>2.1000000000000001E-2</v>
      </c>
      <c r="AJ8508" s="485"/>
    </row>
    <row r="8509" spans="2:36">
      <c r="B8509" s="136" t="s">
        <v>456</v>
      </c>
      <c r="C8509" s="132" t="s">
        <v>1373</v>
      </c>
      <c r="D8509" s="132" t="s">
        <v>1384</v>
      </c>
      <c r="E8509" s="508">
        <v>0.03</v>
      </c>
      <c r="F8509" s="508">
        <v>0.03</v>
      </c>
      <c r="G8509" s="508">
        <v>0.03</v>
      </c>
      <c r="H8509" s="508">
        <v>0.03</v>
      </c>
      <c r="I8509" s="508">
        <v>0.03</v>
      </c>
      <c r="J8509" s="508">
        <v>0.03</v>
      </c>
      <c r="K8509" s="508">
        <v>0.03</v>
      </c>
      <c r="L8509" s="508">
        <v>0.03</v>
      </c>
      <c r="M8509" s="508">
        <v>0.03</v>
      </c>
      <c r="N8509" s="508">
        <v>0.03</v>
      </c>
      <c r="O8509" s="508">
        <v>0.03</v>
      </c>
      <c r="P8509" s="508">
        <v>2.4E-2</v>
      </c>
      <c r="Q8509" s="508">
        <v>2.4E-2</v>
      </c>
      <c r="R8509" s="508">
        <v>2.4E-2</v>
      </c>
      <c r="S8509" s="508">
        <v>2.4E-2</v>
      </c>
      <c r="T8509" s="508">
        <v>2.4E-2</v>
      </c>
      <c r="U8509" s="508">
        <v>2.4E-2</v>
      </c>
      <c r="V8509" s="508">
        <v>2.4E-2</v>
      </c>
      <c r="W8509" s="508">
        <v>2.4E-2</v>
      </c>
      <c r="X8509" s="508">
        <v>2.4E-2</v>
      </c>
      <c r="Y8509" s="508">
        <v>2.4E-2</v>
      </c>
      <c r="Z8509" s="508">
        <v>2.4E-2</v>
      </c>
      <c r="AA8509" s="508">
        <v>2.4E-2</v>
      </c>
      <c r="AB8509" s="508">
        <v>2.4E-2</v>
      </c>
      <c r="AC8509" s="508">
        <v>2.4E-2</v>
      </c>
      <c r="AD8509" s="508">
        <v>2.4E-2</v>
      </c>
      <c r="AE8509" s="508">
        <v>2.4E-2</v>
      </c>
      <c r="AF8509" s="508">
        <v>2.4E-2</v>
      </c>
      <c r="AG8509" s="508">
        <v>2.4E-2</v>
      </c>
      <c r="AH8509" s="508">
        <v>2.3E-2</v>
      </c>
      <c r="AI8509" s="492">
        <v>2.3E-2</v>
      </c>
      <c r="AJ8509" s="485"/>
    </row>
    <row r="8510" spans="2:36">
      <c r="B8510" s="136" t="s">
        <v>457</v>
      </c>
      <c r="C8510" s="132" t="s">
        <v>1373</v>
      </c>
      <c r="D8510" s="132" t="s">
        <v>1384</v>
      </c>
      <c r="E8510" s="508">
        <v>2.8000000000000001E-2</v>
      </c>
      <c r="F8510" s="508">
        <v>2.8000000000000001E-2</v>
      </c>
      <c r="G8510" s="508">
        <v>2.8000000000000001E-2</v>
      </c>
      <c r="H8510" s="508">
        <v>2.8000000000000001E-2</v>
      </c>
      <c r="I8510" s="508">
        <v>2.8000000000000001E-2</v>
      </c>
      <c r="J8510" s="508">
        <v>2.7E-2</v>
      </c>
      <c r="K8510" s="508">
        <v>2.7E-2</v>
      </c>
      <c r="L8510" s="508">
        <v>2.7E-2</v>
      </c>
      <c r="M8510" s="508">
        <v>2.7E-2</v>
      </c>
      <c r="N8510" s="508">
        <v>2.7E-2</v>
      </c>
      <c r="O8510" s="508">
        <v>2.7E-2</v>
      </c>
      <c r="P8510" s="508">
        <v>2.1000000000000001E-2</v>
      </c>
      <c r="Q8510" s="508">
        <v>2.1000000000000001E-2</v>
      </c>
      <c r="R8510" s="508">
        <v>2.1000000000000001E-2</v>
      </c>
      <c r="S8510" s="508">
        <v>2.1000000000000001E-2</v>
      </c>
      <c r="T8510" s="508">
        <v>2.1000000000000001E-2</v>
      </c>
      <c r="U8510" s="508">
        <v>2.1000000000000001E-2</v>
      </c>
      <c r="V8510" s="508">
        <v>2.1000000000000001E-2</v>
      </c>
      <c r="W8510" s="508">
        <v>2.1000000000000001E-2</v>
      </c>
      <c r="X8510" s="508">
        <v>2.1000000000000001E-2</v>
      </c>
      <c r="Y8510" s="508">
        <v>2.1000000000000001E-2</v>
      </c>
      <c r="Z8510" s="508">
        <v>2.1000000000000001E-2</v>
      </c>
      <c r="AA8510" s="508">
        <v>2.1000000000000001E-2</v>
      </c>
      <c r="AB8510" s="508">
        <v>2.1000000000000001E-2</v>
      </c>
      <c r="AC8510" s="508">
        <v>2.1000000000000001E-2</v>
      </c>
      <c r="AD8510" s="508">
        <v>2.1000000000000001E-2</v>
      </c>
      <c r="AE8510" s="508">
        <v>2.1000000000000001E-2</v>
      </c>
      <c r="AF8510" s="508">
        <v>2.1000000000000001E-2</v>
      </c>
      <c r="AG8510" s="508">
        <v>2.1000000000000001E-2</v>
      </c>
      <c r="AH8510" s="508">
        <v>0.02</v>
      </c>
      <c r="AI8510" s="492">
        <v>0.02</v>
      </c>
      <c r="AJ8510" s="485"/>
    </row>
    <row r="8511" spans="2:36">
      <c r="B8511" s="136" t="s">
        <v>458</v>
      </c>
      <c r="C8511" s="132" t="s">
        <v>1373</v>
      </c>
      <c r="D8511" s="132" t="s">
        <v>1384</v>
      </c>
      <c r="E8511" s="508">
        <v>3.1E-2</v>
      </c>
      <c r="F8511" s="508">
        <v>3.1E-2</v>
      </c>
      <c r="G8511" s="508">
        <v>3.1E-2</v>
      </c>
      <c r="H8511" s="508">
        <v>0.03</v>
      </c>
      <c r="I8511" s="508">
        <v>0.03</v>
      </c>
      <c r="J8511" s="508">
        <v>0.03</v>
      </c>
      <c r="K8511" s="508">
        <v>0.03</v>
      </c>
      <c r="L8511" s="508">
        <v>0.03</v>
      </c>
      <c r="M8511" s="508">
        <v>0.03</v>
      </c>
      <c r="N8511" s="508">
        <v>0.03</v>
      </c>
      <c r="O8511" s="508">
        <v>0.03</v>
      </c>
      <c r="P8511" s="508">
        <v>2.4E-2</v>
      </c>
      <c r="Q8511" s="508">
        <v>2.4E-2</v>
      </c>
      <c r="R8511" s="508">
        <v>2.4E-2</v>
      </c>
      <c r="S8511" s="508">
        <v>2.4E-2</v>
      </c>
      <c r="T8511" s="508">
        <v>2.4E-2</v>
      </c>
      <c r="U8511" s="508">
        <v>2.4E-2</v>
      </c>
      <c r="V8511" s="508">
        <v>2.4E-2</v>
      </c>
      <c r="W8511" s="508">
        <v>2.4E-2</v>
      </c>
      <c r="X8511" s="508">
        <v>2.4E-2</v>
      </c>
      <c r="Y8511" s="508">
        <v>2.4E-2</v>
      </c>
      <c r="Z8511" s="508">
        <v>2.4E-2</v>
      </c>
      <c r="AA8511" s="508">
        <v>2.4E-2</v>
      </c>
      <c r="AB8511" s="508">
        <v>2.4E-2</v>
      </c>
      <c r="AC8511" s="508">
        <v>2.4E-2</v>
      </c>
      <c r="AD8511" s="508">
        <v>2.4E-2</v>
      </c>
      <c r="AE8511" s="508">
        <v>2.4E-2</v>
      </c>
      <c r="AF8511" s="508">
        <v>2.4E-2</v>
      </c>
      <c r="AG8511" s="508">
        <v>2.4E-2</v>
      </c>
      <c r="AH8511" s="508">
        <v>2.3E-2</v>
      </c>
      <c r="AI8511" s="492">
        <v>2.3E-2</v>
      </c>
      <c r="AJ8511" s="485"/>
    </row>
    <row r="8512" spans="2:36">
      <c r="B8512" s="136" t="s">
        <v>459</v>
      </c>
      <c r="C8512" s="132" t="s">
        <v>1373</v>
      </c>
      <c r="D8512" s="132" t="s">
        <v>1384</v>
      </c>
      <c r="E8512" s="508">
        <v>3.1E-2</v>
      </c>
      <c r="F8512" s="508">
        <v>0.03</v>
      </c>
      <c r="G8512" s="508">
        <v>0.03</v>
      </c>
      <c r="H8512" s="508">
        <v>0.03</v>
      </c>
      <c r="I8512" s="508">
        <v>0.03</v>
      </c>
      <c r="J8512" s="508">
        <v>0.03</v>
      </c>
      <c r="K8512" s="508">
        <v>0.03</v>
      </c>
      <c r="L8512" s="508">
        <v>0.03</v>
      </c>
      <c r="M8512" s="508">
        <v>0.03</v>
      </c>
      <c r="N8512" s="508">
        <v>0.03</v>
      </c>
      <c r="O8512" s="508">
        <v>0.03</v>
      </c>
      <c r="P8512" s="508">
        <v>2.4E-2</v>
      </c>
      <c r="Q8512" s="508">
        <v>2.4E-2</v>
      </c>
      <c r="R8512" s="508">
        <v>2.4E-2</v>
      </c>
      <c r="S8512" s="508">
        <v>2.4E-2</v>
      </c>
      <c r="T8512" s="508">
        <v>2.3E-2</v>
      </c>
      <c r="U8512" s="508">
        <v>2.3E-2</v>
      </c>
      <c r="V8512" s="508">
        <v>2.3E-2</v>
      </c>
      <c r="W8512" s="508">
        <v>2.3E-2</v>
      </c>
      <c r="X8512" s="508">
        <v>2.3E-2</v>
      </c>
      <c r="Y8512" s="508">
        <v>2.3E-2</v>
      </c>
      <c r="Z8512" s="508">
        <v>2.3E-2</v>
      </c>
      <c r="AA8512" s="508">
        <v>2.3E-2</v>
      </c>
      <c r="AB8512" s="508">
        <v>2.3E-2</v>
      </c>
      <c r="AC8512" s="508">
        <v>2.3E-2</v>
      </c>
      <c r="AD8512" s="508">
        <v>2.3E-2</v>
      </c>
      <c r="AE8512" s="508">
        <v>2.3E-2</v>
      </c>
      <c r="AF8512" s="508">
        <v>2.3E-2</v>
      </c>
      <c r="AG8512" s="508">
        <v>2.3E-2</v>
      </c>
      <c r="AH8512" s="508">
        <v>2.1999999999999999E-2</v>
      </c>
      <c r="AI8512" s="492">
        <v>2.1999999999999999E-2</v>
      </c>
      <c r="AJ8512" s="485"/>
    </row>
    <row r="8513" spans="2:36">
      <c r="B8513" s="136" t="s">
        <v>460</v>
      </c>
      <c r="C8513" s="132" t="s">
        <v>1373</v>
      </c>
      <c r="D8513" s="132" t="s">
        <v>1384</v>
      </c>
      <c r="E8513" s="508">
        <v>3.1E-2</v>
      </c>
      <c r="F8513" s="508">
        <v>0.03</v>
      </c>
      <c r="G8513" s="508">
        <v>0.03</v>
      </c>
      <c r="H8513" s="508">
        <v>0.03</v>
      </c>
      <c r="I8513" s="508">
        <v>0.03</v>
      </c>
      <c r="J8513" s="508">
        <v>0.03</v>
      </c>
      <c r="K8513" s="508">
        <v>0.03</v>
      </c>
      <c r="L8513" s="508">
        <v>0.03</v>
      </c>
      <c r="M8513" s="508">
        <v>0.03</v>
      </c>
      <c r="N8513" s="508">
        <v>0.03</v>
      </c>
      <c r="O8513" s="508">
        <v>0.03</v>
      </c>
      <c r="P8513" s="508">
        <v>2.4E-2</v>
      </c>
      <c r="Q8513" s="508">
        <v>2.4E-2</v>
      </c>
      <c r="R8513" s="508">
        <v>2.4E-2</v>
      </c>
      <c r="S8513" s="508">
        <v>2.4E-2</v>
      </c>
      <c r="T8513" s="508">
        <v>2.3E-2</v>
      </c>
      <c r="U8513" s="508">
        <v>2.3E-2</v>
      </c>
      <c r="V8513" s="508">
        <v>2.3E-2</v>
      </c>
      <c r="W8513" s="508">
        <v>2.3E-2</v>
      </c>
      <c r="X8513" s="508">
        <v>2.3E-2</v>
      </c>
      <c r="Y8513" s="508">
        <v>2.3E-2</v>
      </c>
      <c r="Z8513" s="508">
        <v>2.3E-2</v>
      </c>
      <c r="AA8513" s="508">
        <v>2.3E-2</v>
      </c>
      <c r="AB8513" s="508">
        <v>2.3E-2</v>
      </c>
      <c r="AC8513" s="508">
        <v>2.3E-2</v>
      </c>
      <c r="AD8513" s="508">
        <v>2.3E-2</v>
      </c>
      <c r="AE8513" s="508">
        <v>2.3E-2</v>
      </c>
      <c r="AF8513" s="508">
        <v>2.3E-2</v>
      </c>
      <c r="AG8513" s="508">
        <v>2.3E-2</v>
      </c>
      <c r="AH8513" s="508">
        <v>2.1999999999999999E-2</v>
      </c>
      <c r="AI8513" s="492">
        <v>2.1999999999999999E-2</v>
      </c>
      <c r="AJ8513" s="485"/>
    </row>
    <row r="8514" spans="2:36">
      <c r="B8514" s="136" t="s">
        <v>461</v>
      </c>
      <c r="C8514" s="132" t="s">
        <v>1373</v>
      </c>
      <c r="D8514" s="132" t="s">
        <v>1384</v>
      </c>
      <c r="E8514" s="508">
        <v>0.03</v>
      </c>
      <c r="F8514" s="508">
        <v>0.03</v>
      </c>
      <c r="G8514" s="508">
        <v>0.03</v>
      </c>
      <c r="H8514" s="508">
        <v>2.9000000000000001E-2</v>
      </c>
      <c r="I8514" s="508">
        <v>2.9000000000000001E-2</v>
      </c>
      <c r="J8514" s="508">
        <v>2.9000000000000001E-2</v>
      </c>
      <c r="K8514" s="508">
        <v>2.9000000000000001E-2</v>
      </c>
      <c r="L8514" s="508">
        <v>2.9000000000000001E-2</v>
      </c>
      <c r="M8514" s="508">
        <v>2.9000000000000001E-2</v>
      </c>
      <c r="N8514" s="508">
        <v>2.9000000000000001E-2</v>
      </c>
      <c r="O8514" s="508">
        <v>2.9000000000000001E-2</v>
      </c>
      <c r="P8514" s="508">
        <v>2.3E-2</v>
      </c>
      <c r="Q8514" s="508">
        <v>2.3E-2</v>
      </c>
      <c r="R8514" s="508">
        <v>2.3E-2</v>
      </c>
      <c r="S8514" s="508">
        <v>2.3E-2</v>
      </c>
      <c r="T8514" s="508">
        <v>2.3E-2</v>
      </c>
      <c r="U8514" s="508">
        <v>2.3E-2</v>
      </c>
      <c r="V8514" s="508">
        <v>2.3E-2</v>
      </c>
      <c r="W8514" s="508">
        <v>2.3E-2</v>
      </c>
      <c r="X8514" s="508">
        <v>2.3E-2</v>
      </c>
      <c r="Y8514" s="508">
        <v>2.3E-2</v>
      </c>
      <c r="Z8514" s="508">
        <v>2.3E-2</v>
      </c>
      <c r="AA8514" s="508">
        <v>2.3E-2</v>
      </c>
      <c r="AB8514" s="508">
        <v>2.3E-2</v>
      </c>
      <c r="AC8514" s="508">
        <v>2.3E-2</v>
      </c>
      <c r="AD8514" s="508">
        <v>2.3E-2</v>
      </c>
      <c r="AE8514" s="508">
        <v>2.3E-2</v>
      </c>
      <c r="AF8514" s="508">
        <v>2.3E-2</v>
      </c>
      <c r="AG8514" s="508">
        <v>2.3E-2</v>
      </c>
      <c r="AH8514" s="508">
        <v>2.1999999999999999E-2</v>
      </c>
      <c r="AI8514" s="492">
        <v>2.1999999999999999E-2</v>
      </c>
      <c r="AJ8514" s="485"/>
    </row>
    <row r="8515" spans="2:36">
      <c r="B8515" s="136" t="s">
        <v>462</v>
      </c>
      <c r="C8515" s="132" t="s">
        <v>1373</v>
      </c>
      <c r="D8515" s="132" t="s">
        <v>1384</v>
      </c>
      <c r="E8515" s="508">
        <v>2.9000000000000001E-2</v>
      </c>
      <c r="F8515" s="508">
        <v>2.9000000000000001E-2</v>
      </c>
      <c r="G8515" s="508">
        <v>2.9000000000000001E-2</v>
      </c>
      <c r="H8515" s="508">
        <v>2.9000000000000001E-2</v>
      </c>
      <c r="I8515" s="508">
        <v>2.9000000000000001E-2</v>
      </c>
      <c r="J8515" s="508">
        <v>2.9000000000000001E-2</v>
      </c>
      <c r="K8515" s="508">
        <v>2.9000000000000001E-2</v>
      </c>
      <c r="L8515" s="508">
        <v>2.9000000000000001E-2</v>
      </c>
      <c r="M8515" s="508">
        <v>2.9000000000000001E-2</v>
      </c>
      <c r="N8515" s="508">
        <v>2.9000000000000001E-2</v>
      </c>
      <c r="O8515" s="508">
        <v>2.9000000000000001E-2</v>
      </c>
      <c r="P8515" s="508">
        <v>2.3E-2</v>
      </c>
      <c r="Q8515" s="508">
        <v>2.3E-2</v>
      </c>
      <c r="R8515" s="508">
        <v>2.3E-2</v>
      </c>
      <c r="S8515" s="508">
        <v>2.3E-2</v>
      </c>
      <c r="T8515" s="508">
        <v>2.3E-2</v>
      </c>
      <c r="U8515" s="508">
        <v>2.3E-2</v>
      </c>
      <c r="V8515" s="508">
        <v>2.3E-2</v>
      </c>
      <c r="W8515" s="508">
        <v>2.3E-2</v>
      </c>
      <c r="X8515" s="508">
        <v>2.3E-2</v>
      </c>
      <c r="Y8515" s="508">
        <v>2.3E-2</v>
      </c>
      <c r="Z8515" s="508">
        <v>2.3E-2</v>
      </c>
      <c r="AA8515" s="508">
        <v>2.3E-2</v>
      </c>
      <c r="AB8515" s="508">
        <v>2.3E-2</v>
      </c>
      <c r="AC8515" s="508">
        <v>2.3E-2</v>
      </c>
      <c r="AD8515" s="508">
        <v>2.3E-2</v>
      </c>
      <c r="AE8515" s="508">
        <v>2.3E-2</v>
      </c>
      <c r="AF8515" s="508">
        <v>2.3E-2</v>
      </c>
      <c r="AG8515" s="508">
        <v>2.3E-2</v>
      </c>
      <c r="AH8515" s="508">
        <v>2.1999999999999999E-2</v>
      </c>
      <c r="AI8515" s="492">
        <v>2.1999999999999999E-2</v>
      </c>
      <c r="AJ8515" s="485"/>
    </row>
    <row r="8516" spans="2:36">
      <c r="B8516" s="136" t="s">
        <v>463</v>
      </c>
      <c r="C8516" s="132" t="s">
        <v>1373</v>
      </c>
      <c r="D8516" s="132" t="s">
        <v>1384</v>
      </c>
      <c r="E8516" s="508">
        <v>2.9000000000000001E-2</v>
      </c>
      <c r="F8516" s="508">
        <v>2.9000000000000001E-2</v>
      </c>
      <c r="G8516" s="508">
        <v>2.9000000000000001E-2</v>
      </c>
      <c r="H8516" s="508">
        <v>2.9000000000000001E-2</v>
      </c>
      <c r="I8516" s="508">
        <v>2.9000000000000001E-2</v>
      </c>
      <c r="J8516" s="508">
        <v>2.9000000000000001E-2</v>
      </c>
      <c r="K8516" s="508">
        <v>2.9000000000000001E-2</v>
      </c>
      <c r="L8516" s="508">
        <v>2.9000000000000001E-2</v>
      </c>
      <c r="M8516" s="508">
        <v>2.9000000000000001E-2</v>
      </c>
      <c r="N8516" s="508">
        <v>2.9000000000000001E-2</v>
      </c>
      <c r="O8516" s="508">
        <v>2.9000000000000001E-2</v>
      </c>
      <c r="P8516" s="508">
        <v>2.1999999999999999E-2</v>
      </c>
      <c r="Q8516" s="508">
        <v>2.1999999999999999E-2</v>
      </c>
      <c r="R8516" s="508">
        <v>2.1999999999999999E-2</v>
      </c>
      <c r="S8516" s="508">
        <v>2.1999999999999999E-2</v>
      </c>
      <c r="T8516" s="508">
        <v>2.1999999999999999E-2</v>
      </c>
      <c r="U8516" s="508">
        <v>2.1999999999999999E-2</v>
      </c>
      <c r="V8516" s="508">
        <v>2.1999999999999999E-2</v>
      </c>
      <c r="W8516" s="508">
        <v>2.1999999999999999E-2</v>
      </c>
      <c r="X8516" s="508">
        <v>2.1999999999999999E-2</v>
      </c>
      <c r="Y8516" s="508">
        <v>2.1999999999999999E-2</v>
      </c>
      <c r="Z8516" s="508">
        <v>2.1999999999999999E-2</v>
      </c>
      <c r="AA8516" s="508">
        <v>2.1999999999999999E-2</v>
      </c>
      <c r="AB8516" s="508">
        <v>2.1999999999999999E-2</v>
      </c>
      <c r="AC8516" s="508">
        <v>2.1999999999999999E-2</v>
      </c>
      <c r="AD8516" s="508">
        <v>2.1999999999999999E-2</v>
      </c>
      <c r="AE8516" s="508">
        <v>2.1999999999999999E-2</v>
      </c>
      <c r="AF8516" s="508">
        <v>2.1999999999999999E-2</v>
      </c>
      <c r="AG8516" s="508">
        <v>2.1999999999999999E-2</v>
      </c>
      <c r="AH8516" s="508">
        <v>2.1000000000000001E-2</v>
      </c>
      <c r="AI8516" s="492">
        <v>2.1000000000000001E-2</v>
      </c>
      <c r="AJ8516" s="485"/>
    </row>
    <row r="8517" spans="2:36">
      <c r="B8517" s="136" t="s">
        <v>464</v>
      </c>
      <c r="C8517" s="132" t="s">
        <v>1373</v>
      </c>
      <c r="D8517" s="132" t="s">
        <v>1384</v>
      </c>
      <c r="E8517" s="508">
        <v>2.8000000000000001E-2</v>
      </c>
      <c r="F8517" s="508">
        <v>2.8000000000000001E-2</v>
      </c>
      <c r="G8517" s="508">
        <v>2.8000000000000001E-2</v>
      </c>
      <c r="H8517" s="508">
        <v>2.8000000000000001E-2</v>
      </c>
      <c r="I8517" s="508">
        <v>2.8000000000000001E-2</v>
      </c>
      <c r="J8517" s="508">
        <v>2.8000000000000001E-2</v>
      </c>
      <c r="K8517" s="508">
        <v>2.8000000000000001E-2</v>
      </c>
      <c r="L8517" s="508">
        <v>2.8000000000000001E-2</v>
      </c>
      <c r="M8517" s="508">
        <v>2.8000000000000001E-2</v>
      </c>
      <c r="N8517" s="508">
        <v>2.8000000000000001E-2</v>
      </c>
      <c r="O8517" s="508">
        <v>2.8000000000000001E-2</v>
      </c>
      <c r="P8517" s="508">
        <v>2.1999999999999999E-2</v>
      </c>
      <c r="Q8517" s="508">
        <v>2.1999999999999999E-2</v>
      </c>
      <c r="R8517" s="508">
        <v>2.1999999999999999E-2</v>
      </c>
      <c r="S8517" s="508">
        <v>2.1999999999999999E-2</v>
      </c>
      <c r="T8517" s="508">
        <v>2.1999999999999999E-2</v>
      </c>
      <c r="U8517" s="508">
        <v>2.1000000000000001E-2</v>
      </c>
      <c r="V8517" s="508">
        <v>2.1000000000000001E-2</v>
      </c>
      <c r="W8517" s="508">
        <v>2.1000000000000001E-2</v>
      </c>
      <c r="X8517" s="508">
        <v>2.1000000000000001E-2</v>
      </c>
      <c r="Y8517" s="508">
        <v>2.1000000000000001E-2</v>
      </c>
      <c r="Z8517" s="508">
        <v>2.1000000000000001E-2</v>
      </c>
      <c r="AA8517" s="508">
        <v>2.1000000000000001E-2</v>
      </c>
      <c r="AB8517" s="508">
        <v>2.1000000000000001E-2</v>
      </c>
      <c r="AC8517" s="508">
        <v>2.1000000000000001E-2</v>
      </c>
      <c r="AD8517" s="508">
        <v>2.1000000000000001E-2</v>
      </c>
      <c r="AE8517" s="508">
        <v>2.1000000000000001E-2</v>
      </c>
      <c r="AF8517" s="508">
        <v>2.1000000000000001E-2</v>
      </c>
      <c r="AG8517" s="508">
        <v>2.1000000000000001E-2</v>
      </c>
      <c r="AH8517" s="508">
        <v>0.02</v>
      </c>
      <c r="AI8517" s="492">
        <v>0.02</v>
      </c>
      <c r="AJ8517" s="485"/>
    </row>
    <row r="8518" spans="2:36">
      <c r="B8518" s="136" t="s">
        <v>465</v>
      </c>
      <c r="C8518" s="132" t="s">
        <v>1373</v>
      </c>
      <c r="D8518" s="132" t="s">
        <v>1384</v>
      </c>
      <c r="E8518" s="508">
        <v>2.9000000000000001E-2</v>
      </c>
      <c r="F8518" s="508">
        <v>2.9000000000000001E-2</v>
      </c>
      <c r="G8518" s="508">
        <v>2.9000000000000001E-2</v>
      </c>
      <c r="H8518" s="508">
        <v>2.9000000000000001E-2</v>
      </c>
      <c r="I8518" s="508">
        <v>2.9000000000000001E-2</v>
      </c>
      <c r="J8518" s="508">
        <v>2.9000000000000001E-2</v>
      </c>
      <c r="K8518" s="508">
        <v>2.9000000000000001E-2</v>
      </c>
      <c r="L8518" s="508">
        <v>2.9000000000000001E-2</v>
      </c>
      <c r="M8518" s="508">
        <v>2.9000000000000001E-2</v>
      </c>
      <c r="N8518" s="508">
        <v>2.9000000000000001E-2</v>
      </c>
      <c r="O8518" s="508">
        <v>2.9000000000000001E-2</v>
      </c>
      <c r="P8518" s="508">
        <v>2.1999999999999999E-2</v>
      </c>
      <c r="Q8518" s="508">
        <v>2.1999999999999999E-2</v>
      </c>
      <c r="R8518" s="508">
        <v>2.1999999999999999E-2</v>
      </c>
      <c r="S8518" s="508">
        <v>2.1999999999999999E-2</v>
      </c>
      <c r="T8518" s="508">
        <v>2.1999999999999999E-2</v>
      </c>
      <c r="U8518" s="508">
        <v>2.1999999999999999E-2</v>
      </c>
      <c r="V8518" s="508">
        <v>2.1999999999999999E-2</v>
      </c>
      <c r="W8518" s="508">
        <v>2.1999999999999999E-2</v>
      </c>
      <c r="X8518" s="508">
        <v>2.1999999999999999E-2</v>
      </c>
      <c r="Y8518" s="508">
        <v>2.1999999999999999E-2</v>
      </c>
      <c r="Z8518" s="508">
        <v>2.1999999999999999E-2</v>
      </c>
      <c r="AA8518" s="508">
        <v>2.1999999999999999E-2</v>
      </c>
      <c r="AB8518" s="508">
        <v>2.1999999999999999E-2</v>
      </c>
      <c r="AC8518" s="508">
        <v>2.1999999999999999E-2</v>
      </c>
      <c r="AD8518" s="508">
        <v>2.1999999999999999E-2</v>
      </c>
      <c r="AE8518" s="508">
        <v>2.1999999999999999E-2</v>
      </c>
      <c r="AF8518" s="508">
        <v>2.1999999999999999E-2</v>
      </c>
      <c r="AG8518" s="508">
        <v>2.1999999999999999E-2</v>
      </c>
      <c r="AH8518" s="508">
        <v>2.1000000000000001E-2</v>
      </c>
      <c r="AI8518" s="492">
        <v>2.1000000000000001E-2</v>
      </c>
      <c r="AJ8518" s="485"/>
    </row>
    <row r="8519" spans="2:36">
      <c r="B8519" s="136" t="s">
        <v>466</v>
      </c>
      <c r="C8519" s="132" t="s">
        <v>1373</v>
      </c>
      <c r="D8519" s="132" t="s">
        <v>1384</v>
      </c>
      <c r="E8519" s="508">
        <v>3.2000000000000001E-2</v>
      </c>
      <c r="F8519" s="508">
        <v>3.2000000000000001E-2</v>
      </c>
      <c r="G8519" s="508">
        <v>3.2000000000000001E-2</v>
      </c>
      <c r="H8519" s="508">
        <v>3.2000000000000001E-2</v>
      </c>
      <c r="I8519" s="508">
        <v>3.2000000000000001E-2</v>
      </c>
      <c r="J8519" s="508">
        <v>3.2000000000000001E-2</v>
      </c>
      <c r="K8519" s="508">
        <v>3.2000000000000001E-2</v>
      </c>
      <c r="L8519" s="508">
        <v>3.2000000000000001E-2</v>
      </c>
      <c r="M8519" s="508">
        <v>3.2000000000000001E-2</v>
      </c>
      <c r="N8519" s="508">
        <v>3.2000000000000001E-2</v>
      </c>
      <c r="O8519" s="508">
        <v>3.2000000000000001E-2</v>
      </c>
      <c r="P8519" s="508">
        <v>2.5000000000000001E-2</v>
      </c>
      <c r="Q8519" s="508">
        <v>2.5000000000000001E-2</v>
      </c>
      <c r="R8519" s="508">
        <v>2.5000000000000001E-2</v>
      </c>
      <c r="S8519" s="508">
        <v>2.5000000000000001E-2</v>
      </c>
      <c r="T8519" s="508">
        <v>2.5000000000000001E-2</v>
      </c>
      <c r="U8519" s="508">
        <v>2.5000000000000001E-2</v>
      </c>
      <c r="V8519" s="508">
        <v>2.5000000000000001E-2</v>
      </c>
      <c r="W8519" s="508">
        <v>2.5000000000000001E-2</v>
      </c>
      <c r="X8519" s="508">
        <v>2.5000000000000001E-2</v>
      </c>
      <c r="Y8519" s="508">
        <v>2.5000000000000001E-2</v>
      </c>
      <c r="Z8519" s="508">
        <v>2.5000000000000001E-2</v>
      </c>
      <c r="AA8519" s="508">
        <v>2.5000000000000001E-2</v>
      </c>
      <c r="AB8519" s="508">
        <v>2.5000000000000001E-2</v>
      </c>
      <c r="AC8519" s="508">
        <v>2.5000000000000001E-2</v>
      </c>
      <c r="AD8519" s="508">
        <v>2.5000000000000001E-2</v>
      </c>
      <c r="AE8519" s="508">
        <v>2.5000000000000001E-2</v>
      </c>
      <c r="AF8519" s="508">
        <v>2.5000000000000001E-2</v>
      </c>
      <c r="AG8519" s="508">
        <v>2.5000000000000001E-2</v>
      </c>
      <c r="AH8519" s="508">
        <v>2.4E-2</v>
      </c>
      <c r="AI8519" s="492">
        <v>2.4E-2</v>
      </c>
      <c r="AJ8519" s="485"/>
    </row>
    <row r="8520" spans="2:36">
      <c r="B8520" s="136" t="s">
        <v>467</v>
      </c>
      <c r="C8520" s="132" t="s">
        <v>1373</v>
      </c>
      <c r="D8520" s="132" t="s">
        <v>1384</v>
      </c>
      <c r="E8520" s="508">
        <v>2.9000000000000001E-2</v>
      </c>
      <c r="F8520" s="508">
        <v>2.9000000000000001E-2</v>
      </c>
      <c r="G8520" s="508">
        <v>2.9000000000000001E-2</v>
      </c>
      <c r="H8520" s="508">
        <v>2.9000000000000001E-2</v>
      </c>
      <c r="I8520" s="508">
        <v>2.9000000000000001E-2</v>
      </c>
      <c r="J8520" s="508">
        <v>2.9000000000000001E-2</v>
      </c>
      <c r="K8520" s="508">
        <v>2.9000000000000001E-2</v>
      </c>
      <c r="L8520" s="508">
        <v>2.9000000000000001E-2</v>
      </c>
      <c r="M8520" s="508">
        <v>2.9000000000000001E-2</v>
      </c>
      <c r="N8520" s="508">
        <v>2.9000000000000001E-2</v>
      </c>
      <c r="O8520" s="508">
        <v>2.9000000000000001E-2</v>
      </c>
      <c r="P8520" s="508">
        <v>2.3E-2</v>
      </c>
      <c r="Q8520" s="508">
        <v>2.3E-2</v>
      </c>
      <c r="R8520" s="508">
        <v>2.3E-2</v>
      </c>
      <c r="S8520" s="508">
        <v>2.3E-2</v>
      </c>
      <c r="T8520" s="508">
        <v>2.3E-2</v>
      </c>
      <c r="U8520" s="508">
        <v>2.1999999999999999E-2</v>
      </c>
      <c r="V8520" s="508">
        <v>2.1999999999999999E-2</v>
      </c>
      <c r="W8520" s="508">
        <v>2.1999999999999999E-2</v>
      </c>
      <c r="X8520" s="508">
        <v>2.1999999999999999E-2</v>
      </c>
      <c r="Y8520" s="508">
        <v>2.1999999999999999E-2</v>
      </c>
      <c r="Z8520" s="508">
        <v>2.1999999999999999E-2</v>
      </c>
      <c r="AA8520" s="508">
        <v>2.1999999999999999E-2</v>
      </c>
      <c r="AB8520" s="508">
        <v>2.1999999999999999E-2</v>
      </c>
      <c r="AC8520" s="508">
        <v>2.1999999999999999E-2</v>
      </c>
      <c r="AD8520" s="508">
        <v>2.1999999999999999E-2</v>
      </c>
      <c r="AE8520" s="508">
        <v>2.1999999999999999E-2</v>
      </c>
      <c r="AF8520" s="508">
        <v>2.1999999999999999E-2</v>
      </c>
      <c r="AG8520" s="508">
        <v>2.1999999999999999E-2</v>
      </c>
      <c r="AH8520" s="508">
        <v>2.1000000000000001E-2</v>
      </c>
      <c r="AI8520" s="492">
        <v>2.1000000000000001E-2</v>
      </c>
      <c r="AJ8520" s="485"/>
    </row>
    <row r="8521" spans="2:36">
      <c r="B8521" s="136" t="s">
        <v>468</v>
      </c>
      <c r="C8521" s="132" t="s">
        <v>1373</v>
      </c>
      <c r="D8521" s="132" t="s">
        <v>1384</v>
      </c>
      <c r="E8521" s="508">
        <v>2.9000000000000001E-2</v>
      </c>
      <c r="F8521" s="508">
        <v>2.8000000000000001E-2</v>
      </c>
      <c r="G8521" s="508">
        <v>2.8000000000000001E-2</v>
      </c>
      <c r="H8521" s="508">
        <v>2.8000000000000001E-2</v>
      </c>
      <c r="I8521" s="508">
        <v>2.8000000000000001E-2</v>
      </c>
      <c r="J8521" s="508">
        <v>2.8000000000000001E-2</v>
      </c>
      <c r="K8521" s="508">
        <v>2.8000000000000001E-2</v>
      </c>
      <c r="L8521" s="508">
        <v>2.8000000000000001E-2</v>
      </c>
      <c r="M8521" s="508">
        <v>2.8000000000000001E-2</v>
      </c>
      <c r="N8521" s="508">
        <v>2.8000000000000001E-2</v>
      </c>
      <c r="O8521" s="508">
        <v>2.8000000000000001E-2</v>
      </c>
      <c r="P8521" s="508">
        <v>2.1999999999999999E-2</v>
      </c>
      <c r="Q8521" s="508">
        <v>2.1999999999999999E-2</v>
      </c>
      <c r="R8521" s="508">
        <v>2.1999999999999999E-2</v>
      </c>
      <c r="S8521" s="508">
        <v>2.1999999999999999E-2</v>
      </c>
      <c r="T8521" s="508">
        <v>2.1999999999999999E-2</v>
      </c>
      <c r="U8521" s="508">
        <v>2.1999999999999999E-2</v>
      </c>
      <c r="V8521" s="508">
        <v>2.1999999999999999E-2</v>
      </c>
      <c r="W8521" s="508">
        <v>2.1999999999999999E-2</v>
      </c>
      <c r="X8521" s="508">
        <v>2.1999999999999999E-2</v>
      </c>
      <c r="Y8521" s="508">
        <v>2.1999999999999999E-2</v>
      </c>
      <c r="Z8521" s="508">
        <v>2.1999999999999999E-2</v>
      </c>
      <c r="AA8521" s="508">
        <v>2.1999999999999999E-2</v>
      </c>
      <c r="AB8521" s="508">
        <v>2.1999999999999999E-2</v>
      </c>
      <c r="AC8521" s="508">
        <v>2.1999999999999999E-2</v>
      </c>
      <c r="AD8521" s="508">
        <v>2.1999999999999999E-2</v>
      </c>
      <c r="AE8521" s="508">
        <v>2.1999999999999999E-2</v>
      </c>
      <c r="AF8521" s="508">
        <v>2.1999999999999999E-2</v>
      </c>
      <c r="AG8521" s="508">
        <v>2.1999999999999999E-2</v>
      </c>
      <c r="AH8521" s="508">
        <v>2.1000000000000001E-2</v>
      </c>
      <c r="AI8521" s="492">
        <v>2.1000000000000001E-2</v>
      </c>
      <c r="AJ8521" s="485"/>
    </row>
    <row r="8522" spans="2:36">
      <c r="B8522" s="136" t="s">
        <v>469</v>
      </c>
      <c r="C8522" s="132" t="s">
        <v>1373</v>
      </c>
      <c r="D8522" s="132" t="s">
        <v>1384</v>
      </c>
      <c r="E8522" s="508">
        <v>2.9000000000000001E-2</v>
      </c>
      <c r="F8522" s="508">
        <v>2.9000000000000001E-2</v>
      </c>
      <c r="G8522" s="508">
        <v>2.9000000000000001E-2</v>
      </c>
      <c r="H8522" s="508">
        <v>2.9000000000000001E-2</v>
      </c>
      <c r="I8522" s="508">
        <v>2.9000000000000001E-2</v>
      </c>
      <c r="J8522" s="508">
        <v>2.9000000000000001E-2</v>
      </c>
      <c r="K8522" s="508">
        <v>2.9000000000000001E-2</v>
      </c>
      <c r="L8522" s="508">
        <v>2.9000000000000001E-2</v>
      </c>
      <c r="M8522" s="508">
        <v>2.9000000000000001E-2</v>
      </c>
      <c r="N8522" s="508">
        <v>2.9000000000000001E-2</v>
      </c>
      <c r="O8522" s="508">
        <v>2.9000000000000001E-2</v>
      </c>
      <c r="P8522" s="508">
        <v>2.3E-2</v>
      </c>
      <c r="Q8522" s="508">
        <v>2.3E-2</v>
      </c>
      <c r="R8522" s="508">
        <v>2.3E-2</v>
      </c>
      <c r="S8522" s="508">
        <v>2.3E-2</v>
      </c>
      <c r="T8522" s="508">
        <v>2.3E-2</v>
      </c>
      <c r="U8522" s="508">
        <v>2.3E-2</v>
      </c>
      <c r="V8522" s="508">
        <v>2.3E-2</v>
      </c>
      <c r="W8522" s="508">
        <v>2.1999999999999999E-2</v>
      </c>
      <c r="X8522" s="508">
        <v>2.1999999999999999E-2</v>
      </c>
      <c r="Y8522" s="508">
        <v>2.1999999999999999E-2</v>
      </c>
      <c r="Z8522" s="508">
        <v>2.1999999999999999E-2</v>
      </c>
      <c r="AA8522" s="508">
        <v>2.1999999999999999E-2</v>
      </c>
      <c r="AB8522" s="508">
        <v>2.1999999999999999E-2</v>
      </c>
      <c r="AC8522" s="508">
        <v>2.1999999999999999E-2</v>
      </c>
      <c r="AD8522" s="508">
        <v>2.1999999999999999E-2</v>
      </c>
      <c r="AE8522" s="508">
        <v>2.1999999999999999E-2</v>
      </c>
      <c r="AF8522" s="508">
        <v>2.1999999999999999E-2</v>
      </c>
      <c r="AG8522" s="508">
        <v>2.1999999999999999E-2</v>
      </c>
      <c r="AH8522" s="508">
        <v>2.1000000000000001E-2</v>
      </c>
      <c r="AI8522" s="492">
        <v>2.1000000000000001E-2</v>
      </c>
      <c r="AJ8522" s="485"/>
    </row>
    <row r="8523" spans="2:36">
      <c r="B8523" s="136" t="s">
        <v>470</v>
      </c>
      <c r="C8523" s="132" t="s">
        <v>1373</v>
      </c>
      <c r="D8523" s="132" t="s">
        <v>1384</v>
      </c>
      <c r="E8523" s="508">
        <v>3.1E-2</v>
      </c>
      <c r="F8523" s="508">
        <v>3.1E-2</v>
      </c>
      <c r="G8523" s="508">
        <v>3.1E-2</v>
      </c>
      <c r="H8523" s="508">
        <v>3.1E-2</v>
      </c>
      <c r="I8523" s="508">
        <v>3.1E-2</v>
      </c>
      <c r="J8523" s="508">
        <v>3.1E-2</v>
      </c>
      <c r="K8523" s="508">
        <v>3.1E-2</v>
      </c>
      <c r="L8523" s="508">
        <v>3.1E-2</v>
      </c>
      <c r="M8523" s="508">
        <v>3.1E-2</v>
      </c>
      <c r="N8523" s="508">
        <v>3.1E-2</v>
      </c>
      <c r="O8523" s="508">
        <v>3.1E-2</v>
      </c>
      <c r="P8523" s="508">
        <v>2.4E-2</v>
      </c>
      <c r="Q8523" s="508">
        <v>2.4E-2</v>
      </c>
      <c r="R8523" s="508">
        <v>2.4E-2</v>
      </c>
      <c r="S8523" s="508">
        <v>2.4E-2</v>
      </c>
      <c r="T8523" s="508">
        <v>2.4E-2</v>
      </c>
      <c r="U8523" s="508">
        <v>2.4E-2</v>
      </c>
      <c r="V8523" s="508">
        <v>2.4E-2</v>
      </c>
      <c r="W8523" s="508">
        <v>2.4E-2</v>
      </c>
      <c r="X8523" s="508">
        <v>2.4E-2</v>
      </c>
      <c r="Y8523" s="508">
        <v>2.4E-2</v>
      </c>
      <c r="Z8523" s="508">
        <v>2.4E-2</v>
      </c>
      <c r="AA8523" s="508">
        <v>2.4E-2</v>
      </c>
      <c r="AB8523" s="508">
        <v>2.4E-2</v>
      </c>
      <c r="AC8523" s="508">
        <v>2.4E-2</v>
      </c>
      <c r="AD8523" s="508">
        <v>2.4E-2</v>
      </c>
      <c r="AE8523" s="508">
        <v>2.4E-2</v>
      </c>
      <c r="AF8523" s="508">
        <v>2.4E-2</v>
      </c>
      <c r="AG8523" s="508">
        <v>2.4E-2</v>
      </c>
      <c r="AH8523" s="508">
        <v>2.3E-2</v>
      </c>
      <c r="AI8523" s="492">
        <v>2.3E-2</v>
      </c>
      <c r="AJ8523" s="485"/>
    </row>
    <row r="8524" spans="2:36">
      <c r="B8524" s="136" t="s">
        <v>471</v>
      </c>
      <c r="C8524" s="132" t="s">
        <v>1373</v>
      </c>
      <c r="D8524" s="132" t="s">
        <v>1384</v>
      </c>
      <c r="E8524" s="508">
        <v>0.03</v>
      </c>
      <c r="F8524" s="508">
        <v>0.03</v>
      </c>
      <c r="G8524" s="508">
        <v>0.03</v>
      </c>
      <c r="H8524" s="508">
        <v>0.03</v>
      </c>
      <c r="I8524" s="508">
        <v>0.03</v>
      </c>
      <c r="J8524" s="508">
        <v>0.03</v>
      </c>
      <c r="K8524" s="508">
        <v>0.03</v>
      </c>
      <c r="L8524" s="508">
        <v>0.03</v>
      </c>
      <c r="M8524" s="508">
        <v>0.03</v>
      </c>
      <c r="N8524" s="508">
        <v>0.03</v>
      </c>
      <c r="O8524" s="508">
        <v>0.03</v>
      </c>
      <c r="P8524" s="508">
        <v>2.4E-2</v>
      </c>
      <c r="Q8524" s="508">
        <v>2.4E-2</v>
      </c>
      <c r="R8524" s="508">
        <v>2.4E-2</v>
      </c>
      <c r="S8524" s="508">
        <v>2.4E-2</v>
      </c>
      <c r="T8524" s="508">
        <v>2.3E-2</v>
      </c>
      <c r="U8524" s="508">
        <v>2.3E-2</v>
      </c>
      <c r="V8524" s="508">
        <v>2.3E-2</v>
      </c>
      <c r="W8524" s="508">
        <v>2.3E-2</v>
      </c>
      <c r="X8524" s="508">
        <v>2.3E-2</v>
      </c>
      <c r="Y8524" s="508">
        <v>2.3E-2</v>
      </c>
      <c r="Z8524" s="508">
        <v>2.3E-2</v>
      </c>
      <c r="AA8524" s="508">
        <v>2.3E-2</v>
      </c>
      <c r="AB8524" s="508">
        <v>2.3E-2</v>
      </c>
      <c r="AC8524" s="508">
        <v>2.3E-2</v>
      </c>
      <c r="AD8524" s="508">
        <v>2.3E-2</v>
      </c>
      <c r="AE8524" s="508">
        <v>2.3E-2</v>
      </c>
      <c r="AF8524" s="508">
        <v>2.3E-2</v>
      </c>
      <c r="AG8524" s="508">
        <v>2.3E-2</v>
      </c>
      <c r="AH8524" s="508">
        <v>2.1999999999999999E-2</v>
      </c>
      <c r="AI8524" s="492">
        <v>2.1999999999999999E-2</v>
      </c>
      <c r="AJ8524" s="485"/>
    </row>
    <row r="8525" spans="2:36">
      <c r="B8525" s="136" t="s">
        <v>472</v>
      </c>
      <c r="C8525" s="132" t="s">
        <v>1373</v>
      </c>
      <c r="D8525" s="132" t="s">
        <v>1384</v>
      </c>
      <c r="E8525" s="508">
        <v>2.8000000000000001E-2</v>
      </c>
      <c r="F8525" s="508">
        <v>2.8000000000000001E-2</v>
      </c>
      <c r="G8525" s="508">
        <v>2.8000000000000001E-2</v>
      </c>
      <c r="H8525" s="508">
        <v>2.8000000000000001E-2</v>
      </c>
      <c r="I8525" s="508">
        <v>2.8000000000000001E-2</v>
      </c>
      <c r="J8525" s="508">
        <v>2.8000000000000001E-2</v>
      </c>
      <c r="K8525" s="508">
        <v>2.8000000000000001E-2</v>
      </c>
      <c r="L8525" s="508">
        <v>2.8000000000000001E-2</v>
      </c>
      <c r="M8525" s="508">
        <v>2.8000000000000001E-2</v>
      </c>
      <c r="N8525" s="508">
        <v>2.8000000000000001E-2</v>
      </c>
      <c r="O8525" s="508">
        <v>2.8000000000000001E-2</v>
      </c>
      <c r="P8525" s="508">
        <v>2.1999999999999999E-2</v>
      </c>
      <c r="Q8525" s="508">
        <v>2.1999999999999999E-2</v>
      </c>
      <c r="R8525" s="508">
        <v>2.1999999999999999E-2</v>
      </c>
      <c r="S8525" s="508">
        <v>2.1999999999999999E-2</v>
      </c>
      <c r="T8525" s="508">
        <v>2.1000000000000001E-2</v>
      </c>
      <c r="U8525" s="508">
        <v>2.1000000000000001E-2</v>
      </c>
      <c r="V8525" s="508">
        <v>2.1000000000000001E-2</v>
      </c>
      <c r="W8525" s="508">
        <v>2.1000000000000001E-2</v>
      </c>
      <c r="X8525" s="508">
        <v>2.1000000000000001E-2</v>
      </c>
      <c r="Y8525" s="508">
        <v>2.1000000000000001E-2</v>
      </c>
      <c r="Z8525" s="508">
        <v>2.1000000000000001E-2</v>
      </c>
      <c r="AA8525" s="508">
        <v>2.1000000000000001E-2</v>
      </c>
      <c r="AB8525" s="508">
        <v>2.1000000000000001E-2</v>
      </c>
      <c r="AC8525" s="508">
        <v>2.1000000000000001E-2</v>
      </c>
      <c r="AD8525" s="508">
        <v>2.1000000000000001E-2</v>
      </c>
      <c r="AE8525" s="508">
        <v>2.1000000000000001E-2</v>
      </c>
      <c r="AF8525" s="508">
        <v>2.1000000000000001E-2</v>
      </c>
      <c r="AG8525" s="508">
        <v>2.1000000000000001E-2</v>
      </c>
      <c r="AH8525" s="508">
        <v>0.02</v>
      </c>
      <c r="AI8525" s="492">
        <v>0.02</v>
      </c>
      <c r="AJ8525" s="485"/>
    </row>
    <row r="8526" spans="2:36">
      <c r="B8526" s="136" t="s">
        <v>473</v>
      </c>
      <c r="C8526" s="132" t="s">
        <v>1373</v>
      </c>
      <c r="D8526" s="132" t="s">
        <v>1384</v>
      </c>
      <c r="E8526" s="508">
        <v>3.1E-2</v>
      </c>
      <c r="F8526" s="508">
        <v>3.1E-2</v>
      </c>
      <c r="G8526" s="508">
        <v>3.1E-2</v>
      </c>
      <c r="H8526" s="508">
        <v>3.1E-2</v>
      </c>
      <c r="I8526" s="508">
        <v>3.1E-2</v>
      </c>
      <c r="J8526" s="508">
        <v>3.1E-2</v>
      </c>
      <c r="K8526" s="508">
        <v>3.1E-2</v>
      </c>
      <c r="L8526" s="508">
        <v>3.1E-2</v>
      </c>
      <c r="M8526" s="508">
        <v>3.1E-2</v>
      </c>
      <c r="N8526" s="508">
        <v>3.1E-2</v>
      </c>
      <c r="O8526" s="508">
        <v>3.1E-2</v>
      </c>
      <c r="P8526" s="508">
        <v>2.4E-2</v>
      </c>
      <c r="Q8526" s="508">
        <v>2.4E-2</v>
      </c>
      <c r="R8526" s="508">
        <v>2.4E-2</v>
      </c>
      <c r="S8526" s="508">
        <v>2.4E-2</v>
      </c>
      <c r="T8526" s="508">
        <v>2.4E-2</v>
      </c>
      <c r="U8526" s="508">
        <v>2.4E-2</v>
      </c>
      <c r="V8526" s="508">
        <v>2.4E-2</v>
      </c>
      <c r="W8526" s="508">
        <v>2.4E-2</v>
      </c>
      <c r="X8526" s="508">
        <v>2.4E-2</v>
      </c>
      <c r="Y8526" s="508">
        <v>2.4E-2</v>
      </c>
      <c r="Z8526" s="508">
        <v>2.4E-2</v>
      </c>
      <c r="AA8526" s="508">
        <v>2.4E-2</v>
      </c>
      <c r="AB8526" s="508">
        <v>2.4E-2</v>
      </c>
      <c r="AC8526" s="508">
        <v>2.4E-2</v>
      </c>
      <c r="AD8526" s="508">
        <v>2.4E-2</v>
      </c>
      <c r="AE8526" s="508">
        <v>2.4E-2</v>
      </c>
      <c r="AF8526" s="508">
        <v>2.4E-2</v>
      </c>
      <c r="AG8526" s="508">
        <v>2.4E-2</v>
      </c>
      <c r="AH8526" s="508">
        <v>2.3E-2</v>
      </c>
      <c r="AI8526" s="492">
        <v>2.3E-2</v>
      </c>
      <c r="AJ8526" s="485"/>
    </row>
    <row r="8527" spans="2:36">
      <c r="B8527" s="136" t="s">
        <v>474</v>
      </c>
      <c r="C8527" s="132" t="s">
        <v>1373</v>
      </c>
      <c r="D8527" s="132" t="s">
        <v>1384</v>
      </c>
      <c r="E8527" s="508">
        <v>0.03</v>
      </c>
      <c r="F8527" s="508">
        <v>0.03</v>
      </c>
      <c r="G8527" s="508">
        <v>0.03</v>
      </c>
      <c r="H8527" s="508">
        <v>0.03</v>
      </c>
      <c r="I8527" s="508">
        <v>0.03</v>
      </c>
      <c r="J8527" s="508">
        <v>0.03</v>
      </c>
      <c r="K8527" s="508">
        <v>0.03</v>
      </c>
      <c r="L8527" s="508">
        <v>0.03</v>
      </c>
      <c r="M8527" s="508">
        <v>0.03</v>
      </c>
      <c r="N8527" s="508">
        <v>0.03</v>
      </c>
      <c r="O8527" s="508">
        <v>0.03</v>
      </c>
      <c r="P8527" s="508">
        <v>2.3E-2</v>
      </c>
      <c r="Q8527" s="508">
        <v>2.3E-2</v>
      </c>
      <c r="R8527" s="508">
        <v>2.3E-2</v>
      </c>
      <c r="S8527" s="508">
        <v>2.3E-2</v>
      </c>
      <c r="T8527" s="508">
        <v>2.3E-2</v>
      </c>
      <c r="U8527" s="508">
        <v>2.3E-2</v>
      </c>
      <c r="V8527" s="508">
        <v>2.3E-2</v>
      </c>
      <c r="W8527" s="508">
        <v>2.3E-2</v>
      </c>
      <c r="X8527" s="508">
        <v>2.3E-2</v>
      </c>
      <c r="Y8527" s="508">
        <v>2.3E-2</v>
      </c>
      <c r="Z8527" s="508">
        <v>2.3E-2</v>
      </c>
      <c r="AA8527" s="508">
        <v>2.3E-2</v>
      </c>
      <c r="AB8527" s="508">
        <v>2.3E-2</v>
      </c>
      <c r="AC8527" s="508">
        <v>2.3E-2</v>
      </c>
      <c r="AD8527" s="508">
        <v>2.3E-2</v>
      </c>
      <c r="AE8527" s="508">
        <v>2.3E-2</v>
      </c>
      <c r="AF8527" s="508">
        <v>2.3E-2</v>
      </c>
      <c r="AG8527" s="508">
        <v>2.3E-2</v>
      </c>
      <c r="AH8527" s="508">
        <v>2.1999999999999999E-2</v>
      </c>
      <c r="AI8527" s="492">
        <v>2.1999999999999999E-2</v>
      </c>
      <c r="AJ8527" s="485"/>
    </row>
    <row r="8528" spans="2:36">
      <c r="B8528" s="136" t="s">
        <v>475</v>
      </c>
      <c r="C8528" s="132" t="s">
        <v>1373</v>
      </c>
      <c r="D8528" s="132" t="s">
        <v>1384</v>
      </c>
      <c r="E8528" s="508">
        <v>2.9000000000000001E-2</v>
      </c>
      <c r="F8528" s="508">
        <v>2.9000000000000001E-2</v>
      </c>
      <c r="G8528" s="508">
        <v>2.9000000000000001E-2</v>
      </c>
      <c r="H8528" s="508">
        <v>2.9000000000000001E-2</v>
      </c>
      <c r="I8528" s="508">
        <v>2.9000000000000001E-2</v>
      </c>
      <c r="J8528" s="508">
        <v>2.9000000000000001E-2</v>
      </c>
      <c r="K8528" s="508">
        <v>2.9000000000000001E-2</v>
      </c>
      <c r="L8528" s="508">
        <v>2.9000000000000001E-2</v>
      </c>
      <c r="M8528" s="508">
        <v>2.9000000000000001E-2</v>
      </c>
      <c r="N8528" s="508">
        <v>2.9000000000000001E-2</v>
      </c>
      <c r="O8528" s="508">
        <v>2.9000000000000001E-2</v>
      </c>
      <c r="P8528" s="508">
        <v>2.3E-2</v>
      </c>
      <c r="Q8528" s="508">
        <v>2.3E-2</v>
      </c>
      <c r="R8528" s="508">
        <v>2.3E-2</v>
      </c>
      <c r="S8528" s="508">
        <v>2.1999999999999999E-2</v>
      </c>
      <c r="T8528" s="508">
        <v>2.1999999999999999E-2</v>
      </c>
      <c r="U8528" s="508">
        <v>2.1999999999999999E-2</v>
      </c>
      <c r="V8528" s="508">
        <v>2.1999999999999999E-2</v>
      </c>
      <c r="W8528" s="508">
        <v>2.1999999999999999E-2</v>
      </c>
      <c r="X8528" s="508">
        <v>2.1999999999999999E-2</v>
      </c>
      <c r="Y8528" s="508">
        <v>2.1999999999999999E-2</v>
      </c>
      <c r="Z8528" s="508">
        <v>2.1999999999999999E-2</v>
      </c>
      <c r="AA8528" s="508">
        <v>2.1999999999999999E-2</v>
      </c>
      <c r="AB8528" s="508">
        <v>2.1999999999999999E-2</v>
      </c>
      <c r="AC8528" s="508">
        <v>2.1999999999999999E-2</v>
      </c>
      <c r="AD8528" s="508">
        <v>2.1999999999999999E-2</v>
      </c>
      <c r="AE8528" s="508">
        <v>2.1999999999999999E-2</v>
      </c>
      <c r="AF8528" s="508">
        <v>2.1999999999999999E-2</v>
      </c>
      <c r="AG8528" s="508">
        <v>2.1999999999999999E-2</v>
      </c>
      <c r="AH8528" s="508">
        <v>2.1000000000000001E-2</v>
      </c>
      <c r="AI8528" s="492">
        <v>2.1000000000000001E-2</v>
      </c>
      <c r="AJ8528" s="485"/>
    </row>
    <row r="8529" spans="2:36">
      <c r="B8529" s="136" t="s">
        <v>476</v>
      </c>
      <c r="C8529" s="132" t="s">
        <v>1373</v>
      </c>
      <c r="D8529" s="132" t="s">
        <v>1384</v>
      </c>
      <c r="E8529" s="508">
        <v>3.1E-2</v>
      </c>
      <c r="F8529" s="508">
        <v>0.03</v>
      </c>
      <c r="G8529" s="508">
        <v>0.03</v>
      </c>
      <c r="H8529" s="508">
        <v>0.03</v>
      </c>
      <c r="I8529" s="508">
        <v>0.03</v>
      </c>
      <c r="J8529" s="508">
        <v>0.03</v>
      </c>
      <c r="K8529" s="508">
        <v>0.03</v>
      </c>
      <c r="L8529" s="508">
        <v>0.03</v>
      </c>
      <c r="M8529" s="508">
        <v>0.03</v>
      </c>
      <c r="N8529" s="508">
        <v>0.03</v>
      </c>
      <c r="O8529" s="508">
        <v>0.03</v>
      </c>
      <c r="P8529" s="508">
        <v>2.4E-2</v>
      </c>
      <c r="Q8529" s="508">
        <v>2.4E-2</v>
      </c>
      <c r="R8529" s="508">
        <v>2.4E-2</v>
      </c>
      <c r="S8529" s="508">
        <v>2.4E-2</v>
      </c>
      <c r="T8529" s="508">
        <v>2.4E-2</v>
      </c>
      <c r="U8529" s="508">
        <v>2.3E-2</v>
      </c>
      <c r="V8529" s="508">
        <v>2.3E-2</v>
      </c>
      <c r="W8529" s="508">
        <v>2.3E-2</v>
      </c>
      <c r="X8529" s="508">
        <v>2.3E-2</v>
      </c>
      <c r="Y8529" s="508">
        <v>2.3E-2</v>
      </c>
      <c r="Z8529" s="508">
        <v>2.3E-2</v>
      </c>
      <c r="AA8529" s="508">
        <v>2.3E-2</v>
      </c>
      <c r="AB8529" s="508">
        <v>2.3E-2</v>
      </c>
      <c r="AC8529" s="508">
        <v>2.3E-2</v>
      </c>
      <c r="AD8529" s="508">
        <v>2.3E-2</v>
      </c>
      <c r="AE8529" s="508">
        <v>2.3E-2</v>
      </c>
      <c r="AF8529" s="508">
        <v>2.3E-2</v>
      </c>
      <c r="AG8529" s="508">
        <v>2.3E-2</v>
      </c>
      <c r="AH8529" s="508">
        <v>2.1999999999999999E-2</v>
      </c>
      <c r="AI8529" s="492">
        <v>2.1999999999999999E-2</v>
      </c>
      <c r="AJ8529" s="485"/>
    </row>
    <row r="8530" spans="2:36">
      <c r="B8530" s="136" t="s">
        <v>478</v>
      </c>
      <c r="C8530" s="132" t="s">
        <v>1373</v>
      </c>
      <c r="D8530" s="132" t="s">
        <v>1384</v>
      </c>
      <c r="E8530" s="508">
        <v>3.2000000000000001E-2</v>
      </c>
      <c r="F8530" s="508">
        <v>3.2000000000000001E-2</v>
      </c>
      <c r="G8530" s="508">
        <v>3.2000000000000001E-2</v>
      </c>
      <c r="H8530" s="508">
        <v>3.1E-2</v>
      </c>
      <c r="I8530" s="508">
        <v>3.1E-2</v>
      </c>
      <c r="J8530" s="508">
        <v>3.1E-2</v>
      </c>
      <c r="K8530" s="508">
        <v>3.1E-2</v>
      </c>
      <c r="L8530" s="508">
        <v>3.1E-2</v>
      </c>
      <c r="M8530" s="508">
        <v>3.1E-2</v>
      </c>
      <c r="N8530" s="508">
        <v>3.1E-2</v>
      </c>
      <c r="O8530" s="508">
        <v>3.1E-2</v>
      </c>
      <c r="P8530" s="508">
        <v>2.4E-2</v>
      </c>
      <c r="Q8530" s="508">
        <v>2.4E-2</v>
      </c>
      <c r="R8530" s="508">
        <v>2.4E-2</v>
      </c>
      <c r="S8530" s="508">
        <v>2.4E-2</v>
      </c>
      <c r="T8530" s="508">
        <v>2.4E-2</v>
      </c>
      <c r="U8530" s="508">
        <v>2.4E-2</v>
      </c>
      <c r="V8530" s="508">
        <v>2.4E-2</v>
      </c>
      <c r="W8530" s="508">
        <v>2.4E-2</v>
      </c>
      <c r="X8530" s="508">
        <v>2.4E-2</v>
      </c>
      <c r="Y8530" s="508">
        <v>2.4E-2</v>
      </c>
      <c r="Z8530" s="508">
        <v>2.4E-2</v>
      </c>
      <c r="AA8530" s="508">
        <v>2.4E-2</v>
      </c>
      <c r="AB8530" s="508">
        <v>2.4E-2</v>
      </c>
      <c r="AC8530" s="508">
        <v>2.4E-2</v>
      </c>
      <c r="AD8530" s="508">
        <v>2.4E-2</v>
      </c>
      <c r="AE8530" s="508">
        <v>2.4E-2</v>
      </c>
      <c r="AF8530" s="508">
        <v>2.4E-2</v>
      </c>
      <c r="AG8530" s="508">
        <v>2.4E-2</v>
      </c>
      <c r="AH8530" s="508">
        <v>2.3E-2</v>
      </c>
      <c r="AI8530" s="492">
        <v>2.3E-2</v>
      </c>
      <c r="AJ8530" s="485"/>
    </row>
    <row r="8531" spans="2:36">
      <c r="B8531" s="136" t="s">
        <v>479</v>
      </c>
      <c r="C8531" s="132" t="s">
        <v>1373</v>
      </c>
      <c r="D8531" s="132" t="s">
        <v>1384</v>
      </c>
      <c r="E8531" s="508">
        <v>0.03</v>
      </c>
      <c r="F8531" s="508">
        <v>0.03</v>
      </c>
      <c r="G8531" s="508">
        <v>0.03</v>
      </c>
      <c r="H8531" s="508">
        <v>0.03</v>
      </c>
      <c r="I8531" s="508">
        <v>0.03</v>
      </c>
      <c r="J8531" s="508">
        <v>0.03</v>
      </c>
      <c r="K8531" s="508">
        <v>0.03</v>
      </c>
      <c r="L8531" s="508">
        <v>0.03</v>
      </c>
      <c r="M8531" s="508">
        <v>0.03</v>
      </c>
      <c r="N8531" s="508">
        <v>0.03</v>
      </c>
      <c r="O8531" s="508">
        <v>0.03</v>
      </c>
      <c r="P8531" s="508">
        <v>2.3E-2</v>
      </c>
      <c r="Q8531" s="508">
        <v>2.3E-2</v>
      </c>
      <c r="R8531" s="508">
        <v>2.3E-2</v>
      </c>
      <c r="S8531" s="508">
        <v>2.3E-2</v>
      </c>
      <c r="T8531" s="508">
        <v>2.3E-2</v>
      </c>
      <c r="U8531" s="508">
        <v>2.3E-2</v>
      </c>
      <c r="V8531" s="508">
        <v>2.3E-2</v>
      </c>
      <c r="W8531" s="508">
        <v>2.3E-2</v>
      </c>
      <c r="X8531" s="508">
        <v>2.3E-2</v>
      </c>
      <c r="Y8531" s="508">
        <v>2.3E-2</v>
      </c>
      <c r="Z8531" s="508">
        <v>2.3E-2</v>
      </c>
      <c r="AA8531" s="508">
        <v>2.3E-2</v>
      </c>
      <c r="AB8531" s="508">
        <v>2.3E-2</v>
      </c>
      <c r="AC8531" s="508">
        <v>2.3E-2</v>
      </c>
      <c r="AD8531" s="508">
        <v>2.3E-2</v>
      </c>
      <c r="AE8531" s="508">
        <v>2.3E-2</v>
      </c>
      <c r="AF8531" s="508">
        <v>2.3E-2</v>
      </c>
      <c r="AG8531" s="508">
        <v>2.3E-2</v>
      </c>
      <c r="AH8531" s="508">
        <v>2.1999999999999999E-2</v>
      </c>
      <c r="AI8531" s="492">
        <v>2.1999999999999999E-2</v>
      </c>
      <c r="AJ8531" s="485"/>
    </row>
    <row r="8532" spans="2:36">
      <c r="B8532" s="136" t="s">
        <v>480</v>
      </c>
      <c r="C8532" s="132" t="s">
        <v>1373</v>
      </c>
      <c r="D8532" s="132" t="s">
        <v>1384</v>
      </c>
      <c r="E8532" s="508">
        <v>2.8000000000000001E-2</v>
      </c>
      <c r="F8532" s="508">
        <v>2.8000000000000001E-2</v>
      </c>
      <c r="G8532" s="508">
        <v>2.8000000000000001E-2</v>
      </c>
      <c r="H8532" s="508">
        <v>2.8000000000000001E-2</v>
      </c>
      <c r="I8532" s="508">
        <v>2.8000000000000001E-2</v>
      </c>
      <c r="J8532" s="508">
        <v>2.8000000000000001E-2</v>
      </c>
      <c r="K8532" s="508">
        <v>2.8000000000000001E-2</v>
      </c>
      <c r="L8532" s="508">
        <v>2.8000000000000001E-2</v>
      </c>
      <c r="M8532" s="508">
        <v>2.8000000000000001E-2</v>
      </c>
      <c r="N8532" s="508">
        <v>2.8000000000000001E-2</v>
      </c>
      <c r="O8532" s="508">
        <v>2.8000000000000001E-2</v>
      </c>
      <c r="P8532" s="508">
        <v>2.1999999999999999E-2</v>
      </c>
      <c r="Q8532" s="508">
        <v>2.1999999999999999E-2</v>
      </c>
      <c r="R8532" s="508">
        <v>2.1999999999999999E-2</v>
      </c>
      <c r="S8532" s="508">
        <v>2.1999999999999999E-2</v>
      </c>
      <c r="T8532" s="508">
        <v>2.1999999999999999E-2</v>
      </c>
      <c r="U8532" s="508">
        <v>2.1999999999999999E-2</v>
      </c>
      <c r="V8532" s="508">
        <v>2.1999999999999999E-2</v>
      </c>
      <c r="W8532" s="508">
        <v>2.1999999999999999E-2</v>
      </c>
      <c r="X8532" s="508">
        <v>2.1000000000000001E-2</v>
      </c>
      <c r="Y8532" s="508">
        <v>2.1000000000000001E-2</v>
      </c>
      <c r="Z8532" s="508">
        <v>2.1000000000000001E-2</v>
      </c>
      <c r="AA8532" s="508">
        <v>2.1000000000000001E-2</v>
      </c>
      <c r="AB8532" s="508">
        <v>2.1000000000000001E-2</v>
      </c>
      <c r="AC8532" s="508">
        <v>2.1000000000000001E-2</v>
      </c>
      <c r="AD8532" s="508">
        <v>2.1000000000000001E-2</v>
      </c>
      <c r="AE8532" s="508">
        <v>2.1000000000000001E-2</v>
      </c>
      <c r="AF8532" s="508">
        <v>2.1000000000000001E-2</v>
      </c>
      <c r="AG8532" s="508">
        <v>2.1000000000000001E-2</v>
      </c>
      <c r="AH8532" s="508">
        <v>2.1000000000000001E-2</v>
      </c>
      <c r="AI8532" s="492">
        <v>0.02</v>
      </c>
      <c r="AJ8532" s="485"/>
    </row>
    <row r="8533" spans="2:36">
      <c r="B8533" s="136" t="s">
        <v>481</v>
      </c>
      <c r="C8533" s="132" t="s">
        <v>1373</v>
      </c>
      <c r="D8533" s="132" t="s">
        <v>1384</v>
      </c>
      <c r="E8533" s="508">
        <v>0.03</v>
      </c>
      <c r="F8533" s="508">
        <v>0.03</v>
      </c>
      <c r="G8533" s="508">
        <v>0.03</v>
      </c>
      <c r="H8533" s="508">
        <v>0.03</v>
      </c>
      <c r="I8533" s="508">
        <v>0.03</v>
      </c>
      <c r="J8533" s="508">
        <v>0.03</v>
      </c>
      <c r="K8533" s="508">
        <v>0.03</v>
      </c>
      <c r="L8533" s="508">
        <v>0.03</v>
      </c>
      <c r="M8533" s="508">
        <v>0.03</v>
      </c>
      <c r="N8533" s="508">
        <v>0.03</v>
      </c>
      <c r="O8533" s="508">
        <v>0.03</v>
      </c>
      <c r="P8533" s="508">
        <v>2.4E-2</v>
      </c>
      <c r="Q8533" s="508">
        <v>2.4E-2</v>
      </c>
      <c r="R8533" s="508">
        <v>2.4E-2</v>
      </c>
      <c r="S8533" s="508">
        <v>2.4E-2</v>
      </c>
      <c r="T8533" s="508">
        <v>2.3E-2</v>
      </c>
      <c r="U8533" s="508">
        <v>2.3E-2</v>
      </c>
      <c r="V8533" s="508">
        <v>2.3E-2</v>
      </c>
      <c r="W8533" s="508">
        <v>2.3E-2</v>
      </c>
      <c r="X8533" s="508">
        <v>2.3E-2</v>
      </c>
      <c r="Y8533" s="508">
        <v>2.3E-2</v>
      </c>
      <c r="Z8533" s="508">
        <v>2.3E-2</v>
      </c>
      <c r="AA8533" s="508">
        <v>2.3E-2</v>
      </c>
      <c r="AB8533" s="508">
        <v>2.3E-2</v>
      </c>
      <c r="AC8533" s="508">
        <v>2.3E-2</v>
      </c>
      <c r="AD8533" s="508">
        <v>2.3E-2</v>
      </c>
      <c r="AE8533" s="508">
        <v>2.3E-2</v>
      </c>
      <c r="AF8533" s="508">
        <v>2.3E-2</v>
      </c>
      <c r="AG8533" s="508">
        <v>2.3E-2</v>
      </c>
      <c r="AH8533" s="508">
        <v>2.1999999999999999E-2</v>
      </c>
      <c r="AI8533" s="492">
        <v>2.1999999999999999E-2</v>
      </c>
      <c r="AJ8533" s="485"/>
    </row>
    <row r="8534" spans="2:36">
      <c r="B8534" s="136" t="s">
        <v>482</v>
      </c>
      <c r="C8534" s="132" t="s">
        <v>1373</v>
      </c>
      <c r="D8534" s="132" t="s">
        <v>1384</v>
      </c>
      <c r="E8534" s="508">
        <v>3.1E-2</v>
      </c>
      <c r="F8534" s="508">
        <v>0.03</v>
      </c>
      <c r="G8534" s="508">
        <v>3.1E-2</v>
      </c>
      <c r="H8534" s="508">
        <v>3.1E-2</v>
      </c>
      <c r="I8534" s="508">
        <v>3.1E-2</v>
      </c>
      <c r="J8534" s="508">
        <v>3.1E-2</v>
      </c>
      <c r="K8534" s="508">
        <v>3.1E-2</v>
      </c>
      <c r="L8534" s="508">
        <v>3.1E-2</v>
      </c>
      <c r="M8534" s="508">
        <v>3.1E-2</v>
      </c>
      <c r="N8534" s="508">
        <v>3.1E-2</v>
      </c>
      <c r="O8534" s="508">
        <v>3.1E-2</v>
      </c>
      <c r="P8534" s="508">
        <v>2.4E-2</v>
      </c>
      <c r="Q8534" s="508">
        <v>2.4E-2</v>
      </c>
      <c r="R8534" s="508">
        <v>2.4E-2</v>
      </c>
      <c r="S8534" s="508">
        <v>2.4E-2</v>
      </c>
      <c r="T8534" s="508">
        <v>2.4E-2</v>
      </c>
      <c r="U8534" s="508">
        <v>2.4E-2</v>
      </c>
      <c r="V8534" s="508">
        <v>2.4E-2</v>
      </c>
      <c r="W8534" s="508">
        <v>2.4E-2</v>
      </c>
      <c r="X8534" s="508">
        <v>2.4E-2</v>
      </c>
      <c r="Y8534" s="508">
        <v>2.4E-2</v>
      </c>
      <c r="Z8534" s="508">
        <v>2.4E-2</v>
      </c>
      <c r="AA8534" s="508">
        <v>2.4E-2</v>
      </c>
      <c r="AB8534" s="508">
        <v>2.4E-2</v>
      </c>
      <c r="AC8534" s="508">
        <v>2.4E-2</v>
      </c>
      <c r="AD8534" s="508">
        <v>2.4E-2</v>
      </c>
      <c r="AE8534" s="508">
        <v>2.4E-2</v>
      </c>
      <c r="AF8534" s="508">
        <v>2.4E-2</v>
      </c>
      <c r="AG8534" s="508">
        <v>2.4E-2</v>
      </c>
      <c r="AH8534" s="508">
        <v>2.3E-2</v>
      </c>
      <c r="AI8534" s="492">
        <v>2.3E-2</v>
      </c>
      <c r="AJ8534" s="485"/>
    </row>
    <row r="8535" spans="2:36">
      <c r="B8535" s="136" t="s">
        <v>483</v>
      </c>
      <c r="C8535" s="132" t="s">
        <v>1373</v>
      </c>
      <c r="D8535" s="132" t="s">
        <v>1384</v>
      </c>
      <c r="E8535" s="508">
        <v>3.2000000000000001E-2</v>
      </c>
      <c r="F8535" s="508">
        <v>3.1E-2</v>
      </c>
      <c r="G8535" s="508">
        <v>3.1E-2</v>
      </c>
      <c r="H8535" s="508">
        <v>3.1E-2</v>
      </c>
      <c r="I8535" s="508">
        <v>3.1E-2</v>
      </c>
      <c r="J8535" s="508">
        <v>3.1E-2</v>
      </c>
      <c r="K8535" s="508">
        <v>3.1E-2</v>
      </c>
      <c r="L8535" s="508">
        <v>3.1E-2</v>
      </c>
      <c r="M8535" s="508">
        <v>3.1E-2</v>
      </c>
      <c r="N8535" s="508">
        <v>3.1E-2</v>
      </c>
      <c r="O8535" s="508">
        <v>3.1E-2</v>
      </c>
      <c r="P8535" s="508">
        <v>2.4E-2</v>
      </c>
      <c r="Q8535" s="508">
        <v>2.4E-2</v>
      </c>
      <c r="R8535" s="508">
        <v>2.4E-2</v>
      </c>
      <c r="S8535" s="508">
        <v>2.4E-2</v>
      </c>
      <c r="T8535" s="508">
        <v>2.4E-2</v>
      </c>
      <c r="U8535" s="508">
        <v>2.4E-2</v>
      </c>
      <c r="V8535" s="508">
        <v>2.4E-2</v>
      </c>
      <c r="W8535" s="508">
        <v>2.4E-2</v>
      </c>
      <c r="X8535" s="508">
        <v>2.4E-2</v>
      </c>
      <c r="Y8535" s="508">
        <v>2.4E-2</v>
      </c>
      <c r="Z8535" s="508">
        <v>2.4E-2</v>
      </c>
      <c r="AA8535" s="508">
        <v>2.4E-2</v>
      </c>
      <c r="AB8535" s="508">
        <v>2.4E-2</v>
      </c>
      <c r="AC8535" s="508">
        <v>2.4E-2</v>
      </c>
      <c r="AD8535" s="508">
        <v>2.4E-2</v>
      </c>
      <c r="AE8535" s="508">
        <v>2.4E-2</v>
      </c>
      <c r="AF8535" s="508">
        <v>2.4E-2</v>
      </c>
      <c r="AG8535" s="508">
        <v>2.4E-2</v>
      </c>
      <c r="AH8535" s="508">
        <v>2.3E-2</v>
      </c>
      <c r="AI8535" s="492">
        <v>2.3E-2</v>
      </c>
      <c r="AJ8535" s="485"/>
    </row>
    <row r="8536" spans="2:36">
      <c r="B8536" s="136" t="s">
        <v>484</v>
      </c>
      <c r="C8536" s="132" t="s">
        <v>1373</v>
      </c>
      <c r="D8536" s="132" t="s">
        <v>1384</v>
      </c>
      <c r="E8536" s="508">
        <v>2.8000000000000001E-2</v>
      </c>
      <c r="F8536" s="508">
        <v>2.8000000000000001E-2</v>
      </c>
      <c r="G8536" s="508">
        <v>2.8000000000000001E-2</v>
      </c>
      <c r="H8536" s="508">
        <v>2.8000000000000001E-2</v>
      </c>
      <c r="I8536" s="508">
        <v>2.8000000000000001E-2</v>
      </c>
      <c r="J8536" s="508">
        <v>2.8000000000000001E-2</v>
      </c>
      <c r="K8536" s="508">
        <v>2.8000000000000001E-2</v>
      </c>
      <c r="L8536" s="508">
        <v>2.7E-2</v>
      </c>
      <c r="M8536" s="508">
        <v>2.7E-2</v>
      </c>
      <c r="N8536" s="508">
        <v>2.7E-2</v>
      </c>
      <c r="O8536" s="508">
        <v>2.7E-2</v>
      </c>
      <c r="P8536" s="508">
        <v>2.1999999999999999E-2</v>
      </c>
      <c r="Q8536" s="508">
        <v>2.1999999999999999E-2</v>
      </c>
      <c r="R8536" s="508">
        <v>2.1000000000000001E-2</v>
      </c>
      <c r="S8536" s="508">
        <v>2.1000000000000001E-2</v>
      </c>
      <c r="T8536" s="508">
        <v>2.1000000000000001E-2</v>
      </c>
      <c r="U8536" s="508">
        <v>2.1000000000000001E-2</v>
      </c>
      <c r="V8536" s="508">
        <v>2.1000000000000001E-2</v>
      </c>
      <c r="W8536" s="508">
        <v>2.1000000000000001E-2</v>
      </c>
      <c r="X8536" s="508">
        <v>2.1000000000000001E-2</v>
      </c>
      <c r="Y8536" s="508">
        <v>2.1000000000000001E-2</v>
      </c>
      <c r="Z8536" s="508">
        <v>2.1000000000000001E-2</v>
      </c>
      <c r="AA8536" s="508">
        <v>2.1000000000000001E-2</v>
      </c>
      <c r="AB8536" s="508">
        <v>2.1000000000000001E-2</v>
      </c>
      <c r="AC8536" s="508">
        <v>2.1000000000000001E-2</v>
      </c>
      <c r="AD8536" s="508">
        <v>2.1000000000000001E-2</v>
      </c>
      <c r="AE8536" s="508">
        <v>2.1000000000000001E-2</v>
      </c>
      <c r="AF8536" s="508">
        <v>2.1000000000000001E-2</v>
      </c>
      <c r="AG8536" s="508">
        <v>2.1000000000000001E-2</v>
      </c>
      <c r="AH8536" s="508">
        <v>0.02</v>
      </c>
      <c r="AI8536" s="492">
        <v>0.02</v>
      </c>
      <c r="AJ8536" s="485"/>
    </row>
    <row r="8537" spans="2:36">
      <c r="B8537" s="136" t="s">
        <v>486</v>
      </c>
      <c r="C8537" s="132" t="s">
        <v>1373</v>
      </c>
      <c r="D8537" s="132" t="s">
        <v>1384</v>
      </c>
      <c r="E8537" s="508">
        <v>0.03</v>
      </c>
      <c r="F8537" s="508">
        <v>0.03</v>
      </c>
      <c r="G8537" s="508">
        <v>0.03</v>
      </c>
      <c r="H8537" s="508">
        <v>0.03</v>
      </c>
      <c r="I8537" s="508">
        <v>0.03</v>
      </c>
      <c r="J8537" s="508">
        <v>0.03</v>
      </c>
      <c r="K8537" s="508">
        <v>0.03</v>
      </c>
      <c r="L8537" s="508">
        <v>0.03</v>
      </c>
      <c r="M8537" s="508">
        <v>0.03</v>
      </c>
      <c r="N8537" s="508">
        <v>0.03</v>
      </c>
      <c r="O8537" s="508">
        <v>0.03</v>
      </c>
      <c r="P8537" s="508">
        <v>2.4E-2</v>
      </c>
      <c r="Q8537" s="508">
        <v>2.4E-2</v>
      </c>
      <c r="R8537" s="508">
        <v>2.4E-2</v>
      </c>
      <c r="S8537" s="508">
        <v>2.4E-2</v>
      </c>
      <c r="T8537" s="508">
        <v>2.3E-2</v>
      </c>
      <c r="U8537" s="508">
        <v>2.3E-2</v>
      </c>
      <c r="V8537" s="508">
        <v>2.3E-2</v>
      </c>
      <c r="W8537" s="508">
        <v>2.3E-2</v>
      </c>
      <c r="X8537" s="508">
        <v>2.3E-2</v>
      </c>
      <c r="Y8537" s="508">
        <v>2.3E-2</v>
      </c>
      <c r="Z8537" s="508">
        <v>2.3E-2</v>
      </c>
      <c r="AA8537" s="508">
        <v>2.3E-2</v>
      </c>
      <c r="AB8537" s="508">
        <v>2.3E-2</v>
      </c>
      <c r="AC8537" s="508">
        <v>2.3E-2</v>
      </c>
      <c r="AD8537" s="508">
        <v>2.3E-2</v>
      </c>
      <c r="AE8537" s="508">
        <v>2.3E-2</v>
      </c>
      <c r="AF8537" s="508">
        <v>2.3E-2</v>
      </c>
      <c r="AG8537" s="508">
        <v>2.3E-2</v>
      </c>
      <c r="AH8537" s="508">
        <v>2.1999999999999999E-2</v>
      </c>
      <c r="AI8537" s="492">
        <v>2.1999999999999999E-2</v>
      </c>
      <c r="AJ8537" s="485"/>
    </row>
    <row r="8538" spans="2:36">
      <c r="B8538" s="136" t="s">
        <v>487</v>
      </c>
      <c r="C8538" s="132" t="s">
        <v>1373</v>
      </c>
      <c r="D8538" s="132" t="s">
        <v>1384</v>
      </c>
      <c r="E8538" s="508">
        <v>0.03</v>
      </c>
      <c r="F8538" s="508">
        <v>0.03</v>
      </c>
      <c r="G8538" s="508">
        <v>0.03</v>
      </c>
      <c r="H8538" s="508">
        <v>0.03</v>
      </c>
      <c r="I8538" s="508">
        <v>0.03</v>
      </c>
      <c r="J8538" s="508">
        <v>0.03</v>
      </c>
      <c r="K8538" s="508">
        <v>0.03</v>
      </c>
      <c r="L8538" s="508">
        <v>0.03</v>
      </c>
      <c r="M8538" s="508">
        <v>0.03</v>
      </c>
      <c r="N8538" s="508">
        <v>0.03</v>
      </c>
      <c r="O8538" s="508">
        <v>0.03</v>
      </c>
      <c r="P8538" s="508">
        <v>2.3E-2</v>
      </c>
      <c r="Q8538" s="508">
        <v>2.3E-2</v>
      </c>
      <c r="R8538" s="508">
        <v>2.3E-2</v>
      </c>
      <c r="S8538" s="508">
        <v>2.3E-2</v>
      </c>
      <c r="T8538" s="508">
        <v>2.3E-2</v>
      </c>
      <c r="U8538" s="508">
        <v>2.3E-2</v>
      </c>
      <c r="V8538" s="508">
        <v>2.3E-2</v>
      </c>
      <c r="W8538" s="508">
        <v>2.3E-2</v>
      </c>
      <c r="X8538" s="508">
        <v>2.3E-2</v>
      </c>
      <c r="Y8538" s="508">
        <v>2.3E-2</v>
      </c>
      <c r="Z8538" s="508">
        <v>2.3E-2</v>
      </c>
      <c r="AA8538" s="508">
        <v>2.3E-2</v>
      </c>
      <c r="AB8538" s="508">
        <v>2.3E-2</v>
      </c>
      <c r="AC8538" s="508">
        <v>2.3E-2</v>
      </c>
      <c r="AD8538" s="508">
        <v>2.3E-2</v>
      </c>
      <c r="AE8538" s="508">
        <v>2.3E-2</v>
      </c>
      <c r="AF8538" s="508">
        <v>2.3E-2</v>
      </c>
      <c r="AG8538" s="508">
        <v>2.3E-2</v>
      </c>
      <c r="AH8538" s="508">
        <v>2.1999999999999999E-2</v>
      </c>
      <c r="AI8538" s="492">
        <v>2.1999999999999999E-2</v>
      </c>
      <c r="AJ8538" s="485"/>
    </row>
    <row r="8539" spans="2:36">
      <c r="B8539" s="136" t="s">
        <v>488</v>
      </c>
      <c r="C8539" s="132" t="s">
        <v>1373</v>
      </c>
      <c r="D8539" s="132" t="s">
        <v>1384</v>
      </c>
      <c r="E8539" s="508">
        <v>2.9000000000000001E-2</v>
      </c>
      <c r="F8539" s="508">
        <v>2.8000000000000001E-2</v>
      </c>
      <c r="G8539" s="508">
        <v>2.8000000000000001E-2</v>
      </c>
      <c r="H8539" s="508">
        <v>2.8000000000000001E-2</v>
      </c>
      <c r="I8539" s="508">
        <v>2.8000000000000001E-2</v>
      </c>
      <c r="J8539" s="508">
        <v>2.8000000000000001E-2</v>
      </c>
      <c r="K8539" s="508">
        <v>2.8000000000000001E-2</v>
      </c>
      <c r="L8539" s="508">
        <v>2.8000000000000001E-2</v>
      </c>
      <c r="M8539" s="508">
        <v>2.8000000000000001E-2</v>
      </c>
      <c r="N8539" s="508">
        <v>2.8000000000000001E-2</v>
      </c>
      <c r="O8539" s="508">
        <v>2.8000000000000001E-2</v>
      </c>
      <c r="P8539" s="508">
        <v>2.1999999999999999E-2</v>
      </c>
      <c r="Q8539" s="508">
        <v>2.1999999999999999E-2</v>
      </c>
      <c r="R8539" s="508">
        <v>2.1999999999999999E-2</v>
      </c>
      <c r="S8539" s="508">
        <v>2.1999999999999999E-2</v>
      </c>
      <c r="T8539" s="508">
        <v>2.1999999999999999E-2</v>
      </c>
      <c r="U8539" s="508">
        <v>2.1999999999999999E-2</v>
      </c>
      <c r="V8539" s="508">
        <v>2.1999999999999999E-2</v>
      </c>
      <c r="W8539" s="508">
        <v>2.1999999999999999E-2</v>
      </c>
      <c r="X8539" s="508">
        <v>2.1999999999999999E-2</v>
      </c>
      <c r="Y8539" s="508">
        <v>2.1999999999999999E-2</v>
      </c>
      <c r="Z8539" s="508">
        <v>2.1999999999999999E-2</v>
      </c>
      <c r="AA8539" s="508">
        <v>2.1999999999999999E-2</v>
      </c>
      <c r="AB8539" s="508">
        <v>2.1999999999999999E-2</v>
      </c>
      <c r="AC8539" s="508">
        <v>2.1999999999999999E-2</v>
      </c>
      <c r="AD8539" s="508">
        <v>2.1999999999999999E-2</v>
      </c>
      <c r="AE8539" s="508">
        <v>2.1999999999999999E-2</v>
      </c>
      <c r="AF8539" s="508">
        <v>2.1999999999999999E-2</v>
      </c>
      <c r="AG8539" s="508">
        <v>2.1999999999999999E-2</v>
      </c>
      <c r="AH8539" s="508">
        <v>2.1000000000000001E-2</v>
      </c>
      <c r="AI8539" s="492">
        <v>2.1000000000000001E-2</v>
      </c>
      <c r="AJ8539" s="485"/>
    </row>
    <row r="8540" spans="2:36">
      <c r="B8540" s="136" t="s">
        <v>489</v>
      </c>
      <c r="C8540" s="132" t="s">
        <v>1373</v>
      </c>
      <c r="D8540" s="132" t="s">
        <v>1384</v>
      </c>
      <c r="E8540" s="508">
        <v>2.9000000000000001E-2</v>
      </c>
      <c r="F8540" s="508">
        <v>2.9000000000000001E-2</v>
      </c>
      <c r="G8540" s="508">
        <v>2.9000000000000001E-2</v>
      </c>
      <c r="H8540" s="508">
        <v>2.9000000000000001E-2</v>
      </c>
      <c r="I8540" s="508">
        <v>2.9000000000000001E-2</v>
      </c>
      <c r="J8540" s="508">
        <v>2.9000000000000001E-2</v>
      </c>
      <c r="K8540" s="508">
        <v>2.9000000000000001E-2</v>
      </c>
      <c r="L8540" s="508">
        <v>2.9000000000000001E-2</v>
      </c>
      <c r="M8540" s="508">
        <v>2.9000000000000001E-2</v>
      </c>
      <c r="N8540" s="508">
        <v>2.9000000000000001E-2</v>
      </c>
      <c r="O8540" s="508">
        <v>2.9000000000000001E-2</v>
      </c>
      <c r="P8540" s="508">
        <v>2.3E-2</v>
      </c>
      <c r="Q8540" s="508">
        <v>2.3E-2</v>
      </c>
      <c r="R8540" s="508">
        <v>2.3E-2</v>
      </c>
      <c r="S8540" s="508">
        <v>2.3E-2</v>
      </c>
      <c r="T8540" s="508">
        <v>2.1999999999999999E-2</v>
      </c>
      <c r="U8540" s="508">
        <v>2.1999999999999999E-2</v>
      </c>
      <c r="V8540" s="508">
        <v>2.1999999999999999E-2</v>
      </c>
      <c r="W8540" s="508">
        <v>2.1999999999999999E-2</v>
      </c>
      <c r="X8540" s="508">
        <v>2.1999999999999999E-2</v>
      </c>
      <c r="Y8540" s="508">
        <v>2.1999999999999999E-2</v>
      </c>
      <c r="Z8540" s="508">
        <v>2.1999999999999999E-2</v>
      </c>
      <c r="AA8540" s="508">
        <v>2.1999999999999999E-2</v>
      </c>
      <c r="AB8540" s="508">
        <v>2.1999999999999999E-2</v>
      </c>
      <c r="AC8540" s="508">
        <v>2.1999999999999999E-2</v>
      </c>
      <c r="AD8540" s="508">
        <v>2.1999999999999999E-2</v>
      </c>
      <c r="AE8540" s="508">
        <v>2.1999999999999999E-2</v>
      </c>
      <c r="AF8540" s="508">
        <v>2.1999999999999999E-2</v>
      </c>
      <c r="AG8540" s="508">
        <v>2.1999999999999999E-2</v>
      </c>
      <c r="AH8540" s="508">
        <v>2.1000000000000001E-2</v>
      </c>
      <c r="AI8540" s="492">
        <v>2.1000000000000001E-2</v>
      </c>
      <c r="AJ8540" s="485"/>
    </row>
    <row r="8541" spans="2:36">
      <c r="B8541" s="136" t="s">
        <v>490</v>
      </c>
      <c r="C8541" s="132" t="s">
        <v>1373</v>
      </c>
      <c r="D8541" s="132" t="s">
        <v>1384</v>
      </c>
      <c r="E8541" s="508">
        <v>2.8000000000000001E-2</v>
      </c>
      <c r="F8541" s="508">
        <v>2.8000000000000001E-2</v>
      </c>
      <c r="G8541" s="508">
        <v>2.8000000000000001E-2</v>
      </c>
      <c r="H8541" s="508">
        <v>2.8000000000000001E-2</v>
      </c>
      <c r="I8541" s="508">
        <v>2.8000000000000001E-2</v>
      </c>
      <c r="J8541" s="508">
        <v>2.8000000000000001E-2</v>
      </c>
      <c r="K8541" s="508">
        <v>2.8000000000000001E-2</v>
      </c>
      <c r="L8541" s="508">
        <v>2.8000000000000001E-2</v>
      </c>
      <c r="M8541" s="508">
        <v>2.8000000000000001E-2</v>
      </c>
      <c r="N8541" s="508">
        <v>2.8000000000000001E-2</v>
      </c>
      <c r="O8541" s="508">
        <v>2.8000000000000001E-2</v>
      </c>
      <c r="P8541" s="508">
        <v>2.1999999999999999E-2</v>
      </c>
      <c r="Q8541" s="508">
        <v>2.1999999999999999E-2</v>
      </c>
      <c r="R8541" s="508">
        <v>2.1999999999999999E-2</v>
      </c>
      <c r="S8541" s="508">
        <v>2.1999999999999999E-2</v>
      </c>
      <c r="T8541" s="508">
        <v>2.1999999999999999E-2</v>
      </c>
      <c r="U8541" s="508">
        <v>2.1999999999999999E-2</v>
      </c>
      <c r="V8541" s="508">
        <v>2.1999999999999999E-2</v>
      </c>
      <c r="W8541" s="508">
        <v>2.1999999999999999E-2</v>
      </c>
      <c r="X8541" s="508">
        <v>2.1999999999999999E-2</v>
      </c>
      <c r="Y8541" s="508">
        <v>2.1999999999999999E-2</v>
      </c>
      <c r="Z8541" s="508">
        <v>2.1999999999999999E-2</v>
      </c>
      <c r="AA8541" s="508">
        <v>2.1999999999999999E-2</v>
      </c>
      <c r="AB8541" s="508">
        <v>2.1999999999999999E-2</v>
      </c>
      <c r="AC8541" s="508">
        <v>2.1999999999999999E-2</v>
      </c>
      <c r="AD8541" s="508">
        <v>2.1999999999999999E-2</v>
      </c>
      <c r="AE8541" s="508">
        <v>2.1999999999999999E-2</v>
      </c>
      <c r="AF8541" s="508">
        <v>2.1999999999999999E-2</v>
      </c>
      <c r="AG8541" s="508">
        <v>2.1999999999999999E-2</v>
      </c>
      <c r="AH8541" s="508">
        <v>2.1000000000000001E-2</v>
      </c>
      <c r="AI8541" s="492">
        <v>2.1000000000000001E-2</v>
      </c>
      <c r="AJ8541" s="485"/>
    </row>
    <row r="8542" spans="2:36">
      <c r="B8542" s="136" t="s">
        <v>435</v>
      </c>
      <c r="C8542" s="132" t="s">
        <v>1377</v>
      </c>
      <c r="D8542" s="132" t="s">
        <v>1384</v>
      </c>
      <c r="E8542" s="508"/>
      <c r="F8542" s="508"/>
      <c r="G8542" s="508"/>
      <c r="H8542" s="508"/>
      <c r="I8542" s="508"/>
      <c r="J8542" s="508"/>
      <c r="K8542" s="508"/>
      <c r="L8542" s="508"/>
      <c r="M8542" s="508"/>
      <c r="N8542" s="508"/>
      <c r="O8542" s="508"/>
      <c r="P8542" s="508"/>
      <c r="Q8542" s="508"/>
      <c r="R8542" s="508"/>
      <c r="S8542" s="508"/>
      <c r="T8542" s="508"/>
      <c r="U8542" s="508"/>
      <c r="V8542" s="508"/>
      <c r="W8542" s="508"/>
      <c r="X8542" s="508"/>
      <c r="Y8542" s="508"/>
      <c r="Z8542" s="508"/>
      <c r="AA8542" s="508"/>
      <c r="AB8542" s="508"/>
      <c r="AC8542" s="508"/>
      <c r="AD8542" s="508"/>
      <c r="AE8542" s="508"/>
      <c r="AF8542" s="508"/>
      <c r="AG8542" s="508"/>
      <c r="AH8542" s="508"/>
      <c r="AI8542" s="492"/>
      <c r="AJ8542" s="485"/>
    </row>
    <row r="8543" spans="2:36">
      <c r="B8543" s="136" t="s">
        <v>436</v>
      </c>
      <c r="C8543" s="132" t="s">
        <v>1377</v>
      </c>
      <c r="D8543" s="132" t="s">
        <v>1384</v>
      </c>
      <c r="E8543" s="508"/>
      <c r="F8543" s="508"/>
      <c r="G8543" s="508"/>
      <c r="H8543" s="508"/>
      <c r="I8543" s="508"/>
      <c r="J8543" s="508"/>
      <c r="K8543" s="508"/>
      <c r="L8543" s="508"/>
      <c r="M8543" s="508"/>
      <c r="N8543" s="508"/>
      <c r="O8543" s="508"/>
      <c r="P8543" s="508"/>
      <c r="Q8543" s="508"/>
      <c r="R8543" s="508"/>
      <c r="S8543" s="508"/>
      <c r="T8543" s="508"/>
      <c r="U8543" s="508"/>
      <c r="V8543" s="508"/>
      <c r="W8543" s="508"/>
      <c r="X8543" s="508"/>
      <c r="Y8543" s="508"/>
      <c r="Z8543" s="508"/>
      <c r="AA8543" s="508"/>
      <c r="AB8543" s="508"/>
      <c r="AC8543" s="508"/>
      <c r="AD8543" s="508"/>
      <c r="AE8543" s="508"/>
      <c r="AF8543" s="508"/>
      <c r="AG8543" s="508"/>
      <c r="AH8543" s="508"/>
      <c r="AI8543" s="492"/>
      <c r="AJ8543" s="485"/>
    </row>
    <row r="8544" spans="2:36">
      <c r="B8544" s="136" t="s">
        <v>437</v>
      </c>
      <c r="C8544" s="132" t="s">
        <v>1377</v>
      </c>
      <c r="D8544" s="132" t="s">
        <v>1384</v>
      </c>
      <c r="E8544" s="508"/>
      <c r="F8544" s="508"/>
      <c r="G8544" s="508"/>
      <c r="H8544" s="508"/>
      <c r="I8544" s="508"/>
      <c r="J8544" s="508"/>
      <c r="K8544" s="508"/>
      <c r="L8544" s="508"/>
      <c r="M8544" s="508"/>
      <c r="N8544" s="508"/>
      <c r="O8544" s="508"/>
      <c r="P8544" s="508"/>
      <c r="Q8544" s="508"/>
      <c r="R8544" s="508"/>
      <c r="S8544" s="508"/>
      <c r="T8544" s="508"/>
      <c r="U8544" s="508"/>
      <c r="V8544" s="508"/>
      <c r="W8544" s="508"/>
      <c r="X8544" s="508"/>
      <c r="Y8544" s="508"/>
      <c r="Z8544" s="508"/>
      <c r="AA8544" s="508"/>
      <c r="AB8544" s="508"/>
      <c r="AC8544" s="508"/>
      <c r="AD8544" s="508"/>
      <c r="AE8544" s="508"/>
      <c r="AF8544" s="508"/>
      <c r="AG8544" s="508"/>
      <c r="AH8544" s="508"/>
      <c r="AI8544" s="492"/>
      <c r="AJ8544" s="485"/>
    </row>
    <row r="8545" spans="2:36">
      <c r="B8545" s="136" t="s">
        <v>438</v>
      </c>
      <c r="C8545" s="132" t="s">
        <v>1377</v>
      </c>
      <c r="D8545" s="132" t="s">
        <v>1384</v>
      </c>
      <c r="E8545" s="508"/>
      <c r="F8545" s="508"/>
      <c r="G8545" s="508"/>
      <c r="H8545" s="508"/>
      <c r="I8545" s="508"/>
      <c r="J8545" s="508"/>
      <c r="K8545" s="508"/>
      <c r="L8545" s="508"/>
      <c r="M8545" s="508"/>
      <c r="N8545" s="508"/>
      <c r="O8545" s="508"/>
      <c r="P8545" s="508"/>
      <c r="Q8545" s="508"/>
      <c r="R8545" s="508"/>
      <c r="S8545" s="508"/>
      <c r="T8545" s="508"/>
      <c r="U8545" s="508"/>
      <c r="V8545" s="508"/>
      <c r="W8545" s="508"/>
      <c r="X8545" s="508"/>
      <c r="Y8545" s="508"/>
      <c r="Z8545" s="508"/>
      <c r="AA8545" s="508"/>
      <c r="AB8545" s="508"/>
      <c r="AC8545" s="508"/>
      <c r="AD8545" s="508"/>
      <c r="AE8545" s="508"/>
      <c r="AF8545" s="508"/>
      <c r="AG8545" s="508"/>
      <c r="AH8545" s="508"/>
      <c r="AI8545" s="492"/>
      <c r="AJ8545" s="485"/>
    </row>
    <row r="8546" spans="2:36">
      <c r="B8546" s="136" t="s">
        <v>439</v>
      </c>
      <c r="C8546" s="132" t="s">
        <v>1377</v>
      </c>
      <c r="D8546" s="132" t="s">
        <v>1384</v>
      </c>
      <c r="E8546" s="508"/>
      <c r="F8546" s="508"/>
      <c r="G8546" s="508"/>
      <c r="H8546" s="508"/>
      <c r="I8546" s="508"/>
      <c r="J8546" s="508"/>
      <c r="K8546" s="508"/>
      <c r="L8546" s="508"/>
      <c r="M8546" s="508"/>
      <c r="N8546" s="508"/>
      <c r="O8546" s="508"/>
      <c r="P8546" s="508"/>
      <c r="Q8546" s="508"/>
      <c r="R8546" s="508"/>
      <c r="S8546" s="508"/>
      <c r="T8546" s="508"/>
      <c r="U8546" s="508"/>
      <c r="V8546" s="508"/>
      <c r="W8546" s="508"/>
      <c r="X8546" s="508"/>
      <c r="Y8546" s="508"/>
      <c r="Z8546" s="508"/>
      <c r="AA8546" s="508"/>
      <c r="AB8546" s="508"/>
      <c r="AC8546" s="508"/>
      <c r="AD8546" s="508"/>
      <c r="AE8546" s="508"/>
      <c r="AF8546" s="508"/>
      <c r="AG8546" s="508"/>
      <c r="AH8546" s="508"/>
      <c r="AI8546" s="492"/>
      <c r="AJ8546" s="485"/>
    </row>
    <row r="8547" spans="2:36">
      <c r="B8547" s="136" t="s">
        <v>440</v>
      </c>
      <c r="C8547" s="132" t="s">
        <v>1377</v>
      </c>
      <c r="D8547" s="132" t="s">
        <v>1384</v>
      </c>
      <c r="E8547" s="508"/>
      <c r="F8547" s="508"/>
      <c r="G8547" s="508"/>
      <c r="H8547" s="508"/>
      <c r="I8547" s="508"/>
      <c r="J8547" s="508"/>
      <c r="K8547" s="508"/>
      <c r="L8547" s="508"/>
      <c r="M8547" s="508"/>
      <c r="N8547" s="508"/>
      <c r="O8547" s="508"/>
      <c r="P8547" s="508"/>
      <c r="Q8547" s="508"/>
      <c r="R8547" s="508"/>
      <c r="S8547" s="508"/>
      <c r="T8547" s="508"/>
      <c r="U8547" s="508"/>
      <c r="V8547" s="508"/>
      <c r="W8547" s="508"/>
      <c r="X8547" s="508"/>
      <c r="Y8547" s="508"/>
      <c r="Z8547" s="508"/>
      <c r="AA8547" s="508"/>
      <c r="AB8547" s="508"/>
      <c r="AC8547" s="508"/>
      <c r="AD8547" s="508"/>
      <c r="AE8547" s="508"/>
      <c r="AF8547" s="508"/>
      <c r="AG8547" s="508"/>
      <c r="AH8547" s="508"/>
      <c r="AI8547" s="492"/>
      <c r="AJ8547" s="485"/>
    </row>
    <row r="8548" spans="2:36">
      <c r="B8548" s="136" t="s">
        <v>441</v>
      </c>
      <c r="C8548" s="132" t="s">
        <v>1377</v>
      </c>
      <c r="D8548" s="132" t="s">
        <v>1384</v>
      </c>
      <c r="E8548" s="508"/>
      <c r="F8548" s="508"/>
      <c r="G8548" s="508"/>
      <c r="H8548" s="508"/>
      <c r="I8548" s="508"/>
      <c r="J8548" s="508"/>
      <c r="K8548" s="508"/>
      <c r="L8548" s="508"/>
      <c r="M8548" s="508"/>
      <c r="N8548" s="508"/>
      <c r="O8548" s="508"/>
      <c r="P8548" s="508"/>
      <c r="Q8548" s="508"/>
      <c r="R8548" s="508"/>
      <c r="S8548" s="508"/>
      <c r="T8548" s="508"/>
      <c r="U8548" s="508"/>
      <c r="V8548" s="508"/>
      <c r="W8548" s="508"/>
      <c r="X8548" s="508"/>
      <c r="Y8548" s="508"/>
      <c r="Z8548" s="508"/>
      <c r="AA8548" s="508"/>
      <c r="AB8548" s="508"/>
      <c r="AC8548" s="508"/>
      <c r="AD8548" s="508"/>
      <c r="AE8548" s="508"/>
      <c r="AF8548" s="508"/>
      <c r="AG8548" s="508"/>
      <c r="AH8548" s="508"/>
      <c r="AI8548" s="492"/>
      <c r="AJ8548" s="485"/>
    </row>
    <row r="8549" spans="2:36">
      <c r="B8549" s="136" t="s">
        <v>443</v>
      </c>
      <c r="C8549" s="132" t="s">
        <v>1377</v>
      </c>
      <c r="D8549" s="132" t="s">
        <v>1384</v>
      </c>
      <c r="E8549" s="508"/>
      <c r="F8549" s="508"/>
      <c r="G8549" s="508"/>
      <c r="H8549" s="508"/>
      <c r="I8549" s="508"/>
      <c r="J8549" s="508"/>
      <c r="K8549" s="508"/>
      <c r="L8549" s="508"/>
      <c r="M8549" s="508"/>
      <c r="N8549" s="508"/>
      <c r="O8549" s="508"/>
      <c r="P8549" s="508"/>
      <c r="Q8549" s="508"/>
      <c r="R8549" s="508"/>
      <c r="S8549" s="508"/>
      <c r="T8549" s="508"/>
      <c r="U8549" s="508"/>
      <c r="V8549" s="508"/>
      <c r="W8549" s="508"/>
      <c r="X8549" s="508"/>
      <c r="Y8549" s="508"/>
      <c r="Z8549" s="508"/>
      <c r="AA8549" s="508"/>
      <c r="AB8549" s="508"/>
      <c r="AC8549" s="508"/>
      <c r="AD8549" s="508"/>
      <c r="AE8549" s="508"/>
      <c r="AF8549" s="508"/>
      <c r="AG8549" s="508"/>
      <c r="AH8549" s="508"/>
      <c r="AI8549" s="492"/>
      <c r="AJ8549" s="485"/>
    </row>
    <row r="8550" spans="2:36">
      <c r="B8550" s="136" t="s">
        <v>445</v>
      </c>
      <c r="C8550" s="132" t="s">
        <v>1377</v>
      </c>
      <c r="D8550" s="132" t="s">
        <v>1384</v>
      </c>
      <c r="E8550" s="508"/>
      <c r="F8550" s="508"/>
      <c r="G8550" s="508"/>
      <c r="H8550" s="508"/>
      <c r="I8550" s="508"/>
      <c r="J8550" s="508"/>
      <c r="K8550" s="508"/>
      <c r="L8550" s="508"/>
      <c r="M8550" s="508"/>
      <c r="N8550" s="508"/>
      <c r="O8550" s="508"/>
      <c r="P8550" s="508"/>
      <c r="Q8550" s="508"/>
      <c r="R8550" s="508"/>
      <c r="S8550" s="508"/>
      <c r="T8550" s="508"/>
      <c r="U8550" s="508"/>
      <c r="V8550" s="508"/>
      <c r="W8550" s="508"/>
      <c r="X8550" s="508"/>
      <c r="Y8550" s="508"/>
      <c r="Z8550" s="508"/>
      <c r="AA8550" s="508"/>
      <c r="AB8550" s="508"/>
      <c r="AC8550" s="508"/>
      <c r="AD8550" s="508"/>
      <c r="AE8550" s="508"/>
      <c r="AF8550" s="508"/>
      <c r="AG8550" s="508"/>
      <c r="AH8550" s="508"/>
      <c r="AI8550" s="492"/>
      <c r="AJ8550" s="485"/>
    </row>
    <row r="8551" spans="2:36">
      <c r="B8551" s="136" t="s">
        <v>446</v>
      </c>
      <c r="C8551" s="132" t="s">
        <v>1377</v>
      </c>
      <c r="D8551" s="132" t="s">
        <v>1384</v>
      </c>
      <c r="E8551" s="508"/>
      <c r="F8551" s="508"/>
      <c r="G8551" s="508"/>
      <c r="H8551" s="508"/>
      <c r="I8551" s="508"/>
      <c r="J8551" s="508"/>
      <c r="K8551" s="508"/>
      <c r="L8551" s="508"/>
      <c r="M8551" s="508"/>
      <c r="N8551" s="508"/>
      <c r="O8551" s="508"/>
      <c r="P8551" s="508"/>
      <c r="Q8551" s="508"/>
      <c r="R8551" s="508"/>
      <c r="S8551" s="508"/>
      <c r="T8551" s="508"/>
      <c r="U8551" s="508"/>
      <c r="V8551" s="508"/>
      <c r="W8551" s="508"/>
      <c r="X8551" s="508"/>
      <c r="Y8551" s="508"/>
      <c r="Z8551" s="508"/>
      <c r="AA8551" s="508"/>
      <c r="AB8551" s="508"/>
      <c r="AC8551" s="508"/>
      <c r="AD8551" s="508"/>
      <c r="AE8551" s="508"/>
      <c r="AF8551" s="508"/>
      <c r="AG8551" s="508"/>
      <c r="AH8551" s="508"/>
      <c r="AI8551" s="492"/>
      <c r="AJ8551" s="485"/>
    </row>
    <row r="8552" spans="2:36">
      <c r="B8552" s="136" t="s">
        <v>448</v>
      </c>
      <c r="C8552" s="132" t="s">
        <v>1377</v>
      </c>
      <c r="D8552" s="132" t="s">
        <v>1384</v>
      </c>
      <c r="E8552" s="508"/>
      <c r="F8552" s="508"/>
      <c r="G8552" s="508"/>
      <c r="H8552" s="508"/>
      <c r="I8552" s="508"/>
      <c r="J8552" s="508"/>
      <c r="K8552" s="508"/>
      <c r="L8552" s="508"/>
      <c r="M8552" s="508"/>
      <c r="N8552" s="508"/>
      <c r="O8552" s="508"/>
      <c r="P8552" s="508"/>
      <c r="Q8552" s="508"/>
      <c r="R8552" s="508"/>
      <c r="S8552" s="508"/>
      <c r="T8552" s="508"/>
      <c r="U8552" s="508"/>
      <c r="V8552" s="508"/>
      <c r="W8552" s="508"/>
      <c r="X8552" s="508"/>
      <c r="Y8552" s="508"/>
      <c r="Z8552" s="508"/>
      <c r="AA8552" s="508"/>
      <c r="AB8552" s="508"/>
      <c r="AC8552" s="508"/>
      <c r="AD8552" s="508"/>
      <c r="AE8552" s="508"/>
      <c r="AF8552" s="508"/>
      <c r="AG8552" s="508"/>
      <c r="AH8552" s="508"/>
      <c r="AI8552" s="492"/>
      <c r="AJ8552" s="485"/>
    </row>
    <row r="8553" spans="2:36">
      <c r="B8553" s="136" t="s">
        <v>449</v>
      </c>
      <c r="C8553" s="132" t="s">
        <v>1377</v>
      </c>
      <c r="D8553" s="132" t="s">
        <v>1384</v>
      </c>
      <c r="E8553" s="508"/>
      <c r="F8553" s="508"/>
      <c r="G8553" s="508"/>
      <c r="H8553" s="508"/>
      <c r="I8553" s="508"/>
      <c r="J8553" s="508"/>
      <c r="K8553" s="508"/>
      <c r="L8553" s="508"/>
      <c r="M8553" s="508"/>
      <c r="N8553" s="508"/>
      <c r="O8553" s="508"/>
      <c r="P8553" s="508"/>
      <c r="Q8553" s="508"/>
      <c r="R8553" s="508"/>
      <c r="S8553" s="508"/>
      <c r="T8553" s="508"/>
      <c r="U8553" s="508"/>
      <c r="V8553" s="508"/>
      <c r="W8553" s="508"/>
      <c r="X8553" s="508"/>
      <c r="Y8553" s="508"/>
      <c r="Z8553" s="508"/>
      <c r="AA8553" s="508"/>
      <c r="AB8553" s="508"/>
      <c r="AC8553" s="508"/>
      <c r="AD8553" s="508"/>
      <c r="AE8553" s="508"/>
      <c r="AF8553" s="508"/>
      <c r="AG8553" s="508"/>
      <c r="AH8553" s="508"/>
      <c r="AI8553" s="492"/>
      <c r="AJ8553" s="485"/>
    </row>
    <row r="8554" spans="2:36">
      <c r="B8554" s="136" t="s">
        <v>450</v>
      </c>
      <c r="C8554" s="132" t="s">
        <v>1377</v>
      </c>
      <c r="D8554" s="132" t="s">
        <v>1384</v>
      </c>
      <c r="E8554" s="508"/>
      <c r="F8554" s="508"/>
      <c r="G8554" s="508"/>
      <c r="H8554" s="508"/>
      <c r="I8554" s="508"/>
      <c r="J8554" s="508"/>
      <c r="K8554" s="508"/>
      <c r="L8554" s="508"/>
      <c r="M8554" s="508"/>
      <c r="N8554" s="508"/>
      <c r="O8554" s="508"/>
      <c r="P8554" s="508"/>
      <c r="Q8554" s="508"/>
      <c r="R8554" s="508"/>
      <c r="S8554" s="508"/>
      <c r="T8554" s="508"/>
      <c r="U8554" s="508"/>
      <c r="V8554" s="508"/>
      <c r="W8554" s="508"/>
      <c r="X8554" s="508"/>
      <c r="Y8554" s="508"/>
      <c r="Z8554" s="508"/>
      <c r="AA8554" s="508"/>
      <c r="AB8554" s="508"/>
      <c r="AC8554" s="508"/>
      <c r="AD8554" s="508"/>
      <c r="AE8554" s="508"/>
      <c r="AF8554" s="508"/>
      <c r="AG8554" s="508"/>
      <c r="AH8554" s="508"/>
      <c r="AI8554" s="492"/>
      <c r="AJ8554" s="485"/>
    </row>
    <row r="8555" spans="2:36">
      <c r="B8555" s="136" t="s">
        <v>451</v>
      </c>
      <c r="C8555" s="132" t="s">
        <v>1377</v>
      </c>
      <c r="D8555" s="132" t="s">
        <v>1384</v>
      </c>
      <c r="E8555" s="508"/>
      <c r="F8555" s="508"/>
      <c r="G8555" s="508"/>
      <c r="H8555" s="508"/>
      <c r="I8555" s="508"/>
      <c r="J8555" s="508"/>
      <c r="K8555" s="508"/>
      <c r="L8555" s="508"/>
      <c r="M8555" s="508"/>
      <c r="N8555" s="508"/>
      <c r="O8555" s="508"/>
      <c r="P8555" s="508"/>
      <c r="Q8555" s="508"/>
      <c r="R8555" s="508"/>
      <c r="S8555" s="508"/>
      <c r="T8555" s="508"/>
      <c r="U8555" s="508"/>
      <c r="V8555" s="508"/>
      <c r="W8555" s="508"/>
      <c r="X8555" s="508"/>
      <c r="Y8555" s="508"/>
      <c r="Z8555" s="508"/>
      <c r="AA8555" s="508"/>
      <c r="AB8555" s="508"/>
      <c r="AC8555" s="508"/>
      <c r="AD8555" s="508"/>
      <c r="AE8555" s="508"/>
      <c r="AF8555" s="508"/>
      <c r="AG8555" s="508"/>
      <c r="AH8555" s="508"/>
      <c r="AI8555" s="492"/>
      <c r="AJ8555" s="485"/>
    </row>
    <row r="8556" spans="2:36">
      <c r="B8556" s="136" t="s">
        <v>452</v>
      </c>
      <c r="C8556" s="132" t="s">
        <v>1377</v>
      </c>
      <c r="D8556" s="132" t="s">
        <v>1384</v>
      </c>
      <c r="E8556" s="508"/>
      <c r="F8556" s="508"/>
      <c r="G8556" s="508"/>
      <c r="H8556" s="508"/>
      <c r="I8556" s="508"/>
      <c r="J8556" s="508"/>
      <c r="K8556" s="508"/>
      <c r="L8556" s="508"/>
      <c r="M8556" s="508"/>
      <c r="N8556" s="508"/>
      <c r="O8556" s="508"/>
      <c r="P8556" s="508"/>
      <c r="Q8556" s="508"/>
      <c r="R8556" s="508"/>
      <c r="S8556" s="508"/>
      <c r="T8556" s="508"/>
      <c r="U8556" s="508"/>
      <c r="V8556" s="508"/>
      <c r="W8556" s="508"/>
      <c r="X8556" s="508"/>
      <c r="Y8556" s="508"/>
      <c r="Z8556" s="508"/>
      <c r="AA8556" s="508"/>
      <c r="AB8556" s="508"/>
      <c r="AC8556" s="508"/>
      <c r="AD8556" s="508"/>
      <c r="AE8556" s="508"/>
      <c r="AF8556" s="508"/>
      <c r="AG8556" s="508"/>
      <c r="AH8556" s="508"/>
      <c r="AI8556" s="492"/>
      <c r="AJ8556" s="485"/>
    </row>
    <row r="8557" spans="2:36">
      <c r="B8557" s="136" t="s">
        <v>453</v>
      </c>
      <c r="C8557" s="132" t="s">
        <v>1377</v>
      </c>
      <c r="D8557" s="132" t="s">
        <v>1384</v>
      </c>
      <c r="E8557" s="508"/>
      <c r="F8557" s="508"/>
      <c r="G8557" s="508"/>
      <c r="H8557" s="508"/>
      <c r="I8557" s="508"/>
      <c r="J8557" s="508"/>
      <c r="K8557" s="508"/>
      <c r="L8557" s="508"/>
      <c r="M8557" s="508"/>
      <c r="N8557" s="508"/>
      <c r="O8557" s="508"/>
      <c r="P8557" s="508"/>
      <c r="Q8557" s="508"/>
      <c r="R8557" s="508"/>
      <c r="S8557" s="508"/>
      <c r="T8557" s="508"/>
      <c r="U8557" s="508"/>
      <c r="V8557" s="508"/>
      <c r="W8557" s="508"/>
      <c r="X8557" s="508"/>
      <c r="Y8557" s="508"/>
      <c r="Z8557" s="508"/>
      <c r="AA8557" s="508"/>
      <c r="AB8557" s="508"/>
      <c r="AC8557" s="508"/>
      <c r="AD8557" s="508"/>
      <c r="AE8557" s="508"/>
      <c r="AF8557" s="508"/>
      <c r="AG8557" s="508"/>
      <c r="AH8557" s="508"/>
      <c r="AI8557" s="492"/>
      <c r="AJ8557" s="485"/>
    </row>
    <row r="8558" spans="2:36">
      <c r="B8558" s="136" t="s">
        <v>454</v>
      </c>
      <c r="C8558" s="132" t="s">
        <v>1377</v>
      </c>
      <c r="D8558" s="132" t="s">
        <v>1384</v>
      </c>
      <c r="E8558" s="508"/>
      <c r="F8558" s="508"/>
      <c r="G8558" s="508"/>
      <c r="H8558" s="508"/>
      <c r="I8558" s="508"/>
      <c r="J8558" s="508"/>
      <c r="K8558" s="508"/>
      <c r="L8558" s="508"/>
      <c r="M8558" s="508"/>
      <c r="N8558" s="508"/>
      <c r="O8558" s="508"/>
      <c r="P8558" s="508"/>
      <c r="Q8558" s="508"/>
      <c r="R8558" s="508"/>
      <c r="S8558" s="508"/>
      <c r="T8558" s="508"/>
      <c r="U8558" s="508"/>
      <c r="V8558" s="508"/>
      <c r="W8558" s="508"/>
      <c r="X8558" s="508"/>
      <c r="Y8558" s="508"/>
      <c r="Z8558" s="508"/>
      <c r="AA8558" s="508"/>
      <c r="AB8558" s="508"/>
      <c r="AC8558" s="508"/>
      <c r="AD8558" s="508"/>
      <c r="AE8558" s="508"/>
      <c r="AF8558" s="508"/>
      <c r="AG8558" s="508"/>
      <c r="AH8558" s="508"/>
      <c r="AI8558" s="492"/>
      <c r="AJ8558" s="485"/>
    </row>
    <row r="8559" spans="2:36">
      <c r="B8559" s="136" t="s">
        <v>455</v>
      </c>
      <c r="C8559" s="132" t="s">
        <v>1377</v>
      </c>
      <c r="D8559" s="132" t="s">
        <v>1384</v>
      </c>
      <c r="E8559" s="508"/>
      <c r="F8559" s="508"/>
      <c r="G8559" s="508"/>
      <c r="H8559" s="508"/>
      <c r="I8559" s="508"/>
      <c r="J8559" s="508"/>
      <c r="K8559" s="508"/>
      <c r="L8559" s="508"/>
      <c r="M8559" s="508"/>
      <c r="N8559" s="508"/>
      <c r="O8559" s="508"/>
      <c r="P8559" s="508"/>
      <c r="Q8559" s="508"/>
      <c r="R8559" s="508"/>
      <c r="S8559" s="508"/>
      <c r="T8559" s="508"/>
      <c r="U8559" s="508"/>
      <c r="V8559" s="508"/>
      <c r="W8559" s="508"/>
      <c r="X8559" s="508"/>
      <c r="Y8559" s="508"/>
      <c r="Z8559" s="508"/>
      <c r="AA8559" s="508"/>
      <c r="AB8559" s="508"/>
      <c r="AC8559" s="508"/>
      <c r="AD8559" s="508"/>
      <c r="AE8559" s="508"/>
      <c r="AF8559" s="508"/>
      <c r="AG8559" s="508"/>
      <c r="AH8559" s="508"/>
      <c r="AI8559" s="492"/>
      <c r="AJ8559" s="485"/>
    </row>
    <row r="8560" spans="2:36">
      <c r="B8560" s="136" t="s">
        <v>456</v>
      </c>
      <c r="C8560" s="132" t="s">
        <v>1377</v>
      </c>
      <c r="D8560" s="132" t="s">
        <v>1384</v>
      </c>
      <c r="E8560" s="508"/>
      <c r="F8560" s="508"/>
      <c r="G8560" s="508"/>
      <c r="H8560" s="508"/>
      <c r="I8560" s="508"/>
      <c r="J8560" s="508"/>
      <c r="K8560" s="508"/>
      <c r="L8560" s="508"/>
      <c r="M8560" s="508"/>
      <c r="N8560" s="508"/>
      <c r="O8560" s="508"/>
      <c r="P8560" s="508"/>
      <c r="Q8560" s="508"/>
      <c r="R8560" s="508"/>
      <c r="S8560" s="508"/>
      <c r="T8560" s="508"/>
      <c r="U8560" s="508"/>
      <c r="V8560" s="508"/>
      <c r="W8560" s="508"/>
      <c r="X8560" s="508"/>
      <c r="Y8560" s="508"/>
      <c r="Z8560" s="508"/>
      <c r="AA8560" s="508"/>
      <c r="AB8560" s="508"/>
      <c r="AC8560" s="508"/>
      <c r="AD8560" s="508"/>
      <c r="AE8560" s="508"/>
      <c r="AF8560" s="508"/>
      <c r="AG8560" s="508"/>
      <c r="AH8560" s="508"/>
      <c r="AI8560" s="492"/>
      <c r="AJ8560" s="485"/>
    </row>
    <row r="8561" spans="2:36">
      <c r="B8561" s="136" t="s">
        <v>457</v>
      </c>
      <c r="C8561" s="132" t="s">
        <v>1377</v>
      </c>
      <c r="D8561" s="132" t="s">
        <v>1384</v>
      </c>
      <c r="E8561" s="508"/>
      <c r="F8561" s="508"/>
      <c r="G8561" s="508"/>
      <c r="H8561" s="508"/>
      <c r="I8561" s="508"/>
      <c r="J8561" s="508"/>
      <c r="K8561" s="508"/>
      <c r="L8561" s="508"/>
      <c r="M8561" s="508"/>
      <c r="N8561" s="508"/>
      <c r="O8561" s="508"/>
      <c r="P8561" s="508"/>
      <c r="Q8561" s="508"/>
      <c r="R8561" s="508"/>
      <c r="S8561" s="508"/>
      <c r="T8561" s="508"/>
      <c r="U8561" s="508"/>
      <c r="V8561" s="508"/>
      <c r="W8561" s="508"/>
      <c r="X8561" s="508"/>
      <c r="Y8561" s="508"/>
      <c r="Z8561" s="508"/>
      <c r="AA8561" s="508"/>
      <c r="AB8561" s="508"/>
      <c r="AC8561" s="508"/>
      <c r="AD8561" s="508"/>
      <c r="AE8561" s="508"/>
      <c r="AF8561" s="508"/>
      <c r="AG8561" s="508"/>
      <c r="AH8561" s="508"/>
      <c r="AI8561" s="492"/>
      <c r="AJ8561" s="485"/>
    </row>
    <row r="8562" spans="2:36">
      <c r="B8562" s="136" t="s">
        <v>458</v>
      </c>
      <c r="C8562" s="132" t="s">
        <v>1377</v>
      </c>
      <c r="D8562" s="132" t="s">
        <v>1384</v>
      </c>
      <c r="E8562" s="508"/>
      <c r="F8562" s="508"/>
      <c r="G8562" s="508"/>
      <c r="H8562" s="508"/>
      <c r="I8562" s="508"/>
      <c r="J8562" s="508"/>
      <c r="K8562" s="508"/>
      <c r="L8562" s="508"/>
      <c r="M8562" s="508"/>
      <c r="N8562" s="508"/>
      <c r="O8562" s="508"/>
      <c r="P8562" s="508"/>
      <c r="Q8562" s="508"/>
      <c r="R8562" s="508"/>
      <c r="S8562" s="508"/>
      <c r="T8562" s="508"/>
      <c r="U8562" s="508"/>
      <c r="V8562" s="508"/>
      <c r="W8562" s="508"/>
      <c r="X8562" s="508"/>
      <c r="Y8562" s="508"/>
      <c r="Z8562" s="508"/>
      <c r="AA8562" s="508"/>
      <c r="AB8562" s="508"/>
      <c r="AC8562" s="508"/>
      <c r="AD8562" s="508"/>
      <c r="AE8562" s="508"/>
      <c r="AF8562" s="508"/>
      <c r="AG8562" s="508"/>
      <c r="AH8562" s="508"/>
      <c r="AI8562" s="492"/>
      <c r="AJ8562" s="485"/>
    </row>
    <row r="8563" spans="2:36">
      <c r="B8563" s="136" t="s">
        <v>459</v>
      </c>
      <c r="C8563" s="132" t="s">
        <v>1377</v>
      </c>
      <c r="D8563" s="132" t="s">
        <v>1384</v>
      </c>
      <c r="E8563" s="508"/>
      <c r="F8563" s="508"/>
      <c r="G8563" s="508"/>
      <c r="H8563" s="508"/>
      <c r="I8563" s="508"/>
      <c r="J8563" s="508"/>
      <c r="K8563" s="508"/>
      <c r="L8563" s="508"/>
      <c r="M8563" s="508"/>
      <c r="N8563" s="508"/>
      <c r="O8563" s="508"/>
      <c r="P8563" s="508"/>
      <c r="Q8563" s="508"/>
      <c r="R8563" s="508"/>
      <c r="S8563" s="508"/>
      <c r="T8563" s="508"/>
      <c r="U8563" s="508"/>
      <c r="V8563" s="508"/>
      <c r="W8563" s="508"/>
      <c r="X8563" s="508"/>
      <c r="Y8563" s="508"/>
      <c r="Z8563" s="508"/>
      <c r="AA8563" s="508"/>
      <c r="AB8563" s="508"/>
      <c r="AC8563" s="508"/>
      <c r="AD8563" s="508"/>
      <c r="AE8563" s="508"/>
      <c r="AF8563" s="508"/>
      <c r="AG8563" s="508"/>
      <c r="AH8563" s="508"/>
      <c r="AI8563" s="492"/>
      <c r="AJ8563" s="485"/>
    </row>
    <row r="8564" spans="2:36">
      <c r="B8564" s="136" t="s">
        <v>460</v>
      </c>
      <c r="C8564" s="132" t="s">
        <v>1377</v>
      </c>
      <c r="D8564" s="132" t="s">
        <v>1384</v>
      </c>
      <c r="E8564" s="508"/>
      <c r="F8564" s="508"/>
      <c r="G8564" s="508"/>
      <c r="H8564" s="508"/>
      <c r="I8564" s="508"/>
      <c r="J8564" s="508"/>
      <c r="K8564" s="508"/>
      <c r="L8564" s="508"/>
      <c r="M8564" s="508"/>
      <c r="N8564" s="508"/>
      <c r="O8564" s="508"/>
      <c r="P8564" s="508"/>
      <c r="Q8564" s="508"/>
      <c r="R8564" s="508"/>
      <c r="S8564" s="508"/>
      <c r="T8564" s="508"/>
      <c r="U8564" s="508"/>
      <c r="V8564" s="508"/>
      <c r="W8564" s="508"/>
      <c r="X8564" s="508"/>
      <c r="Y8564" s="508"/>
      <c r="Z8564" s="508"/>
      <c r="AA8564" s="508"/>
      <c r="AB8564" s="508"/>
      <c r="AC8564" s="508"/>
      <c r="AD8564" s="508"/>
      <c r="AE8564" s="508"/>
      <c r="AF8564" s="508"/>
      <c r="AG8564" s="508"/>
      <c r="AH8564" s="508"/>
      <c r="AI8564" s="492"/>
      <c r="AJ8564" s="485"/>
    </row>
    <row r="8565" spans="2:36">
      <c r="B8565" s="136" t="s">
        <v>461</v>
      </c>
      <c r="C8565" s="132" t="s">
        <v>1377</v>
      </c>
      <c r="D8565" s="132" t="s">
        <v>1384</v>
      </c>
      <c r="E8565" s="508"/>
      <c r="F8565" s="508"/>
      <c r="G8565" s="508"/>
      <c r="H8565" s="508"/>
      <c r="I8565" s="508"/>
      <c r="J8565" s="508"/>
      <c r="K8565" s="508"/>
      <c r="L8565" s="508"/>
      <c r="M8565" s="508"/>
      <c r="N8565" s="508"/>
      <c r="O8565" s="508"/>
      <c r="P8565" s="508"/>
      <c r="Q8565" s="508"/>
      <c r="R8565" s="508"/>
      <c r="S8565" s="508"/>
      <c r="T8565" s="508"/>
      <c r="U8565" s="508"/>
      <c r="V8565" s="508"/>
      <c r="W8565" s="508"/>
      <c r="X8565" s="508"/>
      <c r="Y8565" s="508"/>
      <c r="Z8565" s="508"/>
      <c r="AA8565" s="508"/>
      <c r="AB8565" s="508"/>
      <c r="AC8565" s="508"/>
      <c r="AD8565" s="508"/>
      <c r="AE8565" s="508"/>
      <c r="AF8565" s="508"/>
      <c r="AG8565" s="508"/>
      <c r="AH8565" s="508"/>
      <c r="AI8565" s="492"/>
      <c r="AJ8565" s="485"/>
    </row>
    <row r="8566" spans="2:36">
      <c r="B8566" s="136" t="s">
        <v>462</v>
      </c>
      <c r="C8566" s="132" t="s">
        <v>1377</v>
      </c>
      <c r="D8566" s="132" t="s">
        <v>1384</v>
      </c>
      <c r="E8566" s="508"/>
      <c r="F8566" s="508"/>
      <c r="G8566" s="508"/>
      <c r="H8566" s="508"/>
      <c r="I8566" s="508"/>
      <c r="J8566" s="508"/>
      <c r="K8566" s="508"/>
      <c r="L8566" s="508"/>
      <c r="M8566" s="508"/>
      <c r="N8566" s="508"/>
      <c r="O8566" s="508"/>
      <c r="P8566" s="508"/>
      <c r="Q8566" s="508"/>
      <c r="R8566" s="508"/>
      <c r="S8566" s="508"/>
      <c r="T8566" s="508"/>
      <c r="U8566" s="508"/>
      <c r="V8566" s="508"/>
      <c r="W8566" s="508"/>
      <c r="X8566" s="508"/>
      <c r="Y8566" s="508"/>
      <c r="Z8566" s="508"/>
      <c r="AA8566" s="508"/>
      <c r="AB8566" s="508"/>
      <c r="AC8566" s="508"/>
      <c r="AD8566" s="508"/>
      <c r="AE8566" s="508"/>
      <c r="AF8566" s="508"/>
      <c r="AG8566" s="508"/>
      <c r="AH8566" s="508"/>
      <c r="AI8566" s="492"/>
      <c r="AJ8566" s="485"/>
    </row>
    <row r="8567" spans="2:36">
      <c r="B8567" s="136" t="s">
        <v>463</v>
      </c>
      <c r="C8567" s="132" t="s">
        <v>1377</v>
      </c>
      <c r="D8567" s="132" t="s">
        <v>1384</v>
      </c>
      <c r="E8567" s="508"/>
      <c r="F8567" s="508"/>
      <c r="G8567" s="508"/>
      <c r="H8567" s="508"/>
      <c r="I8567" s="508"/>
      <c r="J8567" s="508"/>
      <c r="K8567" s="508"/>
      <c r="L8567" s="508"/>
      <c r="M8567" s="508"/>
      <c r="N8567" s="508"/>
      <c r="O8567" s="508"/>
      <c r="P8567" s="508"/>
      <c r="Q8567" s="508"/>
      <c r="R8567" s="508"/>
      <c r="S8567" s="508"/>
      <c r="T8567" s="508"/>
      <c r="U8567" s="508"/>
      <c r="V8567" s="508"/>
      <c r="W8567" s="508"/>
      <c r="X8567" s="508"/>
      <c r="Y8567" s="508"/>
      <c r="Z8567" s="508"/>
      <c r="AA8567" s="508"/>
      <c r="AB8567" s="508"/>
      <c r="AC8567" s="508"/>
      <c r="AD8567" s="508"/>
      <c r="AE8567" s="508"/>
      <c r="AF8567" s="508"/>
      <c r="AG8567" s="508"/>
      <c r="AH8567" s="508"/>
      <c r="AI8567" s="492"/>
      <c r="AJ8567" s="485"/>
    </row>
    <row r="8568" spans="2:36">
      <c r="B8568" s="136" t="s">
        <v>464</v>
      </c>
      <c r="C8568" s="132" t="s">
        <v>1377</v>
      </c>
      <c r="D8568" s="132" t="s">
        <v>1384</v>
      </c>
      <c r="E8568" s="508"/>
      <c r="F8568" s="508"/>
      <c r="G8568" s="508"/>
      <c r="H8568" s="508"/>
      <c r="I8568" s="508"/>
      <c r="J8568" s="508"/>
      <c r="K8568" s="508"/>
      <c r="L8568" s="508"/>
      <c r="M8568" s="508"/>
      <c r="N8568" s="508"/>
      <c r="O8568" s="508"/>
      <c r="P8568" s="508"/>
      <c r="Q8568" s="508"/>
      <c r="R8568" s="508"/>
      <c r="S8568" s="508"/>
      <c r="T8568" s="508"/>
      <c r="U8568" s="508"/>
      <c r="V8568" s="508"/>
      <c r="W8568" s="508"/>
      <c r="X8568" s="508"/>
      <c r="Y8568" s="508"/>
      <c r="Z8568" s="508"/>
      <c r="AA8568" s="508"/>
      <c r="AB8568" s="508"/>
      <c r="AC8568" s="508"/>
      <c r="AD8568" s="508"/>
      <c r="AE8568" s="508"/>
      <c r="AF8568" s="508"/>
      <c r="AG8568" s="508"/>
      <c r="AH8568" s="508"/>
      <c r="AI8568" s="492"/>
      <c r="AJ8568" s="485"/>
    </row>
    <row r="8569" spans="2:36">
      <c r="B8569" s="136" t="s">
        <v>465</v>
      </c>
      <c r="C8569" s="132" t="s">
        <v>1377</v>
      </c>
      <c r="D8569" s="132" t="s">
        <v>1384</v>
      </c>
      <c r="E8569" s="508"/>
      <c r="F8569" s="508"/>
      <c r="G8569" s="508"/>
      <c r="H8569" s="508"/>
      <c r="I8569" s="508"/>
      <c r="J8569" s="508"/>
      <c r="K8569" s="508"/>
      <c r="L8569" s="508"/>
      <c r="M8569" s="508"/>
      <c r="N8569" s="508"/>
      <c r="O8569" s="508"/>
      <c r="P8569" s="508"/>
      <c r="Q8569" s="508"/>
      <c r="R8569" s="508"/>
      <c r="S8569" s="508"/>
      <c r="T8569" s="508"/>
      <c r="U8569" s="508"/>
      <c r="V8569" s="508"/>
      <c r="W8569" s="508"/>
      <c r="X8569" s="508"/>
      <c r="Y8569" s="508"/>
      <c r="Z8569" s="508"/>
      <c r="AA8569" s="508"/>
      <c r="AB8569" s="508"/>
      <c r="AC8569" s="508"/>
      <c r="AD8569" s="508"/>
      <c r="AE8569" s="508"/>
      <c r="AF8569" s="508"/>
      <c r="AG8569" s="508"/>
      <c r="AH8569" s="508"/>
      <c r="AI8569" s="492"/>
      <c r="AJ8569" s="485"/>
    </row>
    <row r="8570" spans="2:36">
      <c r="B8570" s="136" t="s">
        <v>466</v>
      </c>
      <c r="C8570" s="132" t="s">
        <v>1377</v>
      </c>
      <c r="D8570" s="132" t="s">
        <v>1384</v>
      </c>
      <c r="E8570" s="508"/>
      <c r="F8570" s="508"/>
      <c r="G8570" s="508"/>
      <c r="H8570" s="508"/>
      <c r="I8570" s="508"/>
      <c r="J8570" s="508"/>
      <c r="K8570" s="508"/>
      <c r="L8570" s="508"/>
      <c r="M8570" s="508"/>
      <c r="N8570" s="508"/>
      <c r="O8570" s="508"/>
      <c r="P8570" s="508"/>
      <c r="Q8570" s="508"/>
      <c r="R8570" s="508"/>
      <c r="S8570" s="508"/>
      <c r="T8570" s="508"/>
      <c r="U8570" s="508"/>
      <c r="V8570" s="508"/>
      <c r="W8570" s="508"/>
      <c r="X8570" s="508"/>
      <c r="Y8570" s="508"/>
      <c r="Z8570" s="508"/>
      <c r="AA8570" s="508"/>
      <c r="AB8570" s="508"/>
      <c r="AC8570" s="508"/>
      <c r="AD8570" s="508"/>
      <c r="AE8570" s="508"/>
      <c r="AF8570" s="508"/>
      <c r="AG8570" s="508"/>
      <c r="AH8570" s="508"/>
      <c r="AI8570" s="492"/>
      <c r="AJ8570" s="485"/>
    </row>
    <row r="8571" spans="2:36">
      <c r="B8571" s="136" t="s">
        <v>467</v>
      </c>
      <c r="C8571" s="132" t="s">
        <v>1377</v>
      </c>
      <c r="D8571" s="132" t="s">
        <v>1384</v>
      </c>
      <c r="E8571" s="508"/>
      <c r="F8571" s="508"/>
      <c r="G8571" s="508"/>
      <c r="H8571" s="508"/>
      <c r="I8571" s="508"/>
      <c r="J8571" s="508"/>
      <c r="K8571" s="508"/>
      <c r="L8571" s="508"/>
      <c r="M8571" s="508"/>
      <c r="N8571" s="508"/>
      <c r="O8571" s="508"/>
      <c r="P8571" s="508"/>
      <c r="Q8571" s="508"/>
      <c r="R8571" s="508"/>
      <c r="S8571" s="508"/>
      <c r="T8571" s="508"/>
      <c r="U8571" s="508"/>
      <c r="V8571" s="508"/>
      <c r="W8571" s="508"/>
      <c r="X8571" s="508"/>
      <c r="Y8571" s="508"/>
      <c r="Z8571" s="508"/>
      <c r="AA8571" s="508"/>
      <c r="AB8571" s="508"/>
      <c r="AC8571" s="508"/>
      <c r="AD8571" s="508"/>
      <c r="AE8571" s="508"/>
      <c r="AF8571" s="508"/>
      <c r="AG8571" s="508"/>
      <c r="AH8571" s="508"/>
      <c r="AI8571" s="492"/>
      <c r="AJ8571" s="485"/>
    </row>
    <row r="8572" spans="2:36">
      <c r="B8572" s="136" t="s">
        <v>468</v>
      </c>
      <c r="C8572" s="132" t="s">
        <v>1377</v>
      </c>
      <c r="D8572" s="132" t="s">
        <v>1384</v>
      </c>
      <c r="E8572" s="508"/>
      <c r="F8572" s="508"/>
      <c r="G8572" s="508"/>
      <c r="H8572" s="508"/>
      <c r="I8572" s="508"/>
      <c r="J8572" s="508"/>
      <c r="K8572" s="508"/>
      <c r="L8572" s="508"/>
      <c r="M8572" s="508"/>
      <c r="N8572" s="508"/>
      <c r="O8572" s="508"/>
      <c r="P8572" s="508"/>
      <c r="Q8572" s="508"/>
      <c r="R8572" s="508"/>
      <c r="S8572" s="508"/>
      <c r="T8572" s="508"/>
      <c r="U8572" s="508"/>
      <c r="V8572" s="508"/>
      <c r="W8572" s="508"/>
      <c r="X8572" s="508"/>
      <c r="Y8572" s="508"/>
      <c r="Z8572" s="508"/>
      <c r="AA8572" s="508"/>
      <c r="AB8572" s="508"/>
      <c r="AC8572" s="508"/>
      <c r="AD8572" s="508"/>
      <c r="AE8572" s="508"/>
      <c r="AF8572" s="508"/>
      <c r="AG8572" s="508"/>
      <c r="AH8572" s="508"/>
      <c r="AI8572" s="492"/>
      <c r="AJ8572" s="485"/>
    </row>
    <row r="8573" spans="2:36">
      <c r="B8573" s="136" t="s">
        <v>469</v>
      </c>
      <c r="C8573" s="132" t="s">
        <v>1377</v>
      </c>
      <c r="D8573" s="132" t="s">
        <v>1384</v>
      </c>
      <c r="E8573" s="508"/>
      <c r="F8573" s="508"/>
      <c r="G8573" s="508"/>
      <c r="H8573" s="508"/>
      <c r="I8573" s="508"/>
      <c r="J8573" s="508"/>
      <c r="K8573" s="508"/>
      <c r="L8573" s="508"/>
      <c r="M8573" s="508"/>
      <c r="N8573" s="508"/>
      <c r="O8573" s="508"/>
      <c r="P8573" s="508"/>
      <c r="Q8573" s="508"/>
      <c r="R8573" s="508"/>
      <c r="S8573" s="508"/>
      <c r="T8573" s="508"/>
      <c r="U8573" s="508"/>
      <c r="V8573" s="508"/>
      <c r="W8573" s="508"/>
      <c r="X8573" s="508"/>
      <c r="Y8573" s="508"/>
      <c r="Z8573" s="508"/>
      <c r="AA8573" s="508"/>
      <c r="AB8573" s="508"/>
      <c r="AC8573" s="508"/>
      <c r="AD8573" s="508"/>
      <c r="AE8573" s="508"/>
      <c r="AF8573" s="508"/>
      <c r="AG8573" s="508"/>
      <c r="AH8573" s="508"/>
      <c r="AI8573" s="492"/>
      <c r="AJ8573" s="485"/>
    </row>
    <row r="8574" spans="2:36">
      <c r="B8574" s="136" t="s">
        <v>470</v>
      </c>
      <c r="C8574" s="132" t="s">
        <v>1377</v>
      </c>
      <c r="D8574" s="132" t="s">
        <v>1384</v>
      </c>
      <c r="E8574" s="508"/>
      <c r="F8574" s="508"/>
      <c r="G8574" s="508"/>
      <c r="H8574" s="508"/>
      <c r="I8574" s="508"/>
      <c r="J8574" s="508"/>
      <c r="K8574" s="508"/>
      <c r="L8574" s="508"/>
      <c r="M8574" s="508"/>
      <c r="N8574" s="508"/>
      <c r="O8574" s="508"/>
      <c r="P8574" s="508"/>
      <c r="Q8574" s="508"/>
      <c r="R8574" s="508"/>
      <c r="S8574" s="508"/>
      <c r="T8574" s="508"/>
      <c r="U8574" s="508"/>
      <c r="V8574" s="508"/>
      <c r="W8574" s="508"/>
      <c r="X8574" s="508"/>
      <c r="Y8574" s="508"/>
      <c r="Z8574" s="508"/>
      <c r="AA8574" s="508"/>
      <c r="AB8574" s="508"/>
      <c r="AC8574" s="508"/>
      <c r="AD8574" s="508"/>
      <c r="AE8574" s="508"/>
      <c r="AF8574" s="508"/>
      <c r="AG8574" s="508"/>
      <c r="AH8574" s="508"/>
      <c r="AI8574" s="492"/>
      <c r="AJ8574" s="485"/>
    </row>
    <row r="8575" spans="2:36">
      <c r="B8575" s="136" t="s">
        <v>471</v>
      </c>
      <c r="C8575" s="132" t="s">
        <v>1377</v>
      </c>
      <c r="D8575" s="132" t="s">
        <v>1384</v>
      </c>
      <c r="E8575" s="508"/>
      <c r="F8575" s="508"/>
      <c r="G8575" s="508"/>
      <c r="H8575" s="508"/>
      <c r="I8575" s="508"/>
      <c r="J8575" s="508"/>
      <c r="K8575" s="508"/>
      <c r="L8575" s="508"/>
      <c r="M8575" s="508"/>
      <c r="N8575" s="508"/>
      <c r="O8575" s="508"/>
      <c r="P8575" s="508"/>
      <c r="Q8575" s="508"/>
      <c r="R8575" s="508"/>
      <c r="S8575" s="508"/>
      <c r="T8575" s="508"/>
      <c r="U8575" s="508"/>
      <c r="V8575" s="508"/>
      <c r="W8575" s="508"/>
      <c r="X8575" s="508"/>
      <c r="Y8575" s="508"/>
      <c r="Z8575" s="508"/>
      <c r="AA8575" s="508"/>
      <c r="AB8575" s="508"/>
      <c r="AC8575" s="508"/>
      <c r="AD8575" s="508"/>
      <c r="AE8575" s="508"/>
      <c r="AF8575" s="508"/>
      <c r="AG8575" s="508"/>
      <c r="AH8575" s="508"/>
      <c r="AI8575" s="492"/>
      <c r="AJ8575" s="485"/>
    </row>
    <row r="8576" spans="2:36">
      <c r="B8576" s="136" t="s">
        <v>472</v>
      </c>
      <c r="C8576" s="132" t="s">
        <v>1377</v>
      </c>
      <c r="D8576" s="132" t="s">
        <v>1384</v>
      </c>
      <c r="E8576" s="508"/>
      <c r="F8576" s="508"/>
      <c r="G8576" s="508"/>
      <c r="H8576" s="508"/>
      <c r="I8576" s="508"/>
      <c r="J8576" s="508"/>
      <c r="K8576" s="508"/>
      <c r="L8576" s="508"/>
      <c r="M8576" s="508"/>
      <c r="N8576" s="508"/>
      <c r="O8576" s="508"/>
      <c r="P8576" s="508"/>
      <c r="Q8576" s="508"/>
      <c r="R8576" s="508"/>
      <c r="S8576" s="508"/>
      <c r="T8576" s="508"/>
      <c r="U8576" s="508"/>
      <c r="V8576" s="508"/>
      <c r="W8576" s="508"/>
      <c r="X8576" s="508"/>
      <c r="Y8576" s="508"/>
      <c r="Z8576" s="508"/>
      <c r="AA8576" s="508"/>
      <c r="AB8576" s="508"/>
      <c r="AC8576" s="508"/>
      <c r="AD8576" s="508"/>
      <c r="AE8576" s="508"/>
      <c r="AF8576" s="508"/>
      <c r="AG8576" s="508"/>
      <c r="AH8576" s="508"/>
      <c r="AI8576" s="492"/>
      <c r="AJ8576" s="485"/>
    </row>
    <row r="8577" spans="2:36">
      <c r="B8577" s="136" t="s">
        <v>473</v>
      </c>
      <c r="C8577" s="132" t="s">
        <v>1377</v>
      </c>
      <c r="D8577" s="132" t="s">
        <v>1384</v>
      </c>
      <c r="E8577" s="508"/>
      <c r="F8577" s="508"/>
      <c r="G8577" s="508"/>
      <c r="H8577" s="508"/>
      <c r="I8577" s="508"/>
      <c r="J8577" s="508"/>
      <c r="K8577" s="508"/>
      <c r="L8577" s="508"/>
      <c r="M8577" s="508"/>
      <c r="N8577" s="508"/>
      <c r="O8577" s="508"/>
      <c r="P8577" s="508"/>
      <c r="Q8577" s="508"/>
      <c r="R8577" s="508"/>
      <c r="S8577" s="508"/>
      <c r="T8577" s="508"/>
      <c r="U8577" s="508"/>
      <c r="V8577" s="508"/>
      <c r="W8577" s="508"/>
      <c r="X8577" s="508"/>
      <c r="Y8577" s="508"/>
      <c r="Z8577" s="508"/>
      <c r="AA8577" s="508"/>
      <c r="AB8577" s="508"/>
      <c r="AC8577" s="508"/>
      <c r="AD8577" s="508"/>
      <c r="AE8577" s="508"/>
      <c r="AF8577" s="508"/>
      <c r="AG8577" s="508"/>
      <c r="AH8577" s="508"/>
      <c r="AI8577" s="492"/>
      <c r="AJ8577" s="485"/>
    </row>
    <row r="8578" spans="2:36">
      <c r="B8578" s="136" t="s">
        <v>474</v>
      </c>
      <c r="C8578" s="132" t="s">
        <v>1377</v>
      </c>
      <c r="D8578" s="132" t="s">
        <v>1384</v>
      </c>
      <c r="E8578" s="508"/>
      <c r="F8578" s="508"/>
      <c r="G8578" s="508"/>
      <c r="H8578" s="508"/>
      <c r="I8578" s="508"/>
      <c r="J8578" s="508"/>
      <c r="K8578" s="508"/>
      <c r="L8578" s="508"/>
      <c r="M8578" s="508"/>
      <c r="N8578" s="508"/>
      <c r="O8578" s="508"/>
      <c r="P8578" s="508"/>
      <c r="Q8578" s="508"/>
      <c r="R8578" s="508"/>
      <c r="S8578" s="508"/>
      <c r="T8578" s="508"/>
      <c r="U8578" s="508"/>
      <c r="V8578" s="508"/>
      <c r="W8578" s="508"/>
      <c r="X8578" s="508"/>
      <c r="Y8578" s="508"/>
      <c r="Z8578" s="508"/>
      <c r="AA8578" s="508"/>
      <c r="AB8578" s="508"/>
      <c r="AC8578" s="508"/>
      <c r="AD8578" s="508"/>
      <c r="AE8578" s="508"/>
      <c r="AF8578" s="508"/>
      <c r="AG8578" s="508"/>
      <c r="AH8578" s="508"/>
      <c r="AI8578" s="492"/>
      <c r="AJ8578" s="485"/>
    </row>
    <row r="8579" spans="2:36">
      <c r="B8579" s="136" t="s">
        <v>475</v>
      </c>
      <c r="C8579" s="132" t="s">
        <v>1377</v>
      </c>
      <c r="D8579" s="132" t="s">
        <v>1384</v>
      </c>
      <c r="E8579" s="508"/>
      <c r="F8579" s="508"/>
      <c r="G8579" s="508"/>
      <c r="H8579" s="508"/>
      <c r="I8579" s="508"/>
      <c r="J8579" s="508"/>
      <c r="K8579" s="508"/>
      <c r="L8579" s="508"/>
      <c r="M8579" s="508"/>
      <c r="N8579" s="508"/>
      <c r="O8579" s="508"/>
      <c r="P8579" s="508"/>
      <c r="Q8579" s="508"/>
      <c r="R8579" s="508"/>
      <c r="S8579" s="508"/>
      <c r="T8579" s="508"/>
      <c r="U8579" s="508"/>
      <c r="V8579" s="508"/>
      <c r="W8579" s="508"/>
      <c r="X8579" s="508"/>
      <c r="Y8579" s="508"/>
      <c r="Z8579" s="508"/>
      <c r="AA8579" s="508"/>
      <c r="AB8579" s="508"/>
      <c r="AC8579" s="508"/>
      <c r="AD8579" s="508"/>
      <c r="AE8579" s="508"/>
      <c r="AF8579" s="508"/>
      <c r="AG8579" s="508"/>
      <c r="AH8579" s="508"/>
      <c r="AI8579" s="492"/>
      <c r="AJ8579" s="485"/>
    </row>
    <row r="8580" spans="2:36">
      <c r="B8580" s="136" t="s">
        <v>476</v>
      </c>
      <c r="C8580" s="132" t="s">
        <v>1377</v>
      </c>
      <c r="D8580" s="132" t="s">
        <v>1384</v>
      </c>
      <c r="E8580" s="508"/>
      <c r="F8580" s="508"/>
      <c r="G8580" s="508"/>
      <c r="H8580" s="508"/>
      <c r="I8580" s="508"/>
      <c r="J8580" s="508"/>
      <c r="K8580" s="508"/>
      <c r="L8580" s="508"/>
      <c r="M8580" s="508"/>
      <c r="N8580" s="508"/>
      <c r="O8580" s="508"/>
      <c r="P8580" s="508"/>
      <c r="Q8580" s="508"/>
      <c r="R8580" s="508"/>
      <c r="S8580" s="508"/>
      <c r="T8580" s="508"/>
      <c r="U8580" s="508"/>
      <c r="V8580" s="508"/>
      <c r="W8580" s="508"/>
      <c r="X8580" s="508"/>
      <c r="Y8580" s="508"/>
      <c r="Z8580" s="508"/>
      <c r="AA8580" s="508"/>
      <c r="AB8580" s="508"/>
      <c r="AC8580" s="508"/>
      <c r="AD8580" s="508"/>
      <c r="AE8580" s="508"/>
      <c r="AF8580" s="508"/>
      <c r="AG8580" s="508"/>
      <c r="AH8580" s="508"/>
      <c r="AI8580" s="492"/>
      <c r="AJ8580" s="485"/>
    </row>
    <row r="8581" spans="2:36">
      <c r="B8581" s="136" t="s">
        <v>478</v>
      </c>
      <c r="C8581" s="132" t="s">
        <v>1377</v>
      </c>
      <c r="D8581" s="132" t="s">
        <v>1384</v>
      </c>
      <c r="E8581" s="508"/>
      <c r="F8581" s="508"/>
      <c r="G8581" s="508"/>
      <c r="H8581" s="508"/>
      <c r="I8581" s="508"/>
      <c r="J8581" s="508"/>
      <c r="K8581" s="508"/>
      <c r="L8581" s="508"/>
      <c r="M8581" s="508"/>
      <c r="N8581" s="508"/>
      <c r="O8581" s="508"/>
      <c r="P8581" s="508"/>
      <c r="Q8581" s="508"/>
      <c r="R8581" s="508"/>
      <c r="S8581" s="508"/>
      <c r="T8581" s="508"/>
      <c r="U8581" s="508"/>
      <c r="V8581" s="508"/>
      <c r="W8581" s="508"/>
      <c r="X8581" s="508"/>
      <c r="Y8581" s="508"/>
      <c r="Z8581" s="508"/>
      <c r="AA8581" s="508"/>
      <c r="AB8581" s="508"/>
      <c r="AC8581" s="508"/>
      <c r="AD8581" s="508"/>
      <c r="AE8581" s="508"/>
      <c r="AF8581" s="508"/>
      <c r="AG8581" s="508"/>
      <c r="AH8581" s="508"/>
      <c r="AI8581" s="492"/>
      <c r="AJ8581" s="485"/>
    </row>
    <row r="8582" spans="2:36">
      <c r="B8582" s="136" t="s">
        <v>479</v>
      </c>
      <c r="C8582" s="132" t="s">
        <v>1377</v>
      </c>
      <c r="D8582" s="132" t="s">
        <v>1384</v>
      </c>
      <c r="E8582" s="508"/>
      <c r="F8582" s="508"/>
      <c r="G8582" s="508"/>
      <c r="H8582" s="508"/>
      <c r="I8582" s="508"/>
      <c r="J8582" s="508"/>
      <c r="K8582" s="508"/>
      <c r="L8582" s="508"/>
      <c r="M8582" s="508"/>
      <c r="N8582" s="508"/>
      <c r="O8582" s="508"/>
      <c r="P8582" s="508"/>
      <c r="Q8582" s="508"/>
      <c r="R8582" s="508"/>
      <c r="S8582" s="508"/>
      <c r="T8582" s="508"/>
      <c r="U8582" s="508"/>
      <c r="V8582" s="508"/>
      <c r="W8582" s="508"/>
      <c r="X8582" s="508"/>
      <c r="Y8582" s="508"/>
      <c r="Z8582" s="508"/>
      <c r="AA8582" s="508"/>
      <c r="AB8582" s="508"/>
      <c r="AC8582" s="508"/>
      <c r="AD8582" s="508"/>
      <c r="AE8582" s="508"/>
      <c r="AF8582" s="508"/>
      <c r="AG8582" s="508"/>
      <c r="AH8582" s="508"/>
      <c r="AI8582" s="492"/>
      <c r="AJ8582" s="485"/>
    </row>
    <row r="8583" spans="2:36">
      <c r="B8583" s="136" t="s">
        <v>480</v>
      </c>
      <c r="C8583" s="132" t="s">
        <v>1377</v>
      </c>
      <c r="D8583" s="132" t="s">
        <v>1384</v>
      </c>
      <c r="E8583" s="508"/>
      <c r="F8583" s="508"/>
      <c r="G8583" s="508"/>
      <c r="H8583" s="508"/>
      <c r="I8583" s="508"/>
      <c r="J8583" s="508"/>
      <c r="K8583" s="508"/>
      <c r="L8583" s="508"/>
      <c r="M8583" s="508"/>
      <c r="N8583" s="508"/>
      <c r="O8583" s="508"/>
      <c r="P8583" s="508"/>
      <c r="Q8583" s="508"/>
      <c r="R8583" s="508"/>
      <c r="S8583" s="508"/>
      <c r="T8583" s="508"/>
      <c r="U8583" s="508"/>
      <c r="V8583" s="508"/>
      <c r="W8583" s="508"/>
      <c r="X8583" s="508"/>
      <c r="Y8583" s="508"/>
      <c r="Z8583" s="508"/>
      <c r="AA8583" s="508"/>
      <c r="AB8583" s="508"/>
      <c r="AC8583" s="508"/>
      <c r="AD8583" s="508"/>
      <c r="AE8583" s="508"/>
      <c r="AF8583" s="508"/>
      <c r="AG8583" s="508"/>
      <c r="AH8583" s="508"/>
      <c r="AI8583" s="492"/>
      <c r="AJ8583" s="485"/>
    </row>
    <row r="8584" spans="2:36">
      <c r="B8584" s="136" t="s">
        <v>481</v>
      </c>
      <c r="C8584" s="132" t="s">
        <v>1377</v>
      </c>
      <c r="D8584" s="132" t="s">
        <v>1384</v>
      </c>
      <c r="E8584" s="508"/>
      <c r="F8584" s="508"/>
      <c r="G8584" s="508"/>
      <c r="H8584" s="508"/>
      <c r="I8584" s="508"/>
      <c r="J8584" s="508"/>
      <c r="K8584" s="508"/>
      <c r="L8584" s="508"/>
      <c r="M8584" s="508"/>
      <c r="N8584" s="508"/>
      <c r="O8584" s="508"/>
      <c r="P8584" s="508"/>
      <c r="Q8584" s="508"/>
      <c r="R8584" s="508"/>
      <c r="S8584" s="508"/>
      <c r="T8584" s="508"/>
      <c r="U8584" s="508"/>
      <c r="V8584" s="508"/>
      <c r="W8584" s="508"/>
      <c r="X8584" s="508"/>
      <c r="Y8584" s="508"/>
      <c r="Z8584" s="508"/>
      <c r="AA8584" s="508"/>
      <c r="AB8584" s="508"/>
      <c r="AC8584" s="508"/>
      <c r="AD8584" s="508"/>
      <c r="AE8584" s="508"/>
      <c r="AF8584" s="508"/>
      <c r="AG8584" s="508"/>
      <c r="AH8584" s="508"/>
      <c r="AI8584" s="492"/>
      <c r="AJ8584" s="485"/>
    </row>
    <row r="8585" spans="2:36">
      <c r="B8585" s="136" t="s">
        <v>482</v>
      </c>
      <c r="C8585" s="132" t="s">
        <v>1377</v>
      </c>
      <c r="D8585" s="132" t="s">
        <v>1384</v>
      </c>
      <c r="E8585" s="508"/>
      <c r="F8585" s="508"/>
      <c r="G8585" s="508"/>
      <c r="H8585" s="508"/>
      <c r="I8585" s="508"/>
      <c r="J8585" s="508"/>
      <c r="K8585" s="508"/>
      <c r="L8585" s="508"/>
      <c r="M8585" s="508"/>
      <c r="N8585" s="508"/>
      <c r="O8585" s="508"/>
      <c r="P8585" s="508"/>
      <c r="Q8585" s="508"/>
      <c r="R8585" s="508"/>
      <c r="S8585" s="508"/>
      <c r="T8585" s="508"/>
      <c r="U8585" s="508"/>
      <c r="V8585" s="508"/>
      <c r="W8585" s="508"/>
      <c r="X8585" s="508"/>
      <c r="Y8585" s="508"/>
      <c r="Z8585" s="508"/>
      <c r="AA8585" s="508"/>
      <c r="AB8585" s="508"/>
      <c r="AC8585" s="508"/>
      <c r="AD8585" s="508"/>
      <c r="AE8585" s="508"/>
      <c r="AF8585" s="508"/>
      <c r="AG8585" s="508"/>
      <c r="AH8585" s="508"/>
      <c r="AI8585" s="492"/>
      <c r="AJ8585" s="485"/>
    </row>
    <row r="8586" spans="2:36">
      <c r="B8586" s="136" t="s">
        <v>483</v>
      </c>
      <c r="C8586" s="132" t="s">
        <v>1377</v>
      </c>
      <c r="D8586" s="132" t="s">
        <v>1384</v>
      </c>
      <c r="E8586" s="508"/>
      <c r="F8586" s="508"/>
      <c r="G8586" s="508"/>
      <c r="H8586" s="508"/>
      <c r="I8586" s="508"/>
      <c r="J8586" s="508"/>
      <c r="K8586" s="508"/>
      <c r="L8586" s="508"/>
      <c r="M8586" s="508"/>
      <c r="N8586" s="508"/>
      <c r="O8586" s="508"/>
      <c r="P8586" s="508"/>
      <c r="Q8586" s="508"/>
      <c r="R8586" s="508"/>
      <c r="S8586" s="508"/>
      <c r="T8586" s="508"/>
      <c r="U8586" s="508"/>
      <c r="V8586" s="508"/>
      <c r="W8586" s="508"/>
      <c r="X8586" s="508"/>
      <c r="Y8586" s="508"/>
      <c r="Z8586" s="508"/>
      <c r="AA8586" s="508"/>
      <c r="AB8586" s="508"/>
      <c r="AC8586" s="508"/>
      <c r="AD8586" s="508"/>
      <c r="AE8586" s="508"/>
      <c r="AF8586" s="508"/>
      <c r="AG8586" s="508"/>
      <c r="AH8586" s="508"/>
      <c r="AI8586" s="492"/>
      <c r="AJ8586" s="485"/>
    </row>
    <row r="8587" spans="2:36">
      <c r="B8587" s="136" t="s">
        <v>484</v>
      </c>
      <c r="C8587" s="132" t="s">
        <v>1377</v>
      </c>
      <c r="D8587" s="132" t="s">
        <v>1384</v>
      </c>
      <c r="E8587" s="508"/>
      <c r="F8587" s="508"/>
      <c r="G8587" s="508"/>
      <c r="H8587" s="508"/>
      <c r="I8587" s="508"/>
      <c r="J8587" s="508"/>
      <c r="K8587" s="508"/>
      <c r="L8587" s="508"/>
      <c r="M8587" s="508"/>
      <c r="N8587" s="508"/>
      <c r="O8587" s="508"/>
      <c r="P8587" s="508"/>
      <c r="Q8587" s="508"/>
      <c r="R8587" s="508"/>
      <c r="S8587" s="508"/>
      <c r="T8587" s="508"/>
      <c r="U8587" s="508"/>
      <c r="V8587" s="508"/>
      <c r="W8587" s="508"/>
      <c r="X8587" s="508"/>
      <c r="Y8587" s="508"/>
      <c r="Z8587" s="508"/>
      <c r="AA8587" s="508"/>
      <c r="AB8587" s="508"/>
      <c r="AC8587" s="508"/>
      <c r="AD8587" s="508"/>
      <c r="AE8587" s="508"/>
      <c r="AF8587" s="508"/>
      <c r="AG8587" s="508"/>
      <c r="AH8587" s="508"/>
      <c r="AI8587" s="492"/>
      <c r="AJ8587" s="485"/>
    </row>
    <row r="8588" spans="2:36">
      <c r="B8588" s="136" t="s">
        <v>486</v>
      </c>
      <c r="C8588" s="132" t="s">
        <v>1377</v>
      </c>
      <c r="D8588" s="132" t="s">
        <v>1384</v>
      </c>
      <c r="E8588" s="508"/>
      <c r="F8588" s="508"/>
      <c r="G8588" s="508"/>
      <c r="H8588" s="508"/>
      <c r="I8588" s="508"/>
      <c r="J8588" s="508"/>
      <c r="K8588" s="508"/>
      <c r="L8588" s="508"/>
      <c r="M8588" s="508"/>
      <c r="N8588" s="508"/>
      <c r="O8588" s="508"/>
      <c r="P8588" s="508"/>
      <c r="Q8588" s="508"/>
      <c r="R8588" s="508"/>
      <c r="S8588" s="508"/>
      <c r="T8588" s="508"/>
      <c r="U8588" s="508"/>
      <c r="V8588" s="508"/>
      <c r="W8588" s="508"/>
      <c r="X8588" s="508"/>
      <c r="Y8588" s="508"/>
      <c r="Z8588" s="508"/>
      <c r="AA8588" s="508"/>
      <c r="AB8588" s="508"/>
      <c r="AC8588" s="508"/>
      <c r="AD8588" s="508"/>
      <c r="AE8588" s="508"/>
      <c r="AF8588" s="508"/>
      <c r="AG8588" s="508"/>
      <c r="AH8588" s="508"/>
      <c r="AI8588" s="492"/>
      <c r="AJ8588" s="485"/>
    </row>
    <row r="8589" spans="2:36">
      <c r="B8589" s="136" t="s">
        <v>487</v>
      </c>
      <c r="C8589" s="132" t="s">
        <v>1377</v>
      </c>
      <c r="D8589" s="132" t="s">
        <v>1384</v>
      </c>
      <c r="E8589" s="508"/>
      <c r="F8589" s="508"/>
      <c r="G8589" s="508"/>
      <c r="H8589" s="508"/>
      <c r="I8589" s="508"/>
      <c r="J8589" s="508"/>
      <c r="K8589" s="508"/>
      <c r="L8589" s="508"/>
      <c r="M8589" s="508"/>
      <c r="N8589" s="508"/>
      <c r="O8589" s="508"/>
      <c r="P8589" s="508"/>
      <c r="Q8589" s="508"/>
      <c r="R8589" s="508"/>
      <c r="S8589" s="508"/>
      <c r="T8589" s="508"/>
      <c r="U8589" s="508"/>
      <c r="V8589" s="508"/>
      <c r="W8589" s="508"/>
      <c r="X8589" s="508"/>
      <c r="Y8589" s="508"/>
      <c r="Z8589" s="508"/>
      <c r="AA8589" s="508"/>
      <c r="AB8589" s="508"/>
      <c r="AC8589" s="508"/>
      <c r="AD8589" s="508"/>
      <c r="AE8589" s="508"/>
      <c r="AF8589" s="508"/>
      <c r="AG8589" s="508"/>
      <c r="AH8589" s="508"/>
      <c r="AI8589" s="492"/>
      <c r="AJ8589" s="485"/>
    </row>
    <row r="8590" spans="2:36">
      <c r="B8590" s="136" t="s">
        <v>488</v>
      </c>
      <c r="C8590" s="132" t="s">
        <v>1377</v>
      </c>
      <c r="D8590" s="132" t="s">
        <v>1384</v>
      </c>
      <c r="E8590" s="508"/>
      <c r="F8590" s="508"/>
      <c r="G8590" s="508"/>
      <c r="H8590" s="508"/>
      <c r="I8590" s="508"/>
      <c r="J8590" s="508"/>
      <c r="K8590" s="508"/>
      <c r="L8590" s="508"/>
      <c r="M8590" s="508"/>
      <c r="N8590" s="508"/>
      <c r="O8590" s="508"/>
      <c r="P8590" s="508"/>
      <c r="Q8590" s="508"/>
      <c r="R8590" s="508"/>
      <c r="S8590" s="508"/>
      <c r="T8590" s="508"/>
      <c r="U8590" s="508"/>
      <c r="V8590" s="508"/>
      <c r="W8590" s="508"/>
      <c r="X8590" s="508"/>
      <c r="Y8590" s="508"/>
      <c r="Z8590" s="508"/>
      <c r="AA8590" s="508"/>
      <c r="AB8590" s="508"/>
      <c r="AC8590" s="508"/>
      <c r="AD8590" s="508"/>
      <c r="AE8590" s="508"/>
      <c r="AF8590" s="508"/>
      <c r="AG8590" s="508"/>
      <c r="AH8590" s="508"/>
      <c r="AI8590" s="492"/>
      <c r="AJ8590" s="485"/>
    </row>
    <row r="8591" spans="2:36">
      <c r="B8591" s="136" t="s">
        <v>489</v>
      </c>
      <c r="C8591" s="132" t="s">
        <v>1377</v>
      </c>
      <c r="D8591" s="132" t="s">
        <v>1384</v>
      </c>
      <c r="E8591" s="508"/>
      <c r="F8591" s="508"/>
      <c r="G8591" s="508"/>
      <c r="H8591" s="508"/>
      <c r="I8591" s="508"/>
      <c r="J8591" s="508"/>
      <c r="K8591" s="508"/>
      <c r="L8591" s="508"/>
      <c r="M8591" s="508"/>
      <c r="N8591" s="508"/>
      <c r="O8591" s="508"/>
      <c r="P8591" s="508"/>
      <c r="Q8591" s="508"/>
      <c r="R8591" s="508"/>
      <c r="S8591" s="508"/>
      <c r="T8591" s="508"/>
      <c r="U8591" s="508"/>
      <c r="V8591" s="508"/>
      <c r="W8591" s="508"/>
      <c r="X8591" s="508"/>
      <c r="Y8591" s="508"/>
      <c r="Z8591" s="508"/>
      <c r="AA8591" s="508"/>
      <c r="AB8591" s="508"/>
      <c r="AC8591" s="508"/>
      <c r="AD8591" s="508"/>
      <c r="AE8591" s="508"/>
      <c r="AF8591" s="508"/>
      <c r="AG8591" s="508"/>
      <c r="AH8591" s="508"/>
      <c r="AI8591" s="492"/>
      <c r="AJ8591" s="485"/>
    </row>
    <row r="8592" spans="2:36">
      <c r="B8592" s="136" t="s">
        <v>490</v>
      </c>
      <c r="C8592" s="132" t="s">
        <v>1377</v>
      </c>
      <c r="D8592" s="132" t="s">
        <v>1384</v>
      </c>
      <c r="E8592" s="508"/>
      <c r="F8592" s="508"/>
      <c r="G8592" s="508"/>
      <c r="H8592" s="508"/>
      <c r="I8592" s="508"/>
      <c r="J8592" s="508"/>
      <c r="K8592" s="508"/>
      <c r="L8592" s="508"/>
      <c r="M8592" s="508"/>
      <c r="N8592" s="508"/>
      <c r="O8592" s="508"/>
      <c r="P8592" s="508"/>
      <c r="Q8592" s="508"/>
      <c r="R8592" s="508"/>
      <c r="S8592" s="508"/>
      <c r="T8592" s="508"/>
      <c r="U8592" s="508"/>
      <c r="V8592" s="508"/>
      <c r="W8592" s="508"/>
      <c r="X8592" s="508"/>
      <c r="Y8592" s="508"/>
      <c r="Z8592" s="508"/>
      <c r="AA8592" s="508"/>
      <c r="AB8592" s="508"/>
      <c r="AC8592" s="508"/>
      <c r="AD8592" s="508"/>
      <c r="AE8592" s="508"/>
      <c r="AF8592" s="508"/>
      <c r="AG8592" s="508"/>
      <c r="AH8592" s="508"/>
      <c r="AI8592" s="492"/>
      <c r="AJ8592" s="485"/>
    </row>
    <row r="8593" spans="2:36">
      <c r="B8593" s="136" t="s">
        <v>435</v>
      </c>
      <c r="C8593" s="132" t="s">
        <v>1378</v>
      </c>
      <c r="D8593" s="132" t="s">
        <v>1384</v>
      </c>
      <c r="E8593" s="508"/>
      <c r="F8593" s="508"/>
      <c r="G8593" s="508"/>
      <c r="H8593" s="508"/>
      <c r="I8593" s="508"/>
      <c r="J8593" s="508"/>
      <c r="K8593" s="508"/>
      <c r="L8593" s="508"/>
      <c r="M8593" s="508"/>
      <c r="N8593" s="508"/>
      <c r="O8593" s="508"/>
      <c r="P8593" s="508"/>
      <c r="Q8593" s="508"/>
      <c r="R8593" s="508"/>
      <c r="S8593" s="508"/>
      <c r="T8593" s="508"/>
      <c r="U8593" s="508"/>
      <c r="V8593" s="508"/>
      <c r="W8593" s="508"/>
      <c r="X8593" s="508"/>
      <c r="Y8593" s="508"/>
      <c r="Z8593" s="508"/>
      <c r="AA8593" s="508"/>
      <c r="AB8593" s="508"/>
      <c r="AC8593" s="508"/>
      <c r="AD8593" s="508"/>
      <c r="AE8593" s="508"/>
      <c r="AF8593" s="508"/>
      <c r="AG8593" s="508"/>
      <c r="AH8593" s="508"/>
      <c r="AI8593" s="492"/>
      <c r="AJ8593" s="485"/>
    </row>
    <row r="8594" spans="2:36">
      <c r="B8594" s="136" t="s">
        <v>436</v>
      </c>
      <c r="C8594" s="132" t="s">
        <v>1378</v>
      </c>
      <c r="D8594" s="132" t="s">
        <v>1384</v>
      </c>
      <c r="E8594" s="508"/>
      <c r="F8594" s="508"/>
      <c r="G8594" s="508"/>
      <c r="H8594" s="508"/>
      <c r="I8594" s="508"/>
      <c r="J8594" s="508"/>
      <c r="K8594" s="508"/>
      <c r="L8594" s="508"/>
      <c r="M8594" s="508"/>
      <c r="N8594" s="508"/>
      <c r="O8594" s="508"/>
      <c r="P8594" s="508"/>
      <c r="Q8594" s="508"/>
      <c r="R8594" s="508"/>
      <c r="S8594" s="508"/>
      <c r="T8594" s="508"/>
      <c r="U8594" s="508"/>
      <c r="V8594" s="508"/>
      <c r="W8594" s="508"/>
      <c r="X8594" s="508"/>
      <c r="Y8594" s="508"/>
      <c r="Z8594" s="508"/>
      <c r="AA8594" s="508"/>
      <c r="AB8594" s="508"/>
      <c r="AC8594" s="508"/>
      <c r="AD8594" s="508"/>
      <c r="AE8594" s="508"/>
      <c r="AF8594" s="508"/>
      <c r="AG8594" s="508"/>
      <c r="AH8594" s="508"/>
      <c r="AI8594" s="492"/>
      <c r="AJ8594" s="485"/>
    </row>
    <row r="8595" spans="2:36">
      <c r="B8595" s="136" t="s">
        <v>437</v>
      </c>
      <c r="C8595" s="132" t="s">
        <v>1378</v>
      </c>
      <c r="D8595" s="132" t="s">
        <v>1384</v>
      </c>
      <c r="E8595" s="508"/>
      <c r="F8595" s="508"/>
      <c r="G8595" s="508"/>
      <c r="H8595" s="508"/>
      <c r="I8595" s="508"/>
      <c r="J8595" s="508"/>
      <c r="K8595" s="508"/>
      <c r="L8595" s="508"/>
      <c r="M8595" s="508"/>
      <c r="N8595" s="508"/>
      <c r="O8595" s="508"/>
      <c r="P8595" s="508"/>
      <c r="Q8595" s="508"/>
      <c r="R8595" s="508"/>
      <c r="S8595" s="508"/>
      <c r="T8595" s="508"/>
      <c r="U8595" s="508"/>
      <c r="V8595" s="508"/>
      <c r="W8595" s="508"/>
      <c r="X8595" s="508"/>
      <c r="Y8595" s="508"/>
      <c r="Z8595" s="508"/>
      <c r="AA8595" s="508"/>
      <c r="AB8595" s="508"/>
      <c r="AC8595" s="508"/>
      <c r="AD8595" s="508"/>
      <c r="AE8595" s="508"/>
      <c r="AF8595" s="508"/>
      <c r="AG8595" s="508"/>
      <c r="AH8595" s="508"/>
      <c r="AI8595" s="492"/>
      <c r="AJ8595" s="485"/>
    </row>
    <row r="8596" spans="2:36">
      <c r="B8596" s="136" t="s">
        <v>438</v>
      </c>
      <c r="C8596" s="132" t="s">
        <v>1378</v>
      </c>
      <c r="D8596" s="132" t="s">
        <v>1384</v>
      </c>
      <c r="E8596" s="508"/>
      <c r="F8596" s="508"/>
      <c r="G8596" s="508"/>
      <c r="H8596" s="508"/>
      <c r="I8596" s="508"/>
      <c r="J8596" s="508"/>
      <c r="K8596" s="508"/>
      <c r="L8596" s="508"/>
      <c r="M8596" s="508"/>
      <c r="N8596" s="508"/>
      <c r="O8596" s="508"/>
      <c r="P8596" s="508"/>
      <c r="Q8596" s="508"/>
      <c r="R8596" s="508"/>
      <c r="S8596" s="508"/>
      <c r="T8596" s="508"/>
      <c r="U8596" s="508"/>
      <c r="V8596" s="508"/>
      <c r="W8596" s="508"/>
      <c r="X8596" s="508"/>
      <c r="Y8596" s="508"/>
      <c r="Z8596" s="508"/>
      <c r="AA8596" s="508"/>
      <c r="AB8596" s="508"/>
      <c r="AC8596" s="508"/>
      <c r="AD8596" s="508"/>
      <c r="AE8596" s="508"/>
      <c r="AF8596" s="508"/>
      <c r="AG8596" s="508"/>
      <c r="AH8596" s="508"/>
      <c r="AI8596" s="492"/>
      <c r="AJ8596" s="485"/>
    </row>
    <row r="8597" spans="2:36">
      <c r="B8597" s="136" t="s">
        <v>439</v>
      </c>
      <c r="C8597" s="132" t="s">
        <v>1378</v>
      </c>
      <c r="D8597" s="132" t="s">
        <v>1384</v>
      </c>
      <c r="E8597" s="508"/>
      <c r="F8597" s="508"/>
      <c r="G8597" s="508"/>
      <c r="H8597" s="508"/>
      <c r="I8597" s="508"/>
      <c r="J8597" s="508"/>
      <c r="K8597" s="508"/>
      <c r="L8597" s="508"/>
      <c r="M8597" s="508"/>
      <c r="N8597" s="508"/>
      <c r="O8597" s="508"/>
      <c r="P8597" s="508"/>
      <c r="Q8597" s="508"/>
      <c r="R8597" s="508"/>
      <c r="S8597" s="508"/>
      <c r="T8597" s="508"/>
      <c r="U8597" s="508"/>
      <c r="V8597" s="508"/>
      <c r="W8597" s="508"/>
      <c r="X8597" s="508"/>
      <c r="Y8597" s="508"/>
      <c r="Z8597" s="508"/>
      <c r="AA8597" s="508"/>
      <c r="AB8597" s="508"/>
      <c r="AC8597" s="508"/>
      <c r="AD8597" s="508"/>
      <c r="AE8597" s="508"/>
      <c r="AF8597" s="508"/>
      <c r="AG8597" s="508"/>
      <c r="AH8597" s="508"/>
      <c r="AI8597" s="492"/>
      <c r="AJ8597" s="485"/>
    </row>
    <row r="8598" spans="2:36">
      <c r="B8598" s="136" t="s">
        <v>440</v>
      </c>
      <c r="C8598" s="132" t="s">
        <v>1378</v>
      </c>
      <c r="D8598" s="132" t="s">
        <v>1384</v>
      </c>
      <c r="E8598" s="508"/>
      <c r="F8598" s="508"/>
      <c r="G8598" s="508"/>
      <c r="H8598" s="508"/>
      <c r="I8598" s="508"/>
      <c r="J8598" s="508"/>
      <c r="K8598" s="508"/>
      <c r="L8598" s="508"/>
      <c r="M8598" s="508"/>
      <c r="N8598" s="508"/>
      <c r="O8598" s="508"/>
      <c r="P8598" s="508"/>
      <c r="Q8598" s="508"/>
      <c r="R8598" s="508"/>
      <c r="S8598" s="508"/>
      <c r="T8598" s="508"/>
      <c r="U8598" s="508"/>
      <c r="V8598" s="508"/>
      <c r="W8598" s="508"/>
      <c r="X8598" s="508"/>
      <c r="Y8598" s="508"/>
      <c r="Z8598" s="508"/>
      <c r="AA8598" s="508"/>
      <c r="AB8598" s="508"/>
      <c r="AC8598" s="508"/>
      <c r="AD8598" s="508"/>
      <c r="AE8598" s="508"/>
      <c r="AF8598" s="508"/>
      <c r="AG8598" s="508"/>
      <c r="AH8598" s="508"/>
      <c r="AI8598" s="492"/>
      <c r="AJ8598" s="485"/>
    </row>
    <row r="8599" spans="2:36">
      <c r="B8599" s="136" t="s">
        <v>441</v>
      </c>
      <c r="C8599" s="132" t="s">
        <v>1378</v>
      </c>
      <c r="D8599" s="132" t="s">
        <v>1384</v>
      </c>
      <c r="E8599" s="508"/>
      <c r="F8599" s="508"/>
      <c r="G8599" s="508"/>
      <c r="H8599" s="508"/>
      <c r="I8599" s="508"/>
      <c r="J8599" s="508"/>
      <c r="K8599" s="508"/>
      <c r="L8599" s="508"/>
      <c r="M8599" s="508"/>
      <c r="N8599" s="508"/>
      <c r="O8599" s="508"/>
      <c r="P8599" s="508"/>
      <c r="Q8599" s="508"/>
      <c r="R8599" s="508"/>
      <c r="S8599" s="508"/>
      <c r="T8599" s="508"/>
      <c r="U8599" s="508"/>
      <c r="V8599" s="508"/>
      <c r="W8599" s="508"/>
      <c r="X8599" s="508"/>
      <c r="Y8599" s="508"/>
      <c r="Z8599" s="508"/>
      <c r="AA8599" s="508"/>
      <c r="AB8599" s="508"/>
      <c r="AC8599" s="508"/>
      <c r="AD8599" s="508"/>
      <c r="AE8599" s="508"/>
      <c r="AF8599" s="508"/>
      <c r="AG8599" s="508"/>
      <c r="AH8599" s="508"/>
      <c r="AI8599" s="492"/>
      <c r="AJ8599" s="485"/>
    </row>
    <row r="8600" spans="2:36">
      <c r="B8600" s="136" t="s">
        <v>443</v>
      </c>
      <c r="C8600" s="132" t="s">
        <v>1378</v>
      </c>
      <c r="D8600" s="132" t="s">
        <v>1384</v>
      </c>
      <c r="E8600" s="508"/>
      <c r="F8600" s="508"/>
      <c r="G8600" s="508"/>
      <c r="H8600" s="508"/>
      <c r="I8600" s="508"/>
      <c r="J8600" s="508"/>
      <c r="K8600" s="508"/>
      <c r="L8600" s="508"/>
      <c r="M8600" s="508"/>
      <c r="N8600" s="508"/>
      <c r="O8600" s="508"/>
      <c r="P8600" s="508"/>
      <c r="Q8600" s="508"/>
      <c r="R8600" s="508"/>
      <c r="S8600" s="508"/>
      <c r="T8600" s="508"/>
      <c r="U8600" s="508"/>
      <c r="V8600" s="508"/>
      <c r="W8600" s="508"/>
      <c r="X8600" s="508"/>
      <c r="Y8600" s="508"/>
      <c r="Z8600" s="508"/>
      <c r="AA8600" s="508"/>
      <c r="AB8600" s="508"/>
      <c r="AC8600" s="508"/>
      <c r="AD8600" s="508"/>
      <c r="AE8600" s="508"/>
      <c r="AF8600" s="508"/>
      <c r="AG8600" s="508"/>
      <c r="AH8600" s="508"/>
      <c r="AI8600" s="492"/>
      <c r="AJ8600" s="485"/>
    </row>
    <row r="8601" spans="2:36">
      <c r="B8601" s="136" t="s">
        <v>445</v>
      </c>
      <c r="C8601" s="132" t="s">
        <v>1378</v>
      </c>
      <c r="D8601" s="132" t="s">
        <v>1384</v>
      </c>
      <c r="E8601" s="508"/>
      <c r="F8601" s="508"/>
      <c r="G8601" s="508"/>
      <c r="H8601" s="508"/>
      <c r="I8601" s="508"/>
      <c r="J8601" s="508"/>
      <c r="K8601" s="508"/>
      <c r="L8601" s="508"/>
      <c r="M8601" s="508"/>
      <c r="N8601" s="508"/>
      <c r="O8601" s="508"/>
      <c r="P8601" s="508"/>
      <c r="Q8601" s="508"/>
      <c r="R8601" s="508"/>
      <c r="S8601" s="508"/>
      <c r="T8601" s="508"/>
      <c r="U8601" s="508"/>
      <c r="V8601" s="508"/>
      <c r="W8601" s="508"/>
      <c r="X8601" s="508"/>
      <c r="Y8601" s="508"/>
      <c r="Z8601" s="508"/>
      <c r="AA8601" s="508"/>
      <c r="AB8601" s="508"/>
      <c r="AC8601" s="508"/>
      <c r="AD8601" s="508"/>
      <c r="AE8601" s="508"/>
      <c r="AF8601" s="508"/>
      <c r="AG8601" s="508"/>
      <c r="AH8601" s="508"/>
      <c r="AI8601" s="492"/>
      <c r="AJ8601" s="485"/>
    </row>
    <row r="8602" spans="2:36">
      <c r="B8602" s="136" t="s">
        <v>446</v>
      </c>
      <c r="C8602" s="132" t="s">
        <v>1378</v>
      </c>
      <c r="D8602" s="132" t="s">
        <v>1384</v>
      </c>
      <c r="E8602" s="508"/>
      <c r="F8602" s="508"/>
      <c r="G8602" s="508"/>
      <c r="H8602" s="508"/>
      <c r="I8602" s="508"/>
      <c r="J8602" s="508"/>
      <c r="K8602" s="508"/>
      <c r="L8602" s="508"/>
      <c r="M8602" s="508"/>
      <c r="N8602" s="508"/>
      <c r="O8602" s="508"/>
      <c r="P8602" s="508"/>
      <c r="Q8602" s="508"/>
      <c r="R8602" s="508"/>
      <c r="S8602" s="508"/>
      <c r="T8602" s="508"/>
      <c r="U8602" s="508"/>
      <c r="V8602" s="508"/>
      <c r="W8602" s="508"/>
      <c r="X8602" s="508"/>
      <c r="Y8602" s="508"/>
      <c r="Z8602" s="508"/>
      <c r="AA8602" s="508"/>
      <c r="AB8602" s="508"/>
      <c r="AC8602" s="508"/>
      <c r="AD8602" s="508"/>
      <c r="AE8602" s="508"/>
      <c r="AF8602" s="508"/>
      <c r="AG8602" s="508"/>
      <c r="AH8602" s="508"/>
      <c r="AI8602" s="492"/>
      <c r="AJ8602" s="485"/>
    </row>
    <row r="8603" spans="2:36">
      <c r="B8603" s="136" t="s">
        <v>448</v>
      </c>
      <c r="C8603" s="132" t="s">
        <v>1378</v>
      </c>
      <c r="D8603" s="132" t="s">
        <v>1384</v>
      </c>
      <c r="E8603" s="508"/>
      <c r="F8603" s="508"/>
      <c r="G8603" s="508"/>
      <c r="H8603" s="508"/>
      <c r="I8603" s="508"/>
      <c r="J8603" s="508"/>
      <c r="K8603" s="508"/>
      <c r="L8603" s="508"/>
      <c r="M8603" s="508"/>
      <c r="N8603" s="508"/>
      <c r="O8603" s="508"/>
      <c r="P8603" s="508"/>
      <c r="Q8603" s="508"/>
      <c r="R8603" s="508"/>
      <c r="S8603" s="508"/>
      <c r="T8603" s="508"/>
      <c r="U8603" s="508"/>
      <c r="V8603" s="508"/>
      <c r="W8603" s="508"/>
      <c r="X8603" s="508"/>
      <c r="Y8603" s="508"/>
      <c r="Z8603" s="508"/>
      <c r="AA8603" s="508"/>
      <c r="AB8603" s="508"/>
      <c r="AC8603" s="508"/>
      <c r="AD8603" s="508"/>
      <c r="AE8603" s="508"/>
      <c r="AF8603" s="508"/>
      <c r="AG8603" s="508"/>
      <c r="AH8603" s="508"/>
      <c r="AI8603" s="492"/>
      <c r="AJ8603" s="485"/>
    </row>
    <row r="8604" spans="2:36">
      <c r="B8604" s="136" t="s">
        <v>449</v>
      </c>
      <c r="C8604" s="132" t="s">
        <v>1378</v>
      </c>
      <c r="D8604" s="132" t="s">
        <v>1384</v>
      </c>
      <c r="E8604" s="508"/>
      <c r="F8604" s="508"/>
      <c r="G8604" s="508"/>
      <c r="H8604" s="508"/>
      <c r="I8604" s="508"/>
      <c r="J8604" s="508"/>
      <c r="K8604" s="508"/>
      <c r="L8604" s="508"/>
      <c r="M8604" s="508"/>
      <c r="N8604" s="508"/>
      <c r="O8604" s="508"/>
      <c r="P8604" s="508"/>
      <c r="Q8604" s="508"/>
      <c r="R8604" s="508"/>
      <c r="S8604" s="508"/>
      <c r="T8604" s="508"/>
      <c r="U8604" s="508"/>
      <c r="V8604" s="508"/>
      <c r="W8604" s="508"/>
      <c r="X8604" s="508"/>
      <c r="Y8604" s="508"/>
      <c r="Z8604" s="508"/>
      <c r="AA8604" s="508"/>
      <c r="AB8604" s="508"/>
      <c r="AC8604" s="508"/>
      <c r="AD8604" s="508"/>
      <c r="AE8604" s="508"/>
      <c r="AF8604" s="508"/>
      <c r="AG8604" s="508"/>
      <c r="AH8604" s="508"/>
      <c r="AI8604" s="492"/>
      <c r="AJ8604" s="485"/>
    </row>
    <row r="8605" spans="2:36">
      <c r="B8605" s="136" t="s">
        <v>450</v>
      </c>
      <c r="C8605" s="132" t="s">
        <v>1378</v>
      </c>
      <c r="D8605" s="132" t="s">
        <v>1384</v>
      </c>
      <c r="E8605" s="508"/>
      <c r="F8605" s="508"/>
      <c r="G8605" s="508"/>
      <c r="H8605" s="508"/>
      <c r="I8605" s="508"/>
      <c r="J8605" s="508"/>
      <c r="K8605" s="508"/>
      <c r="L8605" s="508"/>
      <c r="M8605" s="508"/>
      <c r="N8605" s="508"/>
      <c r="O8605" s="508"/>
      <c r="P8605" s="508"/>
      <c r="Q8605" s="508"/>
      <c r="R8605" s="508"/>
      <c r="S8605" s="508"/>
      <c r="T8605" s="508"/>
      <c r="U8605" s="508"/>
      <c r="V8605" s="508"/>
      <c r="W8605" s="508"/>
      <c r="X8605" s="508"/>
      <c r="Y8605" s="508"/>
      <c r="Z8605" s="508"/>
      <c r="AA8605" s="508"/>
      <c r="AB8605" s="508"/>
      <c r="AC8605" s="508"/>
      <c r="AD8605" s="508"/>
      <c r="AE8605" s="508"/>
      <c r="AF8605" s="508"/>
      <c r="AG8605" s="508"/>
      <c r="AH8605" s="508"/>
      <c r="AI8605" s="492"/>
      <c r="AJ8605" s="485"/>
    </row>
    <row r="8606" spans="2:36">
      <c r="B8606" s="136" t="s">
        <v>451</v>
      </c>
      <c r="C8606" s="132" t="s">
        <v>1378</v>
      </c>
      <c r="D8606" s="132" t="s">
        <v>1384</v>
      </c>
      <c r="E8606" s="508"/>
      <c r="F8606" s="508"/>
      <c r="G8606" s="508"/>
      <c r="H8606" s="508"/>
      <c r="I8606" s="508"/>
      <c r="J8606" s="508"/>
      <c r="K8606" s="508"/>
      <c r="L8606" s="508"/>
      <c r="M8606" s="508"/>
      <c r="N8606" s="508"/>
      <c r="O8606" s="508"/>
      <c r="P8606" s="508"/>
      <c r="Q8606" s="508"/>
      <c r="R8606" s="508"/>
      <c r="S8606" s="508"/>
      <c r="T8606" s="508"/>
      <c r="U8606" s="508"/>
      <c r="V8606" s="508"/>
      <c r="W8606" s="508"/>
      <c r="X8606" s="508"/>
      <c r="Y8606" s="508"/>
      <c r="Z8606" s="508"/>
      <c r="AA8606" s="508"/>
      <c r="AB8606" s="508"/>
      <c r="AC8606" s="508"/>
      <c r="AD8606" s="508"/>
      <c r="AE8606" s="508"/>
      <c r="AF8606" s="508"/>
      <c r="AG8606" s="508"/>
      <c r="AH8606" s="508"/>
      <c r="AI8606" s="492"/>
      <c r="AJ8606" s="485"/>
    </row>
    <row r="8607" spans="2:36">
      <c r="B8607" s="136" t="s">
        <v>452</v>
      </c>
      <c r="C8607" s="132" t="s">
        <v>1378</v>
      </c>
      <c r="D8607" s="132" t="s">
        <v>1384</v>
      </c>
      <c r="E8607" s="508"/>
      <c r="F8607" s="508"/>
      <c r="G8607" s="508"/>
      <c r="H8607" s="508"/>
      <c r="I8607" s="508"/>
      <c r="J8607" s="508"/>
      <c r="K8607" s="508"/>
      <c r="L8607" s="508"/>
      <c r="M8607" s="508"/>
      <c r="N8607" s="508"/>
      <c r="O8607" s="508"/>
      <c r="P8607" s="508"/>
      <c r="Q8607" s="508"/>
      <c r="R8607" s="508"/>
      <c r="S8607" s="508"/>
      <c r="T8607" s="508"/>
      <c r="U8607" s="508"/>
      <c r="V8607" s="508"/>
      <c r="W8607" s="508"/>
      <c r="X8607" s="508"/>
      <c r="Y8607" s="508"/>
      <c r="Z8607" s="508"/>
      <c r="AA8607" s="508"/>
      <c r="AB8607" s="508"/>
      <c r="AC8607" s="508"/>
      <c r="AD8607" s="508"/>
      <c r="AE8607" s="508"/>
      <c r="AF8607" s="508"/>
      <c r="AG8607" s="508"/>
      <c r="AH8607" s="508"/>
      <c r="AI8607" s="492"/>
      <c r="AJ8607" s="485"/>
    </row>
    <row r="8608" spans="2:36">
      <c r="B8608" s="136" t="s">
        <v>453</v>
      </c>
      <c r="C8608" s="132" t="s">
        <v>1378</v>
      </c>
      <c r="D8608" s="132" t="s">
        <v>1384</v>
      </c>
      <c r="E8608" s="508"/>
      <c r="F8608" s="508"/>
      <c r="G8608" s="508"/>
      <c r="H8608" s="508"/>
      <c r="I8608" s="508"/>
      <c r="J8608" s="508"/>
      <c r="K8608" s="508"/>
      <c r="L8608" s="508"/>
      <c r="M8608" s="508"/>
      <c r="N8608" s="508"/>
      <c r="O8608" s="508"/>
      <c r="P8608" s="508"/>
      <c r="Q8608" s="508"/>
      <c r="R8608" s="508"/>
      <c r="S8608" s="508"/>
      <c r="T8608" s="508"/>
      <c r="U8608" s="508"/>
      <c r="V8608" s="508"/>
      <c r="W8608" s="508"/>
      <c r="X8608" s="508"/>
      <c r="Y8608" s="508"/>
      <c r="Z8608" s="508"/>
      <c r="AA8608" s="508"/>
      <c r="AB8608" s="508"/>
      <c r="AC8608" s="508"/>
      <c r="AD8608" s="508"/>
      <c r="AE8608" s="508"/>
      <c r="AF8608" s="508"/>
      <c r="AG8608" s="508"/>
      <c r="AH8608" s="508"/>
      <c r="AI8608" s="492"/>
      <c r="AJ8608" s="485"/>
    </row>
    <row r="8609" spans="2:36">
      <c r="B8609" s="136" t="s">
        <v>454</v>
      </c>
      <c r="C8609" s="132" t="s">
        <v>1378</v>
      </c>
      <c r="D8609" s="132" t="s">
        <v>1384</v>
      </c>
      <c r="E8609" s="508"/>
      <c r="F8609" s="508"/>
      <c r="G8609" s="508"/>
      <c r="H8609" s="508"/>
      <c r="I8609" s="508"/>
      <c r="J8609" s="508"/>
      <c r="K8609" s="508"/>
      <c r="L8609" s="508"/>
      <c r="M8609" s="508"/>
      <c r="N8609" s="508"/>
      <c r="O8609" s="508"/>
      <c r="P8609" s="508"/>
      <c r="Q8609" s="508"/>
      <c r="R8609" s="508"/>
      <c r="S8609" s="508"/>
      <c r="T8609" s="508"/>
      <c r="U8609" s="508"/>
      <c r="V8609" s="508"/>
      <c r="W8609" s="508"/>
      <c r="X8609" s="508"/>
      <c r="Y8609" s="508"/>
      <c r="Z8609" s="508"/>
      <c r="AA8609" s="508"/>
      <c r="AB8609" s="508"/>
      <c r="AC8609" s="508"/>
      <c r="AD8609" s="508"/>
      <c r="AE8609" s="508"/>
      <c r="AF8609" s="508"/>
      <c r="AG8609" s="508"/>
      <c r="AH8609" s="508"/>
      <c r="AI8609" s="492"/>
      <c r="AJ8609" s="485"/>
    </row>
    <row r="8610" spans="2:36">
      <c r="B8610" s="136" t="s">
        <v>455</v>
      </c>
      <c r="C8610" s="132" t="s">
        <v>1378</v>
      </c>
      <c r="D8610" s="132" t="s">
        <v>1384</v>
      </c>
      <c r="E8610" s="508"/>
      <c r="F8610" s="508"/>
      <c r="G8610" s="508"/>
      <c r="H8610" s="508"/>
      <c r="I8610" s="508"/>
      <c r="J8610" s="508"/>
      <c r="K8610" s="508"/>
      <c r="L8610" s="508"/>
      <c r="M8610" s="508"/>
      <c r="N8610" s="508"/>
      <c r="O8610" s="508"/>
      <c r="P8610" s="508"/>
      <c r="Q8610" s="508"/>
      <c r="R8610" s="508"/>
      <c r="S8610" s="508"/>
      <c r="T8610" s="508"/>
      <c r="U8610" s="508"/>
      <c r="V8610" s="508"/>
      <c r="W8610" s="508"/>
      <c r="X8610" s="508"/>
      <c r="Y8610" s="508"/>
      <c r="Z8610" s="508"/>
      <c r="AA8610" s="508"/>
      <c r="AB8610" s="508"/>
      <c r="AC8610" s="508"/>
      <c r="AD8610" s="508"/>
      <c r="AE8610" s="508"/>
      <c r="AF8610" s="508"/>
      <c r="AG8610" s="508"/>
      <c r="AH8610" s="508"/>
      <c r="AI8610" s="492"/>
      <c r="AJ8610" s="485"/>
    </row>
    <row r="8611" spans="2:36">
      <c r="B8611" s="136" t="s">
        <v>456</v>
      </c>
      <c r="C8611" s="132" t="s">
        <v>1378</v>
      </c>
      <c r="D8611" s="132" t="s">
        <v>1384</v>
      </c>
      <c r="E8611" s="508"/>
      <c r="F8611" s="508"/>
      <c r="G8611" s="508"/>
      <c r="H8611" s="508"/>
      <c r="I8611" s="508"/>
      <c r="J8611" s="508"/>
      <c r="K8611" s="508"/>
      <c r="L8611" s="508"/>
      <c r="M8611" s="508"/>
      <c r="N8611" s="508"/>
      <c r="O8611" s="508"/>
      <c r="P8611" s="508"/>
      <c r="Q8611" s="508"/>
      <c r="R8611" s="508"/>
      <c r="S8611" s="508"/>
      <c r="T8611" s="508"/>
      <c r="U8611" s="508"/>
      <c r="V8611" s="508"/>
      <c r="W8611" s="508"/>
      <c r="X8611" s="508"/>
      <c r="Y8611" s="508"/>
      <c r="Z8611" s="508"/>
      <c r="AA8611" s="508"/>
      <c r="AB8611" s="508"/>
      <c r="AC8611" s="508"/>
      <c r="AD8611" s="508"/>
      <c r="AE8611" s="508"/>
      <c r="AF8611" s="508"/>
      <c r="AG8611" s="508"/>
      <c r="AH8611" s="508"/>
      <c r="AI8611" s="492"/>
      <c r="AJ8611" s="485"/>
    </row>
    <row r="8612" spans="2:36">
      <c r="B8612" s="136" t="s">
        <v>457</v>
      </c>
      <c r="C8612" s="132" t="s">
        <v>1378</v>
      </c>
      <c r="D8612" s="132" t="s">
        <v>1384</v>
      </c>
      <c r="E8612" s="508"/>
      <c r="F8612" s="508"/>
      <c r="G8612" s="508"/>
      <c r="H8612" s="508"/>
      <c r="I8612" s="508"/>
      <c r="J8612" s="508"/>
      <c r="K8612" s="508"/>
      <c r="L8612" s="508"/>
      <c r="M8612" s="508"/>
      <c r="N8612" s="508"/>
      <c r="O8612" s="508"/>
      <c r="P8612" s="508"/>
      <c r="Q8612" s="508"/>
      <c r="R8612" s="508"/>
      <c r="S8612" s="508"/>
      <c r="T8612" s="508"/>
      <c r="U8612" s="508"/>
      <c r="V8612" s="508"/>
      <c r="W8612" s="508"/>
      <c r="X8612" s="508"/>
      <c r="Y8612" s="508"/>
      <c r="Z8612" s="508"/>
      <c r="AA8612" s="508"/>
      <c r="AB8612" s="508"/>
      <c r="AC8612" s="508"/>
      <c r="AD8612" s="508"/>
      <c r="AE8612" s="508"/>
      <c r="AF8612" s="508"/>
      <c r="AG8612" s="508"/>
      <c r="AH8612" s="508"/>
      <c r="AI8612" s="492"/>
      <c r="AJ8612" s="485"/>
    </row>
    <row r="8613" spans="2:36">
      <c r="B8613" s="136" t="s">
        <v>458</v>
      </c>
      <c r="C8613" s="132" t="s">
        <v>1378</v>
      </c>
      <c r="D8613" s="132" t="s">
        <v>1384</v>
      </c>
      <c r="E8613" s="508"/>
      <c r="F8613" s="508"/>
      <c r="G8613" s="508"/>
      <c r="H8613" s="508"/>
      <c r="I8613" s="508"/>
      <c r="J8613" s="508"/>
      <c r="K8613" s="508"/>
      <c r="L8613" s="508"/>
      <c r="M8613" s="508"/>
      <c r="N8613" s="508"/>
      <c r="O8613" s="508"/>
      <c r="P8613" s="508"/>
      <c r="Q8613" s="508"/>
      <c r="R8613" s="508"/>
      <c r="S8613" s="508"/>
      <c r="T8613" s="508"/>
      <c r="U8613" s="508"/>
      <c r="V8613" s="508"/>
      <c r="W8613" s="508"/>
      <c r="X8613" s="508"/>
      <c r="Y8613" s="508"/>
      <c r="Z8613" s="508"/>
      <c r="AA8613" s="508"/>
      <c r="AB8613" s="508"/>
      <c r="AC8613" s="508"/>
      <c r="AD8613" s="508"/>
      <c r="AE8613" s="508"/>
      <c r="AF8613" s="508"/>
      <c r="AG8613" s="508"/>
      <c r="AH8613" s="508"/>
      <c r="AI8613" s="492"/>
      <c r="AJ8613" s="485"/>
    </row>
    <row r="8614" spans="2:36">
      <c r="B8614" s="136" t="s">
        <v>459</v>
      </c>
      <c r="C8614" s="132" t="s">
        <v>1378</v>
      </c>
      <c r="D8614" s="132" t="s">
        <v>1384</v>
      </c>
      <c r="E8614" s="508"/>
      <c r="F8614" s="508"/>
      <c r="G8614" s="508"/>
      <c r="H8614" s="508"/>
      <c r="I8614" s="508"/>
      <c r="J8614" s="508"/>
      <c r="K8614" s="508"/>
      <c r="L8614" s="508"/>
      <c r="M8614" s="508"/>
      <c r="N8614" s="508"/>
      <c r="O8614" s="508"/>
      <c r="P8614" s="508"/>
      <c r="Q8614" s="508"/>
      <c r="R8614" s="508"/>
      <c r="S8614" s="508"/>
      <c r="T8614" s="508"/>
      <c r="U8614" s="508"/>
      <c r="V8614" s="508"/>
      <c r="W8614" s="508"/>
      <c r="X8614" s="508"/>
      <c r="Y8614" s="508"/>
      <c r="Z8614" s="508"/>
      <c r="AA8614" s="508"/>
      <c r="AB8614" s="508"/>
      <c r="AC8614" s="508"/>
      <c r="AD8614" s="508"/>
      <c r="AE8614" s="508"/>
      <c r="AF8614" s="508"/>
      <c r="AG8614" s="508"/>
      <c r="AH8614" s="508"/>
      <c r="AI8614" s="492"/>
      <c r="AJ8614" s="485"/>
    </row>
    <row r="8615" spans="2:36">
      <c r="B8615" s="136" t="s">
        <v>460</v>
      </c>
      <c r="C8615" s="132" t="s">
        <v>1378</v>
      </c>
      <c r="D8615" s="132" t="s">
        <v>1384</v>
      </c>
      <c r="E8615" s="508"/>
      <c r="F8615" s="508"/>
      <c r="G8615" s="508"/>
      <c r="H8615" s="508"/>
      <c r="I8615" s="508"/>
      <c r="J8615" s="508"/>
      <c r="K8615" s="508"/>
      <c r="L8615" s="508"/>
      <c r="M8615" s="508"/>
      <c r="N8615" s="508"/>
      <c r="O8615" s="508"/>
      <c r="P8615" s="508"/>
      <c r="Q8615" s="508"/>
      <c r="R8615" s="508"/>
      <c r="S8615" s="508"/>
      <c r="T8615" s="508"/>
      <c r="U8615" s="508"/>
      <c r="V8615" s="508"/>
      <c r="W8615" s="508"/>
      <c r="X8615" s="508"/>
      <c r="Y8615" s="508"/>
      <c r="Z8615" s="508"/>
      <c r="AA8615" s="508"/>
      <c r="AB8615" s="508"/>
      <c r="AC8615" s="508"/>
      <c r="AD8615" s="508"/>
      <c r="AE8615" s="508"/>
      <c r="AF8615" s="508"/>
      <c r="AG8615" s="508"/>
      <c r="AH8615" s="508"/>
      <c r="AI8615" s="492"/>
      <c r="AJ8615" s="485"/>
    </row>
    <row r="8616" spans="2:36">
      <c r="B8616" s="136" t="s">
        <v>461</v>
      </c>
      <c r="C8616" s="132" t="s">
        <v>1378</v>
      </c>
      <c r="D8616" s="132" t="s">
        <v>1384</v>
      </c>
      <c r="E8616" s="508"/>
      <c r="F8616" s="508"/>
      <c r="G8616" s="508"/>
      <c r="H8616" s="508"/>
      <c r="I8616" s="508"/>
      <c r="J8616" s="508"/>
      <c r="K8616" s="508"/>
      <c r="L8616" s="508"/>
      <c r="M8616" s="508"/>
      <c r="N8616" s="508"/>
      <c r="O8616" s="508"/>
      <c r="P8616" s="508"/>
      <c r="Q8616" s="508"/>
      <c r="R8616" s="508"/>
      <c r="S8616" s="508"/>
      <c r="T8616" s="508"/>
      <c r="U8616" s="508"/>
      <c r="V8616" s="508"/>
      <c r="W8616" s="508"/>
      <c r="X8616" s="508"/>
      <c r="Y8616" s="508"/>
      <c r="Z8616" s="508"/>
      <c r="AA8616" s="508"/>
      <c r="AB8616" s="508"/>
      <c r="AC8616" s="508"/>
      <c r="AD8616" s="508"/>
      <c r="AE8616" s="508"/>
      <c r="AF8616" s="508"/>
      <c r="AG8616" s="508"/>
      <c r="AH8616" s="508"/>
      <c r="AI8616" s="492"/>
      <c r="AJ8616" s="485"/>
    </row>
    <row r="8617" spans="2:36">
      <c r="B8617" s="136" t="s">
        <v>462</v>
      </c>
      <c r="C8617" s="132" t="s">
        <v>1378</v>
      </c>
      <c r="D8617" s="132" t="s">
        <v>1384</v>
      </c>
      <c r="E8617" s="508"/>
      <c r="F8617" s="508"/>
      <c r="G8617" s="508"/>
      <c r="H8617" s="508"/>
      <c r="I8617" s="508"/>
      <c r="J8617" s="508"/>
      <c r="K8617" s="508"/>
      <c r="L8617" s="508"/>
      <c r="M8617" s="508"/>
      <c r="N8617" s="508"/>
      <c r="O8617" s="508"/>
      <c r="P8617" s="508"/>
      <c r="Q8617" s="508"/>
      <c r="R8617" s="508"/>
      <c r="S8617" s="508"/>
      <c r="T8617" s="508"/>
      <c r="U8617" s="508"/>
      <c r="V8617" s="508"/>
      <c r="W8617" s="508"/>
      <c r="X8617" s="508"/>
      <c r="Y8617" s="508"/>
      <c r="Z8617" s="508"/>
      <c r="AA8617" s="508"/>
      <c r="AB8617" s="508"/>
      <c r="AC8617" s="508"/>
      <c r="AD8617" s="508"/>
      <c r="AE8617" s="508"/>
      <c r="AF8617" s="508"/>
      <c r="AG8617" s="508"/>
      <c r="AH8617" s="508"/>
      <c r="AI8617" s="492"/>
      <c r="AJ8617" s="485"/>
    </row>
    <row r="8618" spans="2:36">
      <c r="B8618" s="136" t="s">
        <v>463</v>
      </c>
      <c r="C8618" s="132" t="s">
        <v>1378</v>
      </c>
      <c r="D8618" s="132" t="s">
        <v>1384</v>
      </c>
      <c r="E8618" s="508"/>
      <c r="F8618" s="508"/>
      <c r="G8618" s="508"/>
      <c r="H8618" s="508"/>
      <c r="I8618" s="508"/>
      <c r="J8618" s="508"/>
      <c r="K8618" s="508"/>
      <c r="L8618" s="508"/>
      <c r="M8618" s="508"/>
      <c r="N8618" s="508"/>
      <c r="O8618" s="508"/>
      <c r="P8618" s="508"/>
      <c r="Q8618" s="508"/>
      <c r="R8618" s="508"/>
      <c r="S8618" s="508"/>
      <c r="T8618" s="508"/>
      <c r="U8618" s="508"/>
      <c r="V8618" s="508"/>
      <c r="W8618" s="508"/>
      <c r="X8618" s="508"/>
      <c r="Y8618" s="508"/>
      <c r="Z8618" s="508"/>
      <c r="AA8618" s="508"/>
      <c r="AB8618" s="508"/>
      <c r="AC8618" s="508"/>
      <c r="AD8618" s="508"/>
      <c r="AE8618" s="508"/>
      <c r="AF8618" s="508"/>
      <c r="AG8618" s="508"/>
      <c r="AH8618" s="508"/>
      <c r="AI8618" s="492"/>
      <c r="AJ8618" s="485"/>
    </row>
    <row r="8619" spans="2:36">
      <c r="B8619" s="136" t="s">
        <v>464</v>
      </c>
      <c r="C8619" s="132" t="s">
        <v>1378</v>
      </c>
      <c r="D8619" s="132" t="s">
        <v>1384</v>
      </c>
      <c r="E8619" s="508"/>
      <c r="F8619" s="508"/>
      <c r="G8619" s="508"/>
      <c r="H8619" s="508"/>
      <c r="I8619" s="508"/>
      <c r="J8619" s="508"/>
      <c r="K8619" s="508"/>
      <c r="L8619" s="508"/>
      <c r="M8619" s="508"/>
      <c r="N8619" s="508"/>
      <c r="O8619" s="508"/>
      <c r="P8619" s="508"/>
      <c r="Q8619" s="508"/>
      <c r="R8619" s="508"/>
      <c r="S8619" s="508"/>
      <c r="T8619" s="508"/>
      <c r="U8619" s="508"/>
      <c r="V8619" s="508"/>
      <c r="W8619" s="508"/>
      <c r="X8619" s="508"/>
      <c r="Y8619" s="508"/>
      <c r="Z8619" s="508"/>
      <c r="AA8619" s="508"/>
      <c r="AB8619" s="508"/>
      <c r="AC8619" s="508"/>
      <c r="AD8619" s="508"/>
      <c r="AE8619" s="508"/>
      <c r="AF8619" s="508"/>
      <c r="AG8619" s="508"/>
      <c r="AH8619" s="508"/>
      <c r="AI8619" s="492"/>
      <c r="AJ8619" s="485"/>
    </row>
    <row r="8620" spans="2:36">
      <c r="B8620" s="136" t="s">
        <v>465</v>
      </c>
      <c r="C8620" s="132" t="s">
        <v>1378</v>
      </c>
      <c r="D8620" s="132" t="s">
        <v>1384</v>
      </c>
      <c r="E8620" s="508"/>
      <c r="F8620" s="508"/>
      <c r="G8620" s="508"/>
      <c r="H8620" s="508"/>
      <c r="I8620" s="508"/>
      <c r="J8620" s="508"/>
      <c r="K8620" s="508"/>
      <c r="L8620" s="508"/>
      <c r="M8620" s="508"/>
      <c r="N8620" s="508"/>
      <c r="O8620" s="508"/>
      <c r="P8620" s="508"/>
      <c r="Q8620" s="508"/>
      <c r="R8620" s="508"/>
      <c r="S8620" s="508"/>
      <c r="T8620" s="508"/>
      <c r="U8620" s="508"/>
      <c r="V8620" s="508"/>
      <c r="W8620" s="508"/>
      <c r="X8620" s="508"/>
      <c r="Y8620" s="508"/>
      <c r="Z8620" s="508"/>
      <c r="AA8620" s="508"/>
      <c r="AB8620" s="508"/>
      <c r="AC8620" s="508"/>
      <c r="AD8620" s="508"/>
      <c r="AE8620" s="508"/>
      <c r="AF8620" s="508"/>
      <c r="AG8620" s="508"/>
      <c r="AH8620" s="508"/>
      <c r="AI8620" s="492"/>
      <c r="AJ8620" s="485"/>
    </row>
    <row r="8621" spans="2:36">
      <c r="B8621" s="136" t="s">
        <v>466</v>
      </c>
      <c r="C8621" s="132" t="s">
        <v>1378</v>
      </c>
      <c r="D8621" s="132" t="s">
        <v>1384</v>
      </c>
      <c r="E8621" s="508"/>
      <c r="F8621" s="508"/>
      <c r="G8621" s="508"/>
      <c r="H8621" s="508"/>
      <c r="I8621" s="508"/>
      <c r="J8621" s="508"/>
      <c r="K8621" s="508"/>
      <c r="L8621" s="508"/>
      <c r="M8621" s="508"/>
      <c r="N8621" s="508"/>
      <c r="O8621" s="508"/>
      <c r="P8621" s="508"/>
      <c r="Q8621" s="508"/>
      <c r="R8621" s="508"/>
      <c r="S8621" s="508"/>
      <c r="T8621" s="508"/>
      <c r="U8621" s="508"/>
      <c r="V8621" s="508"/>
      <c r="W8621" s="508"/>
      <c r="X8621" s="508"/>
      <c r="Y8621" s="508"/>
      <c r="Z8621" s="508"/>
      <c r="AA8621" s="508"/>
      <c r="AB8621" s="508"/>
      <c r="AC8621" s="508"/>
      <c r="AD8621" s="508"/>
      <c r="AE8621" s="508"/>
      <c r="AF8621" s="508"/>
      <c r="AG8621" s="508"/>
      <c r="AH8621" s="508"/>
      <c r="AI8621" s="492"/>
      <c r="AJ8621" s="485"/>
    </row>
    <row r="8622" spans="2:36">
      <c r="B8622" s="136" t="s">
        <v>467</v>
      </c>
      <c r="C8622" s="132" t="s">
        <v>1378</v>
      </c>
      <c r="D8622" s="132" t="s">
        <v>1384</v>
      </c>
      <c r="E8622" s="508"/>
      <c r="F8622" s="508"/>
      <c r="G8622" s="508"/>
      <c r="H8622" s="508"/>
      <c r="I8622" s="508"/>
      <c r="J8622" s="508"/>
      <c r="K8622" s="508"/>
      <c r="L8622" s="508"/>
      <c r="M8622" s="508"/>
      <c r="N8622" s="508"/>
      <c r="O8622" s="508"/>
      <c r="P8622" s="508"/>
      <c r="Q8622" s="508"/>
      <c r="R8622" s="508"/>
      <c r="S8622" s="508"/>
      <c r="T8622" s="508"/>
      <c r="U8622" s="508"/>
      <c r="V8622" s="508"/>
      <c r="W8622" s="508"/>
      <c r="X8622" s="508"/>
      <c r="Y8622" s="508"/>
      <c r="Z8622" s="508"/>
      <c r="AA8622" s="508"/>
      <c r="AB8622" s="508"/>
      <c r="AC8622" s="508"/>
      <c r="AD8622" s="508"/>
      <c r="AE8622" s="508"/>
      <c r="AF8622" s="508"/>
      <c r="AG8622" s="508"/>
      <c r="AH8622" s="508"/>
      <c r="AI8622" s="492"/>
      <c r="AJ8622" s="485"/>
    </row>
    <row r="8623" spans="2:36">
      <c r="B8623" s="136" t="s">
        <v>468</v>
      </c>
      <c r="C8623" s="132" t="s">
        <v>1378</v>
      </c>
      <c r="D8623" s="132" t="s">
        <v>1384</v>
      </c>
      <c r="E8623" s="508"/>
      <c r="F8623" s="508"/>
      <c r="G8623" s="508"/>
      <c r="H8623" s="508"/>
      <c r="I8623" s="508"/>
      <c r="J8623" s="508"/>
      <c r="K8623" s="508"/>
      <c r="L8623" s="508"/>
      <c r="M8623" s="508"/>
      <c r="N8623" s="508"/>
      <c r="O8623" s="508"/>
      <c r="P8623" s="508"/>
      <c r="Q8623" s="508"/>
      <c r="R8623" s="508"/>
      <c r="S8623" s="508"/>
      <c r="T8623" s="508"/>
      <c r="U8623" s="508"/>
      <c r="V8623" s="508"/>
      <c r="W8623" s="508"/>
      <c r="X8623" s="508"/>
      <c r="Y8623" s="508"/>
      <c r="Z8623" s="508"/>
      <c r="AA8623" s="508"/>
      <c r="AB8623" s="508"/>
      <c r="AC8623" s="508"/>
      <c r="AD8623" s="508"/>
      <c r="AE8623" s="508"/>
      <c r="AF8623" s="508"/>
      <c r="AG8623" s="508"/>
      <c r="AH8623" s="508"/>
      <c r="AI8623" s="492"/>
      <c r="AJ8623" s="485"/>
    </row>
    <row r="8624" spans="2:36">
      <c r="B8624" s="136" t="s">
        <v>469</v>
      </c>
      <c r="C8624" s="132" t="s">
        <v>1378</v>
      </c>
      <c r="D8624" s="132" t="s">
        <v>1384</v>
      </c>
      <c r="E8624" s="508"/>
      <c r="F8624" s="508"/>
      <c r="G8624" s="508"/>
      <c r="H8624" s="508"/>
      <c r="I8624" s="508"/>
      <c r="J8624" s="508"/>
      <c r="K8624" s="508"/>
      <c r="L8624" s="508"/>
      <c r="M8624" s="508"/>
      <c r="N8624" s="508"/>
      <c r="O8624" s="508"/>
      <c r="P8624" s="508"/>
      <c r="Q8624" s="508"/>
      <c r="R8624" s="508"/>
      <c r="S8624" s="508"/>
      <c r="T8624" s="508"/>
      <c r="U8624" s="508"/>
      <c r="V8624" s="508"/>
      <c r="W8624" s="508"/>
      <c r="X8624" s="508"/>
      <c r="Y8624" s="508"/>
      <c r="Z8624" s="508"/>
      <c r="AA8624" s="508"/>
      <c r="AB8624" s="508"/>
      <c r="AC8624" s="508"/>
      <c r="AD8624" s="508"/>
      <c r="AE8624" s="508"/>
      <c r="AF8624" s="508"/>
      <c r="AG8624" s="508"/>
      <c r="AH8624" s="508"/>
      <c r="AI8624" s="492"/>
      <c r="AJ8624" s="485"/>
    </row>
    <row r="8625" spans="2:36">
      <c r="B8625" s="136" t="s">
        <v>470</v>
      </c>
      <c r="C8625" s="132" t="s">
        <v>1378</v>
      </c>
      <c r="D8625" s="132" t="s">
        <v>1384</v>
      </c>
      <c r="E8625" s="508"/>
      <c r="F8625" s="508"/>
      <c r="G8625" s="508"/>
      <c r="H8625" s="508"/>
      <c r="I8625" s="508"/>
      <c r="J8625" s="508"/>
      <c r="K8625" s="508"/>
      <c r="L8625" s="508"/>
      <c r="M8625" s="508"/>
      <c r="N8625" s="508"/>
      <c r="O8625" s="508"/>
      <c r="P8625" s="508"/>
      <c r="Q8625" s="508"/>
      <c r="R8625" s="508"/>
      <c r="S8625" s="508"/>
      <c r="T8625" s="508"/>
      <c r="U8625" s="508"/>
      <c r="V8625" s="508"/>
      <c r="W8625" s="508"/>
      <c r="X8625" s="508"/>
      <c r="Y8625" s="508"/>
      <c r="Z8625" s="508"/>
      <c r="AA8625" s="508"/>
      <c r="AB8625" s="508"/>
      <c r="AC8625" s="508"/>
      <c r="AD8625" s="508"/>
      <c r="AE8625" s="508"/>
      <c r="AF8625" s="508"/>
      <c r="AG8625" s="508"/>
      <c r="AH8625" s="508"/>
      <c r="AI8625" s="492"/>
      <c r="AJ8625" s="485"/>
    </row>
    <row r="8626" spans="2:36">
      <c r="B8626" s="136" t="s">
        <v>471</v>
      </c>
      <c r="C8626" s="132" t="s">
        <v>1378</v>
      </c>
      <c r="D8626" s="132" t="s">
        <v>1384</v>
      </c>
      <c r="E8626" s="508"/>
      <c r="F8626" s="508"/>
      <c r="G8626" s="508"/>
      <c r="H8626" s="508"/>
      <c r="I8626" s="508"/>
      <c r="J8626" s="508"/>
      <c r="K8626" s="508"/>
      <c r="L8626" s="508"/>
      <c r="M8626" s="508"/>
      <c r="N8626" s="508"/>
      <c r="O8626" s="508"/>
      <c r="P8626" s="508"/>
      <c r="Q8626" s="508"/>
      <c r="R8626" s="508"/>
      <c r="S8626" s="508"/>
      <c r="T8626" s="508"/>
      <c r="U8626" s="508"/>
      <c r="V8626" s="508"/>
      <c r="W8626" s="508"/>
      <c r="X8626" s="508"/>
      <c r="Y8626" s="508"/>
      <c r="Z8626" s="508"/>
      <c r="AA8626" s="508"/>
      <c r="AB8626" s="508"/>
      <c r="AC8626" s="508"/>
      <c r="AD8626" s="508"/>
      <c r="AE8626" s="508"/>
      <c r="AF8626" s="508"/>
      <c r="AG8626" s="508"/>
      <c r="AH8626" s="508"/>
      <c r="AI8626" s="492"/>
      <c r="AJ8626" s="485"/>
    </row>
    <row r="8627" spans="2:36">
      <c r="B8627" s="136" t="s">
        <v>472</v>
      </c>
      <c r="C8627" s="132" t="s">
        <v>1378</v>
      </c>
      <c r="D8627" s="132" t="s">
        <v>1384</v>
      </c>
      <c r="E8627" s="508"/>
      <c r="F8627" s="508"/>
      <c r="G8627" s="508"/>
      <c r="H8627" s="508"/>
      <c r="I8627" s="508"/>
      <c r="J8627" s="508"/>
      <c r="K8627" s="508"/>
      <c r="L8627" s="508"/>
      <c r="M8627" s="508"/>
      <c r="N8627" s="508"/>
      <c r="O8627" s="508"/>
      <c r="P8627" s="508"/>
      <c r="Q8627" s="508"/>
      <c r="R8627" s="508"/>
      <c r="S8627" s="508"/>
      <c r="T8627" s="508"/>
      <c r="U8627" s="508"/>
      <c r="V8627" s="508"/>
      <c r="W8627" s="508"/>
      <c r="X8627" s="508"/>
      <c r="Y8627" s="508"/>
      <c r="Z8627" s="508"/>
      <c r="AA8627" s="508"/>
      <c r="AB8627" s="508"/>
      <c r="AC8627" s="508"/>
      <c r="AD8627" s="508"/>
      <c r="AE8627" s="508"/>
      <c r="AF8627" s="508"/>
      <c r="AG8627" s="508"/>
      <c r="AH8627" s="508"/>
      <c r="AI8627" s="492"/>
      <c r="AJ8627" s="485"/>
    </row>
    <row r="8628" spans="2:36">
      <c r="B8628" s="136" t="s">
        <v>473</v>
      </c>
      <c r="C8628" s="132" t="s">
        <v>1378</v>
      </c>
      <c r="D8628" s="132" t="s">
        <v>1384</v>
      </c>
      <c r="E8628" s="508"/>
      <c r="F8628" s="508"/>
      <c r="G8628" s="508"/>
      <c r="H8628" s="508"/>
      <c r="I8628" s="508"/>
      <c r="J8628" s="508"/>
      <c r="K8628" s="508"/>
      <c r="L8628" s="508"/>
      <c r="M8628" s="508"/>
      <c r="N8628" s="508"/>
      <c r="O8628" s="508"/>
      <c r="P8628" s="508"/>
      <c r="Q8628" s="508"/>
      <c r="R8628" s="508"/>
      <c r="S8628" s="508"/>
      <c r="T8628" s="508"/>
      <c r="U8628" s="508"/>
      <c r="V8628" s="508"/>
      <c r="W8628" s="508"/>
      <c r="X8628" s="508"/>
      <c r="Y8628" s="508"/>
      <c r="Z8628" s="508"/>
      <c r="AA8628" s="508"/>
      <c r="AB8628" s="508"/>
      <c r="AC8628" s="508"/>
      <c r="AD8628" s="508"/>
      <c r="AE8628" s="508"/>
      <c r="AF8628" s="508"/>
      <c r="AG8628" s="508"/>
      <c r="AH8628" s="508"/>
      <c r="AI8628" s="492"/>
      <c r="AJ8628" s="485"/>
    </row>
    <row r="8629" spans="2:36">
      <c r="B8629" s="136" t="s">
        <v>474</v>
      </c>
      <c r="C8629" s="132" t="s">
        <v>1378</v>
      </c>
      <c r="D8629" s="132" t="s">
        <v>1384</v>
      </c>
      <c r="E8629" s="508"/>
      <c r="F8629" s="508"/>
      <c r="G8629" s="508"/>
      <c r="H8629" s="508"/>
      <c r="I8629" s="508"/>
      <c r="J8629" s="508"/>
      <c r="K8629" s="508"/>
      <c r="L8629" s="508"/>
      <c r="M8629" s="508"/>
      <c r="N8629" s="508"/>
      <c r="O8629" s="508"/>
      <c r="P8629" s="508"/>
      <c r="Q8629" s="508"/>
      <c r="R8629" s="508"/>
      <c r="S8629" s="508"/>
      <c r="T8629" s="508"/>
      <c r="U8629" s="508"/>
      <c r="V8629" s="508"/>
      <c r="W8629" s="508"/>
      <c r="X8629" s="508"/>
      <c r="Y8629" s="508"/>
      <c r="Z8629" s="508"/>
      <c r="AA8629" s="508"/>
      <c r="AB8629" s="508"/>
      <c r="AC8629" s="508"/>
      <c r="AD8629" s="508"/>
      <c r="AE8629" s="508"/>
      <c r="AF8629" s="508"/>
      <c r="AG8629" s="508"/>
      <c r="AH8629" s="508"/>
      <c r="AI8629" s="492"/>
      <c r="AJ8629" s="485"/>
    </row>
    <row r="8630" spans="2:36">
      <c r="B8630" s="136" t="s">
        <v>475</v>
      </c>
      <c r="C8630" s="132" t="s">
        <v>1378</v>
      </c>
      <c r="D8630" s="132" t="s">
        <v>1384</v>
      </c>
      <c r="E8630" s="508"/>
      <c r="F8630" s="508"/>
      <c r="G8630" s="508"/>
      <c r="H8630" s="508"/>
      <c r="I8630" s="508"/>
      <c r="J8630" s="508"/>
      <c r="K8630" s="508"/>
      <c r="L8630" s="508"/>
      <c r="M8630" s="508"/>
      <c r="N8630" s="508"/>
      <c r="O8630" s="508"/>
      <c r="P8630" s="508"/>
      <c r="Q8630" s="508"/>
      <c r="R8630" s="508"/>
      <c r="S8630" s="508"/>
      <c r="T8630" s="508"/>
      <c r="U8630" s="508"/>
      <c r="V8630" s="508"/>
      <c r="W8630" s="508"/>
      <c r="X8630" s="508"/>
      <c r="Y8630" s="508"/>
      <c r="Z8630" s="508"/>
      <c r="AA8630" s="508"/>
      <c r="AB8630" s="508"/>
      <c r="AC8630" s="508"/>
      <c r="AD8630" s="508"/>
      <c r="AE8630" s="508"/>
      <c r="AF8630" s="508"/>
      <c r="AG8630" s="508"/>
      <c r="AH8630" s="508"/>
      <c r="AI8630" s="492"/>
      <c r="AJ8630" s="485"/>
    </row>
    <row r="8631" spans="2:36">
      <c r="B8631" s="136" t="s">
        <v>476</v>
      </c>
      <c r="C8631" s="132" t="s">
        <v>1378</v>
      </c>
      <c r="D8631" s="132" t="s">
        <v>1384</v>
      </c>
      <c r="E8631" s="508"/>
      <c r="F8631" s="508"/>
      <c r="G8631" s="508"/>
      <c r="H8631" s="508"/>
      <c r="I8631" s="508"/>
      <c r="J8631" s="508"/>
      <c r="K8631" s="508"/>
      <c r="L8631" s="508"/>
      <c r="M8631" s="508"/>
      <c r="N8631" s="508"/>
      <c r="O8631" s="508"/>
      <c r="P8631" s="508"/>
      <c r="Q8631" s="508"/>
      <c r="R8631" s="508"/>
      <c r="S8631" s="508"/>
      <c r="T8631" s="508"/>
      <c r="U8631" s="508"/>
      <c r="V8631" s="508"/>
      <c r="W8631" s="508"/>
      <c r="X8631" s="508"/>
      <c r="Y8631" s="508"/>
      <c r="Z8631" s="508"/>
      <c r="AA8631" s="508"/>
      <c r="AB8631" s="508"/>
      <c r="AC8631" s="508"/>
      <c r="AD8631" s="508"/>
      <c r="AE8631" s="508"/>
      <c r="AF8631" s="508"/>
      <c r="AG8631" s="508"/>
      <c r="AH8631" s="508"/>
      <c r="AI8631" s="492"/>
      <c r="AJ8631" s="485"/>
    </row>
    <row r="8632" spans="2:36">
      <c r="B8632" s="136" t="s">
        <v>478</v>
      </c>
      <c r="C8632" s="132" t="s">
        <v>1378</v>
      </c>
      <c r="D8632" s="132" t="s">
        <v>1384</v>
      </c>
      <c r="E8632" s="508"/>
      <c r="F8632" s="508"/>
      <c r="G8632" s="508"/>
      <c r="H8632" s="508"/>
      <c r="I8632" s="508"/>
      <c r="J8632" s="508"/>
      <c r="K8632" s="508"/>
      <c r="L8632" s="508"/>
      <c r="M8632" s="508"/>
      <c r="N8632" s="508"/>
      <c r="O8632" s="508"/>
      <c r="P8632" s="508"/>
      <c r="Q8632" s="508"/>
      <c r="R8632" s="508"/>
      <c r="S8632" s="508"/>
      <c r="T8632" s="508"/>
      <c r="U8632" s="508"/>
      <c r="V8632" s="508"/>
      <c r="W8632" s="508"/>
      <c r="X8632" s="508"/>
      <c r="Y8632" s="508"/>
      <c r="Z8632" s="508"/>
      <c r="AA8632" s="508"/>
      <c r="AB8632" s="508"/>
      <c r="AC8632" s="508"/>
      <c r="AD8632" s="508"/>
      <c r="AE8632" s="508"/>
      <c r="AF8632" s="508"/>
      <c r="AG8632" s="508"/>
      <c r="AH8632" s="508"/>
      <c r="AI8632" s="492"/>
      <c r="AJ8632" s="485"/>
    </row>
    <row r="8633" spans="2:36">
      <c r="B8633" s="136" t="s">
        <v>479</v>
      </c>
      <c r="C8633" s="132" t="s">
        <v>1378</v>
      </c>
      <c r="D8633" s="132" t="s">
        <v>1384</v>
      </c>
      <c r="E8633" s="508"/>
      <c r="F8633" s="508"/>
      <c r="G8633" s="508"/>
      <c r="H8633" s="508"/>
      <c r="I8633" s="508"/>
      <c r="J8633" s="508"/>
      <c r="K8633" s="508"/>
      <c r="L8633" s="508"/>
      <c r="M8633" s="508"/>
      <c r="N8633" s="508"/>
      <c r="O8633" s="508"/>
      <c r="P8633" s="508"/>
      <c r="Q8633" s="508"/>
      <c r="R8633" s="508"/>
      <c r="S8633" s="508"/>
      <c r="T8633" s="508"/>
      <c r="U8633" s="508"/>
      <c r="V8633" s="508"/>
      <c r="W8633" s="508"/>
      <c r="X8633" s="508"/>
      <c r="Y8633" s="508"/>
      <c r="Z8633" s="508"/>
      <c r="AA8633" s="508"/>
      <c r="AB8633" s="508"/>
      <c r="AC8633" s="508"/>
      <c r="AD8633" s="508"/>
      <c r="AE8633" s="508"/>
      <c r="AF8633" s="508"/>
      <c r="AG8633" s="508"/>
      <c r="AH8633" s="508"/>
      <c r="AI8633" s="492"/>
      <c r="AJ8633" s="485"/>
    </row>
    <row r="8634" spans="2:36">
      <c r="B8634" s="136" t="s">
        <v>480</v>
      </c>
      <c r="C8634" s="132" t="s">
        <v>1378</v>
      </c>
      <c r="D8634" s="132" t="s">
        <v>1384</v>
      </c>
      <c r="E8634" s="508"/>
      <c r="F8634" s="508"/>
      <c r="G8634" s="508"/>
      <c r="H8634" s="508"/>
      <c r="I8634" s="508"/>
      <c r="J8634" s="508"/>
      <c r="K8634" s="508"/>
      <c r="L8634" s="508"/>
      <c r="M8634" s="508"/>
      <c r="N8634" s="508"/>
      <c r="O8634" s="508"/>
      <c r="P8634" s="508"/>
      <c r="Q8634" s="508"/>
      <c r="R8634" s="508"/>
      <c r="S8634" s="508"/>
      <c r="T8634" s="508"/>
      <c r="U8634" s="508"/>
      <c r="V8634" s="508"/>
      <c r="W8634" s="508"/>
      <c r="X8634" s="508"/>
      <c r="Y8634" s="508"/>
      <c r="Z8634" s="508"/>
      <c r="AA8634" s="508"/>
      <c r="AB8634" s="508"/>
      <c r="AC8634" s="508"/>
      <c r="AD8634" s="508"/>
      <c r="AE8634" s="508"/>
      <c r="AF8634" s="508"/>
      <c r="AG8634" s="508"/>
      <c r="AH8634" s="508"/>
      <c r="AI8634" s="492"/>
      <c r="AJ8634" s="485"/>
    </row>
    <row r="8635" spans="2:36">
      <c r="B8635" s="136" t="s">
        <v>481</v>
      </c>
      <c r="C8635" s="132" t="s">
        <v>1378</v>
      </c>
      <c r="D8635" s="132" t="s">
        <v>1384</v>
      </c>
      <c r="E8635" s="508"/>
      <c r="F8635" s="508"/>
      <c r="G8635" s="508"/>
      <c r="H8635" s="508"/>
      <c r="I8635" s="508"/>
      <c r="J8635" s="508"/>
      <c r="K8635" s="508"/>
      <c r="L8635" s="508"/>
      <c r="M8635" s="508"/>
      <c r="N8635" s="508"/>
      <c r="O8635" s="508"/>
      <c r="P8635" s="508"/>
      <c r="Q8635" s="508"/>
      <c r="R8635" s="508"/>
      <c r="S8635" s="508"/>
      <c r="T8635" s="508"/>
      <c r="U8635" s="508"/>
      <c r="V8635" s="508"/>
      <c r="W8635" s="508"/>
      <c r="X8635" s="508"/>
      <c r="Y8635" s="508"/>
      <c r="Z8635" s="508"/>
      <c r="AA8635" s="508"/>
      <c r="AB8635" s="508"/>
      <c r="AC8635" s="508"/>
      <c r="AD8635" s="508"/>
      <c r="AE8635" s="508"/>
      <c r="AF8635" s="508"/>
      <c r="AG8635" s="508"/>
      <c r="AH8635" s="508"/>
      <c r="AI8635" s="492"/>
      <c r="AJ8635" s="485"/>
    </row>
    <row r="8636" spans="2:36">
      <c r="B8636" s="136" t="s">
        <v>482</v>
      </c>
      <c r="C8636" s="132" t="s">
        <v>1378</v>
      </c>
      <c r="D8636" s="132" t="s">
        <v>1384</v>
      </c>
      <c r="E8636" s="508"/>
      <c r="F8636" s="508"/>
      <c r="G8636" s="508"/>
      <c r="H8636" s="508"/>
      <c r="I8636" s="508"/>
      <c r="J8636" s="508"/>
      <c r="K8636" s="508"/>
      <c r="L8636" s="508"/>
      <c r="M8636" s="508"/>
      <c r="N8636" s="508"/>
      <c r="O8636" s="508"/>
      <c r="P8636" s="508"/>
      <c r="Q8636" s="508"/>
      <c r="R8636" s="508"/>
      <c r="S8636" s="508"/>
      <c r="T8636" s="508"/>
      <c r="U8636" s="508"/>
      <c r="V8636" s="508"/>
      <c r="W8636" s="508"/>
      <c r="X8636" s="508"/>
      <c r="Y8636" s="508"/>
      <c r="Z8636" s="508"/>
      <c r="AA8636" s="508"/>
      <c r="AB8636" s="508"/>
      <c r="AC8636" s="508"/>
      <c r="AD8636" s="508"/>
      <c r="AE8636" s="508"/>
      <c r="AF8636" s="508"/>
      <c r="AG8636" s="508"/>
      <c r="AH8636" s="508"/>
      <c r="AI8636" s="492"/>
      <c r="AJ8636" s="485"/>
    </row>
    <row r="8637" spans="2:36">
      <c r="B8637" s="136" t="s">
        <v>483</v>
      </c>
      <c r="C8637" s="132" t="s">
        <v>1378</v>
      </c>
      <c r="D8637" s="132" t="s">
        <v>1384</v>
      </c>
      <c r="E8637" s="508"/>
      <c r="F8637" s="508"/>
      <c r="G8637" s="508"/>
      <c r="H8637" s="508"/>
      <c r="I8637" s="508"/>
      <c r="J8637" s="508"/>
      <c r="K8637" s="508"/>
      <c r="L8637" s="508"/>
      <c r="M8637" s="508"/>
      <c r="N8637" s="508"/>
      <c r="O8637" s="508"/>
      <c r="P8637" s="508"/>
      <c r="Q8637" s="508"/>
      <c r="R8637" s="508"/>
      <c r="S8637" s="508"/>
      <c r="T8637" s="508"/>
      <c r="U8637" s="508"/>
      <c r="V8637" s="508"/>
      <c r="W8637" s="508"/>
      <c r="X8637" s="508"/>
      <c r="Y8637" s="508"/>
      <c r="Z8637" s="508"/>
      <c r="AA8637" s="508"/>
      <c r="AB8637" s="508"/>
      <c r="AC8637" s="508"/>
      <c r="AD8637" s="508"/>
      <c r="AE8637" s="508"/>
      <c r="AF8637" s="508"/>
      <c r="AG8637" s="508"/>
      <c r="AH8637" s="508"/>
      <c r="AI8637" s="492"/>
      <c r="AJ8637" s="485"/>
    </row>
    <row r="8638" spans="2:36">
      <c r="B8638" s="136" t="s">
        <v>484</v>
      </c>
      <c r="C8638" s="132" t="s">
        <v>1378</v>
      </c>
      <c r="D8638" s="132" t="s">
        <v>1384</v>
      </c>
      <c r="E8638" s="508"/>
      <c r="F8638" s="508"/>
      <c r="G8638" s="508"/>
      <c r="H8638" s="508"/>
      <c r="I8638" s="508"/>
      <c r="J8638" s="508"/>
      <c r="K8638" s="508"/>
      <c r="L8638" s="508"/>
      <c r="M8638" s="508"/>
      <c r="N8638" s="508"/>
      <c r="O8638" s="508"/>
      <c r="P8638" s="508"/>
      <c r="Q8638" s="508"/>
      <c r="R8638" s="508"/>
      <c r="S8638" s="508"/>
      <c r="T8638" s="508"/>
      <c r="U8638" s="508"/>
      <c r="V8638" s="508"/>
      <c r="W8638" s="508"/>
      <c r="X8638" s="508"/>
      <c r="Y8638" s="508"/>
      <c r="Z8638" s="508"/>
      <c r="AA8638" s="508"/>
      <c r="AB8638" s="508"/>
      <c r="AC8638" s="508"/>
      <c r="AD8638" s="508"/>
      <c r="AE8638" s="508"/>
      <c r="AF8638" s="508"/>
      <c r="AG8638" s="508"/>
      <c r="AH8638" s="508"/>
      <c r="AI8638" s="492"/>
      <c r="AJ8638" s="485"/>
    </row>
    <row r="8639" spans="2:36">
      <c r="B8639" s="136" t="s">
        <v>486</v>
      </c>
      <c r="C8639" s="132" t="s">
        <v>1378</v>
      </c>
      <c r="D8639" s="132" t="s">
        <v>1384</v>
      </c>
      <c r="E8639" s="508"/>
      <c r="F8639" s="508"/>
      <c r="G8639" s="508"/>
      <c r="H8639" s="508"/>
      <c r="I8639" s="508"/>
      <c r="J8639" s="508"/>
      <c r="K8639" s="508"/>
      <c r="L8639" s="508"/>
      <c r="M8639" s="508"/>
      <c r="N8639" s="508"/>
      <c r="O8639" s="508"/>
      <c r="P8639" s="508"/>
      <c r="Q8639" s="508"/>
      <c r="R8639" s="508"/>
      <c r="S8639" s="508"/>
      <c r="T8639" s="508"/>
      <c r="U8639" s="508"/>
      <c r="V8639" s="508"/>
      <c r="W8639" s="508"/>
      <c r="X8639" s="508"/>
      <c r="Y8639" s="508"/>
      <c r="Z8639" s="508"/>
      <c r="AA8639" s="508"/>
      <c r="AB8639" s="508"/>
      <c r="AC8639" s="508"/>
      <c r="AD8639" s="508"/>
      <c r="AE8639" s="508"/>
      <c r="AF8639" s="508"/>
      <c r="AG8639" s="508"/>
      <c r="AH8639" s="508"/>
      <c r="AI8639" s="492"/>
      <c r="AJ8639" s="485"/>
    </row>
    <row r="8640" spans="2:36">
      <c r="B8640" s="136" t="s">
        <v>487</v>
      </c>
      <c r="C8640" s="132" t="s">
        <v>1378</v>
      </c>
      <c r="D8640" s="132" t="s">
        <v>1384</v>
      </c>
      <c r="E8640" s="508"/>
      <c r="F8640" s="508"/>
      <c r="G8640" s="508"/>
      <c r="H8640" s="508"/>
      <c r="I8640" s="508"/>
      <c r="J8640" s="508"/>
      <c r="K8640" s="508"/>
      <c r="L8640" s="508"/>
      <c r="M8640" s="508"/>
      <c r="N8640" s="508"/>
      <c r="O8640" s="508"/>
      <c r="P8640" s="508"/>
      <c r="Q8640" s="508"/>
      <c r="R8640" s="508"/>
      <c r="S8640" s="508"/>
      <c r="T8640" s="508"/>
      <c r="U8640" s="508"/>
      <c r="V8640" s="508"/>
      <c r="W8640" s="508"/>
      <c r="X8640" s="508"/>
      <c r="Y8640" s="508"/>
      <c r="Z8640" s="508"/>
      <c r="AA8640" s="508"/>
      <c r="AB8640" s="508"/>
      <c r="AC8640" s="508"/>
      <c r="AD8640" s="508"/>
      <c r="AE8640" s="508"/>
      <c r="AF8640" s="508"/>
      <c r="AG8640" s="508"/>
      <c r="AH8640" s="508"/>
      <c r="AI8640" s="492"/>
      <c r="AJ8640" s="485"/>
    </row>
    <row r="8641" spans="2:36">
      <c r="B8641" s="136" t="s">
        <v>488</v>
      </c>
      <c r="C8641" s="132" t="s">
        <v>1378</v>
      </c>
      <c r="D8641" s="132" t="s">
        <v>1384</v>
      </c>
      <c r="E8641" s="508"/>
      <c r="F8641" s="508"/>
      <c r="G8641" s="508"/>
      <c r="H8641" s="508"/>
      <c r="I8641" s="508"/>
      <c r="J8641" s="508"/>
      <c r="K8641" s="508"/>
      <c r="L8641" s="508"/>
      <c r="M8641" s="508"/>
      <c r="N8641" s="508"/>
      <c r="O8641" s="508"/>
      <c r="P8641" s="508"/>
      <c r="Q8641" s="508"/>
      <c r="R8641" s="508"/>
      <c r="S8641" s="508"/>
      <c r="T8641" s="508"/>
      <c r="U8641" s="508"/>
      <c r="V8641" s="508"/>
      <c r="W8641" s="508"/>
      <c r="X8641" s="508"/>
      <c r="Y8641" s="508"/>
      <c r="Z8641" s="508"/>
      <c r="AA8641" s="508"/>
      <c r="AB8641" s="508"/>
      <c r="AC8641" s="508"/>
      <c r="AD8641" s="508"/>
      <c r="AE8641" s="508"/>
      <c r="AF8641" s="508"/>
      <c r="AG8641" s="508"/>
      <c r="AH8641" s="508"/>
      <c r="AI8641" s="492"/>
      <c r="AJ8641" s="485"/>
    </row>
    <row r="8642" spans="2:36">
      <c r="B8642" s="136" t="s">
        <v>489</v>
      </c>
      <c r="C8642" s="132" t="s">
        <v>1378</v>
      </c>
      <c r="D8642" s="132" t="s">
        <v>1384</v>
      </c>
      <c r="E8642" s="508"/>
      <c r="F8642" s="508"/>
      <c r="G8642" s="508"/>
      <c r="H8642" s="508"/>
      <c r="I8642" s="508"/>
      <c r="J8642" s="508"/>
      <c r="K8642" s="508"/>
      <c r="L8642" s="508"/>
      <c r="M8642" s="508"/>
      <c r="N8642" s="508"/>
      <c r="O8642" s="508"/>
      <c r="P8642" s="508"/>
      <c r="Q8642" s="508"/>
      <c r="R8642" s="508"/>
      <c r="S8642" s="508"/>
      <c r="T8642" s="508"/>
      <c r="U8642" s="508"/>
      <c r="V8642" s="508"/>
      <c r="W8642" s="508"/>
      <c r="X8642" s="508"/>
      <c r="Y8642" s="508"/>
      <c r="Z8642" s="508"/>
      <c r="AA8642" s="508"/>
      <c r="AB8642" s="508"/>
      <c r="AC8642" s="508"/>
      <c r="AD8642" s="508"/>
      <c r="AE8642" s="508"/>
      <c r="AF8642" s="508"/>
      <c r="AG8642" s="508"/>
      <c r="AH8642" s="508"/>
      <c r="AI8642" s="492"/>
      <c r="AJ8642" s="485"/>
    </row>
    <row r="8643" spans="2:36">
      <c r="B8643" s="136" t="s">
        <v>490</v>
      </c>
      <c r="C8643" s="132" t="s">
        <v>1378</v>
      </c>
      <c r="D8643" s="132" t="s">
        <v>1384</v>
      </c>
      <c r="E8643" s="508"/>
      <c r="F8643" s="508"/>
      <c r="G8643" s="508"/>
      <c r="H8643" s="508"/>
      <c r="I8643" s="508"/>
      <c r="J8643" s="508"/>
      <c r="K8643" s="508"/>
      <c r="L8643" s="508"/>
      <c r="M8643" s="508"/>
      <c r="N8643" s="508"/>
      <c r="O8643" s="508"/>
      <c r="P8643" s="508"/>
      <c r="Q8643" s="508"/>
      <c r="R8643" s="508"/>
      <c r="S8643" s="508"/>
      <c r="T8643" s="508"/>
      <c r="U8643" s="508"/>
      <c r="V8643" s="508"/>
      <c r="W8643" s="508"/>
      <c r="X8643" s="508"/>
      <c r="Y8643" s="508"/>
      <c r="Z8643" s="508"/>
      <c r="AA8643" s="508"/>
      <c r="AB8643" s="508"/>
      <c r="AC8643" s="508"/>
      <c r="AD8643" s="508"/>
      <c r="AE8643" s="508"/>
      <c r="AF8643" s="508"/>
      <c r="AG8643" s="508"/>
      <c r="AH8643" s="508"/>
      <c r="AI8643" s="492"/>
      <c r="AJ8643" s="485"/>
    </row>
    <row r="8644" spans="2:36">
      <c r="B8644" s="136" t="s">
        <v>435</v>
      </c>
      <c r="C8644" s="132" t="s">
        <v>1374</v>
      </c>
      <c r="D8644" s="132" t="s">
        <v>1384</v>
      </c>
      <c r="E8644" s="508">
        <v>4.1269999999999998</v>
      </c>
      <c r="F8644" s="508">
        <v>3.839</v>
      </c>
      <c r="G8644" s="508">
        <v>3.59</v>
      </c>
      <c r="H8644" s="508">
        <v>3.391</v>
      </c>
      <c r="I8644" s="508">
        <v>3.2639999999999998</v>
      </c>
      <c r="J8644" s="508">
        <v>3.0830000000000002</v>
      </c>
      <c r="K8644" s="508">
        <v>2.948</v>
      </c>
      <c r="L8644" s="508">
        <v>2.8330000000000002</v>
      </c>
      <c r="M8644" s="508">
        <v>2.7679999999999998</v>
      </c>
      <c r="N8644" s="508">
        <v>2.6429999999999998</v>
      </c>
      <c r="O8644" s="508">
        <v>2.5680000000000001</v>
      </c>
      <c r="P8644" s="508">
        <v>1.1970000000000001</v>
      </c>
      <c r="Q8644" s="508">
        <v>1.151</v>
      </c>
      <c r="R8644" s="508">
        <v>0.95099999999999996</v>
      </c>
      <c r="S8644" s="508">
        <v>0.90600000000000003</v>
      </c>
      <c r="T8644" s="508">
        <v>0.85699999999999998</v>
      </c>
      <c r="U8644" s="508">
        <v>0.68799999999999994</v>
      </c>
      <c r="V8644" s="508">
        <v>0.63600000000000001</v>
      </c>
      <c r="W8644" s="508"/>
      <c r="X8644" s="508">
        <v>0.51200000000000001</v>
      </c>
      <c r="Y8644" s="508"/>
      <c r="Z8644" s="508"/>
      <c r="AA8644" s="508"/>
      <c r="AB8644" s="508"/>
      <c r="AC8644" s="508"/>
      <c r="AD8644" s="508"/>
      <c r="AE8644" s="508"/>
      <c r="AF8644" s="508"/>
      <c r="AG8644" s="508"/>
      <c r="AH8644" s="508"/>
      <c r="AI8644" s="492"/>
      <c r="AJ8644" s="485"/>
    </row>
    <row r="8645" spans="2:36">
      <c r="B8645" s="136" t="s">
        <v>436</v>
      </c>
      <c r="C8645" s="132" t="s">
        <v>1374</v>
      </c>
      <c r="D8645" s="132" t="s">
        <v>1384</v>
      </c>
      <c r="E8645" s="508">
        <v>2.5910000000000002</v>
      </c>
      <c r="F8645" s="508">
        <v>2.4129999999999998</v>
      </c>
      <c r="G8645" s="508">
        <v>2.266</v>
      </c>
      <c r="H8645" s="508">
        <v>2.145</v>
      </c>
      <c r="I8645" s="508">
        <v>2.0470000000000002</v>
      </c>
      <c r="J8645" s="508">
        <v>1.952</v>
      </c>
      <c r="K8645" s="508">
        <v>1.875</v>
      </c>
      <c r="L8645" s="508">
        <v>1.804</v>
      </c>
      <c r="M8645" s="508">
        <v>1.744</v>
      </c>
      <c r="N8645" s="508">
        <v>1.6830000000000001</v>
      </c>
      <c r="O8645" s="508">
        <v>1.6359999999999999</v>
      </c>
      <c r="P8645" s="508">
        <v>0.67300000000000004</v>
      </c>
      <c r="Q8645" s="508">
        <v>0.65200000000000002</v>
      </c>
      <c r="R8645" s="508">
        <v>0.58599999999999997</v>
      </c>
      <c r="S8645" s="508">
        <v>0.56599999999999995</v>
      </c>
      <c r="T8645" s="508">
        <v>0.53</v>
      </c>
      <c r="U8645" s="508">
        <v>0.40799999999999997</v>
      </c>
      <c r="V8645" s="508">
        <v>0.379</v>
      </c>
      <c r="W8645" s="508"/>
      <c r="X8645" s="508">
        <v>0.30299999999999999</v>
      </c>
      <c r="Y8645" s="508"/>
      <c r="Z8645" s="508"/>
      <c r="AA8645" s="508"/>
      <c r="AB8645" s="508"/>
      <c r="AC8645" s="508"/>
      <c r="AD8645" s="508"/>
      <c r="AE8645" s="508"/>
      <c r="AF8645" s="508"/>
      <c r="AG8645" s="508"/>
      <c r="AH8645" s="508"/>
      <c r="AI8645" s="492"/>
      <c r="AJ8645" s="485"/>
    </row>
    <row r="8646" spans="2:36">
      <c r="B8646" s="136" t="s">
        <v>437</v>
      </c>
      <c r="C8646" s="132" t="s">
        <v>1374</v>
      </c>
      <c r="D8646" s="132" t="s">
        <v>1384</v>
      </c>
      <c r="E8646" s="508">
        <v>4.5890000000000004</v>
      </c>
      <c r="F8646" s="508">
        <v>4.2679999999999998</v>
      </c>
      <c r="G8646" s="508">
        <v>3.9820000000000002</v>
      </c>
      <c r="H8646" s="508">
        <v>3.7589999999999999</v>
      </c>
      <c r="I8646" s="508">
        <v>3.645</v>
      </c>
      <c r="J8646" s="508">
        <v>3.42</v>
      </c>
      <c r="K8646" s="508">
        <v>3.2610000000000001</v>
      </c>
      <c r="L8646" s="508">
        <v>3.1349999999999998</v>
      </c>
      <c r="M8646" s="508">
        <v>3.0939999999999999</v>
      </c>
      <c r="N8646" s="508">
        <v>2.9249999999999998</v>
      </c>
      <c r="O8646" s="508">
        <v>2.8460000000000001</v>
      </c>
      <c r="P8646" s="508">
        <v>1.3660000000000001</v>
      </c>
      <c r="Q8646" s="508">
        <v>1.31</v>
      </c>
      <c r="R8646" s="508">
        <v>1.0389999999999999</v>
      </c>
      <c r="S8646" s="508">
        <v>0.98499999999999999</v>
      </c>
      <c r="T8646" s="508">
        <v>0.93799999999999994</v>
      </c>
      <c r="U8646" s="508">
        <v>0.752</v>
      </c>
      <c r="V8646" s="508">
        <v>0.69399999999999995</v>
      </c>
      <c r="W8646" s="508"/>
      <c r="X8646" s="508">
        <v>0.56100000000000005</v>
      </c>
      <c r="Y8646" s="508"/>
      <c r="Z8646" s="508"/>
      <c r="AA8646" s="508"/>
      <c r="AB8646" s="508"/>
      <c r="AC8646" s="508"/>
      <c r="AD8646" s="508"/>
      <c r="AE8646" s="508"/>
      <c r="AF8646" s="508"/>
      <c r="AG8646" s="508"/>
      <c r="AH8646" s="508"/>
      <c r="AI8646" s="492"/>
      <c r="AJ8646" s="485"/>
    </row>
    <row r="8647" spans="2:36">
      <c r="B8647" s="136" t="s">
        <v>438</v>
      </c>
      <c r="C8647" s="132" t="s">
        <v>1374</v>
      </c>
      <c r="D8647" s="132" t="s">
        <v>1384</v>
      </c>
      <c r="E8647" s="508">
        <v>3.7719999999999998</v>
      </c>
      <c r="F8647" s="508">
        <v>3.51</v>
      </c>
      <c r="G8647" s="508">
        <v>3.2850000000000001</v>
      </c>
      <c r="H8647" s="508">
        <v>3.1040000000000001</v>
      </c>
      <c r="I8647" s="508">
        <v>2.984</v>
      </c>
      <c r="J8647" s="508">
        <v>2.823</v>
      </c>
      <c r="K8647" s="508">
        <v>2.7010000000000001</v>
      </c>
      <c r="L8647" s="508">
        <v>2.597</v>
      </c>
      <c r="M8647" s="508">
        <v>2.5350000000000001</v>
      </c>
      <c r="N8647" s="508">
        <v>2.423</v>
      </c>
      <c r="O8647" s="508">
        <v>2.355</v>
      </c>
      <c r="P8647" s="508">
        <v>1.1020000000000001</v>
      </c>
      <c r="Q8647" s="508">
        <v>1.0609999999999999</v>
      </c>
      <c r="R8647" s="508">
        <v>0.88600000000000001</v>
      </c>
      <c r="S8647" s="508">
        <v>0.84599999999999997</v>
      </c>
      <c r="T8647" s="508">
        <v>0.80100000000000005</v>
      </c>
      <c r="U8647" s="508">
        <v>0.64500000000000002</v>
      </c>
      <c r="V8647" s="508">
        <v>0.59599999999999997</v>
      </c>
      <c r="W8647" s="508"/>
      <c r="X8647" s="508">
        <v>0.48099999999999998</v>
      </c>
      <c r="Y8647" s="508"/>
      <c r="Z8647" s="508"/>
      <c r="AA8647" s="508"/>
      <c r="AB8647" s="508"/>
      <c r="AC8647" s="508"/>
      <c r="AD8647" s="508"/>
      <c r="AE8647" s="508"/>
      <c r="AF8647" s="508"/>
      <c r="AG8647" s="508"/>
      <c r="AH8647" s="508"/>
      <c r="AI8647" s="492"/>
      <c r="AJ8647" s="485"/>
    </row>
    <row r="8648" spans="2:36">
      <c r="B8648" s="136" t="s">
        <v>439</v>
      </c>
      <c r="C8648" s="132" t="s">
        <v>1374</v>
      </c>
      <c r="D8648" s="132" t="s">
        <v>1384</v>
      </c>
      <c r="E8648" s="508">
        <v>4.1660000000000004</v>
      </c>
      <c r="F8648" s="508">
        <v>3.8639999999999999</v>
      </c>
      <c r="G8648" s="508">
        <v>3.6070000000000002</v>
      </c>
      <c r="H8648" s="508">
        <v>3.3969999999999998</v>
      </c>
      <c r="I8648" s="508">
        <v>3.2480000000000002</v>
      </c>
      <c r="J8648" s="508">
        <v>3.07</v>
      </c>
      <c r="K8648" s="508">
        <v>2.93</v>
      </c>
      <c r="L8648" s="508">
        <v>2.81</v>
      </c>
      <c r="M8648" s="508">
        <v>2.7290000000000001</v>
      </c>
      <c r="N8648" s="508">
        <v>2.6080000000000001</v>
      </c>
      <c r="O8648" s="508">
        <v>2.5270000000000001</v>
      </c>
      <c r="P8648" s="508">
        <v>1.1180000000000001</v>
      </c>
      <c r="Q8648" s="508">
        <v>1.071</v>
      </c>
      <c r="R8648" s="508">
        <v>0.879</v>
      </c>
      <c r="S8648" s="508">
        <v>0.83299999999999996</v>
      </c>
      <c r="T8648" s="508">
        <v>0.77900000000000003</v>
      </c>
      <c r="U8648" s="508">
        <v>0.61299999999999999</v>
      </c>
      <c r="V8648" s="508">
        <v>0.56499999999999995</v>
      </c>
      <c r="W8648" s="508"/>
      <c r="X8648" s="508">
        <v>0.45100000000000001</v>
      </c>
      <c r="Y8648" s="508"/>
      <c r="Z8648" s="508"/>
      <c r="AA8648" s="508"/>
      <c r="AB8648" s="508"/>
      <c r="AC8648" s="508"/>
      <c r="AD8648" s="508"/>
      <c r="AE8648" s="508"/>
      <c r="AF8648" s="508"/>
      <c r="AG8648" s="508"/>
      <c r="AH8648" s="508"/>
      <c r="AI8648" s="492"/>
      <c r="AJ8648" s="485"/>
    </row>
    <row r="8649" spans="2:36">
      <c r="B8649" s="136" t="s">
        <v>440</v>
      </c>
      <c r="C8649" s="132" t="s">
        <v>1374</v>
      </c>
      <c r="D8649" s="132" t="s">
        <v>1384</v>
      </c>
      <c r="E8649" s="508">
        <v>3.4849999999999999</v>
      </c>
      <c r="F8649" s="508">
        <v>3.242</v>
      </c>
      <c r="G8649" s="508">
        <v>3.0289999999999999</v>
      </c>
      <c r="H8649" s="508">
        <v>2.8610000000000002</v>
      </c>
      <c r="I8649" s="508">
        <v>2.7629999999999999</v>
      </c>
      <c r="J8649" s="508">
        <v>2.6019999999999999</v>
      </c>
      <c r="K8649" s="508">
        <v>2.4870000000000001</v>
      </c>
      <c r="L8649" s="508">
        <v>2.39</v>
      </c>
      <c r="M8649" s="508">
        <v>2.347</v>
      </c>
      <c r="N8649" s="508">
        <v>2.23</v>
      </c>
      <c r="O8649" s="508">
        <v>2.169</v>
      </c>
      <c r="P8649" s="508">
        <v>0.94699999999999995</v>
      </c>
      <c r="Q8649" s="508">
        <v>0.91600000000000004</v>
      </c>
      <c r="R8649" s="508">
        <v>0.78700000000000003</v>
      </c>
      <c r="S8649" s="508">
        <v>0.75700000000000001</v>
      </c>
      <c r="T8649" s="508">
        <v>0.71399999999999997</v>
      </c>
      <c r="U8649" s="508">
        <v>0.55800000000000005</v>
      </c>
      <c r="V8649" s="508">
        <v>0.51600000000000001</v>
      </c>
      <c r="W8649" s="508"/>
      <c r="X8649" s="508">
        <v>0.41299999999999998</v>
      </c>
      <c r="Y8649" s="508"/>
      <c r="Z8649" s="508"/>
      <c r="AA8649" s="508"/>
      <c r="AB8649" s="508"/>
      <c r="AC8649" s="508"/>
      <c r="AD8649" s="508"/>
      <c r="AE8649" s="508"/>
      <c r="AF8649" s="508"/>
      <c r="AG8649" s="508"/>
      <c r="AH8649" s="508"/>
      <c r="AI8649" s="492"/>
      <c r="AJ8649" s="485"/>
    </row>
    <row r="8650" spans="2:36">
      <c r="B8650" s="136" t="s">
        <v>441</v>
      </c>
      <c r="C8650" s="132" t="s">
        <v>1374</v>
      </c>
      <c r="D8650" s="132" t="s">
        <v>1384</v>
      </c>
      <c r="E8650" s="508">
        <v>3.7570000000000001</v>
      </c>
      <c r="F8650" s="508">
        <v>3.4809999999999999</v>
      </c>
      <c r="G8650" s="508">
        <v>3.2509999999999999</v>
      </c>
      <c r="H8650" s="508">
        <v>3.0609999999999999</v>
      </c>
      <c r="I8650" s="508">
        <v>2.91</v>
      </c>
      <c r="J8650" s="508">
        <v>2.7589999999999999</v>
      </c>
      <c r="K8650" s="508">
        <v>2.6360000000000001</v>
      </c>
      <c r="L8650" s="508">
        <v>2.5249999999999999</v>
      </c>
      <c r="M8650" s="508">
        <v>2.4359999999999999</v>
      </c>
      <c r="N8650" s="508">
        <v>2.339</v>
      </c>
      <c r="O8650" s="508">
        <v>2.2639999999999998</v>
      </c>
      <c r="P8650" s="508">
        <v>0.93799999999999994</v>
      </c>
      <c r="Q8650" s="508">
        <v>0.89900000000000002</v>
      </c>
      <c r="R8650" s="508">
        <v>0.754</v>
      </c>
      <c r="S8650" s="508">
        <v>0.71599999999999997</v>
      </c>
      <c r="T8650" s="508">
        <v>0.66400000000000003</v>
      </c>
      <c r="U8650" s="508">
        <v>0.50900000000000001</v>
      </c>
      <c r="V8650" s="508">
        <v>0.47</v>
      </c>
      <c r="W8650" s="508"/>
      <c r="X8650" s="508">
        <v>0.372</v>
      </c>
      <c r="Y8650" s="508"/>
      <c r="Z8650" s="508"/>
      <c r="AA8650" s="508"/>
      <c r="AB8650" s="508"/>
      <c r="AC8650" s="508"/>
      <c r="AD8650" s="508"/>
      <c r="AE8650" s="508"/>
      <c r="AF8650" s="508"/>
      <c r="AG8650" s="508"/>
      <c r="AH8650" s="508"/>
      <c r="AI8650" s="492"/>
      <c r="AJ8650" s="485"/>
    </row>
    <row r="8651" spans="2:36">
      <c r="B8651" s="136" t="s">
        <v>443</v>
      </c>
      <c r="C8651" s="132" t="s">
        <v>1374</v>
      </c>
      <c r="D8651" s="132" t="s">
        <v>1384</v>
      </c>
      <c r="E8651" s="508">
        <v>4.024</v>
      </c>
      <c r="F8651" s="508">
        <v>3.73</v>
      </c>
      <c r="G8651" s="508">
        <v>3.484</v>
      </c>
      <c r="H8651" s="508">
        <v>3.2810000000000001</v>
      </c>
      <c r="I8651" s="508">
        <v>3.1219999999999999</v>
      </c>
      <c r="J8651" s="508">
        <v>2.96</v>
      </c>
      <c r="K8651" s="508">
        <v>2.827</v>
      </c>
      <c r="L8651" s="508">
        <v>2.71</v>
      </c>
      <c r="M8651" s="508">
        <v>2.617</v>
      </c>
      <c r="N8651" s="508">
        <v>2.5110000000000001</v>
      </c>
      <c r="O8651" s="508">
        <v>2.431</v>
      </c>
      <c r="P8651" s="508">
        <v>1.0209999999999999</v>
      </c>
      <c r="Q8651" s="508">
        <v>0.97699999999999998</v>
      </c>
      <c r="R8651" s="508">
        <v>0.80400000000000005</v>
      </c>
      <c r="S8651" s="508">
        <v>0.76</v>
      </c>
      <c r="T8651" s="508">
        <v>0.70599999999999996</v>
      </c>
      <c r="U8651" s="508">
        <v>0.54400000000000004</v>
      </c>
      <c r="V8651" s="508">
        <v>0.502</v>
      </c>
      <c r="W8651" s="508"/>
      <c r="X8651" s="508">
        <v>0.39700000000000002</v>
      </c>
      <c r="Y8651" s="508"/>
      <c r="Z8651" s="508"/>
      <c r="AA8651" s="508"/>
      <c r="AB8651" s="508"/>
      <c r="AC8651" s="508"/>
      <c r="AD8651" s="508"/>
      <c r="AE8651" s="508"/>
      <c r="AF8651" s="508"/>
      <c r="AG8651" s="508"/>
      <c r="AH8651" s="508"/>
      <c r="AI8651" s="492"/>
      <c r="AJ8651" s="485"/>
    </row>
    <row r="8652" spans="2:36">
      <c r="B8652" s="136" t="s">
        <v>445</v>
      </c>
      <c r="C8652" s="132" t="s">
        <v>1374</v>
      </c>
      <c r="D8652" s="132" t="s">
        <v>1384</v>
      </c>
      <c r="E8652" s="508">
        <v>4.5979999999999999</v>
      </c>
      <c r="F8652" s="508">
        <v>4.2619999999999996</v>
      </c>
      <c r="G8652" s="508">
        <v>3.9809999999999999</v>
      </c>
      <c r="H8652" s="508">
        <v>3.7480000000000002</v>
      </c>
      <c r="I8652" s="508">
        <v>3.5680000000000001</v>
      </c>
      <c r="J8652" s="508">
        <v>3.3809999999999998</v>
      </c>
      <c r="K8652" s="508">
        <v>3.2290000000000001</v>
      </c>
      <c r="L8652" s="508">
        <v>3.0950000000000002</v>
      </c>
      <c r="M8652" s="508">
        <v>2.99</v>
      </c>
      <c r="N8652" s="508">
        <v>2.8679999999999999</v>
      </c>
      <c r="O8652" s="508">
        <v>2.7770000000000001</v>
      </c>
      <c r="P8652" s="508">
        <v>1.1599999999999999</v>
      </c>
      <c r="Q8652" s="508">
        <v>1.1100000000000001</v>
      </c>
      <c r="R8652" s="508">
        <v>0.90400000000000003</v>
      </c>
      <c r="S8652" s="508">
        <v>0.85299999999999998</v>
      </c>
      <c r="T8652" s="508">
        <v>0.79100000000000004</v>
      </c>
      <c r="U8652" s="508">
        <v>0.60699999999999998</v>
      </c>
      <c r="V8652" s="508">
        <v>0.56000000000000005</v>
      </c>
      <c r="W8652" s="508"/>
      <c r="X8652" s="508">
        <v>0.442</v>
      </c>
      <c r="Y8652" s="508"/>
      <c r="Z8652" s="508"/>
      <c r="AA8652" s="508"/>
      <c r="AB8652" s="508"/>
      <c r="AC8652" s="508"/>
      <c r="AD8652" s="508"/>
      <c r="AE8652" s="508"/>
      <c r="AF8652" s="508"/>
      <c r="AG8652" s="508"/>
      <c r="AH8652" s="508"/>
      <c r="AI8652" s="492"/>
      <c r="AJ8652" s="485"/>
    </row>
    <row r="8653" spans="2:36">
      <c r="B8653" s="136" t="s">
        <v>446</v>
      </c>
      <c r="C8653" s="132" t="s">
        <v>1374</v>
      </c>
      <c r="D8653" s="132" t="s">
        <v>1384</v>
      </c>
      <c r="E8653" s="508">
        <v>5.08</v>
      </c>
      <c r="F8653" s="508">
        <v>4.7240000000000002</v>
      </c>
      <c r="G8653" s="508">
        <v>4.4180000000000001</v>
      </c>
      <c r="H8653" s="508">
        <v>4.173</v>
      </c>
      <c r="I8653" s="508">
        <v>4.0170000000000003</v>
      </c>
      <c r="J8653" s="508">
        <v>3.794</v>
      </c>
      <c r="K8653" s="508">
        <v>3.6259999999999999</v>
      </c>
      <c r="L8653" s="508">
        <v>3.4860000000000002</v>
      </c>
      <c r="M8653" s="508">
        <v>3.4060000000000001</v>
      </c>
      <c r="N8653" s="508">
        <v>3.2509999999999999</v>
      </c>
      <c r="O8653" s="508">
        <v>3.16</v>
      </c>
      <c r="P8653" s="508">
        <v>1.5209999999999999</v>
      </c>
      <c r="Q8653" s="508">
        <v>1.4590000000000001</v>
      </c>
      <c r="R8653" s="508">
        <v>1.17</v>
      </c>
      <c r="S8653" s="508">
        <v>1.1060000000000001</v>
      </c>
      <c r="T8653" s="508">
        <v>1.05</v>
      </c>
      <c r="U8653" s="508">
        <v>0.85099999999999998</v>
      </c>
      <c r="V8653" s="508">
        <v>0.78600000000000003</v>
      </c>
      <c r="W8653" s="508"/>
      <c r="X8653" s="508">
        <v>0.63400000000000001</v>
      </c>
      <c r="Y8653" s="508"/>
      <c r="Z8653" s="508"/>
      <c r="AA8653" s="508"/>
      <c r="AB8653" s="508"/>
      <c r="AC8653" s="508"/>
      <c r="AD8653" s="508"/>
      <c r="AE8653" s="508"/>
      <c r="AF8653" s="508"/>
      <c r="AG8653" s="508"/>
      <c r="AH8653" s="508"/>
      <c r="AI8653" s="492"/>
      <c r="AJ8653" s="485"/>
    </row>
    <row r="8654" spans="2:36">
      <c r="B8654" s="136" t="s">
        <v>448</v>
      </c>
      <c r="C8654" s="132" t="s">
        <v>1374</v>
      </c>
      <c r="D8654" s="132" t="s">
        <v>1384</v>
      </c>
      <c r="E8654" s="508">
        <v>3.9039999999999999</v>
      </c>
      <c r="F8654" s="508">
        <v>3.629</v>
      </c>
      <c r="G8654" s="508">
        <v>3.3940000000000001</v>
      </c>
      <c r="H8654" s="508">
        <v>3.2040000000000002</v>
      </c>
      <c r="I8654" s="508">
        <v>3.0760000000000001</v>
      </c>
      <c r="J8654" s="508">
        <v>2.9079999999999999</v>
      </c>
      <c r="K8654" s="508">
        <v>2.78</v>
      </c>
      <c r="L8654" s="508">
        <v>2.6709999999999998</v>
      </c>
      <c r="M8654" s="508">
        <v>2.6030000000000002</v>
      </c>
      <c r="N8654" s="508">
        <v>2.488</v>
      </c>
      <c r="O8654" s="508">
        <v>2.4169999999999998</v>
      </c>
      <c r="P8654" s="508">
        <v>1.119</v>
      </c>
      <c r="Q8654" s="508">
        <v>1.0760000000000001</v>
      </c>
      <c r="R8654" s="508">
        <v>0.89</v>
      </c>
      <c r="S8654" s="508">
        <v>0.84699999999999998</v>
      </c>
      <c r="T8654" s="508">
        <v>0.79900000000000004</v>
      </c>
      <c r="U8654" s="508">
        <v>0.64100000000000001</v>
      </c>
      <c r="V8654" s="508">
        <v>0.59199999999999997</v>
      </c>
      <c r="W8654" s="508"/>
      <c r="X8654" s="508">
        <v>0.47599999999999998</v>
      </c>
      <c r="Y8654" s="508"/>
      <c r="Z8654" s="508"/>
      <c r="AA8654" s="508"/>
      <c r="AB8654" s="508"/>
      <c r="AC8654" s="508"/>
      <c r="AD8654" s="508"/>
      <c r="AE8654" s="508"/>
      <c r="AF8654" s="508"/>
      <c r="AG8654" s="508"/>
      <c r="AH8654" s="508"/>
      <c r="AI8654" s="492"/>
      <c r="AJ8654" s="485"/>
    </row>
    <row r="8655" spans="2:36">
      <c r="B8655" s="136" t="s">
        <v>449</v>
      </c>
      <c r="C8655" s="132" t="s">
        <v>1374</v>
      </c>
      <c r="D8655" s="132" t="s">
        <v>1384</v>
      </c>
      <c r="E8655" s="508">
        <v>5.0540000000000003</v>
      </c>
      <c r="F8655" s="508">
        <v>4.6970000000000001</v>
      </c>
      <c r="G8655" s="508">
        <v>4.3929999999999998</v>
      </c>
      <c r="H8655" s="508">
        <v>4.1470000000000002</v>
      </c>
      <c r="I8655" s="508">
        <v>3.9750000000000001</v>
      </c>
      <c r="J8655" s="508">
        <v>3.7629999999999999</v>
      </c>
      <c r="K8655" s="508">
        <v>3.597</v>
      </c>
      <c r="L8655" s="508">
        <v>3.456</v>
      </c>
      <c r="M8655" s="508">
        <v>3.3639999999999999</v>
      </c>
      <c r="N8655" s="508">
        <v>3.2189999999999999</v>
      </c>
      <c r="O8655" s="508">
        <v>3.125</v>
      </c>
      <c r="P8655" s="508">
        <v>1.5</v>
      </c>
      <c r="Q8655" s="508">
        <v>1.4359999999999999</v>
      </c>
      <c r="R8655" s="508">
        <v>1.1479999999999999</v>
      </c>
      <c r="S8655" s="508">
        <v>1.083</v>
      </c>
      <c r="T8655" s="508">
        <v>1.024</v>
      </c>
      <c r="U8655" s="508">
        <v>0.83099999999999996</v>
      </c>
      <c r="V8655" s="508">
        <v>0.76700000000000002</v>
      </c>
      <c r="W8655" s="508"/>
      <c r="X8655" s="508">
        <v>0.61899999999999999</v>
      </c>
      <c r="Y8655" s="508"/>
      <c r="Z8655" s="508"/>
      <c r="AA8655" s="508"/>
      <c r="AB8655" s="508"/>
      <c r="AC8655" s="508"/>
      <c r="AD8655" s="508"/>
      <c r="AE8655" s="508"/>
      <c r="AF8655" s="508"/>
      <c r="AG8655" s="508"/>
      <c r="AH8655" s="508"/>
      <c r="AI8655" s="492"/>
      <c r="AJ8655" s="485"/>
    </row>
    <row r="8656" spans="2:36">
      <c r="B8656" s="136" t="s">
        <v>450</v>
      </c>
      <c r="C8656" s="132" t="s">
        <v>1374</v>
      </c>
      <c r="D8656" s="132" t="s">
        <v>1384</v>
      </c>
      <c r="E8656" s="508">
        <v>3.3250000000000002</v>
      </c>
      <c r="F8656" s="508">
        <v>3.0939999999999999</v>
      </c>
      <c r="G8656" s="508">
        <v>2.895</v>
      </c>
      <c r="H8656" s="508">
        <v>2.7360000000000002</v>
      </c>
      <c r="I8656" s="508">
        <v>2.6360000000000001</v>
      </c>
      <c r="J8656" s="508">
        <v>2.4900000000000002</v>
      </c>
      <c r="K8656" s="508">
        <v>2.3820000000000001</v>
      </c>
      <c r="L8656" s="508">
        <v>2.29</v>
      </c>
      <c r="M8656" s="508">
        <v>2.2410000000000001</v>
      </c>
      <c r="N8656" s="508">
        <v>2.137</v>
      </c>
      <c r="O8656" s="508">
        <v>2.0779999999999998</v>
      </c>
      <c r="P8656" s="508">
        <v>0.91300000000000003</v>
      </c>
      <c r="Q8656" s="508">
        <v>0.88300000000000001</v>
      </c>
      <c r="R8656" s="508">
        <v>0.76300000000000001</v>
      </c>
      <c r="S8656" s="508">
        <v>0.73499999999999999</v>
      </c>
      <c r="T8656" s="508">
        <v>0.69299999999999995</v>
      </c>
      <c r="U8656" s="508">
        <v>0.54500000000000004</v>
      </c>
      <c r="V8656" s="508">
        <v>0.504</v>
      </c>
      <c r="W8656" s="508"/>
      <c r="X8656" s="508">
        <v>0.40400000000000003</v>
      </c>
      <c r="Y8656" s="508"/>
      <c r="Z8656" s="508"/>
      <c r="AA8656" s="508"/>
      <c r="AB8656" s="508"/>
      <c r="AC8656" s="508"/>
      <c r="AD8656" s="508"/>
      <c r="AE8656" s="508"/>
      <c r="AF8656" s="508"/>
      <c r="AG8656" s="508"/>
      <c r="AH8656" s="508"/>
      <c r="AI8656" s="492"/>
      <c r="AJ8656" s="485"/>
    </row>
    <row r="8657" spans="2:36">
      <c r="B8657" s="136" t="s">
        <v>451</v>
      </c>
      <c r="C8657" s="132" t="s">
        <v>1374</v>
      </c>
      <c r="D8657" s="132" t="s">
        <v>1384</v>
      </c>
      <c r="E8657" s="508">
        <v>4.1349999999999998</v>
      </c>
      <c r="F8657" s="508">
        <v>3.8359999999999999</v>
      </c>
      <c r="G8657" s="508">
        <v>3.5859999999999999</v>
      </c>
      <c r="H8657" s="508">
        <v>3.38</v>
      </c>
      <c r="I8657" s="508">
        <v>3.2229999999999999</v>
      </c>
      <c r="J8657" s="508">
        <v>3.056</v>
      </c>
      <c r="K8657" s="508">
        <v>2.9209999999999998</v>
      </c>
      <c r="L8657" s="508">
        <v>2.802</v>
      </c>
      <c r="M8657" s="508">
        <v>2.7120000000000002</v>
      </c>
      <c r="N8657" s="508">
        <v>2.601</v>
      </c>
      <c r="O8657" s="508">
        <v>2.5209999999999999</v>
      </c>
      <c r="P8657" s="508">
        <v>1.06</v>
      </c>
      <c r="Q8657" s="508">
        <v>1.018</v>
      </c>
      <c r="R8657" s="508">
        <v>0.85499999999999998</v>
      </c>
      <c r="S8657" s="508">
        <v>0.81299999999999994</v>
      </c>
      <c r="T8657" s="508">
        <v>0.75700000000000001</v>
      </c>
      <c r="U8657" s="508">
        <v>0.58499999999999996</v>
      </c>
      <c r="V8657" s="508">
        <v>0.54</v>
      </c>
      <c r="W8657" s="508"/>
      <c r="X8657" s="508">
        <v>0.42899999999999999</v>
      </c>
      <c r="Y8657" s="508"/>
      <c r="Z8657" s="508"/>
      <c r="AA8657" s="508"/>
      <c r="AB8657" s="508"/>
      <c r="AC8657" s="508"/>
      <c r="AD8657" s="508"/>
      <c r="AE8657" s="508"/>
      <c r="AF8657" s="508"/>
      <c r="AG8657" s="508"/>
      <c r="AH8657" s="508"/>
      <c r="AI8657" s="492"/>
      <c r="AJ8657" s="485"/>
    </row>
    <row r="8658" spans="2:36">
      <c r="B8658" s="136" t="s">
        <v>452</v>
      </c>
      <c r="C8658" s="132" t="s">
        <v>1374</v>
      </c>
      <c r="D8658" s="132" t="s">
        <v>1384</v>
      </c>
      <c r="E8658" s="508">
        <v>3.738</v>
      </c>
      <c r="F8658" s="508">
        <v>3.4750000000000001</v>
      </c>
      <c r="G8658" s="508">
        <v>3.2530000000000001</v>
      </c>
      <c r="H8658" s="508">
        <v>3.0720000000000001</v>
      </c>
      <c r="I8658" s="508">
        <v>2.9420000000000002</v>
      </c>
      <c r="J8658" s="508">
        <v>2.7890000000000001</v>
      </c>
      <c r="K8658" s="508">
        <v>2.67</v>
      </c>
      <c r="L8658" s="508">
        <v>2.5649999999999999</v>
      </c>
      <c r="M8658" s="508">
        <v>2.492</v>
      </c>
      <c r="N8658" s="508">
        <v>2.3889999999999998</v>
      </c>
      <c r="O8658" s="508">
        <v>2.3199999999999998</v>
      </c>
      <c r="P8658" s="508">
        <v>1.02</v>
      </c>
      <c r="Q8658" s="508">
        <v>0.98399999999999999</v>
      </c>
      <c r="R8658" s="508">
        <v>0.83799999999999997</v>
      </c>
      <c r="S8658" s="508">
        <v>0.80100000000000005</v>
      </c>
      <c r="T8658" s="508">
        <v>0.753</v>
      </c>
      <c r="U8658" s="508">
        <v>0.59499999999999997</v>
      </c>
      <c r="V8658" s="508">
        <v>0.55000000000000004</v>
      </c>
      <c r="W8658" s="508"/>
      <c r="X8658" s="508">
        <v>0.44</v>
      </c>
      <c r="Y8658" s="508"/>
      <c r="Z8658" s="508"/>
      <c r="AA8658" s="508"/>
      <c r="AB8658" s="508"/>
      <c r="AC8658" s="508"/>
      <c r="AD8658" s="508"/>
      <c r="AE8658" s="508"/>
      <c r="AF8658" s="508"/>
      <c r="AG8658" s="508"/>
      <c r="AH8658" s="508"/>
      <c r="AI8658" s="492"/>
      <c r="AJ8658" s="485"/>
    </row>
    <row r="8659" spans="2:36">
      <c r="B8659" s="136" t="s">
        <v>453</v>
      </c>
      <c r="C8659" s="132" t="s">
        <v>1374</v>
      </c>
      <c r="D8659" s="132" t="s">
        <v>1384</v>
      </c>
      <c r="E8659" s="508">
        <v>3.1629999999999998</v>
      </c>
      <c r="F8659" s="508">
        <v>2.944</v>
      </c>
      <c r="G8659" s="508">
        <v>2.76</v>
      </c>
      <c r="H8659" s="508">
        <v>2.609</v>
      </c>
      <c r="I8659" s="508">
        <v>2.5030000000000001</v>
      </c>
      <c r="J8659" s="508">
        <v>2.3740000000000001</v>
      </c>
      <c r="K8659" s="508">
        <v>2.2749999999999999</v>
      </c>
      <c r="L8659" s="508">
        <v>2.1880000000000002</v>
      </c>
      <c r="M8659" s="508">
        <v>2.1280000000000001</v>
      </c>
      <c r="N8659" s="508">
        <v>2.0419999999999998</v>
      </c>
      <c r="O8659" s="508">
        <v>1.9850000000000001</v>
      </c>
      <c r="P8659" s="508">
        <v>0.877</v>
      </c>
      <c r="Q8659" s="508">
        <v>0.84699999999999998</v>
      </c>
      <c r="R8659" s="508">
        <v>0.73199999999999998</v>
      </c>
      <c r="S8659" s="508">
        <v>0.70299999999999996</v>
      </c>
      <c r="T8659" s="508">
        <v>0.66200000000000003</v>
      </c>
      <c r="U8659" s="508">
        <v>0.52400000000000002</v>
      </c>
      <c r="V8659" s="508">
        <v>0.48499999999999999</v>
      </c>
      <c r="W8659" s="508"/>
      <c r="X8659" s="508">
        <v>0.38900000000000001</v>
      </c>
      <c r="Y8659" s="508"/>
      <c r="Z8659" s="508"/>
      <c r="AA8659" s="508"/>
      <c r="AB8659" s="508"/>
      <c r="AC8659" s="508"/>
      <c r="AD8659" s="508"/>
      <c r="AE8659" s="508"/>
      <c r="AF8659" s="508"/>
      <c r="AG8659" s="508"/>
      <c r="AH8659" s="508"/>
      <c r="AI8659" s="492"/>
      <c r="AJ8659" s="485"/>
    </row>
    <row r="8660" spans="2:36">
      <c r="B8660" s="136" t="s">
        <v>454</v>
      </c>
      <c r="C8660" s="132" t="s">
        <v>1374</v>
      </c>
      <c r="D8660" s="132" t="s">
        <v>1384</v>
      </c>
      <c r="E8660" s="508">
        <v>3.633</v>
      </c>
      <c r="F8660" s="508">
        <v>3.3780000000000001</v>
      </c>
      <c r="G8660" s="508">
        <v>3.16</v>
      </c>
      <c r="H8660" s="508">
        <v>2.984</v>
      </c>
      <c r="I8660" s="508">
        <v>2.8650000000000002</v>
      </c>
      <c r="J8660" s="508">
        <v>2.71</v>
      </c>
      <c r="K8660" s="508">
        <v>2.5920000000000001</v>
      </c>
      <c r="L8660" s="508">
        <v>2.4900000000000002</v>
      </c>
      <c r="M8660" s="508">
        <v>2.427</v>
      </c>
      <c r="N8660" s="508">
        <v>2.3210000000000002</v>
      </c>
      <c r="O8660" s="508">
        <v>2.254</v>
      </c>
      <c r="P8660" s="508">
        <v>1.014</v>
      </c>
      <c r="Q8660" s="508">
        <v>0.97699999999999998</v>
      </c>
      <c r="R8660" s="508">
        <v>0.82199999999999995</v>
      </c>
      <c r="S8660" s="508">
        <v>0.78500000000000003</v>
      </c>
      <c r="T8660" s="508">
        <v>0.74</v>
      </c>
      <c r="U8660" s="508">
        <v>0.58699999999999997</v>
      </c>
      <c r="V8660" s="508">
        <v>0.54300000000000004</v>
      </c>
      <c r="W8660" s="508"/>
      <c r="X8660" s="508">
        <v>0.435</v>
      </c>
      <c r="Y8660" s="508"/>
      <c r="Z8660" s="508"/>
      <c r="AA8660" s="508"/>
      <c r="AB8660" s="508"/>
      <c r="AC8660" s="508"/>
      <c r="AD8660" s="508"/>
      <c r="AE8660" s="508"/>
      <c r="AF8660" s="508"/>
      <c r="AG8660" s="508"/>
      <c r="AH8660" s="508"/>
      <c r="AI8660" s="492"/>
      <c r="AJ8660" s="485"/>
    </row>
    <row r="8661" spans="2:36">
      <c r="B8661" s="136" t="s">
        <v>455</v>
      </c>
      <c r="C8661" s="132" t="s">
        <v>1374</v>
      </c>
      <c r="D8661" s="132" t="s">
        <v>1384</v>
      </c>
      <c r="E8661" s="508">
        <v>3.4820000000000002</v>
      </c>
      <c r="F8661" s="508">
        <v>3.238</v>
      </c>
      <c r="G8661" s="508">
        <v>3.032</v>
      </c>
      <c r="H8661" s="508">
        <v>2.8639999999999999</v>
      </c>
      <c r="I8661" s="508">
        <v>2.7450000000000001</v>
      </c>
      <c r="J8661" s="508">
        <v>2.6019999999999999</v>
      </c>
      <c r="K8661" s="508">
        <v>2.4900000000000002</v>
      </c>
      <c r="L8661" s="508">
        <v>2.3940000000000001</v>
      </c>
      <c r="M8661" s="508">
        <v>2.3279999999999998</v>
      </c>
      <c r="N8661" s="508">
        <v>2.2309999999999999</v>
      </c>
      <c r="O8661" s="508">
        <v>2.1669999999999998</v>
      </c>
      <c r="P8661" s="508">
        <v>0.99299999999999999</v>
      </c>
      <c r="Q8661" s="508">
        <v>0.95699999999999996</v>
      </c>
      <c r="R8661" s="508">
        <v>0.81100000000000005</v>
      </c>
      <c r="S8661" s="508">
        <v>0.77500000000000002</v>
      </c>
      <c r="T8661" s="508">
        <v>0.73199999999999998</v>
      </c>
      <c r="U8661" s="508">
        <v>0.58599999999999997</v>
      </c>
      <c r="V8661" s="508">
        <v>0.54200000000000004</v>
      </c>
      <c r="W8661" s="508"/>
      <c r="X8661" s="508">
        <v>0.436</v>
      </c>
      <c r="Y8661" s="508"/>
      <c r="Z8661" s="508"/>
      <c r="AA8661" s="508"/>
      <c r="AB8661" s="508"/>
      <c r="AC8661" s="508"/>
      <c r="AD8661" s="508"/>
      <c r="AE8661" s="508"/>
      <c r="AF8661" s="508"/>
      <c r="AG8661" s="508"/>
      <c r="AH8661" s="508"/>
      <c r="AI8661" s="492"/>
      <c r="AJ8661" s="485"/>
    </row>
    <row r="8662" spans="2:36">
      <c r="B8662" s="136" t="s">
        <v>456</v>
      </c>
      <c r="C8662" s="132" t="s">
        <v>1374</v>
      </c>
      <c r="D8662" s="132" t="s">
        <v>1384</v>
      </c>
      <c r="E8662" s="508">
        <v>4.2779999999999996</v>
      </c>
      <c r="F8662" s="508">
        <v>3.98</v>
      </c>
      <c r="G8662" s="508">
        <v>3.7240000000000002</v>
      </c>
      <c r="H8662" s="508">
        <v>3.5179999999999998</v>
      </c>
      <c r="I8662" s="508">
        <v>3.3860000000000001</v>
      </c>
      <c r="J8662" s="508">
        <v>3.1989999999999998</v>
      </c>
      <c r="K8662" s="508">
        <v>3.0590000000000002</v>
      </c>
      <c r="L8662" s="508">
        <v>2.9420000000000002</v>
      </c>
      <c r="M8662" s="508">
        <v>2.8730000000000002</v>
      </c>
      <c r="N8662" s="508">
        <v>2.7440000000000002</v>
      </c>
      <c r="O8662" s="508">
        <v>2.6680000000000001</v>
      </c>
      <c r="P8662" s="508">
        <v>1.2789999999999999</v>
      </c>
      <c r="Q8662" s="508">
        <v>1.23</v>
      </c>
      <c r="R8662" s="508">
        <v>1.006</v>
      </c>
      <c r="S8662" s="508">
        <v>0.95599999999999996</v>
      </c>
      <c r="T8662" s="508">
        <v>0.90700000000000003</v>
      </c>
      <c r="U8662" s="508">
        <v>0.73499999999999999</v>
      </c>
      <c r="V8662" s="508">
        <v>0.67900000000000005</v>
      </c>
      <c r="W8662" s="508"/>
      <c r="X8662" s="508">
        <v>0.54900000000000004</v>
      </c>
      <c r="Y8662" s="508"/>
      <c r="Z8662" s="508"/>
      <c r="AA8662" s="508"/>
      <c r="AB8662" s="508"/>
      <c r="AC8662" s="508"/>
      <c r="AD8662" s="508"/>
      <c r="AE8662" s="508"/>
      <c r="AF8662" s="508"/>
      <c r="AG8662" s="508"/>
      <c r="AH8662" s="508"/>
      <c r="AI8662" s="492"/>
      <c r="AJ8662" s="485"/>
    </row>
    <row r="8663" spans="2:36">
      <c r="B8663" s="136" t="s">
        <v>457</v>
      </c>
      <c r="C8663" s="132" t="s">
        <v>1374</v>
      </c>
      <c r="D8663" s="132" t="s">
        <v>1384</v>
      </c>
      <c r="E8663" s="508">
        <v>2.8380000000000001</v>
      </c>
      <c r="F8663" s="508">
        <v>2.6389999999999998</v>
      </c>
      <c r="G8663" s="508">
        <v>2.4729999999999999</v>
      </c>
      <c r="H8663" s="508">
        <v>2.3359999999999999</v>
      </c>
      <c r="I8663" s="508">
        <v>2.2309999999999999</v>
      </c>
      <c r="J8663" s="508">
        <v>2.12</v>
      </c>
      <c r="K8663" s="508">
        <v>2.032</v>
      </c>
      <c r="L8663" s="508">
        <v>1.9530000000000001</v>
      </c>
      <c r="M8663" s="508">
        <v>1.891</v>
      </c>
      <c r="N8663" s="508">
        <v>1.819</v>
      </c>
      <c r="O8663" s="508">
        <v>1.7649999999999999</v>
      </c>
      <c r="P8663" s="508">
        <v>0.752</v>
      </c>
      <c r="Q8663" s="508">
        <v>0.72699999999999998</v>
      </c>
      <c r="R8663" s="508">
        <v>0.63600000000000001</v>
      </c>
      <c r="S8663" s="508">
        <v>0.61099999999999999</v>
      </c>
      <c r="T8663" s="508">
        <v>0.57199999999999995</v>
      </c>
      <c r="U8663" s="508">
        <v>0.44700000000000001</v>
      </c>
      <c r="V8663" s="508">
        <v>0.41399999999999998</v>
      </c>
      <c r="W8663" s="508"/>
      <c r="X8663" s="508">
        <v>0.33100000000000002</v>
      </c>
      <c r="Y8663" s="508"/>
      <c r="Z8663" s="508"/>
      <c r="AA8663" s="508"/>
      <c r="AB8663" s="508"/>
      <c r="AC8663" s="508"/>
      <c r="AD8663" s="508"/>
      <c r="AE8663" s="508"/>
      <c r="AF8663" s="508"/>
      <c r="AG8663" s="508"/>
      <c r="AH8663" s="508"/>
      <c r="AI8663" s="492"/>
      <c r="AJ8663" s="485"/>
    </row>
    <row r="8664" spans="2:36">
      <c r="B8664" s="136" t="s">
        <v>458</v>
      </c>
      <c r="C8664" s="132" t="s">
        <v>1374</v>
      </c>
      <c r="D8664" s="132" t="s">
        <v>1384</v>
      </c>
      <c r="E8664" s="508">
        <v>3.8319999999999999</v>
      </c>
      <c r="F8664" s="508">
        <v>3.5529999999999999</v>
      </c>
      <c r="G8664" s="508">
        <v>3.32</v>
      </c>
      <c r="H8664" s="508">
        <v>3.1269999999999998</v>
      </c>
      <c r="I8664" s="508">
        <v>2.9780000000000002</v>
      </c>
      <c r="J8664" s="508">
        <v>2.823</v>
      </c>
      <c r="K8664" s="508">
        <v>2.6970000000000001</v>
      </c>
      <c r="L8664" s="508">
        <v>2.5859999999999999</v>
      </c>
      <c r="M8664" s="508">
        <v>2.5</v>
      </c>
      <c r="N8664" s="508">
        <v>2.3980000000000001</v>
      </c>
      <c r="O8664" s="508">
        <v>2.323</v>
      </c>
      <c r="P8664" s="508">
        <v>1.0009999999999999</v>
      </c>
      <c r="Q8664" s="508">
        <v>0.95899999999999996</v>
      </c>
      <c r="R8664" s="508">
        <v>0.79500000000000004</v>
      </c>
      <c r="S8664" s="508">
        <v>0.754</v>
      </c>
      <c r="T8664" s="508">
        <v>0.70199999999999996</v>
      </c>
      <c r="U8664" s="508">
        <v>0.54700000000000004</v>
      </c>
      <c r="V8664" s="508">
        <v>0.505</v>
      </c>
      <c r="W8664" s="508"/>
      <c r="X8664" s="508">
        <v>0.40200000000000002</v>
      </c>
      <c r="Y8664" s="508"/>
      <c r="Z8664" s="508"/>
      <c r="AA8664" s="508"/>
      <c r="AB8664" s="508"/>
      <c r="AC8664" s="508"/>
      <c r="AD8664" s="508"/>
      <c r="AE8664" s="508"/>
      <c r="AF8664" s="508"/>
      <c r="AG8664" s="508"/>
      <c r="AH8664" s="508"/>
      <c r="AI8664" s="492"/>
      <c r="AJ8664" s="485"/>
    </row>
    <row r="8665" spans="2:36">
      <c r="B8665" s="136" t="s">
        <v>459</v>
      </c>
      <c r="C8665" s="132" t="s">
        <v>1374</v>
      </c>
      <c r="D8665" s="132" t="s">
        <v>1384</v>
      </c>
      <c r="E8665" s="508">
        <v>3.5139999999999998</v>
      </c>
      <c r="F8665" s="508">
        <v>3.2570000000000001</v>
      </c>
      <c r="G8665" s="508">
        <v>3.044</v>
      </c>
      <c r="H8665" s="508">
        <v>2.867</v>
      </c>
      <c r="I8665" s="508">
        <v>2.7269999999999999</v>
      </c>
      <c r="J8665" s="508">
        <v>2.5859999999999999</v>
      </c>
      <c r="K8665" s="508">
        <v>2.472</v>
      </c>
      <c r="L8665" s="508">
        <v>2.37</v>
      </c>
      <c r="M8665" s="508">
        <v>2.2869999999999999</v>
      </c>
      <c r="N8665" s="508">
        <v>2.1960000000000002</v>
      </c>
      <c r="O8665" s="508">
        <v>2.1259999999999999</v>
      </c>
      <c r="P8665" s="508">
        <v>0.876</v>
      </c>
      <c r="Q8665" s="508">
        <v>0.84099999999999997</v>
      </c>
      <c r="R8665" s="508">
        <v>0.71199999999999997</v>
      </c>
      <c r="S8665" s="508">
        <v>0.67800000000000005</v>
      </c>
      <c r="T8665" s="508">
        <v>0.628</v>
      </c>
      <c r="U8665" s="508">
        <v>0.48199999999999998</v>
      </c>
      <c r="V8665" s="508">
        <v>0.44500000000000001</v>
      </c>
      <c r="W8665" s="508"/>
      <c r="X8665" s="508">
        <v>0.35199999999999998</v>
      </c>
      <c r="Y8665" s="508"/>
      <c r="Z8665" s="508"/>
      <c r="AA8665" s="508"/>
      <c r="AB8665" s="508"/>
      <c r="AC8665" s="508"/>
      <c r="AD8665" s="508"/>
      <c r="AE8665" s="508"/>
      <c r="AF8665" s="508"/>
      <c r="AG8665" s="508"/>
      <c r="AH8665" s="508"/>
      <c r="AI8665" s="492"/>
      <c r="AJ8665" s="485"/>
    </row>
    <row r="8666" spans="2:36">
      <c r="B8666" s="136" t="s">
        <v>460</v>
      </c>
      <c r="C8666" s="132" t="s">
        <v>1374</v>
      </c>
      <c r="D8666" s="132" t="s">
        <v>1384</v>
      </c>
      <c r="E8666" s="508">
        <v>3.4780000000000002</v>
      </c>
      <c r="F8666" s="508">
        <v>3.2320000000000002</v>
      </c>
      <c r="G8666" s="508">
        <v>3.0259999999999998</v>
      </c>
      <c r="H8666" s="508">
        <v>2.8570000000000002</v>
      </c>
      <c r="I8666" s="508">
        <v>2.73</v>
      </c>
      <c r="J8666" s="508">
        <v>2.59</v>
      </c>
      <c r="K8666" s="508">
        <v>2.48</v>
      </c>
      <c r="L8666" s="508">
        <v>2.3820000000000001</v>
      </c>
      <c r="M8666" s="508">
        <v>2.3090000000000002</v>
      </c>
      <c r="N8666" s="508">
        <v>2.2170000000000001</v>
      </c>
      <c r="O8666" s="508">
        <v>2.1509999999999998</v>
      </c>
      <c r="P8666" s="508">
        <v>0.92700000000000005</v>
      </c>
      <c r="Q8666" s="508">
        <v>0.89400000000000002</v>
      </c>
      <c r="R8666" s="508">
        <v>0.77</v>
      </c>
      <c r="S8666" s="508">
        <v>0.73699999999999999</v>
      </c>
      <c r="T8666" s="508">
        <v>0.69</v>
      </c>
      <c r="U8666" s="508">
        <v>0.54100000000000004</v>
      </c>
      <c r="V8666" s="508">
        <v>0.5</v>
      </c>
      <c r="W8666" s="508"/>
      <c r="X8666" s="508">
        <v>0.39900000000000002</v>
      </c>
      <c r="Y8666" s="508"/>
      <c r="Z8666" s="508"/>
      <c r="AA8666" s="508"/>
      <c r="AB8666" s="508"/>
      <c r="AC8666" s="508"/>
      <c r="AD8666" s="508"/>
      <c r="AE8666" s="508"/>
      <c r="AF8666" s="508"/>
      <c r="AG8666" s="508"/>
      <c r="AH8666" s="508"/>
      <c r="AI8666" s="492"/>
      <c r="AJ8666" s="485"/>
    </row>
    <row r="8667" spans="2:36">
      <c r="B8667" s="136" t="s">
        <v>461</v>
      </c>
      <c r="C8667" s="132" t="s">
        <v>1374</v>
      </c>
      <c r="D8667" s="132" t="s">
        <v>1384</v>
      </c>
      <c r="E8667" s="508">
        <v>3.1869999999999998</v>
      </c>
      <c r="F8667" s="508">
        <v>2.9670000000000001</v>
      </c>
      <c r="G8667" s="508">
        <v>2.782</v>
      </c>
      <c r="H8667" s="508">
        <v>2.6320000000000001</v>
      </c>
      <c r="I8667" s="508">
        <v>2.5219999999999998</v>
      </c>
      <c r="J8667" s="508">
        <v>2.3959999999999999</v>
      </c>
      <c r="K8667" s="508">
        <v>2.298</v>
      </c>
      <c r="L8667" s="508">
        <v>2.2109999999999999</v>
      </c>
      <c r="M8667" s="508">
        <v>2.1469999999999998</v>
      </c>
      <c r="N8667" s="508">
        <v>2.0630000000000002</v>
      </c>
      <c r="O8667" s="508">
        <v>2.0059999999999998</v>
      </c>
      <c r="P8667" s="508">
        <v>0.88500000000000001</v>
      </c>
      <c r="Q8667" s="508">
        <v>0.85599999999999998</v>
      </c>
      <c r="R8667" s="508">
        <v>0.748</v>
      </c>
      <c r="S8667" s="508">
        <v>0.71899999999999997</v>
      </c>
      <c r="T8667" s="508">
        <v>0.67700000000000005</v>
      </c>
      <c r="U8667" s="508">
        <v>0.53500000000000003</v>
      </c>
      <c r="V8667" s="508">
        <v>0.496</v>
      </c>
      <c r="W8667" s="508"/>
      <c r="X8667" s="508">
        <v>0.39800000000000002</v>
      </c>
      <c r="Y8667" s="508"/>
      <c r="Z8667" s="508"/>
      <c r="AA8667" s="508"/>
      <c r="AB8667" s="508"/>
      <c r="AC8667" s="508"/>
      <c r="AD8667" s="508"/>
      <c r="AE8667" s="508"/>
      <c r="AF8667" s="508"/>
      <c r="AG8667" s="508"/>
      <c r="AH8667" s="508"/>
      <c r="AI8667" s="492"/>
      <c r="AJ8667" s="485"/>
    </row>
    <row r="8668" spans="2:36">
      <c r="B8668" s="136" t="s">
        <v>462</v>
      </c>
      <c r="C8668" s="132" t="s">
        <v>1374</v>
      </c>
      <c r="D8668" s="132" t="s">
        <v>1384</v>
      </c>
      <c r="E8668" s="508">
        <v>4.0309999999999997</v>
      </c>
      <c r="F8668" s="508">
        <v>3.7509999999999999</v>
      </c>
      <c r="G8668" s="508">
        <v>3.5089999999999999</v>
      </c>
      <c r="H8668" s="508">
        <v>3.3159999999999998</v>
      </c>
      <c r="I8668" s="508">
        <v>3.194</v>
      </c>
      <c r="J8668" s="508">
        <v>3.0179999999999998</v>
      </c>
      <c r="K8668" s="508">
        <v>2.8860000000000001</v>
      </c>
      <c r="L8668" s="508">
        <v>2.7749999999999999</v>
      </c>
      <c r="M8668" s="508">
        <v>2.714</v>
      </c>
      <c r="N8668" s="508">
        <v>2.5910000000000002</v>
      </c>
      <c r="O8668" s="508">
        <v>2.5190000000000001</v>
      </c>
      <c r="P8668" s="508">
        <v>1.1910000000000001</v>
      </c>
      <c r="Q8668" s="508">
        <v>1.147</v>
      </c>
      <c r="R8668" s="508">
        <v>0.94899999999999995</v>
      </c>
      <c r="S8668" s="508">
        <v>0.90500000000000003</v>
      </c>
      <c r="T8668" s="508">
        <v>0.85799999999999998</v>
      </c>
      <c r="U8668" s="508">
        <v>0.69299999999999995</v>
      </c>
      <c r="V8668" s="508">
        <v>0.64</v>
      </c>
      <c r="W8668" s="508"/>
      <c r="X8668" s="508">
        <v>0.51600000000000001</v>
      </c>
      <c r="Y8668" s="508"/>
      <c r="Z8668" s="508"/>
      <c r="AA8668" s="508"/>
      <c r="AB8668" s="508"/>
      <c r="AC8668" s="508"/>
      <c r="AD8668" s="508"/>
      <c r="AE8668" s="508"/>
      <c r="AF8668" s="508"/>
      <c r="AG8668" s="508"/>
      <c r="AH8668" s="508"/>
      <c r="AI8668" s="492"/>
      <c r="AJ8668" s="485"/>
    </row>
    <row r="8669" spans="2:36">
      <c r="B8669" s="136" t="s">
        <v>463</v>
      </c>
      <c r="C8669" s="132" t="s">
        <v>1374</v>
      </c>
      <c r="D8669" s="132" t="s">
        <v>1384</v>
      </c>
      <c r="E8669" s="508">
        <v>3.5059999999999998</v>
      </c>
      <c r="F8669" s="508">
        <v>3.2570000000000001</v>
      </c>
      <c r="G8669" s="508">
        <v>3.0459999999999998</v>
      </c>
      <c r="H8669" s="508">
        <v>2.875</v>
      </c>
      <c r="I8669" s="508">
        <v>2.7509999999999999</v>
      </c>
      <c r="J8669" s="508">
        <v>2.6059999999999999</v>
      </c>
      <c r="K8669" s="508">
        <v>2.492</v>
      </c>
      <c r="L8669" s="508">
        <v>2.3929999999999998</v>
      </c>
      <c r="M8669" s="508">
        <v>2.3239999999999998</v>
      </c>
      <c r="N8669" s="508">
        <v>2.226</v>
      </c>
      <c r="O8669" s="508">
        <v>2.16</v>
      </c>
      <c r="P8669" s="508">
        <v>0.97199999999999998</v>
      </c>
      <c r="Q8669" s="508">
        <v>0.93600000000000005</v>
      </c>
      <c r="R8669" s="508">
        <v>0.78700000000000003</v>
      </c>
      <c r="S8669" s="508">
        <v>0.751</v>
      </c>
      <c r="T8669" s="508">
        <v>0.70599999999999996</v>
      </c>
      <c r="U8669" s="508">
        <v>0.56100000000000005</v>
      </c>
      <c r="V8669" s="508">
        <v>0.51800000000000002</v>
      </c>
      <c r="W8669" s="508"/>
      <c r="X8669" s="508">
        <v>0.41599999999999998</v>
      </c>
      <c r="Y8669" s="508"/>
      <c r="Z8669" s="508"/>
      <c r="AA8669" s="508"/>
      <c r="AB8669" s="508"/>
      <c r="AC8669" s="508"/>
      <c r="AD8669" s="508"/>
      <c r="AE8669" s="508"/>
      <c r="AF8669" s="508"/>
      <c r="AG8669" s="508"/>
      <c r="AH8669" s="508"/>
      <c r="AI8669" s="492"/>
      <c r="AJ8669" s="485"/>
    </row>
    <row r="8670" spans="2:36">
      <c r="B8670" s="136" t="s">
        <v>464</v>
      </c>
      <c r="C8670" s="132" t="s">
        <v>1374</v>
      </c>
      <c r="D8670" s="132" t="s">
        <v>1384</v>
      </c>
      <c r="E8670" s="508">
        <v>2.8889999999999998</v>
      </c>
      <c r="F8670" s="508">
        <v>2.6909999999999998</v>
      </c>
      <c r="G8670" s="508">
        <v>2.5209999999999999</v>
      </c>
      <c r="H8670" s="508">
        <v>2.3849999999999998</v>
      </c>
      <c r="I8670" s="508">
        <v>2.2959999999999998</v>
      </c>
      <c r="J8670" s="508">
        <v>2.173</v>
      </c>
      <c r="K8670" s="508">
        <v>2.0819999999999999</v>
      </c>
      <c r="L8670" s="508">
        <v>2.0030000000000001</v>
      </c>
      <c r="M8670" s="508">
        <v>1.9570000000000001</v>
      </c>
      <c r="N8670" s="508">
        <v>1.871</v>
      </c>
      <c r="O8670" s="508">
        <v>1.82</v>
      </c>
      <c r="P8670" s="508">
        <v>0.80100000000000005</v>
      </c>
      <c r="Q8670" s="508">
        <v>0.77700000000000002</v>
      </c>
      <c r="R8670" s="508">
        <v>0.68200000000000005</v>
      </c>
      <c r="S8670" s="508">
        <v>0.65900000000000003</v>
      </c>
      <c r="T8670" s="508">
        <v>0.622</v>
      </c>
      <c r="U8670" s="508">
        <v>0.49099999999999999</v>
      </c>
      <c r="V8670" s="508">
        <v>0.45400000000000001</v>
      </c>
      <c r="W8670" s="508"/>
      <c r="X8670" s="508">
        <v>0.36499999999999999</v>
      </c>
      <c r="Y8670" s="508"/>
      <c r="Z8670" s="508"/>
      <c r="AA8670" s="508"/>
      <c r="AB8670" s="508"/>
      <c r="AC8670" s="508"/>
      <c r="AD8670" s="508"/>
      <c r="AE8670" s="508"/>
      <c r="AF8670" s="508"/>
      <c r="AG8670" s="508"/>
      <c r="AH8670" s="508"/>
      <c r="AI8670" s="492"/>
      <c r="AJ8670" s="485"/>
    </row>
    <row r="8671" spans="2:36">
      <c r="B8671" s="136" t="s">
        <v>465</v>
      </c>
      <c r="C8671" s="132" t="s">
        <v>1374</v>
      </c>
      <c r="D8671" s="132" t="s">
        <v>1384</v>
      </c>
      <c r="E8671" s="508">
        <v>3.1920000000000002</v>
      </c>
      <c r="F8671" s="508">
        <v>2.9729999999999999</v>
      </c>
      <c r="G8671" s="508">
        <v>2.7850000000000001</v>
      </c>
      <c r="H8671" s="508">
        <v>2.633</v>
      </c>
      <c r="I8671" s="508">
        <v>2.532</v>
      </c>
      <c r="J8671" s="508">
        <v>2.3980000000000001</v>
      </c>
      <c r="K8671" s="508">
        <v>2.2959999999999998</v>
      </c>
      <c r="L8671" s="508">
        <v>2.2090000000000001</v>
      </c>
      <c r="M8671" s="508">
        <v>2.1549999999999998</v>
      </c>
      <c r="N8671" s="508">
        <v>2.0630000000000002</v>
      </c>
      <c r="O8671" s="508">
        <v>2.0059999999999998</v>
      </c>
      <c r="P8671" s="508">
        <v>0.9</v>
      </c>
      <c r="Q8671" s="508">
        <v>0.87</v>
      </c>
      <c r="R8671" s="508">
        <v>0.75</v>
      </c>
      <c r="S8671" s="508">
        <v>0.72</v>
      </c>
      <c r="T8671" s="508">
        <v>0.68</v>
      </c>
      <c r="U8671" s="508">
        <v>0.54100000000000004</v>
      </c>
      <c r="V8671" s="508">
        <v>0.5</v>
      </c>
      <c r="W8671" s="508"/>
      <c r="X8671" s="508">
        <v>0.40200000000000002</v>
      </c>
      <c r="Y8671" s="508"/>
      <c r="Z8671" s="508"/>
      <c r="AA8671" s="508"/>
      <c r="AB8671" s="508"/>
      <c r="AC8671" s="508"/>
      <c r="AD8671" s="508"/>
      <c r="AE8671" s="508"/>
      <c r="AF8671" s="508"/>
      <c r="AG8671" s="508"/>
      <c r="AH8671" s="508"/>
      <c r="AI8671" s="492"/>
      <c r="AJ8671" s="485"/>
    </row>
    <row r="8672" spans="2:36">
      <c r="B8672" s="136" t="s">
        <v>466</v>
      </c>
      <c r="C8672" s="132" t="s">
        <v>1374</v>
      </c>
      <c r="D8672" s="132" t="s">
        <v>1384</v>
      </c>
      <c r="E8672" s="508">
        <v>4.391</v>
      </c>
      <c r="F8672" s="508">
        <v>4.0860000000000003</v>
      </c>
      <c r="G8672" s="508">
        <v>3.8140000000000001</v>
      </c>
      <c r="H8672" s="508">
        <v>3.6019999999999999</v>
      </c>
      <c r="I8672" s="508">
        <v>3.496</v>
      </c>
      <c r="J8672" s="508">
        <v>3.28</v>
      </c>
      <c r="K8672" s="508">
        <v>3.129</v>
      </c>
      <c r="L8672" s="508">
        <v>3.008</v>
      </c>
      <c r="M8672" s="508">
        <v>2.9729999999999999</v>
      </c>
      <c r="N8672" s="508">
        <v>2.8090000000000002</v>
      </c>
      <c r="O8672" s="508">
        <v>2.7349999999999999</v>
      </c>
      <c r="P8672" s="508">
        <v>1.256</v>
      </c>
      <c r="Q8672" s="508">
        <v>1.21</v>
      </c>
      <c r="R8672" s="508">
        <v>0.99099999999999999</v>
      </c>
      <c r="S8672" s="508">
        <v>0.94799999999999995</v>
      </c>
      <c r="T8672" s="508">
        <v>0.89900000000000002</v>
      </c>
      <c r="U8672" s="508">
        <v>0.71299999999999997</v>
      </c>
      <c r="V8672" s="508">
        <v>0.65800000000000003</v>
      </c>
      <c r="W8672" s="508"/>
      <c r="X8672" s="508">
        <v>0.52900000000000003</v>
      </c>
      <c r="Y8672" s="508"/>
      <c r="Z8672" s="508"/>
      <c r="AA8672" s="508"/>
      <c r="AB8672" s="508"/>
      <c r="AC8672" s="508"/>
      <c r="AD8672" s="508"/>
      <c r="AE8672" s="508"/>
      <c r="AF8672" s="508"/>
      <c r="AG8672" s="508"/>
      <c r="AH8672" s="508"/>
      <c r="AI8672" s="492"/>
      <c r="AJ8672" s="485"/>
    </row>
    <row r="8673" spans="2:36">
      <c r="B8673" s="136" t="s">
        <v>467</v>
      </c>
      <c r="C8673" s="132" t="s">
        <v>1374</v>
      </c>
      <c r="D8673" s="132" t="s">
        <v>1384</v>
      </c>
      <c r="E8673" s="508">
        <v>3.2029999999999998</v>
      </c>
      <c r="F8673" s="508">
        <v>2.9729999999999999</v>
      </c>
      <c r="G8673" s="508">
        <v>2.782</v>
      </c>
      <c r="H8673" s="508">
        <v>2.6240000000000001</v>
      </c>
      <c r="I8673" s="508">
        <v>2.5009999999999999</v>
      </c>
      <c r="J8673" s="508">
        <v>2.375</v>
      </c>
      <c r="K8673" s="508">
        <v>2.2719999999999998</v>
      </c>
      <c r="L8673" s="508">
        <v>2.181</v>
      </c>
      <c r="M8673" s="508">
        <v>2.109</v>
      </c>
      <c r="N8673" s="508">
        <v>2.0259999999999998</v>
      </c>
      <c r="O8673" s="508">
        <v>1.964</v>
      </c>
      <c r="P8673" s="508">
        <v>0.81599999999999995</v>
      </c>
      <c r="Q8673" s="508">
        <v>0.78600000000000003</v>
      </c>
      <c r="R8673" s="508">
        <v>0.67600000000000005</v>
      </c>
      <c r="S8673" s="508">
        <v>0.64600000000000002</v>
      </c>
      <c r="T8673" s="508">
        <v>0.60099999999999998</v>
      </c>
      <c r="U8673" s="508">
        <v>0.46400000000000002</v>
      </c>
      <c r="V8673" s="508">
        <v>0.42899999999999999</v>
      </c>
      <c r="W8673" s="508"/>
      <c r="X8673" s="508">
        <v>0.34100000000000003</v>
      </c>
      <c r="Y8673" s="508"/>
      <c r="Z8673" s="508"/>
      <c r="AA8673" s="508"/>
      <c r="AB8673" s="508"/>
      <c r="AC8673" s="508"/>
      <c r="AD8673" s="508"/>
      <c r="AE8673" s="508"/>
      <c r="AF8673" s="508"/>
      <c r="AG8673" s="508"/>
      <c r="AH8673" s="508"/>
      <c r="AI8673" s="492"/>
      <c r="AJ8673" s="485"/>
    </row>
    <row r="8674" spans="2:36">
      <c r="B8674" s="136" t="s">
        <v>468</v>
      </c>
      <c r="C8674" s="132" t="s">
        <v>1374</v>
      </c>
      <c r="D8674" s="132" t="s">
        <v>1384</v>
      </c>
      <c r="E8674" s="508">
        <v>3.1</v>
      </c>
      <c r="F8674" s="508">
        <v>2.879</v>
      </c>
      <c r="G8674" s="508">
        <v>2.6949999999999998</v>
      </c>
      <c r="H8674" s="508">
        <v>2.5430000000000001</v>
      </c>
      <c r="I8674" s="508">
        <v>2.423</v>
      </c>
      <c r="J8674" s="508">
        <v>2.302</v>
      </c>
      <c r="K8674" s="508">
        <v>2.2029999999999998</v>
      </c>
      <c r="L8674" s="508">
        <v>2.1150000000000002</v>
      </c>
      <c r="M8674" s="508">
        <v>2.0449999999999999</v>
      </c>
      <c r="N8674" s="508">
        <v>1.966</v>
      </c>
      <c r="O8674" s="508">
        <v>1.9059999999999999</v>
      </c>
      <c r="P8674" s="508">
        <v>0.83499999999999996</v>
      </c>
      <c r="Q8674" s="508">
        <v>0.80300000000000005</v>
      </c>
      <c r="R8674" s="508">
        <v>0.67800000000000005</v>
      </c>
      <c r="S8674" s="508">
        <v>0.64600000000000002</v>
      </c>
      <c r="T8674" s="508">
        <v>0.60499999999999998</v>
      </c>
      <c r="U8674" s="508">
        <v>0.47699999999999998</v>
      </c>
      <c r="V8674" s="508">
        <v>0.441</v>
      </c>
      <c r="W8674" s="508"/>
      <c r="X8674" s="508">
        <v>0.35299999999999998</v>
      </c>
      <c r="Y8674" s="508"/>
      <c r="Z8674" s="508"/>
      <c r="AA8674" s="508"/>
      <c r="AB8674" s="508"/>
      <c r="AC8674" s="508"/>
      <c r="AD8674" s="508"/>
      <c r="AE8674" s="508"/>
      <c r="AF8674" s="508"/>
      <c r="AG8674" s="508"/>
      <c r="AH8674" s="508"/>
      <c r="AI8674" s="492"/>
      <c r="AJ8674" s="485"/>
    </row>
    <row r="8675" spans="2:36">
      <c r="B8675" s="136" t="s">
        <v>469</v>
      </c>
      <c r="C8675" s="132" t="s">
        <v>1374</v>
      </c>
      <c r="D8675" s="132" t="s">
        <v>1384</v>
      </c>
      <c r="E8675" s="508">
        <v>3.5449999999999999</v>
      </c>
      <c r="F8675" s="508">
        <v>3.3029999999999999</v>
      </c>
      <c r="G8675" s="508">
        <v>3.085</v>
      </c>
      <c r="H8675" s="508">
        <v>2.9159999999999999</v>
      </c>
      <c r="I8675" s="508">
        <v>2.8359999999999999</v>
      </c>
      <c r="J8675" s="508">
        <v>2.66</v>
      </c>
      <c r="K8675" s="508">
        <v>2.5390000000000001</v>
      </c>
      <c r="L8675" s="508">
        <v>2.4430000000000001</v>
      </c>
      <c r="M8675" s="508">
        <v>2.42</v>
      </c>
      <c r="N8675" s="508">
        <v>2.2850000000000001</v>
      </c>
      <c r="O8675" s="508">
        <v>2.2269999999999999</v>
      </c>
      <c r="P8675" s="508">
        <v>1.0169999999999999</v>
      </c>
      <c r="Q8675" s="508">
        <v>0.98399999999999999</v>
      </c>
      <c r="R8675" s="508">
        <v>0.83099999999999996</v>
      </c>
      <c r="S8675" s="508">
        <v>0.8</v>
      </c>
      <c r="T8675" s="508">
        <v>0.76</v>
      </c>
      <c r="U8675" s="508">
        <v>0.60199999999999998</v>
      </c>
      <c r="V8675" s="508">
        <v>0.55700000000000005</v>
      </c>
      <c r="W8675" s="508"/>
      <c r="X8675" s="508">
        <v>0.44800000000000001</v>
      </c>
      <c r="Y8675" s="508"/>
      <c r="Z8675" s="508"/>
      <c r="AA8675" s="508"/>
      <c r="AB8675" s="508"/>
      <c r="AC8675" s="508"/>
      <c r="AD8675" s="508"/>
      <c r="AE8675" s="508"/>
      <c r="AF8675" s="508"/>
      <c r="AG8675" s="508"/>
      <c r="AH8675" s="508"/>
      <c r="AI8675" s="492"/>
      <c r="AJ8675" s="485"/>
    </row>
    <row r="8676" spans="2:36">
      <c r="B8676" s="136" t="s">
        <v>470</v>
      </c>
      <c r="C8676" s="132" t="s">
        <v>1374</v>
      </c>
      <c r="D8676" s="132" t="s">
        <v>1384</v>
      </c>
      <c r="E8676" s="508">
        <v>3.7130000000000001</v>
      </c>
      <c r="F8676" s="508">
        <v>3.444</v>
      </c>
      <c r="G8676" s="508">
        <v>3.22</v>
      </c>
      <c r="H8676" s="508">
        <v>3.036</v>
      </c>
      <c r="I8676" s="508">
        <v>2.891</v>
      </c>
      <c r="J8676" s="508">
        <v>2.7429999999999999</v>
      </c>
      <c r="K8676" s="508">
        <v>2.6230000000000002</v>
      </c>
      <c r="L8676" s="508">
        <v>2.516</v>
      </c>
      <c r="M8676" s="508">
        <v>2.431</v>
      </c>
      <c r="N8676" s="508">
        <v>2.335</v>
      </c>
      <c r="O8676" s="508">
        <v>2.262</v>
      </c>
      <c r="P8676" s="508">
        <v>0.95099999999999996</v>
      </c>
      <c r="Q8676" s="508">
        <v>0.91400000000000003</v>
      </c>
      <c r="R8676" s="508">
        <v>0.77400000000000002</v>
      </c>
      <c r="S8676" s="508">
        <v>0.73699999999999999</v>
      </c>
      <c r="T8676" s="508">
        <v>0.68600000000000005</v>
      </c>
      <c r="U8676" s="508">
        <v>0.53100000000000003</v>
      </c>
      <c r="V8676" s="508">
        <v>0.49099999999999999</v>
      </c>
      <c r="W8676" s="508"/>
      <c r="X8676" s="508">
        <v>0.39</v>
      </c>
      <c r="Y8676" s="508"/>
      <c r="Z8676" s="508"/>
      <c r="AA8676" s="508"/>
      <c r="AB8676" s="508"/>
      <c r="AC8676" s="508"/>
      <c r="AD8676" s="508"/>
      <c r="AE8676" s="508"/>
      <c r="AF8676" s="508"/>
      <c r="AG8676" s="508"/>
      <c r="AH8676" s="508"/>
      <c r="AI8676" s="492"/>
      <c r="AJ8676" s="485"/>
    </row>
    <row r="8677" spans="2:36">
      <c r="B8677" s="136" t="s">
        <v>471</v>
      </c>
      <c r="C8677" s="132" t="s">
        <v>1374</v>
      </c>
      <c r="D8677" s="132" t="s">
        <v>1384</v>
      </c>
      <c r="E8677" s="508">
        <v>4.048</v>
      </c>
      <c r="F8677" s="508">
        <v>3.7629999999999999</v>
      </c>
      <c r="G8677" s="508">
        <v>3.5190000000000001</v>
      </c>
      <c r="H8677" s="508">
        <v>3.3220000000000001</v>
      </c>
      <c r="I8677" s="508">
        <v>3.1890000000000001</v>
      </c>
      <c r="J8677" s="508">
        <v>3.0150000000000001</v>
      </c>
      <c r="K8677" s="508">
        <v>2.883</v>
      </c>
      <c r="L8677" s="508">
        <v>2.77</v>
      </c>
      <c r="M8677" s="508">
        <v>2.7</v>
      </c>
      <c r="N8677" s="508">
        <v>2.58</v>
      </c>
      <c r="O8677" s="508">
        <v>2.5059999999999998</v>
      </c>
      <c r="P8677" s="508">
        <v>1.141</v>
      </c>
      <c r="Q8677" s="508">
        <v>1.0980000000000001</v>
      </c>
      <c r="R8677" s="508">
        <v>0.91400000000000003</v>
      </c>
      <c r="S8677" s="508">
        <v>0.871</v>
      </c>
      <c r="T8677" s="508">
        <v>0.82099999999999995</v>
      </c>
      <c r="U8677" s="508">
        <v>0.65500000000000003</v>
      </c>
      <c r="V8677" s="508">
        <v>0.60499999999999998</v>
      </c>
      <c r="W8677" s="508"/>
      <c r="X8677" s="508">
        <v>0.48499999999999999</v>
      </c>
      <c r="Y8677" s="508"/>
      <c r="Z8677" s="508"/>
      <c r="AA8677" s="508"/>
      <c r="AB8677" s="508"/>
      <c r="AC8677" s="508"/>
      <c r="AD8677" s="508"/>
      <c r="AE8677" s="508"/>
      <c r="AF8677" s="508"/>
      <c r="AG8677" s="508"/>
      <c r="AH8677" s="508"/>
      <c r="AI8677" s="492"/>
      <c r="AJ8677" s="485"/>
    </row>
    <row r="8678" spans="2:36">
      <c r="B8678" s="136" t="s">
        <v>472</v>
      </c>
      <c r="C8678" s="132" t="s">
        <v>1374</v>
      </c>
      <c r="D8678" s="132" t="s">
        <v>1384</v>
      </c>
      <c r="E8678" s="508">
        <v>2.7170000000000001</v>
      </c>
      <c r="F8678" s="508">
        <v>2.5329999999999999</v>
      </c>
      <c r="G8678" s="508">
        <v>2.379</v>
      </c>
      <c r="H8678" s="508">
        <v>2.254</v>
      </c>
      <c r="I8678" s="508">
        <v>2.1659999999999999</v>
      </c>
      <c r="J8678" s="508">
        <v>2.0579999999999998</v>
      </c>
      <c r="K8678" s="508">
        <v>1.976</v>
      </c>
      <c r="L8678" s="508">
        <v>1.9039999999999999</v>
      </c>
      <c r="M8678" s="508">
        <v>1.8540000000000001</v>
      </c>
      <c r="N8678" s="508">
        <v>1.7809999999999999</v>
      </c>
      <c r="O8678" s="508">
        <v>1.734</v>
      </c>
      <c r="P8678" s="508">
        <v>0.77700000000000002</v>
      </c>
      <c r="Q8678" s="508">
        <v>0.753</v>
      </c>
      <c r="R8678" s="508">
        <v>0.66700000000000004</v>
      </c>
      <c r="S8678" s="508">
        <v>0.64400000000000002</v>
      </c>
      <c r="T8678" s="508">
        <v>0.60899999999999999</v>
      </c>
      <c r="U8678" s="508">
        <v>0.48299999999999998</v>
      </c>
      <c r="V8678" s="508">
        <v>0.44800000000000001</v>
      </c>
      <c r="W8678" s="508"/>
      <c r="X8678" s="508">
        <v>0.36199999999999999</v>
      </c>
      <c r="Y8678" s="508"/>
      <c r="Z8678" s="508"/>
      <c r="AA8678" s="508"/>
      <c r="AB8678" s="508"/>
      <c r="AC8678" s="508"/>
      <c r="AD8678" s="508"/>
      <c r="AE8678" s="508"/>
      <c r="AF8678" s="508"/>
      <c r="AG8678" s="508"/>
      <c r="AH8678" s="508"/>
      <c r="AI8678" s="492"/>
      <c r="AJ8678" s="485"/>
    </row>
    <row r="8679" spans="2:36">
      <c r="B8679" s="136" t="s">
        <v>473</v>
      </c>
      <c r="C8679" s="132" t="s">
        <v>1374</v>
      </c>
      <c r="D8679" s="132" t="s">
        <v>1384</v>
      </c>
      <c r="E8679" s="508">
        <v>3.7989999999999999</v>
      </c>
      <c r="F8679" s="508">
        <v>3.5310000000000001</v>
      </c>
      <c r="G8679" s="508">
        <v>3.3050000000000002</v>
      </c>
      <c r="H8679" s="508">
        <v>3.12</v>
      </c>
      <c r="I8679" s="508">
        <v>2.9860000000000002</v>
      </c>
      <c r="J8679" s="508">
        <v>2.83</v>
      </c>
      <c r="K8679" s="508">
        <v>2.7090000000000001</v>
      </c>
      <c r="L8679" s="508">
        <v>2.6019999999999999</v>
      </c>
      <c r="M8679" s="508">
        <v>2.5270000000000001</v>
      </c>
      <c r="N8679" s="508">
        <v>2.423</v>
      </c>
      <c r="O8679" s="508">
        <v>2.3519999999999999</v>
      </c>
      <c r="P8679" s="508">
        <v>1.0269999999999999</v>
      </c>
      <c r="Q8679" s="508">
        <v>0.99</v>
      </c>
      <c r="R8679" s="508">
        <v>0.84499999999999997</v>
      </c>
      <c r="S8679" s="508">
        <v>0.80700000000000005</v>
      </c>
      <c r="T8679" s="508">
        <v>0.75800000000000001</v>
      </c>
      <c r="U8679" s="508">
        <v>0.59699999999999998</v>
      </c>
      <c r="V8679" s="508">
        <v>0.55200000000000005</v>
      </c>
      <c r="W8679" s="508"/>
      <c r="X8679" s="508">
        <v>0.441</v>
      </c>
      <c r="Y8679" s="508"/>
      <c r="Z8679" s="508"/>
      <c r="AA8679" s="508"/>
      <c r="AB8679" s="508"/>
      <c r="AC8679" s="508"/>
      <c r="AD8679" s="508"/>
      <c r="AE8679" s="508"/>
      <c r="AF8679" s="508"/>
      <c r="AG8679" s="508"/>
      <c r="AH8679" s="508"/>
      <c r="AI8679" s="492"/>
      <c r="AJ8679" s="485"/>
    </row>
    <row r="8680" spans="2:36">
      <c r="B8680" s="136" t="s">
        <v>474</v>
      </c>
      <c r="C8680" s="132" t="s">
        <v>1374</v>
      </c>
      <c r="D8680" s="132" t="s">
        <v>1384</v>
      </c>
      <c r="E8680" s="508">
        <v>3.9670000000000001</v>
      </c>
      <c r="F8680" s="508">
        <v>3.69</v>
      </c>
      <c r="G8680" s="508">
        <v>3.452</v>
      </c>
      <c r="H8680" s="508">
        <v>3.262</v>
      </c>
      <c r="I8680" s="508">
        <v>3.141</v>
      </c>
      <c r="J8680" s="508">
        <v>2.9660000000000002</v>
      </c>
      <c r="K8680" s="508">
        <v>2.8370000000000002</v>
      </c>
      <c r="L8680" s="508">
        <v>2.7269999999999999</v>
      </c>
      <c r="M8680" s="508">
        <v>2.6669999999999998</v>
      </c>
      <c r="N8680" s="508">
        <v>2.544</v>
      </c>
      <c r="O8680" s="508">
        <v>2.4729999999999999</v>
      </c>
      <c r="P8680" s="508">
        <v>1.145</v>
      </c>
      <c r="Q8680" s="508">
        <v>1.103</v>
      </c>
      <c r="R8680" s="508">
        <v>0.91600000000000004</v>
      </c>
      <c r="S8680" s="508">
        <v>0.875</v>
      </c>
      <c r="T8680" s="508">
        <v>0.82799999999999996</v>
      </c>
      <c r="U8680" s="508">
        <v>0.66300000000000003</v>
      </c>
      <c r="V8680" s="508">
        <v>0.61299999999999999</v>
      </c>
      <c r="W8680" s="508"/>
      <c r="X8680" s="508">
        <v>0.49299999999999999</v>
      </c>
      <c r="Y8680" s="508"/>
      <c r="Z8680" s="508"/>
      <c r="AA8680" s="508"/>
      <c r="AB8680" s="508"/>
      <c r="AC8680" s="508"/>
      <c r="AD8680" s="508"/>
      <c r="AE8680" s="508"/>
      <c r="AF8680" s="508"/>
      <c r="AG8680" s="508"/>
      <c r="AH8680" s="508"/>
      <c r="AI8680" s="492"/>
      <c r="AJ8680" s="485"/>
    </row>
    <row r="8681" spans="2:36">
      <c r="B8681" s="136" t="s">
        <v>475</v>
      </c>
      <c r="C8681" s="132" t="s">
        <v>1374</v>
      </c>
      <c r="D8681" s="132" t="s">
        <v>1384</v>
      </c>
      <c r="E8681" s="508">
        <v>3.5070000000000001</v>
      </c>
      <c r="F8681" s="508">
        <v>3.258</v>
      </c>
      <c r="G8681" s="508">
        <v>3.0489999999999999</v>
      </c>
      <c r="H8681" s="508">
        <v>2.8780000000000001</v>
      </c>
      <c r="I8681" s="508">
        <v>2.7530000000000001</v>
      </c>
      <c r="J8681" s="508">
        <v>2.609</v>
      </c>
      <c r="K8681" s="508">
        <v>2.496</v>
      </c>
      <c r="L8681" s="508">
        <v>2.3969999999999998</v>
      </c>
      <c r="M8681" s="508">
        <v>2.327</v>
      </c>
      <c r="N8681" s="508">
        <v>2.2309999999999999</v>
      </c>
      <c r="O8681" s="508">
        <v>2.165</v>
      </c>
      <c r="P8681" s="508">
        <v>0.94399999999999995</v>
      </c>
      <c r="Q8681" s="508">
        <v>0.91100000000000003</v>
      </c>
      <c r="R8681" s="508">
        <v>0.78300000000000003</v>
      </c>
      <c r="S8681" s="508">
        <v>0.75</v>
      </c>
      <c r="T8681" s="508">
        <v>0.70399999999999996</v>
      </c>
      <c r="U8681" s="508">
        <v>0.55400000000000005</v>
      </c>
      <c r="V8681" s="508">
        <v>0.51300000000000001</v>
      </c>
      <c r="W8681" s="508"/>
      <c r="X8681" s="508">
        <v>0.40899999999999997</v>
      </c>
      <c r="Y8681" s="508"/>
      <c r="Z8681" s="508"/>
      <c r="AA8681" s="508"/>
      <c r="AB8681" s="508"/>
      <c r="AC8681" s="508"/>
      <c r="AD8681" s="508"/>
      <c r="AE8681" s="508"/>
      <c r="AF8681" s="508"/>
      <c r="AG8681" s="508"/>
      <c r="AH8681" s="508"/>
      <c r="AI8681" s="492"/>
      <c r="AJ8681" s="485"/>
    </row>
    <row r="8682" spans="2:36">
      <c r="B8682" s="136" t="s">
        <v>476</v>
      </c>
      <c r="C8682" s="132" t="s">
        <v>1374</v>
      </c>
      <c r="D8682" s="132" t="s">
        <v>1384</v>
      </c>
      <c r="E8682" s="508">
        <v>3.617</v>
      </c>
      <c r="F8682" s="508">
        <v>3.359</v>
      </c>
      <c r="G8682" s="508">
        <v>3.1429999999999998</v>
      </c>
      <c r="H8682" s="508">
        <v>2.9660000000000002</v>
      </c>
      <c r="I8682" s="508">
        <v>2.8330000000000002</v>
      </c>
      <c r="J8682" s="508">
        <v>2.6859999999999999</v>
      </c>
      <c r="K8682" s="508">
        <v>2.57</v>
      </c>
      <c r="L8682" s="508">
        <v>2.468</v>
      </c>
      <c r="M8682" s="508">
        <v>2.3919999999999999</v>
      </c>
      <c r="N8682" s="508">
        <v>2.2949999999999999</v>
      </c>
      <c r="O8682" s="508">
        <v>2.226</v>
      </c>
      <c r="P8682" s="508">
        <v>0.96199999999999997</v>
      </c>
      <c r="Q8682" s="508">
        <v>0.92600000000000005</v>
      </c>
      <c r="R8682" s="508">
        <v>0.78800000000000003</v>
      </c>
      <c r="S8682" s="508">
        <v>0.752</v>
      </c>
      <c r="T8682" s="508">
        <v>0.70399999999999996</v>
      </c>
      <c r="U8682" s="508">
        <v>0.55200000000000005</v>
      </c>
      <c r="V8682" s="508">
        <v>0.51</v>
      </c>
      <c r="W8682" s="508"/>
      <c r="X8682" s="508">
        <v>0.40699999999999997</v>
      </c>
      <c r="Y8682" s="508"/>
      <c r="Z8682" s="508"/>
      <c r="AA8682" s="508"/>
      <c r="AB8682" s="508"/>
      <c r="AC8682" s="508"/>
      <c r="AD8682" s="508"/>
      <c r="AE8682" s="508"/>
      <c r="AF8682" s="508"/>
      <c r="AG8682" s="508"/>
      <c r="AH8682" s="508"/>
      <c r="AI8682" s="492"/>
      <c r="AJ8682" s="485"/>
    </row>
    <row r="8683" spans="2:36">
      <c r="B8683" s="136" t="s">
        <v>478</v>
      </c>
      <c r="C8683" s="132" t="s">
        <v>1374</v>
      </c>
      <c r="D8683" s="132" t="s">
        <v>1384</v>
      </c>
      <c r="E8683" s="508">
        <v>3.746</v>
      </c>
      <c r="F8683" s="508">
        <v>3.472</v>
      </c>
      <c r="G8683" s="508">
        <v>3.2440000000000002</v>
      </c>
      <c r="H8683" s="508">
        <v>3.0550000000000002</v>
      </c>
      <c r="I8683" s="508">
        <v>2.9049999999999998</v>
      </c>
      <c r="J8683" s="508">
        <v>2.7549999999999999</v>
      </c>
      <c r="K8683" s="508">
        <v>2.633</v>
      </c>
      <c r="L8683" s="508">
        <v>2.5230000000000001</v>
      </c>
      <c r="M8683" s="508">
        <v>2.4350000000000001</v>
      </c>
      <c r="N8683" s="508">
        <v>2.3380000000000001</v>
      </c>
      <c r="O8683" s="508">
        <v>2.2629999999999999</v>
      </c>
      <c r="P8683" s="508">
        <v>0.93</v>
      </c>
      <c r="Q8683" s="508">
        <v>0.89200000000000002</v>
      </c>
      <c r="R8683" s="508">
        <v>0.751</v>
      </c>
      <c r="S8683" s="508">
        <v>0.71399999999999997</v>
      </c>
      <c r="T8683" s="508">
        <v>0.66100000000000003</v>
      </c>
      <c r="U8683" s="508">
        <v>0.50600000000000001</v>
      </c>
      <c r="V8683" s="508">
        <v>0.46700000000000003</v>
      </c>
      <c r="W8683" s="508"/>
      <c r="X8683" s="508">
        <v>0.36899999999999999</v>
      </c>
      <c r="Y8683" s="508"/>
      <c r="Z8683" s="508"/>
      <c r="AA8683" s="508"/>
      <c r="AB8683" s="508"/>
      <c r="AC8683" s="508"/>
      <c r="AD8683" s="508"/>
      <c r="AE8683" s="508"/>
      <c r="AF8683" s="508"/>
      <c r="AG8683" s="508"/>
      <c r="AH8683" s="508"/>
      <c r="AI8683" s="492"/>
      <c r="AJ8683" s="485"/>
    </row>
    <row r="8684" spans="2:36">
      <c r="B8684" s="136" t="s">
        <v>479</v>
      </c>
      <c r="C8684" s="132" t="s">
        <v>1374</v>
      </c>
      <c r="D8684" s="132" t="s">
        <v>1384</v>
      </c>
      <c r="E8684" s="508">
        <v>3.9689999999999999</v>
      </c>
      <c r="F8684" s="508">
        <v>3.694</v>
      </c>
      <c r="G8684" s="508">
        <v>3.4580000000000002</v>
      </c>
      <c r="H8684" s="508">
        <v>3.2679999999999998</v>
      </c>
      <c r="I8684" s="508">
        <v>3.145</v>
      </c>
      <c r="J8684" s="508">
        <v>2.9740000000000002</v>
      </c>
      <c r="K8684" s="508">
        <v>2.8450000000000002</v>
      </c>
      <c r="L8684" s="508">
        <v>2.7360000000000002</v>
      </c>
      <c r="M8684" s="508">
        <v>2.673</v>
      </c>
      <c r="N8684" s="508">
        <v>2.5539999999999998</v>
      </c>
      <c r="O8684" s="508">
        <v>2.4830000000000001</v>
      </c>
      <c r="P8684" s="508">
        <v>1.17</v>
      </c>
      <c r="Q8684" s="508">
        <v>1.127</v>
      </c>
      <c r="R8684" s="508">
        <v>0.93799999999999994</v>
      </c>
      <c r="S8684" s="508">
        <v>0.89500000000000002</v>
      </c>
      <c r="T8684" s="508">
        <v>0.84799999999999998</v>
      </c>
      <c r="U8684" s="508">
        <v>0.68500000000000005</v>
      </c>
      <c r="V8684" s="508">
        <v>0.63300000000000001</v>
      </c>
      <c r="W8684" s="508"/>
      <c r="X8684" s="508">
        <v>0.51100000000000001</v>
      </c>
      <c r="Y8684" s="508"/>
      <c r="Z8684" s="508"/>
      <c r="AA8684" s="508"/>
      <c r="AB8684" s="508"/>
      <c r="AC8684" s="508"/>
      <c r="AD8684" s="508"/>
      <c r="AE8684" s="508"/>
      <c r="AF8684" s="508"/>
      <c r="AG8684" s="508"/>
      <c r="AH8684" s="508"/>
      <c r="AI8684" s="492"/>
      <c r="AJ8684" s="485"/>
    </row>
    <row r="8685" spans="2:36">
      <c r="B8685" s="136" t="s">
        <v>480</v>
      </c>
      <c r="C8685" s="132" t="s">
        <v>1374</v>
      </c>
      <c r="D8685" s="132" t="s">
        <v>1384</v>
      </c>
      <c r="E8685" s="508">
        <v>2.87</v>
      </c>
      <c r="F8685" s="508">
        <v>2.6760000000000002</v>
      </c>
      <c r="G8685" s="508">
        <v>2.5110000000000001</v>
      </c>
      <c r="H8685" s="508">
        <v>2.3780000000000001</v>
      </c>
      <c r="I8685" s="508">
        <v>2.2879999999999998</v>
      </c>
      <c r="J8685" s="508">
        <v>2.1709999999999998</v>
      </c>
      <c r="K8685" s="508">
        <v>2.0830000000000002</v>
      </c>
      <c r="L8685" s="508">
        <v>2.0059999999999998</v>
      </c>
      <c r="M8685" s="508">
        <v>1.9570000000000001</v>
      </c>
      <c r="N8685" s="508">
        <v>1.877</v>
      </c>
      <c r="O8685" s="508">
        <v>1.827</v>
      </c>
      <c r="P8685" s="508">
        <v>0.83599999999999997</v>
      </c>
      <c r="Q8685" s="508">
        <v>0.81100000000000005</v>
      </c>
      <c r="R8685" s="508">
        <v>0.71199999999999997</v>
      </c>
      <c r="S8685" s="508">
        <v>0.68700000000000006</v>
      </c>
      <c r="T8685" s="508">
        <v>0.65100000000000002</v>
      </c>
      <c r="U8685" s="508">
        <v>0.52100000000000002</v>
      </c>
      <c r="V8685" s="508">
        <v>0.48299999999999998</v>
      </c>
      <c r="W8685" s="508"/>
      <c r="X8685" s="508">
        <v>0.39</v>
      </c>
      <c r="Y8685" s="508"/>
      <c r="Z8685" s="508"/>
      <c r="AA8685" s="508"/>
      <c r="AB8685" s="508"/>
      <c r="AC8685" s="508"/>
      <c r="AD8685" s="508"/>
      <c r="AE8685" s="508"/>
      <c r="AF8685" s="508"/>
      <c r="AG8685" s="508"/>
      <c r="AH8685" s="508"/>
      <c r="AI8685" s="492"/>
      <c r="AJ8685" s="485"/>
    </row>
    <row r="8686" spans="2:36">
      <c r="B8686" s="136" t="s">
        <v>481</v>
      </c>
      <c r="C8686" s="132" t="s">
        <v>1374</v>
      </c>
      <c r="D8686" s="132" t="s">
        <v>1384</v>
      </c>
      <c r="E8686" s="508">
        <v>3.8940000000000001</v>
      </c>
      <c r="F8686" s="508">
        <v>3.621</v>
      </c>
      <c r="G8686" s="508">
        <v>3.3879999999999999</v>
      </c>
      <c r="H8686" s="508">
        <v>3.2</v>
      </c>
      <c r="I8686" s="508">
        <v>3.0739999999999998</v>
      </c>
      <c r="J8686" s="508">
        <v>2.9079999999999999</v>
      </c>
      <c r="K8686" s="508">
        <v>2.782</v>
      </c>
      <c r="L8686" s="508">
        <v>2.673</v>
      </c>
      <c r="M8686" s="508">
        <v>2.6059999999999999</v>
      </c>
      <c r="N8686" s="508">
        <v>2.492</v>
      </c>
      <c r="O8686" s="508">
        <v>2.4209999999999998</v>
      </c>
      <c r="P8686" s="508">
        <v>1.111</v>
      </c>
      <c r="Q8686" s="508">
        <v>1.07</v>
      </c>
      <c r="R8686" s="508">
        <v>0.89800000000000002</v>
      </c>
      <c r="S8686" s="508">
        <v>0.85699999999999998</v>
      </c>
      <c r="T8686" s="508">
        <v>0.81</v>
      </c>
      <c r="U8686" s="508">
        <v>0.64800000000000002</v>
      </c>
      <c r="V8686" s="508">
        <v>0.59899999999999998</v>
      </c>
      <c r="W8686" s="508"/>
      <c r="X8686" s="508">
        <v>0.48099999999999998</v>
      </c>
      <c r="Y8686" s="508"/>
      <c r="Z8686" s="508"/>
      <c r="AA8686" s="508"/>
      <c r="AB8686" s="508"/>
      <c r="AC8686" s="508"/>
      <c r="AD8686" s="508"/>
      <c r="AE8686" s="508"/>
      <c r="AF8686" s="508"/>
      <c r="AG8686" s="508"/>
      <c r="AH8686" s="508"/>
      <c r="AI8686" s="492"/>
      <c r="AJ8686" s="485"/>
    </row>
    <row r="8687" spans="2:36">
      <c r="B8687" s="136" t="s">
        <v>482</v>
      </c>
      <c r="C8687" s="132" t="s">
        <v>1374</v>
      </c>
      <c r="D8687" s="132" t="s">
        <v>1384</v>
      </c>
      <c r="E8687" s="508">
        <v>4.2869999999999999</v>
      </c>
      <c r="F8687" s="508">
        <v>3.9809999999999999</v>
      </c>
      <c r="G8687" s="508">
        <v>3.7189999999999999</v>
      </c>
      <c r="H8687" s="508">
        <v>3.508</v>
      </c>
      <c r="I8687" s="508">
        <v>3.3660000000000001</v>
      </c>
      <c r="J8687" s="508">
        <v>3.1789999999999998</v>
      </c>
      <c r="K8687" s="508">
        <v>3.036</v>
      </c>
      <c r="L8687" s="508">
        <v>2.9140000000000001</v>
      </c>
      <c r="M8687" s="508">
        <v>2.84</v>
      </c>
      <c r="N8687" s="508">
        <v>2.7120000000000002</v>
      </c>
      <c r="O8687" s="508">
        <v>2.6320000000000001</v>
      </c>
      <c r="P8687" s="508">
        <v>1.232</v>
      </c>
      <c r="Q8687" s="508">
        <v>1.18</v>
      </c>
      <c r="R8687" s="508">
        <v>0.94799999999999995</v>
      </c>
      <c r="S8687" s="508">
        <v>0.89600000000000002</v>
      </c>
      <c r="T8687" s="508">
        <v>0.84499999999999997</v>
      </c>
      <c r="U8687" s="508">
        <v>0.67800000000000005</v>
      </c>
      <c r="V8687" s="508">
        <v>0.625</v>
      </c>
      <c r="W8687" s="508"/>
      <c r="X8687" s="508">
        <v>0.503</v>
      </c>
      <c r="Y8687" s="508"/>
      <c r="Z8687" s="508"/>
      <c r="AA8687" s="508"/>
      <c r="AB8687" s="508"/>
      <c r="AC8687" s="508"/>
      <c r="AD8687" s="508"/>
      <c r="AE8687" s="508"/>
      <c r="AF8687" s="508"/>
      <c r="AG8687" s="508"/>
      <c r="AH8687" s="508"/>
      <c r="AI8687" s="492"/>
      <c r="AJ8687" s="485"/>
    </row>
    <row r="8688" spans="2:36">
      <c r="B8688" s="136" t="s">
        <v>483</v>
      </c>
      <c r="C8688" s="132" t="s">
        <v>1374</v>
      </c>
      <c r="D8688" s="132" t="s">
        <v>1384</v>
      </c>
      <c r="E8688" s="508">
        <v>3.8010000000000002</v>
      </c>
      <c r="F8688" s="508">
        <v>3.5339999999999998</v>
      </c>
      <c r="G8688" s="508">
        <v>3.302</v>
      </c>
      <c r="H8688" s="508">
        <v>3.1179999999999999</v>
      </c>
      <c r="I8688" s="508">
        <v>3.0059999999999998</v>
      </c>
      <c r="J8688" s="508">
        <v>2.8330000000000002</v>
      </c>
      <c r="K8688" s="508">
        <v>2.7069999999999999</v>
      </c>
      <c r="L8688" s="508">
        <v>2.601</v>
      </c>
      <c r="M8688" s="508">
        <v>2.5489999999999999</v>
      </c>
      <c r="N8688" s="508">
        <v>2.4249999999999998</v>
      </c>
      <c r="O8688" s="508">
        <v>2.3570000000000002</v>
      </c>
      <c r="P8688" s="508">
        <v>1.0329999999999999</v>
      </c>
      <c r="Q8688" s="508">
        <v>0.997</v>
      </c>
      <c r="R8688" s="508">
        <v>0.84799999999999998</v>
      </c>
      <c r="S8688" s="508">
        <v>0.81399999999999995</v>
      </c>
      <c r="T8688" s="508">
        <v>0.76700000000000002</v>
      </c>
      <c r="U8688" s="508">
        <v>0.6</v>
      </c>
      <c r="V8688" s="508">
        <v>0.55500000000000005</v>
      </c>
      <c r="W8688" s="508"/>
      <c r="X8688" s="508">
        <v>0.44400000000000001</v>
      </c>
      <c r="Y8688" s="508"/>
      <c r="Z8688" s="508"/>
      <c r="AA8688" s="508"/>
      <c r="AB8688" s="508"/>
      <c r="AC8688" s="508"/>
      <c r="AD8688" s="508"/>
      <c r="AE8688" s="508"/>
      <c r="AF8688" s="508"/>
      <c r="AG8688" s="508"/>
      <c r="AH8688" s="508"/>
      <c r="AI8688" s="492"/>
      <c r="AJ8688" s="485"/>
    </row>
    <row r="8689" spans="2:36">
      <c r="B8689" s="136" t="s">
        <v>484</v>
      </c>
      <c r="C8689" s="132" t="s">
        <v>1374</v>
      </c>
      <c r="D8689" s="132" t="s">
        <v>1384</v>
      </c>
      <c r="E8689" s="508">
        <v>2.8450000000000002</v>
      </c>
      <c r="F8689" s="508">
        <v>2.649</v>
      </c>
      <c r="G8689" s="508">
        <v>2.4849999999999999</v>
      </c>
      <c r="H8689" s="508">
        <v>2.35</v>
      </c>
      <c r="I8689" s="508">
        <v>2.2509999999999999</v>
      </c>
      <c r="J8689" s="508">
        <v>2.1389999999999998</v>
      </c>
      <c r="K8689" s="508">
        <v>2.0510000000000002</v>
      </c>
      <c r="L8689" s="508">
        <v>1.9730000000000001</v>
      </c>
      <c r="M8689" s="508">
        <v>1.9159999999999999</v>
      </c>
      <c r="N8689" s="508">
        <v>1.8420000000000001</v>
      </c>
      <c r="O8689" s="508">
        <v>1.79</v>
      </c>
      <c r="P8689" s="508">
        <v>0.78200000000000003</v>
      </c>
      <c r="Q8689" s="508">
        <v>0.75700000000000001</v>
      </c>
      <c r="R8689" s="508">
        <v>0.66600000000000004</v>
      </c>
      <c r="S8689" s="508">
        <v>0.64100000000000001</v>
      </c>
      <c r="T8689" s="508">
        <v>0.60299999999999998</v>
      </c>
      <c r="U8689" s="508">
        <v>0.47599999999999998</v>
      </c>
      <c r="V8689" s="508">
        <v>0.441</v>
      </c>
      <c r="W8689" s="508"/>
      <c r="X8689" s="508">
        <v>0.35399999999999998</v>
      </c>
      <c r="Y8689" s="508"/>
      <c r="Z8689" s="508"/>
      <c r="AA8689" s="508"/>
      <c r="AB8689" s="508"/>
      <c r="AC8689" s="508"/>
      <c r="AD8689" s="508"/>
      <c r="AE8689" s="508"/>
      <c r="AF8689" s="508"/>
      <c r="AG8689" s="508"/>
      <c r="AH8689" s="508"/>
      <c r="AI8689" s="492"/>
      <c r="AJ8689" s="485"/>
    </row>
    <row r="8690" spans="2:36">
      <c r="B8690" s="136" t="s">
        <v>486</v>
      </c>
      <c r="C8690" s="132" t="s">
        <v>1374</v>
      </c>
      <c r="D8690" s="132" t="s">
        <v>1384</v>
      </c>
      <c r="E8690" s="508">
        <v>3.7759999999999998</v>
      </c>
      <c r="F8690" s="508">
        <v>3.5059999999999998</v>
      </c>
      <c r="G8690" s="508">
        <v>3.278</v>
      </c>
      <c r="H8690" s="508">
        <v>3.0920000000000001</v>
      </c>
      <c r="I8690" s="508">
        <v>2.9540000000000002</v>
      </c>
      <c r="J8690" s="508">
        <v>2.7989999999999999</v>
      </c>
      <c r="K8690" s="508">
        <v>2.6749999999999998</v>
      </c>
      <c r="L8690" s="508">
        <v>2.5680000000000001</v>
      </c>
      <c r="M8690" s="508">
        <v>2.4910000000000001</v>
      </c>
      <c r="N8690" s="508">
        <v>2.387</v>
      </c>
      <c r="O8690" s="508">
        <v>2.3149999999999999</v>
      </c>
      <c r="P8690" s="508">
        <v>1.0209999999999999</v>
      </c>
      <c r="Q8690" s="508">
        <v>0.98099999999999998</v>
      </c>
      <c r="R8690" s="508">
        <v>0.81899999999999995</v>
      </c>
      <c r="S8690" s="508">
        <v>0.77900000000000003</v>
      </c>
      <c r="T8690" s="508">
        <v>0.72899999999999998</v>
      </c>
      <c r="U8690" s="508">
        <v>0.57499999999999996</v>
      </c>
      <c r="V8690" s="508">
        <v>0.53100000000000003</v>
      </c>
      <c r="W8690" s="508"/>
      <c r="X8690" s="508">
        <v>0.42499999999999999</v>
      </c>
      <c r="Y8690" s="508"/>
      <c r="Z8690" s="508"/>
      <c r="AA8690" s="508"/>
      <c r="AB8690" s="508"/>
      <c r="AC8690" s="508"/>
      <c r="AD8690" s="508"/>
      <c r="AE8690" s="508"/>
      <c r="AF8690" s="508"/>
      <c r="AG8690" s="508"/>
      <c r="AH8690" s="508"/>
      <c r="AI8690" s="492"/>
      <c r="AJ8690" s="485"/>
    </row>
    <row r="8691" spans="2:36">
      <c r="B8691" s="136" t="s">
        <v>487</v>
      </c>
      <c r="C8691" s="132" t="s">
        <v>1374</v>
      </c>
      <c r="D8691" s="132" t="s">
        <v>1384</v>
      </c>
      <c r="E8691" s="508">
        <v>3.6269999999999998</v>
      </c>
      <c r="F8691" s="508">
        <v>3.3690000000000002</v>
      </c>
      <c r="G8691" s="508">
        <v>3.153</v>
      </c>
      <c r="H8691" s="508">
        <v>2.9750000000000001</v>
      </c>
      <c r="I8691" s="508">
        <v>2.8410000000000002</v>
      </c>
      <c r="J8691" s="508">
        <v>2.6949999999999998</v>
      </c>
      <c r="K8691" s="508">
        <v>2.58</v>
      </c>
      <c r="L8691" s="508">
        <v>2.4769999999999999</v>
      </c>
      <c r="M8691" s="508">
        <v>2.4</v>
      </c>
      <c r="N8691" s="508">
        <v>2.3039999999999998</v>
      </c>
      <c r="O8691" s="508">
        <v>2.2349999999999999</v>
      </c>
      <c r="P8691" s="508">
        <v>0.96799999999999997</v>
      </c>
      <c r="Q8691" s="508">
        <v>0.93400000000000005</v>
      </c>
      <c r="R8691" s="508">
        <v>0.80600000000000005</v>
      </c>
      <c r="S8691" s="508">
        <v>0.77200000000000002</v>
      </c>
      <c r="T8691" s="508">
        <v>0.72399999999999998</v>
      </c>
      <c r="U8691" s="508">
        <v>0.56999999999999995</v>
      </c>
      <c r="V8691" s="508">
        <v>0.52600000000000002</v>
      </c>
      <c r="W8691" s="508"/>
      <c r="X8691" s="508">
        <v>0.42</v>
      </c>
      <c r="Y8691" s="508"/>
      <c r="Z8691" s="508"/>
      <c r="AA8691" s="508"/>
      <c r="AB8691" s="508"/>
      <c r="AC8691" s="508"/>
      <c r="AD8691" s="508"/>
      <c r="AE8691" s="508"/>
      <c r="AF8691" s="508"/>
      <c r="AG8691" s="508"/>
      <c r="AH8691" s="508"/>
      <c r="AI8691" s="492"/>
      <c r="AJ8691" s="485"/>
    </row>
    <row r="8692" spans="2:36">
      <c r="B8692" s="136" t="s">
        <v>488</v>
      </c>
      <c r="C8692" s="132" t="s">
        <v>1374</v>
      </c>
      <c r="D8692" s="132" t="s">
        <v>1384</v>
      </c>
      <c r="E8692" s="508">
        <v>3.3959999999999999</v>
      </c>
      <c r="F8692" s="508">
        <v>3.1589999999999998</v>
      </c>
      <c r="G8692" s="508">
        <v>2.9580000000000002</v>
      </c>
      <c r="H8692" s="508">
        <v>2.7949999999999999</v>
      </c>
      <c r="I8692" s="508">
        <v>2.6819999999999999</v>
      </c>
      <c r="J8692" s="508">
        <v>2.54</v>
      </c>
      <c r="K8692" s="508">
        <v>2.4319999999999999</v>
      </c>
      <c r="L8692" s="508">
        <v>2.3380000000000001</v>
      </c>
      <c r="M8692" s="508">
        <v>2.2759999999999998</v>
      </c>
      <c r="N8692" s="508">
        <v>2.1800000000000002</v>
      </c>
      <c r="O8692" s="508">
        <v>2.1179999999999999</v>
      </c>
      <c r="P8692" s="508">
        <v>0.95699999999999996</v>
      </c>
      <c r="Q8692" s="508">
        <v>0.92500000000000004</v>
      </c>
      <c r="R8692" s="508">
        <v>0.79300000000000004</v>
      </c>
      <c r="S8692" s="508">
        <v>0.76</v>
      </c>
      <c r="T8692" s="508">
        <v>0.71699999999999997</v>
      </c>
      <c r="U8692" s="508">
        <v>0.57199999999999995</v>
      </c>
      <c r="V8692" s="508">
        <v>0.52900000000000003</v>
      </c>
      <c r="W8692" s="508"/>
      <c r="X8692" s="508">
        <v>0.42499999999999999</v>
      </c>
      <c r="Y8692" s="508"/>
      <c r="Z8692" s="508"/>
      <c r="AA8692" s="508"/>
      <c r="AB8692" s="508"/>
      <c r="AC8692" s="508"/>
      <c r="AD8692" s="508"/>
      <c r="AE8692" s="508"/>
      <c r="AF8692" s="508"/>
      <c r="AG8692" s="508"/>
      <c r="AH8692" s="508"/>
      <c r="AI8692" s="492"/>
      <c r="AJ8692" s="485"/>
    </row>
    <row r="8693" spans="2:36">
      <c r="B8693" s="136" t="s">
        <v>489</v>
      </c>
      <c r="C8693" s="132" t="s">
        <v>1374</v>
      </c>
      <c r="D8693" s="132" t="s">
        <v>1384</v>
      </c>
      <c r="E8693" s="508">
        <v>3.1349999999999998</v>
      </c>
      <c r="F8693" s="508">
        <v>2.9159999999999999</v>
      </c>
      <c r="G8693" s="508">
        <v>2.7330000000000001</v>
      </c>
      <c r="H8693" s="508">
        <v>2.5830000000000002</v>
      </c>
      <c r="I8693" s="508">
        <v>2.4700000000000002</v>
      </c>
      <c r="J8693" s="508">
        <v>2.3460000000000001</v>
      </c>
      <c r="K8693" s="508">
        <v>2.2490000000000001</v>
      </c>
      <c r="L8693" s="508">
        <v>2.1619999999999999</v>
      </c>
      <c r="M8693" s="508">
        <v>2.097</v>
      </c>
      <c r="N8693" s="508">
        <v>2.0150000000000001</v>
      </c>
      <c r="O8693" s="508">
        <v>1.9570000000000001</v>
      </c>
      <c r="P8693" s="508">
        <v>0.85299999999999998</v>
      </c>
      <c r="Q8693" s="508">
        <v>0.82399999999999995</v>
      </c>
      <c r="R8693" s="508">
        <v>0.71899999999999997</v>
      </c>
      <c r="S8693" s="508">
        <v>0.69</v>
      </c>
      <c r="T8693" s="508">
        <v>0.64800000000000002</v>
      </c>
      <c r="U8693" s="508">
        <v>0.51</v>
      </c>
      <c r="V8693" s="508">
        <v>0.47199999999999998</v>
      </c>
      <c r="W8693" s="508"/>
      <c r="X8693" s="508">
        <v>0.378</v>
      </c>
      <c r="Y8693" s="508"/>
      <c r="Z8693" s="508"/>
      <c r="AA8693" s="508"/>
      <c r="AB8693" s="508"/>
      <c r="AC8693" s="508"/>
      <c r="AD8693" s="508"/>
      <c r="AE8693" s="508"/>
      <c r="AF8693" s="508"/>
      <c r="AG8693" s="508"/>
      <c r="AH8693" s="508"/>
      <c r="AI8693" s="492"/>
      <c r="AJ8693" s="485"/>
    </row>
    <row r="8694" spans="2:36">
      <c r="B8694" s="136" t="s">
        <v>490</v>
      </c>
      <c r="C8694" s="132" t="s">
        <v>1374</v>
      </c>
      <c r="D8694" s="132" t="s">
        <v>1384</v>
      </c>
      <c r="E8694" s="508">
        <v>2.782</v>
      </c>
      <c r="F8694" s="508">
        <v>2.5939999999999999</v>
      </c>
      <c r="G8694" s="508">
        <v>2.431</v>
      </c>
      <c r="H8694" s="508">
        <v>2.302</v>
      </c>
      <c r="I8694" s="508">
        <v>2.2250000000000001</v>
      </c>
      <c r="J8694" s="508">
        <v>2.1030000000000002</v>
      </c>
      <c r="K8694" s="508">
        <v>2.0150000000000001</v>
      </c>
      <c r="L8694" s="508">
        <v>1.94</v>
      </c>
      <c r="M8694" s="508">
        <v>1.9039999999999999</v>
      </c>
      <c r="N8694" s="508">
        <v>1.8160000000000001</v>
      </c>
      <c r="O8694" s="508">
        <v>1.7689999999999999</v>
      </c>
      <c r="P8694" s="508">
        <v>0.79200000000000004</v>
      </c>
      <c r="Q8694" s="508">
        <v>0.76900000000000002</v>
      </c>
      <c r="R8694" s="508">
        <v>0.67700000000000005</v>
      </c>
      <c r="S8694" s="508">
        <v>0.65500000000000003</v>
      </c>
      <c r="T8694" s="508">
        <v>0.621</v>
      </c>
      <c r="U8694" s="508">
        <v>0.49199999999999999</v>
      </c>
      <c r="V8694" s="508">
        <v>0.45600000000000002</v>
      </c>
      <c r="W8694" s="508"/>
      <c r="X8694" s="508">
        <v>0.36699999999999999</v>
      </c>
      <c r="Y8694" s="508"/>
      <c r="Z8694" s="508"/>
      <c r="AA8694" s="508"/>
      <c r="AB8694" s="508"/>
      <c r="AC8694" s="508"/>
      <c r="AD8694" s="508"/>
      <c r="AE8694" s="508"/>
      <c r="AF8694" s="508"/>
      <c r="AG8694" s="508"/>
      <c r="AH8694" s="508"/>
      <c r="AI8694" s="492"/>
      <c r="AJ8694" s="485"/>
    </row>
    <row r="8695" spans="2:36">
      <c r="B8695" s="136" t="s">
        <v>435</v>
      </c>
      <c r="C8695" s="132" t="s">
        <v>1375</v>
      </c>
      <c r="D8695" s="132" t="s">
        <v>1384</v>
      </c>
      <c r="E8695" s="508">
        <v>3.5000000000000003E-2</v>
      </c>
      <c r="F8695" s="508">
        <v>3.4000000000000002E-2</v>
      </c>
      <c r="G8695" s="508">
        <v>3.3000000000000002E-2</v>
      </c>
      <c r="H8695" s="508">
        <v>3.3000000000000002E-2</v>
      </c>
      <c r="I8695" s="508">
        <v>3.3000000000000002E-2</v>
      </c>
      <c r="J8695" s="508">
        <v>3.3000000000000002E-2</v>
      </c>
      <c r="K8695" s="508">
        <v>3.3000000000000002E-2</v>
      </c>
      <c r="L8695" s="508">
        <v>3.3000000000000002E-2</v>
      </c>
      <c r="M8695" s="508">
        <v>3.3000000000000002E-2</v>
      </c>
      <c r="N8695" s="508">
        <v>3.3000000000000002E-2</v>
      </c>
      <c r="O8695" s="508">
        <v>3.3000000000000002E-2</v>
      </c>
      <c r="P8695" s="508">
        <v>2.4E-2</v>
      </c>
      <c r="Q8695" s="508">
        <v>2.5000000000000001E-2</v>
      </c>
      <c r="R8695" s="508">
        <v>2.5999999999999999E-2</v>
      </c>
      <c r="S8695" s="508">
        <v>2.5999999999999999E-2</v>
      </c>
      <c r="T8695" s="508">
        <v>2.1999999999999999E-2</v>
      </c>
      <c r="U8695" s="508">
        <v>2.4E-2</v>
      </c>
      <c r="V8695" s="508">
        <v>2.3E-2</v>
      </c>
      <c r="W8695" s="508">
        <v>2.3E-2</v>
      </c>
      <c r="X8695" s="508">
        <v>2.3E-2</v>
      </c>
      <c r="Y8695" s="508">
        <v>2.3E-2</v>
      </c>
      <c r="Z8695" s="508">
        <v>2.3E-2</v>
      </c>
      <c r="AA8695" s="508">
        <v>2.3E-2</v>
      </c>
      <c r="AB8695" s="508">
        <v>2.3E-2</v>
      </c>
      <c r="AC8695" s="508">
        <v>2.3E-2</v>
      </c>
      <c r="AD8695" s="508">
        <v>2.3E-2</v>
      </c>
      <c r="AE8695" s="508">
        <v>2.3E-2</v>
      </c>
      <c r="AF8695" s="508">
        <v>2.3E-2</v>
      </c>
      <c r="AG8695" s="508">
        <v>2.3E-2</v>
      </c>
      <c r="AH8695" s="508">
        <v>2.1999999999999999E-2</v>
      </c>
      <c r="AI8695" s="492">
        <v>2.1999999999999999E-2</v>
      </c>
      <c r="AJ8695" s="485"/>
    </row>
    <row r="8696" spans="2:36">
      <c r="B8696" s="136" t="s">
        <v>436</v>
      </c>
      <c r="C8696" s="132" t="s">
        <v>1375</v>
      </c>
      <c r="D8696" s="132" t="s">
        <v>1384</v>
      </c>
      <c r="E8696" s="508">
        <v>3.5000000000000003E-2</v>
      </c>
      <c r="F8696" s="508">
        <v>3.4000000000000002E-2</v>
      </c>
      <c r="G8696" s="508">
        <v>3.3000000000000002E-2</v>
      </c>
      <c r="H8696" s="508">
        <v>3.3000000000000002E-2</v>
      </c>
      <c r="I8696" s="508">
        <v>3.2000000000000001E-2</v>
      </c>
      <c r="J8696" s="508">
        <v>3.2000000000000001E-2</v>
      </c>
      <c r="K8696" s="508">
        <v>3.2000000000000001E-2</v>
      </c>
      <c r="L8696" s="508">
        <v>3.2000000000000001E-2</v>
      </c>
      <c r="M8696" s="508">
        <v>3.1E-2</v>
      </c>
      <c r="N8696" s="508">
        <v>3.1E-2</v>
      </c>
      <c r="O8696" s="508">
        <v>3.1E-2</v>
      </c>
      <c r="P8696" s="508">
        <v>2.3E-2</v>
      </c>
      <c r="Q8696" s="508">
        <v>2.4E-2</v>
      </c>
      <c r="R8696" s="508">
        <v>2.5000000000000001E-2</v>
      </c>
      <c r="S8696" s="508">
        <v>2.5000000000000001E-2</v>
      </c>
      <c r="T8696" s="508">
        <v>2.1000000000000001E-2</v>
      </c>
      <c r="U8696" s="508">
        <v>2.3E-2</v>
      </c>
      <c r="V8696" s="508">
        <v>2.1999999999999999E-2</v>
      </c>
      <c r="W8696" s="508">
        <v>2.1999999999999999E-2</v>
      </c>
      <c r="X8696" s="508">
        <v>2.1999999999999999E-2</v>
      </c>
      <c r="Y8696" s="508">
        <v>2.1999999999999999E-2</v>
      </c>
      <c r="Z8696" s="508">
        <v>2.1999999999999999E-2</v>
      </c>
      <c r="AA8696" s="508">
        <v>2.1999999999999999E-2</v>
      </c>
      <c r="AB8696" s="508">
        <v>2.1999999999999999E-2</v>
      </c>
      <c r="AC8696" s="508">
        <v>2.1999999999999999E-2</v>
      </c>
      <c r="AD8696" s="508">
        <v>2.1000000000000001E-2</v>
      </c>
      <c r="AE8696" s="508">
        <v>2.1000000000000001E-2</v>
      </c>
      <c r="AF8696" s="508">
        <v>2.1000000000000001E-2</v>
      </c>
      <c r="AG8696" s="508">
        <v>2.1000000000000001E-2</v>
      </c>
      <c r="AH8696" s="508">
        <v>2.1000000000000001E-2</v>
      </c>
      <c r="AI8696" s="492">
        <v>2.1000000000000001E-2</v>
      </c>
      <c r="AJ8696" s="485"/>
    </row>
    <row r="8697" spans="2:36">
      <c r="B8697" s="136" t="s">
        <v>437</v>
      </c>
      <c r="C8697" s="132" t="s">
        <v>1375</v>
      </c>
      <c r="D8697" s="132" t="s">
        <v>1384</v>
      </c>
      <c r="E8697" s="508">
        <v>3.5999999999999997E-2</v>
      </c>
      <c r="F8697" s="508">
        <v>3.5000000000000003E-2</v>
      </c>
      <c r="G8697" s="508">
        <v>3.5000000000000003E-2</v>
      </c>
      <c r="H8697" s="508">
        <v>3.5000000000000003E-2</v>
      </c>
      <c r="I8697" s="508">
        <v>3.4000000000000002E-2</v>
      </c>
      <c r="J8697" s="508">
        <v>3.4000000000000002E-2</v>
      </c>
      <c r="K8697" s="508">
        <v>3.4000000000000002E-2</v>
      </c>
      <c r="L8697" s="508">
        <v>3.4000000000000002E-2</v>
      </c>
      <c r="M8697" s="508">
        <v>3.4000000000000002E-2</v>
      </c>
      <c r="N8697" s="508">
        <v>3.4000000000000002E-2</v>
      </c>
      <c r="O8697" s="508">
        <v>3.4000000000000002E-2</v>
      </c>
      <c r="P8697" s="508">
        <v>2.5000000000000001E-2</v>
      </c>
      <c r="Q8697" s="508">
        <v>2.5999999999999999E-2</v>
      </c>
      <c r="R8697" s="508">
        <v>2.7E-2</v>
      </c>
      <c r="S8697" s="508">
        <v>2.8000000000000001E-2</v>
      </c>
      <c r="T8697" s="508">
        <v>2.3E-2</v>
      </c>
      <c r="U8697" s="508">
        <v>2.5000000000000001E-2</v>
      </c>
      <c r="V8697" s="508">
        <v>2.4E-2</v>
      </c>
      <c r="W8697" s="508">
        <v>2.4E-2</v>
      </c>
      <c r="X8697" s="508">
        <v>2.4E-2</v>
      </c>
      <c r="Y8697" s="508">
        <v>2.4E-2</v>
      </c>
      <c r="Z8697" s="508">
        <v>2.4E-2</v>
      </c>
      <c r="AA8697" s="508">
        <v>2.4E-2</v>
      </c>
      <c r="AB8697" s="508">
        <v>2.4E-2</v>
      </c>
      <c r="AC8697" s="508">
        <v>2.4E-2</v>
      </c>
      <c r="AD8697" s="508">
        <v>2.4E-2</v>
      </c>
      <c r="AE8697" s="508">
        <v>2.4E-2</v>
      </c>
      <c r="AF8697" s="508">
        <v>2.4E-2</v>
      </c>
      <c r="AG8697" s="508">
        <v>2.4E-2</v>
      </c>
      <c r="AH8697" s="508">
        <v>2.3E-2</v>
      </c>
      <c r="AI8697" s="492">
        <v>2.3E-2</v>
      </c>
      <c r="AJ8697" s="485"/>
    </row>
    <row r="8698" spans="2:36">
      <c r="B8698" s="136" t="s">
        <v>438</v>
      </c>
      <c r="C8698" s="132" t="s">
        <v>1375</v>
      </c>
      <c r="D8698" s="132" t="s">
        <v>1384</v>
      </c>
      <c r="E8698" s="508">
        <v>3.4000000000000002E-2</v>
      </c>
      <c r="F8698" s="508">
        <v>3.3000000000000002E-2</v>
      </c>
      <c r="G8698" s="508">
        <v>3.2000000000000001E-2</v>
      </c>
      <c r="H8698" s="508">
        <v>3.2000000000000001E-2</v>
      </c>
      <c r="I8698" s="508">
        <v>3.2000000000000001E-2</v>
      </c>
      <c r="J8698" s="508">
        <v>3.2000000000000001E-2</v>
      </c>
      <c r="K8698" s="508">
        <v>3.2000000000000001E-2</v>
      </c>
      <c r="L8698" s="508">
        <v>3.2000000000000001E-2</v>
      </c>
      <c r="M8698" s="508">
        <v>3.1E-2</v>
      </c>
      <c r="N8698" s="508">
        <v>3.1E-2</v>
      </c>
      <c r="O8698" s="508">
        <v>3.1E-2</v>
      </c>
      <c r="P8698" s="508">
        <v>2.3E-2</v>
      </c>
      <c r="Q8698" s="508">
        <v>2.4E-2</v>
      </c>
      <c r="R8698" s="508">
        <v>2.5000000000000001E-2</v>
      </c>
      <c r="S8698" s="508">
        <v>2.5999999999999999E-2</v>
      </c>
      <c r="T8698" s="508">
        <v>2.1999999999999999E-2</v>
      </c>
      <c r="U8698" s="508">
        <v>2.3E-2</v>
      </c>
      <c r="V8698" s="508">
        <v>2.1999999999999999E-2</v>
      </c>
      <c r="W8698" s="508">
        <v>2.1999999999999999E-2</v>
      </c>
      <c r="X8698" s="508">
        <v>2.1999999999999999E-2</v>
      </c>
      <c r="Y8698" s="508">
        <v>2.1999999999999999E-2</v>
      </c>
      <c r="Z8698" s="508">
        <v>2.1999999999999999E-2</v>
      </c>
      <c r="AA8698" s="508">
        <v>2.1999999999999999E-2</v>
      </c>
      <c r="AB8698" s="508">
        <v>2.1999999999999999E-2</v>
      </c>
      <c r="AC8698" s="508">
        <v>2.1999999999999999E-2</v>
      </c>
      <c r="AD8698" s="508">
        <v>2.1999999999999999E-2</v>
      </c>
      <c r="AE8698" s="508">
        <v>2.1999999999999999E-2</v>
      </c>
      <c r="AF8698" s="508">
        <v>2.1999999999999999E-2</v>
      </c>
      <c r="AG8698" s="508">
        <v>2.1999999999999999E-2</v>
      </c>
      <c r="AH8698" s="508">
        <v>2.1000000000000001E-2</v>
      </c>
      <c r="AI8698" s="492">
        <v>2.1000000000000001E-2</v>
      </c>
      <c r="AJ8698" s="485"/>
    </row>
    <row r="8699" spans="2:36">
      <c r="B8699" s="136" t="s">
        <v>439</v>
      </c>
      <c r="C8699" s="132" t="s">
        <v>1375</v>
      </c>
      <c r="D8699" s="132" t="s">
        <v>1384</v>
      </c>
      <c r="E8699" s="508">
        <v>3.5999999999999997E-2</v>
      </c>
      <c r="F8699" s="508">
        <v>3.5000000000000003E-2</v>
      </c>
      <c r="G8699" s="508">
        <v>3.4000000000000002E-2</v>
      </c>
      <c r="H8699" s="508">
        <v>3.4000000000000002E-2</v>
      </c>
      <c r="I8699" s="508">
        <v>3.4000000000000002E-2</v>
      </c>
      <c r="J8699" s="508">
        <v>3.4000000000000002E-2</v>
      </c>
      <c r="K8699" s="508">
        <v>3.3000000000000002E-2</v>
      </c>
      <c r="L8699" s="508">
        <v>3.3000000000000002E-2</v>
      </c>
      <c r="M8699" s="508">
        <v>3.3000000000000002E-2</v>
      </c>
      <c r="N8699" s="508">
        <v>3.3000000000000002E-2</v>
      </c>
      <c r="O8699" s="508">
        <v>3.3000000000000002E-2</v>
      </c>
      <c r="P8699" s="508">
        <v>2.5000000000000001E-2</v>
      </c>
      <c r="Q8699" s="508">
        <v>2.5999999999999999E-2</v>
      </c>
      <c r="R8699" s="508">
        <v>2.5999999999999999E-2</v>
      </c>
      <c r="S8699" s="508">
        <v>2.7E-2</v>
      </c>
      <c r="T8699" s="508">
        <v>2.3E-2</v>
      </c>
      <c r="U8699" s="508">
        <v>2.4E-2</v>
      </c>
      <c r="V8699" s="508">
        <v>2.3E-2</v>
      </c>
      <c r="W8699" s="508">
        <v>2.3E-2</v>
      </c>
      <c r="X8699" s="508">
        <v>2.3E-2</v>
      </c>
      <c r="Y8699" s="508">
        <v>2.3E-2</v>
      </c>
      <c r="Z8699" s="508">
        <v>2.3E-2</v>
      </c>
      <c r="AA8699" s="508">
        <v>2.3E-2</v>
      </c>
      <c r="AB8699" s="508">
        <v>2.3E-2</v>
      </c>
      <c r="AC8699" s="508">
        <v>2.3E-2</v>
      </c>
      <c r="AD8699" s="508">
        <v>2.3E-2</v>
      </c>
      <c r="AE8699" s="508">
        <v>2.3E-2</v>
      </c>
      <c r="AF8699" s="508">
        <v>2.3E-2</v>
      </c>
      <c r="AG8699" s="508">
        <v>2.3E-2</v>
      </c>
      <c r="AH8699" s="508">
        <v>2.1999999999999999E-2</v>
      </c>
      <c r="AI8699" s="492">
        <v>2.1999999999999999E-2</v>
      </c>
      <c r="AJ8699" s="485"/>
    </row>
    <row r="8700" spans="2:36">
      <c r="B8700" s="136" t="s">
        <v>440</v>
      </c>
      <c r="C8700" s="132" t="s">
        <v>1375</v>
      </c>
      <c r="D8700" s="132" t="s">
        <v>1384</v>
      </c>
      <c r="E8700" s="508">
        <v>3.5999999999999997E-2</v>
      </c>
      <c r="F8700" s="508">
        <v>3.4000000000000002E-2</v>
      </c>
      <c r="G8700" s="508">
        <v>3.4000000000000002E-2</v>
      </c>
      <c r="H8700" s="508">
        <v>3.4000000000000002E-2</v>
      </c>
      <c r="I8700" s="508">
        <v>3.3000000000000002E-2</v>
      </c>
      <c r="J8700" s="508">
        <v>3.3000000000000002E-2</v>
      </c>
      <c r="K8700" s="508">
        <v>3.3000000000000002E-2</v>
      </c>
      <c r="L8700" s="508">
        <v>3.3000000000000002E-2</v>
      </c>
      <c r="M8700" s="508">
        <v>3.3000000000000002E-2</v>
      </c>
      <c r="N8700" s="508">
        <v>3.3000000000000002E-2</v>
      </c>
      <c r="O8700" s="508">
        <v>3.2000000000000001E-2</v>
      </c>
      <c r="P8700" s="508">
        <v>2.4E-2</v>
      </c>
      <c r="Q8700" s="508">
        <v>2.5000000000000001E-2</v>
      </c>
      <c r="R8700" s="508">
        <v>2.5999999999999999E-2</v>
      </c>
      <c r="S8700" s="508">
        <v>2.5999999999999999E-2</v>
      </c>
      <c r="T8700" s="508">
        <v>2.1999999999999999E-2</v>
      </c>
      <c r="U8700" s="508">
        <v>2.3E-2</v>
      </c>
      <c r="V8700" s="508">
        <v>2.3E-2</v>
      </c>
      <c r="W8700" s="508">
        <v>2.3E-2</v>
      </c>
      <c r="X8700" s="508">
        <v>2.3E-2</v>
      </c>
      <c r="Y8700" s="508">
        <v>2.1999999999999999E-2</v>
      </c>
      <c r="Z8700" s="508">
        <v>2.1999999999999999E-2</v>
      </c>
      <c r="AA8700" s="508">
        <v>2.1999999999999999E-2</v>
      </c>
      <c r="AB8700" s="508">
        <v>2.1999999999999999E-2</v>
      </c>
      <c r="AC8700" s="508">
        <v>2.1999999999999999E-2</v>
      </c>
      <c r="AD8700" s="508">
        <v>2.1999999999999999E-2</v>
      </c>
      <c r="AE8700" s="508">
        <v>2.1999999999999999E-2</v>
      </c>
      <c r="AF8700" s="508">
        <v>2.1999999999999999E-2</v>
      </c>
      <c r="AG8700" s="508">
        <v>2.1999999999999999E-2</v>
      </c>
      <c r="AH8700" s="508">
        <v>2.1000000000000001E-2</v>
      </c>
      <c r="AI8700" s="492">
        <v>2.1000000000000001E-2</v>
      </c>
      <c r="AJ8700" s="485"/>
    </row>
    <row r="8701" spans="2:36">
      <c r="B8701" s="136" t="s">
        <v>441</v>
      </c>
      <c r="C8701" s="132" t="s">
        <v>1375</v>
      </c>
      <c r="D8701" s="132" t="s">
        <v>1384</v>
      </c>
      <c r="E8701" s="508">
        <v>3.6999999999999998E-2</v>
      </c>
      <c r="F8701" s="508">
        <v>3.5000000000000003E-2</v>
      </c>
      <c r="G8701" s="508">
        <v>3.5000000000000003E-2</v>
      </c>
      <c r="H8701" s="508">
        <v>3.4000000000000002E-2</v>
      </c>
      <c r="I8701" s="508">
        <v>3.4000000000000002E-2</v>
      </c>
      <c r="J8701" s="508">
        <v>3.4000000000000002E-2</v>
      </c>
      <c r="K8701" s="508">
        <v>3.4000000000000002E-2</v>
      </c>
      <c r="L8701" s="508">
        <v>3.4000000000000002E-2</v>
      </c>
      <c r="M8701" s="508">
        <v>3.3000000000000002E-2</v>
      </c>
      <c r="N8701" s="508">
        <v>3.3000000000000002E-2</v>
      </c>
      <c r="O8701" s="508">
        <v>3.3000000000000002E-2</v>
      </c>
      <c r="P8701" s="508">
        <v>2.5000000000000001E-2</v>
      </c>
      <c r="Q8701" s="508">
        <v>2.5999999999999999E-2</v>
      </c>
      <c r="R8701" s="508">
        <v>2.5999999999999999E-2</v>
      </c>
      <c r="S8701" s="508">
        <v>2.7E-2</v>
      </c>
      <c r="T8701" s="508">
        <v>2.3E-2</v>
      </c>
      <c r="U8701" s="508">
        <v>2.4E-2</v>
      </c>
      <c r="V8701" s="508">
        <v>2.3E-2</v>
      </c>
      <c r="W8701" s="508">
        <v>2.3E-2</v>
      </c>
      <c r="X8701" s="508">
        <v>2.3E-2</v>
      </c>
      <c r="Y8701" s="508">
        <v>2.3E-2</v>
      </c>
      <c r="Z8701" s="508">
        <v>2.3E-2</v>
      </c>
      <c r="AA8701" s="508">
        <v>2.3E-2</v>
      </c>
      <c r="AB8701" s="508">
        <v>2.3E-2</v>
      </c>
      <c r="AC8701" s="508">
        <v>2.3E-2</v>
      </c>
      <c r="AD8701" s="508">
        <v>2.3E-2</v>
      </c>
      <c r="AE8701" s="508">
        <v>2.3E-2</v>
      </c>
      <c r="AF8701" s="508">
        <v>2.3E-2</v>
      </c>
      <c r="AG8701" s="508">
        <v>2.3E-2</v>
      </c>
      <c r="AH8701" s="508">
        <v>2.1999999999999999E-2</v>
      </c>
      <c r="AI8701" s="492">
        <v>2.1999999999999999E-2</v>
      </c>
      <c r="AJ8701" s="485"/>
    </row>
    <row r="8702" spans="2:36">
      <c r="B8702" s="136" t="s">
        <v>443</v>
      </c>
      <c r="C8702" s="132" t="s">
        <v>1375</v>
      </c>
      <c r="D8702" s="132" t="s">
        <v>1384</v>
      </c>
      <c r="E8702" s="508">
        <v>3.5999999999999997E-2</v>
      </c>
      <c r="F8702" s="508">
        <v>3.5000000000000003E-2</v>
      </c>
      <c r="G8702" s="508">
        <v>3.4000000000000002E-2</v>
      </c>
      <c r="H8702" s="508">
        <v>3.4000000000000002E-2</v>
      </c>
      <c r="I8702" s="508">
        <v>3.4000000000000002E-2</v>
      </c>
      <c r="J8702" s="508">
        <v>3.4000000000000002E-2</v>
      </c>
      <c r="K8702" s="508">
        <v>3.4000000000000002E-2</v>
      </c>
      <c r="L8702" s="508">
        <v>3.3000000000000002E-2</v>
      </c>
      <c r="M8702" s="508">
        <v>3.3000000000000002E-2</v>
      </c>
      <c r="N8702" s="508">
        <v>3.3000000000000002E-2</v>
      </c>
      <c r="O8702" s="508">
        <v>3.3000000000000002E-2</v>
      </c>
      <c r="P8702" s="508">
        <v>2.5000000000000001E-2</v>
      </c>
      <c r="Q8702" s="508">
        <v>2.5999999999999999E-2</v>
      </c>
      <c r="R8702" s="508">
        <v>2.5999999999999999E-2</v>
      </c>
      <c r="S8702" s="508">
        <v>2.7E-2</v>
      </c>
      <c r="T8702" s="508">
        <v>2.3E-2</v>
      </c>
      <c r="U8702" s="508">
        <v>2.4E-2</v>
      </c>
      <c r="V8702" s="508">
        <v>2.3E-2</v>
      </c>
      <c r="W8702" s="508">
        <v>2.3E-2</v>
      </c>
      <c r="X8702" s="508">
        <v>2.3E-2</v>
      </c>
      <c r="Y8702" s="508">
        <v>2.3E-2</v>
      </c>
      <c r="Z8702" s="508">
        <v>2.3E-2</v>
      </c>
      <c r="AA8702" s="508">
        <v>2.3E-2</v>
      </c>
      <c r="AB8702" s="508">
        <v>2.3E-2</v>
      </c>
      <c r="AC8702" s="508">
        <v>2.3E-2</v>
      </c>
      <c r="AD8702" s="508">
        <v>2.3E-2</v>
      </c>
      <c r="AE8702" s="508">
        <v>2.3E-2</v>
      </c>
      <c r="AF8702" s="508">
        <v>2.3E-2</v>
      </c>
      <c r="AG8702" s="508">
        <v>2.3E-2</v>
      </c>
      <c r="AH8702" s="508">
        <v>2.1999999999999999E-2</v>
      </c>
      <c r="AI8702" s="492">
        <v>2.1999999999999999E-2</v>
      </c>
      <c r="AJ8702" s="485"/>
    </row>
    <row r="8703" spans="2:36">
      <c r="B8703" s="136" t="s">
        <v>445</v>
      </c>
      <c r="C8703" s="132" t="s">
        <v>1375</v>
      </c>
      <c r="D8703" s="132" t="s">
        <v>1384</v>
      </c>
      <c r="E8703" s="508">
        <v>0.04</v>
      </c>
      <c r="F8703" s="508">
        <v>3.9E-2</v>
      </c>
      <c r="G8703" s="508">
        <v>3.7999999999999999E-2</v>
      </c>
      <c r="H8703" s="508">
        <v>3.7999999999999999E-2</v>
      </c>
      <c r="I8703" s="508">
        <v>3.7999999999999999E-2</v>
      </c>
      <c r="J8703" s="508">
        <v>3.6999999999999998E-2</v>
      </c>
      <c r="K8703" s="508">
        <v>3.6999999999999998E-2</v>
      </c>
      <c r="L8703" s="508">
        <v>3.6999999999999998E-2</v>
      </c>
      <c r="M8703" s="508">
        <v>3.6999999999999998E-2</v>
      </c>
      <c r="N8703" s="508">
        <v>3.6999999999999998E-2</v>
      </c>
      <c r="O8703" s="508">
        <v>3.6999999999999998E-2</v>
      </c>
      <c r="P8703" s="508">
        <v>2.7E-2</v>
      </c>
      <c r="Q8703" s="508">
        <v>2.8000000000000001E-2</v>
      </c>
      <c r="R8703" s="508">
        <v>2.9000000000000001E-2</v>
      </c>
      <c r="S8703" s="508">
        <v>0.03</v>
      </c>
      <c r="T8703" s="508">
        <v>2.5000000000000001E-2</v>
      </c>
      <c r="U8703" s="508">
        <v>2.7E-2</v>
      </c>
      <c r="V8703" s="508">
        <v>2.5999999999999999E-2</v>
      </c>
      <c r="W8703" s="508">
        <v>2.5999999999999999E-2</v>
      </c>
      <c r="X8703" s="508">
        <v>2.5999999999999999E-2</v>
      </c>
      <c r="Y8703" s="508">
        <v>2.5999999999999999E-2</v>
      </c>
      <c r="Z8703" s="508">
        <v>2.5999999999999999E-2</v>
      </c>
      <c r="AA8703" s="508">
        <v>2.5000000000000001E-2</v>
      </c>
      <c r="AB8703" s="508">
        <v>2.5000000000000001E-2</v>
      </c>
      <c r="AC8703" s="508">
        <v>2.5000000000000001E-2</v>
      </c>
      <c r="AD8703" s="508">
        <v>2.5000000000000001E-2</v>
      </c>
      <c r="AE8703" s="508">
        <v>2.5000000000000001E-2</v>
      </c>
      <c r="AF8703" s="508">
        <v>2.5000000000000001E-2</v>
      </c>
      <c r="AG8703" s="508">
        <v>2.5000000000000001E-2</v>
      </c>
      <c r="AH8703" s="508">
        <v>2.4E-2</v>
      </c>
      <c r="AI8703" s="492">
        <v>2.4E-2</v>
      </c>
      <c r="AJ8703" s="485"/>
    </row>
    <row r="8704" spans="2:36">
      <c r="B8704" s="136" t="s">
        <v>446</v>
      </c>
      <c r="C8704" s="132" t="s">
        <v>1375</v>
      </c>
      <c r="D8704" s="132" t="s">
        <v>1384</v>
      </c>
      <c r="E8704" s="508">
        <v>3.7999999999999999E-2</v>
      </c>
      <c r="F8704" s="508">
        <v>3.6999999999999998E-2</v>
      </c>
      <c r="G8704" s="508">
        <v>3.6999999999999998E-2</v>
      </c>
      <c r="H8704" s="508">
        <v>3.5999999999999997E-2</v>
      </c>
      <c r="I8704" s="508">
        <v>3.5999999999999997E-2</v>
      </c>
      <c r="J8704" s="508">
        <v>3.5999999999999997E-2</v>
      </c>
      <c r="K8704" s="508">
        <v>3.5999999999999997E-2</v>
      </c>
      <c r="L8704" s="508">
        <v>3.5999999999999997E-2</v>
      </c>
      <c r="M8704" s="508">
        <v>3.5999999999999997E-2</v>
      </c>
      <c r="N8704" s="508">
        <v>3.5999999999999997E-2</v>
      </c>
      <c r="O8704" s="508">
        <v>3.5999999999999997E-2</v>
      </c>
      <c r="P8704" s="508">
        <v>2.7E-2</v>
      </c>
      <c r="Q8704" s="508">
        <v>2.8000000000000001E-2</v>
      </c>
      <c r="R8704" s="508">
        <v>2.9000000000000001E-2</v>
      </c>
      <c r="S8704" s="508">
        <v>2.9000000000000001E-2</v>
      </c>
      <c r="T8704" s="508">
        <v>2.5000000000000001E-2</v>
      </c>
      <c r="U8704" s="508">
        <v>2.5999999999999999E-2</v>
      </c>
      <c r="V8704" s="508">
        <v>2.5000000000000001E-2</v>
      </c>
      <c r="W8704" s="508">
        <v>2.5000000000000001E-2</v>
      </c>
      <c r="X8704" s="508">
        <v>2.5000000000000001E-2</v>
      </c>
      <c r="Y8704" s="508">
        <v>2.5000000000000001E-2</v>
      </c>
      <c r="Z8704" s="508">
        <v>2.5000000000000001E-2</v>
      </c>
      <c r="AA8704" s="508">
        <v>2.5000000000000001E-2</v>
      </c>
      <c r="AB8704" s="508">
        <v>2.5000000000000001E-2</v>
      </c>
      <c r="AC8704" s="508">
        <v>2.5000000000000001E-2</v>
      </c>
      <c r="AD8704" s="508">
        <v>2.5000000000000001E-2</v>
      </c>
      <c r="AE8704" s="508">
        <v>2.5000000000000001E-2</v>
      </c>
      <c r="AF8704" s="508">
        <v>2.5000000000000001E-2</v>
      </c>
      <c r="AG8704" s="508">
        <v>2.5000000000000001E-2</v>
      </c>
      <c r="AH8704" s="508">
        <v>2.4E-2</v>
      </c>
      <c r="AI8704" s="492">
        <v>2.4E-2</v>
      </c>
      <c r="AJ8704" s="485"/>
    </row>
    <row r="8705" spans="2:36">
      <c r="B8705" s="136" t="s">
        <v>448</v>
      </c>
      <c r="C8705" s="132" t="s">
        <v>1375</v>
      </c>
      <c r="D8705" s="132" t="s">
        <v>1384</v>
      </c>
      <c r="E8705" s="508">
        <v>3.4000000000000002E-2</v>
      </c>
      <c r="F8705" s="508">
        <v>3.3000000000000002E-2</v>
      </c>
      <c r="G8705" s="508">
        <v>3.3000000000000002E-2</v>
      </c>
      <c r="H8705" s="508">
        <v>3.3000000000000002E-2</v>
      </c>
      <c r="I8705" s="508">
        <v>3.2000000000000001E-2</v>
      </c>
      <c r="J8705" s="508">
        <v>3.2000000000000001E-2</v>
      </c>
      <c r="K8705" s="508">
        <v>3.2000000000000001E-2</v>
      </c>
      <c r="L8705" s="508">
        <v>3.2000000000000001E-2</v>
      </c>
      <c r="M8705" s="508">
        <v>3.2000000000000001E-2</v>
      </c>
      <c r="N8705" s="508">
        <v>3.2000000000000001E-2</v>
      </c>
      <c r="O8705" s="508">
        <v>3.2000000000000001E-2</v>
      </c>
      <c r="P8705" s="508">
        <v>2.4E-2</v>
      </c>
      <c r="Q8705" s="508">
        <v>2.5000000000000001E-2</v>
      </c>
      <c r="R8705" s="508">
        <v>2.5000000000000001E-2</v>
      </c>
      <c r="S8705" s="508">
        <v>2.5999999999999999E-2</v>
      </c>
      <c r="T8705" s="508">
        <v>2.1999999999999999E-2</v>
      </c>
      <c r="U8705" s="508">
        <v>2.3E-2</v>
      </c>
      <c r="V8705" s="508">
        <v>2.1999999999999999E-2</v>
      </c>
      <c r="W8705" s="508">
        <v>2.1999999999999999E-2</v>
      </c>
      <c r="X8705" s="508">
        <v>2.1999999999999999E-2</v>
      </c>
      <c r="Y8705" s="508">
        <v>2.1999999999999999E-2</v>
      </c>
      <c r="Z8705" s="508">
        <v>2.1999999999999999E-2</v>
      </c>
      <c r="AA8705" s="508">
        <v>2.1999999999999999E-2</v>
      </c>
      <c r="AB8705" s="508">
        <v>2.1999999999999999E-2</v>
      </c>
      <c r="AC8705" s="508">
        <v>2.1999999999999999E-2</v>
      </c>
      <c r="AD8705" s="508">
        <v>2.1999999999999999E-2</v>
      </c>
      <c r="AE8705" s="508">
        <v>2.1999999999999999E-2</v>
      </c>
      <c r="AF8705" s="508">
        <v>2.1999999999999999E-2</v>
      </c>
      <c r="AG8705" s="508">
        <v>2.1999999999999999E-2</v>
      </c>
      <c r="AH8705" s="508">
        <v>2.1000000000000001E-2</v>
      </c>
      <c r="AI8705" s="492">
        <v>2.1000000000000001E-2</v>
      </c>
      <c r="AJ8705" s="485"/>
    </row>
    <row r="8706" spans="2:36">
      <c r="B8706" s="136" t="s">
        <v>449</v>
      </c>
      <c r="C8706" s="132" t="s">
        <v>1375</v>
      </c>
      <c r="D8706" s="132" t="s">
        <v>1384</v>
      </c>
      <c r="E8706" s="508">
        <v>3.6999999999999998E-2</v>
      </c>
      <c r="F8706" s="508">
        <v>3.5999999999999997E-2</v>
      </c>
      <c r="G8706" s="508">
        <v>3.5000000000000003E-2</v>
      </c>
      <c r="H8706" s="508">
        <v>3.5000000000000003E-2</v>
      </c>
      <c r="I8706" s="508">
        <v>3.5000000000000003E-2</v>
      </c>
      <c r="J8706" s="508">
        <v>3.5000000000000003E-2</v>
      </c>
      <c r="K8706" s="508">
        <v>3.5000000000000003E-2</v>
      </c>
      <c r="L8706" s="508">
        <v>3.5000000000000003E-2</v>
      </c>
      <c r="M8706" s="508">
        <v>3.5000000000000003E-2</v>
      </c>
      <c r="N8706" s="508">
        <v>3.5000000000000003E-2</v>
      </c>
      <c r="O8706" s="508">
        <v>3.5000000000000003E-2</v>
      </c>
      <c r="P8706" s="508">
        <v>2.5999999999999999E-2</v>
      </c>
      <c r="Q8706" s="508">
        <v>2.7E-2</v>
      </c>
      <c r="R8706" s="508">
        <v>2.7E-2</v>
      </c>
      <c r="S8706" s="508">
        <v>2.8000000000000001E-2</v>
      </c>
      <c r="T8706" s="508">
        <v>2.4E-2</v>
      </c>
      <c r="U8706" s="508">
        <v>2.5000000000000001E-2</v>
      </c>
      <c r="V8706" s="508">
        <v>2.4E-2</v>
      </c>
      <c r="W8706" s="508">
        <v>2.4E-2</v>
      </c>
      <c r="X8706" s="508">
        <v>2.4E-2</v>
      </c>
      <c r="Y8706" s="508">
        <v>2.4E-2</v>
      </c>
      <c r="Z8706" s="508">
        <v>2.4E-2</v>
      </c>
      <c r="AA8706" s="508">
        <v>2.4E-2</v>
      </c>
      <c r="AB8706" s="508">
        <v>2.4E-2</v>
      </c>
      <c r="AC8706" s="508">
        <v>2.4E-2</v>
      </c>
      <c r="AD8706" s="508">
        <v>2.4E-2</v>
      </c>
      <c r="AE8706" s="508">
        <v>2.4E-2</v>
      </c>
      <c r="AF8706" s="508">
        <v>2.4E-2</v>
      </c>
      <c r="AG8706" s="508">
        <v>2.4E-2</v>
      </c>
      <c r="AH8706" s="508">
        <v>2.3E-2</v>
      </c>
      <c r="AI8706" s="492">
        <v>2.3E-2</v>
      </c>
      <c r="AJ8706" s="485"/>
    </row>
    <row r="8707" spans="2:36">
      <c r="B8707" s="136" t="s">
        <v>450</v>
      </c>
      <c r="C8707" s="132" t="s">
        <v>1375</v>
      </c>
      <c r="D8707" s="132" t="s">
        <v>1384</v>
      </c>
      <c r="E8707" s="508">
        <v>3.4000000000000002E-2</v>
      </c>
      <c r="F8707" s="508">
        <v>3.3000000000000002E-2</v>
      </c>
      <c r="G8707" s="508">
        <v>3.3000000000000002E-2</v>
      </c>
      <c r="H8707" s="508">
        <v>3.2000000000000001E-2</v>
      </c>
      <c r="I8707" s="508">
        <v>3.2000000000000001E-2</v>
      </c>
      <c r="J8707" s="508">
        <v>3.2000000000000001E-2</v>
      </c>
      <c r="K8707" s="508">
        <v>3.2000000000000001E-2</v>
      </c>
      <c r="L8707" s="508">
        <v>3.2000000000000001E-2</v>
      </c>
      <c r="M8707" s="508">
        <v>3.1E-2</v>
      </c>
      <c r="N8707" s="508">
        <v>3.1E-2</v>
      </c>
      <c r="O8707" s="508">
        <v>3.1E-2</v>
      </c>
      <c r="P8707" s="508">
        <v>2.3E-2</v>
      </c>
      <c r="Q8707" s="508">
        <v>2.4E-2</v>
      </c>
      <c r="R8707" s="508">
        <v>2.5000000000000001E-2</v>
      </c>
      <c r="S8707" s="508">
        <v>2.5000000000000001E-2</v>
      </c>
      <c r="T8707" s="508">
        <v>2.1000000000000001E-2</v>
      </c>
      <c r="U8707" s="508">
        <v>2.3E-2</v>
      </c>
      <c r="V8707" s="508">
        <v>2.1999999999999999E-2</v>
      </c>
      <c r="W8707" s="508">
        <v>2.1999999999999999E-2</v>
      </c>
      <c r="X8707" s="508">
        <v>2.1999999999999999E-2</v>
      </c>
      <c r="Y8707" s="508">
        <v>2.1999999999999999E-2</v>
      </c>
      <c r="Z8707" s="508">
        <v>2.1999999999999999E-2</v>
      </c>
      <c r="AA8707" s="508">
        <v>2.1999999999999999E-2</v>
      </c>
      <c r="AB8707" s="508">
        <v>2.1999999999999999E-2</v>
      </c>
      <c r="AC8707" s="508">
        <v>2.1999999999999999E-2</v>
      </c>
      <c r="AD8707" s="508">
        <v>2.1999999999999999E-2</v>
      </c>
      <c r="AE8707" s="508">
        <v>2.1999999999999999E-2</v>
      </c>
      <c r="AF8707" s="508">
        <v>2.1999999999999999E-2</v>
      </c>
      <c r="AG8707" s="508">
        <v>2.1999999999999999E-2</v>
      </c>
      <c r="AH8707" s="508">
        <v>2.1000000000000001E-2</v>
      </c>
      <c r="AI8707" s="492">
        <v>2.1000000000000001E-2</v>
      </c>
      <c r="AJ8707" s="485"/>
    </row>
    <row r="8708" spans="2:36">
      <c r="B8708" s="136" t="s">
        <v>451</v>
      </c>
      <c r="C8708" s="132" t="s">
        <v>1375</v>
      </c>
      <c r="D8708" s="132" t="s">
        <v>1384</v>
      </c>
      <c r="E8708" s="508">
        <v>3.9E-2</v>
      </c>
      <c r="F8708" s="508">
        <v>3.7999999999999999E-2</v>
      </c>
      <c r="G8708" s="508">
        <v>3.6999999999999998E-2</v>
      </c>
      <c r="H8708" s="508">
        <v>3.5999999999999997E-2</v>
      </c>
      <c r="I8708" s="508">
        <v>3.5999999999999997E-2</v>
      </c>
      <c r="J8708" s="508">
        <v>3.5999999999999997E-2</v>
      </c>
      <c r="K8708" s="508">
        <v>3.5999999999999997E-2</v>
      </c>
      <c r="L8708" s="508">
        <v>3.5999999999999997E-2</v>
      </c>
      <c r="M8708" s="508">
        <v>3.5000000000000003E-2</v>
      </c>
      <c r="N8708" s="508">
        <v>3.5000000000000003E-2</v>
      </c>
      <c r="O8708" s="508">
        <v>3.5000000000000003E-2</v>
      </c>
      <c r="P8708" s="508">
        <v>2.5999999999999999E-2</v>
      </c>
      <c r="Q8708" s="508">
        <v>2.7E-2</v>
      </c>
      <c r="R8708" s="508">
        <v>2.8000000000000001E-2</v>
      </c>
      <c r="S8708" s="508">
        <v>2.9000000000000001E-2</v>
      </c>
      <c r="T8708" s="508">
        <v>2.4E-2</v>
      </c>
      <c r="U8708" s="508">
        <v>2.5999999999999999E-2</v>
      </c>
      <c r="V8708" s="508">
        <v>2.5000000000000001E-2</v>
      </c>
      <c r="W8708" s="508">
        <v>2.5000000000000001E-2</v>
      </c>
      <c r="X8708" s="508">
        <v>2.4E-2</v>
      </c>
      <c r="Y8708" s="508">
        <v>2.4E-2</v>
      </c>
      <c r="Z8708" s="508">
        <v>2.4E-2</v>
      </c>
      <c r="AA8708" s="508">
        <v>2.4E-2</v>
      </c>
      <c r="AB8708" s="508">
        <v>2.4E-2</v>
      </c>
      <c r="AC8708" s="508">
        <v>2.4E-2</v>
      </c>
      <c r="AD8708" s="508">
        <v>2.4E-2</v>
      </c>
      <c r="AE8708" s="508">
        <v>2.4E-2</v>
      </c>
      <c r="AF8708" s="508">
        <v>2.4E-2</v>
      </c>
      <c r="AG8708" s="508">
        <v>2.4E-2</v>
      </c>
      <c r="AH8708" s="508">
        <v>2.3E-2</v>
      </c>
      <c r="AI8708" s="492">
        <v>2.3E-2</v>
      </c>
      <c r="AJ8708" s="485"/>
    </row>
    <row r="8709" spans="2:36">
      <c r="B8709" s="136" t="s">
        <v>452</v>
      </c>
      <c r="C8709" s="132" t="s">
        <v>1375</v>
      </c>
      <c r="D8709" s="132" t="s">
        <v>1384</v>
      </c>
      <c r="E8709" s="508">
        <v>3.5999999999999997E-2</v>
      </c>
      <c r="F8709" s="508">
        <v>3.5000000000000003E-2</v>
      </c>
      <c r="G8709" s="508">
        <v>3.4000000000000002E-2</v>
      </c>
      <c r="H8709" s="508">
        <v>3.4000000000000002E-2</v>
      </c>
      <c r="I8709" s="508">
        <v>3.4000000000000002E-2</v>
      </c>
      <c r="J8709" s="508">
        <v>3.3000000000000002E-2</v>
      </c>
      <c r="K8709" s="508">
        <v>3.3000000000000002E-2</v>
      </c>
      <c r="L8709" s="508">
        <v>3.3000000000000002E-2</v>
      </c>
      <c r="M8709" s="508">
        <v>3.3000000000000002E-2</v>
      </c>
      <c r="N8709" s="508">
        <v>3.3000000000000002E-2</v>
      </c>
      <c r="O8709" s="508">
        <v>3.3000000000000002E-2</v>
      </c>
      <c r="P8709" s="508">
        <v>2.4E-2</v>
      </c>
      <c r="Q8709" s="508">
        <v>2.5000000000000001E-2</v>
      </c>
      <c r="R8709" s="508">
        <v>2.5999999999999999E-2</v>
      </c>
      <c r="S8709" s="508">
        <v>2.7E-2</v>
      </c>
      <c r="T8709" s="508">
        <v>2.3E-2</v>
      </c>
      <c r="U8709" s="508">
        <v>2.4E-2</v>
      </c>
      <c r="V8709" s="508">
        <v>2.3E-2</v>
      </c>
      <c r="W8709" s="508">
        <v>2.3E-2</v>
      </c>
      <c r="X8709" s="508">
        <v>2.3E-2</v>
      </c>
      <c r="Y8709" s="508">
        <v>2.3E-2</v>
      </c>
      <c r="Z8709" s="508">
        <v>2.3E-2</v>
      </c>
      <c r="AA8709" s="508">
        <v>2.3E-2</v>
      </c>
      <c r="AB8709" s="508">
        <v>2.3E-2</v>
      </c>
      <c r="AC8709" s="508">
        <v>2.3E-2</v>
      </c>
      <c r="AD8709" s="508">
        <v>2.3E-2</v>
      </c>
      <c r="AE8709" s="508">
        <v>2.3E-2</v>
      </c>
      <c r="AF8709" s="508">
        <v>2.3E-2</v>
      </c>
      <c r="AG8709" s="508">
        <v>2.3E-2</v>
      </c>
      <c r="AH8709" s="508">
        <v>2.1999999999999999E-2</v>
      </c>
      <c r="AI8709" s="492">
        <v>2.1999999999999999E-2</v>
      </c>
      <c r="AJ8709" s="485"/>
    </row>
    <row r="8710" spans="2:36">
      <c r="B8710" s="136" t="s">
        <v>453</v>
      </c>
      <c r="C8710" s="132" t="s">
        <v>1375</v>
      </c>
      <c r="D8710" s="132" t="s">
        <v>1384</v>
      </c>
      <c r="E8710" s="508">
        <v>3.4000000000000002E-2</v>
      </c>
      <c r="F8710" s="508">
        <v>3.3000000000000002E-2</v>
      </c>
      <c r="G8710" s="508">
        <v>3.2000000000000001E-2</v>
      </c>
      <c r="H8710" s="508">
        <v>3.2000000000000001E-2</v>
      </c>
      <c r="I8710" s="508">
        <v>3.2000000000000001E-2</v>
      </c>
      <c r="J8710" s="508">
        <v>3.1E-2</v>
      </c>
      <c r="K8710" s="508">
        <v>3.1E-2</v>
      </c>
      <c r="L8710" s="508">
        <v>3.1E-2</v>
      </c>
      <c r="M8710" s="508">
        <v>3.1E-2</v>
      </c>
      <c r="N8710" s="508">
        <v>3.1E-2</v>
      </c>
      <c r="O8710" s="508">
        <v>3.1E-2</v>
      </c>
      <c r="P8710" s="508">
        <v>2.3E-2</v>
      </c>
      <c r="Q8710" s="508">
        <v>2.4E-2</v>
      </c>
      <c r="R8710" s="508">
        <v>2.5000000000000001E-2</v>
      </c>
      <c r="S8710" s="508">
        <v>2.5000000000000001E-2</v>
      </c>
      <c r="T8710" s="508">
        <v>2.1000000000000001E-2</v>
      </c>
      <c r="U8710" s="508">
        <v>2.1999999999999999E-2</v>
      </c>
      <c r="V8710" s="508">
        <v>2.1999999999999999E-2</v>
      </c>
      <c r="W8710" s="508">
        <v>2.1999999999999999E-2</v>
      </c>
      <c r="X8710" s="508">
        <v>2.1999999999999999E-2</v>
      </c>
      <c r="Y8710" s="508">
        <v>2.1000000000000001E-2</v>
      </c>
      <c r="Z8710" s="508">
        <v>2.1000000000000001E-2</v>
      </c>
      <c r="AA8710" s="508">
        <v>2.1000000000000001E-2</v>
      </c>
      <c r="AB8710" s="508">
        <v>2.1000000000000001E-2</v>
      </c>
      <c r="AC8710" s="508">
        <v>2.1000000000000001E-2</v>
      </c>
      <c r="AD8710" s="508">
        <v>2.1000000000000001E-2</v>
      </c>
      <c r="AE8710" s="508">
        <v>2.1000000000000001E-2</v>
      </c>
      <c r="AF8710" s="508">
        <v>2.1000000000000001E-2</v>
      </c>
      <c r="AG8710" s="508">
        <v>2.1000000000000001E-2</v>
      </c>
      <c r="AH8710" s="508">
        <v>0.02</v>
      </c>
      <c r="AI8710" s="492">
        <v>0.02</v>
      </c>
      <c r="AJ8710" s="485"/>
    </row>
    <row r="8711" spans="2:36">
      <c r="B8711" s="136" t="s">
        <v>454</v>
      </c>
      <c r="C8711" s="132" t="s">
        <v>1375</v>
      </c>
      <c r="D8711" s="132" t="s">
        <v>1384</v>
      </c>
      <c r="E8711" s="508">
        <v>3.4000000000000002E-2</v>
      </c>
      <c r="F8711" s="508">
        <v>3.3000000000000002E-2</v>
      </c>
      <c r="G8711" s="508">
        <v>3.3000000000000002E-2</v>
      </c>
      <c r="H8711" s="508">
        <v>3.2000000000000001E-2</v>
      </c>
      <c r="I8711" s="508">
        <v>3.2000000000000001E-2</v>
      </c>
      <c r="J8711" s="508">
        <v>3.2000000000000001E-2</v>
      </c>
      <c r="K8711" s="508">
        <v>3.2000000000000001E-2</v>
      </c>
      <c r="L8711" s="508">
        <v>3.2000000000000001E-2</v>
      </c>
      <c r="M8711" s="508">
        <v>3.2000000000000001E-2</v>
      </c>
      <c r="N8711" s="508">
        <v>3.2000000000000001E-2</v>
      </c>
      <c r="O8711" s="508">
        <v>3.2000000000000001E-2</v>
      </c>
      <c r="P8711" s="508">
        <v>2.3E-2</v>
      </c>
      <c r="Q8711" s="508">
        <v>2.4E-2</v>
      </c>
      <c r="R8711" s="508">
        <v>2.5000000000000001E-2</v>
      </c>
      <c r="S8711" s="508">
        <v>2.5999999999999999E-2</v>
      </c>
      <c r="T8711" s="508">
        <v>2.1999999999999999E-2</v>
      </c>
      <c r="U8711" s="508">
        <v>2.3E-2</v>
      </c>
      <c r="V8711" s="508">
        <v>2.1999999999999999E-2</v>
      </c>
      <c r="W8711" s="508">
        <v>2.1999999999999999E-2</v>
      </c>
      <c r="X8711" s="508">
        <v>2.1999999999999999E-2</v>
      </c>
      <c r="Y8711" s="508">
        <v>2.1999999999999999E-2</v>
      </c>
      <c r="Z8711" s="508">
        <v>2.1999999999999999E-2</v>
      </c>
      <c r="AA8711" s="508">
        <v>2.1999999999999999E-2</v>
      </c>
      <c r="AB8711" s="508">
        <v>2.1999999999999999E-2</v>
      </c>
      <c r="AC8711" s="508">
        <v>2.1999999999999999E-2</v>
      </c>
      <c r="AD8711" s="508">
        <v>2.1999999999999999E-2</v>
      </c>
      <c r="AE8711" s="508">
        <v>2.1999999999999999E-2</v>
      </c>
      <c r="AF8711" s="508">
        <v>2.1999999999999999E-2</v>
      </c>
      <c r="AG8711" s="508">
        <v>2.1999999999999999E-2</v>
      </c>
      <c r="AH8711" s="508">
        <v>2.1000000000000001E-2</v>
      </c>
      <c r="AI8711" s="492">
        <v>2.1000000000000001E-2</v>
      </c>
      <c r="AJ8711" s="485"/>
    </row>
    <row r="8712" spans="2:36">
      <c r="B8712" s="136" t="s">
        <v>455</v>
      </c>
      <c r="C8712" s="132" t="s">
        <v>1375</v>
      </c>
      <c r="D8712" s="132" t="s">
        <v>1384</v>
      </c>
      <c r="E8712" s="508">
        <v>3.4000000000000002E-2</v>
      </c>
      <c r="F8712" s="508">
        <v>3.3000000000000002E-2</v>
      </c>
      <c r="G8712" s="508">
        <v>3.2000000000000001E-2</v>
      </c>
      <c r="H8712" s="508">
        <v>3.2000000000000001E-2</v>
      </c>
      <c r="I8712" s="508">
        <v>3.2000000000000001E-2</v>
      </c>
      <c r="J8712" s="508">
        <v>3.2000000000000001E-2</v>
      </c>
      <c r="K8712" s="508">
        <v>3.1E-2</v>
      </c>
      <c r="L8712" s="508">
        <v>3.1E-2</v>
      </c>
      <c r="M8712" s="508">
        <v>3.1E-2</v>
      </c>
      <c r="N8712" s="508">
        <v>3.1E-2</v>
      </c>
      <c r="O8712" s="508">
        <v>3.1E-2</v>
      </c>
      <c r="P8712" s="508">
        <v>2.3E-2</v>
      </c>
      <c r="Q8712" s="508">
        <v>2.4E-2</v>
      </c>
      <c r="R8712" s="508">
        <v>2.5000000000000001E-2</v>
      </c>
      <c r="S8712" s="508">
        <v>2.5000000000000001E-2</v>
      </c>
      <c r="T8712" s="508">
        <v>2.1000000000000001E-2</v>
      </c>
      <c r="U8712" s="508">
        <v>2.3E-2</v>
      </c>
      <c r="V8712" s="508">
        <v>2.1999999999999999E-2</v>
      </c>
      <c r="W8712" s="508">
        <v>2.1999999999999999E-2</v>
      </c>
      <c r="X8712" s="508">
        <v>2.1999999999999999E-2</v>
      </c>
      <c r="Y8712" s="508">
        <v>2.1999999999999999E-2</v>
      </c>
      <c r="Z8712" s="508">
        <v>2.1999999999999999E-2</v>
      </c>
      <c r="AA8712" s="508">
        <v>2.1999999999999999E-2</v>
      </c>
      <c r="AB8712" s="508">
        <v>2.1999999999999999E-2</v>
      </c>
      <c r="AC8712" s="508">
        <v>2.1999999999999999E-2</v>
      </c>
      <c r="AD8712" s="508">
        <v>2.1999999999999999E-2</v>
      </c>
      <c r="AE8712" s="508">
        <v>2.1999999999999999E-2</v>
      </c>
      <c r="AF8712" s="508">
        <v>2.1999999999999999E-2</v>
      </c>
      <c r="AG8712" s="508">
        <v>2.1999999999999999E-2</v>
      </c>
      <c r="AH8712" s="508">
        <v>2.1000000000000001E-2</v>
      </c>
      <c r="AI8712" s="492">
        <v>2.1000000000000001E-2</v>
      </c>
      <c r="AJ8712" s="485"/>
    </row>
    <row r="8713" spans="2:36">
      <c r="B8713" s="136" t="s">
        <v>456</v>
      </c>
      <c r="C8713" s="132" t="s">
        <v>1375</v>
      </c>
      <c r="D8713" s="132" t="s">
        <v>1384</v>
      </c>
      <c r="E8713" s="508">
        <v>3.5000000000000003E-2</v>
      </c>
      <c r="F8713" s="508">
        <v>3.4000000000000002E-2</v>
      </c>
      <c r="G8713" s="508">
        <v>3.4000000000000002E-2</v>
      </c>
      <c r="H8713" s="508">
        <v>3.3000000000000002E-2</v>
      </c>
      <c r="I8713" s="508">
        <v>3.3000000000000002E-2</v>
      </c>
      <c r="J8713" s="508">
        <v>3.3000000000000002E-2</v>
      </c>
      <c r="K8713" s="508">
        <v>3.3000000000000002E-2</v>
      </c>
      <c r="L8713" s="508">
        <v>3.3000000000000002E-2</v>
      </c>
      <c r="M8713" s="508">
        <v>3.3000000000000002E-2</v>
      </c>
      <c r="N8713" s="508">
        <v>3.3000000000000002E-2</v>
      </c>
      <c r="O8713" s="508">
        <v>3.3000000000000002E-2</v>
      </c>
      <c r="P8713" s="508">
        <v>2.4E-2</v>
      </c>
      <c r="Q8713" s="508">
        <v>2.5000000000000001E-2</v>
      </c>
      <c r="R8713" s="508">
        <v>2.5999999999999999E-2</v>
      </c>
      <c r="S8713" s="508">
        <v>2.7E-2</v>
      </c>
      <c r="T8713" s="508">
        <v>2.3E-2</v>
      </c>
      <c r="U8713" s="508">
        <v>2.4E-2</v>
      </c>
      <c r="V8713" s="508">
        <v>2.3E-2</v>
      </c>
      <c r="W8713" s="508">
        <v>2.3E-2</v>
      </c>
      <c r="X8713" s="508">
        <v>2.3E-2</v>
      </c>
      <c r="Y8713" s="508">
        <v>2.3E-2</v>
      </c>
      <c r="Z8713" s="508">
        <v>2.3E-2</v>
      </c>
      <c r="AA8713" s="508">
        <v>2.3E-2</v>
      </c>
      <c r="AB8713" s="508">
        <v>2.3E-2</v>
      </c>
      <c r="AC8713" s="508">
        <v>2.3E-2</v>
      </c>
      <c r="AD8713" s="508">
        <v>2.3E-2</v>
      </c>
      <c r="AE8713" s="508">
        <v>2.3E-2</v>
      </c>
      <c r="AF8713" s="508">
        <v>2.3E-2</v>
      </c>
      <c r="AG8713" s="508">
        <v>2.3E-2</v>
      </c>
      <c r="AH8713" s="508">
        <v>2.1999999999999999E-2</v>
      </c>
      <c r="AI8713" s="492">
        <v>2.1999999999999999E-2</v>
      </c>
      <c r="AJ8713" s="485"/>
    </row>
    <row r="8714" spans="2:36">
      <c r="B8714" s="136" t="s">
        <v>457</v>
      </c>
      <c r="C8714" s="132" t="s">
        <v>1375</v>
      </c>
      <c r="D8714" s="132" t="s">
        <v>1384</v>
      </c>
      <c r="E8714" s="508">
        <v>3.3000000000000002E-2</v>
      </c>
      <c r="F8714" s="508">
        <v>3.2000000000000001E-2</v>
      </c>
      <c r="G8714" s="508">
        <v>3.1E-2</v>
      </c>
      <c r="H8714" s="508">
        <v>3.1E-2</v>
      </c>
      <c r="I8714" s="508">
        <v>3.1E-2</v>
      </c>
      <c r="J8714" s="508">
        <v>0.03</v>
      </c>
      <c r="K8714" s="508">
        <v>0.03</v>
      </c>
      <c r="L8714" s="508">
        <v>0.03</v>
      </c>
      <c r="M8714" s="508">
        <v>0.03</v>
      </c>
      <c r="N8714" s="508">
        <v>0.03</v>
      </c>
      <c r="O8714" s="508">
        <v>0.03</v>
      </c>
      <c r="P8714" s="508">
        <v>2.1999999999999999E-2</v>
      </c>
      <c r="Q8714" s="508">
        <v>2.3E-2</v>
      </c>
      <c r="R8714" s="508">
        <v>2.4E-2</v>
      </c>
      <c r="S8714" s="508">
        <v>2.4E-2</v>
      </c>
      <c r="T8714" s="508">
        <v>0.02</v>
      </c>
      <c r="U8714" s="508">
        <v>2.1999999999999999E-2</v>
      </c>
      <c r="V8714" s="508">
        <v>2.1000000000000001E-2</v>
      </c>
      <c r="W8714" s="508">
        <v>2.1000000000000001E-2</v>
      </c>
      <c r="X8714" s="508">
        <v>2.1000000000000001E-2</v>
      </c>
      <c r="Y8714" s="508">
        <v>2.1000000000000001E-2</v>
      </c>
      <c r="Z8714" s="508">
        <v>2.1000000000000001E-2</v>
      </c>
      <c r="AA8714" s="508">
        <v>2.1000000000000001E-2</v>
      </c>
      <c r="AB8714" s="508">
        <v>2.1000000000000001E-2</v>
      </c>
      <c r="AC8714" s="508">
        <v>2.1000000000000001E-2</v>
      </c>
      <c r="AD8714" s="508">
        <v>2.1000000000000001E-2</v>
      </c>
      <c r="AE8714" s="508">
        <v>2.1000000000000001E-2</v>
      </c>
      <c r="AF8714" s="508">
        <v>2.1000000000000001E-2</v>
      </c>
      <c r="AG8714" s="508">
        <v>2.1000000000000001E-2</v>
      </c>
      <c r="AH8714" s="508">
        <v>0.02</v>
      </c>
      <c r="AI8714" s="492">
        <v>0.02</v>
      </c>
      <c r="AJ8714" s="485"/>
    </row>
    <row r="8715" spans="2:36">
      <c r="B8715" s="136" t="s">
        <v>458</v>
      </c>
      <c r="C8715" s="132" t="s">
        <v>1375</v>
      </c>
      <c r="D8715" s="132" t="s">
        <v>1384</v>
      </c>
      <c r="E8715" s="508">
        <v>3.5999999999999997E-2</v>
      </c>
      <c r="F8715" s="508">
        <v>3.5000000000000003E-2</v>
      </c>
      <c r="G8715" s="508">
        <v>3.4000000000000002E-2</v>
      </c>
      <c r="H8715" s="508">
        <v>3.4000000000000002E-2</v>
      </c>
      <c r="I8715" s="508">
        <v>3.3000000000000002E-2</v>
      </c>
      <c r="J8715" s="508">
        <v>3.3000000000000002E-2</v>
      </c>
      <c r="K8715" s="508">
        <v>3.3000000000000002E-2</v>
      </c>
      <c r="L8715" s="508">
        <v>3.3000000000000002E-2</v>
      </c>
      <c r="M8715" s="508">
        <v>3.3000000000000002E-2</v>
      </c>
      <c r="N8715" s="508">
        <v>3.3000000000000002E-2</v>
      </c>
      <c r="O8715" s="508">
        <v>3.3000000000000002E-2</v>
      </c>
      <c r="P8715" s="508">
        <v>2.4E-2</v>
      </c>
      <c r="Q8715" s="508">
        <v>2.5000000000000001E-2</v>
      </c>
      <c r="R8715" s="508">
        <v>2.5999999999999999E-2</v>
      </c>
      <c r="S8715" s="508">
        <v>2.7E-2</v>
      </c>
      <c r="T8715" s="508">
        <v>2.1999999999999999E-2</v>
      </c>
      <c r="U8715" s="508">
        <v>2.4E-2</v>
      </c>
      <c r="V8715" s="508">
        <v>2.3E-2</v>
      </c>
      <c r="W8715" s="508">
        <v>2.3E-2</v>
      </c>
      <c r="X8715" s="508">
        <v>2.3E-2</v>
      </c>
      <c r="Y8715" s="508">
        <v>2.3E-2</v>
      </c>
      <c r="Z8715" s="508">
        <v>2.3E-2</v>
      </c>
      <c r="AA8715" s="508">
        <v>2.3E-2</v>
      </c>
      <c r="AB8715" s="508">
        <v>2.3E-2</v>
      </c>
      <c r="AC8715" s="508">
        <v>2.3E-2</v>
      </c>
      <c r="AD8715" s="508">
        <v>2.3E-2</v>
      </c>
      <c r="AE8715" s="508">
        <v>2.3E-2</v>
      </c>
      <c r="AF8715" s="508">
        <v>2.3E-2</v>
      </c>
      <c r="AG8715" s="508">
        <v>2.3E-2</v>
      </c>
      <c r="AH8715" s="508">
        <v>2.1999999999999999E-2</v>
      </c>
      <c r="AI8715" s="492">
        <v>2.1999999999999999E-2</v>
      </c>
      <c r="AJ8715" s="485"/>
    </row>
    <row r="8716" spans="2:36">
      <c r="B8716" s="136" t="s">
        <v>459</v>
      </c>
      <c r="C8716" s="132" t="s">
        <v>1375</v>
      </c>
      <c r="D8716" s="132" t="s">
        <v>1384</v>
      </c>
      <c r="E8716" s="508">
        <v>3.5999999999999997E-2</v>
      </c>
      <c r="F8716" s="508">
        <v>3.5000000000000003E-2</v>
      </c>
      <c r="G8716" s="508">
        <v>3.4000000000000002E-2</v>
      </c>
      <c r="H8716" s="508">
        <v>3.4000000000000002E-2</v>
      </c>
      <c r="I8716" s="508">
        <v>3.3000000000000002E-2</v>
      </c>
      <c r="J8716" s="508">
        <v>3.3000000000000002E-2</v>
      </c>
      <c r="K8716" s="508">
        <v>3.3000000000000002E-2</v>
      </c>
      <c r="L8716" s="508">
        <v>3.3000000000000002E-2</v>
      </c>
      <c r="M8716" s="508">
        <v>3.3000000000000002E-2</v>
      </c>
      <c r="N8716" s="508">
        <v>3.3000000000000002E-2</v>
      </c>
      <c r="O8716" s="508">
        <v>3.2000000000000001E-2</v>
      </c>
      <c r="P8716" s="508">
        <v>2.4E-2</v>
      </c>
      <c r="Q8716" s="508">
        <v>2.5000000000000001E-2</v>
      </c>
      <c r="R8716" s="508">
        <v>2.5999999999999999E-2</v>
      </c>
      <c r="S8716" s="508">
        <v>2.5999999999999999E-2</v>
      </c>
      <c r="T8716" s="508">
        <v>2.1999999999999999E-2</v>
      </c>
      <c r="U8716" s="508">
        <v>2.3E-2</v>
      </c>
      <c r="V8716" s="508">
        <v>2.3E-2</v>
      </c>
      <c r="W8716" s="508">
        <v>2.3E-2</v>
      </c>
      <c r="X8716" s="508">
        <v>2.3E-2</v>
      </c>
      <c r="Y8716" s="508">
        <v>2.1999999999999999E-2</v>
      </c>
      <c r="Z8716" s="508">
        <v>2.1999999999999999E-2</v>
      </c>
      <c r="AA8716" s="508">
        <v>2.1999999999999999E-2</v>
      </c>
      <c r="AB8716" s="508">
        <v>2.1999999999999999E-2</v>
      </c>
      <c r="AC8716" s="508">
        <v>2.1999999999999999E-2</v>
      </c>
      <c r="AD8716" s="508">
        <v>2.1999999999999999E-2</v>
      </c>
      <c r="AE8716" s="508">
        <v>2.1999999999999999E-2</v>
      </c>
      <c r="AF8716" s="508">
        <v>2.1999999999999999E-2</v>
      </c>
      <c r="AG8716" s="508">
        <v>2.1999999999999999E-2</v>
      </c>
      <c r="AH8716" s="508">
        <v>2.1000000000000001E-2</v>
      </c>
      <c r="AI8716" s="492">
        <v>2.1000000000000001E-2</v>
      </c>
      <c r="AJ8716" s="485"/>
    </row>
    <row r="8717" spans="2:36">
      <c r="B8717" s="136" t="s">
        <v>460</v>
      </c>
      <c r="C8717" s="132" t="s">
        <v>1375</v>
      </c>
      <c r="D8717" s="132" t="s">
        <v>1384</v>
      </c>
      <c r="E8717" s="508">
        <v>3.5999999999999997E-2</v>
      </c>
      <c r="F8717" s="508">
        <v>3.5000000000000003E-2</v>
      </c>
      <c r="G8717" s="508">
        <v>3.4000000000000002E-2</v>
      </c>
      <c r="H8717" s="508">
        <v>3.4000000000000002E-2</v>
      </c>
      <c r="I8717" s="508">
        <v>3.3000000000000002E-2</v>
      </c>
      <c r="J8717" s="508">
        <v>3.3000000000000002E-2</v>
      </c>
      <c r="K8717" s="508">
        <v>3.3000000000000002E-2</v>
      </c>
      <c r="L8717" s="508">
        <v>3.3000000000000002E-2</v>
      </c>
      <c r="M8717" s="508">
        <v>3.3000000000000002E-2</v>
      </c>
      <c r="N8717" s="508">
        <v>3.3000000000000002E-2</v>
      </c>
      <c r="O8717" s="508">
        <v>3.2000000000000001E-2</v>
      </c>
      <c r="P8717" s="508">
        <v>2.4E-2</v>
      </c>
      <c r="Q8717" s="508">
        <v>2.5000000000000001E-2</v>
      </c>
      <c r="R8717" s="508">
        <v>2.5999999999999999E-2</v>
      </c>
      <c r="S8717" s="508">
        <v>2.5999999999999999E-2</v>
      </c>
      <c r="T8717" s="508">
        <v>2.1999999999999999E-2</v>
      </c>
      <c r="U8717" s="508">
        <v>2.3E-2</v>
      </c>
      <c r="V8717" s="508">
        <v>2.3E-2</v>
      </c>
      <c r="W8717" s="508">
        <v>2.3E-2</v>
      </c>
      <c r="X8717" s="508">
        <v>2.3E-2</v>
      </c>
      <c r="Y8717" s="508">
        <v>2.3E-2</v>
      </c>
      <c r="Z8717" s="508">
        <v>2.1999999999999999E-2</v>
      </c>
      <c r="AA8717" s="508">
        <v>2.1999999999999999E-2</v>
      </c>
      <c r="AB8717" s="508">
        <v>2.1999999999999999E-2</v>
      </c>
      <c r="AC8717" s="508">
        <v>2.1999999999999999E-2</v>
      </c>
      <c r="AD8717" s="508">
        <v>2.1999999999999999E-2</v>
      </c>
      <c r="AE8717" s="508">
        <v>2.1999999999999999E-2</v>
      </c>
      <c r="AF8717" s="508">
        <v>2.1999999999999999E-2</v>
      </c>
      <c r="AG8717" s="508">
        <v>2.1999999999999999E-2</v>
      </c>
      <c r="AH8717" s="508">
        <v>2.1000000000000001E-2</v>
      </c>
      <c r="AI8717" s="492">
        <v>2.1000000000000001E-2</v>
      </c>
      <c r="AJ8717" s="485"/>
    </row>
    <row r="8718" spans="2:36">
      <c r="B8718" s="136" t="s">
        <v>461</v>
      </c>
      <c r="C8718" s="132" t="s">
        <v>1375</v>
      </c>
      <c r="D8718" s="132" t="s">
        <v>1384</v>
      </c>
      <c r="E8718" s="508">
        <v>3.5000000000000003E-2</v>
      </c>
      <c r="F8718" s="508">
        <v>3.4000000000000002E-2</v>
      </c>
      <c r="G8718" s="508">
        <v>3.3000000000000002E-2</v>
      </c>
      <c r="H8718" s="508">
        <v>3.3000000000000002E-2</v>
      </c>
      <c r="I8718" s="508">
        <v>3.2000000000000001E-2</v>
      </c>
      <c r="J8718" s="508">
        <v>3.2000000000000001E-2</v>
      </c>
      <c r="K8718" s="508">
        <v>3.2000000000000001E-2</v>
      </c>
      <c r="L8718" s="508">
        <v>3.2000000000000001E-2</v>
      </c>
      <c r="M8718" s="508">
        <v>3.2000000000000001E-2</v>
      </c>
      <c r="N8718" s="508">
        <v>3.2000000000000001E-2</v>
      </c>
      <c r="O8718" s="508">
        <v>3.2000000000000001E-2</v>
      </c>
      <c r="P8718" s="508">
        <v>2.3E-2</v>
      </c>
      <c r="Q8718" s="508">
        <v>2.4E-2</v>
      </c>
      <c r="R8718" s="508">
        <v>2.5000000000000001E-2</v>
      </c>
      <c r="S8718" s="508">
        <v>2.5999999999999999E-2</v>
      </c>
      <c r="T8718" s="508">
        <v>2.1999999999999999E-2</v>
      </c>
      <c r="U8718" s="508">
        <v>2.3E-2</v>
      </c>
      <c r="V8718" s="508">
        <v>2.1999999999999999E-2</v>
      </c>
      <c r="W8718" s="508">
        <v>2.1999999999999999E-2</v>
      </c>
      <c r="X8718" s="508">
        <v>2.1999999999999999E-2</v>
      </c>
      <c r="Y8718" s="508">
        <v>2.1999999999999999E-2</v>
      </c>
      <c r="Z8718" s="508">
        <v>2.1999999999999999E-2</v>
      </c>
      <c r="AA8718" s="508">
        <v>2.1999999999999999E-2</v>
      </c>
      <c r="AB8718" s="508">
        <v>2.1999999999999999E-2</v>
      </c>
      <c r="AC8718" s="508">
        <v>2.1999999999999999E-2</v>
      </c>
      <c r="AD8718" s="508">
        <v>2.1999999999999999E-2</v>
      </c>
      <c r="AE8718" s="508">
        <v>2.1999999999999999E-2</v>
      </c>
      <c r="AF8718" s="508">
        <v>2.1999999999999999E-2</v>
      </c>
      <c r="AG8718" s="508">
        <v>2.1999999999999999E-2</v>
      </c>
      <c r="AH8718" s="508">
        <v>2.1000000000000001E-2</v>
      </c>
      <c r="AI8718" s="492">
        <v>2.1000000000000001E-2</v>
      </c>
      <c r="AJ8718" s="485"/>
    </row>
    <row r="8719" spans="2:36">
      <c r="B8719" s="136" t="s">
        <v>462</v>
      </c>
      <c r="C8719" s="132" t="s">
        <v>1375</v>
      </c>
      <c r="D8719" s="132" t="s">
        <v>1384</v>
      </c>
      <c r="E8719" s="508">
        <v>3.4000000000000002E-2</v>
      </c>
      <c r="F8719" s="508">
        <v>3.3000000000000002E-2</v>
      </c>
      <c r="G8719" s="508">
        <v>3.2000000000000001E-2</v>
      </c>
      <c r="H8719" s="508">
        <v>3.2000000000000001E-2</v>
      </c>
      <c r="I8719" s="508">
        <v>3.2000000000000001E-2</v>
      </c>
      <c r="J8719" s="508">
        <v>3.2000000000000001E-2</v>
      </c>
      <c r="K8719" s="508">
        <v>3.2000000000000001E-2</v>
      </c>
      <c r="L8719" s="508">
        <v>3.2000000000000001E-2</v>
      </c>
      <c r="M8719" s="508">
        <v>3.2000000000000001E-2</v>
      </c>
      <c r="N8719" s="508">
        <v>3.2000000000000001E-2</v>
      </c>
      <c r="O8719" s="508">
        <v>3.2000000000000001E-2</v>
      </c>
      <c r="P8719" s="508">
        <v>2.3E-2</v>
      </c>
      <c r="Q8719" s="508">
        <v>2.4E-2</v>
      </c>
      <c r="R8719" s="508">
        <v>2.5000000000000001E-2</v>
      </c>
      <c r="S8719" s="508">
        <v>2.5999999999999999E-2</v>
      </c>
      <c r="T8719" s="508">
        <v>2.1999999999999999E-2</v>
      </c>
      <c r="U8719" s="508">
        <v>2.3E-2</v>
      </c>
      <c r="V8719" s="508">
        <v>2.1999999999999999E-2</v>
      </c>
      <c r="W8719" s="508">
        <v>2.1999999999999999E-2</v>
      </c>
      <c r="X8719" s="508">
        <v>2.1999999999999999E-2</v>
      </c>
      <c r="Y8719" s="508">
        <v>2.1999999999999999E-2</v>
      </c>
      <c r="Z8719" s="508">
        <v>2.1999999999999999E-2</v>
      </c>
      <c r="AA8719" s="508">
        <v>2.1999999999999999E-2</v>
      </c>
      <c r="AB8719" s="508">
        <v>2.1999999999999999E-2</v>
      </c>
      <c r="AC8719" s="508">
        <v>2.1999999999999999E-2</v>
      </c>
      <c r="AD8719" s="508">
        <v>2.1999999999999999E-2</v>
      </c>
      <c r="AE8719" s="508">
        <v>2.1999999999999999E-2</v>
      </c>
      <c r="AF8719" s="508">
        <v>2.1999999999999999E-2</v>
      </c>
      <c r="AG8719" s="508">
        <v>2.1999999999999999E-2</v>
      </c>
      <c r="AH8719" s="508">
        <v>2.1000000000000001E-2</v>
      </c>
      <c r="AI8719" s="492">
        <v>2.1000000000000001E-2</v>
      </c>
      <c r="AJ8719" s="485"/>
    </row>
    <row r="8720" spans="2:36">
      <c r="B8720" s="136" t="s">
        <v>463</v>
      </c>
      <c r="C8720" s="132" t="s">
        <v>1375</v>
      </c>
      <c r="D8720" s="132" t="s">
        <v>1384</v>
      </c>
      <c r="E8720" s="508">
        <v>3.4000000000000002E-2</v>
      </c>
      <c r="F8720" s="508">
        <v>3.3000000000000002E-2</v>
      </c>
      <c r="G8720" s="508">
        <v>3.2000000000000001E-2</v>
      </c>
      <c r="H8720" s="508">
        <v>3.2000000000000001E-2</v>
      </c>
      <c r="I8720" s="508">
        <v>3.2000000000000001E-2</v>
      </c>
      <c r="J8720" s="508">
        <v>3.1E-2</v>
      </c>
      <c r="K8720" s="508">
        <v>3.1E-2</v>
      </c>
      <c r="L8720" s="508">
        <v>3.1E-2</v>
      </c>
      <c r="M8720" s="508">
        <v>3.1E-2</v>
      </c>
      <c r="N8720" s="508">
        <v>3.1E-2</v>
      </c>
      <c r="O8720" s="508">
        <v>3.1E-2</v>
      </c>
      <c r="P8720" s="508">
        <v>2.3E-2</v>
      </c>
      <c r="Q8720" s="508">
        <v>2.4E-2</v>
      </c>
      <c r="R8720" s="508">
        <v>2.5000000000000001E-2</v>
      </c>
      <c r="S8720" s="508">
        <v>2.5000000000000001E-2</v>
      </c>
      <c r="T8720" s="508">
        <v>2.1000000000000001E-2</v>
      </c>
      <c r="U8720" s="508">
        <v>2.1999999999999999E-2</v>
      </c>
      <c r="V8720" s="508">
        <v>2.1999999999999999E-2</v>
      </c>
      <c r="W8720" s="508">
        <v>2.1999999999999999E-2</v>
      </c>
      <c r="X8720" s="508">
        <v>2.1999999999999999E-2</v>
      </c>
      <c r="Y8720" s="508">
        <v>2.1999999999999999E-2</v>
      </c>
      <c r="Z8720" s="508">
        <v>2.1999999999999999E-2</v>
      </c>
      <c r="AA8720" s="508">
        <v>2.1999999999999999E-2</v>
      </c>
      <c r="AB8720" s="508">
        <v>2.1999999999999999E-2</v>
      </c>
      <c r="AC8720" s="508">
        <v>2.1999999999999999E-2</v>
      </c>
      <c r="AD8720" s="508">
        <v>2.1999999999999999E-2</v>
      </c>
      <c r="AE8720" s="508">
        <v>2.1000000000000001E-2</v>
      </c>
      <c r="AF8720" s="508">
        <v>2.1000000000000001E-2</v>
      </c>
      <c r="AG8720" s="508">
        <v>2.1000000000000001E-2</v>
      </c>
      <c r="AH8720" s="508">
        <v>2.1000000000000001E-2</v>
      </c>
      <c r="AI8720" s="492">
        <v>2.1000000000000001E-2</v>
      </c>
      <c r="AJ8720" s="485"/>
    </row>
    <row r="8721" spans="2:36">
      <c r="B8721" s="136" t="s">
        <v>464</v>
      </c>
      <c r="C8721" s="132" t="s">
        <v>1375</v>
      </c>
      <c r="D8721" s="132" t="s">
        <v>1384</v>
      </c>
      <c r="E8721" s="508">
        <v>3.3000000000000002E-2</v>
      </c>
      <c r="F8721" s="508">
        <v>3.2000000000000001E-2</v>
      </c>
      <c r="G8721" s="508">
        <v>3.1E-2</v>
      </c>
      <c r="H8721" s="508">
        <v>3.1E-2</v>
      </c>
      <c r="I8721" s="508">
        <v>3.1E-2</v>
      </c>
      <c r="J8721" s="508">
        <v>3.1E-2</v>
      </c>
      <c r="K8721" s="508">
        <v>0.03</v>
      </c>
      <c r="L8721" s="508">
        <v>0.03</v>
      </c>
      <c r="M8721" s="508">
        <v>0.03</v>
      </c>
      <c r="N8721" s="508">
        <v>0.03</v>
      </c>
      <c r="O8721" s="508">
        <v>0.03</v>
      </c>
      <c r="P8721" s="508">
        <v>2.1999999999999999E-2</v>
      </c>
      <c r="Q8721" s="508">
        <v>2.3E-2</v>
      </c>
      <c r="R8721" s="508">
        <v>2.4E-2</v>
      </c>
      <c r="S8721" s="508">
        <v>2.4E-2</v>
      </c>
      <c r="T8721" s="508">
        <v>2.1000000000000001E-2</v>
      </c>
      <c r="U8721" s="508">
        <v>2.1999999999999999E-2</v>
      </c>
      <c r="V8721" s="508">
        <v>2.1000000000000001E-2</v>
      </c>
      <c r="W8721" s="508">
        <v>2.1000000000000001E-2</v>
      </c>
      <c r="X8721" s="508">
        <v>2.1000000000000001E-2</v>
      </c>
      <c r="Y8721" s="508">
        <v>2.1000000000000001E-2</v>
      </c>
      <c r="Z8721" s="508">
        <v>2.1000000000000001E-2</v>
      </c>
      <c r="AA8721" s="508">
        <v>2.1000000000000001E-2</v>
      </c>
      <c r="AB8721" s="508">
        <v>2.1000000000000001E-2</v>
      </c>
      <c r="AC8721" s="508">
        <v>2.1000000000000001E-2</v>
      </c>
      <c r="AD8721" s="508">
        <v>2.1000000000000001E-2</v>
      </c>
      <c r="AE8721" s="508">
        <v>2.1000000000000001E-2</v>
      </c>
      <c r="AF8721" s="508">
        <v>2.1000000000000001E-2</v>
      </c>
      <c r="AG8721" s="508">
        <v>2.1000000000000001E-2</v>
      </c>
      <c r="AH8721" s="508">
        <v>0.02</v>
      </c>
      <c r="AI8721" s="492">
        <v>0.02</v>
      </c>
      <c r="AJ8721" s="485"/>
    </row>
    <row r="8722" spans="2:36">
      <c r="B8722" s="136" t="s">
        <v>465</v>
      </c>
      <c r="C8722" s="132" t="s">
        <v>1375</v>
      </c>
      <c r="D8722" s="132" t="s">
        <v>1384</v>
      </c>
      <c r="E8722" s="508">
        <v>3.4000000000000002E-2</v>
      </c>
      <c r="F8722" s="508">
        <v>3.3000000000000002E-2</v>
      </c>
      <c r="G8722" s="508">
        <v>3.2000000000000001E-2</v>
      </c>
      <c r="H8722" s="508">
        <v>3.2000000000000001E-2</v>
      </c>
      <c r="I8722" s="508">
        <v>3.2000000000000001E-2</v>
      </c>
      <c r="J8722" s="508">
        <v>3.2000000000000001E-2</v>
      </c>
      <c r="K8722" s="508">
        <v>3.1E-2</v>
      </c>
      <c r="L8722" s="508">
        <v>3.1E-2</v>
      </c>
      <c r="M8722" s="508">
        <v>3.1E-2</v>
      </c>
      <c r="N8722" s="508">
        <v>3.1E-2</v>
      </c>
      <c r="O8722" s="508">
        <v>3.1E-2</v>
      </c>
      <c r="P8722" s="508">
        <v>2.3E-2</v>
      </c>
      <c r="Q8722" s="508">
        <v>2.4E-2</v>
      </c>
      <c r="R8722" s="508">
        <v>2.5000000000000001E-2</v>
      </c>
      <c r="S8722" s="508">
        <v>2.5000000000000001E-2</v>
      </c>
      <c r="T8722" s="508">
        <v>2.1000000000000001E-2</v>
      </c>
      <c r="U8722" s="508">
        <v>2.1999999999999999E-2</v>
      </c>
      <c r="V8722" s="508">
        <v>2.1999999999999999E-2</v>
      </c>
      <c r="W8722" s="508">
        <v>2.1999999999999999E-2</v>
      </c>
      <c r="X8722" s="508">
        <v>2.1999999999999999E-2</v>
      </c>
      <c r="Y8722" s="508">
        <v>2.1999999999999999E-2</v>
      </c>
      <c r="Z8722" s="508">
        <v>2.1999999999999999E-2</v>
      </c>
      <c r="AA8722" s="508">
        <v>2.1999999999999999E-2</v>
      </c>
      <c r="AB8722" s="508">
        <v>2.1999999999999999E-2</v>
      </c>
      <c r="AC8722" s="508">
        <v>2.1999999999999999E-2</v>
      </c>
      <c r="AD8722" s="508">
        <v>2.1999999999999999E-2</v>
      </c>
      <c r="AE8722" s="508">
        <v>2.1999999999999999E-2</v>
      </c>
      <c r="AF8722" s="508">
        <v>2.1999999999999999E-2</v>
      </c>
      <c r="AG8722" s="508">
        <v>2.1999999999999999E-2</v>
      </c>
      <c r="AH8722" s="508">
        <v>2.1000000000000001E-2</v>
      </c>
      <c r="AI8722" s="492">
        <v>2.1000000000000001E-2</v>
      </c>
      <c r="AJ8722" s="485"/>
    </row>
    <row r="8723" spans="2:36">
      <c r="B8723" s="136" t="s">
        <v>466</v>
      </c>
      <c r="C8723" s="132" t="s">
        <v>1375</v>
      </c>
      <c r="D8723" s="132" t="s">
        <v>1384</v>
      </c>
      <c r="E8723" s="508">
        <v>3.6999999999999998E-2</v>
      </c>
      <c r="F8723" s="508">
        <v>3.5999999999999997E-2</v>
      </c>
      <c r="G8723" s="508">
        <v>3.5000000000000003E-2</v>
      </c>
      <c r="H8723" s="508">
        <v>3.5000000000000003E-2</v>
      </c>
      <c r="I8723" s="508">
        <v>3.5000000000000003E-2</v>
      </c>
      <c r="J8723" s="508">
        <v>3.5000000000000003E-2</v>
      </c>
      <c r="K8723" s="508">
        <v>3.5000000000000003E-2</v>
      </c>
      <c r="L8723" s="508">
        <v>3.5000000000000003E-2</v>
      </c>
      <c r="M8723" s="508">
        <v>3.4000000000000002E-2</v>
      </c>
      <c r="N8723" s="508">
        <v>3.4000000000000002E-2</v>
      </c>
      <c r="O8723" s="508">
        <v>3.4000000000000002E-2</v>
      </c>
      <c r="P8723" s="508">
        <v>2.5000000000000001E-2</v>
      </c>
      <c r="Q8723" s="508">
        <v>2.7E-2</v>
      </c>
      <c r="R8723" s="508">
        <v>2.7E-2</v>
      </c>
      <c r="S8723" s="508">
        <v>2.8000000000000001E-2</v>
      </c>
      <c r="T8723" s="508">
        <v>2.4E-2</v>
      </c>
      <c r="U8723" s="508">
        <v>2.5000000000000001E-2</v>
      </c>
      <c r="V8723" s="508">
        <v>2.4E-2</v>
      </c>
      <c r="W8723" s="508">
        <v>2.4E-2</v>
      </c>
      <c r="X8723" s="508">
        <v>2.4E-2</v>
      </c>
      <c r="Y8723" s="508">
        <v>2.4E-2</v>
      </c>
      <c r="Z8723" s="508">
        <v>2.4E-2</v>
      </c>
      <c r="AA8723" s="508">
        <v>2.4E-2</v>
      </c>
      <c r="AB8723" s="508">
        <v>2.4E-2</v>
      </c>
      <c r="AC8723" s="508">
        <v>2.4E-2</v>
      </c>
      <c r="AD8723" s="508">
        <v>2.4E-2</v>
      </c>
      <c r="AE8723" s="508">
        <v>2.4E-2</v>
      </c>
      <c r="AF8723" s="508">
        <v>2.4E-2</v>
      </c>
      <c r="AG8723" s="508">
        <v>2.4E-2</v>
      </c>
      <c r="AH8723" s="508">
        <v>2.3E-2</v>
      </c>
      <c r="AI8723" s="492">
        <v>2.3E-2</v>
      </c>
      <c r="AJ8723" s="485"/>
    </row>
    <row r="8724" spans="2:36">
      <c r="B8724" s="136" t="s">
        <v>467</v>
      </c>
      <c r="C8724" s="132" t="s">
        <v>1375</v>
      </c>
      <c r="D8724" s="132" t="s">
        <v>1384</v>
      </c>
      <c r="E8724" s="508">
        <v>3.5000000000000003E-2</v>
      </c>
      <c r="F8724" s="508">
        <v>3.3000000000000002E-2</v>
      </c>
      <c r="G8724" s="508">
        <v>3.3000000000000002E-2</v>
      </c>
      <c r="H8724" s="508">
        <v>3.2000000000000001E-2</v>
      </c>
      <c r="I8724" s="508">
        <v>3.2000000000000001E-2</v>
      </c>
      <c r="J8724" s="508">
        <v>3.2000000000000001E-2</v>
      </c>
      <c r="K8724" s="508">
        <v>3.2000000000000001E-2</v>
      </c>
      <c r="L8724" s="508">
        <v>3.2000000000000001E-2</v>
      </c>
      <c r="M8724" s="508">
        <v>3.1E-2</v>
      </c>
      <c r="N8724" s="508">
        <v>3.1E-2</v>
      </c>
      <c r="O8724" s="508">
        <v>3.1E-2</v>
      </c>
      <c r="P8724" s="508">
        <v>2.3E-2</v>
      </c>
      <c r="Q8724" s="508">
        <v>2.4E-2</v>
      </c>
      <c r="R8724" s="508">
        <v>2.5000000000000001E-2</v>
      </c>
      <c r="S8724" s="508">
        <v>2.5000000000000001E-2</v>
      </c>
      <c r="T8724" s="508">
        <v>2.1000000000000001E-2</v>
      </c>
      <c r="U8724" s="508">
        <v>2.3E-2</v>
      </c>
      <c r="V8724" s="508">
        <v>2.1999999999999999E-2</v>
      </c>
      <c r="W8724" s="508">
        <v>2.1999999999999999E-2</v>
      </c>
      <c r="X8724" s="508">
        <v>2.1999999999999999E-2</v>
      </c>
      <c r="Y8724" s="508">
        <v>2.1999999999999999E-2</v>
      </c>
      <c r="Z8724" s="508">
        <v>2.1999999999999999E-2</v>
      </c>
      <c r="AA8724" s="508">
        <v>2.1999999999999999E-2</v>
      </c>
      <c r="AB8724" s="508">
        <v>2.1999999999999999E-2</v>
      </c>
      <c r="AC8724" s="508">
        <v>2.1999999999999999E-2</v>
      </c>
      <c r="AD8724" s="508">
        <v>2.1999999999999999E-2</v>
      </c>
      <c r="AE8724" s="508">
        <v>2.1999999999999999E-2</v>
      </c>
      <c r="AF8724" s="508">
        <v>2.1999999999999999E-2</v>
      </c>
      <c r="AG8724" s="508">
        <v>2.1999999999999999E-2</v>
      </c>
      <c r="AH8724" s="508">
        <v>2.1000000000000001E-2</v>
      </c>
      <c r="AI8724" s="492">
        <v>2.1000000000000001E-2</v>
      </c>
      <c r="AJ8724" s="485"/>
    </row>
    <row r="8725" spans="2:36">
      <c r="B8725" s="136" t="s">
        <v>468</v>
      </c>
      <c r="C8725" s="132" t="s">
        <v>1375</v>
      </c>
      <c r="D8725" s="132" t="s">
        <v>1384</v>
      </c>
      <c r="E8725" s="508">
        <v>3.3000000000000002E-2</v>
      </c>
      <c r="F8725" s="508">
        <v>3.2000000000000001E-2</v>
      </c>
      <c r="G8725" s="508">
        <v>3.2000000000000001E-2</v>
      </c>
      <c r="H8725" s="508">
        <v>3.1E-2</v>
      </c>
      <c r="I8725" s="508">
        <v>3.1E-2</v>
      </c>
      <c r="J8725" s="508">
        <v>3.1E-2</v>
      </c>
      <c r="K8725" s="508">
        <v>3.1E-2</v>
      </c>
      <c r="L8725" s="508">
        <v>3.1E-2</v>
      </c>
      <c r="M8725" s="508">
        <v>3.1E-2</v>
      </c>
      <c r="N8725" s="508">
        <v>3.1E-2</v>
      </c>
      <c r="O8725" s="508">
        <v>3.1E-2</v>
      </c>
      <c r="P8725" s="508">
        <v>2.3E-2</v>
      </c>
      <c r="Q8725" s="508">
        <v>2.4E-2</v>
      </c>
      <c r="R8725" s="508">
        <v>2.4E-2</v>
      </c>
      <c r="S8725" s="508">
        <v>2.5000000000000001E-2</v>
      </c>
      <c r="T8725" s="508">
        <v>2.1000000000000001E-2</v>
      </c>
      <c r="U8725" s="508">
        <v>2.1999999999999999E-2</v>
      </c>
      <c r="V8725" s="508">
        <v>2.1000000000000001E-2</v>
      </c>
      <c r="W8725" s="508">
        <v>2.1000000000000001E-2</v>
      </c>
      <c r="X8725" s="508">
        <v>2.1000000000000001E-2</v>
      </c>
      <c r="Y8725" s="508">
        <v>2.1000000000000001E-2</v>
      </c>
      <c r="Z8725" s="508">
        <v>2.1000000000000001E-2</v>
      </c>
      <c r="AA8725" s="508">
        <v>2.1000000000000001E-2</v>
      </c>
      <c r="AB8725" s="508">
        <v>2.1000000000000001E-2</v>
      </c>
      <c r="AC8725" s="508">
        <v>2.1000000000000001E-2</v>
      </c>
      <c r="AD8725" s="508">
        <v>2.1000000000000001E-2</v>
      </c>
      <c r="AE8725" s="508">
        <v>2.1000000000000001E-2</v>
      </c>
      <c r="AF8725" s="508">
        <v>2.1000000000000001E-2</v>
      </c>
      <c r="AG8725" s="508">
        <v>2.1000000000000001E-2</v>
      </c>
      <c r="AH8725" s="508">
        <v>0.02</v>
      </c>
      <c r="AI8725" s="492">
        <v>0.02</v>
      </c>
      <c r="AJ8725" s="485"/>
    </row>
    <row r="8726" spans="2:36">
      <c r="B8726" s="136" t="s">
        <v>469</v>
      </c>
      <c r="C8726" s="132" t="s">
        <v>1375</v>
      </c>
      <c r="D8726" s="132" t="s">
        <v>1384</v>
      </c>
      <c r="E8726" s="508">
        <v>3.4000000000000002E-2</v>
      </c>
      <c r="F8726" s="508">
        <v>3.3000000000000002E-2</v>
      </c>
      <c r="G8726" s="508">
        <v>3.2000000000000001E-2</v>
      </c>
      <c r="H8726" s="508">
        <v>3.2000000000000001E-2</v>
      </c>
      <c r="I8726" s="508">
        <v>3.2000000000000001E-2</v>
      </c>
      <c r="J8726" s="508">
        <v>3.2000000000000001E-2</v>
      </c>
      <c r="K8726" s="508">
        <v>3.2000000000000001E-2</v>
      </c>
      <c r="L8726" s="508">
        <v>3.2000000000000001E-2</v>
      </c>
      <c r="M8726" s="508">
        <v>3.1E-2</v>
      </c>
      <c r="N8726" s="508">
        <v>3.1E-2</v>
      </c>
      <c r="O8726" s="508">
        <v>3.1E-2</v>
      </c>
      <c r="P8726" s="508">
        <v>2.3E-2</v>
      </c>
      <c r="Q8726" s="508">
        <v>2.4E-2</v>
      </c>
      <c r="R8726" s="508">
        <v>2.5000000000000001E-2</v>
      </c>
      <c r="S8726" s="508">
        <v>2.5000000000000001E-2</v>
      </c>
      <c r="T8726" s="508">
        <v>2.1999999999999999E-2</v>
      </c>
      <c r="U8726" s="508">
        <v>2.3E-2</v>
      </c>
      <c r="V8726" s="508">
        <v>2.1999999999999999E-2</v>
      </c>
      <c r="W8726" s="508">
        <v>2.1999999999999999E-2</v>
      </c>
      <c r="X8726" s="508">
        <v>2.1999999999999999E-2</v>
      </c>
      <c r="Y8726" s="508">
        <v>2.1999999999999999E-2</v>
      </c>
      <c r="Z8726" s="508">
        <v>2.1999999999999999E-2</v>
      </c>
      <c r="AA8726" s="508">
        <v>2.1999999999999999E-2</v>
      </c>
      <c r="AB8726" s="508">
        <v>2.1999999999999999E-2</v>
      </c>
      <c r="AC8726" s="508">
        <v>2.1999999999999999E-2</v>
      </c>
      <c r="AD8726" s="508">
        <v>2.1999999999999999E-2</v>
      </c>
      <c r="AE8726" s="508">
        <v>2.1999999999999999E-2</v>
      </c>
      <c r="AF8726" s="508">
        <v>2.1999999999999999E-2</v>
      </c>
      <c r="AG8726" s="508">
        <v>2.1999999999999999E-2</v>
      </c>
      <c r="AH8726" s="508">
        <v>2.1000000000000001E-2</v>
      </c>
      <c r="AI8726" s="492">
        <v>2.1000000000000001E-2</v>
      </c>
      <c r="AJ8726" s="485"/>
    </row>
    <row r="8727" spans="2:36">
      <c r="B8727" s="136" t="s">
        <v>470</v>
      </c>
      <c r="C8727" s="132" t="s">
        <v>1375</v>
      </c>
      <c r="D8727" s="132" t="s">
        <v>1384</v>
      </c>
      <c r="E8727" s="508">
        <v>3.5999999999999997E-2</v>
      </c>
      <c r="F8727" s="508">
        <v>3.5000000000000003E-2</v>
      </c>
      <c r="G8727" s="508">
        <v>3.4000000000000002E-2</v>
      </c>
      <c r="H8727" s="508">
        <v>3.4000000000000002E-2</v>
      </c>
      <c r="I8727" s="508">
        <v>3.4000000000000002E-2</v>
      </c>
      <c r="J8727" s="508">
        <v>3.4000000000000002E-2</v>
      </c>
      <c r="K8727" s="508">
        <v>3.3000000000000002E-2</v>
      </c>
      <c r="L8727" s="508">
        <v>3.3000000000000002E-2</v>
      </c>
      <c r="M8727" s="508">
        <v>3.3000000000000002E-2</v>
      </c>
      <c r="N8727" s="508">
        <v>3.3000000000000002E-2</v>
      </c>
      <c r="O8727" s="508">
        <v>3.3000000000000002E-2</v>
      </c>
      <c r="P8727" s="508">
        <v>2.4E-2</v>
      </c>
      <c r="Q8727" s="508">
        <v>2.5000000000000001E-2</v>
      </c>
      <c r="R8727" s="508">
        <v>2.5999999999999999E-2</v>
      </c>
      <c r="S8727" s="508">
        <v>2.7E-2</v>
      </c>
      <c r="T8727" s="508">
        <v>2.3E-2</v>
      </c>
      <c r="U8727" s="508">
        <v>2.4E-2</v>
      </c>
      <c r="V8727" s="508">
        <v>2.3E-2</v>
      </c>
      <c r="W8727" s="508">
        <v>2.3E-2</v>
      </c>
      <c r="X8727" s="508">
        <v>2.3E-2</v>
      </c>
      <c r="Y8727" s="508">
        <v>2.3E-2</v>
      </c>
      <c r="Z8727" s="508">
        <v>2.3E-2</v>
      </c>
      <c r="AA8727" s="508">
        <v>2.3E-2</v>
      </c>
      <c r="AB8727" s="508">
        <v>2.3E-2</v>
      </c>
      <c r="AC8727" s="508">
        <v>2.3E-2</v>
      </c>
      <c r="AD8727" s="508">
        <v>2.3E-2</v>
      </c>
      <c r="AE8727" s="508">
        <v>2.3E-2</v>
      </c>
      <c r="AF8727" s="508">
        <v>2.3E-2</v>
      </c>
      <c r="AG8727" s="508">
        <v>2.3E-2</v>
      </c>
      <c r="AH8727" s="508">
        <v>2.1999999999999999E-2</v>
      </c>
      <c r="AI8727" s="492">
        <v>2.1999999999999999E-2</v>
      </c>
      <c r="AJ8727" s="485"/>
    </row>
    <row r="8728" spans="2:36">
      <c r="B8728" s="136" t="s">
        <v>471</v>
      </c>
      <c r="C8728" s="132" t="s">
        <v>1375</v>
      </c>
      <c r="D8728" s="132" t="s">
        <v>1384</v>
      </c>
      <c r="E8728" s="508">
        <v>3.5000000000000003E-2</v>
      </c>
      <c r="F8728" s="508">
        <v>3.4000000000000002E-2</v>
      </c>
      <c r="G8728" s="508">
        <v>3.4000000000000002E-2</v>
      </c>
      <c r="H8728" s="508">
        <v>3.3000000000000002E-2</v>
      </c>
      <c r="I8728" s="508">
        <v>3.3000000000000002E-2</v>
      </c>
      <c r="J8728" s="508">
        <v>3.3000000000000002E-2</v>
      </c>
      <c r="K8728" s="508">
        <v>3.3000000000000002E-2</v>
      </c>
      <c r="L8728" s="508">
        <v>3.3000000000000002E-2</v>
      </c>
      <c r="M8728" s="508">
        <v>3.3000000000000002E-2</v>
      </c>
      <c r="N8728" s="508">
        <v>3.2000000000000001E-2</v>
      </c>
      <c r="O8728" s="508">
        <v>3.2000000000000001E-2</v>
      </c>
      <c r="P8728" s="508">
        <v>2.4E-2</v>
      </c>
      <c r="Q8728" s="508">
        <v>2.5000000000000001E-2</v>
      </c>
      <c r="R8728" s="508">
        <v>2.5999999999999999E-2</v>
      </c>
      <c r="S8728" s="508">
        <v>2.5999999999999999E-2</v>
      </c>
      <c r="T8728" s="508">
        <v>2.1999999999999999E-2</v>
      </c>
      <c r="U8728" s="508">
        <v>2.4E-2</v>
      </c>
      <c r="V8728" s="508">
        <v>2.3E-2</v>
      </c>
      <c r="W8728" s="508">
        <v>2.3E-2</v>
      </c>
      <c r="X8728" s="508">
        <v>2.3E-2</v>
      </c>
      <c r="Y8728" s="508">
        <v>2.3E-2</v>
      </c>
      <c r="Z8728" s="508">
        <v>2.3E-2</v>
      </c>
      <c r="AA8728" s="508">
        <v>2.3E-2</v>
      </c>
      <c r="AB8728" s="508">
        <v>2.3E-2</v>
      </c>
      <c r="AC8728" s="508">
        <v>2.3E-2</v>
      </c>
      <c r="AD8728" s="508">
        <v>2.3E-2</v>
      </c>
      <c r="AE8728" s="508">
        <v>2.3E-2</v>
      </c>
      <c r="AF8728" s="508">
        <v>2.3E-2</v>
      </c>
      <c r="AG8728" s="508">
        <v>2.3E-2</v>
      </c>
      <c r="AH8728" s="508">
        <v>2.1999999999999999E-2</v>
      </c>
      <c r="AI8728" s="492">
        <v>2.1000000000000001E-2</v>
      </c>
      <c r="AJ8728" s="485"/>
    </row>
    <row r="8729" spans="2:36">
      <c r="B8729" s="136" t="s">
        <v>472</v>
      </c>
      <c r="C8729" s="132" t="s">
        <v>1375</v>
      </c>
      <c r="D8729" s="132" t="s">
        <v>1384</v>
      </c>
      <c r="E8729" s="508">
        <v>3.3000000000000002E-2</v>
      </c>
      <c r="F8729" s="508">
        <v>3.2000000000000001E-2</v>
      </c>
      <c r="G8729" s="508">
        <v>3.1E-2</v>
      </c>
      <c r="H8729" s="508">
        <v>3.1E-2</v>
      </c>
      <c r="I8729" s="508">
        <v>3.1E-2</v>
      </c>
      <c r="J8729" s="508">
        <v>3.1E-2</v>
      </c>
      <c r="K8729" s="508">
        <v>0.03</v>
      </c>
      <c r="L8729" s="508">
        <v>0.03</v>
      </c>
      <c r="M8729" s="508">
        <v>0.03</v>
      </c>
      <c r="N8729" s="508">
        <v>0.03</v>
      </c>
      <c r="O8729" s="508">
        <v>0.03</v>
      </c>
      <c r="P8729" s="508">
        <v>2.1999999999999999E-2</v>
      </c>
      <c r="Q8729" s="508">
        <v>2.3E-2</v>
      </c>
      <c r="R8729" s="508">
        <v>2.4E-2</v>
      </c>
      <c r="S8729" s="508">
        <v>2.4E-2</v>
      </c>
      <c r="T8729" s="508">
        <v>2.1000000000000001E-2</v>
      </c>
      <c r="U8729" s="508">
        <v>2.1999999999999999E-2</v>
      </c>
      <c r="V8729" s="508">
        <v>2.1000000000000001E-2</v>
      </c>
      <c r="W8729" s="508">
        <v>2.1000000000000001E-2</v>
      </c>
      <c r="X8729" s="508">
        <v>2.1000000000000001E-2</v>
      </c>
      <c r="Y8729" s="508">
        <v>2.1000000000000001E-2</v>
      </c>
      <c r="Z8729" s="508">
        <v>2.1000000000000001E-2</v>
      </c>
      <c r="AA8729" s="508">
        <v>2.1000000000000001E-2</v>
      </c>
      <c r="AB8729" s="508">
        <v>2.1000000000000001E-2</v>
      </c>
      <c r="AC8729" s="508">
        <v>2.1000000000000001E-2</v>
      </c>
      <c r="AD8729" s="508">
        <v>2.1000000000000001E-2</v>
      </c>
      <c r="AE8729" s="508">
        <v>2.1000000000000001E-2</v>
      </c>
      <c r="AF8729" s="508">
        <v>2.1000000000000001E-2</v>
      </c>
      <c r="AG8729" s="508">
        <v>2.1000000000000001E-2</v>
      </c>
      <c r="AH8729" s="508">
        <v>0.02</v>
      </c>
      <c r="AI8729" s="492">
        <v>0.02</v>
      </c>
      <c r="AJ8729" s="485"/>
    </row>
    <row r="8730" spans="2:36">
      <c r="B8730" s="136" t="s">
        <v>473</v>
      </c>
      <c r="C8730" s="132" t="s">
        <v>1375</v>
      </c>
      <c r="D8730" s="132" t="s">
        <v>1384</v>
      </c>
      <c r="E8730" s="508">
        <v>3.5999999999999997E-2</v>
      </c>
      <c r="F8730" s="508">
        <v>3.5000000000000003E-2</v>
      </c>
      <c r="G8730" s="508">
        <v>3.4000000000000002E-2</v>
      </c>
      <c r="H8730" s="508">
        <v>3.4000000000000002E-2</v>
      </c>
      <c r="I8730" s="508">
        <v>3.4000000000000002E-2</v>
      </c>
      <c r="J8730" s="508">
        <v>3.4000000000000002E-2</v>
      </c>
      <c r="K8730" s="508">
        <v>3.3000000000000002E-2</v>
      </c>
      <c r="L8730" s="508">
        <v>3.3000000000000002E-2</v>
      </c>
      <c r="M8730" s="508">
        <v>3.3000000000000002E-2</v>
      </c>
      <c r="N8730" s="508">
        <v>3.3000000000000002E-2</v>
      </c>
      <c r="O8730" s="508">
        <v>3.3000000000000002E-2</v>
      </c>
      <c r="P8730" s="508">
        <v>2.4E-2</v>
      </c>
      <c r="Q8730" s="508">
        <v>2.5999999999999999E-2</v>
      </c>
      <c r="R8730" s="508">
        <v>2.5999999999999999E-2</v>
      </c>
      <c r="S8730" s="508">
        <v>2.7E-2</v>
      </c>
      <c r="T8730" s="508">
        <v>2.3E-2</v>
      </c>
      <c r="U8730" s="508">
        <v>2.4E-2</v>
      </c>
      <c r="V8730" s="508">
        <v>2.3E-2</v>
      </c>
      <c r="W8730" s="508">
        <v>2.3E-2</v>
      </c>
      <c r="X8730" s="508">
        <v>2.3E-2</v>
      </c>
      <c r="Y8730" s="508">
        <v>2.3E-2</v>
      </c>
      <c r="Z8730" s="508">
        <v>2.3E-2</v>
      </c>
      <c r="AA8730" s="508">
        <v>2.3E-2</v>
      </c>
      <c r="AB8730" s="508">
        <v>2.3E-2</v>
      </c>
      <c r="AC8730" s="508">
        <v>2.3E-2</v>
      </c>
      <c r="AD8730" s="508">
        <v>2.3E-2</v>
      </c>
      <c r="AE8730" s="508">
        <v>2.3E-2</v>
      </c>
      <c r="AF8730" s="508">
        <v>2.3E-2</v>
      </c>
      <c r="AG8730" s="508">
        <v>2.3E-2</v>
      </c>
      <c r="AH8730" s="508">
        <v>2.1999999999999999E-2</v>
      </c>
      <c r="AI8730" s="492">
        <v>2.1999999999999999E-2</v>
      </c>
      <c r="AJ8730" s="485"/>
    </row>
    <row r="8731" spans="2:36">
      <c r="B8731" s="136" t="s">
        <v>474</v>
      </c>
      <c r="C8731" s="132" t="s">
        <v>1375</v>
      </c>
      <c r="D8731" s="132" t="s">
        <v>1384</v>
      </c>
      <c r="E8731" s="508">
        <v>3.5000000000000003E-2</v>
      </c>
      <c r="F8731" s="508">
        <v>3.4000000000000002E-2</v>
      </c>
      <c r="G8731" s="508">
        <v>3.3000000000000002E-2</v>
      </c>
      <c r="H8731" s="508">
        <v>3.3000000000000002E-2</v>
      </c>
      <c r="I8731" s="508">
        <v>3.3000000000000002E-2</v>
      </c>
      <c r="J8731" s="508">
        <v>3.3000000000000002E-2</v>
      </c>
      <c r="K8731" s="508">
        <v>3.3000000000000002E-2</v>
      </c>
      <c r="L8731" s="508">
        <v>3.3000000000000002E-2</v>
      </c>
      <c r="M8731" s="508">
        <v>3.2000000000000001E-2</v>
      </c>
      <c r="N8731" s="508">
        <v>3.2000000000000001E-2</v>
      </c>
      <c r="O8731" s="508">
        <v>3.2000000000000001E-2</v>
      </c>
      <c r="P8731" s="508">
        <v>2.4E-2</v>
      </c>
      <c r="Q8731" s="508">
        <v>2.5000000000000001E-2</v>
      </c>
      <c r="R8731" s="508">
        <v>2.5999999999999999E-2</v>
      </c>
      <c r="S8731" s="508">
        <v>2.5999999999999999E-2</v>
      </c>
      <c r="T8731" s="508">
        <v>2.1999999999999999E-2</v>
      </c>
      <c r="U8731" s="508">
        <v>2.3E-2</v>
      </c>
      <c r="V8731" s="508">
        <v>2.3E-2</v>
      </c>
      <c r="W8731" s="508">
        <v>2.3E-2</v>
      </c>
      <c r="X8731" s="508">
        <v>2.3E-2</v>
      </c>
      <c r="Y8731" s="508">
        <v>2.3E-2</v>
      </c>
      <c r="Z8731" s="508">
        <v>2.1999999999999999E-2</v>
      </c>
      <c r="AA8731" s="508">
        <v>2.1999999999999999E-2</v>
      </c>
      <c r="AB8731" s="508">
        <v>2.1999999999999999E-2</v>
      </c>
      <c r="AC8731" s="508">
        <v>2.1999999999999999E-2</v>
      </c>
      <c r="AD8731" s="508">
        <v>2.1999999999999999E-2</v>
      </c>
      <c r="AE8731" s="508">
        <v>2.1999999999999999E-2</v>
      </c>
      <c r="AF8731" s="508">
        <v>2.1999999999999999E-2</v>
      </c>
      <c r="AG8731" s="508">
        <v>2.1999999999999999E-2</v>
      </c>
      <c r="AH8731" s="508">
        <v>2.1000000000000001E-2</v>
      </c>
      <c r="AI8731" s="492">
        <v>2.1000000000000001E-2</v>
      </c>
      <c r="AJ8731" s="485"/>
    </row>
    <row r="8732" spans="2:36">
      <c r="B8732" s="136" t="s">
        <v>475</v>
      </c>
      <c r="C8732" s="132" t="s">
        <v>1375</v>
      </c>
      <c r="D8732" s="132" t="s">
        <v>1384</v>
      </c>
      <c r="E8732" s="508">
        <v>3.4000000000000002E-2</v>
      </c>
      <c r="F8732" s="508">
        <v>3.3000000000000002E-2</v>
      </c>
      <c r="G8732" s="508">
        <v>3.2000000000000001E-2</v>
      </c>
      <c r="H8732" s="508">
        <v>3.2000000000000001E-2</v>
      </c>
      <c r="I8732" s="508">
        <v>3.2000000000000001E-2</v>
      </c>
      <c r="J8732" s="508">
        <v>3.2000000000000001E-2</v>
      </c>
      <c r="K8732" s="508">
        <v>3.2000000000000001E-2</v>
      </c>
      <c r="L8732" s="508">
        <v>3.1E-2</v>
      </c>
      <c r="M8732" s="508">
        <v>3.1E-2</v>
      </c>
      <c r="N8732" s="508">
        <v>3.1E-2</v>
      </c>
      <c r="O8732" s="508">
        <v>3.1E-2</v>
      </c>
      <c r="P8732" s="508">
        <v>2.3E-2</v>
      </c>
      <c r="Q8732" s="508">
        <v>2.4E-2</v>
      </c>
      <c r="R8732" s="508">
        <v>2.5000000000000001E-2</v>
      </c>
      <c r="S8732" s="508">
        <v>2.5000000000000001E-2</v>
      </c>
      <c r="T8732" s="508">
        <v>2.1000000000000001E-2</v>
      </c>
      <c r="U8732" s="508">
        <v>2.3E-2</v>
      </c>
      <c r="V8732" s="508">
        <v>2.1999999999999999E-2</v>
      </c>
      <c r="W8732" s="508">
        <v>2.1999999999999999E-2</v>
      </c>
      <c r="X8732" s="508">
        <v>2.1999999999999999E-2</v>
      </c>
      <c r="Y8732" s="508">
        <v>2.1999999999999999E-2</v>
      </c>
      <c r="Z8732" s="508">
        <v>2.1999999999999999E-2</v>
      </c>
      <c r="AA8732" s="508">
        <v>2.1999999999999999E-2</v>
      </c>
      <c r="AB8732" s="508">
        <v>2.1999999999999999E-2</v>
      </c>
      <c r="AC8732" s="508">
        <v>2.1999999999999999E-2</v>
      </c>
      <c r="AD8732" s="508">
        <v>2.1999999999999999E-2</v>
      </c>
      <c r="AE8732" s="508">
        <v>2.1999999999999999E-2</v>
      </c>
      <c r="AF8732" s="508">
        <v>2.1999999999999999E-2</v>
      </c>
      <c r="AG8732" s="508">
        <v>2.1999999999999999E-2</v>
      </c>
      <c r="AH8732" s="508">
        <v>2.1000000000000001E-2</v>
      </c>
      <c r="AI8732" s="492">
        <v>2.1000000000000001E-2</v>
      </c>
      <c r="AJ8732" s="485"/>
    </row>
    <row r="8733" spans="2:36">
      <c r="B8733" s="136" t="s">
        <v>476</v>
      </c>
      <c r="C8733" s="132" t="s">
        <v>1375</v>
      </c>
      <c r="D8733" s="132" t="s">
        <v>1384</v>
      </c>
      <c r="E8733" s="508">
        <v>3.5999999999999997E-2</v>
      </c>
      <c r="F8733" s="508">
        <v>3.5000000000000003E-2</v>
      </c>
      <c r="G8733" s="508">
        <v>3.4000000000000002E-2</v>
      </c>
      <c r="H8733" s="508">
        <v>3.4000000000000002E-2</v>
      </c>
      <c r="I8733" s="508">
        <v>3.3000000000000002E-2</v>
      </c>
      <c r="J8733" s="508">
        <v>3.3000000000000002E-2</v>
      </c>
      <c r="K8733" s="508">
        <v>3.3000000000000002E-2</v>
      </c>
      <c r="L8733" s="508">
        <v>3.3000000000000002E-2</v>
      </c>
      <c r="M8733" s="508">
        <v>3.3000000000000002E-2</v>
      </c>
      <c r="N8733" s="508">
        <v>3.3000000000000002E-2</v>
      </c>
      <c r="O8733" s="508">
        <v>3.3000000000000002E-2</v>
      </c>
      <c r="P8733" s="508">
        <v>2.4E-2</v>
      </c>
      <c r="Q8733" s="508">
        <v>2.5000000000000001E-2</v>
      </c>
      <c r="R8733" s="508">
        <v>2.5999999999999999E-2</v>
      </c>
      <c r="S8733" s="508">
        <v>2.5999999999999999E-2</v>
      </c>
      <c r="T8733" s="508">
        <v>2.1999999999999999E-2</v>
      </c>
      <c r="U8733" s="508">
        <v>2.4E-2</v>
      </c>
      <c r="V8733" s="508">
        <v>2.3E-2</v>
      </c>
      <c r="W8733" s="508">
        <v>2.3E-2</v>
      </c>
      <c r="X8733" s="508">
        <v>2.3E-2</v>
      </c>
      <c r="Y8733" s="508">
        <v>2.3E-2</v>
      </c>
      <c r="Z8733" s="508">
        <v>2.3E-2</v>
      </c>
      <c r="AA8733" s="508">
        <v>2.3E-2</v>
      </c>
      <c r="AB8733" s="508">
        <v>2.3E-2</v>
      </c>
      <c r="AC8733" s="508">
        <v>2.3E-2</v>
      </c>
      <c r="AD8733" s="508">
        <v>2.3E-2</v>
      </c>
      <c r="AE8733" s="508">
        <v>2.3E-2</v>
      </c>
      <c r="AF8733" s="508">
        <v>2.3E-2</v>
      </c>
      <c r="AG8733" s="508">
        <v>2.3E-2</v>
      </c>
      <c r="AH8733" s="508">
        <v>2.1999999999999999E-2</v>
      </c>
      <c r="AI8733" s="492">
        <v>2.1999999999999999E-2</v>
      </c>
      <c r="AJ8733" s="485"/>
    </row>
    <row r="8734" spans="2:36">
      <c r="B8734" s="136" t="s">
        <v>478</v>
      </c>
      <c r="C8734" s="132" t="s">
        <v>1375</v>
      </c>
      <c r="D8734" s="132" t="s">
        <v>1384</v>
      </c>
      <c r="E8734" s="508">
        <v>3.6999999999999998E-2</v>
      </c>
      <c r="F8734" s="508">
        <v>3.5999999999999997E-2</v>
      </c>
      <c r="G8734" s="508">
        <v>3.5000000000000003E-2</v>
      </c>
      <c r="H8734" s="508">
        <v>3.5000000000000003E-2</v>
      </c>
      <c r="I8734" s="508">
        <v>3.4000000000000002E-2</v>
      </c>
      <c r="J8734" s="508">
        <v>3.4000000000000002E-2</v>
      </c>
      <c r="K8734" s="508">
        <v>3.4000000000000002E-2</v>
      </c>
      <c r="L8734" s="508">
        <v>3.4000000000000002E-2</v>
      </c>
      <c r="M8734" s="508">
        <v>3.4000000000000002E-2</v>
      </c>
      <c r="N8734" s="508">
        <v>3.4000000000000002E-2</v>
      </c>
      <c r="O8734" s="508">
        <v>3.4000000000000002E-2</v>
      </c>
      <c r="P8734" s="508">
        <v>2.5000000000000001E-2</v>
      </c>
      <c r="Q8734" s="508">
        <v>2.5999999999999999E-2</v>
      </c>
      <c r="R8734" s="508">
        <v>2.7E-2</v>
      </c>
      <c r="S8734" s="508">
        <v>2.7E-2</v>
      </c>
      <c r="T8734" s="508">
        <v>2.3E-2</v>
      </c>
      <c r="U8734" s="508">
        <v>2.4E-2</v>
      </c>
      <c r="V8734" s="508">
        <v>2.3E-2</v>
      </c>
      <c r="W8734" s="508">
        <v>2.3E-2</v>
      </c>
      <c r="X8734" s="508">
        <v>2.3E-2</v>
      </c>
      <c r="Y8734" s="508">
        <v>2.3E-2</v>
      </c>
      <c r="Z8734" s="508">
        <v>2.3E-2</v>
      </c>
      <c r="AA8734" s="508">
        <v>2.3E-2</v>
      </c>
      <c r="AB8734" s="508">
        <v>2.3E-2</v>
      </c>
      <c r="AC8734" s="508">
        <v>2.3E-2</v>
      </c>
      <c r="AD8734" s="508">
        <v>2.3E-2</v>
      </c>
      <c r="AE8734" s="508">
        <v>2.3E-2</v>
      </c>
      <c r="AF8734" s="508">
        <v>2.3E-2</v>
      </c>
      <c r="AG8734" s="508">
        <v>2.3E-2</v>
      </c>
      <c r="AH8734" s="508">
        <v>2.1999999999999999E-2</v>
      </c>
      <c r="AI8734" s="492">
        <v>2.1999999999999999E-2</v>
      </c>
      <c r="AJ8734" s="485"/>
    </row>
    <row r="8735" spans="2:36">
      <c r="B8735" s="136" t="s">
        <v>479</v>
      </c>
      <c r="C8735" s="132" t="s">
        <v>1375</v>
      </c>
      <c r="D8735" s="132" t="s">
        <v>1384</v>
      </c>
      <c r="E8735" s="508">
        <v>3.5000000000000003E-2</v>
      </c>
      <c r="F8735" s="508">
        <v>3.4000000000000002E-2</v>
      </c>
      <c r="G8735" s="508">
        <v>3.3000000000000002E-2</v>
      </c>
      <c r="H8735" s="508">
        <v>3.3000000000000002E-2</v>
      </c>
      <c r="I8735" s="508">
        <v>3.3000000000000002E-2</v>
      </c>
      <c r="J8735" s="508">
        <v>3.3000000000000002E-2</v>
      </c>
      <c r="K8735" s="508">
        <v>3.2000000000000001E-2</v>
      </c>
      <c r="L8735" s="508">
        <v>3.2000000000000001E-2</v>
      </c>
      <c r="M8735" s="508">
        <v>3.2000000000000001E-2</v>
      </c>
      <c r="N8735" s="508">
        <v>3.2000000000000001E-2</v>
      </c>
      <c r="O8735" s="508">
        <v>3.2000000000000001E-2</v>
      </c>
      <c r="P8735" s="508">
        <v>2.4E-2</v>
      </c>
      <c r="Q8735" s="508">
        <v>2.5000000000000001E-2</v>
      </c>
      <c r="R8735" s="508">
        <v>2.5999999999999999E-2</v>
      </c>
      <c r="S8735" s="508">
        <v>2.5999999999999999E-2</v>
      </c>
      <c r="T8735" s="508">
        <v>2.1999999999999999E-2</v>
      </c>
      <c r="U8735" s="508">
        <v>2.3E-2</v>
      </c>
      <c r="V8735" s="508">
        <v>2.3E-2</v>
      </c>
      <c r="W8735" s="508">
        <v>2.3E-2</v>
      </c>
      <c r="X8735" s="508">
        <v>2.1999999999999999E-2</v>
      </c>
      <c r="Y8735" s="508">
        <v>2.1999999999999999E-2</v>
      </c>
      <c r="Z8735" s="508">
        <v>2.1999999999999999E-2</v>
      </c>
      <c r="AA8735" s="508">
        <v>2.1999999999999999E-2</v>
      </c>
      <c r="AB8735" s="508">
        <v>2.1999999999999999E-2</v>
      </c>
      <c r="AC8735" s="508">
        <v>2.1999999999999999E-2</v>
      </c>
      <c r="AD8735" s="508">
        <v>2.1999999999999999E-2</v>
      </c>
      <c r="AE8735" s="508">
        <v>2.1999999999999999E-2</v>
      </c>
      <c r="AF8735" s="508">
        <v>2.1999999999999999E-2</v>
      </c>
      <c r="AG8735" s="508">
        <v>2.1999999999999999E-2</v>
      </c>
      <c r="AH8735" s="508">
        <v>2.1000000000000001E-2</v>
      </c>
      <c r="AI8735" s="492">
        <v>2.1000000000000001E-2</v>
      </c>
      <c r="AJ8735" s="485"/>
    </row>
    <row r="8736" spans="2:36">
      <c r="B8736" s="136" t="s">
        <v>480</v>
      </c>
      <c r="C8736" s="132" t="s">
        <v>1375</v>
      </c>
      <c r="D8736" s="132" t="s">
        <v>1384</v>
      </c>
      <c r="E8736" s="508">
        <v>3.3000000000000002E-2</v>
      </c>
      <c r="F8736" s="508">
        <v>3.2000000000000001E-2</v>
      </c>
      <c r="G8736" s="508">
        <v>3.1E-2</v>
      </c>
      <c r="H8736" s="508">
        <v>3.1E-2</v>
      </c>
      <c r="I8736" s="508">
        <v>3.1E-2</v>
      </c>
      <c r="J8736" s="508">
        <v>3.1E-2</v>
      </c>
      <c r="K8736" s="508">
        <v>0.03</v>
      </c>
      <c r="L8736" s="508">
        <v>0.03</v>
      </c>
      <c r="M8736" s="508">
        <v>0.03</v>
      </c>
      <c r="N8736" s="508">
        <v>0.03</v>
      </c>
      <c r="O8736" s="508">
        <v>0.03</v>
      </c>
      <c r="P8736" s="508">
        <v>2.1999999999999999E-2</v>
      </c>
      <c r="Q8736" s="508">
        <v>2.3E-2</v>
      </c>
      <c r="R8736" s="508">
        <v>2.4E-2</v>
      </c>
      <c r="S8736" s="508">
        <v>2.4E-2</v>
      </c>
      <c r="T8736" s="508">
        <v>2.1000000000000001E-2</v>
      </c>
      <c r="U8736" s="508">
        <v>2.1999999999999999E-2</v>
      </c>
      <c r="V8736" s="508">
        <v>2.1000000000000001E-2</v>
      </c>
      <c r="W8736" s="508">
        <v>2.1000000000000001E-2</v>
      </c>
      <c r="X8736" s="508">
        <v>2.1000000000000001E-2</v>
      </c>
      <c r="Y8736" s="508">
        <v>2.1000000000000001E-2</v>
      </c>
      <c r="Z8736" s="508">
        <v>2.1000000000000001E-2</v>
      </c>
      <c r="AA8736" s="508">
        <v>2.1000000000000001E-2</v>
      </c>
      <c r="AB8736" s="508">
        <v>2.1000000000000001E-2</v>
      </c>
      <c r="AC8736" s="508">
        <v>2.1000000000000001E-2</v>
      </c>
      <c r="AD8736" s="508">
        <v>2.1000000000000001E-2</v>
      </c>
      <c r="AE8736" s="508">
        <v>2.1000000000000001E-2</v>
      </c>
      <c r="AF8736" s="508">
        <v>2.1000000000000001E-2</v>
      </c>
      <c r="AG8736" s="508">
        <v>2.1000000000000001E-2</v>
      </c>
      <c r="AH8736" s="508">
        <v>0.02</v>
      </c>
      <c r="AI8736" s="492">
        <v>0.02</v>
      </c>
      <c r="AJ8736" s="485"/>
    </row>
    <row r="8737" spans="2:36">
      <c r="B8737" s="136" t="s">
        <v>481</v>
      </c>
      <c r="C8737" s="132" t="s">
        <v>1375</v>
      </c>
      <c r="D8737" s="132" t="s">
        <v>1384</v>
      </c>
      <c r="E8737" s="508">
        <v>3.5000000000000003E-2</v>
      </c>
      <c r="F8737" s="508">
        <v>3.4000000000000002E-2</v>
      </c>
      <c r="G8737" s="508">
        <v>3.4000000000000002E-2</v>
      </c>
      <c r="H8737" s="508">
        <v>3.3000000000000002E-2</v>
      </c>
      <c r="I8737" s="508">
        <v>3.3000000000000002E-2</v>
      </c>
      <c r="J8737" s="508">
        <v>3.3000000000000002E-2</v>
      </c>
      <c r="K8737" s="508">
        <v>3.3000000000000002E-2</v>
      </c>
      <c r="L8737" s="508">
        <v>3.3000000000000002E-2</v>
      </c>
      <c r="M8737" s="508">
        <v>3.3000000000000002E-2</v>
      </c>
      <c r="N8737" s="508">
        <v>3.3000000000000002E-2</v>
      </c>
      <c r="O8737" s="508">
        <v>3.2000000000000001E-2</v>
      </c>
      <c r="P8737" s="508">
        <v>2.4E-2</v>
      </c>
      <c r="Q8737" s="508">
        <v>2.5000000000000001E-2</v>
      </c>
      <c r="R8737" s="508">
        <v>2.5999999999999999E-2</v>
      </c>
      <c r="S8737" s="508">
        <v>2.5999999999999999E-2</v>
      </c>
      <c r="T8737" s="508">
        <v>2.1999999999999999E-2</v>
      </c>
      <c r="U8737" s="508">
        <v>2.4E-2</v>
      </c>
      <c r="V8737" s="508">
        <v>2.3E-2</v>
      </c>
      <c r="W8737" s="508">
        <v>2.3E-2</v>
      </c>
      <c r="X8737" s="508">
        <v>2.3E-2</v>
      </c>
      <c r="Y8737" s="508">
        <v>2.3E-2</v>
      </c>
      <c r="Z8737" s="508">
        <v>2.3E-2</v>
      </c>
      <c r="AA8737" s="508">
        <v>2.3E-2</v>
      </c>
      <c r="AB8737" s="508">
        <v>2.3E-2</v>
      </c>
      <c r="AC8737" s="508">
        <v>2.3E-2</v>
      </c>
      <c r="AD8737" s="508">
        <v>2.3E-2</v>
      </c>
      <c r="AE8737" s="508">
        <v>2.3E-2</v>
      </c>
      <c r="AF8737" s="508">
        <v>2.3E-2</v>
      </c>
      <c r="AG8737" s="508">
        <v>2.3E-2</v>
      </c>
      <c r="AH8737" s="508">
        <v>2.1999999999999999E-2</v>
      </c>
      <c r="AI8737" s="492">
        <v>2.1999999999999999E-2</v>
      </c>
      <c r="AJ8737" s="485"/>
    </row>
    <row r="8738" spans="2:36">
      <c r="B8738" s="136" t="s">
        <v>482</v>
      </c>
      <c r="C8738" s="132" t="s">
        <v>1375</v>
      </c>
      <c r="D8738" s="132" t="s">
        <v>1384</v>
      </c>
      <c r="E8738" s="508">
        <v>3.5000000000000003E-2</v>
      </c>
      <c r="F8738" s="508">
        <v>3.4000000000000002E-2</v>
      </c>
      <c r="G8738" s="508">
        <v>3.4000000000000002E-2</v>
      </c>
      <c r="H8738" s="508">
        <v>3.4000000000000002E-2</v>
      </c>
      <c r="I8738" s="508">
        <v>3.3000000000000002E-2</v>
      </c>
      <c r="J8738" s="508">
        <v>3.3000000000000002E-2</v>
      </c>
      <c r="K8738" s="508">
        <v>3.3000000000000002E-2</v>
      </c>
      <c r="L8738" s="508">
        <v>3.3000000000000002E-2</v>
      </c>
      <c r="M8738" s="508">
        <v>3.3000000000000002E-2</v>
      </c>
      <c r="N8738" s="508">
        <v>3.3000000000000002E-2</v>
      </c>
      <c r="O8738" s="508">
        <v>3.3000000000000002E-2</v>
      </c>
      <c r="P8738" s="508">
        <v>2.5000000000000001E-2</v>
      </c>
      <c r="Q8738" s="508">
        <v>2.5999999999999999E-2</v>
      </c>
      <c r="R8738" s="508">
        <v>2.5999999999999999E-2</v>
      </c>
      <c r="S8738" s="508">
        <v>2.7E-2</v>
      </c>
      <c r="T8738" s="508">
        <v>2.3E-2</v>
      </c>
      <c r="U8738" s="508">
        <v>2.4E-2</v>
      </c>
      <c r="V8738" s="508">
        <v>2.3E-2</v>
      </c>
      <c r="W8738" s="508">
        <v>2.3E-2</v>
      </c>
      <c r="X8738" s="508">
        <v>2.3E-2</v>
      </c>
      <c r="Y8738" s="508">
        <v>2.3E-2</v>
      </c>
      <c r="Z8738" s="508">
        <v>2.3E-2</v>
      </c>
      <c r="AA8738" s="508">
        <v>2.3E-2</v>
      </c>
      <c r="AB8738" s="508">
        <v>2.3E-2</v>
      </c>
      <c r="AC8738" s="508">
        <v>2.3E-2</v>
      </c>
      <c r="AD8738" s="508">
        <v>2.3E-2</v>
      </c>
      <c r="AE8738" s="508">
        <v>2.3E-2</v>
      </c>
      <c r="AF8738" s="508">
        <v>2.3E-2</v>
      </c>
      <c r="AG8738" s="508">
        <v>2.3E-2</v>
      </c>
      <c r="AH8738" s="508">
        <v>2.1999999999999999E-2</v>
      </c>
      <c r="AI8738" s="492">
        <v>2.1999999999999999E-2</v>
      </c>
      <c r="AJ8738" s="485"/>
    </row>
    <row r="8739" spans="2:36">
      <c r="B8739" s="136" t="s">
        <v>483</v>
      </c>
      <c r="C8739" s="132" t="s">
        <v>1375</v>
      </c>
      <c r="D8739" s="132" t="s">
        <v>1384</v>
      </c>
      <c r="E8739" s="508">
        <v>3.6999999999999998E-2</v>
      </c>
      <c r="F8739" s="508">
        <v>3.5999999999999997E-2</v>
      </c>
      <c r="G8739" s="508">
        <v>3.5000000000000003E-2</v>
      </c>
      <c r="H8739" s="508">
        <v>3.5000000000000003E-2</v>
      </c>
      <c r="I8739" s="508">
        <v>3.4000000000000002E-2</v>
      </c>
      <c r="J8739" s="508">
        <v>3.4000000000000002E-2</v>
      </c>
      <c r="K8739" s="508">
        <v>3.4000000000000002E-2</v>
      </c>
      <c r="L8739" s="508">
        <v>3.4000000000000002E-2</v>
      </c>
      <c r="M8739" s="508">
        <v>3.4000000000000002E-2</v>
      </c>
      <c r="N8739" s="508">
        <v>3.4000000000000002E-2</v>
      </c>
      <c r="O8739" s="508">
        <v>3.4000000000000002E-2</v>
      </c>
      <c r="P8739" s="508">
        <v>2.5000000000000001E-2</v>
      </c>
      <c r="Q8739" s="508">
        <v>2.5999999999999999E-2</v>
      </c>
      <c r="R8739" s="508">
        <v>2.7E-2</v>
      </c>
      <c r="S8739" s="508">
        <v>2.7E-2</v>
      </c>
      <c r="T8739" s="508">
        <v>2.3E-2</v>
      </c>
      <c r="U8739" s="508">
        <v>2.4E-2</v>
      </c>
      <c r="V8739" s="508">
        <v>2.3E-2</v>
      </c>
      <c r="W8739" s="508">
        <v>2.3E-2</v>
      </c>
      <c r="X8739" s="508">
        <v>2.3E-2</v>
      </c>
      <c r="Y8739" s="508">
        <v>2.3E-2</v>
      </c>
      <c r="Z8739" s="508">
        <v>2.3E-2</v>
      </c>
      <c r="AA8739" s="508">
        <v>2.3E-2</v>
      </c>
      <c r="AB8739" s="508">
        <v>2.3E-2</v>
      </c>
      <c r="AC8739" s="508">
        <v>2.3E-2</v>
      </c>
      <c r="AD8739" s="508">
        <v>2.3E-2</v>
      </c>
      <c r="AE8739" s="508">
        <v>2.3E-2</v>
      </c>
      <c r="AF8739" s="508">
        <v>2.3E-2</v>
      </c>
      <c r="AG8739" s="508">
        <v>2.3E-2</v>
      </c>
      <c r="AH8739" s="508">
        <v>2.1999999999999999E-2</v>
      </c>
      <c r="AI8739" s="492">
        <v>2.1999999999999999E-2</v>
      </c>
      <c r="AJ8739" s="485"/>
    </row>
    <row r="8740" spans="2:36">
      <c r="B8740" s="136" t="s">
        <v>484</v>
      </c>
      <c r="C8740" s="132" t="s">
        <v>1375</v>
      </c>
      <c r="D8740" s="132" t="s">
        <v>1384</v>
      </c>
      <c r="E8740" s="508">
        <v>3.3000000000000002E-2</v>
      </c>
      <c r="F8740" s="508">
        <v>3.2000000000000001E-2</v>
      </c>
      <c r="G8740" s="508">
        <v>3.1E-2</v>
      </c>
      <c r="H8740" s="508">
        <v>3.1E-2</v>
      </c>
      <c r="I8740" s="508">
        <v>3.1E-2</v>
      </c>
      <c r="J8740" s="508">
        <v>0.03</v>
      </c>
      <c r="K8740" s="508">
        <v>0.03</v>
      </c>
      <c r="L8740" s="508">
        <v>0.03</v>
      </c>
      <c r="M8740" s="508">
        <v>0.03</v>
      </c>
      <c r="N8740" s="508">
        <v>0.03</v>
      </c>
      <c r="O8740" s="508">
        <v>0.03</v>
      </c>
      <c r="P8740" s="508">
        <v>2.1999999999999999E-2</v>
      </c>
      <c r="Q8740" s="508">
        <v>2.3E-2</v>
      </c>
      <c r="R8740" s="508">
        <v>2.4E-2</v>
      </c>
      <c r="S8740" s="508">
        <v>2.4E-2</v>
      </c>
      <c r="T8740" s="508">
        <v>0.02</v>
      </c>
      <c r="U8740" s="508">
        <v>2.1999999999999999E-2</v>
      </c>
      <c r="V8740" s="508">
        <v>2.1000000000000001E-2</v>
      </c>
      <c r="W8740" s="508">
        <v>2.1000000000000001E-2</v>
      </c>
      <c r="X8740" s="508">
        <v>2.1000000000000001E-2</v>
      </c>
      <c r="Y8740" s="508">
        <v>2.1000000000000001E-2</v>
      </c>
      <c r="Z8740" s="508">
        <v>2.1000000000000001E-2</v>
      </c>
      <c r="AA8740" s="508">
        <v>2.1000000000000001E-2</v>
      </c>
      <c r="AB8740" s="508">
        <v>2.1000000000000001E-2</v>
      </c>
      <c r="AC8740" s="508">
        <v>2.1000000000000001E-2</v>
      </c>
      <c r="AD8740" s="508">
        <v>2.1000000000000001E-2</v>
      </c>
      <c r="AE8740" s="508">
        <v>2.1000000000000001E-2</v>
      </c>
      <c r="AF8740" s="508">
        <v>2.1000000000000001E-2</v>
      </c>
      <c r="AG8740" s="508">
        <v>2.1000000000000001E-2</v>
      </c>
      <c r="AH8740" s="508">
        <v>0.02</v>
      </c>
      <c r="AI8740" s="492">
        <v>0.02</v>
      </c>
      <c r="AJ8740" s="485"/>
    </row>
    <row r="8741" spans="2:36">
      <c r="B8741" s="136" t="s">
        <v>486</v>
      </c>
      <c r="C8741" s="132" t="s">
        <v>1375</v>
      </c>
      <c r="D8741" s="132" t="s">
        <v>1384</v>
      </c>
      <c r="E8741" s="508">
        <v>3.5000000000000003E-2</v>
      </c>
      <c r="F8741" s="508">
        <v>3.4000000000000002E-2</v>
      </c>
      <c r="G8741" s="508">
        <v>3.4000000000000002E-2</v>
      </c>
      <c r="H8741" s="508">
        <v>3.3000000000000002E-2</v>
      </c>
      <c r="I8741" s="508">
        <v>3.3000000000000002E-2</v>
      </c>
      <c r="J8741" s="508">
        <v>3.3000000000000002E-2</v>
      </c>
      <c r="K8741" s="508">
        <v>3.3000000000000002E-2</v>
      </c>
      <c r="L8741" s="508">
        <v>3.3000000000000002E-2</v>
      </c>
      <c r="M8741" s="508">
        <v>3.3000000000000002E-2</v>
      </c>
      <c r="N8741" s="508">
        <v>3.3000000000000002E-2</v>
      </c>
      <c r="O8741" s="508">
        <v>3.2000000000000001E-2</v>
      </c>
      <c r="P8741" s="508">
        <v>2.4E-2</v>
      </c>
      <c r="Q8741" s="508">
        <v>2.5000000000000001E-2</v>
      </c>
      <c r="R8741" s="508">
        <v>2.5999999999999999E-2</v>
      </c>
      <c r="S8741" s="508">
        <v>2.5999999999999999E-2</v>
      </c>
      <c r="T8741" s="508">
        <v>2.1999999999999999E-2</v>
      </c>
      <c r="U8741" s="508">
        <v>2.4E-2</v>
      </c>
      <c r="V8741" s="508">
        <v>2.3E-2</v>
      </c>
      <c r="W8741" s="508">
        <v>2.3E-2</v>
      </c>
      <c r="X8741" s="508">
        <v>2.3E-2</v>
      </c>
      <c r="Y8741" s="508">
        <v>2.3E-2</v>
      </c>
      <c r="Z8741" s="508">
        <v>2.3E-2</v>
      </c>
      <c r="AA8741" s="508">
        <v>2.3E-2</v>
      </c>
      <c r="AB8741" s="508">
        <v>2.3E-2</v>
      </c>
      <c r="AC8741" s="508">
        <v>2.3E-2</v>
      </c>
      <c r="AD8741" s="508">
        <v>2.3E-2</v>
      </c>
      <c r="AE8741" s="508">
        <v>2.3E-2</v>
      </c>
      <c r="AF8741" s="508">
        <v>2.3E-2</v>
      </c>
      <c r="AG8741" s="508">
        <v>2.3E-2</v>
      </c>
      <c r="AH8741" s="508">
        <v>2.1999999999999999E-2</v>
      </c>
      <c r="AI8741" s="492">
        <v>2.1000000000000001E-2</v>
      </c>
      <c r="AJ8741" s="485"/>
    </row>
    <row r="8742" spans="2:36">
      <c r="B8742" s="136" t="s">
        <v>487</v>
      </c>
      <c r="C8742" s="132" t="s">
        <v>1375</v>
      </c>
      <c r="D8742" s="132" t="s">
        <v>1384</v>
      </c>
      <c r="E8742" s="508">
        <v>3.5000000000000003E-2</v>
      </c>
      <c r="F8742" s="508">
        <v>3.4000000000000002E-2</v>
      </c>
      <c r="G8742" s="508">
        <v>3.4000000000000002E-2</v>
      </c>
      <c r="H8742" s="508">
        <v>3.3000000000000002E-2</v>
      </c>
      <c r="I8742" s="508">
        <v>3.3000000000000002E-2</v>
      </c>
      <c r="J8742" s="508">
        <v>3.3000000000000002E-2</v>
      </c>
      <c r="K8742" s="508">
        <v>3.3000000000000002E-2</v>
      </c>
      <c r="L8742" s="508">
        <v>3.2000000000000001E-2</v>
      </c>
      <c r="M8742" s="508">
        <v>3.2000000000000001E-2</v>
      </c>
      <c r="N8742" s="508">
        <v>3.2000000000000001E-2</v>
      </c>
      <c r="O8742" s="508">
        <v>3.2000000000000001E-2</v>
      </c>
      <c r="P8742" s="508">
        <v>2.4E-2</v>
      </c>
      <c r="Q8742" s="508">
        <v>2.5000000000000001E-2</v>
      </c>
      <c r="R8742" s="508">
        <v>2.5000000000000001E-2</v>
      </c>
      <c r="S8742" s="508">
        <v>2.5999999999999999E-2</v>
      </c>
      <c r="T8742" s="508">
        <v>2.1999999999999999E-2</v>
      </c>
      <c r="U8742" s="508">
        <v>2.3E-2</v>
      </c>
      <c r="V8742" s="508">
        <v>2.1999999999999999E-2</v>
      </c>
      <c r="W8742" s="508">
        <v>2.1999999999999999E-2</v>
      </c>
      <c r="X8742" s="508">
        <v>2.1999999999999999E-2</v>
      </c>
      <c r="Y8742" s="508">
        <v>2.1999999999999999E-2</v>
      </c>
      <c r="Z8742" s="508">
        <v>2.1999999999999999E-2</v>
      </c>
      <c r="AA8742" s="508">
        <v>2.1999999999999999E-2</v>
      </c>
      <c r="AB8742" s="508">
        <v>2.1999999999999999E-2</v>
      </c>
      <c r="AC8742" s="508">
        <v>2.1999999999999999E-2</v>
      </c>
      <c r="AD8742" s="508">
        <v>2.1999999999999999E-2</v>
      </c>
      <c r="AE8742" s="508">
        <v>2.1999999999999999E-2</v>
      </c>
      <c r="AF8742" s="508">
        <v>2.1999999999999999E-2</v>
      </c>
      <c r="AG8742" s="508">
        <v>2.1999999999999999E-2</v>
      </c>
      <c r="AH8742" s="508">
        <v>2.1000000000000001E-2</v>
      </c>
      <c r="AI8742" s="492">
        <v>2.1000000000000001E-2</v>
      </c>
      <c r="AJ8742" s="485"/>
    </row>
    <row r="8743" spans="2:36">
      <c r="B8743" s="136" t="s">
        <v>488</v>
      </c>
      <c r="C8743" s="132" t="s">
        <v>1375</v>
      </c>
      <c r="D8743" s="132" t="s">
        <v>1384</v>
      </c>
      <c r="E8743" s="508">
        <v>3.3000000000000002E-2</v>
      </c>
      <c r="F8743" s="508">
        <v>3.2000000000000001E-2</v>
      </c>
      <c r="G8743" s="508">
        <v>3.2000000000000001E-2</v>
      </c>
      <c r="H8743" s="508">
        <v>3.2000000000000001E-2</v>
      </c>
      <c r="I8743" s="508">
        <v>3.1E-2</v>
      </c>
      <c r="J8743" s="508">
        <v>3.1E-2</v>
      </c>
      <c r="K8743" s="508">
        <v>3.1E-2</v>
      </c>
      <c r="L8743" s="508">
        <v>3.1E-2</v>
      </c>
      <c r="M8743" s="508">
        <v>3.1E-2</v>
      </c>
      <c r="N8743" s="508">
        <v>3.1E-2</v>
      </c>
      <c r="O8743" s="508">
        <v>3.1E-2</v>
      </c>
      <c r="P8743" s="508">
        <v>2.3E-2</v>
      </c>
      <c r="Q8743" s="508">
        <v>2.4E-2</v>
      </c>
      <c r="R8743" s="508">
        <v>2.4E-2</v>
      </c>
      <c r="S8743" s="508">
        <v>2.5000000000000001E-2</v>
      </c>
      <c r="T8743" s="508">
        <v>2.1000000000000001E-2</v>
      </c>
      <c r="U8743" s="508">
        <v>2.1999999999999999E-2</v>
      </c>
      <c r="V8743" s="508">
        <v>2.1000000000000001E-2</v>
      </c>
      <c r="W8743" s="508">
        <v>2.1000000000000001E-2</v>
      </c>
      <c r="X8743" s="508">
        <v>2.1000000000000001E-2</v>
      </c>
      <c r="Y8743" s="508">
        <v>2.1000000000000001E-2</v>
      </c>
      <c r="Z8743" s="508">
        <v>2.1000000000000001E-2</v>
      </c>
      <c r="AA8743" s="508">
        <v>2.1000000000000001E-2</v>
      </c>
      <c r="AB8743" s="508">
        <v>2.1000000000000001E-2</v>
      </c>
      <c r="AC8743" s="508">
        <v>2.1000000000000001E-2</v>
      </c>
      <c r="AD8743" s="508">
        <v>2.1000000000000001E-2</v>
      </c>
      <c r="AE8743" s="508">
        <v>2.1000000000000001E-2</v>
      </c>
      <c r="AF8743" s="508">
        <v>2.1000000000000001E-2</v>
      </c>
      <c r="AG8743" s="508">
        <v>2.1000000000000001E-2</v>
      </c>
      <c r="AH8743" s="508">
        <v>0.02</v>
      </c>
      <c r="AI8743" s="492">
        <v>0.02</v>
      </c>
      <c r="AJ8743" s="485"/>
    </row>
    <row r="8744" spans="2:36">
      <c r="B8744" s="136" t="s">
        <v>489</v>
      </c>
      <c r="C8744" s="132" t="s">
        <v>1375</v>
      </c>
      <c r="D8744" s="132" t="s">
        <v>1384</v>
      </c>
      <c r="E8744" s="508">
        <v>3.4000000000000002E-2</v>
      </c>
      <c r="F8744" s="508">
        <v>3.3000000000000002E-2</v>
      </c>
      <c r="G8744" s="508">
        <v>3.3000000000000002E-2</v>
      </c>
      <c r="H8744" s="508">
        <v>3.2000000000000001E-2</v>
      </c>
      <c r="I8744" s="508">
        <v>3.2000000000000001E-2</v>
      </c>
      <c r="J8744" s="508">
        <v>3.2000000000000001E-2</v>
      </c>
      <c r="K8744" s="508">
        <v>3.2000000000000001E-2</v>
      </c>
      <c r="L8744" s="508">
        <v>3.1E-2</v>
      </c>
      <c r="M8744" s="508">
        <v>3.1E-2</v>
      </c>
      <c r="N8744" s="508">
        <v>3.1E-2</v>
      </c>
      <c r="O8744" s="508">
        <v>3.1E-2</v>
      </c>
      <c r="P8744" s="508">
        <v>2.3E-2</v>
      </c>
      <c r="Q8744" s="508">
        <v>2.4E-2</v>
      </c>
      <c r="R8744" s="508">
        <v>2.5000000000000001E-2</v>
      </c>
      <c r="S8744" s="508">
        <v>2.5000000000000001E-2</v>
      </c>
      <c r="T8744" s="508">
        <v>2.1000000000000001E-2</v>
      </c>
      <c r="U8744" s="508">
        <v>2.3E-2</v>
      </c>
      <c r="V8744" s="508">
        <v>2.1999999999999999E-2</v>
      </c>
      <c r="W8744" s="508">
        <v>2.1999999999999999E-2</v>
      </c>
      <c r="X8744" s="508">
        <v>2.1999999999999999E-2</v>
      </c>
      <c r="Y8744" s="508">
        <v>2.1999999999999999E-2</v>
      </c>
      <c r="Z8744" s="508">
        <v>2.1999999999999999E-2</v>
      </c>
      <c r="AA8744" s="508">
        <v>2.1999999999999999E-2</v>
      </c>
      <c r="AB8744" s="508">
        <v>2.1999999999999999E-2</v>
      </c>
      <c r="AC8744" s="508">
        <v>2.1999999999999999E-2</v>
      </c>
      <c r="AD8744" s="508">
        <v>2.1999999999999999E-2</v>
      </c>
      <c r="AE8744" s="508">
        <v>2.1999999999999999E-2</v>
      </c>
      <c r="AF8744" s="508">
        <v>2.1999999999999999E-2</v>
      </c>
      <c r="AG8744" s="508">
        <v>2.1999999999999999E-2</v>
      </c>
      <c r="AH8744" s="508">
        <v>2.1000000000000001E-2</v>
      </c>
      <c r="AI8744" s="492">
        <v>2.1000000000000001E-2</v>
      </c>
      <c r="AJ8744" s="485"/>
    </row>
    <row r="8745" spans="2:36">
      <c r="B8745" s="136" t="s">
        <v>490</v>
      </c>
      <c r="C8745" s="132" t="s">
        <v>1375</v>
      </c>
      <c r="D8745" s="132" t="s">
        <v>1384</v>
      </c>
      <c r="E8745" s="508">
        <v>3.3000000000000002E-2</v>
      </c>
      <c r="F8745" s="508">
        <v>3.2000000000000001E-2</v>
      </c>
      <c r="G8745" s="508">
        <v>3.2000000000000001E-2</v>
      </c>
      <c r="H8745" s="508">
        <v>3.1E-2</v>
      </c>
      <c r="I8745" s="508">
        <v>3.1E-2</v>
      </c>
      <c r="J8745" s="508">
        <v>3.1E-2</v>
      </c>
      <c r="K8745" s="508">
        <v>3.1E-2</v>
      </c>
      <c r="L8745" s="508">
        <v>3.1E-2</v>
      </c>
      <c r="M8745" s="508">
        <v>0.03</v>
      </c>
      <c r="N8745" s="508">
        <v>0.03</v>
      </c>
      <c r="O8745" s="508">
        <v>0.03</v>
      </c>
      <c r="P8745" s="508">
        <v>2.1999999999999999E-2</v>
      </c>
      <c r="Q8745" s="508">
        <v>2.3E-2</v>
      </c>
      <c r="R8745" s="508">
        <v>2.4E-2</v>
      </c>
      <c r="S8745" s="508">
        <v>2.5000000000000001E-2</v>
      </c>
      <c r="T8745" s="508">
        <v>2.1000000000000001E-2</v>
      </c>
      <c r="U8745" s="508">
        <v>2.1999999999999999E-2</v>
      </c>
      <c r="V8745" s="508">
        <v>2.1000000000000001E-2</v>
      </c>
      <c r="W8745" s="508">
        <v>2.1000000000000001E-2</v>
      </c>
      <c r="X8745" s="508">
        <v>2.1000000000000001E-2</v>
      </c>
      <c r="Y8745" s="508">
        <v>2.1000000000000001E-2</v>
      </c>
      <c r="Z8745" s="508">
        <v>2.1000000000000001E-2</v>
      </c>
      <c r="AA8745" s="508">
        <v>2.1000000000000001E-2</v>
      </c>
      <c r="AB8745" s="508">
        <v>2.1000000000000001E-2</v>
      </c>
      <c r="AC8745" s="508">
        <v>2.1000000000000001E-2</v>
      </c>
      <c r="AD8745" s="508">
        <v>2.1000000000000001E-2</v>
      </c>
      <c r="AE8745" s="508">
        <v>2.1000000000000001E-2</v>
      </c>
      <c r="AF8745" s="508">
        <v>2.1000000000000001E-2</v>
      </c>
      <c r="AG8745" s="508">
        <v>2.1000000000000001E-2</v>
      </c>
      <c r="AH8745" s="508">
        <v>0.02</v>
      </c>
      <c r="AI8745" s="492">
        <v>0.02</v>
      </c>
      <c r="AJ8745" s="485"/>
    </row>
    <row r="8746" spans="2:36">
      <c r="B8746" s="136" t="s">
        <v>435</v>
      </c>
      <c r="C8746" s="132" t="s">
        <v>1376</v>
      </c>
      <c r="D8746" s="132" t="s">
        <v>1384</v>
      </c>
      <c r="E8746" s="508">
        <v>10.887</v>
      </c>
      <c r="F8746" s="508">
        <v>8.5190000000000001</v>
      </c>
      <c r="G8746" s="508">
        <v>7.0439999999999996</v>
      </c>
      <c r="H8746" s="508">
        <v>6.0579999999999998</v>
      </c>
      <c r="I8746" s="508">
        <v>5.351</v>
      </c>
      <c r="J8746" s="508">
        <v>4.8120000000000003</v>
      </c>
      <c r="K8746" s="508">
        <v>4.3929999999999998</v>
      </c>
      <c r="L8746" s="508">
        <v>4.0620000000000003</v>
      </c>
      <c r="M8746" s="508">
        <v>3.7839999999999998</v>
      </c>
      <c r="N8746" s="508">
        <v>3.5550000000000002</v>
      </c>
      <c r="O8746" s="508">
        <v>3.36</v>
      </c>
      <c r="P8746" s="508">
        <v>1.4419999999999999</v>
      </c>
      <c r="Q8746" s="508">
        <v>1.369</v>
      </c>
      <c r="R8746" s="508">
        <v>1.1180000000000001</v>
      </c>
      <c r="S8746" s="508">
        <v>1.0549999999999999</v>
      </c>
      <c r="T8746" s="508">
        <v>0.98399999999999999</v>
      </c>
      <c r="U8746" s="508">
        <v>0.73699999999999999</v>
      </c>
      <c r="V8746" s="508">
        <v>0.61099999999999999</v>
      </c>
      <c r="W8746" s="508">
        <v>0.54500000000000004</v>
      </c>
      <c r="X8746" s="508">
        <v>0.45200000000000001</v>
      </c>
      <c r="Y8746" s="508">
        <v>0.40100000000000002</v>
      </c>
      <c r="Z8746" s="508">
        <v>0.34200000000000003</v>
      </c>
      <c r="AA8746" s="508">
        <v>0.33800000000000002</v>
      </c>
      <c r="AB8746" s="508">
        <v>0.32800000000000001</v>
      </c>
      <c r="AC8746" s="508">
        <v>0.32500000000000001</v>
      </c>
      <c r="AD8746" s="508">
        <v>0.317</v>
      </c>
      <c r="AE8746" s="508">
        <v>0.315</v>
      </c>
      <c r="AF8746" s="508">
        <v>0.309</v>
      </c>
      <c r="AG8746" s="508">
        <v>0.309</v>
      </c>
      <c r="AH8746" s="508">
        <v>0.30599999999999999</v>
      </c>
      <c r="AI8746" s="492">
        <v>0.30599999999999999</v>
      </c>
      <c r="AJ8746" s="485"/>
    </row>
    <row r="8747" spans="2:36">
      <c r="B8747" s="136" t="s">
        <v>436</v>
      </c>
      <c r="C8747" s="132" t="s">
        <v>1376</v>
      </c>
      <c r="D8747" s="132" t="s">
        <v>1384</v>
      </c>
      <c r="E8747" s="508">
        <v>5.0220000000000002</v>
      </c>
      <c r="F8747" s="508">
        <v>4.8600000000000003</v>
      </c>
      <c r="G8747" s="508">
        <v>3.2909999999999999</v>
      </c>
      <c r="H8747" s="508">
        <v>2.673</v>
      </c>
      <c r="I8747" s="508">
        <v>2.1880000000000002</v>
      </c>
      <c r="J8747" s="508">
        <v>1.6759999999999999</v>
      </c>
      <c r="K8747" s="508">
        <v>1.522</v>
      </c>
      <c r="L8747" s="508">
        <v>1.7070000000000001</v>
      </c>
      <c r="M8747" s="508">
        <v>1.2529999999999999</v>
      </c>
      <c r="N8747" s="508">
        <v>1.214</v>
      </c>
      <c r="O8747" s="508">
        <v>1.0629999999999999</v>
      </c>
      <c r="P8747" s="508">
        <v>0.42599999999999999</v>
      </c>
      <c r="Q8747" s="508">
        <v>0.49099999999999999</v>
      </c>
      <c r="R8747" s="508">
        <v>0.27500000000000002</v>
      </c>
      <c r="S8747" s="508">
        <v>0.36</v>
      </c>
      <c r="T8747" s="508">
        <v>0.255</v>
      </c>
      <c r="U8747" s="508">
        <v>0.16900000000000001</v>
      </c>
      <c r="V8747" s="508">
        <v>0.219</v>
      </c>
      <c r="W8747" s="508">
        <v>0.16600000000000001</v>
      </c>
      <c r="X8747" s="508">
        <v>0.13500000000000001</v>
      </c>
      <c r="Y8747" s="508">
        <v>7.3999999999999996E-2</v>
      </c>
      <c r="Z8747" s="508">
        <v>7.0000000000000007E-2</v>
      </c>
      <c r="AA8747" s="508">
        <v>4.7E-2</v>
      </c>
      <c r="AB8747" s="508">
        <v>7.2999999999999995E-2</v>
      </c>
      <c r="AC8747" s="508">
        <v>7.9000000000000001E-2</v>
      </c>
      <c r="AD8747" s="508">
        <v>0.1</v>
      </c>
      <c r="AE8747" s="508">
        <v>8.7999999999999995E-2</v>
      </c>
      <c r="AF8747" s="508">
        <v>8.6999999999999994E-2</v>
      </c>
      <c r="AG8747" s="508">
        <v>8.6999999999999994E-2</v>
      </c>
      <c r="AH8747" s="508">
        <v>8.5999999999999993E-2</v>
      </c>
      <c r="AI8747" s="492">
        <v>8.5999999999999993E-2</v>
      </c>
      <c r="AJ8747" s="485"/>
    </row>
    <row r="8748" spans="2:36">
      <c r="B8748" s="136" t="s">
        <v>437</v>
      </c>
      <c r="C8748" s="132" t="s">
        <v>1376</v>
      </c>
      <c r="D8748" s="132" t="s">
        <v>1384</v>
      </c>
      <c r="E8748" s="508">
        <v>12.023999999999999</v>
      </c>
      <c r="F8748" s="508">
        <v>9.4179999999999993</v>
      </c>
      <c r="G8748" s="508">
        <v>7.766</v>
      </c>
      <c r="H8748" s="508">
        <v>6.6719999999999997</v>
      </c>
      <c r="I8748" s="508">
        <v>5.891</v>
      </c>
      <c r="J8748" s="508">
        <v>5.29</v>
      </c>
      <c r="K8748" s="508">
        <v>4.827</v>
      </c>
      <c r="L8748" s="508">
        <v>4.4660000000000002</v>
      </c>
      <c r="M8748" s="508">
        <v>4.1539999999999999</v>
      </c>
      <c r="N8748" s="508">
        <v>3.9020000000000001</v>
      </c>
      <c r="O8748" s="508">
        <v>3.6859999999999999</v>
      </c>
      <c r="P8748" s="508">
        <v>1.6479999999999999</v>
      </c>
      <c r="Q8748" s="508">
        <v>1.556</v>
      </c>
      <c r="R8748" s="508">
        <v>1.2130000000000001</v>
      </c>
      <c r="S8748" s="508">
        <v>1.1359999999999999</v>
      </c>
      <c r="T8748" s="508">
        <v>1.0589999999999999</v>
      </c>
      <c r="U8748" s="508">
        <v>0.8</v>
      </c>
      <c r="V8748" s="508">
        <v>0.66300000000000003</v>
      </c>
      <c r="W8748" s="508">
        <v>0.59199999999999997</v>
      </c>
      <c r="X8748" s="508">
        <v>0.49299999999999999</v>
      </c>
      <c r="Y8748" s="508">
        <v>0.436</v>
      </c>
      <c r="Z8748" s="508">
        <v>0.375</v>
      </c>
      <c r="AA8748" s="508">
        <v>0.36899999999999999</v>
      </c>
      <c r="AB8748" s="508">
        <v>0.35899999999999999</v>
      </c>
      <c r="AC8748" s="508">
        <v>0.35599999999999998</v>
      </c>
      <c r="AD8748" s="508">
        <v>0.34799999999999998</v>
      </c>
      <c r="AE8748" s="508">
        <v>0.34599999999999997</v>
      </c>
      <c r="AF8748" s="508">
        <v>0.34</v>
      </c>
      <c r="AG8748" s="508">
        <v>0.34</v>
      </c>
      <c r="AH8748" s="508">
        <v>0.33700000000000002</v>
      </c>
      <c r="AI8748" s="492">
        <v>0.33600000000000002</v>
      </c>
      <c r="AJ8748" s="485"/>
    </row>
    <row r="8749" spans="2:36">
      <c r="B8749" s="136" t="s">
        <v>438</v>
      </c>
      <c r="C8749" s="132" t="s">
        <v>1376</v>
      </c>
      <c r="D8749" s="132" t="s">
        <v>1384</v>
      </c>
      <c r="E8749" s="508">
        <v>9.7479999999999993</v>
      </c>
      <c r="F8749" s="508">
        <v>7.6340000000000003</v>
      </c>
      <c r="G8749" s="508">
        <v>6.3220000000000001</v>
      </c>
      <c r="H8749" s="508">
        <v>5.4429999999999996</v>
      </c>
      <c r="I8749" s="508">
        <v>4.8120000000000003</v>
      </c>
      <c r="J8749" s="508">
        <v>4.3319999999999999</v>
      </c>
      <c r="K8749" s="508">
        <v>3.9590000000000001</v>
      </c>
      <c r="L8749" s="508">
        <v>3.6629999999999998</v>
      </c>
      <c r="M8749" s="508">
        <v>3.415</v>
      </c>
      <c r="N8749" s="508">
        <v>3.21</v>
      </c>
      <c r="O8749" s="508">
        <v>3.0369999999999999</v>
      </c>
      <c r="P8749" s="508">
        <v>1.3129999999999999</v>
      </c>
      <c r="Q8749" s="508">
        <v>1.248</v>
      </c>
      <c r="R8749" s="508">
        <v>1.0309999999999999</v>
      </c>
      <c r="S8749" s="508">
        <v>0.97599999999999998</v>
      </c>
      <c r="T8749" s="508">
        <v>0.91100000000000003</v>
      </c>
      <c r="U8749" s="508">
        <v>0.68500000000000005</v>
      </c>
      <c r="V8749" s="508">
        <v>0.56699999999999995</v>
      </c>
      <c r="W8749" s="508">
        <v>0.50600000000000001</v>
      </c>
      <c r="X8749" s="508">
        <v>0.42099999999999999</v>
      </c>
      <c r="Y8749" s="508">
        <v>0.373</v>
      </c>
      <c r="Z8749" s="508">
        <v>0.32</v>
      </c>
      <c r="AA8749" s="508">
        <v>0.316</v>
      </c>
      <c r="AB8749" s="508">
        <v>0.307</v>
      </c>
      <c r="AC8749" s="508">
        <v>0.30399999999999999</v>
      </c>
      <c r="AD8749" s="508">
        <v>0.29699999999999999</v>
      </c>
      <c r="AE8749" s="508">
        <v>0.29499999999999998</v>
      </c>
      <c r="AF8749" s="508">
        <v>0.28999999999999998</v>
      </c>
      <c r="AG8749" s="508">
        <v>0.28999999999999998</v>
      </c>
      <c r="AH8749" s="508">
        <v>0.28799999999999998</v>
      </c>
      <c r="AI8749" s="492">
        <v>0.28699999999999998</v>
      </c>
      <c r="AJ8749" s="485"/>
    </row>
    <row r="8750" spans="2:36">
      <c r="B8750" s="136" t="s">
        <v>439</v>
      </c>
      <c r="C8750" s="132" t="s">
        <v>1376</v>
      </c>
      <c r="D8750" s="132" t="s">
        <v>1384</v>
      </c>
      <c r="E8750" s="508">
        <v>9.5869999999999997</v>
      </c>
      <c r="F8750" s="508">
        <v>9.1880000000000006</v>
      </c>
      <c r="G8750" s="508">
        <v>6.141</v>
      </c>
      <c r="H8750" s="508">
        <v>4.9320000000000004</v>
      </c>
      <c r="I8750" s="508">
        <v>3.9990000000000001</v>
      </c>
      <c r="J8750" s="508">
        <v>3.0310000000000001</v>
      </c>
      <c r="K8750" s="508">
        <v>2.7280000000000002</v>
      </c>
      <c r="L8750" s="508">
        <v>3.0350000000000001</v>
      </c>
      <c r="M8750" s="508">
        <v>2.2090000000000001</v>
      </c>
      <c r="N8750" s="508">
        <v>2.1230000000000002</v>
      </c>
      <c r="O8750" s="508">
        <v>1.845</v>
      </c>
      <c r="P8750" s="508">
        <v>0.75600000000000001</v>
      </c>
      <c r="Q8750" s="508">
        <v>0.85799999999999998</v>
      </c>
      <c r="R8750" s="508">
        <v>0.439</v>
      </c>
      <c r="S8750" s="508">
        <v>0.56200000000000006</v>
      </c>
      <c r="T8750" s="508">
        <v>0.39600000000000002</v>
      </c>
      <c r="U8750" s="508">
        <v>0.26500000000000001</v>
      </c>
      <c r="V8750" s="508">
        <v>0.34399999999999997</v>
      </c>
      <c r="W8750" s="508">
        <v>0.25900000000000001</v>
      </c>
      <c r="X8750" s="508">
        <v>0.20799999999999999</v>
      </c>
      <c r="Y8750" s="508">
        <v>0.113</v>
      </c>
      <c r="Z8750" s="508">
        <v>0.108</v>
      </c>
      <c r="AA8750" s="508">
        <v>7.1999999999999995E-2</v>
      </c>
      <c r="AB8750" s="508">
        <v>0.11</v>
      </c>
      <c r="AC8750" s="508">
        <v>0.11899999999999999</v>
      </c>
      <c r="AD8750" s="508">
        <v>0.14899999999999999</v>
      </c>
      <c r="AE8750" s="508">
        <v>0.13100000000000001</v>
      </c>
      <c r="AF8750" s="508">
        <v>0.128</v>
      </c>
      <c r="AG8750" s="508">
        <v>0.128</v>
      </c>
      <c r="AH8750" s="508">
        <v>0.127</v>
      </c>
      <c r="AI8750" s="492">
        <v>0.127</v>
      </c>
      <c r="AJ8750" s="485"/>
    </row>
    <row r="8751" spans="2:36">
      <c r="B8751" s="136" t="s">
        <v>440</v>
      </c>
      <c r="C8751" s="132" t="s">
        <v>1376</v>
      </c>
      <c r="D8751" s="132" t="s">
        <v>1384</v>
      </c>
      <c r="E8751" s="508">
        <v>8.4740000000000002</v>
      </c>
      <c r="F8751" s="508">
        <v>6.6509999999999998</v>
      </c>
      <c r="G8751" s="508">
        <v>5.5060000000000002</v>
      </c>
      <c r="H8751" s="508">
        <v>4.7450000000000001</v>
      </c>
      <c r="I8751" s="508">
        <v>4.1989999999999998</v>
      </c>
      <c r="J8751" s="508">
        <v>3.7810000000000001</v>
      </c>
      <c r="K8751" s="508">
        <v>3.4590000000000001</v>
      </c>
      <c r="L8751" s="508">
        <v>3.2050000000000001</v>
      </c>
      <c r="M8751" s="508">
        <v>2.9889999999999999</v>
      </c>
      <c r="N8751" s="508">
        <v>2.8130000000000002</v>
      </c>
      <c r="O8751" s="508">
        <v>2.6619999999999999</v>
      </c>
      <c r="P8751" s="508">
        <v>1.1020000000000001</v>
      </c>
      <c r="Q8751" s="508">
        <v>1.0529999999999999</v>
      </c>
      <c r="R8751" s="508">
        <v>0.89700000000000002</v>
      </c>
      <c r="S8751" s="508">
        <v>0.85499999999999998</v>
      </c>
      <c r="T8751" s="508">
        <v>0.79500000000000004</v>
      </c>
      <c r="U8751" s="508">
        <v>0.58499999999999996</v>
      </c>
      <c r="V8751" s="508">
        <v>0.48699999999999999</v>
      </c>
      <c r="W8751" s="508">
        <v>0.435</v>
      </c>
      <c r="X8751" s="508">
        <v>0.36099999999999999</v>
      </c>
      <c r="Y8751" s="508">
        <v>0.32100000000000001</v>
      </c>
      <c r="Z8751" s="508">
        <v>0.27200000000000002</v>
      </c>
      <c r="AA8751" s="508">
        <v>0.26900000000000002</v>
      </c>
      <c r="AB8751" s="508">
        <v>0.26100000000000001</v>
      </c>
      <c r="AC8751" s="508">
        <v>0.25900000000000001</v>
      </c>
      <c r="AD8751" s="508">
        <v>0.253</v>
      </c>
      <c r="AE8751" s="508">
        <v>0.251</v>
      </c>
      <c r="AF8751" s="508">
        <v>0.247</v>
      </c>
      <c r="AG8751" s="508">
        <v>0.247</v>
      </c>
      <c r="AH8751" s="508">
        <v>0.245</v>
      </c>
      <c r="AI8751" s="492">
        <v>0.24399999999999999</v>
      </c>
      <c r="AJ8751" s="485"/>
    </row>
    <row r="8752" spans="2:36">
      <c r="B8752" s="136" t="s">
        <v>441</v>
      </c>
      <c r="C8752" s="132" t="s">
        <v>1376</v>
      </c>
      <c r="D8752" s="132" t="s">
        <v>1384</v>
      </c>
      <c r="E8752" s="508">
        <v>9.5809999999999995</v>
      </c>
      <c r="F8752" s="508">
        <v>7.4610000000000003</v>
      </c>
      <c r="G8752" s="508">
        <v>6.1630000000000003</v>
      </c>
      <c r="H8752" s="508">
        <v>5.2869999999999999</v>
      </c>
      <c r="I8752" s="508">
        <v>4.6539999999999999</v>
      </c>
      <c r="J8752" s="508">
        <v>4.1769999999999996</v>
      </c>
      <c r="K8752" s="508">
        <v>3.8039999999999998</v>
      </c>
      <c r="L8752" s="508">
        <v>3.5049999999999999</v>
      </c>
      <c r="M8752" s="508">
        <v>3.258</v>
      </c>
      <c r="N8752" s="508">
        <v>3.0529999999999999</v>
      </c>
      <c r="O8752" s="508">
        <v>2.879</v>
      </c>
      <c r="P8752" s="508">
        <v>1.1120000000000001</v>
      </c>
      <c r="Q8752" s="508">
        <v>1.0529999999999999</v>
      </c>
      <c r="R8752" s="508">
        <v>0.879</v>
      </c>
      <c r="S8752" s="508">
        <v>0.82899999999999996</v>
      </c>
      <c r="T8752" s="508">
        <v>0.76200000000000001</v>
      </c>
      <c r="U8752" s="508">
        <v>0.54700000000000004</v>
      </c>
      <c r="V8752" s="508">
        <v>0.45800000000000002</v>
      </c>
      <c r="W8752" s="508">
        <v>0.41</v>
      </c>
      <c r="X8752" s="508">
        <v>0.33500000000000002</v>
      </c>
      <c r="Y8752" s="508">
        <v>0.29899999999999999</v>
      </c>
      <c r="Z8752" s="508">
        <v>0.249</v>
      </c>
      <c r="AA8752" s="508">
        <v>0.245</v>
      </c>
      <c r="AB8752" s="508">
        <v>0.23599999999999999</v>
      </c>
      <c r="AC8752" s="508">
        <v>0.23300000000000001</v>
      </c>
      <c r="AD8752" s="508">
        <v>0.22600000000000001</v>
      </c>
      <c r="AE8752" s="508">
        <v>0.22500000000000001</v>
      </c>
      <c r="AF8752" s="508">
        <v>0.219</v>
      </c>
      <c r="AG8752" s="508">
        <v>0.219</v>
      </c>
      <c r="AH8752" s="508">
        <v>0.217</v>
      </c>
      <c r="AI8752" s="492">
        <v>0.217</v>
      </c>
      <c r="AJ8752" s="485"/>
    </row>
    <row r="8753" spans="2:36">
      <c r="B8753" s="136" t="s">
        <v>443</v>
      </c>
      <c r="C8753" s="132" t="s">
        <v>1376</v>
      </c>
      <c r="D8753" s="132" t="s">
        <v>1384</v>
      </c>
      <c r="E8753" s="508">
        <v>8.9610000000000003</v>
      </c>
      <c r="F8753" s="508">
        <v>8.5850000000000009</v>
      </c>
      <c r="G8753" s="508">
        <v>5.7450000000000001</v>
      </c>
      <c r="H8753" s="508">
        <v>4.617</v>
      </c>
      <c r="I8753" s="508">
        <v>3.7450000000000001</v>
      </c>
      <c r="J8753" s="508">
        <v>2.84</v>
      </c>
      <c r="K8753" s="508">
        <v>2.5569999999999999</v>
      </c>
      <c r="L8753" s="508">
        <v>2.8439999999999999</v>
      </c>
      <c r="M8753" s="508">
        <v>2.0720000000000001</v>
      </c>
      <c r="N8753" s="508">
        <v>1.992</v>
      </c>
      <c r="O8753" s="508">
        <v>1.732</v>
      </c>
      <c r="P8753" s="508">
        <v>0.68200000000000005</v>
      </c>
      <c r="Q8753" s="508">
        <v>0.77300000000000002</v>
      </c>
      <c r="R8753" s="508">
        <v>0.39900000000000002</v>
      </c>
      <c r="S8753" s="508">
        <v>0.51</v>
      </c>
      <c r="T8753" s="508">
        <v>0.35799999999999998</v>
      </c>
      <c r="U8753" s="508">
        <v>0.23599999999999999</v>
      </c>
      <c r="V8753" s="508">
        <v>0.307</v>
      </c>
      <c r="W8753" s="508">
        <v>0.23200000000000001</v>
      </c>
      <c r="X8753" s="508">
        <v>0.185</v>
      </c>
      <c r="Y8753" s="508">
        <v>0.10100000000000001</v>
      </c>
      <c r="Z8753" s="508">
        <v>9.5000000000000001E-2</v>
      </c>
      <c r="AA8753" s="508">
        <v>6.4000000000000001E-2</v>
      </c>
      <c r="AB8753" s="508">
        <v>9.7000000000000003E-2</v>
      </c>
      <c r="AC8753" s="508">
        <v>0.105</v>
      </c>
      <c r="AD8753" s="508">
        <v>0.13100000000000001</v>
      </c>
      <c r="AE8753" s="508">
        <v>0.115</v>
      </c>
      <c r="AF8753" s="508">
        <v>0.112</v>
      </c>
      <c r="AG8753" s="508">
        <v>0.112</v>
      </c>
      <c r="AH8753" s="508">
        <v>0.111</v>
      </c>
      <c r="AI8753" s="492">
        <v>0.111</v>
      </c>
      <c r="AJ8753" s="485"/>
    </row>
    <row r="8754" spans="2:36">
      <c r="B8754" s="136" t="s">
        <v>445</v>
      </c>
      <c r="C8754" s="132" t="s">
        <v>1376</v>
      </c>
      <c r="D8754" s="132" t="s">
        <v>1384</v>
      </c>
      <c r="E8754" s="508">
        <v>12.085000000000001</v>
      </c>
      <c r="F8754" s="508">
        <v>9.407</v>
      </c>
      <c r="G8754" s="508">
        <v>7.7649999999999997</v>
      </c>
      <c r="H8754" s="508">
        <v>6.6559999999999997</v>
      </c>
      <c r="I8754" s="508">
        <v>5.8579999999999997</v>
      </c>
      <c r="J8754" s="508">
        <v>5.2539999999999996</v>
      </c>
      <c r="K8754" s="508">
        <v>4.7830000000000004</v>
      </c>
      <c r="L8754" s="508">
        <v>4.4050000000000002</v>
      </c>
      <c r="M8754" s="508">
        <v>4.093</v>
      </c>
      <c r="N8754" s="508">
        <v>3.8340000000000001</v>
      </c>
      <c r="O8754" s="508">
        <v>3.6139999999999999</v>
      </c>
      <c r="P8754" s="508">
        <v>1.403</v>
      </c>
      <c r="Q8754" s="508">
        <v>1.323</v>
      </c>
      <c r="R8754" s="508">
        <v>1.0720000000000001</v>
      </c>
      <c r="S8754" s="508">
        <v>1.004</v>
      </c>
      <c r="T8754" s="508">
        <v>0.92300000000000004</v>
      </c>
      <c r="U8754" s="508">
        <v>0.66300000000000003</v>
      </c>
      <c r="V8754" s="508">
        <v>0.55500000000000005</v>
      </c>
      <c r="W8754" s="508">
        <v>0.497</v>
      </c>
      <c r="X8754" s="508">
        <v>0.40400000000000003</v>
      </c>
      <c r="Y8754" s="508">
        <v>0.36099999999999999</v>
      </c>
      <c r="Z8754" s="508">
        <v>0.3</v>
      </c>
      <c r="AA8754" s="508">
        <v>0.29499999999999998</v>
      </c>
      <c r="AB8754" s="508">
        <v>0.28399999999999997</v>
      </c>
      <c r="AC8754" s="508">
        <v>0.28000000000000003</v>
      </c>
      <c r="AD8754" s="508">
        <v>0.27100000000000002</v>
      </c>
      <c r="AE8754" s="508">
        <v>0.26900000000000002</v>
      </c>
      <c r="AF8754" s="508">
        <v>0.26200000000000001</v>
      </c>
      <c r="AG8754" s="508">
        <v>0.26200000000000001</v>
      </c>
      <c r="AH8754" s="508">
        <v>0.26</v>
      </c>
      <c r="AI8754" s="492">
        <v>0.26</v>
      </c>
      <c r="AJ8754" s="485"/>
    </row>
    <row r="8755" spans="2:36">
      <c r="B8755" s="136" t="s">
        <v>446</v>
      </c>
      <c r="C8755" s="132" t="s">
        <v>1376</v>
      </c>
      <c r="D8755" s="132" t="s">
        <v>1384</v>
      </c>
      <c r="E8755" s="508">
        <v>13.808</v>
      </c>
      <c r="F8755" s="508">
        <v>10.795</v>
      </c>
      <c r="G8755" s="508">
        <v>8.9169999999999998</v>
      </c>
      <c r="H8755" s="508">
        <v>7.6619999999999999</v>
      </c>
      <c r="I8755" s="508">
        <v>6.7629999999999999</v>
      </c>
      <c r="J8755" s="508">
        <v>6.077</v>
      </c>
      <c r="K8755" s="508">
        <v>5.5439999999999996</v>
      </c>
      <c r="L8755" s="508">
        <v>5.1230000000000002</v>
      </c>
      <c r="M8755" s="508">
        <v>4.7679999999999998</v>
      </c>
      <c r="N8755" s="508">
        <v>4.4770000000000003</v>
      </c>
      <c r="O8755" s="508">
        <v>4.2290000000000001</v>
      </c>
      <c r="P8755" s="508">
        <v>1.8640000000000001</v>
      </c>
      <c r="Q8755" s="508">
        <v>1.7609999999999999</v>
      </c>
      <c r="R8755" s="508">
        <v>1.39</v>
      </c>
      <c r="S8755" s="508">
        <v>1.3009999999999999</v>
      </c>
      <c r="T8755" s="508">
        <v>1.2150000000000001</v>
      </c>
      <c r="U8755" s="508">
        <v>0.91700000000000004</v>
      </c>
      <c r="V8755" s="508">
        <v>0.75900000000000001</v>
      </c>
      <c r="W8755" s="508">
        <v>0.67700000000000005</v>
      </c>
      <c r="X8755" s="508">
        <v>0.56100000000000005</v>
      </c>
      <c r="Y8755" s="508">
        <v>0.497</v>
      </c>
      <c r="Z8755" s="508">
        <v>0.42699999999999999</v>
      </c>
      <c r="AA8755" s="508">
        <v>0.42099999999999999</v>
      </c>
      <c r="AB8755" s="508">
        <v>0.40899999999999997</v>
      </c>
      <c r="AC8755" s="508">
        <v>0.40500000000000003</v>
      </c>
      <c r="AD8755" s="508">
        <v>0.39500000000000002</v>
      </c>
      <c r="AE8755" s="508">
        <v>0.39300000000000002</v>
      </c>
      <c r="AF8755" s="508">
        <v>0.38500000000000001</v>
      </c>
      <c r="AG8755" s="508">
        <v>0.38500000000000001</v>
      </c>
      <c r="AH8755" s="508">
        <v>0.38200000000000001</v>
      </c>
      <c r="AI8755" s="492">
        <v>0.38100000000000001</v>
      </c>
      <c r="AJ8755" s="485"/>
    </row>
    <row r="8756" spans="2:36">
      <c r="B8756" s="136" t="s">
        <v>448</v>
      </c>
      <c r="C8756" s="132" t="s">
        <v>1376</v>
      </c>
      <c r="D8756" s="132" t="s">
        <v>1384</v>
      </c>
      <c r="E8756" s="508">
        <v>8.5709999999999997</v>
      </c>
      <c r="F8756" s="508">
        <v>8.2490000000000006</v>
      </c>
      <c r="G8756" s="508">
        <v>5.5309999999999997</v>
      </c>
      <c r="H8756" s="508">
        <v>4.4580000000000002</v>
      </c>
      <c r="I8756" s="508">
        <v>3.6280000000000001</v>
      </c>
      <c r="J8756" s="508">
        <v>2.7589999999999999</v>
      </c>
      <c r="K8756" s="508">
        <v>2.4910000000000001</v>
      </c>
      <c r="L8756" s="508">
        <v>2.78</v>
      </c>
      <c r="M8756" s="508">
        <v>2.0299999999999998</v>
      </c>
      <c r="N8756" s="508">
        <v>1.956</v>
      </c>
      <c r="O8756" s="508">
        <v>1.7050000000000001</v>
      </c>
      <c r="P8756" s="508">
        <v>0.73899999999999999</v>
      </c>
      <c r="Q8756" s="508">
        <v>0.84199999999999997</v>
      </c>
      <c r="R8756" s="508">
        <v>0.434</v>
      </c>
      <c r="S8756" s="508">
        <v>0.55800000000000005</v>
      </c>
      <c r="T8756" s="508">
        <v>0.39600000000000002</v>
      </c>
      <c r="U8756" s="508">
        <v>0.27100000000000002</v>
      </c>
      <c r="V8756" s="508">
        <v>0.35</v>
      </c>
      <c r="W8756" s="508">
        <v>0.26300000000000001</v>
      </c>
      <c r="X8756" s="508">
        <v>0.214</v>
      </c>
      <c r="Y8756" s="508">
        <v>0.11600000000000001</v>
      </c>
      <c r="Z8756" s="508">
        <v>0.112</v>
      </c>
      <c r="AA8756" s="508">
        <v>7.4999999999999997E-2</v>
      </c>
      <c r="AB8756" s="508">
        <v>0.115</v>
      </c>
      <c r="AC8756" s="508">
        <v>0.126</v>
      </c>
      <c r="AD8756" s="508">
        <v>0.158</v>
      </c>
      <c r="AE8756" s="508">
        <v>0.13900000000000001</v>
      </c>
      <c r="AF8756" s="508">
        <v>0.13600000000000001</v>
      </c>
      <c r="AG8756" s="508">
        <v>0.13600000000000001</v>
      </c>
      <c r="AH8756" s="508">
        <v>0.13500000000000001</v>
      </c>
      <c r="AI8756" s="492">
        <v>0.13500000000000001</v>
      </c>
      <c r="AJ8756" s="485"/>
    </row>
    <row r="8757" spans="2:36">
      <c r="B8757" s="136" t="s">
        <v>449</v>
      </c>
      <c r="C8757" s="132" t="s">
        <v>1376</v>
      </c>
      <c r="D8757" s="132" t="s">
        <v>1384</v>
      </c>
      <c r="E8757" s="508">
        <v>13.994</v>
      </c>
      <c r="F8757" s="508">
        <v>10.920999999999999</v>
      </c>
      <c r="G8757" s="508">
        <v>9.02</v>
      </c>
      <c r="H8757" s="508">
        <v>7.7439999999999998</v>
      </c>
      <c r="I8757" s="508">
        <v>6.8280000000000003</v>
      </c>
      <c r="J8757" s="508">
        <v>6.1310000000000002</v>
      </c>
      <c r="K8757" s="508">
        <v>5.5890000000000004</v>
      </c>
      <c r="L8757" s="508">
        <v>5.1580000000000004</v>
      </c>
      <c r="M8757" s="508">
        <v>4.7969999999999997</v>
      </c>
      <c r="N8757" s="508">
        <v>4.5</v>
      </c>
      <c r="O8757" s="508">
        <v>4.2480000000000002</v>
      </c>
      <c r="P8757" s="508">
        <v>1.8560000000000001</v>
      </c>
      <c r="Q8757" s="508">
        <v>1.75</v>
      </c>
      <c r="R8757" s="508">
        <v>1.375</v>
      </c>
      <c r="S8757" s="508">
        <v>1.284</v>
      </c>
      <c r="T8757" s="508">
        <v>1.1970000000000001</v>
      </c>
      <c r="U8757" s="508">
        <v>0.90100000000000002</v>
      </c>
      <c r="V8757" s="508">
        <v>0.746</v>
      </c>
      <c r="W8757" s="508">
        <v>0.66500000000000004</v>
      </c>
      <c r="X8757" s="508">
        <v>0.55000000000000004</v>
      </c>
      <c r="Y8757" s="508">
        <v>0.48799999999999999</v>
      </c>
      <c r="Z8757" s="508">
        <v>0.41799999999999998</v>
      </c>
      <c r="AA8757" s="508">
        <v>0.41199999999999998</v>
      </c>
      <c r="AB8757" s="508">
        <v>0.39900000000000002</v>
      </c>
      <c r="AC8757" s="508">
        <v>0.39600000000000002</v>
      </c>
      <c r="AD8757" s="508">
        <v>0.38500000000000001</v>
      </c>
      <c r="AE8757" s="508">
        <v>0.38300000000000001</v>
      </c>
      <c r="AF8757" s="508">
        <v>0.375</v>
      </c>
      <c r="AG8757" s="508">
        <v>0.375</v>
      </c>
      <c r="AH8757" s="508">
        <v>0.372</v>
      </c>
      <c r="AI8757" s="492">
        <v>0.371</v>
      </c>
      <c r="AJ8757" s="485"/>
    </row>
    <row r="8758" spans="2:36">
      <c r="B8758" s="136" t="s">
        <v>450</v>
      </c>
      <c r="C8758" s="132" t="s">
        <v>1376</v>
      </c>
      <c r="D8758" s="132" t="s">
        <v>1384</v>
      </c>
      <c r="E8758" s="508">
        <v>7.93</v>
      </c>
      <c r="F8758" s="508">
        <v>6.2290000000000001</v>
      </c>
      <c r="G8758" s="508">
        <v>5.1689999999999996</v>
      </c>
      <c r="H8758" s="508">
        <v>4.46</v>
      </c>
      <c r="I8758" s="508">
        <v>3.952</v>
      </c>
      <c r="J8758" s="508">
        <v>3.5640000000000001</v>
      </c>
      <c r="K8758" s="508">
        <v>3.2650000000000001</v>
      </c>
      <c r="L8758" s="508">
        <v>3.0270000000000001</v>
      </c>
      <c r="M8758" s="508">
        <v>2.8260000000000001</v>
      </c>
      <c r="N8758" s="508">
        <v>2.6629999999999998</v>
      </c>
      <c r="O8758" s="508">
        <v>2.5219999999999998</v>
      </c>
      <c r="P8758" s="508">
        <v>1.0529999999999999</v>
      </c>
      <c r="Q8758" s="508">
        <v>1.0069999999999999</v>
      </c>
      <c r="R8758" s="508">
        <v>0.86399999999999999</v>
      </c>
      <c r="S8758" s="508">
        <v>0.82499999999999996</v>
      </c>
      <c r="T8758" s="508">
        <v>0.76900000000000002</v>
      </c>
      <c r="U8758" s="508">
        <v>0.56899999999999995</v>
      </c>
      <c r="V8758" s="508">
        <v>0.47299999999999998</v>
      </c>
      <c r="W8758" s="508">
        <v>0.42299999999999999</v>
      </c>
      <c r="X8758" s="508">
        <v>0.35099999999999998</v>
      </c>
      <c r="Y8758" s="508">
        <v>0.312</v>
      </c>
      <c r="Z8758" s="508">
        <v>0.26600000000000001</v>
      </c>
      <c r="AA8758" s="508">
        <v>0.26200000000000001</v>
      </c>
      <c r="AB8758" s="508">
        <v>0.255</v>
      </c>
      <c r="AC8758" s="508">
        <v>0.253</v>
      </c>
      <c r="AD8758" s="508">
        <v>0.247</v>
      </c>
      <c r="AE8758" s="508">
        <v>0.246</v>
      </c>
      <c r="AF8758" s="508">
        <v>0.24199999999999999</v>
      </c>
      <c r="AG8758" s="508">
        <v>0.24199999999999999</v>
      </c>
      <c r="AH8758" s="508">
        <v>0.24</v>
      </c>
      <c r="AI8758" s="492">
        <v>0.23899999999999999</v>
      </c>
      <c r="AJ8758" s="485"/>
    </row>
    <row r="8759" spans="2:36">
      <c r="B8759" s="136" t="s">
        <v>451</v>
      </c>
      <c r="C8759" s="132" t="s">
        <v>1376</v>
      </c>
      <c r="D8759" s="132" t="s">
        <v>1384</v>
      </c>
      <c r="E8759" s="508">
        <v>8.7949999999999999</v>
      </c>
      <c r="F8759" s="508">
        <v>8.4469999999999992</v>
      </c>
      <c r="G8759" s="508">
        <v>5.6660000000000004</v>
      </c>
      <c r="H8759" s="508">
        <v>4.5629999999999997</v>
      </c>
      <c r="I8759" s="508">
        <v>3.71</v>
      </c>
      <c r="J8759" s="508">
        <v>2.819</v>
      </c>
      <c r="K8759" s="508">
        <v>2.544</v>
      </c>
      <c r="L8759" s="508">
        <v>2.835</v>
      </c>
      <c r="M8759" s="508">
        <v>2.069</v>
      </c>
      <c r="N8759" s="508">
        <v>1.992</v>
      </c>
      <c r="O8759" s="508">
        <v>1.7350000000000001</v>
      </c>
      <c r="P8759" s="508">
        <v>0.69099999999999995</v>
      </c>
      <c r="Q8759" s="508">
        <v>0.78800000000000003</v>
      </c>
      <c r="R8759" s="508">
        <v>0.41499999999999998</v>
      </c>
      <c r="S8759" s="508">
        <v>0.53400000000000003</v>
      </c>
      <c r="T8759" s="508">
        <v>0.376</v>
      </c>
      <c r="U8759" s="508">
        <v>0.249</v>
      </c>
      <c r="V8759" s="508">
        <v>0.32400000000000001</v>
      </c>
      <c r="W8759" s="508">
        <v>0.24399999999999999</v>
      </c>
      <c r="X8759" s="508">
        <v>0.19600000000000001</v>
      </c>
      <c r="Y8759" s="508">
        <v>0.107</v>
      </c>
      <c r="Z8759" s="508">
        <v>0.10100000000000001</v>
      </c>
      <c r="AA8759" s="508">
        <v>6.8000000000000005E-2</v>
      </c>
      <c r="AB8759" s="508">
        <v>0.10299999999999999</v>
      </c>
      <c r="AC8759" s="508">
        <v>0.112</v>
      </c>
      <c r="AD8759" s="508">
        <v>0.14000000000000001</v>
      </c>
      <c r="AE8759" s="508">
        <v>0.124</v>
      </c>
      <c r="AF8759" s="508">
        <v>0.121</v>
      </c>
      <c r="AG8759" s="508">
        <v>0.121</v>
      </c>
      <c r="AH8759" s="508">
        <v>0.12</v>
      </c>
      <c r="AI8759" s="492">
        <v>0.12</v>
      </c>
      <c r="AJ8759" s="485"/>
    </row>
    <row r="8760" spans="2:36">
      <c r="B8760" s="136" t="s">
        <v>452</v>
      </c>
      <c r="C8760" s="132" t="s">
        <v>1376</v>
      </c>
      <c r="D8760" s="132" t="s">
        <v>1384</v>
      </c>
      <c r="E8760" s="508">
        <v>9.1649999999999991</v>
      </c>
      <c r="F8760" s="508">
        <v>7.1790000000000003</v>
      </c>
      <c r="G8760" s="508">
        <v>5.9560000000000004</v>
      </c>
      <c r="H8760" s="508">
        <v>5.1340000000000003</v>
      </c>
      <c r="I8760" s="508">
        <v>4.5410000000000004</v>
      </c>
      <c r="J8760" s="508">
        <v>4.093</v>
      </c>
      <c r="K8760" s="508">
        <v>3.7440000000000002</v>
      </c>
      <c r="L8760" s="508">
        <v>3.4649999999999999</v>
      </c>
      <c r="M8760" s="508">
        <v>3.2330000000000001</v>
      </c>
      <c r="N8760" s="508">
        <v>3.0409999999999999</v>
      </c>
      <c r="O8760" s="508">
        <v>2.8780000000000001</v>
      </c>
      <c r="P8760" s="508">
        <v>1.1890000000000001</v>
      </c>
      <c r="Q8760" s="508">
        <v>1.133</v>
      </c>
      <c r="R8760" s="508">
        <v>0.96099999999999997</v>
      </c>
      <c r="S8760" s="508">
        <v>0.91300000000000003</v>
      </c>
      <c r="T8760" s="508">
        <v>0.84899999999999998</v>
      </c>
      <c r="U8760" s="508">
        <v>0.627</v>
      </c>
      <c r="V8760" s="508">
        <v>0.52100000000000002</v>
      </c>
      <c r="W8760" s="508">
        <v>0.46600000000000003</v>
      </c>
      <c r="X8760" s="508">
        <v>0.38500000000000001</v>
      </c>
      <c r="Y8760" s="508">
        <v>0.34300000000000003</v>
      </c>
      <c r="Z8760" s="508">
        <v>0.29099999999999998</v>
      </c>
      <c r="AA8760" s="508">
        <v>0.28699999999999998</v>
      </c>
      <c r="AB8760" s="508">
        <v>0.27900000000000003</v>
      </c>
      <c r="AC8760" s="508">
        <v>0.27600000000000002</v>
      </c>
      <c r="AD8760" s="508">
        <v>0.26900000000000002</v>
      </c>
      <c r="AE8760" s="508">
        <v>0.26800000000000002</v>
      </c>
      <c r="AF8760" s="508">
        <v>0.26300000000000001</v>
      </c>
      <c r="AG8760" s="508">
        <v>0.26300000000000001</v>
      </c>
      <c r="AH8760" s="508">
        <v>0.26100000000000001</v>
      </c>
      <c r="AI8760" s="492">
        <v>0.26</v>
      </c>
      <c r="AJ8760" s="485"/>
    </row>
    <row r="8761" spans="2:36">
      <c r="B8761" s="136" t="s">
        <v>453</v>
      </c>
      <c r="C8761" s="132" t="s">
        <v>1376</v>
      </c>
      <c r="D8761" s="132" t="s">
        <v>1384</v>
      </c>
      <c r="E8761" s="508">
        <v>7.6130000000000004</v>
      </c>
      <c r="F8761" s="508">
        <v>5.9779999999999998</v>
      </c>
      <c r="G8761" s="508">
        <v>4.9690000000000003</v>
      </c>
      <c r="H8761" s="508">
        <v>4.2910000000000004</v>
      </c>
      <c r="I8761" s="508">
        <v>3.8039999999999998</v>
      </c>
      <c r="J8761" s="508">
        <v>3.4340000000000002</v>
      </c>
      <c r="K8761" s="508">
        <v>3.1469999999999998</v>
      </c>
      <c r="L8761" s="508">
        <v>2.9169999999999998</v>
      </c>
      <c r="M8761" s="508">
        <v>2.726</v>
      </c>
      <c r="N8761" s="508">
        <v>2.5680000000000001</v>
      </c>
      <c r="O8761" s="508">
        <v>2.4340000000000002</v>
      </c>
      <c r="P8761" s="508">
        <v>1.0169999999999999</v>
      </c>
      <c r="Q8761" s="508">
        <v>0.97199999999999998</v>
      </c>
      <c r="R8761" s="508">
        <v>0.83299999999999996</v>
      </c>
      <c r="S8761" s="508">
        <v>0.79400000000000004</v>
      </c>
      <c r="T8761" s="508">
        <v>0.74099999999999999</v>
      </c>
      <c r="U8761" s="508">
        <v>0.54800000000000004</v>
      </c>
      <c r="V8761" s="508">
        <v>0.45500000000000002</v>
      </c>
      <c r="W8761" s="508">
        <v>0.40799999999999997</v>
      </c>
      <c r="X8761" s="508">
        <v>0.33900000000000002</v>
      </c>
      <c r="Y8761" s="508">
        <v>0.30199999999999999</v>
      </c>
      <c r="Z8761" s="508">
        <v>0.25700000000000001</v>
      </c>
      <c r="AA8761" s="508">
        <v>0.253</v>
      </c>
      <c r="AB8761" s="508">
        <v>0.247</v>
      </c>
      <c r="AC8761" s="508">
        <v>0.245</v>
      </c>
      <c r="AD8761" s="508">
        <v>0.23899999999999999</v>
      </c>
      <c r="AE8761" s="508">
        <v>0.23799999999999999</v>
      </c>
      <c r="AF8761" s="508">
        <v>0.23400000000000001</v>
      </c>
      <c r="AG8761" s="508">
        <v>0.23400000000000001</v>
      </c>
      <c r="AH8761" s="508">
        <v>0.23200000000000001</v>
      </c>
      <c r="AI8761" s="492">
        <v>0.23100000000000001</v>
      </c>
      <c r="AJ8761" s="485"/>
    </row>
    <row r="8762" spans="2:36">
      <c r="B8762" s="136" t="s">
        <v>454</v>
      </c>
      <c r="C8762" s="132" t="s">
        <v>1376</v>
      </c>
      <c r="D8762" s="132" t="s">
        <v>1384</v>
      </c>
      <c r="E8762" s="508">
        <v>7.5860000000000003</v>
      </c>
      <c r="F8762" s="508">
        <v>7.3140000000000001</v>
      </c>
      <c r="G8762" s="508">
        <v>4.9130000000000003</v>
      </c>
      <c r="H8762" s="508">
        <v>3.9670000000000001</v>
      </c>
      <c r="I8762" s="508">
        <v>3.234</v>
      </c>
      <c r="J8762" s="508">
        <v>2.4620000000000002</v>
      </c>
      <c r="K8762" s="508">
        <v>2.226</v>
      </c>
      <c r="L8762" s="508">
        <v>2.488</v>
      </c>
      <c r="M8762" s="508">
        <v>1.819</v>
      </c>
      <c r="N8762" s="508">
        <v>1.756</v>
      </c>
      <c r="O8762" s="508">
        <v>1.532</v>
      </c>
      <c r="P8762" s="508">
        <v>0.65400000000000003</v>
      </c>
      <c r="Q8762" s="508">
        <v>0.748</v>
      </c>
      <c r="R8762" s="508">
        <v>0.39400000000000002</v>
      </c>
      <c r="S8762" s="508">
        <v>0.50800000000000001</v>
      </c>
      <c r="T8762" s="508">
        <v>0.36099999999999999</v>
      </c>
      <c r="U8762" s="508">
        <v>0.246</v>
      </c>
      <c r="V8762" s="508">
        <v>0.318</v>
      </c>
      <c r="W8762" s="508">
        <v>0.23899999999999999</v>
      </c>
      <c r="X8762" s="508">
        <v>0.19500000000000001</v>
      </c>
      <c r="Y8762" s="508">
        <v>0.106</v>
      </c>
      <c r="Z8762" s="508">
        <v>0.10199999999999999</v>
      </c>
      <c r="AA8762" s="508">
        <v>6.9000000000000006E-2</v>
      </c>
      <c r="AB8762" s="508">
        <v>0.105</v>
      </c>
      <c r="AC8762" s="508">
        <v>0.114</v>
      </c>
      <c r="AD8762" s="508">
        <v>0.14399999999999999</v>
      </c>
      <c r="AE8762" s="508">
        <v>0.127</v>
      </c>
      <c r="AF8762" s="508">
        <v>0.124</v>
      </c>
      <c r="AG8762" s="508">
        <v>0.124</v>
      </c>
      <c r="AH8762" s="508">
        <v>0.123</v>
      </c>
      <c r="AI8762" s="492">
        <v>0.123</v>
      </c>
      <c r="AJ8762" s="485"/>
    </row>
    <row r="8763" spans="2:36">
      <c r="B8763" s="136" t="s">
        <v>455</v>
      </c>
      <c r="C8763" s="132" t="s">
        <v>1376</v>
      </c>
      <c r="D8763" s="132" t="s">
        <v>1384</v>
      </c>
      <c r="E8763" s="508">
        <v>8.7810000000000006</v>
      </c>
      <c r="F8763" s="508">
        <v>6.8769999999999998</v>
      </c>
      <c r="G8763" s="508">
        <v>5.7009999999999996</v>
      </c>
      <c r="H8763" s="508">
        <v>4.9109999999999996</v>
      </c>
      <c r="I8763" s="508">
        <v>4.343</v>
      </c>
      <c r="J8763" s="508">
        <v>3.9119999999999999</v>
      </c>
      <c r="K8763" s="508">
        <v>3.577</v>
      </c>
      <c r="L8763" s="508">
        <v>3.31</v>
      </c>
      <c r="M8763" s="508">
        <v>3.0870000000000002</v>
      </c>
      <c r="N8763" s="508">
        <v>2.903</v>
      </c>
      <c r="O8763" s="508">
        <v>2.7469999999999999</v>
      </c>
      <c r="P8763" s="508">
        <v>1.169</v>
      </c>
      <c r="Q8763" s="508">
        <v>1.1140000000000001</v>
      </c>
      <c r="R8763" s="508">
        <v>0.93600000000000005</v>
      </c>
      <c r="S8763" s="508">
        <v>0.88800000000000001</v>
      </c>
      <c r="T8763" s="508">
        <v>0.82899999999999996</v>
      </c>
      <c r="U8763" s="508">
        <v>0.61899999999999999</v>
      </c>
      <c r="V8763" s="508">
        <v>0.51300000000000001</v>
      </c>
      <c r="W8763" s="508">
        <v>0.45800000000000002</v>
      </c>
      <c r="X8763" s="508">
        <v>0.38100000000000001</v>
      </c>
      <c r="Y8763" s="508">
        <v>0.33800000000000002</v>
      </c>
      <c r="Z8763" s="508">
        <v>0.28899999999999998</v>
      </c>
      <c r="AA8763" s="508">
        <v>0.28499999999999998</v>
      </c>
      <c r="AB8763" s="508">
        <v>0.27700000000000002</v>
      </c>
      <c r="AC8763" s="508">
        <v>0.27500000000000002</v>
      </c>
      <c r="AD8763" s="508">
        <v>0.26800000000000002</v>
      </c>
      <c r="AE8763" s="508">
        <v>0.26700000000000002</v>
      </c>
      <c r="AF8763" s="508">
        <v>0.26200000000000001</v>
      </c>
      <c r="AG8763" s="508">
        <v>0.26200000000000001</v>
      </c>
      <c r="AH8763" s="508">
        <v>0.26</v>
      </c>
      <c r="AI8763" s="492">
        <v>0.25900000000000001</v>
      </c>
      <c r="AJ8763" s="485"/>
    </row>
    <row r="8764" spans="2:36">
      <c r="B8764" s="136" t="s">
        <v>456</v>
      </c>
      <c r="C8764" s="132" t="s">
        <v>1376</v>
      </c>
      <c r="D8764" s="132" t="s">
        <v>1384</v>
      </c>
      <c r="E8764" s="508">
        <v>11.432</v>
      </c>
      <c r="F8764" s="508">
        <v>8.9440000000000008</v>
      </c>
      <c r="G8764" s="508">
        <v>7.3949999999999996</v>
      </c>
      <c r="H8764" s="508">
        <v>6.36</v>
      </c>
      <c r="I8764" s="508">
        <v>5.6180000000000003</v>
      </c>
      <c r="J8764" s="508">
        <v>5.0510000000000002</v>
      </c>
      <c r="K8764" s="508">
        <v>4.6120000000000001</v>
      </c>
      <c r="L8764" s="508">
        <v>4.2640000000000002</v>
      </c>
      <c r="M8764" s="508">
        <v>3.9710000000000001</v>
      </c>
      <c r="N8764" s="508">
        <v>3.7309999999999999</v>
      </c>
      <c r="O8764" s="508">
        <v>3.5259999999999998</v>
      </c>
      <c r="P8764" s="508">
        <v>1.55</v>
      </c>
      <c r="Q8764" s="508">
        <v>1.4690000000000001</v>
      </c>
      <c r="R8764" s="508">
        <v>1.1850000000000001</v>
      </c>
      <c r="S8764" s="508">
        <v>1.115</v>
      </c>
      <c r="T8764" s="508">
        <v>1.042</v>
      </c>
      <c r="U8764" s="508">
        <v>0.78600000000000003</v>
      </c>
      <c r="V8764" s="508">
        <v>0.65100000000000002</v>
      </c>
      <c r="W8764" s="508">
        <v>0.58099999999999996</v>
      </c>
      <c r="X8764" s="508">
        <v>0.48199999999999998</v>
      </c>
      <c r="Y8764" s="508">
        <v>0.42699999999999999</v>
      </c>
      <c r="Z8764" s="508">
        <v>0.36699999999999999</v>
      </c>
      <c r="AA8764" s="508">
        <v>0.36199999999999999</v>
      </c>
      <c r="AB8764" s="508">
        <v>0.35199999999999998</v>
      </c>
      <c r="AC8764" s="508">
        <v>0.34899999999999998</v>
      </c>
      <c r="AD8764" s="508">
        <v>0.34100000000000003</v>
      </c>
      <c r="AE8764" s="508">
        <v>0.33900000000000002</v>
      </c>
      <c r="AF8764" s="508">
        <v>0.33200000000000002</v>
      </c>
      <c r="AG8764" s="508">
        <v>0.33200000000000002</v>
      </c>
      <c r="AH8764" s="508">
        <v>0.33</v>
      </c>
      <c r="AI8764" s="492">
        <v>0.32900000000000001</v>
      </c>
      <c r="AJ8764" s="485"/>
    </row>
    <row r="8765" spans="2:36">
      <c r="B8765" s="136" t="s">
        <v>457</v>
      </c>
      <c r="C8765" s="132" t="s">
        <v>1376</v>
      </c>
      <c r="D8765" s="132" t="s">
        <v>1384</v>
      </c>
      <c r="E8765" s="508">
        <v>5.9119999999999999</v>
      </c>
      <c r="F8765" s="508">
        <v>5.6980000000000004</v>
      </c>
      <c r="G8765" s="508">
        <v>3.8370000000000002</v>
      </c>
      <c r="H8765" s="508">
        <v>3.1019999999999999</v>
      </c>
      <c r="I8765" s="508">
        <v>2.5299999999999998</v>
      </c>
      <c r="J8765" s="508">
        <v>1.929</v>
      </c>
      <c r="K8765" s="508">
        <v>1.7450000000000001</v>
      </c>
      <c r="L8765" s="508">
        <v>1.9510000000000001</v>
      </c>
      <c r="M8765" s="508">
        <v>1.427</v>
      </c>
      <c r="N8765" s="508">
        <v>1.3779999999999999</v>
      </c>
      <c r="O8765" s="508">
        <v>1.2030000000000001</v>
      </c>
      <c r="P8765" s="508">
        <v>0.48699999999999999</v>
      </c>
      <c r="Q8765" s="508">
        <v>0.56000000000000005</v>
      </c>
      <c r="R8765" s="508">
        <v>0.30599999999999999</v>
      </c>
      <c r="S8765" s="508">
        <v>0.39800000000000002</v>
      </c>
      <c r="T8765" s="508">
        <v>0.28100000000000003</v>
      </c>
      <c r="U8765" s="508">
        <v>0.188</v>
      </c>
      <c r="V8765" s="508">
        <v>0.24399999999999999</v>
      </c>
      <c r="W8765" s="508">
        <v>0.184</v>
      </c>
      <c r="X8765" s="508">
        <v>0.14899999999999999</v>
      </c>
      <c r="Y8765" s="508">
        <v>8.2000000000000003E-2</v>
      </c>
      <c r="Z8765" s="508">
        <v>7.8E-2</v>
      </c>
      <c r="AA8765" s="508">
        <v>5.1999999999999998E-2</v>
      </c>
      <c r="AB8765" s="508">
        <v>0.08</v>
      </c>
      <c r="AC8765" s="508">
        <v>8.6999999999999994E-2</v>
      </c>
      <c r="AD8765" s="508">
        <v>0.109</v>
      </c>
      <c r="AE8765" s="508">
        <v>9.6000000000000002E-2</v>
      </c>
      <c r="AF8765" s="508">
        <v>9.4E-2</v>
      </c>
      <c r="AG8765" s="508">
        <v>9.4E-2</v>
      </c>
      <c r="AH8765" s="508">
        <v>9.4E-2</v>
      </c>
      <c r="AI8765" s="492">
        <v>9.2999999999999999E-2</v>
      </c>
      <c r="AJ8765" s="485"/>
    </row>
    <row r="8766" spans="2:36">
      <c r="B8766" s="136" t="s">
        <v>458</v>
      </c>
      <c r="C8766" s="132" t="s">
        <v>1376</v>
      </c>
      <c r="D8766" s="132" t="s">
        <v>1384</v>
      </c>
      <c r="E8766" s="508">
        <v>10.005000000000001</v>
      </c>
      <c r="F8766" s="508">
        <v>7.7939999999999996</v>
      </c>
      <c r="G8766" s="508">
        <v>6.4379999999999997</v>
      </c>
      <c r="H8766" s="508">
        <v>5.5229999999999997</v>
      </c>
      <c r="I8766" s="508">
        <v>4.8630000000000004</v>
      </c>
      <c r="J8766" s="508">
        <v>4.3650000000000002</v>
      </c>
      <c r="K8766" s="508">
        <v>3.976</v>
      </c>
      <c r="L8766" s="508">
        <v>3.6640000000000001</v>
      </c>
      <c r="M8766" s="508">
        <v>3.4060000000000001</v>
      </c>
      <c r="N8766" s="508">
        <v>3.1920000000000002</v>
      </c>
      <c r="O8766" s="508">
        <v>3.0110000000000001</v>
      </c>
      <c r="P8766" s="508">
        <v>1.2</v>
      </c>
      <c r="Q8766" s="508">
        <v>1.1359999999999999</v>
      </c>
      <c r="R8766" s="508">
        <v>0.93400000000000005</v>
      </c>
      <c r="S8766" s="508">
        <v>0.879</v>
      </c>
      <c r="T8766" s="508">
        <v>0.81100000000000005</v>
      </c>
      <c r="U8766" s="508">
        <v>0.59</v>
      </c>
      <c r="V8766" s="508">
        <v>0.49199999999999999</v>
      </c>
      <c r="W8766" s="508">
        <v>0.44</v>
      </c>
      <c r="X8766" s="508">
        <v>0.36099999999999999</v>
      </c>
      <c r="Y8766" s="508">
        <v>0.32200000000000001</v>
      </c>
      <c r="Z8766" s="508">
        <v>0.27</v>
      </c>
      <c r="AA8766" s="508">
        <v>0.26600000000000001</v>
      </c>
      <c r="AB8766" s="508">
        <v>0.25700000000000001</v>
      </c>
      <c r="AC8766" s="508">
        <v>0.254</v>
      </c>
      <c r="AD8766" s="508">
        <v>0.246</v>
      </c>
      <c r="AE8766" s="508">
        <v>0.245</v>
      </c>
      <c r="AF8766" s="508">
        <v>0.23899999999999999</v>
      </c>
      <c r="AG8766" s="508">
        <v>0.23899999999999999</v>
      </c>
      <c r="AH8766" s="508">
        <v>0.23699999999999999</v>
      </c>
      <c r="AI8766" s="492">
        <v>0.23599999999999999</v>
      </c>
      <c r="AJ8766" s="485"/>
    </row>
    <row r="8767" spans="2:36">
      <c r="B8767" s="136" t="s">
        <v>459</v>
      </c>
      <c r="C8767" s="132" t="s">
        <v>1376</v>
      </c>
      <c r="D8767" s="132" t="s">
        <v>1384</v>
      </c>
      <c r="E8767" s="508">
        <v>8.8539999999999992</v>
      </c>
      <c r="F8767" s="508">
        <v>6.9009999999999998</v>
      </c>
      <c r="G8767" s="508">
        <v>5.7060000000000004</v>
      </c>
      <c r="H8767" s="508">
        <v>4.899</v>
      </c>
      <c r="I8767" s="508">
        <v>4.3159999999999998</v>
      </c>
      <c r="J8767" s="508">
        <v>3.8769999999999998</v>
      </c>
      <c r="K8767" s="508">
        <v>3.5339999999999998</v>
      </c>
      <c r="L8767" s="508">
        <v>3.258</v>
      </c>
      <c r="M8767" s="508">
        <v>3.0310000000000001</v>
      </c>
      <c r="N8767" s="508">
        <v>2.8420000000000001</v>
      </c>
      <c r="O8767" s="508">
        <v>2.6819999999999999</v>
      </c>
      <c r="P8767" s="508">
        <v>1.0329999999999999</v>
      </c>
      <c r="Q8767" s="508">
        <v>0.98</v>
      </c>
      <c r="R8767" s="508">
        <v>0.82599999999999996</v>
      </c>
      <c r="S8767" s="508">
        <v>0.78100000000000003</v>
      </c>
      <c r="T8767" s="508">
        <v>0.71899999999999997</v>
      </c>
      <c r="U8767" s="508">
        <v>0.51500000000000001</v>
      </c>
      <c r="V8767" s="508">
        <v>0.43099999999999999</v>
      </c>
      <c r="W8767" s="508">
        <v>0.38700000000000001</v>
      </c>
      <c r="X8767" s="508">
        <v>0.316</v>
      </c>
      <c r="Y8767" s="508">
        <v>0.28299999999999997</v>
      </c>
      <c r="Z8767" s="508">
        <v>0.23599999999999999</v>
      </c>
      <c r="AA8767" s="508">
        <v>0.23200000000000001</v>
      </c>
      <c r="AB8767" s="508">
        <v>0.223</v>
      </c>
      <c r="AC8767" s="508">
        <v>0.221</v>
      </c>
      <c r="AD8767" s="508">
        <v>0.214</v>
      </c>
      <c r="AE8767" s="508">
        <v>0.21299999999999999</v>
      </c>
      <c r="AF8767" s="508">
        <v>0.20799999999999999</v>
      </c>
      <c r="AG8767" s="508">
        <v>0.20799999999999999</v>
      </c>
      <c r="AH8767" s="508">
        <v>0.20599999999999999</v>
      </c>
      <c r="AI8767" s="492">
        <v>0.20599999999999999</v>
      </c>
      <c r="AJ8767" s="485"/>
    </row>
    <row r="8768" spans="2:36">
      <c r="B8768" s="136" t="s">
        <v>460</v>
      </c>
      <c r="C8768" s="132" t="s">
        <v>1376</v>
      </c>
      <c r="D8768" s="132" t="s">
        <v>1384</v>
      </c>
      <c r="E8768" s="508">
        <v>7.0830000000000002</v>
      </c>
      <c r="F8768" s="508">
        <v>6.8259999999999996</v>
      </c>
      <c r="G8768" s="508">
        <v>4.5940000000000003</v>
      </c>
      <c r="H8768" s="508">
        <v>3.7120000000000002</v>
      </c>
      <c r="I8768" s="508">
        <v>3.0270000000000001</v>
      </c>
      <c r="J8768" s="508">
        <v>2.3069999999999999</v>
      </c>
      <c r="K8768" s="508">
        <v>2.0870000000000002</v>
      </c>
      <c r="L8768" s="508">
        <v>2.3319999999999999</v>
      </c>
      <c r="M8768" s="508">
        <v>1.706</v>
      </c>
      <c r="N8768" s="508">
        <v>1.647</v>
      </c>
      <c r="O8768" s="508">
        <v>1.4379999999999999</v>
      </c>
      <c r="P8768" s="508">
        <v>0.59299999999999997</v>
      </c>
      <c r="Q8768" s="508">
        <v>0.67900000000000005</v>
      </c>
      <c r="R8768" s="508">
        <v>0.36599999999999999</v>
      </c>
      <c r="S8768" s="508">
        <v>0.47499999999999998</v>
      </c>
      <c r="T8768" s="508">
        <v>0.33600000000000002</v>
      </c>
      <c r="U8768" s="508">
        <v>0.22600000000000001</v>
      </c>
      <c r="V8768" s="508">
        <v>0.29299999999999998</v>
      </c>
      <c r="W8768" s="508">
        <v>0.22</v>
      </c>
      <c r="X8768" s="508">
        <v>0.17899999999999999</v>
      </c>
      <c r="Y8768" s="508">
        <v>9.8000000000000004E-2</v>
      </c>
      <c r="Z8768" s="508">
        <v>9.2999999999999999E-2</v>
      </c>
      <c r="AA8768" s="508">
        <v>6.3E-2</v>
      </c>
      <c r="AB8768" s="508">
        <v>9.6000000000000002E-2</v>
      </c>
      <c r="AC8768" s="508">
        <v>0.104</v>
      </c>
      <c r="AD8768" s="508">
        <v>0.13100000000000001</v>
      </c>
      <c r="AE8768" s="508">
        <v>0.115</v>
      </c>
      <c r="AF8768" s="508">
        <v>0.113</v>
      </c>
      <c r="AG8768" s="508">
        <v>0.113</v>
      </c>
      <c r="AH8768" s="508">
        <v>0.112</v>
      </c>
      <c r="AI8768" s="492">
        <v>0.112</v>
      </c>
      <c r="AJ8768" s="485"/>
    </row>
    <row r="8769" spans="2:36">
      <c r="B8769" s="136" t="s">
        <v>461</v>
      </c>
      <c r="C8769" s="132" t="s">
        <v>1376</v>
      </c>
      <c r="D8769" s="132" t="s">
        <v>1384</v>
      </c>
      <c r="E8769" s="508">
        <v>7.6779999999999999</v>
      </c>
      <c r="F8769" s="508">
        <v>6.0279999999999996</v>
      </c>
      <c r="G8769" s="508">
        <v>5.0170000000000003</v>
      </c>
      <c r="H8769" s="508">
        <v>4.335</v>
      </c>
      <c r="I8769" s="508">
        <v>3.8439999999999999</v>
      </c>
      <c r="J8769" s="508">
        <v>3.4729999999999999</v>
      </c>
      <c r="K8769" s="508">
        <v>3.1840000000000002</v>
      </c>
      <c r="L8769" s="508">
        <v>2.952</v>
      </c>
      <c r="M8769" s="508">
        <v>2.76</v>
      </c>
      <c r="N8769" s="508">
        <v>2.601</v>
      </c>
      <c r="O8769" s="508">
        <v>2.4670000000000001</v>
      </c>
      <c r="P8769" s="508">
        <v>1.0289999999999999</v>
      </c>
      <c r="Q8769" s="508">
        <v>0.98499999999999999</v>
      </c>
      <c r="R8769" s="508">
        <v>0.85199999999999998</v>
      </c>
      <c r="S8769" s="508">
        <v>0.81399999999999995</v>
      </c>
      <c r="T8769" s="508">
        <v>0.75900000000000001</v>
      </c>
      <c r="U8769" s="508">
        <v>0.56000000000000005</v>
      </c>
      <c r="V8769" s="508">
        <v>0.46500000000000002</v>
      </c>
      <c r="W8769" s="508">
        <v>0.41599999999999998</v>
      </c>
      <c r="X8769" s="508">
        <v>0.34599999999999997</v>
      </c>
      <c r="Y8769" s="508">
        <v>0.308</v>
      </c>
      <c r="Z8769" s="508">
        <v>0.26200000000000001</v>
      </c>
      <c r="AA8769" s="508">
        <v>0.25800000000000001</v>
      </c>
      <c r="AB8769" s="508">
        <v>0.252</v>
      </c>
      <c r="AC8769" s="508">
        <v>0.25</v>
      </c>
      <c r="AD8769" s="508">
        <v>0.24399999999999999</v>
      </c>
      <c r="AE8769" s="508">
        <v>0.24299999999999999</v>
      </c>
      <c r="AF8769" s="508">
        <v>0.23899999999999999</v>
      </c>
      <c r="AG8769" s="508">
        <v>0.23899999999999999</v>
      </c>
      <c r="AH8769" s="508">
        <v>0.23699999999999999</v>
      </c>
      <c r="AI8769" s="492">
        <v>0.23599999999999999</v>
      </c>
      <c r="AJ8769" s="485"/>
    </row>
    <row r="8770" spans="2:36">
      <c r="B8770" s="136" t="s">
        <v>462</v>
      </c>
      <c r="C8770" s="132" t="s">
        <v>1376</v>
      </c>
      <c r="D8770" s="132" t="s">
        <v>1384</v>
      </c>
      <c r="E8770" s="508">
        <v>10.641999999999999</v>
      </c>
      <c r="F8770" s="508">
        <v>8.3330000000000002</v>
      </c>
      <c r="G8770" s="508">
        <v>6.8929999999999998</v>
      </c>
      <c r="H8770" s="508">
        <v>5.931</v>
      </c>
      <c r="I8770" s="508">
        <v>5.242</v>
      </c>
      <c r="J8770" s="508">
        <v>4.7149999999999999</v>
      </c>
      <c r="K8770" s="508">
        <v>4.3070000000000004</v>
      </c>
      <c r="L8770" s="508">
        <v>3.9849999999999999</v>
      </c>
      <c r="M8770" s="508">
        <v>3.7130000000000001</v>
      </c>
      <c r="N8770" s="508">
        <v>3.49</v>
      </c>
      <c r="O8770" s="508">
        <v>3.3</v>
      </c>
      <c r="P8770" s="508">
        <v>1.4359999999999999</v>
      </c>
      <c r="Q8770" s="508">
        <v>1.363</v>
      </c>
      <c r="R8770" s="508">
        <v>1.1140000000000001</v>
      </c>
      <c r="S8770" s="508">
        <v>1.052</v>
      </c>
      <c r="T8770" s="508">
        <v>0.98299999999999998</v>
      </c>
      <c r="U8770" s="508">
        <v>0.74</v>
      </c>
      <c r="V8770" s="508">
        <v>0.61299999999999999</v>
      </c>
      <c r="W8770" s="508">
        <v>0.54700000000000004</v>
      </c>
      <c r="X8770" s="508">
        <v>0.45400000000000001</v>
      </c>
      <c r="Y8770" s="508">
        <v>0.40200000000000002</v>
      </c>
      <c r="Z8770" s="508">
        <v>0.34499999999999997</v>
      </c>
      <c r="AA8770" s="508">
        <v>0.34</v>
      </c>
      <c r="AB8770" s="508">
        <v>0.33100000000000002</v>
      </c>
      <c r="AC8770" s="508">
        <v>0.32800000000000001</v>
      </c>
      <c r="AD8770" s="508">
        <v>0.32</v>
      </c>
      <c r="AE8770" s="508">
        <v>0.318</v>
      </c>
      <c r="AF8770" s="508">
        <v>0.313</v>
      </c>
      <c r="AG8770" s="508">
        <v>0.313</v>
      </c>
      <c r="AH8770" s="508">
        <v>0.31</v>
      </c>
      <c r="AI8770" s="492">
        <v>0.309</v>
      </c>
      <c r="AJ8770" s="485"/>
    </row>
    <row r="8771" spans="2:36">
      <c r="B8771" s="136" t="s">
        <v>463</v>
      </c>
      <c r="C8771" s="132" t="s">
        <v>1376</v>
      </c>
      <c r="D8771" s="132" t="s">
        <v>1384</v>
      </c>
      <c r="E8771" s="508">
        <v>7.49</v>
      </c>
      <c r="F8771" s="508">
        <v>7.2069999999999999</v>
      </c>
      <c r="G8771" s="508">
        <v>4.8369999999999997</v>
      </c>
      <c r="H8771" s="508">
        <v>3.9</v>
      </c>
      <c r="I8771" s="508">
        <v>3.1749999999999998</v>
      </c>
      <c r="J8771" s="508">
        <v>2.415</v>
      </c>
      <c r="K8771" s="508">
        <v>2.181</v>
      </c>
      <c r="L8771" s="508">
        <v>2.4340000000000002</v>
      </c>
      <c r="M8771" s="508">
        <v>1.778</v>
      </c>
      <c r="N8771" s="508">
        <v>1.714</v>
      </c>
      <c r="O8771" s="508">
        <v>1.494</v>
      </c>
      <c r="P8771" s="508">
        <v>0.63200000000000001</v>
      </c>
      <c r="Q8771" s="508">
        <v>0.72199999999999998</v>
      </c>
      <c r="R8771" s="508">
        <v>0.38</v>
      </c>
      <c r="S8771" s="508">
        <v>0.49</v>
      </c>
      <c r="T8771" s="508">
        <v>0.34799999999999998</v>
      </c>
      <c r="U8771" s="508">
        <v>0.23599999999999999</v>
      </c>
      <c r="V8771" s="508">
        <v>0.30499999999999999</v>
      </c>
      <c r="W8771" s="508">
        <v>0.23</v>
      </c>
      <c r="X8771" s="508">
        <v>0.187</v>
      </c>
      <c r="Y8771" s="508">
        <v>0.10199999999999999</v>
      </c>
      <c r="Z8771" s="508">
        <v>9.7000000000000003E-2</v>
      </c>
      <c r="AA8771" s="508">
        <v>6.6000000000000003E-2</v>
      </c>
      <c r="AB8771" s="508">
        <v>0.1</v>
      </c>
      <c r="AC8771" s="508">
        <v>0.109</v>
      </c>
      <c r="AD8771" s="508">
        <v>0.13700000000000001</v>
      </c>
      <c r="AE8771" s="508">
        <v>0.121</v>
      </c>
      <c r="AF8771" s="508">
        <v>0.11799999999999999</v>
      </c>
      <c r="AG8771" s="508">
        <v>0.11799999999999999</v>
      </c>
      <c r="AH8771" s="508">
        <v>0.11700000000000001</v>
      </c>
      <c r="AI8771" s="492">
        <v>0.11700000000000001</v>
      </c>
      <c r="AJ8771" s="485"/>
    </row>
    <row r="8772" spans="2:36">
      <c r="B8772" s="136" t="s">
        <v>464</v>
      </c>
      <c r="C8772" s="132" t="s">
        <v>1376</v>
      </c>
      <c r="D8772" s="132" t="s">
        <v>1384</v>
      </c>
      <c r="E8772" s="508">
        <v>6.5869999999999997</v>
      </c>
      <c r="F8772" s="508">
        <v>5.1879999999999997</v>
      </c>
      <c r="G8772" s="508">
        <v>4.319</v>
      </c>
      <c r="H8772" s="508">
        <v>3.7370000000000001</v>
      </c>
      <c r="I8772" s="508">
        <v>3.319</v>
      </c>
      <c r="J8772" s="508">
        <v>3.0019999999999998</v>
      </c>
      <c r="K8772" s="508">
        <v>2.7559999999999998</v>
      </c>
      <c r="L8772" s="508">
        <v>2.56</v>
      </c>
      <c r="M8772" s="508">
        <v>2.395</v>
      </c>
      <c r="N8772" s="508">
        <v>2.2610000000000001</v>
      </c>
      <c r="O8772" s="508">
        <v>2.1459999999999999</v>
      </c>
      <c r="P8772" s="508">
        <v>0.90900000000000003</v>
      </c>
      <c r="Q8772" s="508">
        <v>0.872</v>
      </c>
      <c r="R8772" s="508">
        <v>0.76</v>
      </c>
      <c r="S8772" s="508">
        <v>0.72899999999999998</v>
      </c>
      <c r="T8772" s="508">
        <v>0.68100000000000005</v>
      </c>
      <c r="U8772" s="508">
        <v>0.505</v>
      </c>
      <c r="V8772" s="508">
        <v>0.42</v>
      </c>
      <c r="W8772" s="508">
        <v>0.376</v>
      </c>
      <c r="X8772" s="508">
        <v>0.314</v>
      </c>
      <c r="Y8772" s="508">
        <v>0.27900000000000003</v>
      </c>
      <c r="Z8772" s="508">
        <v>0.23799999999999999</v>
      </c>
      <c r="AA8772" s="508">
        <v>0.23599999999999999</v>
      </c>
      <c r="AB8772" s="508">
        <v>0.23</v>
      </c>
      <c r="AC8772" s="508">
        <v>0.22800000000000001</v>
      </c>
      <c r="AD8772" s="508">
        <v>0.223</v>
      </c>
      <c r="AE8772" s="508">
        <v>0.222</v>
      </c>
      <c r="AF8772" s="508">
        <v>0.219</v>
      </c>
      <c r="AG8772" s="508">
        <v>0.219</v>
      </c>
      <c r="AH8772" s="508">
        <v>0.217</v>
      </c>
      <c r="AI8772" s="492">
        <v>0.217</v>
      </c>
      <c r="AJ8772" s="485"/>
    </row>
    <row r="8773" spans="2:36">
      <c r="B8773" s="136" t="s">
        <v>465</v>
      </c>
      <c r="C8773" s="132" t="s">
        <v>1376</v>
      </c>
      <c r="D8773" s="132" t="s">
        <v>1384</v>
      </c>
      <c r="E8773" s="508">
        <v>7.5449999999999999</v>
      </c>
      <c r="F8773" s="508">
        <v>5.931</v>
      </c>
      <c r="G8773" s="508">
        <v>4.93</v>
      </c>
      <c r="H8773" s="508">
        <v>4.26</v>
      </c>
      <c r="I8773" s="508">
        <v>3.778</v>
      </c>
      <c r="J8773" s="508">
        <v>3.4119999999999999</v>
      </c>
      <c r="K8773" s="508">
        <v>3.1280000000000001</v>
      </c>
      <c r="L8773" s="508">
        <v>2.9020000000000001</v>
      </c>
      <c r="M8773" s="508">
        <v>2.7130000000000001</v>
      </c>
      <c r="N8773" s="508">
        <v>2.5569999999999999</v>
      </c>
      <c r="O8773" s="508">
        <v>2.4249999999999998</v>
      </c>
      <c r="P8773" s="508">
        <v>1.0349999999999999</v>
      </c>
      <c r="Q8773" s="508">
        <v>0.98899999999999999</v>
      </c>
      <c r="R8773" s="508">
        <v>0.84499999999999997</v>
      </c>
      <c r="S8773" s="508">
        <v>0.80600000000000005</v>
      </c>
      <c r="T8773" s="508">
        <v>0.753</v>
      </c>
      <c r="U8773" s="508">
        <v>0.56100000000000005</v>
      </c>
      <c r="V8773" s="508">
        <v>0.46600000000000003</v>
      </c>
      <c r="W8773" s="508">
        <v>0.41599999999999998</v>
      </c>
      <c r="X8773" s="508">
        <v>0.34699999999999998</v>
      </c>
      <c r="Y8773" s="508">
        <v>0.309</v>
      </c>
      <c r="Z8773" s="508">
        <v>0.26400000000000001</v>
      </c>
      <c r="AA8773" s="508">
        <v>0.26100000000000001</v>
      </c>
      <c r="AB8773" s="508">
        <v>0.254</v>
      </c>
      <c r="AC8773" s="508">
        <v>0.252</v>
      </c>
      <c r="AD8773" s="508">
        <v>0.247</v>
      </c>
      <c r="AE8773" s="508">
        <v>0.246</v>
      </c>
      <c r="AF8773" s="508">
        <v>0.24199999999999999</v>
      </c>
      <c r="AG8773" s="508">
        <v>0.24199999999999999</v>
      </c>
      <c r="AH8773" s="508">
        <v>0.24</v>
      </c>
      <c r="AI8773" s="492">
        <v>0.23899999999999999</v>
      </c>
      <c r="AJ8773" s="485"/>
    </row>
    <row r="8774" spans="2:36">
      <c r="B8774" s="136" t="s">
        <v>466</v>
      </c>
      <c r="C8774" s="132" t="s">
        <v>1376</v>
      </c>
      <c r="D8774" s="132" t="s">
        <v>1384</v>
      </c>
      <c r="E8774" s="508">
        <v>9.68</v>
      </c>
      <c r="F8774" s="508">
        <v>9.3369999999999997</v>
      </c>
      <c r="G8774" s="508">
        <v>6.2469999999999999</v>
      </c>
      <c r="H8774" s="508">
        <v>5.0339999999999998</v>
      </c>
      <c r="I8774" s="508">
        <v>4.0979999999999999</v>
      </c>
      <c r="J8774" s="508">
        <v>3.113</v>
      </c>
      <c r="K8774" s="508">
        <v>2.8119999999999998</v>
      </c>
      <c r="L8774" s="508">
        <v>3.1429999999999998</v>
      </c>
      <c r="M8774" s="508">
        <v>2.2919999999999998</v>
      </c>
      <c r="N8774" s="508">
        <v>2.2120000000000002</v>
      </c>
      <c r="O8774" s="508">
        <v>1.927</v>
      </c>
      <c r="P8774" s="508">
        <v>0.83499999999999996</v>
      </c>
      <c r="Q8774" s="508">
        <v>0.95199999999999996</v>
      </c>
      <c r="R8774" s="508">
        <v>0.48499999999999999</v>
      </c>
      <c r="S8774" s="508">
        <v>0.624</v>
      </c>
      <c r="T8774" s="508">
        <v>0.443</v>
      </c>
      <c r="U8774" s="508">
        <v>0.30299999999999999</v>
      </c>
      <c r="V8774" s="508">
        <v>0.39200000000000002</v>
      </c>
      <c r="W8774" s="508">
        <v>0.29399999999999998</v>
      </c>
      <c r="X8774" s="508">
        <v>0.23899999999999999</v>
      </c>
      <c r="Y8774" s="508">
        <v>0.13</v>
      </c>
      <c r="Z8774" s="508">
        <v>0.125</v>
      </c>
      <c r="AA8774" s="508">
        <v>8.4000000000000005E-2</v>
      </c>
      <c r="AB8774" s="508">
        <v>0.128</v>
      </c>
      <c r="AC8774" s="508">
        <v>0.14000000000000001</v>
      </c>
      <c r="AD8774" s="508">
        <v>0.17599999999999999</v>
      </c>
      <c r="AE8774" s="508">
        <v>0.155</v>
      </c>
      <c r="AF8774" s="508">
        <v>0.152</v>
      </c>
      <c r="AG8774" s="508">
        <v>0.152</v>
      </c>
      <c r="AH8774" s="508">
        <v>0.15</v>
      </c>
      <c r="AI8774" s="492">
        <v>0.15</v>
      </c>
      <c r="AJ8774" s="485"/>
    </row>
    <row r="8775" spans="2:36">
      <c r="B8775" s="136" t="s">
        <v>467</v>
      </c>
      <c r="C8775" s="132" t="s">
        <v>1376</v>
      </c>
      <c r="D8775" s="132" t="s">
        <v>1384</v>
      </c>
      <c r="E8775" s="508">
        <v>7.8810000000000002</v>
      </c>
      <c r="F8775" s="508">
        <v>6.1589999999999998</v>
      </c>
      <c r="G8775" s="508">
        <v>5.1050000000000004</v>
      </c>
      <c r="H8775" s="508">
        <v>4.3940000000000001</v>
      </c>
      <c r="I8775" s="508">
        <v>3.88</v>
      </c>
      <c r="J8775" s="508">
        <v>3.4929999999999999</v>
      </c>
      <c r="K8775" s="508">
        <v>3.1909999999999998</v>
      </c>
      <c r="L8775" s="508">
        <v>2.948</v>
      </c>
      <c r="M8775" s="508">
        <v>2.7469999999999999</v>
      </c>
      <c r="N8775" s="508">
        <v>2.581</v>
      </c>
      <c r="O8775" s="508">
        <v>2.44</v>
      </c>
      <c r="P8775" s="508">
        <v>0.95599999999999996</v>
      </c>
      <c r="Q8775" s="508">
        <v>0.91</v>
      </c>
      <c r="R8775" s="508">
        <v>0.77700000000000002</v>
      </c>
      <c r="S8775" s="508">
        <v>0.73699999999999999</v>
      </c>
      <c r="T8775" s="508">
        <v>0.68100000000000005</v>
      </c>
      <c r="U8775" s="508">
        <v>0.49099999999999999</v>
      </c>
      <c r="V8775" s="508">
        <v>0.41099999999999998</v>
      </c>
      <c r="W8775" s="508">
        <v>0.36799999999999999</v>
      </c>
      <c r="X8775" s="508">
        <v>0.30299999999999999</v>
      </c>
      <c r="Y8775" s="508">
        <v>0.27100000000000002</v>
      </c>
      <c r="Z8775" s="508">
        <v>0.22700000000000001</v>
      </c>
      <c r="AA8775" s="508">
        <v>0.223</v>
      </c>
      <c r="AB8775" s="508">
        <v>0.216</v>
      </c>
      <c r="AC8775" s="508">
        <v>0.214</v>
      </c>
      <c r="AD8775" s="508">
        <v>0.20799999999999999</v>
      </c>
      <c r="AE8775" s="508">
        <v>0.20699999999999999</v>
      </c>
      <c r="AF8775" s="508">
        <v>0.20200000000000001</v>
      </c>
      <c r="AG8775" s="508">
        <v>0.20200000000000001</v>
      </c>
      <c r="AH8775" s="508">
        <v>0.20100000000000001</v>
      </c>
      <c r="AI8775" s="492">
        <v>0.2</v>
      </c>
      <c r="AJ8775" s="485"/>
    </row>
    <row r="8776" spans="2:36">
      <c r="B8776" s="136" t="s">
        <v>468</v>
      </c>
      <c r="C8776" s="132" t="s">
        <v>1376</v>
      </c>
      <c r="D8776" s="132" t="s">
        <v>1384</v>
      </c>
      <c r="E8776" s="508">
        <v>7.8860000000000001</v>
      </c>
      <c r="F8776" s="508">
        <v>6.1609999999999996</v>
      </c>
      <c r="G8776" s="508">
        <v>5.1029999999999998</v>
      </c>
      <c r="H8776" s="508">
        <v>4.3890000000000002</v>
      </c>
      <c r="I8776" s="508">
        <v>3.875</v>
      </c>
      <c r="J8776" s="508">
        <v>3.4860000000000002</v>
      </c>
      <c r="K8776" s="508">
        <v>3.1819999999999999</v>
      </c>
      <c r="L8776" s="508">
        <v>2.9390000000000001</v>
      </c>
      <c r="M8776" s="508">
        <v>2.738</v>
      </c>
      <c r="N8776" s="508">
        <v>2.5710000000000002</v>
      </c>
      <c r="O8776" s="508">
        <v>2.4289999999999998</v>
      </c>
      <c r="P8776" s="508">
        <v>0.98699999999999999</v>
      </c>
      <c r="Q8776" s="508">
        <v>0.93799999999999994</v>
      </c>
      <c r="R8776" s="508">
        <v>0.78700000000000003</v>
      </c>
      <c r="S8776" s="508">
        <v>0.746</v>
      </c>
      <c r="T8776" s="508">
        <v>0.69099999999999995</v>
      </c>
      <c r="U8776" s="508">
        <v>0.50800000000000001</v>
      </c>
      <c r="V8776" s="508">
        <v>0.42299999999999999</v>
      </c>
      <c r="W8776" s="508">
        <v>0.379</v>
      </c>
      <c r="X8776" s="508">
        <v>0.313</v>
      </c>
      <c r="Y8776" s="508">
        <v>0.27900000000000003</v>
      </c>
      <c r="Z8776" s="508">
        <v>0.23599999999999999</v>
      </c>
      <c r="AA8776" s="508">
        <v>0.23300000000000001</v>
      </c>
      <c r="AB8776" s="508">
        <v>0.22600000000000001</v>
      </c>
      <c r="AC8776" s="508">
        <v>0.223</v>
      </c>
      <c r="AD8776" s="508">
        <v>0.217</v>
      </c>
      <c r="AE8776" s="508">
        <v>0.216</v>
      </c>
      <c r="AF8776" s="508">
        <v>0.21199999999999999</v>
      </c>
      <c r="AG8776" s="508">
        <v>0.21199999999999999</v>
      </c>
      <c r="AH8776" s="508">
        <v>0.21</v>
      </c>
      <c r="AI8776" s="492">
        <v>0.20899999999999999</v>
      </c>
      <c r="AJ8776" s="485"/>
    </row>
    <row r="8777" spans="2:36">
      <c r="B8777" s="136" t="s">
        <v>469</v>
      </c>
      <c r="C8777" s="132" t="s">
        <v>1376</v>
      </c>
      <c r="D8777" s="132" t="s">
        <v>1384</v>
      </c>
      <c r="E8777" s="508">
        <v>7.3760000000000003</v>
      </c>
      <c r="F8777" s="508">
        <v>7.1390000000000002</v>
      </c>
      <c r="G8777" s="508">
        <v>4.7859999999999996</v>
      </c>
      <c r="H8777" s="508">
        <v>3.867</v>
      </c>
      <c r="I8777" s="508">
        <v>3.1560000000000001</v>
      </c>
      <c r="J8777" s="508">
        <v>2.403</v>
      </c>
      <c r="K8777" s="508">
        <v>2.1749999999999998</v>
      </c>
      <c r="L8777" s="508">
        <v>2.4380000000000002</v>
      </c>
      <c r="M8777" s="508">
        <v>1.7809999999999999</v>
      </c>
      <c r="N8777" s="508">
        <v>1.722</v>
      </c>
      <c r="O8777" s="508">
        <v>1.5029999999999999</v>
      </c>
      <c r="P8777" s="508">
        <v>0.65700000000000003</v>
      </c>
      <c r="Q8777" s="508">
        <v>0.754</v>
      </c>
      <c r="R8777" s="508">
        <v>0.39700000000000002</v>
      </c>
      <c r="S8777" s="508">
        <v>0.51500000000000001</v>
      </c>
      <c r="T8777" s="508">
        <v>0.36599999999999999</v>
      </c>
      <c r="U8777" s="508">
        <v>0.251</v>
      </c>
      <c r="V8777" s="508">
        <v>0.32500000000000001</v>
      </c>
      <c r="W8777" s="508">
        <v>0.24399999999999999</v>
      </c>
      <c r="X8777" s="508">
        <v>0.2</v>
      </c>
      <c r="Y8777" s="508">
        <v>0.108</v>
      </c>
      <c r="Z8777" s="508">
        <v>0.105</v>
      </c>
      <c r="AA8777" s="508">
        <v>7.0000000000000007E-2</v>
      </c>
      <c r="AB8777" s="508">
        <v>0.108</v>
      </c>
      <c r="AC8777" s="508">
        <v>0.11799999999999999</v>
      </c>
      <c r="AD8777" s="508">
        <v>0.14799999999999999</v>
      </c>
      <c r="AE8777" s="508">
        <v>0.13100000000000001</v>
      </c>
      <c r="AF8777" s="508">
        <v>0.128</v>
      </c>
      <c r="AG8777" s="508">
        <v>0.128</v>
      </c>
      <c r="AH8777" s="508">
        <v>0.127</v>
      </c>
      <c r="AI8777" s="492">
        <v>0.127</v>
      </c>
      <c r="AJ8777" s="485"/>
    </row>
    <row r="8778" spans="2:36">
      <c r="B8778" s="136" t="s">
        <v>470</v>
      </c>
      <c r="C8778" s="132" t="s">
        <v>1376</v>
      </c>
      <c r="D8778" s="132" t="s">
        <v>1384</v>
      </c>
      <c r="E8778" s="508">
        <v>9.3360000000000003</v>
      </c>
      <c r="F8778" s="508">
        <v>7.2850000000000001</v>
      </c>
      <c r="G8778" s="508">
        <v>6.0289999999999999</v>
      </c>
      <c r="H8778" s="508">
        <v>5.181</v>
      </c>
      <c r="I8778" s="508">
        <v>4.569</v>
      </c>
      <c r="J8778" s="508">
        <v>4.1079999999999997</v>
      </c>
      <c r="K8778" s="508">
        <v>3.7480000000000002</v>
      </c>
      <c r="L8778" s="508">
        <v>3.4580000000000002</v>
      </c>
      <c r="M8778" s="508">
        <v>3.2189999999999999</v>
      </c>
      <c r="N8778" s="508">
        <v>3.0209999999999999</v>
      </c>
      <c r="O8778" s="508">
        <v>2.8530000000000002</v>
      </c>
      <c r="P8778" s="508">
        <v>1.121</v>
      </c>
      <c r="Q8778" s="508">
        <v>1.0640000000000001</v>
      </c>
      <c r="R8778" s="508">
        <v>0.89700000000000002</v>
      </c>
      <c r="S8778" s="508">
        <v>0.84899999999999998</v>
      </c>
      <c r="T8778" s="508">
        <v>0.78400000000000003</v>
      </c>
      <c r="U8778" s="508">
        <v>0.56699999999999995</v>
      </c>
      <c r="V8778" s="508">
        <v>0.47399999999999998</v>
      </c>
      <c r="W8778" s="508">
        <v>0.42399999999999999</v>
      </c>
      <c r="X8778" s="508">
        <v>0.34799999999999998</v>
      </c>
      <c r="Y8778" s="508">
        <v>0.31</v>
      </c>
      <c r="Z8778" s="508">
        <v>0.26</v>
      </c>
      <c r="AA8778" s="508">
        <v>0.25600000000000001</v>
      </c>
      <c r="AB8778" s="508">
        <v>0.247</v>
      </c>
      <c r="AC8778" s="508">
        <v>0.245</v>
      </c>
      <c r="AD8778" s="508">
        <v>0.23799999999999999</v>
      </c>
      <c r="AE8778" s="508">
        <v>0.23599999999999999</v>
      </c>
      <c r="AF8778" s="508">
        <v>0.23100000000000001</v>
      </c>
      <c r="AG8778" s="508">
        <v>0.23100000000000001</v>
      </c>
      <c r="AH8778" s="508">
        <v>0.22900000000000001</v>
      </c>
      <c r="AI8778" s="492">
        <v>0.22800000000000001</v>
      </c>
      <c r="AJ8778" s="485"/>
    </row>
    <row r="8779" spans="2:36">
      <c r="B8779" s="136" t="s">
        <v>471</v>
      </c>
      <c r="C8779" s="132" t="s">
        <v>1376</v>
      </c>
      <c r="D8779" s="132" t="s">
        <v>1384</v>
      </c>
      <c r="E8779" s="508">
        <v>10.442</v>
      </c>
      <c r="F8779" s="508">
        <v>8.1669999999999998</v>
      </c>
      <c r="G8779" s="508">
        <v>6.7569999999999997</v>
      </c>
      <c r="H8779" s="508">
        <v>5.8109999999999999</v>
      </c>
      <c r="I8779" s="508">
        <v>5.133</v>
      </c>
      <c r="J8779" s="508">
        <v>4.6159999999999997</v>
      </c>
      <c r="K8779" s="508">
        <v>4.2149999999999999</v>
      </c>
      <c r="L8779" s="508">
        <v>3.8969999999999998</v>
      </c>
      <c r="M8779" s="508">
        <v>3.629</v>
      </c>
      <c r="N8779" s="508">
        <v>3.41</v>
      </c>
      <c r="O8779" s="508">
        <v>3.2229999999999999</v>
      </c>
      <c r="P8779" s="508">
        <v>1.36</v>
      </c>
      <c r="Q8779" s="508">
        <v>1.292</v>
      </c>
      <c r="R8779" s="508">
        <v>1.0660000000000001</v>
      </c>
      <c r="S8779" s="508">
        <v>1.008</v>
      </c>
      <c r="T8779" s="508">
        <v>0.93799999999999994</v>
      </c>
      <c r="U8779" s="508">
        <v>0.69799999999999995</v>
      </c>
      <c r="V8779" s="508">
        <v>0.57899999999999996</v>
      </c>
      <c r="W8779" s="508">
        <v>0.51700000000000002</v>
      </c>
      <c r="X8779" s="508">
        <v>0.42799999999999999</v>
      </c>
      <c r="Y8779" s="508">
        <v>0.38</v>
      </c>
      <c r="Z8779" s="508">
        <v>0.32400000000000001</v>
      </c>
      <c r="AA8779" s="508">
        <v>0.31900000000000001</v>
      </c>
      <c r="AB8779" s="508">
        <v>0.31</v>
      </c>
      <c r="AC8779" s="508">
        <v>0.307</v>
      </c>
      <c r="AD8779" s="508">
        <v>0.29899999999999999</v>
      </c>
      <c r="AE8779" s="508">
        <v>0.29699999999999999</v>
      </c>
      <c r="AF8779" s="508">
        <v>0.29099999999999998</v>
      </c>
      <c r="AG8779" s="508">
        <v>0.29099999999999998</v>
      </c>
      <c r="AH8779" s="508">
        <v>0.28899999999999998</v>
      </c>
      <c r="AI8779" s="492">
        <v>0.28799999999999998</v>
      </c>
      <c r="AJ8779" s="485"/>
    </row>
    <row r="8780" spans="2:36">
      <c r="B8780" s="136" t="s">
        <v>472</v>
      </c>
      <c r="C8780" s="132" t="s">
        <v>1376</v>
      </c>
      <c r="D8780" s="132" t="s">
        <v>1384</v>
      </c>
      <c r="E8780" s="508">
        <v>5.3719999999999999</v>
      </c>
      <c r="F8780" s="508">
        <v>5.2080000000000002</v>
      </c>
      <c r="G8780" s="508">
        <v>3.524</v>
      </c>
      <c r="H8780" s="508">
        <v>2.863</v>
      </c>
      <c r="I8780" s="508">
        <v>2.3460000000000001</v>
      </c>
      <c r="J8780" s="508">
        <v>1.7969999999999999</v>
      </c>
      <c r="K8780" s="508">
        <v>1.633</v>
      </c>
      <c r="L8780" s="508">
        <v>1.833</v>
      </c>
      <c r="M8780" s="508">
        <v>1.3460000000000001</v>
      </c>
      <c r="N8780" s="508">
        <v>1.3049999999999999</v>
      </c>
      <c r="O8780" s="508">
        <v>1.143</v>
      </c>
      <c r="P8780" s="508">
        <v>0.49399999999999999</v>
      </c>
      <c r="Q8780" s="508">
        <v>0.56999999999999995</v>
      </c>
      <c r="R8780" s="508">
        <v>0.314</v>
      </c>
      <c r="S8780" s="508">
        <v>0.41099999999999998</v>
      </c>
      <c r="T8780" s="508">
        <v>0.29299999999999998</v>
      </c>
      <c r="U8780" s="508">
        <v>0.19900000000000001</v>
      </c>
      <c r="V8780" s="508">
        <v>0.25800000000000001</v>
      </c>
      <c r="W8780" s="508">
        <v>0.19400000000000001</v>
      </c>
      <c r="X8780" s="508">
        <v>0.16</v>
      </c>
      <c r="Y8780" s="508">
        <v>8.6999999999999994E-2</v>
      </c>
      <c r="Z8780" s="508">
        <v>8.4000000000000005E-2</v>
      </c>
      <c r="AA8780" s="508">
        <v>5.6000000000000001E-2</v>
      </c>
      <c r="AB8780" s="508">
        <v>8.6999999999999994E-2</v>
      </c>
      <c r="AC8780" s="508">
        <v>9.5000000000000001E-2</v>
      </c>
      <c r="AD8780" s="508">
        <v>0.12</v>
      </c>
      <c r="AE8780" s="508">
        <v>0.106</v>
      </c>
      <c r="AF8780" s="508">
        <v>0.104</v>
      </c>
      <c r="AG8780" s="508">
        <v>0.104</v>
      </c>
      <c r="AH8780" s="508">
        <v>0.10299999999999999</v>
      </c>
      <c r="AI8780" s="492">
        <v>0.10299999999999999</v>
      </c>
      <c r="AJ8780" s="485"/>
    </row>
    <row r="8781" spans="2:36">
      <c r="B8781" s="136" t="s">
        <v>473</v>
      </c>
      <c r="C8781" s="132" t="s">
        <v>1376</v>
      </c>
      <c r="D8781" s="132" t="s">
        <v>1384</v>
      </c>
      <c r="E8781" s="508">
        <v>9.343</v>
      </c>
      <c r="F8781" s="508">
        <v>7.3150000000000004</v>
      </c>
      <c r="G8781" s="508">
        <v>6.0659999999999998</v>
      </c>
      <c r="H8781" s="508">
        <v>5.226</v>
      </c>
      <c r="I8781" s="508">
        <v>4.6210000000000004</v>
      </c>
      <c r="J8781" s="508">
        <v>4.1630000000000003</v>
      </c>
      <c r="K8781" s="508">
        <v>3.806</v>
      </c>
      <c r="L8781" s="508">
        <v>3.5209999999999999</v>
      </c>
      <c r="M8781" s="508">
        <v>3.2839999999999998</v>
      </c>
      <c r="N8781" s="508">
        <v>3.0880000000000001</v>
      </c>
      <c r="O8781" s="508">
        <v>2.9220000000000002</v>
      </c>
      <c r="P8781" s="508">
        <v>1.1990000000000001</v>
      </c>
      <c r="Q8781" s="508">
        <v>1.1419999999999999</v>
      </c>
      <c r="R8781" s="508">
        <v>0.96899999999999997</v>
      </c>
      <c r="S8781" s="508">
        <v>0.92100000000000004</v>
      </c>
      <c r="T8781" s="508">
        <v>0.85599999999999998</v>
      </c>
      <c r="U8781" s="508">
        <v>0.63</v>
      </c>
      <c r="V8781" s="508">
        <v>0.52400000000000002</v>
      </c>
      <c r="W8781" s="508">
        <v>0.46800000000000003</v>
      </c>
      <c r="X8781" s="508">
        <v>0.38700000000000001</v>
      </c>
      <c r="Y8781" s="508">
        <v>0.34399999999999997</v>
      </c>
      <c r="Z8781" s="508">
        <v>0.29199999999999998</v>
      </c>
      <c r="AA8781" s="508">
        <v>0.28799999999999998</v>
      </c>
      <c r="AB8781" s="508">
        <v>0.27900000000000003</v>
      </c>
      <c r="AC8781" s="508">
        <v>0.27700000000000002</v>
      </c>
      <c r="AD8781" s="508">
        <v>0.27</v>
      </c>
      <c r="AE8781" s="508">
        <v>0.26800000000000002</v>
      </c>
      <c r="AF8781" s="508">
        <v>0.26300000000000001</v>
      </c>
      <c r="AG8781" s="508">
        <v>0.26300000000000001</v>
      </c>
      <c r="AH8781" s="508">
        <v>0.26100000000000001</v>
      </c>
      <c r="AI8781" s="492">
        <v>0.26</v>
      </c>
      <c r="AJ8781" s="485"/>
    </row>
    <row r="8782" spans="2:36">
      <c r="B8782" s="136" t="s">
        <v>474</v>
      </c>
      <c r="C8782" s="132" t="s">
        <v>1376</v>
      </c>
      <c r="D8782" s="132" t="s">
        <v>1384</v>
      </c>
      <c r="E8782" s="508">
        <v>10.057</v>
      </c>
      <c r="F8782" s="508">
        <v>7.8819999999999997</v>
      </c>
      <c r="G8782" s="508">
        <v>6.5259999999999998</v>
      </c>
      <c r="H8782" s="508">
        <v>5.6189999999999998</v>
      </c>
      <c r="I8782" s="508">
        <v>4.97</v>
      </c>
      <c r="J8782" s="508">
        <v>4.4740000000000002</v>
      </c>
      <c r="K8782" s="508">
        <v>4.09</v>
      </c>
      <c r="L8782" s="508">
        <v>3.786</v>
      </c>
      <c r="M8782" s="508">
        <v>3.5289999999999999</v>
      </c>
      <c r="N8782" s="508">
        <v>3.319</v>
      </c>
      <c r="O8782" s="508">
        <v>3.14</v>
      </c>
      <c r="P8782" s="508">
        <v>1.3540000000000001</v>
      </c>
      <c r="Q8782" s="508">
        <v>1.288</v>
      </c>
      <c r="R8782" s="508">
        <v>1.06</v>
      </c>
      <c r="S8782" s="508">
        <v>1.0029999999999999</v>
      </c>
      <c r="T8782" s="508">
        <v>0.93600000000000005</v>
      </c>
      <c r="U8782" s="508">
        <v>0.70099999999999996</v>
      </c>
      <c r="V8782" s="508">
        <v>0.58099999999999996</v>
      </c>
      <c r="W8782" s="508">
        <v>0.51900000000000002</v>
      </c>
      <c r="X8782" s="508">
        <v>0.43099999999999999</v>
      </c>
      <c r="Y8782" s="508">
        <v>0.38200000000000001</v>
      </c>
      <c r="Z8782" s="508">
        <v>0.32700000000000001</v>
      </c>
      <c r="AA8782" s="508">
        <v>0.32300000000000001</v>
      </c>
      <c r="AB8782" s="508">
        <v>0.314</v>
      </c>
      <c r="AC8782" s="508">
        <v>0.311</v>
      </c>
      <c r="AD8782" s="508">
        <v>0.30399999999999999</v>
      </c>
      <c r="AE8782" s="508">
        <v>0.30199999999999999</v>
      </c>
      <c r="AF8782" s="508">
        <v>0.29699999999999999</v>
      </c>
      <c r="AG8782" s="508">
        <v>0.29699999999999999</v>
      </c>
      <c r="AH8782" s="508">
        <v>0.29399999999999998</v>
      </c>
      <c r="AI8782" s="492">
        <v>0.29399999999999998</v>
      </c>
      <c r="AJ8782" s="485"/>
    </row>
    <row r="8783" spans="2:36">
      <c r="B8783" s="136" t="s">
        <v>475</v>
      </c>
      <c r="C8783" s="132" t="s">
        <v>1376</v>
      </c>
      <c r="D8783" s="132" t="s">
        <v>1384</v>
      </c>
      <c r="E8783" s="508">
        <v>7.6710000000000003</v>
      </c>
      <c r="F8783" s="508">
        <v>7.3780000000000001</v>
      </c>
      <c r="G8783" s="508">
        <v>4.952</v>
      </c>
      <c r="H8783" s="508">
        <v>3.992</v>
      </c>
      <c r="I8783" s="508">
        <v>3.2480000000000002</v>
      </c>
      <c r="J8783" s="508">
        <v>2.4700000000000002</v>
      </c>
      <c r="K8783" s="508">
        <v>2.2309999999999999</v>
      </c>
      <c r="L8783" s="508">
        <v>2.488</v>
      </c>
      <c r="M8783" s="508">
        <v>1.8169999999999999</v>
      </c>
      <c r="N8783" s="508">
        <v>1.7509999999999999</v>
      </c>
      <c r="O8783" s="508">
        <v>1.526</v>
      </c>
      <c r="P8783" s="508">
        <v>0.623</v>
      </c>
      <c r="Q8783" s="508">
        <v>0.71299999999999997</v>
      </c>
      <c r="R8783" s="508">
        <v>0.38300000000000001</v>
      </c>
      <c r="S8783" s="508">
        <v>0.496</v>
      </c>
      <c r="T8783" s="508">
        <v>0.35099999999999998</v>
      </c>
      <c r="U8783" s="508">
        <v>0.23599999999999999</v>
      </c>
      <c r="V8783" s="508">
        <v>0.30599999999999999</v>
      </c>
      <c r="W8783" s="508">
        <v>0.23</v>
      </c>
      <c r="X8783" s="508">
        <v>0.186</v>
      </c>
      <c r="Y8783" s="508">
        <v>0.10100000000000001</v>
      </c>
      <c r="Z8783" s="508">
        <v>9.7000000000000003E-2</v>
      </c>
      <c r="AA8783" s="508">
        <v>6.5000000000000002E-2</v>
      </c>
      <c r="AB8783" s="508">
        <v>9.9000000000000005E-2</v>
      </c>
      <c r="AC8783" s="508">
        <v>0.108</v>
      </c>
      <c r="AD8783" s="508">
        <v>0.13500000000000001</v>
      </c>
      <c r="AE8783" s="508">
        <v>0.11899999999999999</v>
      </c>
      <c r="AF8783" s="508">
        <v>0.11600000000000001</v>
      </c>
      <c r="AG8783" s="508">
        <v>0.11600000000000001</v>
      </c>
      <c r="AH8783" s="508">
        <v>0.115</v>
      </c>
      <c r="AI8783" s="492">
        <v>0.115</v>
      </c>
      <c r="AJ8783" s="485"/>
    </row>
    <row r="8784" spans="2:36">
      <c r="B8784" s="136" t="s">
        <v>476</v>
      </c>
      <c r="C8784" s="132" t="s">
        <v>1376</v>
      </c>
      <c r="D8784" s="132" t="s">
        <v>1384</v>
      </c>
      <c r="E8784" s="508">
        <v>8.99</v>
      </c>
      <c r="F8784" s="508">
        <v>7.0289999999999999</v>
      </c>
      <c r="G8784" s="508">
        <v>5.8239999999999998</v>
      </c>
      <c r="H8784" s="508">
        <v>5.0129999999999999</v>
      </c>
      <c r="I8784" s="508">
        <v>4.4279999999999999</v>
      </c>
      <c r="J8784" s="508">
        <v>3.9849999999999999</v>
      </c>
      <c r="K8784" s="508">
        <v>3.641</v>
      </c>
      <c r="L8784" s="508">
        <v>3.3650000000000002</v>
      </c>
      <c r="M8784" s="508">
        <v>3.1360000000000001</v>
      </c>
      <c r="N8784" s="508">
        <v>2.9470000000000001</v>
      </c>
      <c r="O8784" s="508">
        <v>2.786</v>
      </c>
      <c r="P8784" s="508">
        <v>1.1279999999999999</v>
      </c>
      <c r="Q8784" s="508">
        <v>1.073</v>
      </c>
      <c r="R8784" s="508">
        <v>0.90700000000000003</v>
      </c>
      <c r="S8784" s="508">
        <v>0.86099999999999999</v>
      </c>
      <c r="T8784" s="508">
        <v>0.79800000000000004</v>
      </c>
      <c r="U8784" s="508">
        <v>0.58399999999999996</v>
      </c>
      <c r="V8784" s="508">
        <v>0.48699999999999999</v>
      </c>
      <c r="W8784" s="508">
        <v>0.436</v>
      </c>
      <c r="X8784" s="508">
        <v>0.35899999999999999</v>
      </c>
      <c r="Y8784" s="508">
        <v>0.32</v>
      </c>
      <c r="Z8784" s="508">
        <v>0.27</v>
      </c>
      <c r="AA8784" s="508">
        <v>0.26600000000000001</v>
      </c>
      <c r="AB8784" s="508">
        <v>0.25800000000000001</v>
      </c>
      <c r="AC8784" s="508">
        <v>0.25600000000000001</v>
      </c>
      <c r="AD8784" s="508">
        <v>0.249</v>
      </c>
      <c r="AE8784" s="508">
        <v>0.247</v>
      </c>
      <c r="AF8784" s="508">
        <v>0.24199999999999999</v>
      </c>
      <c r="AG8784" s="508">
        <v>0.24199999999999999</v>
      </c>
      <c r="AH8784" s="508">
        <v>0.24</v>
      </c>
      <c r="AI8784" s="492">
        <v>0.24</v>
      </c>
      <c r="AJ8784" s="485"/>
    </row>
    <row r="8785" spans="2:41">
      <c r="B8785" s="136" t="s">
        <v>478</v>
      </c>
      <c r="C8785" s="132" t="s">
        <v>1376</v>
      </c>
      <c r="D8785" s="132" t="s">
        <v>1384</v>
      </c>
      <c r="E8785" s="508">
        <v>8.1210000000000004</v>
      </c>
      <c r="F8785" s="508">
        <v>7.7850000000000001</v>
      </c>
      <c r="G8785" s="508">
        <v>5.2149999999999999</v>
      </c>
      <c r="H8785" s="508">
        <v>4.194</v>
      </c>
      <c r="I8785" s="508">
        <v>3.4039999999999999</v>
      </c>
      <c r="J8785" s="508">
        <v>2.5830000000000002</v>
      </c>
      <c r="K8785" s="508">
        <v>2.3279999999999998</v>
      </c>
      <c r="L8785" s="508">
        <v>2.59</v>
      </c>
      <c r="M8785" s="508">
        <v>1.8879999999999999</v>
      </c>
      <c r="N8785" s="508">
        <v>1.8160000000000001</v>
      </c>
      <c r="O8785" s="508">
        <v>1.579</v>
      </c>
      <c r="P8785" s="508">
        <v>0.61099999999999999</v>
      </c>
      <c r="Q8785" s="508">
        <v>0.69599999999999995</v>
      </c>
      <c r="R8785" s="508">
        <v>0.36699999999999999</v>
      </c>
      <c r="S8785" s="508">
        <v>0.47199999999999998</v>
      </c>
      <c r="T8785" s="508">
        <v>0.33100000000000002</v>
      </c>
      <c r="U8785" s="508">
        <v>0.217</v>
      </c>
      <c r="V8785" s="508">
        <v>0.28299999999999997</v>
      </c>
      <c r="W8785" s="508">
        <v>0.214</v>
      </c>
      <c r="X8785" s="508">
        <v>0.17100000000000001</v>
      </c>
      <c r="Y8785" s="508">
        <v>9.4E-2</v>
      </c>
      <c r="Z8785" s="508">
        <v>8.7999999999999995E-2</v>
      </c>
      <c r="AA8785" s="508">
        <v>5.8999999999999997E-2</v>
      </c>
      <c r="AB8785" s="508">
        <v>8.8999999999999996E-2</v>
      </c>
      <c r="AC8785" s="508">
        <v>9.7000000000000003E-2</v>
      </c>
      <c r="AD8785" s="508">
        <v>0.121</v>
      </c>
      <c r="AE8785" s="508">
        <v>0.106</v>
      </c>
      <c r="AF8785" s="508">
        <v>0.104</v>
      </c>
      <c r="AG8785" s="508">
        <v>0.104</v>
      </c>
      <c r="AH8785" s="508">
        <v>0.10299999999999999</v>
      </c>
      <c r="AI8785" s="492">
        <v>0.10299999999999999</v>
      </c>
      <c r="AJ8785" s="485"/>
    </row>
    <row r="8786" spans="2:41">
      <c r="B8786" s="136" t="s">
        <v>479</v>
      </c>
      <c r="C8786" s="132" t="s">
        <v>1376</v>
      </c>
      <c r="D8786" s="132" t="s">
        <v>1384</v>
      </c>
      <c r="E8786" s="508">
        <v>10.241</v>
      </c>
      <c r="F8786" s="508">
        <v>8.0239999999999991</v>
      </c>
      <c r="G8786" s="508">
        <v>6.6449999999999996</v>
      </c>
      <c r="H8786" s="508">
        <v>5.7220000000000004</v>
      </c>
      <c r="I8786" s="508">
        <v>5.0609999999999999</v>
      </c>
      <c r="J8786" s="508">
        <v>4.556</v>
      </c>
      <c r="K8786" s="508">
        <v>4.165</v>
      </c>
      <c r="L8786" s="508">
        <v>3.855</v>
      </c>
      <c r="M8786" s="508">
        <v>3.5939999999999999</v>
      </c>
      <c r="N8786" s="508">
        <v>3.38</v>
      </c>
      <c r="O8786" s="508">
        <v>3.198</v>
      </c>
      <c r="P8786" s="508">
        <v>1.3939999999999999</v>
      </c>
      <c r="Q8786" s="508">
        <v>1.325</v>
      </c>
      <c r="R8786" s="508">
        <v>1.091</v>
      </c>
      <c r="S8786" s="508">
        <v>1.032</v>
      </c>
      <c r="T8786" s="508">
        <v>0.96399999999999997</v>
      </c>
      <c r="U8786" s="508">
        <v>0.72599999999999998</v>
      </c>
      <c r="V8786" s="508">
        <v>0.60099999999999998</v>
      </c>
      <c r="W8786" s="508">
        <v>0.53700000000000003</v>
      </c>
      <c r="X8786" s="508">
        <v>0.44600000000000001</v>
      </c>
      <c r="Y8786" s="508">
        <v>0.39500000000000002</v>
      </c>
      <c r="Z8786" s="508">
        <v>0.33900000000000002</v>
      </c>
      <c r="AA8786" s="508">
        <v>0.33500000000000002</v>
      </c>
      <c r="AB8786" s="508">
        <v>0.32600000000000001</v>
      </c>
      <c r="AC8786" s="508">
        <v>0.32300000000000001</v>
      </c>
      <c r="AD8786" s="508">
        <v>0.316</v>
      </c>
      <c r="AE8786" s="508">
        <v>0.314</v>
      </c>
      <c r="AF8786" s="508">
        <v>0.308</v>
      </c>
      <c r="AG8786" s="508">
        <v>0.308</v>
      </c>
      <c r="AH8786" s="508">
        <v>0.30599999999999999</v>
      </c>
      <c r="AI8786" s="492">
        <v>0.30499999999999999</v>
      </c>
      <c r="AJ8786" s="485"/>
    </row>
    <row r="8787" spans="2:41">
      <c r="B8787" s="136" t="s">
        <v>480</v>
      </c>
      <c r="C8787" s="132" t="s">
        <v>1376</v>
      </c>
      <c r="D8787" s="132" t="s">
        <v>1384</v>
      </c>
      <c r="E8787" s="508">
        <v>6.7939999999999996</v>
      </c>
      <c r="F8787" s="508">
        <v>5.35</v>
      </c>
      <c r="G8787" s="508">
        <v>4.4580000000000002</v>
      </c>
      <c r="H8787" s="508">
        <v>3.859</v>
      </c>
      <c r="I8787" s="508">
        <v>3.4289999999999998</v>
      </c>
      <c r="J8787" s="508">
        <v>3.1019999999999999</v>
      </c>
      <c r="K8787" s="508">
        <v>2.8490000000000002</v>
      </c>
      <c r="L8787" s="508">
        <v>2.6469999999999998</v>
      </c>
      <c r="M8787" s="508">
        <v>2.4780000000000002</v>
      </c>
      <c r="N8787" s="508">
        <v>2.339</v>
      </c>
      <c r="O8787" s="508">
        <v>2.2210000000000001</v>
      </c>
      <c r="P8787" s="508">
        <v>0.96399999999999997</v>
      </c>
      <c r="Q8787" s="508">
        <v>0.92500000000000004</v>
      </c>
      <c r="R8787" s="508">
        <v>0.80400000000000005</v>
      </c>
      <c r="S8787" s="508">
        <v>0.77</v>
      </c>
      <c r="T8787" s="508">
        <v>0.72199999999999998</v>
      </c>
      <c r="U8787" s="508">
        <v>0.54</v>
      </c>
      <c r="V8787" s="508">
        <v>0.44800000000000001</v>
      </c>
      <c r="W8787" s="508">
        <v>0.4</v>
      </c>
      <c r="X8787" s="508">
        <v>0.33500000000000002</v>
      </c>
      <c r="Y8787" s="508">
        <v>0.29799999999999999</v>
      </c>
      <c r="Z8787" s="508">
        <v>0.25600000000000001</v>
      </c>
      <c r="AA8787" s="508">
        <v>0.253</v>
      </c>
      <c r="AB8787" s="508">
        <v>0.247</v>
      </c>
      <c r="AC8787" s="508">
        <v>0.245</v>
      </c>
      <c r="AD8787" s="508">
        <v>0.24</v>
      </c>
      <c r="AE8787" s="508">
        <v>0.23899999999999999</v>
      </c>
      <c r="AF8787" s="508">
        <v>0.23599999999999999</v>
      </c>
      <c r="AG8787" s="508">
        <v>0.23599999999999999</v>
      </c>
      <c r="AH8787" s="508">
        <v>0.23300000000000001</v>
      </c>
      <c r="AI8787" s="492">
        <v>0.23300000000000001</v>
      </c>
      <c r="AJ8787" s="485"/>
    </row>
    <row r="8788" spans="2:41">
      <c r="B8788" s="136" t="s">
        <v>481</v>
      </c>
      <c r="C8788" s="132" t="s">
        <v>1376</v>
      </c>
      <c r="D8788" s="132" t="s">
        <v>1384</v>
      </c>
      <c r="E8788" s="508">
        <v>10.013999999999999</v>
      </c>
      <c r="F8788" s="508">
        <v>7.8390000000000004</v>
      </c>
      <c r="G8788" s="508">
        <v>6.49</v>
      </c>
      <c r="H8788" s="508">
        <v>5.5860000000000003</v>
      </c>
      <c r="I8788" s="508">
        <v>4.9370000000000003</v>
      </c>
      <c r="J8788" s="508">
        <v>4.4429999999999996</v>
      </c>
      <c r="K8788" s="508">
        <v>4.0590000000000002</v>
      </c>
      <c r="L8788" s="508">
        <v>3.7549999999999999</v>
      </c>
      <c r="M8788" s="508">
        <v>3.4990000000000001</v>
      </c>
      <c r="N8788" s="508">
        <v>3.2890000000000001</v>
      </c>
      <c r="O8788" s="508">
        <v>3.11</v>
      </c>
      <c r="P8788" s="508">
        <v>1.3220000000000001</v>
      </c>
      <c r="Q8788" s="508">
        <v>1.2569999999999999</v>
      </c>
      <c r="R8788" s="508">
        <v>1.0449999999999999</v>
      </c>
      <c r="S8788" s="508">
        <v>0.99</v>
      </c>
      <c r="T8788" s="508">
        <v>0.92200000000000004</v>
      </c>
      <c r="U8788" s="508">
        <v>0.68799999999999994</v>
      </c>
      <c r="V8788" s="508">
        <v>0.57099999999999995</v>
      </c>
      <c r="W8788" s="508">
        <v>0.51</v>
      </c>
      <c r="X8788" s="508">
        <v>0.42199999999999999</v>
      </c>
      <c r="Y8788" s="508">
        <v>0.375</v>
      </c>
      <c r="Z8788" s="508">
        <v>0.32</v>
      </c>
      <c r="AA8788" s="508">
        <v>0.316</v>
      </c>
      <c r="AB8788" s="508">
        <v>0.307</v>
      </c>
      <c r="AC8788" s="508">
        <v>0.30399999999999999</v>
      </c>
      <c r="AD8788" s="508">
        <v>0.29699999999999999</v>
      </c>
      <c r="AE8788" s="508">
        <v>0.29499999999999998</v>
      </c>
      <c r="AF8788" s="508">
        <v>0.28899999999999998</v>
      </c>
      <c r="AG8788" s="508">
        <v>0.28899999999999998</v>
      </c>
      <c r="AH8788" s="508">
        <v>0.28699999999999998</v>
      </c>
      <c r="AI8788" s="492">
        <v>0.28599999999999998</v>
      </c>
      <c r="AJ8788" s="485"/>
    </row>
    <row r="8789" spans="2:41">
      <c r="B8789" s="136" t="s">
        <v>482</v>
      </c>
      <c r="C8789" s="132" t="s">
        <v>1376</v>
      </c>
      <c r="D8789" s="132" t="s">
        <v>1384</v>
      </c>
      <c r="E8789" s="508">
        <v>11.404999999999999</v>
      </c>
      <c r="F8789" s="508">
        <v>8.9030000000000005</v>
      </c>
      <c r="G8789" s="508">
        <v>7.3490000000000002</v>
      </c>
      <c r="H8789" s="508">
        <v>6.3079999999999998</v>
      </c>
      <c r="I8789" s="508">
        <v>5.5609999999999999</v>
      </c>
      <c r="J8789" s="508">
        <v>4.992</v>
      </c>
      <c r="K8789" s="508">
        <v>4.55</v>
      </c>
      <c r="L8789" s="508">
        <v>4.2</v>
      </c>
      <c r="M8789" s="508">
        <v>3.9060000000000001</v>
      </c>
      <c r="N8789" s="508">
        <v>3.6640000000000001</v>
      </c>
      <c r="O8789" s="508">
        <v>3.4580000000000002</v>
      </c>
      <c r="P8789" s="508">
        <v>1.4910000000000001</v>
      </c>
      <c r="Q8789" s="508">
        <v>1.4079999999999999</v>
      </c>
      <c r="R8789" s="508">
        <v>1.1160000000000001</v>
      </c>
      <c r="S8789" s="508">
        <v>1.0449999999999999</v>
      </c>
      <c r="T8789" s="508">
        <v>0.97199999999999998</v>
      </c>
      <c r="U8789" s="508">
        <v>0.72599999999999998</v>
      </c>
      <c r="V8789" s="508">
        <v>0.60199999999999998</v>
      </c>
      <c r="W8789" s="508">
        <v>0.53800000000000003</v>
      </c>
      <c r="X8789" s="508">
        <v>0.44500000000000001</v>
      </c>
      <c r="Y8789" s="508">
        <v>0.39600000000000002</v>
      </c>
      <c r="Z8789" s="508">
        <v>0.33800000000000002</v>
      </c>
      <c r="AA8789" s="508">
        <v>0.33300000000000002</v>
      </c>
      <c r="AB8789" s="508">
        <v>0.32300000000000001</v>
      </c>
      <c r="AC8789" s="508">
        <v>0.32</v>
      </c>
      <c r="AD8789" s="508">
        <v>0.311</v>
      </c>
      <c r="AE8789" s="508">
        <v>0.309</v>
      </c>
      <c r="AF8789" s="508">
        <v>0.30299999999999999</v>
      </c>
      <c r="AG8789" s="508">
        <v>0.30299999999999999</v>
      </c>
      <c r="AH8789" s="508">
        <v>0.30099999999999999</v>
      </c>
      <c r="AI8789" s="492">
        <v>0.3</v>
      </c>
      <c r="AJ8789" s="485"/>
    </row>
    <row r="8790" spans="2:41">
      <c r="B8790" s="136" t="s">
        <v>483</v>
      </c>
      <c r="C8790" s="132" t="s">
        <v>1376</v>
      </c>
      <c r="D8790" s="132" t="s">
        <v>1384</v>
      </c>
      <c r="E8790" s="508">
        <v>7.7990000000000004</v>
      </c>
      <c r="F8790" s="508">
        <v>7.5279999999999996</v>
      </c>
      <c r="G8790" s="508">
        <v>5.0519999999999996</v>
      </c>
      <c r="H8790" s="508">
        <v>4.08</v>
      </c>
      <c r="I8790" s="508">
        <v>3.3260000000000001</v>
      </c>
      <c r="J8790" s="508">
        <v>2.532</v>
      </c>
      <c r="K8790" s="508">
        <v>2.29</v>
      </c>
      <c r="L8790" s="508">
        <v>2.5619999999999998</v>
      </c>
      <c r="M8790" s="508">
        <v>1.8720000000000001</v>
      </c>
      <c r="N8790" s="508">
        <v>1.8080000000000001</v>
      </c>
      <c r="O8790" s="508">
        <v>1.577</v>
      </c>
      <c r="P8790" s="508">
        <v>0.66300000000000003</v>
      </c>
      <c r="Q8790" s="508">
        <v>0.76</v>
      </c>
      <c r="R8790" s="508">
        <v>0.40400000000000003</v>
      </c>
      <c r="S8790" s="508">
        <v>0.52300000000000002</v>
      </c>
      <c r="T8790" s="508">
        <v>0.371</v>
      </c>
      <c r="U8790" s="508">
        <v>0.25</v>
      </c>
      <c r="V8790" s="508">
        <v>0.32400000000000001</v>
      </c>
      <c r="W8790" s="508">
        <v>0.24399999999999999</v>
      </c>
      <c r="X8790" s="508">
        <v>0.19900000000000001</v>
      </c>
      <c r="Y8790" s="508">
        <v>0.108</v>
      </c>
      <c r="Z8790" s="508">
        <v>0.10299999999999999</v>
      </c>
      <c r="AA8790" s="508">
        <v>7.0000000000000007E-2</v>
      </c>
      <c r="AB8790" s="508">
        <v>0.106</v>
      </c>
      <c r="AC8790" s="508">
        <v>0.11600000000000001</v>
      </c>
      <c r="AD8790" s="508">
        <v>0.14599999999999999</v>
      </c>
      <c r="AE8790" s="508">
        <v>0.128</v>
      </c>
      <c r="AF8790" s="508">
        <v>0.126</v>
      </c>
      <c r="AG8790" s="508">
        <v>0.126</v>
      </c>
      <c r="AH8790" s="508">
        <v>0.125</v>
      </c>
      <c r="AI8790" s="492">
        <v>0.125</v>
      </c>
      <c r="AJ8790" s="485"/>
    </row>
    <row r="8791" spans="2:41">
      <c r="B8791" s="136" t="s">
        <v>484</v>
      </c>
      <c r="C8791" s="132" t="s">
        <v>1376</v>
      </c>
      <c r="D8791" s="132" t="s">
        <v>1384</v>
      </c>
      <c r="E8791" s="508">
        <v>6.8330000000000002</v>
      </c>
      <c r="F8791" s="508">
        <v>5.3659999999999997</v>
      </c>
      <c r="G8791" s="508">
        <v>4.4660000000000002</v>
      </c>
      <c r="H8791" s="508">
        <v>3.859</v>
      </c>
      <c r="I8791" s="508">
        <v>3.4220000000000002</v>
      </c>
      <c r="J8791" s="508">
        <v>3.0920000000000001</v>
      </c>
      <c r="K8791" s="508">
        <v>2.835</v>
      </c>
      <c r="L8791" s="508">
        <v>2.6280000000000001</v>
      </c>
      <c r="M8791" s="508">
        <v>2.4580000000000002</v>
      </c>
      <c r="N8791" s="508">
        <v>2.3159999999999998</v>
      </c>
      <c r="O8791" s="508">
        <v>2.1960000000000002</v>
      </c>
      <c r="P8791" s="508">
        <v>0.90700000000000003</v>
      </c>
      <c r="Q8791" s="508">
        <v>0.86899999999999999</v>
      </c>
      <c r="R8791" s="508">
        <v>0.75700000000000001</v>
      </c>
      <c r="S8791" s="508">
        <v>0.72399999999999998</v>
      </c>
      <c r="T8791" s="508">
        <v>0.67500000000000004</v>
      </c>
      <c r="U8791" s="508">
        <v>0.498</v>
      </c>
      <c r="V8791" s="508">
        <v>0.41399999999999998</v>
      </c>
      <c r="W8791" s="508">
        <v>0.371</v>
      </c>
      <c r="X8791" s="508">
        <v>0.308</v>
      </c>
      <c r="Y8791" s="508">
        <v>0.27500000000000002</v>
      </c>
      <c r="Z8791" s="508">
        <v>0.23300000000000001</v>
      </c>
      <c r="AA8791" s="508">
        <v>0.23100000000000001</v>
      </c>
      <c r="AB8791" s="508">
        <v>0.22500000000000001</v>
      </c>
      <c r="AC8791" s="508">
        <v>0.223</v>
      </c>
      <c r="AD8791" s="508">
        <v>0.218</v>
      </c>
      <c r="AE8791" s="508">
        <v>0.217</v>
      </c>
      <c r="AF8791" s="508">
        <v>0.21299999999999999</v>
      </c>
      <c r="AG8791" s="508">
        <v>0.21299999999999999</v>
      </c>
      <c r="AH8791" s="508">
        <v>0.21099999999999999</v>
      </c>
      <c r="AI8791" s="492">
        <v>0.21099999999999999</v>
      </c>
      <c r="AJ8791" s="485"/>
    </row>
    <row r="8792" spans="2:41">
      <c r="B8792" s="136" t="s">
        <v>486</v>
      </c>
      <c r="C8792" s="132" t="s">
        <v>1376</v>
      </c>
      <c r="D8792" s="132" t="s">
        <v>1384</v>
      </c>
      <c r="E8792" s="508">
        <v>9.7490000000000006</v>
      </c>
      <c r="F8792" s="508">
        <v>7.6109999999999998</v>
      </c>
      <c r="G8792" s="508">
        <v>6.2949999999999999</v>
      </c>
      <c r="H8792" s="508">
        <v>5.4089999999999998</v>
      </c>
      <c r="I8792" s="508">
        <v>4.7709999999999999</v>
      </c>
      <c r="J8792" s="508">
        <v>4.2880000000000003</v>
      </c>
      <c r="K8792" s="508">
        <v>3.911</v>
      </c>
      <c r="L8792" s="508">
        <v>3.6110000000000002</v>
      </c>
      <c r="M8792" s="508">
        <v>3.3610000000000002</v>
      </c>
      <c r="N8792" s="508">
        <v>3.1539999999999999</v>
      </c>
      <c r="O8792" s="508">
        <v>2.9790000000000001</v>
      </c>
      <c r="P8792" s="508">
        <v>1.218</v>
      </c>
      <c r="Q8792" s="508">
        <v>1.155</v>
      </c>
      <c r="R8792" s="508">
        <v>0.95599999999999996</v>
      </c>
      <c r="S8792" s="508">
        <v>0.90300000000000002</v>
      </c>
      <c r="T8792" s="508">
        <v>0.83699999999999997</v>
      </c>
      <c r="U8792" s="508">
        <v>0.61499999999999999</v>
      </c>
      <c r="V8792" s="508">
        <v>0.51200000000000001</v>
      </c>
      <c r="W8792" s="508">
        <v>0.45800000000000002</v>
      </c>
      <c r="X8792" s="508">
        <v>0.377</v>
      </c>
      <c r="Y8792" s="508">
        <v>0.33600000000000002</v>
      </c>
      <c r="Z8792" s="508">
        <v>0.28399999999999997</v>
      </c>
      <c r="AA8792" s="508">
        <v>0.28000000000000003</v>
      </c>
      <c r="AB8792" s="508">
        <v>0.27100000000000002</v>
      </c>
      <c r="AC8792" s="508">
        <v>0.26800000000000002</v>
      </c>
      <c r="AD8792" s="508">
        <v>0.26100000000000001</v>
      </c>
      <c r="AE8792" s="508">
        <v>0.25900000000000001</v>
      </c>
      <c r="AF8792" s="508">
        <v>0.254</v>
      </c>
      <c r="AG8792" s="508">
        <v>0.254</v>
      </c>
      <c r="AH8792" s="508">
        <v>0.252</v>
      </c>
      <c r="AI8792" s="492">
        <v>0.251</v>
      </c>
      <c r="AJ8792" s="485"/>
    </row>
    <row r="8793" spans="2:41">
      <c r="B8793" s="136" t="s">
        <v>487</v>
      </c>
      <c r="C8793" s="132" t="s">
        <v>1376</v>
      </c>
      <c r="D8793" s="132" t="s">
        <v>1384</v>
      </c>
      <c r="E8793" s="508">
        <v>7.9770000000000003</v>
      </c>
      <c r="F8793" s="508">
        <v>7.6669999999999998</v>
      </c>
      <c r="G8793" s="508">
        <v>5.1459999999999999</v>
      </c>
      <c r="H8793" s="508">
        <v>4.1470000000000002</v>
      </c>
      <c r="I8793" s="508">
        <v>3.3730000000000002</v>
      </c>
      <c r="J8793" s="508">
        <v>2.5649999999999999</v>
      </c>
      <c r="K8793" s="508">
        <v>2.3159999999999998</v>
      </c>
      <c r="L8793" s="508">
        <v>2.5819999999999999</v>
      </c>
      <c r="M8793" s="508">
        <v>1.885</v>
      </c>
      <c r="N8793" s="508">
        <v>1.8160000000000001</v>
      </c>
      <c r="O8793" s="508">
        <v>1.5820000000000001</v>
      </c>
      <c r="P8793" s="508">
        <v>0.64</v>
      </c>
      <c r="Q8793" s="508">
        <v>0.73299999999999998</v>
      </c>
      <c r="R8793" s="508">
        <v>0.39500000000000002</v>
      </c>
      <c r="S8793" s="508">
        <v>0.51200000000000001</v>
      </c>
      <c r="T8793" s="508">
        <v>0.36199999999999999</v>
      </c>
      <c r="U8793" s="508">
        <v>0.24299999999999999</v>
      </c>
      <c r="V8793" s="508">
        <v>0.315</v>
      </c>
      <c r="W8793" s="508">
        <v>0.23699999999999999</v>
      </c>
      <c r="X8793" s="508">
        <v>0.191</v>
      </c>
      <c r="Y8793" s="508">
        <v>0.104</v>
      </c>
      <c r="Z8793" s="508">
        <v>9.9000000000000005E-2</v>
      </c>
      <c r="AA8793" s="508">
        <v>6.7000000000000004E-2</v>
      </c>
      <c r="AB8793" s="508">
        <v>0.10100000000000001</v>
      </c>
      <c r="AC8793" s="508">
        <v>0.11</v>
      </c>
      <c r="AD8793" s="508">
        <v>0.13800000000000001</v>
      </c>
      <c r="AE8793" s="508">
        <v>0.122</v>
      </c>
      <c r="AF8793" s="508">
        <v>0.11899999999999999</v>
      </c>
      <c r="AG8793" s="508">
        <v>0.11899999999999999</v>
      </c>
      <c r="AH8793" s="508">
        <v>0.11799999999999999</v>
      </c>
      <c r="AI8793" s="492">
        <v>0.11799999999999999</v>
      </c>
      <c r="AJ8793" s="485"/>
    </row>
    <row r="8794" spans="2:41">
      <c r="B8794" s="136" t="s">
        <v>488</v>
      </c>
      <c r="C8794" s="132" t="s">
        <v>1376</v>
      </c>
      <c r="D8794" s="132" t="s">
        <v>1384</v>
      </c>
      <c r="E8794" s="508">
        <v>8.3859999999999992</v>
      </c>
      <c r="F8794" s="508">
        <v>6.5739999999999998</v>
      </c>
      <c r="G8794" s="508">
        <v>5.4539999999999997</v>
      </c>
      <c r="H8794" s="508">
        <v>4.702</v>
      </c>
      <c r="I8794" s="508">
        <v>4.1619999999999999</v>
      </c>
      <c r="J8794" s="508">
        <v>3.7509999999999999</v>
      </c>
      <c r="K8794" s="508">
        <v>3.4329999999999998</v>
      </c>
      <c r="L8794" s="508">
        <v>3.1789999999999998</v>
      </c>
      <c r="M8794" s="508">
        <v>2.9660000000000002</v>
      </c>
      <c r="N8794" s="508">
        <v>2.7919999999999998</v>
      </c>
      <c r="O8794" s="508">
        <v>2.6429999999999998</v>
      </c>
      <c r="P8794" s="508">
        <v>1.1180000000000001</v>
      </c>
      <c r="Q8794" s="508">
        <v>1.0669999999999999</v>
      </c>
      <c r="R8794" s="508">
        <v>0.90800000000000003</v>
      </c>
      <c r="S8794" s="508">
        <v>0.86499999999999999</v>
      </c>
      <c r="T8794" s="508">
        <v>0.80700000000000005</v>
      </c>
      <c r="U8794" s="508">
        <v>0.60099999999999998</v>
      </c>
      <c r="V8794" s="508">
        <v>0.498</v>
      </c>
      <c r="W8794" s="508">
        <v>0.44500000000000001</v>
      </c>
      <c r="X8794" s="508">
        <v>0.37</v>
      </c>
      <c r="Y8794" s="508">
        <v>0.32900000000000001</v>
      </c>
      <c r="Z8794" s="508">
        <v>0.28100000000000003</v>
      </c>
      <c r="AA8794" s="508">
        <v>0.27700000000000002</v>
      </c>
      <c r="AB8794" s="508">
        <v>0.26900000000000002</v>
      </c>
      <c r="AC8794" s="508">
        <v>0.26700000000000002</v>
      </c>
      <c r="AD8794" s="508">
        <v>0.26100000000000001</v>
      </c>
      <c r="AE8794" s="508">
        <v>0.26</v>
      </c>
      <c r="AF8794" s="508">
        <v>0.255</v>
      </c>
      <c r="AG8794" s="508">
        <v>0.255</v>
      </c>
      <c r="AH8794" s="508">
        <v>0.253</v>
      </c>
      <c r="AI8794" s="492">
        <v>0.252</v>
      </c>
      <c r="AJ8794" s="485"/>
    </row>
    <row r="8795" spans="2:41">
      <c r="B8795" s="136" t="s">
        <v>489</v>
      </c>
      <c r="C8795" s="132" t="s">
        <v>1376</v>
      </c>
      <c r="D8795" s="132" t="s">
        <v>1384</v>
      </c>
      <c r="E8795" s="508">
        <v>7.6029999999999998</v>
      </c>
      <c r="F8795" s="508">
        <v>5.96</v>
      </c>
      <c r="G8795" s="508">
        <v>4.9539999999999997</v>
      </c>
      <c r="H8795" s="508">
        <v>4.2759999999999998</v>
      </c>
      <c r="I8795" s="508">
        <v>3.7869999999999999</v>
      </c>
      <c r="J8795" s="508">
        <v>3.4169999999999998</v>
      </c>
      <c r="K8795" s="508">
        <v>3.129</v>
      </c>
      <c r="L8795" s="508">
        <v>2.8980000000000001</v>
      </c>
      <c r="M8795" s="508">
        <v>2.7069999999999999</v>
      </c>
      <c r="N8795" s="508">
        <v>2.5489999999999999</v>
      </c>
      <c r="O8795" s="508">
        <v>2.415</v>
      </c>
      <c r="P8795" s="508">
        <v>0.99299999999999999</v>
      </c>
      <c r="Q8795" s="508">
        <v>0.94899999999999995</v>
      </c>
      <c r="R8795" s="508">
        <v>0.82</v>
      </c>
      <c r="S8795" s="508">
        <v>0.78300000000000003</v>
      </c>
      <c r="T8795" s="508">
        <v>0.72799999999999998</v>
      </c>
      <c r="U8795" s="508">
        <v>0.53500000000000003</v>
      </c>
      <c r="V8795" s="508">
        <v>0.44500000000000001</v>
      </c>
      <c r="W8795" s="508">
        <v>0.39800000000000002</v>
      </c>
      <c r="X8795" s="508">
        <v>0.33100000000000002</v>
      </c>
      <c r="Y8795" s="508">
        <v>0.29499999999999998</v>
      </c>
      <c r="Z8795" s="508">
        <v>0.25</v>
      </c>
      <c r="AA8795" s="508">
        <v>0.246</v>
      </c>
      <c r="AB8795" s="508">
        <v>0.24</v>
      </c>
      <c r="AC8795" s="508">
        <v>0.23799999999999999</v>
      </c>
      <c r="AD8795" s="508">
        <v>0.23200000000000001</v>
      </c>
      <c r="AE8795" s="508">
        <v>0.23100000000000001</v>
      </c>
      <c r="AF8795" s="508">
        <v>0.22700000000000001</v>
      </c>
      <c r="AG8795" s="508">
        <v>0.22700000000000001</v>
      </c>
      <c r="AH8795" s="508">
        <v>0.22500000000000001</v>
      </c>
      <c r="AI8795" s="492">
        <v>0.224</v>
      </c>
      <c r="AJ8795" s="485"/>
    </row>
    <row r="8796" spans="2:41" ht="16" thickBot="1">
      <c r="B8796" s="143" t="s">
        <v>490</v>
      </c>
      <c r="C8796" s="145" t="s">
        <v>1376</v>
      </c>
      <c r="D8796" s="145" t="s">
        <v>1384</v>
      </c>
      <c r="E8796" s="1088">
        <v>5.5289999999999999</v>
      </c>
      <c r="F8796" s="1088">
        <v>5.3639999999999999</v>
      </c>
      <c r="G8796" s="1088">
        <v>3.6179999999999999</v>
      </c>
      <c r="H8796" s="1088">
        <v>2.9350000000000001</v>
      </c>
      <c r="I8796" s="1088">
        <v>2.4039999999999999</v>
      </c>
      <c r="J8796" s="1088">
        <v>1.8380000000000001</v>
      </c>
      <c r="K8796" s="1088">
        <v>1.669</v>
      </c>
      <c r="L8796" s="1088">
        <v>1.873</v>
      </c>
      <c r="M8796" s="1088">
        <v>1.3740000000000001</v>
      </c>
      <c r="N8796" s="1088">
        <v>1.331</v>
      </c>
      <c r="O8796" s="1088">
        <v>1.165</v>
      </c>
      <c r="P8796" s="1088">
        <v>0.503</v>
      </c>
      <c r="Q8796" s="1088">
        <v>0.58099999999999996</v>
      </c>
      <c r="R8796" s="1088">
        <v>0.31900000000000001</v>
      </c>
      <c r="S8796" s="1088">
        <v>0.41699999999999998</v>
      </c>
      <c r="T8796" s="1088">
        <v>0.29699999999999999</v>
      </c>
      <c r="U8796" s="1088">
        <v>0.20300000000000001</v>
      </c>
      <c r="V8796" s="1088">
        <v>0.26200000000000001</v>
      </c>
      <c r="W8796" s="1088">
        <v>0.19700000000000001</v>
      </c>
      <c r="X8796" s="1088">
        <v>0.16200000000000001</v>
      </c>
      <c r="Y8796" s="1088">
        <v>8.7999999999999995E-2</v>
      </c>
      <c r="Z8796" s="1088">
        <v>8.5000000000000006E-2</v>
      </c>
      <c r="AA8796" s="1088">
        <v>5.7000000000000002E-2</v>
      </c>
      <c r="AB8796" s="1088">
        <v>8.7999999999999995E-2</v>
      </c>
      <c r="AC8796" s="1088">
        <v>9.6000000000000002E-2</v>
      </c>
      <c r="AD8796" s="1088">
        <v>0.122</v>
      </c>
      <c r="AE8796" s="1088">
        <v>0.107</v>
      </c>
      <c r="AF8796" s="1088">
        <v>0.105</v>
      </c>
      <c r="AG8796" s="1088">
        <v>0.105</v>
      </c>
      <c r="AH8796" s="1088">
        <v>0.105</v>
      </c>
      <c r="AI8796" s="517">
        <v>0.104</v>
      </c>
      <c r="AJ8796" s="485"/>
    </row>
    <row r="8797" spans="2:41">
      <c r="E8797" s="485"/>
      <c r="F8797" s="485"/>
      <c r="G8797" s="485"/>
      <c r="H8797" s="485"/>
      <c r="I8797" s="485"/>
      <c r="J8797" s="485"/>
      <c r="K8797" s="485"/>
      <c r="L8797" s="485"/>
      <c r="M8797" s="485"/>
      <c r="N8797" s="485"/>
      <c r="O8797" s="485"/>
      <c r="P8797" s="485"/>
      <c r="Q8797" s="485"/>
      <c r="R8797" s="485"/>
      <c r="S8797" s="485"/>
      <c r="T8797" s="485"/>
      <c r="U8797" s="485"/>
      <c r="V8797" s="485"/>
      <c r="W8797" s="485"/>
      <c r="X8797" s="485"/>
      <c r="Y8797" s="485"/>
      <c r="Z8797" s="485"/>
      <c r="AA8797" s="485"/>
      <c r="AB8797" s="485"/>
      <c r="AC8797" s="485"/>
      <c r="AD8797" s="485"/>
      <c r="AE8797" s="485"/>
      <c r="AF8797" s="485"/>
      <c r="AG8797" s="485"/>
      <c r="AH8797" s="485"/>
      <c r="AI8797" s="485"/>
      <c r="AJ8797" s="485"/>
      <c r="AK8797" s="485"/>
      <c r="AL8797" s="485"/>
      <c r="AM8797" s="485"/>
      <c r="AN8797" s="485"/>
      <c r="AO8797" s="485"/>
    </row>
    <row r="8798" spans="2:41">
      <c r="E8798" s="485"/>
      <c r="F8798" s="485"/>
      <c r="G8798" s="485"/>
      <c r="H8798" s="485"/>
      <c r="I8798" s="485"/>
      <c r="J8798" s="485"/>
      <c r="K8798" s="485"/>
      <c r="L8798" s="485"/>
      <c r="M8798" s="485"/>
      <c r="N8798" s="485"/>
      <c r="O8798" s="485"/>
      <c r="P8798" s="485"/>
      <c r="Q8798" s="485"/>
      <c r="R8798" s="485"/>
      <c r="S8798" s="485"/>
      <c r="T8798" s="485"/>
      <c r="U8798" s="485"/>
      <c r="V8798" s="485"/>
      <c r="W8798" s="485"/>
      <c r="X8798" s="485"/>
      <c r="Y8798" s="485"/>
      <c r="Z8798" s="485"/>
      <c r="AA8798" s="485"/>
      <c r="AB8798" s="485"/>
      <c r="AC8798" s="485"/>
      <c r="AD8798" s="485"/>
      <c r="AE8798" s="485"/>
      <c r="AF8798" s="485"/>
      <c r="AG8798" s="485"/>
      <c r="AH8798" s="485"/>
      <c r="AI8798" s="485"/>
      <c r="AJ8798" s="485"/>
      <c r="AK8798" s="485"/>
      <c r="AL8798" s="485"/>
      <c r="AM8798" s="485"/>
      <c r="AN8798" s="485"/>
      <c r="AO8798" s="485"/>
    </row>
    <row r="8799" spans="2:41">
      <c r="E8799" s="485"/>
      <c r="F8799" s="485"/>
      <c r="G8799" s="485"/>
      <c r="H8799" s="485"/>
      <c r="I8799" s="485"/>
      <c r="J8799" s="485"/>
      <c r="K8799" s="485"/>
      <c r="L8799" s="485"/>
      <c r="M8799" s="485"/>
      <c r="N8799" s="485"/>
      <c r="O8799" s="485"/>
      <c r="P8799" s="485"/>
      <c r="Q8799" s="485"/>
      <c r="R8799" s="485"/>
      <c r="S8799" s="485"/>
      <c r="T8799" s="485"/>
      <c r="U8799" s="485"/>
      <c r="V8799" s="485"/>
      <c r="W8799" s="485"/>
      <c r="X8799" s="485"/>
      <c r="Y8799" s="485"/>
      <c r="Z8799" s="485"/>
      <c r="AA8799" s="485"/>
      <c r="AB8799" s="485"/>
      <c r="AC8799" s="485"/>
      <c r="AD8799" s="485"/>
      <c r="AE8799" s="485"/>
      <c r="AF8799" s="485"/>
      <c r="AG8799" s="485"/>
      <c r="AH8799" s="485"/>
      <c r="AI8799" s="485"/>
      <c r="AJ8799" s="485"/>
      <c r="AK8799" s="485"/>
      <c r="AL8799" s="485"/>
      <c r="AM8799" s="485"/>
      <c r="AN8799" s="485"/>
      <c r="AO8799" s="485"/>
    </row>
    <row r="8802" spans="2:43" ht="16" thickBot="1">
      <c r="B8802" s="244" t="s">
        <v>1385</v>
      </c>
    </row>
    <row r="8803" spans="2:43">
      <c r="B8803" s="1089" t="s">
        <v>407</v>
      </c>
      <c r="C8803" s="1090" t="s">
        <v>1360</v>
      </c>
      <c r="D8803" s="1090" t="s">
        <v>1361</v>
      </c>
      <c r="E8803" s="1090">
        <v>1985</v>
      </c>
      <c r="F8803" s="1090">
        <v>1986</v>
      </c>
      <c r="G8803" s="1090">
        <v>1987</v>
      </c>
      <c r="H8803" s="1090">
        <v>1988</v>
      </c>
      <c r="I8803" s="1090">
        <v>1989</v>
      </c>
      <c r="J8803" s="1090">
        <v>1990</v>
      </c>
      <c r="K8803" s="1090">
        <v>1991</v>
      </c>
      <c r="L8803" s="1090">
        <v>1992</v>
      </c>
      <c r="M8803" s="1090">
        <v>1993</v>
      </c>
      <c r="N8803" s="1090">
        <v>1994</v>
      </c>
      <c r="O8803" s="1090">
        <v>1995</v>
      </c>
      <c r="P8803" s="1090">
        <v>1996</v>
      </c>
      <c r="Q8803" s="1090">
        <v>1997</v>
      </c>
      <c r="R8803" s="1090">
        <v>1998</v>
      </c>
      <c r="S8803" s="1090">
        <v>1999</v>
      </c>
      <c r="T8803" s="1090">
        <v>2000</v>
      </c>
      <c r="U8803" s="1090">
        <v>2001</v>
      </c>
      <c r="V8803" s="1090">
        <v>2002</v>
      </c>
      <c r="W8803" s="1090">
        <v>2003</v>
      </c>
      <c r="X8803" s="1090">
        <v>2004</v>
      </c>
      <c r="Y8803" s="1090">
        <v>2005</v>
      </c>
      <c r="Z8803" s="1090">
        <v>2006</v>
      </c>
      <c r="AA8803" s="1090">
        <v>2007</v>
      </c>
      <c r="AB8803" s="1090">
        <v>2008</v>
      </c>
      <c r="AC8803" s="1090">
        <v>2009</v>
      </c>
      <c r="AD8803" s="1090">
        <v>2010</v>
      </c>
      <c r="AE8803" s="1090">
        <v>2011</v>
      </c>
      <c r="AF8803" s="1090">
        <v>2012</v>
      </c>
      <c r="AG8803" s="1090">
        <v>2013</v>
      </c>
      <c r="AH8803" s="1090">
        <v>2014</v>
      </c>
      <c r="AI8803" s="1090">
        <v>2015</v>
      </c>
      <c r="AJ8803" s="1090" t="s">
        <v>1386</v>
      </c>
      <c r="AK8803" s="1091">
        <v>2016</v>
      </c>
      <c r="AL8803" s="1091">
        <v>2017</v>
      </c>
      <c r="AM8803" s="1091">
        <v>2018</v>
      </c>
      <c r="AN8803" s="1091">
        <v>2019</v>
      </c>
      <c r="AO8803" s="1091">
        <v>2020</v>
      </c>
      <c r="AP8803" s="520"/>
      <c r="AQ8803" s="628"/>
    </row>
    <row r="8804" spans="2:43">
      <c r="B8804" s="136" t="str">
        <f t="shared" ref="B8804:B8835" si="178">state_name</f>
        <v>ILLINOIS</v>
      </c>
      <c r="C8804" s="132" t="s">
        <v>1362</v>
      </c>
      <c r="D8804" s="132" t="s">
        <v>282</v>
      </c>
      <c r="E8804" s="508">
        <f t="array" ref="E8804">INDEX(E$1861:E$2727,MATCH($B8804&amp;$C8804,$B$1861:$B$2727&amp;$C$1861:$C$2727,0))</f>
        <v>7.9260000000000002</v>
      </c>
      <c r="F8804" s="508">
        <f t="array" ref="F8804">INDEX(F$1861:F$2727,MATCH($B8804&amp;$C8804,$B$1861:$B$2727&amp;$C$1861:$C$2727,0))</f>
        <v>7.5659999999999998</v>
      </c>
      <c r="G8804" s="508">
        <f t="array" ref="G8804">INDEX(G$1861:G$2727,MATCH($B8804&amp;$C8804,$B$1861:$B$2727&amp;$C$1861:$C$2727,0))</f>
        <v>7.3999999999999995</v>
      </c>
      <c r="H8804" s="508">
        <f t="array" ref="H8804">INDEX(H$1861:H$2727,MATCH($B8804&amp;$C8804,$B$1861:$B$2727&amp;$C$1861:$C$2727,0))</f>
        <v>7.2930000000000001</v>
      </c>
      <c r="I8804" s="508">
        <f t="array" ref="I8804">INDEX(I$1861:I$2727,MATCH($B8804&amp;$C8804,$B$1861:$B$2727&amp;$C$1861:$C$2727,0))</f>
        <v>7.165</v>
      </c>
      <c r="J8804" s="508">
        <f t="array" ref="J8804">INDEX(J$1861:J$2727,MATCH($B8804&amp;$C8804,$B$1861:$B$2727&amp;$C$1861:$C$2727,0))</f>
        <v>6.9850000000000003</v>
      </c>
      <c r="K8804" s="508">
        <f t="array" ref="K8804">INDEX(K$1861:K$2727,MATCH($B8804&amp;$C8804,$B$1861:$B$2727&amp;$C$1861:$C$2727,0))</f>
        <v>7.0970000000000004</v>
      </c>
      <c r="L8804" s="508">
        <f t="array" ref="L8804">INDEX(L$1861:L$2727,MATCH($B8804&amp;$C8804,$B$1861:$B$2727&amp;$C$1861:$C$2727,0))</f>
        <v>7.0660000000000007</v>
      </c>
      <c r="M8804" s="508">
        <f t="array" ref="M8804">INDEX(M$1861:M$2727,MATCH($B8804&amp;$C8804,$B$1861:$B$2727&amp;$C$1861:$C$2727,0))</f>
        <v>6.944</v>
      </c>
      <c r="N8804" s="508">
        <f t="array" ref="N8804">INDEX(N$1861:N$2727,MATCH($B8804&amp;$C8804,$B$1861:$B$2727&amp;$C$1861:$C$2727,0))</f>
        <v>6.9989999999999997</v>
      </c>
      <c r="O8804" s="508">
        <f t="array" ref="O8804">INDEX(O$1861:O$2727,MATCH($B8804&amp;$C8804,$B$1861:$B$2727&amp;$C$1861:$C$2727,0))</f>
        <v>6.9729999999999999</v>
      </c>
      <c r="P8804" s="508">
        <f t="array" ref="P8804">INDEX(P$1861:P$2727,MATCH($B8804&amp;$C8804,$B$1861:$B$2727&amp;$C$1861:$C$2727,0))</f>
        <v>6.9290000000000003</v>
      </c>
      <c r="Q8804" s="508">
        <f t="array" ref="Q8804">INDEX(Q$1861:Q$2727,MATCH($B8804&amp;$C8804,$B$1861:$B$2727&amp;$C$1861:$C$2727,0))</f>
        <v>6.9470000000000001</v>
      </c>
      <c r="R8804" s="508">
        <f t="array" ref="R8804">INDEX(R$1861:R$2727,MATCH($B8804&amp;$C8804,$B$1861:$B$2727&amp;$C$1861:$C$2727,0))</f>
        <v>6.9060000000000006</v>
      </c>
      <c r="S8804" s="508">
        <f t="array" ref="S8804">INDEX(S$1861:S$2727,MATCH($B8804&amp;$C8804,$B$1861:$B$2727&amp;$C$1861:$C$2727,0))</f>
        <v>6.9479999999999995</v>
      </c>
      <c r="T8804" s="508">
        <f t="array" ref="T8804">INDEX(T$1861:T$2727,MATCH($B8804&amp;$C8804,$B$1861:$B$2727&amp;$C$1861:$C$2727,0))</f>
        <v>6.9390000000000001</v>
      </c>
      <c r="U8804" s="508">
        <f t="array" ref="U8804">INDEX(U$1861:U$2727,MATCH($B8804&amp;$C8804,$B$1861:$B$2727&amp;$C$1861:$C$2727,0))</f>
        <v>6.8879999999999999</v>
      </c>
      <c r="V8804" s="508">
        <f t="array" ref="V8804">INDEX(V$1861:V$2727,MATCH($B8804&amp;$C8804,$B$1861:$B$2727&amp;$C$1861:$C$2727,0))</f>
        <v>6.8540000000000001</v>
      </c>
      <c r="W8804" s="508">
        <f t="array" ref="W8804">INDEX(W$1861:W$2727,MATCH($B8804&amp;$C8804,$B$1861:$B$2727&amp;$C$1861:$C$2727,0))</f>
        <v>3.3650000000000002</v>
      </c>
      <c r="X8804" s="508">
        <f t="array" ref="X8804">INDEX(X$1861:X$2727,MATCH($B8804&amp;$C8804,$B$1861:$B$2727&amp;$C$1861:$C$2727,0))</f>
        <v>3.3649999999999998</v>
      </c>
      <c r="Y8804" s="508">
        <f t="array" ref="Y8804">INDEX(Y$1861:Y$2727,MATCH($B8804&amp;$C8804,$B$1861:$B$2727&amp;$C$1861:$C$2727,0))</f>
        <v>3.3530000000000002</v>
      </c>
      <c r="Z8804" s="508">
        <f t="array" ref="Z8804">INDEX(Z$1861:Z$2727,MATCH($B8804&amp;$C8804,$B$1861:$B$2727&amp;$C$1861:$C$2727,0))</f>
        <v>3.3439999999999999</v>
      </c>
      <c r="AA8804" s="508">
        <f t="array" ref="AA8804">INDEX(AA$1861:AA$2727,MATCH($B8804&amp;$C8804,$B$1861:$B$2727&amp;$C$1861:$C$2727,0))</f>
        <v>0.97899999999999998</v>
      </c>
      <c r="AB8804" s="508">
        <f t="array" ref="AB8804">INDEX(AB$1861:AB$2727,MATCH($B8804&amp;$C8804,$B$1861:$B$2727&amp;$C$1861:$C$2727,0))</f>
        <v>0.97399999999999998</v>
      </c>
      <c r="AC8804" s="508">
        <f t="array" ref="AC8804">INDEX(AC$1861:AC$2727,MATCH($B8804&amp;$C8804,$B$1861:$B$2727&amp;$C$1861:$C$2727,0))</f>
        <v>0.96900000000000008</v>
      </c>
      <c r="AD8804" s="508">
        <f t="array" ref="AD8804">INDEX(AD$1861:AD$2727,MATCH($B8804&amp;$C8804,$B$1861:$B$2727&amp;$C$1861:$C$2727,0))</f>
        <v>0.70199999999999996</v>
      </c>
      <c r="AE8804" s="508">
        <f t="array" ref="AE8804">INDEX(AE$1861:AE$2727,MATCH($B8804&amp;$C8804,$B$1861:$B$2727&amp;$C$1861:$C$2727,0))</f>
        <v>0.69799999999999995</v>
      </c>
      <c r="AF8804" s="508">
        <f t="array" ref="AF8804">INDEX(AF$1861:AF$2727,MATCH($B8804&amp;$C8804,$B$1861:$B$2727&amp;$C$1861:$C$2727,0))</f>
        <v>0.626</v>
      </c>
      <c r="AG8804" s="508">
        <f t="array" ref="AG8804">INDEX(AG$1861:AG$2727,MATCH($B8804&amp;$C8804,$B$1861:$B$2727&amp;$C$1861:$C$2727,0))</f>
        <v>0.621</v>
      </c>
      <c r="AH8804" s="508">
        <f t="array" ref="AH8804">INDEX(AH$1861:AH$2727,MATCH($B8804&amp;$C8804,$B$1861:$B$2727&amp;$C$1861:$C$2727,0))</f>
        <v>0.61799999999999999</v>
      </c>
      <c r="AI8804" s="508">
        <f t="array" ref="AI8804">INDEX(AI$1861:AI$2727,MATCH($B8804&amp;$C8804,$B$1861:$B$2727&amp;$C$1861:$C$2727,0))</f>
        <v>0.61799999999999999</v>
      </c>
      <c r="AJ8804" s="508"/>
      <c r="AK8804" s="508">
        <f t="shared" ref="AK8804:AK8867" si="179">($AO8804-$AI8804)/5+AI8804</f>
        <v>0.61782664796633935</v>
      </c>
      <c r="AL8804" s="508">
        <f t="shared" ref="AL8804:AN8823" si="180">($AO8804-$AI8804)/5+AK8804</f>
        <v>0.6176532959326787</v>
      </c>
      <c r="AM8804" s="508">
        <f t="shared" si="180"/>
        <v>0.61747994389901806</v>
      </c>
      <c r="AN8804" s="508">
        <f t="shared" si="180"/>
        <v>0.61730659186535741</v>
      </c>
      <c r="AO8804" s="508">
        <f t="array" ref="AO8804">INDEX('GREET Fuel Attributes'!$E$8948:$E$9083,MATCH($C8804&amp;$D8804,'GREET Fuel Attributes'!$B$8948:$B$9083&amp;'GREET Fuel Attributes'!$C$8948:$C$9083,0))/INDEX('GREET Fuel Attributes'!$D$8948:$D$9083,MATCH($C8804&amp;$D8804,'GREET Fuel Attributes'!$B$8948:$B$9083&amp;'GREET Fuel Attributes'!$C$8948:$C$9083,0))*AI8804</f>
        <v>0.61713323983169699</v>
      </c>
      <c r="AP8804" s="132" t="s">
        <v>1387</v>
      </c>
      <c r="AQ8804" s="142" t="s">
        <v>315</v>
      </c>
    </row>
    <row r="8805" spans="2:43">
      <c r="B8805" s="136" t="str">
        <f t="shared" si="178"/>
        <v>ILLINOIS</v>
      </c>
      <c r="C8805" s="132" t="s">
        <v>1362</v>
      </c>
      <c r="D8805" s="132" t="s">
        <v>283</v>
      </c>
      <c r="E8805" s="508">
        <f t="array" ref="E8805">INDEX(E$2728:E$3594,MATCH($B8805&amp;$C8805,$B$2728:$B$3594&amp;$C$2728:$C$3594,0))</f>
        <v>41.650000000000006</v>
      </c>
      <c r="F8805" s="508">
        <f t="array" ref="F8805">INDEX(F$2728:F$3594,MATCH($B8805&amp;$C8805,$B$2728:$B$3594&amp;$C$2728:$C$3594,0))</f>
        <v>41.649000000000001</v>
      </c>
      <c r="G8805" s="508">
        <f t="array" ref="G8805">INDEX(G$2728:G$3594,MATCH($B8805&amp;$C8805,$B$2728:$B$3594&amp;$C$2728:$C$3594,0))</f>
        <v>41.650999999999996</v>
      </c>
      <c r="H8805" s="508">
        <f t="array" ref="H8805">INDEX(H$2728:H$3594,MATCH($B8805&amp;$C8805,$B$2728:$B$3594&amp;$C$2728:$C$3594,0))</f>
        <v>41.654000000000003</v>
      </c>
      <c r="I8805" s="508">
        <f t="array" ref="I8805">INDEX(I$2728:I$3594,MATCH($B8805&amp;$C8805,$B$2728:$B$3594&amp;$C$2728:$C$3594,0))</f>
        <v>41.649000000000001</v>
      </c>
      <c r="J8805" s="508">
        <f t="array" ref="J8805">INDEX(J$2728:J$3594,MATCH($B8805&amp;$C8805,$B$2728:$B$3594&amp;$C$2728:$C$3594,0))</f>
        <v>32.237000000000002</v>
      </c>
      <c r="K8805" s="508">
        <f t="array" ref="K8805">INDEX(K$2728:K$3594,MATCH($B8805&amp;$C8805,$B$2728:$B$3594&amp;$C$2728:$C$3594,0))</f>
        <v>30.3</v>
      </c>
      <c r="L8805" s="508">
        <f t="array" ref="L8805">INDEX(L$2728:L$3594,MATCH($B8805&amp;$C8805,$B$2728:$B$3594&amp;$C$2728:$C$3594,0))</f>
        <v>30.301000000000002</v>
      </c>
      <c r="M8805" s="508">
        <f t="array" ref="M8805">INDEX(M$2728:M$3594,MATCH($B8805&amp;$C8805,$B$2728:$B$3594&amp;$C$2728:$C$3594,0))</f>
        <v>30.279</v>
      </c>
      <c r="N8805" s="508">
        <f t="array" ref="N8805">INDEX(N$2728:N$3594,MATCH($B8805&amp;$C8805,$B$2728:$B$3594&amp;$C$2728:$C$3594,0))</f>
        <v>30.298000000000002</v>
      </c>
      <c r="O8805" s="508">
        <f t="array" ref="O8805">INDEX(O$2728:O$3594,MATCH($B8805&amp;$C8805,$B$2728:$B$3594&amp;$C$2728:$C$3594,0))</f>
        <v>30.295999999999999</v>
      </c>
      <c r="P8805" s="508">
        <f t="array" ref="P8805">INDEX(P$2728:P$3594,MATCH($B8805&amp;$C8805,$B$2728:$B$3594&amp;$C$2728:$C$3594,0))</f>
        <v>30.398</v>
      </c>
      <c r="Q8805" s="508">
        <f t="array" ref="Q8805">INDEX(Q$2728:Q$3594,MATCH($B8805&amp;$C8805,$B$2728:$B$3594&amp;$C$2728:$C$3594,0))</f>
        <v>30.406000000000002</v>
      </c>
      <c r="R8805" s="508">
        <f t="array" ref="R8805">INDEX(R$2728:R$3594,MATCH($B8805&amp;$C8805,$B$2728:$B$3594&amp;$C$2728:$C$3594,0))</f>
        <v>27.591000000000001</v>
      </c>
      <c r="S8805" s="508">
        <f t="array" ref="S8805">INDEX(S$2728:S$3594,MATCH($B8805&amp;$C8805,$B$2728:$B$3594&amp;$C$2728:$C$3594,0))</f>
        <v>21.100999999999999</v>
      </c>
      <c r="T8805" s="508">
        <f t="array" ref="T8805">INDEX(T$2728:T$3594,MATCH($B8805&amp;$C8805,$B$2728:$B$3594&amp;$C$2728:$C$3594,0))</f>
        <v>21.132000000000001</v>
      </c>
      <c r="U8805" s="508">
        <f t="array" ref="U8805">INDEX(U$2728:U$3594,MATCH($B8805&amp;$C8805,$B$2728:$B$3594&amp;$C$2728:$C$3594,0))</f>
        <v>20.998999999999999</v>
      </c>
      <c r="V8805" s="508">
        <f t="array" ref="V8805">INDEX(V$2728:V$3594,MATCH($B8805&amp;$C8805,$B$2728:$B$3594&amp;$C$2728:$C$3594,0))</f>
        <v>20.921000000000003</v>
      </c>
      <c r="W8805" s="508">
        <f t="array" ref="W8805">INDEX(W$2728:W$3594,MATCH($B8805&amp;$C8805,$B$2728:$B$3594&amp;$C$2728:$C$3594,0))</f>
        <v>11.137</v>
      </c>
      <c r="X8805" s="508">
        <f t="array" ref="X8805">INDEX(X$2728:X$3594,MATCH($B8805&amp;$C8805,$B$2728:$B$3594&amp;$C$2728:$C$3594,0))</f>
        <v>11.132000000000001</v>
      </c>
      <c r="Y8805" s="508">
        <f t="array" ref="Y8805">INDEX(Y$2728:Y$3594,MATCH($B8805&amp;$C8805,$B$2728:$B$3594&amp;$C$2728:$C$3594,0))</f>
        <v>11.135</v>
      </c>
      <c r="Z8805" s="508">
        <f t="array" ref="Z8805">INDEX(Z$2728:Z$3594,MATCH($B8805&amp;$C8805,$B$2728:$B$3594&amp;$C$2728:$C$3594,0))</f>
        <v>11.135999999999999</v>
      </c>
      <c r="AA8805" s="508">
        <f t="array" ref="AA8805">INDEX(AA$2728:AA$3594,MATCH($B8805&amp;$C8805,$B$2728:$B$3594&amp;$C$2728:$C$3594,0))</f>
        <v>8.0549999999999997</v>
      </c>
      <c r="AB8805" s="508">
        <f t="array" ref="AB8805">INDEX(AB$2728:AB$3594,MATCH($B8805&amp;$C8805,$B$2728:$B$3594&amp;$C$2728:$C$3594,0))</f>
        <v>8.0190000000000001</v>
      </c>
      <c r="AC8805" s="508">
        <f t="array" ref="AC8805">INDEX(AC$2728:AC$3594,MATCH($B8805&amp;$C8805,$B$2728:$B$3594&amp;$C$2728:$C$3594,0))</f>
        <v>8.0939999999999994</v>
      </c>
      <c r="AD8805" s="508">
        <f t="array" ref="AD8805">INDEX(AD$2728:AD$3594,MATCH($B8805&amp;$C8805,$B$2728:$B$3594&amp;$C$2728:$C$3594,0))</f>
        <v>2.3239999999999998</v>
      </c>
      <c r="AE8805" s="508">
        <f t="array" ref="AE8805">INDEX(AE$2728:AE$3594,MATCH($B8805&amp;$C8805,$B$2728:$B$3594&amp;$C$2728:$C$3594,0))</f>
        <v>2.3200000000000003</v>
      </c>
      <c r="AF8805" s="508">
        <f t="array" ref="AF8805">INDEX(AF$2728:AF$3594,MATCH($B8805&amp;$C8805,$B$2728:$B$3594&amp;$C$2728:$C$3594,0))</f>
        <v>1.7210000000000001</v>
      </c>
      <c r="AG8805" s="508">
        <f t="array" ref="AG8805">INDEX(AG$2728:AG$3594,MATCH($B8805&amp;$C8805,$B$2728:$B$3594&amp;$C$2728:$C$3594,0))</f>
        <v>1.673</v>
      </c>
      <c r="AH8805" s="508">
        <f t="array" ref="AH8805">INDEX(AH$2728:AH$3594,MATCH($B8805&amp;$C8805,$B$2728:$B$3594&amp;$C$2728:$C$3594,0))</f>
        <v>1.613</v>
      </c>
      <c r="AI8805" s="508">
        <f t="array" ref="AI8805">INDEX(AI$2728:AI$3594,MATCH($B8805&amp;$C8805,$B$2728:$B$3594&amp;$C$2728:$C$3594,0))</f>
        <v>1.613</v>
      </c>
      <c r="AJ8805" s="508"/>
      <c r="AK8805" s="508">
        <f t="shared" si="179"/>
        <v>1.6123533218785795</v>
      </c>
      <c r="AL8805" s="508">
        <f t="shared" si="180"/>
        <v>1.611706643757159</v>
      </c>
      <c r="AM8805" s="508">
        <f t="shared" si="180"/>
        <v>1.6110599656357385</v>
      </c>
      <c r="AN8805" s="508">
        <f t="shared" si="180"/>
        <v>1.610413287514318</v>
      </c>
      <c r="AO8805" s="508">
        <f t="array" ref="AO8805">INDEX('GREET Fuel Attributes'!$E$8948:$E$9083,MATCH($C8805&amp;$D8805,'GREET Fuel Attributes'!$B$8948:$B$9083&amp;'GREET Fuel Attributes'!$C$8948:$C$9083,0))/INDEX('GREET Fuel Attributes'!$D$8948:$D$9083,MATCH($C8805&amp;$D8805,'GREET Fuel Attributes'!$B$8948:$B$9083&amp;'GREET Fuel Attributes'!$C$8948:$C$9083,0))*AI8805</f>
        <v>1.609766609392898</v>
      </c>
      <c r="AP8805" s="132" t="s">
        <v>1387</v>
      </c>
      <c r="AQ8805" s="142" t="s">
        <v>315</v>
      </c>
    </row>
    <row r="8806" spans="2:43">
      <c r="B8806" s="136" t="str">
        <f t="shared" si="178"/>
        <v>ILLINOIS</v>
      </c>
      <c r="C8806" s="132" t="s">
        <v>1362</v>
      </c>
      <c r="D8806" s="132" t="s">
        <v>284</v>
      </c>
      <c r="E8806" s="508">
        <f t="array" ref="E8806">INDEX(E$3595:E$4461,MATCH($B8806&amp;$C8806,$B$3595:$B$4461&amp;$C$3595:$C$4461,0))</f>
        <v>3.4</v>
      </c>
      <c r="F8806" s="508">
        <f t="array" ref="F8806">INDEX(F$3595:F$4461,MATCH($B8806&amp;$C8806,$B$3595:$B$4461&amp;$C$3595:$C$4461,0))</f>
        <v>3.3919999999999999</v>
      </c>
      <c r="G8806" s="508">
        <f t="array" ref="G8806">INDEX(G$3595:G$4461,MATCH($B8806&amp;$C8806,$B$3595:$B$4461&amp;$C$3595:$C$4461,0))</f>
        <v>3.42</v>
      </c>
      <c r="H8806" s="508">
        <f t="array" ref="H8806">INDEX(H$3595:H$4461,MATCH($B8806&amp;$C8806,$B$3595:$B$4461&amp;$C$3595:$C$4461,0))</f>
        <v>1.284</v>
      </c>
      <c r="I8806" s="508">
        <f t="array" ref="I8806">INDEX(I$3595:I$4461,MATCH($B8806&amp;$C8806,$B$3595:$B$4461&amp;$C$3595:$C$4461,0))</f>
        <v>1.2929999999999999</v>
      </c>
      <c r="J8806" s="508">
        <f t="array" ref="J8806">INDEX(J$3595:J$4461,MATCH($B8806&amp;$C8806,$B$3595:$B$4461&amp;$C$3595:$C$4461,0))</f>
        <v>1.319</v>
      </c>
      <c r="K8806" s="508">
        <f t="array" ref="K8806">INDEX(K$3595:K$4461,MATCH($B8806&amp;$C8806,$B$3595:$B$4461&amp;$C$3595:$C$4461,0))</f>
        <v>1.3660000000000001</v>
      </c>
      <c r="L8806" s="508">
        <f t="array" ref="L8806">INDEX(L$3595:L$4461,MATCH($B8806&amp;$C8806,$B$3595:$B$4461&amp;$C$3595:$C$4461,0))</f>
        <v>1.367</v>
      </c>
      <c r="M8806" s="508">
        <f t="array" ref="M8806">INDEX(M$3595:M$4461,MATCH($B8806&amp;$C8806,$B$3595:$B$4461&amp;$C$3595:$C$4461,0))</f>
        <v>1.353</v>
      </c>
      <c r="N8806" s="508">
        <f t="array" ref="N8806">INDEX(N$3595:N$4461,MATCH($B8806&amp;$C8806,$B$3595:$B$4461&amp;$C$3595:$C$4461,0))</f>
        <v>1.367</v>
      </c>
      <c r="O8806" s="508">
        <f t="array" ref="O8806">INDEX(O$3595:O$4461,MATCH($B8806&amp;$C8806,$B$3595:$B$4461&amp;$C$3595:$C$4461,0))</f>
        <v>1.369</v>
      </c>
      <c r="P8806" s="508">
        <f t="array" ref="P8806">INDEX(P$3595:P$4461,MATCH($B8806&amp;$C8806,$B$3595:$B$4461&amp;$C$3595:$C$4461,0))</f>
        <v>1.3760000000000001</v>
      </c>
      <c r="Q8806" s="508">
        <f t="array" ref="Q8806">INDEX(Q$3595:Q$4461,MATCH($B8806&amp;$C8806,$B$3595:$B$4461&amp;$C$3595:$C$4461,0))</f>
        <v>1.367</v>
      </c>
      <c r="R8806" s="508">
        <f t="array" ref="R8806">INDEX(R$3595:R$4461,MATCH($B8806&amp;$C8806,$B$3595:$B$4461&amp;$C$3595:$C$4461,0))</f>
        <v>0.94300000000000006</v>
      </c>
      <c r="S8806" s="508">
        <f t="array" ref="S8806">INDEX(S$3595:S$4461,MATCH($B8806&amp;$C8806,$B$3595:$B$4461&amp;$C$3595:$C$4461,0))</f>
        <v>0.95200000000000007</v>
      </c>
      <c r="T8806" s="508">
        <f t="array" ref="T8806">INDEX(T$3595:T$4461,MATCH($B8806&amp;$C8806,$B$3595:$B$4461&amp;$C$3595:$C$4461,0))</f>
        <v>0.95300000000000007</v>
      </c>
      <c r="U8806" s="508">
        <f t="array" ref="U8806">INDEX(U$3595:U$4461,MATCH($B8806&amp;$C8806,$B$3595:$B$4461&amp;$C$3595:$C$4461,0))</f>
        <v>0.94700000000000006</v>
      </c>
      <c r="V8806" s="508">
        <f t="array" ref="V8806">INDEX(V$3595:V$4461,MATCH($B8806&amp;$C8806,$B$3595:$B$4461&amp;$C$3595:$C$4461,0))</f>
        <v>0.94300000000000006</v>
      </c>
      <c r="W8806" s="508">
        <f t="array" ref="W8806">INDEX(W$3595:W$4461,MATCH($B8806&amp;$C8806,$B$3595:$B$4461&amp;$C$3595:$C$4461,0))</f>
        <v>0.85599999999999998</v>
      </c>
      <c r="X8806" s="508">
        <f t="array" ref="X8806">INDEX(X$3595:X$4461,MATCH($B8806&amp;$C8806,$B$3595:$B$4461&amp;$C$3595:$C$4461,0))</f>
        <v>0.85099999999999998</v>
      </c>
      <c r="Y8806" s="508">
        <f t="array" ref="Y8806">INDEX(Y$3595:Y$4461,MATCH($B8806&amp;$C8806,$B$3595:$B$4461&amp;$C$3595:$C$4461,0))</f>
        <v>0.85399999999999998</v>
      </c>
      <c r="Z8806" s="508">
        <f t="array" ref="Z8806">INDEX(Z$3595:Z$4461,MATCH($B8806&amp;$C8806,$B$3595:$B$4461&amp;$C$3595:$C$4461,0))</f>
        <v>0.85499999999999998</v>
      </c>
      <c r="AA8806" s="508">
        <f t="array" ref="AA8806">INDEX(AA$3595:AA$4461,MATCH($B8806&amp;$C8806,$B$3595:$B$4461&amp;$C$3595:$C$4461,0))</f>
        <v>4.4999999999999998E-2</v>
      </c>
      <c r="AB8806" s="508">
        <f t="array" ref="AB8806">INDEX(AB$3595:AB$4461,MATCH($B8806&amp;$C8806,$B$3595:$B$4461&amp;$C$3595:$C$4461,0))</f>
        <v>4.4999999999999998E-2</v>
      </c>
      <c r="AC8806" s="508">
        <f t="array" ref="AC8806">INDEX(AC$3595:AC$4461,MATCH($B8806&amp;$C8806,$B$3595:$B$4461&amp;$C$3595:$C$4461,0))</f>
        <v>4.5999999999999999E-2</v>
      </c>
      <c r="AD8806" s="508">
        <f t="array" ref="AD8806">INDEX(AD$3595:AD$4461,MATCH($B8806&amp;$C8806,$B$3595:$B$4461&amp;$C$3595:$C$4461,0))</f>
        <v>4.5000000000000005E-2</v>
      </c>
      <c r="AE8806" s="508">
        <f t="array" ref="AE8806">INDEX(AE$3595:AE$4461,MATCH($B8806&amp;$C8806,$B$3595:$B$4461&amp;$C$3595:$C$4461,0))</f>
        <v>4.5000000000000005E-2</v>
      </c>
      <c r="AF8806" s="508">
        <f t="array" ref="AF8806">INDEX(AF$3595:AF$4461,MATCH($B8806&amp;$C8806,$B$3595:$B$4461&amp;$C$3595:$C$4461,0))</f>
        <v>0.03</v>
      </c>
      <c r="AG8806" s="508">
        <f t="array" ref="AG8806">INDEX(AG$3595:AG$4461,MATCH($B8806&amp;$C8806,$B$3595:$B$4461&amp;$C$3595:$C$4461,0))</f>
        <v>2.8999999999999998E-2</v>
      </c>
      <c r="AH8806" s="508">
        <f t="array" ref="AH8806">INDEX(AH$3595:AH$4461,MATCH($B8806&amp;$C8806,$B$3595:$B$4461&amp;$C$3595:$C$4461,0))</f>
        <v>2.8000000000000001E-2</v>
      </c>
      <c r="AI8806" s="508">
        <f t="array" ref="AI8806">INDEX(AI$3595:AI$4461,MATCH($B8806&amp;$C8806,$B$3595:$B$4461&amp;$C$3595:$C$4461,0))</f>
        <v>2.8000000000000001E-2</v>
      </c>
      <c r="AJ8806" s="508"/>
      <c r="AK8806" s="508">
        <f t="shared" si="179"/>
        <v>2.8000000000000001E-2</v>
      </c>
      <c r="AL8806" s="508">
        <f t="shared" si="180"/>
        <v>2.8000000000000001E-2</v>
      </c>
      <c r="AM8806" s="508">
        <f t="shared" si="180"/>
        <v>2.8000000000000001E-2</v>
      </c>
      <c r="AN8806" s="508">
        <f t="shared" si="180"/>
        <v>2.8000000000000001E-2</v>
      </c>
      <c r="AO8806" s="508">
        <f t="array" ref="AO8806">INDEX('GREET Fuel Attributes'!$E$8948:$E$9083,MATCH($C8806&amp;$D8806,'GREET Fuel Attributes'!$B$8948:$B$9083&amp;'GREET Fuel Attributes'!$C$8948:$C$9083,0))/INDEX('GREET Fuel Attributes'!$D$8948:$D$9083,MATCH($C8806&amp;$D8806,'GREET Fuel Attributes'!$B$8948:$B$9083&amp;'GREET Fuel Attributes'!$C$8948:$C$9083,0))*AI8806</f>
        <v>2.8000000000000001E-2</v>
      </c>
      <c r="AP8806" s="132" t="s">
        <v>1387</v>
      </c>
      <c r="AQ8806" s="142" t="s">
        <v>315</v>
      </c>
    </row>
    <row r="8807" spans="2:43">
      <c r="B8807" s="136" t="str">
        <f t="shared" si="178"/>
        <v>ILLINOIS</v>
      </c>
      <c r="C8807" s="132" t="s">
        <v>1362</v>
      </c>
      <c r="D8807" s="132" t="s">
        <v>1379</v>
      </c>
      <c r="E8807" s="508">
        <f t="array" ref="E8807">INDEX(E$4462:E$5328,MATCH($B8807&amp;$C8807,$B$4462:$B$5328&amp;$C$4462:$C$5328,0))</f>
        <v>0.19400000000000001</v>
      </c>
      <c r="F8807" s="508">
        <f t="array" ref="F8807">INDEX(F$4462:F$5328,MATCH($B8807&amp;$C8807,$B$4462:$B$5328&amp;$C$4462:$C$5328,0))</f>
        <v>0.193</v>
      </c>
      <c r="G8807" s="508">
        <f t="array" ref="G8807">INDEX(G$4462:G$5328,MATCH($B8807&amp;$C8807,$B$4462:$B$5328&amp;$C$4462:$C$5328,0))</f>
        <v>0.19500000000000001</v>
      </c>
      <c r="H8807" s="508">
        <f t="array" ref="H8807">INDEX(H$4462:H$5328,MATCH($B8807&amp;$C8807,$B$4462:$B$5328&amp;$C$4462:$C$5328,0))</f>
        <v>0.19500000000000001</v>
      </c>
      <c r="I8807" s="508">
        <f t="array" ref="I8807">INDEX(I$4462:I$5328,MATCH($B8807&amp;$C8807,$B$4462:$B$5328&amp;$C$4462:$C$5328,0))</f>
        <v>0.193</v>
      </c>
      <c r="J8807" s="508">
        <f t="array" ref="J8807">INDEX(J$4462:J$5328,MATCH($B8807&amp;$C8807,$B$4462:$B$5328&amp;$C$4462:$C$5328,0))</f>
        <v>0.186</v>
      </c>
      <c r="K8807" s="508">
        <f t="array" ref="K8807">INDEX(K$4462:K$5328,MATCH($B8807&amp;$C8807,$B$4462:$B$5328&amp;$C$4462:$C$5328,0))</f>
        <v>0.19400000000000001</v>
      </c>
      <c r="L8807" s="508">
        <f t="array" ref="L8807">INDEX(L$4462:L$5328,MATCH($B8807&amp;$C8807,$B$4462:$B$5328&amp;$C$4462:$C$5328,0))</f>
        <v>0.19400000000000001</v>
      </c>
      <c r="M8807" s="508">
        <f t="array" ref="M8807">INDEX(M$4462:M$5328,MATCH($B8807&amp;$C8807,$B$4462:$B$5328&amp;$C$4462:$C$5328,0))</f>
        <v>0.189</v>
      </c>
      <c r="N8807" s="508">
        <f t="array" ref="N8807">INDEX(N$4462:N$5328,MATCH($B8807&amp;$C8807,$B$4462:$B$5328&amp;$C$4462:$C$5328,0))</f>
        <v>0.193</v>
      </c>
      <c r="O8807" s="508">
        <f t="array" ref="O8807">INDEX(O$4462:O$5328,MATCH($B8807&amp;$C8807,$B$4462:$B$5328&amp;$C$4462:$C$5328,0))</f>
        <v>0.193</v>
      </c>
      <c r="P8807" s="508">
        <f t="array" ref="P8807">INDEX(P$4462:P$5328,MATCH($B8807&amp;$C8807,$B$4462:$B$5328&amp;$C$4462:$C$5328,0))</f>
        <v>0.191</v>
      </c>
      <c r="Q8807" s="508">
        <f t="array" ref="Q8807">INDEX(Q$4462:Q$5328,MATCH($B8807&amp;$C8807,$B$4462:$B$5328&amp;$C$4462:$C$5328,0))</f>
        <v>0.193</v>
      </c>
      <c r="R8807" s="508">
        <f t="array" ref="R8807">INDEX(R$4462:R$5328,MATCH($B8807&amp;$C8807,$B$4462:$B$5328&amp;$C$4462:$C$5328,0))</f>
        <v>0.192</v>
      </c>
      <c r="S8807" s="508">
        <f t="array" ref="S8807">INDEX(S$4462:S$5328,MATCH($B8807&amp;$C8807,$B$4462:$B$5328&amp;$C$4462:$C$5328,0))</f>
        <v>0.19500000000000001</v>
      </c>
      <c r="T8807" s="508">
        <f t="array" ref="T8807">INDEX(T$4462:T$5328,MATCH($B8807&amp;$C8807,$B$4462:$B$5328&amp;$C$4462:$C$5328,0))</f>
        <v>0.19500000000000001</v>
      </c>
      <c r="U8807" s="508">
        <f t="array" ref="U8807">INDEX(U$4462:U$5328,MATCH($B8807&amp;$C8807,$B$4462:$B$5328&amp;$C$4462:$C$5328,0))</f>
        <v>0.193</v>
      </c>
      <c r="V8807" s="508">
        <f t="array" ref="V8807">INDEX(V$4462:V$5328,MATCH($B8807&amp;$C8807,$B$4462:$B$5328&amp;$C$4462:$C$5328,0))</f>
        <v>0.192</v>
      </c>
      <c r="W8807" s="508">
        <f t="array" ref="W8807">INDEX(W$4462:W$5328,MATCH($B8807&amp;$C8807,$B$4462:$B$5328&amp;$C$4462:$C$5328,0))</f>
        <v>0.193</v>
      </c>
      <c r="X8807" s="508">
        <f t="array" ref="X8807">INDEX(X$4462:X$5328,MATCH($B8807&amp;$C8807,$B$4462:$B$5328&amp;$C$4462:$C$5328,0))</f>
        <v>0.191</v>
      </c>
      <c r="Y8807" s="508">
        <f t="array" ref="Y8807">INDEX(Y$4462:Y$5328,MATCH($B8807&amp;$C8807,$B$4462:$B$5328&amp;$C$4462:$C$5328,0))</f>
        <v>0.192</v>
      </c>
      <c r="Z8807" s="508">
        <f t="array" ref="Z8807">INDEX(Z$4462:Z$5328,MATCH($B8807&amp;$C8807,$B$4462:$B$5328&amp;$C$4462:$C$5328,0))</f>
        <v>0.193</v>
      </c>
      <c r="AA8807" s="508">
        <f t="array" ref="AA8807">INDEX(AA$4462:AA$5328,MATCH($B8807&amp;$C8807,$B$4462:$B$5328&amp;$C$4462:$C$5328,0))</f>
        <v>0.193</v>
      </c>
      <c r="AB8807" s="508">
        <f t="array" ref="AB8807">INDEX(AB$4462:AB$5328,MATCH($B8807&amp;$C8807,$B$4462:$B$5328&amp;$C$4462:$C$5328,0))</f>
        <v>0.191</v>
      </c>
      <c r="AC8807" s="508">
        <f t="array" ref="AC8807">INDEX(AC$4462:AC$5328,MATCH($B8807&amp;$C8807,$B$4462:$B$5328&amp;$C$4462:$C$5328,0))</f>
        <v>0.19400000000000001</v>
      </c>
      <c r="AD8807" s="508">
        <f t="array" ref="AD8807">INDEX(AD$4462:AD$5328,MATCH($B8807&amp;$C8807,$B$4462:$B$5328&amp;$C$4462:$C$5328,0))</f>
        <v>0.19400000000000001</v>
      </c>
      <c r="AE8807" s="508">
        <f t="array" ref="AE8807">INDEX(AE$4462:AE$5328,MATCH($B8807&amp;$C8807,$B$4462:$B$5328&amp;$C$4462:$C$5328,0))</f>
        <v>0.193</v>
      </c>
      <c r="AF8807" s="508">
        <f t="array" ref="AF8807">INDEX(AF$4462:AF$5328,MATCH($B8807&amp;$C8807,$B$4462:$B$5328&amp;$C$4462:$C$5328,0))</f>
        <v>0.193</v>
      </c>
      <c r="AG8807" s="508">
        <f t="array" ref="AG8807">INDEX(AG$4462:AG$5328,MATCH($B8807&amp;$C8807,$B$4462:$B$5328&amp;$C$4462:$C$5328,0))</f>
        <v>0.193</v>
      </c>
      <c r="AH8807" s="508">
        <f t="array" ref="AH8807">INDEX(AH$4462:AH$5328,MATCH($B8807&amp;$C8807,$B$4462:$B$5328&amp;$C$4462:$C$5328,0))</f>
        <v>0.193</v>
      </c>
      <c r="AI8807" s="508">
        <f t="array" ref="AI8807">INDEX(AI$4462:AI$5328,MATCH($B8807&amp;$C8807,$B$4462:$B$5328&amp;$C$4462:$C$5328,0))</f>
        <v>0.193</v>
      </c>
      <c r="AJ8807" s="508"/>
      <c r="AK8807" s="508">
        <f t="shared" si="179"/>
        <v>0.193</v>
      </c>
      <c r="AL8807" s="508">
        <f t="shared" si="180"/>
        <v>0.193</v>
      </c>
      <c r="AM8807" s="508">
        <f t="shared" si="180"/>
        <v>0.193</v>
      </c>
      <c r="AN8807" s="508">
        <f t="shared" si="180"/>
        <v>0.193</v>
      </c>
      <c r="AO8807" s="508">
        <f t="array" ref="AO8807">INDEX('GREET Fuel Attributes'!$E$8948:$E$9083,MATCH($C8807&amp;$D8807,'GREET Fuel Attributes'!$B$8948:$B$9083&amp;'GREET Fuel Attributes'!$C$8948:$C$9083,0))/INDEX('GREET Fuel Attributes'!$D$8948:$D$9083,MATCH($C8807&amp;$D8807,'GREET Fuel Attributes'!$B$8948:$B$9083&amp;'GREET Fuel Attributes'!$C$8948:$C$9083,0))*AI8807</f>
        <v>0.193</v>
      </c>
      <c r="AP8807" s="132" t="s">
        <v>1387</v>
      </c>
      <c r="AQ8807" s="142" t="s">
        <v>315</v>
      </c>
    </row>
    <row r="8808" spans="2:43">
      <c r="B8808" s="136" t="str">
        <f t="shared" si="178"/>
        <v>ILLINOIS</v>
      </c>
      <c r="C8808" s="132" t="s">
        <v>1362</v>
      </c>
      <c r="D8808" s="132" t="s">
        <v>285</v>
      </c>
      <c r="E8808" s="508">
        <f t="array" ref="E8808">INDEX(E$5329:E$6195,MATCH($B8808&amp;$C8808,$B$5329:$B$6195&amp;$C$5329:$C$6195,0))</f>
        <v>3.1269999999999998</v>
      </c>
      <c r="F8808" s="508">
        <f t="array" ref="F8808">INDEX(F$5329:F$6195,MATCH($B8808&amp;$C8808,$B$5329:$B$6195&amp;$C$5329:$C$6195,0))</f>
        <v>3.1199999999999997</v>
      </c>
      <c r="G8808" s="508">
        <f t="array" ref="G8808">INDEX(G$5329:G$6195,MATCH($B8808&amp;$C8808,$B$5329:$B$6195&amp;$C$5329:$C$6195,0))</f>
        <v>3.1449999999999996</v>
      </c>
      <c r="H8808" s="508">
        <f t="array" ref="H8808">INDEX(H$5329:H$6195,MATCH($B8808&amp;$C8808,$B$5329:$B$6195&amp;$C$5329:$C$6195,0))</f>
        <v>1.18</v>
      </c>
      <c r="I8808" s="508">
        <f t="array" ref="I8808">INDEX(I$5329:I$6195,MATCH($B8808&amp;$C8808,$B$5329:$B$6195&amp;$C$5329:$C$6195,0))</f>
        <v>1.1890000000000001</v>
      </c>
      <c r="J8808" s="508">
        <f t="array" ref="J8808">INDEX(J$5329:J$6195,MATCH($B8808&amp;$C8808,$B$5329:$B$6195&amp;$C$5329:$C$6195,0))</f>
        <v>1.2130000000000001</v>
      </c>
      <c r="K8808" s="508">
        <f t="array" ref="K8808">INDEX(K$5329:K$6195,MATCH($B8808&amp;$C8808,$B$5329:$B$6195&amp;$C$5329:$C$6195,0))</f>
        <v>1.256</v>
      </c>
      <c r="L8808" s="508">
        <f t="array" ref="L8808">INDEX(L$5329:L$6195,MATCH($B8808&amp;$C8808,$B$5329:$B$6195&amp;$C$5329:$C$6195,0))</f>
        <v>1.2570000000000001</v>
      </c>
      <c r="M8808" s="508">
        <f t="array" ref="M8808">INDEX(M$5329:M$6195,MATCH($B8808&amp;$C8808,$B$5329:$B$6195&amp;$C$5329:$C$6195,0))</f>
        <v>1.244</v>
      </c>
      <c r="N8808" s="508">
        <f t="array" ref="N8808">INDEX(N$5329:N$6195,MATCH($B8808&amp;$C8808,$B$5329:$B$6195&amp;$C$5329:$C$6195,0))</f>
        <v>1.258</v>
      </c>
      <c r="O8808" s="508">
        <f t="array" ref="O8808">INDEX(O$5329:O$6195,MATCH($B8808&amp;$C8808,$B$5329:$B$6195&amp;$C$5329:$C$6195,0))</f>
        <v>1.2590000000000001</v>
      </c>
      <c r="P8808" s="508">
        <f t="array" ref="P8808">INDEX(P$5329:P$6195,MATCH($B8808&amp;$C8808,$B$5329:$B$6195&amp;$C$5329:$C$6195,0))</f>
        <v>1.266</v>
      </c>
      <c r="Q8808" s="508">
        <f t="array" ref="Q8808">INDEX(Q$5329:Q$6195,MATCH($B8808&amp;$C8808,$B$5329:$B$6195&amp;$C$5329:$C$6195,0))</f>
        <v>1.258</v>
      </c>
      <c r="R8808" s="508">
        <f t="array" ref="R8808">INDEX(R$5329:R$6195,MATCH($B8808&amp;$C8808,$B$5329:$B$6195&amp;$C$5329:$C$6195,0))</f>
        <v>0.86699999999999999</v>
      </c>
      <c r="S8808" s="508">
        <f t="array" ref="S8808">INDEX(S$5329:S$6195,MATCH($B8808&amp;$C8808,$B$5329:$B$6195&amp;$C$5329:$C$6195,0))</f>
        <v>0.876</v>
      </c>
      <c r="T8808" s="508">
        <f t="array" ref="T8808">INDEX(T$5329:T$6195,MATCH($B8808&amp;$C8808,$B$5329:$B$6195&amp;$C$5329:$C$6195,0))</f>
        <v>0.877</v>
      </c>
      <c r="U8808" s="508">
        <f t="array" ref="U8808">INDEX(U$5329:U$6195,MATCH($B8808&amp;$C8808,$B$5329:$B$6195&amp;$C$5329:$C$6195,0))</f>
        <v>0.871</v>
      </c>
      <c r="V8808" s="508">
        <f t="array" ref="V8808">INDEX(V$5329:V$6195,MATCH($B8808&amp;$C8808,$B$5329:$B$6195&amp;$C$5329:$C$6195,0))</f>
        <v>0.86799999999999999</v>
      </c>
      <c r="W8808" s="508">
        <f t="array" ref="W8808">INDEX(W$5329:W$6195,MATCH($B8808&amp;$C8808,$B$5329:$B$6195&amp;$C$5329:$C$6195,0))</f>
        <v>0.78700000000000003</v>
      </c>
      <c r="X8808" s="508">
        <f t="array" ref="X8808">INDEX(X$5329:X$6195,MATCH($B8808&amp;$C8808,$B$5329:$B$6195&amp;$C$5329:$C$6195,0))</f>
        <v>0.78300000000000003</v>
      </c>
      <c r="Y8808" s="508">
        <f t="array" ref="Y8808">INDEX(Y$5329:Y$6195,MATCH($B8808&amp;$C8808,$B$5329:$B$6195&amp;$C$5329:$C$6195,0))</f>
        <v>0.78500000000000003</v>
      </c>
      <c r="Z8808" s="508">
        <f t="array" ref="Z8808">INDEX(Z$5329:Z$6195,MATCH($B8808&amp;$C8808,$B$5329:$B$6195&amp;$C$5329:$C$6195,0))</f>
        <v>0.78700000000000003</v>
      </c>
      <c r="AA8808" s="508">
        <f t="array" ref="AA8808">INDEX(AA$5329:AA$6195,MATCH($B8808&amp;$C8808,$B$5329:$B$6195&amp;$C$5329:$C$6195,0))</f>
        <v>4.2000000000000003E-2</v>
      </c>
      <c r="AB8808" s="508">
        <f t="array" ref="AB8808">INDEX(AB$5329:AB$6195,MATCH($B8808&amp;$C8808,$B$5329:$B$6195&amp;$C$5329:$C$6195,0))</f>
        <v>4.2000000000000003E-2</v>
      </c>
      <c r="AC8808" s="508">
        <f t="array" ref="AC8808">INDEX(AC$5329:AC$6195,MATCH($B8808&amp;$C8808,$B$5329:$B$6195&amp;$C$5329:$C$6195,0))</f>
        <v>4.2000000000000003E-2</v>
      </c>
      <c r="AD8808" s="508">
        <f t="array" ref="AD8808">INDEX(AD$5329:AD$6195,MATCH($B8808&amp;$C8808,$B$5329:$B$6195&amp;$C$5329:$C$6195,0))</f>
        <v>4.1000000000000002E-2</v>
      </c>
      <c r="AE8808" s="508">
        <f t="array" ref="AE8808">INDEX(AE$5329:AE$6195,MATCH($B8808&amp;$C8808,$B$5329:$B$6195&amp;$C$5329:$C$6195,0))</f>
        <v>0.04</v>
      </c>
      <c r="AF8808" s="508">
        <f t="array" ref="AF8808">INDEX(AF$5329:AF$6195,MATCH($B8808&amp;$C8808,$B$5329:$B$6195&amp;$C$5329:$C$6195,0))</f>
        <v>2.7000000000000003E-2</v>
      </c>
      <c r="AG8808" s="508">
        <f t="array" ref="AG8808">INDEX(AG$5329:AG$6195,MATCH($B8808&amp;$C8808,$B$5329:$B$6195&amp;$C$5329:$C$6195,0))</f>
        <v>2.6000000000000002E-2</v>
      </c>
      <c r="AH8808" s="508">
        <f t="array" ref="AH8808">INDEX(AH$5329:AH$6195,MATCH($B8808&amp;$C8808,$B$5329:$B$6195&amp;$C$5329:$C$6195,0))</f>
        <v>2.5000000000000001E-2</v>
      </c>
      <c r="AI8808" s="508">
        <f t="array" ref="AI8808">INDEX(AI$5329:AI$6195,MATCH($B8808&amp;$C8808,$B$5329:$B$6195&amp;$C$5329:$C$6195,0))</f>
        <v>2.5000000000000001E-2</v>
      </c>
      <c r="AJ8808" s="508"/>
      <c r="AK8808" s="508">
        <f t="shared" si="179"/>
        <v>2.5000000000000001E-2</v>
      </c>
      <c r="AL8808" s="508">
        <f t="shared" si="180"/>
        <v>2.5000000000000001E-2</v>
      </c>
      <c r="AM8808" s="508">
        <f t="shared" si="180"/>
        <v>2.5000000000000001E-2</v>
      </c>
      <c r="AN8808" s="508">
        <f t="shared" si="180"/>
        <v>2.5000000000000001E-2</v>
      </c>
      <c r="AO8808" s="508">
        <f t="array" ref="AO8808">INDEX('GREET Fuel Attributes'!$E$8948:$E$9083,MATCH($C8808&amp;$D8808,'GREET Fuel Attributes'!$B$8948:$B$9083&amp;'GREET Fuel Attributes'!$C$8948:$C$9083,0))/INDEX('GREET Fuel Attributes'!$D$8948:$D$9083,MATCH($C8808&amp;$D8808,'GREET Fuel Attributes'!$B$8948:$B$9083&amp;'GREET Fuel Attributes'!$C$8948:$C$9083,0))*AI8808</f>
        <v>2.5000000000000001E-2</v>
      </c>
      <c r="AP8808" s="132" t="s">
        <v>1387</v>
      </c>
      <c r="AQ8808" s="142" t="s">
        <v>315</v>
      </c>
    </row>
    <row r="8809" spans="2:43">
      <c r="B8809" s="136" t="str">
        <f t="shared" si="178"/>
        <v>ILLINOIS</v>
      </c>
      <c r="C8809" s="132" t="s">
        <v>1362</v>
      </c>
      <c r="D8809" s="132" t="s">
        <v>1380</v>
      </c>
      <c r="E8809" s="508">
        <f t="array" ref="E8809">INDEX(E$6196:E$7062,MATCH($B8809&amp;$C8809,$B$6196:$B$7062&amp;$C$6196:$C$7062,0))</f>
        <v>2.5000000000000001E-2</v>
      </c>
      <c r="F8809" s="508">
        <f t="array" ref="F8809">INDEX(F$6196:F$7062,MATCH($B8809&amp;$C8809,$B$6196:$B$7062&amp;$C$6196:$C$7062,0))</f>
        <v>2.5000000000000001E-2</v>
      </c>
      <c r="G8809" s="508">
        <f t="array" ref="G8809">INDEX(G$6196:G$7062,MATCH($B8809&amp;$C8809,$B$6196:$B$7062&amp;$C$6196:$C$7062,0))</f>
        <v>2.5000000000000001E-2</v>
      </c>
      <c r="H8809" s="508">
        <f t="array" ref="H8809">INDEX(H$6196:H$7062,MATCH($B8809&amp;$C8809,$B$6196:$B$7062&amp;$C$6196:$C$7062,0))</f>
        <v>2.5000000000000001E-2</v>
      </c>
      <c r="I8809" s="508">
        <f t="array" ref="I8809">INDEX(I$6196:I$7062,MATCH($B8809&amp;$C8809,$B$6196:$B$7062&amp;$C$6196:$C$7062,0))</f>
        <v>2.5000000000000001E-2</v>
      </c>
      <c r="J8809" s="508">
        <f t="array" ref="J8809">INDEX(J$6196:J$7062,MATCH($B8809&amp;$C8809,$B$6196:$B$7062&amp;$C$6196:$C$7062,0))</f>
        <v>2.4E-2</v>
      </c>
      <c r="K8809" s="508">
        <f t="array" ref="K8809">INDEX(K$6196:K$7062,MATCH($B8809&amp;$C8809,$B$6196:$B$7062&amp;$C$6196:$C$7062,0))</f>
        <v>2.5000000000000001E-2</v>
      </c>
      <c r="L8809" s="508">
        <f t="array" ref="L8809">INDEX(L$6196:L$7062,MATCH($B8809&amp;$C8809,$B$6196:$B$7062&amp;$C$6196:$C$7062,0))</f>
        <v>2.5000000000000001E-2</v>
      </c>
      <c r="M8809" s="508">
        <f t="array" ref="M8809">INDEX(M$6196:M$7062,MATCH($B8809&amp;$C8809,$B$6196:$B$7062&amp;$C$6196:$C$7062,0))</f>
        <v>2.4E-2</v>
      </c>
      <c r="N8809" s="508">
        <f t="array" ref="N8809">INDEX(N$6196:N$7062,MATCH($B8809&amp;$C8809,$B$6196:$B$7062&amp;$C$6196:$C$7062,0))</f>
        <v>2.5000000000000001E-2</v>
      </c>
      <c r="O8809" s="508">
        <f t="array" ref="O8809">INDEX(O$6196:O$7062,MATCH($B8809&amp;$C8809,$B$6196:$B$7062&amp;$C$6196:$C$7062,0))</f>
        <v>2.5000000000000001E-2</v>
      </c>
      <c r="P8809" s="508">
        <f t="array" ref="P8809">INDEX(P$6196:P$7062,MATCH($B8809&amp;$C8809,$B$6196:$B$7062&amp;$C$6196:$C$7062,0))</f>
        <v>2.5000000000000001E-2</v>
      </c>
      <c r="Q8809" s="508">
        <f t="array" ref="Q8809">INDEX(Q$6196:Q$7062,MATCH($B8809&amp;$C8809,$B$6196:$B$7062&amp;$C$6196:$C$7062,0))</f>
        <v>2.5000000000000001E-2</v>
      </c>
      <c r="R8809" s="508">
        <f t="array" ref="R8809">INDEX(R$6196:R$7062,MATCH($B8809&amp;$C8809,$B$6196:$B$7062&amp;$C$6196:$C$7062,0))</f>
        <v>2.5000000000000001E-2</v>
      </c>
      <c r="S8809" s="508">
        <f t="array" ref="S8809">INDEX(S$6196:S$7062,MATCH($B8809&amp;$C8809,$B$6196:$B$7062&amp;$C$6196:$C$7062,0))</f>
        <v>2.5000000000000001E-2</v>
      </c>
      <c r="T8809" s="508">
        <f t="array" ref="T8809">INDEX(T$6196:T$7062,MATCH($B8809&amp;$C8809,$B$6196:$B$7062&amp;$C$6196:$C$7062,0))</f>
        <v>2.5000000000000001E-2</v>
      </c>
      <c r="U8809" s="508">
        <f t="array" ref="U8809">INDEX(U$6196:U$7062,MATCH($B8809&amp;$C8809,$B$6196:$B$7062&amp;$C$6196:$C$7062,0))</f>
        <v>2.5000000000000001E-2</v>
      </c>
      <c r="V8809" s="508">
        <f t="array" ref="V8809">INDEX(V$6196:V$7062,MATCH($B8809&amp;$C8809,$B$6196:$B$7062&amp;$C$6196:$C$7062,0))</f>
        <v>2.5000000000000001E-2</v>
      </c>
      <c r="W8809" s="508">
        <f t="array" ref="W8809">INDEX(W$6196:W$7062,MATCH($B8809&amp;$C8809,$B$6196:$B$7062&amp;$C$6196:$C$7062,0))</f>
        <v>2.5000000000000001E-2</v>
      </c>
      <c r="X8809" s="508">
        <f t="array" ref="X8809">INDEX(X$6196:X$7062,MATCH($B8809&amp;$C8809,$B$6196:$B$7062&amp;$C$6196:$C$7062,0))</f>
        <v>2.5000000000000001E-2</v>
      </c>
      <c r="Y8809" s="508">
        <f t="array" ref="Y8809">INDEX(Y$6196:Y$7062,MATCH($B8809&amp;$C8809,$B$6196:$B$7062&amp;$C$6196:$C$7062,0))</f>
        <v>2.5000000000000001E-2</v>
      </c>
      <c r="Z8809" s="508">
        <f t="array" ref="Z8809">INDEX(Z$6196:Z$7062,MATCH($B8809&amp;$C8809,$B$6196:$B$7062&amp;$C$6196:$C$7062,0))</f>
        <v>2.5000000000000001E-2</v>
      </c>
      <c r="AA8809" s="508">
        <f t="array" ref="AA8809">INDEX(AA$6196:AA$7062,MATCH($B8809&amp;$C8809,$B$6196:$B$7062&amp;$C$6196:$C$7062,0))</f>
        <v>2.5000000000000001E-2</v>
      </c>
      <c r="AB8809" s="508">
        <f t="array" ref="AB8809">INDEX(AB$6196:AB$7062,MATCH($B8809&amp;$C8809,$B$6196:$B$7062&amp;$C$6196:$C$7062,0))</f>
        <v>2.5000000000000001E-2</v>
      </c>
      <c r="AC8809" s="508">
        <f t="array" ref="AC8809">INDEX(AC$6196:AC$7062,MATCH($B8809&amp;$C8809,$B$6196:$B$7062&amp;$C$6196:$C$7062,0))</f>
        <v>2.5000000000000001E-2</v>
      </c>
      <c r="AD8809" s="508">
        <f t="array" ref="AD8809">INDEX(AD$6196:AD$7062,MATCH($B8809&amp;$C8809,$B$6196:$B$7062&amp;$C$6196:$C$7062,0))</f>
        <v>2.5000000000000001E-2</v>
      </c>
      <c r="AE8809" s="508">
        <f t="array" ref="AE8809">INDEX(AE$6196:AE$7062,MATCH($B8809&amp;$C8809,$B$6196:$B$7062&amp;$C$6196:$C$7062,0))</f>
        <v>2.5000000000000001E-2</v>
      </c>
      <c r="AF8809" s="508">
        <f t="array" ref="AF8809">INDEX(AF$6196:AF$7062,MATCH($B8809&amp;$C8809,$B$6196:$B$7062&amp;$C$6196:$C$7062,0))</f>
        <v>2.5000000000000001E-2</v>
      </c>
      <c r="AG8809" s="508">
        <f t="array" ref="AG8809">INDEX(AG$6196:AG$7062,MATCH($B8809&amp;$C8809,$B$6196:$B$7062&amp;$C$6196:$C$7062,0))</f>
        <v>2.5000000000000001E-2</v>
      </c>
      <c r="AH8809" s="508">
        <f t="array" ref="AH8809">INDEX(AH$6196:AH$7062,MATCH($B8809&amp;$C8809,$B$6196:$B$7062&amp;$C$6196:$C$7062,0))</f>
        <v>2.5000000000000001E-2</v>
      </c>
      <c r="AI8809" s="508">
        <f t="array" ref="AI8809">INDEX(AI$6196:AI$7062,MATCH($B8809&amp;$C8809,$B$6196:$B$7062&amp;$C$6196:$C$7062,0))</f>
        <v>2.5000000000000001E-2</v>
      </c>
      <c r="AJ8809" s="508"/>
      <c r="AK8809" s="508">
        <f t="shared" si="179"/>
        <v>2.5000000000000001E-2</v>
      </c>
      <c r="AL8809" s="508">
        <f t="shared" si="180"/>
        <v>2.5000000000000001E-2</v>
      </c>
      <c r="AM8809" s="508">
        <f t="shared" si="180"/>
        <v>2.5000000000000001E-2</v>
      </c>
      <c r="AN8809" s="508">
        <f t="shared" si="180"/>
        <v>2.5000000000000001E-2</v>
      </c>
      <c r="AO8809" s="508">
        <f t="array" ref="AO8809">INDEX('GREET Fuel Attributes'!$E$8948:$E$9083,MATCH($C8809&amp;$D8809,'GREET Fuel Attributes'!$B$8948:$B$9083&amp;'GREET Fuel Attributes'!$C$8948:$C$9083,0))/INDEX('GREET Fuel Attributes'!$D$8948:$D$9083,MATCH($C8809&amp;$D8809,'GREET Fuel Attributes'!$B$8948:$B$9083&amp;'GREET Fuel Attributes'!$C$8948:$C$9083,0))*AI8809</f>
        <v>2.5000000000000001E-2</v>
      </c>
      <c r="AP8809" s="132" t="s">
        <v>1387</v>
      </c>
      <c r="AQ8809" s="142" t="s">
        <v>315</v>
      </c>
    </row>
    <row r="8810" spans="2:43">
      <c r="B8810" s="136" t="str">
        <f t="shared" si="178"/>
        <v>ILLINOIS</v>
      </c>
      <c r="C8810" s="132" t="s">
        <v>1362</v>
      </c>
      <c r="D8810" s="132" t="s">
        <v>281</v>
      </c>
      <c r="E8810" s="508">
        <f t="array" ref="E8810">INDEX(E$7063:E$7929,MATCH($B8810&amp;$C8810,$B$7063:$B$7929&amp;$C$7063:$C$7929,0))</f>
        <v>1.5569999999999999</v>
      </c>
      <c r="F8810" s="508">
        <f t="array" ref="F8810">INDEX(F$7063:F$7929,MATCH($B8810&amp;$C8810,$B$7063:$B$7929&amp;$C$7063:$C$7929,0))</f>
        <v>1.5229999999999999</v>
      </c>
      <c r="G8810" s="508">
        <f t="array" ref="G8810">INDEX(G$7063:G$7929,MATCH($B8810&amp;$C8810,$B$7063:$B$7929&amp;$C$7063:$C$7929,0))</f>
        <v>1.4929999999999999</v>
      </c>
      <c r="H8810" s="508">
        <f t="array" ref="H8810">INDEX(H$7063:H$7929,MATCH($B8810&amp;$C8810,$B$7063:$B$7929&amp;$C$7063:$C$7929,0))</f>
        <v>1.476</v>
      </c>
      <c r="I8810" s="508">
        <f t="array" ref="I8810">INDEX(I$7063:I$7929,MATCH($B8810&amp;$C8810,$B$7063:$B$7929&amp;$C$7063:$C$7929,0))</f>
        <v>1.4860000000000002</v>
      </c>
      <c r="J8810" s="508">
        <f t="array" ref="J8810">INDEX(J$7063:J$7929,MATCH($B8810&amp;$C8810,$B$7063:$B$7929&amp;$C$7063:$C$7929,0))</f>
        <v>1.53</v>
      </c>
      <c r="K8810" s="508">
        <f t="array" ref="K8810">INDEX(K$7063:K$7929,MATCH($B8810&amp;$C8810,$B$7063:$B$7929&amp;$C$7063:$C$7929,0))</f>
        <v>1.2889999999999999</v>
      </c>
      <c r="L8810" s="508">
        <f t="array" ref="L8810">INDEX(L$7063:L$7929,MATCH($B8810&amp;$C8810,$B$7063:$B$7929&amp;$C$7063:$C$7929,0))</f>
        <v>1.2829999999999999</v>
      </c>
      <c r="M8810" s="508">
        <f t="array" ref="M8810">INDEX(M$7063:M$7929,MATCH($B8810&amp;$C8810,$B$7063:$B$7929&amp;$C$7063:$C$7929,0))</f>
        <v>1.3240000000000001</v>
      </c>
      <c r="N8810" s="508">
        <f t="array" ref="N8810">INDEX(N$7063:N$7929,MATCH($B8810&amp;$C8810,$B$7063:$B$7929&amp;$C$7063:$C$7929,0))</f>
        <v>1.2849999999999999</v>
      </c>
      <c r="O8810" s="508">
        <f t="array" ref="O8810">INDEX(O$7063:O$7929,MATCH($B8810&amp;$C8810,$B$7063:$B$7929&amp;$C$7063:$C$7929,0))</f>
        <v>1.2850000000000001</v>
      </c>
      <c r="P8810" s="508">
        <f t="array" ref="P8810">INDEX(P$7063:P$7929,MATCH($B8810&amp;$C8810,$B$7063:$B$7929&amp;$C$7063:$C$7929,0))</f>
        <v>1.298</v>
      </c>
      <c r="Q8810" s="508">
        <f t="array" ref="Q8810">INDEX(Q$7063:Q$7929,MATCH($B8810&amp;$C8810,$B$7063:$B$7929&amp;$C$7063:$C$7929,0))</f>
        <v>1.2809999999999999</v>
      </c>
      <c r="R8810" s="508">
        <f t="array" ref="R8810">INDEX(R$7063:R$7929,MATCH($B8810&amp;$C8810,$B$7063:$B$7929&amp;$C$7063:$C$7929,0))</f>
        <v>1.2929999999999999</v>
      </c>
      <c r="S8810" s="508">
        <f t="array" ref="S8810">INDEX(S$7063:S$7929,MATCH($B8810&amp;$C8810,$B$7063:$B$7929&amp;$C$7063:$C$7929,0))</f>
        <v>1.266</v>
      </c>
      <c r="T8810" s="508">
        <f t="array" ref="T8810">INDEX(T$7063:T$7929,MATCH($B8810&amp;$C8810,$B$7063:$B$7929&amp;$C$7063:$C$7929,0))</f>
        <v>1.2609999999999999</v>
      </c>
      <c r="U8810" s="508">
        <f t="array" ref="U8810">INDEX(U$7063:U$7929,MATCH($B8810&amp;$C8810,$B$7063:$B$7929&amp;$C$7063:$C$7929,0))</f>
        <v>1.276</v>
      </c>
      <c r="V8810" s="508">
        <f t="array" ref="V8810">INDEX(V$7063:V$7929,MATCH($B8810&amp;$C8810,$B$7063:$B$7929&amp;$C$7063:$C$7929,0))</f>
        <v>1.2849999999999999</v>
      </c>
      <c r="W8810" s="508">
        <f t="array" ref="W8810">INDEX(W$7063:W$7929,MATCH($B8810&amp;$C8810,$B$7063:$B$7929&amp;$C$7063:$C$7929,0))</f>
        <v>1.03</v>
      </c>
      <c r="X8810" s="508">
        <f t="array" ref="X8810">INDEX(X$7063:X$7929,MATCH($B8810&amp;$C8810,$B$7063:$B$7929&amp;$C$7063:$C$7929,0))</f>
        <v>1.032</v>
      </c>
      <c r="Y8810" s="508">
        <f t="array" ref="Y8810">INDEX(Y$7063:Y$7929,MATCH($B8810&amp;$C8810,$B$7063:$B$7929&amp;$C$7063:$C$7929,0))</f>
        <v>1.03</v>
      </c>
      <c r="Z8810" s="508">
        <f t="array" ref="Z8810">INDEX(Z$7063:Z$7929,MATCH($B8810&amp;$C8810,$B$7063:$B$7929&amp;$C$7063:$C$7929,0))</f>
        <v>1.028</v>
      </c>
      <c r="AA8810" s="508">
        <f t="array" ref="AA8810">INDEX(AA$7063:AA$7929,MATCH($B8810&amp;$C8810,$B$7063:$B$7929&amp;$C$7063:$C$7929,0))</f>
        <v>0.17199999999999999</v>
      </c>
      <c r="AB8810" s="508">
        <f t="array" ref="AB8810">INDEX(AB$7063:AB$7929,MATCH($B8810&amp;$C8810,$B$7063:$B$7929&amp;$C$7063:$C$7929,0))</f>
        <v>0.17199999999999999</v>
      </c>
      <c r="AC8810" s="508">
        <f t="array" ref="AC8810">INDEX(AC$7063:AC$7929,MATCH($B8810&amp;$C8810,$B$7063:$B$7929&amp;$C$7063:$C$7929,0))</f>
        <v>0.17299999999999999</v>
      </c>
      <c r="AD8810" s="508">
        <f t="array" ref="AD8810">INDEX(AD$7063:AD$7929,MATCH($B8810&amp;$C8810,$B$7063:$B$7929&amp;$C$7063:$C$7929,0))</f>
        <v>0.125</v>
      </c>
      <c r="AE8810" s="508">
        <f t="array" ref="AE8810">INDEX(AE$7063:AE$7929,MATCH($B8810&amp;$C8810,$B$7063:$B$7929&amp;$C$7063:$C$7929,0))</f>
        <v>0.125</v>
      </c>
      <c r="AF8810" s="508">
        <f t="array" ref="AF8810">INDEX(AF$7063:AF$7929,MATCH($B8810&amp;$C8810,$B$7063:$B$7929&amp;$C$7063:$C$7929,0))</f>
        <v>0.11600000000000001</v>
      </c>
      <c r="AG8810" s="508">
        <f t="array" ref="AG8810">INDEX(AG$7063:AG$7929,MATCH($B8810&amp;$C8810,$B$7063:$B$7929&amp;$C$7063:$C$7929,0))</f>
        <v>0.115</v>
      </c>
      <c r="AH8810" s="508">
        <f t="array" ref="AH8810">INDEX(AH$7063:AH$7929,MATCH($B8810&amp;$C8810,$B$7063:$B$7929&amp;$C$7063:$C$7929,0))</f>
        <v>0.115</v>
      </c>
      <c r="AI8810" s="508">
        <f t="array" ref="AI8810">INDEX(AI$7063:AI$7929,MATCH($B8810&amp;$C8810,$B$7063:$B$7929&amp;$C$7063:$C$7929,0))</f>
        <v>0.115</v>
      </c>
      <c r="AJ8810" s="508"/>
      <c r="AK8810" s="508">
        <f t="shared" si="179"/>
        <v>0.11493539325842697</v>
      </c>
      <c r="AL8810" s="508">
        <f t="shared" si="180"/>
        <v>0.11487078651685394</v>
      </c>
      <c r="AM8810" s="508">
        <f t="shared" si="180"/>
        <v>0.1148061797752809</v>
      </c>
      <c r="AN8810" s="508">
        <f t="shared" si="180"/>
        <v>0.11474157303370787</v>
      </c>
      <c r="AO8810" s="508">
        <f t="array" ref="AO8810">INDEX('GREET Fuel Attributes'!$E$8948:$E$9083,MATCH($C8810&amp;$D8810,'GREET Fuel Attributes'!$B$8948:$B$9083&amp;'GREET Fuel Attributes'!$C$8948:$C$9083,0))/INDEX('GREET Fuel Attributes'!$D$8948:$D$9083,MATCH($C8810&amp;$D8810,'GREET Fuel Attributes'!$B$8948:$B$9083&amp;'GREET Fuel Attributes'!$C$8948:$C$9083,0))*AI8810</f>
        <v>0.11467696629213484</v>
      </c>
      <c r="AP8810" s="132" t="s">
        <v>1387</v>
      </c>
      <c r="AQ8810" s="142" t="s">
        <v>315</v>
      </c>
    </row>
    <row r="8811" spans="2:43">
      <c r="B8811" s="136" t="str">
        <f t="shared" si="178"/>
        <v>ILLINOIS</v>
      </c>
      <c r="C8811" s="132" t="s">
        <v>1362</v>
      </c>
      <c r="D8811" s="132" t="s">
        <v>1384</v>
      </c>
      <c r="E8811" s="508">
        <f t="array" ref="E8811">INDEX(E$7930:E$8796,MATCH($B8811&amp;$C8811,$B$7930:$B$8796&amp;$C$7930:$C$8796,0))</f>
        <v>0.06</v>
      </c>
      <c r="F8811" s="508">
        <f t="array" ref="F8811">INDEX(F$7930:F$8796,MATCH($B8811&amp;$C8811,$B$7930:$B$8796&amp;$C$7930:$C$8796,0))</f>
        <v>0.06</v>
      </c>
      <c r="G8811" s="508">
        <f t="array" ref="G8811">INDEX(G$7930:G$8796,MATCH($B8811&amp;$C8811,$B$7930:$B$8796&amp;$C$7930:$C$8796,0))</f>
        <v>0.06</v>
      </c>
      <c r="H8811" s="508">
        <f t="array" ref="H8811">INDEX(H$7930:H$8796,MATCH($B8811&amp;$C8811,$B$7930:$B$8796&amp;$C$7930:$C$8796,0))</f>
        <v>0.06</v>
      </c>
      <c r="I8811" s="508">
        <f t="array" ref="I8811">INDEX(I$7930:I$8796,MATCH($B8811&amp;$C8811,$B$7930:$B$8796&amp;$C$7930:$C$8796,0))</f>
        <v>0.06</v>
      </c>
      <c r="J8811" s="508">
        <f t="array" ref="J8811">INDEX(J$7930:J$8796,MATCH($B8811&amp;$C8811,$B$7930:$B$8796&amp;$C$7930:$C$8796,0))</f>
        <v>0.06</v>
      </c>
      <c r="K8811" s="508">
        <f t="array" ref="K8811">INDEX(K$7930:K$8796,MATCH($B8811&amp;$C8811,$B$7930:$B$8796&amp;$C$7930:$C$8796,0))</f>
        <v>0.06</v>
      </c>
      <c r="L8811" s="508">
        <f t="array" ref="L8811">INDEX(L$7930:L$8796,MATCH($B8811&amp;$C8811,$B$7930:$B$8796&amp;$C$7930:$C$8796,0))</f>
        <v>0.06</v>
      </c>
      <c r="M8811" s="508">
        <f t="array" ref="M8811">INDEX(M$7930:M$8796,MATCH($B8811&amp;$C8811,$B$7930:$B$8796&amp;$C$7930:$C$8796,0))</f>
        <v>0.06</v>
      </c>
      <c r="N8811" s="508">
        <f t="array" ref="N8811">INDEX(N$7930:N$8796,MATCH($B8811&amp;$C8811,$B$7930:$B$8796&amp;$C$7930:$C$8796,0))</f>
        <v>0.06</v>
      </c>
      <c r="O8811" s="508">
        <f t="array" ref="O8811">INDEX(O$7930:O$8796,MATCH($B8811&amp;$C8811,$B$7930:$B$8796&amp;$C$7930:$C$8796,0))</f>
        <v>0.06</v>
      </c>
      <c r="P8811" s="508">
        <f t="array" ref="P8811">INDEX(P$7930:P$8796,MATCH($B8811&amp;$C8811,$B$7930:$B$8796&amp;$C$7930:$C$8796,0))</f>
        <v>0.06</v>
      </c>
      <c r="Q8811" s="508">
        <f t="array" ref="Q8811">INDEX(Q$7930:Q$8796,MATCH($B8811&amp;$C8811,$B$7930:$B$8796&amp;$C$7930:$C$8796,0))</f>
        <v>0.06</v>
      </c>
      <c r="R8811" s="508">
        <f t="array" ref="R8811">INDEX(R$7930:R$8796,MATCH($B8811&amp;$C8811,$B$7930:$B$8796&amp;$C$7930:$C$8796,0))</f>
        <v>0.06</v>
      </c>
      <c r="S8811" s="508">
        <f t="array" ref="S8811">INDEX(S$7930:S$8796,MATCH($B8811&amp;$C8811,$B$7930:$B$8796&amp;$C$7930:$C$8796,0))</f>
        <v>0.06</v>
      </c>
      <c r="T8811" s="508">
        <f t="array" ref="T8811">INDEX(T$7930:T$8796,MATCH($B8811&amp;$C8811,$B$7930:$B$8796&amp;$C$7930:$C$8796,0))</f>
        <v>0.06</v>
      </c>
      <c r="U8811" s="508">
        <f t="array" ref="U8811">INDEX(U$7930:U$8796,MATCH($B8811&amp;$C8811,$B$7930:$B$8796&amp;$C$7930:$C$8796,0))</f>
        <v>0.06</v>
      </c>
      <c r="V8811" s="508">
        <f t="array" ref="V8811">INDEX(V$7930:V$8796,MATCH($B8811&amp;$C8811,$B$7930:$B$8796&amp;$C$7930:$C$8796,0))</f>
        <v>0.06</v>
      </c>
      <c r="W8811" s="508">
        <f t="array" ref="W8811">INDEX(W$7930:W$8796,MATCH($B8811&amp;$C8811,$B$7930:$B$8796&amp;$C$7930:$C$8796,0))</f>
        <v>0.06</v>
      </c>
      <c r="X8811" s="508">
        <f t="array" ref="X8811">INDEX(X$7930:X$8796,MATCH($B8811&amp;$C8811,$B$7930:$B$8796&amp;$C$7930:$C$8796,0))</f>
        <v>0.06</v>
      </c>
      <c r="Y8811" s="508">
        <f t="array" ref="Y8811">INDEX(Y$7930:Y$8796,MATCH($B8811&amp;$C8811,$B$7930:$B$8796&amp;$C$7930:$C$8796,0))</f>
        <v>0.06</v>
      </c>
      <c r="Z8811" s="508">
        <f t="array" ref="Z8811">INDEX(Z$7930:Z$8796,MATCH($B8811&amp;$C8811,$B$7930:$B$8796&amp;$C$7930:$C$8796,0))</f>
        <v>0.06</v>
      </c>
      <c r="AA8811" s="508">
        <f t="array" ref="AA8811">INDEX(AA$7930:AA$8796,MATCH($B8811&amp;$C8811,$B$7930:$B$8796&amp;$C$7930:$C$8796,0))</f>
        <v>0.06</v>
      </c>
      <c r="AB8811" s="508">
        <f t="array" ref="AB8811">INDEX(AB$7930:AB$8796,MATCH($B8811&amp;$C8811,$B$7930:$B$8796&amp;$C$7930:$C$8796,0))</f>
        <v>0.06</v>
      </c>
      <c r="AC8811" s="508">
        <f t="array" ref="AC8811">INDEX(AC$7930:AC$8796,MATCH($B8811&amp;$C8811,$B$7930:$B$8796&amp;$C$7930:$C$8796,0))</f>
        <v>0.06</v>
      </c>
      <c r="AD8811" s="508">
        <f t="array" ref="AD8811">INDEX(AD$7930:AD$8796,MATCH($B8811&amp;$C8811,$B$7930:$B$8796&amp;$C$7930:$C$8796,0))</f>
        <v>0.06</v>
      </c>
      <c r="AE8811" s="508">
        <f t="array" ref="AE8811">INDEX(AE$7930:AE$8796,MATCH($B8811&amp;$C8811,$B$7930:$B$8796&amp;$C$7930:$C$8796,0))</f>
        <v>0.06</v>
      </c>
      <c r="AF8811" s="508">
        <f t="array" ref="AF8811">INDEX(AF$7930:AF$8796,MATCH($B8811&amp;$C8811,$B$7930:$B$8796&amp;$C$7930:$C$8796,0))</f>
        <v>0.06</v>
      </c>
      <c r="AG8811" s="508">
        <f t="array" ref="AG8811">INDEX(AG$7930:AG$8796,MATCH($B8811&amp;$C8811,$B$7930:$B$8796&amp;$C$7930:$C$8796,0))</f>
        <v>0.06</v>
      </c>
      <c r="AH8811" s="508">
        <f t="array" ref="AH8811">INDEX(AH$7930:AH$8796,MATCH($B8811&amp;$C8811,$B$7930:$B$8796&amp;$C$7930:$C$8796,0))</f>
        <v>5.5E-2</v>
      </c>
      <c r="AI8811" s="508">
        <f t="array" ref="AI8811">INDEX(AI$7930:AI$8796,MATCH($B8811&amp;$C8811,$B$7930:$B$8796&amp;$C$7930:$C$8796,0))</f>
        <v>5.5E-2</v>
      </c>
      <c r="AJ8811" s="508"/>
      <c r="AK8811" s="508">
        <f t="shared" si="179"/>
        <v>5.4813559322033897E-2</v>
      </c>
      <c r="AL8811" s="508">
        <f t="shared" si="180"/>
        <v>5.4627118644067794E-2</v>
      </c>
      <c r="AM8811" s="508">
        <f t="shared" si="180"/>
        <v>5.4440677966101692E-2</v>
      </c>
      <c r="AN8811" s="508">
        <f t="shared" si="180"/>
        <v>5.4254237288135589E-2</v>
      </c>
      <c r="AO8811" s="508">
        <f t="array" ref="AO8811">INDEX('GREET Fuel Attributes'!$E$8948:$E$9083,MATCH($C8811&amp;$D8811,'GREET Fuel Attributes'!$B$8948:$B$9083&amp;'GREET Fuel Attributes'!$C$8948:$C$9083,0))/INDEX('GREET Fuel Attributes'!$D$8948:$D$9083,MATCH($C8811&amp;$D8811,'GREET Fuel Attributes'!$B$8948:$B$9083&amp;'GREET Fuel Attributes'!$C$8948:$C$9083,0))*AI8811</f>
        <v>5.40677966101695E-2</v>
      </c>
      <c r="AP8811" s="132" t="s">
        <v>1387</v>
      </c>
      <c r="AQ8811" s="142" t="s">
        <v>315</v>
      </c>
    </row>
    <row r="8812" spans="2:43">
      <c r="B8812" s="136" t="str">
        <f t="shared" si="178"/>
        <v>ILLINOIS</v>
      </c>
      <c r="C8812" s="132" t="s">
        <v>1363</v>
      </c>
      <c r="D8812" s="132" t="s">
        <v>282</v>
      </c>
      <c r="E8812" s="508">
        <f t="array" ref="E8812">INDEX(E$1861:E$2727,MATCH($B8812&amp;$C8812,$B$1861:$B$2727&amp;$C$1861:$C$2727,0))</f>
        <v>10.586</v>
      </c>
      <c r="F8812" s="508">
        <f t="array" ref="F8812">INDEX(F$1861:F$2727,MATCH($B8812&amp;$C8812,$B$1861:$B$2727&amp;$C$1861:$C$2727,0))</f>
        <v>9.4209999999999994</v>
      </c>
      <c r="G8812" s="508">
        <f t="array" ref="G8812">INDEX(G$1861:G$2727,MATCH($B8812&amp;$C8812,$B$1861:$B$2727&amp;$C$1861:$C$2727,0))</f>
        <v>8.6690000000000005</v>
      </c>
      <c r="H8812" s="508">
        <f t="array" ref="H8812">INDEX(H$1861:H$2727,MATCH($B8812&amp;$C8812,$B$1861:$B$2727&amp;$C$1861:$C$2727,0))</f>
        <v>8.3320000000000007</v>
      </c>
      <c r="I8812" s="508">
        <f t="array" ref="I8812">INDEX(I$1861:I$2727,MATCH($B8812&amp;$C8812,$B$1861:$B$2727&amp;$C$1861:$C$2727,0))</f>
        <v>8.0120000000000005</v>
      </c>
      <c r="J8812" s="508">
        <f t="array" ref="J8812">INDEX(J$1861:J$2727,MATCH($B8812&amp;$C8812,$B$1861:$B$2727&amp;$C$1861:$C$2727,0))</f>
        <v>7.7169999999999996</v>
      </c>
      <c r="K8812" s="508">
        <f t="array" ref="K8812">INDEX(K$1861:K$2727,MATCH($B8812&amp;$C8812,$B$1861:$B$2727&amp;$C$1861:$C$2727,0))</f>
        <v>7.6280000000000001</v>
      </c>
      <c r="L8812" s="508">
        <f t="array" ref="L8812">INDEX(L$1861:L$2727,MATCH($B8812&amp;$C8812,$B$1861:$B$2727&amp;$C$1861:$C$2727,0))</f>
        <v>7.4</v>
      </c>
      <c r="M8812" s="508">
        <f t="array" ref="M8812">INDEX(M$1861:M$2727,MATCH($B8812&amp;$C8812,$B$1861:$B$2727&amp;$C$1861:$C$2727,0))</f>
        <v>7.3920000000000003</v>
      </c>
      <c r="N8812" s="508">
        <f t="array" ref="N8812">INDEX(N$1861:N$2727,MATCH($B8812&amp;$C8812,$B$1861:$B$2727&amp;$C$1861:$C$2727,0))</f>
        <v>7.2160000000000002</v>
      </c>
      <c r="O8812" s="508">
        <f t="array" ref="O8812">INDEX(O$1861:O$2727,MATCH($B8812&amp;$C8812,$B$1861:$B$2727&amp;$C$1861:$C$2727,0))</f>
        <v>7.17</v>
      </c>
      <c r="P8812" s="508">
        <f t="array" ref="P8812">INDEX(P$1861:P$2727,MATCH($B8812&amp;$C8812,$B$1861:$B$2727&amp;$C$1861:$C$2727,0))</f>
        <v>7.0979999999999999</v>
      </c>
      <c r="Q8812" s="508">
        <f t="array" ref="Q8812">INDEX(Q$1861:Q$2727,MATCH($B8812&amp;$C8812,$B$1861:$B$2727&amp;$C$1861:$C$2727,0))</f>
        <v>7.1230000000000002</v>
      </c>
      <c r="R8812" s="508">
        <f t="array" ref="R8812">INDEX(R$1861:R$2727,MATCH($B8812&amp;$C8812,$B$1861:$B$2727&amp;$C$1861:$C$2727,0))</f>
        <v>7.0209999999999999</v>
      </c>
      <c r="S8812" s="508">
        <f t="array" ref="S8812">INDEX(S$1861:S$2727,MATCH($B8812&amp;$C8812,$B$1861:$B$2727&amp;$C$1861:$C$2727,0))</f>
        <v>6.9580000000000002</v>
      </c>
      <c r="T8812" s="508">
        <f t="array" ref="T8812">INDEX(T$1861:T$2727,MATCH($B8812&amp;$C8812,$B$1861:$B$2727&amp;$C$1861:$C$2727,0))</f>
        <v>6.7569999999999997</v>
      </c>
      <c r="U8812" s="508">
        <f t="array" ref="U8812">INDEX(U$1861:U$2727,MATCH($B8812&amp;$C8812,$B$1861:$B$2727&amp;$C$1861:$C$2727,0))</f>
        <v>6.68</v>
      </c>
      <c r="V8812" s="508">
        <f t="array" ref="V8812">INDEX(V$1861:V$2727,MATCH($B8812&amp;$C8812,$B$1861:$B$2727&amp;$C$1861:$C$2727,0))</f>
        <v>6.3780000000000001</v>
      </c>
      <c r="W8812" s="508">
        <f t="array" ref="W8812">INDEX(W$1861:W$2727,MATCH($B8812&amp;$C8812,$B$1861:$B$2727&amp;$C$1861:$C$2727,0))</f>
        <v>3.4169999999999998</v>
      </c>
      <c r="X8812" s="508">
        <f t="array" ref="X8812">INDEX(X$1861:X$2727,MATCH($B8812&amp;$C8812,$B$1861:$B$2727&amp;$C$1861:$C$2727,0))</f>
        <v>3.431</v>
      </c>
      <c r="Y8812" s="508">
        <f t="array" ref="Y8812">INDEX(Y$1861:Y$2727,MATCH($B8812&amp;$C8812,$B$1861:$B$2727&amp;$C$1861:$C$2727,0))</f>
        <v>3.3719999999999999</v>
      </c>
      <c r="Z8812" s="508">
        <f t="array" ref="Z8812">INDEX(Z$1861:Z$2727,MATCH($B8812&amp;$C8812,$B$1861:$B$2727&amp;$C$1861:$C$2727,0))</f>
        <v>3.33</v>
      </c>
      <c r="AA8812" s="508">
        <f t="array" ref="AA8812">INDEX(AA$1861:AA$2727,MATCH($B8812&amp;$C8812,$B$1861:$B$2727&amp;$C$1861:$C$2727,0))</f>
        <v>0.84399999999999997</v>
      </c>
      <c r="AB8812" s="508">
        <f t="array" ref="AB8812">INDEX(AB$1861:AB$2727,MATCH($B8812&amp;$C8812,$B$1861:$B$2727&amp;$C$1861:$C$2727,0))</f>
        <v>0.83399999999999996</v>
      </c>
      <c r="AC8812" s="508">
        <f t="array" ref="AC8812">INDEX(AC$1861:AC$2727,MATCH($B8812&amp;$C8812,$B$1861:$B$2727&amp;$C$1861:$C$2727,0))</f>
        <v>0.80200000000000005</v>
      </c>
      <c r="AD8812" s="508">
        <f t="array" ref="AD8812">INDEX(AD$1861:AD$2727,MATCH($B8812&amp;$C8812,$B$1861:$B$2727&amp;$C$1861:$C$2727,0))</f>
        <v>0.56100000000000005</v>
      </c>
      <c r="AE8812" s="508">
        <f t="array" ref="AE8812">INDEX(AE$1861:AE$2727,MATCH($B8812&amp;$C8812,$B$1861:$B$2727&amp;$C$1861:$C$2727,0))</f>
        <v>0.55100000000000005</v>
      </c>
      <c r="AF8812" s="508">
        <f t="array" ref="AF8812">INDEX(AF$1861:AF$2727,MATCH($B8812&amp;$C8812,$B$1861:$B$2727&amp;$C$1861:$C$2727,0))</f>
        <v>0.47299999999999998</v>
      </c>
      <c r="AG8812" s="508">
        <f t="array" ref="AG8812">INDEX(AG$1861:AG$2727,MATCH($B8812&amp;$C8812,$B$1861:$B$2727&amp;$C$1861:$C$2727,0))</f>
        <v>0.46800000000000003</v>
      </c>
      <c r="AH8812" s="508">
        <f t="array" ref="AH8812">INDEX(AH$1861:AH$2727,MATCH($B8812&amp;$C8812,$B$1861:$B$2727&amp;$C$1861:$C$2727,0))</f>
        <v>0.46600000000000003</v>
      </c>
      <c r="AI8812" s="508">
        <f t="array" ref="AI8812">INDEX(AI$1861:AI$2727,MATCH($B8812&amp;$C8812,$B$1861:$B$2727&amp;$C$1861:$C$2727,0))</f>
        <v>0.46600000000000003</v>
      </c>
      <c r="AJ8812" s="508"/>
      <c r="AK8812" s="508">
        <f t="shared" si="179"/>
        <v>0.46511406844106468</v>
      </c>
      <c r="AL8812" s="508">
        <f t="shared" si="180"/>
        <v>0.46422813688212933</v>
      </c>
      <c r="AM8812" s="508">
        <f t="shared" si="180"/>
        <v>0.46334220532319398</v>
      </c>
      <c r="AN8812" s="508">
        <f t="shared" si="180"/>
        <v>0.46245627376425863</v>
      </c>
      <c r="AO8812" s="508">
        <f t="array" ref="AO8812">INDEX('GREET Fuel Attributes'!$E$8948:$E$9083,MATCH($C8812&amp;$D8812,'GREET Fuel Attributes'!$B$8948:$B$9083&amp;'GREET Fuel Attributes'!$C$8948:$C$9083,0))/INDEX('GREET Fuel Attributes'!$D$8948:$D$9083,MATCH($C8812&amp;$D8812,'GREET Fuel Attributes'!$B$8948:$B$9083&amp;'GREET Fuel Attributes'!$C$8948:$C$9083,0))*AI8812</f>
        <v>0.46157034220532323</v>
      </c>
      <c r="AP8812" s="132" t="s">
        <v>1387</v>
      </c>
      <c r="AQ8812" s="142" t="s">
        <v>313</v>
      </c>
    </row>
    <row r="8813" spans="2:43">
      <c r="B8813" s="136" t="str">
        <f t="shared" si="178"/>
        <v>ILLINOIS</v>
      </c>
      <c r="C8813" s="132" t="s">
        <v>1363</v>
      </c>
      <c r="D8813" s="132" t="s">
        <v>283</v>
      </c>
      <c r="E8813" s="508">
        <f t="array" ref="E8813">INDEX(E$2728:E$3594,MATCH($B8813&amp;$C8813,$B$2728:$B$3594&amp;$C$2728:$C$3594,0))</f>
        <v>39.704000000000001</v>
      </c>
      <c r="F8813" s="508">
        <f t="array" ref="F8813">INDEX(F$2728:F$3594,MATCH($B8813&amp;$C8813,$B$2728:$B$3594&amp;$C$2728:$C$3594,0))</f>
        <v>39.704000000000001</v>
      </c>
      <c r="G8813" s="508">
        <f t="array" ref="G8813">INDEX(G$2728:G$3594,MATCH($B8813&amp;$C8813,$B$2728:$B$3594&amp;$C$2728:$C$3594,0))</f>
        <v>39.704000000000001</v>
      </c>
      <c r="H8813" s="508">
        <f t="array" ref="H8813">INDEX(H$2728:H$3594,MATCH($B8813&amp;$C8813,$B$2728:$B$3594&amp;$C$2728:$C$3594,0))</f>
        <v>39.704000000000001</v>
      </c>
      <c r="I8813" s="508">
        <f t="array" ref="I8813">INDEX(I$2728:I$3594,MATCH($B8813&amp;$C8813,$B$2728:$B$3594&amp;$C$2728:$C$3594,0))</f>
        <v>39.704000000000001</v>
      </c>
      <c r="J8813" s="508">
        <f t="array" ref="J8813">INDEX(J$2728:J$3594,MATCH($B8813&amp;$C8813,$B$2728:$B$3594&amp;$C$2728:$C$3594,0))</f>
        <v>30.663</v>
      </c>
      <c r="K8813" s="508">
        <f t="array" ref="K8813">INDEX(K$2728:K$3594,MATCH($B8813&amp;$C8813,$B$2728:$B$3594&amp;$C$2728:$C$3594,0))</f>
        <v>28.411000000000001</v>
      </c>
      <c r="L8813" s="508">
        <f t="array" ref="L8813">INDEX(L$2728:L$3594,MATCH($B8813&amp;$C8813,$B$2728:$B$3594&amp;$C$2728:$C$3594,0))</f>
        <v>28.411000000000001</v>
      </c>
      <c r="M8813" s="508">
        <f t="array" ref="M8813">INDEX(M$2728:M$3594,MATCH($B8813&amp;$C8813,$B$2728:$B$3594&amp;$C$2728:$C$3594,0))</f>
        <v>28.411000000000001</v>
      </c>
      <c r="N8813" s="508">
        <f t="array" ref="N8813">INDEX(N$2728:N$3594,MATCH($B8813&amp;$C8813,$B$2728:$B$3594&amp;$C$2728:$C$3594,0))</f>
        <v>28.411000000000001</v>
      </c>
      <c r="O8813" s="508">
        <f t="array" ref="O8813">INDEX(O$2728:O$3594,MATCH($B8813&amp;$C8813,$B$2728:$B$3594&amp;$C$2728:$C$3594,0))</f>
        <v>28.411000000000001</v>
      </c>
      <c r="P8813" s="508">
        <f t="array" ref="P8813">INDEX(P$2728:P$3594,MATCH($B8813&amp;$C8813,$B$2728:$B$3594&amp;$C$2728:$C$3594,0))</f>
        <v>28.515999999999998</v>
      </c>
      <c r="Q8813" s="508">
        <f t="array" ref="Q8813">INDEX(Q$2728:Q$3594,MATCH($B8813&amp;$C8813,$B$2728:$B$3594&amp;$C$2728:$C$3594,0))</f>
        <v>28.515999999999998</v>
      </c>
      <c r="R8813" s="508">
        <f t="array" ref="R8813">INDEX(R$2728:R$3594,MATCH($B8813&amp;$C8813,$B$2728:$B$3594&amp;$C$2728:$C$3594,0))</f>
        <v>25.902999999999999</v>
      </c>
      <c r="S8813" s="508">
        <f t="array" ref="S8813">INDEX(S$2728:S$3594,MATCH($B8813&amp;$C8813,$B$2728:$B$3594&amp;$C$2728:$C$3594,0))</f>
        <v>19.021000000000001</v>
      </c>
      <c r="T8813" s="508">
        <f t="array" ref="T8813">INDEX(T$2728:T$3594,MATCH($B8813&amp;$C8813,$B$2728:$B$3594&amp;$C$2728:$C$3594,0))</f>
        <v>18.934999999999999</v>
      </c>
      <c r="U8813" s="508">
        <f t="array" ref="U8813">INDEX(U$2728:U$3594,MATCH($B8813&amp;$C8813,$B$2728:$B$3594&amp;$C$2728:$C$3594,0))</f>
        <v>19.056000000000001</v>
      </c>
      <c r="V8813" s="508">
        <f t="array" ref="V8813">INDEX(V$2728:V$3594,MATCH($B8813&amp;$C8813,$B$2728:$B$3594&amp;$C$2728:$C$3594,0))</f>
        <v>18.181999999999999</v>
      </c>
      <c r="W8813" s="508">
        <f t="array" ref="W8813">INDEX(W$2728:W$3594,MATCH($B8813&amp;$C8813,$B$2728:$B$3594&amp;$C$2728:$C$3594,0))</f>
        <v>10.103</v>
      </c>
      <c r="X8813" s="508">
        <f t="array" ref="X8813">INDEX(X$2728:X$3594,MATCH($B8813&amp;$C8813,$B$2728:$B$3594&amp;$C$2728:$C$3594,0))</f>
        <v>10.114000000000001</v>
      </c>
      <c r="Y8813" s="508">
        <f t="array" ref="Y8813">INDEX(Y$2728:Y$3594,MATCH($B8813&amp;$C8813,$B$2728:$B$3594&amp;$C$2728:$C$3594,0))</f>
        <v>10.108000000000001</v>
      </c>
      <c r="Z8813" s="508">
        <f t="array" ref="Z8813">INDEX(Z$2728:Z$3594,MATCH($B8813&amp;$C8813,$B$2728:$B$3594&amp;$C$2728:$C$3594,0))</f>
        <v>10.105</v>
      </c>
      <c r="AA8813" s="508">
        <f t="array" ref="AA8813">INDEX(AA$2728:AA$3594,MATCH($B8813&amp;$C8813,$B$2728:$B$3594&amp;$C$2728:$C$3594,0))</f>
        <v>6.77</v>
      </c>
      <c r="AB8813" s="508">
        <f t="array" ref="AB8813">INDEX(AB$2728:AB$3594,MATCH($B8813&amp;$C8813,$B$2728:$B$3594&amp;$C$2728:$C$3594,0))</f>
        <v>6.6390000000000002</v>
      </c>
      <c r="AC8813" s="508">
        <f t="array" ref="AC8813">INDEX(AC$2728:AC$3594,MATCH($B8813&amp;$C8813,$B$2728:$B$3594&amp;$C$2728:$C$3594,0))</f>
        <v>6.9340000000000002</v>
      </c>
      <c r="AD8813" s="508">
        <f t="array" ref="AD8813">INDEX(AD$2728:AD$3594,MATCH($B8813&amp;$C8813,$B$2728:$B$3594&amp;$C$2728:$C$3594,0))</f>
        <v>1.7569999999999999</v>
      </c>
      <c r="AE8813" s="508">
        <f t="array" ref="AE8813">INDEX(AE$2728:AE$3594,MATCH($B8813&amp;$C8813,$B$2728:$B$3594&amp;$C$2728:$C$3594,0))</f>
        <v>1.7509999999999999</v>
      </c>
      <c r="AF8813" s="508">
        <f t="array" ref="AF8813">INDEX(AF$2728:AF$3594,MATCH($B8813&amp;$C8813,$B$2728:$B$3594&amp;$C$2728:$C$3594,0))</f>
        <v>1.167</v>
      </c>
      <c r="AG8813" s="508">
        <f t="array" ref="AG8813">INDEX(AG$2728:AG$3594,MATCH($B8813&amp;$C8813,$B$2728:$B$3594&amp;$C$2728:$C$3594,0))</f>
        <v>1.127</v>
      </c>
      <c r="AH8813" s="508">
        <f t="array" ref="AH8813">INDEX(AH$2728:AH$3594,MATCH($B8813&amp;$C8813,$B$2728:$B$3594&amp;$C$2728:$C$3594,0))</f>
        <v>1.093</v>
      </c>
      <c r="AI8813" s="508">
        <f t="array" ref="AI8813">INDEX(AI$2728:AI$3594,MATCH($B8813&amp;$C8813,$B$2728:$B$3594&amp;$C$2728:$C$3594,0))</f>
        <v>1.093</v>
      </c>
      <c r="AJ8813" s="508"/>
      <c r="AK8813" s="508">
        <f t="shared" si="179"/>
        <v>1.0919808857808857</v>
      </c>
      <c r="AL8813" s="508">
        <f t="shared" si="180"/>
        <v>1.0909617715617714</v>
      </c>
      <c r="AM8813" s="508">
        <f t="shared" si="180"/>
        <v>1.0899426573426572</v>
      </c>
      <c r="AN8813" s="508">
        <f t="shared" si="180"/>
        <v>1.0889235431235429</v>
      </c>
      <c r="AO8813" s="508">
        <f t="array" ref="AO8813">INDEX('GREET Fuel Attributes'!$E$8948:$E$9083,MATCH($C8813&amp;$D8813,'GREET Fuel Attributes'!$B$8948:$B$9083&amp;'GREET Fuel Attributes'!$C$8948:$C$9083,0))/INDEX('GREET Fuel Attributes'!$D$8948:$D$9083,MATCH($C8813&amp;$D8813,'GREET Fuel Attributes'!$B$8948:$B$9083&amp;'GREET Fuel Attributes'!$C$8948:$C$9083,0))*AI8813</f>
        <v>1.0879044289044288</v>
      </c>
      <c r="AP8813" s="132" t="s">
        <v>1387</v>
      </c>
      <c r="AQ8813" s="142" t="s">
        <v>313</v>
      </c>
    </row>
    <row r="8814" spans="2:43">
      <c r="B8814" s="136" t="str">
        <f t="shared" si="178"/>
        <v>ILLINOIS</v>
      </c>
      <c r="C8814" s="132" t="s">
        <v>1363</v>
      </c>
      <c r="D8814" s="132" t="s">
        <v>284</v>
      </c>
      <c r="E8814" s="508">
        <f t="array" ref="E8814">INDEX(E$3595:E$4461,MATCH($B8814&amp;$C8814,$B$3595:$B$4461&amp;$C$3595:$C$4461,0))</f>
        <v>3.1549999999999998</v>
      </c>
      <c r="F8814" s="508">
        <f t="array" ref="F8814">INDEX(F$3595:F$4461,MATCH($B8814&amp;$C8814,$B$3595:$B$4461&amp;$C$3595:$C$4461,0))</f>
        <v>3.13</v>
      </c>
      <c r="G8814" s="508">
        <f t="array" ref="G8814">INDEX(G$3595:G$4461,MATCH($B8814&amp;$C8814,$B$3595:$B$4461&amp;$C$3595:$C$4461,0))</f>
        <v>3.0310000000000001</v>
      </c>
      <c r="H8814" s="508">
        <f t="array" ref="H8814">INDEX(H$3595:H$4461,MATCH($B8814&amp;$C8814,$B$3595:$B$4461&amp;$C$3595:$C$4461,0))</f>
        <v>1.286</v>
      </c>
      <c r="I8814" s="508">
        <f t="array" ref="I8814">INDEX(I$3595:I$4461,MATCH($B8814&amp;$C8814,$B$3595:$B$4461&amp;$C$3595:$C$4461,0))</f>
        <v>1.2869999999999999</v>
      </c>
      <c r="J8814" s="508">
        <f t="array" ref="J8814">INDEX(J$3595:J$4461,MATCH($B8814&amp;$C8814,$B$3595:$B$4461&amp;$C$3595:$C$4461,0))</f>
        <v>1.3029999999999999</v>
      </c>
      <c r="K8814" s="508">
        <f t="array" ref="K8814">INDEX(K$3595:K$4461,MATCH($B8814&amp;$C8814,$B$3595:$B$4461&amp;$C$3595:$C$4461,0))</f>
        <v>1.298</v>
      </c>
      <c r="L8814" s="508">
        <f t="array" ref="L8814">INDEX(L$3595:L$4461,MATCH($B8814&amp;$C8814,$B$3595:$B$4461&amp;$C$3595:$C$4461,0))</f>
        <v>1.2829999999999999</v>
      </c>
      <c r="M8814" s="508">
        <f t="array" ref="M8814">INDEX(M$3595:M$4461,MATCH($B8814&amp;$C8814,$B$3595:$B$4461&amp;$C$3595:$C$4461,0))</f>
        <v>1.3009999999999999</v>
      </c>
      <c r="N8814" s="508">
        <f t="array" ref="N8814">INDEX(N$3595:N$4461,MATCH($B8814&amp;$C8814,$B$3595:$B$4461&amp;$C$3595:$C$4461,0))</f>
        <v>1.36</v>
      </c>
      <c r="O8814" s="508">
        <f t="array" ref="O8814">INDEX(O$3595:O$4461,MATCH($B8814&amp;$C8814,$B$3595:$B$4461&amp;$C$3595:$C$4461,0))</f>
        <v>1.3480000000000001</v>
      </c>
      <c r="P8814" s="508">
        <f t="array" ref="P8814">INDEX(P$3595:P$4461,MATCH($B8814&amp;$C8814,$B$3595:$B$4461&amp;$C$3595:$C$4461,0))</f>
        <v>1.349</v>
      </c>
      <c r="Q8814" s="508">
        <f t="array" ref="Q8814">INDEX(Q$3595:Q$4461,MATCH($B8814&amp;$C8814,$B$3595:$B$4461&amp;$C$3595:$C$4461,0))</f>
        <v>1.321</v>
      </c>
      <c r="R8814" s="508">
        <f t="array" ref="R8814">INDEX(R$3595:R$4461,MATCH($B8814&amp;$C8814,$B$3595:$B$4461&amp;$C$3595:$C$4461,0))</f>
        <v>0.88900000000000001</v>
      </c>
      <c r="S8814" s="508">
        <f t="array" ref="S8814">INDEX(S$3595:S$4461,MATCH($B8814&amp;$C8814,$B$3595:$B$4461&amp;$C$3595:$C$4461,0))</f>
        <v>0.88600000000000001</v>
      </c>
      <c r="T8814" s="508">
        <f t="array" ref="T8814">INDEX(T$3595:T$4461,MATCH($B8814&amp;$C8814,$B$3595:$B$4461&amp;$C$3595:$C$4461,0))</f>
        <v>0.88100000000000001</v>
      </c>
      <c r="U8814" s="508">
        <f t="array" ref="U8814">INDEX(U$3595:U$4461,MATCH($B8814&amp;$C8814,$B$3595:$B$4461&amp;$C$3595:$C$4461,0))</f>
        <v>0.88600000000000001</v>
      </c>
      <c r="V8814" s="508">
        <f t="array" ref="V8814">INDEX(V$3595:V$4461,MATCH($B8814&amp;$C8814,$B$3595:$B$4461&amp;$C$3595:$C$4461,0))</f>
        <v>0.84299999999999997</v>
      </c>
      <c r="W8814" s="508">
        <f t="array" ref="W8814">INDEX(W$3595:W$4461,MATCH($B8814&amp;$C8814,$B$3595:$B$4461&amp;$C$3595:$C$4461,0))</f>
        <v>0.77600000000000002</v>
      </c>
      <c r="X8814" s="508">
        <f t="array" ref="X8814">INDEX(X$3595:X$4461,MATCH($B8814&amp;$C8814,$B$3595:$B$4461&amp;$C$3595:$C$4461,0))</f>
        <v>0.75600000000000001</v>
      </c>
      <c r="Y8814" s="508">
        <f t="array" ref="Y8814">INDEX(Y$3595:Y$4461,MATCH($B8814&amp;$C8814,$B$3595:$B$4461&amp;$C$3595:$C$4461,0))</f>
        <v>0.76700000000000002</v>
      </c>
      <c r="Z8814" s="508">
        <f t="array" ref="Z8814">INDEX(Z$3595:Z$4461,MATCH($B8814&amp;$C8814,$B$3595:$B$4461&amp;$C$3595:$C$4461,0))</f>
        <v>0.77300000000000002</v>
      </c>
      <c r="AA8814" s="508">
        <f t="array" ref="AA8814">INDEX(AA$3595:AA$4461,MATCH($B8814&amp;$C8814,$B$3595:$B$4461&amp;$C$3595:$C$4461,0))</f>
        <v>0.04</v>
      </c>
      <c r="AB8814" s="508">
        <f t="array" ref="AB8814">INDEX(AB$3595:AB$4461,MATCH($B8814&amp;$C8814,$B$3595:$B$4461&amp;$C$3595:$C$4461,0))</f>
        <v>3.9E-2</v>
      </c>
      <c r="AC8814" s="508">
        <f t="array" ref="AC8814">INDEX(AC$3595:AC$4461,MATCH($B8814&amp;$C8814,$B$3595:$B$4461&amp;$C$3595:$C$4461,0))</f>
        <v>4.1000000000000002E-2</v>
      </c>
      <c r="AD8814" s="508">
        <f t="array" ref="AD8814">INDEX(AD$3595:AD$4461,MATCH($B8814&amp;$C8814,$B$3595:$B$4461&amp;$C$3595:$C$4461,0))</f>
        <v>3.7999999999999999E-2</v>
      </c>
      <c r="AE8814" s="508">
        <f t="array" ref="AE8814">INDEX(AE$3595:AE$4461,MATCH($B8814&amp;$C8814,$B$3595:$B$4461&amp;$C$3595:$C$4461,0))</f>
        <v>3.6999999999999998E-2</v>
      </c>
      <c r="AF8814" s="508">
        <f t="array" ref="AF8814">INDEX(AF$3595:AF$4461,MATCH($B8814&amp;$C8814,$B$3595:$B$4461&amp;$C$3595:$C$4461,0))</f>
        <v>2.4E-2</v>
      </c>
      <c r="AG8814" s="508">
        <f t="array" ref="AG8814">INDEX(AG$3595:AG$4461,MATCH($B8814&amp;$C8814,$B$3595:$B$4461&amp;$C$3595:$C$4461,0))</f>
        <v>2.3E-2</v>
      </c>
      <c r="AH8814" s="508">
        <f t="array" ref="AH8814">INDEX(AH$3595:AH$4461,MATCH($B8814&amp;$C8814,$B$3595:$B$4461&amp;$C$3595:$C$4461,0))</f>
        <v>2.1999999999999999E-2</v>
      </c>
      <c r="AI8814" s="508">
        <f t="array" ref="AI8814">INDEX(AI$3595:AI$4461,MATCH($B8814&amp;$C8814,$B$3595:$B$4461&amp;$C$3595:$C$4461,0))</f>
        <v>2.1999999999999999E-2</v>
      </c>
      <c r="AJ8814" s="508"/>
      <c r="AK8814" s="508">
        <f t="shared" si="179"/>
        <v>2.1999999999999999E-2</v>
      </c>
      <c r="AL8814" s="508">
        <f t="shared" si="180"/>
        <v>2.1999999999999999E-2</v>
      </c>
      <c r="AM8814" s="508">
        <f t="shared" si="180"/>
        <v>2.1999999999999999E-2</v>
      </c>
      <c r="AN8814" s="508">
        <f t="shared" si="180"/>
        <v>2.1999999999999999E-2</v>
      </c>
      <c r="AO8814" s="508">
        <f t="array" ref="AO8814">INDEX('GREET Fuel Attributes'!$E$8948:$E$9083,MATCH($C8814&amp;$D8814,'GREET Fuel Attributes'!$B$8948:$B$9083&amp;'GREET Fuel Attributes'!$C$8948:$C$9083,0))/INDEX('GREET Fuel Attributes'!$D$8948:$D$9083,MATCH($C8814&amp;$D8814,'GREET Fuel Attributes'!$B$8948:$B$9083&amp;'GREET Fuel Attributes'!$C$8948:$C$9083,0))*AI8814</f>
        <v>2.1999999999999999E-2</v>
      </c>
      <c r="AP8814" s="132" t="s">
        <v>1387</v>
      </c>
      <c r="AQ8814" s="142" t="s">
        <v>313</v>
      </c>
    </row>
    <row r="8815" spans="2:43">
      <c r="B8815" s="136" t="str">
        <f t="shared" si="178"/>
        <v>ILLINOIS</v>
      </c>
      <c r="C8815" s="132" t="s">
        <v>1363</v>
      </c>
      <c r="D8815" s="132" t="s">
        <v>1379</v>
      </c>
      <c r="E8815" s="508">
        <f t="array" ref="E8815">INDEX(E$4462:E$5328,MATCH($B8815&amp;$C8815,$B$4462:$B$5328&amp;$C$4462:$C$5328,0))</f>
        <v>0.186</v>
      </c>
      <c r="F8815" s="508">
        <f t="array" ref="F8815">INDEX(F$4462:F$5328,MATCH($B8815&amp;$C8815,$B$4462:$B$5328&amp;$C$4462:$C$5328,0))</f>
        <v>0.185</v>
      </c>
      <c r="G8815" s="508">
        <f t="array" ref="G8815">INDEX(G$4462:G$5328,MATCH($B8815&amp;$C8815,$B$4462:$B$5328&amp;$C$4462:$C$5328,0))</f>
        <v>0.18</v>
      </c>
      <c r="H8815" s="508">
        <f t="array" ref="H8815">INDEX(H$4462:H$5328,MATCH($B8815&amp;$C8815,$B$4462:$B$5328&amp;$C$4462:$C$5328,0))</f>
        <v>0.187</v>
      </c>
      <c r="I8815" s="508">
        <f t="array" ref="I8815">INDEX(I$4462:I$5328,MATCH($B8815&amp;$C8815,$B$4462:$B$5328&amp;$C$4462:$C$5328,0))</f>
        <v>0.186</v>
      </c>
      <c r="J8815" s="508">
        <f t="array" ref="J8815">INDEX(J$4462:J$5328,MATCH($B8815&amp;$C8815,$B$4462:$B$5328&amp;$C$4462:$C$5328,0))</f>
        <v>0.182</v>
      </c>
      <c r="K8815" s="508">
        <f t="array" ref="K8815">INDEX(K$4462:K$5328,MATCH($B8815&amp;$C8815,$B$4462:$B$5328&amp;$C$4462:$C$5328,0))</f>
        <v>0.188</v>
      </c>
      <c r="L8815" s="508">
        <f t="array" ref="L8815">INDEX(L$4462:L$5328,MATCH($B8815&amp;$C8815,$B$4462:$B$5328&amp;$C$4462:$C$5328,0))</f>
        <v>0.182</v>
      </c>
      <c r="M8815" s="508">
        <f t="array" ref="M8815">INDEX(M$4462:M$5328,MATCH($B8815&amp;$C8815,$B$4462:$B$5328&amp;$C$4462:$C$5328,0))</f>
        <v>0.189</v>
      </c>
      <c r="N8815" s="508">
        <f t="array" ref="N8815">INDEX(N$4462:N$5328,MATCH($B8815&amp;$C8815,$B$4462:$B$5328&amp;$C$4462:$C$5328,0))</f>
        <v>0.184</v>
      </c>
      <c r="O8815" s="508">
        <f t="array" ref="O8815">INDEX(O$4462:O$5328,MATCH($B8815&amp;$C8815,$B$4462:$B$5328&amp;$C$4462:$C$5328,0))</f>
        <v>0.186</v>
      </c>
      <c r="P8815" s="508">
        <f t="array" ref="P8815">INDEX(P$4462:P$5328,MATCH($B8815&amp;$C8815,$B$4462:$B$5328&amp;$C$4462:$C$5328,0))</f>
        <v>0.186</v>
      </c>
      <c r="Q8815" s="508">
        <f t="array" ref="Q8815">INDEX(Q$4462:Q$5328,MATCH($B8815&amp;$C8815,$B$4462:$B$5328&amp;$C$4462:$C$5328,0))</f>
        <v>0.192</v>
      </c>
      <c r="R8815" s="508">
        <f t="array" ref="R8815">INDEX(R$4462:R$5328,MATCH($B8815&amp;$C8815,$B$4462:$B$5328&amp;$C$4462:$C$5328,0))</f>
        <v>0.188</v>
      </c>
      <c r="S8815" s="508">
        <f t="array" ref="S8815">INDEX(S$4462:S$5328,MATCH($B8815&amp;$C8815,$B$4462:$B$5328&amp;$C$4462:$C$5328,0))</f>
        <v>0.187</v>
      </c>
      <c r="T8815" s="508">
        <f t="array" ref="T8815">INDEX(T$4462:T$5328,MATCH($B8815&amp;$C8815,$B$4462:$B$5328&amp;$C$4462:$C$5328,0))</f>
        <v>0.186</v>
      </c>
      <c r="U8815" s="508">
        <f t="array" ref="U8815">INDEX(U$4462:U$5328,MATCH($B8815&amp;$C8815,$B$4462:$B$5328&amp;$C$4462:$C$5328,0))</f>
        <v>0.188</v>
      </c>
      <c r="V8815" s="508">
        <f t="array" ref="V8815">INDEX(V$4462:V$5328,MATCH($B8815&amp;$C8815,$B$4462:$B$5328&amp;$C$4462:$C$5328,0))</f>
        <v>0.17199999999999999</v>
      </c>
      <c r="W8815" s="508">
        <f t="array" ref="W8815">INDEX(W$4462:W$5328,MATCH($B8815&amp;$C8815,$B$4462:$B$5328&amp;$C$4462:$C$5328,0))</f>
        <v>0.17799999999999999</v>
      </c>
      <c r="X8815" s="508">
        <f t="array" ref="X8815">INDEX(X$4462:X$5328,MATCH($B8815&amp;$C8815,$B$4462:$B$5328&amp;$C$4462:$C$5328,0))</f>
        <v>0.17</v>
      </c>
      <c r="Y8815" s="508">
        <f t="array" ref="Y8815">INDEX(Y$4462:Y$5328,MATCH($B8815&amp;$C8815,$B$4462:$B$5328&amp;$C$4462:$C$5328,0))</f>
        <v>0.17399999999999999</v>
      </c>
      <c r="Z8815" s="508">
        <f t="array" ref="Z8815">INDEX(Z$4462:Z$5328,MATCH($B8815&amp;$C8815,$B$4462:$B$5328&amp;$C$4462:$C$5328,0))</f>
        <v>0.17699999999999999</v>
      </c>
      <c r="AA8815" s="508">
        <f t="array" ref="AA8815">INDEX(AA$4462:AA$5328,MATCH($B8815&amp;$C8815,$B$4462:$B$5328&amp;$C$4462:$C$5328,0))</f>
        <v>0.17599999999999999</v>
      </c>
      <c r="AB8815" s="508">
        <f t="array" ref="AB8815">INDEX(AB$4462:AB$5328,MATCH($B8815&amp;$C8815,$B$4462:$B$5328&amp;$C$4462:$C$5328,0))</f>
        <v>0.17</v>
      </c>
      <c r="AC8815" s="508">
        <f t="array" ref="AC8815">INDEX(AC$4462:AC$5328,MATCH($B8815&amp;$C8815,$B$4462:$B$5328&amp;$C$4462:$C$5328,0))</f>
        <v>0.183</v>
      </c>
      <c r="AD8815" s="508">
        <f t="array" ref="AD8815">INDEX(AD$4462:AD$5328,MATCH($B8815&amp;$C8815,$B$4462:$B$5328&amp;$C$4462:$C$5328,0))</f>
        <v>0.18099999999999999</v>
      </c>
      <c r="AE8815" s="508">
        <f t="array" ref="AE8815">INDEX(AE$4462:AE$5328,MATCH($B8815&amp;$C8815,$B$4462:$B$5328&amp;$C$4462:$C$5328,0))</f>
        <v>0.17599999999999999</v>
      </c>
      <c r="AF8815" s="508">
        <f t="array" ref="AF8815">INDEX(AF$4462:AF$5328,MATCH($B8815&amp;$C8815,$B$4462:$B$5328&amp;$C$4462:$C$5328,0))</f>
        <v>0.17599999999999999</v>
      </c>
      <c r="AG8815" s="508">
        <f t="array" ref="AG8815">INDEX(AG$4462:AG$5328,MATCH($B8815&amp;$C8815,$B$4462:$B$5328&amp;$C$4462:$C$5328,0))</f>
        <v>0.17599999999999999</v>
      </c>
      <c r="AH8815" s="508">
        <f t="array" ref="AH8815">INDEX(AH$4462:AH$5328,MATCH($B8815&amp;$C8815,$B$4462:$B$5328&amp;$C$4462:$C$5328,0))</f>
        <v>0.17599999999999999</v>
      </c>
      <c r="AI8815" s="508">
        <f t="array" ref="AI8815">INDEX(AI$4462:AI$5328,MATCH($B8815&amp;$C8815,$B$4462:$B$5328&amp;$C$4462:$C$5328,0))</f>
        <v>0.17599999999999999</v>
      </c>
      <c r="AJ8815" s="508"/>
      <c r="AK8815" s="508">
        <f t="shared" si="179"/>
        <v>0.17599999999999999</v>
      </c>
      <c r="AL8815" s="508">
        <f t="shared" si="180"/>
        <v>0.17599999999999999</v>
      </c>
      <c r="AM8815" s="508">
        <f t="shared" si="180"/>
        <v>0.17599999999999999</v>
      </c>
      <c r="AN8815" s="508">
        <f t="shared" si="180"/>
        <v>0.17599999999999999</v>
      </c>
      <c r="AO8815" s="508">
        <f t="array" ref="AO8815">INDEX('GREET Fuel Attributes'!$E$8948:$E$9083,MATCH($C8815&amp;$D8815,'GREET Fuel Attributes'!$B$8948:$B$9083&amp;'GREET Fuel Attributes'!$C$8948:$C$9083,0))/INDEX('GREET Fuel Attributes'!$D$8948:$D$9083,MATCH($C8815&amp;$D8815,'GREET Fuel Attributes'!$B$8948:$B$9083&amp;'GREET Fuel Attributes'!$C$8948:$C$9083,0))*AI8815</f>
        <v>0.17599999999999999</v>
      </c>
      <c r="AP8815" s="132" t="s">
        <v>1387</v>
      </c>
      <c r="AQ8815" s="142" t="s">
        <v>313</v>
      </c>
    </row>
    <row r="8816" spans="2:43">
      <c r="B8816" s="136" t="str">
        <f t="shared" si="178"/>
        <v>ILLINOIS</v>
      </c>
      <c r="C8816" s="132" t="s">
        <v>1363</v>
      </c>
      <c r="D8816" s="132" t="s">
        <v>285</v>
      </c>
      <c r="E8816" s="508">
        <f t="array" ref="E8816">INDEX(E$5329:E$6195,MATCH($B8816&amp;$C8816,$B$5329:$B$6195&amp;$C$5329:$C$6195,0))</f>
        <v>2.903</v>
      </c>
      <c r="F8816" s="508">
        <f t="array" ref="F8816">INDEX(F$5329:F$6195,MATCH($B8816&amp;$C8816,$B$5329:$B$6195&amp;$C$5329:$C$6195,0))</f>
        <v>2.88</v>
      </c>
      <c r="G8816" s="508">
        <f t="array" ref="G8816">INDEX(G$5329:G$6195,MATCH($B8816&amp;$C8816,$B$5329:$B$6195&amp;$C$5329:$C$6195,0))</f>
        <v>2.7890000000000001</v>
      </c>
      <c r="H8816" s="508">
        <f t="array" ref="H8816">INDEX(H$5329:H$6195,MATCH($B8816&amp;$C8816,$B$5329:$B$6195&amp;$C$5329:$C$6195,0))</f>
        <v>1.1830000000000001</v>
      </c>
      <c r="I8816" s="508">
        <f t="array" ref="I8816">INDEX(I$5329:I$6195,MATCH($B8816&amp;$C8816,$B$5329:$B$6195&amp;$C$5329:$C$6195,0))</f>
        <v>1.1839999999999999</v>
      </c>
      <c r="J8816" s="508">
        <f t="array" ref="J8816">INDEX(J$5329:J$6195,MATCH($B8816&amp;$C8816,$B$5329:$B$6195&amp;$C$5329:$C$6195,0))</f>
        <v>1.1990000000000001</v>
      </c>
      <c r="K8816" s="508">
        <f t="array" ref="K8816">INDEX(K$5329:K$6195,MATCH($B8816&amp;$C8816,$B$5329:$B$6195&amp;$C$5329:$C$6195,0))</f>
        <v>1.194</v>
      </c>
      <c r="L8816" s="508">
        <f t="array" ref="L8816">INDEX(L$5329:L$6195,MATCH($B8816&amp;$C8816,$B$5329:$B$6195&amp;$C$5329:$C$6195,0))</f>
        <v>1.181</v>
      </c>
      <c r="M8816" s="508">
        <f t="array" ref="M8816">INDEX(M$5329:M$6195,MATCH($B8816&amp;$C8816,$B$5329:$B$6195&amp;$C$5329:$C$6195,0))</f>
        <v>1.196</v>
      </c>
      <c r="N8816" s="508">
        <f t="array" ref="N8816">INDEX(N$5329:N$6195,MATCH($B8816&amp;$C8816,$B$5329:$B$6195&amp;$C$5329:$C$6195,0))</f>
        <v>1.2509999999999999</v>
      </c>
      <c r="O8816" s="508">
        <f t="array" ref="O8816">INDEX(O$5329:O$6195,MATCH($B8816&amp;$C8816,$B$5329:$B$6195&amp;$C$5329:$C$6195,0))</f>
        <v>1.24</v>
      </c>
      <c r="P8816" s="508">
        <f t="array" ref="P8816">INDEX(P$5329:P$6195,MATCH($B8816&amp;$C8816,$B$5329:$B$6195&amp;$C$5329:$C$6195,0))</f>
        <v>1.2410000000000001</v>
      </c>
      <c r="Q8816" s="508">
        <f t="array" ref="Q8816">INDEX(Q$5329:Q$6195,MATCH($B8816&amp;$C8816,$B$5329:$B$6195&amp;$C$5329:$C$6195,0))</f>
        <v>1.2150000000000001</v>
      </c>
      <c r="R8816" s="508">
        <f t="array" ref="R8816">INDEX(R$5329:R$6195,MATCH($B8816&amp;$C8816,$B$5329:$B$6195&amp;$C$5329:$C$6195,0))</f>
        <v>0.81799999999999995</v>
      </c>
      <c r="S8816" s="508">
        <f t="array" ref="S8816">INDEX(S$5329:S$6195,MATCH($B8816&amp;$C8816,$B$5329:$B$6195&amp;$C$5329:$C$6195,0))</f>
        <v>0.81499999999999995</v>
      </c>
      <c r="T8816" s="508">
        <f t="array" ref="T8816">INDEX(T$5329:T$6195,MATCH($B8816&amp;$C8816,$B$5329:$B$6195&amp;$C$5329:$C$6195,0))</f>
        <v>0.81</v>
      </c>
      <c r="U8816" s="508">
        <f t="array" ref="U8816">INDEX(U$5329:U$6195,MATCH($B8816&amp;$C8816,$B$5329:$B$6195&amp;$C$5329:$C$6195,0))</f>
        <v>0.81499999999999995</v>
      </c>
      <c r="V8816" s="508">
        <f t="array" ref="V8816">INDEX(V$5329:V$6195,MATCH($B8816&amp;$C8816,$B$5329:$B$6195&amp;$C$5329:$C$6195,0))</f>
        <v>0.77600000000000002</v>
      </c>
      <c r="W8816" s="508">
        <f t="array" ref="W8816">INDEX(W$5329:W$6195,MATCH($B8816&amp;$C8816,$B$5329:$B$6195&amp;$C$5329:$C$6195,0))</f>
        <v>0.71399999999999997</v>
      </c>
      <c r="X8816" s="508">
        <f t="array" ref="X8816">INDEX(X$5329:X$6195,MATCH($B8816&amp;$C8816,$B$5329:$B$6195&amp;$C$5329:$C$6195,0))</f>
        <v>0.69599999999999995</v>
      </c>
      <c r="Y8816" s="508">
        <f t="array" ref="Y8816">INDEX(Y$5329:Y$6195,MATCH($B8816&amp;$C8816,$B$5329:$B$6195&amp;$C$5329:$C$6195,0))</f>
        <v>0.70499999999999996</v>
      </c>
      <c r="Z8816" s="508">
        <f t="array" ref="Z8816">INDEX(Z$5329:Z$6195,MATCH($B8816&amp;$C8816,$B$5329:$B$6195&amp;$C$5329:$C$6195,0))</f>
        <v>0.71099999999999997</v>
      </c>
      <c r="AA8816" s="508">
        <f t="array" ref="AA8816">INDEX(AA$5329:AA$6195,MATCH($B8816&amp;$C8816,$B$5329:$B$6195&amp;$C$5329:$C$6195,0))</f>
        <v>3.5999999999999997E-2</v>
      </c>
      <c r="AB8816" s="508">
        <f t="array" ref="AB8816">INDEX(AB$5329:AB$6195,MATCH($B8816&amp;$C8816,$B$5329:$B$6195&amp;$C$5329:$C$6195,0))</f>
        <v>3.5000000000000003E-2</v>
      </c>
      <c r="AC8816" s="508">
        <f t="array" ref="AC8816">INDEX(AC$5329:AC$6195,MATCH($B8816&amp;$C8816,$B$5329:$B$6195&amp;$C$5329:$C$6195,0))</f>
        <v>3.7999999999999999E-2</v>
      </c>
      <c r="AD8816" s="508">
        <f t="array" ref="AD8816">INDEX(AD$5329:AD$6195,MATCH($B8816&amp;$C8816,$B$5329:$B$6195&amp;$C$5329:$C$6195,0))</f>
        <v>3.5000000000000003E-2</v>
      </c>
      <c r="AE8816" s="508">
        <f t="array" ref="AE8816">INDEX(AE$5329:AE$6195,MATCH($B8816&amp;$C8816,$B$5329:$B$6195&amp;$C$5329:$C$6195,0))</f>
        <v>3.4000000000000002E-2</v>
      </c>
      <c r="AF8816" s="508">
        <f t="array" ref="AF8816">INDEX(AF$5329:AF$6195,MATCH($B8816&amp;$C8816,$B$5329:$B$6195&amp;$C$5329:$C$6195,0))</f>
        <v>2.1999999999999999E-2</v>
      </c>
      <c r="AG8816" s="508">
        <f t="array" ref="AG8816">INDEX(AG$5329:AG$6195,MATCH($B8816&amp;$C8816,$B$5329:$B$6195&amp;$C$5329:$C$6195,0))</f>
        <v>2.1000000000000001E-2</v>
      </c>
      <c r="AH8816" s="508">
        <f t="array" ref="AH8816">INDEX(AH$5329:AH$6195,MATCH($B8816&amp;$C8816,$B$5329:$B$6195&amp;$C$5329:$C$6195,0))</f>
        <v>2.1000000000000001E-2</v>
      </c>
      <c r="AI8816" s="508">
        <f t="array" ref="AI8816">INDEX(AI$5329:AI$6195,MATCH($B8816&amp;$C8816,$B$5329:$B$6195&amp;$C$5329:$C$6195,0))</f>
        <v>2.1000000000000001E-2</v>
      </c>
      <c r="AJ8816" s="508"/>
      <c r="AK8816" s="508">
        <f t="shared" si="179"/>
        <v>2.0844444444444447E-2</v>
      </c>
      <c r="AL8816" s="508">
        <f t="shared" si="180"/>
        <v>2.0688888888888892E-2</v>
      </c>
      <c r="AM8816" s="508">
        <f t="shared" si="180"/>
        <v>2.0533333333333337E-2</v>
      </c>
      <c r="AN8816" s="508">
        <f t="shared" si="180"/>
        <v>2.0377777777777783E-2</v>
      </c>
      <c r="AO8816" s="508">
        <f t="array" ref="AO8816">INDEX('GREET Fuel Attributes'!$E$8948:$E$9083,MATCH($C8816&amp;$D8816,'GREET Fuel Attributes'!$B$8948:$B$9083&amp;'GREET Fuel Attributes'!$C$8948:$C$9083,0))/INDEX('GREET Fuel Attributes'!$D$8948:$D$9083,MATCH($C8816&amp;$D8816,'GREET Fuel Attributes'!$B$8948:$B$9083&amp;'GREET Fuel Attributes'!$C$8948:$C$9083,0))*AI8816</f>
        <v>2.0222222222222221E-2</v>
      </c>
      <c r="AP8816" s="132" t="s">
        <v>1387</v>
      </c>
      <c r="AQ8816" s="142" t="s">
        <v>313</v>
      </c>
    </row>
    <row r="8817" spans="2:43">
      <c r="B8817" s="136" t="str">
        <f t="shared" si="178"/>
        <v>ILLINOIS</v>
      </c>
      <c r="C8817" s="132" t="s">
        <v>1363</v>
      </c>
      <c r="D8817" s="132" t="s">
        <v>1380</v>
      </c>
      <c r="E8817" s="508">
        <f t="array" ref="E8817">INDEX(E$6196:E$7062,MATCH($B8817&amp;$C8817,$B$6196:$B$7062&amp;$C$6196:$C$7062,0))</f>
        <v>2.4E-2</v>
      </c>
      <c r="F8817" s="508">
        <f t="array" ref="F8817">INDEX(F$6196:F$7062,MATCH($B8817&amp;$C8817,$B$6196:$B$7062&amp;$C$6196:$C$7062,0))</f>
        <v>2.4E-2</v>
      </c>
      <c r="G8817" s="508">
        <f t="array" ref="G8817">INDEX(G$6196:G$7062,MATCH($B8817&amp;$C8817,$B$6196:$B$7062&amp;$C$6196:$C$7062,0))</f>
        <v>2.3E-2</v>
      </c>
      <c r="H8817" s="508">
        <f t="array" ref="H8817">INDEX(H$6196:H$7062,MATCH($B8817&amp;$C8817,$B$6196:$B$7062&amp;$C$6196:$C$7062,0))</f>
        <v>2.4E-2</v>
      </c>
      <c r="I8817" s="508">
        <f t="array" ref="I8817">INDEX(I$6196:I$7062,MATCH($B8817&amp;$C8817,$B$6196:$B$7062&amp;$C$6196:$C$7062,0))</f>
        <v>2.4E-2</v>
      </c>
      <c r="J8817" s="508">
        <f t="array" ref="J8817">INDEX(J$6196:J$7062,MATCH($B8817&amp;$C8817,$B$6196:$B$7062&amp;$C$6196:$C$7062,0))</f>
        <v>2.3E-2</v>
      </c>
      <c r="K8817" s="508">
        <f t="array" ref="K8817">INDEX(K$6196:K$7062,MATCH($B8817&amp;$C8817,$B$6196:$B$7062&amp;$C$6196:$C$7062,0))</f>
        <v>2.4E-2</v>
      </c>
      <c r="L8817" s="508">
        <f t="array" ref="L8817">INDEX(L$6196:L$7062,MATCH($B8817&amp;$C8817,$B$6196:$B$7062&amp;$C$6196:$C$7062,0))</f>
        <v>2.3E-2</v>
      </c>
      <c r="M8817" s="508">
        <f t="array" ref="M8817">INDEX(M$6196:M$7062,MATCH($B8817&amp;$C8817,$B$6196:$B$7062&amp;$C$6196:$C$7062,0))</f>
        <v>2.4E-2</v>
      </c>
      <c r="N8817" s="508">
        <f t="array" ref="N8817">INDEX(N$6196:N$7062,MATCH($B8817&amp;$C8817,$B$6196:$B$7062&amp;$C$6196:$C$7062,0))</f>
        <v>2.4E-2</v>
      </c>
      <c r="O8817" s="508">
        <f t="array" ref="O8817">INDEX(O$6196:O$7062,MATCH($B8817&amp;$C8817,$B$6196:$B$7062&amp;$C$6196:$C$7062,0))</f>
        <v>2.4E-2</v>
      </c>
      <c r="P8817" s="508">
        <f t="array" ref="P8817">INDEX(P$6196:P$7062,MATCH($B8817&amp;$C8817,$B$6196:$B$7062&amp;$C$6196:$C$7062,0))</f>
        <v>2.4E-2</v>
      </c>
      <c r="Q8817" s="508">
        <f t="array" ref="Q8817">INDEX(Q$6196:Q$7062,MATCH($B8817&amp;$C8817,$B$6196:$B$7062&amp;$C$6196:$C$7062,0))</f>
        <v>2.5000000000000001E-2</v>
      </c>
      <c r="R8817" s="508">
        <f t="array" ref="R8817">INDEX(R$6196:R$7062,MATCH($B8817&amp;$C8817,$B$6196:$B$7062&amp;$C$6196:$C$7062,0))</f>
        <v>2.4E-2</v>
      </c>
      <c r="S8817" s="508">
        <f t="array" ref="S8817">INDEX(S$6196:S$7062,MATCH($B8817&amp;$C8817,$B$6196:$B$7062&amp;$C$6196:$C$7062,0))</f>
        <v>2.4E-2</v>
      </c>
      <c r="T8817" s="508">
        <f t="array" ref="T8817">INDEX(T$6196:T$7062,MATCH($B8817&amp;$C8817,$B$6196:$B$7062&amp;$C$6196:$C$7062,0))</f>
        <v>2.4E-2</v>
      </c>
      <c r="U8817" s="508">
        <f t="array" ref="U8817">INDEX(U$6196:U$7062,MATCH($B8817&amp;$C8817,$B$6196:$B$7062&amp;$C$6196:$C$7062,0))</f>
        <v>2.4E-2</v>
      </c>
      <c r="V8817" s="508">
        <f t="array" ref="V8817">INDEX(V$6196:V$7062,MATCH($B8817&amp;$C8817,$B$6196:$B$7062&amp;$C$6196:$C$7062,0))</f>
        <v>2.1999999999999999E-2</v>
      </c>
      <c r="W8817" s="508">
        <f t="array" ref="W8817">INDEX(W$6196:W$7062,MATCH($B8817&amp;$C8817,$B$6196:$B$7062&amp;$C$6196:$C$7062,0))</f>
        <v>2.3E-2</v>
      </c>
      <c r="X8817" s="508">
        <f t="array" ref="X8817">INDEX(X$6196:X$7062,MATCH($B8817&amp;$C8817,$B$6196:$B$7062&amp;$C$6196:$C$7062,0))</f>
        <v>2.1999999999999999E-2</v>
      </c>
      <c r="Y8817" s="508">
        <f t="array" ref="Y8817">INDEX(Y$6196:Y$7062,MATCH($B8817&amp;$C8817,$B$6196:$B$7062&amp;$C$6196:$C$7062,0))</f>
        <v>2.1999999999999999E-2</v>
      </c>
      <c r="Z8817" s="508">
        <f t="array" ref="Z8817">INDEX(Z$6196:Z$7062,MATCH($B8817&amp;$C8817,$B$6196:$B$7062&amp;$C$6196:$C$7062,0))</f>
        <v>2.3E-2</v>
      </c>
      <c r="AA8817" s="508">
        <f t="array" ref="AA8817">INDEX(AA$6196:AA$7062,MATCH($B8817&amp;$C8817,$B$6196:$B$7062&amp;$C$6196:$C$7062,0))</f>
        <v>2.3E-2</v>
      </c>
      <c r="AB8817" s="508">
        <f t="array" ref="AB8817">INDEX(AB$6196:AB$7062,MATCH($B8817&amp;$C8817,$B$6196:$B$7062&amp;$C$6196:$C$7062,0))</f>
        <v>2.1999999999999999E-2</v>
      </c>
      <c r="AC8817" s="508">
        <f t="array" ref="AC8817">INDEX(AC$6196:AC$7062,MATCH($B8817&amp;$C8817,$B$6196:$B$7062&amp;$C$6196:$C$7062,0))</f>
        <v>2.4E-2</v>
      </c>
      <c r="AD8817" s="508">
        <f t="array" ref="AD8817">INDEX(AD$6196:AD$7062,MATCH($B8817&amp;$C8817,$B$6196:$B$7062&amp;$C$6196:$C$7062,0))</f>
        <v>2.3E-2</v>
      </c>
      <c r="AE8817" s="508">
        <f t="array" ref="AE8817">INDEX(AE$6196:AE$7062,MATCH($B8817&amp;$C8817,$B$6196:$B$7062&amp;$C$6196:$C$7062,0))</f>
        <v>2.3E-2</v>
      </c>
      <c r="AF8817" s="508">
        <f t="array" ref="AF8817">INDEX(AF$6196:AF$7062,MATCH($B8817&amp;$C8817,$B$6196:$B$7062&amp;$C$6196:$C$7062,0))</f>
        <v>2.3E-2</v>
      </c>
      <c r="AG8817" s="508">
        <f t="array" ref="AG8817">INDEX(AG$6196:AG$7062,MATCH($B8817&amp;$C8817,$B$6196:$B$7062&amp;$C$6196:$C$7062,0))</f>
        <v>2.3E-2</v>
      </c>
      <c r="AH8817" s="508">
        <f t="array" ref="AH8817">INDEX(AH$6196:AH$7062,MATCH($B8817&amp;$C8817,$B$6196:$B$7062&amp;$C$6196:$C$7062,0))</f>
        <v>2.3E-2</v>
      </c>
      <c r="AI8817" s="508">
        <f t="array" ref="AI8817">INDEX(AI$6196:AI$7062,MATCH($B8817&amp;$C8817,$B$6196:$B$7062&amp;$C$6196:$C$7062,0))</f>
        <v>2.3E-2</v>
      </c>
      <c r="AJ8817" s="508"/>
      <c r="AK8817" s="508">
        <f t="shared" si="179"/>
        <v>2.3E-2</v>
      </c>
      <c r="AL8817" s="508">
        <f t="shared" si="180"/>
        <v>2.3E-2</v>
      </c>
      <c r="AM8817" s="508">
        <f t="shared" si="180"/>
        <v>2.3E-2</v>
      </c>
      <c r="AN8817" s="508">
        <f t="shared" si="180"/>
        <v>2.3E-2</v>
      </c>
      <c r="AO8817" s="508">
        <f t="array" ref="AO8817">INDEX('GREET Fuel Attributes'!$E$8948:$E$9083,MATCH($C8817&amp;$D8817,'GREET Fuel Attributes'!$B$8948:$B$9083&amp;'GREET Fuel Attributes'!$C$8948:$C$9083,0))/INDEX('GREET Fuel Attributes'!$D$8948:$D$9083,MATCH($C8817&amp;$D8817,'GREET Fuel Attributes'!$B$8948:$B$9083&amp;'GREET Fuel Attributes'!$C$8948:$C$9083,0))*AI8817</f>
        <v>2.3E-2</v>
      </c>
      <c r="AP8817" s="132" t="s">
        <v>1387</v>
      </c>
      <c r="AQ8817" s="142" t="s">
        <v>313</v>
      </c>
    </row>
    <row r="8818" spans="2:43">
      <c r="B8818" s="136" t="str">
        <f t="shared" si="178"/>
        <v>ILLINOIS</v>
      </c>
      <c r="C8818" s="132" t="s">
        <v>1363</v>
      </c>
      <c r="D8818" s="132" t="s">
        <v>281</v>
      </c>
      <c r="E8818" s="508">
        <f t="array" ref="E8818">INDEX(E$7063:E$7929,MATCH($B8818&amp;$C8818,$B$7063:$B$7929&amp;$C$7063:$C$7929,0))</f>
        <v>1.659</v>
      </c>
      <c r="F8818" s="508">
        <f t="array" ref="F8818">INDEX(F$7063:F$7929,MATCH($B8818&amp;$C8818,$B$7063:$B$7929&amp;$C$7063:$C$7929,0))</f>
        <v>1.536</v>
      </c>
      <c r="G8818" s="508">
        <f t="array" ref="G8818">INDEX(G$7063:G$7929,MATCH($B8818&amp;$C8818,$B$7063:$B$7929&amp;$C$7063:$C$7929,0))</f>
        <v>1.508</v>
      </c>
      <c r="H8818" s="508">
        <f t="array" ref="H8818">INDEX(H$7063:H$7929,MATCH($B8818&amp;$C8818,$B$7063:$B$7929&amp;$C$7063:$C$7929,0))</f>
        <v>1.393</v>
      </c>
      <c r="I8818" s="508">
        <f t="array" ref="I8818">INDEX(I$7063:I$7929,MATCH($B8818&amp;$C8818,$B$7063:$B$7929&amp;$C$7063:$C$7929,0))</f>
        <v>1.3640000000000001</v>
      </c>
      <c r="J8818" s="508">
        <f t="array" ref="J8818">INDEX(J$7063:J$7929,MATCH($B8818&amp;$C8818,$B$7063:$B$7929&amp;$C$7063:$C$7929,0))</f>
        <v>1.3759999999999999</v>
      </c>
      <c r="K8818" s="508">
        <f t="array" ref="K8818">INDEX(K$7063:K$7929,MATCH($B8818&amp;$C8818,$B$7063:$B$7929&amp;$C$7063:$C$7929,0))</f>
        <v>1.3009999999999999</v>
      </c>
      <c r="L8818" s="508">
        <f t="array" ref="L8818">INDEX(L$7063:L$7929,MATCH($B8818&amp;$C8818,$B$7063:$B$7929&amp;$C$7063:$C$7929,0))</f>
        <v>1.337</v>
      </c>
      <c r="M8818" s="508">
        <f t="array" ref="M8818">INDEX(M$7063:M$7929,MATCH($B8818&amp;$C8818,$B$7063:$B$7929&amp;$C$7063:$C$7929,0))</f>
        <v>1.2569999999999999</v>
      </c>
      <c r="N8818" s="508">
        <f t="array" ref="N8818">INDEX(N$7063:N$7929,MATCH($B8818&amp;$C8818,$B$7063:$B$7929&amp;$C$7063:$C$7929,0))</f>
        <v>1.2949999999999999</v>
      </c>
      <c r="O8818" s="508">
        <f t="array" ref="O8818">INDEX(O$7063:O$7929,MATCH($B8818&amp;$C8818,$B$7063:$B$7929&amp;$C$7063:$C$7929,0))</f>
        <v>1.264</v>
      </c>
      <c r="P8818" s="508">
        <f t="array" ref="P8818">INDEX(P$7063:P$7929,MATCH($B8818&amp;$C8818,$B$7063:$B$7929&amp;$C$7063:$C$7929,0))</f>
        <v>1.2589999999999999</v>
      </c>
      <c r="Q8818" s="508">
        <f t="array" ref="Q8818">INDEX(Q$7063:Q$7929,MATCH($B8818&amp;$C8818,$B$7063:$B$7929&amp;$C$7063:$C$7929,0))</f>
        <v>1.2</v>
      </c>
      <c r="R8818" s="508">
        <f t="array" ref="R8818">INDEX(R$7063:R$7929,MATCH($B8818&amp;$C8818,$B$7063:$B$7929&amp;$C$7063:$C$7929,0))</f>
        <v>1.224</v>
      </c>
      <c r="S8818" s="508">
        <f t="array" ref="S8818">INDEX(S$7063:S$7929,MATCH($B8818&amp;$C8818,$B$7063:$B$7929&amp;$C$7063:$C$7929,0))</f>
        <v>1.2290000000000001</v>
      </c>
      <c r="T8818" s="508">
        <f t="array" ref="T8818">INDEX(T$7063:T$7929,MATCH($B8818&amp;$C8818,$B$7063:$B$7929&amp;$C$7063:$C$7929,0))</f>
        <v>1.222</v>
      </c>
      <c r="U8818" s="508">
        <f t="array" ref="U8818">INDEX(U$7063:U$7929,MATCH($B8818&amp;$C8818,$B$7063:$B$7929&amp;$C$7063:$C$7929,0))</f>
        <v>1.19</v>
      </c>
      <c r="V8818" s="508">
        <f t="array" ref="V8818">INDEX(V$7063:V$7929,MATCH($B8818&amp;$C8818,$B$7063:$B$7929&amp;$C$7063:$C$7929,0))</f>
        <v>1.323</v>
      </c>
      <c r="W8818" s="508">
        <f t="array" ref="W8818">INDEX(W$7063:W$7929,MATCH($B8818&amp;$C8818,$B$7063:$B$7929&amp;$C$7063:$C$7929,0))</f>
        <v>0.90400000000000003</v>
      </c>
      <c r="X8818" s="508">
        <f t="array" ref="X8818">INDEX(X$7063:X$7929,MATCH($B8818&amp;$C8818,$B$7063:$B$7929&amp;$C$7063:$C$7929,0))</f>
        <v>0.91400000000000003</v>
      </c>
      <c r="Y8818" s="508">
        <f t="array" ref="Y8818">INDEX(Y$7063:Y$7929,MATCH($B8818&amp;$C8818,$B$7063:$B$7929&amp;$C$7063:$C$7929,0))</f>
        <v>0.90300000000000002</v>
      </c>
      <c r="Z8818" s="508">
        <f t="array" ref="Z8818">INDEX(Z$7063:Z$7929,MATCH($B8818&amp;$C8818,$B$7063:$B$7929&amp;$C$7063:$C$7929,0))</f>
        <v>0.89500000000000002</v>
      </c>
      <c r="AA8818" s="508">
        <f t="array" ref="AA8818">INDEX(AA$7063:AA$7929,MATCH($B8818&amp;$C8818,$B$7063:$B$7929&amp;$C$7063:$C$7929,0))</f>
        <v>9.6000000000000002E-2</v>
      </c>
      <c r="AB8818" s="508">
        <f t="array" ref="AB8818">INDEX(AB$7063:AB$7929,MATCH($B8818&amp;$C8818,$B$7063:$B$7929&amp;$C$7063:$C$7929,0))</f>
        <v>9.6000000000000002E-2</v>
      </c>
      <c r="AC8818" s="508">
        <f t="array" ref="AC8818">INDEX(AC$7063:AC$7929,MATCH($B8818&amp;$C8818,$B$7063:$B$7929&amp;$C$7063:$C$7929,0))</f>
        <v>9.2999999999999999E-2</v>
      </c>
      <c r="AD8818" s="508">
        <f t="array" ref="AD8818">INDEX(AD$7063:AD$7929,MATCH($B8818&amp;$C8818,$B$7063:$B$7929&amp;$C$7063:$C$7929,0))</f>
        <v>6.2E-2</v>
      </c>
      <c r="AE8818" s="508">
        <f t="array" ref="AE8818">INDEX(AE$7063:AE$7929,MATCH($B8818&amp;$C8818,$B$7063:$B$7929&amp;$C$7063:$C$7929,0))</f>
        <v>6.0999999999999999E-2</v>
      </c>
      <c r="AF8818" s="508">
        <f t="array" ref="AF8818">INDEX(AF$7063:AF$7929,MATCH($B8818&amp;$C8818,$B$7063:$B$7929&amp;$C$7063:$C$7929,0))</f>
        <v>5.1999999999999998E-2</v>
      </c>
      <c r="AG8818" s="508">
        <f t="array" ref="AG8818">INDEX(AG$7063:AG$7929,MATCH($B8818&amp;$C8818,$B$7063:$B$7929&amp;$C$7063:$C$7929,0))</f>
        <v>5.0999999999999997E-2</v>
      </c>
      <c r="AH8818" s="508">
        <f t="array" ref="AH8818">INDEX(AH$7063:AH$7929,MATCH($B8818&amp;$C8818,$B$7063:$B$7929&amp;$C$7063:$C$7929,0))</f>
        <v>5.0999999999999997E-2</v>
      </c>
      <c r="AI8818" s="508">
        <f t="array" ref="AI8818">INDEX(AI$7063:AI$7929,MATCH($B8818&amp;$C8818,$B$7063:$B$7929&amp;$C$7063:$C$7929,0))</f>
        <v>5.0999999999999997E-2</v>
      </c>
      <c r="AJ8818" s="508"/>
      <c r="AK8818" s="508">
        <f t="shared" si="179"/>
        <v>5.0799999999999998E-2</v>
      </c>
      <c r="AL8818" s="508">
        <f t="shared" si="180"/>
        <v>5.0599999999999999E-2</v>
      </c>
      <c r="AM8818" s="508">
        <f t="shared" si="180"/>
        <v>5.04E-2</v>
      </c>
      <c r="AN8818" s="508">
        <f t="shared" si="180"/>
        <v>5.0200000000000002E-2</v>
      </c>
      <c r="AO8818" s="508">
        <f t="array" ref="AO8818">INDEX('GREET Fuel Attributes'!$E$8948:$E$9083,MATCH($C8818&amp;$D8818,'GREET Fuel Attributes'!$B$8948:$B$9083&amp;'GREET Fuel Attributes'!$C$8948:$C$9083,0))/INDEX('GREET Fuel Attributes'!$D$8948:$D$9083,MATCH($C8818&amp;$D8818,'GREET Fuel Attributes'!$B$8948:$B$9083&amp;'GREET Fuel Attributes'!$C$8948:$C$9083,0))*AI8818</f>
        <v>0.05</v>
      </c>
      <c r="AP8818" s="132" t="s">
        <v>1387</v>
      </c>
      <c r="AQ8818" s="142" t="s">
        <v>313</v>
      </c>
    </row>
    <row r="8819" spans="2:43">
      <c r="B8819" s="136" t="str">
        <f t="shared" si="178"/>
        <v>ILLINOIS</v>
      </c>
      <c r="C8819" s="132" t="s">
        <v>1363</v>
      </c>
      <c r="D8819" s="132" t="s">
        <v>1384</v>
      </c>
      <c r="E8819" s="508">
        <f t="array" ref="E8819">INDEX(E$7930:E$8796,MATCH($B8819&amp;$C8819,$B$7930:$B$8796&amp;$C$7930:$C$8796,0))</f>
        <v>5.8999999999999997E-2</v>
      </c>
      <c r="F8819" s="508">
        <f t="array" ref="F8819">INDEX(F$7930:F$8796,MATCH($B8819&amp;$C8819,$B$7930:$B$8796&amp;$C$7930:$C$8796,0))</f>
        <v>5.8000000000000003E-2</v>
      </c>
      <c r="G8819" s="508">
        <f t="array" ref="G8819">INDEX(G$7930:G$8796,MATCH($B8819&amp;$C8819,$B$7930:$B$8796&amp;$C$7930:$C$8796,0))</f>
        <v>5.8000000000000003E-2</v>
      </c>
      <c r="H8819" s="508">
        <f t="array" ref="H8819">INDEX(H$7930:H$8796,MATCH($B8819&amp;$C8819,$B$7930:$B$8796&amp;$C$7930:$C$8796,0))</f>
        <v>5.8000000000000003E-2</v>
      </c>
      <c r="I8819" s="508">
        <f t="array" ref="I8819">INDEX(I$7930:I$8796,MATCH($B8819&amp;$C8819,$B$7930:$B$8796&amp;$C$7930:$C$8796,0))</f>
        <v>5.8000000000000003E-2</v>
      </c>
      <c r="J8819" s="508">
        <f t="array" ref="J8819">INDEX(J$7930:J$8796,MATCH($B8819&amp;$C8819,$B$7930:$B$8796&amp;$C$7930:$C$8796,0))</f>
        <v>5.8000000000000003E-2</v>
      </c>
      <c r="K8819" s="508">
        <f t="array" ref="K8819">INDEX(K$7930:K$8796,MATCH($B8819&amp;$C8819,$B$7930:$B$8796&amp;$C$7930:$C$8796,0))</f>
        <v>5.8000000000000003E-2</v>
      </c>
      <c r="L8819" s="508">
        <f t="array" ref="L8819">INDEX(L$7930:L$8796,MATCH($B8819&amp;$C8819,$B$7930:$B$8796&amp;$C$7930:$C$8796,0))</f>
        <v>5.7000000000000002E-2</v>
      </c>
      <c r="M8819" s="508">
        <f t="array" ref="M8819">INDEX(M$7930:M$8796,MATCH($B8819&amp;$C8819,$B$7930:$B$8796&amp;$C$7930:$C$8796,0))</f>
        <v>5.7000000000000002E-2</v>
      </c>
      <c r="N8819" s="508">
        <f t="array" ref="N8819">INDEX(N$7930:N$8796,MATCH($B8819&amp;$C8819,$B$7930:$B$8796&amp;$C$7930:$C$8796,0))</f>
        <v>5.7000000000000002E-2</v>
      </c>
      <c r="O8819" s="508">
        <f t="array" ref="O8819">INDEX(O$7930:O$8796,MATCH($B8819&amp;$C8819,$B$7930:$B$8796&amp;$C$7930:$C$8796,0))</f>
        <v>5.7000000000000002E-2</v>
      </c>
      <c r="P8819" s="508">
        <f t="array" ref="P8819">INDEX(P$7930:P$8796,MATCH($B8819&amp;$C8819,$B$7930:$B$8796&amp;$C$7930:$C$8796,0))</f>
        <v>5.7000000000000002E-2</v>
      </c>
      <c r="Q8819" s="508">
        <f t="array" ref="Q8819">INDEX(Q$7930:Q$8796,MATCH($B8819&amp;$C8819,$B$7930:$B$8796&amp;$C$7930:$C$8796,0))</f>
        <v>5.7000000000000002E-2</v>
      </c>
      <c r="R8819" s="508">
        <f t="array" ref="R8819">INDEX(R$7930:R$8796,MATCH($B8819&amp;$C8819,$B$7930:$B$8796&amp;$C$7930:$C$8796,0))</f>
        <v>5.7000000000000002E-2</v>
      </c>
      <c r="S8819" s="508">
        <f t="array" ref="S8819">INDEX(S$7930:S$8796,MATCH($B8819&amp;$C8819,$B$7930:$B$8796&amp;$C$7930:$C$8796,0))</f>
        <v>5.7000000000000002E-2</v>
      </c>
      <c r="T8819" s="508">
        <f t="array" ref="T8819">INDEX(T$7930:T$8796,MATCH($B8819&amp;$C8819,$B$7930:$B$8796&amp;$C$7930:$C$8796,0))</f>
        <v>5.7000000000000002E-2</v>
      </c>
      <c r="U8819" s="508">
        <f t="array" ref="U8819">INDEX(U$7930:U$8796,MATCH($B8819&amp;$C8819,$B$7930:$B$8796&amp;$C$7930:$C$8796,0))</f>
        <v>5.7000000000000002E-2</v>
      </c>
      <c r="V8819" s="508">
        <f t="array" ref="V8819">INDEX(V$7930:V$8796,MATCH($B8819&amp;$C8819,$B$7930:$B$8796&amp;$C$7930:$C$8796,0))</f>
        <v>5.7000000000000002E-2</v>
      </c>
      <c r="W8819" s="508">
        <f t="array" ref="W8819">INDEX(W$7930:W$8796,MATCH($B8819&amp;$C8819,$B$7930:$B$8796&amp;$C$7930:$C$8796,0))</f>
        <v>5.5E-2</v>
      </c>
      <c r="X8819" s="508">
        <f t="array" ref="X8819">INDEX(X$7930:X$8796,MATCH($B8819&amp;$C8819,$B$7930:$B$8796&amp;$C$7930:$C$8796,0))</f>
        <v>5.5E-2</v>
      </c>
      <c r="Y8819" s="508">
        <f t="array" ref="Y8819">INDEX(Y$7930:Y$8796,MATCH($B8819&amp;$C8819,$B$7930:$B$8796&amp;$C$7930:$C$8796,0))</f>
        <v>5.5E-2</v>
      </c>
      <c r="Z8819" s="508">
        <f t="array" ref="Z8819">INDEX(Z$7930:Z$8796,MATCH($B8819&amp;$C8819,$B$7930:$B$8796&amp;$C$7930:$C$8796,0))</f>
        <v>5.5E-2</v>
      </c>
      <c r="AA8819" s="508">
        <f t="array" ref="AA8819">INDEX(AA$7930:AA$8796,MATCH($B8819&amp;$C8819,$B$7930:$B$8796&amp;$C$7930:$C$8796,0))</f>
        <v>5.5E-2</v>
      </c>
      <c r="AB8819" s="508">
        <f t="array" ref="AB8819">INDEX(AB$7930:AB$8796,MATCH($B8819&amp;$C8819,$B$7930:$B$8796&amp;$C$7930:$C$8796,0))</f>
        <v>5.5E-2</v>
      </c>
      <c r="AC8819" s="508">
        <f t="array" ref="AC8819">INDEX(AC$7930:AC$8796,MATCH($B8819&amp;$C8819,$B$7930:$B$8796&amp;$C$7930:$C$8796,0))</f>
        <v>5.5E-2</v>
      </c>
      <c r="AD8819" s="508">
        <f t="array" ref="AD8819">INDEX(AD$7930:AD$8796,MATCH($B8819&amp;$C8819,$B$7930:$B$8796&amp;$C$7930:$C$8796,0))</f>
        <v>5.5E-2</v>
      </c>
      <c r="AE8819" s="508">
        <f t="array" ref="AE8819">INDEX(AE$7930:AE$8796,MATCH($B8819&amp;$C8819,$B$7930:$B$8796&amp;$C$7930:$C$8796,0))</f>
        <v>5.5E-2</v>
      </c>
      <c r="AF8819" s="508">
        <f t="array" ref="AF8819">INDEX(AF$7930:AF$8796,MATCH($B8819&amp;$C8819,$B$7930:$B$8796&amp;$C$7930:$C$8796,0))</f>
        <v>5.5E-2</v>
      </c>
      <c r="AG8819" s="508">
        <f t="array" ref="AG8819">INDEX(AG$7930:AG$8796,MATCH($B8819&amp;$C8819,$B$7930:$B$8796&amp;$C$7930:$C$8796,0))</f>
        <v>5.5E-2</v>
      </c>
      <c r="AH8819" s="508">
        <f t="array" ref="AH8819">INDEX(AH$7930:AH$8796,MATCH($B8819&amp;$C8819,$B$7930:$B$8796&amp;$C$7930:$C$8796,0))</f>
        <v>5.0999999999999997E-2</v>
      </c>
      <c r="AI8819" s="508">
        <f t="array" ref="AI8819">INDEX(AI$7930:AI$8796,MATCH($B8819&amp;$C8819,$B$7930:$B$8796&amp;$C$7930:$C$8796,0))</f>
        <v>5.0999999999999997E-2</v>
      </c>
      <c r="AJ8819" s="508"/>
      <c r="AK8819" s="508">
        <f t="shared" si="179"/>
        <v>5.0811111111111106E-2</v>
      </c>
      <c r="AL8819" s="508">
        <f t="shared" si="180"/>
        <v>5.0622222222222214E-2</v>
      </c>
      <c r="AM8819" s="508">
        <f t="shared" si="180"/>
        <v>5.0433333333333323E-2</v>
      </c>
      <c r="AN8819" s="508">
        <f t="shared" si="180"/>
        <v>5.0244444444444432E-2</v>
      </c>
      <c r="AO8819" s="508">
        <f t="array" ref="AO8819">INDEX('GREET Fuel Attributes'!$E$8948:$E$9083,MATCH($C8819&amp;$D8819,'GREET Fuel Attributes'!$B$8948:$B$9083&amp;'GREET Fuel Attributes'!$C$8948:$C$9083,0))/INDEX('GREET Fuel Attributes'!$D$8948:$D$9083,MATCH($C8819&amp;$D8819,'GREET Fuel Attributes'!$B$8948:$B$9083&amp;'GREET Fuel Attributes'!$C$8948:$C$9083,0))*AI8819</f>
        <v>5.0055555555555555E-2</v>
      </c>
      <c r="AP8819" s="132" t="s">
        <v>1387</v>
      </c>
      <c r="AQ8819" s="142" t="s">
        <v>313</v>
      </c>
    </row>
    <row r="8820" spans="2:43">
      <c r="B8820" s="136" t="str">
        <f t="shared" si="178"/>
        <v>ILLINOIS</v>
      </c>
      <c r="C8820" s="132" t="s">
        <v>1382</v>
      </c>
      <c r="D8820" s="132" t="s">
        <v>282</v>
      </c>
      <c r="E8820" s="508">
        <f t="array" ref="E8820">INDEX(E$1861:E$2727,MATCH($B8820&amp;$C8820,$B$1861:$B$2727&amp;$C$1861:$C$2727,0))</f>
        <v>54.104999999999997</v>
      </c>
      <c r="F8820" s="508">
        <f t="array" ref="F8820">INDEX(F$1861:F$2727,MATCH($B8820&amp;$C8820,$B$1861:$B$2727&amp;$C$1861:$C$2727,0))</f>
        <v>21.315999999999999</v>
      </c>
      <c r="G8820" s="508">
        <f t="array" ref="G8820">INDEX(G$1861:G$2727,MATCH($B8820&amp;$C8820,$B$1861:$B$2727&amp;$C$1861:$C$2727,0))</f>
        <v>40.56</v>
      </c>
      <c r="H8820" s="508">
        <f t="array" ref="H8820">INDEX(H$1861:H$2727,MATCH($B8820&amp;$C8820,$B$1861:$B$2727&amp;$C$1861:$C$2727,0))</f>
        <v>47.91</v>
      </c>
      <c r="I8820" s="508">
        <f t="array" ref="I8820">INDEX(I$1861:I$2727,MATCH($B8820&amp;$C8820,$B$1861:$B$2727&amp;$C$1861:$C$2727,0))</f>
        <v>44.926000000000002</v>
      </c>
      <c r="J8820" s="508">
        <f t="array" ref="J8820">INDEX(J$1861:J$2727,MATCH($B8820&amp;$C8820,$B$1861:$B$2727&amp;$C$1861:$C$2727,0))</f>
        <v>8.5389999999999997</v>
      </c>
      <c r="K8820" s="508">
        <f t="array" ref="K8820">INDEX(K$1861:K$2727,MATCH($B8820&amp;$C8820,$B$1861:$B$2727&amp;$C$1861:$C$2727,0))</f>
        <v>10.888999999999999</v>
      </c>
      <c r="L8820" s="508">
        <f t="array" ref="L8820">INDEX(L$1861:L$2727,MATCH($B8820&amp;$C8820,$B$1861:$B$2727&amp;$C$1861:$C$2727,0))</f>
        <v>39.805</v>
      </c>
      <c r="M8820" s="508">
        <f t="array" ref="M8820">INDEX(M$1861:M$2727,MATCH($B8820&amp;$C8820,$B$1861:$B$2727&amp;$C$1861:$C$2727,0))</f>
        <v>13.237</v>
      </c>
      <c r="N8820" s="508">
        <f t="array" ref="N8820">INDEX(N$1861:N$2727,MATCH($B8820&amp;$C8820,$B$1861:$B$2727&amp;$C$1861:$C$2727,0))</f>
        <v>27.216000000000001</v>
      </c>
      <c r="O8820" s="508">
        <f t="array" ref="O8820">INDEX(O$1861:O$2727,MATCH($B8820&amp;$C8820,$B$1861:$B$2727&amp;$C$1861:$C$2727,0))</f>
        <v>18.808</v>
      </c>
      <c r="P8820" s="508">
        <f t="array" ref="P8820">INDEX(P$1861:P$2727,MATCH($B8820&amp;$C8820,$B$1861:$B$2727&amp;$C$1861:$C$2727,0))</f>
        <v>9.2200000000000006</v>
      </c>
      <c r="Q8820" s="508">
        <f t="array" ref="Q8820">INDEX(Q$1861:Q$2727,MATCH($B8820&amp;$C8820,$B$1861:$B$2727&amp;$C$1861:$C$2727,0))</f>
        <v>8.5079999999999991</v>
      </c>
      <c r="R8820" s="508">
        <f t="array" ref="R8820">INDEX(R$1861:R$2727,MATCH($B8820&amp;$C8820,$B$1861:$B$2727&amp;$C$1861:$C$2727,0))</f>
        <v>13.015000000000001</v>
      </c>
      <c r="S8820" s="508">
        <f t="array" ref="S8820">INDEX(S$1861:S$2727,MATCH($B8820&amp;$C8820,$B$1861:$B$2727&amp;$C$1861:$C$2727,0))</f>
        <v>7.1619999999999999</v>
      </c>
      <c r="T8820" s="508">
        <f t="array" ref="T8820">INDEX(T$1861:T$2727,MATCH($B8820&amp;$C8820,$B$1861:$B$2727&amp;$C$1861:$C$2727,0))</f>
        <v>9.8569999999999993</v>
      </c>
      <c r="U8820" s="508">
        <f t="array" ref="U8820">INDEX(U$1861:U$2727,MATCH($B8820&amp;$C8820,$B$1861:$B$2727&amp;$C$1861:$C$2727,0))</f>
        <v>5.7409999999999997</v>
      </c>
      <c r="V8820" s="508">
        <f t="array" ref="V8820">INDEX(V$1861:V$2727,MATCH($B8820&amp;$C8820,$B$1861:$B$2727&amp;$C$1861:$C$2727,0))</f>
        <v>7.0490000000000004</v>
      </c>
      <c r="W8820" s="508">
        <f t="array" ref="W8820">INDEX(W$1861:W$2727,MATCH($B8820&amp;$C8820,$B$1861:$B$2727&amp;$C$1861:$C$2727,0))</f>
        <v>6.2759999999999998</v>
      </c>
      <c r="X8820" s="508">
        <f t="array" ref="X8820">INDEX(X$1861:X$2727,MATCH($B8820&amp;$C8820,$B$1861:$B$2727&amp;$C$1861:$C$2727,0))</f>
        <v>4.7779999999999996</v>
      </c>
      <c r="Y8820" s="508">
        <f t="array" ref="Y8820">INDEX(Y$1861:Y$2727,MATCH($B8820&amp;$C8820,$B$1861:$B$2727&amp;$C$1861:$C$2727,0))</f>
        <v>4.1890000000000001</v>
      </c>
      <c r="Z8820" s="508">
        <f t="array" ref="Z8820">INDEX(Z$1861:Z$2727,MATCH($B8820&amp;$C8820,$B$1861:$B$2727&amp;$C$1861:$C$2727,0))</f>
        <v>3.5089999999999999</v>
      </c>
      <c r="AA8820" s="508">
        <f t="array" ref="AA8820">INDEX(AA$1861:AA$2727,MATCH($B8820&amp;$C8820,$B$1861:$B$2727&amp;$C$1861:$C$2727,0))</f>
        <v>2.2440000000000002</v>
      </c>
      <c r="AB8820" s="508">
        <f t="array" ref="AB8820">INDEX(AB$1861:AB$2727,MATCH($B8820&amp;$C8820,$B$1861:$B$2727&amp;$C$1861:$C$2727,0))</f>
        <v>1.9339999999999999</v>
      </c>
      <c r="AC8820" s="508">
        <f t="array" ref="AC8820">INDEX(AC$1861:AC$2727,MATCH($B8820&amp;$C8820,$B$1861:$B$2727&amp;$C$1861:$C$2727,0))</f>
        <v>2.3809999999999998</v>
      </c>
      <c r="AD8820" s="508">
        <f t="array" ref="AD8820">INDEX(AD$1861:AD$2727,MATCH($B8820&amp;$C8820,$B$1861:$B$2727&amp;$C$1861:$C$2727,0))</f>
        <v>1.9339999999999999</v>
      </c>
      <c r="AE8820" s="508">
        <f t="array" ref="AE8820">INDEX(AE$1861:AE$2727,MATCH($B8820&amp;$C8820,$B$1861:$B$2727&amp;$C$1861:$C$2727,0))</f>
        <v>1.5049999999999999</v>
      </c>
      <c r="AF8820" s="508">
        <f t="array" ref="AF8820">INDEX(AF$1861:AF$2727,MATCH($B8820&amp;$C8820,$B$1861:$B$2727&amp;$C$1861:$C$2727,0))</f>
        <v>0.83</v>
      </c>
      <c r="AG8820" s="508">
        <f t="array" ref="AG8820">INDEX(AG$1861:AG$2727,MATCH($B8820&amp;$C8820,$B$1861:$B$2727&amp;$C$1861:$C$2727,0))</f>
        <v>0.82499999999999996</v>
      </c>
      <c r="AH8820" s="508">
        <f t="array" ref="AH8820">INDEX(AH$1861:AH$2727,MATCH($B8820&amp;$C8820,$B$1861:$B$2727&amp;$C$1861:$C$2727,0))</f>
        <v>0.82</v>
      </c>
      <c r="AI8820" s="508">
        <f t="array" ref="AI8820">INDEX(AI$1861:AI$2727,MATCH($B8820&amp;$C8820,$B$1861:$B$2727&amp;$C$1861:$C$2727,0))</f>
        <v>0.81599999999999995</v>
      </c>
      <c r="AJ8820" s="508"/>
      <c r="AK8820" s="508">
        <f t="shared" si="179"/>
        <v>0.81690165745856347</v>
      </c>
      <c r="AL8820" s="508">
        <f t="shared" si="180"/>
        <v>0.81780331491712699</v>
      </c>
      <c r="AM8820" s="508">
        <f t="shared" si="180"/>
        <v>0.81870497237569051</v>
      </c>
      <c r="AN8820" s="508">
        <f t="shared" si="180"/>
        <v>0.81960662983425403</v>
      </c>
      <c r="AO8820" s="508">
        <f t="array" ref="AO8820">INDEX('GREET Fuel Attributes'!$E$8948:$E$9083,MATCH($C8820&amp;$D8820,'GREET Fuel Attributes'!$B$8948:$B$9083&amp;'GREET Fuel Attributes'!$C$8948:$C$9083,0))/INDEX('GREET Fuel Attributes'!$D$8948:$D$9083,MATCH($C8820&amp;$D8820,'GREET Fuel Attributes'!$B$8948:$B$9083&amp;'GREET Fuel Attributes'!$C$8948:$C$9083,0))*AI8820</f>
        <v>0.82050828729281766</v>
      </c>
      <c r="AP8820" s="132" t="s">
        <v>1387</v>
      </c>
      <c r="AQ8820" s="142" t="s">
        <v>304</v>
      </c>
    </row>
    <row r="8821" spans="2:43">
      <c r="B8821" s="136" t="str">
        <f t="shared" si="178"/>
        <v>ILLINOIS</v>
      </c>
      <c r="C8821" s="132" t="s">
        <v>1382</v>
      </c>
      <c r="D8821" s="132" t="s">
        <v>283</v>
      </c>
      <c r="E8821" s="508">
        <f t="array" ref="E8821">INDEX(E$2728:E$3594,MATCH($B8821&amp;$C8821,$B$2728:$B$3594&amp;$C$2728:$C$3594,0))</f>
        <v>6.5060000000000002</v>
      </c>
      <c r="F8821" s="508">
        <f t="array" ref="F8821">INDEX(F$2728:F$3594,MATCH($B8821&amp;$C8821,$B$2728:$B$3594&amp;$C$2728:$C$3594,0))</f>
        <v>6.8380000000000001</v>
      </c>
      <c r="G8821" s="508">
        <f t="array" ref="G8821">INDEX(G$2728:G$3594,MATCH($B8821&amp;$C8821,$B$2728:$B$3594&amp;$C$2728:$C$3594,0))</f>
        <v>6.2930000000000001</v>
      </c>
      <c r="H8821" s="508">
        <f t="array" ref="H8821">INDEX(H$2728:H$3594,MATCH($B8821&amp;$C8821,$B$2728:$B$3594&amp;$C$2728:$C$3594,0))</f>
        <v>6.085</v>
      </c>
      <c r="I8821" s="508">
        <f t="array" ref="I8821">INDEX(I$2728:I$3594,MATCH($B8821&amp;$C8821,$B$2728:$B$3594&amp;$C$2728:$C$3594,0))</f>
        <v>6.17</v>
      </c>
      <c r="J8821" s="508">
        <f t="array" ref="J8821">INDEX(J$2728:J$3594,MATCH($B8821&amp;$C8821,$B$2728:$B$3594&amp;$C$2728:$C$3594,0))</f>
        <v>7.95</v>
      </c>
      <c r="K8821" s="508">
        <f t="array" ref="K8821">INDEX(K$2728:K$3594,MATCH($B8821&amp;$C8821,$B$2728:$B$3594&amp;$C$2728:$C$3594,0))</f>
        <v>7.1989999999999998</v>
      </c>
      <c r="L8821" s="508">
        <f t="array" ref="L8821">INDEX(L$2728:L$3594,MATCH($B8821&amp;$C8821,$B$2728:$B$3594&amp;$C$2728:$C$3594,0))</f>
        <v>6.3879999999999999</v>
      </c>
      <c r="M8821" s="508">
        <f t="array" ref="M8821">INDEX(M$2728:M$3594,MATCH($B8821&amp;$C8821,$B$2728:$B$3594&amp;$C$2728:$C$3594,0))</f>
        <v>7.1020000000000003</v>
      </c>
      <c r="N8821" s="508">
        <f t="array" ref="N8821">INDEX(N$2728:N$3594,MATCH($B8821&amp;$C8821,$B$2728:$B$3594&amp;$C$2728:$C$3594,0))</f>
        <v>6.6580000000000004</v>
      </c>
      <c r="O8821" s="508">
        <f t="array" ref="O8821">INDEX(O$2728:O$3594,MATCH($B8821&amp;$C8821,$B$2728:$B$3594&amp;$C$2728:$C$3594,0))</f>
        <v>6.8689999999999998</v>
      </c>
      <c r="P8821" s="508">
        <f t="array" ref="P8821">INDEX(P$2728:P$3594,MATCH($B8821&amp;$C8821,$B$2728:$B$3594&amp;$C$2728:$C$3594,0))</f>
        <v>5.7510000000000003</v>
      </c>
      <c r="Q8821" s="508">
        <f t="array" ref="Q8821">INDEX(Q$2728:Q$3594,MATCH($B8821&amp;$C8821,$B$2728:$B$3594&amp;$C$2728:$C$3594,0))</f>
        <v>6.1509999999999998</v>
      </c>
      <c r="R8821" s="508">
        <f t="array" ref="R8821">INDEX(R$2728:R$3594,MATCH($B8821&amp;$C8821,$B$2728:$B$3594&amp;$C$2728:$C$3594,0))</f>
        <v>4.0229999999999997</v>
      </c>
      <c r="S8821" s="508">
        <f t="array" ref="S8821">INDEX(S$2728:S$3594,MATCH($B8821&amp;$C8821,$B$2728:$B$3594&amp;$C$2728:$C$3594,0))</f>
        <v>5.3579999999999997</v>
      </c>
      <c r="T8821" s="508">
        <f t="array" ref="T8821">INDEX(T$2728:T$3594,MATCH($B8821&amp;$C8821,$B$2728:$B$3594&amp;$C$2728:$C$3594,0))</f>
        <v>4.6509999999999998</v>
      </c>
      <c r="U8821" s="508">
        <f t="array" ref="U8821">INDEX(U$2728:U$3594,MATCH($B8821&amp;$C8821,$B$2728:$B$3594&amp;$C$2728:$C$3594,0))</f>
        <v>5.1760000000000002</v>
      </c>
      <c r="V8821" s="508">
        <f t="array" ref="V8821">INDEX(V$2728:V$3594,MATCH($B8821&amp;$C8821,$B$2728:$B$3594&amp;$C$2728:$C$3594,0))</f>
        <v>3.84</v>
      </c>
      <c r="W8821" s="508">
        <f t="array" ref="W8821">INDEX(W$2728:W$3594,MATCH($B8821&amp;$C8821,$B$2728:$B$3594&amp;$C$2728:$C$3594,0))</f>
        <v>2.802</v>
      </c>
      <c r="X8821" s="508">
        <f t="array" ref="X8821">INDEX(X$2728:X$3594,MATCH($B8821&amp;$C8821,$B$2728:$B$3594&amp;$C$2728:$C$3594,0))</f>
        <v>2.3929999999999998</v>
      </c>
      <c r="Y8821" s="508">
        <f t="array" ref="Y8821">INDEX(Y$2728:Y$3594,MATCH($B8821&amp;$C8821,$B$2728:$B$3594&amp;$C$2728:$C$3594,0))</f>
        <v>2.496</v>
      </c>
      <c r="Z8821" s="508">
        <f t="array" ref="Z8821">INDEX(Z$2728:Z$3594,MATCH($B8821&amp;$C8821,$B$2728:$B$3594&amp;$C$2728:$C$3594,0))</f>
        <v>2.6320000000000001</v>
      </c>
      <c r="AA8821" s="508">
        <f t="array" ref="AA8821">INDEX(AA$2728:AA$3594,MATCH($B8821&amp;$C8821,$B$2728:$B$3594&amp;$C$2728:$C$3594,0))</f>
        <v>1.419</v>
      </c>
      <c r="AB8821" s="508">
        <f t="array" ref="AB8821">INDEX(AB$2728:AB$3594,MATCH($B8821&amp;$C8821,$B$2728:$B$3594&amp;$C$2728:$C$3594,0))</f>
        <v>1.454</v>
      </c>
      <c r="AC8821" s="508">
        <f t="array" ref="AC8821">INDEX(AC$2728:AC$3594,MATCH($B8821&amp;$C8821,$B$2728:$B$3594&amp;$C$2728:$C$3594,0))</f>
        <v>1.095</v>
      </c>
      <c r="AD8821" s="508">
        <f t="array" ref="AD8821">INDEX(AD$2728:AD$3594,MATCH($B8821&amp;$C8821,$B$2728:$B$3594&amp;$C$2728:$C$3594,0))</f>
        <v>0.52500000000000002</v>
      </c>
      <c r="AE8821" s="508">
        <f t="array" ref="AE8821">INDEX(AE$2728:AE$3594,MATCH($B8821&amp;$C8821,$B$2728:$B$3594&amp;$C$2728:$C$3594,0))</f>
        <v>0.68200000000000005</v>
      </c>
      <c r="AF8821" s="508">
        <f t="array" ref="AF8821">INDEX(AF$2728:AF$3594,MATCH($B8821&amp;$C8821,$B$2728:$B$3594&amp;$C$2728:$C$3594,0))</f>
        <v>0.47199999999999998</v>
      </c>
      <c r="AG8821" s="508">
        <f t="array" ref="AG8821">INDEX(AG$2728:AG$3594,MATCH($B8821&amp;$C8821,$B$2728:$B$3594&amp;$C$2728:$C$3594,0))</f>
        <v>0.47</v>
      </c>
      <c r="AH8821" s="508">
        <f t="array" ref="AH8821">INDEX(AH$2728:AH$3594,MATCH($B8821&amp;$C8821,$B$2728:$B$3594&amp;$C$2728:$C$3594,0))</f>
        <v>0.46700000000000003</v>
      </c>
      <c r="AI8821" s="508">
        <f t="array" ref="AI8821">INDEX(AI$2728:AI$3594,MATCH($B8821&amp;$C8821,$B$2728:$B$3594&amp;$C$2728:$C$3594,0))</f>
        <v>0.46500000000000002</v>
      </c>
      <c r="AJ8821" s="508"/>
      <c r="AK8821" s="508">
        <f t="shared" si="179"/>
        <v>0.42587859424920133</v>
      </c>
      <c r="AL8821" s="508">
        <f t="shared" si="180"/>
        <v>0.38675718849840263</v>
      </c>
      <c r="AM8821" s="508">
        <f t="shared" si="180"/>
        <v>0.34763578274760393</v>
      </c>
      <c r="AN8821" s="508">
        <f t="shared" si="180"/>
        <v>0.30851437699680523</v>
      </c>
      <c r="AO8821" s="508">
        <f t="array" ref="AO8821">INDEX('GREET Fuel Attributes'!$E$8948:$E$9083,MATCH($C8821&amp;$D8821,'GREET Fuel Attributes'!$B$8948:$B$9083&amp;'GREET Fuel Attributes'!$C$8948:$C$9083,0))/INDEX('GREET Fuel Attributes'!$D$8948:$D$9083,MATCH($C8821&amp;$D8821,'GREET Fuel Attributes'!$B$8948:$B$9083&amp;'GREET Fuel Attributes'!$C$8948:$C$9083,0))*AI8821</f>
        <v>0.26939297124600647</v>
      </c>
      <c r="AP8821" s="132" t="s">
        <v>1387</v>
      </c>
      <c r="AQ8821" s="142" t="s">
        <v>304</v>
      </c>
    </row>
    <row r="8822" spans="2:43">
      <c r="B8822" s="136" t="str">
        <f t="shared" si="178"/>
        <v>ILLINOIS</v>
      </c>
      <c r="C8822" s="132" t="s">
        <v>1382</v>
      </c>
      <c r="D8822" s="132" t="s">
        <v>284</v>
      </c>
      <c r="E8822" s="508">
        <f t="array" ref="E8822">INDEX(E$3595:E$4461,MATCH($B8822&amp;$C8822,$B$3595:$B$4461&amp;$C$3595:$C$4461,0))</f>
        <v>0.70599999999999996</v>
      </c>
      <c r="F8822" s="508">
        <f t="array" ref="F8822">INDEX(F$3595:F$4461,MATCH($B8822&amp;$C8822,$B$3595:$B$4461&amp;$C$3595:$C$4461,0))</f>
        <v>0.77600000000000002</v>
      </c>
      <c r="G8822" s="508">
        <f t="array" ref="G8822">INDEX(G$3595:G$4461,MATCH($B8822&amp;$C8822,$B$3595:$B$4461&amp;$C$3595:$C$4461,0))</f>
        <v>0.36699999999999999</v>
      </c>
      <c r="H8822" s="508">
        <f t="array" ref="H8822">INDEX(H$3595:H$4461,MATCH($B8822&amp;$C8822,$B$3595:$B$4461&amp;$C$3595:$C$4461,0))</f>
        <v>0.17299999999999999</v>
      </c>
      <c r="I8822" s="508">
        <f t="array" ref="I8822">INDEX(I$3595:I$4461,MATCH($B8822&amp;$C8822,$B$3595:$B$4461&amp;$C$3595:$C$4461,0))</f>
        <v>0.224</v>
      </c>
      <c r="J8822" s="508">
        <f t="array" ref="J8822">INDEX(J$3595:J$4461,MATCH($B8822&amp;$C8822,$B$3595:$B$4461&amp;$C$3595:$C$4461,0))</f>
        <v>0.83499999999999996</v>
      </c>
      <c r="K8822" s="508">
        <f t="array" ref="K8822">INDEX(K$3595:K$4461,MATCH($B8822&amp;$C8822,$B$3595:$B$4461&amp;$C$3595:$C$4461,0))</f>
        <v>0.42299999999999999</v>
      </c>
      <c r="L8822" s="508">
        <f t="array" ref="L8822">INDEX(L$3595:L$4461,MATCH($B8822&amp;$C8822,$B$3595:$B$4461&amp;$C$3595:$C$4461,0))</f>
        <v>0.106</v>
      </c>
      <c r="M8822" s="508">
        <f t="array" ref="M8822">INDEX(M$3595:M$4461,MATCH($B8822&amp;$C8822,$B$3595:$B$4461&amp;$C$3595:$C$4461,0))</f>
        <v>0.39500000000000002</v>
      </c>
      <c r="N8822" s="508">
        <f t="array" ref="N8822">INDEX(N$3595:N$4461,MATCH($B8822&amp;$C8822,$B$3595:$B$4461&amp;$C$3595:$C$4461,0))</f>
        <v>0.41199999999999998</v>
      </c>
      <c r="O8822" s="508">
        <f t="array" ref="O8822">INDEX(O$3595:O$4461,MATCH($B8822&amp;$C8822,$B$3595:$B$4461&amp;$C$3595:$C$4461,0))</f>
        <v>0.57999999999999996</v>
      </c>
      <c r="P8822" s="508">
        <f t="array" ref="P8822">INDEX(P$3595:P$4461,MATCH($B8822&amp;$C8822,$B$3595:$B$4461&amp;$C$3595:$C$4461,0))</f>
        <v>0.56999999999999995</v>
      </c>
      <c r="Q8822" s="508">
        <f t="array" ref="Q8822">INDEX(Q$3595:Q$4461,MATCH($B8822&amp;$C8822,$B$3595:$B$4461&amp;$C$3595:$C$4461,0))</f>
        <v>0.65700000000000003</v>
      </c>
      <c r="R8822" s="508">
        <f t="array" ref="R8822">INDEX(R$3595:R$4461,MATCH($B8822&amp;$C8822,$B$3595:$B$4461&amp;$C$3595:$C$4461,0))</f>
        <v>0.16700000000000001</v>
      </c>
      <c r="S8822" s="508">
        <f t="array" ref="S8822">INDEX(S$3595:S$4461,MATCH($B8822&amp;$C8822,$B$3595:$B$4461&amp;$C$3595:$C$4461,0))</f>
        <v>0.33300000000000002</v>
      </c>
      <c r="T8822" s="508">
        <f t="array" ref="T8822">INDEX(T$3595:T$4461,MATCH($B8822&amp;$C8822,$B$3595:$B$4461&amp;$C$3595:$C$4461,0))</f>
        <v>0.25</v>
      </c>
      <c r="U8822" s="508">
        <f t="array" ref="U8822">INDEX(U$3595:U$4461,MATCH($B8822&amp;$C8822,$B$3595:$B$4461&amp;$C$3595:$C$4461,0))</f>
        <v>0.28100000000000003</v>
      </c>
      <c r="V8822" s="508">
        <f t="array" ref="V8822">INDEX(V$3595:V$4461,MATCH($B8822&amp;$C8822,$B$3595:$B$4461&amp;$C$3595:$C$4461,0))</f>
        <v>0.18</v>
      </c>
      <c r="W8822" s="508">
        <f t="array" ref="W8822">INDEX(W$3595:W$4461,MATCH($B8822&amp;$C8822,$B$3595:$B$4461&amp;$C$3595:$C$4461,0))</f>
        <v>0.15</v>
      </c>
      <c r="X8822" s="508">
        <f t="array" ref="X8822">INDEX(X$3595:X$4461,MATCH($B8822&amp;$C8822,$B$3595:$B$4461&amp;$C$3595:$C$4461,0))</f>
        <v>0.151</v>
      </c>
      <c r="Y8822" s="508">
        <f t="array" ref="Y8822">INDEX(Y$3595:Y$4461,MATCH($B8822&amp;$C8822,$B$3595:$B$4461&amp;$C$3595:$C$4461,0))</f>
        <v>0.16800000000000001</v>
      </c>
      <c r="Z8822" s="508">
        <f t="array" ref="Z8822">INDEX(Z$3595:Z$4461,MATCH($B8822&amp;$C8822,$B$3595:$B$4461&amp;$C$3595:$C$4461,0))</f>
        <v>0.186</v>
      </c>
      <c r="AA8822" s="508">
        <f t="array" ref="AA8822">INDEX(AA$3595:AA$4461,MATCH($B8822&amp;$C8822,$B$3595:$B$4461&amp;$C$3595:$C$4461,0))</f>
        <v>1.2999999999999999E-2</v>
      </c>
      <c r="AB8822" s="508">
        <f t="array" ref="AB8822">INDEX(AB$3595:AB$4461,MATCH($B8822&amp;$C8822,$B$3595:$B$4461&amp;$C$3595:$C$4461,0))</f>
        <v>1.2999999999999999E-2</v>
      </c>
      <c r="AC8822" s="508">
        <f t="array" ref="AC8822">INDEX(AC$3595:AC$4461,MATCH($B8822&amp;$C8822,$B$3595:$B$4461&amp;$C$3595:$C$4461,0))</f>
        <v>1.0999999999999999E-2</v>
      </c>
      <c r="AD8822" s="508">
        <f t="array" ref="AD8822">INDEX(AD$3595:AD$4461,MATCH($B8822&amp;$C8822,$B$3595:$B$4461&amp;$C$3595:$C$4461,0))</f>
        <v>0.01</v>
      </c>
      <c r="AE8822" s="508">
        <f t="array" ref="AE8822">INDEX(AE$3595:AE$4461,MATCH($B8822&amp;$C8822,$B$3595:$B$4461&amp;$C$3595:$C$4461,0))</f>
        <v>1.0999999999999999E-2</v>
      </c>
      <c r="AF8822" s="508">
        <f t="array" ref="AF8822">INDEX(AF$3595:AF$4461,MATCH($B8822&amp;$C8822,$B$3595:$B$4461&amp;$C$3595:$C$4461,0))</f>
        <v>7.0000000000000001E-3</v>
      </c>
      <c r="AG8822" s="508">
        <f t="array" ref="AG8822">INDEX(AG$3595:AG$4461,MATCH($B8822&amp;$C8822,$B$3595:$B$4461&amp;$C$3595:$C$4461,0))</f>
        <v>7.0000000000000001E-3</v>
      </c>
      <c r="AH8822" s="508">
        <f t="array" ref="AH8822">INDEX(AH$3595:AH$4461,MATCH($B8822&amp;$C8822,$B$3595:$B$4461&amp;$C$3595:$C$4461,0))</f>
        <v>7.0000000000000001E-3</v>
      </c>
      <c r="AI8822" s="508">
        <f t="array" ref="AI8822">INDEX(AI$3595:AI$4461,MATCH($B8822&amp;$C8822,$B$3595:$B$4461&amp;$C$3595:$C$4461,0))</f>
        <v>7.0000000000000001E-3</v>
      </c>
      <c r="AJ8822" s="508"/>
      <c r="AK8822" s="508">
        <f t="shared" si="179"/>
        <v>7.0000000000000001E-3</v>
      </c>
      <c r="AL8822" s="508">
        <f t="shared" si="180"/>
        <v>7.0000000000000001E-3</v>
      </c>
      <c r="AM8822" s="508">
        <f t="shared" si="180"/>
        <v>7.0000000000000001E-3</v>
      </c>
      <c r="AN8822" s="508">
        <f t="shared" si="180"/>
        <v>7.0000000000000001E-3</v>
      </c>
      <c r="AO8822" s="508">
        <f t="array" ref="AO8822">INDEX('GREET Fuel Attributes'!$E$8948:$E$9083,MATCH($C8822&amp;$D8822,'GREET Fuel Attributes'!$B$8948:$B$9083&amp;'GREET Fuel Attributes'!$C$8948:$C$9083,0))/INDEX('GREET Fuel Attributes'!$D$8948:$D$9083,MATCH($C8822&amp;$D8822,'GREET Fuel Attributes'!$B$8948:$B$9083&amp;'GREET Fuel Attributes'!$C$8948:$C$9083,0))*AI8822</f>
        <v>7.0000000000000001E-3</v>
      </c>
      <c r="AP8822" s="132" t="s">
        <v>1387</v>
      </c>
      <c r="AQ8822" s="142" t="s">
        <v>304</v>
      </c>
    </row>
    <row r="8823" spans="2:43">
      <c r="B8823" s="136" t="str">
        <f t="shared" si="178"/>
        <v>ILLINOIS</v>
      </c>
      <c r="C8823" s="132" t="s">
        <v>1382</v>
      </c>
      <c r="D8823" s="132" t="s">
        <v>1379</v>
      </c>
      <c r="E8823" s="508">
        <f t="array" ref="E8823">INDEX(E$4462:E$5328,MATCH($B8823&amp;$C8823,$B$4462:$B$5328&amp;$C$4462:$C$5328,0))</f>
        <v>5.2999999999999999E-2</v>
      </c>
      <c r="F8823" s="508">
        <f t="array" ref="F8823">INDEX(F$4462:F$5328,MATCH($B8823&amp;$C8823,$B$4462:$B$5328&amp;$C$4462:$C$5328,0))</f>
        <v>5.2999999999999999E-2</v>
      </c>
      <c r="G8823" s="508">
        <f t="array" ref="G8823">INDEX(G$4462:G$5328,MATCH($B8823&amp;$C8823,$B$4462:$B$5328&amp;$C$4462:$C$5328,0))</f>
        <v>5.2999999999999999E-2</v>
      </c>
      <c r="H8823" s="508">
        <f t="array" ref="H8823">INDEX(H$4462:H$5328,MATCH($B8823&amp;$C8823,$B$4462:$B$5328&amp;$C$4462:$C$5328,0))</f>
        <v>5.2999999999999999E-2</v>
      </c>
      <c r="I8823" s="508">
        <f t="array" ref="I8823">INDEX(I$4462:I$5328,MATCH($B8823&amp;$C8823,$B$4462:$B$5328&amp;$C$4462:$C$5328,0))</f>
        <v>5.2999999999999999E-2</v>
      </c>
      <c r="J8823" s="508">
        <f t="array" ref="J8823">INDEX(J$4462:J$5328,MATCH($B8823&amp;$C8823,$B$4462:$B$5328&amp;$C$4462:$C$5328,0))</f>
        <v>5.1999999999999998E-2</v>
      </c>
      <c r="K8823" s="508">
        <f t="array" ref="K8823">INDEX(K$4462:K$5328,MATCH($B8823&amp;$C8823,$B$4462:$B$5328&amp;$C$4462:$C$5328,0))</f>
        <v>5.1999999999999998E-2</v>
      </c>
      <c r="L8823" s="508">
        <f t="array" ref="L8823">INDEX(L$4462:L$5328,MATCH($B8823&amp;$C8823,$B$4462:$B$5328&amp;$C$4462:$C$5328,0))</f>
        <v>5.2999999999999999E-2</v>
      </c>
      <c r="M8823" s="508">
        <f t="array" ref="M8823">INDEX(M$4462:M$5328,MATCH($B8823&amp;$C8823,$B$4462:$B$5328&amp;$C$4462:$C$5328,0))</f>
        <v>5.2999999999999999E-2</v>
      </c>
      <c r="N8823" s="508">
        <f t="array" ref="N8823">INDEX(N$4462:N$5328,MATCH($B8823&amp;$C8823,$B$4462:$B$5328&amp;$C$4462:$C$5328,0))</f>
        <v>5.2999999999999999E-2</v>
      </c>
      <c r="O8823" s="508">
        <f t="array" ref="O8823">INDEX(O$4462:O$5328,MATCH($B8823&amp;$C8823,$B$4462:$B$5328&amp;$C$4462:$C$5328,0))</f>
        <v>5.2999999999999999E-2</v>
      </c>
      <c r="P8823" s="508">
        <f t="array" ref="P8823">INDEX(P$4462:P$5328,MATCH($B8823&amp;$C8823,$B$4462:$B$5328&amp;$C$4462:$C$5328,0))</f>
        <v>5.2999999999999999E-2</v>
      </c>
      <c r="Q8823" s="508">
        <f t="array" ref="Q8823">INDEX(Q$4462:Q$5328,MATCH($B8823&amp;$C8823,$B$4462:$B$5328&amp;$C$4462:$C$5328,0))</f>
        <v>5.2999999999999999E-2</v>
      </c>
      <c r="R8823" s="508">
        <f t="array" ref="R8823">INDEX(R$4462:R$5328,MATCH($B8823&amp;$C8823,$B$4462:$B$5328&amp;$C$4462:$C$5328,0))</f>
        <v>5.2999999999999999E-2</v>
      </c>
      <c r="S8823" s="508">
        <f t="array" ref="S8823">INDEX(S$4462:S$5328,MATCH($B8823&amp;$C8823,$B$4462:$B$5328&amp;$C$4462:$C$5328,0))</f>
        <v>5.2999999999999999E-2</v>
      </c>
      <c r="T8823" s="508">
        <f t="array" ref="T8823">INDEX(T$4462:T$5328,MATCH($B8823&amp;$C8823,$B$4462:$B$5328&amp;$C$4462:$C$5328,0))</f>
        <v>5.2999999999999999E-2</v>
      </c>
      <c r="U8823" s="508">
        <f t="array" ref="U8823">INDEX(U$4462:U$5328,MATCH($B8823&amp;$C8823,$B$4462:$B$5328&amp;$C$4462:$C$5328,0))</f>
        <v>5.1999999999999998E-2</v>
      </c>
      <c r="V8823" s="508">
        <f t="array" ref="V8823">INDEX(V$4462:V$5328,MATCH($B8823&amp;$C8823,$B$4462:$B$5328&amp;$C$4462:$C$5328,0))</f>
        <v>5.2999999999999999E-2</v>
      </c>
      <c r="W8823" s="508">
        <f t="array" ref="W8823">INDEX(W$4462:W$5328,MATCH($B8823&amp;$C8823,$B$4462:$B$5328&amp;$C$4462:$C$5328,0))</f>
        <v>5.2999999999999999E-2</v>
      </c>
      <c r="X8823" s="508">
        <f t="array" ref="X8823">INDEX(X$4462:X$5328,MATCH($B8823&amp;$C8823,$B$4462:$B$5328&amp;$C$4462:$C$5328,0))</f>
        <v>5.2999999999999999E-2</v>
      </c>
      <c r="Y8823" s="508">
        <f t="array" ref="Y8823">INDEX(Y$4462:Y$5328,MATCH($B8823&amp;$C8823,$B$4462:$B$5328&amp;$C$4462:$C$5328,0))</f>
        <v>5.2999999999999999E-2</v>
      </c>
      <c r="Z8823" s="508">
        <f t="array" ref="Z8823">INDEX(Z$4462:Z$5328,MATCH($B8823&amp;$C8823,$B$4462:$B$5328&amp;$C$4462:$C$5328,0))</f>
        <v>5.2999999999999999E-2</v>
      </c>
      <c r="AA8823" s="508">
        <f t="array" ref="AA8823">INDEX(AA$4462:AA$5328,MATCH($B8823&amp;$C8823,$B$4462:$B$5328&amp;$C$4462:$C$5328,0))</f>
        <v>5.2999999999999999E-2</v>
      </c>
      <c r="AB8823" s="508">
        <f t="array" ref="AB8823">INDEX(AB$4462:AB$5328,MATCH($B8823&amp;$C8823,$B$4462:$B$5328&amp;$C$4462:$C$5328,0))</f>
        <v>5.2999999999999999E-2</v>
      </c>
      <c r="AC8823" s="508">
        <f t="array" ref="AC8823">INDEX(AC$4462:AC$5328,MATCH($B8823&amp;$C8823,$B$4462:$B$5328&amp;$C$4462:$C$5328,0))</f>
        <v>5.2999999999999999E-2</v>
      </c>
      <c r="AD8823" s="508">
        <f t="array" ref="AD8823">INDEX(AD$4462:AD$5328,MATCH($B8823&amp;$C8823,$B$4462:$B$5328&amp;$C$4462:$C$5328,0))</f>
        <v>5.2999999999999999E-2</v>
      </c>
      <c r="AE8823" s="508">
        <f t="array" ref="AE8823">INDEX(AE$4462:AE$5328,MATCH($B8823&amp;$C8823,$B$4462:$B$5328&amp;$C$4462:$C$5328,0))</f>
        <v>5.2999999999999999E-2</v>
      </c>
      <c r="AF8823" s="508">
        <f t="array" ref="AF8823">INDEX(AF$4462:AF$5328,MATCH($B8823&amp;$C8823,$B$4462:$B$5328&amp;$C$4462:$C$5328,0))</f>
        <v>5.2999999999999999E-2</v>
      </c>
      <c r="AG8823" s="508">
        <f t="array" ref="AG8823">INDEX(AG$4462:AG$5328,MATCH($B8823&amp;$C8823,$B$4462:$B$5328&amp;$C$4462:$C$5328,0))</f>
        <v>5.2999999999999999E-2</v>
      </c>
      <c r="AH8823" s="508">
        <f t="array" ref="AH8823">INDEX(AH$4462:AH$5328,MATCH($B8823&amp;$C8823,$B$4462:$B$5328&amp;$C$4462:$C$5328,0))</f>
        <v>5.2999999999999999E-2</v>
      </c>
      <c r="AI8823" s="508">
        <f t="array" ref="AI8823">INDEX(AI$4462:AI$5328,MATCH($B8823&amp;$C8823,$B$4462:$B$5328&amp;$C$4462:$C$5328,0))</f>
        <v>5.2999999999999999E-2</v>
      </c>
      <c r="AJ8823" s="508"/>
      <c r="AK8823" s="508">
        <f t="shared" si="179"/>
        <v>5.2999999999999999E-2</v>
      </c>
      <c r="AL8823" s="508">
        <f t="shared" si="180"/>
        <v>5.2999999999999999E-2</v>
      </c>
      <c r="AM8823" s="508">
        <f t="shared" si="180"/>
        <v>5.2999999999999999E-2</v>
      </c>
      <c r="AN8823" s="508">
        <f t="shared" si="180"/>
        <v>5.2999999999999999E-2</v>
      </c>
      <c r="AO8823" s="508">
        <f t="array" ref="AO8823">INDEX('GREET Fuel Attributes'!$E$8948:$E$9083,MATCH($C8823&amp;$D8823,'GREET Fuel Attributes'!$B$8948:$B$9083&amp;'GREET Fuel Attributes'!$C$8948:$C$9083,0))/INDEX('GREET Fuel Attributes'!$D$8948:$D$9083,MATCH($C8823&amp;$D8823,'GREET Fuel Attributes'!$B$8948:$B$9083&amp;'GREET Fuel Attributes'!$C$8948:$C$9083,0))*AI8823</f>
        <v>5.2999999999999999E-2</v>
      </c>
      <c r="AP8823" s="132" t="s">
        <v>1387</v>
      </c>
      <c r="AQ8823" s="142" t="s">
        <v>304</v>
      </c>
    </row>
    <row r="8824" spans="2:43">
      <c r="B8824" s="136" t="str">
        <f t="shared" si="178"/>
        <v>ILLINOIS</v>
      </c>
      <c r="C8824" s="132" t="s">
        <v>1382</v>
      </c>
      <c r="D8824" s="132" t="s">
        <v>285</v>
      </c>
      <c r="E8824" s="508">
        <f t="array" ref="E8824">INDEX(E$5329:E$6195,MATCH($B8824&amp;$C8824,$B$5329:$B$6195&amp;$C$5329:$C$6195,0))</f>
        <v>0.64900000000000002</v>
      </c>
      <c r="F8824" s="508">
        <f t="array" ref="F8824">INDEX(F$5329:F$6195,MATCH($B8824&amp;$C8824,$B$5329:$B$6195&amp;$C$5329:$C$6195,0))</f>
        <v>0.71399999999999997</v>
      </c>
      <c r="G8824" s="508">
        <f t="array" ref="G8824">INDEX(G$5329:G$6195,MATCH($B8824&amp;$C8824,$B$5329:$B$6195&amp;$C$5329:$C$6195,0))</f>
        <v>0.33700000000000002</v>
      </c>
      <c r="H8824" s="508">
        <f t="array" ref="H8824">INDEX(H$5329:H$6195,MATCH($B8824&amp;$C8824,$B$5329:$B$6195&amp;$C$5329:$C$6195,0))</f>
        <v>0.159</v>
      </c>
      <c r="I8824" s="508">
        <f t="array" ref="I8824">INDEX(I$5329:I$6195,MATCH($B8824&amp;$C8824,$B$5329:$B$6195&amp;$C$5329:$C$6195,0))</f>
        <v>0.20599999999999999</v>
      </c>
      <c r="J8824" s="508">
        <f t="array" ref="J8824">INDEX(J$5329:J$6195,MATCH($B8824&amp;$C8824,$B$5329:$B$6195&amp;$C$5329:$C$6195,0))</f>
        <v>0.76900000000000002</v>
      </c>
      <c r="K8824" s="508">
        <f t="array" ref="K8824">INDEX(K$5329:K$6195,MATCH($B8824&amp;$C8824,$B$5329:$B$6195&amp;$C$5329:$C$6195,0))</f>
        <v>0.38900000000000001</v>
      </c>
      <c r="L8824" s="508">
        <f t="array" ref="L8824">INDEX(L$5329:L$6195,MATCH($B8824&amp;$C8824,$B$5329:$B$6195&amp;$C$5329:$C$6195,0))</f>
        <v>9.7000000000000003E-2</v>
      </c>
      <c r="M8824" s="508">
        <f t="array" ref="M8824">INDEX(M$5329:M$6195,MATCH($B8824&amp;$C8824,$B$5329:$B$6195&amp;$C$5329:$C$6195,0))</f>
        <v>0.36399999999999999</v>
      </c>
      <c r="N8824" s="508">
        <f t="array" ref="N8824">INDEX(N$5329:N$6195,MATCH($B8824&amp;$C8824,$B$5329:$B$6195&amp;$C$5329:$C$6195,0))</f>
        <v>0.379</v>
      </c>
      <c r="O8824" s="508">
        <f t="array" ref="O8824">INDEX(O$5329:O$6195,MATCH($B8824&amp;$C8824,$B$5329:$B$6195&amp;$C$5329:$C$6195,0))</f>
        <v>0.53300000000000003</v>
      </c>
      <c r="P8824" s="508">
        <f t="array" ref="P8824">INDEX(P$5329:P$6195,MATCH($B8824&amp;$C8824,$B$5329:$B$6195&amp;$C$5329:$C$6195,0))</f>
        <v>0.52500000000000002</v>
      </c>
      <c r="Q8824" s="508">
        <f t="array" ref="Q8824">INDEX(Q$5329:Q$6195,MATCH($B8824&amp;$C8824,$B$5329:$B$6195&amp;$C$5329:$C$6195,0))</f>
        <v>0.60399999999999998</v>
      </c>
      <c r="R8824" s="508">
        <f t="array" ref="R8824">INDEX(R$5329:R$6195,MATCH($B8824&amp;$C8824,$B$5329:$B$6195&amp;$C$5329:$C$6195,0))</f>
        <v>0.153</v>
      </c>
      <c r="S8824" s="508">
        <f t="array" ref="S8824">INDEX(S$5329:S$6195,MATCH($B8824&amp;$C8824,$B$5329:$B$6195&amp;$C$5329:$C$6195,0))</f>
        <v>0.307</v>
      </c>
      <c r="T8824" s="508">
        <f t="array" ref="T8824">INDEX(T$5329:T$6195,MATCH($B8824&amp;$C8824,$B$5329:$B$6195&amp;$C$5329:$C$6195,0))</f>
        <v>0.23</v>
      </c>
      <c r="U8824" s="508">
        <f t="array" ref="U8824">INDEX(U$5329:U$6195,MATCH($B8824&amp;$C8824,$B$5329:$B$6195&amp;$C$5329:$C$6195,0))</f>
        <v>0.25900000000000001</v>
      </c>
      <c r="V8824" s="508">
        <f t="array" ref="V8824">INDEX(V$5329:V$6195,MATCH($B8824&amp;$C8824,$B$5329:$B$6195&amp;$C$5329:$C$6195,0))</f>
        <v>0.16600000000000001</v>
      </c>
      <c r="W8824" s="508">
        <f t="array" ref="W8824">INDEX(W$5329:W$6195,MATCH($B8824&amp;$C8824,$B$5329:$B$6195&amp;$C$5329:$C$6195,0))</f>
        <v>0.13800000000000001</v>
      </c>
      <c r="X8824" s="508">
        <f t="array" ref="X8824">INDEX(X$5329:X$6195,MATCH($B8824&amp;$C8824,$B$5329:$B$6195&amp;$C$5329:$C$6195,0))</f>
        <v>0.13900000000000001</v>
      </c>
      <c r="Y8824" s="508">
        <f t="array" ref="Y8824">INDEX(Y$5329:Y$6195,MATCH($B8824&amp;$C8824,$B$5329:$B$6195&amp;$C$5329:$C$6195,0))</f>
        <v>0.155</v>
      </c>
      <c r="Z8824" s="508">
        <f t="array" ref="Z8824">INDEX(Z$5329:Z$6195,MATCH($B8824&amp;$C8824,$B$5329:$B$6195&amp;$C$5329:$C$6195,0))</f>
        <v>0.17100000000000001</v>
      </c>
      <c r="AA8824" s="508">
        <f t="array" ref="AA8824">INDEX(AA$5329:AA$6195,MATCH($B8824&amp;$C8824,$B$5329:$B$6195&amp;$C$5329:$C$6195,0))</f>
        <v>1.2E-2</v>
      </c>
      <c r="AB8824" s="508">
        <f t="array" ref="AB8824">INDEX(AB$5329:AB$6195,MATCH($B8824&amp;$C8824,$B$5329:$B$6195&amp;$C$5329:$C$6195,0))</f>
        <v>1.2E-2</v>
      </c>
      <c r="AC8824" s="508">
        <f t="array" ref="AC8824">INDEX(AC$5329:AC$6195,MATCH($B8824&amp;$C8824,$B$5329:$B$6195&amp;$C$5329:$C$6195,0))</f>
        <v>0.01</v>
      </c>
      <c r="AD8824" s="508">
        <f t="array" ref="AD8824">INDEX(AD$5329:AD$6195,MATCH($B8824&amp;$C8824,$B$5329:$B$6195&amp;$C$5329:$C$6195,0))</f>
        <v>8.9999999999999993E-3</v>
      </c>
      <c r="AE8824" s="508">
        <f t="array" ref="AE8824">INDEX(AE$5329:AE$6195,MATCH($B8824&amp;$C8824,$B$5329:$B$6195&amp;$C$5329:$C$6195,0))</f>
        <v>0.01</v>
      </c>
      <c r="AF8824" s="508">
        <f t="array" ref="AF8824">INDEX(AF$5329:AF$6195,MATCH($B8824&amp;$C8824,$B$5329:$B$6195&amp;$C$5329:$C$6195,0))</f>
        <v>6.0000000000000001E-3</v>
      </c>
      <c r="AG8824" s="508">
        <f t="array" ref="AG8824">INDEX(AG$5329:AG$6195,MATCH($B8824&amp;$C8824,$B$5329:$B$6195&amp;$C$5329:$C$6195,0))</f>
        <v>6.0000000000000001E-3</v>
      </c>
      <c r="AH8824" s="508">
        <f t="array" ref="AH8824">INDEX(AH$5329:AH$6195,MATCH($B8824&amp;$C8824,$B$5329:$B$6195&amp;$C$5329:$C$6195,0))</f>
        <v>6.0000000000000001E-3</v>
      </c>
      <c r="AI8824" s="508">
        <f t="array" ref="AI8824">INDEX(AI$5329:AI$6195,MATCH($B8824&amp;$C8824,$B$5329:$B$6195&amp;$C$5329:$C$6195,0))</f>
        <v>6.0000000000000001E-3</v>
      </c>
      <c r="AJ8824" s="508"/>
      <c r="AK8824" s="508">
        <f t="shared" si="179"/>
        <v>6.0000000000000001E-3</v>
      </c>
      <c r="AL8824" s="508">
        <f t="shared" ref="AL8824:AN8843" si="181">($AO8824-$AI8824)/5+AK8824</f>
        <v>6.0000000000000001E-3</v>
      </c>
      <c r="AM8824" s="508">
        <f t="shared" si="181"/>
        <v>6.0000000000000001E-3</v>
      </c>
      <c r="AN8824" s="508">
        <f t="shared" si="181"/>
        <v>6.0000000000000001E-3</v>
      </c>
      <c r="AO8824" s="508">
        <f t="array" ref="AO8824">INDEX('GREET Fuel Attributes'!$E$8948:$E$9083,MATCH($C8824&amp;$D8824,'GREET Fuel Attributes'!$B$8948:$B$9083&amp;'GREET Fuel Attributes'!$C$8948:$C$9083,0))/INDEX('GREET Fuel Attributes'!$D$8948:$D$9083,MATCH($C8824&amp;$D8824,'GREET Fuel Attributes'!$B$8948:$B$9083&amp;'GREET Fuel Attributes'!$C$8948:$C$9083,0))*AI8824</f>
        <v>6.0000000000000001E-3</v>
      </c>
      <c r="AP8824" s="132" t="s">
        <v>1387</v>
      </c>
      <c r="AQ8824" s="142" t="s">
        <v>304</v>
      </c>
    </row>
    <row r="8825" spans="2:43">
      <c r="B8825" s="136" t="str">
        <f t="shared" si="178"/>
        <v>ILLINOIS</v>
      </c>
      <c r="C8825" s="132" t="s">
        <v>1382</v>
      </c>
      <c r="D8825" s="132" t="s">
        <v>1380</v>
      </c>
      <c r="E8825" s="508">
        <f t="array" ref="E8825">INDEX(E$6196:E$7062,MATCH($B8825&amp;$C8825,$B$6196:$B$7062&amp;$C$6196:$C$7062,0))</f>
        <v>7.0000000000000001E-3</v>
      </c>
      <c r="F8825" s="508">
        <f t="array" ref="F8825">INDEX(F$6196:F$7062,MATCH($B8825&amp;$C8825,$B$6196:$B$7062&amp;$C$6196:$C$7062,0))</f>
        <v>7.0000000000000001E-3</v>
      </c>
      <c r="G8825" s="508">
        <f t="array" ref="G8825">INDEX(G$6196:G$7062,MATCH($B8825&amp;$C8825,$B$6196:$B$7062&amp;$C$6196:$C$7062,0))</f>
        <v>7.0000000000000001E-3</v>
      </c>
      <c r="H8825" s="508">
        <f t="array" ref="H8825">INDEX(H$6196:H$7062,MATCH($B8825&amp;$C8825,$B$6196:$B$7062&amp;$C$6196:$C$7062,0))</f>
        <v>7.0000000000000001E-3</v>
      </c>
      <c r="I8825" s="508">
        <f t="array" ref="I8825">INDEX(I$6196:I$7062,MATCH($B8825&amp;$C8825,$B$6196:$B$7062&amp;$C$6196:$C$7062,0))</f>
        <v>7.0000000000000001E-3</v>
      </c>
      <c r="J8825" s="508">
        <f t="array" ref="J8825">INDEX(J$6196:J$7062,MATCH($B8825&amp;$C8825,$B$6196:$B$7062&amp;$C$6196:$C$7062,0))</f>
        <v>7.0000000000000001E-3</v>
      </c>
      <c r="K8825" s="508">
        <f t="array" ref="K8825">INDEX(K$6196:K$7062,MATCH($B8825&amp;$C8825,$B$6196:$B$7062&amp;$C$6196:$C$7062,0))</f>
        <v>7.0000000000000001E-3</v>
      </c>
      <c r="L8825" s="508">
        <f t="array" ref="L8825">INDEX(L$6196:L$7062,MATCH($B8825&amp;$C8825,$B$6196:$B$7062&amp;$C$6196:$C$7062,0))</f>
        <v>7.0000000000000001E-3</v>
      </c>
      <c r="M8825" s="508">
        <f t="array" ref="M8825">INDEX(M$6196:M$7062,MATCH($B8825&amp;$C8825,$B$6196:$B$7062&amp;$C$6196:$C$7062,0))</f>
        <v>7.0000000000000001E-3</v>
      </c>
      <c r="N8825" s="508">
        <f t="array" ref="N8825">INDEX(N$6196:N$7062,MATCH($B8825&amp;$C8825,$B$6196:$B$7062&amp;$C$6196:$C$7062,0))</f>
        <v>7.0000000000000001E-3</v>
      </c>
      <c r="O8825" s="508">
        <f t="array" ref="O8825">INDEX(O$6196:O$7062,MATCH($B8825&amp;$C8825,$B$6196:$B$7062&amp;$C$6196:$C$7062,0))</f>
        <v>7.0000000000000001E-3</v>
      </c>
      <c r="P8825" s="508">
        <f t="array" ref="P8825">INDEX(P$6196:P$7062,MATCH($B8825&amp;$C8825,$B$6196:$B$7062&amp;$C$6196:$C$7062,0))</f>
        <v>7.0000000000000001E-3</v>
      </c>
      <c r="Q8825" s="508">
        <f t="array" ref="Q8825">INDEX(Q$6196:Q$7062,MATCH($B8825&amp;$C8825,$B$6196:$B$7062&amp;$C$6196:$C$7062,0))</f>
        <v>7.0000000000000001E-3</v>
      </c>
      <c r="R8825" s="508">
        <f t="array" ref="R8825">INDEX(R$6196:R$7062,MATCH($B8825&amp;$C8825,$B$6196:$B$7062&amp;$C$6196:$C$7062,0))</f>
        <v>7.0000000000000001E-3</v>
      </c>
      <c r="S8825" s="508">
        <f t="array" ref="S8825">INDEX(S$6196:S$7062,MATCH($B8825&amp;$C8825,$B$6196:$B$7062&amp;$C$6196:$C$7062,0))</f>
        <v>7.0000000000000001E-3</v>
      </c>
      <c r="T8825" s="508">
        <f t="array" ref="T8825">INDEX(T$6196:T$7062,MATCH($B8825&amp;$C8825,$B$6196:$B$7062&amp;$C$6196:$C$7062,0))</f>
        <v>7.0000000000000001E-3</v>
      </c>
      <c r="U8825" s="508">
        <f t="array" ref="U8825">INDEX(U$6196:U$7062,MATCH($B8825&amp;$C8825,$B$6196:$B$7062&amp;$C$6196:$C$7062,0))</f>
        <v>7.0000000000000001E-3</v>
      </c>
      <c r="V8825" s="508">
        <f t="array" ref="V8825">INDEX(V$6196:V$7062,MATCH($B8825&amp;$C8825,$B$6196:$B$7062&amp;$C$6196:$C$7062,0))</f>
        <v>7.0000000000000001E-3</v>
      </c>
      <c r="W8825" s="508">
        <f t="array" ref="W8825">INDEX(W$6196:W$7062,MATCH($B8825&amp;$C8825,$B$6196:$B$7062&amp;$C$6196:$C$7062,0))</f>
        <v>7.0000000000000001E-3</v>
      </c>
      <c r="X8825" s="508">
        <f t="array" ref="X8825">INDEX(X$6196:X$7062,MATCH($B8825&amp;$C8825,$B$6196:$B$7062&amp;$C$6196:$C$7062,0))</f>
        <v>7.0000000000000001E-3</v>
      </c>
      <c r="Y8825" s="508">
        <f t="array" ref="Y8825">INDEX(Y$6196:Y$7062,MATCH($B8825&amp;$C8825,$B$6196:$B$7062&amp;$C$6196:$C$7062,0))</f>
        <v>7.0000000000000001E-3</v>
      </c>
      <c r="Z8825" s="508">
        <f t="array" ref="Z8825">INDEX(Z$6196:Z$7062,MATCH($B8825&amp;$C8825,$B$6196:$B$7062&amp;$C$6196:$C$7062,0))</f>
        <v>7.0000000000000001E-3</v>
      </c>
      <c r="AA8825" s="508">
        <f t="array" ref="AA8825">INDEX(AA$6196:AA$7062,MATCH($B8825&amp;$C8825,$B$6196:$B$7062&amp;$C$6196:$C$7062,0))</f>
        <v>7.0000000000000001E-3</v>
      </c>
      <c r="AB8825" s="508">
        <f t="array" ref="AB8825">INDEX(AB$6196:AB$7062,MATCH($B8825&amp;$C8825,$B$6196:$B$7062&amp;$C$6196:$C$7062,0))</f>
        <v>7.0000000000000001E-3</v>
      </c>
      <c r="AC8825" s="508">
        <f t="array" ref="AC8825">INDEX(AC$6196:AC$7062,MATCH($B8825&amp;$C8825,$B$6196:$B$7062&amp;$C$6196:$C$7062,0))</f>
        <v>7.0000000000000001E-3</v>
      </c>
      <c r="AD8825" s="508">
        <f t="array" ref="AD8825">INDEX(AD$6196:AD$7062,MATCH($B8825&amp;$C8825,$B$6196:$B$7062&amp;$C$6196:$C$7062,0))</f>
        <v>7.0000000000000001E-3</v>
      </c>
      <c r="AE8825" s="508">
        <f t="array" ref="AE8825">INDEX(AE$6196:AE$7062,MATCH($B8825&amp;$C8825,$B$6196:$B$7062&amp;$C$6196:$C$7062,0))</f>
        <v>7.0000000000000001E-3</v>
      </c>
      <c r="AF8825" s="508">
        <f t="array" ref="AF8825">INDEX(AF$6196:AF$7062,MATCH($B8825&amp;$C8825,$B$6196:$B$7062&amp;$C$6196:$C$7062,0))</f>
        <v>7.0000000000000001E-3</v>
      </c>
      <c r="AG8825" s="508">
        <f t="array" ref="AG8825">INDEX(AG$6196:AG$7062,MATCH($B8825&amp;$C8825,$B$6196:$B$7062&amp;$C$6196:$C$7062,0))</f>
        <v>7.0000000000000001E-3</v>
      </c>
      <c r="AH8825" s="508">
        <f t="array" ref="AH8825">INDEX(AH$6196:AH$7062,MATCH($B8825&amp;$C8825,$B$6196:$B$7062&amp;$C$6196:$C$7062,0))</f>
        <v>7.0000000000000001E-3</v>
      </c>
      <c r="AI8825" s="508">
        <f t="array" ref="AI8825">INDEX(AI$6196:AI$7062,MATCH($B8825&amp;$C8825,$B$6196:$B$7062&amp;$C$6196:$C$7062,0))</f>
        <v>7.0000000000000001E-3</v>
      </c>
      <c r="AJ8825" s="508"/>
      <c r="AK8825" s="508">
        <f t="shared" si="179"/>
        <v>7.0000000000000001E-3</v>
      </c>
      <c r="AL8825" s="508">
        <f t="shared" si="181"/>
        <v>7.0000000000000001E-3</v>
      </c>
      <c r="AM8825" s="508">
        <f t="shared" si="181"/>
        <v>7.0000000000000001E-3</v>
      </c>
      <c r="AN8825" s="508">
        <f t="shared" si="181"/>
        <v>7.0000000000000001E-3</v>
      </c>
      <c r="AO8825" s="508">
        <f t="array" ref="AO8825">INDEX('GREET Fuel Attributes'!$E$8948:$E$9083,MATCH($C8825&amp;$D8825,'GREET Fuel Attributes'!$B$8948:$B$9083&amp;'GREET Fuel Attributes'!$C$8948:$C$9083,0))/INDEX('GREET Fuel Attributes'!$D$8948:$D$9083,MATCH($C8825&amp;$D8825,'GREET Fuel Attributes'!$B$8948:$B$9083&amp;'GREET Fuel Attributes'!$C$8948:$C$9083,0))*AI8825</f>
        <v>7.0000000000000001E-3</v>
      </c>
      <c r="AP8825" s="132" t="s">
        <v>1387</v>
      </c>
      <c r="AQ8825" s="142" t="s">
        <v>304</v>
      </c>
    </row>
    <row r="8826" spans="2:43">
      <c r="B8826" s="136" t="str">
        <f t="shared" si="178"/>
        <v>ILLINOIS</v>
      </c>
      <c r="C8826" s="132" t="s">
        <v>1382</v>
      </c>
      <c r="D8826" s="132" t="s">
        <v>281</v>
      </c>
      <c r="E8826" s="508">
        <f t="array" ref="E8826">INDEX(E$7063:E$7929,MATCH($B8826&amp;$C8826,$B$7063:$B$7929&amp;$C$7063:$C$7929,0))</f>
        <v>3.601</v>
      </c>
      <c r="F8826" s="508">
        <f t="array" ref="F8826">INDEX(F$7063:F$7929,MATCH($B8826&amp;$C8826,$B$7063:$B$7929&amp;$C$7063:$C$7929,0))</f>
        <v>2.379</v>
      </c>
      <c r="G8826" s="508">
        <f t="array" ref="G8826">INDEX(G$7063:G$7929,MATCH($B8826&amp;$C8826,$B$7063:$B$7929&amp;$C$7063:$C$7929,0))</f>
        <v>3.4550000000000001</v>
      </c>
      <c r="H8826" s="508">
        <f t="array" ref="H8826">INDEX(H$7063:H$7929,MATCH($B8826&amp;$C8826,$B$7063:$B$7929&amp;$C$7063:$C$7929,0))</f>
        <v>3.867</v>
      </c>
      <c r="I8826" s="508">
        <f t="array" ref="I8826">INDEX(I$7063:I$7929,MATCH($B8826&amp;$C8826,$B$7063:$B$7929&amp;$C$7063:$C$7929,0))</f>
        <v>3.7040000000000002</v>
      </c>
      <c r="J8826" s="508">
        <f t="array" ref="J8826">INDEX(J$7063:J$7929,MATCH($B8826&amp;$C8826,$B$7063:$B$7929&amp;$C$7063:$C$7929,0))</f>
        <v>1.6759999999999999</v>
      </c>
      <c r="K8826" s="508">
        <f t="array" ref="K8826">INDEX(K$7063:K$7929,MATCH($B8826&amp;$C8826,$B$7063:$B$7929&amp;$C$7063:$C$7929,0))</f>
        <v>1.8069999999999999</v>
      </c>
      <c r="L8826" s="508">
        <f t="array" ref="L8826">INDEX(L$7063:L$7929,MATCH($B8826&amp;$C8826,$B$7063:$B$7929&amp;$C$7063:$C$7929,0))</f>
        <v>3.4329999999999998</v>
      </c>
      <c r="M8826" s="508">
        <f t="array" ref="M8826">INDEX(M$7063:M$7929,MATCH($B8826&amp;$C8826,$B$7063:$B$7929&amp;$C$7063:$C$7929,0))</f>
        <v>1.925</v>
      </c>
      <c r="N8826" s="508">
        <f t="array" ref="N8826">INDEX(N$7063:N$7929,MATCH($B8826&amp;$C8826,$B$7063:$B$7929&amp;$C$7063:$C$7929,0))</f>
        <v>4.3860000000000001</v>
      </c>
      <c r="O8826" s="508">
        <f t="array" ref="O8826">INDEX(O$7063:O$7929,MATCH($B8826&amp;$C8826,$B$7063:$B$7929&amp;$C$7063:$C$7929,0))</f>
        <v>3.2469999999999999</v>
      </c>
      <c r="P8826" s="508">
        <f t="array" ref="P8826">INDEX(P$7063:P$7929,MATCH($B8826&amp;$C8826,$B$7063:$B$7929&amp;$C$7063:$C$7929,0))</f>
        <v>1.8420000000000001</v>
      </c>
      <c r="Q8826" s="508">
        <f t="array" ref="Q8826">INDEX(Q$7063:Q$7929,MATCH($B8826&amp;$C8826,$B$7063:$B$7929&amp;$C$7063:$C$7929,0))</f>
        <v>1.756</v>
      </c>
      <c r="R8826" s="508">
        <f t="array" ref="R8826">INDEX(R$7063:R$7929,MATCH($B8826&amp;$C8826,$B$7063:$B$7929&amp;$C$7063:$C$7929,0))</f>
        <v>2.125</v>
      </c>
      <c r="S8826" s="508">
        <f t="array" ref="S8826">INDEX(S$7063:S$7929,MATCH($B8826&amp;$C8826,$B$7063:$B$7929&amp;$C$7063:$C$7929,0))</f>
        <v>1.605</v>
      </c>
      <c r="T8826" s="508">
        <f t="array" ref="T8826">INDEX(T$7063:T$7929,MATCH($B8826&amp;$C8826,$B$7063:$B$7929&amp;$C$7063:$C$7929,0))</f>
        <v>1.7989999999999999</v>
      </c>
      <c r="U8826" s="508">
        <f t="array" ref="U8826">INDEX(U$7063:U$7929,MATCH($B8826&amp;$C8826,$B$7063:$B$7929&amp;$C$7063:$C$7929,0))</f>
        <v>1.2849999999999999</v>
      </c>
      <c r="V8826" s="508">
        <f t="array" ref="V8826">INDEX(V$7063:V$7929,MATCH($B8826&amp;$C8826,$B$7063:$B$7929&amp;$C$7063:$C$7929,0))</f>
        <v>1.083</v>
      </c>
      <c r="W8826" s="508">
        <f t="array" ref="W8826">INDEX(W$7063:W$7929,MATCH($B8826&amp;$C8826,$B$7063:$B$7929&amp;$C$7063:$C$7929,0))</f>
        <v>0.83699999999999997</v>
      </c>
      <c r="X8826" s="508">
        <f t="array" ref="X8826">INDEX(X$7063:X$7929,MATCH($B8826&amp;$C8826,$B$7063:$B$7929&amp;$C$7063:$C$7929,0))</f>
        <v>0.68100000000000005</v>
      </c>
      <c r="Y8826" s="508">
        <f t="array" ref="Y8826">INDEX(Y$7063:Y$7929,MATCH($B8826&amp;$C8826,$B$7063:$B$7929&amp;$C$7063:$C$7929,0))</f>
        <v>0.67600000000000005</v>
      </c>
      <c r="Z8826" s="508">
        <f t="array" ref="Z8826">INDEX(Z$7063:Z$7929,MATCH($B8826&amp;$C8826,$B$7063:$B$7929&amp;$C$7063:$C$7929,0))</f>
        <v>0.67600000000000005</v>
      </c>
      <c r="AA8826" s="508">
        <f t="array" ref="AA8826">INDEX(AA$7063:AA$7929,MATCH($B8826&amp;$C8826,$B$7063:$B$7929&amp;$C$7063:$C$7929,0))</f>
        <v>0.125</v>
      </c>
      <c r="AB8826" s="508">
        <f t="array" ref="AB8826">INDEX(AB$7063:AB$7929,MATCH($B8826&amp;$C8826,$B$7063:$B$7929&amp;$C$7063:$C$7929,0))</f>
        <v>0.113</v>
      </c>
      <c r="AC8826" s="508">
        <f t="array" ref="AC8826">INDEX(AC$7063:AC$7929,MATCH($B8826&amp;$C8826,$B$7063:$B$7929&amp;$C$7063:$C$7929,0))</f>
        <v>0.111</v>
      </c>
      <c r="AD8826" s="508">
        <f t="array" ref="AD8826">INDEX(AD$7063:AD$7929,MATCH($B8826&amp;$C8826,$B$7063:$B$7929&amp;$C$7063:$C$7929,0))</f>
        <v>8.7999999999999995E-2</v>
      </c>
      <c r="AE8826" s="508">
        <f t="array" ref="AE8826">INDEX(AE$7063:AE$7929,MATCH($B8826&amp;$C8826,$B$7063:$B$7929&amp;$C$7063:$C$7929,0))</f>
        <v>8.5000000000000006E-2</v>
      </c>
      <c r="AF8826" s="508">
        <f t="array" ref="AF8826">INDEX(AF$7063:AF$7929,MATCH($B8826&amp;$C8826,$B$7063:$B$7929&amp;$C$7063:$C$7929,0))</f>
        <v>7.0000000000000007E-2</v>
      </c>
      <c r="AG8826" s="508">
        <f t="array" ref="AG8826">INDEX(AG$7063:AG$7929,MATCH($B8826&amp;$C8826,$B$7063:$B$7929&amp;$C$7063:$C$7929,0))</f>
        <v>6.9000000000000006E-2</v>
      </c>
      <c r="AH8826" s="508">
        <f t="array" ref="AH8826">INDEX(AH$7063:AH$7929,MATCH($B8826&amp;$C8826,$B$7063:$B$7929&amp;$C$7063:$C$7929,0))</f>
        <v>6.8000000000000005E-2</v>
      </c>
      <c r="AI8826" s="508">
        <f t="array" ref="AI8826">INDEX(AI$7063:AI$7929,MATCH($B8826&amp;$C8826,$B$7063:$B$7929&amp;$C$7063:$C$7929,0))</f>
        <v>6.7000000000000004E-2</v>
      </c>
      <c r="AJ8826" s="508"/>
      <c r="AK8826" s="508">
        <f t="shared" si="179"/>
        <v>6.7176315789473681E-2</v>
      </c>
      <c r="AL8826" s="508">
        <f t="shared" si="181"/>
        <v>6.7352631578947358E-2</v>
      </c>
      <c r="AM8826" s="508">
        <f t="shared" si="181"/>
        <v>6.7528947368421036E-2</v>
      </c>
      <c r="AN8826" s="508">
        <f t="shared" si="181"/>
        <v>6.7705263157894713E-2</v>
      </c>
      <c r="AO8826" s="508">
        <f t="array" ref="AO8826">INDEX('GREET Fuel Attributes'!$E$8948:$E$9083,MATCH($C8826&amp;$D8826,'GREET Fuel Attributes'!$B$8948:$B$9083&amp;'GREET Fuel Attributes'!$C$8948:$C$9083,0))/INDEX('GREET Fuel Attributes'!$D$8948:$D$9083,MATCH($C8826&amp;$D8826,'GREET Fuel Attributes'!$B$8948:$B$9083&amp;'GREET Fuel Attributes'!$C$8948:$C$9083,0))*AI8826</f>
        <v>6.7881578947368418E-2</v>
      </c>
      <c r="AP8826" s="132" t="s">
        <v>1387</v>
      </c>
      <c r="AQ8826" s="142" t="s">
        <v>304</v>
      </c>
    </row>
    <row r="8827" spans="2:43">
      <c r="B8827" s="136" t="str">
        <f t="shared" si="178"/>
        <v>ILLINOIS</v>
      </c>
      <c r="C8827" s="132" t="s">
        <v>1382</v>
      </c>
      <c r="D8827" s="132" t="s">
        <v>1384</v>
      </c>
      <c r="E8827" s="508">
        <f t="array" ref="E8827">INDEX(E$7930:E$8796,MATCH($B8827&amp;$C8827,$B$7930:$B$8796&amp;$C$7930:$C$8796,0))</f>
        <v>0.02</v>
      </c>
      <c r="F8827" s="508">
        <f t="array" ref="F8827">INDEX(F$7930:F$8796,MATCH($B8827&amp;$C8827,$B$7930:$B$8796&amp;$C$7930:$C$8796,0))</f>
        <v>1.4E-2</v>
      </c>
      <c r="G8827" s="508">
        <f t="array" ref="G8827">INDEX(G$7930:G$8796,MATCH($B8827&amp;$C8827,$B$7930:$B$8796&amp;$C$7930:$C$8796,0))</f>
        <v>1.2E-2</v>
      </c>
      <c r="H8827" s="508">
        <f t="array" ref="H8827">INDEX(H$7930:H$8796,MATCH($B8827&amp;$C8827,$B$7930:$B$8796&amp;$C$7930:$C$8796,0))</f>
        <v>1.7000000000000001E-2</v>
      </c>
      <c r="I8827" s="508">
        <f t="array" ref="I8827">INDEX(I$7930:I$8796,MATCH($B8827&amp;$C8827,$B$7930:$B$8796&amp;$C$7930:$C$8796,0))</f>
        <v>1.6E-2</v>
      </c>
      <c r="J8827" s="508">
        <f t="array" ref="J8827">INDEX(J$7930:J$8796,MATCH($B8827&amp;$C8827,$B$7930:$B$8796&amp;$C$7930:$C$8796,0))</f>
        <v>1.7000000000000001E-2</v>
      </c>
      <c r="K8827" s="508">
        <f t="array" ref="K8827">INDEX(K$7930:K$8796,MATCH($B8827&amp;$C8827,$B$7930:$B$8796&amp;$C$7930:$C$8796,0))</f>
        <v>1.7999999999999999E-2</v>
      </c>
      <c r="L8827" s="508">
        <f t="array" ref="L8827">INDEX(L$7930:L$8796,MATCH($B8827&amp;$C8827,$B$7930:$B$8796&amp;$C$7930:$C$8796,0))</f>
        <v>1.9E-2</v>
      </c>
      <c r="M8827" s="508">
        <f t="array" ref="M8827">INDEX(M$7930:M$8796,MATCH($B8827&amp;$C8827,$B$7930:$B$8796&amp;$C$7930:$C$8796,0))</f>
        <v>1.7999999999999999E-2</v>
      </c>
      <c r="N8827" s="508">
        <f t="array" ref="N8827">INDEX(N$7930:N$8796,MATCH($B8827&amp;$C8827,$B$7930:$B$8796&amp;$C$7930:$C$8796,0))</f>
        <v>0.02</v>
      </c>
      <c r="O8827" s="508">
        <f t="array" ref="O8827">INDEX(O$7930:O$8796,MATCH($B8827&amp;$C8827,$B$7930:$B$8796&amp;$C$7930:$C$8796,0))</f>
        <v>1.9E-2</v>
      </c>
      <c r="P8827" s="508">
        <f t="array" ref="P8827">INDEX(P$7930:P$8796,MATCH($B8827&amp;$C8827,$B$7930:$B$8796&amp;$C$7930:$C$8796,0))</f>
        <v>0.01</v>
      </c>
      <c r="Q8827" s="508">
        <f t="array" ref="Q8827">INDEX(Q$7930:Q$8796,MATCH($B8827&amp;$C8827,$B$7930:$B$8796&amp;$C$7930:$C$8796,0))</f>
        <v>1.0999999999999999E-2</v>
      </c>
      <c r="R8827" s="508">
        <f t="array" ref="R8827">INDEX(R$7930:R$8796,MATCH($B8827&amp;$C8827,$B$7930:$B$8796&amp;$C$7930:$C$8796,0))</f>
        <v>1.0999999999999999E-2</v>
      </c>
      <c r="S8827" s="508">
        <f t="array" ref="S8827">INDEX(S$7930:S$8796,MATCH($B8827&amp;$C8827,$B$7930:$B$8796&amp;$C$7930:$C$8796,0))</f>
        <v>1.0999999999999999E-2</v>
      </c>
      <c r="T8827" s="508">
        <f t="array" ref="T8827">INDEX(T$7930:T$8796,MATCH($B8827&amp;$C8827,$B$7930:$B$8796&amp;$C$7930:$C$8796,0))</f>
        <v>1.0999999999999999E-2</v>
      </c>
      <c r="U8827" s="508">
        <f t="array" ref="U8827">INDEX(U$7930:U$8796,MATCH($B8827&amp;$C8827,$B$7930:$B$8796&amp;$C$7930:$C$8796,0))</f>
        <v>1.2999999999999999E-2</v>
      </c>
      <c r="V8827" s="508">
        <f t="array" ref="V8827">INDEX(V$7930:V$8796,MATCH($B8827&amp;$C8827,$B$7930:$B$8796&amp;$C$7930:$C$8796,0))</f>
        <v>1.2999999999999999E-2</v>
      </c>
      <c r="W8827" s="508">
        <f t="array" ref="W8827">INDEX(W$7930:W$8796,MATCH($B8827&amp;$C8827,$B$7930:$B$8796&amp;$C$7930:$C$8796,0))</f>
        <v>1.2999999999999999E-2</v>
      </c>
      <c r="X8827" s="508">
        <f t="array" ref="X8827">INDEX(X$7930:X$8796,MATCH($B8827&amp;$C8827,$B$7930:$B$8796&amp;$C$7930:$C$8796,0))</f>
        <v>1.2999999999999999E-2</v>
      </c>
      <c r="Y8827" s="508">
        <f t="array" ref="Y8827">INDEX(Y$7930:Y$8796,MATCH($B8827&amp;$C8827,$B$7930:$B$8796&amp;$C$7930:$C$8796,0))</f>
        <v>1.2E-2</v>
      </c>
      <c r="Z8827" s="508">
        <f t="array" ref="Z8827">INDEX(Z$7930:Z$8796,MATCH($B8827&amp;$C8827,$B$7930:$B$8796&amp;$C$7930:$C$8796,0))</f>
        <v>1.2E-2</v>
      </c>
      <c r="AA8827" s="508">
        <f t="array" ref="AA8827">INDEX(AA$7930:AA$8796,MATCH($B8827&amp;$C8827,$B$7930:$B$8796&amp;$C$7930:$C$8796,0))</f>
        <v>1.2E-2</v>
      </c>
      <c r="AB8827" s="508">
        <f t="array" ref="AB8827">INDEX(AB$7930:AB$8796,MATCH($B8827&amp;$C8827,$B$7930:$B$8796&amp;$C$7930:$C$8796,0))</f>
        <v>1.0999999999999999E-2</v>
      </c>
      <c r="AC8827" s="508">
        <f t="array" ref="AC8827">INDEX(AC$7930:AC$8796,MATCH($B8827&amp;$C8827,$B$7930:$B$8796&amp;$C$7930:$C$8796,0))</f>
        <v>0.01</v>
      </c>
      <c r="AD8827" s="508">
        <f t="array" ref="AD8827">INDEX(AD$7930:AD$8796,MATCH($B8827&amp;$C8827,$B$7930:$B$8796&amp;$C$7930:$C$8796,0))</f>
        <v>0.01</v>
      </c>
      <c r="AE8827" s="508">
        <f t="array" ref="AE8827">INDEX(AE$7930:AE$8796,MATCH($B8827&amp;$C8827,$B$7930:$B$8796&amp;$C$7930:$C$8796,0))</f>
        <v>0.01</v>
      </c>
      <c r="AF8827" s="508">
        <f t="array" ref="AF8827">INDEX(AF$7930:AF$8796,MATCH($B8827&amp;$C8827,$B$7930:$B$8796&amp;$C$7930:$C$8796,0))</f>
        <v>0.01</v>
      </c>
      <c r="AG8827" s="508">
        <f t="array" ref="AG8827">INDEX(AG$7930:AG$8796,MATCH($B8827&amp;$C8827,$B$7930:$B$8796&amp;$C$7930:$C$8796,0))</f>
        <v>0.01</v>
      </c>
      <c r="AH8827" s="508">
        <f t="array" ref="AH8827">INDEX(AH$7930:AH$8796,MATCH($B8827&amp;$C8827,$B$7930:$B$8796&amp;$C$7930:$C$8796,0))</f>
        <v>8.9999999999999993E-3</v>
      </c>
      <c r="AI8827" s="508">
        <f t="array" ref="AI8827">INDEX(AI$7930:AI$8796,MATCH($B8827&amp;$C8827,$B$7930:$B$8796&amp;$C$7930:$C$8796,0))</f>
        <v>8.9999999999999993E-3</v>
      </c>
      <c r="AJ8827" s="508"/>
      <c r="AK8827" s="508">
        <f t="shared" si="179"/>
        <v>8.7230769230769219E-3</v>
      </c>
      <c r="AL8827" s="508">
        <f t="shared" si="181"/>
        <v>8.4461538461538446E-3</v>
      </c>
      <c r="AM8827" s="508">
        <f t="shared" si="181"/>
        <v>8.1692307692307672E-3</v>
      </c>
      <c r="AN8827" s="508">
        <f t="shared" si="181"/>
        <v>7.8923076923076898E-3</v>
      </c>
      <c r="AO8827" s="508">
        <f t="array" ref="AO8827">INDEX('GREET Fuel Attributes'!$E$8948:$E$9083,MATCH($C8827&amp;$D8827,'GREET Fuel Attributes'!$B$8948:$B$9083&amp;'GREET Fuel Attributes'!$C$8948:$C$9083,0))/INDEX('GREET Fuel Attributes'!$D$8948:$D$9083,MATCH($C8827&amp;$D8827,'GREET Fuel Attributes'!$B$8948:$B$9083&amp;'GREET Fuel Attributes'!$C$8948:$C$9083,0))*AI8827</f>
        <v>7.615384615384615E-3</v>
      </c>
      <c r="AP8827" s="132" t="s">
        <v>1387</v>
      </c>
      <c r="AQ8827" s="142" t="s">
        <v>304</v>
      </c>
    </row>
    <row r="8828" spans="2:43">
      <c r="B8828" s="136" t="str">
        <f t="shared" si="178"/>
        <v>ILLINOIS</v>
      </c>
      <c r="C8828" s="132" t="s">
        <v>1383</v>
      </c>
      <c r="D8828" s="132" t="s">
        <v>282</v>
      </c>
      <c r="E8828" s="508">
        <f t="array" ref="E8828">INDEX(E$1861:E$2727,MATCH($B8828&amp;$C8828,$B$1861:$B$2727&amp;$C$1861:$C$2727,0))</f>
        <v>118.36799999999999</v>
      </c>
      <c r="F8828" s="508">
        <f t="array" ref="F8828">INDEX(F$1861:F$2727,MATCH($B8828&amp;$C8828,$B$1861:$B$2727&amp;$C$1861:$C$2727,0))</f>
        <v>47.695999999999998</v>
      </c>
      <c r="G8828" s="508">
        <f t="array" ref="G8828">INDEX(G$1861:G$2727,MATCH($B8828&amp;$C8828,$B$1861:$B$2727&amp;$C$1861:$C$2727,0))</f>
        <v>47.85</v>
      </c>
      <c r="H8828" s="508">
        <f t="array" ref="H8828">INDEX(H$1861:H$2727,MATCH($B8828&amp;$C8828,$B$1861:$B$2727&amp;$C$1861:$C$2727,0))</f>
        <v>47.847000000000001</v>
      </c>
      <c r="I8828" s="508">
        <f t="array" ref="I8828">INDEX(I$1861:I$2727,MATCH($B8828&amp;$C8828,$B$1861:$B$2727&amp;$C$1861:$C$2727,0))</f>
        <v>47.802999999999997</v>
      </c>
      <c r="J8828" s="508">
        <f t="array" ref="J8828">INDEX(J$1861:J$2727,MATCH($B8828&amp;$C8828,$B$1861:$B$2727&amp;$C$1861:$C$2727,0))</f>
        <v>42.066000000000003</v>
      </c>
      <c r="K8828" s="508">
        <f t="array" ref="K8828">INDEX(K$1861:K$2727,MATCH($B8828&amp;$C8828,$B$1861:$B$2727&amp;$C$1861:$C$2727,0))</f>
        <v>41.784999999999997</v>
      </c>
      <c r="L8828" s="508">
        <f t="array" ref="L8828">INDEX(L$1861:L$2727,MATCH($B8828&amp;$C8828,$B$1861:$B$2727&amp;$C$1861:$C$2727,0))</f>
        <v>41.337000000000003</v>
      </c>
      <c r="M8828" s="508">
        <f t="array" ref="M8828">INDEX(M$1861:M$2727,MATCH($B8828&amp;$C8828,$B$1861:$B$2727&amp;$C$1861:$C$2727,0))</f>
        <v>40.835999999999999</v>
      </c>
      <c r="N8828" s="508">
        <f t="array" ref="N8828">INDEX(N$1861:N$2727,MATCH($B8828&amp;$C8828,$B$1861:$B$2727&amp;$C$1861:$C$2727,0))</f>
        <v>42.563000000000002</v>
      </c>
      <c r="O8828" s="508">
        <f t="array" ref="O8828">INDEX(O$1861:O$2727,MATCH($B8828&amp;$C8828,$B$1861:$B$2727&amp;$C$1861:$C$2727,0))</f>
        <v>41.875999999999998</v>
      </c>
      <c r="P8828" s="508">
        <f t="array" ref="P8828">INDEX(P$1861:P$2727,MATCH($B8828&amp;$C8828,$B$1861:$B$2727&amp;$C$1861:$C$2727,0))</f>
        <v>17.792999999999999</v>
      </c>
      <c r="Q8828" s="508">
        <f t="array" ref="Q8828">INDEX(Q$1861:Q$2727,MATCH($B8828&amp;$C8828,$B$1861:$B$2727&amp;$C$1861:$C$2727,0))</f>
        <v>19.010000000000002</v>
      </c>
      <c r="R8828" s="508">
        <f t="array" ref="R8828">INDEX(R$1861:R$2727,MATCH($B8828&amp;$C8828,$B$1861:$B$2727&amp;$C$1861:$C$2727,0))</f>
        <v>16.251000000000001</v>
      </c>
      <c r="S8828" s="508">
        <f t="array" ref="S8828">INDEX(S$1861:S$2727,MATCH($B8828&amp;$C8828,$B$1861:$B$2727&amp;$C$1861:$C$2727,0))</f>
        <v>16.469000000000001</v>
      </c>
      <c r="T8828" s="508">
        <f t="array" ref="T8828">INDEX(T$1861:T$2727,MATCH($B8828&amp;$C8828,$B$1861:$B$2727&amp;$C$1861:$C$2727,0))</f>
        <v>16.533000000000001</v>
      </c>
      <c r="U8828" s="508">
        <f t="array" ref="U8828">INDEX(U$1861:U$2727,MATCH($B8828&amp;$C8828,$B$1861:$B$2727&amp;$C$1861:$C$2727,0))</f>
        <v>11.595000000000001</v>
      </c>
      <c r="V8828" s="508">
        <f t="array" ref="V8828">INDEX(V$1861:V$2727,MATCH($B8828&amp;$C8828,$B$1861:$B$2727&amp;$C$1861:$C$2727,0))</f>
        <v>10.313000000000001</v>
      </c>
      <c r="W8828" s="508">
        <f t="array" ref="W8828">INDEX(W$1861:W$2727,MATCH($B8828&amp;$C8828,$B$1861:$B$2727&amp;$C$1861:$C$2727,0))</f>
        <v>10.55</v>
      </c>
      <c r="X8828" s="508">
        <f t="array" ref="X8828">INDEX(X$1861:X$2727,MATCH($B8828&amp;$C8828,$B$1861:$B$2727&amp;$C$1861:$C$2727,0))</f>
        <v>8.0500000000000007</v>
      </c>
      <c r="Y8828" s="508">
        <f t="array" ref="Y8828">INDEX(Y$1861:Y$2727,MATCH($B8828&amp;$C8828,$B$1861:$B$2727&amp;$C$1861:$C$2727,0))</f>
        <v>7.0979999999999999</v>
      </c>
      <c r="Z8828" s="508">
        <f t="array" ref="Z8828">INDEX(Z$1861:Z$2727,MATCH($B8828&amp;$C8828,$B$1861:$B$2727&amp;$C$1861:$C$2727,0))</f>
        <v>6.2430000000000003</v>
      </c>
      <c r="AA8828" s="508">
        <f t="array" ref="AA8828">INDEX(AA$1861:AA$2727,MATCH($B8828&amp;$C8828,$B$1861:$B$2727&amp;$C$1861:$C$2727,0))</f>
        <v>5.3319999999999999</v>
      </c>
      <c r="AB8828" s="508">
        <f t="array" ref="AB8828">INDEX(AB$1861:AB$2727,MATCH($B8828&amp;$C8828,$B$1861:$B$2727&amp;$C$1861:$C$2727,0))</f>
        <v>4.5410000000000004</v>
      </c>
      <c r="AC8828" s="508">
        <f t="array" ref="AC8828">INDEX(AC$1861:AC$2727,MATCH($B8828&amp;$C8828,$B$1861:$B$2727&amp;$C$1861:$C$2727,0))</f>
        <v>3.8109999999999999</v>
      </c>
      <c r="AD8828" s="508">
        <f t="array" ref="AD8828">INDEX(AD$1861:AD$2727,MATCH($B8828&amp;$C8828,$B$1861:$B$2727&amp;$C$1861:$C$2727,0))</f>
        <v>2.976</v>
      </c>
      <c r="AE8828" s="508">
        <f t="array" ref="AE8828">INDEX(AE$1861:AE$2727,MATCH($B8828&amp;$C8828,$B$1861:$B$2727&amp;$C$1861:$C$2727,0))</f>
        <v>2.976</v>
      </c>
      <c r="AF8828" s="508">
        <f t="array" ref="AF8828">INDEX(AF$1861:AF$2727,MATCH($B8828&amp;$C8828,$B$1861:$B$2727&amp;$C$1861:$C$2727,0))</f>
        <v>1.671</v>
      </c>
      <c r="AG8828" s="508">
        <f t="array" ref="AG8828">INDEX(AG$1861:AG$2727,MATCH($B8828&amp;$C8828,$B$1861:$B$2727&amp;$C$1861:$C$2727,0))</f>
        <v>1.619</v>
      </c>
      <c r="AH8828" s="508">
        <f t="array" ref="AH8828">INDEX(AH$1861:AH$2727,MATCH($B8828&amp;$C8828,$B$1861:$B$2727&amp;$C$1861:$C$2727,0))</f>
        <v>1.6080000000000001</v>
      </c>
      <c r="AI8828" s="508">
        <f t="array" ref="AI8828">INDEX(AI$1861:AI$2727,MATCH($B8828&amp;$C8828,$B$1861:$B$2727&amp;$C$1861:$C$2727,0))</f>
        <v>1.599</v>
      </c>
      <c r="AJ8828" s="508"/>
      <c r="AK8828" s="508">
        <f t="shared" si="179"/>
        <v>1.4433084569138277</v>
      </c>
      <c r="AL8828" s="508">
        <f t="shared" si="181"/>
        <v>1.2876169138276554</v>
      </c>
      <c r="AM8828" s="508">
        <f t="shared" si="181"/>
        <v>1.1319253707414831</v>
      </c>
      <c r="AN8828" s="508">
        <f t="shared" si="181"/>
        <v>0.97623382765531086</v>
      </c>
      <c r="AO8828" s="508">
        <f t="array" ref="AO8828">INDEX('GREET Fuel Attributes'!$E$8948:$E$9083,MATCH($C8828&amp;$D8828,'GREET Fuel Attributes'!$B$8948:$B$9083&amp;'GREET Fuel Attributes'!$C$8948:$C$9083,0))/INDEX('GREET Fuel Attributes'!$D$8948:$D$9083,MATCH($C8828&amp;$D8828,'GREET Fuel Attributes'!$B$8948:$B$9083&amp;'GREET Fuel Attributes'!$C$8948:$C$9083,0))*AI8828</f>
        <v>0.82054228456913825</v>
      </c>
      <c r="AP8828" s="132" t="s">
        <v>1388</v>
      </c>
      <c r="AQ8828" s="142" t="s">
        <v>304</v>
      </c>
    </row>
    <row r="8829" spans="2:43">
      <c r="B8829" s="136" t="str">
        <f t="shared" si="178"/>
        <v>ILLINOIS</v>
      </c>
      <c r="C8829" s="132" t="s">
        <v>1383</v>
      </c>
      <c r="D8829" s="132" t="s">
        <v>283</v>
      </c>
      <c r="E8829" s="508">
        <f t="array" ref="E8829">INDEX(E$2728:E$3594,MATCH($B8829&amp;$C8829,$B$2728:$B$3594&amp;$C$2728:$C$3594,0))</f>
        <v>6.01</v>
      </c>
      <c r="F8829" s="508">
        <f t="array" ref="F8829">INDEX(F$2728:F$3594,MATCH($B8829&amp;$C8829,$B$2728:$B$3594&amp;$C$2728:$C$3594,0))</f>
        <v>6.4989999999999997</v>
      </c>
      <c r="G8829" s="508">
        <f t="array" ref="G8829">INDEX(G$2728:G$3594,MATCH($B8829&amp;$C8829,$B$2728:$B$3594&amp;$C$2728:$C$3594,0))</f>
        <v>6.4779999999999998</v>
      </c>
      <c r="H8829" s="508">
        <f t="array" ref="H8829">INDEX(H$2728:H$3594,MATCH($B8829&amp;$C8829,$B$2728:$B$3594&amp;$C$2728:$C$3594,0))</f>
        <v>6.4779999999999998</v>
      </c>
      <c r="I8829" s="508">
        <f t="array" ref="I8829">INDEX(I$2728:I$3594,MATCH($B8829&amp;$C8829,$B$2728:$B$3594&amp;$C$2728:$C$3594,0))</f>
        <v>6.484</v>
      </c>
      <c r="J8829" s="508">
        <f t="array" ref="J8829">INDEX(J$2728:J$3594,MATCH($B8829&amp;$C8829,$B$2728:$B$3594&amp;$C$2728:$C$3594,0))</f>
        <v>6.68</v>
      </c>
      <c r="K8829" s="508">
        <f t="array" ref="K8829">INDEX(K$2728:K$3594,MATCH($B8829&amp;$C8829,$B$2728:$B$3594&amp;$C$2728:$C$3594,0))</f>
        <v>6.6829999999999998</v>
      </c>
      <c r="L8829" s="508">
        <f t="array" ref="L8829">INDEX(L$2728:L$3594,MATCH($B8829&amp;$C8829,$B$2728:$B$3594&amp;$C$2728:$C$3594,0))</f>
        <v>6.6870000000000003</v>
      </c>
      <c r="M8829" s="508">
        <f t="array" ref="M8829">INDEX(M$2728:M$3594,MATCH($B8829&amp;$C8829,$B$2728:$B$3594&amp;$C$2728:$C$3594,0))</f>
        <v>6.6719999999999997</v>
      </c>
      <c r="N8829" s="508">
        <f t="array" ref="N8829">INDEX(N$2728:N$3594,MATCH($B8829&amp;$C8829,$B$2728:$B$3594&amp;$C$2728:$C$3594,0))</f>
        <v>6.4420000000000002</v>
      </c>
      <c r="O8829" s="508">
        <f t="array" ref="O8829">INDEX(O$2728:O$3594,MATCH($B8829&amp;$C8829,$B$2728:$B$3594&amp;$C$2728:$C$3594,0))</f>
        <v>6.3280000000000003</v>
      </c>
      <c r="P8829" s="508">
        <f t="array" ref="P8829">INDEX(P$2728:P$3594,MATCH($B8829&amp;$C8829,$B$2728:$B$3594&amp;$C$2728:$C$3594,0))</f>
        <v>3.125</v>
      </c>
      <c r="Q8829" s="508">
        <f t="array" ref="Q8829">INDEX(Q$2728:Q$3594,MATCH($B8829&amp;$C8829,$B$2728:$B$3594&amp;$C$2728:$C$3594,0))</f>
        <v>3.032</v>
      </c>
      <c r="R8829" s="508">
        <f t="array" ref="R8829">INDEX(R$2728:R$3594,MATCH($B8829&amp;$C8829,$B$2728:$B$3594&amp;$C$2728:$C$3594,0))</f>
        <v>2.8530000000000002</v>
      </c>
      <c r="S8829" s="508">
        <f t="array" ref="S8829">INDEX(S$2728:S$3594,MATCH($B8829&amp;$C8829,$B$2728:$B$3594&amp;$C$2728:$C$3594,0))</f>
        <v>2.8639999999999999</v>
      </c>
      <c r="T8829" s="508">
        <f t="array" ref="T8829">INDEX(T$2728:T$3594,MATCH($B8829&amp;$C8829,$B$2728:$B$3594&amp;$C$2728:$C$3594,0))</f>
        <v>2.8620000000000001</v>
      </c>
      <c r="U8829" s="508">
        <f t="array" ref="U8829">INDEX(U$2728:U$3594,MATCH($B8829&amp;$C8829,$B$2728:$B$3594&amp;$C$2728:$C$3594,0))</f>
        <v>1.9059999999999999</v>
      </c>
      <c r="V8829" s="508">
        <f t="array" ref="V8829">INDEX(V$2728:V$3594,MATCH($B8829&amp;$C8829,$B$2728:$B$3594&amp;$C$2728:$C$3594,0))</f>
        <v>1.7470000000000001</v>
      </c>
      <c r="W8829" s="508">
        <f t="array" ref="W8829">INDEX(W$2728:W$3594,MATCH($B8829&amp;$C8829,$B$2728:$B$3594&amp;$C$2728:$C$3594,0))</f>
        <v>1.825</v>
      </c>
      <c r="X8829" s="508">
        <f t="array" ref="X8829">INDEX(X$2728:X$3594,MATCH($B8829&amp;$C8829,$B$2728:$B$3594&amp;$C$2728:$C$3594,0))</f>
        <v>1.0740000000000001</v>
      </c>
      <c r="Y8829" s="508">
        <f t="array" ref="Y8829">INDEX(Y$2728:Y$3594,MATCH($B8829&amp;$C8829,$B$2728:$B$3594&amp;$C$2728:$C$3594,0))</f>
        <v>0.82199999999999995</v>
      </c>
      <c r="Z8829" s="508">
        <f t="array" ref="Z8829">INDEX(Z$2728:Z$3594,MATCH($B8829&amp;$C8829,$B$2728:$B$3594&amp;$C$2728:$C$3594,0))</f>
        <v>0.66500000000000004</v>
      </c>
      <c r="AA8829" s="508">
        <f t="array" ref="AA8829">INDEX(AA$2728:AA$3594,MATCH($B8829&amp;$C8829,$B$2728:$B$3594&amp;$C$2728:$C$3594,0))</f>
        <v>0.51800000000000002</v>
      </c>
      <c r="AB8829" s="508">
        <f t="array" ref="AB8829">INDEX(AB$2728:AB$3594,MATCH($B8829&amp;$C8829,$B$2728:$B$3594&amp;$C$2728:$C$3594,0))</f>
        <v>0.372</v>
      </c>
      <c r="AC8829" s="508">
        <f t="array" ref="AC8829">INDEX(AC$2728:AC$3594,MATCH($B8829&amp;$C8829,$B$2728:$B$3594&amp;$C$2728:$C$3594,0))</f>
        <v>0.24399999999999999</v>
      </c>
      <c r="AD8829" s="508">
        <f t="array" ref="AD8829">INDEX(AD$2728:AD$3594,MATCH($B8829&amp;$C8829,$B$2728:$B$3594&amp;$C$2728:$C$3594,0))</f>
        <v>0.182</v>
      </c>
      <c r="AE8829" s="508">
        <f t="array" ref="AE8829">INDEX(AE$2728:AE$3594,MATCH($B8829&amp;$C8829,$B$2728:$B$3594&amp;$C$2728:$C$3594,0))</f>
        <v>0.189</v>
      </c>
      <c r="AF8829" s="508">
        <f t="array" ref="AF8829">INDEX(AF$2728:AF$3594,MATCH($B8829&amp;$C8829,$B$2728:$B$3594&amp;$C$2728:$C$3594,0))</f>
        <v>0.11899999999999999</v>
      </c>
      <c r="AG8829" s="508">
        <f t="array" ref="AG8829">INDEX(AG$2728:AG$3594,MATCH($B8829&amp;$C8829,$B$2728:$B$3594&amp;$C$2728:$C$3594,0))</f>
        <v>0.11899999999999999</v>
      </c>
      <c r="AH8829" s="508">
        <f t="array" ref="AH8829">INDEX(AH$2728:AH$3594,MATCH($B8829&amp;$C8829,$B$2728:$B$3594&amp;$C$2728:$C$3594,0))</f>
        <v>0.11799999999999999</v>
      </c>
      <c r="AI8829" s="508">
        <f t="array" ref="AI8829">INDEX(AI$2728:AI$3594,MATCH($B8829&amp;$C8829,$B$2728:$B$3594&amp;$C$2728:$C$3594,0))</f>
        <v>0.11700000000000001</v>
      </c>
      <c r="AJ8829" s="508"/>
      <c r="AK8829" s="508">
        <f t="shared" si="179"/>
        <v>0.10928459869848156</v>
      </c>
      <c r="AL8829" s="508">
        <f t="shared" si="181"/>
        <v>0.10156919739696312</v>
      </c>
      <c r="AM8829" s="508">
        <f t="shared" si="181"/>
        <v>9.3853796095444669E-2</v>
      </c>
      <c r="AN8829" s="508">
        <f t="shared" si="181"/>
        <v>8.6138394793926223E-2</v>
      </c>
      <c r="AO8829" s="508">
        <f t="array" ref="AO8829">INDEX('GREET Fuel Attributes'!$E$8948:$E$9083,MATCH($C8829&amp;$D8829,'GREET Fuel Attributes'!$B$8948:$B$9083&amp;'GREET Fuel Attributes'!$C$8948:$C$9083,0))/INDEX('GREET Fuel Attributes'!$D$8948:$D$9083,MATCH($C8829&amp;$D8829,'GREET Fuel Attributes'!$B$8948:$B$9083&amp;'GREET Fuel Attributes'!$C$8948:$C$9083,0))*AI8829</f>
        <v>7.8422993492407805E-2</v>
      </c>
      <c r="AP8829" s="132" t="s">
        <v>1388</v>
      </c>
      <c r="AQ8829" s="142" t="s">
        <v>304</v>
      </c>
    </row>
    <row r="8830" spans="2:43">
      <c r="B8830" s="136" t="str">
        <f t="shared" si="178"/>
        <v>ILLINOIS</v>
      </c>
      <c r="C8830" s="132" t="s">
        <v>1383</v>
      </c>
      <c r="D8830" s="132" t="s">
        <v>284</v>
      </c>
      <c r="E8830" s="508">
        <f t="array" ref="E8830">INDEX(E$3595:E$4461,MATCH($B8830&amp;$C8830,$B$3595:$B$4461&amp;$C$3595:$C$4461,0))</f>
        <v>0.13700000000000001</v>
      </c>
      <c r="F8830" s="508">
        <f t="array" ref="F8830">INDEX(F$3595:F$4461,MATCH($B8830&amp;$C8830,$B$3595:$B$4461&amp;$C$3595:$C$4461,0))</f>
        <v>0.125</v>
      </c>
      <c r="G8830" s="508">
        <f t="array" ref="G8830">INDEX(G$3595:G$4461,MATCH($B8830&amp;$C8830,$B$3595:$B$4461&amp;$C$3595:$C$4461,0))</f>
        <v>0.123</v>
      </c>
      <c r="H8830" s="508">
        <f t="array" ref="H8830">INDEX(H$3595:H$4461,MATCH($B8830&amp;$C8830,$B$3595:$B$4461&amp;$C$3595:$C$4461,0))</f>
        <v>0.105</v>
      </c>
      <c r="I8830" s="508">
        <f t="array" ref="I8830">INDEX(I$3595:I$4461,MATCH($B8830&amp;$C8830,$B$3595:$B$4461&amp;$C$3595:$C$4461,0))</f>
        <v>0.106</v>
      </c>
      <c r="J8830" s="508">
        <f t="array" ref="J8830">INDEX(J$3595:J$4461,MATCH($B8830&amp;$C8830,$B$3595:$B$4461&amp;$C$3595:$C$4461,0))</f>
        <v>0.105</v>
      </c>
      <c r="K8830" s="508">
        <f t="array" ref="K8830">INDEX(K$3595:K$4461,MATCH($B8830&amp;$C8830,$B$3595:$B$4461&amp;$C$3595:$C$4461,0))</f>
        <v>7.0000000000000007E-2</v>
      </c>
      <c r="L8830" s="508">
        <f t="array" ref="L8830">INDEX(L$3595:L$4461,MATCH($B8830&amp;$C8830,$B$3595:$B$4461&amp;$C$3595:$C$4461,0))</f>
        <v>6.8000000000000005E-2</v>
      </c>
      <c r="M8830" s="508">
        <f t="array" ref="M8830">INDEX(M$3595:M$4461,MATCH($B8830&amp;$C8830,$B$3595:$B$4461&amp;$C$3595:$C$4461,0))</f>
        <v>6.6000000000000003E-2</v>
      </c>
      <c r="N8830" s="508">
        <f t="array" ref="N8830">INDEX(N$3595:N$4461,MATCH($B8830&amp;$C8830,$B$3595:$B$4461&amp;$C$3595:$C$4461,0))</f>
        <v>6.6000000000000003E-2</v>
      </c>
      <c r="O8830" s="508">
        <f t="array" ref="O8830">INDEX(O$3595:O$4461,MATCH($B8830&amp;$C8830,$B$3595:$B$4461&amp;$C$3595:$C$4461,0))</f>
        <v>5.6000000000000001E-2</v>
      </c>
      <c r="P8830" s="508">
        <f t="array" ref="P8830">INDEX(P$3595:P$4461,MATCH($B8830&amp;$C8830,$B$3595:$B$4461&amp;$C$3595:$C$4461,0))</f>
        <v>0.04</v>
      </c>
      <c r="Q8830" s="508">
        <f t="array" ref="Q8830">INDEX(Q$3595:Q$4461,MATCH($B8830&amp;$C8830,$B$3595:$B$4461&amp;$C$3595:$C$4461,0))</f>
        <v>0.04</v>
      </c>
      <c r="R8830" s="508">
        <f t="array" ref="R8830">INDEX(R$3595:R$4461,MATCH($B8830&amp;$C8830,$B$3595:$B$4461&amp;$C$3595:$C$4461,0))</f>
        <v>3.3000000000000002E-2</v>
      </c>
      <c r="S8830" s="508">
        <f t="array" ref="S8830">INDEX(S$3595:S$4461,MATCH($B8830&amp;$C8830,$B$3595:$B$4461&amp;$C$3595:$C$4461,0))</f>
        <v>3.1E-2</v>
      </c>
      <c r="T8830" s="508">
        <f t="array" ref="T8830">INDEX(T$3595:T$4461,MATCH($B8830&amp;$C8830,$B$3595:$B$4461&amp;$C$3595:$C$4461,0))</f>
        <v>0.03</v>
      </c>
      <c r="U8830" s="508">
        <f t="array" ref="U8830">INDEX(U$3595:U$4461,MATCH($B8830&amp;$C8830,$B$3595:$B$4461&amp;$C$3595:$C$4461,0))</f>
        <v>1.7000000000000001E-2</v>
      </c>
      <c r="V8830" s="508">
        <f t="array" ref="V8830">INDEX(V$3595:V$4461,MATCH($B8830&amp;$C8830,$B$3595:$B$4461&amp;$C$3595:$C$4461,0))</f>
        <v>1.4999999999999999E-2</v>
      </c>
      <c r="W8830" s="508">
        <f t="array" ref="W8830">INDEX(W$3595:W$4461,MATCH($B8830&amp;$C8830,$B$3595:$B$4461&amp;$C$3595:$C$4461,0))</f>
        <v>1.4999999999999999E-2</v>
      </c>
      <c r="X8830" s="508">
        <f t="array" ref="X8830">INDEX(X$3595:X$4461,MATCH($B8830&amp;$C8830,$B$3595:$B$4461&amp;$C$3595:$C$4461,0))</f>
        <v>0.01</v>
      </c>
      <c r="Y8830" s="508">
        <f t="array" ref="Y8830">INDEX(Y$3595:Y$4461,MATCH($B8830&amp;$C8830,$B$3595:$B$4461&amp;$C$3595:$C$4461,0))</f>
        <v>0.01</v>
      </c>
      <c r="Z8830" s="508">
        <f t="array" ref="Z8830">INDEX(Z$3595:Z$4461,MATCH($B8830&amp;$C8830,$B$3595:$B$4461&amp;$C$3595:$C$4461,0))</f>
        <v>8.0000000000000002E-3</v>
      </c>
      <c r="AA8830" s="508">
        <f t="array" ref="AA8830">INDEX(AA$3595:AA$4461,MATCH($B8830&amp;$C8830,$B$3595:$B$4461&amp;$C$3595:$C$4461,0))</f>
        <v>8.0000000000000002E-3</v>
      </c>
      <c r="AB8830" s="508">
        <f t="array" ref="AB8830">INDEX(AB$3595:AB$4461,MATCH($B8830&amp;$C8830,$B$3595:$B$4461&amp;$C$3595:$C$4461,0))</f>
        <v>7.0000000000000001E-3</v>
      </c>
      <c r="AC8830" s="508">
        <f t="array" ref="AC8830">INDEX(AC$3595:AC$4461,MATCH($B8830&amp;$C8830,$B$3595:$B$4461&amp;$C$3595:$C$4461,0))</f>
        <v>7.0000000000000001E-3</v>
      </c>
      <c r="AD8830" s="508">
        <f t="array" ref="AD8830">INDEX(AD$3595:AD$4461,MATCH($B8830&amp;$C8830,$B$3595:$B$4461&amp;$C$3595:$C$4461,0))</f>
        <v>6.0000000000000001E-3</v>
      </c>
      <c r="AE8830" s="508">
        <f t="array" ref="AE8830">INDEX(AE$3595:AE$4461,MATCH($B8830&amp;$C8830,$B$3595:$B$4461&amp;$C$3595:$C$4461,0))</f>
        <v>6.0000000000000001E-3</v>
      </c>
      <c r="AF8830" s="508">
        <f t="array" ref="AF8830">INDEX(AF$3595:AF$4461,MATCH($B8830&amp;$C8830,$B$3595:$B$4461&amp;$C$3595:$C$4461,0))</f>
        <v>4.0000000000000001E-3</v>
      </c>
      <c r="AG8830" s="508">
        <f t="array" ref="AG8830">INDEX(AG$3595:AG$4461,MATCH($B8830&amp;$C8830,$B$3595:$B$4461&amp;$C$3595:$C$4461,0))</f>
        <v>4.0000000000000001E-3</v>
      </c>
      <c r="AH8830" s="508">
        <f t="array" ref="AH8830">INDEX(AH$3595:AH$4461,MATCH($B8830&amp;$C8830,$B$3595:$B$4461&amp;$C$3595:$C$4461,0))</f>
        <v>4.0000000000000001E-3</v>
      </c>
      <c r="AI8830" s="508">
        <f t="array" ref="AI8830">INDEX(AI$3595:AI$4461,MATCH($B8830&amp;$C8830,$B$3595:$B$4461&amp;$C$3595:$C$4461,0))</f>
        <v>4.0000000000000001E-3</v>
      </c>
      <c r="AJ8830" s="508"/>
      <c r="AK8830" s="508">
        <f t="shared" si="179"/>
        <v>4.0000000000000001E-3</v>
      </c>
      <c r="AL8830" s="508">
        <f t="shared" si="181"/>
        <v>4.0000000000000001E-3</v>
      </c>
      <c r="AM8830" s="508">
        <f t="shared" si="181"/>
        <v>4.0000000000000001E-3</v>
      </c>
      <c r="AN8830" s="508">
        <f t="shared" si="181"/>
        <v>4.0000000000000001E-3</v>
      </c>
      <c r="AO8830" s="508">
        <f t="array" ref="AO8830">INDEX('GREET Fuel Attributes'!$E$8948:$E$9083,MATCH($C8830&amp;$D8830,'GREET Fuel Attributes'!$B$8948:$B$9083&amp;'GREET Fuel Attributes'!$C$8948:$C$9083,0))/INDEX('GREET Fuel Attributes'!$D$8948:$D$9083,MATCH($C8830&amp;$D8830,'GREET Fuel Attributes'!$B$8948:$B$9083&amp;'GREET Fuel Attributes'!$C$8948:$C$9083,0))*AI8830</f>
        <v>4.0000000000000001E-3</v>
      </c>
      <c r="AP8830" s="132" t="s">
        <v>1388</v>
      </c>
      <c r="AQ8830" s="142" t="s">
        <v>304</v>
      </c>
    </row>
    <row r="8831" spans="2:43">
      <c r="B8831" s="136" t="str">
        <f t="shared" si="178"/>
        <v>ILLINOIS</v>
      </c>
      <c r="C8831" s="132" t="s">
        <v>1383</v>
      </c>
      <c r="D8831" s="132" t="s">
        <v>1379</v>
      </c>
      <c r="E8831" s="508">
        <f t="array" ref="E8831">INDEX(E$4462:E$5328,MATCH($B8831&amp;$C8831,$B$4462:$B$5328&amp;$C$4462:$C$5328,0))</f>
        <v>5.2999999999999999E-2</v>
      </c>
      <c r="F8831" s="508">
        <f t="array" ref="F8831">INDEX(F$4462:F$5328,MATCH($B8831&amp;$C8831,$B$4462:$B$5328&amp;$C$4462:$C$5328,0))</f>
        <v>5.2999999999999999E-2</v>
      </c>
      <c r="G8831" s="508">
        <f t="array" ref="G8831">INDEX(G$4462:G$5328,MATCH($B8831&amp;$C8831,$B$4462:$B$5328&amp;$C$4462:$C$5328,0))</f>
        <v>5.2999999999999999E-2</v>
      </c>
      <c r="H8831" s="508">
        <f t="array" ref="H8831">INDEX(H$4462:H$5328,MATCH($B8831&amp;$C8831,$B$4462:$B$5328&amp;$C$4462:$C$5328,0))</f>
        <v>5.2999999999999999E-2</v>
      </c>
      <c r="I8831" s="508">
        <f t="array" ref="I8831">INDEX(I$4462:I$5328,MATCH($B8831&amp;$C8831,$B$4462:$B$5328&amp;$C$4462:$C$5328,0))</f>
        <v>5.2999999999999999E-2</v>
      </c>
      <c r="J8831" s="508">
        <f t="array" ref="J8831">INDEX(J$4462:J$5328,MATCH($B8831&amp;$C8831,$B$4462:$B$5328&amp;$C$4462:$C$5328,0))</f>
        <v>5.2999999999999999E-2</v>
      </c>
      <c r="K8831" s="508">
        <f t="array" ref="K8831">INDEX(K$4462:K$5328,MATCH($B8831&amp;$C8831,$B$4462:$B$5328&amp;$C$4462:$C$5328,0))</f>
        <v>5.2999999999999999E-2</v>
      </c>
      <c r="L8831" s="508">
        <f t="array" ref="L8831">INDEX(L$4462:L$5328,MATCH($B8831&amp;$C8831,$B$4462:$B$5328&amp;$C$4462:$C$5328,0))</f>
        <v>5.2999999999999999E-2</v>
      </c>
      <c r="M8831" s="508">
        <f t="array" ref="M8831">INDEX(M$4462:M$5328,MATCH($B8831&amp;$C8831,$B$4462:$B$5328&amp;$C$4462:$C$5328,0))</f>
        <v>5.2999999999999999E-2</v>
      </c>
      <c r="N8831" s="508">
        <f t="array" ref="N8831">INDEX(N$4462:N$5328,MATCH($B8831&amp;$C8831,$B$4462:$B$5328&amp;$C$4462:$C$5328,0))</f>
        <v>5.2999999999999999E-2</v>
      </c>
      <c r="O8831" s="508">
        <f t="array" ref="O8831">INDEX(O$4462:O$5328,MATCH($B8831&amp;$C8831,$B$4462:$B$5328&amp;$C$4462:$C$5328,0))</f>
        <v>5.2999999999999999E-2</v>
      </c>
      <c r="P8831" s="508">
        <f t="array" ref="P8831">INDEX(P$4462:P$5328,MATCH($B8831&amp;$C8831,$B$4462:$B$5328&amp;$C$4462:$C$5328,0))</f>
        <v>5.2999999999999999E-2</v>
      </c>
      <c r="Q8831" s="508">
        <f t="array" ref="Q8831">INDEX(Q$4462:Q$5328,MATCH($B8831&amp;$C8831,$B$4462:$B$5328&amp;$C$4462:$C$5328,0))</f>
        <v>5.2999999999999999E-2</v>
      </c>
      <c r="R8831" s="508">
        <f t="array" ref="R8831">INDEX(R$4462:R$5328,MATCH($B8831&amp;$C8831,$B$4462:$B$5328&amp;$C$4462:$C$5328,0))</f>
        <v>5.2999999999999999E-2</v>
      </c>
      <c r="S8831" s="508">
        <f t="array" ref="S8831">INDEX(S$4462:S$5328,MATCH($B8831&amp;$C8831,$B$4462:$B$5328&amp;$C$4462:$C$5328,0))</f>
        <v>5.2999999999999999E-2</v>
      </c>
      <c r="T8831" s="508">
        <f t="array" ref="T8831">INDEX(T$4462:T$5328,MATCH($B8831&amp;$C8831,$B$4462:$B$5328&amp;$C$4462:$C$5328,0))</f>
        <v>5.2999999999999999E-2</v>
      </c>
      <c r="U8831" s="508">
        <f t="array" ref="U8831">INDEX(U$4462:U$5328,MATCH($B8831&amp;$C8831,$B$4462:$B$5328&amp;$C$4462:$C$5328,0))</f>
        <v>5.2999999999999999E-2</v>
      </c>
      <c r="V8831" s="508">
        <f t="array" ref="V8831">INDEX(V$4462:V$5328,MATCH($B8831&amp;$C8831,$B$4462:$B$5328&amp;$C$4462:$C$5328,0))</f>
        <v>5.2999999999999999E-2</v>
      </c>
      <c r="W8831" s="508">
        <f t="array" ref="W8831">INDEX(W$4462:W$5328,MATCH($B8831&amp;$C8831,$B$4462:$B$5328&amp;$C$4462:$C$5328,0))</f>
        <v>5.2999999999999999E-2</v>
      </c>
      <c r="X8831" s="508">
        <f t="array" ref="X8831">INDEX(X$4462:X$5328,MATCH($B8831&amp;$C8831,$B$4462:$B$5328&amp;$C$4462:$C$5328,0))</f>
        <v>5.2999999999999999E-2</v>
      </c>
      <c r="Y8831" s="508">
        <f t="array" ref="Y8831">INDEX(Y$4462:Y$5328,MATCH($B8831&amp;$C8831,$B$4462:$B$5328&amp;$C$4462:$C$5328,0))</f>
        <v>5.2999999999999999E-2</v>
      </c>
      <c r="Z8831" s="508">
        <f t="array" ref="Z8831">INDEX(Z$4462:Z$5328,MATCH($B8831&amp;$C8831,$B$4462:$B$5328&amp;$C$4462:$C$5328,0))</f>
        <v>5.2999999999999999E-2</v>
      </c>
      <c r="AA8831" s="508">
        <f t="array" ref="AA8831">INDEX(AA$4462:AA$5328,MATCH($B8831&amp;$C8831,$B$4462:$B$5328&amp;$C$4462:$C$5328,0))</f>
        <v>5.2999999999999999E-2</v>
      </c>
      <c r="AB8831" s="508">
        <f t="array" ref="AB8831">INDEX(AB$4462:AB$5328,MATCH($B8831&amp;$C8831,$B$4462:$B$5328&amp;$C$4462:$C$5328,0))</f>
        <v>5.2999999999999999E-2</v>
      </c>
      <c r="AC8831" s="508">
        <f t="array" ref="AC8831">INDEX(AC$4462:AC$5328,MATCH($B8831&amp;$C8831,$B$4462:$B$5328&amp;$C$4462:$C$5328,0))</f>
        <v>5.2999999999999999E-2</v>
      </c>
      <c r="AD8831" s="508">
        <f t="array" ref="AD8831">INDEX(AD$4462:AD$5328,MATCH($B8831&amp;$C8831,$B$4462:$B$5328&amp;$C$4462:$C$5328,0))</f>
        <v>5.2999999999999999E-2</v>
      </c>
      <c r="AE8831" s="508">
        <f t="array" ref="AE8831">INDEX(AE$4462:AE$5328,MATCH($B8831&amp;$C8831,$B$4462:$B$5328&amp;$C$4462:$C$5328,0))</f>
        <v>5.2999999999999999E-2</v>
      </c>
      <c r="AF8831" s="508">
        <f t="array" ref="AF8831">INDEX(AF$4462:AF$5328,MATCH($B8831&amp;$C8831,$B$4462:$B$5328&amp;$C$4462:$C$5328,0))</f>
        <v>5.2999999999999999E-2</v>
      </c>
      <c r="AG8831" s="508">
        <f t="array" ref="AG8831">INDEX(AG$4462:AG$5328,MATCH($B8831&amp;$C8831,$B$4462:$B$5328&amp;$C$4462:$C$5328,0))</f>
        <v>5.2999999999999999E-2</v>
      </c>
      <c r="AH8831" s="508">
        <f t="array" ref="AH8831">INDEX(AH$4462:AH$5328,MATCH($B8831&amp;$C8831,$B$4462:$B$5328&amp;$C$4462:$C$5328,0))</f>
        <v>5.2999999999999999E-2</v>
      </c>
      <c r="AI8831" s="508">
        <f t="array" ref="AI8831">INDEX(AI$4462:AI$5328,MATCH($B8831&amp;$C8831,$B$4462:$B$5328&amp;$C$4462:$C$5328,0))</f>
        <v>5.2999999999999999E-2</v>
      </c>
      <c r="AJ8831" s="508"/>
      <c r="AK8831" s="508">
        <f t="shared" si="179"/>
        <v>5.2999999999999999E-2</v>
      </c>
      <c r="AL8831" s="508">
        <f t="shared" si="181"/>
        <v>5.2999999999999999E-2</v>
      </c>
      <c r="AM8831" s="508">
        <f t="shared" si="181"/>
        <v>5.2999999999999999E-2</v>
      </c>
      <c r="AN8831" s="508">
        <f t="shared" si="181"/>
        <v>5.2999999999999999E-2</v>
      </c>
      <c r="AO8831" s="508">
        <f t="array" ref="AO8831">INDEX('GREET Fuel Attributes'!$E$8948:$E$9083,MATCH($C8831&amp;$D8831,'GREET Fuel Attributes'!$B$8948:$B$9083&amp;'GREET Fuel Attributes'!$C$8948:$C$9083,0))/INDEX('GREET Fuel Attributes'!$D$8948:$D$9083,MATCH($C8831&amp;$D8831,'GREET Fuel Attributes'!$B$8948:$B$9083&amp;'GREET Fuel Attributes'!$C$8948:$C$9083,0))*AI8831</f>
        <v>5.2999999999999999E-2</v>
      </c>
      <c r="AP8831" s="132" t="s">
        <v>1388</v>
      </c>
      <c r="AQ8831" s="142" t="s">
        <v>304</v>
      </c>
    </row>
    <row r="8832" spans="2:43">
      <c r="B8832" s="136" t="str">
        <f t="shared" si="178"/>
        <v>ILLINOIS</v>
      </c>
      <c r="C8832" s="132" t="s">
        <v>1383</v>
      </c>
      <c r="D8832" s="132" t="s">
        <v>285</v>
      </c>
      <c r="E8832" s="508">
        <f t="array" ref="E8832">INDEX(E$5329:E$6195,MATCH($B8832&amp;$C8832,$B$5329:$B$6195&amp;$C$5329:$C$6195,0))</f>
        <v>0.121</v>
      </c>
      <c r="F8832" s="508">
        <f t="array" ref="F8832">INDEX(F$5329:F$6195,MATCH($B8832&amp;$C8832,$B$5329:$B$6195&amp;$C$5329:$C$6195,0))</f>
        <v>0.111</v>
      </c>
      <c r="G8832" s="508">
        <f t="array" ref="G8832">INDEX(G$5329:G$6195,MATCH($B8832&amp;$C8832,$B$5329:$B$6195&amp;$C$5329:$C$6195,0))</f>
        <v>0.109</v>
      </c>
      <c r="H8832" s="508">
        <f t="array" ref="H8832">INDEX(H$5329:H$6195,MATCH($B8832&amp;$C8832,$B$5329:$B$6195&amp;$C$5329:$C$6195,0))</f>
        <v>9.2999999999999999E-2</v>
      </c>
      <c r="I8832" s="508">
        <f t="array" ref="I8832">INDEX(I$5329:I$6195,MATCH($B8832&amp;$C8832,$B$5329:$B$6195&amp;$C$5329:$C$6195,0))</f>
        <v>9.2999999999999999E-2</v>
      </c>
      <c r="J8832" s="508">
        <f t="array" ref="J8832">INDEX(J$5329:J$6195,MATCH($B8832&amp;$C8832,$B$5329:$B$6195&amp;$C$5329:$C$6195,0))</f>
        <v>9.2999999999999999E-2</v>
      </c>
      <c r="K8832" s="508">
        <f t="array" ref="K8832">INDEX(K$5329:K$6195,MATCH($B8832&amp;$C8832,$B$5329:$B$6195&amp;$C$5329:$C$6195,0))</f>
        <v>6.2E-2</v>
      </c>
      <c r="L8832" s="508">
        <f t="array" ref="L8832">INDEX(L$5329:L$6195,MATCH($B8832&amp;$C8832,$B$5329:$B$6195&amp;$C$5329:$C$6195,0))</f>
        <v>0.06</v>
      </c>
      <c r="M8832" s="508">
        <f t="array" ref="M8832">INDEX(M$5329:M$6195,MATCH($B8832&amp;$C8832,$B$5329:$B$6195&amp;$C$5329:$C$6195,0))</f>
        <v>5.8999999999999997E-2</v>
      </c>
      <c r="N8832" s="508">
        <f t="array" ref="N8832">INDEX(N$5329:N$6195,MATCH($B8832&amp;$C8832,$B$5329:$B$6195&amp;$C$5329:$C$6195,0))</f>
        <v>5.8000000000000003E-2</v>
      </c>
      <c r="O8832" s="508">
        <f t="array" ref="O8832">INDEX(O$5329:O$6195,MATCH($B8832&amp;$C8832,$B$5329:$B$6195&amp;$C$5329:$C$6195,0))</f>
        <v>0.05</v>
      </c>
      <c r="P8832" s="508">
        <f t="array" ref="P8832">INDEX(P$5329:P$6195,MATCH($B8832&amp;$C8832,$B$5329:$B$6195&amp;$C$5329:$C$6195,0))</f>
        <v>3.5000000000000003E-2</v>
      </c>
      <c r="Q8832" s="508">
        <f t="array" ref="Q8832">INDEX(Q$5329:Q$6195,MATCH($B8832&amp;$C8832,$B$5329:$B$6195&amp;$C$5329:$C$6195,0))</f>
        <v>3.5999999999999997E-2</v>
      </c>
      <c r="R8832" s="508">
        <f t="array" ref="R8832">INDEX(R$5329:R$6195,MATCH($B8832&amp;$C8832,$B$5329:$B$6195&amp;$C$5329:$C$6195,0))</f>
        <v>2.9000000000000001E-2</v>
      </c>
      <c r="S8832" s="508">
        <f t="array" ref="S8832">INDEX(S$5329:S$6195,MATCH($B8832&amp;$C8832,$B$5329:$B$6195&amp;$C$5329:$C$6195,0))</f>
        <v>2.7E-2</v>
      </c>
      <c r="T8832" s="508">
        <f t="array" ref="T8832">INDEX(T$5329:T$6195,MATCH($B8832&amp;$C8832,$B$5329:$B$6195&amp;$C$5329:$C$6195,0))</f>
        <v>2.5999999999999999E-2</v>
      </c>
      <c r="U8832" s="508">
        <f t="array" ref="U8832">INDEX(U$5329:U$6195,MATCH($B8832&amp;$C8832,$B$5329:$B$6195&amp;$C$5329:$C$6195,0))</f>
        <v>1.4999999999999999E-2</v>
      </c>
      <c r="V8832" s="508">
        <f t="array" ref="V8832">INDEX(V$5329:V$6195,MATCH($B8832&amp;$C8832,$B$5329:$B$6195&amp;$C$5329:$C$6195,0))</f>
        <v>1.2999999999999999E-2</v>
      </c>
      <c r="W8832" s="508">
        <f t="array" ref="W8832">INDEX(W$5329:W$6195,MATCH($B8832&amp;$C8832,$B$5329:$B$6195&amp;$C$5329:$C$6195,0))</f>
        <v>1.2999999999999999E-2</v>
      </c>
      <c r="X8832" s="508">
        <f t="array" ref="X8832">INDEX(X$5329:X$6195,MATCH($B8832&amp;$C8832,$B$5329:$B$6195&amp;$C$5329:$C$6195,0))</f>
        <v>8.9999999999999993E-3</v>
      </c>
      <c r="Y8832" s="508">
        <f t="array" ref="Y8832">INDEX(Y$5329:Y$6195,MATCH($B8832&amp;$C8832,$B$5329:$B$6195&amp;$C$5329:$C$6195,0))</f>
        <v>8.9999999999999993E-3</v>
      </c>
      <c r="Z8832" s="508">
        <f t="array" ref="Z8832">INDEX(Z$5329:Z$6195,MATCH($B8832&amp;$C8832,$B$5329:$B$6195&amp;$C$5329:$C$6195,0))</f>
        <v>7.0000000000000001E-3</v>
      </c>
      <c r="AA8832" s="508">
        <f t="array" ref="AA8832">INDEX(AA$5329:AA$6195,MATCH($B8832&amp;$C8832,$B$5329:$B$6195&amp;$C$5329:$C$6195,0))</f>
        <v>7.0000000000000001E-3</v>
      </c>
      <c r="AB8832" s="508">
        <f t="array" ref="AB8832">INDEX(AB$5329:AB$6195,MATCH($B8832&amp;$C8832,$B$5329:$B$6195&amp;$C$5329:$C$6195,0))</f>
        <v>6.0000000000000001E-3</v>
      </c>
      <c r="AC8832" s="508">
        <f t="array" ref="AC8832">INDEX(AC$5329:AC$6195,MATCH($B8832&amp;$C8832,$B$5329:$B$6195&amp;$C$5329:$C$6195,0))</f>
        <v>6.0000000000000001E-3</v>
      </c>
      <c r="AD8832" s="508">
        <f t="array" ref="AD8832">INDEX(AD$5329:AD$6195,MATCH($B8832&amp;$C8832,$B$5329:$B$6195&amp;$C$5329:$C$6195,0))</f>
        <v>5.0000000000000001E-3</v>
      </c>
      <c r="AE8832" s="508">
        <f t="array" ref="AE8832">INDEX(AE$5329:AE$6195,MATCH($B8832&amp;$C8832,$B$5329:$B$6195&amp;$C$5329:$C$6195,0))</f>
        <v>5.0000000000000001E-3</v>
      </c>
      <c r="AF8832" s="508">
        <f t="array" ref="AF8832">INDEX(AF$5329:AF$6195,MATCH($B8832&amp;$C8832,$B$5329:$B$6195&amp;$C$5329:$C$6195,0))</f>
        <v>3.0000000000000001E-3</v>
      </c>
      <c r="AG8832" s="508">
        <f t="array" ref="AG8832">INDEX(AG$5329:AG$6195,MATCH($B8832&amp;$C8832,$B$5329:$B$6195&amp;$C$5329:$C$6195,0))</f>
        <v>3.0000000000000001E-3</v>
      </c>
      <c r="AH8832" s="508">
        <f t="array" ref="AH8832">INDEX(AH$5329:AH$6195,MATCH($B8832&amp;$C8832,$B$5329:$B$6195&amp;$C$5329:$C$6195,0))</f>
        <v>3.0000000000000001E-3</v>
      </c>
      <c r="AI8832" s="508">
        <f t="array" ref="AI8832">INDEX(AI$5329:AI$6195,MATCH($B8832&amp;$C8832,$B$5329:$B$6195&amp;$C$5329:$C$6195,0))</f>
        <v>3.0000000000000001E-3</v>
      </c>
      <c r="AJ8832" s="508"/>
      <c r="AK8832" s="508">
        <f t="shared" si="179"/>
        <v>3.0000000000000001E-3</v>
      </c>
      <c r="AL8832" s="508">
        <f t="shared" si="181"/>
        <v>3.0000000000000001E-3</v>
      </c>
      <c r="AM8832" s="508">
        <f t="shared" si="181"/>
        <v>3.0000000000000001E-3</v>
      </c>
      <c r="AN8832" s="508">
        <f t="shared" si="181"/>
        <v>3.0000000000000001E-3</v>
      </c>
      <c r="AO8832" s="508">
        <f t="array" ref="AO8832">INDEX('GREET Fuel Attributes'!$E$8948:$E$9083,MATCH($C8832&amp;$D8832,'GREET Fuel Attributes'!$B$8948:$B$9083&amp;'GREET Fuel Attributes'!$C$8948:$C$9083,0))/INDEX('GREET Fuel Attributes'!$D$8948:$D$9083,MATCH($C8832&amp;$D8832,'GREET Fuel Attributes'!$B$8948:$B$9083&amp;'GREET Fuel Attributes'!$C$8948:$C$9083,0))*AI8832</f>
        <v>3.0000000000000001E-3</v>
      </c>
      <c r="AP8832" s="132" t="s">
        <v>1388</v>
      </c>
      <c r="AQ8832" s="142" t="s">
        <v>304</v>
      </c>
    </row>
    <row r="8833" spans="2:43">
      <c r="B8833" s="136" t="str">
        <f t="shared" si="178"/>
        <v>ILLINOIS</v>
      </c>
      <c r="C8833" s="132" t="s">
        <v>1383</v>
      </c>
      <c r="D8833" s="132" t="s">
        <v>1380</v>
      </c>
      <c r="E8833" s="508">
        <f t="array" ref="E8833">INDEX(E$6196:E$7062,MATCH($B8833&amp;$C8833,$B$6196:$B$7062&amp;$C$6196:$C$7062,0))</f>
        <v>7.0000000000000001E-3</v>
      </c>
      <c r="F8833" s="508">
        <f t="array" ref="F8833">INDEX(F$6196:F$7062,MATCH($B8833&amp;$C8833,$B$6196:$B$7062&amp;$C$6196:$C$7062,0))</f>
        <v>7.0000000000000001E-3</v>
      </c>
      <c r="G8833" s="508">
        <f t="array" ref="G8833">INDEX(G$6196:G$7062,MATCH($B8833&amp;$C8833,$B$6196:$B$7062&amp;$C$6196:$C$7062,0))</f>
        <v>7.0000000000000001E-3</v>
      </c>
      <c r="H8833" s="508">
        <f t="array" ref="H8833">INDEX(H$6196:H$7062,MATCH($B8833&amp;$C8833,$B$6196:$B$7062&amp;$C$6196:$C$7062,0))</f>
        <v>7.0000000000000001E-3</v>
      </c>
      <c r="I8833" s="508">
        <f t="array" ref="I8833">INDEX(I$6196:I$7062,MATCH($B8833&amp;$C8833,$B$6196:$B$7062&amp;$C$6196:$C$7062,0))</f>
        <v>7.0000000000000001E-3</v>
      </c>
      <c r="J8833" s="508">
        <f t="array" ref="J8833">INDEX(J$6196:J$7062,MATCH($B8833&amp;$C8833,$B$6196:$B$7062&amp;$C$6196:$C$7062,0))</f>
        <v>7.0000000000000001E-3</v>
      </c>
      <c r="K8833" s="508">
        <f t="array" ref="K8833">INDEX(K$6196:K$7062,MATCH($B8833&amp;$C8833,$B$6196:$B$7062&amp;$C$6196:$C$7062,0))</f>
        <v>7.0000000000000001E-3</v>
      </c>
      <c r="L8833" s="508">
        <f t="array" ref="L8833">INDEX(L$6196:L$7062,MATCH($B8833&amp;$C8833,$B$6196:$B$7062&amp;$C$6196:$C$7062,0))</f>
        <v>7.0000000000000001E-3</v>
      </c>
      <c r="M8833" s="508">
        <f t="array" ref="M8833">INDEX(M$6196:M$7062,MATCH($B8833&amp;$C8833,$B$6196:$B$7062&amp;$C$6196:$C$7062,0))</f>
        <v>7.0000000000000001E-3</v>
      </c>
      <c r="N8833" s="508">
        <f t="array" ref="N8833">INDEX(N$6196:N$7062,MATCH($B8833&amp;$C8833,$B$6196:$B$7062&amp;$C$6196:$C$7062,0))</f>
        <v>7.0000000000000001E-3</v>
      </c>
      <c r="O8833" s="508">
        <f t="array" ref="O8833">INDEX(O$6196:O$7062,MATCH($B8833&amp;$C8833,$B$6196:$B$7062&amp;$C$6196:$C$7062,0))</f>
        <v>7.0000000000000001E-3</v>
      </c>
      <c r="P8833" s="508">
        <f t="array" ref="P8833">INDEX(P$6196:P$7062,MATCH($B8833&amp;$C8833,$B$6196:$B$7062&amp;$C$6196:$C$7062,0))</f>
        <v>7.0000000000000001E-3</v>
      </c>
      <c r="Q8833" s="508">
        <f t="array" ref="Q8833">INDEX(Q$6196:Q$7062,MATCH($B8833&amp;$C8833,$B$6196:$B$7062&amp;$C$6196:$C$7062,0))</f>
        <v>7.0000000000000001E-3</v>
      </c>
      <c r="R8833" s="508">
        <f t="array" ref="R8833">INDEX(R$6196:R$7062,MATCH($B8833&amp;$C8833,$B$6196:$B$7062&amp;$C$6196:$C$7062,0))</f>
        <v>7.0000000000000001E-3</v>
      </c>
      <c r="S8833" s="508">
        <f t="array" ref="S8833">INDEX(S$6196:S$7062,MATCH($B8833&amp;$C8833,$B$6196:$B$7062&amp;$C$6196:$C$7062,0))</f>
        <v>7.0000000000000001E-3</v>
      </c>
      <c r="T8833" s="508">
        <f t="array" ref="T8833">INDEX(T$6196:T$7062,MATCH($B8833&amp;$C8833,$B$6196:$B$7062&amp;$C$6196:$C$7062,0))</f>
        <v>7.0000000000000001E-3</v>
      </c>
      <c r="U8833" s="508">
        <f t="array" ref="U8833">INDEX(U$6196:U$7062,MATCH($B8833&amp;$C8833,$B$6196:$B$7062&amp;$C$6196:$C$7062,0))</f>
        <v>7.0000000000000001E-3</v>
      </c>
      <c r="V8833" s="508">
        <f t="array" ref="V8833">INDEX(V$6196:V$7062,MATCH($B8833&amp;$C8833,$B$6196:$B$7062&amp;$C$6196:$C$7062,0))</f>
        <v>7.0000000000000001E-3</v>
      </c>
      <c r="W8833" s="508">
        <f t="array" ref="W8833">INDEX(W$6196:W$7062,MATCH($B8833&amp;$C8833,$B$6196:$B$7062&amp;$C$6196:$C$7062,0))</f>
        <v>7.0000000000000001E-3</v>
      </c>
      <c r="X8833" s="508">
        <f t="array" ref="X8833">INDEX(X$6196:X$7062,MATCH($B8833&amp;$C8833,$B$6196:$B$7062&amp;$C$6196:$C$7062,0))</f>
        <v>7.0000000000000001E-3</v>
      </c>
      <c r="Y8833" s="508">
        <f t="array" ref="Y8833">INDEX(Y$6196:Y$7062,MATCH($B8833&amp;$C8833,$B$6196:$B$7062&amp;$C$6196:$C$7062,0))</f>
        <v>7.0000000000000001E-3</v>
      </c>
      <c r="Z8833" s="508">
        <f t="array" ref="Z8833">INDEX(Z$6196:Z$7062,MATCH($B8833&amp;$C8833,$B$6196:$B$7062&amp;$C$6196:$C$7062,0))</f>
        <v>7.0000000000000001E-3</v>
      </c>
      <c r="AA8833" s="508">
        <f t="array" ref="AA8833">INDEX(AA$6196:AA$7062,MATCH($B8833&amp;$C8833,$B$6196:$B$7062&amp;$C$6196:$C$7062,0))</f>
        <v>7.0000000000000001E-3</v>
      </c>
      <c r="AB8833" s="508">
        <f t="array" ref="AB8833">INDEX(AB$6196:AB$7062,MATCH($B8833&amp;$C8833,$B$6196:$B$7062&amp;$C$6196:$C$7062,0))</f>
        <v>7.0000000000000001E-3</v>
      </c>
      <c r="AC8833" s="508">
        <f t="array" ref="AC8833">INDEX(AC$6196:AC$7062,MATCH($B8833&amp;$C8833,$B$6196:$B$7062&amp;$C$6196:$C$7062,0))</f>
        <v>7.0000000000000001E-3</v>
      </c>
      <c r="AD8833" s="508">
        <f t="array" ref="AD8833">INDEX(AD$6196:AD$7062,MATCH($B8833&amp;$C8833,$B$6196:$B$7062&amp;$C$6196:$C$7062,0))</f>
        <v>7.0000000000000001E-3</v>
      </c>
      <c r="AE8833" s="508">
        <f t="array" ref="AE8833">INDEX(AE$6196:AE$7062,MATCH($B8833&amp;$C8833,$B$6196:$B$7062&amp;$C$6196:$C$7062,0))</f>
        <v>7.0000000000000001E-3</v>
      </c>
      <c r="AF8833" s="508">
        <f t="array" ref="AF8833">INDEX(AF$6196:AF$7062,MATCH($B8833&amp;$C8833,$B$6196:$B$7062&amp;$C$6196:$C$7062,0))</f>
        <v>7.0000000000000001E-3</v>
      </c>
      <c r="AG8833" s="508">
        <f t="array" ref="AG8833">INDEX(AG$6196:AG$7062,MATCH($B8833&amp;$C8833,$B$6196:$B$7062&amp;$C$6196:$C$7062,0))</f>
        <v>7.0000000000000001E-3</v>
      </c>
      <c r="AH8833" s="508">
        <f t="array" ref="AH8833">INDEX(AH$6196:AH$7062,MATCH($B8833&amp;$C8833,$B$6196:$B$7062&amp;$C$6196:$C$7062,0))</f>
        <v>7.0000000000000001E-3</v>
      </c>
      <c r="AI8833" s="508">
        <f t="array" ref="AI8833">INDEX(AI$6196:AI$7062,MATCH($B8833&amp;$C8833,$B$6196:$B$7062&amp;$C$6196:$C$7062,0))</f>
        <v>7.0000000000000001E-3</v>
      </c>
      <c r="AJ8833" s="508"/>
      <c r="AK8833" s="508">
        <f t="shared" si="179"/>
        <v>7.0000000000000001E-3</v>
      </c>
      <c r="AL8833" s="508">
        <f t="shared" si="181"/>
        <v>7.0000000000000001E-3</v>
      </c>
      <c r="AM8833" s="508">
        <f t="shared" si="181"/>
        <v>7.0000000000000001E-3</v>
      </c>
      <c r="AN8833" s="508">
        <f t="shared" si="181"/>
        <v>7.0000000000000001E-3</v>
      </c>
      <c r="AO8833" s="508">
        <f t="array" ref="AO8833">INDEX('GREET Fuel Attributes'!$E$8948:$E$9083,MATCH($C8833&amp;$D8833,'GREET Fuel Attributes'!$B$8948:$B$9083&amp;'GREET Fuel Attributes'!$C$8948:$C$9083,0))/INDEX('GREET Fuel Attributes'!$D$8948:$D$9083,MATCH($C8833&amp;$D8833,'GREET Fuel Attributes'!$B$8948:$B$9083&amp;'GREET Fuel Attributes'!$C$8948:$C$9083,0))*AI8833</f>
        <v>7.0000000000000001E-3</v>
      </c>
      <c r="AP8833" s="132" t="s">
        <v>1388</v>
      </c>
      <c r="AQ8833" s="142" t="s">
        <v>304</v>
      </c>
    </row>
    <row r="8834" spans="2:43">
      <c r="B8834" s="136" t="str">
        <f t="shared" si="178"/>
        <v>ILLINOIS</v>
      </c>
      <c r="C8834" s="132" t="s">
        <v>1383</v>
      </c>
      <c r="D8834" s="132" t="s">
        <v>281</v>
      </c>
      <c r="E8834" s="508">
        <f t="array" ref="E8834">INDEX(E$7063:E$7929,MATCH($B8834&amp;$C8834,$B$7063:$B$7929&amp;$C$7063:$C$7929,0))</f>
        <v>6.2009999999999996</v>
      </c>
      <c r="F8834" s="508">
        <f t="array" ref="F8834">INDEX(F$7063:F$7929,MATCH($B8834&amp;$C8834,$B$7063:$B$7929&amp;$C$7063:$C$7929,0))</f>
        <v>3.4580000000000002</v>
      </c>
      <c r="G8834" s="508">
        <f t="array" ref="G8834">INDEX(G$7063:G$7929,MATCH($B8834&amp;$C8834,$B$7063:$B$7929&amp;$C$7063:$C$7929,0))</f>
        <v>3.4409999999999998</v>
      </c>
      <c r="H8834" s="508">
        <f t="array" ref="H8834">INDEX(H$7063:H$7929,MATCH($B8834&amp;$C8834,$B$7063:$B$7929&amp;$C$7063:$C$7929,0))</f>
        <v>3.4740000000000002</v>
      </c>
      <c r="I8834" s="508">
        <f t="array" ref="I8834">INDEX(I$7063:I$7929,MATCH($B8834&amp;$C8834,$B$7063:$B$7929&amp;$C$7063:$C$7929,0))</f>
        <v>3.4780000000000002</v>
      </c>
      <c r="J8834" s="508">
        <f t="array" ref="J8834">INDEX(J$7063:J$7929,MATCH($B8834&amp;$C8834,$B$7063:$B$7929&amp;$C$7063:$C$7929,0))</f>
        <v>3.246</v>
      </c>
      <c r="K8834" s="508">
        <f t="array" ref="K8834">INDEX(K$7063:K$7929,MATCH($B8834&amp;$C8834,$B$7063:$B$7929&amp;$C$7063:$C$7929,0))</f>
        <v>3.2210000000000001</v>
      </c>
      <c r="L8834" s="508">
        <f t="array" ref="L8834">INDEX(L$7063:L$7929,MATCH($B8834&amp;$C8834,$B$7063:$B$7929&amp;$C$7063:$C$7929,0))</f>
        <v>3.1869999999999998</v>
      </c>
      <c r="M8834" s="508">
        <f t="array" ref="M8834">INDEX(M$7063:M$7929,MATCH($B8834&amp;$C8834,$B$7063:$B$7929&amp;$C$7063:$C$7929,0))</f>
        <v>3.141</v>
      </c>
      <c r="N8834" s="508">
        <f t="array" ref="N8834">INDEX(N$7063:N$7929,MATCH($B8834&amp;$C8834,$B$7063:$B$7929&amp;$C$7063:$C$7929,0))</f>
        <v>5.4880000000000004</v>
      </c>
      <c r="O8834" s="508">
        <f t="array" ref="O8834">INDEX(O$7063:O$7929,MATCH($B8834&amp;$C8834,$B$7063:$B$7929&amp;$C$7063:$C$7929,0))</f>
        <v>5.2949999999999999</v>
      </c>
      <c r="P8834" s="508">
        <f t="array" ref="P8834">INDEX(P$7063:P$7929,MATCH($B8834&amp;$C8834,$B$7063:$B$7929&amp;$C$7063:$C$7929,0))</f>
        <v>2.1059999999999999</v>
      </c>
      <c r="Q8834" s="508">
        <f t="array" ref="Q8834">INDEX(Q$7063:Q$7929,MATCH($B8834&amp;$C8834,$B$7063:$B$7929&amp;$C$7063:$C$7929,0))</f>
        <v>2.17</v>
      </c>
      <c r="R8834" s="508">
        <f t="array" ref="R8834">INDEX(R$7063:R$7929,MATCH($B8834&amp;$C8834,$B$7063:$B$7929&amp;$C$7063:$C$7929,0))</f>
        <v>2.0289999999999999</v>
      </c>
      <c r="S8834" s="508">
        <f t="array" ref="S8834">INDEX(S$7063:S$7929,MATCH($B8834&amp;$C8834,$B$7063:$B$7929&amp;$C$7063:$C$7929,0))</f>
        <v>1.9610000000000001</v>
      </c>
      <c r="T8834" s="508">
        <f t="array" ref="T8834">INDEX(T$7063:T$7929,MATCH($B8834&amp;$C8834,$B$7063:$B$7929&amp;$C$7063:$C$7929,0))</f>
        <v>1.889</v>
      </c>
      <c r="U8834" s="508">
        <f t="array" ref="U8834">INDEX(U$7063:U$7929,MATCH($B8834&amp;$C8834,$B$7063:$B$7929&amp;$C$7063:$C$7929,0))</f>
        <v>0.69699999999999995</v>
      </c>
      <c r="V8834" s="508">
        <f t="array" ref="V8834">INDEX(V$7063:V$7929,MATCH($B8834&amp;$C8834,$B$7063:$B$7929&amp;$C$7063:$C$7929,0))</f>
        <v>0.626</v>
      </c>
      <c r="W8834" s="508">
        <f t="array" ref="W8834">INDEX(W$7063:W$7929,MATCH($B8834&amp;$C8834,$B$7063:$B$7929&amp;$C$7063:$C$7929,0))</f>
        <v>0.63500000000000001</v>
      </c>
      <c r="X8834" s="508">
        <f t="array" ref="X8834">INDEX(X$7063:X$7929,MATCH($B8834&amp;$C8834,$B$7063:$B$7929&amp;$C$7063:$C$7929,0))</f>
        <v>0.43099999999999999</v>
      </c>
      <c r="Y8834" s="508">
        <f t="array" ref="Y8834">INDEX(Y$7063:Y$7929,MATCH($B8834&amp;$C8834,$B$7063:$B$7929&amp;$C$7063:$C$7929,0))</f>
        <v>0.34799999999999998</v>
      </c>
      <c r="Z8834" s="508">
        <f t="array" ref="Z8834">INDEX(Z$7063:Z$7929,MATCH($B8834&amp;$C8834,$B$7063:$B$7929&amp;$C$7063:$C$7929,0))</f>
        <v>0.23200000000000001</v>
      </c>
      <c r="AA8834" s="508">
        <f t="array" ref="AA8834">INDEX(AA$7063:AA$7929,MATCH($B8834&amp;$C8834,$B$7063:$B$7929&amp;$C$7063:$C$7929,0))</f>
        <v>0.20499999999999999</v>
      </c>
      <c r="AB8834" s="508">
        <f t="array" ref="AB8834">INDEX(AB$7063:AB$7929,MATCH($B8834&amp;$C8834,$B$7063:$B$7929&amp;$C$7063:$C$7929,0))</f>
        <v>0.16500000000000001</v>
      </c>
      <c r="AC8834" s="508">
        <f t="array" ref="AC8834">INDEX(AC$7063:AC$7929,MATCH($B8834&amp;$C8834,$B$7063:$B$7929&amp;$C$7063:$C$7929,0))</f>
        <v>0.14000000000000001</v>
      </c>
      <c r="AD8834" s="508">
        <f t="array" ref="AD8834">INDEX(AD$7063:AD$7929,MATCH($B8834&amp;$C8834,$B$7063:$B$7929&amp;$C$7063:$C$7929,0))</f>
        <v>0.108</v>
      </c>
      <c r="AE8834" s="508">
        <f t="array" ref="AE8834">INDEX(AE$7063:AE$7929,MATCH($B8834&amp;$C8834,$B$7063:$B$7929&amp;$C$7063:$C$7929,0))</f>
        <v>0.10100000000000001</v>
      </c>
      <c r="AF8834" s="508">
        <f t="array" ref="AF8834">INDEX(AF$7063:AF$7929,MATCH($B8834&amp;$C8834,$B$7063:$B$7929&amp;$C$7063:$C$7929,0))</f>
        <v>6.7000000000000004E-2</v>
      </c>
      <c r="AG8834" s="508">
        <f t="array" ref="AG8834">INDEX(AG$7063:AG$7929,MATCH($B8834&amp;$C8834,$B$7063:$B$7929&amp;$C$7063:$C$7929,0))</f>
        <v>6.2E-2</v>
      </c>
      <c r="AH8834" s="508">
        <f t="array" ref="AH8834">INDEX(AH$7063:AH$7929,MATCH($B8834&amp;$C8834,$B$7063:$B$7929&amp;$C$7063:$C$7929,0))</f>
        <v>6.0999999999999999E-2</v>
      </c>
      <c r="AI8834" s="508">
        <f t="array" ref="AI8834">INDEX(AI$7063:AI$7929,MATCH($B8834&amp;$C8834,$B$7063:$B$7929&amp;$C$7063:$C$7929,0))</f>
        <v>0.06</v>
      </c>
      <c r="AJ8834" s="508"/>
      <c r="AK8834" s="508">
        <f t="shared" si="179"/>
        <v>5.8036363636363636E-2</v>
      </c>
      <c r="AL8834" s="508">
        <f t="shared" si="181"/>
        <v>5.6072727272727274E-2</v>
      </c>
      <c r="AM8834" s="508">
        <f t="shared" si="181"/>
        <v>5.4109090909090912E-2</v>
      </c>
      <c r="AN8834" s="508">
        <f t="shared" si="181"/>
        <v>5.214545454545455E-2</v>
      </c>
      <c r="AO8834" s="508">
        <f t="array" ref="AO8834">INDEX('GREET Fuel Attributes'!$E$8948:$E$9083,MATCH($C8834&amp;$D8834,'GREET Fuel Attributes'!$B$8948:$B$9083&amp;'GREET Fuel Attributes'!$C$8948:$C$9083,0))/INDEX('GREET Fuel Attributes'!$D$8948:$D$9083,MATCH($C8834&amp;$D8834,'GREET Fuel Attributes'!$B$8948:$B$9083&amp;'GREET Fuel Attributes'!$C$8948:$C$9083,0))*AI8834</f>
        <v>5.0181818181818182E-2</v>
      </c>
      <c r="AP8834" s="132" t="s">
        <v>1388</v>
      </c>
      <c r="AQ8834" s="142" t="s">
        <v>304</v>
      </c>
    </row>
    <row r="8835" spans="2:43">
      <c r="B8835" s="136" t="str">
        <f t="shared" si="178"/>
        <v>ILLINOIS</v>
      </c>
      <c r="C8835" s="132" t="s">
        <v>1383</v>
      </c>
      <c r="D8835" s="132" t="s">
        <v>1384</v>
      </c>
      <c r="E8835" s="508">
        <f t="array" ref="E8835">INDEX(E$7930:E$8796,MATCH($B8835&amp;$C8835,$B$7930:$B$8796&amp;$C$7930:$C$8796,0))</f>
        <v>1.74</v>
      </c>
      <c r="F8835" s="508">
        <f t="array" ref="F8835">INDEX(F$7930:F$8796,MATCH($B8835&amp;$C8835,$B$7930:$B$8796&amp;$C$7930:$C$8796,0))</f>
        <v>1.716</v>
      </c>
      <c r="G8835" s="508">
        <f t="array" ref="G8835">INDEX(G$7930:G$8796,MATCH($B8835&amp;$C8835,$B$7930:$B$8796&amp;$C$7930:$C$8796,0))</f>
        <v>1.7649999999999999</v>
      </c>
      <c r="H8835" s="508">
        <f t="array" ref="H8835">INDEX(H$7930:H$8796,MATCH($B8835&amp;$C8835,$B$7930:$B$8796&amp;$C$7930:$C$8796,0))</f>
        <v>1.7490000000000001</v>
      </c>
      <c r="I8835" s="508">
        <f t="array" ref="I8835">INDEX(I$7930:I$8796,MATCH($B8835&amp;$C8835,$B$7930:$B$8796&amp;$C$7930:$C$8796,0))</f>
        <v>1.742</v>
      </c>
      <c r="J8835" s="508">
        <f t="array" ref="J8835">INDEX(J$7930:J$8796,MATCH($B8835&amp;$C8835,$B$7930:$B$8796&amp;$C$7930:$C$8796,0))</f>
        <v>1.74</v>
      </c>
      <c r="K8835" s="508">
        <f t="array" ref="K8835">INDEX(K$7930:K$8796,MATCH($B8835&amp;$C8835,$B$7930:$B$8796&amp;$C$7930:$C$8796,0))</f>
        <v>1.702</v>
      </c>
      <c r="L8835" s="508">
        <f t="array" ref="L8835">INDEX(L$7930:L$8796,MATCH($B8835&amp;$C8835,$B$7930:$B$8796&amp;$C$7930:$C$8796,0))</f>
        <v>1.6870000000000001</v>
      </c>
      <c r="M8835" s="508">
        <f t="array" ref="M8835">INDEX(M$7930:M$8796,MATCH($B8835&amp;$C8835,$B$7930:$B$8796&amp;$C$7930:$C$8796,0))</f>
        <v>1.669</v>
      </c>
      <c r="N8835" s="508">
        <f t="array" ref="N8835">INDEX(N$7930:N$8796,MATCH($B8835&amp;$C8835,$B$7930:$B$8796&amp;$C$7930:$C$8796,0))</f>
        <v>1.6339999999999999</v>
      </c>
      <c r="O8835" s="508">
        <f t="array" ref="O8835">INDEX(O$7930:O$8796,MATCH($B8835&amp;$C8835,$B$7930:$B$8796&amp;$C$7930:$C$8796,0))</f>
        <v>1.5960000000000001</v>
      </c>
      <c r="P8835" s="508">
        <f t="array" ref="P8835">INDEX(P$7930:P$8796,MATCH($B8835&amp;$C8835,$B$7930:$B$8796&amp;$C$7930:$C$8796,0))</f>
        <v>0.627</v>
      </c>
      <c r="Q8835" s="508">
        <f t="array" ref="Q8835">INDEX(Q$7930:Q$8796,MATCH($B8835&amp;$C8835,$B$7930:$B$8796&amp;$C$7930:$C$8796,0))</f>
        <v>0.61399999999999999</v>
      </c>
      <c r="R8835" s="508">
        <f t="array" ref="R8835">INDEX(R$7930:R$8796,MATCH($B8835&amp;$C8835,$B$7930:$B$8796&amp;$C$7930:$C$8796,0))</f>
        <v>0.501</v>
      </c>
      <c r="S8835" s="508">
        <f t="array" ref="S8835">INDEX(S$7930:S$8796,MATCH($B8835&amp;$C8835,$B$7930:$B$8796&amp;$C$7930:$C$8796,0))</f>
        <v>0.46899999999999997</v>
      </c>
      <c r="T8835" s="508">
        <f t="array" ref="T8835">INDEX(T$7930:T$8796,MATCH($B8835&amp;$C8835,$B$7930:$B$8796&amp;$C$7930:$C$8796,0))</f>
        <v>0.46100000000000002</v>
      </c>
      <c r="U8835" s="508">
        <f t="array" ref="U8835">INDEX(U$7930:U$8796,MATCH($B8835&amp;$C8835,$B$7930:$B$8796&amp;$C$7930:$C$8796,0))</f>
        <v>0.30499999999999999</v>
      </c>
      <c r="V8835" s="508">
        <f t="array" ref="V8835">INDEX(V$7930:V$8796,MATCH($B8835&amp;$C8835,$B$7930:$B$8796&amp;$C$7930:$C$8796,0))</f>
        <v>0.23899999999999999</v>
      </c>
      <c r="W8835" s="508">
        <f t="array" ref="W8835">INDEX(W$7930:W$8796,MATCH($B8835&amp;$C8835,$B$7930:$B$8796&amp;$C$7930:$C$8796,0))</f>
        <v>0.20399999999999999</v>
      </c>
      <c r="X8835" s="508">
        <f t="array" ref="X8835">INDEX(X$7930:X$8796,MATCH($B8835&amp;$C8835,$B$7930:$B$8796&amp;$C$7930:$C$8796,0))</f>
        <v>0.14499999999999999</v>
      </c>
      <c r="Y8835" s="508">
        <f t="array" ref="Y8835">INDEX(Y$7930:Y$8796,MATCH($B8835&amp;$C8835,$B$7930:$B$8796&amp;$C$7930:$C$8796,0))</f>
        <v>0.111</v>
      </c>
      <c r="Z8835" s="508">
        <f t="array" ref="Z8835">INDEX(Z$7930:Z$8796,MATCH($B8835&amp;$C8835,$B$7930:$B$8796&amp;$C$7930:$C$8796,0))</f>
        <v>6.0999999999999999E-2</v>
      </c>
      <c r="AA8835" s="508">
        <f t="array" ref="AA8835">INDEX(AA$7930:AA$8796,MATCH($B8835&amp;$C8835,$B$7930:$B$8796&amp;$C$7930:$C$8796,0))</f>
        <v>5.8999999999999997E-2</v>
      </c>
      <c r="AB8835" s="508">
        <f t="array" ref="AB8835">INDEX(AB$7930:AB$8796,MATCH($B8835&amp;$C8835,$B$7930:$B$8796&amp;$C$7930:$C$8796,0))</f>
        <v>5.2999999999999999E-2</v>
      </c>
      <c r="AC8835" s="508">
        <f t="array" ref="AC8835">INDEX(AC$7930:AC$8796,MATCH($B8835&amp;$C8835,$B$7930:$B$8796&amp;$C$7930:$C$8796,0))</f>
        <v>5.0999999999999997E-2</v>
      </c>
      <c r="AD8835" s="508">
        <f t="array" ref="AD8835">INDEX(AD$7930:AD$8796,MATCH($B8835&amp;$C8835,$B$7930:$B$8796&amp;$C$7930:$C$8796,0))</f>
        <v>4.5999999999999999E-2</v>
      </c>
      <c r="AE8835" s="508">
        <f t="array" ref="AE8835">INDEX(AE$7930:AE$8796,MATCH($B8835&amp;$C8835,$B$7930:$B$8796&amp;$C$7930:$C$8796,0))</f>
        <v>4.3999999999999997E-2</v>
      </c>
      <c r="AF8835" s="508">
        <f t="array" ref="AF8835">INDEX(AF$7930:AF$8796,MATCH($B8835&amp;$C8835,$B$7930:$B$8796&amp;$C$7930:$C$8796,0))</f>
        <v>3.9E-2</v>
      </c>
      <c r="AG8835" s="508">
        <f t="array" ref="AG8835">INDEX(AG$7930:AG$8796,MATCH($B8835&amp;$C8835,$B$7930:$B$8796&amp;$C$7930:$C$8796,0))</f>
        <v>3.9E-2</v>
      </c>
      <c r="AH8835" s="508">
        <f t="array" ref="AH8835">INDEX(AH$7930:AH$8796,MATCH($B8835&amp;$C8835,$B$7930:$B$8796&amp;$C$7930:$C$8796,0))</f>
        <v>3.7999999999999999E-2</v>
      </c>
      <c r="AI8835" s="508">
        <f t="array" ref="AI8835">INDEX(AI$7930:AI$8796,MATCH($B8835&amp;$C8835,$B$7930:$B$8796&amp;$C$7930:$C$8796,0))</f>
        <v>3.6999999999999998E-2</v>
      </c>
      <c r="AJ8835" s="508"/>
      <c r="AK8835" s="508">
        <f t="shared" si="179"/>
        <v>3.5962616822429905E-2</v>
      </c>
      <c r="AL8835" s="508">
        <f t="shared" si="181"/>
        <v>3.4925233644859811E-2</v>
      </c>
      <c r="AM8835" s="508">
        <f t="shared" si="181"/>
        <v>3.3887850467289718E-2</v>
      </c>
      <c r="AN8835" s="508">
        <f t="shared" si="181"/>
        <v>3.2850467289719625E-2</v>
      </c>
      <c r="AO8835" s="508">
        <f t="array" ref="AO8835">INDEX('GREET Fuel Attributes'!$E$8948:$E$9083,MATCH($C8835&amp;$D8835,'GREET Fuel Attributes'!$B$8948:$B$9083&amp;'GREET Fuel Attributes'!$C$8948:$C$9083,0))/INDEX('GREET Fuel Attributes'!$D$8948:$D$9083,MATCH($C8835&amp;$D8835,'GREET Fuel Attributes'!$B$8948:$B$9083&amp;'GREET Fuel Attributes'!$C$8948:$C$9083,0))*AI8835</f>
        <v>3.1813084112149531E-2</v>
      </c>
      <c r="AP8835" s="132" t="s">
        <v>1388</v>
      </c>
      <c r="AQ8835" s="142" t="s">
        <v>304</v>
      </c>
    </row>
    <row r="8836" spans="2:43">
      <c r="B8836" s="136" t="str">
        <f t="shared" ref="B8836:B8867" si="182">state_name</f>
        <v>ILLINOIS</v>
      </c>
      <c r="C8836" s="132" t="s">
        <v>1366</v>
      </c>
      <c r="D8836" s="132" t="s">
        <v>282</v>
      </c>
      <c r="E8836" s="508">
        <f t="array" ref="E8836">INDEX(E$1861:E$2727,MATCH($B8836&amp;$C8836,$B$1861:$B$2727&amp;$C$1861:$C$2727,0))</f>
        <v>38.753</v>
      </c>
      <c r="F8836" s="508">
        <f t="array" ref="F8836">INDEX(F$1861:F$2727,MATCH($B8836&amp;$C8836,$B$1861:$B$2727&amp;$C$1861:$C$2727,0))</f>
        <v>26.728000000000002</v>
      </c>
      <c r="G8836" s="508">
        <f t="array" ref="G8836">INDEX(G$1861:G$2727,MATCH($B8836&amp;$C8836,$B$1861:$B$2727&amp;$C$1861:$C$2727,0))</f>
        <v>26.646000000000001</v>
      </c>
      <c r="H8836" s="508">
        <f t="array" ref="H8836">INDEX(H$1861:H$2727,MATCH($B8836&amp;$C8836,$B$1861:$B$2727&amp;$C$1861:$C$2727,0))</f>
        <v>26.510999999999999</v>
      </c>
      <c r="I8836" s="508">
        <f t="array" ref="I8836">INDEX(I$1861:I$2727,MATCH($B8836&amp;$C8836,$B$1861:$B$2727&amp;$C$1861:$C$2727,0))</f>
        <v>26.331</v>
      </c>
      <c r="J8836" s="508">
        <f t="array" ref="J8836">INDEX(J$1861:J$2727,MATCH($B8836&amp;$C8836,$B$1861:$B$2727&amp;$C$1861:$C$2727,0))</f>
        <v>18.699000000000002</v>
      </c>
      <c r="K8836" s="508">
        <f t="array" ref="K8836">INDEX(K$1861:K$2727,MATCH($B8836&amp;$C8836,$B$1861:$B$2727&amp;$C$1861:$C$2727,0))</f>
        <v>18.532</v>
      </c>
      <c r="L8836" s="508">
        <f t="array" ref="L8836">INDEX(L$1861:L$2727,MATCH($B8836&amp;$C8836,$B$1861:$B$2727&amp;$C$1861:$C$2727,0))</f>
        <v>18.352</v>
      </c>
      <c r="M8836" s="508">
        <f t="array" ref="M8836">INDEX(M$1861:M$2727,MATCH($B8836&amp;$C8836,$B$1861:$B$2727&amp;$C$1861:$C$2727,0))</f>
        <v>18.164999999999999</v>
      </c>
      <c r="N8836" s="508">
        <f t="array" ref="N8836">INDEX(N$1861:N$2727,MATCH($B8836&amp;$C8836,$B$1861:$B$2727&amp;$C$1861:$C$2727,0))</f>
        <v>14.683999999999999</v>
      </c>
      <c r="O8836" s="508">
        <f t="array" ref="O8836">INDEX(O$1861:O$2727,MATCH($B8836&amp;$C8836,$B$1861:$B$2727&amp;$C$1861:$C$2727,0))</f>
        <v>14.509</v>
      </c>
      <c r="P8836" s="508">
        <f t="array" ref="P8836">INDEX(P$1861:P$2727,MATCH($B8836&amp;$C8836,$B$1861:$B$2727&amp;$C$1861:$C$2727,0))</f>
        <v>9.6850000000000005</v>
      </c>
      <c r="Q8836" s="508">
        <f t="array" ref="Q8836">INDEX(Q$1861:Q$2727,MATCH($B8836&amp;$C8836,$B$1861:$B$2727&amp;$C$1861:$C$2727,0))</f>
        <v>9.5660000000000007</v>
      </c>
      <c r="R8836" s="508">
        <f t="array" ref="R8836">INDEX(R$1861:R$2727,MATCH($B8836&amp;$C8836,$B$1861:$B$2727&amp;$C$1861:$C$2727,0))</f>
        <v>9.4510000000000005</v>
      </c>
      <c r="S8836" s="508">
        <f t="array" ref="S8836">INDEX(S$1861:S$2727,MATCH($B8836&amp;$C8836,$B$1861:$B$2727&amp;$C$1861:$C$2727,0))</f>
        <v>9.343</v>
      </c>
      <c r="T8836" s="508">
        <f t="array" ref="T8836">INDEX(T$1861:T$2727,MATCH($B8836&amp;$C8836,$B$1861:$B$2727&amp;$C$1861:$C$2727,0))</f>
        <v>9.24</v>
      </c>
      <c r="U8836" s="508">
        <f t="array" ref="U8836">INDEX(U$1861:U$2727,MATCH($B8836&amp;$C8836,$B$1861:$B$2727&amp;$C$1861:$C$2727,0))</f>
        <v>5.4340000000000002</v>
      </c>
      <c r="V8836" s="508">
        <f t="array" ref="V8836">INDEX(V$1861:V$2727,MATCH($B8836&amp;$C8836,$B$1861:$B$2727&amp;$C$1861:$C$2727,0))</f>
        <v>5.2039999999999997</v>
      </c>
      <c r="W8836" s="508">
        <f t="array" ref="W8836">INDEX(W$1861:W$2727,MATCH($B8836&amp;$C8836,$B$1861:$B$2727&amp;$C$1861:$C$2727,0))</f>
        <v>5.1619999999999999</v>
      </c>
      <c r="X8836" s="508">
        <f t="array" ref="X8836">INDEX(X$1861:X$2727,MATCH($B8836&amp;$C8836,$B$1861:$B$2727&amp;$C$1861:$C$2727,0))</f>
        <v>4.8520000000000003</v>
      </c>
      <c r="Y8836" s="508">
        <f t="array" ref="Y8836">INDEX(Y$1861:Y$2727,MATCH($B8836&amp;$C8836,$B$1861:$B$2727&amp;$C$1861:$C$2727,0))</f>
        <v>4.5679999999999996</v>
      </c>
      <c r="Z8836" s="508">
        <f t="array" ref="Z8836">INDEX(Z$1861:Z$2727,MATCH($B8836&amp;$C8836,$B$1861:$B$2727&amp;$C$1861:$C$2727,0))</f>
        <v>3.5019999999999998</v>
      </c>
      <c r="AA8836" s="508">
        <f t="array" ref="AA8836">INDEX(AA$1861:AA$2727,MATCH($B8836&amp;$C8836,$B$1861:$B$2727&amp;$C$1861:$C$2727,0))</f>
        <v>3.42</v>
      </c>
      <c r="AB8836" s="508">
        <f t="array" ref="AB8836">INDEX(AB$1861:AB$2727,MATCH($B8836&amp;$C8836,$B$1861:$B$2727&amp;$C$1861:$C$2727,0))</f>
        <v>3.0939999999999999</v>
      </c>
      <c r="AC8836" s="508">
        <f t="array" ref="AC8836">INDEX(AC$1861:AC$2727,MATCH($B8836&amp;$C8836,$B$1861:$B$2727&amp;$C$1861:$C$2727,0))</f>
        <v>3.04</v>
      </c>
      <c r="AD8836" s="508">
        <f t="array" ref="AD8836">INDEX(AD$1861:AD$2727,MATCH($B8836&amp;$C8836,$B$1861:$B$2727&amp;$C$1861:$C$2727,0))</f>
        <v>2.4319999999999999</v>
      </c>
      <c r="AE8836" s="508">
        <f t="array" ref="AE8836">INDEX(AE$1861:AE$2727,MATCH($B8836&amp;$C8836,$B$1861:$B$2727&amp;$C$1861:$C$2727,0))</f>
        <v>2.411</v>
      </c>
      <c r="AF8836" s="508">
        <f t="array" ref="AF8836">INDEX(AF$1861:AF$2727,MATCH($B8836&amp;$C8836,$B$1861:$B$2727&amp;$C$1861:$C$2727,0))</f>
        <v>1.1930000000000001</v>
      </c>
      <c r="AG8836" s="508">
        <f t="array" ref="AG8836">INDEX(AG$1861:AG$2727,MATCH($B8836&amp;$C8836,$B$1861:$B$2727&amp;$C$1861:$C$2727,0))</f>
        <v>1.1850000000000001</v>
      </c>
      <c r="AH8836" s="508">
        <f t="array" ref="AH8836">INDEX(AH$1861:AH$2727,MATCH($B8836&amp;$C8836,$B$1861:$B$2727&amp;$C$1861:$C$2727,0))</f>
        <v>1.177</v>
      </c>
      <c r="AI8836" s="508">
        <f t="array" ref="AI8836">INDEX(AI$1861:AI$2727,MATCH($B8836&amp;$C8836,$B$1861:$B$2727&amp;$C$1861:$C$2727,0))</f>
        <v>1.17</v>
      </c>
      <c r="AJ8836" s="508"/>
      <c r="AK8836" s="508">
        <f t="shared" si="179"/>
        <v>1.0517013963480129</v>
      </c>
      <c r="AL8836" s="508">
        <f t="shared" si="181"/>
        <v>0.93340279269602577</v>
      </c>
      <c r="AM8836" s="508">
        <f t="shared" si="181"/>
        <v>0.8151041890440387</v>
      </c>
      <c r="AN8836" s="508">
        <f t="shared" si="181"/>
        <v>0.69680558539205162</v>
      </c>
      <c r="AO8836" s="508">
        <f t="array" ref="AO8836">INDEX('GREET Fuel Attributes'!$E$8948:$E$9083,MATCH($C8836&amp;$D8836,'GREET Fuel Attributes'!$B$8948:$B$9083&amp;'GREET Fuel Attributes'!$C$8948:$C$9083,0))/INDEX('GREET Fuel Attributes'!$D$8948:$D$9083,MATCH($C8836&amp;$D8836,'GREET Fuel Attributes'!$B$8948:$B$9083&amp;'GREET Fuel Attributes'!$C$8948:$C$9083,0))*AI8836</f>
        <v>0.57850698174006432</v>
      </c>
      <c r="AP8836" s="132" t="s">
        <v>1387</v>
      </c>
      <c r="AQ8836" s="142" t="s">
        <v>300</v>
      </c>
    </row>
    <row r="8837" spans="2:43">
      <c r="B8837" s="136" t="str">
        <f t="shared" si="182"/>
        <v>ILLINOIS</v>
      </c>
      <c r="C8837" s="132" t="s">
        <v>1366</v>
      </c>
      <c r="D8837" s="132" t="s">
        <v>283</v>
      </c>
      <c r="E8837" s="508">
        <f t="array" ref="E8837">INDEX(E$2728:E$3594,MATCH($B8837&amp;$C8837,$B$2728:$B$3594&amp;$C$2728:$C$3594,0))</f>
        <v>3.2989999999999999</v>
      </c>
      <c r="F8837" s="508">
        <f t="array" ref="F8837">INDEX(F$2728:F$3594,MATCH($B8837&amp;$C8837,$B$2728:$B$3594&amp;$C$2728:$C$3594,0))</f>
        <v>3.1309999999999998</v>
      </c>
      <c r="G8837" s="508">
        <f t="array" ref="G8837">INDEX(G$2728:G$3594,MATCH($B8837&amp;$C8837,$B$2728:$B$3594&amp;$C$2728:$C$3594,0))</f>
        <v>3.1230000000000002</v>
      </c>
      <c r="H8837" s="508">
        <f t="array" ref="H8837">INDEX(H$2728:H$3594,MATCH($B8837&amp;$C8837,$B$2728:$B$3594&amp;$C$2728:$C$3594,0))</f>
        <v>3.1110000000000002</v>
      </c>
      <c r="I8837" s="508">
        <f t="array" ref="I8837">INDEX(I$2728:I$3594,MATCH($B8837&amp;$C8837,$B$2728:$B$3594&amp;$C$2728:$C$3594,0))</f>
        <v>3.0939999999999999</v>
      </c>
      <c r="J8837" s="508">
        <f t="array" ref="J8837">INDEX(J$2728:J$3594,MATCH($B8837&amp;$C8837,$B$2728:$B$3594&amp;$C$2728:$C$3594,0))</f>
        <v>3.0569999999999999</v>
      </c>
      <c r="K8837" s="508">
        <f t="array" ref="K8837">INDEX(K$2728:K$3594,MATCH($B8837&amp;$C8837,$B$2728:$B$3594&amp;$C$2728:$C$3594,0))</f>
        <v>3.0329999999999999</v>
      </c>
      <c r="L8837" s="508">
        <f t="array" ref="L8837">INDEX(L$2728:L$3594,MATCH($B8837&amp;$C8837,$B$2728:$B$3594&amp;$C$2728:$C$3594,0))</f>
        <v>3.0070000000000001</v>
      </c>
      <c r="M8837" s="508">
        <f t="array" ref="M8837">INDEX(M$2728:M$3594,MATCH($B8837&amp;$C8837,$B$2728:$B$3594&amp;$C$2728:$C$3594,0))</f>
        <v>2.9790000000000001</v>
      </c>
      <c r="N8837" s="508">
        <f t="array" ref="N8837">INDEX(N$2728:N$3594,MATCH($B8837&amp;$C8837,$B$2728:$B$3594&amp;$C$2728:$C$3594,0))</f>
        <v>2.8180000000000001</v>
      </c>
      <c r="O8837" s="508">
        <f t="array" ref="O8837">INDEX(O$2728:O$3594,MATCH($B8837&amp;$C8837,$B$2728:$B$3594&amp;$C$2728:$C$3594,0))</f>
        <v>2.7890000000000001</v>
      </c>
      <c r="P8837" s="508">
        <f t="array" ref="P8837">INDEX(P$2728:P$3594,MATCH($B8837&amp;$C8837,$B$2728:$B$3594&amp;$C$2728:$C$3594,0))</f>
        <v>1.8340000000000001</v>
      </c>
      <c r="Q8837" s="508">
        <f t="array" ref="Q8837">INDEX(Q$2728:Q$3594,MATCH($B8837&amp;$C8837,$B$2728:$B$3594&amp;$C$2728:$C$3594,0))</f>
        <v>1.8080000000000001</v>
      </c>
      <c r="R8837" s="508">
        <f t="array" ref="R8837">INDEX(R$2728:R$3594,MATCH($B8837&amp;$C8837,$B$2728:$B$3594&amp;$C$2728:$C$3594,0))</f>
        <v>1.782</v>
      </c>
      <c r="S8837" s="508">
        <f t="array" ref="S8837">INDEX(S$2728:S$3594,MATCH($B8837&amp;$C8837,$B$2728:$B$3594&amp;$C$2728:$C$3594,0))</f>
        <v>1.758</v>
      </c>
      <c r="T8837" s="508">
        <f t="array" ref="T8837">INDEX(T$2728:T$3594,MATCH($B8837&amp;$C8837,$B$2728:$B$3594&amp;$C$2728:$C$3594,0))</f>
        <v>1.736</v>
      </c>
      <c r="U8837" s="508">
        <f t="array" ref="U8837">INDEX(U$2728:U$3594,MATCH($B8837&amp;$C8837,$B$2728:$B$3594&amp;$C$2728:$C$3594,0))</f>
        <v>0.77200000000000002</v>
      </c>
      <c r="V8837" s="508">
        <f t="array" ref="V8837">INDEX(V$2728:V$3594,MATCH($B8837&amp;$C8837,$B$2728:$B$3594&amp;$C$2728:$C$3594,0))</f>
        <v>0.72399999999999998</v>
      </c>
      <c r="W8837" s="508">
        <f t="array" ref="W8837">INDEX(W$2728:W$3594,MATCH($B8837&amp;$C8837,$B$2728:$B$3594&amp;$C$2728:$C$3594,0))</f>
        <v>0.66600000000000004</v>
      </c>
      <c r="X8837" s="508">
        <f t="array" ref="X8837">INDEX(X$2728:X$3594,MATCH($B8837&amp;$C8837,$B$2728:$B$3594&amp;$C$2728:$C$3594,0))</f>
        <v>0.39900000000000002</v>
      </c>
      <c r="Y8837" s="508">
        <f t="array" ref="Y8837">INDEX(Y$2728:Y$3594,MATCH($B8837&amp;$C8837,$B$2728:$B$3594&amp;$C$2728:$C$3594,0))</f>
        <v>0.312</v>
      </c>
      <c r="Z8837" s="508">
        <f t="array" ref="Z8837">INDEX(Z$2728:Z$3594,MATCH($B8837&amp;$C8837,$B$2728:$B$3594&amp;$C$2728:$C$3594,0))</f>
        <v>0.254</v>
      </c>
      <c r="AA8837" s="508">
        <f t="array" ref="AA8837">INDEX(AA$2728:AA$3594,MATCH($B8837&amp;$C8837,$B$2728:$B$3594&amp;$C$2728:$C$3594,0))</f>
        <v>0.20899999999999999</v>
      </c>
      <c r="AB8837" s="508">
        <f t="array" ref="AB8837">INDEX(AB$2728:AB$3594,MATCH($B8837&amp;$C8837,$B$2728:$B$3594&amp;$C$2728:$C$3594,0))</f>
        <v>0.154</v>
      </c>
      <c r="AC8837" s="508">
        <f t="array" ref="AC8837">INDEX(AC$2728:AC$3594,MATCH($B8837&amp;$C8837,$B$2728:$B$3594&amp;$C$2728:$C$3594,0))</f>
        <v>0.14099999999999999</v>
      </c>
      <c r="AD8837" s="508">
        <f t="array" ref="AD8837">INDEX(AD$2728:AD$3594,MATCH($B8837&amp;$C8837,$B$2728:$B$3594&amp;$C$2728:$C$3594,0))</f>
        <v>0.10100000000000001</v>
      </c>
      <c r="AE8837" s="508">
        <f t="array" ref="AE8837">INDEX(AE$2728:AE$3594,MATCH($B8837&amp;$C8837,$B$2728:$B$3594&amp;$C$2728:$C$3594,0))</f>
        <v>0.10100000000000001</v>
      </c>
      <c r="AF8837" s="508">
        <f t="array" ref="AF8837">INDEX(AF$2728:AF$3594,MATCH($B8837&amp;$C8837,$B$2728:$B$3594&amp;$C$2728:$C$3594,0))</f>
        <v>5.8000000000000003E-2</v>
      </c>
      <c r="AG8837" s="508">
        <f t="array" ref="AG8837">INDEX(AG$2728:AG$3594,MATCH($B8837&amp;$C8837,$B$2728:$B$3594&amp;$C$2728:$C$3594,0))</f>
        <v>5.7000000000000002E-2</v>
      </c>
      <c r="AH8837" s="508">
        <f t="array" ref="AH8837">INDEX(AH$2728:AH$3594,MATCH($B8837&amp;$C8837,$B$2728:$B$3594&amp;$C$2728:$C$3594,0))</f>
        <v>5.7000000000000002E-2</v>
      </c>
      <c r="AI8837" s="508">
        <f t="array" ref="AI8837">INDEX(AI$2728:AI$3594,MATCH($B8837&amp;$C8837,$B$2728:$B$3594&amp;$C$2728:$C$3594,0))</f>
        <v>5.7000000000000002E-2</v>
      </c>
      <c r="AJ8837" s="508"/>
      <c r="AK8837" s="508">
        <f t="shared" si="179"/>
        <v>5.0734351145038166E-2</v>
      </c>
      <c r="AL8837" s="508">
        <f t="shared" si="181"/>
        <v>4.446870229007633E-2</v>
      </c>
      <c r="AM8837" s="508">
        <f t="shared" si="181"/>
        <v>3.8203053435114494E-2</v>
      </c>
      <c r="AN8837" s="508">
        <f t="shared" si="181"/>
        <v>3.1937404580152658E-2</v>
      </c>
      <c r="AO8837" s="508">
        <f t="array" ref="AO8837">INDEX('GREET Fuel Attributes'!$E$8948:$E$9083,MATCH($C8837&amp;$D8837,'GREET Fuel Attributes'!$B$8948:$B$9083&amp;'GREET Fuel Attributes'!$C$8948:$C$9083,0))/INDEX('GREET Fuel Attributes'!$D$8948:$D$9083,MATCH($C8837&amp;$D8837,'GREET Fuel Attributes'!$B$8948:$B$9083&amp;'GREET Fuel Attributes'!$C$8948:$C$9083,0))*AI8837</f>
        <v>2.5671755725190839E-2</v>
      </c>
      <c r="AP8837" s="132" t="s">
        <v>1387</v>
      </c>
      <c r="AQ8837" s="142" t="s">
        <v>300</v>
      </c>
    </row>
    <row r="8838" spans="2:43">
      <c r="B8838" s="136" t="str">
        <f t="shared" si="182"/>
        <v>ILLINOIS</v>
      </c>
      <c r="C8838" s="132" t="s">
        <v>1366</v>
      </c>
      <c r="D8838" s="132" t="s">
        <v>284</v>
      </c>
      <c r="E8838" s="508">
        <f t="array" ref="E8838">INDEX(E$3595:E$4461,MATCH($B8838&amp;$C8838,$B$3595:$B$4461&amp;$C$3595:$C$4461,0))</f>
        <v>7.8E-2</v>
      </c>
      <c r="F8838" s="508">
        <f t="array" ref="F8838">INDEX(F$3595:F$4461,MATCH($B8838&amp;$C8838,$B$3595:$B$4461&amp;$C$3595:$C$4461,0))</f>
        <v>8.6999999999999994E-2</v>
      </c>
      <c r="G8838" s="508">
        <f t="array" ref="G8838">INDEX(G$3595:G$4461,MATCH($B8838&amp;$C8838,$B$3595:$B$4461&amp;$C$3595:$C$4461,0))</f>
        <v>8.6999999999999994E-2</v>
      </c>
      <c r="H8838" s="508">
        <f t="array" ref="H8838">INDEX(H$3595:H$4461,MATCH($B8838&amp;$C8838,$B$3595:$B$4461&amp;$C$3595:$C$4461,0))</f>
        <v>6.2E-2</v>
      </c>
      <c r="I8838" s="508">
        <f t="array" ref="I8838">INDEX(I$3595:I$4461,MATCH($B8838&amp;$C8838,$B$3595:$B$4461&amp;$C$3595:$C$4461,0))</f>
        <v>6.2E-2</v>
      </c>
      <c r="J8838" s="508">
        <f t="array" ref="J8838">INDEX(J$3595:J$4461,MATCH($B8838&amp;$C8838,$B$3595:$B$4461&amp;$C$3595:$C$4461,0))</f>
        <v>6.2E-2</v>
      </c>
      <c r="K8838" s="508">
        <f t="array" ref="K8838">INDEX(K$3595:K$4461,MATCH($B8838&amp;$C8838,$B$3595:$B$4461&amp;$C$3595:$C$4461,0))</f>
        <v>4.4999999999999998E-2</v>
      </c>
      <c r="L8838" s="508">
        <f t="array" ref="L8838">INDEX(L$3595:L$4461,MATCH($B8838&amp;$C8838,$B$3595:$B$4461&amp;$C$3595:$C$4461,0))</f>
        <v>4.4999999999999998E-2</v>
      </c>
      <c r="M8838" s="508">
        <f t="array" ref="M8838">INDEX(M$3595:M$4461,MATCH($B8838&amp;$C8838,$B$3595:$B$4461&amp;$C$3595:$C$4461,0))</f>
        <v>4.3999999999999997E-2</v>
      </c>
      <c r="N8838" s="508">
        <f t="array" ref="N8838">INDEX(N$3595:N$4461,MATCH($B8838&amp;$C8838,$B$3595:$B$4461&amp;$C$3595:$C$4461,0))</f>
        <v>3.7999999999999999E-2</v>
      </c>
      <c r="O8838" s="508">
        <f t="array" ref="O8838">INDEX(O$3595:O$4461,MATCH($B8838&amp;$C8838,$B$3595:$B$4461&amp;$C$3595:$C$4461,0))</f>
        <v>3.3000000000000002E-2</v>
      </c>
      <c r="P8838" s="508">
        <f t="array" ref="P8838">INDEX(P$3595:P$4461,MATCH($B8838&amp;$C8838,$B$3595:$B$4461&amp;$C$3595:$C$4461,0))</f>
        <v>0.02</v>
      </c>
      <c r="Q8838" s="508">
        <f t="array" ref="Q8838">INDEX(Q$3595:Q$4461,MATCH($B8838&amp;$C8838,$B$3595:$B$4461&amp;$C$3595:$C$4461,0))</f>
        <v>1.9E-2</v>
      </c>
      <c r="R8838" s="508">
        <f t="array" ref="R8838">INDEX(R$3595:R$4461,MATCH($B8838&amp;$C8838,$B$3595:$B$4461&amp;$C$3595:$C$4461,0))</f>
        <v>1.7000000000000001E-2</v>
      </c>
      <c r="S8838" s="508">
        <f t="array" ref="S8838">INDEX(S$3595:S$4461,MATCH($B8838&amp;$C8838,$B$3595:$B$4461&amp;$C$3595:$C$4461,0))</f>
        <v>1.4999999999999999E-2</v>
      </c>
      <c r="T8838" s="508">
        <f t="array" ref="T8838">INDEX(T$3595:T$4461,MATCH($B8838&amp;$C8838,$B$3595:$B$4461&amp;$C$3595:$C$4461,0))</f>
        <v>1.4999999999999999E-2</v>
      </c>
      <c r="U8838" s="508">
        <f t="array" ref="U8838">INDEX(U$3595:U$4461,MATCH($B8838&amp;$C8838,$B$3595:$B$4461&amp;$C$3595:$C$4461,0))</f>
        <v>7.0000000000000001E-3</v>
      </c>
      <c r="V8838" s="508">
        <f t="array" ref="V8838">INDEX(V$3595:V$4461,MATCH($B8838&amp;$C8838,$B$3595:$B$4461&amp;$C$3595:$C$4461,0))</f>
        <v>6.0000000000000001E-3</v>
      </c>
      <c r="W8838" s="508">
        <f t="array" ref="W8838">INDEX(W$3595:W$4461,MATCH($B8838&amp;$C8838,$B$3595:$B$4461&amp;$C$3595:$C$4461,0))</f>
        <v>6.0000000000000001E-3</v>
      </c>
      <c r="X8838" s="508">
        <f t="array" ref="X8838">INDEX(X$3595:X$4461,MATCH($B8838&amp;$C8838,$B$3595:$B$4461&amp;$C$3595:$C$4461,0))</f>
        <v>6.0000000000000001E-3</v>
      </c>
      <c r="Y8838" s="508">
        <f t="array" ref="Y8838">INDEX(Y$3595:Y$4461,MATCH($B8838&amp;$C8838,$B$3595:$B$4461&amp;$C$3595:$C$4461,0))</f>
        <v>6.0000000000000001E-3</v>
      </c>
      <c r="Z8838" s="508">
        <f t="array" ref="Z8838">INDEX(Z$3595:Z$4461,MATCH($B8838&amp;$C8838,$B$3595:$B$4461&amp;$C$3595:$C$4461,0))</f>
        <v>5.0000000000000001E-3</v>
      </c>
      <c r="AA8838" s="508">
        <f t="array" ref="AA8838">INDEX(AA$3595:AA$4461,MATCH($B8838&amp;$C8838,$B$3595:$B$4461&amp;$C$3595:$C$4461,0))</f>
        <v>6.0000000000000001E-3</v>
      </c>
      <c r="AB8838" s="508">
        <f t="array" ref="AB8838">INDEX(AB$3595:AB$4461,MATCH($B8838&amp;$C8838,$B$3595:$B$4461&amp;$C$3595:$C$4461,0))</f>
        <v>5.0000000000000001E-3</v>
      </c>
      <c r="AC8838" s="508">
        <f t="array" ref="AC8838">INDEX(AC$3595:AC$4461,MATCH($B8838&amp;$C8838,$B$3595:$B$4461&amp;$C$3595:$C$4461,0))</f>
        <v>5.0000000000000001E-3</v>
      </c>
      <c r="AD8838" s="508">
        <f t="array" ref="AD8838">INDEX(AD$3595:AD$4461,MATCH($B8838&amp;$C8838,$B$3595:$B$4461&amp;$C$3595:$C$4461,0))</f>
        <v>4.0000000000000001E-3</v>
      </c>
      <c r="AE8838" s="508">
        <f t="array" ref="AE8838">INDEX(AE$3595:AE$4461,MATCH($B8838&amp;$C8838,$B$3595:$B$4461&amp;$C$3595:$C$4461,0))</f>
        <v>4.0000000000000001E-3</v>
      </c>
      <c r="AF8838" s="508">
        <f t="array" ref="AF8838">INDEX(AF$3595:AF$4461,MATCH($B8838&amp;$C8838,$B$3595:$B$4461&amp;$C$3595:$C$4461,0))</f>
        <v>3.0000000000000001E-3</v>
      </c>
      <c r="AG8838" s="508">
        <f t="array" ref="AG8838">INDEX(AG$3595:AG$4461,MATCH($B8838&amp;$C8838,$B$3595:$B$4461&amp;$C$3595:$C$4461,0))</f>
        <v>3.0000000000000001E-3</v>
      </c>
      <c r="AH8838" s="508">
        <f t="array" ref="AH8838">INDEX(AH$3595:AH$4461,MATCH($B8838&amp;$C8838,$B$3595:$B$4461&amp;$C$3595:$C$4461,0))</f>
        <v>3.0000000000000001E-3</v>
      </c>
      <c r="AI8838" s="508">
        <f t="array" ref="AI8838">INDEX(AI$3595:AI$4461,MATCH($B8838&amp;$C8838,$B$3595:$B$4461&amp;$C$3595:$C$4461,0))</f>
        <v>3.0000000000000001E-3</v>
      </c>
      <c r="AJ8838" s="508"/>
      <c r="AK8838" s="508">
        <f t="shared" si="179"/>
        <v>2.7000000000000001E-3</v>
      </c>
      <c r="AL8838" s="508">
        <f t="shared" si="181"/>
        <v>2.4000000000000002E-3</v>
      </c>
      <c r="AM8838" s="508">
        <f t="shared" si="181"/>
        <v>2.1000000000000003E-3</v>
      </c>
      <c r="AN8838" s="508">
        <f t="shared" si="181"/>
        <v>1.8000000000000004E-3</v>
      </c>
      <c r="AO8838" s="508">
        <f t="array" ref="AO8838">INDEX('GREET Fuel Attributes'!$E$8948:$E$9083,MATCH($C8838&amp;$D8838,'GREET Fuel Attributes'!$B$8948:$B$9083&amp;'GREET Fuel Attributes'!$C$8948:$C$9083,0))/INDEX('GREET Fuel Attributes'!$D$8948:$D$9083,MATCH($C8838&amp;$D8838,'GREET Fuel Attributes'!$B$8948:$B$9083&amp;'GREET Fuel Attributes'!$C$8948:$C$9083,0))*AI8838</f>
        <v>1.5E-3</v>
      </c>
      <c r="AP8838" s="132" t="s">
        <v>1387</v>
      </c>
      <c r="AQ8838" s="142" t="s">
        <v>300</v>
      </c>
    </row>
    <row r="8839" spans="2:43">
      <c r="B8839" s="136" t="str">
        <f t="shared" si="182"/>
        <v>ILLINOIS</v>
      </c>
      <c r="C8839" s="132" t="s">
        <v>1366</v>
      </c>
      <c r="D8839" s="132" t="s">
        <v>1379</v>
      </c>
      <c r="E8839" s="508">
        <f t="array" ref="E8839">INDEX(E$4462:E$5328,MATCH($B8839&amp;$C8839,$B$4462:$B$5328&amp;$C$4462:$C$5328,0))</f>
        <v>3.5000000000000003E-2</v>
      </c>
      <c r="F8839" s="508">
        <f t="array" ref="F8839">INDEX(F$4462:F$5328,MATCH($B8839&amp;$C8839,$B$4462:$B$5328&amp;$C$4462:$C$5328,0))</f>
        <v>3.5000000000000003E-2</v>
      </c>
      <c r="G8839" s="508">
        <f t="array" ref="G8839">INDEX(G$4462:G$5328,MATCH($B8839&amp;$C8839,$B$4462:$B$5328&amp;$C$4462:$C$5328,0))</f>
        <v>3.5000000000000003E-2</v>
      </c>
      <c r="H8839" s="508">
        <f t="array" ref="H8839">INDEX(H$4462:H$5328,MATCH($B8839&amp;$C8839,$B$4462:$B$5328&amp;$C$4462:$C$5328,0))</f>
        <v>3.5000000000000003E-2</v>
      </c>
      <c r="I8839" s="508">
        <f t="array" ref="I8839">INDEX(I$4462:I$5328,MATCH($B8839&amp;$C8839,$B$4462:$B$5328&amp;$C$4462:$C$5328,0))</f>
        <v>3.5000000000000003E-2</v>
      </c>
      <c r="J8839" s="508">
        <f t="array" ref="J8839">INDEX(J$4462:J$5328,MATCH($B8839&amp;$C8839,$B$4462:$B$5328&amp;$C$4462:$C$5328,0))</f>
        <v>3.5000000000000003E-2</v>
      </c>
      <c r="K8839" s="508">
        <f t="array" ref="K8839">INDEX(K$4462:K$5328,MATCH($B8839&amp;$C8839,$B$4462:$B$5328&amp;$C$4462:$C$5328,0))</f>
        <v>3.5000000000000003E-2</v>
      </c>
      <c r="L8839" s="508">
        <f t="array" ref="L8839">INDEX(L$4462:L$5328,MATCH($B8839&amp;$C8839,$B$4462:$B$5328&amp;$C$4462:$C$5328,0))</f>
        <v>3.5000000000000003E-2</v>
      </c>
      <c r="M8839" s="508">
        <f t="array" ref="M8839">INDEX(M$4462:M$5328,MATCH($B8839&amp;$C8839,$B$4462:$B$5328&amp;$C$4462:$C$5328,0))</f>
        <v>3.5000000000000003E-2</v>
      </c>
      <c r="N8839" s="508">
        <f t="array" ref="N8839">INDEX(N$4462:N$5328,MATCH($B8839&amp;$C8839,$B$4462:$B$5328&amp;$C$4462:$C$5328,0))</f>
        <v>3.5000000000000003E-2</v>
      </c>
      <c r="O8839" s="508">
        <f t="array" ref="O8839">INDEX(O$4462:O$5328,MATCH($B8839&amp;$C8839,$B$4462:$B$5328&amp;$C$4462:$C$5328,0))</f>
        <v>3.5000000000000003E-2</v>
      </c>
      <c r="P8839" s="508">
        <f t="array" ref="P8839">INDEX(P$4462:P$5328,MATCH($B8839&amp;$C8839,$B$4462:$B$5328&amp;$C$4462:$C$5328,0))</f>
        <v>3.5000000000000003E-2</v>
      </c>
      <c r="Q8839" s="508">
        <f t="array" ref="Q8839">INDEX(Q$4462:Q$5328,MATCH($B8839&amp;$C8839,$B$4462:$B$5328&amp;$C$4462:$C$5328,0))</f>
        <v>3.5000000000000003E-2</v>
      </c>
      <c r="R8839" s="508">
        <f t="array" ref="R8839">INDEX(R$4462:R$5328,MATCH($B8839&amp;$C8839,$B$4462:$B$5328&amp;$C$4462:$C$5328,0))</f>
        <v>3.5000000000000003E-2</v>
      </c>
      <c r="S8839" s="508">
        <f t="array" ref="S8839">INDEX(S$4462:S$5328,MATCH($B8839&amp;$C8839,$B$4462:$B$5328&amp;$C$4462:$C$5328,0))</f>
        <v>3.5000000000000003E-2</v>
      </c>
      <c r="T8839" s="508">
        <f t="array" ref="T8839">INDEX(T$4462:T$5328,MATCH($B8839&amp;$C8839,$B$4462:$B$5328&amp;$C$4462:$C$5328,0))</f>
        <v>3.5000000000000003E-2</v>
      </c>
      <c r="U8839" s="508">
        <f t="array" ref="U8839">INDEX(U$4462:U$5328,MATCH($B8839&amp;$C8839,$B$4462:$B$5328&amp;$C$4462:$C$5328,0))</f>
        <v>3.5000000000000003E-2</v>
      </c>
      <c r="V8839" s="508">
        <f t="array" ref="V8839">INDEX(V$4462:V$5328,MATCH($B8839&amp;$C8839,$B$4462:$B$5328&amp;$C$4462:$C$5328,0))</f>
        <v>3.5000000000000003E-2</v>
      </c>
      <c r="W8839" s="508">
        <f t="array" ref="W8839">INDEX(W$4462:W$5328,MATCH($B8839&amp;$C8839,$B$4462:$B$5328&amp;$C$4462:$C$5328,0))</f>
        <v>3.5000000000000003E-2</v>
      </c>
      <c r="X8839" s="508">
        <f t="array" ref="X8839">INDEX(X$4462:X$5328,MATCH($B8839&amp;$C8839,$B$4462:$B$5328&amp;$C$4462:$C$5328,0))</f>
        <v>3.5000000000000003E-2</v>
      </c>
      <c r="Y8839" s="508">
        <f t="array" ref="Y8839">INDEX(Y$4462:Y$5328,MATCH($B8839&amp;$C8839,$B$4462:$B$5328&amp;$C$4462:$C$5328,0))</f>
        <v>3.5000000000000003E-2</v>
      </c>
      <c r="Z8839" s="508">
        <f t="array" ref="Z8839">INDEX(Z$4462:Z$5328,MATCH($B8839&amp;$C8839,$B$4462:$B$5328&amp;$C$4462:$C$5328,0))</f>
        <v>3.5000000000000003E-2</v>
      </c>
      <c r="AA8839" s="508">
        <f t="array" ref="AA8839">INDEX(AA$4462:AA$5328,MATCH($B8839&amp;$C8839,$B$4462:$B$5328&amp;$C$4462:$C$5328,0))</f>
        <v>3.5000000000000003E-2</v>
      </c>
      <c r="AB8839" s="508">
        <f t="array" ref="AB8839">INDEX(AB$4462:AB$5328,MATCH($B8839&amp;$C8839,$B$4462:$B$5328&amp;$C$4462:$C$5328,0))</f>
        <v>3.5000000000000003E-2</v>
      </c>
      <c r="AC8839" s="508">
        <f t="array" ref="AC8839">INDEX(AC$4462:AC$5328,MATCH($B8839&amp;$C8839,$B$4462:$B$5328&amp;$C$4462:$C$5328,0))</f>
        <v>3.5000000000000003E-2</v>
      </c>
      <c r="AD8839" s="508">
        <f t="array" ref="AD8839">INDEX(AD$4462:AD$5328,MATCH($B8839&amp;$C8839,$B$4462:$B$5328&amp;$C$4462:$C$5328,0))</f>
        <v>3.5000000000000003E-2</v>
      </c>
      <c r="AE8839" s="508">
        <f t="array" ref="AE8839">INDEX(AE$4462:AE$5328,MATCH($B8839&amp;$C8839,$B$4462:$B$5328&amp;$C$4462:$C$5328,0))</f>
        <v>3.5000000000000003E-2</v>
      </c>
      <c r="AF8839" s="508">
        <f t="array" ref="AF8839">INDEX(AF$4462:AF$5328,MATCH($B8839&amp;$C8839,$B$4462:$B$5328&amp;$C$4462:$C$5328,0))</f>
        <v>3.5000000000000003E-2</v>
      </c>
      <c r="AG8839" s="508">
        <f t="array" ref="AG8839">INDEX(AG$4462:AG$5328,MATCH($B8839&amp;$C8839,$B$4462:$B$5328&amp;$C$4462:$C$5328,0))</f>
        <v>3.5000000000000003E-2</v>
      </c>
      <c r="AH8839" s="508">
        <f t="array" ref="AH8839">INDEX(AH$4462:AH$5328,MATCH($B8839&amp;$C8839,$B$4462:$B$5328&amp;$C$4462:$C$5328,0))</f>
        <v>3.5000000000000003E-2</v>
      </c>
      <c r="AI8839" s="508">
        <f t="array" ref="AI8839">INDEX(AI$4462:AI$5328,MATCH($B8839&amp;$C8839,$B$4462:$B$5328&amp;$C$4462:$C$5328,0))</f>
        <v>3.5000000000000003E-2</v>
      </c>
      <c r="AJ8839" s="508"/>
      <c r="AK8839" s="508">
        <f t="shared" si="179"/>
        <v>3.5000000000000003E-2</v>
      </c>
      <c r="AL8839" s="508">
        <f t="shared" si="181"/>
        <v>3.5000000000000003E-2</v>
      </c>
      <c r="AM8839" s="508">
        <f t="shared" si="181"/>
        <v>3.5000000000000003E-2</v>
      </c>
      <c r="AN8839" s="508">
        <f t="shared" si="181"/>
        <v>3.5000000000000003E-2</v>
      </c>
      <c r="AO8839" s="508">
        <f t="array" ref="AO8839">INDEX('GREET Fuel Attributes'!$E$8948:$E$9083,MATCH($C8839&amp;$D8839,'GREET Fuel Attributes'!$B$8948:$B$9083&amp;'GREET Fuel Attributes'!$C$8948:$C$9083,0))/INDEX('GREET Fuel Attributes'!$D$8948:$D$9083,MATCH($C8839&amp;$D8839,'GREET Fuel Attributes'!$B$8948:$B$9083&amp;'GREET Fuel Attributes'!$C$8948:$C$9083,0))*AI8839</f>
        <v>3.5000000000000003E-2</v>
      </c>
      <c r="AP8839" s="132" t="s">
        <v>1387</v>
      </c>
      <c r="AQ8839" s="142" t="s">
        <v>300</v>
      </c>
    </row>
    <row r="8840" spans="2:43">
      <c r="B8840" s="136" t="str">
        <f t="shared" si="182"/>
        <v>ILLINOIS</v>
      </c>
      <c r="C8840" s="132" t="s">
        <v>1366</v>
      </c>
      <c r="D8840" s="132" t="s">
        <v>285</v>
      </c>
      <c r="E8840" s="508">
        <f t="array" ref="E8840">INDEX(E$5329:E$6195,MATCH($B8840&amp;$C8840,$B$5329:$B$6195&amp;$C$5329:$C$6195,0))</f>
        <v>7.1999999999999995E-2</v>
      </c>
      <c r="F8840" s="508">
        <f t="array" ref="F8840">INDEX(F$5329:F$6195,MATCH($B8840&amp;$C8840,$B$5329:$B$6195&amp;$C$5329:$C$6195,0))</f>
        <v>0.08</v>
      </c>
      <c r="G8840" s="508">
        <f t="array" ref="G8840">INDEX(G$5329:G$6195,MATCH($B8840&amp;$C8840,$B$5329:$B$6195&amp;$C$5329:$C$6195,0))</f>
        <v>0.08</v>
      </c>
      <c r="H8840" s="508">
        <f t="array" ref="H8840">INDEX(H$5329:H$6195,MATCH($B8840&amp;$C8840,$B$5329:$B$6195&amp;$C$5329:$C$6195,0))</f>
        <v>5.7000000000000002E-2</v>
      </c>
      <c r="I8840" s="508">
        <f t="array" ref="I8840">INDEX(I$5329:I$6195,MATCH($B8840&amp;$C8840,$B$5329:$B$6195&amp;$C$5329:$C$6195,0))</f>
        <v>5.7000000000000002E-2</v>
      </c>
      <c r="J8840" s="508">
        <f t="array" ref="J8840">INDEX(J$5329:J$6195,MATCH($B8840&amp;$C8840,$B$5329:$B$6195&amp;$C$5329:$C$6195,0))</f>
        <v>5.7000000000000002E-2</v>
      </c>
      <c r="K8840" s="508">
        <f t="array" ref="K8840">INDEX(K$5329:K$6195,MATCH($B8840&amp;$C8840,$B$5329:$B$6195&amp;$C$5329:$C$6195,0))</f>
        <v>4.1000000000000002E-2</v>
      </c>
      <c r="L8840" s="508">
        <f t="array" ref="L8840">INDEX(L$5329:L$6195,MATCH($B8840&amp;$C8840,$B$5329:$B$6195&amp;$C$5329:$C$6195,0))</f>
        <v>4.1000000000000002E-2</v>
      </c>
      <c r="M8840" s="508">
        <f t="array" ref="M8840">INDEX(M$5329:M$6195,MATCH($B8840&amp;$C8840,$B$5329:$B$6195&amp;$C$5329:$C$6195,0))</f>
        <v>4.1000000000000002E-2</v>
      </c>
      <c r="N8840" s="508">
        <f t="array" ref="N8840">INDEX(N$5329:N$6195,MATCH($B8840&amp;$C8840,$B$5329:$B$6195&amp;$C$5329:$C$6195,0))</f>
        <v>3.5000000000000003E-2</v>
      </c>
      <c r="O8840" s="508">
        <f t="array" ref="O8840">INDEX(O$5329:O$6195,MATCH($B8840&amp;$C8840,$B$5329:$B$6195&amp;$C$5329:$C$6195,0))</f>
        <v>0.03</v>
      </c>
      <c r="P8840" s="508">
        <f t="array" ref="P8840">INDEX(P$5329:P$6195,MATCH($B8840&amp;$C8840,$B$5329:$B$6195&amp;$C$5329:$C$6195,0))</f>
        <v>1.7999999999999999E-2</v>
      </c>
      <c r="Q8840" s="508">
        <f t="array" ref="Q8840">INDEX(Q$5329:Q$6195,MATCH($B8840&amp;$C8840,$B$5329:$B$6195&amp;$C$5329:$C$6195,0))</f>
        <v>1.7000000000000001E-2</v>
      </c>
      <c r="R8840" s="508">
        <f t="array" ref="R8840">INDEX(R$5329:R$6195,MATCH($B8840&amp;$C8840,$B$5329:$B$6195&amp;$C$5329:$C$6195,0))</f>
        <v>1.6E-2</v>
      </c>
      <c r="S8840" s="508">
        <f t="array" ref="S8840">INDEX(S$5329:S$6195,MATCH($B8840&amp;$C8840,$B$5329:$B$6195&amp;$C$5329:$C$6195,0))</f>
        <v>1.4E-2</v>
      </c>
      <c r="T8840" s="508">
        <f t="array" ref="T8840">INDEX(T$5329:T$6195,MATCH($B8840&amp;$C8840,$B$5329:$B$6195&amp;$C$5329:$C$6195,0))</f>
        <v>1.2999999999999999E-2</v>
      </c>
      <c r="U8840" s="508">
        <f t="array" ref="U8840">INDEX(U$5329:U$6195,MATCH($B8840&amp;$C8840,$B$5329:$B$6195&amp;$C$5329:$C$6195,0))</f>
        <v>7.0000000000000001E-3</v>
      </c>
      <c r="V8840" s="508">
        <f t="array" ref="V8840">INDEX(V$5329:V$6195,MATCH($B8840&amp;$C8840,$B$5329:$B$6195&amp;$C$5329:$C$6195,0))</f>
        <v>6.0000000000000001E-3</v>
      </c>
      <c r="W8840" s="508">
        <f t="array" ref="W8840">INDEX(W$5329:W$6195,MATCH($B8840&amp;$C8840,$B$5329:$B$6195&amp;$C$5329:$C$6195,0))</f>
        <v>6.0000000000000001E-3</v>
      </c>
      <c r="X8840" s="508">
        <f t="array" ref="X8840">INDEX(X$5329:X$6195,MATCH($B8840&amp;$C8840,$B$5329:$B$6195&amp;$C$5329:$C$6195,0))</f>
        <v>6.0000000000000001E-3</v>
      </c>
      <c r="Y8840" s="508">
        <f t="array" ref="Y8840">INDEX(Y$5329:Y$6195,MATCH($B8840&amp;$C8840,$B$5329:$B$6195&amp;$C$5329:$C$6195,0))</f>
        <v>6.0000000000000001E-3</v>
      </c>
      <c r="Z8840" s="508">
        <f t="array" ref="Z8840">INDEX(Z$5329:Z$6195,MATCH($B8840&amp;$C8840,$B$5329:$B$6195&amp;$C$5329:$C$6195,0))</f>
        <v>4.0000000000000001E-3</v>
      </c>
      <c r="AA8840" s="508">
        <f t="array" ref="AA8840">INDEX(AA$5329:AA$6195,MATCH($B8840&amp;$C8840,$B$5329:$B$6195&amp;$C$5329:$C$6195,0))</f>
        <v>5.0000000000000001E-3</v>
      </c>
      <c r="AB8840" s="508">
        <f t="array" ref="AB8840">INDEX(AB$5329:AB$6195,MATCH($B8840&amp;$C8840,$B$5329:$B$6195&amp;$C$5329:$C$6195,0))</f>
        <v>4.0000000000000001E-3</v>
      </c>
      <c r="AC8840" s="508">
        <f t="array" ref="AC8840">INDEX(AC$5329:AC$6195,MATCH($B8840&amp;$C8840,$B$5329:$B$6195&amp;$C$5329:$C$6195,0))</f>
        <v>4.0000000000000001E-3</v>
      </c>
      <c r="AD8840" s="508">
        <f t="array" ref="AD8840">INDEX(AD$5329:AD$6195,MATCH($B8840&amp;$C8840,$B$5329:$B$6195&amp;$C$5329:$C$6195,0))</f>
        <v>4.0000000000000001E-3</v>
      </c>
      <c r="AE8840" s="508">
        <f t="array" ref="AE8840">INDEX(AE$5329:AE$6195,MATCH($B8840&amp;$C8840,$B$5329:$B$6195&amp;$C$5329:$C$6195,0))</f>
        <v>4.0000000000000001E-3</v>
      </c>
      <c r="AF8840" s="508">
        <f t="array" ref="AF8840">INDEX(AF$5329:AF$6195,MATCH($B8840&amp;$C8840,$B$5329:$B$6195&amp;$C$5329:$C$6195,0))</f>
        <v>3.0000000000000001E-3</v>
      </c>
      <c r="AG8840" s="508">
        <f t="array" ref="AG8840">INDEX(AG$5329:AG$6195,MATCH($B8840&amp;$C8840,$B$5329:$B$6195&amp;$C$5329:$C$6195,0))</f>
        <v>3.0000000000000001E-3</v>
      </c>
      <c r="AH8840" s="508">
        <f t="array" ref="AH8840">INDEX(AH$5329:AH$6195,MATCH($B8840&amp;$C8840,$B$5329:$B$6195&amp;$C$5329:$C$6195,0))</f>
        <v>3.0000000000000001E-3</v>
      </c>
      <c r="AI8840" s="508">
        <f t="array" ref="AI8840">INDEX(AI$5329:AI$6195,MATCH($B8840&amp;$C8840,$B$5329:$B$6195&amp;$C$5329:$C$6195,0))</f>
        <v>3.0000000000000001E-3</v>
      </c>
      <c r="AJ8840" s="508"/>
      <c r="AK8840" s="508">
        <f t="shared" si="179"/>
        <v>2.7599999999999999E-3</v>
      </c>
      <c r="AL8840" s="508">
        <f t="shared" si="181"/>
        <v>2.5199999999999997E-3</v>
      </c>
      <c r="AM8840" s="508">
        <f t="shared" si="181"/>
        <v>2.2799999999999995E-3</v>
      </c>
      <c r="AN8840" s="508">
        <f t="shared" si="181"/>
        <v>2.0399999999999993E-3</v>
      </c>
      <c r="AO8840" s="508">
        <f t="array" ref="AO8840">INDEX('GREET Fuel Attributes'!$E$8948:$E$9083,MATCH($C8840&amp;$D8840,'GREET Fuel Attributes'!$B$8948:$B$9083&amp;'GREET Fuel Attributes'!$C$8948:$C$9083,0))/INDEX('GREET Fuel Attributes'!$D$8948:$D$9083,MATCH($C8840&amp;$D8840,'GREET Fuel Attributes'!$B$8948:$B$9083&amp;'GREET Fuel Attributes'!$C$8948:$C$9083,0))*AI8840</f>
        <v>1.8E-3</v>
      </c>
      <c r="AP8840" s="132" t="s">
        <v>1387</v>
      </c>
      <c r="AQ8840" s="142" t="s">
        <v>300</v>
      </c>
    </row>
    <row r="8841" spans="2:43">
      <c r="B8841" s="136" t="str">
        <f t="shared" si="182"/>
        <v>ILLINOIS</v>
      </c>
      <c r="C8841" s="132" t="s">
        <v>1366</v>
      </c>
      <c r="D8841" s="132" t="s">
        <v>1380</v>
      </c>
      <c r="E8841" s="508">
        <f t="array" ref="E8841">INDEX(E$6196:E$7062,MATCH($B8841&amp;$C8841,$B$6196:$B$7062&amp;$C$6196:$C$7062,0))</f>
        <v>5.0000000000000001E-3</v>
      </c>
      <c r="F8841" s="508">
        <f t="array" ref="F8841">INDEX(F$6196:F$7062,MATCH($B8841&amp;$C8841,$B$6196:$B$7062&amp;$C$6196:$C$7062,0))</f>
        <v>5.0000000000000001E-3</v>
      </c>
      <c r="G8841" s="508">
        <f t="array" ref="G8841">INDEX(G$6196:G$7062,MATCH($B8841&amp;$C8841,$B$6196:$B$7062&amp;$C$6196:$C$7062,0))</f>
        <v>5.0000000000000001E-3</v>
      </c>
      <c r="H8841" s="508">
        <f t="array" ref="H8841">INDEX(H$6196:H$7062,MATCH($B8841&amp;$C8841,$B$6196:$B$7062&amp;$C$6196:$C$7062,0))</f>
        <v>5.0000000000000001E-3</v>
      </c>
      <c r="I8841" s="508">
        <f t="array" ref="I8841">INDEX(I$6196:I$7062,MATCH($B8841&amp;$C8841,$B$6196:$B$7062&amp;$C$6196:$C$7062,0))</f>
        <v>5.0000000000000001E-3</v>
      </c>
      <c r="J8841" s="508">
        <f t="array" ref="J8841">INDEX(J$6196:J$7062,MATCH($B8841&amp;$C8841,$B$6196:$B$7062&amp;$C$6196:$C$7062,0))</f>
        <v>5.0000000000000001E-3</v>
      </c>
      <c r="K8841" s="508">
        <f t="array" ref="K8841">INDEX(K$6196:K$7062,MATCH($B8841&amp;$C8841,$B$6196:$B$7062&amp;$C$6196:$C$7062,0))</f>
        <v>5.0000000000000001E-3</v>
      </c>
      <c r="L8841" s="508">
        <f t="array" ref="L8841">INDEX(L$6196:L$7062,MATCH($B8841&amp;$C8841,$B$6196:$B$7062&amp;$C$6196:$C$7062,0))</f>
        <v>5.0000000000000001E-3</v>
      </c>
      <c r="M8841" s="508">
        <f t="array" ref="M8841">INDEX(M$6196:M$7062,MATCH($B8841&amp;$C8841,$B$6196:$B$7062&amp;$C$6196:$C$7062,0))</f>
        <v>5.0000000000000001E-3</v>
      </c>
      <c r="N8841" s="508">
        <f t="array" ref="N8841">INDEX(N$6196:N$7062,MATCH($B8841&amp;$C8841,$B$6196:$B$7062&amp;$C$6196:$C$7062,0))</f>
        <v>5.0000000000000001E-3</v>
      </c>
      <c r="O8841" s="508">
        <f t="array" ref="O8841">INDEX(O$6196:O$7062,MATCH($B8841&amp;$C8841,$B$6196:$B$7062&amp;$C$6196:$C$7062,0))</f>
        <v>5.0000000000000001E-3</v>
      </c>
      <c r="P8841" s="508">
        <f t="array" ref="P8841">INDEX(P$6196:P$7062,MATCH($B8841&amp;$C8841,$B$6196:$B$7062&amp;$C$6196:$C$7062,0))</f>
        <v>5.0000000000000001E-3</v>
      </c>
      <c r="Q8841" s="508">
        <f t="array" ref="Q8841">INDEX(Q$6196:Q$7062,MATCH($B8841&amp;$C8841,$B$6196:$B$7062&amp;$C$6196:$C$7062,0))</f>
        <v>5.0000000000000001E-3</v>
      </c>
      <c r="R8841" s="508">
        <f t="array" ref="R8841">INDEX(R$6196:R$7062,MATCH($B8841&amp;$C8841,$B$6196:$B$7062&amp;$C$6196:$C$7062,0))</f>
        <v>5.0000000000000001E-3</v>
      </c>
      <c r="S8841" s="508">
        <f t="array" ref="S8841">INDEX(S$6196:S$7062,MATCH($B8841&amp;$C8841,$B$6196:$B$7062&amp;$C$6196:$C$7062,0))</f>
        <v>5.0000000000000001E-3</v>
      </c>
      <c r="T8841" s="508">
        <f t="array" ref="T8841">INDEX(T$6196:T$7062,MATCH($B8841&amp;$C8841,$B$6196:$B$7062&amp;$C$6196:$C$7062,0))</f>
        <v>5.0000000000000001E-3</v>
      </c>
      <c r="U8841" s="508">
        <f t="array" ref="U8841">INDEX(U$6196:U$7062,MATCH($B8841&amp;$C8841,$B$6196:$B$7062&amp;$C$6196:$C$7062,0))</f>
        <v>5.0000000000000001E-3</v>
      </c>
      <c r="V8841" s="508">
        <f t="array" ref="V8841">INDEX(V$6196:V$7062,MATCH($B8841&amp;$C8841,$B$6196:$B$7062&amp;$C$6196:$C$7062,0))</f>
        <v>5.0000000000000001E-3</v>
      </c>
      <c r="W8841" s="508">
        <f t="array" ref="W8841">INDEX(W$6196:W$7062,MATCH($B8841&amp;$C8841,$B$6196:$B$7062&amp;$C$6196:$C$7062,0))</f>
        <v>5.0000000000000001E-3</v>
      </c>
      <c r="X8841" s="508">
        <f t="array" ref="X8841">INDEX(X$6196:X$7062,MATCH($B8841&amp;$C8841,$B$6196:$B$7062&amp;$C$6196:$C$7062,0))</f>
        <v>5.0000000000000001E-3</v>
      </c>
      <c r="Y8841" s="508">
        <f t="array" ref="Y8841">INDEX(Y$6196:Y$7062,MATCH($B8841&amp;$C8841,$B$6196:$B$7062&amp;$C$6196:$C$7062,0))</f>
        <v>5.0000000000000001E-3</v>
      </c>
      <c r="Z8841" s="508">
        <f t="array" ref="Z8841">INDEX(Z$6196:Z$7062,MATCH($B8841&amp;$C8841,$B$6196:$B$7062&amp;$C$6196:$C$7062,0))</f>
        <v>5.0000000000000001E-3</v>
      </c>
      <c r="AA8841" s="508">
        <f t="array" ref="AA8841">INDEX(AA$6196:AA$7062,MATCH($B8841&amp;$C8841,$B$6196:$B$7062&amp;$C$6196:$C$7062,0))</f>
        <v>5.0000000000000001E-3</v>
      </c>
      <c r="AB8841" s="508">
        <f t="array" ref="AB8841">INDEX(AB$6196:AB$7062,MATCH($B8841&amp;$C8841,$B$6196:$B$7062&amp;$C$6196:$C$7062,0))</f>
        <v>5.0000000000000001E-3</v>
      </c>
      <c r="AC8841" s="508">
        <f t="array" ref="AC8841">INDEX(AC$6196:AC$7062,MATCH($B8841&amp;$C8841,$B$6196:$B$7062&amp;$C$6196:$C$7062,0))</f>
        <v>5.0000000000000001E-3</v>
      </c>
      <c r="AD8841" s="508">
        <f t="array" ref="AD8841">INDEX(AD$6196:AD$7062,MATCH($B8841&amp;$C8841,$B$6196:$B$7062&amp;$C$6196:$C$7062,0))</f>
        <v>5.0000000000000001E-3</v>
      </c>
      <c r="AE8841" s="508">
        <f t="array" ref="AE8841">INDEX(AE$6196:AE$7062,MATCH($B8841&amp;$C8841,$B$6196:$B$7062&amp;$C$6196:$C$7062,0))</f>
        <v>5.0000000000000001E-3</v>
      </c>
      <c r="AF8841" s="508">
        <f t="array" ref="AF8841">INDEX(AF$6196:AF$7062,MATCH($B8841&amp;$C8841,$B$6196:$B$7062&amp;$C$6196:$C$7062,0))</f>
        <v>5.0000000000000001E-3</v>
      </c>
      <c r="AG8841" s="508">
        <f t="array" ref="AG8841">INDEX(AG$6196:AG$7062,MATCH($B8841&amp;$C8841,$B$6196:$B$7062&amp;$C$6196:$C$7062,0))</f>
        <v>5.0000000000000001E-3</v>
      </c>
      <c r="AH8841" s="508">
        <f t="array" ref="AH8841">INDEX(AH$6196:AH$7062,MATCH($B8841&amp;$C8841,$B$6196:$B$7062&amp;$C$6196:$C$7062,0))</f>
        <v>5.0000000000000001E-3</v>
      </c>
      <c r="AI8841" s="508">
        <f t="array" ref="AI8841">INDEX(AI$6196:AI$7062,MATCH($B8841&amp;$C8841,$B$6196:$B$7062&amp;$C$6196:$C$7062,0))</f>
        <v>5.0000000000000001E-3</v>
      </c>
      <c r="AJ8841" s="508"/>
      <c r="AK8841" s="508">
        <f t="shared" si="179"/>
        <v>5.0000000000000001E-3</v>
      </c>
      <c r="AL8841" s="508">
        <f t="shared" si="181"/>
        <v>5.0000000000000001E-3</v>
      </c>
      <c r="AM8841" s="508">
        <f t="shared" si="181"/>
        <v>5.0000000000000001E-3</v>
      </c>
      <c r="AN8841" s="508">
        <f t="shared" si="181"/>
        <v>5.0000000000000001E-3</v>
      </c>
      <c r="AO8841" s="508">
        <f t="array" ref="AO8841">INDEX('GREET Fuel Attributes'!$E$8948:$E$9083,MATCH($C8841&amp;$D8841,'GREET Fuel Attributes'!$B$8948:$B$9083&amp;'GREET Fuel Attributes'!$C$8948:$C$9083,0))/INDEX('GREET Fuel Attributes'!$D$8948:$D$9083,MATCH($C8841&amp;$D8841,'GREET Fuel Attributes'!$B$8948:$B$9083&amp;'GREET Fuel Attributes'!$C$8948:$C$9083,0))*AI8841</f>
        <v>5.0000000000000001E-3</v>
      </c>
      <c r="AP8841" s="132" t="s">
        <v>1387</v>
      </c>
      <c r="AQ8841" s="142" t="s">
        <v>300</v>
      </c>
    </row>
    <row r="8842" spans="2:43">
      <c r="B8842" s="136" t="str">
        <f t="shared" si="182"/>
        <v>ILLINOIS</v>
      </c>
      <c r="C8842" s="132" t="s">
        <v>1366</v>
      </c>
      <c r="D8842" s="132" t="s">
        <v>281</v>
      </c>
      <c r="E8842" s="508">
        <f t="array" ref="E8842">INDEX(E$7063:E$7929,MATCH($B8842&amp;$C8842,$B$7063:$B$7929&amp;$C$7063:$C$7929,0))</f>
        <v>3.5960000000000001</v>
      </c>
      <c r="F8842" s="508">
        <f t="array" ref="F8842">INDEX(F$7063:F$7929,MATCH($B8842&amp;$C8842,$B$7063:$B$7929&amp;$C$7063:$C$7929,0))</f>
        <v>2.82</v>
      </c>
      <c r="G8842" s="508">
        <f t="array" ref="G8842">INDEX(G$7063:G$7929,MATCH($B8842&amp;$C8842,$B$7063:$B$7929&amp;$C$7063:$C$7929,0))</f>
        <v>2.8039999999999998</v>
      </c>
      <c r="H8842" s="508">
        <f t="array" ref="H8842">INDEX(H$7063:H$7929,MATCH($B8842&amp;$C8842,$B$7063:$B$7929&amp;$C$7063:$C$7929,0))</f>
        <v>2.78</v>
      </c>
      <c r="I8842" s="508">
        <f t="array" ref="I8842">INDEX(I$7063:I$7929,MATCH($B8842&amp;$C8842,$B$7063:$B$7929&amp;$C$7063:$C$7929,0))</f>
        <v>2.7469999999999999</v>
      </c>
      <c r="J8842" s="508">
        <f t="array" ref="J8842">INDEX(J$7063:J$7929,MATCH($B8842&amp;$C8842,$B$7063:$B$7929&amp;$C$7063:$C$7929,0))</f>
        <v>2.1</v>
      </c>
      <c r="K8842" s="508">
        <f t="array" ref="K8842">INDEX(K$7063:K$7929,MATCH($B8842&amp;$C8842,$B$7063:$B$7929&amp;$C$7063:$C$7929,0))</f>
        <v>2.0609999999999999</v>
      </c>
      <c r="L8842" s="508">
        <f t="array" ref="L8842">INDEX(L$7063:L$7929,MATCH($B8842&amp;$C8842,$B$7063:$B$7929&amp;$C$7063:$C$7929,0))</f>
        <v>2.0190000000000001</v>
      </c>
      <c r="M8842" s="508">
        <f t="array" ref="M8842">INDEX(M$7063:M$7929,MATCH($B8842&amp;$C8842,$B$7063:$B$7929&amp;$C$7063:$C$7929,0))</f>
        <v>1.976</v>
      </c>
      <c r="N8842" s="508">
        <f t="array" ref="N8842">INDEX(N$7063:N$7929,MATCH($B8842&amp;$C8842,$B$7063:$B$7929&amp;$C$7063:$C$7929,0))</f>
        <v>1.9059999999999999</v>
      </c>
      <c r="O8842" s="508">
        <f t="array" ref="O8842">INDEX(O$7063:O$7929,MATCH($B8842&amp;$C8842,$B$7063:$B$7929&amp;$C$7063:$C$7929,0))</f>
        <v>1.857</v>
      </c>
      <c r="P8842" s="508">
        <f t="array" ref="P8842">INDEX(P$7063:P$7929,MATCH($B8842&amp;$C8842,$B$7063:$B$7929&amp;$C$7063:$C$7929,0))</f>
        <v>1.2749999999999999</v>
      </c>
      <c r="Q8842" s="508">
        <f t="array" ref="Q8842">INDEX(Q$7063:Q$7929,MATCH($B8842&amp;$C8842,$B$7063:$B$7929&amp;$C$7063:$C$7929,0))</f>
        <v>1.2370000000000001</v>
      </c>
      <c r="R8842" s="508">
        <f t="array" ref="R8842">INDEX(R$7063:R$7929,MATCH($B8842&amp;$C8842,$B$7063:$B$7929&amp;$C$7063:$C$7929,0))</f>
        <v>1.2</v>
      </c>
      <c r="S8842" s="508">
        <f t="array" ref="S8842">INDEX(S$7063:S$7929,MATCH($B8842&amp;$C8842,$B$7063:$B$7929&amp;$C$7063:$C$7929,0))</f>
        <v>1.165</v>
      </c>
      <c r="T8842" s="508">
        <f t="array" ref="T8842">INDEX(T$7063:T$7929,MATCH($B8842&amp;$C8842,$B$7063:$B$7929&amp;$C$7063:$C$7929,0))</f>
        <v>1.1319999999999999</v>
      </c>
      <c r="U8842" s="508">
        <f t="array" ref="U8842">INDEX(U$7063:U$7929,MATCH($B8842&amp;$C8842,$B$7063:$B$7929&amp;$C$7063:$C$7929,0))</f>
        <v>0.501</v>
      </c>
      <c r="V8842" s="508">
        <f t="array" ref="V8842">INDEX(V$7063:V$7929,MATCH($B8842&amp;$C8842,$B$7063:$B$7929&amp;$C$7063:$C$7929,0))</f>
        <v>0.46</v>
      </c>
      <c r="W8842" s="508">
        <f t="array" ref="W8842">INDEX(W$7063:W$7929,MATCH($B8842&amp;$C8842,$B$7063:$B$7929&amp;$C$7063:$C$7929,0))</f>
        <v>0.42599999999999999</v>
      </c>
      <c r="X8842" s="508">
        <f t="array" ref="X8842">INDEX(X$7063:X$7929,MATCH($B8842&amp;$C8842,$B$7063:$B$7929&amp;$C$7063:$C$7929,0))</f>
        <v>0.35599999999999998</v>
      </c>
      <c r="Y8842" s="508">
        <f t="array" ref="Y8842">INDEX(Y$7063:Y$7929,MATCH($B8842&amp;$C8842,$B$7063:$B$7929&amp;$C$7063:$C$7929,0))</f>
        <v>0.33500000000000002</v>
      </c>
      <c r="Z8842" s="508">
        <f t="array" ref="Z8842">INDEX(Z$7063:Z$7929,MATCH($B8842&amp;$C8842,$B$7063:$B$7929&amp;$C$7063:$C$7929,0))</f>
        <v>0.25800000000000001</v>
      </c>
      <c r="AA8842" s="508">
        <f t="array" ref="AA8842">INDEX(AA$7063:AA$7929,MATCH($B8842&amp;$C8842,$B$7063:$B$7929&amp;$C$7063:$C$7929,0))</f>
        <v>0.13</v>
      </c>
      <c r="AB8842" s="508">
        <f t="array" ref="AB8842">INDEX(AB$7063:AB$7929,MATCH($B8842&amp;$C8842,$B$7063:$B$7929&amp;$C$7063:$C$7929,0))</f>
        <v>0.108</v>
      </c>
      <c r="AC8842" s="508">
        <f t="array" ref="AC8842">INDEX(AC$7063:AC$7929,MATCH($B8842&amp;$C8842,$B$7063:$B$7929&amp;$C$7063:$C$7929,0))</f>
        <v>0.104</v>
      </c>
      <c r="AD8842" s="508">
        <f t="array" ref="AD8842">INDEX(AD$7063:AD$7929,MATCH($B8842&amp;$C8842,$B$7063:$B$7929&amp;$C$7063:$C$7929,0))</f>
        <v>8.4000000000000005E-2</v>
      </c>
      <c r="AE8842" s="508">
        <f t="array" ref="AE8842">INDEX(AE$7063:AE$7929,MATCH($B8842&amp;$C8842,$B$7063:$B$7929&amp;$C$7063:$C$7929,0))</f>
        <v>8.2000000000000003E-2</v>
      </c>
      <c r="AF8842" s="508">
        <f t="array" ref="AF8842">INDEX(AF$7063:AF$7929,MATCH($B8842&amp;$C8842,$B$7063:$B$7929&amp;$C$7063:$C$7929,0))</f>
        <v>6.3E-2</v>
      </c>
      <c r="AG8842" s="508">
        <f t="array" ref="AG8842">INDEX(AG$7063:AG$7929,MATCH($B8842&amp;$C8842,$B$7063:$B$7929&amp;$C$7063:$C$7929,0))</f>
        <v>6.2E-2</v>
      </c>
      <c r="AH8842" s="508">
        <f t="array" ref="AH8842">INDEX(AH$7063:AH$7929,MATCH($B8842&amp;$C8842,$B$7063:$B$7929&amp;$C$7063:$C$7929,0))</f>
        <v>0.06</v>
      </c>
      <c r="AI8842" s="508">
        <f t="array" ref="AI8842">INDEX(AI$7063:AI$7929,MATCH($B8842&amp;$C8842,$B$7063:$B$7929&amp;$C$7063:$C$7929,0))</f>
        <v>5.8999999999999997E-2</v>
      </c>
      <c r="AJ8842" s="508"/>
      <c r="AK8842" s="508">
        <f t="shared" si="179"/>
        <v>5.475614035087719E-2</v>
      </c>
      <c r="AL8842" s="508">
        <f t="shared" si="181"/>
        <v>5.0512280701754383E-2</v>
      </c>
      <c r="AM8842" s="508">
        <f t="shared" si="181"/>
        <v>4.6268421052631577E-2</v>
      </c>
      <c r="AN8842" s="508">
        <f t="shared" si="181"/>
        <v>4.202456140350877E-2</v>
      </c>
      <c r="AO8842" s="508">
        <f t="array" ref="AO8842">INDEX('GREET Fuel Attributes'!$E$8948:$E$9083,MATCH($C8842&amp;$D8842,'GREET Fuel Attributes'!$B$8948:$B$9083&amp;'GREET Fuel Attributes'!$C$8948:$C$9083,0))/INDEX('GREET Fuel Attributes'!$D$8948:$D$9083,MATCH($C8842&amp;$D8842,'GREET Fuel Attributes'!$B$8948:$B$9083&amp;'GREET Fuel Attributes'!$C$8948:$C$9083,0))*AI8842</f>
        <v>3.7780701754385963E-2</v>
      </c>
      <c r="AP8842" s="132" t="s">
        <v>1387</v>
      </c>
      <c r="AQ8842" s="142" t="s">
        <v>300</v>
      </c>
    </row>
    <row r="8843" spans="2:43">
      <c r="B8843" s="136" t="str">
        <f t="shared" si="182"/>
        <v>ILLINOIS</v>
      </c>
      <c r="C8843" s="132" t="s">
        <v>1366</v>
      </c>
      <c r="D8843" s="132" t="s">
        <v>1384</v>
      </c>
      <c r="E8843" s="508">
        <f t="array" ref="E8843">INDEX(E$7930:E$8796,MATCH($B8843&amp;$C8843,$B$7930:$B$8796&amp;$C$7930:$C$8796,0))</f>
        <v>8.0000000000000002E-3</v>
      </c>
      <c r="F8843" s="508">
        <f t="array" ref="F8843">INDEX(F$7930:F$8796,MATCH($B8843&amp;$C8843,$B$7930:$B$8796&amp;$C$7930:$C$8796,0))</f>
        <v>1.4E-2</v>
      </c>
      <c r="G8843" s="508">
        <f t="array" ref="G8843">INDEX(G$7930:G$8796,MATCH($B8843&amp;$C8843,$B$7930:$B$8796&amp;$C$7930:$C$8796,0))</f>
        <v>1.4E-2</v>
      </c>
      <c r="H8843" s="508">
        <f t="array" ref="H8843">INDEX(H$7930:H$8796,MATCH($B8843&amp;$C8843,$B$7930:$B$8796&amp;$C$7930:$C$8796,0))</f>
        <v>1.4E-2</v>
      </c>
      <c r="I8843" s="508">
        <f t="array" ref="I8843">INDEX(I$7930:I$8796,MATCH($B8843&amp;$C8843,$B$7930:$B$8796&amp;$C$7930:$C$8796,0))</f>
        <v>1.4E-2</v>
      </c>
      <c r="J8843" s="508">
        <f t="array" ref="J8843">INDEX(J$7930:J$8796,MATCH($B8843&amp;$C8843,$B$7930:$B$8796&amp;$C$7930:$C$8796,0))</f>
        <v>1.4E-2</v>
      </c>
      <c r="K8843" s="508">
        <f t="array" ref="K8843">INDEX(K$7930:K$8796,MATCH($B8843&amp;$C8843,$B$7930:$B$8796&amp;$C$7930:$C$8796,0))</f>
        <v>1.4E-2</v>
      </c>
      <c r="L8843" s="508">
        <f t="array" ref="L8843">INDEX(L$7930:L$8796,MATCH($B8843&amp;$C8843,$B$7930:$B$8796&amp;$C$7930:$C$8796,0))</f>
        <v>1.4E-2</v>
      </c>
      <c r="M8843" s="508">
        <f t="array" ref="M8843">INDEX(M$7930:M$8796,MATCH($B8843&amp;$C8843,$B$7930:$B$8796&amp;$C$7930:$C$8796,0))</f>
        <v>1.4E-2</v>
      </c>
      <c r="N8843" s="508">
        <f t="array" ref="N8843">INDEX(N$7930:N$8796,MATCH($B8843&amp;$C8843,$B$7930:$B$8796&amp;$C$7930:$C$8796,0))</f>
        <v>1.4E-2</v>
      </c>
      <c r="O8843" s="508">
        <f t="array" ref="O8843">INDEX(O$7930:O$8796,MATCH($B8843&amp;$C8843,$B$7930:$B$8796&amp;$C$7930:$C$8796,0))</f>
        <v>1.4E-2</v>
      </c>
      <c r="P8843" s="508">
        <f t="array" ref="P8843">INDEX(P$7930:P$8796,MATCH($B8843&amp;$C8843,$B$7930:$B$8796&amp;$C$7930:$C$8796,0))</f>
        <v>7.0000000000000001E-3</v>
      </c>
      <c r="Q8843" s="508">
        <f t="array" ref="Q8843">INDEX(Q$7930:Q$8796,MATCH($B8843&amp;$C8843,$B$7930:$B$8796&amp;$C$7930:$C$8796,0))</f>
        <v>7.0000000000000001E-3</v>
      </c>
      <c r="R8843" s="508">
        <f t="array" ref="R8843">INDEX(R$7930:R$8796,MATCH($B8843&amp;$C8843,$B$7930:$B$8796&amp;$C$7930:$C$8796,0))</f>
        <v>7.0000000000000001E-3</v>
      </c>
      <c r="S8843" s="508">
        <f t="array" ref="S8843">INDEX(S$7930:S$8796,MATCH($B8843&amp;$C8843,$B$7930:$B$8796&amp;$C$7930:$C$8796,0))</f>
        <v>7.0000000000000001E-3</v>
      </c>
      <c r="T8843" s="508">
        <f t="array" ref="T8843">INDEX(T$7930:T$8796,MATCH($B8843&amp;$C8843,$B$7930:$B$8796&amp;$C$7930:$C$8796,0))</f>
        <v>7.0000000000000001E-3</v>
      </c>
      <c r="U8843" s="508">
        <f t="array" ref="U8843">INDEX(U$7930:U$8796,MATCH($B8843&amp;$C8843,$B$7930:$B$8796&amp;$C$7930:$C$8796,0))</f>
        <v>7.0000000000000001E-3</v>
      </c>
      <c r="V8843" s="508">
        <f t="array" ref="V8843">INDEX(V$7930:V$8796,MATCH($B8843&amp;$C8843,$B$7930:$B$8796&amp;$C$7930:$C$8796,0))</f>
        <v>7.0000000000000001E-3</v>
      </c>
      <c r="W8843" s="508">
        <f t="array" ref="W8843">INDEX(W$7930:W$8796,MATCH($B8843&amp;$C8843,$B$7930:$B$8796&amp;$C$7930:$C$8796,0))</f>
        <v>7.0000000000000001E-3</v>
      </c>
      <c r="X8843" s="508">
        <f t="array" ref="X8843">INDEX(X$7930:X$8796,MATCH($B8843&amp;$C8843,$B$7930:$B$8796&amp;$C$7930:$C$8796,0))</f>
        <v>7.0000000000000001E-3</v>
      </c>
      <c r="Y8843" s="508">
        <f t="array" ref="Y8843">INDEX(Y$7930:Y$8796,MATCH($B8843&amp;$C8843,$B$7930:$B$8796&amp;$C$7930:$C$8796,0))</f>
        <v>7.0000000000000001E-3</v>
      </c>
      <c r="Z8843" s="508">
        <f t="array" ref="Z8843">INDEX(Z$7930:Z$8796,MATCH($B8843&amp;$C8843,$B$7930:$B$8796&amp;$C$7930:$C$8796,0))</f>
        <v>7.0000000000000001E-3</v>
      </c>
      <c r="AA8843" s="508">
        <f t="array" ref="AA8843">INDEX(AA$7930:AA$8796,MATCH($B8843&amp;$C8843,$B$7930:$B$8796&amp;$C$7930:$C$8796,0))</f>
        <v>7.0000000000000001E-3</v>
      </c>
      <c r="AB8843" s="508">
        <f t="array" ref="AB8843">INDEX(AB$7930:AB$8796,MATCH($B8843&amp;$C8843,$B$7930:$B$8796&amp;$C$7930:$C$8796,0))</f>
        <v>7.0000000000000001E-3</v>
      </c>
      <c r="AC8843" s="508">
        <f t="array" ref="AC8843">INDEX(AC$7930:AC$8796,MATCH($B8843&amp;$C8843,$B$7930:$B$8796&amp;$C$7930:$C$8796,0))</f>
        <v>7.0000000000000001E-3</v>
      </c>
      <c r="AD8843" s="508">
        <f t="array" ref="AD8843">INDEX(AD$7930:AD$8796,MATCH($B8843&amp;$C8843,$B$7930:$B$8796&amp;$C$7930:$C$8796,0))</f>
        <v>7.0000000000000001E-3</v>
      </c>
      <c r="AE8843" s="508">
        <f t="array" ref="AE8843">INDEX(AE$7930:AE$8796,MATCH($B8843&amp;$C8843,$B$7930:$B$8796&amp;$C$7930:$C$8796,0))</f>
        <v>7.0000000000000001E-3</v>
      </c>
      <c r="AF8843" s="508">
        <f t="array" ref="AF8843">INDEX(AF$7930:AF$8796,MATCH($B8843&amp;$C8843,$B$7930:$B$8796&amp;$C$7930:$C$8796,0))</f>
        <v>5.0000000000000001E-3</v>
      </c>
      <c r="AG8843" s="508">
        <f t="array" ref="AG8843">INDEX(AG$7930:AG$8796,MATCH($B8843&amp;$C8843,$B$7930:$B$8796&amp;$C$7930:$C$8796,0))</f>
        <v>5.0000000000000001E-3</v>
      </c>
      <c r="AH8843" s="508">
        <f t="array" ref="AH8843">INDEX(AH$7930:AH$8796,MATCH($B8843&amp;$C8843,$B$7930:$B$8796&amp;$C$7930:$C$8796,0))</f>
        <v>5.0000000000000001E-3</v>
      </c>
      <c r="AI8843" s="508">
        <f t="array" ref="AI8843">INDEX(AI$7930:AI$8796,MATCH($B8843&amp;$C8843,$B$7930:$B$8796&amp;$C$7930:$C$8796,0))</f>
        <v>5.0000000000000001E-3</v>
      </c>
      <c r="AJ8843" s="508"/>
      <c r="AK8843" s="508">
        <f t="shared" si="179"/>
        <v>4.8000000000000004E-3</v>
      </c>
      <c r="AL8843" s="508">
        <f t="shared" si="181"/>
        <v>4.6000000000000008E-3</v>
      </c>
      <c r="AM8843" s="508">
        <f t="shared" si="181"/>
        <v>4.4000000000000011E-3</v>
      </c>
      <c r="AN8843" s="508">
        <f t="shared" si="181"/>
        <v>4.2000000000000015E-3</v>
      </c>
      <c r="AO8843" s="508">
        <f t="array" ref="AO8843">INDEX('GREET Fuel Attributes'!$E$8948:$E$9083,MATCH($C8843&amp;$D8843,'GREET Fuel Attributes'!$B$8948:$B$9083&amp;'GREET Fuel Attributes'!$C$8948:$C$9083,0))/INDEX('GREET Fuel Attributes'!$D$8948:$D$9083,MATCH($C8843&amp;$D8843,'GREET Fuel Attributes'!$B$8948:$B$9083&amp;'GREET Fuel Attributes'!$C$8948:$C$9083,0))*AI8843</f>
        <v>4.0000000000000001E-3</v>
      </c>
      <c r="AP8843" s="132" t="s">
        <v>1387</v>
      </c>
      <c r="AQ8843" s="142" t="s">
        <v>300</v>
      </c>
    </row>
    <row r="8844" spans="2:43">
      <c r="B8844" s="136" t="str">
        <f t="shared" si="182"/>
        <v>ILLINOIS</v>
      </c>
      <c r="C8844" s="132" t="s">
        <v>1367</v>
      </c>
      <c r="D8844" s="132" t="s">
        <v>282</v>
      </c>
      <c r="E8844" s="508">
        <f t="array" ref="E8844">INDEX(E$1861:E$2727,MATCH($B8844&amp;$C8844,$B$1861:$B$2727&amp;$C$1861:$C$2727,0))</f>
        <v>58.860999999999997</v>
      </c>
      <c r="F8844" s="508">
        <f t="array" ref="F8844">INDEX(F$1861:F$2727,MATCH($B8844&amp;$C8844,$B$1861:$B$2727&amp;$C$1861:$C$2727,0))</f>
        <v>43.863999999999997</v>
      </c>
      <c r="G8844" s="508">
        <f t="array" ref="G8844">INDEX(G$1861:G$2727,MATCH($B8844&amp;$C8844,$B$1861:$B$2727&amp;$C$1861:$C$2727,0))</f>
        <v>35.612000000000002</v>
      </c>
      <c r="H8844" s="508">
        <f t="array" ref="H8844">INDEX(H$1861:H$2727,MATCH($B8844&amp;$C8844,$B$1861:$B$2727&amp;$C$1861:$C$2727,0))</f>
        <v>38.021999999999998</v>
      </c>
      <c r="I8844" s="508">
        <f t="array" ref="I8844">INDEX(I$1861:I$2727,MATCH($B8844&amp;$C8844,$B$1861:$B$2727&amp;$C$1861:$C$2727,0))</f>
        <v>34.402000000000001</v>
      </c>
      <c r="J8844" s="508">
        <f t="array" ref="J8844">INDEX(J$1861:J$2727,MATCH($B8844&amp;$C8844,$B$1861:$B$2727&amp;$C$1861:$C$2727,0))</f>
        <v>23.722999999999999</v>
      </c>
      <c r="K8844" s="508">
        <f t="array" ref="K8844">INDEX(K$1861:K$2727,MATCH($B8844&amp;$C8844,$B$1861:$B$2727&amp;$C$1861:$C$2727,0))</f>
        <v>22.361999999999998</v>
      </c>
      <c r="L8844" s="508">
        <f t="array" ref="L8844">INDEX(L$1861:L$2727,MATCH($B8844&amp;$C8844,$B$1861:$B$2727&amp;$C$1861:$C$2727,0))</f>
        <v>21.786000000000001</v>
      </c>
      <c r="M8844" s="508">
        <f t="array" ref="M8844">INDEX(M$1861:M$2727,MATCH($B8844&amp;$C8844,$B$1861:$B$2727&amp;$C$1861:$C$2727,0))</f>
        <v>22.148</v>
      </c>
      <c r="N8844" s="508">
        <f t="array" ref="N8844">INDEX(N$1861:N$2727,MATCH($B8844&amp;$C8844,$B$1861:$B$2727&amp;$C$1861:$C$2727,0))</f>
        <v>27.315999999999999</v>
      </c>
      <c r="O8844" s="508">
        <f t="array" ref="O8844">INDEX(O$1861:O$2727,MATCH($B8844&amp;$C8844,$B$1861:$B$2727&amp;$C$1861:$C$2727,0))</f>
        <v>23.053999999999998</v>
      </c>
      <c r="P8844" s="508">
        <f t="array" ref="P8844">INDEX(P$1861:P$2727,MATCH($B8844&amp;$C8844,$B$1861:$B$2727&amp;$C$1861:$C$2727,0))</f>
        <v>9.109</v>
      </c>
      <c r="Q8844" s="508">
        <f t="array" ref="Q8844">INDEX(Q$1861:Q$2727,MATCH($B8844&amp;$C8844,$B$1861:$B$2727&amp;$C$1861:$C$2727,0))</f>
        <v>10.861000000000001</v>
      </c>
      <c r="R8844" s="508">
        <f t="array" ref="R8844">INDEX(R$1861:R$2727,MATCH($B8844&amp;$C8844,$B$1861:$B$2727&amp;$C$1861:$C$2727,0))</f>
        <v>11.159000000000001</v>
      </c>
      <c r="S8844" s="508">
        <f t="array" ref="S8844">INDEX(S$1861:S$2727,MATCH($B8844&amp;$C8844,$B$1861:$B$2727&amp;$C$1861:$C$2727,0))</f>
        <v>10.933</v>
      </c>
      <c r="T8844" s="508">
        <f t="array" ref="T8844">INDEX(T$1861:T$2727,MATCH($B8844&amp;$C8844,$B$1861:$B$2727&amp;$C$1861:$C$2727,0))</f>
        <v>9.4749999999999996</v>
      </c>
      <c r="U8844" s="508">
        <f t="array" ref="U8844">INDEX(U$1861:U$2727,MATCH($B8844&amp;$C8844,$B$1861:$B$2727&amp;$C$1861:$C$2727,0))</f>
        <v>6.1130000000000004</v>
      </c>
      <c r="V8844" s="508">
        <f t="array" ref="V8844">INDEX(V$1861:V$2727,MATCH($B8844&amp;$C8844,$B$1861:$B$2727&amp;$C$1861:$C$2727,0))</f>
        <v>6.0259999999999998</v>
      </c>
      <c r="W8844" s="508">
        <f t="array" ref="W8844">INDEX(W$1861:W$2727,MATCH($B8844&amp;$C8844,$B$1861:$B$2727&amp;$C$1861:$C$2727,0))</f>
        <v>6.22</v>
      </c>
      <c r="X8844" s="508">
        <f t="array" ref="X8844">INDEX(X$1861:X$2727,MATCH($B8844&amp;$C8844,$B$1861:$B$2727&amp;$C$1861:$C$2727,0))</f>
        <v>5.1639999999999997</v>
      </c>
      <c r="Y8844" s="508">
        <f t="array" ref="Y8844">INDEX(Y$1861:Y$2727,MATCH($B8844&amp;$C8844,$B$1861:$B$2727&amp;$C$1861:$C$2727,0))</f>
        <v>4.29</v>
      </c>
      <c r="Z8844" s="508">
        <f t="array" ref="Z8844">INDEX(Z$1861:Z$2727,MATCH($B8844&amp;$C8844,$B$1861:$B$2727&amp;$C$1861:$C$2727,0))</f>
        <v>3.4</v>
      </c>
      <c r="AA8844" s="508">
        <f t="array" ref="AA8844">INDEX(AA$1861:AA$2727,MATCH($B8844&amp;$C8844,$B$1861:$B$2727&amp;$C$1861:$C$2727,0))</f>
        <v>2.91</v>
      </c>
      <c r="AB8844" s="508">
        <f t="array" ref="AB8844">INDEX(AB$1861:AB$2727,MATCH($B8844&amp;$C8844,$B$1861:$B$2727&amp;$C$1861:$C$2727,0))</f>
        <v>2.7149999999999999</v>
      </c>
      <c r="AC8844" s="508">
        <f t="array" ref="AC8844">INDEX(AC$1861:AC$2727,MATCH($B8844&amp;$C8844,$B$1861:$B$2727&amp;$C$1861:$C$2727,0))</f>
        <v>1.8859999999999999</v>
      </c>
      <c r="AD8844" s="508">
        <f t="array" ref="AD8844">INDEX(AD$1861:AD$2727,MATCH($B8844&amp;$C8844,$B$1861:$B$2727&amp;$C$1861:$C$2727,0))</f>
        <v>1.8680000000000001</v>
      </c>
      <c r="AE8844" s="508">
        <f t="array" ref="AE8844">INDEX(AE$1861:AE$2727,MATCH($B8844&amp;$C8844,$B$1861:$B$2727&amp;$C$1861:$C$2727,0))</f>
        <v>2.3479999999999999</v>
      </c>
      <c r="AF8844" s="508">
        <f t="array" ref="AF8844">INDEX(AF$1861:AF$2727,MATCH($B8844&amp;$C8844,$B$1861:$B$2727&amp;$C$1861:$C$2727,0))</f>
        <v>1.2330000000000001</v>
      </c>
      <c r="AG8844" s="508">
        <f t="array" ref="AG8844">INDEX(AG$1861:AG$2727,MATCH($B8844&amp;$C8844,$B$1861:$B$2727&amp;$C$1861:$C$2727,0))</f>
        <v>1.21</v>
      </c>
      <c r="AH8844" s="508">
        <f t="array" ref="AH8844">INDEX(AH$1861:AH$2727,MATCH($B8844&amp;$C8844,$B$1861:$B$2727&amp;$C$1861:$C$2727,0))</f>
        <v>1.216</v>
      </c>
      <c r="AI8844" s="508">
        <f t="array" ref="AI8844">INDEX(AI$1861:AI$2727,MATCH($B8844&amp;$C8844,$B$1861:$B$2727&amp;$C$1861:$C$2727,0))</f>
        <v>1.2490000000000001</v>
      </c>
      <c r="AJ8844" s="508"/>
      <c r="AK8844" s="508">
        <f t="shared" si="179"/>
        <v>1.1279909657320872</v>
      </c>
      <c r="AL8844" s="508">
        <f t="shared" ref="AL8844:AN8863" si="183">($AO8844-$AI8844)/5+AK8844</f>
        <v>1.0069819314641744</v>
      </c>
      <c r="AM8844" s="508">
        <f t="shared" si="183"/>
        <v>0.8859728971962616</v>
      </c>
      <c r="AN8844" s="508">
        <f t="shared" si="183"/>
        <v>0.76496386292834884</v>
      </c>
      <c r="AO8844" s="508">
        <f t="array" ref="AO8844">INDEX('GREET Fuel Attributes'!$E$8948:$E$9083,MATCH($C8844&amp;$D8844,'GREET Fuel Attributes'!$B$8948:$B$9083&amp;'GREET Fuel Attributes'!$C$8948:$C$9083,0))/INDEX('GREET Fuel Attributes'!$D$8948:$D$9083,MATCH($C8844&amp;$D8844,'GREET Fuel Attributes'!$B$8948:$B$9083&amp;'GREET Fuel Attributes'!$C$8948:$C$9083,0))*AI8844</f>
        <v>0.64395482866043618</v>
      </c>
      <c r="AP8844" s="132" t="s">
        <v>1388</v>
      </c>
      <c r="AQ8844" s="142" t="s">
        <v>300</v>
      </c>
    </row>
    <row r="8845" spans="2:43">
      <c r="B8845" s="136" t="str">
        <f t="shared" si="182"/>
        <v>ILLINOIS</v>
      </c>
      <c r="C8845" s="132" t="s">
        <v>1367</v>
      </c>
      <c r="D8845" s="132" t="s">
        <v>283</v>
      </c>
      <c r="E8845" s="508">
        <f t="array" ref="E8845">INDEX(E$2728:E$3594,MATCH($B8845&amp;$C8845,$B$2728:$B$3594&amp;$C$2728:$C$3594,0))</f>
        <v>2.9540000000000002</v>
      </c>
      <c r="F8845" s="508">
        <f t="array" ref="F8845">INDEX(F$2728:F$3594,MATCH($B8845&amp;$C8845,$B$2728:$B$3594&amp;$C$2728:$C$3594,0))</f>
        <v>5.8520000000000003</v>
      </c>
      <c r="G8845" s="508">
        <f t="array" ref="G8845">INDEX(G$2728:G$3594,MATCH($B8845&amp;$C8845,$B$2728:$B$3594&amp;$C$2728:$C$3594,0))</f>
        <v>4.734</v>
      </c>
      <c r="H8845" s="508">
        <f t="array" ref="H8845">INDEX(H$2728:H$3594,MATCH($B8845&amp;$C8845,$B$2728:$B$3594&amp;$C$2728:$C$3594,0))</f>
        <v>5.0529999999999999</v>
      </c>
      <c r="I8845" s="508">
        <f t="array" ref="I8845">INDEX(I$2728:I$3594,MATCH($B8845&amp;$C8845,$B$2728:$B$3594&amp;$C$2728:$C$3594,0))</f>
        <v>4.5739999999999998</v>
      </c>
      <c r="J8845" s="508">
        <f t="array" ref="J8845">INDEX(J$2728:J$3594,MATCH($B8845&amp;$C8845,$B$2728:$B$3594&amp;$C$2728:$C$3594,0))</f>
        <v>3.827</v>
      </c>
      <c r="K8845" s="508">
        <f t="array" ref="K8845">INDEX(K$2728:K$3594,MATCH($B8845&amp;$C8845,$B$2728:$B$3594&amp;$C$2728:$C$3594,0))</f>
        <v>3.605</v>
      </c>
      <c r="L8845" s="508">
        <f t="array" ref="L8845">INDEX(L$2728:L$3594,MATCH($B8845&amp;$C8845,$B$2728:$B$3594&amp;$C$2728:$C$3594,0))</f>
        <v>3.5169999999999999</v>
      </c>
      <c r="M8845" s="508">
        <f t="array" ref="M8845">INDEX(M$2728:M$3594,MATCH($B8845&amp;$C8845,$B$2728:$B$3594&amp;$C$2728:$C$3594,0))</f>
        <v>3.5739999999999998</v>
      </c>
      <c r="N8845" s="508">
        <f t="array" ref="N8845">INDEX(N$2728:N$3594,MATCH($B8845&amp;$C8845,$B$2728:$B$3594&amp;$C$2728:$C$3594,0))</f>
        <v>4.2809999999999997</v>
      </c>
      <c r="O8845" s="508">
        <f t="array" ref="O8845">INDEX(O$2728:O$3594,MATCH($B8845&amp;$C8845,$B$2728:$B$3594&amp;$C$2728:$C$3594,0))</f>
        <v>3.6539999999999999</v>
      </c>
      <c r="P8845" s="508">
        <f t="array" ref="P8845">INDEX(P$2728:P$3594,MATCH($B8845&amp;$C8845,$B$2728:$B$3594&amp;$C$2728:$C$3594,0))</f>
        <v>1.762</v>
      </c>
      <c r="Q8845" s="508">
        <f t="array" ref="Q8845">INDEX(Q$2728:Q$3594,MATCH($B8845&amp;$C8845,$B$2728:$B$3594&amp;$C$2728:$C$3594,0))</f>
        <v>1.867</v>
      </c>
      <c r="R8845" s="508">
        <f t="array" ref="R8845">INDEX(R$2728:R$3594,MATCH($B8845&amp;$C8845,$B$2728:$B$3594&amp;$C$2728:$C$3594,0))</f>
        <v>1.9690000000000001</v>
      </c>
      <c r="S8845" s="508">
        <f t="array" ref="S8845">INDEX(S$2728:S$3594,MATCH($B8845&amp;$C8845,$B$2728:$B$3594&amp;$C$2728:$C$3594,0))</f>
        <v>1.925</v>
      </c>
      <c r="T8845" s="508">
        <f t="array" ref="T8845">INDEX(T$2728:T$3594,MATCH($B8845&amp;$C8845,$B$2728:$B$3594&amp;$C$2728:$C$3594,0))</f>
        <v>1.681</v>
      </c>
      <c r="U8845" s="508">
        <f t="array" ref="U8845">INDEX(U$2728:U$3594,MATCH($B8845&amp;$C8845,$B$2728:$B$3594&amp;$C$2728:$C$3594,0))</f>
        <v>1.0760000000000001</v>
      </c>
      <c r="V8845" s="508">
        <f t="array" ref="V8845">INDEX(V$2728:V$3594,MATCH($B8845&amp;$C8845,$B$2728:$B$3594&amp;$C$2728:$C$3594,0))</f>
        <v>1.0649999999999999</v>
      </c>
      <c r="W8845" s="508">
        <f t="array" ref="W8845">INDEX(W$2728:W$3594,MATCH($B8845&amp;$C8845,$B$2728:$B$3594&amp;$C$2728:$C$3594,0))</f>
        <v>1.1240000000000001</v>
      </c>
      <c r="X8845" s="508">
        <f t="array" ref="X8845">INDEX(X$2728:X$3594,MATCH($B8845&amp;$C8845,$B$2728:$B$3594&amp;$C$2728:$C$3594,0))</f>
        <v>0.67900000000000005</v>
      </c>
      <c r="Y8845" s="508">
        <f t="array" ref="Y8845">INDEX(Y$2728:Y$3594,MATCH($B8845&amp;$C8845,$B$2728:$B$3594&amp;$C$2728:$C$3594,0))</f>
        <v>0.48099999999999998</v>
      </c>
      <c r="Z8845" s="508">
        <f t="array" ref="Z8845">INDEX(Z$2728:Z$3594,MATCH($B8845&amp;$C8845,$B$2728:$B$3594&amp;$C$2728:$C$3594,0))</f>
        <v>0.33</v>
      </c>
      <c r="AA8845" s="508">
        <f t="array" ref="AA8845">INDEX(AA$2728:AA$3594,MATCH($B8845&amp;$C8845,$B$2728:$B$3594&amp;$C$2728:$C$3594,0))</f>
        <v>0.25600000000000001</v>
      </c>
      <c r="AB8845" s="508">
        <f t="array" ref="AB8845">INDEX(AB$2728:AB$3594,MATCH($B8845&amp;$C8845,$B$2728:$B$3594&amp;$C$2728:$C$3594,0))</f>
        <v>0.19800000000000001</v>
      </c>
      <c r="AC8845" s="508">
        <f t="array" ref="AC8845">INDEX(AC$2728:AC$3594,MATCH($B8845&amp;$C8845,$B$2728:$B$3594&amp;$C$2728:$C$3594,0))</f>
        <v>0.121</v>
      </c>
      <c r="AD8845" s="508">
        <f t="array" ref="AD8845">INDEX(AD$2728:AD$3594,MATCH($B8845&amp;$C8845,$B$2728:$B$3594&amp;$C$2728:$C$3594,0))</f>
        <v>0.112</v>
      </c>
      <c r="AE8845" s="508">
        <f t="array" ref="AE8845">INDEX(AE$2728:AE$3594,MATCH($B8845&amp;$C8845,$B$2728:$B$3594&amp;$C$2728:$C$3594,0))</f>
        <v>0.14399999999999999</v>
      </c>
      <c r="AF8845" s="508">
        <f t="array" ref="AF8845">INDEX(AF$2728:AF$3594,MATCH($B8845&amp;$C8845,$B$2728:$B$3594&amp;$C$2728:$C$3594,0))</f>
        <v>8.6999999999999994E-2</v>
      </c>
      <c r="AG8845" s="508">
        <f t="array" ref="AG8845">INDEX(AG$2728:AG$3594,MATCH($B8845&amp;$C8845,$B$2728:$B$3594&amp;$C$2728:$C$3594,0))</f>
        <v>8.7999999999999995E-2</v>
      </c>
      <c r="AH8845" s="508">
        <f t="array" ref="AH8845">INDEX(AH$2728:AH$3594,MATCH($B8845&amp;$C8845,$B$2728:$B$3594&amp;$C$2728:$C$3594,0))</f>
        <v>8.7999999999999995E-2</v>
      </c>
      <c r="AI8845" s="508">
        <f t="array" ref="AI8845">INDEX(AI$2728:AI$3594,MATCH($B8845&amp;$C8845,$B$2728:$B$3594&amp;$C$2728:$C$3594,0))</f>
        <v>9.0999999999999998E-2</v>
      </c>
      <c r="AJ8845" s="508"/>
      <c r="AK8845" s="508">
        <f t="shared" si="179"/>
        <v>8.4277477477477478E-2</v>
      </c>
      <c r="AL8845" s="508">
        <f t="shared" si="183"/>
        <v>7.7554954954954958E-2</v>
      </c>
      <c r="AM8845" s="508">
        <f t="shared" si="183"/>
        <v>7.0832432432432438E-2</v>
      </c>
      <c r="AN8845" s="508">
        <f t="shared" si="183"/>
        <v>6.4109909909909918E-2</v>
      </c>
      <c r="AO8845" s="508">
        <f t="array" ref="AO8845">INDEX('GREET Fuel Attributes'!$E$8948:$E$9083,MATCH($C8845&amp;$D8845,'GREET Fuel Attributes'!$B$8948:$B$9083&amp;'GREET Fuel Attributes'!$C$8948:$C$9083,0))/INDEX('GREET Fuel Attributes'!$D$8948:$D$9083,MATCH($C8845&amp;$D8845,'GREET Fuel Attributes'!$B$8948:$B$9083&amp;'GREET Fuel Attributes'!$C$8948:$C$9083,0))*AI8845</f>
        <v>5.7387387387387384E-2</v>
      </c>
      <c r="AP8845" s="132" t="s">
        <v>1388</v>
      </c>
      <c r="AQ8845" s="142" t="s">
        <v>300</v>
      </c>
    </row>
    <row r="8846" spans="2:43">
      <c r="B8846" s="136" t="str">
        <f t="shared" si="182"/>
        <v>ILLINOIS</v>
      </c>
      <c r="C8846" s="132" t="s">
        <v>1367</v>
      </c>
      <c r="D8846" s="132" t="s">
        <v>284</v>
      </c>
      <c r="E8846" s="508">
        <f t="array" ref="E8846">INDEX(E$3595:E$4461,MATCH($B8846&amp;$C8846,$B$3595:$B$4461&amp;$C$3595:$C$4461,0))</f>
        <v>6.4000000000000001E-2</v>
      </c>
      <c r="F8846" s="508">
        <f t="array" ref="F8846">INDEX(F$3595:F$4461,MATCH($B8846&amp;$C8846,$B$3595:$B$4461&amp;$C$3595:$C$4461,0))</f>
        <v>0.111</v>
      </c>
      <c r="G8846" s="508">
        <f t="array" ref="G8846">INDEX(G$3595:G$4461,MATCH($B8846&amp;$C8846,$B$3595:$B$4461&amp;$C$3595:$C$4461,0))</f>
        <v>8.8999999999999996E-2</v>
      </c>
      <c r="H8846" s="508">
        <f t="array" ref="H8846">INDEX(H$3595:H$4461,MATCH($B8846&amp;$C8846,$B$3595:$B$4461&amp;$C$3595:$C$4461,0))</f>
        <v>7.9000000000000001E-2</v>
      </c>
      <c r="I8846" s="508">
        <f t="array" ref="I8846">INDEX(I$3595:I$4461,MATCH($B8846&amp;$C8846,$B$3595:$B$4461&amp;$C$3595:$C$4461,0))</f>
        <v>7.1999999999999995E-2</v>
      </c>
      <c r="J8846" s="508">
        <f t="array" ref="J8846">INDEX(J$3595:J$4461,MATCH($B8846&amp;$C8846,$B$3595:$B$4461&amp;$C$3595:$C$4461,0))</f>
        <v>5.7000000000000002E-2</v>
      </c>
      <c r="K8846" s="508">
        <f t="array" ref="K8846">INDEX(K$3595:K$4461,MATCH($B8846&amp;$C8846,$B$3595:$B$4461&amp;$C$3595:$C$4461,0))</f>
        <v>3.5999999999999997E-2</v>
      </c>
      <c r="L8846" s="508">
        <f t="array" ref="L8846">INDEX(L$3595:L$4461,MATCH($B8846&amp;$C8846,$B$3595:$B$4461&amp;$C$3595:$C$4461,0))</f>
        <v>3.5000000000000003E-2</v>
      </c>
      <c r="M8846" s="508">
        <f t="array" ref="M8846">INDEX(M$3595:M$4461,MATCH($B8846&amp;$C8846,$B$3595:$B$4461&amp;$C$3595:$C$4461,0))</f>
        <v>3.5000000000000003E-2</v>
      </c>
      <c r="N8846" s="508">
        <f t="array" ref="N8846">INDEX(N$3595:N$4461,MATCH($B8846&amp;$C8846,$B$3595:$B$4461&amp;$C$3595:$C$4461,0))</f>
        <v>4.1000000000000002E-2</v>
      </c>
      <c r="O8846" s="508">
        <f t="array" ref="O8846">INDEX(O$3595:O$4461,MATCH($B8846&amp;$C8846,$B$3595:$B$4461&amp;$C$3595:$C$4461,0))</f>
        <v>3.1E-2</v>
      </c>
      <c r="P8846" s="508">
        <f t="array" ref="P8846">INDEX(P$3595:P$4461,MATCH($B8846&amp;$C8846,$B$3595:$B$4461&amp;$C$3595:$C$4461,0))</f>
        <v>2.3E-2</v>
      </c>
      <c r="Q8846" s="508">
        <f t="array" ref="Q8846">INDEX(Q$3595:Q$4461,MATCH($B8846&amp;$C8846,$B$3595:$B$4461&amp;$C$3595:$C$4461,0))</f>
        <v>2.5000000000000001E-2</v>
      </c>
      <c r="R8846" s="508">
        <f t="array" ref="R8846">INDEX(R$3595:R$4461,MATCH($B8846&amp;$C8846,$B$3595:$B$4461&amp;$C$3595:$C$4461,0))</f>
        <v>2.4E-2</v>
      </c>
      <c r="S8846" s="508">
        <f t="array" ref="S8846">INDEX(S$3595:S$4461,MATCH($B8846&amp;$C8846,$B$3595:$B$4461&amp;$C$3595:$C$4461,0))</f>
        <v>2.1999999999999999E-2</v>
      </c>
      <c r="T8846" s="508">
        <f t="array" ref="T8846">INDEX(T$3595:T$4461,MATCH($B8846&amp;$C8846,$B$3595:$B$4461&amp;$C$3595:$C$4461,0))</f>
        <v>1.9E-2</v>
      </c>
      <c r="U8846" s="508">
        <f t="array" ref="U8846">INDEX(U$3595:U$4461,MATCH($B8846&amp;$C8846,$B$3595:$B$4461&amp;$C$3595:$C$4461,0))</f>
        <v>1.0999999999999999E-2</v>
      </c>
      <c r="V8846" s="508">
        <f t="array" ref="V8846">INDEX(V$3595:V$4461,MATCH($B8846&amp;$C8846,$B$3595:$B$4461&amp;$C$3595:$C$4461,0))</f>
        <v>0.01</v>
      </c>
      <c r="W8846" s="508">
        <f t="array" ref="W8846">INDEX(W$3595:W$4461,MATCH($B8846&amp;$C8846,$B$3595:$B$4461&amp;$C$3595:$C$4461,0))</f>
        <v>0.01</v>
      </c>
      <c r="X8846" s="508">
        <f t="array" ref="X8846">INDEX(X$3595:X$4461,MATCH($B8846&amp;$C8846,$B$3595:$B$4461&amp;$C$3595:$C$4461,0))</f>
        <v>8.0000000000000002E-3</v>
      </c>
      <c r="Y8846" s="508">
        <f t="array" ref="Y8846">INDEX(Y$3595:Y$4461,MATCH($B8846&amp;$C8846,$B$3595:$B$4461&amp;$C$3595:$C$4461,0))</f>
        <v>7.0000000000000001E-3</v>
      </c>
      <c r="Z8846" s="508">
        <f t="array" ref="Z8846">INDEX(Z$3595:Z$4461,MATCH($B8846&amp;$C8846,$B$3595:$B$4461&amp;$C$3595:$C$4461,0))</f>
        <v>6.0000000000000001E-3</v>
      </c>
      <c r="AA8846" s="508">
        <f t="array" ref="AA8846">INDEX(AA$3595:AA$4461,MATCH($B8846&amp;$C8846,$B$3595:$B$4461&amp;$C$3595:$C$4461,0))</f>
        <v>5.0000000000000001E-3</v>
      </c>
      <c r="AB8846" s="508">
        <f t="array" ref="AB8846">INDEX(AB$3595:AB$4461,MATCH($B8846&amp;$C8846,$B$3595:$B$4461&amp;$C$3595:$C$4461,0))</f>
        <v>5.0000000000000001E-3</v>
      </c>
      <c r="AC8846" s="508">
        <f t="array" ref="AC8846">INDEX(AC$3595:AC$4461,MATCH($B8846&amp;$C8846,$B$3595:$B$4461&amp;$C$3595:$C$4461,0))</f>
        <v>4.0000000000000001E-3</v>
      </c>
      <c r="AD8846" s="508">
        <f t="array" ref="AD8846">INDEX(AD$3595:AD$4461,MATCH($B8846&amp;$C8846,$B$3595:$B$4461&amp;$C$3595:$C$4461,0))</f>
        <v>4.0000000000000001E-3</v>
      </c>
      <c r="AE8846" s="508">
        <f t="array" ref="AE8846">INDEX(AE$3595:AE$4461,MATCH($B8846&amp;$C8846,$B$3595:$B$4461&amp;$C$3595:$C$4461,0))</f>
        <v>5.0000000000000001E-3</v>
      </c>
      <c r="AF8846" s="508">
        <f t="array" ref="AF8846">INDEX(AF$3595:AF$4461,MATCH($B8846&amp;$C8846,$B$3595:$B$4461&amp;$C$3595:$C$4461,0))</f>
        <v>3.0000000000000001E-3</v>
      </c>
      <c r="AG8846" s="508">
        <f t="array" ref="AG8846">INDEX(AG$3595:AG$4461,MATCH($B8846&amp;$C8846,$B$3595:$B$4461&amp;$C$3595:$C$4461,0))</f>
        <v>3.0000000000000001E-3</v>
      </c>
      <c r="AH8846" s="508">
        <f t="array" ref="AH8846">INDEX(AH$3595:AH$4461,MATCH($B8846&amp;$C8846,$B$3595:$B$4461&amp;$C$3595:$C$4461,0))</f>
        <v>3.0000000000000001E-3</v>
      </c>
      <c r="AI8846" s="508">
        <f t="array" ref="AI8846">INDEX(AI$3595:AI$4461,MATCH($B8846&amp;$C8846,$B$3595:$B$4461&amp;$C$3595:$C$4461,0))</f>
        <v>3.0000000000000001E-3</v>
      </c>
      <c r="AJ8846" s="508"/>
      <c r="AK8846" s="508">
        <f t="shared" si="179"/>
        <v>2.7599999999999999E-3</v>
      </c>
      <c r="AL8846" s="508">
        <f t="shared" si="183"/>
        <v>2.5199999999999997E-3</v>
      </c>
      <c r="AM8846" s="508">
        <f t="shared" si="183"/>
        <v>2.2799999999999995E-3</v>
      </c>
      <c r="AN8846" s="508">
        <f t="shared" si="183"/>
        <v>2.0399999999999993E-3</v>
      </c>
      <c r="AO8846" s="508">
        <f t="array" ref="AO8846">INDEX('GREET Fuel Attributes'!$E$8948:$E$9083,MATCH($C8846&amp;$D8846,'GREET Fuel Attributes'!$B$8948:$B$9083&amp;'GREET Fuel Attributes'!$C$8948:$C$9083,0))/INDEX('GREET Fuel Attributes'!$D$8948:$D$9083,MATCH($C8846&amp;$D8846,'GREET Fuel Attributes'!$B$8948:$B$9083&amp;'GREET Fuel Attributes'!$C$8948:$C$9083,0))*AI8846</f>
        <v>1.8E-3</v>
      </c>
      <c r="AP8846" s="132" t="s">
        <v>1388</v>
      </c>
      <c r="AQ8846" s="142" t="s">
        <v>300</v>
      </c>
    </row>
    <row r="8847" spans="2:43">
      <c r="B8847" s="136" t="str">
        <f t="shared" si="182"/>
        <v>ILLINOIS</v>
      </c>
      <c r="C8847" s="132" t="s">
        <v>1367</v>
      </c>
      <c r="D8847" s="132" t="s">
        <v>1379</v>
      </c>
      <c r="E8847" s="508">
        <f t="array" ref="E8847">INDEX(E$4462:E$5328,MATCH($B8847&amp;$C8847,$B$4462:$B$5328&amp;$C$4462:$C$5328,0))</f>
        <v>3.5000000000000003E-2</v>
      </c>
      <c r="F8847" s="508">
        <f t="array" ref="F8847">INDEX(F$4462:F$5328,MATCH($B8847&amp;$C8847,$B$4462:$B$5328&amp;$C$4462:$C$5328,0))</f>
        <v>3.5000000000000003E-2</v>
      </c>
      <c r="G8847" s="508">
        <f t="array" ref="G8847">INDEX(G$4462:G$5328,MATCH($B8847&amp;$C8847,$B$4462:$B$5328&amp;$C$4462:$C$5328,0))</f>
        <v>3.5000000000000003E-2</v>
      </c>
      <c r="H8847" s="508">
        <f t="array" ref="H8847">INDEX(H$4462:H$5328,MATCH($B8847&amp;$C8847,$B$4462:$B$5328&amp;$C$4462:$C$5328,0))</f>
        <v>3.5000000000000003E-2</v>
      </c>
      <c r="I8847" s="508">
        <f t="array" ref="I8847">INDEX(I$4462:I$5328,MATCH($B8847&amp;$C8847,$B$4462:$B$5328&amp;$C$4462:$C$5328,0))</f>
        <v>3.5000000000000003E-2</v>
      </c>
      <c r="J8847" s="508">
        <f t="array" ref="J8847">INDEX(J$4462:J$5328,MATCH($B8847&amp;$C8847,$B$4462:$B$5328&amp;$C$4462:$C$5328,0))</f>
        <v>3.5000000000000003E-2</v>
      </c>
      <c r="K8847" s="508">
        <f t="array" ref="K8847">INDEX(K$4462:K$5328,MATCH($B8847&amp;$C8847,$B$4462:$B$5328&amp;$C$4462:$C$5328,0))</f>
        <v>3.5000000000000003E-2</v>
      </c>
      <c r="L8847" s="508">
        <f t="array" ref="L8847">INDEX(L$4462:L$5328,MATCH($B8847&amp;$C8847,$B$4462:$B$5328&amp;$C$4462:$C$5328,0))</f>
        <v>3.5000000000000003E-2</v>
      </c>
      <c r="M8847" s="508">
        <f t="array" ref="M8847">INDEX(M$4462:M$5328,MATCH($B8847&amp;$C8847,$B$4462:$B$5328&amp;$C$4462:$C$5328,0))</f>
        <v>3.5000000000000003E-2</v>
      </c>
      <c r="N8847" s="508">
        <f t="array" ref="N8847">INDEX(N$4462:N$5328,MATCH($B8847&amp;$C8847,$B$4462:$B$5328&amp;$C$4462:$C$5328,0))</f>
        <v>3.5000000000000003E-2</v>
      </c>
      <c r="O8847" s="508">
        <f t="array" ref="O8847">INDEX(O$4462:O$5328,MATCH($B8847&amp;$C8847,$B$4462:$B$5328&amp;$C$4462:$C$5328,0))</f>
        <v>3.5000000000000003E-2</v>
      </c>
      <c r="P8847" s="508">
        <f t="array" ref="P8847">INDEX(P$4462:P$5328,MATCH($B8847&amp;$C8847,$B$4462:$B$5328&amp;$C$4462:$C$5328,0))</f>
        <v>3.5000000000000003E-2</v>
      </c>
      <c r="Q8847" s="508">
        <f t="array" ref="Q8847">INDEX(Q$4462:Q$5328,MATCH($B8847&amp;$C8847,$B$4462:$B$5328&amp;$C$4462:$C$5328,0))</f>
        <v>3.5000000000000003E-2</v>
      </c>
      <c r="R8847" s="508">
        <f t="array" ref="R8847">INDEX(R$4462:R$5328,MATCH($B8847&amp;$C8847,$B$4462:$B$5328&amp;$C$4462:$C$5328,0))</f>
        <v>3.5000000000000003E-2</v>
      </c>
      <c r="S8847" s="508">
        <f t="array" ref="S8847">INDEX(S$4462:S$5328,MATCH($B8847&amp;$C8847,$B$4462:$B$5328&amp;$C$4462:$C$5328,0))</f>
        <v>3.5000000000000003E-2</v>
      </c>
      <c r="T8847" s="508">
        <f t="array" ref="T8847">INDEX(T$4462:T$5328,MATCH($B8847&amp;$C8847,$B$4462:$B$5328&amp;$C$4462:$C$5328,0))</f>
        <v>3.5000000000000003E-2</v>
      </c>
      <c r="U8847" s="508">
        <f t="array" ref="U8847">INDEX(U$4462:U$5328,MATCH($B8847&amp;$C8847,$B$4462:$B$5328&amp;$C$4462:$C$5328,0))</f>
        <v>3.5000000000000003E-2</v>
      </c>
      <c r="V8847" s="508">
        <f t="array" ref="V8847">INDEX(V$4462:V$5328,MATCH($B8847&amp;$C8847,$B$4462:$B$5328&amp;$C$4462:$C$5328,0))</f>
        <v>3.5000000000000003E-2</v>
      </c>
      <c r="W8847" s="508">
        <f t="array" ref="W8847">INDEX(W$4462:W$5328,MATCH($B8847&amp;$C8847,$B$4462:$B$5328&amp;$C$4462:$C$5328,0))</f>
        <v>3.5000000000000003E-2</v>
      </c>
      <c r="X8847" s="508">
        <f t="array" ref="X8847">INDEX(X$4462:X$5328,MATCH($B8847&amp;$C8847,$B$4462:$B$5328&amp;$C$4462:$C$5328,0))</f>
        <v>3.5000000000000003E-2</v>
      </c>
      <c r="Y8847" s="508">
        <f t="array" ref="Y8847">INDEX(Y$4462:Y$5328,MATCH($B8847&amp;$C8847,$B$4462:$B$5328&amp;$C$4462:$C$5328,0))</f>
        <v>3.5000000000000003E-2</v>
      </c>
      <c r="Z8847" s="508">
        <f t="array" ref="Z8847">INDEX(Z$4462:Z$5328,MATCH($B8847&amp;$C8847,$B$4462:$B$5328&amp;$C$4462:$C$5328,0))</f>
        <v>3.5000000000000003E-2</v>
      </c>
      <c r="AA8847" s="508">
        <f t="array" ref="AA8847">INDEX(AA$4462:AA$5328,MATCH($B8847&amp;$C8847,$B$4462:$B$5328&amp;$C$4462:$C$5328,0))</f>
        <v>3.5000000000000003E-2</v>
      </c>
      <c r="AB8847" s="508">
        <f t="array" ref="AB8847">INDEX(AB$4462:AB$5328,MATCH($B8847&amp;$C8847,$B$4462:$B$5328&amp;$C$4462:$C$5328,0))</f>
        <v>3.5000000000000003E-2</v>
      </c>
      <c r="AC8847" s="508">
        <f t="array" ref="AC8847">INDEX(AC$4462:AC$5328,MATCH($B8847&amp;$C8847,$B$4462:$B$5328&amp;$C$4462:$C$5328,0))</f>
        <v>3.5000000000000003E-2</v>
      </c>
      <c r="AD8847" s="508">
        <f t="array" ref="AD8847">INDEX(AD$4462:AD$5328,MATCH($B8847&amp;$C8847,$B$4462:$B$5328&amp;$C$4462:$C$5328,0))</f>
        <v>3.5000000000000003E-2</v>
      </c>
      <c r="AE8847" s="508">
        <f t="array" ref="AE8847">INDEX(AE$4462:AE$5328,MATCH($B8847&amp;$C8847,$B$4462:$B$5328&amp;$C$4462:$C$5328,0))</f>
        <v>3.5000000000000003E-2</v>
      </c>
      <c r="AF8847" s="508">
        <f t="array" ref="AF8847">INDEX(AF$4462:AF$5328,MATCH($B8847&amp;$C8847,$B$4462:$B$5328&amp;$C$4462:$C$5328,0))</f>
        <v>3.5000000000000003E-2</v>
      </c>
      <c r="AG8847" s="508">
        <f t="array" ref="AG8847">INDEX(AG$4462:AG$5328,MATCH($B8847&amp;$C8847,$B$4462:$B$5328&amp;$C$4462:$C$5328,0))</f>
        <v>3.5000000000000003E-2</v>
      </c>
      <c r="AH8847" s="508">
        <f t="array" ref="AH8847">INDEX(AH$4462:AH$5328,MATCH($B8847&amp;$C8847,$B$4462:$B$5328&amp;$C$4462:$C$5328,0))</f>
        <v>3.5000000000000003E-2</v>
      </c>
      <c r="AI8847" s="508">
        <f t="array" ref="AI8847">INDEX(AI$4462:AI$5328,MATCH($B8847&amp;$C8847,$B$4462:$B$5328&amp;$C$4462:$C$5328,0))</f>
        <v>3.5000000000000003E-2</v>
      </c>
      <c r="AJ8847" s="508"/>
      <c r="AK8847" s="508">
        <f t="shared" si="179"/>
        <v>3.5000000000000003E-2</v>
      </c>
      <c r="AL8847" s="508">
        <f t="shared" si="183"/>
        <v>3.5000000000000003E-2</v>
      </c>
      <c r="AM8847" s="508">
        <f t="shared" si="183"/>
        <v>3.5000000000000003E-2</v>
      </c>
      <c r="AN8847" s="508">
        <f t="shared" si="183"/>
        <v>3.5000000000000003E-2</v>
      </c>
      <c r="AO8847" s="508">
        <f t="array" ref="AO8847">INDEX('GREET Fuel Attributes'!$E$8948:$E$9083,MATCH($C8847&amp;$D8847,'GREET Fuel Attributes'!$B$8948:$B$9083&amp;'GREET Fuel Attributes'!$C$8948:$C$9083,0))/INDEX('GREET Fuel Attributes'!$D$8948:$D$9083,MATCH($C8847&amp;$D8847,'GREET Fuel Attributes'!$B$8948:$B$9083&amp;'GREET Fuel Attributes'!$C$8948:$C$9083,0))*AI8847</f>
        <v>3.5000000000000003E-2</v>
      </c>
      <c r="AP8847" s="132" t="s">
        <v>1388</v>
      </c>
      <c r="AQ8847" s="142" t="s">
        <v>300</v>
      </c>
    </row>
    <row r="8848" spans="2:43">
      <c r="B8848" s="136" t="str">
        <f t="shared" si="182"/>
        <v>ILLINOIS</v>
      </c>
      <c r="C8848" s="132" t="s">
        <v>1367</v>
      </c>
      <c r="D8848" s="132" t="s">
        <v>285</v>
      </c>
      <c r="E8848" s="508">
        <f t="array" ref="E8848">INDEX(E$5329:E$6195,MATCH($B8848&amp;$C8848,$B$5329:$B$6195&amp;$C$5329:$C$6195,0))</f>
        <v>5.6000000000000001E-2</v>
      </c>
      <c r="F8848" s="508">
        <f t="array" ref="F8848">INDEX(F$5329:F$6195,MATCH($B8848&amp;$C8848,$B$5329:$B$6195&amp;$C$5329:$C$6195,0))</f>
        <v>9.8000000000000004E-2</v>
      </c>
      <c r="G8848" s="508">
        <f t="array" ref="G8848">INDEX(G$5329:G$6195,MATCH($B8848&amp;$C8848,$B$5329:$B$6195&amp;$C$5329:$C$6195,0))</f>
        <v>7.8E-2</v>
      </c>
      <c r="H8848" s="508">
        <f t="array" ref="H8848">INDEX(H$5329:H$6195,MATCH($B8848&amp;$C8848,$B$5329:$B$6195&amp;$C$5329:$C$6195,0))</f>
        <v>7.0000000000000007E-2</v>
      </c>
      <c r="I8848" s="508">
        <f t="array" ref="I8848">INDEX(I$5329:I$6195,MATCH($B8848&amp;$C8848,$B$5329:$B$6195&amp;$C$5329:$C$6195,0))</f>
        <v>6.3E-2</v>
      </c>
      <c r="J8848" s="508">
        <f t="array" ref="J8848">INDEX(J$5329:J$6195,MATCH($B8848&amp;$C8848,$B$5329:$B$6195&amp;$C$5329:$C$6195,0))</f>
        <v>5.0999999999999997E-2</v>
      </c>
      <c r="K8848" s="508">
        <f t="array" ref="K8848">INDEX(K$5329:K$6195,MATCH($B8848&amp;$C8848,$B$5329:$B$6195&amp;$C$5329:$C$6195,0))</f>
        <v>3.2000000000000001E-2</v>
      </c>
      <c r="L8848" s="508">
        <f t="array" ref="L8848">INDEX(L$5329:L$6195,MATCH($B8848&amp;$C8848,$B$5329:$B$6195&amp;$C$5329:$C$6195,0))</f>
        <v>3.1E-2</v>
      </c>
      <c r="M8848" s="508">
        <f t="array" ref="M8848">INDEX(M$5329:M$6195,MATCH($B8848&amp;$C8848,$B$5329:$B$6195&amp;$C$5329:$C$6195,0))</f>
        <v>3.1E-2</v>
      </c>
      <c r="N8848" s="508">
        <f t="array" ref="N8848">INDEX(N$5329:N$6195,MATCH($B8848&amp;$C8848,$B$5329:$B$6195&amp;$C$5329:$C$6195,0))</f>
        <v>3.5999999999999997E-2</v>
      </c>
      <c r="O8848" s="508">
        <f t="array" ref="O8848">INDEX(O$5329:O$6195,MATCH($B8848&amp;$C8848,$B$5329:$B$6195&amp;$C$5329:$C$6195,0))</f>
        <v>2.7E-2</v>
      </c>
      <c r="P8848" s="508">
        <f t="array" ref="P8848">INDEX(P$5329:P$6195,MATCH($B8848&amp;$C8848,$B$5329:$B$6195&amp;$C$5329:$C$6195,0))</f>
        <v>2.1000000000000001E-2</v>
      </c>
      <c r="Q8848" s="508">
        <f t="array" ref="Q8848">INDEX(Q$5329:Q$6195,MATCH($B8848&amp;$C8848,$B$5329:$B$6195&amp;$C$5329:$C$6195,0))</f>
        <v>2.1999999999999999E-2</v>
      </c>
      <c r="R8848" s="508">
        <f t="array" ref="R8848">INDEX(R$5329:R$6195,MATCH($B8848&amp;$C8848,$B$5329:$B$6195&amp;$C$5329:$C$6195,0))</f>
        <v>2.1000000000000001E-2</v>
      </c>
      <c r="S8848" s="508">
        <f t="array" ref="S8848">INDEX(S$5329:S$6195,MATCH($B8848&amp;$C8848,$B$5329:$B$6195&amp;$C$5329:$C$6195,0))</f>
        <v>0.02</v>
      </c>
      <c r="T8848" s="508">
        <f t="array" ref="T8848">INDEX(T$5329:T$6195,MATCH($B8848&amp;$C8848,$B$5329:$B$6195&amp;$C$5329:$C$6195,0))</f>
        <v>1.6E-2</v>
      </c>
      <c r="U8848" s="508">
        <f t="array" ref="U8848">INDEX(U$5329:U$6195,MATCH($B8848&amp;$C8848,$B$5329:$B$6195&amp;$C$5329:$C$6195,0))</f>
        <v>0.01</v>
      </c>
      <c r="V8848" s="508">
        <f t="array" ref="V8848">INDEX(V$5329:V$6195,MATCH($B8848&amp;$C8848,$B$5329:$B$6195&amp;$C$5329:$C$6195,0))</f>
        <v>8.9999999999999993E-3</v>
      </c>
      <c r="W8848" s="508">
        <f t="array" ref="W8848">INDEX(W$5329:W$6195,MATCH($B8848&amp;$C8848,$B$5329:$B$6195&amp;$C$5329:$C$6195,0))</f>
        <v>8.9999999999999993E-3</v>
      </c>
      <c r="X8848" s="508">
        <f t="array" ref="X8848">INDEX(X$5329:X$6195,MATCH($B8848&amp;$C8848,$B$5329:$B$6195&amp;$C$5329:$C$6195,0))</f>
        <v>7.0000000000000001E-3</v>
      </c>
      <c r="Y8848" s="508">
        <f t="array" ref="Y8848">INDEX(Y$5329:Y$6195,MATCH($B8848&amp;$C8848,$B$5329:$B$6195&amp;$C$5329:$C$6195,0))</f>
        <v>6.0000000000000001E-3</v>
      </c>
      <c r="Z8848" s="508">
        <f t="array" ref="Z8848">INDEX(Z$5329:Z$6195,MATCH($B8848&amp;$C8848,$B$5329:$B$6195&amp;$C$5329:$C$6195,0))</f>
        <v>5.0000000000000001E-3</v>
      </c>
      <c r="AA8848" s="508">
        <f t="array" ref="AA8848">INDEX(AA$5329:AA$6195,MATCH($B8848&amp;$C8848,$B$5329:$B$6195&amp;$C$5329:$C$6195,0))</f>
        <v>5.0000000000000001E-3</v>
      </c>
      <c r="AB8848" s="508">
        <f t="array" ref="AB8848">INDEX(AB$5329:AB$6195,MATCH($B8848&amp;$C8848,$B$5329:$B$6195&amp;$C$5329:$C$6195,0))</f>
        <v>4.0000000000000001E-3</v>
      </c>
      <c r="AC8848" s="508">
        <f t="array" ref="AC8848">INDEX(AC$5329:AC$6195,MATCH($B8848&amp;$C8848,$B$5329:$B$6195&amp;$C$5329:$C$6195,0))</f>
        <v>3.0000000000000001E-3</v>
      </c>
      <c r="AD8848" s="508">
        <f t="array" ref="AD8848">INDEX(AD$5329:AD$6195,MATCH($B8848&amp;$C8848,$B$5329:$B$6195&amp;$C$5329:$C$6195,0))</f>
        <v>3.0000000000000001E-3</v>
      </c>
      <c r="AE8848" s="508">
        <f t="array" ref="AE8848">INDEX(AE$5329:AE$6195,MATCH($B8848&amp;$C8848,$B$5329:$B$6195&amp;$C$5329:$C$6195,0))</f>
        <v>4.0000000000000001E-3</v>
      </c>
      <c r="AF8848" s="508">
        <f t="array" ref="AF8848">INDEX(AF$5329:AF$6195,MATCH($B8848&amp;$C8848,$B$5329:$B$6195&amp;$C$5329:$C$6195,0))</f>
        <v>3.0000000000000001E-3</v>
      </c>
      <c r="AG8848" s="508">
        <f t="array" ref="AG8848">INDEX(AG$5329:AG$6195,MATCH($B8848&amp;$C8848,$B$5329:$B$6195&amp;$C$5329:$C$6195,0))</f>
        <v>3.0000000000000001E-3</v>
      </c>
      <c r="AH8848" s="508">
        <f t="array" ref="AH8848">INDEX(AH$5329:AH$6195,MATCH($B8848&amp;$C8848,$B$5329:$B$6195&amp;$C$5329:$C$6195,0))</f>
        <v>3.0000000000000001E-3</v>
      </c>
      <c r="AI8848" s="508">
        <f t="array" ref="AI8848">INDEX(AI$5329:AI$6195,MATCH($B8848&amp;$C8848,$B$5329:$B$6195&amp;$C$5329:$C$6195,0))</f>
        <v>3.0000000000000001E-3</v>
      </c>
      <c r="AJ8848" s="508"/>
      <c r="AK8848" s="508">
        <f t="shared" si="179"/>
        <v>2.7599999999999999E-3</v>
      </c>
      <c r="AL8848" s="508">
        <f t="shared" si="183"/>
        <v>2.5199999999999997E-3</v>
      </c>
      <c r="AM8848" s="508">
        <f t="shared" si="183"/>
        <v>2.2799999999999995E-3</v>
      </c>
      <c r="AN8848" s="508">
        <f t="shared" si="183"/>
        <v>2.0399999999999993E-3</v>
      </c>
      <c r="AO8848" s="508">
        <f t="array" ref="AO8848">INDEX('GREET Fuel Attributes'!$E$8948:$E$9083,MATCH($C8848&amp;$D8848,'GREET Fuel Attributes'!$B$8948:$B$9083&amp;'GREET Fuel Attributes'!$C$8948:$C$9083,0))/INDEX('GREET Fuel Attributes'!$D$8948:$D$9083,MATCH($C8848&amp;$D8848,'GREET Fuel Attributes'!$B$8948:$B$9083&amp;'GREET Fuel Attributes'!$C$8948:$C$9083,0))*AI8848</f>
        <v>1.8E-3</v>
      </c>
      <c r="AP8848" s="132" t="s">
        <v>1388</v>
      </c>
      <c r="AQ8848" s="142" t="s">
        <v>300</v>
      </c>
    </row>
    <row r="8849" spans="2:43">
      <c r="B8849" s="136" t="str">
        <f t="shared" si="182"/>
        <v>ILLINOIS</v>
      </c>
      <c r="C8849" s="132" t="s">
        <v>1367</v>
      </c>
      <c r="D8849" s="132" t="s">
        <v>1380</v>
      </c>
      <c r="E8849" s="508">
        <f t="array" ref="E8849">INDEX(E$6196:E$7062,MATCH($B8849&amp;$C8849,$B$6196:$B$7062&amp;$C$6196:$C$7062,0))</f>
        <v>5.0000000000000001E-3</v>
      </c>
      <c r="F8849" s="508">
        <f t="array" ref="F8849">INDEX(F$6196:F$7062,MATCH($B8849&amp;$C8849,$B$6196:$B$7062&amp;$C$6196:$C$7062,0))</f>
        <v>5.0000000000000001E-3</v>
      </c>
      <c r="G8849" s="508">
        <f t="array" ref="G8849">INDEX(G$6196:G$7062,MATCH($B8849&amp;$C8849,$B$6196:$B$7062&amp;$C$6196:$C$7062,0))</f>
        <v>5.0000000000000001E-3</v>
      </c>
      <c r="H8849" s="508">
        <f t="array" ref="H8849">INDEX(H$6196:H$7062,MATCH($B8849&amp;$C8849,$B$6196:$B$7062&amp;$C$6196:$C$7062,0))</f>
        <v>5.0000000000000001E-3</v>
      </c>
      <c r="I8849" s="508">
        <f t="array" ref="I8849">INDEX(I$6196:I$7062,MATCH($B8849&amp;$C8849,$B$6196:$B$7062&amp;$C$6196:$C$7062,0))</f>
        <v>5.0000000000000001E-3</v>
      </c>
      <c r="J8849" s="508">
        <f t="array" ref="J8849">INDEX(J$6196:J$7062,MATCH($B8849&amp;$C8849,$B$6196:$B$7062&amp;$C$6196:$C$7062,0))</f>
        <v>5.0000000000000001E-3</v>
      </c>
      <c r="K8849" s="508">
        <f t="array" ref="K8849">INDEX(K$6196:K$7062,MATCH($B8849&amp;$C8849,$B$6196:$B$7062&amp;$C$6196:$C$7062,0))</f>
        <v>5.0000000000000001E-3</v>
      </c>
      <c r="L8849" s="508">
        <f t="array" ref="L8849">INDEX(L$6196:L$7062,MATCH($B8849&amp;$C8849,$B$6196:$B$7062&amp;$C$6196:$C$7062,0))</f>
        <v>5.0000000000000001E-3</v>
      </c>
      <c r="M8849" s="508">
        <f t="array" ref="M8849">INDEX(M$6196:M$7062,MATCH($B8849&amp;$C8849,$B$6196:$B$7062&amp;$C$6196:$C$7062,0))</f>
        <v>5.0000000000000001E-3</v>
      </c>
      <c r="N8849" s="508">
        <f t="array" ref="N8849">INDEX(N$6196:N$7062,MATCH($B8849&amp;$C8849,$B$6196:$B$7062&amp;$C$6196:$C$7062,0))</f>
        <v>5.0000000000000001E-3</v>
      </c>
      <c r="O8849" s="508">
        <f t="array" ref="O8849">INDEX(O$6196:O$7062,MATCH($B8849&amp;$C8849,$B$6196:$B$7062&amp;$C$6196:$C$7062,0))</f>
        <v>5.0000000000000001E-3</v>
      </c>
      <c r="P8849" s="508">
        <f t="array" ref="P8849">INDEX(P$6196:P$7062,MATCH($B8849&amp;$C8849,$B$6196:$B$7062&amp;$C$6196:$C$7062,0))</f>
        <v>5.0000000000000001E-3</v>
      </c>
      <c r="Q8849" s="508">
        <f t="array" ref="Q8849">INDEX(Q$6196:Q$7062,MATCH($B8849&amp;$C8849,$B$6196:$B$7062&amp;$C$6196:$C$7062,0))</f>
        <v>5.0000000000000001E-3</v>
      </c>
      <c r="R8849" s="508">
        <f t="array" ref="R8849">INDEX(R$6196:R$7062,MATCH($B8849&amp;$C8849,$B$6196:$B$7062&amp;$C$6196:$C$7062,0))</f>
        <v>5.0000000000000001E-3</v>
      </c>
      <c r="S8849" s="508">
        <f t="array" ref="S8849">INDEX(S$6196:S$7062,MATCH($B8849&amp;$C8849,$B$6196:$B$7062&amp;$C$6196:$C$7062,0))</f>
        <v>5.0000000000000001E-3</v>
      </c>
      <c r="T8849" s="508">
        <f t="array" ref="T8849">INDEX(T$6196:T$7062,MATCH($B8849&amp;$C8849,$B$6196:$B$7062&amp;$C$6196:$C$7062,0))</f>
        <v>5.0000000000000001E-3</v>
      </c>
      <c r="U8849" s="508">
        <f t="array" ref="U8849">INDEX(U$6196:U$7062,MATCH($B8849&amp;$C8849,$B$6196:$B$7062&amp;$C$6196:$C$7062,0))</f>
        <v>5.0000000000000001E-3</v>
      </c>
      <c r="V8849" s="508">
        <f t="array" ref="V8849">INDEX(V$6196:V$7062,MATCH($B8849&amp;$C8849,$B$6196:$B$7062&amp;$C$6196:$C$7062,0))</f>
        <v>5.0000000000000001E-3</v>
      </c>
      <c r="W8849" s="508">
        <f t="array" ref="W8849">INDEX(W$6196:W$7062,MATCH($B8849&amp;$C8849,$B$6196:$B$7062&amp;$C$6196:$C$7062,0))</f>
        <v>5.0000000000000001E-3</v>
      </c>
      <c r="X8849" s="508">
        <f t="array" ref="X8849">INDEX(X$6196:X$7062,MATCH($B8849&amp;$C8849,$B$6196:$B$7062&amp;$C$6196:$C$7062,0))</f>
        <v>5.0000000000000001E-3</v>
      </c>
      <c r="Y8849" s="508">
        <f t="array" ref="Y8849">INDEX(Y$6196:Y$7062,MATCH($B8849&amp;$C8849,$B$6196:$B$7062&amp;$C$6196:$C$7062,0))</f>
        <v>5.0000000000000001E-3</v>
      </c>
      <c r="Z8849" s="508">
        <f t="array" ref="Z8849">INDEX(Z$6196:Z$7062,MATCH($B8849&amp;$C8849,$B$6196:$B$7062&amp;$C$6196:$C$7062,0))</f>
        <v>5.0000000000000001E-3</v>
      </c>
      <c r="AA8849" s="508">
        <f t="array" ref="AA8849">INDEX(AA$6196:AA$7062,MATCH($B8849&amp;$C8849,$B$6196:$B$7062&amp;$C$6196:$C$7062,0))</f>
        <v>5.0000000000000001E-3</v>
      </c>
      <c r="AB8849" s="508">
        <f t="array" ref="AB8849">INDEX(AB$6196:AB$7062,MATCH($B8849&amp;$C8849,$B$6196:$B$7062&amp;$C$6196:$C$7062,0))</f>
        <v>5.0000000000000001E-3</v>
      </c>
      <c r="AC8849" s="508">
        <f t="array" ref="AC8849">INDEX(AC$6196:AC$7062,MATCH($B8849&amp;$C8849,$B$6196:$B$7062&amp;$C$6196:$C$7062,0))</f>
        <v>5.0000000000000001E-3</v>
      </c>
      <c r="AD8849" s="508">
        <f t="array" ref="AD8849">INDEX(AD$6196:AD$7062,MATCH($B8849&amp;$C8849,$B$6196:$B$7062&amp;$C$6196:$C$7062,0))</f>
        <v>5.0000000000000001E-3</v>
      </c>
      <c r="AE8849" s="508">
        <f t="array" ref="AE8849">INDEX(AE$6196:AE$7062,MATCH($B8849&amp;$C8849,$B$6196:$B$7062&amp;$C$6196:$C$7062,0))</f>
        <v>5.0000000000000001E-3</v>
      </c>
      <c r="AF8849" s="508">
        <f t="array" ref="AF8849">INDEX(AF$6196:AF$7062,MATCH($B8849&amp;$C8849,$B$6196:$B$7062&amp;$C$6196:$C$7062,0))</f>
        <v>5.0000000000000001E-3</v>
      </c>
      <c r="AG8849" s="508">
        <f t="array" ref="AG8849">INDEX(AG$6196:AG$7062,MATCH($B8849&amp;$C8849,$B$6196:$B$7062&amp;$C$6196:$C$7062,0))</f>
        <v>5.0000000000000001E-3</v>
      </c>
      <c r="AH8849" s="508">
        <f t="array" ref="AH8849">INDEX(AH$6196:AH$7062,MATCH($B8849&amp;$C8849,$B$6196:$B$7062&amp;$C$6196:$C$7062,0))</f>
        <v>5.0000000000000001E-3</v>
      </c>
      <c r="AI8849" s="508">
        <f t="array" ref="AI8849">INDEX(AI$6196:AI$7062,MATCH($B8849&amp;$C8849,$B$6196:$B$7062&amp;$C$6196:$C$7062,0))</f>
        <v>5.0000000000000001E-3</v>
      </c>
      <c r="AJ8849" s="508"/>
      <c r="AK8849" s="508">
        <f t="shared" si="179"/>
        <v>5.0000000000000001E-3</v>
      </c>
      <c r="AL8849" s="508">
        <f t="shared" si="183"/>
        <v>5.0000000000000001E-3</v>
      </c>
      <c r="AM8849" s="508">
        <f t="shared" si="183"/>
        <v>5.0000000000000001E-3</v>
      </c>
      <c r="AN8849" s="508">
        <f t="shared" si="183"/>
        <v>5.0000000000000001E-3</v>
      </c>
      <c r="AO8849" s="508">
        <f t="array" ref="AO8849">INDEX('GREET Fuel Attributes'!$E$8948:$E$9083,MATCH($C8849&amp;$D8849,'GREET Fuel Attributes'!$B$8948:$B$9083&amp;'GREET Fuel Attributes'!$C$8948:$C$9083,0))/INDEX('GREET Fuel Attributes'!$D$8948:$D$9083,MATCH($C8849&amp;$D8849,'GREET Fuel Attributes'!$B$8948:$B$9083&amp;'GREET Fuel Attributes'!$C$8948:$C$9083,0))*AI8849</f>
        <v>5.0000000000000001E-3</v>
      </c>
      <c r="AP8849" s="132" t="s">
        <v>1388</v>
      </c>
      <c r="AQ8849" s="142" t="s">
        <v>300</v>
      </c>
    </row>
    <row r="8850" spans="2:43">
      <c r="B8850" s="136" t="str">
        <f t="shared" si="182"/>
        <v>ILLINOIS</v>
      </c>
      <c r="C8850" s="132" t="s">
        <v>1367</v>
      </c>
      <c r="D8850" s="132" t="s">
        <v>281</v>
      </c>
      <c r="E8850" s="508">
        <f t="array" ref="E8850">INDEX(E$7063:E$7929,MATCH($B8850&amp;$C8850,$B$7063:$B$7929&amp;$C$7063:$C$7929,0))</f>
        <v>3.9750000000000001</v>
      </c>
      <c r="F8850" s="508">
        <f t="array" ref="F8850">INDEX(F$7063:F$7929,MATCH($B8850&amp;$C8850,$B$7063:$B$7929&amp;$C$7063:$C$7929,0))</f>
        <v>2.4049999999999998</v>
      </c>
      <c r="G8850" s="508">
        <f t="array" ref="G8850">INDEX(G$7063:G$7929,MATCH($B8850&amp;$C8850,$B$7063:$B$7929&amp;$C$7063:$C$7929,0))</f>
        <v>2.3820000000000001</v>
      </c>
      <c r="H8850" s="508">
        <f t="array" ref="H8850">INDEX(H$7063:H$7929,MATCH($B8850&amp;$C8850,$B$7063:$B$7929&amp;$C$7063:$C$7929,0))</f>
        <v>2.36</v>
      </c>
      <c r="I8850" s="508">
        <f t="array" ref="I8850">INDEX(I$7063:I$7929,MATCH($B8850&amp;$C8850,$B$7063:$B$7929&amp;$C$7063:$C$7929,0))</f>
        <v>2.3290000000000002</v>
      </c>
      <c r="J8850" s="508">
        <f t="array" ref="J8850">INDEX(J$7063:J$7929,MATCH($B8850&amp;$C8850,$B$7063:$B$7929&amp;$C$7063:$C$7929,0))</f>
        <v>1.873</v>
      </c>
      <c r="K8850" s="508">
        <f t="array" ref="K8850">INDEX(K$7063:K$7929,MATCH($B8850&amp;$C8850,$B$7063:$B$7929&amp;$C$7063:$C$7929,0))</f>
        <v>1.835</v>
      </c>
      <c r="L8850" s="508">
        <f t="array" ref="L8850">INDEX(L$7063:L$7929,MATCH($B8850&amp;$C8850,$B$7063:$B$7929&amp;$C$7063:$C$7929,0))</f>
        <v>1.7929999999999999</v>
      </c>
      <c r="M8850" s="508">
        <f t="array" ref="M8850">INDEX(M$7063:M$7929,MATCH($B8850&amp;$C8850,$B$7063:$B$7929&amp;$C$7063:$C$7929,0))</f>
        <v>1.75</v>
      </c>
      <c r="N8850" s="508">
        <f t="array" ref="N8850">INDEX(N$7063:N$7929,MATCH($B8850&amp;$C8850,$B$7063:$B$7929&amp;$C$7063:$C$7929,0))</f>
        <v>1.716</v>
      </c>
      <c r="O8850" s="508">
        <f t="array" ref="O8850">INDEX(O$7063:O$7929,MATCH($B8850&amp;$C8850,$B$7063:$B$7929&amp;$C$7063:$C$7929,0))</f>
        <v>1.681</v>
      </c>
      <c r="P8850" s="508">
        <f t="array" ref="P8850">INDEX(P$7063:P$7929,MATCH($B8850&amp;$C8850,$B$7063:$B$7929&amp;$C$7063:$C$7929,0))</f>
        <v>1.097</v>
      </c>
      <c r="Q8850" s="508">
        <f t="array" ref="Q8850">INDEX(Q$7063:Q$7929,MATCH($B8850&amp;$C8850,$B$7063:$B$7929&amp;$C$7063:$C$7929,0))</f>
        <v>1.0609999999999999</v>
      </c>
      <c r="R8850" s="508">
        <f t="array" ref="R8850">INDEX(R$7063:R$7929,MATCH($B8850&amp;$C8850,$B$7063:$B$7929&amp;$C$7063:$C$7929,0))</f>
        <v>1.028</v>
      </c>
      <c r="S8850" s="508">
        <f t="array" ref="S8850">INDEX(S$7063:S$7929,MATCH($B8850&amp;$C8850,$B$7063:$B$7929&amp;$C$7063:$C$7929,0))</f>
        <v>0.995</v>
      </c>
      <c r="T8850" s="508">
        <f t="array" ref="T8850">INDEX(T$7063:T$7929,MATCH($B8850&amp;$C8850,$B$7063:$B$7929&amp;$C$7063:$C$7929,0))</f>
        <v>0.96799999999999997</v>
      </c>
      <c r="U8850" s="508">
        <f t="array" ref="U8850">INDEX(U$7063:U$7929,MATCH($B8850&amp;$C8850,$B$7063:$B$7929&amp;$C$7063:$C$7929,0))</f>
        <v>0.39900000000000002</v>
      </c>
      <c r="V8850" s="508">
        <f t="array" ref="V8850">INDEX(V$7063:V$7929,MATCH($B8850&amp;$C8850,$B$7063:$B$7929&amp;$C$7063:$C$7929,0))</f>
        <v>0.36899999999999999</v>
      </c>
      <c r="W8850" s="508">
        <f t="array" ref="W8850">INDEX(W$7063:W$7929,MATCH($B8850&amp;$C8850,$B$7063:$B$7929&amp;$C$7063:$C$7929,0))</f>
        <v>0.34499999999999997</v>
      </c>
      <c r="X8850" s="508">
        <f t="array" ref="X8850">INDEX(X$7063:X$7929,MATCH($B8850&amp;$C8850,$B$7063:$B$7929&amp;$C$7063:$C$7929,0))</f>
        <v>0.29399999999999998</v>
      </c>
      <c r="Y8850" s="508">
        <f t="array" ref="Y8850">INDEX(Y$7063:Y$7929,MATCH($B8850&amp;$C8850,$B$7063:$B$7929&amp;$C$7063:$C$7929,0))</f>
        <v>0.27800000000000002</v>
      </c>
      <c r="Z8850" s="508">
        <f t="array" ref="Z8850">INDEX(Z$7063:Z$7929,MATCH($B8850&amp;$C8850,$B$7063:$B$7929&amp;$C$7063:$C$7929,0))</f>
        <v>0.17100000000000001</v>
      </c>
      <c r="AA8850" s="508">
        <f t="array" ref="AA8850">INDEX(AA$7063:AA$7929,MATCH($B8850&amp;$C8850,$B$7063:$B$7929&amp;$C$7063:$C$7929,0))</f>
        <v>0.16200000000000001</v>
      </c>
      <c r="AB8850" s="508">
        <f t="array" ref="AB8850">INDEX(AB$7063:AB$7929,MATCH($B8850&amp;$C8850,$B$7063:$B$7929&amp;$C$7063:$C$7929,0))</f>
        <v>0.13500000000000001</v>
      </c>
      <c r="AC8850" s="508">
        <f t="array" ref="AC8850">INDEX(AC$7063:AC$7929,MATCH($B8850&amp;$C8850,$B$7063:$B$7929&amp;$C$7063:$C$7929,0))</f>
        <v>0.13</v>
      </c>
      <c r="AD8850" s="508">
        <f t="array" ref="AD8850">INDEX(AD$7063:AD$7929,MATCH($B8850&amp;$C8850,$B$7063:$B$7929&amp;$C$7063:$C$7929,0))</f>
        <v>0.10199999999999999</v>
      </c>
      <c r="AE8850" s="508">
        <f t="array" ref="AE8850">INDEX(AE$7063:AE$7929,MATCH($B8850&amp;$C8850,$B$7063:$B$7929&amp;$C$7063:$C$7929,0))</f>
        <v>9.5000000000000001E-2</v>
      </c>
      <c r="AF8850" s="508">
        <f t="array" ref="AF8850">INDEX(AF$7063:AF$7929,MATCH($B8850&amp;$C8850,$B$7063:$B$7929&amp;$C$7063:$C$7929,0))</f>
        <v>6.5000000000000002E-2</v>
      </c>
      <c r="AG8850" s="508">
        <f t="array" ref="AG8850">INDEX(AG$7063:AG$7929,MATCH($B8850&amp;$C8850,$B$7063:$B$7929&amp;$C$7063:$C$7929,0))</f>
        <v>0.06</v>
      </c>
      <c r="AH8850" s="508">
        <f t="array" ref="AH8850">INDEX(AH$7063:AH$7929,MATCH($B8850&amp;$C8850,$B$7063:$B$7929&amp;$C$7063:$C$7929,0))</f>
        <v>5.8999999999999997E-2</v>
      </c>
      <c r="AI8850" s="508">
        <f t="array" ref="AI8850">INDEX(AI$7063:AI$7929,MATCH($B8850&amp;$C8850,$B$7063:$B$7929&amp;$C$7063:$C$7929,0))</f>
        <v>5.8000000000000003E-2</v>
      </c>
      <c r="AJ8850" s="508"/>
      <c r="AK8850" s="508">
        <f t="shared" si="179"/>
        <v>5.3736752136752136E-2</v>
      </c>
      <c r="AL8850" s="508">
        <f t="shared" si="183"/>
        <v>4.9473504273504269E-2</v>
      </c>
      <c r="AM8850" s="508">
        <f t="shared" si="183"/>
        <v>4.5210256410256403E-2</v>
      </c>
      <c r="AN8850" s="508">
        <f t="shared" si="183"/>
        <v>4.0947008547008536E-2</v>
      </c>
      <c r="AO8850" s="508">
        <f t="array" ref="AO8850">INDEX('GREET Fuel Attributes'!$E$8948:$E$9083,MATCH($C8850&amp;$D8850,'GREET Fuel Attributes'!$B$8948:$B$9083&amp;'GREET Fuel Attributes'!$C$8948:$C$9083,0))/INDEX('GREET Fuel Attributes'!$D$8948:$D$9083,MATCH($C8850&amp;$D8850,'GREET Fuel Attributes'!$B$8948:$B$9083&amp;'GREET Fuel Attributes'!$C$8948:$C$9083,0))*AI8850</f>
        <v>3.6683760683760683E-2</v>
      </c>
      <c r="AP8850" s="132" t="s">
        <v>1388</v>
      </c>
      <c r="AQ8850" s="142" t="s">
        <v>300</v>
      </c>
    </row>
    <row r="8851" spans="2:43">
      <c r="B8851" s="136" t="str">
        <f t="shared" si="182"/>
        <v>ILLINOIS</v>
      </c>
      <c r="C8851" s="132" t="s">
        <v>1367</v>
      </c>
      <c r="D8851" s="132" t="s">
        <v>1384</v>
      </c>
      <c r="E8851" s="508">
        <f t="array" ref="E8851">INDEX(E$7930:E$8796,MATCH($B8851&amp;$C8851,$B$7930:$B$8796&amp;$C$7930:$C$8796,0))</f>
        <v>2.02</v>
      </c>
      <c r="F8851" s="508">
        <f t="array" ref="F8851">INDEX(F$7930:F$8796,MATCH($B8851&amp;$C8851,$B$7930:$B$8796&amp;$C$7930:$C$8796,0))</f>
        <v>1.996</v>
      </c>
      <c r="G8851" s="508">
        <f t="array" ref="G8851">INDEX(G$7930:G$8796,MATCH($B8851&amp;$C8851,$B$7930:$B$8796&amp;$C$7930:$C$8796,0))</f>
        <v>1.9790000000000001</v>
      </c>
      <c r="H8851" s="508">
        <f t="array" ref="H8851">INDEX(H$7930:H$8796,MATCH($B8851&amp;$C8851,$B$7930:$B$8796&amp;$C$7930:$C$8796,0))</f>
        <v>1.9590000000000001</v>
      </c>
      <c r="I8851" s="508">
        <f t="array" ref="I8851">INDEX(I$7930:I$8796,MATCH($B8851&amp;$C8851,$B$7930:$B$8796&amp;$C$7930:$C$8796,0))</f>
        <v>1.931</v>
      </c>
      <c r="J8851" s="508">
        <f t="array" ref="J8851">INDEX(J$7930:J$8796,MATCH($B8851&amp;$C8851,$B$7930:$B$8796&amp;$C$7930:$C$8796,0))</f>
        <v>1.8959999999999999</v>
      </c>
      <c r="K8851" s="508">
        <f t="array" ref="K8851">INDEX(K$7930:K$8796,MATCH($B8851&amp;$C8851,$B$7930:$B$8796&amp;$C$7930:$C$8796,0))</f>
        <v>1.8460000000000001</v>
      </c>
      <c r="L8851" s="508">
        <f t="array" ref="L8851">INDEX(L$7930:L$8796,MATCH($B8851&amp;$C8851,$B$7930:$B$8796&amp;$C$7930:$C$8796,0))</f>
        <v>1.8080000000000001</v>
      </c>
      <c r="M8851" s="508">
        <f t="array" ref="M8851">INDEX(M$7930:M$8796,MATCH($B8851&amp;$C8851,$B$7930:$B$8796&amp;$C$7930:$C$8796,0))</f>
        <v>1.7609999999999999</v>
      </c>
      <c r="N8851" s="508">
        <f t="array" ref="N8851">INDEX(N$7930:N$8796,MATCH($B8851&amp;$C8851,$B$7930:$B$8796&amp;$C$7930:$C$8796,0))</f>
        <v>1.718</v>
      </c>
      <c r="O8851" s="508">
        <f t="array" ref="O8851">INDEX(O$7930:O$8796,MATCH($B8851&amp;$C8851,$B$7930:$B$8796&amp;$C$7930:$C$8796,0))</f>
        <v>1.671</v>
      </c>
      <c r="P8851" s="508">
        <f t="array" ref="P8851">INDEX(P$7930:P$8796,MATCH($B8851&amp;$C8851,$B$7930:$B$8796&amp;$C$7930:$C$8796,0))</f>
        <v>0.60799999999999998</v>
      </c>
      <c r="Q8851" s="508">
        <f t="array" ref="Q8851">INDEX(Q$7930:Q$8796,MATCH($B8851&amp;$C8851,$B$7930:$B$8796&amp;$C$7930:$C$8796,0))</f>
        <v>0.57499999999999996</v>
      </c>
      <c r="R8851" s="508">
        <f t="array" ref="R8851">INDEX(R$7930:R$8796,MATCH($B8851&amp;$C8851,$B$7930:$B$8796&amp;$C$7930:$C$8796,0))</f>
        <v>0.39200000000000002</v>
      </c>
      <c r="S8851" s="508">
        <f t="array" ref="S8851">INDEX(S$7930:S$8796,MATCH($B8851&amp;$C8851,$B$7930:$B$8796&amp;$C$7930:$C$8796,0))</f>
        <v>0.29799999999999999</v>
      </c>
      <c r="T8851" s="508">
        <f t="array" ref="T8851">INDEX(T$7930:T$8796,MATCH($B8851&amp;$C8851,$B$7930:$B$8796&amp;$C$7930:$C$8796,0))</f>
        <v>0.25700000000000001</v>
      </c>
      <c r="U8851" s="508">
        <f t="array" ref="U8851">INDEX(U$7930:U$8796,MATCH($B8851&amp;$C8851,$B$7930:$B$8796&amp;$C$7930:$C$8796,0))</f>
        <v>0.14599999999999999</v>
      </c>
      <c r="V8851" s="508">
        <f t="array" ref="V8851">INDEX(V$7930:V$8796,MATCH($B8851&amp;$C8851,$B$7930:$B$8796&amp;$C$7930:$C$8796,0))</f>
        <v>0.14199999999999999</v>
      </c>
      <c r="W8851" s="508">
        <f t="array" ref="W8851">INDEX(W$7930:W$8796,MATCH($B8851&amp;$C8851,$B$7930:$B$8796&amp;$C$7930:$C$8796,0))</f>
        <v>0.13800000000000001</v>
      </c>
      <c r="X8851" s="508">
        <f t="array" ref="X8851">INDEX(X$7930:X$8796,MATCH($B8851&amp;$C8851,$B$7930:$B$8796&amp;$C$7930:$C$8796,0))</f>
        <v>0.105</v>
      </c>
      <c r="Y8851" s="508">
        <f t="array" ref="Y8851">INDEX(Y$7930:Y$8796,MATCH($B8851&amp;$C8851,$B$7930:$B$8796&amp;$C$7930:$C$8796,0))</f>
        <v>0.10299999999999999</v>
      </c>
      <c r="Z8851" s="508">
        <f t="array" ref="Z8851">INDEX(Z$7930:Z$8796,MATCH($B8851&amp;$C8851,$B$7930:$B$8796&amp;$C$7930:$C$8796,0))</f>
        <v>6.5000000000000002E-2</v>
      </c>
      <c r="AA8851" s="508">
        <f t="array" ref="AA8851">INDEX(AA$7930:AA$8796,MATCH($B8851&amp;$C8851,$B$7930:$B$8796&amp;$C$7930:$C$8796,0))</f>
        <v>6.4000000000000001E-2</v>
      </c>
      <c r="AB8851" s="508">
        <f t="array" ref="AB8851">INDEX(AB$7930:AB$8796,MATCH($B8851&amp;$C8851,$B$7930:$B$8796&amp;$C$7930:$C$8796,0))</f>
        <v>5.6000000000000001E-2</v>
      </c>
      <c r="AC8851" s="508">
        <f t="array" ref="AC8851">INDEX(AC$7930:AC$8796,MATCH($B8851&amp;$C8851,$B$7930:$B$8796&amp;$C$7930:$C$8796,0))</f>
        <v>5.5E-2</v>
      </c>
      <c r="AD8851" s="508">
        <f t="array" ref="AD8851">INDEX(AD$7930:AD$8796,MATCH($B8851&amp;$C8851,$B$7930:$B$8796&amp;$C$7930:$C$8796,0))</f>
        <v>4.8000000000000001E-2</v>
      </c>
      <c r="AE8851" s="508">
        <f t="array" ref="AE8851">INDEX(AE$7930:AE$8796,MATCH($B8851&amp;$C8851,$B$7930:$B$8796&amp;$C$7930:$C$8796,0))</f>
        <v>4.7E-2</v>
      </c>
      <c r="AF8851" s="508">
        <f t="array" ref="AF8851">INDEX(AF$7930:AF$8796,MATCH($B8851&amp;$C8851,$B$7930:$B$8796&amp;$C$7930:$C$8796,0))</f>
        <v>4.1000000000000002E-2</v>
      </c>
      <c r="AG8851" s="508">
        <f t="array" ref="AG8851">INDEX(AG$7930:AG$8796,MATCH($B8851&amp;$C8851,$B$7930:$B$8796&amp;$C$7930:$C$8796,0))</f>
        <v>0.04</v>
      </c>
      <c r="AH8851" s="508">
        <f t="array" ref="AH8851">INDEX(AH$7930:AH$8796,MATCH($B8851&amp;$C8851,$B$7930:$B$8796&amp;$C$7930:$C$8796,0))</f>
        <v>3.9E-2</v>
      </c>
      <c r="AI8851" s="508">
        <f t="array" ref="AI8851">INDEX(AI$7930:AI$8796,MATCH($B8851&amp;$C8851,$B$7930:$B$8796&amp;$C$7930:$C$8796,0))</f>
        <v>3.7999999999999999E-2</v>
      </c>
      <c r="AJ8851" s="508"/>
      <c r="AK8851" s="508">
        <f t="shared" si="179"/>
        <v>3.5615686274509804E-2</v>
      </c>
      <c r="AL8851" s="508">
        <f t="shared" si="183"/>
        <v>3.323137254901961E-2</v>
      </c>
      <c r="AM8851" s="508">
        <f t="shared" si="183"/>
        <v>3.0847058823529415E-2</v>
      </c>
      <c r="AN8851" s="508">
        <f t="shared" si="183"/>
        <v>2.846274509803922E-2</v>
      </c>
      <c r="AO8851" s="508">
        <f t="array" ref="AO8851">INDEX('GREET Fuel Attributes'!$E$8948:$E$9083,MATCH($C8851&amp;$D8851,'GREET Fuel Attributes'!$B$8948:$B$9083&amp;'GREET Fuel Attributes'!$C$8948:$C$9083,0))/INDEX('GREET Fuel Attributes'!$D$8948:$D$9083,MATCH($C8851&amp;$D8851,'GREET Fuel Attributes'!$B$8948:$B$9083&amp;'GREET Fuel Attributes'!$C$8948:$C$9083,0))*AI8851</f>
        <v>2.6078431372549022E-2</v>
      </c>
      <c r="AP8851" s="132" t="s">
        <v>1388</v>
      </c>
      <c r="AQ8851" s="142" t="s">
        <v>300</v>
      </c>
    </row>
    <row r="8852" spans="2:43">
      <c r="B8852" s="136" t="str">
        <f t="shared" si="182"/>
        <v>ILLINOIS</v>
      </c>
      <c r="C8852" s="132" t="s">
        <v>1368</v>
      </c>
      <c r="D8852" s="132" t="s">
        <v>282</v>
      </c>
      <c r="E8852" s="508">
        <f t="array" ref="E8852">INDEX(E$1861:E$2727,MATCH($B8852&amp;$C8852,$B$1861:$B$2727&amp;$C$1861:$C$2727,0))</f>
        <v>96.105000000000004</v>
      </c>
      <c r="F8852" s="508">
        <f t="array" ref="F8852">INDEX(F$1861:F$2727,MATCH($B8852&amp;$C8852,$B$1861:$B$2727&amp;$C$1861:$C$2727,0))</f>
        <v>39.996000000000002</v>
      </c>
      <c r="G8852" s="508">
        <f t="array" ref="G8852">INDEX(G$1861:G$2727,MATCH($B8852&amp;$C8852,$B$1861:$B$2727&amp;$C$1861:$C$2727,0))</f>
        <v>49.008000000000003</v>
      </c>
      <c r="H8852" s="508">
        <f t="array" ref="H8852">INDEX(H$1861:H$2727,MATCH($B8852&amp;$C8852,$B$1861:$B$2727&amp;$C$1861:$C$2727,0))</f>
        <v>55.085000000000001</v>
      </c>
      <c r="I8852" s="508">
        <f t="array" ref="I8852">INDEX(I$1861:I$2727,MATCH($B8852&amp;$C8852,$B$1861:$B$2727&amp;$C$1861:$C$2727,0))</f>
        <v>55.084000000000003</v>
      </c>
      <c r="J8852" s="508">
        <f t="array" ref="J8852">INDEX(J$1861:J$2727,MATCH($B8852&amp;$C8852,$B$1861:$B$2727&amp;$C$1861:$C$2727,0))</f>
        <v>46.917000000000002</v>
      </c>
      <c r="K8852" s="508">
        <f t="array" ref="K8852">INDEX(K$1861:K$2727,MATCH($B8852&amp;$C8852,$B$1861:$B$2727&amp;$C$1861:$C$2727,0))</f>
        <v>47.069000000000003</v>
      </c>
      <c r="L8852" s="508">
        <f t="array" ref="L8852">INDEX(L$1861:L$2727,MATCH($B8852&amp;$C8852,$B$1861:$B$2727&amp;$C$1861:$C$2727,0))</f>
        <v>16.408000000000001</v>
      </c>
      <c r="M8852" s="508">
        <f t="array" ref="M8852">INDEX(M$1861:M$2727,MATCH($B8852&amp;$C8852,$B$1861:$B$2727&amp;$C$1861:$C$2727,0))</f>
        <v>24.620999999999999</v>
      </c>
      <c r="N8852" s="508">
        <f t="array" ref="N8852">INDEX(N$1861:N$2727,MATCH($B8852&amp;$C8852,$B$1861:$B$2727&amp;$C$1861:$C$2727,0))</f>
        <v>39.79</v>
      </c>
      <c r="O8852" s="508">
        <f t="array" ref="O8852">INDEX(O$1861:O$2727,MATCH($B8852&amp;$C8852,$B$1861:$B$2727&amp;$C$1861:$C$2727,0))</f>
        <v>35.905999999999999</v>
      </c>
      <c r="P8852" s="508">
        <f t="array" ref="P8852">INDEX(P$1861:P$2727,MATCH($B8852&amp;$C8852,$B$1861:$B$2727&amp;$C$1861:$C$2727,0))</f>
        <v>9.6839999999999993</v>
      </c>
      <c r="Q8852" s="508">
        <f t="array" ref="Q8852">INDEX(Q$1861:Q$2727,MATCH($B8852&amp;$C8852,$B$1861:$B$2727&amp;$C$1861:$C$2727,0))</f>
        <v>13.677</v>
      </c>
      <c r="R8852" s="508">
        <f t="array" ref="R8852">INDEX(R$1861:R$2727,MATCH($B8852&amp;$C8852,$B$1861:$B$2727&amp;$C$1861:$C$2727,0))</f>
        <v>11.63</v>
      </c>
      <c r="S8852" s="508">
        <f t="array" ref="S8852">INDEX(S$1861:S$2727,MATCH($B8852&amp;$C8852,$B$1861:$B$2727&amp;$C$1861:$C$2727,0))</f>
        <v>11.178000000000001</v>
      </c>
      <c r="T8852" s="508">
        <f t="array" ref="T8852">INDEX(T$1861:T$2727,MATCH($B8852&amp;$C8852,$B$1861:$B$2727&amp;$C$1861:$C$2727,0))</f>
        <v>11.846</v>
      </c>
      <c r="U8852" s="508">
        <f t="array" ref="U8852">INDEX(U$1861:U$2727,MATCH($B8852&amp;$C8852,$B$1861:$B$2727&amp;$C$1861:$C$2727,0))</f>
        <v>7.7960000000000003</v>
      </c>
      <c r="V8852" s="508">
        <f t="array" ref="V8852">INDEX(V$1861:V$2727,MATCH($B8852&amp;$C8852,$B$1861:$B$2727&amp;$C$1861:$C$2727,0))</f>
        <v>6.5309999999999997</v>
      </c>
      <c r="W8852" s="508">
        <f t="array" ref="W8852">INDEX(W$1861:W$2727,MATCH($B8852&amp;$C8852,$B$1861:$B$2727&amp;$C$1861:$C$2727,0))</f>
        <v>5.508</v>
      </c>
      <c r="X8852" s="508">
        <f t="array" ref="X8852">INDEX(X$1861:X$2727,MATCH($B8852&amp;$C8852,$B$1861:$B$2727&amp;$C$1861:$C$2727,0))</f>
        <v>4.399</v>
      </c>
      <c r="Y8852" s="508">
        <f t="array" ref="Y8852">INDEX(Y$1861:Y$2727,MATCH($B8852&amp;$C8852,$B$1861:$B$2727&amp;$C$1861:$C$2727,0))</f>
        <v>3.9319999999999999</v>
      </c>
      <c r="Z8852" s="508">
        <f t="array" ref="Z8852">INDEX(Z$1861:Z$2727,MATCH($B8852&amp;$C8852,$B$1861:$B$2727&amp;$C$1861:$C$2727,0))</f>
        <v>3.4220000000000002</v>
      </c>
      <c r="AA8852" s="508">
        <f t="array" ref="AA8852">INDEX(AA$1861:AA$2727,MATCH($B8852&amp;$C8852,$B$1861:$B$2727&amp;$C$1861:$C$2727,0))</f>
        <v>1.851</v>
      </c>
      <c r="AB8852" s="508">
        <f t="array" ref="AB8852">INDEX(AB$1861:AB$2727,MATCH($B8852&amp;$C8852,$B$1861:$B$2727&amp;$C$1861:$C$2727,0))</f>
        <v>1.6020000000000001</v>
      </c>
      <c r="AC8852" s="508">
        <f t="array" ref="AC8852">INDEX(AC$1861:AC$2727,MATCH($B8852&amp;$C8852,$B$1861:$B$2727&amp;$C$1861:$C$2727,0))</f>
        <v>2.0510000000000002</v>
      </c>
      <c r="AD8852" s="508">
        <f t="array" ref="AD8852">INDEX(AD$1861:AD$2727,MATCH($B8852&amp;$C8852,$B$1861:$B$2727&amp;$C$1861:$C$2727,0))</f>
        <v>1.671</v>
      </c>
      <c r="AE8852" s="508">
        <f t="array" ref="AE8852">INDEX(AE$1861:AE$2727,MATCH($B8852&amp;$C8852,$B$1861:$B$2727&amp;$C$1861:$C$2727,0))</f>
        <v>1.242</v>
      </c>
      <c r="AF8852" s="508">
        <f t="array" ref="AF8852">INDEX(AF$1861:AF$2727,MATCH($B8852&amp;$C8852,$B$1861:$B$2727&amp;$C$1861:$C$2727,0))</f>
        <v>0.71599999999999997</v>
      </c>
      <c r="AG8852" s="508">
        <f t="array" ref="AG8852">INDEX(AG$1861:AG$2727,MATCH($B8852&amp;$C8852,$B$1861:$B$2727&amp;$C$1861:$C$2727,0))</f>
        <v>0.71199999999999997</v>
      </c>
      <c r="AH8852" s="508">
        <f t="array" ref="AH8852">INDEX(AH$1861:AH$2727,MATCH($B8852&amp;$C8852,$B$1861:$B$2727&amp;$C$1861:$C$2727,0))</f>
        <v>0.70799999999999996</v>
      </c>
      <c r="AI8852" s="508">
        <f t="array" ref="AI8852">INDEX(AI$1861:AI$2727,MATCH($B8852&amp;$C8852,$B$1861:$B$2727&amp;$C$1861:$C$2727,0))</f>
        <v>0.70499999999999996</v>
      </c>
      <c r="AJ8852" s="508"/>
      <c r="AK8852" s="508">
        <f t="shared" si="179"/>
        <v>0.63307804735457462</v>
      </c>
      <c r="AL8852" s="508">
        <f t="shared" si="183"/>
        <v>0.56115609470914929</v>
      </c>
      <c r="AM8852" s="508">
        <f t="shared" si="183"/>
        <v>0.48923414206372395</v>
      </c>
      <c r="AN8852" s="508">
        <f t="shared" si="183"/>
        <v>0.41731218941829862</v>
      </c>
      <c r="AO8852" s="508">
        <f t="array" ref="AO8852">INDEX('GREET Fuel Attributes'!$E$8948:$E$9083,MATCH($C8852&amp;$D8852,'GREET Fuel Attributes'!$B$8948:$B$9083&amp;'GREET Fuel Attributes'!$C$8948:$C$9083,0))/INDEX('GREET Fuel Attributes'!$D$8948:$D$9083,MATCH($C8852&amp;$D8852,'GREET Fuel Attributes'!$B$8948:$B$9083&amp;'GREET Fuel Attributes'!$C$8948:$C$9083,0))*AI8852</f>
        <v>0.34539023677287345</v>
      </c>
      <c r="AP8852" s="132" t="s">
        <v>1387</v>
      </c>
      <c r="AQ8852" s="142" t="s">
        <v>302</v>
      </c>
    </row>
    <row r="8853" spans="2:43">
      <c r="B8853" s="136" t="str">
        <f t="shared" si="182"/>
        <v>ILLINOIS</v>
      </c>
      <c r="C8853" s="132" t="s">
        <v>1368</v>
      </c>
      <c r="D8853" s="132" t="s">
        <v>283</v>
      </c>
      <c r="E8853" s="508">
        <f t="array" ref="E8853">INDEX(E$2728:E$3594,MATCH($B8853&amp;$C8853,$B$2728:$B$3594&amp;$C$2728:$C$3594,0))</f>
        <v>5.8760000000000003</v>
      </c>
      <c r="F8853" s="508">
        <f t="array" ref="F8853">INDEX(F$2728:F$3594,MATCH($B8853&amp;$C8853,$B$2728:$B$3594&amp;$C$2728:$C$3594,0))</f>
        <v>6.3230000000000004</v>
      </c>
      <c r="G8853" s="508">
        <f t="array" ref="G8853">INDEX(G$2728:G$3594,MATCH($B8853&amp;$C8853,$B$2728:$B$3594&amp;$C$2728:$C$3594,0))</f>
        <v>6.0529999999999999</v>
      </c>
      <c r="H8853" s="508">
        <f t="array" ref="H8853">INDEX(H$2728:H$3594,MATCH($B8853&amp;$C8853,$B$2728:$B$3594&amp;$C$2728:$C$3594,0))</f>
        <v>5.8719999999999999</v>
      </c>
      <c r="I8853" s="508">
        <f t="array" ref="I8853">INDEX(I$2728:I$3594,MATCH($B8853&amp;$C8853,$B$2728:$B$3594&amp;$C$2728:$C$3594,0))</f>
        <v>5.8719999999999999</v>
      </c>
      <c r="J8853" s="508">
        <f t="array" ref="J8853">INDEX(J$2728:J$3594,MATCH($B8853&amp;$C8853,$B$2728:$B$3594&amp;$C$2728:$C$3594,0))</f>
        <v>6.258</v>
      </c>
      <c r="K8853" s="508">
        <f t="array" ref="K8853">INDEX(K$2728:K$3594,MATCH($B8853&amp;$C8853,$B$2728:$B$3594&amp;$C$2728:$C$3594,0))</f>
        <v>6.226</v>
      </c>
      <c r="L8853" s="508">
        <f t="array" ref="L8853">INDEX(L$2728:L$3594,MATCH($B8853&amp;$C8853,$B$2728:$B$3594&amp;$C$2728:$C$3594,0))</f>
        <v>7.0869999999999997</v>
      </c>
      <c r="M8853" s="508">
        <f t="array" ref="M8853">INDEX(M$2728:M$3594,MATCH($B8853&amp;$C8853,$B$2728:$B$3594&amp;$C$2728:$C$3594,0))</f>
        <v>6.8170000000000002</v>
      </c>
      <c r="N8853" s="508">
        <f t="array" ref="N8853">INDEX(N$2728:N$3594,MATCH($B8853&amp;$C8853,$B$2728:$B$3594&amp;$C$2728:$C$3594,0))</f>
        <v>6.2530000000000001</v>
      </c>
      <c r="O8853" s="508">
        <f t="array" ref="O8853">INDEX(O$2728:O$3594,MATCH($B8853&amp;$C8853,$B$2728:$B$3594&amp;$C$2728:$C$3594,0))</f>
        <v>6.3090000000000002</v>
      </c>
      <c r="P8853" s="508">
        <f t="array" ref="P8853">INDEX(P$2728:P$3594,MATCH($B8853&amp;$C8853,$B$2728:$B$3594&amp;$C$2728:$C$3594,0))</f>
        <v>5.5780000000000003</v>
      </c>
      <c r="Q8853" s="508">
        <f t="array" ref="Q8853">INDEX(Q$2728:Q$3594,MATCH($B8853&amp;$C8853,$B$2728:$B$3594&amp;$C$2728:$C$3594,0))</f>
        <v>4.43</v>
      </c>
      <c r="R8853" s="508">
        <f t="array" ref="R8853">INDEX(R$2728:R$3594,MATCH($B8853&amp;$C8853,$B$2728:$B$3594&amp;$C$2728:$C$3594,0))</f>
        <v>4.3520000000000003</v>
      </c>
      <c r="S8853" s="508">
        <f t="array" ref="S8853">INDEX(S$2728:S$3594,MATCH($B8853&amp;$C8853,$B$2728:$B$3594&amp;$C$2728:$C$3594,0))</f>
        <v>4.3979999999999997</v>
      </c>
      <c r="T8853" s="508">
        <f t="array" ref="T8853">INDEX(T$2728:T$3594,MATCH($B8853&amp;$C8853,$B$2728:$B$3594&amp;$C$2728:$C$3594,0))</f>
        <v>4.1639999999999997</v>
      </c>
      <c r="U8853" s="508">
        <f t="array" ref="U8853">INDEX(U$2728:U$3594,MATCH($B8853&amp;$C8853,$B$2728:$B$3594&amp;$C$2728:$C$3594,0))</f>
        <v>3.3730000000000002</v>
      </c>
      <c r="V8853" s="508">
        <f t="array" ref="V8853">INDEX(V$2728:V$3594,MATCH($B8853&amp;$C8853,$B$2728:$B$3594&amp;$C$2728:$C$3594,0))</f>
        <v>4.3840000000000003</v>
      </c>
      <c r="W8853" s="508">
        <f t="array" ref="W8853">INDEX(W$2728:W$3594,MATCH($B8853&amp;$C8853,$B$2728:$B$3594&amp;$C$2728:$C$3594,0))</f>
        <v>3.0910000000000002</v>
      </c>
      <c r="X8853" s="508">
        <f t="array" ref="X8853">INDEX(X$2728:X$3594,MATCH($B8853&amp;$C8853,$B$2728:$B$3594&amp;$C$2728:$C$3594,0))</f>
        <v>2.7789999999999999</v>
      </c>
      <c r="Y8853" s="508">
        <f t="array" ref="Y8853">INDEX(Y$2728:Y$3594,MATCH($B8853&amp;$C8853,$B$2728:$B$3594&amp;$C$2728:$C$3594,0))</f>
        <v>2.887</v>
      </c>
      <c r="Z8853" s="508">
        <f t="array" ref="Z8853">INDEX(Z$2728:Z$3594,MATCH($B8853&amp;$C8853,$B$2728:$B$3594&amp;$C$2728:$C$3594,0))</f>
        <v>3.012</v>
      </c>
      <c r="AA8853" s="508">
        <f t="array" ref="AA8853">INDEX(AA$2728:AA$3594,MATCH($B8853&amp;$C8853,$B$2728:$B$3594&amp;$C$2728:$C$3594,0))</f>
        <v>1.67</v>
      </c>
      <c r="AB8853" s="508">
        <f t="array" ref="AB8853">INDEX(AB$2728:AB$3594,MATCH($B8853&amp;$C8853,$B$2728:$B$3594&amp;$C$2728:$C$3594,0))</f>
        <v>1.706</v>
      </c>
      <c r="AC8853" s="508">
        <f t="array" ref="AC8853">INDEX(AC$2728:AC$3594,MATCH($B8853&amp;$C8853,$B$2728:$B$3594&amp;$C$2728:$C$3594,0))</f>
        <v>1.365</v>
      </c>
      <c r="AD8853" s="508">
        <f t="array" ref="AD8853">INDEX(AD$2728:AD$3594,MATCH($B8853&amp;$C8853,$B$2728:$B$3594&amp;$C$2728:$C$3594,0))</f>
        <v>0.64200000000000002</v>
      </c>
      <c r="AE8853" s="508">
        <f t="array" ref="AE8853">INDEX(AE$2728:AE$3594,MATCH($B8853&amp;$C8853,$B$2728:$B$3594&amp;$C$2728:$C$3594,0))</f>
        <v>0.79300000000000004</v>
      </c>
      <c r="AF8853" s="508">
        <f t="array" ref="AF8853">INDEX(AF$2728:AF$3594,MATCH($B8853&amp;$C8853,$B$2728:$B$3594&amp;$C$2728:$C$3594,0))</f>
        <v>0.54900000000000004</v>
      </c>
      <c r="AG8853" s="508">
        <f t="array" ref="AG8853">INDEX(AG$2728:AG$3594,MATCH($B8853&amp;$C8853,$B$2728:$B$3594&amp;$C$2728:$C$3594,0))</f>
        <v>0.54600000000000004</v>
      </c>
      <c r="AH8853" s="508">
        <f t="array" ref="AH8853">INDEX(AH$2728:AH$3594,MATCH($B8853&amp;$C8853,$B$2728:$B$3594&amp;$C$2728:$C$3594,0))</f>
        <v>0.54400000000000004</v>
      </c>
      <c r="AI8853" s="508">
        <f t="array" ref="AI8853">INDEX(AI$2728:AI$3594,MATCH($B8853&amp;$C8853,$B$2728:$B$3594&amp;$C$2728:$C$3594,0))</f>
        <v>0.54100000000000004</v>
      </c>
      <c r="AJ8853" s="508"/>
      <c r="AK8853" s="508">
        <f t="shared" si="179"/>
        <v>0.47757241379310345</v>
      </c>
      <c r="AL8853" s="508">
        <f t="shared" si="183"/>
        <v>0.41414482758620685</v>
      </c>
      <c r="AM8853" s="508">
        <f t="shared" si="183"/>
        <v>0.35071724137931026</v>
      </c>
      <c r="AN8853" s="508">
        <f t="shared" si="183"/>
        <v>0.28728965517241367</v>
      </c>
      <c r="AO8853" s="508">
        <f t="array" ref="AO8853">INDEX('GREET Fuel Attributes'!$E$8948:$E$9083,MATCH($C8853&amp;$D8853,'GREET Fuel Attributes'!$B$8948:$B$9083&amp;'GREET Fuel Attributes'!$C$8948:$C$9083,0))/INDEX('GREET Fuel Attributes'!$D$8948:$D$9083,MATCH($C8853&amp;$D8853,'GREET Fuel Attributes'!$B$8948:$B$9083&amp;'GREET Fuel Attributes'!$C$8948:$C$9083,0))*AI8853</f>
        <v>0.22386206896551725</v>
      </c>
      <c r="AP8853" s="132" t="s">
        <v>1387</v>
      </c>
      <c r="AQ8853" s="142" t="s">
        <v>302</v>
      </c>
    </row>
    <row r="8854" spans="2:43">
      <c r="B8854" s="136" t="str">
        <f t="shared" si="182"/>
        <v>ILLINOIS</v>
      </c>
      <c r="C8854" s="132" t="s">
        <v>1368</v>
      </c>
      <c r="D8854" s="132" t="s">
        <v>284</v>
      </c>
      <c r="E8854" s="508">
        <f t="array" ref="E8854">INDEX(E$3595:E$4461,MATCH($B8854&amp;$C8854,$B$3595:$B$4461&amp;$C$3595:$C$4461,0))</f>
        <v>0.33</v>
      </c>
      <c r="F8854" s="508">
        <f t="array" ref="F8854">INDEX(F$3595:F$4461,MATCH($B8854&amp;$C8854,$B$3595:$B$4461&amp;$C$3595:$C$4461,0))</f>
        <v>0.38900000000000001</v>
      </c>
      <c r="G8854" s="508">
        <f t="array" ref="G8854">INDEX(G$3595:G$4461,MATCH($B8854&amp;$C8854,$B$3595:$B$4461&amp;$C$3595:$C$4461,0))</f>
        <v>0.19900000000000001</v>
      </c>
      <c r="H8854" s="508">
        <f t="array" ref="H8854">INDEX(H$3595:H$4461,MATCH($B8854&amp;$C8854,$B$3595:$B$4461&amp;$C$3595:$C$4461,0))</f>
        <v>5.8999999999999997E-2</v>
      </c>
      <c r="I8854" s="508">
        <f t="array" ref="I8854">INDEX(I$3595:I$4461,MATCH($B8854&amp;$C8854,$B$3595:$B$4461&amp;$C$3595:$C$4461,0))</f>
        <v>5.8999999999999997E-2</v>
      </c>
      <c r="J8854" s="508">
        <f t="array" ref="J8854">INDEX(J$3595:J$4461,MATCH($B8854&amp;$C8854,$B$3595:$B$4461&amp;$C$3595:$C$4461,0))</f>
        <v>6.6000000000000003E-2</v>
      </c>
      <c r="K8854" s="508">
        <f t="array" ref="K8854">INDEX(K$3595:K$4461,MATCH($B8854&amp;$C8854,$B$3595:$B$4461&amp;$C$3595:$C$4461,0))</f>
        <v>3.7999999999999999E-2</v>
      </c>
      <c r="L8854" s="508">
        <f t="array" ref="L8854">INDEX(L$3595:L$4461,MATCH($B8854&amp;$C8854,$B$3595:$B$4461&amp;$C$3595:$C$4461,0))</f>
        <v>0.36599999999999999</v>
      </c>
      <c r="M8854" s="508">
        <f t="array" ref="M8854">INDEX(M$3595:M$4461,MATCH($B8854&amp;$C8854,$B$3595:$B$4461&amp;$C$3595:$C$4461,0))</f>
        <v>0.27600000000000002</v>
      </c>
      <c r="N8854" s="508">
        <f t="array" ref="N8854">INDEX(N$3595:N$4461,MATCH($B8854&amp;$C8854,$B$3595:$B$4461&amp;$C$3595:$C$4461,0))</f>
        <v>0.13300000000000001</v>
      </c>
      <c r="O8854" s="508">
        <f t="array" ref="O8854">INDEX(O$3595:O$4461,MATCH($B8854&amp;$C8854,$B$3595:$B$4461&amp;$C$3595:$C$4461,0))</f>
        <v>0.19900000000000001</v>
      </c>
      <c r="P8854" s="508">
        <f t="array" ref="P8854">INDEX(P$3595:P$4461,MATCH($B8854&amp;$C8854,$B$3595:$B$4461&amp;$C$3595:$C$4461,0))</f>
        <v>0.53300000000000003</v>
      </c>
      <c r="Q8854" s="508">
        <f t="array" ref="Q8854">INDEX(Q$3595:Q$4461,MATCH($B8854&amp;$C8854,$B$3595:$B$4461&amp;$C$3595:$C$4461,0))</f>
        <v>0.32300000000000001</v>
      </c>
      <c r="R8854" s="508">
        <f t="array" ref="R8854">INDEX(R$3595:R$4461,MATCH($B8854&amp;$C8854,$B$3595:$B$4461&amp;$C$3595:$C$4461,0))</f>
        <v>0.20699999999999999</v>
      </c>
      <c r="S8854" s="508">
        <f t="array" ref="S8854">INDEX(S$3595:S$4461,MATCH($B8854&amp;$C8854,$B$3595:$B$4461&amp;$C$3595:$C$4461,0))</f>
        <v>0.216</v>
      </c>
      <c r="T8854" s="508">
        <f t="array" ref="T8854">INDEX(T$3595:T$4461,MATCH($B8854&amp;$C8854,$B$3595:$B$4461&amp;$C$3595:$C$4461,0))</f>
        <v>0.191</v>
      </c>
      <c r="U8854" s="508">
        <f t="array" ref="U8854">INDEX(U$3595:U$4461,MATCH($B8854&amp;$C8854,$B$3595:$B$4461&amp;$C$3595:$C$4461,0))</f>
        <v>0.14199999999999999</v>
      </c>
      <c r="V8854" s="508">
        <f t="array" ref="V8854">INDEX(V$3595:V$4461,MATCH($B8854&amp;$C8854,$B$3595:$B$4461&amp;$C$3595:$C$4461,0))</f>
        <v>0.221</v>
      </c>
      <c r="W8854" s="508">
        <f t="array" ref="W8854">INDEX(W$3595:W$4461,MATCH($B8854&amp;$C8854,$B$3595:$B$4461&amp;$C$3595:$C$4461,0))</f>
        <v>0.185</v>
      </c>
      <c r="X8854" s="508">
        <f t="array" ref="X8854">INDEX(X$3595:X$4461,MATCH($B8854&amp;$C8854,$B$3595:$B$4461&amp;$C$3595:$C$4461,0))</f>
        <v>0.185</v>
      </c>
      <c r="Y8854" s="508">
        <f t="array" ref="Y8854">INDEX(Y$3595:Y$4461,MATCH($B8854&amp;$C8854,$B$3595:$B$4461&amp;$C$3595:$C$4461,0))</f>
        <v>0.20100000000000001</v>
      </c>
      <c r="Z8854" s="508">
        <f t="array" ref="Z8854">INDEX(Z$3595:Z$4461,MATCH($B8854&amp;$C8854,$B$3595:$B$4461&amp;$C$3595:$C$4461,0))</f>
        <v>0.216</v>
      </c>
      <c r="AA8854" s="508">
        <f t="array" ref="AA8854">INDEX(AA$3595:AA$4461,MATCH($B8854&amp;$C8854,$B$3595:$B$4461&amp;$C$3595:$C$4461,0))</f>
        <v>1.4E-2</v>
      </c>
      <c r="AB8854" s="508">
        <f t="array" ref="AB8854">INDEX(AB$3595:AB$4461,MATCH($B8854&amp;$C8854,$B$3595:$B$4461&amp;$C$3595:$C$4461,0))</f>
        <v>1.4999999999999999E-2</v>
      </c>
      <c r="AC8854" s="508">
        <f t="array" ref="AC8854">INDEX(AC$3595:AC$4461,MATCH($B8854&amp;$C8854,$B$3595:$B$4461&amp;$C$3595:$C$4461,0))</f>
        <v>1.2999999999999999E-2</v>
      </c>
      <c r="AD8854" s="508">
        <f t="array" ref="AD8854">INDEX(AD$3595:AD$4461,MATCH($B8854&amp;$C8854,$B$3595:$B$4461&amp;$C$3595:$C$4461,0))</f>
        <v>1.0999999999999999E-2</v>
      </c>
      <c r="AE8854" s="508">
        <f t="array" ref="AE8854">INDEX(AE$3595:AE$4461,MATCH($B8854&amp;$C8854,$B$3595:$B$4461&amp;$C$3595:$C$4461,0))</f>
        <v>1.2E-2</v>
      </c>
      <c r="AF8854" s="508">
        <f t="array" ref="AF8854">INDEX(AF$3595:AF$4461,MATCH($B8854&amp;$C8854,$B$3595:$B$4461&amp;$C$3595:$C$4461,0))</f>
        <v>7.0000000000000001E-3</v>
      </c>
      <c r="AG8854" s="508">
        <f t="array" ref="AG8854">INDEX(AG$3595:AG$4461,MATCH($B8854&amp;$C8854,$B$3595:$B$4461&amp;$C$3595:$C$4461,0))</f>
        <v>7.0000000000000001E-3</v>
      </c>
      <c r="AH8854" s="508">
        <f t="array" ref="AH8854">INDEX(AH$3595:AH$4461,MATCH($B8854&amp;$C8854,$B$3595:$B$4461&amp;$C$3595:$C$4461,0))</f>
        <v>7.0000000000000001E-3</v>
      </c>
      <c r="AI8854" s="508">
        <f t="array" ref="AI8854">INDEX(AI$3595:AI$4461,MATCH($B8854&amp;$C8854,$B$3595:$B$4461&amp;$C$3595:$C$4461,0))</f>
        <v>7.0000000000000001E-3</v>
      </c>
      <c r="AJ8854" s="508"/>
      <c r="AK8854" s="508">
        <f t="shared" si="179"/>
        <v>6.6E-3</v>
      </c>
      <c r="AL8854" s="508">
        <f t="shared" si="183"/>
        <v>6.1999999999999998E-3</v>
      </c>
      <c r="AM8854" s="508">
        <f t="shared" si="183"/>
        <v>5.7999999999999996E-3</v>
      </c>
      <c r="AN8854" s="508">
        <f t="shared" si="183"/>
        <v>5.3999999999999994E-3</v>
      </c>
      <c r="AO8854" s="508">
        <f t="array" ref="AO8854">INDEX('GREET Fuel Attributes'!$E$8948:$E$9083,MATCH($C8854&amp;$D8854,'GREET Fuel Attributes'!$B$8948:$B$9083&amp;'GREET Fuel Attributes'!$C$8948:$C$9083,0))/INDEX('GREET Fuel Attributes'!$D$8948:$D$9083,MATCH($C8854&amp;$D8854,'GREET Fuel Attributes'!$B$8948:$B$9083&amp;'GREET Fuel Attributes'!$C$8948:$C$9083,0))*AI8854</f>
        <v>5.0000000000000001E-3</v>
      </c>
      <c r="AP8854" s="132" t="s">
        <v>1387</v>
      </c>
      <c r="AQ8854" s="142" t="s">
        <v>302</v>
      </c>
    </row>
    <row r="8855" spans="2:43">
      <c r="B8855" s="136" t="str">
        <f t="shared" si="182"/>
        <v>ILLINOIS</v>
      </c>
      <c r="C8855" s="132" t="s">
        <v>1368</v>
      </c>
      <c r="D8855" s="132" t="s">
        <v>1379</v>
      </c>
      <c r="E8855" s="508">
        <f t="array" ref="E8855">INDEX(E$4462:E$5328,MATCH($B8855&amp;$C8855,$B$4462:$B$5328&amp;$C$4462:$C$5328,0))</f>
        <v>5.1999999999999998E-2</v>
      </c>
      <c r="F8855" s="508">
        <f t="array" ref="F8855">INDEX(F$4462:F$5328,MATCH($B8855&amp;$C8855,$B$4462:$B$5328&amp;$C$4462:$C$5328,0))</f>
        <v>5.1999999999999998E-2</v>
      </c>
      <c r="G8855" s="508">
        <f t="array" ref="G8855">INDEX(G$4462:G$5328,MATCH($B8855&amp;$C8855,$B$4462:$B$5328&amp;$C$4462:$C$5328,0))</f>
        <v>5.1999999999999998E-2</v>
      </c>
      <c r="H8855" s="508">
        <f t="array" ref="H8855">INDEX(H$4462:H$5328,MATCH($B8855&amp;$C8855,$B$4462:$B$5328&amp;$C$4462:$C$5328,0))</f>
        <v>5.1999999999999998E-2</v>
      </c>
      <c r="I8855" s="508">
        <f t="array" ref="I8855">INDEX(I$4462:I$5328,MATCH($B8855&amp;$C8855,$B$4462:$B$5328&amp;$C$4462:$C$5328,0))</f>
        <v>5.1999999999999998E-2</v>
      </c>
      <c r="J8855" s="508">
        <f t="array" ref="J8855">INDEX(J$4462:J$5328,MATCH($B8855&amp;$C8855,$B$4462:$B$5328&amp;$C$4462:$C$5328,0))</f>
        <v>5.1999999999999998E-2</v>
      </c>
      <c r="K8855" s="508">
        <f t="array" ref="K8855">INDEX(K$4462:K$5328,MATCH($B8855&amp;$C8855,$B$4462:$B$5328&amp;$C$4462:$C$5328,0))</f>
        <v>5.1999999999999998E-2</v>
      </c>
      <c r="L8855" s="508">
        <f t="array" ref="L8855">INDEX(L$4462:L$5328,MATCH($B8855&amp;$C8855,$B$4462:$B$5328&amp;$C$4462:$C$5328,0))</f>
        <v>5.1999999999999998E-2</v>
      </c>
      <c r="M8855" s="508">
        <f t="array" ref="M8855">INDEX(M$4462:M$5328,MATCH($B8855&amp;$C8855,$B$4462:$B$5328&amp;$C$4462:$C$5328,0))</f>
        <v>5.1999999999999998E-2</v>
      </c>
      <c r="N8855" s="508">
        <f t="array" ref="N8855">INDEX(N$4462:N$5328,MATCH($B8855&amp;$C8855,$B$4462:$B$5328&amp;$C$4462:$C$5328,0))</f>
        <v>5.1999999999999998E-2</v>
      </c>
      <c r="O8855" s="508">
        <f t="array" ref="O8855">INDEX(O$4462:O$5328,MATCH($B8855&amp;$C8855,$B$4462:$B$5328&amp;$C$4462:$C$5328,0))</f>
        <v>5.1999999999999998E-2</v>
      </c>
      <c r="P8855" s="508">
        <f t="array" ref="P8855">INDEX(P$4462:P$5328,MATCH($B8855&amp;$C8855,$B$4462:$B$5328&amp;$C$4462:$C$5328,0))</f>
        <v>5.1999999999999998E-2</v>
      </c>
      <c r="Q8855" s="508">
        <f t="array" ref="Q8855">INDEX(Q$4462:Q$5328,MATCH($B8855&amp;$C8855,$B$4462:$B$5328&amp;$C$4462:$C$5328,0))</f>
        <v>5.1999999999999998E-2</v>
      </c>
      <c r="R8855" s="508">
        <f t="array" ref="R8855">INDEX(R$4462:R$5328,MATCH($B8855&amp;$C8855,$B$4462:$B$5328&amp;$C$4462:$C$5328,0))</f>
        <v>5.1999999999999998E-2</v>
      </c>
      <c r="S8855" s="508">
        <f t="array" ref="S8855">INDEX(S$4462:S$5328,MATCH($B8855&amp;$C8855,$B$4462:$B$5328&amp;$C$4462:$C$5328,0))</f>
        <v>5.1999999999999998E-2</v>
      </c>
      <c r="T8855" s="508">
        <f t="array" ref="T8855">INDEX(T$4462:T$5328,MATCH($B8855&amp;$C8855,$B$4462:$B$5328&amp;$C$4462:$C$5328,0))</f>
        <v>5.1999999999999998E-2</v>
      </c>
      <c r="U8855" s="508">
        <f t="array" ref="U8855">INDEX(U$4462:U$5328,MATCH($B8855&amp;$C8855,$B$4462:$B$5328&amp;$C$4462:$C$5328,0))</f>
        <v>5.1999999999999998E-2</v>
      </c>
      <c r="V8855" s="508">
        <f t="array" ref="V8855">INDEX(V$4462:V$5328,MATCH($B8855&amp;$C8855,$B$4462:$B$5328&amp;$C$4462:$C$5328,0))</f>
        <v>5.1999999999999998E-2</v>
      </c>
      <c r="W8855" s="508">
        <f t="array" ref="W8855">INDEX(W$4462:W$5328,MATCH($B8855&amp;$C8855,$B$4462:$B$5328&amp;$C$4462:$C$5328,0))</f>
        <v>5.1999999999999998E-2</v>
      </c>
      <c r="X8855" s="508">
        <f t="array" ref="X8855">INDEX(X$4462:X$5328,MATCH($B8855&amp;$C8855,$B$4462:$B$5328&amp;$C$4462:$C$5328,0))</f>
        <v>5.1999999999999998E-2</v>
      </c>
      <c r="Y8855" s="508">
        <f t="array" ref="Y8855">INDEX(Y$4462:Y$5328,MATCH($B8855&amp;$C8855,$B$4462:$B$5328&amp;$C$4462:$C$5328,0))</f>
        <v>5.1999999999999998E-2</v>
      </c>
      <c r="Z8855" s="508">
        <f t="array" ref="Z8855">INDEX(Z$4462:Z$5328,MATCH($B8855&amp;$C8855,$B$4462:$B$5328&amp;$C$4462:$C$5328,0))</f>
        <v>5.1999999999999998E-2</v>
      </c>
      <c r="AA8855" s="508">
        <f t="array" ref="AA8855">INDEX(AA$4462:AA$5328,MATCH($B8855&amp;$C8855,$B$4462:$B$5328&amp;$C$4462:$C$5328,0))</f>
        <v>5.1999999999999998E-2</v>
      </c>
      <c r="AB8855" s="508">
        <f t="array" ref="AB8855">INDEX(AB$4462:AB$5328,MATCH($B8855&amp;$C8855,$B$4462:$B$5328&amp;$C$4462:$C$5328,0))</f>
        <v>5.1999999999999998E-2</v>
      </c>
      <c r="AC8855" s="508">
        <f t="array" ref="AC8855">INDEX(AC$4462:AC$5328,MATCH($B8855&amp;$C8855,$B$4462:$B$5328&amp;$C$4462:$C$5328,0))</f>
        <v>5.1999999999999998E-2</v>
      </c>
      <c r="AD8855" s="508">
        <f t="array" ref="AD8855">INDEX(AD$4462:AD$5328,MATCH($B8855&amp;$C8855,$B$4462:$B$5328&amp;$C$4462:$C$5328,0))</f>
        <v>5.1999999999999998E-2</v>
      </c>
      <c r="AE8855" s="508">
        <f t="array" ref="AE8855">INDEX(AE$4462:AE$5328,MATCH($B8855&amp;$C8855,$B$4462:$B$5328&amp;$C$4462:$C$5328,0))</f>
        <v>5.1999999999999998E-2</v>
      </c>
      <c r="AF8855" s="508">
        <f t="array" ref="AF8855">INDEX(AF$4462:AF$5328,MATCH($B8855&amp;$C8855,$B$4462:$B$5328&amp;$C$4462:$C$5328,0))</f>
        <v>5.1999999999999998E-2</v>
      </c>
      <c r="AG8855" s="508">
        <f t="array" ref="AG8855">INDEX(AG$4462:AG$5328,MATCH($B8855&amp;$C8855,$B$4462:$B$5328&amp;$C$4462:$C$5328,0))</f>
        <v>5.1999999999999998E-2</v>
      </c>
      <c r="AH8855" s="508">
        <f t="array" ref="AH8855">INDEX(AH$4462:AH$5328,MATCH($B8855&amp;$C8855,$B$4462:$B$5328&amp;$C$4462:$C$5328,0))</f>
        <v>5.1999999999999998E-2</v>
      </c>
      <c r="AI8855" s="508">
        <f t="array" ref="AI8855">INDEX(AI$4462:AI$5328,MATCH($B8855&amp;$C8855,$B$4462:$B$5328&amp;$C$4462:$C$5328,0))</f>
        <v>5.1999999999999998E-2</v>
      </c>
      <c r="AJ8855" s="508"/>
      <c r="AK8855" s="508">
        <f t="shared" si="179"/>
        <v>5.1999999999999998E-2</v>
      </c>
      <c r="AL8855" s="508">
        <f t="shared" si="183"/>
        <v>5.1999999999999998E-2</v>
      </c>
      <c r="AM8855" s="508">
        <f t="shared" si="183"/>
        <v>5.1999999999999998E-2</v>
      </c>
      <c r="AN8855" s="508">
        <f t="shared" si="183"/>
        <v>5.1999999999999998E-2</v>
      </c>
      <c r="AO8855" s="508">
        <f t="array" ref="AO8855">INDEX('GREET Fuel Attributes'!$E$8948:$E$9083,MATCH($C8855&amp;$D8855,'GREET Fuel Attributes'!$B$8948:$B$9083&amp;'GREET Fuel Attributes'!$C$8948:$C$9083,0))/INDEX('GREET Fuel Attributes'!$D$8948:$D$9083,MATCH($C8855&amp;$D8855,'GREET Fuel Attributes'!$B$8948:$B$9083&amp;'GREET Fuel Attributes'!$C$8948:$C$9083,0))*AI8855</f>
        <v>5.1999999999999998E-2</v>
      </c>
      <c r="AP8855" s="132" t="s">
        <v>1387</v>
      </c>
      <c r="AQ8855" s="142" t="s">
        <v>302</v>
      </c>
    </row>
    <row r="8856" spans="2:43">
      <c r="B8856" s="136" t="str">
        <f t="shared" si="182"/>
        <v>ILLINOIS</v>
      </c>
      <c r="C8856" s="132" t="s">
        <v>1368</v>
      </c>
      <c r="D8856" s="132" t="s">
        <v>285</v>
      </c>
      <c r="E8856" s="508">
        <f t="array" ref="E8856">INDEX(E$5329:E$6195,MATCH($B8856&amp;$C8856,$B$5329:$B$6195&amp;$C$5329:$C$6195,0))</f>
        <v>0.30399999999999999</v>
      </c>
      <c r="F8856" s="508">
        <f t="array" ref="F8856">INDEX(F$5329:F$6195,MATCH($B8856&amp;$C8856,$B$5329:$B$6195&amp;$C$5329:$C$6195,0))</f>
        <v>0.35799999999999998</v>
      </c>
      <c r="G8856" s="508">
        <f t="array" ref="G8856">INDEX(G$5329:G$6195,MATCH($B8856&amp;$C8856,$B$5329:$B$6195&amp;$C$5329:$C$6195,0))</f>
        <v>0.183</v>
      </c>
      <c r="H8856" s="508">
        <f t="array" ref="H8856">INDEX(H$5329:H$6195,MATCH($B8856&amp;$C8856,$B$5329:$B$6195&amp;$C$5329:$C$6195,0))</f>
        <v>5.3999999999999999E-2</v>
      </c>
      <c r="I8856" s="508">
        <f t="array" ref="I8856">INDEX(I$5329:I$6195,MATCH($B8856&amp;$C8856,$B$5329:$B$6195&amp;$C$5329:$C$6195,0))</f>
        <v>5.3999999999999999E-2</v>
      </c>
      <c r="J8856" s="508">
        <f t="array" ref="J8856">INDEX(J$5329:J$6195,MATCH($B8856&amp;$C8856,$B$5329:$B$6195&amp;$C$5329:$C$6195,0))</f>
        <v>6.0999999999999999E-2</v>
      </c>
      <c r="K8856" s="508">
        <f t="array" ref="K8856">INDEX(K$5329:K$6195,MATCH($B8856&amp;$C8856,$B$5329:$B$6195&amp;$C$5329:$C$6195,0))</f>
        <v>3.5000000000000003E-2</v>
      </c>
      <c r="L8856" s="508">
        <f t="array" ref="L8856">INDEX(L$5329:L$6195,MATCH($B8856&amp;$C8856,$B$5329:$B$6195&amp;$C$5329:$C$6195,0))</f>
        <v>0.33700000000000002</v>
      </c>
      <c r="M8856" s="508">
        <f t="array" ref="M8856">INDEX(M$5329:M$6195,MATCH($B8856&amp;$C8856,$B$5329:$B$6195&amp;$C$5329:$C$6195,0))</f>
        <v>0.254</v>
      </c>
      <c r="N8856" s="508">
        <f t="array" ref="N8856">INDEX(N$5329:N$6195,MATCH($B8856&amp;$C8856,$B$5329:$B$6195&amp;$C$5329:$C$6195,0))</f>
        <v>0.122</v>
      </c>
      <c r="O8856" s="508">
        <f t="array" ref="O8856">INDEX(O$5329:O$6195,MATCH($B8856&amp;$C8856,$B$5329:$B$6195&amp;$C$5329:$C$6195,0))</f>
        <v>0.183</v>
      </c>
      <c r="P8856" s="508">
        <f t="array" ref="P8856">INDEX(P$5329:P$6195,MATCH($B8856&amp;$C8856,$B$5329:$B$6195&amp;$C$5329:$C$6195,0))</f>
        <v>0.49</v>
      </c>
      <c r="Q8856" s="508">
        <f t="array" ref="Q8856">INDEX(Q$5329:Q$6195,MATCH($B8856&amp;$C8856,$B$5329:$B$6195&amp;$C$5329:$C$6195,0))</f>
        <v>0.29699999999999999</v>
      </c>
      <c r="R8856" s="508">
        <f t="array" ref="R8856">INDEX(R$5329:R$6195,MATCH($B8856&amp;$C8856,$B$5329:$B$6195&amp;$C$5329:$C$6195,0))</f>
        <v>0.191</v>
      </c>
      <c r="S8856" s="508">
        <f t="array" ref="S8856">INDEX(S$5329:S$6195,MATCH($B8856&amp;$C8856,$B$5329:$B$6195&amp;$C$5329:$C$6195,0))</f>
        <v>0.19800000000000001</v>
      </c>
      <c r="T8856" s="508">
        <f t="array" ref="T8856">INDEX(T$5329:T$6195,MATCH($B8856&amp;$C8856,$B$5329:$B$6195&amp;$C$5329:$C$6195,0))</f>
        <v>0.17499999999999999</v>
      </c>
      <c r="U8856" s="508">
        <f t="array" ref="U8856">INDEX(U$5329:U$6195,MATCH($B8856&amp;$C8856,$B$5329:$B$6195&amp;$C$5329:$C$6195,0))</f>
        <v>0.13100000000000001</v>
      </c>
      <c r="V8856" s="508">
        <f t="array" ref="V8856">INDEX(V$5329:V$6195,MATCH($B8856&amp;$C8856,$B$5329:$B$6195&amp;$C$5329:$C$6195,0))</f>
        <v>0.20300000000000001</v>
      </c>
      <c r="W8856" s="508">
        <f t="array" ref="W8856">INDEX(W$5329:W$6195,MATCH($B8856&amp;$C8856,$B$5329:$B$6195&amp;$C$5329:$C$6195,0))</f>
        <v>0.17</v>
      </c>
      <c r="X8856" s="508">
        <f t="array" ref="X8856">INDEX(X$5329:X$6195,MATCH($B8856&amp;$C8856,$B$5329:$B$6195&amp;$C$5329:$C$6195,0))</f>
        <v>0.17</v>
      </c>
      <c r="Y8856" s="508">
        <f t="array" ref="Y8856">INDEX(Y$5329:Y$6195,MATCH($B8856&amp;$C8856,$B$5329:$B$6195&amp;$C$5329:$C$6195,0))</f>
        <v>0.185</v>
      </c>
      <c r="Z8856" s="508">
        <f t="array" ref="Z8856">INDEX(Z$5329:Z$6195,MATCH($B8856&amp;$C8856,$B$5329:$B$6195&amp;$C$5329:$C$6195,0))</f>
        <v>0.19900000000000001</v>
      </c>
      <c r="AA8856" s="508">
        <f t="array" ref="AA8856">INDEX(AA$5329:AA$6195,MATCH($B8856&amp;$C8856,$B$5329:$B$6195&amp;$C$5329:$C$6195,0))</f>
        <v>1.2999999999999999E-2</v>
      </c>
      <c r="AB8856" s="508">
        <f t="array" ref="AB8856">INDEX(AB$5329:AB$6195,MATCH($B8856&amp;$C8856,$B$5329:$B$6195&amp;$C$5329:$C$6195,0))</f>
        <v>1.2999999999999999E-2</v>
      </c>
      <c r="AC8856" s="508">
        <f t="array" ref="AC8856">INDEX(AC$5329:AC$6195,MATCH($B8856&amp;$C8856,$B$5329:$B$6195&amp;$C$5329:$C$6195,0))</f>
        <v>1.2E-2</v>
      </c>
      <c r="AD8856" s="508">
        <f t="array" ref="AD8856">INDEX(AD$5329:AD$6195,MATCH($B8856&amp;$C8856,$B$5329:$B$6195&amp;$C$5329:$C$6195,0))</f>
        <v>0.01</v>
      </c>
      <c r="AE8856" s="508">
        <f t="array" ref="AE8856">INDEX(AE$5329:AE$6195,MATCH($B8856&amp;$C8856,$B$5329:$B$6195&amp;$C$5329:$C$6195,0))</f>
        <v>1.0999999999999999E-2</v>
      </c>
      <c r="AF8856" s="508">
        <f t="array" ref="AF8856">INDEX(AF$5329:AF$6195,MATCH($B8856&amp;$C8856,$B$5329:$B$6195&amp;$C$5329:$C$6195,0))</f>
        <v>7.0000000000000001E-3</v>
      </c>
      <c r="AG8856" s="508">
        <f t="array" ref="AG8856">INDEX(AG$5329:AG$6195,MATCH($B8856&amp;$C8856,$B$5329:$B$6195&amp;$C$5329:$C$6195,0))</f>
        <v>7.0000000000000001E-3</v>
      </c>
      <c r="AH8856" s="508">
        <f t="array" ref="AH8856">INDEX(AH$5329:AH$6195,MATCH($B8856&amp;$C8856,$B$5329:$B$6195&amp;$C$5329:$C$6195,0))</f>
        <v>7.0000000000000001E-3</v>
      </c>
      <c r="AI8856" s="508">
        <f t="array" ref="AI8856">INDEX(AI$5329:AI$6195,MATCH($B8856&amp;$C8856,$B$5329:$B$6195&amp;$C$5329:$C$6195,0))</f>
        <v>7.0000000000000001E-3</v>
      </c>
      <c r="AJ8856" s="508"/>
      <c r="AK8856" s="508">
        <f t="shared" si="179"/>
        <v>6.4000000000000003E-3</v>
      </c>
      <c r="AL8856" s="508">
        <f t="shared" si="183"/>
        <v>5.8000000000000005E-3</v>
      </c>
      <c r="AM8856" s="508">
        <f t="shared" si="183"/>
        <v>5.2000000000000006E-3</v>
      </c>
      <c r="AN8856" s="508">
        <f t="shared" si="183"/>
        <v>4.6000000000000008E-3</v>
      </c>
      <c r="AO8856" s="508">
        <f t="array" ref="AO8856">INDEX('GREET Fuel Attributes'!$E$8948:$E$9083,MATCH($C8856&amp;$D8856,'GREET Fuel Attributes'!$B$8948:$B$9083&amp;'GREET Fuel Attributes'!$C$8948:$C$9083,0))/INDEX('GREET Fuel Attributes'!$D$8948:$D$9083,MATCH($C8856&amp;$D8856,'GREET Fuel Attributes'!$B$8948:$B$9083&amp;'GREET Fuel Attributes'!$C$8948:$C$9083,0))*AI8856</f>
        <v>4.0000000000000001E-3</v>
      </c>
      <c r="AP8856" s="132" t="s">
        <v>1387</v>
      </c>
      <c r="AQ8856" s="142" t="s">
        <v>302</v>
      </c>
    </row>
    <row r="8857" spans="2:43">
      <c r="B8857" s="136" t="str">
        <f t="shared" si="182"/>
        <v>ILLINOIS</v>
      </c>
      <c r="C8857" s="132" t="s">
        <v>1368</v>
      </c>
      <c r="D8857" s="132" t="s">
        <v>1380</v>
      </c>
      <c r="E8857" s="508">
        <f t="array" ref="E8857">INDEX(E$6196:E$7062,MATCH($B8857&amp;$C8857,$B$6196:$B$7062&amp;$C$6196:$C$7062,0))</f>
        <v>7.0000000000000001E-3</v>
      </c>
      <c r="F8857" s="508">
        <f t="array" ref="F8857">INDEX(F$6196:F$7062,MATCH($B8857&amp;$C8857,$B$6196:$B$7062&amp;$C$6196:$C$7062,0))</f>
        <v>7.0000000000000001E-3</v>
      </c>
      <c r="G8857" s="508">
        <f t="array" ref="G8857">INDEX(G$6196:G$7062,MATCH($B8857&amp;$C8857,$B$6196:$B$7062&amp;$C$6196:$C$7062,0))</f>
        <v>7.0000000000000001E-3</v>
      </c>
      <c r="H8857" s="508">
        <f t="array" ref="H8857">INDEX(H$6196:H$7062,MATCH($B8857&amp;$C8857,$B$6196:$B$7062&amp;$C$6196:$C$7062,0))</f>
        <v>7.0000000000000001E-3</v>
      </c>
      <c r="I8857" s="508">
        <f t="array" ref="I8857">INDEX(I$6196:I$7062,MATCH($B8857&amp;$C8857,$B$6196:$B$7062&amp;$C$6196:$C$7062,0))</f>
        <v>7.0000000000000001E-3</v>
      </c>
      <c r="J8857" s="508">
        <f t="array" ref="J8857">INDEX(J$6196:J$7062,MATCH($B8857&amp;$C8857,$B$6196:$B$7062&amp;$C$6196:$C$7062,0))</f>
        <v>7.0000000000000001E-3</v>
      </c>
      <c r="K8857" s="508">
        <f t="array" ref="K8857">INDEX(K$6196:K$7062,MATCH($B8857&amp;$C8857,$B$6196:$B$7062&amp;$C$6196:$C$7062,0))</f>
        <v>7.0000000000000001E-3</v>
      </c>
      <c r="L8857" s="508">
        <f t="array" ref="L8857">INDEX(L$6196:L$7062,MATCH($B8857&amp;$C8857,$B$6196:$B$7062&amp;$C$6196:$C$7062,0))</f>
        <v>7.0000000000000001E-3</v>
      </c>
      <c r="M8857" s="508">
        <f t="array" ref="M8857">INDEX(M$6196:M$7062,MATCH($B8857&amp;$C8857,$B$6196:$B$7062&amp;$C$6196:$C$7062,0))</f>
        <v>7.0000000000000001E-3</v>
      </c>
      <c r="N8857" s="508">
        <f t="array" ref="N8857">INDEX(N$6196:N$7062,MATCH($B8857&amp;$C8857,$B$6196:$B$7062&amp;$C$6196:$C$7062,0))</f>
        <v>7.0000000000000001E-3</v>
      </c>
      <c r="O8857" s="508">
        <f t="array" ref="O8857">INDEX(O$6196:O$7062,MATCH($B8857&amp;$C8857,$B$6196:$B$7062&amp;$C$6196:$C$7062,0))</f>
        <v>7.0000000000000001E-3</v>
      </c>
      <c r="P8857" s="508">
        <f t="array" ref="P8857">INDEX(P$6196:P$7062,MATCH($B8857&amp;$C8857,$B$6196:$B$7062&amp;$C$6196:$C$7062,0))</f>
        <v>7.0000000000000001E-3</v>
      </c>
      <c r="Q8857" s="508">
        <f t="array" ref="Q8857">INDEX(Q$6196:Q$7062,MATCH($B8857&amp;$C8857,$B$6196:$B$7062&amp;$C$6196:$C$7062,0))</f>
        <v>7.0000000000000001E-3</v>
      </c>
      <c r="R8857" s="508">
        <f t="array" ref="R8857">INDEX(R$6196:R$7062,MATCH($B8857&amp;$C8857,$B$6196:$B$7062&amp;$C$6196:$C$7062,0))</f>
        <v>7.0000000000000001E-3</v>
      </c>
      <c r="S8857" s="508">
        <f t="array" ref="S8857">INDEX(S$6196:S$7062,MATCH($B8857&amp;$C8857,$B$6196:$B$7062&amp;$C$6196:$C$7062,0))</f>
        <v>7.0000000000000001E-3</v>
      </c>
      <c r="T8857" s="508">
        <f t="array" ref="T8857">INDEX(T$6196:T$7062,MATCH($B8857&amp;$C8857,$B$6196:$B$7062&amp;$C$6196:$C$7062,0))</f>
        <v>7.0000000000000001E-3</v>
      </c>
      <c r="U8857" s="508">
        <f t="array" ref="U8857">INDEX(U$6196:U$7062,MATCH($B8857&amp;$C8857,$B$6196:$B$7062&amp;$C$6196:$C$7062,0))</f>
        <v>7.0000000000000001E-3</v>
      </c>
      <c r="V8857" s="508">
        <f t="array" ref="V8857">INDEX(V$6196:V$7062,MATCH($B8857&amp;$C8857,$B$6196:$B$7062&amp;$C$6196:$C$7062,0))</f>
        <v>7.0000000000000001E-3</v>
      </c>
      <c r="W8857" s="508">
        <f t="array" ref="W8857">INDEX(W$6196:W$7062,MATCH($B8857&amp;$C8857,$B$6196:$B$7062&amp;$C$6196:$C$7062,0))</f>
        <v>7.0000000000000001E-3</v>
      </c>
      <c r="X8857" s="508">
        <f t="array" ref="X8857">INDEX(X$6196:X$7062,MATCH($B8857&amp;$C8857,$B$6196:$B$7062&amp;$C$6196:$C$7062,0))</f>
        <v>7.0000000000000001E-3</v>
      </c>
      <c r="Y8857" s="508">
        <f t="array" ref="Y8857">INDEX(Y$6196:Y$7062,MATCH($B8857&amp;$C8857,$B$6196:$B$7062&amp;$C$6196:$C$7062,0))</f>
        <v>7.0000000000000001E-3</v>
      </c>
      <c r="Z8857" s="508">
        <f t="array" ref="Z8857">INDEX(Z$6196:Z$7062,MATCH($B8857&amp;$C8857,$B$6196:$B$7062&amp;$C$6196:$C$7062,0))</f>
        <v>7.0000000000000001E-3</v>
      </c>
      <c r="AA8857" s="508">
        <f t="array" ref="AA8857">INDEX(AA$6196:AA$7062,MATCH($B8857&amp;$C8857,$B$6196:$B$7062&amp;$C$6196:$C$7062,0))</f>
        <v>7.0000000000000001E-3</v>
      </c>
      <c r="AB8857" s="508">
        <f t="array" ref="AB8857">INDEX(AB$6196:AB$7062,MATCH($B8857&amp;$C8857,$B$6196:$B$7062&amp;$C$6196:$C$7062,0))</f>
        <v>7.0000000000000001E-3</v>
      </c>
      <c r="AC8857" s="508">
        <f t="array" ref="AC8857">INDEX(AC$6196:AC$7062,MATCH($B8857&amp;$C8857,$B$6196:$B$7062&amp;$C$6196:$C$7062,0))</f>
        <v>7.0000000000000001E-3</v>
      </c>
      <c r="AD8857" s="508">
        <f t="array" ref="AD8857">INDEX(AD$6196:AD$7062,MATCH($B8857&amp;$C8857,$B$6196:$B$7062&amp;$C$6196:$C$7062,0))</f>
        <v>7.0000000000000001E-3</v>
      </c>
      <c r="AE8857" s="508">
        <f t="array" ref="AE8857">INDEX(AE$6196:AE$7062,MATCH($B8857&amp;$C8857,$B$6196:$B$7062&amp;$C$6196:$C$7062,0))</f>
        <v>7.0000000000000001E-3</v>
      </c>
      <c r="AF8857" s="508">
        <f t="array" ref="AF8857">INDEX(AF$6196:AF$7062,MATCH($B8857&amp;$C8857,$B$6196:$B$7062&amp;$C$6196:$C$7062,0))</f>
        <v>7.0000000000000001E-3</v>
      </c>
      <c r="AG8857" s="508">
        <f t="array" ref="AG8857">INDEX(AG$6196:AG$7062,MATCH($B8857&amp;$C8857,$B$6196:$B$7062&amp;$C$6196:$C$7062,0))</f>
        <v>7.0000000000000001E-3</v>
      </c>
      <c r="AH8857" s="508">
        <f t="array" ref="AH8857">INDEX(AH$6196:AH$7062,MATCH($B8857&amp;$C8857,$B$6196:$B$7062&amp;$C$6196:$C$7062,0))</f>
        <v>7.0000000000000001E-3</v>
      </c>
      <c r="AI8857" s="508">
        <f t="array" ref="AI8857">INDEX(AI$6196:AI$7062,MATCH($B8857&amp;$C8857,$B$6196:$B$7062&amp;$C$6196:$C$7062,0))</f>
        <v>7.0000000000000001E-3</v>
      </c>
      <c r="AJ8857" s="508"/>
      <c r="AK8857" s="508">
        <f t="shared" si="179"/>
        <v>7.0000000000000001E-3</v>
      </c>
      <c r="AL8857" s="508">
        <f t="shared" si="183"/>
        <v>7.0000000000000001E-3</v>
      </c>
      <c r="AM8857" s="508">
        <f t="shared" si="183"/>
        <v>7.0000000000000001E-3</v>
      </c>
      <c r="AN8857" s="508">
        <f t="shared" si="183"/>
        <v>7.0000000000000001E-3</v>
      </c>
      <c r="AO8857" s="508">
        <f t="array" ref="AO8857">INDEX('GREET Fuel Attributes'!$E$8948:$E$9083,MATCH($C8857&amp;$D8857,'GREET Fuel Attributes'!$B$8948:$B$9083&amp;'GREET Fuel Attributes'!$C$8948:$C$9083,0))/INDEX('GREET Fuel Attributes'!$D$8948:$D$9083,MATCH($C8857&amp;$D8857,'GREET Fuel Attributes'!$B$8948:$B$9083&amp;'GREET Fuel Attributes'!$C$8948:$C$9083,0))*AI8857</f>
        <v>7.0000000000000001E-3</v>
      </c>
      <c r="AP8857" s="132" t="s">
        <v>1387</v>
      </c>
      <c r="AQ8857" s="142" t="s">
        <v>302</v>
      </c>
    </row>
    <row r="8858" spans="2:43">
      <c r="B8858" s="136" t="str">
        <f t="shared" si="182"/>
        <v>ILLINOIS</v>
      </c>
      <c r="C8858" s="132" t="s">
        <v>1368</v>
      </c>
      <c r="D8858" s="132" t="s">
        <v>281</v>
      </c>
      <c r="E8858" s="508">
        <f t="array" ref="E8858">INDEX(E$7063:E$7929,MATCH($B8858&amp;$C8858,$B$7063:$B$7929&amp;$C$7063:$C$7929,0))</f>
        <v>5.3979999999999997</v>
      </c>
      <c r="F8858" s="508">
        <f t="array" ref="F8858">INDEX(F$7063:F$7929,MATCH($B8858&amp;$C8858,$B$7063:$B$7929&amp;$C$7063:$C$7929,0))</f>
        <v>3.32</v>
      </c>
      <c r="G8858" s="508">
        <f t="array" ref="G8858">INDEX(G$7063:G$7929,MATCH($B8858&amp;$C8858,$B$7063:$B$7929&amp;$C$7063:$C$7929,0))</f>
        <v>3.802</v>
      </c>
      <c r="H8858" s="508">
        <f t="array" ref="H8858">INDEX(H$7063:H$7929,MATCH($B8858&amp;$C8858,$B$7063:$B$7929&amp;$C$7063:$C$7929,0))</f>
        <v>4.1289999999999996</v>
      </c>
      <c r="I8858" s="508">
        <f t="array" ref="I8858">INDEX(I$7063:I$7929,MATCH($B8858&amp;$C8858,$B$7063:$B$7929&amp;$C$7063:$C$7929,0))</f>
        <v>4.133</v>
      </c>
      <c r="J8858" s="508">
        <f t="array" ref="J8858">INDEX(J$7063:J$7929,MATCH($B8858&amp;$C8858,$B$7063:$B$7929&amp;$C$7063:$C$7929,0))</f>
        <v>3.718</v>
      </c>
      <c r="K8858" s="508">
        <f t="array" ref="K8858">INDEX(K$7063:K$7929,MATCH($B8858&amp;$C8858,$B$7063:$B$7929&amp;$C$7063:$C$7929,0))</f>
        <v>3.7130000000000001</v>
      </c>
      <c r="L8858" s="508">
        <f t="array" ref="L8858">INDEX(L$7063:L$7929,MATCH($B8858&amp;$C8858,$B$7063:$B$7929&amp;$C$7063:$C$7929,0))</f>
        <v>2.0630000000000002</v>
      </c>
      <c r="M8858" s="508">
        <f t="array" ref="M8858">INDEX(M$7063:M$7929,MATCH($B8858&amp;$C8858,$B$7063:$B$7929&amp;$C$7063:$C$7929,0))</f>
        <v>2.4849999999999999</v>
      </c>
      <c r="N8858" s="508">
        <f t="array" ref="N8858">INDEX(N$7063:N$7929,MATCH($B8858&amp;$C8858,$B$7063:$B$7929&amp;$C$7063:$C$7929,0))</f>
        <v>5.8330000000000002</v>
      </c>
      <c r="O8858" s="508">
        <f t="array" ref="O8858">INDEX(O$7063:O$7929,MATCH($B8858&amp;$C8858,$B$7063:$B$7929&amp;$C$7063:$C$7929,0))</f>
        <v>5.2839999999999998</v>
      </c>
      <c r="P8858" s="508">
        <f t="array" ref="P8858">INDEX(P$7063:P$7929,MATCH($B8858&amp;$C8858,$B$7063:$B$7929&amp;$C$7063:$C$7929,0))</f>
        <v>1.827</v>
      </c>
      <c r="Q8858" s="508">
        <f t="array" ref="Q8858">INDEX(Q$7063:Q$7929,MATCH($B8858&amp;$C8858,$B$7063:$B$7929&amp;$C$7063:$C$7929,0))</f>
        <v>2.141</v>
      </c>
      <c r="R8858" s="508">
        <f t="array" ref="R8858">INDEX(R$7063:R$7929,MATCH($B8858&amp;$C8858,$B$7063:$B$7929&amp;$C$7063:$C$7929,0))</f>
        <v>1.94</v>
      </c>
      <c r="S8858" s="508">
        <f t="array" ref="S8858">INDEX(S$7063:S$7929,MATCH($B8858&amp;$C8858,$B$7063:$B$7929&amp;$C$7063:$C$7929,0))</f>
        <v>1.8740000000000001</v>
      </c>
      <c r="T8858" s="508">
        <f t="array" ref="T8858">INDEX(T$7063:T$7929,MATCH($B8858&amp;$C8858,$B$7063:$B$7929&amp;$C$7063:$C$7929,0))</f>
        <v>1.889</v>
      </c>
      <c r="U8858" s="508">
        <f t="array" ref="U8858">INDEX(U$7063:U$7929,MATCH($B8858&amp;$C8858,$B$7063:$B$7929&amp;$C$7063:$C$7929,0))</f>
        <v>1.0109999999999999</v>
      </c>
      <c r="V8858" s="508">
        <f t="array" ref="V8858">INDEX(V$7063:V$7929,MATCH($B8858&amp;$C8858,$B$7063:$B$7929&amp;$C$7063:$C$7929,0))</f>
        <v>1.1379999999999999</v>
      </c>
      <c r="W8858" s="508">
        <f t="array" ref="W8858">INDEX(W$7063:W$7929,MATCH($B8858&amp;$C8858,$B$7063:$B$7929&amp;$C$7063:$C$7929,0))</f>
        <v>0.83399999999999996</v>
      </c>
      <c r="X8858" s="508">
        <f t="array" ref="X8858">INDEX(X$7063:X$7929,MATCH($B8858&amp;$C8858,$B$7063:$B$7929&amp;$C$7063:$C$7929,0))</f>
        <v>0.72</v>
      </c>
      <c r="Y8858" s="508">
        <f t="array" ref="Y8858">INDEX(Y$7063:Y$7929,MATCH($B8858&amp;$C8858,$B$7063:$B$7929&amp;$C$7063:$C$7929,0))</f>
        <v>0.72199999999999998</v>
      </c>
      <c r="Z8858" s="508">
        <f t="array" ref="Z8858">INDEX(Z$7063:Z$7929,MATCH($B8858&amp;$C8858,$B$7063:$B$7929&amp;$C$7063:$C$7929,0))</f>
        <v>0.72699999999999998</v>
      </c>
      <c r="AA8858" s="508">
        <f t="array" ref="AA8858">INDEX(AA$7063:AA$7929,MATCH($B8858&amp;$C8858,$B$7063:$B$7929&amp;$C$7063:$C$7929,0))</f>
        <v>0.11700000000000001</v>
      </c>
      <c r="AB8858" s="508">
        <f t="array" ref="AB8858">INDEX(AB$7063:AB$7929,MATCH($B8858&amp;$C8858,$B$7063:$B$7929&amp;$C$7063:$C$7929,0))</f>
        <v>0.108</v>
      </c>
      <c r="AC8858" s="508">
        <f t="array" ref="AC8858">INDEX(AC$7063:AC$7929,MATCH($B8858&amp;$C8858,$B$7063:$B$7929&amp;$C$7063:$C$7929,0))</f>
        <v>0.106</v>
      </c>
      <c r="AD8858" s="508">
        <f t="array" ref="AD8858">INDEX(AD$7063:AD$7929,MATCH($B8858&amp;$C8858,$B$7063:$B$7929&amp;$C$7063:$C$7929,0))</f>
        <v>8.3000000000000004E-2</v>
      </c>
      <c r="AE8858" s="508">
        <f t="array" ref="AE8858">INDEX(AE$7063:AE$7929,MATCH($B8858&amp;$C8858,$B$7063:$B$7929&amp;$C$7063:$C$7929,0))</f>
        <v>0.08</v>
      </c>
      <c r="AF8858" s="508">
        <f t="array" ref="AF8858">INDEX(AF$7063:AF$7929,MATCH($B8858&amp;$C8858,$B$7063:$B$7929&amp;$C$7063:$C$7929,0))</f>
        <v>6.8000000000000005E-2</v>
      </c>
      <c r="AG8858" s="508">
        <f t="array" ref="AG8858">INDEX(AG$7063:AG$7929,MATCH($B8858&amp;$C8858,$B$7063:$B$7929&amp;$C$7063:$C$7929,0))</f>
        <v>6.7000000000000004E-2</v>
      </c>
      <c r="AH8858" s="508">
        <f t="array" ref="AH8858">INDEX(AH$7063:AH$7929,MATCH($B8858&amp;$C8858,$B$7063:$B$7929&amp;$C$7063:$C$7929,0))</f>
        <v>6.6000000000000003E-2</v>
      </c>
      <c r="AI8858" s="508">
        <f t="array" ref="AI8858">INDEX(AI$7063:AI$7929,MATCH($B8858&amp;$C8858,$B$7063:$B$7929&amp;$C$7063:$C$7929,0))</f>
        <v>6.5000000000000002E-2</v>
      </c>
      <c r="AJ8858" s="508"/>
      <c r="AK8858" s="508">
        <f t="shared" si="179"/>
        <v>6.0053097345132748E-2</v>
      </c>
      <c r="AL8858" s="508">
        <f t="shared" si="183"/>
        <v>5.5106194690265495E-2</v>
      </c>
      <c r="AM8858" s="508">
        <f t="shared" si="183"/>
        <v>5.0159292035398241E-2</v>
      </c>
      <c r="AN8858" s="508">
        <f t="shared" si="183"/>
        <v>4.5212389380530987E-2</v>
      </c>
      <c r="AO8858" s="508">
        <f t="array" ref="AO8858">INDEX('GREET Fuel Attributes'!$E$8948:$E$9083,MATCH($C8858&amp;$D8858,'GREET Fuel Attributes'!$B$8948:$B$9083&amp;'GREET Fuel Attributes'!$C$8948:$C$9083,0))/INDEX('GREET Fuel Attributes'!$D$8948:$D$9083,MATCH($C8858&amp;$D8858,'GREET Fuel Attributes'!$B$8948:$B$9083&amp;'GREET Fuel Attributes'!$C$8948:$C$9083,0))*AI8858</f>
        <v>4.026548672566372E-2</v>
      </c>
      <c r="AP8858" s="132" t="s">
        <v>1387</v>
      </c>
      <c r="AQ8858" s="142" t="s">
        <v>302</v>
      </c>
    </row>
    <row r="8859" spans="2:43">
      <c r="B8859" s="136" t="str">
        <f t="shared" si="182"/>
        <v>ILLINOIS</v>
      </c>
      <c r="C8859" s="132" t="s">
        <v>1368</v>
      </c>
      <c r="D8859" s="132" t="s">
        <v>1384</v>
      </c>
      <c r="E8859" s="508">
        <f t="array" ref="E8859">INDEX(E$7930:E$8796,MATCH($B8859&amp;$C8859,$B$7930:$B$8796&amp;$C$7930:$C$8796,0))</f>
        <v>1.9E-2</v>
      </c>
      <c r="F8859" s="508">
        <f t="array" ref="F8859">INDEX(F$7930:F$8796,MATCH($B8859&amp;$C8859,$B$7930:$B$8796&amp;$C$7930:$C$8796,0))</f>
        <v>1.4E-2</v>
      </c>
      <c r="G8859" s="508">
        <f t="array" ref="G8859">INDEX(G$7930:G$8796,MATCH($B8859&amp;$C8859,$B$7930:$B$8796&amp;$C$7930:$C$8796,0))</f>
        <v>1.2E-2</v>
      </c>
      <c r="H8859" s="508">
        <f t="array" ref="H8859">INDEX(H$7930:H$8796,MATCH($B8859&amp;$C8859,$B$7930:$B$8796&amp;$C$7930:$C$8796,0))</f>
        <v>1.7000000000000001E-2</v>
      </c>
      <c r="I8859" s="508">
        <f t="array" ref="I8859">INDEX(I$7930:I$8796,MATCH($B8859&amp;$C8859,$B$7930:$B$8796&amp;$C$7930:$C$8796,0))</f>
        <v>1.6E-2</v>
      </c>
      <c r="J8859" s="508">
        <f t="array" ref="J8859">INDEX(J$7930:J$8796,MATCH($B8859&amp;$C8859,$B$7930:$B$8796&amp;$C$7930:$C$8796,0))</f>
        <v>1.7000000000000001E-2</v>
      </c>
      <c r="K8859" s="508">
        <f t="array" ref="K8859">INDEX(K$7930:K$8796,MATCH($B8859&amp;$C8859,$B$7930:$B$8796&amp;$C$7930:$C$8796,0))</f>
        <v>1.9E-2</v>
      </c>
      <c r="L8859" s="508">
        <f t="array" ref="L8859">INDEX(L$7930:L$8796,MATCH($B8859&amp;$C8859,$B$7930:$B$8796&amp;$C$7930:$C$8796,0))</f>
        <v>1.9E-2</v>
      </c>
      <c r="M8859" s="508">
        <f t="array" ref="M8859">INDEX(M$7930:M$8796,MATCH($B8859&amp;$C8859,$B$7930:$B$8796&amp;$C$7930:$C$8796,0))</f>
        <v>1.7999999999999999E-2</v>
      </c>
      <c r="N8859" s="508">
        <f t="array" ref="N8859">INDEX(N$7930:N$8796,MATCH($B8859&amp;$C8859,$B$7930:$B$8796&amp;$C$7930:$C$8796,0))</f>
        <v>2.1000000000000001E-2</v>
      </c>
      <c r="O8859" s="508">
        <f t="array" ref="O8859">INDEX(O$7930:O$8796,MATCH($B8859&amp;$C8859,$B$7930:$B$8796&amp;$C$7930:$C$8796,0))</f>
        <v>1.9E-2</v>
      </c>
      <c r="P8859" s="508">
        <f t="array" ref="P8859">INDEX(P$7930:P$8796,MATCH($B8859&amp;$C8859,$B$7930:$B$8796&amp;$C$7930:$C$8796,0))</f>
        <v>0.01</v>
      </c>
      <c r="Q8859" s="508">
        <f t="array" ref="Q8859">INDEX(Q$7930:Q$8796,MATCH($B8859&amp;$C8859,$B$7930:$B$8796&amp;$C$7930:$C$8796,0))</f>
        <v>0.01</v>
      </c>
      <c r="R8859" s="508">
        <f t="array" ref="R8859">INDEX(R$7930:R$8796,MATCH($B8859&amp;$C8859,$B$7930:$B$8796&amp;$C$7930:$C$8796,0))</f>
        <v>1.0999999999999999E-2</v>
      </c>
      <c r="S8859" s="508">
        <f t="array" ref="S8859">INDEX(S$7930:S$8796,MATCH($B8859&amp;$C8859,$B$7930:$B$8796&amp;$C$7930:$C$8796,0))</f>
        <v>0.01</v>
      </c>
      <c r="T8859" s="508">
        <f t="array" ref="T8859">INDEX(T$7930:T$8796,MATCH($B8859&amp;$C8859,$B$7930:$B$8796&amp;$C$7930:$C$8796,0))</f>
        <v>1.0999999999999999E-2</v>
      </c>
      <c r="U8859" s="508">
        <f t="array" ref="U8859">INDEX(U$7930:U$8796,MATCH($B8859&amp;$C8859,$B$7930:$B$8796&amp;$C$7930:$C$8796,0))</f>
        <v>1.2999999999999999E-2</v>
      </c>
      <c r="V8859" s="508">
        <f t="array" ref="V8859">INDEX(V$7930:V$8796,MATCH($B8859&amp;$C8859,$B$7930:$B$8796&amp;$C$7930:$C$8796,0))</f>
        <v>1.2999999999999999E-2</v>
      </c>
      <c r="W8859" s="508">
        <f t="array" ref="W8859">INDEX(W$7930:W$8796,MATCH($B8859&amp;$C8859,$B$7930:$B$8796&amp;$C$7930:$C$8796,0))</f>
        <v>1.2999999999999999E-2</v>
      </c>
      <c r="X8859" s="508">
        <f t="array" ref="X8859">INDEX(X$7930:X$8796,MATCH($B8859&amp;$C8859,$B$7930:$B$8796&amp;$C$7930:$C$8796,0))</f>
        <v>1.2E-2</v>
      </c>
      <c r="Y8859" s="508">
        <f t="array" ref="Y8859">INDEX(Y$7930:Y$8796,MATCH($B8859&amp;$C8859,$B$7930:$B$8796&amp;$C$7930:$C$8796,0))</f>
        <v>1.2E-2</v>
      </c>
      <c r="Z8859" s="508">
        <f t="array" ref="Z8859">INDEX(Z$7930:Z$8796,MATCH($B8859&amp;$C8859,$B$7930:$B$8796&amp;$C$7930:$C$8796,0))</f>
        <v>1.2E-2</v>
      </c>
      <c r="AA8859" s="508">
        <f t="array" ref="AA8859">INDEX(AA$7930:AA$8796,MATCH($B8859&amp;$C8859,$B$7930:$B$8796&amp;$C$7930:$C$8796,0))</f>
        <v>1.2E-2</v>
      </c>
      <c r="AB8859" s="508">
        <f t="array" ref="AB8859">INDEX(AB$7930:AB$8796,MATCH($B8859&amp;$C8859,$B$7930:$B$8796&amp;$C$7930:$C$8796,0))</f>
        <v>1.0999999999999999E-2</v>
      </c>
      <c r="AC8859" s="508">
        <f t="array" ref="AC8859">INDEX(AC$7930:AC$8796,MATCH($B8859&amp;$C8859,$B$7930:$B$8796&amp;$C$7930:$C$8796,0))</f>
        <v>1.0999999999999999E-2</v>
      </c>
      <c r="AD8859" s="508">
        <f t="array" ref="AD8859">INDEX(AD$7930:AD$8796,MATCH($B8859&amp;$C8859,$B$7930:$B$8796&amp;$C$7930:$C$8796,0))</f>
        <v>1.0999999999999999E-2</v>
      </c>
      <c r="AE8859" s="508">
        <f t="array" ref="AE8859">INDEX(AE$7930:AE$8796,MATCH($B8859&amp;$C8859,$B$7930:$B$8796&amp;$C$7930:$C$8796,0))</f>
        <v>1.0999999999999999E-2</v>
      </c>
      <c r="AF8859" s="508">
        <f t="array" ref="AF8859">INDEX(AF$7930:AF$8796,MATCH($B8859&amp;$C8859,$B$7930:$B$8796&amp;$C$7930:$C$8796,0))</f>
        <v>0.01</v>
      </c>
      <c r="AG8859" s="508">
        <f t="array" ref="AG8859">INDEX(AG$7930:AG$8796,MATCH($B8859&amp;$C8859,$B$7930:$B$8796&amp;$C$7930:$C$8796,0))</f>
        <v>0.01</v>
      </c>
      <c r="AH8859" s="508">
        <f t="array" ref="AH8859">INDEX(AH$7930:AH$8796,MATCH($B8859&amp;$C8859,$B$7930:$B$8796&amp;$C$7930:$C$8796,0))</f>
        <v>0.01</v>
      </c>
      <c r="AI8859" s="508">
        <f t="array" ref="AI8859">INDEX(AI$7930:AI$8796,MATCH($B8859&amp;$C8859,$B$7930:$B$8796&amp;$C$7930:$C$8796,0))</f>
        <v>0.01</v>
      </c>
      <c r="AJ8859" s="508"/>
      <c r="AK8859" s="508">
        <f t="shared" si="179"/>
        <v>0.01</v>
      </c>
      <c r="AL8859" s="508">
        <f t="shared" si="183"/>
        <v>0.01</v>
      </c>
      <c r="AM8859" s="508">
        <f t="shared" si="183"/>
        <v>0.01</v>
      </c>
      <c r="AN8859" s="508">
        <f t="shared" si="183"/>
        <v>0.01</v>
      </c>
      <c r="AO8859" s="508">
        <f t="array" ref="AO8859">INDEX('GREET Fuel Attributes'!$E$8948:$E$9083,MATCH($C8859&amp;$D8859,'GREET Fuel Attributes'!$B$8948:$B$9083&amp;'GREET Fuel Attributes'!$C$8948:$C$9083,0))/INDEX('GREET Fuel Attributes'!$D$8948:$D$9083,MATCH($C8859&amp;$D8859,'GREET Fuel Attributes'!$B$8948:$B$9083&amp;'GREET Fuel Attributes'!$C$8948:$C$9083,0))*AI8859</f>
        <v>0.01</v>
      </c>
      <c r="AP8859" s="132" t="s">
        <v>1387</v>
      </c>
      <c r="AQ8859" s="142" t="s">
        <v>302</v>
      </c>
    </row>
    <row r="8860" spans="2:43">
      <c r="B8860" s="136" t="str">
        <f t="shared" si="182"/>
        <v>ILLINOIS</v>
      </c>
      <c r="C8860" s="132" t="s">
        <v>1369</v>
      </c>
      <c r="D8860" s="132" t="s">
        <v>282</v>
      </c>
      <c r="E8860" s="508">
        <f t="array" ref="E8860">INDEX(E$1861:E$2727,MATCH($B8860&amp;$C8860,$B$1861:$B$2727&amp;$C$1861:$C$2727,0))</f>
        <v>119.71</v>
      </c>
      <c r="F8860" s="508">
        <f t="array" ref="F8860">INDEX(F$1861:F$2727,MATCH($B8860&amp;$C8860,$B$1861:$B$2727&amp;$C$1861:$C$2727,0))</f>
        <v>48.177999999999997</v>
      </c>
      <c r="G8860" s="508">
        <f t="array" ref="G8860">INDEX(G$1861:G$2727,MATCH($B8860&amp;$C8860,$B$1861:$B$2727&amp;$C$1861:$C$2727,0))</f>
        <v>48.280999999999999</v>
      </c>
      <c r="H8860" s="508">
        <f t="array" ref="H8860">INDEX(H$1861:H$2727,MATCH($B8860&amp;$C8860,$B$1861:$B$2727&amp;$C$1861:$C$2727,0))</f>
        <v>48.29</v>
      </c>
      <c r="I8860" s="508">
        <f t="array" ref="I8860">INDEX(I$1861:I$2727,MATCH($B8860&amp;$C8860,$B$1861:$B$2727&amp;$C$1861:$C$2727,0))</f>
        <v>48.271999999999998</v>
      </c>
      <c r="J8860" s="508">
        <f t="array" ref="J8860">INDEX(J$1861:J$2727,MATCH($B8860&amp;$C8860,$B$1861:$B$2727&amp;$C$1861:$C$2727,0))</f>
        <v>41.968000000000004</v>
      </c>
      <c r="K8860" s="508">
        <f t="array" ref="K8860">INDEX(K$1861:K$2727,MATCH($B8860&amp;$C8860,$B$1861:$B$2727&amp;$C$1861:$C$2727,0))</f>
        <v>41.832999999999998</v>
      </c>
      <c r="L8860" s="508">
        <f t="array" ref="L8860">INDEX(L$1861:L$2727,MATCH($B8860&amp;$C8860,$B$1861:$B$2727&amp;$C$1861:$C$2727,0))</f>
        <v>41.570999999999998</v>
      </c>
      <c r="M8860" s="508">
        <f t="array" ref="M8860">INDEX(M$1861:M$2727,MATCH($B8860&amp;$C8860,$B$1861:$B$2727&amp;$C$1861:$C$2727,0))</f>
        <v>41.250999999999998</v>
      </c>
      <c r="N8860" s="508">
        <f t="array" ref="N8860">INDEX(N$1861:N$2727,MATCH($B8860&amp;$C8860,$B$1861:$B$2727&amp;$C$1861:$C$2727,0))</f>
        <v>41.433999999999997</v>
      </c>
      <c r="O8860" s="508">
        <f t="array" ref="O8860">INDEX(O$1861:O$2727,MATCH($B8860&amp;$C8860,$B$1861:$B$2727&amp;$C$1861:$C$2727,0))</f>
        <v>40.645000000000003</v>
      </c>
      <c r="P8860" s="508">
        <f t="array" ref="P8860">INDEX(P$1861:P$2727,MATCH($B8860&amp;$C8860,$B$1861:$B$2727&amp;$C$1861:$C$2727,0))</f>
        <v>15.324</v>
      </c>
      <c r="Q8860" s="508">
        <f t="array" ref="Q8860">INDEX(Q$1861:Q$2727,MATCH($B8860&amp;$C8860,$B$1861:$B$2727&amp;$C$1861:$C$2727,0))</f>
        <v>16.686</v>
      </c>
      <c r="R8860" s="508">
        <f t="array" ref="R8860">INDEX(R$1861:R$2727,MATCH($B8860&amp;$C8860,$B$1861:$B$2727&amp;$C$1861:$C$2727,0))</f>
        <v>15.888999999999999</v>
      </c>
      <c r="S8860" s="508">
        <f t="array" ref="S8860">INDEX(S$1861:S$2727,MATCH($B8860&amp;$C8860,$B$1861:$B$2727&amp;$C$1861:$C$2727,0))</f>
        <v>15.814</v>
      </c>
      <c r="T8860" s="508">
        <f t="array" ref="T8860">INDEX(T$1861:T$2727,MATCH($B8860&amp;$C8860,$B$1861:$B$2727&amp;$C$1861:$C$2727,0))</f>
        <v>15.337999999999999</v>
      </c>
      <c r="U8860" s="508">
        <f t="array" ref="U8860">INDEX(U$1861:U$2727,MATCH($B8860&amp;$C8860,$B$1861:$B$2727&amp;$C$1861:$C$2727,0))</f>
        <v>9.4250000000000007</v>
      </c>
      <c r="V8860" s="508">
        <f t="array" ref="V8860">INDEX(V$1861:V$2727,MATCH($B8860&amp;$C8860,$B$1861:$B$2727&amp;$C$1861:$C$2727,0))</f>
        <v>9.1980000000000004</v>
      </c>
      <c r="W8860" s="508">
        <f t="array" ref="W8860">INDEX(W$1861:W$2727,MATCH($B8860&amp;$C8860,$B$1861:$B$2727&amp;$C$1861:$C$2727,0))</f>
        <v>9.4079999999999995</v>
      </c>
      <c r="X8860" s="508">
        <f t="array" ref="X8860">INDEX(X$1861:X$2727,MATCH($B8860&amp;$C8860,$B$1861:$B$2727&amp;$C$1861:$C$2727,0))</f>
        <v>6.7880000000000003</v>
      </c>
      <c r="Y8860" s="508">
        <f t="array" ref="Y8860">INDEX(Y$1861:Y$2727,MATCH($B8860&amp;$C8860,$B$1861:$B$2727&amp;$C$1861:$C$2727,0))</f>
        <v>5.952</v>
      </c>
      <c r="Z8860" s="508">
        <f t="array" ref="Z8860">INDEX(Z$1861:Z$2727,MATCH($B8860&amp;$C8860,$B$1861:$B$2727&amp;$C$1861:$C$2727,0))</f>
        <v>4.8419999999999996</v>
      </c>
      <c r="AA8860" s="508">
        <f t="array" ref="AA8860">INDEX(AA$1861:AA$2727,MATCH($B8860&amp;$C8860,$B$1861:$B$2727&amp;$C$1861:$C$2727,0))</f>
        <v>4.43</v>
      </c>
      <c r="AB8860" s="508">
        <f t="array" ref="AB8860">INDEX(AB$1861:AB$2727,MATCH($B8860&amp;$C8860,$B$1861:$B$2727&amp;$C$1861:$C$2727,0))</f>
        <v>3.9359999999999999</v>
      </c>
      <c r="AC8860" s="508">
        <f t="array" ref="AC8860">INDEX(AC$1861:AC$2727,MATCH($B8860&amp;$C8860,$B$1861:$B$2727&amp;$C$1861:$C$2727,0))</f>
        <v>3.6440000000000001</v>
      </c>
      <c r="AD8860" s="508">
        <f t="array" ref="AD8860">INDEX(AD$1861:AD$2727,MATCH($B8860&amp;$C8860,$B$1861:$B$2727&amp;$C$1861:$C$2727,0))</f>
        <v>2.9489999999999998</v>
      </c>
      <c r="AE8860" s="508">
        <f t="array" ref="AE8860">INDEX(AE$1861:AE$2727,MATCH($B8860&amp;$C8860,$B$1861:$B$2727&amp;$C$1861:$C$2727,0))</f>
        <v>2.9079999999999999</v>
      </c>
      <c r="AF8860" s="508">
        <f t="array" ref="AF8860">INDEX(AF$1861:AF$2727,MATCH($B8860&amp;$C8860,$B$1861:$B$2727&amp;$C$1861:$C$2727,0))</f>
        <v>1.607</v>
      </c>
      <c r="AG8860" s="508">
        <f t="array" ref="AG8860">INDEX(AG$1861:AG$2727,MATCH($B8860&amp;$C8860,$B$1861:$B$2727&amp;$C$1861:$C$2727,0))</f>
        <v>1.56</v>
      </c>
      <c r="AH8860" s="508">
        <f t="array" ref="AH8860">INDEX(AH$1861:AH$2727,MATCH($B8860&amp;$C8860,$B$1861:$B$2727&amp;$C$1861:$C$2727,0))</f>
        <v>1.55</v>
      </c>
      <c r="AI8860" s="508">
        <f t="array" ref="AI8860">INDEX(AI$1861:AI$2727,MATCH($B8860&amp;$C8860,$B$1861:$B$2727&amp;$C$1861:$C$2727,0))</f>
        <v>1.5409999999999999</v>
      </c>
      <c r="AJ8860" s="508"/>
      <c r="AK8860" s="508">
        <f t="shared" si="179"/>
        <v>1.3891970187945559</v>
      </c>
      <c r="AL8860" s="508">
        <f t="shared" si="183"/>
        <v>1.2373940375891119</v>
      </c>
      <c r="AM8860" s="508">
        <f t="shared" si="183"/>
        <v>1.0855910563836679</v>
      </c>
      <c r="AN8860" s="508">
        <f t="shared" si="183"/>
        <v>0.93378807517822393</v>
      </c>
      <c r="AO8860" s="508">
        <f t="array" ref="AO8860">INDEX('GREET Fuel Attributes'!$E$8948:$E$9083,MATCH($C8860&amp;$D8860,'GREET Fuel Attributes'!$B$8948:$B$9083&amp;'GREET Fuel Attributes'!$C$8948:$C$9083,0))/INDEX('GREET Fuel Attributes'!$D$8948:$D$9083,MATCH($C8860&amp;$D8860,'GREET Fuel Attributes'!$B$8948:$B$9083&amp;'GREET Fuel Attributes'!$C$8948:$C$9083,0))*AI8860</f>
        <v>0.78198509397278027</v>
      </c>
      <c r="AP8860" s="132" t="s">
        <v>1388</v>
      </c>
      <c r="AQ8860" s="142" t="s">
        <v>302</v>
      </c>
    </row>
    <row r="8861" spans="2:43">
      <c r="B8861" s="136" t="str">
        <f t="shared" si="182"/>
        <v>ILLINOIS</v>
      </c>
      <c r="C8861" s="132" t="s">
        <v>1369</v>
      </c>
      <c r="D8861" s="132" t="s">
        <v>283</v>
      </c>
      <c r="E8861" s="508">
        <f t="array" ref="E8861">INDEX(E$2728:E$3594,MATCH($B8861&amp;$C8861,$B$2728:$B$3594&amp;$C$2728:$C$3594,0))</f>
        <v>6.0069999999999997</v>
      </c>
      <c r="F8861" s="508">
        <f t="array" ref="F8861">INDEX(F$2728:F$3594,MATCH($B8861&amp;$C8861,$B$2728:$B$3594&amp;$C$2728:$C$3594,0))</f>
        <v>6.4269999999999996</v>
      </c>
      <c r="G8861" s="508">
        <f t="array" ref="G8861">INDEX(G$2728:G$3594,MATCH($B8861&amp;$C8861,$B$2728:$B$3594&amp;$C$2728:$C$3594,0))</f>
        <v>6.4180000000000001</v>
      </c>
      <c r="H8861" s="508">
        <f t="array" ref="H8861">INDEX(H$2728:H$3594,MATCH($B8861&amp;$C8861,$B$2728:$B$3594&amp;$C$2728:$C$3594,0))</f>
        <v>6.4169999999999998</v>
      </c>
      <c r="I8861" s="508">
        <f t="array" ref="I8861">INDEX(I$2728:I$3594,MATCH($B8861&amp;$C8861,$B$2728:$B$3594&amp;$C$2728:$C$3594,0))</f>
        <v>6.4189999999999996</v>
      </c>
      <c r="J8861" s="508">
        <f t="array" ref="J8861">INDEX(J$2728:J$3594,MATCH($B8861&amp;$C8861,$B$2728:$B$3594&amp;$C$2728:$C$3594,0))</f>
        <v>6.7709999999999999</v>
      </c>
      <c r="K8861" s="508">
        <f t="array" ref="K8861">INDEX(K$2728:K$3594,MATCH($B8861&amp;$C8861,$B$2728:$B$3594&amp;$C$2728:$C$3594,0))</f>
        <v>6.7430000000000003</v>
      </c>
      <c r="L8861" s="508">
        <f t="array" ref="L8861">INDEX(L$2728:L$3594,MATCH($B8861&amp;$C8861,$B$2728:$B$3594&amp;$C$2728:$C$3594,0))</f>
        <v>6.71</v>
      </c>
      <c r="M8861" s="508">
        <f t="array" ref="M8861">INDEX(M$2728:M$3594,MATCH($B8861&amp;$C8861,$B$2728:$B$3594&amp;$C$2728:$C$3594,0))</f>
        <v>6.6559999999999997</v>
      </c>
      <c r="N8861" s="508">
        <f t="array" ref="N8861">INDEX(N$2728:N$3594,MATCH($B8861&amp;$C8861,$B$2728:$B$3594&amp;$C$2728:$C$3594,0))</f>
        <v>6.4939999999999998</v>
      </c>
      <c r="O8861" s="508">
        <f t="array" ref="O8861">INDEX(O$2728:O$3594,MATCH($B8861&amp;$C8861,$B$2728:$B$3594&amp;$C$2728:$C$3594,0))</f>
        <v>6.4409999999999998</v>
      </c>
      <c r="P8861" s="508">
        <f t="array" ref="P8861">INDEX(P$2728:P$3594,MATCH($B8861&amp;$C8861,$B$2728:$B$3594&amp;$C$2728:$C$3594,0))</f>
        <v>2.964</v>
      </c>
      <c r="Q8861" s="508">
        <f t="array" ref="Q8861">INDEX(Q$2728:Q$3594,MATCH($B8861&amp;$C8861,$B$2728:$B$3594&amp;$C$2728:$C$3594,0))</f>
        <v>2.8679999999999999</v>
      </c>
      <c r="R8861" s="508">
        <f t="array" ref="R8861">INDEX(R$2728:R$3594,MATCH($B8861&amp;$C8861,$B$2728:$B$3594&amp;$C$2728:$C$3594,0))</f>
        <v>2.8029999999999999</v>
      </c>
      <c r="S8861" s="508">
        <f t="array" ref="S8861">INDEX(S$2728:S$3594,MATCH($B8861&amp;$C8861,$B$2728:$B$3594&amp;$C$2728:$C$3594,0))</f>
        <v>2.7839999999999998</v>
      </c>
      <c r="T8861" s="508">
        <f t="array" ref="T8861">INDEX(T$2728:T$3594,MATCH($B8861&amp;$C8861,$B$2728:$B$3594&amp;$C$2728:$C$3594,0))</f>
        <v>2.72</v>
      </c>
      <c r="U8861" s="508">
        <f t="array" ref="U8861">INDEX(U$2728:U$3594,MATCH($B8861&amp;$C8861,$B$2728:$B$3594&amp;$C$2728:$C$3594,0))</f>
        <v>1.659</v>
      </c>
      <c r="V8861" s="508">
        <f t="array" ref="V8861">INDEX(V$2728:V$3594,MATCH($B8861&amp;$C8861,$B$2728:$B$3594&amp;$C$2728:$C$3594,0))</f>
        <v>1.6259999999999999</v>
      </c>
      <c r="W8861" s="508">
        <f t="array" ref="W8861">INDEX(W$2728:W$3594,MATCH($B8861&amp;$C8861,$B$2728:$B$3594&amp;$C$2728:$C$3594,0))</f>
        <v>1.7010000000000001</v>
      </c>
      <c r="X8861" s="508">
        <f t="array" ref="X8861">INDEX(X$2728:X$3594,MATCH($B8861&amp;$C8861,$B$2728:$B$3594&amp;$C$2728:$C$3594,0))</f>
        <v>0.89300000000000002</v>
      </c>
      <c r="Y8861" s="508">
        <f t="array" ref="Y8861">INDEX(Y$2728:Y$3594,MATCH($B8861&amp;$C8861,$B$2728:$B$3594&amp;$C$2728:$C$3594,0))</f>
        <v>0.66700000000000004</v>
      </c>
      <c r="Z8861" s="508">
        <f t="array" ref="Z8861">INDEX(Z$2728:Z$3594,MATCH($B8861&amp;$C8861,$B$2728:$B$3594&amp;$C$2728:$C$3594,0))</f>
        <v>0.47</v>
      </c>
      <c r="AA8861" s="508">
        <f t="array" ref="AA8861">INDEX(AA$2728:AA$3594,MATCH($B8861&amp;$C8861,$B$2728:$B$3594&amp;$C$2728:$C$3594,0))</f>
        <v>0.38900000000000001</v>
      </c>
      <c r="AB8861" s="508">
        <f t="array" ref="AB8861">INDEX(AB$2728:AB$3594,MATCH($B8861&amp;$C8861,$B$2728:$B$3594&amp;$C$2728:$C$3594,0))</f>
        <v>0.28699999999999998</v>
      </c>
      <c r="AC8861" s="508">
        <f t="array" ref="AC8861">INDEX(AC$2728:AC$3594,MATCH($B8861&amp;$C8861,$B$2728:$B$3594&amp;$C$2728:$C$3594,0))</f>
        <v>0.23400000000000001</v>
      </c>
      <c r="AD8861" s="508">
        <f t="array" ref="AD8861">INDEX(AD$2728:AD$3594,MATCH($B8861&amp;$C8861,$B$2728:$B$3594&amp;$C$2728:$C$3594,0))</f>
        <v>0.17699999999999999</v>
      </c>
      <c r="AE8861" s="508">
        <f t="array" ref="AE8861">INDEX(AE$2728:AE$3594,MATCH($B8861&amp;$C8861,$B$2728:$B$3594&amp;$C$2728:$C$3594,0))</f>
        <v>0.17799999999999999</v>
      </c>
      <c r="AF8861" s="508">
        <f t="array" ref="AF8861">INDEX(AF$2728:AF$3594,MATCH($B8861&amp;$C8861,$B$2728:$B$3594&amp;$C$2728:$C$3594,0))</f>
        <v>0.114</v>
      </c>
      <c r="AG8861" s="508">
        <f t="array" ref="AG8861">INDEX(AG$2728:AG$3594,MATCH($B8861&amp;$C8861,$B$2728:$B$3594&amp;$C$2728:$C$3594,0))</f>
        <v>0.113</v>
      </c>
      <c r="AH8861" s="508">
        <f t="array" ref="AH8861">INDEX(AH$2728:AH$3594,MATCH($B8861&amp;$C8861,$B$2728:$B$3594&amp;$C$2728:$C$3594,0))</f>
        <v>0.112</v>
      </c>
      <c r="AI8861" s="508">
        <f t="array" ref="AI8861">INDEX(AI$2728:AI$3594,MATCH($B8861&amp;$C8861,$B$2728:$B$3594&amp;$C$2728:$C$3594,0))</f>
        <v>0.112</v>
      </c>
      <c r="AJ8861" s="508"/>
      <c r="AK8861" s="508">
        <f t="shared" si="179"/>
        <v>0.10315414012738854</v>
      </c>
      <c r="AL8861" s="508">
        <f t="shared" si="183"/>
        <v>9.4308280254777069E-2</v>
      </c>
      <c r="AM8861" s="508">
        <f t="shared" si="183"/>
        <v>8.5462420382165602E-2</v>
      </c>
      <c r="AN8861" s="508">
        <f t="shared" si="183"/>
        <v>7.6616560509554135E-2</v>
      </c>
      <c r="AO8861" s="508">
        <f t="array" ref="AO8861">INDEX('GREET Fuel Attributes'!$E$8948:$E$9083,MATCH($C8861&amp;$D8861,'GREET Fuel Attributes'!$B$8948:$B$9083&amp;'GREET Fuel Attributes'!$C$8948:$C$9083,0))/INDEX('GREET Fuel Attributes'!$D$8948:$D$9083,MATCH($C8861&amp;$D8861,'GREET Fuel Attributes'!$B$8948:$B$9083&amp;'GREET Fuel Attributes'!$C$8948:$C$9083,0))*AI8861</f>
        <v>6.7770700636942668E-2</v>
      </c>
      <c r="AP8861" s="132" t="s">
        <v>1388</v>
      </c>
      <c r="AQ8861" s="142" t="s">
        <v>302</v>
      </c>
    </row>
    <row r="8862" spans="2:43">
      <c r="B8862" s="136" t="str">
        <f t="shared" si="182"/>
        <v>ILLINOIS</v>
      </c>
      <c r="C8862" s="132" t="s">
        <v>1369</v>
      </c>
      <c r="D8862" s="132" t="s">
        <v>284</v>
      </c>
      <c r="E8862" s="508">
        <f t="array" ref="E8862">INDEX(E$3595:E$4461,MATCH($B8862&amp;$C8862,$B$3595:$B$4461&amp;$C$3595:$C$4461,0))</f>
        <v>0.129</v>
      </c>
      <c r="F8862" s="508">
        <f t="array" ref="F8862">INDEX(F$3595:F$4461,MATCH($B8862&amp;$C8862,$B$3595:$B$4461&amp;$C$3595:$C$4461,0))</f>
        <v>0.121</v>
      </c>
      <c r="G8862" s="508">
        <f t="array" ref="G8862">INDEX(G$3595:G$4461,MATCH($B8862&amp;$C8862,$B$3595:$B$4461&amp;$C$3595:$C$4461,0))</f>
        <v>0.12</v>
      </c>
      <c r="H8862" s="508">
        <f t="array" ref="H8862">INDEX(H$3595:H$4461,MATCH($B8862&amp;$C8862,$B$3595:$B$4461&amp;$C$3595:$C$4461,0))</f>
        <v>0.1</v>
      </c>
      <c r="I8862" s="508">
        <f t="array" ref="I8862">INDEX(I$3595:I$4461,MATCH($B8862&amp;$C8862,$B$3595:$B$4461&amp;$C$3595:$C$4461,0))</f>
        <v>0.10100000000000001</v>
      </c>
      <c r="J8862" s="508">
        <f t="array" ref="J8862">INDEX(J$3595:J$4461,MATCH($B8862&amp;$C8862,$B$3595:$B$4461&amp;$C$3595:$C$4461,0))</f>
        <v>0.10199999999999999</v>
      </c>
      <c r="K8862" s="508">
        <f t="array" ref="K8862">INDEX(K$3595:K$4461,MATCH($B8862&amp;$C8862,$B$3595:$B$4461&amp;$C$3595:$C$4461,0))</f>
        <v>6.7000000000000004E-2</v>
      </c>
      <c r="L8862" s="508">
        <f t="array" ref="L8862">INDEX(L$3595:L$4461,MATCH($B8862&amp;$C8862,$B$3595:$B$4461&amp;$C$3595:$C$4461,0))</f>
        <v>6.6000000000000003E-2</v>
      </c>
      <c r="M8862" s="508">
        <f t="array" ref="M8862">INDEX(M$3595:M$4461,MATCH($B8862&amp;$C8862,$B$3595:$B$4461&amp;$C$3595:$C$4461,0))</f>
        <v>6.6000000000000003E-2</v>
      </c>
      <c r="N8862" s="508">
        <f t="array" ref="N8862">INDEX(N$3595:N$4461,MATCH($B8862&amp;$C8862,$B$3595:$B$4461&amp;$C$3595:$C$4461,0))</f>
        <v>6.2E-2</v>
      </c>
      <c r="O8862" s="508">
        <f t="array" ref="O8862">INDEX(O$3595:O$4461,MATCH($B8862&amp;$C8862,$B$3595:$B$4461&amp;$C$3595:$C$4461,0))</f>
        <v>5.3999999999999999E-2</v>
      </c>
      <c r="P8862" s="508">
        <f t="array" ref="P8862">INDEX(P$3595:P$4461,MATCH($B8862&amp;$C8862,$B$3595:$B$4461&amp;$C$3595:$C$4461,0))</f>
        <v>3.9E-2</v>
      </c>
      <c r="Q8862" s="508">
        <f t="array" ref="Q8862">INDEX(Q$3595:Q$4461,MATCH($B8862&amp;$C8862,$B$3595:$B$4461&amp;$C$3595:$C$4461,0))</f>
        <v>3.9E-2</v>
      </c>
      <c r="R8862" s="508">
        <f t="array" ref="R8862">INDEX(R$3595:R$4461,MATCH($B8862&amp;$C8862,$B$3595:$B$4461&amp;$C$3595:$C$4461,0))</f>
        <v>3.4000000000000002E-2</v>
      </c>
      <c r="S8862" s="508">
        <f t="array" ref="S8862">INDEX(S$3595:S$4461,MATCH($B8862&amp;$C8862,$B$3595:$B$4461&amp;$C$3595:$C$4461,0))</f>
        <v>3.2000000000000001E-2</v>
      </c>
      <c r="T8862" s="508">
        <f t="array" ref="T8862">INDEX(T$3595:T$4461,MATCH($B8862&amp;$C8862,$B$3595:$B$4461&amp;$C$3595:$C$4461,0))</f>
        <v>0.03</v>
      </c>
      <c r="U8862" s="508">
        <f t="array" ref="U8862">INDEX(U$3595:U$4461,MATCH($B8862&amp;$C8862,$B$3595:$B$4461&amp;$C$3595:$C$4461,0))</f>
        <v>1.7000000000000001E-2</v>
      </c>
      <c r="V8862" s="508">
        <f t="array" ref="V8862">INDEX(V$3595:V$4461,MATCH($B8862&amp;$C8862,$B$3595:$B$4461&amp;$C$3595:$C$4461,0))</f>
        <v>1.4999999999999999E-2</v>
      </c>
      <c r="W8862" s="508">
        <f t="array" ref="W8862">INDEX(W$3595:W$4461,MATCH($B8862&amp;$C8862,$B$3595:$B$4461&amp;$C$3595:$C$4461,0))</f>
        <v>1.4999999999999999E-2</v>
      </c>
      <c r="X8862" s="508">
        <f t="array" ref="X8862">INDEX(X$3595:X$4461,MATCH($B8862&amp;$C8862,$B$3595:$B$4461&amp;$C$3595:$C$4461,0))</f>
        <v>0.01</v>
      </c>
      <c r="Y8862" s="508">
        <f t="array" ref="Y8862">INDEX(Y$3595:Y$4461,MATCH($B8862&amp;$C8862,$B$3595:$B$4461&amp;$C$3595:$C$4461,0))</f>
        <v>0.01</v>
      </c>
      <c r="Z8862" s="508">
        <f t="array" ref="Z8862">INDEX(Z$3595:Z$4461,MATCH($B8862&amp;$C8862,$B$3595:$B$4461&amp;$C$3595:$C$4461,0))</f>
        <v>8.0000000000000002E-3</v>
      </c>
      <c r="AA8862" s="508">
        <f t="array" ref="AA8862">INDEX(AA$3595:AA$4461,MATCH($B8862&amp;$C8862,$B$3595:$B$4461&amp;$C$3595:$C$4461,0))</f>
        <v>8.0000000000000002E-3</v>
      </c>
      <c r="AB8862" s="508">
        <f t="array" ref="AB8862">INDEX(AB$3595:AB$4461,MATCH($B8862&amp;$C8862,$B$3595:$B$4461&amp;$C$3595:$C$4461,0))</f>
        <v>7.0000000000000001E-3</v>
      </c>
      <c r="AC8862" s="508">
        <f t="array" ref="AC8862">INDEX(AC$3595:AC$4461,MATCH($B8862&amp;$C8862,$B$3595:$B$4461&amp;$C$3595:$C$4461,0))</f>
        <v>7.0000000000000001E-3</v>
      </c>
      <c r="AD8862" s="508">
        <f t="array" ref="AD8862">INDEX(AD$3595:AD$4461,MATCH($B8862&amp;$C8862,$B$3595:$B$4461&amp;$C$3595:$C$4461,0))</f>
        <v>6.0000000000000001E-3</v>
      </c>
      <c r="AE8862" s="508">
        <f t="array" ref="AE8862">INDEX(AE$3595:AE$4461,MATCH($B8862&amp;$C8862,$B$3595:$B$4461&amp;$C$3595:$C$4461,0))</f>
        <v>6.0000000000000001E-3</v>
      </c>
      <c r="AF8862" s="508">
        <f t="array" ref="AF8862">INDEX(AF$3595:AF$4461,MATCH($B8862&amp;$C8862,$B$3595:$B$4461&amp;$C$3595:$C$4461,0))</f>
        <v>4.0000000000000001E-3</v>
      </c>
      <c r="AG8862" s="508">
        <f t="array" ref="AG8862">INDEX(AG$3595:AG$4461,MATCH($B8862&amp;$C8862,$B$3595:$B$4461&amp;$C$3595:$C$4461,0))</f>
        <v>4.0000000000000001E-3</v>
      </c>
      <c r="AH8862" s="508">
        <f t="array" ref="AH8862">INDEX(AH$3595:AH$4461,MATCH($B8862&amp;$C8862,$B$3595:$B$4461&amp;$C$3595:$C$4461,0))</f>
        <v>4.0000000000000001E-3</v>
      </c>
      <c r="AI8862" s="508">
        <f t="array" ref="AI8862">INDEX(AI$3595:AI$4461,MATCH($B8862&amp;$C8862,$B$3595:$B$4461&amp;$C$3595:$C$4461,0))</f>
        <v>4.0000000000000001E-3</v>
      </c>
      <c r="AJ8862" s="508"/>
      <c r="AK8862" s="508">
        <f t="shared" si="179"/>
        <v>3.6571428571428571E-3</v>
      </c>
      <c r="AL8862" s="508">
        <f t="shared" si="183"/>
        <v>3.3142857142857141E-3</v>
      </c>
      <c r="AM8862" s="508">
        <f t="shared" si="183"/>
        <v>2.971428571428571E-3</v>
      </c>
      <c r="AN8862" s="508">
        <f t="shared" si="183"/>
        <v>2.628571428571428E-3</v>
      </c>
      <c r="AO8862" s="508">
        <f t="array" ref="AO8862">INDEX('GREET Fuel Attributes'!$E$8948:$E$9083,MATCH($C8862&amp;$D8862,'GREET Fuel Attributes'!$B$8948:$B$9083&amp;'GREET Fuel Attributes'!$C$8948:$C$9083,0))/INDEX('GREET Fuel Attributes'!$D$8948:$D$9083,MATCH($C8862&amp;$D8862,'GREET Fuel Attributes'!$B$8948:$B$9083&amp;'GREET Fuel Attributes'!$C$8948:$C$9083,0))*AI8862</f>
        <v>2.2857142857142855E-3</v>
      </c>
      <c r="AP8862" s="132" t="s">
        <v>1388</v>
      </c>
      <c r="AQ8862" s="142" t="s">
        <v>302</v>
      </c>
    </row>
    <row r="8863" spans="2:43">
      <c r="B8863" s="136" t="str">
        <f t="shared" si="182"/>
        <v>ILLINOIS</v>
      </c>
      <c r="C8863" s="132" t="s">
        <v>1369</v>
      </c>
      <c r="D8863" s="132" t="s">
        <v>1379</v>
      </c>
      <c r="E8863" s="508">
        <f t="array" ref="E8863">INDEX(E$4462:E$5328,MATCH($B8863&amp;$C8863,$B$4462:$B$5328&amp;$C$4462:$C$5328,0))</f>
        <v>5.1999999999999998E-2</v>
      </c>
      <c r="F8863" s="508">
        <f t="array" ref="F8863">INDEX(F$4462:F$5328,MATCH($B8863&amp;$C8863,$B$4462:$B$5328&amp;$C$4462:$C$5328,0))</f>
        <v>5.1999999999999998E-2</v>
      </c>
      <c r="G8863" s="508">
        <f t="array" ref="G8863">INDEX(G$4462:G$5328,MATCH($B8863&amp;$C8863,$B$4462:$B$5328&amp;$C$4462:$C$5328,0))</f>
        <v>5.1999999999999998E-2</v>
      </c>
      <c r="H8863" s="508">
        <f t="array" ref="H8863">INDEX(H$4462:H$5328,MATCH($B8863&amp;$C8863,$B$4462:$B$5328&amp;$C$4462:$C$5328,0))</f>
        <v>5.1999999999999998E-2</v>
      </c>
      <c r="I8863" s="508">
        <f t="array" ref="I8863">INDEX(I$4462:I$5328,MATCH($B8863&amp;$C8863,$B$4462:$B$5328&amp;$C$4462:$C$5328,0))</f>
        <v>5.1999999999999998E-2</v>
      </c>
      <c r="J8863" s="508">
        <f t="array" ref="J8863">INDEX(J$4462:J$5328,MATCH($B8863&amp;$C8863,$B$4462:$B$5328&amp;$C$4462:$C$5328,0))</f>
        <v>5.1999999999999998E-2</v>
      </c>
      <c r="K8863" s="508">
        <f t="array" ref="K8863">INDEX(K$4462:K$5328,MATCH($B8863&amp;$C8863,$B$4462:$B$5328&amp;$C$4462:$C$5328,0))</f>
        <v>5.1999999999999998E-2</v>
      </c>
      <c r="L8863" s="508">
        <f t="array" ref="L8863">INDEX(L$4462:L$5328,MATCH($B8863&amp;$C8863,$B$4462:$B$5328&amp;$C$4462:$C$5328,0))</f>
        <v>5.1999999999999998E-2</v>
      </c>
      <c r="M8863" s="508">
        <f t="array" ref="M8863">INDEX(M$4462:M$5328,MATCH($B8863&amp;$C8863,$B$4462:$B$5328&amp;$C$4462:$C$5328,0))</f>
        <v>5.1999999999999998E-2</v>
      </c>
      <c r="N8863" s="508">
        <f t="array" ref="N8863">INDEX(N$4462:N$5328,MATCH($B8863&amp;$C8863,$B$4462:$B$5328&amp;$C$4462:$C$5328,0))</f>
        <v>5.1999999999999998E-2</v>
      </c>
      <c r="O8863" s="508">
        <f t="array" ref="O8863">INDEX(O$4462:O$5328,MATCH($B8863&amp;$C8863,$B$4462:$B$5328&amp;$C$4462:$C$5328,0))</f>
        <v>5.1999999999999998E-2</v>
      </c>
      <c r="P8863" s="508">
        <f t="array" ref="P8863">INDEX(P$4462:P$5328,MATCH($B8863&amp;$C8863,$B$4462:$B$5328&amp;$C$4462:$C$5328,0))</f>
        <v>5.1999999999999998E-2</v>
      </c>
      <c r="Q8863" s="508">
        <f t="array" ref="Q8863">INDEX(Q$4462:Q$5328,MATCH($B8863&amp;$C8863,$B$4462:$B$5328&amp;$C$4462:$C$5328,0))</f>
        <v>5.1999999999999998E-2</v>
      </c>
      <c r="R8863" s="508">
        <f t="array" ref="R8863">INDEX(R$4462:R$5328,MATCH($B8863&amp;$C8863,$B$4462:$B$5328&amp;$C$4462:$C$5328,0))</f>
        <v>5.1999999999999998E-2</v>
      </c>
      <c r="S8863" s="508">
        <f t="array" ref="S8863">INDEX(S$4462:S$5328,MATCH($B8863&amp;$C8863,$B$4462:$B$5328&amp;$C$4462:$C$5328,0))</f>
        <v>5.1999999999999998E-2</v>
      </c>
      <c r="T8863" s="508">
        <f t="array" ref="T8863">INDEX(T$4462:T$5328,MATCH($B8863&amp;$C8863,$B$4462:$B$5328&amp;$C$4462:$C$5328,0))</f>
        <v>5.1999999999999998E-2</v>
      </c>
      <c r="U8863" s="508">
        <f t="array" ref="U8863">INDEX(U$4462:U$5328,MATCH($B8863&amp;$C8863,$B$4462:$B$5328&amp;$C$4462:$C$5328,0))</f>
        <v>5.1999999999999998E-2</v>
      </c>
      <c r="V8863" s="508">
        <f t="array" ref="V8863">INDEX(V$4462:V$5328,MATCH($B8863&amp;$C8863,$B$4462:$B$5328&amp;$C$4462:$C$5328,0))</f>
        <v>5.1999999999999998E-2</v>
      </c>
      <c r="W8863" s="508">
        <f t="array" ref="W8863">INDEX(W$4462:W$5328,MATCH($B8863&amp;$C8863,$B$4462:$B$5328&amp;$C$4462:$C$5328,0))</f>
        <v>5.1999999999999998E-2</v>
      </c>
      <c r="X8863" s="508">
        <f t="array" ref="X8863">INDEX(X$4462:X$5328,MATCH($B8863&amp;$C8863,$B$4462:$B$5328&amp;$C$4462:$C$5328,0))</f>
        <v>5.1999999999999998E-2</v>
      </c>
      <c r="Y8863" s="508">
        <f t="array" ref="Y8863">INDEX(Y$4462:Y$5328,MATCH($B8863&amp;$C8863,$B$4462:$B$5328&amp;$C$4462:$C$5328,0))</f>
        <v>5.1999999999999998E-2</v>
      </c>
      <c r="Z8863" s="508">
        <f t="array" ref="Z8863">INDEX(Z$4462:Z$5328,MATCH($B8863&amp;$C8863,$B$4462:$B$5328&amp;$C$4462:$C$5328,0))</f>
        <v>5.1999999999999998E-2</v>
      </c>
      <c r="AA8863" s="508">
        <f t="array" ref="AA8863">INDEX(AA$4462:AA$5328,MATCH($B8863&amp;$C8863,$B$4462:$B$5328&amp;$C$4462:$C$5328,0))</f>
        <v>5.1999999999999998E-2</v>
      </c>
      <c r="AB8863" s="508">
        <f t="array" ref="AB8863">INDEX(AB$4462:AB$5328,MATCH($B8863&amp;$C8863,$B$4462:$B$5328&amp;$C$4462:$C$5328,0))</f>
        <v>5.1999999999999998E-2</v>
      </c>
      <c r="AC8863" s="508">
        <f t="array" ref="AC8863">INDEX(AC$4462:AC$5328,MATCH($B8863&amp;$C8863,$B$4462:$B$5328&amp;$C$4462:$C$5328,0))</f>
        <v>5.1999999999999998E-2</v>
      </c>
      <c r="AD8863" s="508">
        <f t="array" ref="AD8863">INDEX(AD$4462:AD$5328,MATCH($B8863&amp;$C8863,$B$4462:$B$5328&amp;$C$4462:$C$5328,0))</f>
        <v>5.1999999999999998E-2</v>
      </c>
      <c r="AE8863" s="508">
        <f t="array" ref="AE8863">INDEX(AE$4462:AE$5328,MATCH($B8863&amp;$C8863,$B$4462:$B$5328&amp;$C$4462:$C$5328,0))</f>
        <v>5.1999999999999998E-2</v>
      </c>
      <c r="AF8863" s="508">
        <f t="array" ref="AF8863">INDEX(AF$4462:AF$5328,MATCH($B8863&amp;$C8863,$B$4462:$B$5328&amp;$C$4462:$C$5328,0))</f>
        <v>5.1999999999999998E-2</v>
      </c>
      <c r="AG8863" s="508">
        <f t="array" ref="AG8863">INDEX(AG$4462:AG$5328,MATCH($B8863&amp;$C8863,$B$4462:$B$5328&amp;$C$4462:$C$5328,0))</f>
        <v>5.1999999999999998E-2</v>
      </c>
      <c r="AH8863" s="508">
        <f t="array" ref="AH8863">INDEX(AH$4462:AH$5328,MATCH($B8863&amp;$C8863,$B$4462:$B$5328&amp;$C$4462:$C$5328,0))</f>
        <v>5.1999999999999998E-2</v>
      </c>
      <c r="AI8863" s="508">
        <f t="array" ref="AI8863">INDEX(AI$4462:AI$5328,MATCH($B8863&amp;$C8863,$B$4462:$B$5328&amp;$C$4462:$C$5328,0))</f>
        <v>5.1999999999999998E-2</v>
      </c>
      <c r="AJ8863" s="508"/>
      <c r="AK8863" s="508">
        <f t="shared" si="179"/>
        <v>5.1999999999999998E-2</v>
      </c>
      <c r="AL8863" s="508">
        <f t="shared" si="183"/>
        <v>5.1999999999999998E-2</v>
      </c>
      <c r="AM8863" s="508">
        <f t="shared" si="183"/>
        <v>5.1999999999999998E-2</v>
      </c>
      <c r="AN8863" s="508">
        <f t="shared" si="183"/>
        <v>5.1999999999999998E-2</v>
      </c>
      <c r="AO8863" s="508">
        <f t="array" ref="AO8863">INDEX('GREET Fuel Attributes'!$E$8948:$E$9083,MATCH($C8863&amp;$D8863,'GREET Fuel Attributes'!$B$8948:$B$9083&amp;'GREET Fuel Attributes'!$C$8948:$C$9083,0))/INDEX('GREET Fuel Attributes'!$D$8948:$D$9083,MATCH($C8863&amp;$D8863,'GREET Fuel Attributes'!$B$8948:$B$9083&amp;'GREET Fuel Attributes'!$C$8948:$C$9083,0))*AI8863</f>
        <v>5.1999999999999998E-2</v>
      </c>
      <c r="AP8863" s="132" t="s">
        <v>1388</v>
      </c>
      <c r="AQ8863" s="142" t="s">
        <v>302</v>
      </c>
    </row>
    <row r="8864" spans="2:43">
      <c r="B8864" s="136" t="str">
        <f t="shared" si="182"/>
        <v>ILLINOIS</v>
      </c>
      <c r="C8864" s="132" t="s">
        <v>1369</v>
      </c>
      <c r="D8864" s="132" t="s">
        <v>285</v>
      </c>
      <c r="E8864" s="508">
        <f t="array" ref="E8864">INDEX(E$5329:E$6195,MATCH($B8864&amp;$C8864,$B$5329:$B$6195&amp;$C$5329:$C$6195,0))</f>
        <v>0.114</v>
      </c>
      <c r="F8864" s="508">
        <f t="array" ref="F8864">INDEX(F$5329:F$6195,MATCH($B8864&amp;$C8864,$B$5329:$B$6195&amp;$C$5329:$C$6195,0))</f>
        <v>0.107</v>
      </c>
      <c r="G8864" s="508">
        <f t="array" ref="G8864">INDEX(G$5329:G$6195,MATCH($B8864&amp;$C8864,$B$5329:$B$6195&amp;$C$5329:$C$6195,0))</f>
        <v>0.106</v>
      </c>
      <c r="H8864" s="508">
        <f t="array" ref="H8864">INDEX(H$5329:H$6195,MATCH($B8864&amp;$C8864,$B$5329:$B$6195&amp;$C$5329:$C$6195,0))</f>
        <v>8.8999999999999996E-2</v>
      </c>
      <c r="I8864" s="508">
        <f t="array" ref="I8864">INDEX(I$5329:I$6195,MATCH($B8864&amp;$C8864,$B$5329:$B$6195&amp;$C$5329:$C$6195,0))</f>
        <v>8.8999999999999996E-2</v>
      </c>
      <c r="J8864" s="508">
        <f t="array" ref="J8864">INDEX(J$5329:J$6195,MATCH($B8864&amp;$C8864,$B$5329:$B$6195&amp;$C$5329:$C$6195,0))</f>
        <v>0.09</v>
      </c>
      <c r="K8864" s="508">
        <f t="array" ref="K8864">INDEX(K$5329:K$6195,MATCH($B8864&amp;$C8864,$B$5329:$B$6195&amp;$C$5329:$C$6195,0))</f>
        <v>5.8999999999999997E-2</v>
      </c>
      <c r="L8864" s="508">
        <f t="array" ref="L8864">INDEX(L$5329:L$6195,MATCH($B8864&amp;$C8864,$B$5329:$B$6195&amp;$C$5329:$C$6195,0))</f>
        <v>5.8999999999999997E-2</v>
      </c>
      <c r="M8864" s="508">
        <f t="array" ref="M8864">INDEX(M$5329:M$6195,MATCH($B8864&amp;$C8864,$B$5329:$B$6195&amp;$C$5329:$C$6195,0))</f>
        <v>5.8000000000000003E-2</v>
      </c>
      <c r="N8864" s="508">
        <f t="array" ref="N8864">INDEX(N$5329:N$6195,MATCH($B8864&amp;$C8864,$B$5329:$B$6195&amp;$C$5329:$C$6195,0))</f>
        <v>5.5E-2</v>
      </c>
      <c r="O8864" s="508">
        <f t="array" ref="O8864">INDEX(O$5329:O$6195,MATCH($B8864&amp;$C8864,$B$5329:$B$6195&amp;$C$5329:$C$6195,0))</f>
        <v>4.8000000000000001E-2</v>
      </c>
      <c r="P8864" s="508">
        <f t="array" ref="P8864">INDEX(P$5329:P$6195,MATCH($B8864&amp;$C8864,$B$5329:$B$6195&amp;$C$5329:$C$6195,0))</f>
        <v>3.5000000000000003E-2</v>
      </c>
      <c r="Q8864" s="508">
        <f t="array" ref="Q8864">INDEX(Q$5329:Q$6195,MATCH($B8864&amp;$C8864,$B$5329:$B$6195&amp;$C$5329:$C$6195,0))</f>
        <v>3.4000000000000002E-2</v>
      </c>
      <c r="R8864" s="508">
        <f t="array" ref="R8864">INDEX(R$5329:R$6195,MATCH($B8864&amp;$C8864,$B$5329:$B$6195&amp;$C$5329:$C$6195,0))</f>
        <v>0.03</v>
      </c>
      <c r="S8864" s="508">
        <f t="array" ref="S8864">INDEX(S$5329:S$6195,MATCH($B8864&amp;$C8864,$B$5329:$B$6195&amp;$C$5329:$C$6195,0))</f>
        <v>2.8000000000000001E-2</v>
      </c>
      <c r="T8864" s="508">
        <f t="array" ref="T8864">INDEX(T$5329:T$6195,MATCH($B8864&amp;$C8864,$B$5329:$B$6195&amp;$C$5329:$C$6195,0))</f>
        <v>2.7E-2</v>
      </c>
      <c r="U8864" s="508">
        <f t="array" ref="U8864">INDEX(U$5329:U$6195,MATCH($B8864&amp;$C8864,$B$5329:$B$6195&amp;$C$5329:$C$6195,0))</f>
        <v>1.4999999999999999E-2</v>
      </c>
      <c r="V8864" s="508">
        <f t="array" ref="V8864">INDEX(V$5329:V$6195,MATCH($B8864&amp;$C8864,$B$5329:$B$6195&amp;$C$5329:$C$6195,0))</f>
        <v>1.2999999999999999E-2</v>
      </c>
      <c r="W8864" s="508">
        <f t="array" ref="W8864">INDEX(W$5329:W$6195,MATCH($B8864&amp;$C8864,$B$5329:$B$6195&amp;$C$5329:$C$6195,0))</f>
        <v>1.4E-2</v>
      </c>
      <c r="X8864" s="508">
        <f t="array" ref="X8864">INDEX(X$5329:X$6195,MATCH($B8864&amp;$C8864,$B$5329:$B$6195&amp;$C$5329:$C$6195,0))</f>
        <v>8.9999999999999993E-3</v>
      </c>
      <c r="Y8864" s="508">
        <f t="array" ref="Y8864">INDEX(Y$5329:Y$6195,MATCH($B8864&amp;$C8864,$B$5329:$B$6195&amp;$C$5329:$C$6195,0))</f>
        <v>8.9999999999999993E-3</v>
      </c>
      <c r="Z8864" s="508">
        <f t="array" ref="Z8864">INDEX(Z$5329:Z$6195,MATCH($B8864&amp;$C8864,$B$5329:$B$6195&amp;$C$5329:$C$6195,0))</f>
        <v>7.0000000000000001E-3</v>
      </c>
      <c r="AA8864" s="508">
        <f t="array" ref="AA8864">INDEX(AA$5329:AA$6195,MATCH($B8864&amp;$C8864,$B$5329:$B$6195&amp;$C$5329:$C$6195,0))</f>
        <v>7.0000000000000001E-3</v>
      </c>
      <c r="AB8864" s="508">
        <f t="array" ref="AB8864">INDEX(AB$5329:AB$6195,MATCH($B8864&amp;$C8864,$B$5329:$B$6195&amp;$C$5329:$C$6195,0))</f>
        <v>6.0000000000000001E-3</v>
      </c>
      <c r="AC8864" s="508">
        <f t="array" ref="AC8864">INDEX(AC$5329:AC$6195,MATCH($B8864&amp;$C8864,$B$5329:$B$6195&amp;$C$5329:$C$6195,0))</f>
        <v>6.0000000000000001E-3</v>
      </c>
      <c r="AD8864" s="508">
        <f t="array" ref="AD8864">INDEX(AD$5329:AD$6195,MATCH($B8864&amp;$C8864,$B$5329:$B$6195&amp;$C$5329:$C$6195,0))</f>
        <v>5.0000000000000001E-3</v>
      </c>
      <c r="AE8864" s="508">
        <f t="array" ref="AE8864">INDEX(AE$5329:AE$6195,MATCH($B8864&amp;$C8864,$B$5329:$B$6195&amp;$C$5329:$C$6195,0))</f>
        <v>5.0000000000000001E-3</v>
      </c>
      <c r="AF8864" s="508">
        <f t="array" ref="AF8864">INDEX(AF$5329:AF$6195,MATCH($B8864&amp;$C8864,$B$5329:$B$6195&amp;$C$5329:$C$6195,0))</f>
        <v>3.0000000000000001E-3</v>
      </c>
      <c r="AG8864" s="508">
        <f t="array" ref="AG8864">INDEX(AG$5329:AG$6195,MATCH($B8864&amp;$C8864,$B$5329:$B$6195&amp;$C$5329:$C$6195,0))</f>
        <v>3.0000000000000001E-3</v>
      </c>
      <c r="AH8864" s="508">
        <f t="array" ref="AH8864">INDEX(AH$5329:AH$6195,MATCH($B8864&amp;$C8864,$B$5329:$B$6195&amp;$C$5329:$C$6195,0))</f>
        <v>3.0000000000000001E-3</v>
      </c>
      <c r="AI8864" s="508">
        <f t="array" ref="AI8864">INDEX(AI$5329:AI$6195,MATCH($B8864&amp;$C8864,$B$5329:$B$6195&amp;$C$5329:$C$6195,0))</f>
        <v>3.0000000000000001E-3</v>
      </c>
      <c r="AJ8864" s="508"/>
      <c r="AK8864" s="508">
        <f t="shared" si="179"/>
        <v>2.8E-3</v>
      </c>
      <c r="AL8864" s="508">
        <f t="shared" ref="AL8864:AN8883" si="184">($AO8864-$AI8864)/5+AK8864</f>
        <v>2.5999999999999999E-3</v>
      </c>
      <c r="AM8864" s="508">
        <f t="shared" si="184"/>
        <v>2.3999999999999998E-3</v>
      </c>
      <c r="AN8864" s="508">
        <f t="shared" si="184"/>
        <v>2.1999999999999997E-3</v>
      </c>
      <c r="AO8864" s="508">
        <f t="array" ref="AO8864">INDEX('GREET Fuel Attributes'!$E$8948:$E$9083,MATCH($C8864&amp;$D8864,'GREET Fuel Attributes'!$B$8948:$B$9083&amp;'GREET Fuel Attributes'!$C$8948:$C$9083,0))/INDEX('GREET Fuel Attributes'!$D$8948:$D$9083,MATCH($C8864&amp;$D8864,'GREET Fuel Attributes'!$B$8948:$B$9083&amp;'GREET Fuel Attributes'!$C$8948:$C$9083,0))*AI8864</f>
        <v>2E-3</v>
      </c>
      <c r="AP8864" s="132" t="s">
        <v>1388</v>
      </c>
      <c r="AQ8864" s="142" t="s">
        <v>302</v>
      </c>
    </row>
    <row r="8865" spans="2:43">
      <c r="B8865" s="136" t="str">
        <f t="shared" si="182"/>
        <v>ILLINOIS</v>
      </c>
      <c r="C8865" s="132" t="s">
        <v>1369</v>
      </c>
      <c r="D8865" s="132" t="s">
        <v>1380</v>
      </c>
      <c r="E8865" s="508">
        <f t="array" ref="E8865">INDEX(E$6196:E$7062,MATCH($B8865&amp;$C8865,$B$6196:$B$7062&amp;$C$6196:$C$7062,0))</f>
        <v>7.0000000000000001E-3</v>
      </c>
      <c r="F8865" s="508">
        <f t="array" ref="F8865">INDEX(F$6196:F$7062,MATCH($B8865&amp;$C8865,$B$6196:$B$7062&amp;$C$6196:$C$7062,0))</f>
        <v>7.0000000000000001E-3</v>
      </c>
      <c r="G8865" s="508">
        <f t="array" ref="G8865">INDEX(G$6196:G$7062,MATCH($B8865&amp;$C8865,$B$6196:$B$7062&amp;$C$6196:$C$7062,0))</f>
        <v>7.0000000000000001E-3</v>
      </c>
      <c r="H8865" s="508">
        <f t="array" ref="H8865">INDEX(H$6196:H$7062,MATCH($B8865&amp;$C8865,$B$6196:$B$7062&amp;$C$6196:$C$7062,0))</f>
        <v>7.0000000000000001E-3</v>
      </c>
      <c r="I8865" s="508">
        <f t="array" ref="I8865">INDEX(I$6196:I$7062,MATCH($B8865&amp;$C8865,$B$6196:$B$7062&amp;$C$6196:$C$7062,0))</f>
        <v>7.0000000000000001E-3</v>
      </c>
      <c r="J8865" s="508">
        <f t="array" ref="J8865">INDEX(J$6196:J$7062,MATCH($B8865&amp;$C8865,$B$6196:$B$7062&amp;$C$6196:$C$7062,0))</f>
        <v>7.0000000000000001E-3</v>
      </c>
      <c r="K8865" s="508">
        <f t="array" ref="K8865">INDEX(K$6196:K$7062,MATCH($B8865&amp;$C8865,$B$6196:$B$7062&amp;$C$6196:$C$7062,0))</f>
        <v>7.0000000000000001E-3</v>
      </c>
      <c r="L8865" s="508">
        <f t="array" ref="L8865">INDEX(L$6196:L$7062,MATCH($B8865&amp;$C8865,$B$6196:$B$7062&amp;$C$6196:$C$7062,0))</f>
        <v>7.0000000000000001E-3</v>
      </c>
      <c r="M8865" s="508">
        <f t="array" ref="M8865">INDEX(M$6196:M$7062,MATCH($B8865&amp;$C8865,$B$6196:$B$7062&amp;$C$6196:$C$7062,0))</f>
        <v>7.0000000000000001E-3</v>
      </c>
      <c r="N8865" s="508">
        <f t="array" ref="N8865">INDEX(N$6196:N$7062,MATCH($B8865&amp;$C8865,$B$6196:$B$7062&amp;$C$6196:$C$7062,0))</f>
        <v>7.0000000000000001E-3</v>
      </c>
      <c r="O8865" s="508">
        <f t="array" ref="O8865">INDEX(O$6196:O$7062,MATCH($B8865&amp;$C8865,$B$6196:$B$7062&amp;$C$6196:$C$7062,0))</f>
        <v>7.0000000000000001E-3</v>
      </c>
      <c r="P8865" s="508">
        <f t="array" ref="P8865">INDEX(P$6196:P$7062,MATCH($B8865&amp;$C8865,$B$6196:$B$7062&amp;$C$6196:$C$7062,0))</f>
        <v>7.0000000000000001E-3</v>
      </c>
      <c r="Q8865" s="508">
        <f t="array" ref="Q8865">INDEX(Q$6196:Q$7062,MATCH($B8865&amp;$C8865,$B$6196:$B$7062&amp;$C$6196:$C$7062,0))</f>
        <v>7.0000000000000001E-3</v>
      </c>
      <c r="R8865" s="508">
        <f t="array" ref="R8865">INDEX(R$6196:R$7062,MATCH($B8865&amp;$C8865,$B$6196:$B$7062&amp;$C$6196:$C$7062,0))</f>
        <v>7.0000000000000001E-3</v>
      </c>
      <c r="S8865" s="508">
        <f t="array" ref="S8865">INDEX(S$6196:S$7062,MATCH($B8865&amp;$C8865,$B$6196:$B$7062&amp;$C$6196:$C$7062,0))</f>
        <v>7.0000000000000001E-3</v>
      </c>
      <c r="T8865" s="508">
        <f t="array" ref="T8865">INDEX(T$6196:T$7062,MATCH($B8865&amp;$C8865,$B$6196:$B$7062&amp;$C$6196:$C$7062,0))</f>
        <v>7.0000000000000001E-3</v>
      </c>
      <c r="U8865" s="508">
        <f t="array" ref="U8865">INDEX(U$6196:U$7062,MATCH($B8865&amp;$C8865,$B$6196:$B$7062&amp;$C$6196:$C$7062,0))</f>
        <v>7.0000000000000001E-3</v>
      </c>
      <c r="V8865" s="508">
        <f t="array" ref="V8865">INDEX(V$6196:V$7062,MATCH($B8865&amp;$C8865,$B$6196:$B$7062&amp;$C$6196:$C$7062,0))</f>
        <v>7.0000000000000001E-3</v>
      </c>
      <c r="W8865" s="508">
        <f t="array" ref="W8865">INDEX(W$6196:W$7062,MATCH($B8865&amp;$C8865,$B$6196:$B$7062&amp;$C$6196:$C$7062,0))</f>
        <v>7.0000000000000001E-3</v>
      </c>
      <c r="X8865" s="508">
        <f t="array" ref="X8865">INDEX(X$6196:X$7062,MATCH($B8865&amp;$C8865,$B$6196:$B$7062&amp;$C$6196:$C$7062,0))</f>
        <v>7.0000000000000001E-3</v>
      </c>
      <c r="Y8865" s="508">
        <f t="array" ref="Y8865">INDEX(Y$6196:Y$7062,MATCH($B8865&amp;$C8865,$B$6196:$B$7062&amp;$C$6196:$C$7062,0))</f>
        <v>7.0000000000000001E-3</v>
      </c>
      <c r="Z8865" s="508">
        <f t="array" ref="Z8865">INDEX(Z$6196:Z$7062,MATCH($B8865&amp;$C8865,$B$6196:$B$7062&amp;$C$6196:$C$7062,0))</f>
        <v>7.0000000000000001E-3</v>
      </c>
      <c r="AA8865" s="508">
        <f t="array" ref="AA8865">INDEX(AA$6196:AA$7062,MATCH($B8865&amp;$C8865,$B$6196:$B$7062&amp;$C$6196:$C$7062,0))</f>
        <v>7.0000000000000001E-3</v>
      </c>
      <c r="AB8865" s="508">
        <f t="array" ref="AB8865">INDEX(AB$6196:AB$7062,MATCH($B8865&amp;$C8865,$B$6196:$B$7062&amp;$C$6196:$C$7062,0))</f>
        <v>7.0000000000000001E-3</v>
      </c>
      <c r="AC8865" s="508">
        <f t="array" ref="AC8865">INDEX(AC$6196:AC$7062,MATCH($B8865&amp;$C8865,$B$6196:$B$7062&amp;$C$6196:$C$7062,0))</f>
        <v>7.0000000000000001E-3</v>
      </c>
      <c r="AD8865" s="508">
        <f t="array" ref="AD8865">INDEX(AD$6196:AD$7062,MATCH($B8865&amp;$C8865,$B$6196:$B$7062&amp;$C$6196:$C$7062,0))</f>
        <v>7.0000000000000001E-3</v>
      </c>
      <c r="AE8865" s="508">
        <f t="array" ref="AE8865">INDEX(AE$6196:AE$7062,MATCH($B8865&amp;$C8865,$B$6196:$B$7062&amp;$C$6196:$C$7062,0))</f>
        <v>7.0000000000000001E-3</v>
      </c>
      <c r="AF8865" s="508">
        <f t="array" ref="AF8865">INDEX(AF$6196:AF$7062,MATCH($B8865&amp;$C8865,$B$6196:$B$7062&amp;$C$6196:$C$7062,0))</f>
        <v>7.0000000000000001E-3</v>
      </c>
      <c r="AG8865" s="508">
        <f t="array" ref="AG8865">INDEX(AG$6196:AG$7062,MATCH($B8865&amp;$C8865,$B$6196:$B$7062&amp;$C$6196:$C$7062,0))</f>
        <v>7.0000000000000001E-3</v>
      </c>
      <c r="AH8865" s="508">
        <f t="array" ref="AH8865">INDEX(AH$6196:AH$7062,MATCH($B8865&amp;$C8865,$B$6196:$B$7062&amp;$C$6196:$C$7062,0))</f>
        <v>7.0000000000000001E-3</v>
      </c>
      <c r="AI8865" s="508">
        <f t="array" ref="AI8865">INDEX(AI$6196:AI$7062,MATCH($B8865&amp;$C8865,$B$6196:$B$7062&amp;$C$6196:$C$7062,0))</f>
        <v>7.0000000000000001E-3</v>
      </c>
      <c r="AJ8865" s="508"/>
      <c r="AK8865" s="508">
        <f t="shared" si="179"/>
        <v>7.0000000000000001E-3</v>
      </c>
      <c r="AL8865" s="508">
        <f t="shared" si="184"/>
        <v>7.0000000000000001E-3</v>
      </c>
      <c r="AM8865" s="508">
        <f t="shared" si="184"/>
        <v>7.0000000000000001E-3</v>
      </c>
      <c r="AN8865" s="508">
        <f t="shared" si="184"/>
        <v>7.0000000000000001E-3</v>
      </c>
      <c r="AO8865" s="508">
        <f t="array" ref="AO8865">INDEX('GREET Fuel Attributes'!$E$8948:$E$9083,MATCH($C8865&amp;$D8865,'GREET Fuel Attributes'!$B$8948:$B$9083&amp;'GREET Fuel Attributes'!$C$8948:$C$9083,0))/INDEX('GREET Fuel Attributes'!$D$8948:$D$9083,MATCH($C8865&amp;$D8865,'GREET Fuel Attributes'!$B$8948:$B$9083&amp;'GREET Fuel Attributes'!$C$8948:$C$9083,0))*AI8865</f>
        <v>7.0000000000000001E-3</v>
      </c>
      <c r="AP8865" s="132" t="s">
        <v>1388</v>
      </c>
      <c r="AQ8865" s="142" t="s">
        <v>302</v>
      </c>
    </row>
    <row r="8866" spans="2:43">
      <c r="B8866" s="136" t="str">
        <f t="shared" si="182"/>
        <v>ILLINOIS</v>
      </c>
      <c r="C8866" s="132" t="s">
        <v>1369</v>
      </c>
      <c r="D8866" s="132" t="s">
        <v>281</v>
      </c>
      <c r="E8866" s="508">
        <f t="array" ref="E8866">INDEX(E$7063:E$7929,MATCH($B8866&amp;$C8866,$B$7063:$B$7929&amp;$C$7063:$C$7929,0))</f>
        <v>6.1479999999999997</v>
      </c>
      <c r="F8866" s="508">
        <f t="array" ref="F8866">INDEX(F$7063:F$7929,MATCH($B8866&amp;$C8866,$B$7063:$B$7929&amp;$C$7063:$C$7929,0))</f>
        <v>3.371</v>
      </c>
      <c r="G8866" s="508">
        <f t="array" ref="G8866">INDEX(G$7063:G$7929,MATCH($B8866&amp;$C8866,$B$7063:$B$7929&amp;$C$7063:$C$7929,0))</f>
        <v>3.3580000000000001</v>
      </c>
      <c r="H8866" s="508">
        <f t="array" ref="H8866">INDEX(H$7063:H$7929,MATCH($B8866&amp;$C8866,$B$7063:$B$7929&amp;$C$7063:$C$7929,0))</f>
        <v>3.38</v>
      </c>
      <c r="I8866" s="508">
        <f t="array" ref="I8866">INDEX(I$7063:I$7929,MATCH($B8866&amp;$C8866,$B$7063:$B$7929&amp;$C$7063:$C$7929,0))</f>
        <v>3.383</v>
      </c>
      <c r="J8866" s="508">
        <f t="array" ref="J8866">INDEX(J$7063:J$7929,MATCH($B8866&amp;$C8866,$B$7063:$B$7929&amp;$C$7063:$C$7929,0))</f>
        <v>3.1480000000000001</v>
      </c>
      <c r="K8866" s="508">
        <f t="array" ref="K8866">INDEX(K$7063:K$7929,MATCH($B8866&amp;$C8866,$B$7063:$B$7929&amp;$C$7063:$C$7929,0))</f>
        <v>3.13</v>
      </c>
      <c r="L8866" s="508">
        <f t="array" ref="L8866">INDEX(L$7063:L$7929,MATCH($B8866&amp;$C8866,$B$7063:$B$7929&amp;$C$7063:$C$7929,0))</f>
        <v>3.0990000000000002</v>
      </c>
      <c r="M8866" s="508">
        <f t="array" ref="M8866">INDEX(M$7063:M$7929,MATCH($B8866&amp;$C8866,$B$7063:$B$7929&amp;$C$7063:$C$7929,0))</f>
        <v>3.0569999999999999</v>
      </c>
      <c r="N8866" s="508">
        <f t="array" ref="N8866">INDEX(N$7063:N$7929,MATCH($B8866&amp;$C8866,$B$7063:$B$7929&amp;$C$7063:$C$7929,0))</f>
        <v>5.3259999999999996</v>
      </c>
      <c r="O8866" s="508">
        <f t="array" ref="O8866">INDEX(O$7063:O$7929,MATCH($B8866&amp;$C8866,$B$7063:$B$7929&amp;$C$7063:$C$7929,0))</f>
        <v>5.21</v>
      </c>
      <c r="P8866" s="508">
        <f t="array" ref="P8866">INDEX(P$7063:P$7929,MATCH($B8866&amp;$C8866,$B$7063:$B$7929&amp;$C$7063:$C$7929,0))</f>
        <v>1.909</v>
      </c>
      <c r="Q8866" s="508">
        <f t="array" ref="Q8866">INDEX(Q$7063:Q$7929,MATCH($B8866&amp;$C8866,$B$7063:$B$7929&amp;$C$7063:$C$7929,0))</f>
        <v>1.9870000000000001</v>
      </c>
      <c r="R8866" s="508">
        <f t="array" ref="R8866">INDEX(R$7063:R$7929,MATCH($B8866&amp;$C8866,$B$7063:$B$7929&amp;$C$7063:$C$7929,0))</f>
        <v>1.909</v>
      </c>
      <c r="S8866" s="508">
        <f t="array" ref="S8866">INDEX(S$7063:S$7929,MATCH($B8866&amp;$C8866,$B$7063:$B$7929&amp;$C$7063:$C$7929,0))</f>
        <v>1.8460000000000001</v>
      </c>
      <c r="T8866" s="508">
        <f t="array" ref="T8866">INDEX(T$7063:T$7929,MATCH($B8866&amp;$C8866,$B$7063:$B$7929&amp;$C$7063:$C$7929,0))</f>
        <v>1.778</v>
      </c>
      <c r="U8866" s="508">
        <f t="array" ref="U8866">INDEX(U$7063:U$7929,MATCH($B8866&amp;$C8866,$B$7063:$B$7929&amp;$C$7063:$C$7929,0))</f>
        <v>0.57999999999999996</v>
      </c>
      <c r="V8866" s="508">
        <f t="array" ref="V8866">INDEX(V$7063:V$7929,MATCH($B8866&amp;$C8866,$B$7063:$B$7929&amp;$C$7063:$C$7929,0))</f>
        <v>0.55400000000000005</v>
      </c>
      <c r="W8866" s="508">
        <f t="array" ref="W8866">INDEX(W$7063:W$7929,MATCH($B8866&amp;$C8866,$B$7063:$B$7929&amp;$C$7063:$C$7929,0))</f>
        <v>0.56299999999999994</v>
      </c>
      <c r="X8866" s="508">
        <f t="array" ref="X8866">INDEX(X$7063:X$7929,MATCH($B8866&amp;$C8866,$B$7063:$B$7929&amp;$C$7063:$C$7929,0))</f>
        <v>0.35799999999999998</v>
      </c>
      <c r="Y8866" s="508">
        <f t="array" ref="Y8866">INDEX(Y$7063:Y$7929,MATCH($B8866&amp;$C8866,$B$7063:$B$7929&amp;$C$7063:$C$7929,0))</f>
        <v>0.30099999999999999</v>
      </c>
      <c r="Z8866" s="508">
        <f t="array" ref="Z8866">INDEX(Z$7063:Z$7929,MATCH($B8866&amp;$C8866,$B$7063:$B$7929&amp;$C$7063:$C$7929,0))</f>
        <v>0.187</v>
      </c>
      <c r="AA8866" s="508">
        <f t="array" ref="AA8866">INDEX(AA$7063:AA$7929,MATCH($B8866&amp;$C8866,$B$7063:$B$7929&amp;$C$7063:$C$7929,0))</f>
        <v>0.17199999999999999</v>
      </c>
      <c r="AB8866" s="508">
        <f t="array" ref="AB8866">INDEX(AB$7063:AB$7929,MATCH($B8866&amp;$C8866,$B$7063:$B$7929&amp;$C$7063:$C$7929,0))</f>
        <v>0.14099999999999999</v>
      </c>
      <c r="AC8866" s="508">
        <f t="array" ref="AC8866">INDEX(AC$7063:AC$7929,MATCH($B8866&amp;$C8866,$B$7063:$B$7929&amp;$C$7063:$C$7929,0))</f>
        <v>0.13</v>
      </c>
      <c r="AD8866" s="508">
        <f t="array" ref="AD8866">INDEX(AD$7063:AD$7929,MATCH($B8866&amp;$C8866,$B$7063:$B$7929&amp;$C$7063:$C$7929,0))</f>
        <v>0.10100000000000001</v>
      </c>
      <c r="AE8866" s="508">
        <f t="array" ref="AE8866">INDEX(AE$7063:AE$7929,MATCH($B8866&amp;$C8866,$B$7063:$B$7929&amp;$C$7063:$C$7929,0))</f>
        <v>9.4E-2</v>
      </c>
      <c r="AF8866" s="508">
        <f t="array" ref="AF8866">INDEX(AF$7063:AF$7929,MATCH($B8866&amp;$C8866,$B$7063:$B$7929&amp;$C$7063:$C$7929,0))</f>
        <v>6.2E-2</v>
      </c>
      <c r="AG8866" s="508">
        <f t="array" ref="AG8866">INDEX(AG$7063:AG$7929,MATCH($B8866&amp;$C8866,$B$7063:$B$7929&amp;$C$7063:$C$7929,0))</f>
        <v>5.7000000000000002E-2</v>
      </c>
      <c r="AH8866" s="508">
        <f t="array" ref="AH8866">INDEX(AH$7063:AH$7929,MATCH($B8866&amp;$C8866,$B$7063:$B$7929&amp;$C$7063:$C$7929,0))</f>
        <v>5.6000000000000001E-2</v>
      </c>
      <c r="AI8866" s="508">
        <f t="array" ref="AI8866">INDEX(AI$7063:AI$7929,MATCH($B8866&amp;$C8866,$B$7063:$B$7929&amp;$C$7063:$C$7929,0))</f>
        <v>5.5E-2</v>
      </c>
      <c r="AJ8866" s="508"/>
      <c r="AK8866" s="508">
        <f t="shared" si="179"/>
        <v>5.1036036036036035E-2</v>
      </c>
      <c r="AL8866" s="508">
        <f t="shared" si="184"/>
        <v>4.707207207207207E-2</v>
      </c>
      <c r="AM8866" s="508">
        <f t="shared" si="184"/>
        <v>4.3108108108108105E-2</v>
      </c>
      <c r="AN8866" s="508">
        <f t="shared" si="184"/>
        <v>3.914414414414414E-2</v>
      </c>
      <c r="AO8866" s="508">
        <f t="array" ref="AO8866">INDEX('GREET Fuel Attributes'!$E$8948:$E$9083,MATCH($C8866&amp;$D8866,'GREET Fuel Attributes'!$B$8948:$B$9083&amp;'GREET Fuel Attributes'!$C$8948:$C$9083,0))/INDEX('GREET Fuel Attributes'!$D$8948:$D$9083,MATCH($C8866&amp;$D8866,'GREET Fuel Attributes'!$B$8948:$B$9083&amp;'GREET Fuel Attributes'!$C$8948:$C$9083,0))*AI8866</f>
        <v>3.5180180180180175E-2</v>
      </c>
      <c r="AP8866" s="132" t="s">
        <v>1388</v>
      </c>
      <c r="AQ8866" s="142" t="s">
        <v>302</v>
      </c>
    </row>
    <row r="8867" spans="2:43">
      <c r="B8867" s="136" t="str">
        <f t="shared" si="182"/>
        <v>ILLINOIS</v>
      </c>
      <c r="C8867" s="132" t="s">
        <v>1369</v>
      </c>
      <c r="D8867" s="132" t="s">
        <v>1384</v>
      </c>
      <c r="E8867" s="508">
        <f t="array" ref="E8867">INDEX(E$7930:E$8796,MATCH($B8867&amp;$C8867,$B$7930:$B$8796&amp;$C$7930:$C$8796,0))</f>
        <v>1.738</v>
      </c>
      <c r="F8867" s="508">
        <f t="array" ref="F8867">INDEX(F$7930:F$8796,MATCH($B8867&amp;$C8867,$B$7930:$B$8796&amp;$C$7930:$C$8796,0))</f>
        <v>1.7130000000000001</v>
      </c>
      <c r="G8867" s="508">
        <f t="array" ref="G8867">INDEX(G$7930:G$8796,MATCH($B8867&amp;$C8867,$B$7930:$B$8796&amp;$C$7930:$C$8796,0))</f>
        <v>1.758</v>
      </c>
      <c r="H8867" s="508">
        <f t="array" ref="H8867">INDEX(H$7930:H$8796,MATCH($B8867&amp;$C8867,$B$7930:$B$8796&amp;$C$7930:$C$8796,0))</f>
        <v>1.748</v>
      </c>
      <c r="I8867" s="508">
        <f t="array" ref="I8867">INDEX(I$7930:I$8796,MATCH($B8867&amp;$C8867,$B$7930:$B$8796&amp;$C$7930:$C$8796,0))</f>
        <v>1.7370000000000001</v>
      </c>
      <c r="J8867" s="508">
        <f t="array" ref="J8867">INDEX(J$7930:J$8796,MATCH($B8867&amp;$C8867,$B$7930:$B$8796&amp;$C$7930:$C$8796,0))</f>
        <v>1.734</v>
      </c>
      <c r="K8867" s="508">
        <f t="array" ref="K8867">INDEX(K$7930:K$8796,MATCH($B8867&amp;$C8867,$B$7930:$B$8796&amp;$C$7930:$C$8796,0))</f>
        <v>1.7</v>
      </c>
      <c r="L8867" s="508">
        <f t="array" ref="L8867">INDEX(L$7930:L$8796,MATCH($B8867&amp;$C8867,$B$7930:$B$8796&amp;$C$7930:$C$8796,0))</f>
        <v>1.679</v>
      </c>
      <c r="M8867" s="508">
        <f t="array" ref="M8867">INDEX(M$7930:M$8796,MATCH($B8867&amp;$C8867,$B$7930:$B$8796&amp;$C$7930:$C$8796,0))</f>
        <v>1.653</v>
      </c>
      <c r="N8867" s="508">
        <f t="array" ref="N8867">INDEX(N$7930:N$8796,MATCH($B8867&amp;$C8867,$B$7930:$B$8796&amp;$C$7930:$C$8796,0))</f>
        <v>1.6259999999999999</v>
      </c>
      <c r="O8867" s="508">
        <f t="array" ref="O8867">INDEX(O$7930:O$8796,MATCH($B8867&amp;$C8867,$B$7930:$B$8796&amp;$C$7930:$C$8796,0))</f>
        <v>1.6</v>
      </c>
      <c r="P8867" s="508">
        <f t="array" ref="P8867">INDEX(P$7930:P$8796,MATCH($B8867&amp;$C8867,$B$7930:$B$8796&amp;$C$7930:$C$8796,0))</f>
        <v>0.628</v>
      </c>
      <c r="Q8867" s="508">
        <f t="array" ref="Q8867">INDEX(Q$7930:Q$8796,MATCH($B8867&amp;$C8867,$B$7930:$B$8796&amp;$C$7930:$C$8796,0))</f>
        <v>0.61799999999999999</v>
      </c>
      <c r="R8867" s="508">
        <f t="array" ref="R8867">INDEX(R$7930:R$8796,MATCH($B8867&amp;$C8867,$B$7930:$B$8796&amp;$C$7930:$C$8796,0))</f>
        <v>0.501</v>
      </c>
      <c r="S8867" s="508">
        <f t="array" ref="S8867">INDEX(S$7930:S$8796,MATCH($B8867&amp;$C8867,$B$7930:$B$8796&amp;$C$7930:$C$8796,0))</f>
        <v>0.47</v>
      </c>
      <c r="T8867" s="508">
        <f t="array" ref="T8867">INDEX(T$7930:T$8796,MATCH($B8867&amp;$C8867,$B$7930:$B$8796&amp;$C$7930:$C$8796,0))</f>
        <v>0.46300000000000002</v>
      </c>
      <c r="U8867" s="508">
        <f t="array" ref="U8867">INDEX(U$7930:U$8796,MATCH($B8867&amp;$C8867,$B$7930:$B$8796&amp;$C$7930:$C$8796,0))</f>
        <v>0.29499999999999998</v>
      </c>
      <c r="V8867" s="508">
        <f t="array" ref="V8867">INDEX(V$7930:V$8796,MATCH($B8867&amp;$C8867,$B$7930:$B$8796&amp;$C$7930:$C$8796,0))</f>
        <v>0.214</v>
      </c>
      <c r="W8867" s="508">
        <f t="array" ref="W8867">INDEX(W$7930:W$8796,MATCH($B8867&amp;$C8867,$B$7930:$B$8796&amp;$C$7930:$C$8796,0))</f>
        <v>0.17299999999999999</v>
      </c>
      <c r="X8867" s="508">
        <f t="array" ref="X8867">INDEX(X$7930:X$8796,MATCH($B8867&amp;$C8867,$B$7930:$B$8796&amp;$C$7930:$C$8796,0))</f>
        <v>0.127</v>
      </c>
      <c r="Y8867" s="508">
        <f t="array" ref="Y8867">INDEX(Y$7930:Y$8796,MATCH($B8867&amp;$C8867,$B$7930:$B$8796&amp;$C$7930:$C$8796,0))</f>
        <v>0.104</v>
      </c>
      <c r="Z8867" s="508">
        <f t="array" ref="Z8867">INDEX(Z$7930:Z$8796,MATCH($B8867&amp;$C8867,$B$7930:$B$8796&amp;$C$7930:$C$8796,0))</f>
        <v>6.0999999999999999E-2</v>
      </c>
      <c r="AA8867" s="508">
        <f t="array" ref="AA8867">INDEX(AA$7930:AA$8796,MATCH($B8867&amp;$C8867,$B$7930:$B$8796&amp;$C$7930:$C$8796,0))</f>
        <v>5.8999999999999997E-2</v>
      </c>
      <c r="AB8867" s="508">
        <f t="array" ref="AB8867">INDEX(AB$7930:AB$8796,MATCH($B8867&amp;$C8867,$B$7930:$B$8796&amp;$C$7930:$C$8796,0))</f>
        <v>5.2999999999999999E-2</v>
      </c>
      <c r="AC8867" s="508">
        <f t="array" ref="AC8867">INDEX(AC$7930:AC$8796,MATCH($B8867&amp;$C8867,$B$7930:$B$8796&amp;$C$7930:$C$8796,0))</f>
        <v>5.0999999999999997E-2</v>
      </c>
      <c r="AD8867" s="508">
        <f t="array" ref="AD8867">INDEX(AD$7930:AD$8796,MATCH($B8867&amp;$C8867,$B$7930:$B$8796&amp;$C$7930:$C$8796,0))</f>
        <v>4.5999999999999999E-2</v>
      </c>
      <c r="AE8867" s="508">
        <f t="array" ref="AE8867">INDEX(AE$7930:AE$8796,MATCH($B8867&amp;$C8867,$B$7930:$B$8796&amp;$C$7930:$C$8796,0))</f>
        <v>4.3999999999999997E-2</v>
      </c>
      <c r="AF8867" s="508">
        <f t="array" ref="AF8867">INDEX(AF$7930:AF$8796,MATCH($B8867&amp;$C8867,$B$7930:$B$8796&amp;$C$7930:$C$8796,0))</f>
        <v>3.9E-2</v>
      </c>
      <c r="AG8867" s="508">
        <f t="array" ref="AG8867">INDEX(AG$7930:AG$8796,MATCH($B8867&amp;$C8867,$B$7930:$B$8796&amp;$C$7930:$C$8796,0))</f>
        <v>3.7999999999999999E-2</v>
      </c>
      <c r="AH8867" s="508">
        <f t="array" ref="AH8867">INDEX(AH$7930:AH$8796,MATCH($B8867&amp;$C8867,$B$7930:$B$8796&amp;$C$7930:$C$8796,0))</f>
        <v>3.6999999999999998E-2</v>
      </c>
      <c r="AI8867" s="508">
        <f t="array" ref="AI8867">INDEX(AI$7930:AI$8796,MATCH($B8867&amp;$C8867,$B$7930:$B$8796&amp;$C$7930:$C$8796,0))</f>
        <v>3.6999999999999998E-2</v>
      </c>
      <c r="AJ8867" s="508"/>
      <c r="AK8867" s="508">
        <f t="shared" si="179"/>
        <v>3.5075999999999996E-2</v>
      </c>
      <c r="AL8867" s="508">
        <f t="shared" si="184"/>
        <v>3.3151999999999994E-2</v>
      </c>
      <c r="AM8867" s="508">
        <f t="shared" si="184"/>
        <v>3.1227999999999992E-2</v>
      </c>
      <c r="AN8867" s="508">
        <f t="shared" si="184"/>
        <v>2.930399999999999E-2</v>
      </c>
      <c r="AO8867" s="508">
        <f t="array" ref="AO8867">INDEX('GREET Fuel Attributes'!$E$8948:$E$9083,MATCH($C8867&amp;$D8867,'GREET Fuel Attributes'!$B$8948:$B$9083&amp;'GREET Fuel Attributes'!$C$8948:$C$9083,0))/INDEX('GREET Fuel Attributes'!$D$8948:$D$9083,MATCH($C8867&amp;$D8867,'GREET Fuel Attributes'!$B$8948:$B$9083&amp;'GREET Fuel Attributes'!$C$8948:$C$9083,0))*AI8867</f>
        <v>2.7379999999999995E-2</v>
      </c>
      <c r="AP8867" s="132" t="s">
        <v>1388</v>
      </c>
      <c r="AQ8867" s="142" t="s">
        <v>302</v>
      </c>
    </row>
    <row r="8868" spans="2:43">
      <c r="B8868" s="136" t="str">
        <f t="shared" ref="B8868:B8899" si="185">state_name</f>
        <v>ILLINOIS</v>
      </c>
      <c r="C8868" s="132" t="s">
        <v>1370</v>
      </c>
      <c r="D8868" s="132" t="s">
        <v>282</v>
      </c>
      <c r="E8868" s="508">
        <f t="array" ref="E8868">INDEX(E$1861:E$2727,MATCH($B8868&amp;$C8868,$B$1861:$B$2727&amp;$C$1861:$C$2727,0))</f>
        <v>13.882999999999999</v>
      </c>
      <c r="F8868" s="508">
        <f t="array" ref="F8868">INDEX(F$1861:F$2727,MATCH($B8868&amp;$C8868,$B$1861:$B$2727&amp;$C$1861:$C$2727,0))</f>
        <v>10.387</v>
      </c>
      <c r="G8868" s="508">
        <f t="array" ref="G8868">INDEX(G$1861:G$2727,MATCH($B8868&amp;$C8868,$B$1861:$B$2727&amp;$C$1861:$C$2727,0))</f>
        <v>8.9090000000000007</v>
      </c>
      <c r="H8868" s="508">
        <f t="array" ref="H8868">INDEX(H$1861:H$2727,MATCH($B8868&amp;$C8868,$B$1861:$B$2727&amp;$C$1861:$C$2727,0))</f>
        <v>8.2859999999999996</v>
      </c>
      <c r="I8868" s="508">
        <f t="array" ref="I8868">INDEX(I$1861:I$2727,MATCH($B8868&amp;$C8868,$B$1861:$B$2727&amp;$C$1861:$C$2727,0))</f>
        <v>7.1340000000000003</v>
      </c>
      <c r="J8868" s="508">
        <f t="array" ref="J8868">INDEX(J$1861:J$2727,MATCH($B8868&amp;$C8868,$B$1861:$B$2727&amp;$C$1861:$C$2727,0))</f>
        <v>7.4610000000000003</v>
      </c>
      <c r="K8868" s="508">
        <f t="array" ref="K8868">INDEX(K$1861:K$2727,MATCH($B8868&amp;$C8868,$B$1861:$B$2727&amp;$C$1861:$C$2727,0))</f>
        <v>7.03</v>
      </c>
      <c r="L8868" s="508">
        <f t="array" ref="L8868">INDEX(L$1861:L$2727,MATCH($B8868&amp;$C8868,$B$1861:$B$2727&amp;$C$1861:$C$2727,0))</f>
        <v>7.0410000000000004</v>
      </c>
      <c r="M8868" s="508">
        <f t="array" ref="M8868">INDEX(M$1861:M$2727,MATCH($B8868&amp;$C8868,$B$1861:$B$2727&amp;$C$1861:$C$2727,0))</f>
        <v>7.0289999999999999</v>
      </c>
      <c r="N8868" s="508">
        <f t="array" ref="N8868">INDEX(N$1861:N$2727,MATCH($B8868&amp;$C8868,$B$1861:$B$2727&amp;$C$1861:$C$2727,0))</f>
        <v>6.8920000000000003</v>
      </c>
      <c r="O8868" s="508">
        <f t="array" ref="O8868">INDEX(O$1861:O$2727,MATCH($B8868&amp;$C8868,$B$1861:$B$2727&amp;$C$1861:$C$2727,0))</f>
        <v>6.6189999999999998</v>
      </c>
      <c r="P8868" s="508">
        <f t="array" ref="P8868">INDEX(P$1861:P$2727,MATCH($B8868&amp;$C8868,$B$1861:$B$2727&amp;$C$1861:$C$2727,0))</f>
        <v>6.8529999999999998</v>
      </c>
      <c r="Q8868" s="508">
        <f t="array" ref="Q8868">INDEX(Q$1861:Q$2727,MATCH($B8868&amp;$C8868,$B$1861:$B$2727&amp;$C$1861:$C$2727,0))</f>
        <v>6.8129999999999997</v>
      </c>
      <c r="R8868" s="508">
        <f t="array" ref="R8868">INDEX(R$1861:R$2727,MATCH($B8868&amp;$C8868,$B$1861:$B$2727&amp;$C$1861:$C$2727,0))</f>
        <v>6.7370000000000001</v>
      </c>
      <c r="S8868" s="508">
        <f t="array" ref="S8868">INDEX(S$1861:S$2727,MATCH($B8868&amp;$C8868,$B$1861:$B$2727&amp;$C$1861:$C$2727,0))</f>
        <v>6.6669999999999998</v>
      </c>
      <c r="T8868" s="508">
        <f t="array" ref="T8868">INDEX(T$1861:T$2727,MATCH($B8868&amp;$C8868,$B$1861:$B$2727&amp;$C$1861:$C$2727,0))</f>
        <v>6.4189999999999996</v>
      </c>
      <c r="U8868" s="508">
        <f t="array" ref="U8868">INDEX(U$1861:U$2727,MATCH($B8868&amp;$C8868,$B$1861:$B$2727&amp;$C$1861:$C$2727,0))</f>
        <v>6.6180000000000003</v>
      </c>
      <c r="V8868" s="508">
        <f t="array" ref="V8868">INDEX(V$1861:V$2727,MATCH($B8868&amp;$C8868,$B$1861:$B$2727&amp;$C$1861:$C$2727,0))</f>
        <v>6.6109999999999998</v>
      </c>
      <c r="W8868" s="508">
        <f t="array" ref="W8868">INDEX(W$1861:W$2727,MATCH($B8868&amp;$C8868,$B$1861:$B$2727&amp;$C$1861:$C$2727,0))</f>
        <v>3.2869999999999999</v>
      </c>
      <c r="X8868" s="508">
        <f t="array" ref="X8868">INDEX(X$1861:X$2727,MATCH($B8868&amp;$C8868,$B$1861:$B$2727&amp;$C$1861:$C$2727,0))</f>
        <v>3.2610000000000001</v>
      </c>
      <c r="Y8868" s="508">
        <f t="array" ref="Y8868">INDEX(Y$1861:Y$2727,MATCH($B8868&amp;$C8868,$B$1861:$B$2727&amp;$C$1861:$C$2727,0))</f>
        <v>3.2269999999999999</v>
      </c>
      <c r="Z8868" s="508">
        <f t="array" ref="Z8868">INDEX(Z$1861:Z$2727,MATCH($B8868&amp;$C8868,$B$1861:$B$2727&amp;$C$1861:$C$2727,0))</f>
        <v>3.2</v>
      </c>
      <c r="AA8868" s="508">
        <f t="array" ref="AA8868">INDEX(AA$1861:AA$2727,MATCH($B8868&amp;$C8868,$B$1861:$B$2727&amp;$C$1861:$C$2727,0))</f>
        <v>0.92200000000000004</v>
      </c>
      <c r="AB8868" s="508">
        <f t="array" ref="AB8868">INDEX(AB$1861:AB$2727,MATCH($B8868&amp;$C8868,$B$1861:$B$2727&amp;$C$1861:$C$2727,0))</f>
        <v>0.90300000000000002</v>
      </c>
      <c r="AC8868" s="508">
        <f t="array" ref="AC8868">INDEX(AC$1861:AC$2727,MATCH($B8868&amp;$C8868,$B$1861:$B$2727&amp;$C$1861:$C$2727,0))</f>
        <v>0.88300000000000001</v>
      </c>
      <c r="AD8868" s="508">
        <f t="array" ref="AD8868">INDEX(AD$1861:AD$2727,MATCH($B8868&amp;$C8868,$B$1861:$B$2727&amp;$C$1861:$C$2727,0))</f>
        <v>0.66700000000000004</v>
      </c>
      <c r="AE8868" s="508">
        <f t="array" ref="AE8868">INDEX(AE$1861:AE$2727,MATCH($B8868&amp;$C8868,$B$1861:$B$2727&amp;$C$1861:$C$2727,0))</f>
        <v>0.65300000000000002</v>
      </c>
      <c r="AF8868" s="508">
        <f t="array" ref="AF8868">INDEX(AF$1861:AF$2727,MATCH($B8868&amp;$C8868,$B$1861:$B$2727&amp;$C$1861:$C$2727,0))</f>
        <v>0.57499999999999996</v>
      </c>
      <c r="AG8868" s="508">
        <f t="array" ref="AG8868">INDEX(AG$1861:AG$2727,MATCH($B8868&amp;$C8868,$B$1861:$B$2727&amp;$C$1861:$C$2727,0))</f>
        <v>0.56999999999999995</v>
      </c>
      <c r="AH8868" s="508">
        <f t="array" ref="AH8868">INDEX(AH$1861:AH$2727,MATCH($B8868&amp;$C8868,$B$1861:$B$2727&amp;$C$1861:$C$2727,0))</f>
        <v>0.56899999999999995</v>
      </c>
      <c r="AI8868" s="508">
        <f t="array" ref="AI8868">INDEX(AI$1861:AI$2727,MATCH($B8868&amp;$C8868,$B$1861:$B$2727&amp;$C$1861:$C$2727,0))</f>
        <v>0.56899999999999995</v>
      </c>
      <c r="AJ8868" s="508"/>
      <c r="AK8868" s="508">
        <f t="shared" ref="AK8868:AK8931" si="186">($AO8868-$AI8868)/5+AI8868</f>
        <v>0.57102884927066444</v>
      </c>
      <c r="AL8868" s="508">
        <f t="shared" si="184"/>
        <v>0.57305769854132893</v>
      </c>
      <c r="AM8868" s="508">
        <f t="shared" si="184"/>
        <v>0.57508654781199342</v>
      </c>
      <c r="AN8868" s="508">
        <f t="shared" si="184"/>
        <v>0.57711539708265791</v>
      </c>
      <c r="AO8868" s="508">
        <f t="array" ref="AO8868">INDEX('GREET Fuel Attributes'!$E$8948:$E$9083,MATCH($C8868&amp;$D8868,'GREET Fuel Attributes'!$B$8948:$B$9083&amp;'GREET Fuel Attributes'!$C$8948:$C$9083,0))/INDEX('GREET Fuel Attributes'!$D$8948:$D$9083,MATCH($C8868&amp;$D8868,'GREET Fuel Attributes'!$B$8948:$B$9083&amp;'GREET Fuel Attributes'!$C$8948:$C$9083,0))*AI8868</f>
        <v>0.57914424635332251</v>
      </c>
      <c r="AP8868" s="132" t="s">
        <v>1387</v>
      </c>
      <c r="AQ8868" s="142" t="s">
        <v>308</v>
      </c>
    </row>
    <row r="8869" spans="2:43">
      <c r="B8869" s="136" t="str">
        <f t="shared" si="185"/>
        <v>ILLINOIS</v>
      </c>
      <c r="C8869" s="132" t="s">
        <v>1370</v>
      </c>
      <c r="D8869" s="132" t="s">
        <v>283</v>
      </c>
      <c r="E8869" s="508">
        <f t="array" ref="E8869">INDEX(E$2728:E$3594,MATCH($B8869&amp;$C8869,$B$2728:$B$3594&amp;$C$2728:$C$3594,0))</f>
        <v>38.994</v>
      </c>
      <c r="F8869" s="508">
        <f t="array" ref="F8869">INDEX(F$2728:F$3594,MATCH($B8869&amp;$C8869,$B$2728:$B$3594&amp;$C$2728:$C$3594,0))</f>
        <v>38.994</v>
      </c>
      <c r="G8869" s="508">
        <f t="array" ref="G8869">INDEX(G$2728:G$3594,MATCH($B8869&amp;$C8869,$B$2728:$B$3594&amp;$C$2728:$C$3594,0))</f>
        <v>38.994</v>
      </c>
      <c r="H8869" s="508">
        <f t="array" ref="H8869">INDEX(H$2728:H$3594,MATCH($B8869&amp;$C8869,$B$2728:$B$3594&amp;$C$2728:$C$3594,0))</f>
        <v>38.994</v>
      </c>
      <c r="I8869" s="508">
        <f t="array" ref="I8869">INDEX(I$2728:I$3594,MATCH($B8869&amp;$C8869,$B$2728:$B$3594&amp;$C$2728:$C$3594,0))</f>
        <v>39.085999999999999</v>
      </c>
      <c r="J8869" s="508">
        <f t="array" ref="J8869">INDEX(J$2728:J$3594,MATCH($B8869&amp;$C8869,$B$2728:$B$3594&amp;$C$2728:$C$3594,0))</f>
        <v>30.131</v>
      </c>
      <c r="K8869" s="508">
        <f t="array" ref="K8869">INDEX(K$2728:K$3594,MATCH($B8869&amp;$C8869,$B$2728:$B$3594&amp;$C$2728:$C$3594,0))</f>
        <v>27.904</v>
      </c>
      <c r="L8869" s="508">
        <f t="array" ref="L8869">INDEX(L$2728:L$3594,MATCH($B8869&amp;$C8869,$B$2728:$B$3594&amp;$C$2728:$C$3594,0))</f>
        <v>27.904</v>
      </c>
      <c r="M8869" s="508">
        <f t="array" ref="M8869">INDEX(M$2728:M$3594,MATCH($B8869&amp;$C8869,$B$2728:$B$3594&amp;$C$2728:$C$3594,0))</f>
        <v>27.904</v>
      </c>
      <c r="N8869" s="508">
        <f t="array" ref="N8869">INDEX(N$2728:N$3594,MATCH($B8869&amp;$C8869,$B$2728:$B$3594&amp;$C$2728:$C$3594,0))</f>
        <v>27.904</v>
      </c>
      <c r="O8869" s="508">
        <f t="array" ref="O8869">INDEX(O$2728:O$3594,MATCH($B8869&amp;$C8869,$B$2728:$B$3594&amp;$C$2728:$C$3594,0))</f>
        <v>27.931999999999999</v>
      </c>
      <c r="P8869" s="508">
        <f t="array" ref="P8869">INDEX(P$2728:P$3594,MATCH($B8869&amp;$C8869,$B$2728:$B$3594&amp;$C$2728:$C$3594,0))</f>
        <v>28.007000000000001</v>
      </c>
      <c r="Q8869" s="508">
        <f t="array" ref="Q8869">INDEX(Q$2728:Q$3594,MATCH($B8869&amp;$C8869,$B$2728:$B$3594&amp;$C$2728:$C$3594,0))</f>
        <v>28.007000000000001</v>
      </c>
      <c r="R8869" s="508">
        <f t="array" ref="R8869">INDEX(R$2728:R$3594,MATCH($B8869&amp;$C8869,$B$2728:$B$3594&amp;$C$2728:$C$3594,0))</f>
        <v>25.356000000000002</v>
      </c>
      <c r="S8869" s="508">
        <f t="array" ref="S8869">INDEX(S$2728:S$3594,MATCH($B8869&amp;$C8869,$B$2728:$B$3594&amp;$C$2728:$C$3594,0))</f>
        <v>18.777000000000001</v>
      </c>
      <c r="T8869" s="508">
        <f t="array" ref="T8869">INDEX(T$2728:T$3594,MATCH($B8869&amp;$C8869,$B$2728:$B$3594&amp;$C$2728:$C$3594,0))</f>
        <v>18.222999999999999</v>
      </c>
      <c r="U8869" s="508">
        <f t="array" ref="U8869">INDEX(U$2728:U$3594,MATCH($B8869&amp;$C8869,$B$2728:$B$3594&amp;$C$2728:$C$3594,0))</f>
        <v>19.081</v>
      </c>
      <c r="V8869" s="508">
        <f t="array" ref="V8869">INDEX(V$2728:V$3594,MATCH($B8869&amp;$C8869,$B$2728:$B$3594&amp;$C$2728:$C$3594,0))</f>
        <v>19.231000000000002</v>
      </c>
      <c r="W8869" s="508">
        <f t="array" ref="W8869">INDEX(W$2728:W$3594,MATCH($B8869&amp;$C8869,$B$2728:$B$3594&amp;$C$2728:$C$3594,0))</f>
        <v>9.8079999999999998</v>
      </c>
      <c r="X8869" s="508">
        <f t="array" ref="X8869">INDEX(X$2728:X$3594,MATCH($B8869&amp;$C8869,$B$2728:$B$3594&amp;$C$2728:$C$3594,0))</f>
        <v>9.81</v>
      </c>
      <c r="Y8869" s="508">
        <f t="array" ref="Y8869">INDEX(Y$2728:Y$3594,MATCH($B8869&amp;$C8869,$B$2728:$B$3594&amp;$C$2728:$C$3594,0))</f>
        <v>9.8089999999999993</v>
      </c>
      <c r="Z8869" s="508">
        <f t="array" ref="Z8869">INDEX(Z$2728:Z$3594,MATCH($B8869&amp;$C8869,$B$2728:$B$3594&amp;$C$2728:$C$3594,0))</f>
        <v>9.8089999999999993</v>
      </c>
      <c r="AA8869" s="508">
        <f t="array" ref="AA8869">INDEX(AA$2728:AA$3594,MATCH($B8869&amp;$C8869,$B$2728:$B$3594&amp;$C$2728:$C$3594,0))</f>
        <v>7.0270000000000001</v>
      </c>
      <c r="AB8869" s="508">
        <f t="array" ref="AB8869">INDEX(AB$2728:AB$3594,MATCH($B8869&amp;$C8869,$B$2728:$B$3594&amp;$C$2728:$C$3594,0))</f>
        <v>7.008</v>
      </c>
      <c r="AC8869" s="508">
        <f t="array" ref="AC8869">INDEX(AC$2728:AC$3594,MATCH($B8869&amp;$C8869,$B$2728:$B$3594&amp;$C$2728:$C$3594,0))</f>
        <v>7.048</v>
      </c>
      <c r="AD8869" s="508">
        <f t="array" ref="AD8869">INDEX(AD$2728:AD$3594,MATCH($B8869&amp;$C8869,$B$2728:$B$3594&amp;$C$2728:$C$3594,0))</f>
        <v>1.7270000000000001</v>
      </c>
      <c r="AE8869" s="508">
        <f t="array" ref="AE8869">INDEX(AE$2728:AE$3594,MATCH($B8869&amp;$C8869,$B$2728:$B$3594&amp;$C$2728:$C$3594,0))</f>
        <v>1.7270000000000001</v>
      </c>
      <c r="AF8869" s="508">
        <f t="array" ref="AF8869">INDEX(AF$2728:AF$3594,MATCH($B8869&amp;$C8869,$B$2728:$B$3594&amp;$C$2728:$C$3594,0))</f>
        <v>1.1599999999999999</v>
      </c>
      <c r="AG8869" s="508">
        <f t="array" ref="AG8869">INDEX(AG$2728:AG$3594,MATCH($B8869&amp;$C8869,$B$2728:$B$3594&amp;$C$2728:$C$3594,0))</f>
        <v>1.1140000000000001</v>
      </c>
      <c r="AH8869" s="508">
        <f t="array" ref="AH8869">INDEX(AH$2728:AH$3594,MATCH($B8869&amp;$C8869,$B$2728:$B$3594&amp;$C$2728:$C$3594,0))</f>
        <v>1.1040000000000001</v>
      </c>
      <c r="AI8869" s="508">
        <f t="array" ref="AI8869">INDEX(AI$2728:AI$3594,MATCH($B8869&amp;$C8869,$B$2728:$B$3594&amp;$C$2728:$C$3594,0))</f>
        <v>1.1040000000000001</v>
      </c>
      <c r="AJ8869" s="508"/>
      <c r="AK8869" s="508">
        <f t="shared" si="186"/>
        <v>1.1043444617784712</v>
      </c>
      <c r="AL8869" s="508">
        <f t="shared" si="184"/>
        <v>1.1046889235569424</v>
      </c>
      <c r="AM8869" s="508">
        <f t="shared" si="184"/>
        <v>1.1050333853354135</v>
      </c>
      <c r="AN8869" s="508">
        <f t="shared" si="184"/>
        <v>1.1053778471138846</v>
      </c>
      <c r="AO8869" s="508">
        <f t="array" ref="AO8869">INDEX('GREET Fuel Attributes'!$E$8948:$E$9083,MATCH($C8869&amp;$D8869,'GREET Fuel Attributes'!$B$8948:$B$9083&amp;'GREET Fuel Attributes'!$C$8948:$C$9083,0))/INDEX('GREET Fuel Attributes'!$D$8948:$D$9083,MATCH($C8869&amp;$D8869,'GREET Fuel Attributes'!$B$8948:$B$9083&amp;'GREET Fuel Attributes'!$C$8948:$C$9083,0))*AI8869</f>
        <v>1.1057223088923558</v>
      </c>
      <c r="AP8869" s="132" t="s">
        <v>1387</v>
      </c>
      <c r="AQ8869" s="142" t="s">
        <v>308</v>
      </c>
    </row>
    <row r="8870" spans="2:43">
      <c r="B8870" s="136" t="str">
        <f t="shared" si="185"/>
        <v>ILLINOIS</v>
      </c>
      <c r="C8870" s="132" t="s">
        <v>1370</v>
      </c>
      <c r="D8870" s="132" t="s">
        <v>284</v>
      </c>
      <c r="E8870" s="508">
        <f t="array" ref="E8870">INDEX(E$3595:E$4461,MATCH($B8870&amp;$C8870,$B$3595:$B$4461&amp;$C$3595:$C$4461,0))</f>
        <v>3.0459999999999998</v>
      </c>
      <c r="F8870" s="508">
        <f t="array" ref="F8870">INDEX(F$3595:F$4461,MATCH($B8870&amp;$C8870,$B$3595:$B$4461&amp;$C$3595:$C$4461,0))</f>
        <v>3.012</v>
      </c>
      <c r="G8870" s="508">
        <f t="array" ref="G8870">INDEX(G$3595:G$4461,MATCH($B8870&amp;$C8870,$B$3595:$B$4461&amp;$C$3595:$C$4461,0))</f>
        <v>2.8639999999999999</v>
      </c>
      <c r="H8870" s="508">
        <f t="array" ref="H8870">INDEX(H$3595:H$4461,MATCH($B8870&amp;$C8870,$B$3595:$B$4461&amp;$C$3595:$C$4461,0))</f>
        <v>1.266</v>
      </c>
      <c r="I8870" s="508">
        <f t="array" ref="I8870">INDEX(I$3595:I$4461,MATCH($B8870&amp;$C8870,$B$3595:$B$4461&amp;$C$3595:$C$4461,0))</f>
        <v>1.333</v>
      </c>
      <c r="J8870" s="508">
        <f t="array" ref="J8870">INDEX(J$3595:J$4461,MATCH($B8870&amp;$C8870,$B$3595:$B$4461&amp;$C$3595:$C$4461,0))</f>
        <v>1.2629999999999999</v>
      </c>
      <c r="K8870" s="508">
        <f t="array" ref="K8870">INDEX(K$3595:K$4461,MATCH($B8870&amp;$C8870,$B$3595:$B$4461&amp;$C$3595:$C$4461,0))</f>
        <v>1.1970000000000001</v>
      </c>
      <c r="L8870" s="508">
        <f t="array" ref="L8870">INDEX(L$3595:L$4461,MATCH($B8870&amp;$C8870,$B$3595:$B$4461&amp;$C$3595:$C$4461,0))</f>
        <v>1.2290000000000001</v>
      </c>
      <c r="M8870" s="508">
        <f t="array" ref="M8870">INDEX(M$3595:M$4461,MATCH($B8870&amp;$C8870,$B$3595:$B$4461&amp;$C$3595:$C$4461,0))</f>
        <v>1.2509999999999999</v>
      </c>
      <c r="N8870" s="508">
        <f t="array" ref="N8870">INDEX(N$3595:N$4461,MATCH($B8870&amp;$C8870,$B$3595:$B$4461&amp;$C$3595:$C$4461,0))</f>
        <v>1.3340000000000001</v>
      </c>
      <c r="O8870" s="508">
        <f t="array" ref="O8870">INDEX(O$3595:O$4461,MATCH($B8870&amp;$C8870,$B$3595:$B$4461&amp;$C$3595:$C$4461,0))</f>
        <v>1.3480000000000001</v>
      </c>
      <c r="P8870" s="508">
        <f t="array" ref="P8870">INDEX(P$3595:P$4461,MATCH($B8870&amp;$C8870,$B$3595:$B$4461&amp;$C$3595:$C$4461,0))</f>
        <v>1.302</v>
      </c>
      <c r="Q8870" s="508">
        <f t="array" ref="Q8870">INDEX(Q$3595:Q$4461,MATCH($B8870&amp;$C8870,$B$3595:$B$4461&amp;$C$3595:$C$4461,0))</f>
        <v>1.296</v>
      </c>
      <c r="R8870" s="508">
        <f t="array" ref="R8870">INDEX(R$3595:R$4461,MATCH($B8870&amp;$C8870,$B$3595:$B$4461&amp;$C$3595:$C$4461,0))</f>
        <v>0.86499999999999999</v>
      </c>
      <c r="S8870" s="508">
        <f t="array" ref="S8870">INDEX(S$3595:S$4461,MATCH($B8870&amp;$C8870,$B$3595:$B$4461&amp;$C$3595:$C$4461,0))</f>
        <v>0.86099999999999999</v>
      </c>
      <c r="T8870" s="508">
        <f t="array" ref="T8870">INDEX(T$3595:T$4461,MATCH($B8870&amp;$C8870,$B$3595:$B$4461&amp;$C$3595:$C$4461,0))</f>
        <v>0.83299999999999996</v>
      </c>
      <c r="U8870" s="508">
        <f t="array" ref="U8870">INDEX(U$3595:U$4461,MATCH($B8870&amp;$C8870,$B$3595:$B$4461&amp;$C$3595:$C$4461,0))</f>
        <v>0.875</v>
      </c>
      <c r="V8870" s="508">
        <f t="array" ref="V8870">INDEX(V$3595:V$4461,MATCH($B8870&amp;$C8870,$B$3595:$B$4461&amp;$C$3595:$C$4461,0))</f>
        <v>0.88300000000000001</v>
      </c>
      <c r="W8870" s="508">
        <f t="array" ref="W8870">INDEX(W$3595:W$4461,MATCH($B8870&amp;$C8870,$B$3595:$B$4461&amp;$C$3595:$C$4461,0))</f>
        <v>0.8</v>
      </c>
      <c r="X8870" s="508">
        <f t="array" ref="X8870">INDEX(X$3595:X$4461,MATCH($B8870&amp;$C8870,$B$3595:$B$4461&amp;$C$3595:$C$4461,0))</f>
        <v>0.79700000000000004</v>
      </c>
      <c r="Y8870" s="508">
        <f t="array" ref="Y8870">INDEX(Y$3595:Y$4461,MATCH($B8870&amp;$C8870,$B$3595:$B$4461&amp;$C$3595:$C$4461,0))</f>
        <v>0.79800000000000004</v>
      </c>
      <c r="Z8870" s="508">
        <f t="array" ref="Z8870">INDEX(Z$3595:Z$4461,MATCH($B8870&amp;$C8870,$B$3595:$B$4461&amp;$C$3595:$C$4461,0))</f>
        <v>0.79900000000000004</v>
      </c>
      <c r="AA8870" s="508">
        <f t="array" ref="AA8870">INDEX(AA$3595:AA$4461,MATCH($B8870&amp;$C8870,$B$3595:$B$4461&amp;$C$3595:$C$4461,0))</f>
        <v>4.2000000000000003E-2</v>
      </c>
      <c r="AB8870" s="508">
        <f t="array" ref="AB8870">INDEX(AB$3595:AB$4461,MATCH($B8870&amp;$C8870,$B$3595:$B$4461&amp;$C$3595:$C$4461,0))</f>
        <v>4.2000000000000003E-2</v>
      </c>
      <c r="AC8870" s="508">
        <f t="array" ref="AC8870">INDEX(AC$3595:AC$4461,MATCH($B8870&amp;$C8870,$B$3595:$B$4461&amp;$C$3595:$C$4461,0))</f>
        <v>4.2000000000000003E-2</v>
      </c>
      <c r="AD8870" s="508">
        <f t="array" ref="AD8870">INDEX(AD$3595:AD$4461,MATCH($B8870&amp;$C8870,$B$3595:$B$4461&amp;$C$3595:$C$4461,0))</f>
        <v>0.04</v>
      </c>
      <c r="AE8870" s="508">
        <f t="array" ref="AE8870">INDEX(AE$3595:AE$4461,MATCH($B8870&amp;$C8870,$B$3595:$B$4461&amp;$C$3595:$C$4461,0))</f>
        <v>0.04</v>
      </c>
      <c r="AF8870" s="508">
        <f t="array" ref="AF8870">INDEX(AF$3595:AF$4461,MATCH($B8870&amp;$C8870,$B$3595:$B$4461&amp;$C$3595:$C$4461,0))</f>
        <v>2.5999999999999999E-2</v>
      </c>
      <c r="AG8870" s="508">
        <f t="array" ref="AG8870">INDEX(AG$3595:AG$4461,MATCH($B8870&amp;$C8870,$B$3595:$B$4461&amp;$C$3595:$C$4461,0))</f>
        <v>2.5000000000000001E-2</v>
      </c>
      <c r="AH8870" s="508">
        <f t="array" ref="AH8870">INDEX(AH$3595:AH$4461,MATCH($B8870&amp;$C8870,$B$3595:$B$4461&amp;$C$3595:$C$4461,0))</f>
        <v>2.5000000000000001E-2</v>
      </c>
      <c r="AI8870" s="508">
        <f t="array" ref="AI8870">INDEX(AI$3595:AI$4461,MATCH($B8870&amp;$C8870,$B$3595:$B$4461&amp;$C$3595:$C$4461,0))</f>
        <v>2.5000000000000001E-2</v>
      </c>
      <c r="AJ8870" s="508"/>
      <c r="AK8870" s="508">
        <f t="shared" si="186"/>
        <v>2.5000000000000001E-2</v>
      </c>
      <c r="AL8870" s="508">
        <f t="shared" si="184"/>
        <v>2.5000000000000001E-2</v>
      </c>
      <c r="AM8870" s="508">
        <f t="shared" si="184"/>
        <v>2.5000000000000001E-2</v>
      </c>
      <c r="AN8870" s="508">
        <f t="shared" si="184"/>
        <v>2.5000000000000001E-2</v>
      </c>
      <c r="AO8870" s="508">
        <f t="array" ref="AO8870">INDEX('GREET Fuel Attributes'!$E$8948:$E$9083,MATCH($C8870&amp;$D8870,'GREET Fuel Attributes'!$B$8948:$B$9083&amp;'GREET Fuel Attributes'!$C$8948:$C$9083,0))/INDEX('GREET Fuel Attributes'!$D$8948:$D$9083,MATCH($C8870&amp;$D8870,'GREET Fuel Attributes'!$B$8948:$B$9083&amp;'GREET Fuel Attributes'!$C$8948:$C$9083,0))*AI8870</f>
        <v>2.5000000000000001E-2</v>
      </c>
      <c r="AP8870" s="132" t="s">
        <v>1387</v>
      </c>
      <c r="AQ8870" s="142" t="s">
        <v>308</v>
      </c>
    </row>
    <row r="8871" spans="2:43">
      <c r="B8871" s="136" t="str">
        <f t="shared" si="185"/>
        <v>ILLINOIS</v>
      </c>
      <c r="C8871" s="132" t="s">
        <v>1370</v>
      </c>
      <c r="D8871" s="132" t="s">
        <v>1379</v>
      </c>
      <c r="E8871" s="508">
        <f t="array" ref="E8871">INDEX(E$4462:E$5328,MATCH($B8871&amp;$C8871,$B$4462:$B$5328&amp;$C$4462:$C$5328,0))</f>
        <v>0.16500000000000001</v>
      </c>
      <c r="F8871" s="508">
        <f t="array" ref="F8871">INDEX(F$4462:F$5328,MATCH($B8871&amp;$C8871,$B$4462:$B$5328&amp;$C$4462:$C$5328,0))</f>
        <v>0.16300000000000001</v>
      </c>
      <c r="G8871" s="508">
        <f t="array" ref="G8871">INDEX(G$4462:G$5328,MATCH($B8871&amp;$C8871,$B$4462:$B$5328&amp;$C$4462:$C$5328,0))</f>
        <v>0.156</v>
      </c>
      <c r="H8871" s="508">
        <f t="array" ref="H8871">INDEX(H$4462:H$5328,MATCH($B8871&amp;$C8871,$B$4462:$B$5328&amp;$C$4462:$C$5328,0))</f>
        <v>0.16200000000000001</v>
      </c>
      <c r="I8871" s="508">
        <f t="array" ref="I8871">INDEX(I$4462:I$5328,MATCH($B8871&amp;$C8871,$B$4462:$B$5328&amp;$C$4462:$C$5328,0))</f>
        <v>0.13900000000000001</v>
      </c>
      <c r="J8871" s="508">
        <f t="array" ref="J8871">INDEX(J$4462:J$5328,MATCH($B8871&amp;$C8871,$B$4462:$B$5328&amp;$C$4462:$C$5328,0))</f>
        <v>0.161</v>
      </c>
      <c r="K8871" s="508">
        <f t="array" ref="K8871">INDEX(K$4462:K$5328,MATCH($B8871&amp;$C8871,$B$4462:$B$5328&amp;$C$4462:$C$5328,0))</f>
        <v>0.14499999999999999</v>
      </c>
      <c r="L8871" s="508">
        <f t="array" ref="L8871">INDEX(L$4462:L$5328,MATCH($B8871&amp;$C8871,$B$4462:$B$5328&amp;$C$4462:$C$5328,0))</f>
        <v>0.156</v>
      </c>
      <c r="M8871" s="508">
        <f t="array" ref="M8871">INDEX(M$4462:M$5328,MATCH($B8871&amp;$C8871,$B$4462:$B$5328&amp;$C$4462:$C$5328,0))</f>
        <v>0.16300000000000001</v>
      </c>
      <c r="N8871" s="508">
        <f t="array" ref="N8871">INDEX(N$4462:N$5328,MATCH($B8871&amp;$C8871,$B$4462:$B$5328&amp;$C$4462:$C$5328,0))</f>
        <v>0.161</v>
      </c>
      <c r="O8871" s="508">
        <f t="array" ref="O8871">INDEX(O$4462:O$5328,MATCH($B8871&amp;$C8871,$B$4462:$B$5328&amp;$C$4462:$C$5328,0))</f>
        <v>0.154</v>
      </c>
      <c r="P8871" s="508">
        <f t="array" ref="P8871">INDEX(P$4462:P$5328,MATCH($B8871&amp;$C8871,$B$4462:$B$5328&amp;$C$4462:$C$5328,0))</f>
        <v>0.16900000000000001</v>
      </c>
      <c r="Q8871" s="508">
        <f t="array" ref="Q8871">INDEX(Q$4462:Q$5328,MATCH($B8871&amp;$C8871,$B$4462:$B$5328&amp;$C$4462:$C$5328,0))</f>
        <v>0.17</v>
      </c>
      <c r="R8871" s="508">
        <f t="array" ref="R8871">INDEX(R$4462:R$5328,MATCH($B8871&amp;$C8871,$B$4462:$B$5328&amp;$C$4462:$C$5328,0))</f>
        <v>0.16900000000000001</v>
      </c>
      <c r="S8871" s="508">
        <f t="array" ref="S8871">INDEX(S$4462:S$5328,MATCH($B8871&amp;$C8871,$B$4462:$B$5328&amp;$C$4462:$C$5328,0))</f>
        <v>0.16700000000000001</v>
      </c>
      <c r="T8871" s="508">
        <f t="array" ref="T8871">INDEX(T$4462:T$5328,MATCH($B8871&amp;$C8871,$B$4462:$B$5328&amp;$C$4462:$C$5328,0))</f>
        <v>0.157</v>
      </c>
      <c r="U8871" s="508">
        <f t="array" ref="U8871">INDEX(U$4462:U$5328,MATCH($B8871&amp;$C8871,$B$4462:$B$5328&amp;$C$4462:$C$5328,0))</f>
        <v>0.17199999999999999</v>
      </c>
      <c r="V8871" s="508">
        <f t="array" ref="V8871">INDEX(V$4462:V$5328,MATCH($B8871&amp;$C8871,$B$4462:$B$5328&amp;$C$4462:$C$5328,0))</f>
        <v>0.17499999999999999</v>
      </c>
      <c r="W8871" s="508">
        <f t="array" ref="W8871">INDEX(W$4462:W$5328,MATCH($B8871&amp;$C8871,$B$4462:$B$5328&amp;$C$4462:$C$5328,0))</f>
        <v>0.17499999999999999</v>
      </c>
      <c r="X8871" s="508">
        <f t="array" ref="X8871">INDEX(X$4462:X$5328,MATCH($B8871&amp;$C8871,$B$4462:$B$5328&amp;$C$4462:$C$5328,0))</f>
        <v>0.17399999999999999</v>
      </c>
      <c r="Y8871" s="508">
        <f t="array" ref="Y8871">INDEX(Y$4462:Y$5328,MATCH($B8871&amp;$C8871,$B$4462:$B$5328&amp;$C$4462:$C$5328,0))</f>
        <v>0.17499999999999999</v>
      </c>
      <c r="Z8871" s="508">
        <f t="array" ref="Z8871">INDEX(Z$4462:Z$5328,MATCH($B8871&amp;$C8871,$B$4462:$B$5328&amp;$C$4462:$C$5328,0))</f>
        <v>0.17499999999999999</v>
      </c>
      <c r="AA8871" s="508">
        <f t="array" ref="AA8871">INDEX(AA$4462:AA$5328,MATCH($B8871&amp;$C8871,$B$4462:$B$5328&amp;$C$4462:$C$5328,0))</f>
        <v>0.17499999999999999</v>
      </c>
      <c r="AB8871" s="508">
        <f t="array" ref="AB8871">INDEX(AB$4462:AB$5328,MATCH($B8871&amp;$C8871,$B$4462:$B$5328&amp;$C$4462:$C$5328,0))</f>
        <v>0.17399999999999999</v>
      </c>
      <c r="AC8871" s="508">
        <f t="array" ref="AC8871">INDEX(AC$4462:AC$5328,MATCH($B8871&amp;$C8871,$B$4462:$B$5328&amp;$C$4462:$C$5328,0))</f>
        <v>0.17599999999999999</v>
      </c>
      <c r="AD8871" s="508">
        <f t="array" ref="AD8871">INDEX(AD$4462:AD$5328,MATCH($B8871&amp;$C8871,$B$4462:$B$5328&amp;$C$4462:$C$5328,0))</f>
        <v>0.17599999999999999</v>
      </c>
      <c r="AE8871" s="508">
        <f t="array" ref="AE8871">INDEX(AE$4462:AE$5328,MATCH($B8871&amp;$C8871,$B$4462:$B$5328&amp;$C$4462:$C$5328,0))</f>
        <v>0.17499999999999999</v>
      </c>
      <c r="AF8871" s="508">
        <f t="array" ref="AF8871">INDEX(AF$4462:AF$5328,MATCH($B8871&amp;$C8871,$B$4462:$B$5328&amp;$C$4462:$C$5328,0))</f>
        <v>0.17499999999999999</v>
      </c>
      <c r="AG8871" s="508">
        <f t="array" ref="AG8871">INDEX(AG$4462:AG$5328,MATCH($B8871&amp;$C8871,$B$4462:$B$5328&amp;$C$4462:$C$5328,0))</f>
        <v>0.17499999999999999</v>
      </c>
      <c r="AH8871" s="508">
        <f t="array" ref="AH8871">INDEX(AH$4462:AH$5328,MATCH($B8871&amp;$C8871,$B$4462:$B$5328&amp;$C$4462:$C$5328,0))</f>
        <v>0.17499999999999999</v>
      </c>
      <c r="AI8871" s="508">
        <f t="array" ref="AI8871">INDEX(AI$4462:AI$5328,MATCH($B8871&amp;$C8871,$B$4462:$B$5328&amp;$C$4462:$C$5328,0))</f>
        <v>0.17499999999999999</v>
      </c>
      <c r="AJ8871" s="508"/>
      <c r="AK8871" s="508">
        <f t="shared" si="186"/>
        <v>0.17499999999999999</v>
      </c>
      <c r="AL8871" s="508">
        <f t="shared" si="184"/>
        <v>0.17499999999999999</v>
      </c>
      <c r="AM8871" s="508">
        <f t="shared" si="184"/>
        <v>0.17499999999999999</v>
      </c>
      <c r="AN8871" s="508">
        <f t="shared" si="184"/>
        <v>0.17499999999999999</v>
      </c>
      <c r="AO8871" s="508">
        <f t="array" ref="AO8871">INDEX('GREET Fuel Attributes'!$E$8948:$E$9083,MATCH($C8871&amp;$D8871,'GREET Fuel Attributes'!$B$8948:$B$9083&amp;'GREET Fuel Attributes'!$C$8948:$C$9083,0))/INDEX('GREET Fuel Attributes'!$D$8948:$D$9083,MATCH($C8871&amp;$D8871,'GREET Fuel Attributes'!$B$8948:$B$9083&amp;'GREET Fuel Attributes'!$C$8948:$C$9083,0))*AI8871</f>
        <v>0.17499999999999999</v>
      </c>
      <c r="AP8871" s="132" t="s">
        <v>1387</v>
      </c>
      <c r="AQ8871" s="142" t="s">
        <v>308</v>
      </c>
    </row>
    <row r="8872" spans="2:43">
      <c r="B8872" s="136" t="str">
        <f t="shared" si="185"/>
        <v>ILLINOIS</v>
      </c>
      <c r="C8872" s="132" t="s">
        <v>1370</v>
      </c>
      <c r="D8872" s="132" t="s">
        <v>285</v>
      </c>
      <c r="E8872" s="508">
        <f t="array" ref="E8872">INDEX(E$5329:E$6195,MATCH($B8872&amp;$C8872,$B$5329:$B$6195&amp;$C$5329:$C$6195,0))</f>
        <v>2.802</v>
      </c>
      <c r="F8872" s="508">
        <f t="array" ref="F8872">INDEX(F$5329:F$6195,MATCH($B8872&amp;$C8872,$B$5329:$B$6195&amp;$C$5329:$C$6195,0))</f>
        <v>2.7709999999999999</v>
      </c>
      <c r="G8872" s="508">
        <f t="array" ref="G8872">INDEX(G$5329:G$6195,MATCH($B8872&amp;$C8872,$B$5329:$B$6195&amp;$C$5329:$C$6195,0))</f>
        <v>2.6349999999999998</v>
      </c>
      <c r="H8872" s="508">
        <f t="array" ref="H8872">INDEX(H$5329:H$6195,MATCH($B8872&amp;$C8872,$B$5329:$B$6195&amp;$C$5329:$C$6195,0))</f>
        <v>1.165</v>
      </c>
      <c r="I8872" s="508">
        <f t="array" ref="I8872">INDEX(I$5329:I$6195,MATCH($B8872&amp;$C8872,$B$5329:$B$6195&amp;$C$5329:$C$6195,0))</f>
        <v>1.2270000000000001</v>
      </c>
      <c r="J8872" s="508">
        <f t="array" ref="J8872">INDEX(J$5329:J$6195,MATCH($B8872&amp;$C8872,$B$5329:$B$6195&amp;$C$5329:$C$6195,0))</f>
        <v>1.1619999999999999</v>
      </c>
      <c r="K8872" s="508">
        <f t="array" ref="K8872">INDEX(K$5329:K$6195,MATCH($B8872&amp;$C8872,$B$5329:$B$6195&amp;$C$5329:$C$6195,0))</f>
        <v>1.101</v>
      </c>
      <c r="L8872" s="508">
        <f t="array" ref="L8872">INDEX(L$5329:L$6195,MATCH($B8872&amp;$C8872,$B$5329:$B$6195&amp;$C$5329:$C$6195,0))</f>
        <v>1.131</v>
      </c>
      <c r="M8872" s="508">
        <f t="array" ref="M8872">INDEX(M$5329:M$6195,MATCH($B8872&amp;$C8872,$B$5329:$B$6195&amp;$C$5329:$C$6195,0))</f>
        <v>1.151</v>
      </c>
      <c r="N8872" s="508">
        <f t="array" ref="N8872">INDEX(N$5329:N$6195,MATCH($B8872&amp;$C8872,$B$5329:$B$6195&amp;$C$5329:$C$6195,0))</f>
        <v>1.2270000000000001</v>
      </c>
      <c r="O8872" s="508">
        <f t="array" ref="O8872">INDEX(O$5329:O$6195,MATCH($B8872&amp;$C8872,$B$5329:$B$6195&amp;$C$5329:$C$6195,0))</f>
        <v>1.2410000000000001</v>
      </c>
      <c r="P8872" s="508">
        <f t="array" ref="P8872">INDEX(P$5329:P$6195,MATCH($B8872&amp;$C8872,$B$5329:$B$6195&amp;$C$5329:$C$6195,0))</f>
        <v>1.1970000000000001</v>
      </c>
      <c r="Q8872" s="508">
        <f t="array" ref="Q8872">INDEX(Q$5329:Q$6195,MATCH($B8872&amp;$C8872,$B$5329:$B$6195&amp;$C$5329:$C$6195,0))</f>
        <v>1.1919999999999999</v>
      </c>
      <c r="R8872" s="508">
        <f t="array" ref="R8872">INDEX(R$5329:R$6195,MATCH($B8872&amp;$C8872,$B$5329:$B$6195&amp;$C$5329:$C$6195,0))</f>
        <v>0.79600000000000004</v>
      </c>
      <c r="S8872" s="508">
        <f t="array" ref="S8872">INDEX(S$5329:S$6195,MATCH($B8872&amp;$C8872,$B$5329:$B$6195&amp;$C$5329:$C$6195,0))</f>
        <v>0.79200000000000004</v>
      </c>
      <c r="T8872" s="508">
        <f t="array" ref="T8872">INDEX(T$5329:T$6195,MATCH($B8872&amp;$C8872,$B$5329:$B$6195&amp;$C$5329:$C$6195,0))</f>
        <v>0.76600000000000001</v>
      </c>
      <c r="U8872" s="508">
        <f t="array" ref="U8872">INDEX(U$5329:U$6195,MATCH($B8872&amp;$C8872,$B$5329:$B$6195&amp;$C$5329:$C$6195,0))</f>
        <v>0.80500000000000005</v>
      </c>
      <c r="V8872" s="508">
        <f t="array" ref="V8872">INDEX(V$5329:V$6195,MATCH($B8872&amp;$C8872,$B$5329:$B$6195&amp;$C$5329:$C$6195,0))</f>
        <v>0.81200000000000006</v>
      </c>
      <c r="W8872" s="508">
        <f t="array" ref="W8872">INDEX(W$5329:W$6195,MATCH($B8872&amp;$C8872,$B$5329:$B$6195&amp;$C$5329:$C$6195,0))</f>
        <v>0.73599999999999999</v>
      </c>
      <c r="X8872" s="508">
        <f t="array" ref="X8872">INDEX(X$5329:X$6195,MATCH($B8872&amp;$C8872,$B$5329:$B$6195&amp;$C$5329:$C$6195,0))</f>
        <v>0.73299999999999998</v>
      </c>
      <c r="Y8872" s="508">
        <f t="array" ref="Y8872">INDEX(Y$5329:Y$6195,MATCH($B8872&amp;$C8872,$B$5329:$B$6195&amp;$C$5329:$C$6195,0))</f>
        <v>0.73399999999999999</v>
      </c>
      <c r="Z8872" s="508">
        <f t="array" ref="Z8872">INDEX(Z$5329:Z$6195,MATCH($B8872&amp;$C8872,$B$5329:$B$6195&amp;$C$5329:$C$6195,0))</f>
        <v>0.73499999999999999</v>
      </c>
      <c r="AA8872" s="508">
        <f t="array" ref="AA8872">INDEX(AA$5329:AA$6195,MATCH($B8872&amp;$C8872,$B$5329:$B$6195&amp;$C$5329:$C$6195,0))</f>
        <v>3.9E-2</v>
      </c>
      <c r="AB8872" s="508">
        <f t="array" ref="AB8872">INDEX(AB$5329:AB$6195,MATCH($B8872&amp;$C8872,$B$5329:$B$6195&amp;$C$5329:$C$6195,0))</f>
        <v>3.9E-2</v>
      </c>
      <c r="AC8872" s="508">
        <f t="array" ref="AC8872">INDEX(AC$5329:AC$6195,MATCH($B8872&amp;$C8872,$B$5329:$B$6195&amp;$C$5329:$C$6195,0))</f>
        <v>3.9E-2</v>
      </c>
      <c r="AD8872" s="508">
        <f t="array" ref="AD8872">INDEX(AD$5329:AD$6195,MATCH($B8872&amp;$C8872,$B$5329:$B$6195&amp;$C$5329:$C$6195,0))</f>
        <v>3.6999999999999998E-2</v>
      </c>
      <c r="AE8872" s="508">
        <f t="array" ref="AE8872">INDEX(AE$5329:AE$6195,MATCH($B8872&amp;$C8872,$B$5329:$B$6195&amp;$C$5329:$C$6195,0))</f>
        <v>3.6999999999999998E-2</v>
      </c>
      <c r="AF8872" s="508">
        <f t="array" ref="AF8872">INDEX(AF$5329:AF$6195,MATCH($B8872&amp;$C8872,$B$5329:$B$6195&amp;$C$5329:$C$6195,0))</f>
        <v>2.4E-2</v>
      </c>
      <c r="AG8872" s="508">
        <f t="array" ref="AG8872">INDEX(AG$5329:AG$6195,MATCH($B8872&amp;$C8872,$B$5329:$B$6195&amp;$C$5329:$C$6195,0))</f>
        <v>2.3E-2</v>
      </c>
      <c r="AH8872" s="508">
        <f t="array" ref="AH8872">INDEX(AH$5329:AH$6195,MATCH($B8872&amp;$C8872,$B$5329:$B$6195&amp;$C$5329:$C$6195,0))</f>
        <v>2.3E-2</v>
      </c>
      <c r="AI8872" s="508">
        <f t="array" ref="AI8872">INDEX(AI$5329:AI$6195,MATCH($B8872&amp;$C8872,$B$5329:$B$6195&amp;$C$5329:$C$6195,0))</f>
        <v>2.3E-2</v>
      </c>
      <c r="AJ8872" s="508"/>
      <c r="AK8872" s="508">
        <f t="shared" si="186"/>
        <v>2.3E-2</v>
      </c>
      <c r="AL8872" s="508">
        <f t="shared" si="184"/>
        <v>2.3E-2</v>
      </c>
      <c r="AM8872" s="508">
        <f t="shared" si="184"/>
        <v>2.3E-2</v>
      </c>
      <c r="AN8872" s="508">
        <f t="shared" si="184"/>
        <v>2.3E-2</v>
      </c>
      <c r="AO8872" s="508">
        <f t="array" ref="AO8872">INDEX('GREET Fuel Attributes'!$E$8948:$E$9083,MATCH($C8872&amp;$D8872,'GREET Fuel Attributes'!$B$8948:$B$9083&amp;'GREET Fuel Attributes'!$C$8948:$C$9083,0))/INDEX('GREET Fuel Attributes'!$D$8948:$D$9083,MATCH($C8872&amp;$D8872,'GREET Fuel Attributes'!$B$8948:$B$9083&amp;'GREET Fuel Attributes'!$C$8948:$C$9083,0))*AI8872</f>
        <v>2.3E-2</v>
      </c>
      <c r="AP8872" s="132" t="s">
        <v>1387</v>
      </c>
      <c r="AQ8872" s="142" t="s">
        <v>308</v>
      </c>
    </row>
    <row r="8873" spans="2:43">
      <c r="B8873" s="136" t="str">
        <f t="shared" si="185"/>
        <v>ILLINOIS</v>
      </c>
      <c r="C8873" s="132" t="s">
        <v>1370</v>
      </c>
      <c r="D8873" s="132" t="s">
        <v>1380</v>
      </c>
      <c r="E8873" s="508">
        <f t="array" ref="E8873">INDEX(E$6196:E$7062,MATCH($B8873&amp;$C8873,$B$6196:$B$7062&amp;$C$6196:$C$7062,0))</f>
        <v>2.1000000000000001E-2</v>
      </c>
      <c r="F8873" s="508">
        <f t="array" ref="F8873">INDEX(F$6196:F$7062,MATCH($B8873&amp;$C8873,$B$6196:$B$7062&amp;$C$6196:$C$7062,0))</f>
        <v>2.1000000000000001E-2</v>
      </c>
      <c r="G8873" s="508">
        <f t="array" ref="G8873">INDEX(G$6196:G$7062,MATCH($B8873&amp;$C8873,$B$6196:$B$7062&amp;$C$6196:$C$7062,0))</f>
        <v>0.02</v>
      </c>
      <c r="H8873" s="508">
        <f t="array" ref="H8873">INDEX(H$6196:H$7062,MATCH($B8873&amp;$C8873,$B$6196:$B$7062&amp;$C$6196:$C$7062,0))</f>
        <v>2.1000000000000001E-2</v>
      </c>
      <c r="I8873" s="508">
        <f t="array" ref="I8873">INDEX(I$6196:I$7062,MATCH($B8873&amp;$C8873,$B$6196:$B$7062&amp;$C$6196:$C$7062,0))</f>
        <v>1.7999999999999999E-2</v>
      </c>
      <c r="J8873" s="508">
        <f t="array" ref="J8873">INDEX(J$6196:J$7062,MATCH($B8873&amp;$C8873,$B$6196:$B$7062&amp;$C$6196:$C$7062,0))</f>
        <v>2.1000000000000001E-2</v>
      </c>
      <c r="K8873" s="508">
        <f t="array" ref="K8873">INDEX(K$6196:K$7062,MATCH($B8873&amp;$C8873,$B$6196:$B$7062&amp;$C$6196:$C$7062,0))</f>
        <v>1.9E-2</v>
      </c>
      <c r="L8873" s="508">
        <f t="array" ref="L8873">INDEX(L$6196:L$7062,MATCH($B8873&amp;$C8873,$B$6196:$B$7062&amp;$C$6196:$C$7062,0))</f>
        <v>0.02</v>
      </c>
      <c r="M8873" s="508">
        <f t="array" ref="M8873">INDEX(M$6196:M$7062,MATCH($B8873&amp;$C8873,$B$6196:$B$7062&amp;$C$6196:$C$7062,0))</f>
        <v>2.1000000000000001E-2</v>
      </c>
      <c r="N8873" s="508">
        <f t="array" ref="N8873">INDEX(N$6196:N$7062,MATCH($B8873&amp;$C8873,$B$6196:$B$7062&amp;$C$6196:$C$7062,0))</f>
        <v>2.1000000000000001E-2</v>
      </c>
      <c r="O8873" s="508">
        <f t="array" ref="O8873">INDEX(O$6196:O$7062,MATCH($B8873&amp;$C8873,$B$6196:$B$7062&amp;$C$6196:$C$7062,0))</f>
        <v>0.02</v>
      </c>
      <c r="P8873" s="508">
        <f t="array" ref="P8873">INDEX(P$6196:P$7062,MATCH($B8873&amp;$C8873,$B$6196:$B$7062&amp;$C$6196:$C$7062,0))</f>
        <v>2.1999999999999999E-2</v>
      </c>
      <c r="Q8873" s="508">
        <f t="array" ref="Q8873">INDEX(Q$6196:Q$7062,MATCH($B8873&amp;$C8873,$B$6196:$B$7062&amp;$C$6196:$C$7062,0))</f>
        <v>2.1999999999999999E-2</v>
      </c>
      <c r="R8873" s="508">
        <f t="array" ref="R8873">INDEX(R$6196:R$7062,MATCH($B8873&amp;$C8873,$B$6196:$B$7062&amp;$C$6196:$C$7062,0))</f>
        <v>2.1999999999999999E-2</v>
      </c>
      <c r="S8873" s="508">
        <f t="array" ref="S8873">INDEX(S$6196:S$7062,MATCH($B8873&amp;$C8873,$B$6196:$B$7062&amp;$C$6196:$C$7062,0))</f>
        <v>2.1999999999999999E-2</v>
      </c>
      <c r="T8873" s="508">
        <f t="array" ref="T8873">INDEX(T$6196:T$7062,MATCH($B8873&amp;$C8873,$B$6196:$B$7062&amp;$C$6196:$C$7062,0))</f>
        <v>0.02</v>
      </c>
      <c r="U8873" s="508">
        <f t="array" ref="U8873">INDEX(U$6196:U$7062,MATCH($B8873&amp;$C8873,$B$6196:$B$7062&amp;$C$6196:$C$7062,0))</f>
        <v>2.1999999999999999E-2</v>
      </c>
      <c r="V8873" s="508">
        <f t="array" ref="V8873">INDEX(V$6196:V$7062,MATCH($B8873&amp;$C8873,$B$6196:$B$7062&amp;$C$6196:$C$7062,0))</f>
        <v>2.3E-2</v>
      </c>
      <c r="W8873" s="508">
        <f t="array" ref="W8873">INDEX(W$6196:W$7062,MATCH($B8873&amp;$C8873,$B$6196:$B$7062&amp;$C$6196:$C$7062,0))</f>
        <v>2.3E-2</v>
      </c>
      <c r="X8873" s="508">
        <f t="array" ref="X8873">INDEX(X$6196:X$7062,MATCH($B8873&amp;$C8873,$B$6196:$B$7062&amp;$C$6196:$C$7062,0))</f>
        <v>2.3E-2</v>
      </c>
      <c r="Y8873" s="508">
        <f t="array" ref="Y8873">INDEX(Y$6196:Y$7062,MATCH($B8873&amp;$C8873,$B$6196:$B$7062&amp;$C$6196:$C$7062,0))</f>
        <v>2.3E-2</v>
      </c>
      <c r="Z8873" s="508">
        <f t="array" ref="Z8873">INDEX(Z$6196:Z$7062,MATCH($B8873&amp;$C8873,$B$6196:$B$7062&amp;$C$6196:$C$7062,0))</f>
        <v>2.3E-2</v>
      </c>
      <c r="AA8873" s="508">
        <f t="array" ref="AA8873">INDEX(AA$6196:AA$7062,MATCH($B8873&amp;$C8873,$B$6196:$B$7062&amp;$C$6196:$C$7062,0))</f>
        <v>2.3E-2</v>
      </c>
      <c r="AB8873" s="508">
        <f t="array" ref="AB8873">INDEX(AB$6196:AB$7062,MATCH($B8873&amp;$C8873,$B$6196:$B$7062&amp;$C$6196:$C$7062,0))</f>
        <v>2.3E-2</v>
      </c>
      <c r="AC8873" s="508">
        <f t="array" ref="AC8873">INDEX(AC$6196:AC$7062,MATCH($B8873&amp;$C8873,$B$6196:$B$7062&amp;$C$6196:$C$7062,0))</f>
        <v>2.3E-2</v>
      </c>
      <c r="AD8873" s="508">
        <f t="array" ref="AD8873">INDEX(AD$6196:AD$7062,MATCH($B8873&amp;$C8873,$B$6196:$B$7062&amp;$C$6196:$C$7062,0))</f>
        <v>2.3E-2</v>
      </c>
      <c r="AE8873" s="508">
        <f t="array" ref="AE8873">INDEX(AE$6196:AE$7062,MATCH($B8873&amp;$C8873,$B$6196:$B$7062&amp;$C$6196:$C$7062,0))</f>
        <v>2.3E-2</v>
      </c>
      <c r="AF8873" s="508">
        <f t="array" ref="AF8873">INDEX(AF$6196:AF$7062,MATCH($B8873&amp;$C8873,$B$6196:$B$7062&amp;$C$6196:$C$7062,0))</f>
        <v>2.3E-2</v>
      </c>
      <c r="AG8873" s="508">
        <f t="array" ref="AG8873">INDEX(AG$6196:AG$7062,MATCH($B8873&amp;$C8873,$B$6196:$B$7062&amp;$C$6196:$C$7062,0))</f>
        <v>2.3E-2</v>
      </c>
      <c r="AH8873" s="508">
        <f t="array" ref="AH8873">INDEX(AH$6196:AH$7062,MATCH($B8873&amp;$C8873,$B$6196:$B$7062&amp;$C$6196:$C$7062,0))</f>
        <v>2.3E-2</v>
      </c>
      <c r="AI8873" s="508">
        <f t="array" ref="AI8873">INDEX(AI$6196:AI$7062,MATCH($B8873&amp;$C8873,$B$6196:$B$7062&amp;$C$6196:$C$7062,0))</f>
        <v>2.3E-2</v>
      </c>
      <c r="AJ8873" s="508"/>
      <c r="AK8873" s="508">
        <f t="shared" si="186"/>
        <v>2.3E-2</v>
      </c>
      <c r="AL8873" s="508">
        <f t="shared" si="184"/>
        <v>2.3E-2</v>
      </c>
      <c r="AM8873" s="508">
        <f t="shared" si="184"/>
        <v>2.3E-2</v>
      </c>
      <c r="AN8873" s="508">
        <f t="shared" si="184"/>
        <v>2.3E-2</v>
      </c>
      <c r="AO8873" s="508">
        <f t="array" ref="AO8873">INDEX('GREET Fuel Attributes'!$E$8948:$E$9083,MATCH($C8873&amp;$D8873,'GREET Fuel Attributes'!$B$8948:$B$9083&amp;'GREET Fuel Attributes'!$C$8948:$C$9083,0))/INDEX('GREET Fuel Attributes'!$D$8948:$D$9083,MATCH($C8873&amp;$D8873,'GREET Fuel Attributes'!$B$8948:$B$9083&amp;'GREET Fuel Attributes'!$C$8948:$C$9083,0))*AI8873</f>
        <v>2.3E-2</v>
      </c>
      <c r="AP8873" s="132" t="s">
        <v>1387</v>
      </c>
      <c r="AQ8873" s="142" t="s">
        <v>308</v>
      </c>
    </row>
    <row r="8874" spans="2:43">
      <c r="B8874" s="136" t="str">
        <f t="shared" si="185"/>
        <v>ILLINOIS</v>
      </c>
      <c r="C8874" s="132" t="s">
        <v>1370</v>
      </c>
      <c r="D8874" s="132" t="s">
        <v>281</v>
      </c>
      <c r="E8874" s="508">
        <f t="array" ref="E8874">INDEX(E$7063:E$7929,MATCH($B8874&amp;$C8874,$B$7063:$B$7929&amp;$C$7063:$C$7929,0))</f>
        <v>1.804</v>
      </c>
      <c r="F8874" s="508">
        <f t="array" ref="F8874">INDEX(F$7063:F$7929,MATCH($B8874&amp;$C8874,$B$7063:$B$7929&amp;$C$7063:$C$7929,0))</f>
        <v>1.5189999999999999</v>
      </c>
      <c r="G8874" s="508">
        <f t="array" ref="G8874">INDEX(G$7063:G$7929,MATCH($B8874&amp;$C8874,$B$7063:$B$7929&amp;$C$7063:$C$7929,0))</f>
        <v>1.4730000000000001</v>
      </c>
      <c r="H8874" s="508">
        <f t="array" ref="H8874">INDEX(H$7063:H$7929,MATCH($B8874&amp;$C8874,$B$7063:$B$7929&amp;$C$7063:$C$7929,0))</f>
        <v>1.355</v>
      </c>
      <c r="I8874" s="508">
        <f t="array" ref="I8874">INDEX(I$7063:I$7929,MATCH($B8874&amp;$C8874,$B$7063:$B$7929&amp;$C$7063:$C$7929,0))</f>
        <v>1.486</v>
      </c>
      <c r="J8874" s="508">
        <f t="array" ref="J8874">INDEX(J$7063:J$7929,MATCH($B8874&amp;$C8874,$B$7063:$B$7929&amp;$C$7063:$C$7929,0))</f>
        <v>1.29</v>
      </c>
      <c r="K8874" s="508">
        <f t="array" ref="K8874">INDEX(K$7063:K$7929,MATCH($B8874&amp;$C8874,$B$7063:$B$7929&amp;$C$7063:$C$7929,0))</f>
        <v>1.4319999999999999</v>
      </c>
      <c r="L8874" s="508">
        <f t="array" ref="L8874">INDEX(L$7063:L$7929,MATCH($B8874&amp;$C8874,$B$7063:$B$7929&amp;$C$7063:$C$7929,0))</f>
        <v>1.3149999999999999</v>
      </c>
      <c r="M8874" s="508">
        <f t="array" ref="M8874">INDEX(M$7063:M$7929,MATCH($B8874&amp;$C8874,$B$7063:$B$7929&amp;$C$7063:$C$7929,0))</f>
        <v>1.236</v>
      </c>
      <c r="N8874" s="508">
        <f t="array" ref="N8874">INDEX(N$7063:N$7929,MATCH($B8874&amp;$C8874,$B$7063:$B$7929&amp;$C$7063:$C$7929,0))</f>
        <v>1.244</v>
      </c>
      <c r="O8874" s="508">
        <f t="array" ref="O8874">INDEX(O$7063:O$7929,MATCH($B8874&amp;$C8874,$B$7063:$B$7929&amp;$C$7063:$C$7929,0))</f>
        <v>1.2709999999999999</v>
      </c>
      <c r="P8874" s="508">
        <f t="array" ref="P8874">INDEX(P$7063:P$7929,MATCH($B8874&amp;$C8874,$B$7063:$B$7929&amp;$C$7063:$C$7929,0))</f>
        <v>1.161</v>
      </c>
      <c r="Q8874" s="508">
        <f t="array" ref="Q8874">INDEX(Q$7063:Q$7929,MATCH($B8874&amp;$C8874,$B$7063:$B$7929&amp;$C$7063:$C$7929,0))</f>
        <v>1.143</v>
      </c>
      <c r="R8874" s="508">
        <f t="array" ref="R8874">INDEX(R$7063:R$7929,MATCH($B8874&amp;$C8874,$B$7063:$B$7929&amp;$C$7063:$C$7929,0))</f>
        <v>1.1519999999999999</v>
      </c>
      <c r="S8874" s="508">
        <f t="array" ref="S8874">INDEX(S$7063:S$7929,MATCH($B8874&amp;$C8874,$B$7063:$B$7929&amp;$C$7063:$C$7929,0))</f>
        <v>1.161</v>
      </c>
      <c r="T8874" s="508">
        <f t="array" ref="T8874">INDEX(T$7063:T$7929,MATCH($B8874&amp;$C8874,$B$7063:$B$7929&amp;$C$7063:$C$7929,0))</f>
        <v>1.2430000000000001</v>
      </c>
      <c r="U8874" s="508">
        <f t="array" ref="U8874">INDEX(U$7063:U$7929,MATCH($B8874&amp;$C8874,$B$7063:$B$7929&amp;$C$7063:$C$7929,0))</f>
        <v>1.1020000000000001</v>
      </c>
      <c r="V8874" s="508">
        <f t="array" ref="V8874">INDEX(V$7063:V$7929,MATCH($B8874&amp;$C8874,$B$7063:$B$7929&amp;$C$7063:$C$7929,0))</f>
        <v>1.075</v>
      </c>
      <c r="W8874" s="508">
        <f t="array" ref="W8874">INDEX(W$7063:W$7929,MATCH($B8874&amp;$C8874,$B$7063:$B$7929&amp;$C$7063:$C$7929,0))</f>
        <v>0.82</v>
      </c>
      <c r="X8874" s="508">
        <f t="array" ref="X8874">INDEX(X$7063:X$7929,MATCH($B8874&amp;$C8874,$B$7063:$B$7929&amp;$C$7063:$C$7929,0))</f>
        <v>0.81899999999999995</v>
      </c>
      <c r="Y8874" s="508">
        <f t="array" ref="Y8874">INDEX(Y$7063:Y$7929,MATCH($B8874&amp;$C8874,$B$7063:$B$7929&amp;$C$7063:$C$7929,0))</f>
        <v>0.81499999999999995</v>
      </c>
      <c r="Z8874" s="508">
        <f t="array" ref="Z8874">INDEX(Z$7063:Z$7929,MATCH($B8874&amp;$C8874,$B$7063:$B$7929&amp;$C$7063:$C$7929,0))</f>
        <v>0.81200000000000006</v>
      </c>
      <c r="AA8874" s="508">
        <f t="array" ref="AA8874">INDEX(AA$7063:AA$7929,MATCH($B8874&amp;$C8874,$B$7063:$B$7929&amp;$C$7063:$C$7929,0))</f>
        <v>8.8999999999999996E-2</v>
      </c>
      <c r="AB8874" s="508">
        <f t="array" ref="AB8874">INDEX(AB$7063:AB$7929,MATCH($B8874&amp;$C8874,$B$7063:$B$7929&amp;$C$7063:$C$7929,0))</f>
        <v>8.8999999999999996E-2</v>
      </c>
      <c r="AC8874" s="508">
        <f t="array" ref="AC8874">INDEX(AC$7063:AC$7929,MATCH($B8874&amp;$C8874,$B$7063:$B$7929&amp;$C$7063:$C$7929,0))</f>
        <v>8.7999999999999995E-2</v>
      </c>
      <c r="AD8874" s="508">
        <f t="array" ref="AD8874">INDEX(AD$7063:AD$7929,MATCH($B8874&amp;$C8874,$B$7063:$B$7929&amp;$C$7063:$C$7929,0))</f>
        <v>6.0999999999999999E-2</v>
      </c>
      <c r="AE8874" s="508">
        <f t="array" ref="AE8874">INDEX(AE$7063:AE$7929,MATCH($B8874&amp;$C8874,$B$7063:$B$7929&amp;$C$7063:$C$7929,0))</f>
        <v>0.06</v>
      </c>
      <c r="AF8874" s="508">
        <f t="array" ref="AF8874">INDEX(AF$7063:AF$7929,MATCH($B8874&amp;$C8874,$B$7063:$B$7929&amp;$C$7063:$C$7929,0))</f>
        <v>5.0999999999999997E-2</v>
      </c>
      <c r="AG8874" s="508">
        <f t="array" ref="AG8874">INDEX(AG$7063:AG$7929,MATCH($B8874&amp;$C8874,$B$7063:$B$7929&amp;$C$7063:$C$7929,0))</f>
        <v>5.0999999999999997E-2</v>
      </c>
      <c r="AH8874" s="508">
        <f t="array" ref="AH8874">INDEX(AH$7063:AH$7929,MATCH($B8874&amp;$C8874,$B$7063:$B$7929&amp;$C$7063:$C$7929,0))</f>
        <v>5.0999999999999997E-2</v>
      </c>
      <c r="AI8874" s="508">
        <f t="array" ref="AI8874">INDEX(AI$7063:AI$7929,MATCH($B8874&amp;$C8874,$B$7063:$B$7929&amp;$C$7063:$C$7929,0))</f>
        <v>5.0999999999999997E-2</v>
      </c>
      <c r="AJ8874" s="508"/>
      <c r="AK8874" s="508">
        <f t="shared" si="186"/>
        <v>5.0999999999999997E-2</v>
      </c>
      <c r="AL8874" s="508">
        <f t="shared" si="184"/>
        <v>5.0999999999999997E-2</v>
      </c>
      <c r="AM8874" s="508">
        <f t="shared" si="184"/>
        <v>5.0999999999999997E-2</v>
      </c>
      <c r="AN8874" s="508">
        <f t="shared" si="184"/>
        <v>5.0999999999999997E-2</v>
      </c>
      <c r="AO8874" s="508">
        <f t="array" ref="AO8874">INDEX('GREET Fuel Attributes'!$E$8948:$E$9083,MATCH($C8874&amp;$D8874,'GREET Fuel Attributes'!$B$8948:$B$9083&amp;'GREET Fuel Attributes'!$C$8948:$C$9083,0))/INDEX('GREET Fuel Attributes'!$D$8948:$D$9083,MATCH($C8874&amp;$D8874,'GREET Fuel Attributes'!$B$8948:$B$9083&amp;'GREET Fuel Attributes'!$C$8948:$C$9083,0))*AI8874</f>
        <v>5.0999999999999997E-2</v>
      </c>
      <c r="AP8874" s="132" t="s">
        <v>1387</v>
      </c>
      <c r="AQ8874" s="142" t="s">
        <v>308</v>
      </c>
    </row>
    <row r="8875" spans="2:43">
      <c r="B8875" s="136" t="str">
        <f t="shared" si="185"/>
        <v>ILLINOIS</v>
      </c>
      <c r="C8875" s="132" t="s">
        <v>1370</v>
      </c>
      <c r="D8875" s="132" t="s">
        <v>1384</v>
      </c>
      <c r="E8875" s="508">
        <f t="array" ref="E8875">INDEX(E$7930:E$8796,MATCH($B8875&amp;$C8875,$B$7930:$B$8796&amp;$C$7930:$C$8796,0))</f>
        <v>0.06</v>
      </c>
      <c r="F8875" s="508">
        <f t="array" ref="F8875">INDEX(F$7930:F$8796,MATCH($B8875&amp;$C8875,$B$7930:$B$8796&amp;$C$7930:$C$8796,0))</f>
        <v>5.8000000000000003E-2</v>
      </c>
      <c r="G8875" s="508">
        <f t="array" ref="G8875">INDEX(G$7930:G$8796,MATCH($B8875&amp;$C8875,$B$7930:$B$8796&amp;$C$7930:$C$8796,0))</f>
        <v>5.7000000000000002E-2</v>
      </c>
      <c r="H8875" s="508">
        <f t="array" ref="H8875">INDEX(H$7930:H$8796,MATCH($B8875&amp;$C8875,$B$7930:$B$8796&amp;$C$7930:$C$8796,0))</f>
        <v>5.7000000000000002E-2</v>
      </c>
      <c r="I8875" s="508">
        <f t="array" ref="I8875">INDEX(I$7930:I$8796,MATCH($B8875&amp;$C8875,$B$7930:$B$8796&amp;$C$7930:$C$8796,0))</f>
        <v>5.7000000000000002E-2</v>
      </c>
      <c r="J8875" s="508">
        <f t="array" ref="J8875">INDEX(J$7930:J$8796,MATCH($B8875&amp;$C8875,$B$7930:$B$8796&amp;$C$7930:$C$8796,0))</f>
        <v>5.7000000000000002E-2</v>
      </c>
      <c r="K8875" s="508">
        <f t="array" ref="K8875">INDEX(K$7930:K$8796,MATCH($B8875&amp;$C8875,$B$7930:$B$8796&amp;$C$7930:$C$8796,0))</f>
        <v>5.6000000000000001E-2</v>
      </c>
      <c r="L8875" s="508">
        <f t="array" ref="L8875">INDEX(L$7930:L$8796,MATCH($B8875&amp;$C8875,$B$7930:$B$8796&amp;$C$7930:$C$8796,0))</f>
        <v>5.6000000000000001E-2</v>
      </c>
      <c r="M8875" s="508">
        <f t="array" ref="M8875">INDEX(M$7930:M$8796,MATCH($B8875&amp;$C8875,$B$7930:$B$8796&amp;$C$7930:$C$8796,0))</f>
        <v>5.6000000000000001E-2</v>
      </c>
      <c r="N8875" s="508">
        <f t="array" ref="N8875">INDEX(N$7930:N$8796,MATCH($B8875&amp;$C8875,$B$7930:$B$8796&amp;$C$7930:$C$8796,0))</f>
        <v>5.6000000000000001E-2</v>
      </c>
      <c r="O8875" s="508">
        <f t="array" ref="O8875">INDEX(O$7930:O$8796,MATCH($B8875&amp;$C8875,$B$7930:$B$8796&amp;$C$7930:$C$8796,0))</f>
        <v>5.6000000000000001E-2</v>
      </c>
      <c r="P8875" s="508">
        <f t="array" ref="P8875">INDEX(P$7930:P$8796,MATCH($B8875&amp;$C8875,$B$7930:$B$8796&amp;$C$7930:$C$8796,0))</f>
        <v>5.6000000000000001E-2</v>
      </c>
      <c r="Q8875" s="508">
        <f t="array" ref="Q8875">INDEX(Q$7930:Q$8796,MATCH($B8875&amp;$C8875,$B$7930:$B$8796&amp;$C$7930:$C$8796,0))</f>
        <v>5.5E-2</v>
      </c>
      <c r="R8875" s="508">
        <f t="array" ref="R8875">INDEX(R$7930:R$8796,MATCH($B8875&amp;$C8875,$B$7930:$B$8796&amp;$C$7930:$C$8796,0))</f>
        <v>5.6000000000000001E-2</v>
      </c>
      <c r="S8875" s="508">
        <f t="array" ref="S8875">INDEX(S$7930:S$8796,MATCH($B8875&amp;$C8875,$B$7930:$B$8796&amp;$C$7930:$C$8796,0))</f>
        <v>5.5E-2</v>
      </c>
      <c r="T8875" s="508">
        <f t="array" ref="T8875">INDEX(T$7930:T$8796,MATCH($B8875&amp;$C8875,$B$7930:$B$8796&amp;$C$7930:$C$8796,0))</f>
        <v>5.5E-2</v>
      </c>
      <c r="U8875" s="508">
        <f t="array" ref="U8875">INDEX(U$7930:U$8796,MATCH($B8875&amp;$C8875,$B$7930:$B$8796&amp;$C$7930:$C$8796,0))</f>
        <v>5.6000000000000001E-2</v>
      </c>
      <c r="V8875" s="508">
        <f t="array" ref="V8875">INDEX(V$7930:V$8796,MATCH($B8875&amp;$C8875,$B$7930:$B$8796&amp;$C$7930:$C$8796,0))</f>
        <v>5.6000000000000001E-2</v>
      </c>
      <c r="W8875" s="508">
        <f t="array" ref="W8875">INDEX(W$7930:W$8796,MATCH($B8875&amp;$C8875,$B$7930:$B$8796&amp;$C$7930:$C$8796,0))</f>
        <v>5.5E-2</v>
      </c>
      <c r="X8875" s="508">
        <f t="array" ref="X8875">INDEX(X$7930:X$8796,MATCH($B8875&amp;$C8875,$B$7930:$B$8796&amp;$C$7930:$C$8796,0))</f>
        <v>5.3999999999999999E-2</v>
      </c>
      <c r="Y8875" s="508">
        <f t="array" ref="Y8875">INDEX(Y$7930:Y$8796,MATCH($B8875&amp;$C8875,$B$7930:$B$8796&amp;$C$7930:$C$8796,0))</f>
        <v>5.3999999999999999E-2</v>
      </c>
      <c r="Z8875" s="508">
        <f t="array" ref="Z8875">INDEX(Z$7930:Z$8796,MATCH($B8875&amp;$C8875,$B$7930:$B$8796&amp;$C$7930:$C$8796,0))</f>
        <v>5.3999999999999999E-2</v>
      </c>
      <c r="AA8875" s="508">
        <f t="array" ref="AA8875">INDEX(AA$7930:AA$8796,MATCH($B8875&amp;$C8875,$B$7930:$B$8796&amp;$C$7930:$C$8796,0))</f>
        <v>5.3999999999999999E-2</v>
      </c>
      <c r="AB8875" s="508">
        <f t="array" ref="AB8875">INDEX(AB$7930:AB$8796,MATCH($B8875&amp;$C8875,$B$7930:$B$8796&amp;$C$7930:$C$8796,0))</f>
        <v>5.3999999999999999E-2</v>
      </c>
      <c r="AC8875" s="508">
        <f t="array" ref="AC8875">INDEX(AC$7930:AC$8796,MATCH($B8875&amp;$C8875,$B$7930:$B$8796&amp;$C$7930:$C$8796,0))</f>
        <v>5.3999999999999999E-2</v>
      </c>
      <c r="AD8875" s="508">
        <f t="array" ref="AD8875">INDEX(AD$7930:AD$8796,MATCH($B8875&amp;$C8875,$B$7930:$B$8796&amp;$C$7930:$C$8796,0))</f>
        <v>5.3999999999999999E-2</v>
      </c>
      <c r="AE8875" s="508">
        <f t="array" ref="AE8875">INDEX(AE$7930:AE$8796,MATCH($B8875&amp;$C8875,$B$7930:$B$8796&amp;$C$7930:$C$8796,0))</f>
        <v>5.3999999999999999E-2</v>
      </c>
      <c r="AF8875" s="508">
        <f t="array" ref="AF8875">INDEX(AF$7930:AF$8796,MATCH($B8875&amp;$C8875,$B$7930:$B$8796&amp;$C$7930:$C$8796,0))</f>
        <v>5.3999999999999999E-2</v>
      </c>
      <c r="AG8875" s="508">
        <f t="array" ref="AG8875">INDEX(AG$7930:AG$8796,MATCH($B8875&amp;$C8875,$B$7930:$B$8796&amp;$C$7930:$C$8796,0))</f>
        <v>5.3999999999999999E-2</v>
      </c>
      <c r="AH8875" s="508">
        <f t="array" ref="AH8875">INDEX(AH$7930:AH$8796,MATCH($B8875&amp;$C8875,$B$7930:$B$8796&amp;$C$7930:$C$8796,0))</f>
        <v>5.1999999999999998E-2</v>
      </c>
      <c r="AI8875" s="508">
        <f t="array" ref="AI8875">INDEX(AI$7930:AI$8796,MATCH($B8875&amp;$C8875,$B$7930:$B$8796&amp;$C$7930:$C$8796,0))</f>
        <v>5.1999999999999998E-2</v>
      </c>
      <c r="AJ8875" s="508"/>
      <c r="AK8875" s="508">
        <f t="shared" si="186"/>
        <v>5.1810909090909088E-2</v>
      </c>
      <c r="AL8875" s="508">
        <f t="shared" si="184"/>
        <v>5.1621818181818178E-2</v>
      </c>
      <c r="AM8875" s="508">
        <f t="shared" si="184"/>
        <v>5.1432727272727269E-2</v>
      </c>
      <c r="AN8875" s="508">
        <f t="shared" si="184"/>
        <v>5.1243636363636359E-2</v>
      </c>
      <c r="AO8875" s="508">
        <f t="array" ref="AO8875">INDEX('GREET Fuel Attributes'!$E$8948:$E$9083,MATCH($C8875&amp;$D8875,'GREET Fuel Attributes'!$B$8948:$B$9083&amp;'GREET Fuel Attributes'!$C$8948:$C$9083,0))/INDEX('GREET Fuel Attributes'!$D$8948:$D$9083,MATCH($C8875&amp;$D8875,'GREET Fuel Attributes'!$B$8948:$B$9083&amp;'GREET Fuel Attributes'!$C$8948:$C$9083,0))*AI8875</f>
        <v>5.105454545454545E-2</v>
      </c>
      <c r="AP8875" s="132" t="s">
        <v>1387</v>
      </c>
      <c r="AQ8875" s="142" t="s">
        <v>308</v>
      </c>
    </row>
    <row r="8876" spans="2:43">
      <c r="B8876" s="136" t="str">
        <f t="shared" si="185"/>
        <v>ILLINOIS</v>
      </c>
      <c r="C8876" s="132" t="s">
        <v>1371</v>
      </c>
      <c r="D8876" s="132" t="s">
        <v>282</v>
      </c>
      <c r="E8876" s="508">
        <f t="array" ref="E8876">INDEX(E$1861:E$2727,MATCH($B8876&amp;$C8876,$B$1861:$B$2727&amp;$C$1861:$C$2727,0))</f>
        <v>4.4809999999999999</v>
      </c>
      <c r="F8876" s="508">
        <f t="array" ref="F8876">INDEX(F$1861:F$2727,MATCH($B8876&amp;$C8876,$B$1861:$B$2727&amp;$C$1861:$C$2727,0))</f>
        <v>4.4809999999999999</v>
      </c>
      <c r="G8876" s="508">
        <f t="array" ref="G8876">INDEX(G$1861:G$2727,MATCH($B8876&amp;$C8876,$B$1861:$B$2727&amp;$C$1861:$C$2727,0))</f>
        <v>4.4809999999999999</v>
      </c>
      <c r="H8876" s="508">
        <f t="array" ref="H8876">INDEX(H$1861:H$2727,MATCH($B8876&amp;$C8876,$B$1861:$B$2727&amp;$C$1861:$C$2727,0))</f>
        <v>4.4809999999999999</v>
      </c>
      <c r="I8876" s="508">
        <f t="array" ref="I8876">INDEX(I$1861:I$2727,MATCH($B8876&amp;$C8876,$B$1861:$B$2727&amp;$C$1861:$C$2727,0))</f>
        <v>4.4809999999999999</v>
      </c>
      <c r="J8876" s="508">
        <f t="array" ref="J8876">INDEX(J$1861:J$2727,MATCH($B8876&amp;$C8876,$B$1861:$B$2727&amp;$C$1861:$C$2727,0))</f>
        <v>4.4809999999999999</v>
      </c>
      <c r="K8876" s="508">
        <f t="array" ref="K8876">INDEX(K$1861:K$2727,MATCH($B8876&amp;$C8876,$B$1861:$B$2727&amp;$C$1861:$C$2727,0))</f>
        <v>4.4809999999999999</v>
      </c>
      <c r="L8876" s="508">
        <f t="array" ref="L8876">INDEX(L$1861:L$2727,MATCH($B8876&amp;$C8876,$B$1861:$B$2727&amp;$C$1861:$C$2727,0))</f>
        <v>4.4809999999999999</v>
      </c>
      <c r="M8876" s="508">
        <f t="array" ref="M8876">INDEX(M$1861:M$2727,MATCH($B8876&amp;$C8876,$B$1861:$B$2727&amp;$C$1861:$C$2727,0))</f>
        <v>4.4809999999999999</v>
      </c>
      <c r="N8876" s="508">
        <f t="array" ref="N8876">INDEX(N$1861:N$2727,MATCH($B8876&amp;$C8876,$B$1861:$B$2727&amp;$C$1861:$C$2727,0))</f>
        <v>4.4809999999999999</v>
      </c>
      <c r="O8876" s="508">
        <f t="array" ref="O8876">INDEX(O$1861:O$2727,MATCH($B8876&amp;$C8876,$B$1861:$B$2727&amp;$C$1861:$C$2727,0))</f>
        <v>4.4809999999999999</v>
      </c>
      <c r="P8876" s="508">
        <f t="array" ref="P8876">INDEX(P$1861:P$2727,MATCH($B8876&amp;$C8876,$B$1861:$B$2727&amp;$C$1861:$C$2727,0))</f>
        <v>4.4809999999999999</v>
      </c>
      <c r="Q8876" s="508">
        <f t="array" ref="Q8876">INDEX(Q$1861:Q$2727,MATCH($B8876&amp;$C8876,$B$1861:$B$2727&amp;$C$1861:$C$2727,0))</f>
        <v>4.4809999999999999</v>
      </c>
      <c r="R8876" s="508">
        <f t="array" ref="R8876">INDEX(R$1861:R$2727,MATCH($B8876&amp;$C8876,$B$1861:$B$2727&amp;$C$1861:$C$2727,0))</f>
        <v>4.4809999999999999</v>
      </c>
      <c r="S8876" s="508">
        <f t="array" ref="S8876">INDEX(S$1861:S$2727,MATCH($B8876&amp;$C8876,$B$1861:$B$2727&amp;$C$1861:$C$2727,0))</f>
        <v>4.4809999999999999</v>
      </c>
      <c r="T8876" s="508">
        <f t="array" ref="T8876">INDEX(T$1861:T$2727,MATCH($B8876&amp;$C8876,$B$1861:$B$2727&amp;$C$1861:$C$2727,0))</f>
        <v>4.4809999999999999</v>
      </c>
      <c r="U8876" s="508">
        <f t="array" ref="U8876">INDEX(U$1861:U$2727,MATCH($B8876&amp;$C8876,$B$1861:$B$2727&amp;$C$1861:$C$2727,0))</f>
        <v>4.4809999999999999</v>
      </c>
      <c r="V8876" s="508">
        <f t="array" ref="V8876">INDEX(V$1861:V$2727,MATCH($B8876&amp;$C8876,$B$1861:$B$2727&amp;$C$1861:$C$2727,0))</f>
        <v>4.4809999999999999</v>
      </c>
      <c r="W8876" s="508">
        <f t="array" ref="W8876">INDEX(W$1861:W$2727,MATCH($B8876&amp;$C8876,$B$1861:$B$2727&amp;$C$1861:$C$2727,0))</f>
        <v>3.5939999999999999</v>
      </c>
      <c r="X8876" s="508">
        <f t="array" ref="X8876">INDEX(X$1861:X$2727,MATCH($B8876&amp;$C8876,$B$1861:$B$2727&amp;$C$1861:$C$2727,0))</f>
        <v>3.5939999999999999</v>
      </c>
      <c r="Y8876" s="508">
        <f t="array" ref="Y8876">INDEX(Y$1861:Y$2727,MATCH($B8876&amp;$C8876,$B$1861:$B$2727&amp;$C$1861:$C$2727,0))</f>
        <v>3.5939999999999999</v>
      </c>
      <c r="Z8876" s="508">
        <f t="array" ref="Z8876">INDEX(Z$1861:Z$2727,MATCH($B8876&amp;$C8876,$B$1861:$B$2727&amp;$C$1861:$C$2727,0))</f>
        <v>3.5939999999999999</v>
      </c>
      <c r="AA8876" s="508">
        <f t="array" ref="AA8876">INDEX(AA$1861:AA$2727,MATCH($B8876&amp;$C8876,$B$1861:$B$2727&amp;$C$1861:$C$2727,0))</f>
        <v>1.395</v>
      </c>
      <c r="AB8876" s="508">
        <f t="array" ref="AB8876">INDEX(AB$1861:AB$2727,MATCH($B8876&amp;$C8876,$B$1861:$B$2727&amp;$C$1861:$C$2727,0))</f>
        <v>1.395</v>
      </c>
      <c r="AC8876" s="508">
        <f t="array" ref="AC8876">INDEX(AC$1861:AC$2727,MATCH($B8876&amp;$C8876,$B$1861:$B$2727&amp;$C$1861:$C$2727,0))</f>
        <v>1.395</v>
      </c>
      <c r="AD8876" s="508">
        <f t="array" ref="AD8876">INDEX(AD$1861:AD$2727,MATCH($B8876&amp;$C8876,$B$1861:$B$2727&amp;$C$1861:$C$2727,0))</f>
        <v>1.1379999999999999</v>
      </c>
      <c r="AE8876" s="508">
        <f t="array" ref="AE8876">INDEX(AE$1861:AE$2727,MATCH($B8876&amp;$C8876,$B$1861:$B$2727&amp;$C$1861:$C$2727,0))</f>
        <v>1.1379999999999999</v>
      </c>
      <c r="AF8876" s="508">
        <f t="array" ref="AF8876">INDEX(AF$1861:AF$2727,MATCH($B8876&amp;$C8876,$B$1861:$B$2727&amp;$C$1861:$C$2727,0))</f>
        <v>1.083</v>
      </c>
      <c r="AG8876" s="508">
        <f t="array" ref="AG8876">INDEX(AG$1861:AG$2727,MATCH($B8876&amp;$C8876,$B$1861:$B$2727&amp;$C$1861:$C$2727,0))</f>
        <v>1.081</v>
      </c>
      <c r="AH8876" s="508">
        <f t="array" ref="AH8876">INDEX(AH$1861:AH$2727,MATCH($B8876&amp;$C8876,$B$1861:$B$2727&amp;$C$1861:$C$2727,0))</f>
        <v>1.081</v>
      </c>
      <c r="AI8876" s="508">
        <f t="array" ref="AI8876">INDEX(AI$1861:AI$2727,MATCH($B8876&amp;$C8876,$B$1861:$B$2727&amp;$C$1861:$C$2727,0))</f>
        <v>1.081</v>
      </c>
      <c r="AJ8876" s="508"/>
      <c r="AK8876" s="508">
        <f t="shared" si="186"/>
        <v>1.0814141762452107</v>
      </c>
      <c r="AL8876" s="508">
        <f t="shared" si="184"/>
        <v>1.0818283524904215</v>
      </c>
      <c r="AM8876" s="508">
        <f t="shared" si="184"/>
        <v>1.0822425287356323</v>
      </c>
      <c r="AN8876" s="508">
        <f t="shared" si="184"/>
        <v>1.0826567049808431</v>
      </c>
      <c r="AO8876" s="508">
        <f t="array" ref="AO8876">INDEX('GREET Fuel Attributes'!$E$8948:$E$9083,MATCH($C8876&amp;$D8876,'GREET Fuel Attributes'!$B$8948:$B$9083&amp;'GREET Fuel Attributes'!$C$8948:$C$9083,0))/INDEX('GREET Fuel Attributes'!$D$8948:$D$9083,MATCH($C8876&amp;$D8876,'GREET Fuel Attributes'!$B$8948:$B$9083&amp;'GREET Fuel Attributes'!$C$8948:$C$9083,0))*AI8876</f>
        <v>1.0830708812260537</v>
      </c>
      <c r="AP8876" s="132" t="s">
        <v>1387</v>
      </c>
      <c r="AQ8876" s="142" t="s">
        <v>306</v>
      </c>
    </row>
    <row r="8877" spans="2:43">
      <c r="B8877" s="136" t="str">
        <f t="shared" si="185"/>
        <v>ILLINOIS</v>
      </c>
      <c r="C8877" s="132" t="s">
        <v>1371</v>
      </c>
      <c r="D8877" s="132" t="s">
        <v>283</v>
      </c>
      <c r="E8877" s="508">
        <f t="array" ref="E8877">INDEX(E$2728:E$3594,MATCH($B8877&amp;$C8877,$B$2728:$B$3594&amp;$C$2728:$C$3594,0))</f>
        <v>21.073</v>
      </c>
      <c r="F8877" s="508">
        <f t="array" ref="F8877">INDEX(F$2728:F$3594,MATCH($B8877&amp;$C8877,$B$2728:$B$3594&amp;$C$2728:$C$3594,0))</f>
        <v>21.073</v>
      </c>
      <c r="G8877" s="508">
        <f t="array" ref="G8877">INDEX(G$2728:G$3594,MATCH($B8877&amp;$C8877,$B$2728:$B$3594&amp;$C$2728:$C$3594,0))</f>
        <v>21.073</v>
      </c>
      <c r="H8877" s="508">
        <f t="array" ref="H8877">INDEX(H$2728:H$3594,MATCH($B8877&amp;$C8877,$B$2728:$B$3594&amp;$C$2728:$C$3594,0))</f>
        <v>21.073</v>
      </c>
      <c r="I8877" s="508">
        <f t="array" ref="I8877">INDEX(I$2728:I$3594,MATCH($B8877&amp;$C8877,$B$2728:$B$3594&amp;$C$2728:$C$3594,0))</f>
        <v>21.073</v>
      </c>
      <c r="J8877" s="508">
        <f t="array" ref="J8877">INDEX(J$2728:J$3594,MATCH($B8877&amp;$C8877,$B$2728:$B$3594&amp;$C$2728:$C$3594,0))</f>
        <v>16.274999999999999</v>
      </c>
      <c r="K8877" s="508">
        <f t="array" ref="K8877">INDEX(K$2728:K$3594,MATCH($B8877&amp;$C8877,$B$2728:$B$3594&amp;$C$2728:$C$3594,0))</f>
        <v>15.111000000000001</v>
      </c>
      <c r="L8877" s="508">
        <f t="array" ref="L8877">INDEX(L$2728:L$3594,MATCH($B8877&amp;$C8877,$B$2728:$B$3594&amp;$C$2728:$C$3594,0))</f>
        <v>15.111000000000001</v>
      </c>
      <c r="M8877" s="508">
        <f t="array" ref="M8877">INDEX(M$2728:M$3594,MATCH($B8877&amp;$C8877,$B$2728:$B$3594&amp;$C$2728:$C$3594,0))</f>
        <v>15.111000000000001</v>
      </c>
      <c r="N8877" s="508">
        <f t="array" ref="N8877">INDEX(N$2728:N$3594,MATCH($B8877&amp;$C8877,$B$2728:$B$3594&amp;$C$2728:$C$3594,0))</f>
        <v>15.111000000000001</v>
      </c>
      <c r="O8877" s="508">
        <f t="array" ref="O8877">INDEX(O$2728:O$3594,MATCH($B8877&amp;$C8877,$B$2728:$B$3594&amp;$C$2728:$C$3594,0))</f>
        <v>15.111000000000001</v>
      </c>
      <c r="P8877" s="508">
        <f t="array" ref="P8877">INDEX(P$2728:P$3594,MATCH($B8877&amp;$C8877,$B$2728:$B$3594&amp;$C$2728:$C$3594,0))</f>
        <v>15.159000000000001</v>
      </c>
      <c r="Q8877" s="508">
        <f t="array" ref="Q8877">INDEX(Q$2728:Q$3594,MATCH($B8877&amp;$C8877,$B$2728:$B$3594&amp;$C$2728:$C$3594,0))</f>
        <v>15.159000000000001</v>
      </c>
      <c r="R8877" s="508">
        <f t="array" ref="R8877">INDEX(R$2728:R$3594,MATCH($B8877&amp;$C8877,$B$2728:$B$3594&amp;$C$2728:$C$3594,0))</f>
        <v>13.839</v>
      </c>
      <c r="S8877" s="508">
        <f t="array" ref="S8877">INDEX(S$2728:S$3594,MATCH($B8877&amp;$C8877,$B$2728:$B$3594&amp;$C$2728:$C$3594,0))</f>
        <v>7.8959999999999999</v>
      </c>
      <c r="T8877" s="508">
        <f t="array" ref="T8877">INDEX(T$2728:T$3594,MATCH($B8877&amp;$C8877,$B$2728:$B$3594&amp;$C$2728:$C$3594,0))</f>
        <v>7.8959999999999999</v>
      </c>
      <c r="U8877" s="508">
        <f t="array" ref="U8877">INDEX(U$2728:U$3594,MATCH($B8877&amp;$C8877,$B$2728:$B$3594&amp;$C$2728:$C$3594,0))</f>
        <v>7.8959999999999999</v>
      </c>
      <c r="V8877" s="508">
        <f t="array" ref="V8877">INDEX(V$2728:V$3594,MATCH($B8877&amp;$C8877,$B$2728:$B$3594&amp;$C$2728:$C$3594,0))</f>
        <v>7.8959999999999999</v>
      </c>
      <c r="W8877" s="508">
        <f t="array" ref="W8877">INDEX(W$2728:W$3594,MATCH($B8877&amp;$C8877,$B$2728:$B$3594&amp;$C$2728:$C$3594,0))</f>
        <v>6.1740000000000004</v>
      </c>
      <c r="X8877" s="508">
        <f t="array" ref="X8877">INDEX(X$2728:X$3594,MATCH($B8877&amp;$C8877,$B$2728:$B$3594&amp;$C$2728:$C$3594,0))</f>
        <v>6.1740000000000004</v>
      </c>
      <c r="Y8877" s="508">
        <f t="array" ref="Y8877">INDEX(Y$2728:Y$3594,MATCH($B8877&amp;$C8877,$B$2728:$B$3594&amp;$C$2728:$C$3594,0))</f>
        <v>6.1740000000000004</v>
      </c>
      <c r="Z8877" s="508">
        <f t="array" ref="Z8877">INDEX(Z$2728:Z$3594,MATCH($B8877&amp;$C8877,$B$2728:$B$3594&amp;$C$2728:$C$3594,0))</f>
        <v>6.1740000000000004</v>
      </c>
      <c r="AA8877" s="508">
        <f t="array" ref="AA8877">INDEX(AA$2728:AA$3594,MATCH($B8877&amp;$C8877,$B$2728:$B$3594&amp;$C$2728:$C$3594,0))</f>
        <v>3.141</v>
      </c>
      <c r="AB8877" s="508">
        <f t="array" ref="AB8877">INDEX(AB$2728:AB$3594,MATCH($B8877&amp;$C8877,$B$2728:$B$3594&amp;$C$2728:$C$3594,0))</f>
        <v>3.141</v>
      </c>
      <c r="AC8877" s="508">
        <f t="array" ref="AC8877">INDEX(AC$2728:AC$3594,MATCH($B8877&amp;$C8877,$B$2728:$B$3594&amp;$C$2728:$C$3594,0))</f>
        <v>3.141</v>
      </c>
      <c r="AD8877" s="508">
        <f t="array" ref="AD8877">INDEX(AD$2728:AD$3594,MATCH($B8877&amp;$C8877,$B$2728:$B$3594&amp;$C$2728:$C$3594,0))</f>
        <v>1.016</v>
      </c>
      <c r="AE8877" s="508">
        <f t="array" ref="AE8877">INDEX(AE$2728:AE$3594,MATCH($B8877&amp;$C8877,$B$2728:$B$3594&amp;$C$2728:$C$3594,0))</f>
        <v>1.016</v>
      </c>
      <c r="AF8877" s="508">
        <f t="array" ref="AF8877">INDEX(AF$2728:AF$3594,MATCH($B8877&amp;$C8877,$B$2728:$B$3594&amp;$C$2728:$C$3594,0))</f>
        <v>0.65900000000000003</v>
      </c>
      <c r="AG8877" s="508">
        <f t="array" ref="AG8877">INDEX(AG$2728:AG$3594,MATCH($B8877&amp;$C8877,$B$2728:$B$3594&amp;$C$2728:$C$3594,0))</f>
        <v>0.64800000000000002</v>
      </c>
      <c r="AH8877" s="508">
        <f t="array" ref="AH8877">INDEX(AH$2728:AH$3594,MATCH($B8877&amp;$C8877,$B$2728:$B$3594&amp;$C$2728:$C$3594,0))</f>
        <v>0.64500000000000002</v>
      </c>
      <c r="AI8877" s="508">
        <f t="array" ref="AI8877">INDEX(AI$2728:AI$3594,MATCH($B8877&amp;$C8877,$B$2728:$B$3594&amp;$C$2728:$C$3594,0))</f>
        <v>0.64500000000000002</v>
      </c>
      <c r="AJ8877" s="508"/>
      <c r="AK8877" s="508">
        <f t="shared" si="186"/>
        <v>0.64438644470868012</v>
      </c>
      <c r="AL8877" s="508">
        <f t="shared" si="184"/>
        <v>0.64377288941736022</v>
      </c>
      <c r="AM8877" s="508">
        <f t="shared" si="184"/>
        <v>0.64315933412604032</v>
      </c>
      <c r="AN8877" s="508">
        <f t="shared" si="184"/>
        <v>0.64254577883472042</v>
      </c>
      <c r="AO8877" s="508">
        <f t="array" ref="AO8877">INDEX('GREET Fuel Attributes'!$E$8948:$E$9083,MATCH($C8877&amp;$D8877,'GREET Fuel Attributes'!$B$8948:$B$9083&amp;'GREET Fuel Attributes'!$C$8948:$C$9083,0))/INDEX('GREET Fuel Attributes'!$D$8948:$D$9083,MATCH($C8877&amp;$D8877,'GREET Fuel Attributes'!$B$8948:$B$9083&amp;'GREET Fuel Attributes'!$C$8948:$C$9083,0))*AI8877</f>
        <v>0.64193222354340074</v>
      </c>
      <c r="AP8877" s="132" t="s">
        <v>1387</v>
      </c>
      <c r="AQ8877" s="142" t="s">
        <v>306</v>
      </c>
    </row>
    <row r="8878" spans="2:43">
      <c r="B8878" s="136" t="str">
        <f t="shared" si="185"/>
        <v>ILLINOIS</v>
      </c>
      <c r="C8878" s="132" t="s">
        <v>1371</v>
      </c>
      <c r="D8878" s="132" t="s">
        <v>284</v>
      </c>
      <c r="E8878" s="508">
        <f t="array" ref="E8878">INDEX(E$3595:E$4461,MATCH($B8878&amp;$C8878,$B$3595:$B$4461&amp;$C$3595:$C$4461,0))</f>
        <v>1.2150000000000001</v>
      </c>
      <c r="F8878" s="508">
        <f t="array" ref="F8878">INDEX(F$3595:F$4461,MATCH($B8878&amp;$C8878,$B$3595:$B$4461&amp;$C$3595:$C$4461,0))</f>
        <v>1.2150000000000001</v>
      </c>
      <c r="G8878" s="508">
        <f t="array" ref="G8878">INDEX(G$3595:G$4461,MATCH($B8878&amp;$C8878,$B$3595:$B$4461&amp;$C$3595:$C$4461,0))</f>
        <v>1.2150000000000001</v>
      </c>
      <c r="H8878" s="508">
        <f t="array" ref="H8878">INDEX(H$3595:H$4461,MATCH($B8878&amp;$C8878,$B$3595:$B$4461&amp;$C$3595:$C$4461,0))</f>
        <v>1.0960000000000001</v>
      </c>
      <c r="I8878" s="508">
        <f t="array" ref="I8878">INDEX(I$3595:I$4461,MATCH($B8878&amp;$C8878,$B$3595:$B$4461&amp;$C$3595:$C$4461,0))</f>
        <v>1.0960000000000001</v>
      </c>
      <c r="J8878" s="508">
        <f t="array" ref="J8878">INDEX(J$3595:J$4461,MATCH($B8878&amp;$C8878,$B$3595:$B$4461&amp;$C$3595:$C$4461,0))</f>
        <v>1.0960000000000001</v>
      </c>
      <c r="K8878" s="508">
        <f t="array" ref="K8878">INDEX(K$3595:K$4461,MATCH($B8878&amp;$C8878,$B$3595:$B$4461&amp;$C$3595:$C$4461,0))</f>
        <v>0.73</v>
      </c>
      <c r="L8878" s="508">
        <f t="array" ref="L8878">INDEX(L$3595:L$4461,MATCH($B8878&amp;$C8878,$B$3595:$B$4461&amp;$C$3595:$C$4461,0))</f>
        <v>0.73</v>
      </c>
      <c r="M8878" s="508">
        <f t="array" ref="M8878">INDEX(M$3595:M$4461,MATCH($B8878&amp;$C8878,$B$3595:$B$4461&amp;$C$3595:$C$4461,0))</f>
        <v>0.73</v>
      </c>
      <c r="N8878" s="508">
        <f t="array" ref="N8878">INDEX(N$3595:N$4461,MATCH($B8878&amp;$C8878,$B$3595:$B$4461&amp;$C$3595:$C$4461,0))</f>
        <v>1.206</v>
      </c>
      <c r="O8878" s="508">
        <f t="array" ref="O8878">INDEX(O$3595:O$4461,MATCH($B8878&amp;$C8878,$B$3595:$B$4461&amp;$C$3595:$C$4461,0))</f>
        <v>1.206</v>
      </c>
      <c r="P8878" s="508">
        <f t="array" ref="P8878">INDEX(P$3595:P$4461,MATCH($B8878&amp;$C8878,$B$3595:$B$4461&amp;$C$3595:$C$4461,0))</f>
        <v>1.206</v>
      </c>
      <c r="Q8878" s="508">
        <f t="array" ref="Q8878">INDEX(Q$3595:Q$4461,MATCH($B8878&amp;$C8878,$B$3595:$B$4461&amp;$C$3595:$C$4461,0))</f>
        <v>1.206</v>
      </c>
      <c r="R8878" s="508">
        <f t="array" ref="R8878">INDEX(R$3595:R$4461,MATCH($B8878&amp;$C8878,$B$3595:$B$4461&amp;$C$3595:$C$4461,0))</f>
        <v>0.55800000000000005</v>
      </c>
      <c r="S8878" s="508">
        <f t="array" ref="S8878">INDEX(S$3595:S$4461,MATCH($B8878&amp;$C8878,$B$3595:$B$4461&amp;$C$3595:$C$4461,0))</f>
        <v>0.55800000000000005</v>
      </c>
      <c r="T8878" s="508">
        <f t="array" ref="T8878">INDEX(T$3595:T$4461,MATCH($B8878&amp;$C8878,$B$3595:$B$4461&amp;$C$3595:$C$4461,0))</f>
        <v>0.55800000000000005</v>
      </c>
      <c r="U8878" s="508">
        <f t="array" ref="U8878">INDEX(U$3595:U$4461,MATCH($B8878&amp;$C8878,$B$3595:$B$4461&amp;$C$3595:$C$4461,0))</f>
        <v>0.55800000000000005</v>
      </c>
      <c r="V8878" s="508">
        <f t="array" ref="V8878">INDEX(V$3595:V$4461,MATCH($B8878&amp;$C8878,$B$3595:$B$4461&amp;$C$3595:$C$4461,0))</f>
        <v>0.55800000000000005</v>
      </c>
      <c r="W8878" s="508">
        <f t="array" ref="W8878">INDEX(W$3595:W$4461,MATCH($B8878&amp;$C8878,$B$3595:$B$4461&amp;$C$3595:$C$4461,0))</f>
        <v>0.503</v>
      </c>
      <c r="X8878" s="508">
        <f t="array" ref="X8878">INDEX(X$3595:X$4461,MATCH($B8878&amp;$C8878,$B$3595:$B$4461&amp;$C$3595:$C$4461,0))</f>
        <v>0.503</v>
      </c>
      <c r="Y8878" s="508">
        <f t="array" ref="Y8878">INDEX(Y$3595:Y$4461,MATCH($B8878&amp;$C8878,$B$3595:$B$4461&amp;$C$3595:$C$4461,0))</f>
        <v>0.503</v>
      </c>
      <c r="Z8878" s="508">
        <f t="array" ref="Z8878">INDEX(Z$3595:Z$4461,MATCH($B8878&amp;$C8878,$B$3595:$B$4461&amp;$C$3595:$C$4461,0))</f>
        <v>0.503</v>
      </c>
      <c r="AA8878" s="508">
        <f t="array" ref="AA8878">INDEX(AA$3595:AA$4461,MATCH($B8878&amp;$C8878,$B$3595:$B$4461&amp;$C$3595:$C$4461,0))</f>
        <v>2.1000000000000001E-2</v>
      </c>
      <c r="AB8878" s="508">
        <f t="array" ref="AB8878">INDEX(AB$3595:AB$4461,MATCH($B8878&amp;$C8878,$B$3595:$B$4461&amp;$C$3595:$C$4461,0))</f>
        <v>2.1000000000000001E-2</v>
      </c>
      <c r="AC8878" s="508">
        <f t="array" ref="AC8878">INDEX(AC$3595:AC$4461,MATCH($B8878&amp;$C8878,$B$3595:$B$4461&amp;$C$3595:$C$4461,0))</f>
        <v>2.1000000000000001E-2</v>
      </c>
      <c r="AD8878" s="508">
        <f t="array" ref="AD8878">INDEX(AD$3595:AD$4461,MATCH($B8878&amp;$C8878,$B$3595:$B$4461&amp;$C$3595:$C$4461,0))</f>
        <v>1.7999999999999999E-2</v>
      </c>
      <c r="AE8878" s="508">
        <f t="array" ref="AE8878">INDEX(AE$3595:AE$4461,MATCH($B8878&amp;$C8878,$B$3595:$B$4461&amp;$C$3595:$C$4461,0))</f>
        <v>1.7999999999999999E-2</v>
      </c>
      <c r="AF8878" s="508">
        <f t="array" ref="AF8878">INDEX(AF$3595:AF$4461,MATCH($B8878&amp;$C8878,$B$3595:$B$4461&amp;$C$3595:$C$4461,0))</f>
        <v>1.0999999999999999E-2</v>
      </c>
      <c r="AG8878" s="508">
        <f t="array" ref="AG8878">INDEX(AG$3595:AG$4461,MATCH($B8878&amp;$C8878,$B$3595:$B$4461&amp;$C$3595:$C$4461,0))</f>
        <v>1.0999999999999999E-2</v>
      </c>
      <c r="AH8878" s="508">
        <f t="array" ref="AH8878">INDEX(AH$3595:AH$4461,MATCH($B8878&amp;$C8878,$B$3595:$B$4461&amp;$C$3595:$C$4461,0))</f>
        <v>1.0999999999999999E-2</v>
      </c>
      <c r="AI8878" s="508">
        <f t="array" ref="AI8878">INDEX(AI$3595:AI$4461,MATCH($B8878&amp;$C8878,$B$3595:$B$4461&amp;$C$3595:$C$4461,0))</f>
        <v>1.0999999999999999E-2</v>
      </c>
      <c r="AJ8878" s="508"/>
      <c r="AK8878" s="508">
        <f t="shared" si="186"/>
        <v>1.0999999999999999E-2</v>
      </c>
      <c r="AL8878" s="508">
        <f t="shared" si="184"/>
        <v>1.0999999999999999E-2</v>
      </c>
      <c r="AM8878" s="508">
        <f t="shared" si="184"/>
        <v>1.0999999999999999E-2</v>
      </c>
      <c r="AN8878" s="508">
        <f t="shared" si="184"/>
        <v>1.0999999999999999E-2</v>
      </c>
      <c r="AO8878" s="508">
        <f t="array" ref="AO8878">INDEX('GREET Fuel Attributes'!$E$8948:$E$9083,MATCH($C8878&amp;$D8878,'GREET Fuel Attributes'!$B$8948:$B$9083&amp;'GREET Fuel Attributes'!$C$8948:$C$9083,0))/INDEX('GREET Fuel Attributes'!$D$8948:$D$9083,MATCH($C8878&amp;$D8878,'GREET Fuel Attributes'!$B$8948:$B$9083&amp;'GREET Fuel Attributes'!$C$8948:$C$9083,0))*AI8878</f>
        <v>1.0999999999999999E-2</v>
      </c>
      <c r="AP8878" s="132" t="s">
        <v>1387</v>
      </c>
      <c r="AQ8878" s="142" t="s">
        <v>306</v>
      </c>
    </row>
    <row r="8879" spans="2:43">
      <c r="B8879" s="136" t="str">
        <f t="shared" si="185"/>
        <v>ILLINOIS</v>
      </c>
      <c r="C8879" s="132" t="s">
        <v>1371</v>
      </c>
      <c r="D8879" s="132" t="s">
        <v>1379</v>
      </c>
      <c r="E8879" s="508">
        <f t="array" ref="E8879">INDEX(E$4462:E$5328,MATCH($B8879&amp;$C8879,$B$4462:$B$5328&amp;$C$4462:$C$5328,0))</f>
        <v>0.109</v>
      </c>
      <c r="F8879" s="508">
        <f t="array" ref="F8879">INDEX(F$4462:F$5328,MATCH($B8879&amp;$C8879,$B$4462:$B$5328&amp;$C$4462:$C$5328,0))</f>
        <v>0.109</v>
      </c>
      <c r="G8879" s="508">
        <f t="array" ref="G8879">INDEX(G$4462:G$5328,MATCH($B8879&amp;$C8879,$B$4462:$B$5328&amp;$C$4462:$C$5328,0))</f>
        <v>0.109</v>
      </c>
      <c r="H8879" s="508">
        <f t="array" ref="H8879">INDEX(H$4462:H$5328,MATCH($B8879&amp;$C8879,$B$4462:$B$5328&amp;$C$4462:$C$5328,0))</f>
        <v>0.109</v>
      </c>
      <c r="I8879" s="508">
        <f t="array" ref="I8879">INDEX(I$4462:I$5328,MATCH($B8879&amp;$C8879,$B$4462:$B$5328&amp;$C$4462:$C$5328,0))</f>
        <v>0.109</v>
      </c>
      <c r="J8879" s="508">
        <f t="array" ref="J8879">INDEX(J$4462:J$5328,MATCH($B8879&amp;$C8879,$B$4462:$B$5328&amp;$C$4462:$C$5328,0))</f>
        <v>0.109</v>
      </c>
      <c r="K8879" s="508">
        <f t="array" ref="K8879">INDEX(K$4462:K$5328,MATCH($B8879&amp;$C8879,$B$4462:$B$5328&amp;$C$4462:$C$5328,0))</f>
        <v>0.109</v>
      </c>
      <c r="L8879" s="508">
        <f t="array" ref="L8879">INDEX(L$4462:L$5328,MATCH($B8879&amp;$C8879,$B$4462:$B$5328&amp;$C$4462:$C$5328,0))</f>
        <v>0.109</v>
      </c>
      <c r="M8879" s="508">
        <f t="array" ref="M8879">INDEX(M$4462:M$5328,MATCH($B8879&amp;$C8879,$B$4462:$B$5328&amp;$C$4462:$C$5328,0))</f>
        <v>0.109</v>
      </c>
      <c r="N8879" s="508">
        <f t="array" ref="N8879">INDEX(N$4462:N$5328,MATCH($B8879&amp;$C8879,$B$4462:$B$5328&amp;$C$4462:$C$5328,0))</f>
        <v>0.109</v>
      </c>
      <c r="O8879" s="508">
        <f t="array" ref="O8879">INDEX(O$4462:O$5328,MATCH($B8879&amp;$C8879,$B$4462:$B$5328&amp;$C$4462:$C$5328,0))</f>
        <v>0.109</v>
      </c>
      <c r="P8879" s="508">
        <f t="array" ref="P8879">INDEX(P$4462:P$5328,MATCH($B8879&amp;$C8879,$B$4462:$B$5328&amp;$C$4462:$C$5328,0))</f>
        <v>0.109</v>
      </c>
      <c r="Q8879" s="508">
        <f t="array" ref="Q8879">INDEX(Q$4462:Q$5328,MATCH($B8879&amp;$C8879,$B$4462:$B$5328&amp;$C$4462:$C$5328,0))</f>
        <v>0.109</v>
      </c>
      <c r="R8879" s="508">
        <f t="array" ref="R8879">INDEX(R$4462:R$5328,MATCH($B8879&amp;$C8879,$B$4462:$B$5328&amp;$C$4462:$C$5328,0))</f>
        <v>0.109</v>
      </c>
      <c r="S8879" s="508">
        <f t="array" ref="S8879">INDEX(S$4462:S$5328,MATCH($B8879&amp;$C8879,$B$4462:$B$5328&amp;$C$4462:$C$5328,0))</f>
        <v>0.109</v>
      </c>
      <c r="T8879" s="508">
        <f t="array" ref="T8879">INDEX(T$4462:T$5328,MATCH($B8879&amp;$C8879,$B$4462:$B$5328&amp;$C$4462:$C$5328,0))</f>
        <v>0.109</v>
      </c>
      <c r="U8879" s="508">
        <f t="array" ref="U8879">INDEX(U$4462:U$5328,MATCH($B8879&amp;$C8879,$B$4462:$B$5328&amp;$C$4462:$C$5328,0))</f>
        <v>0.109</v>
      </c>
      <c r="V8879" s="508">
        <f t="array" ref="V8879">INDEX(V$4462:V$5328,MATCH($B8879&amp;$C8879,$B$4462:$B$5328&amp;$C$4462:$C$5328,0))</f>
        <v>0.109</v>
      </c>
      <c r="W8879" s="508">
        <f t="array" ref="W8879">INDEX(W$4462:W$5328,MATCH($B8879&amp;$C8879,$B$4462:$B$5328&amp;$C$4462:$C$5328,0))</f>
        <v>0.109</v>
      </c>
      <c r="X8879" s="508">
        <f t="array" ref="X8879">INDEX(X$4462:X$5328,MATCH($B8879&amp;$C8879,$B$4462:$B$5328&amp;$C$4462:$C$5328,0))</f>
        <v>0.109</v>
      </c>
      <c r="Y8879" s="508">
        <f t="array" ref="Y8879">INDEX(Y$4462:Y$5328,MATCH($B8879&amp;$C8879,$B$4462:$B$5328&amp;$C$4462:$C$5328,0))</f>
        <v>0.109</v>
      </c>
      <c r="Z8879" s="508">
        <f t="array" ref="Z8879">INDEX(Z$4462:Z$5328,MATCH($B8879&amp;$C8879,$B$4462:$B$5328&amp;$C$4462:$C$5328,0))</f>
        <v>0.109</v>
      </c>
      <c r="AA8879" s="508">
        <f t="array" ref="AA8879">INDEX(AA$4462:AA$5328,MATCH($B8879&amp;$C8879,$B$4462:$B$5328&amp;$C$4462:$C$5328,0))</f>
        <v>0.109</v>
      </c>
      <c r="AB8879" s="508">
        <f t="array" ref="AB8879">INDEX(AB$4462:AB$5328,MATCH($B8879&amp;$C8879,$B$4462:$B$5328&amp;$C$4462:$C$5328,0))</f>
        <v>0.109</v>
      </c>
      <c r="AC8879" s="508">
        <f t="array" ref="AC8879">INDEX(AC$4462:AC$5328,MATCH($B8879&amp;$C8879,$B$4462:$B$5328&amp;$C$4462:$C$5328,0))</f>
        <v>0.109</v>
      </c>
      <c r="AD8879" s="508">
        <f t="array" ref="AD8879">INDEX(AD$4462:AD$5328,MATCH($B8879&amp;$C8879,$B$4462:$B$5328&amp;$C$4462:$C$5328,0))</f>
        <v>0.109</v>
      </c>
      <c r="AE8879" s="508">
        <f t="array" ref="AE8879">INDEX(AE$4462:AE$5328,MATCH($B8879&amp;$C8879,$B$4462:$B$5328&amp;$C$4462:$C$5328,0))</f>
        <v>0.109</v>
      </c>
      <c r="AF8879" s="508">
        <f t="array" ref="AF8879">INDEX(AF$4462:AF$5328,MATCH($B8879&amp;$C8879,$B$4462:$B$5328&amp;$C$4462:$C$5328,0))</f>
        <v>0.109</v>
      </c>
      <c r="AG8879" s="508">
        <f t="array" ref="AG8879">INDEX(AG$4462:AG$5328,MATCH($B8879&amp;$C8879,$B$4462:$B$5328&amp;$C$4462:$C$5328,0))</f>
        <v>0.109</v>
      </c>
      <c r="AH8879" s="508">
        <f t="array" ref="AH8879">INDEX(AH$4462:AH$5328,MATCH($B8879&amp;$C8879,$B$4462:$B$5328&amp;$C$4462:$C$5328,0))</f>
        <v>0.109</v>
      </c>
      <c r="AI8879" s="508">
        <f t="array" ref="AI8879">INDEX(AI$4462:AI$5328,MATCH($B8879&amp;$C8879,$B$4462:$B$5328&amp;$C$4462:$C$5328,0))</f>
        <v>0.109</v>
      </c>
      <c r="AJ8879" s="508"/>
      <c r="AK8879" s="508">
        <f t="shared" si="186"/>
        <v>0.109</v>
      </c>
      <c r="AL8879" s="508">
        <f t="shared" si="184"/>
        <v>0.109</v>
      </c>
      <c r="AM8879" s="508">
        <f t="shared" si="184"/>
        <v>0.109</v>
      </c>
      <c r="AN8879" s="508">
        <f t="shared" si="184"/>
        <v>0.109</v>
      </c>
      <c r="AO8879" s="508">
        <f t="array" ref="AO8879">INDEX('GREET Fuel Attributes'!$E$8948:$E$9083,MATCH($C8879&amp;$D8879,'GREET Fuel Attributes'!$B$8948:$B$9083&amp;'GREET Fuel Attributes'!$C$8948:$C$9083,0))/INDEX('GREET Fuel Attributes'!$D$8948:$D$9083,MATCH($C8879&amp;$D8879,'GREET Fuel Attributes'!$B$8948:$B$9083&amp;'GREET Fuel Attributes'!$C$8948:$C$9083,0))*AI8879</f>
        <v>0.109</v>
      </c>
      <c r="AP8879" s="132" t="s">
        <v>1387</v>
      </c>
      <c r="AQ8879" s="142" t="s">
        <v>306</v>
      </c>
    </row>
    <row r="8880" spans="2:43">
      <c r="B8880" s="136" t="str">
        <f t="shared" si="185"/>
        <v>ILLINOIS</v>
      </c>
      <c r="C8880" s="132" t="s">
        <v>1371</v>
      </c>
      <c r="D8880" s="132" t="s">
        <v>285</v>
      </c>
      <c r="E8880" s="508">
        <f t="array" ref="E8880">INDEX(E$5329:E$6195,MATCH($B8880&amp;$C8880,$B$5329:$B$6195&amp;$C$5329:$C$6195,0))</f>
        <v>1.1180000000000001</v>
      </c>
      <c r="F8880" s="508">
        <f t="array" ref="F8880">INDEX(F$5329:F$6195,MATCH($B8880&amp;$C8880,$B$5329:$B$6195&amp;$C$5329:$C$6195,0))</f>
        <v>1.1180000000000001</v>
      </c>
      <c r="G8880" s="508">
        <f t="array" ref="G8880">INDEX(G$5329:G$6195,MATCH($B8880&amp;$C8880,$B$5329:$B$6195&amp;$C$5329:$C$6195,0))</f>
        <v>1.1180000000000001</v>
      </c>
      <c r="H8880" s="508">
        <f t="array" ref="H8880">INDEX(H$5329:H$6195,MATCH($B8880&amp;$C8880,$B$5329:$B$6195&amp;$C$5329:$C$6195,0))</f>
        <v>1.008</v>
      </c>
      <c r="I8880" s="508">
        <f t="array" ref="I8880">INDEX(I$5329:I$6195,MATCH($B8880&amp;$C8880,$B$5329:$B$6195&amp;$C$5329:$C$6195,0))</f>
        <v>1.008</v>
      </c>
      <c r="J8880" s="508">
        <f t="array" ref="J8880">INDEX(J$5329:J$6195,MATCH($B8880&amp;$C8880,$B$5329:$B$6195&amp;$C$5329:$C$6195,0))</f>
        <v>1.008</v>
      </c>
      <c r="K8880" s="508">
        <f t="array" ref="K8880">INDEX(K$5329:K$6195,MATCH($B8880&amp;$C8880,$B$5329:$B$6195&amp;$C$5329:$C$6195,0))</f>
        <v>0.67200000000000004</v>
      </c>
      <c r="L8880" s="508">
        <f t="array" ref="L8880">INDEX(L$5329:L$6195,MATCH($B8880&amp;$C8880,$B$5329:$B$6195&amp;$C$5329:$C$6195,0))</f>
        <v>0.67200000000000004</v>
      </c>
      <c r="M8880" s="508">
        <f t="array" ref="M8880">INDEX(M$5329:M$6195,MATCH($B8880&amp;$C8880,$B$5329:$B$6195&amp;$C$5329:$C$6195,0))</f>
        <v>0.67200000000000004</v>
      </c>
      <c r="N8880" s="508">
        <f t="array" ref="N8880">INDEX(N$5329:N$6195,MATCH($B8880&amp;$C8880,$B$5329:$B$6195&amp;$C$5329:$C$6195,0))</f>
        <v>1.109</v>
      </c>
      <c r="O8880" s="508">
        <f t="array" ref="O8880">INDEX(O$5329:O$6195,MATCH($B8880&amp;$C8880,$B$5329:$B$6195&amp;$C$5329:$C$6195,0))</f>
        <v>1.109</v>
      </c>
      <c r="P8880" s="508">
        <f t="array" ref="P8880">INDEX(P$5329:P$6195,MATCH($B8880&amp;$C8880,$B$5329:$B$6195&amp;$C$5329:$C$6195,0))</f>
        <v>1.109</v>
      </c>
      <c r="Q8880" s="508">
        <f t="array" ref="Q8880">INDEX(Q$5329:Q$6195,MATCH($B8880&amp;$C8880,$B$5329:$B$6195&amp;$C$5329:$C$6195,0))</f>
        <v>1.109</v>
      </c>
      <c r="R8880" s="508">
        <f t="array" ref="R8880">INDEX(R$5329:R$6195,MATCH($B8880&amp;$C8880,$B$5329:$B$6195&amp;$C$5329:$C$6195,0))</f>
        <v>0.51300000000000001</v>
      </c>
      <c r="S8880" s="508">
        <f t="array" ref="S8880">INDEX(S$5329:S$6195,MATCH($B8880&amp;$C8880,$B$5329:$B$6195&amp;$C$5329:$C$6195,0))</f>
        <v>0.51300000000000001</v>
      </c>
      <c r="T8880" s="508">
        <f t="array" ref="T8880">INDEX(T$5329:T$6195,MATCH($B8880&amp;$C8880,$B$5329:$B$6195&amp;$C$5329:$C$6195,0))</f>
        <v>0.51300000000000001</v>
      </c>
      <c r="U8880" s="508">
        <f t="array" ref="U8880">INDEX(U$5329:U$6195,MATCH($B8880&amp;$C8880,$B$5329:$B$6195&amp;$C$5329:$C$6195,0))</f>
        <v>0.51300000000000001</v>
      </c>
      <c r="V8880" s="508">
        <f t="array" ref="V8880">INDEX(V$5329:V$6195,MATCH($B8880&amp;$C8880,$B$5329:$B$6195&amp;$C$5329:$C$6195,0))</f>
        <v>0.51300000000000001</v>
      </c>
      <c r="W8880" s="508">
        <f t="array" ref="W8880">INDEX(W$5329:W$6195,MATCH($B8880&amp;$C8880,$B$5329:$B$6195&amp;$C$5329:$C$6195,0))</f>
        <v>0.46300000000000002</v>
      </c>
      <c r="X8880" s="508">
        <f t="array" ref="X8880">INDEX(X$5329:X$6195,MATCH($B8880&amp;$C8880,$B$5329:$B$6195&amp;$C$5329:$C$6195,0))</f>
        <v>0.46300000000000002</v>
      </c>
      <c r="Y8880" s="508">
        <f t="array" ref="Y8880">INDEX(Y$5329:Y$6195,MATCH($B8880&amp;$C8880,$B$5329:$B$6195&amp;$C$5329:$C$6195,0))</f>
        <v>0.46300000000000002</v>
      </c>
      <c r="Z8880" s="508">
        <f t="array" ref="Z8880">INDEX(Z$5329:Z$6195,MATCH($B8880&amp;$C8880,$B$5329:$B$6195&amp;$C$5329:$C$6195,0))</f>
        <v>0.46300000000000002</v>
      </c>
      <c r="AA8880" s="508">
        <f t="array" ref="AA8880">INDEX(AA$5329:AA$6195,MATCH($B8880&amp;$C8880,$B$5329:$B$6195&amp;$C$5329:$C$6195,0))</f>
        <v>1.9E-2</v>
      </c>
      <c r="AB8880" s="508">
        <f t="array" ref="AB8880">INDEX(AB$5329:AB$6195,MATCH($B8880&amp;$C8880,$B$5329:$B$6195&amp;$C$5329:$C$6195,0))</f>
        <v>1.9E-2</v>
      </c>
      <c r="AC8880" s="508">
        <f t="array" ref="AC8880">INDEX(AC$5329:AC$6195,MATCH($B8880&amp;$C8880,$B$5329:$B$6195&amp;$C$5329:$C$6195,0))</f>
        <v>1.9E-2</v>
      </c>
      <c r="AD8880" s="508">
        <f t="array" ref="AD8880">INDEX(AD$5329:AD$6195,MATCH($B8880&amp;$C8880,$B$5329:$B$6195&amp;$C$5329:$C$6195,0))</f>
        <v>1.7000000000000001E-2</v>
      </c>
      <c r="AE8880" s="508">
        <f t="array" ref="AE8880">INDEX(AE$5329:AE$6195,MATCH($B8880&amp;$C8880,$B$5329:$B$6195&amp;$C$5329:$C$6195,0))</f>
        <v>1.7000000000000001E-2</v>
      </c>
      <c r="AF8880" s="508">
        <f t="array" ref="AF8880">INDEX(AF$5329:AF$6195,MATCH($B8880&amp;$C8880,$B$5329:$B$6195&amp;$C$5329:$C$6195,0))</f>
        <v>0.01</v>
      </c>
      <c r="AG8880" s="508">
        <f t="array" ref="AG8880">INDEX(AG$5329:AG$6195,MATCH($B8880&amp;$C8880,$B$5329:$B$6195&amp;$C$5329:$C$6195,0))</f>
        <v>0.01</v>
      </c>
      <c r="AH8880" s="508">
        <f t="array" ref="AH8880">INDEX(AH$5329:AH$6195,MATCH($B8880&amp;$C8880,$B$5329:$B$6195&amp;$C$5329:$C$6195,0))</f>
        <v>0.01</v>
      </c>
      <c r="AI8880" s="508">
        <f t="array" ref="AI8880">INDEX(AI$5329:AI$6195,MATCH($B8880&amp;$C8880,$B$5329:$B$6195&amp;$C$5329:$C$6195,0))</f>
        <v>0.01</v>
      </c>
      <c r="AJ8880" s="508"/>
      <c r="AK8880" s="508">
        <f t="shared" si="186"/>
        <v>0.01</v>
      </c>
      <c r="AL8880" s="508">
        <f t="shared" si="184"/>
        <v>0.01</v>
      </c>
      <c r="AM8880" s="508">
        <f t="shared" si="184"/>
        <v>0.01</v>
      </c>
      <c r="AN8880" s="508">
        <f t="shared" si="184"/>
        <v>0.01</v>
      </c>
      <c r="AO8880" s="508">
        <f t="array" ref="AO8880">INDEX('GREET Fuel Attributes'!$E$8948:$E$9083,MATCH($C8880&amp;$D8880,'GREET Fuel Attributes'!$B$8948:$B$9083&amp;'GREET Fuel Attributes'!$C$8948:$C$9083,0))/INDEX('GREET Fuel Attributes'!$D$8948:$D$9083,MATCH($C8880&amp;$D8880,'GREET Fuel Attributes'!$B$8948:$B$9083&amp;'GREET Fuel Attributes'!$C$8948:$C$9083,0))*AI8880</f>
        <v>0.01</v>
      </c>
      <c r="AP8880" s="132" t="s">
        <v>1387</v>
      </c>
      <c r="AQ8880" s="142" t="s">
        <v>306</v>
      </c>
    </row>
    <row r="8881" spans="2:43">
      <c r="B8881" s="136" t="str">
        <f t="shared" si="185"/>
        <v>ILLINOIS</v>
      </c>
      <c r="C8881" s="132" t="s">
        <v>1371</v>
      </c>
      <c r="D8881" s="132" t="s">
        <v>1380</v>
      </c>
      <c r="E8881" s="508">
        <f t="array" ref="E8881">INDEX(E$6196:E$7062,MATCH($B8881&amp;$C8881,$B$6196:$B$7062&amp;$C$6196:$C$7062,0))</f>
        <v>1.4E-2</v>
      </c>
      <c r="F8881" s="508">
        <f t="array" ref="F8881">INDEX(F$6196:F$7062,MATCH($B8881&amp;$C8881,$B$6196:$B$7062&amp;$C$6196:$C$7062,0))</f>
        <v>1.4E-2</v>
      </c>
      <c r="G8881" s="508">
        <f t="array" ref="G8881">INDEX(G$6196:G$7062,MATCH($B8881&amp;$C8881,$B$6196:$B$7062&amp;$C$6196:$C$7062,0))</f>
        <v>1.4E-2</v>
      </c>
      <c r="H8881" s="508">
        <f t="array" ref="H8881">INDEX(H$6196:H$7062,MATCH($B8881&amp;$C8881,$B$6196:$B$7062&amp;$C$6196:$C$7062,0))</f>
        <v>1.4E-2</v>
      </c>
      <c r="I8881" s="508">
        <f t="array" ref="I8881">INDEX(I$6196:I$7062,MATCH($B8881&amp;$C8881,$B$6196:$B$7062&amp;$C$6196:$C$7062,0))</f>
        <v>1.4E-2</v>
      </c>
      <c r="J8881" s="508">
        <f t="array" ref="J8881">INDEX(J$6196:J$7062,MATCH($B8881&amp;$C8881,$B$6196:$B$7062&amp;$C$6196:$C$7062,0))</f>
        <v>1.4E-2</v>
      </c>
      <c r="K8881" s="508">
        <f t="array" ref="K8881">INDEX(K$6196:K$7062,MATCH($B8881&amp;$C8881,$B$6196:$B$7062&amp;$C$6196:$C$7062,0))</f>
        <v>1.4E-2</v>
      </c>
      <c r="L8881" s="508">
        <f t="array" ref="L8881">INDEX(L$6196:L$7062,MATCH($B8881&amp;$C8881,$B$6196:$B$7062&amp;$C$6196:$C$7062,0))</f>
        <v>1.4E-2</v>
      </c>
      <c r="M8881" s="508">
        <f t="array" ref="M8881">INDEX(M$6196:M$7062,MATCH($B8881&amp;$C8881,$B$6196:$B$7062&amp;$C$6196:$C$7062,0))</f>
        <v>1.4E-2</v>
      </c>
      <c r="N8881" s="508">
        <f t="array" ref="N8881">INDEX(N$6196:N$7062,MATCH($B8881&amp;$C8881,$B$6196:$B$7062&amp;$C$6196:$C$7062,0))</f>
        <v>1.4E-2</v>
      </c>
      <c r="O8881" s="508">
        <f t="array" ref="O8881">INDEX(O$6196:O$7062,MATCH($B8881&amp;$C8881,$B$6196:$B$7062&amp;$C$6196:$C$7062,0))</f>
        <v>1.4E-2</v>
      </c>
      <c r="P8881" s="508">
        <f t="array" ref="P8881">INDEX(P$6196:P$7062,MATCH($B8881&amp;$C8881,$B$6196:$B$7062&amp;$C$6196:$C$7062,0))</f>
        <v>1.4E-2</v>
      </c>
      <c r="Q8881" s="508">
        <f t="array" ref="Q8881">INDEX(Q$6196:Q$7062,MATCH($B8881&amp;$C8881,$B$6196:$B$7062&amp;$C$6196:$C$7062,0))</f>
        <v>1.4E-2</v>
      </c>
      <c r="R8881" s="508">
        <f t="array" ref="R8881">INDEX(R$6196:R$7062,MATCH($B8881&amp;$C8881,$B$6196:$B$7062&amp;$C$6196:$C$7062,0))</f>
        <v>1.4E-2</v>
      </c>
      <c r="S8881" s="508">
        <f t="array" ref="S8881">INDEX(S$6196:S$7062,MATCH($B8881&amp;$C8881,$B$6196:$B$7062&amp;$C$6196:$C$7062,0))</f>
        <v>1.4E-2</v>
      </c>
      <c r="T8881" s="508">
        <f t="array" ref="T8881">INDEX(T$6196:T$7062,MATCH($B8881&amp;$C8881,$B$6196:$B$7062&amp;$C$6196:$C$7062,0))</f>
        <v>1.4E-2</v>
      </c>
      <c r="U8881" s="508">
        <f t="array" ref="U8881">INDEX(U$6196:U$7062,MATCH($B8881&amp;$C8881,$B$6196:$B$7062&amp;$C$6196:$C$7062,0))</f>
        <v>1.4E-2</v>
      </c>
      <c r="V8881" s="508">
        <f t="array" ref="V8881">INDEX(V$6196:V$7062,MATCH($B8881&amp;$C8881,$B$6196:$B$7062&amp;$C$6196:$C$7062,0))</f>
        <v>1.4E-2</v>
      </c>
      <c r="W8881" s="508">
        <f t="array" ref="W8881">INDEX(W$6196:W$7062,MATCH($B8881&amp;$C8881,$B$6196:$B$7062&amp;$C$6196:$C$7062,0))</f>
        <v>1.4E-2</v>
      </c>
      <c r="X8881" s="508">
        <f t="array" ref="X8881">INDEX(X$6196:X$7062,MATCH($B8881&amp;$C8881,$B$6196:$B$7062&amp;$C$6196:$C$7062,0))</f>
        <v>1.4E-2</v>
      </c>
      <c r="Y8881" s="508">
        <f t="array" ref="Y8881">INDEX(Y$6196:Y$7062,MATCH($B8881&amp;$C8881,$B$6196:$B$7062&amp;$C$6196:$C$7062,0))</f>
        <v>1.4E-2</v>
      </c>
      <c r="Z8881" s="508">
        <f t="array" ref="Z8881">INDEX(Z$6196:Z$7062,MATCH($B8881&amp;$C8881,$B$6196:$B$7062&amp;$C$6196:$C$7062,0))</f>
        <v>1.4E-2</v>
      </c>
      <c r="AA8881" s="508">
        <f t="array" ref="AA8881">INDEX(AA$6196:AA$7062,MATCH($B8881&amp;$C8881,$B$6196:$B$7062&amp;$C$6196:$C$7062,0))</f>
        <v>1.4E-2</v>
      </c>
      <c r="AB8881" s="508">
        <f t="array" ref="AB8881">INDEX(AB$6196:AB$7062,MATCH($B8881&amp;$C8881,$B$6196:$B$7062&amp;$C$6196:$C$7062,0))</f>
        <v>1.4E-2</v>
      </c>
      <c r="AC8881" s="508">
        <f t="array" ref="AC8881">INDEX(AC$6196:AC$7062,MATCH($B8881&amp;$C8881,$B$6196:$B$7062&amp;$C$6196:$C$7062,0))</f>
        <v>1.4E-2</v>
      </c>
      <c r="AD8881" s="508">
        <f t="array" ref="AD8881">INDEX(AD$6196:AD$7062,MATCH($B8881&amp;$C8881,$B$6196:$B$7062&amp;$C$6196:$C$7062,0))</f>
        <v>1.4E-2</v>
      </c>
      <c r="AE8881" s="508">
        <f t="array" ref="AE8881">INDEX(AE$6196:AE$7062,MATCH($B8881&amp;$C8881,$B$6196:$B$7062&amp;$C$6196:$C$7062,0))</f>
        <v>1.4E-2</v>
      </c>
      <c r="AF8881" s="508">
        <f t="array" ref="AF8881">INDEX(AF$6196:AF$7062,MATCH($B8881&amp;$C8881,$B$6196:$B$7062&amp;$C$6196:$C$7062,0))</f>
        <v>1.4E-2</v>
      </c>
      <c r="AG8881" s="508">
        <f t="array" ref="AG8881">INDEX(AG$6196:AG$7062,MATCH($B8881&amp;$C8881,$B$6196:$B$7062&amp;$C$6196:$C$7062,0))</f>
        <v>1.4E-2</v>
      </c>
      <c r="AH8881" s="508">
        <f t="array" ref="AH8881">INDEX(AH$6196:AH$7062,MATCH($B8881&amp;$C8881,$B$6196:$B$7062&amp;$C$6196:$C$7062,0))</f>
        <v>1.4E-2</v>
      </c>
      <c r="AI8881" s="508">
        <f t="array" ref="AI8881">INDEX(AI$6196:AI$7062,MATCH($B8881&amp;$C8881,$B$6196:$B$7062&amp;$C$6196:$C$7062,0))</f>
        <v>1.4E-2</v>
      </c>
      <c r="AJ8881" s="508"/>
      <c r="AK8881" s="508">
        <f t="shared" si="186"/>
        <v>1.4E-2</v>
      </c>
      <c r="AL8881" s="508">
        <f t="shared" si="184"/>
        <v>1.4E-2</v>
      </c>
      <c r="AM8881" s="508">
        <f t="shared" si="184"/>
        <v>1.4E-2</v>
      </c>
      <c r="AN8881" s="508">
        <f t="shared" si="184"/>
        <v>1.4E-2</v>
      </c>
      <c r="AO8881" s="508">
        <f t="array" ref="AO8881">INDEX('GREET Fuel Attributes'!$E$8948:$E$9083,MATCH($C8881&amp;$D8881,'GREET Fuel Attributes'!$B$8948:$B$9083&amp;'GREET Fuel Attributes'!$C$8948:$C$9083,0))/INDEX('GREET Fuel Attributes'!$D$8948:$D$9083,MATCH($C8881&amp;$D8881,'GREET Fuel Attributes'!$B$8948:$B$9083&amp;'GREET Fuel Attributes'!$C$8948:$C$9083,0))*AI8881</f>
        <v>1.4E-2</v>
      </c>
      <c r="AP8881" s="132" t="s">
        <v>1387</v>
      </c>
      <c r="AQ8881" s="142" t="s">
        <v>306</v>
      </c>
    </row>
    <row r="8882" spans="2:43">
      <c r="B8882" s="136" t="str">
        <f t="shared" si="185"/>
        <v>ILLINOIS</v>
      </c>
      <c r="C8882" s="132" t="s">
        <v>1371</v>
      </c>
      <c r="D8882" s="132" t="s">
        <v>281</v>
      </c>
      <c r="E8882" s="508">
        <f t="array" ref="E8882">INDEX(E$7063:E$7929,MATCH($B8882&amp;$C8882,$B$7063:$B$7929&amp;$C$7063:$C$7929,0))</f>
        <v>1.6950000000000001</v>
      </c>
      <c r="F8882" s="508">
        <f t="array" ref="F8882">INDEX(F$7063:F$7929,MATCH($B8882&amp;$C8882,$B$7063:$B$7929&amp;$C$7063:$C$7929,0))</f>
        <v>1.6950000000000001</v>
      </c>
      <c r="G8882" s="508">
        <f t="array" ref="G8882">INDEX(G$7063:G$7929,MATCH($B8882&amp;$C8882,$B$7063:$B$7929&amp;$C$7063:$C$7929,0))</f>
        <v>1.6950000000000001</v>
      </c>
      <c r="H8882" s="508">
        <f t="array" ref="H8882">INDEX(H$7063:H$7929,MATCH($B8882&amp;$C8882,$B$7063:$B$7929&amp;$C$7063:$C$7929,0))</f>
        <v>1.6950000000000001</v>
      </c>
      <c r="I8882" s="508">
        <f t="array" ref="I8882">INDEX(I$7063:I$7929,MATCH($B8882&amp;$C8882,$B$7063:$B$7929&amp;$C$7063:$C$7929,0))</f>
        <v>1.6950000000000001</v>
      </c>
      <c r="J8882" s="508">
        <f t="array" ref="J8882">INDEX(J$7063:J$7929,MATCH($B8882&amp;$C8882,$B$7063:$B$7929&amp;$C$7063:$C$7929,0))</f>
        <v>1.6950000000000001</v>
      </c>
      <c r="K8882" s="508">
        <f t="array" ref="K8882">INDEX(K$7063:K$7929,MATCH($B8882&amp;$C8882,$B$7063:$B$7929&amp;$C$7063:$C$7929,0))</f>
        <v>1.6950000000000001</v>
      </c>
      <c r="L8882" s="508">
        <f t="array" ref="L8882">INDEX(L$7063:L$7929,MATCH($B8882&amp;$C8882,$B$7063:$B$7929&amp;$C$7063:$C$7929,0))</f>
        <v>1.6950000000000001</v>
      </c>
      <c r="M8882" s="508">
        <f t="array" ref="M8882">INDEX(M$7063:M$7929,MATCH($B8882&amp;$C8882,$B$7063:$B$7929&amp;$C$7063:$C$7929,0))</f>
        <v>1.6950000000000001</v>
      </c>
      <c r="N8882" s="508">
        <f t="array" ref="N8882">INDEX(N$7063:N$7929,MATCH($B8882&amp;$C8882,$B$7063:$B$7929&amp;$C$7063:$C$7929,0))</f>
        <v>1.6950000000000001</v>
      </c>
      <c r="O8882" s="508">
        <f t="array" ref="O8882">INDEX(O$7063:O$7929,MATCH($B8882&amp;$C8882,$B$7063:$B$7929&amp;$C$7063:$C$7929,0))</f>
        <v>1.6950000000000001</v>
      </c>
      <c r="P8882" s="508">
        <f t="array" ref="P8882">INDEX(P$7063:P$7929,MATCH($B8882&amp;$C8882,$B$7063:$B$7929&amp;$C$7063:$C$7929,0))</f>
        <v>1.698</v>
      </c>
      <c r="Q8882" s="508">
        <f t="array" ref="Q8882">INDEX(Q$7063:Q$7929,MATCH($B8882&amp;$C8882,$B$7063:$B$7929&amp;$C$7063:$C$7929,0))</f>
        <v>1.698</v>
      </c>
      <c r="R8882" s="508">
        <f t="array" ref="R8882">INDEX(R$7063:R$7929,MATCH($B8882&amp;$C8882,$B$7063:$B$7929&amp;$C$7063:$C$7929,0))</f>
        <v>1.698</v>
      </c>
      <c r="S8882" s="508">
        <f t="array" ref="S8882">INDEX(S$7063:S$7929,MATCH($B8882&amp;$C8882,$B$7063:$B$7929&amp;$C$7063:$C$7929,0))</f>
        <v>1.698</v>
      </c>
      <c r="T8882" s="508">
        <f t="array" ref="T8882">INDEX(T$7063:T$7929,MATCH($B8882&amp;$C8882,$B$7063:$B$7929&amp;$C$7063:$C$7929,0))</f>
        <v>1.698</v>
      </c>
      <c r="U8882" s="508">
        <f t="array" ref="U8882">INDEX(U$7063:U$7929,MATCH($B8882&amp;$C8882,$B$7063:$B$7929&amp;$C$7063:$C$7929,0))</f>
        <v>1.6970000000000001</v>
      </c>
      <c r="V8882" s="508">
        <f t="array" ref="V8882">INDEX(V$7063:V$7929,MATCH($B8882&amp;$C8882,$B$7063:$B$7929&amp;$C$7063:$C$7929,0))</f>
        <v>1.6970000000000001</v>
      </c>
      <c r="W8882" s="508">
        <f t="array" ref="W8882">INDEX(W$7063:W$7929,MATCH($B8882&amp;$C8882,$B$7063:$B$7929&amp;$C$7063:$C$7929,0))</f>
        <v>0.94199999999999995</v>
      </c>
      <c r="X8882" s="508">
        <f t="array" ref="X8882">INDEX(X$7063:X$7929,MATCH($B8882&amp;$C8882,$B$7063:$B$7929&amp;$C$7063:$C$7929,0))</f>
        <v>0.94199999999999995</v>
      </c>
      <c r="Y8882" s="508">
        <f t="array" ref="Y8882">INDEX(Y$7063:Y$7929,MATCH($B8882&amp;$C8882,$B$7063:$B$7929&amp;$C$7063:$C$7929,0))</f>
        <v>0.94199999999999995</v>
      </c>
      <c r="Z8882" s="508">
        <f t="array" ref="Z8882">INDEX(Z$7063:Z$7929,MATCH($B8882&amp;$C8882,$B$7063:$B$7929&amp;$C$7063:$C$7929,0))</f>
        <v>0.94199999999999995</v>
      </c>
      <c r="AA8882" s="508">
        <f t="array" ref="AA8882">INDEX(AA$7063:AA$7929,MATCH($B8882&amp;$C8882,$B$7063:$B$7929&amp;$C$7063:$C$7929,0))</f>
        <v>0.11799999999999999</v>
      </c>
      <c r="AB8882" s="508">
        <f t="array" ref="AB8882">INDEX(AB$7063:AB$7929,MATCH($B8882&amp;$C8882,$B$7063:$B$7929&amp;$C$7063:$C$7929,0))</f>
        <v>0.11799999999999999</v>
      </c>
      <c r="AC8882" s="508">
        <f t="array" ref="AC8882">INDEX(AC$7063:AC$7929,MATCH($B8882&amp;$C8882,$B$7063:$B$7929&amp;$C$7063:$C$7929,0))</f>
        <v>0.11799999999999999</v>
      </c>
      <c r="AD8882" s="508">
        <f t="array" ref="AD8882">INDEX(AD$7063:AD$7929,MATCH($B8882&amp;$C8882,$B$7063:$B$7929&amp;$C$7063:$C$7929,0))</f>
        <v>0.08</v>
      </c>
      <c r="AE8882" s="508">
        <f t="array" ref="AE8882">INDEX(AE$7063:AE$7929,MATCH($B8882&amp;$C8882,$B$7063:$B$7929&amp;$C$7063:$C$7929,0))</f>
        <v>0.08</v>
      </c>
      <c r="AF8882" s="508">
        <f t="array" ref="AF8882">INDEX(AF$7063:AF$7929,MATCH($B8882&amp;$C8882,$B$7063:$B$7929&amp;$C$7063:$C$7929,0))</f>
        <v>7.1999999999999995E-2</v>
      </c>
      <c r="AG8882" s="508">
        <f t="array" ref="AG8882">INDEX(AG$7063:AG$7929,MATCH($B8882&amp;$C8882,$B$7063:$B$7929&amp;$C$7063:$C$7929,0))</f>
        <v>7.0999999999999994E-2</v>
      </c>
      <c r="AH8882" s="508">
        <f t="array" ref="AH8882">INDEX(AH$7063:AH$7929,MATCH($B8882&amp;$C8882,$B$7063:$B$7929&amp;$C$7063:$C$7929,0))</f>
        <v>7.0999999999999994E-2</v>
      </c>
      <c r="AI8882" s="508">
        <f t="array" ref="AI8882">INDEX(AI$7063:AI$7929,MATCH($B8882&amp;$C8882,$B$7063:$B$7929&amp;$C$7063:$C$7929,0))</f>
        <v>7.0999999999999994E-2</v>
      </c>
      <c r="AJ8882" s="508"/>
      <c r="AK8882" s="508">
        <f t="shared" si="186"/>
        <v>7.0999999999999994E-2</v>
      </c>
      <c r="AL8882" s="508">
        <f t="shared" si="184"/>
        <v>7.0999999999999994E-2</v>
      </c>
      <c r="AM8882" s="508">
        <f t="shared" si="184"/>
        <v>7.0999999999999994E-2</v>
      </c>
      <c r="AN8882" s="508">
        <f t="shared" si="184"/>
        <v>7.0999999999999994E-2</v>
      </c>
      <c r="AO8882" s="508">
        <f t="array" ref="AO8882">INDEX('GREET Fuel Attributes'!$E$8948:$E$9083,MATCH($C8882&amp;$D8882,'GREET Fuel Attributes'!$B$8948:$B$9083&amp;'GREET Fuel Attributes'!$C$8948:$C$9083,0))/INDEX('GREET Fuel Attributes'!$D$8948:$D$9083,MATCH($C8882&amp;$D8882,'GREET Fuel Attributes'!$B$8948:$B$9083&amp;'GREET Fuel Attributes'!$C$8948:$C$9083,0))*AI8882</f>
        <v>7.0999999999999994E-2</v>
      </c>
      <c r="AP8882" s="132" t="s">
        <v>1387</v>
      </c>
      <c r="AQ8882" s="142" t="s">
        <v>306</v>
      </c>
    </row>
    <row r="8883" spans="2:43">
      <c r="B8883" s="136" t="str">
        <f t="shared" si="185"/>
        <v>ILLINOIS</v>
      </c>
      <c r="C8883" s="132" t="s">
        <v>1371</v>
      </c>
      <c r="D8883" s="132" t="s">
        <v>1384</v>
      </c>
      <c r="E8883" s="508">
        <f t="array" ref="E8883">INDEX(E$7930:E$8796,MATCH($B8883&amp;$C8883,$B$7930:$B$8796&amp;$C$7930:$C$8796,0))</f>
        <v>3.2000000000000001E-2</v>
      </c>
      <c r="F8883" s="508">
        <f t="array" ref="F8883">INDEX(F$7930:F$8796,MATCH($B8883&amp;$C8883,$B$7930:$B$8796&amp;$C$7930:$C$8796,0))</f>
        <v>3.2000000000000001E-2</v>
      </c>
      <c r="G8883" s="508">
        <f t="array" ref="G8883">INDEX(G$7930:G$8796,MATCH($B8883&amp;$C8883,$B$7930:$B$8796&amp;$C$7930:$C$8796,0))</f>
        <v>3.2000000000000001E-2</v>
      </c>
      <c r="H8883" s="508">
        <f t="array" ref="H8883">INDEX(H$7930:H$8796,MATCH($B8883&amp;$C8883,$B$7930:$B$8796&amp;$C$7930:$C$8796,0))</f>
        <v>3.2000000000000001E-2</v>
      </c>
      <c r="I8883" s="508">
        <f t="array" ref="I8883">INDEX(I$7930:I$8796,MATCH($B8883&amp;$C8883,$B$7930:$B$8796&amp;$C$7930:$C$8796,0))</f>
        <v>3.2000000000000001E-2</v>
      </c>
      <c r="J8883" s="508">
        <f t="array" ref="J8883">INDEX(J$7930:J$8796,MATCH($B8883&amp;$C8883,$B$7930:$B$8796&amp;$C$7930:$C$8796,0))</f>
        <v>3.2000000000000001E-2</v>
      </c>
      <c r="K8883" s="508">
        <f t="array" ref="K8883">INDEX(K$7930:K$8796,MATCH($B8883&amp;$C8883,$B$7930:$B$8796&amp;$C$7930:$C$8796,0))</f>
        <v>3.2000000000000001E-2</v>
      </c>
      <c r="L8883" s="508">
        <f t="array" ref="L8883">INDEX(L$7930:L$8796,MATCH($B8883&amp;$C8883,$B$7930:$B$8796&amp;$C$7930:$C$8796,0))</f>
        <v>3.2000000000000001E-2</v>
      </c>
      <c r="M8883" s="508">
        <f t="array" ref="M8883">INDEX(M$7930:M$8796,MATCH($B8883&amp;$C8883,$B$7930:$B$8796&amp;$C$7930:$C$8796,0))</f>
        <v>3.2000000000000001E-2</v>
      </c>
      <c r="N8883" s="508">
        <f t="array" ref="N8883">INDEX(N$7930:N$8796,MATCH($B8883&amp;$C8883,$B$7930:$B$8796&amp;$C$7930:$C$8796,0))</f>
        <v>3.2000000000000001E-2</v>
      </c>
      <c r="O8883" s="508">
        <f t="array" ref="O8883">INDEX(O$7930:O$8796,MATCH($B8883&amp;$C8883,$B$7930:$B$8796&amp;$C$7930:$C$8796,0))</f>
        <v>3.2000000000000001E-2</v>
      </c>
      <c r="P8883" s="508">
        <f t="array" ref="P8883">INDEX(P$7930:P$8796,MATCH($B8883&amp;$C8883,$B$7930:$B$8796&amp;$C$7930:$C$8796,0))</f>
        <v>3.2000000000000001E-2</v>
      </c>
      <c r="Q8883" s="508">
        <f t="array" ref="Q8883">INDEX(Q$7930:Q$8796,MATCH($B8883&amp;$C8883,$B$7930:$B$8796&amp;$C$7930:$C$8796,0))</f>
        <v>3.2000000000000001E-2</v>
      </c>
      <c r="R8883" s="508">
        <f t="array" ref="R8883">INDEX(R$7930:R$8796,MATCH($B8883&amp;$C8883,$B$7930:$B$8796&amp;$C$7930:$C$8796,0))</f>
        <v>3.2000000000000001E-2</v>
      </c>
      <c r="S8883" s="508">
        <f t="array" ref="S8883">INDEX(S$7930:S$8796,MATCH($B8883&amp;$C8883,$B$7930:$B$8796&amp;$C$7930:$C$8796,0))</f>
        <v>3.2000000000000001E-2</v>
      </c>
      <c r="T8883" s="508">
        <f t="array" ref="T8883">INDEX(T$7930:T$8796,MATCH($B8883&amp;$C8883,$B$7930:$B$8796&amp;$C$7930:$C$8796,0))</f>
        <v>3.2000000000000001E-2</v>
      </c>
      <c r="U8883" s="508">
        <f t="array" ref="U8883">INDEX(U$7930:U$8796,MATCH($B8883&amp;$C8883,$B$7930:$B$8796&amp;$C$7930:$C$8796,0))</f>
        <v>3.2000000000000001E-2</v>
      </c>
      <c r="V8883" s="508">
        <f t="array" ref="V8883">INDEX(V$7930:V$8796,MATCH($B8883&amp;$C8883,$B$7930:$B$8796&amp;$C$7930:$C$8796,0))</f>
        <v>3.2000000000000001E-2</v>
      </c>
      <c r="W8883" s="508">
        <f t="array" ref="W8883">INDEX(W$7930:W$8796,MATCH($B8883&amp;$C8883,$B$7930:$B$8796&amp;$C$7930:$C$8796,0))</f>
        <v>3.2000000000000001E-2</v>
      </c>
      <c r="X8883" s="508">
        <f t="array" ref="X8883">INDEX(X$7930:X$8796,MATCH($B8883&amp;$C8883,$B$7930:$B$8796&amp;$C$7930:$C$8796,0))</f>
        <v>3.2000000000000001E-2</v>
      </c>
      <c r="Y8883" s="508">
        <f t="array" ref="Y8883">INDEX(Y$7930:Y$8796,MATCH($B8883&amp;$C8883,$B$7930:$B$8796&amp;$C$7930:$C$8796,0))</f>
        <v>3.2000000000000001E-2</v>
      </c>
      <c r="Z8883" s="508">
        <f t="array" ref="Z8883">INDEX(Z$7930:Z$8796,MATCH($B8883&amp;$C8883,$B$7930:$B$8796&amp;$C$7930:$C$8796,0))</f>
        <v>3.2000000000000001E-2</v>
      </c>
      <c r="AA8883" s="508">
        <f t="array" ref="AA8883">INDEX(AA$7930:AA$8796,MATCH($B8883&amp;$C8883,$B$7930:$B$8796&amp;$C$7930:$C$8796,0))</f>
        <v>3.2000000000000001E-2</v>
      </c>
      <c r="AB8883" s="508">
        <f t="array" ref="AB8883">INDEX(AB$7930:AB$8796,MATCH($B8883&amp;$C8883,$B$7930:$B$8796&amp;$C$7930:$C$8796,0))</f>
        <v>3.2000000000000001E-2</v>
      </c>
      <c r="AC8883" s="508">
        <f t="array" ref="AC8883">INDEX(AC$7930:AC$8796,MATCH($B8883&amp;$C8883,$B$7930:$B$8796&amp;$C$7930:$C$8796,0))</f>
        <v>3.2000000000000001E-2</v>
      </c>
      <c r="AD8883" s="508">
        <f t="array" ref="AD8883">INDEX(AD$7930:AD$8796,MATCH($B8883&amp;$C8883,$B$7930:$B$8796&amp;$C$7930:$C$8796,0))</f>
        <v>3.2000000000000001E-2</v>
      </c>
      <c r="AE8883" s="508">
        <f t="array" ref="AE8883">INDEX(AE$7930:AE$8796,MATCH($B8883&amp;$C8883,$B$7930:$B$8796&amp;$C$7930:$C$8796,0))</f>
        <v>3.2000000000000001E-2</v>
      </c>
      <c r="AF8883" s="508">
        <f t="array" ref="AF8883">INDEX(AF$7930:AF$8796,MATCH($B8883&amp;$C8883,$B$7930:$B$8796&amp;$C$7930:$C$8796,0))</f>
        <v>3.2000000000000001E-2</v>
      </c>
      <c r="AG8883" s="508">
        <f t="array" ref="AG8883">INDEX(AG$7930:AG$8796,MATCH($B8883&amp;$C8883,$B$7930:$B$8796&amp;$C$7930:$C$8796,0))</f>
        <v>3.2000000000000001E-2</v>
      </c>
      <c r="AH8883" s="508">
        <f t="array" ref="AH8883">INDEX(AH$7930:AH$8796,MATCH($B8883&amp;$C8883,$B$7930:$B$8796&amp;$C$7930:$C$8796,0))</f>
        <v>0.03</v>
      </c>
      <c r="AI8883" s="508">
        <f t="array" ref="AI8883">INDEX(AI$7930:AI$8796,MATCH($B8883&amp;$C8883,$B$7930:$B$8796&amp;$C$7930:$C$8796,0))</f>
        <v>0.03</v>
      </c>
      <c r="AJ8883" s="508"/>
      <c r="AK8883" s="508">
        <f t="shared" si="186"/>
        <v>2.9812499999999999E-2</v>
      </c>
      <c r="AL8883" s="508">
        <f t="shared" si="184"/>
        <v>2.9624999999999999E-2</v>
      </c>
      <c r="AM8883" s="508">
        <f t="shared" si="184"/>
        <v>2.9437499999999998E-2</v>
      </c>
      <c r="AN8883" s="508">
        <f t="shared" si="184"/>
        <v>2.9249999999999998E-2</v>
      </c>
      <c r="AO8883" s="508">
        <f t="array" ref="AO8883">INDEX('GREET Fuel Attributes'!$E$8948:$E$9083,MATCH($C8883&amp;$D8883,'GREET Fuel Attributes'!$B$8948:$B$9083&amp;'GREET Fuel Attributes'!$C$8948:$C$9083,0))/INDEX('GREET Fuel Attributes'!$D$8948:$D$9083,MATCH($C8883&amp;$D8883,'GREET Fuel Attributes'!$B$8948:$B$9083&amp;'GREET Fuel Attributes'!$C$8948:$C$9083,0))*AI8883</f>
        <v>2.9062499999999998E-2</v>
      </c>
      <c r="AP8883" s="132" t="s">
        <v>1387</v>
      </c>
      <c r="AQ8883" s="142" t="s">
        <v>306</v>
      </c>
    </row>
    <row r="8884" spans="2:43">
      <c r="B8884" s="136" t="str">
        <f t="shared" si="185"/>
        <v>ILLINOIS</v>
      </c>
      <c r="C8884" s="132" t="s">
        <v>1372</v>
      </c>
      <c r="D8884" s="132" t="s">
        <v>282</v>
      </c>
      <c r="E8884" s="508">
        <f t="array" ref="E8884">INDEX(E$1861:E$2727,MATCH($B8884&amp;$C8884,$B$1861:$B$2727&amp;$C$1861:$C$2727,0))</f>
        <v>75.242999999999995</v>
      </c>
      <c r="F8884" s="508">
        <f t="array" ref="F8884">INDEX(F$1861:F$2727,MATCH($B8884&amp;$C8884,$B$1861:$B$2727&amp;$C$1861:$C$2727,0))</f>
        <v>71.616</v>
      </c>
      <c r="G8884" s="508">
        <f t="array" ref="G8884">INDEX(G$1861:G$2727,MATCH($B8884&amp;$C8884,$B$1861:$B$2727&amp;$C$1861:$C$2727,0))</f>
        <v>71.617999999999995</v>
      </c>
      <c r="H8884" s="508">
        <f t="array" ref="H8884">INDEX(H$1861:H$2727,MATCH($B8884&amp;$C8884,$B$1861:$B$2727&amp;$C$1861:$C$2727,0))</f>
        <v>71.617000000000004</v>
      </c>
      <c r="I8884" s="508">
        <f t="array" ref="I8884">INDEX(I$1861:I$2727,MATCH($B8884&amp;$C8884,$B$1861:$B$2727&amp;$C$1861:$C$2727,0))</f>
        <v>71.619</v>
      </c>
      <c r="J8884" s="508">
        <f t="array" ref="J8884">INDEX(J$1861:J$2727,MATCH($B8884&amp;$C8884,$B$1861:$B$2727&amp;$C$1861:$C$2727,0))</f>
        <v>92.85</v>
      </c>
      <c r="K8884" s="508">
        <f t="array" ref="K8884">INDEX(K$1861:K$2727,MATCH($B8884&amp;$C8884,$B$1861:$B$2727&amp;$C$1861:$C$2727,0))</f>
        <v>92.849000000000004</v>
      </c>
      <c r="L8884" s="508">
        <f t="array" ref="L8884">INDEX(L$1861:L$2727,MATCH($B8884&amp;$C8884,$B$1861:$B$2727&amp;$C$1861:$C$2727,0))</f>
        <v>92.793000000000006</v>
      </c>
      <c r="M8884" s="508">
        <f t="array" ref="M8884">INDEX(M$1861:M$2727,MATCH($B8884&amp;$C8884,$B$1861:$B$2727&amp;$C$1861:$C$2727,0))</f>
        <v>92.844999999999999</v>
      </c>
      <c r="N8884" s="508">
        <f t="array" ref="N8884">INDEX(N$1861:N$2727,MATCH($B8884&amp;$C8884,$B$1861:$B$2727&amp;$C$1861:$C$2727,0))</f>
        <v>96.762</v>
      </c>
      <c r="O8884" s="508">
        <f t="array" ref="O8884">INDEX(O$1861:O$2727,MATCH($B8884&amp;$C8884,$B$1861:$B$2727&amp;$C$1861:$C$2727,0))</f>
        <v>96.759</v>
      </c>
      <c r="P8884" s="508">
        <f t="array" ref="P8884">INDEX(P$1861:P$2727,MATCH($B8884&amp;$C8884,$B$1861:$B$2727&amp;$C$1861:$C$2727,0))</f>
        <v>96.75</v>
      </c>
      <c r="Q8884" s="508">
        <f t="array" ref="Q8884">INDEX(Q$1861:Q$2727,MATCH($B8884&amp;$C8884,$B$1861:$B$2727&amp;$C$1861:$C$2727,0))</f>
        <v>96.748999999999995</v>
      </c>
      <c r="R8884" s="508">
        <f t="array" ref="R8884">INDEX(R$1861:R$2727,MATCH($B8884&amp;$C8884,$B$1861:$B$2727&amp;$C$1861:$C$2727,0))</f>
        <v>39.280999999999999</v>
      </c>
      <c r="S8884" s="508">
        <f t="array" ref="S8884">INDEX(S$1861:S$2727,MATCH($B8884&amp;$C8884,$B$1861:$B$2727&amp;$C$1861:$C$2727,0))</f>
        <v>39.271999999999998</v>
      </c>
      <c r="T8884" s="508">
        <f t="array" ref="T8884">INDEX(T$1861:T$2727,MATCH($B8884&amp;$C8884,$B$1861:$B$2727&amp;$C$1861:$C$2727,0))</f>
        <v>39.264000000000003</v>
      </c>
      <c r="U8884" s="508">
        <f t="array" ref="U8884">INDEX(U$1861:U$2727,MATCH($B8884&amp;$C8884,$B$1861:$B$2727&amp;$C$1861:$C$2727,0))</f>
        <v>41.186999999999998</v>
      </c>
      <c r="V8884" s="508">
        <f t="array" ref="V8884">INDEX(V$1861:V$2727,MATCH($B8884&amp;$C8884,$B$1861:$B$2727&amp;$C$1861:$C$2727,0))</f>
        <v>41.2</v>
      </c>
      <c r="W8884" s="508">
        <f t="array" ref="W8884">INDEX(W$1861:W$2727,MATCH($B8884&amp;$C8884,$B$1861:$B$2727&amp;$C$1861:$C$2727,0))</f>
        <v>41.192</v>
      </c>
      <c r="X8884" s="508">
        <f t="array" ref="X8884">INDEX(X$1861:X$2727,MATCH($B8884&amp;$C8884,$B$1861:$B$2727&amp;$C$1861:$C$2727,0))</f>
        <v>41.216999999999999</v>
      </c>
      <c r="Y8884" s="508">
        <f t="array" ref="Y8884">INDEX(Y$1861:Y$2727,MATCH($B8884&amp;$C8884,$B$1861:$B$2727&amp;$C$1861:$C$2727,0))</f>
        <v>41.216999999999999</v>
      </c>
      <c r="Z8884" s="508">
        <f t="array" ref="Z8884">INDEX(Z$1861:Z$2727,MATCH($B8884&amp;$C8884,$B$1861:$B$2727&amp;$C$1861:$C$2727,0))</f>
        <v>41.350999999999999</v>
      </c>
      <c r="AA8884" s="508">
        <f t="array" ref="AA8884">INDEX(AA$1861:AA$2727,MATCH($B8884&amp;$C8884,$B$1861:$B$2727&amp;$C$1861:$C$2727,0))</f>
        <v>41.359000000000002</v>
      </c>
      <c r="AB8884" s="508">
        <f t="array" ref="AB8884">INDEX(AB$1861:AB$2727,MATCH($B8884&amp;$C8884,$B$1861:$B$2727&amp;$C$1861:$C$2727,0))</f>
        <v>25.151</v>
      </c>
      <c r="AC8884" s="508">
        <f t="array" ref="AC8884">INDEX(AC$1861:AC$2727,MATCH($B8884&amp;$C8884,$B$1861:$B$2727&amp;$C$1861:$C$2727,0))</f>
        <v>25.15</v>
      </c>
      <c r="AD8884" s="508">
        <f t="array" ref="AD8884">INDEX(AD$1861:AD$2727,MATCH($B8884&amp;$C8884,$B$1861:$B$2727&amp;$C$1861:$C$2727,0))</f>
        <v>19.274999999999999</v>
      </c>
      <c r="AE8884" s="508">
        <f t="array" ref="AE8884">INDEX(AE$1861:AE$2727,MATCH($B8884&amp;$C8884,$B$1861:$B$2727&amp;$C$1861:$C$2727,0))</f>
        <v>19.228999999999999</v>
      </c>
      <c r="AF8884" s="508">
        <f t="array" ref="AF8884">INDEX(AF$1861:AF$2727,MATCH($B8884&amp;$C8884,$B$1861:$B$2727&amp;$C$1861:$C$2727,0))</f>
        <v>15.154</v>
      </c>
      <c r="AG8884" s="508">
        <f t="array" ref="AG8884">INDEX(AG$1861:AG$2727,MATCH($B8884&amp;$C8884,$B$1861:$B$2727&amp;$C$1861:$C$2727,0))</f>
        <v>15.124000000000001</v>
      </c>
      <c r="AH8884" s="508">
        <f t="array" ref="AH8884">INDEX(AH$1861:AH$2727,MATCH($B8884&amp;$C8884,$B$1861:$B$2727&amp;$C$1861:$C$2727,0))</f>
        <v>15.121</v>
      </c>
      <c r="AI8884" s="508">
        <f t="array" ref="AI8884">INDEX(AI$1861:AI$2727,MATCH($B8884&amp;$C8884,$B$1861:$B$2727&amp;$C$1861:$C$2727,0))</f>
        <v>15.121</v>
      </c>
      <c r="AJ8884" s="508"/>
      <c r="AK8884" s="508">
        <f t="shared" si="186"/>
        <v>15.121</v>
      </c>
      <c r="AL8884" s="508">
        <f t="shared" ref="AL8884:AN8903" si="187">($AO8884-$AI8884)/5+AK8884</f>
        <v>15.121</v>
      </c>
      <c r="AM8884" s="508">
        <f t="shared" si="187"/>
        <v>15.121</v>
      </c>
      <c r="AN8884" s="508">
        <f t="shared" si="187"/>
        <v>15.121</v>
      </c>
      <c r="AO8884" s="508">
        <f t="array" ref="AO8884">INDEX('GREET Fuel Attributes'!$E$8948:$E$9083,MATCH($C8884&amp;$D8884,'GREET Fuel Attributes'!$B$8948:$B$9083&amp;'GREET Fuel Attributes'!$C$8948:$C$9083,0))/INDEX('GREET Fuel Attributes'!$D$8948:$D$9083,MATCH($C8884&amp;$D8884,'GREET Fuel Attributes'!$B$8948:$B$9083&amp;'GREET Fuel Attributes'!$C$8948:$C$9083,0))*AI8884</f>
        <v>15.121</v>
      </c>
      <c r="AP8884" s="132" t="s">
        <v>1388</v>
      </c>
      <c r="AQ8884" s="142" t="s">
        <v>306</v>
      </c>
    </row>
    <row r="8885" spans="2:43">
      <c r="B8885" s="136" t="str">
        <f t="shared" si="185"/>
        <v>ILLINOIS</v>
      </c>
      <c r="C8885" s="132" t="s">
        <v>1372</v>
      </c>
      <c r="D8885" s="132" t="s">
        <v>283</v>
      </c>
      <c r="E8885" s="508">
        <f t="array" ref="E8885">INDEX(E$2728:E$3594,MATCH($B8885&amp;$C8885,$B$2728:$B$3594&amp;$C$2728:$C$3594,0))</f>
        <v>8.5109999999999992</v>
      </c>
      <c r="F8885" s="508">
        <f t="array" ref="F8885">INDEX(F$2728:F$3594,MATCH($B8885&amp;$C8885,$B$2728:$B$3594&amp;$C$2728:$C$3594,0))</f>
        <v>8.5109999999999992</v>
      </c>
      <c r="G8885" s="508">
        <f t="array" ref="G8885">INDEX(G$2728:G$3594,MATCH($B8885&amp;$C8885,$B$2728:$B$3594&amp;$C$2728:$C$3594,0))</f>
        <v>8.5109999999999992</v>
      </c>
      <c r="H8885" s="508">
        <f t="array" ref="H8885">INDEX(H$2728:H$3594,MATCH($B8885&amp;$C8885,$B$2728:$B$3594&amp;$C$2728:$C$3594,0))</f>
        <v>8.5109999999999992</v>
      </c>
      <c r="I8885" s="508">
        <f t="array" ref="I8885">INDEX(I$2728:I$3594,MATCH($B8885&amp;$C8885,$B$2728:$B$3594&amp;$C$2728:$C$3594,0))</f>
        <v>8.5109999999999992</v>
      </c>
      <c r="J8885" s="508">
        <f t="array" ref="J8885">INDEX(J$2728:J$3594,MATCH($B8885&amp;$C8885,$B$2728:$B$3594&amp;$C$2728:$C$3594,0))</f>
        <v>6.0549999999999997</v>
      </c>
      <c r="K8885" s="508">
        <f t="array" ref="K8885">INDEX(K$2728:K$3594,MATCH($B8885&amp;$C8885,$B$2728:$B$3594&amp;$C$2728:$C$3594,0))</f>
        <v>6.0549999999999997</v>
      </c>
      <c r="L8885" s="508">
        <f t="array" ref="L8885">INDEX(L$2728:L$3594,MATCH($B8885&amp;$C8885,$B$2728:$B$3594&amp;$C$2728:$C$3594,0))</f>
        <v>6.0549999999999997</v>
      </c>
      <c r="M8885" s="508">
        <f t="array" ref="M8885">INDEX(M$2728:M$3594,MATCH($B8885&amp;$C8885,$B$2728:$B$3594&amp;$C$2728:$C$3594,0))</f>
        <v>6.0549999999999997</v>
      </c>
      <c r="N8885" s="508">
        <f t="array" ref="N8885">INDEX(N$2728:N$3594,MATCH($B8885&amp;$C8885,$B$2728:$B$3594&amp;$C$2728:$C$3594,0))</f>
        <v>5.9489999999999998</v>
      </c>
      <c r="O8885" s="508">
        <f t="array" ref="O8885">INDEX(O$2728:O$3594,MATCH($B8885&amp;$C8885,$B$2728:$B$3594&amp;$C$2728:$C$3594,0))</f>
        <v>5.9489999999999998</v>
      </c>
      <c r="P8885" s="508">
        <f t="array" ref="P8885">INDEX(P$2728:P$3594,MATCH($B8885&amp;$C8885,$B$2728:$B$3594&amp;$C$2728:$C$3594,0))</f>
        <v>5.95</v>
      </c>
      <c r="Q8885" s="508">
        <f t="array" ref="Q8885">INDEX(Q$2728:Q$3594,MATCH($B8885&amp;$C8885,$B$2728:$B$3594&amp;$C$2728:$C$3594,0))</f>
        <v>5.95</v>
      </c>
      <c r="R8885" s="508">
        <f t="array" ref="R8885">INDEX(R$2728:R$3594,MATCH($B8885&amp;$C8885,$B$2728:$B$3594&amp;$C$2728:$C$3594,0))</f>
        <v>4.157</v>
      </c>
      <c r="S8885" s="508">
        <f t="array" ref="S8885">INDEX(S$2728:S$3594,MATCH($B8885&amp;$C8885,$B$2728:$B$3594&amp;$C$2728:$C$3594,0))</f>
        <v>4.157</v>
      </c>
      <c r="T8885" s="508">
        <f t="array" ref="T8885">INDEX(T$2728:T$3594,MATCH($B8885&amp;$C8885,$B$2728:$B$3594&amp;$C$2728:$C$3594,0))</f>
        <v>4.157</v>
      </c>
      <c r="U8885" s="508">
        <f t="array" ref="U8885">INDEX(U$2728:U$3594,MATCH($B8885&amp;$C8885,$B$2728:$B$3594&amp;$C$2728:$C$3594,0))</f>
        <v>4.1059999999999999</v>
      </c>
      <c r="V8885" s="508">
        <f t="array" ref="V8885">INDEX(V$2728:V$3594,MATCH($B8885&amp;$C8885,$B$2728:$B$3594&amp;$C$2728:$C$3594,0))</f>
        <v>4.1059999999999999</v>
      </c>
      <c r="W8885" s="508">
        <f t="array" ref="W8885">INDEX(W$2728:W$3594,MATCH($B8885&amp;$C8885,$B$2728:$B$3594&amp;$C$2728:$C$3594,0))</f>
        <v>4.1059999999999999</v>
      </c>
      <c r="X8885" s="508">
        <f t="array" ref="X8885">INDEX(X$2728:X$3594,MATCH($B8885&amp;$C8885,$B$2728:$B$3594&amp;$C$2728:$C$3594,0))</f>
        <v>4.1059999999999999</v>
      </c>
      <c r="Y8885" s="508">
        <f t="array" ref="Y8885">INDEX(Y$2728:Y$3594,MATCH($B8885&amp;$C8885,$B$2728:$B$3594&amp;$C$2728:$C$3594,0))</f>
        <v>3.8380000000000001</v>
      </c>
      <c r="Z8885" s="508">
        <f t="array" ref="Z8885">INDEX(Z$2728:Z$3594,MATCH($B8885&amp;$C8885,$B$2728:$B$3594&amp;$C$2728:$C$3594,0))</f>
        <v>3.835</v>
      </c>
      <c r="AA8885" s="508">
        <f t="array" ref="AA8885">INDEX(AA$2728:AA$3594,MATCH($B8885&amp;$C8885,$B$2728:$B$3594&amp;$C$2728:$C$3594,0))</f>
        <v>3.835</v>
      </c>
      <c r="AB8885" s="508">
        <f t="array" ref="AB8885">INDEX(AB$2728:AB$3594,MATCH($B8885&amp;$C8885,$B$2728:$B$3594&amp;$C$2728:$C$3594,0))</f>
        <v>1.0740000000000001</v>
      </c>
      <c r="AC8885" s="508">
        <f t="array" ref="AC8885">INDEX(AC$2728:AC$3594,MATCH($B8885&amp;$C8885,$B$2728:$B$3594&amp;$C$2728:$C$3594,0))</f>
        <v>1.073</v>
      </c>
      <c r="AD8885" s="508">
        <f t="array" ref="AD8885">INDEX(AD$2728:AD$3594,MATCH($B8885&amp;$C8885,$B$2728:$B$3594&amp;$C$2728:$C$3594,0))</f>
        <v>0.872</v>
      </c>
      <c r="AE8885" s="508">
        <f t="array" ref="AE8885">INDEX(AE$2728:AE$3594,MATCH($B8885&amp;$C8885,$B$2728:$B$3594&amp;$C$2728:$C$3594,0))</f>
        <v>0.872</v>
      </c>
      <c r="AF8885" s="508">
        <f t="array" ref="AF8885">INDEX(AF$2728:AF$3594,MATCH($B8885&amp;$C8885,$B$2728:$B$3594&amp;$C$2728:$C$3594,0))</f>
        <v>0.86699999999999999</v>
      </c>
      <c r="AG8885" s="508">
        <f t="array" ref="AG8885">INDEX(AG$2728:AG$3594,MATCH($B8885&amp;$C8885,$B$2728:$B$3594&amp;$C$2728:$C$3594,0))</f>
        <v>0.86699999999999999</v>
      </c>
      <c r="AH8885" s="508">
        <f t="array" ref="AH8885">INDEX(AH$2728:AH$3594,MATCH($B8885&amp;$C8885,$B$2728:$B$3594&amp;$C$2728:$C$3594,0))</f>
        <v>0.86499999999999999</v>
      </c>
      <c r="AI8885" s="508">
        <f t="array" ref="AI8885">INDEX(AI$2728:AI$3594,MATCH($B8885&amp;$C8885,$B$2728:$B$3594&amp;$C$2728:$C$3594,0))</f>
        <v>0.86499999999999999</v>
      </c>
      <c r="AJ8885" s="508"/>
      <c r="AK8885" s="508">
        <f t="shared" si="186"/>
        <v>0.86499999999999999</v>
      </c>
      <c r="AL8885" s="508">
        <f t="shared" si="187"/>
        <v>0.86499999999999999</v>
      </c>
      <c r="AM8885" s="508">
        <f t="shared" si="187"/>
        <v>0.86499999999999999</v>
      </c>
      <c r="AN8885" s="508">
        <f t="shared" si="187"/>
        <v>0.86499999999999999</v>
      </c>
      <c r="AO8885" s="508">
        <f t="array" ref="AO8885">INDEX('GREET Fuel Attributes'!$E$8948:$E$9083,MATCH($C8885&amp;$D8885,'GREET Fuel Attributes'!$B$8948:$B$9083&amp;'GREET Fuel Attributes'!$C$8948:$C$9083,0))/INDEX('GREET Fuel Attributes'!$D$8948:$D$9083,MATCH($C8885&amp;$D8885,'GREET Fuel Attributes'!$B$8948:$B$9083&amp;'GREET Fuel Attributes'!$C$8948:$C$9083,0))*AI8885</f>
        <v>0.86499999999999999</v>
      </c>
      <c r="AP8885" s="132" t="s">
        <v>1388</v>
      </c>
      <c r="AQ8885" s="142" t="s">
        <v>306</v>
      </c>
    </row>
    <row r="8886" spans="2:43">
      <c r="B8886" s="136" t="str">
        <f t="shared" si="185"/>
        <v>ILLINOIS</v>
      </c>
      <c r="C8886" s="132" t="s">
        <v>1372</v>
      </c>
      <c r="D8886" s="132" t="s">
        <v>284</v>
      </c>
      <c r="E8886" s="508">
        <f t="array" ref="E8886">INDEX(E$3595:E$4461,MATCH($B8886&amp;$C8886,$B$3595:$B$4461&amp;$C$3595:$C$4461,0))</f>
        <v>0.20699999999999999</v>
      </c>
      <c r="F8886" s="508">
        <f t="array" ref="F8886">INDEX(F$3595:F$4461,MATCH($B8886&amp;$C8886,$B$3595:$B$4461&amp;$C$3595:$C$4461,0))</f>
        <v>0.20899999999999999</v>
      </c>
      <c r="G8886" s="508">
        <f t="array" ref="G8886">INDEX(G$3595:G$4461,MATCH($B8886&amp;$C8886,$B$3595:$B$4461&amp;$C$3595:$C$4461,0))</f>
        <v>0.20899999999999999</v>
      </c>
      <c r="H8886" s="508">
        <f t="array" ref="H8886">INDEX(H$3595:H$4461,MATCH($B8886&amp;$C8886,$B$3595:$B$4461&amp;$C$3595:$C$4461,0))</f>
        <v>0.20300000000000001</v>
      </c>
      <c r="I8886" s="508">
        <f t="array" ref="I8886">INDEX(I$3595:I$4461,MATCH($B8886&amp;$C8886,$B$3595:$B$4461&amp;$C$3595:$C$4461,0))</f>
        <v>0.20300000000000001</v>
      </c>
      <c r="J8886" s="508">
        <f t="array" ref="J8886">INDEX(J$3595:J$4461,MATCH($B8886&amp;$C8886,$B$3595:$B$4461&amp;$C$3595:$C$4461,0))</f>
        <v>0.17299999999999999</v>
      </c>
      <c r="K8886" s="508">
        <f t="array" ref="K8886">INDEX(K$3595:K$4461,MATCH($B8886&amp;$C8886,$B$3595:$B$4461&amp;$C$3595:$C$4461,0))</f>
        <v>0.13400000000000001</v>
      </c>
      <c r="L8886" s="508">
        <f t="array" ref="L8886">INDEX(L$3595:L$4461,MATCH($B8886&amp;$C8886,$B$3595:$B$4461&amp;$C$3595:$C$4461,0))</f>
        <v>0.13400000000000001</v>
      </c>
      <c r="M8886" s="508">
        <f t="array" ref="M8886">INDEX(M$3595:M$4461,MATCH($B8886&amp;$C8886,$B$3595:$B$4461&amp;$C$3595:$C$4461,0))</f>
        <v>0.13400000000000001</v>
      </c>
      <c r="N8886" s="508">
        <f t="array" ref="N8886">INDEX(N$3595:N$4461,MATCH($B8886&amp;$C8886,$B$3595:$B$4461&amp;$C$3595:$C$4461,0))</f>
        <v>0.126</v>
      </c>
      <c r="O8886" s="508">
        <f t="array" ref="O8886">INDEX(O$3595:O$4461,MATCH($B8886&amp;$C8886,$B$3595:$B$4461&amp;$C$3595:$C$4461,0))</f>
        <v>0.115</v>
      </c>
      <c r="P8886" s="508">
        <f t="array" ref="P8886">INDEX(P$3595:P$4461,MATCH($B8886&amp;$C8886,$B$3595:$B$4461&amp;$C$3595:$C$4461,0))</f>
        <v>8.8999999999999996E-2</v>
      </c>
      <c r="Q8886" s="508">
        <f t="array" ref="Q8886">INDEX(Q$3595:Q$4461,MATCH($B8886&amp;$C8886,$B$3595:$B$4461&amp;$C$3595:$C$4461,0))</f>
        <v>7.1999999999999995E-2</v>
      </c>
      <c r="R8886" s="508">
        <f t="array" ref="R8886">INDEX(R$3595:R$4461,MATCH($B8886&amp;$C8886,$B$3595:$B$4461&amp;$C$3595:$C$4461,0))</f>
        <v>7.0999999999999994E-2</v>
      </c>
      <c r="S8886" s="508">
        <f t="array" ref="S8886">INDEX(S$3595:S$4461,MATCH($B8886&amp;$C8886,$B$3595:$B$4461&amp;$C$3595:$C$4461,0))</f>
        <v>8.5000000000000006E-2</v>
      </c>
      <c r="T8886" s="508">
        <f t="array" ref="T8886">INDEX(T$3595:T$4461,MATCH($B8886&amp;$C8886,$B$3595:$B$4461&amp;$C$3595:$C$4461,0))</f>
        <v>6.9000000000000006E-2</v>
      </c>
      <c r="U8886" s="508">
        <f t="array" ref="U8886">INDEX(U$3595:U$4461,MATCH($B8886&amp;$C8886,$B$3595:$B$4461&amp;$C$3595:$C$4461,0))</f>
        <v>5.7000000000000002E-2</v>
      </c>
      <c r="V8886" s="508">
        <f t="array" ref="V8886">INDEX(V$3595:V$4461,MATCH($B8886&amp;$C8886,$B$3595:$B$4461&amp;$C$3595:$C$4461,0))</f>
        <v>3.3000000000000002E-2</v>
      </c>
      <c r="W8886" s="508">
        <f t="array" ref="W8886">INDEX(W$3595:W$4461,MATCH($B8886&amp;$C8886,$B$3595:$B$4461&amp;$C$3595:$C$4461,0))</f>
        <v>4.2000000000000003E-2</v>
      </c>
      <c r="X8886" s="508">
        <f t="array" ref="X8886">INDEX(X$3595:X$4461,MATCH($B8886&amp;$C8886,$B$3595:$B$4461&amp;$C$3595:$C$4461,0))</f>
        <v>2.1999999999999999E-2</v>
      </c>
      <c r="Y8886" s="508">
        <f t="array" ref="Y8886">INDEX(Y$3595:Y$4461,MATCH($B8886&amp;$C8886,$B$3595:$B$4461&amp;$C$3595:$C$4461,0))</f>
        <v>2.1999999999999999E-2</v>
      </c>
      <c r="Z8886" s="508">
        <f t="array" ref="Z8886">INDEX(Z$3595:Z$4461,MATCH($B8886&amp;$C8886,$B$3595:$B$4461&amp;$C$3595:$C$4461,0))</f>
        <v>1.7999999999999999E-2</v>
      </c>
      <c r="AA8886" s="508">
        <f t="array" ref="AA8886">INDEX(AA$3595:AA$4461,MATCH($B8886&amp;$C8886,$B$3595:$B$4461&amp;$C$3595:$C$4461,0))</f>
        <v>1.7999999999999999E-2</v>
      </c>
      <c r="AB8886" s="508">
        <f t="array" ref="AB8886">INDEX(AB$3595:AB$4461,MATCH($B8886&amp;$C8886,$B$3595:$B$4461&amp;$C$3595:$C$4461,0))</f>
        <v>1.7000000000000001E-2</v>
      </c>
      <c r="AC8886" s="508">
        <f t="array" ref="AC8886">INDEX(AC$3595:AC$4461,MATCH($B8886&amp;$C8886,$B$3595:$B$4461&amp;$C$3595:$C$4461,0))</f>
        <v>1.7000000000000001E-2</v>
      </c>
      <c r="AD8886" s="508">
        <f t="array" ref="AD8886">INDEX(AD$3595:AD$4461,MATCH($B8886&amp;$C8886,$B$3595:$B$4461&amp;$C$3595:$C$4461,0))</f>
        <v>1.4999999999999999E-2</v>
      </c>
      <c r="AE8886" s="508">
        <f t="array" ref="AE8886">INDEX(AE$3595:AE$4461,MATCH($B8886&amp;$C8886,$B$3595:$B$4461&amp;$C$3595:$C$4461,0))</f>
        <v>1.4999999999999999E-2</v>
      </c>
      <c r="AF8886" s="508">
        <f t="array" ref="AF8886">INDEX(AF$3595:AF$4461,MATCH($B8886&amp;$C8886,$B$3595:$B$4461&amp;$C$3595:$C$4461,0))</f>
        <v>8.9999999999999993E-3</v>
      </c>
      <c r="AG8886" s="508">
        <f t="array" ref="AG8886">INDEX(AG$3595:AG$4461,MATCH($B8886&amp;$C8886,$B$3595:$B$4461&amp;$C$3595:$C$4461,0))</f>
        <v>8.9999999999999993E-3</v>
      </c>
      <c r="AH8886" s="508">
        <f t="array" ref="AH8886">INDEX(AH$3595:AH$4461,MATCH($B8886&amp;$C8886,$B$3595:$B$4461&amp;$C$3595:$C$4461,0))</f>
        <v>8.9999999999999993E-3</v>
      </c>
      <c r="AI8886" s="508">
        <f t="array" ref="AI8886">INDEX(AI$3595:AI$4461,MATCH($B8886&amp;$C8886,$B$3595:$B$4461&amp;$C$3595:$C$4461,0))</f>
        <v>8.9999999999999993E-3</v>
      </c>
      <c r="AJ8886" s="508"/>
      <c r="AK8886" s="508">
        <f t="shared" si="186"/>
        <v>8.9999999999999993E-3</v>
      </c>
      <c r="AL8886" s="508">
        <f t="shared" si="187"/>
        <v>8.9999999999999993E-3</v>
      </c>
      <c r="AM8886" s="508">
        <f t="shared" si="187"/>
        <v>8.9999999999999993E-3</v>
      </c>
      <c r="AN8886" s="508">
        <f t="shared" si="187"/>
        <v>8.9999999999999993E-3</v>
      </c>
      <c r="AO8886" s="508">
        <f t="array" ref="AO8886">INDEX('GREET Fuel Attributes'!$E$8948:$E$9083,MATCH($C8886&amp;$D8886,'GREET Fuel Attributes'!$B$8948:$B$9083&amp;'GREET Fuel Attributes'!$C$8948:$C$9083,0))/INDEX('GREET Fuel Attributes'!$D$8948:$D$9083,MATCH($C8886&amp;$D8886,'GREET Fuel Attributes'!$B$8948:$B$9083&amp;'GREET Fuel Attributes'!$C$8948:$C$9083,0))*AI8886</f>
        <v>8.9999999999999993E-3</v>
      </c>
      <c r="AP8886" s="132" t="s">
        <v>1388</v>
      </c>
      <c r="AQ8886" s="142" t="s">
        <v>306</v>
      </c>
    </row>
    <row r="8887" spans="2:43">
      <c r="B8887" s="136" t="str">
        <f t="shared" si="185"/>
        <v>ILLINOIS</v>
      </c>
      <c r="C8887" s="132" t="s">
        <v>1372</v>
      </c>
      <c r="D8887" s="132" t="s">
        <v>1379</v>
      </c>
      <c r="E8887" s="508">
        <f t="array" ref="E8887">INDEX(E$4462:E$5328,MATCH($B8887&amp;$C8887,$B$4462:$B$5328&amp;$C$4462:$C$5328,0))</f>
        <v>0.109</v>
      </c>
      <c r="F8887" s="508">
        <f t="array" ref="F8887">INDEX(F$4462:F$5328,MATCH($B8887&amp;$C8887,$B$4462:$B$5328&amp;$C$4462:$C$5328,0))</f>
        <v>0.109</v>
      </c>
      <c r="G8887" s="508">
        <f t="array" ref="G8887">INDEX(G$4462:G$5328,MATCH($B8887&amp;$C8887,$B$4462:$B$5328&amp;$C$4462:$C$5328,0))</f>
        <v>0.109</v>
      </c>
      <c r="H8887" s="508">
        <f t="array" ref="H8887">INDEX(H$4462:H$5328,MATCH($B8887&amp;$C8887,$B$4462:$B$5328&amp;$C$4462:$C$5328,0))</f>
        <v>0.109</v>
      </c>
      <c r="I8887" s="508">
        <f t="array" ref="I8887">INDEX(I$4462:I$5328,MATCH($B8887&amp;$C8887,$B$4462:$B$5328&amp;$C$4462:$C$5328,0))</f>
        <v>0.109</v>
      </c>
      <c r="J8887" s="508">
        <f t="array" ref="J8887">INDEX(J$4462:J$5328,MATCH($B8887&amp;$C8887,$B$4462:$B$5328&amp;$C$4462:$C$5328,0))</f>
        <v>0.109</v>
      </c>
      <c r="K8887" s="508">
        <f t="array" ref="K8887">INDEX(K$4462:K$5328,MATCH($B8887&amp;$C8887,$B$4462:$B$5328&amp;$C$4462:$C$5328,0))</f>
        <v>0.109</v>
      </c>
      <c r="L8887" s="508">
        <f t="array" ref="L8887">INDEX(L$4462:L$5328,MATCH($B8887&amp;$C8887,$B$4462:$B$5328&amp;$C$4462:$C$5328,0))</f>
        <v>0.109</v>
      </c>
      <c r="M8887" s="508">
        <f t="array" ref="M8887">INDEX(M$4462:M$5328,MATCH($B8887&amp;$C8887,$B$4462:$B$5328&amp;$C$4462:$C$5328,0))</f>
        <v>0.109</v>
      </c>
      <c r="N8887" s="508">
        <f t="array" ref="N8887">INDEX(N$4462:N$5328,MATCH($B8887&amp;$C8887,$B$4462:$B$5328&amp;$C$4462:$C$5328,0))</f>
        <v>0.109</v>
      </c>
      <c r="O8887" s="508">
        <f t="array" ref="O8887">INDEX(O$4462:O$5328,MATCH($B8887&amp;$C8887,$B$4462:$B$5328&amp;$C$4462:$C$5328,0))</f>
        <v>0.109</v>
      </c>
      <c r="P8887" s="508">
        <f t="array" ref="P8887">INDEX(P$4462:P$5328,MATCH($B8887&amp;$C8887,$B$4462:$B$5328&amp;$C$4462:$C$5328,0))</f>
        <v>0.109</v>
      </c>
      <c r="Q8887" s="508">
        <f t="array" ref="Q8887">INDEX(Q$4462:Q$5328,MATCH($B8887&amp;$C8887,$B$4462:$B$5328&amp;$C$4462:$C$5328,0))</f>
        <v>0.11</v>
      </c>
      <c r="R8887" s="508">
        <f t="array" ref="R8887">INDEX(R$4462:R$5328,MATCH($B8887&amp;$C8887,$B$4462:$B$5328&amp;$C$4462:$C$5328,0))</f>
        <v>0.109</v>
      </c>
      <c r="S8887" s="508">
        <f t="array" ref="S8887">INDEX(S$4462:S$5328,MATCH($B8887&amp;$C8887,$B$4462:$B$5328&amp;$C$4462:$C$5328,0))</f>
        <v>0.109</v>
      </c>
      <c r="T8887" s="508">
        <f t="array" ref="T8887">INDEX(T$4462:T$5328,MATCH($B8887&amp;$C8887,$B$4462:$B$5328&amp;$C$4462:$C$5328,0))</f>
        <v>0.109</v>
      </c>
      <c r="U8887" s="508">
        <f t="array" ref="U8887">INDEX(U$4462:U$5328,MATCH($B8887&amp;$C8887,$B$4462:$B$5328&amp;$C$4462:$C$5328,0))</f>
        <v>0.109</v>
      </c>
      <c r="V8887" s="508">
        <f t="array" ref="V8887">INDEX(V$4462:V$5328,MATCH($B8887&amp;$C8887,$B$4462:$B$5328&amp;$C$4462:$C$5328,0))</f>
        <v>0.109</v>
      </c>
      <c r="W8887" s="508">
        <f t="array" ref="W8887">INDEX(W$4462:W$5328,MATCH($B8887&amp;$C8887,$B$4462:$B$5328&amp;$C$4462:$C$5328,0))</f>
        <v>0.109</v>
      </c>
      <c r="X8887" s="508">
        <f t="array" ref="X8887">INDEX(X$4462:X$5328,MATCH($B8887&amp;$C8887,$B$4462:$B$5328&amp;$C$4462:$C$5328,0))</f>
        <v>0.109</v>
      </c>
      <c r="Y8887" s="508">
        <f t="array" ref="Y8887">INDEX(Y$4462:Y$5328,MATCH($B8887&amp;$C8887,$B$4462:$B$5328&amp;$C$4462:$C$5328,0))</f>
        <v>0.109</v>
      </c>
      <c r="Z8887" s="508">
        <f t="array" ref="Z8887">INDEX(Z$4462:Z$5328,MATCH($B8887&amp;$C8887,$B$4462:$B$5328&amp;$C$4462:$C$5328,0))</f>
        <v>0.109</v>
      </c>
      <c r="AA8887" s="508">
        <f t="array" ref="AA8887">INDEX(AA$4462:AA$5328,MATCH($B8887&amp;$C8887,$B$4462:$B$5328&amp;$C$4462:$C$5328,0))</f>
        <v>0.109</v>
      </c>
      <c r="AB8887" s="508">
        <f t="array" ref="AB8887">INDEX(AB$4462:AB$5328,MATCH($B8887&amp;$C8887,$B$4462:$B$5328&amp;$C$4462:$C$5328,0))</f>
        <v>0.109</v>
      </c>
      <c r="AC8887" s="508">
        <f t="array" ref="AC8887">INDEX(AC$4462:AC$5328,MATCH($B8887&amp;$C8887,$B$4462:$B$5328&amp;$C$4462:$C$5328,0))</f>
        <v>0.11</v>
      </c>
      <c r="AD8887" s="508">
        <f t="array" ref="AD8887">INDEX(AD$4462:AD$5328,MATCH($B8887&amp;$C8887,$B$4462:$B$5328&amp;$C$4462:$C$5328,0))</f>
        <v>0.109</v>
      </c>
      <c r="AE8887" s="508">
        <f t="array" ref="AE8887">INDEX(AE$4462:AE$5328,MATCH($B8887&amp;$C8887,$B$4462:$B$5328&amp;$C$4462:$C$5328,0))</f>
        <v>0.109</v>
      </c>
      <c r="AF8887" s="508">
        <f t="array" ref="AF8887">INDEX(AF$4462:AF$5328,MATCH($B8887&amp;$C8887,$B$4462:$B$5328&amp;$C$4462:$C$5328,0))</f>
        <v>0.109</v>
      </c>
      <c r="AG8887" s="508">
        <f t="array" ref="AG8887">INDEX(AG$4462:AG$5328,MATCH($B8887&amp;$C8887,$B$4462:$B$5328&amp;$C$4462:$C$5328,0))</f>
        <v>0.109</v>
      </c>
      <c r="AH8887" s="508">
        <f t="array" ref="AH8887">INDEX(AH$4462:AH$5328,MATCH($B8887&amp;$C8887,$B$4462:$B$5328&amp;$C$4462:$C$5328,0))</f>
        <v>0.109</v>
      </c>
      <c r="AI8887" s="508">
        <f t="array" ref="AI8887">INDEX(AI$4462:AI$5328,MATCH($B8887&amp;$C8887,$B$4462:$B$5328&amp;$C$4462:$C$5328,0))</f>
        <v>0.109</v>
      </c>
      <c r="AJ8887" s="508"/>
      <c r="AK8887" s="508">
        <f t="shared" si="186"/>
        <v>0.109</v>
      </c>
      <c r="AL8887" s="508">
        <f t="shared" si="187"/>
        <v>0.109</v>
      </c>
      <c r="AM8887" s="508">
        <f t="shared" si="187"/>
        <v>0.109</v>
      </c>
      <c r="AN8887" s="508">
        <f t="shared" si="187"/>
        <v>0.109</v>
      </c>
      <c r="AO8887" s="508">
        <f t="array" ref="AO8887">INDEX('GREET Fuel Attributes'!$E$8948:$E$9083,MATCH($C8887&amp;$D8887,'GREET Fuel Attributes'!$B$8948:$B$9083&amp;'GREET Fuel Attributes'!$C$8948:$C$9083,0))/INDEX('GREET Fuel Attributes'!$D$8948:$D$9083,MATCH($C8887&amp;$D8887,'GREET Fuel Attributes'!$B$8948:$B$9083&amp;'GREET Fuel Attributes'!$C$8948:$C$9083,0))*AI8887</f>
        <v>0.109</v>
      </c>
      <c r="AP8887" s="132" t="s">
        <v>1388</v>
      </c>
      <c r="AQ8887" s="142" t="s">
        <v>306</v>
      </c>
    </row>
    <row r="8888" spans="2:43">
      <c r="B8888" s="136" t="str">
        <f t="shared" si="185"/>
        <v>ILLINOIS</v>
      </c>
      <c r="C8888" s="132" t="s">
        <v>1372</v>
      </c>
      <c r="D8888" s="132" t="s">
        <v>285</v>
      </c>
      <c r="E8888" s="508">
        <f t="array" ref="E8888">INDEX(E$5329:E$6195,MATCH($B8888&amp;$C8888,$B$5329:$B$6195&amp;$C$5329:$C$6195,0))</f>
        <v>0.183</v>
      </c>
      <c r="F8888" s="508">
        <f t="array" ref="F8888">INDEX(F$5329:F$6195,MATCH($B8888&amp;$C8888,$B$5329:$B$6195&amp;$C$5329:$C$6195,0))</f>
        <v>0.185</v>
      </c>
      <c r="G8888" s="508">
        <f t="array" ref="G8888">INDEX(G$5329:G$6195,MATCH($B8888&amp;$C8888,$B$5329:$B$6195&amp;$C$5329:$C$6195,0))</f>
        <v>0.185</v>
      </c>
      <c r="H8888" s="508">
        <f t="array" ref="H8888">INDEX(H$5329:H$6195,MATCH($B8888&amp;$C8888,$B$5329:$B$6195&amp;$C$5329:$C$6195,0))</f>
        <v>0.17899999999999999</v>
      </c>
      <c r="I8888" s="508">
        <f t="array" ref="I8888">INDEX(I$5329:I$6195,MATCH($B8888&amp;$C8888,$B$5329:$B$6195&amp;$C$5329:$C$6195,0))</f>
        <v>0.17899999999999999</v>
      </c>
      <c r="J8888" s="508">
        <f t="array" ref="J8888">INDEX(J$5329:J$6195,MATCH($B8888&amp;$C8888,$B$5329:$B$6195&amp;$C$5329:$C$6195,0))</f>
        <v>0.153</v>
      </c>
      <c r="K8888" s="508">
        <f t="array" ref="K8888">INDEX(K$5329:K$6195,MATCH($B8888&amp;$C8888,$B$5329:$B$6195&amp;$C$5329:$C$6195,0))</f>
        <v>0.11799999999999999</v>
      </c>
      <c r="L8888" s="508">
        <f t="array" ref="L8888">INDEX(L$5329:L$6195,MATCH($B8888&amp;$C8888,$B$5329:$B$6195&amp;$C$5329:$C$6195,0))</f>
        <v>0.11799999999999999</v>
      </c>
      <c r="M8888" s="508">
        <f t="array" ref="M8888">INDEX(M$5329:M$6195,MATCH($B8888&amp;$C8888,$B$5329:$B$6195&amp;$C$5329:$C$6195,0))</f>
        <v>0.11799999999999999</v>
      </c>
      <c r="N8888" s="508">
        <f t="array" ref="N8888">INDEX(N$5329:N$6195,MATCH($B8888&amp;$C8888,$B$5329:$B$6195&amp;$C$5329:$C$6195,0))</f>
        <v>0.112</v>
      </c>
      <c r="O8888" s="508">
        <f t="array" ref="O8888">INDEX(O$5329:O$6195,MATCH($B8888&amp;$C8888,$B$5329:$B$6195&amp;$C$5329:$C$6195,0))</f>
        <v>0.10199999999999999</v>
      </c>
      <c r="P8888" s="508">
        <f t="array" ref="P8888">INDEX(P$5329:P$6195,MATCH($B8888&amp;$C8888,$B$5329:$B$6195&amp;$C$5329:$C$6195,0))</f>
        <v>7.8E-2</v>
      </c>
      <c r="Q8888" s="508">
        <f t="array" ref="Q8888">INDEX(Q$5329:Q$6195,MATCH($B8888&amp;$C8888,$B$5329:$B$6195&amp;$C$5329:$C$6195,0))</f>
        <v>6.4000000000000001E-2</v>
      </c>
      <c r="R8888" s="508">
        <f t="array" ref="R8888">INDEX(R$5329:R$6195,MATCH($B8888&amp;$C8888,$B$5329:$B$6195&amp;$C$5329:$C$6195,0))</f>
        <v>6.3E-2</v>
      </c>
      <c r="S8888" s="508">
        <f t="array" ref="S8888">INDEX(S$5329:S$6195,MATCH($B8888&amp;$C8888,$B$5329:$B$6195&amp;$C$5329:$C$6195,0))</f>
        <v>7.4999999999999997E-2</v>
      </c>
      <c r="T8888" s="508">
        <f t="array" ref="T8888">INDEX(T$5329:T$6195,MATCH($B8888&amp;$C8888,$B$5329:$B$6195&amp;$C$5329:$C$6195,0))</f>
        <v>6.0999999999999999E-2</v>
      </c>
      <c r="U8888" s="508">
        <f t="array" ref="U8888">INDEX(U$5329:U$6195,MATCH($B8888&amp;$C8888,$B$5329:$B$6195&amp;$C$5329:$C$6195,0))</f>
        <v>5.0999999999999997E-2</v>
      </c>
      <c r="V8888" s="508">
        <f t="array" ref="V8888">INDEX(V$5329:V$6195,MATCH($B8888&amp;$C8888,$B$5329:$B$6195&amp;$C$5329:$C$6195,0))</f>
        <v>2.9000000000000001E-2</v>
      </c>
      <c r="W8888" s="508">
        <f t="array" ref="W8888">INDEX(W$5329:W$6195,MATCH($B8888&amp;$C8888,$B$5329:$B$6195&amp;$C$5329:$C$6195,0))</f>
        <v>3.7999999999999999E-2</v>
      </c>
      <c r="X8888" s="508">
        <f t="array" ref="X8888">INDEX(X$5329:X$6195,MATCH($B8888&amp;$C8888,$B$5329:$B$6195&amp;$C$5329:$C$6195,0))</f>
        <v>0.02</v>
      </c>
      <c r="Y8888" s="508">
        <f t="array" ref="Y8888">INDEX(Y$5329:Y$6195,MATCH($B8888&amp;$C8888,$B$5329:$B$6195&amp;$C$5329:$C$6195,0))</f>
        <v>0.02</v>
      </c>
      <c r="Z8888" s="508">
        <f t="array" ref="Z8888">INDEX(Z$5329:Z$6195,MATCH($B8888&amp;$C8888,$B$5329:$B$6195&amp;$C$5329:$C$6195,0))</f>
        <v>1.6E-2</v>
      </c>
      <c r="AA8888" s="508">
        <f t="array" ref="AA8888">INDEX(AA$5329:AA$6195,MATCH($B8888&amp;$C8888,$B$5329:$B$6195&amp;$C$5329:$C$6195,0))</f>
        <v>1.6E-2</v>
      </c>
      <c r="AB8888" s="508">
        <f t="array" ref="AB8888">INDEX(AB$5329:AB$6195,MATCH($B8888&amp;$C8888,$B$5329:$B$6195&amp;$C$5329:$C$6195,0))</f>
        <v>1.4999999999999999E-2</v>
      </c>
      <c r="AC8888" s="508">
        <f t="array" ref="AC8888">INDEX(AC$5329:AC$6195,MATCH($B8888&amp;$C8888,$B$5329:$B$6195&amp;$C$5329:$C$6195,0))</f>
        <v>1.4999999999999999E-2</v>
      </c>
      <c r="AD8888" s="508">
        <f t="array" ref="AD8888">INDEX(AD$5329:AD$6195,MATCH($B8888&amp;$C8888,$B$5329:$B$6195&amp;$C$5329:$C$6195,0))</f>
        <v>1.2999999999999999E-2</v>
      </c>
      <c r="AE8888" s="508">
        <f t="array" ref="AE8888">INDEX(AE$5329:AE$6195,MATCH($B8888&amp;$C8888,$B$5329:$B$6195&amp;$C$5329:$C$6195,0))</f>
        <v>1.2999999999999999E-2</v>
      </c>
      <c r="AF8888" s="508">
        <f t="array" ref="AF8888">INDEX(AF$5329:AF$6195,MATCH($B8888&amp;$C8888,$B$5329:$B$6195&amp;$C$5329:$C$6195,0))</f>
        <v>8.0000000000000002E-3</v>
      </c>
      <c r="AG8888" s="508">
        <f t="array" ref="AG8888">INDEX(AG$5329:AG$6195,MATCH($B8888&amp;$C8888,$B$5329:$B$6195&amp;$C$5329:$C$6195,0))</f>
        <v>8.0000000000000002E-3</v>
      </c>
      <c r="AH8888" s="508">
        <f t="array" ref="AH8888">INDEX(AH$5329:AH$6195,MATCH($B8888&amp;$C8888,$B$5329:$B$6195&amp;$C$5329:$C$6195,0))</f>
        <v>8.0000000000000002E-3</v>
      </c>
      <c r="AI8888" s="508">
        <f t="array" ref="AI8888">INDEX(AI$5329:AI$6195,MATCH($B8888&amp;$C8888,$B$5329:$B$6195&amp;$C$5329:$C$6195,0))</f>
        <v>8.0000000000000002E-3</v>
      </c>
      <c r="AJ8888" s="508"/>
      <c r="AK8888" s="508">
        <f t="shared" si="186"/>
        <v>8.0000000000000002E-3</v>
      </c>
      <c r="AL8888" s="508">
        <f t="shared" si="187"/>
        <v>8.0000000000000002E-3</v>
      </c>
      <c r="AM8888" s="508">
        <f t="shared" si="187"/>
        <v>8.0000000000000002E-3</v>
      </c>
      <c r="AN8888" s="508">
        <f t="shared" si="187"/>
        <v>8.0000000000000002E-3</v>
      </c>
      <c r="AO8888" s="508">
        <f t="array" ref="AO8888">INDEX('GREET Fuel Attributes'!$E$8948:$E$9083,MATCH($C8888&amp;$D8888,'GREET Fuel Attributes'!$B$8948:$B$9083&amp;'GREET Fuel Attributes'!$C$8948:$C$9083,0))/INDEX('GREET Fuel Attributes'!$D$8948:$D$9083,MATCH($C8888&amp;$D8888,'GREET Fuel Attributes'!$B$8948:$B$9083&amp;'GREET Fuel Attributes'!$C$8948:$C$9083,0))*AI8888</f>
        <v>8.0000000000000002E-3</v>
      </c>
      <c r="AP8888" s="132" t="s">
        <v>1388</v>
      </c>
      <c r="AQ8888" s="142" t="s">
        <v>306</v>
      </c>
    </row>
    <row r="8889" spans="2:43">
      <c r="B8889" s="136" t="str">
        <f t="shared" si="185"/>
        <v>ILLINOIS</v>
      </c>
      <c r="C8889" s="132" t="s">
        <v>1372</v>
      </c>
      <c r="D8889" s="132" t="s">
        <v>1380</v>
      </c>
      <c r="E8889" s="508">
        <f t="array" ref="E8889">INDEX(E$6196:E$7062,MATCH($B8889&amp;$C8889,$B$6196:$B$7062&amp;$C$6196:$C$7062,0))</f>
        <v>1.4E-2</v>
      </c>
      <c r="F8889" s="508">
        <f t="array" ref="F8889">INDEX(F$6196:F$7062,MATCH($B8889&amp;$C8889,$B$6196:$B$7062&amp;$C$6196:$C$7062,0))</f>
        <v>1.4E-2</v>
      </c>
      <c r="G8889" s="508">
        <f t="array" ref="G8889">INDEX(G$6196:G$7062,MATCH($B8889&amp;$C8889,$B$6196:$B$7062&amp;$C$6196:$C$7062,0))</f>
        <v>1.4E-2</v>
      </c>
      <c r="H8889" s="508">
        <f t="array" ref="H8889">INDEX(H$6196:H$7062,MATCH($B8889&amp;$C8889,$B$6196:$B$7062&amp;$C$6196:$C$7062,0))</f>
        <v>1.4E-2</v>
      </c>
      <c r="I8889" s="508">
        <f t="array" ref="I8889">INDEX(I$6196:I$7062,MATCH($B8889&amp;$C8889,$B$6196:$B$7062&amp;$C$6196:$C$7062,0))</f>
        <v>1.4E-2</v>
      </c>
      <c r="J8889" s="508">
        <f t="array" ref="J8889">INDEX(J$6196:J$7062,MATCH($B8889&amp;$C8889,$B$6196:$B$7062&amp;$C$6196:$C$7062,0))</f>
        <v>1.4E-2</v>
      </c>
      <c r="K8889" s="508">
        <f t="array" ref="K8889">INDEX(K$6196:K$7062,MATCH($B8889&amp;$C8889,$B$6196:$B$7062&amp;$C$6196:$C$7062,0))</f>
        <v>1.4E-2</v>
      </c>
      <c r="L8889" s="508">
        <f t="array" ref="L8889">INDEX(L$6196:L$7062,MATCH($B8889&amp;$C8889,$B$6196:$B$7062&amp;$C$6196:$C$7062,0))</f>
        <v>1.4E-2</v>
      </c>
      <c r="M8889" s="508">
        <f t="array" ref="M8889">INDEX(M$6196:M$7062,MATCH($B8889&amp;$C8889,$B$6196:$B$7062&amp;$C$6196:$C$7062,0))</f>
        <v>1.4E-2</v>
      </c>
      <c r="N8889" s="508">
        <f t="array" ref="N8889">INDEX(N$6196:N$7062,MATCH($B8889&amp;$C8889,$B$6196:$B$7062&amp;$C$6196:$C$7062,0))</f>
        <v>1.4E-2</v>
      </c>
      <c r="O8889" s="508">
        <f t="array" ref="O8889">INDEX(O$6196:O$7062,MATCH($B8889&amp;$C8889,$B$6196:$B$7062&amp;$C$6196:$C$7062,0))</f>
        <v>1.4E-2</v>
      </c>
      <c r="P8889" s="508">
        <f t="array" ref="P8889">INDEX(P$6196:P$7062,MATCH($B8889&amp;$C8889,$B$6196:$B$7062&amp;$C$6196:$C$7062,0))</f>
        <v>1.4E-2</v>
      </c>
      <c r="Q8889" s="508">
        <f t="array" ref="Q8889">INDEX(Q$6196:Q$7062,MATCH($B8889&amp;$C8889,$B$6196:$B$7062&amp;$C$6196:$C$7062,0))</f>
        <v>1.4E-2</v>
      </c>
      <c r="R8889" s="508">
        <f t="array" ref="R8889">INDEX(R$6196:R$7062,MATCH($B8889&amp;$C8889,$B$6196:$B$7062&amp;$C$6196:$C$7062,0))</f>
        <v>1.4E-2</v>
      </c>
      <c r="S8889" s="508">
        <f t="array" ref="S8889">INDEX(S$6196:S$7062,MATCH($B8889&amp;$C8889,$B$6196:$B$7062&amp;$C$6196:$C$7062,0))</f>
        <v>1.4E-2</v>
      </c>
      <c r="T8889" s="508">
        <f t="array" ref="T8889">INDEX(T$6196:T$7062,MATCH($B8889&amp;$C8889,$B$6196:$B$7062&amp;$C$6196:$C$7062,0))</f>
        <v>1.4E-2</v>
      </c>
      <c r="U8889" s="508">
        <f t="array" ref="U8889">INDEX(U$6196:U$7062,MATCH($B8889&amp;$C8889,$B$6196:$B$7062&amp;$C$6196:$C$7062,0))</f>
        <v>1.4E-2</v>
      </c>
      <c r="V8889" s="508">
        <f t="array" ref="V8889">INDEX(V$6196:V$7062,MATCH($B8889&amp;$C8889,$B$6196:$B$7062&amp;$C$6196:$C$7062,0))</f>
        <v>1.4E-2</v>
      </c>
      <c r="W8889" s="508">
        <f t="array" ref="W8889">INDEX(W$6196:W$7062,MATCH($B8889&amp;$C8889,$B$6196:$B$7062&amp;$C$6196:$C$7062,0))</f>
        <v>1.4E-2</v>
      </c>
      <c r="X8889" s="508">
        <f t="array" ref="X8889">INDEX(X$6196:X$7062,MATCH($B8889&amp;$C8889,$B$6196:$B$7062&amp;$C$6196:$C$7062,0))</f>
        <v>1.4E-2</v>
      </c>
      <c r="Y8889" s="508">
        <f t="array" ref="Y8889">INDEX(Y$6196:Y$7062,MATCH($B8889&amp;$C8889,$B$6196:$B$7062&amp;$C$6196:$C$7062,0))</f>
        <v>1.4E-2</v>
      </c>
      <c r="Z8889" s="508">
        <f t="array" ref="Z8889">INDEX(Z$6196:Z$7062,MATCH($B8889&amp;$C8889,$B$6196:$B$7062&amp;$C$6196:$C$7062,0))</f>
        <v>1.4E-2</v>
      </c>
      <c r="AA8889" s="508">
        <f t="array" ref="AA8889">INDEX(AA$6196:AA$7062,MATCH($B8889&amp;$C8889,$B$6196:$B$7062&amp;$C$6196:$C$7062,0))</f>
        <v>1.4E-2</v>
      </c>
      <c r="AB8889" s="508">
        <f t="array" ref="AB8889">INDEX(AB$6196:AB$7062,MATCH($B8889&amp;$C8889,$B$6196:$B$7062&amp;$C$6196:$C$7062,0))</f>
        <v>1.4E-2</v>
      </c>
      <c r="AC8889" s="508">
        <f t="array" ref="AC8889">INDEX(AC$6196:AC$7062,MATCH($B8889&amp;$C8889,$B$6196:$B$7062&amp;$C$6196:$C$7062,0))</f>
        <v>1.4E-2</v>
      </c>
      <c r="AD8889" s="508">
        <f t="array" ref="AD8889">INDEX(AD$6196:AD$7062,MATCH($B8889&amp;$C8889,$B$6196:$B$7062&amp;$C$6196:$C$7062,0))</f>
        <v>1.4E-2</v>
      </c>
      <c r="AE8889" s="508">
        <f t="array" ref="AE8889">INDEX(AE$6196:AE$7062,MATCH($B8889&amp;$C8889,$B$6196:$B$7062&amp;$C$6196:$C$7062,0))</f>
        <v>1.4E-2</v>
      </c>
      <c r="AF8889" s="508">
        <f t="array" ref="AF8889">INDEX(AF$6196:AF$7062,MATCH($B8889&amp;$C8889,$B$6196:$B$7062&amp;$C$6196:$C$7062,0))</f>
        <v>1.4E-2</v>
      </c>
      <c r="AG8889" s="508">
        <f t="array" ref="AG8889">INDEX(AG$6196:AG$7062,MATCH($B8889&amp;$C8889,$B$6196:$B$7062&amp;$C$6196:$C$7062,0))</f>
        <v>1.4E-2</v>
      </c>
      <c r="AH8889" s="508">
        <f t="array" ref="AH8889">INDEX(AH$6196:AH$7062,MATCH($B8889&amp;$C8889,$B$6196:$B$7062&amp;$C$6196:$C$7062,0))</f>
        <v>1.4E-2</v>
      </c>
      <c r="AI8889" s="508">
        <f t="array" ref="AI8889">INDEX(AI$6196:AI$7062,MATCH($B8889&amp;$C8889,$B$6196:$B$7062&amp;$C$6196:$C$7062,0))</f>
        <v>1.4E-2</v>
      </c>
      <c r="AJ8889" s="508"/>
      <c r="AK8889" s="508">
        <f t="shared" si="186"/>
        <v>1.4E-2</v>
      </c>
      <c r="AL8889" s="508">
        <f t="shared" si="187"/>
        <v>1.4E-2</v>
      </c>
      <c r="AM8889" s="508">
        <f t="shared" si="187"/>
        <v>1.4E-2</v>
      </c>
      <c r="AN8889" s="508">
        <f t="shared" si="187"/>
        <v>1.4E-2</v>
      </c>
      <c r="AO8889" s="508">
        <f t="array" ref="AO8889">INDEX('GREET Fuel Attributes'!$E$8948:$E$9083,MATCH($C8889&amp;$D8889,'GREET Fuel Attributes'!$B$8948:$B$9083&amp;'GREET Fuel Attributes'!$C$8948:$C$9083,0))/INDEX('GREET Fuel Attributes'!$D$8948:$D$9083,MATCH($C8889&amp;$D8889,'GREET Fuel Attributes'!$B$8948:$B$9083&amp;'GREET Fuel Attributes'!$C$8948:$C$9083,0))*AI8889</f>
        <v>1.4E-2</v>
      </c>
      <c r="AP8889" s="132" t="s">
        <v>1388</v>
      </c>
      <c r="AQ8889" s="142" t="s">
        <v>306</v>
      </c>
    </row>
    <row r="8890" spans="2:43">
      <c r="B8890" s="136" t="str">
        <f t="shared" si="185"/>
        <v>ILLINOIS</v>
      </c>
      <c r="C8890" s="132" t="s">
        <v>1372</v>
      </c>
      <c r="D8890" s="132" t="s">
        <v>281</v>
      </c>
      <c r="E8890" s="508">
        <f t="array" ref="E8890">INDEX(E$7063:E$7929,MATCH($B8890&amp;$C8890,$B$7063:$B$7929&amp;$C$7063:$C$7929,0))</f>
        <v>4.093</v>
      </c>
      <c r="F8890" s="508">
        <f t="array" ref="F8890">INDEX(F$7063:F$7929,MATCH($B8890&amp;$C8890,$B$7063:$B$7929&amp;$C$7063:$C$7929,0))</f>
        <v>3.7789999999999999</v>
      </c>
      <c r="G8890" s="508">
        <f t="array" ref="G8890">INDEX(G$7063:G$7929,MATCH($B8890&amp;$C8890,$B$7063:$B$7929&amp;$C$7063:$C$7929,0))</f>
        <v>3.7650000000000001</v>
      </c>
      <c r="H8890" s="508">
        <f t="array" ref="H8890">INDEX(H$7063:H$7929,MATCH($B8890&amp;$C8890,$B$7063:$B$7929&amp;$C$7063:$C$7929,0))</f>
        <v>3.8210000000000002</v>
      </c>
      <c r="I8890" s="508">
        <f t="array" ref="I8890">INDEX(I$7063:I$7929,MATCH($B8890&amp;$C8890,$B$7063:$B$7929&amp;$C$7063:$C$7929,0))</f>
        <v>3.8210000000000002</v>
      </c>
      <c r="J8890" s="508">
        <f t="array" ref="J8890">INDEX(J$7063:J$7929,MATCH($B8890&amp;$C8890,$B$7063:$B$7929&amp;$C$7063:$C$7929,0))</f>
        <v>2.7330000000000001</v>
      </c>
      <c r="K8890" s="508">
        <f t="array" ref="K8890">INDEX(K$7063:K$7929,MATCH($B8890&amp;$C8890,$B$7063:$B$7929&amp;$C$7063:$C$7929,0))</f>
        <v>2.7330000000000001</v>
      </c>
      <c r="L8890" s="508">
        <f t="array" ref="L8890">INDEX(L$7063:L$7929,MATCH($B8890&amp;$C8890,$B$7063:$B$7929&amp;$C$7063:$C$7929,0))</f>
        <v>2.7309999999999999</v>
      </c>
      <c r="M8890" s="508">
        <f t="array" ref="M8890">INDEX(M$7063:M$7929,MATCH($B8890&amp;$C8890,$B$7063:$B$7929&amp;$C$7063:$C$7929,0))</f>
        <v>2.7330000000000001</v>
      </c>
      <c r="N8890" s="508">
        <f t="array" ref="N8890">INDEX(N$7063:N$7929,MATCH($B8890&amp;$C8890,$B$7063:$B$7929&amp;$C$7063:$C$7929,0))</f>
        <v>2.7530000000000001</v>
      </c>
      <c r="O8890" s="508">
        <f t="array" ref="O8890">INDEX(O$7063:O$7929,MATCH($B8890&amp;$C8890,$B$7063:$B$7929&amp;$C$7063:$C$7929,0))</f>
        <v>2.7530000000000001</v>
      </c>
      <c r="P8890" s="508">
        <f t="array" ref="P8890">INDEX(P$7063:P$7929,MATCH($B8890&amp;$C8890,$B$7063:$B$7929&amp;$C$7063:$C$7929,0))</f>
        <v>2.9039999999999999</v>
      </c>
      <c r="Q8890" s="508">
        <f t="array" ref="Q8890">INDEX(Q$7063:Q$7929,MATCH($B8890&amp;$C8890,$B$7063:$B$7929&amp;$C$7063:$C$7929,0))</f>
        <v>2.9289999999999998</v>
      </c>
      <c r="R8890" s="508">
        <f t="array" ref="R8890">INDEX(R$7063:R$7929,MATCH($B8890&amp;$C8890,$B$7063:$B$7929&amp;$C$7063:$C$7929,0))</f>
        <v>1.9079999999999999</v>
      </c>
      <c r="S8890" s="508">
        <f t="array" ref="S8890">INDEX(S$7063:S$7929,MATCH($B8890&amp;$C8890,$B$7063:$B$7929&amp;$C$7063:$C$7929,0))</f>
        <v>1.9119999999999999</v>
      </c>
      <c r="T8890" s="508">
        <f t="array" ref="T8890">INDEX(T$7063:T$7929,MATCH($B8890&amp;$C8890,$B$7063:$B$7929&amp;$C$7063:$C$7929,0))</f>
        <v>1.9159999999999999</v>
      </c>
      <c r="U8890" s="508">
        <f t="array" ref="U8890">INDEX(U$7063:U$7929,MATCH($B8890&amp;$C8890,$B$7063:$B$7929&amp;$C$7063:$C$7929,0))</f>
        <v>1.605</v>
      </c>
      <c r="V8890" s="508">
        <f t="array" ref="V8890">INDEX(V$7063:V$7929,MATCH($B8890&amp;$C8890,$B$7063:$B$7929&amp;$C$7063:$C$7929,0))</f>
        <v>1.605</v>
      </c>
      <c r="W8890" s="508">
        <f t="array" ref="W8890">INDEX(W$7063:W$7929,MATCH($B8890&amp;$C8890,$B$7063:$B$7929&amp;$C$7063:$C$7929,0))</f>
        <v>1.605</v>
      </c>
      <c r="X8890" s="508">
        <f t="array" ref="X8890">INDEX(X$7063:X$7929,MATCH($B8890&amp;$C8890,$B$7063:$B$7929&amp;$C$7063:$C$7929,0))</f>
        <v>1.6060000000000001</v>
      </c>
      <c r="Y8890" s="508">
        <f t="array" ref="Y8890">INDEX(Y$7063:Y$7929,MATCH($B8890&amp;$C8890,$B$7063:$B$7929&amp;$C$7063:$C$7929,0))</f>
        <v>1.1539999999999999</v>
      </c>
      <c r="Z8890" s="508">
        <f t="array" ref="Z8890">INDEX(Z$7063:Z$7929,MATCH($B8890&amp;$C8890,$B$7063:$B$7929&amp;$C$7063:$C$7929,0))</f>
        <v>1.1060000000000001</v>
      </c>
      <c r="AA8890" s="508">
        <f t="array" ref="AA8890">INDEX(AA$7063:AA$7929,MATCH($B8890&amp;$C8890,$B$7063:$B$7929&amp;$C$7063:$C$7929,0))</f>
        <v>1.1060000000000001</v>
      </c>
      <c r="AB8890" s="508">
        <f t="array" ref="AB8890">INDEX(AB$7063:AB$7929,MATCH($B8890&amp;$C8890,$B$7063:$B$7929&amp;$C$7063:$C$7929,0))</f>
        <v>0.35399999999999998</v>
      </c>
      <c r="AC8890" s="508">
        <f t="array" ref="AC8890">INDEX(AC$7063:AC$7929,MATCH($B8890&amp;$C8890,$B$7063:$B$7929&amp;$C$7063:$C$7929,0))</f>
        <v>0.35399999999999998</v>
      </c>
      <c r="AD8890" s="508">
        <f t="array" ref="AD8890">INDEX(AD$7063:AD$7929,MATCH($B8890&amp;$C8890,$B$7063:$B$7929&amp;$C$7063:$C$7929,0))</f>
        <v>0.17100000000000001</v>
      </c>
      <c r="AE8890" s="508">
        <f t="array" ref="AE8890">INDEX(AE$7063:AE$7929,MATCH($B8890&amp;$C8890,$B$7063:$B$7929&amp;$C$7063:$C$7929,0))</f>
        <v>0.161</v>
      </c>
      <c r="AF8890" s="508">
        <f t="array" ref="AF8890">INDEX(AF$7063:AF$7929,MATCH($B8890&amp;$C8890,$B$7063:$B$7929&amp;$C$7063:$C$7929,0))</f>
        <v>0.14599999999999999</v>
      </c>
      <c r="AG8890" s="508">
        <f t="array" ref="AG8890">INDEX(AG$7063:AG$7929,MATCH($B8890&amp;$C8890,$B$7063:$B$7929&amp;$C$7063:$C$7929,0))</f>
        <v>0.14000000000000001</v>
      </c>
      <c r="AH8890" s="508">
        <f t="array" ref="AH8890">INDEX(AH$7063:AH$7929,MATCH($B8890&amp;$C8890,$B$7063:$B$7929&amp;$C$7063:$C$7929,0))</f>
        <v>0.14000000000000001</v>
      </c>
      <c r="AI8890" s="508">
        <f t="array" ref="AI8890">INDEX(AI$7063:AI$7929,MATCH($B8890&amp;$C8890,$B$7063:$B$7929&amp;$C$7063:$C$7929,0))</f>
        <v>0.14000000000000001</v>
      </c>
      <c r="AJ8890" s="508"/>
      <c r="AK8890" s="508">
        <f t="shared" si="186"/>
        <v>0.14000000000000001</v>
      </c>
      <c r="AL8890" s="508">
        <f t="shared" si="187"/>
        <v>0.14000000000000001</v>
      </c>
      <c r="AM8890" s="508">
        <f t="shared" si="187"/>
        <v>0.14000000000000001</v>
      </c>
      <c r="AN8890" s="508">
        <f t="shared" si="187"/>
        <v>0.14000000000000001</v>
      </c>
      <c r="AO8890" s="508">
        <f t="array" ref="AO8890">INDEX('GREET Fuel Attributes'!$E$8948:$E$9083,MATCH($C8890&amp;$D8890,'GREET Fuel Attributes'!$B$8948:$B$9083&amp;'GREET Fuel Attributes'!$C$8948:$C$9083,0))/INDEX('GREET Fuel Attributes'!$D$8948:$D$9083,MATCH($C8890&amp;$D8890,'GREET Fuel Attributes'!$B$8948:$B$9083&amp;'GREET Fuel Attributes'!$C$8948:$C$9083,0))*AI8890</f>
        <v>0.14000000000000001</v>
      </c>
      <c r="AP8890" s="132" t="s">
        <v>1388</v>
      </c>
      <c r="AQ8890" s="142" t="s">
        <v>306</v>
      </c>
    </row>
    <row r="8891" spans="2:43">
      <c r="B8891" s="136" t="str">
        <f t="shared" si="185"/>
        <v>ILLINOIS</v>
      </c>
      <c r="C8891" s="132" t="s">
        <v>1372</v>
      </c>
      <c r="D8891" s="132" t="s">
        <v>1384</v>
      </c>
      <c r="E8891" s="508">
        <f t="array" ref="E8891">INDEX(E$7930:E$8796,MATCH($B8891&amp;$C8891,$B$7930:$B$8796&amp;$C$7930:$C$8796,0))</f>
        <v>1.33</v>
      </c>
      <c r="F8891" s="508">
        <f t="array" ref="F8891">INDEX(F$7930:F$8796,MATCH($B8891&amp;$C8891,$B$7930:$B$8796&amp;$C$7930:$C$8796,0))</f>
        <v>0.68200000000000005</v>
      </c>
      <c r="G8891" s="508">
        <f t="array" ref="G8891">INDEX(G$7930:G$8796,MATCH($B8891&amp;$C8891,$B$7930:$B$8796&amp;$C$7930:$C$8796,0))</f>
        <v>0.50700000000000001</v>
      </c>
      <c r="H8891" s="508">
        <f t="array" ref="H8891">INDEX(H$7930:H$8796,MATCH($B8891&amp;$C8891,$B$7930:$B$8796&amp;$C$7930:$C$8796,0))</f>
        <v>0.46700000000000003</v>
      </c>
      <c r="I8891" s="508">
        <f t="array" ref="I8891">INDEX(I$7930:I$8796,MATCH($B8891&amp;$C8891,$B$7930:$B$8796&amp;$C$7930:$C$8796,0))</f>
        <v>0.41699999999999998</v>
      </c>
      <c r="J8891" s="508">
        <f t="array" ref="J8891">INDEX(J$7930:J$8796,MATCH($B8891&amp;$C8891,$B$7930:$B$8796&amp;$C$7930:$C$8796,0))</f>
        <v>0.19900000000000001</v>
      </c>
      <c r="K8891" s="508">
        <f t="array" ref="K8891">INDEX(K$7930:K$8796,MATCH($B8891&amp;$C8891,$B$7930:$B$8796&amp;$C$7930:$C$8796,0))</f>
        <v>0.13800000000000001</v>
      </c>
      <c r="L8891" s="508">
        <f t="array" ref="L8891">INDEX(L$7930:L$8796,MATCH($B8891&amp;$C8891,$B$7930:$B$8796&amp;$C$7930:$C$8796,0))</f>
        <v>1.4E-2</v>
      </c>
      <c r="M8891" s="508">
        <f t="array" ref="M8891">INDEX(M$7930:M$8796,MATCH($B8891&amp;$C8891,$B$7930:$B$8796&amp;$C$7930:$C$8796,0))</f>
        <v>0.192</v>
      </c>
      <c r="N8891" s="508">
        <f t="array" ref="N8891">INDEX(N$7930:N$8796,MATCH($B8891&amp;$C8891,$B$7930:$B$8796&amp;$C$7930:$C$8796,0))</f>
        <v>0.24299999999999999</v>
      </c>
      <c r="O8891" s="508">
        <f t="array" ref="O8891">INDEX(O$7930:O$8796,MATCH($B8891&amp;$C8891,$B$7930:$B$8796&amp;$C$7930:$C$8796,0))</f>
        <v>0.18099999999999999</v>
      </c>
      <c r="P8891" s="508">
        <f t="array" ref="P8891">INDEX(P$7930:P$8796,MATCH($B8891&amp;$C8891,$B$7930:$B$8796&amp;$C$7930:$C$8796,0))</f>
        <v>3.1E-2</v>
      </c>
      <c r="Q8891" s="508">
        <f t="array" ref="Q8891">INDEX(Q$7930:Q$8796,MATCH($B8891&amp;$C8891,$B$7930:$B$8796&amp;$C$7930:$C$8796,0))</f>
        <v>7.0000000000000001E-3</v>
      </c>
      <c r="R8891" s="508">
        <f t="array" ref="R8891">INDEX(R$7930:R$8796,MATCH($B8891&amp;$C8891,$B$7930:$B$8796&amp;$C$7930:$C$8796,0))</f>
        <v>6.0000000000000001E-3</v>
      </c>
      <c r="S8891" s="508">
        <f t="array" ref="S8891">INDEX(S$7930:S$8796,MATCH($B8891&amp;$C8891,$B$7930:$B$8796&amp;$C$7930:$C$8796,0))</f>
        <v>6.0000000000000001E-3</v>
      </c>
      <c r="T8891" s="508">
        <f t="array" ref="T8891">INDEX(T$7930:T$8796,MATCH($B8891&amp;$C8891,$B$7930:$B$8796&amp;$C$7930:$C$8796,0))</f>
        <v>6.0000000000000001E-3</v>
      </c>
      <c r="U8891" s="508">
        <f t="array" ref="U8891">INDEX(U$7930:U$8796,MATCH($B8891&amp;$C8891,$B$7930:$B$8796&amp;$C$7930:$C$8796,0))</f>
        <v>6.0000000000000001E-3</v>
      </c>
      <c r="V8891" s="508">
        <f t="array" ref="V8891">INDEX(V$7930:V$8796,MATCH($B8891&amp;$C8891,$B$7930:$B$8796&amp;$C$7930:$C$8796,0))</f>
        <v>6.0000000000000001E-3</v>
      </c>
      <c r="W8891" s="508">
        <f t="array" ref="W8891">INDEX(W$7930:W$8796,MATCH($B8891&amp;$C8891,$B$7930:$B$8796&amp;$C$7930:$C$8796,0))</f>
        <v>6.0000000000000001E-3</v>
      </c>
      <c r="X8891" s="508">
        <f t="array" ref="X8891">INDEX(X$7930:X$8796,MATCH($B8891&amp;$C8891,$B$7930:$B$8796&amp;$C$7930:$C$8796,0))</f>
        <v>5.0000000000000001E-3</v>
      </c>
      <c r="Y8891" s="508">
        <f t="array" ref="Y8891">INDEX(Y$7930:Y$8796,MATCH($B8891&amp;$C8891,$B$7930:$B$8796&amp;$C$7930:$C$8796,0))</f>
        <v>5.0000000000000001E-3</v>
      </c>
      <c r="Z8891" s="508">
        <f t="array" ref="Z8891">INDEX(Z$7930:Z$8796,MATCH($B8891&amp;$C8891,$B$7930:$B$8796&amp;$C$7930:$C$8796,0))</f>
        <v>5.0000000000000001E-3</v>
      </c>
      <c r="AA8891" s="508">
        <f t="array" ref="AA8891">INDEX(AA$7930:AA$8796,MATCH($B8891&amp;$C8891,$B$7930:$B$8796&amp;$C$7930:$C$8796,0))</f>
        <v>5.0000000000000001E-3</v>
      </c>
      <c r="AB8891" s="508">
        <f t="array" ref="AB8891">INDEX(AB$7930:AB$8796,MATCH($B8891&amp;$C8891,$B$7930:$B$8796&amp;$C$7930:$C$8796,0))</f>
        <v>5.0000000000000001E-3</v>
      </c>
      <c r="AC8891" s="508">
        <f t="array" ref="AC8891">INDEX(AC$7930:AC$8796,MATCH($B8891&amp;$C8891,$B$7930:$B$8796&amp;$C$7930:$C$8796,0))</f>
        <v>5.0000000000000001E-3</v>
      </c>
      <c r="AD8891" s="508">
        <f t="array" ref="AD8891">INDEX(AD$7930:AD$8796,MATCH($B8891&amp;$C8891,$B$7930:$B$8796&amp;$C$7930:$C$8796,0))</f>
        <v>5.0000000000000001E-3</v>
      </c>
      <c r="AE8891" s="508">
        <f t="array" ref="AE8891">INDEX(AE$7930:AE$8796,MATCH($B8891&amp;$C8891,$B$7930:$B$8796&amp;$C$7930:$C$8796,0))</f>
        <v>5.0000000000000001E-3</v>
      </c>
      <c r="AF8891" s="508">
        <f t="array" ref="AF8891">INDEX(AF$7930:AF$8796,MATCH($B8891&amp;$C8891,$B$7930:$B$8796&amp;$C$7930:$C$8796,0))</f>
        <v>5.0000000000000001E-3</v>
      </c>
      <c r="AG8891" s="508">
        <f t="array" ref="AG8891">INDEX(AG$7930:AG$8796,MATCH($B8891&amp;$C8891,$B$7930:$B$8796&amp;$C$7930:$C$8796,0))</f>
        <v>5.0000000000000001E-3</v>
      </c>
      <c r="AH8891" s="508">
        <f t="array" ref="AH8891">INDEX(AH$7930:AH$8796,MATCH($B8891&amp;$C8891,$B$7930:$B$8796&amp;$C$7930:$C$8796,0))</f>
        <v>5.0000000000000001E-3</v>
      </c>
      <c r="AI8891" s="508">
        <f t="array" ref="AI8891">INDEX(AI$7930:AI$8796,MATCH($B8891&amp;$C8891,$B$7930:$B$8796&amp;$C$7930:$C$8796,0))</f>
        <v>5.0000000000000001E-3</v>
      </c>
      <c r="AJ8891" s="508"/>
      <c r="AK8891" s="508">
        <f t="shared" si="186"/>
        <v>5.0000000000000001E-3</v>
      </c>
      <c r="AL8891" s="508">
        <f t="shared" si="187"/>
        <v>5.0000000000000001E-3</v>
      </c>
      <c r="AM8891" s="508">
        <f t="shared" si="187"/>
        <v>5.0000000000000001E-3</v>
      </c>
      <c r="AN8891" s="508">
        <f t="shared" si="187"/>
        <v>5.0000000000000001E-3</v>
      </c>
      <c r="AO8891" s="508">
        <f t="array" ref="AO8891">INDEX('GREET Fuel Attributes'!$E$8948:$E$9083,MATCH($C8891&amp;$D8891,'GREET Fuel Attributes'!$B$8948:$B$9083&amp;'GREET Fuel Attributes'!$C$8948:$C$9083,0))/INDEX('GREET Fuel Attributes'!$D$8948:$D$9083,MATCH($C8891&amp;$D8891,'GREET Fuel Attributes'!$B$8948:$B$9083&amp;'GREET Fuel Attributes'!$C$8948:$C$9083,0))*AI8891</f>
        <v>5.0000000000000001E-3</v>
      </c>
      <c r="AP8891" s="132" t="s">
        <v>1388</v>
      </c>
      <c r="AQ8891" s="142" t="s">
        <v>306</v>
      </c>
    </row>
    <row r="8892" spans="2:43">
      <c r="B8892" s="136" t="str">
        <f t="shared" si="185"/>
        <v>ILLINOIS</v>
      </c>
      <c r="C8892" s="132" t="s">
        <v>1373</v>
      </c>
      <c r="D8892" s="132" t="s">
        <v>282</v>
      </c>
      <c r="E8892" s="508">
        <f t="array" ref="E8892">INDEX(E$1861:E$2727,MATCH($B8892&amp;$C8892,$B$1861:$B$2727&amp;$C$1861:$C$2727,0))</f>
        <v>6.6879999999999997</v>
      </c>
      <c r="F8892" s="508">
        <f t="array" ref="F8892">INDEX(F$1861:F$2727,MATCH($B8892&amp;$C8892,$B$1861:$B$2727&amp;$C$1861:$C$2727,0))</f>
        <v>6.3369999999999997</v>
      </c>
      <c r="G8892" s="508">
        <f t="array" ref="G8892">INDEX(G$1861:G$2727,MATCH($B8892&amp;$C8892,$B$1861:$B$2727&amp;$C$1861:$C$2727,0))</f>
        <v>6.5789999999999997</v>
      </c>
      <c r="H8892" s="508">
        <f t="array" ref="H8892">INDEX(H$1861:H$2727,MATCH($B8892&amp;$C8892,$B$1861:$B$2727&amp;$C$1861:$C$2727,0))</f>
        <v>5.9130000000000003</v>
      </c>
      <c r="I8892" s="508">
        <f t="array" ref="I8892">INDEX(I$1861:I$2727,MATCH($B8892&amp;$C8892,$B$1861:$B$2727&amp;$C$1861:$C$2727,0))</f>
        <v>4.8959999999999999</v>
      </c>
      <c r="J8892" s="508">
        <f t="array" ref="J8892">INDEX(J$1861:J$2727,MATCH($B8892&amp;$C8892,$B$1861:$B$2727&amp;$C$1861:$C$2727,0))</f>
        <v>5.2370000000000001</v>
      </c>
      <c r="K8892" s="508">
        <f t="array" ref="K8892">INDEX(K$1861:K$2727,MATCH($B8892&amp;$C8892,$B$1861:$B$2727&amp;$C$1861:$C$2727,0))</f>
        <v>4.8540000000000001</v>
      </c>
      <c r="L8892" s="508">
        <f t="array" ref="L8892">INDEX(L$1861:L$2727,MATCH($B8892&amp;$C8892,$B$1861:$B$2727&amp;$C$1861:$C$2727,0))</f>
        <v>5.1689999999999996</v>
      </c>
      <c r="M8892" s="508">
        <f t="array" ref="M8892">INDEX(M$1861:M$2727,MATCH($B8892&amp;$C8892,$B$1861:$B$2727&amp;$C$1861:$C$2727,0))</f>
        <v>4.82</v>
      </c>
      <c r="N8892" s="508">
        <f t="array" ref="N8892">INDEX(N$1861:N$2727,MATCH($B8892&amp;$C8892,$B$1861:$B$2727&amp;$C$1861:$C$2727,0))</f>
        <v>5</v>
      </c>
      <c r="O8892" s="508">
        <f t="array" ref="O8892">INDEX(O$1861:O$2727,MATCH($B8892&amp;$C8892,$B$1861:$B$2727&amp;$C$1861:$C$2727,0))</f>
        <v>5.3810000000000002</v>
      </c>
      <c r="P8892" s="508">
        <f t="array" ref="P8892">INDEX(P$1861:P$2727,MATCH($B8892&amp;$C8892,$B$1861:$B$2727&amp;$C$1861:$C$2727,0))</f>
        <v>5.4320000000000004</v>
      </c>
      <c r="Q8892" s="508">
        <f t="array" ref="Q8892">INDEX(Q$1861:Q$2727,MATCH($B8892&amp;$C8892,$B$1861:$B$2727&amp;$C$1861:$C$2727,0))</f>
        <v>5.5359999999999996</v>
      </c>
      <c r="R8892" s="508">
        <f t="array" ref="R8892">INDEX(R$1861:R$2727,MATCH($B8892&amp;$C8892,$B$1861:$B$2727&amp;$C$1861:$C$2727,0))</f>
        <v>5.1820000000000004</v>
      </c>
      <c r="S8892" s="508">
        <f t="array" ref="S8892">INDEX(S$1861:S$2727,MATCH($B8892&amp;$C8892,$B$1861:$B$2727&amp;$C$1861:$C$2727,0))</f>
        <v>4.8869999999999996</v>
      </c>
      <c r="T8892" s="508">
        <f t="array" ref="T8892">INDEX(T$1861:T$2727,MATCH($B8892&amp;$C8892,$B$1861:$B$2727&amp;$C$1861:$C$2727,0))</f>
        <v>4.9109999999999996</v>
      </c>
      <c r="U8892" s="508">
        <f t="array" ref="U8892">INDEX(U$1861:U$2727,MATCH($B8892&amp;$C8892,$B$1861:$B$2727&amp;$C$1861:$C$2727,0))</f>
        <v>4.71</v>
      </c>
      <c r="V8892" s="508">
        <f t="array" ref="V8892">INDEX(V$1861:V$2727,MATCH($B8892&amp;$C8892,$B$1861:$B$2727&amp;$C$1861:$C$2727,0))</f>
        <v>4.7149999999999999</v>
      </c>
      <c r="W8892" s="508">
        <f t="array" ref="W8892">INDEX(W$1861:W$2727,MATCH($B8892&amp;$C8892,$B$1861:$B$2727&amp;$C$1861:$C$2727,0))</f>
        <v>3.4380000000000002</v>
      </c>
      <c r="X8892" s="508">
        <f t="array" ref="X8892">INDEX(X$1861:X$2727,MATCH($B8892&amp;$C8892,$B$1861:$B$2727&amp;$C$1861:$C$2727,0))</f>
        <v>3.4460000000000002</v>
      </c>
      <c r="Y8892" s="508">
        <f t="array" ref="Y8892">INDEX(Y$1861:Y$2727,MATCH($B8892&amp;$C8892,$B$1861:$B$2727&amp;$C$1861:$C$2727,0))</f>
        <v>3.407</v>
      </c>
      <c r="Z8892" s="508">
        <f t="array" ref="Z8892">INDEX(Z$1861:Z$2727,MATCH($B8892&amp;$C8892,$B$1861:$B$2727&amp;$C$1861:$C$2727,0))</f>
        <v>3.367</v>
      </c>
      <c r="AA8892" s="508">
        <f t="array" ref="AA8892">INDEX(AA$1861:AA$2727,MATCH($B8892&amp;$C8892,$B$1861:$B$2727&amp;$C$1861:$C$2727,0))</f>
        <v>0.88900000000000001</v>
      </c>
      <c r="AB8892" s="508">
        <f t="array" ref="AB8892">INDEX(AB$1861:AB$2727,MATCH($B8892&amp;$C8892,$B$1861:$B$2727&amp;$C$1861:$C$2727,0))</f>
        <v>0.80500000000000005</v>
      </c>
      <c r="AC8892" s="508">
        <f t="array" ref="AC8892">INDEX(AC$1861:AC$2727,MATCH($B8892&amp;$C8892,$B$1861:$B$2727&amp;$C$1861:$C$2727,0))</f>
        <v>0.83499999999999996</v>
      </c>
      <c r="AD8892" s="508">
        <f t="array" ref="AD8892">INDEX(AD$1861:AD$2727,MATCH($B8892&amp;$C8892,$B$1861:$B$2727&amp;$C$1861:$C$2727,0))</f>
        <v>0.55100000000000005</v>
      </c>
      <c r="AE8892" s="508">
        <f t="array" ref="AE8892">INDEX(AE$1861:AE$2727,MATCH($B8892&amp;$C8892,$B$1861:$B$2727&amp;$C$1861:$C$2727,0))</f>
        <v>0.52600000000000002</v>
      </c>
      <c r="AF8892" s="508">
        <f t="array" ref="AF8892">INDEX(AF$1861:AF$2727,MATCH($B8892&amp;$C8892,$B$1861:$B$2727&amp;$C$1861:$C$2727,0))</f>
        <v>0.44900000000000001</v>
      </c>
      <c r="AG8892" s="508">
        <f t="array" ref="AG8892">INDEX(AG$1861:AG$2727,MATCH($B8892&amp;$C8892,$B$1861:$B$2727&amp;$C$1861:$C$2727,0))</f>
        <v>0.44700000000000001</v>
      </c>
      <c r="AH8892" s="508">
        <f t="array" ref="AH8892">INDEX(AH$1861:AH$2727,MATCH($B8892&amp;$C8892,$B$1861:$B$2727&amp;$C$1861:$C$2727,0))</f>
        <v>0.44700000000000001</v>
      </c>
      <c r="AI8892" s="508">
        <f t="array" ref="AI8892">INDEX(AI$1861:AI$2727,MATCH($B8892&amp;$C8892,$B$1861:$B$2727&amp;$C$1861:$C$2727,0))</f>
        <v>0.44700000000000001</v>
      </c>
      <c r="AJ8892" s="508"/>
      <c r="AK8892" s="508">
        <f t="shared" si="186"/>
        <v>0.44899553571428574</v>
      </c>
      <c r="AL8892" s="508">
        <f t="shared" si="187"/>
        <v>0.45099107142857148</v>
      </c>
      <c r="AM8892" s="508">
        <f t="shared" si="187"/>
        <v>0.45298660714285721</v>
      </c>
      <c r="AN8892" s="508">
        <f t="shared" si="187"/>
        <v>0.45498214285714295</v>
      </c>
      <c r="AO8892" s="508">
        <f t="array" ref="AO8892">INDEX('GREET Fuel Attributes'!$E$8948:$E$9083,MATCH($C8892&amp;$D8892,'GREET Fuel Attributes'!$B$8948:$B$9083&amp;'GREET Fuel Attributes'!$C$8948:$C$9083,0))/INDEX('GREET Fuel Attributes'!$D$8948:$D$9083,MATCH($C8892&amp;$D8892,'GREET Fuel Attributes'!$B$8948:$B$9083&amp;'GREET Fuel Attributes'!$C$8948:$C$9083,0))*AI8892</f>
        <v>0.45697767857142857</v>
      </c>
      <c r="AP8892" s="132" t="s">
        <v>1387</v>
      </c>
      <c r="AQ8892" s="142" t="s">
        <v>311</v>
      </c>
    </row>
    <row r="8893" spans="2:43">
      <c r="B8893" s="136" t="str">
        <f t="shared" si="185"/>
        <v>ILLINOIS</v>
      </c>
      <c r="C8893" s="132" t="s">
        <v>1373</v>
      </c>
      <c r="D8893" s="132" t="s">
        <v>283</v>
      </c>
      <c r="E8893" s="508">
        <f t="array" ref="E8893">INDEX(E$2728:E$3594,MATCH($B8893&amp;$C8893,$B$2728:$B$3594&amp;$C$2728:$C$3594,0))</f>
        <v>20.187999999999999</v>
      </c>
      <c r="F8893" s="508">
        <f t="array" ref="F8893">INDEX(F$2728:F$3594,MATCH($B8893&amp;$C8893,$B$2728:$B$3594&amp;$C$2728:$C$3594,0))</f>
        <v>20.209</v>
      </c>
      <c r="G8893" s="508">
        <f t="array" ref="G8893">INDEX(G$2728:G$3594,MATCH($B8893&amp;$C8893,$B$2728:$B$3594&amp;$C$2728:$C$3594,0))</f>
        <v>20.131</v>
      </c>
      <c r="H8893" s="508">
        <f t="array" ref="H8893">INDEX(H$2728:H$3594,MATCH($B8893&amp;$C8893,$B$2728:$B$3594&amp;$C$2728:$C$3594,0))</f>
        <v>20.192</v>
      </c>
      <c r="I8893" s="508">
        <f t="array" ref="I8893">INDEX(I$2728:I$3594,MATCH($B8893&amp;$C8893,$B$2728:$B$3594&amp;$C$2728:$C$3594,0))</f>
        <v>20.375</v>
      </c>
      <c r="J8893" s="508">
        <f t="array" ref="J8893">INDEX(J$2728:J$3594,MATCH($B8893&amp;$C8893,$B$2728:$B$3594&amp;$C$2728:$C$3594,0))</f>
        <v>15.715</v>
      </c>
      <c r="K8893" s="508">
        <f t="array" ref="K8893">INDEX(K$2728:K$3594,MATCH($B8893&amp;$C8893,$B$2728:$B$3594&amp;$C$2728:$C$3594,0))</f>
        <v>14.596</v>
      </c>
      <c r="L8893" s="508">
        <f t="array" ref="L8893">INDEX(L$2728:L$3594,MATCH($B8893&amp;$C8893,$B$2728:$B$3594&amp;$C$2728:$C$3594,0))</f>
        <v>14.532</v>
      </c>
      <c r="M8893" s="508">
        <f t="array" ref="M8893">INDEX(M$2728:M$3594,MATCH($B8893&amp;$C8893,$B$2728:$B$3594&amp;$C$2728:$C$3594,0))</f>
        <v>14.579000000000001</v>
      </c>
      <c r="N8893" s="508">
        <f t="array" ref="N8893">INDEX(N$2728:N$3594,MATCH($B8893&amp;$C8893,$B$2728:$B$3594&amp;$C$2728:$C$3594,0))</f>
        <v>14.536</v>
      </c>
      <c r="O8893" s="508">
        <f t="array" ref="O8893">INDEX(O$2728:O$3594,MATCH($B8893&amp;$C8893,$B$2728:$B$3594&amp;$C$2728:$C$3594,0))</f>
        <v>14.45</v>
      </c>
      <c r="P8893" s="508">
        <f t="array" ref="P8893">INDEX(P$2728:P$3594,MATCH($B8893&amp;$C8893,$B$2728:$B$3594&amp;$C$2728:$C$3594,0))</f>
        <v>14.5</v>
      </c>
      <c r="Q8893" s="508">
        <f t="array" ref="Q8893">INDEX(Q$2728:Q$3594,MATCH($B8893&amp;$C8893,$B$2728:$B$3594&amp;$C$2728:$C$3594,0))</f>
        <v>14.471</v>
      </c>
      <c r="R8893" s="508">
        <f t="array" ref="R8893">INDEX(R$2728:R$3594,MATCH($B8893&amp;$C8893,$B$2728:$B$3594&amp;$C$2728:$C$3594,0))</f>
        <v>13.227</v>
      </c>
      <c r="S8893" s="508">
        <f t="array" ref="S8893">INDEX(S$2728:S$3594,MATCH($B8893&amp;$C8893,$B$2728:$B$3594&amp;$C$2728:$C$3594,0))</f>
        <v>7.9050000000000002</v>
      </c>
      <c r="T8893" s="508">
        <f t="array" ref="T8893">INDEX(T$2728:T$3594,MATCH($B8893&amp;$C8893,$B$2728:$B$3594&amp;$C$2728:$C$3594,0))</f>
        <v>8.2769999999999992</v>
      </c>
      <c r="U8893" s="508">
        <f t="array" ref="U8893">INDEX(U$2728:U$3594,MATCH($B8893&amp;$C8893,$B$2728:$B$3594&amp;$C$2728:$C$3594,0))</f>
        <v>7.9930000000000003</v>
      </c>
      <c r="V8893" s="508">
        <f t="array" ref="V8893">INDEX(V$2728:V$3594,MATCH($B8893&amp;$C8893,$B$2728:$B$3594&amp;$C$2728:$C$3594,0))</f>
        <v>8.1340000000000003</v>
      </c>
      <c r="W8893" s="508">
        <f t="array" ref="W8893">INDEX(W$2728:W$3594,MATCH($B8893&amp;$C8893,$B$2728:$B$3594&amp;$C$2728:$C$3594,0))</f>
        <v>6.492</v>
      </c>
      <c r="X8893" s="508">
        <f t="array" ref="X8893">INDEX(X$2728:X$3594,MATCH($B8893&amp;$C8893,$B$2728:$B$3594&amp;$C$2728:$C$3594,0))</f>
        <v>6.4960000000000004</v>
      </c>
      <c r="Y8893" s="508">
        <f t="array" ref="Y8893">INDEX(Y$2728:Y$3594,MATCH($B8893&amp;$C8893,$B$2728:$B$3594&amp;$C$2728:$C$3594,0))</f>
        <v>6.4690000000000003</v>
      </c>
      <c r="Z8893" s="508">
        <f t="array" ref="Z8893">INDEX(Z$2728:Z$3594,MATCH($B8893&amp;$C8893,$B$2728:$B$3594&amp;$C$2728:$C$3594,0))</f>
        <v>6.4710000000000001</v>
      </c>
      <c r="AA8893" s="508">
        <f t="array" ref="AA8893">INDEX(AA$2728:AA$3594,MATCH($B8893&amp;$C8893,$B$2728:$B$3594&amp;$C$2728:$C$3594,0))</f>
        <v>3.8740000000000001</v>
      </c>
      <c r="AB8893" s="508">
        <f t="array" ref="AB8893">INDEX(AB$2728:AB$3594,MATCH($B8893&amp;$C8893,$B$2728:$B$3594&amp;$C$2728:$C$3594,0))</f>
        <v>3.5840000000000001</v>
      </c>
      <c r="AC8893" s="508">
        <f t="array" ref="AC8893">INDEX(AC$2728:AC$3594,MATCH($B8893&amp;$C8893,$B$2728:$B$3594&amp;$C$2728:$C$3594,0))</f>
        <v>3.9620000000000002</v>
      </c>
      <c r="AD8893" s="508">
        <f t="array" ref="AD8893">INDEX(AD$2728:AD$3594,MATCH($B8893&amp;$C8893,$B$2728:$B$3594&amp;$C$2728:$C$3594,0))</f>
        <v>1.1060000000000001</v>
      </c>
      <c r="AE8893" s="508">
        <f t="array" ref="AE8893">INDEX(AE$2728:AE$3594,MATCH($B8893&amp;$C8893,$B$2728:$B$3594&amp;$C$2728:$C$3594,0))</f>
        <v>1.1040000000000001</v>
      </c>
      <c r="AF8893" s="508">
        <f t="array" ref="AF8893">INDEX(AF$2728:AF$3594,MATCH($B8893&amp;$C8893,$B$2728:$B$3594&amp;$C$2728:$C$3594,0))</f>
        <v>0.70699999999999996</v>
      </c>
      <c r="AG8893" s="508">
        <f t="array" ref="AG8893">INDEX(AG$2728:AG$3594,MATCH($B8893&amp;$C8893,$B$2728:$B$3594&amp;$C$2728:$C$3594,0))</f>
        <v>0.69599999999999995</v>
      </c>
      <c r="AH8893" s="508">
        <f t="array" ref="AH8893">INDEX(AH$2728:AH$3594,MATCH($B8893&amp;$C8893,$B$2728:$B$3594&amp;$C$2728:$C$3594,0))</f>
        <v>0.69399999999999995</v>
      </c>
      <c r="AI8893" s="508">
        <f t="array" ref="AI8893">INDEX(AI$2728:AI$3594,MATCH($B8893&amp;$C8893,$B$2728:$B$3594&amp;$C$2728:$C$3594,0))</f>
        <v>0.69399999999999995</v>
      </c>
      <c r="AJ8893" s="508"/>
      <c r="AK8893" s="508">
        <f t="shared" si="186"/>
        <v>0.69416885644768855</v>
      </c>
      <c r="AL8893" s="508">
        <f t="shared" si="187"/>
        <v>0.69433771289537716</v>
      </c>
      <c r="AM8893" s="508">
        <f t="shared" si="187"/>
        <v>0.69450656934306576</v>
      </c>
      <c r="AN8893" s="508">
        <f t="shared" si="187"/>
        <v>0.69467542579075436</v>
      </c>
      <c r="AO8893" s="508">
        <f t="array" ref="AO8893">INDEX('GREET Fuel Attributes'!$E$8948:$E$9083,MATCH($C8893&amp;$D8893,'GREET Fuel Attributes'!$B$8948:$B$9083&amp;'GREET Fuel Attributes'!$C$8948:$C$9083,0))/INDEX('GREET Fuel Attributes'!$D$8948:$D$9083,MATCH($C8893&amp;$D8893,'GREET Fuel Attributes'!$B$8948:$B$9083&amp;'GREET Fuel Attributes'!$C$8948:$C$9083,0))*AI8893</f>
        <v>0.69484428223844286</v>
      </c>
      <c r="AP8893" s="132" t="s">
        <v>1387</v>
      </c>
      <c r="AQ8893" s="142" t="s">
        <v>311</v>
      </c>
    </row>
    <row r="8894" spans="2:43">
      <c r="B8894" s="136" t="str">
        <f t="shared" si="185"/>
        <v>ILLINOIS</v>
      </c>
      <c r="C8894" s="132" t="s">
        <v>1373</v>
      </c>
      <c r="D8894" s="132" t="s">
        <v>284</v>
      </c>
      <c r="E8894" s="508">
        <f t="array" ref="E8894">INDEX(E$3595:E$4461,MATCH($B8894&amp;$C8894,$B$3595:$B$4461&amp;$C$3595:$C$4461,0))</f>
        <v>2.1259999999999999</v>
      </c>
      <c r="F8894" s="508">
        <f t="array" ref="F8894">INDEX(F$3595:F$4461,MATCH($B8894&amp;$C8894,$B$3595:$B$4461&amp;$C$3595:$C$4461,0))</f>
        <v>2.0569999999999999</v>
      </c>
      <c r="G8894" s="508">
        <f t="array" ref="G8894">INDEX(G$3595:G$4461,MATCH($B8894&amp;$C8894,$B$3595:$B$4461&amp;$C$3595:$C$4461,0))</f>
        <v>2.1749999999999998</v>
      </c>
      <c r="H8894" s="508">
        <f t="array" ref="H8894">INDEX(H$3595:H$4461,MATCH($B8894&amp;$C8894,$B$3595:$B$4461&amp;$C$3595:$C$4461,0))</f>
        <v>1.2909999999999999</v>
      </c>
      <c r="I8894" s="508">
        <f t="array" ref="I8894">INDEX(I$3595:I$4461,MATCH($B8894&amp;$C8894,$B$3595:$B$4461&amp;$C$3595:$C$4461,0))</f>
        <v>1.3089999999999999</v>
      </c>
      <c r="J8894" s="508">
        <f t="array" ref="J8894">INDEX(J$3595:J$4461,MATCH($B8894&amp;$C8894,$B$3595:$B$4461&amp;$C$3595:$C$4461,0))</f>
        <v>1.246</v>
      </c>
      <c r="K8894" s="508">
        <f t="array" ref="K8894">INDEX(K$3595:K$4461,MATCH($B8894&amp;$C8894,$B$3595:$B$4461&amp;$C$3595:$C$4461,0))</f>
        <v>0.78900000000000003</v>
      </c>
      <c r="L8894" s="508">
        <f t="array" ref="L8894">INDEX(L$3595:L$4461,MATCH($B8894&amp;$C8894,$B$3595:$B$4461&amp;$C$3595:$C$4461,0))</f>
        <v>0.82699999999999996</v>
      </c>
      <c r="M8894" s="508">
        <f t="array" ref="M8894">INDEX(M$3595:M$4461,MATCH($B8894&amp;$C8894,$B$3595:$B$4461&amp;$C$3595:$C$4461,0))</f>
        <v>0.80800000000000005</v>
      </c>
      <c r="N8894" s="508">
        <f t="array" ref="N8894">INDEX(N$3595:N$4461,MATCH($B8894&amp;$C8894,$B$3595:$B$4461&amp;$C$3595:$C$4461,0))</f>
        <v>1.2110000000000001</v>
      </c>
      <c r="O8894" s="508">
        <f t="array" ref="O8894">INDEX(O$3595:O$4461,MATCH($B8894&amp;$C8894,$B$3595:$B$4461&amp;$C$3595:$C$4461,0))</f>
        <v>1.1830000000000001</v>
      </c>
      <c r="P8894" s="508">
        <f t="array" ref="P8894">INDEX(P$3595:P$4461,MATCH($B8894&amp;$C8894,$B$3595:$B$4461&amp;$C$3595:$C$4461,0))</f>
        <v>1.1259999999999999</v>
      </c>
      <c r="Q8894" s="508">
        <f t="array" ref="Q8894">INDEX(Q$3595:Q$4461,MATCH($B8894&amp;$C8894,$B$3595:$B$4461&amp;$C$3595:$C$4461,0))</f>
        <v>1.111</v>
      </c>
      <c r="R8894" s="508">
        <f t="array" ref="R8894">INDEX(R$3595:R$4461,MATCH($B8894&amp;$C8894,$B$3595:$B$4461&amp;$C$3595:$C$4461,0))</f>
        <v>0.62</v>
      </c>
      <c r="S8894" s="508">
        <f t="array" ref="S8894">INDEX(S$3595:S$4461,MATCH($B8894&amp;$C8894,$B$3595:$B$4461&amp;$C$3595:$C$4461,0))</f>
        <v>0.59699999999999998</v>
      </c>
      <c r="T8894" s="508">
        <f t="array" ref="T8894">INDEX(T$3595:T$4461,MATCH($B8894&amp;$C8894,$B$3595:$B$4461&amp;$C$3595:$C$4461,0))</f>
        <v>0.61599999999999999</v>
      </c>
      <c r="U8894" s="508">
        <f t="array" ref="U8894">INDEX(U$3595:U$4461,MATCH($B8894&amp;$C8894,$B$3595:$B$4461&amp;$C$3595:$C$4461,0))</f>
        <v>0.60099999999999998</v>
      </c>
      <c r="V8894" s="508">
        <f t="array" ref="V8894">INDEX(V$3595:V$4461,MATCH($B8894&amp;$C8894,$B$3595:$B$4461&amp;$C$3595:$C$4461,0))</f>
        <v>0.60899999999999999</v>
      </c>
      <c r="W8894" s="508">
        <f t="array" ref="W8894">INDEX(W$3595:W$4461,MATCH($B8894&amp;$C8894,$B$3595:$B$4461&amp;$C$3595:$C$4461,0))</f>
        <v>0.55500000000000005</v>
      </c>
      <c r="X8894" s="508">
        <f t="array" ref="X8894">INDEX(X$3595:X$4461,MATCH($B8894&amp;$C8894,$B$3595:$B$4461&amp;$C$3595:$C$4461,0))</f>
        <v>0.54900000000000004</v>
      </c>
      <c r="Y8894" s="508">
        <f t="array" ref="Y8894">INDEX(Y$3595:Y$4461,MATCH($B8894&amp;$C8894,$B$3595:$B$4461&amp;$C$3595:$C$4461,0))</f>
        <v>0.55700000000000005</v>
      </c>
      <c r="Z8894" s="508">
        <f t="array" ref="Z8894">INDEX(Z$3595:Z$4461,MATCH($B8894&amp;$C8894,$B$3595:$B$4461&amp;$C$3595:$C$4461,0))</f>
        <v>0.55600000000000005</v>
      </c>
      <c r="AA8894" s="508">
        <f t="array" ref="AA8894">INDEX(AA$3595:AA$4461,MATCH($B8894&amp;$C8894,$B$3595:$B$4461&amp;$C$3595:$C$4461,0))</f>
        <v>2.3E-2</v>
      </c>
      <c r="AB8894" s="508">
        <f t="array" ref="AB8894">INDEX(AB$3595:AB$4461,MATCH($B8894&amp;$C8894,$B$3595:$B$4461&amp;$C$3595:$C$4461,0))</f>
        <v>2.1999999999999999E-2</v>
      </c>
      <c r="AC8894" s="508">
        <f t="array" ref="AC8894">INDEX(AC$3595:AC$4461,MATCH($B8894&amp;$C8894,$B$3595:$B$4461&amp;$C$3595:$C$4461,0))</f>
        <v>2.4E-2</v>
      </c>
      <c r="AD8894" s="508">
        <f t="array" ref="AD8894">INDEX(AD$3595:AD$4461,MATCH($B8894&amp;$C8894,$B$3595:$B$4461&amp;$C$3595:$C$4461,0))</f>
        <v>2.1000000000000001E-2</v>
      </c>
      <c r="AE8894" s="508">
        <f t="array" ref="AE8894">INDEX(AE$3595:AE$4461,MATCH($B8894&amp;$C8894,$B$3595:$B$4461&amp;$C$3595:$C$4461,0))</f>
        <v>0.02</v>
      </c>
      <c r="AF8894" s="508">
        <f t="array" ref="AF8894">INDEX(AF$3595:AF$4461,MATCH($B8894&amp;$C8894,$B$3595:$B$4461&amp;$C$3595:$C$4461,0))</f>
        <v>1.2E-2</v>
      </c>
      <c r="AG8894" s="508">
        <f t="array" ref="AG8894">INDEX(AG$3595:AG$4461,MATCH($B8894&amp;$C8894,$B$3595:$B$4461&amp;$C$3595:$C$4461,0))</f>
        <v>1.2E-2</v>
      </c>
      <c r="AH8894" s="508">
        <f t="array" ref="AH8894">INDEX(AH$3595:AH$4461,MATCH($B8894&amp;$C8894,$B$3595:$B$4461&amp;$C$3595:$C$4461,0))</f>
        <v>1.2E-2</v>
      </c>
      <c r="AI8894" s="508">
        <f t="array" ref="AI8894">INDEX(AI$3595:AI$4461,MATCH($B8894&amp;$C8894,$B$3595:$B$4461&amp;$C$3595:$C$4461,0))</f>
        <v>1.2E-2</v>
      </c>
      <c r="AJ8894" s="508"/>
      <c r="AK8894" s="508">
        <f t="shared" si="186"/>
        <v>1.2E-2</v>
      </c>
      <c r="AL8894" s="508">
        <f t="shared" si="187"/>
        <v>1.2E-2</v>
      </c>
      <c r="AM8894" s="508">
        <f t="shared" si="187"/>
        <v>1.2E-2</v>
      </c>
      <c r="AN8894" s="508">
        <f t="shared" si="187"/>
        <v>1.2E-2</v>
      </c>
      <c r="AO8894" s="508">
        <f t="array" ref="AO8894">INDEX('GREET Fuel Attributes'!$E$8948:$E$9083,MATCH($C8894&amp;$D8894,'GREET Fuel Attributes'!$B$8948:$B$9083&amp;'GREET Fuel Attributes'!$C$8948:$C$9083,0))/INDEX('GREET Fuel Attributes'!$D$8948:$D$9083,MATCH($C8894&amp;$D8894,'GREET Fuel Attributes'!$B$8948:$B$9083&amp;'GREET Fuel Attributes'!$C$8948:$C$9083,0))*AI8894</f>
        <v>1.2E-2</v>
      </c>
      <c r="AP8894" s="132" t="s">
        <v>1387</v>
      </c>
      <c r="AQ8894" s="142" t="s">
        <v>311</v>
      </c>
    </row>
    <row r="8895" spans="2:43">
      <c r="B8895" s="136" t="str">
        <f t="shared" si="185"/>
        <v>ILLINOIS</v>
      </c>
      <c r="C8895" s="132" t="s">
        <v>1373</v>
      </c>
      <c r="D8895" s="132" t="s">
        <v>1379</v>
      </c>
      <c r="E8895" s="508">
        <f t="array" ref="E8895">INDEX(E$4462:E$5328,MATCH($B8895&amp;$C8895,$B$4462:$B$5328&amp;$C$4462:$C$5328,0))</f>
        <v>0.17299999999999999</v>
      </c>
      <c r="F8895" s="508">
        <f t="array" ref="F8895">INDEX(F$4462:F$5328,MATCH($B8895&amp;$C8895,$B$4462:$B$5328&amp;$C$4462:$C$5328,0))</f>
        <v>0.16300000000000001</v>
      </c>
      <c r="G8895" s="508">
        <f t="array" ref="G8895">INDEX(G$4462:G$5328,MATCH($B8895&amp;$C8895,$B$4462:$B$5328&amp;$C$4462:$C$5328,0))</f>
        <v>0.186</v>
      </c>
      <c r="H8895" s="508">
        <f t="array" ref="H8895">INDEX(H$4462:H$5328,MATCH($B8895&amp;$C8895,$B$4462:$B$5328&amp;$C$4462:$C$5328,0))</f>
        <v>0.13500000000000001</v>
      </c>
      <c r="I8895" s="508">
        <f t="array" ref="I8895">INDEX(I$4462:I$5328,MATCH($B8895&amp;$C8895,$B$4462:$B$5328&amp;$C$4462:$C$5328,0))</f>
        <v>0.111</v>
      </c>
      <c r="J8895" s="508">
        <f t="array" ref="J8895">INDEX(J$4462:J$5328,MATCH($B8895&amp;$C8895,$B$4462:$B$5328&amp;$C$4462:$C$5328,0))</f>
        <v>0.121</v>
      </c>
      <c r="K8895" s="508">
        <f t="array" ref="K8895">INDEX(K$4462:K$5328,MATCH($B8895&amp;$C8895,$B$4462:$B$5328&amp;$C$4462:$C$5328,0))</f>
        <v>8.6999999999999994E-2</v>
      </c>
      <c r="L8895" s="508">
        <f t="array" ref="L8895">INDEX(L$4462:L$5328,MATCH($B8895&amp;$C8895,$B$4462:$B$5328&amp;$C$4462:$C$5328,0))</f>
        <v>0.126</v>
      </c>
      <c r="M8895" s="508">
        <f t="array" ref="M8895">INDEX(M$4462:M$5328,MATCH($B8895&amp;$C8895,$B$4462:$B$5328&amp;$C$4462:$C$5328,0))</f>
        <v>9.6000000000000002E-2</v>
      </c>
      <c r="N8895" s="508">
        <f t="array" ref="N8895">INDEX(N$4462:N$5328,MATCH($B8895&amp;$C8895,$B$4462:$B$5328&amp;$C$4462:$C$5328,0))</f>
        <v>0.115</v>
      </c>
      <c r="O8895" s="508">
        <f t="array" ref="O8895">INDEX(O$4462:O$5328,MATCH($B8895&amp;$C8895,$B$4462:$B$5328&amp;$C$4462:$C$5328,0))</f>
        <v>0.14599999999999999</v>
      </c>
      <c r="P8895" s="508">
        <f t="array" ref="P8895">INDEX(P$4462:P$5328,MATCH($B8895&amp;$C8895,$B$4462:$B$5328&amp;$C$4462:$C$5328,0))</f>
        <v>0.16600000000000001</v>
      </c>
      <c r="Q8895" s="508">
        <f t="array" ref="Q8895">INDEX(Q$4462:Q$5328,MATCH($B8895&amp;$C8895,$B$4462:$B$5328&amp;$C$4462:$C$5328,0))</f>
        <v>0.17199999999999999</v>
      </c>
      <c r="R8895" s="508">
        <f t="array" ref="R8895">INDEX(R$4462:R$5328,MATCH($B8895&amp;$C8895,$B$4462:$B$5328&amp;$C$4462:$C$5328,0))</f>
        <v>0.14599999999999999</v>
      </c>
      <c r="S8895" s="508">
        <f t="array" ref="S8895">INDEX(S$4462:S$5328,MATCH($B8895&amp;$C8895,$B$4462:$B$5328&amp;$C$4462:$C$5328,0))</f>
        <v>0.114</v>
      </c>
      <c r="T8895" s="508">
        <f t="array" ref="T8895">INDEX(T$4462:T$5328,MATCH($B8895&amp;$C8895,$B$4462:$B$5328&amp;$C$4462:$C$5328,0))</f>
        <v>0.13600000000000001</v>
      </c>
      <c r="U8895" s="508">
        <f t="array" ref="U8895">INDEX(U$4462:U$5328,MATCH($B8895&amp;$C8895,$B$4462:$B$5328&amp;$C$4462:$C$5328,0))</f>
        <v>0.11799999999999999</v>
      </c>
      <c r="V8895" s="508">
        <f t="array" ref="V8895">INDEX(V$4462:V$5328,MATCH($B8895&amp;$C8895,$B$4462:$B$5328&amp;$C$4462:$C$5328,0))</f>
        <v>0.126</v>
      </c>
      <c r="W8895" s="508">
        <f t="array" ref="W8895">INDEX(W$4462:W$5328,MATCH($B8895&amp;$C8895,$B$4462:$B$5328&amp;$C$4462:$C$5328,0))</f>
        <v>0.13100000000000001</v>
      </c>
      <c r="X8895" s="508">
        <f t="array" ref="X8895">INDEX(X$4462:X$5328,MATCH($B8895&amp;$C8895,$B$4462:$B$5328&amp;$C$4462:$C$5328,0))</f>
        <v>0.128</v>
      </c>
      <c r="Y8895" s="508">
        <f t="array" ref="Y8895">INDEX(Y$4462:Y$5328,MATCH($B8895&amp;$C8895,$B$4462:$B$5328&amp;$C$4462:$C$5328,0))</f>
        <v>0.13800000000000001</v>
      </c>
      <c r="Z8895" s="508">
        <f t="array" ref="Z8895">INDEX(Z$4462:Z$5328,MATCH($B8895&amp;$C8895,$B$4462:$B$5328&amp;$C$4462:$C$5328,0))</f>
        <v>0.13500000000000001</v>
      </c>
      <c r="AA8895" s="508">
        <f t="array" ref="AA8895">INDEX(AA$4462:AA$5328,MATCH($B8895&amp;$C8895,$B$4462:$B$5328&amp;$C$4462:$C$5328,0))</f>
        <v>0.14799999999999999</v>
      </c>
      <c r="AB8895" s="508">
        <f t="array" ref="AB8895">INDEX(AB$4462:AB$5328,MATCH($B8895&amp;$C8895,$B$4462:$B$5328&amp;$C$4462:$C$5328,0))</f>
        <v>0.114</v>
      </c>
      <c r="AC8895" s="508">
        <f t="array" ref="AC8895">INDEX(AC$4462:AC$5328,MATCH($B8895&amp;$C8895,$B$4462:$B$5328&amp;$C$4462:$C$5328,0))</f>
        <v>0.151</v>
      </c>
      <c r="AD8895" s="508">
        <f t="array" ref="AD8895">INDEX(AD$4462:AD$5328,MATCH($B8895&amp;$C8895,$B$4462:$B$5328&amp;$C$4462:$C$5328,0))</f>
        <v>0.14299999999999999</v>
      </c>
      <c r="AE8895" s="508">
        <f t="array" ref="AE8895">INDEX(AE$4462:AE$5328,MATCH($B8895&amp;$C8895,$B$4462:$B$5328&amp;$C$4462:$C$5328,0))</f>
        <v>0.13200000000000001</v>
      </c>
      <c r="AF8895" s="508">
        <f t="array" ref="AF8895">INDEX(AF$4462:AF$5328,MATCH($B8895&amp;$C8895,$B$4462:$B$5328&amp;$C$4462:$C$5328,0))</f>
        <v>0.13200000000000001</v>
      </c>
      <c r="AG8895" s="508">
        <f t="array" ref="AG8895">INDEX(AG$4462:AG$5328,MATCH($B8895&amp;$C8895,$B$4462:$B$5328&amp;$C$4462:$C$5328,0))</f>
        <v>0.13200000000000001</v>
      </c>
      <c r="AH8895" s="508">
        <f t="array" ref="AH8895">INDEX(AH$4462:AH$5328,MATCH($B8895&amp;$C8895,$B$4462:$B$5328&amp;$C$4462:$C$5328,0))</f>
        <v>0.13200000000000001</v>
      </c>
      <c r="AI8895" s="508">
        <f t="array" ref="AI8895">INDEX(AI$4462:AI$5328,MATCH($B8895&amp;$C8895,$B$4462:$B$5328&amp;$C$4462:$C$5328,0))</f>
        <v>0.13200000000000001</v>
      </c>
      <c r="AJ8895" s="508"/>
      <c r="AK8895" s="508">
        <f t="shared" si="186"/>
        <v>0.13200000000000001</v>
      </c>
      <c r="AL8895" s="508">
        <f t="shared" si="187"/>
        <v>0.13200000000000001</v>
      </c>
      <c r="AM8895" s="508">
        <f t="shared" si="187"/>
        <v>0.13200000000000001</v>
      </c>
      <c r="AN8895" s="508">
        <f t="shared" si="187"/>
        <v>0.13200000000000001</v>
      </c>
      <c r="AO8895" s="508">
        <f t="array" ref="AO8895">INDEX('GREET Fuel Attributes'!$E$8948:$E$9083,MATCH($C8895&amp;$D8895,'GREET Fuel Attributes'!$B$8948:$B$9083&amp;'GREET Fuel Attributes'!$C$8948:$C$9083,0))/INDEX('GREET Fuel Attributes'!$D$8948:$D$9083,MATCH($C8895&amp;$D8895,'GREET Fuel Attributes'!$B$8948:$B$9083&amp;'GREET Fuel Attributes'!$C$8948:$C$9083,0))*AI8895</f>
        <v>0.13200000000000001</v>
      </c>
      <c r="AP8895" s="132" t="s">
        <v>1387</v>
      </c>
      <c r="AQ8895" s="142" t="s">
        <v>311</v>
      </c>
    </row>
    <row r="8896" spans="2:43">
      <c r="B8896" s="136" t="str">
        <f t="shared" si="185"/>
        <v>ILLINOIS</v>
      </c>
      <c r="C8896" s="132" t="s">
        <v>1373</v>
      </c>
      <c r="D8896" s="132" t="s">
        <v>285</v>
      </c>
      <c r="E8896" s="508">
        <f t="array" ref="E8896">INDEX(E$5329:E$6195,MATCH($B8896&amp;$C8896,$B$5329:$B$6195&amp;$C$5329:$C$6195,0))</f>
        <v>1.956</v>
      </c>
      <c r="F8896" s="508">
        <f t="array" ref="F8896">INDEX(F$5329:F$6195,MATCH($B8896&amp;$C8896,$B$5329:$B$6195&amp;$C$5329:$C$6195,0))</f>
        <v>1.893</v>
      </c>
      <c r="G8896" s="508">
        <f t="array" ref="G8896">INDEX(G$5329:G$6195,MATCH($B8896&amp;$C8896,$B$5329:$B$6195&amp;$C$5329:$C$6195,0))</f>
        <v>2.0009999999999999</v>
      </c>
      <c r="H8896" s="508">
        <f t="array" ref="H8896">INDEX(H$5329:H$6195,MATCH($B8896&amp;$C8896,$B$5329:$B$6195&amp;$C$5329:$C$6195,0))</f>
        <v>1.1879999999999999</v>
      </c>
      <c r="I8896" s="508">
        <f t="array" ref="I8896">INDEX(I$5329:I$6195,MATCH($B8896&amp;$C8896,$B$5329:$B$6195&amp;$C$5329:$C$6195,0))</f>
        <v>1.204</v>
      </c>
      <c r="J8896" s="508">
        <f t="array" ref="J8896">INDEX(J$5329:J$6195,MATCH($B8896&amp;$C8896,$B$5329:$B$6195&amp;$C$5329:$C$6195,0))</f>
        <v>1.1459999999999999</v>
      </c>
      <c r="K8896" s="508">
        <f t="array" ref="K8896">INDEX(K$5329:K$6195,MATCH($B8896&amp;$C8896,$B$5329:$B$6195&amp;$C$5329:$C$6195,0))</f>
        <v>0.72599999999999998</v>
      </c>
      <c r="L8896" s="508">
        <f t="array" ref="L8896">INDEX(L$5329:L$6195,MATCH($B8896&amp;$C8896,$B$5329:$B$6195&amp;$C$5329:$C$6195,0))</f>
        <v>0.76</v>
      </c>
      <c r="M8896" s="508">
        <f t="array" ref="M8896">INDEX(M$5329:M$6195,MATCH($B8896&amp;$C8896,$B$5329:$B$6195&amp;$C$5329:$C$6195,0))</f>
        <v>0.74299999999999999</v>
      </c>
      <c r="N8896" s="508">
        <f t="array" ref="N8896">INDEX(N$5329:N$6195,MATCH($B8896&amp;$C8896,$B$5329:$B$6195&amp;$C$5329:$C$6195,0))</f>
        <v>1.1140000000000001</v>
      </c>
      <c r="O8896" s="508">
        <f t="array" ref="O8896">INDEX(O$5329:O$6195,MATCH($B8896&amp;$C8896,$B$5329:$B$6195&amp;$C$5329:$C$6195,0))</f>
        <v>1.0880000000000001</v>
      </c>
      <c r="P8896" s="508">
        <f t="array" ref="P8896">INDEX(P$5329:P$6195,MATCH($B8896&amp;$C8896,$B$5329:$B$6195&amp;$C$5329:$C$6195,0))</f>
        <v>1.036</v>
      </c>
      <c r="Q8896" s="508">
        <f t="array" ref="Q8896">INDEX(Q$5329:Q$6195,MATCH($B8896&amp;$C8896,$B$5329:$B$6195&amp;$C$5329:$C$6195,0))</f>
        <v>1.022</v>
      </c>
      <c r="R8896" s="508">
        <f t="array" ref="R8896">INDEX(R$5329:R$6195,MATCH($B8896&amp;$C8896,$B$5329:$B$6195&amp;$C$5329:$C$6195,0))</f>
        <v>0.57099999999999995</v>
      </c>
      <c r="S8896" s="508">
        <f t="array" ref="S8896">INDEX(S$5329:S$6195,MATCH($B8896&amp;$C8896,$B$5329:$B$6195&amp;$C$5329:$C$6195,0))</f>
        <v>0.54900000000000004</v>
      </c>
      <c r="T8896" s="508">
        <f t="array" ref="T8896">INDEX(T$5329:T$6195,MATCH($B8896&amp;$C8896,$B$5329:$B$6195&amp;$C$5329:$C$6195,0))</f>
        <v>0.56599999999999995</v>
      </c>
      <c r="U8896" s="508">
        <f t="array" ref="U8896">INDEX(U$5329:U$6195,MATCH($B8896&amp;$C8896,$B$5329:$B$6195&amp;$C$5329:$C$6195,0))</f>
        <v>0.55300000000000005</v>
      </c>
      <c r="V8896" s="508">
        <f t="array" ref="V8896">INDEX(V$5329:V$6195,MATCH($B8896&amp;$C8896,$B$5329:$B$6195&amp;$C$5329:$C$6195,0))</f>
        <v>0.56000000000000005</v>
      </c>
      <c r="W8896" s="508">
        <f t="array" ref="W8896">INDEX(W$5329:W$6195,MATCH($B8896&amp;$C8896,$B$5329:$B$6195&amp;$C$5329:$C$6195,0))</f>
        <v>0.51</v>
      </c>
      <c r="X8896" s="508">
        <f t="array" ref="X8896">INDEX(X$5329:X$6195,MATCH($B8896&amp;$C8896,$B$5329:$B$6195&amp;$C$5329:$C$6195,0))</f>
        <v>0.505</v>
      </c>
      <c r="Y8896" s="508">
        <f t="array" ref="Y8896">INDEX(Y$5329:Y$6195,MATCH($B8896&amp;$C8896,$B$5329:$B$6195&amp;$C$5329:$C$6195,0))</f>
        <v>0.51200000000000001</v>
      </c>
      <c r="Z8896" s="508">
        <f t="array" ref="Z8896">INDEX(Z$5329:Z$6195,MATCH($B8896&amp;$C8896,$B$5329:$B$6195&amp;$C$5329:$C$6195,0))</f>
        <v>0.51200000000000001</v>
      </c>
      <c r="AA8896" s="508">
        <f t="array" ref="AA8896">INDEX(AA$5329:AA$6195,MATCH($B8896&amp;$C8896,$B$5329:$B$6195&amp;$C$5329:$C$6195,0))</f>
        <v>2.1000000000000001E-2</v>
      </c>
      <c r="AB8896" s="508">
        <f t="array" ref="AB8896">INDEX(AB$5329:AB$6195,MATCH($B8896&amp;$C8896,$B$5329:$B$6195&amp;$C$5329:$C$6195,0))</f>
        <v>0.02</v>
      </c>
      <c r="AC8896" s="508">
        <f t="array" ref="AC8896">INDEX(AC$5329:AC$6195,MATCH($B8896&amp;$C8896,$B$5329:$B$6195&amp;$C$5329:$C$6195,0))</f>
        <v>2.1999999999999999E-2</v>
      </c>
      <c r="AD8896" s="508">
        <f t="array" ref="AD8896">INDEX(AD$5329:AD$6195,MATCH($B8896&amp;$C8896,$B$5329:$B$6195&amp;$C$5329:$C$6195,0))</f>
        <v>0.02</v>
      </c>
      <c r="AE8896" s="508">
        <f t="array" ref="AE8896">INDEX(AE$5329:AE$6195,MATCH($B8896&amp;$C8896,$B$5329:$B$6195&amp;$C$5329:$C$6195,0))</f>
        <v>1.9E-2</v>
      </c>
      <c r="AF8896" s="508">
        <f t="array" ref="AF8896">INDEX(AF$5329:AF$6195,MATCH($B8896&amp;$C8896,$B$5329:$B$6195&amp;$C$5329:$C$6195,0))</f>
        <v>1.0999999999999999E-2</v>
      </c>
      <c r="AG8896" s="508">
        <f t="array" ref="AG8896">INDEX(AG$5329:AG$6195,MATCH($B8896&amp;$C8896,$B$5329:$B$6195&amp;$C$5329:$C$6195,0))</f>
        <v>1.0999999999999999E-2</v>
      </c>
      <c r="AH8896" s="508">
        <f t="array" ref="AH8896">INDEX(AH$5329:AH$6195,MATCH($B8896&amp;$C8896,$B$5329:$B$6195&amp;$C$5329:$C$6195,0))</f>
        <v>1.0999999999999999E-2</v>
      </c>
      <c r="AI8896" s="508">
        <f t="array" ref="AI8896">INDEX(AI$5329:AI$6195,MATCH($B8896&amp;$C8896,$B$5329:$B$6195&amp;$C$5329:$C$6195,0))</f>
        <v>1.0999999999999999E-2</v>
      </c>
      <c r="AJ8896" s="508"/>
      <c r="AK8896" s="508">
        <f t="shared" si="186"/>
        <v>1.1183333333333333E-2</v>
      </c>
      <c r="AL8896" s="508">
        <f t="shared" si="187"/>
        <v>1.1366666666666667E-2</v>
      </c>
      <c r="AM8896" s="508">
        <f t="shared" si="187"/>
        <v>1.1550000000000001E-2</v>
      </c>
      <c r="AN8896" s="508">
        <f t="shared" si="187"/>
        <v>1.1733333333333335E-2</v>
      </c>
      <c r="AO8896" s="508">
        <f t="array" ref="AO8896">INDEX('GREET Fuel Attributes'!$E$8948:$E$9083,MATCH($C8896&amp;$D8896,'GREET Fuel Attributes'!$B$8948:$B$9083&amp;'GREET Fuel Attributes'!$C$8948:$C$9083,0))/INDEX('GREET Fuel Attributes'!$D$8948:$D$9083,MATCH($C8896&amp;$D8896,'GREET Fuel Attributes'!$B$8948:$B$9083&amp;'GREET Fuel Attributes'!$C$8948:$C$9083,0))*AI8896</f>
        <v>1.1916666666666666E-2</v>
      </c>
      <c r="AP8896" s="132" t="s">
        <v>1387</v>
      </c>
      <c r="AQ8896" s="142" t="s">
        <v>311</v>
      </c>
    </row>
    <row r="8897" spans="2:43">
      <c r="B8897" s="136" t="str">
        <f t="shared" si="185"/>
        <v>ILLINOIS</v>
      </c>
      <c r="C8897" s="132" t="s">
        <v>1373</v>
      </c>
      <c r="D8897" s="132" t="s">
        <v>1380</v>
      </c>
      <c r="E8897" s="508">
        <f t="array" ref="E8897">INDEX(E$6196:E$7062,MATCH($B8897&amp;$C8897,$B$6196:$B$7062&amp;$C$6196:$C$7062,0))</f>
        <v>2.1999999999999999E-2</v>
      </c>
      <c r="F8897" s="508">
        <f t="array" ref="F8897">INDEX(F$6196:F$7062,MATCH($B8897&amp;$C8897,$B$6196:$B$7062&amp;$C$6196:$C$7062,0))</f>
        <v>2.1000000000000001E-2</v>
      </c>
      <c r="G8897" s="508">
        <f t="array" ref="G8897">INDEX(G$6196:G$7062,MATCH($B8897&amp;$C8897,$B$6196:$B$7062&amp;$C$6196:$C$7062,0))</f>
        <v>2.4E-2</v>
      </c>
      <c r="H8897" s="508">
        <f t="array" ref="H8897">INDEX(H$6196:H$7062,MATCH($B8897&amp;$C8897,$B$6196:$B$7062&amp;$C$6196:$C$7062,0))</f>
        <v>1.7000000000000001E-2</v>
      </c>
      <c r="I8897" s="508">
        <f t="array" ref="I8897">INDEX(I$6196:I$7062,MATCH($B8897&amp;$C8897,$B$6196:$B$7062&amp;$C$6196:$C$7062,0))</f>
        <v>1.4E-2</v>
      </c>
      <c r="J8897" s="508">
        <f t="array" ref="J8897">INDEX(J$6196:J$7062,MATCH($B8897&amp;$C8897,$B$6196:$B$7062&amp;$C$6196:$C$7062,0))</f>
        <v>1.6E-2</v>
      </c>
      <c r="K8897" s="508">
        <f t="array" ref="K8897">INDEX(K$6196:K$7062,MATCH($B8897&amp;$C8897,$B$6196:$B$7062&amp;$C$6196:$C$7062,0))</f>
        <v>1.0999999999999999E-2</v>
      </c>
      <c r="L8897" s="508">
        <f t="array" ref="L8897">INDEX(L$6196:L$7062,MATCH($B8897&amp;$C8897,$B$6196:$B$7062&amp;$C$6196:$C$7062,0))</f>
        <v>1.6E-2</v>
      </c>
      <c r="M8897" s="508">
        <f t="array" ref="M8897">INDEX(M$6196:M$7062,MATCH($B8897&amp;$C8897,$B$6196:$B$7062&amp;$C$6196:$C$7062,0))</f>
        <v>1.2E-2</v>
      </c>
      <c r="N8897" s="508">
        <f t="array" ref="N8897">INDEX(N$6196:N$7062,MATCH($B8897&amp;$C8897,$B$6196:$B$7062&amp;$C$6196:$C$7062,0))</f>
        <v>1.4999999999999999E-2</v>
      </c>
      <c r="O8897" s="508">
        <f t="array" ref="O8897">INDEX(O$6196:O$7062,MATCH($B8897&amp;$C8897,$B$6196:$B$7062&amp;$C$6196:$C$7062,0))</f>
        <v>1.9E-2</v>
      </c>
      <c r="P8897" s="508">
        <f t="array" ref="P8897">INDEX(P$6196:P$7062,MATCH($B8897&amp;$C8897,$B$6196:$B$7062&amp;$C$6196:$C$7062,0))</f>
        <v>2.1000000000000001E-2</v>
      </c>
      <c r="Q8897" s="508">
        <f t="array" ref="Q8897">INDEX(Q$6196:Q$7062,MATCH($B8897&amp;$C8897,$B$6196:$B$7062&amp;$C$6196:$C$7062,0))</f>
        <v>2.1999999999999999E-2</v>
      </c>
      <c r="R8897" s="508">
        <f t="array" ref="R8897">INDEX(R$6196:R$7062,MATCH($B8897&amp;$C8897,$B$6196:$B$7062&amp;$C$6196:$C$7062,0))</f>
        <v>1.9E-2</v>
      </c>
      <c r="S8897" s="508">
        <f t="array" ref="S8897">INDEX(S$6196:S$7062,MATCH($B8897&amp;$C8897,$B$6196:$B$7062&amp;$C$6196:$C$7062,0))</f>
        <v>1.4999999999999999E-2</v>
      </c>
      <c r="T8897" s="508">
        <f t="array" ref="T8897">INDEX(T$6196:T$7062,MATCH($B8897&amp;$C8897,$B$6196:$B$7062&amp;$C$6196:$C$7062,0))</f>
        <v>1.7000000000000001E-2</v>
      </c>
      <c r="U8897" s="508">
        <f t="array" ref="U8897">INDEX(U$6196:U$7062,MATCH($B8897&amp;$C8897,$B$6196:$B$7062&amp;$C$6196:$C$7062,0))</f>
        <v>1.4999999999999999E-2</v>
      </c>
      <c r="V8897" s="508">
        <f t="array" ref="V8897">INDEX(V$6196:V$7062,MATCH($B8897&amp;$C8897,$B$6196:$B$7062&amp;$C$6196:$C$7062,0))</f>
        <v>1.6E-2</v>
      </c>
      <c r="W8897" s="508">
        <f t="array" ref="W8897">INDEX(W$6196:W$7062,MATCH($B8897&amp;$C8897,$B$6196:$B$7062&amp;$C$6196:$C$7062,0))</f>
        <v>1.7000000000000001E-2</v>
      </c>
      <c r="X8897" s="508">
        <f t="array" ref="X8897">INDEX(X$6196:X$7062,MATCH($B8897&amp;$C8897,$B$6196:$B$7062&amp;$C$6196:$C$7062,0))</f>
        <v>1.6E-2</v>
      </c>
      <c r="Y8897" s="508">
        <f t="array" ref="Y8897">INDEX(Y$6196:Y$7062,MATCH($B8897&amp;$C8897,$B$6196:$B$7062&amp;$C$6196:$C$7062,0))</f>
        <v>1.7999999999999999E-2</v>
      </c>
      <c r="Z8897" s="508">
        <f t="array" ref="Z8897">INDEX(Z$6196:Z$7062,MATCH($B8897&amp;$C8897,$B$6196:$B$7062&amp;$C$6196:$C$7062,0))</f>
        <v>1.7000000000000001E-2</v>
      </c>
      <c r="AA8897" s="508">
        <f t="array" ref="AA8897">INDEX(AA$6196:AA$7062,MATCH($B8897&amp;$C8897,$B$6196:$B$7062&amp;$C$6196:$C$7062,0))</f>
        <v>1.9E-2</v>
      </c>
      <c r="AB8897" s="508">
        <f t="array" ref="AB8897">INDEX(AB$6196:AB$7062,MATCH($B8897&amp;$C8897,$B$6196:$B$7062&amp;$C$6196:$C$7062,0))</f>
        <v>1.4999999999999999E-2</v>
      </c>
      <c r="AC8897" s="508">
        <f t="array" ref="AC8897">INDEX(AC$6196:AC$7062,MATCH($B8897&amp;$C8897,$B$6196:$B$7062&amp;$C$6196:$C$7062,0))</f>
        <v>1.9E-2</v>
      </c>
      <c r="AD8897" s="508">
        <f t="array" ref="AD8897">INDEX(AD$6196:AD$7062,MATCH($B8897&amp;$C8897,$B$6196:$B$7062&amp;$C$6196:$C$7062,0))</f>
        <v>1.7999999999999999E-2</v>
      </c>
      <c r="AE8897" s="508">
        <f t="array" ref="AE8897">INDEX(AE$6196:AE$7062,MATCH($B8897&amp;$C8897,$B$6196:$B$7062&amp;$C$6196:$C$7062,0))</f>
        <v>1.7000000000000001E-2</v>
      </c>
      <c r="AF8897" s="508">
        <f t="array" ref="AF8897">INDEX(AF$6196:AF$7062,MATCH($B8897&amp;$C8897,$B$6196:$B$7062&amp;$C$6196:$C$7062,0))</f>
        <v>1.7000000000000001E-2</v>
      </c>
      <c r="AG8897" s="508">
        <f t="array" ref="AG8897">INDEX(AG$6196:AG$7062,MATCH($B8897&amp;$C8897,$B$6196:$B$7062&amp;$C$6196:$C$7062,0))</f>
        <v>1.7000000000000001E-2</v>
      </c>
      <c r="AH8897" s="508">
        <f t="array" ref="AH8897">INDEX(AH$6196:AH$7062,MATCH($B8897&amp;$C8897,$B$6196:$B$7062&amp;$C$6196:$C$7062,0))</f>
        <v>1.7000000000000001E-2</v>
      </c>
      <c r="AI8897" s="508">
        <f t="array" ref="AI8897">INDEX(AI$6196:AI$7062,MATCH($B8897&amp;$C8897,$B$6196:$B$7062&amp;$C$6196:$C$7062,0))</f>
        <v>1.7000000000000001E-2</v>
      </c>
      <c r="AJ8897" s="508"/>
      <c r="AK8897" s="508">
        <f t="shared" si="186"/>
        <v>1.7000000000000001E-2</v>
      </c>
      <c r="AL8897" s="508">
        <f t="shared" si="187"/>
        <v>1.7000000000000001E-2</v>
      </c>
      <c r="AM8897" s="508">
        <f t="shared" si="187"/>
        <v>1.7000000000000001E-2</v>
      </c>
      <c r="AN8897" s="508">
        <f t="shared" si="187"/>
        <v>1.7000000000000001E-2</v>
      </c>
      <c r="AO8897" s="508">
        <f t="array" ref="AO8897">INDEX('GREET Fuel Attributes'!$E$8948:$E$9083,MATCH($C8897&amp;$D8897,'GREET Fuel Attributes'!$B$8948:$B$9083&amp;'GREET Fuel Attributes'!$C$8948:$C$9083,0))/INDEX('GREET Fuel Attributes'!$D$8948:$D$9083,MATCH($C8897&amp;$D8897,'GREET Fuel Attributes'!$B$8948:$B$9083&amp;'GREET Fuel Attributes'!$C$8948:$C$9083,0))*AI8897</f>
        <v>1.7000000000000001E-2</v>
      </c>
      <c r="AP8897" s="132" t="s">
        <v>1387</v>
      </c>
      <c r="AQ8897" s="142" t="s">
        <v>311</v>
      </c>
    </row>
    <row r="8898" spans="2:43">
      <c r="B8898" s="136" t="str">
        <f t="shared" si="185"/>
        <v>ILLINOIS</v>
      </c>
      <c r="C8898" s="132" t="s">
        <v>1373</v>
      </c>
      <c r="D8898" s="132" t="s">
        <v>281</v>
      </c>
      <c r="E8898" s="508">
        <f t="array" ref="E8898">INDEX(E$7063:E$7929,MATCH($B8898&amp;$C8898,$B$7063:$B$7929&amp;$C$7063:$C$7929,0))</f>
        <v>1.657</v>
      </c>
      <c r="F8898" s="508">
        <f t="array" ref="F8898">INDEX(F$7063:F$7929,MATCH($B8898&amp;$C8898,$B$7063:$B$7929&amp;$C$7063:$C$7929,0))</f>
        <v>1.6859999999999999</v>
      </c>
      <c r="G8898" s="508">
        <f t="array" ref="G8898">INDEX(G$7063:G$7929,MATCH($B8898&amp;$C8898,$B$7063:$B$7929&amp;$C$7063:$C$7929,0))</f>
        <v>1.5780000000000001</v>
      </c>
      <c r="H8898" s="508">
        <f t="array" ref="H8898">INDEX(H$7063:H$7929,MATCH($B8898&amp;$C8898,$B$7063:$B$7929&amp;$C$7063:$C$7929,0))</f>
        <v>1.8979999999999999</v>
      </c>
      <c r="I8898" s="508">
        <f t="array" ref="I8898">INDEX(I$7063:I$7929,MATCH($B8898&amp;$C8898,$B$7063:$B$7929&amp;$C$7063:$C$7929,0))</f>
        <v>1.9350000000000001</v>
      </c>
      <c r="J8898" s="508">
        <f t="array" ref="J8898">INDEX(J$7063:J$7929,MATCH($B8898&amp;$C8898,$B$7063:$B$7929&amp;$C$7063:$C$7929,0))</f>
        <v>1.778</v>
      </c>
      <c r="K8898" s="508">
        <f t="array" ref="K8898">INDEX(K$7063:K$7929,MATCH($B8898&amp;$C8898,$B$7063:$B$7929&amp;$C$7063:$C$7929,0))</f>
        <v>1.9730000000000001</v>
      </c>
      <c r="L8898" s="508">
        <f t="array" ref="L8898">INDEX(L$7063:L$7929,MATCH($B8898&amp;$C8898,$B$7063:$B$7929&amp;$C$7063:$C$7929,0))</f>
        <v>1.806</v>
      </c>
      <c r="M8898" s="508">
        <f t="array" ref="M8898">INDEX(M$7063:M$7929,MATCH($B8898&amp;$C8898,$B$7063:$B$7929&amp;$C$7063:$C$7929,0))</f>
        <v>1.875</v>
      </c>
      <c r="N8898" s="508">
        <f t="array" ref="N8898">INDEX(N$7063:N$7929,MATCH($B8898&amp;$C8898,$B$7063:$B$7929&amp;$C$7063:$C$7929,0))</f>
        <v>1.792</v>
      </c>
      <c r="O8898" s="508">
        <f t="array" ref="O8898">INDEX(O$7063:O$7929,MATCH($B8898&amp;$C8898,$B$7063:$B$7929&amp;$C$7063:$C$7929,0))</f>
        <v>1.72</v>
      </c>
      <c r="P8898" s="508">
        <f t="array" ref="P8898">INDEX(P$7063:P$7929,MATCH($B8898&amp;$C8898,$B$7063:$B$7929&amp;$C$7063:$C$7929,0))</f>
        <v>1.59</v>
      </c>
      <c r="Q8898" s="508">
        <f t="array" ref="Q8898">INDEX(Q$7063:Q$7929,MATCH($B8898&amp;$C8898,$B$7063:$B$7929&amp;$C$7063:$C$7929,0))</f>
        <v>1.552</v>
      </c>
      <c r="R8898" s="508">
        <f t="array" ref="R8898">INDEX(R$7063:R$7929,MATCH($B8898&amp;$C8898,$B$7063:$B$7929&amp;$C$7063:$C$7929,0))</f>
        <v>1.706</v>
      </c>
      <c r="S8898" s="508">
        <f t="array" ref="S8898">INDEX(S$7063:S$7929,MATCH($B8898&amp;$C8898,$B$7063:$B$7929&amp;$C$7063:$C$7929,0))</f>
        <v>1.837</v>
      </c>
      <c r="T8898" s="508">
        <f t="array" ref="T8898">INDEX(T$7063:T$7929,MATCH($B8898&amp;$C8898,$B$7063:$B$7929&amp;$C$7063:$C$7929,0))</f>
        <v>1.7070000000000001</v>
      </c>
      <c r="U8898" s="508">
        <f t="array" ref="U8898">INDEX(U$7063:U$7929,MATCH($B8898&amp;$C8898,$B$7063:$B$7929&amp;$C$7063:$C$7929,0))</f>
        <v>1.772</v>
      </c>
      <c r="V8898" s="508">
        <f t="array" ref="V8898">INDEX(V$7063:V$7929,MATCH($B8898&amp;$C8898,$B$7063:$B$7929&amp;$C$7063:$C$7929,0))</f>
        <v>1.72</v>
      </c>
      <c r="W8898" s="508">
        <f t="array" ref="W8898">INDEX(W$7063:W$7929,MATCH($B8898&amp;$C8898,$B$7063:$B$7929&amp;$C$7063:$C$7929,0))</f>
        <v>1.0449999999999999</v>
      </c>
      <c r="X8898" s="508">
        <f t="array" ref="X8898">INDEX(X$7063:X$7929,MATCH($B8898&amp;$C8898,$B$7063:$B$7929&amp;$C$7063:$C$7929,0))</f>
        <v>1.0469999999999999</v>
      </c>
      <c r="Y8898" s="508">
        <f t="array" ref="Y8898">INDEX(Y$7063:Y$7929,MATCH($B8898&amp;$C8898,$B$7063:$B$7929&amp;$C$7063:$C$7929,0))</f>
        <v>1.0309999999999999</v>
      </c>
      <c r="Z8898" s="508">
        <f t="array" ref="Z8898">INDEX(Z$7063:Z$7929,MATCH($B8898&amp;$C8898,$B$7063:$B$7929&amp;$C$7063:$C$7929,0))</f>
        <v>1.028</v>
      </c>
      <c r="AA8898" s="508">
        <f t="array" ref="AA8898">INDEX(AA$7063:AA$7929,MATCH($B8898&amp;$C8898,$B$7063:$B$7929&amp;$C$7063:$C$7929,0))</f>
        <v>0.112</v>
      </c>
      <c r="AB8898" s="508">
        <f t="array" ref="AB8898">INDEX(AB$7063:AB$7929,MATCH($B8898&amp;$C8898,$B$7063:$B$7929&amp;$C$7063:$C$7929,0))</f>
        <v>0.114</v>
      </c>
      <c r="AC8898" s="508">
        <f t="array" ref="AC8898">INDEX(AC$7063:AC$7929,MATCH($B8898&amp;$C8898,$B$7063:$B$7929&amp;$C$7063:$C$7929,0))</f>
        <v>0.108</v>
      </c>
      <c r="AD8898" s="508">
        <f t="array" ref="AD8898">INDEX(AD$7063:AD$7929,MATCH($B8898&amp;$C8898,$B$7063:$B$7929&amp;$C$7063:$C$7929,0))</f>
        <v>6.9000000000000006E-2</v>
      </c>
      <c r="AE8898" s="508">
        <f t="array" ref="AE8898">INDEX(AE$7063:AE$7929,MATCH($B8898&amp;$C8898,$B$7063:$B$7929&amp;$C$7063:$C$7929,0))</f>
        <v>6.8000000000000005E-2</v>
      </c>
      <c r="AF8898" s="508">
        <f t="array" ref="AF8898">INDEX(AF$7063:AF$7929,MATCH($B8898&amp;$C8898,$B$7063:$B$7929&amp;$C$7063:$C$7929,0))</f>
        <v>5.7000000000000002E-2</v>
      </c>
      <c r="AG8898" s="508">
        <f t="array" ref="AG8898">INDEX(AG$7063:AG$7929,MATCH($B8898&amp;$C8898,$B$7063:$B$7929&amp;$C$7063:$C$7929,0))</f>
        <v>5.7000000000000002E-2</v>
      </c>
      <c r="AH8898" s="508">
        <f t="array" ref="AH8898">INDEX(AH$7063:AH$7929,MATCH($B8898&amp;$C8898,$B$7063:$B$7929&amp;$C$7063:$C$7929,0))</f>
        <v>5.7000000000000002E-2</v>
      </c>
      <c r="AI8898" s="508">
        <f t="array" ref="AI8898">INDEX(AI$7063:AI$7929,MATCH($B8898&amp;$C8898,$B$7063:$B$7929&amp;$C$7063:$C$7929,0))</f>
        <v>5.7000000000000002E-2</v>
      </c>
      <c r="AJ8898" s="508"/>
      <c r="AK8898" s="508">
        <f t="shared" si="186"/>
        <v>5.7167647058823531E-2</v>
      </c>
      <c r="AL8898" s="508">
        <f t="shared" si="187"/>
        <v>5.7335294117647061E-2</v>
      </c>
      <c r="AM8898" s="508">
        <f t="shared" si="187"/>
        <v>5.750294117647059E-2</v>
      </c>
      <c r="AN8898" s="508">
        <f t="shared" si="187"/>
        <v>5.7670588235294119E-2</v>
      </c>
      <c r="AO8898" s="508">
        <f t="array" ref="AO8898">INDEX('GREET Fuel Attributes'!$E$8948:$E$9083,MATCH($C8898&amp;$D8898,'GREET Fuel Attributes'!$B$8948:$B$9083&amp;'GREET Fuel Attributes'!$C$8948:$C$9083,0))/INDEX('GREET Fuel Attributes'!$D$8948:$D$9083,MATCH($C8898&amp;$D8898,'GREET Fuel Attributes'!$B$8948:$B$9083&amp;'GREET Fuel Attributes'!$C$8948:$C$9083,0))*AI8898</f>
        <v>5.7838235294117649E-2</v>
      </c>
      <c r="AP8898" s="132" t="s">
        <v>1387</v>
      </c>
      <c r="AQ8898" s="142" t="s">
        <v>311</v>
      </c>
    </row>
    <row r="8899" spans="2:43">
      <c r="B8899" s="136" t="str">
        <f t="shared" si="185"/>
        <v>ILLINOIS</v>
      </c>
      <c r="C8899" s="132" t="s">
        <v>1373</v>
      </c>
      <c r="D8899" s="132" t="s">
        <v>1384</v>
      </c>
      <c r="E8899" s="508">
        <f t="array" ref="E8899">INDEX(E$7930:E$8796,MATCH($B8899&amp;$C8899,$B$7930:$B$8796&amp;$C$7930:$C$8796,0))</f>
        <v>3.3000000000000002E-2</v>
      </c>
      <c r="F8899" s="508">
        <f t="array" ref="F8899">INDEX(F$7930:F$8796,MATCH($B8899&amp;$C8899,$B$7930:$B$8796&amp;$C$7930:$C$8796,0))</f>
        <v>3.3000000000000002E-2</v>
      </c>
      <c r="G8899" s="508">
        <f t="array" ref="G8899">INDEX(G$7930:G$8796,MATCH($B8899&amp;$C8899,$B$7930:$B$8796&amp;$C$7930:$C$8796,0))</f>
        <v>3.3000000000000002E-2</v>
      </c>
      <c r="H8899" s="508">
        <f t="array" ref="H8899">INDEX(H$7930:H$8796,MATCH($B8899&amp;$C8899,$B$7930:$B$8796&amp;$C$7930:$C$8796,0))</f>
        <v>3.3000000000000002E-2</v>
      </c>
      <c r="I8899" s="508">
        <f t="array" ref="I8899">INDEX(I$7930:I$8796,MATCH($B8899&amp;$C8899,$B$7930:$B$8796&amp;$C$7930:$C$8796,0))</f>
        <v>3.3000000000000002E-2</v>
      </c>
      <c r="J8899" s="508">
        <f t="array" ref="J8899">INDEX(J$7930:J$8796,MATCH($B8899&amp;$C8899,$B$7930:$B$8796&amp;$C$7930:$C$8796,0))</f>
        <v>3.3000000000000002E-2</v>
      </c>
      <c r="K8899" s="508">
        <f t="array" ref="K8899">INDEX(K$7930:K$8796,MATCH($B8899&amp;$C8899,$B$7930:$B$8796&amp;$C$7930:$C$8796,0))</f>
        <v>3.3000000000000002E-2</v>
      </c>
      <c r="L8899" s="508">
        <f t="array" ref="L8899">INDEX(L$7930:L$8796,MATCH($B8899&amp;$C8899,$B$7930:$B$8796&amp;$C$7930:$C$8796,0))</f>
        <v>3.3000000000000002E-2</v>
      </c>
      <c r="M8899" s="508">
        <f t="array" ref="M8899">INDEX(M$7930:M$8796,MATCH($B8899&amp;$C8899,$B$7930:$B$8796&amp;$C$7930:$C$8796,0))</f>
        <v>3.3000000000000002E-2</v>
      </c>
      <c r="N8899" s="508">
        <f t="array" ref="N8899">INDEX(N$7930:N$8796,MATCH($B8899&amp;$C8899,$B$7930:$B$8796&amp;$C$7930:$C$8796,0))</f>
        <v>3.3000000000000002E-2</v>
      </c>
      <c r="O8899" s="508">
        <f t="array" ref="O8899">INDEX(O$7930:O$8796,MATCH($B8899&amp;$C8899,$B$7930:$B$8796&amp;$C$7930:$C$8796,0))</f>
        <v>3.3000000000000002E-2</v>
      </c>
      <c r="P8899" s="508">
        <f t="array" ref="P8899">INDEX(P$7930:P$8796,MATCH($B8899&amp;$C8899,$B$7930:$B$8796&amp;$C$7930:$C$8796,0))</f>
        <v>2.5999999999999999E-2</v>
      </c>
      <c r="Q8899" s="508">
        <f t="array" ref="Q8899">INDEX(Q$7930:Q$8796,MATCH($B8899&amp;$C8899,$B$7930:$B$8796&amp;$C$7930:$C$8796,0))</f>
        <v>2.5999999999999999E-2</v>
      </c>
      <c r="R8899" s="508">
        <f t="array" ref="R8899">INDEX(R$7930:R$8796,MATCH($B8899&amp;$C8899,$B$7930:$B$8796&amp;$C$7930:$C$8796,0))</f>
        <v>2.5999999999999999E-2</v>
      </c>
      <c r="S8899" s="508">
        <f t="array" ref="S8899">INDEX(S$7930:S$8796,MATCH($B8899&amp;$C8899,$B$7930:$B$8796&amp;$C$7930:$C$8796,0))</f>
        <v>2.5999999999999999E-2</v>
      </c>
      <c r="T8899" s="508">
        <f t="array" ref="T8899">INDEX(T$7930:T$8796,MATCH($B8899&amp;$C8899,$B$7930:$B$8796&amp;$C$7930:$C$8796,0))</f>
        <v>2.5999999999999999E-2</v>
      </c>
      <c r="U8899" s="508">
        <f t="array" ref="U8899">INDEX(U$7930:U$8796,MATCH($B8899&amp;$C8899,$B$7930:$B$8796&amp;$C$7930:$C$8796,0))</f>
        <v>2.5999999999999999E-2</v>
      </c>
      <c r="V8899" s="508">
        <f t="array" ref="V8899">INDEX(V$7930:V$8796,MATCH($B8899&amp;$C8899,$B$7930:$B$8796&amp;$C$7930:$C$8796,0))</f>
        <v>2.5999999999999999E-2</v>
      </c>
      <c r="W8899" s="508">
        <f t="array" ref="W8899">INDEX(W$7930:W$8796,MATCH($B8899&amp;$C8899,$B$7930:$B$8796&amp;$C$7930:$C$8796,0))</f>
        <v>2.5000000000000001E-2</v>
      </c>
      <c r="X8899" s="508">
        <f t="array" ref="X8899">INDEX(X$7930:X$8796,MATCH($B8899&amp;$C8899,$B$7930:$B$8796&amp;$C$7930:$C$8796,0))</f>
        <v>2.5000000000000001E-2</v>
      </c>
      <c r="Y8899" s="508">
        <f t="array" ref="Y8899">INDEX(Y$7930:Y$8796,MATCH($B8899&amp;$C8899,$B$7930:$B$8796&amp;$C$7930:$C$8796,0))</f>
        <v>2.5000000000000001E-2</v>
      </c>
      <c r="Z8899" s="508">
        <f t="array" ref="Z8899">INDEX(Z$7930:Z$8796,MATCH($B8899&amp;$C8899,$B$7930:$B$8796&amp;$C$7930:$C$8796,0))</f>
        <v>2.5000000000000001E-2</v>
      </c>
      <c r="AA8899" s="508">
        <f t="array" ref="AA8899">INDEX(AA$7930:AA$8796,MATCH($B8899&amp;$C8899,$B$7930:$B$8796&amp;$C$7930:$C$8796,0))</f>
        <v>2.5000000000000001E-2</v>
      </c>
      <c r="AB8899" s="508">
        <f t="array" ref="AB8899">INDEX(AB$7930:AB$8796,MATCH($B8899&amp;$C8899,$B$7930:$B$8796&amp;$C$7930:$C$8796,0))</f>
        <v>2.5000000000000001E-2</v>
      </c>
      <c r="AC8899" s="508">
        <f t="array" ref="AC8899">INDEX(AC$7930:AC$8796,MATCH($B8899&amp;$C8899,$B$7930:$B$8796&amp;$C$7930:$C$8796,0))</f>
        <v>2.5000000000000001E-2</v>
      </c>
      <c r="AD8899" s="508">
        <f t="array" ref="AD8899">INDEX(AD$7930:AD$8796,MATCH($B8899&amp;$C8899,$B$7930:$B$8796&amp;$C$7930:$C$8796,0))</f>
        <v>2.5000000000000001E-2</v>
      </c>
      <c r="AE8899" s="508">
        <f t="array" ref="AE8899">INDEX(AE$7930:AE$8796,MATCH($B8899&amp;$C8899,$B$7930:$B$8796&amp;$C$7930:$C$8796,0))</f>
        <v>2.5000000000000001E-2</v>
      </c>
      <c r="AF8899" s="508">
        <f t="array" ref="AF8899">INDEX(AF$7930:AF$8796,MATCH($B8899&amp;$C8899,$B$7930:$B$8796&amp;$C$7930:$C$8796,0))</f>
        <v>2.5000000000000001E-2</v>
      </c>
      <c r="AG8899" s="508">
        <f t="array" ref="AG8899">INDEX(AG$7930:AG$8796,MATCH($B8899&amp;$C8899,$B$7930:$B$8796&amp;$C$7930:$C$8796,0))</f>
        <v>2.5000000000000001E-2</v>
      </c>
      <c r="AH8899" s="508">
        <f t="array" ref="AH8899">INDEX(AH$7930:AH$8796,MATCH($B8899&amp;$C8899,$B$7930:$B$8796&amp;$C$7930:$C$8796,0))</f>
        <v>2.4E-2</v>
      </c>
      <c r="AI8899" s="508">
        <f t="array" ref="AI8899">INDEX(AI$7930:AI$8796,MATCH($B8899&amp;$C8899,$B$7930:$B$8796&amp;$C$7930:$C$8796,0))</f>
        <v>2.4E-2</v>
      </c>
      <c r="AJ8899" s="508"/>
      <c r="AK8899" s="508">
        <f t="shared" si="186"/>
        <v>2.3791304347826087E-2</v>
      </c>
      <c r="AL8899" s="508">
        <f t="shared" si="187"/>
        <v>2.3582608695652173E-2</v>
      </c>
      <c r="AM8899" s="508">
        <f t="shared" si="187"/>
        <v>2.3373913043478259E-2</v>
      </c>
      <c r="AN8899" s="508">
        <f t="shared" si="187"/>
        <v>2.3165217391304345E-2</v>
      </c>
      <c r="AO8899" s="508">
        <f t="array" ref="AO8899">INDEX('GREET Fuel Attributes'!$E$8948:$E$9083,MATCH($C8899&amp;$D8899,'GREET Fuel Attributes'!$B$8948:$B$9083&amp;'GREET Fuel Attributes'!$C$8948:$C$9083,0))/INDEX('GREET Fuel Attributes'!$D$8948:$D$9083,MATCH($C8899&amp;$D8899,'GREET Fuel Attributes'!$B$8948:$B$9083&amp;'GREET Fuel Attributes'!$C$8948:$C$9083,0))*AI8899</f>
        <v>2.2956521739130435E-2</v>
      </c>
      <c r="AP8899" s="132" t="s">
        <v>1387</v>
      </c>
      <c r="AQ8899" s="142" t="s">
        <v>311</v>
      </c>
    </row>
    <row r="8900" spans="2:43">
      <c r="B8900" s="136" t="str">
        <f t="shared" ref="B8900:B8931" si="188">state_name</f>
        <v>ILLINOIS</v>
      </c>
      <c r="C8900" s="132" t="s">
        <v>1374</v>
      </c>
      <c r="D8900" s="132" t="s">
        <v>282</v>
      </c>
      <c r="E8900" s="508">
        <f t="array" ref="E8900">INDEX(E$1861:E$2727,MATCH($B8900&amp;$C8900,$B$1861:$B$2727&amp;$C$1861:$C$2727,0))</f>
        <v>94.358999999999995</v>
      </c>
      <c r="F8900" s="508">
        <f t="array" ref="F8900">INDEX(F$1861:F$2727,MATCH($B8900&amp;$C8900,$B$1861:$B$2727&amp;$C$1861:$C$2727,0))</f>
        <v>79.852999999999994</v>
      </c>
      <c r="G8900" s="508">
        <f t="array" ref="G8900">INDEX(G$1861:G$2727,MATCH($B8900&amp;$C8900,$B$1861:$B$2727&amp;$C$1861:$C$2727,0))</f>
        <v>63.075000000000003</v>
      </c>
      <c r="H8900" s="508">
        <f t="array" ref="H8900">INDEX(H$1861:H$2727,MATCH($B8900&amp;$C8900,$B$1861:$B$2727&amp;$C$1861:$C$2727,0))</f>
        <v>66.557000000000002</v>
      </c>
      <c r="I8900" s="508">
        <f t="array" ref="I8900">INDEX(I$1861:I$2727,MATCH($B8900&amp;$C8900,$B$1861:$B$2727&amp;$C$1861:$C$2727,0))</f>
        <v>67.813999999999993</v>
      </c>
      <c r="J8900" s="508">
        <f t="array" ref="J8900">INDEX(J$1861:J$2727,MATCH($B8900&amp;$C8900,$B$1861:$B$2727&amp;$C$1861:$C$2727,0))</f>
        <v>101.836</v>
      </c>
      <c r="K8900" s="508">
        <f t="array" ref="K8900">INDEX(K$1861:K$2727,MATCH($B8900&amp;$C8900,$B$1861:$B$2727&amp;$C$1861:$C$2727,0))</f>
        <v>95.834000000000003</v>
      </c>
      <c r="L8900" s="508">
        <f t="array" ref="L8900">INDEX(L$1861:L$2727,MATCH($B8900&amp;$C8900,$B$1861:$B$2727&amp;$C$1861:$C$2727,0))</f>
        <v>95.07</v>
      </c>
      <c r="M8900" s="508">
        <f t="array" ref="M8900">INDEX(M$1861:M$2727,MATCH($B8900&amp;$C8900,$B$1861:$B$2727&amp;$C$1861:$C$2727,0))</f>
        <v>93.283000000000001</v>
      </c>
      <c r="N8900" s="508">
        <f t="array" ref="N8900">INDEX(N$1861:N$2727,MATCH($B8900&amp;$C8900,$B$1861:$B$2727&amp;$C$1861:$C$2727,0))</f>
        <v>94.84</v>
      </c>
      <c r="O8900" s="508">
        <f t="array" ref="O8900">INDEX(O$1861:O$2727,MATCH($B8900&amp;$C8900,$B$1861:$B$2727&amp;$C$1861:$C$2727,0))</f>
        <v>84.825999999999993</v>
      </c>
      <c r="P8900" s="508">
        <f t="array" ref="P8900">INDEX(P$1861:P$2727,MATCH($B8900&amp;$C8900,$B$1861:$B$2727&amp;$C$1861:$C$2727,0))</f>
        <v>92.56</v>
      </c>
      <c r="Q8900" s="508">
        <f t="array" ref="Q8900">INDEX(Q$1861:Q$2727,MATCH($B8900&amp;$C8900,$B$1861:$B$2727&amp;$C$1861:$C$2727,0))</f>
        <v>74.185000000000002</v>
      </c>
      <c r="R8900" s="508">
        <f t="array" ref="R8900">INDEX(R$1861:R$2727,MATCH($B8900&amp;$C8900,$B$1861:$B$2727&amp;$C$1861:$C$2727,0))</f>
        <v>37.957999999999998</v>
      </c>
      <c r="S8900" s="508">
        <f t="array" ref="S8900">INDEX(S$1861:S$2727,MATCH($B8900&amp;$C8900,$B$1861:$B$2727&amp;$C$1861:$C$2727,0))</f>
        <v>33.530999999999999</v>
      </c>
      <c r="T8900" s="508">
        <f t="array" ref="T8900">INDEX(T$1861:T$2727,MATCH($B8900&amp;$C8900,$B$1861:$B$2727&amp;$C$1861:$C$2727,0))</f>
        <v>37.154000000000003</v>
      </c>
      <c r="U8900" s="508">
        <f t="array" ref="U8900">INDEX(U$1861:U$2727,MATCH($B8900&amp;$C8900,$B$1861:$B$2727&amp;$C$1861:$C$2727,0))</f>
        <v>30.367000000000001</v>
      </c>
      <c r="V8900" s="508">
        <f t="array" ref="V8900">INDEX(V$1861:V$2727,MATCH($B8900&amp;$C8900,$B$1861:$B$2727&amp;$C$1861:$C$2727,0))</f>
        <v>37.396000000000001</v>
      </c>
      <c r="W8900" s="508">
        <f t="array" ref="W8900">INDEX(W$1861:W$2727,MATCH($B8900&amp;$C8900,$B$1861:$B$2727&amp;$C$1861:$C$2727,0))</f>
        <v>0</v>
      </c>
      <c r="X8900" s="508">
        <f t="array" ref="X8900">INDEX(X$1861:X$2727,MATCH($B8900&amp;$C8900,$B$1861:$B$2727&amp;$C$1861:$C$2727,0))</f>
        <v>33.584000000000003</v>
      </c>
      <c r="Y8900" s="508">
        <f t="array" ref="Y8900">INDEX(Y$1861:Y$2727,MATCH($B8900&amp;$C8900,$B$1861:$B$2727&amp;$C$1861:$C$2727,0))</f>
        <v>0</v>
      </c>
      <c r="Z8900" s="508">
        <f t="array" ref="Z8900">INDEX(Z$1861:Z$2727,MATCH($B8900&amp;$C8900,$B$1861:$B$2727&amp;$C$1861:$C$2727,0))</f>
        <v>0</v>
      </c>
      <c r="AA8900" s="508">
        <f t="array" ref="AA8900">INDEX(AA$1861:AA$2727,MATCH($B8900&amp;$C8900,$B$1861:$B$2727&amp;$C$1861:$C$2727,0))</f>
        <v>0</v>
      </c>
      <c r="AB8900" s="508">
        <f t="array" ref="AB8900">INDEX(AB$1861:AB$2727,MATCH($B8900&amp;$C8900,$B$1861:$B$2727&amp;$C$1861:$C$2727,0))</f>
        <v>0</v>
      </c>
      <c r="AC8900" s="508">
        <f t="array" ref="AC8900">INDEX(AC$1861:AC$2727,MATCH($B8900&amp;$C8900,$B$1861:$B$2727&amp;$C$1861:$C$2727,0))</f>
        <v>0</v>
      </c>
      <c r="AD8900" s="508">
        <f t="array" ref="AD8900">INDEX(AD$1861:AD$2727,MATCH($B8900&amp;$C8900,$B$1861:$B$2727&amp;$C$1861:$C$2727,0))</f>
        <v>0</v>
      </c>
      <c r="AE8900" s="508">
        <f t="array" ref="AE8900">INDEX(AE$1861:AE$2727,MATCH($B8900&amp;$C8900,$B$1861:$B$2727&amp;$C$1861:$C$2727,0))</f>
        <v>0</v>
      </c>
      <c r="AF8900" s="508">
        <f t="array" ref="AF8900">INDEX(AF$1861:AF$2727,MATCH($B8900&amp;$C8900,$B$1861:$B$2727&amp;$C$1861:$C$2727,0))</f>
        <v>0</v>
      </c>
      <c r="AG8900" s="508">
        <f t="array" ref="AG8900">INDEX(AG$1861:AG$2727,MATCH($B8900&amp;$C8900,$B$1861:$B$2727&amp;$C$1861:$C$2727,0))</f>
        <v>0</v>
      </c>
      <c r="AH8900" s="508">
        <f t="array" ref="AH8900">INDEX(AH$1861:AH$2727,MATCH($B8900&amp;$C8900,$B$1861:$B$2727&amp;$C$1861:$C$2727,0))</f>
        <v>0</v>
      </c>
      <c r="AI8900" s="508">
        <f t="array" ref="AI8900">INDEX(AI$1861:AI$2727,MATCH($B8900&amp;$C8900,$B$1861:$B$2727&amp;$C$1861:$C$2727,0))</f>
        <v>0</v>
      </c>
      <c r="AJ8900" s="508"/>
      <c r="AK8900" s="508">
        <f t="shared" si="186"/>
        <v>0</v>
      </c>
      <c r="AL8900" s="508">
        <f t="shared" si="187"/>
        <v>0</v>
      </c>
      <c r="AM8900" s="508">
        <f t="shared" si="187"/>
        <v>0</v>
      </c>
      <c r="AN8900" s="508">
        <f t="shared" si="187"/>
        <v>0</v>
      </c>
      <c r="AO8900" s="508">
        <f t="array" ref="AO8900">INDEX('GREET Fuel Attributes'!$E$8948:$E$9083,MATCH($C8900&amp;$D8900,'GREET Fuel Attributes'!$B$8948:$B$9083&amp;'GREET Fuel Attributes'!$C$8948:$C$9083,0))/INDEX('GREET Fuel Attributes'!$D$8948:$D$9083,MATCH($C8900&amp;$D8900,'GREET Fuel Attributes'!$B$8948:$B$9083&amp;'GREET Fuel Attributes'!$C$8948:$C$9083,0))*AI8900</f>
        <v>0</v>
      </c>
      <c r="AP8900" s="132" t="s">
        <v>1388</v>
      </c>
      <c r="AQ8900" s="142" t="s">
        <v>311</v>
      </c>
    </row>
    <row r="8901" spans="2:43">
      <c r="B8901" s="136" t="str">
        <f t="shared" si="188"/>
        <v>ILLINOIS</v>
      </c>
      <c r="C8901" s="132" t="s">
        <v>1374</v>
      </c>
      <c r="D8901" s="132" t="s">
        <v>283</v>
      </c>
      <c r="E8901" s="508">
        <f t="array" ref="E8901">INDEX(E$2728:E$3594,MATCH($B8901&amp;$C8901,$B$2728:$B$3594&amp;$C$2728:$C$3594,0))</f>
        <v>10.677</v>
      </c>
      <c r="F8901" s="508">
        <f t="array" ref="F8901">INDEX(F$2728:F$3594,MATCH($B8901&amp;$C8901,$B$2728:$B$3594&amp;$C$2728:$C$3594,0))</f>
        <v>10.486000000000001</v>
      </c>
      <c r="G8901" s="508">
        <f t="array" ref="G8901">INDEX(G$2728:G$3594,MATCH($B8901&amp;$C8901,$B$2728:$B$3594&amp;$C$2728:$C$3594,0))</f>
        <v>10.327</v>
      </c>
      <c r="H8901" s="508">
        <f t="array" ref="H8901">INDEX(H$2728:H$3594,MATCH($B8901&amp;$C8901,$B$2728:$B$3594&amp;$C$2728:$C$3594,0))</f>
        <v>10.192</v>
      </c>
      <c r="I8901" s="508">
        <f t="array" ref="I8901">INDEX(I$2728:I$3594,MATCH($B8901&amp;$C8901,$B$2728:$B$3594&amp;$C$2728:$C$3594,0))</f>
        <v>10.076000000000001</v>
      </c>
      <c r="J8901" s="508">
        <f t="array" ref="J8901">INDEX(J$2728:J$3594,MATCH($B8901&amp;$C8901,$B$2728:$B$3594&amp;$C$2728:$C$3594,0))</f>
        <v>7.0419999999999998</v>
      </c>
      <c r="K8901" s="508">
        <f t="array" ref="K8901">INDEX(K$2728:K$3594,MATCH($B8901&amp;$C8901,$B$2728:$B$3594&amp;$C$2728:$C$3594,0))</f>
        <v>6.9539999999999997</v>
      </c>
      <c r="L8901" s="508">
        <f t="array" ref="L8901">INDEX(L$2728:L$3594,MATCH($B8901&amp;$C8901,$B$2728:$B$3594&amp;$C$2728:$C$3594,0))</f>
        <v>6.8769999999999998</v>
      </c>
      <c r="M8901" s="508">
        <f t="array" ref="M8901">INDEX(M$2728:M$3594,MATCH($B8901&amp;$C8901,$B$2728:$B$3594&amp;$C$2728:$C$3594,0))</f>
        <v>6.8079999999999998</v>
      </c>
      <c r="N8901" s="508">
        <f t="array" ref="N8901">INDEX(N$2728:N$3594,MATCH($B8901&amp;$C8901,$B$2728:$B$3594&amp;$C$2728:$C$3594,0))</f>
        <v>6.63</v>
      </c>
      <c r="O8901" s="508">
        <f t="array" ref="O8901">INDEX(O$2728:O$3594,MATCH($B8901&amp;$C8901,$B$2728:$B$3594&amp;$C$2728:$C$3594,0))</f>
        <v>6.5759999999999996</v>
      </c>
      <c r="P8901" s="508">
        <f t="array" ref="P8901">INDEX(P$2728:P$3594,MATCH($B8901&amp;$C8901,$B$2728:$B$3594&amp;$C$2728:$C$3594,0))</f>
        <v>6.5259999999999998</v>
      </c>
      <c r="Q8901" s="508">
        <f t="array" ref="Q8901">INDEX(Q$2728:Q$3594,MATCH($B8901&amp;$C8901,$B$2728:$B$3594&amp;$C$2728:$C$3594,0))</f>
        <v>6.4809999999999999</v>
      </c>
      <c r="R8901" s="508">
        <f t="array" ref="R8901">INDEX(R$2728:R$3594,MATCH($B8901&amp;$C8901,$B$2728:$B$3594&amp;$C$2728:$C$3594,0))</f>
        <v>4.8319999999999999</v>
      </c>
      <c r="S8901" s="508">
        <f t="array" ref="S8901">INDEX(S$2728:S$3594,MATCH($B8901&amp;$C8901,$B$2728:$B$3594&amp;$C$2728:$C$3594,0))</f>
        <v>4.7939999999999996</v>
      </c>
      <c r="T8901" s="508">
        <f t="array" ref="T8901">INDEX(T$2728:T$3594,MATCH($B8901&amp;$C8901,$B$2728:$B$3594&amp;$C$2728:$C$3594,0))</f>
        <v>4.6289999999999996</v>
      </c>
      <c r="U8901" s="508">
        <f t="array" ref="U8901">INDEX(U$2728:U$3594,MATCH($B8901&amp;$C8901,$B$2728:$B$3594&amp;$C$2728:$C$3594,0))</f>
        <v>4.4809999999999999</v>
      </c>
      <c r="V8901" s="508">
        <f t="array" ref="V8901">INDEX(V$2728:V$3594,MATCH($B8901&amp;$C8901,$B$2728:$B$3594&amp;$C$2728:$C$3594,0))</f>
        <v>4.407</v>
      </c>
      <c r="W8901" s="508">
        <f t="array" ref="W8901">INDEX(W$2728:W$3594,MATCH($B8901&amp;$C8901,$B$2728:$B$3594&amp;$C$2728:$C$3594,0))</f>
        <v>0</v>
      </c>
      <c r="X8901" s="508">
        <f t="array" ref="X8901">INDEX(X$2728:X$3594,MATCH($B8901&amp;$C8901,$B$2728:$B$3594&amp;$C$2728:$C$3594,0))</f>
        <v>4.3070000000000004</v>
      </c>
      <c r="Y8901" s="508">
        <f t="array" ref="Y8901">INDEX(Y$2728:Y$3594,MATCH($B8901&amp;$C8901,$B$2728:$B$3594&amp;$C$2728:$C$3594,0))</f>
        <v>0</v>
      </c>
      <c r="Z8901" s="508">
        <f t="array" ref="Z8901">INDEX(Z$2728:Z$3594,MATCH($B8901&amp;$C8901,$B$2728:$B$3594&amp;$C$2728:$C$3594,0))</f>
        <v>0</v>
      </c>
      <c r="AA8901" s="508">
        <f t="array" ref="AA8901">INDEX(AA$2728:AA$3594,MATCH($B8901&amp;$C8901,$B$2728:$B$3594&amp;$C$2728:$C$3594,0))</f>
        <v>0</v>
      </c>
      <c r="AB8901" s="508">
        <f t="array" ref="AB8901">INDEX(AB$2728:AB$3594,MATCH($B8901&amp;$C8901,$B$2728:$B$3594&amp;$C$2728:$C$3594,0))</f>
        <v>0</v>
      </c>
      <c r="AC8901" s="508">
        <f t="array" ref="AC8901">INDEX(AC$2728:AC$3594,MATCH($B8901&amp;$C8901,$B$2728:$B$3594&amp;$C$2728:$C$3594,0))</f>
        <v>0</v>
      </c>
      <c r="AD8901" s="508">
        <f t="array" ref="AD8901">INDEX(AD$2728:AD$3594,MATCH($B8901&amp;$C8901,$B$2728:$B$3594&amp;$C$2728:$C$3594,0))</f>
        <v>0</v>
      </c>
      <c r="AE8901" s="508">
        <f t="array" ref="AE8901">INDEX(AE$2728:AE$3594,MATCH($B8901&amp;$C8901,$B$2728:$B$3594&amp;$C$2728:$C$3594,0))</f>
        <v>0</v>
      </c>
      <c r="AF8901" s="508">
        <f t="array" ref="AF8901">INDEX(AF$2728:AF$3594,MATCH($B8901&amp;$C8901,$B$2728:$B$3594&amp;$C$2728:$C$3594,0))</f>
        <v>0</v>
      </c>
      <c r="AG8901" s="508">
        <f t="array" ref="AG8901">INDEX(AG$2728:AG$3594,MATCH($B8901&amp;$C8901,$B$2728:$B$3594&amp;$C$2728:$C$3594,0))</f>
        <v>0</v>
      </c>
      <c r="AH8901" s="508">
        <f t="array" ref="AH8901">INDEX(AH$2728:AH$3594,MATCH($B8901&amp;$C8901,$B$2728:$B$3594&amp;$C$2728:$C$3594,0))</f>
        <v>0</v>
      </c>
      <c r="AI8901" s="508">
        <f t="array" ref="AI8901">INDEX(AI$2728:AI$3594,MATCH($B8901&amp;$C8901,$B$2728:$B$3594&amp;$C$2728:$C$3594,0))</f>
        <v>0</v>
      </c>
      <c r="AJ8901" s="508"/>
      <c r="AK8901" s="508">
        <f t="shared" si="186"/>
        <v>0</v>
      </c>
      <c r="AL8901" s="508">
        <f t="shared" si="187"/>
        <v>0</v>
      </c>
      <c r="AM8901" s="508">
        <f t="shared" si="187"/>
        <v>0</v>
      </c>
      <c r="AN8901" s="508">
        <f t="shared" si="187"/>
        <v>0</v>
      </c>
      <c r="AO8901" s="508">
        <f t="array" ref="AO8901">INDEX('GREET Fuel Attributes'!$E$8948:$E$9083,MATCH($C8901&amp;$D8901,'GREET Fuel Attributes'!$B$8948:$B$9083&amp;'GREET Fuel Attributes'!$C$8948:$C$9083,0))/INDEX('GREET Fuel Attributes'!$D$8948:$D$9083,MATCH($C8901&amp;$D8901,'GREET Fuel Attributes'!$B$8948:$B$9083&amp;'GREET Fuel Attributes'!$C$8948:$C$9083,0))*AI8901</f>
        <v>0</v>
      </c>
      <c r="AP8901" s="132" t="s">
        <v>1388</v>
      </c>
      <c r="AQ8901" s="142" t="s">
        <v>311</v>
      </c>
    </row>
    <row r="8902" spans="2:43">
      <c r="B8902" s="136" t="str">
        <f t="shared" si="188"/>
        <v>ILLINOIS</v>
      </c>
      <c r="C8902" s="132" t="s">
        <v>1374</v>
      </c>
      <c r="D8902" s="132" t="s">
        <v>284</v>
      </c>
      <c r="E8902" s="508">
        <f t="array" ref="E8902">INDEX(E$3595:E$4461,MATCH($B8902&amp;$C8902,$B$3595:$B$4461&amp;$C$3595:$C$4461,0))</f>
        <v>0.25700000000000001</v>
      </c>
      <c r="F8902" s="508">
        <f t="array" ref="F8902">INDEX(F$3595:F$4461,MATCH($B8902&amp;$C8902,$B$3595:$B$4461&amp;$C$3595:$C$4461,0))</f>
        <v>0.249</v>
      </c>
      <c r="G8902" s="508">
        <f t="array" ref="G8902">INDEX(G$3595:G$4461,MATCH($B8902&amp;$C8902,$B$3595:$B$4461&amp;$C$3595:$C$4461,0))</f>
        <v>0.24399999999999999</v>
      </c>
      <c r="H8902" s="508">
        <f t="array" ref="H8902">INDEX(H$3595:H$4461,MATCH($B8902&amp;$C8902,$B$3595:$B$4461&amp;$C$3595:$C$4461,0))</f>
        <v>0.193</v>
      </c>
      <c r="I8902" s="508">
        <f t="array" ref="I8902">INDEX(I$3595:I$4461,MATCH($B8902&amp;$C8902,$B$3595:$B$4461&amp;$C$3595:$C$4461,0))</f>
        <v>0.19</v>
      </c>
      <c r="J8902" s="508">
        <f t="array" ref="J8902">INDEX(J$3595:J$4461,MATCH($B8902&amp;$C8902,$B$3595:$B$4461&amp;$C$3595:$C$4461,0))</f>
        <v>0.19700000000000001</v>
      </c>
      <c r="K8902" s="508">
        <f t="array" ref="K8902">INDEX(K$3595:K$4461,MATCH($B8902&amp;$C8902,$B$3595:$B$4461&amp;$C$3595:$C$4461,0))</f>
        <v>0.14899999999999999</v>
      </c>
      <c r="L8902" s="508">
        <f t="array" ref="L8902">INDEX(L$3595:L$4461,MATCH($B8902&amp;$C8902,$B$3595:$B$4461&amp;$C$3595:$C$4461,0))</f>
        <v>0.14699999999999999</v>
      </c>
      <c r="M8902" s="508">
        <f t="array" ref="M8902">INDEX(M$3595:M$4461,MATCH($B8902&amp;$C8902,$B$3595:$B$4461&amp;$C$3595:$C$4461,0))</f>
        <v>0.14499999999999999</v>
      </c>
      <c r="N8902" s="508">
        <f t="array" ref="N8902">INDEX(N$3595:N$4461,MATCH($B8902&amp;$C8902,$B$3595:$B$4461&amp;$C$3595:$C$4461,0))</f>
        <v>0.128</v>
      </c>
      <c r="O8902" s="508">
        <f t="array" ref="O8902">INDEX(O$3595:O$4461,MATCH($B8902&amp;$C8902,$B$3595:$B$4461&amp;$C$3595:$C$4461,0))</f>
        <v>0.13100000000000001</v>
      </c>
      <c r="P8902" s="508">
        <f t="array" ref="P8902">INDEX(P$3595:P$4461,MATCH($B8902&amp;$C8902,$B$3595:$B$4461&amp;$C$3595:$C$4461,0))</f>
        <v>0.1</v>
      </c>
      <c r="Q8902" s="508">
        <f t="array" ref="Q8902">INDEX(Q$3595:Q$4461,MATCH($B8902&amp;$C8902,$B$3595:$B$4461&amp;$C$3595:$C$4461,0))</f>
        <v>7.2999999999999995E-2</v>
      </c>
      <c r="R8902" s="508">
        <f t="array" ref="R8902">INDEX(R$3595:R$4461,MATCH($B8902&amp;$C8902,$B$3595:$B$4461&amp;$C$3595:$C$4461,0))</f>
        <v>8.1000000000000003E-2</v>
      </c>
      <c r="S8902" s="508">
        <f t="array" ref="S8902">INDEX(S$3595:S$4461,MATCH($B8902&amp;$C8902,$B$3595:$B$4461&amp;$C$3595:$C$4461,0))</f>
        <v>0.1</v>
      </c>
      <c r="T8902" s="508">
        <f t="array" ref="T8902">INDEX(T$3595:T$4461,MATCH($B8902&amp;$C8902,$B$3595:$B$4461&amp;$C$3595:$C$4461,0))</f>
        <v>8.1000000000000003E-2</v>
      </c>
      <c r="U8902" s="508">
        <f t="array" ref="U8902">INDEX(U$3595:U$4461,MATCH($B8902&amp;$C8902,$B$3595:$B$4461&amp;$C$3595:$C$4461,0))</f>
        <v>7.0999999999999994E-2</v>
      </c>
      <c r="V8902" s="508">
        <f t="array" ref="V8902">INDEX(V$3595:V$4461,MATCH($B8902&amp;$C8902,$B$3595:$B$4461&amp;$C$3595:$C$4461,0))</f>
        <v>3.5000000000000003E-2</v>
      </c>
      <c r="W8902" s="508">
        <f t="array" ref="W8902">INDEX(W$3595:W$4461,MATCH($B8902&amp;$C8902,$B$3595:$B$4461&amp;$C$3595:$C$4461,0))</f>
        <v>0</v>
      </c>
      <c r="X8902" s="508">
        <f t="array" ref="X8902">INDEX(X$3595:X$4461,MATCH($B8902&amp;$C8902,$B$3595:$B$4461&amp;$C$3595:$C$4461,0))</f>
        <v>2.1999999999999999E-2</v>
      </c>
      <c r="Y8902" s="508">
        <f t="array" ref="Y8902">INDEX(Y$3595:Y$4461,MATCH($B8902&amp;$C8902,$B$3595:$B$4461&amp;$C$3595:$C$4461,0))</f>
        <v>0</v>
      </c>
      <c r="Z8902" s="508">
        <f t="array" ref="Z8902">INDEX(Z$3595:Z$4461,MATCH($B8902&amp;$C8902,$B$3595:$B$4461&amp;$C$3595:$C$4461,0))</f>
        <v>0</v>
      </c>
      <c r="AA8902" s="508">
        <f t="array" ref="AA8902">INDEX(AA$3595:AA$4461,MATCH($B8902&amp;$C8902,$B$3595:$B$4461&amp;$C$3595:$C$4461,0))</f>
        <v>0</v>
      </c>
      <c r="AB8902" s="508">
        <f t="array" ref="AB8902">INDEX(AB$3595:AB$4461,MATCH($B8902&amp;$C8902,$B$3595:$B$4461&amp;$C$3595:$C$4461,0))</f>
        <v>0</v>
      </c>
      <c r="AC8902" s="508">
        <f t="array" ref="AC8902">INDEX(AC$3595:AC$4461,MATCH($B8902&amp;$C8902,$B$3595:$B$4461&amp;$C$3595:$C$4461,0))</f>
        <v>0</v>
      </c>
      <c r="AD8902" s="508">
        <f t="array" ref="AD8902">INDEX(AD$3595:AD$4461,MATCH($B8902&amp;$C8902,$B$3595:$B$4461&amp;$C$3595:$C$4461,0))</f>
        <v>0</v>
      </c>
      <c r="AE8902" s="508">
        <f t="array" ref="AE8902">INDEX(AE$3595:AE$4461,MATCH($B8902&amp;$C8902,$B$3595:$B$4461&amp;$C$3595:$C$4461,0))</f>
        <v>0</v>
      </c>
      <c r="AF8902" s="508">
        <f t="array" ref="AF8902">INDEX(AF$3595:AF$4461,MATCH($B8902&amp;$C8902,$B$3595:$B$4461&amp;$C$3595:$C$4461,0))</f>
        <v>0</v>
      </c>
      <c r="AG8902" s="508">
        <f t="array" ref="AG8902">INDEX(AG$3595:AG$4461,MATCH($B8902&amp;$C8902,$B$3595:$B$4461&amp;$C$3595:$C$4461,0))</f>
        <v>0</v>
      </c>
      <c r="AH8902" s="508">
        <f t="array" ref="AH8902">INDEX(AH$3595:AH$4461,MATCH($B8902&amp;$C8902,$B$3595:$B$4461&amp;$C$3595:$C$4461,0))</f>
        <v>0</v>
      </c>
      <c r="AI8902" s="508">
        <f t="array" ref="AI8902">INDEX(AI$3595:AI$4461,MATCH($B8902&amp;$C8902,$B$3595:$B$4461&amp;$C$3595:$C$4461,0))</f>
        <v>0</v>
      </c>
      <c r="AJ8902" s="508"/>
      <c r="AK8902" s="508">
        <f t="shared" si="186"/>
        <v>0</v>
      </c>
      <c r="AL8902" s="508">
        <f t="shared" si="187"/>
        <v>0</v>
      </c>
      <c r="AM8902" s="508">
        <f t="shared" si="187"/>
        <v>0</v>
      </c>
      <c r="AN8902" s="508">
        <f t="shared" si="187"/>
        <v>0</v>
      </c>
      <c r="AO8902" s="508">
        <f t="array" ref="AO8902">INDEX('GREET Fuel Attributes'!$E$8948:$E$9083,MATCH($C8902&amp;$D8902,'GREET Fuel Attributes'!$B$8948:$B$9083&amp;'GREET Fuel Attributes'!$C$8948:$C$9083,0))/INDEX('GREET Fuel Attributes'!$D$8948:$D$9083,MATCH($C8902&amp;$D8902,'GREET Fuel Attributes'!$B$8948:$B$9083&amp;'GREET Fuel Attributes'!$C$8948:$C$9083,0))*AI8902</f>
        <v>0</v>
      </c>
      <c r="AP8902" s="132" t="s">
        <v>1388</v>
      </c>
      <c r="AQ8902" s="142" t="s">
        <v>311</v>
      </c>
    </row>
    <row r="8903" spans="2:43">
      <c r="B8903" s="136" t="str">
        <f t="shared" si="188"/>
        <v>ILLINOIS</v>
      </c>
      <c r="C8903" s="132" t="s">
        <v>1374</v>
      </c>
      <c r="D8903" s="132" t="s">
        <v>1379</v>
      </c>
      <c r="E8903" s="508">
        <f t="array" ref="E8903">INDEX(E$4462:E$5328,MATCH($B8903&amp;$C8903,$B$4462:$B$5328&amp;$C$4462:$C$5328,0))</f>
        <v>0.08</v>
      </c>
      <c r="F8903" s="508">
        <f t="array" ref="F8903">INDEX(F$4462:F$5328,MATCH($B8903&amp;$C8903,$B$4462:$B$5328&amp;$C$4462:$C$5328,0))</f>
        <v>7.9000000000000001E-2</v>
      </c>
      <c r="G8903" s="508">
        <f t="array" ref="G8903">INDEX(G$4462:G$5328,MATCH($B8903&amp;$C8903,$B$4462:$B$5328&amp;$C$4462:$C$5328,0))</f>
        <v>5.8000000000000003E-2</v>
      </c>
      <c r="H8903" s="508">
        <f t="array" ref="H8903">INDEX(H$4462:H$5328,MATCH($B8903&amp;$C8903,$B$4462:$B$5328&amp;$C$4462:$C$5328,0))</f>
        <v>6.3E-2</v>
      </c>
      <c r="I8903" s="508">
        <f t="array" ref="I8903">INDEX(I$4462:I$5328,MATCH($B8903&amp;$C8903,$B$4462:$B$5328&amp;$C$4462:$C$5328,0))</f>
        <v>7.4999999999999997E-2</v>
      </c>
      <c r="J8903" s="508">
        <f t="array" ref="J8903">INDEX(J$4462:J$5328,MATCH($B8903&amp;$C8903,$B$4462:$B$5328&amp;$C$4462:$C$5328,0))</f>
        <v>9.4E-2</v>
      </c>
      <c r="K8903" s="508">
        <f t="array" ref="K8903">INDEX(K$4462:K$5328,MATCH($B8903&amp;$C8903,$B$4462:$B$5328&amp;$C$4462:$C$5328,0))</f>
        <v>0.11</v>
      </c>
      <c r="L8903" s="508">
        <f t="array" ref="L8903">INDEX(L$4462:L$5328,MATCH($B8903&amp;$C8903,$B$4462:$B$5328&amp;$C$4462:$C$5328,0))</f>
        <v>0.114</v>
      </c>
      <c r="M8903" s="508">
        <f t="array" ref="M8903">INDEX(M$4462:M$5328,MATCH($B8903&amp;$C8903,$B$4462:$B$5328&amp;$C$4462:$C$5328,0))</f>
        <v>8.7999999999999995E-2</v>
      </c>
      <c r="N8903" s="508">
        <f t="array" ref="N8903">INDEX(N$4462:N$5328,MATCH($B8903&amp;$C8903,$B$4462:$B$5328&amp;$C$4462:$C$5328,0))</f>
        <v>8.5999999999999993E-2</v>
      </c>
      <c r="O8903" s="508">
        <f t="array" ref="O8903">INDEX(O$4462:O$5328,MATCH($B8903&amp;$C8903,$B$4462:$B$5328&amp;$C$4462:$C$5328,0))</f>
        <v>0.09</v>
      </c>
      <c r="P8903" s="508">
        <f t="array" ref="P8903">INDEX(P$4462:P$5328,MATCH($B8903&amp;$C8903,$B$4462:$B$5328&amp;$C$4462:$C$5328,0))</f>
        <v>9.4E-2</v>
      </c>
      <c r="Q8903" s="508">
        <f t="array" ref="Q8903">INDEX(Q$4462:Q$5328,MATCH($B8903&amp;$C8903,$B$4462:$B$5328&amp;$C$4462:$C$5328,0))</f>
        <v>6.0999999999999999E-2</v>
      </c>
      <c r="R8903" s="508">
        <f t="array" ref="R8903">INDEX(R$4462:R$5328,MATCH($B8903&amp;$C8903,$B$4462:$B$5328&amp;$C$4462:$C$5328,0))</f>
        <v>8.5000000000000006E-2</v>
      </c>
      <c r="S8903" s="508">
        <f t="array" ref="S8903">INDEX(S$4462:S$5328,MATCH($B8903&amp;$C8903,$B$4462:$B$5328&amp;$C$4462:$C$5328,0))</f>
        <v>6.4000000000000001E-2</v>
      </c>
      <c r="T8903" s="508">
        <f t="array" ref="T8903">INDEX(T$4462:T$5328,MATCH($B8903&amp;$C8903,$B$4462:$B$5328&amp;$C$4462:$C$5328,0))</f>
        <v>8.6999999999999994E-2</v>
      </c>
      <c r="U8903" s="508">
        <f t="array" ref="U8903">INDEX(U$4462:U$5328,MATCH($B8903&amp;$C8903,$B$4462:$B$5328&amp;$C$4462:$C$5328,0))</f>
        <v>6.4000000000000001E-2</v>
      </c>
      <c r="V8903" s="508">
        <f t="array" ref="V8903">INDEX(V$4462:V$5328,MATCH($B8903&amp;$C8903,$B$4462:$B$5328&amp;$C$4462:$C$5328,0))</f>
        <v>0.23799999999999999</v>
      </c>
      <c r="W8903" s="508">
        <f t="array" ref="W8903">INDEX(W$4462:W$5328,MATCH($B8903&amp;$C8903,$B$4462:$B$5328&amp;$C$4462:$C$5328,0))</f>
        <v>0</v>
      </c>
      <c r="X8903" s="508">
        <f t="array" ref="X8903">INDEX(X$4462:X$5328,MATCH($B8903&amp;$C8903,$B$4462:$B$5328&amp;$C$4462:$C$5328,0))</f>
        <v>0.23799999999999999</v>
      </c>
      <c r="Y8903" s="508">
        <f t="array" ref="Y8903">INDEX(Y$4462:Y$5328,MATCH($B8903&amp;$C8903,$B$4462:$B$5328&amp;$C$4462:$C$5328,0))</f>
        <v>0</v>
      </c>
      <c r="Z8903" s="508">
        <f t="array" ref="Z8903">INDEX(Z$4462:Z$5328,MATCH($B8903&amp;$C8903,$B$4462:$B$5328&amp;$C$4462:$C$5328,0))</f>
        <v>0</v>
      </c>
      <c r="AA8903" s="508">
        <f t="array" ref="AA8903">INDEX(AA$4462:AA$5328,MATCH($B8903&amp;$C8903,$B$4462:$B$5328&amp;$C$4462:$C$5328,0))</f>
        <v>0</v>
      </c>
      <c r="AB8903" s="508">
        <f t="array" ref="AB8903">INDEX(AB$4462:AB$5328,MATCH($B8903&amp;$C8903,$B$4462:$B$5328&amp;$C$4462:$C$5328,0))</f>
        <v>0</v>
      </c>
      <c r="AC8903" s="508">
        <f t="array" ref="AC8903">INDEX(AC$4462:AC$5328,MATCH($B8903&amp;$C8903,$B$4462:$B$5328&amp;$C$4462:$C$5328,0))</f>
        <v>0</v>
      </c>
      <c r="AD8903" s="508">
        <f t="array" ref="AD8903">INDEX(AD$4462:AD$5328,MATCH($B8903&amp;$C8903,$B$4462:$B$5328&amp;$C$4462:$C$5328,0))</f>
        <v>0</v>
      </c>
      <c r="AE8903" s="508">
        <f t="array" ref="AE8903">INDEX(AE$4462:AE$5328,MATCH($B8903&amp;$C8903,$B$4462:$B$5328&amp;$C$4462:$C$5328,0))</f>
        <v>0</v>
      </c>
      <c r="AF8903" s="508">
        <f t="array" ref="AF8903">INDEX(AF$4462:AF$5328,MATCH($B8903&amp;$C8903,$B$4462:$B$5328&amp;$C$4462:$C$5328,0))</f>
        <v>0</v>
      </c>
      <c r="AG8903" s="508">
        <f t="array" ref="AG8903">INDEX(AG$4462:AG$5328,MATCH($B8903&amp;$C8903,$B$4462:$B$5328&amp;$C$4462:$C$5328,0))</f>
        <v>0</v>
      </c>
      <c r="AH8903" s="508">
        <f t="array" ref="AH8903">INDEX(AH$4462:AH$5328,MATCH($B8903&amp;$C8903,$B$4462:$B$5328&amp;$C$4462:$C$5328,0))</f>
        <v>0</v>
      </c>
      <c r="AI8903" s="508">
        <f t="array" ref="AI8903">INDEX(AI$4462:AI$5328,MATCH($B8903&amp;$C8903,$B$4462:$B$5328&amp;$C$4462:$C$5328,0))</f>
        <v>0</v>
      </c>
      <c r="AJ8903" s="508"/>
      <c r="AK8903" s="508">
        <f t="shared" si="186"/>
        <v>0</v>
      </c>
      <c r="AL8903" s="508">
        <f t="shared" si="187"/>
        <v>0</v>
      </c>
      <c r="AM8903" s="508">
        <f t="shared" si="187"/>
        <v>0</v>
      </c>
      <c r="AN8903" s="508">
        <f t="shared" si="187"/>
        <v>0</v>
      </c>
      <c r="AO8903" s="508">
        <f t="array" ref="AO8903">INDEX('GREET Fuel Attributes'!$E$8948:$E$9083,MATCH($C8903&amp;$D8903,'GREET Fuel Attributes'!$B$8948:$B$9083&amp;'GREET Fuel Attributes'!$C$8948:$C$9083,0))/INDEX('GREET Fuel Attributes'!$D$8948:$D$9083,MATCH($C8903&amp;$D8903,'GREET Fuel Attributes'!$B$8948:$B$9083&amp;'GREET Fuel Attributes'!$C$8948:$C$9083,0))*AI8903</f>
        <v>0</v>
      </c>
      <c r="AP8903" s="132" t="s">
        <v>1388</v>
      </c>
      <c r="AQ8903" s="142" t="s">
        <v>311</v>
      </c>
    </row>
    <row r="8904" spans="2:43">
      <c r="B8904" s="136" t="str">
        <f t="shared" si="188"/>
        <v>ILLINOIS</v>
      </c>
      <c r="C8904" s="132" t="s">
        <v>1374</v>
      </c>
      <c r="D8904" s="132" t="s">
        <v>285</v>
      </c>
      <c r="E8904" s="508">
        <f t="array" ref="E8904">INDEX(E$5329:E$6195,MATCH($B8904&amp;$C8904,$B$5329:$B$6195&amp;$C$5329:$C$6195,0))</f>
        <v>0.22700000000000001</v>
      </c>
      <c r="F8904" s="508">
        <f t="array" ref="F8904">INDEX(F$5329:F$6195,MATCH($B8904&amp;$C8904,$B$5329:$B$6195&amp;$C$5329:$C$6195,0))</f>
        <v>0.221</v>
      </c>
      <c r="G8904" s="508">
        <f t="array" ref="G8904">INDEX(G$5329:G$6195,MATCH($B8904&amp;$C8904,$B$5329:$B$6195&amp;$C$5329:$C$6195,0))</f>
        <v>0.216</v>
      </c>
      <c r="H8904" s="508">
        <f t="array" ref="H8904">INDEX(H$5329:H$6195,MATCH($B8904&amp;$C8904,$B$5329:$B$6195&amp;$C$5329:$C$6195,0))</f>
        <v>0.17100000000000001</v>
      </c>
      <c r="I8904" s="508">
        <f t="array" ref="I8904">INDEX(I$5329:I$6195,MATCH($B8904&amp;$C8904,$B$5329:$B$6195&amp;$C$5329:$C$6195,0))</f>
        <v>0.16800000000000001</v>
      </c>
      <c r="J8904" s="508">
        <f t="array" ref="J8904">INDEX(J$5329:J$6195,MATCH($B8904&amp;$C8904,$B$5329:$B$6195&amp;$C$5329:$C$6195,0))</f>
        <v>0.17399999999999999</v>
      </c>
      <c r="K8904" s="508">
        <f t="array" ref="K8904">INDEX(K$5329:K$6195,MATCH($B8904&amp;$C8904,$B$5329:$B$6195&amp;$C$5329:$C$6195,0))</f>
        <v>0.13100000000000001</v>
      </c>
      <c r="L8904" s="508">
        <f t="array" ref="L8904">INDEX(L$5329:L$6195,MATCH($B8904&amp;$C8904,$B$5329:$B$6195&amp;$C$5329:$C$6195,0))</f>
        <v>0.13</v>
      </c>
      <c r="M8904" s="508">
        <f t="array" ref="M8904">INDEX(M$5329:M$6195,MATCH($B8904&amp;$C8904,$B$5329:$B$6195&amp;$C$5329:$C$6195,0))</f>
        <v>0.129</v>
      </c>
      <c r="N8904" s="508">
        <f t="array" ref="N8904">INDEX(N$5329:N$6195,MATCH($B8904&amp;$C8904,$B$5329:$B$6195&amp;$C$5329:$C$6195,0))</f>
        <v>0.113</v>
      </c>
      <c r="O8904" s="508">
        <f t="array" ref="O8904">INDEX(O$5329:O$6195,MATCH($B8904&amp;$C8904,$B$5329:$B$6195&amp;$C$5329:$C$6195,0))</f>
        <v>0.11600000000000001</v>
      </c>
      <c r="P8904" s="508">
        <f t="array" ref="P8904">INDEX(P$5329:P$6195,MATCH($B8904&amp;$C8904,$B$5329:$B$6195&amp;$C$5329:$C$6195,0))</f>
        <v>8.7999999999999995E-2</v>
      </c>
      <c r="Q8904" s="508">
        <f t="array" ref="Q8904">INDEX(Q$5329:Q$6195,MATCH($B8904&amp;$C8904,$B$5329:$B$6195&amp;$C$5329:$C$6195,0))</f>
        <v>6.4000000000000001E-2</v>
      </c>
      <c r="R8904" s="508">
        <f t="array" ref="R8904">INDEX(R$5329:R$6195,MATCH($B8904&amp;$C8904,$B$5329:$B$6195&amp;$C$5329:$C$6195,0))</f>
        <v>7.1999999999999995E-2</v>
      </c>
      <c r="S8904" s="508">
        <f t="array" ref="S8904">INDEX(S$5329:S$6195,MATCH($B8904&amp;$C8904,$B$5329:$B$6195&amp;$C$5329:$C$6195,0))</f>
        <v>8.7999999999999995E-2</v>
      </c>
      <c r="T8904" s="508">
        <f t="array" ref="T8904">INDEX(T$5329:T$6195,MATCH($B8904&amp;$C8904,$B$5329:$B$6195&amp;$C$5329:$C$6195,0))</f>
        <v>7.0999999999999994E-2</v>
      </c>
      <c r="U8904" s="508">
        <f t="array" ref="U8904">INDEX(U$5329:U$6195,MATCH($B8904&amp;$C8904,$B$5329:$B$6195&amp;$C$5329:$C$6195,0))</f>
        <v>6.3E-2</v>
      </c>
      <c r="V8904" s="508">
        <f t="array" ref="V8904">INDEX(V$5329:V$6195,MATCH($B8904&amp;$C8904,$B$5329:$B$6195&amp;$C$5329:$C$6195,0))</f>
        <v>3.1E-2</v>
      </c>
      <c r="W8904" s="508">
        <f t="array" ref="W8904">INDEX(W$5329:W$6195,MATCH($B8904&amp;$C8904,$B$5329:$B$6195&amp;$C$5329:$C$6195,0))</f>
        <v>0</v>
      </c>
      <c r="X8904" s="508">
        <f t="array" ref="X8904">INDEX(X$5329:X$6195,MATCH($B8904&amp;$C8904,$B$5329:$B$6195&amp;$C$5329:$C$6195,0))</f>
        <v>0.02</v>
      </c>
      <c r="Y8904" s="508">
        <f t="array" ref="Y8904">INDEX(Y$5329:Y$6195,MATCH($B8904&amp;$C8904,$B$5329:$B$6195&amp;$C$5329:$C$6195,0))</f>
        <v>0</v>
      </c>
      <c r="Z8904" s="508">
        <f t="array" ref="Z8904">INDEX(Z$5329:Z$6195,MATCH($B8904&amp;$C8904,$B$5329:$B$6195&amp;$C$5329:$C$6195,0))</f>
        <v>0</v>
      </c>
      <c r="AA8904" s="508">
        <f t="array" ref="AA8904">INDEX(AA$5329:AA$6195,MATCH($B8904&amp;$C8904,$B$5329:$B$6195&amp;$C$5329:$C$6195,0))</f>
        <v>0</v>
      </c>
      <c r="AB8904" s="508">
        <f t="array" ref="AB8904">INDEX(AB$5329:AB$6195,MATCH($B8904&amp;$C8904,$B$5329:$B$6195&amp;$C$5329:$C$6195,0))</f>
        <v>0</v>
      </c>
      <c r="AC8904" s="508">
        <f t="array" ref="AC8904">INDEX(AC$5329:AC$6195,MATCH($B8904&amp;$C8904,$B$5329:$B$6195&amp;$C$5329:$C$6195,0))</f>
        <v>0</v>
      </c>
      <c r="AD8904" s="508">
        <f t="array" ref="AD8904">INDEX(AD$5329:AD$6195,MATCH($B8904&amp;$C8904,$B$5329:$B$6195&amp;$C$5329:$C$6195,0))</f>
        <v>0</v>
      </c>
      <c r="AE8904" s="508">
        <f t="array" ref="AE8904">INDEX(AE$5329:AE$6195,MATCH($B8904&amp;$C8904,$B$5329:$B$6195&amp;$C$5329:$C$6195,0))</f>
        <v>0</v>
      </c>
      <c r="AF8904" s="508">
        <f t="array" ref="AF8904">INDEX(AF$5329:AF$6195,MATCH($B8904&amp;$C8904,$B$5329:$B$6195&amp;$C$5329:$C$6195,0))</f>
        <v>0</v>
      </c>
      <c r="AG8904" s="508">
        <f t="array" ref="AG8904">INDEX(AG$5329:AG$6195,MATCH($B8904&amp;$C8904,$B$5329:$B$6195&amp;$C$5329:$C$6195,0))</f>
        <v>0</v>
      </c>
      <c r="AH8904" s="508">
        <f t="array" ref="AH8904">INDEX(AH$5329:AH$6195,MATCH($B8904&amp;$C8904,$B$5329:$B$6195&amp;$C$5329:$C$6195,0))</f>
        <v>0</v>
      </c>
      <c r="AI8904" s="508">
        <f t="array" ref="AI8904">INDEX(AI$5329:AI$6195,MATCH($B8904&amp;$C8904,$B$5329:$B$6195&amp;$C$5329:$C$6195,0))</f>
        <v>0</v>
      </c>
      <c r="AJ8904" s="508"/>
      <c r="AK8904" s="508">
        <f t="shared" si="186"/>
        <v>0</v>
      </c>
      <c r="AL8904" s="508">
        <f t="shared" ref="AL8904:AN8923" si="189">($AO8904-$AI8904)/5+AK8904</f>
        <v>0</v>
      </c>
      <c r="AM8904" s="508">
        <f t="shared" si="189"/>
        <v>0</v>
      </c>
      <c r="AN8904" s="508">
        <f t="shared" si="189"/>
        <v>0</v>
      </c>
      <c r="AO8904" s="508">
        <f t="array" ref="AO8904">INDEX('GREET Fuel Attributes'!$E$8948:$E$9083,MATCH($C8904&amp;$D8904,'GREET Fuel Attributes'!$B$8948:$B$9083&amp;'GREET Fuel Attributes'!$C$8948:$C$9083,0))/INDEX('GREET Fuel Attributes'!$D$8948:$D$9083,MATCH($C8904&amp;$D8904,'GREET Fuel Attributes'!$B$8948:$B$9083&amp;'GREET Fuel Attributes'!$C$8948:$C$9083,0))*AI8904</f>
        <v>0</v>
      </c>
      <c r="AP8904" s="132" t="s">
        <v>1388</v>
      </c>
      <c r="AQ8904" s="142" t="s">
        <v>311</v>
      </c>
    </row>
    <row r="8905" spans="2:43">
      <c r="B8905" s="136" t="str">
        <f t="shared" si="188"/>
        <v>ILLINOIS</v>
      </c>
      <c r="C8905" s="132" t="s">
        <v>1374</v>
      </c>
      <c r="D8905" s="132" t="s">
        <v>1380</v>
      </c>
      <c r="E8905" s="508">
        <f t="array" ref="E8905">INDEX(E$6196:E$7062,MATCH($B8905&amp;$C8905,$B$6196:$B$7062&amp;$C$6196:$C$7062,0))</f>
        <v>0.01</v>
      </c>
      <c r="F8905" s="508">
        <f t="array" ref="F8905">INDEX(F$6196:F$7062,MATCH($B8905&amp;$C8905,$B$6196:$B$7062&amp;$C$6196:$C$7062,0))</f>
        <v>0.01</v>
      </c>
      <c r="G8905" s="508">
        <f t="array" ref="G8905">INDEX(G$6196:G$7062,MATCH($B8905&amp;$C8905,$B$6196:$B$7062&amp;$C$6196:$C$7062,0))</f>
        <v>8.0000000000000002E-3</v>
      </c>
      <c r="H8905" s="508">
        <f t="array" ref="H8905">INDEX(H$6196:H$7062,MATCH($B8905&amp;$C8905,$B$6196:$B$7062&amp;$C$6196:$C$7062,0))</f>
        <v>8.0000000000000002E-3</v>
      </c>
      <c r="I8905" s="508">
        <f t="array" ref="I8905">INDEX(I$6196:I$7062,MATCH($B8905&amp;$C8905,$B$6196:$B$7062&amp;$C$6196:$C$7062,0))</f>
        <v>0.01</v>
      </c>
      <c r="J8905" s="508">
        <f t="array" ref="J8905">INDEX(J$6196:J$7062,MATCH($B8905&amp;$C8905,$B$6196:$B$7062&amp;$C$6196:$C$7062,0))</f>
        <v>1.2E-2</v>
      </c>
      <c r="K8905" s="508">
        <f t="array" ref="K8905">INDEX(K$6196:K$7062,MATCH($B8905&amp;$C8905,$B$6196:$B$7062&amp;$C$6196:$C$7062,0))</f>
        <v>1.4E-2</v>
      </c>
      <c r="L8905" s="508">
        <f t="array" ref="L8905">INDEX(L$6196:L$7062,MATCH($B8905&amp;$C8905,$B$6196:$B$7062&amp;$C$6196:$C$7062,0))</f>
        <v>1.4999999999999999E-2</v>
      </c>
      <c r="M8905" s="508">
        <f t="array" ref="M8905">INDEX(M$6196:M$7062,MATCH($B8905&amp;$C8905,$B$6196:$B$7062&amp;$C$6196:$C$7062,0))</f>
        <v>1.0999999999999999E-2</v>
      </c>
      <c r="N8905" s="508">
        <f t="array" ref="N8905">INDEX(N$6196:N$7062,MATCH($B8905&amp;$C8905,$B$6196:$B$7062&amp;$C$6196:$C$7062,0))</f>
        <v>1.0999999999999999E-2</v>
      </c>
      <c r="O8905" s="508">
        <f t="array" ref="O8905">INDEX(O$6196:O$7062,MATCH($B8905&amp;$C8905,$B$6196:$B$7062&amp;$C$6196:$C$7062,0))</f>
        <v>1.2E-2</v>
      </c>
      <c r="P8905" s="508">
        <f t="array" ref="P8905">INDEX(P$6196:P$7062,MATCH($B8905&amp;$C8905,$B$6196:$B$7062&amp;$C$6196:$C$7062,0))</f>
        <v>1.2E-2</v>
      </c>
      <c r="Q8905" s="508">
        <f t="array" ref="Q8905">INDEX(Q$6196:Q$7062,MATCH($B8905&amp;$C8905,$B$6196:$B$7062&amp;$C$6196:$C$7062,0))</f>
        <v>8.0000000000000002E-3</v>
      </c>
      <c r="R8905" s="508">
        <f t="array" ref="R8905">INDEX(R$6196:R$7062,MATCH($B8905&amp;$C8905,$B$6196:$B$7062&amp;$C$6196:$C$7062,0))</f>
        <v>1.0999999999999999E-2</v>
      </c>
      <c r="S8905" s="508">
        <f t="array" ref="S8905">INDEX(S$6196:S$7062,MATCH($B8905&amp;$C8905,$B$6196:$B$7062&amp;$C$6196:$C$7062,0))</f>
        <v>8.0000000000000002E-3</v>
      </c>
      <c r="T8905" s="508">
        <f t="array" ref="T8905">INDEX(T$6196:T$7062,MATCH($B8905&amp;$C8905,$B$6196:$B$7062&amp;$C$6196:$C$7062,0))</f>
        <v>1.0999999999999999E-2</v>
      </c>
      <c r="U8905" s="508">
        <f t="array" ref="U8905">INDEX(U$6196:U$7062,MATCH($B8905&amp;$C8905,$B$6196:$B$7062&amp;$C$6196:$C$7062,0))</f>
        <v>8.0000000000000002E-3</v>
      </c>
      <c r="V8905" s="508">
        <f t="array" ref="V8905">INDEX(V$6196:V$7062,MATCH($B8905&amp;$C8905,$B$6196:$B$7062&amp;$C$6196:$C$7062,0))</f>
        <v>3.1E-2</v>
      </c>
      <c r="W8905" s="508">
        <f t="array" ref="W8905">INDEX(W$6196:W$7062,MATCH($B8905&amp;$C8905,$B$6196:$B$7062&amp;$C$6196:$C$7062,0))</f>
        <v>0</v>
      </c>
      <c r="X8905" s="508">
        <f t="array" ref="X8905">INDEX(X$6196:X$7062,MATCH($B8905&amp;$C8905,$B$6196:$B$7062&amp;$C$6196:$C$7062,0))</f>
        <v>3.1E-2</v>
      </c>
      <c r="Y8905" s="508">
        <f t="array" ref="Y8905">INDEX(Y$6196:Y$7062,MATCH($B8905&amp;$C8905,$B$6196:$B$7062&amp;$C$6196:$C$7062,0))</f>
        <v>0</v>
      </c>
      <c r="Z8905" s="508">
        <f t="array" ref="Z8905">INDEX(Z$6196:Z$7062,MATCH($B8905&amp;$C8905,$B$6196:$B$7062&amp;$C$6196:$C$7062,0))</f>
        <v>0</v>
      </c>
      <c r="AA8905" s="508">
        <f t="array" ref="AA8905">INDEX(AA$6196:AA$7062,MATCH($B8905&amp;$C8905,$B$6196:$B$7062&amp;$C$6196:$C$7062,0))</f>
        <v>0</v>
      </c>
      <c r="AB8905" s="508">
        <f t="array" ref="AB8905">INDEX(AB$6196:AB$7062,MATCH($B8905&amp;$C8905,$B$6196:$B$7062&amp;$C$6196:$C$7062,0))</f>
        <v>0</v>
      </c>
      <c r="AC8905" s="508">
        <f t="array" ref="AC8905">INDEX(AC$6196:AC$7062,MATCH($B8905&amp;$C8905,$B$6196:$B$7062&amp;$C$6196:$C$7062,0))</f>
        <v>0</v>
      </c>
      <c r="AD8905" s="508">
        <f t="array" ref="AD8905">INDEX(AD$6196:AD$7062,MATCH($B8905&amp;$C8905,$B$6196:$B$7062&amp;$C$6196:$C$7062,0))</f>
        <v>0</v>
      </c>
      <c r="AE8905" s="508">
        <f t="array" ref="AE8905">INDEX(AE$6196:AE$7062,MATCH($B8905&amp;$C8905,$B$6196:$B$7062&amp;$C$6196:$C$7062,0))</f>
        <v>0</v>
      </c>
      <c r="AF8905" s="508">
        <f t="array" ref="AF8905">INDEX(AF$6196:AF$7062,MATCH($B8905&amp;$C8905,$B$6196:$B$7062&amp;$C$6196:$C$7062,0))</f>
        <v>0</v>
      </c>
      <c r="AG8905" s="508">
        <f t="array" ref="AG8905">INDEX(AG$6196:AG$7062,MATCH($B8905&amp;$C8905,$B$6196:$B$7062&amp;$C$6196:$C$7062,0))</f>
        <v>0</v>
      </c>
      <c r="AH8905" s="508">
        <f t="array" ref="AH8905">INDEX(AH$6196:AH$7062,MATCH($B8905&amp;$C8905,$B$6196:$B$7062&amp;$C$6196:$C$7062,0))</f>
        <v>0</v>
      </c>
      <c r="AI8905" s="508">
        <f t="array" ref="AI8905">INDEX(AI$6196:AI$7062,MATCH($B8905&amp;$C8905,$B$6196:$B$7062&amp;$C$6196:$C$7062,0))</f>
        <v>0</v>
      </c>
      <c r="AJ8905" s="508"/>
      <c r="AK8905" s="508">
        <f t="shared" si="186"/>
        <v>0</v>
      </c>
      <c r="AL8905" s="508">
        <f t="shared" si="189"/>
        <v>0</v>
      </c>
      <c r="AM8905" s="508">
        <f t="shared" si="189"/>
        <v>0</v>
      </c>
      <c r="AN8905" s="508">
        <f t="shared" si="189"/>
        <v>0</v>
      </c>
      <c r="AO8905" s="508">
        <f t="array" ref="AO8905">INDEX('GREET Fuel Attributes'!$E$8948:$E$9083,MATCH($C8905&amp;$D8905,'GREET Fuel Attributes'!$B$8948:$B$9083&amp;'GREET Fuel Attributes'!$C$8948:$C$9083,0))/INDEX('GREET Fuel Attributes'!$D$8948:$D$9083,MATCH($C8905&amp;$D8905,'GREET Fuel Attributes'!$B$8948:$B$9083&amp;'GREET Fuel Attributes'!$C$8948:$C$9083,0))*AI8905</f>
        <v>0</v>
      </c>
      <c r="AP8905" s="132" t="s">
        <v>1388</v>
      </c>
      <c r="AQ8905" s="142" t="s">
        <v>311</v>
      </c>
    </row>
    <row r="8906" spans="2:43">
      <c r="B8906" s="136" t="str">
        <f t="shared" si="188"/>
        <v>ILLINOIS</v>
      </c>
      <c r="C8906" s="132" t="s">
        <v>1374</v>
      </c>
      <c r="D8906" s="132" t="s">
        <v>281</v>
      </c>
      <c r="E8906" s="508">
        <f t="array" ref="E8906">INDEX(E$7063:E$7929,MATCH($B8906&amp;$C8906,$B$7063:$B$7929&amp;$C$7063:$C$7929,0))</f>
        <v>5.5270000000000001</v>
      </c>
      <c r="F8906" s="508">
        <f t="array" ref="F8906">INDEX(F$7063:F$7929,MATCH($B8906&amp;$C8906,$B$7063:$B$7929&amp;$C$7063:$C$7929,0))</f>
        <v>4.3890000000000002</v>
      </c>
      <c r="G8906" s="508">
        <f t="array" ref="G8906">INDEX(G$7063:G$7929,MATCH($B8906&amp;$C8906,$B$7063:$B$7929&amp;$C$7063:$C$7929,0))</f>
        <v>3.899</v>
      </c>
      <c r="H8906" s="508">
        <f t="array" ref="H8906">INDEX(H$7063:H$7929,MATCH($B8906&amp;$C8906,$B$7063:$B$7929&amp;$C$7063:$C$7929,0))</f>
        <v>3.9860000000000002</v>
      </c>
      <c r="I8906" s="508">
        <f t="array" ref="I8906">INDEX(I$7063:I$7929,MATCH($B8906&amp;$C8906,$B$7063:$B$7929&amp;$C$7063:$C$7929,0))</f>
        <v>3.96</v>
      </c>
      <c r="J8906" s="508">
        <f t="array" ref="J8906">INDEX(J$7063:J$7929,MATCH($B8906&amp;$C8906,$B$7063:$B$7929&amp;$C$7063:$C$7929,0))</f>
        <v>3.5680000000000001</v>
      </c>
      <c r="K8906" s="508">
        <f t="array" ref="K8906">INDEX(K$7063:K$7929,MATCH($B8906&amp;$C8906,$B$7063:$B$7929&amp;$C$7063:$C$7929,0))</f>
        <v>3.371</v>
      </c>
      <c r="L8906" s="508">
        <f t="array" ref="L8906">INDEX(L$7063:L$7929,MATCH($B8906&amp;$C8906,$B$7063:$B$7929&amp;$C$7063:$C$7929,0))</f>
        <v>3.3109999999999999</v>
      </c>
      <c r="M8906" s="508">
        <f t="array" ref="M8906">INDEX(M$7063:M$7929,MATCH($B8906&amp;$C8906,$B$7063:$B$7929&amp;$C$7063:$C$7929,0))</f>
        <v>3.2290000000000001</v>
      </c>
      <c r="N8906" s="508">
        <f t="array" ref="N8906">INDEX(N$7063:N$7929,MATCH($B8906&amp;$C8906,$B$7063:$B$7929&amp;$C$7063:$C$7929,0))</f>
        <v>3.1739999999999999</v>
      </c>
      <c r="O8906" s="508">
        <f t="array" ref="O8906">INDEX(O$7063:O$7929,MATCH($B8906&amp;$C8906,$B$7063:$B$7929&amp;$C$7063:$C$7929,0))</f>
        <v>2.8940000000000001</v>
      </c>
      <c r="P8906" s="508">
        <f t="array" ref="P8906">INDEX(P$7063:P$7929,MATCH($B8906&amp;$C8906,$B$7063:$B$7929&amp;$C$7063:$C$7929,0))</f>
        <v>3.2370000000000001</v>
      </c>
      <c r="Q8906" s="508">
        <f t="array" ref="Q8906">INDEX(Q$7063:Q$7929,MATCH($B8906&amp;$C8906,$B$7063:$B$7929&amp;$C$7063:$C$7929,0))</f>
        <v>2.7389999999999999</v>
      </c>
      <c r="R8906" s="508">
        <f t="array" ref="R8906">INDEX(R$7063:R$7929,MATCH($B8906&amp;$C8906,$B$7063:$B$7929&amp;$C$7063:$C$7929,0))</f>
        <v>1.861</v>
      </c>
      <c r="S8906" s="508">
        <f t="array" ref="S8906">INDEX(S$7063:S$7929,MATCH($B8906&amp;$C8906,$B$7063:$B$7929&amp;$C$7063:$C$7929,0))</f>
        <v>1.7210000000000001</v>
      </c>
      <c r="T8906" s="508">
        <f t="array" ref="T8906">INDEX(T$7063:T$7929,MATCH($B8906&amp;$C8906,$B$7063:$B$7929&amp;$C$7063:$C$7929,0))</f>
        <v>1.726</v>
      </c>
      <c r="U8906" s="508">
        <f t="array" ref="U8906">INDEX(U$7063:U$7929,MATCH($B8906&amp;$C8906,$B$7063:$B$7929&amp;$C$7063:$C$7929,0))</f>
        <v>1.2110000000000001</v>
      </c>
      <c r="V8906" s="508">
        <f t="array" ref="V8906">INDEX(V$7063:V$7929,MATCH($B8906&amp;$C8906,$B$7063:$B$7929&amp;$C$7063:$C$7929,0))</f>
        <v>1.321</v>
      </c>
      <c r="W8906" s="508">
        <f t="array" ref="W8906">INDEX(W$7063:W$7929,MATCH($B8906&amp;$C8906,$B$7063:$B$7929&amp;$C$7063:$C$7929,0))</f>
        <v>0</v>
      </c>
      <c r="X8906" s="508">
        <f t="array" ref="X8906">INDEX(X$7063:X$7929,MATCH($B8906&amp;$C8906,$B$7063:$B$7929&amp;$C$7063:$C$7929,0))</f>
        <v>1.19</v>
      </c>
      <c r="Y8906" s="508">
        <f t="array" ref="Y8906">INDEX(Y$7063:Y$7929,MATCH($B8906&amp;$C8906,$B$7063:$B$7929&amp;$C$7063:$C$7929,0))</f>
        <v>0</v>
      </c>
      <c r="Z8906" s="508">
        <f t="array" ref="Z8906">INDEX(Z$7063:Z$7929,MATCH($B8906&amp;$C8906,$B$7063:$B$7929&amp;$C$7063:$C$7929,0))</f>
        <v>0</v>
      </c>
      <c r="AA8906" s="508">
        <f t="array" ref="AA8906">INDEX(AA$7063:AA$7929,MATCH($B8906&amp;$C8906,$B$7063:$B$7929&amp;$C$7063:$C$7929,0))</f>
        <v>0</v>
      </c>
      <c r="AB8906" s="508">
        <f t="array" ref="AB8906">INDEX(AB$7063:AB$7929,MATCH($B8906&amp;$C8906,$B$7063:$B$7929&amp;$C$7063:$C$7929,0))</f>
        <v>0</v>
      </c>
      <c r="AC8906" s="508">
        <f t="array" ref="AC8906">INDEX(AC$7063:AC$7929,MATCH($B8906&amp;$C8906,$B$7063:$B$7929&amp;$C$7063:$C$7929,0))</f>
        <v>0</v>
      </c>
      <c r="AD8906" s="508">
        <f t="array" ref="AD8906">INDEX(AD$7063:AD$7929,MATCH($B8906&amp;$C8906,$B$7063:$B$7929&amp;$C$7063:$C$7929,0))</f>
        <v>0</v>
      </c>
      <c r="AE8906" s="508">
        <f t="array" ref="AE8906">INDEX(AE$7063:AE$7929,MATCH($B8906&amp;$C8906,$B$7063:$B$7929&amp;$C$7063:$C$7929,0))</f>
        <v>0</v>
      </c>
      <c r="AF8906" s="508">
        <f t="array" ref="AF8906">INDEX(AF$7063:AF$7929,MATCH($B8906&amp;$C8906,$B$7063:$B$7929&amp;$C$7063:$C$7929,0))</f>
        <v>0</v>
      </c>
      <c r="AG8906" s="508">
        <f t="array" ref="AG8906">INDEX(AG$7063:AG$7929,MATCH($B8906&amp;$C8906,$B$7063:$B$7929&amp;$C$7063:$C$7929,0))</f>
        <v>0</v>
      </c>
      <c r="AH8906" s="508">
        <f t="array" ref="AH8906">INDEX(AH$7063:AH$7929,MATCH($B8906&amp;$C8906,$B$7063:$B$7929&amp;$C$7063:$C$7929,0))</f>
        <v>0</v>
      </c>
      <c r="AI8906" s="508">
        <f t="array" ref="AI8906">INDEX(AI$7063:AI$7929,MATCH($B8906&amp;$C8906,$B$7063:$B$7929&amp;$C$7063:$C$7929,0))</f>
        <v>0</v>
      </c>
      <c r="AJ8906" s="508"/>
      <c r="AK8906" s="508">
        <f t="shared" si="186"/>
        <v>0</v>
      </c>
      <c r="AL8906" s="508">
        <f t="shared" si="189"/>
        <v>0</v>
      </c>
      <c r="AM8906" s="508">
        <f t="shared" si="189"/>
        <v>0</v>
      </c>
      <c r="AN8906" s="508">
        <f t="shared" si="189"/>
        <v>0</v>
      </c>
      <c r="AO8906" s="508">
        <f t="array" ref="AO8906">INDEX('GREET Fuel Attributes'!$E$8948:$E$9083,MATCH($C8906&amp;$D8906,'GREET Fuel Attributes'!$B$8948:$B$9083&amp;'GREET Fuel Attributes'!$C$8948:$C$9083,0))/INDEX('GREET Fuel Attributes'!$D$8948:$D$9083,MATCH($C8906&amp;$D8906,'GREET Fuel Attributes'!$B$8948:$B$9083&amp;'GREET Fuel Attributes'!$C$8948:$C$9083,0))*AI8906</f>
        <v>0</v>
      </c>
      <c r="AP8906" s="132" t="s">
        <v>1388</v>
      </c>
      <c r="AQ8906" s="142" t="s">
        <v>311</v>
      </c>
    </row>
    <row r="8907" spans="2:43">
      <c r="B8907" s="136" t="str">
        <f t="shared" si="188"/>
        <v>ILLINOIS</v>
      </c>
      <c r="C8907" s="132" t="s">
        <v>1374</v>
      </c>
      <c r="D8907" s="132" t="s">
        <v>1384</v>
      </c>
      <c r="E8907" s="508">
        <f t="array" ref="E8907">INDEX(E$7930:E$8796,MATCH($B8907&amp;$C8907,$B$7930:$B$8796&amp;$C$7930:$C$8796,0))</f>
        <v>4.1349999999999998</v>
      </c>
      <c r="F8907" s="508">
        <f t="array" ref="F8907">INDEX(F$7930:F$8796,MATCH($B8907&amp;$C8907,$B$7930:$B$8796&amp;$C$7930:$C$8796,0))</f>
        <v>3.8359999999999999</v>
      </c>
      <c r="G8907" s="508">
        <f t="array" ref="G8907">INDEX(G$7930:G$8796,MATCH($B8907&amp;$C8907,$B$7930:$B$8796&amp;$C$7930:$C$8796,0))</f>
        <v>3.5859999999999999</v>
      </c>
      <c r="H8907" s="508">
        <f t="array" ref="H8907">INDEX(H$7930:H$8796,MATCH($B8907&amp;$C8907,$B$7930:$B$8796&amp;$C$7930:$C$8796,0))</f>
        <v>3.38</v>
      </c>
      <c r="I8907" s="508">
        <f t="array" ref="I8907">INDEX(I$7930:I$8796,MATCH($B8907&amp;$C8907,$B$7930:$B$8796&amp;$C$7930:$C$8796,0))</f>
        <v>3.2229999999999999</v>
      </c>
      <c r="J8907" s="508">
        <f t="array" ref="J8907">INDEX(J$7930:J$8796,MATCH($B8907&amp;$C8907,$B$7930:$B$8796&amp;$C$7930:$C$8796,0))</f>
        <v>3.056</v>
      </c>
      <c r="K8907" s="508">
        <f t="array" ref="K8907">INDEX(K$7930:K$8796,MATCH($B8907&amp;$C8907,$B$7930:$B$8796&amp;$C$7930:$C$8796,0))</f>
        <v>2.9209999999999998</v>
      </c>
      <c r="L8907" s="508">
        <f t="array" ref="L8907">INDEX(L$7930:L$8796,MATCH($B8907&amp;$C8907,$B$7930:$B$8796&amp;$C$7930:$C$8796,0))</f>
        <v>2.802</v>
      </c>
      <c r="M8907" s="508">
        <f t="array" ref="M8907">INDEX(M$7930:M$8796,MATCH($B8907&amp;$C8907,$B$7930:$B$8796&amp;$C$7930:$C$8796,0))</f>
        <v>2.7120000000000002</v>
      </c>
      <c r="N8907" s="508">
        <f t="array" ref="N8907">INDEX(N$7930:N$8796,MATCH($B8907&amp;$C8907,$B$7930:$B$8796&amp;$C$7930:$C$8796,0))</f>
        <v>2.601</v>
      </c>
      <c r="O8907" s="508">
        <f t="array" ref="O8907">INDEX(O$7930:O$8796,MATCH($B8907&amp;$C8907,$B$7930:$B$8796&amp;$C$7930:$C$8796,0))</f>
        <v>2.5209999999999999</v>
      </c>
      <c r="P8907" s="508">
        <f t="array" ref="P8907">INDEX(P$7930:P$8796,MATCH($B8907&amp;$C8907,$B$7930:$B$8796&amp;$C$7930:$C$8796,0))</f>
        <v>1.06</v>
      </c>
      <c r="Q8907" s="508">
        <f t="array" ref="Q8907">INDEX(Q$7930:Q$8796,MATCH($B8907&amp;$C8907,$B$7930:$B$8796&amp;$C$7930:$C$8796,0))</f>
        <v>1.018</v>
      </c>
      <c r="R8907" s="508">
        <f t="array" ref="R8907">INDEX(R$7930:R$8796,MATCH($B8907&amp;$C8907,$B$7930:$B$8796&amp;$C$7930:$C$8796,0))</f>
        <v>0.85499999999999998</v>
      </c>
      <c r="S8907" s="508">
        <f t="array" ref="S8907">INDEX(S$7930:S$8796,MATCH($B8907&amp;$C8907,$B$7930:$B$8796&amp;$C$7930:$C$8796,0))</f>
        <v>0.81299999999999994</v>
      </c>
      <c r="T8907" s="508">
        <f t="array" ref="T8907">INDEX(T$7930:T$8796,MATCH($B8907&amp;$C8907,$B$7930:$B$8796&amp;$C$7930:$C$8796,0))</f>
        <v>0.75700000000000001</v>
      </c>
      <c r="U8907" s="508">
        <f t="array" ref="U8907">INDEX(U$7930:U$8796,MATCH($B8907&amp;$C8907,$B$7930:$B$8796&amp;$C$7930:$C$8796,0))</f>
        <v>0.58499999999999996</v>
      </c>
      <c r="V8907" s="508">
        <f t="array" ref="V8907">INDEX(V$7930:V$8796,MATCH($B8907&amp;$C8907,$B$7930:$B$8796&amp;$C$7930:$C$8796,0))</f>
        <v>0.54</v>
      </c>
      <c r="W8907" s="508">
        <f t="array" ref="W8907">INDEX(W$7930:W$8796,MATCH($B8907&amp;$C8907,$B$7930:$B$8796&amp;$C$7930:$C$8796,0))</f>
        <v>0</v>
      </c>
      <c r="X8907" s="508">
        <f t="array" ref="X8907">INDEX(X$7930:X$8796,MATCH($B8907&amp;$C8907,$B$7930:$B$8796&amp;$C$7930:$C$8796,0))</f>
        <v>0.42899999999999999</v>
      </c>
      <c r="Y8907" s="508">
        <f t="array" ref="Y8907">INDEX(Y$7930:Y$8796,MATCH($B8907&amp;$C8907,$B$7930:$B$8796&amp;$C$7930:$C$8796,0))</f>
        <v>0</v>
      </c>
      <c r="Z8907" s="508">
        <f t="array" ref="Z8907">INDEX(Z$7930:Z$8796,MATCH($B8907&amp;$C8907,$B$7930:$B$8796&amp;$C$7930:$C$8796,0))</f>
        <v>0</v>
      </c>
      <c r="AA8907" s="508">
        <f t="array" ref="AA8907">INDEX(AA$7930:AA$8796,MATCH($B8907&amp;$C8907,$B$7930:$B$8796&amp;$C$7930:$C$8796,0))</f>
        <v>0</v>
      </c>
      <c r="AB8907" s="508">
        <f t="array" ref="AB8907">INDEX(AB$7930:AB$8796,MATCH($B8907&amp;$C8907,$B$7930:$B$8796&amp;$C$7930:$C$8796,0))</f>
        <v>0</v>
      </c>
      <c r="AC8907" s="508">
        <f t="array" ref="AC8907">INDEX(AC$7930:AC$8796,MATCH($B8907&amp;$C8907,$B$7930:$B$8796&amp;$C$7930:$C$8796,0))</f>
        <v>0</v>
      </c>
      <c r="AD8907" s="508">
        <f t="array" ref="AD8907">INDEX(AD$7930:AD$8796,MATCH($B8907&amp;$C8907,$B$7930:$B$8796&amp;$C$7930:$C$8796,0))</f>
        <v>0</v>
      </c>
      <c r="AE8907" s="508">
        <f t="array" ref="AE8907">INDEX(AE$7930:AE$8796,MATCH($B8907&amp;$C8907,$B$7930:$B$8796&amp;$C$7930:$C$8796,0))</f>
        <v>0</v>
      </c>
      <c r="AF8907" s="508">
        <f t="array" ref="AF8907">INDEX(AF$7930:AF$8796,MATCH($B8907&amp;$C8907,$B$7930:$B$8796&amp;$C$7930:$C$8796,0))</f>
        <v>0</v>
      </c>
      <c r="AG8907" s="508">
        <f t="array" ref="AG8907">INDEX(AG$7930:AG$8796,MATCH($B8907&amp;$C8907,$B$7930:$B$8796&amp;$C$7930:$C$8796,0))</f>
        <v>0</v>
      </c>
      <c r="AH8907" s="508">
        <f t="array" ref="AH8907">INDEX(AH$7930:AH$8796,MATCH($B8907&amp;$C8907,$B$7930:$B$8796&amp;$C$7930:$C$8796,0))</f>
        <v>0</v>
      </c>
      <c r="AI8907" s="508">
        <f t="array" ref="AI8907">INDEX(AI$7930:AI$8796,MATCH($B8907&amp;$C8907,$B$7930:$B$8796&amp;$C$7930:$C$8796,0))</f>
        <v>0</v>
      </c>
      <c r="AJ8907" s="508"/>
      <c r="AK8907" s="508">
        <f t="shared" si="186"/>
        <v>0</v>
      </c>
      <c r="AL8907" s="508">
        <f t="shared" si="189"/>
        <v>0</v>
      </c>
      <c r="AM8907" s="508">
        <f t="shared" si="189"/>
        <v>0</v>
      </c>
      <c r="AN8907" s="508">
        <f t="shared" si="189"/>
        <v>0</v>
      </c>
      <c r="AO8907" s="508">
        <f t="array" ref="AO8907">INDEX('GREET Fuel Attributes'!$E$8948:$E$9083,MATCH($C8907&amp;$D8907,'GREET Fuel Attributes'!$B$8948:$B$9083&amp;'GREET Fuel Attributes'!$C$8948:$C$9083,0))/INDEX('GREET Fuel Attributes'!$D$8948:$D$9083,MATCH($C8907&amp;$D8907,'GREET Fuel Attributes'!$B$8948:$B$9083&amp;'GREET Fuel Attributes'!$C$8948:$C$9083,0))*AI8907</f>
        <v>0</v>
      </c>
      <c r="AP8907" s="132" t="s">
        <v>1388</v>
      </c>
      <c r="AQ8907" s="142" t="s">
        <v>311</v>
      </c>
    </row>
    <row r="8908" spans="2:43">
      <c r="B8908" s="136" t="str">
        <f t="shared" si="188"/>
        <v>ILLINOIS</v>
      </c>
      <c r="C8908" s="132" t="s">
        <v>1375</v>
      </c>
      <c r="D8908" s="132" t="s">
        <v>282</v>
      </c>
      <c r="E8908" s="508">
        <f t="array" ref="E8908">INDEX(E$1861:E$2727,MATCH($B8908&amp;$C8908,$B$1861:$B$2727&amp;$C$1861:$C$2727,0))</f>
        <v>12.157999999999999</v>
      </c>
      <c r="F8908" s="508">
        <f t="array" ref="F8908">INDEX(F$1861:F$2727,MATCH($B8908&amp;$C8908,$B$1861:$B$2727&amp;$C$1861:$C$2727,0))</f>
        <v>10.106999999999999</v>
      </c>
      <c r="G8908" s="508">
        <f t="array" ref="G8908">INDEX(G$1861:G$2727,MATCH($B8908&amp;$C8908,$B$1861:$B$2727&amp;$C$1861:$C$2727,0))</f>
        <v>8.7040000000000006</v>
      </c>
      <c r="H8908" s="508">
        <f t="array" ref="H8908">INDEX(H$1861:H$2727,MATCH($B8908&amp;$C8908,$B$1861:$B$2727&amp;$C$1861:$C$2727,0))</f>
        <v>7.9109999999999996</v>
      </c>
      <c r="I8908" s="508">
        <f t="array" ref="I8908">INDEX(I$1861:I$2727,MATCH($B8908&amp;$C8908,$B$1861:$B$2727&amp;$C$1861:$C$2727,0))</f>
        <v>7.3129999999999997</v>
      </c>
      <c r="J8908" s="508">
        <f t="array" ref="J8908">INDEX(J$1861:J$2727,MATCH($B8908&amp;$C8908,$B$1861:$B$2727&amp;$C$1861:$C$2727,0))</f>
        <v>6.8879999999999999</v>
      </c>
      <c r="K8908" s="508">
        <f t="array" ref="K8908">INDEX(K$1861:K$2727,MATCH($B8908&amp;$C8908,$B$1861:$B$2727&amp;$C$1861:$C$2727,0))</f>
        <v>6.8360000000000003</v>
      </c>
      <c r="L8908" s="508">
        <f t="array" ref="L8908">INDEX(L$1861:L$2727,MATCH($B8908&amp;$C8908,$B$1861:$B$2727&amp;$C$1861:$C$2727,0))</f>
        <v>6.3609999999999998</v>
      </c>
      <c r="M8908" s="508">
        <f t="array" ref="M8908">INDEX(M$1861:M$2727,MATCH($B8908&amp;$C8908,$B$1861:$B$2727&amp;$C$1861:$C$2727,0))</f>
        <v>6.1689999999999996</v>
      </c>
      <c r="N8908" s="508">
        <f t="array" ref="N8908">INDEX(N$1861:N$2727,MATCH($B8908&amp;$C8908,$B$1861:$B$2727&amp;$C$1861:$C$2727,0))</f>
        <v>5.8140000000000001</v>
      </c>
      <c r="O8908" s="508">
        <f t="array" ref="O8908">INDEX(O$1861:O$2727,MATCH($B8908&amp;$C8908,$B$1861:$B$2727&amp;$C$1861:$C$2727,0))</f>
        <v>5.766</v>
      </c>
      <c r="P8908" s="508">
        <f t="array" ref="P8908">INDEX(P$1861:P$2727,MATCH($B8908&amp;$C8908,$B$1861:$B$2727&amp;$C$1861:$C$2727,0))</f>
        <v>5.66</v>
      </c>
      <c r="Q8908" s="508">
        <f t="array" ref="Q8908">INDEX(Q$1861:Q$2727,MATCH($B8908&amp;$C8908,$B$1861:$B$2727&amp;$C$1861:$C$2727,0))</f>
        <v>5.42</v>
      </c>
      <c r="R8908" s="508">
        <f t="array" ref="R8908">INDEX(R$1861:R$2727,MATCH($B8908&amp;$C8908,$B$1861:$B$2727&amp;$C$1861:$C$2727,0))</f>
        <v>5.6970000000000001</v>
      </c>
      <c r="S8908" s="508">
        <f t="array" ref="S8908">INDEX(S$1861:S$2727,MATCH($B8908&amp;$C8908,$B$1861:$B$2727&amp;$C$1861:$C$2727,0))</f>
        <v>5.3120000000000003</v>
      </c>
      <c r="T8908" s="508">
        <f t="array" ref="T8908">INDEX(T$1861:T$2727,MATCH($B8908&amp;$C8908,$B$1861:$B$2727&amp;$C$1861:$C$2727,0))</f>
        <v>5.1790000000000003</v>
      </c>
      <c r="U8908" s="508">
        <f t="array" ref="U8908">INDEX(U$1861:U$2727,MATCH($B8908&amp;$C8908,$B$1861:$B$2727&amp;$C$1861:$C$2727,0))</f>
        <v>5.133</v>
      </c>
      <c r="V8908" s="508">
        <f t="array" ref="V8908">INDEX(V$1861:V$2727,MATCH($B8908&amp;$C8908,$B$1861:$B$2727&amp;$C$1861:$C$2727,0))</f>
        <v>4.8419999999999996</v>
      </c>
      <c r="W8908" s="508">
        <f t="array" ref="W8908">INDEX(W$1861:W$2727,MATCH($B8908&amp;$C8908,$B$1861:$B$2727&amp;$C$1861:$C$2727,0))</f>
        <v>3.6080000000000001</v>
      </c>
      <c r="X8908" s="508">
        <f t="array" ref="X8908">INDEX(X$1861:X$2727,MATCH($B8908&amp;$C8908,$B$1861:$B$2727&amp;$C$1861:$C$2727,0))</f>
        <v>3.6139999999999999</v>
      </c>
      <c r="Y8908" s="508">
        <f t="array" ref="Y8908">INDEX(Y$1861:Y$2727,MATCH($B8908&amp;$C8908,$B$1861:$B$2727&amp;$C$1861:$C$2727,0))</f>
        <v>3.589</v>
      </c>
      <c r="Z8908" s="508">
        <f t="array" ref="Z8908">INDEX(Z$1861:Z$2727,MATCH($B8908&amp;$C8908,$B$1861:$B$2727&amp;$C$1861:$C$2727,0))</f>
        <v>3.5310000000000001</v>
      </c>
      <c r="AA8908" s="508">
        <f t="array" ref="AA8908">INDEX(AA$1861:AA$2727,MATCH($B8908&amp;$C8908,$B$1861:$B$2727&amp;$C$1861:$C$2727,0))</f>
        <v>1.002</v>
      </c>
      <c r="AB8908" s="508">
        <f t="array" ref="AB8908">INDEX(AB$1861:AB$2727,MATCH($B8908&amp;$C8908,$B$1861:$B$2727&amp;$C$1861:$C$2727,0))</f>
        <v>0.85599999999999998</v>
      </c>
      <c r="AC8908" s="508">
        <f t="array" ref="AC8908">INDEX(AC$1861:AC$2727,MATCH($B8908&amp;$C8908,$B$1861:$B$2727&amp;$C$1861:$C$2727,0))</f>
        <v>0.93</v>
      </c>
      <c r="AD8908" s="508">
        <f t="array" ref="AD8908">INDEX(AD$1861:AD$2727,MATCH($B8908&amp;$C8908,$B$1861:$B$2727&amp;$C$1861:$C$2727,0))</f>
        <v>0.623</v>
      </c>
      <c r="AE8908" s="508">
        <f t="array" ref="AE8908">INDEX(AE$1861:AE$2727,MATCH($B8908&amp;$C8908,$B$1861:$B$2727&amp;$C$1861:$C$2727,0))</f>
        <v>0.58199999999999996</v>
      </c>
      <c r="AF8908" s="508">
        <f t="array" ref="AF8908">INDEX(AF$1861:AF$2727,MATCH($B8908&amp;$C8908,$B$1861:$B$2727&amp;$C$1861:$C$2727,0))</f>
        <v>0.499</v>
      </c>
      <c r="AG8908" s="508">
        <f t="array" ref="AG8908">INDEX(AG$1861:AG$2727,MATCH($B8908&amp;$C8908,$B$1861:$B$2727&amp;$C$1861:$C$2727,0))</f>
        <v>0.498</v>
      </c>
      <c r="AH8908" s="508">
        <f t="array" ref="AH8908">INDEX(AH$1861:AH$2727,MATCH($B8908&amp;$C8908,$B$1861:$B$2727&amp;$C$1861:$C$2727,0))</f>
        <v>0.497</v>
      </c>
      <c r="AI8908" s="508">
        <f t="array" ref="AI8908">INDEX(AI$1861:AI$2727,MATCH($B8908&amp;$C8908,$B$1861:$B$2727&amp;$C$1861:$C$2727,0))</f>
        <v>0.497</v>
      </c>
      <c r="AJ8908" s="508"/>
      <c r="AK8908" s="508">
        <f t="shared" si="186"/>
        <v>0.49921874999999999</v>
      </c>
      <c r="AL8908" s="508">
        <f t="shared" si="189"/>
        <v>0.50143749999999998</v>
      </c>
      <c r="AM8908" s="508">
        <f t="shared" si="189"/>
        <v>0.50365625000000003</v>
      </c>
      <c r="AN8908" s="508">
        <f t="shared" si="189"/>
        <v>0.50587500000000007</v>
      </c>
      <c r="AO8908" s="508">
        <f t="array" ref="AO8908">INDEX('GREET Fuel Attributes'!$E$8948:$E$9083,MATCH($C8908&amp;$D8908,'GREET Fuel Attributes'!$B$8948:$B$9083&amp;'GREET Fuel Attributes'!$C$8948:$C$9083,0))/INDEX('GREET Fuel Attributes'!$D$8948:$D$9083,MATCH($C8908&amp;$D8908,'GREET Fuel Attributes'!$B$8948:$B$9083&amp;'GREET Fuel Attributes'!$C$8948:$C$9083,0))*AI8908</f>
        <v>0.50809375000000001</v>
      </c>
      <c r="AP8908" s="132" t="s">
        <v>1387</v>
      </c>
      <c r="AQ8908" s="142" t="s">
        <v>309</v>
      </c>
    </row>
    <row r="8909" spans="2:43">
      <c r="B8909" s="136" t="str">
        <f t="shared" si="188"/>
        <v>ILLINOIS</v>
      </c>
      <c r="C8909" s="132" t="s">
        <v>1375</v>
      </c>
      <c r="D8909" s="132" t="s">
        <v>283</v>
      </c>
      <c r="E8909" s="508">
        <f t="array" ref="E8909">INDEX(E$2728:E$3594,MATCH($B8909&amp;$C8909,$B$2728:$B$3594&amp;$C$2728:$C$3594,0))</f>
        <v>21.966999999999999</v>
      </c>
      <c r="F8909" s="508">
        <f t="array" ref="F8909">INDEX(F$2728:F$3594,MATCH($B8909&amp;$C8909,$B$2728:$B$3594&amp;$C$2728:$C$3594,0))</f>
        <v>21.986999999999998</v>
      </c>
      <c r="G8909" s="508">
        <f t="array" ref="G8909">INDEX(G$2728:G$3594,MATCH($B8909&amp;$C8909,$B$2728:$B$3594&amp;$C$2728:$C$3594,0))</f>
        <v>22.027999999999999</v>
      </c>
      <c r="H8909" s="508">
        <f t="array" ref="H8909">INDEX(H$2728:H$3594,MATCH($B8909&amp;$C8909,$B$2728:$B$3594&amp;$C$2728:$C$3594,0))</f>
        <v>22.024999999999999</v>
      </c>
      <c r="I8909" s="508">
        <f t="array" ref="I8909">INDEX(I$2728:I$3594,MATCH($B8909&amp;$C8909,$B$2728:$B$3594&amp;$C$2728:$C$3594,0))</f>
        <v>22.03</v>
      </c>
      <c r="J8909" s="508">
        <f t="array" ref="J8909">INDEX(J$2728:J$3594,MATCH($B8909&amp;$C8909,$B$2728:$B$3594&amp;$C$2728:$C$3594,0))</f>
        <v>17.047000000000001</v>
      </c>
      <c r="K8909" s="508">
        <f t="array" ref="K8909">INDEX(K$2728:K$3594,MATCH($B8909&amp;$C8909,$B$2728:$B$3594&amp;$C$2728:$C$3594,0))</f>
        <v>15.734</v>
      </c>
      <c r="L8909" s="508">
        <f t="array" ref="L8909">INDEX(L$2728:L$3594,MATCH($B8909&amp;$C8909,$B$2728:$B$3594&amp;$C$2728:$C$3594,0))</f>
        <v>15.778</v>
      </c>
      <c r="M8909" s="508">
        <f t="array" ref="M8909">INDEX(M$2728:M$3594,MATCH($B8909&amp;$C8909,$B$2728:$B$3594&amp;$C$2728:$C$3594,0))</f>
        <v>15.773999999999999</v>
      </c>
      <c r="N8909" s="508">
        <f t="array" ref="N8909">INDEX(N$2728:N$3594,MATCH($B8909&amp;$C8909,$B$2728:$B$3594&amp;$C$2728:$C$3594,0))</f>
        <v>15.803000000000001</v>
      </c>
      <c r="O8909" s="508">
        <f t="array" ref="O8909">INDEX(O$2728:O$3594,MATCH($B8909&amp;$C8909,$B$2728:$B$3594&amp;$C$2728:$C$3594,0))</f>
        <v>15.772</v>
      </c>
      <c r="P8909" s="508">
        <f t="array" ref="P8909">INDEX(P$2728:P$3594,MATCH($B8909&amp;$C8909,$B$2728:$B$3594&amp;$C$2728:$C$3594,0))</f>
        <v>15.829000000000001</v>
      </c>
      <c r="Q8909" s="508">
        <f t="array" ref="Q8909">INDEX(Q$2728:Q$3594,MATCH($B8909&amp;$C8909,$B$2728:$B$3594&amp;$C$2728:$C$3594,0))</f>
        <v>15.85</v>
      </c>
      <c r="R8909" s="508">
        <f t="array" ref="R8909">INDEX(R$2728:R$3594,MATCH($B8909&amp;$C8909,$B$2728:$B$3594&amp;$C$2728:$C$3594,0))</f>
        <v>14.391</v>
      </c>
      <c r="S8909" s="508">
        <f t="array" ref="S8909">INDEX(S$2728:S$3594,MATCH($B8909&amp;$C8909,$B$2728:$B$3594&amp;$C$2728:$C$3594,0))</f>
        <v>8.9359999999999999</v>
      </c>
      <c r="T8909" s="508">
        <f t="array" ref="T8909">INDEX(T$2728:T$3594,MATCH($B8909&amp;$C8909,$B$2728:$B$3594&amp;$C$2728:$C$3594,0))</f>
        <v>8.8710000000000004</v>
      </c>
      <c r="U8909" s="508">
        <f t="array" ref="U8909">INDEX(U$2728:U$3594,MATCH($B8909&amp;$C8909,$B$2728:$B$3594&amp;$C$2728:$C$3594,0))</f>
        <v>8.8849999999999998</v>
      </c>
      <c r="V8909" s="508">
        <f t="array" ref="V8909">INDEX(V$2728:V$3594,MATCH($B8909&amp;$C8909,$B$2728:$B$3594&amp;$C$2728:$C$3594,0))</f>
        <v>8.5229999999999997</v>
      </c>
      <c r="W8909" s="508">
        <f t="array" ref="W8909">INDEX(W$2728:W$3594,MATCH($B8909&amp;$C8909,$B$2728:$B$3594&amp;$C$2728:$C$3594,0))</f>
        <v>6.9020000000000001</v>
      </c>
      <c r="X8909" s="508">
        <f t="array" ref="X8909">INDEX(X$2728:X$3594,MATCH($B8909&amp;$C8909,$B$2728:$B$3594&amp;$C$2728:$C$3594,0))</f>
        <v>6.8920000000000003</v>
      </c>
      <c r="Y8909" s="508">
        <f t="array" ref="Y8909">INDEX(Y$2728:Y$3594,MATCH($B8909&amp;$C8909,$B$2728:$B$3594&amp;$C$2728:$C$3594,0))</f>
        <v>6.8630000000000004</v>
      </c>
      <c r="Z8909" s="508">
        <f t="array" ref="Z8909">INDEX(Z$2728:Z$3594,MATCH($B8909&amp;$C8909,$B$2728:$B$3594&amp;$C$2728:$C$3594,0))</f>
        <v>6.8680000000000003</v>
      </c>
      <c r="AA8909" s="508">
        <f t="array" ref="AA8909">INDEX(AA$2728:AA$3594,MATCH($B8909&amp;$C8909,$B$2728:$B$3594&amp;$C$2728:$C$3594,0))</f>
        <v>3.887</v>
      </c>
      <c r="AB8909" s="508">
        <f t="array" ref="AB8909">INDEX(AB$2728:AB$3594,MATCH($B8909&amp;$C8909,$B$2728:$B$3594&amp;$C$2728:$C$3594,0))</f>
        <v>3.661</v>
      </c>
      <c r="AC8909" s="508">
        <f t="array" ref="AC8909">INDEX(AC$2728:AC$3594,MATCH($B8909&amp;$C8909,$B$2728:$B$3594&amp;$C$2728:$C$3594,0))</f>
        <v>3.952</v>
      </c>
      <c r="AD8909" s="508">
        <f t="array" ref="AD8909">INDEX(AD$2728:AD$3594,MATCH($B8909&amp;$C8909,$B$2728:$B$3594&amp;$C$2728:$C$3594,0))</f>
        <v>1.196</v>
      </c>
      <c r="AE8909" s="508">
        <f t="array" ref="AE8909">INDEX(AE$2728:AE$3594,MATCH($B8909&amp;$C8909,$B$2728:$B$3594&amp;$C$2728:$C$3594,0))</f>
        <v>1.1919999999999999</v>
      </c>
      <c r="AF8909" s="508">
        <f t="array" ref="AF8909">INDEX(AF$2728:AF$3594,MATCH($B8909&amp;$C8909,$B$2728:$B$3594&amp;$C$2728:$C$3594,0))</f>
        <v>0.76</v>
      </c>
      <c r="AG8909" s="508">
        <f t="array" ref="AG8909">INDEX(AG$2728:AG$3594,MATCH($B8909&amp;$C8909,$B$2728:$B$3594&amp;$C$2728:$C$3594,0))</f>
        <v>0.752</v>
      </c>
      <c r="AH8909" s="508">
        <f t="array" ref="AH8909">INDEX(AH$2728:AH$3594,MATCH($B8909&amp;$C8909,$B$2728:$B$3594&amp;$C$2728:$C$3594,0))</f>
        <v>0.749</v>
      </c>
      <c r="AI8909" s="508">
        <f t="array" ref="AI8909">INDEX(AI$2728:AI$3594,MATCH($B8909&amp;$C8909,$B$2728:$B$3594&amp;$C$2728:$C$3594,0))</f>
        <v>0.749</v>
      </c>
      <c r="AJ8909" s="508"/>
      <c r="AK8909" s="508">
        <f t="shared" si="186"/>
        <v>0.74918223844282239</v>
      </c>
      <c r="AL8909" s="508">
        <f t="shared" si="189"/>
        <v>0.74936447688564478</v>
      </c>
      <c r="AM8909" s="508">
        <f t="shared" si="189"/>
        <v>0.74954671532846717</v>
      </c>
      <c r="AN8909" s="508">
        <f t="shared" si="189"/>
        <v>0.74972895377128956</v>
      </c>
      <c r="AO8909" s="508">
        <f t="array" ref="AO8909">INDEX('GREET Fuel Attributes'!$E$8948:$E$9083,MATCH($C8909&amp;$D8909,'GREET Fuel Attributes'!$B$8948:$B$9083&amp;'GREET Fuel Attributes'!$C$8948:$C$9083,0))/INDEX('GREET Fuel Attributes'!$D$8948:$D$9083,MATCH($C8909&amp;$D8909,'GREET Fuel Attributes'!$B$8948:$B$9083&amp;'GREET Fuel Attributes'!$C$8948:$C$9083,0))*AI8909</f>
        <v>0.74991119221411195</v>
      </c>
      <c r="AP8909" s="132" t="s">
        <v>1387</v>
      </c>
      <c r="AQ8909" s="142" t="s">
        <v>309</v>
      </c>
    </row>
    <row r="8910" spans="2:43">
      <c r="B8910" s="136" t="str">
        <f t="shared" si="188"/>
        <v>ILLINOIS</v>
      </c>
      <c r="C8910" s="132" t="s">
        <v>1375</v>
      </c>
      <c r="D8910" s="132" t="s">
        <v>284</v>
      </c>
      <c r="E8910" s="508">
        <f t="array" ref="E8910">INDEX(E$3595:E$4461,MATCH($B8910&amp;$C8910,$B$3595:$B$4461&amp;$C$3595:$C$4461,0))</f>
        <v>2.23</v>
      </c>
      <c r="F8910" s="508">
        <f t="array" ref="F8910">INDEX(F$3595:F$4461,MATCH($B8910&amp;$C8910,$B$3595:$B$4461&amp;$C$3595:$C$4461,0))</f>
        <v>2.1640000000000001</v>
      </c>
      <c r="G8910" s="508">
        <f t="array" ref="G8910">INDEX(G$3595:G$4461,MATCH($B8910&amp;$C8910,$B$3595:$B$4461&amp;$C$3595:$C$4461,0))</f>
        <v>2.0830000000000002</v>
      </c>
      <c r="H8910" s="508">
        <f t="array" ref="H8910">INDEX(H$3595:H$4461,MATCH($B8910&amp;$C8910,$B$3595:$B$4461&amp;$C$3595:$C$4461,0))</f>
        <v>1.218</v>
      </c>
      <c r="I8910" s="508">
        <f t="array" ref="I8910">INDEX(I$3595:I$4461,MATCH($B8910&amp;$C8910,$B$3595:$B$4461&amp;$C$3595:$C$4461,0))</f>
        <v>1.2150000000000001</v>
      </c>
      <c r="J8910" s="508">
        <f t="array" ref="J8910">INDEX(J$3595:J$4461,MATCH($B8910&amp;$C8910,$B$3595:$B$4461&amp;$C$3595:$C$4461,0))</f>
        <v>1.242</v>
      </c>
      <c r="K8910" s="508">
        <f t="array" ref="K8910">INDEX(K$3595:K$4461,MATCH($B8910&amp;$C8910,$B$3595:$B$4461&amp;$C$3595:$C$4461,0))</f>
        <v>0.89500000000000002</v>
      </c>
      <c r="L8910" s="508">
        <f t="array" ref="L8910">INDEX(L$3595:L$4461,MATCH($B8910&amp;$C8910,$B$3595:$B$4461&amp;$C$3595:$C$4461,0))</f>
        <v>0.89200000000000002</v>
      </c>
      <c r="M8910" s="508">
        <f t="array" ref="M8910">INDEX(M$3595:M$4461,MATCH($B8910&amp;$C8910,$B$3595:$B$4461&amp;$C$3595:$C$4461,0))</f>
        <v>0.89500000000000002</v>
      </c>
      <c r="N8910" s="508">
        <f t="array" ref="N8910">INDEX(N$3595:N$4461,MATCH($B8910&amp;$C8910,$B$3595:$B$4461&amp;$C$3595:$C$4461,0))</f>
        <v>1.224</v>
      </c>
      <c r="O8910" s="508">
        <f t="array" ref="O8910">INDEX(O$3595:O$4461,MATCH($B8910&amp;$C8910,$B$3595:$B$4461&amp;$C$3595:$C$4461,0))</f>
        <v>1.24</v>
      </c>
      <c r="P8910" s="508">
        <f t="array" ref="P8910">INDEX(P$3595:P$4461,MATCH($B8910&amp;$C8910,$B$3595:$B$4461&amp;$C$3595:$C$4461,0))</f>
        <v>1.2250000000000001</v>
      </c>
      <c r="Q8910" s="508">
        <f t="array" ref="Q8910">INDEX(Q$3595:Q$4461,MATCH($B8910&amp;$C8910,$B$3595:$B$4461&amp;$C$3595:$C$4461,0))</f>
        <v>1.2470000000000001</v>
      </c>
      <c r="R8910" s="508">
        <f t="array" ref="R8910">INDEX(R$3595:R$4461,MATCH($B8910&amp;$C8910,$B$3595:$B$4461&amp;$C$3595:$C$4461,0))</f>
        <v>0.64200000000000002</v>
      </c>
      <c r="S8910" s="508">
        <f t="array" ref="S8910">INDEX(S$3595:S$4461,MATCH($B8910&amp;$C8910,$B$3595:$B$4461&amp;$C$3595:$C$4461,0))</f>
        <v>0.63</v>
      </c>
      <c r="T8910" s="508">
        <f t="array" ref="T8910">INDEX(T$3595:T$4461,MATCH($B8910&amp;$C8910,$B$3595:$B$4461&amp;$C$3595:$C$4461,0))</f>
        <v>0.628</v>
      </c>
      <c r="U8910" s="508">
        <f t="array" ref="U8910">INDEX(U$3595:U$4461,MATCH($B8910&amp;$C8910,$B$3595:$B$4461&amp;$C$3595:$C$4461,0))</f>
        <v>0.629</v>
      </c>
      <c r="V8910" s="508">
        <f t="array" ref="V8910">INDEX(V$3595:V$4461,MATCH($B8910&amp;$C8910,$B$3595:$B$4461&amp;$C$3595:$C$4461,0))</f>
        <v>0.61199999999999999</v>
      </c>
      <c r="W8910" s="508">
        <f t="array" ref="W8910">INDEX(W$3595:W$4461,MATCH($B8910&amp;$C8910,$B$3595:$B$4461&amp;$C$3595:$C$4461,0))</f>
        <v>0.55500000000000005</v>
      </c>
      <c r="X8910" s="508">
        <f t="array" ref="X8910">INDEX(X$3595:X$4461,MATCH($B8910&amp;$C8910,$B$3595:$B$4461&amp;$C$3595:$C$4461,0))</f>
        <v>0.55200000000000005</v>
      </c>
      <c r="Y8910" s="508">
        <f t="array" ref="Y8910">INDEX(Y$3595:Y$4461,MATCH($B8910&amp;$C8910,$B$3595:$B$4461&amp;$C$3595:$C$4461,0))</f>
        <v>0.55700000000000005</v>
      </c>
      <c r="Z8910" s="508">
        <f t="array" ref="Z8910">INDEX(Z$3595:Z$4461,MATCH($B8910&amp;$C8910,$B$3595:$B$4461&amp;$C$3595:$C$4461,0))</f>
        <v>0.55600000000000005</v>
      </c>
      <c r="AA8910" s="508">
        <f t="array" ref="AA8910">INDEX(AA$3595:AA$4461,MATCH($B8910&amp;$C8910,$B$3595:$B$4461&amp;$C$3595:$C$4461,0))</f>
        <v>2.3E-2</v>
      </c>
      <c r="AB8910" s="508">
        <f t="array" ref="AB8910">INDEX(AB$3595:AB$4461,MATCH($B8910&amp;$C8910,$B$3595:$B$4461&amp;$C$3595:$C$4461,0))</f>
        <v>2.1999999999999999E-2</v>
      </c>
      <c r="AC8910" s="508">
        <f t="array" ref="AC8910">INDEX(AC$3595:AC$4461,MATCH($B8910&amp;$C8910,$B$3595:$B$4461&amp;$C$3595:$C$4461,0))</f>
        <v>2.4E-2</v>
      </c>
      <c r="AD8910" s="508">
        <f t="array" ref="AD8910">INDEX(AD$3595:AD$4461,MATCH($B8910&amp;$C8910,$B$3595:$B$4461&amp;$C$3595:$C$4461,0))</f>
        <v>2.1000000000000001E-2</v>
      </c>
      <c r="AE8910" s="508">
        <f t="array" ref="AE8910">INDEX(AE$3595:AE$4461,MATCH($B8910&amp;$C8910,$B$3595:$B$4461&amp;$C$3595:$C$4461,0))</f>
        <v>0.02</v>
      </c>
      <c r="AF8910" s="508">
        <f t="array" ref="AF8910">INDEX(AF$3595:AF$4461,MATCH($B8910&amp;$C8910,$B$3595:$B$4461&amp;$C$3595:$C$4461,0))</f>
        <v>1.2E-2</v>
      </c>
      <c r="AG8910" s="508">
        <f t="array" ref="AG8910">INDEX(AG$3595:AG$4461,MATCH($B8910&amp;$C8910,$B$3595:$B$4461&amp;$C$3595:$C$4461,0))</f>
        <v>1.2E-2</v>
      </c>
      <c r="AH8910" s="508">
        <f t="array" ref="AH8910">INDEX(AH$3595:AH$4461,MATCH($B8910&amp;$C8910,$B$3595:$B$4461&amp;$C$3595:$C$4461,0))</f>
        <v>1.2E-2</v>
      </c>
      <c r="AI8910" s="508">
        <f t="array" ref="AI8910">INDEX(AI$3595:AI$4461,MATCH($B8910&amp;$C8910,$B$3595:$B$4461&amp;$C$3595:$C$4461,0))</f>
        <v>1.2E-2</v>
      </c>
      <c r="AJ8910" s="508"/>
      <c r="AK8910" s="508">
        <f t="shared" si="186"/>
        <v>1.2E-2</v>
      </c>
      <c r="AL8910" s="508">
        <f t="shared" si="189"/>
        <v>1.2E-2</v>
      </c>
      <c r="AM8910" s="508">
        <f t="shared" si="189"/>
        <v>1.2E-2</v>
      </c>
      <c r="AN8910" s="508">
        <f t="shared" si="189"/>
        <v>1.2E-2</v>
      </c>
      <c r="AO8910" s="508">
        <f t="array" ref="AO8910">INDEX('GREET Fuel Attributes'!$E$8948:$E$9083,MATCH($C8910&amp;$D8910,'GREET Fuel Attributes'!$B$8948:$B$9083&amp;'GREET Fuel Attributes'!$C$8948:$C$9083,0))/INDEX('GREET Fuel Attributes'!$D$8948:$D$9083,MATCH($C8910&amp;$D8910,'GREET Fuel Attributes'!$B$8948:$B$9083&amp;'GREET Fuel Attributes'!$C$8948:$C$9083,0))*AI8910</f>
        <v>1.2E-2</v>
      </c>
      <c r="AP8910" s="132" t="s">
        <v>1387</v>
      </c>
      <c r="AQ8910" s="142" t="s">
        <v>309</v>
      </c>
    </row>
    <row r="8911" spans="2:43">
      <c r="B8911" s="136" t="str">
        <f t="shared" si="188"/>
        <v>ILLINOIS</v>
      </c>
      <c r="C8911" s="132" t="s">
        <v>1375</v>
      </c>
      <c r="D8911" s="132" t="s">
        <v>1379</v>
      </c>
      <c r="E8911" s="508">
        <f t="array" ref="E8911">INDEX(E$4462:E$5328,MATCH($B8911&amp;$C8911,$B$4462:$B$5328&amp;$C$4462:$C$5328,0))</f>
        <v>0.18099999999999999</v>
      </c>
      <c r="F8911" s="508">
        <f t="array" ref="F8911">INDEX(F$4462:F$5328,MATCH($B8911&amp;$C8911,$B$4462:$B$5328&amp;$C$4462:$C$5328,0))</f>
        <v>0.17299999999999999</v>
      </c>
      <c r="G8911" s="508">
        <f t="array" ref="G8911">INDEX(G$4462:G$5328,MATCH($B8911&amp;$C8911,$B$4462:$B$5328&amp;$C$4462:$C$5328,0))</f>
        <v>0.16200000000000001</v>
      </c>
      <c r="H8911" s="508">
        <f t="array" ref="H8911">INDEX(H$4462:H$5328,MATCH($B8911&amp;$C8911,$B$4462:$B$5328&amp;$C$4462:$C$5328,0))</f>
        <v>0.16200000000000001</v>
      </c>
      <c r="I8911" s="508">
        <f t="array" ref="I8911">INDEX(I$4462:I$5328,MATCH($B8911&amp;$C8911,$B$4462:$B$5328&amp;$C$4462:$C$5328,0))</f>
        <v>0.159</v>
      </c>
      <c r="J8911" s="508">
        <f t="array" ref="J8911">INDEX(J$4462:J$5328,MATCH($B8911&amp;$C8911,$B$4462:$B$5328&amp;$C$4462:$C$5328,0))</f>
        <v>0.152</v>
      </c>
      <c r="K8911" s="508">
        <f t="array" ref="K8911">INDEX(K$4462:K$5328,MATCH($B8911&amp;$C8911,$B$4462:$B$5328&amp;$C$4462:$C$5328,0))</f>
        <v>0.157</v>
      </c>
      <c r="L8911" s="508">
        <f t="array" ref="L8911">INDEX(L$4462:L$5328,MATCH($B8911&amp;$C8911,$B$4462:$B$5328&amp;$C$4462:$C$5328,0))</f>
        <v>0.15</v>
      </c>
      <c r="M8911" s="508">
        <f t="array" ref="M8911">INDEX(M$4462:M$5328,MATCH($B8911&amp;$C8911,$B$4462:$B$5328&amp;$C$4462:$C$5328,0))</f>
        <v>0.151</v>
      </c>
      <c r="N8911" s="508">
        <f t="array" ref="N8911">INDEX(N$4462:N$5328,MATCH($B8911&amp;$C8911,$B$4462:$B$5328&amp;$C$4462:$C$5328,0))</f>
        <v>0.13700000000000001</v>
      </c>
      <c r="O8911" s="508">
        <f t="array" ref="O8911">INDEX(O$4462:O$5328,MATCH($B8911&amp;$C8911,$B$4462:$B$5328&amp;$C$4462:$C$5328,0))</f>
        <v>0.13700000000000001</v>
      </c>
      <c r="P8911" s="508">
        <f t="array" ref="P8911">INDEX(P$4462:P$5328,MATCH($B8911&amp;$C8911,$B$4462:$B$5328&amp;$C$4462:$C$5328,0))</f>
        <v>0.14000000000000001</v>
      </c>
      <c r="Q8911" s="508">
        <f t="array" ref="Q8911">INDEX(Q$4462:Q$5328,MATCH($B8911&amp;$C8911,$B$4462:$B$5328&amp;$C$4462:$C$5328,0))</f>
        <v>0.13</v>
      </c>
      <c r="R8911" s="508">
        <f t="array" ref="R8911">INDEX(R$4462:R$5328,MATCH($B8911&amp;$C8911,$B$4462:$B$5328&amp;$C$4462:$C$5328,0))</f>
        <v>0.14699999999999999</v>
      </c>
      <c r="S8911" s="508">
        <f t="array" ref="S8911">INDEX(S$4462:S$5328,MATCH($B8911&amp;$C8911,$B$4462:$B$5328&amp;$C$4462:$C$5328,0))</f>
        <v>0.13</v>
      </c>
      <c r="T8911" s="508">
        <f t="array" ref="T8911">INDEX(T$4462:T$5328,MATCH($B8911&amp;$C8911,$B$4462:$B$5328&amp;$C$4462:$C$5328,0))</f>
        <v>0.127</v>
      </c>
      <c r="U8911" s="508">
        <f t="array" ref="U8911">INDEX(U$4462:U$5328,MATCH($B8911&amp;$C8911,$B$4462:$B$5328&amp;$C$4462:$C$5328,0))</f>
        <v>0.13300000000000001</v>
      </c>
      <c r="V8911" s="508">
        <f t="array" ref="V8911">INDEX(V$4462:V$5328,MATCH($B8911&amp;$C8911,$B$4462:$B$5328&amp;$C$4462:$C$5328,0))</f>
        <v>0.11</v>
      </c>
      <c r="W8911" s="508">
        <f t="array" ref="W8911">INDEX(W$4462:W$5328,MATCH($B8911&amp;$C8911,$B$4462:$B$5328&amp;$C$4462:$C$5328,0))</f>
        <v>0.114</v>
      </c>
      <c r="X8911" s="508">
        <f t="array" ref="X8911">INDEX(X$4462:X$5328,MATCH($B8911&amp;$C8911,$B$4462:$B$5328&amp;$C$4462:$C$5328,0))</f>
        <v>0.113</v>
      </c>
      <c r="Y8911" s="508">
        <f t="array" ref="Y8911">INDEX(Y$4462:Y$5328,MATCH($B8911&amp;$C8911,$B$4462:$B$5328&amp;$C$4462:$C$5328,0))</f>
        <v>0.12</v>
      </c>
      <c r="Z8911" s="508">
        <f t="array" ref="Z8911">INDEX(Z$4462:Z$5328,MATCH($B8911&amp;$C8911,$B$4462:$B$5328&amp;$C$4462:$C$5328,0))</f>
        <v>0.11600000000000001</v>
      </c>
      <c r="AA8911" s="508">
        <f t="array" ref="AA8911">INDEX(AA$4462:AA$5328,MATCH($B8911&amp;$C8911,$B$4462:$B$5328&amp;$C$4462:$C$5328,0))</f>
        <v>0.13</v>
      </c>
      <c r="AB8911" s="508">
        <f t="array" ref="AB8911">INDEX(AB$4462:AB$5328,MATCH($B8911&amp;$C8911,$B$4462:$B$5328&amp;$C$4462:$C$5328,0))</f>
        <v>0.10100000000000001</v>
      </c>
      <c r="AC8911" s="508">
        <f t="array" ref="AC8911">INDEX(AC$4462:AC$5328,MATCH($B8911&amp;$C8911,$B$4462:$B$5328&amp;$C$4462:$C$5328,0))</f>
        <v>0.13200000000000001</v>
      </c>
      <c r="AD8911" s="508">
        <f t="array" ref="AD8911">INDEX(AD$4462:AD$5328,MATCH($B8911&amp;$C8911,$B$4462:$B$5328&amp;$C$4462:$C$5328,0))</f>
        <v>0.126</v>
      </c>
      <c r="AE8911" s="508">
        <f t="array" ref="AE8911">INDEX(AE$4462:AE$5328,MATCH($B8911&amp;$C8911,$B$4462:$B$5328&amp;$C$4462:$C$5328,0))</f>
        <v>0.114</v>
      </c>
      <c r="AF8911" s="508">
        <f t="array" ref="AF8911">INDEX(AF$4462:AF$5328,MATCH($B8911&amp;$C8911,$B$4462:$B$5328&amp;$C$4462:$C$5328,0))</f>
        <v>0.114</v>
      </c>
      <c r="AG8911" s="508">
        <f t="array" ref="AG8911">INDEX(AG$4462:AG$5328,MATCH($B8911&amp;$C8911,$B$4462:$B$5328&amp;$C$4462:$C$5328,0))</f>
        <v>0.114</v>
      </c>
      <c r="AH8911" s="508">
        <f t="array" ref="AH8911">INDEX(AH$4462:AH$5328,MATCH($B8911&amp;$C8911,$B$4462:$B$5328&amp;$C$4462:$C$5328,0))</f>
        <v>0.114</v>
      </c>
      <c r="AI8911" s="508">
        <f t="array" ref="AI8911">INDEX(AI$4462:AI$5328,MATCH($B8911&amp;$C8911,$B$4462:$B$5328&amp;$C$4462:$C$5328,0))</f>
        <v>0.114</v>
      </c>
      <c r="AJ8911" s="508"/>
      <c r="AK8911" s="508">
        <f t="shared" si="186"/>
        <v>0.114</v>
      </c>
      <c r="AL8911" s="508">
        <f t="shared" si="189"/>
        <v>0.114</v>
      </c>
      <c r="AM8911" s="508">
        <f t="shared" si="189"/>
        <v>0.114</v>
      </c>
      <c r="AN8911" s="508">
        <f t="shared" si="189"/>
        <v>0.114</v>
      </c>
      <c r="AO8911" s="508">
        <f t="array" ref="AO8911">INDEX('GREET Fuel Attributes'!$E$8948:$E$9083,MATCH($C8911&amp;$D8911,'GREET Fuel Attributes'!$B$8948:$B$9083&amp;'GREET Fuel Attributes'!$C$8948:$C$9083,0))/INDEX('GREET Fuel Attributes'!$D$8948:$D$9083,MATCH($C8911&amp;$D8911,'GREET Fuel Attributes'!$B$8948:$B$9083&amp;'GREET Fuel Attributes'!$C$8948:$C$9083,0))*AI8911</f>
        <v>0.114</v>
      </c>
      <c r="AP8911" s="132" t="s">
        <v>1387</v>
      </c>
      <c r="AQ8911" s="142" t="s">
        <v>309</v>
      </c>
    </row>
    <row r="8912" spans="2:43">
      <c r="B8912" s="136" t="str">
        <f t="shared" si="188"/>
        <v>ILLINOIS</v>
      </c>
      <c r="C8912" s="132" t="s">
        <v>1375</v>
      </c>
      <c r="D8912" s="132" t="s">
        <v>285</v>
      </c>
      <c r="E8912" s="508">
        <f t="array" ref="E8912">INDEX(E$5329:E$6195,MATCH($B8912&amp;$C8912,$B$5329:$B$6195&amp;$C$5329:$C$6195,0))</f>
        <v>2.052</v>
      </c>
      <c r="F8912" s="508">
        <f t="array" ref="F8912">INDEX(F$5329:F$6195,MATCH($B8912&amp;$C8912,$B$5329:$B$6195&amp;$C$5329:$C$6195,0))</f>
        <v>1.9910000000000001</v>
      </c>
      <c r="G8912" s="508">
        <f t="array" ref="G8912">INDEX(G$5329:G$6195,MATCH($B8912&amp;$C8912,$B$5329:$B$6195&amp;$C$5329:$C$6195,0))</f>
        <v>1.917</v>
      </c>
      <c r="H8912" s="508">
        <f t="array" ref="H8912">INDEX(H$5329:H$6195,MATCH($B8912&amp;$C8912,$B$5329:$B$6195&amp;$C$5329:$C$6195,0))</f>
        <v>1.121</v>
      </c>
      <c r="I8912" s="508">
        <f t="array" ref="I8912">INDEX(I$5329:I$6195,MATCH($B8912&amp;$C8912,$B$5329:$B$6195&amp;$C$5329:$C$6195,0))</f>
        <v>1.1180000000000001</v>
      </c>
      <c r="J8912" s="508">
        <f t="array" ref="J8912">INDEX(J$5329:J$6195,MATCH($B8912&amp;$C8912,$B$5329:$B$6195&amp;$C$5329:$C$6195,0))</f>
        <v>1.143</v>
      </c>
      <c r="K8912" s="508">
        <f t="array" ref="K8912">INDEX(K$5329:K$6195,MATCH($B8912&amp;$C8912,$B$5329:$B$6195&amp;$C$5329:$C$6195,0))</f>
        <v>0.82399999999999995</v>
      </c>
      <c r="L8912" s="508">
        <f t="array" ref="L8912">INDEX(L$5329:L$6195,MATCH($B8912&amp;$C8912,$B$5329:$B$6195&amp;$C$5329:$C$6195,0))</f>
        <v>0.82</v>
      </c>
      <c r="M8912" s="508">
        <f t="array" ref="M8912">INDEX(M$5329:M$6195,MATCH($B8912&amp;$C8912,$B$5329:$B$6195&amp;$C$5329:$C$6195,0))</f>
        <v>0.82399999999999995</v>
      </c>
      <c r="N8912" s="508">
        <f t="array" ref="N8912">INDEX(N$5329:N$6195,MATCH($B8912&amp;$C8912,$B$5329:$B$6195&amp;$C$5329:$C$6195,0))</f>
        <v>1.1259999999999999</v>
      </c>
      <c r="O8912" s="508">
        <f t="array" ref="O8912">INDEX(O$5329:O$6195,MATCH($B8912&amp;$C8912,$B$5329:$B$6195&amp;$C$5329:$C$6195,0))</f>
        <v>1.1399999999999999</v>
      </c>
      <c r="P8912" s="508">
        <f t="array" ref="P8912">INDEX(P$5329:P$6195,MATCH($B8912&amp;$C8912,$B$5329:$B$6195&amp;$C$5329:$C$6195,0))</f>
        <v>1.127</v>
      </c>
      <c r="Q8912" s="508">
        <f t="array" ref="Q8912">INDEX(Q$5329:Q$6195,MATCH($B8912&amp;$C8912,$B$5329:$B$6195&amp;$C$5329:$C$6195,0))</f>
        <v>1.147</v>
      </c>
      <c r="R8912" s="508">
        <f t="array" ref="R8912">INDEX(R$5329:R$6195,MATCH($B8912&amp;$C8912,$B$5329:$B$6195&amp;$C$5329:$C$6195,0))</f>
        <v>0.59099999999999997</v>
      </c>
      <c r="S8912" s="508">
        <f t="array" ref="S8912">INDEX(S$5329:S$6195,MATCH($B8912&amp;$C8912,$B$5329:$B$6195&amp;$C$5329:$C$6195,0))</f>
        <v>0.57999999999999996</v>
      </c>
      <c r="T8912" s="508">
        <f t="array" ref="T8912">INDEX(T$5329:T$6195,MATCH($B8912&amp;$C8912,$B$5329:$B$6195&amp;$C$5329:$C$6195,0))</f>
        <v>0.57699999999999996</v>
      </c>
      <c r="U8912" s="508">
        <f t="array" ref="U8912">INDEX(U$5329:U$6195,MATCH($B8912&amp;$C8912,$B$5329:$B$6195&amp;$C$5329:$C$6195,0))</f>
        <v>0.57799999999999996</v>
      </c>
      <c r="V8912" s="508">
        <f t="array" ref="V8912">INDEX(V$5329:V$6195,MATCH($B8912&amp;$C8912,$B$5329:$B$6195&amp;$C$5329:$C$6195,0))</f>
        <v>0.56299999999999994</v>
      </c>
      <c r="W8912" s="508">
        <f t="array" ref="W8912">INDEX(W$5329:W$6195,MATCH($B8912&amp;$C8912,$B$5329:$B$6195&amp;$C$5329:$C$6195,0))</f>
        <v>0.51100000000000001</v>
      </c>
      <c r="X8912" s="508">
        <f t="array" ref="X8912">INDEX(X$5329:X$6195,MATCH($B8912&amp;$C8912,$B$5329:$B$6195&amp;$C$5329:$C$6195,0))</f>
        <v>0.50800000000000001</v>
      </c>
      <c r="Y8912" s="508">
        <f t="array" ref="Y8912">INDEX(Y$5329:Y$6195,MATCH($B8912&amp;$C8912,$B$5329:$B$6195&amp;$C$5329:$C$6195,0))</f>
        <v>0.51300000000000001</v>
      </c>
      <c r="Z8912" s="508">
        <f t="array" ref="Z8912">INDEX(Z$5329:Z$6195,MATCH($B8912&amp;$C8912,$B$5329:$B$6195&amp;$C$5329:$C$6195,0))</f>
        <v>0.51100000000000001</v>
      </c>
      <c r="AA8912" s="508">
        <f t="array" ref="AA8912">INDEX(AA$5329:AA$6195,MATCH($B8912&amp;$C8912,$B$5329:$B$6195&amp;$C$5329:$C$6195,0))</f>
        <v>2.1000000000000001E-2</v>
      </c>
      <c r="AB8912" s="508">
        <f t="array" ref="AB8912">INDEX(AB$5329:AB$6195,MATCH($B8912&amp;$C8912,$B$5329:$B$6195&amp;$C$5329:$C$6195,0))</f>
        <v>0.02</v>
      </c>
      <c r="AC8912" s="508">
        <f t="array" ref="AC8912">INDEX(AC$5329:AC$6195,MATCH($B8912&amp;$C8912,$B$5329:$B$6195&amp;$C$5329:$C$6195,0))</f>
        <v>2.1999999999999999E-2</v>
      </c>
      <c r="AD8912" s="508">
        <f t="array" ref="AD8912">INDEX(AD$5329:AD$6195,MATCH($B8912&amp;$C8912,$B$5329:$B$6195&amp;$C$5329:$C$6195,0))</f>
        <v>1.9E-2</v>
      </c>
      <c r="AE8912" s="508">
        <f t="array" ref="AE8912">INDEX(AE$5329:AE$6195,MATCH($B8912&amp;$C8912,$B$5329:$B$6195&amp;$C$5329:$C$6195,0))</f>
        <v>1.9E-2</v>
      </c>
      <c r="AF8912" s="508">
        <f t="array" ref="AF8912">INDEX(AF$5329:AF$6195,MATCH($B8912&amp;$C8912,$B$5329:$B$6195&amp;$C$5329:$C$6195,0))</f>
        <v>1.0999999999999999E-2</v>
      </c>
      <c r="AG8912" s="508">
        <f t="array" ref="AG8912">INDEX(AG$5329:AG$6195,MATCH($B8912&amp;$C8912,$B$5329:$B$6195&amp;$C$5329:$C$6195,0))</f>
        <v>1.0999999999999999E-2</v>
      </c>
      <c r="AH8912" s="508">
        <f t="array" ref="AH8912">INDEX(AH$5329:AH$6195,MATCH($B8912&amp;$C8912,$B$5329:$B$6195&amp;$C$5329:$C$6195,0))</f>
        <v>1.0999999999999999E-2</v>
      </c>
      <c r="AI8912" s="508">
        <f t="array" ref="AI8912">INDEX(AI$5329:AI$6195,MATCH($B8912&amp;$C8912,$B$5329:$B$6195&amp;$C$5329:$C$6195,0))</f>
        <v>1.0999999999999999E-2</v>
      </c>
      <c r="AJ8912" s="508"/>
      <c r="AK8912" s="508">
        <f t="shared" si="186"/>
        <v>1.1183333333333333E-2</v>
      </c>
      <c r="AL8912" s="508">
        <f t="shared" si="189"/>
        <v>1.1366666666666667E-2</v>
      </c>
      <c r="AM8912" s="508">
        <f t="shared" si="189"/>
        <v>1.1550000000000001E-2</v>
      </c>
      <c r="AN8912" s="508">
        <f t="shared" si="189"/>
        <v>1.1733333333333335E-2</v>
      </c>
      <c r="AO8912" s="508">
        <f t="array" ref="AO8912">INDEX('GREET Fuel Attributes'!$E$8948:$E$9083,MATCH($C8912&amp;$D8912,'GREET Fuel Attributes'!$B$8948:$B$9083&amp;'GREET Fuel Attributes'!$C$8948:$C$9083,0))/INDEX('GREET Fuel Attributes'!$D$8948:$D$9083,MATCH($C8912&amp;$D8912,'GREET Fuel Attributes'!$B$8948:$B$9083&amp;'GREET Fuel Attributes'!$C$8948:$C$9083,0))*AI8912</f>
        <v>1.1916666666666666E-2</v>
      </c>
      <c r="AP8912" s="132" t="s">
        <v>1387</v>
      </c>
      <c r="AQ8912" s="142" t="s">
        <v>309</v>
      </c>
    </row>
    <row r="8913" spans="2:43">
      <c r="B8913" s="136" t="str">
        <f t="shared" si="188"/>
        <v>ILLINOIS</v>
      </c>
      <c r="C8913" s="132" t="s">
        <v>1375</v>
      </c>
      <c r="D8913" s="132" t="s">
        <v>1380</v>
      </c>
      <c r="E8913" s="508">
        <f t="array" ref="E8913">INDEX(E$6196:E$7062,MATCH($B8913&amp;$C8913,$B$6196:$B$7062&amp;$C$6196:$C$7062,0))</f>
        <v>2.3E-2</v>
      </c>
      <c r="F8913" s="508">
        <f t="array" ref="F8913">INDEX(F$6196:F$7062,MATCH($B8913&amp;$C8913,$B$6196:$B$7062&amp;$C$6196:$C$7062,0))</f>
        <v>2.1999999999999999E-2</v>
      </c>
      <c r="G8913" s="508">
        <f t="array" ref="G8913">INDEX(G$6196:G$7062,MATCH($B8913&amp;$C8913,$B$6196:$B$7062&amp;$C$6196:$C$7062,0))</f>
        <v>2.1000000000000001E-2</v>
      </c>
      <c r="H8913" s="508">
        <f t="array" ref="H8913">INDEX(H$6196:H$7062,MATCH($B8913&amp;$C8913,$B$6196:$B$7062&amp;$C$6196:$C$7062,0))</f>
        <v>2.1000000000000001E-2</v>
      </c>
      <c r="I8913" s="508">
        <f t="array" ref="I8913">INDEX(I$6196:I$7062,MATCH($B8913&amp;$C8913,$B$6196:$B$7062&amp;$C$6196:$C$7062,0))</f>
        <v>0.02</v>
      </c>
      <c r="J8913" s="508">
        <f t="array" ref="J8913">INDEX(J$6196:J$7062,MATCH($B8913&amp;$C8913,$B$6196:$B$7062&amp;$C$6196:$C$7062,0))</f>
        <v>1.9E-2</v>
      </c>
      <c r="K8913" s="508">
        <f t="array" ref="K8913">INDEX(K$6196:K$7062,MATCH($B8913&amp;$C8913,$B$6196:$B$7062&amp;$C$6196:$C$7062,0))</f>
        <v>0.02</v>
      </c>
      <c r="L8913" s="508">
        <f t="array" ref="L8913">INDEX(L$6196:L$7062,MATCH($B8913&amp;$C8913,$B$6196:$B$7062&amp;$C$6196:$C$7062,0))</f>
        <v>1.9E-2</v>
      </c>
      <c r="M8913" s="508">
        <f t="array" ref="M8913">INDEX(M$6196:M$7062,MATCH($B8913&amp;$C8913,$B$6196:$B$7062&amp;$C$6196:$C$7062,0))</f>
        <v>1.9E-2</v>
      </c>
      <c r="N8913" s="508">
        <f t="array" ref="N8913">INDEX(N$6196:N$7062,MATCH($B8913&amp;$C8913,$B$6196:$B$7062&amp;$C$6196:$C$7062,0))</f>
        <v>1.7999999999999999E-2</v>
      </c>
      <c r="O8913" s="508">
        <f t="array" ref="O8913">INDEX(O$6196:O$7062,MATCH($B8913&amp;$C8913,$B$6196:$B$7062&amp;$C$6196:$C$7062,0))</f>
        <v>1.7999999999999999E-2</v>
      </c>
      <c r="P8913" s="508">
        <f t="array" ref="P8913">INDEX(P$6196:P$7062,MATCH($B8913&amp;$C8913,$B$6196:$B$7062&amp;$C$6196:$C$7062,0))</f>
        <v>1.7999999999999999E-2</v>
      </c>
      <c r="Q8913" s="508">
        <f t="array" ref="Q8913">INDEX(Q$6196:Q$7062,MATCH($B8913&amp;$C8913,$B$6196:$B$7062&amp;$C$6196:$C$7062,0))</f>
        <v>1.7000000000000001E-2</v>
      </c>
      <c r="R8913" s="508">
        <f t="array" ref="R8913">INDEX(R$6196:R$7062,MATCH($B8913&amp;$C8913,$B$6196:$B$7062&amp;$C$6196:$C$7062,0))</f>
        <v>1.9E-2</v>
      </c>
      <c r="S8913" s="508">
        <f t="array" ref="S8913">INDEX(S$6196:S$7062,MATCH($B8913&amp;$C8913,$B$6196:$B$7062&amp;$C$6196:$C$7062,0))</f>
        <v>1.7000000000000001E-2</v>
      </c>
      <c r="T8913" s="508">
        <f t="array" ref="T8913">INDEX(T$6196:T$7062,MATCH($B8913&amp;$C8913,$B$6196:$B$7062&amp;$C$6196:$C$7062,0))</f>
        <v>1.6E-2</v>
      </c>
      <c r="U8913" s="508">
        <f t="array" ref="U8913">INDEX(U$6196:U$7062,MATCH($B8913&amp;$C8913,$B$6196:$B$7062&amp;$C$6196:$C$7062,0))</f>
        <v>1.7000000000000001E-2</v>
      </c>
      <c r="V8913" s="508">
        <f t="array" ref="V8913">INDEX(V$6196:V$7062,MATCH($B8913&amp;$C8913,$B$6196:$B$7062&amp;$C$6196:$C$7062,0))</f>
        <v>1.4E-2</v>
      </c>
      <c r="W8913" s="508">
        <f t="array" ref="W8913">INDEX(W$6196:W$7062,MATCH($B8913&amp;$C8913,$B$6196:$B$7062&amp;$C$6196:$C$7062,0))</f>
        <v>1.4999999999999999E-2</v>
      </c>
      <c r="X8913" s="508">
        <f t="array" ref="X8913">INDEX(X$6196:X$7062,MATCH($B8913&amp;$C8913,$B$6196:$B$7062&amp;$C$6196:$C$7062,0))</f>
        <v>1.4999999999999999E-2</v>
      </c>
      <c r="Y8913" s="508">
        <f t="array" ref="Y8913">INDEX(Y$6196:Y$7062,MATCH($B8913&amp;$C8913,$B$6196:$B$7062&amp;$C$6196:$C$7062,0))</f>
        <v>1.4999999999999999E-2</v>
      </c>
      <c r="Z8913" s="508">
        <f t="array" ref="Z8913">INDEX(Z$6196:Z$7062,MATCH($B8913&amp;$C8913,$B$6196:$B$7062&amp;$C$6196:$C$7062,0))</f>
        <v>1.4999999999999999E-2</v>
      </c>
      <c r="AA8913" s="508">
        <f t="array" ref="AA8913">INDEX(AA$6196:AA$7062,MATCH($B8913&amp;$C8913,$B$6196:$B$7062&amp;$C$6196:$C$7062,0))</f>
        <v>1.7000000000000001E-2</v>
      </c>
      <c r="AB8913" s="508">
        <f t="array" ref="AB8913">INDEX(AB$6196:AB$7062,MATCH($B8913&amp;$C8913,$B$6196:$B$7062&amp;$C$6196:$C$7062,0))</f>
        <v>1.2999999999999999E-2</v>
      </c>
      <c r="AC8913" s="508">
        <f t="array" ref="AC8913">INDEX(AC$6196:AC$7062,MATCH($B8913&amp;$C8913,$B$6196:$B$7062&amp;$C$6196:$C$7062,0))</f>
        <v>1.7000000000000001E-2</v>
      </c>
      <c r="AD8913" s="508">
        <f t="array" ref="AD8913">INDEX(AD$6196:AD$7062,MATCH($B8913&amp;$C8913,$B$6196:$B$7062&amp;$C$6196:$C$7062,0))</f>
        <v>1.6E-2</v>
      </c>
      <c r="AE8913" s="508">
        <f t="array" ref="AE8913">INDEX(AE$6196:AE$7062,MATCH($B8913&amp;$C8913,$B$6196:$B$7062&amp;$C$6196:$C$7062,0))</f>
        <v>1.4999999999999999E-2</v>
      </c>
      <c r="AF8913" s="508">
        <f t="array" ref="AF8913">INDEX(AF$6196:AF$7062,MATCH($B8913&amp;$C8913,$B$6196:$B$7062&amp;$C$6196:$C$7062,0))</f>
        <v>1.4999999999999999E-2</v>
      </c>
      <c r="AG8913" s="508">
        <f t="array" ref="AG8913">INDEX(AG$6196:AG$7062,MATCH($B8913&amp;$C8913,$B$6196:$B$7062&amp;$C$6196:$C$7062,0))</f>
        <v>1.4999999999999999E-2</v>
      </c>
      <c r="AH8913" s="508">
        <f t="array" ref="AH8913">INDEX(AH$6196:AH$7062,MATCH($B8913&amp;$C8913,$B$6196:$B$7062&amp;$C$6196:$C$7062,0))</f>
        <v>1.4999999999999999E-2</v>
      </c>
      <c r="AI8913" s="508">
        <f t="array" ref="AI8913">INDEX(AI$6196:AI$7062,MATCH($B8913&amp;$C8913,$B$6196:$B$7062&amp;$C$6196:$C$7062,0))</f>
        <v>1.4999999999999999E-2</v>
      </c>
      <c r="AJ8913" s="508"/>
      <c r="AK8913" s="508">
        <f t="shared" si="186"/>
        <v>1.4999999999999999E-2</v>
      </c>
      <c r="AL8913" s="508">
        <f t="shared" si="189"/>
        <v>1.4999999999999999E-2</v>
      </c>
      <c r="AM8913" s="508">
        <f t="shared" si="189"/>
        <v>1.4999999999999999E-2</v>
      </c>
      <c r="AN8913" s="508">
        <f t="shared" si="189"/>
        <v>1.4999999999999999E-2</v>
      </c>
      <c r="AO8913" s="508">
        <f t="array" ref="AO8913">INDEX('GREET Fuel Attributes'!$E$8948:$E$9083,MATCH($C8913&amp;$D8913,'GREET Fuel Attributes'!$B$8948:$B$9083&amp;'GREET Fuel Attributes'!$C$8948:$C$9083,0))/INDEX('GREET Fuel Attributes'!$D$8948:$D$9083,MATCH($C8913&amp;$D8913,'GREET Fuel Attributes'!$B$8948:$B$9083&amp;'GREET Fuel Attributes'!$C$8948:$C$9083,0))*AI8913</f>
        <v>1.4999999999999999E-2</v>
      </c>
      <c r="AP8913" s="132" t="s">
        <v>1387</v>
      </c>
      <c r="AQ8913" s="142" t="s">
        <v>309</v>
      </c>
    </row>
    <row r="8914" spans="2:43">
      <c r="B8914" s="136" t="str">
        <f t="shared" si="188"/>
        <v>ILLINOIS</v>
      </c>
      <c r="C8914" s="132" t="s">
        <v>1375</v>
      </c>
      <c r="D8914" s="132" t="s">
        <v>281</v>
      </c>
      <c r="E8914" s="508">
        <f t="array" ref="E8914">INDEX(E$7063:E$7929,MATCH($B8914&amp;$C8914,$B$7063:$B$7929&amp;$C$7063:$C$7929,0))</f>
        <v>2.2719999999999998</v>
      </c>
      <c r="F8914" s="508">
        <f t="array" ref="F8914">INDEX(F$7063:F$7929,MATCH($B8914&amp;$C8914,$B$7063:$B$7929&amp;$C$7063:$C$7929,0))</f>
        <v>2.105</v>
      </c>
      <c r="G8914" s="508">
        <f t="array" ref="G8914">INDEX(G$7063:G$7929,MATCH($B8914&amp;$C8914,$B$7063:$B$7929&amp;$C$7063:$C$7929,0))</f>
        <v>2.0329999999999999</v>
      </c>
      <c r="H8914" s="508">
        <f t="array" ref="H8914">INDEX(H$7063:H$7929,MATCH($B8914&amp;$C8914,$B$7063:$B$7929&amp;$C$7063:$C$7929,0))</f>
        <v>1.95</v>
      </c>
      <c r="I8914" s="508">
        <f t="array" ref="I8914">INDEX(I$7063:I$7929,MATCH($B8914&amp;$C8914,$B$7063:$B$7929&amp;$C$7063:$C$7929,0))</f>
        <v>1.8859999999999999</v>
      </c>
      <c r="J8914" s="508">
        <f t="array" ref="J8914">INDEX(J$7063:J$7929,MATCH($B8914&amp;$C8914,$B$7063:$B$7929&amp;$C$7063:$C$7929,0))</f>
        <v>1.8979999999999999</v>
      </c>
      <c r="K8914" s="508">
        <f t="array" ref="K8914">INDEX(K$7063:K$7929,MATCH($B8914&amp;$C8914,$B$7063:$B$7929&amp;$C$7063:$C$7929,0))</f>
        <v>1.8560000000000001</v>
      </c>
      <c r="L8914" s="508">
        <f t="array" ref="L8914">INDEX(L$7063:L$7929,MATCH($B8914&amp;$C8914,$B$7063:$B$7929&amp;$C$7063:$C$7929,0))</f>
        <v>1.84</v>
      </c>
      <c r="M8914" s="508">
        <f t="array" ref="M8914">INDEX(M$7063:M$7929,MATCH($B8914&amp;$C8914,$B$7063:$B$7929&amp;$C$7063:$C$7929,0))</f>
        <v>1.794</v>
      </c>
      <c r="N8914" s="508">
        <f t="array" ref="N8914">INDEX(N$7063:N$7929,MATCH($B8914&amp;$C8914,$B$7063:$B$7929&amp;$C$7063:$C$7929,0))</f>
        <v>1.8260000000000001</v>
      </c>
      <c r="O8914" s="508">
        <f t="array" ref="O8914">INDEX(O$7063:O$7929,MATCH($B8914&amp;$C8914,$B$7063:$B$7929&amp;$C$7063:$C$7929,0))</f>
        <v>1.841</v>
      </c>
      <c r="P8914" s="508">
        <f t="array" ref="P8914">INDEX(P$7063:P$7929,MATCH($B8914&amp;$C8914,$B$7063:$B$7929&amp;$C$7063:$C$7929,0))</f>
        <v>1.798</v>
      </c>
      <c r="Q8914" s="508">
        <f t="array" ref="Q8914">INDEX(Q$7063:Q$7929,MATCH($B8914&amp;$C8914,$B$7063:$B$7929&amp;$C$7063:$C$7929,0))</f>
        <v>1.833</v>
      </c>
      <c r="R8914" s="508">
        <f t="array" ref="R8914">INDEX(R$7063:R$7929,MATCH($B8914&amp;$C8914,$B$7063:$B$7929&amp;$C$7063:$C$7929,0))</f>
        <v>1.76</v>
      </c>
      <c r="S8914" s="508">
        <f t="array" ref="S8914">INDEX(S$7063:S$7929,MATCH($B8914&amp;$C8914,$B$7063:$B$7929&amp;$C$7063:$C$7929,0))</f>
        <v>1.823</v>
      </c>
      <c r="T8914" s="508">
        <f t="array" ref="T8914">INDEX(T$7063:T$7929,MATCH($B8914&amp;$C8914,$B$7063:$B$7929&amp;$C$7063:$C$7929,0))</f>
        <v>1.804</v>
      </c>
      <c r="U8914" s="508">
        <f t="array" ref="U8914">INDEX(U$7063:U$7929,MATCH($B8914&amp;$C8914,$B$7063:$B$7929&amp;$C$7063:$C$7929,0))</f>
        <v>1.772</v>
      </c>
      <c r="V8914" s="508">
        <f t="array" ref="V8914">INDEX(V$7063:V$7929,MATCH($B8914&amp;$C8914,$B$7063:$B$7929&amp;$C$7063:$C$7929,0))</f>
        <v>1.857</v>
      </c>
      <c r="W8914" s="508">
        <f t="array" ref="W8914">INDEX(W$7063:W$7929,MATCH($B8914&amp;$C8914,$B$7063:$B$7929&amp;$C$7063:$C$7929,0))</f>
        <v>1.1060000000000001</v>
      </c>
      <c r="X8914" s="508">
        <f t="array" ref="X8914">INDEX(X$7063:X$7929,MATCH($B8914&amp;$C8914,$B$7063:$B$7929&amp;$C$7063:$C$7929,0))</f>
        <v>1.101</v>
      </c>
      <c r="Y8914" s="508">
        <f t="array" ref="Y8914">INDEX(Y$7063:Y$7929,MATCH($B8914&amp;$C8914,$B$7063:$B$7929&amp;$C$7063:$C$7929,0))</f>
        <v>1.0840000000000001</v>
      </c>
      <c r="Z8914" s="508">
        <f t="array" ref="Z8914">INDEX(Z$7063:Z$7929,MATCH($B8914&amp;$C8914,$B$7063:$B$7929&amp;$C$7063:$C$7929,0))</f>
        <v>1.08</v>
      </c>
      <c r="AA8914" s="508">
        <f t="array" ref="AA8914">INDEX(AA$7063:AA$7929,MATCH($B8914&amp;$C8914,$B$7063:$B$7929&amp;$C$7063:$C$7929,0))</f>
        <v>0.128</v>
      </c>
      <c r="AB8914" s="508">
        <f t="array" ref="AB8914">INDEX(AB$7063:AB$7929,MATCH($B8914&amp;$C8914,$B$7063:$B$7929&amp;$C$7063:$C$7929,0))</f>
        <v>0.129</v>
      </c>
      <c r="AC8914" s="508">
        <f t="array" ref="AC8914">INDEX(AC$7063:AC$7929,MATCH($B8914&amp;$C8914,$B$7063:$B$7929&amp;$C$7063:$C$7929,0))</f>
        <v>0.123</v>
      </c>
      <c r="AD8914" s="508">
        <f t="array" ref="AD8914">INDEX(AD$7063:AD$7929,MATCH($B8914&amp;$C8914,$B$7063:$B$7929&amp;$C$7063:$C$7929,0))</f>
        <v>8.1000000000000003E-2</v>
      </c>
      <c r="AE8914" s="508">
        <f t="array" ref="AE8914">INDEX(AE$7063:AE$7929,MATCH($B8914&amp;$C8914,$B$7063:$B$7929&amp;$C$7063:$C$7929,0))</f>
        <v>0.08</v>
      </c>
      <c r="AF8914" s="508">
        <f t="array" ref="AF8914">INDEX(AF$7063:AF$7929,MATCH($B8914&amp;$C8914,$B$7063:$B$7929&amp;$C$7063:$C$7929,0))</f>
        <v>6.8000000000000005E-2</v>
      </c>
      <c r="AG8914" s="508">
        <f t="array" ref="AG8914">INDEX(AG$7063:AG$7929,MATCH($B8914&amp;$C8914,$B$7063:$B$7929&amp;$C$7063:$C$7929,0))</f>
        <v>6.8000000000000005E-2</v>
      </c>
      <c r="AH8914" s="508">
        <f t="array" ref="AH8914">INDEX(AH$7063:AH$7929,MATCH($B8914&amp;$C8914,$B$7063:$B$7929&amp;$C$7063:$C$7929,0))</f>
        <v>6.8000000000000005E-2</v>
      </c>
      <c r="AI8914" s="508">
        <f t="array" ref="AI8914">INDEX(AI$7063:AI$7929,MATCH($B8914&amp;$C8914,$B$7063:$B$7929&amp;$C$7063:$C$7929,0))</f>
        <v>6.8000000000000005E-2</v>
      </c>
      <c r="AJ8914" s="508"/>
      <c r="AK8914" s="508">
        <f t="shared" si="186"/>
        <v>6.8200000000000011E-2</v>
      </c>
      <c r="AL8914" s="508">
        <f t="shared" si="189"/>
        <v>6.8400000000000016E-2</v>
      </c>
      <c r="AM8914" s="508">
        <f t="shared" si="189"/>
        <v>6.8600000000000022E-2</v>
      </c>
      <c r="AN8914" s="508">
        <f t="shared" si="189"/>
        <v>6.8800000000000028E-2</v>
      </c>
      <c r="AO8914" s="508">
        <f t="array" ref="AO8914">INDEX('GREET Fuel Attributes'!$E$8948:$E$9083,MATCH($C8914&amp;$D8914,'GREET Fuel Attributes'!$B$8948:$B$9083&amp;'GREET Fuel Attributes'!$C$8948:$C$9083,0))/INDEX('GREET Fuel Attributes'!$D$8948:$D$9083,MATCH($C8914&amp;$D8914,'GREET Fuel Attributes'!$B$8948:$B$9083&amp;'GREET Fuel Attributes'!$C$8948:$C$9083,0))*AI8914</f>
        <v>6.9000000000000006E-2</v>
      </c>
      <c r="AP8914" s="132" t="s">
        <v>1387</v>
      </c>
      <c r="AQ8914" s="142" t="s">
        <v>309</v>
      </c>
    </row>
    <row r="8915" spans="2:43">
      <c r="B8915" s="136" t="str">
        <f t="shared" si="188"/>
        <v>ILLINOIS</v>
      </c>
      <c r="C8915" s="132" t="s">
        <v>1375</v>
      </c>
      <c r="D8915" s="132" t="s">
        <v>1384</v>
      </c>
      <c r="E8915" s="508">
        <f t="array" ref="E8915">INDEX(E$7930:E$8796,MATCH($B8915&amp;$C8915,$B$7930:$B$8796&amp;$C$7930:$C$8796,0))</f>
        <v>3.9E-2</v>
      </c>
      <c r="F8915" s="508">
        <f t="array" ref="F8915">INDEX(F$7930:F$8796,MATCH($B8915&amp;$C8915,$B$7930:$B$8796&amp;$C$7930:$C$8796,0))</f>
        <v>3.7999999999999999E-2</v>
      </c>
      <c r="G8915" s="508">
        <f t="array" ref="G8915">INDEX(G$7930:G$8796,MATCH($B8915&amp;$C8915,$B$7930:$B$8796&amp;$C$7930:$C$8796,0))</f>
        <v>3.6999999999999998E-2</v>
      </c>
      <c r="H8915" s="508">
        <f t="array" ref="H8915">INDEX(H$7930:H$8796,MATCH($B8915&amp;$C8915,$B$7930:$B$8796&amp;$C$7930:$C$8796,0))</f>
        <v>3.5999999999999997E-2</v>
      </c>
      <c r="I8915" s="508">
        <f t="array" ref="I8915">INDEX(I$7930:I$8796,MATCH($B8915&amp;$C8915,$B$7930:$B$8796&amp;$C$7930:$C$8796,0))</f>
        <v>3.5999999999999997E-2</v>
      </c>
      <c r="J8915" s="508">
        <f t="array" ref="J8915">INDEX(J$7930:J$8796,MATCH($B8915&amp;$C8915,$B$7930:$B$8796&amp;$C$7930:$C$8796,0))</f>
        <v>3.5999999999999997E-2</v>
      </c>
      <c r="K8915" s="508">
        <f t="array" ref="K8915">INDEX(K$7930:K$8796,MATCH($B8915&amp;$C8915,$B$7930:$B$8796&amp;$C$7930:$C$8796,0))</f>
        <v>3.5999999999999997E-2</v>
      </c>
      <c r="L8915" s="508">
        <f t="array" ref="L8915">INDEX(L$7930:L$8796,MATCH($B8915&amp;$C8915,$B$7930:$B$8796&amp;$C$7930:$C$8796,0))</f>
        <v>3.5999999999999997E-2</v>
      </c>
      <c r="M8915" s="508">
        <f t="array" ref="M8915">INDEX(M$7930:M$8796,MATCH($B8915&amp;$C8915,$B$7930:$B$8796&amp;$C$7930:$C$8796,0))</f>
        <v>3.5000000000000003E-2</v>
      </c>
      <c r="N8915" s="508">
        <f t="array" ref="N8915">INDEX(N$7930:N$8796,MATCH($B8915&amp;$C8915,$B$7930:$B$8796&amp;$C$7930:$C$8796,0))</f>
        <v>3.5000000000000003E-2</v>
      </c>
      <c r="O8915" s="508">
        <f t="array" ref="O8915">INDEX(O$7930:O$8796,MATCH($B8915&amp;$C8915,$B$7930:$B$8796&amp;$C$7930:$C$8796,0))</f>
        <v>3.5000000000000003E-2</v>
      </c>
      <c r="P8915" s="508">
        <f t="array" ref="P8915">INDEX(P$7930:P$8796,MATCH($B8915&amp;$C8915,$B$7930:$B$8796&amp;$C$7930:$C$8796,0))</f>
        <v>2.5999999999999999E-2</v>
      </c>
      <c r="Q8915" s="508">
        <f t="array" ref="Q8915">INDEX(Q$7930:Q$8796,MATCH($B8915&amp;$C8915,$B$7930:$B$8796&amp;$C$7930:$C$8796,0))</f>
        <v>2.7E-2</v>
      </c>
      <c r="R8915" s="508">
        <f t="array" ref="R8915">INDEX(R$7930:R$8796,MATCH($B8915&amp;$C8915,$B$7930:$B$8796&amp;$C$7930:$C$8796,0))</f>
        <v>2.8000000000000001E-2</v>
      </c>
      <c r="S8915" s="508">
        <f t="array" ref="S8915">INDEX(S$7930:S$8796,MATCH($B8915&amp;$C8915,$B$7930:$B$8796&amp;$C$7930:$C$8796,0))</f>
        <v>2.9000000000000001E-2</v>
      </c>
      <c r="T8915" s="508">
        <f t="array" ref="T8915">INDEX(T$7930:T$8796,MATCH($B8915&amp;$C8915,$B$7930:$B$8796&amp;$C$7930:$C$8796,0))</f>
        <v>2.4E-2</v>
      </c>
      <c r="U8915" s="508">
        <f t="array" ref="U8915">INDEX(U$7930:U$8796,MATCH($B8915&amp;$C8915,$B$7930:$B$8796&amp;$C$7930:$C$8796,0))</f>
        <v>2.5999999999999999E-2</v>
      </c>
      <c r="V8915" s="508">
        <f t="array" ref="V8915">INDEX(V$7930:V$8796,MATCH($B8915&amp;$C8915,$B$7930:$B$8796&amp;$C$7930:$C$8796,0))</f>
        <v>2.5000000000000001E-2</v>
      </c>
      <c r="W8915" s="508">
        <f t="array" ref="W8915">INDEX(W$7930:W$8796,MATCH($B8915&amp;$C8915,$B$7930:$B$8796&amp;$C$7930:$C$8796,0))</f>
        <v>2.5000000000000001E-2</v>
      </c>
      <c r="X8915" s="508">
        <f t="array" ref="X8915">INDEX(X$7930:X$8796,MATCH($B8915&amp;$C8915,$B$7930:$B$8796&amp;$C$7930:$C$8796,0))</f>
        <v>2.4E-2</v>
      </c>
      <c r="Y8915" s="508">
        <f t="array" ref="Y8915">INDEX(Y$7930:Y$8796,MATCH($B8915&amp;$C8915,$B$7930:$B$8796&amp;$C$7930:$C$8796,0))</f>
        <v>2.4E-2</v>
      </c>
      <c r="Z8915" s="508">
        <f t="array" ref="Z8915">INDEX(Z$7930:Z$8796,MATCH($B8915&amp;$C8915,$B$7930:$B$8796&amp;$C$7930:$C$8796,0))</f>
        <v>2.4E-2</v>
      </c>
      <c r="AA8915" s="508">
        <f t="array" ref="AA8915">INDEX(AA$7930:AA$8796,MATCH($B8915&amp;$C8915,$B$7930:$B$8796&amp;$C$7930:$C$8796,0))</f>
        <v>2.4E-2</v>
      </c>
      <c r="AB8915" s="508">
        <f t="array" ref="AB8915">INDEX(AB$7930:AB$8796,MATCH($B8915&amp;$C8915,$B$7930:$B$8796&amp;$C$7930:$C$8796,0))</f>
        <v>2.4E-2</v>
      </c>
      <c r="AC8915" s="508">
        <f t="array" ref="AC8915">INDEX(AC$7930:AC$8796,MATCH($B8915&amp;$C8915,$B$7930:$B$8796&amp;$C$7930:$C$8796,0))</f>
        <v>2.4E-2</v>
      </c>
      <c r="AD8915" s="508">
        <f t="array" ref="AD8915">INDEX(AD$7930:AD$8796,MATCH($B8915&amp;$C8915,$B$7930:$B$8796&amp;$C$7930:$C$8796,0))</f>
        <v>2.4E-2</v>
      </c>
      <c r="AE8915" s="508">
        <f t="array" ref="AE8915">INDEX(AE$7930:AE$8796,MATCH($B8915&amp;$C8915,$B$7930:$B$8796&amp;$C$7930:$C$8796,0))</f>
        <v>2.4E-2</v>
      </c>
      <c r="AF8915" s="508">
        <f t="array" ref="AF8915">INDEX(AF$7930:AF$8796,MATCH($B8915&amp;$C8915,$B$7930:$B$8796&amp;$C$7930:$C$8796,0))</f>
        <v>2.4E-2</v>
      </c>
      <c r="AG8915" s="508">
        <f t="array" ref="AG8915">INDEX(AG$7930:AG$8796,MATCH($B8915&amp;$C8915,$B$7930:$B$8796&amp;$C$7930:$C$8796,0))</f>
        <v>2.4E-2</v>
      </c>
      <c r="AH8915" s="508">
        <f t="array" ref="AH8915">INDEX(AH$7930:AH$8796,MATCH($B8915&amp;$C8915,$B$7930:$B$8796&amp;$C$7930:$C$8796,0))</f>
        <v>2.3E-2</v>
      </c>
      <c r="AI8915" s="508">
        <f t="array" ref="AI8915">INDEX(AI$7930:AI$8796,MATCH($B8915&amp;$C8915,$B$7930:$B$8796&amp;$C$7930:$C$8796,0))</f>
        <v>2.3E-2</v>
      </c>
      <c r="AJ8915" s="508"/>
      <c r="AK8915" s="508">
        <f t="shared" si="186"/>
        <v>2.2800000000000001E-2</v>
      </c>
      <c r="AL8915" s="508">
        <f t="shared" si="189"/>
        <v>2.2600000000000002E-2</v>
      </c>
      <c r="AM8915" s="508">
        <f t="shared" si="189"/>
        <v>2.2400000000000003E-2</v>
      </c>
      <c r="AN8915" s="508">
        <f t="shared" si="189"/>
        <v>2.2200000000000004E-2</v>
      </c>
      <c r="AO8915" s="508">
        <f t="array" ref="AO8915">INDEX('GREET Fuel Attributes'!$E$8948:$E$9083,MATCH($C8915&amp;$D8915,'GREET Fuel Attributes'!$B$8948:$B$9083&amp;'GREET Fuel Attributes'!$C$8948:$C$9083,0))/INDEX('GREET Fuel Attributes'!$D$8948:$D$9083,MATCH($C8915&amp;$D8915,'GREET Fuel Attributes'!$B$8948:$B$9083&amp;'GREET Fuel Attributes'!$C$8948:$C$9083,0))*AI8915</f>
        <v>2.1999999999999999E-2</v>
      </c>
      <c r="AP8915" s="132" t="s">
        <v>1387</v>
      </c>
      <c r="AQ8915" s="142" t="s">
        <v>309</v>
      </c>
    </row>
    <row r="8916" spans="2:43">
      <c r="B8916" s="136" t="str">
        <f t="shared" si="188"/>
        <v>ILLINOIS</v>
      </c>
      <c r="C8916" s="132" t="s">
        <v>1376</v>
      </c>
      <c r="D8916" s="132" t="s">
        <v>282</v>
      </c>
      <c r="E8916" s="508">
        <f t="array" ref="E8916">INDEX(E$1861:E$2727,MATCH($B8916&amp;$C8916,$B$1861:$B$2727&amp;$C$1861:$C$2727,0))</f>
        <v>220.77799999999999</v>
      </c>
      <c r="F8916" s="508">
        <f t="array" ref="F8916">INDEX(F$1861:F$2727,MATCH($B8916&amp;$C8916,$B$1861:$B$2727&amp;$C$1861:$C$2727,0))</f>
        <v>151.001</v>
      </c>
      <c r="G8916" s="508">
        <f t="array" ref="G8916">INDEX(G$1861:G$2727,MATCH($B8916&amp;$C8916,$B$1861:$B$2727&amp;$C$1861:$C$2727,0))</f>
        <v>140.54499999999999</v>
      </c>
      <c r="H8916" s="508">
        <f t="array" ref="H8916">INDEX(H$1861:H$2727,MATCH($B8916&amp;$C8916,$B$1861:$B$2727&amp;$C$1861:$C$2727,0))</f>
        <v>128.935</v>
      </c>
      <c r="I8916" s="508">
        <f t="array" ref="I8916">INDEX(I$1861:I$2727,MATCH($B8916&amp;$C8916,$B$1861:$B$2727&amp;$C$1861:$C$2727,0))</f>
        <v>110.645</v>
      </c>
      <c r="J8916" s="508">
        <f t="array" ref="J8916">INDEX(J$1861:J$2727,MATCH($B8916&amp;$C8916,$B$1861:$B$2727&amp;$C$1861:$C$2727,0))</f>
        <v>128.16200000000001</v>
      </c>
      <c r="K8916" s="508">
        <f t="array" ref="K8916">INDEX(K$1861:K$2727,MATCH($B8916&amp;$C8916,$B$1861:$B$2727&amp;$C$1861:$C$2727,0))</f>
        <v>126.652</v>
      </c>
      <c r="L8916" s="508">
        <f t="array" ref="L8916">INDEX(L$1861:L$2727,MATCH($B8916&amp;$C8916,$B$1861:$B$2727&amp;$C$1861:$C$2727,0))</f>
        <v>125.34399999999999</v>
      </c>
      <c r="M8916" s="508">
        <f t="array" ref="M8916">INDEX(M$1861:M$2727,MATCH($B8916&amp;$C8916,$B$1861:$B$2727&amp;$C$1861:$C$2727,0))</f>
        <v>111.127</v>
      </c>
      <c r="N8916" s="508">
        <f t="array" ref="N8916">INDEX(N$1861:N$2727,MATCH($B8916&amp;$C8916,$B$1861:$B$2727&amp;$C$1861:$C$2727,0))</f>
        <v>115.72799999999999</v>
      </c>
      <c r="O8916" s="508">
        <f t="array" ref="O8916">INDEX(O$1861:O$2727,MATCH($B8916&amp;$C8916,$B$1861:$B$2727&amp;$C$1861:$C$2727,0))</f>
        <v>111.806</v>
      </c>
      <c r="P8916" s="508">
        <f t="array" ref="P8916">INDEX(P$1861:P$2727,MATCH($B8916&amp;$C8916,$B$1861:$B$2727&amp;$C$1861:$C$2727,0))</f>
        <v>110.137</v>
      </c>
      <c r="Q8916" s="508">
        <f t="array" ref="Q8916">INDEX(Q$1861:Q$2727,MATCH($B8916&amp;$C8916,$B$1861:$B$2727&amp;$C$1861:$C$2727,0))</f>
        <v>109.69499999999999</v>
      </c>
      <c r="R8916" s="508">
        <f t="array" ref="R8916">INDEX(R$1861:R$2727,MATCH($B8916&amp;$C8916,$B$1861:$B$2727&amp;$C$1861:$C$2727,0))</f>
        <v>54.316000000000003</v>
      </c>
      <c r="S8916" s="508">
        <f t="array" ref="S8916">INDEX(S$1861:S$2727,MATCH($B8916&amp;$C8916,$B$1861:$B$2727&amp;$C$1861:$C$2727,0))</f>
        <v>53.255000000000003</v>
      </c>
      <c r="T8916" s="508">
        <f t="array" ref="T8916">INDEX(T$1861:T$2727,MATCH($B8916&amp;$C8916,$B$1861:$B$2727&amp;$C$1861:$C$2727,0))</f>
        <v>44.731000000000002</v>
      </c>
      <c r="U8916" s="508">
        <f t="array" ref="U8916">INDEX(U$1861:U$2727,MATCH($B8916&amp;$C8916,$B$1861:$B$2727&amp;$C$1861:$C$2727,0))</f>
        <v>44.987000000000002</v>
      </c>
      <c r="V8916" s="508">
        <f t="array" ref="V8916">INDEX(V$1861:V$2727,MATCH($B8916&amp;$C8916,$B$1861:$B$2727&amp;$C$1861:$C$2727,0))</f>
        <v>42.390999999999998</v>
      </c>
      <c r="W8916" s="508">
        <f t="array" ref="W8916">INDEX(W$1861:W$2727,MATCH($B8916&amp;$C8916,$B$1861:$B$2727&amp;$C$1861:$C$2727,0))</f>
        <v>39.848999999999997</v>
      </c>
      <c r="X8916" s="508">
        <f t="array" ref="X8916">INDEX(X$1861:X$2727,MATCH($B8916&amp;$C8916,$B$1861:$B$2727&amp;$C$1861:$C$2727,0))</f>
        <v>38.271000000000001</v>
      </c>
      <c r="Y8916" s="508">
        <f t="array" ref="Y8916">INDEX(Y$1861:Y$2727,MATCH($B8916&amp;$C8916,$B$1861:$B$2727&amp;$C$1861:$C$2727,0))</f>
        <v>35.667999999999999</v>
      </c>
      <c r="Z8916" s="508">
        <f t="array" ref="Z8916">INDEX(Z$1861:Z$2727,MATCH($B8916&amp;$C8916,$B$1861:$B$2727&amp;$C$1861:$C$2727,0))</f>
        <v>35.814999999999998</v>
      </c>
      <c r="AA8916" s="508">
        <f t="array" ref="AA8916">INDEX(AA$1861:AA$2727,MATCH($B8916&amp;$C8916,$B$1861:$B$2727&amp;$C$1861:$C$2727,0))</f>
        <v>33.384999999999998</v>
      </c>
      <c r="AB8916" s="508">
        <f t="array" ref="AB8916">INDEX(AB$1861:AB$2727,MATCH($B8916&amp;$C8916,$B$1861:$B$2727&amp;$C$1861:$C$2727,0))</f>
        <v>15.273999999999999</v>
      </c>
      <c r="AC8916" s="508">
        <f t="array" ref="AC8916">INDEX(AC$1861:AC$2727,MATCH($B8916&amp;$C8916,$B$1861:$B$2727&amp;$C$1861:$C$2727,0))</f>
        <v>13.401999999999999</v>
      </c>
      <c r="AD8916" s="508">
        <f t="array" ref="AD8916">INDEX(AD$1861:AD$2727,MATCH($B8916&amp;$C8916,$B$1861:$B$2727&amp;$C$1861:$C$2727,0))</f>
        <v>7.5259999999999998</v>
      </c>
      <c r="AE8916" s="508">
        <f t="array" ref="AE8916">INDEX(AE$1861:AE$2727,MATCH($B8916&amp;$C8916,$B$1861:$B$2727&amp;$C$1861:$C$2727,0))</f>
        <v>8.3170000000000002</v>
      </c>
      <c r="AF8916" s="508">
        <f t="array" ref="AF8916">INDEX(AF$1861:AF$2727,MATCH($B8916&amp;$C8916,$B$1861:$B$2727&amp;$C$1861:$C$2727,0))</f>
        <v>6.6689999999999996</v>
      </c>
      <c r="AG8916" s="508">
        <f t="array" ref="AG8916">INDEX(AG$1861:AG$2727,MATCH($B8916&amp;$C8916,$B$1861:$B$2727&amp;$C$1861:$C$2727,0))</f>
        <v>6.6539999999999999</v>
      </c>
      <c r="AH8916" s="508">
        <f t="array" ref="AH8916">INDEX(AH$1861:AH$2727,MATCH($B8916&amp;$C8916,$B$1861:$B$2727&amp;$C$1861:$C$2727,0))</f>
        <v>6.649</v>
      </c>
      <c r="AI8916" s="508">
        <f t="array" ref="AI8916">INDEX(AI$1861:AI$2727,MATCH($B8916&amp;$C8916,$B$1861:$B$2727&amp;$C$1861:$C$2727,0))</f>
        <v>6.649</v>
      </c>
      <c r="AJ8916" s="508"/>
      <c r="AK8916" s="508">
        <f t="shared" si="186"/>
        <v>6.6532400625195374</v>
      </c>
      <c r="AL8916" s="508">
        <f t="shared" si="189"/>
        <v>6.6574801250390747</v>
      </c>
      <c r="AM8916" s="508">
        <f t="shared" si="189"/>
        <v>6.6617201875586121</v>
      </c>
      <c r="AN8916" s="508">
        <f t="shared" si="189"/>
        <v>6.6659602500781494</v>
      </c>
      <c r="AO8916" s="508">
        <f t="array" ref="AO8916">INDEX('GREET Fuel Attributes'!$E$8948:$E$9083,MATCH($C8916&amp;$D8916,'GREET Fuel Attributes'!$B$8948:$B$9083&amp;'GREET Fuel Attributes'!$C$8948:$C$9083,0))/INDEX('GREET Fuel Attributes'!$D$8948:$D$9083,MATCH($C8916&amp;$D8916,'GREET Fuel Attributes'!$B$8948:$B$9083&amp;'GREET Fuel Attributes'!$C$8948:$C$9083,0))*AI8916</f>
        <v>6.6702003125976868</v>
      </c>
      <c r="AP8916" s="132" t="s">
        <v>1388</v>
      </c>
      <c r="AQ8916" s="142" t="s">
        <v>309</v>
      </c>
    </row>
    <row r="8917" spans="2:43">
      <c r="B8917" s="136" t="str">
        <f t="shared" si="188"/>
        <v>ILLINOIS</v>
      </c>
      <c r="C8917" s="132" t="s">
        <v>1376</v>
      </c>
      <c r="D8917" s="132" t="s">
        <v>283</v>
      </c>
      <c r="E8917" s="508">
        <f t="array" ref="E8917">INDEX(E$2728:E$3594,MATCH($B8917&amp;$C8917,$B$2728:$B$3594&amp;$C$2728:$C$3594,0))</f>
        <v>16.71</v>
      </c>
      <c r="F8917" s="508">
        <f t="array" ref="F8917">INDEX(F$2728:F$3594,MATCH($B8917&amp;$C8917,$B$2728:$B$3594&amp;$C$2728:$C$3594,0))</f>
        <v>14.894</v>
      </c>
      <c r="G8917" s="508">
        <f t="array" ref="G8917">INDEX(G$2728:G$3594,MATCH($B8917&amp;$C8917,$B$2728:$B$3594&amp;$C$2728:$C$3594,0))</f>
        <v>13.779</v>
      </c>
      <c r="H8917" s="508">
        <f t="array" ref="H8917">INDEX(H$2728:H$3594,MATCH($B8917&amp;$C8917,$B$2728:$B$3594&amp;$C$2728:$C$3594,0))</f>
        <v>13.025</v>
      </c>
      <c r="I8917" s="508">
        <f t="array" ref="I8917">INDEX(I$2728:I$3594,MATCH($B8917&amp;$C8917,$B$2728:$B$3594&amp;$C$2728:$C$3594,0))</f>
        <v>12.48</v>
      </c>
      <c r="J8917" s="508">
        <f t="array" ref="J8917">INDEX(J$2728:J$3594,MATCH($B8917&amp;$C8917,$B$2728:$B$3594&amp;$C$2728:$C$3594,0))</f>
        <v>9.0380000000000003</v>
      </c>
      <c r="K8917" s="508">
        <f t="array" ref="K8917">INDEX(K$2728:K$3594,MATCH($B8917&amp;$C8917,$B$2728:$B$3594&amp;$C$2728:$C$3594,0))</f>
        <v>8.7159999999999993</v>
      </c>
      <c r="L8917" s="508">
        <f t="array" ref="L8917">INDEX(L$2728:L$3594,MATCH($B8917&amp;$C8917,$B$2728:$B$3594&amp;$C$2728:$C$3594,0))</f>
        <v>8.4580000000000002</v>
      </c>
      <c r="M8917" s="508">
        <f t="array" ref="M8917">INDEX(M$2728:M$3594,MATCH($B8917&amp;$C8917,$B$2728:$B$3594&amp;$C$2728:$C$3594,0))</f>
        <v>8.2449999999999992</v>
      </c>
      <c r="N8917" s="508">
        <f t="array" ref="N8917">INDEX(N$2728:N$3594,MATCH($B8917&amp;$C8917,$B$2728:$B$3594&amp;$C$2728:$C$3594,0))</f>
        <v>7.931</v>
      </c>
      <c r="O8917" s="508">
        <f t="array" ref="O8917">INDEX(O$2728:O$3594,MATCH($B8917&amp;$C8917,$B$2728:$B$3594&amp;$C$2728:$C$3594,0))</f>
        <v>7.7830000000000004</v>
      </c>
      <c r="P8917" s="508">
        <f t="array" ref="P8917">INDEX(P$2728:P$3594,MATCH($B8917&amp;$C8917,$B$2728:$B$3594&amp;$C$2728:$C$3594,0))</f>
        <v>7.6559999999999997</v>
      </c>
      <c r="Q8917" s="508">
        <f t="array" ref="Q8917">INDEX(Q$2728:Q$3594,MATCH($B8917&amp;$C8917,$B$2728:$B$3594&amp;$C$2728:$C$3594,0))</f>
        <v>7.5449999999999999</v>
      </c>
      <c r="R8917" s="508">
        <f t="array" ref="R8917">INDEX(R$2728:R$3594,MATCH($B8917&amp;$C8917,$B$2728:$B$3594&amp;$C$2728:$C$3594,0))</f>
        <v>5.5570000000000004</v>
      </c>
      <c r="S8917" s="508">
        <f t="array" ref="S8917">INDEX(S$2728:S$3594,MATCH($B8917&amp;$C8917,$B$2728:$B$3594&amp;$C$2728:$C$3594,0))</f>
        <v>5.4720000000000004</v>
      </c>
      <c r="T8917" s="508">
        <f t="array" ref="T8917">INDEX(T$2728:T$3594,MATCH($B8917&amp;$C8917,$B$2728:$B$3594&amp;$C$2728:$C$3594,0))</f>
        <v>5.2430000000000003</v>
      </c>
      <c r="U8917" s="508">
        <f t="array" ref="U8917">INDEX(U$2728:U$3594,MATCH($B8917&amp;$C8917,$B$2728:$B$3594&amp;$C$2728:$C$3594,0))</f>
        <v>5.0069999999999997</v>
      </c>
      <c r="V8917" s="508">
        <f t="array" ref="V8917">INDEX(V$2728:V$3594,MATCH($B8917&amp;$C8917,$B$2728:$B$3594&amp;$C$2728:$C$3594,0))</f>
        <v>4.8940000000000001</v>
      </c>
      <c r="W8917" s="508">
        <f t="array" ref="W8917">INDEX(W$2728:W$3594,MATCH($B8917&amp;$C8917,$B$2728:$B$3594&amp;$C$2728:$C$3594,0))</f>
        <v>4.8070000000000004</v>
      </c>
      <c r="X8917" s="508">
        <f t="array" ref="X8917">INDEX(X$2728:X$3594,MATCH($B8917&amp;$C8917,$B$2728:$B$3594&amp;$C$2728:$C$3594,0))</f>
        <v>4.7370000000000001</v>
      </c>
      <c r="Y8917" s="508">
        <f t="array" ref="Y8917">INDEX(Y$2728:Y$3594,MATCH($B8917&amp;$C8917,$B$2728:$B$3594&amp;$C$2728:$C$3594,0))</f>
        <v>4.4470000000000001</v>
      </c>
      <c r="Z8917" s="508">
        <f t="array" ref="Z8917">INDEX(Z$2728:Z$3594,MATCH($B8917&amp;$C8917,$B$2728:$B$3594&amp;$C$2728:$C$3594,0))</f>
        <v>4.4160000000000004</v>
      </c>
      <c r="AA8917" s="508">
        <f t="array" ref="AA8917">INDEX(AA$2728:AA$3594,MATCH($B8917&amp;$C8917,$B$2728:$B$3594&amp;$C$2728:$C$3594,0))</f>
        <v>4.3920000000000003</v>
      </c>
      <c r="AB8917" s="508">
        <f t="array" ref="AB8917">INDEX(AB$2728:AB$3594,MATCH($B8917&amp;$C8917,$B$2728:$B$3594&amp;$C$2728:$C$3594,0))</f>
        <v>1.31</v>
      </c>
      <c r="AC8917" s="508">
        <f t="array" ref="AC8917">INDEX(AC$2728:AC$3594,MATCH($B8917&amp;$C8917,$B$2728:$B$3594&amp;$C$2728:$C$3594,0))</f>
        <v>1.2729999999999999</v>
      </c>
      <c r="AD8917" s="508">
        <f t="array" ref="AD8917">INDEX(AD$2728:AD$3594,MATCH($B8917&amp;$C8917,$B$2728:$B$3594&amp;$C$2728:$C$3594,0))</f>
        <v>1.0229999999999999</v>
      </c>
      <c r="AE8917" s="508">
        <f t="array" ref="AE8917">INDEX(AE$2728:AE$3594,MATCH($B8917&amp;$C8917,$B$2728:$B$3594&amp;$C$2728:$C$3594,0))</f>
        <v>1.018</v>
      </c>
      <c r="AF8917" s="508">
        <f t="array" ref="AF8917">INDEX(AF$2728:AF$3594,MATCH($B8917&amp;$C8917,$B$2728:$B$3594&amp;$C$2728:$C$3594,0))</f>
        <v>1.008</v>
      </c>
      <c r="AG8917" s="508">
        <f t="array" ref="AG8917">INDEX(AG$2728:AG$3594,MATCH($B8917&amp;$C8917,$B$2728:$B$3594&amp;$C$2728:$C$3594,0))</f>
        <v>1.008</v>
      </c>
      <c r="AH8917" s="508">
        <f t="array" ref="AH8917">INDEX(AH$2728:AH$3594,MATCH($B8917&amp;$C8917,$B$2728:$B$3594&amp;$C$2728:$C$3594,0))</f>
        <v>1.006</v>
      </c>
      <c r="AI8917" s="508">
        <f t="array" ref="AI8917">INDEX(AI$2728:AI$3594,MATCH($B8917&amp;$C8917,$B$2728:$B$3594&amp;$C$2728:$C$3594,0))</f>
        <v>1.006</v>
      </c>
      <c r="AJ8917" s="508"/>
      <c r="AK8917" s="508">
        <f t="shared" si="186"/>
        <v>0.95162162162162167</v>
      </c>
      <c r="AL8917" s="508">
        <f t="shared" si="189"/>
        <v>0.89724324324324334</v>
      </c>
      <c r="AM8917" s="508">
        <f t="shared" si="189"/>
        <v>0.842864864864865</v>
      </c>
      <c r="AN8917" s="508">
        <f t="shared" si="189"/>
        <v>0.78848648648648667</v>
      </c>
      <c r="AO8917" s="508">
        <f t="array" ref="AO8917">INDEX('GREET Fuel Attributes'!$E$8948:$E$9083,MATCH($C8917&amp;$D8917,'GREET Fuel Attributes'!$B$8948:$B$9083&amp;'GREET Fuel Attributes'!$C$8948:$C$9083,0))/INDEX('GREET Fuel Attributes'!$D$8948:$D$9083,MATCH($C8917&amp;$D8917,'GREET Fuel Attributes'!$B$8948:$B$9083&amp;'GREET Fuel Attributes'!$C$8948:$C$9083,0))*AI8917</f>
        <v>0.73410810810810811</v>
      </c>
      <c r="AP8917" s="132" t="s">
        <v>1388</v>
      </c>
      <c r="AQ8917" s="142" t="s">
        <v>309</v>
      </c>
    </row>
    <row r="8918" spans="2:43">
      <c r="B8918" s="136" t="str">
        <f t="shared" si="188"/>
        <v>ILLINOIS</v>
      </c>
      <c r="C8918" s="132" t="s">
        <v>1376</v>
      </c>
      <c r="D8918" s="132" t="s">
        <v>284</v>
      </c>
      <c r="E8918" s="508">
        <f t="array" ref="E8918">INDEX(E$3595:E$4461,MATCH($B8918&amp;$C8918,$B$3595:$B$4461&amp;$C$3595:$C$4461,0))</f>
        <v>0.47899999999999998</v>
      </c>
      <c r="F8918" s="508">
        <f t="array" ref="F8918">INDEX(F$3595:F$4461,MATCH($B8918&amp;$C8918,$B$3595:$B$4461&amp;$C$3595:$C$4461,0))</f>
        <v>0.38800000000000001</v>
      </c>
      <c r="G8918" s="508">
        <f t="array" ref="G8918">INDEX(G$3595:G$4461,MATCH($B8918&amp;$C8918,$B$3595:$B$4461&amp;$C$3595:$C$4461,0))</f>
        <v>0.35099999999999998</v>
      </c>
      <c r="H8918" s="508">
        <f t="array" ref="H8918">INDEX(H$3595:H$4461,MATCH($B8918&amp;$C8918,$B$3595:$B$4461&amp;$C$3595:$C$4461,0))</f>
        <v>0.27900000000000003</v>
      </c>
      <c r="I8918" s="508">
        <f t="array" ref="I8918">INDEX(I$3595:I$4461,MATCH($B8918&amp;$C8918,$B$3595:$B$4461&amp;$C$3595:$C$4461,0))</f>
        <v>0.26300000000000001</v>
      </c>
      <c r="J8918" s="508">
        <f t="array" ref="J8918">INDEX(J$3595:J$4461,MATCH($B8918&amp;$C8918,$B$3595:$B$4461&amp;$C$3595:$C$4461,0))</f>
        <v>0.24199999999999999</v>
      </c>
      <c r="K8918" s="508">
        <f t="array" ref="K8918">INDEX(K$3595:K$4461,MATCH($B8918&amp;$C8918,$B$3595:$B$4461&amp;$C$3595:$C$4461,0))</f>
        <v>0.18099999999999999</v>
      </c>
      <c r="L8918" s="508">
        <f t="array" ref="L8918">INDEX(L$3595:L$4461,MATCH($B8918&amp;$C8918,$B$3595:$B$4461&amp;$C$3595:$C$4461,0))</f>
        <v>0.17599999999999999</v>
      </c>
      <c r="M8918" s="508">
        <f t="array" ref="M8918">INDEX(M$3595:M$4461,MATCH($B8918&amp;$C8918,$B$3595:$B$4461&amp;$C$3595:$C$4461,0))</f>
        <v>0.17100000000000001</v>
      </c>
      <c r="N8918" s="508">
        <f t="array" ref="N8918">INDEX(N$3595:N$4461,MATCH($B8918&amp;$C8918,$B$3595:$B$4461&amp;$C$3595:$C$4461,0))</f>
        <v>0.155</v>
      </c>
      <c r="O8918" s="508">
        <f t="array" ref="O8918">INDEX(O$3595:O$4461,MATCH($B8918&amp;$C8918,$B$3595:$B$4461&amp;$C$3595:$C$4461,0))</f>
        <v>0.14699999999999999</v>
      </c>
      <c r="P8918" s="508">
        <f t="array" ref="P8918">INDEX(P$3595:P$4461,MATCH($B8918&amp;$C8918,$B$3595:$B$4461&amp;$C$3595:$C$4461,0))</f>
        <v>0.109</v>
      </c>
      <c r="Q8918" s="508">
        <f t="array" ref="Q8918">INDEX(Q$3595:Q$4461,MATCH($B8918&amp;$C8918,$B$3595:$B$4461&amp;$C$3595:$C$4461,0))</f>
        <v>8.3000000000000004E-2</v>
      </c>
      <c r="R8918" s="508">
        <f t="array" ref="R8918">INDEX(R$3595:R$4461,MATCH($B8918&amp;$C8918,$B$3595:$B$4461&amp;$C$3595:$C$4461,0))</f>
        <v>8.7999999999999995E-2</v>
      </c>
      <c r="S8918" s="508">
        <f t="array" ref="S8918">INDEX(S$3595:S$4461,MATCH($B8918&amp;$C8918,$B$3595:$B$4461&amp;$C$3595:$C$4461,0))</f>
        <v>0.104</v>
      </c>
      <c r="T8918" s="508">
        <f t="array" ref="T8918">INDEX(T$3595:T$4461,MATCH($B8918&amp;$C8918,$B$3595:$B$4461&amp;$C$3595:$C$4461,0))</f>
        <v>8.4000000000000005E-2</v>
      </c>
      <c r="U8918" s="508">
        <f t="array" ref="U8918">INDEX(U$3595:U$4461,MATCH($B8918&amp;$C8918,$B$3595:$B$4461&amp;$C$3595:$C$4461,0))</f>
        <v>7.0999999999999994E-2</v>
      </c>
      <c r="V8918" s="508">
        <f t="array" ref="V8918">INDEX(V$3595:V$4461,MATCH($B8918&amp;$C8918,$B$3595:$B$4461&amp;$C$3595:$C$4461,0))</f>
        <v>3.6999999999999998E-2</v>
      </c>
      <c r="W8918" s="508">
        <f t="array" ref="W8918">INDEX(W$3595:W$4461,MATCH($B8918&amp;$C8918,$B$3595:$B$4461&amp;$C$3595:$C$4461,0))</f>
        <v>4.8000000000000001E-2</v>
      </c>
      <c r="X8918" s="508">
        <f t="array" ref="X8918">INDEX(X$3595:X$4461,MATCH($B8918&amp;$C8918,$B$3595:$B$4461&amp;$C$3595:$C$4461,0))</f>
        <v>2.4E-2</v>
      </c>
      <c r="Y8918" s="508">
        <f t="array" ref="Y8918">INDEX(Y$3595:Y$4461,MATCH($B8918&amp;$C8918,$B$3595:$B$4461&amp;$C$3595:$C$4461,0))</f>
        <v>2.4E-2</v>
      </c>
      <c r="Z8918" s="508">
        <f t="array" ref="Z8918">INDEX(Z$3595:Z$4461,MATCH($B8918&amp;$C8918,$B$3595:$B$4461&amp;$C$3595:$C$4461,0))</f>
        <v>1.9E-2</v>
      </c>
      <c r="AA8918" s="508">
        <f t="array" ref="AA8918">INDEX(AA$3595:AA$4461,MATCH($B8918&amp;$C8918,$B$3595:$B$4461&amp;$C$3595:$C$4461,0))</f>
        <v>1.9E-2</v>
      </c>
      <c r="AB8918" s="508">
        <f t="array" ref="AB8918">INDEX(AB$3595:AB$4461,MATCH($B8918&amp;$C8918,$B$3595:$B$4461&amp;$C$3595:$C$4461,0))</f>
        <v>1.7000000000000001E-2</v>
      </c>
      <c r="AC8918" s="508">
        <f t="array" ref="AC8918">INDEX(AC$3595:AC$4461,MATCH($B8918&amp;$C8918,$B$3595:$B$4461&amp;$C$3595:$C$4461,0))</f>
        <v>1.7000000000000001E-2</v>
      </c>
      <c r="AD8918" s="508">
        <f t="array" ref="AD8918">INDEX(AD$3595:AD$4461,MATCH($B8918&amp;$C8918,$B$3595:$B$4461&amp;$C$3595:$C$4461,0))</f>
        <v>1.4999999999999999E-2</v>
      </c>
      <c r="AE8918" s="508">
        <f t="array" ref="AE8918">INDEX(AE$3595:AE$4461,MATCH($B8918&amp;$C8918,$B$3595:$B$4461&amp;$C$3595:$C$4461,0))</f>
        <v>1.4999999999999999E-2</v>
      </c>
      <c r="AF8918" s="508">
        <f t="array" ref="AF8918">INDEX(AF$3595:AF$4461,MATCH($B8918&amp;$C8918,$B$3595:$B$4461&amp;$C$3595:$C$4461,0))</f>
        <v>0.01</v>
      </c>
      <c r="AG8918" s="508">
        <f t="array" ref="AG8918">INDEX(AG$3595:AG$4461,MATCH($B8918&amp;$C8918,$B$3595:$B$4461&amp;$C$3595:$C$4461,0))</f>
        <v>0.01</v>
      </c>
      <c r="AH8918" s="508">
        <f t="array" ref="AH8918">INDEX(AH$3595:AH$4461,MATCH($B8918&amp;$C8918,$B$3595:$B$4461&amp;$C$3595:$C$4461,0))</f>
        <v>0.01</v>
      </c>
      <c r="AI8918" s="508">
        <f t="array" ref="AI8918">INDEX(AI$3595:AI$4461,MATCH($B8918&amp;$C8918,$B$3595:$B$4461&amp;$C$3595:$C$4461,0))</f>
        <v>0.01</v>
      </c>
      <c r="AJ8918" s="508"/>
      <c r="AK8918" s="508">
        <f t="shared" si="186"/>
        <v>0.01</v>
      </c>
      <c r="AL8918" s="508">
        <f t="shared" si="189"/>
        <v>0.01</v>
      </c>
      <c r="AM8918" s="508">
        <f t="shared" si="189"/>
        <v>0.01</v>
      </c>
      <c r="AN8918" s="508">
        <f t="shared" si="189"/>
        <v>0.01</v>
      </c>
      <c r="AO8918" s="508">
        <f t="array" ref="AO8918">INDEX('GREET Fuel Attributes'!$E$8948:$E$9083,MATCH($C8918&amp;$D8918,'GREET Fuel Attributes'!$B$8948:$B$9083&amp;'GREET Fuel Attributes'!$C$8948:$C$9083,0))/INDEX('GREET Fuel Attributes'!$D$8948:$D$9083,MATCH($C8918&amp;$D8918,'GREET Fuel Attributes'!$B$8948:$B$9083&amp;'GREET Fuel Attributes'!$C$8948:$C$9083,0))*AI8918</f>
        <v>0.01</v>
      </c>
      <c r="AP8918" s="132" t="s">
        <v>1388</v>
      </c>
      <c r="AQ8918" s="142" t="s">
        <v>309</v>
      </c>
    </row>
    <row r="8919" spans="2:43">
      <c r="B8919" s="136" t="str">
        <f t="shared" si="188"/>
        <v>ILLINOIS</v>
      </c>
      <c r="C8919" s="132" t="s">
        <v>1376</v>
      </c>
      <c r="D8919" s="132" t="s">
        <v>1379</v>
      </c>
      <c r="E8919" s="508">
        <f t="array" ref="E8919">INDEX(E$4462:E$5328,MATCH($B8919&amp;$C8919,$B$4462:$B$5328&amp;$C$4462:$C$5328,0))</f>
        <v>7.6999999999999999E-2</v>
      </c>
      <c r="F8919" s="508">
        <f t="array" ref="F8919">INDEX(F$4462:F$5328,MATCH($B8919&amp;$C8919,$B$4462:$B$5328&amp;$C$4462:$C$5328,0))</f>
        <v>7.5999999999999998E-2</v>
      </c>
      <c r="G8919" s="508">
        <f t="array" ref="G8919">INDEX(G$4462:G$5328,MATCH($B8919&amp;$C8919,$B$4462:$B$5328&amp;$C$4462:$C$5328,0))</f>
        <v>7.9000000000000001E-2</v>
      </c>
      <c r="H8919" s="508">
        <f t="array" ref="H8919">INDEX(H$4462:H$5328,MATCH($B8919&amp;$C8919,$B$4462:$B$5328&amp;$C$4462:$C$5328,0))</f>
        <v>0.08</v>
      </c>
      <c r="I8919" s="508">
        <f t="array" ref="I8919">INDEX(I$4462:I$5328,MATCH($B8919&amp;$C8919,$B$4462:$B$5328&amp;$C$4462:$C$5328,0))</f>
        <v>7.2999999999999995E-2</v>
      </c>
      <c r="J8919" s="508">
        <f t="array" ref="J8919">INDEX(J$4462:J$5328,MATCH($B8919&amp;$C8919,$B$4462:$B$5328&amp;$C$4462:$C$5328,0))</f>
        <v>7.8E-2</v>
      </c>
      <c r="K8919" s="508">
        <f t="array" ref="K8919">INDEX(K$4462:K$5328,MATCH($B8919&amp;$C8919,$B$4462:$B$5328&amp;$C$4462:$C$5328,0))</f>
        <v>8.3000000000000004E-2</v>
      </c>
      <c r="L8919" s="508">
        <f t="array" ref="L8919">INDEX(L$4462:L$5328,MATCH($B8919&amp;$C8919,$B$4462:$B$5328&amp;$C$4462:$C$5328,0))</f>
        <v>8.5000000000000006E-2</v>
      </c>
      <c r="M8919" s="508">
        <f t="array" ref="M8919">INDEX(M$4462:M$5328,MATCH($B8919&amp;$C8919,$B$4462:$B$5328&amp;$C$4462:$C$5328,0))</f>
        <v>7.5999999999999998E-2</v>
      </c>
      <c r="N8919" s="508">
        <f t="array" ref="N8919">INDEX(N$4462:N$5328,MATCH($B8919&amp;$C8919,$B$4462:$B$5328&amp;$C$4462:$C$5328,0))</f>
        <v>7.6999999999999999E-2</v>
      </c>
      <c r="O8919" s="508">
        <f t="array" ref="O8919">INDEX(O$4462:O$5328,MATCH($B8919&amp;$C8919,$B$4462:$B$5328&amp;$C$4462:$C$5328,0))</f>
        <v>7.6999999999999999E-2</v>
      </c>
      <c r="P8919" s="508">
        <f t="array" ref="P8919">INDEX(P$4462:P$5328,MATCH($B8919&amp;$C8919,$B$4462:$B$5328&amp;$C$4462:$C$5328,0))</f>
        <v>7.8E-2</v>
      </c>
      <c r="Q8919" s="508">
        <f t="array" ref="Q8919">INDEX(Q$4462:Q$5328,MATCH($B8919&amp;$C8919,$B$4462:$B$5328&amp;$C$4462:$C$5328,0))</f>
        <v>0.08</v>
      </c>
      <c r="R8919" s="508">
        <f t="array" ref="R8919">INDEX(R$4462:R$5328,MATCH($B8919&amp;$C8919,$B$4462:$B$5328&amp;$C$4462:$C$5328,0))</f>
        <v>8.2000000000000003E-2</v>
      </c>
      <c r="S8919" s="508">
        <f t="array" ref="S8919">INDEX(S$4462:S$5328,MATCH($B8919&amp;$C8919,$B$4462:$B$5328&amp;$C$4462:$C$5328,0))</f>
        <v>7.9000000000000001E-2</v>
      </c>
      <c r="T8919" s="508">
        <f t="array" ref="T8919">INDEX(T$4462:T$5328,MATCH($B8919&amp;$C8919,$B$4462:$B$5328&amp;$C$4462:$C$5328,0))</f>
        <v>7.3999999999999996E-2</v>
      </c>
      <c r="U8919" s="508">
        <f t="array" ref="U8919">INDEX(U$4462:U$5328,MATCH($B8919&amp;$C8919,$B$4462:$B$5328&amp;$C$4462:$C$5328,0))</f>
        <v>7.8E-2</v>
      </c>
      <c r="V8919" s="508">
        <f t="array" ref="V8919">INDEX(V$4462:V$5328,MATCH($B8919&amp;$C8919,$B$4462:$B$5328&amp;$C$4462:$C$5328,0))</f>
        <v>8.5000000000000006E-2</v>
      </c>
      <c r="W8919" s="508">
        <f t="array" ref="W8919">INDEX(W$4462:W$5328,MATCH($B8919&amp;$C8919,$B$4462:$B$5328&amp;$C$4462:$C$5328,0))</f>
        <v>8.2000000000000003E-2</v>
      </c>
      <c r="X8919" s="508">
        <f t="array" ref="X8919">INDEX(X$4462:X$5328,MATCH($B8919&amp;$C8919,$B$4462:$B$5328&amp;$C$4462:$C$5328,0))</f>
        <v>8.6999999999999994E-2</v>
      </c>
      <c r="Y8919" s="508">
        <f t="array" ref="Y8919">INDEX(Y$4462:Y$5328,MATCH($B8919&amp;$C8919,$B$4462:$B$5328&amp;$C$4462:$C$5328,0))</f>
        <v>8.1000000000000003E-2</v>
      </c>
      <c r="Z8919" s="508">
        <f t="array" ref="Z8919">INDEX(Z$4462:Z$5328,MATCH($B8919&amp;$C8919,$B$4462:$B$5328&amp;$C$4462:$C$5328,0))</f>
        <v>8.5999999999999993E-2</v>
      </c>
      <c r="AA8919" s="508">
        <f t="array" ref="AA8919">INDEX(AA$4462:AA$5328,MATCH($B8919&amp;$C8919,$B$4462:$B$5328&amp;$C$4462:$C$5328,0))</f>
        <v>8.1000000000000003E-2</v>
      </c>
      <c r="AB8919" s="508">
        <f t="array" ref="AB8919">INDEX(AB$4462:AB$5328,MATCH($B8919&amp;$C8919,$B$4462:$B$5328&amp;$C$4462:$C$5328,0))</f>
        <v>8.2000000000000003E-2</v>
      </c>
      <c r="AC8919" s="508">
        <f t="array" ref="AC8919">INDEX(AC$4462:AC$5328,MATCH($B8919&amp;$C8919,$B$4462:$B$5328&amp;$C$4462:$C$5328,0))</f>
        <v>7.9000000000000001E-2</v>
      </c>
      <c r="AD8919" s="508">
        <f t="array" ref="AD8919">INDEX(AD$4462:AD$5328,MATCH($B8919&amp;$C8919,$B$4462:$B$5328&amp;$C$4462:$C$5328,0))</f>
        <v>7.1999999999999995E-2</v>
      </c>
      <c r="AE8919" s="508">
        <f t="array" ref="AE8919">INDEX(AE$4462:AE$5328,MATCH($B8919&amp;$C8919,$B$4462:$B$5328&amp;$C$4462:$C$5328,0))</f>
        <v>0.08</v>
      </c>
      <c r="AF8919" s="508">
        <f t="array" ref="AF8919">INDEX(AF$4462:AF$5328,MATCH($B8919&amp;$C8919,$B$4462:$B$5328&amp;$C$4462:$C$5328,0))</f>
        <v>0.08</v>
      </c>
      <c r="AG8919" s="508">
        <f t="array" ref="AG8919">INDEX(AG$4462:AG$5328,MATCH($B8919&amp;$C8919,$B$4462:$B$5328&amp;$C$4462:$C$5328,0))</f>
        <v>0.08</v>
      </c>
      <c r="AH8919" s="508">
        <f t="array" ref="AH8919">INDEX(AH$4462:AH$5328,MATCH($B8919&amp;$C8919,$B$4462:$B$5328&amp;$C$4462:$C$5328,0))</f>
        <v>0.08</v>
      </c>
      <c r="AI8919" s="508">
        <f t="array" ref="AI8919">INDEX(AI$4462:AI$5328,MATCH($B8919&amp;$C8919,$B$4462:$B$5328&amp;$C$4462:$C$5328,0))</f>
        <v>0.08</v>
      </c>
      <c r="AJ8919" s="508"/>
      <c r="AK8919" s="508">
        <f t="shared" si="186"/>
        <v>0.08</v>
      </c>
      <c r="AL8919" s="508">
        <f t="shared" si="189"/>
        <v>0.08</v>
      </c>
      <c r="AM8919" s="508">
        <f t="shared" si="189"/>
        <v>0.08</v>
      </c>
      <c r="AN8919" s="508">
        <f t="shared" si="189"/>
        <v>0.08</v>
      </c>
      <c r="AO8919" s="508">
        <f t="array" ref="AO8919">INDEX('GREET Fuel Attributes'!$E$8948:$E$9083,MATCH($C8919&amp;$D8919,'GREET Fuel Attributes'!$B$8948:$B$9083&amp;'GREET Fuel Attributes'!$C$8948:$C$9083,0))/INDEX('GREET Fuel Attributes'!$D$8948:$D$9083,MATCH($C8919&amp;$D8919,'GREET Fuel Attributes'!$B$8948:$B$9083&amp;'GREET Fuel Attributes'!$C$8948:$C$9083,0))*AI8919</f>
        <v>0.08</v>
      </c>
      <c r="AP8919" s="132" t="s">
        <v>1388</v>
      </c>
      <c r="AQ8919" s="142" t="s">
        <v>309</v>
      </c>
    </row>
    <row r="8920" spans="2:43">
      <c r="B8920" s="136" t="str">
        <f t="shared" si="188"/>
        <v>ILLINOIS</v>
      </c>
      <c r="C8920" s="132" t="s">
        <v>1376</v>
      </c>
      <c r="D8920" s="132" t="s">
        <v>285</v>
      </c>
      <c r="E8920" s="508">
        <f t="array" ref="E8920">INDEX(E$5329:E$6195,MATCH($B8920&amp;$C8920,$B$5329:$B$6195&amp;$C$5329:$C$6195,0))</f>
        <v>0.42399999999999999</v>
      </c>
      <c r="F8920" s="508">
        <f t="array" ref="F8920">INDEX(F$5329:F$6195,MATCH($B8920&amp;$C8920,$B$5329:$B$6195&amp;$C$5329:$C$6195,0))</f>
        <v>0.34300000000000003</v>
      </c>
      <c r="G8920" s="508">
        <f t="array" ref="G8920">INDEX(G$5329:G$6195,MATCH($B8920&amp;$C8920,$B$5329:$B$6195&amp;$C$5329:$C$6195,0))</f>
        <v>0.311</v>
      </c>
      <c r="H8920" s="508">
        <f t="array" ref="H8920">INDEX(H$5329:H$6195,MATCH($B8920&amp;$C8920,$B$5329:$B$6195&amp;$C$5329:$C$6195,0))</f>
        <v>0.246</v>
      </c>
      <c r="I8920" s="508">
        <f t="array" ref="I8920">INDEX(I$5329:I$6195,MATCH($B8920&amp;$C8920,$B$5329:$B$6195&amp;$C$5329:$C$6195,0))</f>
        <v>0.23300000000000001</v>
      </c>
      <c r="J8920" s="508">
        <f t="array" ref="J8920">INDEX(J$5329:J$6195,MATCH($B8920&amp;$C8920,$B$5329:$B$6195&amp;$C$5329:$C$6195,0))</f>
        <v>0.214</v>
      </c>
      <c r="K8920" s="508">
        <f t="array" ref="K8920">INDEX(K$5329:K$6195,MATCH($B8920&amp;$C8920,$B$5329:$B$6195&amp;$C$5329:$C$6195,0))</f>
        <v>0.16</v>
      </c>
      <c r="L8920" s="508">
        <f t="array" ref="L8920">INDEX(L$5329:L$6195,MATCH($B8920&amp;$C8920,$B$5329:$B$6195&amp;$C$5329:$C$6195,0))</f>
        <v>0.155</v>
      </c>
      <c r="M8920" s="508">
        <f t="array" ref="M8920">INDEX(M$5329:M$6195,MATCH($B8920&amp;$C8920,$B$5329:$B$6195&amp;$C$5329:$C$6195,0))</f>
        <v>0.151</v>
      </c>
      <c r="N8920" s="508">
        <f t="array" ref="N8920">INDEX(N$5329:N$6195,MATCH($B8920&amp;$C8920,$B$5329:$B$6195&amp;$C$5329:$C$6195,0))</f>
        <v>0.13700000000000001</v>
      </c>
      <c r="O8920" s="508">
        <f t="array" ref="O8920">INDEX(O$5329:O$6195,MATCH($B8920&amp;$C8920,$B$5329:$B$6195&amp;$C$5329:$C$6195,0))</f>
        <v>0.13</v>
      </c>
      <c r="P8920" s="508">
        <f t="array" ref="P8920">INDEX(P$5329:P$6195,MATCH($B8920&amp;$C8920,$B$5329:$B$6195&amp;$C$5329:$C$6195,0))</f>
        <v>9.6000000000000002E-2</v>
      </c>
      <c r="Q8920" s="508">
        <f t="array" ref="Q8920">INDEX(Q$5329:Q$6195,MATCH($B8920&amp;$C8920,$B$5329:$B$6195&amp;$C$5329:$C$6195,0))</f>
        <v>7.3999999999999996E-2</v>
      </c>
      <c r="R8920" s="508">
        <f t="array" ref="R8920">INDEX(R$5329:R$6195,MATCH($B8920&amp;$C8920,$B$5329:$B$6195&amp;$C$5329:$C$6195,0))</f>
        <v>7.8E-2</v>
      </c>
      <c r="S8920" s="508">
        <f t="array" ref="S8920">INDEX(S$5329:S$6195,MATCH($B8920&amp;$C8920,$B$5329:$B$6195&amp;$C$5329:$C$6195,0))</f>
        <v>9.1999999999999998E-2</v>
      </c>
      <c r="T8920" s="508">
        <f t="array" ref="T8920">INDEX(T$5329:T$6195,MATCH($B8920&amp;$C8920,$B$5329:$B$6195&amp;$C$5329:$C$6195,0))</f>
        <v>7.4999999999999997E-2</v>
      </c>
      <c r="U8920" s="508">
        <f t="array" ref="U8920">INDEX(U$5329:U$6195,MATCH($B8920&amp;$C8920,$B$5329:$B$6195&amp;$C$5329:$C$6195,0))</f>
        <v>6.3E-2</v>
      </c>
      <c r="V8920" s="508">
        <f t="array" ref="V8920">INDEX(V$5329:V$6195,MATCH($B8920&amp;$C8920,$B$5329:$B$6195&amp;$C$5329:$C$6195,0))</f>
        <v>3.3000000000000002E-2</v>
      </c>
      <c r="W8920" s="508">
        <f t="array" ref="W8920">INDEX(W$5329:W$6195,MATCH($B8920&amp;$C8920,$B$5329:$B$6195&amp;$C$5329:$C$6195,0))</f>
        <v>4.2999999999999997E-2</v>
      </c>
      <c r="X8920" s="508">
        <f t="array" ref="X8920">INDEX(X$5329:X$6195,MATCH($B8920&amp;$C8920,$B$5329:$B$6195&amp;$C$5329:$C$6195,0))</f>
        <v>2.1000000000000001E-2</v>
      </c>
      <c r="Y8920" s="508">
        <f t="array" ref="Y8920">INDEX(Y$5329:Y$6195,MATCH($B8920&amp;$C8920,$B$5329:$B$6195&amp;$C$5329:$C$6195,0))</f>
        <v>2.1000000000000001E-2</v>
      </c>
      <c r="Z8920" s="508">
        <f t="array" ref="Z8920">INDEX(Z$5329:Z$6195,MATCH($B8920&amp;$C8920,$B$5329:$B$6195&amp;$C$5329:$C$6195,0))</f>
        <v>1.7000000000000001E-2</v>
      </c>
      <c r="AA8920" s="508">
        <f t="array" ref="AA8920">INDEX(AA$5329:AA$6195,MATCH($B8920&amp;$C8920,$B$5329:$B$6195&amp;$C$5329:$C$6195,0))</f>
        <v>1.7000000000000001E-2</v>
      </c>
      <c r="AB8920" s="508">
        <f t="array" ref="AB8920">INDEX(AB$5329:AB$6195,MATCH($B8920&amp;$C8920,$B$5329:$B$6195&amp;$C$5329:$C$6195,0))</f>
        <v>1.4999999999999999E-2</v>
      </c>
      <c r="AC8920" s="508">
        <f t="array" ref="AC8920">INDEX(AC$5329:AC$6195,MATCH($B8920&amp;$C8920,$B$5329:$B$6195&amp;$C$5329:$C$6195,0))</f>
        <v>1.4999999999999999E-2</v>
      </c>
      <c r="AD8920" s="508">
        <f t="array" ref="AD8920">INDEX(AD$5329:AD$6195,MATCH($B8920&amp;$C8920,$B$5329:$B$6195&amp;$C$5329:$C$6195,0))</f>
        <v>1.2999999999999999E-2</v>
      </c>
      <c r="AE8920" s="508">
        <f t="array" ref="AE8920">INDEX(AE$5329:AE$6195,MATCH($B8920&amp;$C8920,$B$5329:$B$6195&amp;$C$5329:$C$6195,0))</f>
        <v>1.2999999999999999E-2</v>
      </c>
      <c r="AF8920" s="508">
        <f t="array" ref="AF8920">INDEX(AF$5329:AF$6195,MATCH($B8920&amp;$C8920,$B$5329:$B$6195&amp;$C$5329:$C$6195,0))</f>
        <v>8.0000000000000002E-3</v>
      </c>
      <c r="AG8920" s="508">
        <f t="array" ref="AG8920">INDEX(AG$5329:AG$6195,MATCH($B8920&amp;$C8920,$B$5329:$B$6195&amp;$C$5329:$C$6195,0))</f>
        <v>8.0000000000000002E-3</v>
      </c>
      <c r="AH8920" s="508">
        <f t="array" ref="AH8920">INDEX(AH$5329:AH$6195,MATCH($B8920&amp;$C8920,$B$5329:$B$6195&amp;$C$5329:$C$6195,0))</f>
        <v>8.0000000000000002E-3</v>
      </c>
      <c r="AI8920" s="508">
        <f t="array" ref="AI8920">INDEX(AI$5329:AI$6195,MATCH($B8920&amp;$C8920,$B$5329:$B$6195&amp;$C$5329:$C$6195,0))</f>
        <v>8.0000000000000002E-3</v>
      </c>
      <c r="AJ8920" s="508"/>
      <c r="AK8920" s="508">
        <f t="shared" si="186"/>
        <v>8.0000000000000002E-3</v>
      </c>
      <c r="AL8920" s="508">
        <f t="shared" si="189"/>
        <v>8.0000000000000002E-3</v>
      </c>
      <c r="AM8920" s="508">
        <f t="shared" si="189"/>
        <v>8.0000000000000002E-3</v>
      </c>
      <c r="AN8920" s="508">
        <f t="shared" si="189"/>
        <v>8.0000000000000002E-3</v>
      </c>
      <c r="AO8920" s="508">
        <f t="array" ref="AO8920">INDEX('GREET Fuel Attributes'!$E$8948:$E$9083,MATCH($C8920&amp;$D8920,'GREET Fuel Attributes'!$B$8948:$B$9083&amp;'GREET Fuel Attributes'!$C$8948:$C$9083,0))/INDEX('GREET Fuel Attributes'!$D$8948:$D$9083,MATCH($C8920&amp;$D8920,'GREET Fuel Attributes'!$B$8948:$B$9083&amp;'GREET Fuel Attributes'!$C$8948:$C$9083,0))*AI8920</f>
        <v>8.0000000000000002E-3</v>
      </c>
      <c r="AP8920" s="132" t="s">
        <v>1388</v>
      </c>
      <c r="AQ8920" s="142" t="s">
        <v>309</v>
      </c>
    </row>
    <row r="8921" spans="2:43">
      <c r="B8921" s="136" t="str">
        <f t="shared" si="188"/>
        <v>ILLINOIS</v>
      </c>
      <c r="C8921" s="132" t="s">
        <v>1376</v>
      </c>
      <c r="D8921" s="132" t="s">
        <v>1380</v>
      </c>
      <c r="E8921" s="508">
        <f t="array" ref="E8921">INDEX(E$6196:E$7062,MATCH($B8921&amp;$C8921,$B$6196:$B$7062&amp;$C$6196:$C$7062,0))</f>
        <v>0.01</v>
      </c>
      <c r="F8921" s="508">
        <f t="array" ref="F8921">INDEX(F$6196:F$7062,MATCH($B8921&amp;$C8921,$B$6196:$B$7062&amp;$C$6196:$C$7062,0))</f>
        <v>0.01</v>
      </c>
      <c r="G8921" s="508">
        <f t="array" ref="G8921">INDEX(G$6196:G$7062,MATCH($B8921&amp;$C8921,$B$6196:$B$7062&amp;$C$6196:$C$7062,0))</f>
        <v>0.01</v>
      </c>
      <c r="H8921" s="508">
        <f t="array" ref="H8921">INDEX(H$6196:H$7062,MATCH($B8921&amp;$C8921,$B$6196:$B$7062&amp;$C$6196:$C$7062,0))</f>
        <v>0.01</v>
      </c>
      <c r="I8921" s="508">
        <f t="array" ref="I8921">INDEX(I$6196:I$7062,MATCH($B8921&amp;$C8921,$B$6196:$B$7062&amp;$C$6196:$C$7062,0))</f>
        <v>8.9999999999999993E-3</v>
      </c>
      <c r="J8921" s="508">
        <f t="array" ref="J8921">INDEX(J$6196:J$7062,MATCH($B8921&amp;$C8921,$B$6196:$B$7062&amp;$C$6196:$C$7062,0))</f>
        <v>0.01</v>
      </c>
      <c r="K8921" s="508">
        <f t="array" ref="K8921">INDEX(K$6196:K$7062,MATCH($B8921&amp;$C8921,$B$6196:$B$7062&amp;$C$6196:$C$7062,0))</f>
        <v>1.0999999999999999E-2</v>
      </c>
      <c r="L8921" s="508">
        <f t="array" ref="L8921">INDEX(L$6196:L$7062,MATCH($B8921&amp;$C8921,$B$6196:$B$7062&amp;$C$6196:$C$7062,0))</f>
        <v>1.0999999999999999E-2</v>
      </c>
      <c r="M8921" s="508">
        <f t="array" ref="M8921">INDEX(M$6196:M$7062,MATCH($B8921&amp;$C8921,$B$6196:$B$7062&amp;$C$6196:$C$7062,0))</f>
        <v>0.01</v>
      </c>
      <c r="N8921" s="508">
        <f t="array" ref="N8921">INDEX(N$6196:N$7062,MATCH($B8921&amp;$C8921,$B$6196:$B$7062&amp;$C$6196:$C$7062,0))</f>
        <v>0.01</v>
      </c>
      <c r="O8921" s="508">
        <f t="array" ref="O8921">INDEX(O$6196:O$7062,MATCH($B8921&amp;$C8921,$B$6196:$B$7062&amp;$C$6196:$C$7062,0))</f>
        <v>0.01</v>
      </c>
      <c r="P8921" s="508">
        <f t="array" ref="P8921">INDEX(P$6196:P$7062,MATCH($B8921&amp;$C8921,$B$6196:$B$7062&amp;$C$6196:$C$7062,0))</f>
        <v>0.01</v>
      </c>
      <c r="Q8921" s="508">
        <f t="array" ref="Q8921">INDEX(Q$6196:Q$7062,MATCH($B8921&amp;$C8921,$B$6196:$B$7062&amp;$C$6196:$C$7062,0))</f>
        <v>0.01</v>
      </c>
      <c r="R8921" s="508">
        <f t="array" ref="R8921">INDEX(R$6196:R$7062,MATCH($B8921&amp;$C8921,$B$6196:$B$7062&amp;$C$6196:$C$7062,0))</f>
        <v>1.0999999999999999E-2</v>
      </c>
      <c r="S8921" s="508">
        <f t="array" ref="S8921">INDEX(S$6196:S$7062,MATCH($B8921&amp;$C8921,$B$6196:$B$7062&amp;$C$6196:$C$7062,0))</f>
        <v>0.01</v>
      </c>
      <c r="T8921" s="508">
        <f t="array" ref="T8921">INDEX(T$6196:T$7062,MATCH($B8921&amp;$C8921,$B$6196:$B$7062&amp;$C$6196:$C$7062,0))</f>
        <v>0.01</v>
      </c>
      <c r="U8921" s="508">
        <f t="array" ref="U8921">INDEX(U$6196:U$7062,MATCH($B8921&amp;$C8921,$B$6196:$B$7062&amp;$C$6196:$C$7062,0))</f>
        <v>0.01</v>
      </c>
      <c r="V8921" s="508">
        <f t="array" ref="V8921">INDEX(V$6196:V$7062,MATCH($B8921&amp;$C8921,$B$6196:$B$7062&amp;$C$6196:$C$7062,0))</f>
        <v>1.0999999999999999E-2</v>
      </c>
      <c r="W8921" s="508">
        <f t="array" ref="W8921">INDEX(W$6196:W$7062,MATCH($B8921&amp;$C8921,$B$6196:$B$7062&amp;$C$6196:$C$7062,0))</f>
        <v>1.0999999999999999E-2</v>
      </c>
      <c r="X8921" s="508">
        <f t="array" ref="X8921">INDEX(X$6196:X$7062,MATCH($B8921&amp;$C8921,$B$6196:$B$7062&amp;$C$6196:$C$7062,0))</f>
        <v>1.0999999999999999E-2</v>
      </c>
      <c r="Y8921" s="508">
        <f t="array" ref="Y8921">INDEX(Y$6196:Y$7062,MATCH($B8921&amp;$C8921,$B$6196:$B$7062&amp;$C$6196:$C$7062,0))</f>
        <v>0.01</v>
      </c>
      <c r="Z8921" s="508">
        <f t="array" ref="Z8921">INDEX(Z$6196:Z$7062,MATCH($B8921&amp;$C8921,$B$6196:$B$7062&amp;$C$6196:$C$7062,0))</f>
        <v>1.0999999999999999E-2</v>
      </c>
      <c r="AA8921" s="508">
        <f t="array" ref="AA8921">INDEX(AA$6196:AA$7062,MATCH($B8921&amp;$C8921,$B$6196:$B$7062&amp;$C$6196:$C$7062,0))</f>
        <v>0.01</v>
      </c>
      <c r="AB8921" s="508">
        <f t="array" ref="AB8921">INDEX(AB$6196:AB$7062,MATCH($B8921&amp;$C8921,$B$6196:$B$7062&amp;$C$6196:$C$7062,0))</f>
        <v>1.0999999999999999E-2</v>
      </c>
      <c r="AC8921" s="508">
        <f t="array" ref="AC8921">INDEX(AC$6196:AC$7062,MATCH($B8921&amp;$C8921,$B$6196:$B$7062&amp;$C$6196:$C$7062,0))</f>
        <v>0.01</v>
      </c>
      <c r="AD8921" s="508">
        <f t="array" ref="AD8921">INDEX(AD$6196:AD$7062,MATCH($B8921&amp;$C8921,$B$6196:$B$7062&amp;$C$6196:$C$7062,0))</f>
        <v>8.9999999999999993E-3</v>
      </c>
      <c r="AE8921" s="508">
        <f t="array" ref="AE8921">INDEX(AE$6196:AE$7062,MATCH($B8921&amp;$C8921,$B$6196:$B$7062&amp;$C$6196:$C$7062,0))</f>
        <v>0.01</v>
      </c>
      <c r="AF8921" s="508">
        <f t="array" ref="AF8921">INDEX(AF$6196:AF$7062,MATCH($B8921&amp;$C8921,$B$6196:$B$7062&amp;$C$6196:$C$7062,0))</f>
        <v>0.01</v>
      </c>
      <c r="AG8921" s="508">
        <f t="array" ref="AG8921">INDEX(AG$6196:AG$7062,MATCH($B8921&amp;$C8921,$B$6196:$B$7062&amp;$C$6196:$C$7062,0))</f>
        <v>0.01</v>
      </c>
      <c r="AH8921" s="508">
        <f t="array" ref="AH8921">INDEX(AH$6196:AH$7062,MATCH($B8921&amp;$C8921,$B$6196:$B$7062&amp;$C$6196:$C$7062,0))</f>
        <v>0.01</v>
      </c>
      <c r="AI8921" s="508">
        <f t="array" ref="AI8921">INDEX(AI$6196:AI$7062,MATCH($B8921&amp;$C8921,$B$6196:$B$7062&amp;$C$6196:$C$7062,0))</f>
        <v>0.01</v>
      </c>
      <c r="AJ8921" s="508"/>
      <c r="AK8921" s="508">
        <f t="shared" si="186"/>
        <v>0.01</v>
      </c>
      <c r="AL8921" s="508">
        <f t="shared" si="189"/>
        <v>0.01</v>
      </c>
      <c r="AM8921" s="508">
        <f t="shared" si="189"/>
        <v>0.01</v>
      </c>
      <c r="AN8921" s="508">
        <f t="shared" si="189"/>
        <v>0.01</v>
      </c>
      <c r="AO8921" s="508">
        <f t="array" ref="AO8921">INDEX('GREET Fuel Attributes'!$E$8948:$E$9083,MATCH($C8921&amp;$D8921,'GREET Fuel Attributes'!$B$8948:$B$9083&amp;'GREET Fuel Attributes'!$C$8948:$C$9083,0))/INDEX('GREET Fuel Attributes'!$D$8948:$D$9083,MATCH($C8921&amp;$D8921,'GREET Fuel Attributes'!$B$8948:$B$9083&amp;'GREET Fuel Attributes'!$C$8948:$C$9083,0))*AI8921</f>
        <v>0.01</v>
      </c>
      <c r="AP8921" s="132" t="s">
        <v>1388</v>
      </c>
      <c r="AQ8921" s="142" t="s">
        <v>309</v>
      </c>
    </row>
    <row r="8922" spans="2:43">
      <c r="B8922" s="136" t="str">
        <f t="shared" si="188"/>
        <v>ILLINOIS</v>
      </c>
      <c r="C8922" s="132" t="s">
        <v>1376</v>
      </c>
      <c r="D8922" s="132" t="s">
        <v>281</v>
      </c>
      <c r="E8922" s="508">
        <f t="array" ref="E8922">INDEX(E$7063:E$7929,MATCH($B8922&amp;$C8922,$B$7063:$B$7929&amp;$C$7063:$C$7929,0))</f>
        <v>13.032</v>
      </c>
      <c r="F8922" s="508">
        <f t="array" ref="F8922">INDEX(F$7063:F$7929,MATCH($B8922&amp;$C8922,$B$7063:$B$7929&amp;$C$7063:$C$7929,0))</f>
        <v>8.0990000000000002</v>
      </c>
      <c r="G8922" s="508">
        <f t="array" ref="G8922">INDEX(G$7063:G$7929,MATCH($B8922&amp;$C8922,$B$7063:$B$7929&amp;$C$7063:$C$7929,0))</f>
        <v>7.2839999999999998</v>
      </c>
      <c r="H8922" s="508">
        <f t="array" ref="H8922">INDEX(H$7063:H$7929,MATCH($B8922&amp;$C8922,$B$7063:$B$7929&amp;$C$7063:$C$7929,0))</f>
        <v>6.7960000000000003</v>
      </c>
      <c r="I8922" s="508">
        <f t="array" ref="I8922">INDEX(I$7063:I$7929,MATCH($B8922&amp;$C8922,$B$7063:$B$7929&amp;$C$7063:$C$7929,0))</f>
        <v>6.0570000000000004</v>
      </c>
      <c r="J8922" s="508">
        <f t="array" ref="J8922">INDEX(J$7063:J$7929,MATCH($B8922&amp;$C8922,$B$7063:$B$7929&amp;$C$7063:$C$7929,0))</f>
        <v>4.99</v>
      </c>
      <c r="K8922" s="508">
        <f t="array" ref="K8922">INDEX(K$7063:K$7929,MATCH($B8922&amp;$C8922,$B$7063:$B$7929&amp;$C$7063:$C$7929,0))</f>
        <v>4.7809999999999997</v>
      </c>
      <c r="L8922" s="508">
        <f t="array" ref="L8922">INDEX(L$7063:L$7929,MATCH($B8922&amp;$C8922,$B$7063:$B$7929&amp;$C$7063:$C$7929,0))</f>
        <v>4.6120000000000001</v>
      </c>
      <c r="M8922" s="508">
        <f t="array" ref="M8922">INDEX(M$7063:M$7929,MATCH($B8922&amp;$C8922,$B$7063:$B$7929&amp;$C$7063:$C$7929,0))</f>
        <v>4.1230000000000002</v>
      </c>
      <c r="N8922" s="508">
        <f t="array" ref="N8922">INDEX(N$7063:N$7929,MATCH($B8922&amp;$C8922,$B$7063:$B$7929&amp;$C$7063:$C$7929,0))</f>
        <v>4.0739999999999998</v>
      </c>
      <c r="O8922" s="508">
        <f t="array" ref="O8922">INDEX(O$7063:O$7929,MATCH($B8922&amp;$C8922,$B$7063:$B$7929&amp;$C$7063:$C$7929,0))</f>
        <v>3.891</v>
      </c>
      <c r="P8922" s="508">
        <f t="array" ref="P8922">INDEX(P$7063:P$7929,MATCH($B8922&amp;$C8922,$B$7063:$B$7929&amp;$C$7063:$C$7929,0))</f>
        <v>4.0039999999999996</v>
      </c>
      <c r="Q8922" s="508">
        <f t="array" ref="Q8922">INDEX(Q$7063:Q$7929,MATCH($B8922&amp;$C8922,$B$7063:$B$7929&amp;$C$7063:$C$7929,0))</f>
        <v>3.9630000000000001</v>
      </c>
      <c r="R8922" s="508">
        <f t="array" ref="R8922">INDEX(R$7063:R$7929,MATCH($B8922&amp;$C8922,$B$7063:$B$7929&amp;$C$7063:$C$7929,0))</f>
        <v>2.7109999999999999</v>
      </c>
      <c r="S8922" s="508">
        <f t="array" ref="S8922">INDEX(S$7063:S$7929,MATCH($B8922&amp;$C8922,$B$7063:$B$7929&amp;$C$7063:$C$7929,0))</f>
        <v>2.6360000000000001</v>
      </c>
      <c r="T8922" s="508">
        <f t="array" ref="T8922">INDEX(T$7063:T$7929,MATCH($B8922&amp;$C8922,$B$7063:$B$7929&amp;$C$7063:$C$7929,0))</f>
        <v>2.2599999999999998</v>
      </c>
      <c r="U8922" s="508">
        <f t="array" ref="U8922">INDEX(U$7063:U$7929,MATCH($B8922&amp;$C8922,$B$7063:$B$7929&amp;$C$7063:$C$7929,0))</f>
        <v>1.752</v>
      </c>
      <c r="V8922" s="508">
        <f t="array" ref="V8922">INDEX(V$7063:V$7929,MATCH($B8922&amp;$C8922,$B$7063:$B$7929&amp;$C$7063:$C$7929,0))</f>
        <v>1.639</v>
      </c>
      <c r="W8922" s="508">
        <f t="array" ref="W8922">INDEX(W$7063:W$7929,MATCH($B8922&amp;$C8922,$B$7063:$B$7929&amp;$C$7063:$C$7929,0))</f>
        <v>1.538</v>
      </c>
      <c r="X8922" s="508">
        <f t="array" ref="X8922">INDEX(X$7063:X$7929,MATCH($B8922&amp;$C8922,$B$7063:$B$7929&amp;$C$7063:$C$7929,0))</f>
        <v>1.468</v>
      </c>
      <c r="Y8922" s="508">
        <f t="array" ref="Y8922">INDEX(Y$7063:Y$7929,MATCH($B8922&amp;$C8922,$B$7063:$B$7929&amp;$C$7063:$C$7929,0))</f>
        <v>1.0620000000000001</v>
      </c>
      <c r="Z8922" s="508">
        <f t="array" ref="Z8922">INDEX(Z$7063:Z$7929,MATCH($B8922&amp;$C8922,$B$7063:$B$7929&amp;$C$7063:$C$7929,0))</f>
        <v>1.01</v>
      </c>
      <c r="AA8922" s="508">
        <f t="array" ref="AA8922">INDEX(AA$7063:AA$7929,MATCH($B8922&amp;$C8922,$B$7063:$B$7929&amp;$C$7063:$C$7929,0))</f>
        <v>0.98</v>
      </c>
      <c r="AB8922" s="508">
        <f t="array" ref="AB8922">INDEX(AB$7063:AB$7929,MATCH($B8922&amp;$C8922,$B$7063:$B$7929&amp;$C$7063:$C$7929,0))</f>
        <v>0.32600000000000001</v>
      </c>
      <c r="AC8922" s="508">
        <f t="array" ref="AC8922">INDEX(AC$7063:AC$7929,MATCH($B8922&amp;$C8922,$B$7063:$B$7929&amp;$C$7063:$C$7929,0))</f>
        <v>0.307</v>
      </c>
      <c r="AD8922" s="508">
        <f t="array" ref="AD8922">INDEX(AD$7063:AD$7929,MATCH($B8922&amp;$C8922,$B$7063:$B$7929&amp;$C$7063:$C$7929,0))</f>
        <v>0.13500000000000001</v>
      </c>
      <c r="AE8922" s="508">
        <f t="array" ref="AE8922">INDEX(AE$7063:AE$7929,MATCH($B8922&amp;$C8922,$B$7063:$B$7929&amp;$C$7063:$C$7929,0))</f>
        <v>0.125</v>
      </c>
      <c r="AF8922" s="508">
        <f t="array" ref="AF8922">INDEX(AF$7063:AF$7929,MATCH($B8922&amp;$C8922,$B$7063:$B$7929&amp;$C$7063:$C$7929,0))</f>
        <v>0.112</v>
      </c>
      <c r="AG8922" s="508">
        <f t="array" ref="AG8922">INDEX(AG$7063:AG$7929,MATCH($B8922&amp;$C8922,$B$7063:$B$7929&amp;$C$7063:$C$7929,0))</f>
        <v>0.109</v>
      </c>
      <c r="AH8922" s="508">
        <f t="array" ref="AH8922">INDEX(AH$7063:AH$7929,MATCH($B8922&amp;$C8922,$B$7063:$B$7929&amp;$C$7063:$C$7929,0))</f>
        <v>0.109</v>
      </c>
      <c r="AI8922" s="508">
        <f t="array" ref="AI8922">INDEX(AI$7063:AI$7929,MATCH($B8922&amp;$C8922,$B$7063:$B$7929&amp;$C$7063:$C$7929,0))</f>
        <v>0.109</v>
      </c>
      <c r="AJ8922" s="508"/>
      <c r="AK8922" s="508">
        <f t="shared" si="186"/>
        <v>0.10802388059701493</v>
      </c>
      <c r="AL8922" s="508">
        <f t="shared" si="189"/>
        <v>0.10704776119402985</v>
      </c>
      <c r="AM8922" s="508">
        <f t="shared" si="189"/>
        <v>0.10607164179104478</v>
      </c>
      <c r="AN8922" s="508">
        <f t="shared" si="189"/>
        <v>0.10509552238805971</v>
      </c>
      <c r="AO8922" s="508">
        <f t="array" ref="AO8922">INDEX('GREET Fuel Attributes'!$E$8948:$E$9083,MATCH($C8922&amp;$D8922,'GREET Fuel Attributes'!$B$8948:$B$9083&amp;'GREET Fuel Attributes'!$C$8948:$C$9083,0))/INDEX('GREET Fuel Attributes'!$D$8948:$D$9083,MATCH($C8922&amp;$D8922,'GREET Fuel Attributes'!$B$8948:$B$9083&amp;'GREET Fuel Attributes'!$C$8948:$C$9083,0))*AI8922</f>
        <v>0.10411940298507462</v>
      </c>
      <c r="AP8922" s="132" t="s">
        <v>1388</v>
      </c>
      <c r="AQ8922" s="142" t="s">
        <v>309</v>
      </c>
    </row>
    <row r="8923" spans="2:43">
      <c r="B8923" s="136" t="str">
        <f t="shared" si="188"/>
        <v>ILLINOIS</v>
      </c>
      <c r="C8923" s="132" t="s">
        <v>1376</v>
      </c>
      <c r="D8923" s="132" t="s">
        <v>1384</v>
      </c>
      <c r="E8923" s="508">
        <f t="array" ref="E8923">INDEX(E$7930:E$8796,MATCH($B8923&amp;$C8923,$B$7930:$B$8796&amp;$C$7930:$C$8796,0))</f>
        <v>8.7949999999999999</v>
      </c>
      <c r="F8923" s="508">
        <f t="array" ref="F8923">INDEX(F$7930:F$8796,MATCH($B8923&amp;$C8923,$B$7930:$B$8796&amp;$C$7930:$C$8796,0))</f>
        <v>8.4469999999999992</v>
      </c>
      <c r="G8923" s="508">
        <f t="array" ref="G8923">INDEX(G$7930:G$8796,MATCH($B8923&amp;$C8923,$B$7930:$B$8796&amp;$C$7930:$C$8796,0))</f>
        <v>5.6660000000000004</v>
      </c>
      <c r="H8923" s="508">
        <f t="array" ref="H8923">INDEX(H$7930:H$8796,MATCH($B8923&amp;$C8923,$B$7930:$B$8796&amp;$C$7930:$C$8796,0))</f>
        <v>4.5629999999999997</v>
      </c>
      <c r="I8923" s="508">
        <f t="array" ref="I8923">INDEX(I$7930:I$8796,MATCH($B8923&amp;$C8923,$B$7930:$B$8796&amp;$C$7930:$C$8796,0))</f>
        <v>3.71</v>
      </c>
      <c r="J8923" s="508">
        <f t="array" ref="J8923">INDEX(J$7930:J$8796,MATCH($B8923&amp;$C8923,$B$7930:$B$8796&amp;$C$7930:$C$8796,0))</f>
        <v>2.819</v>
      </c>
      <c r="K8923" s="508">
        <f t="array" ref="K8923">INDEX(K$7930:K$8796,MATCH($B8923&amp;$C8923,$B$7930:$B$8796&amp;$C$7930:$C$8796,0))</f>
        <v>2.544</v>
      </c>
      <c r="L8923" s="508">
        <f t="array" ref="L8923">INDEX(L$7930:L$8796,MATCH($B8923&amp;$C8923,$B$7930:$B$8796&amp;$C$7930:$C$8796,0))</f>
        <v>2.835</v>
      </c>
      <c r="M8923" s="508">
        <f t="array" ref="M8923">INDEX(M$7930:M$8796,MATCH($B8923&amp;$C8923,$B$7930:$B$8796&amp;$C$7930:$C$8796,0))</f>
        <v>2.069</v>
      </c>
      <c r="N8923" s="508">
        <f t="array" ref="N8923">INDEX(N$7930:N$8796,MATCH($B8923&amp;$C8923,$B$7930:$B$8796&amp;$C$7930:$C$8796,0))</f>
        <v>1.992</v>
      </c>
      <c r="O8923" s="508">
        <f t="array" ref="O8923">INDEX(O$7930:O$8796,MATCH($B8923&amp;$C8923,$B$7930:$B$8796&amp;$C$7930:$C$8796,0))</f>
        <v>1.7350000000000001</v>
      </c>
      <c r="P8923" s="508">
        <f t="array" ref="P8923">INDEX(P$7930:P$8796,MATCH($B8923&amp;$C8923,$B$7930:$B$8796&amp;$C$7930:$C$8796,0))</f>
        <v>0.69099999999999995</v>
      </c>
      <c r="Q8923" s="508">
        <f t="array" ref="Q8923">INDEX(Q$7930:Q$8796,MATCH($B8923&amp;$C8923,$B$7930:$B$8796&amp;$C$7930:$C$8796,0))</f>
        <v>0.78800000000000003</v>
      </c>
      <c r="R8923" s="508">
        <f t="array" ref="R8923">INDEX(R$7930:R$8796,MATCH($B8923&amp;$C8923,$B$7930:$B$8796&amp;$C$7930:$C$8796,0))</f>
        <v>0.41499999999999998</v>
      </c>
      <c r="S8923" s="508">
        <f t="array" ref="S8923">INDEX(S$7930:S$8796,MATCH($B8923&amp;$C8923,$B$7930:$B$8796&amp;$C$7930:$C$8796,0))</f>
        <v>0.53400000000000003</v>
      </c>
      <c r="T8923" s="508">
        <f t="array" ref="T8923">INDEX(T$7930:T$8796,MATCH($B8923&amp;$C8923,$B$7930:$B$8796&amp;$C$7930:$C$8796,0))</f>
        <v>0.376</v>
      </c>
      <c r="U8923" s="508">
        <f t="array" ref="U8923">INDEX(U$7930:U$8796,MATCH($B8923&amp;$C8923,$B$7930:$B$8796&amp;$C$7930:$C$8796,0))</f>
        <v>0.249</v>
      </c>
      <c r="V8923" s="508">
        <f t="array" ref="V8923">INDEX(V$7930:V$8796,MATCH($B8923&amp;$C8923,$B$7930:$B$8796&amp;$C$7930:$C$8796,0))</f>
        <v>0.32400000000000001</v>
      </c>
      <c r="W8923" s="508">
        <f t="array" ref="W8923">INDEX(W$7930:W$8796,MATCH($B8923&amp;$C8923,$B$7930:$B$8796&amp;$C$7930:$C$8796,0))</f>
        <v>0.24399999999999999</v>
      </c>
      <c r="X8923" s="508">
        <f t="array" ref="X8923">INDEX(X$7930:X$8796,MATCH($B8923&amp;$C8923,$B$7930:$B$8796&amp;$C$7930:$C$8796,0))</f>
        <v>0.19600000000000001</v>
      </c>
      <c r="Y8923" s="508">
        <f t="array" ref="Y8923">INDEX(Y$7930:Y$8796,MATCH($B8923&amp;$C8923,$B$7930:$B$8796&amp;$C$7930:$C$8796,0))</f>
        <v>0.107</v>
      </c>
      <c r="Z8923" s="508">
        <f t="array" ref="Z8923">INDEX(Z$7930:Z$8796,MATCH($B8923&amp;$C8923,$B$7930:$B$8796&amp;$C$7930:$C$8796,0))</f>
        <v>0.10100000000000001</v>
      </c>
      <c r="AA8923" s="508">
        <f t="array" ref="AA8923">INDEX(AA$7930:AA$8796,MATCH($B8923&amp;$C8923,$B$7930:$B$8796&amp;$C$7930:$C$8796,0))</f>
        <v>6.8000000000000005E-2</v>
      </c>
      <c r="AB8923" s="508">
        <f t="array" ref="AB8923">INDEX(AB$7930:AB$8796,MATCH($B8923&amp;$C8923,$B$7930:$B$8796&amp;$C$7930:$C$8796,0))</f>
        <v>0.10299999999999999</v>
      </c>
      <c r="AC8923" s="508">
        <f t="array" ref="AC8923">INDEX(AC$7930:AC$8796,MATCH($B8923&amp;$C8923,$B$7930:$B$8796&amp;$C$7930:$C$8796,0))</f>
        <v>0.112</v>
      </c>
      <c r="AD8923" s="508">
        <f t="array" ref="AD8923">INDEX(AD$7930:AD$8796,MATCH($B8923&amp;$C8923,$B$7930:$B$8796&amp;$C$7930:$C$8796,0))</f>
        <v>0.14000000000000001</v>
      </c>
      <c r="AE8923" s="508">
        <f t="array" ref="AE8923">INDEX(AE$7930:AE$8796,MATCH($B8923&amp;$C8923,$B$7930:$B$8796&amp;$C$7930:$C$8796,0))</f>
        <v>0.124</v>
      </c>
      <c r="AF8923" s="508">
        <f t="array" ref="AF8923">INDEX(AF$7930:AF$8796,MATCH($B8923&amp;$C8923,$B$7930:$B$8796&amp;$C$7930:$C$8796,0))</f>
        <v>0.121</v>
      </c>
      <c r="AG8923" s="508">
        <f t="array" ref="AG8923">INDEX(AG$7930:AG$8796,MATCH($B8923&amp;$C8923,$B$7930:$B$8796&amp;$C$7930:$C$8796,0))</f>
        <v>0.121</v>
      </c>
      <c r="AH8923" s="508">
        <f t="array" ref="AH8923">INDEX(AH$7930:AH$8796,MATCH($B8923&amp;$C8923,$B$7930:$B$8796&amp;$C$7930:$C$8796,0))</f>
        <v>0.12</v>
      </c>
      <c r="AI8923" s="508">
        <f t="array" ref="AI8923">INDEX(AI$7930:AI$8796,MATCH($B8923&amp;$C8923,$B$7930:$B$8796&amp;$C$7930:$C$8796,0))</f>
        <v>0.12</v>
      </c>
      <c r="AJ8923" s="508"/>
      <c r="AK8923" s="508">
        <f t="shared" si="186"/>
        <v>0.1179275766016713</v>
      </c>
      <c r="AL8923" s="508">
        <f t="shared" si="189"/>
        <v>0.11585515320334261</v>
      </c>
      <c r="AM8923" s="508">
        <f t="shared" si="189"/>
        <v>0.11378272980501392</v>
      </c>
      <c r="AN8923" s="508">
        <f t="shared" si="189"/>
        <v>0.11171030640668522</v>
      </c>
      <c r="AO8923" s="508">
        <f t="array" ref="AO8923">INDEX('GREET Fuel Attributes'!$E$8948:$E$9083,MATCH($C8923&amp;$D8923,'GREET Fuel Attributes'!$B$8948:$B$9083&amp;'GREET Fuel Attributes'!$C$8948:$C$9083,0))/INDEX('GREET Fuel Attributes'!$D$8948:$D$9083,MATCH($C8923&amp;$D8923,'GREET Fuel Attributes'!$B$8948:$B$9083&amp;'GREET Fuel Attributes'!$C$8948:$C$9083,0))*AI8923</f>
        <v>0.10963788300835656</v>
      </c>
      <c r="AP8923" s="132" t="s">
        <v>1388</v>
      </c>
      <c r="AQ8923" s="142" t="s">
        <v>309</v>
      </c>
    </row>
    <row r="8924" spans="2:43">
      <c r="B8924" s="136" t="str">
        <f t="shared" si="188"/>
        <v>ILLINOIS</v>
      </c>
      <c r="C8924" s="132" t="s">
        <v>1377</v>
      </c>
      <c r="D8924" s="132" t="s">
        <v>282</v>
      </c>
      <c r="E8924" s="508">
        <f t="array" ref="E8924">INDEX(E$1861:E$2727,MATCH($B8924&amp;$C8924,$B$1861:$B$2727&amp;$C$1861:$C$2727,0))</f>
        <v>0</v>
      </c>
      <c r="F8924" s="508">
        <f t="array" ref="F8924">INDEX(F$1861:F$2727,MATCH($B8924&amp;$C8924,$B$1861:$B$2727&amp;$C$1861:$C$2727,0))</f>
        <v>0</v>
      </c>
      <c r="G8924" s="508">
        <f t="array" ref="G8924">INDEX(G$1861:G$2727,MATCH($B8924&amp;$C8924,$B$1861:$B$2727&amp;$C$1861:$C$2727,0))</f>
        <v>0</v>
      </c>
      <c r="H8924" s="508">
        <f t="array" ref="H8924">INDEX(H$1861:H$2727,MATCH($B8924&amp;$C8924,$B$1861:$B$2727&amp;$C$1861:$C$2727,0))</f>
        <v>0</v>
      </c>
      <c r="I8924" s="508">
        <f t="array" ref="I8924">INDEX(I$1861:I$2727,MATCH($B8924&amp;$C8924,$B$1861:$B$2727&amp;$C$1861:$C$2727,0))</f>
        <v>0</v>
      </c>
      <c r="J8924" s="508">
        <f t="array" ref="J8924">INDEX(J$1861:J$2727,MATCH($B8924&amp;$C8924,$B$1861:$B$2727&amp;$C$1861:$C$2727,0))</f>
        <v>24.173999999999999</v>
      </c>
      <c r="K8924" s="508">
        <f t="array" ref="K8924">INDEX(K$1861:K$2727,MATCH($B8924&amp;$C8924,$B$1861:$B$2727&amp;$C$1861:$C$2727,0))</f>
        <v>24.16</v>
      </c>
      <c r="L8924" s="508">
        <f t="array" ref="L8924">INDEX(L$1861:L$2727,MATCH($B8924&amp;$C8924,$B$1861:$B$2727&amp;$C$1861:$C$2727,0))</f>
        <v>24.148</v>
      </c>
      <c r="M8924" s="508">
        <f t="array" ref="M8924">INDEX(M$1861:M$2727,MATCH($B8924&amp;$C8924,$B$1861:$B$2727&amp;$C$1861:$C$2727,0))</f>
        <v>24.135000000000002</v>
      </c>
      <c r="N8924" s="508">
        <f t="array" ref="N8924">INDEX(N$1861:N$2727,MATCH($B8924&amp;$C8924,$B$1861:$B$2727&amp;$C$1861:$C$2727,0))</f>
        <v>24.122</v>
      </c>
      <c r="O8924" s="508">
        <f t="array" ref="O8924">INDEX(O$1861:O$2727,MATCH($B8924&amp;$C8924,$B$1861:$B$2727&amp;$C$1861:$C$2727,0))</f>
        <v>24.11</v>
      </c>
      <c r="P8924" s="508">
        <f t="array" ref="P8924">INDEX(P$1861:P$2727,MATCH($B8924&amp;$C8924,$B$1861:$B$2727&amp;$C$1861:$C$2727,0))</f>
        <v>24.097999999999999</v>
      </c>
      <c r="Q8924" s="508">
        <f t="array" ref="Q8924">INDEX(Q$1861:Q$2727,MATCH($B8924&amp;$C8924,$B$1861:$B$2727&amp;$C$1861:$C$2727,0))</f>
        <v>24.087</v>
      </c>
      <c r="R8924" s="508">
        <f t="array" ref="R8924">INDEX(R$1861:R$2727,MATCH($B8924&amp;$C8924,$B$1861:$B$2727&amp;$C$1861:$C$2727,0))</f>
        <v>24.076000000000001</v>
      </c>
      <c r="S8924" s="508">
        <f t="array" ref="S8924">INDEX(S$1861:S$2727,MATCH($B8924&amp;$C8924,$B$1861:$B$2727&amp;$C$1861:$C$2727,0))</f>
        <v>24.065999999999999</v>
      </c>
      <c r="T8924" s="508">
        <f t="array" ref="T8924">INDEX(T$1861:T$2727,MATCH($B8924&amp;$C8924,$B$1861:$B$2727&amp;$C$1861:$C$2727,0))</f>
        <v>24.056000000000001</v>
      </c>
      <c r="U8924" s="508">
        <f t="array" ref="U8924">INDEX(U$1861:U$2727,MATCH($B8924&amp;$C8924,$B$1861:$B$2727&amp;$C$1861:$C$2727,0))</f>
        <v>24.045999999999999</v>
      </c>
      <c r="V8924" s="508">
        <f t="array" ref="V8924">INDEX(V$1861:V$2727,MATCH($B8924&amp;$C8924,$B$1861:$B$2727&amp;$C$1861:$C$2727,0))</f>
        <v>2.944</v>
      </c>
      <c r="W8924" s="508">
        <f t="array" ref="W8924">INDEX(W$1861:W$2727,MATCH($B8924&amp;$C8924,$B$1861:$B$2727&amp;$C$1861:$C$2727,0))</f>
        <v>2.9350000000000001</v>
      </c>
      <c r="X8924" s="508">
        <f t="array" ref="X8924">INDEX(X$1861:X$2727,MATCH($B8924&amp;$C8924,$B$1861:$B$2727&amp;$C$1861:$C$2727,0))</f>
        <v>2.9260000000000002</v>
      </c>
      <c r="Y8924" s="508">
        <f t="array" ref="Y8924">INDEX(Y$1861:Y$2727,MATCH($B8924&amp;$C8924,$B$1861:$B$2727&amp;$C$1861:$C$2727,0))</f>
        <v>2.9169999999999998</v>
      </c>
      <c r="Z8924" s="508">
        <f t="array" ref="Z8924">INDEX(Z$1861:Z$2727,MATCH($B8924&amp;$C8924,$B$1861:$B$2727&amp;$C$1861:$C$2727,0))</f>
        <v>2.9089999999999998</v>
      </c>
      <c r="AA8924" s="508">
        <f t="array" ref="AA8924">INDEX(AA$1861:AA$2727,MATCH($B8924&amp;$C8924,$B$1861:$B$2727&amp;$C$1861:$C$2727,0))</f>
        <v>7.5140000000000002</v>
      </c>
      <c r="AB8924" s="508">
        <f t="array" ref="AB8924">INDEX(AB$1861:AB$2727,MATCH($B8924&amp;$C8924,$B$1861:$B$2727&amp;$C$1861:$C$2727,0))</f>
        <v>7.5069999999999997</v>
      </c>
      <c r="AC8924" s="508">
        <f t="array" ref="AC8924">INDEX(AC$1861:AC$2727,MATCH($B8924&amp;$C8924,$B$1861:$B$2727&amp;$C$1861:$C$2727,0))</f>
        <v>7.4989999999999997</v>
      </c>
      <c r="AD8924" s="508">
        <f t="array" ref="AD8924">INDEX(AD$1861:AD$2727,MATCH($B8924&amp;$C8924,$B$1861:$B$2727&amp;$C$1861:$C$2727,0))</f>
        <v>3.5129999999999999</v>
      </c>
      <c r="AE8924" s="508">
        <f t="array" ref="AE8924">INDEX(AE$1861:AE$2727,MATCH($B8924&amp;$C8924,$B$1861:$B$2727&amp;$C$1861:$C$2727,0))</f>
        <v>3.5049999999999999</v>
      </c>
      <c r="AF8924" s="508">
        <f t="array" ref="AF8924">INDEX(AF$1861:AF$2727,MATCH($B8924&amp;$C8924,$B$1861:$B$2727&amp;$C$1861:$C$2727,0))</f>
        <v>3.4990000000000001</v>
      </c>
      <c r="AG8924" s="508">
        <f t="array" ref="AG8924">INDEX(AG$1861:AG$2727,MATCH($B8924&amp;$C8924,$B$1861:$B$2727&amp;$C$1861:$C$2727,0))</f>
        <v>3.492</v>
      </c>
      <c r="AH8924" s="508">
        <f t="array" ref="AH8924">INDEX(AH$1861:AH$2727,MATCH($B8924&amp;$C8924,$B$1861:$B$2727&amp;$C$1861:$C$2727,0))</f>
        <v>3.472</v>
      </c>
      <c r="AI8924" s="508">
        <f t="array" ref="AI8924">INDEX(AI$1861:AI$2727,MATCH($B8924&amp;$C8924,$B$1861:$B$2727&amp;$C$1861:$C$2727,0))</f>
        <v>3.4649999999999999</v>
      </c>
      <c r="AJ8924" s="508"/>
      <c r="AK8924" s="508">
        <f t="shared" si="186"/>
        <v>3.4649999999999999</v>
      </c>
      <c r="AL8924" s="508">
        <f t="shared" ref="AL8924:AN8939" si="190">($AO8924-$AI8924)/5+AK8924</f>
        <v>3.4649999999999999</v>
      </c>
      <c r="AM8924" s="508">
        <f t="shared" si="190"/>
        <v>3.4649999999999999</v>
      </c>
      <c r="AN8924" s="508">
        <f t="shared" si="190"/>
        <v>3.4649999999999999</v>
      </c>
      <c r="AO8924" s="508">
        <f t="array" ref="AO8924">INDEX('GREET Fuel Attributes'!$E$8948:$E$9083,MATCH($C8924&amp;$D8924,'GREET Fuel Attributes'!$B$8948:$B$9083&amp;'GREET Fuel Attributes'!$C$8948:$C$9083,0))/INDEX('GREET Fuel Attributes'!$D$8948:$D$9083,MATCH($C8924&amp;$D8924,'GREET Fuel Attributes'!$B$8948:$B$9083&amp;'GREET Fuel Attributes'!$C$8948:$C$9083,0))*AI8924</f>
        <v>3.4649999999999999</v>
      </c>
      <c r="AP8924" s="132" t="s">
        <v>366</v>
      </c>
      <c r="AQ8924" s="142" t="s">
        <v>307</v>
      </c>
    </row>
    <row r="8925" spans="2:43">
      <c r="B8925" s="136" t="str">
        <f t="shared" si="188"/>
        <v>ILLINOIS</v>
      </c>
      <c r="C8925" s="132" t="s">
        <v>1377</v>
      </c>
      <c r="D8925" s="132" t="s">
        <v>283</v>
      </c>
      <c r="E8925" s="508">
        <f t="array" ref="E8925">INDEX(E$2728:E$3594,MATCH($B8925&amp;$C8925,$B$2728:$B$3594&amp;$C$2728:$C$3594,0))</f>
        <v>0</v>
      </c>
      <c r="F8925" s="508">
        <f t="array" ref="F8925">INDEX(F$2728:F$3594,MATCH($B8925&amp;$C8925,$B$2728:$B$3594&amp;$C$2728:$C$3594,0))</f>
        <v>0</v>
      </c>
      <c r="G8925" s="508">
        <f t="array" ref="G8925">INDEX(G$2728:G$3594,MATCH($B8925&amp;$C8925,$B$2728:$B$3594&amp;$C$2728:$C$3594,0))</f>
        <v>0</v>
      </c>
      <c r="H8925" s="508">
        <f t="array" ref="H8925">INDEX(H$2728:H$3594,MATCH($B8925&amp;$C8925,$B$2728:$B$3594&amp;$C$2728:$C$3594,0))</f>
        <v>0</v>
      </c>
      <c r="I8925" s="508">
        <f t="array" ref="I8925">INDEX(I$2728:I$3594,MATCH($B8925&amp;$C8925,$B$2728:$B$3594&amp;$C$2728:$C$3594,0))</f>
        <v>0</v>
      </c>
      <c r="J8925" s="508">
        <f t="array" ref="J8925">INDEX(J$2728:J$3594,MATCH($B8925&amp;$C8925,$B$2728:$B$3594&amp;$C$2728:$C$3594,0))</f>
        <v>13.91</v>
      </c>
      <c r="K8925" s="508">
        <f t="array" ref="K8925">INDEX(K$2728:K$3594,MATCH($B8925&amp;$C8925,$B$2728:$B$3594&amp;$C$2728:$C$3594,0))</f>
        <v>13.91</v>
      </c>
      <c r="L8925" s="508">
        <f t="array" ref="L8925">INDEX(L$2728:L$3594,MATCH($B8925&amp;$C8925,$B$2728:$B$3594&amp;$C$2728:$C$3594,0))</f>
        <v>13.91</v>
      </c>
      <c r="M8925" s="508">
        <f t="array" ref="M8925">INDEX(M$2728:M$3594,MATCH($B8925&amp;$C8925,$B$2728:$B$3594&amp;$C$2728:$C$3594,0))</f>
        <v>13.91</v>
      </c>
      <c r="N8925" s="508">
        <f t="array" ref="N8925">INDEX(N$2728:N$3594,MATCH($B8925&amp;$C8925,$B$2728:$B$3594&amp;$C$2728:$C$3594,0))</f>
        <v>13.91</v>
      </c>
      <c r="O8925" s="508">
        <f t="array" ref="O8925">INDEX(O$2728:O$3594,MATCH($B8925&amp;$C8925,$B$2728:$B$3594&amp;$C$2728:$C$3594,0))</f>
        <v>13.91</v>
      </c>
      <c r="P8925" s="508">
        <f t="array" ref="P8925">INDEX(P$2728:P$3594,MATCH($B8925&amp;$C8925,$B$2728:$B$3594&amp;$C$2728:$C$3594,0))</f>
        <v>13.91</v>
      </c>
      <c r="Q8925" s="508">
        <f t="array" ref="Q8925">INDEX(Q$2728:Q$3594,MATCH($B8925&amp;$C8925,$B$2728:$B$3594&amp;$C$2728:$C$3594,0))</f>
        <v>13.91</v>
      </c>
      <c r="R8925" s="508">
        <f t="array" ref="R8925">INDEX(R$2728:R$3594,MATCH($B8925&amp;$C8925,$B$2728:$B$3594&amp;$C$2728:$C$3594,0))</f>
        <v>13.91</v>
      </c>
      <c r="S8925" s="508">
        <f t="array" ref="S8925">INDEX(S$2728:S$3594,MATCH($B8925&amp;$C8925,$B$2728:$B$3594&amp;$C$2728:$C$3594,0))</f>
        <v>13.91</v>
      </c>
      <c r="T8925" s="508">
        <f t="array" ref="T8925">INDEX(T$2728:T$3594,MATCH($B8925&amp;$C8925,$B$2728:$B$3594&amp;$C$2728:$C$3594,0))</f>
        <v>13.91</v>
      </c>
      <c r="U8925" s="508">
        <f t="array" ref="U8925">INDEX(U$2728:U$3594,MATCH($B8925&amp;$C8925,$B$2728:$B$3594&amp;$C$2728:$C$3594,0))</f>
        <v>13.91</v>
      </c>
      <c r="V8925" s="508">
        <f t="array" ref="V8925">INDEX(V$2728:V$3594,MATCH($B8925&amp;$C8925,$B$2728:$B$3594&amp;$C$2728:$C$3594,0))</f>
        <v>6.3739999999999997</v>
      </c>
      <c r="W8925" s="508">
        <f t="array" ref="W8925">INDEX(W$2728:W$3594,MATCH($B8925&amp;$C8925,$B$2728:$B$3594&amp;$C$2728:$C$3594,0))</f>
        <v>6.3739999999999997</v>
      </c>
      <c r="X8925" s="508">
        <f t="array" ref="X8925">INDEX(X$2728:X$3594,MATCH($B8925&amp;$C8925,$B$2728:$B$3594&amp;$C$2728:$C$3594,0))</f>
        <v>6.3739999999999997</v>
      </c>
      <c r="Y8925" s="508">
        <f t="array" ref="Y8925">INDEX(Y$2728:Y$3594,MATCH($B8925&amp;$C8925,$B$2728:$B$3594&amp;$C$2728:$C$3594,0))</f>
        <v>6.3739999999999997</v>
      </c>
      <c r="Z8925" s="508">
        <f t="array" ref="Z8925">INDEX(Z$2728:Z$3594,MATCH($B8925&amp;$C8925,$B$2728:$B$3594&amp;$C$2728:$C$3594,0))</f>
        <v>6.3739999999999997</v>
      </c>
      <c r="AA8925" s="508">
        <f t="array" ref="AA8925">INDEX(AA$2728:AA$3594,MATCH($B8925&amp;$C8925,$B$2728:$B$3594&amp;$C$2728:$C$3594,0))</f>
        <v>1.53</v>
      </c>
      <c r="AB8925" s="508">
        <f t="array" ref="AB8925">INDEX(AB$2728:AB$3594,MATCH($B8925&amp;$C8925,$B$2728:$B$3594&amp;$C$2728:$C$3594,0))</f>
        <v>1.53</v>
      </c>
      <c r="AC8925" s="508">
        <f t="array" ref="AC8925">INDEX(AC$2728:AC$3594,MATCH($B8925&amp;$C8925,$B$2728:$B$3594&amp;$C$2728:$C$3594,0))</f>
        <v>1.53</v>
      </c>
      <c r="AD8925" s="508">
        <f t="array" ref="AD8925">INDEX(AD$2728:AD$3594,MATCH($B8925&amp;$C8925,$B$2728:$B$3594&amp;$C$2728:$C$3594,0))</f>
        <v>1.288</v>
      </c>
      <c r="AE8925" s="508">
        <f t="array" ref="AE8925">INDEX(AE$2728:AE$3594,MATCH($B8925&amp;$C8925,$B$2728:$B$3594&amp;$C$2728:$C$3594,0))</f>
        <v>1.288</v>
      </c>
      <c r="AF8925" s="508">
        <f t="array" ref="AF8925">INDEX(AF$2728:AF$3594,MATCH($B8925&amp;$C8925,$B$2728:$B$3594&amp;$C$2728:$C$3594,0))</f>
        <v>1.288</v>
      </c>
      <c r="AG8925" s="508">
        <f t="array" ref="AG8925">INDEX(AG$2728:AG$3594,MATCH($B8925&amp;$C8925,$B$2728:$B$3594&amp;$C$2728:$C$3594,0))</f>
        <v>1.288</v>
      </c>
      <c r="AH8925" s="508">
        <f t="array" ref="AH8925">INDEX(AH$2728:AH$3594,MATCH($B8925&amp;$C8925,$B$2728:$B$3594&amp;$C$2728:$C$3594,0))</f>
        <v>1.2829999999999999</v>
      </c>
      <c r="AI8925" s="508">
        <f t="array" ref="AI8925">INDEX(AI$2728:AI$3594,MATCH($B8925&amp;$C8925,$B$2728:$B$3594&amp;$C$2728:$C$3594,0))</f>
        <v>1.2829999999999999</v>
      </c>
      <c r="AJ8925" s="508"/>
      <c r="AK8925" s="508">
        <f t="shared" si="186"/>
        <v>1.2829999999999999</v>
      </c>
      <c r="AL8925" s="508">
        <f t="shared" si="190"/>
        <v>1.2829999999999999</v>
      </c>
      <c r="AM8925" s="508">
        <f t="shared" si="190"/>
        <v>1.2829999999999999</v>
      </c>
      <c r="AN8925" s="508">
        <f t="shared" si="190"/>
        <v>1.2829999999999999</v>
      </c>
      <c r="AO8925" s="508">
        <f t="array" ref="AO8925">INDEX('GREET Fuel Attributes'!$E$8948:$E$9083,MATCH($C8925&amp;$D8925,'GREET Fuel Attributes'!$B$8948:$B$9083&amp;'GREET Fuel Attributes'!$C$8948:$C$9083,0))/INDEX('GREET Fuel Attributes'!$D$8948:$D$9083,MATCH($C8925&amp;$D8925,'GREET Fuel Attributes'!$B$8948:$B$9083&amp;'GREET Fuel Attributes'!$C$8948:$C$9083,0))*AI8925</f>
        <v>1.2829999999999999</v>
      </c>
      <c r="AP8925" s="132" t="s">
        <v>366</v>
      </c>
      <c r="AQ8925" s="142" t="s">
        <v>307</v>
      </c>
    </row>
    <row r="8926" spans="2:43">
      <c r="B8926" s="136" t="str">
        <f t="shared" si="188"/>
        <v>ILLINOIS</v>
      </c>
      <c r="C8926" s="132" t="s">
        <v>1377</v>
      </c>
      <c r="D8926" s="132" t="s">
        <v>284</v>
      </c>
      <c r="E8926" s="508">
        <f t="array" ref="E8926">INDEX(E$3595:E$4461,MATCH($B8926&amp;$C8926,$B$3595:$B$4461&amp;$C$3595:$C$4461,0))</f>
        <v>0</v>
      </c>
      <c r="F8926" s="508">
        <f t="array" ref="F8926">INDEX(F$3595:F$4461,MATCH($B8926&amp;$C8926,$B$3595:$B$4461&amp;$C$3595:$C$4461,0))</f>
        <v>0</v>
      </c>
      <c r="G8926" s="508">
        <f t="array" ref="G8926">INDEX(G$3595:G$4461,MATCH($B8926&amp;$C8926,$B$3595:$B$4461&amp;$C$3595:$C$4461,0))</f>
        <v>0</v>
      </c>
      <c r="H8926" s="508">
        <f t="array" ref="H8926">INDEX(H$3595:H$4461,MATCH($B8926&amp;$C8926,$B$3595:$B$4461&amp;$C$3595:$C$4461,0))</f>
        <v>0</v>
      </c>
      <c r="I8926" s="508">
        <f t="array" ref="I8926">INDEX(I$3595:I$4461,MATCH($B8926&amp;$C8926,$B$3595:$B$4461&amp;$C$3595:$C$4461,0))</f>
        <v>0</v>
      </c>
      <c r="J8926" s="508">
        <f t="array" ref="J8926">INDEX(J$3595:J$4461,MATCH($B8926&amp;$C8926,$B$3595:$B$4461&amp;$C$3595:$C$4461,0))</f>
        <v>0.34699999999999998</v>
      </c>
      <c r="K8926" s="508">
        <f t="array" ref="K8926">INDEX(K$3595:K$4461,MATCH($B8926&amp;$C8926,$B$3595:$B$4461&amp;$C$3595:$C$4461,0))</f>
        <v>0.34699999999999998</v>
      </c>
      <c r="L8926" s="508">
        <f t="array" ref="L8926">INDEX(L$3595:L$4461,MATCH($B8926&amp;$C8926,$B$3595:$B$4461&amp;$C$3595:$C$4461,0))</f>
        <v>0.34699999999999998</v>
      </c>
      <c r="M8926" s="508">
        <f t="array" ref="M8926">INDEX(M$3595:M$4461,MATCH($B8926&amp;$C8926,$B$3595:$B$4461&amp;$C$3595:$C$4461,0))</f>
        <v>0.34699999999999998</v>
      </c>
      <c r="N8926" s="508">
        <f t="array" ref="N8926">INDEX(N$3595:N$4461,MATCH($B8926&amp;$C8926,$B$3595:$B$4461&amp;$C$3595:$C$4461,0))</f>
        <v>0.34699999999999998</v>
      </c>
      <c r="O8926" s="508">
        <f t="array" ref="O8926">INDEX(O$3595:O$4461,MATCH($B8926&amp;$C8926,$B$3595:$B$4461&amp;$C$3595:$C$4461,0))</f>
        <v>0.34699999999999998</v>
      </c>
      <c r="P8926" s="508">
        <f t="array" ref="P8926">INDEX(P$3595:P$4461,MATCH($B8926&amp;$C8926,$B$3595:$B$4461&amp;$C$3595:$C$4461,0))</f>
        <v>0.26300000000000001</v>
      </c>
      <c r="Q8926" s="508">
        <f t="array" ref="Q8926">INDEX(Q$3595:Q$4461,MATCH($B8926&amp;$C8926,$B$3595:$B$4461&amp;$C$3595:$C$4461,0))</f>
        <v>0.26300000000000001</v>
      </c>
      <c r="R8926" s="508">
        <f t="array" ref="R8926">INDEX(R$3595:R$4461,MATCH($B8926&amp;$C8926,$B$3595:$B$4461&amp;$C$3595:$C$4461,0))</f>
        <v>0.26300000000000001</v>
      </c>
      <c r="S8926" s="508">
        <f t="array" ref="S8926">INDEX(S$3595:S$4461,MATCH($B8926&amp;$C8926,$B$3595:$B$4461&amp;$C$3595:$C$4461,0))</f>
        <v>0.26300000000000001</v>
      </c>
      <c r="T8926" s="508">
        <f t="array" ref="T8926">INDEX(T$3595:T$4461,MATCH($B8926&amp;$C8926,$B$3595:$B$4461&amp;$C$3595:$C$4461,0))</f>
        <v>0.26300000000000001</v>
      </c>
      <c r="U8926" s="508">
        <f t="array" ref="U8926">INDEX(U$3595:U$4461,MATCH($B8926&amp;$C8926,$B$3595:$B$4461&amp;$C$3595:$C$4461,0))</f>
        <v>0.19900000000000001</v>
      </c>
      <c r="V8926" s="508">
        <f t="array" ref="V8926">INDEX(V$3595:V$4461,MATCH($B8926&amp;$C8926,$B$3595:$B$4461&amp;$C$3595:$C$4461,0))</f>
        <v>0.01</v>
      </c>
      <c r="W8926" s="508">
        <f t="array" ref="W8926">INDEX(W$3595:W$4461,MATCH($B8926&amp;$C8926,$B$3595:$B$4461&amp;$C$3595:$C$4461,0))</f>
        <v>0.01</v>
      </c>
      <c r="X8926" s="508">
        <f t="array" ref="X8926">INDEX(X$3595:X$4461,MATCH($B8926&amp;$C8926,$B$3595:$B$4461&amp;$C$3595:$C$4461,0))</f>
        <v>0.01</v>
      </c>
      <c r="Y8926" s="508">
        <f t="array" ref="Y8926">INDEX(Y$3595:Y$4461,MATCH($B8926&amp;$C8926,$B$3595:$B$4461&amp;$C$3595:$C$4461,0))</f>
        <v>0.01</v>
      </c>
      <c r="Z8926" s="508">
        <f t="array" ref="Z8926">INDEX(Z$3595:Z$4461,MATCH($B8926&amp;$C8926,$B$3595:$B$4461&amp;$C$3595:$C$4461,0))</f>
        <v>8.0000000000000002E-3</v>
      </c>
      <c r="AA8926" s="508">
        <f t="array" ref="AA8926">INDEX(AA$3595:AA$4461,MATCH($B8926&amp;$C8926,$B$3595:$B$4461&amp;$C$3595:$C$4461,0))</f>
        <v>3.0000000000000001E-3</v>
      </c>
      <c r="AB8926" s="508">
        <f t="array" ref="AB8926">INDEX(AB$3595:AB$4461,MATCH($B8926&amp;$C8926,$B$3595:$B$4461&amp;$C$3595:$C$4461,0))</f>
        <v>3.0000000000000001E-3</v>
      </c>
      <c r="AC8926" s="508">
        <f t="array" ref="AC8926">INDEX(AC$3595:AC$4461,MATCH($B8926&amp;$C8926,$B$3595:$B$4461&amp;$C$3595:$C$4461,0))</f>
        <v>3.0000000000000001E-3</v>
      </c>
      <c r="AD8926" s="508">
        <f t="array" ref="AD8926">INDEX(AD$3595:AD$4461,MATCH($B8926&amp;$C8926,$B$3595:$B$4461&amp;$C$3595:$C$4461,0))</f>
        <v>2E-3</v>
      </c>
      <c r="AE8926" s="508">
        <f t="array" ref="AE8926">INDEX(AE$3595:AE$4461,MATCH($B8926&amp;$C8926,$B$3595:$B$4461&amp;$C$3595:$C$4461,0))</f>
        <v>2E-3</v>
      </c>
      <c r="AF8926" s="508">
        <f t="array" ref="AF8926">INDEX(AF$3595:AF$4461,MATCH($B8926&amp;$C8926,$B$3595:$B$4461&amp;$C$3595:$C$4461,0))</f>
        <v>2E-3</v>
      </c>
      <c r="AG8926" s="508">
        <f t="array" ref="AG8926">INDEX(AG$3595:AG$4461,MATCH($B8926&amp;$C8926,$B$3595:$B$4461&amp;$C$3595:$C$4461,0))</f>
        <v>2E-3</v>
      </c>
      <c r="AH8926" s="508">
        <f t="array" ref="AH8926">INDEX(AH$3595:AH$4461,MATCH($B8926&amp;$C8926,$B$3595:$B$4461&amp;$C$3595:$C$4461,0))</f>
        <v>2E-3</v>
      </c>
      <c r="AI8926" s="508">
        <f t="array" ref="AI8926">INDEX(AI$3595:AI$4461,MATCH($B8926&amp;$C8926,$B$3595:$B$4461&amp;$C$3595:$C$4461,0))</f>
        <v>2E-3</v>
      </c>
      <c r="AJ8926" s="508"/>
      <c r="AK8926" s="508">
        <f t="shared" si="186"/>
        <v>2E-3</v>
      </c>
      <c r="AL8926" s="508">
        <f t="shared" si="190"/>
        <v>2E-3</v>
      </c>
      <c r="AM8926" s="508">
        <f t="shared" si="190"/>
        <v>2E-3</v>
      </c>
      <c r="AN8926" s="508">
        <f t="shared" si="190"/>
        <v>2E-3</v>
      </c>
      <c r="AO8926" s="508">
        <f t="array" ref="AO8926">INDEX('GREET Fuel Attributes'!$E$8948:$E$9083,MATCH($C8926&amp;$D8926,'GREET Fuel Attributes'!$B$8948:$B$9083&amp;'GREET Fuel Attributes'!$C$8948:$C$9083,0))/INDEX('GREET Fuel Attributes'!$D$8948:$D$9083,MATCH($C8926&amp;$D8926,'GREET Fuel Attributes'!$B$8948:$B$9083&amp;'GREET Fuel Attributes'!$C$8948:$C$9083,0))*AI8926</f>
        <v>2E-3</v>
      </c>
      <c r="AP8926" s="132" t="s">
        <v>366</v>
      </c>
      <c r="AQ8926" s="142" t="s">
        <v>307</v>
      </c>
    </row>
    <row r="8927" spans="2:43">
      <c r="B8927" s="136" t="str">
        <f t="shared" si="188"/>
        <v>ILLINOIS</v>
      </c>
      <c r="C8927" s="132" t="s">
        <v>1377</v>
      </c>
      <c r="D8927" s="132" t="s">
        <v>1379</v>
      </c>
      <c r="E8927" s="508">
        <f t="array" ref="E8927">INDEX(E$4462:E$5328,MATCH($B8927&amp;$C8927,$B$4462:$B$5328&amp;$C$4462:$C$5328,0))</f>
        <v>0</v>
      </c>
      <c r="F8927" s="508">
        <f t="array" ref="F8927">INDEX(F$4462:F$5328,MATCH($B8927&amp;$C8927,$B$4462:$B$5328&amp;$C$4462:$C$5328,0))</f>
        <v>0</v>
      </c>
      <c r="G8927" s="508">
        <f t="array" ref="G8927">INDEX(G$4462:G$5328,MATCH($B8927&amp;$C8927,$B$4462:$B$5328&amp;$C$4462:$C$5328,0))</f>
        <v>0</v>
      </c>
      <c r="H8927" s="508">
        <f t="array" ref="H8927">INDEX(H$4462:H$5328,MATCH($B8927&amp;$C8927,$B$4462:$B$5328&amp;$C$4462:$C$5328,0))</f>
        <v>0</v>
      </c>
      <c r="I8927" s="508">
        <f t="array" ref="I8927">INDEX(I$4462:I$5328,MATCH($B8927&amp;$C8927,$B$4462:$B$5328&amp;$C$4462:$C$5328,0))</f>
        <v>0</v>
      </c>
      <c r="J8927" s="508">
        <f t="array" ref="J8927">INDEX(J$4462:J$5328,MATCH($B8927&amp;$C8927,$B$4462:$B$5328&amp;$C$4462:$C$5328,0))</f>
        <v>0.105</v>
      </c>
      <c r="K8927" s="508">
        <f t="array" ref="K8927">INDEX(K$4462:K$5328,MATCH($B8927&amp;$C8927,$B$4462:$B$5328&amp;$C$4462:$C$5328,0))</f>
        <v>0.105</v>
      </c>
      <c r="L8927" s="508">
        <f t="array" ref="L8927">INDEX(L$4462:L$5328,MATCH($B8927&amp;$C8927,$B$4462:$B$5328&amp;$C$4462:$C$5328,0))</f>
        <v>0.105</v>
      </c>
      <c r="M8927" s="508">
        <f t="array" ref="M8927">INDEX(M$4462:M$5328,MATCH($B8927&amp;$C8927,$B$4462:$B$5328&amp;$C$4462:$C$5328,0))</f>
        <v>0.105</v>
      </c>
      <c r="N8927" s="508">
        <f t="array" ref="N8927">INDEX(N$4462:N$5328,MATCH($B8927&amp;$C8927,$B$4462:$B$5328&amp;$C$4462:$C$5328,0))</f>
        <v>0.105</v>
      </c>
      <c r="O8927" s="508">
        <f t="array" ref="O8927">INDEX(O$4462:O$5328,MATCH($B8927&amp;$C8927,$B$4462:$B$5328&amp;$C$4462:$C$5328,0))</f>
        <v>0.105</v>
      </c>
      <c r="P8927" s="508">
        <f t="array" ref="P8927">INDEX(P$4462:P$5328,MATCH($B8927&amp;$C8927,$B$4462:$B$5328&amp;$C$4462:$C$5328,0))</f>
        <v>0.105</v>
      </c>
      <c r="Q8927" s="508">
        <f t="array" ref="Q8927">INDEX(Q$4462:Q$5328,MATCH($B8927&amp;$C8927,$B$4462:$B$5328&amp;$C$4462:$C$5328,0))</f>
        <v>0.105</v>
      </c>
      <c r="R8927" s="508">
        <f t="array" ref="R8927">INDEX(R$4462:R$5328,MATCH($B8927&amp;$C8927,$B$4462:$B$5328&amp;$C$4462:$C$5328,0))</f>
        <v>0.105</v>
      </c>
      <c r="S8927" s="508">
        <f t="array" ref="S8927">INDEX(S$4462:S$5328,MATCH($B8927&amp;$C8927,$B$4462:$B$5328&amp;$C$4462:$C$5328,0))</f>
        <v>0.105</v>
      </c>
      <c r="T8927" s="508">
        <f t="array" ref="T8927">INDEX(T$4462:T$5328,MATCH($B8927&amp;$C8927,$B$4462:$B$5328&amp;$C$4462:$C$5328,0))</f>
        <v>0.105</v>
      </c>
      <c r="U8927" s="508">
        <f t="array" ref="U8927">INDEX(U$4462:U$5328,MATCH($B8927&amp;$C8927,$B$4462:$B$5328&amp;$C$4462:$C$5328,0))</f>
        <v>0.105</v>
      </c>
      <c r="V8927" s="508">
        <f t="array" ref="V8927">INDEX(V$4462:V$5328,MATCH($B8927&amp;$C8927,$B$4462:$B$5328&amp;$C$4462:$C$5328,0))</f>
        <v>0.105</v>
      </c>
      <c r="W8927" s="508">
        <f t="array" ref="W8927">INDEX(W$4462:W$5328,MATCH($B8927&amp;$C8927,$B$4462:$B$5328&amp;$C$4462:$C$5328,0))</f>
        <v>0.105</v>
      </c>
      <c r="X8927" s="508">
        <f t="array" ref="X8927">INDEX(X$4462:X$5328,MATCH($B8927&amp;$C8927,$B$4462:$B$5328&amp;$C$4462:$C$5328,0))</f>
        <v>0.105</v>
      </c>
      <c r="Y8927" s="508">
        <f t="array" ref="Y8927">INDEX(Y$4462:Y$5328,MATCH($B8927&amp;$C8927,$B$4462:$B$5328&amp;$C$4462:$C$5328,0))</f>
        <v>0.105</v>
      </c>
      <c r="Z8927" s="508">
        <f t="array" ref="Z8927">INDEX(Z$4462:Z$5328,MATCH($B8927&amp;$C8927,$B$4462:$B$5328&amp;$C$4462:$C$5328,0))</f>
        <v>0.105</v>
      </c>
      <c r="AA8927" s="508">
        <f t="array" ref="AA8927">INDEX(AA$4462:AA$5328,MATCH($B8927&amp;$C8927,$B$4462:$B$5328&amp;$C$4462:$C$5328,0))</f>
        <v>0.105</v>
      </c>
      <c r="AB8927" s="508">
        <f t="array" ref="AB8927">INDEX(AB$4462:AB$5328,MATCH($B8927&amp;$C8927,$B$4462:$B$5328&amp;$C$4462:$C$5328,0))</f>
        <v>0.105</v>
      </c>
      <c r="AC8927" s="508">
        <f t="array" ref="AC8927">INDEX(AC$4462:AC$5328,MATCH($B8927&amp;$C8927,$B$4462:$B$5328&amp;$C$4462:$C$5328,0))</f>
        <v>0.105</v>
      </c>
      <c r="AD8927" s="508">
        <f t="array" ref="AD8927">INDEX(AD$4462:AD$5328,MATCH($B8927&amp;$C8927,$B$4462:$B$5328&amp;$C$4462:$C$5328,0))</f>
        <v>0.105</v>
      </c>
      <c r="AE8927" s="508">
        <f t="array" ref="AE8927">INDEX(AE$4462:AE$5328,MATCH($B8927&amp;$C8927,$B$4462:$B$5328&amp;$C$4462:$C$5328,0))</f>
        <v>0.105</v>
      </c>
      <c r="AF8927" s="508">
        <f t="array" ref="AF8927">INDEX(AF$4462:AF$5328,MATCH($B8927&amp;$C8927,$B$4462:$B$5328&amp;$C$4462:$C$5328,0))</f>
        <v>0.105</v>
      </c>
      <c r="AG8927" s="508">
        <f t="array" ref="AG8927">INDEX(AG$4462:AG$5328,MATCH($B8927&amp;$C8927,$B$4462:$B$5328&amp;$C$4462:$C$5328,0))</f>
        <v>0.105</v>
      </c>
      <c r="AH8927" s="508">
        <f t="array" ref="AH8927">INDEX(AH$4462:AH$5328,MATCH($B8927&amp;$C8927,$B$4462:$B$5328&amp;$C$4462:$C$5328,0))</f>
        <v>0.105</v>
      </c>
      <c r="AI8927" s="508">
        <f t="array" ref="AI8927">INDEX(AI$4462:AI$5328,MATCH($B8927&amp;$C8927,$B$4462:$B$5328&amp;$C$4462:$C$5328,0))</f>
        <v>0.105</v>
      </c>
      <c r="AJ8927" s="508"/>
      <c r="AK8927" s="508">
        <f t="shared" si="186"/>
        <v>0.105</v>
      </c>
      <c r="AL8927" s="508">
        <f t="shared" si="190"/>
        <v>0.105</v>
      </c>
      <c r="AM8927" s="508">
        <f t="shared" si="190"/>
        <v>0.105</v>
      </c>
      <c r="AN8927" s="508">
        <f t="shared" si="190"/>
        <v>0.105</v>
      </c>
      <c r="AO8927" s="508">
        <f t="array" ref="AO8927">INDEX('GREET Fuel Attributes'!$E$8948:$E$9083,MATCH($C8927&amp;$D8927,'GREET Fuel Attributes'!$B$8948:$B$9083&amp;'GREET Fuel Attributes'!$C$8948:$C$9083,0))/INDEX('GREET Fuel Attributes'!$D$8948:$D$9083,MATCH($C8927&amp;$D8927,'GREET Fuel Attributes'!$B$8948:$B$9083&amp;'GREET Fuel Attributes'!$C$8948:$C$9083,0))*AI8927</f>
        <v>0.105</v>
      </c>
      <c r="AP8927" s="132" t="s">
        <v>366</v>
      </c>
      <c r="AQ8927" s="142" t="s">
        <v>307</v>
      </c>
    </row>
    <row r="8928" spans="2:43">
      <c r="B8928" s="136" t="str">
        <f t="shared" si="188"/>
        <v>ILLINOIS</v>
      </c>
      <c r="C8928" s="132" t="s">
        <v>1377</v>
      </c>
      <c r="D8928" s="132" t="s">
        <v>285</v>
      </c>
      <c r="E8928" s="508">
        <f t="array" ref="E8928">INDEX(E$5329:E$6195,MATCH($B8928&amp;$C8928,$B$5329:$B$6195&amp;$C$5329:$C$6195,0))</f>
        <v>0</v>
      </c>
      <c r="F8928" s="508">
        <f t="array" ref="F8928">INDEX(F$5329:F$6195,MATCH($B8928&amp;$C8928,$B$5329:$B$6195&amp;$C$5329:$C$6195,0))</f>
        <v>0</v>
      </c>
      <c r="G8928" s="508">
        <f t="array" ref="G8928">INDEX(G$5329:G$6195,MATCH($B8928&amp;$C8928,$B$5329:$B$6195&amp;$C$5329:$C$6195,0))</f>
        <v>0</v>
      </c>
      <c r="H8928" s="508">
        <f t="array" ref="H8928">INDEX(H$5329:H$6195,MATCH($B8928&amp;$C8928,$B$5329:$B$6195&amp;$C$5329:$C$6195,0))</f>
        <v>0</v>
      </c>
      <c r="I8928" s="508">
        <f t="array" ref="I8928">INDEX(I$5329:I$6195,MATCH($B8928&amp;$C8928,$B$5329:$B$6195&amp;$C$5329:$C$6195,0))</f>
        <v>0</v>
      </c>
      <c r="J8928" s="508">
        <f t="array" ref="J8928">INDEX(J$5329:J$6195,MATCH($B8928&amp;$C8928,$B$5329:$B$6195&amp;$C$5329:$C$6195,0))</f>
        <v>0.307</v>
      </c>
      <c r="K8928" s="508">
        <f t="array" ref="K8928">INDEX(K$5329:K$6195,MATCH($B8928&amp;$C8928,$B$5329:$B$6195&amp;$C$5329:$C$6195,0))</f>
        <v>0.307</v>
      </c>
      <c r="L8928" s="508">
        <f t="array" ref="L8928">INDEX(L$5329:L$6195,MATCH($B8928&amp;$C8928,$B$5329:$B$6195&amp;$C$5329:$C$6195,0))</f>
        <v>0.307</v>
      </c>
      <c r="M8928" s="508">
        <f t="array" ref="M8928">INDEX(M$5329:M$6195,MATCH($B8928&amp;$C8928,$B$5329:$B$6195&amp;$C$5329:$C$6195,0))</f>
        <v>0.307</v>
      </c>
      <c r="N8928" s="508">
        <f t="array" ref="N8928">INDEX(N$5329:N$6195,MATCH($B8928&amp;$C8928,$B$5329:$B$6195&amp;$C$5329:$C$6195,0))</f>
        <v>0.307</v>
      </c>
      <c r="O8928" s="508">
        <f t="array" ref="O8928">INDEX(O$5329:O$6195,MATCH($B8928&amp;$C8928,$B$5329:$B$6195&amp;$C$5329:$C$6195,0))</f>
        <v>0.307</v>
      </c>
      <c r="P8928" s="508">
        <f t="array" ref="P8928">INDEX(P$5329:P$6195,MATCH($B8928&amp;$C8928,$B$5329:$B$6195&amp;$C$5329:$C$6195,0))</f>
        <v>0.23300000000000001</v>
      </c>
      <c r="Q8928" s="508">
        <f t="array" ref="Q8928">INDEX(Q$5329:Q$6195,MATCH($B8928&amp;$C8928,$B$5329:$B$6195&amp;$C$5329:$C$6195,0))</f>
        <v>0.23300000000000001</v>
      </c>
      <c r="R8928" s="508">
        <f t="array" ref="R8928">INDEX(R$5329:R$6195,MATCH($B8928&amp;$C8928,$B$5329:$B$6195&amp;$C$5329:$C$6195,0))</f>
        <v>0.23200000000000001</v>
      </c>
      <c r="S8928" s="508">
        <f t="array" ref="S8928">INDEX(S$5329:S$6195,MATCH($B8928&amp;$C8928,$B$5329:$B$6195&amp;$C$5329:$C$6195,0))</f>
        <v>0.23200000000000001</v>
      </c>
      <c r="T8928" s="508">
        <f t="array" ref="T8928">INDEX(T$5329:T$6195,MATCH($B8928&amp;$C8928,$B$5329:$B$6195&amp;$C$5329:$C$6195,0))</f>
        <v>0.23200000000000001</v>
      </c>
      <c r="U8928" s="508">
        <f t="array" ref="U8928">INDEX(U$5329:U$6195,MATCH($B8928&amp;$C8928,$B$5329:$B$6195&amp;$C$5329:$C$6195,0))</f>
        <v>0.17599999999999999</v>
      </c>
      <c r="V8928" s="508">
        <f t="array" ref="V8928">INDEX(V$5329:V$6195,MATCH($B8928&amp;$C8928,$B$5329:$B$6195&amp;$C$5329:$C$6195,0))</f>
        <v>8.9999999999999993E-3</v>
      </c>
      <c r="W8928" s="508">
        <f t="array" ref="W8928">INDEX(W$5329:W$6195,MATCH($B8928&amp;$C8928,$B$5329:$B$6195&amp;$C$5329:$C$6195,0))</f>
        <v>8.9999999999999993E-3</v>
      </c>
      <c r="X8928" s="508">
        <f t="array" ref="X8928">INDEX(X$5329:X$6195,MATCH($B8928&amp;$C8928,$B$5329:$B$6195&amp;$C$5329:$C$6195,0))</f>
        <v>8.9999999999999993E-3</v>
      </c>
      <c r="Y8928" s="508">
        <f t="array" ref="Y8928">INDEX(Y$5329:Y$6195,MATCH($B8928&amp;$C8928,$B$5329:$B$6195&amp;$C$5329:$C$6195,0))</f>
        <v>8.0000000000000002E-3</v>
      </c>
      <c r="Z8928" s="508">
        <f t="array" ref="Z8928">INDEX(Z$5329:Z$6195,MATCH($B8928&amp;$C8928,$B$5329:$B$6195&amp;$C$5329:$C$6195,0))</f>
        <v>7.0000000000000001E-3</v>
      </c>
      <c r="AA8928" s="508">
        <f t="array" ref="AA8928">INDEX(AA$5329:AA$6195,MATCH($B8928&amp;$C8928,$B$5329:$B$6195&amp;$C$5329:$C$6195,0))</f>
        <v>3.0000000000000001E-3</v>
      </c>
      <c r="AB8928" s="508">
        <f t="array" ref="AB8928">INDEX(AB$5329:AB$6195,MATCH($B8928&amp;$C8928,$B$5329:$B$6195&amp;$C$5329:$C$6195,0))</f>
        <v>2E-3</v>
      </c>
      <c r="AC8928" s="508">
        <f t="array" ref="AC8928">INDEX(AC$5329:AC$6195,MATCH($B8928&amp;$C8928,$B$5329:$B$6195&amp;$C$5329:$C$6195,0))</f>
        <v>2E-3</v>
      </c>
      <c r="AD8928" s="508">
        <f t="array" ref="AD8928">INDEX(AD$5329:AD$6195,MATCH($B8928&amp;$C8928,$B$5329:$B$6195&amp;$C$5329:$C$6195,0))</f>
        <v>2E-3</v>
      </c>
      <c r="AE8928" s="508">
        <f t="array" ref="AE8928">INDEX(AE$5329:AE$6195,MATCH($B8928&amp;$C8928,$B$5329:$B$6195&amp;$C$5329:$C$6195,0))</f>
        <v>2E-3</v>
      </c>
      <c r="AF8928" s="508">
        <f t="array" ref="AF8928">INDEX(AF$5329:AF$6195,MATCH($B8928&amp;$C8928,$B$5329:$B$6195&amp;$C$5329:$C$6195,0))</f>
        <v>1E-3</v>
      </c>
      <c r="AG8928" s="508">
        <f t="array" ref="AG8928">INDEX(AG$5329:AG$6195,MATCH($B8928&amp;$C8928,$B$5329:$B$6195&amp;$C$5329:$C$6195,0))</f>
        <v>1E-3</v>
      </c>
      <c r="AH8928" s="508">
        <f t="array" ref="AH8928">INDEX(AH$5329:AH$6195,MATCH($B8928&amp;$C8928,$B$5329:$B$6195&amp;$C$5329:$C$6195,0))</f>
        <v>1E-3</v>
      </c>
      <c r="AI8928" s="508">
        <f t="array" ref="AI8928">INDEX(AI$5329:AI$6195,MATCH($B8928&amp;$C8928,$B$5329:$B$6195&amp;$C$5329:$C$6195,0))</f>
        <v>1E-3</v>
      </c>
      <c r="AJ8928" s="508"/>
      <c r="AK8928" s="508">
        <f t="shared" si="186"/>
        <v>1E-3</v>
      </c>
      <c r="AL8928" s="508">
        <f t="shared" si="190"/>
        <v>1E-3</v>
      </c>
      <c r="AM8928" s="508">
        <f t="shared" si="190"/>
        <v>1E-3</v>
      </c>
      <c r="AN8928" s="508">
        <f t="shared" si="190"/>
        <v>1E-3</v>
      </c>
      <c r="AO8928" s="508">
        <f t="array" ref="AO8928">INDEX('GREET Fuel Attributes'!$E$8948:$E$9083,MATCH($C8928&amp;$D8928,'GREET Fuel Attributes'!$B$8948:$B$9083&amp;'GREET Fuel Attributes'!$C$8948:$C$9083,0))/INDEX('GREET Fuel Attributes'!$D$8948:$D$9083,MATCH($C8928&amp;$D8928,'GREET Fuel Attributes'!$B$8948:$B$9083&amp;'GREET Fuel Attributes'!$C$8948:$C$9083,0))*AI8928</f>
        <v>1E-3</v>
      </c>
      <c r="AP8928" s="132" t="s">
        <v>366</v>
      </c>
      <c r="AQ8928" s="142" t="s">
        <v>307</v>
      </c>
    </row>
    <row r="8929" spans="1:113">
      <c r="B8929" s="136" t="str">
        <f t="shared" si="188"/>
        <v>ILLINOIS</v>
      </c>
      <c r="C8929" s="132" t="s">
        <v>1377</v>
      </c>
      <c r="D8929" s="132" t="s">
        <v>1380</v>
      </c>
      <c r="E8929" s="508">
        <f t="array" ref="E8929">INDEX(E$6196:E$7062,MATCH($B8929&amp;$C8929,$B$6196:$B$7062&amp;$C$6196:$C$7062,0))</f>
        <v>0</v>
      </c>
      <c r="F8929" s="508">
        <f t="array" ref="F8929">INDEX(F$6196:F$7062,MATCH($B8929&amp;$C8929,$B$6196:$B$7062&amp;$C$6196:$C$7062,0))</f>
        <v>0</v>
      </c>
      <c r="G8929" s="508">
        <f t="array" ref="G8929">INDEX(G$6196:G$7062,MATCH($B8929&amp;$C8929,$B$6196:$B$7062&amp;$C$6196:$C$7062,0))</f>
        <v>0</v>
      </c>
      <c r="H8929" s="508">
        <f t="array" ref="H8929">INDEX(H$6196:H$7062,MATCH($B8929&amp;$C8929,$B$6196:$B$7062&amp;$C$6196:$C$7062,0))</f>
        <v>0</v>
      </c>
      <c r="I8929" s="508">
        <f t="array" ref="I8929">INDEX(I$6196:I$7062,MATCH($B8929&amp;$C8929,$B$6196:$B$7062&amp;$C$6196:$C$7062,0))</f>
        <v>0</v>
      </c>
      <c r="J8929" s="508">
        <f t="array" ref="J8929">INDEX(J$6196:J$7062,MATCH($B8929&amp;$C8929,$B$6196:$B$7062&amp;$C$6196:$C$7062,0))</f>
        <v>1.4E-2</v>
      </c>
      <c r="K8929" s="508">
        <f t="array" ref="K8929">INDEX(K$6196:K$7062,MATCH($B8929&amp;$C8929,$B$6196:$B$7062&amp;$C$6196:$C$7062,0))</f>
        <v>1.4E-2</v>
      </c>
      <c r="L8929" s="508">
        <f t="array" ref="L8929">INDEX(L$6196:L$7062,MATCH($B8929&amp;$C8929,$B$6196:$B$7062&amp;$C$6196:$C$7062,0))</f>
        <v>1.4E-2</v>
      </c>
      <c r="M8929" s="508">
        <f t="array" ref="M8929">INDEX(M$6196:M$7062,MATCH($B8929&amp;$C8929,$B$6196:$B$7062&amp;$C$6196:$C$7062,0))</f>
        <v>1.4E-2</v>
      </c>
      <c r="N8929" s="508">
        <f t="array" ref="N8929">INDEX(N$6196:N$7062,MATCH($B8929&amp;$C8929,$B$6196:$B$7062&amp;$C$6196:$C$7062,0))</f>
        <v>1.4E-2</v>
      </c>
      <c r="O8929" s="508">
        <f t="array" ref="O8929">INDEX(O$6196:O$7062,MATCH($B8929&amp;$C8929,$B$6196:$B$7062&amp;$C$6196:$C$7062,0))</f>
        <v>1.4E-2</v>
      </c>
      <c r="P8929" s="508">
        <f t="array" ref="P8929">INDEX(P$6196:P$7062,MATCH($B8929&amp;$C8929,$B$6196:$B$7062&amp;$C$6196:$C$7062,0))</f>
        <v>1.4E-2</v>
      </c>
      <c r="Q8929" s="508">
        <f t="array" ref="Q8929">INDEX(Q$6196:Q$7062,MATCH($B8929&amp;$C8929,$B$6196:$B$7062&amp;$C$6196:$C$7062,0))</f>
        <v>1.4E-2</v>
      </c>
      <c r="R8929" s="508">
        <f t="array" ref="R8929">INDEX(R$6196:R$7062,MATCH($B8929&amp;$C8929,$B$6196:$B$7062&amp;$C$6196:$C$7062,0))</f>
        <v>1.4E-2</v>
      </c>
      <c r="S8929" s="508">
        <f t="array" ref="S8929">INDEX(S$6196:S$7062,MATCH($B8929&amp;$C8929,$B$6196:$B$7062&amp;$C$6196:$C$7062,0))</f>
        <v>1.4E-2</v>
      </c>
      <c r="T8929" s="508">
        <f t="array" ref="T8929">INDEX(T$6196:T$7062,MATCH($B8929&amp;$C8929,$B$6196:$B$7062&amp;$C$6196:$C$7062,0))</f>
        <v>1.4E-2</v>
      </c>
      <c r="U8929" s="508">
        <f t="array" ref="U8929">INDEX(U$6196:U$7062,MATCH($B8929&amp;$C8929,$B$6196:$B$7062&amp;$C$6196:$C$7062,0))</f>
        <v>1.4E-2</v>
      </c>
      <c r="V8929" s="508">
        <f t="array" ref="V8929">INDEX(V$6196:V$7062,MATCH($B8929&amp;$C8929,$B$6196:$B$7062&amp;$C$6196:$C$7062,0))</f>
        <v>1.4E-2</v>
      </c>
      <c r="W8929" s="508">
        <f t="array" ref="W8929">INDEX(W$6196:W$7062,MATCH($B8929&amp;$C8929,$B$6196:$B$7062&amp;$C$6196:$C$7062,0))</f>
        <v>1.4E-2</v>
      </c>
      <c r="X8929" s="508">
        <f t="array" ref="X8929">INDEX(X$6196:X$7062,MATCH($B8929&amp;$C8929,$B$6196:$B$7062&amp;$C$6196:$C$7062,0))</f>
        <v>1.4E-2</v>
      </c>
      <c r="Y8929" s="508">
        <f t="array" ref="Y8929">INDEX(Y$6196:Y$7062,MATCH($B8929&amp;$C8929,$B$6196:$B$7062&amp;$C$6196:$C$7062,0))</f>
        <v>1.4E-2</v>
      </c>
      <c r="Z8929" s="508">
        <f t="array" ref="Z8929">INDEX(Z$6196:Z$7062,MATCH($B8929&amp;$C8929,$B$6196:$B$7062&amp;$C$6196:$C$7062,0))</f>
        <v>1.4E-2</v>
      </c>
      <c r="AA8929" s="508">
        <f t="array" ref="AA8929">INDEX(AA$6196:AA$7062,MATCH($B8929&amp;$C8929,$B$6196:$B$7062&amp;$C$6196:$C$7062,0))</f>
        <v>1.4E-2</v>
      </c>
      <c r="AB8929" s="508">
        <f t="array" ref="AB8929">INDEX(AB$6196:AB$7062,MATCH($B8929&amp;$C8929,$B$6196:$B$7062&amp;$C$6196:$C$7062,0))</f>
        <v>1.4E-2</v>
      </c>
      <c r="AC8929" s="508">
        <f t="array" ref="AC8929">INDEX(AC$6196:AC$7062,MATCH($B8929&amp;$C8929,$B$6196:$B$7062&amp;$C$6196:$C$7062,0))</f>
        <v>1.4E-2</v>
      </c>
      <c r="AD8929" s="508">
        <f t="array" ref="AD8929">INDEX(AD$6196:AD$7062,MATCH($B8929&amp;$C8929,$B$6196:$B$7062&amp;$C$6196:$C$7062,0))</f>
        <v>1.4E-2</v>
      </c>
      <c r="AE8929" s="508">
        <f t="array" ref="AE8929">INDEX(AE$6196:AE$7062,MATCH($B8929&amp;$C8929,$B$6196:$B$7062&amp;$C$6196:$C$7062,0))</f>
        <v>1.4E-2</v>
      </c>
      <c r="AF8929" s="508">
        <f t="array" ref="AF8929">INDEX(AF$6196:AF$7062,MATCH($B8929&amp;$C8929,$B$6196:$B$7062&amp;$C$6196:$C$7062,0))</f>
        <v>1.4E-2</v>
      </c>
      <c r="AG8929" s="508">
        <f t="array" ref="AG8929">INDEX(AG$6196:AG$7062,MATCH($B8929&amp;$C8929,$B$6196:$B$7062&amp;$C$6196:$C$7062,0))</f>
        <v>1.4E-2</v>
      </c>
      <c r="AH8929" s="508">
        <f t="array" ref="AH8929">INDEX(AH$6196:AH$7062,MATCH($B8929&amp;$C8929,$B$6196:$B$7062&amp;$C$6196:$C$7062,0))</f>
        <v>1.4E-2</v>
      </c>
      <c r="AI8929" s="508">
        <f t="array" ref="AI8929">INDEX(AI$6196:AI$7062,MATCH($B8929&amp;$C8929,$B$6196:$B$7062&amp;$C$6196:$C$7062,0))</f>
        <v>1.4E-2</v>
      </c>
      <c r="AJ8929" s="508"/>
      <c r="AK8929" s="508">
        <f t="shared" si="186"/>
        <v>1.4E-2</v>
      </c>
      <c r="AL8929" s="508">
        <f t="shared" si="190"/>
        <v>1.4E-2</v>
      </c>
      <c r="AM8929" s="508">
        <f t="shared" si="190"/>
        <v>1.4E-2</v>
      </c>
      <c r="AN8929" s="508">
        <f t="shared" si="190"/>
        <v>1.4E-2</v>
      </c>
      <c r="AO8929" s="508">
        <f t="array" ref="AO8929">INDEX('GREET Fuel Attributes'!$E$8948:$E$9083,MATCH($C8929&amp;$D8929,'GREET Fuel Attributes'!$B$8948:$B$9083&amp;'GREET Fuel Attributes'!$C$8948:$C$9083,0))/INDEX('GREET Fuel Attributes'!$D$8948:$D$9083,MATCH($C8929&amp;$D8929,'GREET Fuel Attributes'!$B$8948:$B$9083&amp;'GREET Fuel Attributes'!$C$8948:$C$9083,0))*AI8929</f>
        <v>1.4E-2</v>
      </c>
      <c r="AP8929" s="132" t="s">
        <v>366</v>
      </c>
      <c r="AQ8929" s="142" t="s">
        <v>307</v>
      </c>
    </row>
    <row r="8930" spans="1:113">
      <c r="B8930" s="136" t="str">
        <f t="shared" si="188"/>
        <v>ILLINOIS</v>
      </c>
      <c r="C8930" s="132" t="s">
        <v>1377</v>
      </c>
      <c r="D8930" s="132" t="s">
        <v>281</v>
      </c>
      <c r="E8930" s="508">
        <f t="array" ref="E8930">INDEX(E$7063:E$7929,MATCH($B8930&amp;$C8930,$B$7063:$B$7929&amp;$C$7063:$C$7929,0))</f>
        <v>0</v>
      </c>
      <c r="F8930" s="508">
        <f t="array" ref="F8930">INDEX(F$7063:F$7929,MATCH($B8930&amp;$C8930,$B$7063:$B$7929&amp;$C$7063:$C$7929,0))</f>
        <v>0</v>
      </c>
      <c r="G8930" s="508">
        <f t="array" ref="G8930">INDEX(G$7063:G$7929,MATCH($B8930&amp;$C8930,$B$7063:$B$7929&amp;$C$7063:$C$7929,0))</f>
        <v>0</v>
      </c>
      <c r="H8930" s="508">
        <f t="array" ref="H8930">INDEX(H$7063:H$7929,MATCH($B8930&amp;$C8930,$B$7063:$B$7929&amp;$C$7063:$C$7929,0))</f>
        <v>0</v>
      </c>
      <c r="I8930" s="508">
        <f t="array" ref="I8930">INDEX(I$7063:I$7929,MATCH($B8930&amp;$C8930,$B$7063:$B$7929&amp;$C$7063:$C$7929,0))</f>
        <v>0</v>
      </c>
      <c r="J8930" s="508">
        <f t="array" ref="J8930">INDEX(J$7063:J$7929,MATCH($B8930&amp;$C8930,$B$7063:$B$7929&amp;$C$7063:$C$7929,0))</f>
        <v>3.0640000000000001</v>
      </c>
      <c r="K8930" s="508">
        <f t="array" ref="K8930">INDEX(K$7063:K$7929,MATCH($B8930&amp;$C8930,$B$7063:$B$7929&amp;$C$7063:$C$7929,0))</f>
        <v>3.0640000000000001</v>
      </c>
      <c r="L8930" s="508">
        <f t="array" ref="L8930">INDEX(L$7063:L$7929,MATCH($B8930&amp;$C8930,$B$7063:$B$7929&amp;$C$7063:$C$7929,0))</f>
        <v>3.0640000000000001</v>
      </c>
      <c r="M8930" s="508">
        <f t="array" ref="M8930">INDEX(M$7063:M$7929,MATCH($B8930&amp;$C8930,$B$7063:$B$7929&amp;$C$7063:$C$7929,0))</f>
        <v>3.0630000000000002</v>
      </c>
      <c r="N8930" s="508">
        <f t="array" ref="N8930">INDEX(N$7063:N$7929,MATCH($B8930&amp;$C8930,$B$7063:$B$7929&amp;$C$7063:$C$7929,0))</f>
        <v>3.0630000000000002</v>
      </c>
      <c r="O8930" s="508">
        <f t="array" ref="O8930">INDEX(O$7063:O$7929,MATCH($B8930&amp;$C8930,$B$7063:$B$7929&amp;$C$7063:$C$7929,0))</f>
        <v>3.0630000000000002</v>
      </c>
      <c r="P8930" s="508">
        <f t="array" ref="P8930">INDEX(P$7063:P$7929,MATCH($B8930&amp;$C8930,$B$7063:$B$7929&amp;$C$7063:$C$7929,0))</f>
        <v>3.0630000000000002</v>
      </c>
      <c r="Q8930" s="508">
        <f t="array" ref="Q8930">INDEX(Q$7063:Q$7929,MATCH($B8930&amp;$C8930,$B$7063:$B$7929&amp;$C$7063:$C$7929,0))</f>
        <v>3.0630000000000002</v>
      </c>
      <c r="R8930" s="508">
        <f t="array" ref="R8930">INDEX(R$7063:R$7929,MATCH($B8930&amp;$C8930,$B$7063:$B$7929&amp;$C$7063:$C$7929,0))</f>
        <v>3.0630000000000002</v>
      </c>
      <c r="S8930" s="508">
        <f t="array" ref="S8930">INDEX(S$7063:S$7929,MATCH($B8930&amp;$C8930,$B$7063:$B$7929&amp;$C$7063:$C$7929,0))</f>
        <v>3.0630000000000002</v>
      </c>
      <c r="T8930" s="508">
        <f t="array" ref="T8930">INDEX(T$7063:T$7929,MATCH($B8930&amp;$C8930,$B$7063:$B$7929&amp;$C$7063:$C$7929,0))</f>
        <v>3.0619999999999998</v>
      </c>
      <c r="U8930" s="508">
        <f t="array" ref="U8930">INDEX(U$7063:U$7929,MATCH($B8930&amp;$C8930,$B$7063:$B$7929&amp;$C$7063:$C$7929,0))</f>
        <v>3.0619999999999998</v>
      </c>
      <c r="V8930" s="508">
        <f t="array" ref="V8930">INDEX(V$7063:V$7929,MATCH($B8930&amp;$C8930,$B$7063:$B$7929&amp;$C$7063:$C$7929,0))</f>
        <v>0.89500000000000002</v>
      </c>
      <c r="W8930" s="508">
        <f t="array" ref="W8930">INDEX(W$7063:W$7929,MATCH($B8930&amp;$C8930,$B$7063:$B$7929&amp;$C$7063:$C$7929,0))</f>
        <v>0.89500000000000002</v>
      </c>
      <c r="X8930" s="508">
        <f t="array" ref="X8930">INDEX(X$7063:X$7929,MATCH($B8930&amp;$C8930,$B$7063:$B$7929&amp;$C$7063:$C$7929,0))</f>
        <v>0.504</v>
      </c>
      <c r="Y8930" s="508">
        <f t="array" ref="Y8930">INDEX(Y$7063:Y$7929,MATCH($B8930&amp;$C8930,$B$7063:$B$7929&amp;$C$7063:$C$7929,0))</f>
        <v>0.504</v>
      </c>
      <c r="Z8930" s="508">
        <f t="array" ref="Z8930">INDEX(Z$7063:Z$7929,MATCH($B8930&amp;$C8930,$B$7063:$B$7929&amp;$C$7063:$C$7929,0))</f>
        <v>0.504</v>
      </c>
      <c r="AA8930" s="508">
        <f t="array" ref="AA8930">INDEX(AA$7063:AA$7929,MATCH($B8930&amp;$C8930,$B$7063:$B$7929&amp;$C$7063:$C$7929,0))</f>
        <v>0.19</v>
      </c>
      <c r="AB8930" s="508">
        <f t="array" ref="AB8930">INDEX(AB$7063:AB$7929,MATCH($B8930&amp;$C8930,$B$7063:$B$7929&amp;$C$7063:$C$7929,0))</f>
        <v>0.19</v>
      </c>
      <c r="AC8930" s="508">
        <f t="array" ref="AC8930">INDEX(AC$7063:AC$7929,MATCH($B8930&amp;$C8930,$B$7063:$B$7929&amp;$C$7063:$C$7929,0))</f>
        <v>0.19</v>
      </c>
      <c r="AD8930" s="508">
        <f t="array" ref="AD8930">INDEX(AD$7063:AD$7929,MATCH($B8930&amp;$C8930,$B$7063:$B$7929&amp;$C$7063:$C$7929,0))</f>
        <v>6.8000000000000005E-2</v>
      </c>
      <c r="AE8930" s="508">
        <f t="array" ref="AE8930">INDEX(AE$7063:AE$7929,MATCH($B8930&amp;$C8930,$B$7063:$B$7929&amp;$C$7063:$C$7929,0))</f>
        <v>6.8000000000000005E-2</v>
      </c>
      <c r="AF8930" s="508">
        <f t="array" ref="AF8930">INDEX(AF$7063:AF$7929,MATCH($B8930&amp;$C8930,$B$7063:$B$7929&amp;$C$7063:$C$7929,0))</f>
        <v>6.8000000000000005E-2</v>
      </c>
      <c r="AG8930" s="508">
        <f t="array" ref="AG8930">INDEX(AG$7063:AG$7929,MATCH($B8930&amp;$C8930,$B$7063:$B$7929&amp;$C$7063:$C$7929,0))</f>
        <v>6.8000000000000005E-2</v>
      </c>
      <c r="AH8930" s="508">
        <f t="array" ref="AH8930">INDEX(AH$7063:AH$7929,MATCH($B8930&amp;$C8930,$B$7063:$B$7929&amp;$C$7063:$C$7929,0))</f>
        <v>6.8000000000000005E-2</v>
      </c>
      <c r="AI8930" s="508">
        <f t="array" ref="AI8930">INDEX(AI$7063:AI$7929,MATCH($B8930&amp;$C8930,$B$7063:$B$7929&amp;$C$7063:$C$7929,0))</f>
        <v>6.8000000000000005E-2</v>
      </c>
      <c r="AJ8930" s="508"/>
      <c r="AK8930" s="508">
        <f t="shared" si="186"/>
        <v>6.8000000000000005E-2</v>
      </c>
      <c r="AL8930" s="508">
        <f t="shared" si="190"/>
        <v>6.8000000000000005E-2</v>
      </c>
      <c r="AM8930" s="508">
        <f t="shared" si="190"/>
        <v>6.8000000000000005E-2</v>
      </c>
      <c r="AN8930" s="508">
        <f t="shared" si="190"/>
        <v>6.8000000000000005E-2</v>
      </c>
      <c r="AO8930" s="508">
        <f t="array" ref="AO8930">INDEX('GREET Fuel Attributes'!$E$8948:$E$9083,MATCH($C8930&amp;$D8930,'GREET Fuel Attributes'!$B$8948:$B$9083&amp;'GREET Fuel Attributes'!$C$8948:$C$9083,0))/INDEX('GREET Fuel Attributes'!$D$8948:$D$9083,MATCH($C8930&amp;$D8930,'GREET Fuel Attributes'!$B$8948:$B$9083&amp;'GREET Fuel Attributes'!$C$8948:$C$9083,0))*AI8930</f>
        <v>6.8000000000000005E-2</v>
      </c>
      <c r="AP8930" s="132" t="s">
        <v>366</v>
      </c>
      <c r="AQ8930" s="142" t="s">
        <v>307</v>
      </c>
    </row>
    <row r="8931" spans="1:113">
      <c r="B8931" s="136" t="str">
        <f t="shared" si="188"/>
        <v>ILLINOIS</v>
      </c>
      <c r="C8931" s="132" t="s">
        <v>1377</v>
      </c>
      <c r="D8931" s="132" t="s">
        <v>1384</v>
      </c>
      <c r="E8931" s="508">
        <f t="array" ref="E8931">INDEX(E$7930:E$8796,MATCH($B8931&amp;$C8931,$B$7930:$B$8796&amp;$C$7930:$C$8796,0))</f>
        <v>0</v>
      </c>
      <c r="F8931" s="508">
        <f t="array" ref="F8931">INDEX(F$7930:F$8796,MATCH($B8931&amp;$C8931,$B$7930:$B$8796&amp;$C$7930:$C$8796,0))</f>
        <v>0</v>
      </c>
      <c r="G8931" s="508">
        <f t="array" ref="G8931">INDEX(G$7930:G$8796,MATCH($B8931&amp;$C8931,$B$7930:$B$8796&amp;$C$7930:$C$8796,0))</f>
        <v>0</v>
      </c>
      <c r="H8931" s="508">
        <f t="array" ref="H8931">INDEX(H$7930:H$8796,MATCH($B8931&amp;$C8931,$B$7930:$B$8796&amp;$C$7930:$C$8796,0))</f>
        <v>0</v>
      </c>
      <c r="I8931" s="508">
        <f t="array" ref="I8931">INDEX(I$7930:I$8796,MATCH($B8931&amp;$C8931,$B$7930:$B$8796&amp;$C$7930:$C$8796,0))</f>
        <v>0</v>
      </c>
      <c r="J8931" s="508">
        <f t="array" ref="J8931">INDEX(J$7930:J$8796,MATCH($B8931&amp;$C8931,$B$7930:$B$8796&amp;$C$7930:$C$8796,0))</f>
        <v>0</v>
      </c>
      <c r="K8931" s="508">
        <f t="array" ref="K8931">INDEX(K$7930:K$8796,MATCH($B8931&amp;$C8931,$B$7930:$B$8796&amp;$C$7930:$C$8796,0))</f>
        <v>0</v>
      </c>
      <c r="L8931" s="508">
        <f t="array" ref="L8931">INDEX(L$7930:L$8796,MATCH($B8931&amp;$C8931,$B$7930:$B$8796&amp;$C$7930:$C$8796,0))</f>
        <v>0</v>
      </c>
      <c r="M8931" s="508">
        <f t="array" ref="M8931">INDEX(M$7930:M$8796,MATCH($B8931&amp;$C8931,$B$7930:$B$8796&amp;$C$7930:$C$8796,0))</f>
        <v>0</v>
      </c>
      <c r="N8931" s="508">
        <f t="array" ref="N8931">INDEX(N$7930:N$8796,MATCH($B8931&amp;$C8931,$B$7930:$B$8796&amp;$C$7930:$C$8796,0))</f>
        <v>0</v>
      </c>
      <c r="O8931" s="508">
        <f t="array" ref="O8931">INDEX(O$7930:O$8796,MATCH($B8931&amp;$C8931,$B$7930:$B$8796&amp;$C$7930:$C$8796,0))</f>
        <v>0</v>
      </c>
      <c r="P8931" s="508">
        <f t="array" ref="P8931">INDEX(P$7930:P$8796,MATCH($B8931&amp;$C8931,$B$7930:$B$8796&amp;$C$7930:$C$8796,0))</f>
        <v>0</v>
      </c>
      <c r="Q8931" s="508">
        <f t="array" ref="Q8931">INDEX(Q$7930:Q$8796,MATCH($B8931&amp;$C8931,$B$7930:$B$8796&amp;$C$7930:$C$8796,0))</f>
        <v>0</v>
      </c>
      <c r="R8931" s="508">
        <f t="array" ref="R8931">INDEX(R$7930:R$8796,MATCH($B8931&amp;$C8931,$B$7930:$B$8796&amp;$C$7930:$C$8796,0))</f>
        <v>0</v>
      </c>
      <c r="S8931" s="508">
        <f t="array" ref="S8931">INDEX(S$7930:S$8796,MATCH($B8931&amp;$C8931,$B$7930:$B$8796&amp;$C$7930:$C$8796,0))</f>
        <v>0</v>
      </c>
      <c r="T8931" s="508">
        <f t="array" ref="T8931">INDEX(T$7930:T$8796,MATCH($B8931&amp;$C8931,$B$7930:$B$8796&amp;$C$7930:$C$8796,0))</f>
        <v>0</v>
      </c>
      <c r="U8931" s="508">
        <f t="array" ref="U8931">INDEX(U$7930:U$8796,MATCH($B8931&amp;$C8931,$B$7930:$B$8796&amp;$C$7930:$C$8796,0))</f>
        <v>0</v>
      </c>
      <c r="V8931" s="508">
        <f t="array" ref="V8931">INDEX(V$7930:V$8796,MATCH($B8931&amp;$C8931,$B$7930:$B$8796&amp;$C$7930:$C$8796,0))</f>
        <v>0</v>
      </c>
      <c r="W8931" s="508">
        <f t="array" ref="W8931">INDEX(W$7930:W$8796,MATCH($B8931&amp;$C8931,$B$7930:$B$8796&amp;$C$7930:$C$8796,0))</f>
        <v>0</v>
      </c>
      <c r="X8931" s="508">
        <f t="array" ref="X8931">INDEX(X$7930:X$8796,MATCH($B8931&amp;$C8931,$B$7930:$B$8796&amp;$C$7930:$C$8796,0))</f>
        <v>0</v>
      </c>
      <c r="Y8931" s="508">
        <f t="array" ref="Y8931">INDEX(Y$7930:Y$8796,MATCH($B8931&amp;$C8931,$B$7930:$B$8796&amp;$C$7930:$C$8796,0))</f>
        <v>0</v>
      </c>
      <c r="Z8931" s="508">
        <f t="array" ref="Z8931">INDEX(Z$7930:Z$8796,MATCH($B8931&amp;$C8931,$B$7930:$B$8796&amp;$C$7930:$C$8796,0))</f>
        <v>0</v>
      </c>
      <c r="AA8931" s="508">
        <f t="array" ref="AA8931">INDEX(AA$7930:AA$8796,MATCH($B8931&amp;$C8931,$B$7930:$B$8796&amp;$C$7930:$C$8796,0))</f>
        <v>0</v>
      </c>
      <c r="AB8931" s="508">
        <f t="array" ref="AB8931">INDEX(AB$7930:AB$8796,MATCH($B8931&amp;$C8931,$B$7930:$B$8796&amp;$C$7930:$C$8796,0))</f>
        <v>0</v>
      </c>
      <c r="AC8931" s="508">
        <f t="array" ref="AC8931">INDEX(AC$7930:AC$8796,MATCH($B8931&amp;$C8931,$B$7930:$B$8796&amp;$C$7930:$C$8796,0))</f>
        <v>0</v>
      </c>
      <c r="AD8931" s="508">
        <f t="array" ref="AD8931">INDEX(AD$7930:AD$8796,MATCH($B8931&amp;$C8931,$B$7930:$B$8796&amp;$C$7930:$C$8796,0))</f>
        <v>0</v>
      </c>
      <c r="AE8931" s="508">
        <f t="array" ref="AE8931">INDEX(AE$7930:AE$8796,MATCH($B8931&amp;$C8931,$B$7930:$B$8796&amp;$C$7930:$C$8796,0))</f>
        <v>0</v>
      </c>
      <c r="AF8931" s="508">
        <f t="array" ref="AF8931">INDEX(AF$7930:AF$8796,MATCH($B8931&amp;$C8931,$B$7930:$B$8796&amp;$C$7930:$C$8796,0))</f>
        <v>0</v>
      </c>
      <c r="AG8931" s="508">
        <f t="array" ref="AG8931">INDEX(AG$7930:AG$8796,MATCH($B8931&amp;$C8931,$B$7930:$B$8796&amp;$C$7930:$C$8796,0))</f>
        <v>0</v>
      </c>
      <c r="AH8931" s="508">
        <f t="array" ref="AH8931">INDEX(AH$7930:AH$8796,MATCH($B8931&amp;$C8931,$B$7930:$B$8796&amp;$C$7930:$C$8796,0))</f>
        <v>0</v>
      </c>
      <c r="AI8931" s="508">
        <f t="array" ref="AI8931">INDEX(AI$7930:AI$8796,MATCH($B8931&amp;$C8931,$B$7930:$B$8796&amp;$C$7930:$C$8796,0))</f>
        <v>0</v>
      </c>
      <c r="AJ8931" s="508"/>
      <c r="AK8931" s="508">
        <f t="shared" si="186"/>
        <v>0</v>
      </c>
      <c r="AL8931" s="508">
        <f t="shared" si="190"/>
        <v>0</v>
      </c>
      <c r="AM8931" s="508">
        <f t="shared" si="190"/>
        <v>0</v>
      </c>
      <c r="AN8931" s="508">
        <f t="shared" si="190"/>
        <v>0</v>
      </c>
      <c r="AO8931" s="508">
        <f t="array" ref="AO8931">INDEX('GREET Fuel Attributes'!$E$8948:$E$9083,MATCH($C8931&amp;$D8931,'GREET Fuel Attributes'!$B$8948:$B$9083&amp;'GREET Fuel Attributes'!$C$8948:$C$9083,0))/INDEX('GREET Fuel Attributes'!$D$8948:$D$9083,MATCH($C8931&amp;$D8931,'GREET Fuel Attributes'!$B$8948:$B$9083&amp;'GREET Fuel Attributes'!$C$8948:$C$9083,0))*AI8931</f>
        <v>0</v>
      </c>
      <c r="AP8931" s="132" t="s">
        <v>366</v>
      </c>
      <c r="AQ8931" s="142" t="s">
        <v>307</v>
      </c>
    </row>
    <row r="8932" spans="1:113">
      <c r="B8932" s="136" t="str">
        <f t="shared" ref="B8932:B8939" si="191">state_name</f>
        <v>ILLINOIS</v>
      </c>
      <c r="C8932" s="132" t="s">
        <v>1378</v>
      </c>
      <c r="D8932" s="132" t="s">
        <v>282</v>
      </c>
      <c r="E8932" s="508">
        <f t="array" ref="E8932">INDEX(E$1861:E$2727,MATCH($B8932&amp;$C8932,$B$1861:$B$2727&amp;$C$1861:$C$2727,0))</f>
        <v>8.6389999999999993</v>
      </c>
      <c r="F8932" s="508">
        <f t="array" ref="F8932">INDEX(F$1861:F$2727,MATCH($B8932&amp;$C8932,$B$1861:$B$2727&amp;$C$1861:$C$2727,0))</f>
        <v>8.6240000000000006</v>
      </c>
      <c r="G8932" s="508">
        <f t="array" ref="G8932">INDEX(G$1861:G$2727,MATCH($B8932&amp;$C8932,$B$1861:$B$2727&amp;$C$1861:$C$2727,0))</f>
        <v>8.6080000000000005</v>
      </c>
      <c r="H8932" s="508">
        <f t="array" ref="H8932">INDEX(H$1861:H$2727,MATCH($B8932&amp;$C8932,$B$1861:$B$2727&amp;$C$1861:$C$2727,0))</f>
        <v>8.593</v>
      </c>
      <c r="I8932" s="508">
        <f t="array" ref="I8932">INDEX(I$1861:I$2727,MATCH($B8932&amp;$C8932,$B$1861:$B$2727&amp;$C$1861:$C$2727,0))</f>
        <v>8.5790000000000006</v>
      </c>
      <c r="J8932" s="508">
        <f t="array" ref="J8932">INDEX(J$1861:J$2727,MATCH($B8932&amp;$C8932,$B$1861:$B$2727&amp;$C$1861:$C$2727,0))</f>
        <v>8.5649999999999995</v>
      </c>
      <c r="K8932" s="508">
        <f t="array" ref="K8932">INDEX(K$1861:K$2727,MATCH($B8932&amp;$C8932,$B$1861:$B$2727&amp;$C$1861:$C$2727,0))</f>
        <v>8.5519999999999996</v>
      </c>
      <c r="L8932" s="508">
        <f t="array" ref="L8932">INDEX(L$1861:L$2727,MATCH($B8932&amp;$C8932,$B$1861:$B$2727&amp;$C$1861:$C$2727,0))</f>
        <v>8.5399999999999991</v>
      </c>
      <c r="M8932" s="508">
        <f t="array" ref="M8932">INDEX(M$1861:M$2727,MATCH($B8932&amp;$C8932,$B$1861:$B$2727&amp;$C$1861:$C$2727,0))</f>
        <v>8.5269999999999992</v>
      </c>
      <c r="N8932" s="508">
        <f t="array" ref="N8932">INDEX(N$1861:N$2727,MATCH($B8932&amp;$C8932,$B$1861:$B$2727&amp;$C$1861:$C$2727,0))</f>
        <v>8.5150000000000006</v>
      </c>
      <c r="O8932" s="508">
        <f t="array" ref="O8932">INDEX(O$1861:O$2727,MATCH($B8932&amp;$C8932,$B$1861:$B$2727&amp;$C$1861:$C$2727,0))</f>
        <v>8.5030000000000001</v>
      </c>
      <c r="P8932" s="508">
        <f t="array" ref="P8932">INDEX(P$1861:P$2727,MATCH($B8932&amp;$C8932,$B$1861:$B$2727&amp;$C$1861:$C$2727,0))</f>
        <v>8.4909999999999997</v>
      </c>
      <c r="Q8932" s="508">
        <f t="array" ref="Q8932">INDEX(Q$1861:Q$2727,MATCH($B8932&amp;$C8932,$B$1861:$B$2727&amp;$C$1861:$C$2727,0))</f>
        <v>8.4809999999999999</v>
      </c>
      <c r="R8932" s="508">
        <f t="array" ref="R8932">INDEX(R$1861:R$2727,MATCH($B8932&amp;$C8932,$B$1861:$B$2727&amp;$C$1861:$C$2727,0))</f>
        <v>8.4700000000000006</v>
      </c>
      <c r="S8932" s="508">
        <f t="array" ref="S8932">INDEX(S$1861:S$2727,MATCH($B8932&amp;$C8932,$B$1861:$B$2727&amp;$C$1861:$C$2727,0))</f>
        <v>8.4600000000000009</v>
      </c>
      <c r="T8932" s="508">
        <f t="array" ref="T8932">INDEX(T$1861:T$2727,MATCH($B8932&amp;$C8932,$B$1861:$B$2727&amp;$C$1861:$C$2727,0))</f>
        <v>8.4499999999999993</v>
      </c>
      <c r="U8932" s="508">
        <f t="array" ref="U8932">INDEX(U$1861:U$2727,MATCH($B8932&amp;$C8932,$B$1861:$B$2727&amp;$C$1861:$C$2727,0))</f>
        <v>8.44</v>
      </c>
      <c r="V8932" s="508">
        <f t="array" ref="V8932">INDEX(V$1861:V$2727,MATCH($B8932&amp;$C8932,$B$1861:$B$2727&amp;$C$1861:$C$2727,0))</f>
        <v>8.4309999999999992</v>
      </c>
      <c r="W8932" s="508">
        <f t="array" ref="W8932">INDEX(W$1861:W$2727,MATCH($B8932&amp;$C8932,$B$1861:$B$2727&amp;$C$1861:$C$2727,0))</f>
        <v>3.456</v>
      </c>
      <c r="X8932" s="508">
        <f t="array" ref="X8932">INDEX(X$1861:X$2727,MATCH($B8932&amp;$C8932,$B$1861:$B$2727&amp;$C$1861:$C$2727,0))</f>
        <v>3.4470000000000001</v>
      </c>
      <c r="Y8932" s="508">
        <f t="array" ref="Y8932">INDEX(Y$1861:Y$2727,MATCH($B8932&amp;$C8932,$B$1861:$B$2727&amp;$C$1861:$C$2727,0))</f>
        <v>3.4380000000000002</v>
      </c>
      <c r="Z8932" s="508">
        <f t="array" ref="Z8932">INDEX(Z$1861:Z$2727,MATCH($B8932&amp;$C8932,$B$1861:$B$2727&amp;$C$1861:$C$2727,0))</f>
        <v>3.073</v>
      </c>
      <c r="AA8932" s="508">
        <f t="array" ref="AA8932">INDEX(AA$1861:AA$2727,MATCH($B8932&amp;$C8932,$B$1861:$B$2727&amp;$C$1861:$C$2727,0))</f>
        <v>0.82399999999999995</v>
      </c>
      <c r="AB8932" s="508">
        <f t="array" ref="AB8932">INDEX(AB$1861:AB$2727,MATCH($B8932&amp;$C8932,$B$1861:$B$2727&amp;$C$1861:$C$2727,0))</f>
        <v>0.71799999999999997</v>
      </c>
      <c r="AC8932" s="508">
        <f t="array" ref="AC8932">INDEX(AC$1861:AC$2727,MATCH($B8932&amp;$C8932,$B$1861:$B$2727&amp;$C$1861:$C$2727,0))</f>
        <v>0.71099999999999997</v>
      </c>
      <c r="AD8932" s="508">
        <f t="array" ref="AD8932">INDEX(AD$1861:AD$2727,MATCH($B8932&amp;$C8932,$B$1861:$B$2727&amp;$C$1861:$C$2727,0))</f>
        <v>0.51800000000000002</v>
      </c>
      <c r="AE8932" s="508">
        <f t="array" ref="AE8932">INDEX(AE$1861:AE$2727,MATCH($B8932&amp;$C8932,$B$1861:$B$2727&amp;$C$1861:$C$2727,0))</f>
        <v>0.51100000000000001</v>
      </c>
      <c r="AF8932" s="508">
        <f t="array" ref="AF8932">INDEX(AF$1861:AF$2727,MATCH($B8932&amp;$C8932,$B$1861:$B$2727&amp;$C$1861:$C$2727,0))</f>
        <v>0.48199999999999998</v>
      </c>
      <c r="AG8932" s="508">
        <f t="array" ref="AG8932">INDEX(AG$1861:AG$2727,MATCH($B8932&amp;$C8932,$B$1861:$B$2727&amp;$C$1861:$C$2727,0))</f>
        <v>0.47399999999999998</v>
      </c>
      <c r="AH8932" s="508">
        <f t="array" ref="AH8932">INDEX(AH$1861:AH$2727,MATCH($B8932&amp;$C8932,$B$1861:$B$2727&amp;$C$1861:$C$2727,0))</f>
        <v>0.46800000000000003</v>
      </c>
      <c r="AI8932" s="508">
        <f t="array" ref="AI8932">INDEX(AI$1861:AI$2727,MATCH($B8932&amp;$C8932,$B$1861:$B$2727&amp;$C$1861:$C$2727,0))</f>
        <v>0.46200000000000002</v>
      </c>
      <c r="AJ8932" s="508"/>
      <c r="AK8932" s="508">
        <f t="shared" ref="AK8932:AK8939" si="192">($AO8932-$AI8932)/5+AI8932</f>
        <v>0.46146589595375725</v>
      </c>
      <c r="AL8932" s="508">
        <f t="shared" si="190"/>
        <v>0.46093179190751449</v>
      </c>
      <c r="AM8932" s="508">
        <f t="shared" si="190"/>
        <v>0.46039768786127172</v>
      </c>
      <c r="AN8932" s="508">
        <f t="shared" si="190"/>
        <v>0.45986358381502895</v>
      </c>
      <c r="AO8932" s="508">
        <f t="array" ref="AO8932">INDEX('GREET Fuel Attributes'!$E$8948:$E$9083,MATCH($C8932&amp;$D8932,'GREET Fuel Attributes'!$B$8948:$B$9083&amp;'GREET Fuel Attributes'!$C$8948:$C$9083,0))/INDEX('GREET Fuel Attributes'!$D$8948:$D$9083,MATCH($C8932&amp;$D8932,'GREET Fuel Attributes'!$B$8948:$B$9083&amp;'GREET Fuel Attributes'!$C$8948:$C$9083,0))*AI8932</f>
        <v>0.45932947976878613</v>
      </c>
      <c r="AP8932" s="132" t="s">
        <v>1387</v>
      </c>
      <c r="AQ8932" s="142" t="s">
        <v>307</v>
      </c>
    </row>
    <row r="8933" spans="1:113">
      <c r="B8933" s="136" t="str">
        <f t="shared" si="191"/>
        <v>ILLINOIS</v>
      </c>
      <c r="C8933" s="132" t="s">
        <v>1378</v>
      </c>
      <c r="D8933" s="132" t="s">
        <v>283</v>
      </c>
      <c r="E8933" s="508">
        <f t="array" ref="E8933">INDEX(E$2728:E$3594,MATCH($B8933&amp;$C8933,$B$2728:$B$3594&amp;$C$2728:$C$3594,0))</f>
        <v>35.042000000000002</v>
      </c>
      <c r="F8933" s="508">
        <f t="array" ref="F8933">INDEX(F$2728:F$3594,MATCH($B8933&amp;$C8933,$B$2728:$B$3594&amp;$C$2728:$C$3594,0))</f>
        <v>35.042000000000002</v>
      </c>
      <c r="G8933" s="508">
        <f t="array" ref="G8933">INDEX(G$2728:G$3594,MATCH($B8933&amp;$C8933,$B$2728:$B$3594&amp;$C$2728:$C$3594,0))</f>
        <v>35.042000000000002</v>
      </c>
      <c r="H8933" s="508">
        <f t="array" ref="H8933">INDEX(H$2728:H$3594,MATCH($B8933&amp;$C8933,$B$2728:$B$3594&amp;$C$2728:$C$3594,0))</f>
        <v>35.042000000000002</v>
      </c>
      <c r="I8933" s="508">
        <f t="array" ref="I8933">INDEX(I$2728:I$3594,MATCH($B8933&amp;$C8933,$B$2728:$B$3594&amp;$C$2728:$C$3594,0))</f>
        <v>35.042000000000002</v>
      </c>
      <c r="J8933" s="508">
        <f t="array" ref="J8933">INDEX(J$2728:J$3594,MATCH($B8933&amp;$C8933,$B$2728:$B$3594&amp;$C$2728:$C$3594,0))</f>
        <v>27.062999999999999</v>
      </c>
      <c r="K8933" s="508">
        <f t="array" ref="K8933">INDEX(K$2728:K$3594,MATCH($B8933&amp;$C8933,$B$2728:$B$3594&amp;$C$2728:$C$3594,0))</f>
        <v>25.445</v>
      </c>
      <c r="L8933" s="508">
        <f t="array" ref="L8933">INDEX(L$2728:L$3594,MATCH($B8933&amp;$C8933,$B$2728:$B$3594&amp;$C$2728:$C$3594,0))</f>
        <v>25.445</v>
      </c>
      <c r="M8933" s="508">
        <f t="array" ref="M8933">INDEX(M$2728:M$3594,MATCH($B8933&amp;$C8933,$B$2728:$B$3594&amp;$C$2728:$C$3594,0))</f>
        <v>25.445</v>
      </c>
      <c r="N8933" s="508">
        <f t="array" ref="N8933">INDEX(N$2728:N$3594,MATCH($B8933&amp;$C8933,$B$2728:$B$3594&amp;$C$2728:$C$3594,0))</f>
        <v>25.445</v>
      </c>
      <c r="O8933" s="508">
        <f t="array" ref="O8933">INDEX(O$2728:O$3594,MATCH($B8933&amp;$C8933,$B$2728:$B$3594&amp;$C$2728:$C$3594,0))</f>
        <v>25.445</v>
      </c>
      <c r="P8933" s="508">
        <f t="array" ref="P8933">INDEX(P$2728:P$3594,MATCH($B8933&amp;$C8933,$B$2728:$B$3594&amp;$C$2728:$C$3594,0))</f>
        <v>25.445</v>
      </c>
      <c r="Q8933" s="508">
        <f t="array" ref="Q8933">INDEX(Q$2728:Q$3594,MATCH($B8933&amp;$C8933,$B$2728:$B$3594&amp;$C$2728:$C$3594,0))</f>
        <v>25.445</v>
      </c>
      <c r="R8933" s="508">
        <f t="array" ref="R8933">INDEX(R$2728:R$3594,MATCH($B8933&amp;$C8933,$B$2728:$B$3594&amp;$C$2728:$C$3594,0))</f>
        <v>21.306999999999999</v>
      </c>
      <c r="S8933" s="508">
        <f t="array" ref="S8933">INDEX(S$2728:S$3594,MATCH($B8933&amp;$C8933,$B$2728:$B$3594&amp;$C$2728:$C$3594,0))</f>
        <v>16.768000000000001</v>
      </c>
      <c r="T8933" s="508">
        <f t="array" ref="T8933">INDEX(T$2728:T$3594,MATCH($B8933&amp;$C8933,$B$2728:$B$3594&amp;$C$2728:$C$3594,0))</f>
        <v>16.768000000000001</v>
      </c>
      <c r="U8933" s="508">
        <f t="array" ref="U8933">INDEX(U$2728:U$3594,MATCH($B8933&amp;$C8933,$B$2728:$B$3594&amp;$C$2728:$C$3594,0))</f>
        <v>16.768000000000001</v>
      </c>
      <c r="V8933" s="508">
        <f t="array" ref="V8933">INDEX(V$2728:V$3594,MATCH($B8933&amp;$C8933,$B$2728:$B$3594&amp;$C$2728:$C$3594,0))</f>
        <v>16.768000000000001</v>
      </c>
      <c r="W8933" s="508">
        <f t="array" ref="W8933">INDEX(W$2728:W$3594,MATCH($B8933&amp;$C8933,$B$2728:$B$3594&amp;$C$2728:$C$3594,0))</f>
        <v>9.4079999999999995</v>
      </c>
      <c r="X8933" s="508">
        <f t="array" ref="X8933">INDEX(X$2728:X$3594,MATCH($B8933&amp;$C8933,$B$2728:$B$3594&amp;$C$2728:$C$3594,0))</f>
        <v>9.4079999999999995</v>
      </c>
      <c r="Y8933" s="508">
        <f t="array" ref="Y8933">INDEX(Y$2728:Y$3594,MATCH($B8933&amp;$C8933,$B$2728:$B$3594&amp;$C$2728:$C$3594,0))</f>
        <v>9.4079999999999995</v>
      </c>
      <c r="Z8933" s="508">
        <f t="array" ref="Z8933">INDEX(Z$2728:Z$3594,MATCH($B8933&amp;$C8933,$B$2728:$B$3594&amp;$C$2728:$C$3594,0))</f>
        <v>9.4079999999999995</v>
      </c>
      <c r="AA8933" s="508">
        <f t="array" ref="AA8933">INDEX(AA$2728:AA$3594,MATCH($B8933&amp;$C8933,$B$2728:$B$3594&amp;$C$2728:$C$3594,0))</f>
        <v>4.6740000000000004</v>
      </c>
      <c r="AB8933" s="508">
        <f t="array" ref="AB8933">INDEX(AB$2728:AB$3594,MATCH($B8933&amp;$C8933,$B$2728:$B$3594&amp;$C$2728:$C$3594,0))</f>
        <v>4.673</v>
      </c>
      <c r="AC8933" s="508">
        <f t="array" ref="AC8933">INDEX(AC$2728:AC$3594,MATCH($B8933&amp;$C8933,$B$2728:$B$3594&amp;$C$2728:$C$3594,0))</f>
        <v>4.6740000000000004</v>
      </c>
      <c r="AD8933" s="508">
        <f t="array" ref="AD8933">INDEX(AD$2728:AD$3594,MATCH($B8933&amp;$C8933,$B$2728:$B$3594&amp;$C$2728:$C$3594,0))</f>
        <v>1.161</v>
      </c>
      <c r="AE8933" s="508">
        <f t="array" ref="AE8933">INDEX(AE$2728:AE$3594,MATCH($B8933&amp;$C8933,$B$2728:$B$3594&amp;$C$2728:$C$3594,0))</f>
        <v>1.161</v>
      </c>
      <c r="AF8933" s="508">
        <f t="array" ref="AF8933">INDEX(AF$2728:AF$3594,MATCH($B8933&amp;$C8933,$B$2728:$B$3594&amp;$C$2728:$C$3594,0))</f>
        <v>0.95699999999999996</v>
      </c>
      <c r="AG8933" s="508">
        <f t="array" ref="AG8933">INDEX(AG$2728:AG$3594,MATCH($B8933&amp;$C8933,$B$2728:$B$3594&amp;$C$2728:$C$3594,0))</f>
        <v>0.95199999999999996</v>
      </c>
      <c r="AH8933" s="508">
        <f t="array" ref="AH8933">INDEX(AH$2728:AH$3594,MATCH($B8933&amp;$C8933,$B$2728:$B$3594&amp;$C$2728:$C$3594,0))</f>
        <v>0.94799999999999995</v>
      </c>
      <c r="AI8933" s="508">
        <f t="array" ref="AI8933">INDEX(AI$2728:AI$3594,MATCH($B8933&amp;$C8933,$B$2728:$B$3594&amp;$C$2728:$C$3594,0))</f>
        <v>0.94799999999999995</v>
      </c>
      <c r="AJ8933" s="508"/>
      <c r="AK8933" s="508">
        <f t="shared" si="192"/>
        <v>0.94670910638297867</v>
      </c>
      <c r="AL8933" s="508">
        <f t="shared" si="190"/>
        <v>0.94541821276595739</v>
      </c>
      <c r="AM8933" s="508">
        <f t="shared" si="190"/>
        <v>0.94412731914893611</v>
      </c>
      <c r="AN8933" s="508">
        <f t="shared" si="190"/>
        <v>0.94283642553191482</v>
      </c>
      <c r="AO8933" s="508">
        <f t="array" ref="AO8933">INDEX('GREET Fuel Attributes'!$E$8948:$E$9083,MATCH($C8933&amp;$D8933,'GREET Fuel Attributes'!$B$8948:$B$9083&amp;'GREET Fuel Attributes'!$C$8948:$C$9083,0))/INDEX('GREET Fuel Attributes'!$D$8948:$D$9083,MATCH($C8933&amp;$D8933,'GREET Fuel Attributes'!$B$8948:$B$9083&amp;'GREET Fuel Attributes'!$C$8948:$C$9083,0))*AI8933</f>
        <v>0.94154553191489354</v>
      </c>
      <c r="AP8933" s="132" t="s">
        <v>1387</v>
      </c>
      <c r="AQ8933" s="142" t="s">
        <v>307</v>
      </c>
    </row>
    <row r="8934" spans="1:113">
      <c r="B8934" s="136" t="str">
        <f t="shared" si="191"/>
        <v>ILLINOIS</v>
      </c>
      <c r="C8934" s="132" t="s">
        <v>1378</v>
      </c>
      <c r="D8934" s="132" t="s">
        <v>284</v>
      </c>
      <c r="E8934" s="508">
        <f t="array" ref="E8934">INDEX(E$3595:E$4461,MATCH($B8934&amp;$C8934,$B$3595:$B$4461&amp;$C$3595:$C$4461,0))</f>
        <v>2.4900000000000002</v>
      </c>
      <c r="F8934" s="508">
        <f t="array" ref="F8934">INDEX(F$3595:F$4461,MATCH($B8934&amp;$C8934,$B$3595:$B$4461&amp;$C$3595:$C$4461,0))</f>
        <v>2.4900000000000002</v>
      </c>
      <c r="G8934" s="508">
        <f t="array" ref="G8934">INDEX(G$3595:G$4461,MATCH($B8934&amp;$C8934,$B$3595:$B$4461&amp;$C$3595:$C$4461,0))</f>
        <v>2.4900000000000002</v>
      </c>
      <c r="H8934" s="508">
        <f t="array" ref="H8934">INDEX(H$3595:H$4461,MATCH($B8934&amp;$C8934,$B$3595:$B$4461&amp;$C$3595:$C$4461,0))</f>
        <v>0.98099999999999998</v>
      </c>
      <c r="I8934" s="508">
        <f t="array" ref="I8934">INDEX(I$3595:I$4461,MATCH($B8934&amp;$C8934,$B$3595:$B$4461&amp;$C$3595:$C$4461,0))</f>
        <v>0.98099999999999998</v>
      </c>
      <c r="J8934" s="508">
        <f t="array" ref="J8934">INDEX(J$3595:J$4461,MATCH($B8934&amp;$C8934,$B$3595:$B$4461&amp;$C$3595:$C$4461,0))</f>
        <v>0.98099999999999998</v>
      </c>
      <c r="K8934" s="508">
        <f t="array" ref="K8934">INDEX(K$3595:K$4461,MATCH($B8934&amp;$C8934,$B$3595:$B$4461&amp;$C$3595:$C$4461,0))</f>
        <v>1.1180000000000001</v>
      </c>
      <c r="L8934" s="508">
        <f t="array" ref="L8934">INDEX(L$3595:L$4461,MATCH($B8934&amp;$C8934,$B$3595:$B$4461&amp;$C$3595:$C$4461,0))</f>
        <v>1.1180000000000001</v>
      </c>
      <c r="M8934" s="508">
        <f t="array" ref="M8934">INDEX(M$3595:M$4461,MATCH($B8934&amp;$C8934,$B$3595:$B$4461&amp;$C$3595:$C$4461,0))</f>
        <v>1.1180000000000001</v>
      </c>
      <c r="N8934" s="508">
        <f t="array" ref="N8934">INDEX(N$3595:N$4461,MATCH($B8934&amp;$C8934,$B$3595:$B$4461&amp;$C$3595:$C$4461,0))</f>
        <v>1.2430000000000001</v>
      </c>
      <c r="O8934" s="508">
        <f t="array" ref="O8934">INDEX(O$3595:O$4461,MATCH($B8934&amp;$C8934,$B$3595:$B$4461&amp;$C$3595:$C$4461,0))</f>
        <v>1.2430000000000001</v>
      </c>
      <c r="P8934" s="508">
        <f t="array" ref="P8934">INDEX(P$3595:P$4461,MATCH($B8934&amp;$C8934,$B$3595:$B$4461&amp;$C$3595:$C$4461,0))</f>
        <v>1.2430000000000001</v>
      </c>
      <c r="Q8934" s="508">
        <f t="array" ref="Q8934">INDEX(Q$3595:Q$4461,MATCH($B8934&amp;$C8934,$B$3595:$B$4461&amp;$C$3595:$C$4461,0))</f>
        <v>1.2430000000000001</v>
      </c>
      <c r="R8934" s="508">
        <f t="array" ref="R8934">INDEX(R$3595:R$4461,MATCH($B8934&amp;$C8934,$B$3595:$B$4461&amp;$C$3595:$C$4461,0))</f>
        <v>0.91200000000000003</v>
      </c>
      <c r="S8934" s="508">
        <f t="array" ref="S8934">INDEX(S$3595:S$4461,MATCH($B8934&amp;$C8934,$B$3595:$B$4461&amp;$C$3595:$C$4461,0))</f>
        <v>0.91200000000000003</v>
      </c>
      <c r="T8934" s="508">
        <f t="array" ref="T8934">INDEX(T$3595:T$4461,MATCH($B8934&amp;$C8934,$B$3595:$B$4461&amp;$C$3595:$C$4461,0))</f>
        <v>0.91200000000000003</v>
      </c>
      <c r="U8934" s="508">
        <f t="array" ref="U8934">INDEX(U$3595:U$4461,MATCH($B8934&amp;$C8934,$B$3595:$B$4461&amp;$C$3595:$C$4461,0))</f>
        <v>0.91200000000000003</v>
      </c>
      <c r="V8934" s="508">
        <f t="array" ref="V8934">INDEX(V$3595:V$4461,MATCH($B8934&amp;$C8934,$B$3595:$B$4461&amp;$C$3595:$C$4461,0))</f>
        <v>0.91200000000000003</v>
      </c>
      <c r="W8934" s="508">
        <f t="array" ref="W8934">INDEX(W$3595:W$4461,MATCH($B8934&amp;$C8934,$B$3595:$B$4461&amp;$C$3595:$C$4461,0))</f>
        <v>0.79100000000000004</v>
      </c>
      <c r="X8934" s="508">
        <f t="array" ref="X8934">INDEX(X$3595:X$4461,MATCH($B8934&amp;$C8934,$B$3595:$B$4461&amp;$C$3595:$C$4461,0))</f>
        <v>0.79100000000000004</v>
      </c>
      <c r="Y8934" s="508">
        <f t="array" ref="Y8934">INDEX(Y$3595:Y$4461,MATCH($B8934&amp;$C8934,$B$3595:$B$4461&amp;$C$3595:$C$4461,0))</f>
        <v>0.79100000000000004</v>
      </c>
      <c r="Z8934" s="508">
        <f t="array" ref="Z8934">INDEX(Z$3595:Z$4461,MATCH($B8934&amp;$C8934,$B$3595:$B$4461&amp;$C$3595:$C$4461,0))</f>
        <v>0.74299999999999999</v>
      </c>
      <c r="AA8934" s="508">
        <f t="array" ref="AA8934">INDEX(AA$3595:AA$4461,MATCH($B8934&amp;$C8934,$B$3595:$B$4461&amp;$C$3595:$C$4461,0))</f>
        <v>3.3000000000000002E-2</v>
      </c>
      <c r="AB8934" s="508">
        <f t="array" ref="AB8934">INDEX(AB$3595:AB$4461,MATCH($B8934&amp;$C8934,$B$3595:$B$4461&amp;$C$3595:$C$4461,0))</f>
        <v>2.8000000000000001E-2</v>
      </c>
      <c r="AC8934" s="508">
        <f t="array" ref="AC8934">INDEX(AC$3595:AC$4461,MATCH($B8934&amp;$C8934,$B$3595:$B$4461&amp;$C$3595:$C$4461,0))</f>
        <v>2.8000000000000001E-2</v>
      </c>
      <c r="AD8934" s="508">
        <f t="array" ref="AD8934">INDEX(AD$3595:AD$4461,MATCH($B8934&amp;$C8934,$B$3595:$B$4461&amp;$C$3595:$C$4461,0))</f>
        <v>2.3E-2</v>
      </c>
      <c r="AE8934" s="508">
        <f t="array" ref="AE8934">INDEX(AE$3595:AE$4461,MATCH($B8934&amp;$C8934,$B$3595:$B$4461&amp;$C$3595:$C$4461,0))</f>
        <v>2.3E-2</v>
      </c>
      <c r="AF8934" s="508">
        <f t="array" ref="AF8934">INDEX(AF$3595:AF$4461,MATCH($B8934&amp;$C8934,$B$3595:$B$4461&amp;$C$3595:$C$4461,0))</f>
        <v>1.9E-2</v>
      </c>
      <c r="AG8934" s="508">
        <f t="array" ref="AG8934">INDEX(AG$3595:AG$4461,MATCH($B8934&amp;$C8934,$B$3595:$B$4461&amp;$C$3595:$C$4461,0))</f>
        <v>1.9E-2</v>
      </c>
      <c r="AH8934" s="508">
        <f t="array" ref="AH8934">INDEX(AH$3595:AH$4461,MATCH($B8934&amp;$C8934,$B$3595:$B$4461&amp;$C$3595:$C$4461,0))</f>
        <v>1.9E-2</v>
      </c>
      <c r="AI8934" s="508">
        <f t="array" ref="AI8934">INDEX(AI$3595:AI$4461,MATCH($B8934&amp;$C8934,$B$3595:$B$4461&amp;$C$3595:$C$4461,0))</f>
        <v>1.9E-2</v>
      </c>
      <c r="AJ8934" s="508"/>
      <c r="AK8934" s="508">
        <f t="shared" si="192"/>
        <v>1.9E-2</v>
      </c>
      <c r="AL8934" s="508">
        <f t="shared" si="190"/>
        <v>1.9E-2</v>
      </c>
      <c r="AM8934" s="508">
        <f t="shared" si="190"/>
        <v>1.9E-2</v>
      </c>
      <c r="AN8934" s="508">
        <f t="shared" si="190"/>
        <v>1.9E-2</v>
      </c>
      <c r="AO8934" s="508">
        <f t="array" ref="AO8934">INDEX('GREET Fuel Attributes'!$E$8948:$E$9083,MATCH($C8934&amp;$D8934,'GREET Fuel Attributes'!$B$8948:$B$9083&amp;'GREET Fuel Attributes'!$C$8948:$C$9083,0))/INDEX('GREET Fuel Attributes'!$D$8948:$D$9083,MATCH($C8934&amp;$D8934,'GREET Fuel Attributes'!$B$8948:$B$9083&amp;'GREET Fuel Attributes'!$C$8948:$C$9083,0))*AI8934</f>
        <v>1.9E-2</v>
      </c>
      <c r="AP8934" s="132" t="s">
        <v>1387</v>
      </c>
      <c r="AQ8934" s="142" t="s">
        <v>307</v>
      </c>
    </row>
    <row r="8935" spans="1:113">
      <c r="B8935" s="136" t="str">
        <f t="shared" si="191"/>
        <v>ILLINOIS</v>
      </c>
      <c r="C8935" s="132" t="s">
        <v>1378</v>
      </c>
      <c r="D8935" s="132" t="s">
        <v>1379</v>
      </c>
      <c r="E8935" s="508">
        <f t="array" ref="E8935">INDEX(E$4462:E$5328,MATCH($B8935&amp;$C8935,$B$4462:$B$5328&amp;$C$4462:$C$5328,0))</f>
        <v>0.105</v>
      </c>
      <c r="F8935" s="508">
        <f t="array" ref="F8935">INDEX(F$4462:F$5328,MATCH($B8935&amp;$C8935,$B$4462:$B$5328&amp;$C$4462:$C$5328,0))</f>
        <v>0.105</v>
      </c>
      <c r="G8935" s="508">
        <f t="array" ref="G8935">INDEX(G$4462:G$5328,MATCH($B8935&amp;$C8935,$B$4462:$B$5328&amp;$C$4462:$C$5328,0))</f>
        <v>0.105</v>
      </c>
      <c r="H8935" s="508">
        <f t="array" ref="H8935">INDEX(H$4462:H$5328,MATCH($B8935&amp;$C8935,$B$4462:$B$5328&amp;$C$4462:$C$5328,0))</f>
        <v>0.105</v>
      </c>
      <c r="I8935" s="508">
        <f t="array" ref="I8935">INDEX(I$4462:I$5328,MATCH($B8935&amp;$C8935,$B$4462:$B$5328&amp;$C$4462:$C$5328,0))</f>
        <v>0.105</v>
      </c>
      <c r="J8935" s="508">
        <f t="array" ref="J8935">INDEX(J$4462:J$5328,MATCH($B8935&amp;$C8935,$B$4462:$B$5328&amp;$C$4462:$C$5328,0))</f>
        <v>0.105</v>
      </c>
      <c r="K8935" s="508">
        <f t="array" ref="K8935">INDEX(K$4462:K$5328,MATCH($B8935&amp;$C8935,$B$4462:$B$5328&amp;$C$4462:$C$5328,0))</f>
        <v>0.105</v>
      </c>
      <c r="L8935" s="508">
        <f t="array" ref="L8935">INDEX(L$4462:L$5328,MATCH($B8935&amp;$C8935,$B$4462:$B$5328&amp;$C$4462:$C$5328,0))</f>
        <v>0.105</v>
      </c>
      <c r="M8935" s="508">
        <f t="array" ref="M8935">INDEX(M$4462:M$5328,MATCH($B8935&amp;$C8935,$B$4462:$B$5328&amp;$C$4462:$C$5328,0))</f>
        <v>0.105</v>
      </c>
      <c r="N8935" s="508">
        <f t="array" ref="N8935">INDEX(N$4462:N$5328,MATCH($B8935&amp;$C8935,$B$4462:$B$5328&amp;$C$4462:$C$5328,0))</f>
        <v>0.105</v>
      </c>
      <c r="O8935" s="508">
        <f t="array" ref="O8935">INDEX(O$4462:O$5328,MATCH($B8935&amp;$C8935,$B$4462:$B$5328&amp;$C$4462:$C$5328,0))</f>
        <v>0.105</v>
      </c>
      <c r="P8935" s="508">
        <f t="array" ref="P8935">INDEX(P$4462:P$5328,MATCH($B8935&amp;$C8935,$B$4462:$B$5328&amp;$C$4462:$C$5328,0))</f>
        <v>0.105</v>
      </c>
      <c r="Q8935" s="508">
        <f t="array" ref="Q8935">INDEX(Q$4462:Q$5328,MATCH($B8935&amp;$C8935,$B$4462:$B$5328&amp;$C$4462:$C$5328,0))</f>
        <v>0.105</v>
      </c>
      <c r="R8935" s="508">
        <f t="array" ref="R8935">INDEX(R$4462:R$5328,MATCH($B8935&amp;$C8935,$B$4462:$B$5328&amp;$C$4462:$C$5328,0))</f>
        <v>0.105</v>
      </c>
      <c r="S8935" s="508">
        <f t="array" ref="S8935">INDEX(S$4462:S$5328,MATCH($B8935&amp;$C8935,$B$4462:$B$5328&amp;$C$4462:$C$5328,0))</f>
        <v>0.105</v>
      </c>
      <c r="T8935" s="508">
        <f t="array" ref="T8935">INDEX(T$4462:T$5328,MATCH($B8935&amp;$C8935,$B$4462:$B$5328&amp;$C$4462:$C$5328,0))</f>
        <v>0.105</v>
      </c>
      <c r="U8935" s="508">
        <f t="array" ref="U8935">INDEX(U$4462:U$5328,MATCH($B8935&amp;$C8935,$B$4462:$B$5328&amp;$C$4462:$C$5328,0))</f>
        <v>0.105</v>
      </c>
      <c r="V8935" s="508">
        <f t="array" ref="V8935">INDEX(V$4462:V$5328,MATCH($B8935&amp;$C8935,$B$4462:$B$5328&amp;$C$4462:$C$5328,0))</f>
        <v>0.105</v>
      </c>
      <c r="W8935" s="508">
        <f t="array" ref="W8935">INDEX(W$4462:W$5328,MATCH($B8935&amp;$C8935,$B$4462:$B$5328&amp;$C$4462:$C$5328,0))</f>
        <v>0.105</v>
      </c>
      <c r="X8935" s="508">
        <f t="array" ref="X8935">INDEX(X$4462:X$5328,MATCH($B8935&amp;$C8935,$B$4462:$B$5328&amp;$C$4462:$C$5328,0))</f>
        <v>0.105</v>
      </c>
      <c r="Y8935" s="508">
        <f t="array" ref="Y8935">INDEX(Y$4462:Y$5328,MATCH($B8935&amp;$C8935,$B$4462:$B$5328&amp;$C$4462:$C$5328,0))</f>
        <v>0.105</v>
      </c>
      <c r="Z8935" s="508">
        <f t="array" ref="Z8935">INDEX(Z$4462:Z$5328,MATCH($B8935&amp;$C8935,$B$4462:$B$5328&amp;$C$4462:$C$5328,0))</f>
        <v>0.105</v>
      </c>
      <c r="AA8935" s="508">
        <f t="array" ref="AA8935">INDEX(AA$4462:AA$5328,MATCH($B8935&amp;$C8935,$B$4462:$B$5328&amp;$C$4462:$C$5328,0))</f>
        <v>0.105</v>
      </c>
      <c r="AB8935" s="508">
        <f t="array" ref="AB8935">INDEX(AB$4462:AB$5328,MATCH($B8935&amp;$C8935,$B$4462:$B$5328&amp;$C$4462:$C$5328,0))</f>
        <v>0.105</v>
      </c>
      <c r="AC8935" s="508">
        <f t="array" ref="AC8935">INDEX(AC$4462:AC$5328,MATCH($B8935&amp;$C8935,$B$4462:$B$5328&amp;$C$4462:$C$5328,0))</f>
        <v>0.105</v>
      </c>
      <c r="AD8935" s="508">
        <f t="array" ref="AD8935">INDEX(AD$4462:AD$5328,MATCH($B8935&amp;$C8935,$B$4462:$B$5328&amp;$C$4462:$C$5328,0))</f>
        <v>0.105</v>
      </c>
      <c r="AE8935" s="508">
        <f t="array" ref="AE8935">INDEX(AE$4462:AE$5328,MATCH($B8935&amp;$C8935,$B$4462:$B$5328&amp;$C$4462:$C$5328,0))</f>
        <v>0.105</v>
      </c>
      <c r="AF8935" s="508">
        <f t="array" ref="AF8935">INDEX(AF$4462:AF$5328,MATCH($B8935&amp;$C8935,$B$4462:$B$5328&amp;$C$4462:$C$5328,0))</f>
        <v>0.105</v>
      </c>
      <c r="AG8935" s="508">
        <f t="array" ref="AG8935">INDEX(AG$4462:AG$5328,MATCH($B8935&amp;$C8935,$B$4462:$B$5328&amp;$C$4462:$C$5328,0))</f>
        <v>0.105</v>
      </c>
      <c r="AH8935" s="508">
        <f t="array" ref="AH8935">INDEX(AH$4462:AH$5328,MATCH($B8935&amp;$C8935,$B$4462:$B$5328&amp;$C$4462:$C$5328,0))</f>
        <v>0.105</v>
      </c>
      <c r="AI8935" s="508">
        <f t="array" ref="AI8935">INDEX(AI$4462:AI$5328,MATCH($B8935&amp;$C8935,$B$4462:$B$5328&amp;$C$4462:$C$5328,0))</f>
        <v>0.105</v>
      </c>
      <c r="AJ8935" s="508"/>
      <c r="AK8935" s="508">
        <f t="shared" si="192"/>
        <v>0.105</v>
      </c>
      <c r="AL8935" s="508">
        <f t="shared" si="190"/>
        <v>0.105</v>
      </c>
      <c r="AM8935" s="508">
        <f t="shared" si="190"/>
        <v>0.105</v>
      </c>
      <c r="AN8935" s="508">
        <f t="shared" si="190"/>
        <v>0.105</v>
      </c>
      <c r="AO8935" s="508">
        <f t="array" ref="AO8935">INDEX('GREET Fuel Attributes'!$E$8948:$E$9083,MATCH($C8935&amp;$D8935,'GREET Fuel Attributes'!$B$8948:$B$9083&amp;'GREET Fuel Attributes'!$C$8948:$C$9083,0))/INDEX('GREET Fuel Attributes'!$D$8948:$D$9083,MATCH($C8935&amp;$D8935,'GREET Fuel Attributes'!$B$8948:$B$9083&amp;'GREET Fuel Attributes'!$C$8948:$C$9083,0))*AI8935</f>
        <v>0.105</v>
      </c>
      <c r="AP8935" s="132" t="s">
        <v>1387</v>
      </c>
      <c r="AQ8935" s="142" t="s">
        <v>307</v>
      </c>
    </row>
    <row r="8936" spans="1:113">
      <c r="B8936" s="136" t="str">
        <f t="shared" si="191"/>
        <v>ILLINOIS</v>
      </c>
      <c r="C8936" s="132" t="s">
        <v>1378</v>
      </c>
      <c r="D8936" s="132" t="s">
        <v>285</v>
      </c>
      <c r="E8936" s="508">
        <f t="array" ref="E8936">INDEX(E$5329:E$6195,MATCH($B8936&amp;$C8936,$B$5329:$B$6195&amp;$C$5329:$C$6195,0))</f>
        <v>2.2909999999999999</v>
      </c>
      <c r="F8936" s="508">
        <f t="array" ref="F8936">INDEX(F$5329:F$6195,MATCH($B8936&amp;$C8936,$B$5329:$B$6195&amp;$C$5329:$C$6195,0))</f>
        <v>2.2909999999999999</v>
      </c>
      <c r="G8936" s="508">
        <f t="array" ref="G8936">INDEX(G$5329:G$6195,MATCH($B8936&amp;$C8936,$B$5329:$B$6195&amp;$C$5329:$C$6195,0))</f>
        <v>2.2909999999999999</v>
      </c>
      <c r="H8936" s="508">
        <f t="array" ref="H8936">INDEX(H$5329:H$6195,MATCH($B8936&amp;$C8936,$B$5329:$B$6195&amp;$C$5329:$C$6195,0))</f>
        <v>0.90300000000000002</v>
      </c>
      <c r="I8936" s="508">
        <f t="array" ref="I8936">INDEX(I$5329:I$6195,MATCH($B8936&amp;$C8936,$B$5329:$B$6195&amp;$C$5329:$C$6195,0))</f>
        <v>0.90300000000000002</v>
      </c>
      <c r="J8936" s="508">
        <f t="array" ref="J8936">INDEX(J$5329:J$6195,MATCH($B8936&amp;$C8936,$B$5329:$B$6195&amp;$C$5329:$C$6195,0))</f>
        <v>0.90300000000000002</v>
      </c>
      <c r="K8936" s="508">
        <f t="array" ref="K8936">INDEX(K$5329:K$6195,MATCH($B8936&amp;$C8936,$B$5329:$B$6195&amp;$C$5329:$C$6195,0))</f>
        <v>1.0289999999999999</v>
      </c>
      <c r="L8936" s="508">
        <f t="array" ref="L8936">INDEX(L$5329:L$6195,MATCH($B8936&amp;$C8936,$B$5329:$B$6195&amp;$C$5329:$C$6195,0))</f>
        <v>1.0289999999999999</v>
      </c>
      <c r="M8936" s="508">
        <f t="array" ref="M8936">INDEX(M$5329:M$6195,MATCH($B8936&amp;$C8936,$B$5329:$B$6195&amp;$C$5329:$C$6195,0))</f>
        <v>1.0289999999999999</v>
      </c>
      <c r="N8936" s="508">
        <f t="array" ref="N8936">INDEX(N$5329:N$6195,MATCH($B8936&amp;$C8936,$B$5329:$B$6195&amp;$C$5329:$C$6195,0))</f>
        <v>1.1439999999999999</v>
      </c>
      <c r="O8936" s="508">
        <f t="array" ref="O8936">INDEX(O$5329:O$6195,MATCH($B8936&amp;$C8936,$B$5329:$B$6195&amp;$C$5329:$C$6195,0))</f>
        <v>1.143</v>
      </c>
      <c r="P8936" s="508">
        <f t="array" ref="P8936">INDEX(P$5329:P$6195,MATCH($B8936&amp;$C8936,$B$5329:$B$6195&amp;$C$5329:$C$6195,0))</f>
        <v>1.143</v>
      </c>
      <c r="Q8936" s="508">
        <f t="array" ref="Q8936">INDEX(Q$5329:Q$6195,MATCH($B8936&amp;$C8936,$B$5329:$B$6195&amp;$C$5329:$C$6195,0))</f>
        <v>1.143</v>
      </c>
      <c r="R8936" s="508">
        <f t="array" ref="R8936">INDEX(R$5329:R$6195,MATCH($B8936&amp;$C8936,$B$5329:$B$6195&amp;$C$5329:$C$6195,0))</f>
        <v>0.83899999999999997</v>
      </c>
      <c r="S8936" s="508">
        <f t="array" ref="S8936">INDEX(S$5329:S$6195,MATCH($B8936&amp;$C8936,$B$5329:$B$6195&amp;$C$5329:$C$6195,0))</f>
        <v>0.83899999999999997</v>
      </c>
      <c r="T8936" s="508">
        <f t="array" ref="T8936">INDEX(T$5329:T$6195,MATCH($B8936&amp;$C8936,$B$5329:$B$6195&amp;$C$5329:$C$6195,0))</f>
        <v>0.83899999999999997</v>
      </c>
      <c r="U8936" s="508">
        <f t="array" ref="U8936">INDEX(U$5329:U$6195,MATCH($B8936&amp;$C8936,$B$5329:$B$6195&amp;$C$5329:$C$6195,0))</f>
        <v>0.83899999999999997</v>
      </c>
      <c r="V8936" s="508">
        <f t="array" ref="V8936">INDEX(V$5329:V$6195,MATCH($B8936&amp;$C8936,$B$5329:$B$6195&amp;$C$5329:$C$6195,0))</f>
        <v>0.83899999999999997</v>
      </c>
      <c r="W8936" s="508">
        <f t="array" ref="W8936">INDEX(W$5329:W$6195,MATCH($B8936&amp;$C8936,$B$5329:$B$6195&amp;$C$5329:$C$6195,0))</f>
        <v>0.72799999999999998</v>
      </c>
      <c r="X8936" s="508">
        <f t="array" ref="X8936">INDEX(X$5329:X$6195,MATCH($B8936&amp;$C8936,$B$5329:$B$6195&amp;$C$5329:$C$6195,0))</f>
        <v>0.72799999999999998</v>
      </c>
      <c r="Y8936" s="508">
        <f t="array" ref="Y8936">INDEX(Y$5329:Y$6195,MATCH($B8936&amp;$C8936,$B$5329:$B$6195&amp;$C$5329:$C$6195,0))</f>
        <v>0.72799999999999998</v>
      </c>
      <c r="Z8936" s="508">
        <f t="array" ref="Z8936">INDEX(Z$5329:Z$6195,MATCH($B8936&amp;$C8936,$B$5329:$B$6195&amp;$C$5329:$C$6195,0))</f>
        <v>0.68400000000000005</v>
      </c>
      <c r="AA8936" s="508">
        <f t="array" ref="AA8936">INDEX(AA$5329:AA$6195,MATCH($B8936&amp;$C8936,$B$5329:$B$6195&amp;$C$5329:$C$6195,0))</f>
        <v>0.03</v>
      </c>
      <c r="AB8936" s="508">
        <f t="array" ref="AB8936">INDEX(AB$5329:AB$6195,MATCH($B8936&amp;$C8936,$B$5329:$B$6195&amp;$C$5329:$C$6195,0))</f>
        <v>2.5999999999999999E-2</v>
      </c>
      <c r="AC8936" s="508">
        <f t="array" ref="AC8936">INDEX(AC$5329:AC$6195,MATCH($B8936&amp;$C8936,$B$5329:$B$6195&amp;$C$5329:$C$6195,0))</f>
        <v>2.5999999999999999E-2</v>
      </c>
      <c r="AD8936" s="508">
        <f t="array" ref="AD8936">INDEX(AD$5329:AD$6195,MATCH($B8936&amp;$C8936,$B$5329:$B$6195&amp;$C$5329:$C$6195,0))</f>
        <v>2.1000000000000001E-2</v>
      </c>
      <c r="AE8936" s="508">
        <f t="array" ref="AE8936">INDEX(AE$5329:AE$6195,MATCH($B8936&amp;$C8936,$B$5329:$B$6195&amp;$C$5329:$C$6195,0))</f>
        <v>2.1000000000000001E-2</v>
      </c>
      <c r="AF8936" s="508">
        <f t="array" ref="AF8936">INDEX(AF$5329:AF$6195,MATCH($B8936&amp;$C8936,$B$5329:$B$6195&amp;$C$5329:$C$6195,0))</f>
        <v>1.7000000000000001E-2</v>
      </c>
      <c r="AG8936" s="508">
        <f t="array" ref="AG8936">INDEX(AG$5329:AG$6195,MATCH($B8936&amp;$C8936,$B$5329:$B$6195&amp;$C$5329:$C$6195,0))</f>
        <v>1.7000000000000001E-2</v>
      </c>
      <c r="AH8936" s="508">
        <f t="array" ref="AH8936">INDEX(AH$5329:AH$6195,MATCH($B8936&amp;$C8936,$B$5329:$B$6195&amp;$C$5329:$C$6195,0))</f>
        <v>1.7000000000000001E-2</v>
      </c>
      <c r="AI8936" s="508">
        <f t="array" ref="AI8936">INDEX(AI$5329:AI$6195,MATCH($B8936&amp;$C8936,$B$5329:$B$6195&amp;$C$5329:$C$6195,0))</f>
        <v>1.7000000000000001E-2</v>
      </c>
      <c r="AJ8936" s="508"/>
      <c r="AK8936" s="508">
        <f t="shared" si="192"/>
        <v>1.7000000000000001E-2</v>
      </c>
      <c r="AL8936" s="508">
        <f t="shared" si="190"/>
        <v>1.7000000000000001E-2</v>
      </c>
      <c r="AM8936" s="508">
        <f t="shared" si="190"/>
        <v>1.7000000000000001E-2</v>
      </c>
      <c r="AN8936" s="508">
        <f t="shared" si="190"/>
        <v>1.7000000000000001E-2</v>
      </c>
      <c r="AO8936" s="508">
        <f t="array" ref="AO8936">INDEX('GREET Fuel Attributes'!$E$8948:$E$9083,MATCH($C8936&amp;$D8936,'GREET Fuel Attributes'!$B$8948:$B$9083&amp;'GREET Fuel Attributes'!$C$8948:$C$9083,0))/INDEX('GREET Fuel Attributes'!$D$8948:$D$9083,MATCH($C8936&amp;$D8936,'GREET Fuel Attributes'!$B$8948:$B$9083&amp;'GREET Fuel Attributes'!$C$8948:$C$9083,0))*AI8936</f>
        <v>1.7000000000000001E-2</v>
      </c>
      <c r="AP8936" s="132" t="s">
        <v>1387</v>
      </c>
      <c r="AQ8936" s="142" t="s">
        <v>307</v>
      </c>
    </row>
    <row r="8937" spans="1:113">
      <c r="B8937" s="136" t="str">
        <f t="shared" si="191"/>
        <v>ILLINOIS</v>
      </c>
      <c r="C8937" s="132" t="s">
        <v>1378</v>
      </c>
      <c r="D8937" s="132" t="s">
        <v>1380</v>
      </c>
      <c r="E8937" s="508">
        <f t="array" ref="E8937">INDEX(E$6196:E$7062,MATCH($B8937&amp;$C8937,$B$6196:$B$7062&amp;$C$6196:$C$7062,0))</f>
        <v>1.4E-2</v>
      </c>
      <c r="F8937" s="508">
        <f t="array" ref="F8937">INDEX(F$6196:F$7062,MATCH($B8937&amp;$C8937,$B$6196:$B$7062&amp;$C$6196:$C$7062,0))</f>
        <v>1.4E-2</v>
      </c>
      <c r="G8937" s="508">
        <f t="array" ref="G8937">INDEX(G$6196:G$7062,MATCH($B8937&amp;$C8937,$B$6196:$B$7062&amp;$C$6196:$C$7062,0))</f>
        <v>1.4E-2</v>
      </c>
      <c r="H8937" s="508">
        <f t="array" ref="H8937">INDEX(H$6196:H$7062,MATCH($B8937&amp;$C8937,$B$6196:$B$7062&amp;$C$6196:$C$7062,0))</f>
        <v>1.4E-2</v>
      </c>
      <c r="I8937" s="508">
        <f t="array" ref="I8937">INDEX(I$6196:I$7062,MATCH($B8937&amp;$C8937,$B$6196:$B$7062&amp;$C$6196:$C$7062,0))</f>
        <v>1.4E-2</v>
      </c>
      <c r="J8937" s="508">
        <f t="array" ref="J8937">INDEX(J$6196:J$7062,MATCH($B8937&amp;$C8937,$B$6196:$B$7062&amp;$C$6196:$C$7062,0))</f>
        <v>1.4E-2</v>
      </c>
      <c r="K8937" s="508">
        <f t="array" ref="K8937">INDEX(K$6196:K$7062,MATCH($B8937&amp;$C8937,$B$6196:$B$7062&amp;$C$6196:$C$7062,0))</f>
        <v>1.4E-2</v>
      </c>
      <c r="L8937" s="508">
        <f t="array" ref="L8937">INDEX(L$6196:L$7062,MATCH($B8937&amp;$C8937,$B$6196:$B$7062&amp;$C$6196:$C$7062,0))</f>
        <v>1.4E-2</v>
      </c>
      <c r="M8937" s="508">
        <f t="array" ref="M8937">INDEX(M$6196:M$7062,MATCH($B8937&amp;$C8937,$B$6196:$B$7062&amp;$C$6196:$C$7062,0))</f>
        <v>1.4E-2</v>
      </c>
      <c r="N8937" s="508">
        <f t="array" ref="N8937">INDEX(N$6196:N$7062,MATCH($B8937&amp;$C8937,$B$6196:$B$7062&amp;$C$6196:$C$7062,0))</f>
        <v>1.4E-2</v>
      </c>
      <c r="O8937" s="508">
        <f t="array" ref="O8937">INDEX(O$6196:O$7062,MATCH($B8937&amp;$C8937,$B$6196:$B$7062&amp;$C$6196:$C$7062,0))</f>
        <v>1.4E-2</v>
      </c>
      <c r="P8937" s="508">
        <f t="array" ref="P8937">INDEX(P$6196:P$7062,MATCH($B8937&amp;$C8937,$B$6196:$B$7062&amp;$C$6196:$C$7062,0))</f>
        <v>1.4E-2</v>
      </c>
      <c r="Q8937" s="508">
        <f t="array" ref="Q8937">INDEX(Q$6196:Q$7062,MATCH($B8937&amp;$C8937,$B$6196:$B$7062&amp;$C$6196:$C$7062,0))</f>
        <v>1.4E-2</v>
      </c>
      <c r="R8937" s="508">
        <f t="array" ref="R8937">INDEX(R$6196:R$7062,MATCH($B8937&amp;$C8937,$B$6196:$B$7062&amp;$C$6196:$C$7062,0))</f>
        <v>1.4E-2</v>
      </c>
      <c r="S8937" s="508">
        <f t="array" ref="S8937">INDEX(S$6196:S$7062,MATCH($B8937&amp;$C8937,$B$6196:$B$7062&amp;$C$6196:$C$7062,0))</f>
        <v>1.4E-2</v>
      </c>
      <c r="T8937" s="508">
        <f t="array" ref="T8937">INDEX(T$6196:T$7062,MATCH($B8937&amp;$C8937,$B$6196:$B$7062&amp;$C$6196:$C$7062,0))</f>
        <v>1.4E-2</v>
      </c>
      <c r="U8937" s="508">
        <f t="array" ref="U8937">INDEX(U$6196:U$7062,MATCH($B8937&amp;$C8937,$B$6196:$B$7062&amp;$C$6196:$C$7062,0))</f>
        <v>1.4E-2</v>
      </c>
      <c r="V8937" s="508">
        <f t="array" ref="V8937">INDEX(V$6196:V$7062,MATCH($B8937&amp;$C8937,$B$6196:$B$7062&amp;$C$6196:$C$7062,0))</f>
        <v>1.4E-2</v>
      </c>
      <c r="W8937" s="508">
        <f t="array" ref="W8937">INDEX(W$6196:W$7062,MATCH($B8937&amp;$C8937,$B$6196:$B$7062&amp;$C$6196:$C$7062,0))</f>
        <v>1.4E-2</v>
      </c>
      <c r="X8937" s="508">
        <f t="array" ref="X8937">INDEX(X$6196:X$7062,MATCH($B8937&amp;$C8937,$B$6196:$B$7062&amp;$C$6196:$C$7062,0))</f>
        <v>1.4E-2</v>
      </c>
      <c r="Y8937" s="508">
        <f t="array" ref="Y8937">INDEX(Y$6196:Y$7062,MATCH($B8937&amp;$C8937,$B$6196:$B$7062&amp;$C$6196:$C$7062,0))</f>
        <v>1.4E-2</v>
      </c>
      <c r="Z8937" s="508">
        <f t="array" ref="Z8937">INDEX(Z$6196:Z$7062,MATCH($B8937&amp;$C8937,$B$6196:$B$7062&amp;$C$6196:$C$7062,0))</f>
        <v>1.4E-2</v>
      </c>
      <c r="AA8937" s="508">
        <f t="array" ref="AA8937">INDEX(AA$6196:AA$7062,MATCH($B8937&amp;$C8937,$B$6196:$B$7062&amp;$C$6196:$C$7062,0))</f>
        <v>1.4E-2</v>
      </c>
      <c r="AB8937" s="508">
        <f t="array" ref="AB8937">INDEX(AB$6196:AB$7062,MATCH($B8937&amp;$C8937,$B$6196:$B$7062&amp;$C$6196:$C$7062,0))</f>
        <v>1.4E-2</v>
      </c>
      <c r="AC8937" s="508">
        <f t="array" ref="AC8937">INDEX(AC$6196:AC$7062,MATCH($B8937&amp;$C8937,$B$6196:$B$7062&amp;$C$6196:$C$7062,0))</f>
        <v>1.4E-2</v>
      </c>
      <c r="AD8937" s="508">
        <f t="array" ref="AD8937">INDEX(AD$6196:AD$7062,MATCH($B8937&amp;$C8937,$B$6196:$B$7062&amp;$C$6196:$C$7062,0))</f>
        <v>1.4E-2</v>
      </c>
      <c r="AE8937" s="508">
        <f t="array" ref="AE8937">INDEX(AE$6196:AE$7062,MATCH($B8937&amp;$C8937,$B$6196:$B$7062&amp;$C$6196:$C$7062,0))</f>
        <v>1.4E-2</v>
      </c>
      <c r="AF8937" s="508">
        <f t="array" ref="AF8937">INDEX(AF$6196:AF$7062,MATCH($B8937&amp;$C8937,$B$6196:$B$7062&amp;$C$6196:$C$7062,0))</f>
        <v>1.4E-2</v>
      </c>
      <c r="AG8937" s="508">
        <f t="array" ref="AG8937">INDEX(AG$6196:AG$7062,MATCH($B8937&amp;$C8937,$B$6196:$B$7062&amp;$C$6196:$C$7062,0))</f>
        <v>1.4E-2</v>
      </c>
      <c r="AH8937" s="508">
        <f t="array" ref="AH8937">INDEX(AH$6196:AH$7062,MATCH($B8937&amp;$C8937,$B$6196:$B$7062&amp;$C$6196:$C$7062,0))</f>
        <v>1.4E-2</v>
      </c>
      <c r="AI8937" s="508">
        <f t="array" ref="AI8937">INDEX(AI$6196:AI$7062,MATCH($B8937&amp;$C8937,$B$6196:$B$7062&amp;$C$6196:$C$7062,0))</f>
        <v>1.4E-2</v>
      </c>
      <c r="AJ8937" s="508"/>
      <c r="AK8937" s="508">
        <f t="shared" si="192"/>
        <v>1.4E-2</v>
      </c>
      <c r="AL8937" s="508">
        <f t="shared" si="190"/>
        <v>1.4E-2</v>
      </c>
      <c r="AM8937" s="508">
        <f t="shared" si="190"/>
        <v>1.4E-2</v>
      </c>
      <c r="AN8937" s="508">
        <f t="shared" si="190"/>
        <v>1.4E-2</v>
      </c>
      <c r="AO8937" s="508">
        <f t="array" ref="AO8937">INDEX('GREET Fuel Attributes'!$E$8948:$E$9083,MATCH($C8937&amp;$D8937,'GREET Fuel Attributes'!$B$8948:$B$9083&amp;'GREET Fuel Attributes'!$C$8948:$C$9083,0))/INDEX('GREET Fuel Attributes'!$D$8948:$D$9083,MATCH($C8937&amp;$D8937,'GREET Fuel Attributes'!$B$8948:$B$9083&amp;'GREET Fuel Attributes'!$C$8948:$C$9083,0))*AI8937</f>
        <v>1.4E-2</v>
      </c>
      <c r="AP8937" s="132" t="s">
        <v>1387</v>
      </c>
      <c r="AQ8937" s="142" t="s">
        <v>307</v>
      </c>
    </row>
    <row r="8938" spans="1:113">
      <c r="B8938" s="136" t="str">
        <f t="shared" si="191"/>
        <v>ILLINOIS</v>
      </c>
      <c r="C8938" s="132" t="s">
        <v>1378</v>
      </c>
      <c r="D8938" s="132" t="s">
        <v>281</v>
      </c>
      <c r="E8938" s="508">
        <f t="array" ref="E8938">INDEX(E$7063:E$7929,MATCH($B8938&amp;$C8938,$B$7063:$B$7929&amp;$C$7063:$C$7929,0))</f>
        <v>1.49</v>
      </c>
      <c r="F8938" s="508">
        <f t="array" ref="F8938">INDEX(F$7063:F$7929,MATCH($B8938&amp;$C8938,$B$7063:$B$7929&amp;$C$7063:$C$7929,0))</f>
        <v>1.488</v>
      </c>
      <c r="G8938" s="508">
        <f t="array" ref="G8938">INDEX(G$7063:G$7929,MATCH($B8938&amp;$C8938,$B$7063:$B$7929&amp;$C$7063:$C$7929,0))</f>
        <v>1.4870000000000001</v>
      </c>
      <c r="H8938" s="508">
        <f t="array" ref="H8938">INDEX(H$7063:H$7929,MATCH($B8938&amp;$C8938,$B$7063:$B$7929&amp;$C$7063:$C$7929,0))</f>
        <v>1.486</v>
      </c>
      <c r="I8938" s="508">
        <f t="array" ref="I8938">INDEX(I$7063:I$7929,MATCH($B8938&amp;$C8938,$B$7063:$B$7929&amp;$C$7063:$C$7929,0))</f>
        <v>1.484</v>
      </c>
      <c r="J8938" s="508">
        <f t="array" ref="J8938">INDEX(J$7063:J$7929,MATCH($B8938&amp;$C8938,$B$7063:$B$7929&amp;$C$7063:$C$7929,0))</f>
        <v>1.4830000000000001</v>
      </c>
      <c r="K8938" s="508">
        <f t="array" ref="K8938">INDEX(K$7063:K$7929,MATCH($B8938&amp;$C8938,$B$7063:$B$7929&amp;$C$7063:$C$7929,0))</f>
        <v>1.482</v>
      </c>
      <c r="L8938" s="508">
        <f t="array" ref="L8938">INDEX(L$7063:L$7929,MATCH($B8938&amp;$C8938,$B$7063:$B$7929&amp;$C$7063:$C$7929,0))</f>
        <v>1.4810000000000001</v>
      </c>
      <c r="M8938" s="508">
        <f t="array" ref="M8938">INDEX(M$7063:M$7929,MATCH($B8938&amp;$C8938,$B$7063:$B$7929&amp;$C$7063:$C$7929,0))</f>
        <v>1.48</v>
      </c>
      <c r="N8938" s="508">
        <f t="array" ref="N8938">INDEX(N$7063:N$7929,MATCH($B8938&amp;$C8938,$B$7063:$B$7929&amp;$C$7063:$C$7929,0))</f>
        <v>1.4790000000000001</v>
      </c>
      <c r="O8938" s="508">
        <f t="array" ref="O8938">INDEX(O$7063:O$7929,MATCH($B8938&amp;$C8938,$B$7063:$B$7929&amp;$C$7063:$C$7929,0))</f>
        <v>1.478</v>
      </c>
      <c r="P8938" s="508">
        <f t="array" ref="P8938">INDEX(P$7063:P$7929,MATCH($B8938&amp;$C8938,$B$7063:$B$7929&amp;$C$7063:$C$7929,0))</f>
        <v>1.4770000000000001</v>
      </c>
      <c r="Q8938" s="508">
        <f t="array" ref="Q8938">INDEX(Q$7063:Q$7929,MATCH($B8938&amp;$C8938,$B$7063:$B$7929&amp;$C$7063:$C$7929,0))</f>
        <v>1.4770000000000001</v>
      </c>
      <c r="R8938" s="508">
        <f t="array" ref="R8938">INDEX(R$7063:R$7929,MATCH($B8938&amp;$C8938,$B$7063:$B$7929&amp;$C$7063:$C$7929,0))</f>
        <v>1.476</v>
      </c>
      <c r="S8938" s="508">
        <f t="array" ref="S8938">INDEX(S$7063:S$7929,MATCH($B8938&amp;$C8938,$B$7063:$B$7929&amp;$C$7063:$C$7929,0))</f>
        <v>1.4750000000000001</v>
      </c>
      <c r="T8938" s="508">
        <f t="array" ref="T8938">INDEX(T$7063:T$7929,MATCH($B8938&amp;$C8938,$B$7063:$B$7929&amp;$C$7063:$C$7929,0))</f>
        <v>1.474</v>
      </c>
      <c r="U8938" s="508">
        <f t="array" ref="U8938">INDEX(U$7063:U$7929,MATCH($B8938&amp;$C8938,$B$7063:$B$7929&amp;$C$7063:$C$7929,0))</f>
        <v>1.4730000000000001</v>
      </c>
      <c r="V8938" s="508">
        <f t="array" ref="V8938">INDEX(V$7063:V$7929,MATCH($B8938&amp;$C8938,$B$7063:$B$7929&amp;$C$7063:$C$7929,0))</f>
        <v>1.472</v>
      </c>
      <c r="W8938" s="508">
        <f t="array" ref="W8938">INDEX(W$7063:W$7929,MATCH($B8938&amp;$C8938,$B$7063:$B$7929&amp;$C$7063:$C$7929,0))</f>
        <v>0.96699999999999997</v>
      </c>
      <c r="X8938" s="508">
        <f t="array" ref="X8938">INDEX(X$7063:X$7929,MATCH($B8938&amp;$C8938,$B$7063:$B$7929&amp;$C$7063:$C$7929,0))</f>
        <v>0.96599999999999997</v>
      </c>
      <c r="Y8938" s="508">
        <f t="array" ref="Y8938">INDEX(Y$7063:Y$7929,MATCH($B8938&amp;$C8938,$B$7063:$B$7929&amp;$C$7063:$C$7929,0))</f>
        <v>0.96599999999999997</v>
      </c>
      <c r="Z8938" s="508">
        <f t="array" ref="Z8938">INDEX(Z$7063:Z$7929,MATCH($B8938&amp;$C8938,$B$7063:$B$7929&amp;$C$7063:$C$7929,0))</f>
        <v>0.85899999999999999</v>
      </c>
      <c r="AA8938" s="508">
        <f t="array" ref="AA8938">INDEX(AA$7063:AA$7929,MATCH($B8938&amp;$C8938,$B$7063:$B$7929&amp;$C$7063:$C$7929,0))</f>
        <v>9.0999999999999998E-2</v>
      </c>
      <c r="AB8938" s="508">
        <f t="array" ref="AB8938">INDEX(AB$7063:AB$7929,MATCH($B8938&amp;$C8938,$B$7063:$B$7929&amp;$C$7063:$C$7929,0))</f>
        <v>7.6999999999999999E-2</v>
      </c>
      <c r="AC8938" s="508">
        <f t="array" ref="AC8938">INDEX(AC$7063:AC$7929,MATCH($B8938&amp;$C8938,$B$7063:$B$7929&amp;$C$7063:$C$7929,0))</f>
        <v>7.6999999999999999E-2</v>
      </c>
      <c r="AD8938" s="508">
        <f t="array" ref="AD8938">INDEX(AD$7063:AD$7929,MATCH($B8938&amp;$C8938,$B$7063:$B$7929&amp;$C$7063:$C$7929,0))</f>
        <v>5.0999999999999997E-2</v>
      </c>
      <c r="AE8938" s="508">
        <f t="array" ref="AE8938">INDEX(AE$7063:AE$7929,MATCH($B8938&amp;$C8938,$B$7063:$B$7929&amp;$C$7063:$C$7929,0))</f>
        <v>0.05</v>
      </c>
      <c r="AF8938" s="508">
        <f t="array" ref="AF8938">INDEX(AF$7063:AF$7929,MATCH($B8938&amp;$C8938,$B$7063:$B$7929&amp;$C$7063:$C$7929,0))</f>
        <v>4.7E-2</v>
      </c>
      <c r="AG8938" s="508">
        <f t="array" ref="AG8938">INDEX(AG$7063:AG$7929,MATCH($B8938&amp;$C8938,$B$7063:$B$7929&amp;$C$7063:$C$7929,0))</f>
        <v>4.7E-2</v>
      </c>
      <c r="AH8938" s="508">
        <f t="array" ref="AH8938">INDEX(AH$7063:AH$7929,MATCH($B8938&amp;$C8938,$B$7063:$B$7929&amp;$C$7063:$C$7929,0))</f>
        <v>4.5999999999999999E-2</v>
      </c>
      <c r="AI8938" s="508">
        <f t="array" ref="AI8938">INDEX(AI$7063:AI$7929,MATCH($B8938&amp;$C8938,$B$7063:$B$7929&amp;$C$7063:$C$7929,0))</f>
        <v>4.5999999999999999E-2</v>
      </c>
      <c r="AJ8938" s="508"/>
      <c r="AK8938" s="508">
        <f t="shared" si="192"/>
        <v>4.5999999999999999E-2</v>
      </c>
      <c r="AL8938" s="508">
        <f t="shared" si="190"/>
        <v>4.5999999999999999E-2</v>
      </c>
      <c r="AM8938" s="508">
        <f t="shared" si="190"/>
        <v>4.5999999999999999E-2</v>
      </c>
      <c r="AN8938" s="508">
        <f t="shared" si="190"/>
        <v>4.5999999999999999E-2</v>
      </c>
      <c r="AO8938" s="508">
        <f t="array" ref="AO8938">INDEX('GREET Fuel Attributes'!$E$8948:$E$9083,MATCH($C8938&amp;$D8938,'GREET Fuel Attributes'!$B$8948:$B$9083&amp;'GREET Fuel Attributes'!$C$8948:$C$9083,0))/INDEX('GREET Fuel Attributes'!$D$8948:$D$9083,MATCH($C8938&amp;$D8938,'GREET Fuel Attributes'!$B$8948:$B$9083&amp;'GREET Fuel Attributes'!$C$8948:$C$9083,0))*AI8938</f>
        <v>4.5999999999999999E-2</v>
      </c>
      <c r="AP8938" s="132" t="s">
        <v>1387</v>
      </c>
      <c r="AQ8938" s="142" t="s">
        <v>307</v>
      </c>
    </row>
    <row r="8939" spans="1:113" ht="16" thickBot="1">
      <c r="B8939" s="143" t="str">
        <f t="shared" si="191"/>
        <v>ILLINOIS</v>
      </c>
      <c r="C8939" s="145" t="s">
        <v>1378</v>
      </c>
      <c r="D8939" s="145" t="s">
        <v>1384</v>
      </c>
      <c r="E8939" s="1088">
        <f t="array" ref="E8939">INDEX(E$7930:E$8796,MATCH($B8939&amp;$C8939,$B$7930:$B$8796&amp;$C$7930:$C$8796,0))</f>
        <v>0</v>
      </c>
      <c r="F8939" s="1088">
        <f t="array" ref="F8939">INDEX(F$7930:F$8796,MATCH($B8939&amp;$C8939,$B$7930:$B$8796&amp;$C$7930:$C$8796,0))</f>
        <v>0</v>
      </c>
      <c r="G8939" s="1088">
        <f t="array" ref="G8939">INDEX(G$7930:G$8796,MATCH($B8939&amp;$C8939,$B$7930:$B$8796&amp;$C$7930:$C$8796,0))</f>
        <v>0</v>
      </c>
      <c r="H8939" s="1088">
        <f t="array" ref="H8939">INDEX(H$7930:H$8796,MATCH($B8939&amp;$C8939,$B$7930:$B$8796&amp;$C$7930:$C$8796,0))</f>
        <v>0</v>
      </c>
      <c r="I8939" s="1088">
        <f t="array" ref="I8939">INDEX(I$7930:I$8796,MATCH($B8939&amp;$C8939,$B$7930:$B$8796&amp;$C$7930:$C$8796,0))</f>
        <v>0</v>
      </c>
      <c r="J8939" s="1088">
        <f t="array" ref="J8939">INDEX(J$7930:J$8796,MATCH($B8939&amp;$C8939,$B$7930:$B$8796&amp;$C$7930:$C$8796,0))</f>
        <v>0</v>
      </c>
      <c r="K8939" s="1088">
        <f t="array" ref="K8939">INDEX(K$7930:K$8796,MATCH($B8939&amp;$C8939,$B$7930:$B$8796&amp;$C$7930:$C$8796,0))</f>
        <v>0</v>
      </c>
      <c r="L8939" s="1088">
        <f t="array" ref="L8939">INDEX(L$7930:L$8796,MATCH($B8939&amp;$C8939,$B$7930:$B$8796&amp;$C$7930:$C$8796,0))</f>
        <v>0</v>
      </c>
      <c r="M8939" s="1088">
        <f t="array" ref="M8939">INDEX(M$7930:M$8796,MATCH($B8939&amp;$C8939,$B$7930:$B$8796&amp;$C$7930:$C$8796,0))</f>
        <v>0</v>
      </c>
      <c r="N8939" s="1088">
        <f t="array" ref="N8939">INDEX(N$7930:N$8796,MATCH($B8939&amp;$C8939,$B$7930:$B$8796&amp;$C$7930:$C$8796,0))</f>
        <v>0</v>
      </c>
      <c r="O8939" s="1088">
        <f t="array" ref="O8939">INDEX(O$7930:O$8796,MATCH($B8939&amp;$C8939,$B$7930:$B$8796&amp;$C$7930:$C$8796,0))</f>
        <v>0</v>
      </c>
      <c r="P8939" s="1088">
        <f t="array" ref="P8939">INDEX(P$7930:P$8796,MATCH($B8939&amp;$C8939,$B$7930:$B$8796&amp;$C$7930:$C$8796,0))</f>
        <v>0</v>
      </c>
      <c r="Q8939" s="1088">
        <f t="array" ref="Q8939">INDEX(Q$7930:Q$8796,MATCH($B8939&amp;$C8939,$B$7930:$B$8796&amp;$C$7930:$C$8796,0))</f>
        <v>0</v>
      </c>
      <c r="R8939" s="1088">
        <f t="array" ref="R8939">INDEX(R$7930:R$8796,MATCH($B8939&amp;$C8939,$B$7930:$B$8796&amp;$C$7930:$C$8796,0))</f>
        <v>0</v>
      </c>
      <c r="S8939" s="1088">
        <f t="array" ref="S8939">INDEX(S$7930:S$8796,MATCH($B8939&amp;$C8939,$B$7930:$B$8796&amp;$C$7930:$C$8796,0))</f>
        <v>0</v>
      </c>
      <c r="T8939" s="1088">
        <f t="array" ref="T8939">INDEX(T$7930:T$8796,MATCH($B8939&amp;$C8939,$B$7930:$B$8796&amp;$C$7930:$C$8796,0))</f>
        <v>0</v>
      </c>
      <c r="U8939" s="1088">
        <f t="array" ref="U8939">INDEX(U$7930:U$8796,MATCH($B8939&amp;$C8939,$B$7930:$B$8796&amp;$C$7930:$C$8796,0))</f>
        <v>0</v>
      </c>
      <c r="V8939" s="1088">
        <f t="array" ref="V8939">INDEX(V$7930:V$8796,MATCH($B8939&amp;$C8939,$B$7930:$B$8796&amp;$C$7930:$C$8796,0))</f>
        <v>0</v>
      </c>
      <c r="W8939" s="1088">
        <f t="array" ref="W8939">INDEX(W$7930:W$8796,MATCH($B8939&amp;$C8939,$B$7930:$B$8796&amp;$C$7930:$C$8796,0))</f>
        <v>0</v>
      </c>
      <c r="X8939" s="1088">
        <f t="array" ref="X8939">INDEX(X$7930:X$8796,MATCH($B8939&amp;$C8939,$B$7930:$B$8796&amp;$C$7930:$C$8796,0))</f>
        <v>0</v>
      </c>
      <c r="Y8939" s="1088">
        <f t="array" ref="Y8939">INDEX(Y$7930:Y$8796,MATCH($B8939&amp;$C8939,$B$7930:$B$8796&amp;$C$7930:$C$8796,0))</f>
        <v>0</v>
      </c>
      <c r="Z8939" s="1088">
        <f t="array" ref="Z8939">INDEX(Z$7930:Z$8796,MATCH($B8939&amp;$C8939,$B$7930:$B$8796&amp;$C$7930:$C$8796,0))</f>
        <v>0</v>
      </c>
      <c r="AA8939" s="1088">
        <f t="array" ref="AA8939">INDEX(AA$7930:AA$8796,MATCH($B8939&amp;$C8939,$B$7930:$B$8796&amp;$C$7930:$C$8796,0))</f>
        <v>0</v>
      </c>
      <c r="AB8939" s="1088">
        <f t="array" ref="AB8939">INDEX(AB$7930:AB$8796,MATCH($B8939&amp;$C8939,$B$7930:$B$8796&amp;$C$7930:$C$8796,0))</f>
        <v>0</v>
      </c>
      <c r="AC8939" s="1088">
        <f t="array" ref="AC8939">INDEX(AC$7930:AC$8796,MATCH($B8939&amp;$C8939,$B$7930:$B$8796&amp;$C$7930:$C$8796,0))</f>
        <v>0</v>
      </c>
      <c r="AD8939" s="1088">
        <f t="array" ref="AD8939">INDEX(AD$7930:AD$8796,MATCH($B8939&amp;$C8939,$B$7930:$B$8796&amp;$C$7930:$C$8796,0))</f>
        <v>0</v>
      </c>
      <c r="AE8939" s="1088">
        <f t="array" ref="AE8939">INDEX(AE$7930:AE$8796,MATCH($B8939&amp;$C8939,$B$7930:$B$8796&amp;$C$7930:$C$8796,0))</f>
        <v>0</v>
      </c>
      <c r="AF8939" s="1088">
        <f t="array" ref="AF8939">INDEX(AF$7930:AF$8796,MATCH($B8939&amp;$C8939,$B$7930:$B$8796&amp;$C$7930:$C$8796,0))</f>
        <v>0</v>
      </c>
      <c r="AG8939" s="1088">
        <f t="array" ref="AG8939">INDEX(AG$7930:AG$8796,MATCH($B8939&amp;$C8939,$B$7930:$B$8796&amp;$C$7930:$C$8796,0))</f>
        <v>0</v>
      </c>
      <c r="AH8939" s="1088">
        <f t="array" ref="AH8939">INDEX(AH$7930:AH$8796,MATCH($B8939&amp;$C8939,$B$7930:$B$8796&amp;$C$7930:$C$8796,0))</f>
        <v>0</v>
      </c>
      <c r="AI8939" s="1088">
        <f t="array" ref="AI8939">INDEX(AI$7930:AI$8796,MATCH($B8939&amp;$C8939,$B$7930:$B$8796&amp;$C$7930:$C$8796,0))</f>
        <v>0</v>
      </c>
      <c r="AJ8939" s="1088"/>
      <c r="AK8939" s="1088">
        <f t="shared" si="192"/>
        <v>0</v>
      </c>
      <c r="AL8939" s="1088">
        <f t="shared" si="190"/>
        <v>0</v>
      </c>
      <c r="AM8939" s="1088">
        <f t="shared" si="190"/>
        <v>0</v>
      </c>
      <c r="AN8939" s="1088">
        <f t="shared" si="190"/>
        <v>0</v>
      </c>
      <c r="AO8939" s="1088">
        <f t="array" ref="AO8939">INDEX('GREET Fuel Attributes'!$E$8948:$E$9083,MATCH($C8939&amp;$D8939,'GREET Fuel Attributes'!$B$8948:$B$9083&amp;'GREET Fuel Attributes'!$C$8948:$C$9083,0))/INDEX('GREET Fuel Attributes'!$D$8948:$D$9083,MATCH($C8939&amp;$D8939,'GREET Fuel Attributes'!$B$8948:$B$9083&amp;'GREET Fuel Attributes'!$C$8948:$C$9083,0))*AI8939</f>
        <v>0</v>
      </c>
      <c r="AP8939" s="145" t="s">
        <v>1387</v>
      </c>
      <c r="AQ8939" s="146" t="s">
        <v>307</v>
      </c>
    </row>
    <row r="8941" spans="1:113">
      <c r="A8941" s="243"/>
      <c r="B8941" s="243"/>
      <c r="C8941" s="243"/>
      <c r="D8941" s="243"/>
      <c r="E8941" s="243"/>
      <c r="F8941" s="243"/>
      <c r="G8941" s="243"/>
      <c r="H8941" s="243"/>
      <c r="I8941" s="243"/>
      <c r="J8941" s="243"/>
      <c r="K8941" s="243"/>
      <c r="L8941" s="243"/>
      <c r="M8941" s="243"/>
      <c r="N8941" s="243"/>
      <c r="O8941" s="243"/>
      <c r="P8941" s="243"/>
      <c r="Q8941" s="243"/>
      <c r="R8941" s="243"/>
      <c r="S8941" s="243"/>
      <c r="T8941" s="243"/>
      <c r="U8941" s="243"/>
      <c r="V8941" s="243"/>
      <c r="W8941" s="243"/>
      <c r="X8941" s="243"/>
      <c r="Y8941" s="243"/>
      <c r="Z8941" s="243"/>
      <c r="AA8941" s="243"/>
      <c r="AB8941" s="243"/>
      <c r="AC8941" s="243"/>
      <c r="AD8941" s="243"/>
      <c r="AE8941" s="243"/>
      <c r="AF8941" s="243"/>
      <c r="AG8941" s="243"/>
      <c r="AH8941" s="243"/>
      <c r="AI8941" s="243"/>
      <c r="AJ8941" s="243"/>
      <c r="AK8941" s="243"/>
      <c r="AL8941" s="243"/>
      <c r="AM8941" s="243"/>
      <c r="AN8941" s="243"/>
      <c r="AO8941" s="243"/>
      <c r="AP8941" s="243"/>
      <c r="AQ8941" s="243"/>
      <c r="AR8941" s="243"/>
      <c r="AS8941" s="243"/>
      <c r="AT8941" s="243"/>
      <c r="AU8941" s="243"/>
      <c r="AV8941" s="243"/>
      <c r="AW8941" s="243"/>
      <c r="AX8941" s="243"/>
      <c r="AY8941" s="243"/>
      <c r="AZ8941" s="243"/>
      <c r="BA8941" s="243"/>
      <c r="BB8941" s="243"/>
      <c r="BC8941" s="243"/>
      <c r="BD8941" s="243"/>
      <c r="BE8941" s="243"/>
      <c r="BF8941" s="243"/>
      <c r="BG8941" s="243"/>
      <c r="BH8941" s="243"/>
      <c r="BI8941" s="243"/>
      <c r="BJ8941" s="243"/>
      <c r="BK8941" s="243"/>
      <c r="BL8941" s="243"/>
      <c r="BM8941" s="243"/>
      <c r="BN8941" s="243"/>
      <c r="BO8941" s="243"/>
      <c r="BP8941" s="243"/>
      <c r="BQ8941" s="243"/>
      <c r="BR8941" s="243"/>
      <c r="BS8941" s="243"/>
      <c r="BT8941" s="243"/>
      <c r="BU8941" s="243"/>
      <c r="BV8941" s="243"/>
      <c r="BW8941" s="243"/>
      <c r="BX8941" s="243"/>
      <c r="BY8941" s="243"/>
      <c r="BZ8941" s="243"/>
      <c r="CA8941" s="243"/>
      <c r="CB8941" s="243"/>
      <c r="CC8941" s="243"/>
      <c r="CD8941" s="243"/>
      <c r="CE8941" s="243"/>
      <c r="CF8941" s="243"/>
      <c r="CG8941" s="243"/>
      <c r="CH8941" s="243"/>
      <c r="CI8941" s="243"/>
      <c r="CJ8941" s="243"/>
      <c r="CK8941" s="243"/>
      <c r="CL8941" s="243"/>
      <c r="CM8941" s="243"/>
      <c r="CN8941" s="243"/>
      <c r="CO8941" s="243"/>
      <c r="CP8941" s="243"/>
      <c r="CQ8941" s="243"/>
      <c r="CR8941" s="243"/>
      <c r="CS8941" s="243"/>
      <c r="CT8941" s="243"/>
      <c r="CU8941" s="243"/>
      <c r="CV8941" s="243"/>
      <c r="CW8941" s="243"/>
      <c r="CX8941" s="243"/>
      <c r="CY8941" s="243"/>
      <c r="CZ8941" s="243"/>
      <c r="DA8941" s="243"/>
      <c r="DB8941" s="243"/>
      <c r="DC8941" s="243"/>
      <c r="DD8941" s="243"/>
      <c r="DE8941" s="243"/>
      <c r="DF8941" s="243"/>
      <c r="DG8941" s="243"/>
      <c r="DH8941" s="243"/>
      <c r="DI8941" s="243"/>
    </row>
    <row r="8942" spans="1:113">
      <c r="A8942" s="243"/>
      <c r="B8942" s="243"/>
      <c r="C8942" s="243"/>
      <c r="D8942" s="243"/>
      <c r="E8942" s="243"/>
      <c r="F8942" s="243"/>
      <c r="G8942" s="243"/>
      <c r="H8942" s="243"/>
      <c r="I8942" s="243"/>
      <c r="J8942" s="243"/>
      <c r="K8942" s="243"/>
      <c r="L8942" s="243"/>
      <c r="M8942" s="243"/>
      <c r="N8942" s="243"/>
      <c r="O8942" s="243"/>
      <c r="P8942" s="243"/>
      <c r="Q8942" s="243"/>
      <c r="R8942" s="243"/>
      <c r="S8942" s="243"/>
      <c r="T8942" s="243"/>
      <c r="U8942" s="243"/>
      <c r="V8942" s="243"/>
      <c r="W8942" s="243"/>
      <c r="X8942" s="243"/>
      <c r="Y8942" s="243"/>
      <c r="Z8942" s="243"/>
      <c r="AA8942" s="243"/>
      <c r="AB8942" s="243"/>
      <c r="AC8942" s="243"/>
      <c r="AD8942" s="243"/>
      <c r="AE8942" s="243"/>
      <c r="AF8942" s="243"/>
      <c r="AG8942" s="243"/>
      <c r="AH8942" s="243"/>
      <c r="AI8942" s="243"/>
      <c r="AJ8942" s="243"/>
      <c r="AK8942" s="243"/>
      <c r="AL8942" s="243"/>
      <c r="AM8942" s="243"/>
      <c r="AN8942" s="243"/>
      <c r="AO8942" s="243"/>
      <c r="AP8942" s="243"/>
      <c r="AQ8942" s="243"/>
      <c r="AR8942" s="243"/>
      <c r="AS8942" s="243"/>
      <c r="AT8942" s="243"/>
      <c r="AU8942" s="243"/>
      <c r="AV8942" s="243"/>
      <c r="AW8942" s="243"/>
      <c r="AX8942" s="243"/>
      <c r="AY8942" s="243"/>
      <c r="AZ8942" s="243"/>
      <c r="BA8942" s="243"/>
      <c r="BB8942" s="243"/>
      <c r="BC8942" s="243"/>
      <c r="BD8942" s="243"/>
      <c r="BE8942" s="243"/>
      <c r="BF8942" s="243"/>
      <c r="BG8942" s="243"/>
      <c r="BH8942" s="243"/>
      <c r="BI8942" s="243"/>
      <c r="BJ8942" s="243"/>
      <c r="BK8942" s="243"/>
      <c r="BL8942" s="243"/>
      <c r="BM8942" s="243"/>
      <c r="BN8942" s="243"/>
      <c r="BO8942" s="243"/>
      <c r="BP8942" s="243"/>
      <c r="BQ8942" s="243"/>
      <c r="BR8942" s="243"/>
      <c r="BS8942" s="243"/>
      <c r="BT8942" s="243"/>
      <c r="BU8942" s="243"/>
      <c r="BV8942" s="243"/>
      <c r="BW8942" s="243"/>
      <c r="BX8942" s="243"/>
      <c r="BY8942" s="243"/>
      <c r="BZ8942" s="243"/>
      <c r="CA8942" s="243"/>
      <c r="CB8942" s="243"/>
      <c r="CC8942" s="243"/>
      <c r="CD8942" s="243"/>
      <c r="CE8942" s="243"/>
      <c r="CF8942" s="243"/>
      <c r="CG8942" s="243"/>
      <c r="CH8942" s="243"/>
      <c r="CI8942" s="243"/>
      <c r="CJ8942" s="243"/>
      <c r="CK8942" s="243"/>
      <c r="CL8942" s="243"/>
      <c r="CM8942" s="243"/>
      <c r="CN8942" s="243"/>
      <c r="CO8942" s="243"/>
      <c r="CP8942" s="243"/>
      <c r="CQ8942" s="243"/>
      <c r="CR8942" s="243"/>
      <c r="CS8942" s="243"/>
      <c r="CT8942" s="243"/>
      <c r="CU8942" s="243"/>
      <c r="CV8942" s="243"/>
      <c r="CW8942" s="243"/>
      <c r="CX8942" s="243"/>
      <c r="CY8942" s="243"/>
      <c r="CZ8942" s="243"/>
      <c r="DA8942" s="243"/>
      <c r="DB8942" s="243"/>
      <c r="DC8942" s="243"/>
      <c r="DD8942" s="243"/>
      <c r="DE8942" s="243"/>
      <c r="DF8942" s="243"/>
      <c r="DG8942" s="243"/>
      <c r="DH8942" s="243"/>
      <c r="DI8942" s="243"/>
    </row>
    <row r="8943" spans="1:113">
      <c r="A8943" s="243"/>
      <c r="B8943" s="243"/>
      <c r="C8943" s="243"/>
      <c r="D8943" s="243"/>
      <c r="E8943" s="243"/>
      <c r="F8943" s="243"/>
      <c r="G8943" s="243"/>
      <c r="H8943" s="243"/>
      <c r="I8943" s="243"/>
      <c r="J8943" s="243"/>
      <c r="K8943" s="243"/>
      <c r="L8943" s="243"/>
      <c r="M8943" s="243"/>
      <c r="N8943" s="243"/>
      <c r="O8943" s="243"/>
      <c r="P8943" s="243"/>
      <c r="Q8943" s="243"/>
      <c r="R8943" s="243"/>
      <c r="S8943" s="243"/>
      <c r="T8943" s="243"/>
      <c r="U8943" s="243"/>
      <c r="V8943" s="243"/>
      <c r="W8943" s="243"/>
      <c r="X8943" s="243"/>
      <c r="Y8943" s="243"/>
      <c r="Z8943" s="243"/>
      <c r="AA8943" s="243"/>
      <c r="AB8943" s="243"/>
      <c r="AC8943" s="243"/>
      <c r="AD8943" s="243"/>
      <c r="AE8943" s="243"/>
      <c r="AF8943" s="243"/>
      <c r="AG8943" s="243"/>
      <c r="AH8943" s="243"/>
      <c r="AI8943" s="243"/>
      <c r="AJ8943" s="243"/>
      <c r="AK8943" s="243"/>
      <c r="AL8943" s="243"/>
      <c r="AM8943" s="243"/>
      <c r="AN8943" s="243"/>
      <c r="AO8943" s="243"/>
      <c r="AP8943" s="243"/>
      <c r="AQ8943" s="243"/>
      <c r="AR8943" s="243"/>
      <c r="AS8943" s="243"/>
      <c r="AT8943" s="243"/>
      <c r="AU8943" s="243"/>
      <c r="AV8943" s="243"/>
      <c r="AW8943" s="243"/>
      <c r="AX8943" s="243"/>
      <c r="AY8943" s="243"/>
      <c r="AZ8943" s="243"/>
      <c r="BA8943" s="243"/>
      <c r="BB8943" s="243"/>
      <c r="BC8943" s="243"/>
      <c r="BD8943" s="243"/>
      <c r="BE8943" s="243"/>
      <c r="BF8943" s="243"/>
      <c r="BG8943" s="243"/>
      <c r="BH8943" s="243"/>
      <c r="BI8943" s="243"/>
      <c r="BJ8943" s="243"/>
      <c r="BK8943" s="243"/>
      <c r="BL8943" s="243"/>
      <c r="BM8943" s="243"/>
      <c r="BN8943" s="243"/>
      <c r="BO8943" s="243"/>
      <c r="BP8943" s="243"/>
      <c r="BQ8943" s="243"/>
      <c r="BR8943" s="243"/>
      <c r="BS8943" s="243"/>
      <c r="BT8943" s="243"/>
      <c r="BU8943" s="243"/>
      <c r="BV8943" s="243"/>
      <c r="BW8943" s="243"/>
      <c r="BX8943" s="243"/>
      <c r="BY8943" s="243"/>
      <c r="BZ8943" s="243"/>
      <c r="CA8943" s="243"/>
      <c r="CB8943" s="243"/>
      <c r="CC8943" s="243"/>
      <c r="CD8943" s="243"/>
      <c r="CE8943" s="243"/>
      <c r="CF8943" s="243"/>
      <c r="CG8943" s="243"/>
      <c r="CH8943" s="243"/>
      <c r="CI8943" s="243"/>
      <c r="CJ8943" s="243"/>
      <c r="CK8943" s="243"/>
      <c r="CL8943" s="243"/>
      <c r="CM8943" s="243"/>
      <c r="CN8943" s="243"/>
      <c r="CO8943" s="243"/>
      <c r="CP8943" s="243"/>
      <c r="CQ8943" s="243"/>
      <c r="CR8943" s="243"/>
      <c r="CS8943" s="243"/>
      <c r="CT8943" s="243"/>
      <c r="CU8943" s="243"/>
      <c r="CV8943" s="243"/>
      <c r="CW8943" s="243"/>
      <c r="CX8943" s="243"/>
      <c r="CY8943" s="243"/>
      <c r="CZ8943" s="243"/>
      <c r="DA8943" s="243"/>
      <c r="DB8943" s="243"/>
      <c r="DC8943" s="243"/>
      <c r="DD8943" s="243"/>
      <c r="DE8943" s="243"/>
      <c r="DF8943" s="243"/>
      <c r="DG8943" s="243"/>
      <c r="DH8943" s="243"/>
      <c r="DI8943" s="243"/>
    </row>
    <row r="8945" spans="2:38" ht="20" thickBot="1">
      <c r="B8945" s="240" t="s">
        <v>1389</v>
      </c>
      <c r="C8945" s="76" t="s">
        <v>1390</v>
      </c>
    </row>
    <row r="8946" spans="2:38">
      <c r="B8946" s="245"/>
      <c r="C8946" s="509"/>
      <c r="D8946" s="1623" t="s">
        <v>1391</v>
      </c>
      <c r="E8946" s="1624"/>
      <c r="F8946" s="1625" t="s">
        <v>1392</v>
      </c>
      <c r="G8946" s="1625"/>
      <c r="H8946" s="1625"/>
      <c r="I8946" s="1625"/>
      <c r="J8946" s="1625"/>
      <c r="K8946" s="1625"/>
      <c r="L8946" s="1625"/>
      <c r="M8946" s="1625"/>
      <c r="N8946" s="1625"/>
      <c r="O8946" s="1625"/>
      <c r="P8946" s="1625"/>
      <c r="Q8946" s="1625"/>
      <c r="R8946" s="1625"/>
      <c r="S8946" s="1625"/>
      <c r="T8946" s="1625"/>
      <c r="U8946" s="1625"/>
      <c r="V8946" s="1625"/>
      <c r="W8946" s="1625"/>
      <c r="X8946" s="1625"/>
      <c r="Y8946" s="1625"/>
      <c r="Z8946" s="1625"/>
      <c r="AA8946" s="1625"/>
      <c r="AB8946" s="1625"/>
      <c r="AC8946" s="1625"/>
      <c r="AD8946" s="1625"/>
      <c r="AE8946" s="1625"/>
      <c r="AF8946" s="1625"/>
      <c r="AG8946" s="1625"/>
      <c r="AH8946" s="1625"/>
      <c r="AI8946" s="1625"/>
      <c r="AJ8946" s="1625"/>
      <c r="AK8946" s="1625"/>
      <c r="AL8946" s="501"/>
    </row>
    <row r="8947" spans="2:38">
      <c r="B8947" s="337" t="s">
        <v>1360</v>
      </c>
      <c r="C8947" s="338" t="s">
        <v>1361</v>
      </c>
      <c r="D8947" s="1092">
        <v>2015</v>
      </c>
      <c r="E8947" s="663">
        <v>2020</v>
      </c>
      <c r="F8947" s="1093" t="s">
        <v>1393</v>
      </c>
      <c r="G8947" s="338">
        <v>1</v>
      </c>
      <c r="H8947" s="338">
        <v>2</v>
      </c>
      <c r="I8947" s="338">
        <v>3</v>
      </c>
      <c r="J8947" s="338">
        <v>4</v>
      </c>
      <c r="K8947" s="338">
        <v>5</v>
      </c>
      <c r="L8947" s="338">
        <v>6</v>
      </c>
      <c r="M8947" s="338">
        <v>7</v>
      </c>
      <c r="N8947" s="338">
        <v>8</v>
      </c>
      <c r="O8947" s="338">
        <v>9</v>
      </c>
      <c r="P8947" s="338">
        <v>10</v>
      </c>
      <c r="Q8947" s="338">
        <v>11</v>
      </c>
      <c r="R8947" s="338">
        <v>12</v>
      </c>
      <c r="S8947" s="338">
        <v>13</v>
      </c>
      <c r="T8947" s="338">
        <v>14</v>
      </c>
      <c r="U8947" s="338">
        <v>15</v>
      </c>
      <c r="V8947" s="338">
        <v>16</v>
      </c>
      <c r="W8947" s="338">
        <v>17</v>
      </c>
      <c r="X8947" s="338">
        <v>18</v>
      </c>
      <c r="Y8947" s="338">
        <v>19</v>
      </c>
      <c r="Z8947" s="338">
        <v>20</v>
      </c>
      <c r="AA8947" s="338">
        <v>21</v>
      </c>
      <c r="AB8947" s="338">
        <v>22</v>
      </c>
      <c r="AC8947" s="338">
        <v>23</v>
      </c>
      <c r="AD8947" s="338">
        <v>24</v>
      </c>
      <c r="AE8947" s="338">
        <v>25</v>
      </c>
      <c r="AF8947" s="338">
        <v>26</v>
      </c>
      <c r="AG8947" s="338">
        <v>27</v>
      </c>
      <c r="AH8947" s="338">
        <v>28</v>
      </c>
      <c r="AI8947" s="338">
        <v>29</v>
      </c>
      <c r="AJ8947" s="338">
        <v>30</v>
      </c>
      <c r="AK8947" s="132"/>
      <c r="AL8947" s="142"/>
    </row>
    <row r="8948" spans="2:38">
      <c r="B8948" s="136" t="s">
        <v>1362</v>
      </c>
      <c r="C8948" s="132" t="s">
        <v>282</v>
      </c>
      <c r="D8948" s="1094">
        <v>1.4259999999999999</v>
      </c>
      <c r="E8948" s="1095">
        <v>1.4239999999999999</v>
      </c>
      <c r="F8948" s="605">
        <v>1</v>
      </c>
      <c r="G8948" s="605">
        <v>1.0011637457634053</v>
      </c>
      <c r="H8948" s="605">
        <v>1.0025219736473581</v>
      </c>
      <c r="I8948" s="605">
        <v>1.0047261043468956</v>
      </c>
      <c r="J8948" s="605">
        <v>1.0442405913767006</v>
      </c>
      <c r="K8948" s="605">
        <v>1.0479118347720184</v>
      </c>
      <c r="L8948" s="605">
        <v>1.0526738144615395</v>
      </c>
      <c r="M8948" s="605">
        <v>1.0573231329873776</v>
      </c>
      <c r="N8948" s="605">
        <v>1.0621820390411842</v>
      </c>
      <c r="O8948" s="605">
        <v>1.0676722252468003</v>
      </c>
      <c r="P8948" s="605">
        <v>1.0741417453668882</v>
      </c>
      <c r="Q8948" s="605">
        <v>1.0816289923119768</v>
      </c>
      <c r="R8948" s="605">
        <v>1.0900175285665283</v>
      </c>
      <c r="S8948" s="605">
        <v>1.0991915460069799</v>
      </c>
      <c r="T8948" s="605">
        <v>1.1092397889019314</v>
      </c>
      <c r="U8948" s="605">
        <v>1.1198727369424768</v>
      </c>
      <c r="V8948" s="605">
        <v>1.1323334392809825</v>
      </c>
      <c r="W8948" s="605">
        <v>1.1453807349410101</v>
      </c>
      <c r="X8948" s="605">
        <v>1.160491177497978</v>
      </c>
      <c r="Y8948" s="605">
        <v>1.1777642108840753</v>
      </c>
      <c r="Z8948" s="605">
        <v>1.195728316659691</v>
      </c>
      <c r="AA8948" s="605">
        <v>1.2160394251133693</v>
      </c>
      <c r="AB8948" s="605">
        <v>1.2387749514581439</v>
      </c>
      <c r="AC8948" s="605">
        <v>1.2634685162398864</v>
      </c>
      <c r="AD8948" s="605">
        <v>1.2902277454864728</v>
      </c>
      <c r="AE8948" s="605">
        <v>1.322392822413907</v>
      </c>
      <c r="AF8948" s="605">
        <v>1.3526728703735755</v>
      </c>
      <c r="AG8948" s="605">
        <v>1.3892222918050017</v>
      </c>
      <c r="AH8948" s="605">
        <v>1.4272256087007147</v>
      </c>
      <c r="AI8948" s="605">
        <v>1.4734626314249122</v>
      </c>
      <c r="AJ8948" s="605">
        <v>1.5203303049089429</v>
      </c>
      <c r="AK8948" s="132" t="s">
        <v>1387</v>
      </c>
      <c r="AL8948" s="142" t="str">
        <f t="shared" ref="AL8948:AL9011" si="193">LEFT(B8948,FIND(",",B8948)-1)</f>
        <v>Combination long-haul truck</v>
      </c>
    </row>
    <row r="8949" spans="2:38">
      <c r="B8949" s="136" t="s">
        <v>1362</v>
      </c>
      <c r="C8949" s="132" t="s">
        <v>283</v>
      </c>
      <c r="D8949" s="1094">
        <v>3.492</v>
      </c>
      <c r="E8949" s="1095">
        <v>3.4849999999999999</v>
      </c>
      <c r="F8949" s="605">
        <v>1</v>
      </c>
      <c r="G8949" s="605">
        <v>1.0000535989510249</v>
      </c>
      <c r="H8949" s="605">
        <v>1.0001138690161258</v>
      </c>
      <c r="I8949" s="605">
        <v>1.0002123254583517</v>
      </c>
      <c r="J8949" s="605">
        <v>1.1402079547284396</v>
      </c>
      <c r="K8949" s="605">
        <v>1.140368751581514</v>
      </c>
      <c r="L8949" s="605">
        <v>1.1420944997814635</v>
      </c>
      <c r="M8949" s="605">
        <v>1.1423033746635687</v>
      </c>
      <c r="N8949" s="605">
        <v>1.1425154700835038</v>
      </c>
      <c r="O8949" s="605">
        <v>1.1427629914195669</v>
      </c>
      <c r="P8949" s="605">
        <v>1.1430521497090014</v>
      </c>
      <c r="Q8949" s="605">
        <v>1.1433866255664695</v>
      </c>
      <c r="R8949" s="605">
        <v>1.1437558372248164</v>
      </c>
      <c r="S8949" s="605">
        <v>1.1441643854523706</v>
      </c>
      <c r="T8949" s="605">
        <v>1.14461365047963</v>
      </c>
      <c r="U8949" s="605">
        <v>1.1450875296174461</v>
      </c>
      <c r="V8949" s="605">
        <v>1.1456387016631777</v>
      </c>
      <c r="W8949" s="605">
        <v>1.1462183984725449</v>
      </c>
      <c r="X8949" s="605">
        <v>1.1468933311863081</v>
      </c>
      <c r="Y8949" s="605">
        <v>1.1476593591129718</v>
      </c>
      <c r="Z8949" s="605">
        <v>1.1484631133399277</v>
      </c>
      <c r="AA8949" s="605">
        <v>1.1493653240091095</v>
      </c>
      <c r="AB8949" s="605">
        <v>1.1503781831565871</v>
      </c>
      <c r="AC8949" s="605">
        <v>1.1514768466333878</v>
      </c>
      <c r="AD8949" s="605">
        <v>1.1526654551310069</v>
      </c>
      <c r="AE8949" s="605">
        <v>1.1540949138506129</v>
      </c>
      <c r="AF8949" s="605">
        <v>1.1554422488555587</v>
      </c>
      <c r="AG8949" s="605">
        <v>1.1570690805364494</v>
      </c>
      <c r="AH8949" s="605">
        <v>1.1587600929355202</v>
      </c>
      <c r="AI8949" s="605">
        <v>1.160815486186193</v>
      </c>
      <c r="AJ8949" s="605">
        <v>1.1629003243541671</v>
      </c>
      <c r="AK8949" s="132" t="s">
        <v>1387</v>
      </c>
      <c r="AL8949" s="142" t="str">
        <f t="shared" si="193"/>
        <v>Combination long-haul truck</v>
      </c>
    </row>
    <row r="8950" spans="2:38">
      <c r="B8950" s="136" t="s">
        <v>1362</v>
      </c>
      <c r="C8950" s="132" t="s">
        <v>284</v>
      </c>
      <c r="D8950" s="1094">
        <v>4.1000000000000002E-2</v>
      </c>
      <c r="E8950" s="1095">
        <v>4.1000000000000002E-2</v>
      </c>
      <c r="F8950" s="605">
        <v>1</v>
      </c>
      <c r="G8950" s="605">
        <v>0.96413509007094511</v>
      </c>
      <c r="H8950" s="605">
        <v>0.96413509007094511</v>
      </c>
      <c r="I8950" s="605">
        <v>0.96413509007094511</v>
      </c>
      <c r="J8950" s="605">
        <v>1.3758786412528199</v>
      </c>
      <c r="K8950" s="605">
        <v>1.3758786412528199</v>
      </c>
      <c r="L8950" s="605">
        <v>1.3782652760976886</v>
      </c>
      <c r="M8950" s="605">
        <v>1.3782652760976886</v>
      </c>
      <c r="N8950" s="605">
        <v>1.3782652760976886</v>
      </c>
      <c r="O8950" s="605">
        <v>1.3782652760976886</v>
      </c>
      <c r="P8950" s="605">
        <v>1.3782652760976886</v>
      </c>
      <c r="Q8950" s="605">
        <v>1.3782979697257005</v>
      </c>
      <c r="R8950" s="605">
        <v>1.3782979697257005</v>
      </c>
      <c r="S8950" s="605">
        <v>1.3782979697257005</v>
      </c>
      <c r="T8950" s="605">
        <v>1.3782979697257005</v>
      </c>
      <c r="U8950" s="605">
        <v>1.3782979697257005</v>
      </c>
      <c r="V8950" s="605">
        <v>1.3782979697257005</v>
      </c>
      <c r="W8950" s="605">
        <v>1.3782979697257005</v>
      </c>
      <c r="X8950" s="605">
        <v>1.3782979697257005</v>
      </c>
      <c r="Y8950" s="605">
        <v>1.3783306633537125</v>
      </c>
      <c r="Z8950" s="605">
        <v>1.3783306633537125</v>
      </c>
      <c r="AA8950" s="605">
        <v>1.3783306633537125</v>
      </c>
      <c r="AB8950" s="605">
        <v>1.3783306633537125</v>
      </c>
      <c r="AC8950" s="605">
        <v>1.3783633569817244</v>
      </c>
      <c r="AD8950" s="605">
        <v>1.3783633569817244</v>
      </c>
      <c r="AE8950" s="605">
        <v>1.3783633569817244</v>
      </c>
      <c r="AF8950" s="605">
        <v>1.3783960506097361</v>
      </c>
      <c r="AG8950" s="605">
        <v>1.3783960506097361</v>
      </c>
      <c r="AH8950" s="605">
        <v>1.3784287442377481</v>
      </c>
      <c r="AI8950" s="605">
        <v>1.3784287442377481</v>
      </c>
      <c r="AJ8950" s="605">
        <v>1.37846143786576</v>
      </c>
      <c r="AK8950" s="132" t="s">
        <v>1387</v>
      </c>
      <c r="AL8950" s="142" t="str">
        <f t="shared" si="193"/>
        <v>Combination long-haul truck</v>
      </c>
    </row>
    <row r="8951" spans="2:38">
      <c r="B8951" s="136" t="s">
        <v>1362</v>
      </c>
      <c r="C8951" s="132" t="s">
        <v>1379</v>
      </c>
      <c r="D8951" s="1094">
        <v>7.6999999999999999E-2</v>
      </c>
      <c r="E8951" s="1095">
        <v>7.6999999999999999E-2</v>
      </c>
      <c r="F8951" s="605">
        <v>1</v>
      </c>
      <c r="G8951" s="605">
        <v>1</v>
      </c>
      <c r="H8951" s="605">
        <v>1</v>
      </c>
      <c r="I8951" s="605">
        <v>1</v>
      </c>
      <c r="J8951" s="605">
        <v>1</v>
      </c>
      <c r="K8951" s="605">
        <v>1</v>
      </c>
      <c r="L8951" s="605">
        <v>1</v>
      </c>
      <c r="M8951" s="605">
        <v>1</v>
      </c>
      <c r="N8951" s="605">
        <v>1</v>
      </c>
      <c r="O8951" s="605">
        <v>1</v>
      </c>
      <c r="P8951" s="605">
        <v>1</v>
      </c>
      <c r="Q8951" s="605">
        <v>1</v>
      </c>
      <c r="R8951" s="605">
        <v>1</v>
      </c>
      <c r="S8951" s="605">
        <v>1</v>
      </c>
      <c r="T8951" s="605">
        <v>1</v>
      </c>
      <c r="U8951" s="605">
        <v>1</v>
      </c>
      <c r="V8951" s="605">
        <v>1</v>
      </c>
      <c r="W8951" s="605">
        <v>1</v>
      </c>
      <c r="X8951" s="605">
        <v>1</v>
      </c>
      <c r="Y8951" s="605">
        <v>1</v>
      </c>
      <c r="Z8951" s="605">
        <v>1</v>
      </c>
      <c r="AA8951" s="605">
        <v>1</v>
      </c>
      <c r="AB8951" s="605">
        <v>1</v>
      </c>
      <c r="AC8951" s="605">
        <v>1</v>
      </c>
      <c r="AD8951" s="605">
        <v>1</v>
      </c>
      <c r="AE8951" s="605">
        <v>1</v>
      </c>
      <c r="AF8951" s="605">
        <v>1</v>
      </c>
      <c r="AG8951" s="605">
        <v>1</v>
      </c>
      <c r="AH8951" s="605">
        <v>1</v>
      </c>
      <c r="AI8951" s="605">
        <v>1</v>
      </c>
      <c r="AJ8951" s="605">
        <v>1</v>
      </c>
      <c r="AK8951" s="132" t="s">
        <v>1387</v>
      </c>
      <c r="AL8951" s="142" t="str">
        <f t="shared" si="193"/>
        <v>Combination long-haul truck</v>
      </c>
    </row>
    <row r="8952" spans="2:38">
      <c r="B8952" s="136" t="s">
        <v>1362</v>
      </c>
      <c r="C8952" s="132" t="s">
        <v>285</v>
      </c>
      <c r="D8952" s="1094">
        <v>3.7999999999999999E-2</v>
      </c>
      <c r="E8952" s="1095">
        <v>3.7999999999999999E-2</v>
      </c>
      <c r="F8952" s="605">
        <v>1</v>
      </c>
      <c r="G8952" s="605">
        <v>0.96410636648579418</v>
      </c>
      <c r="H8952" s="605">
        <v>0.96410636648579418</v>
      </c>
      <c r="I8952" s="605">
        <v>0.96410636648579418</v>
      </c>
      <c r="J8952" s="605">
        <v>1.3758552121600216</v>
      </c>
      <c r="K8952" s="605">
        <v>1.3758552121600216</v>
      </c>
      <c r="L8952" s="605">
        <v>1.3782481210609687</v>
      </c>
      <c r="M8952" s="605">
        <v>1.3782481210609687</v>
      </c>
      <c r="N8952" s="605">
        <v>1.3782481210609687</v>
      </c>
      <c r="O8952" s="605">
        <v>1.3782481210609687</v>
      </c>
      <c r="P8952" s="605">
        <v>1.3782481210609687</v>
      </c>
      <c r="Q8952" s="605">
        <v>1.3782481210609687</v>
      </c>
      <c r="R8952" s="605">
        <v>1.3782481210609687</v>
      </c>
      <c r="S8952" s="605">
        <v>1.3782481210609687</v>
      </c>
      <c r="T8952" s="605">
        <v>1.3782818240032355</v>
      </c>
      <c r="U8952" s="605">
        <v>1.3782818240032355</v>
      </c>
      <c r="V8952" s="605">
        <v>1.3782818240032355</v>
      </c>
      <c r="W8952" s="605">
        <v>1.3782818240032355</v>
      </c>
      <c r="X8952" s="605">
        <v>1.3782818240032355</v>
      </c>
      <c r="Y8952" s="605">
        <v>1.3782818240032355</v>
      </c>
      <c r="Z8952" s="605">
        <v>1.3782818240032355</v>
      </c>
      <c r="AA8952" s="605">
        <v>1.3783155269455025</v>
      </c>
      <c r="AB8952" s="605">
        <v>1.3783155269455025</v>
      </c>
      <c r="AC8952" s="605">
        <v>1.3783155269455025</v>
      </c>
      <c r="AD8952" s="605">
        <v>1.3783492298877693</v>
      </c>
      <c r="AE8952" s="605">
        <v>1.3783492298877693</v>
      </c>
      <c r="AF8952" s="605">
        <v>1.3783492298877693</v>
      </c>
      <c r="AG8952" s="605">
        <v>1.3783829328300359</v>
      </c>
      <c r="AH8952" s="605">
        <v>1.3783829328300359</v>
      </c>
      <c r="AI8952" s="605">
        <v>1.3784166357723029</v>
      </c>
      <c r="AJ8952" s="605">
        <v>1.3784166357723029</v>
      </c>
      <c r="AK8952" s="132" t="s">
        <v>1387</v>
      </c>
      <c r="AL8952" s="142" t="str">
        <f t="shared" si="193"/>
        <v>Combination long-haul truck</v>
      </c>
    </row>
    <row r="8953" spans="2:38">
      <c r="B8953" s="136" t="s">
        <v>1362</v>
      </c>
      <c r="C8953" s="132" t="s">
        <v>1380</v>
      </c>
      <c r="D8953" s="1094">
        <v>0.02</v>
      </c>
      <c r="E8953" s="1095">
        <v>0.02</v>
      </c>
      <c r="F8953" s="605">
        <v>1</v>
      </c>
      <c r="G8953" s="605">
        <v>1</v>
      </c>
      <c r="H8953" s="605">
        <v>1</v>
      </c>
      <c r="I8953" s="605">
        <v>1</v>
      </c>
      <c r="J8953" s="605">
        <v>1</v>
      </c>
      <c r="K8953" s="605">
        <v>1</v>
      </c>
      <c r="L8953" s="605">
        <v>1</v>
      </c>
      <c r="M8953" s="605">
        <v>1</v>
      </c>
      <c r="N8953" s="605">
        <v>1</v>
      </c>
      <c r="O8953" s="605">
        <v>1</v>
      </c>
      <c r="P8953" s="605">
        <v>1</v>
      </c>
      <c r="Q8953" s="605">
        <v>1</v>
      </c>
      <c r="R8953" s="605">
        <v>1</v>
      </c>
      <c r="S8953" s="605">
        <v>1</v>
      </c>
      <c r="T8953" s="605">
        <v>1</v>
      </c>
      <c r="U8953" s="605">
        <v>1</v>
      </c>
      <c r="V8953" s="605">
        <v>1</v>
      </c>
      <c r="W8953" s="605">
        <v>1</v>
      </c>
      <c r="X8953" s="605">
        <v>1</v>
      </c>
      <c r="Y8953" s="605">
        <v>1</v>
      </c>
      <c r="Z8953" s="605">
        <v>1</v>
      </c>
      <c r="AA8953" s="605">
        <v>1</v>
      </c>
      <c r="AB8953" s="605">
        <v>1</v>
      </c>
      <c r="AC8953" s="605">
        <v>1</v>
      </c>
      <c r="AD8953" s="605">
        <v>1</v>
      </c>
      <c r="AE8953" s="605">
        <v>1</v>
      </c>
      <c r="AF8953" s="605">
        <v>1</v>
      </c>
      <c r="AG8953" s="605">
        <v>1</v>
      </c>
      <c r="AH8953" s="605">
        <v>1</v>
      </c>
      <c r="AI8953" s="605">
        <v>1</v>
      </c>
      <c r="AJ8953" s="605">
        <v>1</v>
      </c>
      <c r="AK8953" s="132" t="s">
        <v>1387</v>
      </c>
      <c r="AL8953" s="142" t="str">
        <f t="shared" si="193"/>
        <v>Combination long-haul truck</v>
      </c>
    </row>
    <row r="8954" spans="2:38">
      <c r="B8954" s="136" t="s">
        <v>1362</v>
      </c>
      <c r="C8954" s="132" t="s">
        <v>281</v>
      </c>
      <c r="D8954" s="1094">
        <v>0.35599999999999998</v>
      </c>
      <c r="E8954" s="1095">
        <v>0.35499999999999998</v>
      </c>
      <c r="F8954" s="605">
        <v>1</v>
      </c>
      <c r="G8954" s="605">
        <v>1.0001045098488091</v>
      </c>
      <c r="H8954" s="605">
        <v>1.0002214613462859</v>
      </c>
      <c r="I8954" s="605">
        <v>1.0004180393952364</v>
      </c>
      <c r="J8954" s="605">
        <v>1.0149274900715644</v>
      </c>
      <c r="K8954" s="605">
        <v>1.0152534612666593</v>
      </c>
      <c r="L8954" s="605">
        <v>1.0158232887756422</v>
      </c>
      <c r="M8954" s="605">
        <v>1.0162338631816779</v>
      </c>
      <c r="N8954" s="605">
        <v>1.0166643442255821</v>
      </c>
      <c r="O8954" s="605">
        <v>1.0171545451830912</v>
      </c>
      <c r="P8954" s="605">
        <v>1.0177268610218075</v>
      </c>
      <c r="Q8954" s="605">
        <v>1.018393733390399</v>
      </c>
      <c r="R8954" s="605">
        <v>1.0191352556509967</v>
      </c>
      <c r="S8954" s="605">
        <v>1.019951427803601</v>
      </c>
      <c r="T8954" s="605">
        <v>1.0208447381779453</v>
      </c>
      <c r="U8954" s="605">
        <v>1.0217903034766944</v>
      </c>
      <c r="V8954" s="605">
        <v>1.0228926335486568</v>
      </c>
      <c r="W8954" s="605">
        <v>1.024052195204491</v>
      </c>
      <c r="X8954" s="605">
        <v>1.0253958932606078</v>
      </c>
      <c r="Y8954" s="605">
        <v>1.0269287043764743</v>
      </c>
      <c r="Z8954" s="605">
        <v>1.0285262120654131</v>
      </c>
      <c r="AA8954" s="605">
        <v>1.0303277627925032</v>
      </c>
      <c r="AB8954" s="605">
        <v>1.0323482865361455</v>
      </c>
      <c r="AC8954" s="605">
        <v>1.0345454816908697</v>
      </c>
      <c r="AD8954" s="605">
        <v>1.0369193482566761</v>
      </c>
      <c r="AE8954" s="605">
        <v>1.0397734624610577</v>
      </c>
      <c r="AF8954" s="605">
        <v>1.0424633469030249</v>
      </c>
      <c r="AG8954" s="605">
        <v>1.0457081288755734</v>
      </c>
      <c r="AH8954" s="605">
        <v>1.0490847923240003</v>
      </c>
      <c r="AI8954" s="605">
        <v>1.0531905363843574</v>
      </c>
      <c r="AJ8954" s="605">
        <v>1.057353512028586</v>
      </c>
      <c r="AK8954" s="132" t="s">
        <v>1387</v>
      </c>
      <c r="AL8954" s="142" t="str">
        <f t="shared" si="193"/>
        <v>Combination long-haul truck</v>
      </c>
    </row>
    <row r="8955" spans="2:38">
      <c r="B8955" s="136" t="s">
        <v>1362</v>
      </c>
      <c r="C8955" s="132" t="s">
        <v>1384</v>
      </c>
      <c r="D8955" s="1094">
        <v>5.8999999999999997E-2</v>
      </c>
      <c r="E8955" s="1095">
        <v>5.8000000000000003E-2</v>
      </c>
      <c r="F8955" s="605">
        <v>1</v>
      </c>
      <c r="G8955" s="605">
        <v>1</v>
      </c>
      <c r="H8955" s="605">
        <v>1</v>
      </c>
      <c r="I8955" s="605">
        <v>1</v>
      </c>
      <c r="J8955" s="605">
        <v>1</v>
      </c>
      <c r="K8955" s="605">
        <v>1</v>
      </c>
      <c r="L8955" s="605">
        <v>1</v>
      </c>
      <c r="M8955" s="605">
        <v>1</v>
      </c>
      <c r="N8955" s="605">
        <v>1</v>
      </c>
      <c r="O8955" s="605">
        <v>1</v>
      </c>
      <c r="P8955" s="605">
        <v>1</v>
      </c>
      <c r="Q8955" s="605">
        <v>1</v>
      </c>
      <c r="R8955" s="605">
        <v>1</v>
      </c>
      <c r="S8955" s="605">
        <v>1</v>
      </c>
      <c r="T8955" s="605">
        <v>1</v>
      </c>
      <c r="U8955" s="605">
        <v>1</v>
      </c>
      <c r="V8955" s="605">
        <v>1</v>
      </c>
      <c r="W8955" s="605">
        <v>1</v>
      </c>
      <c r="X8955" s="605">
        <v>1</v>
      </c>
      <c r="Y8955" s="605">
        <v>1</v>
      </c>
      <c r="Z8955" s="605">
        <v>1</v>
      </c>
      <c r="AA8955" s="605">
        <v>1</v>
      </c>
      <c r="AB8955" s="605">
        <v>1</v>
      </c>
      <c r="AC8955" s="605">
        <v>1</v>
      </c>
      <c r="AD8955" s="605">
        <v>1</v>
      </c>
      <c r="AE8955" s="605">
        <v>1</v>
      </c>
      <c r="AF8955" s="605">
        <v>1</v>
      </c>
      <c r="AG8955" s="605">
        <v>1</v>
      </c>
      <c r="AH8955" s="605">
        <v>1</v>
      </c>
      <c r="AI8955" s="605">
        <v>1</v>
      </c>
      <c r="AJ8955" s="605">
        <v>1</v>
      </c>
      <c r="AK8955" s="132" t="s">
        <v>1387</v>
      </c>
      <c r="AL8955" s="142" t="str">
        <f t="shared" si="193"/>
        <v>Combination long-haul truck</v>
      </c>
    </row>
    <row r="8956" spans="2:38">
      <c r="B8956" s="136" t="s">
        <v>1363</v>
      </c>
      <c r="C8956" s="132" t="s">
        <v>282</v>
      </c>
      <c r="D8956" s="1094">
        <v>0.52600000000000002</v>
      </c>
      <c r="E8956" s="1095">
        <v>0.52100000000000002</v>
      </c>
      <c r="F8956" s="605">
        <v>1</v>
      </c>
      <c r="G8956" s="605">
        <v>1.0083712872670374</v>
      </c>
      <c r="H8956" s="605">
        <v>1.0174886138198889</v>
      </c>
      <c r="I8956" s="605">
        <v>1.0309368800469418</v>
      </c>
      <c r="J8956" s="605">
        <v>1.2109698510715583</v>
      </c>
      <c r="K8956" s="605">
        <v>1.2320629243622341</v>
      </c>
      <c r="L8956" s="605">
        <v>1.265690575316438</v>
      </c>
      <c r="M8956" s="605">
        <v>1.2926988739556848</v>
      </c>
      <c r="N8956" s="605">
        <v>1.321514990639582</v>
      </c>
      <c r="O8956" s="605">
        <v>1.3539104194026099</v>
      </c>
      <c r="P8956" s="605">
        <v>1.3924725474307749</v>
      </c>
      <c r="Q8956" s="605">
        <v>1.4373969655480736</v>
      </c>
      <c r="R8956" s="605">
        <v>1.4901450166252201</v>
      </c>
      <c r="S8956" s="605">
        <v>1.5465729693481236</v>
      </c>
      <c r="T8956" s="605">
        <v>1.6112073542149823</v>
      </c>
      <c r="U8956" s="605">
        <v>1.6831205118891281</v>
      </c>
      <c r="V8956" s="605">
        <v>1.7619044957947974</v>
      </c>
      <c r="W8956" s="605">
        <v>1.8517896560395655</v>
      </c>
      <c r="X8956" s="605">
        <v>1.9603369750481994</v>
      </c>
      <c r="Y8956" s="605">
        <v>2.0717930090251193</v>
      </c>
      <c r="Z8956" s="605">
        <v>2.2111207354214981</v>
      </c>
      <c r="AA8956" s="605">
        <v>2.3475090111486767</v>
      </c>
      <c r="AB8956" s="605">
        <v>2.5192098130710554</v>
      </c>
      <c r="AC8956" s="605">
        <v>2.7131409092179162</v>
      </c>
      <c r="AD8956" s="605">
        <v>2.9313615915504765</v>
      </c>
      <c r="AE8956" s="605">
        <v>3.1323199865880582</v>
      </c>
      <c r="AF8956" s="605">
        <v>3.4283439045516779</v>
      </c>
      <c r="AG8956" s="605">
        <v>3.6955377350582586</v>
      </c>
      <c r="AH8956" s="605">
        <v>4.0307273184498031</v>
      </c>
      <c r="AI8956" s="605">
        <v>4.3660929335829444</v>
      </c>
      <c r="AJ8956" s="605">
        <v>4.7857861354047335</v>
      </c>
      <c r="AK8956" s="132" t="s">
        <v>1387</v>
      </c>
      <c r="AL8956" s="142" t="str">
        <f t="shared" si="193"/>
        <v>Combination short-haul truck</v>
      </c>
    </row>
    <row r="8957" spans="2:38">
      <c r="B8957" s="136" t="s">
        <v>1363</v>
      </c>
      <c r="C8957" s="132" t="s">
        <v>283</v>
      </c>
      <c r="D8957" s="1094">
        <v>1.2869999999999999</v>
      </c>
      <c r="E8957" s="1095">
        <v>1.2809999999999999</v>
      </c>
      <c r="F8957" s="605">
        <v>1</v>
      </c>
      <c r="G8957" s="605">
        <v>1.0003860673334999</v>
      </c>
      <c r="H8957" s="605">
        <v>1.0008023486322306</v>
      </c>
      <c r="I8957" s="605">
        <v>1.0014175385353947</v>
      </c>
      <c r="J8957" s="605">
        <v>1.4972219937524234</v>
      </c>
      <c r="K8957" s="605">
        <v>1.4981896799166095</v>
      </c>
      <c r="L8957" s="605">
        <v>1.523845532781313</v>
      </c>
      <c r="M8957" s="605">
        <v>1.5250876624630088</v>
      </c>
      <c r="N8957" s="605">
        <v>1.5264103627186525</v>
      </c>
      <c r="O8957" s="605">
        <v>1.5278950433990037</v>
      </c>
      <c r="P8957" s="605">
        <v>1.5296701138562923</v>
      </c>
      <c r="Q8957" s="605">
        <v>1.5317313777064578</v>
      </c>
      <c r="R8957" s="605">
        <v>1.5341568876930127</v>
      </c>
      <c r="S8957" s="605">
        <v>1.5367477352115229</v>
      </c>
      <c r="T8957" s="605">
        <v>1.5397196144026615</v>
      </c>
      <c r="U8957" s="605">
        <v>1.5430230079345228</v>
      </c>
      <c r="V8957" s="605">
        <v>1.5466386124404323</v>
      </c>
      <c r="W8957" s="605">
        <v>1.550767854355259</v>
      </c>
      <c r="X8957" s="605">
        <v>1.5557548371719057</v>
      </c>
      <c r="Y8957" s="605">
        <v>1.5608761042784653</v>
      </c>
      <c r="Z8957" s="605">
        <v>1.5672755899696349</v>
      </c>
      <c r="AA8957" s="605">
        <v>1.5735416306477035</v>
      </c>
      <c r="AB8957" s="605">
        <v>1.5814249577424124</v>
      </c>
      <c r="AC8957" s="605">
        <v>1.5903355596549564</v>
      </c>
      <c r="AD8957" s="605">
        <v>1.600354846236095</v>
      </c>
      <c r="AE8957" s="605">
        <v>1.6095868911676185</v>
      </c>
      <c r="AF8957" s="605">
        <v>1.6231856933517526</v>
      </c>
      <c r="AG8957" s="605">
        <v>1.6354584381729951</v>
      </c>
      <c r="AH8957" s="605">
        <v>1.6508532927347164</v>
      </c>
      <c r="AI8957" s="605">
        <v>1.666256540064557</v>
      </c>
      <c r="AJ8957" s="605">
        <v>1.6855322106047661</v>
      </c>
      <c r="AK8957" s="132" t="s">
        <v>1387</v>
      </c>
      <c r="AL8957" s="142" t="str">
        <f t="shared" si="193"/>
        <v>Combination short-haul truck</v>
      </c>
    </row>
    <row r="8958" spans="2:38">
      <c r="B8958" s="136" t="s">
        <v>1363</v>
      </c>
      <c r="C8958" s="132" t="s">
        <v>284</v>
      </c>
      <c r="D8958" s="1094">
        <v>2.9000000000000001E-2</v>
      </c>
      <c r="E8958" s="1095">
        <v>2.9000000000000001E-2</v>
      </c>
      <c r="F8958" s="605">
        <v>1</v>
      </c>
      <c r="G8958" s="605">
        <v>0.9557261447826475</v>
      </c>
      <c r="H8958" s="605">
        <v>0.9557261447826475</v>
      </c>
      <c r="I8958" s="605">
        <v>0.95568151388021072</v>
      </c>
      <c r="J8958" s="605">
        <v>1.4544318486119789</v>
      </c>
      <c r="K8958" s="605">
        <v>1.4544318486119789</v>
      </c>
      <c r="L8958" s="605">
        <v>1.4688922610015174</v>
      </c>
      <c r="M8958" s="605">
        <v>1.4688922610015174</v>
      </c>
      <c r="N8958" s="605">
        <v>1.4688922610015174</v>
      </c>
      <c r="O8958" s="605">
        <v>1.4688922610015174</v>
      </c>
      <c r="P8958" s="605">
        <v>1.4688922610015174</v>
      </c>
      <c r="Q8958" s="605">
        <v>1.4688922610015174</v>
      </c>
      <c r="R8958" s="605">
        <v>1.4689368919039543</v>
      </c>
      <c r="S8958" s="605">
        <v>1.4689368919039543</v>
      </c>
      <c r="T8958" s="605">
        <v>1.4689368919039543</v>
      </c>
      <c r="U8958" s="605">
        <v>1.4689368919039543</v>
      </c>
      <c r="V8958" s="605">
        <v>1.4689368919039543</v>
      </c>
      <c r="W8958" s="605">
        <v>1.4689368919039543</v>
      </c>
      <c r="X8958" s="605">
        <v>1.4689815228063912</v>
      </c>
      <c r="Y8958" s="605">
        <v>1.4689815228063912</v>
      </c>
      <c r="Z8958" s="605">
        <v>1.4689815228063912</v>
      </c>
      <c r="AA8958" s="605">
        <v>1.4690261537088281</v>
      </c>
      <c r="AB8958" s="605">
        <v>1.4690261537088281</v>
      </c>
      <c r="AC8958" s="605">
        <v>1.4690707846112649</v>
      </c>
      <c r="AD8958" s="605">
        <v>1.4690707846112649</v>
      </c>
      <c r="AE8958" s="605">
        <v>1.4691154155137018</v>
      </c>
      <c r="AF8958" s="605">
        <v>1.4691154155137018</v>
      </c>
      <c r="AG8958" s="605">
        <v>1.4691600464161387</v>
      </c>
      <c r="AH8958" s="605">
        <v>1.4692046773185754</v>
      </c>
      <c r="AI8958" s="605">
        <v>1.4692493082210123</v>
      </c>
      <c r="AJ8958" s="605">
        <v>1.4692939391234492</v>
      </c>
      <c r="AK8958" s="132" t="s">
        <v>1387</v>
      </c>
      <c r="AL8958" s="142" t="str">
        <f t="shared" si="193"/>
        <v>Combination short-haul truck</v>
      </c>
    </row>
    <row r="8959" spans="2:38">
      <c r="B8959" s="136" t="s">
        <v>1363</v>
      </c>
      <c r="C8959" s="132" t="s">
        <v>1379</v>
      </c>
      <c r="D8959" s="1094">
        <v>7.0000000000000007E-2</v>
      </c>
      <c r="E8959" s="1095">
        <v>7.0000000000000007E-2</v>
      </c>
      <c r="F8959" s="605">
        <v>1</v>
      </c>
      <c r="G8959" s="605">
        <v>1</v>
      </c>
      <c r="H8959" s="605">
        <v>1</v>
      </c>
      <c r="I8959" s="605">
        <v>1</v>
      </c>
      <c r="J8959" s="605">
        <v>1</v>
      </c>
      <c r="K8959" s="605">
        <v>1</v>
      </c>
      <c r="L8959" s="605">
        <v>1</v>
      </c>
      <c r="M8959" s="605">
        <v>1</v>
      </c>
      <c r="N8959" s="605">
        <v>1</v>
      </c>
      <c r="O8959" s="605">
        <v>1</v>
      </c>
      <c r="P8959" s="605">
        <v>1</v>
      </c>
      <c r="Q8959" s="605">
        <v>1</v>
      </c>
      <c r="R8959" s="605">
        <v>1</v>
      </c>
      <c r="S8959" s="605">
        <v>1</v>
      </c>
      <c r="T8959" s="605">
        <v>1</v>
      </c>
      <c r="U8959" s="605">
        <v>1</v>
      </c>
      <c r="V8959" s="605">
        <v>1</v>
      </c>
      <c r="W8959" s="605">
        <v>1</v>
      </c>
      <c r="X8959" s="605">
        <v>1</v>
      </c>
      <c r="Y8959" s="605">
        <v>1</v>
      </c>
      <c r="Z8959" s="605">
        <v>1</v>
      </c>
      <c r="AA8959" s="605">
        <v>1</v>
      </c>
      <c r="AB8959" s="605">
        <v>1</v>
      </c>
      <c r="AC8959" s="605">
        <v>1</v>
      </c>
      <c r="AD8959" s="605">
        <v>1</v>
      </c>
      <c r="AE8959" s="605">
        <v>1</v>
      </c>
      <c r="AF8959" s="605">
        <v>1</v>
      </c>
      <c r="AG8959" s="605">
        <v>1</v>
      </c>
      <c r="AH8959" s="605">
        <v>1</v>
      </c>
      <c r="AI8959" s="605">
        <v>1</v>
      </c>
      <c r="AJ8959" s="605">
        <v>1</v>
      </c>
      <c r="AK8959" s="132" t="s">
        <v>1387</v>
      </c>
      <c r="AL8959" s="142" t="str">
        <f t="shared" si="193"/>
        <v>Combination short-haul truck</v>
      </c>
    </row>
    <row r="8960" spans="2:38">
      <c r="B8960" s="136" t="s">
        <v>1363</v>
      </c>
      <c r="C8960" s="132" t="s">
        <v>285</v>
      </c>
      <c r="D8960" s="1094">
        <v>2.7E-2</v>
      </c>
      <c r="E8960" s="1095">
        <v>2.5999999999999999E-2</v>
      </c>
      <c r="F8960" s="605">
        <v>1</v>
      </c>
      <c r="G8960" s="605">
        <v>0.9556935817805382</v>
      </c>
      <c r="H8960" s="605">
        <v>0.9556935817805382</v>
      </c>
      <c r="I8960" s="605">
        <v>0.9556935817805382</v>
      </c>
      <c r="J8960" s="605">
        <v>1.4543823326432022</v>
      </c>
      <c r="K8960" s="605">
        <v>1.4543823326432022</v>
      </c>
      <c r="L8960" s="605">
        <v>1.4688750862663906</v>
      </c>
      <c r="M8960" s="605">
        <v>1.4688750862663906</v>
      </c>
      <c r="N8960" s="605">
        <v>1.4688750862663906</v>
      </c>
      <c r="O8960" s="605">
        <v>1.4688750862663906</v>
      </c>
      <c r="P8960" s="605">
        <v>1.4688750862663906</v>
      </c>
      <c r="Q8960" s="605">
        <v>1.4688750862663906</v>
      </c>
      <c r="R8960" s="605">
        <v>1.4688750862663906</v>
      </c>
      <c r="S8960" s="605">
        <v>1.4688750862663906</v>
      </c>
      <c r="T8960" s="605">
        <v>1.4689210950080513</v>
      </c>
      <c r="U8960" s="605">
        <v>1.4689210950080513</v>
      </c>
      <c r="V8960" s="605">
        <v>1.4689210950080513</v>
      </c>
      <c r="W8960" s="605">
        <v>1.4689210950080513</v>
      </c>
      <c r="X8960" s="605">
        <v>1.4689210950080513</v>
      </c>
      <c r="Y8960" s="605">
        <v>1.4689671037497123</v>
      </c>
      <c r="Z8960" s="605">
        <v>1.4689671037497123</v>
      </c>
      <c r="AA8960" s="605">
        <v>1.4689671037497123</v>
      </c>
      <c r="AB8960" s="605">
        <v>1.4690131124913732</v>
      </c>
      <c r="AC8960" s="605">
        <v>1.4690131124913732</v>
      </c>
      <c r="AD8960" s="605">
        <v>1.4690591212330342</v>
      </c>
      <c r="AE8960" s="605">
        <v>1.4690591212330342</v>
      </c>
      <c r="AF8960" s="605">
        <v>1.4691051299746951</v>
      </c>
      <c r="AG8960" s="605">
        <v>1.4691511387163561</v>
      </c>
      <c r="AH8960" s="605">
        <v>1.4691511387163561</v>
      </c>
      <c r="AI8960" s="605">
        <v>1.4691971474580172</v>
      </c>
      <c r="AJ8960" s="605">
        <v>1.4692431561996777</v>
      </c>
      <c r="AK8960" s="132" t="s">
        <v>1387</v>
      </c>
      <c r="AL8960" s="142" t="str">
        <f t="shared" si="193"/>
        <v>Combination short-haul truck</v>
      </c>
    </row>
    <row r="8961" spans="2:38">
      <c r="B8961" s="136" t="s">
        <v>1363</v>
      </c>
      <c r="C8961" s="132" t="s">
        <v>1380</v>
      </c>
      <c r="D8961" s="1094">
        <v>1.7999999999999999E-2</v>
      </c>
      <c r="E8961" s="1095">
        <v>1.7999999999999999E-2</v>
      </c>
      <c r="F8961" s="605">
        <v>1</v>
      </c>
      <c r="G8961" s="605">
        <v>1</v>
      </c>
      <c r="H8961" s="605">
        <v>1</v>
      </c>
      <c r="I8961" s="605">
        <v>1</v>
      </c>
      <c r="J8961" s="605">
        <v>1</v>
      </c>
      <c r="K8961" s="605">
        <v>1</v>
      </c>
      <c r="L8961" s="605">
        <v>1</v>
      </c>
      <c r="M8961" s="605">
        <v>1</v>
      </c>
      <c r="N8961" s="605">
        <v>1</v>
      </c>
      <c r="O8961" s="605">
        <v>1</v>
      </c>
      <c r="P8961" s="605">
        <v>1</v>
      </c>
      <c r="Q8961" s="605">
        <v>1</v>
      </c>
      <c r="R8961" s="605">
        <v>1</v>
      </c>
      <c r="S8961" s="605">
        <v>1</v>
      </c>
      <c r="T8961" s="605">
        <v>1</v>
      </c>
      <c r="U8961" s="605">
        <v>1</v>
      </c>
      <c r="V8961" s="605">
        <v>1</v>
      </c>
      <c r="W8961" s="605">
        <v>1</v>
      </c>
      <c r="X8961" s="605">
        <v>1</v>
      </c>
      <c r="Y8961" s="605">
        <v>1</v>
      </c>
      <c r="Z8961" s="605">
        <v>1</v>
      </c>
      <c r="AA8961" s="605">
        <v>1</v>
      </c>
      <c r="AB8961" s="605">
        <v>1</v>
      </c>
      <c r="AC8961" s="605">
        <v>1</v>
      </c>
      <c r="AD8961" s="605">
        <v>1</v>
      </c>
      <c r="AE8961" s="605">
        <v>1</v>
      </c>
      <c r="AF8961" s="605">
        <v>1</v>
      </c>
      <c r="AG8961" s="605">
        <v>1</v>
      </c>
      <c r="AH8961" s="605">
        <v>1</v>
      </c>
      <c r="AI8961" s="605">
        <v>1</v>
      </c>
      <c r="AJ8961" s="605">
        <v>1</v>
      </c>
      <c r="AK8961" s="132" t="s">
        <v>1387</v>
      </c>
      <c r="AL8961" s="142" t="str">
        <f t="shared" si="193"/>
        <v>Combination short-haul truck</v>
      </c>
    </row>
    <row r="8962" spans="2:38">
      <c r="B8962" s="136" t="s">
        <v>1363</v>
      </c>
      <c r="C8962" s="132" t="s">
        <v>281</v>
      </c>
      <c r="D8962" s="1094">
        <v>5.0999999999999997E-2</v>
      </c>
      <c r="E8962" s="1095">
        <v>0.05</v>
      </c>
      <c r="F8962" s="605">
        <v>1</v>
      </c>
      <c r="G8962" s="605">
        <v>1.0009218662169759</v>
      </c>
      <c r="H8962" s="605">
        <v>1.0019111860595842</v>
      </c>
      <c r="I8962" s="605">
        <v>1.0033839235525577</v>
      </c>
      <c r="J8962" s="605">
        <v>1.0700056211354694</v>
      </c>
      <c r="K8962" s="605">
        <v>1.0723215289488477</v>
      </c>
      <c r="L8962" s="605">
        <v>1.0788083192804947</v>
      </c>
      <c r="M8962" s="605">
        <v>1.0817650365373805</v>
      </c>
      <c r="N8962" s="605">
        <v>1.0849241146711637</v>
      </c>
      <c r="O8962" s="605">
        <v>1.0884766722878021</v>
      </c>
      <c r="P8962" s="605">
        <v>1.0927037661607646</v>
      </c>
      <c r="Q8962" s="605">
        <v>1.097627880831928</v>
      </c>
      <c r="R8962" s="605">
        <v>1.1034176503653739</v>
      </c>
      <c r="S8962" s="605">
        <v>1.1096008993816751</v>
      </c>
      <c r="T8962" s="605">
        <v>1.1166835300730749</v>
      </c>
      <c r="U8962" s="605">
        <v>1.1245643620011241</v>
      </c>
      <c r="V8962" s="605">
        <v>1.1331984260820684</v>
      </c>
      <c r="W8962" s="605">
        <v>1.1430578976953345</v>
      </c>
      <c r="X8962" s="605">
        <v>1.1549522203485105</v>
      </c>
      <c r="Y8962" s="605">
        <v>1.1671725688589094</v>
      </c>
      <c r="Z8962" s="605">
        <v>1.1824395727937043</v>
      </c>
      <c r="AA8962" s="605">
        <v>1.1973917931422147</v>
      </c>
      <c r="AB8962" s="605">
        <v>1.2162113546936482</v>
      </c>
      <c r="AC8962" s="605">
        <v>1.2374704890387858</v>
      </c>
      <c r="AD8962" s="605">
        <v>1.2613940415964024</v>
      </c>
      <c r="AE8962" s="605">
        <v>1.2834176503653738</v>
      </c>
      <c r="AF8962" s="605">
        <v>1.3158628442945475</v>
      </c>
      <c r="AG8962" s="605">
        <v>1.3451602023608769</v>
      </c>
      <c r="AH8962" s="605">
        <v>1.3818999437886452</v>
      </c>
      <c r="AI8962" s="605">
        <v>1.4186509274873524</v>
      </c>
      <c r="AJ8962" s="605">
        <v>1.4646543001686341</v>
      </c>
      <c r="AK8962" s="132" t="s">
        <v>1387</v>
      </c>
      <c r="AL8962" s="142" t="str">
        <f t="shared" si="193"/>
        <v>Combination short-haul truck</v>
      </c>
    </row>
    <row r="8963" spans="2:38">
      <c r="B8963" s="136" t="s">
        <v>1363</v>
      </c>
      <c r="C8963" s="132" t="s">
        <v>1384</v>
      </c>
      <c r="D8963" s="1094">
        <v>5.3999999999999999E-2</v>
      </c>
      <c r="E8963" s="1095">
        <v>5.2999999999999999E-2</v>
      </c>
      <c r="F8963" s="605">
        <v>1</v>
      </c>
      <c r="G8963" s="605">
        <v>1</v>
      </c>
      <c r="H8963" s="605">
        <v>1</v>
      </c>
      <c r="I8963" s="605">
        <v>1</v>
      </c>
      <c r="J8963" s="605">
        <v>1</v>
      </c>
      <c r="K8963" s="605">
        <v>1</v>
      </c>
      <c r="L8963" s="605">
        <v>1</v>
      </c>
      <c r="M8963" s="605">
        <v>1</v>
      </c>
      <c r="N8963" s="605">
        <v>1</v>
      </c>
      <c r="O8963" s="605">
        <v>1</v>
      </c>
      <c r="P8963" s="605">
        <v>1</v>
      </c>
      <c r="Q8963" s="605">
        <v>1</v>
      </c>
      <c r="R8963" s="605">
        <v>1</v>
      </c>
      <c r="S8963" s="605">
        <v>1</v>
      </c>
      <c r="T8963" s="605">
        <v>1</v>
      </c>
      <c r="U8963" s="605">
        <v>1</v>
      </c>
      <c r="V8963" s="605">
        <v>1</v>
      </c>
      <c r="W8963" s="605">
        <v>1</v>
      </c>
      <c r="X8963" s="605">
        <v>1</v>
      </c>
      <c r="Y8963" s="605">
        <v>1</v>
      </c>
      <c r="Z8963" s="605">
        <v>1</v>
      </c>
      <c r="AA8963" s="605">
        <v>1</v>
      </c>
      <c r="AB8963" s="605">
        <v>1</v>
      </c>
      <c r="AC8963" s="605">
        <v>1</v>
      </c>
      <c r="AD8963" s="605">
        <v>1</v>
      </c>
      <c r="AE8963" s="605">
        <v>1</v>
      </c>
      <c r="AF8963" s="605">
        <v>1</v>
      </c>
      <c r="AG8963" s="605">
        <v>1</v>
      </c>
      <c r="AH8963" s="605">
        <v>1</v>
      </c>
      <c r="AI8963" s="605">
        <v>1</v>
      </c>
      <c r="AJ8963" s="605">
        <v>1</v>
      </c>
      <c r="AK8963" s="132" t="s">
        <v>1387</v>
      </c>
      <c r="AL8963" s="142" t="str">
        <f t="shared" si="193"/>
        <v>Combination short-haul truck</v>
      </c>
    </row>
    <row r="8964" spans="2:38">
      <c r="B8964" s="136" t="s">
        <v>1382</v>
      </c>
      <c r="C8964" s="132" t="s">
        <v>282</v>
      </c>
      <c r="D8964" s="1094">
        <v>0.36199999999999999</v>
      </c>
      <c r="E8964" s="1095">
        <v>0.36399999999999999</v>
      </c>
      <c r="F8964" s="605">
        <v>1</v>
      </c>
      <c r="G8964" s="605">
        <v>1.0030451585373541</v>
      </c>
      <c r="H8964" s="605">
        <v>1.0074496473984422</v>
      </c>
      <c r="I8964" s="605">
        <v>1.0133266094163933</v>
      </c>
      <c r="J8964" s="605">
        <v>1.6564627994446304</v>
      </c>
      <c r="K8964" s="605">
        <v>1.6691477273645641</v>
      </c>
      <c r="L8964" s="605">
        <v>1.9524379856049991</v>
      </c>
      <c r="M8964" s="605">
        <v>1.970946536778694</v>
      </c>
      <c r="N8964" s="605">
        <v>2.1184653952644874</v>
      </c>
      <c r="O8964" s="605">
        <v>2.1424743044544332</v>
      </c>
      <c r="P8964" s="605">
        <v>2.5697436668299156</v>
      </c>
      <c r="Q8964" s="605">
        <v>2.6026860108584793</v>
      </c>
      <c r="R8964" s="605">
        <v>2.6388723215454664</v>
      </c>
      <c r="S8964" s="605">
        <v>2.6785725253641988</v>
      </c>
      <c r="T8964" s="605">
        <v>2.721881985559742</v>
      </c>
      <c r="U8964" s="605">
        <v>3.1497881804531209</v>
      </c>
      <c r="V8964" s="605">
        <v>3.2035213282322079</v>
      </c>
      <c r="W8964" s="605">
        <v>3.2597921081257568</v>
      </c>
      <c r="X8964" s="605">
        <v>3.3173268550979738</v>
      </c>
      <c r="Y8964" s="605">
        <v>3.3750329326460715</v>
      </c>
      <c r="Z8964" s="605">
        <v>4.0246667539482814</v>
      </c>
      <c r="AA8964" s="605">
        <v>4.0753854533875771</v>
      </c>
      <c r="AB8964" s="605">
        <v>4.1190117135158815</v>
      </c>
      <c r="AC8964" s="605">
        <v>4.1524195594864608</v>
      </c>
      <c r="AD8964" s="605">
        <v>4.1737890080121289</v>
      </c>
      <c r="AE8964" s="605">
        <v>4.1804886800595451</v>
      </c>
      <c r="AF8964" s="605">
        <v>4.1691517681800327</v>
      </c>
      <c r="AG8964" s="605">
        <v>4.1536043265819389</v>
      </c>
      <c r="AH8964" s="605">
        <v>4.135800493626018</v>
      </c>
      <c r="AI8964" s="605">
        <v>4.1174471097663279</v>
      </c>
      <c r="AJ8964" s="605">
        <v>4.1013355703287768</v>
      </c>
      <c r="AK8964" s="132" t="s">
        <v>1387</v>
      </c>
      <c r="AL8964" s="142" t="str">
        <f t="shared" si="193"/>
        <v>Light commercial truck</v>
      </c>
    </row>
    <row r="8965" spans="2:38">
      <c r="B8965" s="136" t="s">
        <v>1382</v>
      </c>
      <c r="C8965" s="132" t="s">
        <v>283</v>
      </c>
      <c r="D8965" s="1094">
        <v>0.93899999999999995</v>
      </c>
      <c r="E8965" s="1095">
        <v>0.54400000000000004</v>
      </c>
      <c r="F8965" s="605">
        <v>1</v>
      </c>
      <c r="G8965" s="605">
        <v>1.0036438807813961</v>
      </c>
      <c r="H8965" s="605">
        <v>1.0089169369292186</v>
      </c>
      <c r="I8965" s="605">
        <v>1.0159504421159107</v>
      </c>
      <c r="J8965" s="605">
        <v>1.3597022989474616</v>
      </c>
      <c r="K8965" s="605">
        <v>1.3700107368045777</v>
      </c>
      <c r="L8965" s="605">
        <v>1.3945934592547251</v>
      </c>
      <c r="M8965" s="605">
        <v>1.4077774814524122</v>
      </c>
      <c r="N8965" s="605">
        <v>1.4380395175208898</v>
      </c>
      <c r="O8965" s="605">
        <v>1.4545081451859181</v>
      </c>
      <c r="P8965" s="605">
        <v>1.4852648757252869</v>
      </c>
      <c r="Q8965" s="605">
        <v>1.5052848016869358</v>
      </c>
      <c r="R8965" s="605">
        <v>1.527275214563363</v>
      </c>
      <c r="S8965" s="605">
        <v>1.5514019337302865</v>
      </c>
      <c r="T8965" s="605">
        <v>1.5777216141410764</v>
      </c>
      <c r="U8965" s="605">
        <v>1.6191515851641405</v>
      </c>
      <c r="V8965" s="605">
        <v>1.6493818391856061</v>
      </c>
      <c r="W8965" s="605">
        <v>1.6810367580101124</v>
      </c>
      <c r="X8965" s="605">
        <v>1.7134060819783359</v>
      </c>
      <c r="Y8965" s="605">
        <v>1.7458721339157282</v>
      </c>
      <c r="Z8965" s="605">
        <v>1.7942444094688392</v>
      </c>
      <c r="AA8965" s="605">
        <v>1.8188727322473084</v>
      </c>
      <c r="AB8965" s="605">
        <v>1.8400437210420644</v>
      </c>
      <c r="AC8965" s="605">
        <v>1.8562663832997779</v>
      </c>
      <c r="AD8965" s="605">
        <v>1.8666397670790504</v>
      </c>
      <c r="AE8965" s="605">
        <v>1.8698884450149862</v>
      </c>
      <c r="AF8965" s="605">
        <v>1.8643846235692898</v>
      </c>
      <c r="AG8965" s="605">
        <v>1.8568356964897421</v>
      </c>
      <c r="AH8965" s="605">
        <v>1.8481978888429815</v>
      </c>
      <c r="AI8965" s="605">
        <v>1.839283715570025</v>
      </c>
      <c r="AJ8965" s="605">
        <v>1.8314639501768049</v>
      </c>
      <c r="AK8965" s="132" t="s">
        <v>1387</v>
      </c>
      <c r="AL8965" s="142" t="str">
        <f t="shared" si="193"/>
        <v>Light commercial truck</v>
      </c>
    </row>
    <row r="8966" spans="2:38">
      <c r="B8966" s="136" t="s">
        <v>1382</v>
      </c>
      <c r="C8966" s="132" t="s">
        <v>284</v>
      </c>
      <c r="D8966" s="1094">
        <v>1.2E-2</v>
      </c>
      <c r="E8966" s="1095">
        <v>1.2E-2</v>
      </c>
      <c r="F8966" s="605">
        <v>1</v>
      </c>
      <c r="G8966" s="605">
        <v>0.94895457822638785</v>
      </c>
      <c r="H8966" s="605">
        <v>0.94938716654650313</v>
      </c>
      <c r="I8966" s="605">
        <v>0.94996395097332376</v>
      </c>
      <c r="J8966" s="605">
        <v>1.7020908435472242</v>
      </c>
      <c r="K8966" s="605">
        <v>1.703244412400865</v>
      </c>
      <c r="L8966" s="605">
        <v>1.7330930064888248</v>
      </c>
      <c r="M8966" s="605">
        <v>1.7346791636625811</v>
      </c>
      <c r="N8966" s="605">
        <v>1.7688536409516942</v>
      </c>
      <c r="O8966" s="605">
        <v>1.771016582552271</v>
      </c>
      <c r="P8966" s="605">
        <v>1.8405191059841384</v>
      </c>
      <c r="Q8966" s="605">
        <v>1.843691420331651</v>
      </c>
      <c r="R8966" s="605">
        <v>1.8471521268925739</v>
      </c>
      <c r="S8966" s="605">
        <v>1.8510454217736121</v>
      </c>
      <c r="T8966" s="605">
        <v>1.8552271088680605</v>
      </c>
      <c r="U8966" s="605">
        <v>1.9873107426099497</v>
      </c>
      <c r="V8966" s="605">
        <v>1.9935111751982697</v>
      </c>
      <c r="W8966" s="605">
        <v>2</v>
      </c>
      <c r="X8966" s="605">
        <v>2.0067772170151406</v>
      </c>
      <c r="Y8966" s="605">
        <v>2.0135544340302811</v>
      </c>
      <c r="Z8966" s="605">
        <v>2.1989906272530639</v>
      </c>
      <c r="AA8966" s="605">
        <v>2.2056236481614997</v>
      </c>
      <c r="AB8966" s="605">
        <v>2.2113914924297045</v>
      </c>
      <c r="AC8966" s="605">
        <v>2.2157173756308577</v>
      </c>
      <c r="AD8966" s="605">
        <v>2.218457101658255</v>
      </c>
      <c r="AE8966" s="605">
        <v>2.2193222782984861</v>
      </c>
      <c r="AF8966" s="605">
        <v>2.217880317231435</v>
      </c>
      <c r="AG8966" s="605">
        <v>2.2158615717375629</v>
      </c>
      <c r="AH8966" s="605">
        <v>2.2135544340302813</v>
      </c>
      <c r="AI8966" s="605">
        <v>2.211103100216294</v>
      </c>
      <c r="AJ8966" s="605">
        <v>2.2089401586157171</v>
      </c>
      <c r="AK8966" s="132" t="s">
        <v>1387</v>
      </c>
      <c r="AL8966" s="142" t="str">
        <f t="shared" si="193"/>
        <v>Light commercial truck</v>
      </c>
    </row>
    <row r="8967" spans="2:38">
      <c r="B8967" s="136" t="s">
        <v>1382</v>
      </c>
      <c r="C8967" s="132" t="s">
        <v>1379</v>
      </c>
      <c r="D8967" s="1094">
        <v>2.1000000000000001E-2</v>
      </c>
      <c r="E8967" s="1095">
        <v>2.1000000000000001E-2</v>
      </c>
      <c r="F8967" s="605">
        <v>1</v>
      </c>
      <c r="G8967" s="605">
        <v>1</v>
      </c>
      <c r="H8967" s="605">
        <v>1</v>
      </c>
      <c r="I8967" s="605">
        <v>1</v>
      </c>
      <c r="J8967" s="605">
        <v>1</v>
      </c>
      <c r="K8967" s="605">
        <v>1</v>
      </c>
      <c r="L8967" s="605">
        <v>1</v>
      </c>
      <c r="M8967" s="605">
        <v>1</v>
      </c>
      <c r="N8967" s="605">
        <v>1</v>
      </c>
      <c r="O8967" s="605">
        <v>1</v>
      </c>
      <c r="P8967" s="605">
        <v>1</v>
      </c>
      <c r="Q8967" s="605">
        <v>1</v>
      </c>
      <c r="R8967" s="605">
        <v>1</v>
      </c>
      <c r="S8967" s="605">
        <v>1</v>
      </c>
      <c r="T8967" s="605">
        <v>1</v>
      </c>
      <c r="U8967" s="605">
        <v>1</v>
      </c>
      <c r="V8967" s="605">
        <v>1</v>
      </c>
      <c r="W8967" s="605">
        <v>1</v>
      </c>
      <c r="X8967" s="605">
        <v>1</v>
      </c>
      <c r="Y8967" s="605">
        <v>1</v>
      </c>
      <c r="Z8967" s="605">
        <v>1</v>
      </c>
      <c r="AA8967" s="605">
        <v>1</v>
      </c>
      <c r="AB8967" s="605">
        <v>1</v>
      </c>
      <c r="AC8967" s="605">
        <v>1</v>
      </c>
      <c r="AD8967" s="605">
        <v>1</v>
      </c>
      <c r="AE8967" s="605">
        <v>1</v>
      </c>
      <c r="AF8967" s="605">
        <v>1</v>
      </c>
      <c r="AG8967" s="605">
        <v>1</v>
      </c>
      <c r="AH8967" s="605">
        <v>1</v>
      </c>
      <c r="AI8967" s="605">
        <v>1</v>
      </c>
      <c r="AJ8967" s="605">
        <v>1</v>
      </c>
      <c r="AK8967" s="132" t="s">
        <v>1387</v>
      </c>
      <c r="AL8967" s="142" t="str">
        <f t="shared" si="193"/>
        <v>Light commercial truck</v>
      </c>
    </row>
    <row r="8968" spans="2:38">
      <c r="B8968" s="136" t="s">
        <v>1382</v>
      </c>
      <c r="C8968" s="132" t="s">
        <v>285</v>
      </c>
      <c r="D8968" s="1094">
        <v>1.0999999999999999E-2</v>
      </c>
      <c r="E8968" s="1095">
        <v>1.0999999999999999E-2</v>
      </c>
      <c r="F8968" s="605">
        <v>1</v>
      </c>
      <c r="G8968" s="605">
        <v>0.94901144640998958</v>
      </c>
      <c r="H8968" s="605">
        <v>0.9494574104355582</v>
      </c>
      <c r="I8968" s="605">
        <v>0.94990337446112671</v>
      </c>
      <c r="J8968" s="605">
        <v>1.7022446855953617</v>
      </c>
      <c r="K8968" s="605">
        <v>1.7032852683216886</v>
      </c>
      <c r="L8968" s="605">
        <v>1.7331648580347849</v>
      </c>
      <c r="M8968" s="605">
        <v>1.73480005946187</v>
      </c>
      <c r="N8968" s="605">
        <v>1.7689906347554631</v>
      </c>
      <c r="O8968" s="605">
        <v>1.7710718002081163</v>
      </c>
      <c r="P8968" s="605">
        <v>1.840493533521629</v>
      </c>
      <c r="Q8968" s="605">
        <v>1.8437639363757989</v>
      </c>
      <c r="R8968" s="605">
        <v>1.8471829939051581</v>
      </c>
      <c r="S8968" s="605">
        <v>1.8510480154600861</v>
      </c>
      <c r="T8968" s="605">
        <v>1.8552103463653931</v>
      </c>
      <c r="U8968" s="605">
        <v>1.9873643526088896</v>
      </c>
      <c r="V8968" s="605">
        <v>1.9936078489668498</v>
      </c>
      <c r="W8968" s="605">
        <v>2.0001486546751894</v>
      </c>
      <c r="X8968" s="605">
        <v>2.0068381150587187</v>
      </c>
      <c r="Y8968" s="605">
        <v>2.0135275754422475</v>
      </c>
      <c r="Z8968" s="605">
        <v>2.1990486100787869</v>
      </c>
      <c r="AA8968" s="605">
        <v>2.2055894157871263</v>
      </c>
      <c r="AB8968" s="605">
        <v>2.2113869481195181</v>
      </c>
      <c r="AC8968" s="605">
        <v>2.2156979337000147</v>
      </c>
      <c r="AD8968" s="605">
        <v>2.2185223725286161</v>
      </c>
      <c r="AE8968" s="605">
        <v>2.2194143005797531</v>
      </c>
      <c r="AF8968" s="605">
        <v>2.2179277538278575</v>
      </c>
      <c r="AG8968" s="605">
        <v>2.2158465883752045</v>
      </c>
      <c r="AH8968" s="605">
        <v>2.2136167682473613</v>
      </c>
      <c r="AI8968" s="605">
        <v>2.2112382934443287</v>
      </c>
      <c r="AJ8968" s="605">
        <v>2.2090084733164859</v>
      </c>
      <c r="AK8968" s="132" t="s">
        <v>1387</v>
      </c>
      <c r="AL8968" s="142" t="str">
        <f t="shared" si="193"/>
        <v>Light commercial truck</v>
      </c>
    </row>
    <row r="8969" spans="2:38">
      <c r="B8969" s="136" t="s">
        <v>1382</v>
      </c>
      <c r="C8969" s="132" t="s">
        <v>1380</v>
      </c>
      <c r="D8969" s="1094">
        <v>7.0000000000000001E-3</v>
      </c>
      <c r="E8969" s="1095">
        <v>7.0000000000000001E-3</v>
      </c>
      <c r="F8969" s="605">
        <v>1</v>
      </c>
      <c r="G8969" s="605">
        <v>1</v>
      </c>
      <c r="H8969" s="605">
        <v>1</v>
      </c>
      <c r="I8969" s="605">
        <v>1</v>
      </c>
      <c r="J8969" s="605">
        <v>1</v>
      </c>
      <c r="K8969" s="605">
        <v>1</v>
      </c>
      <c r="L8969" s="605">
        <v>1</v>
      </c>
      <c r="M8969" s="605">
        <v>1</v>
      </c>
      <c r="N8969" s="605">
        <v>1</v>
      </c>
      <c r="O8969" s="605">
        <v>1</v>
      </c>
      <c r="P8969" s="605">
        <v>1</v>
      </c>
      <c r="Q8969" s="605">
        <v>1</v>
      </c>
      <c r="R8969" s="605">
        <v>1</v>
      </c>
      <c r="S8969" s="605">
        <v>1</v>
      </c>
      <c r="T8969" s="605">
        <v>1</v>
      </c>
      <c r="U8969" s="605">
        <v>1</v>
      </c>
      <c r="V8969" s="605">
        <v>1</v>
      </c>
      <c r="W8969" s="605">
        <v>1</v>
      </c>
      <c r="X8969" s="605">
        <v>1</v>
      </c>
      <c r="Y8969" s="605">
        <v>1</v>
      </c>
      <c r="Z8969" s="605">
        <v>1</v>
      </c>
      <c r="AA8969" s="605">
        <v>1</v>
      </c>
      <c r="AB8969" s="605">
        <v>1</v>
      </c>
      <c r="AC8969" s="605">
        <v>1</v>
      </c>
      <c r="AD8969" s="605">
        <v>1</v>
      </c>
      <c r="AE8969" s="605">
        <v>1</v>
      </c>
      <c r="AF8969" s="605">
        <v>1</v>
      </c>
      <c r="AG8969" s="605">
        <v>1</v>
      </c>
      <c r="AH8969" s="605">
        <v>1</v>
      </c>
      <c r="AI8969" s="605">
        <v>1</v>
      </c>
      <c r="AJ8969" s="605">
        <v>1</v>
      </c>
      <c r="AK8969" s="132" t="s">
        <v>1387</v>
      </c>
      <c r="AL8969" s="142" t="str">
        <f t="shared" si="193"/>
        <v>Light commercial truck</v>
      </c>
    </row>
    <row r="8970" spans="2:38">
      <c r="B8970" s="136" t="s">
        <v>1382</v>
      </c>
      <c r="C8970" s="132" t="s">
        <v>281</v>
      </c>
      <c r="D8970" s="1094">
        <v>7.5999999999999998E-2</v>
      </c>
      <c r="E8970" s="1095">
        <v>7.6999999999999999E-2</v>
      </c>
      <c r="F8970" s="605">
        <v>1</v>
      </c>
      <c r="G8970" s="605">
        <v>1.0047080979284368</v>
      </c>
      <c r="H8970" s="605">
        <v>1.0115348399246706</v>
      </c>
      <c r="I8970" s="605">
        <v>1.0206483723432875</v>
      </c>
      <c r="J8970" s="605">
        <v>1.1648338714016682</v>
      </c>
      <c r="K8970" s="605">
        <v>1.1793112725316117</v>
      </c>
      <c r="L8970" s="605">
        <v>1.2567090395480227</v>
      </c>
      <c r="M8970" s="605">
        <v>1.2764494215765403</v>
      </c>
      <c r="N8970" s="605">
        <v>1.3573446327683618</v>
      </c>
      <c r="O8970" s="605">
        <v>1.3832391713747647</v>
      </c>
      <c r="P8970" s="605">
        <v>1.4929210384718861</v>
      </c>
      <c r="Q8970" s="605">
        <v>1.5265166801183752</v>
      </c>
      <c r="R8970" s="605">
        <v>1.5634248049502286</v>
      </c>
      <c r="S8970" s="605">
        <v>1.6038976324993275</v>
      </c>
      <c r="T8970" s="605">
        <v>1.6480696798493411</v>
      </c>
      <c r="U8970" s="605">
        <v>1.7556497175141244</v>
      </c>
      <c r="V8970" s="605">
        <v>1.8080441216034437</v>
      </c>
      <c r="W8970" s="605">
        <v>1.8628934624697338</v>
      </c>
      <c r="X8970" s="605">
        <v>1.9189702717245092</v>
      </c>
      <c r="Y8970" s="605">
        <v>1.9752320419693303</v>
      </c>
      <c r="Z8970" s="605">
        <v>2.1664312617702453</v>
      </c>
      <c r="AA8970" s="605">
        <v>2.2122175141242937</v>
      </c>
      <c r="AB8970" s="605">
        <v>2.2515805757331182</v>
      </c>
      <c r="AC8970" s="605">
        <v>2.2817460317460316</v>
      </c>
      <c r="AD8970" s="605">
        <v>2.3010324186171642</v>
      </c>
      <c r="AE8970" s="605">
        <v>2.3070856873822976</v>
      </c>
      <c r="AF8970" s="605">
        <v>2.2968455743879472</v>
      </c>
      <c r="AG8970" s="605">
        <v>2.28280535377993</v>
      </c>
      <c r="AH8970" s="605">
        <v>2.2667473769168689</v>
      </c>
      <c r="AI8970" s="605">
        <v>2.2501681463545871</v>
      </c>
      <c r="AJ8970" s="605">
        <v>2.2356234866828086</v>
      </c>
      <c r="AK8970" s="132" t="s">
        <v>1387</v>
      </c>
      <c r="AL8970" s="142" t="str">
        <f t="shared" si="193"/>
        <v>Light commercial truck</v>
      </c>
    </row>
    <row r="8971" spans="2:38">
      <c r="B8971" s="136" t="s">
        <v>1382</v>
      </c>
      <c r="C8971" s="132" t="s">
        <v>1384</v>
      </c>
      <c r="D8971" s="1094">
        <v>1.2999999999999999E-2</v>
      </c>
      <c r="E8971" s="1095">
        <v>1.0999999999999999E-2</v>
      </c>
      <c r="F8971" s="605">
        <v>1</v>
      </c>
      <c r="G8971" s="605">
        <v>1</v>
      </c>
      <c r="H8971" s="605">
        <v>1</v>
      </c>
      <c r="I8971" s="605">
        <v>1</v>
      </c>
      <c r="J8971" s="605">
        <v>1</v>
      </c>
      <c r="K8971" s="605">
        <v>1</v>
      </c>
      <c r="L8971" s="605">
        <v>1</v>
      </c>
      <c r="M8971" s="605">
        <v>1</v>
      </c>
      <c r="N8971" s="605">
        <v>1</v>
      </c>
      <c r="O8971" s="605">
        <v>1</v>
      </c>
      <c r="P8971" s="605">
        <v>1</v>
      </c>
      <c r="Q8971" s="605">
        <v>1</v>
      </c>
      <c r="R8971" s="605">
        <v>1</v>
      </c>
      <c r="S8971" s="605">
        <v>1</v>
      </c>
      <c r="T8971" s="605">
        <v>1</v>
      </c>
      <c r="U8971" s="605">
        <v>1</v>
      </c>
      <c r="V8971" s="605">
        <v>1</v>
      </c>
      <c r="W8971" s="605">
        <v>1</v>
      </c>
      <c r="X8971" s="605">
        <v>1</v>
      </c>
      <c r="Y8971" s="605">
        <v>1</v>
      </c>
      <c r="Z8971" s="605">
        <v>1</v>
      </c>
      <c r="AA8971" s="605">
        <v>1</v>
      </c>
      <c r="AB8971" s="605">
        <v>1</v>
      </c>
      <c r="AC8971" s="605">
        <v>1</v>
      </c>
      <c r="AD8971" s="605">
        <v>1</v>
      </c>
      <c r="AE8971" s="605">
        <v>1</v>
      </c>
      <c r="AF8971" s="605">
        <v>1</v>
      </c>
      <c r="AG8971" s="605">
        <v>1</v>
      </c>
      <c r="AH8971" s="605">
        <v>1</v>
      </c>
      <c r="AI8971" s="605">
        <v>1</v>
      </c>
      <c r="AJ8971" s="605">
        <v>1</v>
      </c>
      <c r="AK8971" s="132" t="s">
        <v>1387</v>
      </c>
      <c r="AL8971" s="142" t="str">
        <f t="shared" si="193"/>
        <v>Light commercial truck</v>
      </c>
    </row>
    <row r="8972" spans="2:38">
      <c r="B8972" s="136" t="s">
        <v>1383</v>
      </c>
      <c r="C8972" s="132" t="s">
        <v>282</v>
      </c>
      <c r="D8972" s="1094">
        <v>7.4850000000000003</v>
      </c>
      <c r="E8972" s="1095">
        <v>3.8410000000000002</v>
      </c>
      <c r="F8972" s="605">
        <v>1</v>
      </c>
      <c r="G8972" s="605">
        <v>1.0001035801677238</v>
      </c>
      <c r="H8972" s="605">
        <v>0.98918965148599536</v>
      </c>
      <c r="I8972" s="605">
        <v>0.99451626953016736</v>
      </c>
      <c r="J8972" s="605">
        <v>1.4697721711448459</v>
      </c>
      <c r="K8972" s="605">
        <v>1.4833174161974674</v>
      </c>
      <c r="L8972" s="605">
        <v>1.9708819360305356</v>
      </c>
      <c r="M8972" s="605">
        <v>1.9937322911964777</v>
      </c>
      <c r="N8972" s="605">
        <v>2.2192266330902206</v>
      </c>
      <c r="O8972" s="605">
        <v>2.2525943347666675</v>
      </c>
      <c r="P8972" s="605">
        <v>2.5192030345504794</v>
      </c>
      <c r="Q8972" s="605">
        <v>2.5619455333032413</v>
      </c>
      <c r="R8972" s="605">
        <v>2.609130575946911</v>
      </c>
      <c r="S8972" s="605">
        <v>2.6614049842016487</v>
      </c>
      <c r="T8972" s="605">
        <v>2.7186024596330349</v>
      </c>
      <c r="U8972" s="605">
        <v>3.0208300667569428</v>
      </c>
      <c r="V8972" s="605">
        <v>3.0889747305569411</v>
      </c>
      <c r="W8972" s="605">
        <v>3.1603199265119297</v>
      </c>
      <c r="X8972" s="605">
        <v>3.233534633628711</v>
      </c>
      <c r="Y8972" s="605">
        <v>3.3071525748540926</v>
      </c>
      <c r="Z8972" s="605">
        <v>3.6077064278304385</v>
      </c>
      <c r="AA8972" s="605">
        <v>3.6644379508865286</v>
      </c>
      <c r="AB8972" s="605">
        <v>3.7125346257097376</v>
      </c>
      <c r="AC8972" s="605">
        <v>3.7487442884406752</v>
      </c>
      <c r="AD8972" s="605">
        <v>3.770903475637279</v>
      </c>
      <c r="AE8972" s="605">
        <v>3.7750964134970975</v>
      </c>
      <c r="AF8972" s="605">
        <v>3.7615657393549204</v>
      </c>
      <c r="AG8972" s="605">
        <v>3.7430109519397523</v>
      </c>
      <c r="AH8972" s="605">
        <v>3.721778284592054</v>
      </c>
      <c r="AI8972" s="605">
        <v>3.6998690201854623</v>
      </c>
      <c r="AJ8972" s="605">
        <v>3.6806487222736957</v>
      </c>
      <c r="AK8972" s="132" t="s">
        <v>1388</v>
      </c>
      <c r="AL8972" s="142" t="str">
        <f t="shared" si="193"/>
        <v>Light commercial truck</v>
      </c>
    </row>
    <row r="8973" spans="2:38">
      <c r="B8973" s="136" t="s">
        <v>1383</v>
      </c>
      <c r="C8973" s="132" t="s">
        <v>283</v>
      </c>
      <c r="D8973" s="1094">
        <v>0.46100000000000002</v>
      </c>
      <c r="E8973" s="1095">
        <v>0.309</v>
      </c>
      <c r="F8973" s="605">
        <v>1</v>
      </c>
      <c r="G8973" s="605">
        <v>1.0009382431312075</v>
      </c>
      <c r="H8973" s="605">
        <v>0.97446955145154734</v>
      </c>
      <c r="I8973" s="605">
        <v>0.97545555968761632</v>
      </c>
      <c r="J8973" s="605">
        <v>1.1261851716643752</v>
      </c>
      <c r="K8973" s="605">
        <v>1.1291875496842385</v>
      </c>
      <c r="L8973" s="605">
        <v>1.5221476555862996</v>
      </c>
      <c r="M8973" s="605">
        <v>1.5282513536289539</v>
      </c>
      <c r="N8973" s="605">
        <v>1.6576026693870032</v>
      </c>
      <c r="O8973" s="605">
        <v>1.6665961562737759</v>
      </c>
      <c r="P8973" s="605">
        <v>1.7738526992401937</v>
      </c>
      <c r="Q8973" s="605">
        <v>1.7860020948410276</v>
      </c>
      <c r="R8973" s="605">
        <v>1.7993524416498066</v>
      </c>
      <c r="S8973" s="605">
        <v>1.8139992698762542</v>
      </c>
      <c r="T8973" s="605">
        <v>1.8299698738660053</v>
      </c>
      <c r="U8973" s="605">
        <v>1.9486968655855832</v>
      </c>
      <c r="V8973" s="605">
        <v>1.9687889157662375</v>
      </c>
      <c r="W8973" s="605">
        <v>1.9898328562509169</v>
      </c>
      <c r="X8973" s="605">
        <v>2.0113510359910065</v>
      </c>
      <c r="Y8973" s="605">
        <v>2.0329306280087751</v>
      </c>
      <c r="Z8973" s="605">
        <v>2.1326402844070818</v>
      </c>
      <c r="AA8973" s="605">
        <v>2.149927840573727</v>
      </c>
      <c r="AB8973" s="605">
        <v>2.1648066707380735</v>
      </c>
      <c r="AC8973" s="605">
        <v>2.1761986482475324</v>
      </c>
      <c r="AD8973" s="605">
        <v>2.1834828267389059</v>
      </c>
      <c r="AE8973" s="605">
        <v>2.1857721399790515</v>
      </c>
      <c r="AF8973" s="605">
        <v>2.1819031664852733</v>
      </c>
      <c r="AG8973" s="605">
        <v>2.1766046516388551</v>
      </c>
      <c r="AH8973" s="605">
        <v>2.1705316597350399</v>
      </c>
      <c r="AI8973" s="605">
        <v>2.1642744309981885</v>
      </c>
      <c r="AJ8973" s="605">
        <v>2.1587746203527112</v>
      </c>
      <c r="AK8973" s="132" t="s">
        <v>1388</v>
      </c>
      <c r="AL8973" s="142" t="str">
        <f t="shared" si="193"/>
        <v>Light commercial truck</v>
      </c>
    </row>
    <row r="8974" spans="2:38">
      <c r="B8974" s="136" t="s">
        <v>1383</v>
      </c>
      <c r="C8974" s="132" t="s">
        <v>284</v>
      </c>
      <c r="D8974" s="1094">
        <v>1.2E-2</v>
      </c>
      <c r="E8974" s="1095">
        <v>1.2E-2</v>
      </c>
      <c r="F8974" s="605">
        <v>1</v>
      </c>
      <c r="G8974" s="605">
        <v>1.0020404959974887</v>
      </c>
      <c r="H8974" s="605">
        <v>1.0072202166064983</v>
      </c>
      <c r="I8974" s="605">
        <v>1.0108303249097474</v>
      </c>
      <c r="J8974" s="605">
        <v>1.5871919635849945</v>
      </c>
      <c r="K8974" s="605">
        <v>1.5951969863443729</v>
      </c>
      <c r="L8974" s="605">
        <v>1.792340291947889</v>
      </c>
      <c r="M8974" s="605">
        <v>1.8037984617799405</v>
      </c>
      <c r="N8974" s="605">
        <v>2.029351750117721</v>
      </c>
      <c r="O8974" s="605">
        <v>2.0452048344059017</v>
      </c>
      <c r="P8974" s="605">
        <v>2.5044733950714178</v>
      </c>
      <c r="Q8974" s="605">
        <v>2.5275466959660964</v>
      </c>
      <c r="R8974" s="605">
        <v>2.5531313765499921</v>
      </c>
      <c r="S8974" s="605">
        <v>2.5810704755925289</v>
      </c>
      <c r="T8974" s="605">
        <v>2.6115209543242819</v>
      </c>
      <c r="U8974" s="605">
        <v>3.4895620781666925</v>
      </c>
      <c r="V8974" s="605">
        <v>3.5353947574948985</v>
      </c>
      <c r="W8974" s="605">
        <v>3.5834248940511695</v>
      </c>
      <c r="X8974" s="605">
        <v>3.6325537592214725</v>
      </c>
      <c r="Y8974" s="605">
        <v>3.6816826243917755</v>
      </c>
      <c r="Z8974" s="605">
        <v>4.9235598807094645</v>
      </c>
      <c r="AA8974" s="605">
        <v>4.9723748234186154</v>
      </c>
      <c r="AB8974" s="605">
        <v>5.0144404332129966</v>
      </c>
      <c r="AC8974" s="605">
        <v>5.0466174854810859</v>
      </c>
      <c r="AD8974" s="605">
        <v>5.0671794066865488</v>
      </c>
      <c r="AE8974" s="605">
        <v>5.0736148171401663</v>
      </c>
      <c r="AF8974" s="605">
        <v>5.0627844922304188</v>
      </c>
      <c r="AG8974" s="605">
        <v>5.0477162140951188</v>
      </c>
      <c r="AH8974" s="605">
        <v>5.0306074399623295</v>
      </c>
      <c r="AI8974" s="605">
        <v>5.0128708209072359</v>
      </c>
      <c r="AJ8974" s="605">
        <v>4.9973316590802073</v>
      </c>
      <c r="AK8974" s="132" t="s">
        <v>1388</v>
      </c>
      <c r="AL8974" s="142" t="str">
        <f t="shared" si="193"/>
        <v>Light commercial truck</v>
      </c>
    </row>
    <row r="8975" spans="2:38">
      <c r="B8975" s="136" t="s">
        <v>1383</v>
      </c>
      <c r="C8975" s="132" t="s">
        <v>1379</v>
      </c>
      <c r="D8975" s="1094">
        <v>2.1000000000000001E-2</v>
      </c>
      <c r="E8975" s="1095">
        <v>2.1000000000000001E-2</v>
      </c>
      <c r="F8975" s="605">
        <v>1</v>
      </c>
      <c r="G8975" s="605">
        <v>1.0000774743366259</v>
      </c>
      <c r="H8975" s="605">
        <v>1.0058493124152623</v>
      </c>
      <c r="I8975" s="605">
        <v>1.0058493124152623</v>
      </c>
      <c r="J8975" s="605">
        <v>1.0058493124152623</v>
      </c>
      <c r="K8975" s="605">
        <v>1.0058493124152623</v>
      </c>
      <c r="L8975" s="605">
        <v>1.0058493124152623</v>
      </c>
      <c r="M8975" s="605">
        <v>1.0058493124152623</v>
      </c>
      <c r="N8975" s="605">
        <v>1.0058493124152623</v>
      </c>
      <c r="O8975" s="605">
        <v>1.0058493124152623</v>
      </c>
      <c r="P8975" s="605">
        <v>1.0058493124152623</v>
      </c>
      <c r="Q8975" s="605">
        <v>1.0058493124152623</v>
      </c>
      <c r="R8975" s="605">
        <v>1.0058493124152623</v>
      </c>
      <c r="S8975" s="605">
        <v>1.0058493124152623</v>
      </c>
      <c r="T8975" s="605">
        <v>1.0058493124152623</v>
      </c>
      <c r="U8975" s="605">
        <v>1.0058493124152623</v>
      </c>
      <c r="V8975" s="605">
        <v>1.0058493124152623</v>
      </c>
      <c r="W8975" s="605">
        <v>1.0058493124152623</v>
      </c>
      <c r="X8975" s="605">
        <v>1.0058493124152623</v>
      </c>
      <c r="Y8975" s="605">
        <v>1.0058493124152623</v>
      </c>
      <c r="Z8975" s="605">
        <v>1.0058493124152623</v>
      </c>
      <c r="AA8975" s="605">
        <v>1.0058493124152623</v>
      </c>
      <c r="AB8975" s="605">
        <v>1.0058493124152623</v>
      </c>
      <c r="AC8975" s="605">
        <v>1.0058493124152623</v>
      </c>
      <c r="AD8975" s="605">
        <v>1.0058493124152623</v>
      </c>
      <c r="AE8975" s="605">
        <v>1.0058493124152623</v>
      </c>
      <c r="AF8975" s="605">
        <v>1.0058493124152623</v>
      </c>
      <c r="AG8975" s="605">
        <v>1.0058493124152623</v>
      </c>
      <c r="AH8975" s="605">
        <v>1.0058493124152623</v>
      </c>
      <c r="AI8975" s="605">
        <v>1.0058493124152623</v>
      </c>
      <c r="AJ8975" s="605">
        <v>1.0058493124152623</v>
      </c>
      <c r="AK8975" s="132" t="s">
        <v>1388</v>
      </c>
      <c r="AL8975" s="142" t="str">
        <f t="shared" si="193"/>
        <v>Light commercial truck</v>
      </c>
    </row>
    <row r="8976" spans="2:38">
      <c r="B8976" s="136" t="s">
        <v>1383</v>
      </c>
      <c r="C8976" s="132" t="s">
        <v>285</v>
      </c>
      <c r="D8976" s="1094">
        <v>0.01</v>
      </c>
      <c r="E8976" s="1095">
        <v>0.01</v>
      </c>
      <c r="F8976" s="605">
        <v>1</v>
      </c>
      <c r="G8976" s="605">
        <v>1.0018748934719619</v>
      </c>
      <c r="H8976" s="605">
        <v>1.0071586841656726</v>
      </c>
      <c r="I8976" s="605">
        <v>1.0107380262485086</v>
      </c>
      <c r="J8976" s="605">
        <v>1.5870121015851373</v>
      </c>
      <c r="K8976" s="605">
        <v>1.5950230100562468</v>
      </c>
      <c r="L8976" s="605">
        <v>1.7920572694733257</v>
      </c>
      <c r="M8976" s="605">
        <v>1.803647520027271</v>
      </c>
      <c r="N8976" s="605">
        <v>2.0293165161070394</v>
      </c>
      <c r="O8976" s="605">
        <v>2.0451678881881712</v>
      </c>
      <c r="P8976" s="605">
        <v>2.5041758990966425</v>
      </c>
      <c r="Q8976" s="605">
        <v>2.5273564002045337</v>
      </c>
      <c r="R8976" s="605">
        <v>2.5529231293676498</v>
      </c>
      <c r="S8976" s="605">
        <v>2.5808760865859894</v>
      </c>
      <c r="T8976" s="605">
        <v>2.6112152718595536</v>
      </c>
      <c r="U8976" s="605">
        <v>3.4891767513209477</v>
      </c>
      <c r="V8976" s="605">
        <v>3.535026418953469</v>
      </c>
      <c r="W8976" s="605">
        <v>3.5830918697801262</v>
      </c>
      <c r="X8976" s="605">
        <v>3.6321799897733085</v>
      </c>
      <c r="Y8976" s="605">
        <v>3.6814385546275781</v>
      </c>
      <c r="Z8976" s="605">
        <v>4.9231293676495653</v>
      </c>
      <c r="AA8976" s="605">
        <v>4.9720470427816599</v>
      </c>
      <c r="AB8976" s="605">
        <v>5.0139764786091696</v>
      </c>
      <c r="AC8976" s="605">
        <v>5.0461905573546959</v>
      </c>
      <c r="AD8976" s="605">
        <v>5.0668143855462757</v>
      </c>
      <c r="AE8976" s="605">
        <v>5.0732912902675986</v>
      </c>
      <c r="AF8976" s="605">
        <v>5.062212374296915</v>
      </c>
      <c r="AG8976" s="605">
        <v>5.0473836713823079</v>
      </c>
      <c r="AH8976" s="605">
        <v>5.0301687404124769</v>
      </c>
      <c r="AI8976" s="605">
        <v>5.012442474859383</v>
      </c>
      <c r="AJ8976" s="605">
        <v>4.9969319925004259</v>
      </c>
      <c r="AK8976" s="132" t="s">
        <v>1388</v>
      </c>
      <c r="AL8976" s="142" t="str">
        <f t="shared" si="193"/>
        <v>Light commercial truck</v>
      </c>
    </row>
    <row r="8977" spans="2:38">
      <c r="B8977" s="136" t="s">
        <v>1383</v>
      </c>
      <c r="C8977" s="132" t="s">
        <v>1380</v>
      </c>
      <c r="D8977" s="1094">
        <v>7.0000000000000001E-3</v>
      </c>
      <c r="E8977" s="1095">
        <v>7.0000000000000001E-3</v>
      </c>
      <c r="F8977" s="605">
        <v>1</v>
      </c>
      <c r="G8977" s="605">
        <v>1</v>
      </c>
      <c r="H8977" s="605">
        <v>1.0058850158442734</v>
      </c>
      <c r="I8977" s="605">
        <v>1.0058850158442734</v>
      </c>
      <c r="J8977" s="605">
        <v>1.0058850158442734</v>
      </c>
      <c r="K8977" s="605">
        <v>1.0058850158442734</v>
      </c>
      <c r="L8977" s="605">
        <v>1.0058850158442734</v>
      </c>
      <c r="M8977" s="605">
        <v>1.0058850158442734</v>
      </c>
      <c r="N8977" s="605">
        <v>1.0058850158442734</v>
      </c>
      <c r="O8977" s="605">
        <v>1.0058850158442734</v>
      </c>
      <c r="P8977" s="605">
        <v>1.0058850158442734</v>
      </c>
      <c r="Q8977" s="605">
        <v>1.0058850158442734</v>
      </c>
      <c r="R8977" s="605">
        <v>1.0058850158442734</v>
      </c>
      <c r="S8977" s="605">
        <v>1.0058850158442734</v>
      </c>
      <c r="T8977" s="605">
        <v>1.0058850158442734</v>
      </c>
      <c r="U8977" s="605">
        <v>1.0058850158442734</v>
      </c>
      <c r="V8977" s="605">
        <v>1.0058850158442734</v>
      </c>
      <c r="W8977" s="605">
        <v>1.0058850158442734</v>
      </c>
      <c r="X8977" s="605">
        <v>1.0058850158442734</v>
      </c>
      <c r="Y8977" s="605">
        <v>1.0058850158442734</v>
      </c>
      <c r="Z8977" s="605">
        <v>1.0058850158442734</v>
      </c>
      <c r="AA8977" s="605">
        <v>1.0058850158442734</v>
      </c>
      <c r="AB8977" s="605">
        <v>1.0058850158442734</v>
      </c>
      <c r="AC8977" s="605">
        <v>1.0058850158442734</v>
      </c>
      <c r="AD8977" s="605">
        <v>1.0058850158442734</v>
      </c>
      <c r="AE8977" s="605">
        <v>1.0058850158442734</v>
      </c>
      <c r="AF8977" s="605">
        <v>1.0058850158442734</v>
      </c>
      <c r="AG8977" s="605">
        <v>1.0058850158442734</v>
      </c>
      <c r="AH8977" s="605">
        <v>1.0058850158442734</v>
      </c>
      <c r="AI8977" s="605">
        <v>1.0058850158442734</v>
      </c>
      <c r="AJ8977" s="605">
        <v>1.0058850158442734</v>
      </c>
      <c r="AK8977" s="132" t="s">
        <v>1388</v>
      </c>
      <c r="AL8977" s="142" t="str">
        <f t="shared" si="193"/>
        <v>Light commercial truck</v>
      </c>
    </row>
    <row r="8978" spans="2:38">
      <c r="B8978" s="136" t="s">
        <v>1383</v>
      </c>
      <c r="C8978" s="132" t="s">
        <v>281</v>
      </c>
      <c r="D8978" s="1094">
        <v>0.16500000000000001</v>
      </c>
      <c r="E8978" s="1095">
        <v>0.13800000000000001</v>
      </c>
      <c r="F8978" s="605">
        <v>1</v>
      </c>
      <c r="G8978" s="605">
        <v>1.0093619118009363</v>
      </c>
      <c r="H8978" s="605">
        <v>1.0102241931510223</v>
      </c>
      <c r="I8978" s="605">
        <v>1.0180257863184692</v>
      </c>
      <c r="J8978" s="605">
        <v>1.4592264104459227</v>
      </c>
      <c r="K8978" s="605">
        <v>1.4771153267088226</v>
      </c>
      <c r="L8978" s="605">
        <v>2.4385727190605238</v>
      </c>
      <c r="M8978" s="605">
        <v>2.4725849278694807</v>
      </c>
      <c r="N8978" s="605">
        <v>2.7859352330897047</v>
      </c>
      <c r="O8978" s="605">
        <v>2.8355232542224411</v>
      </c>
      <c r="P8978" s="605">
        <v>3.4327146806821602</v>
      </c>
      <c r="Q8978" s="605">
        <v>3.5080753332785855</v>
      </c>
      <c r="R8978" s="605">
        <v>3.5908543428868631</v>
      </c>
      <c r="S8978" s="605">
        <v>3.6816813117626124</v>
      </c>
      <c r="T8978" s="605">
        <v>3.7807478579836302</v>
      </c>
      <c r="U8978" s="605">
        <v>4.2443404232022113</v>
      </c>
      <c r="V8978" s="605">
        <v>4.3696312720702961</v>
      </c>
      <c r="W8978" s="605">
        <v>4.5008349073389722</v>
      </c>
      <c r="X8978" s="605">
        <v>4.6350086228135012</v>
      </c>
      <c r="Y8978" s="605">
        <v>4.7695792614491799</v>
      </c>
      <c r="Z8978" s="605">
        <v>5.3571624100079385</v>
      </c>
      <c r="AA8978" s="605">
        <v>5.4699433357969935</v>
      </c>
      <c r="AB8978" s="605">
        <v>5.5669568311844735</v>
      </c>
      <c r="AC8978" s="605">
        <v>5.6412635843530143</v>
      </c>
      <c r="AD8978" s="605">
        <v>5.6887848676466559</v>
      </c>
      <c r="AE8978" s="605">
        <v>5.7036763296925894</v>
      </c>
      <c r="AF8978" s="605">
        <v>5.6784648654567356</v>
      </c>
      <c r="AG8978" s="605">
        <v>5.6438778024143881</v>
      </c>
      <c r="AH8978" s="605">
        <v>5.6043086693493196</v>
      </c>
      <c r="AI8978" s="605">
        <v>5.5634666447674581</v>
      </c>
      <c r="AJ8978" s="605">
        <v>5.5276477512249871</v>
      </c>
      <c r="AK8978" s="132" t="s">
        <v>1388</v>
      </c>
      <c r="AL8978" s="142" t="str">
        <f t="shared" si="193"/>
        <v>Light commercial truck</v>
      </c>
    </row>
    <row r="8979" spans="2:38">
      <c r="B8979" s="136" t="s">
        <v>1383</v>
      </c>
      <c r="C8979" s="132" t="s">
        <v>1384</v>
      </c>
      <c r="D8979" s="1094">
        <v>0.107</v>
      </c>
      <c r="E8979" s="1095">
        <v>9.1999999999999998E-2</v>
      </c>
      <c r="F8979" s="605">
        <v>1</v>
      </c>
      <c r="G8979" s="605">
        <v>1</v>
      </c>
      <c r="H8979" s="605">
        <v>1</v>
      </c>
      <c r="I8979" s="605">
        <v>1</v>
      </c>
      <c r="J8979" s="605">
        <v>1</v>
      </c>
      <c r="K8979" s="605">
        <v>1</v>
      </c>
      <c r="L8979" s="605">
        <v>1</v>
      </c>
      <c r="M8979" s="605">
        <v>1</v>
      </c>
      <c r="N8979" s="605">
        <v>1</v>
      </c>
      <c r="O8979" s="605">
        <v>1</v>
      </c>
      <c r="P8979" s="605">
        <v>1</v>
      </c>
      <c r="Q8979" s="605">
        <v>1</v>
      </c>
      <c r="R8979" s="605">
        <v>1</v>
      </c>
      <c r="S8979" s="605">
        <v>1</v>
      </c>
      <c r="T8979" s="605">
        <v>1</v>
      </c>
      <c r="U8979" s="605">
        <v>1</v>
      </c>
      <c r="V8979" s="605">
        <v>1</v>
      </c>
      <c r="W8979" s="605">
        <v>1</v>
      </c>
      <c r="X8979" s="605">
        <v>1</v>
      </c>
      <c r="Y8979" s="605">
        <v>1</v>
      </c>
      <c r="Z8979" s="605">
        <v>1</v>
      </c>
      <c r="AA8979" s="605">
        <v>1</v>
      </c>
      <c r="AB8979" s="605">
        <v>1</v>
      </c>
      <c r="AC8979" s="605">
        <v>1</v>
      </c>
      <c r="AD8979" s="605">
        <v>1</v>
      </c>
      <c r="AE8979" s="605">
        <v>1</v>
      </c>
      <c r="AF8979" s="605">
        <v>1</v>
      </c>
      <c r="AG8979" s="605">
        <v>1</v>
      </c>
      <c r="AH8979" s="605">
        <v>1</v>
      </c>
      <c r="AI8979" s="605">
        <v>1</v>
      </c>
      <c r="AJ8979" s="605">
        <v>1</v>
      </c>
      <c r="AK8979" s="132" t="s">
        <v>1388</v>
      </c>
      <c r="AL8979" s="142" t="str">
        <f t="shared" si="193"/>
        <v>Light commercial truck</v>
      </c>
    </row>
    <row r="8980" spans="2:38">
      <c r="B8980" s="136" t="s">
        <v>1366</v>
      </c>
      <c r="C8980" s="132" t="s">
        <v>282</v>
      </c>
      <c r="D8980" s="1094">
        <v>2.7930000000000001</v>
      </c>
      <c r="E8980" s="1095">
        <v>1.381</v>
      </c>
      <c r="F8980" s="605">
        <v>1</v>
      </c>
      <c r="G8980" s="605">
        <v>1.0053166356903154</v>
      </c>
      <c r="H8980" s="605">
        <v>1.0117575649987851</v>
      </c>
      <c r="I8980" s="605">
        <v>1.0192259588099701</v>
      </c>
      <c r="J8980" s="605">
        <v>2.053711468960441</v>
      </c>
      <c r="K8980" s="605">
        <v>2.0718238929428607</v>
      </c>
      <c r="L8980" s="605">
        <v>2.572719113977731</v>
      </c>
      <c r="M8980" s="605">
        <v>2.5970806021695103</v>
      </c>
      <c r="N8980" s="605">
        <v>2.8505944680091844</v>
      </c>
      <c r="O8980" s="605">
        <v>2.8802205910700245</v>
      </c>
      <c r="P8980" s="605">
        <v>3.6580596341831879</v>
      </c>
      <c r="Q8980" s="605">
        <v>3.6970199046591841</v>
      </c>
      <c r="R8980" s="605">
        <v>3.7378557909638714</v>
      </c>
      <c r="S8980" s="605">
        <v>3.7808873671177285</v>
      </c>
      <c r="T8980" s="605">
        <v>3.8264508453271433</v>
      </c>
      <c r="U8980" s="605">
        <v>4.3103301424553528</v>
      </c>
      <c r="V8980" s="605">
        <v>4.364067611826421</v>
      </c>
      <c r="W8980" s="605">
        <v>4.4201504975492369</v>
      </c>
      <c r="X8980" s="605">
        <v>4.4791472223940634</v>
      </c>
      <c r="Y8980" s="605">
        <v>4.5404588803505934</v>
      </c>
      <c r="Z8980" s="605">
        <v>5.264500384178481</v>
      </c>
      <c r="AA8980" s="605">
        <v>5.3231931731887352</v>
      </c>
      <c r="AB8980" s="605">
        <v>5.3814475414818626</v>
      </c>
      <c r="AC8980" s="605">
        <v>5.4371583523629443</v>
      </c>
      <c r="AD8980" s="605">
        <v>5.4884168170655938</v>
      </c>
      <c r="AE8980" s="605">
        <v>5.5333733201717461</v>
      </c>
      <c r="AF8980" s="605">
        <v>5.5696367204695854</v>
      </c>
      <c r="AG8980" s="605">
        <v>5.5953986445716977</v>
      </c>
      <c r="AH8980" s="605">
        <v>5.6088076839282497</v>
      </c>
      <c r="AI8980" s="605">
        <v>5.6072342108023641</v>
      </c>
      <c r="AJ8980" s="605">
        <v>5.5839270840898108</v>
      </c>
      <c r="AK8980" s="132" t="s">
        <v>1387</v>
      </c>
      <c r="AL8980" s="142" t="str">
        <f t="shared" si="193"/>
        <v>Passenger car</v>
      </c>
    </row>
    <row r="8981" spans="2:38">
      <c r="B8981" s="136" t="s">
        <v>1366</v>
      </c>
      <c r="C8981" s="132" t="s">
        <v>283</v>
      </c>
      <c r="D8981" s="1094">
        <v>0.13100000000000001</v>
      </c>
      <c r="E8981" s="1095">
        <v>5.8999999999999997E-2</v>
      </c>
      <c r="F8981" s="605">
        <v>1</v>
      </c>
      <c r="G8981" s="605">
        <v>1.0136191960462211</v>
      </c>
      <c r="H8981" s="605">
        <v>1.0301166757929321</v>
      </c>
      <c r="I8981" s="605">
        <v>1.0492467320949694</v>
      </c>
      <c r="J8981" s="605">
        <v>1.3489813683781926</v>
      </c>
      <c r="K8981" s="605">
        <v>1.3761635988374543</v>
      </c>
      <c r="L8981" s="605">
        <v>1.5883282085843058</v>
      </c>
      <c r="M8981" s="605">
        <v>1.6201929152099743</v>
      </c>
      <c r="N8981" s="605">
        <v>1.8738399112646198</v>
      </c>
      <c r="O8981" s="605">
        <v>1.9125001755051039</v>
      </c>
      <c r="P8981" s="605">
        <v>2.1306459991856563</v>
      </c>
      <c r="Q8981" s="605">
        <v>2.1755261643008579</v>
      </c>
      <c r="R8981" s="605">
        <v>2.2225545118852055</v>
      </c>
      <c r="S8981" s="605">
        <v>2.2721171531668141</v>
      </c>
      <c r="T8981" s="605">
        <v>2.3245931791696504</v>
      </c>
      <c r="U8981" s="605">
        <v>2.5621919885430273</v>
      </c>
      <c r="V8981" s="605">
        <v>2.623731098100333</v>
      </c>
      <c r="W8981" s="605">
        <v>2.6879870266627353</v>
      </c>
      <c r="X8981" s="605">
        <v>2.7555494713786279</v>
      </c>
      <c r="Y8981" s="605">
        <v>2.8257725734664367</v>
      </c>
      <c r="Z8981" s="605">
        <v>3.1203754405178108</v>
      </c>
      <c r="AA8981" s="605">
        <v>3.1820760147705101</v>
      </c>
      <c r="AB8981" s="605">
        <v>3.2432992151411764</v>
      </c>
      <c r="AC8981" s="605">
        <v>3.3018757985482221</v>
      </c>
      <c r="AD8981" s="605">
        <v>3.3557488451764179</v>
      </c>
      <c r="AE8981" s="605">
        <v>3.4030088594976342</v>
      </c>
      <c r="AF8981" s="605">
        <v>3.4411496286312007</v>
      </c>
      <c r="AG8981" s="605">
        <v>3.4682125156199546</v>
      </c>
      <c r="AH8981" s="605">
        <v>3.4823090855482079</v>
      </c>
      <c r="AI8981" s="605">
        <v>3.4806593375735373</v>
      </c>
      <c r="AJ8981" s="605">
        <v>3.4561518048944868</v>
      </c>
      <c r="AK8981" s="132" t="s">
        <v>1387</v>
      </c>
      <c r="AL8981" s="142" t="str">
        <f t="shared" si="193"/>
        <v>Passenger car</v>
      </c>
    </row>
    <row r="8982" spans="2:38">
      <c r="B8982" s="136" t="s">
        <v>1366</v>
      </c>
      <c r="C8982" s="132" t="s">
        <v>284</v>
      </c>
      <c r="D8982" s="1094">
        <v>6.0000000000000001E-3</v>
      </c>
      <c r="E8982" s="1095">
        <v>3.0000000000000001E-3</v>
      </c>
      <c r="F8982" s="605">
        <v>1</v>
      </c>
      <c r="G8982" s="605">
        <v>0.93498255629559157</v>
      </c>
      <c r="H8982" s="605">
        <v>0.93751982239137321</v>
      </c>
      <c r="I8982" s="605">
        <v>0.94069140501110049</v>
      </c>
      <c r="J8982" s="605">
        <v>1.1798287345385348</v>
      </c>
      <c r="K8982" s="605">
        <v>1.1849032667300983</v>
      </c>
      <c r="L8982" s="605">
        <v>1.3831271804630512</v>
      </c>
      <c r="M8982" s="605">
        <v>1.3897875039644783</v>
      </c>
      <c r="N8982" s="605">
        <v>1.6251189343482397</v>
      </c>
      <c r="O8982" s="605">
        <v>1.6339993656834761</v>
      </c>
      <c r="P8982" s="605">
        <v>2.1468442752933714</v>
      </c>
      <c r="Q8982" s="605">
        <v>2.1595306057722805</v>
      </c>
      <c r="R8982" s="605">
        <v>2.1731684110371075</v>
      </c>
      <c r="S8982" s="605">
        <v>2.1874405328258804</v>
      </c>
      <c r="T8982" s="605">
        <v>2.2026641294005707</v>
      </c>
      <c r="U8982" s="605">
        <v>3.2632413574373613</v>
      </c>
      <c r="V8982" s="605">
        <v>3.2886140183951791</v>
      </c>
      <c r="W8982" s="605">
        <v>3.3149381541389151</v>
      </c>
      <c r="X8982" s="605">
        <v>3.3425309229305422</v>
      </c>
      <c r="Y8982" s="605">
        <v>3.3713923247700603</v>
      </c>
      <c r="Z8982" s="605">
        <v>5.0193466539803362</v>
      </c>
      <c r="AA8982" s="605">
        <v>5.0551855375832533</v>
      </c>
      <c r="AB8982" s="605">
        <v>5.090707262924199</v>
      </c>
      <c r="AC8982" s="605">
        <v>5.1246431969552804</v>
      </c>
      <c r="AD8982" s="605">
        <v>5.1557247066286074</v>
      </c>
      <c r="AE8982" s="605">
        <v>5.1833174754202345</v>
      </c>
      <c r="AF8982" s="605">
        <v>5.2052013954963527</v>
      </c>
      <c r="AG8982" s="605">
        <v>5.221059308594989</v>
      </c>
      <c r="AH8982" s="605">
        <v>5.2293054234062799</v>
      </c>
      <c r="AI8982" s="605">
        <v>5.2280367903583889</v>
      </c>
      <c r="AJ8982" s="605">
        <v>5.2140818268315892</v>
      </c>
      <c r="AK8982" s="132" t="s">
        <v>1387</v>
      </c>
      <c r="AL8982" s="142" t="str">
        <f t="shared" si="193"/>
        <v>Passenger car</v>
      </c>
    </row>
    <row r="8983" spans="2:38">
      <c r="B8983" s="136" t="s">
        <v>1366</v>
      </c>
      <c r="C8983" s="132" t="s">
        <v>1379</v>
      </c>
      <c r="D8983" s="1094">
        <v>1.7999999999999999E-2</v>
      </c>
      <c r="E8983" s="1095">
        <v>1.7999999999999999E-2</v>
      </c>
      <c r="F8983" s="605">
        <v>1</v>
      </c>
      <c r="G8983" s="605">
        <v>1</v>
      </c>
      <c r="H8983" s="605">
        <v>1</v>
      </c>
      <c r="I8983" s="605">
        <v>1</v>
      </c>
      <c r="J8983" s="605">
        <v>1</v>
      </c>
      <c r="K8983" s="605">
        <v>1</v>
      </c>
      <c r="L8983" s="605">
        <v>1</v>
      </c>
      <c r="M8983" s="605">
        <v>1</v>
      </c>
      <c r="N8983" s="605">
        <v>1</v>
      </c>
      <c r="O8983" s="605">
        <v>1</v>
      </c>
      <c r="P8983" s="605">
        <v>1</v>
      </c>
      <c r="Q8983" s="605">
        <v>1</v>
      </c>
      <c r="R8983" s="605">
        <v>1</v>
      </c>
      <c r="S8983" s="605">
        <v>1</v>
      </c>
      <c r="T8983" s="605">
        <v>1</v>
      </c>
      <c r="U8983" s="605">
        <v>1</v>
      </c>
      <c r="V8983" s="605">
        <v>1</v>
      </c>
      <c r="W8983" s="605">
        <v>1</v>
      </c>
      <c r="X8983" s="605">
        <v>1</v>
      </c>
      <c r="Y8983" s="605">
        <v>1</v>
      </c>
      <c r="Z8983" s="605">
        <v>1</v>
      </c>
      <c r="AA8983" s="605">
        <v>1</v>
      </c>
      <c r="AB8983" s="605">
        <v>1</v>
      </c>
      <c r="AC8983" s="605">
        <v>1</v>
      </c>
      <c r="AD8983" s="605">
        <v>1</v>
      </c>
      <c r="AE8983" s="605">
        <v>1</v>
      </c>
      <c r="AF8983" s="605">
        <v>1</v>
      </c>
      <c r="AG8983" s="605">
        <v>1</v>
      </c>
      <c r="AH8983" s="605">
        <v>1</v>
      </c>
      <c r="AI8983" s="605">
        <v>1</v>
      </c>
      <c r="AJ8983" s="605">
        <v>1</v>
      </c>
      <c r="AK8983" s="132" t="s">
        <v>1387</v>
      </c>
      <c r="AL8983" s="142" t="str">
        <f t="shared" si="193"/>
        <v>Passenger car</v>
      </c>
    </row>
    <row r="8984" spans="2:38">
      <c r="B8984" s="136" t="s">
        <v>1366</v>
      </c>
      <c r="C8984" s="132" t="s">
        <v>285</v>
      </c>
      <c r="D8984" s="1094">
        <v>5.0000000000000001E-3</v>
      </c>
      <c r="E8984" s="1095">
        <v>3.0000000000000001E-3</v>
      </c>
      <c r="F8984" s="605">
        <v>1</v>
      </c>
      <c r="G8984" s="605">
        <v>0.93461915658711991</v>
      </c>
      <c r="H8984" s="605">
        <v>0.93756129454069947</v>
      </c>
      <c r="I8984" s="605">
        <v>0.94050343249427926</v>
      </c>
      <c r="J8984" s="605">
        <v>1.1794704151683557</v>
      </c>
      <c r="K8984" s="605">
        <v>1.1847008826413861</v>
      </c>
      <c r="L8984" s="605">
        <v>1.3828048381824125</v>
      </c>
      <c r="M8984" s="605">
        <v>1.3896698267407648</v>
      </c>
      <c r="N8984" s="605">
        <v>1.6247139588100685</v>
      </c>
      <c r="O8984" s="605">
        <v>1.6338672768878717</v>
      </c>
      <c r="P8984" s="605">
        <v>2.1464530892448512</v>
      </c>
      <c r="Q8984" s="605">
        <v>2.1592023537103628</v>
      </c>
      <c r="R8984" s="605">
        <v>2.1729323308270678</v>
      </c>
      <c r="S8984" s="605">
        <v>2.1873161163779011</v>
      </c>
      <c r="T8984" s="605">
        <v>2.2023537103628636</v>
      </c>
      <c r="U8984" s="605">
        <v>3.2628309905197779</v>
      </c>
      <c r="V8984" s="605">
        <v>3.288002615233736</v>
      </c>
      <c r="W8984" s="605">
        <v>3.3144818568159531</v>
      </c>
      <c r="X8984" s="605">
        <v>3.3419418110493622</v>
      </c>
      <c r="Y8984" s="605">
        <v>3.3707093821510301</v>
      </c>
      <c r="Z8984" s="605">
        <v>5.0186335403726705</v>
      </c>
      <c r="AA8984" s="605">
        <v>5.0542661000326907</v>
      </c>
      <c r="AB8984" s="605">
        <v>5.08989865969271</v>
      </c>
      <c r="AC8984" s="605">
        <v>5.1235697940503426</v>
      </c>
      <c r="AD8984" s="605">
        <v>5.1549525988885252</v>
      </c>
      <c r="AE8984" s="605">
        <v>5.1824125531219352</v>
      </c>
      <c r="AF8984" s="605">
        <v>5.2043151356652499</v>
      </c>
      <c r="AG8984" s="605">
        <v>5.2200065380843412</v>
      </c>
      <c r="AH8984" s="605">
        <v>5.2281791435109515</v>
      </c>
      <c r="AI8984" s="605">
        <v>5.2271984308597581</v>
      </c>
      <c r="AJ8984" s="605">
        <v>5.2131415495259885</v>
      </c>
      <c r="AK8984" s="132" t="s">
        <v>1387</v>
      </c>
      <c r="AL8984" s="142" t="str">
        <f t="shared" si="193"/>
        <v>Passenger car</v>
      </c>
    </row>
    <row r="8985" spans="2:38">
      <c r="B8985" s="136" t="s">
        <v>1366</v>
      </c>
      <c r="C8985" s="132" t="s">
        <v>1380</v>
      </c>
      <c r="D8985" s="1094">
        <v>5.0000000000000001E-3</v>
      </c>
      <c r="E8985" s="1095">
        <v>5.0000000000000001E-3</v>
      </c>
      <c r="F8985" s="605">
        <v>1</v>
      </c>
      <c r="G8985" s="605">
        <v>1</v>
      </c>
      <c r="H8985" s="605">
        <v>1</v>
      </c>
      <c r="I8985" s="605">
        <v>1</v>
      </c>
      <c r="J8985" s="605">
        <v>1</v>
      </c>
      <c r="K8985" s="605">
        <v>1</v>
      </c>
      <c r="L8985" s="605">
        <v>1</v>
      </c>
      <c r="M8985" s="605">
        <v>1</v>
      </c>
      <c r="N8985" s="605">
        <v>1</v>
      </c>
      <c r="O8985" s="605">
        <v>1</v>
      </c>
      <c r="P8985" s="605">
        <v>1</v>
      </c>
      <c r="Q8985" s="605">
        <v>1</v>
      </c>
      <c r="R8985" s="605">
        <v>1</v>
      </c>
      <c r="S8985" s="605">
        <v>1</v>
      </c>
      <c r="T8985" s="605">
        <v>1</v>
      </c>
      <c r="U8985" s="605">
        <v>1</v>
      </c>
      <c r="V8985" s="605">
        <v>1</v>
      </c>
      <c r="W8985" s="605">
        <v>1</v>
      </c>
      <c r="X8985" s="605">
        <v>1</v>
      </c>
      <c r="Y8985" s="605">
        <v>1</v>
      </c>
      <c r="Z8985" s="605">
        <v>1</v>
      </c>
      <c r="AA8985" s="605">
        <v>1</v>
      </c>
      <c r="AB8985" s="605">
        <v>1</v>
      </c>
      <c r="AC8985" s="605">
        <v>1</v>
      </c>
      <c r="AD8985" s="605">
        <v>1</v>
      </c>
      <c r="AE8985" s="605">
        <v>1</v>
      </c>
      <c r="AF8985" s="605">
        <v>1</v>
      </c>
      <c r="AG8985" s="605">
        <v>1</v>
      </c>
      <c r="AH8985" s="605">
        <v>1</v>
      </c>
      <c r="AI8985" s="605">
        <v>1</v>
      </c>
      <c r="AJ8985" s="605">
        <v>1</v>
      </c>
      <c r="AK8985" s="132" t="s">
        <v>1387</v>
      </c>
      <c r="AL8985" s="142" t="str">
        <f t="shared" si="193"/>
        <v>Passenger car</v>
      </c>
    </row>
    <row r="8986" spans="2:38">
      <c r="B8986" s="136" t="s">
        <v>1366</v>
      </c>
      <c r="C8986" s="132" t="s">
        <v>281</v>
      </c>
      <c r="D8986" s="1094">
        <v>0.114</v>
      </c>
      <c r="E8986" s="1095">
        <v>7.2999999999999995E-2</v>
      </c>
      <c r="F8986" s="605">
        <v>1</v>
      </c>
      <c r="G8986" s="605">
        <v>1.0140905424480744</v>
      </c>
      <c r="H8986" s="605">
        <v>1.0311806815890301</v>
      </c>
      <c r="I8986" s="605">
        <v>1.0509931437789879</v>
      </c>
      <c r="J8986" s="605">
        <v>1.3911574914297238</v>
      </c>
      <c r="K8986" s="605">
        <v>1.4240522282718289</v>
      </c>
      <c r="L8986" s="605">
        <v>1.7406987295825771</v>
      </c>
      <c r="M8986" s="605">
        <v>1.7838525912482355</v>
      </c>
      <c r="N8986" s="605">
        <v>2.1041540633192177</v>
      </c>
      <c r="O8986" s="605">
        <v>2.1600877192982457</v>
      </c>
      <c r="P8986" s="605">
        <v>2.6495513208308128</v>
      </c>
      <c r="Q8986" s="605">
        <v>2.722625529340593</v>
      </c>
      <c r="R8986" s="605">
        <v>2.7992034684412181</v>
      </c>
      <c r="S8986" s="605">
        <v>2.879890098810244</v>
      </c>
      <c r="T8986" s="605">
        <v>2.9653155878201249</v>
      </c>
      <c r="U8986" s="605">
        <v>3.2712492437991534</v>
      </c>
      <c r="V8986" s="605">
        <v>3.372655777374471</v>
      </c>
      <c r="W8986" s="605">
        <v>3.4784986892518654</v>
      </c>
      <c r="X8986" s="605">
        <v>3.5898114539221622</v>
      </c>
      <c r="Y8986" s="605">
        <v>3.7055101835047388</v>
      </c>
      <c r="Z8986" s="605">
        <v>4.3200241984271024</v>
      </c>
      <c r="AA8986" s="605">
        <v>4.4294968743698329</v>
      </c>
      <c r="AB8986" s="605">
        <v>4.5381125226860259</v>
      </c>
      <c r="AC8986" s="605">
        <v>4.6420397257511592</v>
      </c>
      <c r="AD8986" s="605">
        <v>4.7376235128050013</v>
      </c>
      <c r="AE8986" s="605">
        <v>4.821486186731196</v>
      </c>
      <c r="AF8986" s="605">
        <v>4.889115749142972</v>
      </c>
      <c r="AG8986" s="605">
        <v>4.9371597096188751</v>
      </c>
      <c r="AH8986" s="605">
        <v>4.9621647509578546</v>
      </c>
      <c r="AI8986" s="605">
        <v>4.9592407743496674</v>
      </c>
      <c r="AJ8986" s="605">
        <v>4.9157592256503326</v>
      </c>
      <c r="AK8986" s="132" t="s">
        <v>1387</v>
      </c>
      <c r="AL8986" s="142" t="str">
        <f t="shared" si="193"/>
        <v>Passenger car</v>
      </c>
    </row>
    <row r="8987" spans="2:38">
      <c r="B8987" s="136" t="s">
        <v>1366</v>
      </c>
      <c r="C8987" s="132" t="s">
        <v>1384</v>
      </c>
      <c r="D8987" s="1094">
        <v>5.0000000000000001E-3</v>
      </c>
      <c r="E8987" s="1095">
        <v>4.0000000000000001E-3</v>
      </c>
      <c r="F8987" s="605">
        <v>1</v>
      </c>
      <c r="G8987" s="605">
        <v>1</v>
      </c>
      <c r="H8987" s="605">
        <v>1</v>
      </c>
      <c r="I8987" s="605">
        <v>1</v>
      </c>
      <c r="J8987" s="605">
        <v>1</v>
      </c>
      <c r="K8987" s="605">
        <v>1</v>
      </c>
      <c r="L8987" s="605">
        <v>1</v>
      </c>
      <c r="M8987" s="605">
        <v>1</v>
      </c>
      <c r="N8987" s="605">
        <v>1</v>
      </c>
      <c r="O8987" s="605">
        <v>1</v>
      </c>
      <c r="P8987" s="605">
        <v>1</v>
      </c>
      <c r="Q8987" s="605">
        <v>1</v>
      </c>
      <c r="R8987" s="605">
        <v>1</v>
      </c>
      <c r="S8987" s="605">
        <v>1</v>
      </c>
      <c r="T8987" s="605">
        <v>1</v>
      </c>
      <c r="U8987" s="605">
        <v>1</v>
      </c>
      <c r="V8987" s="605">
        <v>1</v>
      </c>
      <c r="W8987" s="605">
        <v>1</v>
      </c>
      <c r="X8987" s="605">
        <v>1</v>
      </c>
      <c r="Y8987" s="605">
        <v>1</v>
      </c>
      <c r="Z8987" s="605">
        <v>1</v>
      </c>
      <c r="AA8987" s="605">
        <v>1</v>
      </c>
      <c r="AB8987" s="605">
        <v>1</v>
      </c>
      <c r="AC8987" s="605">
        <v>1</v>
      </c>
      <c r="AD8987" s="605">
        <v>1</v>
      </c>
      <c r="AE8987" s="605">
        <v>1</v>
      </c>
      <c r="AF8987" s="605">
        <v>1</v>
      </c>
      <c r="AG8987" s="605">
        <v>1</v>
      </c>
      <c r="AH8987" s="605">
        <v>1</v>
      </c>
      <c r="AI8987" s="605">
        <v>1</v>
      </c>
      <c r="AJ8987" s="605">
        <v>1</v>
      </c>
      <c r="AK8987" s="132" t="s">
        <v>1387</v>
      </c>
      <c r="AL8987" s="142" t="str">
        <f t="shared" si="193"/>
        <v>Passenger car</v>
      </c>
    </row>
    <row r="8988" spans="2:38">
      <c r="B8988" s="136" t="s">
        <v>1367</v>
      </c>
      <c r="C8988" s="132" t="s">
        <v>282</v>
      </c>
      <c r="D8988" s="1094">
        <v>2.5680000000000001</v>
      </c>
      <c r="E8988" s="1095">
        <v>1.3240000000000001</v>
      </c>
      <c r="F8988" s="605">
        <v>1</v>
      </c>
      <c r="G8988" s="605">
        <v>1.0033623830730221</v>
      </c>
      <c r="H8988" s="605">
        <v>0.97850532341806773</v>
      </c>
      <c r="I8988" s="605">
        <v>0.98302614476571992</v>
      </c>
      <c r="J8988" s="605">
        <v>1.7675090380913827</v>
      </c>
      <c r="K8988" s="605">
        <v>1.7798910457196024</v>
      </c>
      <c r="L8988" s="605">
        <v>2.1194647461166394</v>
      </c>
      <c r="M8988" s="605">
        <v>2.1401745825431662</v>
      </c>
      <c r="N8988" s="605">
        <v>2.3383385537633266</v>
      </c>
      <c r="O8988" s="605">
        <v>2.3636658072489398</v>
      </c>
      <c r="P8988" s="605">
        <v>2.901691845475272</v>
      </c>
      <c r="Q8988" s="605">
        <v>2.9336011023275308</v>
      </c>
      <c r="R8988" s="605">
        <v>2.9671311783966536</v>
      </c>
      <c r="S8988" s="605">
        <v>3.0029355152599915</v>
      </c>
      <c r="T8988" s="605">
        <v>3.040972917687669</v>
      </c>
      <c r="U8988" s="605">
        <v>3.4036543009950777</v>
      </c>
      <c r="V8988" s="605">
        <v>3.4485109344924818</v>
      </c>
      <c r="W8988" s="605">
        <v>3.4954003395055158</v>
      </c>
      <c r="X8988" s="605">
        <v>3.545213895577195</v>
      </c>
      <c r="Y8988" s="605">
        <v>3.597415354456543</v>
      </c>
      <c r="Z8988" s="605">
        <v>3.9489811283231413</v>
      </c>
      <c r="AA8988" s="605">
        <v>3.9948562783661123</v>
      </c>
      <c r="AB8988" s="605">
        <v>4.0402392164383176</v>
      </c>
      <c r="AC8988" s="605">
        <v>4.083788966781019</v>
      </c>
      <c r="AD8988" s="605">
        <v>4.1239031770045393</v>
      </c>
      <c r="AE8988" s="605">
        <v>4.1581051614781988</v>
      </c>
      <c r="AF8988" s="605">
        <v>4.1890562741045363</v>
      </c>
      <c r="AG8988" s="605">
        <v>4.2110452934449869</v>
      </c>
      <c r="AH8988" s="605">
        <v>4.2224862031493045</v>
      </c>
      <c r="AI8988" s="605">
        <v>4.221140255552478</v>
      </c>
      <c r="AJ8988" s="605">
        <v>4.201260716086737</v>
      </c>
      <c r="AK8988" s="132" t="s">
        <v>1388</v>
      </c>
      <c r="AL8988" s="142" t="str">
        <f t="shared" si="193"/>
        <v>Passenger car</v>
      </c>
    </row>
    <row r="8989" spans="2:38">
      <c r="B8989" s="136" t="s">
        <v>1367</v>
      </c>
      <c r="C8989" s="132" t="s">
        <v>283</v>
      </c>
      <c r="D8989" s="1094">
        <v>0.111</v>
      </c>
      <c r="E8989" s="1095">
        <v>7.0000000000000007E-2</v>
      </c>
      <c r="F8989" s="605">
        <v>1</v>
      </c>
      <c r="G8989" s="605">
        <v>1.0087812189439729</v>
      </c>
      <c r="H8989" s="605">
        <v>0.95596357178931601</v>
      </c>
      <c r="I8989" s="605">
        <v>0.96150274514915046</v>
      </c>
      <c r="J8989" s="605">
        <v>1.5226210065003829</v>
      </c>
      <c r="K8989" s="605">
        <v>1.5352959384825924</v>
      </c>
      <c r="L8989" s="605">
        <v>1.8966292500936774</v>
      </c>
      <c r="M8989" s="605">
        <v>1.9185415682377285</v>
      </c>
      <c r="N8989" s="605">
        <v>2.3960183118554603</v>
      </c>
      <c r="O8989" s="605">
        <v>2.4258483895668044</v>
      </c>
      <c r="P8989" s="605">
        <v>2.824945830142878</v>
      </c>
      <c r="Q8989" s="605">
        <v>2.8622537918899988</v>
      </c>
      <c r="R8989" s="605">
        <v>2.9013538391358891</v>
      </c>
      <c r="S8989" s="605">
        <v>2.942555513921246</v>
      </c>
      <c r="T8989" s="605">
        <v>2.9861846499731191</v>
      </c>
      <c r="U8989" s="605">
        <v>3.4089376191329568</v>
      </c>
      <c r="V8989" s="605">
        <v>3.4633355598638014</v>
      </c>
      <c r="W8989" s="605">
        <v>3.5201120868021052</v>
      </c>
      <c r="X8989" s="605">
        <v>3.579837408970203</v>
      </c>
      <c r="Y8989" s="605">
        <v>3.6418924422867009</v>
      </c>
      <c r="Z8989" s="605">
        <v>3.9919844903145925</v>
      </c>
      <c r="AA8989" s="605">
        <v>4.0476531825809294</v>
      </c>
      <c r="AB8989" s="605">
        <v>4.1028819993157493</v>
      </c>
      <c r="AC8989" s="605">
        <v>4.1557159381567583</v>
      </c>
      <c r="AD8989" s="605">
        <v>4.2043303302324828</v>
      </c>
      <c r="AE8989" s="605">
        <v>4.2469819651032088</v>
      </c>
      <c r="AF8989" s="605">
        <v>4.2813737149932392</v>
      </c>
      <c r="AG8989" s="605">
        <v>4.3057949528355675</v>
      </c>
      <c r="AH8989" s="605">
        <v>4.3185187598768353</v>
      </c>
      <c r="AI8989" s="605">
        <v>4.3170362164187619</v>
      </c>
      <c r="AJ8989" s="605">
        <v>4.2949283980384809</v>
      </c>
      <c r="AK8989" s="132" t="s">
        <v>1388</v>
      </c>
      <c r="AL8989" s="142" t="str">
        <f t="shared" si="193"/>
        <v>Passenger car</v>
      </c>
    </row>
    <row r="8990" spans="2:38">
      <c r="B8990" s="136" t="s">
        <v>1367</v>
      </c>
      <c r="C8990" s="132" t="s">
        <v>284</v>
      </c>
      <c r="D8990" s="1094">
        <v>5.0000000000000001E-3</v>
      </c>
      <c r="E8990" s="1095">
        <v>3.0000000000000001E-3</v>
      </c>
      <c r="F8990" s="605">
        <v>1</v>
      </c>
      <c r="G8990" s="605">
        <v>1.0027894002789399</v>
      </c>
      <c r="H8990" s="605">
        <v>1.0090655509065551</v>
      </c>
      <c r="I8990" s="605">
        <v>1.0132496513249651</v>
      </c>
      <c r="J8990" s="605">
        <v>1.2884704788470478</v>
      </c>
      <c r="K8990" s="605">
        <v>1.2952115295211528</v>
      </c>
      <c r="L8990" s="605">
        <v>1.5244072524407251</v>
      </c>
      <c r="M8990" s="605">
        <v>1.5330079033007902</v>
      </c>
      <c r="N8990" s="605">
        <v>1.8056717805671778</v>
      </c>
      <c r="O8990" s="605">
        <v>1.8172942817294282</v>
      </c>
      <c r="P8990" s="605">
        <v>2.4109716410971638</v>
      </c>
      <c r="Q8990" s="605">
        <v>2.4279404927940491</v>
      </c>
      <c r="R8990" s="605">
        <v>2.4456066945606696</v>
      </c>
      <c r="S8990" s="605">
        <v>2.4642026964202692</v>
      </c>
      <c r="T8990" s="605">
        <v>2.4841933984193396</v>
      </c>
      <c r="U8990" s="605">
        <v>3.7175732217573221</v>
      </c>
      <c r="V8990" s="605">
        <v>3.7505811250581123</v>
      </c>
      <c r="W8990" s="605">
        <v>3.7849837284983723</v>
      </c>
      <c r="X8990" s="605">
        <v>3.8210134821013484</v>
      </c>
      <c r="Y8990" s="605">
        <v>3.8586703858670384</v>
      </c>
      <c r="Z8990" s="605">
        <v>5.785681078568107</v>
      </c>
      <c r="AA8990" s="605">
        <v>5.8324035332403525</v>
      </c>
      <c r="AB8990" s="605">
        <v>5.8788935378893541</v>
      </c>
      <c r="AC8990" s="605">
        <v>5.9232914923291489</v>
      </c>
      <c r="AD8990" s="605">
        <v>5.9642026964202692</v>
      </c>
      <c r="AE8990" s="605">
        <v>6</v>
      </c>
      <c r="AF8990" s="605">
        <v>6.0290562529056251</v>
      </c>
      <c r="AG8990" s="605">
        <v>6.0495118549511853</v>
      </c>
      <c r="AH8990" s="605">
        <v>6.0602045560204552</v>
      </c>
      <c r="AI8990" s="605">
        <v>6.0590423059042298</v>
      </c>
      <c r="AJ8990" s="605">
        <v>6.0404463040446297</v>
      </c>
      <c r="AK8990" s="132" t="s">
        <v>1388</v>
      </c>
      <c r="AL8990" s="142" t="str">
        <f t="shared" si="193"/>
        <v>Passenger car</v>
      </c>
    </row>
    <row r="8991" spans="2:38">
      <c r="B8991" s="136" t="s">
        <v>1367</v>
      </c>
      <c r="C8991" s="132" t="s">
        <v>1379</v>
      </c>
      <c r="D8991" s="1094">
        <v>1.7999999999999999E-2</v>
      </c>
      <c r="E8991" s="1095">
        <v>1.7999999999999999E-2</v>
      </c>
      <c r="F8991" s="605">
        <v>1</v>
      </c>
      <c r="G8991" s="605">
        <v>1.0000559315397954</v>
      </c>
      <c r="H8991" s="605">
        <v>1.0058168801387102</v>
      </c>
      <c r="I8991" s="605">
        <v>1.0058168801387102</v>
      </c>
      <c r="J8991" s="605">
        <v>1.0058168801387102</v>
      </c>
      <c r="K8991" s="605">
        <v>1.0058168801387102</v>
      </c>
      <c r="L8991" s="605">
        <v>1.0058168801387102</v>
      </c>
      <c r="M8991" s="605">
        <v>1.0058168801387102</v>
      </c>
      <c r="N8991" s="605">
        <v>1.0058168801387102</v>
      </c>
      <c r="O8991" s="605">
        <v>1.0058168801387102</v>
      </c>
      <c r="P8991" s="605">
        <v>1.0058168801387102</v>
      </c>
      <c r="Q8991" s="605">
        <v>1.0058168801387102</v>
      </c>
      <c r="R8991" s="605">
        <v>1.0058168801387102</v>
      </c>
      <c r="S8991" s="605">
        <v>1.0058168801387102</v>
      </c>
      <c r="T8991" s="605">
        <v>1.0058168801387102</v>
      </c>
      <c r="U8991" s="605">
        <v>1.0058168801387102</v>
      </c>
      <c r="V8991" s="605">
        <v>1.0058168801387102</v>
      </c>
      <c r="W8991" s="605">
        <v>1.0058168801387102</v>
      </c>
      <c r="X8991" s="605">
        <v>1.0058168801387102</v>
      </c>
      <c r="Y8991" s="605">
        <v>1.0058168801387102</v>
      </c>
      <c r="Z8991" s="605">
        <v>1.0058168801387102</v>
      </c>
      <c r="AA8991" s="605">
        <v>1.0058168801387102</v>
      </c>
      <c r="AB8991" s="605">
        <v>1.0058168801387102</v>
      </c>
      <c r="AC8991" s="605">
        <v>1.0058168801387102</v>
      </c>
      <c r="AD8991" s="605">
        <v>1.0058168801387102</v>
      </c>
      <c r="AE8991" s="605">
        <v>1.0058168801387102</v>
      </c>
      <c r="AF8991" s="605">
        <v>1.0058168801387102</v>
      </c>
      <c r="AG8991" s="605">
        <v>1.0058168801387102</v>
      </c>
      <c r="AH8991" s="605">
        <v>1.0058168801387102</v>
      </c>
      <c r="AI8991" s="605">
        <v>1.0058168801387102</v>
      </c>
      <c r="AJ8991" s="605">
        <v>1.0058168801387102</v>
      </c>
      <c r="AK8991" s="132" t="s">
        <v>1388</v>
      </c>
      <c r="AL8991" s="142" t="str">
        <f t="shared" si="193"/>
        <v>Passenger car</v>
      </c>
    </row>
    <row r="8992" spans="2:38">
      <c r="B8992" s="136" t="s">
        <v>1367</v>
      </c>
      <c r="C8992" s="132" t="s">
        <v>285</v>
      </c>
      <c r="D8992" s="1094">
        <v>5.0000000000000001E-3</v>
      </c>
      <c r="E8992" s="1095">
        <v>3.0000000000000001E-3</v>
      </c>
      <c r="F8992" s="605">
        <v>1</v>
      </c>
      <c r="G8992" s="605">
        <v>1.0030295379954557</v>
      </c>
      <c r="H8992" s="605">
        <v>1.0090886139863671</v>
      </c>
      <c r="I8992" s="605">
        <v>1.0131279979803081</v>
      </c>
      <c r="J8992" s="605">
        <v>1.2885634940671546</v>
      </c>
      <c r="K8992" s="605">
        <v>1.29537995455693</v>
      </c>
      <c r="L8992" s="605">
        <v>1.5246149962130775</v>
      </c>
      <c r="M8992" s="605">
        <v>1.5331986872002019</v>
      </c>
      <c r="N8992" s="605">
        <v>1.8058571067912141</v>
      </c>
      <c r="O8992" s="605">
        <v>1.8174703357737945</v>
      </c>
      <c r="P8992" s="605">
        <v>2.4112597828831102</v>
      </c>
      <c r="Q8992" s="605">
        <v>2.4281747033577377</v>
      </c>
      <c r="R8992" s="605">
        <v>2.4458470083312296</v>
      </c>
      <c r="S8992" s="605">
        <v>2.4645291593032064</v>
      </c>
      <c r="T8992" s="605">
        <v>2.484221156273668</v>
      </c>
      <c r="U8992" s="605">
        <v>3.7177480434233776</v>
      </c>
      <c r="V8992" s="605">
        <v>3.7508204998737691</v>
      </c>
      <c r="W8992" s="605">
        <v>3.7851552638222667</v>
      </c>
      <c r="X8992" s="605">
        <v>3.8212572582681141</v>
      </c>
      <c r="Y8992" s="605">
        <v>3.858874021711689</v>
      </c>
      <c r="Z8992" s="605">
        <v>5.7861651098207521</v>
      </c>
      <c r="AA8992" s="605">
        <v>5.8328704872506938</v>
      </c>
      <c r="AB8992" s="605">
        <v>5.8793234031810142</v>
      </c>
      <c r="AC8992" s="605">
        <v>5.9237566271143649</v>
      </c>
      <c r="AD8992" s="605">
        <v>5.964655390053017</v>
      </c>
      <c r="AE8992" s="605">
        <v>6.0005049229992427</v>
      </c>
      <c r="AF8992" s="605">
        <v>6.0295379954556934</v>
      </c>
      <c r="AG8992" s="605">
        <v>6.049987376925019</v>
      </c>
      <c r="AH8992" s="605">
        <v>6.0605907599091138</v>
      </c>
      <c r="AI8992" s="605">
        <v>6.0593284524110071</v>
      </c>
      <c r="AJ8992" s="605">
        <v>6.0408987629386521</v>
      </c>
      <c r="AK8992" s="132" t="s">
        <v>1388</v>
      </c>
      <c r="AL8992" s="142" t="str">
        <f t="shared" si="193"/>
        <v>Passenger car</v>
      </c>
    </row>
    <row r="8993" spans="2:38">
      <c r="B8993" s="136" t="s">
        <v>1367</v>
      </c>
      <c r="C8993" s="132" t="s">
        <v>1380</v>
      </c>
      <c r="D8993" s="1094">
        <v>5.0000000000000001E-3</v>
      </c>
      <c r="E8993" s="1095">
        <v>5.0000000000000001E-3</v>
      </c>
      <c r="F8993" s="605">
        <v>1</v>
      </c>
      <c r="G8993" s="605">
        <v>1.000219587176109</v>
      </c>
      <c r="H8993" s="605">
        <v>1.0059288537549407</v>
      </c>
      <c r="I8993" s="605">
        <v>1.0059288537549407</v>
      </c>
      <c r="J8993" s="605">
        <v>1.0059288537549407</v>
      </c>
      <c r="K8993" s="605">
        <v>1.0059288537549407</v>
      </c>
      <c r="L8993" s="605">
        <v>1.0059288537549407</v>
      </c>
      <c r="M8993" s="605">
        <v>1.0059288537549407</v>
      </c>
      <c r="N8993" s="605">
        <v>1.0059288537549407</v>
      </c>
      <c r="O8993" s="605">
        <v>1.0059288537549407</v>
      </c>
      <c r="P8993" s="605">
        <v>1.0059288537549407</v>
      </c>
      <c r="Q8993" s="605">
        <v>1.0059288537549407</v>
      </c>
      <c r="R8993" s="605">
        <v>1.0059288537549407</v>
      </c>
      <c r="S8993" s="605">
        <v>1.0059288537549407</v>
      </c>
      <c r="T8993" s="605">
        <v>1.0059288537549407</v>
      </c>
      <c r="U8993" s="605">
        <v>1.0059288537549407</v>
      </c>
      <c r="V8993" s="605">
        <v>1.0059288537549407</v>
      </c>
      <c r="W8993" s="605">
        <v>1.0059288537549407</v>
      </c>
      <c r="X8993" s="605">
        <v>1.0059288537549407</v>
      </c>
      <c r="Y8993" s="605">
        <v>1.0059288537549407</v>
      </c>
      <c r="Z8993" s="605">
        <v>1.0059288537549407</v>
      </c>
      <c r="AA8993" s="605">
        <v>1.0059288537549407</v>
      </c>
      <c r="AB8993" s="605">
        <v>1.0059288537549407</v>
      </c>
      <c r="AC8993" s="605">
        <v>1.0059288537549407</v>
      </c>
      <c r="AD8993" s="605">
        <v>1.0059288537549407</v>
      </c>
      <c r="AE8993" s="605">
        <v>1.0059288537549407</v>
      </c>
      <c r="AF8993" s="605">
        <v>1.0059288537549407</v>
      </c>
      <c r="AG8993" s="605">
        <v>1.0059288537549407</v>
      </c>
      <c r="AH8993" s="605">
        <v>1.0059288537549407</v>
      </c>
      <c r="AI8993" s="605">
        <v>1.0059288537549407</v>
      </c>
      <c r="AJ8993" s="605">
        <v>1.0059288537549407</v>
      </c>
      <c r="AK8993" s="132" t="s">
        <v>1388</v>
      </c>
      <c r="AL8993" s="142" t="str">
        <f t="shared" si="193"/>
        <v>Passenger car</v>
      </c>
    </row>
    <row r="8994" spans="2:38">
      <c r="B8994" s="136" t="s">
        <v>1367</v>
      </c>
      <c r="C8994" s="132" t="s">
        <v>281</v>
      </c>
      <c r="D8994" s="1094">
        <v>0.11700000000000001</v>
      </c>
      <c r="E8994" s="1095">
        <v>7.3999999999999996E-2</v>
      </c>
      <c r="F8994" s="605">
        <v>1</v>
      </c>
      <c r="G8994" s="605">
        <v>1.018122420148776</v>
      </c>
      <c r="H8994" s="605">
        <v>1.0244575414431716</v>
      </c>
      <c r="I8994" s="605">
        <v>1.0415204291106548</v>
      </c>
      <c r="J8994" s="605">
        <v>1.6432686577047877</v>
      </c>
      <c r="K8994" s="605">
        <v>1.6757389135377347</v>
      </c>
      <c r="L8994" s="605">
        <v>2.1409178200119197</v>
      </c>
      <c r="M8994" s="605">
        <v>2.1915325695870029</v>
      </c>
      <c r="N8994" s="605">
        <v>2.7092907754453344</v>
      </c>
      <c r="O8994" s="605">
        <v>2.7788888153102445</v>
      </c>
      <c r="P8994" s="605">
        <v>3.6771295499194312</v>
      </c>
      <c r="Q8994" s="605">
        <v>3.775290819592521</v>
      </c>
      <c r="R8994" s="605">
        <v>3.8781979118380678</v>
      </c>
      <c r="S8994" s="605">
        <v>3.98662340242368</v>
      </c>
      <c r="T8994" s="605">
        <v>4.1014281614904089</v>
      </c>
      <c r="U8994" s="605">
        <v>4.6256980773900178</v>
      </c>
      <c r="V8994" s="605">
        <v>4.7649603778999179</v>
      </c>
      <c r="W8994" s="605">
        <v>4.9103370637706112</v>
      </c>
      <c r="X8994" s="605">
        <v>5.0632187713837933</v>
      </c>
      <c r="Y8994" s="605">
        <v>5.2221265699843276</v>
      </c>
      <c r="Z8994" s="605">
        <v>5.930534401695251</v>
      </c>
      <c r="AA8994" s="605">
        <v>6.0776107542546853</v>
      </c>
      <c r="AB8994" s="605">
        <v>6.2235392799593843</v>
      </c>
      <c r="AC8994" s="605">
        <v>6.3631326843696883</v>
      </c>
      <c r="AD8994" s="605">
        <v>6.4915568505396983</v>
      </c>
      <c r="AE8994" s="605">
        <v>6.6041983974571217</v>
      </c>
      <c r="AF8994" s="605">
        <v>6.6950753813213248</v>
      </c>
      <c r="AG8994" s="605">
        <v>6.7596185683067338</v>
      </c>
      <c r="AH8994" s="605">
        <v>6.7931925038076946</v>
      </c>
      <c r="AI8994" s="605">
        <v>6.7892854777829275</v>
      </c>
      <c r="AJ8994" s="605">
        <v>6.730878749751672</v>
      </c>
      <c r="AK8994" s="132" t="s">
        <v>1388</v>
      </c>
      <c r="AL8994" s="142" t="str">
        <f t="shared" si="193"/>
        <v>Passenger car</v>
      </c>
    </row>
    <row r="8995" spans="2:38">
      <c r="B8995" s="136" t="s">
        <v>1367</v>
      </c>
      <c r="C8995" s="132" t="s">
        <v>1384</v>
      </c>
      <c r="D8995" s="1094">
        <v>0.10199999999999999</v>
      </c>
      <c r="E8995" s="1095">
        <v>7.0000000000000007E-2</v>
      </c>
      <c r="F8995" s="605">
        <v>1</v>
      </c>
      <c r="G8995" s="605">
        <v>1</v>
      </c>
      <c r="H8995" s="605">
        <v>1</v>
      </c>
      <c r="I8995" s="605">
        <v>1</v>
      </c>
      <c r="J8995" s="605">
        <v>1</v>
      </c>
      <c r="K8995" s="605">
        <v>1</v>
      </c>
      <c r="L8995" s="605">
        <v>1</v>
      </c>
      <c r="M8995" s="605">
        <v>1</v>
      </c>
      <c r="N8995" s="605">
        <v>1</v>
      </c>
      <c r="O8995" s="605">
        <v>1</v>
      </c>
      <c r="P8995" s="605">
        <v>1</v>
      </c>
      <c r="Q8995" s="605">
        <v>1</v>
      </c>
      <c r="R8995" s="605">
        <v>1</v>
      </c>
      <c r="S8995" s="605">
        <v>1</v>
      </c>
      <c r="T8995" s="605">
        <v>1</v>
      </c>
      <c r="U8995" s="605">
        <v>1</v>
      </c>
      <c r="V8995" s="605">
        <v>1</v>
      </c>
      <c r="W8995" s="605">
        <v>1</v>
      </c>
      <c r="X8995" s="605">
        <v>1</v>
      </c>
      <c r="Y8995" s="605">
        <v>1</v>
      </c>
      <c r="Z8995" s="605">
        <v>1</v>
      </c>
      <c r="AA8995" s="605">
        <v>1</v>
      </c>
      <c r="AB8995" s="605">
        <v>1</v>
      </c>
      <c r="AC8995" s="605">
        <v>1</v>
      </c>
      <c r="AD8995" s="605">
        <v>1</v>
      </c>
      <c r="AE8995" s="605">
        <v>1</v>
      </c>
      <c r="AF8995" s="605">
        <v>1</v>
      </c>
      <c r="AG8995" s="605">
        <v>1</v>
      </c>
      <c r="AH8995" s="605">
        <v>1</v>
      </c>
      <c r="AI8995" s="605">
        <v>1</v>
      </c>
      <c r="AJ8995" s="605">
        <v>1</v>
      </c>
      <c r="AK8995" s="132" t="s">
        <v>1388</v>
      </c>
      <c r="AL8995" s="142" t="str">
        <f t="shared" si="193"/>
        <v>Passenger car</v>
      </c>
    </row>
    <row r="8996" spans="2:38">
      <c r="B8996" s="136" t="s">
        <v>1368</v>
      </c>
      <c r="C8996" s="132" t="s">
        <v>282</v>
      </c>
      <c r="D8996" s="1094">
        <v>3.4209999999999998</v>
      </c>
      <c r="E8996" s="1095">
        <v>1.6759999999999999</v>
      </c>
      <c r="F8996" s="605">
        <v>1</v>
      </c>
      <c r="G8996" s="605">
        <v>1.002879151919253</v>
      </c>
      <c r="H8996" s="605">
        <v>1.0070413872249118</v>
      </c>
      <c r="I8996" s="605">
        <v>1.0125910342991236</v>
      </c>
      <c r="J8996" s="605">
        <v>1.6832450175411826</v>
      </c>
      <c r="K8996" s="605">
        <v>1.695396938351269</v>
      </c>
      <c r="L8996" s="605">
        <v>1.9901900177981107</v>
      </c>
      <c r="M8996" s="605">
        <v>2.0079896855044277</v>
      </c>
      <c r="N8996" s="605">
        <v>2.1583362270185598</v>
      </c>
      <c r="O8996" s="605">
        <v>2.1814628707745061</v>
      </c>
      <c r="P8996" s="605">
        <v>2.6311415549288935</v>
      </c>
      <c r="Q8996" s="605">
        <v>2.6629757257440407</v>
      </c>
      <c r="R8996" s="605">
        <v>2.6979335194634717</v>
      </c>
      <c r="S8996" s="605">
        <v>2.7362858784527635</v>
      </c>
      <c r="T8996" s="605">
        <v>2.7781200025537096</v>
      </c>
      <c r="U8996" s="605">
        <v>3.2272381162965602</v>
      </c>
      <c r="V8996" s="605">
        <v>3.2792481505069269</v>
      </c>
      <c r="W8996" s="605">
        <v>3.3336997802875419</v>
      </c>
      <c r="X8996" s="605">
        <v>3.3893846649735369</v>
      </c>
      <c r="Y8996" s="605">
        <v>3.4452470636231847</v>
      </c>
      <c r="Z8996" s="605">
        <v>4.1189281270875409</v>
      </c>
      <c r="AA8996" s="605">
        <v>4.1681571092006733</v>
      </c>
      <c r="AB8996" s="605">
        <v>4.2104817324117141</v>
      </c>
      <c r="AC8996" s="605">
        <v>4.2429138449991672</v>
      </c>
      <c r="AD8996" s="605">
        <v>4.2636502788059225</v>
      </c>
      <c r="AE8996" s="605">
        <v>4.2701435527395546</v>
      </c>
      <c r="AF8996" s="605">
        <v>4.2591470298332466</v>
      </c>
      <c r="AG8996" s="605">
        <v>4.2440490000825291</v>
      </c>
      <c r="AH8996" s="605">
        <v>4.2267803171271394</v>
      </c>
      <c r="AI8996" s="605">
        <v>4.208951063760213</v>
      </c>
      <c r="AJ8996" s="605">
        <v>4.1933267206786642</v>
      </c>
      <c r="AK8996" s="132" t="s">
        <v>1387</v>
      </c>
      <c r="AL8996" s="142" t="str">
        <f t="shared" si="193"/>
        <v>Passenger truck</v>
      </c>
    </row>
    <row r="8997" spans="2:38">
      <c r="B8997" s="136" t="s">
        <v>1368</v>
      </c>
      <c r="C8997" s="132" t="s">
        <v>283</v>
      </c>
      <c r="D8997" s="1094">
        <v>0.20300000000000001</v>
      </c>
      <c r="E8997" s="1095">
        <v>8.4000000000000005E-2</v>
      </c>
      <c r="F8997" s="605">
        <v>1</v>
      </c>
      <c r="G8997" s="605">
        <v>1.0035352048675512</v>
      </c>
      <c r="H8997" s="605">
        <v>1.0086451048701233</v>
      </c>
      <c r="I8997" s="605">
        <v>1.0154568759305991</v>
      </c>
      <c r="J8997" s="605">
        <v>1.3666924829026974</v>
      </c>
      <c r="K8997" s="605">
        <v>1.3766907967500119</v>
      </c>
      <c r="L8997" s="605">
        <v>1.4026232534744747</v>
      </c>
      <c r="M8997" s="605">
        <v>1.4154194376252109</v>
      </c>
      <c r="N8997" s="605">
        <v>1.4472605734633859</v>
      </c>
      <c r="O8997" s="605">
        <v>1.4632661634882209</v>
      </c>
      <c r="P8997" s="605">
        <v>1.4951087282693498</v>
      </c>
      <c r="Q8997" s="605">
        <v>1.514585220728818</v>
      </c>
      <c r="R8997" s="605">
        <v>1.5359722099174358</v>
      </c>
      <c r="S8997" s="605">
        <v>1.5594411689896517</v>
      </c>
      <c r="T8997" s="605">
        <v>1.5850378241199854</v>
      </c>
      <c r="U8997" s="605">
        <v>1.6272945251479671</v>
      </c>
      <c r="V8997" s="605">
        <v>1.6567221763372764</v>
      </c>
      <c r="W8997" s="605">
        <v>1.6875316153628515</v>
      </c>
      <c r="X8997" s="605">
        <v>1.7190426653787125</v>
      </c>
      <c r="Y8997" s="605">
        <v>1.750650883515428</v>
      </c>
      <c r="Z8997" s="605">
        <v>1.8000637308557366</v>
      </c>
      <c r="AA8997" s="605">
        <v>1.8240485383342526</v>
      </c>
      <c r="AB8997" s="605">
        <v>1.8446739009285271</v>
      </c>
      <c r="AC8997" s="605">
        <v>1.8604794389398387</v>
      </c>
      <c r="AD8997" s="605">
        <v>1.8705834945657296</v>
      </c>
      <c r="AE8997" s="605">
        <v>1.8737471742653089</v>
      </c>
      <c r="AF8997" s="605">
        <v>1.8683872092458325</v>
      </c>
      <c r="AG8997" s="605">
        <v>1.8610281530340744</v>
      </c>
      <c r="AH8997" s="605">
        <v>1.8526159658654107</v>
      </c>
      <c r="AI8997" s="605">
        <v>1.843927992706675</v>
      </c>
      <c r="AJ8997" s="605">
        <v>1.8363160135921053</v>
      </c>
      <c r="AK8997" s="132" t="s">
        <v>1387</v>
      </c>
      <c r="AL8997" s="142" t="str">
        <f t="shared" si="193"/>
        <v>Passenger truck</v>
      </c>
    </row>
    <row r="8998" spans="2:38">
      <c r="B8998" s="136" t="s">
        <v>1368</v>
      </c>
      <c r="C8998" s="132" t="s">
        <v>284</v>
      </c>
      <c r="D8998" s="1094">
        <v>7.0000000000000001E-3</v>
      </c>
      <c r="E8998" s="1095">
        <v>5.0000000000000001E-3</v>
      </c>
      <c r="F8998" s="605">
        <v>1</v>
      </c>
      <c r="G8998" s="605">
        <v>0.94850402761795172</v>
      </c>
      <c r="H8998" s="605">
        <v>0.94893555811277341</v>
      </c>
      <c r="I8998" s="605">
        <v>0.9495109321058689</v>
      </c>
      <c r="J8998" s="605">
        <v>1.6957710011507481</v>
      </c>
      <c r="K8998" s="605">
        <v>1.6969217491369391</v>
      </c>
      <c r="L8998" s="605">
        <v>1.7297180667433831</v>
      </c>
      <c r="M8998" s="605">
        <v>1.7313003452243958</v>
      </c>
      <c r="N8998" s="605">
        <v>1.7688434982738781</v>
      </c>
      <c r="O8998" s="605">
        <v>1.7710011507479861</v>
      </c>
      <c r="P8998" s="605">
        <v>1.8470943613348676</v>
      </c>
      <c r="Q8998" s="605">
        <v>1.8504027617951671</v>
      </c>
      <c r="R8998" s="605">
        <v>1.8539988492520139</v>
      </c>
      <c r="S8998" s="605">
        <v>1.8578826237054087</v>
      </c>
      <c r="T8998" s="605">
        <v>1.8620540851553511</v>
      </c>
      <c r="U8998" s="605">
        <v>2.0064729574223246</v>
      </c>
      <c r="V8998" s="605">
        <v>2.0128020713463752</v>
      </c>
      <c r="W8998" s="605">
        <v>2.0194188722669737</v>
      </c>
      <c r="X8998" s="605">
        <v>2.02632336018412</v>
      </c>
      <c r="Y8998" s="605">
        <v>2.0332278481012658</v>
      </c>
      <c r="Z8998" s="605">
        <v>2.2350402761795167</v>
      </c>
      <c r="AA8998" s="605">
        <v>2.2418009205983891</v>
      </c>
      <c r="AB8998" s="605">
        <v>2.2476985040276181</v>
      </c>
      <c r="AC8998" s="605">
        <v>2.2521576524741085</v>
      </c>
      <c r="AD8998" s="605">
        <v>2.2550345224395856</v>
      </c>
      <c r="AE8998" s="605">
        <v>2.255897583429229</v>
      </c>
      <c r="AF8998" s="605">
        <v>2.2543153049482161</v>
      </c>
      <c r="AG8998" s="605">
        <v>2.2523014959723819</v>
      </c>
      <c r="AH8998" s="605">
        <v>2.2498561565017261</v>
      </c>
      <c r="AI8998" s="605">
        <v>2.2474108170310703</v>
      </c>
      <c r="AJ8998" s="605">
        <v>2.2452531645569622</v>
      </c>
      <c r="AK8998" s="132" t="s">
        <v>1387</v>
      </c>
      <c r="AL8998" s="142" t="str">
        <f t="shared" si="193"/>
        <v>Passenger truck</v>
      </c>
    </row>
    <row r="8999" spans="2:38">
      <c r="B8999" s="136" t="s">
        <v>1368</v>
      </c>
      <c r="C8999" s="132" t="s">
        <v>1379</v>
      </c>
      <c r="D8999" s="1094">
        <v>2.1000000000000001E-2</v>
      </c>
      <c r="E8999" s="1095">
        <v>2.1000000000000001E-2</v>
      </c>
      <c r="F8999" s="605">
        <v>1</v>
      </c>
      <c r="G8999" s="605">
        <v>1</v>
      </c>
      <c r="H8999" s="605">
        <v>1</v>
      </c>
      <c r="I8999" s="605">
        <v>1</v>
      </c>
      <c r="J8999" s="605">
        <v>1</v>
      </c>
      <c r="K8999" s="605">
        <v>1</v>
      </c>
      <c r="L8999" s="605">
        <v>1</v>
      </c>
      <c r="M8999" s="605">
        <v>1</v>
      </c>
      <c r="N8999" s="605">
        <v>1</v>
      </c>
      <c r="O8999" s="605">
        <v>1</v>
      </c>
      <c r="P8999" s="605">
        <v>1</v>
      </c>
      <c r="Q8999" s="605">
        <v>1</v>
      </c>
      <c r="R8999" s="605">
        <v>1</v>
      </c>
      <c r="S8999" s="605">
        <v>1</v>
      </c>
      <c r="T8999" s="605">
        <v>1</v>
      </c>
      <c r="U8999" s="605">
        <v>1</v>
      </c>
      <c r="V8999" s="605">
        <v>1</v>
      </c>
      <c r="W8999" s="605">
        <v>1</v>
      </c>
      <c r="X8999" s="605">
        <v>1</v>
      </c>
      <c r="Y8999" s="605">
        <v>1</v>
      </c>
      <c r="Z8999" s="605">
        <v>1</v>
      </c>
      <c r="AA8999" s="605">
        <v>1</v>
      </c>
      <c r="AB8999" s="605">
        <v>1</v>
      </c>
      <c r="AC8999" s="605">
        <v>1</v>
      </c>
      <c r="AD8999" s="605">
        <v>1</v>
      </c>
      <c r="AE8999" s="605">
        <v>1</v>
      </c>
      <c r="AF8999" s="605">
        <v>1</v>
      </c>
      <c r="AG8999" s="605">
        <v>1.0000381519209494</v>
      </c>
      <c r="AH8999" s="605">
        <v>1</v>
      </c>
      <c r="AI8999" s="605">
        <v>1</v>
      </c>
      <c r="AJ8999" s="605">
        <v>1</v>
      </c>
      <c r="AK8999" s="132" t="s">
        <v>1387</v>
      </c>
      <c r="AL8999" s="142" t="str">
        <f t="shared" si="193"/>
        <v>Passenger truck</v>
      </c>
    </row>
    <row r="9000" spans="2:38">
      <c r="B9000" s="136" t="s">
        <v>1368</v>
      </c>
      <c r="C9000" s="132" t="s">
        <v>285</v>
      </c>
      <c r="D9000" s="1094">
        <v>7.0000000000000001E-3</v>
      </c>
      <c r="E9000" s="1095">
        <v>4.0000000000000001E-3</v>
      </c>
      <c r="F9000" s="605">
        <v>1</v>
      </c>
      <c r="G9000" s="605">
        <v>0.94854685646500592</v>
      </c>
      <c r="H9000" s="605">
        <v>0.94884341637010683</v>
      </c>
      <c r="I9000" s="605">
        <v>0.94943653618030843</v>
      </c>
      <c r="J9000" s="605">
        <v>1.695729537366548</v>
      </c>
      <c r="K9000" s="605">
        <v>1.6969157769869512</v>
      </c>
      <c r="L9000" s="605">
        <v>1.7296856465005932</v>
      </c>
      <c r="M9000" s="605">
        <v>1.7313167259786477</v>
      </c>
      <c r="N9000" s="605">
        <v>1.7686832740213523</v>
      </c>
      <c r="O9000" s="605">
        <v>1.7709074733096086</v>
      </c>
      <c r="P9000" s="605">
        <v>1.8469750889679715</v>
      </c>
      <c r="Q9000" s="605">
        <v>1.8502372479240805</v>
      </c>
      <c r="R9000" s="605">
        <v>1.8537959667852906</v>
      </c>
      <c r="S9000" s="605">
        <v>1.8577995255041519</v>
      </c>
      <c r="T9000" s="605">
        <v>1.8619513641755636</v>
      </c>
      <c r="U9000" s="605">
        <v>2.0063760379596678</v>
      </c>
      <c r="V9000" s="605">
        <v>2.0127520759193356</v>
      </c>
      <c r="W9000" s="605">
        <v>2.0194246737841044</v>
      </c>
      <c r="X9000" s="605">
        <v>2.0262455516014235</v>
      </c>
      <c r="Y9000" s="605">
        <v>2.0330664294187426</v>
      </c>
      <c r="Z9000" s="605">
        <v>2.2348754448398576</v>
      </c>
      <c r="AA9000" s="605">
        <v>2.2416963226571767</v>
      </c>
      <c r="AB9000" s="605">
        <v>2.2476275207591931</v>
      </c>
      <c r="AC9000" s="605">
        <v>2.2520759193357058</v>
      </c>
      <c r="AD9000" s="605">
        <v>2.2548932384341636</v>
      </c>
      <c r="AE9000" s="605">
        <v>2.2557829181494662</v>
      </c>
      <c r="AF9000" s="605">
        <v>2.254300118623962</v>
      </c>
      <c r="AG9000" s="605">
        <v>2.2522241992882561</v>
      </c>
      <c r="AH9000" s="605">
        <v>2.2498517200474497</v>
      </c>
      <c r="AI9000" s="605">
        <v>2.2473309608540926</v>
      </c>
      <c r="AJ9000" s="605">
        <v>2.2452550415183867</v>
      </c>
      <c r="AK9000" s="132" t="s">
        <v>1387</v>
      </c>
      <c r="AL9000" s="142" t="str">
        <f t="shared" si="193"/>
        <v>Passenger truck</v>
      </c>
    </row>
    <row r="9001" spans="2:38">
      <c r="B9001" s="136" t="s">
        <v>1368</v>
      </c>
      <c r="C9001" s="132" t="s">
        <v>1380</v>
      </c>
      <c r="D9001" s="1094">
        <v>7.0000000000000001E-3</v>
      </c>
      <c r="E9001" s="1095">
        <v>7.0000000000000001E-3</v>
      </c>
      <c r="F9001" s="605">
        <v>1</v>
      </c>
      <c r="G9001" s="605">
        <v>1</v>
      </c>
      <c r="H9001" s="605">
        <v>1</v>
      </c>
      <c r="I9001" s="605">
        <v>1</v>
      </c>
      <c r="J9001" s="605">
        <v>1</v>
      </c>
      <c r="K9001" s="605">
        <v>1</v>
      </c>
      <c r="L9001" s="605">
        <v>1</v>
      </c>
      <c r="M9001" s="605">
        <v>1</v>
      </c>
      <c r="N9001" s="605">
        <v>1</v>
      </c>
      <c r="O9001" s="605">
        <v>1</v>
      </c>
      <c r="P9001" s="605">
        <v>1</v>
      </c>
      <c r="Q9001" s="605">
        <v>1</v>
      </c>
      <c r="R9001" s="605">
        <v>1</v>
      </c>
      <c r="S9001" s="605">
        <v>1</v>
      </c>
      <c r="T9001" s="605">
        <v>1</v>
      </c>
      <c r="U9001" s="605">
        <v>1</v>
      </c>
      <c r="V9001" s="605">
        <v>1</v>
      </c>
      <c r="W9001" s="605">
        <v>1</v>
      </c>
      <c r="X9001" s="605">
        <v>1</v>
      </c>
      <c r="Y9001" s="605">
        <v>1</v>
      </c>
      <c r="Z9001" s="605">
        <v>1</v>
      </c>
      <c r="AA9001" s="605">
        <v>1</v>
      </c>
      <c r="AB9001" s="605">
        <v>1</v>
      </c>
      <c r="AC9001" s="605">
        <v>1</v>
      </c>
      <c r="AD9001" s="605">
        <v>1</v>
      </c>
      <c r="AE9001" s="605">
        <v>1</v>
      </c>
      <c r="AF9001" s="605">
        <v>1</v>
      </c>
      <c r="AG9001" s="605">
        <v>1</v>
      </c>
      <c r="AH9001" s="605">
        <v>1</v>
      </c>
      <c r="AI9001" s="605">
        <v>1</v>
      </c>
      <c r="AJ9001" s="605">
        <v>1</v>
      </c>
      <c r="AK9001" s="132" t="s">
        <v>1387</v>
      </c>
      <c r="AL9001" s="142" t="str">
        <f t="shared" si="193"/>
        <v>Passenger truck</v>
      </c>
    </row>
    <row r="9002" spans="2:38">
      <c r="B9002" s="136" t="s">
        <v>1368</v>
      </c>
      <c r="C9002" s="132" t="s">
        <v>281</v>
      </c>
      <c r="D9002" s="1094">
        <v>0.113</v>
      </c>
      <c r="E9002" s="1095">
        <v>7.0000000000000007E-2</v>
      </c>
      <c r="F9002" s="605">
        <v>1</v>
      </c>
      <c r="G9002" s="605">
        <v>1.0046379310344826</v>
      </c>
      <c r="H9002" s="605">
        <v>1.0113448275862069</v>
      </c>
      <c r="I9002" s="605">
        <v>1.0203103448275861</v>
      </c>
      <c r="J9002" s="605">
        <v>1.1693275862068966</v>
      </c>
      <c r="K9002" s="605">
        <v>1.1836379310344827</v>
      </c>
      <c r="L9002" s="605">
        <v>1.2655172413793103</v>
      </c>
      <c r="M9002" s="605">
        <v>1.2851206896551723</v>
      </c>
      <c r="N9002" s="605">
        <v>1.3704827586206896</v>
      </c>
      <c r="O9002" s="605">
        <v>1.3963103448275862</v>
      </c>
      <c r="P9002" s="605">
        <v>1.5122413793103446</v>
      </c>
      <c r="Q9002" s="605">
        <v>1.5458620689655171</v>
      </c>
      <c r="R9002" s="605">
        <v>1.5827758620689654</v>
      </c>
      <c r="S9002" s="605">
        <v>1.6232931034482758</v>
      </c>
      <c r="T9002" s="605">
        <v>1.6674827586206895</v>
      </c>
      <c r="U9002" s="605">
        <v>1.7799999999999998</v>
      </c>
      <c r="V9002" s="605">
        <v>1.8325172413793103</v>
      </c>
      <c r="W9002" s="605">
        <v>1.8875172413793102</v>
      </c>
      <c r="X9002" s="605">
        <v>1.9437586206896551</v>
      </c>
      <c r="Y9002" s="605">
        <v>2.0001724137931034</v>
      </c>
      <c r="Z9002" s="605">
        <v>2.2005862068965514</v>
      </c>
      <c r="AA9002" s="605">
        <v>2.2466551724137931</v>
      </c>
      <c r="AB9002" s="605">
        <v>2.2862586206896549</v>
      </c>
      <c r="AC9002" s="605">
        <v>2.3166206896551724</v>
      </c>
      <c r="AD9002" s="605">
        <v>2.3360172413793103</v>
      </c>
      <c r="AE9002" s="605">
        <v>2.3421034482758616</v>
      </c>
      <c r="AF9002" s="605">
        <v>2.331810344827586</v>
      </c>
      <c r="AG9002" s="605">
        <v>2.3176724137931033</v>
      </c>
      <c r="AH9002" s="605">
        <v>2.3015172413793104</v>
      </c>
      <c r="AI9002" s="605">
        <v>2.2848275862068963</v>
      </c>
      <c r="AJ9002" s="605">
        <v>2.2702068965517244</v>
      </c>
      <c r="AK9002" s="132" t="s">
        <v>1387</v>
      </c>
      <c r="AL9002" s="142" t="str">
        <f t="shared" si="193"/>
        <v>Passenger truck</v>
      </c>
    </row>
    <row r="9003" spans="2:38">
      <c r="B9003" s="136" t="s">
        <v>1368</v>
      </c>
      <c r="C9003" s="132" t="s">
        <v>1384</v>
      </c>
      <c r="D9003" s="1094">
        <v>6.0000000000000001E-3</v>
      </c>
      <c r="E9003" s="1095">
        <v>6.0000000000000001E-3</v>
      </c>
      <c r="F9003" s="605">
        <v>1</v>
      </c>
      <c r="G9003" s="605">
        <v>1</v>
      </c>
      <c r="H9003" s="605">
        <v>1</v>
      </c>
      <c r="I9003" s="605">
        <v>1</v>
      </c>
      <c r="J9003" s="605">
        <v>1</v>
      </c>
      <c r="K9003" s="605">
        <v>1</v>
      </c>
      <c r="L9003" s="605">
        <v>1</v>
      </c>
      <c r="M9003" s="605">
        <v>1</v>
      </c>
      <c r="N9003" s="605">
        <v>1</v>
      </c>
      <c r="O9003" s="605">
        <v>1</v>
      </c>
      <c r="P9003" s="605">
        <v>1</v>
      </c>
      <c r="Q9003" s="605">
        <v>1</v>
      </c>
      <c r="R9003" s="605">
        <v>1</v>
      </c>
      <c r="S9003" s="605">
        <v>1</v>
      </c>
      <c r="T9003" s="605">
        <v>1</v>
      </c>
      <c r="U9003" s="605">
        <v>1</v>
      </c>
      <c r="V9003" s="605">
        <v>1</v>
      </c>
      <c r="W9003" s="605">
        <v>1</v>
      </c>
      <c r="X9003" s="605">
        <v>1</v>
      </c>
      <c r="Y9003" s="605">
        <v>1</v>
      </c>
      <c r="Z9003" s="605">
        <v>1</v>
      </c>
      <c r="AA9003" s="605">
        <v>1</v>
      </c>
      <c r="AB9003" s="605">
        <v>1</v>
      </c>
      <c r="AC9003" s="605">
        <v>1</v>
      </c>
      <c r="AD9003" s="605">
        <v>1</v>
      </c>
      <c r="AE9003" s="605">
        <v>1</v>
      </c>
      <c r="AF9003" s="605">
        <v>1</v>
      </c>
      <c r="AG9003" s="605">
        <v>1</v>
      </c>
      <c r="AH9003" s="605">
        <v>1</v>
      </c>
      <c r="AI9003" s="605">
        <v>1</v>
      </c>
      <c r="AJ9003" s="605">
        <v>1</v>
      </c>
      <c r="AK9003" s="132" t="s">
        <v>1387</v>
      </c>
      <c r="AL9003" s="142" t="str">
        <f t="shared" si="193"/>
        <v>Passenger truck</v>
      </c>
    </row>
    <row r="9004" spans="2:38">
      <c r="B9004" s="136" t="s">
        <v>1369</v>
      </c>
      <c r="C9004" s="132" t="s">
        <v>282</v>
      </c>
      <c r="D9004" s="1094">
        <v>3.0859999999999999</v>
      </c>
      <c r="E9004" s="1095">
        <v>1.5660000000000001</v>
      </c>
      <c r="F9004" s="605">
        <v>1</v>
      </c>
      <c r="G9004" s="605">
        <v>0.99962331448670727</v>
      </c>
      <c r="H9004" s="605">
        <v>0.98599306239970486</v>
      </c>
      <c r="I9004" s="605">
        <v>0.9895804258563522</v>
      </c>
      <c r="J9004" s="605">
        <v>1.5718077858219688</v>
      </c>
      <c r="K9004" s="605">
        <v>1.5830144886010433</v>
      </c>
      <c r="L9004" s="605">
        <v>2.0206666551396779</v>
      </c>
      <c r="M9004" s="605">
        <v>2.0412435644412166</v>
      </c>
      <c r="N9004" s="605">
        <v>2.2485350432797246</v>
      </c>
      <c r="O9004" s="605">
        <v>2.2778736987882664</v>
      </c>
      <c r="P9004" s="605">
        <v>2.6354334682814331</v>
      </c>
      <c r="Q9004" s="605">
        <v>2.673991656107122</v>
      </c>
      <c r="R9004" s="605">
        <v>2.7165921117525054</v>
      </c>
      <c r="S9004" s="605">
        <v>2.7638898151647409</v>
      </c>
      <c r="T9004" s="605">
        <v>2.8156851024378753</v>
      </c>
      <c r="U9004" s="605">
        <v>3.2086450766174215</v>
      </c>
      <c r="V9004" s="605">
        <v>3.2714297006029436</v>
      </c>
      <c r="W9004" s="605">
        <v>3.3372006379364714</v>
      </c>
      <c r="X9004" s="605">
        <v>3.404727382607915</v>
      </c>
      <c r="Y9004" s="605">
        <v>3.4727016214355877</v>
      </c>
      <c r="Z9004" s="605">
        <v>3.8544182534801208</v>
      </c>
      <c r="AA9004" s="605">
        <v>3.9076622361863449</v>
      </c>
      <c r="AB9004" s="605">
        <v>3.952711765185366</v>
      </c>
      <c r="AC9004" s="605">
        <v>3.9865698234971068</v>
      </c>
      <c r="AD9004" s="605">
        <v>4.0071640232812227</v>
      </c>
      <c r="AE9004" s="605">
        <v>4.0106653460031403</v>
      </c>
      <c r="AF9004" s="605">
        <v>3.99787244728667</v>
      </c>
      <c r="AG9004" s="605">
        <v>3.9802946133559916</v>
      </c>
      <c r="AH9004" s="605">
        <v>3.9601775485553796</v>
      </c>
      <c r="AI9004" s="605">
        <v>3.9394351446348863</v>
      </c>
      <c r="AJ9004" s="605">
        <v>3.9212410285037724</v>
      </c>
      <c r="AK9004" s="132" t="s">
        <v>1388</v>
      </c>
      <c r="AL9004" s="142" t="str">
        <f t="shared" si="193"/>
        <v>Passenger truck</v>
      </c>
    </row>
    <row r="9005" spans="2:38">
      <c r="B9005" s="136" t="s">
        <v>1369</v>
      </c>
      <c r="C9005" s="132" t="s">
        <v>283</v>
      </c>
      <c r="D9005" s="1094">
        <v>0.157</v>
      </c>
      <c r="E9005" s="1095">
        <v>9.5000000000000001E-2</v>
      </c>
      <c r="F9005" s="605">
        <v>1</v>
      </c>
      <c r="G9005" s="605">
        <v>1.0013953177050885</v>
      </c>
      <c r="H9005" s="605">
        <v>0.97405532872346445</v>
      </c>
      <c r="I9005" s="605">
        <v>0.97519835651139675</v>
      </c>
      <c r="J9005" s="605">
        <v>1.2169796263019961</v>
      </c>
      <c r="K9005" s="605">
        <v>1.2210934965837885</v>
      </c>
      <c r="L9005" s="605">
        <v>1.6059025543066918</v>
      </c>
      <c r="M9005" s="605">
        <v>1.6146966599904233</v>
      </c>
      <c r="N9005" s="605">
        <v>1.820441661818238</v>
      </c>
      <c r="O9005" s="605">
        <v>1.8334629108077911</v>
      </c>
      <c r="P9005" s="605">
        <v>2.0049325253190955</v>
      </c>
      <c r="Q9005" s="605">
        <v>2.0226185633891287</v>
      </c>
      <c r="R9005" s="605">
        <v>2.0420448870101584</v>
      </c>
      <c r="S9005" s="605">
        <v>2.0633556618491307</v>
      </c>
      <c r="T9005" s="605">
        <v>2.0866023756442402</v>
      </c>
      <c r="U9005" s="605">
        <v>2.2747488685569528</v>
      </c>
      <c r="V9005" s="605">
        <v>2.304107176875827</v>
      </c>
      <c r="W9005" s="605">
        <v>2.33485565412597</v>
      </c>
      <c r="X9005" s="605">
        <v>2.3662889182941083</v>
      </c>
      <c r="Y9005" s="605">
        <v>2.3978200091648172</v>
      </c>
      <c r="Z9005" s="605">
        <v>2.5542500553493186</v>
      </c>
      <c r="AA9005" s="605">
        <v>2.5795768737675124</v>
      </c>
      <c r="AB9005" s="605">
        <v>2.6013561870240598</v>
      </c>
      <c r="AC9005" s="605">
        <v>2.6180485117469274</v>
      </c>
      <c r="AD9005" s="605">
        <v>2.6287167711009625</v>
      </c>
      <c r="AE9005" s="605">
        <v>2.632053176536008</v>
      </c>
      <c r="AF9005" s="605">
        <v>2.6263998228821808</v>
      </c>
      <c r="AG9005" s="605">
        <v>2.6186303231885324</v>
      </c>
      <c r="AH9005" s="605">
        <v>2.6097435395760495</v>
      </c>
      <c r="AI9005" s="605">
        <v>2.6005684246296745</v>
      </c>
      <c r="AJ9005" s="605">
        <v>2.5925311886974116</v>
      </c>
      <c r="AK9005" s="132" t="s">
        <v>1388</v>
      </c>
      <c r="AL9005" s="142" t="str">
        <f t="shared" si="193"/>
        <v>Passenger truck</v>
      </c>
    </row>
    <row r="9006" spans="2:38">
      <c r="B9006" s="136" t="s">
        <v>1369</v>
      </c>
      <c r="C9006" s="132" t="s">
        <v>284</v>
      </c>
      <c r="D9006" s="1094">
        <v>7.0000000000000001E-3</v>
      </c>
      <c r="E9006" s="1095">
        <v>4.0000000000000001E-3</v>
      </c>
      <c r="F9006" s="605">
        <v>1</v>
      </c>
      <c r="G9006" s="605">
        <v>1.0018410555385087</v>
      </c>
      <c r="H9006" s="605">
        <v>1.0070573795642834</v>
      </c>
      <c r="I9006" s="605">
        <v>1.0104326480515495</v>
      </c>
      <c r="J9006" s="605">
        <v>1.585915925130408</v>
      </c>
      <c r="K9006" s="605">
        <v>1.5934335685793186</v>
      </c>
      <c r="L9006" s="605">
        <v>1.7896594047253758</v>
      </c>
      <c r="M9006" s="605">
        <v>1.800245474071801</v>
      </c>
      <c r="N9006" s="605">
        <v>2.0245474071801164</v>
      </c>
      <c r="O9006" s="605">
        <v>2.0392758514881866</v>
      </c>
      <c r="P9006" s="605">
        <v>2.4955507824486034</v>
      </c>
      <c r="Q9006" s="605">
        <v>2.5171831850260817</v>
      </c>
      <c r="R9006" s="605">
        <v>2.5408100644369438</v>
      </c>
      <c r="S9006" s="605">
        <v>2.5667382632709415</v>
      </c>
      <c r="T9006" s="605">
        <v>2.5949677815280756</v>
      </c>
      <c r="U9006" s="605">
        <v>3.4647131021785822</v>
      </c>
      <c r="V9006" s="605">
        <v>3.5073642221540346</v>
      </c>
      <c r="W9006" s="605">
        <v>3.5518563976679962</v>
      </c>
      <c r="X9006" s="605">
        <v>3.5974225222460876</v>
      </c>
      <c r="Y9006" s="605">
        <v>3.6431420681190545</v>
      </c>
      <c r="Z9006" s="605">
        <v>4.8682111077017494</v>
      </c>
      <c r="AA9006" s="605">
        <v>4.9134703896900884</v>
      </c>
      <c r="AB9006" s="605">
        <v>4.9525928198833995</v>
      </c>
      <c r="AC9006" s="605">
        <v>4.9825099723841664</v>
      </c>
      <c r="AD9006" s="605">
        <v>5.0015342129487568</v>
      </c>
      <c r="AE9006" s="605">
        <v>5.007517643448911</v>
      </c>
      <c r="AF9006" s="605">
        <v>4.9973918379871121</v>
      </c>
      <c r="AG9006" s="605">
        <v>4.9834305001534203</v>
      </c>
      <c r="AH9006" s="605">
        <v>4.9674746854863452</v>
      </c>
      <c r="AI9006" s="605">
        <v>4.9510586069346427</v>
      </c>
      <c r="AJ9006" s="605">
        <v>4.936790426511199</v>
      </c>
      <c r="AK9006" s="132" t="s">
        <v>1388</v>
      </c>
      <c r="AL9006" s="142" t="str">
        <f t="shared" si="193"/>
        <v>Passenger truck</v>
      </c>
    </row>
    <row r="9007" spans="2:38">
      <c r="B9007" s="136" t="s">
        <v>1369</v>
      </c>
      <c r="C9007" s="132" t="s">
        <v>1379</v>
      </c>
      <c r="D9007" s="1094">
        <v>2.1000000000000001E-2</v>
      </c>
      <c r="E9007" s="1095">
        <v>2.1000000000000001E-2</v>
      </c>
      <c r="F9007" s="605">
        <v>1</v>
      </c>
      <c r="G9007" s="605">
        <v>1.0000390670781731</v>
      </c>
      <c r="H9007" s="605">
        <v>1.0058209946478103</v>
      </c>
      <c r="I9007" s="605">
        <v>1.0058209946478103</v>
      </c>
      <c r="J9007" s="605">
        <v>1.0058209946478103</v>
      </c>
      <c r="K9007" s="605">
        <v>1.0058209946478103</v>
      </c>
      <c r="L9007" s="605">
        <v>1.0058209946478103</v>
      </c>
      <c r="M9007" s="605">
        <v>1.0058209946478103</v>
      </c>
      <c r="N9007" s="605">
        <v>1.0058209946478103</v>
      </c>
      <c r="O9007" s="605">
        <v>1.0058209946478103</v>
      </c>
      <c r="P9007" s="605">
        <v>1.0058209946478103</v>
      </c>
      <c r="Q9007" s="605">
        <v>1.0058209946478103</v>
      </c>
      <c r="R9007" s="605">
        <v>1.0058209946478103</v>
      </c>
      <c r="S9007" s="605">
        <v>1.0058209946478103</v>
      </c>
      <c r="T9007" s="605">
        <v>1.0058209946478103</v>
      </c>
      <c r="U9007" s="605">
        <v>1.0058209946478103</v>
      </c>
      <c r="V9007" s="605">
        <v>1.0058209946478103</v>
      </c>
      <c r="W9007" s="605">
        <v>1.0058209946478103</v>
      </c>
      <c r="X9007" s="605">
        <v>1.0058209946478103</v>
      </c>
      <c r="Y9007" s="605">
        <v>1.0058209946478103</v>
      </c>
      <c r="Z9007" s="605">
        <v>1.0058209946478103</v>
      </c>
      <c r="AA9007" s="605">
        <v>1.0058209946478103</v>
      </c>
      <c r="AB9007" s="605">
        <v>1.0058209946478103</v>
      </c>
      <c r="AC9007" s="605">
        <v>1.0058209946478103</v>
      </c>
      <c r="AD9007" s="605">
        <v>1.0058209946478103</v>
      </c>
      <c r="AE9007" s="605">
        <v>1.0058209946478103</v>
      </c>
      <c r="AF9007" s="605">
        <v>1.0058209946478103</v>
      </c>
      <c r="AG9007" s="605">
        <v>1.0058209946478103</v>
      </c>
      <c r="AH9007" s="605">
        <v>1.0058209946478103</v>
      </c>
      <c r="AI9007" s="605">
        <v>1.0058209946478103</v>
      </c>
      <c r="AJ9007" s="605">
        <v>1.0058209946478103</v>
      </c>
      <c r="AK9007" s="132" t="s">
        <v>1388</v>
      </c>
      <c r="AL9007" s="142" t="str">
        <f t="shared" si="193"/>
        <v>Passenger truck</v>
      </c>
    </row>
    <row r="9008" spans="2:38">
      <c r="B9008" s="136" t="s">
        <v>1369</v>
      </c>
      <c r="C9008" s="132" t="s">
        <v>285</v>
      </c>
      <c r="D9008" s="1094">
        <v>6.0000000000000001E-3</v>
      </c>
      <c r="E9008" s="1095">
        <v>4.0000000000000001E-3</v>
      </c>
      <c r="F9008" s="605">
        <v>1</v>
      </c>
      <c r="G9008" s="605">
        <v>1.0018327224258581</v>
      </c>
      <c r="H9008" s="605">
        <v>1.0069976674441852</v>
      </c>
      <c r="I9008" s="605">
        <v>1.0103298900366544</v>
      </c>
      <c r="J9008" s="605">
        <v>1.5859713428857045</v>
      </c>
      <c r="K9008" s="605">
        <v>1.5934688437187603</v>
      </c>
      <c r="L9008" s="605">
        <v>1.7895701432855715</v>
      </c>
      <c r="M9008" s="605">
        <v>1.8002332555814728</v>
      </c>
      <c r="N9008" s="605">
        <v>2.0244918360546484</v>
      </c>
      <c r="O9008" s="605">
        <v>2.0391536154615126</v>
      </c>
      <c r="P9008" s="605">
        <v>2.4955014995001665</v>
      </c>
      <c r="Q9008" s="605">
        <v>2.5169943352215927</v>
      </c>
      <c r="R9008" s="605">
        <v>2.5406531156281238</v>
      </c>
      <c r="S9008" s="605">
        <v>2.5666444518493834</v>
      </c>
      <c r="T9008" s="605">
        <v>2.5949683438853715</v>
      </c>
      <c r="U9008" s="605">
        <v>3.4646784405198265</v>
      </c>
      <c r="V9008" s="605">
        <v>3.5071642785738084</v>
      </c>
      <c r="W9008" s="605">
        <v>3.5518160613128953</v>
      </c>
      <c r="X9008" s="605">
        <v>3.5973008997000995</v>
      </c>
      <c r="Y9008" s="605">
        <v>3.643118960346551</v>
      </c>
      <c r="Z9008" s="605">
        <v>4.86804398533822</v>
      </c>
      <c r="AA9008" s="605">
        <v>4.9133622125958007</v>
      </c>
      <c r="AB9008" s="605">
        <v>4.9523492169276908</v>
      </c>
      <c r="AC9008" s="605">
        <v>4.982339220259913</v>
      </c>
      <c r="AD9008" s="605">
        <v>5.0014995001666112</v>
      </c>
      <c r="AE9008" s="605">
        <v>5.0073308897034323</v>
      </c>
      <c r="AF9008" s="605">
        <v>4.9973342219260246</v>
      </c>
      <c r="AG9008" s="605">
        <v>4.9833388870376538</v>
      </c>
      <c r="AH9008" s="605">
        <v>4.9673442185938015</v>
      </c>
      <c r="AI9008" s="605">
        <v>4.9510163278907022</v>
      </c>
      <c r="AJ9008" s="605">
        <v>4.9366877707430854</v>
      </c>
      <c r="AK9008" s="132" t="s">
        <v>1388</v>
      </c>
      <c r="AL9008" s="142" t="str">
        <f t="shared" si="193"/>
        <v>Passenger truck</v>
      </c>
    </row>
    <row r="9009" spans="2:38">
      <c r="B9009" s="136" t="s">
        <v>1369</v>
      </c>
      <c r="C9009" s="132" t="s">
        <v>1380</v>
      </c>
      <c r="D9009" s="1094">
        <v>7.0000000000000001E-3</v>
      </c>
      <c r="E9009" s="1095">
        <v>7.0000000000000001E-3</v>
      </c>
      <c r="F9009" s="605">
        <v>1</v>
      </c>
      <c r="G9009" s="605">
        <v>1</v>
      </c>
      <c r="H9009" s="605">
        <v>1.0057812262285106</v>
      </c>
      <c r="I9009" s="605">
        <v>1.0057812262285106</v>
      </c>
      <c r="J9009" s="605">
        <v>1.0057812262285106</v>
      </c>
      <c r="K9009" s="605">
        <v>1.0057812262285106</v>
      </c>
      <c r="L9009" s="605">
        <v>1.0057812262285106</v>
      </c>
      <c r="M9009" s="605">
        <v>1.0057812262285106</v>
      </c>
      <c r="N9009" s="605">
        <v>1.0057812262285106</v>
      </c>
      <c r="O9009" s="605">
        <v>1.0057812262285106</v>
      </c>
      <c r="P9009" s="605">
        <v>1.0057812262285106</v>
      </c>
      <c r="Q9009" s="605">
        <v>1.0057812262285106</v>
      </c>
      <c r="R9009" s="605">
        <v>1.0057812262285106</v>
      </c>
      <c r="S9009" s="605">
        <v>1.0057812262285106</v>
      </c>
      <c r="T9009" s="605">
        <v>1.0057812262285106</v>
      </c>
      <c r="U9009" s="605">
        <v>1.0057812262285106</v>
      </c>
      <c r="V9009" s="605">
        <v>1.0057812262285106</v>
      </c>
      <c r="W9009" s="605">
        <v>1.0057812262285106</v>
      </c>
      <c r="X9009" s="605">
        <v>1.0057812262285106</v>
      </c>
      <c r="Y9009" s="605">
        <v>1.0057812262285106</v>
      </c>
      <c r="Z9009" s="605">
        <v>1.0057812262285106</v>
      </c>
      <c r="AA9009" s="605">
        <v>1.0057812262285106</v>
      </c>
      <c r="AB9009" s="605">
        <v>1.0057812262285106</v>
      </c>
      <c r="AC9009" s="605">
        <v>1.0057812262285106</v>
      </c>
      <c r="AD9009" s="605">
        <v>1.0057812262285106</v>
      </c>
      <c r="AE9009" s="605">
        <v>1.0057812262285106</v>
      </c>
      <c r="AF9009" s="605">
        <v>1.0057812262285106</v>
      </c>
      <c r="AG9009" s="605">
        <v>1.0057812262285106</v>
      </c>
      <c r="AH9009" s="605">
        <v>1.0057812262285106</v>
      </c>
      <c r="AI9009" s="605">
        <v>1.0057812262285106</v>
      </c>
      <c r="AJ9009" s="605">
        <v>1.0057812262285106</v>
      </c>
      <c r="AK9009" s="132" t="s">
        <v>1388</v>
      </c>
      <c r="AL9009" s="142" t="str">
        <f t="shared" si="193"/>
        <v>Passenger truck</v>
      </c>
    </row>
    <row r="9010" spans="2:38">
      <c r="B9010" s="136" t="s">
        <v>1369</v>
      </c>
      <c r="C9010" s="132" t="s">
        <v>281</v>
      </c>
      <c r="D9010" s="1094">
        <v>0.111</v>
      </c>
      <c r="E9010" s="1095">
        <v>7.0999999999999994E-2</v>
      </c>
      <c r="F9010" s="605">
        <v>1</v>
      </c>
      <c r="G9010" s="605">
        <v>1.0100874352331606</v>
      </c>
      <c r="H9010" s="605">
        <v>1.0121923575129532</v>
      </c>
      <c r="I9010" s="605">
        <v>1.0207577720207253</v>
      </c>
      <c r="J9010" s="605">
        <v>1.5452396373056996</v>
      </c>
      <c r="K9010" s="605">
        <v>1.5652363989637306</v>
      </c>
      <c r="L9010" s="605">
        <v>2.3398801813471501</v>
      </c>
      <c r="M9010" s="605">
        <v>2.3777202072538861</v>
      </c>
      <c r="N9010" s="605">
        <v>2.7702558290155439</v>
      </c>
      <c r="O9010" s="605">
        <v>2.8261819948186528</v>
      </c>
      <c r="P9010" s="605">
        <v>3.5348931347150261</v>
      </c>
      <c r="Q9010" s="605">
        <v>3.6206606217616581</v>
      </c>
      <c r="R9010" s="605">
        <v>3.7148477979274608</v>
      </c>
      <c r="S9010" s="605">
        <v>3.81818329015544</v>
      </c>
      <c r="T9010" s="605">
        <v>3.9308937823834191</v>
      </c>
      <c r="U9010" s="605">
        <v>4.4889572538860101</v>
      </c>
      <c r="V9010" s="605">
        <v>4.6321567357512956</v>
      </c>
      <c r="W9010" s="605">
        <v>4.7821081606217621</v>
      </c>
      <c r="X9010" s="605">
        <v>4.9354436528497407</v>
      </c>
      <c r="Y9010" s="605">
        <v>5.0892648963730567</v>
      </c>
      <c r="Z9010" s="605">
        <v>5.7926651554404138</v>
      </c>
      <c r="AA9010" s="605">
        <v>5.922182642487047</v>
      </c>
      <c r="AB9010" s="605">
        <v>6.0335654145077715</v>
      </c>
      <c r="AC9010" s="605">
        <v>6.1189281088082899</v>
      </c>
      <c r="AD9010" s="605">
        <v>6.1734941709844557</v>
      </c>
      <c r="AE9010" s="605">
        <v>6.1905602331606211</v>
      </c>
      <c r="AF9010" s="605">
        <v>6.1616580310880824</v>
      </c>
      <c r="AG9010" s="605">
        <v>6.1219073834196891</v>
      </c>
      <c r="AH9010" s="605">
        <v>6.0764410621761655</v>
      </c>
      <c r="AI9010" s="605">
        <v>6.0295498704663215</v>
      </c>
      <c r="AJ9010" s="605">
        <v>5.9884391191709847</v>
      </c>
      <c r="AK9010" s="132" t="s">
        <v>1388</v>
      </c>
      <c r="AL9010" s="142" t="str">
        <f t="shared" si="193"/>
        <v>Passenger truck</v>
      </c>
    </row>
    <row r="9011" spans="2:38">
      <c r="B9011" s="136" t="s">
        <v>1369</v>
      </c>
      <c r="C9011" s="132" t="s">
        <v>1384</v>
      </c>
      <c r="D9011" s="1094">
        <v>0.1</v>
      </c>
      <c r="E9011" s="1095">
        <v>7.3999999999999996E-2</v>
      </c>
      <c r="F9011" s="605">
        <v>1</v>
      </c>
      <c r="G9011" s="605">
        <v>1</v>
      </c>
      <c r="H9011" s="605">
        <v>1</v>
      </c>
      <c r="I9011" s="605">
        <v>1</v>
      </c>
      <c r="J9011" s="605">
        <v>1</v>
      </c>
      <c r="K9011" s="605">
        <v>1</v>
      </c>
      <c r="L9011" s="605">
        <v>1</v>
      </c>
      <c r="M9011" s="605">
        <v>1</v>
      </c>
      <c r="N9011" s="605">
        <v>1</v>
      </c>
      <c r="O9011" s="605">
        <v>1</v>
      </c>
      <c r="P9011" s="605">
        <v>1</v>
      </c>
      <c r="Q9011" s="605">
        <v>1</v>
      </c>
      <c r="R9011" s="605">
        <v>1</v>
      </c>
      <c r="S9011" s="605">
        <v>1</v>
      </c>
      <c r="T9011" s="605">
        <v>1</v>
      </c>
      <c r="U9011" s="605">
        <v>1</v>
      </c>
      <c r="V9011" s="605">
        <v>1</v>
      </c>
      <c r="W9011" s="605">
        <v>1</v>
      </c>
      <c r="X9011" s="605">
        <v>1</v>
      </c>
      <c r="Y9011" s="605">
        <v>1</v>
      </c>
      <c r="Z9011" s="605">
        <v>1</v>
      </c>
      <c r="AA9011" s="605">
        <v>1</v>
      </c>
      <c r="AB9011" s="605">
        <v>1</v>
      </c>
      <c r="AC9011" s="605">
        <v>1</v>
      </c>
      <c r="AD9011" s="605">
        <v>1</v>
      </c>
      <c r="AE9011" s="605">
        <v>1</v>
      </c>
      <c r="AF9011" s="605">
        <v>1</v>
      </c>
      <c r="AG9011" s="605">
        <v>1</v>
      </c>
      <c r="AH9011" s="605">
        <v>1</v>
      </c>
      <c r="AI9011" s="605">
        <v>1</v>
      </c>
      <c r="AJ9011" s="605">
        <v>1</v>
      </c>
      <c r="AK9011" s="132" t="s">
        <v>1388</v>
      </c>
      <c r="AL9011" s="142" t="str">
        <f t="shared" si="193"/>
        <v>Passenger truck</v>
      </c>
    </row>
    <row r="9012" spans="2:38">
      <c r="B9012" s="136" t="s">
        <v>1370</v>
      </c>
      <c r="C9012" s="132" t="s">
        <v>282</v>
      </c>
      <c r="D9012" s="1094">
        <v>0.61699999999999999</v>
      </c>
      <c r="E9012" s="1095">
        <v>0.628</v>
      </c>
      <c r="F9012" s="605">
        <v>1</v>
      </c>
      <c r="G9012" s="605">
        <v>1.0169049641630401</v>
      </c>
      <c r="H9012" s="605">
        <v>1.0418094242839668</v>
      </c>
      <c r="I9012" s="605">
        <v>1.0770554381147088</v>
      </c>
      <c r="J9012" s="605">
        <v>1.2598054658152991</v>
      </c>
      <c r="K9012" s="605">
        <v>1.309738223990232</v>
      </c>
      <c r="L9012" s="605">
        <v>1.3665841804644574</v>
      </c>
      <c r="M9012" s="605">
        <v>1.4294156370375359</v>
      </c>
      <c r="N9012" s="605">
        <v>1.5023648700027592</v>
      </c>
      <c r="O9012" s="605">
        <v>1.583730737226769</v>
      </c>
      <c r="P9012" s="605">
        <v>1.6775499208089006</v>
      </c>
      <c r="Q9012" s="605">
        <v>1.7846675603275404</v>
      </c>
      <c r="R9012" s="605">
        <v>1.9086988543904893</v>
      </c>
      <c r="S9012" s="605">
        <v>2.0408730357022589</v>
      </c>
      <c r="T9012" s="605">
        <v>2.191594663236863</v>
      </c>
      <c r="U9012" s="605">
        <v>2.3504656958062395</v>
      </c>
      <c r="V9012" s="605">
        <v>2.54108051855505</v>
      </c>
      <c r="W9012" s="605">
        <v>2.7463082174072682</v>
      </c>
      <c r="X9012" s="605">
        <v>2.9731097877591637</v>
      </c>
      <c r="Y9012" s="605">
        <v>3.2385379302553452</v>
      </c>
      <c r="Z9012" s="605">
        <v>3.5224244425663565</v>
      </c>
      <c r="AA9012" s="605">
        <v>3.8514248966387776</v>
      </c>
      <c r="AB9012" s="605">
        <v>4.2310946186986591</v>
      </c>
      <c r="AC9012" s="605">
        <v>4.6585071228537478</v>
      </c>
      <c r="AD9012" s="605">
        <v>5.0762972023490098</v>
      </c>
      <c r="AE9012" s="605">
        <v>5.5945567796923177</v>
      </c>
      <c r="AF9012" s="605">
        <v>6.1513342994140512</v>
      </c>
      <c r="AG9012" s="605">
        <v>6.8567216840220819</v>
      </c>
      <c r="AH9012" s="605">
        <v>7.6060954334219035</v>
      </c>
      <c r="AI9012" s="605">
        <v>8.3554474568685517</v>
      </c>
      <c r="AJ9012" s="605">
        <v>9.2926724877737197</v>
      </c>
      <c r="AK9012" s="132" t="s">
        <v>1387</v>
      </c>
      <c r="AL9012" s="142" t="str">
        <f t="shared" ref="AL9012:AL9075" si="194">LEFT(B9012,FIND(",",B9012)-1)</f>
        <v>Refuse truck</v>
      </c>
    </row>
    <row r="9013" spans="2:38">
      <c r="B9013" s="136" t="s">
        <v>1370</v>
      </c>
      <c r="C9013" s="132" t="s">
        <v>283</v>
      </c>
      <c r="D9013" s="1094">
        <v>1.282</v>
      </c>
      <c r="E9013" s="1095">
        <v>1.284</v>
      </c>
      <c r="F9013" s="605">
        <v>1</v>
      </c>
      <c r="G9013" s="605">
        <v>1.0008416061102414</v>
      </c>
      <c r="H9013" s="605">
        <v>1.0020768666914019</v>
      </c>
      <c r="I9013" s="605">
        <v>1.0038279503723881</v>
      </c>
      <c r="J9013" s="605">
        <v>1.4875885722559568</v>
      </c>
      <c r="K9013" s="605">
        <v>1.4900708578047657</v>
      </c>
      <c r="L9013" s="605">
        <v>1.4960860791109742</v>
      </c>
      <c r="M9013" s="605">
        <v>1.499207261341321</v>
      </c>
      <c r="N9013" s="605">
        <v>1.5028334072378127</v>
      </c>
      <c r="O9013" s="605">
        <v>1.5068758314253912</v>
      </c>
      <c r="P9013" s="605">
        <v>1.5115372433327603</v>
      </c>
      <c r="Q9013" s="605">
        <v>1.5168574608834149</v>
      </c>
      <c r="R9013" s="605">
        <v>1.5230229043555381</v>
      </c>
      <c r="S9013" s="605">
        <v>1.529589241921034</v>
      </c>
      <c r="T9013" s="605">
        <v>1.5370750115381484</v>
      </c>
      <c r="U9013" s="605">
        <v>1.5449680099182828</v>
      </c>
      <c r="V9013" s="605">
        <v>1.5544419608517417</v>
      </c>
      <c r="W9013" s="605">
        <v>1.5646353492665357</v>
      </c>
      <c r="X9013" s="605">
        <v>1.5759065364741229</v>
      </c>
      <c r="Y9013" s="605">
        <v>1.5890935087735174</v>
      </c>
      <c r="Z9013" s="605">
        <v>1.6032017230301441</v>
      </c>
      <c r="AA9013" s="605">
        <v>1.6195415509081201</v>
      </c>
      <c r="AB9013" s="605">
        <v>1.6384089119752405</v>
      </c>
      <c r="AC9013" s="605">
        <v>1.6596436295847172</v>
      </c>
      <c r="AD9013" s="605">
        <v>1.6804014370650571</v>
      </c>
      <c r="AE9013" s="605">
        <v>1.7061563939440558</v>
      </c>
      <c r="AF9013" s="605">
        <v>1.7338171814339884</v>
      </c>
      <c r="AG9013" s="605">
        <v>1.7688669085907169</v>
      </c>
      <c r="AH9013" s="605">
        <v>1.8060993819172331</v>
      </c>
      <c r="AI9013" s="605">
        <v>1.8433300453381358</v>
      </c>
      <c r="AJ9013" s="605">
        <v>1.889897106865877</v>
      </c>
      <c r="AK9013" s="132" t="s">
        <v>1387</v>
      </c>
      <c r="AL9013" s="142" t="str">
        <f t="shared" si="194"/>
        <v>Refuse truck</v>
      </c>
    </row>
    <row r="9014" spans="2:38">
      <c r="B9014" s="136" t="s">
        <v>1370</v>
      </c>
      <c r="C9014" s="132" t="s">
        <v>284</v>
      </c>
      <c r="D9014" s="1094">
        <v>2.9000000000000001E-2</v>
      </c>
      <c r="E9014" s="1095">
        <v>2.9000000000000001E-2</v>
      </c>
      <c r="F9014" s="605">
        <v>1</v>
      </c>
      <c r="G9014" s="605">
        <v>0.96345715146558775</v>
      </c>
      <c r="H9014" s="605">
        <v>0.96345715146558775</v>
      </c>
      <c r="I9014" s="605">
        <v>0.96350019369000983</v>
      </c>
      <c r="J9014" s="605">
        <v>1.4615417724788018</v>
      </c>
      <c r="K9014" s="605">
        <v>1.4615417724788018</v>
      </c>
      <c r="L9014" s="605">
        <v>1.4635217148022208</v>
      </c>
      <c r="M9014" s="605">
        <v>1.4635217148022208</v>
      </c>
      <c r="N9014" s="605">
        <v>1.463564757026643</v>
      </c>
      <c r="O9014" s="605">
        <v>1.463564757026643</v>
      </c>
      <c r="P9014" s="605">
        <v>1.463564757026643</v>
      </c>
      <c r="Q9014" s="605">
        <v>1.4636077992510652</v>
      </c>
      <c r="R9014" s="605">
        <v>1.4636077992510652</v>
      </c>
      <c r="S9014" s="605">
        <v>1.4636077992510652</v>
      </c>
      <c r="T9014" s="605">
        <v>1.4636508414754874</v>
      </c>
      <c r="U9014" s="605">
        <v>1.4636508414754874</v>
      </c>
      <c r="V9014" s="605">
        <v>1.4636938836999096</v>
      </c>
      <c r="W9014" s="605">
        <v>1.4636938836999096</v>
      </c>
      <c r="X9014" s="605">
        <v>1.4637369259243318</v>
      </c>
      <c r="Y9014" s="605">
        <v>1.4637799681487538</v>
      </c>
      <c r="Z9014" s="605">
        <v>1.463823010373176</v>
      </c>
      <c r="AA9014" s="605">
        <v>1.4638660525975982</v>
      </c>
      <c r="AB9014" s="605">
        <v>1.4639090948220204</v>
      </c>
      <c r="AC9014" s="605">
        <v>1.4639951792708648</v>
      </c>
      <c r="AD9014" s="605">
        <v>1.464038221495287</v>
      </c>
      <c r="AE9014" s="605">
        <v>1.4641243059441311</v>
      </c>
      <c r="AF9014" s="605">
        <v>1.4641673481685533</v>
      </c>
      <c r="AG9014" s="605">
        <v>1.4642534326173977</v>
      </c>
      <c r="AH9014" s="605">
        <v>1.4643825592906641</v>
      </c>
      <c r="AI9014" s="605">
        <v>1.4644686437395085</v>
      </c>
      <c r="AJ9014" s="605">
        <v>1.4645977704127751</v>
      </c>
      <c r="AK9014" s="132" t="s">
        <v>1387</v>
      </c>
      <c r="AL9014" s="142" t="str">
        <f t="shared" si="194"/>
        <v>Refuse truck</v>
      </c>
    </row>
    <row r="9015" spans="2:38">
      <c r="B9015" s="136" t="s">
        <v>1370</v>
      </c>
      <c r="C9015" s="132" t="s">
        <v>1379</v>
      </c>
      <c r="D9015" s="1094">
        <v>0.10199999999999999</v>
      </c>
      <c r="E9015" s="1095">
        <v>0.10199999999999999</v>
      </c>
      <c r="F9015" s="605">
        <v>1</v>
      </c>
      <c r="G9015" s="605">
        <v>1.0000097715413629</v>
      </c>
      <c r="H9015" s="605">
        <v>1</v>
      </c>
      <c r="I9015" s="605">
        <v>1</v>
      </c>
      <c r="J9015" s="605">
        <v>1</v>
      </c>
      <c r="K9015" s="605">
        <v>1</v>
      </c>
      <c r="L9015" s="605">
        <v>1.0000097715413629</v>
      </c>
      <c r="M9015" s="605">
        <v>1</v>
      </c>
      <c r="N9015" s="605">
        <v>1.0000097715413629</v>
      </c>
      <c r="O9015" s="605">
        <v>1.0000097715413629</v>
      </c>
      <c r="P9015" s="605">
        <v>1</v>
      </c>
      <c r="Q9015" s="605">
        <v>1</v>
      </c>
      <c r="R9015" s="605">
        <v>1</v>
      </c>
      <c r="S9015" s="605">
        <v>1</v>
      </c>
      <c r="T9015" s="605">
        <v>1</v>
      </c>
      <c r="U9015" s="605">
        <v>1</v>
      </c>
      <c r="V9015" s="605">
        <v>1</v>
      </c>
      <c r="W9015" s="605">
        <v>1</v>
      </c>
      <c r="X9015" s="605">
        <v>1</v>
      </c>
      <c r="Y9015" s="605">
        <v>1</v>
      </c>
      <c r="Z9015" s="605">
        <v>1.0000097715413629</v>
      </c>
      <c r="AA9015" s="605">
        <v>1</v>
      </c>
      <c r="AB9015" s="605">
        <v>1</v>
      </c>
      <c r="AC9015" s="605">
        <v>1</v>
      </c>
      <c r="AD9015" s="605">
        <v>1</v>
      </c>
      <c r="AE9015" s="605">
        <v>1.0000097715413629</v>
      </c>
      <c r="AF9015" s="605">
        <v>1</v>
      </c>
      <c r="AG9015" s="605">
        <v>1</v>
      </c>
      <c r="AH9015" s="605">
        <v>1</v>
      </c>
      <c r="AI9015" s="605">
        <v>1</v>
      </c>
      <c r="AJ9015" s="605">
        <v>1</v>
      </c>
      <c r="AK9015" s="132" t="s">
        <v>1387</v>
      </c>
      <c r="AL9015" s="142" t="str">
        <f t="shared" si="194"/>
        <v>Refuse truck</v>
      </c>
    </row>
    <row r="9016" spans="2:38">
      <c r="B9016" s="136" t="s">
        <v>1370</v>
      </c>
      <c r="C9016" s="132" t="s">
        <v>285</v>
      </c>
      <c r="D9016" s="1094">
        <v>2.5999999999999999E-2</v>
      </c>
      <c r="E9016" s="1095">
        <v>2.5999999999999999E-2</v>
      </c>
      <c r="F9016" s="605">
        <v>1</v>
      </c>
      <c r="G9016" s="605">
        <v>0.96348227359453342</v>
      </c>
      <c r="H9016" s="605">
        <v>0.96348227359453342</v>
      </c>
      <c r="I9016" s="605">
        <v>0.96348227359453342</v>
      </c>
      <c r="J9016" s="605">
        <v>1.4615521143009274</v>
      </c>
      <c r="K9016" s="605">
        <v>1.4615521143009274</v>
      </c>
      <c r="L9016" s="605">
        <v>1.4635044593335402</v>
      </c>
      <c r="M9016" s="605">
        <v>1.4635044593335402</v>
      </c>
      <c r="N9016" s="605">
        <v>1.4635488308115543</v>
      </c>
      <c r="O9016" s="605">
        <v>1.4635488308115543</v>
      </c>
      <c r="P9016" s="605">
        <v>1.4635488308115543</v>
      </c>
      <c r="Q9016" s="605">
        <v>1.4635932022895681</v>
      </c>
      <c r="R9016" s="605">
        <v>1.4635932022895681</v>
      </c>
      <c r="S9016" s="605">
        <v>1.4635932022895681</v>
      </c>
      <c r="T9016" s="605">
        <v>1.4636375737675822</v>
      </c>
      <c r="U9016" s="605">
        <v>1.4636375737675822</v>
      </c>
      <c r="V9016" s="605">
        <v>1.4636819452455962</v>
      </c>
      <c r="W9016" s="605">
        <v>1.4636819452455962</v>
      </c>
      <c r="X9016" s="605">
        <v>1.4637263167236101</v>
      </c>
      <c r="Y9016" s="605">
        <v>1.4637706882016237</v>
      </c>
      <c r="Z9016" s="605">
        <v>1.4638150596796378</v>
      </c>
      <c r="AA9016" s="605">
        <v>1.4638594311576518</v>
      </c>
      <c r="AB9016" s="605">
        <v>1.4639038026356657</v>
      </c>
      <c r="AC9016" s="605">
        <v>1.4639481741136797</v>
      </c>
      <c r="AD9016" s="605">
        <v>1.4640369170697074</v>
      </c>
      <c r="AE9016" s="605">
        <v>1.4640812885477212</v>
      </c>
      <c r="AF9016" s="605">
        <v>1.4641700315037494</v>
      </c>
      <c r="AG9016" s="605">
        <v>1.4642587744597773</v>
      </c>
      <c r="AH9016" s="605">
        <v>1.4643475174158049</v>
      </c>
      <c r="AI9016" s="605">
        <v>1.4644806318498469</v>
      </c>
      <c r="AJ9016" s="605">
        <v>1.4645693748058748</v>
      </c>
      <c r="AK9016" s="132" t="s">
        <v>1387</v>
      </c>
      <c r="AL9016" s="142" t="str">
        <f t="shared" si="194"/>
        <v>Refuse truck</v>
      </c>
    </row>
    <row r="9017" spans="2:38">
      <c r="B9017" s="136" t="s">
        <v>1370</v>
      </c>
      <c r="C9017" s="132" t="s">
        <v>1380</v>
      </c>
      <c r="D9017" s="1094">
        <v>2.5999999999999999E-2</v>
      </c>
      <c r="E9017" s="1095">
        <v>2.5999999999999999E-2</v>
      </c>
      <c r="F9017" s="605">
        <v>1</v>
      </c>
      <c r="G9017" s="605">
        <v>1</v>
      </c>
      <c r="H9017" s="605">
        <v>1</v>
      </c>
      <c r="I9017" s="605">
        <v>1</v>
      </c>
      <c r="J9017" s="605">
        <v>1</v>
      </c>
      <c r="K9017" s="605">
        <v>1</v>
      </c>
      <c r="L9017" s="605">
        <v>1</v>
      </c>
      <c r="M9017" s="605">
        <v>1</v>
      </c>
      <c r="N9017" s="605">
        <v>1</v>
      </c>
      <c r="O9017" s="605">
        <v>1</v>
      </c>
      <c r="P9017" s="605">
        <v>1</v>
      </c>
      <c r="Q9017" s="605">
        <v>1</v>
      </c>
      <c r="R9017" s="605">
        <v>1</v>
      </c>
      <c r="S9017" s="605">
        <v>1</v>
      </c>
      <c r="T9017" s="605">
        <v>1</v>
      </c>
      <c r="U9017" s="605">
        <v>1</v>
      </c>
      <c r="V9017" s="605">
        <v>1</v>
      </c>
      <c r="W9017" s="605">
        <v>1</v>
      </c>
      <c r="X9017" s="605">
        <v>1</v>
      </c>
      <c r="Y9017" s="605">
        <v>1</v>
      </c>
      <c r="Z9017" s="605">
        <v>1</v>
      </c>
      <c r="AA9017" s="605">
        <v>1</v>
      </c>
      <c r="AB9017" s="605">
        <v>1</v>
      </c>
      <c r="AC9017" s="605">
        <v>1</v>
      </c>
      <c r="AD9017" s="605">
        <v>1</v>
      </c>
      <c r="AE9017" s="605">
        <v>1</v>
      </c>
      <c r="AF9017" s="605">
        <v>1</v>
      </c>
      <c r="AG9017" s="605">
        <v>1</v>
      </c>
      <c r="AH9017" s="605">
        <v>1</v>
      </c>
      <c r="AI9017" s="605">
        <v>1</v>
      </c>
      <c r="AJ9017" s="605">
        <v>1</v>
      </c>
      <c r="AK9017" s="132" t="s">
        <v>1387</v>
      </c>
      <c r="AL9017" s="142" t="str">
        <f t="shared" si="194"/>
        <v>Refuse truck</v>
      </c>
    </row>
    <row r="9018" spans="2:38">
      <c r="B9018" s="136" t="s">
        <v>1370</v>
      </c>
      <c r="C9018" s="132" t="s">
        <v>281</v>
      </c>
      <c r="D9018" s="1094">
        <v>0.05</v>
      </c>
      <c r="E9018" s="1095">
        <v>0.05</v>
      </c>
      <c r="F9018" s="605">
        <v>1</v>
      </c>
      <c r="G9018" s="605">
        <v>1.001811573431785</v>
      </c>
      <c r="H9018" s="605">
        <v>1.004471605306305</v>
      </c>
      <c r="I9018" s="605">
        <v>1.0082438056800853</v>
      </c>
      <c r="J9018" s="605">
        <v>1.0897416788011511</v>
      </c>
      <c r="K9018" s="605">
        <v>1.0950732082048225</v>
      </c>
      <c r="L9018" s="605">
        <v>1.1016659596179643</v>
      </c>
      <c r="M9018" s="605">
        <v>1.1083848332320534</v>
      </c>
      <c r="N9018" s="605">
        <v>1.1161814783815083</v>
      </c>
      <c r="O9018" s="605">
        <v>1.1248839102468555</v>
      </c>
      <c r="P9018" s="605">
        <v>1.1349163580494628</v>
      </c>
      <c r="Q9018" s="605">
        <v>1.1463590813717508</v>
      </c>
      <c r="R9018" s="605">
        <v>1.1596248437804557</v>
      </c>
      <c r="S9018" s="605">
        <v>1.1737619959411583</v>
      </c>
      <c r="T9018" s="605">
        <v>1.1898712406984875</v>
      </c>
      <c r="U9018" s="605">
        <v>1.206851875207815</v>
      </c>
      <c r="V9018" s="605">
        <v>1.227237809142713</v>
      </c>
      <c r="W9018" s="605">
        <v>1.2491830721075019</v>
      </c>
      <c r="X9018" s="605">
        <v>1.2734329316532327</v>
      </c>
      <c r="Y9018" s="605">
        <v>1.301810426866322</v>
      </c>
      <c r="Z9018" s="605">
        <v>1.332160014676038</v>
      </c>
      <c r="AA9018" s="605">
        <v>1.3673366430856368</v>
      </c>
      <c r="AB9018" s="605">
        <v>1.4079365261359598</v>
      </c>
      <c r="AC9018" s="605">
        <v>1.4536271598426913</v>
      </c>
      <c r="AD9018" s="605">
        <v>1.4982973502872146</v>
      </c>
      <c r="AE9018" s="605">
        <v>1.5537108591215014</v>
      </c>
      <c r="AF9018" s="605">
        <v>1.6132405379685153</v>
      </c>
      <c r="AG9018" s="605">
        <v>1.6886616141348589</v>
      </c>
      <c r="AH9018" s="605">
        <v>1.7687836087001385</v>
      </c>
      <c r="AI9018" s="605">
        <v>1.8489056032654185</v>
      </c>
      <c r="AJ9018" s="605">
        <v>1.9491154247451759</v>
      </c>
      <c r="AK9018" s="132" t="s">
        <v>1387</v>
      </c>
      <c r="AL9018" s="142" t="str">
        <f t="shared" si="194"/>
        <v>Refuse truck</v>
      </c>
    </row>
    <row r="9019" spans="2:38">
      <c r="B9019" s="136" t="s">
        <v>1370</v>
      </c>
      <c r="C9019" s="132" t="s">
        <v>1384</v>
      </c>
      <c r="D9019" s="1094">
        <v>5.5E-2</v>
      </c>
      <c r="E9019" s="1095">
        <v>5.3999999999999999E-2</v>
      </c>
      <c r="F9019" s="605">
        <v>1</v>
      </c>
      <c r="G9019" s="605">
        <v>1</v>
      </c>
      <c r="H9019" s="605">
        <v>1</v>
      </c>
      <c r="I9019" s="605">
        <v>1</v>
      </c>
      <c r="J9019" s="605">
        <v>1</v>
      </c>
      <c r="K9019" s="605">
        <v>1</v>
      </c>
      <c r="L9019" s="605">
        <v>1</v>
      </c>
      <c r="M9019" s="605">
        <v>1</v>
      </c>
      <c r="N9019" s="605">
        <v>1</v>
      </c>
      <c r="O9019" s="605">
        <v>1</v>
      </c>
      <c r="P9019" s="605">
        <v>1</v>
      </c>
      <c r="Q9019" s="605">
        <v>1</v>
      </c>
      <c r="R9019" s="605">
        <v>1</v>
      </c>
      <c r="S9019" s="605">
        <v>1</v>
      </c>
      <c r="T9019" s="605">
        <v>1</v>
      </c>
      <c r="U9019" s="605">
        <v>1</v>
      </c>
      <c r="V9019" s="605">
        <v>1</v>
      </c>
      <c r="W9019" s="605">
        <v>1</v>
      </c>
      <c r="X9019" s="605">
        <v>1</v>
      </c>
      <c r="Y9019" s="605">
        <v>1</v>
      </c>
      <c r="Z9019" s="605">
        <v>1</v>
      </c>
      <c r="AA9019" s="605">
        <v>1</v>
      </c>
      <c r="AB9019" s="605">
        <v>1</v>
      </c>
      <c r="AC9019" s="605">
        <v>1</v>
      </c>
      <c r="AD9019" s="605">
        <v>1</v>
      </c>
      <c r="AE9019" s="605">
        <v>1</v>
      </c>
      <c r="AF9019" s="605">
        <v>1</v>
      </c>
      <c r="AG9019" s="605">
        <v>1</v>
      </c>
      <c r="AH9019" s="605">
        <v>1</v>
      </c>
      <c r="AI9019" s="605">
        <v>1</v>
      </c>
      <c r="AJ9019" s="605">
        <v>1</v>
      </c>
      <c r="AK9019" s="132" t="s">
        <v>1387</v>
      </c>
      <c r="AL9019" s="142" t="str">
        <f t="shared" si="194"/>
        <v>Refuse truck</v>
      </c>
    </row>
    <row r="9020" spans="2:38">
      <c r="B9020" s="136" t="s">
        <v>1371</v>
      </c>
      <c r="C9020" s="132" t="s">
        <v>282</v>
      </c>
      <c r="D9020" s="1094">
        <v>1.044</v>
      </c>
      <c r="E9020" s="1095">
        <v>1.046</v>
      </c>
      <c r="F9020" s="605">
        <v>1</v>
      </c>
      <c r="G9020" s="605">
        <v>0.95041686329030795</v>
      </c>
      <c r="H9020" s="605">
        <v>0.91839012713266521</v>
      </c>
      <c r="I9020" s="605">
        <v>0.90618686475744314</v>
      </c>
      <c r="J9020" s="605">
        <v>0.91866100729312272</v>
      </c>
      <c r="K9020" s="605">
        <v>0.91553683493839622</v>
      </c>
      <c r="L9020" s="605">
        <v>0.91379151563959793</v>
      </c>
      <c r="M9020" s="605">
        <v>0.91208906717510418</v>
      </c>
      <c r="N9020" s="605">
        <v>0.91213384337982228</v>
      </c>
      <c r="O9020" s="605">
        <v>0.91371752375520565</v>
      </c>
      <c r="P9020" s="605">
        <v>0.91687376984522684</v>
      </c>
      <c r="Q9020" s="605">
        <v>0.92352351258846477</v>
      </c>
      <c r="R9020" s="605">
        <v>0.93148065699712357</v>
      </c>
      <c r="S9020" s="605">
        <v>0.93674106714715877</v>
      </c>
      <c r="T9020" s="605">
        <v>0.93951719183967963</v>
      </c>
      <c r="U9020" s="605">
        <v>0.94210023899696216</v>
      </c>
      <c r="V9020" s="605">
        <v>0.94401450113909391</v>
      </c>
      <c r="W9020" s="605">
        <v>0.94662835178472871</v>
      </c>
      <c r="X9020" s="605">
        <v>0.94911517773612775</v>
      </c>
      <c r="Y9020" s="605">
        <v>0.95117075485059666</v>
      </c>
      <c r="Z9020" s="605">
        <v>0.95203833351222644</v>
      </c>
      <c r="AA9020" s="605">
        <v>0.95357056888644431</v>
      </c>
      <c r="AB9020" s="605">
        <v>0.95579286591209767</v>
      </c>
      <c r="AC9020" s="605">
        <v>0.95681922544152198</v>
      </c>
      <c r="AD9020" s="605">
        <v>0.95820411217042645</v>
      </c>
      <c r="AE9020" s="605">
        <v>0.95877000718324645</v>
      </c>
      <c r="AF9020" s="605">
        <v>0.95873666320100959</v>
      </c>
      <c r="AG9020" s="605">
        <v>0.95864012443339053</v>
      </c>
      <c r="AH9020" s="605">
        <v>0.95861313168586548</v>
      </c>
      <c r="AI9020" s="605">
        <v>0.95874206175051457</v>
      </c>
      <c r="AJ9020" s="605">
        <v>0.95913266268528941</v>
      </c>
      <c r="AK9020" s="132" t="s">
        <v>1387</v>
      </c>
      <c r="AL9020" s="142" t="str">
        <f t="shared" si="194"/>
        <v>School bus</v>
      </c>
    </row>
    <row r="9021" spans="2:38">
      <c r="B9021" s="136" t="s">
        <v>1371</v>
      </c>
      <c r="C9021" s="132" t="s">
        <v>283</v>
      </c>
      <c r="D9021" s="1094">
        <v>0.84099999999999997</v>
      </c>
      <c r="E9021" s="1095">
        <v>0.83699999999999997</v>
      </c>
      <c r="F9021" s="605">
        <v>1</v>
      </c>
      <c r="G9021" s="605">
        <v>0.98065468941894629</v>
      </c>
      <c r="H9021" s="605">
        <v>0.96815889976525704</v>
      </c>
      <c r="I9021" s="605">
        <v>0.96339771060799984</v>
      </c>
      <c r="J9021" s="605">
        <v>1.2864092612072942</v>
      </c>
      <c r="K9021" s="605">
        <v>1.2851883903263084</v>
      </c>
      <c r="L9021" s="605">
        <v>1.3101488778455463</v>
      </c>
      <c r="M9021" s="605">
        <v>1.3094866227581525</v>
      </c>
      <c r="N9021" s="605">
        <v>1.309505277831037</v>
      </c>
      <c r="O9021" s="605">
        <v>1.310122968022096</v>
      </c>
      <c r="P9021" s="605">
        <v>1.3113542028324618</v>
      </c>
      <c r="Q9021" s="605">
        <v>1.313946221570446</v>
      </c>
      <c r="R9021" s="605">
        <v>1.3170533275986258</v>
      </c>
      <c r="S9021" s="605">
        <v>1.3191053856159025</v>
      </c>
      <c r="T9021" s="605">
        <v>1.3201873798431938</v>
      </c>
      <c r="U9021" s="605">
        <v>1.3211957901718858</v>
      </c>
      <c r="V9021" s="605">
        <v>1.3219399203013831</v>
      </c>
      <c r="W9021" s="605">
        <v>1.3229597309523933</v>
      </c>
      <c r="X9021" s="605">
        <v>1.3239308311353166</v>
      </c>
      <c r="Y9021" s="605">
        <v>1.3247329992693431</v>
      </c>
      <c r="Z9021" s="605">
        <v>1.3250698269741989</v>
      </c>
      <c r="AA9021" s="605">
        <v>1.3256719712711877</v>
      </c>
      <c r="AB9021" s="605">
        <v>1.3265383957673713</v>
      </c>
      <c r="AC9021" s="605">
        <v>1.3269363706555704</v>
      </c>
      <c r="AD9021" s="605">
        <v>1.3274773677692162</v>
      </c>
      <c r="AE9021" s="605">
        <v>1.32770019225089</v>
      </c>
      <c r="AF9021" s="605">
        <v>1.3276877555356339</v>
      </c>
      <c r="AG9021" s="605">
        <v>1.3276483726039892</v>
      </c>
      <c r="AH9021" s="605">
        <v>1.3276390450675468</v>
      </c>
      <c r="AI9021" s="605">
        <v>1.3276908647144479</v>
      </c>
      <c r="AJ9021" s="605">
        <v>1.3278421780833984</v>
      </c>
      <c r="AK9021" s="132" t="s">
        <v>1387</v>
      </c>
      <c r="AL9021" s="142" t="str">
        <f t="shared" si="194"/>
        <v>School bus</v>
      </c>
    </row>
    <row r="9022" spans="2:38">
      <c r="B9022" s="136" t="s">
        <v>1371</v>
      </c>
      <c r="C9022" s="132" t="s">
        <v>284</v>
      </c>
      <c r="D9022" s="1094">
        <v>1.4E-2</v>
      </c>
      <c r="E9022" s="1095">
        <v>1.4E-2</v>
      </c>
      <c r="F9022" s="605">
        <v>1</v>
      </c>
      <c r="G9022" s="605">
        <v>0.96148302370275462</v>
      </c>
      <c r="H9022" s="605">
        <v>0.96148302370275462</v>
      </c>
      <c r="I9022" s="605">
        <v>0.96140294682895566</v>
      </c>
      <c r="J9022" s="605">
        <v>1.4786995515695067</v>
      </c>
      <c r="K9022" s="605">
        <v>1.4786995515695067</v>
      </c>
      <c r="L9022" s="605">
        <v>1.51040999359385</v>
      </c>
      <c r="M9022" s="605">
        <v>1.51040999359385</v>
      </c>
      <c r="N9022" s="605">
        <v>1.51040999359385</v>
      </c>
      <c r="O9022" s="605">
        <v>1.5104900704676489</v>
      </c>
      <c r="P9022" s="605">
        <v>1.5104900704676489</v>
      </c>
      <c r="Q9022" s="605">
        <v>1.5104900704676489</v>
      </c>
      <c r="R9022" s="605">
        <v>1.5104900704676489</v>
      </c>
      <c r="S9022" s="605">
        <v>1.5104900704676489</v>
      </c>
      <c r="T9022" s="605">
        <v>1.5104900704676489</v>
      </c>
      <c r="U9022" s="605">
        <v>1.5104900704676489</v>
      </c>
      <c r="V9022" s="605">
        <v>1.5104900704676489</v>
      </c>
      <c r="W9022" s="605">
        <v>1.5104900704676489</v>
      </c>
      <c r="X9022" s="605">
        <v>1.5104900704676489</v>
      </c>
      <c r="Y9022" s="605">
        <v>1.5104900704676489</v>
      </c>
      <c r="Z9022" s="605">
        <v>1.5104900704676489</v>
      </c>
      <c r="AA9022" s="605">
        <v>1.5104900704676489</v>
      </c>
      <c r="AB9022" s="605">
        <v>1.5104900704676489</v>
      </c>
      <c r="AC9022" s="605">
        <v>1.5104900704676489</v>
      </c>
      <c r="AD9022" s="605">
        <v>1.5104900704676489</v>
      </c>
      <c r="AE9022" s="605">
        <v>1.5104900704676489</v>
      </c>
      <c r="AF9022" s="605">
        <v>1.5104900704676489</v>
      </c>
      <c r="AG9022" s="605">
        <v>1.5104900704676489</v>
      </c>
      <c r="AH9022" s="605">
        <v>1.5105701473414477</v>
      </c>
      <c r="AI9022" s="605">
        <v>1.5105701473414477</v>
      </c>
      <c r="AJ9022" s="605">
        <v>1.5105701473414477</v>
      </c>
      <c r="AK9022" s="132" t="s">
        <v>1387</v>
      </c>
      <c r="AL9022" s="142" t="str">
        <f t="shared" si="194"/>
        <v>School bus</v>
      </c>
    </row>
    <row r="9023" spans="2:38">
      <c r="B9023" s="136" t="s">
        <v>1371</v>
      </c>
      <c r="C9023" s="132" t="s">
        <v>1379</v>
      </c>
      <c r="D9023" s="1094">
        <v>7.9000000000000001E-2</v>
      </c>
      <c r="E9023" s="1095">
        <v>7.9000000000000001E-2</v>
      </c>
      <c r="F9023" s="605">
        <v>1</v>
      </c>
      <c r="G9023" s="605">
        <v>1</v>
      </c>
      <c r="H9023" s="605">
        <v>1</v>
      </c>
      <c r="I9023" s="605">
        <v>1</v>
      </c>
      <c r="J9023" s="605">
        <v>1</v>
      </c>
      <c r="K9023" s="605">
        <v>1</v>
      </c>
      <c r="L9023" s="605">
        <v>0.99998727864848358</v>
      </c>
      <c r="M9023" s="605">
        <v>1</v>
      </c>
      <c r="N9023" s="605">
        <v>1</v>
      </c>
      <c r="O9023" s="605">
        <v>1</v>
      </c>
      <c r="P9023" s="605">
        <v>1</v>
      </c>
      <c r="Q9023" s="605">
        <v>0.99998727864848358</v>
      </c>
      <c r="R9023" s="605">
        <v>1</v>
      </c>
      <c r="S9023" s="605">
        <v>1</v>
      </c>
      <c r="T9023" s="605">
        <v>1</v>
      </c>
      <c r="U9023" s="605">
        <v>1</v>
      </c>
      <c r="V9023" s="605">
        <v>0.99998727864848358</v>
      </c>
      <c r="W9023" s="605">
        <v>0.99998727864848358</v>
      </c>
      <c r="X9023" s="605">
        <v>0.99998727864848358</v>
      </c>
      <c r="Y9023" s="605">
        <v>1</v>
      </c>
      <c r="Z9023" s="605">
        <v>0.99998727864848358</v>
      </c>
      <c r="AA9023" s="605">
        <v>1</v>
      </c>
      <c r="AB9023" s="605">
        <v>1</v>
      </c>
      <c r="AC9023" s="605">
        <v>0.99998727864848358</v>
      </c>
      <c r="AD9023" s="605">
        <v>1</v>
      </c>
      <c r="AE9023" s="605">
        <v>1</v>
      </c>
      <c r="AF9023" s="605">
        <v>1</v>
      </c>
      <c r="AG9023" s="605">
        <v>1</v>
      </c>
      <c r="AH9023" s="605">
        <v>1</v>
      </c>
      <c r="AI9023" s="605">
        <v>1</v>
      </c>
      <c r="AJ9023" s="605">
        <v>1</v>
      </c>
      <c r="AK9023" s="132" t="s">
        <v>1387</v>
      </c>
      <c r="AL9023" s="142" t="str">
        <f t="shared" si="194"/>
        <v>School bus</v>
      </c>
    </row>
    <row r="9024" spans="2:38">
      <c r="B9024" s="136" t="s">
        <v>1371</v>
      </c>
      <c r="C9024" s="132" t="s">
        <v>285</v>
      </c>
      <c r="D9024" s="1094">
        <v>1.2999999999999999E-2</v>
      </c>
      <c r="E9024" s="1095">
        <v>1.2999999999999999E-2</v>
      </c>
      <c r="F9024" s="605">
        <v>1</v>
      </c>
      <c r="G9024" s="605">
        <v>0.96144956248968128</v>
      </c>
      <c r="H9024" s="605">
        <v>0.96144956248968128</v>
      </c>
      <c r="I9024" s="605">
        <v>0.96144956248968128</v>
      </c>
      <c r="J9024" s="605">
        <v>1.4786197787683673</v>
      </c>
      <c r="K9024" s="605">
        <v>1.4786197787683673</v>
      </c>
      <c r="L9024" s="605">
        <v>1.510401188707281</v>
      </c>
      <c r="M9024" s="605">
        <v>1.510401188707281</v>
      </c>
      <c r="N9024" s="605">
        <v>1.510401188707281</v>
      </c>
      <c r="O9024" s="605">
        <v>1.510401188707281</v>
      </c>
      <c r="P9024" s="605">
        <v>1.510401188707281</v>
      </c>
      <c r="Q9024" s="605">
        <v>1.510401188707281</v>
      </c>
      <c r="R9024" s="605">
        <v>1.5104837378240052</v>
      </c>
      <c r="S9024" s="605">
        <v>1.5104837378240052</v>
      </c>
      <c r="T9024" s="605">
        <v>1.5104837378240052</v>
      </c>
      <c r="U9024" s="605">
        <v>1.5104837378240052</v>
      </c>
      <c r="V9024" s="605">
        <v>1.5104837378240052</v>
      </c>
      <c r="W9024" s="605">
        <v>1.5104837378240052</v>
      </c>
      <c r="X9024" s="605">
        <v>1.5104837378240052</v>
      </c>
      <c r="Y9024" s="605">
        <v>1.5104837378240052</v>
      </c>
      <c r="Z9024" s="605">
        <v>1.5104837378240052</v>
      </c>
      <c r="AA9024" s="605">
        <v>1.5104837378240052</v>
      </c>
      <c r="AB9024" s="605">
        <v>1.5104837378240052</v>
      </c>
      <c r="AC9024" s="605">
        <v>1.5104837378240052</v>
      </c>
      <c r="AD9024" s="605">
        <v>1.5104837378240052</v>
      </c>
      <c r="AE9024" s="605">
        <v>1.5104837378240052</v>
      </c>
      <c r="AF9024" s="605">
        <v>1.5104837378240052</v>
      </c>
      <c r="AG9024" s="605">
        <v>1.5104837378240052</v>
      </c>
      <c r="AH9024" s="605">
        <v>1.5104837378240052</v>
      </c>
      <c r="AI9024" s="605">
        <v>1.5104837378240052</v>
      </c>
      <c r="AJ9024" s="605">
        <v>1.5104837378240052</v>
      </c>
      <c r="AK9024" s="132" t="s">
        <v>1387</v>
      </c>
      <c r="AL9024" s="142" t="str">
        <f t="shared" si="194"/>
        <v>School bus</v>
      </c>
    </row>
    <row r="9025" spans="2:38">
      <c r="B9025" s="136" t="s">
        <v>1371</v>
      </c>
      <c r="C9025" s="132" t="s">
        <v>1380</v>
      </c>
      <c r="D9025" s="1094">
        <v>0.02</v>
      </c>
      <c r="E9025" s="1095">
        <v>0.02</v>
      </c>
      <c r="F9025" s="605">
        <v>1</v>
      </c>
      <c r="G9025" s="605">
        <v>1</v>
      </c>
      <c r="H9025" s="605">
        <v>1</v>
      </c>
      <c r="I9025" s="605">
        <v>1</v>
      </c>
      <c r="J9025" s="605">
        <v>1</v>
      </c>
      <c r="K9025" s="605">
        <v>1</v>
      </c>
      <c r="L9025" s="605">
        <v>1</v>
      </c>
      <c r="M9025" s="605">
        <v>1</v>
      </c>
      <c r="N9025" s="605">
        <v>1</v>
      </c>
      <c r="O9025" s="605">
        <v>1</v>
      </c>
      <c r="P9025" s="605">
        <v>1</v>
      </c>
      <c r="Q9025" s="605">
        <v>1</v>
      </c>
      <c r="R9025" s="605">
        <v>1</v>
      </c>
      <c r="S9025" s="605">
        <v>1</v>
      </c>
      <c r="T9025" s="605">
        <v>1</v>
      </c>
      <c r="U9025" s="605">
        <v>1</v>
      </c>
      <c r="V9025" s="605">
        <v>1</v>
      </c>
      <c r="W9025" s="605">
        <v>1</v>
      </c>
      <c r="X9025" s="605">
        <v>1</v>
      </c>
      <c r="Y9025" s="605">
        <v>1</v>
      </c>
      <c r="Z9025" s="605">
        <v>1</v>
      </c>
      <c r="AA9025" s="605">
        <v>1</v>
      </c>
      <c r="AB9025" s="605">
        <v>1</v>
      </c>
      <c r="AC9025" s="605">
        <v>1</v>
      </c>
      <c r="AD9025" s="605">
        <v>1</v>
      </c>
      <c r="AE9025" s="605">
        <v>1</v>
      </c>
      <c r="AF9025" s="605">
        <v>1</v>
      </c>
      <c r="AG9025" s="605">
        <v>1</v>
      </c>
      <c r="AH9025" s="605">
        <v>1</v>
      </c>
      <c r="AI9025" s="605">
        <v>1</v>
      </c>
      <c r="AJ9025" s="605">
        <v>1</v>
      </c>
      <c r="AK9025" s="132" t="s">
        <v>1387</v>
      </c>
      <c r="AL9025" s="142" t="str">
        <f t="shared" si="194"/>
        <v>School bus</v>
      </c>
    </row>
    <row r="9026" spans="2:38">
      <c r="B9026" s="136" t="s">
        <v>1371</v>
      </c>
      <c r="C9026" s="132" t="s">
        <v>281</v>
      </c>
      <c r="D9026" s="1094">
        <v>6.4000000000000001E-2</v>
      </c>
      <c r="E9026" s="1095">
        <v>6.4000000000000001E-2</v>
      </c>
      <c r="F9026" s="605">
        <v>1</v>
      </c>
      <c r="G9026" s="605">
        <v>0.97219891627337884</v>
      </c>
      <c r="H9026" s="605">
        <v>0.95424750917671741</v>
      </c>
      <c r="I9026" s="605">
        <v>0.9474042999475617</v>
      </c>
      <c r="J9026" s="605">
        <v>0.9931130921167628</v>
      </c>
      <c r="K9026" s="605">
        <v>0.99135640622268839</v>
      </c>
      <c r="L9026" s="605">
        <v>0.99413564062226889</v>
      </c>
      <c r="M9026" s="605">
        <v>0.99318300996329323</v>
      </c>
      <c r="N9026" s="605">
        <v>0.99320048942492578</v>
      </c>
      <c r="O9026" s="605">
        <v>0.9940919419681874</v>
      </c>
      <c r="P9026" s="605">
        <v>0.99585736759307819</v>
      </c>
      <c r="Q9026" s="605">
        <v>0.99958923265163435</v>
      </c>
      <c r="R9026" s="605">
        <v>1.0040464953679427</v>
      </c>
      <c r="S9026" s="605">
        <v>1.0070005243838491</v>
      </c>
      <c r="T9026" s="605">
        <v>1.0085561964691487</v>
      </c>
      <c r="U9026" s="605">
        <v>1.010006991784653</v>
      </c>
      <c r="V9026" s="605">
        <v>1.0110732389442405</v>
      </c>
      <c r="W9026" s="605">
        <v>1.0125415137213774</v>
      </c>
      <c r="X9026" s="605">
        <v>1.0139311309211678</v>
      </c>
      <c r="Y9026" s="605">
        <v>1.0150847753889181</v>
      </c>
      <c r="Z9026" s="605">
        <v>1.0155742003146304</v>
      </c>
      <c r="AA9026" s="605">
        <v>1.0164306939346268</v>
      </c>
      <c r="AB9026" s="605">
        <v>1.0176804754413564</v>
      </c>
      <c r="AC9026" s="605">
        <v>1.0182572976752318</v>
      </c>
      <c r="AD9026" s="605">
        <v>1.0190351337178816</v>
      </c>
      <c r="AE9026" s="605">
        <v>1.019349764027268</v>
      </c>
      <c r="AF9026" s="605">
        <v>1.0193322845656354</v>
      </c>
      <c r="AG9026" s="605">
        <v>1.0192711064499214</v>
      </c>
      <c r="AH9026" s="605">
        <v>1.0192623667191052</v>
      </c>
      <c r="AI9026" s="605">
        <v>1.0193322845656354</v>
      </c>
      <c r="AJ9026" s="605">
        <v>1.0195507778360426</v>
      </c>
      <c r="AK9026" s="132" t="s">
        <v>1387</v>
      </c>
      <c r="AL9026" s="142" t="str">
        <f t="shared" si="194"/>
        <v>School bus</v>
      </c>
    </row>
    <row r="9027" spans="2:38">
      <c r="B9027" s="136" t="s">
        <v>1371</v>
      </c>
      <c r="C9027" s="132" t="s">
        <v>1384</v>
      </c>
      <c r="D9027" s="1094">
        <v>3.2000000000000001E-2</v>
      </c>
      <c r="E9027" s="1095">
        <v>3.1E-2</v>
      </c>
      <c r="F9027" s="605">
        <v>1</v>
      </c>
      <c r="G9027" s="605">
        <v>1</v>
      </c>
      <c r="H9027" s="605">
        <v>1</v>
      </c>
      <c r="I9027" s="605">
        <v>1</v>
      </c>
      <c r="J9027" s="605">
        <v>1</v>
      </c>
      <c r="K9027" s="605">
        <v>1</v>
      </c>
      <c r="L9027" s="605">
        <v>1</v>
      </c>
      <c r="M9027" s="605">
        <v>1</v>
      </c>
      <c r="N9027" s="605">
        <v>1</v>
      </c>
      <c r="O9027" s="605">
        <v>1</v>
      </c>
      <c r="P9027" s="605">
        <v>1</v>
      </c>
      <c r="Q9027" s="605">
        <v>1</v>
      </c>
      <c r="R9027" s="605">
        <v>1</v>
      </c>
      <c r="S9027" s="605">
        <v>1</v>
      </c>
      <c r="T9027" s="605">
        <v>1</v>
      </c>
      <c r="U9027" s="605">
        <v>1</v>
      </c>
      <c r="V9027" s="605">
        <v>1</v>
      </c>
      <c r="W9027" s="605">
        <v>1</v>
      </c>
      <c r="X9027" s="605">
        <v>1</v>
      </c>
      <c r="Y9027" s="605">
        <v>1</v>
      </c>
      <c r="Z9027" s="605">
        <v>1</v>
      </c>
      <c r="AA9027" s="605">
        <v>1</v>
      </c>
      <c r="AB9027" s="605">
        <v>1</v>
      </c>
      <c r="AC9027" s="605">
        <v>1</v>
      </c>
      <c r="AD9027" s="605">
        <v>1</v>
      </c>
      <c r="AE9027" s="605">
        <v>1</v>
      </c>
      <c r="AF9027" s="605">
        <v>1</v>
      </c>
      <c r="AG9027" s="605">
        <v>1</v>
      </c>
      <c r="AH9027" s="605">
        <v>1</v>
      </c>
      <c r="AI9027" s="605">
        <v>1</v>
      </c>
      <c r="AJ9027" s="605">
        <v>1</v>
      </c>
      <c r="AK9027" s="132" t="s">
        <v>1387</v>
      </c>
      <c r="AL9027" s="142" t="str">
        <f t="shared" si="194"/>
        <v>School bus</v>
      </c>
    </row>
    <row r="9028" spans="2:38">
      <c r="B9028" s="136" t="s">
        <v>1372</v>
      </c>
      <c r="C9028" s="132" t="s">
        <v>282</v>
      </c>
      <c r="D9028" s="1094">
        <v>1</v>
      </c>
      <c r="E9028" s="1095">
        <v>1</v>
      </c>
      <c r="F9028" s="605">
        <v>1</v>
      </c>
      <c r="G9028" s="605">
        <v>0.94889272157049842</v>
      </c>
      <c r="H9028" s="605">
        <v>0.90728796525957967</v>
      </c>
      <c r="I9028" s="605">
        <v>0.89424718861490327</v>
      </c>
      <c r="J9028" s="605">
        <v>1.1265598490977473</v>
      </c>
      <c r="K9028" s="605">
        <v>1.1207115718108345</v>
      </c>
      <c r="L9028" s="605">
        <v>1.4510520996437537</v>
      </c>
      <c r="M9028" s="605">
        <v>1.4461259504443542</v>
      </c>
      <c r="N9028" s="605">
        <v>1.6955505338176133</v>
      </c>
      <c r="O9028" s="605">
        <v>1.6954617099340368</v>
      </c>
      <c r="P9028" s="605">
        <v>1.6893874355263863</v>
      </c>
      <c r="Q9028" s="605">
        <v>1.6980259278738719</v>
      </c>
      <c r="R9028" s="605">
        <v>1.7088316817151736</v>
      </c>
      <c r="S9028" s="605">
        <v>1.7152431120525671</v>
      </c>
      <c r="T9028" s="605">
        <v>1.7174506245551819</v>
      </c>
      <c r="U9028" s="605">
        <v>1.7195084122459146</v>
      </c>
      <c r="V9028" s="605">
        <v>1.720429147624452</v>
      </c>
      <c r="W9028" s="605">
        <v>1.7225158555188578</v>
      </c>
      <c r="X9028" s="605">
        <v>1.7245743481610472</v>
      </c>
      <c r="Y9028" s="605">
        <v>1.7260921946175649</v>
      </c>
      <c r="Z9028" s="605">
        <v>1.7256197567838381</v>
      </c>
      <c r="AA9028" s="605">
        <v>1.7262450831140348</v>
      </c>
      <c r="AB9028" s="605">
        <v>1.728022609615782</v>
      </c>
      <c r="AC9028" s="605">
        <v>1.7279901990427</v>
      </c>
      <c r="AD9028" s="605">
        <v>1.7287537302463361</v>
      </c>
      <c r="AE9028" s="605">
        <v>1.7279459246524156</v>
      </c>
      <c r="AF9028" s="605">
        <v>1.7278846970392883</v>
      </c>
      <c r="AG9028" s="605">
        <v>1.7277307081307882</v>
      </c>
      <c r="AH9028" s="605">
        <v>1.72768748257072</v>
      </c>
      <c r="AI9028" s="605">
        <v>1.7278946695233135</v>
      </c>
      <c r="AJ9028" s="605">
        <v>1.728544978645387</v>
      </c>
      <c r="AK9028" s="132" t="s">
        <v>1388</v>
      </c>
      <c r="AL9028" s="142" t="str">
        <f t="shared" si="194"/>
        <v>School bus</v>
      </c>
    </row>
    <row r="9029" spans="2:38">
      <c r="B9029" s="136" t="s">
        <v>1372</v>
      </c>
      <c r="C9029" s="132" t="s">
        <v>283</v>
      </c>
      <c r="D9029" s="1094">
        <v>1</v>
      </c>
      <c r="E9029" s="1095">
        <v>1</v>
      </c>
      <c r="F9029" s="605">
        <v>1</v>
      </c>
      <c r="G9029" s="605">
        <v>0.99766259535306956</v>
      </c>
      <c r="H9029" s="605">
        <v>0.97062874059345872</v>
      </c>
      <c r="I9029" s="605">
        <v>0.97010182303663939</v>
      </c>
      <c r="J9029" s="605">
        <v>0.97546338290882206</v>
      </c>
      <c r="K9029" s="605">
        <v>0.97530641134806284</v>
      </c>
      <c r="L9029" s="605">
        <v>1.1999061440876295</v>
      </c>
      <c r="M9029" s="605">
        <v>1.1998129422234287</v>
      </c>
      <c r="N9029" s="605">
        <v>1.2052791498027842</v>
      </c>
      <c r="O9029" s="605">
        <v>1.2053797097088954</v>
      </c>
      <c r="P9029" s="605">
        <v>1.2055787856205875</v>
      </c>
      <c r="Q9029" s="605">
        <v>1.2059957413288542</v>
      </c>
      <c r="R9029" s="605">
        <v>1.2064993584196235</v>
      </c>
      <c r="S9029" s="605">
        <v>1.2068300615254937</v>
      </c>
      <c r="T9029" s="605">
        <v>1.207006654531348</v>
      </c>
      <c r="U9029" s="605">
        <v>1.2071677138931685</v>
      </c>
      <c r="V9029" s="605">
        <v>1.207285442563738</v>
      </c>
      <c r="W9029" s="605">
        <v>1.2074501809465141</v>
      </c>
      <c r="X9029" s="605">
        <v>1.2076079700674855</v>
      </c>
      <c r="Y9029" s="605">
        <v>1.2077408236019822</v>
      </c>
      <c r="Z9029" s="605">
        <v>1.2077919211152504</v>
      </c>
      <c r="AA9029" s="605">
        <v>1.2078892107805126</v>
      </c>
      <c r="AB9029" s="605">
        <v>1.2080310574773445</v>
      </c>
      <c r="AC9029" s="605">
        <v>1.2080940096136905</v>
      </c>
      <c r="AD9029" s="605">
        <v>1.2081818973365115</v>
      </c>
      <c r="AE9029" s="605">
        <v>1.2082174612057459</v>
      </c>
      <c r="AF9029" s="605">
        <v>1.2082137821847907</v>
      </c>
      <c r="AG9029" s="605">
        <v>1.2082105119439417</v>
      </c>
      <c r="AH9029" s="605">
        <v>1.2082072417030925</v>
      </c>
      <c r="AI9029" s="605">
        <v>1.2082170524256399</v>
      </c>
      <c r="AJ9029" s="605">
        <v>1.2082419880121147</v>
      </c>
      <c r="AK9029" s="132" t="s">
        <v>1388</v>
      </c>
      <c r="AL9029" s="142" t="str">
        <f t="shared" si="194"/>
        <v>School bus</v>
      </c>
    </row>
    <row r="9030" spans="2:38">
      <c r="B9030" s="136" t="s">
        <v>1372</v>
      </c>
      <c r="C9030" s="132" t="s">
        <v>284</v>
      </c>
      <c r="D9030" s="1094">
        <v>1</v>
      </c>
      <c r="E9030" s="1095">
        <v>1</v>
      </c>
      <c r="F9030" s="605">
        <v>1</v>
      </c>
      <c r="G9030" s="605">
        <v>0.96877931126892669</v>
      </c>
      <c r="H9030" s="605">
        <v>0.9477421948278173</v>
      </c>
      <c r="I9030" s="605">
        <v>0.94010451561034436</v>
      </c>
      <c r="J9030" s="605">
        <v>1.4646924829157175</v>
      </c>
      <c r="K9030" s="605">
        <v>1.4616106123542809</v>
      </c>
      <c r="L9030" s="605">
        <v>1.6287015945330294</v>
      </c>
      <c r="M9030" s="605">
        <v>1.6268256733217206</v>
      </c>
      <c r="N9030" s="605">
        <v>1.8169636875251238</v>
      </c>
      <c r="O9030" s="605">
        <v>1.8189736031086694</v>
      </c>
      <c r="P9030" s="605">
        <v>2.2121130912501674</v>
      </c>
      <c r="Q9030" s="605">
        <v>2.2220286747956588</v>
      </c>
      <c r="R9030" s="605">
        <v>2.2339541739246949</v>
      </c>
      <c r="S9030" s="605">
        <v>2.2418598418866407</v>
      </c>
      <c r="T9030" s="605">
        <v>2.2460136674259679</v>
      </c>
      <c r="U9030" s="605">
        <v>2.9674393675465631</v>
      </c>
      <c r="V9030" s="605">
        <v>2.9711912099691813</v>
      </c>
      <c r="W9030" s="605">
        <v>2.9764169904863995</v>
      </c>
      <c r="X9030" s="605">
        <v>2.9812407878869087</v>
      </c>
      <c r="Y9030" s="605">
        <v>2.9853946134262364</v>
      </c>
      <c r="Z9030" s="605">
        <v>3.940774487471526</v>
      </c>
      <c r="AA9030" s="605">
        <v>3.9447943186386172</v>
      </c>
      <c r="AB9030" s="605">
        <v>3.9505560766447809</v>
      </c>
      <c r="AC9030" s="605">
        <v>3.9532359640895085</v>
      </c>
      <c r="AD9030" s="605">
        <v>3.9568538121398902</v>
      </c>
      <c r="AE9030" s="605">
        <v>3.9583277502344902</v>
      </c>
      <c r="AF9030" s="605">
        <v>3.9583277502344902</v>
      </c>
      <c r="AG9030" s="605">
        <v>3.9580597614900173</v>
      </c>
      <c r="AH9030" s="605">
        <v>3.9579257671177808</v>
      </c>
      <c r="AI9030" s="605">
        <v>3.9583277502344902</v>
      </c>
      <c r="AJ9030" s="605">
        <v>3.9592657108401448</v>
      </c>
      <c r="AK9030" s="132" t="s">
        <v>1388</v>
      </c>
      <c r="AL9030" s="142" t="str">
        <f t="shared" si="194"/>
        <v>School bus</v>
      </c>
    </row>
    <row r="9031" spans="2:38">
      <c r="B9031" s="136" t="s">
        <v>1372</v>
      </c>
      <c r="C9031" s="132" t="s">
        <v>1379</v>
      </c>
      <c r="D9031" s="1094">
        <v>1</v>
      </c>
      <c r="E9031" s="1095">
        <v>1</v>
      </c>
      <c r="F9031" s="605">
        <v>1</v>
      </c>
      <c r="G9031" s="605">
        <v>1.0000621028008363</v>
      </c>
      <c r="H9031" s="605">
        <v>1.0058376632786137</v>
      </c>
      <c r="I9031" s="605">
        <v>1.0058376632786137</v>
      </c>
      <c r="J9031" s="605">
        <v>1.0058376632786137</v>
      </c>
      <c r="K9031" s="605">
        <v>1.0058376632786137</v>
      </c>
      <c r="L9031" s="605">
        <v>1.0058376632786137</v>
      </c>
      <c r="M9031" s="605">
        <v>1.0058376632786137</v>
      </c>
      <c r="N9031" s="605">
        <v>1.0058376632786137</v>
      </c>
      <c r="O9031" s="605">
        <v>1.0058376632786137</v>
      </c>
      <c r="P9031" s="605">
        <v>1.0058376632786137</v>
      </c>
      <c r="Q9031" s="605">
        <v>1.0058376632786137</v>
      </c>
      <c r="R9031" s="605">
        <v>1.0058376632786137</v>
      </c>
      <c r="S9031" s="605">
        <v>1.0058376632786137</v>
      </c>
      <c r="T9031" s="605">
        <v>1.0058376632786137</v>
      </c>
      <c r="U9031" s="605">
        <v>1.0058376632786137</v>
      </c>
      <c r="V9031" s="605">
        <v>1.0058376632786137</v>
      </c>
      <c r="W9031" s="605">
        <v>1.0058376632786137</v>
      </c>
      <c r="X9031" s="605">
        <v>1.0058376632786137</v>
      </c>
      <c r="Y9031" s="605">
        <v>1.0058376632786137</v>
      </c>
      <c r="Z9031" s="605">
        <v>1.0058376632786137</v>
      </c>
      <c r="AA9031" s="605">
        <v>1.0058376632786137</v>
      </c>
      <c r="AB9031" s="605">
        <v>1.0058376632786137</v>
      </c>
      <c r="AC9031" s="605">
        <v>1.0058376632786137</v>
      </c>
      <c r="AD9031" s="605">
        <v>1.0058376632786137</v>
      </c>
      <c r="AE9031" s="605">
        <v>1.0058376632786137</v>
      </c>
      <c r="AF9031" s="605">
        <v>1.0058376632786137</v>
      </c>
      <c r="AG9031" s="605">
        <v>1.0058376632786137</v>
      </c>
      <c r="AH9031" s="605">
        <v>1.0058376632786137</v>
      </c>
      <c r="AI9031" s="605">
        <v>1.0058376632786137</v>
      </c>
      <c r="AJ9031" s="605">
        <v>1.0058376632786137</v>
      </c>
      <c r="AK9031" s="132" t="s">
        <v>1388</v>
      </c>
      <c r="AL9031" s="142" t="str">
        <f t="shared" si="194"/>
        <v>School bus</v>
      </c>
    </row>
    <row r="9032" spans="2:38">
      <c r="B9032" s="136" t="s">
        <v>1372</v>
      </c>
      <c r="C9032" s="132" t="s">
        <v>285</v>
      </c>
      <c r="D9032" s="1094">
        <v>1</v>
      </c>
      <c r="E9032" s="1095">
        <v>1</v>
      </c>
      <c r="F9032" s="605">
        <v>1</v>
      </c>
      <c r="G9032" s="605">
        <v>0.96885913853317818</v>
      </c>
      <c r="H9032" s="605">
        <v>0.94775902211874274</v>
      </c>
      <c r="I9032" s="605">
        <v>0.94019208381839348</v>
      </c>
      <c r="J9032" s="605">
        <v>1.4646391152502911</v>
      </c>
      <c r="K9032" s="605">
        <v>1.4615832363213039</v>
      </c>
      <c r="L9032" s="605">
        <v>1.6287834691501746</v>
      </c>
      <c r="M9032" s="605">
        <v>1.6268917345750875</v>
      </c>
      <c r="N9032" s="605">
        <v>1.8169383003492434</v>
      </c>
      <c r="O9032" s="605">
        <v>1.8189755529685683</v>
      </c>
      <c r="P9032" s="605">
        <v>2.2121653084982538</v>
      </c>
      <c r="Q9032" s="605">
        <v>2.2220605355064031</v>
      </c>
      <c r="R9032" s="605">
        <v>2.2339930151338767</v>
      </c>
      <c r="S9032" s="605">
        <v>2.241850989522701</v>
      </c>
      <c r="T9032" s="605">
        <v>2.2460710128055883</v>
      </c>
      <c r="U9032" s="605">
        <v>2.9674039580908036</v>
      </c>
      <c r="V9032" s="605">
        <v>2.9711874272409777</v>
      </c>
      <c r="W9032" s="605">
        <v>2.9764260768335276</v>
      </c>
      <c r="X9032" s="605">
        <v>2.9812281722933642</v>
      </c>
      <c r="Y9032" s="605">
        <v>2.9853026775320139</v>
      </c>
      <c r="Z9032" s="605">
        <v>3.940774155995344</v>
      </c>
      <c r="AA9032" s="605">
        <v>3.9448486612339932</v>
      </c>
      <c r="AB9032" s="605">
        <v>3.9506693830034925</v>
      </c>
      <c r="AC9032" s="605">
        <v>3.9532887077997674</v>
      </c>
      <c r="AD9032" s="605">
        <v>3.9569266589057048</v>
      </c>
      <c r="AE9032" s="605">
        <v>3.9583818393480796</v>
      </c>
      <c r="AF9032" s="605">
        <v>3.9582363213038416</v>
      </c>
      <c r="AG9032" s="605">
        <v>3.9580908032596041</v>
      </c>
      <c r="AH9032" s="605">
        <v>3.9579452852153669</v>
      </c>
      <c r="AI9032" s="605">
        <v>3.9583818393480796</v>
      </c>
      <c r="AJ9032" s="605">
        <v>3.9594004656577417</v>
      </c>
      <c r="AK9032" s="132" t="s">
        <v>1388</v>
      </c>
      <c r="AL9032" s="142" t="str">
        <f t="shared" si="194"/>
        <v>School bus</v>
      </c>
    </row>
    <row r="9033" spans="2:38">
      <c r="B9033" s="136" t="s">
        <v>1372</v>
      </c>
      <c r="C9033" s="132" t="s">
        <v>1380</v>
      </c>
      <c r="D9033" s="1094">
        <v>1</v>
      </c>
      <c r="E9033" s="1095">
        <v>1</v>
      </c>
      <c r="F9033" s="605">
        <v>1</v>
      </c>
      <c r="G9033" s="605">
        <v>1.0000804052424219</v>
      </c>
      <c r="H9033" s="605">
        <v>1.0057891774543701</v>
      </c>
      <c r="I9033" s="605">
        <v>1.0057891774543701</v>
      </c>
      <c r="J9033" s="605">
        <v>1.0057891774543701</v>
      </c>
      <c r="K9033" s="605">
        <v>1.0057891774543701</v>
      </c>
      <c r="L9033" s="605">
        <v>1.0057891774543701</v>
      </c>
      <c r="M9033" s="605">
        <v>1.0057891774543701</v>
      </c>
      <c r="N9033" s="605">
        <v>1.0057891774543701</v>
      </c>
      <c r="O9033" s="605">
        <v>1.0057891774543701</v>
      </c>
      <c r="P9033" s="605">
        <v>1.0057891774543701</v>
      </c>
      <c r="Q9033" s="605">
        <v>1.0057891774543701</v>
      </c>
      <c r="R9033" s="605">
        <v>1.0057891774543701</v>
      </c>
      <c r="S9033" s="605">
        <v>1.0057891774543701</v>
      </c>
      <c r="T9033" s="605">
        <v>1.0057891774543701</v>
      </c>
      <c r="U9033" s="605">
        <v>1.0057891774543701</v>
      </c>
      <c r="V9033" s="605">
        <v>1.0057891774543701</v>
      </c>
      <c r="W9033" s="605">
        <v>1.0057891774543701</v>
      </c>
      <c r="X9033" s="605">
        <v>1.0057891774543701</v>
      </c>
      <c r="Y9033" s="605">
        <v>1.0057891774543701</v>
      </c>
      <c r="Z9033" s="605">
        <v>1.0057891774543701</v>
      </c>
      <c r="AA9033" s="605">
        <v>1.0057891774543701</v>
      </c>
      <c r="AB9033" s="605">
        <v>1.0057891774543701</v>
      </c>
      <c r="AC9033" s="605">
        <v>1.0057891774543701</v>
      </c>
      <c r="AD9033" s="605">
        <v>1.0057891774543701</v>
      </c>
      <c r="AE9033" s="605">
        <v>1.0057891774543701</v>
      </c>
      <c r="AF9033" s="605">
        <v>1.0057891774543701</v>
      </c>
      <c r="AG9033" s="605">
        <v>1.0057891774543701</v>
      </c>
      <c r="AH9033" s="605">
        <v>1.0057891774543701</v>
      </c>
      <c r="AI9033" s="605">
        <v>1.0057891774543701</v>
      </c>
      <c r="AJ9033" s="605">
        <v>1.0057891774543701</v>
      </c>
      <c r="AK9033" s="132" t="s">
        <v>1388</v>
      </c>
      <c r="AL9033" s="142" t="str">
        <f t="shared" si="194"/>
        <v>School bus</v>
      </c>
    </row>
    <row r="9034" spans="2:38">
      <c r="B9034" s="136" t="s">
        <v>1372</v>
      </c>
      <c r="C9034" s="132" t="s">
        <v>281</v>
      </c>
      <c r="D9034" s="1094">
        <v>1</v>
      </c>
      <c r="E9034" s="1095">
        <v>1</v>
      </c>
      <c r="F9034" s="605">
        <v>1</v>
      </c>
      <c r="G9034" s="605">
        <v>0.99831799664725929</v>
      </c>
      <c r="H9034" s="605">
        <v>1.0001633559853633</v>
      </c>
      <c r="I9034" s="605">
        <v>0.99708775708852326</v>
      </c>
      <c r="J9034" s="605">
        <v>1.0367776285667936</v>
      </c>
      <c r="K9034" s="605">
        <v>1.0358369234097013</v>
      </c>
      <c r="L9034" s="605">
        <v>1.7888922436324963</v>
      </c>
      <c r="M9034" s="605">
        <v>1.7880720839266724</v>
      </c>
      <c r="N9034" s="605">
        <v>1.7620241271157415</v>
      </c>
      <c r="O9034" s="605">
        <v>1.7627507796023576</v>
      </c>
      <c r="P9034" s="605">
        <v>1.7903861059538189</v>
      </c>
      <c r="Q9034" s="605">
        <v>1.7935980226039621</v>
      </c>
      <c r="R9034" s="605">
        <v>1.7974487174865259</v>
      </c>
      <c r="S9034" s="605">
        <v>1.7999891847071761</v>
      </c>
      <c r="T9034" s="605">
        <v>1.8013343367521675</v>
      </c>
      <c r="U9034" s="605">
        <v>1.8025792220199364</v>
      </c>
      <c r="V9034" s="605">
        <v>1.8035019016889882</v>
      </c>
      <c r="W9034" s="605">
        <v>1.8047659390377995</v>
      </c>
      <c r="X9034" s="605">
        <v>1.8059680137714729</v>
      </c>
      <c r="Y9034" s="605">
        <v>1.8069661751716928</v>
      </c>
      <c r="Z9034" s="605">
        <v>1.8073841411756224</v>
      </c>
      <c r="AA9034" s="605">
        <v>1.8081243127782685</v>
      </c>
      <c r="AB9034" s="605">
        <v>1.8092047154676711</v>
      </c>
      <c r="AC9034" s="605">
        <v>1.8096936568307587</v>
      </c>
      <c r="AD9034" s="605">
        <v>1.8103662328532544</v>
      </c>
      <c r="AE9034" s="605">
        <v>1.810641121545866</v>
      </c>
      <c r="AF9034" s="605">
        <v>1.8106185896858156</v>
      </c>
      <c r="AG9034" s="605">
        <v>1.8105769057447232</v>
      </c>
      <c r="AH9034" s="605">
        <v>1.8105656398146981</v>
      </c>
      <c r="AI9034" s="605">
        <v>1.8106276024298358</v>
      </c>
      <c r="AJ9034" s="605">
        <v>1.8108146168682517</v>
      </c>
      <c r="AK9034" s="132" t="s">
        <v>1388</v>
      </c>
      <c r="AL9034" s="142" t="str">
        <f t="shared" si="194"/>
        <v>School bus</v>
      </c>
    </row>
    <row r="9035" spans="2:38">
      <c r="B9035" s="136" t="s">
        <v>1372</v>
      </c>
      <c r="C9035" s="132" t="s">
        <v>1384</v>
      </c>
      <c r="D9035" s="1094">
        <v>1</v>
      </c>
      <c r="E9035" s="1095">
        <v>1</v>
      </c>
      <c r="F9035" s="605">
        <v>1</v>
      </c>
      <c r="G9035" s="605">
        <v>1</v>
      </c>
      <c r="H9035" s="605">
        <v>1</v>
      </c>
      <c r="I9035" s="605">
        <v>1</v>
      </c>
      <c r="J9035" s="605">
        <v>1</v>
      </c>
      <c r="K9035" s="605">
        <v>1</v>
      </c>
      <c r="L9035" s="605">
        <v>1</v>
      </c>
      <c r="M9035" s="605">
        <v>1</v>
      </c>
      <c r="N9035" s="605">
        <v>1</v>
      </c>
      <c r="O9035" s="605">
        <v>1</v>
      </c>
      <c r="P9035" s="605">
        <v>1</v>
      </c>
      <c r="Q9035" s="605">
        <v>1</v>
      </c>
      <c r="R9035" s="605">
        <v>1</v>
      </c>
      <c r="S9035" s="605">
        <v>1</v>
      </c>
      <c r="T9035" s="605">
        <v>1</v>
      </c>
      <c r="U9035" s="605">
        <v>1</v>
      </c>
      <c r="V9035" s="605">
        <v>1</v>
      </c>
      <c r="W9035" s="605">
        <v>1</v>
      </c>
      <c r="X9035" s="605">
        <v>1</v>
      </c>
      <c r="Y9035" s="605">
        <v>1</v>
      </c>
      <c r="Z9035" s="605">
        <v>1</v>
      </c>
      <c r="AA9035" s="605">
        <v>1</v>
      </c>
      <c r="AB9035" s="605">
        <v>1</v>
      </c>
      <c r="AC9035" s="605">
        <v>1</v>
      </c>
      <c r="AD9035" s="605">
        <v>1</v>
      </c>
      <c r="AE9035" s="605">
        <v>1</v>
      </c>
      <c r="AF9035" s="605">
        <v>1</v>
      </c>
      <c r="AG9035" s="605">
        <v>1</v>
      </c>
      <c r="AH9035" s="605">
        <v>1</v>
      </c>
      <c r="AI9035" s="605">
        <v>1</v>
      </c>
      <c r="AJ9035" s="605">
        <v>1</v>
      </c>
      <c r="AK9035" s="132" t="s">
        <v>1388</v>
      </c>
      <c r="AL9035" s="142" t="str">
        <f t="shared" si="194"/>
        <v>School bus</v>
      </c>
    </row>
    <row r="9036" spans="2:38">
      <c r="B9036" s="136" t="s">
        <v>1373</v>
      </c>
      <c r="C9036" s="132" t="s">
        <v>282</v>
      </c>
      <c r="D9036" s="1094">
        <v>0.89600000000000002</v>
      </c>
      <c r="E9036" s="1095">
        <v>0.91600000000000004</v>
      </c>
      <c r="F9036" s="605">
        <v>1</v>
      </c>
      <c r="G9036" s="605">
        <v>1.0094307911246265</v>
      </c>
      <c r="H9036" s="605">
        <v>1.0306909106902196</v>
      </c>
      <c r="I9036" s="605">
        <v>1.0686088483565228</v>
      </c>
      <c r="J9036" s="605">
        <v>1.2085659354295533</v>
      </c>
      <c r="K9036" s="605">
        <v>1.2601227070957122</v>
      </c>
      <c r="L9036" s="605">
        <v>1.333126517738495</v>
      </c>
      <c r="M9036" s="605">
        <v>1.391712401710234</v>
      </c>
      <c r="N9036" s="605">
        <v>1.461587275657438</v>
      </c>
      <c r="O9036" s="605">
        <v>1.5304992790251288</v>
      </c>
      <c r="P9036" s="605">
        <v>1.6112971578825015</v>
      </c>
      <c r="Q9036" s="605">
        <v>1.7041725438946465</v>
      </c>
      <c r="R9036" s="605">
        <v>1.806167712263484</v>
      </c>
      <c r="S9036" s="605">
        <v>1.902522312522972</v>
      </c>
      <c r="T9036" s="605">
        <v>2.0100732284280864</v>
      </c>
      <c r="U9036" s="605">
        <v>2.1234673393671128</v>
      </c>
      <c r="V9036" s="605">
        <v>2.2563057813074305</v>
      </c>
      <c r="W9036" s="605">
        <v>2.3810093019895135</v>
      </c>
      <c r="X9036" s="605">
        <v>2.5250095030456867</v>
      </c>
      <c r="Y9036" s="605">
        <v>2.6928599926488834</v>
      </c>
      <c r="Z9036" s="605">
        <v>2.863121585579246</v>
      </c>
      <c r="AA9036" s="605">
        <v>3.0343507613431808</v>
      </c>
      <c r="AB9036" s="605">
        <v>3.2343937999302583</v>
      </c>
      <c r="AC9036" s="605">
        <v>3.4645340051960454</v>
      </c>
      <c r="AD9036" s="605">
        <v>3.6909750910250407</v>
      </c>
      <c r="AE9036" s="605">
        <v>3.8979985486257496</v>
      </c>
      <c r="AF9036" s="605">
        <v>4.1989356588830695</v>
      </c>
      <c r="AG9036" s="605">
        <v>4.4819944772382421</v>
      </c>
      <c r="AH9036" s="605">
        <v>4.8133758902233295</v>
      </c>
      <c r="AI9036" s="605">
        <v>5.1013935706005604</v>
      </c>
      <c r="AJ9036" s="605">
        <v>5.4318733723089094</v>
      </c>
      <c r="AK9036" s="132" t="s">
        <v>1387</v>
      </c>
      <c r="AL9036" s="142" t="str">
        <f t="shared" si="194"/>
        <v>Single unit long-haul truck</v>
      </c>
    </row>
    <row r="9037" spans="2:38">
      <c r="B9037" s="136" t="s">
        <v>1373</v>
      </c>
      <c r="C9037" s="132" t="s">
        <v>283</v>
      </c>
      <c r="D9037" s="1094">
        <v>0.82199999999999995</v>
      </c>
      <c r="E9037" s="1095">
        <v>0.82299999999999995</v>
      </c>
      <c r="F9037" s="605">
        <v>1</v>
      </c>
      <c r="G9037" s="605">
        <v>1.0010591363185233</v>
      </c>
      <c r="H9037" s="605">
        <v>1.0034454530307091</v>
      </c>
      <c r="I9037" s="605">
        <v>1.0077008338344067</v>
      </c>
      <c r="J9037" s="605">
        <v>1.5103110035715062</v>
      </c>
      <c r="K9037" s="605">
        <v>1.5161036533682997</v>
      </c>
      <c r="L9037" s="605">
        <v>1.6042916029760137</v>
      </c>
      <c r="M9037" s="605">
        <v>1.6108753450161912</v>
      </c>
      <c r="N9037" s="605">
        <v>1.6187210675398622</v>
      </c>
      <c r="O9037" s="605">
        <v>1.6264566746596927</v>
      </c>
      <c r="P9037" s="605">
        <v>1.6355238088338633</v>
      </c>
      <c r="Q9037" s="605">
        <v>1.6459543455740127</v>
      </c>
      <c r="R9037" s="605">
        <v>1.6574063475734766</v>
      </c>
      <c r="S9037" s="605">
        <v>1.6682251860008546</v>
      </c>
      <c r="T9037" s="605">
        <v>1.6803002093641559</v>
      </c>
      <c r="U9037" s="605">
        <v>1.6930330273767178</v>
      </c>
      <c r="V9037" s="605">
        <v>1.7079449712758172</v>
      </c>
      <c r="W9037" s="605">
        <v>1.7219513608670141</v>
      </c>
      <c r="X9037" s="605">
        <v>1.7381165919282509</v>
      </c>
      <c r="Y9037" s="605">
        <v>1.7569637126277737</v>
      </c>
      <c r="Z9037" s="605">
        <v>1.7760774285155427</v>
      </c>
      <c r="AA9037" s="605">
        <v>1.7953070553547235</v>
      </c>
      <c r="AB9037" s="605">
        <v>1.8177705977382876</v>
      </c>
      <c r="AC9037" s="605">
        <v>1.8436042510341428</v>
      </c>
      <c r="AD9037" s="605">
        <v>1.8690249715655947</v>
      </c>
      <c r="AE9037" s="605">
        <v>1.8922825039663278</v>
      </c>
      <c r="AF9037" s="605">
        <v>1.9260676485290174</v>
      </c>
      <c r="AG9037" s="605">
        <v>1.9578489825191794</v>
      </c>
      <c r="AH9037" s="605">
        <v>1.9950535001485108</v>
      </c>
      <c r="AI9037" s="605">
        <v>2.0273926555923412</v>
      </c>
      <c r="AJ9037" s="605">
        <v>2.0645000977998653</v>
      </c>
      <c r="AK9037" s="132" t="s">
        <v>1387</v>
      </c>
      <c r="AL9037" s="142" t="str">
        <f t="shared" si="194"/>
        <v>Single unit long-haul truck</v>
      </c>
    </row>
    <row r="9038" spans="2:38">
      <c r="B9038" s="136" t="s">
        <v>1373</v>
      </c>
      <c r="C9038" s="132" t="s">
        <v>284</v>
      </c>
      <c r="D9038" s="1094">
        <v>1.4E-2</v>
      </c>
      <c r="E9038" s="1095">
        <v>1.4E-2</v>
      </c>
      <c r="F9038" s="605">
        <v>1</v>
      </c>
      <c r="G9038" s="605">
        <v>0.95669291338582674</v>
      </c>
      <c r="H9038" s="605">
        <v>0.95669291338582674</v>
      </c>
      <c r="I9038" s="605">
        <v>0.95678239083750882</v>
      </c>
      <c r="J9038" s="605">
        <v>1.4996420901932712</v>
      </c>
      <c r="K9038" s="605">
        <v>1.4996420901932712</v>
      </c>
      <c r="L9038" s="605">
        <v>1.5748031496062993</v>
      </c>
      <c r="M9038" s="605">
        <v>1.5748031496062993</v>
      </c>
      <c r="N9038" s="605">
        <v>1.5748926270579813</v>
      </c>
      <c r="O9038" s="605">
        <v>1.5748926270579813</v>
      </c>
      <c r="P9038" s="605">
        <v>1.5748926270579813</v>
      </c>
      <c r="Q9038" s="605">
        <v>1.5749821045096635</v>
      </c>
      <c r="R9038" s="605">
        <v>1.5749821045096635</v>
      </c>
      <c r="S9038" s="605">
        <v>1.5750715819613457</v>
      </c>
      <c r="T9038" s="605">
        <v>1.5750715819613457</v>
      </c>
      <c r="U9038" s="605">
        <v>1.5751610594130281</v>
      </c>
      <c r="V9038" s="605">
        <v>1.5751610594130281</v>
      </c>
      <c r="W9038" s="605">
        <v>1.5752505368647101</v>
      </c>
      <c r="X9038" s="605">
        <v>1.5753400143163923</v>
      </c>
      <c r="Y9038" s="605">
        <v>1.5754294917680745</v>
      </c>
      <c r="Z9038" s="605">
        <v>1.5754294917680745</v>
      </c>
      <c r="AA9038" s="605">
        <v>1.5755189692197564</v>
      </c>
      <c r="AB9038" s="605">
        <v>1.5756084466714388</v>
      </c>
      <c r="AC9038" s="605">
        <v>1.575697924123121</v>
      </c>
      <c r="AD9038" s="605">
        <v>1.5757874015748032</v>
      </c>
      <c r="AE9038" s="605">
        <v>1.5758768790264852</v>
      </c>
      <c r="AF9038" s="605">
        <v>1.5760558339298498</v>
      </c>
      <c r="AG9038" s="605">
        <v>1.5761453113815318</v>
      </c>
      <c r="AH9038" s="605">
        <v>1.5763242662848962</v>
      </c>
      <c r="AI9038" s="605">
        <v>1.5764137437365786</v>
      </c>
      <c r="AJ9038" s="605">
        <v>1.5765926986399428</v>
      </c>
      <c r="AK9038" s="132" t="s">
        <v>1387</v>
      </c>
      <c r="AL9038" s="142" t="str">
        <f t="shared" si="194"/>
        <v>Single unit long-haul truck</v>
      </c>
    </row>
    <row r="9039" spans="2:38">
      <c r="B9039" s="136" t="s">
        <v>1373</v>
      </c>
      <c r="C9039" s="132" t="s">
        <v>1379</v>
      </c>
      <c r="D9039" s="1094">
        <v>0.14199999999999999</v>
      </c>
      <c r="E9039" s="1095">
        <v>0.14199999999999999</v>
      </c>
      <c r="F9039" s="605">
        <v>1</v>
      </c>
      <c r="G9039" s="605">
        <v>1</v>
      </c>
      <c r="H9039" s="605">
        <v>1</v>
      </c>
      <c r="I9039" s="605">
        <v>1</v>
      </c>
      <c r="J9039" s="605">
        <v>1</v>
      </c>
      <c r="K9039" s="605">
        <v>1</v>
      </c>
      <c r="L9039" s="605">
        <v>1</v>
      </c>
      <c r="M9039" s="605">
        <v>1</v>
      </c>
      <c r="N9039" s="605">
        <v>1</v>
      </c>
      <c r="O9039" s="605">
        <v>1</v>
      </c>
      <c r="P9039" s="605">
        <v>1</v>
      </c>
      <c r="Q9039" s="605">
        <v>1</v>
      </c>
      <c r="R9039" s="605">
        <v>1</v>
      </c>
      <c r="S9039" s="605">
        <v>1</v>
      </c>
      <c r="T9039" s="605">
        <v>1</v>
      </c>
      <c r="U9039" s="605">
        <v>1</v>
      </c>
      <c r="V9039" s="605">
        <v>1</v>
      </c>
      <c r="W9039" s="605">
        <v>1</v>
      </c>
      <c r="X9039" s="605">
        <v>1</v>
      </c>
      <c r="Y9039" s="605">
        <v>1</v>
      </c>
      <c r="Z9039" s="605">
        <v>1</v>
      </c>
      <c r="AA9039" s="605">
        <v>1</v>
      </c>
      <c r="AB9039" s="605">
        <v>1</v>
      </c>
      <c r="AC9039" s="605">
        <v>1</v>
      </c>
      <c r="AD9039" s="605">
        <v>1</v>
      </c>
      <c r="AE9039" s="605">
        <v>1</v>
      </c>
      <c r="AF9039" s="605">
        <v>1</v>
      </c>
      <c r="AG9039" s="605">
        <v>1</v>
      </c>
      <c r="AH9039" s="605">
        <v>1</v>
      </c>
      <c r="AI9039" s="605">
        <v>1</v>
      </c>
      <c r="AJ9039" s="605">
        <v>1</v>
      </c>
      <c r="AK9039" s="132" t="s">
        <v>1387</v>
      </c>
      <c r="AL9039" s="142" t="str">
        <f t="shared" si="194"/>
        <v>Single unit long-haul truck</v>
      </c>
    </row>
    <row r="9040" spans="2:38">
      <c r="B9040" s="136" t="s">
        <v>1373</v>
      </c>
      <c r="C9040" s="132" t="s">
        <v>285</v>
      </c>
      <c r="D9040" s="1094">
        <v>1.2E-2</v>
      </c>
      <c r="E9040" s="1095">
        <v>1.2999999999999999E-2</v>
      </c>
      <c r="F9040" s="605">
        <v>1</v>
      </c>
      <c r="G9040" s="605">
        <v>0.95665006456373358</v>
      </c>
      <c r="H9040" s="605">
        <v>0.95665006456373358</v>
      </c>
      <c r="I9040" s="605">
        <v>0.95665006456373358</v>
      </c>
      <c r="J9040" s="605">
        <v>1.4995388304740824</v>
      </c>
      <c r="K9040" s="605">
        <v>1.4995388304740824</v>
      </c>
      <c r="L9040" s="605">
        <v>1.5746172292934884</v>
      </c>
      <c r="M9040" s="605">
        <v>1.574709463198672</v>
      </c>
      <c r="N9040" s="605">
        <v>1.574709463198672</v>
      </c>
      <c r="O9040" s="605">
        <v>1.574709463198672</v>
      </c>
      <c r="P9040" s="605">
        <v>1.5748016971038554</v>
      </c>
      <c r="Q9040" s="605">
        <v>1.5748016971038554</v>
      </c>
      <c r="R9040" s="605">
        <v>1.5748939310090391</v>
      </c>
      <c r="S9040" s="605">
        <v>1.5748939310090391</v>
      </c>
      <c r="T9040" s="605">
        <v>1.5749861649142227</v>
      </c>
      <c r="U9040" s="605">
        <v>1.5749861649142227</v>
      </c>
      <c r="V9040" s="605">
        <v>1.5750783988194059</v>
      </c>
      <c r="W9040" s="605">
        <v>1.5750783988194059</v>
      </c>
      <c r="X9040" s="605">
        <v>1.5751706327245896</v>
      </c>
      <c r="Y9040" s="605">
        <v>1.5752628666297732</v>
      </c>
      <c r="Z9040" s="605">
        <v>1.5753551005349569</v>
      </c>
      <c r="AA9040" s="605">
        <v>1.5754473344401403</v>
      </c>
      <c r="AB9040" s="605">
        <v>1.5754473344401403</v>
      </c>
      <c r="AC9040" s="605">
        <v>1.5756318022505076</v>
      </c>
      <c r="AD9040" s="605">
        <v>1.5757240361556908</v>
      </c>
      <c r="AE9040" s="605">
        <v>1.5758162700608744</v>
      </c>
      <c r="AF9040" s="605">
        <v>1.5759085039660581</v>
      </c>
      <c r="AG9040" s="605">
        <v>1.5760007378712417</v>
      </c>
      <c r="AH9040" s="605">
        <v>1.5761852056816086</v>
      </c>
      <c r="AI9040" s="605">
        <v>1.5762774395867922</v>
      </c>
      <c r="AJ9040" s="605">
        <v>1.5764619073971593</v>
      </c>
      <c r="AK9040" s="132" t="s">
        <v>1387</v>
      </c>
      <c r="AL9040" s="142" t="str">
        <f t="shared" si="194"/>
        <v>Single unit long-haul truck</v>
      </c>
    </row>
    <row r="9041" spans="2:38">
      <c r="B9041" s="136" t="s">
        <v>1373</v>
      </c>
      <c r="C9041" s="132" t="s">
        <v>1380</v>
      </c>
      <c r="D9041" s="1094">
        <v>5.8999999999999997E-2</v>
      </c>
      <c r="E9041" s="1095">
        <v>5.8999999999999997E-2</v>
      </c>
      <c r="F9041" s="605">
        <v>1</v>
      </c>
      <c r="G9041" s="605">
        <v>1</v>
      </c>
      <c r="H9041" s="605">
        <v>1</v>
      </c>
      <c r="I9041" s="605">
        <v>1</v>
      </c>
      <c r="J9041" s="605">
        <v>1</v>
      </c>
      <c r="K9041" s="605">
        <v>1</v>
      </c>
      <c r="L9041" s="605">
        <v>1</v>
      </c>
      <c r="M9041" s="605">
        <v>1</v>
      </c>
      <c r="N9041" s="605">
        <v>1</v>
      </c>
      <c r="O9041" s="605">
        <v>1</v>
      </c>
      <c r="P9041" s="605">
        <v>1</v>
      </c>
      <c r="Q9041" s="605">
        <v>1</v>
      </c>
      <c r="R9041" s="605">
        <v>1</v>
      </c>
      <c r="S9041" s="605">
        <v>1</v>
      </c>
      <c r="T9041" s="605">
        <v>1</v>
      </c>
      <c r="U9041" s="605">
        <v>1</v>
      </c>
      <c r="V9041" s="605">
        <v>1</v>
      </c>
      <c r="W9041" s="605">
        <v>1</v>
      </c>
      <c r="X9041" s="605">
        <v>1</v>
      </c>
      <c r="Y9041" s="605">
        <v>1</v>
      </c>
      <c r="Z9041" s="605">
        <v>1</v>
      </c>
      <c r="AA9041" s="605">
        <v>1</v>
      </c>
      <c r="AB9041" s="605">
        <v>1</v>
      </c>
      <c r="AC9041" s="605">
        <v>1</v>
      </c>
      <c r="AD9041" s="605">
        <v>1</v>
      </c>
      <c r="AE9041" s="605">
        <v>1</v>
      </c>
      <c r="AF9041" s="605">
        <v>1</v>
      </c>
      <c r="AG9041" s="605">
        <v>1</v>
      </c>
      <c r="AH9041" s="605">
        <v>1</v>
      </c>
      <c r="AI9041" s="605">
        <v>1</v>
      </c>
      <c r="AJ9041" s="605">
        <v>1</v>
      </c>
      <c r="AK9041" s="132" t="s">
        <v>1387</v>
      </c>
      <c r="AL9041" s="142" t="str">
        <f t="shared" si="194"/>
        <v>Single unit long-haul truck</v>
      </c>
    </row>
    <row r="9042" spans="2:38">
      <c r="B9042" s="136" t="s">
        <v>1373</v>
      </c>
      <c r="C9042" s="132" t="s">
        <v>281</v>
      </c>
      <c r="D9042" s="1094">
        <v>6.8000000000000005E-2</v>
      </c>
      <c r="E9042" s="1095">
        <v>6.9000000000000006E-2</v>
      </c>
      <c r="F9042" s="605">
        <v>1</v>
      </c>
      <c r="G9042" s="605">
        <v>1.0020553092933724</v>
      </c>
      <c r="H9042" s="605">
        <v>1.0067027623970426</v>
      </c>
      <c r="I9042" s="605">
        <v>1.0149853520867522</v>
      </c>
      <c r="J9042" s="605">
        <v>1.1323373774866941</v>
      </c>
      <c r="K9042" s="605">
        <v>1.1435955642130773</v>
      </c>
      <c r="L9042" s="605">
        <v>1.1762504409712102</v>
      </c>
      <c r="M9042" s="605">
        <v>1.1890424406030951</v>
      </c>
      <c r="N9042" s="605">
        <v>1.204303879012838</v>
      </c>
      <c r="O9042" s="605">
        <v>1.2193505836158105</v>
      </c>
      <c r="P9042" s="605">
        <v>1.2369894320290811</v>
      </c>
      <c r="Q9042" s="605">
        <v>1.2572664386398147</v>
      </c>
      <c r="R9042" s="605">
        <v>1.2795374020277006</v>
      </c>
      <c r="S9042" s="605">
        <v>1.3005813150911849</v>
      </c>
      <c r="T9042" s="605">
        <v>1.3240639906744174</v>
      </c>
      <c r="U9042" s="605">
        <v>1.3488197309692163</v>
      </c>
      <c r="V9042" s="605">
        <v>1.3778241330122549</v>
      </c>
      <c r="W9042" s="605">
        <v>1.4050493120849119</v>
      </c>
      <c r="X9042" s="605">
        <v>1.4364924766476985</v>
      </c>
      <c r="Y9042" s="605">
        <v>1.4731506050891912</v>
      </c>
      <c r="Z9042" s="605">
        <v>1.5103148917894993</v>
      </c>
      <c r="AA9042" s="605">
        <v>1.5477092504256329</v>
      </c>
      <c r="AB9042" s="605">
        <v>1.5913922419743238</v>
      </c>
      <c r="AC9042" s="605">
        <v>1.6416399527585623</v>
      </c>
      <c r="AD9042" s="605">
        <v>1.6910747427028849</v>
      </c>
      <c r="AE9042" s="605">
        <v>1.7362915471570777</v>
      </c>
      <c r="AF9042" s="605">
        <v>1.8020000920287742</v>
      </c>
      <c r="AG9042" s="605">
        <v>1.8638127521204961</v>
      </c>
      <c r="AH9042" s="605">
        <v>1.9361627068730156</v>
      </c>
      <c r="AI9042" s="605">
        <v>1.9990643741276439</v>
      </c>
      <c r="AJ9042" s="605">
        <v>2.0712149332024477</v>
      </c>
      <c r="AK9042" s="132" t="s">
        <v>1387</v>
      </c>
      <c r="AL9042" s="142" t="str">
        <f t="shared" si="194"/>
        <v>Single unit long-haul truck</v>
      </c>
    </row>
    <row r="9043" spans="2:38">
      <c r="B9043" s="136" t="s">
        <v>1373</v>
      </c>
      <c r="C9043" s="132" t="s">
        <v>1384</v>
      </c>
      <c r="D9043" s="1094">
        <v>2.3E-2</v>
      </c>
      <c r="E9043" s="1095">
        <v>2.1999999999999999E-2</v>
      </c>
      <c r="F9043" s="605">
        <v>1</v>
      </c>
      <c r="G9043" s="605">
        <v>1</v>
      </c>
      <c r="H9043" s="605">
        <v>1</v>
      </c>
      <c r="I9043" s="605">
        <v>1</v>
      </c>
      <c r="J9043" s="605">
        <v>1</v>
      </c>
      <c r="K9043" s="605">
        <v>1</v>
      </c>
      <c r="L9043" s="605">
        <v>1</v>
      </c>
      <c r="M9043" s="605">
        <v>1</v>
      </c>
      <c r="N9043" s="605">
        <v>1</v>
      </c>
      <c r="O9043" s="605">
        <v>1</v>
      </c>
      <c r="P9043" s="605">
        <v>1</v>
      </c>
      <c r="Q9043" s="605">
        <v>1</v>
      </c>
      <c r="R9043" s="605">
        <v>1</v>
      </c>
      <c r="S9043" s="605">
        <v>1</v>
      </c>
      <c r="T9043" s="605">
        <v>1</v>
      </c>
      <c r="U9043" s="605">
        <v>1</v>
      </c>
      <c r="V9043" s="605">
        <v>1</v>
      </c>
      <c r="W9043" s="605">
        <v>1</v>
      </c>
      <c r="X9043" s="605">
        <v>1</v>
      </c>
      <c r="Y9043" s="605">
        <v>1</v>
      </c>
      <c r="Z9043" s="605">
        <v>1</v>
      </c>
      <c r="AA9043" s="605">
        <v>1</v>
      </c>
      <c r="AB9043" s="605">
        <v>1</v>
      </c>
      <c r="AC9043" s="605">
        <v>1</v>
      </c>
      <c r="AD9043" s="605">
        <v>1</v>
      </c>
      <c r="AE9043" s="605">
        <v>1</v>
      </c>
      <c r="AF9043" s="605">
        <v>1</v>
      </c>
      <c r="AG9043" s="605">
        <v>1</v>
      </c>
      <c r="AH9043" s="605">
        <v>1</v>
      </c>
      <c r="AI9043" s="605">
        <v>1</v>
      </c>
      <c r="AJ9043" s="605">
        <v>1</v>
      </c>
      <c r="AK9043" s="132" t="s">
        <v>1387</v>
      </c>
      <c r="AL9043" s="142" t="str">
        <f t="shared" si="194"/>
        <v>Single unit long-haul truck</v>
      </c>
    </row>
    <row r="9044" spans="2:38">
      <c r="B9044" s="136" t="s">
        <v>1374</v>
      </c>
      <c r="C9044" s="132" t="s">
        <v>282</v>
      </c>
      <c r="D9044" s="1094">
        <v>15.994999999999999</v>
      </c>
      <c r="E9044" s="1095">
        <v>16.045999999999999</v>
      </c>
      <c r="F9044" s="605">
        <v>1</v>
      </c>
      <c r="G9044" s="605">
        <v>1.0024795463112137</v>
      </c>
      <c r="H9044" s="605">
        <v>1.0044156511958227</v>
      </c>
      <c r="I9044" s="605">
        <v>1.0307265036907751</v>
      </c>
      <c r="J9044" s="605">
        <v>1.2125020761710172</v>
      </c>
      <c r="K9044" s="605">
        <v>1.2604057277705945</v>
      </c>
      <c r="L9044" s="605">
        <v>2.2770326084850634</v>
      </c>
      <c r="M9044" s="605">
        <v>2.3395010694736982</v>
      </c>
      <c r="N9044" s="605">
        <v>2.6339173225781298</v>
      </c>
      <c r="O9044" s="605">
        <v>2.7245370423038331</v>
      </c>
      <c r="P9044" s="605">
        <v>2.822439097776916</v>
      </c>
      <c r="Q9044" s="605">
        <v>2.9448726866766459</v>
      </c>
      <c r="R9044" s="605">
        <v>3.0793529282509078</v>
      </c>
      <c r="S9044" s="605">
        <v>3.206067169829169</v>
      </c>
      <c r="T9044" s="605">
        <v>3.3476397288088005</v>
      </c>
      <c r="U9044" s="605">
        <v>3.497102461599368</v>
      </c>
      <c r="V9044" s="605">
        <v>3.6725012501841752</v>
      </c>
      <c r="W9044" s="605">
        <v>3.8364236479619258</v>
      </c>
      <c r="X9044" s="605">
        <v>4.0264437136506324</v>
      </c>
      <c r="Y9044" s="605">
        <v>4.2486403105158947</v>
      </c>
      <c r="Z9044" s="605">
        <v>4.4735878986170778</v>
      </c>
      <c r="AA9044" s="605">
        <v>4.6993230010515132</v>
      </c>
      <c r="AB9044" s="605">
        <v>4.9633520393842661</v>
      </c>
      <c r="AC9044" s="605">
        <v>5.2678258199212165</v>
      </c>
      <c r="AD9044" s="605">
        <v>5.5673063100499505</v>
      </c>
      <c r="AE9044" s="605">
        <v>5.8395534348331886</v>
      </c>
      <c r="AF9044" s="605">
        <v>6.243442798653021</v>
      </c>
      <c r="AG9044" s="605">
        <v>6.6233584114797557</v>
      </c>
      <c r="AH9044" s="605">
        <v>7.0681208861390923</v>
      </c>
      <c r="AI9044" s="605">
        <v>7.4546643194299334</v>
      </c>
      <c r="AJ9044" s="605">
        <v>7.8982013274670333</v>
      </c>
      <c r="AK9044" s="132" t="s">
        <v>1388</v>
      </c>
      <c r="AL9044" s="142" t="str">
        <f t="shared" si="194"/>
        <v>Single unit long-haul truck</v>
      </c>
    </row>
    <row r="9045" spans="2:38">
      <c r="B9045" s="136" t="s">
        <v>1374</v>
      </c>
      <c r="C9045" s="132" t="s">
        <v>283</v>
      </c>
      <c r="D9045" s="1094">
        <v>0.66600000000000004</v>
      </c>
      <c r="E9045" s="1095">
        <v>0.48599999999999999</v>
      </c>
      <c r="F9045" s="605">
        <v>1</v>
      </c>
      <c r="G9045" s="605">
        <v>0.99993242870589283</v>
      </c>
      <c r="H9045" s="605">
        <v>0.97438390502909389</v>
      </c>
      <c r="I9045" s="605">
        <v>0.97466222571076777</v>
      </c>
      <c r="J9045" s="605">
        <v>0.97574190541552874</v>
      </c>
      <c r="K9045" s="605">
        <v>0.97618349295377493</v>
      </c>
      <c r="L9045" s="605">
        <v>1.2369750851854868</v>
      </c>
      <c r="M9045" s="605">
        <v>1.2375456060578942</v>
      </c>
      <c r="N9045" s="605">
        <v>1.2392359841612886</v>
      </c>
      <c r="O9045" s="605">
        <v>1.2399854776505206</v>
      </c>
      <c r="P9045" s="605">
        <v>1.2408576952198604</v>
      </c>
      <c r="Q9045" s="605">
        <v>1.2418665163783684</v>
      </c>
      <c r="R9045" s="605">
        <v>1.2429710330993418</v>
      </c>
      <c r="S9045" s="605">
        <v>1.2440171097821682</v>
      </c>
      <c r="T9045" s="605">
        <v>1.2451848147943878</v>
      </c>
      <c r="U9045" s="605">
        <v>1.2464138818466612</v>
      </c>
      <c r="V9045" s="605">
        <v>1.2478522372855478</v>
      </c>
      <c r="W9045" s="605">
        <v>1.2492095071715057</v>
      </c>
      <c r="X9045" s="605">
        <v>1.2507669341881162</v>
      </c>
      <c r="Y9045" s="605">
        <v>1.2525924548797249</v>
      </c>
      <c r="Z9045" s="605">
        <v>1.2544336813315855</v>
      </c>
      <c r="AA9045" s="605">
        <v>1.2562939007958436</v>
      </c>
      <c r="AB9045" s="605">
        <v>1.2584649482129948</v>
      </c>
      <c r="AC9045" s="605">
        <v>1.2609596073413836</v>
      </c>
      <c r="AD9045" s="605">
        <v>1.2634111669416392</v>
      </c>
      <c r="AE9045" s="605">
        <v>1.265663299911719</v>
      </c>
      <c r="AF9045" s="605">
        <v>1.2689271760422141</v>
      </c>
      <c r="AG9045" s="605">
        <v>1.2719967390458713</v>
      </c>
      <c r="AH9045" s="605">
        <v>1.2755937233938028</v>
      </c>
      <c r="AI9045" s="605">
        <v>1.2787151519313154</v>
      </c>
      <c r="AJ9045" s="605">
        <v>1.2822993525209023</v>
      </c>
      <c r="AK9045" s="132" t="s">
        <v>1388</v>
      </c>
      <c r="AL9045" s="142" t="str">
        <f t="shared" si="194"/>
        <v>Single unit long-haul truck</v>
      </c>
    </row>
    <row r="9046" spans="2:38">
      <c r="B9046" s="136" t="s">
        <v>1374</v>
      </c>
      <c r="C9046" s="132" t="s">
        <v>284</v>
      </c>
      <c r="D9046" s="1094">
        <v>1.7000000000000001E-2</v>
      </c>
      <c r="E9046" s="1095">
        <v>1.7000000000000001E-2</v>
      </c>
      <c r="F9046" s="605">
        <v>1</v>
      </c>
      <c r="G9046" s="605">
        <v>1.0021403091557668</v>
      </c>
      <c r="H9046" s="605">
        <v>1.0066587395957192</v>
      </c>
      <c r="I9046" s="605">
        <v>1.0154577883472058</v>
      </c>
      <c r="J9046" s="605">
        <v>1.5971462544589772</v>
      </c>
      <c r="K9046" s="605">
        <v>1.6159334126040426</v>
      </c>
      <c r="L9046" s="605">
        <v>1.8261593341260403</v>
      </c>
      <c r="M9046" s="605">
        <v>1.8499405469678953</v>
      </c>
      <c r="N9046" s="605">
        <v>2.0972651605231865</v>
      </c>
      <c r="O9046" s="605">
        <v>2.1284185493460162</v>
      </c>
      <c r="P9046" s="605">
        <v>2.6263971462544586</v>
      </c>
      <c r="Q9046" s="605">
        <v>2.6777645659928653</v>
      </c>
      <c r="R9046" s="605">
        <v>2.7341260404280616</v>
      </c>
      <c r="S9046" s="605">
        <v>2.7873959571938167</v>
      </c>
      <c r="T9046" s="605">
        <v>2.8468489892984543</v>
      </c>
      <c r="U9046" s="605">
        <v>3.8356718192627821</v>
      </c>
      <c r="V9046" s="605">
        <v>3.93269916765755</v>
      </c>
      <c r="W9046" s="605">
        <v>4.0237812128418549</v>
      </c>
      <c r="X9046" s="605">
        <v>4.1286563614744347</v>
      </c>
      <c r="Y9046" s="605">
        <v>4.2513674197384068</v>
      </c>
      <c r="Z9046" s="605">
        <v>5.7714625445897729</v>
      </c>
      <c r="AA9046" s="605">
        <v>5.9365041617122465</v>
      </c>
      <c r="AB9046" s="605">
        <v>6.1291319857312718</v>
      </c>
      <c r="AC9046" s="605">
        <v>6.3510107015457784</v>
      </c>
      <c r="AD9046" s="605">
        <v>6.5690844233055881</v>
      </c>
      <c r="AE9046" s="605">
        <v>6.7686087990487511</v>
      </c>
      <c r="AF9046" s="605">
        <v>7.0585017835909625</v>
      </c>
      <c r="AG9046" s="605">
        <v>7.3312722948870386</v>
      </c>
      <c r="AH9046" s="605">
        <v>7.6506539833531502</v>
      </c>
      <c r="AI9046" s="605">
        <v>7.9281807372175974</v>
      </c>
      <c r="AJ9046" s="605">
        <v>8.2466111771700348</v>
      </c>
      <c r="AK9046" s="132" t="s">
        <v>1388</v>
      </c>
      <c r="AL9046" s="142" t="str">
        <f t="shared" si="194"/>
        <v>Single unit long-haul truck</v>
      </c>
    </row>
    <row r="9047" spans="2:38">
      <c r="B9047" s="136" t="s">
        <v>1374</v>
      </c>
      <c r="C9047" s="132" t="s">
        <v>1379</v>
      </c>
      <c r="D9047" s="1094">
        <v>6.3E-2</v>
      </c>
      <c r="E9047" s="1095">
        <v>6.3E-2</v>
      </c>
      <c r="F9047" s="605">
        <v>1</v>
      </c>
      <c r="G9047" s="605">
        <v>1.0000643531701978</v>
      </c>
      <c r="H9047" s="605">
        <v>1.0058239619029232</v>
      </c>
      <c r="I9047" s="605">
        <v>1.0058239619029232</v>
      </c>
      <c r="J9047" s="605">
        <v>1.0058239619029232</v>
      </c>
      <c r="K9047" s="605">
        <v>1.0058239619029232</v>
      </c>
      <c r="L9047" s="605">
        <v>1.0058239619029232</v>
      </c>
      <c r="M9047" s="605">
        <v>1.0058239619029232</v>
      </c>
      <c r="N9047" s="605">
        <v>1.0058239619029232</v>
      </c>
      <c r="O9047" s="605">
        <v>1.0058239619029232</v>
      </c>
      <c r="P9047" s="605">
        <v>1.0058239619029232</v>
      </c>
      <c r="Q9047" s="605">
        <v>1.0058239619029232</v>
      </c>
      <c r="R9047" s="605">
        <v>1.0058239619029232</v>
      </c>
      <c r="S9047" s="605">
        <v>1.0058239619029232</v>
      </c>
      <c r="T9047" s="605">
        <v>1.0058239619029232</v>
      </c>
      <c r="U9047" s="605">
        <v>1.0058239619029232</v>
      </c>
      <c r="V9047" s="605">
        <v>1.0058239619029232</v>
      </c>
      <c r="W9047" s="605">
        <v>1.0058239619029232</v>
      </c>
      <c r="X9047" s="605">
        <v>1.0058239619029232</v>
      </c>
      <c r="Y9047" s="605">
        <v>1.0058239619029232</v>
      </c>
      <c r="Z9047" s="605">
        <v>1.0058239619029232</v>
      </c>
      <c r="AA9047" s="605">
        <v>1.0058239619029232</v>
      </c>
      <c r="AB9047" s="605">
        <v>1.0058239619029232</v>
      </c>
      <c r="AC9047" s="605">
        <v>1.0058239619029232</v>
      </c>
      <c r="AD9047" s="605">
        <v>1.0058239619029232</v>
      </c>
      <c r="AE9047" s="605">
        <v>1.0058239619029232</v>
      </c>
      <c r="AF9047" s="605">
        <v>1.0058239619029232</v>
      </c>
      <c r="AG9047" s="605">
        <v>1.0058239619029232</v>
      </c>
      <c r="AH9047" s="605">
        <v>1.0058239619029232</v>
      </c>
      <c r="AI9047" s="605">
        <v>1.0058239619029232</v>
      </c>
      <c r="AJ9047" s="605">
        <v>1.0058239619029232</v>
      </c>
      <c r="AK9047" s="132" t="s">
        <v>1388</v>
      </c>
      <c r="AL9047" s="142" t="str">
        <f t="shared" si="194"/>
        <v>Single unit long-haul truck</v>
      </c>
    </row>
    <row r="9048" spans="2:38">
      <c r="B9048" s="136" t="s">
        <v>1374</v>
      </c>
      <c r="C9048" s="132" t="s">
        <v>285</v>
      </c>
      <c r="D9048" s="1094">
        <v>1.4999999999999999E-2</v>
      </c>
      <c r="E9048" s="1095">
        <v>1.4999999999999999E-2</v>
      </c>
      <c r="F9048" s="605">
        <v>1</v>
      </c>
      <c r="G9048" s="605">
        <v>1.0023243801652892</v>
      </c>
      <c r="H9048" s="605">
        <v>1.0064566115702478</v>
      </c>
      <c r="I9048" s="605">
        <v>1.015495867768595</v>
      </c>
      <c r="J9048" s="605">
        <v>1.5971074380165289</v>
      </c>
      <c r="K9048" s="605">
        <v>1.615960743801653</v>
      </c>
      <c r="L9048" s="605">
        <v>1.8261880165289257</v>
      </c>
      <c r="M9048" s="605">
        <v>1.8499483471074381</v>
      </c>
      <c r="N9048" s="605">
        <v>2.0971074380165291</v>
      </c>
      <c r="O9048" s="605">
        <v>2.1286157024793386</v>
      </c>
      <c r="P9048" s="605">
        <v>2.6262913223140494</v>
      </c>
      <c r="Q9048" s="605">
        <v>2.6776859504132231</v>
      </c>
      <c r="R9048" s="605">
        <v>2.7339876033057853</v>
      </c>
      <c r="S9048" s="605">
        <v>2.7874483471074383</v>
      </c>
      <c r="T9048" s="605">
        <v>2.8468491735537191</v>
      </c>
      <c r="U9048" s="605">
        <v>3.8357438016528929</v>
      </c>
      <c r="V9048" s="605">
        <v>3.9325929752066116</v>
      </c>
      <c r="W9048" s="605">
        <v>4.0237603305785123</v>
      </c>
      <c r="X9048" s="605">
        <v>4.128873966942149</v>
      </c>
      <c r="Y9048" s="605">
        <v>4.2512913223140494</v>
      </c>
      <c r="Z9048" s="605">
        <v>5.7714359504132231</v>
      </c>
      <c r="AA9048" s="605">
        <v>5.9364669421487601</v>
      </c>
      <c r="AB9048" s="605">
        <v>6.1291322314049586</v>
      </c>
      <c r="AC9048" s="605">
        <v>6.3509814049586772</v>
      </c>
      <c r="AD9048" s="605">
        <v>6.5692148760330582</v>
      </c>
      <c r="AE9048" s="605">
        <v>6.7685950413223139</v>
      </c>
      <c r="AF9048" s="605">
        <v>7.0586260330578519</v>
      </c>
      <c r="AG9048" s="605">
        <v>7.3313533057851235</v>
      </c>
      <c r="AH9048" s="605">
        <v>7.6505681818181817</v>
      </c>
      <c r="AI9048" s="605">
        <v>7.928202479338843</v>
      </c>
      <c r="AJ9048" s="605">
        <v>8.2466425619834709</v>
      </c>
      <c r="AK9048" s="132" t="s">
        <v>1388</v>
      </c>
      <c r="AL9048" s="142" t="str">
        <f t="shared" si="194"/>
        <v>Single unit long-haul truck</v>
      </c>
    </row>
    <row r="9049" spans="2:38">
      <c r="B9049" s="136" t="s">
        <v>1374</v>
      </c>
      <c r="C9049" s="132" t="s">
        <v>1380</v>
      </c>
      <c r="D9049" s="1094">
        <v>1.6E-2</v>
      </c>
      <c r="E9049" s="1095">
        <v>1.6E-2</v>
      </c>
      <c r="F9049" s="605">
        <v>1</v>
      </c>
      <c r="G9049" s="605">
        <v>1.0000622975330178</v>
      </c>
      <c r="H9049" s="605">
        <v>1.0058559681036632</v>
      </c>
      <c r="I9049" s="605">
        <v>1.0058559681036632</v>
      </c>
      <c r="J9049" s="605">
        <v>1.0058559681036632</v>
      </c>
      <c r="K9049" s="605">
        <v>1.0058559681036632</v>
      </c>
      <c r="L9049" s="605">
        <v>1.0058559681036632</v>
      </c>
      <c r="M9049" s="605">
        <v>1.0058559681036632</v>
      </c>
      <c r="N9049" s="605">
        <v>1.0058559681036632</v>
      </c>
      <c r="O9049" s="605">
        <v>1.0058559681036632</v>
      </c>
      <c r="P9049" s="605">
        <v>1.0058559681036632</v>
      </c>
      <c r="Q9049" s="605">
        <v>1.0058559681036632</v>
      </c>
      <c r="R9049" s="605">
        <v>1.0058559681036632</v>
      </c>
      <c r="S9049" s="605">
        <v>1.0058559681036632</v>
      </c>
      <c r="T9049" s="605">
        <v>1.0058559681036632</v>
      </c>
      <c r="U9049" s="605">
        <v>1.0058559681036632</v>
      </c>
      <c r="V9049" s="605">
        <v>1.0058559681036632</v>
      </c>
      <c r="W9049" s="605">
        <v>1.0058559681036632</v>
      </c>
      <c r="X9049" s="605">
        <v>1.0058559681036632</v>
      </c>
      <c r="Y9049" s="605">
        <v>1.0058559681036632</v>
      </c>
      <c r="Z9049" s="605">
        <v>1.0058559681036632</v>
      </c>
      <c r="AA9049" s="605">
        <v>1.0058559681036632</v>
      </c>
      <c r="AB9049" s="605">
        <v>1.0058559681036632</v>
      </c>
      <c r="AC9049" s="605">
        <v>1.0058559681036632</v>
      </c>
      <c r="AD9049" s="605">
        <v>1.0058559681036632</v>
      </c>
      <c r="AE9049" s="605">
        <v>1.0058559681036632</v>
      </c>
      <c r="AF9049" s="605">
        <v>1.0058559681036632</v>
      </c>
      <c r="AG9049" s="605">
        <v>1.0058559681036632</v>
      </c>
      <c r="AH9049" s="605">
        <v>1.0058559681036632</v>
      </c>
      <c r="AI9049" s="605">
        <v>1.0058559681036632</v>
      </c>
      <c r="AJ9049" s="605">
        <v>1.0058559681036632</v>
      </c>
      <c r="AK9049" s="132" t="s">
        <v>1388</v>
      </c>
      <c r="AL9049" s="142" t="str">
        <f t="shared" si="194"/>
        <v>Single unit long-haul truck</v>
      </c>
    </row>
    <row r="9050" spans="2:38">
      <c r="B9050" s="136" t="s">
        <v>1374</v>
      </c>
      <c r="C9050" s="132" t="s">
        <v>281</v>
      </c>
      <c r="D9050" s="1094">
        <v>0.13400000000000001</v>
      </c>
      <c r="E9050" s="1095">
        <v>0.128</v>
      </c>
      <c r="F9050" s="605">
        <v>1</v>
      </c>
      <c r="G9050" s="605">
        <v>1.0110806877870513</v>
      </c>
      <c r="H9050" s="605">
        <v>1.0211936939413599</v>
      </c>
      <c r="I9050" s="605">
        <v>1.024076578805573</v>
      </c>
      <c r="J9050" s="605">
        <v>1.0379558458600453</v>
      </c>
      <c r="K9050" s="605">
        <v>1.0427044502358724</v>
      </c>
      <c r="L9050" s="605">
        <v>2.0695667791963115</v>
      </c>
      <c r="M9050" s="605">
        <v>2.0784811796918818</v>
      </c>
      <c r="N9050" s="605">
        <v>2.0714031750220845</v>
      </c>
      <c r="O9050" s="605">
        <v>2.081331075409524</v>
      </c>
      <c r="P9050" s="605">
        <v>2.1118881887858896</v>
      </c>
      <c r="Q9050" s="605">
        <v>2.126018539900373</v>
      </c>
      <c r="R9050" s="605">
        <v>2.1415381006315592</v>
      </c>
      <c r="S9050" s="605">
        <v>2.1561944453608097</v>
      </c>
      <c r="T9050" s="605">
        <v>2.1725607275206458</v>
      </c>
      <c r="U9050" s="605">
        <v>2.189810385716433</v>
      </c>
      <c r="V9050" s="605">
        <v>2.2100180707213997</v>
      </c>
      <c r="W9050" s="605">
        <v>2.2289959936514223</v>
      </c>
      <c r="X9050" s="605">
        <v>2.2509007869744186</v>
      </c>
      <c r="Y9050" s="605">
        <v>2.2764490482631214</v>
      </c>
      <c r="Z9050" s="605">
        <v>2.3023436955908174</v>
      </c>
      <c r="AA9050" s="605">
        <v>2.328399623190637</v>
      </c>
      <c r="AB9050" s="605">
        <v>2.3588376090932752</v>
      </c>
      <c r="AC9050" s="605">
        <v>2.3938482572566961</v>
      </c>
      <c r="AD9050" s="605">
        <v>2.4282962571980486</v>
      </c>
      <c r="AE9050" s="605">
        <v>2.459800892173142</v>
      </c>
      <c r="AF9050" s="605">
        <v>2.505584329422287</v>
      </c>
      <c r="AG9050" s="605">
        <v>2.5486516602704379</v>
      </c>
      <c r="AH9050" s="605">
        <v>2.5990719053431421</v>
      </c>
      <c r="AI9050" s="605">
        <v>2.6428888229105962</v>
      </c>
      <c r="AJ9050" s="605">
        <v>2.693167947745192</v>
      </c>
      <c r="AK9050" s="132" t="s">
        <v>1388</v>
      </c>
      <c r="AL9050" s="142" t="str">
        <f t="shared" si="194"/>
        <v>Single unit long-haul truck</v>
      </c>
    </row>
    <row r="9051" spans="2:38">
      <c r="B9051" s="136" t="s">
        <v>1374</v>
      </c>
      <c r="C9051" s="132" t="s">
        <v>1384</v>
      </c>
      <c r="D9051" s="1094">
        <v>0.35899999999999999</v>
      </c>
      <c r="E9051" s="1095">
        <v>0.32800000000000001</v>
      </c>
      <c r="F9051" s="605">
        <v>1</v>
      </c>
      <c r="G9051" s="605">
        <v>1</v>
      </c>
      <c r="H9051" s="605">
        <v>1</v>
      </c>
      <c r="I9051" s="605">
        <v>1</v>
      </c>
      <c r="J9051" s="605">
        <v>1</v>
      </c>
      <c r="K9051" s="605">
        <v>1</v>
      </c>
      <c r="L9051" s="605">
        <v>1</v>
      </c>
      <c r="M9051" s="605">
        <v>1</v>
      </c>
      <c r="N9051" s="605">
        <v>1</v>
      </c>
      <c r="O9051" s="605">
        <v>1</v>
      </c>
      <c r="P9051" s="605">
        <v>1</v>
      </c>
      <c r="Q9051" s="605">
        <v>1</v>
      </c>
      <c r="R9051" s="605">
        <v>1</v>
      </c>
      <c r="S9051" s="605">
        <v>1</v>
      </c>
      <c r="T9051" s="605">
        <v>1</v>
      </c>
      <c r="U9051" s="605">
        <v>1</v>
      </c>
      <c r="V9051" s="605">
        <v>1</v>
      </c>
      <c r="W9051" s="605">
        <v>1</v>
      </c>
      <c r="X9051" s="605">
        <v>1</v>
      </c>
      <c r="Y9051" s="605">
        <v>1</v>
      </c>
      <c r="Z9051" s="605">
        <v>1</v>
      </c>
      <c r="AA9051" s="605">
        <v>1</v>
      </c>
      <c r="AB9051" s="605">
        <v>1</v>
      </c>
      <c r="AC9051" s="605">
        <v>1</v>
      </c>
      <c r="AD9051" s="605">
        <v>1</v>
      </c>
      <c r="AE9051" s="605">
        <v>1</v>
      </c>
      <c r="AF9051" s="605">
        <v>1</v>
      </c>
      <c r="AG9051" s="605">
        <v>1</v>
      </c>
      <c r="AH9051" s="605">
        <v>1</v>
      </c>
      <c r="AI9051" s="605">
        <v>1</v>
      </c>
      <c r="AJ9051" s="605">
        <v>1</v>
      </c>
      <c r="AK9051" s="132" t="s">
        <v>1388</v>
      </c>
      <c r="AL9051" s="142" t="str">
        <f t="shared" si="194"/>
        <v>Single unit long-haul truck</v>
      </c>
    </row>
    <row r="9052" spans="2:38">
      <c r="B9052" s="136" t="s">
        <v>1375</v>
      </c>
      <c r="C9052" s="132" t="s">
        <v>282</v>
      </c>
      <c r="D9052" s="1094">
        <v>0.89600000000000002</v>
      </c>
      <c r="E9052" s="1095">
        <v>0.91600000000000004</v>
      </c>
      <c r="F9052" s="605">
        <v>1</v>
      </c>
      <c r="G9052" s="605">
        <v>1.0217399931110127</v>
      </c>
      <c r="H9052" s="605">
        <v>1.056759541009316</v>
      </c>
      <c r="I9052" s="605">
        <v>1.1088761585482969</v>
      </c>
      <c r="J9052" s="605">
        <v>1.2693260697375044</v>
      </c>
      <c r="K9052" s="605">
        <v>1.3415255138565474</v>
      </c>
      <c r="L9052" s="605">
        <v>1.4401348590694154</v>
      </c>
      <c r="M9052" s="605">
        <v>1.5290662882485624</v>
      </c>
      <c r="N9052" s="605">
        <v>1.6265787923954469</v>
      </c>
      <c r="O9052" s="605">
        <v>1.7412804309902841</v>
      </c>
      <c r="P9052" s="605">
        <v>1.8636821795866925</v>
      </c>
      <c r="Q9052" s="605">
        <v>2.0109985698208388</v>
      </c>
      <c r="R9052" s="605">
        <v>2.17310723486526</v>
      </c>
      <c r="S9052" s="605">
        <v>2.3400635882099903</v>
      </c>
      <c r="T9052" s="605">
        <v>2.5232773166600793</v>
      </c>
      <c r="U9052" s="605">
        <v>2.7288691425750526</v>
      </c>
      <c r="V9052" s="605">
        <v>2.9598835538920398</v>
      </c>
      <c r="W9052" s="605">
        <v>3.2185729637407521</v>
      </c>
      <c r="X9052" s="605">
        <v>3.4697622664450765</v>
      </c>
      <c r="Y9052" s="605">
        <v>3.7721443639671044</v>
      </c>
      <c r="Z9052" s="605">
        <v>4.141192493226094</v>
      </c>
      <c r="AA9052" s="605">
        <v>4.4824799084431364</v>
      </c>
      <c r="AB9052" s="605">
        <v>4.897895366759208</v>
      </c>
      <c r="AC9052" s="605">
        <v>5.3106711048253068</v>
      </c>
      <c r="AD9052" s="605">
        <v>5.8143830626151809</v>
      </c>
      <c r="AE9052" s="605">
        <v>6.4354062200888595</v>
      </c>
      <c r="AF9052" s="605">
        <v>7.0490483197379019</v>
      </c>
      <c r="AG9052" s="605">
        <v>7.6009323942722995</v>
      </c>
      <c r="AH9052" s="605">
        <v>8.5038818014860542</v>
      </c>
      <c r="AI9052" s="605">
        <v>9.3502669085748842</v>
      </c>
      <c r="AJ9052" s="605">
        <v>10.023052710276815</v>
      </c>
      <c r="AK9052" s="132" t="s">
        <v>1387</v>
      </c>
      <c r="AL9052" s="142" t="str">
        <f t="shared" si="194"/>
        <v>Single unit short-haul truck</v>
      </c>
    </row>
    <row r="9053" spans="2:38">
      <c r="B9053" s="136" t="s">
        <v>1375</v>
      </c>
      <c r="C9053" s="132" t="s">
        <v>283</v>
      </c>
      <c r="D9053" s="1094">
        <v>0.82199999999999995</v>
      </c>
      <c r="E9053" s="1095">
        <v>0.82299999999999995</v>
      </c>
      <c r="F9053" s="605">
        <v>1</v>
      </c>
      <c r="G9053" s="605">
        <v>1.0027030196827851</v>
      </c>
      <c r="H9053" s="605">
        <v>1.0070535153743732</v>
      </c>
      <c r="I9053" s="605">
        <v>1.0135302761660998</v>
      </c>
      <c r="J9053" s="605">
        <v>1.5161663757597501</v>
      </c>
      <c r="K9053" s="605">
        <v>1.5251350474994654</v>
      </c>
      <c r="L9053" s="605">
        <v>1.6165230529358603</v>
      </c>
      <c r="M9053" s="605">
        <v>1.6275807352931031</v>
      </c>
      <c r="N9053" s="605">
        <v>1.6396994805069369</v>
      </c>
      <c r="O9053" s="605">
        <v>1.6539555291861276</v>
      </c>
      <c r="P9053" s="605">
        <v>1.6691663964566847</v>
      </c>
      <c r="Q9053" s="605">
        <v>1.6874762847622269</v>
      </c>
      <c r="R9053" s="605">
        <v>1.7076185416939751</v>
      </c>
      <c r="S9053" s="605">
        <v>1.7283706683040243</v>
      </c>
      <c r="T9053" s="605">
        <v>1.7511414359533355</v>
      </c>
      <c r="U9053" s="605">
        <v>1.7766924918419584</v>
      </c>
      <c r="V9053" s="605">
        <v>1.8054018999786132</v>
      </c>
      <c r="W9053" s="605">
        <v>1.8375483790850577</v>
      </c>
      <c r="X9053" s="605">
        <v>1.8687662557175284</v>
      </c>
      <c r="Y9053" s="605">
        <v>1.9063477498982402</v>
      </c>
      <c r="Z9053" s="605">
        <v>1.952206638196883</v>
      </c>
      <c r="AA9053" s="605">
        <v>1.9946256959344322</v>
      </c>
      <c r="AB9053" s="605">
        <v>2.0462521300595382</v>
      </c>
      <c r="AC9053" s="605">
        <v>2.0975474132281011</v>
      </c>
      <c r="AD9053" s="605">
        <v>2.1601473621756617</v>
      </c>
      <c r="AE9053" s="605">
        <v>2.2373276117806951</v>
      </c>
      <c r="AF9053" s="605">
        <v>2.3135889174813213</v>
      </c>
      <c r="AG9053" s="605">
        <v>2.3821744199684027</v>
      </c>
      <c r="AH9053" s="605">
        <v>2.4943904407757214</v>
      </c>
      <c r="AI9053" s="605">
        <v>2.5995764027347552</v>
      </c>
      <c r="AJ9053" s="605">
        <v>2.6831933990575996</v>
      </c>
      <c r="AK9053" s="132" t="s">
        <v>1387</v>
      </c>
      <c r="AL9053" s="142" t="str">
        <f t="shared" si="194"/>
        <v>Single unit short-haul truck</v>
      </c>
    </row>
    <row r="9054" spans="2:38">
      <c r="B9054" s="136" t="s">
        <v>1375</v>
      </c>
      <c r="C9054" s="132" t="s">
        <v>284</v>
      </c>
      <c r="D9054" s="1094">
        <v>1.4E-2</v>
      </c>
      <c r="E9054" s="1095">
        <v>1.4E-2</v>
      </c>
      <c r="F9054" s="605">
        <v>1</v>
      </c>
      <c r="G9054" s="605">
        <v>0.955968352253182</v>
      </c>
      <c r="H9054" s="605">
        <v>0.955968352253182</v>
      </c>
      <c r="I9054" s="605">
        <v>0.955968352253182</v>
      </c>
      <c r="J9054" s="605">
        <v>1.4981080151358792</v>
      </c>
      <c r="K9054" s="605">
        <v>1.4981080151358792</v>
      </c>
      <c r="L9054" s="605">
        <v>1.5732714138286896</v>
      </c>
      <c r="M9054" s="605">
        <v>1.5733574131406949</v>
      </c>
      <c r="N9054" s="605">
        <v>1.5733574131406949</v>
      </c>
      <c r="O9054" s="605">
        <v>1.5734434124527004</v>
      </c>
      <c r="P9054" s="605">
        <v>1.5734434124527004</v>
      </c>
      <c r="Q9054" s="605">
        <v>1.5735294117647061</v>
      </c>
      <c r="R9054" s="605">
        <v>1.5735294117647061</v>
      </c>
      <c r="S9054" s="605">
        <v>1.5736154110767113</v>
      </c>
      <c r="T9054" s="605">
        <v>1.5737014103887168</v>
      </c>
      <c r="U9054" s="605">
        <v>1.5737874097007225</v>
      </c>
      <c r="V9054" s="605">
        <v>1.573873409012728</v>
      </c>
      <c r="W9054" s="605">
        <v>1.5739594083247335</v>
      </c>
      <c r="X9054" s="605">
        <v>1.5740454076367389</v>
      </c>
      <c r="Y9054" s="605">
        <v>1.5741314069487446</v>
      </c>
      <c r="Z9054" s="605">
        <v>1.5743034055727554</v>
      </c>
      <c r="AA9054" s="605">
        <v>1.5743894048847611</v>
      </c>
      <c r="AB9054" s="605">
        <v>1.5745614035087718</v>
      </c>
      <c r="AC9054" s="605">
        <v>1.574733402132783</v>
      </c>
      <c r="AD9054" s="605">
        <v>1.574905400756794</v>
      </c>
      <c r="AE9054" s="605">
        <v>1.5751633986928104</v>
      </c>
      <c r="AF9054" s="605">
        <v>1.5753353973168216</v>
      </c>
      <c r="AG9054" s="605">
        <v>1.575593395252838</v>
      </c>
      <c r="AH9054" s="605">
        <v>1.5759373925008602</v>
      </c>
      <c r="AI9054" s="605">
        <v>1.5761953904368766</v>
      </c>
      <c r="AJ9054" s="605">
        <v>1.5764533883728931</v>
      </c>
      <c r="AK9054" s="132" t="s">
        <v>1387</v>
      </c>
      <c r="AL9054" s="142" t="str">
        <f t="shared" si="194"/>
        <v>Single unit short-haul truck</v>
      </c>
    </row>
    <row r="9055" spans="2:38">
      <c r="B9055" s="136" t="s">
        <v>1375</v>
      </c>
      <c r="C9055" s="132" t="s">
        <v>1379</v>
      </c>
      <c r="D9055" s="1094">
        <v>0.14199999999999999</v>
      </c>
      <c r="E9055" s="1095">
        <v>0.14199999999999999</v>
      </c>
      <c r="F9055" s="605">
        <v>1</v>
      </c>
      <c r="G9055" s="605">
        <v>1</v>
      </c>
      <c r="H9055" s="605">
        <v>1</v>
      </c>
      <c r="I9055" s="605">
        <v>0.99998686560891037</v>
      </c>
      <c r="J9055" s="605">
        <v>1</v>
      </c>
      <c r="K9055" s="605">
        <v>0.99998686560891037</v>
      </c>
      <c r="L9055" s="605">
        <v>0.99998686560891037</v>
      </c>
      <c r="M9055" s="605">
        <v>1</v>
      </c>
      <c r="N9055" s="605">
        <v>1</v>
      </c>
      <c r="O9055" s="605">
        <v>0.99998686560891037</v>
      </c>
      <c r="P9055" s="605">
        <v>1</v>
      </c>
      <c r="Q9055" s="605">
        <v>1</v>
      </c>
      <c r="R9055" s="605">
        <v>0.99998686560891037</v>
      </c>
      <c r="S9055" s="605">
        <v>1</v>
      </c>
      <c r="T9055" s="605">
        <v>1</v>
      </c>
      <c r="U9055" s="605">
        <v>1</v>
      </c>
      <c r="V9055" s="605">
        <v>1</v>
      </c>
      <c r="W9055" s="605">
        <v>1</v>
      </c>
      <c r="X9055" s="605">
        <v>1</v>
      </c>
      <c r="Y9055" s="605">
        <v>1</v>
      </c>
      <c r="Z9055" s="605">
        <v>0.99998686560891037</v>
      </c>
      <c r="AA9055" s="605">
        <v>1</v>
      </c>
      <c r="AB9055" s="605">
        <v>0.99998686560891037</v>
      </c>
      <c r="AC9055" s="605">
        <v>1</v>
      </c>
      <c r="AD9055" s="605">
        <v>1</v>
      </c>
      <c r="AE9055" s="605">
        <v>1</v>
      </c>
      <c r="AF9055" s="605">
        <v>1</v>
      </c>
      <c r="AG9055" s="605">
        <v>1</v>
      </c>
      <c r="AH9055" s="605">
        <v>1</v>
      </c>
      <c r="AI9055" s="605">
        <v>1</v>
      </c>
      <c r="AJ9055" s="605">
        <v>1</v>
      </c>
      <c r="AK9055" s="132" t="s">
        <v>1387</v>
      </c>
      <c r="AL9055" s="142" t="str">
        <f t="shared" si="194"/>
        <v>Single unit short-haul truck</v>
      </c>
    </row>
    <row r="9056" spans="2:38">
      <c r="B9056" s="136" t="s">
        <v>1375</v>
      </c>
      <c r="C9056" s="132" t="s">
        <v>285</v>
      </c>
      <c r="D9056" s="1094">
        <v>1.2E-2</v>
      </c>
      <c r="E9056" s="1095">
        <v>1.2999999999999999E-2</v>
      </c>
      <c r="F9056" s="605">
        <v>1</v>
      </c>
      <c r="G9056" s="605">
        <v>0.95593971631205665</v>
      </c>
      <c r="H9056" s="605">
        <v>0.95593971631205665</v>
      </c>
      <c r="I9056" s="605">
        <v>0.95593971631205665</v>
      </c>
      <c r="J9056" s="605">
        <v>1.4980496453900709</v>
      </c>
      <c r="K9056" s="605">
        <v>1.4980496453900709</v>
      </c>
      <c r="L9056" s="605">
        <v>1.5732269503546101</v>
      </c>
      <c r="M9056" s="605">
        <v>1.5733156028368793</v>
      </c>
      <c r="N9056" s="605">
        <v>1.5733156028368793</v>
      </c>
      <c r="O9056" s="605">
        <v>1.5733156028368793</v>
      </c>
      <c r="P9056" s="605">
        <v>1.573404255319149</v>
      </c>
      <c r="Q9056" s="605">
        <v>1.5734929078014186</v>
      </c>
      <c r="R9056" s="605">
        <v>1.5734929078014186</v>
      </c>
      <c r="S9056" s="605">
        <v>1.5735815602836878</v>
      </c>
      <c r="T9056" s="605">
        <v>1.5736702127659574</v>
      </c>
      <c r="U9056" s="605">
        <v>1.5737588652482271</v>
      </c>
      <c r="V9056" s="605">
        <v>1.5737588652482271</v>
      </c>
      <c r="W9056" s="605">
        <v>1.5739361702127659</v>
      </c>
      <c r="X9056" s="605">
        <v>1.5740248226950355</v>
      </c>
      <c r="Y9056" s="605">
        <v>1.5741134751773049</v>
      </c>
      <c r="Z9056" s="605">
        <v>1.5742021276595743</v>
      </c>
      <c r="AA9056" s="605">
        <v>1.5743794326241134</v>
      </c>
      <c r="AB9056" s="605">
        <v>1.574468085106383</v>
      </c>
      <c r="AC9056" s="605">
        <v>1.5746453900709221</v>
      </c>
      <c r="AD9056" s="605">
        <v>1.5748226950354609</v>
      </c>
      <c r="AE9056" s="605">
        <v>1.5750886524822696</v>
      </c>
      <c r="AF9056" s="605">
        <v>1.5752659574468084</v>
      </c>
      <c r="AG9056" s="605">
        <v>1.5755319148936169</v>
      </c>
      <c r="AH9056" s="605">
        <v>1.575886524822695</v>
      </c>
      <c r="AI9056" s="605">
        <v>1.5761524822695034</v>
      </c>
      <c r="AJ9056" s="605">
        <v>1.5764184397163119</v>
      </c>
      <c r="AK9056" s="132" t="s">
        <v>1387</v>
      </c>
      <c r="AL9056" s="142" t="str">
        <f t="shared" si="194"/>
        <v>Single unit short-haul truck</v>
      </c>
    </row>
    <row r="9057" spans="2:38">
      <c r="B9057" s="136" t="s">
        <v>1375</v>
      </c>
      <c r="C9057" s="132" t="s">
        <v>1380</v>
      </c>
      <c r="D9057" s="1094">
        <v>5.8999999999999997E-2</v>
      </c>
      <c r="E9057" s="1095">
        <v>5.8999999999999997E-2</v>
      </c>
      <c r="F9057" s="605">
        <v>1</v>
      </c>
      <c r="G9057" s="605">
        <v>1.0000508854060657</v>
      </c>
      <c r="H9057" s="605">
        <v>1</v>
      </c>
      <c r="I9057" s="605">
        <v>1</v>
      </c>
      <c r="J9057" s="605">
        <v>1.0000508854060657</v>
      </c>
      <c r="K9057" s="605">
        <v>1</v>
      </c>
      <c r="L9057" s="605">
        <v>1</v>
      </c>
      <c r="M9057" s="605">
        <v>1.0000508854060657</v>
      </c>
      <c r="N9057" s="605">
        <v>1</v>
      </c>
      <c r="O9057" s="605">
        <v>1</v>
      </c>
      <c r="P9057" s="605">
        <v>1</v>
      </c>
      <c r="Q9057" s="605">
        <v>1</v>
      </c>
      <c r="R9057" s="605">
        <v>1</v>
      </c>
      <c r="S9057" s="605">
        <v>1.0000508854060657</v>
      </c>
      <c r="T9057" s="605">
        <v>1.0000508854060657</v>
      </c>
      <c r="U9057" s="605">
        <v>1.0000508854060657</v>
      </c>
      <c r="V9057" s="605">
        <v>1.0000508854060657</v>
      </c>
      <c r="W9057" s="605">
        <v>1.0000508854060657</v>
      </c>
      <c r="X9057" s="605">
        <v>1.0000508854060657</v>
      </c>
      <c r="Y9057" s="605">
        <v>1.0000508854060657</v>
      </c>
      <c r="Z9057" s="605">
        <v>1</v>
      </c>
      <c r="AA9057" s="605">
        <v>1.0000508854060657</v>
      </c>
      <c r="AB9057" s="605">
        <v>1</v>
      </c>
      <c r="AC9057" s="605">
        <v>1.0000508854060657</v>
      </c>
      <c r="AD9057" s="605">
        <v>1.0000508854060657</v>
      </c>
      <c r="AE9057" s="605">
        <v>1.0000508854060657</v>
      </c>
      <c r="AF9057" s="605">
        <v>1.0000508854060657</v>
      </c>
      <c r="AG9057" s="605">
        <v>1.0000508854060657</v>
      </c>
      <c r="AH9057" s="605">
        <v>1</v>
      </c>
      <c r="AI9057" s="605">
        <v>1</v>
      </c>
      <c r="AJ9057" s="605">
        <v>1.0000508854060657</v>
      </c>
      <c r="AK9057" s="132" t="s">
        <v>1387</v>
      </c>
      <c r="AL9057" s="142" t="str">
        <f t="shared" si="194"/>
        <v>Single unit short-haul truck</v>
      </c>
    </row>
    <row r="9058" spans="2:38">
      <c r="B9058" s="136" t="s">
        <v>1375</v>
      </c>
      <c r="C9058" s="132" t="s">
        <v>281</v>
      </c>
      <c r="D9058" s="1094">
        <v>6.8000000000000005E-2</v>
      </c>
      <c r="E9058" s="1095">
        <v>6.9000000000000006E-2</v>
      </c>
      <c r="F9058" s="605">
        <v>1</v>
      </c>
      <c r="G9058" s="605">
        <v>1.005338847055919</v>
      </c>
      <c r="H9058" s="605">
        <v>1.0139643253919268</v>
      </c>
      <c r="I9058" s="605">
        <v>1.0268022466362179</v>
      </c>
      <c r="J9058" s="605">
        <v>1.1504289593877297</v>
      </c>
      <c r="K9058" s="605">
        <v>1.1682045426490555</v>
      </c>
      <c r="L9058" s="605">
        <v>1.2086779409949389</v>
      </c>
      <c r="M9058" s="605">
        <v>1.2305888161955314</v>
      </c>
      <c r="N9058" s="605">
        <v>1.2545827675595604</v>
      </c>
      <c r="O9058" s="605">
        <v>1.2828354524132823</v>
      </c>
      <c r="P9058" s="605">
        <v>1.3129706209109986</v>
      </c>
      <c r="Q9058" s="605">
        <v>1.3492470065424023</v>
      </c>
      <c r="R9058" s="605">
        <v>1.3891494877175656</v>
      </c>
      <c r="S9058" s="605">
        <v>1.4302555240093815</v>
      </c>
      <c r="T9058" s="605">
        <v>1.4753734106900382</v>
      </c>
      <c r="U9058" s="605">
        <v>1.5259844463646461</v>
      </c>
      <c r="V9058" s="605">
        <v>1.5828755709171705</v>
      </c>
      <c r="W9058" s="605">
        <v>1.646555980743118</v>
      </c>
      <c r="X9058" s="605">
        <v>1.7084156277002838</v>
      </c>
      <c r="Y9058" s="605">
        <v>1.7828508826070855</v>
      </c>
      <c r="Z9058" s="605">
        <v>1.8737192939143315</v>
      </c>
      <c r="AA9058" s="605">
        <v>1.9577521293667446</v>
      </c>
      <c r="AB9058" s="605">
        <v>2.0600388840883839</v>
      </c>
      <c r="AC9058" s="605">
        <v>2.161662140476484</v>
      </c>
      <c r="AD9058" s="605">
        <v>2.2856900382668806</v>
      </c>
      <c r="AE9058" s="605">
        <v>2.438587828663128</v>
      </c>
      <c r="AF9058" s="605">
        <v>2.5896802863843971</v>
      </c>
      <c r="AG9058" s="605">
        <v>2.7255585730156766</v>
      </c>
      <c r="AH9058" s="605">
        <v>2.9478768053326747</v>
      </c>
      <c r="AI9058" s="605">
        <v>3.1562615726453522</v>
      </c>
      <c r="AJ9058" s="605">
        <v>3.3219047031230713</v>
      </c>
      <c r="AK9058" s="132" t="s">
        <v>1387</v>
      </c>
      <c r="AL9058" s="142" t="str">
        <f t="shared" si="194"/>
        <v>Single unit short-haul truck</v>
      </c>
    </row>
    <row r="9059" spans="2:38">
      <c r="B9059" s="136" t="s">
        <v>1375</v>
      </c>
      <c r="C9059" s="132" t="s">
        <v>1384</v>
      </c>
      <c r="D9059" s="1094">
        <v>2.3E-2</v>
      </c>
      <c r="E9059" s="1095">
        <v>2.1999999999999999E-2</v>
      </c>
      <c r="F9059" s="605">
        <v>1</v>
      </c>
      <c r="G9059" s="605">
        <v>1</v>
      </c>
      <c r="H9059" s="605">
        <v>1</v>
      </c>
      <c r="I9059" s="605">
        <v>1</v>
      </c>
      <c r="J9059" s="605">
        <v>1</v>
      </c>
      <c r="K9059" s="605">
        <v>1</v>
      </c>
      <c r="L9059" s="605">
        <v>1</v>
      </c>
      <c r="M9059" s="605">
        <v>1</v>
      </c>
      <c r="N9059" s="605">
        <v>1</v>
      </c>
      <c r="O9059" s="605">
        <v>1</v>
      </c>
      <c r="P9059" s="605">
        <v>1</v>
      </c>
      <c r="Q9059" s="605">
        <v>1</v>
      </c>
      <c r="R9059" s="605">
        <v>1</v>
      </c>
      <c r="S9059" s="605">
        <v>1</v>
      </c>
      <c r="T9059" s="605">
        <v>1</v>
      </c>
      <c r="U9059" s="605">
        <v>1</v>
      </c>
      <c r="V9059" s="605">
        <v>1</v>
      </c>
      <c r="W9059" s="605">
        <v>1</v>
      </c>
      <c r="X9059" s="605">
        <v>1</v>
      </c>
      <c r="Y9059" s="605">
        <v>1</v>
      </c>
      <c r="Z9059" s="605">
        <v>1</v>
      </c>
      <c r="AA9059" s="605">
        <v>1</v>
      </c>
      <c r="AB9059" s="605">
        <v>1</v>
      </c>
      <c r="AC9059" s="605">
        <v>1</v>
      </c>
      <c r="AD9059" s="605">
        <v>1</v>
      </c>
      <c r="AE9059" s="605">
        <v>1</v>
      </c>
      <c r="AF9059" s="605">
        <v>1</v>
      </c>
      <c r="AG9059" s="605">
        <v>1</v>
      </c>
      <c r="AH9059" s="605">
        <v>1</v>
      </c>
      <c r="AI9059" s="605">
        <v>1</v>
      </c>
      <c r="AJ9059" s="605">
        <v>1</v>
      </c>
      <c r="AK9059" s="132" t="s">
        <v>1387</v>
      </c>
      <c r="AL9059" s="142" t="str">
        <f t="shared" si="194"/>
        <v>Single unit short-haul truck</v>
      </c>
    </row>
    <row r="9060" spans="2:38">
      <c r="B9060" s="136" t="s">
        <v>1376</v>
      </c>
      <c r="C9060" s="132" t="s">
        <v>282</v>
      </c>
      <c r="D9060" s="1094">
        <v>15.994999999999999</v>
      </c>
      <c r="E9060" s="1095">
        <v>16.045999999999999</v>
      </c>
      <c r="F9060" s="605">
        <v>1</v>
      </c>
      <c r="G9060" s="605">
        <v>1.0111461953068439</v>
      </c>
      <c r="H9060" s="605">
        <v>1.0221596730504845</v>
      </c>
      <c r="I9060" s="605">
        <v>1.0575024003896984</v>
      </c>
      <c r="J9060" s="605">
        <v>1.256106584683266</v>
      </c>
      <c r="K9060" s="605">
        <v>1.3212640643378246</v>
      </c>
      <c r="L9060" s="605">
        <v>2.3968019629853532</v>
      </c>
      <c r="M9060" s="605">
        <v>2.4895224918695398</v>
      </c>
      <c r="N9060" s="605">
        <v>2.8384504519979097</v>
      </c>
      <c r="O9060" s="605">
        <v>2.985632619266323</v>
      </c>
      <c r="P9060" s="605">
        <v>3.1321204012659836</v>
      </c>
      <c r="Q9060" s="605">
        <v>3.3205163370757718</v>
      </c>
      <c r="R9060" s="605">
        <v>3.5276769125788472</v>
      </c>
      <c r="S9060" s="605">
        <v>3.7409482663181213</v>
      </c>
      <c r="T9060" s="605">
        <v>3.9748030539800845</v>
      </c>
      <c r="U9060" s="605">
        <v>4.2376271065893807</v>
      </c>
      <c r="V9060" s="605">
        <v>4.5328431014041364</v>
      </c>
      <c r="W9060" s="605">
        <v>4.8632357588619843</v>
      </c>
      <c r="X9060" s="605">
        <v>5.1836094480412083</v>
      </c>
      <c r="Y9060" s="605">
        <v>5.570171023153109</v>
      </c>
      <c r="Z9060" s="605">
        <v>6.0423281129749871</v>
      </c>
      <c r="AA9060" s="605">
        <v>6.477396212919766</v>
      </c>
      <c r="AB9060" s="605">
        <v>7.0074177577173122</v>
      </c>
      <c r="AC9060" s="605">
        <v>7.5336421577540813</v>
      </c>
      <c r="AD9060" s="605">
        <v>8.1770676396604092</v>
      </c>
      <c r="AE9060" s="605">
        <v>8.9696180780376586</v>
      </c>
      <c r="AF9060" s="605">
        <v>9.7609040763347412</v>
      </c>
      <c r="AG9060" s="605">
        <v>10.472522432153346</v>
      </c>
      <c r="AH9060" s="605">
        <v>11.63682818443313</v>
      </c>
      <c r="AI9060" s="605">
        <v>12.728236433185295</v>
      </c>
      <c r="AJ9060" s="605">
        <v>13.595798730930237</v>
      </c>
      <c r="AK9060" s="132" t="s">
        <v>1388</v>
      </c>
      <c r="AL9060" s="142" t="str">
        <f t="shared" si="194"/>
        <v>Single unit short-haul truck</v>
      </c>
    </row>
    <row r="9061" spans="2:38">
      <c r="B9061" s="136" t="s">
        <v>1376</v>
      </c>
      <c r="C9061" s="132" t="s">
        <v>283</v>
      </c>
      <c r="D9061" s="1094">
        <v>0.66600000000000004</v>
      </c>
      <c r="E9061" s="1095">
        <v>0.48599999999999999</v>
      </c>
      <c r="F9061" s="605">
        <v>1</v>
      </c>
      <c r="G9061" s="605">
        <v>1.0000307300767834</v>
      </c>
      <c r="H9061" s="605">
        <v>0.97458657570563934</v>
      </c>
      <c r="I9061" s="605">
        <v>0.97498397147131421</v>
      </c>
      <c r="J9061" s="605">
        <v>0.97628965052918593</v>
      </c>
      <c r="K9061" s="605">
        <v>0.97692869644411107</v>
      </c>
      <c r="L9061" s="605">
        <v>1.2257888899597855</v>
      </c>
      <c r="M9061" s="605">
        <v>1.2266734272835591</v>
      </c>
      <c r="N9061" s="605">
        <v>1.228868532541056</v>
      </c>
      <c r="O9061" s="605">
        <v>1.2301487196034144</v>
      </c>
      <c r="P9061" s="605">
        <v>1.2315162080202708</v>
      </c>
      <c r="Q9061" s="605">
        <v>1.2331595687173407</v>
      </c>
      <c r="R9061" s="605">
        <v>1.2349660083446128</v>
      </c>
      <c r="S9061" s="605">
        <v>1.2368297176604355</v>
      </c>
      <c r="T9061" s="605">
        <v>1.238872918561106</v>
      </c>
      <c r="U9061" s="605">
        <v>1.2411692933898208</v>
      </c>
      <c r="V9061" s="605">
        <v>1.2437446833475112</v>
      </c>
      <c r="W9061" s="605">
        <v>1.2466284216892882</v>
      </c>
      <c r="X9061" s="605">
        <v>1.2494332396065992</v>
      </c>
      <c r="Y9061" s="605">
        <v>1.2528027226848031</v>
      </c>
      <c r="Z9061" s="605">
        <v>1.2569188069466737</v>
      </c>
      <c r="AA9061" s="605">
        <v>1.2607261936190393</v>
      </c>
      <c r="AB9061" s="605">
        <v>1.2653601495157918</v>
      </c>
      <c r="AC9061" s="605">
        <v>1.2699644229520151</v>
      </c>
      <c r="AD9061" s="605">
        <v>1.2755817413058328</v>
      </c>
      <c r="AE9061" s="605">
        <v>1.2825120720313001</v>
      </c>
      <c r="AF9061" s="605">
        <v>1.2893544029914332</v>
      </c>
      <c r="AG9061" s="605">
        <v>1.2955122913323025</v>
      </c>
      <c r="AH9061" s="605">
        <v>1.305577089889665</v>
      </c>
      <c r="AI9061" s="605">
        <v>1.3150241440626</v>
      </c>
      <c r="AJ9061" s="605">
        <v>1.322529266906082</v>
      </c>
      <c r="AK9061" s="132" t="s">
        <v>1388</v>
      </c>
      <c r="AL9061" s="142" t="str">
        <f t="shared" si="194"/>
        <v>Single unit short-haul truck</v>
      </c>
    </row>
    <row r="9062" spans="2:38">
      <c r="B9062" s="136" t="s">
        <v>1376</v>
      </c>
      <c r="C9062" s="132" t="s">
        <v>284</v>
      </c>
      <c r="D9062" s="1094">
        <v>1.7000000000000001E-2</v>
      </c>
      <c r="E9062" s="1095">
        <v>1.7000000000000001E-2</v>
      </c>
      <c r="F9062" s="605">
        <v>1</v>
      </c>
      <c r="G9062" s="605">
        <v>1.0051691729323307</v>
      </c>
      <c r="H9062" s="605">
        <v>1.0126879699248119</v>
      </c>
      <c r="I9062" s="605">
        <v>1.0249060150375939</v>
      </c>
      <c r="J9062" s="605">
        <v>1.6184210526315788</v>
      </c>
      <c r="K9062" s="605">
        <v>1.6452067669172932</v>
      </c>
      <c r="L9062" s="605">
        <v>1.8693609022556388</v>
      </c>
      <c r="M9062" s="605">
        <v>1.9060150375939848</v>
      </c>
      <c r="N9062" s="605">
        <v>2.1729323308270674</v>
      </c>
      <c r="O9062" s="605">
        <v>2.2257988721804511</v>
      </c>
      <c r="P9062" s="605">
        <v>2.7680921052631575</v>
      </c>
      <c r="Q9062" s="605">
        <v>2.850563909774436</v>
      </c>
      <c r="R9062" s="605">
        <v>2.9412593984962405</v>
      </c>
      <c r="S9062" s="605">
        <v>3.0347744360902253</v>
      </c>
      <c r="T9062" s="605">
        <v>3.137453007518797</v>
      </c>
      <c r="U9062" s="605">
        <v>4.2882988721804507</v>
      </c>
      <c r="V9062" s="605">
        <v>4.4591165413533824</v>
      </c>
      <c r="W9062" s="605">
        <v>4.6503759398496243</v>
      </c>
      <c r="X9062" s="605">
        <v>4.8359962406015038</v>
      </c>
      <c r="Y9062" s="605">
        <v>5.0594454887218046</v>
      </c>
      <c r="Z9062" s="605">
        <v>7.0343045112781946</v>
      </c>
      <c r="AA9062" s="605">
        <v>7.3672462406015038</v>
      </c>
      <c r="AB9062" s="605">
        <v>7.7727913533834583</v>
      </c>
      <c r="AC9062" s="605">
        <v>8.1755169172932334</v>
      </c>
      <c r="AD9062" s="605">
        <v>8.6670582706766925</v>
      </c>
      <c r="AE9062" s="605">
        <v>9.2732612781954895</v>
      </c>
      <c r="AF9062" s="605">
        <v>9.8719454887218028</v>
      </c>
      <c r="AG9062" s="605">
        <v>10.41047932330827</v>
      </c>
      <c r="AH9062" s="605">
        <v>11.291588345864662</v>
      </c>
      <c r="AI9062" s="605">
        <v>12.117716165413533</v>
      </c>
      <c r="AJ9062" s="605">
        <v>12.774201127819548</v>
      </c>
      <c r="AK9062" s="132" t="s">
        <v>1388</v>
      </c>
      <c r="AL9062" s="142" t="str">
        <f t="shared" si="194"/>
        <v>Single unit short-haul truck</v>
      </c>
    </row>
    <row r="9063" spans="2:38">
      <c r="B9063" s="136" t="s">
        <v>1376</v>
      </c>
      <c r="C9063" s="132" t="s">
        <v>1379</v>
      </c>
      <c r="D9063" s="1094">
        <v>6.3E-2</v>
      </c>
      <c r="E9063" s="1095">
        <v>6.3E-2</v>
      </c>
      <c r="F9063" s="605">
        <v>1</v>
      </c>
      <c r="G9063" s="605">
        <v>1.0000640799718046</v>
      </c>
      <c r="H9063" s="605">
        <v>1.0058312774342379</v>
      </c>
      <c r="I9063" s="605">
        <v>1.0058312774342379</v>
      </c>
      <c r="J9063" s="605">
        <v>1.0058312774342379</v>
      </c>
      <c r="K9063" s="605">
        <v>1.0058312774342379</v>
      </c>
      <c r="L9063" s="605">
        <v>1.0058312774342379</v>
      </c>
      <c r="M9063" s="605">
        <v>1.0058312774342379</v>
      </c>
      <c r="N9063" s="605">
        <v>1.0058312774342379</v>
      </c>
      <c r="O9063" s="605">
        <v>1.0058312774342379</v>
      </c>
      <c r="P9063" s="605">
        <v>1.0058312774342379</v>
      </c>
      <c r="Q9063" s="605">
        <v>1.0058312774342379</v>
      </c>
      <c r="R9063" s="605">
        <v>1.0058312774342379</v>
      </c>
      <c r="S9063" s="605">
        <v>1.0058312774342379</v>
      </c>
      <c r="T9063" s="605">
        <v>1.0058312774342379</v>
      </c>
      <c r="U9063" s="605">
        <v>1.0058312774342379</v>
      </c>
      <c r="V9063" s="605">
        <v>1.0058312774342379</v>
      </c>
      <c r="W9063" s="605">
        <v>1.0058312774342379</v>
      </c>
      <c r="X9063" s="605">
        <v>1.0058312774342379</v>
      </c>
      <c r="Y9063" s="605">
        <v>1.0058312774342379</v>
      </c>
      <c r="Z9063" s="605">
        <v>1.0058312774342379</v>
      </c>
      <c r="AA9063" s="605">
        <v>1.0058312774342379</v>
      </c>
      <c r="AB9063" s="605">
        <v>1.0058312774342379</v>
      </c>
      <c r="AC9063" s="605">
        <v>1.0058312774342379</v>
      </c>
      <c r="AD9063" s="605">
        <v>1.0058312774342379</v>
      </c>
      <c r="AE9063" s="605">
        <v>1.0058312774342379</v>
      </c>
      <c r="AF9063" s="605">
        <v>1.0058312774342379</v>
      </c>
      <c r="AG9063" s="605">
        <v>1.0058312774342379</v>
      </c>
      <c r="AH9063" s="605">
        <v>1.0058312774342379</v>
      </c>
      <c r="AI9063" s="605">
        <v>1.0058312774342379</v>
      </c>
      <c r="AJ9063" s="605">
        <v>1.0058312774342379</v>
      </c>
      <c r="AK9063" s="132" t="s">
        <v>1388</v>
      </c>
      <c r="AL9063" s="142" t="str">
        <f t="shared" si="194"/>
        <v>Single unit short-haul truck</v>
      </c>
    </row>
    <row r="9064" spans="2:38">
      <c r="B9064" s="136" t="s">
        <v>1376</v>
      </c>
      <c r="C9064" s="132" t="s">
        <v>285</v>
      </c>
      <c r="D9064" s="1094">
        <v>1.4999999999999999E-2</v>
      </c>
      <c r="E9064" s="1095">
        <v>1.4999999999999999E-2</v>
      </c>
      <c r="F9064" s="605">
        <v>1</v>
      </c>
      <c r="G9064" s="605">
        <v>1.0053585098239348</v>
      </c>
      <c r="H9064" s="605">
        <v>1.012503189589181</v>
      </c>
      <c r="I9064" s="605">
        <v>1.0247512120438886</v>
      </c>
      <c r="J9064" s="605">
        <v>1.6185251339627456</v>
      </c>
      <c r="K9064" s="605">
        <v>1.6450625159479459</v>
      </c>
      <c r="L9064" s="605">
        <v>1.8693544271497833</v>
      </c>
      <c r="M9064" s="605">
        <v>1.9060984945139068</v>
      </c>
      <c r="N9064" s="605">
        <v>2.172748150038275</v>
      </c>
      <c r="O9064" s="605">
        <v>2.2258229140086758</v>
      </c>
      <c r="P9064" s="605">
        <v>2.7680530747639707</v>
      </c>
      <c r="Q9064" s="605">
        <v>2.8504720591987756</v>
      </c>
      <c r="R9064" s="605">
        <v>2.9413115590711922</v>
      </c>
      <c r="S9064" s="605">
        <v>3.0347027302883394</v>
      </c>
      <c r="T9064" s="605">
        <v>3.1372799183465174</v>
      </c>
      <c r="U9064" s="605">
        <v>4.288338861954581</v>
      </c>
      <c r="V9064" s="605">
        <v>4.4590456749170713</v>
      </c>
      <c r="W9064" s="605">
        <v>4.6501658586374077</v>
      </c>
      <c r="X9064" s="605">
        <v>4.8359275325338098</v>
      </c>
      <c r="Y9064" s="605">
        <v>5.0594539423322278</v>
      </c>
      <c r="Z9064" s="605">
        <v>7.0341923960193933</v>
      </c>
      <c r="AA9064" s="605">
        <v>7.367185506506762</v>
      </c>
      <c r="AB9064" s="605">
        <v>7.7726460831844859</v>
      </c>
      <c r="AC9064" s="605">
        <v>8.1755549885174794</v>
      </c>
      <c r="AD9064" s="605">
        <v>8.6670068895126313</v>
      </c>
      <c r="AE9064" s="605">
        <v>9.2730288338861957</v>
      </c>
      <c r="AF9064" s="605">
        <v>9.8719060984945148</v>
      </c>
      <c r="AG9064" s="605">
        <v>10.410308752232714</v>
      </c>
      <c r="AH9064" s="605">
        <v>11.291656034702731</v>
      </c>
      <c r="AI9064" s="605">
        <v>12.117632048992091</v>
      </c>
      <c r="AJ9064" s="605">
        <v>12.774177085991326</v>
      </c>
      <c r="AK9064" s="132" t="s">
        <v>1388</v>
      </c>
      <c r="AL9064" s="142" t="str">
        <f t="shared" si="194"/>
        <v>Single unit short-haul truck</v>
      </c>
    </row>
    <row r="9065" spans="2:38">
      <c r="B9065" s="136" t="s">
        <v>1376</v>
      </c>
      <c r="C9065" s="132" t="s">
        <v>1380</v>
      </c>
      <c r="D9065" s="1094">
        <v>1.6E-2</v>
      </c>
      <c r="E9065" s="1095">
        <v>1.6E-2</v>
      </c>
      <c r="F9065" s="605">
        <v>1</v>
      </c>
      <c r="G9065" s="605">
        <v>1.0000620308913839</v>
      </c>
      <c r="H9065" s="605">
        <v>1.0058309037900874</v>
      </c>
      <c r="I9065" s="605">
        <v>1.0058929346814716</v>
      </c>
      <c r="J9065" s="605">
        <v>1.0058929346814716</v>
      </c>
      <c r="K9065" s="605">
        <v>1.0058309037900874</v>
      </c>
      <c r="L9065" s="605">
        <v>1.0058309037900874</v>
      </c>
      <c r="M9065" s="605">
        <v>1.0058309037900874</v>
      </c>
      <c r="N9065" s="605">
        <v>1.0058929346814716</v>
      </c>
      <c r="O9065" s="605">
        <v>1.0058309037900874</v>
      </c>
      <c r="P9065" s="605">
        <v>1.0058929346814716</v>
      </c>
      <c r="Q9065" s="605">
        <v>1.0058929346814716</v>
      </c>
      <c r="R9065" s="605">
        <v>1.0058309037900874</v>
      </c>
      <c r="S9065" s="605">
        <v>1.0058309037900874</v>
      </c>
      <c r="T9065" s="605">
        <v>1.0058929346814716</v>
      </c>
      <c r="U9065" s="605">
        <v>1.0058929346814716</v>
      </c>
      <c r="V9065" s="605">
        <v>1.0058929346814716</v>
      </c>
      <c r="W9065" s="605">
        <v>1.0058929346814716</v>
      </c>
      <c r="X9065" s="605">
        <v>1.0058929346814716</v>
      </c>
      <c r="Y9065" s="605">
        <v>1.0058929346814716</v>
      </c>
      <c r="Z9065" s="605">
        <v>1.0058929346814716</v>
      </c>
      <c r="AA9065" s="605">
        <v>1.0058929346814716</v>
      </c>
      <c r="AB9065" s="605">
        <v>1.0058929346814716</v>
      </c>
      <c r="AC9065" s="605">
        <v>1.0058929346814716</v>
      </c>
      <c r="AD9065" s="605">
        <v>1.0058929346814716</v>
      </c>
      <c r="AE9065" s="605">
        <v>1.0058929346814716</v>
      </c>
      <c r="AF9065" s="605">
        <v>1.0058929346814716</v>
      </c>
      <c r="AG9065" s="605">
        <v>1.0058929346814716</v>
      </c>
      <c r="AH9065" s="605">
        <v>1.0058309037900874</v>
      </c>
      <c r="AI9065" s="605">
        <v>1.0058929346814716</v>
      </c>
      <c r="AJ9065" s="605">
        <v>1.0058929346814716</v>
      </c>
      <c r="AK9065" s="132" t="s">
        <v>1388</v>
      </c>
      <c r="AL9065" s="142" t="str">
        <f t="shared" si="194"/>
        <v>Single unit short-haul truck</v>
      </c>
    </row>
    <row r="9066" spans="2:38">
      <c r="B9066" s="136" t="s">
        <v>1376</v>
      </c>
      <c r="C9066" s="132" t="s">
        <v>281</v>
      </c>
      <c r="D9066" s="1094">
        <v>0.13400000000000001</v>
      </c>
      <c r="E9066" s="1095">
        <v>0.128</v>
      </c>
      <c r="F9066" s="605">
        <v>1</v>
      </c>
      <c r="G9066" s="605">
        <v>1.0104917968404827</v>
      </c>
      <c r="H9066" s="605">
        <v>1.0181362971399397</v>
      </c>
      <c r="I9066" s="605">
        <v>1.0210209030839166</v>
      </c>
      <c r="J9066" s="605">
        <v>1.0366319427398847</v>
      </c>
      <c r="K9066" s="605">
        <v>1.0418729320281588</v>
      </c>
      <c r="L9066" s="605">
        <v>2.2154500201274407</v>
      </c>
      <c r="M9066" s="605">
        <v>2.2276384129758178</v>
      </c>
      <c r="N9066" s="605">
        <v>2.2160587524913842</v>
      </c>
      <c r="O9066" s="605">
        <v>2.2302539984879877</v>
      </c>
      <c r="P9066" s="605">
        <v>2.27350541477256</v>
      </c>
      <c r="Q9066" s="605">
        <v>2.2937035473387595</v>
      </c>
      <c r="R9066" s="605">
        <v>2.3159144240115466</v>
      </c>
      <c r="S9066" s="605">
        <v>2.3388027608958182</v>
      </c>
      <c r="T9066" s="605">
        <v>2.363915916387664</v>
      </c>
      <c r="U9066" s="605">
        <v>2.3921041521438178</v>
      </c>
      <c r="V9066" s="605">
        <v>2.4237641260272356</v>
      </c>
      <c r="W9066" s="605">
        <v>2.4592218044005456</v>
      </c>
      <c r="X9066" s="605">
        <v>2.4936544560190868</v>
      </c>
      <c r="Y9066" s="605">
        <v>2.5350973480869112</v>
      </c>
      <c r="Z9066" s="605">
        <v>2.5856869348361826</v>
      </c>
      <c r="AA9066" s="605">
        <v>2.6324650715260525</v>
      </c>
      <c r="AB9066" s="605">
        <v>2.6894051113882043</v>
      </c>
      <c r="AC9066" s="605">
        <v>2.7459877664431378</v>
      </c>
      <c r="AD9066" s="605">
        <v>2.8150297984310413</v>
      </c>
      <c r="AE9066" s="605">
        <v>2.9001541467437728</v>
      </c>
      <c r="AF9066" s="605">
        <v>2.9842652502184563</v>
      </c>
      <c r="AG9066" s="605">
        <v>3.0599149738343265</v>
      </c>
      <c r="AH9066" s="605">
        <v>3.1836741907295951</v>
      </c>
      <c r="AI9066" s="605">
        <v>3.299692688338848</v>
      </c>
      <c r="AJ9066" s="605">
        <v>3.3919156414762739</v>
      </c>
      <c r="AK9066" s="132" t="s">
        <v>1388</v>
      </c>
      <c r="AL9066" s="142" t="str">
        <f t="shared" si="194"/>
        <v>Single unit short-haul truck</v>
      </c>
    </row>
    <row r="9067" spans="2:38">
      <c r="B9067" s="136" t="s">
        <v>1376</v>
      </c>
      <c r="C9067" s="132" t="s">
        <v>1384</v>
      </c>
      <c r="D9067" s="1094">
        <v>0.35899999999999999</v>
      </c>
      <c r="E9067" s="1095">
        <v>0.32800000000000001</v>
      </c>
      <c r="F9067" s="605">
        <v>1</v>
      </c>
      <c r="G9067" s="605">
        <v>1</v>
      </c>
      <c r="H9067" s="605">
        <v>1</v>
      </c>
      <c r="I9067" s="605">
        <v>1</v>
      </c>
      <c r="J9067" s="605">
        <v>1</v>
      </c>
      <c r="K9067" s="605">
        <v>1</v>
      </c>
      <c r="L9067" s="605">
        <v>1</v>
      </c>
      <c r="M9067" s="605">
        <v>1</v>
      </c>
      <c r="N9067" s="605">
        <v>1</v>
      </c>
      <c r="O9067" s="605">
        <v>1</v>
      </c>
      <c r="P9067" s="605">
        <v>1</v>
      </c>
      <c r="Q9067" s="605">
        <v>1</v>
      </c>
      <c r="R9067" s="605">
        <v>1</v>
      </c>
      <c r="S9067" s="605">
        <v>1</v>
      </c>
      <c r="T9067" s="605">
        <v>1</v>
      </c>
      <c r="U9067" s="605">
        <v>1</v>
      </c>
      <c r="V9067" s="605">
        <v>1</v>
      </c>
      <c r="W9067" s="605">
        <v>1</v>
      </c>
      <c r="X9067" s="605">
        <v>1</v>
      </c>
      <c r="Y9067" s="605">
        <v>1</v>
      </c>
      <c r="Z9067" s="605">
        <v>1</v>
      </c>
      <c r="AA9067" s="605">
        <v>1</v>
      </c>
      <c r="AB9067" s="605">
        <v>1</v>
      </c>
      <c r="AC9067" s="605">
        <v>1</v>
      </c>
      <c r="AD9067" s="605">
        <v>1</v>
      </c>
      <c r="AE9067" s="605">
        <v>1</v>
      </c>
      <c r="AF9067" s="605">
        <v>1</v>
      </c>
      <c r="AG9067" s="605">
        <v>1</v>
      </c>
      <c r="AH9067" s="605">
        <v>1</v>
      </c>
      <c r="AI9067" s="605">
        <v>1</v>
      </c>
      <c r="AJ9067" s="605">
        <v>1</v>
      </c>
      <c r="AK9067" s="132" t="s">
        <v>1388</v>
      </c>
      <c r="AL9067" s="142" t="str">
        <f t="shared" si="194"/>
        <v>Single unit short-haul truck</v>
      </c>
    </row>
    <row r="9068" spans="2:38">
      <c r="B9068" s="136" t="s">
        <v>1377</v>
      </c>
      <c r="C9068" s="132" t="s">
        <v>282</v>
      </c>
      <c r="D9068" s="1094">
        <v>1</v>
      </c>
      <c r="E9068" s="1095">
        <v>1</v>
      </c>
      <c r="F9068" s="605">
        <v>1</v>
      </c>
      <c r="G9068" s="605">
        <v>1</v>
      </c>
      <c r="H9068" s="605">
        <v>0.99999741949750276</v>
      </c>
      <c r="I9068" s="605">
        <v>1.0000032752531696</v>
      </c>
      <c r="J9068" s="605">
        <v>1.0000004962504803</v>
      </c>
      <c r="K9068" s="605">
        <v>1.0000031760030736</v>
      </c>
      <c r="L9068" s="605">
        <v>2.1677120183033058</v>
      </c>
      <c r="M9068" s="605">
        <v>2.1677221418131025</v>
      </c>
      <c r="N9068" s="605">
        <v>2.1677114228027294</v>
      </c>
      <c r="O9068" s="605">
        <v>2.1677143010555149</v>
      </c>
      <c r="P9068" s="605">
        <v>2.1677109265522492</v>
      </c>
      <c r="Q9068" s="605">
        <v>2.1677129115541702</v>
      </c>
      <c r="R9068" s="605">
        <v>2.1677060632975427</v>
      </c>
      <c r="S9068" s="605">
        <v>2.1677139040551308</v>
      </c>
      <c r="T9068" s="605">
        <v>2.1677107280520573</v>
      </c>
      <c r="U9068" s="605">
        <v>2.1677099340512886</v>
      </c>
      <c r="V9068" s="605">
        <v>2.167706261797735</v>
      </c>
      <c r="W9068" s="605">
        <v>2.1677077505491753</v>
      </c>
      <c r="X9068" s="605">
        <v>2.1677154920566677</v>
      </c>
      <c r="Y9068" s="605">
        <v>2.1677069565484075</v>
      </c>
      <c r="Z9068" s="605">
        <v>2.1677106288019612</v>
      </c>
      <c r="AA9068" s="605">
        <v>2.1677072542986955</v>
      </c>
      <c r="AB9068" s="605">
        <v>2.1677100333013848</v>
      </c>
      <c r="AC9068" s="605">
        <v>2.167714400305611</v>
      </c>
      <c r="AD9068" s="605">
        <v>2.1677117205530179</v>
      </c>
      <c r="AE9068" s="605">
        <v>2.1677126138038818</v>
      </c>
      <c r="AF9068" s="605">
        <v>2.1677075520489835</v>
      </c>
      <c r="AG9068" s="605">
        <v>2.1677134078046505</v>
      </c>
      <c r="AH9068" s="605">
        <v>2.1677077505491753</v>
      </c>
      <c r="AI9068" s="605">
        <v>2.1677112243025372</v>
      </c>
      <c r="AJ9068" s="605">
        <v>2.1677127130539779</v>
      </c>
      <c r="AK9068" s="132" t="s">
        <v>366</v>
      </c>
      <c r="AL9068" s="142" t="str">
        <f t="shared" si="194"/>
        <v>Transit bus</v>
      </c>
    </row>
    <row r="9069" spans="2:38">
      <c r="B9069" s="136" t="s">
        <v>1377</v>
      </c>
      <c r="C9069" s="132" t="s">
        <v>283</v>
      </c>
      <c r="D9069" s="1094">
        <v>1</v>
      </c>
      <c r="E9069" s="1095">
        <v>1</v>
      </c>
      <c r="F9069" s="605">
        <v>1</v>
      </c>
      <c r="G9069" s="605">
        <v>1.0000006658246203</v>
      </c>
      <c r="H9069" s="605">
        <v>0.99999866835075901</v>
      </c>
      <c r="I9069" s="605">
        <v>1.000001664561551</v>
      </c>
      <c r="J9069" s="605">
        <v>1.0000013316492409</v>
      </c>
      <c r="K9069" s="605">
        <v>1.0000029962107921</v>
      </c>
      <c r="L9069" s="605">
        <v>1.1840046288127615</v>
      </c>
      <c r="M9069" s="605">
        <v>1.1840079579358638</v>
      </c>
      <c r="N9069" s="605">
        <v>1.1840059604620023</v>
      </c>
      <c r="O9069" s="605">
        <v>1.1840039629881409</v>
      </c>
      <c r="P9069" s="605">
        <v>1.1840036300758308</v>
      </c>
      <c r="Q9069" s="605">
        <v>1.1840036300758308</v>
      </c>
      <c r="R9069" s="605">
        <v>1.1840009667773488</v>
      </c>
      <c r="S9069" s="605">
        <v>1.1840042959004513</v>
      </c>
      <c r="T9069" s="605">
        <v>1.1840042959004513</v>
      </c>
      <c r="U9069" s="605">
        <v>1.1840042959004513</v>
      </c>
      <c r="V9069" s="605">
        <v>1.1840026313389</v>
      </c>
      <c r="W9069" s="605">
        <v>1.1840016326019693</v>
      </c>
      <c r="X9069" s="605">
        <v>1.1840042959004513</v>
      </c>
      <c r="Y9069" s="605">
        <v>1.1840019655142795</v>
      </c>
      <c r="Z9069" s="605">
        <v>1.1840042959004513</v>
      </c>
      <c r="AA9069" s="605">
        <v>1.1840032971635206</v>
      </c>
      <c r="AB9069" s="605">
        <v>1.1840003009527285</v>
      </c>
      <c r="AC9069" s="605">
        <v>1.1840042959004513</v>
      </c>
      <c r="AD9069" s="605">
        <v>1.1840036300758308</v>
      </c>
      <c r="AE9069" s="605">
        <v>1.1840032971635206</v>
      </c>
      <c r="AF9069" s="605">
        <v>1.1840022984265899</v>
      </c>
      <c r="AG9069" s="605">
        <v>1.1840036300758308</v>
      </c>
      <c r="AH9069" s="605">
        <v>1.1840029642512102</v>
      </c>
      <c r="AI9069" s="605">
        <v>1.1840046288127615</v>
      </c>
      <c r="AJ9069" s="605">
        <v>1.1840046288127615</v>
      </c>
      <c r="AK9069" s="132" t="s">
        <v>366</v>
      </c>
      <c r="AL9069" s="142" t="str">
        <f t="shared" si="194"/>
        <v>Transit bus</v>
      </c>
    </row>
    <row r="9070" spans="2:38">
      <c r="B9070" s="136" t="s">
        <v>1377</v>
      </c>
      <c r="C9070" s="132" t="s">
        <v>284</v>
      </c>
      <c r="D9070" s="1094">
        <v>1</v>
      </c>
      <c r="E9070" s="1095">
        <v>1</v>
      </c>
      <c r="F9070" s="605">
        <v>1</v>
      </c>
      <c r="G9070" s="605">
        <v>0.99604221635883905</v>
      </c>
      <c r="H9070" s="605">
        <v>0.9953825857519788</v>
      </c>
      <c r="I9070" s="605">
        <v>0.99835092348284971</v>
      </c>
      <c r="J9070" s="605">
        <v>1.5725593667546174</v>
      </c>
      <c r="K9070" s="605">
        <v>1.5808047493403696</v>
      </c>
      <c r="L9070" s="605">
        <v>1.7757255936675462</v>
      </c>
      <c r="M9070" s="605">
        <v>1.7859498680738786</v>
      </c>
      <c r="N9070" s="605">
        <v>2.008245382585752</v>
      </c>
      <c r="O9070" s="605">
        <v>2.0224274406332454</v>
      </c>
      <c r="P9070" s="605">
        <v>2.4742744063324538</v>
      </c>
      <c r="Q9070" s="605">
        <v>2.495712401055409</v>
      </c>
      <c r="R9070" s="605">
        <v>2.5187994722955143</v>
      </c>
      <c r="S9070" s="605">
        <v>2.5405672823218999</v>
      </c>
      <c r="T9070" s="605">
        <v>2.5616754617414248</v>
      </c>
      <c r="U9070" s="605">
        <v>3.4106200527704482</v>
      </c>
      <c r="V9070" s="605">
        <v>3.4399736147757256</v>
      </c>
      <c r="W9070" s="605">
        <v>3.4699868073878632</v>
      </c>
      <c r="X9070" s="605">
        <v>3.5019788918205808</v>
      </c>
      <c r="Y9070" s="605">
        <v>3.5329815303430077</v>
      </c>
      <c r="Z9070" s="605">
        <v>4.7074538258575194</v>
      </c>
      <c r="AA9070" s="605">
        <v>4.7536279683377307</v>
      </c>
      <c r="AB9070" s="605">
        <v>4.8004617414248019</v>
      </c>
      <c r="AC9070" s="605">
        <v>4.8486147757255935</v>
      </c>
      <c r="AD9070" s="605">
        <v>4.8961081794195254</v>
      </c>
      <c r="AE9070" s="605">
        <v>4.9455804749340366</v>
      </c>
      <c r="AF9070" s="605">
        <v>4.9970316622691291</v>
      </c>
      <c r="AG9070" s="605">
        <v>5.0471635883905019</v>
      </c>
      <c r="AH9070" s="605">
        <v>5.1005936675461738</v>
      </c>
      <c r="AI9070" s="605">
        <v>5.1576517150395773</v>
      </c>
      <c r="AJ9070" s="605">
        <v>5.2133905013192621</v>
      </c>
      <c r="AK9070" s="132" t="s">
        <v>366</v>
      </c>
      <c r="AL9070" s="142" t="str">
        <f t="shared" si="194"/>
        <v>Transit bus</v>
      </c>
    </row>
    <row r="9071" spans="2:38">
      <c r="B9071" s="136" t="s">
        <v>1377</v>
      </c>
      <c r="C9071" s="132" t="s">
        <v>1379</v>
      </c>
      <c r="D9071" s="1094">
        <v>1</v>
      </c>
      <c r="E9071" s="1095">
        <v>1</v>
      </c>
      <c r="F9071" s="605">
        <v>1</v>
      </c>
      <c r="G9071" s="605">
        <v>1</v>
      </c>
      <c r="H9071" s="605">
        <v>1</v>
      </c>
      <c r="I9071" s="605">
        <v>1</v>
      </c>
      <c r="J9071" s="605">
        <v>1</v>
      </c>
      <c r="K9071" s="605">
        <v>1</v>
      </c>
      <c r="L9071" s="605">
        <v>1</v>
      </c>
      <c r="M9071" s="605">
        <v>1.000021073483236</v>
      </c>
      <c r="N9071" s="605">
        <v>1</v>
      </c>
      <c r="O9071" s="605">
        <v>1</v>
      </c>
      <c r="P9071" s="605">
        <v>1</v>
      </c>
      <c r="Q9071" s="605">
        <v>1</v>
      </c>
      <c r="R9071" s="605">
        <v>1</v>
      </c>
      <c r="S9071" s="605">
        <v>1</v>
      </c>
      <c r="T9071" s="605">
        <v>1</v>
      </c>
      <c r="U9071" s="605">
        <v>1</v>
      </c>
      <c r="V9071" s="605">
        <v>1</v>
      </c>
      <c r="W9071" s="605">
        <v>1</v>
      </c>
      <c r="X9071" s="605">
        <v>1</v>
      </c>
      <c r="Y9071" s="605">
        <v>1</v>
      </c>
      <c r="Z9071" s="605">
        <v>1</v>
      </c>
      <c r="AA9071" s="605">
        <v>1</v>
      </c>
      <c r="AB9071" s="605">
        <v>1</v>
      </c>
      <c r="AC9071" s="605">
        <v>1</v>
      </c>
      <c r="AD9071" s="605">
        <v>1</v>
      </c>
      <c r="AE9071" s="605">
        <v>1</v>
      </c>
      <c r="AF9071" s="605">
        <v>1</v>
      </c>
      <c r="AG9071" s="605">
        <v>1</v>
      </c>
      <c r="AH9071" s="605">
        <v>1</v>
      </c>
      <c r="AI9071" s="605">
        <v>1</v>
      </c>
      <c r="AJ9071" s="605">
        <v>1</v>
      </c>
      <c r="AK9071" s="132" t="s">
        <v>366</v>
      </c>
      <c r="AL9071" s="142" t="str">
        <f t="shared" si="194"/>
        <v>Transit bus</v>
      </c>
    </row>
    <row r="9072" spans="2:38">
      <c r="B9072" s="136" t="s">
        <v>1377</v>
      </c>
      <c r="C9072" s="132" t="s">
        <v>285</v>
      </c>
      <c r="D9072" s="1094">
        <v>1</v>
      </c>
      <c r="E9072" s="1095">
        <v>1</v>
      </c>
      <c r="F9072" s="605">
        <v>1</v>
      </c>
      <c r="G9072" s="605">
        <v>0.99604221635883905</v>
      </c>
      <c r="H9072" s="605">
        <v>0.9953825857519788</v>
      </c>
      <c r="I9072" s="605">
        <v>0.99835092348284971</v>
      </c>
      <c r="J9072" s="605">
        <v>1.5725593667546174</v>
      </c>
      <c r="K9072" s="605">
        <v>1.5808047493403696</v>
      </c>
      <c r="L9072" s="605">
        <v>1.7757255936675462</v>
      </c>
      <c r="M9072" s="605">
        <v>1.7859498680738786</v>
      </c>
      <c r="N9072" s="605">
        <v>2.008245382585752</v>
      </c>
      <c r="O9072" s="605">
        <v>2.0224274406332454</v>
      </c>
      <c r="P9072" s="605">
        <v>2.4742744063324538</v>
      </c>
      <c r="Q9072" s="605">
        <v>2.495712401055409</v>
      </c>
      <c r="R9072" s="605">
        <v>2.5187994722955143</v>
      </c>
      <c r="S9072" s="605">
        <v>2.5405672823218999</v>
      </c>
      <c r="T9072" s="605">
        <v>2.5616754617414248</v>
      </c>
      <c r="U9072" s="605">
        <v>3.4106200527704482</v>
      </c>
      <c r="V9072" s="605">
        <v>3.4399736147757256</v>
      </c>
      <c r="W9072" s="605">
        <v>3.4699868073878632</v>
      </c>
      <c r="X9072" s="605">
        <v>3.5019788918205808</v>
      </c>
      <c r="Y9072" s="605">
        <v>3.5329815303430077</v>
      </c>
      <c r="Z9072" s="605">
        <v>4.7074538258575194</v>
      </c>
      <c r="AA9072" s="605">
        <v>4.7536279683377307</v>
      </c>
      <c r="AB9072" s="605">
        <v>4.8004617414248019</v>
      </c>
      <c r="AC9072" s="605">
        <v>4.8486147757255935</v>
      </c>
      <c r="AD9072" s="605">
        <v>4.8961081794195254</v>
      </c>
      <c r="AE9072" s="605">
        <v>4.9455804749340366</v>
      </c>
      <c r="AF9072" s="605">
        <v>4.9970316622691291</v>
      </c>
      <c r="AG9072" s="605">
        <v>5.0471635883905019</v>
      </c>
      <c r="AH9072" s="605">
        <v>5.1005936675461738</v>
      </c>
      <c r="AI9072" s="605">
        <v>5.1576517150395773</v>
      </c>
      <c r="AJ9072" s="605">
        <v>5.2133905013192621</v>
      </c>
      <c r="AK9072" s="132" t="s">
        <v>366</v>
      </c>
      <c r="AL9072" s="142" t="str">
        <f t="shared" si="194"/>
        <v>Transit bus</v>
      </c>
    </row>
    <row r="9073" spans="2:38">
      <c r="B9073" s="136" t="s">
        <v>1377</v>
      </c>
      <c r="C9073" s="132" t="s">
        <v>1380</v>
      </c>
      <c r="D9073" s="1094">
        <v>1</v>
      </c>
      <c r="E9073" s="1095">
        <v>1</v>
      </c>
      <c r="F9073" s="605">
        <v>1</v>
      </c>
      <c r="G9073" s="605">
        <v>1</v>
      </c>
      <c r="H9073" s="605">
        <v>1</v>
      </c>
      <c r="I9073" s="605">
        <v>1</v>
      </c>
      <c r="J9073" s="605">
        <v>1</v>
      </c>
      <c r="K9073" s="605">
        <v>1</v>
      </c>
      <c r="L9073" s="605">
        <v>1</v>
      </c>
      <c r="M9073" s="605">
        <v>1</v>
      </c>
      <c r="N9073" s="605">
        <v>1</v>
      </c>
      <c r="O9073" s="605">
        <v>1</v>
      </c>
      <c r="P9073" s="605">
        <v>1</v>
      </c>
      <c r="Q9073" s="605">
        <v>1</v>
      </c>
      <c r="R9073" s="605">
        <v>1</v>
      </c>
      <c r="S9073" s="605">
        <v>1</v>
      </c>
      <c r="T9073" s="605">
        <v>1</v>
      </c>
      <c r="U9073" s="605">
        <v>1</v>
      </c>
      <c r="V9073" s="605">
        <v>1</v>
      </c>
      <c r="W9073" s="605">
        <v>1</v>
      </c>
      <c r="X9073" s="605">
        <v>1</v>
      </c>
      <c r="Y9073" s="605">
        <v>1</v>
      </c>
      <c r="Z9073" s="605">
        <v>1</v>
      </c>
      <c r="AA9073" s="605">
        <v>1</v>
      </c>
      <c r="AB9073" s="605">
        <v>1</v>
      </c>
      <c r="AC9073" s="605">
        <v>1</v>
      </c>
      <c r="AD9073" s="605">
        <v>1</v>
      </c>
      <c r="AE9073" s="605">
        <v>1</v>
      </c>
      <c r="AF9073" s="605">
        <v>1</v>
      </c>
      <c r="AG9073" s="605">
        <v>1</v>
      </c>
      <c r="AH9073" s="605">
        <v>1</v>
      </c>
      <c r="AI9073" s="605">
        <v>1</v>
      </c>
      <c r="AJ9073" s="605">
        <v>1</v>
      </c>
      <c r="AK9073" s="132" t="s">
        <v>366</v>
      </c>
      <c r="AL9073" s="142" t="str">
        <f t="shared" si="194"/>
        <v>Transit bus</v>
      </c>
    </row>
    <row r="9074" spans="2:38">
      <c r="B9074" s="136" t="s">
        <v>1377</v>
      </c>
      <c r="C9074" s="132" t="s">
        <v>281</v>
      </c>
      <c r="D9074" s="1094">
        <v>1</v>
      </c>
      <c r="E9074" s="1095">
        <v>1</v>
      </c>
      <c r="F9074" s="605">
        <v>1</v>
      </c>
      <c r="G9074" s="605">
        <v>1</v>
      </c>
      <c r="H9074" s="605">
        <v>0.99999770759976536</v>
      </c>
      <c r="I9074" s="605">
        <v>1</v>
      </c>
      <c r="J9074" s="605">
        <v>1</v>
      </c>
      <c r="K9074" s="605">
        <v>1</v>
      </c>
      <c r="L9074" s="605">
        <v>2.7814838248239435</v>
      </c>
      <c r="M9074" s="605">
        <v>2.7815021640258215</v>
      </c>
      <c r="N9074" s="605">
        <v>2.767717961414319</v>
      </c>
      <c r="O9074" s="605">
        <v>2.767720253814554</v>
      </c>
      <c r="P9074" s="605">
        <v>2.7814952868251175</v>
      </c>
      <c r="Q9074" s="605">
        <v>2.7814929944248825</v>
      </c>
      <c r="R9074" s="605">
        <v>2.7814861172241785</v>
      </c>
      <c r="S9074" s="605">
        <v>2.7814861172241785</v>
      </c>
      <c r="T9074" s="605">
        <v>2.7814907020246475</v>
      </c>
      <c r="U9074" s="605">
        <v>2.7814861172241785</v>
      </c>
      <c r="V9074" s="605">
        <v>2.7814838248239435</v>
      </c>
      <c r="W9074" s="605">
        <v>2.781481532423709</v>
      </c>
      <c r="X9074" s="605">
        <v>2.7814907020246475</v>
      </c>
      <c r="Y9074" s="605">
        <v>2.7814861172241785</v>
      </c>
      <c r="Z9074" s="605">
        <v>2.7814838248239435</v>
      </c>
      <c r="AA9074" s="605">
        <v>2.7814838248239435</v>
      </c>
      <c r="AB9074" s="605">
        <v>2.7814861172241785</v>
      </c>
      <c r="AC9074" s="605">
        <v>2.7814907020246475</v>
      </c>
      <c r="AD9074" s="605">
        <v>2.781488409624413</v>
      </c>
      <c r="AE9074" s="605">
        <v>2.7814861172241785</v>
      </c>
      <c r="AF9074" s="605">
        <v>2.7814838248239435</v>
      </c>
      <c r="AG9074" s="605">
        <v>2.7814838248239435</v>
      </c>
      <c r="AH9074" s="605">
        <v>2.7814792400234745</v>
      </c>
      <c r="AI9074" s="605">
        <v>2.7814952868251175</v>
      </c>
      <c r="AJ9074" s="605">
        <v>2.7814907020246475</v>
      </c>
      <c r="AK9074" s="132" t="s">
        <v>366</v>
      </c>
      <c r="AL9074" s="142" t="str">
        <f t="shared" si="194"/>
        <v>Transit bus</v>
      </c>
    </row>
    <row r="9075" spans="2:38">
      <c r="B9075" s="136" t="s">
        <v>1377</v>
      </c>
      <c r="C9075" s="132" t="s">
        <v>1384</v>
      </c>
      <c r="D9075" s="1094">
        <v>1</v>
      </c>
      <c r="E9075" s="1095">
        <v>1</v>
      </c>
      <c r="F9075" s="605">
        <v>1</v>
      </c>
      <c r="G9075" s="605">
        <v>1</v>
      </c>
      <c r="H9075" s="605">
        <v>1</v>
      </c>
      <c r="I9075" s="605">
        <v>1</v>
      </c>
      <c r="J9075" s="605">
        <v>1</v>
      </c>
      <c r="K9075" s="605">
        <v>1</v>
      </c>
      <c r="L9075" s="605">
        <v>1</v>
      </c>
      <c r="M9075" s="605">
        <v>1</v>
      </c>
      <c r="N9075" s="605">
        <v>1</v>
      </c>
      <c r="O9075" s="605">
        <v>1</v>
      </c>
      <c r="P9075" s="605">
        <v>1</v>
      </c>
      <c r="Q9075" s="605">
        <v>1</v>
      </c>
      <c r="R9075" s="605">
        <v>1</v>
      </c>
      <c r="S9075" s="605">
        <v>1</v>
      </c>
      <c r="T9075" s="605">
        <v>1</v>
      </c>
      <c r="U9075" s="605">
        <v>1</v>
      </c>
      <c r="V9075" s="605">
        <v>1</v>
      </c>
      <c r="W9075" s="605">
        <v>1</v>
      </c>
      <c r="X9075" s="605">
        <v>1</v>
      </c>
      <c r="Y9075" s="605">
        <v>1</v>
      </c>
      <c r="Z9075" s="605">
        <v>1</v>
      </c>
      <c r="AA9075" s="605">
        <v>1</v>
      </c>
      <c r="AB9075" s="605">
        <v>1</v>
      </c>
      <c r="AC9075" s="605">
        <v>1</v>
      </c>
      <c r="AD9075" s="605">
        <v>1</v>
      </c>
      <c r="AE9075" s="605">
        <v>1</v>
      </c>
      <c r="AF9075" s="605">
        <v>1</v>
      </c>
      <c r="AG9075" s="605">
        <v>1</v>
      </c>
      <c r="AH9075" s="605">
        <v>1</v>
      </c>
      <c r="AI9075" s="605">
        <v>1</v>
      </c>
      <c r="AJ9075" s="605">
        <v>1</v>
      </c>
      <c r="AK9075" s="132" t="s">
        <v>366</v>
      </c>
      <c r="AL9075" s="142" t="str">
        <f t="shared" si="194"/>
        <v>Transit bus</v>
      </c>
    </row>
    <row r="9076" spans="2:38">
      <c r="B9076" s="136" t="s">
        <v>1378</v>
      </c>
      <c r="C9076" s="132" t="s">
        <v>282</v>
      </c>
      <c r="D9076" s="1094">
        <v>0.51900000000000002</v>
      </c>
      <c r="E9076" s="1095">
        <v>0.51600000000000001</v>
      </c>
      <c r="F9076" s="605">
        <v>1</v>
      </c>
      <c r="G9076" s="605">
        <v>0.98383087643642742</v>
      </c>
      <c r="H9076" s="605">
        <v>0.98016738427331962</v>
      </c>
      <c r="I9076" s="605">
        <v>0.99328490515713008</v>
      </c>
      <c r="J9076" s="605">
        <v>1.030585508753606</v>
      </c>
      <c r="K9076" s="605">
        <v>1.0518604354053152</v>
      </c>
      <c r="L9076" s="605">
        <v>1.0960666488852631</v>
      </c>
      <c r="M9076" s="605">
        <v>1.1203393857346822</v>
      </c>
      <c r="N9076" s="605">
        <v>1.1694373530512665</v>
      </c>
      <c r="O9076" s="605">
        <v>1.1991061482565635</v>
      </c>
      <c r="P9076" s="605">
        <v>1.2463908606572993</v>
      </c>
      <c r="Q9076" s="605">
        <v>1.2841408556142542</v>
      </c>
      <c r="R9076" s="605">
        <v>1.3241568588776649</v>
      </c>
      <c r="S9076" s="605">
        <v>1.3616984079666667</v>
      </c>
      <c r="T9076" s="605">
        <v>1.3987087562954015</v>
      </c>
      <c r="U9076" s="605">
        <v>1.4357022944734952</v>
      </c>
      <c r="V9076" s="605">
        <v>1.4742916762858085</v>
      </c>
      <c r="W9076" s="605">
        <v>1.5138302712710046</v>
      </c>
      <c r="X9076" s="605">
        <v>1.555827630956677</v>
      </c>
      <c r="Y9076" s="605">
        <v>1.5970550857429753</v>
      </c>
      <c r="Z9076" s="605">
        <v>1.6392328743788651</v>
      </c>
      <c r="AA9076" s="605">
        <v>1.6853027732265853</v>
      </c>
      <c r="AB9076" s="605">
        <v>1.7320024923850017</v>
      </c>
      <c r="AC9076" s="605">
        <v>1.7798755600581855</v>
      </c>
      <c r="AD9076" s="605">
        <v>1.8274325968993119</v>
      </c>
      <c r="AE9076" s="605">
        <v>1.8766796142182498</v>
      </c>
      <c r="AF9076" s="605">
        <v>1.9281713469861643</v>
      </c>
      <c r="AG9076" s="605">
        <v>1.9779977541638745</v>
      </c>
      <c r="AH9076" s="605">
        <v>2.0312478286888758</v>
      </c>
      <c r="AI9076" s="605">
        <v>2.0884079442530576</v>
      </c>
      <c r="AJ9076" s="605">
        <v>2.143857907158659</v>
      </c>
      <c r="AK9076" s="132" t="s">
        <v>1387</v>
      </c>
      <c r="AL9076" s="142" t="str">
        <f t="shared" ref="AL9076:AL9083" si="195">LEFT(B9076,FIND(",",B9076)-1)</f>
        <v>Transit bus</v>
      </c>
    </row>
    <row r="9077" spans="2:38">
      <c r="B9077" s="136" t="s">
        <v>1378</v>
      </c>
      <c r="C9077" s="132" t="s">
        <v>283</v>
      </c>
      <c r="D9077" s="1094">
        <v>1.175</v>
      </c>
      <c r="E9077" s="1095">
        <v>1.167</v>
      </c>
      <c r="F9077" s="605">
        <v>1</v>
      </c>
      <c r="G9077" s="605">
        <v>0.998260766427293</v>
      </c>
      <c r="H9077" s="605">
        <v>0.9978618101830885</v>
      </c>
      <c r="I9077" s="605">
        <v>0.99927864398007371</v>
      </c>
      <c r="J9077" s="605">
        <v>1.1979577753337216</v>
      </c>
      <c r="K9077" s="605">
        <v>1.2002490780875978</v>
      </c>
      <c r="L9077" s="605">
        <v>1.3770912855017143</v>
      </c>
      <c r="M9077" s="605">
        <v>1.3797136141122683</v>
      </c>
      <c r="N9077" s="605">
        <v>1.5570766211640896</v>
      </c>
      <c r="O9077" s="605">
        <v>1.5602768971986802</v>
      </c>
      <c r="P9077" s="605">
        <v>1.6944264734424532</v>
      </c>
      <c r="Q9077" s="605">
        <v>1.6984969053934571</v>
      </c>
      <c r="R9077" s="605">
        <v>1.7028023980505056</v>
      </c>
      <c r="S9077" s="605">
        <v>1.7068512647991201</v>
      </c>
      <c r="T9077" s="605">
        <v>1.7108419055012831</v>
      </c>
      <c r="U9077" s="605">
        <v>1.7148282331629681</v>
      </c>
      <c r="V9077" s="605">
        <v>1.7189838476634103</v>
      </c>
      <c r="W9077" s="605">
        <v>1.7232472881757994</v>
      </c>
      <c r="X9077" s="605">
        <v>1.7277727458972203</v>
      </c>
      <c r="Y9077" s="605">
        <v>1.7322140993293222</v>
      </c>
      <c r="Z9077" s="605">
        <v>1.7367600439930129</v>
      </c>
      <c r="AA9077" s="605">
        <v>1.741723275322939</v>
      </c>
      <c r="AB9077" s="605">
        <v>1.7467565935606306</v>
      </c>
      <c r="AC9077" s="605">
        <v>1.7519193030126587</v>
      </c>
      <c r="AD9077" s="605">
        <v>1.7570410385801472</v>
      </c>
      <c r="AE9077" s="605">
        <v>1.7623460783679454</v>
      </c>
      <c r="AF9077" s="605">
        <v>1.7679001962433416</v>
      </c>
      <c r="AG9077" s="605">
        <v>1.7732688533781891</v>
      </c>
      <c r="AH9077" s="605">
        <v>1.7790062754738953</v>
      </c>
      <c r="AI9077" s="605">
        <v>1.7851685320566735</v>
      </c>
      <c r="AJ9077" s="605">
        <v>1.7911420931185438</v>
      </c>
      <c r="AK9077" s="132" t="s">
        <v>1387</v>
      </c>
      <c r="AL9077" s="142" t="str">
        <f t="shared" si="195"/>
        <v>Transit bus</v>
      </c>
    </row>
    <row r="9078" spans="2:38">
      <c r="B9078" s="136" t="s">
        <v>1378</v>
      </c>
      <c r="C9078" s="132" t="s">
        <v>284</v>
      </c>
      <c r="D9078" s="1094">
        <v>2.3E-2</v>
      </c>
      <c r="E9078" s="1095">
        <v>2.3E-2</v>
      </c>
      <c r="F9078" s="605">
        <v>1</v>
      </c>
      <c r="G9078" s="605">
        <v>0.95935515996514376</v>
      </c>
      <c r="H9078" s="605">
        <v>0.95935515996514376</v>
      </c>
      <c r="I9078" s="605">
        <v>0.95935515996514376</v>
      </c>
      <c r="J9078" s="605">
        <v>1.180194198929416</v>
      </c>
      <c r="K9078" s="605">
        <v>1.180194198929416</v>
      </c>
      <c r="L9078" s="605">
        <v>1.3696003983567782</v>
      </c>
      <c r="M9078" s="605">
        <v>1.3696626416033859</v>
      </c>
      <c r="N9078" s="605">
        <v>1.5750653554089382</v>
      </c>
      <c r="O9078" s="605">
        <v>1.5750653554089382</v>
      </c>
      <c r="P9078" s="605">
        <v>1.7180380928669239</v>
      </c>
      <c r="Q9078" s="605">
        <v>1.7180380928669239</v>
      </c>
      <c r="R9078" s="605">
        <v>1.7181003361135316</v>
      </c>
      <c r="S9078" s="605">
        <v>1.7181003361135316</v>
      </c>
      <c r="T9078" s="605">
        <v>1.7181003361135316</v>
      </c>
      <c r="U9078" s="605">
        <v>1.7181003361135316</v>
      </c>
      <c r="V9078" s="605">
        <v>1.7181625793601394</v>
      </c>
      <c r="W9078" s="605">
        <v>1.7181625793601394</v>
      </c>
      <c r="X9078" s="605">
        <v>1.7181625793601394</v>
      </c>
      <c r="Y9078" s="605">
        <v>1.7182248226067471</v>
      </c>
      <c r="Z9078" s="605">
        <v>1.7182248226067471</v>
      </c>
      <c r="AA9078" s="605">
        <v>1.7182248226067471</v>
      </c>
      <c r="AB9078" s="605">
        <v>1.7182248226067471</v>
      </c>
      <c r="AC9078" s="605">
        <v>1.7182870658533549</v>
      </c>
      <c r="AD9078" s="605">
        <v>1.7182870658533549</v>
      </c>
      <c r="AE9078" s="605">
        <v>1.7182870658533549</v>
      </c>
      <c r="AF9078" s="605">
        <v>1.7183493090999626</v>
      </c>
      <c r="AG9078" s="605">
        <v>1.7183493090999626</v>
      </c>
      <c r="AH9078" s="605">
        <v>1.7184115523465704</v>
      </c>
      <c r="AI9078" s="605">
        <v>1.7184115523465704</v>
      </c>
      <c r="AJ9078" s="605">
        <v>1.7184115523465704</v>
      </c>
      <c r="AK9078" s="132" t="s">
        <v>1387</v>
      </c>
      <c r="AL9078" s="142" t="str">
        <f t="shared" si="195"/>
        <v>Transit bus</v>
      </c>
    </row>
    <row r="9079" spans="2:38">
      <c r="B9079" s="136" t="s">
        <v>1378</v>
      </c>
      <c r="C9079" s="132" t="s">
        <v>1379</v>
      </c>
      <c r="D9079" s="1094">
        <v>4.8000000000000001E-2</v>
      </c>
      <c r="E9079" s="1095">
        <v>4.8000000000000001E-2</v>
      </c>
      <c r="F9079" s="605">
        <v>1</v>
      </c>
      <c r="G9079" s="605">
        <v>1</v>
      </c>
      <c r="H9079" s="605">
        <v>1</v>
      </c>
      <c r="I9079" s="605">
        <v>1</v>
      </c>
      <c r="J9079" s="605">
        <v>1</v>
      </c>
      <c r="K9079" s="605">
        <v>1</v>
      </c>
      <c r="L9079" s="605">
        <v>1</v>
      </c>
      <c r="M9079" s="605">
        <v>1</v>
      </c>
      <c r="N9079" s="605">
        <v>1</v>
      </c>
      <c r="O9079" s="605">
        <v>1</v>
      </c>
      <c r="P9079" s="605">
        <v>1</v>
      </c>
      <c r="Q9079" s="605">
        <v>1</v>
      </c>
      <c r="R9079" s="605">
        <v>1</v>
      </c>
      <c r="S9079" s="605">
        <v>1</v>
      </c>
      <c r="T9079" s="605">
        <v>1</v>
      </c>
      <c r="U9079" s="605">
        <v>1</v>
      </c>
      <c r="V9079" s="605">
        <v>1</v>
      </c>
      <c r="W9079" s="605">
        <v>1</v>
      </c>
      <c r="X9079" s="605">
        <v>1</v>
      </c>
      <c r="Y9079" s="605">
        <v>1</v>
      </c>
      <c r="Z9079" s="605">
        <v>1</v>
      </c>
      <c r="AA9079" s="605">
        <v>1</v>
      </c>
      <c r="AB9079" s="605">
        <v>1</v>
      </c>
      <c r="AC9079" s="605">
        <v>1</v>
      </c>
      <c r="AD9079" s="605">
        <v>1</v>
      </c>
      <c r="AE9079" s="605">
        <v>1</v>
      </c>
      <c r="AF9079" s="605">
        <v>1</v>
      </c>
      <c r="AG9079" s="605">
        <v>1</v>
      </c>
      <c r="AH9079" s="605">
        <v>1</v>
      </c>
      <c r="AI9079" s="605">
        <v>1</v>
      </c>
      <c r="AJ9079" s="605">
        <v>1</v>
      </c>
      <c r="AK9079" s="132" t="s">
        <v>1387</v>
      </c>
      <c r="AL9079" s="142" t="str">
        <f t="shared" si="195"/>
        <v>Transit bus</v>
      </c>
    </row>
    <row r="9080" spans="2:38">
      <c r="B9080" s="136" t="s">
        <v>1378</v>
      </c>
      <c r="C9080" s="132" t="s">
        <v>285</v>
      </c>
      <c r="D9080" s="1094">
        <v>2.1000000000000001E-2</v>
      </c>
      <c r="E9080" s="1095">
        <v>2.1000000000000001E-2</v>
      </c>
      <c r="F9080" s="605">
        <v>1</v>
      </c>
      <c r="G9080" s="605">
        <v>0.95931985883862692</v>
      </c>
      <c r="H9080" s="605">
        <v>0.95931985883862692</v>
      </c>
      <c r="I9080" s="605">
        <v>0.95931985883862692</v>
      </c>
      <c r="J9080" s="605">
        <v>1.1801732435033687</v>
      </c>
      <c r="K9080" s="605">
        <v>1.1801732435033687</v>
      </c>
      <c r="L9080" s="605">
        <v>1.3695861405197305</v>
      </c>
      <c r="M9080" s="605">
        <v>1.3695861405197305</v>
      </c>
      <c r="N9080" s="605">
        <v>1.5750401026628167</v>
      </c>
      <c r="O9080" s="605">
        <v>1.5750401026628167</v>
      </c>
      <c r="P9080" s="605">
        <v>1.7179980750721848</v>
      </c>
      <c r="Q9080" s="605">
        <v>1.7179980750721848</v>
      </c>
      <c r="R9080" s="605">
        <v>1.7179980750721848</v>
      </c>
      <c r="S9080" s="605">
        <v>1.7180622393326919</v>
      </c>
      <c r="T9080" s="605">
        <v>1.7180622393326919</v>
      </c>
      <c r="U9080" s="605">
        <v>1.7180622393326919</v>
      </c>
      <c r="V9080" s="605">
        <v>1.7180622393326919</v>
      </c>
      <c r="W9080" s="605">
        <v>1.7181264035931985</v>
      </c>
      <c r="X9080" s="605">
        <v>1.7181264035931985</v>
      </c>
      <c r="Y9080" s="605">
        <v>1.7181264035931985</v>
      </c>
      <c r="Z9080" s="605">
        <v>1.7181905678537055</v>
      </c>
      <c r="AA9080" s="605">
        <v>1.7181905678537055</v>
      </c>
      <c r="AB9080" s="605">
        <v>1.7181905678537055</v>
      </c>
      <c r="AC9080" s="605">
        <v>1.7181905678537055</v>
      </c>
      <c r="AD9080" s="605">
        <v>1.7182547321142125</v>
      </c>
      <c r="AE9080" s="605">
        <v>1.7182547321142125</v>
      </c>
      <c r="AF9080" s="605">
        <v>1.7183188963747194</v>
      </c>
      <c r="AG9080" s="605">
        <v>1.7183188963747194</v>
      </c>
      <c r="AH9080" s="605">
        <v>1.7183188963747194</v>
      </c>
      <c r="AI9080" s="605">
        <v>1.7183830606352262</v>
      </c>
      <c r="AJ9080" s="605">
        <v>1.7183830606352262</v>
      </c>
      <c r="AK9080" s="132" t="s">
        <v>1387</v>
      </c>
      <c r="AL9080" s="142" t="str">
        <f t="shared" si="195"/>
        <v>Transit bus</v>
      </c>
    </row>
    <row r="9081" spans="2:38">
      <c r="B9081" s="136" t="s">
        <v>1378</v>
      </c>
      <c r="C9081" s="132" t="s">
        <v>1380</v>
      </c>
      <c r="D9081" s="1094">
        <v>1.2E-2</v>
      </c>
      <c r="E9081" s="1095">
        <v>1.2E-2</v>
      </c>
      <c r="F9081" s="605">
        <v>1</v>
      </c>
      <c r="G9081" s="605">
        <v>1</v>
      </c>
      <c r="H9081" s="605">
        <v>1</v>
      </c>
      <c r="I9081" s="605">
        <v>1</v>
      </c>
      <c r="J9081" s="605">
        <v>1</v>
      </c>
      <c r="K9081" s="605">
        <v>1</v>
      </c>
      <c r="L9081" s="605">
        <v>1</v>
      </c>
      <c r="M9081" s="605">
        <v>1.0000808276753959</v>
      </c>
      <c r="N9081" s="605">
        <v>1</v>
      </c>
      <c r="O9081" s="605">
        <v>1.0000808276753959</v>
      </c>
      <c r="P9081" s="605">
        <v>1</v>
      </c>
      <c r="Q9081" s="605">
        <v>1.0000808276753959</v>
      </c>
      <c r="R9081" s="605">
        <v>1</v>
      </c>
      <c r="S9081" s="605">
        <v>1</v>
      </c>
      <c r="T9081" s="605">
        <v>1</v>
      </c>
      <c r="U9081" s="605">
        <v>1</v>
      </c>
      <c r="V9081" s="605">
        <v>1</v>
      </c>
      <c r="W9081" s="605">
        <v>1</v>
      </c>
      <c r="X9081" s="605">
        <v>1</v>
      </c>
      <c r="Y9081" s="605">
        <v>1</v>
      </c>
      <c r="Z9081" s="605">
        <v>1</v>
      </c>
      <c r="AA9081" s="605">
        <v>1</v>
      </c>
      <c r="AB9081" s="605">
        <v>1</v>
      </c>
      <c r="AC9081" s="605">
        <v>1</v>
      </c>
      <c r="AD9081" s="605">
        <v>1</v>
      </c>
      <c r="AE9081" s="605">
        <v>1</v>
      </c>
      <c r="AF9081" s="605">
        <v>1</v>
      </c>
      <c r="AG9081" s="605">
        <v>1</v>
      </c>
      <c r="AH9081" s="605">
        <v>1</v>
      </c>
      <c r="AI9081" s="605">
        <v>1</v>
      </c>
      <c r="AJ9081" s="605">
        <v>1</v>
      </c>
      <c r="AK9081" s="132" t="s">
        <v>1387</v>
      </c>
      <c r="AL9081" s="142" t="str">
        <f t="shared" si="195"/>
        <v>Transit bus</v>
      </c>
    </row>
    <row r="9082" spans="2:38">
      <c r="B9082" s="136" t="s">
        <v>1378</v>
      </c>
      <c r="C9082" s="132" t="s">
        <v>281</v>
      </c>
      <c r="D9082" s="1094">
        <v>4.8000000000000001E-2</v>
      </c>
      <c r="E9082" s="1095">
        <v>4.8000000000000001E-2</v>
      </c>
      <c r="F9082" s="605">
        <v>1</v>
      </c>
      <c r="G9082" s="605">
        <v>0.99611809936172591</v>
      </c>
      <c r="H9082" s="605">
        <v>0.99523471812673414</v>
      </c>
      <c r="I9082" s="605">
        <v>0.99838254140071914</v>
      </c>
      <c r="J9082" s="605">
        <v>1.0223955806054272</v>
      </c>
      <c r="K9082" s="605">
        <v>1.0275092381769999</v>
      </c>
      <c r="L9082" s="605">
        <v>1.0599579460764188</v>
      </c>
      <c r="M9082" s="605">
        <v>1.0657932390230551</v>
      </c>
      <c r="N9082" s="605">
        <v>1.0994114939096462</v>
      </c>
      <c r="O9082" s="605">
        <v>1.1065407537357073</v>
      </c>
      <c r="P9082" s="605">
        <v>1.134261505729536</v>
      </c>
      <c r="Q9082" s="605">
        <v>1.143331715874734</v>
      </c>
      <c r="R9082" s="605">
        <v>1.1529493735458425</v>
      </c>
      <c r="S9082" s="605">
        <v>1.1619698157341396</v>
      </c>
      <c r="T9082" s="605">
        <v>1.1708658380301842</v>
      </c>
      <c r="U9082" s="605">
        <v>1.1797494183370036</v>
      </c>
      <c r="V9082" s="605">
        <v>1.1890187003098054</v>
      </c>
      <c r="W9082" s="605">
        <v>1.1985243800778869</v>
      </c>
      <c r="X9082" s="605">
        <v>1.2086148333395543</v>
      </c>
      <c r="Y9082" s="605">
        <v>1.2185186567628432</v>
      </c>
      <c r="Z9082" s="605">
        <v>1.2286588779814118</v>
      </c>
      <c r="AA9082" s="605">
        <v>1.2397198064026478</v>
      </c>
      <c r="AB9082" s="605">
        <v>1.2509424806838119</v>
      </c>
      <c r="AC9082" s="605">
        <v>1.2624513207171564</v>
      </c>
      <c r="AD9082" s="605">
        <v>1.2738730668259242</v>
      </c>
      <c r="AE9082" s="605">
        <v>1.2857053985791247</v>
      </c>
      <c r="AF9082" s="605">
        <v>1.2980727358690107</v>
      </c>
      <c r="AG9082" s="605">
        <v>1.3100543714929143</v>
      </c>
      <c r="AH9082" s="605">
        <v>1.3228447364164582</v>
      </c>
      <c r="AI9082" s="605">
        <v>1.3365806925211203</v>
      </c>
      <c r="AJ9082" s="605">
        <v>1.3498936209921242</v>
      </c>
      <c r="AK9082" s="132" t="s">
        <v>1387</v>
      </c>
      <c r="AL9082" s="142" t="str">
        <f t="shared" si="195"/>
        <v>Transit bus</v>
      </c>
    </row>
    <row r="9083" spans="2:38" ht="16" thickBot="1">
      <c r="B9083" s="143" t="s">
        <v>1378</v>
      </c>
      <c r="C9083" s="145" t="s">
        <v>1384</v>
      </c>
      <c r="D9083" s="1096">
        <v>4.4999999999999998E-2</v>
      </c>
      <c r="E9083" s="1097">
        <v>4.3999999999999997E-2</v>
      </c>
      <c r="F9083" s="608">
        <v>1</v>
      </c>
      <c r="G9083" s="608">
        <v>1</v>
      </c>
      <c r="H9083" s="608">
        <v>1</v>
      </c>
      <c r="I9083" s="608">
        <v>1</v>
      </c>
      <c r="J9083" s="608">
        <v>1</v>
      </c>
      <c r="K9083" s="608">
        <v>1</v>
      </c>
      <c r="L9083" s="608">
        <v>1</v>
      </c>
      <c r="M9083" s="608">
        <v>1</v>
      </c>
      <c r="N9083" s="608">
        <v>1</v>
      </c>
      <c r="O9083" s="608">
        <v>1</v>
      </c>
      <c r="P9083" s="608">
        <v>1</v>
      </c>
      <c r="Q9083" s="608">
        <v>1</v>
      </c>
      <c r="R9083" s="608">
        <v>1</v>
      </c>
      <c r="S9083" s="608">
        <v>1</v>
      </c>
      <c r="T9083" s="608">
        <v>1</v>
      </c>
      <c r="U9083" s="608">
        <v>1</v>
      </c>
      <c r="V9083" s="608">
        <v>1</v>
      </c>
      <c r="W9083" s="608">
        <v>1</v>
      </c>
      <c r="X9083" s="608">
        <v>1</v>
      </c>
      <c r="Y9083" s="608">
        <v>1</v>
      </c>
      <c r="Z9083" s="608">
        <v>1</v>
      </c>
      <c r="AA9083" s="608">
        <v>1</v>
      </c>
      <c r="AB9083" s="608">
        <v>1</v>
      </c>
      <c r="AC9083" s="608">
        <v>1</v>
      </c>
      <c r="AD9083" s="608">
        <v>1</v>
      </c>
      <c r="AE9083" s="608">
        <v>1</v>
      </c>
      <c r="AF9083" s="608">
        <v>1</v>
      </c>
      <c r="AG9083" s="608">
        <v>1</v>
      </c>
      <c r="AH9083" s="608">
        <v>1</v>
      </c>
      <c r="AI9083" s="608">
        <v>1</v>
      </c>
      <c r="AJ9083" s="608">
        <v>1</v>
      </c>
      <c r="AK9083" s="145" t="s">
        <v>1387</v>
      </c>
      <c r="AL9083" s="146" t="str">
        <f t="shared" si="195"/>
        <v>Transit bus</v>
      </c>
    </row>
    <row r="9085" spans="2:38" ht="16" thickBot="1">
      <c r="B9085" s="267" t="s">
        <v>1394</v>
      </c>
      <c r="C9085" s="267"/>
      <c r="D9085" s="267"/>
      <c r="E9085" s="267"/>
      <c r="F9085" s="267"/>
    </row>
    <row r="9086" spans="2:38">
      <c r="B9086" s="319" t="s">
        <v>1395</v>
      </c>
      <c r="C9086" s="322"/>
      <c r="D9086" s="322"/>
      <c r="E9086" s="322"/>
      <c r="F9086" s="324"/>
    </row>
    <row r="9087" spans="2:38">
      <c r="B9087" s="1098" t="s">
        <v>940</v>
      </c>
      <c r="C9087" s="1099" t="s">
        <v>283</v>
      </c>
      <c r="D9087" s="1099" t="s">
        <v>285</v>
      </c>
      <c r="E9087" s="1099" t="s">
        <v>1396</v>
      </c>
      <c r="F9087" s="1100" t="s">
        <v>282</v>
      </c>
    </row>
    <row r="9088" spans="2:38">
      <c r="B9088" s="1098" t="s">
        <v>1397</v>
      </c>
      <c r="C9088" s="1101">
        <v>0.7</v>
      </c>
      <c r="D9088" s="1101">
        <v>0.4</v>
      </c>
      <c r="E9088" s="1101">
        <v>0.7</v>
      </c>
      <c r="F9088" s="1102">
        <v>0.9</v>
      </c>
    </row>
    <row r="9089" spans="1:113">
      <c r="B9089" s="1098" t="s">
        <v>1398</v>
      </c>
      <c r="C9089" s="1101">
        <v>0</v>
      </c>
      <c r="D9089" s="1101">
        <v>0.2</v>
      </c>
      <c r="E9089" s="1101">
        <v>0.5</v>
      </c>
      <c r="F9089" s="1102">
        <v>0.3</v>
      </c>
    </row>
    <row r="9090" spans="1:113">
      <c r="B9090" s="1098" t="s">
        <v>1399</v>
      </c>
      <c r="C9090" s="1101">
        <v>0</v>
      </c>
      <c r="D9090" s="1101">
        <v>0.25</v>
      </c>
      <c r="E9090" s="1101">
        <v>0.3</v>
      </c>
      <c r="F9090" s="1102">
        <v>0.35</v>
      </c>
    </row>
    <row r="9091" spans="1:113">
      <c r="B9091" s="1098" t="s">
        <v>1400</v>
      </c>
      <c r="C9091" s="1101">
        <v>0</v>
      </c>
      <c r="D9091" s="1101">
        <v>0.25</v>
      </c>
      <c r="E9091" s="1101">
        <v>0.4</v>
      </c>
      <c r="F9091" s="1102">
        <v>0.3</v>
      </c>
    </row>
    <row r="9092" spans="1:113">
      <c r="B9092" s="1098" t="s">
        <v>1401</v>
      </c>
      <c r="C9092" s="1101">
        <v>0</v>
      </c>
      <c r="D9092" s="1101">
        <v>0.3</v>
      </c>
      <c r="E9092" s="1101">
        <v>0.45</v>
      </c>
      <c r="F9092" s="1102">
        <v>0.35</v>
      </c>
    </row>
    <row r="9093" spans="1:113">
      <c r="B9093" s="1098" t="s">
        <v>1402</v>
      </c>
      <c r="C9093" s="1101">
        <v>0</v>
      </c>
      <c r="D9093" s="1101">
        <v>0.85</v>
      </c>
      <c r="E9093" s="1101">
        <v>0.9</v>
      </c>
      <c r="F9093" s="1102">
        <v>0.9</v>
      </c>
    </row>
    <row r="9094" spans="1:113">
      <c r="B9094" s="1098" t="s">
        <v>1403</v>
      </c>
      <c r="C9094" s="1101">
        <v>0</v>
      </c>
      <c r="D9094" s="1101">
        <v>0.9</v>
      </c>
      <c r="E9094" s="1101">
        <v>0.9</v>
      </c>
      <c r="F9094" s="1102">
        <v>0.9</v>
      </c>
    </row>
    <row r="9095" spans="1:113">
      <c r="B9095" s="1098" t="s">
        <v>1404</v>
      </c>
      <c r="C9095" s="1101">
        <v>0</v>
      </c>
      <c r="D9095" s="1101">
        <v>0.95</v>
      </c>
      <c r="E9095" s="1101">
        <v>0.9</v>
      </c>
      <c r="F9095" s="1102">
        <v>0.9</v>
      </c>
    </row>
    <row r="9096" spans="1:113" ht="16" thickBot="1">
      <c r="B9096" s="1103" t="s">
        <v>1405</v>
      </c>
      <c r="C9096" s="1104">
        <v>0.4</v>
      </c>
      <c r="D9096" s="1104">
        <v>0.9</v>
      </c>
      <c r="E9096" s="1104">
        <v>0.9</v>
      </c>
      <c r="F9096" s="1105">
        <v>0.9</v>
      </c>
    </row>
    <row r="9098" spans="1:113">
      <c r="A9098" s="243"/>
      <c r="B9098" s="243"/>
      <c r="C9098" s="243"/>
      <c r="D9098" s="243"/>
      <c r="E9098" s="243"/>
      <c r="F9098" s="243"/>
      <c r="G9098" s="243"/>
      <c r="H9098" s="243"/>
      <c r="I9098" s="243"/>
      <c r="J9098" s="243"/>
      <c r="K9098" s="243"/>
      <c r="L9098" s="243"/>
      <c r="M9098" s="243"/>
      <c r="N9098" s="243"/>
      <c r="O9098" s="243"/>
      <c r="P9098" s="243"/>
      <c r="Q9098" s="243"/>
      <c r="R9098" s="243"/>
      <c r="S9098" s="243"/>
      <c r="T9098" s="243"/>
      <c r="U9098" s="243"/>
      <c r="V9098" s="243"/>
      <c r="W9098" s="243"/>
      <c r="X9098" s="243"/>
      <c r="Y9098" s="243"/>
      <c r="Z9098" s="243"/>
      <c r="AA9098" s="243"/>
      <c r="AB9098" s="243"/>
      <c r="AC9098" s="243"/>
      <c r="AD9098" s="243"/>
      <c r="AE9098" s="243"/>
      <c r="AF9098" s="243"/>
      <c r="AG9098" s="243"/>
      <c r="AH9098" s="243"/>
      <c r="AI9098" s="243"/>
      <c r="AJ9098" s="243"/>
      <c r="AK9098" s="243"/>
      <c r="AL9098" s="243"/>
      <c r="AM9098" s="243"/>
      <c r="AN9098" s="243"/>
      <c r="AO9098" s="243"/>
      <c r="AP9098" s="243"/>
      <c r="AQ9098" s="243"/>
      <c r="AR9098" s="243"/>
      <c r="AS9098" s="243"/>
      <c r="AT9098" s="243"/>
      <c r="AU9098" s="243"/>
      <c r="AV9098" s="243"/>
      <c r="AW9098" s="243"/>
      <c r="AX9098" s="243"/>
      <c r="AY9098" s="243"/>
      <c r="AZ9098" s="243"/>
      <c r="BA9098" s="243"/>
      <c r="BB9098" s="243"/>
      <c r="BC9098" s="243"/>
      <c r="BD9098" s="243"/>
      <c r="BE9098" s="243"/>
      <c r="BF9098" s="243"/>
      <c r="BG9098" s="243"/>
      <c r="BH9098" s="243"/>
      <c r="BI9098" s="243"/>
      <c r="BJ9098" s="243"/>
      <c r="BK9098" s="243"/>
      <c r="BL9098" s="243"/>
      <c r="BM9098" s="243"/>
      <c r="BN9098" s="243"/>
      <c r="BO9098" s="243"/>
      <c r="BP9098" s="243"/>
      <c r="BQ9098" s="243"/>
      <c r="BR9098" s="243"/>
      <c r="BS9098" s="243"/>
      <c r="BT9098" s="243"/>
      <c r="BU9098" s="243"/>
      <c r="BV9098" s="243"/>
      <c r="BW9098" s="243"/>
      <c r="BX9098" s="243"/>
      <c r="BY9098" s="243"/>
      <c r="BZ9098" s="243"/>
      <c r="CA9098" s="243"/>
      <c r="CB9098" s="243"/>
      <c r="CC9098" s="243"/>
      <c r="CD9098" s="243"/>
      <c r="CE9098" s="243"/>
      <c r="CF9098" s="243"/>
      <c r="CG9098" s="243"/>
      <c r="CH9098" s="243"/>
      <c r="CI9098" s="243"/>
      <c r="CJ9098" s="243"/>
      <c r="CK9098" s="243"/>
      <c r="CL9098" s="243"/>
      <c r="CM9098" s="243"/>
      <c r="CN9098" s="243"/>
      <c r="CO9098" s="243"/>
      <c r="CP9098" s="243"/>
      <c r="CQ9098" s="243"/>
      <c r="CR9098" s="243"/>
      <c r="CS9098" s="243"/>
      <c r="CT9098" s="243"/>
      <c r="CU9098" s="243"/>
      <c r="CV9098" s="243"/>
      <c r="CW9098" s="243"/>
      <c r="CX9098" s="243"/>
      <c r="CY9098" s="243"/>
      <c r="CZ9098" s="243"/>
      <c r="DA9098" s="243"/>
      <c r="DB9098" s="243"/>
      <c r="DC9098" s="243"/>
      <c r="DD9098" s="243"/>
      <c r="DE9098" s="243"/>
      <c r="DF9098" s="243"/>
      <c r="DG9098" s="243"/>
      <c r="DH9098" s="243"/>
      <c r="DI9098" s="243"/>
    </row>
    <row r="9099" spans="1:113">
      <c r="A9099" s="243"/>
      <c r="B9099" s="243"/>
      <c r="C9099" s="243"/>
      <c r="D9099" s="243"/>
      <c r="E9099" s="243"/>
      <c r="F9099" s="243"/>
      <c r="G9099" s="243"/>
      <c r="H9099" s="243"/>
      <c r="I9099" s="243"/>
      <c r="J9099" s="243"/>
      <c r="K9099" s="243"/>
      <c r="L9099" s="243"/>
      <c r="M9099" s="243"/>
      <c r="N9099" s="243"/>
      <c r="O9099" s="243"/>
      <c r="P9099" s="243"/>
      <c r="Q9099" s="243"/>
      <c r="R9099" s="243"/>
      <c r="S9099" s="243"/>
      <c r="T9099" s="243"/>
      <c r="U9099" s="243"/>
      <c r="V9099" s="243"/>
      <c r="W9099" s="243"/>
      <c r="X9099" s="243"/>
      <c r="Y9099" s="243"/>
      <c r="Z9099" s="243"/>
      <c r="AA9099" s="243"/>
      <c r="AB9099" s="243"/>
      <c r="AC9099" s="243"/>
      <c r="AD9099" s="243"/>
      <c r="AE9099" s="243"/>
      <c r="AF9099" s="243"/>
      <c r="AG9099" s="243"/>
      <c r="AH9099" s="243"/>
      <c r="AI9099" s="243"/>
      <c r="AJ9099" s="243"/>
      <c r="AK9099" s="243"/>
      <c r="AL9099" s="243"/>
      <c r="AM9099" s="243"/>
      <c r="AN9099" s="243"/>
      <c r="AO9099" s="243"/>
      <c r="AP9099" s="243"/>
      <c r="AQ9099" s="243"/>
      <c r="AR9099" s="243"/>
      <c r="AS9099" s="243"/>
      <c r="AT9099" s="243"/>
      <c r="AU9099" s="243"/>
      <c r="AV9099" s="243"/>
      <c r="AW9099" s="243"/>
      <c r="AX9099" s="243"/>
      <c r="AY9099" s="243"/>
      <c r="AZ9099" s="243"/>
      <c r="BA9099" s="243"/>
      <c r="BB9099" s="243"/>
      <c r="BC9099" s="243"/>
      <c r="BD9099" s="243"/>
      <c r="BE9099" s="243"/>
      <c r="BF9099" s="243"/>
      <c r="BG9099" s="243"/>
      <c r="BH9099" s="243"/>
      <c r="BI9099" s="243"/>
      <c r="BJ9099" s="243"/>
      <c r="BK9099" s="243"/>
      <c r="BL9099" s="243"/>
      <c r="BM9099" s="243"/>
      <c r="BN9099" s="243"/>
      <c r="BO9099" s="243"/>
      <c r="BP9099" s="243"/>
      <c r="BQ9099" s="243"/>
      <c r="BR9099" s="243"/>
      <c r="BS9099" s="243"/>
      <c r="BT9099" s="243"/>
      <c r="BU9099" s="243"/>
      <c r="BV9099" s="243"/>
      <c r="BW9099" s="243"/>
      <c r="BX9099" s="243"/>
      <c r="BY9099" s="243"/>
      <c r="BZ9099" s="243"/>
      <c r="CA9099" s="243"/>
      <c r="CB9099" s="243"/>
      <c r="CC9099" s="243"/>
      <c r="CD9099" s="243"/>
      <c r="CE9099" s="243"/>
      <c r="CF9099" s="243"/>
      <c r="CG9099" s="243"/>
      <c r="CH9099" s="243"/>
      <c r="CI9099" s="243"/>
      <c r="CJ9099" s="243"/>
      <c r="CK9099" s="243"/>
      <c r="CL9099" s="243"/>
      <c r="CM9099" s="243"/>
      <c r="CN9099" s="243"/>
      <c r="CO9099" s="243"/>
      <c r="CP9099" s="243"/>
      <c r="CQ9099" s="243"/>
      <c r="CR9099" s="243"/>
      <c r="CS9099" s="243"/>
      <c r="CT9099" s="243"/>
      <c r="CU9099" s="243"/>
      <c r="CV9099" s="243"/>
      <c r="CW9099" s="243"/>
      <c r="CX9099" s="243"/>
      <c r="CY9099" s="243"/>
      <c r="CZ9099" s="243"/>
      <c r="DA9099" s="243"/>
      <c r="DB9099" s="243"/>
      <c r="DC9099" s="243"/>
      <c r="DD9099" s="243"/>
      <c r="DE9099" s="243"/>
      <c r="DF9099" s="243"/>
      <c r="DG9099" s="243"/>
      <c r="DH9099" s="243"/>
      <c r="DI9099" s="243"/>
    </row>
    <row r="9100" spans="1:113">
      <c r="A9100" s="243"/>
      <c r="B9100" s="243"/>
      <c r="C9100" s="243"/>
      <c r="D9100" s="243"/>
      <c r="E9100" s="243"/>
      <c r="F9100" s="243"/>
      <c r="G9100" s="243"/>
      <c r="H9100" s="243"/>
      <c r="I9100" s="243"/>
      <c r="J9100" s="243"/>
      <c r="K9100" s="243"/>
      <c r="L9100" s="243"/>
      <c r="M9100" s="243"/>
      <c r="N9100" s="243"/>
      <c r="O9100" s="243"/>
      <c r="P9100" s="243"/>
      <c r="Q9100" s="243"/>
      <c r="R9100" s="243"/>
      <c r="S9100" s="243"/>
      <c r="T9100" s="243"/>
      <c r="U9100" s="243"/>
      <c r="V9100" s="243"/>
      <c r="W9100" s="243"/>
      <c r="X9100" s="243"/>
      <c r="Y9100" s="243"/>
      <c r="Z9100" s="243"/>
      <c r="AA9100" s="243"/>
      <c r="AB9100" s="243"/>
      <c r="AC9100" s="243"/>
      <c r="AD9100" s="243"/>
      <c r="AE9100" s="243"/>
      <c r="AF9100" s="243"/>
      <c r="AG9100" s="243"/>
      <c r="AH9100" s="243"/>
      <c r="AI9100" s="243"/>
      <c r="AJ9100" s="243"/>
      <c r="AK9100" s="243"/>
      <c r="AL9100" s="243"/>
      <c r="AM9100" s="243"/>
      <c r="AN9100" s="243"/>
      <c r="AO9100" s="243"/>
      <c r="AP9100" s="243"/>
      <c r="AQ9100" s="243"/>
      <c r="AR9100" s="243"/>
      <c r="AS9100" s="243"/>
      <c r="AT9100" s="243"/>
      <c r="AU9100" s="243"/>
      <c r="AV9100" s="243"/>
      <c r="AW9100" s="243"/>
      <c r="AX9100" s="243"/>
      <c r="AY9100" s="243"/>
      <c r="AZ9100" s="243"/>
      <c r="BA9100" s="243"/>
      <c r="BB9100" s="243"/>
      <c r="BC9100" s="243"/>
      <c r="BD9100" s="243"/>
      <c r="BE9100" s="243"/>
      <c r="BF9100" s="243"/>
      <c r="BG9100" s="243"/>
      <c r="BH9100" s="243"/>
      <c r="BI9100" s="243"/>
      <c r="BJ9100" s="243"/>
      <c r="BK9100" s="243"/>
      <c r="BL9100" s="243"/>
      <c r="BM9100" s="243"/>
      <c r="BN9100" s="243"/>
      <c r="BO9100" s="243"/>
      <c r="BP9100" s="243"/>
      <c r="BQ9100" s="243"/>
      <c r="BR9100" s="243"/>
      <c r="BS9100" s="243"/>
      <c r="BT9100" s="243"/>
      <c r="BU9100" s="243"/>
      <c r="BV9100" s="243"/>
      <c r="BW9100" s="243"/>
      <c r="BX9100" s="243"/>
      <c r="BY9100" s="243"/>
      <c r="BZ9100" s="243"/>
      <c r="CA9100" s="243"/>
      <c r="CB9100" s="243"/>
      <c r="CC9100" s="243"/>
      <c r="CD9100" s="243"/>
      <c r="CE9100" s="243"/>
      <c r="CF9100" s="243"/>
      <c r="CG9100" s="243"/>
      <c r="CH9100" s="243"/>
      <c r="CI9100" s="243"/>
      <c r="CJ9100" s="243"/>
      <c r="CK9100" s="243"/>
      <c r="CL9100" s="243"/>
      <c r="CM9100" s="243"/>
      <c r="CN9100" s="243"/>
      <c r="CO9100" s="243"/>
      <c r="CP9100" s="243"/>
      <c r="CQ9100" s="243"/>
      <c r="CR9100" s="243"/>
      <c r="CS9100" s="243"/>
      <c r="CT9100" s="243"/>
      <c r="CU9100" s="243"/>
      <c r="CV9100" s="243"/>
      <c r="CW9100" s="243"/>
      <c r="CX9100" s="243"/>
      <c r="CY9100" s="243"/>
      <c r="CZ9100" s="243"/>
      <c r="DA9100" s="243"/>
      <c r="DB9100" s="243"/>
      <c r="DC9100" s="243"/>
      <c r="DD9100" s="243"/>
      <c r="DE9100" s="243"/>
      <c r="DF9100" s="243"/>
      <c r="DG9100" s="243"/>
      <c r="DH9100" s="243"/>
      <c r="DI9100" s="243"/>
    </row>
    <row r="9101" spans="1:113" ht="16" thickBot="1"/>
    <row r="9102" spans="1:113" s="1106" customFormat="1" ht="20" thickBot="1">
      <c r="B9102" s="1107" t="s">
        <v>1406</v>
      </c>
      <c r="I9102" s="319"/>
      <c r="J9102" s="322"/>
      <c r="K9102" s="322"/>
      <c r="L9102" s="322"/>
      <c r="M9102" s="322"/>
      <c r="N9102" s="322"/>
      <c r="O9102" s="322" t="s">
        <v>1407</v>
      </c>
      <c r="P9102" s="322" t="s">
        <v>1408</v>
      </c>
      <c r="Q9102" s="322" t="s">
        <v>1409</v>
      </c>
      <c r="R9102" s="322" t="s">
        <v>1409</v>
      </c>
      <c r="S9102" s="322" t="s">
        <v>1409</v>
      </c>
      <c r="T9102" s="322" t="s">
        <v>1409</v>
      </c>
      <c r="U9102" s="322" t="s">
        <v>1409</v>
      </c>
      <c r="V9102" s="324"/>
    </row>
    <row r="9103" spans="1:113">
      <c r="B9103" s="519" t="s">
        <v>205</v>
      </c>
      <c r="C9103" s="523" t="s">
        <v>1410</v>
      </c>
      <c r="D9103" s="1108" t="s">
        <v>1411</v>
      </c>
      <c r="E9103" s="523" t="s">
        <v>1412</v>
      </c>
      <c r="F9103" s="524" t="s">
        <v>1409</v>
      </c>
      <c r="I9103" s="544" t="s">
        <v>1413</v>
      </c>
      <c r="J9103" s="339" t="s">
        <v>1414</v>
      </c>
      <c r="K9103" s="339" t="s">
        <v>1415</v>
      </c>
      <c r="L9103" s="339" t="s">
        <v>554</v>
      </c>
      <c r="M9103" s="339" t="s">
        <v>1416</v>
      </c>
      <c r="N9103" s="339" t="s">
        <v>1417</v>
      </c>
      <c r="O9103" s="860" t="s">
        <v>1418</v>
      </c>
      <c r="P9103" s="860" t="s">
        <v>1418</v>
      </c>
      <c r="Q9103" s="860" t="s">
        <v>282</v>
      </c>
      <c r="R9103" s="860" t="s">
        <v>283</v>
      </c>
      <c r="S9103" s="860" t="s">
        <v>1419</v>
      </c>
      <c r="T9103" s="860" t="s">
        <v>1420</v>
      </c>
      <c r="U9103" s="860" t="s">
        <v>1421</v>
      </c>
      <c r="V9103" s="340" t="s">
        <v>10</v>
      </c>
    </row>
    <row r="9104" spans="1:113">
      <c r="B9104" s="136" t="s">
        <v>366</v>
      </c>
      <c r="C9104" s="132" t="s">
        <v>315</v>
      </c>
      <c r="D9104" s="325">
        <v>1225</v>
      </c>
      <c r="E9104" s="132" t="s">
        <v>282</v>
      </c>
      <c r="F9104" s="1109">
        <v>16.13</v>
      </c>
      <c r="I9104" s="271">
        <v>2013</v>
      </c>
      <c r="J9104" s="325" t="s">
        <v>366</v>
      </c>
      <c r="K9104" s="325" t="s">
        <v>1422</v>
      </c>
      <c r="L9104" s="325" t="s">
        <v>315</v>
      </c>
      <c r="M9104" s="325" t="s">
        <v>1423</v>
      </c>
      <c r="N9104" s="325" t="s">
        <v>1424</v>
      </c>
      <c r="O9104" s="548">
        <v>1225</v>
      </c>
      <c r="P9104" s="548">
        <v>1450</v>
      </c>
      <c r="Q9104" s="280">
        <v>15.409090909090908</v>
      </c>
      <c r="R9104" s="280">
        <v>0.64102564102564097</v>
      </c>
      <c r="S9104" s="280"/>
      <c r="T9104" s="1110">
        <v>3.25</v>
      </c>
      <c r="U9104" s="280"/>
      <c r="V9104" s="326" t="s">
        <v>1425</v>
      </c>
    </row>
    <row r="9105" spans="2:22">
      <c r="B9105" s="136" t="s">
        <v>366</v>
      </c>
      <c r="C9105" s="132" t="s">
        <v>315</v>
      </c>
      <c r="D9105" s="325">
        <v>1225</v>
      </c>
      <c r="E9105" s="132" t="s">
        <v>283</v>
      </c>
      <c r="F9105" s="1109">
        <v>0.5</v>
      </c>
      <c r="I9105" s="271">
        <v>2013</v>
      </c>
      <c r="J9105" s="325" t="s">
        <v>366</v>
      </c>
      <c r="K9105" s="325" t="s">
        <v>1422</v>
      </c>
      <c r="L9105" s="325" t="s">
        <v>313</v>
      </c>
      <c r="M9105" s="325" t="s">
        <v>1423</v>
      </c>
      <c r="N9105" s="325" t="s">
        <v>1424</v>
      </c>
      <c r="O9105" s="548">
        <v>1225</v>
      </c>
      <c r="P9105" s="548">
        <v>1450</v>
      </c>
      <c r="Q9105" s="280">
        <v>15.409090909090908</v>
      </c>
      <c r="R9105" s="280">
        <v>0.64102564102564097</v>
      </c>
      <c r="S9105" s="280"/>
      <c r="T9105" s="1110">
        <v>3.25</v>
      </c>
      <c r="U9105" s="280"/>
      <c r="V9105" s="326" t="s">
        <v>1425</v>
      </c>
    </row>
    <row r="9106" spans="2:22">
      <c r="B9106" s="136" t="s">
        <v>366</v>
      </c>
      <c r="C9106" s="132" t="s">
        <v>315</v>
      </c>
      <c r="D9106" s="325">
        <v>1225</v>
      </c>
      <c r="E9106" s="132" t="s">
        <v>284</v>
      </c>
      <c r="F9106" s="1109">
        <v>1</v>
      </c>
      <c r="I9106" s="271">
        <v>2013</v>
      </c>
      <c r="J9106" s="325" t="s">
        <v>366</v>
      </c>
      <c r="K9106" s="325" t="s">
        <v>1422</v>
      </c>
      <c r="L9106" s="325" t="s">
        <v>308</v>
      </c>
      <c r="M9106" s="325" t="s">
        <v>1423</v>
      </c>
      <c r="N9106" s="325" t="s">
        <v>1426</v>
      </c>
      <c r="O9106" s="548">
        <v>1225</v>
      </c>
      <c r="P9106" s="548">
        <v>1425</v>
      </c>
      <c r="Q9106" s="280">
        <v>12.954545454545453</v>
      </c>
      <c r="R9106" s="280">
        <v>0.67567567567567566</v>
      </c>
      <c r="S9106" s="280"/>
      <c r="T9106" s="1110">
        <v>3.25</v>
      </c>
      <c r="U9106" s="280"/>
      <c r="V9106" s="326" t="s">
        <v>1425</v>
      </c>
    </row>
    <row r="9107" spans="2:22">
      <c r="B9107" s="136" t="s">
        <v>366</v>
      </c>
      <c r="C9107" s="132" t="s">
        <v>315</v>
      </c>
      <c r="D9107" s="325">
        <v>1225</v>
      </c>
      <c r="E9107" s="132" t="s">
        <v>1379</v>
      </c>
      <c r="F9107" s="1109">
        <v>1</v>
      </c>
      <c r="I9107" s="271">
        <v>2013</v>
      </c>
      <c r="J9107" s="325" t="s">
        <v>366</v>
      </c>
      <c r="K9107" s="325" t="s">
        <v>1422</v>
      </c>
      <c r="L9107" s="325" t="s">
        <v>307</v>
      </c>
      <c r="M9107" s="325" t="s">
        <v>1423</v>
      </c>
      <c r="N9107" s="325" t="s">
        <v>1427</v>
      </c>
      <c r="O9107" s="548">
        <v>1000</v>
      </c>
      <c r="P9107" s="548">
        <v>1100</v>
      </c>
      <c r="Q9107" s="280">
        <v>26.727272727272727</v>
      </c>
      <c r="R9107" s="280">
        <v>0.7142857142857143</v>
      </c>
      <c r="S9107" s="280"/>
      <c r="T9107" s="280">
        <v>10</v>
      </c>
      <c r="U9107" s="280"/>
      <c r="V9107" s="326" t="s">
        <v>1425</v>
      </c>
    </row>
    <row r="9108" spans="2:22">
      <c r="B9108" s="136" t="s">
        <v>366</v>
      </c>
      <c r="C9108" s="132" t="s">
        <v>315</v>
      </c>
      <c r="D9108" s="325">
        <v>1225</v>
      </c>
      <c r="E9108" s="132" t="s">
        <v>285</v>
      </c>
      <c r="F9108" s="1109">
        <v>1</v>
      </c>
      <c r="I9108" s="271">
        <v>2013</v>
      </c>
      <c r="J9108" s="325" t="s">
        <v>366</v>
      </c>
      <c r="K9108" s="325" t="s">
        <v>1422</v>
      </c>
      <c r="L9108" s="325" t="s">
        <v>311</v>
      </c>
      <c r="M9108" s="325" t="s">
        <v>1423</v>
      </c>
      <c r="N9108" s="325" t="s">
        <v>1428</v>
      </c>
      <c r="O9108" s="548">
        <v>1000</v>
      </c>
      <c r="P9108" s="548">
        <v>1250</v>
      </c>
      <c r="Q9108" s="280">
        <v>21.27272727272727</v>
      </c>
      <c r="R9108" s="280">
        <v>0.5</v>
      </c>
      <c r="S9108" s="280"/>
      <c r="T9108" s="280">
        <v>10</v>
      </c>
      <c r="U9108" s="280"/>
      <c r="V9108" s="326" t="s">
        <v>1425</v>
      </c>
    </row>
    <row r="9109" spans="2:22">
      <c r="B9109" s="136" t="s">
        <v>366</v>
      </c>
      <c r="C9109" s="132" t="s">
        <v>315</v>
      </c>
      <c r="D9109" s="325">
        <v>1225</v>
      </c>
      <c r="E9109" s="132" t="s">
        <v>1380</v>
      </c>
      <c r="F9109" s="1109">
        <v>1</v>
      </c>
      <c r="I9109" s="271">
        <v>2013</v>
      </c>
      <c r="J9109" s="325" t="s">
        <v>366</v>
      </c>
      <c r="K9109" s="325" t="s">
        <v>1422</v>
      </c>
      <c r="L9109" s="325" t="s">
        <v>309</v>
      </c>
      <c r="M9109" s="325" t="s">
        <v>1423</v>
      </c>
      <c r="N9109" s="325" t="s">
        <v>1428</v>
      </c>
      <c r="O9109" s="548">
        <v>1000</v>
      </c>
      <c r="P9109" s="548">
        <v>1250</v>
      </c>
      <c r="Q9109" s="280">
        <v>21.27272727272727</v>
      </c>
      <c r="R9109" s="280">
        <v>0.5</v>
      </c>
      <c r="S9109" s="280"/>
      <c r="T9109" s="280">
        <v>10</v>
      </c>
      <c r="U9109" s="280"/>
      <c r="V9109" s="326" t="s">
        <v>1425</v>
      </c>
    </row>
    <row r="9110" spans="2:22">
      <c r="B9110" s="136" t="s">
        <v>366</v>
      </c>
      <c r="C9110" s="132" t="s">
        <v>315</v>
      </c>
      <c r="D9110" s="325">
        <v>1225</v>
      </c>
      <c r="E9110" s="132" t="s">
        <v>281</v>
      </c>
      <c r="F9110" s="1109">
        <v>1</v>
      </c>
      <c r="I9110" s="271">
        <v>2013</v>
      </c>
      <c r="J9110" s="325" t="s">
        <v>366</v>
      </c>
      <c r="K9110" s="325" t="s">
        <v>1422</v>
      </c>
      <c r="L9110" s="325" t="s">
        <v>306</v>
      </c>
      <c r="M9110" s="325" t="s">
        <v>1423</v>
      </c>
      <c r="N9110" s="325" t="s">
        <v>1429</v>
      </c>
      <c r="O9110" s="548">
        <v>1000</v>
      </c>
      <c r="P9110" s="548">
        <v>1100</v>
      </c>
      <c r="Q9110" s="280">
        <v>26.727272727272727</v>
      </c>
      <c r="R9110" s="280">
        <v>0.7142857142857143</v>
      </c>
      <c r="S9110" s="280"/>
      <c r="T9110" s="280">
        <v>10</v>
      </c>
      <c r="U9110" s="280"/>
      <c r="V9110" s="326" t="s">
        <v>1425</v>
      </c>
    </row>
    <row r="9111" spans="2:22">
      <c r="B9111" s="136" t="s">
        <v>366</v>
      </c>
      <c r="C9111" s="132" t="s">
        <v>315</v>
      </c>
      <c r="D9111" s="325">
        <v>1225</v>
      </c>
      <c r="E9111" s="132" t="s">
        <v>1384</v>
      </c>
      <c r="F9111" s="1109">
        <v>1</v>
      </c>
      <c r="I9111" s="271">
        <v>2013</v>
      </c>
      <c r="J9111" s="325" t="s">
        <v>366</v>
      </c>
      <c r="K9111" s="325" t="s">
        <v>1422</v>
      </c>
      <c r="L9111" s="325" t="s">
        <v>1430</v>
      </c>
      <c r="M9111" s="325" t="s">
        <v>1431</v>
      </c>
      <c r="N9111" s="325" t="s">
        <v>1432</v>
      </c>
      <c r="O9111" s="548">
        <v>371.375</v>
      </c>
      <c r="P9111" s="548">
        <v>404.25</v>
      </c>
      <c r="Q9111" s="280">
        <v>1.3401118707271598</v>
      </c>
      <c r="R9111" s="280">
        <v>0.86305418719211813</v>
      </c>
      <c r="S9111" s="280">
        <v>1.1858552631578945</v>
      </c>
      <c r="T9111" s="280">
        <v>0.54306122448979588</v>
      </c>
      <c r="U9111" s="280">
        <v>1.3131313131313134</v>
      </c>
      <c r="V9111" s="326" t="s">
        <v>1425</v>
      </c>
    </row>
    <row r="9112" spans="2:22">
      <c r="B9112" s="136" t="s">
        <v>366</v>
      </c>
      <c r="C9112" s="132" t="s">
        <v>313</v>
      </c>
      <c r="D9112" s="325">
        <v>1225</v>
      </c>
      <c r="E9112" s="132" t="s">
        <v>282</v>
      </c>
      <c r="F9112" s="1109">
        <v>15.2</v>
      </c>
      <c r="I9112" s="271">
        <v>2013</v>
      </c>
      <c r="J9112" s="325" t="s">
        <v>218</v>
      </c>
      <c r="K9112" s="325" t="s">
        <v>1422</v>
      </c>
      <c r="L9112" s="325" t="s">
        <v>315</v>
      </c>
      <c r="M9112" s="325" t="s">
        <v>1423</v>
      </c>
      <c r="N9112" s="325" t="s">
        <v>1424</v>
      </c>
      <c r="O9112" s="548">
        <v>1225</v>
      </c>
      <c r="P9112" s="548">
        <v>1450</v>
      </c>
      <c r="Q9112" s="280">
        <v>15.409090909090908</v>
      </c>
      <c r="R9112" s="280">
        <v>0.64102564102564097</v>
      </c>
      <c r="S9112" s="280"/>
      <c r="T9112" s="1110">
        <v>3.25</v>
      </c>
      <c r="U9112" s="280"/>
      <c r="V9112" s="326" t="s">
        <v>1425</v>
      </c>
    </row>
    <row r="9113" spans="2:22">
      <c r="B9113" s="136" t="s">
        <v>366</v>
      </c>
      <c r="C9113" s="132" t="s">
        <v>313</v>
      </c>
      <c r="D9113" s="325">
        <v>1225</v>
      </c>
      <c r="E9113" s="132" t="s">
        <v>283</v>
      </c>
      <c r="F9113" s="1109">
        <v>0.5</v>
      </c>
      <c r="I9113" s="271">
        <v>2013</v>
      </c>
      <c r="J9113" s="325" t="s">
        <v>218</v>
      </c>
      <c r="K9113" s="325" t="s">
        <v>1422</v>
      </c>
      <c r="L9113" s="325" t="s">
        <v>313</v>
      </c>
      <c r="M9113" s="325" t="s">
        <v>1423</v>
      </c>
      <c r="N9113" s="325" t="s">
        <v>1424</v>
      </c>
      <c r="O9113" s="548">
        <v>1225</v>
      </c>
      <c r="P9113" s="548">
        <v>1450</v>
      </c>
      <c r="Q9113" s="280">
        <v>15.409090909090908</v>
      </c>
      <c r="R9113" s="280">
        <v>0.64102564102564097</v>
      </c>
      <c r="S9113" s="280"/>
      <c r="T9113" s="1110">
        <v>3.25</v>
      </c>
      <c r="U9113" s="280"/>
      <c r="V9113" s="326" t="s">
        <v>1425</v>
      </c>
    </row>
    <row r="9114" spans="2:22">
      <c r="B9114" s="136" t="s">
        <v>366</v>
      </c>
      <c r="C9114" s="132" t="s">
        <v>313</v>
      </c>
      <c r="D9114" s="325">
        <v>1225</v>
      </c>
      <c r="E9114" s="132" t="s">
        <v>284</v>
      </c>
      <c r="F9114" s="1109">
        <v>1</v>
      </c>
      <c r="I9114" s="271">
        <v>2013</v>
      </c>
      <c r="J9114" s="325" t="s">
        <v>218</v>
      </c>
      <c r="K9114" s="325" t="s">
        <v>1422</v>
      </c>
      <c r="L9114" s="325" t="s">
        <v>308</v>
      </c>
      <c r="M9114" s="325" t="s">
        <v>1423</v>
      </c>
      <c r="N9114" s="325" t="s">
        <v>1426</v>
      </c>
      <c r="O9114" s="548">
        <v>1225</v>
      </c>
      <c r="P9114" s="548">
        <v>1425</v>
      </c>
      <c r="Q9114" s="280">
        <v>12.954545454545453</v>
      </c>
      <c r="R9114" s="280">
        <v>0.67567567567567566</v>
      </c>
      <c r="S9114" s="280"/>
      <c r="T9114" s="1110">
        <v>3.25</v>
      </c>
      <c r="U9114" s="280"/>
      <c r="V9114" s="326" t="s">
        <v>1425</v>
      </c>
    </row>
    <row r="9115" spans="2:22">
      <c r="B9115" s="136" t="s">
        <v>366</v>
      </c>
      <c r="C9115" s="132" t="s">
        <v>313</v>
      </c>
      <c r="D9115" s="325">
        <v>1225</v>
      </c>
      <c r="E9115" s="132" t="s">
        <v>1379</v>
      </c>
      <c r="F9115" s="1109">
        <v>1</v>
      </c>
      <c r="I9115" s="271">
        <v>2013</v>
      </c>
      <c r="J9115" s="325" t="s">
        <v>218</v>
      </c>
      <c r="K9115" s="325" t="s">
        <v>1422</v>
      </c>
      <c r="L9115" s="325" t="s">
        <v>307</v>
      </c>
      <c r="M9115" s="325" t="s">
        <v>1423</v>
      </c>
      <c r="N9115" s="325" t="s">
        <v>1427</v>
      </c>
      <c r="O9115" s="548">
        <v>1000</v>
      </c>
      <c r="P9115" s="548">
        <v>1100</v>
      </c>
      <c r="Q9115" s="280">
        <v>26.727272727272727</v>
      </c>
      <c r="R9115" s="280">
        <v>0.7142857142857143</v>
      </c>
      <c r="S9115" s="280"/>
      <c r="T9115" s="280">
        <v>10</v>
      </c>
      <c r="U9115" s="280"/>
      <c r="V9115" s="326" t="s">
        <v>1425</v>
      </c>
    </row>
    <row r="9116" spans="2:22">
      <c r="B9116" s="136" t="s">
        <v>366</v>
      </c>
      <c r="C9116" s="132" t="s">
        <v>313</v>
      </c>
      <c r="D9116" s="325">
        <v>1225</v>
      </c>
      <c r="E9116" s="132" t="s">
        <v>285</v>
      </c>
      <c r="F9116" s="1109">
        <v>1</v>
      </c>
      <c r="I9116" s="271">
        <v>2013</v>
      </c>
      <c r="J9116" s="325" t="s">
        <v>218</v>
      </c>
      <c r="K9116" s="325" t="s">
        <v>1422</v>
      </c>
      <c r="L9116" s="325" t="s">
        <v>311</v>
      </c>
      <c r="M9116" s="325" t="s">
        <v>1423</v>
      </c>
      <c r="N9116" s="325" t="s">
        <v>1428</v>
      </c>
      <c r="O9116" s="548">
        <v>1000</v>
      </c>
      <c r="P9116" s="548">
        <v>1250</v>
      </c>
      <c r="Q9116" s="280">
        <v>21.27272727272727</v>
      </c>
      <c r="R9116" s="280">
        <v>0.5</v>
      </c>
      <c r="S9116" s="280"/>
      <c r="T9116" s="280">
        <v>10</v>
      </c>
      <c r="U9116" s="280"/>
      <c r="V9116" s="326" t="s">
        <v>1425</v>
      </c>
    </row>
    <row r="9117" spans="2:22">
      <c r="B9117" s="136" t="s">
        <v>366</v>
      </c>
      <c r="C9117" s="132" t="s">
        <v>313</v>
      </c>
      <c r="D9117" s="325">
        <v>1225</v>
      </c>
      <c r="E9117" s="132" t="s">
        <v>1380</v>
      </c>
      <c r="F9117" s="1109">
        <v>1</v>
      </c>
      <c r="I9117" s="271">
        <v>2013</v>
      </c>
      <c r="J9117" s="325" t="s">
        <v>218</v>
      </c>
      <c r="K9117" s="325" t="s">
        <v>1422</v>
      </c>
      <c r="L9117" s="325" t="s">
        <v>309</v>
      </c>
      <c r="M9117" s="325" t="s">
        <v>1423</v>
      </c>
      <c r="N9117" s="325" t="s">
        <v>1428</v>
      </c>
      <c r="O9117" s="548">
        <v>1000</v>
      </c>
      <c r="P9117" s="548">
        <v>1250</v>
      </c>
      <c r="Q9117" s="280">
        <v>21.27272727272727</v>
      </c>
      <c r="R9117" s="280">
        <v>0.5</v>
      </c>
      <c r="S9117" s="280"/>
      <c r="T9117" s="280">
        <v>10</v>
      </c>
      <c r="U9117" s="280"/>
      <c r="V9117" s="326" t="s">
        <v>1425</v>
      </c>
    </row>
    <row r="9118" spans="2:22">
      <c r="B9118" s="136" t="s">
        <v>366</v>
      </c>
      <c r="C9118" s="132" t="s">
        <v>313</v>
      </c>
      <c r="D9118" s="325">
        <v>1225</v>
      </c>
      <c r="E9118" s="132" t="s">
        <v>281</v>
      </c>
      <c r="F9118" s="1109">
        <v>1</v>
      </c>
      <c r="I9118" s="271">
        <v>2013</v>
      </c>
      <c r="J9118" s="325" t="s">
        <v>218</v>
      </c>
      <c r="K9118" s="325" t="s">
        <v>1422</v>
      </c>
      <c r="L9118" s="325" t="s">
        <v>306</v>
      </c>
      <c r="M9118" s="325" t="s">
        <v>1423</v>
      </c>
      <c r="N9118" s="325" t="s">
        <v>1429</v>
      </c>
      <c r="O9118" s="548">
        <v>1000</v>
      </c>
      <c r="P9118" s="548">
        <v>1100</v>
      </c>
      <c r="Q9118" s="280">
        <v>26.727272727272727</v>
      </c>
      <c r="R9118" s="280">
        <v>0.7142857142857143</v>
      </c>
      <c r="S9118" s="280"/>
      <c r="T9118" s="280">
        <v>10</v>
      </c>
      <c r="U9118" s="280"/>
      <c r="V9118" s="326" t="s">
        <v>1425</v>
      </c>
    </row>
    <row r="9119" spans="2:22">
      <c r="B9119" s="136" t="s">
        <v>366</v>
      </c>
      <c r="C9119" s="132" t="s">
        <v>313</v>
      </c>
      <c r="D9119" s="325">
        <v>1225</v>
      </c>
      <c r="E9119" s="132" t="s">
        <v>1384</v>
      </c>
      <c r="F9119" s="1109">
        <v>1</v>
      </c>
      <c r="I9119" s="271">
        <v>2013</v>
      </c>
      <c r="J9119" s="325" t="s">
        <v>218</v>
      </c>
      <c r="K9119" s="325" t="s">
        <v>1422</v>
      </c>
      <c r="L9119" s="325" t="s">
        <v>1430</v>
      </c>
      <c r="M9119" s="325" t="s">
        <v>1431</v>
      </c>
      <c r="N9119" s="325" t="s">
        <v>1432</v>
      </c>
      <c r="O9119" s="548">
        <v>371.375</v>
      </c>
      <c r="P9119" s="548">
        <v>404.25</v>
      </c>
      <c r="Q9119" s="280">
        <v>1.3401118707271598</v>
      </c>
      <c r="R9119" s="280">
        <v>0.86305418719211813</v>
      </c>
      <c r="S9119" s="280">
        <v>1.1858552631578945</v>
      </c>
      <c r="T9119" s="280">
        <v>0.54306122448979588</v>
      </c>
      <c r="U9119" s="280">
        <v>1.3131313131313134</v>
      </c>
      <c r="V9119" s="326" t="s">
        <v>1425</v>
      </c>
    </row>
    <row r="9120" spans="2:22">
      <c r="B9120" s="136" t="s">
        <v>366</v>
      </c>
      <c r="C9120" s="132" t="s">
        <v>304</v>
      </c>
      <c r="D9120" s="325">
        <v>371</v>
      </c>
      <c r="E9120" s="132" t="s">
        <v>282</v>
      </c>
      <c r="F9120" s="1109">
        <v>1</v>
      </c>
      <c r="I9120" s="271">
        <v>2013</v>
      </c>
      <c r="J9120" s="325" t="s">
        <v>1433</v>
      </c>
      <c r="K9120" s="325" t="s">
        <v>1422</v>
      </c>
      <c r="L9120" s="325" t="s">
        <v>315</v>
      </c>
      <c r="M9120" s="325" t="s">
        <v>1423</v>
      </c>
      <c r="N9120" s="325" t="s">
        <v>1434</v>
      </c>
      <c r="O9120" s="548">
        <v>1750</v>
      </c>
      <c r="P9120" s="548">
        <v>1750</v>
      </c>
      <c r="Q9120" s="280">
        <v>0.21999999999999997</v>
      </c>
      <c r="R9120" s="280">
        <v>0.63181818181818183</v>
      </c>
      <c r="S9120" s="280"/>
      <c r="T9120" s="280">
        <v>0.4</v>
      </c>
      <c r="U9120" s="280"/>
      <c r="V9120" s="326" t="s">
        <v>1425</v>
      </c>
    </row>
    <row r="9121" spans="2:22">
      <c r="B9121" s="136" t="s">
        <v>366</v>
      </c>
      <c r="C9121" s="132" t="s">
        <v>304</v>
      </c>
      <c r="D9121" s="325">
        <v>371</v>
      </c>
      <c r="E9121" s="132" t="s">
        <v>283</v>
      </c>
      <c r="F9121" s="1109">
        <v>1</v>
      </c>
      <c r="I9121" s="271">
        <v>2013</v>
      </c>
      <c r="J9121" s="325" t="s">
        <v>1433</v>
      </c>
      <c r="K9121" s="325" t="s">
        <v>1422</v>
      </c>
      <c r="L9121" s="325" t="s">
        <v>313</v>
      </c>
      <c r="M9121" s="325" t="s">
        <v>1423</v>
      </c>
      <c r="N9121" s="325" t="s">
        <v>1434</v>
      </c>
      <c r="O9121" s="548">
        <v>1750</v>
      </c>
      <c r="P9121" s="548">
        <v>1750</v>
      </c>
      <c r="Q9121" s="280">
        <v>0.21999999999999997</v>
      </c>
      <c r="R9121" s="280">
        <v>0.63181818181818183</v>
      </c>
      <c r="S9121" s="280"/>
      <c r="T9121" s="280">
        <v>0.4</v>
      </c>
      <c r="U9121" s="280"/>
      <c r="V9121" s="326" t="s">
        <v>1425</v>
      </c>
    </row>
    <row r="9122" spans="2:22">
      <c r="B9122" s="136" t="s">
        <v>366</v>
      </c>
      <c r="C9122" s="132" t="s">
        <v>304</v>
      </c>
      <c r="D9122" s="325">
        <v>371</v>
      </c>
      <c r="E9122" s="132" t="s">
        <v>284</v>
      </c>
      <c r="F9122" s="1109">
        <v>1</v>
      </c>
      <c r="I9122" s="271">
        <v>2013</v>
      </c>
      <c r="J9122" s="325" t="s">
        <v>217</v>
      </c>
      <c r="K9122" s="325" t="s">
        <v>1422</v>
      </c>
      <c r="L9122" s="325" t="s">
        <v>1430</v>
      </c>
      <c r="M9122" s="325" t="s">
        <v>1431</v>
      </c>
      <c r="N9122" s="325" t="s">
        <v>1432</v>
      </c>
      <c r="O9122" s="548">
        <v>423.75</v>
      </c>
      <c r="P9122" s="548">
        <v>407.33333333333331</v>
      </c>
      <c r="Q9122" s="280">
        <v>1.3488245438867206</v>
      </c>
      <c r="R9122" s="280">
        <v>0.90604575163398671</v>
      </c>
      <c r="S9122" s="280">
        <v>1.5253654970760233</v>
      </c>
      <c r="T9122" s="280">
        <v>1.4642156862745102</v>
      </c>
      <c r="U9122" s="280">
        <v>3.7575757575757573</v>
      </c>
      <c r="V9122" s="326" t="s">
        <v>1425</v>
      </c>
    </row>
    <row r="9123" spans="2:22">
      <c r="B9123" s="136" t="s">
        <v>366</v>
      </c>
      <c r="C9123" s="132" t="s">
        <v>304</v>
      </c>
      <c r="D9123" s="325">
        <v>371</v>
      </c>
      <c r="E9123" s="132" t="s">
        <v>1379</v>
      </c>
      <c r="F9123" s="1109">
        <v>1</v>
      </c>
      <c r="I9123" s="271">
        <v>2013</v>
      </c>
      <c r="J9123" s="325" t="s">
        <v>217</v>
      </c>
      <c r="K9123" s="325" t="s">
        <v>1422</v>
      </c>
      <c r="L9123" s="325" t="s">
        <v>306</v>
      </c>
      <c r="M9123" s="325" t="s">
        <v>1431</v>
      </c>
      <c r="N9123" s="325" t="s">
        <v>1432</v>
      </c>
      <c r="O9123" s="548">
        <v>423.75</v>
      </c>
      <c r="P9123" s="548">
        <v>407.33333333333331</v>
      </c>
      <c r="Q9123" s="280">
        <v>1.3488245438867206</v>
      </c>
      <c r="R9123" s="280">
        <v>0.90604575163398671</v>
      </c>
      <c r="S9123" s="280">
        <v>1.5253654970760233</v>
      </c>
      <c r="T9123" s="280">
        <v>1.4642156862745102</v>
      </c>
      <c r="U9123" s="280">
        <v>3.7575757575757573</v>
      </c>
      <c r="V9123" s="326" t="s">
        <v>1425</v>
      </c>
    </row>
    <row r="9124" spans="2:22">
      <c r="B9124" s="136" t="s">
        <v>366</v>
      </c>
      <c r="C9124" s="132" t="s">
        <v>304</v>
      </c>
      <c r="D9124" s="325">
        <v>371</v>
      </c>
      <c r="E9124" s="132" t="s">
        <v>285</v>
      </c>
      <c r="F9124" s="1109">
        <v>1</v>
      </c>
      <c r="I9124" s="271">
        <v>2013</v>
      </c>
      <c r="J9124" s="325" t="s">
        <v>217</v>
      </c>
      <c r="K9124" s="325" t="s">
        <v>1422</v>
      </c>
      <c r="L9124" s="325" t="s">
        <v>311</v>
      </c>
      <c r="M9124" s="325" t="s">
        <v>1431</v>
      </c>
      <c r="N9124" s="325" t="s">
        <v>1432</v>
      </c>
      <c r="O9124" s="548">
        <v>423.75</v>
      </c>
      <c r="P9124" s="548">
        <v>407.33333333333331</v>
      </c>
      <c r="Q9124" s="280">
        <v>1.3488245438867206</v>
      </c>
      <c r="R9124" s="280">
        <v>0.90604575163398671</v>
      </c>
      <c r="S9124" s="280">
        <v>1.5253654970760233</v>
      </c>
      <c r="T9124" s="280">
        <v>1.4642156862745102</v>
      </c>
      <c r="U9124" s="280">
        <v>3.7575757575757573</v>
      </c>
      <c r="V9124" s="326" t="s">
        <v>1425</v>
      </c>
    </row>
    <row r="9125" spans="2:22">
      <c r="B9125" s="136" t="s">
        <v>366</v>
      </c>
      <c r="C9125" s="132" t="s">
        <v>304</v>
      </c>
      <c r="D9125" s="325">
        <v>371</v>
      </c>
      <c r="E9125" s="132" t="s">
        <v>1380</v>
      </c>
      <c r="F9125" s="1109">
        <v>1</v>
      </c>
      <c r="I9125" s="271">
        <v>2013</v>
      </c>
      <c r="J9125" s="325" t="s">
        <v>217</v>
      </c>
      <c r="K9125" s="325" t="s">
        <v>1422</v>
      </c>
      <c r="L9125" s="325" t="s">
        <v>309</v>
      </c>
      <c r="M9125" s="325" t="s">
        <v>1431</v>
      </c>
      <c r="N9125" s="325" t="s">
        <v>1432</v>
      </c>
      <c r="O9125" s="548">
        <v>423.75</v>
      </c>
      <c r="P9125" s="548">
        <v>407.33333333333331</v>
      </c>
      <c r="Q9125" s="280">
        <v>1.3488245438867206</v>
      </c>
      <c r="R9125" s="280">
        <v>0.90604575163398671</v>
      </c>
      <c r="S9125" s="280">
        <v>1.5253654970760233</v>
      </c>
      <c r="T9125" s="280">
        <v>1.4642156862745102</v>
      </c>
      <c r="U9125" s="280">
        <v>3.7575757575757573</v>
      </c>
      <c r="V9125" s="326" t="s">
        <v>1425</v>
      </c>
    </row>
    <row r="9126" spans="2:22">
      <c r="B9126" s="136" t="s">
        <v>366</v>
      </c>
      <c r="C9126" s="132" t="s">
        <v>304</v>
      </c>
      <c r="D9126" s="325">
        <v>371</v>
      </c>
      <c r="E9126" s="132" t="s">
        <v>281</v>
      </c>
      <c r="F9126" s="1109">
        <v>1</v>
      </c>
      <c r="I9126" s="271">
        <v>2013</v>
      </c>
      <c r="J9126" s="325" t="s">
        <v>365</v>
      </c>
      <c r="K9126" s="325" t="s">
        <v>1422</v>
      </c>
      <c r="L9126" s="325" t="s">
        <v>1430</v>
      </c>
      <c r="M9126" s="325" t="s">
        <v>1431</v>
      </c>
      <c r="N9126" s="325" t="s">
        <v>1432</v>
      </c>
      <c r="O9126" s="548">
        <v>373</v>
      </c>
      <c r="P9126" s="548">
        <v>380</v>
      </c>
      <c r="Q9126" s="280">
        <v>1.0858329487771112</v>
      </c>
      <c r="R9126" s="280">
        <v>1.3314917127071824</v>
      </c>
      <c r="S9126" s="280">
        <v>1.4475877192982456</v>
      </c>
      <c r="T9126" s="280">
        <v>0.85185185185185186</v>
      </c>
      <c r="U9126" s="280">
        <v>0.68686868686868696</v>
      </c>
      <c r="V9126" s="326" t="s">
        <v>1425</v>
      </c>
    </row>
    <row r="9127" spans="2:22">
      <c r="B9127" s="136" t="s">
        <v>366</v>
      </c>
      <c r="C9127" s="132" t="s">
        <v>304</v>
      </c>
      <c r="D9127" s="325">
        <v>371</v>
      </c>
      <c r="E9127" s="132" t="s">
        <v>1384</v>
      </c>
      <c r="F9127" s="1109">
        <v>0.5</v>
      </c>
      <c r="I9127" s="271">
        <v>2013</v>
      </c>
      <c r="J9127" s="325" t="s">
        <v>365</v>
      </c>
      <c r="K9127" s="325" t="s">
        <v>1422</v>
      </c>
      <c r="L9127" s="325" t="s">
        <v>306</v>
      </c>
      <c r="M9127" s="325" t="s">
        <v>1431</v>
      </c>
      <c r="N9127" s="325" t="s">
        <v>1432</v>
      </c>
      <c r="O9127" s="548">
        <v>373</v>
      </c>
      <c r="P9127" s="548">
        <v>380</v>
      </c>
      <c r="Q9127" s="280">
        <v>1.0858329487771112</v>
      </c>
      <c r="R9127" s="280">
        <v>1.3314917127071824</v>
      </c>
      <c r="S9127" s="280">
        <v>1.4475877192982456</v>
      </c>
      <c r="T9127" s="280">
        <v>0.85185185185185186</v>
      </c>
      <c r="U9127" s="280">
        <v>0.68686868686868696</v>
      </c>
      <c r="V9127" s="326" t="s">
        <v>1425</v>
      </c>
    </row>
    <row r="9128" spans="2:22">
      <c r="B9128" s="136" t="s">
        <v>366</v>
      </c>
      <c r="C9128" s="132" t="s">
        <v>300</v>
      </c>
      <c r="D9128" s="325" t="s">
        <v>800</v>
      </c>
      <c r="E9128" s="132" t="s">
        <v>282</v>
      </c>
      <c r="F9128" s="1109">
        <v>1</v>
      </c>
      <c r="I9128" s="271">
        <v>2013</v>
      </c>
      <c r="J9128" s="325" t="s">
        <v>365</v>
      </c>
      <c r="K9128" s="325" t="s">
        <v>1422</v>
      </c>
      <c r="L9128" s="325" t="s">
        <v>311</v>
      </c>
      <c r="M9128" s="325" t="s">
        <v>1431</v>
      </c>
      <c r="N9128" s="325" t="s">
        <v>1432</v>
      </c>
      <c r="O9128" s="548">
        <v>373</v>
      </c>
      <c r="P9128" s="548">
        <v>380</v>
      </c>
      <c r="Q9128" s="280">
        <v>1.0858329487771112</v>
      </c>
      <c r="R9128" s="280">
        <v>1.3314917127071824</v>
      </c>
      <c r="S9128" s="280">
        <v>1.4475877192982456</v>
      </c>
      <c r="T9128" s="280">
        <v>0.85185185185185186</v>
      </c>
      <c r="U9128" s="280">
        <v>0.68686868686868696</v>
      </c>
      <c r="V9128" s="326" t="s">
        <v>1425</v>
      </c>
    </row>
    <row r="9129" spans="2:22">
      <c r="B9129" s="136" t="s">
        <v>366</v>
      </c>
      <c r="C9129" s="132" t="s">
        <v>300</v>
      </c>
      <c r="D9129" s="325" t="s">
        <v>800</v>
      </c>
      <c r="E9129" s="132" t="s">
        <v>283</v>
      </c>
      <c r="F9129" s="1109">
        <v>1</v>
      </c>
      <c r="I9129" s="271">
        <v>2013</v>
      </c>
      <c r="J9129" s="325" t="s">
        <v>365</v>
      </c>
      <c r="K9129" s="325" t="s">
        <v>1422</v>
      </c>
      <c r="L9129" s="325" t="s">
        <v>309</v>
      </c>
      <c r="M9129" s="325" t="s">
        <v>1431</v>
      </c>
      <c r="N9129" s="325" t="s">
        <v>1432</v>
      </c>
      <c r="O9129" s="548">
        <v>373</v>
      </c>
      <c r="P9129" s="548">
        <v>380</v>
      </c>
      <c r="Q9129" s="280">
        <v>1.0858329487771112</v>
      </c>
      <c r="R9129" s="280">
        <v>1.3314917127071824</v>
      </c>
      <c r="S9129" s="280">
        <v>1.4475877192982456</v>
      </c>
      <c r="T9129" s="280">
        <v>0.85185185185185186</v>
      </c>
      <c r="U9129" s="280">
        <v>0.68686868686868696</v>
      </c>
      <c r="V9129" s="326" t="s">
        <v>1425</v>
      </c>
    </row>
    <row r="9130" spans="2:22">
      <c r="B9130" s="136" t="s">
        <v>366</v>
      </c>
      <c r="C9130" s="132" t="s">
        <v>300</v>
      </c>
      <c r="D9130" s="325" t="s">
        <v>800</v>
      </c>
      <c r="E9130" s="132" t="s">
        <v>284</v>
      </c>
      <c r="F9130" s="1109">
        <v>1</v>
      </c>
      <c r="I9130" s="271">
        <v>2013</v>
      </c>
      <c r="J9130" s="325" t="s">
        <v>366</v>
      </c>
      <c r="K9130" s="325" t="s">
        <v>1422</v>
      </c>
      <c r="L9130" s="325" t="s">
        <v>1435</v>
      </c>
      <c r="M9130" s="325" t="s">
        <v>1431</v>
      </c>
      <c r="N9130" s="325"/>
      <c r="O9130" s="1111" t="s">
        <v>800</v>
      </c>
      <c r="P9130" s="1111" t="s">
        <v>800</v>
      </c>
      <c r="Q9130" s="280">
        <v>0.72375142966069372</v>
      </c>
      <c r="R9130" s="280">
        <v>0.83600723878214911</v>
      </c>
      <c r="S9130" s="280">
        <v>1</v>
      </c>
      <c r="T9130" s="280">
        <v>0.58646170189498659</v>
      </c>
      <c r="U9130" s="325"/>
      <c r="V9130" s="326" t="s">
        <v>1436</v>
      </c>
    </row>
    <row r="9131" spans="2:22">
      <c r="B9131" s="136" t="s">
        <v>366</v>
      </c>
      <c r="C9131" s="132" t="s">
        <v>300</v>
      </c>
      <c r="D9131" s="325" t="s">
        <v>800</v>
      </c>
      <c r="E9131" s="132" t="s">
        <v>1379</v>
      </c>
      <c r="F9131" s="1109">
        <v>1</v>
      </c>
      <c r="I9131" s="271">
        <v>2013</v>
      </c>
      <c r="J9131" s="325" t="s">
        <v>366</v>
      </c>
      <c r="K9131" s="325" t="s">
        <v>1422</v>
      </c>
      <c r="L9131" s="325" t="s">
        <v>300</v>
      </c>
      <c r="M9131" s="325" t="s">
        <v>1431</v>
      </c>
      <c r="N9131" s="325"/>
      <c r="O9131" s="1111" t="s">
        <v>800</v>
      </c>
      <c r="P9131" s="1111" t="s">
        <v>800</v>
      </c>
      <c r="Q9131" s="280">
        <v>0.72375142966069372</v>
      </c>
      <c r="R9131" s="280">
        <v>0.83600723878214911</v>
      </c>
      <c r="S9131" s="280">
        <v>1</v>
      </c>
      <c r="T9131" s="280">
        <v>0.58646170189498659</v>
      </c>
      <c r="U9131" s="325"/>
      <c r="V9131" s="326" t="s">
        <v>1436</v>
      </c>
    </row>
    <row r="9132" spans="2:22">
      <c r="B9132" s="136" t="s">
        <v>366</v>
      </c>
      <c r="C9132" s="132" t="s">
        <v>300</v>
      </c>
      <c r="D9132" s="325" t="s">
        <v>800</v>
      </c>
      <c r="E9132" s="132" t="s">
        <v>285</v>
      </c>
      <c r="F9132" s="1109">
        <v>1</v>
      </c>
      <c r="I9132" s="271">
        <v>2013</v>
      </c>
      <c r="J9132" s="325" t="s">
        <v>365</v>
      </c>
      <c r="K9132" s="325" t="s">
        <v>1422</v>
      </c>
      <c r="L9132" s="325" t="s">
        <v>1435</v>
      </c>
      <c r="M9132" s="325" t="s">
        <v>1431</v>
      </c>
      <c r="N9132" s="325"/>
      <c r="O9132" s="1111" t="s">
        <v>800</v>
      </c>
      <c r="P9132" s="1111" t="s">
        <v>800</v>
      </c>
      <c r="Q9132" s="280">
        <v>0.62358799938488962</v>
      </c>
      <c r="R9132" s="280">
        <v>0.65445056619414665</v>
      </c>
      <c r="S9132" s="280">
        <v>1</v>
      </c>
      <c r="T9132" s="280">
        <v>0.94006634391249777</v>
      </c>
      <c r="U9132" s="325"/>
      <c r="V9132" s="326" t="s">
        <v>1436</v>
      </c>
    </row>
    <row r="9133" spans="2:22">
      <c r="B9133" s="136" t="s">
        <v>366</v>
      </c>
      <c r="C9133" s="132" t="s">
        <v>300</v>
      </c>
      <c r="D9133" s="325" t="s">
        <v>800</v>
      </c>
      <c r="E9133" s="132" t="s">
        <v>1380</v>
      </c>
      <c r="F9133" s="1109">
        <v>1</v>
      </c>
      <c r="I9133" s="271">
        <v>2013</v>
      </c>
      <c r="J9133" s="325" t="s">
        <v>365</v>
      </c>
      <c r="K9133" s="325" t="s">
        <v>1422</v>
      </c>
      <c r="L9133" s="325" t="s">
        <v>300</v>
      </c>
      <c r="M9133" s="325" t="s">
        <v>1431</v>
      </c>
      <c r="N9133" s="325"/>
      <c r="O9133" s="1111" t="s">
        <v>800</v>
      </c>
      <c r="P9133" s="1111" t="s">
        <v>800</v>
      </c>
      <c r="Q9133" s="280">
        <v>0.62358799938488962</v>
      </c>
      <c r="R9133" s="280">
        <v>0.65445056619414665</v>
      </c>
      <c r="S9133" s="280">
        <v>1</v>
      </c>
      <c r="T9133" s="280">
        <v>0.94006634391249777</v>
      </c>
      <c r="U9133" s="325"/>
      <c r="V9133" s="326" t="s">
        <v>1436</v>
      </c>
    </row>
    <row r="9134" spans="2:22">
      <c r="B9134" s="136" t="s">
        <v>366</v>
      </c>
      <c r="C9134" s="132" t="s">
        <v>300</v>
      </c>
      <c r="D9134" s="325" t="s">
        <v>800</v>
      </c>
      <c r="E9134" s="132" t="s">
        <v>281</v>
      </c>
      <c r="F9134" s="1109">
        <v>1</v>
      </c>
      <c r="I9134" s="271">
        <v>2013</v>
      </c>
      <c r="J9134" s="325" t="s">
        <v>217</v>
      </c>
      <c r="K9134" s="325" t="s">
        <v>1422</v>
      </c>
      <c r="L9134" s="325" t="s">
        <v>1435</v>
      </c>
      <c r="M9134" s="325" t="s">
        <v>1431</v>
      </c>
      <c r="N9134" s="325"/>
      <c r="O9134" s="1111" t="s">
        <v>800</v>
      </c>
      <c r="P9134" s="1111" t="s">
        <v>800</v>
      </c>
      <c r="Q9134" s="280">
        <v>1.0444444444444445</v>
      </c>
      <c r="R9134" s="280">
        <v>1.0364003228410008</v>
      </c>
      <c r="S9134" s="280">
        <v>1</v>
      </c>
      <c r="T9134" s="280">
        <v>1.2367149758454108</v>
      </c>
      <c r="U9134" s="325"/>
      <c r="V9134" s="326" t="s">
        <v>1436</v>
      </c>
    </row>
    <row r="9135" spans="2:22">
      <c r="B9135" s="136" t="s">
        <v>366</v>
      </c>
      <c r="C9135" s="132" t="s">
        <v>300</v>
      </c>
      <c r="D9135" s="325" t="s">
        <v>800</v>
      </c>
      <c r="E9135" s="132" t="s">
        <v>1384</v>
      </c>
      <c r="F9135" s="1109">
        <v>0.5</v>
      </c>
      <c r="I9135" s="271">
        <v>2013</v>
      </c>
      <c r="J9135" s="325" t="s">
        <v>217</v>
      </c>
      <c r="K9135" s="325" t="s">
        <v>1422</v>
      </c>
      <c r="L9135" s="325" t="s">
        <v>300</v>
      </c>
      <c r="M9135" s="325" t="s">
        <v>1431</v>
      </c>
      <c r="N9135" s="325"/>
      <c r="O9135" s="1111" t="s">
        <v>800</v>
      </c>
      <c r="P9135" s="1111" t="s">
        <v>800</v>
      </c>
      <c r="Q9135" s="280">
        <v>1.0444444444444445</v>
      </c>
      <c r="R9135" s="280">
        <v>1.0364003228410008</v>
      </c>
      <c r="S9135" s="280">
        <v>1</v>
      </c>
      <c r="T9135" s="280">
        <v>1.2367149758454108</v>
      </c>
      <c r="U9135" s="325"/>
      <c r="V9135" s="326" t="s">
        <v>1436</v>
      </c>
    </row>
    <row r="9136" spans="2:22">
      <c r="B9136" s="136" t="s">
        <v>366</v>
      </c>
      <c r="C9136" s="132" t="s">
        <v>302</v>
      </c>
      <c r="D9136" s="325" t="s">
        <v>800</v>
      </c>
      <c r="E9136" s="132" t="s">
        <v>282</v>
      </c>
      <c r="F9136" s="1109">
        <v>1</v>
      </c>
      <c r="I9136" s="271">
        <v>2013</v>
      </c>
      <c r="J9136" s="325" t="s">
        <v>576</v>
      </c>
      <c r="K9136" s="325" t="s">
        <v>1422</v>
      </c>
      <c r="L9136" s="325" t="s">
        <v>1435</v>
      </c>
      <c r="M9136" s="325" t="s">
        <v>1431</v>
      </c>
      <c r="N9136" s="325"/>
      <c r="O9136" s="1111" t="s">
        <v>800</v>
      </c>
      <c r="P9136" s="1111" t="s">
        <v>800</v>
      </c>
      <c r="Q9136" s="280">
        <v>0.74913135571809297</v>
      </c>
      <c r="R9136" s="280">
        <v>0.64419457811234437</v>
      </c>
      <c r="S9136" s="280">
        <v>1</v>
      </c>
      <c r="T9136" s="280">
        <v>0.67721287490855897</v>
      </c>
      <c r="U9136" s="325"/>
      <c r="V9136" s="326" t="s">
        <v>1436</v>
      </c>
    </row>
    <row r="9137" spans="2:27">
      <c r="B9137" s="136" t="s">
        <v>366</v>
      </c>
      <c r="C9137" s="132" t="s">
        <v>302</v>
      </c>
      <c r="D9137" s="325" t="s">
        <v>800</v>
      </c>
      <c r="E9137" s="132" t="s">
        <v>283</v>
      </c>
      <c r="F9137" s="1109">
        <v>1</v>
      </c>
      <c r="I9137" s="271">
        <v>2013</v>
      </c>
      <c r="J9137" s="325" t="s">
        <v>576</v>
      </c>
      <c r="K9137" s="325" t="s">
        <v>1422</v>
      </c>
      <c r="L9137" s="325" t="s">
        <v>300</v>
      </c>
      <c r="M9137" s="325" t="s">
        <v>1431</v>
      </c>
      <c r="N9137" s="325"/>
      <c r="O9137" s="1111" t="s">
        <v>800</v>
      </c>
      <c r="P9137" s="1111" t="s">
        <v>800</v>
      </c>
      <c r="Q9137" s="280">
        <v>0.74913135571809297</v>
      </c>
      <c r="R9137" s="280">
        <v>0.64419457811234437</v>
      </c>
      <c r="S9137" s="280">
        <v>1</v>
      </c>
      <c r="T9137" s="280">
        <v>0.67721287490855897</v>
      </c>
      <c r="U9137" s="325"/>
      <c r="V9137" s="326" t="s">
        <v>1436</v>
      </c>
    </row>
    <row r="9138" spans="2:27">
      <c r="B9138" s="136" t="s">
        <v>366</v>
      </c>
      <c r="C9138" s="132" t="s">
        <v>302</v>
      </c>
      <c r="D9138" s="325" t="s">
        <v>800</v>
      </c>
      <c r="E9138" s="132" t="s">
        <v>284</v>
      </c>
      <c r="F9138" s="1109">
        <v>1</v>
      </c>
      <c r="I9138" s="271">
        <v>2013</v>
      </c>
      <c r="J9138" s="325" t="s">
        <v>577</v>
      </c>
      <c r="K9138" s="325" t="s">
        <v>1422</v>
      </c>
      <c r="L9138" s="325" t="s">
        <v>1435</v>
      </c>
      <c r="M9138" s="325" t="s">
        <v>1431</v>
      </c>
      <c r="N9138" s="325"/>
      <c r="O9138" s="1111" t="s">
        <v>800</v>
      </c>
      <c r="P9138" s="1111" t="s">
        <v>800</v>
      </c>
      <c r="Q9138" s="280">
        <f t="shared" ref="Q9138:T9139" si="196">Q9136</f>
        <v>0.74913135571809297</v>
      </c>
      <c r="R9138" s="280">
        <f t="shared" si="196"/>
        <v>0.64419457811234437</v>
      </c>
      <c r="S9138" s="280">
        <f t="shared" si="196"/>
        <v>1</v>
      </c>
      <c r="T9138" s="280">
        <f t="shared" si="196"/>
        <v>0.67721287490855897</v>
      </c>
      <c r="U9138" s="325"/>
      <c r="V9138" s="326" t="s">
        <v>1437</v>
      </c>
    </row>
    <row r="9139" spans="2:27">
      <c r="B9139" s="136" t="s">
        <v>366</v>
      </c>
      <c r="C9139" s="132" t="s">
        <v>302</v>
      </c>
      <c r="D9139" s="325" t="s">
        <v>800</v>
      </c>
      <c r="E9139" s="132" t="s">
        <v>1379</v>
      </c>
      <c r="F9139" s="1109">
        <v>1</v>
      </c>
      <c r="I9139" s="271">
        <v>2013</v>
      </c>
      <c r="J9139" s="325" t="s">
        <v>577</v>
      </c>
      <c r="K9139" s="325" t="s">
        <v>1422</v>
      </c>
      <c r="L9139" s="325" t="s">
        <v>300</v>
      </c>
      <c r="M9139" s="325" t="s">
        <v>1431</v>
      </c>
      <c r="N9139" s="325"/>
      <c r="O9139" s="1111" t="s">
        <v>800</v>
      </c>
      <c r="P9139" s="1111" t="s">
        <v>800</v>
      </c>
      <c r="Q9139" s="280">
        <f t="shared" si="196"/>
        <v>0.74913135571809297</v>
      </c>
      <c r="R9139" s="280">
        <f t="shared" si="196"/>
        <v>0.64419457811234437</v>
      </c>
      <c r="S9139" s="280">
        <f t="shared" si="196"/>
        <v>1</v>
      </c>
      <c r="T9139" s="280">
        <f t="shared" si="196"/>
        <v>0.67721287490855897</v>
      </c>
      <c r="U9139" s="325"/>
      <c r="V9139" s="326" t="s">
        <v>1437</v>
      </c>
    </row>
    <row r="9140" spans="2:27">
      <c r="B9140" s="136" t="s">
        <v>366</v>
      </c>
      <c r="C9140" s="132" t="s">
        <v>302</v>
      </c>
      <c r="D9140" s="325" t="s">
        <v>800</v>
      </c>
      <c r="E9140" s="132" t="s">
        <v>285</v>
      </c>
      <c r="F9140" s="1109">
        <v>1</v>
      </c>
      <c r="I9140" s="271"/>
      <c r="J9140" s="325" t="s">
        <v>366</v>
      </c>
      <c r="K9140" s="325" t="s">
        <v>1438</v>
      </c>
      <c r="L9140" s="325"/>
      <c r="M9140" s="325"/>
      <c r="N9140" s="325"/>
      <c r="O9140" s="1111"/>
      <c r="P9140" s="325"/>
      <c r="Q9140" s="325"/>
      <c r="R9140" s="325"/>
      <c r="S9140" s="325"/>
      <c r="T9140" s="325">
        <v>0.5</v>
      </c>
      <c r="U9140" s="325"/>
      <c r="V9140" s="326" t="s">
        <v>98</v>
      </c>
    </row>
    <row r="9141" spans="2:27">
      <c r="B9141" s="136" t="s">
        <v>366</v>
      </c>
      <c r="C9141" s="132" t="s">
        <v>302</v>
      </c>
      <c r="D9141" s="325" t="s">
        <v>800</v>
      </c>
      <c r="E9141" s="132" t="s">
        <v>1380</v>
      </c>
      <c r="F9141" s="1109">
        <v>1</v>
      </c>
      <c r="I9141" s="271"/>
      <c r="J9141" s="325" t="s">
        <v>218</v>
      </c>
      <c r="K9141" s="325" t="s">
        <v>1438</v>
      </c>
      <c r="L9141" s="325"/>
      <c r="M9141" s="325"/>
      <c r="N9141" s="325"/>
      <c r="O9141" s="1111"/>
      <c r="P9141" s="325"/>
      <c r="Q9141" s="325"/>
      <c r="R9141" s="325"/>
      <c r="S9141" s="325"/>
      <c r="T9141" s="325">
        <v>0.5</v>
      </c>
      <c r="U9141" s="325"/>
      <c r="V9141" s="326" t="s">
        <v>98</v>
      </c>
    </row>
    <row r="9142" spans="2:27">
      <c r="B9142" s="136" t="s">
        <v>366</v>
      </c>
      <c r="C9142" s="132" t="s">
        <v>302</v>
      </c>
      <c r="D9142" s="325" t="s">
        <v>800</v>
      </c>
      <c r="E9142" s="132" t="s">
        <v>281</v>
      </c>
      <c r="F9142" s="1109">
        <v>1</v>
      </c>
      <c r="I9142" s="271"/>
      <c r="J9142" s="325" t="s">
        <v>217</v>
      </c>
      <c r="K9142" s="325" t="s">
        <v>1438</v>
      </c>
      <c r="L9142" s="325"/>
      <c r="M9142" s="325"/>
      <c r="N9142" s="325"/>
      <c r="O9142" s="1111"/>
      <c r="P9142" s="325"/>
      <c r="Q9142" s="325"/>
      <c r="R9142" s="325"/>
      <c r="S9142" s="325"/>
      <c r="T9142" s="325">
        <v>0.8</v>
      </c>
      <c r="U9142" s="325"/>
      <c r="V9142" s="326" t="s">
        <v>98</v>
      </c>
    </row>
    <row r="9143" spans="2:27">
      <c r="B9143" s="136" t="s">
        <v>366</v>
      </c>
      <c r="C9143" s="132" t="s">
        <v>302</v>
      </c>
      <c r="D9143" s="325" t="s">
        <v>800</v>
      </c>
      <c r="E9143" s="132" t="s">
        <v>1384</v>
      </c>
      <c r="F9143" s="1109">
        <v>0.5</v>
      </c>
      <c r="I9143" s="271"/>
      <c r="J9143" s="325" t="s">
        <v>365</v>
      </c>
      <c r="K9143" s="325" t="s">
        <v>1438</v>
      </c>
      <c r="L9143" s="325"/>
      <c r="M9143" s="325"/>
      <c r="N9143" s="325"/>
      <c r="O9143" s="1111"/>
      <c r="P9143" s="325"/>
      <c r="Q9143" s="289"/>
      <c r="R9143" s="289"/>
      <c r="S9143" s="289"/>
      <c r="T9143" s="289">
        <v>0.85</v>
      </c>
      <c r="U9143" s="325"/>
      <c r="V9143" s="326" t="s">
        <v>98</v>
      </c>
    </row>
    <row r="9144" spans="2:27">
      <c r="B9144" s="136" t="s">
        <v>366</v>
      </c>
      <c r="C9144" s="132" t="s">
        <v>308</v>
      </c>
      <c r="D9144" s="325">
        <v>1000</v>
      </c>
      <c r="E9144" s="132" t="s">
        <v>282</v>
      </c>
      <c r="F9144" s="1109">
        <v>37.270000000000003</v>
      </c>
      <c r="I9144" s="271"/>
      <c r="J9144" s="325" t="s">
        <v>576</v>
      </c>
      <c r="K9144" s="325" t="s">
        <v>1438</v>
      </c>
      <c r="L9144" s="325"/>
      <c r="M9144" s="325"/>
      <c r="N9144" s="325"/>
      <c r="O9144" s="1111"/>
      <c r="P9144" s="325"/>
      <c r="Q9144" s="325"/>
      <c r="R9144" s="325"/>
      <c r="S9144" s="325"/>
      <c r="T9144" s="325">
        <v>1</v>
      </c>
      <c r="U9144" s="325"/>
      <c r="V9144" s="326" t="s">
        <v>98</v>
      </c>
    </row>
    <row r="9145" spans="2:27">
      <c r="B9145" s="136" t="s">
        <v>366</v>
      </c>
      <c r="C9145" s="132" t="s">
        <v>308</v>
      </c>
      <c r="D9145" s="325">
        <v>1000</v>
      </c>
      <c r="E9145" s="132" t="s">
        <v>283</v>
      </c>
      <c r="F9145" s="1109">
        <v>0.5</v>
      </c>
      <c r="I9145" s="271"/>
      <c r="J9145" s="325" t="s">
        <v>5</v>
      </c>
      <c r="K9145" s="325" t="s">
        <v>1438</v>
      </c>
      <c r="L9145" s="325"/>
      <c r="M9145" s="325"/>
      <c r="N9145" s="325"/>
      <c r="O9145" s="1111"/>
      <c r="P9145" s="325"/>
      <c r="Q9145" s="325"/>
      <c r="R9145" s="325"/>
      <c r="S9145" s="325"/>
      <c r="T9145" s="325">
        <v>0</v>
      </c>
      <c r="U9145" s="325"/>
      <c r="V9145" s="326" t="s">
        <v>98</v>
      </c>
    </row>
    <row r="9146" spans="2:27" ht="16" thickBot="1">
      <c r="B9146" s="136" t="s">
        <v>366</v>
      </c>
      <c r="C9146" s="132" t="s">
        <v>308</v>
      </c>
      <c r="D9146" s="325">
        <v>1000</v>
      </c>
      <c r="E9146" s="132" t="s">
        <v>284</v>
      </c>
      <c r="F9146" s="1109">
        <v>1</v>
      </c>
      <c r="I9146" s="273"/>
      <c r="J9146" s="327" t="s">
        <v>577</v>
      </c>
      <c r="K9146" s="327" t="s">
        <v>1438</v>
      </c>
      <c r="L9146" s="327"/>
      <c r="M9146" s="327"/>
      <c r="N9146" s="327"/>
      <c r="O9146" s="327"/>
      <c r="P9146" s="327"/>
      <c r="Q9146" s="327"/>
      <c r="R9146" s="327"/>
      <c r="S9146" s="327"/>
      <c r="T9146" s="327">
        <v>1</v>
      </c>
      <c r="U9146" s="327"/>
      <c r="V9146" s="328" t="s">
        <v>98</v>
      </c>
    </row>
    <row r="9147" spans="2:27">
      <c r="B9147" s="136" t="s">
        <v>366</v>
      </c>
      <c r="C9147" s="132" t="s">
        <v>308</v>
      </c>
      <c r="D9147" s="325">
        <v>1000</v>
      </c>
      <c r="E9147" s="132" t="s">
        <v>1379</v>
      </c>
      <c r="F9147" s="1109">
        <v>1</v>
      </c>
    </row>
    <row r="9148" spans="2:27" ht="16" thickBot="1">
      <c r="B9148" s="136" t="s">
        <v>366</v>
      </c>
      <c r="C9148" s="132" t="s">
        <v>308</v>
      </c>
      <c r="D9148" s="325">
        <v>1000</v>
      </c>
      <c r="E9148" s="132" t="s">
        <v>285</v>
      </c>
      <c r="F9148" s="1109">
        <v>1</v>
      </c>
    </row>
    <row r="9149" spans="2:27">
      <c r="B9149" s="136" t="s">
        <v>366</v>
      </c>
      <c r="C9149" s="132" t="s">
        <v>308</v>
      </c>
      <c r="D9149" s="325">
        <v>1000</v>
      </c>
      <c r="E9149" s="132" t="s">
        <v>1380</v>
      </c>
      <c r="F9149" s="1109">
        <v>1</v>
      </c>
      <c r="I9149" s="319"/>
      <c r="J9149" s="322" t="s">
        <v>1439</v>
      </c>
      <c r="K9149" s="322" t="s">
        <v>1439</v>
      </c>
      <c r="L9149" s="322" t="s">
        <v>1439</v>
      </c>
      <c r="M9149" s="322" t="s">
        <v>1439</v>
      </c>
      <c r="N9149" s="322" t="s">
        <v>1439</v>
      </c>
      <c r="O9149" s="322" t="s">
        <v>1439</v>
      </c>
      <c r="P9149" s="322" t="s">
        <v>1439</v>
      </c>
      <c r="Q9149" s="322" t="s">
        <v>384</v>
      </c>
      <c r="R9149" s="322" t="s">
        <v>217</v>
      </c>
      <c r="S9149" s="322" t="s">
        <v>217</v>
      </c>
      <c r="T9149" s="322" t="s">
        <v>217</v>
      </c>
      <c r="U9149" s="322" t="s">
        <v>365</v>
      </c>
      <c r="V9149" s="322" t="s">
        <v>365</v>
      </c>
      <c r="W9149" s="322" t="s">
        <v>365</v>
      </c>
      <c r="X9149" s="322" t="s">
        <v>576</v>
      </c>
      <c r="Y9149" s="322" t="s">
        <v>576</v>
      </c>
      <c r="Z9149" s="322" t="s">
        <v>576</v>
      </c>
      <c r="AA9149" s="324"/>
    </row>
    <row r="9150" spans="2:27">
      <c r="B9150" s="136" t="s">
        <v>366</v>
      </c>
      <c r="C9150" s="132" t="s">
        <v>308</v>
      </c>
      <c r="D9150" s="325">
        <v>1000</v>
      </c>
      <c r="E9150" s="132" t="s">
        <v>281</v>
      </c>
      <c r="F9150" s="1109">
        <v>1</v>
      </c>
      <c r="I9150" s="271"/>
      <c r="J9150" s="325" t="s">
        <v>1440</v>
      </c>
      <c r="K9150" s="325" t="s">
        <v>1430</v>
      </c>
      <c r="L9150" s="325" t="s">
        <v>308</v>
      </c>
      <c r="M9150" s="325" t="s">
        <v>1441</v>
      </c>
      <c r="N9150" s="325" t="s">
        <v>1442</v>
      </c>
      <c r="O9150" s="325" t="s">
        <v>1435</v>
      </c>
      <c r="P9150" s="325" t="s">
        <v>300</v>
      </c>
      <c r="Q9150" s="325" t="s">
        <v>1440</v>
      </c>
      <c r="R9150" s="325" t="s">
        <v>1443</v>
      </c>
      <c r="S9150" s="325" t="s">
        <v>1435</v>
      </c>
      <c r="T9150" s="325" t="s">
        <v>300</v>
      </c>
      <c r="U9150" s="325" t="s">
        <v>1443</v>
      </c>
      <c r="V9150" s="325" t="s">
        <v>1435</v>
      </c>
      <c r="W9150" s="325" t="s">
        <v>300</v>
      </c>
      <c r="X9150" s="325" t="s">
        <v>1430</v>
      </c>
      <c r="Y9150" s="325" t="s">
        <v>1435</v>
      </c>
      <c r="Z9150" s="325" t="s">
        <v>300</v>
      </c>
      <c r="AA9150" s="326"/>
    </row>
    <row r="9151" spans="2:27">
      <c r="B9151" s="136" t="s">
        <v>366</v>
      </c>
      <c r="C9151" s="132" t="s">
        <v>308</v>
      </c>
      <c r="D9151" s="325">
        <v>1000</v>
      </c>
      <c r="E9151" s="132" t="s">
        <v>1384</v>
      </c>
      <c r="F9151" s="1109">
        <v>1</v>
      </c>
      <c r="I9151" s="544" t="s">
        <v>1444</v>
      </c>
      <c r="J9151" s="339" t="s">
        <v>1423</v>
      </c>
      <c r="K9151" s="339" t="s">
        <v>1431</v>
      </c>
      <c r="L9151" s="339" t="s">
        <v>1423</v>
      </c>
      <c r="M9151" s="339" t="s">
        <v>1423</v>
      </c>
      <c r="N9151" s="339" t="s">
        <v>1423</v>
      </c>
      <c r="O9151" s="339" t="s">
        <v>1431</v>
      </c>
      <c r="P9151" s="339" t="s">
        <v>1431</v>
      </c>
      <c r="Q9151" s="339" t="s">
        <v>1423</v>
      </c>
      <c r="R9151" s="339" t="s">
        <v>1431</v>
      </c>
      <c r="S9151" s="339" t="s">
        <v>1431</v>
      </c>
      <c r="T9151" s="339" t="s">
        <v>1431</v>
      </c>
      <c r="U9151" s="339" t="s">
        <v>1431</v>
      </c>
      <c r="V9151" s="339" t="s">
        <v>1431</v>
      </c>
      <c r="W9151" s="339" t="s">
        <v>1431</v>
      </c>
      <c r="X9151" s="339" t="s">
        <v>1431</v>
      </c>
      <c r="Y9151" s="339" t="s">
        <v>1431</v>
      </c>
      <c r="Z9151" s="339" t="s">
        <v>1431</v>
      </c>
      <c r="AA9151" s="340" t="s">
        <v>10</v>
      </c>
    </row>
    <row r="9152" spans="2:27">
      <c r="B9152" s="136" t="s">
        <v>366</v>
      </c>
      <c r="C9152" s="132" t="s">
        <v>306</v>
      </c>
      <c r="D9152" s="325">
        <v>1000</v>
      </c>
      <c r="E9152" s="132" t="s">
        <v>282</v>
      </c>
      <c r="F9152" s="1109">
        <v>22.02</v>
      </c>
      <c r="I9152" s="271" t="s">
        <v>282</v>
      </c>
      <c r="J9152" s="280">
        <v>15.4</v>
      </c>
      <c r="K9152" s="280">
        <v>1.3</v>
      </c>
      <c r="L9152" s="280">
        <v>13</v>
      </c>
      <c r="M9152" s="280">
        <v>26.7</v>
      </c>
      <c r="N9152" s="280">
        <v>21.3</v>
      </c>
      <c r="O9152" s="280">
        <v>0.72375142966069372</v>
      </c>
      <c r="P9152" s="280">
        <v>0.72375142966069372</v>
      </c>
      <c r="Q9152" s="280">
        <v>0.2</v>
      </c>
      <c r="R9152" s="280">
        <v>1.3</v>
      </c>
      <c r="S9152" s="280">
        <v>1.0444444444444445</v>
      </c>
      <c r="T9152" s="280">
        <v>1.0444444444444445</v>
      </c>
      <c r="U9152" s="280">
        <v>1.1000000000000001</v>
      </c>
      <c r="V9152" s="280">
        <v>0.62358799938488962</v>
      </c>
      <c r="W9152" s="280">
        <v>0.62358799938488962</v>
      </c>
      <c r="X9152" s="280">
        <v>0.74913135571809297</v>
      </c>
      <c r="Y9152" s="280">
        <v>0.74913135571809297</v>
      </c>
      <c r="Z9152" s="280">
        <v>0.74913135571809297</v>
      </c>
      <c r="AA9152" s="326" t="s">
        <v>1445</v>
      </c>
    </row>
    <row r="9153" spans="2:45">
      <c r="B9153" s="136" t="s">
        <v>366</v>
      </c>
      <c r="C9153" s="132" t="s">
        <v>306</v>
      </c>
      <c r="D9153" s="325">
        <v>1000</v>
      </c>
      <c r="E9153" s="132" t="s">
        <v>283</v>
      </c>
      <c r="F9153" s="1109">
        <v>0.5</v>
      </c>
      <c r="I9153" s="271" t="s">
        <v>283</v>
      </c>
      <c r="J9153" s="280">
        <v>0.6</v>
      </c>
      <c r="K9153" s="280">
        <v>0.9</v>
      </c>
      <c r="L9153" s="280">
        <v>0.7</v>
      </c>
      <c r="M9153" s="280">
        <v>0.7</v>
      </c>
      <c r="N9153" s="280">
        <v>0.5</v>
      </c>
      <c r="O9153" s="280">
        <v>0.83600723878214911</v>
      </c>
      <c r="P9153" s="280">
        <v>0.83600723878214911</v>
      </c>
      <c r="Q9153" s="280">
        <v>0.6</v>
      </c>
      <c r="R9153" s="280">
        <v>0.9</v>
      </c>
      <c r="S9153" s="280">
        <v>1.0364003228410008</v>
      </c>
      <c r="T9153" s="280">
        <v>1.0364003228410008</v>
      </c>
      <c r="U9153" s="280">
        <v>1.3</v>
      </c>
      <c r="V9153" s="280">
        <v>0.65445056619414665</v>
      </c>
      <c r="W9153" s="280">
        <v>0.65445056619414665</v>
      </c>
      <c r="X9153" s="280">
        <v>0.64419457811234437</v>
      </c>
      <c r="Y9153" s="280">
        <v>0.64419457811234437</v>
      </c>
      <c r="Z9153" s="280">
        <v>0.64419457811234437</v>
      </c>
      <c r="AA9153" s="326" t="s">
        <v>1445</v>
      </c>
    </row>
    <row r="9154" spans="2:45">
      <c r="B9154" s="136" t="s">
        <v>366</v>
      </c>
      <c r="C9154" s="132" t="s">
        <v>306</v>
      </c>
      <c r="D9154" s="325">
        <v>1000</v>
      </c>
      <c r="E9154" s="132" t="s">
        <v>284</v>
      </c>
      <c r="F9154" s="1109">
        <v>1</v>
      </c>
      <c r="I9154" s="271" t="s">
        <v>284</v>
      </c>
      <c r="J9154" s="280">
        <v>1</v>
      </c>
      <c r="K9154" s="280">
        <v>1.2</v>
      </c>
      <c r="L9154" s="280">
        <v>1</v>
      </c>
      <c r="M9154" s="280">
        <v>1</v>
      </c>
      <c r="N9154" s="280">
        <v>1</v>
      </c>
      <c r="O9154" s="280">
        <v>1</v>
      </c>
      <c r="P9154" s="280">
        <v>1</v>
      </c>
      <c r="Q9154" s="280">
        <v>1</v>
      </c>
      <c r="R9154" s="280">
        <v>1.5</v>
      </c>
      <c r="S9154" s="280">
        <v>1</v>
      </c>
      <c r="T9154" s="280">
        <v>1</v>
      </c>
      <c r="U9154" s="280">
        <v>1.4</v>
      </c>
      <c r="V9154" s="280">
        <v>1</v>
      </c>
      <c r="W9154" s="280">
        <v>1</v>
      </c>
      <c r="X9154" s="280">
        <v>1</v>
      </c>
      <c r="Y9154" s="280">
        <v>1</v>
      </c>
      <c r="Z9154" s="280">
        <v>1</v>
      </c>
      <c r="AA9154" s="326" t="s">
        <v>1445</v>
      </c>
    </row>
    <row r="9155" spans="2:45">
      <c r="B9155" s="136" t="s">
        <v>366</v>
      </c>
      <c r="C9155" s="132" t="s">
        <v>306</v>
      </c>
      <c r="D9155" s="325">
        <v>1000</v>
      </c>
      <c r="E9155" s="132" t="s">
        <v>1379</v>
      </c>
      <c r="F9155" s="1109">
        <v>1</v>
      </c>
      <c r="I9155" s="271" t="s">
        <v>1379</v>
      </c>
      <c r="J9155" s="280">
        <v>1</v>
      </c>
      <c r="K9155" s="280">
        <v>1</v>
      </c>
      <c r="L9155" s="280">
        <v>1</v>
      </c>
      <c r="M9155" s="280">
        <v>1</v>
      </c>
      <c r="N9155" s="280">
        <v>1</v>
      </c>
      <c r="O9155" s="280">
        <v>1</v>
      </c>
      <c r="P9155" s="280">
        <v>1</v>
      </c>
      <c r="Q9155" s="280">
        <v>1</v>
      </c>
      <c r="R9155" s="280">
        <v>1</v>
      </c>
      <c r="S9155" s="280">
        <v>1</v>
      </c>
      <c r="T9155" s="280">
        <v>1</v>
      </c>
      <c r="U9155" s="280">
        <v>1</v>
      </c>
      <c r="V9155" s="280">
        <v>1</v>
      </c>
      <c r="W9155" s="280">
        <v>1</v>
      </c>
      <c r="X9155" s="280">
        <v>1</v>
      </c>
      <c r="Y9155" s="280">
        <v>1</v>
      </c>
      <c r="Z9155" s="280">
        <v>1</v>
      </c>
      <c r="AA9155" s="326" t="s">
        <v>98</v>
      </c>
    </row>
    <row r="9156" spans="2:45">
      <c r="B9156" s="136" t="s">
        <v>366</v>
      </c>
      <c r="C9156" s="132" t="s">
        <v>306</v>
      </c>
      <c r="D9156" s="325">
        <v>1000</v>
      </c>
      <c r="E9156" s="132" t="s">
        <v>285</v>
      </c>
      <c r="F9156" s="1109">
        <v>1</v>
      </c>
      <c r="I9156" s="271" t="s">
        <v>285</v>
      </c>
      <c r="J9156" s="280">
        <v>1</v>
      </c>
      <c r="K9156" s="280">
        <v>1.2</v>
      </c>
      <c r="L9156" s="280">
        <v>1</v>
      </c>
      <c r="M9156" s="280">
        <v>1</v>
      </c>
      <c r="N9156" s="280">
        <v>1</v>
      </c>
      <c r="O9156" s="280">
        <v>1</v>
      </c>
      <c r="P9156" s="280">
        <v>1</v>
      </c>
      <c r="Q9156" s="280">
        <v>1</v>
      </c>
      <c r="R9156" s="280">
        <v>1.5</v>
      </c>
      <c r="S9156" s="280">
        <v>1</v>
      </c>
      <c r="T9156" s="280">
        <v>1</v>
      </c>
      <c r="U9156" s="280">
        <v>1.4</v>
      </c>
      <c r="V9156" s="280">
        <v>1</v>
      </c>
      <c r="W9156" s="280">
        <v>1</v>
      </c>
      <c r="X9156" s="280">
        <v>1</v>
      </c>
      <c r="Y9156" s="280">
        <v>1</v>
      </c>
      <c r="Z9156" s="280">
        <v>1</v>
      </c>
      <c r="AA9156" s="326" t="s">
        <v>1445</v>
      </c>
    </row>
    <row r="9157" spans="2:45">
      <c r="B9157" s="136" t="s">
        <v>366</v>
      </c>
      <c r="C9157" s="132" t="s">
        <v>306</v>
      </c>
      <c r="D9157" s="325">
        <v>1000</v>
      </c>
      <c r="E9157" s="132" t="s">
        <v>1380</v>
      </c>
      <c r="F9157" s="1109">
        <v>1</v>
      </c>
      <c r="I9157" s="271" t="s">
        <v>1380</v>
      </c>
      <c r="J9157" s="280">
        <v>1</v>
      </c>
      <c r="K9157" s="280">
        <v>1</v>
      </c>
      <c r="L9157" s="280">
        <v>1</v>
      </c>
      <c r="M9157" s="280">
        <v>1</v>
      </c>
      <c r="N9157" s="280">
        <v>1</v>
      </c>
      <c r="O9157" s="280">
        <v>1</v>
      </c>
      <c r="P9157" s="280">
        <v>1</v>
      </c>
      <c r="Q9157" s="280">
        <v>1</v>
      </c>
      <c r="R9157" s="280">
        <v>1</v>
      </c>
      <c r="S9157" s="280">
        <v>1</v>
      </c>
      <c r="T9157" s="280">
        <v>1</v>
      </c>
      <c r="U9157" s="280">
        <v>1</v>
      </c>
      <c r="V9157" s="280">
        <v>1</v>
      </c>
      <c r="W9157" s="280">
        <v>1</v>
      </c>
      <c r="X9157" s="280">
        <v>1</v>
      </c>
      <c r="Y9157" s="280">
        <v>1</v>
      </c>
      <c r="Z9157" s="280">
        <v>1</v>
      </c>
      <c r="AA9157" s="326" t="s">
        <v>98</v>
      </c>
    </row>
    <row r="9158" spans="2:45">
      <c r="B9158" s="136" t="s">
        <v>366</v>
      </c>
      <c r="C9158" s="132" t="s">
        <v>306</v>
      </c>
      <c r="D9158" s="325">
        <v>1000</v>
      </c>
      <c r="E9158" s="132" t="s">
        <v>281</v>
      </c>
      <c r="F9158" s="1109">
        <v>1</v>
      </c>
      <c r="I9158" s="271" t="s">
        <v>281</v>
      </c>
      <c r="J9158" s="280">
        <v>3.25</v>
      </c>
      <c r="K9158" s="280">
        <v>0.5</v>
      </c>
      <c r="L9158" s="280">
        <v>3.25</v>
      </c>
      <c r="M9158" s="280">
        <v>10</v>
      </c>
      <c r="N9158" s="280">
        <v>10</v>
      </c>
      <c r="O9158" s="280">
        <v>0.58646170189498659</v>
      </c>
      <c r="P9158" s="280">
        <v>0.58646170189498659</v>
      </c>
      <c r="Q9158" s="280">
        <v>0.4</v>
      </c>
      <c r="R9158" s="280">
        <v>1.5</v>
      </c>
      <c r="S9158" s="280">
        <v>1.2367149758454108</v>
      </c>
      <c r="T9158" s="280">
        <v>1.2367149758454108</v>
      </c>
      <c r="U9158" s="280">
        <v>0.9</v>
      </c>
      <c r="V9158" s="280">
        <v>0.94006634391249777</v>
      </c>
      <c r="W9158" s="280">
        <v>0.94006634391249777</v>
      </c>
      <c r="X9158" s="280">
        <v>0.67721287490855897</v>
      </c>
      <c r="Y9158" s="280">
        <v>0.67721287490855897</v>
      </c>
      <c r="Z9158" s="280">
        <v>0.67721287490855897</v>
      </c>
      <c r="AA9158" s="326" t="s">
        <v>1445</v>
      </c>
    </row>
    <row r="9159" spans="2:45" ht="16" thickBot="1">
      <c r="B9159" s="136" t="s">
        <v>366</v>
      </c>
      <c r="C9159" s="132" t="s">
        <v>306</v>
      </c>
      <c r="D9159" s="325">
        <v>1000</v>
      </c>
      <c r="E9159" s="132" t="s">
        <v>1384</v>
      </c>
      <c r="F9159" s="1109">
        <v>1</v>
      </c>
      <c r="I9159" s="273" t="s">
        <v>1384</v>
      </c>
      <c r="J9159" s="287">
        <v>0.5</v>
      </c>
      <c r="K9159" s="287">
        <v>0.5</v>
      </c>
      <c r="L9159" s="287">
        <v>0.5</v>
      </c>
      <c r="M9159" s="287">
        <v>0.5</v>
      </c>
      <c r="N9159" s="287">
        <v>0.5</v>
      </c>
      <c r="O9159" s="287">
        <v>0.5</v>
      </c>
      <c r="P9159" s="287">
        <v>0.5</v>
      </c>
      <c r="Q9159" s="287">
        <v>0.5</v>
      </c>
      <c r="R9159" s="287">
        <v>0.8</v>
      </c>
      <c r="S9159" s="287">
        <v>0.8</v>
      </c>
      <c r="T9159" s="287">
        <v>0.8</v>
      </c>
      <c r="U9159" s="287">
        <v>0.85</v>
      </c>
      <c r="V9159" s="287">
        <v>0.85</v>
      </c>
      <c r="W9159" s="287">
        <v>0.85</v>
      </c>
      <c r="X9159" s="287">
        <v>1</v>
      </c>
      <c r="Y9159" s="287">
        <v>1</v>
      </c>
      <c r="Z9159" s="287">
        <v>1</v>
      </c>
      <c r="AA9159" s="328" t="s">
        <v>98</v>
      </c>
    </row>
    <row r="9160" spans="2:45">
      <c r="B9160" s="136" t="s">
        <v>366</v>
      </c>
      <c r="C9160" s="132" t="s">
        <v>311</v>
      </c>
      <c r="D9160" s="325">
        <v>1000</v>
      </c>
      <c r="E9160" s="132" t="s">
        <v>282</v>
      </c>
      <c r="F9160" s="1109">
        <v>8.93</v>
      </c>
    </row>
    <row r="9161" spans="2:45">
      <c r="B9161" s="136" t="s">
        <v>366</v>
      </c>
      <c r="C9161" s="132" t="s">
        <v>311</v>
      </c>
      <c r="D9161" s="325">
        <v>1000</v>
      </c>
      <c r="E9161" s="132" t="s">
        <v>283</v>
      </c>
      <c r="F9161" s="1109">
        <v>0.5</v>
      </c>
    </row>
    <row r="9162" spans="2:45" ht="16" thickBot="1">
      <c r="B9162" s="136" t="s">
        <v>366</v>
      </c>
      <c r="C9162" s="132" t="s">
        <v>311</v>
      </c>
      <c r="D9162" s="325">
        <v>1000</v>
      </c>
      <c r="E9162" s="132" t="s">
        <v>284</v>
      </c>
      <c r="F9162" s="1109">
        <v>1</v>
      </c>
      <c r="I9162" s="1112" t="s">
        <v>1446</v>
      </c>
      <c r="J9162" s="1112" t="s">
        <v>300</v>
      </c>
      <c r="K9162" s="375" t="s">
        <v>4</v>
      </c>
      <c r="L9162" s="76"/>
      <c r="M9162" s="76"/>
      <c r="N9162" s="76"/>
      <c r="O9162" s="76"/>
      <c r="P9162" s="76"/>
      <c r="Q9162" s="76"/>
      <c r="R9162" s="76"/>
      <c r="S9162" s="76"/>
      <c r="T9162" s="1112" t="s">
        <v>300</v>
      </c>
      <c r="U9162" s="375" t="s">
        <v>5</v>
      </c>
      <c r="V9162" s="76"/>
      <c r="W9162" s="76"/>
      <c r="X9162" s="76"/>
      <c r="Y9162" s="76"/>
      <c r="Z9162" s="76"/>
      <c r="AA9162" s="76"/>
      <c r="AB9162" s="76"/>
      <c r="AC9162" s="76"/>
      <c r="AD9162" s="76"/>
      <c r="AE9162" s="76"/>
      <c r="AF9162" s="76"/>
      <c r="AG9162" s="76"/>
      <c r="AH9162" s="76"/>
      <c r="AI9162" s="76"/>
      <c r="AJ9162" s="76"/>
      <c r="AK9162" s="76"/>
      <c r="AL9162" s="76"/>
      <c r="AM9162" s="76"/>
      <c r="AN9162" s="76"/>
      <c r="AO9162" s="76"/>
      <c r="AP9162" s="76"/>
      <c r="AQ9162" s="76"/>
      <c r="AR9162" s="76"/>
      <c r="AS9162" s="76"/>
    </row>
    <row r="9163" spans="2:45" ht="45">
      <c r="B9163" s="136" t="s">
        <v>366</v>
      </c>
      <c r="C9163" s="132" t="s">
        <v>311</v>
      </c>
      <c r="D9163" s="325">
        <v>1000</v>
      </c>
      <c r="E9163" s="132" t="s">
        <v>1379</v>
      </c>
      <c r="F9163" s="1109">
        <v>1</v>
      </c>
      <c r="I9163" s="1113" t="s">
        <v>1444</v>
      </c>
      <c r="J9163" s="1114" t="s">
        <v>4</v>
      </c>
      <c r="K9163" s="1114" t="s">
        <v>1447</v>
      </c>
      <c r="L9163" s="1114" t="s">
        <v>1448</v>
      </c>
      <c r="M9163" s="1114" t="s">
        <v>1449</v>
      </c>
      <c r="N9163" s="1114" t="s">
        <v>1450</v>
      </c>
      <c r="O9163" s="1114" t="s">
        <v>1451</v>
      </c>
      <c r="P9163" s="1114" t="s">
        <v>1452</v>
      </c>
      <c r="Q9163" s="1114" t="s">
        <v>359</v>
      </c>
      <c r="R9163" s="1115" t="s">
        <v>852</v>
      </c>
      <c r="S9163" s="76"/>
      <c r="T9163" s="1113" t="s">
        <v>1444</v>
      </c>
      <c r="U9163" s="1114" t="s">
        <v>5</v>
      </c>
      <c r="V9163" s="1115" t="s">
        <v>1453</v>
      </c>
      <c r="W9163" s="76"/>
      <c r="X9163" s="76"/>
      <c r="Y9163" s="76"/>
      <c r="Z9163" s="76"/>
      <c r="AA9163" s="76"/>
      <c r="AB9163" s="986"/>
      <c r="AC9163" s="76"/>
      <c r="AD9163" s="76"/>
      <c r="AE9163" s="76"/>
      <c r="AF9163" s="76"/>
      <c r="AG9163" s="76"/>
      <c r="AH9163" s="76"/>
      <c r="AI9163" s="76"/>
      <c r="AJ9163" s="76"/>
      <c r="AK9163" s="76"/>
      <c r="AL9163" s="76"/>
      <c r="AM9163" s="76"/>
      <c r="AN9163" s="76"/>
      <c r="AO9163" s="76"/>
      <c r="AP9163" s="76"/>
      <c r="AQ9163" s="76"/>
      <c r="AR9163" s="76"/>
      <c r="AS9163" s="76"/>
    </row>
    <row r="9164" spans="2:45">
      <c r="B9164" s="136" t="s">
        <v>366</v>
      </c>
      <c r="C9164" s="132" t="s">
        <v>311</v>
      </c>
      <c r="D9164" s="325">
        <v>1000</v>
      </c>
      <c r="E9164" s="132" t="s">
        <v>285</v>
      </c>
      <c r="F9164" s="1109">
        <v>1</v>
      </c>
      <c r="I9164" s="1116" t="s">
        <v>1454</v>
      </c>
      <c r="J9164" s="1117">
        <v>1</v>
      </c>
      <c r="K9164" s="1117">
        <v>1</v>
      </c>
      <c r="L9164" s="1117">
        <v>1</v>
      </c>
      <c r="M9164" s="1117">
        <v>1</v>
      </c>
      <c r="N9164" s="1117">
        <v>1</v>
      </c>
      <c r="O9164" s="1117">
        <v>0.54</v>
      </c>
      <c r="P9164" s="1117">
        <v>0.54</v>
      </c>
      <c r="Q9164" s="1117">
        <v>0</v>
      </c>
      <c r="R9164" s="1118">
        <v>0</v>
      </c>
      <c r="S9164" s="76"/>
      <c r="T9164" s="1116" t="s">
        <v>1454</v>
      </c>
      <c r="U9164" s="1117">
        <v>1</v>
      </c>
      <c r="V9164" s="1118">
        <v>1</v>
      </c>
      <c r="W9164" s="76"/>
      <c r="X9164" s="76"/>
      <c r="Y9164" s="76"/>
      <c r="Z9164" s="76"/>
      <c r="AA9164" s="76"/>
      <c r="AB9164" s="1119"/>
      <c r="AC9164" s="76"/>
      <c r="AD9164" s="76"/>
      <c r="AE9164" s="76"/>
      <c r="AF9164" s="76"/>
      <c r="AG9164" s="76"/>
      <c r="AH9164" s="76"/>
      <c r="AI9164" s="76"/>
      <c r="AJ9164" s="76"/>
      <c r="AK9164" s="76"/>
      <c r="AL9164" s="76"/>
      <c r="AM9164" s="76"/>
      <c r="AN9164" s="76"/>
      <c r="AO9164" s="76"/>
      <c r="AP9164" s="76"/>
      <c r="AQ9164" s="76"/>
      <c r="AR9164" s="76"/>
      <c r="AS9164" s="76"/>
    </row>
    <row r="9165" spans="2:45">
      <c r="B9165" s="136" t="s">
        <v>366</v>
      </c>
      <c r="C9165" s="132" t="s">
        <v>311</v>
      </c>
      <c r="D9165" s="325">
        <v>1000</v>
      </c>
      <c r="E9165" s="132" t="s">
        <v>1380</v>
      </c>
      <c r="F9165" s="1109">
        <v>1</v>
      </c>
      <c r="I9165" s="1116" t="s">
        <v>1455</v>
      </c>
      <c r="J9165" s="1117">
        <v>1</v>
      </c>
      <c r="K9165" s="1117">
        <v>0.85</v>
      </c>
      <c r="L9165" s="1117">
        <v>0.5</v>
      </c>
      <c r="M9165" s="1117">
        <v>0.5</v>
      </c>
      <c r="N9165" s="1117">
        <v>0.8</v>
      </c>
      <c r="O9165" s="1117">
        <v>1</v>
      </c>
      <c r="P9165" s="1117">
        <v>1</v>
      </c>
      <c r="Q9165" s="1117">
        <v>0</v>
      </c>
      <c r="R9165" s="1118">
        <v>0</v>
      </c>
      <c r="S9165" s="76"/>
      <c r="T9165" s="1116" t="s">
        <v>1455</v>
      </c>
      <c r="U9165" s="1117">
        <v>1</v>
      </c>
      <c r="V9165" s="1118">
        <v>1</v>
      </c>
      <c r="W9165" s="76"/>
      <c r="X9165" s="76"/>
      <c r="Y9165" s="76"/>
      <c r="Z9165" s="76"/>
      <c r="AA9165" s="76"/>
      <c r="AB9165" s="1120"/>
      <c r="AC9165" s="76"/>
      <c r="AD9165" s="76"/>
      <c r="AE9165" s="76"/>
      <c r="AF9165" s="76"/>
      <c r="AG9165" s="76"/>
      <c r="AH9165" s="76"/>
      <c r="AI9165" s="76"/>
      <c r="AJ9165" s="76"/>
      <c r="AK9165" s="76"/>
      <c r="AL9165" s="76"/>
      <c r="AM9165" s="76"/>
      <c r="AN9165" s="76"/>
      <c r="AO9165" s="76"/>
      <c r="AP9165" s="76"/>
      <c r="AQ9165" s="76"/>
      <c r="AR9165" s="76"/>
      <c r="AS9165" s="76"/>
    </row>
    <row r="9166" spans="2:45">
      <c r="B9166" s="136" t="s">
        <v>366</v>
      </c>
      <c r="C9166" s="132" t="s">
        <v>311</v>
      </c>
      <c r="D9166" s="325">
        <v>1000</v>
      </c>
      <c r="E9166" s="132" t="s">
        <v>281</v>
      </c>
      <c r="F9166" s="1109">
        <v>1</v>
      </c>
      <c r="I9166" s="1116" t="s">
        <v>282</v>
      </c>
      <c r="J9166" s="1117">
        <v>1</v>
      </c>
      <c r="K9166" s="1117">
        <v>1</v>
      </c>
      <c r="L9166" s="1117">
        <v>1</v>
      </c>
      <c r="M9166" s="1117">
        <v>1</v>
      </c>
      <c r="N9166" s="1117">
        <v>1</v>
      </c>
      <c r="O9166" s="1117">
        <v>1</v>
      </c>
      <c r="P9166" s="1117">
        <v>1</v>
      </c>
      <c r="Q9166" s="1117">
        <v>0</v>
      </c>
      <c r="R9166" s="1118">
        <v>0</v>
      </c>
      <c r="S9166" s="76"/>
      <c r="T9166" s="1116" t="s">
        <v>282</v>
      </c>
      <c r="U9166" s="1117">
        <v>1</v>
      </c>
      <c r="V9166" s="1118">
        <v>1</v>
      </c>
      <c r="W9166" s="76"/>
      <c r="X9166" s="76"/>
      <c r="Y9166" s="76"/>
      <c r="Z9166" s="76"/>
      <c r="AA9166" s="76"/>
      <c r="AB9166" s="1120"/>
      <c r="AC9166" s="76"/>
      <c r="AD9166" s="76"/>
      <c r="AE9166" s="76"/>
      <c r="AF9166" s="76"/>
      <c r="AG9166" s="76"/>
      <c r="AH9166" s="76"/>
      <c r="AI9166" s="76"/>
      <c r="AJ9166" s="76"/>
      <c r="AK9166" s="76"/>
      <c r="AL9166" s="76"/>
      <c r="AM9166" s="76"/>
      <c r="AN9166" s="76"/>
      <c r="AO9166" s="76"/>
      <c r="AP9166" s="76"/>
      <c r="AQ9166" s="76"/>
      <c r="AR9166" s="76"/>
      <c r="AS9166" s="76"/>
    </row>
    <row r="9167" spans="2:45">
      <c r="B9167" s="136" t="s">
        <v>366</v>
      </c>
      <c r="C9167" s="132" t="s">
        <v>311</v>
      </c>
      <c r="D9167" s="325">
        <v>1000</v>
      </c>
      <c r="E9167" s="132" t="s">
        <v>1384</v>
      </c>
      <c r="F9167" s="1109">
        <v>1</v>
      </c>
      <c r="I9167" s="1116" t="s">
        <v>283</v>
      </c>
      <c r="J9167" s="1117">
        <v>1</v>
      </c>
      <c r="K9167" s="1117">
        <v>1</v>
      </c>
      <c r="L9167" s="1117">
        <v>1</v>
      </c>
      <c r="M9167" s="1117">
        <v>1</v>
      </c>
      <c r="N9167" s="1117">
        <v>1</v>
      </c>
      <c r="O9167" s="1117">
        <v>0.84</v>
      </c>
      <c r="P9167" s="1117">
        <v>0.84</v>
      </c>
      <c r="Q9167" s="1117">
        <v>0</v>
      </c>
      <c r="R9167" s="1118">
        <v>0</v>
      </c>
      <c r="S9167" s="76"/>
      <c r="T9167" s="1116" t="s">
        <v>283</v>
      </c>
      <c r="U9167" s="1117">
        <v>1</v>
      </c>
      <c r="V9167" s="1118">
        <v>1</v>
      </c>
      <c r="W9167" s="76"/>
      <c r="X9167" s="76"/>
      <c r="Y9167" s="76"/>
      <c r="Z9167" s="76"/>
      <c r="AA9167" s="76"/>
      <c r="AB9167" s="1120"/>
      <c r="AC9167" s="76"/>
      <c r="AD9167" s="76"/>
      <c r="AE9167" s="76"/>
      <c r="AF9167" s="76"/>
      <c r="AG9167" s="76"/>
      <c r="AH9167" s="76"/>
      <c r="AI9167" s="76"/>
      <c r="AJ9167" s="76"/>
      <c r="AK9167" s="76"/>
      <c r="AL9167" s="76"/>
      <c r="AM9167" s="76"/>
      <c r="AN9167" s="76"/>
      <c r="AO9167" s="76"/>
      <c r="AP9167" s="76"/>
      <c r="AQ9167" s="76"/>
      <c r="AR9167" s="76"/>
      <c r="AS9167" s="76"/>
    </row>
    <row r="9168" spans="2:45">
      <c r="B9168" s="136" t="s">
        <v>366</v>
      </c>
      <c r="C9168" s="132" t="s">
        <v>309</v>
      </c>
      <c r="D9168" s="325">
        <v>1000</v>
      </c>
      <c r="E9168" s="132" t="s">
        <v>282</v>
      </c>
      <c r="F9168" s="1109">
        <v>8.93</v>
      </c>
      <c r="I9168" s="1116" t="s">
        <v>1456</v>
      </c>
      <c r="J9168" s="1117">
        <v>1</v>
      </c>
      <c r="K9168" s="1117">
        <v>1</v>
      </c>
      <c r="L9168" s="1117">
        <v>1</v>
      </c>
      <c r="M9168" s="1117">
        <v>1</v>
      </c>
      <c r="N9168" s="1117">
        <v>1</v>
      </c>
      <c r="O9168" s="1117">
        <v>1</v>
      </c>
      <c r="P9168" s="1117">
        <v>1</v>
      </c>
      <c r="Q9168" s="1117">
        <v>0</v>
      </c>
      <c r="R9168" s="1118">
        <v>0</v>
      </c>
      <c r="S9168" s="76"/>
      <c r="T9168" s="1116" t="s">
        <v>1456</v>
      </c>
      <c r="U9168" s="1117">
        <v>1</v>
      </c>
      <c r="V9168" s="1118">
        <v>1</v>
      </c>
      <c r="W9168" s="76"/>
      <c r="X9168" s="76"/>
      <c r="Y9168" s="76"/>
      <c r="Z9168" s="76"/>
      <c r="AA9168" s="76"/>
      <c r="AB9168" s="1120"/>
      <c r="AC9168" s="76"/>
      <c r="AD9168" s="76"/>
      <c r="AE9168" s="76"/>
      <c r="AF9168" s="76"/>
      <c r="AG9168" s="76"/>
      <c r="AH9168" s="76"/>
      <c r="AI9168" s="76"/>
      <c r="AJ9168" s="76"/>
      <c r="AK9168" s="76"/>
      <c r="AL9168" s="76"/>
      <c r="AM9168" s="76"/>
      <c r="AN9168" s="76"/>
      <c r="AO9168" s="76"/>
      <c r="AP9168" s="76"/>
      <c r="AQ9168" s="76"/>
      <c r="AR9168" s="76"/>
      <c r="AS9168" s="76"/>
    </row>
    <row r="9169" spans="2:45">
      <c r="B9169" s="136" t="s">
        <v>366</v>
      </c>
      <c r="C9169" s="132" t="s">
        <v>309</v>
      </c>
      <c r="D9169" s="325">
        <v>1000</v>
      </c>
      <c r="E9169" s="132" t="s">
        <v>283</v>
      </c>
      <c r="F9169" s="1109">
        <v>0.5</v>
      </c>
      <c r="I9169" s="1116" t="s">
        <v>1379</v>
      </c>
      <c r="J9169" s="1117">
        <v>1</v>
      </c>
      <c r="K9169" s="1117">
        <v>1</v>
      </c>
      <c r="L9169" s="1117">
        <v>1</v>
      </c>
      <c r="M9169" s="1117">
        <v>1</v>
      </c>
      <c r="N9169" s="1117">
        <v>1</v>
      </c>
      <c r="O9169" s="1117">
        <v>1</v>
      </c>
      <c r="P9169" s="1117">
        <v>1</v>
      </c>
      <c r="Q9169" s="1117">
        <v>1</v>
      </c>
      <c r="R9169" s="1118">
        <v>1</v>
      </c>
      <c r="S9169" s="76"/>
      <c r="T9169" s="1116" t="s">
        <v>1379</v>
      </c>
      <c r="U9169" s="1117">
        <v>1</v>
      </c>
      <c r="V9169" s="1118">
        <v>1</v>
      </c>
      <c r="W9169" s="76"/>
      <c r="X9169" s="76"/>
      <c r="Y9169" s="76"/>
      <c r="Z9169" s="76"/>
      <c r="AA9169" s="76"/>
      <c r="AB9169" s="1120"/>
      <c r="AC9169" s="76"/>
      <c r="AD9169" s="76"/>
      <c r="AE9169" s="76"/>
      <c r="AF9169" s="76"/>
      <c r="AG9169" s="76"/>
      <c r="AH9169" s="76"/>
      <c r="AI9169" s="76"/>
      <c r="AJ9169" s="76"/>
      <c r="AK9169" s="76"/>
      <c r="AL9169" s="76"/>
      <c r="AM9169" s="76"/>
      <c r="AN9169" s="76"/>
      <c r="AO9169" s="76"/>
      <c r="AP9169" s="76"/>
      <c r="AQ9169" s="76"/>
      <c r="AR9169" s="76"/>
      <c r="AS9169" s="76"/>
    </row>
    <row r="9170" spans="2:45">
      <c r="B9170" s="136" t="s">
        <v>366</v>
      </c>
      <c r="C9170" s="132" t="s">
        <v>309</v>
      </c>
      <c r="D9170" s="325">
        <v>1000</v>
      </c>
      <c r="E9170" s="132" t="s">
        <v>284</v>
      </c>
      <c r="F9170" s="1109">
        <v>1</v>
      </c>
      <c r="I9170" s="1121" t="s">
        <v>1457</v>
      </c>
      <c r="J9170" s="1117">
        <v>1</v>
      </c>
      <c r="K9170" s="1117">
        <v>1</v>
      </c>
      <c r="L9170" s="1117">
        <v>1</v>
      </c>
      <c r="M9170" s="1117">
        <v>1</v>
      </c>
      <c r="N9170" s="1117">
        <v>1</v>
      </c>
      <c r="O9170" s="1117">
        <v>1</v>
      </c>
      <c r="P9170" s="1117">
        <v>1</v>
      </c>
      <c r="Q9170" s="1117">
        <v>0</v>
      </c>
      <c r="R9170" s="1118">
        <v>0</v>
      </c>
      <c r="S9170" s="76"/>
      <c r="T9170" s="1121" t="s">
        <v>1457</v>
      </c>
      <c r="U9170" s="1117">
        <v>1</v>
      </c>
      <c r="V9170" s="1118">
        <v>1</v>
      </c>
      <c r="W9170" s="76"/>
      <c r="X9170" s="76"/>
      <c r="Y9170" s="76"/>
      <c r="Z9170" s="76"/>
      <c r="AA9170" s="76"/>
      <c r="AB9170" s="1120"/>
      <c r="AC9170" s="76"/>
      <c r="AD9170" s="76"/>
      <c r="AE9170" s="76"/>
      <c r="AF9170" s="76"/>
      <c r="AG9170" s="76"/>
      <c r="AH9170" s="76"/>
      <c r="AI9170" s="76"/>
      <c r="AJ9170" s="76"/>
      <c r="AK9170" s="76"/>
      <c r="AL9170" s="76"/>
      <c r="AM9170" s="76"/>
      <c r="AN9170" s="76"/>
      <c r="AO9170" s="76"/>
      <c r="AP9170" s="76"/>
      <c r="AQ9170" s="76"/>
      <c r="AR9170" s="76"/>
      <c r="AS9170" s="76"/>
    </row>
    <row r="9171" spans="2:45" ht="16" thickBot="1">
      <c r="B9171" s="136" t="s">
        <v>366</v>
      </c>
      <c r="C9171" s="132" t="s">
        <v>309</v>
      </c>
      <c r="D9171" s="325">
        <v>1000</v>
      </c>
      <c r="E9171" s="132" t="s">
        <v>1379</v>
      </c>
      <c r="F9171" s="1109">
        <v>1</v>
      </c>
      <c r="I9171" s="1122" t="s">
        <v>1380</v>
      </c>
      <c r="J9171" s="1123">
        <v>1</v>
      </c>
      <c r="K9171" s="1123">
        <v>1</v>
      </c>
      <c r="L9171" s="1123">
        <v>1</v>
      </c>
      <c r="M9171" s="1123">
        <v>1</v>
      </c>
      <c r="N9171" s="1123">
        <v>1</v>
      </c>
      <c r="O9171" s="1123">
        <v>1</v>
      </c>
      <c r="P9171" s="1123">
        <v>1</v>
      </c>
      <c r="Q9171" s="1123">
        <v>1</v>
      </c>
      <c r="R9171" s="1124">
        <v>1</v>
      </c>
      <c r="S9171" s="76"/>
      <c r="T9171" s="1122" t="s">
        <v>1380</v>
      </c>
      <c r="U9171" s="1123">
        <v>1</v>
      </c>
      <c r="V9171" s="1124">
        <v>1</v>
      </c>
      <c r="W9171" s="76"/>
      <c r="X9171" s="76"/>
      <c r="Y9171" s="76"/>
      <c r="Z9171" s="76"/>
      <c r="AA9171" s="76"/>
      <c r="AB9171" s="1120"/>
      <c r="AC9171" s="76"/>
      <c r="AD9171" s="76"/>
      <c r="AE9171" s="76"/>
      <c r="AF9171" s="76"/>
      <c r="AG9171" s="76"/>
      <c r="AH9171" s="76"/>
      <c r="AI9171" s="76"/>
      <c r="AJ9171" s="76"/>
      <c r="AK9171" s="76"/>
      <c r="AL9171" s="76"/>
      <c r="AM9171" s="76"/>
      <c r="AN9171" s="76"/>
      <c r="AO9171" s="76"/>
      <c r="AP9171" s="76"/>
      <c r="AQ9171" s="76"/>
      <c r="AR9171" s="76"/>
      <c r="AS9171" s="76"/>
    </row>
    <row r="9172" spans="2:45">
      <c r="B9172" s="136" t="s">
        <v>366</v>
      </c>
      <c r="C9172" s="132" t="s">
        <v>309</v>
      </c>
      <c r="D9172" s="325">
        <v>1000</v>
      </c>
      <c r="E9172" s="132" t="s">
        <v>285</v>
      </c>
      <c r="F9172" s="1109">
        <v>1</v>
      </c>
      <c r="I9172" s="986"/>
      <c r="J9172" s="1119"/>
      <c r="K9172" s="1120"/>
      <c r="L9172" s="1120"/>
      <c r="M9172" s="1120"/>
      <c r="N9172" s="1120"/>
      <c r="O9172" s="1120"/>
      <c r="P9172" s="1120"/>
      <c r="Q9172" s="1120"/>
      <c r="R9172" s="76"/>
      <c r="S9172" s="76"/>
      <c r="T9172" s="76"/>
      <c r="U9172" s="76"/>
      <c r="V9172" s="76"/>
      <c r="W9172" s="76"/>
      <c r="X9172" s="76"/>
      <c r="Y9172" s="76"/>
      <c r="Z9172" s="76"/>
      <c r="AA9172" s="76"/>
      <c r="AB9172" s="1120"/>
      <c r="AC9172" s="76"/>
      <c r="AD9172" s="76"/>
      <c r="AE9172" s="76"/>
      <c r="AF9172" s="76"/>
      <c r="AG9172" s="76"/>
      <c r="AH9172" s="76"/>
      <c r="AI9172" s="76"/>
      <c r="AJ9172" s="76"/>
      <c r="AK9172" s="76"/>
      <c r="AL9172" s="76"/>
      <c r="AM9172" s="76"/>
      <c r="AN9172" s="76"/>
      <c r="AO9172" s="76"/>
      <c r="AP9172" s="76"/>
      <c r="AQ9172" s="76"/>
      <c r="AR9172" s="76"/>
      <c r="AS9172" s="76"/>
    </row>
    <row r="9173" spans="2:45">
      <c r="B9173" s="136" t="s">
        <v>366</v>
      </c>
      <c r="C9173" s="132" t="s">
        <v>309</v>
      </c>
      <c r="D9173" s="325">
        <v>1000</v>
      </c>
      <c r="E9173" s="132" t="s">
        <v>1380</v>
      </c>
      <c r="F9173" s="1109">
        <v>1</v>
      </c>
      <c r="I9173" s="1125"/>
      <c r="J9173" s="1126"/>
      <c r="K9173" s="1127"/>
      <c r="L9173" s="1127"/>
      <c r="M9173" s="1127"/>
      <c r="N9173" s="1127"/>
      <c r="O9173" s="1127"/>
      <c r="P9173" s="1127"/>
      <c r="Q9173" s="1127"/>
      <c r="R9173" s="76"/>
      <c r="S9173" s="76"/>
      <c r="T9173" s="76"/>
      <c r="U9173" s="76"/>
      <c r="V9173" s="76"/>
      <c r="W9173" s="76"/>
      <c r="X9173" s="76"/>
      <c r="Y9173" s="76"/>
      <c r="Z9173" s="76"/>
      <c r="AA9173" s="76"/>
      <c r="AB9173" s="76"/>
      <c r="AC9173" s="76"/>
      <c r="AD9173" s="76"/>
      <c r="AE9173" s="76"/>
      <c r="AF9173" s="76"/>
      <c r="AG9173" s="76"/>
      <c r="AH9173" s="76"/>
      <c r="AI9173" s="76"/>
      <c r="AJ9173" s="76"/>
      <c r="AK9173" s="76"/>
      <c r="AL9173" s="76"/>
      <c r="AM9173" s="76"/>
      <c r="AN9173" s="76"/>
      <c r="AO9173" s="76"/>
      <c r="AP9173" s="76"/>
      <c r="AQ9173" s="76"/>
      <c r="AR9173" s="76"/>
      <c r="AS9173" s="76"/>
    </row>
    <row r="9174" spans="2:45">
      <c r="B9174" s="136" t="s">
        <v>366</v>
      </c>
      <c r="C9174" s="132" t="s">
        <v>309</v>
      </c>
      <c r="D9174" s="325">
        <v>1000</v>
      </c>
      <c r="E9174" s="132" t="s">
        <v>281</v>
      </c>
      <c r="F9174" s="1109">
        <v>1</v>
      </c>
      <c r="I9174" s="160"/>
      <c r="J9174" s="160"/>
      <c r="K9174" s="160"/>
      <c r="L9174" s="160"/>
      <c r="M9174" s="160"/>
      <c r="N9174" s="160"/>
      <c r="O9174" s="160"/>
      <c r="P9174" s="160"/>
      <c r="Q9174" s="160"/>
      <c r="R9174" s="76"/>
      <c r="S9174" s="76"/>
      <c r="T9174" s="76"/>
      <c r="U9174" s="76"/>
      <c r="V9174" s="76"/>
      <c r="W9174" s="76"/>
      <c r="X9174" s="76"/>
      <c r="Y9174" s="76"/>
      <c r="Z9174" s="76"/>
      <c r="AA9174" s="76"/>
      <c r="AB9174" s="76"/>
      <c r="AC9174" s="76"/>
      <c r="AD9174" s="76"/>
      <c r="AE9174" s="76"/>
      <c r="AF9174" s="76"/>
      <c r="AG9174" s="76"/>
      <c r="AH9174" s="76"/>
      <c r="AI9174" s="76"/>
      <c r="AJ9174" s="76"/>
      <c r="AK9174" s="76"/>
      <c r="AL9174" s="76"/>
      <c r="AM9174" s="76"/>
      <c r="AN9174" s="76"/>
      <c r="AO9174" s="76"/>
      <c r="AP9174" s="76"/>
      <c r="AQ9174" s="76"/>
      <c r="AR9174" s="76"/>
      <c r="AS9174" s="76"/>
    </row>
    <row r="9175" spans="2:45">
      <c r="B9175" s="136" t="s">
        <v>366</v>
      </c>
      <c r="C9175" s="132" t="s">
        <v>309</v>
      </c>
      <c r="D9175" s="325">
        <v>1000</v>
      </c>
      <c r="E9175" s="132" t="s">
        <v>1384</v>
      </c>
      <c r="F9175" s="1109">
        <v>1</v>
      </c>
      <c r="I9175" s="160"/>
      <c r="J9175" s="160"/>
      <c r="K9175" s="160"/>
      <c r="L9175" s="160"/>
      <c r="M9175" s="160"/>
      <c r="N9175" s="160"/>
      <c r="O9175" s="160"/>
      <c r="P9175" s="160"/>
      <c r="Q9175" s="160"/>
      <c r="R9175" s="76"/>
      <c r="S9175" s="76"/>
      <c r="T9175" s="76"/>
      <c r="U9175" s="76"/>
      <c r="V9175" s="76"/>
      <c r="W9175" s="76"/>
      <c r="X9175" s="76"/>
      <c r="Y9175" s="76"/>
      <c r="Z9175" s="76"/>
      <c r="AA9175" s="76"/>
      <c r="AB9175" s="76"/>
      <c r="AC9175" s="76"/>
      <c r="AD9175" s="76"/>
      <c r="AE9175" s="76"/>
      <c r="AF9175" s="76"/>
      <c r="AG9175" s="76"/>
      <c r="AH9175" s="76"/>
      <c r="AI9175" s="76"/>
      <c r="AJ9175" s="76"/>
      <c r="AK9175" s="76"/>
      <c r="AL9175" s="76"/>
      <c r="AM9175" s="76"/>
      <c r="AN9175" s="76"/>
      <c r="AO9175" s="76"/>
      <c r="AP9175" s="76"/>
      <c r="AQ9175" s="76"/>
      <c r="AR9175" s="76"/>
      <c r="AS9175" s="76"/>
    </row>
    <row r="9176" spans="2:45" ht="16" thickBot="1">
      <c r="B9176" s="136" t="s">
        <v>366</v>
      </c>
      <c r="C9176" s="132" t="s">
        <v>307</v>
      </c>
      <c r="D9176" s="325">
        <v>1000</v>
      </c>
      <c r="E9176" s="132" t="s">
        <v>282</v>
      </c>
      <c r="F9176" s="1109">
        <v>44.34</v>
      </c>
      <c r="I9176" s="1112" t="s">
        <v>1446</v>
      </c>
      <c r="J9176" s="1112" t="s">
        <v>1458</v>
      </c>
      <c r="K9176" s="375" t="s">
        <v>4</v>
      </c>
      <c r="L9176" s="76"/>
      <c r="M9176" s="76"/>
      <c r="N9176" s="76"/>
      <c r="O9176" s="76"/>
      <c r="P9176" s="76"/>
      <c r="Q9176" s="76"/>
      <c r="R9176" s="76"/>
      <c r="S9176" s="76"/>
      <c r="T9176" s="1112" t="s">
        <v>1458</v>
      </c>
      <c r="U9176" s="375" t="s">
        <v>5</v>
      </c>
      <c r="V9176" s="76"/>
      <c r="W9176" s="76"/>
      <c r="X9176" s="76"/>
      <c r="Y9176" s="76"/>
      <c r="Z9176" s="76"/>
      <c r="AA9176" s="76"/>
      <c r="AB9176" s="76"/>
      <c r="AC9176" s="76"/>
      <c r="AD9176" s="76"/>
      <c r="AE9176" s="76"/>
      <c r="AF9176" s="76"/>
      <c r="AG9176" s="76"/>
      <c r="AH9176" s="76"/>
      <c r="AI9176" s="76"/>
      <c r="AJ9176" s="76"/>
      <c r="AK9176" s="76"/>
      <c r="AL9176" s="76"/>
      <c r="AM9176" s="76"/>
      <c r="AN9176" s="76"/>
      <c r="AO9176" s="76"/>
      <c r="AP9176" s="76"/>
      <c r="AQ9176" s="76"/>
      <c r="AR9176" s="76"/>
      <c r="AS9176" s="76"/>
    </row>
    <row r="9177" spans="2:45" ht="45">
      <c r="B9177" s="136" t="s">
        <v>366</v>
      </c>
      <c r="C9177" s="132" t="s">
        <v>307</v>
      </c>
      <c r="D9177" s="325">
        <v>1000</v>
      </c>
      <c r="E9177" s="132" t="s">
        <v>283</v>
      </c>
      <c r="F9177" s="1109">
        <v>0.5</v>
      </c>
      <c r="I9177" s="1113" t="s">
        <v>1444</v>
      </c>
      <c r="J9177" s="1114" t="s">
        <v>4</v>
      </c>
      <c r="K9177" s="1114" t="s">
        <v>1447</v>
      </c>
      <c r="L9177" s="1114" t="s">
        <v>1448</v>
      </c>
      <c r="M9177" s="1114" t="s">
        <v>1449</v>
      </c>
      <c r="N9177" s="1114" t="s">
        <v>1450</v>
      </c>
      <c r="O9177" s="1114" t="s">
        <v>1451</v>
      </c>
      <c r="P9177" s="1114" t="s">
        <v>1452</v>
      </c>
      <c r="Q9177" s="1114" t="s">
        <v>359</v>
      </c>
      <c r="R9177" s="1115" t="s">
        <v>852</v>
      </c>
      <c r="S9177" s="76"/>
      <c r="T9177" s="1113" t="s">
        <v>1444</v>
      </c>
      <c r="U9177" s="1114" t="s">
        <v>5</v>
      </c>
      <c r="V9177" s="1115" t="s">
        <v>1453</v>
      </c>
      <c r="W9177" s="76"/>
      <c r="X9177" s="76"/>
      <c r="Y9177" s="76"/>
      <c r="Z9177" s="76"/>
      <c r="AA9177" s="76"/>
      <c r="AB9177" s="76"/>
      <c r="AC9177" s="76"/>
      <c r="AD9177" s="76"/>
      <c r="AE9177" s="76"/>
      <c r="AF9177" s="76"/>
      <c r="AG9177" s="76"/>
      <c r="AH9177" s="76"/>
      <c r="AI9177" s="76"/>
      <c r="AJ9177" s="76"/>
      <c r="AK9177" s="76"/>
      <c r="AL9177" s="76"/>
      <c r="AM9177" s="76"/>
      <c r="AN9177" s="76"/>
      <c r="AO9177" s="76"/>
      <c r="AP9177" s="76"/>
      <c r="AQ9177" s="76"/>
      <c r="AR9177" s="76"/>
      <c r="AS9177" s="76"/>
    </row>
    <row r="9178" spans="2:45">
      <c r="B9178" s="136" t="s">
        <v>366</v>
      </c>
      <c r="C9178" s="132" t="s">
        <v>307</v>
      </c>
      <c r="D9178" s="325">
        <v>1000</v>
      </c>
      <c r="E9178" s="132" t="s">
        <v>284</v>
      </c>
      <c r="F9178" s="1109">
        <v>1</v>
      </c>
      <c r="I9178" s="1116" t="s">
        <v>1454</v>
      </c>
      <c r="J9178" s="1117">
        <v>1</v>
      </c>
      <c r="K9178" s="1117">
        <v>1</v>
      </c>
      <c r="L9178" s="1117">
        <v>1</v>
      </c>
      <c r="M9178" s="1117">
        <v>1</v>
      </c>
      <c r="N9178" s="1117">
        <v>1</v>
      </c>
      <c r="O9178" s="1117">
        <v>0.54</v>
      </c>
      <c r="P9178" s="1117">
        <v>0.54</v>
      </c>
      <c r="Q9178" s="1117">
        <v>0</v>
      </c>
      <c r="R9178" s="1118">
        <v>0</v>
      </c>
      <c r="S9178" s="76"/>
      <c r="T9178" s="1116" t="s">
        <v>1454</v>
      </c>
      <c r="U9178" s="1117">
        <v>1</v>
      </c>
      <c r="V9178" s="1118">
        <v>1</v>
      </c>
      <c r="W9178" s="76"/>
      <c r="X9178" s="76"/>
      <c r="Y9178" s="76"/>
      <c r="Z9178" s="76"/>
      <c r="AA9178" s="76"/>
      <c r="AB9178" s="76"/>
      <c r="AC9178" s="76"/>
      <c r="AD9178" s="76"/>
      <c r="AE9178" s="76"/>
      <c r="AF9178" s="76"/>
      <c r="AG9178" s="76"/>
      <c r="AH9178" s="76"/>
      <c r="AI9178" s="76"/>
      <c r="AJ9178" s="76"/>
      <c r="AK9178" s="76"/>
      <c r="AL9178" s="76"/>
      <c r="AM9178" s="76"/>
      <c r="AN9178" s="76"/>
      <c r="AO9178" s="76"/>
      <c r="AP9178" s="76"/>
      <c r="AQ9178" s="76"/>
      <c r="AR9178" s="76"/>
      <c r="AS9178" s="76"/>
    </row>
    <row r="9179" spans="2:45">
      <c r="B9179" s="136" t="s">
        <v>366</v>
      </c>
      <c r="C9179" s="132" t="s">
        <v>307</v>
      </c>
      <c r="D9179" s="325">
        <v>1000</v>
      </c>
      <c r="E9179" s="132" t="s">
        <v>1379</v>
      </c>
      <c r="F9179" s="1109">
        <v>1</v>
      </c>
      <c r="I9179" s="1116" t="s">
        <v>1455</v>
      </c>
      <c r="J9179" s="1117">
        <v>1</v>
      </c>
      <c r="K9179" s="1117">
        <v>0.85</v>
      </c>
      <c r="L9179" s="1117">
        <v>0.5</v>
      </c>
      <c r="M9179" s="1117">
        <v>0.5</v>
      </c>
      <c r="N9179" s="1117">
        <v>0.8</v>
      </c>
      <c r="O9179" s="1117">
        <v>1</v>
      </c>
      <c r="P9179" s="1117">
        <v>1</v>
      </c>
      <c r="Q9179" s="1117">
        <v>0</v>
      </c>
      <c r="R9179" s="1118">
        <v>0</v>
      </c>
      <c r="S9179" s="76"/>
      <c r="T9179" s="1116" t="s">
        <v>1455</v>
      </c>
      <c r="U9179" s="1117">
        <v>1</v>
      </c>
      <c r="V9179" s="1118">
        <v>1</v>
      </c>
      <c r="W9179" s="76"/>
      <c r="X9179" s="76"/>
      <c r="Y9179" s="76"/>
      <c r="Z9179" s="76"/>
      <c r="AA9179" s="76"/>
      <c r="AB9179" s="76"/>
      <c r="AC9179" s="76"/>
      <c r="AD9179" s="76"/>
      <c r="AE9179" s="76"/>
      <c r="AF9179" s="76"/>
      <c r="AG9179" s="76"/>
      <c r="AH9179" s="76"/>
      <c r="AI9179" s="76"/>
      <c r="AJ9179" s="76"/>
      <c r="AK9179" s="76"/>
      <c r="AL9179" s="76"/>
      <c r="AM9179" s="76"/>
      <c r="AN9179" s="76"/>
      <c r="AO9179" s="76"/>
      <c r="AP9179" s="76"/>
      <c r="AQ9179" s="76"/>
      <c r="AR9179" s="76"/>
      <c r="AS9179" s="76"/>
    </row>
    <row r="9180" spans="2:45">
      <c r="B9180" s="136" t="s">
        <v>366</v>
      </c>
      <c r="C9180" s="132" t="s">
        <v>307</v>
      </c>
      <c r="D9180" s="325">
        <v>1000</v>
      </c>
      <c r="E9180" s="132" t="s">
        <v>285</v>
      </c>
      <c r="F9180" s="1109">
        <v>1</v>
      </c>
      <c r="I9180" s="1116" t="s">
        <v>282</v>
      </c>
      <c r="J9180" s="1117">
        <v>1</v>
      </c>
      <c r="K9180" s="1117">
        <v>1</v>
      </c>
      <c r="L9180" s="1117">
        <v>1</v>
      </c>
      <c r="M9180" s="1117">
        <v>1</v>
      </c>
      <c r="N9180" s="1117">
        <v>1</v>
      </c>
      <c r="O9180" s="1117">
        <v>1</v>
      </c>
      <c r="P9180" s="1117">
        <v>1</v>
      </c>
      <c r="Q9180" s="1117">
        <v>0</v>
      </c>
      <c r="R9180" s="1118">
        <v>0</v>
      </c>
      <c r="S9180" s="76"/>
      <c r="T9180" s="1116" t="s">
        <v>282</v>
      </c>
      <c r="U9180" s="1117">
        <v>1</v>
      </c>
      <c r="V9180" s="1118">
        <v>1</v>
      </c>
      <c r="W9180" s="76"/>
      <c r="X9180" s="76"/>
      <c r="Y9180" s="76"/>
      <c r="Z9180" s="76"/>
      <c r="AA9180" s="76"/>
      <c r="AB9180" s="76"/>
      <c r="AC9180" s="76"/>
      <c r="AD9180" s="76"/>
      <c r="AE9180" s="76"/>
      <c r="AF9180" s="76"/>
      <c r="AG9180" s="76"/>
      <c r="AH9180" s="76"/>
      <c r="AI9180" s="76"/>
      <c r="AJ9180" s="76"/>
      <c r="AK9180" s="76"/>
      <c r="AL9180" s="76"/>
      <c r="AM9180" s="76"/>
      <c r="AN9180" s="76"/>
      <c r="AO9180" s="76"/>
      <c r="AP9180" s="76"/>
      <c r="AQ9180" s="76"/>
      <c r="AR9180" s="76"/>
      <c r="AS9180" s="76"/>
    </row>
    <row r="9181" spans="2:45">
      <c r="B9181" s="136" t="s">
        <v>366</v>
      </c>
      <c r="C9181" s="132" t="s">
        <v>307</v>
      </c>
      <c r="D9181" s="325">
        <v>1000</v>
      </c>
      <c r="E9181" s="132" t="s">
        <v>1380</v>
      </c>
      <c r="F9181" s="1109">
        <v>1</v>
      </c>
      <c r="I9181" s="1116" t="s">
        <v>283</v>
      </c>
      <c r="J9181" s="1117">
        <v>1</v>
      </c>
      <c r="K9181" s="1117">
        <v>1</v>
      </c>
      <c r="L9181" s="1117">
        <v>1</v>
      </c>
      <c r="M9181" s="1117">
        <v>1</v>
      </c>
      <c r="N9181" s="1117">
        <v>1</v>
      </c>
      <c r="O9181" s="1117">
        <v>0.84</v>
      </c>
      <c r="P9181" s="1117">
        <v>0.84</v>
      </c>
      <c r="Q9181" s="1117">
        <v>0</v>
      </c>
      <c r="R9181" s="1118">
        <v>0</v>
      </c>
      <c r="S9181" s="76"/>
      <c r="T9181" s="1116" t="s">
        <v>283</v>
      </c>
      <c r="U9181" s="1117">
        <v>1</v>
      </c>
      <c r="V9181" s="1118">
        <v>1</v>
      </c>
      <c r="W9181" s="76"/>
      <c r="X9181" s="76"/>
      <c r="Y9181" s="76"/>
      <c r="Z9181" s="76"/>
      <c r="AA9181" s="76"/>
      <c r="AB9181" s="76"/>
      <c r="AC9181" s="76"/>
      <c r="AD9181" s="76"/>
      <c r="AE9181" s="76"/>
      <c r="AF9181" s="76"/>
      <c r="AG9181" s="76"/>
      <c r="AH9181" s="76"/>
      <c r="AI9181" s="76"/>
      <c r="AJ9181" s="76"/>
      <c r="AK9181" s="76"/>
      <c r="AL9181" s="76"/>
      <c r="AM9181" s="76"/>
      <c r="AN9181" s="76"/>
      <c r="AO9181" s="76"/>
      <c r="AP9181" s="76"/>
      <c r="AQ9181" s="76"/>
      <c r="AR9181" s="76"/>
      <c r="AS9181" s="76"/>
    </row>
    <row r="9182" spans="2:45">
      <c r="B9182" s="136" t="s">
        <v>366</v>
      </c>
      <c r="C9182" s="132" t="s">
        <v>307</v>
      </c>
      <c r="D9182" s="325">
        <v>1000</v>
      </c>
      <c r="E9182" s="132" t="s">
        <v>281</v>
      </c>
      <c r="F9182" s="1109">
        <v>1</v>
      </c>
      <c r="I9182" s="1116" t="s">
        <v>1456</v>
      </c>
      <c r="J9182" s="1117">
        <v>1</v>
      </c>
      <c r="K9182" s="1117">
        <v>1</v>
      </c>
      <c r="L9182" s="1117">
        <v>1</v>
      </c>
      <c r="M9182" s="1117">
        <v>1</v>
      </c>
      <c r="N9182" s="1117">
        <v>1</v>
      </c>
      <c r="O9182" s="1117">
        <v>1</v>
      </c>
      <c r="P9182" s="1117">
        <v>1</v>
      </c>
      <c r="Q9182" s="1117">
        <v>0</v>
      </c>
      <c r="R9182" s="1118">
        <v>0</v>
      </c>
      <c r="S9182" s="76"/>
      <c r="T9182" s="1116" t="s">
        <v>1456</v>
      </c>
      <c r="U9182" s="1117">
        <v>1</v>
      </c>
      <c r="V9182" s="1118">
        <v>1</v>
      </c>
      <c r="W9182" s="76"/>
      <c r="X9182" s="76"/>
      <c r="Y9182" s="76"/>
      <c r="Z9182" s="76"/>
      <c r="AA9182" s="76"/>
      <c r="AB9182" s="76"/>
      <c r="AC9182" s="76"/>
      <c r="AD9182" s="76"/>
      <c r="AE9182" s="76"/>
      <c r="AF9182" s="76"/>
      <c r="AG9182" s="76"/>
      <c r="AH9182" s="76"/>
      <c r="AI9182" s="76"/>
      <c r="AJ9182" s="76"/>
      <c r="AK9182" s="76"/>
      <c r="AL9182" s="76"/>
      <c r="AM9182" s="76"/>
      <c r="AN9182" s="76"/>
      <c r="AO9182" s="76"/>
      <c r="AP9182" s="76"/>
      <c r="AQ9182" s="76"/>
      <c r="AR9182" s="76"/>
      <c r="AS9182" s="76"/>
    </row>
    <row r="9183" spans="2:45">
      <c r="B9183" s="136" t="s">
        <v>366</v>
      </c>
      <c r="C9183" s="132" t="s">
        <v>307</v>
      </c>
      <c r="D9183" s="325">
        <v>1000</v>
      </c>
      <c r="E9183" s="132" t="s">
        <v>1384</v>
      </c>
      <c r="F9183" s="1109">
        <v>1</v>
      </c>
      <c r="I9183" s="1116" t="s">
        <v>1379</v>
      </c>
      <c r="J9183" s="1117">
        <v>1</v>
      </c>
      <c r="K9183" s="1117">
        <v>1</v>
      </c>
      <c r="L9183" s="1117">
        <v>1</v>
      </c>
      <c r="M9183" s="1117">
        <v>1</v>
      </c>
      <c r="N9183" s="1117">
        <v>1</v>
      </c>
      <c r="O9183" s="1117">
        <v>1</v>
      </c>
      <c r="P9183" s="1117">
        <v>1</v>
      </c>
      <c r="Q9183" s="1117">
        <v>1</v>
      </c>
      <c r="R9183" s="1118">
        <v>1</v>
      </c>
      <c r="S9183" s="76"/>
      <c r="T9183" s="1116" t="s">
        <v>1379</v>
      </c>
      <c r="U9183" s="1117">
        <v>1</v>
      </c>
      <c r="V9183" s="1118">
        <v>1</v>
      </c>
      <c r="W9183" s="76"/>
      <c r="X9183" s="76"/>
      <c r="Y9183" s="76"/>
      <c r="Z9183" s="76"/>
      <c r="AA9183" s="76"/>
      <c r="AB9183" s="76"/>
      <c r="AC9183" s="76"/>
      <c r="AD9183" s="76"/>
      <c r="AE9183" s="76"/>
      <c r="AF9183" s="76"/>
      <c r="AG9183" s="76"/>
      <c r="AH9183" s="76"/>
      <c r="AI9183" s="76"/>
      <c r="AJ9183" s="76"/>
      <c r="AK9183" s="76"/>
      <c r="AL9183" s="76"/>
      <c r="AM9183" s="76"/>
      <c r="AN9183" s="76"/>
      <c r="AO9183" s="76"/>
      <c r="AP9183" s="76"/>
      <c r="AQ9183" s="76"/>
      <c r="AR9183" s="76"/>
      <c r="AS9183" s="76"/>
    </row>
    <row r="9184" spans="2:45">
      <c r="B9184" s="136" t="s">
        <v>218</v>
      </c>
      <c r="C9184" s="132" t="s">
        <v>315</v>
      </c>
      <c r="D9184" s="325">
        <v>1225</v>
      </c>
      <c r="E9184" s="132" t="s">
        <v>282</v>
      </c>
      <c r="F9184" s="1109">
        <v>16.13</v>
      </c>
      <c r="I9184" s="1121" t="s">
        <v>1457</v>
      </c>
      <c r="J9184" s="1117">
        <v>1</v>
      </c>
      <c r="K9184" s="1117">
        <v>1</v>
      </c>
      <c r="L9184" s="1117">
        <v>1</v>
      </c>
      <c r="M9184" s="1117">
        <v>1</v>
      </c>
      <c r="N9184" s="1117">
        <v>1</v>
      </c>
      <c r="O9184" s="1117">
        <v>1</v>
      </c>
      <c r="P9184" s="1117">
        <v>1</v>
      </c>
      <c r="Q9184" s="1117">
        <v>0</v>
      </c>
      <c r="R9184" s="1118">
        <v>0</v>
      </c>
      <c r="S9184" s="76"/>
      <c r="T9184" s="1121" t="s">
        <v>1457</v>
      </c>
      <c r="U9184" s="1117">
        <v>1</v>
      </c>
      <c r="V9184" s="1118">
        <v>1</v>
      </c>
      <c r="W9184" s="76"/>
      <c r="X9184" s="76"/>
      <c r="Y9184" s="76"/>
      <c r="Z9184" s="76"/>
      <c r="AA9184" s="76"/>
      <c r="AB9184" s="76"/>
      <c r="AC9184" s="76"/>
      <c r="AD9184" s="76"/>
      <c r="AE9184" s="76"/>
      <c r="AF9184" s="76"/>
      <c r="AG9184" s="76"/>
      <c r="AH9184" s="76"/>
      <c r="AI9184" s="76"/>
      <c r="AJ9184" s="76"/>
      <c r="AK9184" s="76"/>
      <c r="AL9184" s="76"/>
      <c r="AM9184" s="76"/>
      <c r="AN9184" s="76"/>
      <c r="AO9184" s="76"/>
      <c r="AP9184" s="76"/>
      <c r="AQ9184" s="76"/>
      <c r="AR9184" s="76"/>
      <c r="AS9184" s="76"/>
    </row>
    <row r="9185" spans="2:45" ht="16" thickBot="1">
      <c r="B9185" s="136" t="s">
        <v>218</v>
      </c>
      <c r="C9185" s="132" t="s">
        <v>315</v>
      </c>
      <c r="D9185" s="325">
        <v>1225</v>
      </c>
      <c r="E9185" s="132" t="s">
        <v>283</v>
      </c>
      <c r="F9185" s="1109">
        <v>0.5</v>
      </c>
      <c r="I9185" s="1122" t="s">
        <v>1380</v>
      </c>
      <c r="J9185" s="1123">
        <v>1</v>
      </c>
      <c r="K9185" s="1123">
        <v>1</v>
      </c>
      <c r="L9185" s="1123">
        <v>1</v>
      </c>
      <c r="M9185" s="1123">
        <v>1</v>
      </c>
      <c r="N9185" s="1123">
        <v>1</v>
      </c>
      <c r="O9185" s="1123">
        <v>1</v>
      </c>
      <c r="P9185" s="1123">
        <v>1</v>
      </c>
      <c r="Q9185" s="1123">
        <v>1</v>
      </c>
      <c r="R9185" s="1124">
        <v>1</v>
      </c>
      <c r="S9185" s="76"/>
      <c r="T9185" s="1122" t="s">
        <v>1380</v>
      </c>
      <c r="U9185" s="1123">
        <v>1</v>
      </c>
      <c r="V9185" s="1124">
        <v>1</v>
      </c>
      <c r="W9185" s="76"/>
      <c r="X9185" s="76"/>
      <c r="Y9185" s="76"/>
      <c r="Z9185" s="76"/>
      <c r="AA9185" s="76"/>
      <c r="AB9185" s="76"/>
      <c r="AC9185" s="76"/>
      <c r="AD9185" s="76"/>
      <c r="AE9185" s="76"/>
      <c r="AF9185" s="76"/>
      <c r="AG9185" s="76"/>
      <c r="AH9185" s="76"/>
      <c r="AI9185" s="76"/>
      <c r="AJ9185" s="76"/>
      <c r="AK9185" s="76"/>
      <c r="AL9185" s="76"/>
      <c r="AM9185" s="76"/>
      <c r="AN9185" s="76"/>
      <c r="AO9185" s="76"/>
      <c r="AP9185" s="76"/>
      <c r="AQ9185" s="76"/>
      <c r="AR9185" s="76"/>
      <c r="AS9185" s="76"/>
    </row>
    <row r="9186" spans="2:45">
      <c r="B9186" s="136" t="s">
        <v>218</v>
      </c>
      <c r="C9186" s="132" t="s">
        <v>315</v>
      </c>
      <c r="D9186" s="325">
        <v>1225</v>
      </c>
      <c r="E9186" s="132" t="s">
        <v>284</v>
      </c>
      <c r="F9186" s="1109">
        <v>1</v>
      </c>
      <c r="I9186" s="1125"/>
      <c r="J9186" s="1126"/>
      <c r="K9186" s="1127"/>
      <c r="L9186" s="1127"/>
      <c r="M9186" s="1127"/>
      <c r="N9186" s="1127"/>
      <c r="O9186" s="1127"/>
      <c r="P9186" s="1127"/>
      <c r="Q9186" s="1127"/>
      <c r="R9186" s="76"/>
      <c r="S9186" s="76"/>
      <c r="T9186" s="76"/>
      <c r="U9186" s="76"/>
      <c r="V9186" s="76"/>
      <c r="W9186" s="76"/>
      <c r="X9186" s="76"/>
      <c r="Y9186" s="76"/>
      <c r="Z9186" s="76"/>
      <c r="AA9186" s="76"/>
      <c r="AB9186" s="76"/>
      <c r="AC9186" s="76"/>
      <c r="AD9186" s="76"/>
      <c r="AE9186" s="76"/>
      <c r="AF9186" s="76"/>
      <c r="AG9186" s="76"/>
      <c r="AH9186" s="76"/>
      <c r="AI9186" s="76"/>
      <c r="AJ9186" s="76"/>
      <c r="AK9186" s="76"/>
      <c r="AL9186" s="76"/>
      <c r="AM9186" s="76"/>
      <c r="AN9186" s="76"/>
      <c r="AO9186" s="76"/>
      <c r="AP9186" s="76"/>
      <c r="AQ9186" s="76"/>
      <c r="AR9186" s="76"/>
      <c r="AS9186" s="76"/>
    </row>
    <row r="9187" spans="2:45">
      <c r="B9187" s="136" t="s">
        <v>218</v>
      </c>
      <c r="C9187" s="132" t="s">
        <v>315</v>
      </c>
      <c r="D9187" s="325">
        <v>1225</v>
      </c>
      <c r="E9187" s="132" t="s">
        <v>1379</v>
      </c>
      <c r="F9187" s="1109">
        <v>1</v>
      </c>
      <c r="I9187" s="76"/>
      <c r="J9187" s="76"/>
      <c r="K9187" s="76"/>
      <c r="L9187" s="76"/>
      <c r="M9187" s="76"/>
      <c r="N9187" s="76"/>
      <c r="O9187" s="76"/>
      <c r="P9187" s="76"/>
      <c r="Q9187" s="76"/>
      <c r="R9187" s="76"/>
      <c r="S9187" s="76"/>
      <c r="T9187" s="76"/>
      <c r="U9187" s="76"/>
      <c r="V9187" s="76"/>
      <c r="W9187" s="76"/>
      <c r="X9187" s="76"/>
      <c r="Y9187" s="76"/>
      <c r="Z9187" s="76"/>
      <c r="AA9187" s="76"/>
      <c r="AB9187" s="76"/>
      <c r="AC9187" s="76"/>
      <c r="AD9187" s="76"/>
      <c r="AE9187" s="76"/>
      <c r="AF9187" s="76"/>
      <c r="AG9187" s="76"/>
      <c r="AH9187" s="76"/>
      <c r="AI9187" s="76"/>
      <c r="AJ9187" s="76"/>
      <c r="AK9187" s="76"/>
      <c r="AL9187" s="76"/>
      <c r="AM9187" s="76"/>
      <c r="AN9187" s="76"/>
      <c r="AO9187" s="76"/>
      <c r="AP9187" s="76"/>
      <c r="AQ9187" s="76"/>
      <c r="AR9187" s="76"/>
      <c r="AS9187" s="76"/>
    </row>
    <row r="9188" spans="2:45">
      <c r="B9188" s="136" t="s">
        <v>218</v>
      </c>
      <c r="C9188" s="132" t="s">
        <v>315</v>
      </c>
      <c r="D9188" s="325">
        <v>1225</v>
      </c>
      <c r="E9188" s="132" t="s">
        <v>285</v>
      </c>
      <c r="F9188" s="1109">
        <v>1</v>
      </c>
      <c r="I9188" s="76"/>
      <c r="J9188" s="76"/>
      <c r="K9188" s="76"/>
      <c r="L9188" s="76"/>
      <c r="M9188" s="76"/>
      <c r="N9188" s="76"/>
      <c r="O9188" s="76"/>
      <c r="P9188" s="76"/>
      <c r="Q9188" s="76"/>
      <c r="R9188" s="76"/>
      <c r="S9188" s="76"/>
      <c r="T9188" s="76"/>
      <c r="U9188" s="76"/>
      <c r="V9188" s="76"/>
      <c r="W9188" s="76"/>
      <c r="X9188" s="76"/>
      <c r="Y9188" s="76"/>
      <c r="Z9188" s="76"/>
      <c r="AA9188" s="76"/>
      <c r="AB9188" s="76"/>
      <c r="AC9188" s="76"/>
      <c r="AD9188" s="76"/>
      <c r="AE9188" s="76"/>
      <c r="AF9188" s="76"/>
      <c r="AG9188" s="76"/>
      <c r="AH9188" s="76"/>
      <c r="AI9188" s="76"/>
      <c r="AJ9188" s="76"/>
      <c r="AK9188" s="76"/>
      <c r="AL9188" s="76"/>
      <c r="AM9188" s="76"/>
      <c r="AN9188" s="76"/>
      <c r="AO9188" s="76"/>
      <c r="AP9188" s="76"/>
      <c r="AQ9188" s="76"/>
      <c r="AR9188" s="76"/>
      <c r="AS9188" s="76"/>
    </row>
    <row r="9189" spans="2:45" ht="16" thickBot="1">
      <c r="B9189" s="136" t="s">
        <v>218</v>
      </c>
      <c r="C9189" s="132" t="s">
        <v>315</v>
      </c>
      <c r="D9189" s="325">
        <v>1225</v>
      </c>
      <c r="E9189" s="132" t="s">
        <v>1380</v>
      </c>
      <c r="F9189" s="1109">
        <v>1</v>
      </c>
      <c r="I9189" s="1112" t="s">
        <v>1446</v>
      </c>
      <c r="J9189" s="1112" t="s">
        <v>1459</v>
      </c>
      <c r="K9189" s="375" t="s">
        <v>4</v>
      </c>
      <c r="L9189" s="76"/>
      <c r="M9189" s="76"/>
      <c r="N9189" s="76"/>
      <c r="O9189" s="76"/>
      <c r="P9189" s="76"/>
      <c r="Q9189" s="76"/>
      <c r="R9189" s="76"/>
      <c r="S9189" s="76"/>
      <c r="T9189" s="1112" t="s">
        <v>1459</v>
      </c>
      <c r="U9189" s="375" t="s">
        <v>5</v>
      </c>
      <c r="V9189" s="76"/>
      <c r="W9189" s="76"/>
      <c r="X9189" s="76"/>
      <c r="Y9189" s="76"/>
      <c r="Z9189" s="76"/>
      <c r="AA9189" s="76"/>
      <c r="AB9189" s="76"/>
      <c r="AC9189" s="76"/>
      <c r="AD9189" s="76"/>
      <c r="AE9189" s="76"/>
      <c r="AF9189" s="76"/>
      <c r="AG9189" s="76"/>
      <c r="AH9189" s="76"/>
      <c r="AI9189" s="76"/>
      <c r="AJ9189" s="76"/>
      <c r="AK9189" s="76"/>
      <c r="AL9189" s="76"/>
      <c r="AM9189" s="76"/>
      <c r="AN9189" s="76"/>
      <c r="AO9189" s="76"/>
      <c r="AP9189" s="76"/>
      <c r="AQ9189" s="76"/>
      <c r="AR9189" s="76"/>
      <c r="AS9189" s="76"/>
    </row>
    <row r="9190" spans="2:45" ht="45">
      <c r="B9190" s="136" t="s">
        <v>218</v>
      </c>
      <c r="C9190" s="132" t="s">
        <v>315</v>
      </c>
      <c r="D9190" s="325">
        <v>1225</v>
      </c>
      <c r="E9190" s="132" t="s">
        <v>281</v>
      </c>
      <c r="F9190" s="1109">
        <v>1</v>
      </c>
      <c r="I9190" s="1113" t="s">
        <v>1444</v>
      </c>
      <c r="J9190" s="1114" t="s">
        <v>4</v>
      </c>
      <c r="K9190" s="1114" t="s">
        <v>1447</v>
      </c>
      <c r="L9190" s="1114" t="s">
        <v>1448</v>
      </c>
      <c r="M9190" s="1114" t="s">
        <v>1449</v>
      </c>
      <c r="N9190" s="1114" t="s">
        <v>1450</v>
      </c>
      <c r="O9190" s="1114" t="s">
        <v>1451</v>
      </c>
      <c r="P9190" s="1114" t="s">
        <v>1452</v>
      </c>
      <c r="Q9190" s="1114" t="s">
        <v>359</v>
      </c>
      <c r="R9190" s="1115" t="s">
        <v>852</v>
      </c>
      <c r="S9190" s="76"/>
      <c r="T9190" s="1113" t="s">
        <v>1444</v>
      </c>
      <c r="U9190" s="1114" t="s">
        <v>5</v>
      </c>
      <c r="V9190" s="1115" t="s">
        <v>1453</v>
      </c>
      <c r="W9190" s="76"/>
      <c r="X9190" s="76"/>
      <c r="Y9190" s="76"/>
      <c r="Z9190" s="76"/>
      <c r="AA9190" s="76"/>
      <c r="AB9190" s="76"/>
      <c r="AC9190" s="76"/>
      <c r="AD9190" s="76"/>
      <c r="AE9190" s="76"/>
      <c r="AF9190" s="76"/>
      <c r="AG9190" s="76"/>
      <c r="AH9190" s="76"/>
      <c r="AI9190" s="76"/>
      <c r="AJ9190" s="76"/>
      <c r="AK9190" s="76"/>
      <c r="AL9190" s="76"/>
      <c r="AM9190" s="76"/>
      <c r="AN9190" s="76"/>
      <c r="AO9190" s="76"/>
      <c r="AP9190" s="76"/>
      <c r="AQ9190" s="76"/>
      <c r="AR9190" s="76"/>
      <c r="AS9190" s="76"/>
    </row>
    <row r="9191" spans="2:45">
      <c r="B9191" s="136" t="s">
        <v>218</v>
      </c>
      <c r="C9191" s="132" t="s">
        <v>315</v>
      </c>
      <c r="D9191" s="325">
        <v>1225</v>
      </c>
      <c r="E9191" s="132" t="s">
        <v>1384</v>
      </c>
      <c r="F9191" s="1109">
        <v>1</v>
      </c>
      <c r="I9191" s="1116" t="s">
        <v>1454</v>
      </c>
      <c r="J9191" s="1117">
        <v>1</v>
      </c>
      <c r="K9191" s="1117">
        <v>1</v>
      </c>
      <c r="L9191" s="1117">
        <v>1</v>
      </c>
      <c r="M9191" s="1117">
        <v>1</v>
      </c>
      <c r="N9191" s="1117">
        <v>1</v>
      </c>
      <c r="O9191" s="1117">
        <v>0.54</v>
      </c>
      <c r="P9191" s="1117">
        <v>0.54</v>
      </c>
      <c r="Q9191" s="1117">
        <v>0</v>
      </c>
      <c r="R9191" s="1118">
        <v>0</v>
      </c>
      <c r="S9191" s="76"/>
      <c r="T9191" s="1116" t="s">
        <v>1454</v>
      </c>
      <c r="U9191" s="1117">
        <v>1</v>
      </c>
      <c r="V9191" s="1118">
        <v>1</v>
      </c>
      <c r="W9191" s="76"/>
      <c r="X9191" s="76"/>
      <c r="Y9191" s="76"/>
      <c r="Z9191" s="76"/>
      <c r="AA9191" s="76"/>
      <c r="AB9191" s="76"/>
      <c r="AC9191" s="76"/>
      <c r="AD9191" s="76"/>
      <c r="AE9191" s="76"/>
      <c r="AF9191" s="76"/>
      <c r="AG9191" s="76"/>
      <c r="AH9191" s="76"/>
      <c r="AI9191" s="76"/>
      <c r="AJ9191" s="76"/>
      <c r="AK9191" s="76"/>
      <c r="AL9191" s="76"/>
      <c r="AM9191" s="76"/>
      <c r="AN9191" s="76"/>
      <c r="AO9191" s="76"/>
      <c r="AP9191" s="76"/>
      <c r="AQ9191" s="76"/>
      <c r="AR9191" s="76"/>
      <c r="AS9191" s="76"/>
    </row>
    <row r="9192" spans="2:45">
      <c r="B9192" s="136" t="s">
        <v>218</v>
      </c>
      <c r="C9192" s="132" t="s">
        <v>313</v>
      </c>
      <c r="D9192" s="325">
        <v>1225</v>
      </c>
      <c r="E9192" s="132" t="s">
        <v>282</v>
      </c>
      <c r="F9192" s="1109">
        <v>15.2</v>
      </c>
      <c r="I9192" s="1116" t="s">
        <v>1455</v>
      </c>
      <c r="J9192" s="1117">
        <v>1</v>
      </c>
      <c r="K9192" s="1117">
        <v>0.85</v>
      </c>
      <c r="L9192" s="1117">
        <v>0.5</v>
      </c>
      <c r="M9192" s="1117">
        <v>0.5</v>
      </c>
      <c r="N9192" s="1117">
        <v>0.8</v>
      </c>
      <c r="O9192" s="1117">
        <v>1</v>
      </c>
      <c r="P9192" s="1117">
        <v>1</v>
      </c>
      <c r="Q9192" s="1117">
        <v>0</v>
      </c>
      <c r="R9192" s="1118">
        <v>0</v>
      </c>
      <c r="S9192" s="76"/>
      <c r="T9192" s="1116" t="s">
        <v>1455</v>
      </c>
      <c r="U9192" s="1117">
        <v>1</v>
      </c>
      <c r="V9192" s="1118">
        <v>1</v>
      </c>
      <c r="W9192" s="76"/>
      <c r="X9192" s="76"/>
      <c r="Y9192" s="76"/>
      <c r="Z9192" s="76"/>
      <c r="AA9192" s="76"/>
      <c r="AB9192" s="76"/>
      <c r="AC9192" s="76"/>
      <c r="AD9192" s="76"/>
      <c r="AE9192" s="76"/>
      <c r="AF9192" s="76"/>
      <c r="AG9192" s="76"/>
      <c r="AH9192" s="76"/>
      <c r="AI9192" s="76"/>
      <c r="AJ9192" s="76"/>
      <c r="AK9192" s="76"/>
      <c r="AL9192" s="76"/>
      <c r="AM9192" s="76"/>
      <c r="AN9192" s="76"/>
      <c r="AO9192" s="76"/>
      <c r="AP9192" s="76"/>
      <c r="AQ9192" s="76"/>
      <c r="AR9192" s="76"/>
      <c r="AS9192" s="76"/>
    </row>
    <row r="9193" spans="2:45">
      <c r="B9193" s="136" t="s">
        <v>218</v>
      </c>
      <c r="C9193" s="132" t="s">
        <v>313</v>
      </c>
      <c r="D9193" s="325">
        <v>1225</v>
      </c>
      <c r="E9193" s="132" t="s">
        <v>283</v>
      </c>
      <c r="F9193" s="1109">
        <v>0.5</v>
      </c>
      <c r="I9193" s="1116" t="s">
        <v>282</v>
      </c>
      <c r="J9193" s="1117">
        <v>1</v>
      </c>
      <c r="K9193" s="1117">
        <v>1</v>
      </c>
      <c r="L9193" s="1117">
        <v>1</v>
      </c>
      <c r="M9193" s="1117">
        <v>1</v>
      </c>
      <c r="N9193" s="1117">
        <v>1</v>
      </c>
      <c r="O9193" s="1117">
        <v>1</v>
      </c>
      <c r="P9193" s="1117">
        <v>1</v>
      </c>
      <c r="Q9193" s="1117">
        <v>0</v>
      </c>
      <c r="R9193" s="1118">
        <v>0</v>
      </c>
      <c r="S9193" s="76"/>
      <c r="T9193" s="1116" t="s">
        <v>282</v>
      </c>
      <c r="U9193" s="1117">
        <v>1</v>
      </c>
      <c r="V9193" s="1118">
        <v>1</v>
      </c>
      <c r="W9193" s="76"/>
      <c r="X9193" s="76"/>
      <c r="Y9193" s="76"/>
      <c r="Z9193" s="76"/>
      <c r="AA9193" s="76"/>
      <c r="AB9193" s="76"/>
      <c r="AC9193" s="76"/>
      <c r="AD9193" s="76"/>
      <c r="AE9193" s="76"/>
      <c r="AF9193" s="76"/>
      <c r="AG9193" s="76"/>
      <c r="AH9193" s="76"/>
      <c r="AI9193" s="76"/>
      <c r="AJ9193" s="76"/>
      <c r="AK9193" s="76"/>
      <c r="AL9193" s="76"/>
      <c r="AM9193" s="76"/>
      <c r="AN9193" s="76"/>
      <c r="AO9193" s="76"/>
      <c r="AP9193" s="76"/>
      <c r="AQ9193" s="76"/>
      <c r="AR9193" s="76"/>
      <c r="AS9193" s="76"/>
    </row>
    <row r="9194" spans="2:45">
      <c r="B9194" s="136" t="s">
        <v>218</v>
      </c>
      <c r="C9194" s="132" t="s">
        <v>313</v>
      </c>
      <c r="D9194" s="325">
        <v>1225</v>
      </c>
      <c r="E9194" s="132" t="s">
        <v>284</v>
      </c>
      <c r="F9194" s="1109">
        <v>1</v>
      </c>
      <c r="I9194" s="1116" t="s">
        <v>283</v>
      </c>
      <c r="J9194" s="1117">
        <v>1</v>
      </c>
      <c r="K9194" s="1117">
        <v>1</v>
      </c>
      <c r="L9194" s="1117">
        <v>1</v>
      </c>
      <c r="M9194" s="1117">
        <v>1</v>
      </c>
      <c r="N9194" s="1117">
        <v>1</v>
      </c>
      <c r="O9194" s="1117">
        <v>0.84</v>
      </c>
      <c r="P9194" s="1117">
        <v>0.84</v>
      </c>
      <c r="Q9194" s="1117">
        <v>0</v>
      </c>
      <c r="R9194" s="1118">
        <v>0</v>
      </c>
      <c r="S9194" s="76"/>
      <c r="T9194" s="1116" t="s">
        <v>283</v>
      </c>
      <c r="U9194" s="1117">
        <v>1</v>
      </c>
      <c r="V9194" s="1118">
        <v>1</v>
      </c>
      <c r="W9194" s="76"/>
      <c r="X9194" s="76"/>
      <c r="Y9194" s="76"/>
      <c r="Z9194" s="76"/>
      <c r="AA9194" s="76"/>
      <c r="AB9194" s="76"/>
      <c r="AC9194" s="76"/>
      <c r="AD9194" s="76"/>
      <c r="AE9194" s="76"/>
      <c r="AF9194" s="76"/>
      <c r="AG9194" s="76"/>
      <c r="AH9194" s="76"/>
      <c r="AI9194" s="76"/>
      <c r="AJ9194" s="76"/>
      <c r="AK9194" s="76"/>
      <c r="AL9194" s="76"/>
      <c r="AM9194" s="76"/>
      <c r="AN9194" s="76"/>
      <c r="AO9194" s="76"/>
      <c r="AP9194" s="76"/>
      <c r="AQ9194" s="76"/>
      <c r="AR9194" s="76"/>
      <c r="AS9194" s="76"/>
    </row>
    <row r="9195" spans="2:45">
      <c r="B9195" s="136" t="s">
        <v>218</v>
      </c>
      <c r="C9195" s="132" t="s">
        <v>313</v>
      </c>
      <c r="D9195" s="325">
        <v>1225</v>
      </c>
      <c r="E9195" s="132" t="s">
        <v>1379</v>
      </c>
      <c r="F9195" s="1109">
        <v>1</v>
      </c>
      <c r="I9195" s="1116" t="s">
        <v>1456</v>
      </c>
      <c r="J9195" s="1117">
        <v>1</v>
      </c>
      <c r="K9195" s="1117">
        <v>1</v>
      </c>
      <c r="L9195" s="1117">
        <v>1</v>
      </c>
      <c r="M9195" s="1117">
        <v>1</v>
      </c>
      <c r="N9195" s="1117">
        <v>1</v>
      </c>
      <c r="O9195" s="1117">
        <v>1</v>
      </c>
      <c r="P9195" s="1117">
        <v>1</v>
      </c>
      <c r="Q9195" s="1117">
        <v>0</v>
      </c>
      <c r="R9195" s="1118">
        <v>0</v>
      </c>
      <c r="S9195" s="76"/>
      <c r="T9195" s="1116" t="s">
        <v>1456</v>
      </c>
      <c r="U9195" s="1117">
        <v>1</v>
      </c>
      <c r="V9195" s="1118">
        <v>1</v>
      </c>
      <c r="W9195" s="76"/>
      <c r="X9195" s="76"/>
      <c r="Y9195" s="76"/>
      <c r="Z9195" s="76"/>
      <c r="AA9195" s="76"/>
      <c r="AB9195" s="76"/>
      <c r="AC9195" s="76"/>
      <c r="AD9195" s="76"/>
      <c r="AE9195" s="76"/>
      <c r="AF9195" s="76"/>
      <c r="AG9195" s="76"/>
      <c r="AH9195" s="76"/>
      <c r="AI9195" s="76"/>
      <c r="AJ9195" s="76"/>
      <c r="AK9195" s="76"/>
      <c r="AL9195" s="76"/>
      <c r="AM9195" s="76"/>
      <c r="AN9195" s="76"/>
      <c r="AO9195" s="76"/>
      <c r="AP9195" s="76"/>
      <c r="AQ9195" s="76"/>
      <c r="AR9195" s="76"/>
      <c r="AS9195" s="76"/>
    </row>
    <row r="9196" spans="2:45">
      <c r="B9196" s="136" t="s">
        <v>218</v>
      </c>
      <c r="C9196" s="132" t="s">
        <v>313</v>
      </c>
      <c r="D9196" s="325">
        <v>1225</v>
      </c>
      <c r="E9196" s="132" t="s">
        <v>285</v>
      </c>
      <c r="F9196" s="1109">
        <v>1</v>
      </c>
      <c r="I9196" s="1116" t="s">
        <v>1379</v>
      </c>
      <c r="J9196" s="1117">
        <v>1</v>
      </c>
      <c r="K9196" s="1117">
        <v>1</v>
      </c>
      <c r="L9196" s="1117">
        <v>1</v>
      </c>
      <c r="M9196" s="1117">
        <v>1</v>
      </c>
      <c r="N9196" s="1117">
        <v>1</v>
      </c>
      <c r="O9196" s="1117">
        <v>1</v>
      </c>
      <c r="P9196" s="1117">
        <v>1</v>
      </c>
      <c r="Q9196" s="1117">
        <v>1</v>
      </c>
      <c r="R9196" s="1118">
        <v>1</v>
      </c>
      <c r="S9196" s="76"/>
      <c r="T9196" s="1116" t="s">
        <v>1379</v>
      </c>
      <c r="U9196" s="1117">
        <v>1</v>
      </c>
      <c r="V9196" s="1118">
        <v>1</v>
      </c>
      <c r="W9196" s="76"/>
      <c r="X9196" s="76"/>
      <c r="Y9196" s="76"/>
      <c r="Z9196" s="76"/>
      <c r="AA9196" s="76"/>
      <c r="AB9196" s="76"/>
      <c r="AC9196" s="76"/>
      <c r="AD9196" s="76"/>
      <c r="AE9196" s="76"/>
      <c r="AF9196" s="76"/>
      <c r="AG9196" s="76"/>
      <c r="AH9196" s="76"/>
      <c r="AI9196" s="76"/>
      <c r="AJ9196" s="76"/>
      <c r="AK9196" s="76"/>
      <c r="AL9196" s="76"/>
      <c r="AM9196" s="76"/>
      <c r="AN9196" s="76"/>
      <c r="AO9196" s="76"/>
      <c r="AP9196" s="76"/>
      <c r="AQ9196" s="76"/>
      <c r="AR9196" s="76"/>
      <c r="AS9196" s="76"/>
    </row>
    <row r="9197" spans="2:45">
      <c r="B9197" s="136" t="s">
        <v>218</v>
      </c>
      <c r="C9197" s="132" t="s">
        <v>313</v>
      </c>
      <c r="D9197" s="325">
        <v>1225</v>
      </c>
      <c r="E9197" s="132" t="s">
        <v>1380</v>
      </c>
      <c r="F9197" s="1109">
        <v>1</v>
      </c>
      <c r="I9197" s="1121" t="s">
        <v>1457</v>
      </c>
      <c r="J9197" s="1117">
        <v>1</v>
      </c>
      <c r="K9197" s="1117">
        <v>1</v>
      </c>
      <c r="L9197" s="1117">
        <v>1</v>
      </c>
      <c r="M9197" s="1117">
        <v>1</v>
      </c>
      <c r="N9197" s="1117">
        <v>1</v>
      </c>
      <c r="O9197" s="1117">
        <v>1</v>
      </c>
      <c r="P9197" s="1117">
        <v>1</v>
      </c>
      <c r="Q9197" s="1117">
        <v>0</v>
      </c>
      <c r="R9197" s="1118">
        <v>0</v>
      </c>
      <c r="S9197" s="76"/>
      <c r="T9197" s="1121" t="s">
        <v>1457</v>
      </c>
      <c r="U9197" s="1117">
        <v>1</v>
      </c>
      <c r="V9197" s="1118">
        <v>1</v>
      </c>
      <c r="W9197" s="76"/>
      <c r="X9197" s="76"/>
      <c r="Y9197" s="76"/>
      <c r="Z9197" s="76"/>
      <c r="AA9197" s="76"/>
      <c r="AB9197" s="76"/>
      <c r="AC9197" s="76"/>
      <c r="AD9197" s="76"/>
      <c r="AE9197" s="76"/>
      <c r="AF9197" s="76"/>
      <c r="AG9197" s="76"/>
      <c r="AH9197" s="76"/>
      <c r="AI9197" s="76"/>
      <c r="AJ9197" s="76"/>
      <c r="AK9197" s="76"/>
      <c r="AL9197" s="76"/>
      <c r="AM9197" s="76"/>
      <c r="AN9197" s="76"/>
      <c r="AO9197" s="76"/>
      <c r="AP9197" s="76"/>
      <c r="AQ9197" s="76"/>
      <c r="AR9197" s="76"/>
      <c r="AS9197" s="76"/>
    </row>
    <row r="9198" spans="2:45" ht="16" thickBot="1">
      <c r="B9198" s="136" t="s">
        <v>218</v>
      </c>
      <c r="C9198" s="132" t="s">
        <v>313</v>
      </c>
      <c r="D9198" s="325">
        <v>1225</v>
      </c>
      <c r="E9198" s="132" t="s">
        <v>281</v>
      </c>
      <c r="F9198" s="1109">
        <v>1</v>
      </c>
      <c r="I9198" s="1122" t="s">
        <v>1380</v>
      </c>
      <c r="J9198" s="1123">
        <v>1</v>
      </c>
      <c r="K9198" s="1123">
        <v>1</v>
      </c>
      <c r="L9198" s="1123">
        <v>1</v>
      </c>
      <c r="M9198" s="1123">
        <v>1</v>
      </c>
      <c r="N9198" s="1123">
        <v>1</v>
      </c>
      <c r="O9198" s="1123">
        <v>1</v>
      </c>
      <c r="P9198" s="1123">
        <v>1</v>
      </c>
      <c r="Q9198" s="1123">
        <v>1</v>
      </c>
      <c r="R9198" s="1124">
        <v>1</v>
      </c>
      <c r="S9198" s="76"/>
      <c r="T9198" s="1122" t="s">
        <v>1380</v>
      </c>
      <c r="U9198" s="1123">
        <v>1</v>
      </c>
      <c r="V9198" s="1124">
        <v>1</v>
      </c>
      <c r="W9198" s="76"/>
      <c r="X9198" s="76"/>
      <c r="Y9198" s="76"/>
      <c r="Z9198" s="76"/>
      <c r="AA9198" s="76"/>
      <c r="AB9198" s="76"/>
      <c r="AC9198" s="76"/>
      <c r="AD9198" s="76"/>
      <c r="AE9198" s="76"/>
      <c r="AF9198" s="76"/>
      <c r="AG9198" s="76"/>
      <c r="AH9198" s="76"/>
      <c r="AI9198" s="76"/>
      <c r="AJ9198" s="76"/>
      <c r="AK9198" s="76"/>
      <c r="AL9198" s="76"/>
      <c r="AM9198" s="76"/>
      <c r="AN9198" s="76"/>
      <c r="AO9198" s="76"/>
      <c r="AP9198" s="76"/>
      <c r="AQ9198" s="76"/>
      <c r="AR9198" s="76"/>
      <c r="AS9198" s="76"/>
    </row>
    <row r="9199" spans="2:45">
      <c r="B9199" s="136" t="s">
        <v>218</v>
      </c>
      <c r="C9199" s="132" t="s">
        <v>313</v>
      </c>
      <c r="D9199" s="325">
        <v>1225</v>
      </c>
      <c r="E9199" s="132" t="s">
        <v>1384</v>
      </c>
      <c r="F9199" s="1109">
        <v>1</v>
      </c>
      <c r="I9199" s="1013"/>
      <c r="J9199" s="1128"/>
      <c r="K9199" s="1129"/>
      <c r="L9199" s="1129"/>
      <c r="M9199" s="1129"/>
      <c r="N9199" s="1129"/>
      <c r="O9199" s="1129"/>
      <c r="P9199" s="1129"/>
      <c r="Q9199" s="1129"/>
      <c r="R9199" s="1129"/>
      <c r="S9199" s="76"/>
      <c r="T9199" s="76"/>
      <c r="U9199" s="76"/>
      <c r="V9199" s="76"/>
      <c r="W9199" s="76"/>
      <c r="X9199" s="76"/>
      <c r="Y9199" s="76"/>
      <c r="Z9199" s="76"/>
      <c r="AA9199" s="76"/>
      <c r="AB9199" s="76"/>
      <c r="AC9199" s="76"/>
      <c r="AD9199" s="76"/>
      <c r="AE9199" s="76"/>
      <c r="AF9199" s="76"/>
      <c r="AG9199" s="76"/>
      <c r="AH9199" s="76"/>
      <c r="AI9199" s="76"/>
      <c r="AJ9199" s="76"/>
      <c r="AK9199" s="76"/>
      <c r="AL9199" s="76"/>
      <c r="AM9199" s="76"/>
      <c r="AN9199" s="76"/>
      <c r="AO9199" s="76"/>
      <c r="AP9199" s="76"/>
      <c r="AQ9199" s="76"/>
      <c r="AR9199" s="76"/>
      <c r="AS9199" s="76"/>
    </row>
    <row r="9200" spans="2:45">
      <c r="B9200" s="271" t="s">
        <v>218</v>
      </c>
      <c r="C9200" s="325" t="s">
        <v>304</v>
      </c>
      <c r="D9200" s="325">
        <v>371</v>
      </c>
      <c r="E9200" s="325" t="s">
        <v>282</v>
      </c>
      <c r="F9200" s="281">
        <v>1</v>
      </c>
      <c r="I9200" s="76"/>
      <c r="J9200" s="76"/>
      <c r="K9200" s="76"/>
      <c r="L9200" s="76"/>
      <c r="M9200" s="76"/>
      <c r="N9200" s="76"/>
      <c r="O9200" s="76"/>
      <c r="P9200" s="76"/>
      <c r="Q9200" s="76"/>
      <c r="R9200" s="76"/>
      <c r="S9200" s="76"/>
      <c r="T9200" s="76"/>
      <c r="U9200" s="76"/>
      <c r="V9200" s="76"/>
      <c r="W9200" s="76"/>
      <c r="X9200" s="76"/>
      <c r="Y9200" s="76"/>
      <c r="Z9200" s="76"/>
      <c r="AA9200" s="76"/>
      <c r="AB9200" s="76"/>
      <c r="AC9200" s="76"/>
      <c r="AD9200" s="76"/>
      <c r="AE9200" s="76"/>
      <c r="AF9200" s="76"/>
      <c r="AG9200" s="76"/>
      <c r="AH9200" s="76"/>
      <c r="AI9200" s="76"/>
      <c r="AJ9200" s="76"/>
      <c r="AK9200" s="76"/>
      <c r="AL9200" s="76"/>
      <c r="AM9200" s="76"/>
      <c r="AN9200" s="76"/>
      <c r="AO9200" s="76"/>
      <c r="AP9200" s="76"/>
      <c r="AQ9200" s="76"/>
      <c r="AR9200" s="76"/>
      <c r="AS9200" s="76"/>
    </row>
    <row r="9201" spans="2:45">
      <c r="B9201" s="271" t="s">
        <v>218</v>
      </c>
      <c r="C9201" s="325" t="s">
        <v>304</v>
      </c>
      <c r="D9201" s="325">
        <v>371</v>
      </c>
      <c r="E9201" s="325" t="s">
        <v>283</v>
      </c>
      <c r="F9201" s="281">
        <v>1</v>
      </c>
      <c r="I9201" s="76"/>
      <c r="J9201" s="76"/>
      <c r="K9201" s="76"/>
      <c r="L9201" s="76"/>
      <c r="M9201" s="76"/>
      <c r="N9201" s="76"/>
      <c r="O9201" s="76"/>
      <c r="P9201" s="76"/>
      <c r="Q9201" s="76"/>
      <c r="R9201" s="76"/>
      <c r="S9201" s="76"/>
      <c r="T9201" s="76"/>
      <c r="U9201" s="76"/>
      <c r="V9201" s="76"/>
      <c r="W9201" s="76"/>
      <c r="X9201" s="76"/>
      <c r="Y9201" s="76"/>
      <c r="Z9201" s="76"/>
      <c r="AA9201" s="76"/>
      <c r="AB9201" s="76"/>
      <c r="AC9201" s="76"/>
      <c r="AD9201" s="76"/>
      <c r="AE9201" s="76"/>
      <c r="AF9201" s="76"/>
      <c r="AG9201" s="76"/>
      <c r="AH9201" s="76"/>
      <c r="AI9201" s="76"/>
      <c r="AJ9201" s="76"/>
      <c r="AK9201" s="76"/>
      <c r="AL9201" s="76"/>
      <c r="AM9201" s="76"/>
      <c r="AN9201" s="76"/>
      <c r="AO9201" s="76"/>
      <c r="AP9201" s="76"/>
      <c r="AQ9201" s="76"/>
      <c r="AR9201" s="76"/>
      <c r="AS9201" s="76"/>
    </row>
    <row r="9202" spans="2:45" ht="16" thickBot="1">
      <c r="B9202" s="271" t="s">
        <v>218</v>
      </c>
      <c r="C9202" s="325" t="s">
        <v>304</v>
      </c>
      <c r="D9202" s="325">
        <v>371</v>
      </c>
      <c r="E9202" s="325" t="s">
        <v>284</v>
      </c>
      <c r="F9202" s="281">
        <v>1</v>
      </c>
      <c r="I9202" s="1112" t="s">
        <v>1446</v>
      </c>
      <c r="J9202" s="1112" t="s">
        <v>1460</v>
      </c>
      <c r="K9202" s="375" t="s">
        <v>5</v>
      </c>
      <c r="L9202" s="76"/>
      <c r="M9202" s="76"/>
      <c r="N9202" s="76"/>
      <c r="O9202" s="76"/>
      <c r="P9202" s="76"/>
      <c r="Q9202" s="76"/>
      <c r="R9202" s="76"/>
      <c r="S9202" s="76"/>
      <c r="T9202" s="76"/>
      <c r="U9202" s="76"/>
      <c r="V9202" s="76"/>
      <c r="W9202" s="76"/>
      <c r="X9202" s="76"/>
      <c r="Y9202" s="76"/>
      <c r="Z9202" s="76"/>
      <c r="AA9202" s="76"/>
      <c r="AB9202" s="76"/>
      <c r="AC9202" s="76"/>
      <c r="AD9202" s="76"/>
      <c r="AE9202" s="76"/>
      <c r="AF9202" s="76"/>
      <c r="AG9202" s="76"/>
      <c r="AH9202" s="76"/>
      <c r="AI9202" s="76"/>
      <c r="AJ9202" s="76"/>
      <c r="AK9202" s="76"/>
      <c r="AL9202" s="76"/>
      <c r="AM9202" s="76"/>
      <c r="AN9202" s="76"/>
      <c r="AO9202" s="76"/>
      <c r="AP9202" s="76"/>
      <c r="AQ9202" s="76"/>
      <c r="AR9202" s="76"/>
      <c r="AS9202" s="76"/>
    </row>
    <row r="9203" spans="2:45">
      <c r="B9203" s="271" t="s">
        <v>218</v>
      </c>
      <c r="C9203" s="325" t="s">
        <v>304</v>
      </c>
      <c r="D9203" s="325">
        <v>371</v>
      </c>
      <c r="E9203" s="325" t="s">
        <v>1379</v>
      </c>
      <c r="F9203" s="281">
        <v>1</v>
      </c>
      <c r="I9203" s="1130"/>
      <c r="J9203" s="1131" t="s">
        <v>366</v>
      </c>
      <c r="K9203" s="1131" t="s">
        <v>218</v>
      </c>
      <c r="L9203" s="1131" t="s">
        <v>6</v>
      </c>
      <c r="M9203" s="1132" t="s">
        <v>384</v>
      </c>
      <c r="N9203" s="1133" t="s">
        <v>366</v>
      </c>
      <c r="O9203" s="1131" t="s">
        <v>218</v>
      </c>
      <c r="P9203" s="1131" t="s">
        <v>6</v>
      </c>
      <c r="Q9203" s="1132" t="s">
        <v>384</v>
      </c>
      <c r="R9203" s="1131" t="s">
        <v>366</v>
      </c>
      <c r="S9203" s="1131" t="s">
        <v>218</v>
      </c>
      <c r="T9203" s="1131" t="s">
        <v>6</v>
      </c>
      <c r="U9203" s="1132" t="s">
        <v>1461</v>
      </c>
      <c r="V9203" s="1131" t="s">
        <v>366</v>
      </c>
      <c r="W9203" s="1131" t="s">
        <v>218</v>
      </c>
      <c r="X9203" s="1131" t="s">
        <v>6</v>
      </c>
      <c r="Y9203" s="1132" t="s">
        <v>1461</v>
      </c>
      <c r="Z9203" s="1131" t="s">
        <v>216</v>
      </c>
      <c r="AA9203" s="1131" t="s">
        <v>1462</v>
      </c>
      <c r="AB9203" s="1131" t="s">
        <v>217</v>
      </c>
      <c r="AC9203" s="1131" t="s">
        <v>6</v>
      </c>
      <c r="AD9203" s="1132" t="s">
        <v>1461</v>
      </c>
      <c r="AE9203" s="1131" t="s">
        <v>6</v>
      </c>
      <c r="AF9203" s="1132" t="s">
        <v>1461</v>
      </c>
      <c r="AG9203" s="1131" t="s">
        <v>366</v>
      </c>
      <c r="AH9203" s="1131" t="s">
        <v>218</v>
      </c>
      <c r="AI9203" s="1131" t="s">
        <v>6</v>
      </c>
      <c r="AJ9203" s="1131" t="s">
        <v>1463</v>
      </c>
      <c r="AK9203" s="1132" t="s">
        <v>576</v>
      </c>
      <c r="AL9203" s="1131" t="s">
        <v>366</v>
      </c>
      <c r="AM9203" s="1131" t="s">
        <v>217</v>
      </c>
      <c r="AN9203" s="1131" t="s">
        <v>6</v>
      </c>
      <c r="AO9203" s="1132" t="s">
        <v>1464</v>
      </c>
      <c r="AP9203" s="1131" t="s">
        <v>366</v>
      </c>
      <c r="AQ9203" s="1131" t="s">
        <v>218</v>
      </c>
      <c r="AR9203" s="1131" t="s">
        <v>6</v>
      </c>
      <c r="AS9203" s="1134" t="s">
        <v>1465</v>
      </c>
    </row>
    <row r="9204" spans="2:45" ht="45">
      <c r="B9204" s="271" t="s">
        <v>218</v>
      </c>
      <c r="C9204" s="325" t="s">
        <v>304</v>
      </c>
      <c r="D9204" s="325">
        <v>371</v>
      </c>
      <c r="E9204" s="325" t="s">
        <v>285</v>
      </c>
      <c r="F9204" s="281">
        <v>1</v>
      </c>
      <c r="I9204" s="1135"/>
      <c r="J9204" s="1136" t="s">
        <v>315</v>
      </c>
      <c r="K9204" s="1136" t="s">
        <v>315</v>
      </c>
      <c r="L9204" s="1136" t="s">
        <v>315</v>
      </c>
      <c r="M9204" s="1137" t="s">
        <v>315</v>
      </c>
      <c r="N9204" s="1138" t="s">
        <v>313</v>
      </c>
      <c r="O9204" s="1136" t="s">
        <v>313</v>
      </c>
      <c r="P9204" s="1136" t="s">
        <v>313</v>
      </c>
      <c r="Q9204" s="1137" t="s">
        <v>313</v>
      </c>
      <c r="R9204" s="1136" t="s">
        <v>1466</v>
      </c>
      <c r="S9204" s="1136" t="s">
        <v>1466</v>
      </c>
      <c r="T9204" s="1136" t="s">
        <v>1466</v>
      </c>
      <c r="U9204" s="1137" t="s">
        <v>1466</v>
      </c>
      <c r="V9204" s="1136" t="s">
        <v>1467</v>
      </c>
      <c r="W9204" s="1136" t="s">
        <v>1467</v>
      </c>
      <c r="X9204" s="1136" t="s">
        <v>1467</v>
      </c>
      <c r="Y9204" s="1137" t="s">
        <v>1467</v>
      </c>
      <c r="Z9204" s="1136" t="s">
        <v>1468</v>
      </c>
      <c r="AA9204" s="1136" t="s">
        <v>1468</v>
      </c>
      <c r="AB9204" s="1136" t="s">
        <v>1468</v>
      </c>
      <c r="AC9204" s="1136" t="s">
        <v>1468</v>
      </c>
      <c r="AD9204" s="1137" t="s">
        <v>1469</v>
      </c>
      <c r="AE9204" s="1136" t="s">
        <v>1470</v>
      </c>
      <c r="AF9204" s="1137" t="s">
        <v>1470</v>
      </c>
      <c r="AG9204" s="1136" t="s">
        <v>1471</v>
      </c>
      <c r="AH9204" s="1136" t="s">
        <v>1471</v>
      </c>
      <c r="AI9204" s="1136" t="s">
        <v>1471</v>
      </c>
      <c r="AJ9204" s="1136" t="s">
        <v>1471</v>
      </c>
      <c r="AK9204" s="1137" t="s">
        <v>1471</v>
      </c>
      <c r="AL9204" s="1136" t="s">
        <v>1472</v>
      </c>
      <c r="AM9204" s="1136" t="s">
        <v>1472</v>
      </c>
      <c r="AN9204" s="1136" t="s">
        <v>1472</v>
      </c>
      <c r="AO9204" s="1137" t="s">
        <v>1472</v>
      </c>
      <c r="AP9204" s="1136" t="s">
        <v>1473</v>
      </c>
      <c r="AQ9204" s="1136" t="s">
        <v>1473</v>
      </c>
      <c r="AR9204" s="1136" t="s">
        <v>1473</v>
      </c>
      <c r="AS9204" s="1139" t="s">
        <v>1473</v>
      </c>
    </row>
    <row r="9205" spans="2:45">
      <c r="B9205" s="271" t="s">
        <v>218</v>
      </c>
      <c r="C9205" s="325" t="s">
        <v>304</v>
      </c>
      <c r="D9205" s="325">
        <v>371</v>
      </c>
      <c r="E9205" s="325" t="s">
        <v>1380</v>
      </c>
      <c r="F9205" s="281">
        <v>1</v>
      </c>
      <c r="I9205" s="1140" t="s">
        <v>1444</v>
      </c>
      <c r="J9205" s="1141" t="s">
        <v>1423</v>
      </c>
      <c r="K9205" s="1141" t="s">
        <v>1423</v>
      </c>
      <c r="L9205" s="1141" t="s">
        <v>1423</v>
      </c>
      <c r="M9205" s="1142" t="s">
        <v>1423</v>
      </c>
      <c r="N9205" s="1143" t="s">
        <v>1423</v>
      </c>
      <c r="O9205" s="1141" t="s">
        <v>1423</v>
      </c>
      <c r="P9205" s="1141" t="s">
        <v>1423</v>
      </c>
      <c r="Q9205" s="1142" t="s">
        <v>1423</v>
      </c>
      <c r="R9205" s="1141" t="s">
        <v>1474</v>
      </c>
      <c r="S9205" s="1141" t="s">
        <v>1474</v>
      </c>
      <c r="T9205" s="1141" t="s">
        <v>1423</v>
      </c>
      <c r="U9205" s="1142" t="s">
        <v>1474</v>
      </c>
      <c r="V9205" s="1141" t="s">
        <v>1474</v>
      </c>
      <c r="W9205" s="1141" t="s">
        <v>1474</v>
      </c>
      <c r="X9205" s="1141" t="s">
        <v>1423</v>
      </c>
      <c r="Y9205" s="1142" t="s">
        <v>1474</v>
      </c>
      <c r="Z9205" s="1141" t="s">
        <v>1474</v>
      </c>
      <c r="AA9205" s="1141" t="s">
        <v>1474</v>
      </c>
      <c r="AB9205" s="1141" t="s">
        <v>1474</v>
      </c>
      <c r="AC9205" s="1141" t="s">
        <v>1474</v>
      </c>
      <c r="AD9205" s="1142" t="s">
        <v>1474</v>
      </c>
      <c r="AE9205" s="1141" t="s">
        <v>1474</v>
      </c>
      <c r="AF9205" s="1142" t="s">
        <v>1474</v>
      </c>
      <c r="AG9205" s="1141" t="s">
        <v>1423</v>
      </c>
      <c r="AH9205" s="1141" t="s">
        <v>1423</v>
      </c>
      <c r="AI9205" s="1141" t="s">
        <v>1423</v>
      </c>
      <c r="AJ9205" s="1141" t="s">
        <v>1423</v>
      </c>
      <c r="AK9205" s="1142" t="s">
        <v>1423</v>
      </c>
      <c r="AL9205" s="1141" t="s">
        <v>1423</v>
      </c>
      <c r="AM9205" s="1141" t="s">
        <v>1474</v>
      </c>
      <c r="AN9205" s="1141" t="s">
        <v>1474</v>
      </c>
      <c r="AO9205" s="1142" t="s">
        <v>1474</v>
      </c>
      <c r="AP9205" s="1141" t="s">
        <v>1474</v>
      </c>
      <c r="AQ9205" s="1141" t="s">
        <v>1474</v>
      </c>
      <c r="AR9205" s="1141" t="s">
        <v>1474</v>
      </c>
      <c r="AS9205" s="1144" t="s">
        <v>1474</v>
      </c>
    </row>
    <row r="9206" spans="2:45">
      <c r="B9206" s="271" t="s">
        <v>218</v>
      </c>
      <c r="C9206" s="325" t="s">
        <v>304</v>
      </c>
      <c r="D9206" s="325">
        <v>371</v>
      </c>
      <c r="E9206" s="325" t="s">
        <v>281</v>
      </c>
      <c r="F9206" s="281">
        <v>1</v>
      </c>
      <c r="I9206" s="1145" t="s">
        <v>281</v>
      </c>
      <c r="J9206" s="1146">
        <v>1</v>
      </c>
      <c r="K9206" s="1146">
        <v>1</v>
      </c>
      <c r="L9206" s="1146">
        <v>1</v>
      </c>
      <c r="M9206" s="1147">
        <v>1</v>
      </c>
      <c r="N9206" s="1148">
        <v>1</v>
      </c>
      <c r="O9206" s="1146">
        <v>1</v>
      </c>
      <c r="P9206" s="1146">
        <v>1</v>
      </c>
      <c r="Q9206" s="1147">
        <v>1</v>
      </c>
      <c r="R9206" s="1146">
        <v>1</v>
      </c>
      <c r="S9206" s="1146">
        <v>1</v>
      </c>
      <c r="T9206" s="1146">
        <v>1</v>
      </c>
      <c r="U9206" s="1147">
        <v>1</v>
      </c>
      <c r="V9206" s="1146">
        <v>1</v>
      </c>
      <c r="W9206" s="1146">
        <v>1</v>
      </c>
      <c r="X9206" s="1146">
        <v>1</v>
      </c>
      <c r="Y9206" s="1147">
        <v>1</v>
      </c>
      <c r="Z9206" s="1146">
        <v>2.2000000000000002</v>
      </c>
      <c r="AA9206" s="1146">
        <v>1</v>
      </c>
      <c r="AB9206" s="1146">
        <v>1.8905459298277003</v>
      </c>
      <c r="AC9206" s="1146">
        <v>1</v>
      </c>
      <c r="AD9206" s="1147">
        <v>1</v>
      </c>
      <c r="AE9206" s="1146">
        <v>1</v>
      </c>
      <c r="AF9206" s="1147">
        <v>1</v>
      </c>
      <c r="AG9206" s="1146">
        <v>1</v>
      </c>
      <c r="AH9206" s="1146">
        <v>1</v>
      </c>
      <c r="AI9206" s="1146">
        <v>1</v>
      </c>
      <c r="AJ9206" s="1146">
        <v>1</v>
      </c>
      <c r="AK9206" s="1147">
        <v>1</v>
      </c>
      <c r="AL9206" s="1146">
        <v>1</v>
      </c>
      <c r="AM9206" s="1146">
        <v>2.4805228189554613</v>
      </c>
      <c r="AN9206" s="1146">
        <v>1</v>
      </c>
      <c r="AO9206" s="1147">
        <v>1</v>
      </c>
      <c r="AP9206" s="1146">
        <v>1</v>
      </c>
      <c r="AQ9206" s="1146">
        <v>1</v>
      </c>
      <c r="AR9206" s="1146">
        <v>1</v>
      </c>
      <c r="AS9206" s="1149">
        <v>1</v>
      </c>
    </row>
    <row r="9207" spans="2:45">
      <c r="B9207" s="271" t="s">
        <v>218</v>
      </c>
      <c r="C9207" s="325" t="s">
        <v>304</v>
      </c>
      <c r="D9207" s="325">
        <v>371</v>
      </c>
      <c r="E9207" s="325" t="s">
        <v>1384</v>
      </c>
      <c r="F9207" s="281">
        <v>0.5</v>
      </c>
      <c r="I9207" s="1135" t="s">
        <v>1384</v>
      </c>
      <c r="J9207" s="1146">
        <v>1</v>
      </c>
      <c r="K9207" s="1146">
        <v>1</v>
      </c>
      <c r="L9207" s="1146">
        <v>1</v>
      </c>
      <c r="M9207" s="1147">
        <v>1</v>
      </c>
      <c r="N9207" s="1148">
        <v>1</v>
      </c>
      <c r="O9207" s="1146">
        <v>1</v>
      </c>
      <c r="P9207" s="1146">
        <v>1</v>
      </c>
      <c r="Q9207" s="1147">
        <v>1</v>
      </c>
      <c r="R9207" s="1146">
        <v>1</v>
      </c>
      <c r="S9207" s="1146">
        <v>1</v>
      </c>
      <c r="T9207" s="1146">
        <v>1</v>
      </c>
      <c r="U9207" s="1147">
        <v>1</v>
      </c>
      <c r="V9207" s="1146">
        <v>1</v>
      </c>
      <c r="W9207" s="1146">
        <v>1</v>
      </c>
      <c r="X9207" s="1146">
        <v>1</v>
      </c>
      <c r="Y9207" s="1147">
        <v>1</v>
      </c>
      <c r="Z9207" s="1146">
        <v>24.03</v>
      </c>
      <c r="AA9207" s="1146">
        <v>1</v>
      </c>
      <c r="AB9207" s="1146">
        <v>15.405554364393202</v>
      </c>
      <c r="AC9207" s="1146">
        <v>1</v>
      </c>
      <c r="AD9207" s="1147">
        <v>1</v>
      </c>
      <c r="AE9207" s="1146">
        <v>1</v>
      </c>
      <c r="AF9207" s="1147">
        <v>1</v>
      </c>
      <c r="AG9207" s="1146">
        <v>1</v>
      </c>
      <c r="AH9207" s="1146">
        <v>1</v>
      </c>
      <c r="AI9207" s="1146">
        <v>1</v>
      </c>
      <c r="AJ9207" s="1146">
        <v>1</v>
      </c>
      <c r="AK9207" s="1147">
        <v>1</v>
      </c>
      <c r="AL9207" s="1146">
        <v>1</v>
      </c>
      <c r="AM9207" s="1146">
        <v>25.938248012677118</v>
      </c>
      <c r="AN9207" s="1146">
        <v>1</v>
      </c>
      <c r="AO9207" s="1147">
        <v>1</v>
      </c>
      <c r="AP9207" s="1146">
        <v>1</v>
      </c>
      <c r="AQ9207" s="1146">
        <v>1</v>
      </c>
      <c r="AR9207" s="1146">
        <v>1</v>
      </c>
      <c r="AS9207" s="1149">
        <v>1</v>
      </c>
    </row>
    <row r="9208" spans="2:45">
      <c r="B9208" s="271" t="s">
        <v>218</v>
      </c>
      <c r="C9208" s="325" t="s">
        <v>300</v>
      </c>
      <c r="D9208" s="325" t="s">
        <v>800</v>
      </c>
      <c r="E9208" s="325" t="s">
        <v>282</v>
      </c>
      <c r="F9208" s="281">
        <v>1</v>
      </c>
      <c r="I9208" s="1135" t="s">
        <v>282</v>
      </c>
      <c r="J9208" s="1146">
        <v>16.129369868575136</v>
      </c>
      <c r="K9208" s="1146">
        <v>16.129369868575136</v>
      </c>
      <c r="L9208" s="1146">
        <v>1</v>
      </c>
      <c r="M9208" s="1147">
        <v>0.5</v>
      </c>
      <c r="N9208" s="1148">
        <v>15.197206126821586</v>
      </c>
      <c r="O9208" s="1146">
        <v>15.197206126821586</v>
      </c>
      <c r="P9208" s="1146">
        <v>1</v>
      </c>
      <c r="Q9208" s="1147">
        <v>0.5</v>
      </c>
      <c r="R9208" s="1146">
        <v>9.0212691788757446</v>
      </c>
      <c r="S9208" s="1146">
        <v>9.0212691788757446</v>
      </c>
      <c r="T9208" s="1146">
        <v>1</v>
      </c>
      <c r="U9208" s="1147">
        <v>0.5</v>
      </c>
      <c r="V9208" s="1146">
        <v>8.9318756177109595</v>
      </c>
      <c r="W9208" s="1146">
        <v>8.9318756177109595</v>
      </c>
      <c r="X9208" s="1146">
        <v>1</v>
      </c>
      <c r="Y9208" s="1147">
        <v>0.5</v>
      </c>
      <c r="Z9208" s="1146">
        <v>62.47</v>
      </c>
      <c r="AA9208" s="1146">
        <v>22.046692061471145</v>
      </c>
      <c r="AB9208" s="1146">
        <v>44.079326461370329</v>
      </c>
      <c r="AC9208" s="1146">
        <v>1</v>
      </c>
      <c r="AD9208" s="1147">
        <v>0.5</v>
      </c>
      <c r="AE9208" s="1146">
        <v>1</v>
      </c>
      <c r="AF9208" s="1147">
        <v>0.5</v>
      </c>
      <c r="AG9208" s="1146">
        <v>37.272201292904178</v>
      </c>
      <c r="AH9208" s="1146">
        <v>37.272201292904178</v>
      </c>
      <c r="AI9208" s="1146">
        <v>1</v>
      </c>
      <c r="AJ9208" s="1146">
        <v>0.5</v>
      </c>
      <c r="AK9208" s="1147">
        <v>0.5</v>
      </c>
      <c r="AL9208" s="1146">
        <v>22.022324334410975</v>
      </c>
      <c r="AM9208" s="1146">
        <v>8.6793722776066851</v>
      </c>
      <c r="AN9208" s="1146">
        <v>1</v>
      </c>
      <c r="AO9208" s="1147">
        <v>0.5</v>
      </c>
      <c r="AP9208" s="1146">
        <v>44.339065687032459</v>
      </c>
      <c r="AQ9208" s="1146">
        <v>44.339065687032459</v>
      </c>
      <c r="AR9208" s="1146">
        <v>1</v>
      </c>
      <c r="AS9208" s="1149">
        <v>0.5</v>
      </c>
    </row>
    <row r="9209" spans="2:45">
      <c r="B9209" s="271" t="s">
        <v>218</v>
      </c>
      <c r="C9209" s="325" t="s">
        <v>300</v>
      </c>
      <c r="D9209" s="325" t="s">
        <v>800</v>
      </c>
      <c r="E9209" s="325" t="s">
        <v>283</v>
      </c>
      <c r="F9209" s="281">
        <v>1</v>
      </c>
      <c r="I9209" s="1135" t="s">
        <v>283</v>
      </c>
      <c r="J9209" s="1146">
        <v>0.5</v>
      </c>
      <c r="K9209" s="1146">
        <v>0.5</v>
      </c>
      <c r="L9209" s="1146">
        <v>1</v>
      </c>
      <c r="M9209" s="1147">
        <v>0.5</v>
      </c>
      <c r="N9209" s="1148">
        <v>0.5</v>
      </c>
      <c r="O9209" s="1146">
        <v>0.5</v>
      </c>
      <c r="P9209" s="1146">
        <v>1</v>
      </c>
      <c r="Q9209" s="1147">
        <v>0.5</v>
      </c>
      <c r="R9209" s="1146">
        <v>0.5</v>
      </c>
      <c r="S9209" s="1146">
        <v>0.5</v>
      </c>
      <c r="T9209" s="1146">
        <v>1</v>
      </c>
      <c r="U9209" s="1147">
        <v>1</v>
      </c>
      <c r="V9209" s="1146">
        <v>0.5</v>
      </c>
      <c r="W9209" s="1146">
        <v>0.5</v>
      </c>
      <c r="X9209" s="1146">
        <v>1</v>
      </c>
      <c r="Y9209" s="1147">
        <v>1</v>
      </c>
      <c r="Z9209" s="1146">
        <v>0.64</v>
      </c>
      <c r="AA9209" s="1146">
        <v>0.5</v>
      </c>
      <c r="AB9209" s="1146">
        <v>0.70163423665460123</v>
      </c>
      <c r="AC9209" s="1146">
        <v>1</v>
      </c>
      <c r="AD9209" s="1147">
        <v>1</v>
      </c>
      <c r="AE9209" s="1146">
        <v>1</v>
      </c>
      <c r="AF9209" s="1147">
        <v>1</v>
      </c>
      <c r="AG9209" s="1146">
        <v>0.5</v>
      </c>
      <c r="AH9209" s="1146">
        <v>0.5</v>
      </c>
      <c r="AI9209" s="1146">
        <v>1</v>
      </c>
      <c r="AJ9209" s="1146">
        <v>1</v>
      </c>
      <c r="AK9209" s="1147">
        <v>1</v>
      </c>
      <c r="AL9209" s="1146">
        <v>0.5</v>
      </c>
      <c r="AM9209" s="1146">
        <v>0.86822355770006876</v>
      </c>
      <c r="AN9209" s="1146">
        <v>1</v>
      </c>
      <c r="AO9209" s="1147">
        <v>1</v>
      </c>
      <c r="AP9209" s="1146">
        <v>0.5</v>
      </c>
      <c r="AQ9209" s="1146">
        <v>0.5</v>
      </c>
      <c r="AR9209" s="1146">
        <v>1</v>
      </c>
      <c r="AS9209" s="1149">
        <v>1</v>
      </c>
    </row>
    <row r="9210" spans="2:45">
      <c r="B9210" s="271" t="s">
        <v>218</v>
      </c>
      <c r="C9210" s="325" t="s">
        <v>300</v>
      </c>
      <c r="D9210" s="325" t="s">
        <v>800</v>
      </c>
      <c r="E9210" s="325" t="s">
        <v>284</v>
      </c>
      <c r="F9210" s="281">
        <v>1</v>
      </c>
      <c r="I9210" s="1135" t="s">
        <v>284</v>
      </c>
      <c r="J9210" s="1146">
        <v>1</v>
      </c>
      <c r="K9210" s="1146">
        <v>1</v>
      </c>
      <c r="L9210" s="1146">
        <v>1</v>
      </c>
      <c r="M9210" s="1147">
        <v>0.9</v>
      </c>
      <c r="N9210" s="1148">
        <v>1</v>
      </c>
      <c r="O9210" s="1146">
        <v>1</v>
      </c>
      <c r="P9210" s="1146">
        <v>1</v>
      </c>
      <c r="Q9210" s="1147">
        <v>0.9</v>
      </c>
      <c r="R9210" s="1146">
        <v>1</v>
      </c>
      <c r="S9210" s="1146">
        <v>1</v>
      </c>
      <c r="T9210" s="1146">
        <v>1</v>
      </c>
      <c r="U9210" s="1147">
        <v>1</v>
      </c>
      <c r="V9210" s="1146">
        <v>1</v>
      </c>
      <c r="W9210" s="1146">
        <v>1</v>
      </c>
      <c r="X9210" s="1146">
        <v>1</v>
      </c>
      <c r="Y9210" s="1147">
        <v>1</v>
      </c>
      <c r="Z9210" s="1146">
        <v>1.18</v>
      </c>
      <c r="AA9210" s="1146">
        <v>1</v>
      </c>
      <c r="AB9210" s="1146">
        <v>1.263430072135346</v>
      </c>
      <c r="AC9210" s="1146">
        <v>1</v>
      </c>
      <c r="AD9210" s="1147">
        <v>1</v>
      </c>
      <c r="AE9210" s="1146">
        <v>1</v>
      </c>
      <c r="AF9210" s="1147">
        <v>1</v>
      </c>
      <c r="AG9210" s="1146">
        <v>1</v>
      </c>
      <c r="AH9210" s="1146">
        <v>1</v>
      </c>
      <c r="AI9210" s="1146">
        <v>1</v>
      </c>
      <c r="AJ9210" s="1146">
        <v>1</v>
      </c>
      <c r="AK9210" s="1147">
        <v>1</v>
      </c>
      <c r="AL9210" s="1146">
        <v>1</v>
      </c>
      <c r="AM9210" s="1146">
        <v>2.0789736909348013</v>
      </c>
      <c r="AN9210" s="1146">
        <v>1</v>
      </c>
      <c r="AO9210" s="1147">
        <v>1</v>
      </c>
      <c r="AP9210" s="1146">
        <v>1</v>
      </c>
      <c r="AQ9210" s="1146">
        <v>1</v>
      </c>
      <c r="AR9210" s="1146">
        <v>1</v>
      </c>
      <c r="AS9210" s="1149">
        <v>1</v>
      </c>
    </row>
    <row r="9211" spans="2:45">
      <c r="B9211" s="271" t="s">
        <v>218</v>
      </c>
      <c r="C9211" s="325" t="s">
        <v>300</v>
      </c>
      <c r="D9211" s="325" t="s">
        <v>800</v>
      </c>
      <c r="E9211" s="325" t="s">
        <v>1379</v>
      </c>
      <c r="F9211" s="281">
        <v>1</v>
      </c>
      <c r="I9211" s="1135" t="s">
        <v>1379</v>
      </c>
      <c r="J9211" s="1146">
        <v>1</v>
      </c>
      <c r="K9211" s="1146">
        <v>1</v>
      </c>
      <c r="L9211" s="1146">
        <v>1</v>
      </c>
      <c r="M9211" s="1147">
        <v>1</v>
      </c>
      <c r="N9211" s="1148">
        <v>1</v>
      </c>
      <c r="O9211" s="1146">
        <v>1</v>
      </c>
      <c r="P9211" s="1146">
        <v>1</v>
      </c>
      <c r="Q9211" s="1147">
        <v>1</v>
      </c>
      <c r="R9211" s="1146">
        <v>1</v>
      </c>
      <c r="S9211" s="1146">
        <v>1</v>
      </c>
      <c r="T9211" s="1146">
        <v>1</v>
      </c>
      <c r="U9211" s="1147">
        <v>1</v>
      </c>
      <c r="V9211" s="1146">
        <v>1</v>
      </c>
      <c r="W9211" s="1146">
        <v>1</v>
      </c>
      <c r="X9211" s="1146">
        <v>1</v>
      </c>
      <c r="Y9211" s="1147">
        <v>1</v>
      </c>
      <c r="Z9211" s="1146">
        <v>1</v>
      </c>
      <c r="AA9211" s="1146">
        <v>1</v>
      </c>
      <c r="AB9211" s="1146">
        <v>1</v>
      </c>
      <c r="AC9211" s="1146">
        <v>1</v>
      </c>
      <c r="AD9211" s="1147">
        <v>1</v>
      </c>
      <c r="AE9211" s="1146">
        <v>1</v>
      </c>
      <c r="AF9211" s="1147">
        <v>1</v>
      </c>
      <c r="AG9211" s="1146">
        <v>1</v>
      </c>
      <c r="AH9211" s="1146">
        <v>1</v>
      </c>
      <c r="AI9211" s="1146">
        <v>1</v>
      </c>
      <c r="AJ9211" s="1146">
        <v>1</v>
      </c>
      <c r="AK9211" s="1147">
        <v>1</v>
      </c>
      <c r="AL9211" s="1146">
        <v>1</v>
      </c>
      <c r="AM9211" s="1146">
        <v>1</v>
      </c>
      <c r="AN9211" s="1146">
        <v>1</v>
      </c>
      <c r="AO9211" s="1147">
        <v>1</v>
      </c>
      <c r="AP9211" s="1146">
        <v>1</v>
      </c>
      <c r="AQ9211" s="1146">
        <v>1</v>
      </c>
      <c r="AR9211" s="1146">
        <v>1</v>
      </c>
      <c r="AS9211" s="1149">
        <v>1</v>
      </c>
    </row>
    <row r="9212" spans="2:45">
      <c r="B9212" s="271" t="s">
        <v>218</v>
      </c>
      <c r="C9212" s="325" t="s">
        <v>300</v>
      </c>
      <c r="D9212" s="325" t="s">
        <v>800</v>
      </c>
      <c r="E9212" s="325" t="s">
        <v>285</v>
      </c>
      <c r="F9212" s="281">
        <v>1</v>
      </c>
      <c r="I9212" s="1135" t="s">
        <v>285</v>
      </c>
      <c r="J9212" s="1146">
        <v>1</v>
      </c>
      <c r="K9212" s="1146">
        <v>1</v>
      </c>
      <c r="L9212" s="1146">
        <v>1</v>
      </c>
      <c r="M9212" s="1147">
        <v>0.9</v>
      </c>
      <c r="N9212" s="1148">
        <v>1</v>
      </c>
      <c r="O9212" s="1146">
        <v>1</v>
      </c>
      <c r="P9212" s="1146">
        <v>1</v>
      </c>
      <c r="Q9212" s="1147">
        <v>0.9</v>
      </c>
      <c r="R9212" s="1146">
        <v>1</v>
      </c>
      <c r="S9212" s="1146">
        <v>1</v>
      </c>
      <c r="T9212" s="1146">
        <v>1</v>
      </c>
      <c r="U9212" s="1147">
        <v>1</v>
      </c>
      <c r="V9212" s="1146">
        <v>1</v>
      </c>
      <c r="W9212" s="1146">
        <v>1</v>
      </c>
      <c r="X9212" s="1146">
        <v>1</v>
      </c>
      <c r="Y9212" s="1147">
        <v>1</v>
      </c>
      <c r="Z9212" s="1146">
        <v>1.1399999999999999</v>
      </c>
      <c r="AA9212" s="1146">
        <v>1</v>
      </c>
      <c r="AB9212" s="1146">
        <v>1.2148492177189767</v>
      </c>
      <c r="AC9212" s="1146">
        <v>1</v>
      </c>
      <c r="AD9212" s="1147">
        <v>1</v>
      </c>
      <c r="AE9212" s="1146">
        <v>1</v>
      </c>
      <c r="AF9212" s="1147">
        <v>1</v>
      </c>
      <c r="AG9212" s="1146">
        <v>1</v>
      </c>
      <c r="AH9212" s="1146">
        <v>1</v>
      </c>
      <c r="AI9212" s="1146">
        <v>1</v>
      </c>
      <c r="AJ9212" s="1146">
        <v>1</v>
      </c>
      <c r="AK9212" s="1147">
        <v>1</v>
      </c>
      <c r="AL9212" s="1146">
        <v>1</v>
      </c>
      <c r="AM9212" s="1146">
        <v>1.9990294516594704</v>
      </c>
      <c r="AN9212" s="1146">
        <v>1</v>
      </c>
      <c r="AO9212" s="1147">
        <v>1</v>
      </c>
      <c r="AP9212" s="1146">
        <v>1</v>
      </c>
      <c r="AQ9212" s="1146">
        <v>1</v>
      </c>
      <c r="AR9212" s="1146">
        <v>1</v>
      </c>
      <c r="AS9212" s="1149">
        <v>1</v>
      </c>
    </row>
    <row r="9213" spans="2:45" ht="16" thickBot="1">
      <c r="B9213" s="271" t="s">
        <v>218</v>
      </c>
      <c r="C9213" s="325" t="s">
        <v>300</v>
      </c>
      <c r="D9213" s="325" t="s">
        <v>800</v>
      </c>
      <c r="E9213" s="325" t="s">
        <v>1380</v>
      </c>
      <c r="F9213" s="281">
        <v>1</v>
      </c>
      <c r="I9213" s="1150" t="s">
        <v>1380</v>
      </c>
      <c r="J9213" s="1151">
        <v>1</v>
      </c>
      <c r="K9213" s="1151">
        <v>1</v>
      </c>
      <c r="L9213" s="1151">
        <v>1</v>
      </c>
      <c r="M9213" s="1152">
        <v>1</v>
      </c>
      <c r="N9213" s="1153">
        <v>1</v>
      </c>
      <c r="O9213" s="1151">
        <v>1</v>
      </c>
      <c r="P9213" s="1151">
        <v>1</v>
      </c>
      <c r="Q9213" s="1152">
        <v>1</v>
      </c>
      <c r="R9213" s="1151">
        <v>1</v>
      </c>
      <c r="S9213" s="1151">
        <v>1</v>
      </c>
      <c r="T9213" s="1151">
        <v>1</v>
      </c>
      <c r="U9213" s="1152">
        <v>1</v>
      </c>
      <c r="V9213" s="1151">
        <v>1</v>
      </c>
      <c r="W9213" s="1151">
        <v>1</v>
      </c>
      <c r="X9213" s="1151">
        <v>1</v>
      </c>
      <c r="Y9213" s="1152">
        <v>1</v>
      </c>
      <c r="Z9213" s="1151">
        <v>1</v>
      </c>
      <c r="AA9213" s="1151">
        <v>1</v>
      </c>
      <c r="AB9213" s="1151">
        <v>1</v>
      </c>
      <c r="AC9213" s="1151">
        <v>1</v>
      </c>
      <c r="AD9213" s="1152">
        <v>1</v>
      </c>
      <c r="AE9213" s="1151">
        <v>1</v>
      </c>
      <c r="AF9213" s="1152">
        <v>1</v>
      </c>
      <c r="AG9213" s="1151">
        <v>1</v>
      </c>
      <c r="AH9213" s="1151">
        <v>1</v>
      </c>
      <c r="AI9213" s="1151">
        <v>1</v>
      </c>
      <c r="AJ9213" s="1151">
        <v>1</v>
      </c>
      <c r="AK9213" s="1152">
        <v>1</v>
      </c>
      <c r="AL9213" s="1151">
        <v>1</v>
      </c>
      <c r="AM9213" s="1151">
        <v>1</v>
      </c>
      <c r="AN9213" s="1151">
        <v>1</v>
      </c>
      <c r="AO9213" s="1152">
        <v>1</v>
      </c>
      <c r="AP9213" s="1151">
        <v>1</v>
      </c>
      <c r="AQ9213" s="1151">
        <v>1</v>
      </c>
      <c r="AR9213" s="1151">
        <v>1</v>
      </c>
      <c r="AS9213" s="1154">
        <v>1</v>
      </c>
    </row>
    <row r="9214" spans="2:45">
      <c r="B9214" s="271" t="s">
        <v>218</v>
      </c>
      <c r="C9214" s="325" t="s">
        <v>300</v>
      </c>
      <c r="D9214" s="325" t="s">
        <v>800</v>
      </c>
      <c r="E9214" s="325" t="s">
        <v>281</v>
      </c>
      <c r="F9214" s="281">
        <v>1</v>
      </c>
      <c r="I9214" s="76"/>
      <c r="J9214" s="76"/>
      <c r="K9214" s="76"/>
      <c r="L9214" s="76"/>
      <c r="M9214" s="76"/>
      <c r="N9214" s="76"/>
      <c r="O9214" s="76"/>
      <c r="P9214" s="76"/>
      <c r="Q9214" s="76"/>
      <c r="R9214" s="76"/>
      <c r="S9214" s="76"/>
      <c r="T9214" s="76"/>
      <c r="U9214" s="76"/>
      <c r="V9214" s="76"/>
      <c r="W9214" s="76"/>
      <c r="X9214" s="76"/>
      <c r="Y9214" s="76"/>
      <c r="Z9214" s="76"/>
      <c r="AA9214" s="76"/>
      <c r="AB9214" s="76"/>
      <c r="AC9214" s="76"/>
      <c r="AD9214" s="76"/>
      <c r="AE9214" s="76"/>
      <c r="AF9214" s="76"/>
      <c r="AG9214" s="76"/>
      <c r="AH9214" s="76"/>
      <c r="AI9214" s="76"/>
      <c r="AJ9214" s="76"/>
      <c r="AK9214" s="76"/>
      <c r="AL9214" s="76"/>
      <c r="AM9214" s="76"/>
      <c r="AN9214" s="76"/>
      <c r="AO9214" s="76"/>
      <c r="AP9214" s="76"/>
      <c r="AQ9214" s="76"/>
      <c r="AR9214" s="76"/>
      <c r="AS9214" s="76"/>
    </row>
    <row r="9215" spans="2:45">
      <c r="B9215" s="271" t="s">
        <v>218</v>
      </c>
      <c r="C9215" s="325" t="s">
        <v>300</v>
      </c>
      <c r="D9215" s="325" t="s">
        <v>800</v>
      </c>
      <c r="E9215" s="325" t="s">
        <v>1384</v>
      </c>
      <c r="F9215" s="281">
        <v>0.5</v>
      </c>
      <c r="I9215" s="76"/>
      <c r="J9215" s="76"/>
      <c r="K9215" s="76"/>
      <c r="L9215" s="76"/>
      <c r="M9215" s="76"/>
      <c r="N9215" s="76"/>
      <c r="O9215" s="76"/>
      <c r="P9215" s="76"/>
      <c r="Q9215" s="76"/>
      <c r="R9215" s="76"/>
      <c r="S9215" s="76"/>
      <c r="T9215" s="76"/>
      <c r="U9215" s="76"/>
      <c r="V9215" s="76"/>
      <c r="W9215" s="76"/>
      <c r="X9215" s="76"/>
      <c r="Y9215" s="76"/>
      <c r="Z9215" s="76"/>
      <c r="AA9215" s="76"/>
      <c r="AB9215" s="76"/>
      <c r="AC9215" s="76"/>
      <c r="AD9215" s="76"/>
      <c r="AE9215" s="76"/>
      <c r="AF9215" s="76"/>
      <c r="AG9215" s="76"/>
      <c r="AH9215" s="76"/>
      <c r="AI9215" s="76"/>
      <c r="AJ9215" s="76"/>
      <c r="AK9215" s="76"/>
      <c r="AL9215" s="76"/>
      <c r="AM9215" s="76"/>
      <c r="AN9215" s="76"/>
      <c r="AO9215" s="76"/>
      <c r="AP9215" s="76"/>
      <c r="AQ9215" s="76"/>
      <c r="AR9215" s="76"/>
      <c r="AS9215" s="76"/>
    </row>
    <row r="9216" spans="2:45" ht="16" thickBot="1">
      <c r="B9216" s="271" t="s">
        <v>218</v>
      </c>
      <c r="C9216" s="325" t="s">
        <v>302</v>
      </c>
      <c r="D9216" s="325" t="s">
        <v>800</v>
      </c>
      <c r="E9216" s="325" t="s">
        <v>282</v>
      </c>
      <c r="F9216" s="281">
        <v>1</v>
      </c>
      <c r="I9216" s="1112" t="s">
        <v>1446</v>
      </c>
      <c r="J9216" s="1112" t="s">
        <v>1460</v>
      </c>
      <c r="K9216" s="375" t="s">
        <v>4</v>
      </c>
      <c r="L9216" s="76"/>
      <c r="M9216" s="76"/>
      <c r="N9216" s="76"/>
      <c r="O9216" s="76"/>
      <c r="P9216" s="76"/>
      <c r="Q9216" s="76"/>
      <c r="R9216" s="76"/>
      <c r="S9216" s="76"/>
      <c r="T9216" s="76"/>
      <c r="U9216" s="76"/>
      <c r="V9216" s="76"/>
      <c r="W9216" s="76"/>
      <c r="X9216" s="76"/>
      <c r="Y9216" s="76"/>
      <c r="Z9216" s="76"/>
      <c r="AA9216" s="76"/>
      <c r="AB9216" s="76"/>
      <c r="AC9216" s="76"/>
      <c r="AD9216" s="76"/>
      <c r="AE9216" s="76"/>
      <c r="AF9216" s="76"/>
      <c r="AG9216" s="76"/>
      <c r="AH9216" s="76"/>
      <c r="AI9216" s="76"/>
      <c r="AJ9216" s="76"/>
      <c r="AK9216" s="76"/>
      <c r="AL9216" s="76"/>
      <c r="AM9216" s="76"/>
      <c r="AN9216" s="76"/>
      <c r="AO9216" s="76"/>
      <c r="AP9216" s="76"/>
      <c r="AQ9216" s="76"/>
      <c r="AR9216" s="76"/>
      <c r="AS9216" s="76"/>
    </row>
    <row r="9217" spans="2:45">
      <c r="B9217" s="271" t="s">
        <v>218</v>
      </c>
      <c r="C9217" s="325" t="s">
        <v>302</v>
      </c>
      <c r="D9217" s="325" t="s">
        <v>800</v>
      </c>
      <c r="E9217" s="325" t="s">
        <v>283</v>
      </c>
      <c r="F9217" s="281">
        <v>1</v>
      </c>
      <c r="I9217" s="1130"/>
      <c r="J9217" s="1131" t="s">
        <v>216</v>
      </c>
      <c r="K9217" s="1131" t="s">
        <v>366</v>
      </c>
      <c r="L9217" s="1131" t="s">
        <v>217</v>
      </c>
      <c r="M9217" s="1131" t="s">
        <v>216</v>
      </c>
      <c r="N9217" s="1131" t="s">
        <v>366</v>
      </c>
      <c r="O9217" s="1134" t="s">
        <v>217</v>
      </c>
      <c r="P9217" s="76"/>
      <c r="Q9217" s="76"/>
      <c r="R9217" s="76"/>
      <c r="S9217" s="76"/>
      <c r="T9217" s="76"/>
      <c r="U9217" s="76"/>
      <c r="V9217" s="76"/>
      <c r="W9217" s="76"/>
      <c r="X9217" s="76"/>
      <c r="Y9217" s="76"/>
      <c r="Z9217" s="76"/>
      <c r="AA9217" s="76"/>
      <c r="AB9217" s="76"/>
      <c r="AC9217" s="76"/>
      <c r="AD9217" s="76"/>
      <c r="AE9217" s="76"/>
      <c r="AF9217" s="76"/>
      <c r="AG9217" s="76"/>
      <c r="AH9217" s="76"/>
      <c r="AI9217" s="76"/>
      <c r="AJ9217" s="76"/>
      <c r="AK9217" s="76"/>
      <c r="AL9217" s="76"/>
      <c r="AM9217" s="76"/>
      <c r="AN9217" s="76"/>
      <c r="AO9217" s="76"/>
      <c r="AP9217" s="76"/>
      <c r="AQ9217" s="76"/>
      <c r="AR9217" s="76"/>
      <c r="AS9217" s="76"/>
    </row>
    <row r="9218" spans="2:45" ht="45">
      <c r="B9218" s="271" t="s">
        <v>218</v>
      </c>
      <c r="C9218" s="325" t="s">
        <v>302</v>
      </c>
      <c r="D9218" s="325" t="s">
        <v>800</v>
      </c>
      <c r="E9218" s="325" t="s">
        <v>284</v>
      </c>
      <c r="F9218" s="281">
        <v>1</v>
      </c>
      <c r="I9218" s="1135"/>
      <c r="J9218" s="1155" t="s">
        <v>1470</v>
      </c>
      <c r="K9218" s="1155" t="s">
        <v>1470</v>
      </c>
      <c r="L9218" s="1155" t="s">
        <v>1470</v>
      </c>
      <c r="M9218" s="1136" t="s">
        <v>1467</v>
      </c>
      <c r="N9218" s="1136" t="s">
        <v>1467</v>
      </c>
      <c r="O9218" s="1139" t="s">
        <v>1467</v>
      </c>
      <c r="P9218" s="76"/>
      <c r="Q9218" s="76"/>
      <c r="R9218" s="76"/>
      <c r="S9218" s="76"/>
      <c r="T9218" s="76"/>
      <c r="U9218" s="76"/>
      <c r="V9218" s="76"/>
      <c r="W9218" s="76"/>
      <c r="X9218" s="76"/>
      <c r="Y9218" s="76"/>
      <c r="Z9218" s="76"/>
      <c r="AA9218" s="76"/>
      <c r="AB9218" s="76"/>
      <c r="AC9218" s="76"/>
      <c r="AD9218" s="76"/>
      <c r="AE9218" s="76"/>
      <c r="AF9218" s="76"/>
      <c r="AG9218" s="76"/>
      <c r="AH9218" s="76"/>
      <c r="AI9218" s="76"/>
      <c r="AJ9218" s="76"/>
      <c r="AK9218" s="76"/>
      <c r="AL9218" s="76"/>
      <c r="AM9218" s="76"/>
      <c r="AN9218" s="76"/>
      <c r="AO9218" s="76"/>
      <c r="AP9218" s="76"/>
      <c r="AQ9218" s="76"/>
      <c r="AR9218" s="76"/>
      <c r="AS9218" s="76"/>
    </row>
    <row r="9219" spans="2:45">
      <c r="B9219" s="271" t="s">
        <v>218</v>
      </c>
      <c r="C9219" s="325" t="s">
        <v>302</v>
      </c>
      <c r="D9219" s="325" t="s">
        <v>800</v>
      </c>
      <c r="E9219" s="325" t="s">
        <v>1379</v>
      </c>
      <c r="F9219" s="281">
        <v>1</v>
      </c>
      <c r="I9219" s="1140" t="s">
        <v>1444</v>
      </c>
      <c r="J9219" s="1141" t="s">
        <v>1431</v>
      </c>
      <c r="K9219" s="1141" t="s">
        <v>1431</v>
      </c>
      <c r="L9219" s="1141" t="s">
        <v>1431</v>
      </c>
      <c r="M9219" s="1141" t="s">
        <v>1431</v>
      </c>
      <c r="N9219" s="1141"/>
      <c r="O9219" s="1144"/>
      <c r="P9219" s="76"/>
      <c r="Q9219" s="76"/>
      <c r="R9219" s="76"/>
      <c r="S9219" s="76"/>
      <c r="T9219" s="76"/>
      <c r="U9219" s="76"/>
      <c r="V9219" s="76"/>
      <c r="W9219" s="76"/>
      <c r="X9219" s="76"/>
      <c r="Y9219" s="76"/>
      <c r="Z9219" s="76"/>
      <c r="AA9219" s="76"/>
      <c r="AB9219" s="76"/>
      <c r="AC9219" s="76"/>
      <c r="AD9219" s="76"/>
      <c r="AE9219" s="76"/>
      <c r="AF9219" s="76"/>
      <c r="AG9219" s="76"/>
      <c r="AH9219" s="76"/>
      <c r="AI9219" s="76"/>
      <c r="AJ9219" s="76"/>
      <c r="AK9219" s="76"/>
      <c r="AL9219" s="76"/>
      <c r="AM9219" s="76"/>
      <c r="AN9219" s="76"/>
      <c r="AO9219" s="76"/>
      <c r="AP9219" s="76"/>
      <c r="AQ9219" s="76"/>
      <c r="AR9219" s="76"/>
      <c r="AS9219" s="76"/>
    </row>
    <row r="9220" spans="2:45">
      <c r="B9220" s="271" t="s">
        <v>218</v>
      </c>
      <c r="C9220" s="325" t="s">
        <v>302</v>
      </c>
      <c r="D9220" s="325" t="s">
        <v>800</v>
      </c>
      <c r="E9220" s="325" t="s">
        <v>285</v>
      </c>
      <c r="F9220" s="281">
        <v>1</v>
      </c>
      <c r="I9220" s="1145" t="s">
        <v>281</v>
      </c>
      <c r="J9220" s="1146">
        <v>1</v>
      </c>
      <c r="K9220" s="1146">
        <v>1</v>
      </c>
      <c r="L9220" s="1146">
        <v>1</v>
      </c>
      <c r="M9220" s="1146">
        <v>1</v>
      </c>
      <c r="N9220" s="1146">
        <v>1</v>
      </c>
      <c r="O9220" s="1149">
        <v>1</v>
      </c>
      <c r="P9220" s="76"/>
      <c r="Q9220" s="76"/>
      <c r="R9220" s="76"/>
      <c r="S9220" s="76"/>
      <c r="T9220" s="76"/>
      <c r="U9220" s="76"/>
      <c r="V9220" s="76"/>
      <c r="W9220" s="76"/>
      <c r="X9220" s="76"/>
      <c r="Y9220" s="76"/>
      <c r="Z9220" s="76"/>
      <c r="AA9220" s="76"/>
      <c r="AB9220" s="76"/>
      <c r="AC9220" s="76"/>
      <c r="AD9220" s="76"/>
      <c r="AE9220" s="76"/>
      <c r="AF9220" s="76"/>
      <c r="AG9220" s="76"/>
      <c r="AH9220" s="76"/>
      <c r="AI9220" s="76"/>
      <c r="AJ9220" s="76"/>
      <c r="AK9220" s="76"/>
      <c r="AL9220" s="76"/>
      <c r="AM9220" s="76"/>
      <c r="AN9220" s="76"/>
      <c r="AO9220" s="76"/>
      <c r="AP9220" s="76"/>
      <c r="AQ9220" s="76"/>
      <c r="AR9220" s="76"/>
      <c r="AS9220" s="76"/>
    </row>
    <row r="9221" spans="2:45">
      <c r="B9221" s="271" t="s">
        <v>218</v>
      </c>
      <c r="C9221" s="325" t="s">
        <v>302</v>
      </c>
      <c r="D9221" s="325" t="s">
        <v>800</v>
      </c>
      <c r="E9221" s="325" t="s">
        <v>1380</v>
      </c>
      <c r="F9221" s="281">
        <v>1</v>
      </c>
      <c r="I9221" s="1135" t="s">
        <v>1384</v>
      </c>
      <c r="J9221" s="1146">
        <v>1</v>
      </c>
      <c r="K9221" s="1146">
        <v>1</v>
      </c>
      <c r="L9221" s="1146">
        <v>1</v>
      </c>
      <c r="M9221" s="1146">
        <v>1</v>
      </c>
      <c r="N9221" s="1146">
        <v>1</v>
      </c>
      <c r="O9221" s="1149">
        <v>1</v>
      </c>
      <c r="P9221" s="76"/>
      <c r="Q9221" s="76"/>
      <c r="R9221" s="76"/>
      <c r="S9221" s="76"/>
      <c r="T9221" s="76"/>
      <c r="U9221" s="76"/>
      <c r="V9221" s="76"/>
      <c r="W9221" s="76"/>
      <c r="X9221" s="76"/>
      <c r="Y9221" s="76"/>
      <c r="Z9221" s="76"/>
      <c r="AA9221" s="76"/>
      <c r="AB9221" s="76"/>
      <c r="AC9221" s="76"/>
      <c r="AD9221" s="76"/>
      <c r="AE9221" s="76"/>
      <c r="AF9221" s="76"/>
      <c r="AG9221" s="76"/>
      <c r="AH9221" s="76"/>
      <c r="AI9221" s="76"/>
      <c r="AJ9221" s="76"/>
      <c r="AK9221" s="76"/>
      <c r="AL9221" s="76"/>
      <c r="AM9221" s="76"/>
      <c r="AN9221" s="76"/>
      <c r="AO9221" s="76"/>
      <c r="AP9221" s="76"/>
      <c r="AQ9221" s="76"/>
      <c r="AR9221" s="76"/>
      <c r="AS9221" s="76"/>
    </row>
    <row r="9222" spans="2:45">
      <c r="B9222" s="271" t="s">
        <v>218</v>
      </c>
      <c r="C9222" s="325" t="s">
        <v>302</v>
      </c>
      <c r="D9222" s="325" t="s">
        <v>800</v>
      </c>
      <c r="E9222" s="325" t="s">
        <v>281</v>
      </c>
      <c r="F9222" s="281">
        <v>1</v>
      </c>
      <c r="I9222" s="1135" t="s">
        <v>282</v>
      </c>
      <c r="J9222" s="1146">
        <v>1</v>
      </c>
      <c r="K9222" s="1146">
        <v>1</v>
      </c>
      <c r="L9222" s="1146">
        <v>1</v>
      </c>
      <c r="M9222" s="1146">
        <v>1</v>
      </c>
      <c r="N9222" s="1146">
        <v>1</v>
      </c>
      <c r="O9222" s="1149">
        <v>1</v>
      </c>
      <c r="P9222" s="76"/>
      <c r="Q9222" s="76"/>
      <c r="R9222" s="76"/>
      <c r="S9222" s="76"/>
      <c r="T9222" s="76"/>
      <c r="U9222" s="76"/>
      <c r="V9222" s="76"/>
      <c r="W9222" s="76"/>
      <c r="X9222" s="76"/>
      <c r="Y9222" s="76"/>
      <c r="Z9222" s="76"/>
      <c r="AA9222" s="76"/>
      <c r="AB9222" s="76"/>
      <c r="AC9222" s="76"/>
      <c r="AD9222" s="76"/>
      <c r="AE9222" s="76"/>
      <c r="AF9222" s="76"/>
      <c r="AG9222" s="76"/>
      <c r="AH9222" s="76"/>
      <c r="AI9222" s="76"/>
      <c r="AJ9222" s="76"/>
      <c r="AK9222" s="76"/>
      <c r="AL9222" s="76"/>
      <c r="AM9222" s="76"/>
      <c r="AN9222" s="76"/>
      <c r="AO9222" s="76"/>
      <c r="AP9222" s="76"/>
      <c r="AQ9222" s="76"/>
      <c r="AR9222" s="76"/>
      <c r="AS9222" s="76"/>
    </row>
    <row r="9223" spans="2:45">
      <c r="B9223" s="271" t="s">
        <v>218</v>
      </c>
      <c r="C9223" s="325" t="s">
        <v>302</v>
      </c>
      <c r="D9223" s="325" t="s">
        <v>800</v>
      </c>
      <c r="E9223" s="325" t="s">
        <v>1384</v>
      </c>
      <c r="F9223" s="281">
        <v>0.5</v>
      </c>
      <c r="I9223" s="1135" t="s">
        <v>283</v>
      </c>
      <c r="J9223" s="1146">
        <v>1</v>
      </c>
      <c r="K9223" s="1146">
        <v>1</v>
      </c>
      <c r="L9223" s="1146">
        <v>1</v>
      </c>
      <c r="M9223" s="1146">
        <v>1</v>
      </c>
      <c r="N9223" s="1146">
        <v>1</v>
      </c>
      <c r="O9223" s="1149">
        <v>1</v>
      </c>
      <c r="P9223" s="76"/>
      <c r="Q9223" s="76"/>
      <c r="R9223" s="76"/>
      <c r="S9223" s="76"/>
      <c r="T9223" s="76"/>
      <c r="U9223" s="76"/>
      <c r="V9223" s="76"/>
      <c r="W9223" s="76"/>
      <c r="X9223" s="76"/>
      <c r="Y9223" s="76"/>
      <c r="Z9223" s="76"/>
      <c r="AA9223" s="76"/>
      <c r="AB9223" s="76"/>
      <c r="AC9223" s="76"/>
      <c r="AD9223" s="76"/>
      <c r="AE9223" s="76"/>
      <c r="AF9223" s="76"/>
      <c r="AG9223" s="76"/>
      <c r="AH9223" s="76"/>
      <c r="AI9223" s="76"/>
      <c r="AJ9223" s="76"/>
      <c r="AK9223" s="76"/>
      <c r="AL9223" s="76"/>
      <c r="AM9223" s="76"/>
      <c r="AN9223" s="76"/>
      <c r="AO9223" s="76"/>
      <c r="AP9223" s="76"/>
      <c r="AQ9223" s="76"/>
      <c r="AR9223" s="76"/>
      <c r="AS9223" s="76"/>
    </row>
    <row r="9224" spans="2:45">
      <c r="B9224" s="136" t="s">
        <v>218</v>
      </c>
      <c r="C9224" s="132" t="s">
        <v>308</v>
      </c>
      <c r="D9224" s="325">
        <v>1000</v>
      </c>
      <c r="E9224" s="132" t="s">
        <v>282</v>
      </c>
      <c r="F9224" s="1109">
        <v>37.270000000000003</v>
      </c>
      <c r="I9224" s="1135" t="s">
        <v>284</v>
      </c>
      <c r="J9224" s="1146">
        <v>1</v>
      </c>
      <c r="K9224" s="1146">
        <v>1</v>
      </c>
      <c r="L9224" s="1146">
        <v>1</v>
      </c>
      <c r="M9224" s="1146">
        <v>1</v>
      </c>
      <c r="N9224" s="1146">
        <v>1</v>
      </c>
      <c r="O9224" s="1149">
        <v>1</v>
      </c>
      <c r="P9224" s="76"/>
      <c r="Q9224" s="76"/>
      <c r="R9224" s="76"/>
      <c r="S9224" s="76"/>
      <c r="T9224" s="76"/>
      <c r="U9224" s="76"/>
      <c r="V9224" s="76"/>
      <c r="W9224" s="76"/>
      <c r="X9224" s="76"/>
      <c r="Y9224" s="76"/>
      <c r="Z9224" s="76"/>
      <c r="AA9224" s="76"/>
      <c r="AB9224" s="76"/>
      <c r="AC9224" s="76"/>
      <c r="AD9224" s="76"/>
      <c r="AE9224" s="76"/>
      <c r="AF9224" s="76"/>
      <c r="AG9224" s="76"/>
      <c r="AH9224" s="76"/>
      <c r="AI9224" s="76"/>
      <c r="AJ9224" s="76"/>
      <c r="AK9224" s="76"/>
      <c r="AL9224" s="76"/>
      <c r="AM9224" s="76"/>
      <c r="AN9224" s="76"/>
      <c r="AO9224" s="76"/>
      <c r="AP9224" s="76"/>
      <c r="AQ9224" s="76"/>
      <c r="AR9224" s="76"/>
      <c r="AS9224" s="76"/>
    </row>
    <row r="9225" spans="2:45">
      <c r="B9225" s="136" t="s">
        <v>218</v>
      </c>
      <c r="C9225" s="132" t="s">
        <v>308</v>
      </c>
      <c r="D9225" s="325">
        <v>1000</v>
      </c>
      <c r="E9225" s="132" t="s">
        <v>283</v>
      </c>
      <c r="F9225" s="1109">
        <v>0.5</v>
      </c>
      <c r="I9225" s="1135" t="s">
        <v>1379</v>
      </c>
      <c r="J9225" s="1146">
        <v>1</v>
      </c>
      <c r="K9225" s="1146">
        <v>1</v>
      </c>
      <c r="L9225" s="1146">
        <v>1</v>
      </c>
      <c r="M9225" s="1146">
        <v>1</v>
      </c>
      <c r="N9225" s="1146">
        <v>1</v>
      </c>
      <c r="O9225" s="1149">
        <v>1</v>
      </c>
      <c r="P9225" s="76"/>
      <c r="Q9225" s="76"/>
      <c r="R9225" s="76"/>
      <c r="S9225" s="76"/>
      <c r="T9225" s="76"/>
      <c r="U9225" s="76"/>
      <c r="V9225" s="76"/>
      <c r="W9225" s="76"/>
      <c r="X9225" s="76"/>
      <c r="Y9225" s="76"/>
      <c r="Z9225" s="76"/>
      <c r="AA9225" s="76"/>
      <c r="AB9225" s="76"/>
      <c r="AC9225" s="76"/>
      <c r="AD9225" s="76"/>
      <c r="AE9225" s="76"/>
      <c r="AF9225" s="76"/>
      <c r="AG9225" s="76"/>
      <c r="AH9225" s="76"/>
      <c r="AI9225" s="76"/>
      <c r="AJ9225" s="76"/>
      <c r="AK9225" s="76"/>
      <c r="AL9225" s="76"/>
      <c r="AM9225" s="76"/>
      <c r="AN9225" s="76"/>
      <c r="AO9225" s="76"/>
      <c r="AP9225" s="76"/>
      <c r="AQ9225" s="76"/>
      <c r="AR9225" s="76"/>
      <c r="AS9225" s="76"/>
    </row>
    <row r="9226" spans="2:45">
      <c r="B9226" s="136" t="s">
        <v>218</v>
      </c>
      <c r="C9226" s="132" t="s">
        <v>308</v>
      </c>
      <c r="D9226" s="325">
        <v>1000</v>
      </c>
      <c r="E9226" s="132" t="s">
        <v>284</v>
      </c>
      <c r="F9226" s="1109">
        <v>1</v>
      </c>
      <c r="I9226" s="1135" t="s">
        <v>285</v>
      </c>
      <c r="J9226" s="1146">
        <v>1</v>
      </c>
      <c r="K9226" s="1146">
        <v>1</v>
      </c>
      <c r="L9226" s="1146">
        <v>1</v>
      </c>
      <c r="M9226" s="1146">
        <v>1</v>
      </c>
      <c r="N9226" s="1146">
        <v>1</v>
      </c>
      <c r="O9226" s="1149">
        <v>1</v>
      </c>
      <c r="P9226" s="76"/>
      <c r="Q9226" s="76"/>
      <c r="R9226" s="76"/>
      <c r="S9226" s="76"/>
      <c r="T9226" s="76"/>
      <c r="U9226" s="76"/>
      <c r="V9226" s="76"/>
      <c r="W9226" s="76"/>
      <c r="X9226" s="76"/>
      <c r="Y9226" s="76"/>
      <c r="Z9226" s="76"/>
      <c r="AA9226" s="76"/>
      <c r="AB9226" s="76"/>
      <c r="AC9226" s="76"/>
      <c r="AD9226" s="76"/>
      <c r="AE9226" s="76"/>
      <c r="AF9226" s="76"/>
      <c r="AG9226" s="76"/>
      <c r="AH9226" s="76"/>
      <c r="AI9226" s="76"/>
      <c r="AJ9226" s="76"/>
      <c r="AK9226" s="76"/>
      <c r="AL9226" s="76"/>
      <c r="AM9226" s="76"/>
      <c r="AN9226" s="76"/>
      <c r="AO9226" s="76"/>
      <c r="AP9226" s="76"/>
      <c r="AQ9226" s="76"/>
      <c r="AR9226" s="76"/>
      <c r="AS9226" s="76"/>
    </row>
    <row r="9227" spans="2:45" ht="16" thickBot="1">
      <c r="B9227" s="136" t="s">
        <v>218</v>
      </c>
      <c r="C9227" s="132" t="s">
        <v>308</v>
      </c>
      <c r="D9227" s="325">
        <v>1000</v>
      </c>
      <c r="E9227" s="132" t="s">
        <v>1379</v>
      </c>
      <c r="F9227" s="1109">
        <v>1</v>
      </c>
      <c r="I9227" s="1150" t="s">
        <v>1380</v>
      </c>
      <c r="J9227" s="1151">
        <v>1</v>
      </c>
      <c r="K9227" s="1151">
        <v>1</v>
      </c>
      <c r="L9227" s="1151">
        <v>1</v>
      </c>
      <c r="M9227" s="1151">
        <v>1</v>
      </c>
      <c r="N9227" s="1151">
        <v>1</v>
      </c>
      <c r="O9227" s="1154">
        <v>1</v>
      </c>
      <c r="P9227" s="76"/>
      <c r="Q9227" s="76"/>
      <c r="R9227" s="76"/>
      <c r="S9227" s="76"/>
      <c r="T9227" s="76"/>
      <c r="U9227" s="76"/>
      <c r="V9227" s="76"/>
      <c r="W9227" s="76"/>
      <c r="X9227" s="76"/>
      <c r="Y9227" s="76"/>
      <c r="Z9227" s="76"/>
      <c r="AA9227" s="76"/>
      <c r="AB9227" s="76"/>
      <c r="AC9227" s="76"/>
      <c r="AD9227" s="76"/>
      <c r="AE9227" s="76"/>
      <c r="AF9227" s="76"/>
      <c r="AG9227" s="76"/>
      <c r="AH9227" s="76"/>
      <c r="AI9227" s="76"/>
      <c r="AJ9227" s="76"/>
      <c r="AK9227" s="76"/>
      <c r="AL9227" s="76"/>
      <c r="AM9227" s="76"/>
      <c r="AN9227" s="76"/>
      <c r="AO9227" s="76"/>
      <c r="AP9227" s="76"/>
      <c r="AQ9227" s="76"/>
      <c r="AR9227" s="76"/>
      <c r="AS9227" s="76"/>
    </row>
    <row r="9228" spans="2:45" ht="16" thickBot="1">
      <c r="B9228" s="136" t="s">
        <v>218</v>
      </c>
      <c r="C9228" s="132" t="s">
        <v>308</v>
      </c>
      <c r="D9228" s="325">
        <v>1000</v>
      </c>
      <c r="E9228" s="132" t="s">
        <v>285</v>
      </c>
      <c r="F9228" s="1109">
        <v>1</v>
      </c>
    </row>
    <row r="9229" spans="2:45">
      <c r="B9229" s="136" t="s">
        <v>218</v>
      </c>
      <c r="C9229" s="132" t="s">
        <v>308</v>
      </c>
      <c r="D9229" s="325">
        <v>1000</v>
      </c>
      <c r="E9229" s="132" t="s">
        <v>1380</v>
      </c>
      <c r="F9229" s="1109">
        <v>1</v>
      </c>
      <c r="I9229" s="129" t="s">
        <v>1475</v>
      </c>
      <c r="J9229" s="520"/>
      <c r="K9229" s="628" t="s">
        <v>1476</v>
      </c>
    </row>
    <row r="9230" spans="2:45">
      <c r="B9230" s="136" t="s">
        <v>218</v>
      </c>
      <c r="C9230" s="132" t="s">
        <v>308</v>
      </c>
      <c r="D9230" s="325">
        <v>1000</v>
      </c>
      <c r="E9230" s="132" t="s">
        <v>281</v>
      </c>
      <c r="F9230" s="1109">
        <v>1</v>
      </c>
      <c r="I9230" s="136" t="s">
        <v>315</v>
      </c>
      <c r="J9230" s="132"/>
      <c r="K9230" s="142" t="s">
        <v>315</v>
      </c>
    </row>
    <row r="9231" spans="2:45">
      <c r="B9231" s="136" t="s">
        <v>218</v>
      </c>
      <c r="C9231" s="132" t="s">
        <v>308</v>
      </c>
      <c r="D9231" s="325">
        <v>1000</v>
      </c>
      <c r="E9231" s="132" t="s">
        <v>1384</v>
      </c>
      <c r="F9231" s="1109">
        <v>1</v>
      </c>
      <c r="I9231" s="136" t="s">
        <v>313</v>
      </c>
      <c r="J9231" s="132"/>
      <c r="K9231" s="142" t="s">
        <v>313</v>
      </c>
    </row>
    <row r="9232" spans="2:45">
      <c r="B9232" s="136" t="s">
        <v>218</v>
      </c>
      <c r="C9232" s="132" t="s">
        <v>306</v>
      </c>
      <c r="D9232" s="325">
        <v>1000</v>
      </c>
      <c r="E9232" s="132" t="s">
        <v>282</v>
      </c>
      <c r="F9232" s="1109">
        <v>22.02</v>
      </c>
      <c r="I9232" s="136" t="s">
        <v>304</v>
      </c>
      <c r="J9232" s="132"/>
      <c r="K9232" s="142" t="s">
        <v>1459</v>
      </c>
    </row>
    <row r="9233" spans="2:11">
      <c r="B9233" s="136" t="s">
        <v>218</v>
      </c>
      <c r="C9233" s="132" t="s">
        <v>306</v>
      </c>
      <c r="D9233" s="325">
        <v>1000</v>
      </c>
      <c r="E9233" s="132" t="s">
        <v>283</v>
      </c>
      <c r="F9233" s="1109">
        <v>0.5</v>
      </c>
      <c r="I9233" s="136" t="s">
        <v>300</v>
      </c>
      <c r="J9233" s="132"/>
      <c r="K9233" s="142" t="s">
        <v>300</v>
      </c>
    </row>
    <row r="9234" spans="2:11">
      <c r="B9234" s="136" t="s">
        <v>218</v>
      </c>
      <c r="C9234" s="132" t="s">
        <v>306</v>
      </c>
      <c r="D9234" s="325">
        <v>1000</v>
      </c>
      <c r="E9234" s="132" t="s">
        <v>284</v>
      </c>
      <c r="F9234" s="1109">
        <v>1</v>
      </c>
      <c r="I9234" s="136" t="s">
        <v>302</v>
      </c>
      <c r="J9234" s="132"/>
      <c r="K9234" s="142" t="s">
        <v>1458</v>
      </c>
    </row>
    <row r="9235" spans="2:11">
      <c r="B9235" s="136" t="s">
        <v>218</v>
      </c>
      <c r="C9235" s="132" t="s">
        <v>306</v>
      </c>
      <c r="D9235" s="325">
        <v>1000</v>
      </c>
      <c r="E9235" s="132" t="s">
        <v>1379</v>
      </c>
      <c r="F9235" s="1109">
        <v>1</v>
      </c>
      <c r="I9235" s="136" t="s">
        <v>308</v>
      </c>
      <c r="J9235" s="132"/>
      <c r="K9235" s="142" t="s">
        <v>308</v>
      </c>
    </row>
    <row r="9236" spans="2:11">
      <c r="B9236" s="136" t="s">
        <v>218</v>
      </c>
      <c r="C9236" s="132" t="s">
        <v>306</v>
      </c>
      <c r="D9236" s="325">
        <v>1000</v>
      </c>
      <c r="E9236" s="132" t="s">
        <v>285</v>
      </c>
      <c r="F9236" s="1109">
        <v>1</v>
      </c>
      <c r="I9236" s="136" t="s">
        <v>306</v>
      </c>
      <c r="J9236" s="132"/>
      <c r="K9236" s="142" t="s">
        <v>306</v>
      </c>
    </row>
    <row r="9237" spans="2:11">
      <c r="B9237" s="136" t="s">
        <v>218</v>
      </c>
      <c r="C9237" s="132" t="s">
        <v>306</v>
      </c>
      <c r="D9237" s="325">
        <v>1000</v>
      </c>
      <c r="E9237" s="132" t="s">
        <v>1380</v>
      </c>
      <c r="F9237" s="1109">
        <v>1</v>
      </c>
      <c r="I9237" s="136" t="s">
        <v>311</v>
      </c>
      <c r="J9237" s="132"/>
      <c r="K9237" s="142" t="s">
        <v>1467</v>
      </c>
    </row>
    <row r="9238" spans="2:11">
      <c r="B9238" s="136" t="s">
        <v>218</v>
      </c>
      <c r="C9238" s="132" t="s">
        <v>306</v>
      </c>
      <c r="D9238" s="325">
        <v>1000</v>
      </c>
      <c r="E9238" s="132" t="s">
        <v>281</v>
      </c>
      <c r="F9238" s="1109">
        <v>1</v>
      </c>
      <c r="I9238" s="136" t="s">
        <v>309</v>
      </c>
      <c r="J9238" s="132"/>
      <c r="K9238" s="142" t="s">
        <v>1467</v>
      </c>
    </row>
    <row r="9239" spans="2:11" ht="16" thickBot="1">
      <c r="B9239" s="136" t="s">
        <v>218</v>
      </c>
      <c r="C9239" s="132" t="s">
        <v>306</v>
      </c>
      <c r="D9239" s="325">
        <v>1000</v>
      </c>
      <c r="E9239" s="132" t="s">
        <v>1384</v>
      </c>
      <c r="F9239" s="1109">
        <v>1</v>
      </c>
      <c r="I9239" s="143" t="s">
        <v>307</v>
      </c>
      <c r="J9239" s="145"/>
      <c r="K9239" s="146" t="s">
        <v>307</v>
      </c>
    </row>
    <row r="9240" spans="2:11">
      <c r="B9240" s="136" t="s">
        <v>218</v>
      </c>
      <c r="C9240" s="132" t="s">
        <v>311</v>
      </c>
      <c r="D9240" s="325">
        <v>1000</v>
      </c>
      <c r="E9240" s="132" t="s">
        <v>282</v>
      </c>
      <c r="F9240" s="1109">
        <v>8.93</v>
      </c>
    </row>
    <row r="9241" spans="2:11">
      <c r="B9241" s="136" t="s">
        <v>218</v>
      </c>
      <c r="C9241" s="132" t="s">
        <v>311</v>
      </c>
      <c r="D9241" s="325">
        <v>1000</v>
      </c>
      <c r="E9241" s="132" t="s">
        <v>283</v>
      </c>
      <c r="F9241" s="1109">
        <v>0.5</v>
      </c>
    </row>
    <row r="9242" spans="2:11">
      <c r="B9242" s="136" t="s">
        <v>218</v>
      </c>
      <c r="C9242" s="132" t="s">
        <v>311</v>
      </c>
      <c r="D9242" s="325">
        <v>1000</v>
      </c>
      <c r="E9242" s="132" t="s">
        <v>284</v>
      </c>
      <c r="F9242" s="1109">
        <v>1</v>
      </c>
    </row>
    <row r="9243" spans="2:11">
      <c r="B9243" s="136" t="s">
        <v>218</v>
      </c>
      <c r="C9243" s="132" t="s">
        <v>311</v>
      </c>
      <c r="D9243" s="325">
        <v>1000</v>
      </c>
      <c r="E9243" s="132" t="s">
        <v>1379</v>
      </c>
      <c r="F9243" s="1109">
        <v>1</v>
      </c>
    </row>
    <row r="9244" spans="2:11">
      <c r="B9244" s="136" t="s">
        <v>218</v>
      </c>
      <c r="C9244" s="132" t="s">
        <v>311</v>
      </c>
      <c r="D9244" s="325">
        <v>1000</v>
      </c>
      <c r="E9244" s="132" t="s">
        <v>285</v>
      </c>
      <c r="F9244" s="1109">
        <v>1</v>
      </c>
    </row>
    <row r="9245" spans="2:11">
      <c r="B9245" s="136" t="s">
        <v>218</v>
      </c>
      <c r="C9245" s="132" t="s">
        <v>311</v>
      </c>
      <c r="D9245" s="325">
        <v>1000</v>
      </c>
      <c r="E9245" s="132" t="s">
        <v>1380</v>
      </c>
      <c r="F9245" s="1109">
        <v>1</v>
      </c>
    </row>
    <row r="9246" spans="2:11">
      <c r="B9246" s="136" t="s">
        <v>218</v>
      </c>
      <c r="C9246" s="132" t="s">
        <v>311</v>
      </c>
      <c r="D9246" s="325">
        <v>1000</v>
      </c>
      <c r="E9246" s="132" t="s">
        <v>281</v>
      </c>
      <c r="F9246" s="1109">
        <v>1</v>
      </c>
    </row>
    <row r="9247" spans="2:11">
      <c r="B9247" s="136" t="s">
        <v>218</v>
      </c>
      <c r="C9247" s="132" t="s">
        <v>311</v>
      </c>
      <c r="D9247" s="325">
        <v>1000</v>
      </c>
      <c r="E9247" s="132" t="s">
        <v>1384</v>
      </c>
      <c r="F9247" s="1109">
        <v>1</v>
      </c>
    </row>
    <row r="9248" spans="2:11">
      <c r="B9248" s="136" t="s">
        <v>218</v>
      </c>
      <c r="C9248" s="132" t="s">
        <v>309</v>
      </c>
      <c r="D9248" s="325">
        <v>1000</v>
      </c>
      <c r="E9248" s="132" t="s">
        <v>282</v>
      </c>
      <c r="F9248" s="1109">
        <v>8.93</v>
      </c>
    </row>
    <row r="9249" spans="2:6">
      <c r="B9249" s="136" t="s">
        <v>218</v>
      </c>
      <c r="C9249" s="132" t="s">
        <v>309</v>
      </c>
      <c r="D9249" s="325">
        <v>1000</v>
      </c>
      <c r="E9249" s="132" t="s">
        <v>283</v>
      </c>
      <c r="F9249" s="1109">
        <v>0.5</v>
      </c>
    </row>
    <row r="9250" spans="2:6">
      <c r="B9250" s="136" t="s">
        <v>218</v>
      </c>
      <c r="C9250" s="132" t="s">
        <v>309</v>
      </c>
      <c r="D9250" s="325">
        <v>1000</v>
      </c>
      <c r="E9250" s="132" t="s">
        <v>284</v>
      </c>
      <c r="F9250" s="1109">
        <v>1</v>
      </c>
    </row>
    <row r="9251" spans="2:6">
      <c r="B9251" s="136" t="s">
        <v>218</v>
      </c>
      <c r="C9251" s="132" t="s">
        <v>309</v>
      </c>
      <c r="D9251" s="325">
        <v>1000</v>
      </c>
      <c r="E9251" s="132" t="s">
        <v>1379</v>
      </c>
      <c r="F9251" s="1109">
        <v>1</v>
      </c>
    </row>
    <row r="9252" spans="2:6">
      <c r="B9252" s="136" t="s">
        <v>218</v>
      </c>
      <c r="C9252" s="132" t="s">
        <v>309</v>
      </c>
      <c r="D9252" s="325">
        <v>1000</v>
      </c>
      <c r="E9252" s="132" t="s">
        <v>285</v>
      </c>
      <c r="F9252" s="1109">
        <v>1</v>
      </c>
    </row>
    <row r="9253" spans="2:6">
      <c r="B9253" s="136" t="s">
        <v>218</v>
      </c>
      <c r="C9253" s="132" t="s">
        <v>309</v>
      </c>
      <c r="D9253" s="325">
        <v>1000</v>
      </c>
      <c r="E9253" s="132" t="s">
        <v>1380</v>
      </c>
      <c r="F9253" s="1109">
        <v>1</v>
      </c>
    </row>
    <row r="9254" spans="2:6">
      <c r="B9254" s="136" t="s">
        <v>218</v>
      </c>
      <c r="C9254" s="132" t="s">
        <v>309</v>
      </c>
      <c r="D9254" s="325">
        <v>1000</v>
      </c>
      <c r="E9254" s="132" t="s">
        <v>281</v>
      </c>
      <c r="F9254" s="1109">
        <v>1</v>
      </c>
    </row>
    <row r="9255" spans="2:6">
      <c r="B9255" s="136" t="s">
        <v>218</v>
      </c>
      <c r="C9255" s="132" t="s">
        <v>309</v>
      </c>
      <c r="D9255" s="325">
        <v>1000</v>
      </c>
      <c r="E9255" s="132" t="s">
        <v>1384</v>
      </c>
      <c r="F9255" s="1109">
        <v>1</v>
      </c>
    </row>
    <row r="9256" spans="2:6">
      <c r="B9256" s="136" t="s">
        <v>218</v>
      </c>
      <c r="C9256" s="132" t="s">
        <v>307</v>
      </c>
      <c r="D9256" s="325">
        <v>1000</v>
      </c>
      <c r="E9256" s="132" t="s">
        <v>282</v>
      </c>
      <c r="F9256" s="1109">
        <v>44.34</v>
      </c>
    </row>
    <row r="9257" spans="2:6">
      <c r="B9257" s="136" t="s">
        <v>218</v>
      </c>
      <c r="C9257" s="132" t="s">
        <v>307</v>
      </c>
      <c r="D9257" s="325">
        <v>1000</v>
      </c>
      <c r="E9257" s="132" t="s">
        <v>283</v>
      </c>
      <c r="F9257" s="1109">
        <v>0.5</v>
      </c>
    </row>
    <row r="9258" spans="2:6">
      <c r="B9258" s="136" t="s">
        <v>218</v>
      </c>
      <c r="C9258" s="132" t="s">
        <v>307</v>
      </c>
      <c r="D9258" s="325">
        <v>1000</v>
      </c>
      <c r="E9258" s="132" t="s">
        <v>284</v>
      </c>
      <c r="F9258" s="1109">
        <v>1</v>
      </c>
    </row>
    <row r="9259" spans="2:6">
      <c r="B9259" s="136" t="s">
        <v>218</v>
      </c>
      <c r="C9259" s="132" t="s">
        <v>307</v>
      </c>
      <c r="D9259" s="325">
        <v>1000</v>
      </c>
      <c r="E9259" s="132" t="s">
        <v>1379</v>
      </c>
      <c r="F9259" s="1109">
        <v>1</v>
      </c>
    </row>
    <row r="9260" spans="2:6">
      <c r="B9260" s="136" t="s">
        <v>218</v>
      </c>
      <c r="C9260" s="132" t="s">
        <v>307</v>
      </c>
      <c r="D9260" s="325">
        <v>1000</v>
      </c>
      <c r="E9260" s="132" t="s">
        <v>285</v>
      </c>
      <c r="F9260" s="1109">
        <v>1</v>
      </c>
    </row>
    <row r="9261" spans="2:6">
      <c r="B9261" s="136" t="s">
        <v>218</v>
      </c>
      <c r="C9261" s="132" t="s">
        <v>307</v>
      </c>
      <c r="D9261" s="325">
        <v>1000</v>
      </c>
      <c r="E9261" s="132" t="s">
        <v>1380</v>
      </c>
      <c r="F9261" s="1109">
        <v>1</v>
      </c>
    </row>
    <row r="9262" spans="2:6">
      <c r="B9262" s="136" t="s">
        <v>218</v>
      </c>
      <c r="C9262" s="132" t="s">
        <v>307</v>
      </c>
      <c r="D9262" s="325">
        <v>1000</v>
      </c>
      <c r="E9262" s="132" t="s">
        <v>281</v>
      </c>
      <c r="F9262" s="1109">
        <v>1</v>
      </c>
    </row>
    <row r="9263" spans="2:6">
      <c r="B9263" s="136" t="s">
        <v>218</v>
      </c>
      <c r="C9263" s="132" t="s">
        <v>307</v>
      </c>
      <c r="D9263" s="325">
        <v>1000</v>
      </c>
      <c r="E9263" s="132" t="s">
        <v>1384</v>
      </c>
      <c r="F9263" s="1109">
        <v>1</v>
      </c>
    </row>
    <row r="9264" spans="2:6">
      <c r="B9264" s="1156" t="s">
        <v>1433</v>
      </c>
      <c r="C9264" s="1157" t="s">
        <v>315</v>
      </c>
      <c r="D9264" s="325">
        <v>1750</v>
      </c>
      <c r="E9264" s="1157" t="s">
        <v>282</v>
      </c>
      <c r="F9264" s="1158">
        <v>0.5</v>
      </c>
    </row>
    <row r="9265" spans="2:6">
      <c r="B9265" s="1156" t="s">
        <v>1433</v>
      </c>
      <c r="C9265" s="1157" t="s">
        <v>315</v>
      </c>
      <c r="D9265" s="325">
        <v>1750</v>
      </c>
      <c r="E9265" s="1157" t="s">
        <v>283</v>
      </c>
      <c r="F9265" s="1158">
        <v>0.5</v>
      </c>
    </row>
    <row r="9266" spans="2:6">
      <c r="B9266" s="1156" t="s">
        <v>1433</v>
      </c>
      <c r="C9266" s="1157" t="s">
        <v>315</v>
      </c>
      <c r="D9266" s="325">
        <v>1750</v>
      </c>
      <c r="E9266" s="1157" t="s">
        <v>284</v>
      </c>
      <c r="F9266" s="1158">
        <v>0.9</v>
      </c>
    </row>
    <row r="9267" spans="2:6">
      <c r="B9267" s="1156" t="s">
        <v>1433</v>
      </c>
      <c r="C9267" s="1157" t="s">
        <v>315</v>
      </c>
      <c r="D9267" s="325">
        <v>1750</v>
      </c>
      <c r="E9267" s="1157" t="s">
        <v>1379</v>
      </c>
      <c r="F9267" s="1158">
        <v>1</v>
      </c>
    </row>
    <row r="9268" spans="2:6">
      <c r="B9268" s="1156" t="s">
        <v>1433</v>
      </c>
      <c r="C9268" s="1157" t="s">
        <v>315</v>
      </c>
      <c r="D9268" s="325">
        <v>1750</v>
      </c>
      <c r="E9268" s="1157" t="s">
        <v>285</v>
      </c>
      <c r="F9268" s="1158">
        <v>0.9</v>
      </c>
    </row>
    <row r="9269" spans="2:6">
      <c r="B9269" s="1156" t="s">
        <v>1433</v>
      </c>
      <c r="C9269" s="1157" t="s">
        <v>315</v>
      </c>
      <c r="D9269" s="325">
        <v>1750</v>
      </c>
      <c r="E9269" s="1157" t="s">
        <v>1380</v>
      </c>
      <c r="F9269" s="1158">
        <v>1</v>
      </c>
    </row>
    <row r="9270" spans="2:6">
      <c r="B9270" s="1156" t="s">
        <v>1433</v>
      </c>
      <c r="C9270" s="1157" t="s">
        <v>315</v>
      </c>
      <c r="D9270" s="325">
        <v>1750</v>
      </c>
      <c r="E9270" s="1157" t="s">
        <v>281</v>
      </c>
      <c r="F9270" s="1158">
        <v>1</v>
      </c>
    </row>
    <row r="9271" spans="2:6">
      <c r="B9271" s="1156" t="s">
        <v>1433</v>
      </c>
      <c r="C9271" s="1157" t="s">
        <v>315</v>
      </c>
      <c r="D9271" s="325">
        <v>1750</v>
      </c>
      <c r="E9271" s="1157" t="s">
        <v>1384</v>
      </c>
      <c r="F9271" s="1158">
        <v>1</v>
      </c>
    </row>
    <row r="9272" spans="2:6">
      <c r="B9272" s="1156" t="s">
        <v>1433</v>
      </c>
      <c r="C9272" s="1157" t="s">
        <v>313</v>
      </c>
      <c r="D9272" s="325">
        <v>1750</v>
      </c>
      <c r="E9272" s="1157" t="s">
        <v>282</v>
      </c>
      <c r="F9272" s="1158">
        <v>0.5</v>
      </c>
    </row>
    <row r="9273" spans="2:6">
      <c r="B9273" s="1156" t="s">
        <v>1433</v>
      </c>
      <c r="C9273" s="1157" t="s">
        <v>313</v>
      </c>
      <c r="D9273" s="325">
        <v>1750</v>
      </c>
      <c r="E9273" s="1157" t="s">
        <v>283</v>
      </c>
      <c r="F9273" s="1158">
        <v>0.5</v>
      </c>
    </row>
    <row r="9274" spans="2:6">
      <c r="B9274" s="1156" t="s">
        <v>1433</v>
      </c>
      <c r="C9274" s="1157" t="s">
        <v>313</v>
      </c>
      <c r="D9274" s="325">
        <v>1750</v>
      </c>
      <c r="E9274" s="1157" t="s">
        <v>284</v>
      </c>
      <c r="F9274" s="1158">
        <v>0.9</v>
      </c>
    </row>
    <row r="9275" spans="2:6">
      <c r="B9275" s="1156" t="s">
        <v>1433</v>
      </c>
      <c r="C9275" s="1157" t="s">
        <v>313</v>
      </c>
      <c r="D9275" s="325">
        <v>1750</v>
      </c>
      <c r="E9275" s="1157" t="s">
        <v>1379</v>
      </c>
      <c r="F9275" s="1158">
        <v>1</v>
      </c>
    </row>
    <row r="9276" spans="2:6">
      <c r="B9276" s="1156" t="s">
        <v>1433</v>
      </c>
      <c r="C9276" s="1157" t="s">
        <v>313</v>
      </c>
      <c r="D9276" s="325">
        <v>1750</v>
      </c>
      <c r="E9276" s="1157" t="s">
        <v>285</v>
      </c>
      <c r="F9276" s="1158">
        <v>0.9</v>
      </c>
    </row>
    <row r="9277" spans="2:6">
      <c r="B9277" s="1156" t="s">
        <v>1433</v>
      </c>
      <c r="C9277" s="1157" t="s">
        <v>313</v>
      </c>
      <c r="D9277" s="325">
        <v>1750</v>
      </c>
      <c r="E9277" s="1157" t="s">
        <v>1380</v>
      </c>
      <c r="F9277" s="1158">
        <v>1</v>
      </c>
    </row>
    <row r="9278" spans="2:6">
      <c r="B9278" s="1156" t="s">
        <v>1433</v>
      </c>
      <c r="C9278" s="1157" t="s">
        <v>313</v>
      </c>
      <c r="D9278" s="325">
        <v>1750</v>
      </c>
      <c r="E9278" s="1157" t="s">
        <v>281</v>
      </c>
      <c r="F9278" s="1158">
        <v>1</v>
      </c>
    </row>
    <row r="9279" spans="2:6">
      <c r="B9279" s="1156" t="s">
        <v>1433</v>
      </c>
      <c r="C9279" s="1157" t="s">
        <v>313</v>
      </c>
      <c r="D9279" s="325">
        <v>1750</v>
      </c>
      <c r="E9279" s="1157" t="s">
        <v>1384</v>
      </c>
      <c r="F9279" s="1158">
        <v>1</v>
      </c>
    </row>
    <row r="9280" spans="2:6">
      <c r="B9280" s="1156" t="s">
        <v>1433</v>
      </c>
      <c r="C9280" s="1157" t="s">
        <v>304</v>
      </c>
      <c r="D9280" s="325" t="s">
        <v>1477</v>
      </c>
      <c r="E9280" s="1157" t="s">
        <v>282</v>
      </c>
      <c r="F9280" s="1158">
        <v>0</v>
      </c>
    </row>
    <row r="9281" spans="2:6">
      <c r="B9281" s="1156" t="s">
        <v>1433</v>
      </c>
      <c r="C9281" s="1157" t="s">
        <v>304</v>
      </c>
      <c r="D9281" s="325" t="s">
        <v>1477</v>
      </c>
      <c r="E9281" s="1157" t="s">
        <v>283</v>
      </c>
      <c r="F9281" s="1158">
        <v>0</v>
      </c>
    </row>
    <row r="9282" spans="2:6">
      <c r="B9282" s="1156" t="s">
        <v>1433</v>
      </c>
      <c r="C9282" s="1157" t="s">
        <v>304</v>
      </c>
      <c r="D9282" s="325" t="s">
        <v>1477</v>
      </c>
      <c r="E9282" s="1157" t="s">
        <v>284</v>
      </c>
      <c r="F9282" s="1158">
        <v>0</v>
      </c>
    </row>
    <row r="9283" spans="2:6">
      <c r="B9283" s="1156" t="s">
        <v>1433</v>
      </c>
      <c r="C9283" s="1157" t="s">
        <v>304</v>
      </c>
      <c r="D9283" s="325" t="s">
        <v>1477</v>
      </c>
      <c r="E9283" s="1157" t="s">
        <v>1379</v>
      </c>
      <c r="F9283" s="1158">
        <v>0</v>
      </c>
    </row>
    <row r="9284" spans="2:6">
      <c r="B9284" s="1156" t="s">
        <v>1433</v>
      </c>
      <c r="C9284" s="1157" t="s">
        <v>304</v>
      </c>
      <c r="D9284" s="325" t="s">
        <v>1477</v>
      </c>
      <c r="E9284" s="1157" t="s">
        <v>285</v>
      </c>
      <c r="F9284" s="1158">
        <v>0</v>
      </c>
    </row>
    <row r="9285" spans="2:6">
      <c r="B9285" s="1156" t="s">
        <v>1433</v>
      </c>
      <c r="C9285" s="1157" t="s">
        <v>304</v>
      </c>
      <c r="D9285" s="325" t="s">
        <v>1477</v>
      </c>
      <c r="E9285" s="1157" t="s">
        <v>1380</v>
      </c>
      <c r="F9285" s="1158">
        <v>0</v>
      </c>
    </row>
    <row r="9286" spans="2:6">
      <c r="B9286" s="1156" t="s">
        <v>1433</v>
      </c>
      <c r="C9286" s="1157" t="s">
        <v>304</v>
      </c>
      <c r="D9286" s="325" t="s">
        <v>1477</v>
      </c>
      <c r="E9286" s="1157" t="s">
        <v>281</v>
      </c>
      <c r="F9286" s="1158">
        <v>0</v>
      </c>
    </row>
    <row r="9287" spans="2:6">
      <c r="B9287" s="1156" t="s">
        <v>1433</v>
      </c>
      <c r="C9287" s="1157" t="s">
        <v>304</v>
      </c>
      <c r="D9287" s="325" t="s">
        <v>1477</v>
      </c>
      <c r="E9287" s="1157" t="s">
        <v>1384</v>
      </c>
      <c r="F9287" s="1158">
        <v>0</v>
      </c>
    </row>
    <row r="9288" spans="2:6">
      <c r="B9288" s="1156" t="s">
        <v>1433</v>
      </c>
      <c r="C9288" s="1157" t="s">
        <v>300</v>
      </c>
      <c r="D9288" s="325" t="s">
        <v>1477</v>
      </c>
      <c r="E9288" s="1157" t="s">
        <v>282</v>
      </c>
      <c r="F9288" s="1158">
        <v>0</v>
      </c>
    </row>
    <row r="9289" spans="2:6">
      <c r="B9289" s="1156" t="s">
        <v>1433</v>
      </c>
      <c r="C9289" s="1157" t="s">
        <v>300</v>
      </c>
      <c r="D9289" s="325" t="s">
        <v>1477</v>
      </c>
      <c r="E9289" s="1157" t="s">
        <v>283</v>
      </c>
      <c r="F9289" s="1158">
        <v>0</v>
      </c>
    </row>
    <row r="9290" spans="2:6">
      <c r="B9290" s="1156" t="s">
        <v>1433</v>
      </c>
      <c r="C9290" s="1157" t="s">
        <v>300</v>
      </c>
      <c r="D9290" s="325" t="s">
        <v>1477</v>
      </c>
      <c r="E9290" s="1157" t="s">
        <v>284</v>
      </c>
      <c r="F9290" s="1158">
        <v>0</v>
      </c>
    </row>
    <row r="9291" spans="2:6">
      <c r="B9291" s="1156" t="s">
        <v>1433</v>
      </c>
      <c r="C9291" s="1157" t="s">
        <v>300</v>
      </c>
      <c r="D9291" s="325" t="s">
        <v>1477</v>
      </c>
      <c r="E9291" s="1157" t="s">
        <v>1379</v>
      </c>
      <c r="F9291" s="1158">
        <v>0</v>
      </c>
    </row>
    <row r="9292" spans="2:6">
      <c r="B9292" s="1156" t="s">
        <v>1433</v>
      </c>
      <c r="C9292" s="1157" t="s">
        <v>300</v>
      </c>
      <c r="D9292" s="325" t="s">
        <v>1477</v>
      </c>
      <c r="E9292" s="1157" t="s">
        <v>285</v>
      </c>
      <c r="F9292" s="1158">
        <v>0</v>
      </c>
    </row>
    <row r="9293" spans="2:6">
      <c r="B9293" s="1156" t="s">
        <v>1433</v>
      </c>
      <c r="C9293" s="1157" t="s">
        <v>300</v>
      </c>
      <c r="D9293" s="325" t="s">
        <v>1477</v>
      </c>
      <c r="E9293" s="1157" t="s">
        <v>1380</v>
      </c>
      <c r="F9293" s="1158">
        <v>0</v>
      </c>
    </row>
    <row r="9294" spans="2:6">
      <c r="B9294" s="1156" t="s">
        <v>1433</v>
      </c>
      <c r="C9294" s="1157" t="s">
        <v>300</v>
      </c>
      <c r="D9294" s="325" t="s">
        <v>1477</v>
      </c>
      <c r="E9294" s="1157" t="s">
        <v>281</v>
      </c>
      <c r="F9294" s="1158">
        <v>0</v>
      </c>
    </row>
    <row r="9295" spans="2:6">
      <c r="B9295" s="1156" t="s">
        <v>1433</v>
      </c>
      <c r="C9295" s="1157" t="s">
        <v>300</v>
      </c>
      <c r="D9295" s="325" t="s">
        <v>1477</v>
      </c>
      <c r="E9295" s="1157" t="s">
        <v>1384</v>
      </c>
      <c r="F9295" s="1158">
        <v>0</v>
      </c>
    </row>
    <row r="9296" spans="2:6">
      <c r="B9296" s="1156" t="s">
        <v>1433</v>
      </c>
      <c r="C9296" s="1157" t="s">
        <v>302</v>
      </c>
      <c r="D9296" s="325" t="s">
        <v>1477</v>
      </c>
      <c r="E9296" s="1157" t="s">
        <v>282</v>
      </c>
      <c r="F9296" s="1158">
        <v>0</v>
      </c>
    </row>
    <row r="9297" spans="2:6">
      <c r="B9297" s="1156" t="s">
        <v>1433</v>
      </c>
      <c r="C9297" s="1157" t="s">
        <v>302</v>
      </c>
      <c r="D9297" s="325" t="s">
        <v>1477</v>
      </c>
      <c r="E9297" s="1157" t="s">
        <v>283</v>
      </c>
      <c r="F9297" s="1158">
        <v>0</v>
      </c>
    </row>
    <row r="9298" spans="2:6">
      <c r="B9298" s="1156" t="s">
        <v>1433</v>
      </c>
      <c r="C9298" s="1157" t="s">
        <v>302</v>
      </c>
      <c r="D9298" s="325" t="s">
        <v>1477</v>
      </c>
      <c r="E9298" s="1157" t="s">
        <v>284</v>
      </c>
      <c r="F9298" s="1158">
        <v>0</v>
      </c>
    </row>
    <row r="9299" spans="2:6">
      <c r="B9299" s="1156" t="s">
        <v>1433</v>
      </c>
      <c r="C9299" s="1157" t="s">
        <v>302</v>
      </c>
      <c r="D9299" s="325" t="s">
        <v>1477</v>
      </c>
      <c r="E9299" s="1157" t="s">
        <v>1379</v>
      </c>
      <c r="F9299" s="1158">
        <v>0</v>
      </c>
    </row>
    <row r="9300" spans="2:6">
      <c r="B9300" s="1156" t="s">
        <v>1433</v>
      </c>
      <c r="C9300" s="1157" t="s">
        <v>302</v>
      </c>
      <c r="D9300" s="325" t="s">
        <v>1477</v>
      </c>
      <c r="E9300" s="1157" t="s">
        <v>285</v>
      </c>
      <c r="F9300" s="1158">
        <v>0</v>
      </c>
    </row>
    <row r="9301" spans="2:6">
      <c r="B9301" s="1156" t="s">
        <v>1433</v>
      </c>
      <c r="C9301" s="1157" t="s">
        <v>302</v>
      </c>
      <c r="D9301" s="325" t="s">
        <v>1477</v>
      </c>
      <c r="E9301" s="1157" t="s">
        <v>1380</v>
      </c>
      <c r="F9301" s="1158">
        <v>0</v>
      </c>
    </row>
    <row r="9302" spans="2:6">
      <c r="B9302" s="1156" t="s">
        <v>1433</v>
      </c>
      <c r="C9302" s="1157" t="s">
        <v>302</v>
      </c>
      <c r="D9302" s="325" t="s">
        <v>1477</v>
      </c>
      <c r="E9302" s="1157" t="s">
        <v>281</v>
      </c>
      <c r="F9302" s="1158">
        <v>0</v>
      </c>
    </row>
    <row r="9303" spans="2:6">
      <c r="B9303" s="1156" t="s">
        <v>1433</v>
      </c>
      <c r="C9303" s="1157" t="s">
        <v>302</v>
      </c>
      <c r="D9303" s="325" t="s">
        <v>1477</v>
      </c>
      <c r="E9303" s="1157" t="s">
        <v>1384</v>
      </c>
      <c r="F9303" s="1158">
        <v>0</v>
      </c>
    </row>
    <row r="9304" spans="2:6">
      <c r="B9304" s="1156" t="s">
        <v>1433</v>
      </c>
      <c r="C9304" s="1157" t="s">
        <v>308</v>
      </c>
      <c r="D9304" s="325">
        <v>1750</v>
      </c>
      <c r="E9304" s="1157" t="s">
        <v>282</v>
      </c>
      <c r="F9304" s="1158">
        <v>0.5</v>
      </c>
    </row>
    <row r="9305" spans="2:6">
      <c r="B9305" s="1156" t="s">
        <v>1433</v>
      </c>
      <c r="C9305" s="1157" t="s">
        <v>308</v>
      </c>
      <c r="D9305" s="325">
        <v>1750</v>
      </c>
      <c r="E9305" s="1157" t="s">
        <v>283</v>
      </c>
      <c r="F9305" s="1158">
        <v>0.5</v>
      </c>
    </row>
    <row r="9306" spans="2:6">
      <c r="B9306" s="1156" t="s">
        <v>1433</v>
      </c>
      <c r="C9306" s="1157" t="s">
        <v>308</v>
      </c>
      <c r="D9306" s="325">
        <v>1750</v>
      </c>
      <c r="E9306" s="1157" t="s">
        <v>284</v>
      </c>
      <c r="F9306" s="1158">
        <v>0.9</v>
      </c>
    </row>
    <row r="9307" spans="2:6">
      <c r="B9307" s="1156" t="s">
        <v>1433</v>
      </c>
      <c r="C9307" s="1157" t="s">
        <v>308</v>
      </c>
      <c r="D9307" s="325">
        <v>1750</v>
      </c>
      <c r="E9307" s="1157" t="s">
        <v>1379</v>
      </c>
      <c r="F9307" s="1158">
        <v>1</v>
      </c>
    </row>
    <row r="9308" spans="2:6">
      <c r="B9308" s="1156" t="s">
        <v>1433</v>
      </c>
      <c r="C9308" s="1157" t="s">
        <v>308</v>
      </c>
      <c r="D9308" s="325">
        <v>1750</v>
      </c>
      <c r="E9308" s="1157" t="s">
        <v>285</v>
      </c>
      <c r="F9308" s="1158">
        <v>0.9</v>
      </c>
    </row>
    <row r="9309" spans="2:6">
      <c r="B9309" s="1156" t="s">
        <v>1433</v>
      </c>
      <c r="C9309" s="1157" t="s">
        <v>308</v>
      </c>
      <c r="D9309" s="325">
        <v>1750</v>
      </c>
      <c r="E9309" s="1157" t="s">
        <v>1380</v>
      </c>
      <c r="F9309" s="1158">
        <v>1</v>
      </c>
    </row>
    <row r="9310" spans="2:6">
      <c r="B9310" s="1156" t="s">
        <v>1433</v>
      </c>
      <c r="C9310" s="1157" t="s">
        <v>308</v>
      </c>
      <c r="D9310" s="325">
        <v>1750</v>
      </c>
      <c r="E9310" s="1157" t="s">
        <v>281</v>
      </c>
      <c r="F9310" s="1158">
        <v>1</v>
      </c>
    </row>
    <row r="9311" spans="2:6">
      <c r="B9311" s="1156" t="s">
        <v>1433</v>
      </c>
      <c r="C9311" s="1157" t="s">
        <v>308</v>
      </c>
      <c r="D9311" s="325">
        <v>1750</v>
      </c>
      <c r="E9311" s="1157" t="s">
        <v>1384</v>
      </c>
      <c r="F9311" s="1158">
        <v>1</v>
      </c>
    </row>
    <row r="9312" spans="2:6">
      <c r="B9312" s="1156" t="s">
        <v>1433</v>
      </c>
      <c r="C9312" s="1157" t="s">
        <v>306</v>
      </c>
      <c r="D9312" s="325" t="s">
        <v>1477</v>
      </c>
      <c r="E9312" s="1157" t="s">
        <v>282</v>
      </c>
      <c r="F9312" s="1158">
        <v>0</v>
      </c>
    </row>
    <row r="9313" spans="2:6">
      <c r="B9313" s="1156" t="s">
        <v>1433</v>
      </c>
      <c r="C9313" s="1157" t="s">
        <v>306</v>
      </c>
      <c r="D9313" s="325" t="s">
        <v>1477</v>
      </c>
      <c r="E9313" s="1157" t="s">
        <v>283</v>
      </c>
      <c r="F9313" s="1158">
        <v>0</v>
      </c>
    </row>
    <row r="9314" spans="2:6">
      <c r="B9314" s="1156" t="s">
        <v>1433</v>
      </c>
      <c r="C9314" s="1157" t="s">
        <v>306</v>
      </c>
      <c r="D9314" s="325" t="s">
        <v>1477</v>
      </c>
      <c r="E9314" s="1157" t="s">
        <v>284</v>
      </c>
      <c r="F9314" s="1158">
        <v>0</v>
      </c>
    </row>
    <row r="9315" spans="2:6">
      <c r="B9315" s="1156" t="s">
        <v>1433</v>
      </c>
      <c r="C9315" s="1157" t="s">
        <v>306</v>
      </c>
      <c r="D9315" s="325" t="s">
        <v>1477</v>
      </c>
      <c r="E9315" s="1157" t="s">
        <v>1379</v>
      </c>
      <c r="F9315" s="1158">
        <v>0</v>
      </c>
    </row>
    <row r="9316" spans="2:6">
      <c r="B9316" s="1156" t="s">
        <v>1433</v>
      </c>
      <c r="C9316" s="1157" t="s">
        <v>306</v>
      </c>
      <c r="D9316" s="325" t="s">
        <v>1477</v>
      </c>
      <c r="E9316" s="1157" t="s">
        <v>285</v>
      </c>
      <c r="F9316" s="1158">
        <v>0</v>
      </c>
    </row>
    <row r="9317" spans="2:6">
      <c r="B9317" s="1156" t="s">
        <v>1433</v>
      </c>
      <c r="C9317" s="1157" t="s">
        <v>306</v>
      </c>
      <c r="D9317" s="325" t="s">
        <v>1477</v>
      </c>
      <c r="E9317" s="1157" t="s">
        <v>1380</v>
      </c>
      <c r="F9317" s="1158">
        <v>0</v>
      </c>
    </row>
    <row r="9318" spans="2:6">
      <c r="B9318" s="1156" t="s">
        <v>1433</v>
      </c>
      <c r="C9318" s="1157" t="s">
        <v>306</v>
      </c>
      <c r="D9318" s="325" t="s">
        <v>1477</v>
      </c>
      <c r="E9318" s="1157" t="s">
        <v>281</v>
      </c>
      <c r="F9318" s="1158">
        <v>0</v>
      </c>
    </row>
    <row r="9319" spans="2:6">
      <c r="B9319" s="1156" t="s">
        <v>1433</v>
      </c>
      <c r="C9319" s="1157" t="s">
        <v>306</v>
      </c>
      <c r="D9319" s="325" t="s">
        <v>1477</v>
      </c>
      <c r="E9319" s="1157" t="s">
        <v>1384</v>
      </c>
      <c r="F9319" s="1158">
        <v>0</v>
      </c>
    </row>
    <row r="9320" spans="2:6">
      <c r="B9320" s="1156" t="s">
        <v>1433</v>
      </c>
      <c r="C9320" s="1157" t="s">
        <v>311</v>
      </c>
      <c r="D9320" s="325">
        <v>1750</v>
      </c>
      <c r="E9320" s="1157" t="s">
        <v>282</v>
      </c>
      <c r="F9320" s="1158">
        <v>0.5</v>
      </c>
    </row>
    <row r="9321" spans="2:6">
      <c r="B9321" s="1156" t="s">
        <v>1433</v>
      </c>
      <c r="C9321" s="1157" t="s">
        <v>311</v>
      </c>
      <c r="D9321" s="325">
        <v>1750</v>
      </c>
      <c r="E9321" s="1157" t="s">
        <v>283</v>
      </c>
      <c r="F9321" s="1158">
        <v>0.5</v>
      </c>
    </row>
    <row r="9322" spans="2:6">
      <c r="B9322" s="1156" t="s">
        <v>1433</v>
      </c>
      <c r="C9322" s="1157" t="s">
        <v>311</v>
      </c>
      <c r="D9322" s="325">
        <v>1750</v>
      </c>
      <c r="E9322" s="1157" t="s">
        <v>284</v>
      </c>
      <c r="F9322" s="1158">
        <v>0.9</v>
      </c>
    </row>
    <row r="9323" spans="2:6">
      <c r="B9323" s="1156" t="s">
        <v>1433</v>
      </c>
      <c r="C9323" s="1157" t="s">
        <v>311</v>
      </c>
      <c r="D9323" s="325">
        <v>1750</v>
      </c>
      <c r="E9323" s="1157" t="s">
        <v>1379</v>
      </c>
      <c r="F9323" s="1158">
        <v>1</v>
      </c>
    </row>
    <row r="9324" spans="2:6">
      <c r="B9324" s="1156" t="s">
        <v>1433</v>
      </c>
      <c r="C9324" s="1157" t="s">
        <v>311</v>
      </c>
      <c r="D9324" s="325">
        <v>1750</v>
      </c>
      <c r="E9324" s="1157" t="s">
        <v>285</v>
      </c>
      <c r="F9324" s="1158">
        <v>0.9</v>
      </c>
    </row>
    <row r="9325" spans="2:6">
      <c r="B9325" s="1156" t="s">
        <v>1433</v>
      </c>
      <c r="C9325" s="1157" t="s">
        <v>311</v>
      </c>
      <c r="D9325" s="325">
        <v>1750</v>
      </c>
      <c r="E9325" s="1157" t="s">
        <v>1380</v>
      </c>
      <c r="F9325" s="1158">
        <v>1</v>
      </c>
    </row>
    <row r="9326" spans="2:6">
      <c r="B9326" s="1156" t="s">
        <v>1433</v>
      </c>
      <c r="C9326" s="1157" t="s">
        <v>311</v>
      </c>
      <c r="D9326" s="325">
        <v>1750</v>
      </c>
      <c r="E9326" s="1157" t="s">
        <v>281</v>
      </c>
      <c r="F9326" s="1158">
        <v>1</v>
      </c>
    </row>
    <row r="9327" spans="2:6">
      <c r="B9327" s="1156" t="s">
        <v>1433</v>
      </c>
      <c r="C9327" s="1157" t="s">
        <v>311</v>
      </c>
      <c r="D9327" s="325">
        <v>1750</v>
      </c>
      <c r="E9327" s="1157" t="s">
        <v>1384</v>
      </c>
      <c r="F9327" s="1158">
        <v>1</v>
      </c>
    </row>
    <row r="9328" spans="2:6">
      <c r="B9328" s="1156" t="s">
        <v>1433</v>
      </c>
      <c r="C9328" s="1157" t="s">
        <v>309</v>
      </c>
      <c r="D9328" s="325">
        <v>1750</v>
      </c>
      <c r="E9328" s="1157" t="s">
        <v>282</v>
      </c>
      <c r="F9328" s="1158">
        <v>0.5</v>
      </c>
    </row>
    <row r="9329" spans="2:6">
      <c r="B9329" s="1156" t="s">
        <v>1433</v>
      </c>
      <c r="C9329" s="1157" t="s">
        <v>309</v>
      </c>
      <c r="D9329" s="325">
        <v>1750</v>
      </c>
      <c r="E9329" s="1157" t="s">
        <v>283</v>
      </c>
      <c r="F9329" s="1158">
        <v>0.5</v>
      </c>
    </row>
    <row r="9330" spans="2:6">
      <c r="B9330" s="1156" t="s">
        <v>1433</v>
      </c>
      <c r="C9330" s="1157" t="s">
        <v>309</v>
      </c>
      <c r="D9330" s="325">
        <v>1750</v>
      </c>
      <c r="E9330" s="1157" t="s">
        <v>284</v>
      </c>
      <c r="F9330" s="1158">
        <v>0.9</v>
      </c>
    </row>
    <row r="9331" spans="2:6">
      <c r="B9331" s="1156" t="s">
        <v>1433</v>
      </c>
      <c r="C9331" s="1157" t="s">
        <v>309</v>
      </c>
      <c r="D9331" s="325">
        <v>1750</v>
      </c>
      <c r="E9331" s="1157" t="s">
        <v>1379</v>
      </c>
      <c r="F9331" s="1158">
        <v>1</v>
      </c>
    </row>
    <row r="9332" spans="2:6">
      <c r="B9332" s="1156" t="s">
        <v>1433</v>
      </c>
      <c r="C9332" s="1157" t="s">
        <v>309</v>
      </c>
      <c r="D9332" s="325">
        <v>1750</v>
      </c>
      <c r="E9332" s="1157" t="s">
        <v>285</v>
      </c>
      <c r="F9332" s="1158">
        <v>0.9</v>
      </c>
    </row>
    <row r="9333" spans="2:6">
      <c r="B9333" s="1156" t="s">
        <v>1433</v>
      </c>
      <c r="C9333" s="1157" t="s">
        <v>309</v>
      </c>
      <c r="D9333" s="325">
        <v>1750</v>
      </c>
      <c r="E9333" s="1157" t="s">
        <v>1380</v>
      </c>
      <c r="F9333" s="1158">
        <v>1</v>
      </c>
    </row>
    <row r="9334" spans="2:6">
      <c r="B9334" s="1156" t="s">
        <v>1433</v>
      </c>
      <c r="C9334" s="1157" t="s">
        <v>309</v>
      </c>
      <c r="D9334" s="325">
        <v>1750</v>
      </c>
      <c r="E9334" s="1157" t="s">
        <v>281</v>
      </c>
      <c r="F9334" s="1158">
        <v>1</v>
      </c>
    </row>
    <row r="9335" spans="2:6">
      <c r="B9335" s="1156" t="s">
        <v>1433</v>
      </c>
      <c r="C9335" s="1157" t="s">
        <v>309</v>
      </c>
      <c r="D9335" s="325">
        <v>1750</v>
      </c>
      <c r="E9335" s="1157" t="s">
        <v>1384</v>
      </c>
      <c r="F9335" s="1158">
        <v>1</v>
      </c>
    </row>
    <row r="9336" spans="2:6">
      <c r="B9336" s="1156" t="s">
        <v>1433</v>
      </c>
      <c r="C9336" s="1157" t="s">
        <v>307</v>
      </c>
      <c r="D9336" s="325">
        <v>1750</v>
      </c>
      <c r="E9336" s="1157" t="s">
        <v>282</v>
      </c>
      <c r="F9336" s="1158">
        <v>0.5</v>
      </c>
    </row>
    <row r="9337" spans="2:6">
      <c r="B9337" s="1156" t="s">
        <v>1433</v>
      </c>
      <c r="C9337" s="1157" t="s">
        <v>307</v>
      </c>
      <c r="D9337" s="325">
        <v>1750</v>
      </c>
      <c r="E9337" s="1157" t="s">
        <v>283</v>
      </c>
      <c r="F9337" s="1158">
        <v>0.5</v>
      </c>
    </row>
    <row r="9338" spans="2:6">
      <c r="B9338" s="1156" t="s">
        <v>1433</v>
      </c>
      <c r="C9338" s="1157" t="s">
        <v>307</v>
      </c>
      <c r="D9338" s="325">
        <v>1750</v>
      </c>
      <c r="E9338" s="1157" t="s">
        <v>284</v>
      </c>
      <c r="F9338" s="1158">
        <v>0.9</v>
      </c>
    </row>
    <row r="9339" spans="2:6">
      <c r="B9339" s="1156" t="s">
        <v>1433</v>
      </c>
      <c r="C9339" s="1157" t="s">
        <v>307</v>
      </c>
      <c r="D9339" s="325">
        <v>1750</v>
      </c>
      <c r="E9339" s="1157" t="s">
        <v>1379</v>
      </c>
      <c r="F9339" s="1158">
        <v>1</v>
      </c>
    </row>
    <row r="9340" spans="2:6">
      <c r="B9340" s="1156" t="s">
        <v>1433</v>
      </c>
      <c r="C9340" s="1157" t="s">
        <v>307</v>
      </c>
      <c r="D9340" s="325">
        <v>1750</v>
      </c>
      <c r="E9340" s="1157" t="s">
        <v>285</v>
      </c>
      <c r="F9340" s="1158">
        <v>0.9</v>
      </c>
    </row>
    <row r="9341" spans="2:6">
      <c r="B9341" s="1156" t="s">
        <v>1433</v>
      </c>
      <c r="C9341" s="1157" t="s">
        <v>307</v>
      </c>
      <c r="D9341" s="325">
        <v>1750</v>
      </c>
      <c r="E9341" s="1157" t="s">
        <v>1380</v>
      </c>
      <c r="F9341" s="1158">
        <v>1</v>
      </c>
    </row>
    <row r="9342" spans="2:6">
      <c r="B9342" s="1156" t="s">
        <v>1433</v>
      </c>
      <c r="C9342" s="1157" t="s">
        <v>307</v>
      </c>
      <c r="D9342" s="325">
        <v>1750</v>
      </c>
      <c r="E9342" s="1157" t="s">
        <v>281</v>
      </c>
      <c r="F9342" s="1158">
        <v>1</v>
      </c>
    </row>
    <row r="9343" spans="2:6">
      <c r="B9343" s="1156" t="s">
        <v>1433</v>
      </c>
      <c r="C9343" s="1157" t="s">
        <v>307</v>
      </c>
      <c r="D9343" s="325">
        <v>1750</v>
      </c>
      <c r="E9343" s="1157" t="s">
        <v>1384</v>
      </c>
      <c r="F9343" s="1158">
        <v>1</v>
      </c>
    </row>
    <row r="9344" spans="2:6">
      <c r="B9344" s="271" t="s">
        <v>365</v>
      </c>
      <c r="C9344" s="325" t="s">
        <v>315</v>
      </c>
      <c r="D9344" s="325" t="s">
        <v>1477</v>
      </c>
      <c r="E9344" s="325" t="s">
        <v>282</v>
      </c>
      <c r="F9344" s="281">
        <v>0</v>
      </c>
    </row>
    <row r="9345" spans="2:6">
      <c r="B9345" s="271" t="s">
        <v>365</v>
      </c>
      <c r="C9345" s="325" t="s">
        <v>315</v>
      </c>
      <c r="D9345" s="325" t="s">
        <v>1477</v>
      </c>
      <c r="E9345" s="325" t="s">
        <v>283</v>
      </c>
      <c r="F9345" s="281">
        <v>0</v>
      </c>
    </row>
    <row r="9346" spans="2:6">
      <c r="B9346" s="271" t="s">
        <v>365</v>
      </c>
      <c r="C9346" s="325" t="s">
        <v>315</v>
      </c>
      <c r="D9346" s="325" t="s">
        <v>1477</v>
      </c>
      <c r="E9346" s="325" t="s">
        <v>284</v>
      </c>
      <c r="F9346" s="281">
        <v>0</v>
      </c>
    </row>
    <row r="9347" spans="2:6">
      <c r="B9347" s="271" t="s">
        <v>365</v>
      </c>
      <c r="C9347" s="325" t="s">
        <v>315</v>
      </c>
      <c r="D9347" s="325" t="s">
        <v>1477</v>
      </c>
      <c r="E9347" s="325" t="s">
        <v>1379</v>
      </c>
      <c r="F9347" s="281">
        <v>0</v>
      </c>
    </row>
    <row r="9348" spans="2:6">
      <c r="B9348" s="271" t="s">
        <v>365</v>
      </c>
      <c r="C9348" s="325" t="s">
        <v>315</v>
      </c>
      <c r="D9348" s="325" t="s">
        <v>1477</v>
      </c>
      <c r="E9348" s="325" t="s">
        <v>285</v>
      </c>
      <c r="F9348" s="281">
        <v>0</v>
      </c>
    </row>
    <row r="9349" spans="2:6">
      <c r="B9349" s="271" t="s">
        <v>365</v>
      </c>
      <c r="C9349" s="325" t="s">
        <v>315</v>
      </c>
      <c r="D9349" s="325" t="s">
        <v>1477</v>
      </c>
      <c r="E9349" s="325" t="s">
        <v>1380</v>
      </c>
      <c r="F9349" s="281">
        <v>0</v>
      </c>
    </row>
    <row r="9350" spans="2:6">
      <c r="B9350" s="271" t="s">
        <v>365</v>
      </c>
      <c r="C9350" s="325" t="s">
        <v>315</v>
      </c>
      <c r="D9350" s="325" t="s">
        <v>1477</v>
      </c>
      <c r="E9350" s="325" t="s">
        <v>281</v>
      </c>
      <c r="F9350" s="281">
        <v>0</v>
      </c>
    </row>
    <row r="9351" spans="2:6">
      <c r="B9351" s="271" t="s">
        <v>365</v>
      </c>
      <c r="C9351" s="325" t="s">
        <v>315</v>
      </c>
      <c r="D9351" s="325" t="s">
        <v>1477</v>
      </c>
      <c r="E9351" s="325" t="s">
        <v>1384</v>
      </c>
      <c r="F9351" s="281">
        <v>0</v>
      </c>
    </row>
    <row r="9352" spans="2:6">
      <c r="B9352" s="271" t="s">
        <v>365</v>
      </c>
      <c r="C9352" s="325" t="s">
        <v>313</v>
      </c>
      <c r="D9352" s="325" t="s">
        <v>1477</v>
      </c>
      <c r="E9352" s="325" t="s">
        <v>282</v>
      </c>
      <c r="F9352" s="281">
        <v>0</v>
      </c>
    </row>
    <row r="9353" spans="2:6">
      <c r="B9353" s="271" t="s">
        <v>365</v>
      </c>
      <c r="C9353" s="325" t="s">
        <v>313</v>
      </c>
      <c r="D9353" s="325" t="s">
        <v>1477</v>
      </c>
      <c r="E9353" s="325" t="s">
        <v>283</v>
      </c>
      <c r="F9353" s="281">
        <v>0</v>
      </c>
    </row>
    <row r="9354" spans="2:6">
      <c r="B9354" s="271" t="s">
        <v>365</v>
      </c>
      <c r="C9354" s="325" t="s">
        <v>313</v>
      </c>
      <c r="D9354" s="325" t="s">
        <v>1477</v>
      </c>
      <c r="E9354" s="325" t="s">
        <v>284</v>
      </c>
      <c r="F9354" s="281">
        <v>0</v>
      </c>
    </row>
    <row r="9355" spans="2:6">
      <c r="B9355" s="271" t="s">
        <v>365</v>
      </c>
      <c r="C9355" s="325" t="s">
        <v>313</v>
      </c>
      <c r="D9355" s="325" t="s">
        <v>1477</v>
      </c>
      <c r="E9355" s="325" t="s">
        <v>1379</v>
      </c>
      <c r="F9355" s="281">
        <v>0</v>
      </c>
    </row>
    <row r="9356" spans="2:6">
      <c r="B9356" s="271" t="s">
        <v>365</v>
      </c>
      <c r="C9356" s="325" t="s">
        <v>313</v>
      </c>
      <c r="D9356" s="325" t="s">
        <v>1477</v>
      </c>
      <c r="E9356" s="325" t="s">
        <v>285</v>
      </c>
      <c r="F9356" s="281">
        <v>0</v>
      </c>
    </row>
    <row r="9357" spans="2:6">
      <c r="B9357" s="271" t="s">
        <v>365</v>
      </c>
      <c r="C9357" s="325" t="s">
        <v>313</v>
      </c>
      <c r="D9357" s="325" t="s">
        <v>1477</v>
      </c>
      <c r="E9357" s="325" t="s">
        <v>1380</v>
      </c>
      <c r="F9357" s="281">
        <v>0</v>
      </c>
    </row>
    <row r="9358" spans="2:6">
      <c r="B9358" s="271" t="s">
        <v>365</v>
      </c>
      <c r="C9358" s="325" t="s">
        <v>313</v>
      </c>
      <c r="D9358" s="325" t="s">
        <v>1477</v>
      </c>
      <c r="E9358" s="325" t="s">
        <v>281</v>
      </c>
      <c r="F9358" s="281">
        <v>0</v>
      </c>
    </row>
    <row r="9359" spans="2:6">
      <c r="B9359" s="271" t="s">
        <v>365</v>
      </c>
      <c r="C9359" s="325" t="s">
        <v>313</v>
      </c>
      <c r="D9359" s="325" t="s">
        <v>1477</v>
      </c>
      <c r="E9359" s="325" t="s">
        <v>1384</v>
      </c>
      <c r="F9359" s="281">
        <v>0</v>
      </c>
    </row>
    <row r="9360" spans="2:6">
      <c r="B9360" s="136" t="s">
        <v>365</v>
      </c>
      <c r="C9360" s="132" t="s">
        <v>304</v>
      </c>
      <c r="D9360" s="1111">
        <v>373</v>
      </c>
      <c r="E9360" s="132" t="s">
        <v>282</v>
      </c>
      <c r="F9360" s="1109">
        <v>1</v>
      </c>
    </row>
    <row r="9361" spans="2:6">
      <c r="B9361" s="136" t="s">
        <v>365</v>
      </c>
      <c r="C9361" s="132" t="s">
        <v>304</v>
      </c>
      <c r="D9361" s="1111">
        <v>373</v>
      </c>
      <c r="E9361" s="132" t="s">
        <v>283</v>
      </c>
      <c r="F9361" s="1109">
        <v>1</v>
      </c>
    </row>
    <row r="9362" spans="2:6">
      <c r="B9362" s="136" t="s">
        <v>365</v>
      </c>
      <c r="C9362" s="132" t="s">
        <v>304</v>
      </c>
      <c r="D9362" s="1111">
        <v>373</v>
      </c>
      <c r="E9362" s="132" t="s">
        <v>284</v>
      </c>
      <c r="F9362" s="1109">
        <v>1</v>
      </c>
    </row>
    <row r="9363" spans="2:6">
      <c r="B9363" s="136" t="s">
        <v>365</v>
      </c>
      <c r="C9363" s="132" t="s">
        <v>304</v>
      </c>
      <c r="D9363" s="1111">
        <v>373</v>
      </c>
      <c r="E9363" s="132" t="s">
        <v>1379</v>
      </c>
      <c r="F9363" s="1109">
        <v>1</v>
      </c>
    </row>
    <row r="9364" spans="2:6">
      <c r="B9364" s="136" t="s">
        <v>365</v>
      </c>
      <c r="C9364" s="132" t="s">
        <v>304</v>
      </c>
      <c r="D9364" s="1111">
        <v>373</v>
      </c>
      <c r="E9364" s="132" t="s">
        <v>285</v>
      </c>
      <c r="F9364" s="1109">
        <v>1</v>
      </c>
    </row>
    <row r="9365" spans="2:6">
      <c r="B9365" s="136" t="s">
        <v>365</v>
      </c>
      <c r="C9365" s="132" t="s">
        <v>304</v>
      </c>
      <c r="D9365" s="1111">
        <v>373</v>
      </c>
      <c r="E9365" s="132" t="s">
        <v>1380</v>
      </c>
      <c r="F9365" s="1109">
        <v>1</v>
      </c>
    </row>
    <row r="9366" spans="2:6">
      <c r="B9366" s="136" t="s">
        <v>365</v>
      </c>
      <c r="C9366" s="132" t="s">
        <v>304</v>
      </c>
      <c r="D9366" s="1111">
        <v>373</v>
      </c>
      <c r="E9366" s="132" t="s">
        <v>281</v>
      </c>
      <c r="F9366" s="1109">
        <v>1</v>
      </c>
    </row>
    <row r="9367" spans="2:6">
      <c r="B9367" s="136" t="s">
        <v>365</v>
      </c>
      <c r="C9367" s="132" t="s">
        <v>304</v>
      </c>
      <c r="D9367" s="1111">
        <v>373</v>
      </c>
      <c r="E9367" s="132" t="s">
        <v>1384</v>
      </c>
      <c r="F9367" s="1109">
        <v>0.85</v>
      </c>
    </row>
    <row r="9368" spans="2:6">
      <c r="B9368" s="136" t="s">
        <v>365</v>
      </c>
      <c r="C9368" s="132" t="s">
        <v>300</v>
      </c>
      <c r="D9368" s="325" t="s">
        <v>800</v>
      </c>
      <c r="E9368" s="132" t="s">
        <v>282</v>
      </c>
      <c r="F9368" s="1109">
        <v>1</v>
      </c>
    </row>
    <row r="9369" spans="2:6">
      <c r="B9369" s="136" t="s">
        <v>365</v>
      </c>
      <c r="C9369" s="132" t="s">
        <v>300</v>
      </c>
      <c r="D9369" s="325" t="s">
        <v>800</v>
      </c>
      <c r="E9369" s="132" t="s">
        <v>283</v>
      </c>
      <c r="F9369" s="1109">
        <v>1</v>
      </c>
    </row>
    <row r="9370" spans="2:6">
      <c r="B9370" s="136" t="s">
        <v>365</v>
      </c>
      <c r="C9370" s="132" t="s">
        <v>300</v>
      </c>
      <c r="D9370" s="325" t="s">
        <v>800</v>
      </c>
      <c r="E9370" s="132" t="s">
        <v>284</v>
      </c>
      <c r="F9370" s="1109">
        <v>1</v>
      </c>
    </row>
    <row r="9371" spans="2:6">
      <c r="B9371" s="136" t="s">
        <v>365</v>
      </c>
      <c r="C9371" s="132" t="s">
        <v>300</v>
      </c>
      <c r="D9371" s="325" t="s">
        <v>800</v>
      </c>
      <c r="E9371" s="132" t="s">
        <v>1379</v>
      </c>
      <c r="F9371" s="1109">
        <v>1</v>
      </c>
    </row>
    <row r="9372" spans="2:6">
      <c r="B9372" s="136" t="s">
        <v>365</v>
      </c>
      <c r="C9372" s="132" t="s">
        <v>300</v>
      </c>
      <c r="D9372" s="325" t="s">
        <v>800</v>
      </c>
      <c r="E9372" s="132" t="s">
        <v>285</v>
      </c>
      <c r="F9372" s="1109">
        <v>1</v>
      </c>
    </row>
    <row r="9373" spans="2:6">
      <c r="B9373" s="136" t="s">
        <v>365</v>
      </c>
      <c r="C9373" s="132" t="s">
        <v>300</v>
      </c>
      <c r="D9373" s="325" t="s">
        <v>800</v>
      </c>
      <c r="E9373" s="132" t="s">
        <v>1380</v>
      </c>
      <c r="F9373" s="1109">
        <v>1</v>
      </c>
    </row>
    <row r="9374" spans="2:6">
      <c r="B9374" s="136" t="s">
        <v>365</v>
      </c>
      <c r="C9374" s="132" t="s">
        <v>300</v>
      </c>
      <c r="D9374" s="325" t="s">
        <v>800</v>
      </c>
      <c r="E9374" s="132" t="s">
        <v>281</v>
      </c>
      <c r="F9374" s="1109">
        <v>1</v>
      </c>
    </row>
    <row r="9375" spans="2:6">
      <c r="B9375" s="136" t="s">
        <v>365</v>
      </c>
      <c r="C9375" s="132" t="s">
        <v>300</v>
      </c>
      <c r="D9375" s="325" t="s">
        <v>800</v>
      </c>
      <c r="E9375" s="132" t="s">
        <v>1384</v>
      </c>
      <c r="F9375" s="1109">
        <v>0.85</v>
      </c>
    </row>
    <row r="9376" spans="2:6">
      <c r="B9376" s="136" t="s">
        <v>365</v>
      </c>
      <c r="C9376" s="132" t="s">
        <v>302</v>
      </c>
      <c r="D9376" s="325" t="s">
        <v>800</v>
      </c>
      <c r="E9376" s="132" t="s">
        <v>282</v>
      </c>
      <c r="F9376" s="1109">
        <v>1</v>
      </c>
    </row>
    <row r="9377" spans="2:6">
      <c r="B9377" s="136" t="s">
        <v>365</v>
      </c>
      <c r="C9377" s="132" t="s">
        <v>302</v>
      </c>
      <c r="D9377" s="325" t="s">
        <v>800</v>
      </c>
      <c r="E9377" s="132" t="s">
        <v>283</v>
      </c>
      <c r="F9377" s="1109">
        <v>1</v>
      </c>
    </row>
    <row r="9378" spans="2:6">
      <c r="B9378" s="136" t="s">
        <v>365</v>
      </c>
      <c r="C9378" s="132" t="s">
        <v>302</v>
      </c>
      <c r="D9378" s="325" t="s">
        <v>800</v>
      </c>
      <c r="E9378" s="132" t="s">
        <v>284</v>
      </c>
      <c r="F9378" s="1109">
        <v>1</v>
      </c>
    </row>
    <row r="9379" spans="2:6">
      <c r="B9379" s="136" t="s">
        <v>365</v>
      </c>
      <c r="C9379" s="132" t="s">
        <v>302</v>
      </c>
      <c r="D9379" s="325" t="s">
        <v>800</v>
      </c>
      <c r="E9379" s="132" t="s">
        <v>1379</v>
      </c>
      <c r="F9379" s="1109">
        <v>1</v>
      </c>
    </row>
    <row r="9380" spans="2:6">
      <c r="B9380" s="136" t="s">
        <v>365</v>
      </c>
      <c r="C9380" s="132" t="s">
        <v>302</v>
      </c>
      <c r="D9380" s="325" t="s">
        <v>800</v>
      </c>
      <c r="E9380" s="132" t="s">
        <v>285</v>
      </c>
      <c r="F9380" s="1109">
        <v>1</v>
      </c>
    </row>
    <row r="9381" spans="2:6">
      <c r="B9381" s="136" t="s">
        <v>365</v>
      </c>
      <c r="C9381" s="132" t="s">
        <v>302</v>
      </c>
      <c r="D9381" s="325" t="s">
        <v>800</v>
      </c>
      <c r="E9381" s="132" t="s">
        <v>1380</v>
      </c>
      <c r="F9381" s="1109">
        <v>1</v>
      </c>
    </row>
    <row r="9382" spans="2:6">
      <c r="B9382" s="136" t="s">
        <v>365</v>
      </c>
      <c r="C9382" s="132" t="s">
        <v>302</v>
      </c>
      <c r="D9382" s="325" t="s">
        <v>800</v>
      </c>
      <c r="E9382" s="132" t="s">
        <v>281</v>
      </c>
      <c r="F9382" s="1109">
        <v>1</v>
      </c>
    </row>
    <row r="9383" spans="2:6">
      <c r="B9383" s="136" t="s">
        <v>365</v>
      </c>
      <c r="C9383" s="132" t="s">
        <v>302</v>
      </c>
      <c r="D9383" s="325" t="s">
        <v>800</v>
      </c>
      <c r="E9383" s="132" t="s">
        <v>1384</v>
      </c>
      <c r="F9383" s="1109">
        <v>0.85</v>
      </c>
    </row>
    <row r="9384" spans="2:6">
      <c r="B9384" s="271" t="s">
        <v>365</v>
      </c>
      <c r="C9384" s="325" t="s">
        <v>308</v>
      </c>
      <c r="D9384" s="325" t="s">
        <v>1477</v>
      </c>
      <c r="E9384" s="325" t="s">
        <v>282</v>
      </c>
      <c r="F9384" s="281">
        <v>0</v>
      </c>
    </row>
    <row r="9385" spans="2:6">
      <c r="B9385" s="271" t="s">
        <v>365</v>
      </c>
      <c r="C9385" s="325" t="s">
        <v>308</v>
      </c>
      <c r="D9385" s="325" t="s">
        <v>1477</v>
      </c>
      <c r="E9385" s="325" t="s">
        <v>283</v>
      </c>
      <c r="F9385" s="281">
        <v>0</v>
      </c>
    </row>
    <row r="9386" spans="2:6">
      <c r="B9386" s="271" t="s">
        <v>365</v>
      </c>
      <c r="C9386" s="325" t="s">
        <v>308</v>
      </c>
      <c r="D9386" s="325" t="s">
        <v>1477</v>
      </c>
      <c r="E9386" s="325" t="s">
        <v>284</v>
      </c>
      <c r="F9386" s="281">
        <v>0</v>
      </c>
    </row>
    <row r="9387" spans="2:6">
      <c r="B9387" s="271" t="s">
        <v>365</v>
      </c>
      <c r="C9387" s="325" t="s">
        <v>308</v>
      </c>
      <c r="D9387" s="325" t="s">
        <v>1477</v>
      </c>
      <c r="E9387" s="325" t="s">
        <v>1379</v>
      </c>
      <c r="F9387" s="281">
        <v>0</v>
      </c>
    </row>
    <row r="9388" spans="2:6">
      <c r="B9388" s="271" t="s">
        <v>365</v>
      </c>
      <c r="C9388" s="325" t="s">
        <v>308</v>
      </c>
      <c r="D9388" s="325" t="s">
        <v>1477</v>
      </c>
      <c r="E9388" s="325" t="s">
        <v>285</v>
      </c>
      <c r="F9388" s="281">
        <v>0</v>
      </c>
    </row>
    <row r="9389" spans="2:6">
      <c r="B9389" s="271" t="s">
        <v>365</v>
      </c>
      <c r="C9389" s="325" t="s">
        <v>308</v>
      </c>
      <c r="D9389" s="325" t="s">
        <v>1477</v>
      </c>
      <c r="E9389" s="325" t="s">
        <v>1380</v>
      </c>
      <c r="F9389" s="281">
        <v>0</v>
      </c>
    </row>
    <row r="9390" spans="2:6">
      <c r="B9390" s="271" t="s">
        <v>365</v>
      </c>
      <c r="C9390" s="325" t="s">
        <v>308</v>
      </c>
      <c r="D9390" s="325" t="s">
        <v>1477</v>
      </c>
      <c r="E9390" s="325" t="s">
        <v>281</v>
      </c>
      <c r="F9390" s="281">
        <v>0</v>
      </c>
    </row>
    <row r="9391" spans="2:6">
      <c r="B9391" s="271" t="s">
        <v>365</v>
      </c>
      <c r="C9391" s="325" t="s">
        <v>308</v>
      </c>
      <c r="D9391" s="325" t="s">
        <v>1477</v>
      </c>
      <c r="E9391" s="325" t="s">
        <v>1384</v>
      </c>
      <c r="F9391" s="281">
        <v>0</v>
      </c>
    </row>
    <row r="9392" spans="2:6">
      <c r="B9392" s="136" t="s">
        <v>365</v>
      </c>
      <c r="C9392" s="132" t="s">
        <v>306</v>
      </c>
      <c r="D9392" s="1111">
        <v>373</v>
      </c>
      <c r="E9392" s="132" t="s">
        <v>282</v>
      </c>
      <c r="F9392" s="1109">
        <v>1</v>
      </c>
    </row>
    <row r="9393" spans="2:6">
      <c r="B9393" s="136" t="s">
        <v>365</v>
      </c>
      <c r="C9393" s="132" t="s">
        <v>306</v>
      </c>
      <c r="D9393" s="1111">
        <v>373</v>
      </c>
      <c r="E9393" s="132" t="s">
        <v>283</v>
      </c>
      <c r="F9393" s="1109">
        <v>1</v>
      </c>
    </row>
    <row r="9394" spans="2:6">
      <c r="B9394" s="136" t="s">
        <v>365</v>
      </c>
      <c r="C9394" s="132" t="s">
        <v>306</v>
      </c>
      <c r="D9394" s="1111">
        <v>373</v>
      </c>
      <c r="E9394" s="132" t="s">
        <v>284</v>
      </c>
      <c r="F9394" s="1109">
        <v>1</v>
      </c>
    </row>
    <row r="9395" spans="2:6">
      <c r="B9395" s="136" t="s">
        <v>365</v>
      </c>
      <c r="C9395" s="132" t="s">
        <v>306</v>
      </c>
      <c r="D9395" s="1111">
        <v>373</v>
      </c>
      <c r="E9395" s="132" t="s">
        <v>1379</v>
      </c>
      <c r="F9395" s="1109">
        <v>1</v>
      </c>
    </row>
    <row r="9396" spans="2:6">
      <c r="B9396" s="136" t="s">
        <v>365</v>
      </c>
      <c r="C9396" s="132" t="s">
        <v>306</v>
      </c>
      <c r="D9396" s="1111">
        <v>373</v>
      </c>
      <c r="E9396" s="132" t="s">
        <v>285</v>
      </c>
      <c r="F9396" s="1109">
        <v>1</v>
      </c>
    </row>
    <row r="9397" spans="2:6">
      <c r="B9397" s="136" t="s">
        <v>365</v>
      </c>
      <c r="C9397" s="132" t="s">
        <v>306</v>
      </c>
      <c r="D9397" s="1111">
        <v>373</v>
      </c>
      <c r="E9397" s="132" t="s">
        <v>1380</v>
      </c>
      <c r="F9397" s="1109">
        <v>1</v>
      </c>
    </row>
    <row r="9398" spans="2:6">
      <c r="B9398" s="136" t="s">
        <v>365</v>
      </c>
      <c r="C9398" s="132" t="s">
        <v>306</v>
      </c>
      <c r="D9398" s="1111">
        <v>373</v>
      </c>
      <c r="E9398" s="132" t="s">
        <v>281</v>
      </c>
      <c r="F9398" s="1109">
        <v>1</v>
      </c>
    </row>
    <row r="9399" spans="2:6">
      <c r="B9399" s="136" t="s">
        <v>365</v>
      </c>
      <c r="C9399" s="132" t="s">
        <v>306</v>
      </c>
      <c r="D9399" s="1111">
        <v>373</v>
      </c>
      <c r="E9399" s="132" t="s">
        <v>1384</v>
      </c>
      <c r="F9399" s="1109">
        <v>1</v>
      </c>
    </row>
    <row r="9400" spans="2:6">
      <c r="B9400" s="136" t="s">
        <v>365</v>
      </c>
      <c r="C9400" s="132" t="s">
        <v>311</v>
      </c>
      <c r="D9400" s="1111">
        <v>373</v>
      </c>
      <c r="E9400" s="132" t="s">
        <v>282</v>
      </c>
      <c r="F9400" s="1109">
        <v>1</v>
      </c>
    </row>
    <row r="9401" spans="2:6">
      <c r="B9401" s="136" t="s">
        <v>365</v>
      </c>
      <c r="C9401" s="132" t="s">
        <v>311</v>
      </c>
      <c r="D9401" s="1111">
        <v>373</v>
      </c>
      <c r="E9401" s="132" t="s">
        <v>283</v>
      </c>
      <c r="F9401" s="1109">
        <v>1</v>
      </c>
    </row>
    <row r="9402" spans="2:6">
      <c r="B9402" s="136" t="s">
        <v>365</v>
      </c>
      <c r="C9402" s="132" t="s">
        <v>311</v>
      </c>
      <c r="D9402" s="1111">
        <v>373</v>
      </c>
      <c r="E9402" s="132" t="s">
        <v>284</v>
      </c>
      <c r="F9402" s="1109">
        <v>1</v>
      </c>
    </row>
    <row r="9403" spans="2:6">
      <c r="B9403" s="136" t="s">
        <v>365</v>
      </c>
      <c r="C9403" s="132" t="s">
        <v>311</v>
      </c>
      <c r="D9403" s="1111">
        <v>373</v>
      </c>
      <c r="E9403" s="132" t="s">
        <v>1379</v>
      </c>
      <c r="F9403" s="1109">
        <v>1</v>
      </c>
    </row>
    <row r="9404" spans="2:6">
      <c r="B9404" s="136" t="s">
        <v>365</v>
      </c>
      <c r="C9404" s="132" t="s">
        <v>311</v>
      </c>
      <c r="D9404" s="1111">
        <v>373</v>
      </c>
      <c r="E9404" s="132" t="s">
        <v>285</v>
      </c>
      <c r="F9404" s="1109">
        <v>1</v>
      </c>
    </row>
    <row r="9405" spans="2:6">
      <c r="B9405" s="136" t="s">
        <v>365</v>
      </c>
      <c r="C9405" s="132" t="s">
        <v>311</v>
      </c>
      <c r="D9405" s="1111">
        <v>373</v>
      </c>
      <c r="E9405" s="132" t="s">
        <v>1380</v>
      </c>
      <c r="F9405" s="1109">
        <v>1</v>
      </c>
    </row>
    <row r="9406" spans="2:6">
      <c r="B9406" s="136" t="s">
        <v>365</v>
      </c>
      <c r="C9406" s="132" t="s">
        <v>311</v>
      </c>
      <c r="D9406" s="1111">
        <v>373</v>
      </c>
      <c r="E9406" s="132" t="s">
        <v>281</v>
      </c>
      <c r="F9406" s="1109">
        <v>1</v>
      </c>
    </row>
    <row r="9407" spans="2:6">
      <c r="B9407" s="136" t="s">
        <v>365</v>
      </c>
      <c r="C9407" s="132" t="s">
        <v>311</v>
      </c>
      <c r="D9407" s="1111">
        <v>373</v>
      </c>
      <c r="E9407" s="132" t="s">
        <v>1384</v>
      </c>
      <c r="F9407" s="1109">
        <v>1</v>
      </c>
    </row>
    <row r="9408" spans="2:6">
      <c r="B9408" s="136" t="s">
        <v>365</v>
      </c>
      <c r="C9408" s="132" t="s">
        <v>309</v>
      </c>
      <c r="D9408" s="1111">
        <v>373</v>
      </c>
      <c r="E9408" s="132" t="s">
        <v>282</v>
      </c>
      <c r="F9408" s="1109">
        <v>1</v>
      </c>
    </row>
    <row r="9409" spans="2:6">
      <c r="B9409" s="136" t="s">
        <v>365</v>
      </c>
      <c r="C9409" s="132" t="s">
        <v>309</v>
      </c>
      <c r="D9409" s="1111">
        <v>373</v>
      </c>
      <c r="E9409" s="132" t="s">
        <v>283</v>
      </c>
      <c r="F9409" s="1109">
        <v>1</v>
      </c>
    </row>
    <row r="9410" spans="2:6">
      <c r="B9410" s="136" t="s">
        <v>365</v>
      </c>
      <c r="C9410" s="132" t="s">
        <v>309</v>
      </c>
      <c r="D9410" s="1111">
        <v>373</v>
      </c>
      <c r="E9410" s="132" t="s">
        <v>284</v>
      </c>
      <c r="F9410" s="1109">
        <v>1</v>
      </c>
    </row>
    <row r="9411" spans="2:6">
      <c r="B9411" s="136" t="s">
        <v>365</v>
      </c>
      <c r="C9411" s="132" t="s">
        <v>309</v>
      </c>
      <c r="D9411" s="1111">
        <v>373</v>
      </c>
      <c r="E9411" s="132" t="s">
        <v>1379</v>
      </c>
      <c r="F9411" s="1109">
        <v>1</v>
      </c>
    </row>
    <row r="9412" spans="2:6">
      <c r="B9412" s="136" t="s">
        <v>365</v>
      </c>
      <c r="C9412" s="132" t="s">
        <v>309</v>
      </c>
      <c r="D9412" s="1111">
        <v>373</v>
      </c>
      <c r="E9412" s="132" t="s">
        <v>285</v>
      </c>
      <c r="F9412" s="1109">
        <v>1</v>
      </c>
    </row>
    <row r="9413" spans="2:6">
      <c r="B9413" s="136" t="s">
        <v>365</v>
      </c>
      <c r="C9413" s="132" t="s">
        <v>309</v>
      </c>
      <c r="D9413" s="1111">
        <v>373</v>
      </c>
      <c r="E9413" s="132" t="s">
        <v>1380</v>
      </c>
      <c r="F9413" s="1109">
        <v>1</v>
      </c>
    </row>
    <row r="9414" spans="2:6">
      <c r="B9414" s="136" t="s">
        <v>365</v>
      </c>
      <c r="C9414" s="132" t="s">
        <v>309</v>
      </c>
      <c r="D9414" s="1111">
        <v>373</v>
      </c>
      <c r="E9414" s="132" t="s">
        <v>281</v>
      </c>
      <c r="F9414" s="1109">
        <v>1</v>
      </c>
    </row>
    <row r="9415" spans="2:6">
      <c r="B9415" s="136" t="s">
        <v>365</v>
      </c>
      <c r="C9415" s="132" t="s">
        <v>309</v>
      </c>
      <c r="D9415" s="1111">
        <v>373</v>
      </c>
      <c r="E9415" s="132" t="s">
        <v>1384</v>
      </c>
      <c r="F9415" s="1109">
        <v>1</v>
      </c>
    </row>
    <row r="9416" spans="2:6">
      <c r="B9416" s="271" t="s">
        <v>365</v>
      </c>
      <c r="C9416" s="325" t="s">
        <v>307</v>
      </c>
      <c r="D9416" s="325" t="s">
        <v>1477</v>
      </c>
      <c r="E9416" s="325" t="s">
        <v>282</v>
      </c>
      <c r="F9416" s="281">
        <v>0</v>
      </c>
    </row>
    <row r="9417" spans="2:6">
      <c r="B9417" s="271" t="s">
        <v>365</v>
      </c>
      <c r="C9417" s="325" t="s">
        <v>307</v>
      </c>
      <c r="D9417" s="325" t="s">
        <v>1477</v>
      </c>
      <c r="E9417" s="325" t="s">
        <v>283</v>
      </c>
      <c r="F9417" s="281">
        <v>0</v>
      </c>
    </row>
    <row r="9418" spans="2:6">
      <c r="B9418" s="271" t="s">
        <v>365</v>
      </c>
      <c r="C9418" s="325" t="s">
        <v>307</v>
      </c>
      <c r="D9418" s="325" t="s">
        <v>1477</v>
      </c>
      <c r="E9418" s="325" t="s">
        <v>284</v>
      </c>
      <c r="F9418" s="281">
        <v>0</v>
      </c>
    </row>
    <row r="9419" spans="2:6">
      <c r="B9419" s="271" t="s">
        <v>365</v>
      </c>
      <c r="C9419" s="325" t="s">
        <v>307</v>
      </c>
      <c r="D9419" s="325" t="s">
        <v>1477</v>
      </c>
      <c r="E9419" s="325" t="s">
        <v>1379</v>
      </c>
      <c r="F9419" s="281">
        <v>0</v>
      </c>
    </row>
    <row r="9420" spans="2:6">
      <c r="B9420" s="271" t="s">
        <v>365</v>
      </c>
      <c r="C9420" s="325" t="s">
        <v>307</v>
      </c>
      <c r="D9420" s="325" t="s">
        <v>1477</v>
      </c>
      <c r="E9420" s="325" t="s">
        <v>285</v>
      </c>
      <c r="F9420" s="281">
        <v>0</v>
      </c>
    </row>
    <row r="9421" spans="2:6">
      <c r="B9421" s="271" t="s">
        <v>365</v>
      </c>
      <c r="C9421" s="325" t="s">
        <v>307</v>
      </c>
      <c r="D9421" s="325" t="s">
        <v>1477</v>
      </c>
      <c r="E9421" s="325" t="s">
        <v>1380</v>
      </c>
      <c r="F9421" s="281">
        <v>0</v>
      </c>
    </row>
    <row r="9422" spans="2:6">
      <c r="B9422" s="271" t="s">
        <v>365</v>
      </c>
      <c r="C9422" s="325" t="s">
        <v>307</v>
      </c>
      <c r="D9422" s="325" t="s">
        <v>1477</v>
      </c>
      <c r="E9422" s="325" t="s">
        <v>281</v>
      </c>
      <c r="F9422" s="281">
        <v>0</v>
      </c>
    </row>
    <row r="9423" spans="2:6">
      <c r="B9423" s="271" t="s">
        <v>365</v>
      </c>
      <c r="C9423" s="325" t="s">
        <v>307</v>
      </c>
      <c r="D9423" s="325" t="s">
        <v>1477</v>
      </c>
      <c r="E9423" s="325" t="s">
        <v>1384</v>
      </c>
      <c r="F9423" s="281">
        <v>0</v>
      </c>
    </row>
    <row r="9424" spans="2:6">
      <c r="B9424" s="1159" t="s">
        <v>363</v>
      </c>
      <c r="C9424" s="1160" t="s">
        <v>315</v>
      </c>
      <c r="D9424" s="325"/>
      <c r="E9424" s="1160" t="s">
        <v>282</v>
      </c>
      <c r="F9424" s="1161">
        <v>1</v>
      </c>
    </row>
    <row r="9425" spans="2:6">
      <c r="B9425" s="1159" t="s">
        <v>363</v>
      </c>
      <c r="C9425" s="1160" t="s">
        <v>315</v>
      </c>
      <c r="D9425" s="325"/>
      <c r="E9425" s="1160" t="s">
        <v>283</v>
      </c>
      <c r="F9425" s="1161">
        <v>1</v>
      </c>
    </row>
    <row r="9426" spans="2:6">
      <c r="B9426" s="1159" t="s">
        <v>363</v>
      </c>
      <c r="C9426" s="1160" t="s">
        <v>315</v>
      </c>
      <c r="D9426" s="325"/>
      <c r="E9426" s="1160" t="s">
        <v>284</v>
      </c>
      <c r="F9426" s="1161">
        <v>1</v>
      </c>
    </row>
    <row r="9427" spans="2:6">
      <c r="B9427" s="1159" t="s">
        <v>363</v>
      </c>
      <c r="C9427" s="1160" t="s">
        <v>315</v>
      </c>
      <c r="D9427" s="325"/>
      <c r="E9427" s="1160" t="s">
        <v>1379</v>
      </c>
      <c r="F9427" s="1161">
        <v>1</v>
      </c>
    </row>
    <row r="9428" spans="2:6">
      <c r="B9428" s="1159" t="s">
        <v>363</v>
      </c>
      <c r="C9428" s="1160" t="s">
        <v>315</v>
      </c>
      <c r="D9428" s="325"/>
      <c r="E9428" s="1160" t="s">
        <v>285</v>
      </c>
      <c r="F9428" s="1161">
        <v>1</v>
      </c>
    </row>
    <row r="9429" spans="2:6">
      <c r="B9429" s="1159" t="s">
        <v>363</v>
      </c>
      <c r="C9429" s="1160" t="s">
        <v>315</v>
      </c>
      <c r="D9429" s="325"/>
      <c r="E9429" s="1160" t="s">
        <v>1380</v>
      </c>
      <c r="F9429" s="1161">
        <v>1</v>
      </c>
    </row>
    <row r="9430" spans="2:6">
      <c r="B9430" s="1159" t="s">
        <v>363</v>
      </c>
      <c r="C9430" s="1160" t="s">
        <v>315</v>
      </c>
      <c r="D9430" s="325"/>
      <c r="E9430" s="1160" t="s">
        <v>281</v>
      </c>
      <c r="F9430" s="1161">
        <v>1</v>
      </c>
    </row>
    <row r="9431" spans="2:6">
      <c r="B9431" s="1159" t="s">
        <v>363</v>
      </c>
      <c r="C9431" s="1160" t="s">
        <v>315</v>
      </c>
      <c r="D9431" s="325"/>
      <c r="E9431" s="1160" t="s">
        <v>1384</v>
      </c>
      <c r="F9431" s="1161">
        <v>1</v>
      </c>
    </row>
    <row r="9432" spans="2:6">
      <c r="B9432" s="1159" t="s">
        <v>363</v>
      </c>
      <c r="C9432" s="1160" t="s">
        <v>313</v>
      </c>
      <c r="D9432" s="325"/>
      <c r="E9432" s="1160" t="s">
        <v>282</v>
      </c>
      <c r="F9432" s="1161">
        <v>1</v>
      </c>
    </row>
    <row r="9433" spans="2:6">
      <c r="B9433" s="1159" t="s">
        <v>363</v>
      </c>
      <c r="C9433" s="1160" t="s">
        <v>313</v>
      </c>
      <c r="D9433" s="325"/>
      <c r="E9433" s="1160" t="s">
        <v>283</v>
      </c>
      <c r="F9433" s="1161">
        <v>1</v>
      </c>
    </row>
    <row r="9434" spans="2:6">
      <c r="B9434" s="1159" t="s">
        <v>363</v>
      </c>
      <c r="C9434" s="1160" t="s">
        <v>313</v>
      </c>
      <c r="D9434" s="325"/>
      <c r="E9434" s="1160" t="s">
        <v>284</v>
      </c>
      <c r="F9434" s="1161">
        <v>1</v>
      </c>
    </row>
    <row r="9435" spans="2:6">
      <c r="B9435" s="1159" t="s">
        <v>363</v>
      </c>
      <c r="C9435" s="1160" t="s">
        <v>313</v>
      </c>
      <c r="D9435" s="325"/>
      <c r="E9435" s="1160" t="s">
        <v>1379</v>
      </c>
      <c r="F9435" s="1161">
        <v>1</v>
      </c>
    </row>
    <row r="9436" spans="2:6">
      <c r="B9436" s="1159" t="s">
        <v>363</v>
      </c>
      <c r="C9436" s="1160" t="s">
        <v>313</v>
      </c>
      <c r="D9436" s="325"/>
      <c r="E9436" s="1160" t="s">
        <v>285</v>
      </c>
      <c r="F9436" s="1161">
        <v>1</v>
      </c>
    </row>
    <row r="9437" spans="2:6">
      <c r="B9437" s="1159" t="s">
        <v>363</v>
      </c>
      <c r="C9437" s="1160" t="s">
        <v>313</v>
      </c>
      <c r="D9437" s="325"/>
      <c r="E9437" s="1160" t="s">
        <v>1380</v>
      </c>
      <c r="F9437" s="1161">
        <v>1</v>
      </c>
    </row>
    <row r="9438" spans="2:6">
      <c r="B9438" s="1159" t="s">
        <v>363</v>
      </c>
      <c r="C9438" s="1160" t="s">
        <v>313</v>
      </c>
      <c r="D9438" s="325"/>
      <c r="E9438" s="1160" t="s">
        <v>281</v>
      </c>
      <c r="F9438" s="1161">
        <v>1</v>
      </c>
    </row>
    <row r="9439" spans="2:6">
      <c r="B9439" s="1159" t="s">
        <v>363</v>
      </c>
      <c r="C9439" s="1160" t="s">
        <v>313</v>
      </c>
      <c r="D9439" s="325"/>
      <c r="E9439" s="1160" t="s">
        <v>1384</v>
      </c>
      <c r="F9439" s="1161">
        <v>1</v>
      </c>
    </row>
    <row r="9440" spans="2:6">
      <c r="B9440" s="1159" t="s">
        <v>363</v>
      </c>
      <c r="C9440" s="1160" t="s">
        <v>304</v>
      </c>
      <c r="D9440" s="325"/>
      <c r="E9440" s="1160" t="s">
        <v>282</v>
      </c>
      <c r="F9440" s="1161">
        <v>1</v>
      </c>
    </row>
    <row r="9441" spans="2:6">
      <c r="B9441" s="1159" t="s">
        <v>363</v>
      </c>
      <c r="C9441" s="1160" t="s">
        <v>304</v>
      </c>
      <c r="D9441" s="325"/>
      <c r="E9441" s="1160" t="s">
        <v>283</v>
      </c>
      <c r="F9441" s="1161">
        <v>1</v>
      </c>
    </row>
    <row r="9442" spans="2:6">
      <c r="B9442" s="1159" t="s">
        <v>363</v>
      </c>
      <c r="C9442" s="1160" t="s">
        <v>304</v>
      </c>
      <c r="D9442" s="325"/>
      <c r="E9442" s="1160" t="s">
        <v>284</v>
      </c>
      <c r="F9442" s="1161">
        <v>1</v>
      </c>
    </row>
    <row r="9443" spans="2:6">
      <c r="B9443" s="1159" t="s">
        <v>363</v>
      </c>
      <c r="C9443" s="1160" t="s">
        <v>304</v>
      </c>
      <c r="D9443" s="325"/>
      <c r="E9443" s="1160" t="s">
        <v>1379</v>
      </c>
      <c r="F9443" s="1161">
        <v>1</v>
      </c>
    </row>
    <row r="9444" spans="2:6">
      <c r="B9444" s="1159" t="s">
        <v>363</v>
      </c>
      <c r="C9444" s="1160" t="s">
        <v>304</v>
      </c>
      <c r="D9444" s="325"/>
      <c r="E9444" s="1160" t="s">
        <v>285</v>
      </c>
      <c r="F9444" s="1161">
        <v>1</v>
      </c>
    </row>
    <row r="9445" spans="2:6">
      <c r="B9445" s="1159" t="s">
        <v>363</v>
      </c>
      <c r="C9445" s="1160" t="s">
        <v>304</v>
      </c>
      <c r="D9445" s="325"/>
      <c r="E9445" s="1160" t="s">
        <v>1380</v>
      </c>
      <c r="F9445" s="1161">
        <v>1</v>
      </c>
    </row>
    <row r="9446" spans="2:6">
      <c r="B9446" s="1159" t="s">
        <v>363</v>
      </c>
      <c r="C9446" s="1160" t="s">
        <v>304</v>
      </c>
      <c r="D9446" s="325"/>
      <c r="E9446" s="1160" t="s">
        <v>281</v>
      </c>
      <c r="F9446" s="1161">
        <v>1</v>
      </c>
    </row>
    <row r="9447" spans="2:6">
      <c r="B9447" s="1159" t="s">
        <v>363</v>
      </c>
      <c r="C9447" s="1160" t="s">
        <v>304</v>
      </c>
      <c r="D9447" s="325"/>
      <c r="E9447" s="1160" t="s">
        <v>1384</v>
      </c>
      <c r="F9447" s="1161">
        <v>1</v>
      </c>
    </row>
    <row r="9448" spans="2:6">
      <c r="B9448" s="1159" t="s">
        <v>363</v>
      </c>
      <c r="C9448" s="1160" t="s">
        <v>300</v>
      </c>
      <c r="D9448" s="325" t="s">
        <v>800</v>
      </c>
      <c r="E9448" s="1160" t="s">
        <v>282</v>
      </c>
      <c r="F9448" s="1161">
        <v>1</v>
      </c>
    </row>
    <row r="9449" spans="2:6">
      <c r="B9449" s="1159" t="s">
        <v>363</v>
      </c>
      <c r="C9449" s="1160" t="s">
        <v>300</v>
      </c>
      <c r="D9449" s="325" t="s">
        <v>800</v>
      </c>
      <c r="E9449" s="1160" t="s">
        <v>283</v>
      </c>
      <c r="F9449" s="1161">
        <v>1</v>
      </c>
    </row>
    <row r="9450" spans="2:6">
      <c r="B9450" s="1159" t="s">
        <v>363</v>
      </c>
      <c r="C9450" s="1160" t="s">
        <v>300</v>
      </c>
      <c r="D9450" s="325" t="s">
        <v>800</v>
      </c>
      <c r="E9450" s="1160" t="s">
        <v>284</v>
      </c>
      <c r="F9450" s="1161">
        <v>1</v>
      </c>
    </row>
    <row r="9451" spans="2:6">
      <c r="B9451" s="1159" t="s">
        <v>363</v>
      </c>
      <c r="C9451" s="1160" t="s">
        <v>300</v>
      </c>
      <c r="D9451" s="325" t="s">
        <v>800</v>
      </c>
      <c r="E9451" s="1160" t="s">
        <v>1379</v>
      </c>
      <c r="F9451" s="1161">
        <v>1</v>
      </c>
    </row>
    <row r="9452" spans="2:6">
      <c r="B9452" s="1159" t="s">
        <v>363</v>
      </c>
      <c r="C9452" s="1160" t="s">
        <v>300</v>
      </c>
      <c r="D9452" s="325" t="s">
        <v>800</v>
      </c>
      <c r="E9452" s="1160" t="s">
        <v>285</v>
      </c>
      <c r="F9452" s="1161">
        <v>1</v>
      </c>
    </row>
    <row r="9453" spans="2:6">
      <c r="B9453" s="1159" t="s">
        <v>363</v>
      </c>
      <c r="C9453" s="1160" t="s">
        <v>300</v>
      </c>
      <c r="D9453" s="325" t="s">
        <v>800</v>
      </c>
      <c r="E9453" s="1160" t="s">
        <v>1380</v>
      </c>
      <c r="F9453" s="1161">
        <v>1</v>
      </c>
    </row>
    <row r="9454" spans="2:6">
      <c r="B9454" s="1159" t="s">
        <v>363</v>
      </c>
      <c r="C9454" s="1160" t="s">
        <v>300</v>
      </c>
      <c r="D9454" s="325" t="s">
        <v>800</v>
      </c>
      <c r="E9454" s="1160" t="s">
        <v>281</v>
      </c>
      <c r="F9454" s="1161">
        <v>1</v>
      </c>
    </row>
    <row r="9455" spans="2:6">
      <c r="B9455" s="1159" t="s">
        <v>363</v>
      </c>
      <c r="C9455" s="1160" t="s">
        <v>300</v>
      </c>
      <c r="D9455" s="325" t="s">
        <v>800</v>
      </c>
      <c r="E9455" s="1160" t="s">
        <v>1384</v>
      </c>
      <c r="F9455" s="1161">
        <v>1</v>
      </c>
    </row>
    <row r="9456" spans="2:6">
      <c r="B9456" s="1159" t="s">
        <v>363</v>
      </c>
      <c r="C9456" s="1160" t="s">
        <v>302</v>
      </c>
      <c r="D9456" s="325" t="s">
        <v>800</v>
      </c>
      <c r="E9456" s="1160" t="s">
        <v>282</v>
      </c>
      <c r="F9456" s="1161">
        <v>1</v>
      </c>
    </row>
    <row r="9457" spans="2:6">
      <c r="B9457" s="1159" t="s">
        <v>363</v>
      </c>
      <c r="C9457" s="1160" t="s">
        <v>302</v>
      </c>
      <c r="D9457" s="325" t="s">
        <v>800</v>
      </c>
      <c r="E9457" s="1160" t="s">
        <v>283</v>
      </c>
      <c r="F9457" s="1161">
        <v>1</v>
      </c>
    </row>
    <row r="9458" spans="2:6">
      <c r="B9458" s="1159" t="s">
        <v>363</v>
      </c>
      <c r="C9458" s="1160" t="s">
        <v>302</v>
      </c>
      <c r="D9458" s="325" t="s">
        <v>800</v>
      </c>
      <c r="E9458" s="1160" t="s">
        <v>284</v>
      </c>
      <c r="F9458" s="1161">
        <v>1</v>
      </c>
    </row>
    <row r="9459" spans="2:6">
      <c r="B9459" s="1159" t="s">
        <v>363</v>
      </c>
      <c r="C9459" s="1160" t="s">
        <v>302</v>
      </c>
      <c r="D9459" s="325" t="s">
        <v>800</v>
      </c>
      <c r="E9459" s="1160" t="s">
        <v>1379</v>
      </c>
      <c r="F9459" s="1161">
        <v>1</v>
      </c>
    </row>
    <row r="9460" spans="2:6">
      <c r="B9460" s="1159" t="s">
        <v>363</v>
      </c>
      <c r="C9460" s="1160" t="s">
        <v>302</v>
      </c>
      <c r="D9460" s="325" t="s">
        <v>800</v>
      </c>
      <c r="E9460" s="1160" t="s">
        <v>285</v>
      </c>
      <c r="F9460" s="1161">
        <v>1</v>
      </c>
    </row>
    <row r="9461" spans="2:6">
      <c r="B9461" s="1159" t="s">
        <v>363</v>
      </c>
      <c r="C9461" s="1160" t="s">
        <v>302</v>
      </c>
      <c r="D9461" s="325" t="s">
        <v>800</v>
      </c>
      <c r="E9461" s="1160" t="s">
        <v>1380</v>
      </c>
      <c r="F9461" s="1161">
        <v>1</v>
      </c>
    </row>
    <row r="9462" spans="2:6">
      <c r="B9462" s="1159" t="s">
        <v>363</v>
      </c>
      <c r="C9462" s="1160" t="s">
        <v>302</v>
      </c>
      <c r="D9462" s="325" t="s">
        <v>800</v>
      </c>
      <c r="E9462" s="1160" t="s">
        <v>281</v>
      </c>
      <c r="F9462" s="1161">
        <v>1</v>
      </c>
    </row>
    <row r="9463" spans="2:6">
      <c r="B9463" s="1159" t="s">
        <v>363</v>
      </c>
      <c r="C9463" s="1160" t="s">
        <v>302</v>
      </c>
      <c r="D9463" s="325" t="s">
        <v>800</v>
      </c>
      <c r="E9463" s="1160" t="s">
        <v>1384</v>
      </c>
      <c r="F9463" s="1161">
        <v>1</v>
      </c>
    </row>
    <row r="9464" spans="2:6">
      <c r="B9464" s="1159" t="s">
        <v>363</v>
      </c>
      <c r="C9464" s="1160" t="s">
        <v>308</v>
      </c>
      <c r="D9464" s="325"/>
      <c r="E9464" s="1160" t="s">
        <v>282</v>
      </c>
      <c r="F9464" s="1161">
        <v>1</v>
      </c>
    </row>
    <row r="9465" spans="2:6">
      <c r="B9465" s="1159" t="s">
        <v>363</v>
      </c>
      <c r="C9465" s="1160" t="s">
        <v>308</v>
      </c>
      <c r="D9465" s="325"/>
      <c r="E9465" s="1160" t="s">
        <v>283</v>
      </c>
      <c r="F9465" s="1161">
        <v>1</v>
      </c>
    </row>
    <row r="9466" spans="2:6">
      <c r="B9466" s="1159" t="s">
        <v>363</v>
      </c>
      <c r="C9466" s="1160" t="s">
        <v>308</v>
      </c>
      <c r="D9466" s="325"/>
      <c r="E9466" s="1160" t="s">
        <v>284</v>
      </c>
      <c r="F9466" s="1161">
        <v>1</v>
      </c>
    </row>
    <row r="9467" spans="2:6">
      <c r="B9467" s="1159" t="s">
        <v>363</v>
      </c>
      <c r="C9467" s="1160" t="s">
        <v>308</v>
      </c>
      <c r="D9467" s="325"/>
      <c r="E9467" s="1160" t="s">
        <v>1379</v>
      </c>
      <c r="F9467" s="1161">
        <v>1</v>
      </c>
    </row>
    <row r="9468" spans="2:6">
      <c r="B9468" s="1159" t="s">
        <v>363</v>
      </c>
      <c r="C9468" s="1160" t="s">
        <v>308</v>
      </c>
      <c r="D9468" s="325"/>
      <c r="E9468" s="1160" t="s">
        <v>285</v>
      </c>
      <c r="F9468" s="1161">
        <v>1</v>
      </c>
    </row>
    <row r="9469" spans="2:6">
      <c r="B9469" s="1159" t="s">
        <v>363</v>
      </c>
      <c r="C9469" s="1160" t="s">
        <v>308</v>
      </c>
      <c r="D9469" s="325"/>
      <c r="E9469" s="1160" t="s">
        <v>1380</v>
      </c>
      <c r="F9469" s="1161">
        <v>1</v>
      </c>
    </row>
    <row r="9470" spans="2:6">
      <c r="B9470" s="1159" t="s">
        <v>363</v>
      </c>
      <c r="C9470" s="1160" t="s">
        <v>308</v>
      </c>
      <c r="D9470" s="325"/>
      <c r="E9470" s="1160" t="s">
        <v>281</v>
      </c>
      <c r="F9470" s="1161">
        <v>1</v>
      </c>
    </row>
    <row r="9471" spans="2:6">
      <c r="B9471" s="1159" t="s">
        <v>363</v>
      </c>
      <c r="C9471" s="1160" t="s">
        <v>308</v>
      </c>
      <c r="D9471" s="325"/>
      <c r="E9471" s="1160" t="s">
        <v>1384</v>
      </c>
      <c r="F9471" s="1161">
        <v>1</v>
      </c>
    </row>
    <row r="9472" spans="2:6">
      <c r="B9472" s="1159" t="s">
        <v>363</v>
      </c>
      <c r="C9472" s="1160" t="s">
        <v>306</v>
      </c>
      <c r="D9472" s="325"/>
      <c r="E9472" s="1160" t="s">
        <v>282</v>
      </c>
      <c r="F9472" s="1161">
        <v>1</v>
      </c>
    </row>
    <row r="9473" spans="2:6">
      <c r="B9473" s="1159" t="s">
        <v>363</v>
      </c>
      <c r="C9473" s="1160" t="s">
        <v>306</v>
      </c>
      <c r="D9473" s="325"/>
      <c r="E9473" s="1160" t="s">
        <v>283</v>
      </c>
      <c r="F9473" s="1161">
        <v>1</v>
      </c>
    </row>
    <row r="9474" spans="2:6">
      <c r="B9474" s="1159" t="s">
        <v>363</v>
      </c>
      <c r="C9474" s="1160" t="s">
        <v>306</v>
      </c>
      <c r="D9474" s="325"/>
      <c r="E9474" s="1160" t="s">
        <v>284</v>
      </c>
      <c r="F9474" s="1161">
        <v>1</v>
      </c>
    </row>
    <row r="9475" spans="2:6">
      <c r="B9475" s="1159" t="s">
        <v>363</v>
      </c>
      <c r="C9475" s="1160" t="s">
        <v>306</v>
      </c>
      <c r="D9475" s="325"/>
      <c r="E9475" s="1160" t="s">
        <v>1379</v>
      </c>
      <c r="F9475" s="1161">
        <v>1</v>
      </c>
    </row>
    <row r="9476" spans="2:6">
      <c r="B9476" s="1159" t="s">
        <v>363</v>
      </c>
      <c r="C9476" s="1160" t="s">
        <v>306</v>
      </c>
      <c r="D9476" s="325"/>
      <c r="E9476" s="1160" t="s">
        <v>285</v>
      </c>
      <c r="F9476" s="1161">
        <v>1</v>
      </c>
    </row>
    <row r="9477" spans="2:6">
      <c r="B9477" s="1159" t="s">
        <v>363</v>
      </c>
      <c r="C9477" s="1160" t="s">
        <v>306</v>
      </c>
      <c r="D9477" s="325"/>
      <c r="E9477" s="1160" t="s">
        <v>1380</v>
      </c>
      <c r="F9477" s="1161">
        <v>1</v>
      </c>
    </row>
    <row r="9478" spans="2:6">
      <c r="B9478" s="1159" t="s">
        <v>363</v>
      </c>
      <c r="C9478" s="1160" t="s">
        <v>306</v>
      </c>
      <c r="D9478" s="325"/>
      <c r="E9478" s="1160" t="s">
        <v>281</v>
      </c>
      <c r="F9478" s="1161">
        <v>1</v>
      </c>
    </row>
    <row r="9479" spans="2:6">
      <c r="B9479" s="1159" t="s">
        <v>363</v>
      </c>
      <c r="C9479" s="1160" t="s">
        <v>306</v>
      </c>
      <c r="D9479" s="325"/>
      <c r="E9479" s="1160" t="s">
        <v>1384</v>
      </c>
      <c r="F9479" s="1161">
        <v>1</v>
      </c>
    </row>
    <row r="9480" spans="2:6">
      <c r="B9480" s="1159" t="s">
        <v>363</v>
      </c>
      <c r="C9480" s="1160" t="s">
        <v>311</v>
      </c>
      <c r="D9480" s="325"/>
      <c r="E9480" s="1160" t="s">
        <v>282</v>
      </c>
      <c r="F9480" s="1161">
        <v>1</v>
      </c>
    </row>
    <row r="9481" spans="2:6">
      <c r="B9481" s="1159" t="s">
        <v>363</v>
      </c>
      <c r="C9481" s="1160" t="s">
        <v>311</v>
      </c>
      <c r="D9481" s="325"/>
      <c r="E9481" s="1160" t="s">
        <v>283</v>
      </c>
      <c r="F9481" s="1161">
        <v>1</v>
      </c>
    </row>
    <row r="9482" spans="2:6">
      <c r="B9482" s="1159" t="s">
        <v>363</v>
      </c>
      <c r="C9482" s="1160" t="s">
        <v>311</v>
      </c>
      <c r="D9482" s="325"/>
      <c r="E9482" s="1160" t="s">
        <v>284</v>
      </c>
      <c r="F9482" s="1161">
        <v>1</v>
      </c>
    </row>
    <row r="9483" spans="2:6">
      <c r="B9483" s="1159" t="s">
        <v>363</v>
      </c>
      <c r="C9483" s="1160" t="s">
        <v>311</v>
      </c>
      <c r="D9483" s="325"/>
      <c r="E9483" s="1160" t="s">
        <v>1379</v>
      </c>
      <c r="F9483" s="1161">
        <v>1</v>
      </c>
    </row>
    <row r="9484" spans="2:6">
      <c r="B9484" s="1159" t="s">
        <v>363</v>
      </c>
      <c r="C9484" s="1160" t="s">
        <v>311</v>
      </c>
      <c r="D9484" s="325"/>
      <c r="E9484" s="1160" t="s">
        <v>285</v>
      </c>
      <c r="F9484" s="1161">
        <v>1</v>
      </c>
    </row>
    <row r="9485" spans="2:6">
      <c r="B9485" s="1159" t="s">
        <v>363</v>
      </c>
      <c r="C9485" s="1160" t="s">
        <v>311</v>
      </c>
      <c r="D9485" s="325"/>
      <c r="E9485" s="1160" t="s">
        <v>1380</v>
      </c>
      <c r="F9485" s="1161">
        <v>1</v>
      </c>
    </row>
    <row r="9486" spans="2:6">
      <c r="B9486" s="1159" t="s">
        <v>363</v>
      </c>
      <c r="C9486" s="1160" t="s">
        <v>311</v>
      </c>
      <c r="D9486" s="325"/>
      <c r="E9486" s="1160" t="s">
        <v>281</v>
      </c>
      <c r="F9486" s="1161">
        <v>1</v>
      </c>
    </row>
    <row r="9487" spans="2:6">
      <c r="B9487" s="1159" t="s">
        <v>363</v>
      </c>
      <c r="C9487" s="1160" t="s">
        <v>311</v>
      </c>
      <c r="D9487" s="325"/>
      <c r="E9487" s="1160" t="s">
        <v>1384</v>
      </c>
      <c r="F9487" s="1161">
        <v>1</v>
      </c>
    </row>
    <row r="9488" spans="2:6">
      <c r="B9488" s="1159" t="s">
        <v>363</v>
      </c>
      <c r="C9488" s="1160" t="s">
        <v>309</v>
      </c>
      <c r="D9488" s="325"/>
      <c r="E9488" s="1160" t="s">
        <v>282</v>
      </c>
      <c r="F9488" s="1161">
        <v>1</v>
      </c>
    </row>
    <row r="9489" spans="2:6">
      <c r="B9489" s="1159" t="s">
        <v>363</v>
      </c>
      <c r="C9489" s="1160" t="s">
        <v>309</v>
      </c>
      <c r="D9489" s="325"/>
      <c r="E9489" s="1160" t="s">
        <v>283</v>
      </c>
      <c r="F9489" s="1161">
        <v>1</v>
      </c>
    </row>
    <row r="9490" spans="2:6">
      <c r="B9490" s="1159" t="s">
        <v>363</v>
      </c>
      <c r="C9490" s="1160" t="s">
        <v>309</v>
      </c>
      <c r="D9490" s="325"/>
      <c r="E9490" s="1160" t="s">
        <v>284</v>
      </c>
      <c r="F9490" s="1161">
        <v>1</v>
      </c>
    </row>
    <row r="9491" spans="2:6">
      <c r="B9491" s="1159" t="s">
        <v>363</v>
      </c>
      <c r="C9491" s="1160" t="s">
        <v>309</v>
      </c>
      <c r="D9491" s="325"/>
      <c r="E9491" s="1160" t="s">
        <v>1379</v>
      </c>
      <c r="F9491" s="1161">
        <v>1</v>
      </c>
    </row>
    <row r="9492" spans="2:6">
      <c r="B9492" s="1159" t="s">
        <v>363</v>
      </c>
      <c r="C9492" s="1160" t="s">
        <v>309</v>
      </c>
      <c r="D9492" s="325"/>
      <c r="E9492" s="1160" t="s">
        <v>285</v>
      </c>
      <c r="F9492" s="1161">
        <v>1</v>
      </c>
    </row>
    <row r="9493" spans="2:6">
      <c r="B9493" s="1159" t="s">
        <v>363</v>
      </c>
      <c r="C9493" s="1160" t="s">
        <v>309</v>
      </c>
      <c r="D9493" s="325"/>
      <c r="E9493" s="1160" t="s">
        <v>1380</v>
      </c>
      <c r="F9493" s="1161">
        <v>1</v>
      </c>
    </row>
    <row r="9494" spans="2:6">
      <c r="B9494" s="1159" t="s">
        <v>363</v>
      </c>
      <c r="C9494" s="1160" t="s">
        <v>309</v>
      </c>
      <c r="D9494" s="325"/>
      <c r="E9494" s="1160" t="s">
        <v>281</v>
      </c>
      <c r="F9494" s="1161">
        <v>1</v>
      </c>
    </row>
    <row r="9495" spans="2:6">
      <c r="B9495" s="1159" t="s">
        <v>363</v>
      </c>
      <c r="C9495" s="1160" t="s">
        <v>309</v>
      </c>
      <c r="D9495" s="325"/>
      <c r="E9495" s="1160" t="s">
        <v>1384</v>
      </c>
      <c r="F9495" s="1161">
        <v>1</v>
      </c>
    </row>
    <row r="9496" spans="2:6">
      <c r="B9496" s="1159" t="s">
        <v>363</v>
      </c>
      <c r="C9496" s="1160" t="s">
        <v>307</v>
      </c>
      <c r="D9496" s="325"/>
      <c r="E9496" s="1160" t="s">
        <v>282</v>
      </c>
      <c r="F9496" s="1161">
        <v>1</v>
      </c>
    </row>
    <row r="9497" spans="2:6">
      <c r="B9497" s="1159" t="s">
        <v>363</v>
      </c>
      <c r="C9497" s="1160" t="s">
        <v>307</v>
      </c>
      <c r="D9497" s="325"/>
      <c r="E9497" s="1160" t="s">
        <v>283</v>
      </c>
      <c r="F9497" s="1161">
        <v>1</v>
      </c>
    </row>
    <row r="9498" spans="2:6">
      <c r="B9498" s="1159" t="s">
        <v>363</v>
      </c>
      <c r="C9498" s="1160" t="s">
        <v>307</v>
      </c>
      <c r="D9498" s="325"/>
      <c r="E9498" s="1160" t="s">
        <v>284</v>
      </c>
      <c r="F9498" s="1161">
        <v>1</v>
      </c>
    </row>
    <row r="9499" spans="2:6">
      <c r="B9499" s="1159" t="s">
        <v>363</v>
      </c>
      <c r="C9499" s="1160" t="s">
        <v>307</v>
      </c>
      <c r="D9499" s="325"/>
      <c r="E9499" s="1160" t="s">
        <v>1379</v>
      </c>
      <c r="F9499" s="1161">
        <v>1</v>
      </c>
    </row>
    <row r="9500" spans="2:6">
      <c r="B9500" s="1159" t="s">
        <v>363</v>
      </c>
      <c r="C9500" s="1160" t="s">
        <v>307</v>
      </c>
      <c r="D9500" s="325"/>
      <c r="E9500" s="1160" t="s">
        <v>285</v>
      </c>
      <c r="F9500" s="1161">
        <v>1</v>
      </c>
    </row>
    <row r="9501" spans="2:6">
      <c r="B9501" s="1159" t="s">
        <v>363</v>
      </c>
      <c r="C9501" s="1160" t="s">
        <v>307</v>
      </c>
      <c r="D9501" s="325"/>
      <c r="E9501" s="1160" t="s">
        <v>1380</v>
      </c>
      <c r="F9501" s="1161">
        <v>1</v>
      </c>
    </row>
    <row r="9502" spans="2:6">
      <c r="B9502" s="1159" t="s">
        <v>363</v>
      </c>
      <c r="C9502" s="1160" t="s">
        <v>307</v>
      </c>
      <c r="D9502" s="325"/>
      <c r="E9502" s="1160" t="s">
        <v>281</v>
      </c>
      <c r="F9502" s="1161">
        <v>1</v>
      </c>
    </row>
    <row r="9503" spans="2:6">
      <c r="B9503" s="1159" t="s">
        <v>363</v>
      </c>
      <c r="C9503" s="1160" t="s">
        <v>307</v>
      </c>
      <c r="D9503" s="325"/>
      <c r="E9503" s="1160" t="s">
        <v>1384</v>
      </c>
      <c r="F9503" s="1161">
        <v>1</v>
      </c>
    </row>
    <row r="9504" spans="2:6">
      <c r="B9504" s="1162" t="s">
        <v>364</v>
      </c>
      <c r="C9504" s="1163" t="s">
        <v>315</v>
      </c>
      <c r="D9504" s="325"/>
      <c r="E9504" s="1163" t="s">
        <v>282</v>
      </c>
      <c r="F9504" s="1164">
        <v>1</v>
      </c>
    </row>
    <row r="9505" spans="2:6">
      <c r="B9505" s="1162" t="s">
        <v>364</v>
      </c>
      <c r="C9505" s="1163" t="s">
        <v>315</v>
      </c>
      <c r="D9505" s="325"/>
      <c r="E9505" s="1163" t="s">
        <v>283</v>
      </c>
      <c r="F9505" s="1164">
        <v>1</v>
      </c>
    </row>
    <row r="9506" spans="2:6">
      <c r="B9506" s="1162" t="s">
        <v>364</v>
      </c>
      <c r="C9506" s="1163" t="s">
        <v>315</v>
      </c>
      <c r="D9506" s="325"/>
      <c r="E9506" s="1163" t="s">
        <v>284</v>
      </c>
      <c r="F9506" s="1164">
        <v>1</v>
      </c>
    </row>
    <row r="9507" spans="2:6">
      <c r="B9507" s="1162" t="s">
        <v>364</v>
      </c>
      <c r="C9507" s="1163" t="s">
        <v>315</v>
      </c>
      <c r="D9507" s="325"/>
      <c r="E9507" s="1163" t="s">
        <v>1379</v>
      </c>
      <c r="F9507" s="1164">
        <v>1</v>
      </c>
    </row>
    <row r="9508" spans="2:6">
      <c r="B9508" s="1162" t="s">
        <v>364</v>
      </c>
      <c r="C9508" s="1163" t="s">
        <v>315</v>
      </c>
      <c r="D9508" s="325"/>
      <c r="E9508" s="1163" t="s">
        <v>285</v>
      </c>
      <c r="F9508" s="1164">
        <v>1</v>
      </c>
    </row>
    <row r="9509" spans="2:6">
      <c r="B9509" s="1162" t="s">
        <v>364</v>
      </c>
      <c r="C9509" s="1163" t="s">
        <v>315</v>
      </c>
      <c r="D9509" s="325"/>
      <c r="E9509" s="1163" t="s">
        <v>1380</v>
      </c>
      <c r="F9509" s="1164">
        <v>1</v>
      </c>
    </row>
    <row r="9510" spans="2:6">
      <c r="B9510" s="1162" t="s">
        <v>364</v>
      </c>
      <c r="C9510" s="1163" t="s">
        <v>315</v>
      </c>
      <c r="D9510" s="325"/>
      <c r="E9510" s="1163" t="s">
        <v>281</v>
      </c>
      <c r="F9510" s="1164">
        <v>1</v>
      </c>
    </row>
    <row r="9511" spans="2:6">
      <c r="B9511" s="1162" t="s">
        <v>364</v>
      </c>
      <c r="C9511" s="1163" t="s">
        <v>315</v>
      </c>
      <c r="D9511" s="325"/>
      <c r="E9511" s="1163" t="s">
        <v>1384</v>
      </c>
      <c r="F9511" s="1164">
        <v>1</v>
      </c>
    </row>
    <row r="9512" spans="2:6">
      <c r="B9512" s="1162" t="s">
        <v>364</v>
      </c>
      <c r="C9512" s="1163" t="s">
        <v>313</v>
      </c>
      <c r="D9512" s="325"/>
      <c r="E9512" s="1163" t="s">
        <v>282</v>
      </c>
      <c r="F9512" s="1164">
        <v>1</v>
      </c>
    </row>
    <row r="9513" spans="2:6">
      <c r="B9513" s="1162" t="s">
        <v>364</v>
      </c>
      <c r="C9513" s="1163" t="s">
        <v>313</v>
      </c>
      <c r="D9513" s="325"/>
      <c r="E9513" s="1163" t="s">
        <v>283</v>
      </c>
      <c r="F9513" s="1164">
        <v>1</v>
      </c>
    </row>
    <row r="9514" spans="2:6">
      <c r="B9514" s="1162" t="s">
        <v>364</v>
      </c>
      <c r="C9514" s="1163" t="s">
        <v>313</v>
      </c>
      <c r="D9514" s="325"/>
      <c r="E9514" s="1163" t="s">
        <v>284</v>
      </c>
      <c r="F9514" s="1164">
        <v>1</v>
      </c>
    </row>
    <row r="9515" spans="2:6">
      <c r="B9515" s="1162" t="s">
        <v>364</v>
      </c>
      <c r="C9515" s="1163" t="s">
        <v>313</v>
      </c>
      <c r="D9515" s="325"/>
      <c r="E9515" s="1163" t="s">
        <v>1379</v>
      </c>
      <c r="F9515" s="1164">
        <v>1</v>
      </c>
    </row>
    <row r="9516" spans="2:6">
      <c r="B9516" s="1162" t="s">
        <v>364</v>
      </c>
      <c r="C9516" s="1163" t="s">
        <v>313</v>
      </c>
      <c r="D9516" s="325"/>
      <c r="E9516" s="1163" t="s">
        <v>285</v>
      </c>
      <c r="F9516" s="1164">
        <v>1</v>
      </c>
    </row>
    <row r="9517" spans="2:6">
      <c r="B9517" s="1162" t="s">
        <v>364</v>
      </c>
      <c r="C9517" s="1163" t="s">
        <v>313</v>
      </c>
      <c r="D9517" s="325"/>
      <c r="E9517" s="1163" t="s">
        <v>1380</v>
      </c>
      <c r="F9517" s="1164">
        <v>1</v>
      </c>
    </row>
    <row r="9518" spans="2:6">
      <c r="B9518" s="1162" t="s">
        <v>364</v>
      </c>
      <c r="C9518" s="1163" t="s">
        <v>313</v>
      </c>
      <c r="D9518" s="325"/>
      <c r="E9518" s="1163" t="s">
        <v>281</v>
      </c>
      <c r="F9518" s="1164">
        <v>1</v>
      </c>
    </row>
    <row r="9519" spans="2:6">
      <c r="B9519" s="1162" t="s">
        <v>364</v>
      </c>
      <c r="C9519" s="1163" t="s">
        <v>313</v>
      </c>
      <c r="D9519" s="325"/>
      <c r="E9519" s="1163" t="s">
        <v>1384</v>
      </c>
      <c r="F9519" s="1164">
        <v>1</v>
      </c>
    </row>
    <row r="9520" spans="2:6">
      <c r="B9520" s="1162" t="s">
        <v>364</v>
      </c>
      <c r="C9520" s="1163" t="s">
        <v>304</v>
      </c>
      <c r="D9520" s="325"/>
      <c r="E9520" s="1163" t="s">
        <v>282</v>
      </c>
      <c r="F9520" s="1164">
        <v>1</v>
      </c>
    </row>
    <row r="9521" spans="2:6">
      <c r="B9521" s="1162" t="s">
        <v>364</v>
      </c>
      <c r="C9521" s="1163" t="s">
        <v>304</v>
      </c>
      <c r="D9521" s="325"/>
      <c r="E9521" s="1163" t="s">
        <v>283</v>
      </c>
      <c r="F9521" s="1164">
        <v>1</v>
      </c>
    </row>
    <row r="9522" spans="2:6">
      <c r="B9522" s="1162" t="s">
        <v>364</v>
      </c>
      <c r="C9522" s="1163" t="s">
        <v>304</v>
      </c>
      <c r="D9522" s="325"/>
      <c r="E9522" s="1163" t="s">
        <v>284</v>
      </c>
      <c r="F9522" s="1164">
        <v>1</v>
      </c>
    </row>
    <row r="9523" spans="2:6">
      <c r="B9523" s="1162" t="s">
        <v>364</v>
      </c>
      <c r="C9523" s="1163" t="s">
        <v>304</v>
      </c>
      <c r="D9523" s="325"/>
      <c r="E9523" s="1163" t="s">
        <v>1379</v>
      </c>
      <c r="F9523" s="1164">
        <v>1</v>
      </c>
    </row>
    <row r="9524" spans="2:6">
      <c r="B9524" s="1162" t="s">
        <v>364</v>
      </c>
      <c r="C9524" s="1163" t="s">
        <v>304</v>
      </c>
      <c r="D9524" s="325"/>
      <c r="E9524" s="1163" t="s">
        <v>285</v>
      </c>
      <c r="F9524" s="1164">
        <v>1</v>
      </c>
    </row>
    <row r="9525" spans="2:6">
      <c r="B9525" s="1162" t="s">
        <v>364</v>
      </c>
      <c r="C9525" s="1163" t="s">
        <v>304</v>
      </c>
      <c r="D9525" s="325"/>
      <c r="E9525" s="1163" t="s">
        <v>1380</v>
      </c>
      <c r="F9525" s="1164">
        <v>1</v>
      </c>
    </row>
    <row r="9526" spans="2:6">
      <c r="B9526" s="1162" t="s">
        <v>364</v>
      </c>
      <c r="C9526" s="1163" t="s">
        <v>304</v>
      </c>
      <c r="D9526" s="325"/>
      <c r="E9526" s="1163" t="s">
        <v>281</v>
      </c>
      <c r="F9526" s="1164">
        <v>1</v>
      </c>
    </row>
    <row r="9527" spans="2:6">
      <c r="B9527" s="1162" t="s">
        <v>364</v>
      </c>
      <c r="C9527" s="1163" t="s">
        <v>304</v>
      </c>
      <c r="D9527" s="325"/>
      <c r="E9527" s="1163" t="s">
        <v>1384</v>
      </c>
      <c r="F9527" s="1164">
        <v>1</v>
      </c>
    </row>
    <row r="9528" spans="2:6">
      <c r="B9528" s="1162" t="s">
        <v>364</v>
      </c>
      <c r="C9528" s="1163" t="s">
        <v>300</v>
      </c>
      <c r="D9528" s="325" t="s">
        <v>800</v>
      </c>
      <c r="E9528" s="1163" t="s">
        <v>282</v>
      </c>
      <c r="F9528" s="1164">
        <v>1</v>
      </c>
    </row>
    <row r="9529" spans="2:6">
      <c r="B9529" s="1162" t="s">
        <v>364</v>
      </c>
      <c r="C9529" s="1163" t="s">
        <v>300</v>
      </c>
      <c r="D9529" s="325" t="s">
        <v>800</v>
      </c>
      <c r="E9529" s="1163" t="s">
        <v>283</v>
      </c>
      <c r="F9529" s="1164">
        <v>1</v>
      </c>
    </row>
    <row r="9530" spans="2:6">
      <c r="B9530" s="1162" t="s">
        <v>364</v>
      </c>
      <c r="C9530" s="1163" t="s">
        <v>300</v>
      </c>
      <c r="D9530" s="325" t="s">
        <v>800</v>
      </c>
      <c r="E9530" s="1163" t="s">
        <v>284</v>
      </c>
      <c r="F9530" s="1164">
        <v>1</v>
      </c>
    </row>
    <row r="9531" spans="2:6">
      <c r="B9531" s="1162" t="s">
        <v>364</v>
      </c>
      <c r="C9531" s="1163" t="s">
        <v>300</v>
      </c>
      <c r="D9531" s="325" t="s">
        <v>800</v>
      </c>
      <c r="E9531" s="1163" t="s">
        <v>1379</v>
      </c>
      <c r="F9531" s="1164">
        <v>1</v>
      </c>
    </row>
    <row r="9532" spans="2:6">
      <c r="B9532" s="1162" t="s">
        <v>364</v>
      </c>
      <c r="C9532" s="1163" t="s">
        <v>300</v>
      </c>
      <c r="D9532" s="325" t="s">
        <v>800</v>
      </c>
      <c r="E9532" s="1163" t="s">
        <v>285</v>
      </c>
      <c r="F9532" s="1164">
        <v>1</v>
      </c>
    </row>
    <row r="9533" spans="2:6">
      <c r="B9533" s="1162" t="s">
        <v>364</v>
      </c>
      <c r="C9533" s="1163" t="s">
        <v>300</v>
      </c>
      <c r="D9533" s="325" t="s">
        <v>800</v>
      </c>
      <c r="E9533" s="1163" t="s">
        <v>1380</v>
      </c>
      <c r="F9533" s="1164">
        <v>1</v>
      </c>
    </row>
    <row r="9534" spans="2:6">
      <c r="B9534" s="1162" t="s">
        <v>364</v>
      </c>
      <c r="C9534" s="1163" t="s">
        <v>300</v>
      </c>
      <c r="D9534" s="325" t="s">
        <v>800</v>
      </c>
      <c r="E9534" s="1163" t="s">
        <v>281</v>
      </c>
      <c r="F9534" s="1164">
        <v>1</v>
      </c>
    </row>
    <row r="9535" spans="2:6">
      <c r="B9535" s="1162" t="s">
        <v>364</v>
      </c>
      <c r="C9535" s="1163" t="s">
        <v>300</v>
      </c>
      <c r="D9535" s="325" t="s">
        <v>800</v>
      </c>
      <c r="E9535" s="1163" t="s">
        <v>1384</v>
      </c>
      <c r="F9535" s="1164">
        <v>1</v>
      </c>
    </row>
    <row r="9536" spans="2:6">
      <c r="B9536" s="1162" t="s">
        <v>364</v>
      </c>
      <c r="C9536" s="1163" t="s">
        <v>302</v>
      </c>
      <c r="D9536" s="325" t="s">
        <v>800</v>
      </c>
      <c r="E9536" s="1163" t="s">
        <v>282</v>
      </c>
      <c r="F9536" s="1164">
        <v>1</v>
      </c>
    </row>
    <row r="9537" spans="2:6">
      <c r="B9537" s="1162" t="s">
        <v>364</v>
      </c>
      <c r="C9537" s="1163" t="s">
        <v>302</v>
      </c>
      <c r="D9537" s="325" t="s">
        <v>800</v>
      </c>
      <c r="E9537" s="1163" t="s">
        <v>283</v>
      </c>
      <c r="F9537" s="1164">
        <v>1</v>
      </c>
    </row>
    <row r="9538" spans="2:6">
      <c r="B9538" s="1162" t="s">
        <v>364</v>
      </c>
      <c r="C9538" s="1163" t="s">
        <v>302</v>
      </c>
      <c r="D9538" s="325" t="s">
        <v>800</v>
      </c>
      <c r="E9538" s="1163" t="s">
        <v>284</v>
      </c>
      <c r="F9538" s="1164">
        <v>1</v>
      </c>
    </row>
    <row r="9539" spans="2:6">
      <c r="B9539" s="1162" t="s">
        <v>364</v>
      </c>
      <c r="C9539" s="1163" t="s">
        <v>302</v>
      </c>
      <c r="D9539" s="325" t="s">
        <v>800</v>
      </c>
      <c r="E9539" s="1163" t="s">
        <v>1379</v>
      </c>
      <c r="F9539" s="1164">
        <v>1</v>
      </c>
    </row>
    <row r="9540" spans="2:6">
      <c r="B9540" s="1162" t="s">
        <v>364</v>
      </c>
      <c r="C9540" s="1163" t="s">
        <v>302</v>
      </c>
      <c r="D9540" s="325" t="s">
        <v>800</v>
      </c>
      <c r="E9540" s="1163" t="s">
        <v>285</v>
      </c>
      <c r="F9540" s="1164">
        <v>1</v>
      </c>
    </row>
    <row r="9541" spans="2:6">
      <c r="B9541" s="1162" t="s">
        <v>364</v>
      </c>
      <c r="C9541" s="1163" t="s">
        <v>302</v>
      </c>
      <c r="D9541" s="325" t="s">
        <v>800</v>
      </c>
      <c r="E9541" s="1163" t="s">
        <v>1380</v>
      </c>
      <c r="F9541" s="1164">
        <v>1</v>
      </c>
    </row>
    <row r="9542" spans="2:6">
      <c r="B9542" s="1162" t="s">
        <v>364</v>
      </c>
      <c r="C9542" s="1163" t="s">
        <v>302</v>
      </c>
      <c r="D9542" s="325" t="s">
        <v>800</v>
      </c>
      <c r="E9542" s="1163" t="s">
        <v>281</v>
      </c>
      <c r="F9542" s="1164">
        <v>1</v>
      </c>
    </row>
    <row r="9543" spans="2:6">
      <c r="B9543" s="1162" t="s">
        <v>364</v>
      </c>
      <c r="C9543" s="1163" t="s">
        <v>302</v>
      </c>
      <c r="D9543" s="325" t="s">
        <v>800</v>
      </c>
      <c r="E9543" s="1163" t="s">
        <v>1384</v>
      </c>
      <c r="F9543" s="1164">
        <v>1</v>
      </c>
    </row>
    <row r="9544" spans="2:6">
      <c r="B9544" s="1162" t="s">
        <v>364</v>
      </c>
      <c r="C9544" s="1163" t="s">
        <v>308</v>
      </c>
      <c r="D9544" s="325"/>
      <c r="E9544" s="1163" t="s">
        <v>282</v>
      </c>
      <c r="F9544" s="1164">
        <v>1</v>
      </c>
    </row>
    <row r="9545" spans="2:6">
      <c r="B9545" s="1162" t="s">
        <v>364</v>
      </c>
      <c r="C9545" s="1163" t="s">
        <v>308</v>
      </c>
      <c r="D9545" s="325"/>
      <c r="E9545" s="1163" t="s">
        <v>283</v>
      </c>
      <c r="F9545" s="1164">
        <v>1</v>
      </c>
    </row>
    <row r="9546" spans="2:6">
      <c r="B9546" s="1162" t="s">
        <v>364</v>
      </c>
      <c r="C9546" s="1163" t="s">
        <v>308</v>
      </c>
      <c r="D9546" s="325"/>
      <c r="E9546" s="1163" t="s">
        <v>284</v>
      </c>
      <c r="F9546" s="1164">
        <v>1</v>
      </c>
    </row>
    <row r="9547" spans="2:6">
      <c r="B9547" s="1162" t="s">
        <v>364</v>
      </c>
      <c r="C9547" s="1163" t="s">
        <v>308</v>
      </c>
      <c r="D9547" s="325"/>
      <c r="E9547" s="1163" t="s">
        <v>1379</v>
      </c>
      <c r="F9547" s="1164">
        <v>1</v>
      </c>
    </row>
    <row r="9548" spans="2:6">
      <c r="B9548" s="1162" t="s">
        <v>364</v>
      </c>
      <c r="C9548" s="1163" t="s">
        <v>308</v>
      </c>
      <c r="D9548" s="325"/>
      <c r="E9548" s="1163" t="s">
        <v>285</v>
      </c>
      <c r="F9548" s="1164">
        <v>1</v>
      </c>
    </row>
    <row r="9549" spans="2:6">
      <c r="B9549" s="1162" t="s">
        <v>364</v>
      </c>
      <c r="C9549" s="1163" t="s">
        <v>308</v>
      </c>
      <c r="D9549" s="325"/>
      <c r="E9549" s="1163" t="s">
        <v>1380</v>
      </c>
      <c r="F9549" s="1164">
        <v>1</v>
      </c>
    </row>
    <row r="9550" spans="2:6">
      <c r="B9550" s="1162" t="s">
        <v>364</v>
      </c>
      <c r="C9550" s="1163" t="s">
        <v>308</v>
      </c>
      <c r="D9550" s="325"/>
      <c r="E9550" s="1163" t="s">
        <v>281</v>
      </c>
      <c r="F9550" s="1164">
        <v>1</v>
      </c>
    </row>
    <row r="9551" spans="2:6">
      <c r="B9551" s="1162" t="s">
        <v>364</v>
      </c>
      <c r="C9551" s="1163" t="s">
        <v>308</v>
      </c>
      <c r="D9551" s="325"/>
      <c r="E9551" s="1163" t="s">
        <v>1384</v>
      </c>
      <c r="F9551" s="1164">
        <v>1</v>
      </c>
    </row>
    <row r="9552" spans="2:6">
      <c r="B9552" s="1162" t="s">
        <v>364</v>
      </c>
      <c r="C9552" s="1163" t="s">
        <v>306</v>
      </c>
      <c r="D9552" s="325"/>
      <c r="E9552" s="1163" t="s">
        <v>282</v>
      </c>
      <c r="F9552" s="1164">
        <v>1</v>
      </c>
    </row>
    <row r="9553" spans="2:6">
      <c r="B9553" s="1162" t="s">
        <v>364</v>
      </c>
      <c r="C9553" s="1163" t="s">
        <v>306</v>
      </c>
      <c r="D9553" s="325"/>
      <c r="E9553" s="1163" t="s">
        <v>283</v>
      </c>
      <c r="F9553" s="1164">
        <v>1</v>
      </c>
    </row>
    <row r="9554" spans="2:6">
      <c r="B9554" s="1162" t="s">
        <v>364</v>
      </c>
      <c r="C9554" s="1163" t="s">
        <v>306</v>
      </c>
      <c r="D9554" s="325"/>
      <c r="E9554" s="1163" t="s">
        <v>284</v>
      </c>
      <c r="F9554" s="1164">
        <v>1</v>
      </c>
    </row>
    <row r="9555" spans="2:6">
      <c r="B9555" s="1162" t="s">
        <v>364</v>
      </c>
      <c r="C9555" s="1163" t="s">
        <v>306</v>
      </c>
      <c r="D9555" s="325"/>
      <c r="E9555" s="1163" t="s">
        <v>1379</v>
      </c>
      <c r="F9555" s="1164">
        <v>1</v>
      </c>
    </row>
    <row r="9556" spans="2:6">
      <c r="B9556" s="1162" t="s">
        <v>364</v>
      </c>
      <c r="C9556" s="1163" t="s">
        <v>306</v>
      </c>
      <c r="D9556" s="325"/>
      <c r="E9556" s="1163" t="s">
        <v>285</v>
      </c>
      <c r="F9556" s="1164">
        <v>1</v>
      </c>
    </row>
    <row r="9557" spans="2:6">
      <c r="B9557" s="1162" t="s">
        <v>364</v>
      </c>
      <c r="C9557" s="1163" t="s">
        <v>306</v>
      </c>
      <c r="D9557" s="325"/>
      <c r="E9557" s="1163" t="s">
        <v>1380</v>
      </c>
      <c r="F9557" s="1164">
        <v>1</v>
      </c>
    </row>
    <row r="9558" spans="2:6">
      <c r="B9558" s="1162" t="s">
        <v>364</v>
      </c>
      <c r="C9558" s="1163" t="s">
        <v>306</v>
      </c>
      <c r="D9558" s="325"/>
      <c r="E9558" s="1163" t="s">
        <v>281</v>
      </c>
      <c r="F9558" s="1164">
        <v>1</v>
      </c>
    </row>
    <row r="9559" spans="2:6">
      <c r="B9559" s="1162" t="s">
        <v>364</v>
      </c>
      <c r="C9559" s="1163" t="s">
        <v>306</v>
      </c>
      <c r="D9559" s="325"/>
      <c r="E9559" s="1163" t="s">
        <v>1384</v>
      </c>
      <c r="F9559" s="1164">
        <v>1</v>
      </c>
    </row>
    <row r="9560" spans="2:6">
      <c r="B9560" s="1162" t="s">
        <v>364</v>
      </c>
      <c r="C9560" s="1163" t="s">
        <v>311</v>
      </c>
      <c r="D9560" s="325"/>
      <c r="E9560" s="1163" t="s">
        <v>282</v>
      </c>
      <c r="F9560" s="1164">
        <v>1</v>
      </c>
    </row>
    <row r="9561" spans="2:6">
      <c r="B9561" s="1162" t="s">
        <v>364</v>
      </c>
      <c r="C9561" s="1163" t="s">
        <v>311</v>
      </c>
      <c r="D9561" s="325"/>
      <c r="E9561" s="1163" t="s">
        <v>283</v>
      </c>
      <c r="F9561" s="1164">
        <v>1</v>
      </c>
    </row>
    <row r="9562" spans="2:6">
      <c r="B9562" s="1162" t="s">
        <v>364</v>
      </c>
      <c r="C9562" s="1163" t="s">
        <v>311</v>
      </c>
      <c r="D9562" s="325"/>
      <c r="E9562" s="1163" t="s">
        <v>284</v>
      </c>
      <c r="F9562" s="1164">
        <v>1</v>
      </c>
    </row>
    <row r="9563" spans="2:6">
      <c r="B9563" s="1162" t="s">
        <v>364</v>
      </c>
      <c r="C9563" s="1163" t="s">
        <v>311</v>
      </c>
      <c r="D9563" s="325"/>
      <c r="E9563" s="1163" t="s">
        <v>1379</v>
      </c>
      <c r="F9563" s="1164">
        <v>1</v>
      </c>
    </row>
    <row r="9564" spans="2:6">
      <c r="B9564" s="1162" t="s">
        <v>364</v>
      </c>
      <c r="C9564" s="1163" t="s">
        <v>311</v>
      </c>
      <c r="D9564" s="325"/>
      <c r="E9564" s="1163" t="s">
        <v>285</v>
      </c>
      <c r="F9564" s="1164">
        <v>1</v>
      </c>
    </row>
    <row r="9565" spans="2:6">
      <c r="B9565" s="1162" t="s">
        <v>364</v>
      </c>
      <c r="C9565" s="1163" t="s">
        <v>311</v>
      </c>
      <c r="D9565" s="325"/>
      <c r="E9565" s="1163" t="s">
        <v>1380</v>
      </c>
      <c r="F9565" s="1164">
        <v>1</v>
      </c>
    </row>
    <row r="9566" spans="2:6">
      <c r="B9566" s="1162" t="s">
        <v>364</v>
      </c>
      <c r="C9566" s="1163" t="s">
        <v>311</v>
      </c>
      <c r="D9566" s="325"/>
      <c r="E9566" s="1163" t="s">
        <v>281</v>
      </c>
      <c r="F9566" s="1164">
        <v>1</v>
      </c>
    </row>
    <row r="9567" spans="2:6">
      <c r="B9567" s="1162" t="s">
        <v>364</v>
      </c>
      <c r="C9567" s="1163" t="s">
        <v>311</v>
      </c>
      <c r="D9567" s="325"/>
      <c r="E9567" s="1163" t="s">
        <v>1384</v>
      </c>
      <c r="F9567" s="1164">
        <v>1</v>
      </c>
    </row>
    <row r="9568" spans="2:6">
      <c r="B9568" s="1162" t="s">
        <v>364</v>
      </c>
      <c r="C9568" s="1163" t="s">
        <v>309</v>
      </c>
      <c r="D9568" s="325"/>
      <c r="E9568" s="1163" t="s">
        <v>282</v>
      </c>
      <c r="F9568" s="1164">
        <v>1</v>
      </c>
    </row>
    <row r="9569" spans="2:6">
      <c r="B9569" s="1162" t="s">
        <v>364</v>
      </c>
      <c r="C9569" s="1163" t="s">
        <v>309</v>
      </c>
      <c r="D9569" s="325"/>
      <c r="E9569" s="1163" t="s">
        <v>283</v>
      </c>
      <c r="F9569" s="1164">
        <v>1</v>
      </c>
    </row>
    <row r="9570" spans="2:6">
      <c r="B9570" s="1162" t="s">
        <v>364</v>
      </c>
      <c r="C9570" s="1163" t="s">
        <v>309</v>
      </c>
      <c r="D9570" s="325"/>
      <c r="E9570" s="1163" t="s">
        <v>284</v>
      </c>
      <c r="F9570" s="1164">
        <v>1</v>
      </c>
    </row>
    <row r="9571" spans="2:6">
      <c r="B9571" s="1162" t="s">
        <v>364</v>
      </c>
      <c r="C9571" s="1163" t="s">
        <v>309</v>
      </c>
      <c r="D9571" s="325"/>
      <c r="E9571" s="1163" t="s">
        <v>1379</v>
      </c>
      <c r="F9571" s="1164">
        <v>1</v>
      </c>
    </row>
    <row r="9572" spans="2:6">
      <c r="B9572" s="1162" t="s">
        <v>364</v>
      </c>
      <c r="C9572" s="1163" t="s">
        <v>309</v>
      </c>
      <c r="D9572" s="325"/>
      <c r="E9572" s="1163" t="s">
        <v>285</v>
      </c>
      <c r="F9572" s="1164">
        <v>1</v>
      </c>
    </row>
    <row r="9573" spans="2:6">
      <c r="B9573" s="1162" t="s">
        <v>364</v>
      </c>
      <c r="C9573" s="1163" t="s">
        <v>309</v>
      </c>
      <c r="D9573" s="325"/>
      <c r="E9573" s="1163" t="s">
        <v>1380</v>
      </c>
      <c r="F9573" s="1164">
        <v>1</v>
      </c>
    </row>
    <row r="9574" spans="2:6">
      <c r="B9574" s="1162" t="s">
        <v>364</v>
      </c>
      <c r="C9574" s="1163" t="s">
        <v>309</v>
      </c>
      <c r="D9574" s="325"/>
      <c r="E9574" s="1163" t="s">
        <v>281</v>
      </c>
      <c r="F9574" s="1164">
        <v>1</v>
      </c>
    </row>
    <row r="9575" spans="2:6">
      <c r="B9575" s="1162" t="s">
        <v>364</v>
      </c>
      <c r="C9575" s="1163" t="s">
        <v>309</v>
      </c>
      <c r="D9575" s="325"/>
      <c r="E9575" s="1163" t="s">
        <v>1384</v>
      </c>
      <c r="F9575" s="1164">
        <v>1</v>
      </c>
    </row>
    <row r="9576" spans="2:6">
      <c r="B9576" s="1162" t="s">
        <v>364</v>
      </c>
      <c r="C9576" s="1163" t="s">
        <v>307</v>
      </c>
      <c r="D9576" s="325"/>
      <c r="E9576" s="1163" t="s">
        <v>282</v>
      </c>
      <c r="F9576" s="1164">
        <v>1</v>
      </c>
    </row>
    <row r="9577" spans="2:6">
      <c r="B9577" s="1162" t="s">
        <v>364</v>
      </c>
      <c r="C9577" s="1163" t="s">
        <v>307</v>
      </c>
      <c r="D9577" s="325"/>
      <c r="E9577" s="1163" t="s">
        <v>283</v>
      </c>
      <c r="F9577" s="1164">
        <v>1</v>
      </c>
    </row>
    <row r="9578" spans="2:6">
      <c r="B9578" s="1162" t="s">
        <v>364</v>
      </c>
      <c r="C9578" s="1163" t="s">
        <v>307</v>
      </c>
      <c r="D9578" s="325"/>
      <c r="E9578" s="1163" t="s">
        <v>284</v>
      </c>
      <c r="F9578" s="1164">
        <v>1</v>
      </c>
    </row>
    <row r="9579" spans="2:6">
      <c r="B9579" s="1162" t="s">
        <v>364</v>
      </c>
      <c r="C9579" s="1163" t="s">
        <v>307</v>
      </c>
      <c r="D9579" s="325"/>
      <c r="E9579" s="1163" t="s">
        <v>1379</v>
      </c>
      <c r="F9579" s="1164">
        <v>1</v>
      </c>
    </row>
    <row r="9580" spans="2:6">
      <c r="B9580" s="1162" t="s">
        <v>364</v>
      </c>
      <c r="C9580" s="1163" t="s">
        <v>307</v>
      </c>
      <c r="D9580" s="325"/>
      <c r="E9580" s="1163" t="s">
        <v>285</v>
      </c>
      <c r="F9580" s="1164">
        <v>1</v>
      </c>
    </row>
    <row r="9581" spans="2:6">
      <c r="B9581" s="1162" t="s">
        <v>364</v>
      </c>
      <c r="C9581" s="1163" t="s">
        <v>307</v>
      </c>
      <c r="D9581" s="325"/>
      <c r="E9581" s="1163" t="s">
        <v>1380</v>
      </c>
      <c r="F9581" s="1164">
        <v>1</v>
      </c>
    </row>
    <row r="9582" spans="2:6">
      <c r="B9582" s="1162" t="s">
        <v>364</v>
      </c>
      <c r="C9582" s="1163" t="s">
        <v>307</v>
      </c>
      <c r="D9582" s="325"/>
      <c r="E9582" s="1163" t="s">
        <v>281</v>
      </c>
      <c r="F9582" s="1164">
        <v>1</v>
      </c>
    </row>
    <row r="9583" spans="2:6">
      <c r="B9583" s="1162" t="s">
        <v>364</v>
      </c>
      <c r="C9583" s="1163" t="s">
        <v>307</v>
      </c>
      <c r="D9583" s="325"/>
      <c r="E9583" s="1163" t="s">
        <v>1384</v>
      </c>
      <c r="F9583" s="1164">
        <v>1</v>
      </c>
    </row>
    <row r="9584" spans="2:6">
      <c r="B9584" s="136" t="s">
        <v>576</v>
      </c>
      <c r="C9584" s="132" t="s">
        <v>315</v>
      </c>
      <c r="D9584" s="325" t="s">
        <v>5</v>
      </c>
      <c r="E9584" s="132" t="s">
        <v>282</v>
      </c>
      <c r="F9584" s="1109">
        <v>0.5</v>
      </c>
    </row>
    <row r="9585" spans="2:6">
      <c r="B9585" s="136" t="s">
        <v>576</v>
      </c>
      <c r="C9585" s="132" t="s">
        <v>315</v>
      </c>
      <c r="D9585" s="325" t="s">
        <v>5</v>
      </c>
      <c r="E9585" s="132" t="s">
        <v>283</v>
      </c>
      <c r="F9585" s="1109">
        <v>1</v>
      </c>
    </row>
    <row r="9586" spans="2:6">
      <c r="B9586" s="136" t="s">
        <v>576</v>
      </c>
      <c r="C9586" s="132" t="s">
        <v>315</v>
      </c>
      <c r="D9586" s="325" t="s">
        <v>5</v>
      </c>
      <c r="E9586" s="132" t="s">
        <v>284</v>
      </c>
      <c r="F9586" s="1109">
        <v>1</v>
      </c>
    </row>
    <row r="9587" spans="2:6">
      <c r="B9587" s="136" t="s">
        <v>576</v>
      </c>
      <c r="C9587" s="132" t="s">
        <v>315</v>
      </c>
      <c r="D9587" s="325" t="s">
        <v>5</v>
      </c>
      <c r="E9587" s="132" t="s">
        <v>1379</v>
      </c>
      <c r="F9587" s="1109">
        <v>1</v>
      </c>
    </row>
    <row r="9588" spans="2:6">
      <c r="B9588" s="136" t="s">
        <v>576</v>
      </c>
      <c r="C9588" s="132" t="s">
        <v>315</v>
      </c>
      <c r="D9588" s="325" t="s">
        <v>5</v>
      </c>
      <c r="E9588" s="132" t="s">
        <v>285</v>
      </c>
      <c r="F9588" s="1109">
        <v>1</v>
      </c>
    </row>
    <row r="9589" spans="2:6">
      <c r="B9589" s="136" t="s">
        <v>576</v>
      </c>
      <c r="C9589" s="132" t="s">
        <v>315</v>
      </c>
      <c r="D9589" s="325" t="s">
        <v>5</v>
      </c>
      <c r="E9589" s="132" t="s">
        <v>1380</v>
      </c>
      <c r="F9589" s="1109">
        <v>1</v>
      </c>
    </row>
    <row r="9590" spans="2:6">
      <c r="B9590" s="136" t="s">
        <v>576</v>
      </c>
      <c r="C9590" s="132" t="s">
        <v>315</v>
      </c>
      <c r="D9590" s="325" t="s">
        <v>5</v>
      </c>
      <c r="E9590" s="132" t="s">
        <v>281</v>
      </c>
      <c r="F9590" s="1109">
        <v>1</v>
      </c>
    </row>
    <row r="9591" spans="2:6">
      <c r="B9591" s="136" t="s">
        <v>576</v>
      </c>
      <c r="C9591" s="132" t="s">
        <v>315</v>
      </c>
      <c r="D9591" s="325" t="s">
        <v>5</v>
      </c>
      <c r="E9591" s="132" t="s">
        <v>1384</v>
      </c>
      <c r="F9591" s="1109">
        <v>1</v>
      </c>
    </row>
    <row r="9592" spans="2:6">
      <c r="B9592" s="136" t="s">
        <v>576</v>
      </c>
      <c r="C9592" s="132" t="s">
        <v>313</v>
      </c>
      <c r="D9592" s="325" t="s">
        <v>5</v>
      </c>
      <c r="E9592" s="132" t="s">
        <v>282</v>
      </c>
      <c r="F9592" s="1109">
        <v>0.5</v>
      </c>
    </row>
    <row r="9593" spans="2:6">
      <c r="B9593" s="136" t="s">
        <v>576</v>
      </c>
      <c r="C9593" s="132" t="s">
        <v>313</v>
      </c>
      <c r="D9593" s="325" t="s">
        <v>5</v>
      </c>
      <c r="E9593" s="132" t="s">
        <v>283</v>
      </c>
      <c r="F9593" s="1109">
        <v>1</v>
      </c>
    </row>
    <row r="9594" spans="2:6">
      <c r="B9594" s="136" t="s">
        <v>576</v>
      </c>
      <c r="C9594" s="132" t="s">
        <v>313</v>
      </c>
      <c r="D9594" s="325" t="s">
        <v>5</v>
      </c>
      <c r="E9594" s="132" t="s">
        <v>284</v>
      </c>
      <c r="F9594" s="1109">
        <v>1</v>
      </c>
    </row>
    <row r="9595" spans="2:6">
      <c r="B9595" s="136" t="s">
        <v>576</v>
      </c>
      <c r="C9595" s="132" t="s">
        <v>313</v>
      </c>
      <c r="D9595" s="325" t="s">
        <v>5</v>
      </c>
      <c r="E9595" s="132" t="s">
        <v>1379</v>
      </c>
      <c r="F9595" s="1109">
        <v>1</v>
      </c>
    </row>
    <row r="9596" spans="2:6">
      <c r="B9596" s="136" t="s">
        <v>576</v>
      </c>
      <c r="C9596" s="132" t="s">
        <v>313</v>
      </c>
      <c r="D9596" s="325" t="s">
        <v>5</v>
      </c>
      <c r="E9596" s="132" t="s">
        <v>285</v>
      </c>
      <c r="F9596" s="1109">
        <v>1</v>
      </c>
    </row>
    <row r="9597" spans="2:6">
      <c r="B9597" s="136" t="s">
        <v>576</v>
      </c>
      <c r="C9597" s="132" t="s">
        <v>313</v>
      </c>
      <c r="D9597" s="325" t="s">
        <v>5</v>
      </c>
      <c r="E9597" s="132" t="s">
        <v>1380</v>
      </c>
      <c r="F9597" s="1109">
        <v>1</v>
      </c>
    </row>
    <row r="9598" spans="2:6">
      <c r="B9598" s="136" t="s">
        <v>576</v>
      </c>
      <c r="C9598" s="132" t="s">
        <v>313</v>
      </c>
      <c r="D9598" s="325" t="s">
        <v>5</v>
      </c>
      <c r="E9598" s="132" t="s">
        <v>281</v>
      </c>
      <c r="F9598" s="1109">
        <v>1</v>
      </c>
    </row>
    <row r="9599" spans="2:6">
      <c r="B9599" s="136" t="s">
        <v>576</v>
      </c>
      <c r="C9599" s="132" t="s">
        <v>313</v>
      </c>
      <c r="D9599" s="325" t="s">
        <v>5</v>
      </c>
      <c r="E9599" s="132" t="s">
        <v>1384</v>
      </c>
      <c r="F9599" s="1109">
        <v>1</v>
      </c>
    </row>
    <row r="9600" spans="2:6">
      <c r="B9600" s="136" t="s">
        <v>576</v>
      </c>
      <c r="C9600" s="132" t="s">
        <v>304</v>
      </c>
      <c r="D9600" s="325" t="s">
        <v>4</v>
      </c>
      <c r="E9600" s="132" t="s">
        <v>282</v>
      </c>
      <c r="F9600" s="1109">
        <v>1</v>
      </c>
    </row>
    <row r="9601" spans="2:6">
      <c r="B9601" s="136" t="s">
        <v>576</v>
      </c>
      <c r="C9601" s="132" t="s">
        <v>304</v>
      </c>
      <c r="D9601" s="325" t="s">
        <v>4</v>
      </c>
      <c r="E9601" s="132" t="s">
        <v>283</v>
      </c>
      <c r="F9601" s="1109">
        <v>0.84</v>
      </c>
    </row>
    <row r="9602" spans="2:6">
      <c r="B9602" s="136" t="s">
        <v>576</v>
      </c>
      <c r="C9602" s="132" t="s">
        <v>304</v>
      </c>
      <c r="D9602" s="325" t="s">
        <v>4</v>
      </c>
      <c r="E9602" s="132" t="s">
        <v>284</v>
      </c>
      <c r="F9602" s="1109">
        <v>1</v>
      </c>
    </row>
    <row r="9603" spans="2:6">
      <c r="B9603" s="136" t="s">
        <v>576</v>
      </c>
      <c r="C9603" s="132" t="s">
        <v>304</v>
      </c>
      <c r="D9603" s="325" t="s">
        <v>4</v>
      </c>
      <c r="E9603" s="132" t="s">
        <v>1379</v>
      </c>
      <c r="F9603" s="1109">
        <v>1</v>
      </c>
    </row>
    <row r="9604" spans="2:6">
      <c r="B9604" s="136" t="s">
        <v>576</v>
      </c>
      <c r="C9604" s="132" t="s">
        <v>304</v>
      </c>
      <c r="D9604" s="325" t="s">
        <v>4</v>
      </c>
      <c r="E9604" s="132" t="s">
        <v>285</v>
      </c>
      <c r="F9604" s="1109">
        <v>1</v>
      </c>
    </row>
    <row r="9605" spans="2:6">
      <c r="B9605" s="136" t="s">
        <v>576</v>
      </c>
      <c r="C9605" s="132" t="s">
        <v>304</v>
      </c>
      <c r="D9605" s="325" t="s">
        <v>4</v>
      </c>
      <c r="E9605" s="132" t="s">
        <v>1380</v>
      </c>
      <c r="F9605" s="1109">
        <v>1</v>
      </c>
    </row>
    <row r="9606" spans="2:6">
      <c r="B9606" s="136" t="s">
        <v>576</v>
      </c>
      <c r="C9606" s="132" t="s">
        <v>304</v>
      </c>
      <c r="D9606" s="325" t="s">
        <v>4</v>
      </c>
      <c r="E9606" s="132" t="s">
        <v>281</v>
      </c>
      <c r="F9606" s="1109">
        <v>0.54</v>
      </c>
    </row>
    <row r="9607" spans="2:6">
      <c r="B9607" s="136" t="s">
        <v>576</v>
      </c>
      <c r="C9607" s="132" t="s">
        <v>304</v>
      </c>
      <c r="D9607" s="325" t="s">
        <v>4</v>
      </c>
      <c r="E9607" s="132" t="s">
        <v>1384</v>
      </c>
      <c r="F9607" s="1109">
        <v>1</v>
      </c>
    </row>
    <row r="9608" spans="2:6">
      <c r="B9608" s="136" t="s">
        <v>576</v>
      </c>
      <c r="C9608" s="132" t="s">
        <v>300</v>
      </c>
      <c r="D9608" s="325" t="s">
        <v>4</v>
      </c>
      <c r="E9608" s="132" t="s">
        <v>282</v>
      </c>
      <c r="F9608" s="1109">
        <v>1</v>
      </c>
    </row>
    <row r="9609" spans="2:6">
      <c r="B9609" s="136" t="s">
        <v>576</v>
      </c>
      <c r="C9609" s="132" t="s">
        <v>300</v>
      </c>
      <c r="D9609" s="325" t="s">
        <v>4</v>
      </c>
      <c r="E9609" s="132" t="s">
        <v>283</v>
      </c>
      <c r="F9609" s="1109">
        <v>0.84</v>
      </c>
    </row>
    <row r="9610" spans="2:6">
      <c r="B9610" s="136" t="s">
        <v>576</v>
      </c>
      <c r="C9610" s="132" t="s">
        <v>300</v>
      </c>
      <c r="D9610" s="325" t="s">
        <v>4</v>
      </c>
      <c r="E9610" s="132" t="s">
        <v>284</v>
      </c>
      <c r="F9610" s="1109">
        <v>1</v>
      </c>
    </row>
    <row r="9611" spans="2:6">
      <c r="B9611" s="136" t="s">
        <v>576</v>
      </c>
      <c r="C9611" s="132" t="s">
        <v>300</v>
      </c>
      <c r="D9611" s="325" t="s">
        <v>4</v>
      </c>
      <c r="E9611" s="132" t="s">
        <v>1379</v>
      </c>
      <c r="F9611" s="1109">
        <v>1</v>
      </c>
    </row>
    <row r="9612" spans="2:6">
      <c r="B9612" s="136" t="s">
        <v>576</v>
      </c>
      <c r="C9612" s="132" t="s">
        <v>300</v>
      </c>
      <c r="D9612" s="325" t="s">
        <v>4</v>
      </c>
      <c r="E9612" s="132" t="s">
        <v>285</v>
      </c>
      <c r="F9612" s="1109">
        <v>1</v>
      </c>
    </row>
    <row r="9613" spans="2:6">
      <c r="B9613" s="136" t="s">
        <v>576</v>
      </c>
      <c r="C9613" s="132" t="s">
        <v>300</v>
      </c>
      <c r="D9613" s="325" t="s">
        <v>4</v>
      </c>
      <c r="E9613" s="132" t="s">
        <v>1380</v>
      </c>
      <c r="F9613" s="1109">
        <v>1</v>
      </c>
    </row>
    <row r="9614" spans="2:6">
      <c r="B9614" s="136" t="s">
        <v>576</v>
      </c>
      <c r="C9614" s="132" t="s">
        <v>300</v>
      </c>
      <c r="D9614" s="325" t="s">
        <v>4</v>
      </c>
      <c r="E9614" s="132" t="s">
        <v>281</v>
      </c>
      <c r="F9614" s="1109">
        <v>0.54</v>
      </c>
    </row>
    <row r="9615" spans="2:6">
      <c r="B9615" s="136" t="s">
        <v>576</v>
      </c>
      <c r="C9615" s="132" t="s">
        <v>300</v>
      </c>
      <c r="D9615" s="325" t="s">
        <v>4</v>
      </c>
      <c r="E9615" s="132" t="s">
        <v>1384</v>
      </c>
      <c r="F9615" s="1109">
        <v>1</v>
      </c>
    </row>
    <row r="9616" spans="2:6">
      <c r="B9616" s="136" t="s">
        <v>576</v>
      </c>
      <c r="C9616" s="132" t="s">
        <v>302</v>
      </c>
      <c r="D9616" s="325" t="s">
        <v>4</v>
      </c>
      <c r="E9616" s="132" t="s">
        <v>282</v>
      </c>
      <c r="F9616" s="1109">
        <v>1</v>
      </c>
    </row>
    <row r="9617" spans="2:6">
      <c r="B9617" s="136" t="s">
        <v>576</v>
      </c>
      <c r="C9617" s="132" t="s">
        <v>302</v>
      </c>
      <c r="D9617" s="325" t="s">
        <v>4</v>
      </c>
      <c r="E9617" s="132" t="s">
        <v>283</v>
      </c>
      <c r="F9617" s="1109">
        <v>0.84</v>
      </c>
    </row>
    <row r="9618" spans="2:6">
      <c r="B9618" s="136" t="s">
        <v>576</v>
      </c>
      <c r="C9618" s="132" t="s">
        <v>302</v>
      </c>
      <c r="D9618" s="325" t="s">
        <v>4</v>
      </c>
      <c r="E9618" s="132" t="s">
        <v>284</v>
      </c>
      <c r="F9618" s="1109">
        <v>1</v>
      </c>
    </row>
    <row r="9619" spans="2:6">
      <c r="B9619" s="136" t="s">
        <v>576</v>
      </c>
      <c r="C9619" s="132" t="s">
        <v>302</v>
      </c>
      <c r="D9619" s="325" t="s">
        <v>4</v>
      </c>
      <c r="E9619" s="132" t="s">
        <v>1379</v>
      </c>
      <c r="F9619" s="1109">
        <v>1</v>
      </c>
    </row>
    <row r="9620" spans="2:6">
      <c r="B9620" s="136" t="s">
        <v>576</v>
      </c>
      <c r="C9620" s="132" t="s">
        <v>302</v>
      </c>
      <c r="D9620" s="325" t="s">
        <v>4</v>
      </c>
      <c r="E9620" s="132" t="s">
        <v>285</v>
      </c>
      <c r="F9620" s="1109">
        <v>1</v>
      </c>
    </row>
    <row r="9621" spans="2:6">
      <c r="B9621" s="136" t="s">
        <v>576</v>
      </c>
      <c r="C9621" s="132" t="s">
        <v>302</v>
      </c>
      <c r="D9621" s="325" t="s">
        <v>4</v>
      </c>
      <c r="E9621" s="132" t="s">
        <v>1380</v>
      </c>
      <c r="F9621" s="1109">
        <v>1</v>
      </c>
    </row>
    <row r="9622" spans="2:6">
      <c r="B9622" s="136" t="s">
        <v>576</v>
      </c>
      <c r="C9622" s="132" t="s">
        <v>302</v>
      </c>
      <c r="D9622" s="325" t="s">
        <v>4</v>
      </c>
      <c r="E9622" s="132" t="s">
        <v>281</v>
      </c>
      <c r="F9622" s="1109">
        <v>0.54</v>
      </c>
    </row>
    <row r="9623" spans="2:6">
      <c r="B9623" s="136" t="s">
        <v>576</v>
      </c>
      <c r="C9623" s="132" t="s">
        <v>302</v>
      </c>
      <c r="D9623" s="325" t="s">
        <v>4</v>
      </c>
      <c r="E9623" s="132" t="s">
        <v>1384</v>
      </c>
      <c r="F9623" s="1109">
        <v>1</v>
      </c>
    </row>
    <row r="9624" spans="2:6">
      <c r="B9624" s="136" t="s">
        <v>576</v>
      </c>
      <c r="C9624" s="132" t="s">
        <v>308</v>
      </c>
      <c r="D9624" s="325" t="s">
        <v>5</v>
      </c>
      <c r="E9624" s="132" t="s">
        <v>282</v>
      </c>
      <c r="F9624" s="1109">
        <v>0.5</v>
      </c>
    </row>
    <row r="9625" spans="2:6">
      <c r="B9625" s="136" t="s">
        <v>576</v>
      </c>
      <c r="C9625" s="132" t="s">
        <v>308</v>
      </c>
      <c r="D9625" s="325" t="s">
        <v>5</v>
      </c>
      <c r="E9625" s="132" t="s">
        <v>283</v>
      </c>
      <c r="F9625" s="1109">
        <v>1</v>
      </c>
    </row>
    <row r="9626" spans="2:6">
      <c r="B9626" s="136" t="s">
        <v>576</v>
      </c>
      <c r="C9626" s="132" t="s">
        <v>308</v>
      </c>
      <c r="D9626" s="325" t="s">
        <v>5</v>
      </c>
      <c r="E9626" s="132" t="s">
        <v>284</v>
      </c>
      <c r="F9626" s="1109">
        <v>1</v>
      </c>
    </row>
    <row r="9627" spans="2:6">
      <c r="B9627" s="136" t="s">
        <v>576</v>
      </c>
      <c r="C9627" s="132" t="s">
        <v>308</v>
      </c>
      <c r="D9627" s="325" t="s">
        <v>5</v>
      </c>
      <c r="E9627" s="132" t="s">
        <v>1379</v>
      </c>
      <c r="F9627" s="1109">
        <v>1</v>
      </c>
    </row>
    <row r="9628" spans="2:6">
      <c r="B9628" s="136" t="s">
        <v>576</v>
      </c>
      <c r="C9628" s="132" t="s">
        <v>308</v>
      </c>
      <c r="D9628" s="325" t="s">
        <v>5</v>
      </c>
      <c r="E9628" s="132" t="s">
        <v>285</v>
      </c>
      <c r="F9628" s="1109">
        <v>1</v>
      </c>
    </row>
    <row r="9629" spans="2:6">
      <c r="B9629" s="136" t="s">
        <v>576</v>
      </c>
      <c r="C9629" s="132" t="s">
        <v>308</v>
      </c>
      <c r="D9629" s="325" t="s">
        <v>5</v>
      </c>
      <c r="E9629" s="132" t="s">
        <v>1380</v>
      </c>
      <c r="F9629" s="1109">
        <v>1</v>
      </c>
    </row>
    <row r="9630" spans="2:6">
      <c r="B9630" s="136" t="s">
        <v>576</v>
      </c>
      <c r="C9630" s="132" t="s">
        <v>308</v>
      </c>
      <c r="D9630" s="325" t="s">
        <v>5</v>
      </c>
      <c r="E9630" s="132" t="s">
        <v>281</v>
      </c>
      <c r="F9630" s="1109">
        <v>1</v>
      </c>
    </row>
    <row r="9631" spans="2:6">
      <c r="B9631" s="136" t="s">
        <v>576</v>
      </c>
      <c r="C9631" s="132" t="s">
        <v>308</v>
      </c>
      <c r="D9631" s="325" t="s">
        <v>5</v>
      </c>
      <c r="E9631" s="132" t="s">
        <v>1384</v>
      </c>
      <c r="F9631" s="1109">
        <v>1</v>
      </c>
    </row>
    <row r="9632" spans="2:6">
      <c r="B9632" s="136" t="s">
        <v>576</v>
      </c>
      <c r="C9632" s="132" t="s">
        <v>306</v>
      </c>
      <c r="D9632" s="325" t="s">
        <v>5</v>
      </c>
      <c r="E9632" s="132" t="s">
        <v>282</v>
      </c>
      <c r="F9632" s="1109">
        <v>0.5</v>
      </c>
    </row>
    <row r="9633" spans="2:6">
      <c r="B9633" s="136" t="s">
        <v>576</v>
      </c>
      <c r="C9633" s="132" t="s">
        <v>306</v>
      </c>
      <c r="D9633" s="325" t="s">
        <v>5</v>
      </c>
      <c r="E9633" s="132" t="s">
        <v>283</v>
      </c>
      <c r="F9633" s="1109">
        <v>1</v>
      </c>
    </row>
    <row r="9634" spans="2:6">
      <c r="B9634" s="136" t="s">
        <v>576</v>
      </c>
      <c r="C9634" s="132" t="s">
        <v>306</v>
      </c>
      <c r="D9634" s="325" t="s">
        <v>5</v>
      </c>
      <c r="E9634" s="132" t="s">
        <v>284</v>
      </c>
      <c r="F9634" s="1109">
        <v>1</v>
      </c>
    </row>
    <row r="9635" spans="2:6">
      <c r="B9635" s="136" t="s">
        <v>576</v>
      </c>
      <c r="C9635" s="132" t="s">
        <v>306</v>
      </c>
      <c r="D9635" s="325" t="s">
        <v>5</v>
      </c>
      <c r="E9635" s="132" t="s">
        <v>1379</v>
      </c>
      <c r="F9635" s="1109">
        <v>1</v>
      </c>
    </row>
    <row r="9636" spans="2:6">
      <c r="B9636" s="136" t="s">
        <v>576</v>
      </c>
      <c r="C9636" s="132" t="s">
        <v>306</v>
      </c>
      <c r="D9636" s="325" t="s">
        <v>5</v>
      </c>
      <c r="E9636" s="132" t="s">
        <v>285</v>
      </c>
      <c r="F9636" s="1109">
        <v>1</v>
      </c>
    </row>
    <row r="9637" spans="2:6">
      <c r="B9637" s="136" t="s">
        <v>576</v>
      </c>
      <c r="C9637" s="132" t="s">
        <v>306</v>
      </c>
      <c r="D9637" s="325" t="s">
        <v>5</v>
      </c>
      <c r="E9637" s="132" t="s">
        <v>1380</v>
      </c>
      <c r="F9637" s="1109">
        <v>1</v>
      </c>
    </row>
    <row r="9638" spans="2:6">
      <c r="B9638" s="136" t="s">
        <v>576</v>
      </c>
      <c r="C9638" s="132" t="s">
        <v>306</v>
      </c>
      <c r="D9638" s="325" t="s">
        <v>5</v>
      </c>
      <c r="E9638" s="132" t="s">
        <v>281</v>
      </c>
      <c r="F9638" s="1109">
        <v>1</v>
      </c>
    </row>
    <row r="9639" spans="2:6">
      <c r="B9639" s="136" t="s">
        <v>576</v>
      </c>
      <c r="C9639" s="132" t="s">
        <v>306</v>
      </c>
      <c r="D9639" s="325" t="s">
        <v>5</v>
      </c>
      <c r="E9639" s="132" t="s">
        <v>1384</v>
      </c>
      <c r="F9639" s="1109">
        <v>1</v>
      </c>
    </row>
    <row r="9640" spans="2:6">
      <c r="B9640" s="136" t="s">
        <v>576</v>
      </c>
      <c r="C9640" s="132" t="s">
        <v>311</v>
      </c>
      <c r="D9640" s="325" t="s">
        <v>5</v>
      </c>
      <c r="E9640" s="132" t="s">
        <v>282</v>
      </c>
      <c r="F9640" s="1109">
        <v>0.5</v>
      </c>
    </row>
    <row r="9641" spans="2:6">
      <c r="B9641" s="136" t="s">
        <v>576</v>
      </c>
      <c r="C9641" s="132" t="s">
        <v>311</v>
      </c>
      <c r="D9641" s="325" t="s">
        <v>5</v>
      </c>
      <c r="E9641" s="132" t="s">
        <v>283</v>
      </c>
      <c r="F9641" s="1109">
        <v>1</v>
      </c>
    </row>
    <row r="9642" spans="2:6">
      <c r="B9642" s="136" t="s">
        <v>576</v>
      </c>
      <c r="C9642" s="132" t="s">
        <v>311</v>
      </c>
      <c r="D9642" s="325" t="s">
        <v>5</v>
      </c>
      <c r="E9642" s="132" t="s">
        <v>284</v>
      </c>
      <c r="F9642" s="1109">
        <v>1</v>
      </c>
    </row>
    <row r="9643" spans="2:6">
      <c r="B9643" s="136" t="s">
        <v>576</v>
      </c>
      <c r="C9643" s="132" t="s">
        <v>311</v>
      </c>
      <c r="D9643" s="325" t="s">
        <v>5</v>
      </c>
      <c r="E9643" s="132" t="s">
        <v>1379</v>
      </c>
      <c r="F9643" s="1109">
        <v>1</v>
      </c>
    </row>
    <row r="9644" spans="2:6">
      <c r="B9644" s="136" t="s">
        <v>576</v>
      </c>
      <c r="C9644" s="132" t="s">
        <v>311</v>
      </c>
      <c r="D9644" s="325" t="s">
        <v>5</v>
      </c>
      <c r="E9644" s="132" t="s">
        <v>285</v>
      </c>
      <c r="F9644" s="1109">
        <v>1</v>
      </c>
    </row>
    <row r="9645" spans="2:6">
      <c r="B9645" s="136" t="s">
        <v>576</v>
      </c>
      <c r="C9645" s="132" t="s">
        <v>311</v>
      </c>
      <c r="D9645" s="325" t="s">
        <v>5</v>
      </c>
      <c r="E9645" s="132" t="s">
        <v>1380</v>
      </c>
      <c r="F9645" s="1109">
        <v>1</v>
      </c>
    </row>
    <row r="9646" spans="2:6">
      <c r="B9646" s="136" t="s">
        <v>576</v>
      </c>
      <c r="C9646" s="132" t="s">
        <v>311</v>
      </c>
      <c r="D9646" s="325" t="s">
        <v>5</v>
      </c>
      <c r="E9646" s="132" t="s">
        <v>281</v>
      </c>
      <c r="F9646" s="1109">
        <v>1</v>
      </c>
    </row>
    <row r="9647" spans="2:6">
      <c r="B9647" s="136" t="s">
        <v>576</v>
      </c>
      <c r="C9647" s="132" t="s">
        <v>311</v>
      </c>
      <c r="D9647" s="325" t="s">
        <v>5</v>
      </c>
      <c r="E9647" s="132" t="s">
        <v>1384</v>
      </c>
      <c r="F9647" s="1109">
        <v>1</v>
      </c>
    </row>
    <row r="9648" spans="2:6">
      <c r="B9648" s="136" t="s">
        <v>576</v>
      </c>
      <c r="C9648" s="132" t="s">
        <v>309</v>
      </c>
      <c r="D9648" s="325" t="s">
        <v>5</v>
      </c>
      <c r="E9648" s="132" t="s">
        <v>282</v>
      </c>
      <c r="F9648" s="1109">
        <v>0.5</v>
      </c>
    </row>
    <row r="9649" spans="2:6">
      <c r="B9649" s="136" t="s">
        <v>576</v>
      </c>
      <c r="C9649" s="132" t="s">
        <v>309</v>
      </c>
      <c r="D9649" s="325" t="s">
        <v>5</v>
      </c>
      <c r="E9649" s="132" t="s">
        <v>283</v>
      </c>
      <c r="F9649" s="1109">
        <v>1</v>
      </c>
    </row>
    <row r="9650" spans="2:6">
      <c r="B9650" s="136" t="s">
        <v>576</v>
      </c>
      <c r="C9650" s="132" t="s">
        <v>309</v>
      </c>
      <c r="D9650" s="325" t="s">
        <v>5</v>
      </c>
      <c r="E9650" s="132" t="s">
        <v>284</v>
      </c>
      <c r="F9650" s="1109">
        <v>1</v>
      </c>
    </row>
    <row r="9651" spans="2:6">
      <c r="B9651" s="136" t="s">
        <v>576</v>
      </c>
      <c r="C9651" s="132" t="s">
        <v>309</v>
      </c>
      <c r="D9651" s="325" t="s">
        <v>5</v>
      </c>
      <c r="E9651" s="132" t="s">
        <v>1379</v>
      </c>
      <c r="F9651" s="1109">
        <v>1</v>
      </c>
    </row>
    <row r="9652" spans="2:6">
      <c r="B9652" s="136" t="s">
        <v>576</v>
      </c>
      <c r="C9652" s="132" t="s">
        <v>309</v>
      </c>
      <c r="D9652" s="325" t="s">
        <v>5</v>
      </c>
      <c r="E9652" s="132" t="s">
        <v>285</v>
      </c>
      <c r="F9652" s="1109">
        <v>1</v>
      </c>
    </row>
    <row r="9653" spans="2:6">
      <c r="B9653" s="136" t="s">
        <v>576</v>
      </c>
      <c r="C9653" s="132" t="s">
        <v>309</v>
      </c>
      <c r="D9653" s="325" t="s">
        <v>5</v>
      </c>
      <c r="E9653" s="132" t="s">
        <v>1380</v>
      </c>
      <c r="F9653" s="1109">
        <v>1</v>
      </c>
    </row>
    <row r="9654" spans="2:6">
      <c r="B9654" s="136" t="s">
        <v>576</v>
      </c>
      <c r="C9654" s="132" t="s">
        <v>309</v>
      </c>
      <c r="D9654" s="325" t="s">
        <v>5</v>
      </c>
      <c r="E9654" s="132" t="s">
        <v>281</v>
      </c>
      <c r="F9654" s="1109">
        <v>1</v>
      </c>
    </row>
    <row r="9655" spans="2:6">
      <c r="B9655" s="136" t="s">
        <v>576</v>
      </c>
      <c r="C9655" s="132" t="s">
        <v>309</v>
      </c>
      <c r="D9655" s="325" t="s">
        <v>5</v>
      </c>
      <c r="E9655" s="132" t="s">
        <v>1384</v>
      </c>
      <c r="F9655" s="1109">
        <v>1</v>
      </c>
    </row>
    <row r="9656" spans="2:6">
      <c r="B9656" s="136" t="s">
        <v>576</v>
      </c>
      <c r="C9656" s="132" t="s">
        <v>307</v>
      </c>
      <c r="D9656" s="325" t="s">
        <v>5</v>
      </c>
      <c r="E9656" s="132" t="s">
        <v>282</v>
      </c>
      <c r="F9656" s="1109">
        <v>0.5</v>
      </c>
    </row>
    <row r="9657" spans="2:6">
      <c r="B9657" s="136" t="s">
        <v>576</v>
      </c>
      <c r="C9657" s="132" t="s">
        <v>307</v>
      </c>
      <c r="D9657" s="325" t="s">
        <v>5</v>
      </c>
      <c r="E9657" s="132" t="s">
        <v>283</v>
      </c>
      <c r="F9657" s="1109">
        <v>1</v>
      </c>
    </row>
    <row r="9658" spans="2:6">
      <c r="B9658" s="136" t="s">
        <v>576</v>
      </c>
      <c r="C9658" s="132" t="s">
        <v>307</v>
      </c>
      <c r="D9658" s="325" t="s">
        <v>5</v>
      </c>
      <c r="E9658" s="132" t="s">
        <v>284</v>
      </c>
      <c r="F9658" s="1109">
        <v>1</v>
      </c>
    </row>
    <row r="9659" spans="2:6">
      <c r="B9659" s="136" t="s">
        <v>576</v>
      </c>
      <c r="C9659" s="132" t="s">
        <v>307</v>
      </c>
      <c r="D9659" s="325" t="s">
        <v>5</v>
      </c>
      <c r="E9659" s="132" t="s">
        <v>1379</v>
      </c>
      <c r="F9659" s="1109">
        <v>1</v>
      </c>
    </row>
    <row r="9660" spans="2:6">
      <c r="B9660" s="136" t="s">
        <v>576</v>
      </c>
      <c r="C9660" s="132" t="s">
        <v>307</v>
      </c>
      <c r="D9660" s="325" t="s">
        <v>5</v>
      </c>
      <c r="E9660" s="132" t="s">
        <v>285</v>
      </c>
      <c r="F9660" s="1109">
        <v>1</v>
      </c>
    </row>
    <row r="9661" spans="2:6">
      <c r="B9661" s="136" t="s">
        <v>576</v>
      </c>
      <c r="C9661" s="132" t="s">
        <v>307</v>
      </c>
      <c r="D9661" s="325" t="s">
        <v>5</v>
      </c>
      <c r="E9661" s="132" t="s">
        <v>1380</v>
      </c>
      <c r="F9661" s="1109">
        <v>1</v>
      </c>
    </row>
    <row r="9662" spans="2:6">
      <c r="B9662" s="136" t="s">
        <v>576</v>
      </c>
      <c r="C9662" s="132" t="s">
        <v>307</v>
      </c>
      <c r="D9662" s="325" t="s">
        <v>5</v>
      </c>
      <c r="E9662" s="132" t="s">
        <v>281</v>
      </c>
      <c r="F9662" s="1109">
        <v>1</v>
      </c>
    </row>
    <row r="9663" spans="2:6">
      <c r="B9663" s="136" t="s">
        <v>576</v>
      </c>
      <c r="C9663" s="132" t="s">
        <v>307</v>
      </c>
      <c r="D9663" s="325" t="s">
        <v>5</v>
      </c>
      <c r="E9663" s="132" t="s">
        <v>1384</v>
      </c>
      <c r="F9663" s="1109">
        <v>1</v>
      </c>
    </row>
    <row r="9664" spans="2:6">
      <c r="B9664" s="1165" t="s">
        <v>201</v>
      </c>
      <c r="C9664" s="1166" t="s">
        <v>315</v>
      </c>
      <c r="D9664" s="325"/>
      <c r="E9664" s="1166" t="s">
        <v>282</v>
      </c>
      <c r="F9664" s="1167">
        <v>0.5</v>
      </c>
    </row>
    <row r="9665" spans="2:6">
      <c r="B9665" s="1165" t="s">
        <v>201</v>
      </c>
      <c r="C9665" s="1166" t="s">
        <v>315</v>
      </c>
      <c r="D9665" s="325"/>
      <c r="E9665" s="1166" t="s">
        <v>283</v>
      </c>
      <c r="F9665" s="1167">
        <v>1</v>
      </c>
    </row>
    <row r="9666" spans="2:6">
      <c r="B9666" s="1165" t="s">
        <v>201</v>
      </c>
      <c r="C9666" s="1166" t="s">
        <v>315</v>
      </c>
      <c r="D9666" s="325"/>
      <c r="E9666" s="1166" t="s">
        <v>284</v>
      </c>
      <c r="F9666" s="1167">
        <v>1</v>
      </c>
    </row>
    <row r="9667" spans="2:6">
      <c r="B9667" s="1165" t="s">
        <v>201</v>
      </c>
      <c r="C9667" s="1166" t="s">
        <v>315</v>
      </c>
      <c r="D9667" s="325"/>
      <c r="E9667" s="1166" t="s">
        <v>1379</v>
      </c>
      <c r="F9667" s="1167">
        <v>1</v>
      </c>
    </row>
    <row r="9668" spans="2:6">
      <c r="B9668" s="1165" t="s">
        <v>201</v>
      </c>
      <c r="C9668" s="1166" t="s">
        <v>315</v>
      </c>
      <c r="D9668" s="325"/>
      <c r="E9668" s="1166" t="s">
        <v>285</v>
      </c>
      <c r="F9668" s="1167">
        <v>1</v>
      </c>
    </row>
    <row r="9669" spans="2:6">
      <c r="B9669" s="1165" t="s">
        <v>201</v>
      </c>
      <c r="C9669" s="1166" t="s">
        <v>315</v>
      </c>
      <c r="D9669" s="325"/>
      <c r="E9669" s="1166" t="s">
        <v>1380</v>
      </c>
      <c r="F9669" s="1167">
        <v>1</v>
      </c>
    </row>
    <row r="9670" spans="2:6">
      <c r="B9670" s="1165" t="s">
        <v>201</v>
      </c>
      <c r="C9670" s="1166" t="s">
        <v>315</v>
      </c>
      <c r="D9670" s="325"/>
      <c r="E9670" s="1166" t="s">
        <v>281</v>
      </c>
      <c r="F9670" s="1167">
        <v>1</v>
      </c>
    </row>
    <row r="9671" spans="2:6">
      <c r="B9671" s="1165" t="s">
        <v>201</v>
      </c>
      <c r="C9671" s="1166" t="s">
        <v>315</v>
      </c>
      <c r="D9671" s="325"/>
      <c r="E9671" s="1166" t="s">
        <v>1384</v>
      </c>
      <c r="F9671" s="1167">
        <v>1</v>
      </c>
    </row>
    <row r="9672" spans="2:6">
      <c r="B9672" s="1165" t="s">
        <v>201</v>
      </c>
      <c r="C9672" s="1166" t="s">
        <v>313</v>
      </c>
      <c r="D9672" s="325"/>
      <c r="E9672" s="1166" t="s">
        <v>282</v>
      </c>
      <c r="F9672" s="1167">
        <v>0.5</v>
      </c>
    </row>
    <row r="9673" spans="2:6">
      <c r="B9673" s="1165" t="s">
        <v>201</v>
      </c>
      <c r="C9673" s="1166" t="s">
        <v>313</v>
      </c>
      <c r="D9673" s="325"/>
      <c r="E9673" s="1166" t="s">
        <v>283</v>
      </c>
      <c r="F9673" s="1167">
        <v>1</v>
      </c>
    </row>
    <row r="9674" spans="2:6">
      <c r="B9674" s="1165" t="s">
        <v>201</v>
      </c>
      <c r="C9674" s="1166" t="s">
        <v>313</v>
      </c>
      <c r="D9674" s="325"/>
      <c r="E9674" s="1166" t="s">
        <v>284</v>
      </c>
      <c r="F9674" s="1167">
        <v>1</v>
      </c>
    </row>
    <row r="9675" spans="2:6">
      <c r="B9675" s="1165" t="s">
        <v>201</v>
      </c>
      <c r="C9675" s="1166" t="s">
        <v>313</v>
      </c>
      <c r="D9675" s="325"/>
      <c r="E9675" s="1166" t="s">
        <v>1379</v>
      </c>
      <c r="F9675" s="1167">
        <v>1</v>
      </c>
    </row>
    <row r="9676" spans="2:6">
      <c r="B9676" s="1165" t="s">
        <v>201</v>
      </c>
      <c r="C9676" s="1166" t="s">
        <v>313</v>
      </c>
      <c r="D9676" s="325"/>
      <c r="E9676" s="1166" t="s">
        <v>285</v>
      </c>
      <c r="F9676" s="1167">
        <v>1</v>
      </c>
    </row>
    <row r="9677" spans="2:6">
      <c r="B9677" s="1165" t="s">
        <v>201</v>
      </c>
      <c r="C9677" s="1166" t="s">
        <v>313</v>
      </c>
      <c r="D9677" s="325"/>
      <c r="E9677" s="1166" t="s">
        <v>1380</v>
      </c>
      <c r="F9677" s="1167">
        <v>1</v>
      </c>
    </row>
    <row r="9678" spans="2:6">
      <c r="B9678" s="1165" t="s">
        <v>201</v>
      </c>
      <c r="C9678" s="1166" t="s">
        <v>313</v>
      </c>
      <c r="D9678" s="325"/>
      <c r="E9678" s="1166" t="s">
        <v>281</v>
      </c>
      <c r="F9678" s="1167">
        <v>1</v>
      </c>
    </row>
    <row r="9679" spans="2:6">
      <c r="B9679" s="1165" t="s">
        <v>201</v>
      </c>
      <c r="C9679" s="1166" t="s">
        <v>313</v>
      </c>
      <c r="D9679" s="325"/>
      <c r="E9679" s="1166" t="s">
        <v>1384</v>
      </c>
      <c r="F9679" s="1167">
        <v>1</v>
      </c>
    </row>
    <row r="9680" spans="2:6">
      <c r="B9680" s="271" t="s">
        <v>201</v>
      </c>
      <c r="C9680" s="325" t="s">
        <v>304</v>
      </c>
      <c r="D9680" s="325" t="s">
        <v>1477</v>
      </c>
      <c r="E9680" s="325" t="s">
        <v>282</v>
      </c>
      <c r="F9680" s="281">
        <v>0</v>
      </c>
    </row>
    <row r="9681" spans="2:6">
      <c r="B9681" s="271" t="s">
        <v>201</v>
      </c>
      <c r="C9681" s="325" t="s">
        <v>304</v>
      </c>
      <c r="D9681" s="325" t="s">
        <v>1477</v>
      </c>
      <c r="E9681" s="325" t="s">
        <v>283</v>
      </c>
      <c r="F9681" s="281">
        <v>0</v>
      </c>
    </row>
    <row r="9682" spans="2:6">
      <c r="B9682" s="271" t="s">
        <v>201</v>
      </c>
      <c r="C9682" s="325" t="s">
        <v>304</v>
      </c>
      <c r="D9682" s="325" t="s">
        <v>1477</v>
      </c>
      <c r="E9682" s="325" t="s">
        <v>284</v>
      </c>
      <c r="F9682" s="281">
        <v>0</v>
      </c>
    </row>
    <row r="9683" spans="2:6">
      <c r="B9683" s="271" t="s">
        <v>201</v>
      </c>
      <c r="C9683" s="325" t="s">
        <v>304</v>
      </c>
      <c r="D9683" s="325" t="s">
        <v>1477</v>
      </c>
      <c r="E9683" s="325" t="s">
        <v>1379</v>
      </c>
      <c r="F9683" s="281">
        <v>0</v>
      </c>
    </row>
    <row r="9684" spans="2:6">
      <c r="B9684" s="271" t="s">
        <v>201</v>
      </c>
      <c r="C9684" s="325" t="s">
        <v>304</v>
      </c>
      <c r="D9684" s="325" t="s">
        <v>1477</v>
      </c>
      <c r="E9684" s="325" t="s">
        <v>285</v>
      </c>
      <c r="F9684" s="281">
        <v>0</v>
      </c>
    </row>
    <row r="9685" spans="2:6">
      <c r="B9685" s="271" t="s">
        <v>201</v>
      </c>
      <c r="C9685" s="325" t="s">
        <v>304</v>
      </c>
      <c r="D9685" s="325" t="s">
        <v>1477</v>
      </c>
      <c r="E9685" s="325" t="s">
        <v>1380</v>
      </c>
      <c r="F9685" s="281">
        <v>0</v>
      </c>
    </row>
    <row r="9686" spans="2:6">
      <c r="B9686" s="271" t="s">
        <v>201</v>
      </c>
      <c r="C9686" s="325" t="s">
        <v>304</v>
      </c>
      <c r="D9686" s="325" t="s">
        <v>1477</v>
      </c>
      <c r="E9686" s="325" t="s">
        <v>281</v>
      </c>
      <c r="F9686" s="281">
        <v>0</v>
      </c>
    </row>
    <row r="9687" spans="2:6">
      <c r="B9687" s="271" t="s">
        <v>201</v>
      </c>
      <c r="C9687" s="325" t="s">
        <v>304</v>
      </c>
      <c r="D9687" s="325" t="s">
        <v>1477</v>
      </c>
      <c r="E9687" s="325" t="s">
        <v>1384</v>
      </c>
      <c r="F9687" s="281">
        <v>0</v>
      </c>
    </row>
    <row r="9688" spans="2:6">
      <c r="B9688" s="271" t="s">
        <v>201</v>
      </c>
      <c r="C9688" s="325" t="s">
        <v>300</v>
      </c>
      <c r="D9688" s="325" t="s">
        <v>1477</v>
      </c>
      <c r="E9688" s="325" t="s">
        <v>282</v>
      </c>
      <c r="F9688" s="281">
        <v>0</v>
      </c>
    </row>
    <row r="9689" spans="2:6">
      <c r="B9689" s="271" t="s">
        <v>201</v>
      </c>
      <c r="C9689" s="325" t="s">
        <v>300</v>
      </c>
      <c r="D9689" s="325" t="s">
        <v>1477</v>
      </c>
      <c r="E9689" s="325" t="s">
        <v>283</v>
      </c>
      <c r="F9689" s="281">
        <v>0</v>
      </c>
    </row>
    <row r="9690" spans="2:6">
      <c r="B9690" s="271" t="s">
        <v>201</v>
      </c>
      <c r="C9690" s="325" t="s">
        <v>300</v>
      </c>
      <c r="D9690" s="325" t="s">
        <v>1477</v>
      </c>
      <c r="E9690" s="325" t="s">
        <v>284</v>
      </c>
      <c r="F9690" s="281">
        <v>0</v>
      </c>
    </row>
    <row r="9691" spans="2:6">
      <c r="B9691" s="271" t="s">
        <v>201</v>
      </c>
      <c r="C9691" s="325" t="s">
        <v>300</v>
      </c>
      <c r="D9691" s="325" t="s">
        <v>1477</v>
      </c>
      <c r="E9691" s="325" t="s">
        <v>1379</v>
      </c>
      <c r="F9691" s="281">
        <v>0</v>
      </c>
    </row>
    <row r="9692" spans="2:6">
      <c r="B9692" s="271" t="s">
        <v>201</v>
      </c>
      <c r="C9692" s="325" t="s">
        <v>300</v>
      </c>
      <c r="D9692" s="325" t="s">
        <v>1477</v>
      </c>
      <c r="E9692" s="325" t="s">
        <v>285</v>
      </c>
      <c r="F9692" s="281">
        <v>0</v>
      </c>
    </row>
    <row r="9693" spans="2:6">
      <c r="B9693" s="271" t="s">
        <v>201</v>
      </c>
      <c r="C9693" s="325" t="s">
        <v>300</v>
      </c>
      <c r="D9693" s="325" t="s">
        <v>1477</v>
      </c>
      <c r="E9693" s="325" t="s">
        <v>1380</v>
      </c>
      <c r="F9693" s="281">
        <v>0</v>
      </c>
    </row>
    <row r="9694" spans="2:6">
      <c r="B9694" s="271" t="s">
        <v>201</v>
      </c>
      <c r="C9694" s="325" t="s">
        <v>300</v>
      </c>
      <c r="D9694" s="325" t="s">
        <v>1477</v>
      </c>
      <c r="E9694" s="325" t="s">
        <v>281</v>
      </c>
      <c r="F9694" s="281">
        <v>0</v>
      </c>
    </row>
    <row r="9695" spans="2:6">
      <c r="B9695" s="271" t="s">
        <v>201</v>
      </c>
      <c r="C9695" s="325" t="s">
        <v>300</v>
      </c>
      <c r="D9695" s="325" t="s">
        <v>1477</v>
      </c>
      <c r="E9695" s="325" t="s">
        <v>1384</v>
      </c>
      <c r="F9695" s="281">
        <v>0</v>
      </c>
    </row>
    <row r="9696" spans="2:6">
      <c r="B9696" s="271" t="s">
        <v>201</v>
      </c>
      <c r="C9696" s="325" t="s">
        <v>302</v>
      </c>
      <c r="D9696" s="325" t="s">
        <v>1477</v>
      </c>
      <c r="E9696" s="325" t="s">
        <v>282</v>
      </c>
      <c r="F9696" s="281">
        <v>0</v>
      </c>
    </row>
    <row r="9697" spans="2:6">
      <c r="B9697" s="271" t="s">
        <v>201</v>
      </c>
      <c r="C9697" s="325" t="s">
        <v>302</v>
      </c>
      <c r="D9697" s="325" t="s">
        <v>1477</v>
      </c>
      <c r="E9697" s="325" t="s">
        <v>283</v>
      </c>
      <c r="F9697" s="281">
        <v>0</v>
      </c>
    </row>
    <row r="9698" spans="2:6">
      <c r="B9698" s="271" t="s">
        <v>201</v>
      </c>
      <c r="C9698" s="325" t="s">
        <v>302</v>
      </c>
      <c r="D9698" s="325" t="s">
        <v>1477</v>
      </c>
      <c r="E9698" s="325" t="s">
        <v>284</v>
      </c>
      <c r="F9698" s="281">
        <v>0</v>
      </c>
    </row>
    <row r="9699" spans="2:6">
      <c r="B9699" s="271" t="s">
        <v>201</v>
      </c>
      <c r="C9699" s="325" t="s">
        <v>302</v>
      </c>
      <c r="D9699" s="325" t="s">
        <v>1477</v>
      </c>
      <c r="E9699" s="325" t="s">
        <v>1379</v>
      </c>
      <c r="F9699" s="281">
        <v>0</v>
      </c>
    </row>
    <row r="9700" spans="2:6">
      <c r="B9700" s="271" t="s">
        <v>201</v>
      </c>
      <c r="C9700" s="325" t="s">
        <v>302</v>
      </c>
      <c r="D9700" s="325" t="s">
        <v>1477</v>
      </c>
      <c r="E9700" s="325" t="s">
        <v>285</v>
      </c>
      <c r="F9700" s="281">
        <v>0</v>
      </c>
    </row>
    <row r="9701" spans="2:6">
      <c r="B9701" s="271" t="s">
        <v>201</v>
      </c>
      <c r="C9701" s="325" t="s">
        <v>302</v>
      </c>
      <c r="D9701" s="325" t="s">
        <v>1477</v>
      </c>
      <c r="E9701" s="325" t="s">
        <v>1380</v>
      </c>
      <c r="F9701" s="281">
        <v>0</v>
      </c>
    </row>
    <row r="9702" spans="2:6">
      <c r="B9702" s="271" t="s">
        <v>201</v>
      </c>
      <c r="C9702" s="325" t="s">
        <v>302</v>
      </c>
      <c r="D9702" s="325" t="s">
        <v>1477</v>
      </c>
      <c r="E9702" s="325" t="s">
        <v>281</v>
      </c>
      <c r="F9702" s="281">
        <v>0</v>
      </c>
    </row>
    <row r="9703" spans="2:6">
      <c r="B9703" s="271" t="s">
        <v>201</v>
      </c>
      <c r="C9703" s="325" t="s">
        <v>302</v>
      </c>
      <c r="D9703" s="325" t="s">
        <v>1477</v>
      </c>
      <c r="E9703" s="325" t="s">
        <v>1384</v>
      </c>
      <c r="F9703" s="281">
        <v>0</v>
      </c>
    </row>
    <row r="9704" spans="2:6">
      <c r="B9704" s="1165" t="s">
        <v>201</v>
      </c>
      <c r="C9704" s="1166" t="s">
        <v>308</v>
      </c>
      <c r="D9704" s="325"/>
      <c r="E9704" s="1166" t="s">
        <v>282</v>
      </c>
      <c r="F9704" s="1167">
        <v>0.5</v>
      </c>
    </row>
    <row r="9705" spans="2:6">
      <c r="B9705" s="1165" t="s">
        <v>201</v>
      </c>
      <c r="C9705" s="1166" t="s">
        <v>308</v>
      </c>
      <c r="D9705" s="325"/>
      <c r="E9705" s="1166" t="s">
        <v>283</v>
      </c>
      <c r="F9705" s="1167">
        <v>1</v>
      </c>
    </row>
    <row r="9706" spans="2:6">
      <c r="B9706" s="1165" t="s">
        <v>201</v>
      </c>
      <c r="C9706" s="1166" t="s">
        <v>308</v>
      </c>
      <c r="D9706" s="325"/>
      <c r="E9706" s="1166" t="s">
        <v>284</v>
      </c>
      <c r="F9706" s="1167">
        <v>1</v>
      </c>
    </row>
    <row r="9707" spans="2:6">
      <c r="B9707" s="1165" t="s">
        <v>201</v>
      </c>
      <c r="C9707" s="1166" t="s">
        <v>308</v>
      </c>
      <c r="D9707" s="325"/>
      <c r="E9707" s="1166" t="s">
        <v>1379</v>
      </c>
      <c r="F9707" s="1167">
        <v>1</v>
      </c>
    </row>
    <row r="9708" spans="2:6">
      <c r="B9708" s="1165" t="s">
        <v>201</v>
      </c>
      <c r="C9708" s="1166" t="s">
        <v>308</v>
      </c>
      <c r="D9708" s="325"/>
      <c r="E9708" s="1166" t="s">
        <v>285</v>
      </c>
      <c r="F9708" s="1167">
        <v>1</v>
      </c>
    </row>
    <row r="9709" spans="2:6">
      <c r="B9709" s="1165" t="s">
        <v>201</v>
      </c>
      <c r="C9709" s="1166" t="s">
        <v>308</v>
      </c>
      <c r="D9709" s="325"/>
      <c r="E9709" s="1166" t="s">
        <v>1380</v>
      </c>
      <c r="F9709" s="1167">
        <v>1</v>
      </c>
    </row>
    <row r="9710" spans="2:6">
      <c r="B9710" s="1165" t="s">
        <v>201</v>
      </c>
      <c r="C9710" s="1166" t="s">
        <v>308</v>
      </c>
      <c r="D9710" s="325"/>
      <c r="E9710" s="1166" t="s">
        <v>281</v>
      </c>
      <c r="F9710" s="1167">
        <v>1</v>
      </c>
    </row>
    <row r="9711" spans="2:6">
      <c r="B9711" s="1165" t="s">
        <v>201</v>
      </c>
      <c r="C9711" s="1166" t="s">
        <v>308</v>
      </c>
      <c r="D9711" s="325"/>
      <c r="E9711" s="1166" t="s">
        <v>1384</v>
      </c>
      <c r="F9711" s="1167">
        <v>1</v>
      </c>
    </row>
    <row r="9712" spans="2:6">
      <c r="B9712" s="1165" t="s">
        <v>201</v>
      </c>
      <c r="C9712" s="1166" t="s">
        <v>306</v>
      </c>
      <c r="D9712" s="325"/>
      <c r="E9712" s="1166" t="s">
        <v>282</v>
      </c>
      <c r="F9712" s="1167">
        <v>0.5</v>
      </c>
    </row>
    <row r="9713" spans="2:6">
      <c r="B9713" s="1165" t="s">
        <v>201</v>
      </c>
      <c r="C9713" s="1166" t="s">
        <v>306</v>
      </c>
      <c r="D9713" s="325"/>
      <c r="E9713" s="1166" t="s">
        <v>283</v>
      </c>
      <c r="F9713" s="1167">
        <v>1</v>
      </c>
    </row>
    <row r="9714" spans="2:6">
      <c r="B9714" s="1165" t="s">
        <v>201</v>
      </c>
      <c r="C9714" s="1166" t="s">
        <v>306</v>
      </c>
      <c r="D9714" s="325"/>
      <c r="E9714" s="1166" t="s">
        <v>284</v>
      </c>
      <c r="F9714" s="1167">
        <v>1</v>
      </c>
    </row>
    <row r="9715" spans="2:6">
      <c r="B9715" s="1165" t="s">
        <v>201</v>
      </c>
      <c r="C9715" s="1166" t="s">
        <v>306</v>
      </c>
      <c r="D9715" s="325"/>
      <c r="E9715" s="1166" t="s">
        <v>1379</v>
      </c>
      <c r="F9715" s="1167">
        <v>1</v>
      </c>
    </row>
    <row r="9716" spans="2:6">
      <c r="B9716" s="1165" t="s">
        <v>201</v>
      </c>
      <c r="C9716" s="1166" t="s">
        <v>306</v>
      </c>
      <c r="D9716" s="325"/>
      <c r="E9716" s="1166" t="s">
        <v>285</v>
      </c>
      <c r="F9716" s="1167">
        <v>1</v>
      </c>
    </row>
    <row r="9717" spans="2:6">
      <c r="B9717" s="1165" t="s">
        <v>201</v>
      </c>
      <c r="C9717" s="1166" t="s">
        <v>306</v>
      </c>
      <c r="D9717" s="325"/>
      <c r="E9717" s="1166" t="s">
        <v>1380</v>
      </c>
      <c r="F9717" s="1167">
        <v>1</v>
      </c>
    </row>
    <row r="9718" spans="2:6">
      <c r="B9718" s="1165" t="s">
        <v>201</v>
      </c>
      <c r="C9718" s="1166" t="s">
        <v>306</v>
      </c>
      <c r="D9718" s="325"/>
      <c r="E9718" s="1166" t="s">
        <v>281</v>
      </c>
      <c r="F9718" s="1167">
        <v>1</v>
      </c>
    </row>
    <row r="9719" spans="2:6">
      <c r="B9719" s="1165" t="s">
        <v>201</v>
      </c>
      <c r="C9719" s="1166" t="s">
        <v>306</v>
      </c>
      <c r="D9719" s="325"/>
      <c r="E9719" s="1166" t="s">
        <v>1384</v>
      </c>
      <c r="F9719" s="1167">
        <v>1</v>
      </c>
    </row>
    <row r="9720" spans="2:6">
      <c r="B9720" s="1165" t="s">
        <v>201</v>
      </c>
      <c r="C9720" s="1166" t="s">
        <v>311</v>
      </c>
      <c r="D9720" s="325"/>
      <c r="E9720" s="1166" t="s">
        <v>282</v>
      </c>
      <c r="F9720" s="1167">
        <v>0.5</v>
      </c>
    </row>
    <row r="9721" spans="2:6">
      <c r="B9721" s="1165" t="s">
        <v>201</v>
      </c>
      <c r="C9721" s="1166" t="s">
        <v>311</v>
      </c>
      <c r="D9721" s="325"/>
      <c r="E9721" s="1166" t="s">
        <v>283</v>
      </c>
      <c r="F9721" s="1167">
        <v>1</v>
      </c>
    </row>
    <row r="9722" spans="2:6">
      <c r="B9722" s="1165" t="s">
        <v>201</v>
      </c>
      <c r="C9722" s="1166" t="s">
        <v>311</v>
      </c>
      <c r="D9722" s="325"/>
      <c r="E9722" s="1166" t="s">
        <v>284</v>
      </c>
      <c r="F9722" s="1167">
        <v>1</v>
      </c>
    </row>
    <row r="9723" spans="2:6">
      <c r="B9723" s="1165" t="s">
        <v>201</v>
      </c>
      <c r="C9723" s="1166" t="s">
        <v>311</v>
      </c>
      <c r="D9723" s="325"/>
      <c r="E9723" s="1166" t="s">
        <v>1379</v>
      </c>
      <c r="F9723" s="1167">
        <v>1</v>
      </c>
    </row>
    <row r="9724" spans="2:6">
      <c r="B9724" s="1165" t="s">
        <v>201</v>
      </c>
      <c r="C9724" s="1166" t="s">
        <v>311</v>
      </c>
      <c r="D9724" s="325"/>
      <c r="E9724" s="1166" t="s">
        <v>285</v>
      </c>
      <c r="F9724" s="1167">
        <v>1</v>
      </c>
    </row>
    <row r="9725" spans="2:6">
      <c r="B9725" s="1165" t="s">
        <v>201</v>
      </c>
      <c r="C9725" s="1166" t="s">
        <v>311</v>
      </c>
      <c r="D9725" s="325"/>
      <c r="E9725" s="1166" t="s">
        <v>1380</v>
      </c>
      <c r="F9725" s="1167">
        <v>1</v>
      </c>
    </row>
    <row r="9726" spans="2:6">
      <c r="B9726" s="1165" t="s">
        <v>201</v>
      </c>
      <c r="C9726" s="1166" t="s">
        <v>311</v>
      </c>
      <c r="D9726" s="325"/>
      <c r="E9726" s="1166" t="s">
        <v>281</v>
      </c>
      <c r="F9726" s="1167">
        <v>1</v>
      </c>
    </row>
    <row r="9727" spans="2:6">
      <c r="B9727" s="1165" t="s">
        <v>201</v>
      </c>
      <c r="C9727" s="1166" t="s">
        <v>311</v>
      </c>
      <c r="D9727" s="325"/>
      <c r="E9727" s="1166" t="s">
        <v>1384</v>
      </c>
      <c r="F9727" s="1167">
        <v>1</v>
      </c>
    </row>
    <row r="9728" spans="2:6">
      <c r="B9728" s="1165" t="s">
        <v>201</v>
      </c>
      <c r="C9728" s="1166" t="s">
        <v>309</v>
      </c>
      <c r="D9728" s="325"/>
      <c r="E9728" s="1166" t="s">
        <v>282</v>
      </c>
      <c r="F9728" s="1167">
        <v>0.5</v>
      </c>
    </row>
    <row r="9729" spans="2:6">
      <c r="B9729" s="1165" t="s">
        <v>201</v>
      </c>
      <c r="C9729" s="1166" t="s">
        <v>309</v>
      </c>
      <c r="D9729" s="325"/>
      <c r="E9729" s="1166" t="s">
        <v>283</v>
      </c>
      <c r="F9729" s="1167">
        <v>1</v>
      </c>
    </row>
    <row r="9730" spans="2:6">
      <c r="B9730" s="1165" t="s">
        <v>201</v>
      </c>
      <c r="C9730" s="1166" t="s">
        <v>309</v>
      </c>
      <c r="D9730" s="325"/>
      <c r="E9730" s="1166" t="s">
        <v>284</v>
      </c>
      <c r="F9730" s="1167">
        <v>1</v>
      </c>
    </row>
    <row r="9731" spans="2:6">
      <c r="B9731" s="1165" t="s">
        <v>201</v>
      </c>
      <c r="C9731" s="1166" t="s">
        <v>309</v>
      </c>
      <c r="D9731" s="325"/>
      <c r="E9731" s="1166" t="s">
        <v>1379</v>
      </c>
      <c r="F9731" s="1167">
        <v>1</v>
      </c>
    </row>
    <row r="9732" spans="2:6">
      <c r="B9732" s="1165" t="s">
        <v>201</v>
      </c>
      <c r="C9732" s="1166" t="s">
        <v>309</v>
      </c>
      <c r="D9732" s="325"/>
      <c r="E9732" s="1166" t="s">
        <v>285</v>
      </c>
      <c r="F9732" s="1167">
        <v>1</v>
      </c>
    </row>
    <row r="9733" spans="2:6">
      <c r="B9733" s="1165" t="s">
        <v>201</v>
      </c>
      <c r="C9733" s="1166" t="s">
        <v>309</v>
      </c>
      <c r="D9733" s="325"/>
      <c r="E9733" s="1166" t="s">
        <v>1380</v>
      </c>
      <c r="F9733" s="1167">
        <v>1</v>
      </c>
    </row>
    <row r="9734" spans="2:6">
      <c r="B9734" s="1165" t="s">
        <v>201</v>
      </c>
      <c r="C9734" s="1166" t="s">
        <v>309</v>
      </c>
      <c r="D9734" s="325"/>
      <c r="E9734" s="1166" t="s">
        <v>281</v>
      </c>
      <c r="F9734" s="1167">
        <v>1</v>
      </c>
    </row>
    <row r="9735" spans="2:6">
      <c r="B9735" s="1165" t="s">
        <v>201</v>
      </c>
      <c r="C9735" s="1166" t="s">
        <v>309</v>
      </c>
      <c r="D9735" s="325"/>
      <c r="E9735" s="1166" t="s">
        <v>1384</v>
      </c>
      <c r="F9735" s="1167">
        <v>1</v>
      </c>
    </row>
    <row r="9736" spans="2:6">
      <c r="B9736" s="1165" t="s">
        <v>201</v>
      </c>
      <c r="C9736" s="1166" t="s">
        <v>307</v>
      </c>
      <c r="D9736" s="325"/>
      <c r="E9736" s="1166" t="s">
        <v>282</v>
      </c>
      <c r="F9736" s="1167">
        <v>0.5</v>
      </c>
    </row>
    <row r="9737" spans="2:6">
      <c r="B9737" s="1165" t="s">
        <v>201</v>
      </c>
      <c r="C9737" s="1166" t="s">
        <v>307</v>
      </c>
      <c r="D9737" s="325"/>
      <c r="E9737" s="1166" t="s">
        <v>283</v>
      </c>
      <c r="F9737" s="1167">
        <v>1</v>
      </c>
    </row>
    <row r="9738" spans="2:6">
      <c r="B9738" s="1165" t="s">
        <v>201</v>
      </c>
      <c r="C9738" s="1166" t="s">
        <v>307</v>
      </c>
      <c r="D9738" s="325"/>
      <c r="E9738" s="1166" t="s">
        <v>284</v>
      </c>
      <c r="F9738" s="1167">
        <v>1</v>
      </c>
    </row>
    <row r="9739" spans="2:6">
      <c r="B9739" s="1165" t="s">
        <v>201</v>
      </c>
      <c r="C9739" s="1166" t="s">
        <v>307</v>
      </c>
      <c r="D9739" s="325"/>
      <c r="E9739" s="1166" t="s">
        <v>1379</v>
      </c>
      <c r="F9739" s="1167">
        <v>1</v>
      </c>
    </row>
    <row r="9740" spans="2:6">
      <c r="B9740" s="1165" t="s">
        <v>201</v>
      </c>
      <c r="C9740" s="1166" t="s">
        <v>307</v>
      </c>
      <c r="D9740" s="325"/>
      <c r="E9740" s="1166" t="s">
        <v>285</v>
      </c>
      <c r="F9740" s="1167">
        <v>1</v>
      </c>
    </row>
    <row r="9741" spans="2:6">
      <c r="B9741" s="1165" t="s">
        <v>201</v>
      </c>
      <c r="C9741" s="1166" t="s">
        <v>307</v>
      </c>
      <c r="D9741" s="325"/>
      <c r="E9741" s="1166" t="s">
        <v>1380</v>
      </c>
      <c r="F9741" s="1167">
        <v>1</v>
      </c>
    </row>
    <row r="9742" spans="2:6">
      <c r="B9742" s="1165" t="s">
        <v>201</v>
      </c>
      <c r="C9742" s="1166" t="s">
        <v>307</v>
      </c>
      <c r="D9742" s="325"/>
      <c r="E9742" s="1166" t="s">
        <v>281</v>
      </c>
      <c r="F9742" s="1167">
        <v>1</v>
      </c>
    </row>
    <row r="9743" spans="2:6">
      <c r="B9743" s="1165" t="s">
        <v>201</v>
      </c>
      <c r="C9743" s="1166" t="s">
        <v>307</v>
      </c>
      <c r="D9743" s="325"/>
      <c r="E9743" s="1166" t="s">
        <v>1384</v>
      </c>
      <c r="F9743" s="1167">
        <v>1</v>
      </c>
    </row>
    <row r="9744" spans="2:6">
      <c r="B9744" s="271" t="s">
        <v>217</v>
      </c>
      <c r="C9744" s="325" t="s">
        <v>315</v>
      </c>
      <c r="D9744" s="325" t="s">
        <v>1477</v>
      </c>
      <c r="E9744" s="325" t="s">
        <v>282</v>
      </c>
      <c r="F9744" s="281">
        <v>0</v>
      </c>
    </row>
    <row r="9745" spans="2:6">
      <c r="B9745" s="271" t="s">
        <v>217</v>
      </c>
      <c r="C9745" s="325" t="s">
        <v>315</v>
      </c>
      <c r="D9745" s="325" t="s">
        <v>1477</v>
      </c>
      <c r="E9745" s="325" t="s">
        <v>283</v>
      </c>
      <c r="F9745" s="281">
        <v>0</v>
      </c>
    </row>
    <row r="9746" spans="2:6">
      <c r="B9746" s="271" t="s">
        <v>217</v>
      </c>
      <c r="C9746" s="325" t="s">
        <v>315</v>
      </c>
      <c r="D9746" s="325" t="s">
        <v>1477</v>
      </c>
      <c r="E9746" s="325" t="s">
        <v>284</v>
      </c>
      <c r="F9746" s="281">
        <v>0</v>
      </c>
    </row>
    <row r="9747" spans="2:6">
      <c r="B9747" s="271" t="s">
        <v>217</v>
      </c>
      <c r="C9747" s="325" t="s">
        <v>315</v>
      </c>
      <c r="D9747" s="325" t="s">
        <v>1477</v>
      </c>
      <c r="E9747" s="325" t="s">
        <v>1379</v>
      </c>
      <c r="F9747" s="281">
        <v>0</v>
      </c>
    </row>
    <row r="9748" spans="2:6">
      <c r="B9748" s="271" t="s">
        <v>217</v>
      </c>
      <c r="C9748" s="325" t="s">
        <v>315</v>
      </c>
      <c r="D9748" s="325" t="s">
        <v>1477</v>
      </c>
      <c r="E9748" s="325" t="s">
        <v>285</v>
      </c>
      <c r="F9748" s="281">
        <v>0</v>
      </c>
    </row>
    <row r="9749" spans="2:6">
      <c r="B9749" s="271" t="s">
        <v>217</v>
      </c>
      <c r="C9749" s="325" t="s">
        <v>315</v>
      </c>
      <c r="D9749" s="325" t="s">
        <v>1477</v>
      </c>
      <c r="E9749" s="325" t="s">
        <v>1380</v>
      </c>
      <c r="F9749" s="281">
        <v>0</v>
      </c>
    </row>
    <row r="9750" spans="2:6">
      <c r="B9750" s="271" t="s">
        <v>217</v>
      </c>
      <c r="C9750" s="325" t="s">
        <v>315</v>
      </c>
      <c r="D9750" s="325" t="s">
        <v>1477</v>
      </c>
      <c r="E9750" s="325" t="s">
        <v>281</v>
      </c>
      <c r="F9750" s="281">
        <v>0</v>
      </c>
    </row>
    <row r="9751" spans="2:6">
      <c r="B9751" s="271" t="s">
        <v>217</v>
      </c>
      <c r="C9751" s="325" t="s">
        <v>315</v>
      </c>
      <c r="D9751" s="325" t="s">
        <v>1477</v>
      </c>
      <c r="E9751" s="325" t="s">
        <v>1384</v>
      </c>
      <c r="F9751" s="281">
        <v>0</v>
      </c>
    </row>
    <row r="9752" spans="2:6">
      <c r="B9752" s="271" t="s">
        <v>217</v>
      </c>
      <c r="C9752" s="325" t="s">
        <v>313</v>
      </c>
      <c r="D9752" s="325" t="s">
        <v>1477</v>
      </c>
      <c r="E9752" s="325" t="s">
        <v>282</v>
      </c>
      <c r="F9752" s="281">
        <v>0</v>
      </c>
    </row>
    <row r="9753" spans="2:6">
      <c r="B9753" s="271" t="s">
        <v>217</v>
      </c>
      <c r="C9753" s="325" t="s">
        <v>313</v>
      </c>
      <c r="D9753" s="325" t="s">
        <v>1477</v>
      </c>
      <c r="E9753" s="325" t="s">
        <v>283</v>
      </c>
      <c r="F9753" s="281">
        <v>0</v>
      </c>
    </row>
    <row r="9754" spans="2:6">
      <c r="B9754" s="271" t="s">
        <v>217</v>
      </c>
      <c r="C9754" s="325" t="s">
        <v>313</v>
      </c>
      <c r="D9754" s="325" t="s">
        <v>1477</v>
      </c>
      <c r="E9754" s="325" t="s">
        <v>284</v>
      </c>
      <c r="F9754" s="281">
        <v>0</v>
      </c>
    </row>
    <row r="9755" spans="2:6">
      <c r="B9755" s="271" t="s">
        <v>217</v>
      </c>
      <c r="C9755" s="325" t="s">
        <v>313</v>
      </c>
      <c r="D9755" s="325" t="s">
        <v>1477</v>
      </c>
      <c r="E9755" s="325" t="s">
        <v>1379</v>
      </c>
      <c r="F9755" s="281">
        <v>0</v>
      </c>
    </row>
    <row r="9756" spans="2:6">
      <c r="B9756" s="271" t="s">
        <v>217</v>
      </c>
      <c r="C9756" s="325" t="s">
        <v>313</v>
      </c>
      <c r="D9756" s="325" t="s">
        <v>1477</v>
      </c>
      <c r="E9756" s="325" t="s">
        <v>285</v>
      </c>
      <c r="F9756" s="281">
        <v>0</v>
      </c>
    </row>
    <row r="9757" spans="2:6">
      <c r="B9757" s="271" t="s">
        <v>217</v>
      </c>
      <c r="C9757" s="325" t="s">
        <v>313</v>
      </c>
      <c r="D9757" s="325" t="s">
        <v>1477</v>
      </c>
      <c r="E9757" s="325" t="s">
        <v>1380</v>
      </c>
      <c r="F9757" s="281">
        <v>0</v>
      </c>
    </row>
    <row r="9758" spans="2:6">
      <c r="B9758" s="271" t="s">
        <v>217</v>
      </c>
      <c r="C9758" s="325" t="s">
        <v>313</v>
      </c>
      <c r="D9758" s="325" t="s">
        <v>1477</v>
      </c>
      <c r="E9758" s="325" t="s">
        <v>281</v>
      </c>
      <c r="F9758" s="281">
        <v>0</v>
      </c>
    </row>
    <row r="9759" spans="2:6">
      <c r="B9759" s="271" t="s">
        <v>217</v>
      </c>
      <c r="C9759" s="325" t="s">
        <v>313</v>
      </c>
      <c r="D9759" s="325" t="s">
        <v>1477</v>
      </c>
      <c r="E9759" s="325" t="s">
        <v>1384</v>
      </c>
      <c r="F9759" s="281">
        <v>0</v>
      </c>
    </row>
    <row r="9760" spans="2:6">
      <c r="B9760" s="136" t="s">
        <v>217</v>
      </c>
      <c r="C9760" s="132" t="s">
        <v>304</v>
      </c>
      <c r="D9760" s="1111">
        <v>424</v>
      </c>
      <c r="E9760" s="132" t="s">
        <v>282</v>
      </c>
      <c r="F9760" s="1109">
        <v>1</v>
      </c>
    </row>
    <row r="9761" spans="2:6">
      <c r="B9761" s="136" t="s">
        <v>217</v>
      </c>
      <c r="C9761" s="132" t="s">
        <v>304</v>
      </c>
      <c r="D9761" s="1111">
        <v>424</v>
      </c>
      <c r="E9761" s="132" t="s">
        <v>283</v>
      </c>
      <c r="F9761" s="1109">
        <v>1</v>
      </c>
    </row>
    <row r="9762" spans="2:6">
      <c r="B9762" s="136" t="s">
        <v>217</v>
      </c>
      <c r="C9762" s="132" t="s">
        <v>304</v>
      </c>
      <c r="D9762" s="1111">
        <v>424</v>
      </c>
      <c r="E9762" s="132" t="s">
        <v>284</v>
      </c>
      <c r="F9762" s="1109">
        <v>1</v>
      </c>
    </row>
    <row r="9763" spans="2:6">
      <c r="B9763" s="136" t="s">
        <v>217</v>
      </c>
      <c r="C9763" s="132" t="s">
        <v>304</v>
      </c>
      <c r="D9763" s="1111">
        <v>424</v>
      </c>
      <c r="E9763" s="132" t="s">
        <v>1379</v>
      </c>
      <c r="F9763" s="1109">
        <v>1</v>
      </c>
    </row>
    <row r="9764" spans="2:6">
      <c r="B9764" s="136" t="s">
        <v>217</v>
      </c>
      <c r="C9764" s="132" t="s">
        <v>304</v>
      </c>
      <c r="D9764" s="1111">
        <v>424</v>
      </c>
      <c r="E9764" s="132" t="s">
        <v>285</v>
      </c>
      <c r="F9764" s="1109">
        <v>1</v>
      </c>
    </row>
    <row r="9765" spans="2:6">
      <c r="B9765" s="136" t="s">
        <v>217</v>
      </c>
      <c r="C9765" s="132" t="s">
        <v>304</v>
      </c>
      <c r="D9765" s="1111">
        <v>424</v>
      </c>
      <c r="E9765" s="132" t="s">
        <v>1380</v>
      </c>
      <c r="F9765" s="1109">
        <v>1</v>
      </c>
    </row>
    <row r="9766" spans="2:6">
      <c r="B9766" s="136" t="s">
        <v>217</v>
      </c>
      <c r="C9766" s="132" t="s">
        <v>304</v>
      </c>
      <c r="D9766" s="1111">
        <v>424</v>
      </c>
      <c r="E9766" s="132" t="s">
        <v>281</v>
      </c>
      <c r="F9766" s="1109">
        <v>1</v>
      </c>
    </row>
    <row r="9767" spans="2:6">
      <c r="B9767" s="136" t="s">
        <v>217</v>
      </c>
      <c r="C9767" s="132" t="s">
        <v>304</v>
      </c>
      <c r="D9767" s="1111">
        <v>424</v>
      </c>
      <c r="E9767" s="132" t="s">
        <v>1384</v>
      </c>
      <c r="F9767" s="1109">
        <v>0.8</v>
      </c>
    </row>
    <row r="9768" spans="2:6">
      <c r="B9768" s="136" t="s">
        <v>217</v>
      </c>
      <c r="C9768" s="132" t="s">
        <v>300</v>
      </c>
      <c r="D9768" s="325" t="s">
        <v>800</v>
      </c>
      <c r="E9768" s="132" t="s">
        <v>282</v>
      </c>
      <c r="F9768" s="1109">
        <v>1</v>
      </c>
    </row>
    <row r="9769" spans="2:6">
      <c r="B9769" s="136" t="s">
        <v>217</v>
      </c>
      <c r="C9769" s="132" t="s">
        <v>300</v>
      </c>
      <c r="D9769" s="325" t="s">
        <v>800</v>
      </c>
      <c r="E9769" s="132" t="s">
        <v>283</v>
      </c>
      <c r="F9769" s="1109">
        <v>1</v>
      </c>
    </row>
    <row r="9770" spans="2:6">
      <c r="B9770" s="136" t="s">
        <v>217</v>
      </c>
      <c r="C9770" s="132" t="s">
        <v>300</v>
      </c>
      <c r="D9770" s="325" t="s">
        <v>800</v>
      </c>
      <c r="E9770" s="132" t="s">
        <v>284</v>
      </c>
      <c r="F9770" s="1109">
        <v>1</v>
      </c>
    </row>
    <row r="9771" spans="2:6">
      <c r="B9771" s="136" t="s">
        <v>217</v>
      </c>
      <c r="C9771" s="132" t="s">
        <v>300</v>
      </c>
      <c r="D9771" s="325" t="s">
        <v>800</v>
      </c>
      <c r="E9771" s="132" t="s">
        <v>1379</v>
      </c>
      <c r="F9771" s="1109">
        <v>1</v>
      </c>
    </row>
    <row r="9772" spans="2:6">
      <c r="B9772" s="136" t="s">
        <v>217</v>
      </c>
      <c r="C9772" s="132" t="s">
        <v>300</v>
      </c>
      <c r="D9772" s="325" t="s">
        <v>800</v>
      </c>
      <c r="E9772" s="132" t="s">
        <v>285</v>
      </c>
      <c r="F9772" s="1109">
        <v>1</v>
      </c>
    </row>
    <row r="9773" spans="2:6">
      <c r="B9773" s="136" t="s">
        <v>217</v>
      </c>
      <c r="C9773" s="132" t="s">
        <v>300</v>
      </c>
      <c r="D9773" s="325" t="s">
        <v>800</v>
      </c>
      <c r="E9773" s="132" t="s">
        <v>1380</v>
      </c>
      <c r="F9773" s="1109">
        <v>1</v>
      </c>
    </row>
    <row r="9774" spans="2:6">
      <c r="B9774" s="136" t="s">
        <v>217</v>
      </c>
      <c r="C9774" s="132" t="s">
        <v>300</v>
      </c>
      <c r="D9774" s="325" t="s">
        <v>800</v>
      </c>
      <c r="E9774" s="132" t="s">
        <v>281</v>
      </c>
      <c r="F9774" s="1109">
        <v>1</v>
      </c>
    </row>
    <row r="9775" spans="2:6">
      <c r="B9775" s="136" t="s">
        <v>217</v>
      </c>
      <c r="C9775" s="132" t="s">
        <v>300</v>
      </c>
      <c r="D9775" s="325" t="s">
        <v>800</v>
      </c>
      <c r="E9775" s="132" t="s">
        <v>1384</v>
      </c>
      <c r="F9775" s="1109">
        <v>0.8</v>
      </c>
    </row>
    <row r="9776" spans="2:6">
      <c r="B9776" s="136" t="s">
        <v>217</v>
      </c>
      <c r="C9776" s="132" t="s">
        <v>302</v>
      </c>
      <c r="D9776" s="325" t="s">
        <v>800</v>
      </c>
      <c r="E9776" s="132" t="s">
        <v>282</v>
      </c>
      <c r="F9776" s="1109">
        <v>1</v>
      </c>
    </row>
    <row r="9777" spans="2:6">
      <c r="B9777" s="136" t="s">
        <v>217</v>
      </c>
      <c r="C9777" s="132" t="s">
        <v>302</v>
      </c>
      <c r="D9777" s="325" t="s">
        <v>800</v>
      </c>
      <c r="E9777" s="132" t="s">
        <v>283</v>
      </c>
      <c r="F9777" s="1109">
        <v>1</v>
      </c>
    </row>
    <row r="9778" spans="2:6">
      <c r="B9778" s="136" t="s">
        <v>217</v>
      </c>
      <c r="C9778" s="132" t="s">
        <v>302</v>
      </c>
      <c r="D9778" s="325" t="s">
        <v>800</v>
      </c>
      <c r="E9778" s="132" t="s">
        <v>284</v>
      </c>
      <c r="F9778" s="1109">
        <v>1</v>
      </c>
    </row>
    <row r="9779" spans="2:6">
      <c r="B9779" s="136" t="s">
        <v>217</v>
      </c>
      <c r="C9779" s="132" t="s">
        <v>302</v>
      </c>
      <c r="D9779" s="325" t="s">
        <v>800</v>
      </c>
      <c r="E9779" s="132" t="s">
        <v>1379</v>
      </c>
      <c r="F9779" s="1109">
        <v>1</v>
      </c>
    </row>
    <row r="9780" spans="2:6">
      <c r="B9780" s="136" t="s">
        <v>217</v>
      </c>
      <c r="C9780" s="132" t="s">
        <v>302</v>
      </c>
      <c r="D9780" s="325" t="s">
        <v>800</v>
      </c>
      <c r="E9780" s="132" t="s">
        <v>285</v>
      </c>
      <c r="F9780" s="1109">
        <v>1</v>
      </c>
    </row>
    <row r="9781" spans="2:6">
      <c r="B9781" s="136" t="s">
        <v>217</v>
      </c>
      <c r="C9781" s="132" t="s">
        <v>302</v>
      </c>
      <c r="D9781" s="325" t="s">
        <v>800</v>
      </c>
      <c r="E9781" s="132" t="s">
        <v>1380</v>
      </c>
      <c r="F9781" s="1109">
        <v>1</v>
      </c>
    </row>
    <row r="9782" spans="2:6">
      <c r="B9782" s="136" t="s">
        <v>217</v>
      </c>
      <c r="C9782" s="132" t="s">
        <v>302</v>
      </c>
      <c r="D9782" s="325" t="s">
        <v>800</v>
      </c>
      <c r="E9782" s="132" t="s">
        <v>281</v>
      </c>
      <c r="F9782" s="1109">
        <v>1</v>
      </c>
    </row>
    <row r="9783" spans="2:6">
      <c r="B9783" s="136" t="s">
        <v>217</v>
      </c>
      <c r="C9783" s="132" t="s">
        <v>302</v>
      </c>
      <c r="D9783" s="325" t="s">
        <v>800</v>
      </c>
      <c r="E9783" s="132" t="s">
        <v>1384</v>
      </c>
      <c r="F9783" s="1109">
        <v>0.8</v>
      </c>
    </row>
    <row r="9784" spans="2:6">
      <c r="B9784" s="271" t="s">
        <v>217</v>
      </c>
      <c r="C9784" s="325" t="s">
        <v>308</v>
      </c>
      <c r="D9784" s="325" t="s">
        <v>1477</v>
      </c>
      <c r="E9784" s="325" t="s">
        <v>282</v>
      </c>
      <c r="F9784" s="281">
        <v>0</v>
      </c>
    </row>
    <row r="9785" spans="2:6">
      <c r="B9785" s="271" t="s">
        <v>217</v>
      </c>
      <c r="C9785" s="325" t="s">
        <v>308</v>
      </c>
      <c r="D9785" s="325" t="s">
        <v>1477</v>
      </c>
      <c r="E9785" s="325" t="s">
        <v>283</v>
      </c>
      <c r="F9785" s="281">
        <v>0</v>
      </c>
    </row>
    <row r="9786" spans="2:6">
      <c r="B9786" s="271" t="s">
        <v>217</v>
      </c>
      <c r="C9786" s="325" t="s">
        <v>308</v>
      </c>
      <c r="D9786" s="325" t="s">
        <v>1477</v>
      </c>
      <c r="E9786" s="325" t="s">
        <v>284</v>
      </c>
      <c r="F9786" s="281">
        <v>0</v>
      </c>
    </row>
    <row r="9787" spans="2:6">
      <c r="B9787" s="271" t="s">
        <v>217</v>
      </c>
      <c r="C9787" s="325" t="s">
        <v>308</v>
      </c>
      <c r="D9787" s="325" t="s">
        <v>1477</v>
      </c>
      <c r="E9787" s="325" t="s">
        <v>1379</v>
      </c>
      <c r="F9787" s="281">
        <v>0</v>
      </c>
    </row>
    <row r="9788" spans="2:6">
      <c r="B9788" s="271" t="s">
        <v>217</v>
      </c>
      <c r="C9788" s="325" t="s">
        <v>308</v>
      </c>
      <c r="D9788" s="325" t="s">
        <v>1477</v>
      </c>
      <c r="E9788" s="325" t="s">
        <v>285</v>
      </c>
      <c r="F9788" s="281">
        <v>0</v>
      </c>
    </row>
    <row r="9789" spans="2:6">
      <c r="B9789" s="271" t="s">
        <v>217</v>
      </c>
      <c r="C9789" s="325" t="s">
        <v>308</v>
      </c>
      <c r="D9789" s="325" t="s">
        <v>1477</v>
      </c>
      <c r="E9789" s="325" t="s">
        <v>1380</v>
      </c>
      <c r="F9789" s="281">
        <v>0</v>
      </c>
    </row>
    <row r="9790" spans="2:6">
      <c r="B9790" s="271" t="s">
        <v>217</v>
      </c>
      <c r="C9790" s="325" t="s">
        <v>308</v>
      </c>
      <c r="D9790" s="325" t="s">
        <v>1477</v>
      </c>
      <c r="E9790" s="325" t="s">
        <v>281</v>
      </c>
      <c r="F9790" s="281">
        <v>0</v>
      </c>
    </row>
    <row r="9791" spans="2:6">
      <c r="B9791" s="271" t="s">
        <v>217</v>
      </c>
      <c r="C9791" s="325" t="s">
        <v>308</v>
      </c>
      <c r="D9791" s="325" t="s">
        <v>1477</v>
      </c>
      <c r="E9791" s="325" t="s">
        <v>1384</v>
      </c>
      <c r="F9791" s="281">
        <v>0</v>
      </c>
    </row>
    <row r="9792" spans="2:6">
      <c r="B9792" s="136" t="s">
        <v>217</v>
      </c>
      <c r="C9792" s="132" t="s">
        <v>306</v>
      </c>
      <c r="D9792" s="1111">
        <v>424</v>
      </c>
      <c r="E9792" s="132" t="s">
        <v>282</v>
      </c>
      <c r="F9792" s="1109">
        <v>1</v>
      </c>
    </row>
    <row r="9793" spans="2:6">
      <c r="B9793" s="136" t="s">
        <v>217</v>
      </c>
      <c r="C9793" s="132" t="s">
        <v>306</v>
      </c>
      <c r="D9793" s="1111">
        <v>424</v>
      </c>
      <c r="E9793" s="132" t="s">
        <v>283</v>
      </c>
      <c r="F9793" s="1109">
        <v>1</v>
      </c>
    </row>
    <row r="9794" spans="2:6">
      <c r="B9794" s="136" t="s">
        <v>217</v>
      </c>
      <c r="C9794" s="132" t="s">
        <v>306</v>
      </c>
      <c r="D9794" s="1111">
        <v>424</v>
      </c>
      <c r="E9794" s="132" t="s">
        <v>284</v>
      </c>
      <c r="F9794" s="1109">
        <v>1</v>
      </c>
    </row>
    <row r="9795" spans="2:6">
      <c r="B9795" s="136" t="s">
        <v>217</v>
      </c>
      <c r="C9795" s="132" t="s">
        <v>306</v>
      </c>
      <c r="D9795" s="1111">
        <v>424</v>
      </c>
      <c r="E9795" s="132" t="s">
        <v>1379</v>
      </c>
      <c r="F9795" s="1109">
        <v>1</v>
      </c>
    </row>
    <row r="9796" spans="2:6">
      <c r="B9796" s="136" t="s">
        <v>217</v>
      </c>
      <c r="C9796" s="132" t="s">
        <v>306</v>
      </c>
      <c r="D9796" s="1111">
        <v>424</v>
      </c>
      <c r="E9796" s="132" t="s">
        <v>285</v>
      </c>
      <c r="F9796" s="1109">
        <v>1</v>
      </c>
    </row>
    <row r="9797" spans="2:6">
      <c r="B9797" s="136" t="s">
        <v>217</v>
      </c>
      <c r="C9797" s="132" t="s">
        <v>306</v>
      </c>
      <c r="D9797" s="1111">
        <v>424</v>
      </c>
      <c r="E9797" s="132" t="s">
        <v>1380</v>
      </c>
      <c r="F9797" s="1109">
        <v>1</v>
      </c>
    </row>
    <row r="9798" spans="2:6">
      <c r="B9798" s="136" t="s">
        <v>217</v>
      </c>
      <c r="C9798" s="132" t="s">
        <v>306</v>
      </c>
      <c r="D9798" s="1111">
        <v>424</v>
      </c>
      <c r="E9798" s="132" t="s">
        <v>281</v>
      </c>
      <c r="F9798" s="1109">
        <v>1</v>
      </c>
    </row>
    <row r="9799" spans="2:6">
      <c r="B9799" s="136" t="s">
        <v>217</v>
      </c>
      <c r="C9799" s="132" t="s">
        <v>306</v>
      </c>
      <c r="D9799" s="1111">
        <v>424</v>
      </c>
      <c r="E9799" s="132" t="s">
        <v>1384</v>
      </c>
      <c r="F9799" s="1109">
        <v>1</v>
      </c>
    </row>
    <row r="9800" spans="2:6">
      <c r="B9800" s="136" t="s">
        <v>217</v>
      </c>
      <c r="C9800" s="132" t="s">
        <v>311</v>
      </c>
      <c r="D9800" s="1111">
        <v>424</v>
      </c>
      <c r="E9800" s="132" t="s">
        <v>282</v>
      </c>
      <c r="F9800" s="1109">
        <v>1</v>
      </c>
    </row>
    <row r="9801" spans="2:6">
      <c r="B9801" s="136" t="s">
        <v>217</v>
      </c>
      <c r="C9801" s="132" t="s">
        <v>311</v>
      </c>
      <c r="D9801" s="1111">
        <v>424</v>
      </c>
      <c r="E9801" s="132" t="s">
        <v>283</v>
      </c>
      <c r="F9801" s="1109">
        <v>1</v>
      </c>
    </row>
    <row r="9802" spans="2:6">
      <c r="B9802" s="136" t="s">
        <v>217</v>
      </c>
      <c r="C9802" s="132" t="s">
        <v>311</v>
      </c>
      <c r="D9802" s="1111">
        <v>424</v>
      </c>
      <c r="E9802" s="132" t="s">
        <v>284</v>
      </c>
      <c r="F9802" s="1109">
        <v>1</v>
      </c>
    </row>
    <row r="9803" spans="2:6">
      <c r="B9803" s="136" t="s">
        <v>217</v>
      </c>
      <c r="C9803" s="132" t="s">
        <v>311</v>
      </c>
      <c r="D9803" s="1111">
        <v>424</v>
      </c>
      <c r="E9803" s="132" t="s">
        <v>1379</v>
      </c>
      <c r="F9803" s="1109">
        <v>1</v>
      </c>
    </row>
    <row r="9804" spans="2:6">
      <c r="B9804" s="136" t="s">
        <v>217</v>
      </c>
      <c r="C9804" s="132" t="s">
        <v>311</v>
      </c>
      <c r="D9804" s="1111">
        <v>424</v>
      </c>
      <c r="E9804" s="132" t="s">
        <v>285</v>
      </c>
      <c r="F9804" s="1109">
        <v>1</v>
      </c>
    </row>
    <row r="9805" spans="2:6">
      <c r="B9805" s="136" t="s">
        <v>217</v>
      </c>
      <c r="C9805" s="132" t="s">
        <v>311</v>
      </c>
      <c r="D9805" s="1111">
        <v>424</v>
      </c>
      <c r="E9805" s="132" t="s">
        <v>1380</v>
      </c>
      <c r="F9805" s="1109">
        <v>1</v>
      </c>
    </row>
    <row r="9806" spans="2:6">
      <c r="B9806" s="136" t="s">
        <v>217</v>
      </c>
      <c r="C9806" s="132" t="s">
        <v>311</v>
      </c>
      <c r="D9806" s="1111">
        <v>424</v>
      </c>
      <c r="E9806" s="132" t="s">
        <v>281</v>
      </c>
      <c r="F9806" s="1109">
        <v>1</v>
      </c>
    </row>
    <row r="9807" spans="2:6">
      <c r="B9807" s="136" t="s">
        <v>217</v>
      </c>
      <c r="C9807" s="132" t="s">
        <v>311</v>
      </c>
      <c r="D9807" s="1111">
        <v>424</v>
      </c>
      <c r="E9807" s="132" t="s">
        <v>1384</v>
      </c>
      <c r="F9807" s="1109">
        <v>1</v>
      </c>
    </row>
    <row r="9808" spans="2:6">
      <c r="B9808" s="136" t="s">
        <v>217</v>
      </c>
      <c r="C9808" s="132" t="s">
        <v>309</v>
      </c>
      <c r="D9808" s="1111">
        <v>424</v>
      </c>
      <c r="E9808" s="132" t="s">
        <v>282</v>
      </c>
      <c r="F9808" s="1109">
        <v>1</v>
      </c>
    </row>
    <row r="9809" spans="2:6">
      <c r="B9809" s="136" t="s">
        <v>217</v>
      </c>
      <c r="C9809" s="132" t="s">
        <v>309</v>
      </c>
      <c r="D9809" s="1111">
        <v>424</v>
      </c>
      <c r="E9809" s="132" t="s">
        <v>283</v>
      </c>
      <c r="F9809" s="1109">
        <v>1</v>
      </c>
    </row>
    <row r="9810" spans="2:6">
      <c r="B9810" s="136" t="s">
        <v>217</v>
      </c>
      <c r="C9810" s="132" t="s">
        <v>309</v>
      </c>
      <c r="D9810" s="1111">
        <v>424</v>
      </c>
      <c r="E9810" s="132" t="s">
        <v>284</v>
      </c>
      <c r="F9810" s="1109">
        <v>1</v>
      </c>
    </row>
    <row r="9811" spans="2:6">
      <c r="B9811" s="136" t="s">
        <v>217</v>
      </c>
      <c r="C9811" s="132" t="s">
        <v>309</v>
      </c>
      <c r="D9811" s="1111">
        <v>424</v>
      </c>
      <c r="E9811" s="132" t="s">
        <v>1379</v>
      </c>
      <c r="F9811" s="1109">
        <v>1</v>
      </c>
    </row>
    <row r="9812" spans="2:6">
      <c r="B9812" s="136" t="s">
        <v>217</v>
      </c>
      <c r="C9812" s="132" t="s">
        <v>309</v>
      </c>
      <c r="D9812" s="1111">
        <v>424</v>
      </c>
      <c r="E9812" s="132" t="s">
        <v>285</v>
      </c>
      <c r="F9812" s="1109">
        <v>1</v>
      </c>
    </row>
    <row r="9813" spans="2:6">
      <c r="B9813" s="136" t="s">
        <v>217</v>
      </c>
      <c r="C9813" s="132" t="s">
        <v>309</v>
      </c>
      <c r="D9813" s="1111">
        <v>424</v>
      </c>
      <c r="E9813" s="132" t="s">
        <v>1380</v>
      </c>
      <c r="F9813" s="1109">
        <v>1</v>
      </c>
    </row>
    <row r="9814" spans="2:6">
      <c r="B9814" s="136" t="s">
        <v>217</v>
      </c>
      <c r="C9814" s="132" t="s">
        <v>309</v>
      </c>
      <c r="D9814" s="1111">
        <v>424</v>
      </c>
      <c r="E9814" s="132" t="s">
        <v>281</v>
      </c>
      <c r="F9814" s="1109">
        <v>1</v>
      </c>
    </row>
    <row r="9815" spans="2:6">
      <c r="B9815" s="136" t="s">
        <v>217</v>
      </c>
      <c r="C9815" s="132" t="s">
        <v>309</v>
      </c>
      <c r="D9815" s="1111">
        <v>424</v>
      </c>
      <c r="E9815" s="132" t="s">
        <v>1384</v>
      </c>
      <c r="F9815" s="1109">
        <v>1</v>
      </c>
    </row>
    <row r="9816" spans="2:6">
      <c r="B9816" s="271" t="s">
        <v>217</v>
      </c>
      <c r="C9816" s="325" t="s">
        <v>307</v>
      </c>
      <c r="D9816" s="325" t="s">
        <v>1477</v>
      </c>
      <c r="E9816" s="325" t="s">
        <v>282</v>
      </c>
      <c r="F9816" s="281">
        <v>0</v>
      </c>
    </row>
    <row r="9817" spans="2:6">
      <c r="B9817" s="271" t="s">
        <v>217</v>
      </c>
      <c r="C9817" s="325" t="s">
        <v>307</v>
      </c>
      <c r="D9817" s="325" t="s">
        <v>1477</v>
      </c>
      <c r="E9817" s="325" t="s">
        <v>283</v>
      </c>
      <c r="F9817" s="281">
        <v>0</v>
      </c>
    </row>
    <row r="9818" spans="2:6">
      <c r="B9818" s="271" t="s">
        <v>217</v>
      </c>
      <c r="C9818" s="325" t="s">
        <v>307</v>
      </c>
      <c r="D9818" s="325" t="s">
        <v>1477</v>
      </c>
      <c r="E9818" s="325" t="s">
        <v>284</v>
      </c>
      <c r="F9818" s="281">
        <v>0</v>
      </c>
    </row>
    <row r="9819" spans="2:6">
      <c r="B9819" s="271" t="s">
        <v>217</v>
      </c>
      <c r="C9819" s="325" t="s">
        <v>307</v>
      </c>
      <c r="D9819" s="325" t="s">
        <v>1477</v>
      </c>
      <c r="E9819" s="325" t="s">
        <v>1379</v>
      </c>
      <c r="F9819" s="281">
        <v>0</v>
      </c>
    </row>
    <row r="9820" spans="2:6">
      <c r="B9820" s="271" t="s">
        <v>217</v>
      </c>
      <c r="C9820" s="325" t="s">
        <v>307</v>
      </c>
      <c r="D9820" s="325" t="s">
        <v>1477</v>
      </c>
      <c r="E9820" s="325" t="s">
        <v>285</v>
      </c>
      <c r="F9820" s="281">
        <v>0</v>
      </c>
    </row>
    <row r="9821" spans="2:6">
      <c r="B9821" s="271" t="s">
        <v>217</v>
      </c>
      <c r="C9821" s="325" t="s">
        <v>307</v>
      </c>
      <c r="D9821" s="325" t="s">
        <v>1477</v>
      </c>
      <c r="E9821" s="325" t="s">
        <v>1380</v>
      </c>
      <c r="F9821" s="281">
        <v>0</v>
      </c>
    </row>
    <row r="9822" spans="2:6">
      <c r="B9822" s="271" t="s">
        <v>217</v>
      </c>
      <c r="C9822" s="325" t="s">
        <v>307</v>
      </c>
      <c r="D9822" s="325" t="s">
        <v>1477</v>
      </c>
      <c r="E9822" s="325" t="s">
        <v>281</v>
      </c>
      <c r="F9822" s="281">
        <v>0</v>
      </c>
    </row>
    <row r="9823" spans="2:6">
      <c r="B9823" s="271" t="s">
        <v>217</v>
      </c>
      <c r="C9823" s="325" t="s">
        <v>307</v>
      </c>
      <c r="D9823" s="325" t="s">
        <v>1477</v>
      </c>
      <c r="E9823" s="325" t="s">
        <v>1384</v>
      </c>
      <c r="F9823" s="281">
        <v>0</v>
      </c>
    </row>
    <row r="9824" spans="2:6">
      <c r="B9824" s="1168" t="s">
        <v>4</v>
      </c>
      <c r="C9824" s="1169" t="s">
        <v>315</v>
      </c>
      <c r="D9824" s="325"/>
      <c r="E9824" s="1169" t="s">
        <v>282</v>
      </c>
      <c r="F9824" s="1170">
        <v>1</v>
      </c>
    </row>
    <row r="9825" spans="2:6">
      <c r="B9825" s="1168" t="s">
        <v>4</v>
      </c>
      <c r="C9825" s="1169" t="s">
        <v>315</v>
      </c>
      <c r="D9825" s="325"/>
      <c r="E9825" s="1169" t="s">
        <v>283</v>
      </c>
      <c r="F9825" s="1170">
        <v>1</v>
      </c>
    </row>
    <row r="9826" spans="2:6">
      <c r="B9826" s="1168" t="s">
        <v>4</v>
      </c>
      <c r="C9826" s="1169" t="s">
        <v>315</v>
      </c>
      <c r="D9826" s="325"/>
      <c r="E9826" s="1169" t="s">
        <v>284</v>
      </c>
      <c r="F9826" s="1170">
        <v>1</v>
      </c>
    </row>
    <row r="9827" spans="2:6">
      <c r="B9827" s="1168" t="s">
        <v>4</v>
      </c>
      <c r="C9827" s="1169" t="s">
        <v>315</v>
      </c>
      <c r="D9827" s="325"/>
      <c r="E9827" s="1169" t="s">
        <v>1379</v>
      </c>
      <c r="F9827" s="1170">
        <v>1</v>
      </c>
    </row>
    <row r="9828" spans="2:6">
      <c r="B9828" s="1168" t="s">
        <v>4</v>
      </c>
      <c r="C9828" s="1169" t="s">
        <v>315</v>
      </c>
      <c r="D9828" s="325"/>
      <c r="E9828" s="1169" t="s">
        <v>285</v>
      </c>
      <c r="F9828" s="1170">
        <v>1</v>
      </c>
    </row>
    <row r="9829" spans="2:6">
      <c r="B9829" s="1168" t="s">
        <v>4</v>
      </c>
      <c r="C9829" s="1169" t="s">
        <v>315</v>
      </c>
      <c r="D9829" s="325"/>
      <c r="E9829" s="1169" t="s">
        <v>1380</v>
      </c>
      <c r="F9829" s="1170">
        <v>1</v>
      </c>
    </row>
    <row r="9830" spans="2:6">
      <c r="B9830" s="1168" t="s">
        <v>4</v>
      </c>
      <c r="C9830" s="1169" t="s">
        <v>315</v>
      </c>
      <c r="D9830" s="325"/>
      <c r="E9830" s="1169" t="s">
        <v>281</v>
      </c>
      <c r="F9830" s="1170">
        <v>1</v>
      </c>
    </row>
    <row r="9831" spans="2:6">
      <c r="B9831" s="1168" t="s">
        <v>4</v>
      </c>
      <c r="C9831" s="1169" t="s">
        <v>315</v>
      </c>
      <c r="D9831" s="325"/>
      <c r="E9831" s="1169" t="s">
        <v>1384</v>
      </c>
      <c r="F9831" s="1170">
        <v>1</v>
      </c>
    </row>
    <row r="9832" spans="2:6">
      <c r="B9832" s="1168" t="s">
        <v>4</v>
      </c>
      <c r="C9832" s="1169" t="s">
        <v>313</v>
      </c>
      <c r="D9832" s="325"/>
      <c r="E9832" s="1169" t="s">
        <v>282</v>
      </c>
      <c r="F9832" s="1170">
        <v>1</v>
      </c>
    </row>
    <row r="9833" spans="2:6">
      <c r="B9833" s="1168" t="s">
        <v>4</v>
      </c>
      <c r="C9833" s="1169" t="s">
        <v>313</v>
      </c>
      <c r="D9833" s="325"/>
      <c r="E9833" s="1169" t="s">
        <v>283</v>
      </c>
      <c r="F9833" s="1170">
        <v>1</v>
      </c>
    </row>
    <row r="9834" spans="2:6">
      <c r="B9834" s="1168" t="s">
        <v>4</v>
      </c>
      <c r="C9834" s="1169" t="s">
        <v>313</v>
      </c>
      <c r="D9834" s="325"/>
      <c r="E9834" s="1169" t="s">
        <v>284</v>
      </c>
      <c r="F9834" s="1170">
        <v>1</v>
      </c>
    </row>
    <row r="9835" spans="2:6">
      <c r="B9835" s="1168" t="s">
        <v>4</v>
      </c>
      <c r="C9835" s="1169" t="s">
        <v>313</v>
      </c>
      <c r="D9835" s="325"/>
      <c r="E9835" s="1169" t="s">
        <v>1379</v>
      </c>
      <c r="F9835" s="1170">
        <v>1</v>
      </c>
    </row>
    <row r="9836" spans="2:6">
      <c r="B9836" s="1168" t="s">
        <v>4</v>
      </c>
      <c r="C9836" s="1169" t="s">
        <v>313</v>
      </c>
      <c r="D9836" s="325"/>
      <c r="E9836" s="1169" t="s">
        <v>285</v>
      </c>
      <c r="F9836" s="1170">
        <v>1</v>
      </c>
    </row>
    <row r="9837" spans="2:6">
      <c r="B9837" s="1168" t="s">
        <v>4</v>
      </c>
      <c r="C9837" s="1169" t="s">
        <v>313</v>
      </c>
      <c r="D9837" s="325"/>
      <c r="E9837" s="1169" t="s">
        <v>1380</v>
      </c>
      <c r="F9837" s="1170">
        <v>1</v>
      </c>
    </row>
    <row r="9838" spans="2:6">
      <c r="B9838" s="1168" t="s">
        <v>4</v>
      </c>
      <c r="C9838" s="1169" t="s">
        <v>313</v>
      </c>
      <c r="D9838" s="325"/>
      <c r="E9838" s="1169" t="s">
        <v>281</v>
      </c>
      <c r="F9838" s="1170">
        <v>1</v>
      </c>
    </row>
    <row r="9839" spans="2:6">
      <c r="B9839" s="1168" t="s">
        <v>4</v>
      </c>
      <c r="C9839" s="1169" t="s">
        <v>313</v>
      </c>
      <c r="D9839" s="325"/>
      <c r="E9839" s="1169" t="s">
        <v>1384</v>
      </c>
      <c r="F9839" s="1170">
        <v>1</v>
      </c>
    </row>
    <row r="9840" spans="2:6">
      <c r="B9840" s="1168" t="s">
        <v>4</v>
      </c>
      <c r="C9840" s="1169" t="s">
        <v>304</v>
      </c>
      <c r="D9840" s="325"/>
      <c r="E9840" s="1169" t="s">
        <v>282</v>
      </c>
      <c r="F9840" s="1170">
        <v>1</v>
      </c>
    </row>
    <row r="9841" spans="2:6">
      <c r="B9841" s="1168" t="s">
        <v>4</v>
      </c>
      <c r="C9841" s="1169" t="s">
        <v>304</v>
      </c>
      <c r="D9841" s="325"/>
      <c r="E9841" s="1169" t="s">
        <v>283</v>
      </c>
      <c r="F9841" s="1170">
        <v>1</v>
      </c>
    </row>
    <row r="9842" spans="2:6">
      <c r="B9842" s="1168" t="s">
        <v>4</v>
      </c>
      <c r="C9842" s="1169" t="s">
        <v>304</v>
      </c>
      <c r="D9842" s="325"/>
      <c r="E9842" s="1169" t="s">
        <v>284</v>
      </c>
      <c r="F9842" s="1170">
        <v>1</v>
      </c>
    </row>
    <row r="9843" spans="2:6">
      <c r="B9843" s="1168" t="s">
        <v>4</v>
      </c>
      <c r="C9843" s="1169" t="s">
        <v>304</v>
      </c>
      <c r="D9843" s="325"/>
      <c r="E9843" s="1169" t="s">
        <v>1379</v>
      </c>
      <c r="F9843" s="1170">
        <v>1</v>
      </c>
    </row>
    <row r="9844" spans="2:6">
      <c r="B9844" s="1168" t="s">
        <v>4</v>
      </c>
      <c r="C9844" s="1169" t="s">
        <v>304</v>
      </c>
      <c r="D9844" s="325"/>
      <c r="E9844" s="1169" t="s">
        <v>285</v>
      </c>
      <c r="F9844" s="1170">
        <v>1</v>
      </c>
    </row>
    <row r="9845" spans="2:6">
      <c r="B9845" s="1168" t="s">
        <v>4</v>
      </c>
      <c r="C9845" s="1169" t="s">
        <v>304</v>
      </c>
      <c r="D9845" s="325"/>
      <c r="E9845" s="1169" t="s">
        <v>1380</v>
      </c>
      <c r="F9845" s="1170">
        <v>1</v>
      </c>
    </row>
    <row r="9846" spans="2:6">
      <c r="B9846" s="1168" t="s">
        <v>4</v>
      </c>
      <c r="C9846" s="1169" t="s">
        <v>304</v>
      </c>
      <c r="D9846" s="325"/>
      <c r="E9846" s="1169" t="s">
        <v>281</v>
      </c>
      <c r="F9846" s="1170">
        <v>1</v>
      </c>
    </row>
    <row r="9847" spans="2:6">
      <c r="B9847" s="1168" t="s">
        <v>4</v>
      </c>
      <c r="C9847" s="1169" t="s">
        <v>304</v>
      </c>
      <c r="D9847" s="325"/>
      <c r="E9847" s="1169" t="s">
        <v>1384</v>
      </c>
      <c r="F9847" s="1170">
        <v>1</v>
      </c>
    </row>
    <row r="9848" spans="2:6">
      <c r="B9848" s="1168" t="s">
        <v>4</v>
      </c>
      <c r="C9848" s="1169" t="s">
        <v>300</v>
      </c>
      <c r="D9848" s="325" t="s">
        <v>800</v>
      </c>
      <c r="E9848" s="1169" t="s">
        <v>282</v>
      </c>
      <c r="F9848" s="1170">
        <v>1</v>
      </c>
    </row>
    <row r="9849" spans="2:6">
      <c r="B9849" s="1168" t="s">
        <v>4</v>
      </c>
      <c r="C9849" s="1169" t="s">
        <v>300</v>
      </c>
      <c r="D9849" s="325" t="s">
        <v>800</v>
      </c>
      <c r="E9849" s="1169" t="s">
        <v>283</v>
      </c>
      <c r="F9849" s="1170">
        <v>1</v>
      </c>
    </row>
    <row r="9850" spans="2:6">
      <c r="B9850" s="1168" t="s">
        <v>4</v>
      </c>
      <c r="C9850" s="1169" t="s">
        <v>300</v>
      </c>
      <c r="D9850" s="325" t="s">
        <v>800</v>
      </c>
      <c r="E9850" s="1169" t="s">
        <v>284</v>
      </c>
      <c r="F9850" s="1170">
        <v>1</v>
      </c>
    </row>
    <row r="9851" spans="2:6">
      <c r="B9851" s="1168" t="s">
        <v>4</v>
      </c>
      <c r="C9851" s="1169" t="s">
        <v>300</v>
      </c>
      <c r="D9851" s="325" t="s">
        <v>800</v>
      </c>
      <c r="E9851" s="1169" t="s">
        <v>1379</v>
      </c>
      <c r="F9851" s="1170">
        <v>1</v>
      </c>
    </row>
    <row r="9852" spans="2:6">
      <c r="B9852" s="1168" t="s">
        <v>4</v>
      </c>
      <c r="C9852" s="1169" t="s">
        <v>300</v>
      </c>
      <c r="D9852" s="325" t="s">
        <v>800</v>
      </c>
      <c r="E9852" s="1169" t="s">
        <v>285</v>
      </c>
      <c r="F9852" s="1170">
        <v>1</v>
      </c>
    </row>
    <row r="9853" spans="2:6">
      <c r="B9853" s="1168" t="s">
        <v>4</v>
      </c>
      <c r="C9853" s="1169" t="s">
        <v>300</v>
      </c>
      <c r="D9853" s="325" t="s">
        <v>800</v>
      </c>
      <c r="E9853" s="1169" t="s">
        <v>1380</v>
      </c>
      <c r="F9853" s="1170">
        <v>1</v>
      </c>
    </row>
    <row r="9854" spans="2:6">
      <c r="B9854" s="1168" t="s">
        <v>4</v>
      </c>
      <c r="C9854" s="1169" t="s">
        <v>300</v>
      </c>
      <c r="D9854" s="325" t="s">
        <v>800</v>
      </c>
      <c r="E9854" s="1169" t="s">
        <v>281</v>
      </c>
      <c r="F9854" s="1170">
        <v>1</v>
      </c>
    </row>
    <row r="9855" spans="2:6">
      <c r="B9855" s="1168" t="s">
        <v>4</v>
      </c>
      <c r="C9855" s="1169" t="s">
        <v>300</v>
      </c>
      <c r="D9855" s="325" t="s">
        <v>800</v>
      </c>
      <c r="E9855" s="1169" t="s">
        <v>1384</v>
      </c>
      <c r="F9855" s="1170">
        <v>1</v>
      </c>
    </row>
    <row r="9856" spans="2:6">
      <c r="B9856" s="1168" t="s">
        <v>4</v>
      </c>
      <c r="C9856" s="1169" t="s">
        <v>302</v>
      </c>
      <c r="D9856" s="325" t="s">
        <v>800</v>
      </c>
      <c r="E9856" s="1169" t="s">
        <v>282</v>
      </c>
      <c r="F9856" s="1170">
        <v>1</v>
      </c>
    </row>
    <row r="9857" spans="2:6">
      <c r="B9857" s="1168" t="s">
        <v>4</v>
      </c>
      <c r="C9857" s="1169" t="s">
        <v>302</v>
      </c>
      <c r="D9857" s="325" t="s">
        <v>800</v>
      </c>
      <c r="E9857" s="1169" t="s">
        <v>283</v>
      </c>
      <c r="F9857" s="1170">
        <v>1</v>
      </c>
    </row>
    <row r="9858" spans="2:6">
      <c r="B9858" s="1168" t="s">
        <v>4</v>
      </c>
      <c r="C9858" s="1169" t="s">
        <v>302</v>
      </c>
      <c r="D9858" s="325" t="s">
        <v>800</v>
      </c>
      <c r="E9858" s="1169" t="s">
        <v>284</v>
      </c>
      <c r="F9858" s="1170">
        <v>1</v>
      </c>
    </row>
    <row r="9859" spans="2:6">
      <c r="B9859" s="1168" t="s">
        <v>4</v>
      </c>
      <c r="C9859" s="1169" t="s">
        <v>302</v>
      </c>
      <c r="D9859" s="325" t="s">
        <v>800</v>
      </c>
      <c r="E9859" s="1169" t="s">
        <v>1379</v>
      </c>
      <c r="F9859" s="1170">
        <v>1</v>
      </c>
    </row>
    <row r="9860" spans="2:6">
      <c r="B9860" s="1168" t="s">
        <v>4</v>
      </c>
      <c r="C9860" s="1169" t="s">
        <v>302</v>
      </c>
      <c r="D9860" s="325" t="s">
        <v>800</v>
      </c>
      <c r="E9860" s="1169" t="s">
        <v>285</v>
      </c>
      <c r="F9860" s="1170">
        <v>1</v>
      </c>
    </row>
    <row r="9861" spans="2:6">
      <c r="B9861" s="1168" t="s">
        <v>4</v>
      </c>
      <c r="C9861" s="1169" t="s">
        <v>302</v>
      </c>
      <c r="D9861" s="325" t="s">
        <v>800</v>
      </c>
      <c r="E9861" s="1169" t="s">
        <v>1380</v>
      </c>
      <c r="F9861" s="1170">
        <v>1</v>
      </c>
    </row>
    <row r="9862" spans="2:6">
      <c r="B9862" s="1168" t="s">
        <v>4</v>
      </c>
      <c r="C9862" s="1169" t="s">
        <v>302</v>
      </c>
      <c r="D9862" s="325" t="s">
        <v>800</v>
      </c>
      <c r="E9862" s="1169" t="s">
        <v>281</v>
      </c>
      <c r="F9862" s="1170">
        <v>1</v>
      </c>
    </row>
    <row r="9863" spans="2:6">
      <c r="B9863" s="1168" t="s">
        <v>4</v>
      </c>
      <c r="C9863" s="1169" t="s">
        <v>302</v>
      </c>
      <c r="D9863" s="325" t="s">
        <v>800</v>
      </c>
      <c r="E9863" s="1169" t="s">
        <v>1384</v>
      </c>
      <c r="F9863" s="1170">
        <v>1</v>
      </c>
    </row>
    <row r="9864" spans="2:6">
      <c r="B9864" s="1168" t="s">
        <v>4</v>
      </c>
      <c r="C9864" s="1169" t="s">
        <v>308</v>
      </c>
      <c r="D9864" s="325"/>
      <c r="E9864" s="1169" t="s">
        <v>282</v>
      </c>
      <c r="F9864" s="1170">
        <v>1</v>
      </c>
    </row>
    <row r="9865" spans="2:6">
      <c r="B9865" s="1168" t="s">
        <v>4</v>
      </c>
      <c r="C9865" s="1169" t="s">
        <v>308</v>
      </c>
      <c r="D9865" s="325"/>
      <c r="E9865" s="1169" t="s">
        <v>283</v>
      </c>
      <c r="F9865" s="1170">
        <v>1</v>
      </c>
    </row>
    <row r="9866" spans="2:6">
      <c r="B9866" s="1168" t="s">
        <v>4</v>
      </c>
      <c r="C9866" s="1169" t="s">
        <v>308</v>
      </c>
      <c r="D9866" s="325"/>
      <c r="E9866" s="1169" t="s">
        <v>284</v>
      </c>
      <c r="F9866" s="1170">
        <v>1</v>
      </c>
    </row>
    <row r="9867" spans="2:6">
      <c r="B9867" s="1168" t="s">
        <v>4</v>
      </c>
      <c r="C9867" s="1169" t="s">
        <v>308</v>
      </c>
      <c r="D9867" s="325"/>
      <c r="E9867" s="1169" t="s">
        <v>1379</v>
      </c>
      <c r="F9867" s="1170">
        <v>1</v>
      </c>
    </row>
    <row r="9868" spans="2:6">
      <c r="B9868" s="1168" t="s">
        <v>4</v>
      </c>
      <c r="C9868" s="1169" t="s">
        <v>308</v>
      </c>
      <c r="D9868" s="325"/>
      <c r="E9868" s="1169" t="s">
        <v>285</v>
      </c>
      <c r="F9868" s="1170">
        <v>1</v>
      </c>
    </row>
    <row r="9869" spans="2:6">
      <c r="B9869" s="1168" t="s">
        <v>4</v>
      </c>
      <c r="C9869" s="1169" t="s">
        <v>308</v>
      </c>
      <c r="D9869" s="325"/>
      <c r="E9869" s="1169" t="s">
        <v>1380</v>
      </c>
      <c r="F9869" s="1170">
        <v>1</v>
      </c>
    </row>
    <row r="9870" spans="2:6">
      <c r="B9870" s="1168" t="s">
        <v>4</v>
      </c>
      <c r="C9870" s="1169" t="s">
        <v>308</v>
      </c>
      <c r="D9870" s="325"/>
      <c r="E9870" s="1169" t="s">
        <v>281</v>
      </c>
      <c r="F9870" s="1170">
        <v>1</v>
      </c>
    </row>
    <row r="9871" spans="2:6">
      <c r="B9871" s="1168" t="s">
        <v>4</v>
      </c>
      <c r="C9871" s="1169" t="s">
        <v>308</v>
      </c>
      <c r="D9871" s="325"/>
      <c r="E9871" s="1169" t="s">
        <v>1384</v>
      </c>
      <c r="F9871" s="1170">
        <v>1</v>
      </c>
    </row>
    <row r="9872" spans="2:6">
      <c r="B9872" s="1168" t="s">
        <v>4</v>
      </c>
      <c r="C9872" s="1169" t="s">
        <v>306</v>
      </c>
      <c r="D9872" s="325"/>
      <c r="E9872" s="1169" t="s">
        <v>282</v>
      </c>
      <c r="F9872" s="1170">
        <v>1</v>
      </c>
    </row>
    <row r="9873" spans="2:6">
      <c r="B9873" s="1168" t="s">
        <v>4</v>
      </c>
      <c r="C9873" s="1169" t="s">
        <v>306</v>
      </c>
      <c r="D9873" s="325"/>
      <c r="E9873" s="1169" t="s">
        <v>283</v>
      </c>
      <c r="F9873" s="1170">
        <v>1</v>
      </c>
    </row>
    <row r="9874" spans="2:6">
      <c r="B9874" s="1168" t="s">
        <v>4</v>
      </c>
      <c r="C9874" s="1169" t="s">
        <v>306</v>
      </c>
      <c r="D9874" s="325"/>
      <c r="E9874" s="1169" t="s">
        <v>284</v>
      </c>
      <c r="F9874" s="1170">
        <v>1</v>
      </c>
    </row>
    <row r="9875" spans="2:6">
      <c r="B9875" s="1168" t="s">
        <v>4</v>
      </c>
      <c r="C9875" s="1169" t="s">
        <v>306</v>
      </c>
      <c r="D9875" s="325"/>
      <c r="E9875" s="1169" t="s">
        <v>1379</v>
      </c>
      <c r="F9875" s="1170">
        <v>1</v>
      </c>
    </row>
    <row r="9876" spans="2:6">
      <c r="B9876" s="1168" t="s">
        <v>4</v>
      </c>
      <c r="C9876" s="1169" t="s">
        <v>306</v>
      </c>
      <c r="D9876" s="325"/>
      <c r="E9876" s="1169" t="s">
        <v>285</v>
      </c>
      <c r="F9876" s="1170">
        <v>1</v>
      </c>
    </row>
    <row r="9877" spans="2:6">
      <c r="B9877" s="1168" t="s">
        <v>4</v>
      </c>
      <c r="C9877" s="1169" t="s">
        <v>306</v>
      </c>
      <c r="D9877" s="325"/>
      <c r="E9877" s="1169" t="s">
        <v>1380</v>
      </c>
      <c r="F9877" s="1170">
        <v>1</v>
      </c>
    </row>
    <row r="9878" spans="2:6">
      <c r="B9878" s="1168" t="s">
        <v>4</v>
      </c>
      <c r="C9878" s="1169" t="s">
        <v>306</v>
      </c>
      <c r="D9878" s="325"/>
      <c r="E9878" s="1169" t="s">
        <v>281</v>
      </c>
      <c r="F9878" s="1170">
        <v>1</v>
      </c>
    </row>
    <row r="9879" spans="2:6">
      <c r="B9879" s="1168" t="s">
        <v>4</v>
      </c>
      <c r="C9879" s="1169" t="s">
        <v>306</v>
      </c>
      <c r="D9879" s="325"/>
      <c r="E9879" s="1169" t="s">
        <v>1384</v>
      </c>
      <c r="F9879" s="1170">
        <v>1</v>
      </c>
    </row>
    <row r="9880" spans="2:6">
      <c r="B9880" s="1168" t="s">
        <v>4</v>
      </c>
      <c r="C9880" s="1169" t="s">
        <v>311</v>
      </c>
      <c r="D9880" s="325"/>
      <c r="E9880" s="1169" t="s">
        <v>282</v>
      </c>
      <c r="F9880" s="1170">
        <v>1</v>
      </c>
    </row>
    <row r="9881" spans="2:6">
      <c r="B9881" s="1168" t="s">
        <v>4</v>
      </c>
      <c r="C9881" s="1169" t="s">
        <v>311</v>
      </c>
      <c r="D9881" s="325"/>
      <c r="E9881" s="1169" t="s">
        <v>283</v>
      </c>
      <c r="F9881" s="1170">
        <v>1</v>
      </c>
    </row>
    <row r="9882" spans="2:6">
      <c r="B9882" s="1168" t="s">
        <v>4</v>
      </c>
      <c r="C9882" s="1169" t="s">
        <v>311</v>
      </c>
      <c r="D9882" s="325"/>
      <c r="E9882" s="1169" t="s">
        <v>284</v>
      </c>
      <c r="F9882" s="1170">
        <v>1</v>
      </c>
    </row>
    <row r="9883" spans="2:6">
      <c r="B9883" s="1168" t="s">
        <v>4</v>
      </c>
      <c r="C9883" s="1169" t="s">
        <v>311</v>
      </c>
      <c r="D9883" s="325"/>
      <c r="E9883" s="1169" t="s">
        <v>1379</v>
      </c>
      <c r="F9883" s="1170">
        <v>1</v>
      </c>
    </row>
    <row r="9884" spans="2:6">
      <c r="B9884" s="1168" t="s">
        <v>4</v>
      </c>
      <c r="C9884" s="1169" t="s">
        <v>311</v>
      </c>
      <c r="D9884" s="325"/>
      <c r="E9884" s="1169" t="s">
        <v>285</v>
      </c>
      <c r="F9884" s="1170">
        <v>1</v>
      </c>
    </row>
    <row r="9885" spans="2:6">
      <c r="B9885" s="1168" t="s">
        <v>4</v>
      </c>
      <c r="C9885" s="1169" t="s">
        <v>311</v>
      </c>
      <c r="D9885" s="325"/>
      <c r="E9885" s="1169" t="s">
        <v>1380</v>
      </c>
      <c r="F9885" s="1170">
        <v>1</v>
      </c>
    </row>
    <row r="9886" spans="2:6">
      <c r="B9886" s="1168" t="s">
        <v>4</v>
      </c>
      <c r="C9886" s="1169" t="s">
        <v>311</v>
      </c>
      <c r="D9886" s="325"/>
      <c r="E9886" s="1169" t="s">
        <v>281</v>
      </c>
      <c r="F9886" s="1170">
        <v>1</v>
      </c>
    </row>
    <row r="9887" spans="2:6">
      <c r="B9887" s="1168" t="s">
        <v>4</v>
      </c>
      <c r="C9887" s="1169" t="s">
        <v>311</v>
      </c>
      <c r="D9887" s="325"/>
      <c r="E9887" s="1169" t="s">
        <v>1384</v>
      </c>
      <c r="F9887" s="1170">
        <v>1</v>
      </c>
    </row>
    <row r="9888" spans="2:6">
      <c r="B9888" s="1168" t="s">
        <v>4</v>
      </c>
      <c r="C9888" s="1169" t="s">
        <v>309</v>
      </c>
      <c r="D9888" s="325"/>
      <c r="E9888" s="1169" t="s">
        <v>282</v>
      </c>
      <c r="F9888" s="1170">
        <v>1</v>
      </c>
    </row>
    <row r="9889" spans="2:6">
      <c r="B9889" s="1168" t="s">
        <v>4</v>
      </c>
      <c r="C9889" s="1169" t="s">
        <v>309</v>
      </c>
      <c r="D9889" s="325"/>
      <c r="E9889" s="1169" t="s">
        <v>283</v>
      </c>
      <c r="F9889" s="1170">
        <v>1</v>
      </c>
    </row>
    <row r="9890" spans="2:6">
      <c r="B9890" s="1168" t="s">
        <v>4</v>
      </c>
      <c r="C9890" s="1169" t="s">
        <v>309</v>
      </c>
      <c r="D9890" s="325"/>
      <c r="E9890" s="1169" t="s">
        <v>284</v>
      </c>
      <c r="F9890" s="1170">
        <v>1</v>
      </c>
    </row>
    <row r="9891" spans="2:6">
      <c r="B9891" s="1168" t="s">
        <v>4</v>
      </c>
      <c r="C9891" s="1169" t="s">
        <v>309</v>
      </c>
      <c r="D9891" s="325"/>
      <c r="E9891" s="1169" t="s">
        <v>1379</v>
      </c>
      <c r="F9891" s="1170">
        <v>1</v>
      </c>
    </row>
    <row r="9892" spans="2:6">
      <c r="B9892" s="1168" t="s">
        <v>4</v>
      </c>
      <c r="C9892" s="1169" t="s">
        <v>309</v>
      </c>
      <c r="D9892" s="325"/>
      <c r="E9892" s="1169" t="s">
        <v>285</v>
      </c>
      <c r="F9892" s="1170">
        <v>1</v>
      </c>
    </row>
    <row r="9893" spans="2:6">
      <c r="B9893" s="1168" t="s">
        <v>4</v>
      </c>
      <c r="C9893" s="1169" t="s">
        <v>309</v>
      </c>
      <c r="D9893" s="325"/>
      <c r="E9893" s="1169" t="s">
        <v>1380</v>
      </c>
      <c r="F9893" s="1170">
        <v>1</v>
      </c>
    </row>
    <row r="9894" spans="2:6">
      <c r="B9894" s="1168" t="s">
        <v>4</v>
      </c>
      <c r="C9894" s="1169" t="s">
        <v>309</v>
      </c>
      <c r="D9894" s="325"/>
      <c r="E9894" s="1169" t="s">
        <v>281</v>
      </c>
      <c r="F9894" s="1170">
        <v>1</v>
      </c>
    </row>
    <row r="9895" spans="2:6">
      <c r="B9895" s="1168" t="s">
        <v>4</v>
      </c>
      <c r="C9895" s="1169" t="s">
        <v>309</v>
      </c>
      <c r="D9895" s="325"/>
      <c r="E9895" s="1169" t="s">
        <v>1384</v>
      </c>
      <c r="F9895" s="1170">
        <v>1</v>
      </c>
    </row>
    <row r="9896" spans="2:6">
      <c r="B9896" s="1168" t="s">
        <v>4</v>
      </c>
      <c r="C9896" s="1169" t="s">
        <v>307</v>
      </c>
      <c r="D9896" s="325"/>
      <c r="E9896" s="1169" t="s">
        <v>282</v>
      </c>
      <c r="F9896" s="1170">
        <v>1</v>
      </c>
    </row>
    <row r="9897" spans="2:6">
      <c r="B9897" s="1168" t="s">
        <v>4</v>
      </c>
      <c r="C9897" s="1169" t="s">
        <v>307</v>
      </c>
      <c r="D9897" s="325"/>
      <c r="E9897" s="1169" t="s">
        <v>283</v>
      </c>
      <c r="F9897" s="1170">
        <v>1</v>
      </c>
    </row>
    <row r="9898" spans="2:6">
      <c r="B9898" s="1168" t="s">
        <v>4</v>
      </c>
      <c r="C9898" s="1169" t="s">
        <v>307</v>
      </c>
      <c r="D9898" s="325"/>
      <c r="E9898" s="1169" t="s">
        <v>284</v>
      </c>
      <c r="F9898" s="1170">
        <v>1</v>
      </c>
    </row>
    <row r="9899" spans="2:6">
      <c r="B9899" s="1168" t="s">
        <v>4</v>
      </c>
      <c r="C9899" s="1169" t="s">
        <v>307</v>
      </c>
      <c r="D9899" s="325"/>
      <c r="E9899" s="1169" t="s">
        <v>1379</v>
      </c>
      <c r="F9899" s="1170">
        <v>1</v>
      </c>
    </row>
    <row r="9900" spans="2:6">
      <c r="B9900" s="1168" t="s">
        <v>4</v>
      </c>
      <c r="C9900" s="1169" t="s">
        <v>307</v>
      </c>
      <c r="D9900" s="325"/>
      <c r="E9900" s="1169" t="s">
        <v>285</v>
      </c>
      <c r="F9900" s="1170">
        <v>1</v>
      </c>
    </row>
    <row r="9901" spans="2:6">
      <c r="B9901" s="1168" t="s">
        <v>4</v>
      </c>
      <c r="C9901" s="1169" t="s">
        <v>307</v>
      </c>
      <c r="D9901" s="325"/>
      <c r="E9901" s="1169" t="s">
        <v>1380</v>
      </c>
      <c r="F9901" s="1170">
        <v>1</v>
      </c>
    </row>
    <row r="9902" spans="2:6">
      <c r="B9902" s="1168" t="s">
        <v>4</v>
      </c>
      <c r="C9902" s="1169" t="s">
        <v>307</v>
      </c>
      <c r="D9902" s="325"/>
      <c r="E9902" s="1169" t="s">
        <v>281</v>
      </c>
      <c r="F9902" s="1170">
        <v>1</v>
      </c>
    </row>
    <row r="9903" spans="2:6">
      <c r="B9903" s="1168" t="s">
        <v>4</v>
      </c>
      <c r="C9903" s="1169" t="s">
        <v>307</v>
      </c>
      <c r="D9903" s="325"/>
      <c r="E9903" s="1169" t="s">
        <v>1384</v>
      </c>
      <c r="F9903" s="1170">
        <v>1</v>
      </c>
    </row>
    <row r="9904" spans="2:6">
      <c r="B9904" s="1168" t="s">
        <v>5</v>
      </c>
      <c r="C9904" s="1169" t="s">
        <v>315</v>
      </c>
      <c r="D9904" s="325"/>
      <c r="E9904" s="1169" t="s">
        <v>282</v>
      </c>
      <c r="F9904" s="1170">
        <v>1</v>
      </c>
    </row>
    <row r="9905" spans="2:6">
      <c r="B9905" s="1168" t="s">
        <v>5</v>
      </c>
      <c r="C9905" s="1169" t="s">
        <v>315</v>
      </c>
      <c r="D9905" s="325"/>
      <c r="E9905" s="1169" t="s">
        <v>283</v>
      </c>
      <c r="F9905" s="1170">
        <v>1</v>
      </c>
    </row>
    <row r="9906" spans="2:6">
      <c r="B9906" s="1168" t="s">
        <v>5</v>
      </c>
      <c r="C9906" s="1169" t="s">
        <v>315</v>
      </c>
      <c r="D9906" s="325"/>
      <c r="E9906" s="1169" t="s">
        <v>284</v>
      </c>
      <c r="F9906" s="1170">
        <v>1</v>
      </c>
    </row>
    <row r="9907" spans="2:6">
      <c r="B9907" s="1168" t="s">
        <v>5</v>
      </c>
      <c r="C9907" s="1169" t="s">
        <v>315</v>
      </c>
      <c r="D9907" s="325"/>
      <c r="E9907" s="1169" t="s">
        <v>1379</v>
      </c>
      <c r="F9907" s="1170">
        <v>1</v>
      </c>
    </row>
    <row r="9908" spans="2:6">
      <c r="B9908" s="1168" t="s">
        <v>5</v>
      </c>
      <c r="C9908" s="1169" t="s">
        <v>315</v>
      </c>
      <c r="D9908" s="325"/>
      <c r="E9908" s="1169" t="s">
        <v>285</v>
      </c>
      <c r="F9908" s="1170">
        <v>1</v>
      </c>
    </row>
    <row r="9909" spans="2:6">
      <c r="B9909" s="1168" t="s">
        <v>5</v>
      </c>
      <c r="C9909" s="1169" t="s">
        <v>315</v>
      </c>
      <c r="D9909" s="325"/>
      <c r="E9909" s="1169" t="s">
        <v>1380</v>
      </c>
      <c r="F9909" s="1170">
        <v>1</v>
      </c>
    </row>
    <row r="9910" spans="2:6">
      <c r="B9910" s="1168" t="s">
        <v>5</v>
      </c>
      <c r="C9910" s="1169" t="s">
        <v>315</v>
      </c>
      <c r="D9910" s="325"/>
      <c r="E9910" s="1169" t="s">
        <v>281</v>
      </c>
      <c r="F9910" s="1170">
        <v>1</v>
      </c>
    </row>
    <row r="9911" spans="2:6">
      <c r="B9911" s="1168" t="s">
        <v>5</v>
      </c>
      <c r="C9911" s="1169" t="s">
        <v>315</v>
      </c>
      <c r="D9911" s="325"/>
      <c r="E9911" s="1169" t="s">
        <v>1384</v>
      </c>
      <c r="F9911" s="1170">
        <v>1</v>
      </c>
    </row>
    <row r="9912" spans="2:6">
      <c r="B9912" s="1168" t="s">
        <v>5</v>
      </c>
      <c r="C9912" s="1169" t="s">
        <v>313</v>
      </c>
      <c r="D9912" s="325"/>
      <c r="E9912" s="1169" t="s">
        <v>282</v>
      </c>
      <c r="F9912" s="1170">
        <v>1</v>
      </c>
    </row>
    <row r="9913" spans="2:6">
      <c r="B9913" s="1168" t="s">
        <v>5</v>
      </c>
      <c r="C9913" s="1169" t="s">
        <v>313</v>
      </c>
      <c r="D9913" s="325"/>
      <c r="E9913" s="1169" t="s">
        <v>283</v>
      </c>
      <c r="F9913" s="1170">
        <v>1</v>
      </c>
    </row>
    <row r="9914" spans="2:6">
      <c r="B9914" s="1168" t="s">
        <v>5</v>
      </c>
      <c r="C9914" s="1169" t="s">
        <v>313</v>
      </c>
      <c r="D9914" s="325"/>
      <c r="E9914" s="1169" t="s">
        <v>284</v>
      </c>
      <c r="F9914" s="1170">
        <v>1</v>
      </c>
    </row>
    <row r="9915" spans="2:6">
      <c r="B9915" s="1168" t="s">
        <v>5</v>
      </c>
      <c r="C9915" s="1169" t="s">
        <v>313</v>
      </c>
      <c r="D9915" s="325"/>
      <c r="E9915" s="1169" t="s">
        <v>1379</v>
      </c>
      <c r="F9915" s="1170">
        <v>1</v>
      </c>
    </row>
    <row r="9916" spans="2:6">
      <c r="B9916" s="1168" t="s">
        <v>5</v>
      </c>
      <c r="C9916" s="1169" t="s">
        <v>313</v>
      </c>
      <c r="D9916" s="325"/>
      <c r="E9916" s="1169" t="s">
        <v>285</v>
      </c>
      <c r="F9916" s="1170">
        <v>1</v>
      </c>
    </row>
    <row r="9917" spans="2:6">
      <c r="B9917" s="1168" t="s">
        <v>5</v>
      </c>
      <c r="C9917" s="1169" t="s">
        <v>313</v>
      </c>
      <c r="D9917" s="325"/>
      <c r="E9917" s="1169" t="s">
        <v>1380</v>
      </c>
      <c r="F9917" s="1170">
        <v>1</v>
      </c>
    </row>
    <row r="9918" spans="2:6">
      <c r="B9918" s="1168" t="s">
        <v>5</v>
      </c>
      <c r="C9918" s="1169" t="s">
        <v>313</v>
      </c>
      <c r="D9918" s="325"/>
      <c r="E9918" s="1169" t="s">
        <v>281</v>
      </c>
      <c r="F9918" s="1170">
        <v>1</v>
      </c>
    </row>
    <row r="9919" spans="2:6">
      <c r="B9919" s="1168" t="s">
        <v>5</v>
      </c>
      <c r="C9919" s="1169" t="s">
        <v>313</v>
      </c>
      <c r="D9919" s="325"/>
      <c r="E9919" s="1169" t="s">
        <v>1384</v>
      </c>
      <c r="F9919" s="1170">
        <v>1</v>
      </c>
    </row>
    <row r="9920" spans="2:6">
      <c r="B9920" s="1168" t="s">
        <v>5</v>
      </c>
      <c r="C9920" s="1169" t="s">
        <v>304</v>
      </c>
      <c r="D9920" s="325"/>
      <c r="E9920" s="1169" t="s">
        <v>282</v>
      </c>
      <c r="F9920" s="1170">
        <v>1</v>
      </c>
    </row>
    <row r="9921" spans="2:6">
      <c r="B9921" s="1168" t="s">
        <v>5</v>
      </c>
      <c r="C9921" s="1169" t="s">
        <v>304</v>
      </c>
      <c r="D9921" s="325"/>
      <c r="E9921" s="1169" t="s">
        <v>283</v>
      </c>
      <c r="F9921" s="1170">
        <v>1</v>
      </c>
    </row>
    <row r="9922" spans="2:6">
      <c r="B9922" s="1168" t="s">
        <v>5</v>
      </c>
      <c r="C9922" s="1169" t="s">
        <v>304</v>
      </c>
      <c r="D9922" s="325"/>
      <c r="E9922" s="1169" t="s">
        <v>284</v>
      </c>
      <c r="F9922" s="1170">
        <v>1</v>
      </c>
    </row>
    <row r="9923" spans="2:6">
      <c r="B9923" s="1168" t="s">
        <v>5</v>
      </c>
      <c r="C9923" s="1169" t="s">
        <v>304</v>
      </c>
      <c r="D9923" s="325"/>
      <c r="E9923" s="1169" t="s">
        <v>1379</v>
      </c>
      <c r="F9923" s="1170">
        <v>1</v>
      </c>
    </row>
    <row r="9924" spans="2:6">
      <c r="B9924" s="1168" t="s">
        <v>5</v>
      </c>
      <c r="C9924" s="1169" t="s">
        <v>304</v>
      </c>
      <c r="D9924" s="325"/>
      <c r="E9924" s="1169" t="s">
        <v>285</v>
      </c>
      <c r="F9924" s="1170">
        <v>1</v>
      </c>
    </row>
    <row r="9925" spans="2:6">
      <c r="B9925" s="1168" t="s">
        <v>5</v>
      </c>
      <c r="C9925" s="1169" t="s">
        <v>304</v>
      </c>
      <c r="D9925" s="325"/>
      <c r="E9925" s="1169" t="s">
        <v>1380</v>
      </c>
      <c r="F9925" s="1170">
        <v>1</v>
      </c>
    </row>
    <row r="9926" spans="2:6">
      <c r="B9926" s="1168" t="s">
        <v>5</v>
      </c>
      <c r="C9926" s="1169" t="s">
        <v>304</v>
      </c>
      <c r="D9926" s="325"/>
      <c r="E9926" s="1169" t="s">
        <v>281</v>
      </c>
      <c r="F9926" s="1170">
        <v>1</v>
      </c>
    </row>
    <row r="9927" spans="2:6">
      <c r="B9927" s="1168" t="s">
        <v>5</v>
      </c>
      <c r="C9927" s="1169" t="s">
        <v>304</v>
      </c>
      <c r="D9927" s="325"/>
      <c r="E9927" s="1169" t="s">
        <v>1384</v>
      </c>
      <c r="F9927" s="1170">
        <v>1</v>
      </c>
    </row>
    <row r="9928" spans="2:6">
      <c r="B9928" s="1168" t="s">
        <v>5</v>
      </c>
      <c r="C9928" s="1169" t="s">
        <v>300</v>
      </c>
      <c r="D9928" s="325" t="s">
        <v>800</v>
      </c>
      <c r="E9928" s="1169" t="s">
        <v>282</v>
      </c>
      <c r="F9928" s="1170">
        <v>1</v>
      </c>
    </row>
    <row r="9929" spans="2:6">
      <c r="B9929" s="1168" t="s">
        <v>5</v>
      </c>
      <c r="C9929" s="1169" t="s">
        <v>300</v>
      </c>
      <c r="D9929" s="325" t="s">
        <v>800</v>
      </c>
      <c r="E9929" s="1169" t="s">
        <v>283</v>
      </c>
      <c r="F9929" s="1170">
        <v>1</v>
      </c>
    </row>
    <row r="9930" spans="2:6">
      <c r="B9930" s="1168" t="s">
        <v>5</v>
      </c>
      <c r="C9930" s="1169" t="s">
        <v>300</v>
      </c>
      <c r="D9930" s="325" t="s">
        <v>800</v>
      </c>
      <c r="E9930" s="1169" t="s">
        <v>284</v>
      </c>
      <c r="F9930" s="1170">
        <v>1</v>
      </c>
    </row>
    <row r="9931" spans="2:6">
      <c r="B9931" s="1168" t="s">
        <v>5</v>
      </c>
      <c r="C9931" s="1169" t="s">
        <v>300</v>
      </c>
      <c r="D9931" s="325" t="s">
        <v>800</v>
      </c>
      <c r="E9931" s="1169" t="s">
        <v>1379</v>
      </c>
      <c r="F9931" s="1170">
        <v>1</v>
      </c>
    </row>
    <row r="9932" spans="2:6">
      <c r="B9932" s="1168" t="s">
        <v>5</v>
      </c>
      <c r="C9932" s="1169" t="s">
        <v>300</v>
      </c>
      <c r="D9932" s="325" t="s">
        <v>800</v>
      </c>
      <c r="E9932" s="1169" t="s">
        <v>285</v>
      </c>
      <c r="F9932" s="1170">
        <v>1</v>
      </c>
    </row>
    <row r="9933" spans="2:6">
      <c r="B9933" s="1168" t="s">
        <v>5</v>
      </c>
      <c r="C9933" s="1169" t="s">
        <v>300</v>
      </c>
      <c r="D9933" s="325" t="s">
        <v>800</v>
      </c>
      <c r="E9933" s="1169" t="s">
        <v>1380</v>
      </c>
      <c r="F9933" s="1170">
        <v>1</v>
      </c>
    </row>
    <row r="9934" spans="2:6">
      <c r="B9934" s="1168" t="s">
        <v>5</v>
      </c>
      <c r="C9934" s="1169" t="s">
        <v>300</v>
      </c>
      <c r="D9934" s="325" t="s">
        <v>800</v>
      </c>
      <c r="E9934" s="1169" t="s">
        <v>281</v>
      </c>
      <c r="F9934" s="1170">
        <v>1</v>
      </c>
    </row>
    <row r="9935" spans="2:6">
      <c r="B9935" s="1168" t="s">
        <v>5</v>
      </c>
      <c r="C9935" s="1169" t="s">
        <v>300</v>
      </c>
      <c r="D9935" s="325" t="s">
        <v>800</v>
      </c>
      <c r="E9935" s="1169" t="s">
        <v>1384</v>
      </c>
      <c r="F9935" s="1170">
        <v>1</v>
      </c>
    </row>
    <row r="9936" spans="2:6">
      <c r="B9936" s="1168" t="s">
        <v>5</v>
      </c>
      <c r="C9936" s="1169" t="s">
        <v>302</v>
      </c>
      <c r="D9936" s="325" t="s">
        <v>800</v>
      </c>
      <c r="E9936" s="1169" t="s">
        <v>282</v>
      </c>
      <c r="F9936" s="1170">
        <v>1</v>
      </c>
    </row>
    <row r="9937" spans="2:6">
      <c r="B9937" s="1168" t="s">
        <v>5</v>
      </c>
      <c r="C9937" s="1169" t="s">
        <v>302</v>
      </c>
      <c r="D9937" s="325" t="s">
        <v>800</v>
      </c>
      <c r="E9937" s="1169" t="s">
        <v>283</v>
      </c>
      <c r="F9937" s="1170">
        <v>1</v>
      </c>
    </row>
    <row r="9938" spans="2:6">
      <c r="B9938" s="1168" t="s">
        <v>5</v>
      </c>
      <c r="C9938" s="1169" t="s">
        <v>302</v>
      </c>
      <c r="D9938" s="325" t="s">
        <v>800</v>
      </c>
      <c r="E9938" s="1169" t="s">
        <v>284</v>
      </c>
      <c r="F9938" s="1170">
        <v>1</v>
      </c>
    </row>
    <row r="9939" spans="2:6">
      <c r="B9939" s="1168" t="s">
        <v>5</v>
      </c>
      <c r="C9939" s="1169" t="s">
        <v>302</v>
      </c>
      <c r="D9939" s="325" t="s">
        <v>800</v>
      </c>
      <c r="E9939" s="1169" t="s">
        <v>1379</v>
      </c>
      <c r="F9939" s="1170">
        <v>1</v>
      </c>
    </row>
    <row r="9940" spans="2:6">
      <c r="B9940" s="1168" t="s">
        <v>5</v>
      </c>
      <c r="C9940" s="1169" t="s">
        <v>302</v>
      </c>
      <c r="D9940" s="325" t="s">
        <v>800</v>
      </c>
      <c r="E9940" s="1169" t="s">
        <v>285</v>
      </c>
      <c r="F9940" s="1170">
        <v>1</v>
      </c>
    </row>
    <row r="9941" spans="2:6">
      <c r="B9941" s="1168" t="s">
        <v>5</v>
      </c>
      <c r="C9941" s="1169" t="s">
        <v>302</v>
      </c>
      <c r="D9941" s="325" t="s">
        <v>800</v>
      </c>
      <c r="E9941" s="1169" t="s">
        <v>1380</v>
      </c>
      <c r="F9941" s="1170">
        <v>1</v>
      </c>
    </row>
    <row r="9942" spans="2:6">
      <c r="B9942" s="1168" t="s">
        <v>5</v>
      </c>
      <c r="C9942" s="1169" t="s">
        <v>302</v>
      </c>
      <c r="D9942" s="325" t="s">
        <v>800</v>
      </c>
      <c r="E9942" s="1169" t="s">
        <v>281</v>
      </c>
      <c r="F9942" s="1170">
        <v>1</v>
      </c>
    </row>
    <row r="9943" spans="2:6">
      <c r="B9943" s="1168" t="s">
        <v>5</v>
      </c>
      <c r="C9943" s="1169" t="s">
        <v>302</v>
      </c>
      <c r="D9943" s="325" t="s">
        <v>800</v>
      </c>
      <c r="E9943" s="1169" t="s">
        <v>1384</v>
      </c>
      <c r="F9943" s="1170">
        <v>1</v>
      </c>
    </row>
    <row r="9944" spans="2:6">
      <c r="B9944" s="1168" t="s">
        <v>5</v>
      </c>
      <c r="C9944" s="1169" t="s">
        <v>308</v>
      </c>
      <c r="D9944" s="325"/>
      <c r="E9944" s="1169" t="s">
        <v>282</v>
      </c>
      <c r="F9944" s="1170">
        <v>1</v>
      </c>
    </row>
    <row r="9945" spans="2:6">
      <c r="B9945" s="1168" t="s">
        <v>5</v>
      </c>
      <c r="C9945" s="1169" t="s">
        <v>308</v>
      </c>
      <c r="D9945" s="325"/>
      <c r="E9945" s="1169" t="s">
        <v>283</v>
      </c>
      <c r="F9945" s="1170">
        <v>1</v>
      </c>
    </row>
    <row r="9946" spans="2:6">
      <c r="B9946" s="1168" t="s">
        <v>5</v>
      </c>
      <c r="C9946" s="1169" t="s">
        <v>308</v>
      </c>
      <c r="D9946" s="325"/>
      <c r="E9946" s="1169" t="s">
        <v>284</v>
      </c>
      <c r="F9946" s="1170">
        <v>1</v>
      </c>
    </row>
    <row r="9947" spans="2:6">
      <c r="B9947" s="1168" t="s">
        <v>5</v>
      </c>
      <c r="C9947" s="1169" t="s">
        <v>308</v>
      </c>
      <c r="D9947" s="325"/>
      <c r="E9947" s="1169" t="s">
        <v>1379</v>
      </c>
      <c r="F9947" s="1170">
        <v>1</v>
      </c>
    </row>
    <row r="9948" spans="2:6">
      <c r="B9948" s="1168" t="s">
        <v>5</v>
      </c>
      <c r="C9948" s="1169" t="s">
        <v>308</v>
      </c>
      <c r="D9948" s="325"/>
      <c r="E9948" s="1169" t="s">
        <v>285</v>
      </c>
      <c r="F9948" s="1170">
        <v>1</v>
      </c>
    </row>
    <row r="9949" spans="2:6">
      <c r="B9949" s="1168" t="s">
        <v>5</v>
      </c>
      <c r="C9949" s="1169" t="s">
        <v>308</v>
      </c>
      <c r="D9949" s="325"/>
      <c r="E9949" s="1169" t="s">
        <v>1380</v>
      </c>
      <c r="F9949" s="1170">
        <v>1</v>
      </c>
    </row>
    <row r="9950" spans="2:6">
      <c r="B9950" s="1168" t="s">
        <v>5</v>
      </c>
      <c r="C9950" s="1169" t="s">
        <v>308</v>
      </c>
      <c r="D9950" s="325"/>
      <c r="E9950" s="1169" t="s">
        <v>281</v>
      </c>
      <c r="F9950" s="1170">
        <v>1</v>
      </c>
    </row>
    <row r="9951" spans="2:6">
      <c r="B9951" s="1168" t="s">
        <v>5</v>
      </c>
      <c r="C9951" s="1169" t="s">
        <v>308</v>
      </c>
      <c r="D9951" s="325"/>
      <c r="E9951" s="1169" t="s">
        <v>1384</v>
      </c>
      <c r="F9951" s="1170">
        <v>1</v>
      </c>
    </row>
    <row r="9952" spans="2:6">
      <c r="B9952" s="1168" t="s">
        <v>5</v>
      </c>
      <c r="C9952" s="1169" t="s">
        <v>306</v>
      </c>
      <c r="D9952" s="325"/>
      <c r="E9952" s="1169" t="s">
        <v>282</v>
      </c>
      <c r="F9952" s="1170">
        <v>1</v>
      </c>
    </row>
    <row r="9953" spans="2:6">
      <c r="B9953" s="1168" t="s">
        <v>5</v>
      </c>
      <c r="C9953" s="1169" t="s">
        <v>306</v>
      </c>
      <c r="D9953" s="325"/>
      <c r="E9953" s="1169" t="s">
        <v>283</v>
      </c>
      <c r="F9953" s="1170">
        <v>1</v>
      </c>
    </row>
    <row r="9954" spans="2:6">
      <c r="B9954" s="1168" t="s">
        <v>5</v>
      </c>
      <c r="C9954" s="1169" t="s">
        <v>306</v>
      </c>
      <c r="D9954" s="325"/>
      <c r="E9954" s="1169" t="s">
        <v>284</v>
      </c>
      <c r="F9954" s="1170">
        <v>1</v>
      </c>
    </row>
    <row r="9955" spans="2:6">
      <c r="B9955" s="1168" t="s">
        <v>5</v>
      </c>
      <c r="C9955" s="1169" t="s">
        <v>306</v>
      </c>
      <c r="D9955" s="325"/>
      <c r="E9955" s="1169" t="s">
        <v>1379</v>
      </c>
      <c r="F9955" s="1170">
        <v>1</v>
      </c>
    </row>
    <row r="9956" spans="2:6">
      <c r="B9956" s="1168" t="s">
        <v>5</v>
      </c>
      <c r="C9956" s="1169" t="s">
        <v>306</v>
      </c>
      <c r="D9956" s="325"/>
      <c r="E9956" s="1169" t="s">
        <v>285</v>
      </c>
      <c r="F9956" s="1170">
        <v>1</v>
      </c>
    </row>
    <row r="9957" spans="2:6">
      <c r="B9957" s="1168" t="s">
        <v>5</v>
      </c>
      <c r="C9957" s="1169" t="s">
        <v>306</v>
      </c>
      <c r="D9957" s="325"/>
      <c r="E9957" s="1169" t="s">
        <v>1380</v>
      </c>
      <c r="F9957" s="1170">
        <v>1</v>
      </c>
    </row>
    <row r="9958" spans="2:6">
      <c r="B9958" s="1168" t="s">
        <v>5</v>
      </c>
      <c r="C9958" s="1169" t="s">
        <v>306</v>
      </c>
      <c r="D9958" s="325"/>
      <c r="E9958" s="1169" t="s">
        <v>281</v>
      </c>
      <c r="F9958" s="1170">
        <v>1</v>
      </c>
    </row>
    <row r="9959" spans="2:6">
      <c r="B9959" s="1168" t="s">
        <v>5</v>
      </c>
      <c r="C9959" s="1169" t="s">
        <v>306</v>
      </c>
      <c r="D9959" s="325"/>
      <c r="E9959" s="1169" t="s">
        <v>1384</v>
      </c>
      <c r="F9959" s="1170">
        <v>1</v>
      </c>
    </row>
    <row r="9960" spans="2:6">
      <c r="B9960" s="1168" t="s">
        <v>5</v>
      </c>
      <c r="C9960" s="1169" t="s">
        <v>311</v>
      </c>
      <c r="D9960" s="325"/>
      <c r="E9960" s="1169" t="s">
        <v>282</v>
      </c>
      <c r="F9960" s="1170">
        <v>1</v>
      </c>
    </row>
    <row r="9961" spans="2:6">
      <c r="B9961" s="1168" t="s">
        <v>5</v>
      </c>
      <c r="C9961" s="1169" t="s">
        <v>311</v>
      </c>
      <c r="D9961" s="325"/>
      <c r="E9961" s="1169" t="s">
        <v>283</v>
      </c>
      <c r="F9961" s="1170">
        <v>1</v>
      </c>
    </row>
    <row r="9962" spans="2:6">
      <c r="B9962" s="1168" t="s">
        <v>5</v>
      </c>
      <c r="C9962" s="1169" t="s">
        <v>311</v>
      </c>
      <c r="D9962" s="325"/>
      <c r="E9962" s="1169" t="s">
        <v>284</v>
      </c>
      <c r="F9962" s="1170">
        <v>1</v>
      </c>
    </row>
    <row r="9963" spans="2:6">
      <c r="B9963" s="1168" t="s">
        <v>5</v>
      </c>
      <c r="C9963" s="1169" t="s">
        <v>311</v>
      </c>
      <c r="D9963" s="325"/>
      <c r="E9963" s="1169" t="s">
        <v>1379</v>
      </c>
      <c r="F9963" s="1170">
        <v>1</v>
      </c>
    </row>
    <row r="9964" spans="2:6">
      <c r="B9964" s="1168" t="s">
        <v>5</v>
      </c>
      <c r="C9964" s="1169" t="s">
        <v>311</v>
      </c>
      <c r="D9964" s="325"/>
      <c r="E9964" s="1169" t="s">
        <v>285</v>
      </c>
      <c r="F9964" s="1170">
        <v>1</v>
      </c>
    </row>
    <row r="9965" spans="2:6">
      <c r="B9965" s="1168" t="s">
        <v>5</v>
      </c>
      <c r="C9965" s="1169" t="s">
        <v>311</v>
      </c>
      <c r="D9965" s="325"/>
      <c r="E9965" s="1169" t="s">
        <v>1380</v>
      </c>
      <c r="F9965" s="1170">
        <v>1</v>
      </c>
    </row>
    <row r="9966" spans="2:6">
      <c r="B9966" s="1168" t="s">
        <v>5</v>
      </c>
      <c r="C9966" s="1169" t="s">
        <v>311</v>
      </c>
      <c r="D9966" s="325"/>
      <c r="E9966" s="1169" t="s">
        <v>281</v>
      </c>
      <c r="F9966" s="1170">
        <v>1</v>
      </c>
    </row>
    <row r="9967" spans="2:6">
      <c r="B9967" s="1168" t="s">
        <v>5</v>
      </c>
      <c r="C9967" s="1169" t="s">
        <v>311</v>
      </c>
      <c r="D9967" s="325"/>
      <c r="E9967" s="1169" t="s">
        <v>1384</v>
      </c>
      <c r="F9967" s="1170">
        <v>1</v>
      </c>
    </row>
    <row r="9968" spans="2:6">
      <c r="B9968" s="1168" t="s">
        <v>5</v>
      </c>
      <c r="C9968" s="1169" t="s">
        <v>309</v>
      </c>
      <c r="D9968" s="325"/>
      <c r="E9968" s="1169" t="s">
        <v>282</v>
      </c>
      <c r="F9968" s="1170">
        <v>1</v>
      </c>
    </row>
    <row r="9969" spans="2:6">
      <c r="B9969" s="1168" t="s">
        <v>5</v>
      </c>
      <c r="C9969" s="1169" t="s">
        <v>309</v>
      </c>
      <c r="D9969" s="325"/>
      <c r="E9969" s="1169" t="s">
        <v>283</v>
      </c>
      <c r="F9969" s="1170">
        <v>1</v>
      </c>
    </row>
    <row r="9970" spans="2:6">
      <c r="B9970" s="1168" t="s">
        <v>5</v>
      </c>
      <c r="C9970" s="1169" t="s">
        <v>309</v>
      </c>
      <c r="D9970" s="325"/>
      <c r="E9970" s="1169" t="s">
        <v>284</v>
      </c>
      <c r="F9970" s="1170">
        <v>1</v>
      </c>
    </row>
    <row r="9971" spans="2:6">
      <c r="B9971" s="1168" t="s">
        <v>5</v>
      </c>
      <c r="C9971" s="1169" t="s">
        <v>309</v>
      </c>
      <c r="D9971" s="325"/>
      <c r="E9971" s="1169" t="s">
        <v>1379</v>
      </c>
      <c r="F9971" s="1170">
        <v>1</v>
      </c>
    </row>
    <row r="9972" spans="2:6">
      <c r="B9972" s="1168" t="s">
        <v>5</v>
      </c>
      <c r="C9972" s="1169" t="s">
        <v>309</v>
      </c>
      <c r="D9972" s="325"/>
      <c r="E9972" s="1169" t="s">
        <v>285</v>
      </c>
      <c r="F9972" s="1170">
        <v>1</v>
      </c>
    </row>
    <row r="9973" spans="2:6">
      <c r="B9973" s="1168" t="s">
        <v>5</v>
      </c>
      <c r="C9973" s="1169" t="s">
        <v>309</v>
      </c>
      <c r="D9973" s="325"/>
      <c r="E9973" s="1169" t="s">
        <v>1380</v>
      </c>
      <c r="F9973" s="1170">
        <v>1</v>
      </c>
    </row>
    <row r="9974" spans="2:6">
      <c r="B9974" s="1168" t="s">
        <v>5</v>
      </c>
      <c r="C9974" s="1169" t="s">
        <v>309</v>
      </c>
      <c r="D9974" s="325"/>
      <c r="E9974" s="1169" t="s">
        <v>281</v>
      </c>
      <c r="F9974" s="1170">
        <v>1</v>
      </c>
    </row>
    <row r="9975" spans="2:6">
      <c r="B9975" s="1168" t="s">
        <v>5</v>
      </c>
      <c r="C9975" s="1169" t="s">
        <v>309</v>
      </c>
      <c r="D9975" s="325"/>
      <c r="E9975" s="1169" t="s">
        <v>1384</v>
      </c>
      <c r="F9975" s="1170">
        <v>1</v>
      </c>
    </row>
    <row r="9976" spans="2:6">
      <c r="B9976" s="1168" t="s">
        <v>5</v>
      </c>
      <c r="C9976" s="1169" t="s">
        <v>307</v>
      </c>
      <c r="D9976" s="325"/>
      <c r="E9976" s="1169" t="s">
        <v>282</v>
      </c>
      <c r="F9976" s="1170">
        <v>1</v>
      </c>
    </row>
    <row r="9977" spans="2:6">
      <c r="B9977" s="1168" t="s">
        <v>5</v>
      </c>
      <c r="C9977" s="1169" t="s">
        <v>307</v>
      </c>
      <c r="D9977" s="325"/>
      <c r="E9977" s="1169" t="s">
        <v>283</v>
      </c>
      <c r="F9977" s="1170">
        <v>1</v>
      </c>
    </row>
    <row r="9978" spans="2:6">
      <c r="B9978" s="1168" t="s">
        <v>5</v>
      </c>
      <c r="C9978" s="1169" t="s">
        <v>307</v>
      </c>
      <c r="D9978" s="325"/>
      <c r="E9978" s="1169" t="s">
        <v>284</v>
      </c>
      <c r="F9978" s="1170">
        <v>1</v>
      </c>
    </row>
    <row r="9979" spans="2:6">
      <c r="B9979" s="1168" t="s">
        <v>5</v>
      </c>
      <c r="C9979" s="1169" t="s">
        <v>307</v>
      </c>
      <c r="D9979" s="325"/>
      <c r="E9979" s="1169" t="s">
        <v>1379</v>
      </c>
      <c r="F9979" s="1170">
        <v>1</v>
      </c>
    </row>
    <row r="9980" spans="2:6">
      <c r="B9980" s="1168" t="s">
        <v>5</v>
      </c>
      <c r="C9980" s="1169" t="s">
        <v>307</v>
      </c>
      <c r="D9980" s="325"/>
      <c r="E9980" s="1169" t="s">
        <v>285</v>
      </c>
      <c r="F9980" s="1170">
        <v>1</v>
      </c>
    </row>
    <row r="9981" spans="2:6">
      <c r="B9981" s="1168" t="s">
        <v>5</v>
      </c>
      <c r="C9981" s="1169" t="s">
        <v>307</v>
      </c>
      <c r="D9981" s="325"/>
      <c r="E9981" s="1169" t="s">
        <v>1380</v>
      </c>
      <c r="F9981" s="1170">
        <v>1</v>
      </c>
    </row>
    <row r="9982" spans="2:6">
      <c r="B9982" s="1168" t="s">
        <v>5</v>
      </c>
      <c r="C9982" s="1169" t="s">
        <v>307</v>
      </c>
      <c r="D9982" s="325"/>
      <c r="E9982" s="1169" t="s">
        <v>281</v>
      </c>
      <c r="F9982" s="1170">
        <v>1</v>
      </c>
    </row>
    <row r="9983" spans="2:6">
      <c r="B9983" s="1168" t="s">
        <v>5</v>
      </c>
      <c r="C9983" s="1169" t="s">
        <v>307</v>
      </c>
      <c r="D9983" s="325"/>
      <c r="E9983" s="1169" t="s">
        <v>1384</v>
      </c>
      <c r="F9983" s="1170">
        <v>1</v>
      </c>
    </row>
    <row r="9984" spans="2:6">
      <c r="B9984" s="1171" t="s">
        <v>852</v>
      </c>
      <c r="C9984" s="1172" t="s">
        <v>315</v>
      </c>
      <c r="D9984" s="325"/>
      <c r="E9984" s="1172" t="s">
        <v>282</v>
      </c>
      <c r="F9984" s="1173">
        <v>0</v>
      </c>
    </row>
    <row r="9985" spans="2:6">
      <c r="B9985" s="1171" t="s">
        <v>852</v>
      </c>
      <c r="C9985" s="1172" t="s">
        <v>315</v>
      </c>
      <c r="D9985" s="325"/>
      <c r="E9985" s="1172" t="s">
        <v>283</v>
      </c>
      <c r="F9985" s="1173">
        <v>0</v>
      </c>
    </row>
    <row r="9986" spans="2:6">
      <c r="B9986" s="1171" t="s">
        <v>852</v>
      </c>
      <c r="C9986" s="1172" t="s">
        <v>315</v>
      </c>
      <c r="D9986" s="325"/>
      <c r="E9986" s="1172" t="s">
        <v>284</v>
      </c>
      <c r="F9986" s="1173">
        <v>0</v>
      </c>
    </row>
    <row r="9987" spans="2:6">
      <c r="B9987" s="1171" t="s">
        <v>852</v>
      </c>
      <c r="C9987" s="1172" t="s">
        <v>315</v>
      </c>
      <c r="D9987" s="325"/>
      <c r="E9987" s="1172" t="s">
        <v>1379</v>
      </c>
      <c r="F9987" s="1173">
        <v>1</v>
      </c>
    </row>
    <row r="9988" spans="2:6">
      <c r="B9988" s="1171" t="s">
        <v>852</v>
      </c>
      <c r="C9988" s="1172" t="s">
        <v>315</v>
      </c>
      <c r="D9988" s="325"/>
      <c r="E9988" s="1172" t="s">
        <v>285</v>
      </c>
      <c r="F9988" s="1173">
        <v>0</v>
      </c>
    </row>
    <row r="9989" spans="2:6">
      <c r="B9989" s="1171" t="s">
        <v>852</v>
      </c>
      <c r="C9989" s="1172" t="s">
        <v>315</v>
      </c>
      <c r="D9989" s="325"/>
      <c r="E9989" s="1172" t="s">
        <v>1380</v>
      </c>
      <c r="F9989" s="1173">
        <v>1</v>
      </c>
    </row>
    <row r="9990" spans="2:6">
      <c r="B9990" s="1171" t="s">
        <v>852</v>
      </c>
      <c r="C9990" s="1172" t="s">
        <v>315</v>
      </c>
      <c r="D9990" s="325"/>
      <c r="E9990" s="1172" t="s">
        <v>281</v>
      </c>
      <c r="F9990" s="1173">
        <v>0</v>
      </c>
    </row>
    <row r="9991" spans="2:6">
      <c r="B9991" s="1171" t="s">
        <v>852</v>
      </c>
      <c r="C9991" s="1172" t="s">
        <v>315</v>
      </c>
      <c r="D9991" s="325"/>
      <c r="E9991" s="1172" t="s">
        <v>1384</v>
      </c>
      <c r="F9991" s="1173">
        <v>0</v>
      </c>
    </row>
    <row r="9992" spans="2:6">
      <c r="B9992" s="1171" t="s">
        <v>852</v>
      </c>
      <c r="C9992" s="1172" t="s">
        <v>313</v>
      </c>
      <c r="D9992" s="325"/>
      <c r="E9992" s="1172" t="s">
        <v>282</v>
      </c>
      <c r="F9992" s="1173">
        <v>0</v>
      </c>
    </row>
    <row r="9993" spans="2:6">
      <c r="B9993" s="1171" t="s">
        <v>852</v>
      </c>
      <c r="C9993" s="1172" t="s">
        <v>313</v>
      </c>
      <c r="D9993" s="325"/>
      <c r="E9993" s="1172" t="s">
        <v>283</v>
      </c>
      <c r="F9993" s="1173">
        <v>0</v>
      </c>
    </row>
    <row r="9994" spans="2:6">
      <c r="B9994" s="1171" t="s">
        <v>852</v>
      </c>
      <c r="C9994" s="1172" t="s">
        <v>313</v>
      </c>
      <c r="D9994" s="325"/>
      <c r="E9994" s="1172" t="s">
        <v>284</v>
      </c>
      <c r="F9994" s="1173">
        <v>0</v>
      </c>
    </row>
    <row r="9995" spans="2:6">
      <c r="B9995" s="1171" t="s">
        <v>852</v>
      </c>
      <c r="C9995" s="1172" t="s">
        <v>313</v>
      </c>
      <c r="D9995" s="325"/>
      <c r="E9995" s="1172" t="s">
        <v>1379</v>
      </c>
      <c r="F9995" s="1173">
        <v>1</v>
      </c>
    </row>
    <row r="9996" spans="2:6">
      <c r="B9996" s="1171" t="s">
        <v>852</v>
      </c>
      <c r="C9996" s="1172" t="s">
        <v>313</v>
      </c>
      <c r="D9996" s="325"/>
      <c r="E9996" s="1172" t="s">
        <v>285</v>
      </c>
      <c r="F9996" s="1173">
        <v>0</v>
      </c>
    </row>
    <row r="9997" spans="2:6">
      <c r="B9997" s="1171" t="s">
        <v>852</v>
      </c>
      <c r="C9997" s="1172" t="s">
        <v>313</v>
      </c>
      <c r="D9997" s="325"/>
      <c r="E9997" s="1172" t="s">
        <v>1380</v>
      </c>
      <c r="F9997" s="1173">
        <v>1</v>
      </c>
    </row>
    <row r="9998" spans="2:6">
      <c r="B9998" s="1171" t="s">
        <v>852</v>
      </c>
      <c r="C9998" s="1172" t="s">
        <v>313</v>
      </c>
      <c r="D9998" s="325"/>
      <c r="E9998" s="1172" t="s">
        <v>281</v>
      </c>
      <c r="F9998" s="1173">
        <v>0</v>
      </c>
    </row>
    <row r="9999" spans="2:6">
      <c r="B9999" s="1171" t="s">
        <v>852</v>
      </c>
      <c r="C9999" s="1172" t="s">
        <v>313</v>
      </c>
      <c r="D9999" s="325"/>
      <c r="E9999" s="1172" t="s">
        <v>1384</v>
      </c>
      <c r="F9999" s="1173">
        <v>0</v>
      </c>
    </row>
    <row r="10000" spans="2:6">
      <c r="B10000" s="1171" t="s">
        <v>852</v>
      </c>
      <c r="C10000" s="1172" t="s">
        <v>304</v>
      </c>
      <c r="D10000" s="325"/>
      <c r="E10000" s="1172" t="s">
        <v>282</v>
      </c>
      <c r="F10000" s="1173">
        <v>0</v>
      </c>
    </row>
    <row r="10001" spans="2:6">
      <c r="B10001" s="1171" t="s">
        <v>852</v>
      </c>
      <c r="C10001" s="1172" t="s">
        <v>304</v>
      </c>
      <c r="D10001" s="325"/>
      <c r="E10001" s="1172" t="s">
        <v>283</v>
      </c>
      <c r="F10001" s="1173">
        <v>0</v>
      </c>
    </row>
    <row r="10002" spans="2:6">
      <c r="B10002" s="1171" t="s">
        <v>852</v>
      </c>
      <c r="C10002" s="1172" t="s">
        <v>304</v>
      </c>
      <c r="D10002" s="325"/>
      <c r="E10002" s="1172" t="s">
        <v>284</v>
      </c>
      <c r="F10002" s="1173">
        <v>0</v>
      </c>
    </row>
    <row r="10003" spans="2:6">
      <c r="B10003" s="1171" t="s">
        <v>852</v>
      </c>
      <c r="C10003" s="1172" t="s">
        <v>304</v>
      </c>
      <c r="D10003" s="325"/>
      <c r="E10003" s="1172" t="s">
        <v>1379</v>
      </c>
      <c r="F10003" s="1173">
        <v>1</v>
      </c>
    </row>
    <row r="10004" spans="2:6">
      <c r="B10004" s="1171" t="s">
        <v>852</v>
      </c>
      <c r="C10004" s="1172" t="s">
        <v>304</v>
      </c>
      <c r="D10004" s="325"/>
      <c r="E10004" s="1172" t="s">
        <v>285</v>
      </c>
      <c r="F10004" s="1173">
        <v>0</v>
      </c>
    </row>
    <row r="10005" spans="2:6">
      <c r="B10005" s="1171" t="s">
        <v>852</v>
      </c>
      <c r="C10005" s="1172" t="s">
        <v>304</v>
      </c>
      <c r="D10005" s="325"/>
      <c r="E10005" s="1172" t="s">
        <v>1380</v>
      </c>
      <c r="F10005" s="1173">
        <v>1</v>
      </c>
    </row>
    <row r="10006" spans="2:6">
      <c r="B10006" s="1171" t="s">
        <v>852</v>
      </c>
      <c r="C10006" s="1172" t="s">
        <v>304</v>
      </c>
      <c r="D10006" s="325"/>
      <c r="E10006" s="1172" t="s">
        <v>281</v>
      </c>
      <c r="F10006" s="1173">
        <v>0</v>
      </c>
    </row>
    <row r="10007" spans="2:6">
      <c r="B10007" s="1171" t="s">
        <v>852</v>
      </c>
      <c r="C10007" s="1172" t="s">
        <v>304</v>
      </c>
      <c r="D10007" s="325"/>
      <c r="E10007" s="1172" t="s">
        <v>1384</v>
      </c>
      <c r="F10007" s="1173">
        <v>0</v>
      </c>
    </row>
    <row r="10008" spans="2:6">
      <c r="B10008" s="1171" t="s">
        <v>852</v>
      </c>
      <c r="C10008" s="1172" t="s">
        <v>300</v>
      </c>
      <c r="D10008" s="325" t="s">
        <v>800</v>
      </c>
      <c r="E10008" s="1172" t="s">
        <v>282</v>
      </c>
      <c r="F10008" s="1173">
        <v>0</v>
      </c>
    </row>
    <row r="10009" spans="2:6">
      <c r="B10009" s="1171" t="s">
        <v>852</v>
      </c>
      <c r="C10009" s="1172" t="s">
        <v>300</v>
      </c>
      <c r="D10009" s="325" t="s">
        <v>800</v>
      </c>
      <c r="E10009" s="1172" t="s">
        <v>283</v>
      </c>
      <c r="F10009" s="1173">
        <v>0</v>
      </c>
    </row>
    <row r="10010" spans="2:6">
      <c r="B10010" s="1171" t="s">
        <v>852</v>
      </c>
      <c r="C10010" s="1172" t="s">
        <v>300</v>
      </c>
      <c r="D10010" s="325" t="s">
        <v>800</v>
      </c>
      <c r="E10010" s="1172" t="s">
        <v>284</v>
      </c>
      <c r="F10010" s="1173">
        <v>0</v>
      </c>
    </row>
    <row r="10011" spans="2:6">
      <c r="B10011" s="1171" t="s">
        <v>852</v>
      </c>
      <c r="C10011" s="1172" t="s">
        <v>300</v>
      </c>
      <c r="D10011" s="325" t="s">
        <v>800</v>
      </c>
      <c r="E10011" s="1172" t="s">
        <v>1379</v>
      </c>
      <c r="F10011" s="1173">
        <v>1</v>
      </c>
    </row>
    <row r="10012" spans="2:6">
      <c r="B10012" s="1171" t="s">
        <v>852</v>
      </c>
      <c r="C10012" s="1172" t="s">
        <v>300</v>
      </c>
      <c r="D10012" s="325" t="s">
        <v>800</v>
      </c>
      <c r="E10012" s="1172" t="s">
        <v>285</v>
      </c>
      <c r="F10012" s="1173">
        <v>0</v>
      </c>
    </row>
    <row r="10013" spans="2:6">
      <c r="B10013" s="1171" t="s">
        <v>852</v>
      </c>
      <c r="C10013" s="1172" t="s">
        <v>300</v>
      </c>
      <c r="D10013" s="325" t="s">
        <v>800</v>
      </c>
      <c r="E10013" s="1172" t="s">
        <v>1380</v>
      </c>
      <c r="F10013" s="1173">
        <v>1</v>
      </c>
    </row>
    <row r="10014" spans="2:6">
      <c r="B10014" s="1171" t="s">
        <v>852</v>
      </c>
      <c r="C10014" s="1172" t="s">
        <v>300</v>
      </c>
      <c r="D10014" s="325" t="s">
        <v>800</v>
      </c>
      <c r="E10014" s="1172" t="s">
        <v>281</v>
      </c>
      <c r="F10014" s="1173">
        <v>0</v>
      </c>
    </row>
    <row r="10015" spans="2:6">
      <c r="B10015" s="1171" t="s">
        <v>852</v>
      </c>
      <c r="C10015" s="1172" t="s">
        <v>300</v>
      </c>
      <c r="D10015" s="325" t="s">
        <v>800</v>
      </c>
      <c r="E10015" s="1172" t="s">
        <v>1384</v>
      </c>
      <c r="F10015" s="1173">
        <v>0</v>
      </c>
    </row>
    <row r="10016" spans="2:6">
      <c r="B10016" s="1171" t="s">
        <v>852</v>
      </c>
      <c r="C10016" s="1172" t="s">
        <v>302</v>
      </c>
      <c r="D10016" s="325" t="s">
        <v>800</v>
      </c>
      <c r="E10016" s="1172" t="s">
        <v>282</v>
      </c>
      <c r="F10016" s="1173">
        <v>0</v>
      </c>
    </row>
    <row r="10017" spans="2:6">
      <c r="B10017" s="1171" t="s">
        <v>852</v>
      </c>
      <c r="C10017" s="1172" t="s">
        <v>302</v>
      </c>
      <c r="D10017" s="325" t="s">
        <v>800</v>
      </c>
      <c r="E10017" s="1172" t="s">
        <v>283</v>
      </c>
      <c r="F10017" s="1173">
        <v>0</v>
      </c>
    </row>
    <row r="10018" spans="2:6">
      <c r="B10018" s="1171" t="s">
        <v>852</v>
      </c>
      <c r="C10018" s="1172" t="s">
        <v>302</v>
      </c>
      <c r="D10018" s="325" t="s">
        <v>800</v>
      </c>
      <c r="E10018" s="1172" t="s">
        <v>284</v>
      </c>
      <c r="F10018" s="1173">
        <v>0</v>
      </c>
    </row>
    <row r="10019" spans="2:6">
      <c r="B10019" s="1171" t="s">
        <v>852</v>
      </c>
      <c r="C10019" s="1172" t="s">
        <v>302</v>
      </c>
      <c r="D10019" s="325" t="s">
        <v>800</v>
      </c>
      <c r="E10019" s="1172" t="s">
        <v>1379</v>
      </c>
      <c r="F10019" s="1173">
        <v>1</v>
      </c>
    </row>
    <row r="10020" spans="2:6">
      <c r="B10020" s="1171" t="s">
        <v>852</v>
      </c>
      <c r="C10020" s="1172" t="s">
        <v>302</v>
      </c>
      <c r="D10020" s="325" t="s">
        <v>800</v>
      </c>
      <c r="E10020" s="1172" t="s">
        <v>285</v>
      </c>
      <c r="F10020" s="1173">
        <v>0</v>
      </c>
    </row>
    <row r="10021" spans="2:6">
      <c r="B10021" s="1171" t="s">
        <v>852</v>
      </c>
      <c r="C10021" s="1172" t="s">
        <v>302</v>
      </c>
      <c r="D10021" s="325" t="s">
        <v>800</v>
      </c>
      <c r="E10021" s="1172" t="s">
        <v>1380</v>
      </c>
      <c r="F10021" s="1173">
        <v>1</v>
      </c>
    </row>
    <row r="10022" spans="2:6">
      <c r="B10022" s="1171" t="s">
        <v>852</v>
      </c>
      <c r="C10022" s="1172" t="s">
        <v>302</v>
      </c>
      <c r="D10022" s="325" t="s">
        <v>800</v>
      </c>
      <c r="E10022" s="1172" t="s">
        <v>281</v>
      </c>
      <c r="F10022" s="1173">
        <v>0</v>
      </c>
    </row>
    <row r="10023" spans="2:6">
      <c r="B10023" s="1171" t="s">
        <v>852</v>
      </c>
      <c r="C10023" s="1172" t="s">
        <v>302</v>
      </c>
      <c r="D10023" s="325" t="s">
        <v>800</v>
      </c>
      <c r="E10023" s="1172" t="s">
        <v>1384</v>
      </c>
      <c r="F10023" s="1173">
        <v>0</v>
      </c>
    </row>
    <row r="10024" spans="2:6">
      <c r="B10024" s="1171" t="s">
        <v>852</v>
      </c>
      <c r="C10024" s="1172" t="s">
        <v>308</v>
      </c>
      <c r="D10024" s="325"/>
      <c r="E10024" s="1172" t="s">
        <v>282</v>
      </c>
      <c r="F10024" s="1173">
        <v>0</v>
      </c>
    </row>
    <row r="10025" spans="2:6">
      <c r="B10025" s="1171" t="s">
        <v>852</v>
      </c>
      <c r="C10025" s="1172" t="s">
        <v>308</v>
      </c>
      <c r="D10025" s="325"/>
      <c r="E10025" s="1172" t="s">
        <v>283</v>
      </c>
      <c r="F10025" s="1173">
        <v>0</v>
      </c>
    </row>
    <row r="10026" spans="2:6">
      <c r="B10026" s="1171" t="s">
        <v>852</v>
      </c>
      <c r="C10026" s="1172" t="s">
        <v>308</v>
      </c>
      <c r="D10026" s="325"/>
      <c r="E10026" s="1172" t="s">
        <v>284</v>
      </c>
      <c r="F10026" s="1173">
        <v>0</v>
      </c>
    </row>
    <row r="10027" spans="2:6">
      <c r="B10027" s="1171" t="s">
        <v>852</v>
      </c>
      <c r="C10027" s="1172" t="s">
        <v>308</v>
      </c>
      <c r="D10027" s="325"/>
      <c r="E10027" s="1172" t="s">
        <v>1379</v>
      </c>
      <c r="F10027" s="1173">
        <v>1</v>
      </c>
    </row>
    <row r="10028" spans="2:6">
      <c r="B10028" s="1171" t="s">
        <v>852</v>
      </c>
      <c r="C10028" s="1172" t="s">
        <v>308</v>
      </c>
      <c r="D10028" s="325"/>
      <c r="E10028" s="1172" t="s">
        <v>285</v>
      </c>
      <c r="F10028" s="1173">
        <v>0</v>
      </c>
    </row>
    <row r="10029" spans="2:6">
      <c r="B10029" s="1171" t="s">
        <v>852</v>
      </c>
      <c r="C10029" s="1172" t="s">
        <v>308</v>
      </c>
      <c r="D10029" s="325"/>
      <c r="E10029" s="1172" t="s">
        <v>1380</v>
      </c>
      <c r="F10029" s="1173">
        <v>1</v>
      </c>
    </row>
    <row r="10030" spans="2:6">
      <c r="B10030" s="1171" t="s">
        <v>852</v>
      </c>
      <c r="C10030" s="1172" t="s">
        <v>308</v>
      </c>
      <c r="D10030" s="325"/>
      <c r="E10030" s="1172" t="s">
        <v>281</v>
      </c>
      <c r="F10030" s="1173">
        <v>0</v>
      </c>
    </row>
    <row r="10031" spans="2:6">
      <c r="B10031" s="1171" t="s">
        <v>852</v>
      </c>
      <c r="C10031" s="1172" t="s">
        <v>308</v>
      </c>
      <c r="D10031" s="325"/>
      <c r="E10031" s="1172" t="s">
        <v>1384</v>
      </c>
      <c r="F10031" s="1173">
        <v>0</v>
      </c>
    </row>
    <row r="10032" spans="2:6">
      <c r="B10032" s="1171" t="s">
        <v>852</v>
      </c>
      <c r="C10032" s="1172" t="s">
        <v>306</v>
      </c>
      <c r="D10032" s="325"/>
      <c r="E10032" s="1172" t="s">
        <v>282</v>
      </c>
      <c r="F10032" s="1173">
        <v>0</v>
      </c>
    </row>
    <row r="10033" spans="2:6">
      <c r="B10033" s="1171" t="s">
        <v>852</v>
      </c>
      <c r="C10033" s="1172" t="s">
        <v>306</v>
      </c>
      <c r="D10033" s="325"/>
      <c r="E10033" s="1172" t="s">
        <v>283</v>
      </c>
      <c r="F10033" s="1173">
        <v>0</v>
      </c>
    </row>
    <row r="10034" spans="2:6">
      <c r="B10034" s="1171" t="s">
        <v>852</v>
      </c>
      <c r="C10034" s="1172" t="s">
        <v>306</v>
      </c>
      <c r="D10034" s="325"/>
      <c r="E10034" s="1172" t="s">
        <v>284</v>
      </c>
      <c r="F10034" s="1173">
        <v>0</v>
      </c>
    </row>
    <row r="10035" spans="2:6">
      <c r="B10035" s="1171" t="s">
        <v>852</v>
      </c>
      <c r="C10035" s="1172" t="s">
        <v>306</v>
      </c>
      <c r="D10035" s="325"/>
      <c r="E10035" s="1172" t="s">
        <v>1379</v>
      </c>
      <c r="F10035" s="1173">
        <v>1</v>
      </c>
    </row>
    <row r="10036" spans="2:6">
      <c r="B10036" s="1171" t="s">
        <v>852</v>
      </c>
      <c r="C10036" s="1172" t="s">
        <v>306</v>
      </c>
      <c r="D10036" s="325"/>
      <c r="E10036" s="1172" t="s">
        <v>285</v>
      </c>
      <c r="F10036" s="1173">
        <v>0</v>
      </c>
    </row>
    <row r="10037" spans="2:6">
      <c r="B10037" s="1171" t="s">
        <v>852</v>
      </c>
      <c r="C10037" s="1172" t="s">
        <v>306</v>
      </c>
      <c r="D10037" s="325"/>
      <c r="E10037" s="1172" t="s">
        <v>1380</v>
      </c>
      <c r="F10037" s="1173">
        <v>1</v>
      </c>
    </row>
    <row r="10038" spans="2:6">
      <c r="B10038" s="1171" t="s">
        <v>852</v>
      </c>
      <c r="C10038" s="1172" t="s">
        <v>306</v>
      </c>
      <c r="D10038" s="325"/>
      <c r="E10038" s="1172" t="s">
        <v>281</v>
      </c>
      <c r="F10038" s="1173">
        <v>0</v>
      </c>
    </row>
    <row r="10039" spans="2:6">
      <c r="B10039" s="1171" t="s">
        <v>852</v>
      </c>
      <c r="C10039" s="1172" t="s">
        <v>306</v>
      </c>
      <c r="D10039" s="325"/>
      <c r="E10039" s="1172" t="s">
        <v>1384</v>
      </c>
      <c r="F10039" s="1173">
        <v>0</v>
      </c>
    </row>
    <row r="10040" spans="2:6">
      <c r="B10040" s="1171" t="s">
        <v>852</v>
      </c>
      <c r="C10040" s="1172" t="s">
        <v>311</v>
      </c>
      <c r="D10040" s="325"/>
      <c r="E10040" s="1172" t="s">
        <v>282</v>
      </c>
      <c r="F10040" s="1173">
        <v>0</v>
      </c>
    </row>
    <row r="10041" spans="2:6">
      <c r="B10041" s="1171" t="s">
        <v>852</v>
      </c>
      <c r="C10041" s="1172" t="s">
        <v>311</v>
      </c>
      <c r="D10041" s="325"/>
      <c r="E10041" s="1172" t="s">
        <v>283</v>
      </c>
      <c r="F10041" s="1173">
        <v>0</v>
      </c>
    </row>
    <row r="10042" spans="2:6">
      <c r="B10042" s="1171" t="s">
        <v>852</v>
      </c>
      <c r="C10042" s="1172" t="s">
        <v>311</v>
      </c>
      <c r="D10042" s="325"/>
      <c r="E10042" s="1172" t="s">
        <v>284</v>
      </c>
      <c r="F10042" s="1173">
        <v>0</v>
      </c>
    </row>
    <row r="10043" spans="2:6">
      <c r="B10043" s="1171" t="s">
        <v>852</v>
      </c>
      <c r="C10043" s="1172" t="s">
        <v>311</v>
      </c>
      <c r="D10043" s="325"/>
      <c r="E10043" s="1172" t="s">
        <v>1379</v>
      </c>
      <c r="F10043" s="1173">
        <v>1</v>
      </c>
    </row>
    <row r="10044" spans="2:6">
      <c r="B10044" s="1171" t="s">
        <v>852</v>
      </c>
      <c r="C10044" s="1172" t="s">
        <v>311</v>
      </c>
      <c r="D10044" s="325"/>
      <c r="E10044" s="1172" t="s">
        <v>285</v>
      </c>
      <c r="F10044" s="1173">
        <v>0</v>
      </c>
    </row>
    <row r="10045" spans="2:6">
      <c r="B10045" s="1171" t="s">
        <v>852</v>
      </c>
      <c r="C10045" s="1172" t="s">
        <v>311</v>
      </c>
      <c r="D10045" s="325"/>
      <c r="E10045" s="1172" t="s">
        <v>1380</v>
      </c>
      <c r="F10045" s="1173">
        <v>1</v>
      </c>
    </row>
    <row r="10046" spans="2:6">
      <c r="B10046" s="1171" t="s">
        <v>852</v>
      </c>
      <c r="C10046" s="1172" t="s">
        <v>311</v>
      </c>
      <c r="D10046" s="325"/>
      <c r="E10046" s="1172" t="s">
        <v>281</v>
      </c>
      <c r="F10046" s="1173">
        <v>0</v>
      </c>
    </row>
    <row r="10047" spans="2:6">
      <c r="B10047" s="1171" t="s">
        <v>852</v>
      </c>
      <c r="C10047" s="1172" t="s">
        <v>311</v>
      </c>
      <c r="D10047" s="325"/>
      <c r="E10047" s="1172" t="s">
        <v>1384</v>
      </c>
      <c r="F10047" s="1173">
        <v>0</v>
      </c>
    </row>
    <row r="10048" spans="2:6">
      <c r="B10048" s="1171" t="s">
        <v>852</v>
      </c>
      <c r="C10048" s="1172" t="s">
        <v>309</v>
      </c>
      <c r="D10048" s="325"/>
      <c r="E10048" s="1172" t="s">
        <v>282</v>
      </c>
      <c r="F10048" s="1173">
        <v>0</v>
      </c>
    </row>
    <row r="10049" spans="2:6">
      <c r="B10049" s="1171" t="s">
        <v>852</v>
      </c>
      <c r="C10049" s="1172" t="s">
        <v>309</v>
      </c>
      <c r="D10049" s="325"/>
      <c r="E10049" s="1172" t="s">
        <v>283</v>
      </c>
      <c r="F10049" s="1173">
        <v>0</v>
      </c>
    </row>
    <row r="10050" spans="2:6">
      <c r="B10050" s="1171" t="s">
        <v>852</v>
      </c>
      <c r="C10050" s="1172" t="s">
        <v>309</v>
      </c>
      <c r="D10050" s="325"/>
      <c r="E10050" s="1172" t="s">
        <v>284</v>
      </c>
      <c r="F10050" s="1173">
        <v>0</v>
      </c>
    </row>
    <row r="10051" spans="2:6">
      <c r="B10051" s="1171" t="s">
        <v>852</v>
      </c>
      <c r="C10051" s="1172" t="s">
        <v>309</v>
      </c>
      <c r="D10051" s="325"/>
      <c r="E10051" s="1172" t="s">
        <v>1379</v>
      </c>
      <c r="F10051" s="1173">
        <v>1</v>
      </c>
    </row>
    <row r="10052" spans="2:6">
      <c r="B10052" s="1171" t="s">
        <v>852</v>
      </c>
      <c r="C10052" s="1172" t="s">
        <v>309</v>
      </c>
      <c r="D10052" s="325"/>
      <c r="E10052" s="1172" t="s">
        <v>285</v>
      </c>
      <c r="F10052" s="1173">
        <v>0</v>
      </c>
    </row>
    <row r="10053" spans="2:6">
      <c r="B10053" s="1171" t="s">
        <v>852</v>
      </c>
      <c r="C10053" s="1172" t="s">
        <v>309</v>
      </c>
      <c r="D10053" s="325"/>
      <c r="E10053" s="1172" t="s">
        <v>1380</v>
      </c>
      <c r="F10053" s="1173">
        <v>1</v>
      </c>
    </row>
    <row r="10054" spans="2:6">
      <c r="B10054" s="1171" t="s">
        <v>852</v>
      </c>
      <c r="C10054" s="1172" t="s">
        <v>309</v>
      </c>
      <c r="D10054" s="325"/>
      <c r="E10054" s="1172" t="s">
        <v>281</v>
      </c>
      <c r="F10054" s="1173">
        <v>0</v>
      </c>
    </row>
    <row r="10055" spans="2:6">
      <c r="B10055" s="1171" t="s">
        <v>852</v>
      </c>
      <c r="C10055" s="1172" t="s">
        <v>309</v>
      </c>
      <c r="D10055" s="325"/>
      <c r="E10055" s="1172" t="s">
        <v>1384</v>
      </c>
      <c r="F10055" s="1173">
        <v>0</v>
      </c>
    </row>
    <row r="10056" spans="2:6">
      <c r="B10056" s="1171" t="s">
        <v>852</v>
      </c>
      <c r="C10056" s="1172" t="s">
        <v>307</v>
      </c>
      <c r="D10056" s="325"/>
      <c r="E10056" s="1172" t="s">
        <v>282</v>
      </c>
      <c r="F10056" s="1173">
        <v>0</v>
      </c>
    </row>
    <row r="10057" spans="2:6">
      <c r="B10057" s="1171" t="s">
        <v>852</v>
      </c>
      <c r="C10057" s="1172" t="s">
        <v>307</v>
      </c>
      <c r="D10057" s="325"/>
      <c r="E10057" s="1172" t="s">
        <v>283</v>
      </c>
      <c r="F10057" s="1173">
        <v>0</v>
      </c>
    </row>
    <row r="10058" spans="2:6">
      <c r="B10058" s="1171" t="s">
        <v>852</v>
      </c>
      <c r="C10058" s="1172" t="s">
        <v>307</v>
      </c>
      <c r="D10058" s="325"/>
      <c r="E10058" s="1172" t="s">
        <v>284</v>
      </c>
      <c r="F10058" s="1173">
        <v>0</v>
      </c>
    </row>
    <row r="10059" spans="2:6">
      <c r="B10059" s="1171" t="s">
        <v>852</v>
      </c>
      <c r="C10059" s="1172" t="s">
        <v>307</v>
      </c>
      <c r="D10059" s="325"/>
      <c r="E10059" s="1172" t="s">
        <v>1379</v>
      </c>
      <c r="F10059" s="1173">
        <v>1</v>
      </c>
    </row>
    <row r="10060" spans="2:6">
      <c r="B10060" s="1171" t="s">
        <v>852</v>
      </c>
      <c r="C10060" s="1172" t="s">
        <v>307</v>
      </c>
      <c r="D10060" s="325"/>
      <c r="E10060" s="1172" t="s">
        <v>285</v>
      </c>
      <c r="F10060" s="1173">
        <v>0</v>
      </c>
    </row>
    <row r="10061" spans="2:6">
      <c r="B10061" s="1171" t="s">
        <v>852</v>
      </c>
      <c r="C10061" s="1172" t="s">
        <v>307</v>
      </c>
      <c r="D10061" s="325"/>
      <c r="E10061" s="1172" t="s">
        <v>1380</v>
      </c>
      <c r="F10061" s="1173">
        <v>1</v>
      </c>
    </row>
    <row r="10062" spans="2:6">
      <c r="B10062" s="1171" t="s">
        <v>852</v>
      </c>
      <c r="C10062" s="1172" t="s">
        <v>307</v>
      </c>
      <c r="D10062" s="325"/>
      <c r="E10062" s="1172" t="s">
        <v>281</v>
      </c>
      <c r="F10062" s="1173">
        <v>0</v>
      </c>
    </row>
    <row r="10063" spans="2:6">
      <c r="B10063" s="1171" t="s">
        <v>852</v>
      </c>
      <c r="C10063" s="1172" t="s">
        <v>307</v>
      </c>
      <c r="D10063" s="325"/>
      <c r="E10063" s="1172" t="s">
        <v>1384</v>
      </c>
      <c r="F10063" s="1173">
        <v>0</v>
      </c>
    </row>
    <row r="10064" spans="2:6">
      <c r="B10064" s="1156" t="s">
        <v>359</v>
      </c>
      <c r="C10064" s="1157" t="s">
        <v>315</v>
      </c>
      <c r="D10064" s="325"/>
      <c r="E10064" s="1157" t="s">
        <v>282</v>
      </c>
      <c r="F10064" s="1158">
        <v>0</v>
      </c>
    </row>
    <row r="10065" spans="2:6">
      <c r="B10065" s="1156" t="s">
        <v>359</v>
      </c>
      <c r="C10065" s="1157" t="s">
        <v>315</v>
      </c>
      <c r="D10065" s="325"/>
      <c r="E10065" s="1157" t="s">
        <v>283</v>
      </c>
      <c r="F10065" s="1158">
        <v>0</v>
      </c>
    </row>
    <row r="10066" spans="2:6">
      <c r="B10066" s="1156" t="s">
        <v>359</v>
      </c>
      <c r="C10066" s="1157" t="s">
        <v>315</v>
      </c>
      <c r="D10066" s="325"/>
      <c r="E10066" s="1157" t="s">
        <v>284</v>
      </c>
      <c r="F10066" s="1158">
        <v>0</v>
      </c>
    </row>
    <row r="10067" spans="2:6">
      <c r="B10067" s="1156" t="s">
        <v>359</v>
      </c>
      <c r="C10067" s="1157" t="s">
        <v>315</v>
      </c>
      <c r="D10067" s="325"/>
      <c r="E10067" s="1157" t="s">
        <v>1379</v>
      </c>
      <c r="F10067" s="1158">
        <v>1</v>
      </c>
    </row>
    <row r="10068" spans="2:6">
      <c r="B10068" s="1156" t="s">
        <v>359</v>
      </c>
      <c r="C10068" s="1157" t="s">
        <v>315</v>
      </c>
      <c r="D10068" s="325"/>
      <c r="E10068" s="1157" t="s">
        <v>285</v>
      </c>
      <c r="F10068" s="1158">
        <v>0</v>
      </c>
    </row>
    <row r="10069" spans="2:6">
      <c r="B10069" s="1156" t="s">
        <v>359</v>
      </c>
      <c r="C10069" s="1157" t="s">
        <v>315</v>
      </c>
      <c r="D10069" s="325"/>
      <c r="E10069" s="1157" t="s">
        <v>1380</v>
      </c>
      <c r="F10069" s="1158">
        <v>1</v>
      </c>
    </row>
    <row r="10070" spans="2:6">
      <c r="B10070" s="1156" t="s">
        <v>359</v>
      </c>
      <c r="C10070" s="1157" t="s">
        <v>315</v>
      </c>
      <c r="D10070" s="325"/>
      <c r="E10070" s="1157" t="s">
        <v>281</v>
      </c>
      <c r="F10070" s="1158">
        <v>0</v>
      </c>
    </row>
    <row r="10071" spans="2:6">
      <c r="B10071" s="1156" t="s">
        <v>359</v>
      </c>
      <c r="C10071" s="1157" t="s">
        <v>315</v>
      </c>
      <c r="D10071" s="325"/>
      <c r="E10071" s="1157" t="s">
        <v>1384</v>
      </c>
      <c r="F10071" s="1158">
        <v>0</v>
      </c>
    </row>
    <row r="10072" spans="2:6">
      <c r="B10072" s="1156" t="s">
        <v>359</v>
      </c>
      <c r="C10072" s="1157" t="s">
        <v>313</v>
      </c>
      <c r="D10072" s="325"/>
      <c r="E10072" s="1157" t="s">
        <v>282</v>
      </c>
      <c r="F10072" s="1158">
        <v>0</v>
      </c>
    </row>
    <row r="10073" spans="2:6">
      <c r="B10073" s="1156" t="s">
        <v>359</v>
      </c>
      <c r="C10073" s="1157" t="s">
        <v>313</v>
      </c>
      <c r="D10073" s="325"/>
      <c r="E10073" s="1157" t="s">
        <v>283</v>
      </c>
      <c r="F10073" s="1158">
        <v>0</v>
      </c>
    </row>
    <row r="10074" spans="2:6">
      <c r="B10074" s="1156" t="s">
        <v>359</v>
      </c>
      <c r="C10074" s="1157" t="s">
        <v>313</v>
      </c>
      <c r="D10074" s="325"/>
      <c r="E10074" s="1157" t="s">
        <v>284</v>
      </c>
      <c r="F10074" s="1158">
        <v>0</v>
      </c>
    </row>
    <row r="10075" spans="2:6">
      <c r="B10075" s="1156" t="s">
        <v>359</v>
      </c>
      <c r="C10075" s="1157" t="s">
        <v>313</v>
      </c>
      <c r="D10075" s="325"/>
      <c r="E10075" s="1157" t="s">
        <v>1379</v>
      </c>
      <c r="F10075" s="1158">
        <v>1</v>
      </c>
    </row>
    <row r="10076" spans="2:6">
      <c r="B10076" s="1156" t="s">
        <v>359</v>
      </c>
      <c r="C10076" s="1157" t="s">
        <v>313</v>
      </c>
      <c r="D10076" s="325"/>
      <c r="E10076" s="1157" t="s">
        <v>285</v>
      </c>
      <c r="F10076" s="1158">
        <v>0</v>
      </c>
    </row>
    <row r="10077" spans="2:6">
      <c r="B10077" s="1156" t="s">
        <v>359</v>
      </c>
      <c r="C10077" s="1157" t="s">
        <v>313</v>
      </c>
      <c r="D10077" s="325"/>
      <c r="E10077" s="1157" t="s">
        <v>1380</v>
      </c>
      <c r="F10077" s="1158">
        <v>1</v>
      </c>
    </row>
    <row r="10078" spans="2:6">
      <c r="B10078" s="1156" t="s">
        <v>359</v>
      </c>
      <c r="C10078" s="1157" t="s">
        <v>313</v>
      </c>
      <c r="D10078" s="325"/>
      <c r="E10078" s="1157" t="s">
        <v>281</v>
      </c>
      <c r="F10078" s="1158">
        <v>0</v>
      </c>
    </row>
    <row r="10079" spans="2:6">
      <c r="B10079" s="1156" t="s">
        <v>359</v>
      </c>
      <c r="C10079" s="1157" t="s">
        <v>313</v>
      </c>
      <c r="D10079" s="325"/>
      <c r="E10079" s="1157" t="s">
        <v>1384</v>
      </c>
      <c r="F10079" s="1158">
        <v>0</v>
      </c>
    </row>
    <row r="10080" spans="2:6">
      <c r="B10080" s="1156" t="s">
        <v>359</v>
      </c>
      <c r="C10080" s="1157" t="s">
        <v>304</v>
      </c>
      <c r="D10080" s="325"/>
      <c r="E10080" s="1157" t="s">
        <v>282</v>
      </c>
      <c r="F10080" s="1158">
        <v>0</v>
      </c>
    </row>
    <row r="10081" spans="2:6">
      <c r="B10081" s="1156" t="s">
        <v>359</v>
      </c>
      <c r="C10081" s="1157" t="s">
        <v>304</v>
      </c>
      <c r="D10081" s="325"/>
      <c r="E10081" s="1157" t="s">
        <v>283</v>
      </c>
      <c r="F10081" s="1158">
        <v>0</v>
      </c>
    </row>
    <row r="10082" spans="2:6">
      <c r="B10082" s="1156" t="s">
        <v>359</v>
      </c>
      <c r="C10082" s="1157" t="s">
        <v>304</v>
      </c>
      <c r="D10082" s="325"/>
      <c r="E10082" s="1157" t="s">
        <v>284</v>
      </c>
      <c r="F10082" s="1158">
        <v>0</v>
      </c>
    </row>
    <row r="10083" spans="2:6">
      <c r="B10083" s="1156" t="s">
        <v>359</v>
      </c>
      <c r="C10083" s="1157" t="s">
        <v>304</v>
      </c>
      <c r="D10083" s="325"/>
      <c r="E10083" s="1157" t="s">
        <v>1379</v>
      </c>
      <c r="F10083" s="1158">
        <v>1</v>
      </c>
    </row>
    <row r="10084" spans="2:6">
      <c r="B10084" s="1156" t="s">
        <v>359</v>
      </c>
      <c r="C10084" s="1157" t="s">
        <v>304</v>
      </c>
      <c r="D10084" s="325"/>
      <c r="E10084" s="1157" t="s">
        <v>285</v>
      </c>
      <c r="F10084" s="1158">
        <v>0</v>
      </c>
    </row>
    <row r="10085" spans="2:6">
      <c r="B10085" s="1156" t="s">
        <v>359</v>
      </c>
      <c r="C10085" s="1157" t="s">
        <v>304</v>
      </c>
      <c r="D10085" s="325"/>
      <c r="E10085" s="1157" t="s">
        <v>1380</v>
      </c>
      <c r="F10085" s="1158">
        <v>1</v>
      </c>
    </row>
    <row r="10086" spans="2:6">
      <c r="B10086" s="1156" t="s">
        <v>359</v>
      </c>
      <c r="C10086" s="1157" t="s">
        <v>304</v>
      </c>
      <c r="D10086" s="325"/>
      <c r="E10086" s="1157" t="s">
        <v>281</v>
      </c>
      <c r="F10086" s="1158">
        <v>0</v>
      </c>
    </row>
    <row r="10087" spans="2:6">
      <c r="B10087" s="1156" t="s">
        <v>359</v>
      </c>
      <c r="C10087" s="1157" t="s">
        <v>304</v>
      </c>
      <c r="D10087" s="325"/>
      <c r="E10087" s="1157" t="s">
        <v>1384</v>
      </c>
      <c r="F10087" s="1158">
        <v>0</v>
      </c>
    </row>
    <row r="10088" spans="2:6">
      <c r="B10088" s="1156" t="s">
        <v>359</v>
      </c>
      <c r="C10088" s="1157" t="s">
        <v>300</v>
      </c>
      <c r="D10088" s="325" t="s">
        <v>800</v>
      </c>
      <c r="E10088" s="1157" t="s">
        <v>282</v>
      </c>
      <c r="F10088" s="1158">
        <v>0</v>
      </c>
    </row>
    <row r="10089" spans="2:6">
      <c r="B10089" s="1156" t="s">
        <v>359</v>
      </c>
      <c r="C10089" s="1157" t="s">
        <v>300</v>
      </c>
      <c r="D10089" s="325" t="s">
        <v>800</v>
      </c>
      <c r="E10089" s="1157" t="s">
        <v>283</v>
      </c>
      <c r="F10089" s="1158">
        <v>0</v>
      </c>
    </row>
    <row r="10090" spans="2:6">
      <c r="B10090" s="1156" t="s">
        <v>359</v>
      </c>
      <c r="C10090" s="1157" t="s">
        <v>300</v>
      </c>
      <c r="D10090" s="325" t="s">
        <v>800</v>
      </c>
      <c r="E10090" s="1157" t="s">
        <v>284</v>
      </c>
      <c r="F10090" s="1158">
        <v>0</v>
      </c>
    </row>
    <row r="10091" spans="2:6">
      <c r="B10091" s="1156" t="s">
        <v>359</v>
      </c>
      <c r="C10091" s="1157" t="s">
        <v>300</v>
      </c>
      <c r="D10091" s="325" t="s">
        <v>800</v>
      </c>
      <c r="E10091" s="1157" t="s">
        <v>1379</v>
      </c>
      <c r="F10091" s="1158">
        <v>1</v>
      </c>
    </row>
    <row r="10092" spans="2:6">
      <c r="B10092" s="1156" t="s">
        <v>359</v>
      </c>
      <c r="C10092" s="1157" t="s">
        <v>300</v>
      </c>
      <c r="D10092" s="325" t="s">
        <v>800</v>
      </c>
      <c r="E10092" s="1157" t="s">
        <v>285</v>
      </c>
      <c r="F10092" s="1158">
        <v>0</v>
      </c>
    </row>
    <row r="10093" spans="2:6">
      <c r="B10093" s="1156" t="s">
        <v>359</v>
      </c>
      <c r="C10093" s="1157" t="s">
        <v>300</v>
      </c>
      <c r="D10093" s="325" t="s">
        <v>800</v>
      </c>
      <c r="E10093" s="1157" t="s">
        <v>1380</v>
      </c>
      <c r="F10093" s="1158">
        <v>1</v>
      </c>
    </row>
    <row r="10094" spans="2:6">
      <c r="B10094" s="1156" t="s">
        <v>359</v>
      </c>
      <c r="C10094" s="1157" t="s">
        <v>300</v>
      </c>
      <c r="D10094" s="325" t="s">
        <v>800</v>
      </c>
      <c r="E10094" s="1157" t="s">
        <v>281</v>
      </c>
      <c r="F10094" s="1158">
        <v>0</v>
      </c>
    </row>
    <row r="10095" spans="2:6">
      <c r="B10095" s="1156" t="s">
        <v>359</v>
      </c>
      <c r="C10095" s="1157" t="s">
        <v>300</v>
      </c>
      <c r="D10095" s="325" t="s">
        <v>800</v>
      </c>
      <c r="E10095" s="1157" t="s">
        <v>1384</v>
      </c>
      <c r="F10095" s="1158">
        <v>0</v>
      </c>
    </row>
    <row r="10096" spans="2:6">
      <c r="B10096" s="1156" t="s">
        <v>359</v>
      </c>
      <c r="C10096" s="1157" t="s">
        <v>302</v>
      </c>
      <c r="D10096" s="325" t="s">
        <v>800</v>
      </c>
      <c r="E10096" s="1157" t="s">
        <v>282</v>
      </c>
      <c r="F10096" s="1158">
        <v>0</v>
      </c>
    </row>
    <row r="10097" spans="2:6">
      <c r="B10097" s="1156" t="s">
        <v>359</v>
      </c>
      <c r="C10097" s="1157" t="s">
        <v>302</v>
      </c>
      <c r="D10097" s="325" t="s">
        <v>800</v>
      </c>
      <c r="E10097" s="1157" t="s">
        <v>283</v>
      </c>
      <c r="F10097" s="1158">
        <v>0</v>
      </c>
    </row>
    <row r="10098" spans="2:6">
      <c r="B10098" s="1156" t="s">
        <v>359</v>
      </c>
      <c r="C10098" s="1157" t="s">
        <v>302</v>
      </c>
      <c r="D10098" s="325" t="s">
        <v>800</v>
      </c>
      <c r="E10098" s="1157" t="s">
        <v>284</v>
      </c>
      <c r="F10098" s="1158">
        <v>0</v>
      </c>
    </row>
    <row r="10099" spans="2:6">
      <c r="B10099" s="1156" t="s">
        <v>359</v>
      </c>
      <c r="C10099" s="1157" t="s">
        <v>302</v>
      </c>
      <c r="D10099" s="325" t="s">
        <v>800</v>
      </c>
      <c r="E10099" s="1157" t="s">
        <v>1379</v>
      </c>
      <c r="F10099" s="1158">
        <v>1</v>
      </c>
    </row>
    <row r="10100" spans="2:6">
      <c r="B10100" s="1156" t="s">
        <v>359</v>
      </c>
      <c r="C10100" s="1157" t="s">
        <v>302</v>
      </c>
      <c r="D10100" s="325" t="s">
        <v>800</v>
      </c>
      <c r="E10100" s="1157" t="s">
        <v>285</v>
      </c>
      <c r="F10100" s="1158">
        <v>0</v>
      </c>
    </row>
    <row r="10101" spans="2:6">
      <c r="B10101" s="1156" t="s">
        <v>359</v>
      </c>
      <c r="C10101" s="1157" t="s">
        <v>302</v>
      </c>
      <c r="D10101" s="325" t="s">
        <v>800</v>
      </c>
      <c r="E10101" s="1157" t="s">
        <v>1380</v>
      </c>
      <c r="F10101" s="1158">
        <v>1</v>
      </c>
    </row>
    <row r="10102" spans="2:6">
      <c r="B10102" s="1156" t="s">
        <v>359</v>
      </c>
      <c r="C10102" s="1157" t="s">
        <v>302</v>
      </c>
      <c r="D10102" s="325" t="s">
        <v>800</v>
      </c>
      <c r="E10102" s="1157" t="s">
        <v>281</v>
      </c>
      <c r="F10102" s="1158">
        <v>0</v>
      </c>
    </row>
    <row r="10103" spans="2:6">
      <c r="B10103" s="1156" t="s">
        <v>359</v>
      </c>
      <c r="C10103" s="1157" t="s">
        <v>302</v>
      </c>
      <c r="D10103" s="325" t="s">
        <v>800</v>
      </c>
      <c r="E10103" s="1157" t="s">
        <v>1384</v>
      </c>
      <c r="F10103" s="1158">
        <v>0</v>
      </c>
    </row>
    <row r="10104" spans="2:6">
      <c r="B10104" s="1156" t="s">
        <v>359</v>
      </c>
      <c r="C10104" s="1157" t="s">
        <v>308</v>
      </c>
      <c r="D10104" s="325"/>
      <c r="E10104" s="1157" t="s">
        <v>282</v>
      </c>
      <c r="F10104" s="1158">
        <v>0</v>
      </c>
    </row>
    <row r="10105" spans="2:6">
      <c r="B10105" s="1156" t="s">
        <v>359</v>
      </c>
      <c r="C10105" s="1157" t="s">
        <v>308</v>
      </c>
      <c r="D10105" s="325"/>
      <c r="E10105" s="1157" t="s">
        <v>283</v>
      </c>
      <c r="F10105" s="1158">
        <v>0</v>
      </c>
    </row>
    <row r="10106" spans="2:6">
      <c r="B10106" s="1156" t="s">
        <v>359</v>
      </c>
      <c r="C10106" s="1157" t="s">
        <v>308</v>
      </c>
      <c r="D10106" s="325"/>
      <c r="E10106" s="1157" t="s">
        <v>284</v>
      </c>
      <c r="F10106" s="1158">
        <v>0</v>
      </c>
    </row>
    <row r="10107" spans="2:6">
      <c r="B10107" s="1156" t="s">
        <v>359</v>
      </c>
      <c r="C10107" s="1157" t="s">
        <v>308</v>
      </c>
      <c r="D10107" s="325"/>
      <c r="E10107" s="1157" t="s">
        <v>1379</v>
      </c>
      <c r="F10107" s="1158">
        <v>1</v>
      </c>
    </row>
    <row r="10108" spans="2:6">
      <c r="B10108" s="1156" t="s">
        <v>359</v>
      </c>
      <c r="C10108" s="1157" t="s">
        <v>308</v>
      </c>
      <c r="D10108" s="325"/>
      <c r="E10108" s="1157" t="s">
        <v>285</v>
      </c>
      <c r="F10108" s="1158">
        <v>0</v>
      </c>
    </row>
    <row r="10109" spans="2:6">
      <c r="B10109" s="1156" t="s">
        <v>359</v>
      </c>
      <c r="C10109" s="1157" t="s">
        <v>308</v>
      </c>
      <c r="D10109" s="325"/>
      <c r="E10109" s="1157" t="s">
        <v>1380</v>
      </c>
      <c r="F10109" s="1158">
        <v>1</v>
      </c>
    </row>
    <row r="10110" spans="2:6">
      <c r="B10110" s="1156" t="s">
        <v>359</v>
      </c>
      <c r="C10110" s="1157" t="s">
        <v>308</v>
      </c>
      <c r="D10110" s="325"/>
      <c r="E10110" s="1157" t="s">
        <v>281</v>
      </c>
      <c r="F10110" s="1158">
        <v>0</v>
      </c>
    </row>
    <row r="10111" spans="2:6">
      <c r="B10111" s="1156" t="s">
        <v>359</v>
      </c>
      <c r="C10111" s="1157" t="s">
        <v>308</v>
      </c>
      <c r="D10111" s="325"/>
      <c r="E10111" s="1157" t="s">
        <v>1384</v>
      </c>
      <c r="F10111" s="1158">
        <v>0</v>
      </c>
    </row>
    <row r="10112" spans="2:6">
      <c r="B10112" s="1156" t="s">
        <v>359</v>
      </c>
      <c r="C10112" s="1157" t="s">
        <v>306</v>
      </c>
      <c r="D10112" s="325"/>
      <c r="E10112" s="1157" t="s">
        <v>282</v>
      </c>
      <c r="F10112" s="1158">
        <v>0</v>
      </c>
    </row>
    <row r="10113" spans="2:6">
      <c r="B10113" s="1156" t="s">
        <v>359</v>
      </c>
      <c r="C10113" s="1157" t="s">
        <v>306</v>
      </c>
      <c r="D10113" s="325"/>
      <c r="E10113" s="1157" t="s">
        <v>283</v>
      </c>
      <c r="F10113" s="1158">
        <v>0</v>
      </c>
    </row>
    <row r="10114" spans="2:6">
      <c r="B10114" s="1156" t="s">
        <v>359</v>
      </c>
      <c r="C10114" s="1157" t="s">
        <v>306</v>
      </c>
      <c r="D10114" s="325"/>
      <c r="E10114" s="1157" t="s">
        <v>284</v>
      </c>
      <c r="F10114" s="1158">
        <v>0</v>
      </c>
    </row>
    <row r="10115" spans="2:6">
      <c r="B10115" s="1156" t="s">
        <v>359</v>
      </c>
      <c r="C10115" s="1157" t="s">
        <v>306</v>
      </c>
      <c r="D10115" s="325"/>
      <c r="E10115" s="1157" t="s">
        <v>1379</v>
      </c>
      <c r="F10115" s="1158">
        <v>1</v>
      </c>
    </row>
    <row r="10116" spans="2:6">
      <c r="B10116" s="1156" t="s">
        <v>359</v>
      </c>
      <c r="C10116" s="1157" t="s">
        <v>306</v>
      </c>
      <c r="D10116" s="325"/>
      <c r="E10116" s="1157" t="s">
        <v>285</v>
      </c>
      <c r="F10116" s="1158">
        <v>0</v>
      </c>
    </row>
    <row r="10117" spans="2:6">
      <c r="B10117" s="1156" t="s">
        <v>359</v>
      </c>
      <c r="C10117" s="1157" t="s">
        <v>306</v>
      </c>
      <c r="D10117" s="325"/>
      <c r="E10117" s="1157" t="s">
        <v>1380</v>
      </c>
      <c r="F10117" s="1158">
        <v>1</v>
      </c>
    </row>
    <row r="10118" spans="2:6">
      <c r="B10118" s="1156" t="s">
        <v>359</v>
      </c>
      <c r="C10118" s="1157" t="s">
        <v>306</v>
      </c>
      <c r="D10118" s="325"/>
      <c r="E10118" s="1157" t="s">
        <v>281</v>
      </c>
      <c r="F10118" s="1158">
        <v>0</v>
      </c>
    </row>
    <row r="10119" spans="2:6">
      <c r="B10119" s="1156" t="s">
        <v>359</v>
      </c>
      <c r="C10119" s="1157" t="s">
        <v>306</v>
      </c>
      <c r="D10119" s="325"/>
      <c r="E10119" s="1157" t="s">
        <v>1384</v>
      </c>
      <c r="F10119" s="1158">
        <v>0</v>
      </c>
    </row>
    <row r="10120" spans="2:6">
      <c r="B10120" s="1156" t="s">
        <v>359</v>
      </c>
      <c r="C10120" s="1157" t="s">
        <v>311</v>
      </c>
      <c r="D10120" s="325"/>
      <c r="E10120" s="1157" t="s">
        <v>282</v>
      </c>
      <c r="F10120" s="1158">
        <v>0</v>
      </c>
    </row>
    <row r="10121" spans="2:6">
      <c r="B10121" s="1156" t="s">
        <v>359</v>
      </c>
      <c r="C10121" s="1157" t="s">
        <v>311</v>
      </c>
      <c r="D10121" s="325"/>
      <c r="E10121" s="1157" t="s">
        <v>283</v>
      </c>
      <c r="F10121" s="1158">
        <v>0</v>
      </c>
    </row>
    <row r="10122" spans="2:6">
      <c r="B10122" s="1156" t="s">
        <v>359</v>
      </c>
      <c r="C10122" s="1157" t="s">
        <v>311</v>
      </c>
      <c r="D10122" s="325"/>
      <c r="E10122" s="1157" t="s">
        <v>284</v>
      </c>
      <c r="F10122" s="1158">
        <v>0</v>
      </c>
    </row>
    <row r="10123" spans="2:6">
      <c r="B10123" s="1156" t="s">
        <v>359</v>
      </c>
      <c r="C10123" s="1157" t="s">
        <v>311</v>
      </c>
      <c r="D10123" s="325"/>
      <c r="E10123" s="1157" t="s">
        <v>1379</v>
      </c>
      <c r="F10123" s="1158">
        <v>1</v>
      </c>
    </row>
    <row r="10124" spans="2:6">
      <c r="B10124" s="1156" t="s">
        <v>359</v>
      </c>
      <c r="C10124" s="1157" t="s">
        <v>311</v>
      </c>
      <c r="D10124" s="325"/>
      <c r="E10124" s="1157" t="s">
        <v>285</v>
      </c>
      <c r="F10124" s="1158">
        <v>0</v>
      </c>
    </row>
    <row r="10125" spans="2:6">
      <c r="B10125" s="1156" t="s">
        <v>359</v>
      </c>
      <c r="C10125" s="1157" t="s">
        <v>311</v>
      </c>
      <c r="D10125" s="325"/>
      <c r="E10125" s="1157" t="s">
        <v>1380</v>
      </c>
      <c r="F10125" s="1158">
        <v>1</v>
      </c>
    </row>
    <row r="10126" spans="2:6">
      <c r="B10126" s="1156" t="s">
        <v>359</v>
      </c>
      <c r="C10126" s="1157" t="s">
        <v>311</v>
      </c>
      <c r="D10126" s="325"/>
      <c r="E10126" s="1157" t="s">
        <v>281</v>
      </c>
      <c r="F10126" s="1158">
        <v>0</v>
      </c>
    </row>
    <row r="10127" spans="2:6">
      <c r="B10127" s="1156" t="s">
        <v>359</v>
      </c>
      <c r="C10127" s="1157" t="s">
        <v>311</v>
      </c>
      <c r="D10127" s="325"/>
      <c r="E10127" s="1157" t="s">
        <v>1384</v>
      </c>
      <c r="F10127" s="1158">
        <v>0</v>
      </c>
    </row>
    <row r="10128" spans="2:6">
      <c r="B10128" s="1156" t="s">
        <v>359</v>
      </c>
      <c r="C10128" s="1157" t="s">
        <v>309</v>
      </c>
      <c r="D10128" s="325"/>
      <c r="E10128" s="1157" t="s">
        <v>282</v>
      </c>
      <c r="F10128" s="1158">
        <v>0</v>
      </c>
    </row>
    <row r="10129" spans="2:6">
      <c r="B10129" s="1156" t="s">
        <v>359</v>
      </c>
      <c r="C10129" s="1157" t="s">
        <v>309</v>
      </c>
      <c r="D10129" s="325"/>
      <c r="E10129" s="1157" t="s">
        <v>283</v>
      </c>
      <c r="F10129" s="1158">
        <v>0</v>
      </c>
    </row>
    <row r="10130" spans="2:6">
      <c r="B10130" s="1156" t="s">
        <v>359</v>
      </c>
      <c r="C10130" s="1157" t="s">
        <v>309</v>
      </c>
      <c r="D10130" s="325"/>
      <c r="E10130" s="1157" t="s">
        <v>284</v>
      </c>
      <c r="F10130" s="1158">
        <v>0</v>
      </c>
    </row>
    <row r="10131" spans="2:6">
      <c r="B10131" s="1156" t="s">
        <v>359</v>
      </c>
      <c r="C10131" s="1157" t="s">
        <v>309</v>
      </c>
      <c r="D10131" s="325"/>
      <c r="E10131" s="1157" t="s">
        <v>1379</v>
      </c>
      <c r="F10131" s="1158">
        <v>1</v>
      </c>
    </row>
    <row r="10132" spans="2:6">
      <c r="B10132" s="1156" t="s">
        <v>359</v>
      </c>
      <c r="C10132" s="1157" t="s">
        <v>309</v>
      </c>
      <c r="D10132" s="325"/>
      <c r="E10132" s="1157" t="s">
        <v>285</v>
      </c>
      <c r="F10132" s="1158">
        <v>0</v>
      </c>
    </row>
    <row r="10133" spans="2:6">
      <c r="B10133" s="1156" t="s">
        <v>359</v>
      </c>
      <c r="C10133" s="1157" t="s">
        <v>309</v>
      </c>
      <c r="D10133" s="325"/>
      <c r="E10133" s="1157" t="s">
        <v>1380</v>
      </c>
      <c r="F10133" s="1158">
        <v>1</v>
      </c>
    </row>
    <row r="10134" spans="2:6">
      <c r="B10134" s="1156" t="s">
        <v>359</v>
      </c>
      <c r="C10134" s="1157" t="s">
        <v>309</v>
      </c>
      <c r="D10134" s="325"/>
      <c r="E10134" s="1157" t="s">
        <v>281</v>
      </c>
      <c r="F10134" s="1158">
        <v>0</v>
      </c>
    </row>
    <row r="10135" spans="2:6">
      <c r="B10135" s="1156" t="s">
        <v>359</v>
      </c>
      <c r="C10135" s="1157" t="s">
        <v>309</v>
      </c>
      <c r="D10135" s="325"/>
      <c r="E10135" s="1157" t="s">
        <v>1384</v>
      </c>
      <c r="F10135" s="1158">
        <v>0</v>
      </c>
    </row>
    <row r="10136" spans="2:6">
      <c r="B10136" s="1156" t="s">
        <v>359</v>
      </c>
      <c r="C10136" s="1157" t="s">
        <v>307</v>
      </c>
      <c r="D10136" s="325"/>
      <c r="E10136" s="1157" t="s">
        <v>282</v>
      </c>
      <c r="F10136" s="1158">
        <v>0</v>
      </c>
    </row>
    <row r="10137" spans="2:6">
      <c r="B10137" s="1156" t="s">
        <v>359</v>
      </c>
      <c r="C10137" s="1157" t="s">
        <v>307</v>
      </c>
      <c r="D10137" s="325"/>
      <c r="E10137" s="1157" t="s">
        <v>283</v>
      </c>
      <c r="F10137" s="1158">
        <v>0</v>
      </c>
    </row>
    <row r="10138" spans="2:6">
      <c r="B10138" s="1156" t="s">
        <v>359</v>
      </c>
      <c r="C10138" s="1157" t="s">
        <v>307</v>
      </c>
      <c r="D10138" s="325"/>
      <c r="E10138" s="1157" t="s">
        <v>284</v>
      </c>
      <c r="F10138" s="1158">
        <v>0</v>
      </c>
    </row>
    <row r="10139" spans="2:6">
      <c r="B10139" s="1156" t="s">
        <v>359</v>
      </c>
      <c r="C10139" s="1157" t="s">
        <v>307</v>
      </c>
      <c r="D10139" s="325"/>
      <c r="E10139" s="1157" t="s">
        <v>1379</v>
      </c>
      <c r="F10139" s="1158">
        <v>1</v>
      </c>
    </row>
    <row r="10140" spans="2:6">
      <c r="B10140" s="1156" t="s">
        <v>359</v>
      </c>
      <c r="C10140" s="1157" t="s">
        <v>307</v>
      </c>
      <c r="D10140" s="325"/>
      <c r="E10140" s="1157" t="s">
        <v>285</v>
      </c>
      <c r="F10140" s="1158">
        <v>0</v>
      </c>
    </row>
    <row r="10141" spans="2:6">
      <c r="B10141" s="1156" t="s">
        <v>359</v>
      </c>
      <c r="C10141" s="1157" t="s">
        <v>307</v>
      </c>
      <c r="D10141" s="325"/>
      <c r="E10141" s="1157" t="s">
        <v>1380</v>
      </c>
      <c r="F10141" s="1158">
        <v>1</v>
      </c>
    </row>
    <row r="10142" spans="2:6">
      <c r="B10142" s="1156" t="s">
        <v>359</v>
      </c>
      <c r="C10142" s="1157" t="s">
        <v>307</v>
      </c>
      <c r="D10142" s="325"/>
      <c r="E10142" s="1157" t="s">
        <v>281</v>
      </c>
      <c r="F10142" s="1158">
        <v>0</v>
      </c>
    </row>
    <row r="10143" spans="2:6">
      <c r="B10143" s="1156" t="s">
        <v>359</v>
      </c>
      <c r="C10143" s="1157" t="s">
        <v>307</v>
      </c>
      <c r="D10143" s="325"/>
      <c r="E10143" s="1157" t="s">
        <v>1384</v>
      </c>
      <c r="F10143" s="1158">
        <v>0</v>
      </c>
    </row>
    <row r="10144" spans="2:6">
      <c r="B10144" s="1174" t="s">
        <v>577</v>
      </c>
      <c r="C10144" s="1175" t="s">
        <v>315</v>
      </c>
      <c r="D10144" s="325"/>
      <c r="E10144" s="1175" t="s">
        <v>282</v>
      </c>
      <c r="F10144" s="1176">
        <v>0.5</v>
      </c>
    </row>
    <row r="10145" spans="2:6">
      <c r="B10145" s="1174" t="s">
        <v>577</v>
      </c>
      <c r="C10145" s="1175" t="s">
        <v>315</v>
      </c>
      <c r="D10145" s="325"/>
      <c r="E10145" s="1175" t="s">
        <v>283</v>
      </c>
      <c r="F10145" s="1176">
        <v>1</v>
      </c>
    </row>
    <row r="10146" spans="2:6">
      <c r="B10146" s="1174" t="s">
        <v>577</v>
      </c>
      <c r="C10146" s="1175" t="s">
        <v>315</v>
      </c>
      <c r="D10146" s="325"/>
      <c r="E10146" s="1175" t="s">
        <v>284</v>
      </c>
      <c r="F10146" s="1176">
        <v>1</v>
      </c>
    </row>
    <row r="10147" spans="2:6">
      <c r="B10147" s="1174" t="s">
        <v>577</v>
      </c>
      <c r="C10147" s="1175" t="s">
        <v>315</v>
      </c>
      <c r="D10147" s="325"/>
      <c r="E10147" s="1175" t="s">
        <v>1379</v>
      </c>
      <c r="F10147" s="1176">
        <v>1</v>
      </c>
    </row>
    <row r="10148" spans="2:6">
      <c r="B10148" s="1174" t="s">
        <v>577</v>
      </c>
      <c r="C10148" s="1175" t="s">
        <v>315</v>
      </c>
      <c r="D10148" s="325"/>
      <c r="E10148" s="1175" t="s">
        <v>285</v>
      </c>
      <c r="F10148" s="1176">
        <v>1</v>
      </c>
    </row>
    <row r="10149" spans="2:6">
      <c r="B10149" s="1174" t="s">
        <v>577</v>
      </c>
      <c r="C10149" s="1175" t="s">
        <v>315</v>
      </c>
      <c r="D10149" s="325"/>
      <c r="E10149" s="1175" t="s">
        <v>1380</v>
      </c>
      <c r="F10149" s="1176">
        <v>1</v>
      </c>
    </row>
    <row r="10150" spans="2:6">
      <c r="B10150" s="1174" t="s">
        <v>577</v>
      </c>
      <c r="C10150" s="1175" t="s">
        <v>315</v>
      </c>
      <c r="D10150" s="325"/>
      <c r="E10150" s="1175" t="s">
        <v>281</v>
      </c>
      <c r="F10150" s="1176">
        <v>1</v>
      </c>
    </row>
    <row r="10151" spans="2:6">
      <c r="B10151" s="1174" t="s">
        <v>577</v>
      </c>
      <c r="C10151" s="1175" t="s">
        <v>315</v>
      </c>
      <c r="D10151" s="325"/>
      <c r="E10151" s="1175" t="s">
        <v>1384</v>
      </c>
      <c r="F10151" s="1176">
        <v>1</v>
      </c>
    </row>
    <row r="10152" spans="2:6">
      <c r="B10152" s="1174" t="s">
        <v>577</v>
      </c>
      <c r="C10152" s="1175" t="s">
        <v>313</v>
      </c>
      <c r="D10152" s="325"/>
      <c r="E10152" s="1175" t="s">
        <v>282</v>
      </c>
      <c r="F10152" s="1176">
        <v>0.5</v>
      </c>
    </row>
    <row r="10153" spans="2:6">
      <c r="B10153" s="1174" t="s">
        <v>577</v>
      </c>
      <c r="C10153" s="1175" t="s">
        <v>313</v>
      </c>
      <c r="D10153" s="325"/>
      <c r="E10153" s="1175" t="s">
        <v>283</v>
      </c>
      <c r="F10153" s="1176">
        <v>1</v>
      </c>
    </row>
    <row r="10154" spans="2:6">
      <c r="B10154" s="1174" t="s">
        <v>577</v>
      </c>
      <c r="C10154" s="1175" t="s">
        <v>313</v>
      </c>
      <c r="D10154" s="325"/>
      <c r="E10154" s="1175" t="s">
        <v>284</v>
      </c>
      <c r="F10154" s="1176">
        <v>1</v>
      </c>
    </row>
    <row r="10155" spans="2:6">
      <c r="B10155" s="1174" t="s">
        <v>577</v>
      </c>
      <c r="C10155" s="1175" t="s">
        <v>313</v>
      </c>
      <c r="D10155" s="325"/>
      <c r="E10155" s="1175" t="s">
        <v>1379</v>
      </c>
      <c r="F10155" s="1176">
        <v>1</v>
      </c>
    </row>
    <row r="10156" spans="2:6">
      <c r="B10156" s="1174" t="s">
        <v>577</v>
      </c>
      <c r="C10156" s="1175" t="s">
        <v>313</v>
      </c>
      <c r="D10156" s="325"/>
      <c r="E10156" s="1175" t="s">
        <v>285</v>
      </c>
      <c r="F10156" s="1176">
        <v>1</v>
      </c>
    </row>
    <row r="10157" spans="2:6">
      <c r="B10157" s="1174" t="s">
        <v>577</v>
      </c>
      <c r="C10157" s="1175" t="s">
        <v>313</v>
      </c>
      <c r="D10157" s="325"/>
      <c r="E10157" s="1175" t="s">
        <v>1380</v>
      </c>
      <c r="F10157" s="1176">
        <v>1</v>
      </c>
    </row>
    <row r="10158" spans="2:6">
      <c r="B10158" s="1174" t="s">
        <v>577</v>
      </c>
      <c r="C10158" s="1175" t="s">
        <v>313</v>
      </c>
      <c r="D10158" s="325"/>
      <c r="E10158" s="1175" t="s">
        <v>281</v>
      </c>
      <c r="F10158" s="1176">
        <v>1</v>
      </c>
    </row>
    <row r="10159" spans="2:6">
      <c r="B10159" s="1174" t="s">
        <v>577</v>
      </c>
      <c r="C10159" s="1175" t="s">
        <v>313</v>
      </c>
      <c r="D10159" s="325"/>
      <c r="E10159" s="1175" t="s">
        <v>1384</v>
      </c>
      <c r="F10159" s="1176">
        <v>1</v>
      </c>
    </row>
    <row r="10160" spans="2:6">
      <c r="B10160" s="1174" t="s">
        <v>577</v>
      </c>
      <c r="C10160" s="1175" t="s">
        <v>304</v>
      </c>
      <c r="D10160" s="325"/>
      <c r="E10160" s="1175" t="s">
        <v>282</v>
      </c>
      <c r="F10160" s="1176">
        <v>1</v>
      </c>
    </row>
    <row r="10161" spans="2:6">
      <c r="B10161" s="1174" t="s">
        <v>577</v>
      </c>
      <c r="C10161" s="1175" t="s">
        <v>304</v>
      </c>
      <c r="D10161" s="325"/>
      <c r="E10161" s="1175" t="s">
        <v>283</v>
      </c>
      <c r="F10161" s="1176">
        <v>0.84</v>
      </c>
    </row>
    <row r="10162" spans="2:6">
      <c r="B10162" s="1174" t="s">
        <v>577</v>
      </c>
      <c r="C10162" s="1175" t="s">
        <v>304</v>
      </c>
      <c r="D10162" s="325"/>
      <c r="E10162" s="1175" t="s">
        <v>284</v>
      </c>
      <c r="F10162" s="1176">
        <v>1</v>
      </c>
    </row>
    <row r="10163" spans="2:6">
      <c r="B10163" s="1174" t="s">
        <v>577</v>
      </c>
      <c r="C10163" s="1175" t="s">
        <v>304</v>
      </c>
      <c r="D10163" s="325"/>
      <c r="E10163" s="1175" t="s">
        <v>1379</v>
      </c>
      <c r="F10163" s="1176">
        <v>1</v>
      </c>
    </row>
    <row r="10164" spans="2:6">
      <c r="B10164" s="1174" t="s">
        <v>577</v>
      </c>
      <c r="C10164" s="1175" t="s">
        <v>304</v>
      </c>
      <c r="D10164" s="325"/>
      <c r="E10164" s="1175" t="s">
        <v>285</v>
      </c>
      <c r="F10164" s="1176">
        <v>1</v>
      </c>
    </row>
    <row r="10165" spans="2:6">
      <c r="B10165" s="1174" t="s">
        <v>577</v>
      </c>
      <c r="C10165" s="1175" t="s">
        <v>304</v>
      </c>
      <c r="D10165" s="325"/>
      <c r="E10165" s="1175" t="s">
        <v>1380</v>
      </c>
      <c r="F10165" s="1176">
        <v>1</v>
      </c>
    </row>
    <row r="10166" spans="2:6">
      <c r="B10166" s="1174" t="s">
        <v>577</v>
      </c>
      <c r="C10166" s="1175" t="s">
        <v>304</v>
      </c>
      <c r="D10166" s="325"/>
      <c r="E10166" s="1175" t="s">
        <v>281</v>
      </c>
      <c r="F10166" s="1176">
        <v>0.54</v>
      </c>
    </row>
    <row r="10167" spans="2:6">
      <c r="B10167" s="1174" t="s">
        <v>577</v>
      </c>
      <c r="C10167" s="1175" t="s">
        <v>304</v>
      </c>
      <c r="D10167" s="325"/>
      <c r="E10167" s="1175" t="s">
        <v>1384</v>
      </c>
      <c r="F10167" s="1176">
        <v>1</v>
      </c>
    </row>
    <row r="10168" spans="2:6">
      <c r="B10168" s="1174" t="s">
        <v>577</v>
      </c>
      <c r="C10168" s="1175" t="s">
        <v>300</v>
      </c>
      <c r="D10168" s="325" t="s">
        <v>800</v>
      </c>
      <c r="E10168" s="1175" t="s">
        <v>282</v>
      </c>
      <c r="F10168" s="1176">
        <v>1</v>
      </c>
    </row>
    <row r="10169" spans="2:6">
      <c r="B10169" s="1174" t="s">
        <v>577</v>
      </c>
      <c r="C10169" s="1175" t="s">
        <v>300</v>
      </c>
      <c r="D10169" s="325" t="s">
        <v>800</v>
      </c>
      <c r="E10169" s="1175" t="s">
        <v>283</v>
      </c>
      <c r="F10169" s="1176">
        <v>0.84</v>
      </c>
    </row>
    <row r="10170" spans="2:6">
      <c r="B10170" s="1174" t="s">
        <v>577</v>
      </c>
      <c r="C10170" s="1175" t="s">
        <v>300</v>
      </c>
      <c r="D10170" s="325" t="s">
        <v>800</v>
      </c>
      <c r="E10170" s="1175" t="s">
        <v>284</v>
      </c>
      <c r="F10170" s="1176">
        <v>1</v>
      </c>
    </row>
    <row r="10171" spans="2:6">
      <c r="B10171" s="1174" t="s">
        <v>577</v>
      </c>
      <c r="C10171" s="1175" t="s">
        <v>300</v>
      </c>
      <c r="D10171" s="325" t="s">
        <v>800</v>
      </c>
      <c r="E10171" s="1175" t="s">
        <v>1379</v>
      </c>
      <c r="F10171" s="1176">
        <v>1</v>
      </c>
    </row>
    <row r="10172" spans="2:6">
      <c r="B10172" s="1174" t="s">
        <v>577</v>
      </c>
      <c r="C10172" s="1175" t="s">
        <v>300</v>
      </c>
      <c r="D10172" s="325" t="s">
        <v>800</v>
      </c>
      <c r="E10172" s="1175" t="s">
        <v>285</v>
      </c>
      <c r="F10172" s="1176">
        <v>1</v>
      </c>
    </row>
    <row r="10173" spans="2:6">
      <c r="B10173" s="1174" t="s">
        <v>577</v>
      </c>
      <c r="C10173" s="1175" t="s">
        <v>300</v>
      </c>
      <c r="D10173" s="325" t="s">
        <v>800</v>
      </c>
      <c r="E10173" s="1175" t="s">
        <v>1380</v>
      </c>
      <c r="F10173" s="1176">
        <v>1</v>
      </c>
    </row>
    <row r="10174" spans="2:6">
      <c r="B10174" s="1174" t="s">
        <v>577</v>
      </c>
      <c r="C10174" s="1175" t="s">
        <v>300</v>
      </c>
      <c r="D10174" s="325" t="s">
        <v>800</v>
      </c>
      <c r="E10174" s="1175" t="s">
        <v>281</v>
      </c>
      <c r="F10174" s="1176">
        <v>0.54</v>
      </c>
    </row>
    <row r="10175" spans="2:6">
      <c r="B10175" s="1174" t="s">
        <v>577</v>
      </c>
      <c r="C10175" s="1175" t="s">
        <v>300</v>
      </c>
      <c r="D10175" s="325" t="s">
        <v>800</v>
      </c>
      <c r="E10175" s="1175" t="s">
        <v>1384</v>
      </c>
      <c r="F10175" s="1176">
        <v>1</v>
      </c>
    </row>
    <row r="10176" spans="2:6">
      <c r="B10176" s="1174" t="s">
        <v>577</v>
      </c>
      <c r="C10176" s="1175" t="s">
        <v>302</v>
      </c>
      <c r="D10176" s="325" t="s">
        <v>800</v>
      </c>
      <c r="E10176" s="1175" t="s">
        <v>282</v>
      </c>
      <c r="F10176" s="1176">
        <v>1</v>
      </c>
    </row>
    <row r="10177" spans="2:6">
      <c r="B10177" s="1174" t="s">
        <v>577</v>
      </c>
      <c r="C10177" s="1175" t="s">
        <v>302</v>
      </c>
      <c r="D10177" s="325" t="s">
        <v>800</v>
      </c>
      <c r="E10177" s="1175" t="s">
        <v>283</v>
      </c>
      <c r="F10177" s="1176">
        <v>0.84</v>
      </c>
    </row>
    <row r="10178" spans="2:6">
      <c r="B10178" s="1174" t="s">
        <v>577</v>
      </c>
      <c r="C10178" s="1175" t="s">
        <v>302</v>
      </c>
      <c r="D10178" s="325" t="s">
        <v>800</v>
      </c>
      <c r="E10178" s="1175" t="s">
        <v>284</v>
      </c>
      <c r="F10178" s="1176">
        <v>1</v>
      </c>
    </row>
    <row r="10179" spans="2:6">
      <c r="B10179" s="1174" t="s">
        <v>577</v>
      </c>
      <c r="C10179" s="1175" t="s">
        <v>302</v>
      </c>
      <c r="D10179" s="325" t="s">
        <v>800</v>
      </c>
      <c r="E10179" s="1175" t="s">
        <v>1379</v>
      </c>
      <c r="F10179" s="1176">
        <v>1</v>
      </c>
    </row>
    <row r="10180" spans="2:6">
      <c r="B10180" s="1174" t="s">
        <v>577</v>
      </c>
      <c r="C10180" s="1175" t="s">
        <v>302</v>
      </c>
      <c r="D10180" s="325" t="s">
        <v>800</v>
      </c>
      <c r="E10180" s="1175" t="s">
        <v>285</v>
      </c>
      <c r="F10180" s="1176">
        <v>1</v>
      </c>
    </row>
    <row r="10181" spans="2:6">
      <c r="B10181" s="1174" t="s">
        <v>577</v>
      </c>
      <c r="C10181" s="1175" t="s">
        <v>302</v>
      </c>
      <c r="D10181" s="325" t="s">
        <v>800</v>
      </c>
      <c r="E10181" s="1175" t="s">
        <v>1380</v>
      </c>
      <c r="F10181" s="1176">
        <v>1</v>
      </c>
    </row>
    <row r="10182" spans="2:6">
      <c r="B10182" s="1174" t="s">
        <v>577</v>
      </c>
      <c r="C10182" s="1175" t="s">
        <v>302</v>
      </c>
      <c r="D10182" s="325" t="s">
        <v>800</v>
      </c>
      <c r="E10182" s="1175" t="s">
        <v>281</v>
      </c>
      <c r="F10182" s="1176">
        <v>0.54</v>
      </c>
    </row>
    <row r="10183" spans="2:6">
      <c r="B10183" s="1174" t="s">
        <v>577</v>
      </c>
      <c r="C10183" s="1175" t="s">
        <v>302</v>
      </c>
      <c r="D10183" s="325" t="s">
        <v>800</v>
      </c>
      <c r="E10183" s="1175" t="s">
        <v>1384</v>
      </c>
      <c r="F10183" s="1176">
        <v>1</v>
      </c>
    </row>
    <row r="10184" spans="2:6">
      <c r="B10184" s="1174" t="s">
        <v>577</v>
      </c>
      <c r="C10184" s="1175" t="s">
        <v>308</v>
      </c>
      <c r="D10184" s="325"/>
      <c r="E10184" s="1175" t="s">
        <v>282</v>
      </c>
      <c r="F10184" s="1176">
        <v>0.5</v>
      </c>
    </row>
    <row r="10185" spans="2:6">
      <c r="B10185" s="1174" t="s">
        <v>577</v>
      </c>
      <c r="C10185" s="1175" t="s">
        <v>308</v>
      </c>
      <c r="D10185" s="325"/>
      <c r="E10185" s="1175" t="s">
        <v>283</v>
      </c>
      <c r="F10185" s="1176">
        <v>1</v>
      </c>
    </row>
    <row r="10186" spans="2:6">
      <c r="B10186" s="1174" t="s">
        <v>577</v>
      </c>
      <c r="C10186" s="1175" t="s">
        <v>308</v>
      </c>
      <c r="D10186" s="325"/>
      <c r="E10186" s="1175" t="s">
        <v>284</v>
      </c>
      <c r="F10186" s="1176">
        <v>1</v>
      </c>
    </row>
    <row r="10187" spans="2:6">
      <c r="B10187" s="1174" t="s">
        <v>577</v>
      </c>
      <c r="C10187" s="1175" t="s">
        <v>308</v>
      </c>
      <c r="D10187" s="325"/>
      <c r="E10187" s="1175" t="s">
        <v>1379</v>
      </c>
      <c r="F10187" s="1176">
        <v>1</v>
      </c>
    </row>
    <row r="10188" spans="2:6">
      <c r="B10188" s="1174" t="s">
        <v>577</v>
      </c>
      <c r="C10188" s="1175" t="s">
        <v>308</v>
      </c>
      <c r="D10188" s="325"/>
      <c r="E10188" s="1175" t="s">
        <v>285</v>
      </c>
      <c r="F10188" s="1176">
        <v>1</v>
      </c>
    </row>
    <row r="10189" spans="2:6">
      <c r="B10189" s="1174" t="s">
        <v>577</v>
      </c>
      <c r="C10189" s="1175" t="s">
        <v>308</v>
      </c>
      <c r="D10189" s="325"/>
      <c r="E10189" s="1175" t="s">
        <v>1380</v>
      </c>
      <c r="F10189" s="1176">
        <v>1</v>
      </c>
    </row>
    <row r="10190" spans="2:6">
      <c r="B10190" s="1174" t="s">
        <v>577</v>
      </c>
      <c r="C10190" s="1175" t="s">
        <v>308</v>
      </c>
      <c r="D10190" s="325"/>
      <c r="E10190" s="1175" t="s">
        <v>281</v>
      </c>
      <c r="F10190" s="1176">
        <v>1</v>
      </c>
    </row>
    <row r="10191" spans="2:6">
      <c r="B10191" s="1174" t="s">
        <v>577</v>
      </c>
      <c r="C10191" s="1175" t="s">
        <v>308</v>
      </c>
      <c r="D10191" s="325"/>
      <c r="E10191" s="1175" t="s">
        <v>1384</v>
      </c>
      <c r="F10191" s="1176">
        <v>1</v>
      </c>
    </row>
    <row r="10192" spans="2:6">
      <c r="B10192" s="1174" t="s">
        <v>577</v>
      </c>
      <c r="C10192" s="1175" t="s">
        <v>306</v>
      </c>
      <c r="D10192" s="325"/>
      <c r="E10192" s="1175" t="s">
        <v>282</v>
      </c>
      <c r="F10192" s="1176">
        <v>0.5</v>
      </c>
    </row>
    <row r="10193" spans="2:6">
      <c r="B10193" s="1174" t="s">
        <v>577</v>
      </c>
      <c r="C10193" s="1175" t="s">
        <v>306</v>
      </c>
      <c r="D10193" s="325"/>
      <c r="E10193" s="1175" t="s">
        <v>283</v>
      </c>
      <c r="F10193" s="1176">
        <v>1</v>
      </c>
    </row>
    <row r="10194" spans="2:6">
      <c r="B10194" s="1174" t="s">
        <v>577</v>
      </c>
      <c r="C10194" s="1175" t="s">
        <v>306</v>
      </c>
      <c r="D10194" s="325"/>
      <c r="E10194" s="1175" t="s">
        <v>284</v>
      </c>
      <c r="F10194" s="1176">
        <v>1</v>
      </c>
    </row>
    <row r="10195" spans="2:6">
      <c r="B10195" s="1174" t="s">
        <v>577</v>
      </c>
      <c r="C10195" s="1175" t="s">
        <v>306</v>
      </c>
      <c r="D10195" s="325"/>
      <c r="E10195" s="1175" t="s">
        <v>1379</v>
      </c>
      <c r="F10195" s="1176">
        <v>1</v>
      </c>
    </row>
    <row r="10196" spans="2:6">
      <c r="B10196" s="1174" t="s">
        <v>577</v>
      </c>
      <c r="C10196" s="1175" t="s">
        <v>306</v>
      </c>
      <c r="D10196" s="325"/>
      <c r="E10196" s="1175" t="s">
        <v>285</v>
      </c>
      <c r="F10196" s="1176">
        <v>1</v>
      </c>
    </row>
    <row r="10197" spans="2:6">
      <c r="B10197" s="1174" t="s">
        <v>577</v>
      </c>
      <c r="C10197" s="1175" t="s">
        <v>306</v>
      </c>
      <c r="D10197" s="325"/>
      <c r="E10197" s="1175" t="s">
        <v>1380</v>
      </c>
      <c r="F10197" s="1176">
        <v>1</v>
      </c>
    </row>
    <row r="10198" spans="2:6">
      <c r="B10198" s="1174" t="s">
        <v>577</v>
      </c>
      <c r="C10198" s="1175" t="s">
        <v>306</v>
      </c>
      <c r="D10198" s="325"/>
      <c r="E10198" s="1175" t="s">
        <v>281</v>
      </c>
      <c r="F10198" s="1176">
        <v>1</v>
      </c>
    </row>
    <row r="10199" spans="2:6">
      <c r="B10199" s="1174" t="s">
        <v>577</v>
      </c>
      <c r="C10199" s="1175" t="s">
        <v>306</v>
      </c>
      <c r="D10199" s="325"/>
      <c r="E10199" s="1175" t="s">
        <v>1384</v>
      </c>
      <c r="F10199" s="1176">
        <v>1</v>
      </c>
    </row>
    <row r="10200" spans="2:6">
      <c r="B10200" s="1174" t="s">
        <v>577</v>
      </c>
      <c r="C10200" s="1175" t="s">
        <v>311</v>
      </c>
      <c r="D10200" s="325"/>
      <c r="E10200" s="1175" t="s">
        <v>282</v>
      </c>
      <c r="F10200" s="1176">
        <v>0.5</v>
      </c>
    </row>
    <row r="10201" spans="2:6">
      <c r="B10201" s="1174" t="s">
        <v>577</v>
      </c>
      <c r="C10201" s="1175" t="s">
        <v>311</v>
      </c>
      <c r="D10201" s="325"/>
      <c r="E10201" s="1175" t="s">
        <v>283</v>
      </c>
      <c r="F10201" s="1176">
        <v>1</v>
      </c>
    </row>
    <row r="10202" spans="2:6">
      <c r="B10202" s="1174" t="s">
        <v>577</v>
      </c>
      <c r="C10202" s="1175" t="s">
        <v>311</v>
      </c>
      <c r="D10202" s="325"/>
      <c r="E10202" s="1175" t="s">
        <v>284</v>
      </c>
      <c r="F10202" s="1176">
        <v>1</v>
      </c>
    </row>
    <row r="10203" spans="2:6">
      <c r="B10203" s="1174" t="s">
        <v>577</v>
      </c>
      <c r="C10203" s="1175" t="s">
        <v>311</v>
      </c>
      <c r="D10203" s="325"/>
      <c r="E10203" s="1175" t="s">
        <v>1379</v>
      </c>
      <c r="F10203" s="1176">
        <v>1</v>
      </c>
    </row>
    <row r="10204" spans="2:6">
      <c r="B10204" s="1174" t="s">
        <v>577</v>
      </c>
      <c r="C10204" s="1175" t="s">
        <v>311</v>
      </c>
      <c r="D10204" s="325"/>
      <c r="E10204" s="1175" t="s">
        <v>285</v>
      </c>
      <c r="F10204" s="1176">
        <v>1</v>
      </c>
    </row>
    <row r="10205" spans="2:6">
      <c r="B10205" s="1174" t="s">
        <v>577</v>
      </c>
      <c r="C10205" s="1175" t="s">
        <v>311</v>
      </c>
      <c r="D10205" s="325"/>
      <c r="E10205" s="1175" t="s">
        <v>1380</v>
      </c>
      <c r="F10205" s="1176">
        <v>1</v>
      </c>
    </row>
    <row r="10206" spans="2:6">
      <c r="B10206" s="1174" t="s">
        <v>577</v>
      </c>
      <c r="C10206" s="1175" t="s">
        <v>311</v>
      </c>
      <c r="D10206" s="325"/>
      <c r="E10206" s="1175" t="s">
        <v>281</v>
      </c>
      <c r="F10206" s="1176">
        <v>1</v>
      </c>
    </row>
    <row r="10207" spans="2:6">
      <c r="B10207" s="1174" t="s">
        <v>577</v>
      </c>
      <c r="C10207" s="1175" t="s">
        <v>311</v>
      </c>
      <c r="D10207" s="325"/>
      <c r="E10207" s="1175" t="s">
        <v>1384</v>
      </c>
      <c r="F10207" s="1176">
        <v>1</v>
      </c>
    </row>
    <row r="10208" spans="2:6">
      <c r="B10208" s="1174" t="s">
        <v>577</v>
      </c>
      <c r="C10208" s="1175" t="s">
        <v>309</v>
      </c>
      <c r="D10208" s="325"/>
      <c r="E10208" s="1175" t="s">
        <v>282</v>
      </c>
      <c r="F10208" s="1176">
        <v>0.5</v>
      </c>
    </row>
    <row r="10209" spans="2:6">
      <c r="B10209" s="1174" t="s">
        <v>577</v>
      </c>
      <c r="C10209" s="1175" t="s">
        <v>309</v>
      </c>
      <c r="D10209" s="325"/>
      <c r="E10209" s="1175" t="s">
        <v>283</v>
      </c>
      <c r="F10209" s="1176">
        <v>1</v>
      </c>
    </row>
    <row r="10210" spans="2:6">
      <c r="B10210" s="1174" t="s">
        <v>577</v>
      </c>
      <c r="C10210" s="1175" t="s">
        <v>309</v>
      </c>
      <c r="D10210" s="325"/>
      <c r="E10210" s="1175" t="s">
        <v>284</v>
      </c>
      <c r="F10210" s="1176">
        <v>1</v>
      </c>
    </row>
    <row r="10211" spans="2:6">
      <c r="B10211" s="1174" t="s">
        <v>577</v>
      </c>
      <c r="C10211" s="1175" t="s">
        <v>309</v>
      </c>
      <c r="D10211" s="325"/>
      <c r="E10211" s="1175" t="s">
        <v>1379</v>
      </c>
      <c r="F10211" s="1176">
        <v>1</v>
      </c>
    </row>
    <row r="10212" spans="2:6">
      <c r="B10212" s="1174" t="s">
        <v>577</v>
      </c>
      <c r="C10212" s="1175" t="s">
        <v>309</v>
      </c>
      <c r="D10212" s="325"/>
      <c r="E10212" s="1175" t="s">
        <v>285</v>
      </c>
      <c r="F10212" s="1176">
        <v>1</v>
      </c>
    </row>
    <row r="10213" spans="2:6">
      <c r="B10213" s="1174" t="s">
        <v>577</v>
      </c>
      <c r="C10213" s="1175" t="s">
        <v>309</v>
      </c>
      <c r="D10213" s="325"/>
      <c r="E10213" s="1175" t="s">
        <v>1380</v>
      </c>
      <c r="F10213" s="1176">
        <v>1</v>
      </c>
    </row>
    <row r="10214" spans="2:6">
      <c r="B10214" s="1174" t="s">
        <v>577</v>
      </c>
      <c r="C10214" s="1175" t="s">
        <v>309</v>
      </c>
      <c r="D10214" s="325"/>
      <c r="E10214" s="1175" t="s">
        <v>281</v>
      </c>
      <c r="F10214" s="1176">
        <v>1</v>
      </c>
    </row>
    <row r="10215" spans="2:6">
      <c r="B10215" s="1174" t="s">
        <v>577</v>
      </c>
      <c r="C10215" s="1175" t="s">
        <v>309</v>
      </c>
      <c r="D10215" s="325"/>
      <c r="E10215" s="1175" t="s">
        <v>1384</v>
      </c>
      <c r="F10215" s="1176">
        <v>1</v>
      </c>
    </row>
    <row r="10216" spans="2:6">
      <c r="B10216" s="1174" t="s">
        <v>577</v>
      </c>
      <c r="C10216" s="1175" t="s">
        <v>307</v>
      </c>
      <c r="D10216" s="325"/>
      <c r="E10216" s="1175" t="s">
        <v>282</v>
      </c>
      <c r="F10216" s="1176">
        <v>0.5</v>
      </c>
    </row>
    <row r="10217" spans="2:6">
      <c r="B10217" s="1174" t="s">
        <v>577</v>
      </c>
      <c r="C10217" s="1175" t="s">
        <v>307</v>
      </c>
      <c r="D10217" s="325"/>
      <c r="E10217" s="1175" t="s">
        <v>283</v>
      </c>
      <c r="F10217" s="1176">
        <v>1</v>
      </c>
    </row>
    <row r="10218" spans="2:6">
      <c r="B10218" s="1174" t="s">
        <v>577</v>
      </c>
      <c r="C10218" s="1175" t="s">
        <v>307</v>
      </c>
      <c r="D10218" s="325"/>
      <c r="E10218" s="1175" t="s">
        <v>284</v>
      </c>
      <c r="F10218" s="1176">
        <v>1</v>
      </c>
    </row>
    <row r="10219" spans="2:6">
      <c r="B10219" s="1174" t="s">
        <v>577</v>
      </c>
      <c r="C10219" s="1175" t="s">
        <v>307</v>
      </c>
      <c r="D10219" s="325"/>
      <c r="E10219" s="1175" t="s">
        <v>1379</v>
      </c>
      <c r="F10219" s="1176">
        <v>1</v>
      </c>
    </row>
    <row r="10220" spans="2:6">
      <c r="B10220" s="1174" t="s">
        <v>577</v>
      </c>
      <c r="C10220" s="1175" t="s">
        <v>307</v>
      </c>
      <c r="D10220" s="325"/>
      <c r="E10220" s="1175" t="s">
        <v>285</v>
      </c>
      <c r="F10220" s="1176">
        <v>1</v>
      </c>
    </row>
    <row r="10221" spans="2:6">
      <c r="B10221" s="1174" t="s">
        <v>577</v>
      </c>
      <c r="C10221" s="1175" t="s">
        <v>307</v>
      </c>
      <c r="D10221" s="325"/>
      <c r="E10221" s="1175" t="s">
        <v>1380</v>
      </c>
      <c r="F10221" s="1176">
        <v>1</v>
      </c>
    </row>
    <row r="10222" spans="2:6">
      <c r="B10222" s="1174" t="s">
        <v>577</v>
      </c>
      <c r="C10222" s="1175" t="s">
        <v>307</v>
      </c>
      <c r="D10222" s="325"/>
      <c r="E10222" s="1175" t="s">
        <v>281</v>
      </c>
      <c r="F10222" s="1176">
        <v>1</v>
      </c>
    </row>
    <row r="10223" spans="2:6">
      <c r="B10223" s="1174" t="s">
        <v>577</v>
      </c>
      <c r="C10223" s="1175" t="s">
        <v>307</v>
      </c>
      <c r="D10223" s="325"/>
      <c r="E10223" s="1175" t="s">
        <v>1384</v>
      </c>
      <c r="F10223" s="1176">
        <v>1</v>
      </c>
    </row>
    <row r="10224" spans="2:6">
      <c r="B10224" s="1177" t="s">
        <v>607</v>
      </c>
      <c r="C10224" s="1178" t="s">
        <v>315</v>
      </c>
      <c r="D10224" s="325"/>
      <c r="E10224" s="1178" t="s">
        <v>282</v>
      </c>
      <c r="F10224" s="1179">
        <v>0.5</v>
      </c>
    </row>
    <row r="10225" spans="1:6">
      <c r="A10225" s="243"/>
      <c r="B10225" s="1177" t="s">
        <v>607</v>
      </c>
      <c r="C10225" s="1178" t="s">
        <v>315</v>
      </c>
      <c r="D10225" s="325"/>
      <c r="E10225" s="1178" t="s">
        <v>283</v>
      </c>
      <c r="F10225" s="1179">
        <v>1</v>
      </c>
    </row>
    <row r="10226" spans="1:6">
      <c r="A10226" s="243"/>
      <c r="B10226" s="1177" t="s">
        <v>607</v>
      </c>
      <c r="C10226" s="1178" t="s">
        <v>315</v>
      </c>
      <c r="D10226" s="325"/>
      <c r="E10226" s="1178" t="s">
        <v>284</v>
      </c>
      <c r="F10226" s="1179">
        <v>1</v>
      </c>
    </row>
    <row r="10227" spans="1:6">
      <c r="A10227" s="243"/>
      <c r="B10227" s="1177" t="s">
        <v>607</v>
      </c>
      <c r="C10227" s="1178" t="s">
        <v>315</v>
      </c>
      <c r="D10227" s="325"/>
      <c r="E10227" s="1178" t="s">
        <v>1379</v>
      </c>
      <c r="F10227" s="1179">
        <v>1</v>
      </c>
    </row>
    <row r="10228" spans="1:6">
      <c r="B10228" s="1177" t="s">
        <v>607</v>
      </c>
      <c r="C10228" s="1178" t="s">
        <v>315</v>
      </c>
      <c r="D10228" s="325"/>
      <c r="E10228" s="1178" t="s">
        <v>285</v>
      </c>
      <c r="F10228" s="1179">
        <v>1</v>
      </c>
    </row>
    <row r="10229" spans="1:6">
      <c r="B10229" s="1177" t="s">
        <v>607</v>
      </c>
      <c r="C10229" s="1178" t="s">
        <v>315</v>
      </c>
      <c r="D10229" s="325"/>
      <c r="E10229" s="1178" t="s">
        <v>1380</v>
      </c>
      <c r="F10229" s="1179">
        <v>1</v>
      </c>
    </row>
    <row r="10230" spans="1:6">
      <c r="B10230" s="1177" t="s">
        <v>607</v>
      </c>
      <c r="C10230" s="1178" t="s">
        <v>315</v>
      </c>
      <c r="D10230" s="325"/>
      <c r="E10230" s="1178" t="s">
        <v>281</v>
      </c>
      <c r="F10230" s="1179">
        <v>1</v>
      </c>
    </row>
    <row r="10231" spans="1:6">
      <c r="B10231" s="1177" t="s">
        <v>607</v>
      </c>
      <c r="C10231" s="1178" t="s">
        <v>315</v>
      </c>
      <c r="D10231" s="325"/>
      <c r="E10231" s="1178" t="s">
        <v>1384</v>
      </c>
      <c r="F10231" s="1179">
        <v>1</v>
      </c>
    </row>
    <row r="10232" spans="1:6">
      <c r="B10232" s="1177" t="s">
        <v>607</v>
      </c>
      <c r="C10232" s="1178" t="s">
        <v>313</v>
      </c>
      <c r="D10232" s="325"/>
      <c r="E10232" s="1178" t="s">
        <v>282</v>
      </c>
      <c r="F10232" s="1179">
        <v>0.5</v>
      </c>
    </row>
    <row r="10233" spans="1:6">
      <c r="B10233" s="1177" t="s">
        <v>607</v>
      </c>
      <c r="C10233" s="1178" t="s">
        <v>313</v>
      </c>
      <c r="D10233" s="325"/>
      <c r="E10233" s="1178" t="s">
        <v>283</v>
      </c>
      <c r="F10233" s="1179">
        <v>1</v>
      </c>
    </row>
    <row r="10234" spans="1:6">
      <c r="B10234" s="1177" t="s">
        <v>607</v>
      </c>
      <c r="C10234" s="1178" t="s">
        <v>313</v>
      </c>
      <c r="D10234" s="325"/>
      <c r="E10234" s="1178" t="s">
        <v>284</v>
      </c>
      <c r="F10234" s="1179">
        <v>1</v>
      </c>
    </row>
    <row r="10235" spans="1:6">
      <c r="B10235" s="1177" t="s">
        <v>607</v>
      </c>
      <c r="C10235" s="1178" t="s">
        <v>313</v>
      </c>
      <c r="D10235" s="325"/>
      <c r="E10235" s="1178" t="s">
        <v>1379</v>
      </c>
      <c r="F10235" s="1179">
        <v>1</v>
      </c>
    </row>
    <row r="10236" spans="1:6">
      <c r="B10236" s="1177" t="s">
        <v>607</v>
      </c>
      <c r="C10236" s="1178" t="s">
        <v>313</v>
      </c>
      <c r="D10236" s="325"/>
      <c r="E10236" s="1178" t="s">
        <v>285</v>
      </c>
      <c r="F10236" s="1179">
        <v>1</v>
      </c>
    </row>
    <row r="10237" spans="1:6">
      <c r="B10237" s="1177" t="s">
        <v>607</v>
      </c>
      <c r="C10237" s="1178" t="s">
        <v>313</v>
      </c>
      <c r="D10237" s="325"/>
      <c r="E10237" s="1178" t="s">
        <v>1380</v>
      </c>
      <c r="F10237" s="1179">
        <v>1</v>
      </c>
    </row>
    <row r="10238" spans="1:6">
      <c r="B10238" s="1177" t="s">
        <v>607</v>
      </c>
      <c r="C10238" s="1178" t="s">
        <v>313</v>
      </c>
      <c r="D10238" s="325"/>
      <c r="E10238" s="1178" t="s">
        <v>281</v>
      </c>
      <c r="F10238" s="1179">
        <v>1</v>
      </c>
    </row>
    <row r="10239" spans="1:6">
      <c r="B10239" s="1177" t="s">
        <v>607</v>
      </c>
      <c r="C10239" s="1178" t="s">
        <v>313</v>
      </c>
      <c r="D10239" s="325"/>
      <c r="E10239" s="1178" t="s">
        <v>1384</v>
      </c>
      <c r="F10239" s="1179">
        <v>1</v>
      </c>
    </row>
    <row r="10240" spans="1:6">
      <c r="B10240" s="1177" t="s">
        <v>607</v>
      </c>
      <c r="C10240" s="1178" t="s">
        <v>304</v>
      </c>
      <c r="D10240" s="325"/>
      <c r="E10240" s="1178" t="s">
        <v>282</v>
      </c>
      <c r="F10240" s="1179">
        <v>1</v>
      </c>
    </row>
    <row r="10241" spans="2:6">
      <c r="B10241" s="1177" t="s">
        <v>607</v>
      </c>
      <c r="C10241" s="1178" t="s">
        <v>304</v>
      </c>
      <c r="D10241" s="325"/>
      <c r="E10241" s="1178" t="s">
        <v>283</v>
      </c>
      <c r="F10241" s="1179">
        <v>0.84</v>
      </c>
    </row>
    <row r="10242" spans="2:6">
      <c r="B10242" s="1177" t="s">
        <v>607</v>
      </c>
      <c r="C10242" s="1178" t="s">
        <v>304</v>
      </c>
      <c r="D10242" s="325"/>
      <c r="E10242" s="1178" t="s">
        <v>284</v>
      </c>
      <c r="F10242" s="1179">
        <v>1</v>
      </c>
    </row>
    <row r="10243" spans="2:6">
      <c r="B10243" s="1177" t="s">
        <v>607</v>
      </c>
      <c r="C10243" s="1178" t="s">
        <v>304</v>
      </c>
      <c r="D10243" s="325"/>
      <c r="E10243" s="1178" t="s">
        <v>1379</v>
      </c>
      <c r="F10243" s="1179">
        <v>1</v>
      </c>
    </row>
    <row r="10244" spans="2:6">
      <c r="B10244" s="1177" t="s">
        <v>607</v>
      </c>
      <c r="C10244" s="1178" t="s">
        <v>304</v>
      </c>
      <c r="D10244" s="325"/>
      <c r="E10244" s="1178" t="s">
        <v>285</v>
      </c>
      <c r="F10244" s="1179">
        <v>1</v>
      </c>
    </row>
    <row r="10245" spans="2:6">
      <c r="B10245" s="1177" t="s">
        <v>607</v>
      </c>
      <c r="C10245" s="1178" t="s">
        <v>304</v>
      </c>
      <c r="D10245" s="325"/>
      <c r="E10245" s="1178" t="s">
        <v>1380</v>
      </c>
      <c r="F10245" s="1179">
        <v>1</v>
      </c>
    </row>
    <row r="10246" spans="2:6">
      <c r="B10246" s="1177" t="s">
        <v>607</v>
      </c>
      <c r="C10246" s="1178" t="s">
        <v>304</v>
      </c>
      <c r="D10246" s="325"/>
      <c r="E10246" s="1178" t="s">
        <v>281</v>
      </c>
      <c r="F10246" s="1179">
        <v>0.54</v>
      </c>
    </row>
    <row r="10247" spans="2:6">
      <c r="B10247" s="1177" t="s">
        <v>607</v>
      </c>
      <c r="C10247" s="1178" t="s">
        <v>304</v>
      </c>
      <c r="D10247" s="325"/>
      <c r="E10247" s="1178" t="s">
        <v>1384</v>
      </c>
      <c r="F10247" s="1179">
        <v>1</v>
      </c>
    </row>
    <row r="10248" spans="2:6">
      <c r="B10248" s="1177" t="s">
        <v>607</v>
      </c>
      <c r="C10248" s="1178" t="s">
        <v>300</v>
      </c>
      <c r="D10248" s="325" t="s">
        <v>800</v>
      </c>
      <c r="E10248" s="1178" t="s">
        <v>282</v>
      </c>
      <c r="F10248" s="1179">
        <v>1</v>
      </c>
    </row>
    <row r="10249" spans="2:6">
      <c r="B10249" s="1177" t="s">
        <v>607</v>
      </c>
      <c r="C10249" s="1178" t="s">
        <v>300</v>
      </c>
      <c r="D10249" s="325" t="s">
        <v>800</v>
      </c>
      <c r="E10249" s="1178" t="s">
        <v>283</v>
      </c>
      <c r="F10249" s="1179">
        <v>0.84</v>
      </c>
    </row>
    <row r="10250" spans="2:6">
      <c r="B10250" s="1177" t="s">
        <v>607</v>
      </c>
      <c r="C10250" s="1178" t="s">
        <v>300</v>
      </c>
      <c r="D10250" s="325" t="s">
        <v>800</v>
      </c>
      <c r="E10250" s="1178" t="s">
        <v>284</v>
      </c>
      <c r="F10250" s="1179">
        <v>1</v>
      </c>
    </row>
    <row r="10251" spans="2:6">
      <c r="B10251" s="1177" t="s">
        <v>607</v>
      </c>
      <c r="C10251" s="1178" t="s">
        <v>300</v>
      </c>
      <c r="D10251" s="325" t="s">
        <v>800</v>
      </c>
      <c r="E10251" s="1178" t="s">
        <v>1379</v>
      </c>
      <c r="F10251" s="1179">
        <v>1</v>
      </c>
    </row>
    <row r="10252" spans="2:6">
      <c r="B10252" s="1177" t="s">
        <v>607</v>
      </c>
      <c r="C10252" s="1178" t="s">
        <v>300</v>
      </c>
      <c r="D10252" s="325" t="s">
        <v>800</v>
      </c>
      <c r="E10252" s="1178" t="s">
        <v>285</v>
      </c>
      <c r="F10252" s="1179">
        <v>1</v>
      </c>
    </row>
    <row r="10253" spans="2:6">
      <c r="B10253" s="1177" t="s">
        <v>607</v>
      </c>
      <c r="C10253" s="1178" t="s">
        <v>300</v>
      </c>
      <c r="D10253" s="325" t="s">
        <v>800</v>
      </c>
      <c r="E10253" s="1178" t="s">
        <v>1380</v>
      </c>
      <c r="F10253" s="1179">
        <v>1</v>
      </c>
    </row>
    <row r="10254" spans="2:6">
      <c r="B10254" s="1177" t="s">
        <v>607</v>
      </c>
      <c r="C10254" s="1178" t="s">
        <v>300</v>
      </c>
      <c r="D10254" s="325" t="s">
        <v>800</v>
      </c>
      <c r="E10254" s="1178" t="s">
        <v>281</v>
      </c>
      <c r="F10254" s="1179">
        <v>0.54</v>
      </c>
    </row>
    <row r="10255" spans="2:6">
      <c r="B10255" s="1177" t="s">
        <v>607</v>
      </c>
      <c r="C10255" s="1178" t="s">
        <v>300</v>
      </c>
      <c r="D10255" s="325" t="s">
        <v>800</v>
      </c>
      <c r="E10255" s="1178" t="s">
        <v>1384</v>
      </c>
      <c r="F10255" s="1179">
        <v>1</v>
      </c>
    </row>
    <row r="10256" spans="2:6">
      <c r="B10256" s="1177" t="s">
        <v>607</v>
      </c>
      <c r="C10256" s="1178" t="s">
        <v>302</v>
      </c>
      <c r="D10256" s="325" t="s">
        <v>800</v>
      </c>
      <c r="E10256" s="1178" t="s">
        <v>282</v>
      </c>
      <c r="F10256" s="1179">
        <v>1</v>
      </c>
    </row>
    <row r="10257" spans="2:6">
      <c r="B10257" s="1177" t="s">
        <v>607</v>
      </c>
      <c r="C10257" s="1178" t="s">
        <v>302</v>
      </c>
      <c r="D10257" s="325" t="s">
        <v>800</v>
      </c>
      <c r="E10257" s="1178" t="s">
        <v>283</v>
      </c>
      <c r="F10257" s="1179">
        <v>0.84</v>
      </c>
    </row>
    <row r="10258" spans="2:6">
      <c r="B10258" s="1177" t="s">
        <v>607</v>
      </c>
      <c r="C10258" s="1178" t="s">
        <v>302</v>
      </c>
      <c r="D10258" s="325" t="s">
        <v>800</v>
      </c>
      <c r="E10258" s="1178" t="s">
        <v>284</v>
      </c>
      <c r="F10258" s="1179">
        <v>1</v>
      </c>
    </row>
    <row r="10259" spans="2:6">
      <c r="B10259" s="1177" t="s">
        <v>607</v>
      </c>
      <c r="C10259" s="1178" t="s">
        <v>302</v>
      </c>
      <c r="D10259" s="325" t="s">
        <v>800</v>
      </c>
      <c r="E10259" s="1178" t="s">
        <v>1379</v>
      </c>
      <c r="F10259" s="1179">
        <v>1</v>
      </c>
    </row>
    <row r="10260" spans="2:6">
      <c r="B10260" s="1177" t="s">
        <v>607</v>
      </c>
      <c r="C10260" s="1178" t="s">
        <v>302</v>
      </c>
      <c r="D10260" s="325" t="s">
        <v>800</v>
      </c>
      <c r="E10260" s="1178" t="s">
        <v>285</v>
      </c>
      <c r="F10260" s="1179">
        <v>1</v>
      </c>
    </row>
    <row r="10261" spans="2:6">
      <c r="B10261" s="1177" t="s">
        <v>607</v>
      </c>
      <c r="C10261" s="1178" t="s">
        <v>302</v>
      </c>
      <c r="D10261" s="325" t="s">
        <v>800</v>
      </c>
      <c r="E10261" s="1178" t="s">
        <v>1380</v>
      </c>
      <c r="F10261" s="1179">
        <v>1</v>
      </c>
    </row>
    <row r="10262" spans="2:6">
      <c r="B10262" s="1177" t="s">
        <v>607</v>
      </c>
      <c r="C10262" s="1178" t="s">
        <v>302</v>
      </c>
      <c r="D10262" s="325" t="s">
        <v>800</v>
      </c>
      <c r="E10262" s="1178" t="s">
        <v>281</v>
      </c>
      <c r="F10262" s="1179">
        <v>0.54</v>
      </c>
    </row>
    <row r="10263" spans="2:6">
      <c r="B10263" s="1177" t="s">
        <v>607</v>
      </c>
      <c r="C10263" s="1178" t="s">
        <v>302</v>
      </c>
      <c r="D10263" s="325" t="s">
        <v>800</v>
      </c>
      <c r="E10263" s="1178" t="s">
        <v>1384</v>
      </c>
      <c r="F10263" s="1179">
        <v>1</v>
      </c>
    </row>
    <row r="10264" spans="2:6">
      <c r="B10264" s="1177" t="s">
        <v>607</v>
      </c>
      <c r="C10264" s="1178" t="s">
        <v>308</v>
      </c>
      <c r="D10264" s="325"/>
      <c r="E10264" s="1178" t="s">
        <v>282</v>
      </c>
      <c r="F10264" s="1179">
        <v>0.5</v>
      </c>
    </row>
    <row r="10265" spans="2:6">
      <c r="B10265" s="1177" t="s">
        <v>607</v>
      </c>
      <c r="C10265" s="1178" t="s">
        <v>308</v>
      </c>
      <c r="D10265" s="325"/>
      <c r="E10265" s="1178" t="s">
        <v>283</v>
      </c>
      <c r="F10265" s="1179">
        <v>1</v>
      </c>
    </row>
    <row r="10266" spans="2:6">
      <c r="B10266" s="1177" t="s">
        <v>607</v>
      </c>
      <c r="C10266" s="1178" t="s">
        <v>308</v>
      </c>
      <c r="D10266" s="325"/>
      <c r="E10266" s="1178" t="s">
        <v>284</v>
      </c>
      <c r="F10266" s="1179">
        <v>1</v>
      </c>
    </row>
    <row r="10267" spans="2:6">
      <c r="B10267" s="1177" t="s">
        <v>607</v>
      </c>
      <c r="C10267" s="1178" t="s">
        <v>308</v>
      </c>
      <c r="D10267" s="325"/>
      <c r="E10267" s="1178" t="s">
        <v>1379</v>
      </c>
      <c r="F10267" s="1179">
        <v>1</v>
      </c>
    </row>
    <row r="10268" spans="2:6">
      <c r="B10268" s="1177" t="s">
        <v>607</v>
      </c>
      <c r="C10268" s="1178" t="s">
        <v>308</v>
      </c>
      <c r="D10268" s="325"/>
      <c r="E10268" s="1178" t="s">
        <v>285</v>
      </c>
      <c r="F10268" s="1179">
        <v>1</v>
      </c>
    </row>
    <row r="10269" spans="2:6">
      <c r="B10269" s="1177" t="s">
        <v>607</v>
      </c>
      <c r="C10269" s="1178" t="s">
        <v>308</v>
      </c>
      <c r="D10269" s="325"/>
      <c r="E10269" s="1178" t="s">
        <v>1380</v>
      </c>
      <c r="F10269" s="1179">
        <v>1</v>
      </c>
    </row>
    <row r="10270" spans="2:6">
      <c r="B10270" s="1177" t="s">
        <v>607</v>
      </c>
      <c r="C10270" s="1178" t="s">
        <v>308</v>
      </c>
      <c r="D10270" s="325"/>
      <c r="E10270" s="1178" t="s">
        <v>281</v>
      </c>
      <c r="F10270" s="1179">
        <v>1</v>
      </c>
    </row>
    <row r="10271" spans="2:6">
      <c r="B10271" s="1177" t="s">
        <v>607</v>
      </c>
      <c r="C10271" s="1178" t="s">
        <v>308</v>
      </c>
      <c r="D10271" s="325"/>
      <c r="E10271" s="1178" t="s">
        <v>1384</v>
      </c>
      <c r="F10271" s="1179">
        <v>1</v>
      </c>
    </row>
    <row r="10272" spans="2:6">
      <c r="B10272" s="1177" t="s">
        <v>607</v>
      </c>
      <c r="C10272" s="1178" t="s">
        <v>306</v>
      </c>
      <c r="D10272" s="325"/>
      <c r="E10272" s="1178" t="s">
        <v>282</v>
      </c>
      <c r="F10272" s="1179">
        <v>0.5</v>
      </c>
    </row>
    <row r="10273" spans="2:6">
      <c r="B10273" s="1177" t="s">
        <v>607</v>
      </c>
      <c r="C10273" s="1178" t="s">
        <v>306</v>
      </c>
      <c r="D10273" s="325"/>
      <c r="E10273" s="1178" t="s">
        <v>283</v>
      </c>
      <c r="F10273" s="1179">
        <v>1</v>
      </c>
    </row>
    <row r="10274" spans="2:6">
      <c r="B10274" s="1177" t="s">
        <v>607</v>
      </c>
      <c r="C10274" s="1178" t="s">
        <v>306</v>
      </c>
      <c r="D10274" s="325"/>
      <c r="E10274" s="1178" t="s">
        <v>284</v>
      </c>
      <c r="F10274" s="1179">
        <v>1</v>
      </c>
    </row>
    <row r="10275" spans="2:6">
      <c r="B10275" s="1177" t="s">
        <v>607</v>
      </c>
      <c r="C10275" s="1178" t="s">
        <v>306</v>
      </c>
      <c r="D10275" s="325"/>
      <c r="E10275" s="1178" t="s">
        <v>1379</v>
      </c>
      <c r="F10275" s="1179">
        <v>1</v>
      </c>
    </row>
    <row r="10276" spans="2:6">
      <c r="B10276" s="1177" t="s">
        <v>607</v>
      </c>
      <c r="C10276" s="1178" t="s">
        <v>306</v>
      </c>
      <c r="D10276" s="325"/>
      <c r="E10276" s="1178" t="s">
        <v>285</v>
      </c>
      <c r="F10276" s="1179">
        <v>1</v>
      </c>
    </row>
    <row r="10277" spans="2:6">
      <c r="B10277" s="1177" t="s">
        <v>607</v>
      </c>
      <c r="C10277" s="1178" t="s">
        <v>306</v>
      </c>
      <c r="D10277" s="325"/>
      <c r="E10277" s="1178" t="s">
        <v>1380</v>
      </c>
      <c r="F10277" s="1179">
        <v>1</v>
      </c>
    </row>
    <row r="10278" spans="2:6">
      <c r="B10278" s="1177" t="s">
        <v>607</v>
      </c>
      <c r="C10278" s="1178" t="s">
        <v>306</v>
      </c>
      <c r="D10278" s="325"/>
      <c r="E10278" s="1178" t="s">
        <v>281</v>
      </c>
      <c r="F10278" s="1179">
        <v>1</v>
      </c>
    </row>
    <row r="10279" spans="2:6">
      <c r="B10279" s="1177" t="s">
        <v>607</v>
      </c>
      <c r="C10279" s="1178" t="s">
        <v>306</v>
      </c>
      <c r="D10279" s="325"/>
      <c r="E10279" s="1178" t="s">
        <v>1384</v>
      </c>
      <c r="F10279" s="1179">
        <v>1</v>
      </c>
    </row>
    <row r="10280" spans="2:6">
      <c r="B10280" s="1177" t="s">
        <v>607</v>
      </c>
      <c r="C10280" s="1178" t="s">
        <v>311</v>
      </c>
      <c r="D10280" s="325"/>
      <c r="E10280" s="1178" t="s">
        <v>282</v>
      </c>
      <c r="F10280" s="1179">
        <v>0.5</v>
      </c>
    </row>
    <row r="10281" spans="2:6">
      <c r="B10281" s="1177" t="s">
        <v>607</v>
      </c>
      <c r="C10281" s="1178" t="s">
        <v>311</v>
      </c>
      <c r="D10281" s="325"/>
      <c r="E10281" s="1178" t="s">
        <v>283</v>
      </c>
      <c r="F10281" s="1179">
        <v>1</v>
      </c>
    </row>
    <row r="10282" spans="2:6">
      <c r="B10282" s="1177" t="s">
        <v>607</v>
      </c>
      <c r="C10282" s="1178" t="s">
        <v>311</v>
      </c>
      <c r="D10282" s="325"/>
      <c r="E10282" s="1178" t="s">
        <v>284</v>
      </c>
      <c r="F10282" s="1179">
        <v>1</v>
      </c>
    </row>
    <row r="10283" spans="2:6">
      <c r="B10283" s="1177" t="s">
        <v>607</v>
      </c>
      <c r="C10283" s="1178" t="s">
        <v>311</v>
      </c>
      <c r="D10283" s="325"/>
      <c r="E10283" s="1178" t="s">
        <v>1379</v>
      </c>
      <c r="F10283" s="1179">
        <v>1</v>
      </c>
    </row>
    <row r="10284" spans="2:6">
      <c r="B10284" s="1177" t="s">
        <v>607</v>
      </c>
      <c r="C10284" s="1178" t="s">
        <v>311</v>
      </c>
      <c r="D10284" s="325"/>
      <c r="E10284" s="1178" t="s">
        <v>285</v>
      </c>
      <c r="F10284" s="1179">
        <v>1</v>
      </c>
    </row>
    <row r="10285" spans="2:6">
      <c r="B10285" s="1177" t="s">
        <v>607</v>
      </c>
      <c r="C10285" s="1178" t="s">
        <v>311</v>
      </c>
      <c r="D10285" s="325"/>
      <c r="E10285" s="1178" t="s">
        <v>1380</v>
      </c>
      <c r="F10285" s="1179">
        <v>1</v>
      </c>
    </row>
    <row r="10286" spans="2:6">
      <c r="B10286" s="1177" t="s">
        <v>607</v>
      </c>
      <c r="C10286" s="1178" t="s">
        <v>311</v>
      </c>
      <c r="D10286" s="325"/>
      <c r="E10286" s="1178" t="s">
        <v>281</v>
      </c>
      <c r="F10286" s="1179">
        <v>1</v>
      </c>
    </row>
    <row r="10287" spans="2:6">
      <c r="B10287" s="1177" t="s">
        <v>607</v>
      </c>
      <c r="C10287" s="1178" t="s">
        <v>311</v>
      </c>
      <c r="D10287" s="325"/>
      <c r="E10287" s="1178" t="s">
        <v>1384</v>
      </c>
      <c r="F10287" s="1179">
        <v>1</v>
      </c>
    </row>
    <row r="10288" spans="2:6">
      <c r="B10288" s="1177" t="s">
        <v>607</v>
      </c>
      <c r="C10288" s="1178" t="s">
        <v>309</v>
      </c>
      <c r="D10288" s="325"/>
      <c r="E10288" s="1178" t="s">
        <v>282</v>
      </c>
      <c r="F10288" s="1179">
        <v>0.5</v>
      </c>
    </row>
    <row r="10289" spans="2:6">
      <c r="B10289" s="1177" t="s">
        <v>607</v>
      </c>
      <c r="C10289" s="1178" t="s">
        <v>309</v>
      </c>
      <c r="D10289" s="325"/>
      <c r="E10289" s="1178" t="s">
        <v>283</v>
      </c>
      <c r="F10289" s="1179">
        <v>1</v>
      </c>
    </row>
    <row r="10290" spans="2:6">
      <c r="B10290" s="1177" t="s">
        <v>607</v>
      </c>
      <c r="C10290" s="1178" t="s">
        <v>309</v>
      </c>
      <c r="D10290" s="325"/>
      <c r="E10290" s="1178" t="s">
        <v>284</v>
      </c>
      <c r="F10290" s="1179">
        <v>1</v>
      </c>
    </row>
    <row r="10291" spans="2:6">
      <c r="B10291" s="1177" t="s">
        <v>607</v>
      </c>
      <c r="C10291" s="1178" t="s">
        <v>309</v>
      </c>
      <c r="D10291" s="325"/>
      <c r="E10291" s="1178" t="s">
        <v>1379</v>
      </c>
      <c r="F10291" s="1179">
        <v>1</v>
      </c>
    </row>
    <row r="10292" spans="2:6">
      <c r="B10292" s="1177" t="s">
        <v>607</v>
      </c>
      <c r="C10292" s="1178" t="s">
        <v>309</v>
      </c>
      <c r="D10292" s="325"/>
      <c r="E10292" s="1178" t="s">
        <v>285</v>
      </c>
      <c r="F10292" s="1179">
        <v>1</v>
      </c>
    </row>
    <row r="10293" spans="2:6">
      <c r="B10293" s="1177" t="s">
        <v>607</v>
      </c>
      <c r="C10293" s="1178" t="s">
        <v>309</v>
      </c>
      <c r="D10293" s="325"/>
      <c r="E10293" s="1178" t="s">
        <v>1380</v>
      </c>
      <c r="F10293" s="1179">
        <v>1</v>
      </c>
    </row>
    <row r="10294" spans="2:6">
      <c r="B10294" s="1177" t="s">
        <v>607</v>
      </c>
      <c r="C10294" s="1178" t="s">
        <v>309</v>
      </c>
      <c r="D10294" s="325"/>
      <c r="E10294" s="1178" t="s">
        <v>281</v>
      </c>
      <c r="F10294" s="1179">
        <v>1</v>
      </c>
    </row>
    <row r="10295" spans="2:6">
      <c r="B10295" s="1177" t="s">
        <v>607</v>
      </c>
      <c r="C10295" s="1178" t="s">
        <v>309</v>
      </c>
      <c r="D10295" s="325"/>
      <c r="E10295" s="1178" t="s">
        <v>1384</v>
      </c>
      <c r="F10295" s="1179">
        <v>1</v>
      </c>
    </row>
    <row r="10296" spans="2:6">
      <c r="B10296" s="1177" t="s">
        <v>607</v>
      </c>
      <c r="C10296" s="1178" t="s">
        <v>307</v>
      </c>
      <c r="D10296" s="325"/>
      <c r="E10296" s="1178" t="s">
        <v>282</v>
      </c>
      <c r="F10296" s="1179">
        <v>0.5</v>
      </c>
    </row>
    <row r="10297" spans="2:6">
      <c r="B10297" s="1177" t="s">
        <v>607</v>
      </c>
      <c r="C10297" s="1178" t="s">
        <v>307</v>
      </c>
      <c r="D10297" s="325"/>
      <c r="E10297" s="1178" t="s">
        <v>283</v>
      </c>
      <c r="F10297" s="1179">
        <v>1</v>
      </c>
    </row>
    <row r="10298" spans="2:6">
      <c r="B10298" s="1177" t="s">
        <v>607</v>
      </c>
      <c r="C10298" s="1178" t="s">
        <v>307</v>
      </c>
      <c r="D10298" s="325"/>
      <c r="E10298" s="1178" t="s">
        <v>284</v>
      </c>
      <c r="F10298" s="1179">
        <v>1</v>
      </c>
    </row>
    <row r="10299" spans="2:6">
      <c r="B10299" s="1177" t="s">
        <v>607</v>
      </c>
      <c r="C10299" s="1178" t="s">
        <v>307</v>
      </c>
      <c r="D10299" s="325"/>
      <c r="E10299" s="1178" t="s">
        <v>1379</v>
      </c>
      <c r="F10299" s="1179">
        <v>1</v>
      </c>
    </row>
    <row r="10300" spans="2:6">
      <c r="B10300" s="1177" t="s">
        <v>607</v>
      </c>
      <c r="C10300" s="1178" t="s">
        <v>307</v>
      </c>
      <c r="D10300" s="325"/>
      <c r="E10300" s="1178" t="s">
        <v>285</v>
      </c>
      <c r="F10300" s="1179">
        <v>1</v>
      </c>
    </row>
    <row r="10301" spans="2:6">
      <c r="B10301" s="1177" t="s">
        <v>607</v>
      </c>
      <c r="C10301" s="1178" t="s">
        <v>307</v>
      </c>
      <c r="D10301" s="325"/>
      <c r="E10301" s="1178" t="s">
        <v>1380</v>
      </c>
      <c r="F10301" s="1179">
        <v>1</v>
      </c>
    </row>
    <row r="10302" spans="2:6">
      <c r="B10302" s="1177" t="s">
        <v>607</v>
      </c>
      <c r="C10302" s="1178" t="s">
        <v>307</v>
      </c>
      <c r="D10302" s="325"/>
      <c r="E10302" s="1178" t="s">
        <v>281</v>
      </c>
      <c r="F10302" s="1179">
        <v>1</v>
      </c>
    </row>
    <row r="10303" spans="2:6" ht="16" thickBot="1">
      <c r="B10303" s="1180" t="s">
        <v>607</v>
      </c>
      <c r="C10303" s="1181" t="s">
        <v>307</v>
      </c>
      <c r="D10303" s="327"/>
      <c r="E10303" s="1181" t="s">
        <v>1384</v>
      </c>
      <c r="F10303" s="1182">
        <v>1</v>
      </c>
    </row>
    <row r="10305" spans="1:113" s="1019" customFormat="1">
      <c r="A10305" s="1183"/>
      <c r="B10305" s="1183"/>
      <c r="C10305" s="1183"/>
      <c r="D10305" s="1183"/>
      <c r="E10305" s="1183"/>
      <c r="F10305" s="1183"/>
      <c r="G10305" s="1183"/>
      <c r="H10305" s="1183"/>
      <c r="I10305" s="1183"/>
      <c r="J10305" s="1183"/>
      <c r="K10305" s="1183"/>
      <c r="L10305" s="1183"/>
      <c r="M10305" s="1183"/>
      <c r="N10305" s="1183"/>
      <c r="O10305" s="1183"/>
      <c r="P10305" s="1183"/>
      <c r="Q10305" s="1183"/>
      <c r="R10305" s="1183"/>
      <c r="S10305" s="1183"/>
      <c r="T10305" s="1183"/>
      <c r="U10305" s="1183"/>
      <c r="V10305" s="1183"/>
      <c r="W10305" s="1183"/>
      <c r="X10305" s="1183"/>
      <c r="Y10305" s="1183"/>
      <c r="Z10305" s="1183"/>
      <c r="AA10305" s="1183"/>
      <c r="AB10305" s="1183"/>
      <c r="AC10305" s="1183"/>
      <c r="AD10305" s="1183"/>
      <c r="AE10305" s="1183"/>
      <c r="AF10305" s="1183"/>
      <c r="AG10305" s="1183"/>
      <c r="AH10305" s="1183"/>
      <c r="AI10305" s="1183"/>
      <c r="AJ10305" s="1183"/>
      <c r="AK10305" s="1183"/>
      <c r="AL10305" s="1183"/>
      <c r="AM10305" s="1183"/>
      <c r="AN10305" s="1183"/>
      <c r="AO10305" s="1183"/>
      <c r="AP10305" s="1183"/>
      <c r="AQ10305" s="1183"/>
      <c r="AR10305" s="1183"/>
      <c r="AS10305" s="1183"/>
      <c r="AT10305" s="1183"/>
      <c r="AU10305" s="1183"/>
      <c r="AV10305" s="1183"/>
      <c r="AW10305" s="1183"/>
      <c r="AX10305" s="1183"/>
      <c r="AY10305" s="1183"/>
      <c r="AZ10305" s="1183"/>
      <c r="BA10305" s="1183"/>
      <c r="BB10305" s="1183"/>
      <c r="BC10305" s="1183"/>
      <c r="BD10305" s="1183"/>
      <c r="BE10305" s="1183"/>
      <c r="BF10305" s="1183"/>
      <c r="BG10305" s="1183"/>
      <c r="BH10305" s="1183"/>
      <c r="BI10305" s="1183"/>
      <c r="BJ10305" s="1183"/>
      <c r="BK10305" s="1183"/>
      <c r="BL10305" s="1183"/>
      <c r="BM10305" s="1183"/>
      <c r="BN10305" s="1183"/>
      <c r="BO10305" s="1183"/>
      <c r="BP10305" s="1183"/>
      <c r="BQ10305" s="1183"/>
      <c r="BR10305" s="1183"/>
      <c r="BS10305" s="1183"/>
      <c r="BT10305" s="1183"/>
      <c r="BU10305" s="1183"/>
      <c r="BV10305" s="1183"/>
      <c r="BW10305" s="1183"/>
      <c r="BX10305" s="1183"/>
      <c r="BY10305" s="1183"/>
      <c r="BZ10305" s="1183"/>
      <c r="CA10305" s="1183"/>
      <c r="CB10305" s="1183"/>
      <c r="CC10305" s="1183"/>
      <c r="CD10305" s="1183"/>
      <c r="CE10305" s="1183"/>
      <c r="CF10305" s="1183"/>
      <c r="CG10305" s="1183"/>
      <c r="CH10305" s="1183"/>
      <c r="CI10305" s="1183"/>
      <c r="CJ10305" s="1183"/>
      <c r="CK10305" s="1183"/>
      <c r="CL10305" s="1183"/>
      <c r="CM10305" s="1183"/>
      <c r="CN10305" s="1183"/>
      <c r="CO10305" s="1183"/>
      <c r="CP10305" s="1183"/>
      <c r="CQ10305" s="1183"/>
      <c r="CR10305" s="1183"/>
      <c r="CS10305" s="1183"/>
      <c r="CT10305" s="1183"/>
      <c r="CU10305" s="1183"/>
      <c r="CV10305" s="1183"/>
      <c r="CW10305" s="1183"/>
      <c r="CX10305" s="1183"/>
      <c r="CY10305" s="1183"/>
      <c r="CZ10305" s="1183"/>
      <c r="DA10305" s="1183"/>
      <c r="DB10305" s="1183"/>
      <c r="DC10305" s="1183"/>
      <c r="DD10305" s="1183"/>
      <c r="DE10305" s="1183"/>
      <c r="DF10305" s="1183"/>
      <c r="DG10305" s="1183"/>
      <c r="DH10305" s="1183"/>
      <c r="DI10305" s="1183"/>
    </row>
    <row r="10306" spans="1:113" s="1019" customFormat="1">
      <c r="A10306" s="1183"/>
      <c r="B10306" s="1183"/>
      <c r="C10306" s="1183"/>
      <c r="D10306" s="1183"/>
      <c r="E10306" s="1183"/>
      <c r="F10306" s="1183"/>
      <c r="G10306" s="1183"/>
      <c r="H10306" s="1183"/>
      <c r="I10306" s="1183"/>
      <c r="J10306" s="1183"/>
      <c r="K10306" s="1183"/>
      <c r="L10306" s="1183"/>
      <c r="M10306" s="1183"/>
      <c r="N10306" s="1183"/>
      <c r="O10306" s="1183"/>
      <c r="P10306" s="1183"/>
      <c r="Q10306" s="1183"/>
      <c r="R10306" s="1183"/>
      <c r="S10306" s="1183"/>
      <c r="T10306" s="1183"/>
      <c r="U10306" s="1183"/>
      <c r="V10306" s="1183"/>
      <c r="W10306" s="1183"/>
      <c r="X10306" s="1183"/>
      <c r="Y10306" s="1183"/>
      <c r="Z10306" s="1183"/>
      <c r="AA10306" s="1183"/>
      <c r="AB10306" s="1183"/>
      <c r="AC10306" s="1183"/>
      <c r="AD10306" s="1183"/>
      <c r="AE10306" s="1183"/>
      <c r="AF10306" s="1183"/>
      <c r="AG10306" s="1183"/>
      <c r="AH10306" s="1183"/>
      <c r="AI10306" s="1183"/>
      <c r="AJ10306" s="1183"/>
      <c r="AK10306" s="1183"/>
      <c r="AL10306" s="1183"/>
      <c r="AM10306" s="1183"/>
      <c r="AN10306" s="1183"/>
      <c r="AO10306" s="1183"/>
      <c r="AP10306" s="1183"/>
      <c r="AQ10306" s="1183"/>
      <c r="AR10306" s="1183"/>
      <c r="AS10306" s="1183"/>
      <c r="AT10306" s="1183"/>
      <c r="AU10306" s="1183"/>
      <c r="AV10306" s="1183"/>
      <c r="AW10306" s="1183"/>
      <c r="AX10306" s="1183"/>
      <c r="AY10306" s="1183"/>
      <c r="AZ10306" s="1183"/>
      <c r="BA10306" s="1183"/>
      <c r="BB10306" s="1183"/>
      <c r="BC10306" s="1183"/>
      <c r="BD10306" s="1183"/>
      <c r="BE10306" s="1183"/>
      <c r="BF10306" s="1183"/>
      <c r="BG10306" s="1183"/>
      <c r="BH10306" s="1183"/>
      <c r="BI10306" s="1183"/>
      <c r="BJ10306" s="1183"/>
      <c r="BK10306" s="1183"/>
      <c r="BL10306" s="1183"/>
      <c r="BM10306" s="1183"/>
      <c r="BN10306" s="1183"/>
      <c r="BO10306" s="1183"/>
      <c r="BP10306" s="1183"/>
      <c r="BQ10306" s="1183"/>
      <c r="BR10306" s="1183"/>
      <c r="BS10306" s="1183"/>
      <c r="BT10306" s="1183"/>
      <c r="BU10306" s="1183"/>
      <c r="BV10306" s="1183"/>
      <c r="BW10306" s="1183"/>
      <c r="BX10306" s="1183"/>
      <c r="BY10306" s="1183"/>
      <c r="BZ10306" s="1183"/>
      <c r="CA10306" s="1183"/>
      <c r="CB10306" s="1183"/>
      <c r="CC10306" s="1183"/>
      <c r="CD10306" s="1183"/>
      <c r="CE10306" s="1183"/>
      <c r="CF10306" s="1183"/>
      <c r="CG10306" s="1183"/>
      <c r="CH10306" s="1183"/>
      <c r="CI10306" s="1183"/>
      <c r="CJ10306" s="1183"/>
      <c r="CK10306" s="1183"/>
      <c r="CL10306" s="1183"/>
      <c r="CM10306" s="1183"/>
      <c r="CN10306" s="1183"/>
      <c r="CO10306" s="1183"/>
      <c r="CP10306" s="1183"/>
      <c r="CQ10306" s="1183"/>
      <c r="CR10306" s="1183"/>
      <c r="CS10306" s="1183"/>
      <c r="CT10306" s="1183"/>
      <c r="CU10306" s="1183"/>
      <c r="CV10306" s="1183"/>
      <c r="CW10306" s="1183"/>
      <c r="CX10306" s="1183"/>
      <c r="CY10306" s="1183"/>
      <c r="CZ10306" s="1183"/>
      <c r="DA10306" s="1183"/>
      <c r="DB10306" s="1183"/>
      <c r="DC10306" s="1183"/>
      <c r="DD10306" s="1183"/>
      <c r="DE10306" s="1183"/>
      <c r="DF10306" s="1183"/>
      <c r="DG10306" s="1183"/>
      <c r="DH10306" s="1183"/>
      <c r="DI10306" s="1183"/>
    </row>
    <row r="10307" spans="1:113" s="1019" customFormat="1">
      <c r="A10307" s="1183"/>
      <c r="B10307" s="1183"/>
      <c r="C10307" s="1183"/>
      <c r="D10307" s="1183"/>
      <c r="E10307" s="1183"/>
      <c r="F10307" s="1183"/>
      <c r="G10307" s="1183"/>
      <c r="H10307" s="1183"/>
      <c r="I10307" s="1183"/>
      <c r="J10307" s="1183"/>
      <c r="K10307" s="1183"/>
      <c r="L10307" s="1183"/>
      <c r="M10307" s="1183"/>
      <c r="N10307" s="1183"/>
      <c r="O10307" s="1183"/>
      <c r="P10307" s="1183"/>
      <c r="Q10307" s="1183"/>
      <c r="R10307" s="1183"/>
      <c r="S10307" s="1183"/>
      <c r="T10307" s="1183"/>
      <c r="U10307" s="1183"/>
      <c r="V10307" s="1183"/>
      <c r="W10307" s="1183"/>
      <c r="X10307" s="1183"/>
      <c r="Y10307" s="1183"/>
      <c r="Z10307" s="1183"/>
      <c r="AA10307" s="1183"/>
      <c r="AB10307" s="1183"/>
      <c r="AC10307" s="1183"/>
      <c r="AD10307" s="1183"/>
      <c r="AE10307" s="1183"/>
      <c r="AF10307" s="1183"/>
      <c r="AG10307" s="1183"/>
      <c r="AH10307" s="1183"/>
      <c r="AI10307" s="1183"/>
      <c r="AJ10307" s="1183"/>
      <c r="AK10307" s="1183"/>
      <c r="AL10307" s="1183"/>
      <c r="AM10307" s="1183"/>
      <c r="AN10307" s="1183"/>
      <c r="AO10307" s="1183"/>
      <c r="AP10307" s="1183"/>
      <c r="AQ10307" s="1183"/>
      <c r="AR10307" s="1183"/>
      <c r="AS10307" s="1183"/>
      <c r="AT10307" s="1183"/>
      <c r="AU10307" s="1183"/>
      <c r="AV10307" s="1183"/>
      <c r="AW10307" s="1183"/>
      <c r="AX10307" s="1183"/>
      <c r="AY10307" s="1183"/>
      <c r="AZ10307" s="1183"/>
      <c r="BA10307" s="1183"/>
      <c r="BB10307" s="1183"/>
      <c r="BC10307" s="1183"/>
      <c r="BD10307" s="1183"/>
      <c r="BE10307" s="1183"/>
      <c r="BF10307" s="1183"/>
      <c r="BG10307" s="1183"/>
      <c r="BH10307" s="1183"/>
      <c r="BI10307" s="1183"/>
      <c r="BJ10307" s="1183"/>
      <c r="BK10307" s="1183"/>
      <c r="BL10307" s="1183"/>
      <c r="BM10307" s="1183"/>
      <c r="BN10307" s="1183"/>
      <c r="BO10307" s="1183"/>
      <c r="BP10307" s="1183"/>
      <c r="BQ10307" s="1183"/>
      <c r="BR10307" s="1183"/>
      <c r="BS10307" s="1183"/>
      <c r="BT10307" s="1183"/>
      <c r="BU10307" s="1183"/>
      <c r="BV10307" s="1183"/>
      <c r="BW10307" s="1183"/>
      <c r="BX10307" s="1183"/>
      <c r="BY10307" s="1183"/>
      <c r="BZ10307" s="1183"/>
      <c r="CA10307" s="1183"/>
      <c r="CB10307" s="1183"/>
      <c r="CC10307" s="1183"/>
      <c r="CD10307" s="1183"/>
      <c r="CE10307" s="1183"/>
      <c r="CF10307" s="1183"/>
      <c r="CG10307" s="1183"/>
      <c r="CH10307" s="1183"/>
      <c r="CI10307" s="1183"/>
      <c r="CJ10307" s="1183"/>
      <c r="CK10307" s="1183"/>
      <c r="CL10307" s="1183"/>
      <c r="CM10307" s="1183"/>
      <c r="CN10307" s="1183"/>
      <c r="CO10307" s="1183"/>
      <c r="CP10307" s="1183"/>
      <c r="CQ10307" s="1183"/>
      <c r="CR10307" s="1183"/>
      <c r="CS10307" s="1183"/>
      <c r="CT10307" s="1183"/>
      <c r="CU10307" s="1183"/>
      <c r="CV10307" s="1183"/>
      <c r="CW10307" s="1183"/>
      <c r="CX10307" s="1183"/>
      <c r="CY10307" s="1183"/>
      <c r="CZ10307" s="1183"/>
      <c r="DA10307" s="1183"/>
      <c r="DB10307" s="1183"/>
      <c r="DC10307" s="1183"/>
      <c r="DD10307" s="1183"/>
      <c r="DE10307" s="1183"/>
      <c r="DF10307" s="1183"/>
      <c r="DG10307" s="1183"/>
      <c r="DH10307" s="1183"/>
      <c r="DI10307" s="1183"/>
    </row>
    <row r="10309" spans="1:113" ht="19">
      <c r="A10309" s="1184" t="s">
        <v>297</v>
      </c>
      <c r="B10309" s="267"/>
      <c r="C10309" s="267"/>
      <c r="D10309" s="267"/>
      <c r="E10309" s="267"/>
      <c r="F10309" s="267"/>
      <c r="G10309" s="267"/>
      <c r="H10309" s="267"/>
      <c r="I10309" s="267"/>
      <c r="J10309" s="267"/>
      <c r="K10309" s="267"/>
      <c r="L10309" s="267"/>
      <c r="M10309" s="267"/>
      <c r="N10309" s="267"/>
      <c r="O10309" s="267"/>
      <c r="P10309" s="267"/>
      <c r="Q10309" s="267"/>
      <c r="R10309" s="267"/>
    </row>
    <row r="10310" spans="1:113" ht="20" thickBot="1">
      <c r="A10310" s="1184"/>
      <c r="B10310" s="267"/>
      <c r="C10310" s="267"/>
      <c r="D10310" s="267"/>
      <c r="E10310" s="267"/>
      <c r="F10310" s="267"/>
      <c r="G10310" s="267"/>
      <c r="H10310" s="267"/>
      <c r="I10310" s="267"/>
      <c r="J10310" s="267"/>
      <c r="K10310" s="267"/>
      <c r="L10310" s="267"/>
      <c r="M10310" s="267"/>
      <c r="N10310" s="267"/>
      <c r="O10310" s="267"/>
      <c r="P10310" s="267"/>
      <c r="Q10310" s="267"/>
      <c r="R10310" s="267"/>
    </row>
    <row r="10311" spans="1:113" ht="17">
      <c r="A10311" s="267"/>
      <c r="B10311" s="1185" t="s">
        <v>1478</v>
      </c>
      <c r="C10311" s="322"/>
      <c r="D10311" s="322"/>
      <c r="E10311" s="322"/>
      <c r="F10311" s="322"/>
      <c r="G10311" s="322"/>
      <c r="H10311" s="322"/>
      <c r="I10311" s="322"/>
      <c r="J10311" s="322"/>
      <c r="K10311" s="322"/>
      <c r="L10311" s="322"/>
      <c r="M10311" s="322"/>
      <c r="N10311" s="322"/>
      <c r="O10311" s="322"/>
      <c r="P10311" s="322"/>
      <c r="Q10311" s="322"/>
      <c r="R10311" s="324"/>
    </row>
    <row r="10312" spans="1:113" ht="16" thickBot="1">
      <c r="A10312" s="267"/>
      <c r="B10312" s="1186" t="s">
        <v>1479</v>
      </c>
      <c r="C10312" s="1187"/>
      <c r="D10312" s="325"/>
      <c r="E10312" s="339" t="s">
        <v>1480</v>
      </c>
      <c r="F10312" s="339"/>
      <c r="G10312" s="267"/>
      <c r="H10312" s="339"/>
      <c r="I10312" s="325"/>
      <c r="J10312" s="339" t="s">
        <v>1481</v>
      </c>
      <c r="K10312" s="339"/>
      <c r="L10312" s="339"/>
      <c r="M10312" s="325"/>
      <c r="N10312" s="325"/>
      <c r="O10312" s="339" t="s">
        <v>1482</v>
      </c>
      <c r="P10312" s="339"/>
      <c r="Q10312" s="339"/>
      <c r="R10312" s="326"/>
    </row>
    <row r="10313" spans="1:113" ht="17" thickTop="1" thickBot="1">
      <c r="A10313" s="267"/>
      <c r="B10313" s="1188" t="s">
        <v>1483</v>
      </c>
      <c r="C10313" s="1189">
        <v>2000</v>
      </c>
      <c r="D10313" s="325"/>
      <c r="E10313" s="1190" t="s">
        <v>1484</v>
      </c>
      <c r="F10313" s="1190"/>
      <c r="G10313" s="1190"/>
      <c r="H10313" s="1190"/>
      <c r="I10313" s="267"/>
      <c r="J10313" s="1191" t="s">
        <v>1485</v>
      </c>
      <c r="K10313" s="325"/>
      <c r="L10313" s="267"/>
      <c r="M10313" s="343">
        <v>8000</v>
      </c>
      <c r="N10313" s="267"/>
      <c r="O10313" s="267"/>
      <c r="P10313" s="1192" t="s">
        <v>570</v>
      </c>
      <c r="Q10313" s="1192" t="s">
        <v>1460</v>
      </c>
      <c r="R10313" s="326"/>
    </row>
    <row r="10314" spans="1:113" ht="16" thickTop="1">
      <c r="A10314" s="267"/>
      <c r="B10314" s="1193" t="s">
        <v>1486</v>
      </c>
      <c r="C10314" s="1189">
        <v>0.8</v>
      </c>
      <c r="D10314" s="325"/>
      <c r="E10314" s="1191" t="s">
        <v>1487</v>
      </c>
      <c r="F10314" s="325"/>
      <c r="G10314" s="325"/>
      <c r="H10314" s="1194">
        <v>0.2</v>
      </c>
      <c r="I10314" s="267"/>
      <c r="J10314" s="1191" t="s">
        <v>1488</v>
      </c>
      <c r="K10314" s="1195"/>
      <c r="L10314" s="325"/>
      <c r="M10314" s="346">
        <f>C10329</f>
        <v>6640</v>
      </c>
      <c r="N10314" s="267"/>
      <c r="O10314" s="1191" t="s">
        <v>1489</v>
      </c>
      <c r="P10314" s="1099"/>
      <c r="Q10314" s="1099"/>
      <c r="R10314" s="326"/>
    </row>
    <row r="10315" spans="1:113">
      <c r="A10315" s="267"/>
      <c r="B10315" s="1193" t="s">
        <v>1490</v>
      </c>
      <c r="C10315" s="582">
        <v>4</v>
      </c>
      <c r="D10315" s="325"/>
      <c r="E10315" s="1191" t="s">
        <v>1491</v>
      </c>
      <c r="F10315" s="325"/>
      <c r="G10315" s="267"/>
      <c r="H10315" s="1194">
        <v>2000</v>
      </c>
      <c r="I10315" s="267"/>
      <c r="J10315" s="1191" t="s">
        <v>1492</v>
      </c>
      <c r="K10315" s="325"/>
      <c r="L10315" s="267"/>
      <c r="M10315" s="346">
        <f>H10324</f>
        <v>1700</v>
      </c>
      <c r="N10315" s="267"/>
      <c r="O10315" s="1191" t="s">
        <v>1493</v>
      </c>
      <c r="P10315" s="1099"/>
      <c r="Q10315" s="1099"/>
      <c r="R10315" s="326"/>
    </row>
    <row r="10316" spans="1:113">
      <c r="A10316" s="267"/>
      <c r="B10316" s="1193" t="s">
        <v>1494</v>
      </c>
      <c r="C10316" s="1196">
        <v>6</v>
      </c>
      <c r="D10316" s="325"/>
      <c r="E10316" s="1191" t="s">
        <v>1495</v>
      </c>
      <c r="F10316" s="325"/>
      <c r="G10316" s="325"/>
      <c r="H10316" s="346">
        <v>100</v>
      </c>
      <c r="I10316" s="267"/>
      <c r="J10316" s="1191" t="s">
        <v>1496</v>
      </c>
      <c r="K10316" s="325"/>
      <c r="L10316" s="339"/>
      <c r="M10316" s="346">
        <f>M10314-M10315</f>
        <v>4940</v>
      </c>
      <c r="N10316" s="267"/>
      <c r="O10316" s="1191" t="s">
        <v>1497</v>
      </c>
      <c r="P10316" s="1099"/>
      <c r="Q10316" s="1099"/>
      <c r="R10316" s="326"/>
    </row>
    <row r="10317" spans="1:113" ht="17">
      <c r="A10317" s="267"/>
      <c r="B10317" s="1193" t="s">
        <v>1498</v>
      </c>
      <c r="C10317" s="1197">
        <f>C10313*C10314*C10316</f>
        <v>9600</v>
      </c>
      <c r="D10317" s="325"/>
      <c r="E10317" s="1191" t="s">
        <v>1499</v>
      </c>
      <c r="F10317" s="325"/>
      <c r="G10317" s="267"/>
      <c r="H10317" s="1194">
        <f>H10314*H10315</f>
        <v>400</v>
      </c>
      <c r="I10317" s="267"/>
      <c r="J10317" s="542" t="s">
        <v>1500</v>
      </c>
      <c r="K10317" s="542"/>
      <c r="L10317" s="267"/>
      <c r="M10317" s="1198">
        <f>M10313/M10316</f>
        <v>1.6194331983805668</v>
      </c>
      <c r="N10317" s="267"/>
      <c r="O10317" s="1191" t="s">
        <v>1501</v>
      </c>
      <c r="P10317" s="1099"/>
      <c r="Q10317" s="1099"/>
      <c r="R10317" s="326"/>
    </row>
    <row r="10318" spans="1:113" ht="17">
      <c r="A10318" s="267"/>
      <c r="B10318" s="1199" t="s">
        <v>1502</v>
      </c>
      <c r="C10318" s="1200">
        <f>C10313*C10314*C10315</f>
        <v>6400</v>
      </c>
      <c r="D10318" s="325"/>
      <c r="E10318" s="1191" t="s">
        <v>1503</v>
      </c>
      <c r="F10318" s="325"/>
      <c r="G10318" s="325"/>
      <c r="H10318" s="346">
        <f>H10317*C10315</f>
        <v>1600</v>
      </c>
      <c r="I10318" s="267"/>
      <c r="J10318" s="267"/>
      <c r="K10318" s="267"/>
      <c r="L10318" s="267"/>
      <c r="M10318" s="267"/>
      <c r="N10318" s="267"/>
      <c r="O10318" s="1191" t="s">
        <v>1504</v>
      </c>
      <c r="P10318" s="1099"/>
      <c r="Q10318" s="1099"/>
      <c r="R10318" s="326"/>
    </row>
    <row r="10319" spans="1:113" ht="18" thickBot="1">
      <c r="A10319" s="267"/>
      <c r="B10319" s="1201" t="s">
        <v>1505</v>
      </c>
      <c r="C10319" s="1187"/>
      <c r="D10319" s="325"/>
      <c r="E10319" s="695" t="s">
        <v>1506</v>
      </c>
      <c r="F10319" s="695"/>
      <c r="G10319" s="695"/>
      <c r="H10319" s="1202">
        <f>H10316+H10318</f>
        <v>1700</v>
      </c>
      <c r="I10319" s="267"/>
      <c r="J10319" s="325"/>
      <c r="K10319" s="325"/>
      <c r="L10319" s="325"/>
      <c r="M10319" s="325"/>
      <c r="N10319" s="267"/>
      <c r="O10319" s="1191" t="s">
        <v>1507</v>
      </c>
      <c r="P10319" s="1099"/>
      <c r="Q10319" s="1099"/>
      <c r="R10319" s="326"/>
    </row>
    <row r="10320" spans="1:113" ht="17" thickTop="1" thickBot="1">
      <c r="A10320" s="267"/>
      <c r="B10320" s="1193" t="s">
        <v>1508</v>
      </c>
      <c r="C10320" s="346">
        <v>150</v>
      </c>
      <c r="D10320" s="325"/>
      <c r="E10320" s="1187" t="s">
        <v>1509</v>
      </c>
      <c r="F10320" s="1187"/>
      <c r="G10320" s="1187"/>
      <c r="H10320" s="1187"/>
      <c r="I10320" s="267"/>
      <c r="J10320" s="267"/>
      <c r="K10320" s="267"/>
      <c r="L10320" s="267"/>
      <c r="M10320" s="267"/>
      <c r="N10320" s="267"/>
      <c r="O10320" s="267"/>
      <c r="P10320" s="267"/>
      <c r="Q10320" s="267"/>
      <c r="R10320" s="326"/>
    </row>
    <row r="10321" spans="1:18" ht="16" thickTop="1">
      <c r="A10321" s="267"/>
      <c r="B10321" s="1193" t="s">
        <v>1510</v>
      </c>
      <c r="C10321" s="1194">
        <v>30000</v>
      </c>
      <c r="D10321" s="325"/>
      <c r="E10321" s="1191" t="s">
        <v>1511</v>
      </c>
      <c r="F10321" s="325"/>
      <c r="G10321" s="267"/>
      <c r="H10321" s="346">
        <v>1</v>
      </c>
      <c r="I10321" s="267"/>
      <c r="J10321" s="325"/>
      <c r="K10321" s="325"/>
      <c r="L10321" s="325"/>
      <c r="M10321" s="325"/>
      <c r="N10321" s="325"/>
      <c r="O10321" s="325"/>
      <c r="P10321" s="325"/>
      <c r="Q10321" s="325"/>
      <c r="R10321" s="326"/>
    </row>
    <row r="10322" spans="1:18">
      <c r="A10322" s="267"/>
      <c r="B10322" s="1193" t="s">
        <v>1512</v>
      </c>
      <c r="C10322" s="346">
        <f>C10320/C10321</f>
        <v>5.0000000000000001E-3</v>
      </c>
      <c r="D10322" s="325"/>
      <c r="E10322" s="1191" t="s">
        <v>1491</v>
      </c>
      <c r="F10322" s="325"/>
      <c r="G10322" s="267"/>
      <c r="H10322" s="1194">
        <f>C10313-H10315</f>
        <v>0</v>
      </c>
      <c r="I10322" s="325"/>
      <c r="J10322" s="267"/>
      <c r="K10322" s="267"/>
      <c r="L10322" s="267"/>
      <c r="M10322" s="267"/>
      <c r="N10322" s="325"/>
      <c r="O10322" s="325"/>
      <c r="P10322" s="325"/>
      <c r="Q10322" s="325"/>
      <c r="R10322" s="326"/>
    </row>
    <row r="10323" spans="1:18" ht="16" thickBot="1">
      <c r="A10323" s="267"/>
      <c r="B10323" s="1199" t="s">
        <v>1513</v>
      </c>
      <c r="C10323" s="350">
        <f>C10317*C10322</f>
        <v>48</v>
      </c>
      <c r="D10323" s="325"/>
      <c r="E10323" s="1191" t="s">
        <v>1514</v>
      </c>
      <c r="F10323" s="325"/>
      <c r="G10323" s="325"/>
      <c r="H10323" s="346">
        <f>H10321*H10322</f>
        <v>0</v>
      </c>
      <c r="I10323" s="325"/>
      <c r="J10323" s="325"/>
      <c r="K10323" s="325"/>
      <c r="L10323" s="325"/>
      <c r="M10323" s="325"/>
      <c r="N10323" s="325"/>
      <c r="O10323" s="325"/>
      <c r="P10323" s="325"/>
      <c r="Q10323" s="325"/>
      <c r="R10323" s="326"/>
    </row>
    <row r="10324" spans="1:18" ht="17" thickTop="1" thickBot="1">
      <c r="A10324" s="267"/>
      <c r="B10324" s="1203" t="s">
        <v>1515</v>
      </c>
      <c r="C10324" s="1187"/>
      <c r="D10324" s="325"/>
      <c r="E10324" s="1204" t="s">
        <v>1516</v>
      </c>
      <c r="F10324" s="1204"/>
      <c r="G10324" s="1204"/>
      <c r="H10324" s="1205">
        <f>H10323+H10319</f>
        <v>1700</v>
      </c>
      <c r="I10324" s="325"/>
      <c r="J10324" s="325"/>
      <c r="K10324" s="325"/>
      <c r="L10324" s="325"/>
      <c r="M10324" s="325"/>
      <c r="N10324" s="325"/>
      <c r="O10324" s="325"/>
      <c r="P10324" s="325"/>
      <c r="Q10324" s="325"/>
      <c r="R10324" s="326"/>
    </row>
    <row r="10325" spans="1:18" ht="16" thickTop="1">
      <c r="A10325" s="267"/>
      <c r="B10325" s="1193" t="s">
        <v>1517</v>
      </c>
      <c r="C10325" s="346">
        <v>10000</v>
      </c>
      <c r="D10325" s="325"/>
      <c r="E10325" s="325"/>
      <c r="F10325" s="325"/>
      <c r="G10325" s="325"/>
      <c r="H10325" s="325"/>
      <c r="I10325" s="325"/>
      <c r="J10325" s="325"/>
      <c r="K10325" s="325"/>
      <c r="L10325" s="325"/>
      <c r="M10325" s="325"/>
      <c r="N10325" s="325"/>
      <c r="O10325" s="325"/>
      <c r="P10325" s="325"/>
      <c r="Q10325" s="325"/>
      <c r="R10325" s="326"/>
    </row>
    <row r="10326" spans="1:18">
      <c r="A10326" s="267"/>
      <c r="B10326" s="1193" t="s">
        <v>1518</v>
      </c>
      <c r="C10326" s="1194">
        <v>500000</v>
      </c>
      <c r="D10326" s="325"/>
      <c r="E10326" s="267"/>
      <c r="F10326" s="267"/>
      <c r="G10326" s="267"/>
      <c r="H10326" s="325"/>
      <c r="I10326" s="325"/>
      <c r="J10326" s="325"/>
      <c r="K10326" s="325"/>
      <c r="L10326" s="325"/>
      <c r="M10326" s="325"/>
      <c r="N10326" s="325"/>
      <c r="O10326" s="325"/>
      <c r="P10326" s="325"/>
      <c r="Q10326" s="325"/>
      <c r="R10326" s="326"/>
    </row>
    <row r="10327" spans="1:18">
      <c r="A10327" s="267"/>
      <c r="B10327" s="1193" t="s">
        <v>1512</v>
      </c>
      <c r="C10327" s="346">
        <f>C10325/C10326</f>
        <v>0.02</v>
      </c>
      <c r="D10327" s="325"/>
      <c r="E10327" s="325"/>
      <c r="F10327" s="325"/>
      <c r="G10327" s="325"/>
      <c r="H10327" s="325"/>
      <c r="I10327" s="325"/>
      <c r="J10327" s="325"/>
      <c r="K10327" s="325"/>
      <c r="L10327" s="325"/>
      <c r="M10327" s="325"/>
      <c r="N10327" s="325"/>
      <c r="O10327" s="325"/>
      <c r="P10327" s="325"/>
      <c r="Q10327" s="325"/>
      <c r="R10327" s="326"/>
    </row>
    <row r="10328" spans="1:18" ht="16" thickBot="1">
      <c r="A10328" s="267"/>
      <c r="B10328" s="1193" t="s">
        <v>1519</v>
      </c>
      <c r="C10328" s="346">
        <f>C10327*C10317</f>
        <v>192</v>
      </c>
      <c r="D10328" s="325"/>
      <c r="E10328" s="325"/>
      <c r="F10328" s="325"/>
      <c r="G10328" s="325"/>
      <c r="H10328" s="325"/>
      <c r="I10328" s="325"/>
      <c r="J10328" s="325"/>
      <c r="K10328" s="325"/>
      <c r="L10328" s="325"/>
      <c r="M10328" s="325"/>
      <c r="N10328" s="325"/>
      <c r="O10328" s="325"/>
      <c r="P10328" s="325"/>
      <c r="Q10328" s="325"/>
      <c r="R10328" s="326"/>
    </row>
    <row r="10329" spans="1:18" ht="17" thickTop="1" thickBot="1">
      <c r="A10329" s="267"/>
      <c r="B10329" s="1206" t="s">
        <v>1520</v>
      </c>
      <c r="C10329" s="1207">
        <f>C10318+C10323+C10328</f>
        <v>6640</v>
      </c>
      <c r="D10329" s="327"/>
      <c r="E10329" s="327"/>
      <c r="F10329" s="327"/>
      <c r="G10329" s="327"/>
      <c r="H10329" s="327"/>
      <c r="I10329" s="327"/>
      <c r="J10329" s="327"/>
      <c r="K10329" s="327"/>
      <c r="L10329" s="327"/>
      <c r="M10329" s="327"/>
      <c r="N10329" s="327"/>
      <c r="O10329" s="327"/>
      <c r="P10329" s="327"/>
      <c r="Q10329" s="327"/>
      <c r="R10329" s="328"/>
    </row>
    <row r="10330" spans="1:18" ht="19">
      <c r="A10330" s="1184"/>
      <c r="B10330" s="267"/>
      <c r="C10330" s="267"/>
      <c r="D10330" s="267"/>
      <c r="E10330" s="267"/>
      <c r="F10330" s="267"/>
      <c r="G10330" s="267"/>
      <c r="H10330" s="267"/>
      <c r="I10330" s="267"/>
      <c r="J10330" s="267"/>
      <c r="K10330" s="267"/>
      <c r="L10330" s="267"/>
      <c r="M10330" s="267"/>
      <c r="N10330" s="267"/>
      <c r="O10330" s="267"/>
      <c r="P10330" s="267"/>
      <c r="Q10330" s="267"/>
      <c r="R10330" s="267"/>
    </row>
    <row r="10331" spans="1:18" ht="20" thickBot="1">
      <c r="A10331" s="1184"/>
      <c r="B10331" s="267"/>
      <c r="C10331" s="267"/>
      <c r="D10331" s="267"/>
      <c r="E10331" s="267"/>
      <c r="F10331" s="267"/>
      <c r="G10331" s="267"/>
      <c r="H10331" s="267"/>
      <c r="I10331" s="267"/>
      <c r="J10331" s="267"/>
      <c r="K10331" s="267"/>
      <c r="L10331" s="267"/>
      <c r="M10331" s="267"/>
    </row>
    <row r="10332" spans="1:18">
      <c r="A10332" s="267"/>
      <c r="B10332" s="319" t="s">
        <v>1521</v>
      </c>
      <c r="C10332" s="322"/>
      <c r="D10332" s="322"/>
      <c r="E10332" s="322"/>
      <c r="F10332" s="322" t="s">
        <v>1522</v>
      </c>
      <c r="G10332" s="1208" t="s">
        <v>1523</v>
      </c>
      <c r="H10332" s="322"/>
      <c r="I10332" s="322"/>
      <c r="J10332" s="322"/>
      <c r="K10332" s="322"/>
      <c r="L10332" s="322"/>
      <c r="M10332" s="324"/>
    </row>
    <row r="10333" spans="1:18">
      <c r="A10333" s="267"/>
      <c r="B10333" s="271" t="s">
        <v>1524</v>
      </c>
      <c r="C10333" s="325"/>
      <c r="D10333" s="325"/>
      <c r="E10333" s="325"/>
      <c r="F10333" s="325"/>
      <c r="G10333" s="266" t="s">
        <v>1525</v>
      </c>
      <c r="H10333" s="325"/>
      <c r="I10333" s="325"/>
      <c r="J10333" s="325"/>
      <c r="K10333" s="325"/>
      <c r="L10333" s="325"/>
      <c r="M10333" s="326"/>
    </row>
    <row r="10334" spans="1:18">
      <c r="A10334" s="267"/>
      <c r="B10334" s="271"/>
      <c r="C10334" s="325"/>
      <c r="D10334" s="325"/>
      <c r="E10334" s="325" t="s">
        <v>1526</v>
      </c>
      <c r="F10334" s="325"/>
      <c r="G10334" s="266" t="s">
        <v>1527</v>
      </c>
      <c r="H10334" s="325"/>
      <c r="I10334" s="325"/>
      <c r="J10334" s="325"/>
      <c r="K10334" s="325"/>
      <c r="L10334" s="325"/>
      <c r="M10334" s="326"/>
    </row>
    <row r="10335" spans="1:18">
      <c r="A10335" s="267"/>
      <c r="B10335" s="271" t="s">
        <v>1</v>
      </c>
      <c r="C10335" s="325" t="s">
        <v>1412</v>
      </c>
      <c r="D10335" s="838" t="s">
        <v>1528</v>
      </c>
      <c r="E10335" s="838" t="s">
        <v>1529</v>
      </c>
      <c r="F10335" s="838" t="s">
        <v>1530</v>
      </c>
      <c r="G10335" s="1209">
        <v>40911</v>
      </c>
      <c r="H10335" s="325"/>
      <c r="I10335" s="325"/>
      <c r="J10335" s="838" t="s">
        <v>1531</v>
      </c>
      <c r="K10335" s="838" t="s">
        <v>1532</v>
      </c>
      <c r="L10335" s="325"/>
      <c r="M10335" s="326"/>
    </row>
    <row r="10336" spans="1:18">
      <c r="A10336" s="267"/>
      <c r="B10336" s="271" t="s">
        <v>1533</v>
      </c>
      <c r="C10336" s="325" t="s">
        <v>1534</v>
      </c>
      <c r="D10336" s="838">
        <v>1987</v>
      </c>
      <c r="E10336" s="838">
        <v>14.05</v>
      </c>
      <c r="F10336" s="838">
        <v>142.96</v>
      </c>
      <c r="G10336" s="325"/>
      <c r="H10336" s="325"/>
      <c r="I10336" s="325"/>
      <c r="J10336" s="838">
        <v>192.01</v>
      </c>
      <c r="K10336" s="838">
        <v>192.01</v>
      </c>
      <c r="L10336" s="325"/>
      <c r="M10336" s="326"/>
    </row>
    <row r="10337" spans="1:13">
      <c r="A10337" s="267"/>
      <c r="B10337" s="271" t="s">
        <v>1533</v>
      </c>
      <c r="C10337" s="325" t="s">
        <v>1534</v>
      </c>
      <c r="D10337" s="838">
        <v>1988</v>
      </c>
      <c r="E10337" s="838">
        <v>14.07</v>
      </c>
      <c r="F10337" s="838">
        <v>131.91</v>
      </c>
      <c r="G10337" s="325"/>
      <c r="H10337" s="325"/>
      <c r="I10337" s="325"/>
      <c r="J10337" s="838">
        <v>192.01</v>
      </c>
      <c r="K10337" s="838">
        <v>192.01</v>
      </c>
      <c r="L10337" s="325"/>
      <c r="M10337" s="326"/>
    </row>
    <row r="10338" spans="1:13">
      <c r="A10338" s="267"/>
      <c r="B10338" s="271" t="s">
        <v>1533</v>
      </c>
      <c r="C10338" s="325" t="s">
        <v>1534</v>
      </c>
      <c r="D10338" s="838">
        <v>1989</v>
      </c>
      <c r="E10338" s="838">
        <v>14.1</v>
      </c>
      <c r="F10338" s="838">
        <v>146.29</v>
      </c>
      <c r="G10338" s="325"/>
      <c r="H10338" s="325"/>
      <c r="I10338" s="325"/>
      <c r="J10338" s="838">
        <v>192.01</v>
      </c>
      <c r="K10338" s="838">
        <v>192.01</v>
      </c>
      <c r="L10338" s="325"/>
      <c r="M10338" s="326"/>
    </row>
    <row r="10339" spans="1:13">
      <c r="A10339" s="267"/>
      <c r="B10339" s="271" t="s">
        <v>1533</v>
      </c>
      <c r="C10339" s="325" t="s">
        <v>1534</v>
      </c>
      <c r="D10339" s="838">
        <v>1990</v>
      </c>
      <c r="E10339" s="838">
        <v>7.1</v>
      </c>
      <c r="F10339" s="838">
        <v>178.06</v>
      </c>
      <c r="G10339" s="325"/>
      <c r="H10339" s="325"/>
      <c r="I10339" s="325"/>
      <c r="J10339" s="838">
        <v>148.28</v>
      </c>
      <c r="K10339" s="838">
        <v>148.28</v>
      </c>
      <c r="L10339" s="325"/>
      <c r="M10339" s="326"/>
    </row>
    <row r="10340" spans="1:13">
      <c r="A10340" s="267"/>
      <c r="B10340" s="271" t="s">
        <v>1533</v>
      </c>
      <c r="C10340" s="325" t="s">
        <v>1534</v>
      </c>
      <c r="D10340" s="838">
        <v>1991</v>
      </c>
      <c r="E10340" s="838">
        <v>7.12</v>
      </c>
      <c r="F10340" s="838">
        <v>143.79</v>
      </c>
      <c r="G10340" s="325"/>
      <c r="H10340" s="325"/>
      <c r="I10340" s="325"/>
      <c r="J10340" s="838">
        <v>139.41999999999999</v>
      </c>
      <c r="K10340" s="838">
        <v>139.41999999999999</v>
      </c>
      <c r="L10340" s="325"/>
      <c r="M10340" s="326"/>
    </row>
    <row r="10341" spans="1:13">
      <c r="A10341" s="267"/>
      <c r="B10341" s="271" t="s">
        <v>1533</v>
      </c>
      <c r="C10341" s="325" t="s">
        <v>1534</v>
      </c>
      <c r="D10341" s="838">
        <v>1992</v>
      </c>
      <c r="E10341" s="838">
        <v>7.18</v>
      </c>
      <c r="F10341" s="838">
        <v>140.1</v>
      </c>
      <c r="G10341" s="325"/>
      <c r="H10341" s="325"/>
      <c r="I10341" s="325"/>
      <c r="J10341" s="838">
        <v>139.41999999999999</v>
      </c>
      <c r="K10341" s="838">
        <v>139.41999999999999</v>
      </c>
      <c r="L10341" s="325"/>
      <c r="M10341" s="326"/>
    </row>
    <row r="10342" spans="1:13">
      <c r="A10342" s="267"/>
      <c r="B10342" s="271" t="s">
        <v>1533</v>
      </c>
      <c r="C10342" s="325" t="s">
        <v>1534</v>
      </c>
      <c r="D10342" s="838">
        <v>1993</v>
      </c>
      <c r="E10342" s="838">
        <v>7.17</v>
      </c>
      <c r="F10342" s="838">
        <v>151.56</v>
      </c>
      <c r="G10342" s="325"/>
      <c r="H10342" s="325"/>
      <c r="I10342" s="325"/>
      <c r="J10342" s="838">
        <v>139.41999999999999</v>
      </c>
      <c r="K10342" s="838">
        <v>139.41999999999999</v>
      </c>
      <c r="L10342" s="325"/>
      <c r="M10342" s="326"/>
    </row>
    <row r="10343" spans="1:13">
      <c r="A10343" s="267"/>
      <c r="B10343" s="271" t="s">
        <v>1533</v>
      </c>
      <c r="C10343" s="325" t="s">
        <v>1534</v>
      </c>
      <c r="D10343" s="838">
        <v>1994</v>
      </c>
      <c r="E10343" s="838">
        <v>7.3</v>
      </c>
      <c r="F10343" s="838">
        <v>151.33000000000001</v>
      </c>
      <c r="G10343" s="325"/>
      <c r="H10343" s="325"/>
      <c r="I10343" s="325"/>
      <c r="J10343" s="838">
        <v>139.41999999999999</v>
      </c>
      <c r="K10343" s="838">
        <v>139.41999999999999</v>
      </c>
      <c r="L10343" s="325"/>
      <c r="M10343" s="326"/>
    </row>
    <row r="10344" spans="1:13">
      <c r="A10344" s="267"/>
      <c r="B10344" s="271" t="s">
        <v>1533</v>
      </c>
      <c r="C10344" s="325" t="s">
        <v>1534</v>
      </c>
      <c r="D10344" s="838">
        <v>1995</v>
      </c>
      <c r="E10344" s="838">
        <v>7.3</v>
      </c>
      <c r="F10344" s="838">
        <v>148.59</v>
      </c>
      <c r="G10344" s="325"/>
      <c r="H10344" s="325"/>
      <c r="I10344" s="325"/>
      <c r="J10344" s="838">
        <v>139.41999999999999</v>
      </c>
      <c r="K10344" s="838">
        <v>139.41999999999999</v>
      </c>
      <c r="L10344" s="325"/>
      <c r="M10344" s="326"/>
    </row>
    <row r="10345" spans="1:13">
      <c r="A10345" s="267"/>
      <c r="B10345" s="271" t="s">
        <v>1533</v>
      </c>
      <c r="C10345" s="325" t="s">
        <v>1534</v>
      </c>
      <c r="D10345" s="838">
        <v>1996</v>
      </c>
      <c r="E10345" s="838">
        <v>7.05</v>
      </c>
      <c r="F10345" s="838">
        <v>147.88999999999999</v>
      </c>
      <c r="G10345" s="325"/>
      <c r="H10345" s="325"/>
      <c r="I10345" s="325"/>
      <c r="J10345" s="838">
        <v>139.41999999999999</v>
      </c>
      <c r="K10345" s="838">
        <v>139.41999999999999</v>
      </c>
      <c r="L10345" s="325"/>
      <c r="M10345" s="326"/>
    </row>
    <row r="10346" spans="1:13">
      <c r="A10346" s="267"/>
      <c r="B10346" s="271" t="s">
        <v>1533</v>
      </c>
      <c r="C10346" s="325" t="s">
        <v>1534</v>
      </c>
      <c r="D10346" s="838">
        <v>1997</v>
      </c>
      <c r="E10346" s="838">
        <v>6.85</v>
      </c>
      <c r="F10346" s="838">
        <v>129.61000000000001</v>
      </c>
      <c r="G10346" s="325"/>
      <c r="H10346" s="325"/>
      <c r="I10346" s="325"/>
      <c r="J10346" s="838">
        <v>139.41999999999999</v>
      </c>
      <c r="K10346" s="838">
        <v>139.41999999999999</v>
      </c>
      <c r="L10346" s="325"/>
      <c r="M10346" s="326"/>
    </row>
    <row r="10347" spans="1:13">
      <c r="A10347" s="267"/>
      <c r="B10347" s="271" t="s">
        <v>1533</v>
      </c>
      <c r="C10347" s="325" t="s">
        <v>1534</v>
      </c>
      <c r="D10347" s="838">
        <v>1998</v>
      </c>
      <c r="E10347" s="838">
        <v>13.49</v>
      </c>
      <c r="F10347" s="838">
        <v>129</v>
      </c>
      <c r="G10347" s="325"/>
      <c r="H10347" s="325"/>
      <c r="I10347" s="325"/>
      <c r="J10347" s="838">
        <v>117.07</v>
      </c>
      <c r="K10347" s="838">
        <v>117.07</v>
      </c>
      <c r="L10347" s="325"/>
      <c r="M10347" s="326"/>
    </row>
    <row r="10348" spans="1:13">
      <c r="A10348" s="267"/>
      <c r="B10348" s="271" t="s">
        <v>1533</v>
      </c>
      <c r="C10348" s="325" t="s">
        <v>1534</v>
      </c>
      <c r="D10348" s="838">
        <v>1999</v>
      </c>
      <c r="E10348" s="838">
        <v>13.57</v>
      </c>
      <c r="F10348" s="838">
        <v>121.78</v>
      </c>
      <c r="G10348" s="325"/>
      <c r="H10348" s="325"/>
      <c r="I10348" s="325"/>
      <c r="J10348" s="838">
        <v>114.27</v>
      </c>
      <c r="K10348" s="838">
        <v>144.37</v>
      </c>
      <c r="L10348" s="325"/>
      <c r="M10348" s="326"/>
    </row>
    <row r="10349" spans="1:13">
      <c r="A10349" s="267"/>
      <c r="B10349" s="271" t="s">
        <v>1533</v>
      </c>
      <c r="C10349" s="325" t="s">
        <v>1534</v>
      </c>
      <c r="D10349" s="838">
        <v>2000</v>
      </c>
      <c r="E10349" s="838">
        <v>13.43</v>
      </c>
      <c r="F10349" s="838">
        <v>120.79</v>
      </c>
      <c r="G10349" s="325"/>
      <c r="H10349" s="325"/>
      <c r="I10349" s="325"/>
      <c r="J10349" s="838">
        <v>115.83</v>
      </c>
      <c r="K10349" s="838">
        <v>144.37</v>
      </c>
      <c r="L10349" s="325"/>
      <c r="M10349" s="326"/>
    </row>
    <row r="10350" spans="1:13">
      <c r="A10350" s="267"/>
      <c r="B10350" s="271" t="s">
        <v>1533</v>
      </c>
      <c r="C10350" s="325" t="s">
        <v>1534</v>
      </c>
      <c r="D10350" s="838">
        <v>2001</v>
      </c>
      <c r="E10350" s="838">
        <v>13.13</v>
      </c>
      <c r="F10350" s="838">
        <v>108.09</v>
      </c>
      <c r="G10350" s="325"/>
      <c r="H10350" s="325"/>
      <c r="I10350" s="325"/>
      <c r="J10350" s="838">
        <v>112.07</v>
      </c>
      <c r="K10350" s="838">
        <v>146.83000000000001</v>
      </c>
      <c r="L10350" s="325"/>
      <c r="M10350" s="326"/>
    </row>
    <row r="10351" spans="1:13">
      <c r="A10351" s="267"/>
      <c r="B10351" s="271" t="s">
        <v>1533</v>
      </c>
      <c r="C10351" s="325" t="s">
        <v>1534</v>
      </c>
      <c r="D10351" s="838">
        <v>2002</v>
      </c>
      <c r="E10351" s="838">
        <v>13.06</v>
      </c>
      <c r="F10351" s="838">
        <v>117.06</v>
      </c>
      <c r="G10351" s="325"/>
      <c r="H10351" s="325"/>
      <c r="I10351" s="325"/>
      <c r="J10351" s="838">
        <v>114.66</v>
      </c>
      <c r="K10351" s="838">
        <v>144.02000000000001</v>
      </c>
      <c r="L10351" s="325"/>
      <c r="M10351" s="326"/>
    </row>
    <row r="10352" spans="1:13">
      <c r="A10352" s="267"/>
      <c r="B10352" s="271" t="s">
        <v>1533</v>
      </c>
      <c r="C10352" s="325" t="s">
        <v>1534</v>
      </c>
      <c r="D10352" s="838">
        <v>2003</v>
      </c>
      <c r="E10352" s="838">
        <v>12.73</v>
      </c>
      <c r="F10352" s="838">
        <v>74.260000000000005</v>
      </c>
      <c r="G10352" s="325"/>
      <c r="H10352" s="325"/>
      <c r="I10352" s="325"/>
      <c r="J10352" s="838">
        <v>48.98</v>
      </c>
      <c r="K10352" s="838">
        <v>54.7</v>
      </c>
      <c r="L10352" s="325"/>
      <c r="M10352" s="326"/>
    </row>
    <row r="10353" spans="1:13">
      <c r="A10353" s="267"/>
      <c r="B10353" s="271" t="s">
        <v>1533</v>
      </c>
      <c r="C10353" s="325" t="s">
        <v>1534</v>
      </c>
      <c r="D10353" s="838">
        <v>2004</v>
      </c>
      <c r="E10353" s="838">
        <v>12.52</v>
      </c>
      <c r="F10353" s="838">
        <v>74.260000000000005</v>
      </c>
      <c r="G10353" s="325"/>
      <c r="H10353" s="325"/>
      <c r="I10353" s="325"/>
      <c r="J10353" s="838">
        <v>48.99</v>
      </c>
      <c r="K10353" s="838">
        <v>54.72</v>
      </c>
      <c r="L10353" s="325"/>
      <c r="M10353" s="326"/>
    </row>
    <row r="10354" spans="1:13">
      <c r="A10354" s="267"/>
      <c r="B10354" s="271" t="s">
        <v>1533</v>
      </c>
      <c r="C10354" s="325" t="s">
        <v>1534</v>
      </c>
      <c r="D10354" s="838">
        <v>2005</v>
      </c>
      <c r="E10354" s="838">
        <v>12.46</v>
      </c>
      <c r="F10354" s="838">
        <v>74.540000000000006</v>
      </c>
      <c r="G10354" s="325"/>
      <c r="H10354" s="325"/>
      <c r="I10354" s="325"/>
      <c r="J10354" s="838">
        <v>48.95</v>
      </c>
      <c r="K10354" s="838">
        <v>54.7</v>
      </c>
      <c r="L10354" s="325"/>
      <c r="M10354" s="326"/>
    </row>
    <row r="10355" spans="1:13">
      <c r="A10355" s="267"/>
      <c r="B10355" s="271" t="s">
        <v>1533</v>
      </c>
      <c r="C10355" s="325" t="s">
        <v>1534</v>
      </c>
      <c r="D10355" s="838">
        <v>2006</v>
      </c>
      <c r="E10355" s="838">
        <v>12.57</v>
      </c>
      <c r="F10355" s="838">
        <v>54.31</v>
      </c>
      <c r="G10355" s="325"/>
      <c r="H10355" s="325"/>
      <c r="I10355" s="325"/>
      <c r="J10355" s="838">
        <v>49.01</v>
      </c>
      <c r="K10355" s="838">
        <v>54.75</v>
      </c>
      <c r="L10355" s="325"/>
      <c r="M10355" s="326"/>
    </row>
    <row r="10356" spans="1:13">
      <c r="A10356" s="267"/>
      <c r="B10356" s="271" t="s">
        <v>1533</v>
      </c>
      <c r="C10356" s="325" t="s">
        <v>1534</v>
      </c>
      <c r="D10356" s="838">
        <v>2007</v>
      </c>
      <c r="E10356" s="838">
        <v>6.86</v>
      </c>
      <c r="F10356" s="838">
        <v>25.14</v>
      </c>
      <c r="G10356" s="325"/>
      <c r="H10356" s="325"/>
      <c r="I10356" s="325"/>
      <c r="J10356" s="838">
        <v>24.51</v>
      </c>
      <c r="K10356" s="838">
        <v>27.39</v>
      </c>
      <c r="L10356" s="325"/>
      <c r="M10356" s="326"/>
    </row>
    <row r="10357" spans="1:13">
      <c r="A10357" s="267"/>
      <c r="B10357" s="271" t="s">
        <v>1533</v>
      </c>
      <c r="C10357" s="325" t="s">
        <v>1534</v>
      </c>
      <c r="D10357" s="838">
        <v>2008</v>
      </c>
      <c r="E10357" s="838">
        <v>6.9</v>
      </c>
      <c r="F10357" s="838">
        <v>25.15</v>
      </c>
      <c r="G10357" s="325"/>
      <c r="H10357" s="325"/>
      <c r="I10357" s="325"/>
      <c r="J10357" s="838">
        <v>24.5</v>
      </c>
      <c r="K10357" s="838">
        <v>27.39</v>
      </c>
      <c r="L10357" s="325"/>
      <c r="M10357" s="326"/>
    </row>
    <row r="10358" spans="1:13">
      <c r="A10358" s="267"/>
      <c r="B10358" s="271" t="s">
        <v>1533</v>
      </c>
      <c r="C10358" s="325" t="s">
        <v>1534</v>
      </c>
      <c r="D10358" s="838">
        <v>2009</v>
      </c>
      <c r="E10358" s="838">
        <v>6.91</v>
      </c>
      <c r="F10358" s="838">
        <v>24.03</v>
      </c>
      <c r="G10358" s="325"/>
      <c r="H10358" s="325"/>
      <c r="I10358" s="325"/>
      <c r="J10358" s="838">
        <v>24.47</v>
      </c>
      <c r="K10358" s="838">
        <v>27.37</v>
      </c>
      <c r="L10358" s="325"/>
      <c r="M10358" s="326"/>
    </row>
    <row r="10359" spans="1:13">
      <c r="A10359" s="267"/>
      <c r="B10359" s="271" t="s">
        <v>1533</v>
      </c>
      <c r="C10359" s="325" t="s">
        <v>1534</v>
      </c>
      <c r="D10359" s="838">
        <v>2010</v>
      </c>
      <c r="E10359" s="838">
        <v>7.16</v>
      </c>
      <c r="F10359" s="838">
        <v>6.48</v>
      </c>
      <c r="G10359" s="325"/>
      <c r="H10359" s="325"/>
      <c r="I10359" s="325"/>
      <c r="J10359" s="838">
        <v>5.42</v>
      </c>
      <c r="K10359" s="838">
        <v>6.42</v>
      </c>
      <c r="L10359" s="325"/>
      <c r="M10359" s="326"/>
    </row>
    <row r="10360" spans="1:13">
      <c r="A10360" s="267"/>
      <c r="B10360" s="271" t="s">
        <v>1533</v>
      </c>
      <c r="C10360" s="325" t="s">
        <v>1534</v>
      </c>
      <c r="D10360" s="838">
        <v>2011</v>
      </c>
      <c r="E10360" s="838">
        <v>7.28</v>
      </c>
      <c r="F10360" s="838">
        <v>6.48</v>
      </c>
      <c r="G10360" s="325"/>
      <c r="H10360" s="325"/>
      <c r="I10360" s="325"/>
      <c r="J10360" s="838">
        <v>5.42</v>
      </c>
      <c r="K10360" s="838">
        <v>6.42</v>
      </c>
      <c r="L10360" s="325"/>
      <c r="M10360" s="326"/>
    </row>
    <row r="10361" spans="1:13">
      <c r="A10361" s="267"/>
      <c r="B10361" s="271" t="s">
        <v>1533</v>
      </c>
      <c r="C10361" s="325" t="s">
        <v>1534</v>
      </c>
      <c r="D10361" s="838">
        <v>2012</v>
      </c>
      <c r="E10361" s="838">
        <v>7.09</v>
      </c>
      <c r="F10361" s="838">
        <v>6.48</v>
      </c>
      <c r="G10361" s="325"/>
      <c r="H10361" s="325"/>
      <c r="I10361" s="325"/>
      <c r="J10361" s="838">
        <v>5.42</v>
      </c>
      <c r="K10361" s="838">
        <v>6.42</v>
      </c>
      <c r="L10361" s="325"/>
      <c r="M10361" s="326"/>
    </row>
    <row r="10362" spans="1:13">
      <c r="A10362" s="267"/>
      <c r="B10362" s="271" t="s">
        <v>1533</v>
      </c>
      <c r="C10362" s="325" t="s">
        <v>1535</v>
      </c>
      <c r="D10362" s="838">
        <v>1987</v>
      </c>
      <c r="E10362" s="838">
        <v>0.33</v>
      </c>
      <c r="F10362" s="838">
        <v>4.38</v>
      </c>
      <c r="G10362" s="325"/>
      <c r="H10362" s="325"/>
      <c r="I10362" s="325"/>
      <c r="J10362" s="838">
        <v>4.34</v>
      </c>
      <c r="K10362" s="838">
        <v>4.34</v>
      </c>
      <c r="L10362" s="325"/>
      <c r="M10362" s="326"/>
    </row>
    <row r="10363" spans="1:13">
      <c r="A10363" s="267"/>
      <c r="B10363" s="271" t="s">
        <v>1533</v>
      </c>
      <c r="C10363" s="325" t="s">
        <v>1535</v>
      </c>
      <c r="D10363" s="838">
        <v>1988</v>
      </c>
      <c r="E10363" s="838">
        <v>1.02</v>
      </c>
      <c r="F10363" s="838">
        <v>4.41</v>
      </c>
      <c r="G10363" s="325"/>
      <c r="H10363" s="325"/>
      <c r="I10363" s="325"/>
      <c r="J10363" s="838">
        <v>4.34</v>
      </c>
      <c r="K10363" s="838">
        <v>4.34</v>
      </c>
      <c r="L10363" s="325"/>
      <c r="M10363" s="326"/>
    </row>
    <row r="10364" spans="1:13">
      <c r="A10364" s="267"/>
      <c r="B10364" s="271" t="s">
        <v>1533</v>
      </c>
      <c r="C10364" s="325" t="s">
        <v>1535</v>
      </c>
      <c r="D10364" s="838">
        <v>1989</v>
      </c>
      <c r="E10364" s="838">
        <v>1.02</v>
      </c>
      <c r="F10364" s="838">
        <v>4.3899999999999997</v>
      </c>
      <c r="G10364" s="325"/>
      <c r="H10364" s="325"/>
      <c r="I10364" s="325"/>
      <c r="J10364" s="838">
        <v>4.34</v>
      </c>
      <c r="K10364" s="838">
        <v>4.34</v>
      </c>
      <c r="L10364" s="325"/>
      <c r="M10364" s="326"/>
    </row>
    <row r="10365" spans="1:13">
      <c r="A10365" s="267"/>
      <c r="B10365" s="271" t="s">
        <v>1533</v>
      </c>
      <c r="C10365" s="325" t="s">
        <v>1535</v>
      </c>
      <c r="D10365" s="838">
        <v>1990</v>
      </c>
      <c r="E10365" s="838">
        <v>0.32</v>
      </c>
      <c r="F10365" s="838">
        <v>4.37</v>
      </c>
      <c r="G10365" s="325"/>
      <c r="H10365" s="325"/>
      <c r="I10365" s="325"/>
      <c r="J10365" s="838">
        <v>4.34</v>
      </c>
      <c r="K10365" s="838">
        <v>4.34</v>
      </c>
      <c r="L10365" s="325"/>
      <c r="M10365" s="326"/>
    </row>
    <row r="10366" spans="1:13">
      <c r="A10366" s="267"/>
      <c r="B10366" s="271" t="s">
        <v>1533</v>
      </c>
      <c r="C10366" s="325" t="s">
        <v>1535</v>
      </c>
      <c r="D10366" s="838">
        <v>1991</v>
      </c>
      <c r="E10366" s="838">
        <v>0.36</v>
      </c>
      <c r="F10366" s="838">
        <v>4.1100000000000003</v>
      </c>
      <c r="G10366" s="325"/>
      <c r="H10366" s="325"/>
      <c r="I10366" s="325"/>
      <c r="J10366" s="838">
        <v>4.34</v>
      </c>
      <c r="K10366" s="838">
        <v>4.34</v>
      </c>
      <c r="L10366" s="325"/>
      <c r="M10366" s="326"/>
    </row>
    <row r="10367" spans="1:13">
      <c r="A10367" s="267"/>
      <c r="B10367" s="271" t="s">
        <v>1533</v>
      </c>
      <c r="C10367" s="325" t="s">
        <v>1535</v>
      </c>
      <c r="D10367" s="838">
        <v>1992</v>
      </c>
      <c r="E10367" s="838">
        <v>0.36</v>
      </c>
      <c r="F10367" s="838">
        <v>3.95</v>
      </c>
      <c r="G10367" s="325"/>
      <c r="H10367" s="325"/>
      <c r="I10367" s="325"/>
      <c r="J10367" s="838">
        <v>4.34</v>
      </c>
      <c r="K10367" s="838">
        <v>4.34</v>
      </c>
      <c r="L10367" s="325"/>
      <c r="M10367" s="326"/>
    </row>
    <row r="10368" spans="1:13">
      <c r="A10368" s="267"/>
      <c r="B10368" s="271" t="s">
        <v>1533</v>
      </c>
      <c r="C10368" s="325" t="s">
        <v>1535</v>
      </c>
      <c r="D10368" s="838">
        <v>1993</v>
      </c>
      <c r="E10368" s="838">
        <v>0.27</v>
      </c>
      <c r="F10368" s="838">
        <v>4.1900000000000004</v>
      </c>
      <c r="G10368" s="325"/>
      <c r="H10368" s="325"/>
      <c r="I10368" s="325"/>
      <c r="J10368" s="838">
        <v>4.34</v>
      </c>
      <c r="K10368" s="838">
        <v>4.34</v>
      </c>
      <c r="L10368" s="325"/>
      <c r="M10368" s="326"/>
    </row>
    <row r="10369" spans="1:13">
      <c r="A10369" s="267"/>
      <c r="B10369" s="271" t="s">
        <v>1533</v>
      </c>
      <c r="C10369" s="325" t="s">
        <v>1535</v>
      </c>
      <c r="D10369" s="838">
        <v>1994</v>
      </c>
      <c r="E10369" s="838">
        <v>0.09</v>
      </c>
      <c r="F10369" s="838">
        <v>7.29</v>
      </c>
      <c r="G10369" s="325"/>
      <c r="H10369" s="325"/>
      <c r="I10369" s="325"/>
      <c r="J10369" s="838">
        <v>7.13</v>
      </c>
      <c r="K10369" s="838">
        <v>6.83</v>
      </c>
      <c r="L10369" s="325"/>
      <c r="M10369" s="326"/>
    </row>
    <row r="10370" spans="1:13">
      <c r="A10370" s="267"/>
      <c r="B10370" s="271" t="s">
        <v>1533</v>
      </c>
      <c r="C10370" s="325" t="s">
        <v>1535</v>
      </c>
      <c r="D10370" s="838">
        <v>1995</v>
      </c>
      <c r="E10370" s="838">
        <v>0.1</v>
      </c>
      <c r="F10370" s="838">
        <v>6.66</v>
      </c>
      <c r="G10370" s="325"/>
      <c r="H10370" s="325"/>
      <c r="I10370" s="325"/>
      <c r="J10370" s="838">
        <v>7.14</v>
      </c>
      <c r="K10370" s="838">
        <v>6.81</v>
      </c>
      <c r="L10370" s="325"/>
      <c r="M10370" s="326"/>
    </row>
    <row r="10371" spans="1:13">
      <c r="A10371" s="267"/>
      <c r="B10371" s="271" t="s">
        <v>1533</v>
      </c>
      <c r="C10371" s="325" t="s">
        <v>1535</v>
      </c>
      <c r="D10371" s="838">
        <v>1996</v>
      </c>
      <c r="E10371" s="838">
        <v>0.24</v>
      </c>
      <c r="F10371" s="838">
        <v>6.58</v>
      </c>
      <c r="G10371" s="325"/>
      <c r="H10371" s="325"/>
      <c r="I10371" s="325"/>
      <c r="J10371" s="838">
        <v>7.16</v>
      </c>
      <c r="K10371" s="838">
        <v>6.83</v>
      </c>
      <c r="L10371" s="325"/>
      <c r="M10371" s="326"/>
    </row>
    <row r="10372" spans="1:13">
      <c r="A10372" s="267"/>
      <c r="B10372" s="271" t="s">
        <v>1533</v>
      </c>
      <c r="C10372" s="325" t="s">
        <v>1535</v>
      </c>
      <c r="D10372" s="838">
        <v>1997</v>
      </c>
      <c r="E10372" s="838">
        <v>0.26</v>
      </c>
      <c r="F10372" s="838">
        <v>5.8</v>
      </c>
      <c r="G10372" s="325"/>
      <c r="H10372" s="325"/>
      <c r="I10372" s="325"/>
      <c r="J10372" s="838">
        <v>7.17</v>
      </c>
      <c r="K10372" s="838">
        <v>6.76</v>
      </c>
      <c r="L10372" s="325"/>
      <c r="M10372" s="326"/>
    </row>
    <row r="10373" spans="1:13">
      <c r="A10373" s="267"/>
      <c r="B10373" s="271" t="s">
        <v>1533</v>
      </c>
      <c r="C10373" s="325" t="s">
        <v>1535</v>
      </c>
      <c r="D10373" s="838">
        <v>1998</v>
      </c>
      <c r="E10373" s="838">
        <v>0.11</v>
      </c>
      <c r="F10373" s="838">
        <v>6.57</v>
      </c>
      <c r="G10373" s="325"/>
      <c r="H10373" s="325"/>
      <c r="I10373" s="325"/>
      <c r="J10373" s="838">
        <v>6.78</v>
      </c>
      <c r="K10373" s="838">
        <v>6.48</v>
      </c>
      <c r="L10373" s="325"/>
      <c r="M10373" s="326"/>
    </row>
    <row r="10374" spans="1:13">
      <c r="A10374" s="267"/>
      <c r="B10374" s="271" t="s">
        <v>1533</v>
      </c>
      <c r="C10374" s="325" t="s">
        <v>1535</v>
      </c>
      <c r="D10374" s="838">
        <v>1999</v>
      </c>
      <c r="E10374" s="838">
        <v>0.06</v>
      </c>
      <c r="F10374" s="838">
        <v>6.23</v>
      </c>
      <c r="G10374" s="325"/>
      <c r="H10374" s="325"/>
      <c r="I10374" s="325"/>
      <c r="J10374" s="838">
        <v>6.88</v>
      </c>
      <c r="K10374" s="838">
        <v>6.48</v>
      </c>
      <c r="L10374" s="325"/>
      <c r="M10374" s="326"/>
    </row>
    <row r="10375" spans="1:13">
      <c r="A10375" s="267"/>
      <c r="B10375" s="271" t="s">
        <v>1533</v>
      </c>
      <c r="C10375" s="325" t="s">
        <v>1535</v>
      </c>
      <c r="D10375" s="838">
        <v>2000</v>
      </c>
      <c r="E10375" s="838">
        <v>0.02</v>
      </c>
      <c r="F10375" s="838">
        <v>6.14</v>
      </c>
      <c r="G10375" s="325"/>
      <c r="H10375" s="325"/>
      <c r="I10375" s="325"/>
      <c r="J10375" s="838">
        <v>6.86</v>
      </c>
      <c r="K10375" s="838">
        <v>6.48</v>
      </c>
      <c r="L10375" s="325"/>
      <c r="M10375" s="326"/>
    </row>
    <row r="10376" spans="1:13">
      <c r="A10376" s="267"/>
      <c r="B10376" s="271" t="s">
        <v>1533</v>
      </c>
      <c r="C10376" s="325" t="s">
        <v>1535</v>
      </c>
      <c r="D10376" s="838">
        <v>2001</v>
      </c>
      <c r="E10376" s="838">
        <v>0.02</v>
      </c>
      <c r="F10376" s="838">
        <v>5.54</v>
      </c>
      <c r="G10376" s="325"/>
      <c r="H10376" s="325"/>
      <c r="I10376" s="325"/>
      <c r="J10376" s="838">
        <v>6.91</v>
      </c>
      <c r="K10376" s="838">
        <v>6.45</v>
      </c>
      <c r="L10376" s="325"/>
      <c r="M10376" s="326"/>
    </row>
    <row r="10377" spans="1:13">
      <c r="A10377" s="267"/>
      <c r="B10377" s="271" t="s">
        <v>1533</v>
      </c>
      <c r="C10377" s="325" t="s">
        <v>1535</v>
      </c>
      <c r="D10377" s="838">
        <v>2002</v>
      </c>
      <c r="E10377" s="838">
        <v>0.1</v>
      </c>
      <c r="F10377" s="838">
        <v>5.97</v>
      </c>
      <c r="G10377" s="325"/>
      <c r="H10377" s="325"/>
      <c r="I10377" s="325"/>
      <c r="J10377" s="838">
        <v>6.88</v>
      </c>
      <c r="K10377" s="838">
        <v>6.48</v>
      </c>
      <c r="L10377" s="325"/>
      <c r="M10377" s="326"/>
    </row>
    <row r="10378" spans="1:13">
      <c r="A10378" s="267"/>
      <c r="B10378" s="271" t="s">
        <v>1533</v>
      </c>
      <c r="C10378" s="325" t="s">
        <v>1535</v>
      </c>
      <c r="D10378" s="838">
        <v>2003</v>
      </c>
      <c r="E10378" s="838">
        <v>0.05</v>
      </c>
      <c r="F10378" s="838">
        <v>5.14</v>
      </c>
      <c r="G10378" s="325"/>
      <c r="H10378" s="325"/>
      <c r="I10378" s="325"/>
      <c r="J10378" s="838">
        <v>6.22</v>
      </c>
      <c r="K10378" s="838">
        <v>5.87</v>
      </c>
      <c r="L10378" s="325"/>
      <c r="M10378" s="326"/>
    </row>
    <row r="10379" spans="1:13">
      <c r="A10379" s="267"/>
      <c r="B10379" s="271" t="s">
        <v>1533</v>
      </c>
      <c r="C10379" s="325" t="s">
        <v>1535</v>
      </c>
      <c r="D10379" s="838">
        <v>2004</v>
      </c>
      <c r="E10379" s="838">
        <v>0.11</v>
      </c>
      <c r="F10379" s="838">
        <v>4.74</v>
      </c>
      <c r="G10379" s="325"/>
      <c r="H10379" s="325"/>
      <c r="I10379" s="325"/>
      <c r="J10379" s="838">
        <v>6.22</v>
      </c>
      <c r="K10379" s="838">
        <v>5.86</v>
      </c>
      <c r="L10379" s="325"/>
      <c r="M10379" s="326"/>
    </row>
    <row r="10380" spans="1:13">
      <c r="A10380" s="267"/>
      <c r="B10380" s="271" t="s">
        <v>1533</v>
      </c>
      <c r="C10380" s="325" t="s">
        <v>1535</v>
      </c>
      <c r="D10380" s="838">
        <v>2005</v>
      </c>
      <c r="E10380" s="838">
        <v>0.1</v>
      </c>
      <c r="F10380" s="838">
        <v>4.7300000000000004</v>
      </c>
      <c r="G10380" s="325"/>
      <c r="H10380" s="325"/>
      <c r="I10380" s="325"/>
      <c r="J10380" s="838">
        <v>6.22</v>
      </c>
      <c r="K10380" s="838">
        <v>5.86</v>
      </c>
      <c r="L10380" s="325"/>
      <c r="M10380" s="326"/>
    </row>
    <row r="10381" spans="1:13">
      <c r="A10381" s="267"/>
      <c r="B10381" s="271" t="s">
        <v>1533</v>
      </c>
      <c r="C10381" s="325" t="s">
        <v>1535</v>
      </c>
      <c r="D10381" s="838">
        <v>2006</v>
      </c>
      <c r="E10381" s="838">
        <v>0.1</v>
      </c>
      <c r="F10381" s="838">
        <v>4.72</v>
      </c>
      <c r="G10381" s="325"/>
      <c r="H10381" s="325"/>
      <c r="I10381" s="325"/>
      <c r="J10381" s="838">
        <v>6.22</v>
      </c>
      <c r="K10381" s="838">
        <v>5.86</v>
      </c>
      <c r="L10381" s="325"/>
      <c r="M10381" s="326"/>
    </row>
    <row r="10382" spans="1:13">
      <c r="A10382" s="267"/>
      <c r="B10382" s="271" t="s">
        <v>1533</v>
      </c>
      <c r="C10382" s="325" t="s">
        <v>1535</v>
      </c>
      <c r="D10382" s="838">
        <v>2007</v>
      </c>
      <c r="E10382" s="838">
        <v>0.09</v>
      </c>
      <c r="F10382" s="838">
        <v>0.35</v>
      </c>
      <c r="G10382" s="325"/>
      <c r="H10382" s="325"/>
      <c r="I10382" s="325"/>
      <c r="J10382" s="838">
        <v>0.3</v>
      </c>
      <c r="K10382" s="838">
        <v>0.31</v>
      </c>
      <c r="L10382" s="325"/>
      <c r="M10382" s="326"/>
    </row>
    <row r="10383" spans="1:13">
      <c r="A10383" s="267"/>
      <c r="B10383" s="271" t="s">
        <v>1533</v>
      </c>
      <c r="C10383" s="325" t="s">
        <v>1535</v>
      </c>
      <c r="D10383" s="838">
        <v>2008</v>
      </c>
      <c r="E10383" s="838">
        <v>0.09</v>
      </c>
      <c r="F10383" s="838">
        <v>0.35</v>
      </c>
      <c r="G10383" s="325"/>
      <c r="H10383" s="325"/>
      <c r="I10383" s="325"/>
      <c r="J10383" s="838">
        <v>0.3</v>
      </c>
      <c r="K10383" s="838">
        <v>0.31</v>
      </c>
      <c r="L10383" s="325"/>
      <c r="M10383" s="326"/>
    </row>
    <row r="10384" spans="1:13">
      <c r="A10384" s="267"/>
      <c r="B10384" s="271" t="s">
        <v>1533</v>
      </c>
      <c r="C10384" s="325" t="s">
        <v>1535</v>
      </c>
      <c r="D10384" s="838">
        <v>2009</v>
      </c>
      <c r="E10384" s="838">
        <v>0.06</v>
      </c>
      <c r="F10384" s="838">
        <v>0.18</v>
      </c>
      <c r="G10384" s="325"/>
      <c r="H10384" s="325"/>
      <c r="I10384" s="325"/>
      <c r="J10384" s="838">
        <v>0.18</v>
      </c>
      <c r="K10384" s="838">
        <v>0.19</v>
      </c>
      <c r="L10384" s="325"/>
      <c r="M10384" s="326"/>
    </row>
    <row r="10385" spans="1:13">
      <c r="A10385" s="267"/>
      <c r="B10385" s="271" t="s">
        <v>1533</v>
      </c>
      <c r="C10385" s="325" t="s">
        <v>1535</v>
      </c>
      <c r="D10385" s="838">
        <v>2010</v>
      </c>
      <c r="E10385" s="838">
        <v>0.06</v>
      </c>
      <c r="F10385" s="838">
        <v>0.18</v>
      </c>
      <c r="G10385" s="325"/>
      <c r="H10385" s="325"/>
      <c r="I10385" s="325"/>
      <c r="J10385" s="838">
        <v>0.18</v>
      </c>
      <c r="K10385" s="838">
        <v>0.19</v>
      </c>
      <c r="L10385" s="325"/>
      <c r="M10385" s="326"/>
    </row>
    <row r="10386" spans="1:13">
      <c r="A10386" s="267"/>
      <c r="B10386" s="271" t="s">
        <v>1533</v>
      </c>
      <c r="C10386" s="325" t="s">
        <v>1535</v>
      </c>
      <c r="D10386" s="838">
        <v>2011</v>
      </c>
      <c r="E10386" s="838">
        <v>0.06</v>
      </c>
      <c r="F10386" s="838">
        <v>0.18</v>
      </c>
      <c r="G10386" s="325"/>
      <c r="H10386" s="325"/>
      <c r="I10386" s="325"/>
      <c r="J10386" s="838">
        <v>0.18</v>
      </c>
      <c r="K10386" s="838">
        <v>0.19</v>
      </c>
      <c r="L10386" s="325"/>
      <c r="M10386" s="326"/>
    </row>
    <row r="10387" spans="1:13">
      <c r="A10387" s="267"/>
      <c r="B10387" s="271" t="s">
        <v>1533</v>
      </c>
      <c r="C10387" s="325" t="s">
        <v>1535</v>
      </c>
      <c r="D10387" s="838">
        <v>2012</v>
      </c>
      <c r="E10387" s="838">
        <v>0.06</v>
      </c>
      <c r="F10387" s="838">
        <v>0.18</v>
      </c>
      <c r="G10387" s="325"/>
      <c r="H10387" s="325"/>
      <c r="I10387" s="325"/>
      <c r="J10387" s="838">
        <v>0.18</v>
      </c>
      <c r="K10387" s="838">
        <v>0.19</v>
      </c>
      <c r="L10387" s="325"/>
      <c r="M10387" s="326"/>
    </row>
    <row r="10388" spans="1:13">
      <c r="A10388" s="267"/>
      <c r="B10388" s="271"/>
      <c r="C10388" s="325"/>
      <c r="D10388" s="325"/>
      <c r="E10388" s="325"/>
      <c r="F10388" s="325"/>
      <c r="G10388" s="325"/>
      <c r="H10388" s="325"/>
      <c r="I10388" s="325"/>
      <c r="J10388" s="325"/>
      <c r="K10388" s="325"/>
      <c r="L10388" s="325"/>
      <c r="M10388" s="326"/>
    </row>
    <row r="10389" spans="1:13">
      <c r="A10389" s="267"/>
      <c r="B10389" s="271" t="s">
        <v>1536</v>
      </c>
      <c r="C10389" s="325"/>
      <c r="D10389" s="325"/>
      <c r="E10389" s="325"/>
      <c r="F10389" s="325"/>
      <c r="G10389" s="325"/>
      <c r="H10389" s="325"/>
      <c r="I10389" s="325"/>
      <c r="J10389" s="325"/>
      <c r="K10389" s="325"/>
      <c r="L10389" s="325"/>
      <c r="M10389" s="326"/>
    </row>
    <row r="10390" spans="1:13">
      <c r="A10390" s="267"/>
      <c r="B10390" s="271" t="s">
        <v>1537</v>
      </c>
      <c r="C10390" s="325" t="s">
        <v>1538</v>
      </c>
      <c r="D10390" s="325"/>
      <c r="E10390" s="325"/>
      <c r="F10390" s="325"/>
      <c r="G10390" s="325"/>
      <c r="H10390" s="325"/>
      <c r="I10390" s="325"/>
      <c r="J10390" s="325"/>
      <c r="K10390" s="325"/>
      <c r="L10390" s="325"/>
      <c r="M10390" s="326"/>
    </row>
    <row r="10391" spans="1:13">
      <c r="A10391" s="267"/>
      <c r="B10391" s="271" t="s">
        <v>1530</v>
      </c>
      <c r="C10391" s="325" t="s">
        <v>1539</v>
      </c>
      <c r="D10391" s="325"/>
      <c r="E10391" s="325"/>
      <c r="F10391" s="325"/>
      <c r="G10391" s="325"/>
      <c r="H10391" s="325"/>
      <c r="I10391" s="325"/>
      <c r="J10391" s="325"/>
      <c r="K10391" s="325"/>
      <c r="L10391" s="325"/>
      <c r="M10391" s="326"/>
    </row>
    <row r="10392" spans="1:13">
      <c r="A10392" s="267"/>
      <c r="B10392" s="271" t="s">
        <v>1531</v>
      </c>
      <c r="C10392" s="325" t="s">
        <v>1540</v>
      </c>
      <c r="D10392" s="325"/>
      <c r="E10392" s="325"/>
      <c r="F10392" s="325"/>
      <c r="G10392" s="325"/>
      <c r="H10392" s="325"/>
      <c r="I10392" s="325"/>
      <c r="J10392" s="325"/>
      <c r="K10392" s="325"/>
      <c r="L10392" s="325"/>
      <c r="M10392" s="326"/>
    </row>
    <row r="10393" spans="1:13">
      <c r="A10393" s="267"/>
      <c r="B10393" s="271" t="s">
        <v>1532</v>
      </c>
      <c r="C10393" s="325" t="s">
        <v>1541</v>
      </c>
      <c r="D10393" s="325"/>
      <c r="E10393" s="325"/>
      <c r="F10393" s="325"/>
      <c r="G10393" s="325"/>
      <c r="H10393" s="325"/>
      <c r="I10393" s="325"/>
      <c r="J10393" s="325"/>
      <c r="K10393" s="325"/>
      <c r="L10393" s="325"/>
      <c r="M10393" s="326"/>
    </row>
    <row r="10394" spans="1:13">
      <c r="A10394" s="267"/>
      <c r="B10394" s="271"/>
      <c r="C10394" s="325"/>
      <c r="D10394" s="325"/>
      <c r="E10394" s="325"/>
      <c r="F10394" s="325"/>
      <c r="G10394" s="325"/>
      <c r="H10394" s="325"/>
      <c r="I10394" s="325"/>
      <c r="J10394" s="325"/>
      <c r="K10394" s="325"/>
      <c r="L10394" s="325"/>
      <c r="M10394" s="326"/>
    </row>
    <row r="10395" spans="1:13">
      <c r="A10395" s="267"/>
      <c r="B10395" s="271"/>
      <c r="C10395" s="325"/>
      <c r="D10395" s="325"/>
      <c r="E10395" s="325"/>
      <c r="F10395" s="325"/>
      <c r="G10395" s="325"/>
      <c r="H10395" s="325"/>
      <c r="I10395" s="325"/>
      <c r="J10395" s="325"/>
      <c r="K10395" s="325"/>
      <c r="L10395" s="325"/>
      <c r="M10395" s="326"/>
    </row>
    <row r="10396" spans="1:13">
      <c r="A10396" s="267"/>
      <c r="B10396" s="271"/>
      <c r="C10396" s="325"/>
      <c r="D10396" s="325"/>
      <c r="E10396" s="325"/>
      <c r="F10396" s="325"/>
      <c r="G10396" s="325"/>
      <c r="H10396" s="325"/>
      <c r="I10396" s="325"/>
      <c r="J10396" s="325"/>
      <c r="K10396" s="325"/>
      <c r="L10396" s="325"/>
      <c r="M10396" s="326"/>
    </row>
    <row r="10397" spans="1:13">
      <c r="A10397" s="267"/>
      <c r="B10397" s="271"/>
      <c r="C10397" s="325"/>
      <c r="D10397" s="325"/>
      <c r="E10397" s="325"/>
      <c r="F10397" s="325"/>
      <c r="G10397" s="325"/>
      <c r="H10397" s="325"/>
      <c r="I10397" s="325"/>
      <c r="J10397" s="325"/>
      <c r="K10397" s="325"/>
      <c r="L10397" s="325"/>
      <c r="M10397" s="326"/>
    </row>
    <row r="10398" spans="1:13">
      <c r="A10398" s="267"/>
      <c r="B10398" s="271" t="s">
        <v>10</v>
      </c>
      <c r="C10398" s="325"/>
      <c r="D10398" s="325"/>
      <c r="E10398" s="325"/>
      <c r="F10398" s="325"/>
      <c r="G10398" s="325"/>
      <c r="H10398" s="325"/>
      <c r="I10398" s="325"/>
      <c r="J10398" s="325"/>
      <c r="K10398" s="325"/>
      <c r="L10398" s="325"/>
      <c r="M10398" s="326"/>
    </row>
    <row r="10399" spans="1:13">
      <c r="A10399" s="267"/>
      <c r="B10399" s="812" t="s">
        <v>1542</v>
      </c>
      <c r="C10399" s="325"/>
      <c r="D10399" s="325"/>
      <c r="E10399" s="325"/>
      <c r="F10399" s="325"/>
      <c r="G10399" s="325"/>
      <c r="H10399" s="325"/>
      <c r="I10399" s="325"/>
      <c r="J10399" s="325"/>
      <c r="K10399" s="325"/>
      <c r="L10399" s="325"/>
      <c r="M10399" s="326"/>
    </row>
    <row r="10400" spans="1:13">
      <c r="A10400" s="267"/>
      <c r="B10400" s="1210" t="s">
        <v>1543</v>
      </c>
      <c r="C10400" s="325"/>
      <c r="D10400" s="325"/>
      <c r="E10400" s="325"/>
      <c r="F10400" s="325"/>
      <c r="G10400" s="325"/>
      <c r="H10400" s="325"/>
      <c r="I10400" s="325"/>
      <c r="J10400" s="325"/>
      <c r="K10400" s="325"/>
      <c r="L10400" s="325"/>
      <c r="M10400" s="326"/>
    </row>
    <row r="10401" spans="1:13">
      <c r="A10401" s="267"/>
      <c r="B10401" s="271" t="s">
        <v>1544</v>
      </c>
      <c r="C10401" s="325"/>
      <c r="D10401" s="325"/>
      <c r="E10401" s="325"/>
      <c r="F10401" s="325"/>
      <c r="G10401" s="325"/>
      <c r="H10401" s="325"/>
      <c r="I10401" s="325"/>
      <c r="J10401" s="325"/>
      <c r="K10401" s="325"/>
      <c r="L10401" s="325"/>
      <c r="M10401" s="326"/>
    </row>
    <row r="10402" spans="1:13">
      <c r="A10402" s="267"/>
      <c r="B10402" s="271"/>
      <c r="C10402" s="325"/>
      <c r="D10402" s="325"/>
      <c r="E10402" s="325"/>
      <c r="F10402" s="325"/>
      <c r="G10402" s="325"/>
      <c r="H10402" s="325"/>
      <c r="I10402" s="325"/>
      <c r="J10402" s="325"/>
      <c r="K10402" s="325"/>
      <c r="L10402" s="325"/>
      <c r="M10402" s="326"/>
    </row>
    <row r="10403" spans="1:13">
      <c r="A10403" s="267"/>
      <c r="B10403" s="271"/>
      <c r="C10403" s="325"/>
      <c r="D10403" s="325"/>
      <c r="E10403" s="325"/>
      <c r="F10403" s="325"/>
      <c r="G10403" s="325"/>
      <c r="H10403" s="325"/>
      <c r="I10403" s="325"/>
      <c r="J10403" s="325"/>
      <c r="K10403" s="325"/>
      <c r="L10403" s="325"/>
      <c r="M10403" s="326"/>
    </row>
    <row r="10404" spans="1:13">
      <c r="A10404" s="267"/>
      <c r="B10404" s="271"/>
      <c r="C10404" s="325"/>
      <c r="D10404" s="325"/>
      <c r="E10404" s="325"/>
      <c r="F10404" s="325"/>
      <c r="G10404" s="325"/>
      <c r="H10404" s="325"/>
      <c r="I10404" s="325"/>
      <c r="J10404" s="325"/>
      <c r="K10404" s="325"/>
      <c r="L10404" s="325"/>
      <c r="M10404" s="326"/>
    </row>
    <row r="10405" spans="1:13">
      <c r="A10405" s="267"/>
      <c r="B10405" s="811" t="s">
        <v>1545</v>
      </c>
      <c r="C10405" s="583"/>
      <c r="D10405" s="1211" t="s">
        <v>1546</v>
      </c>
      <c r="E10405" s="1211" t="s">
        <v>1547</v>
      </c>
      <c r="F10405" s="1211" t="s">
        <v>1548</v>
      </c>
      <c r="G10405" s="1211" t="s">
        <v>1546</v>
      </c>
      <c r="H10405" s="1211" t="s">
        <v>1546</v>
      </c>
      <c r="I10405" s="1211" t="s">
        <v>1546</v>
      </c>
      <c r="J10405" s="1211" t="s">
        <v>1546</v>
      </c>
      <c r="K10405" s="1211" t="s">
        <v>1546</v>
      </c>
      <c r="L10405" s="1211" t="s">
        <v>1547</v>
      </c>
      <c r="M10405" s="1212" t="s">
        <v>1549</v>
      </c>
    </row>
    <row r="10406" spans="1:13" ht="23">
      <c r="A10406" s="267"/>
      <c r="B10406" s="811" t="s">
        <v>1550</v>
      </c>
      <c r="C10406" s="583"/>
      <c r="D10406" s="1211" t="s">
        <v>1551</v>
      </c>
      <c r="E10406" s="1211" t="s">
        <v>1551</v>
      </c>
      <c r="F10406" s="1211" t="s">
        <v>1551</v>
      </c>
      <c r="G10406" s="1211" t="s">
        <v>1552</v>
      </c>
      <c r="H10406" s="1211" t="s">
        <v>1553</v>
      </c>
      <c r="I10406" s="1211" t="s">
        <v>1554</v>
      </c>
      <c r="J10406" s="1211" t="s">
        <v>255</v>
      </c>
      <c r="K10406" s="1211" t="s">
        <v>4</v>
      </c>
      <c r="L10406" s="1211" t="s">
        <v>4</v>
      </c>
      <c r="M10406" s="1212" t="s">
        <v>1554</v>
      </c>
    </row>
    <row r="10407" spans="1:13">
      <c r="A10407" s="267"/>
      <c r="B10407" s="271" t="s">
        <v>1555</v>
      </c>
      <c r="C10407" s="325"/>
      <c r="D10407" s="325"/>
      <c r="E10407" s="325"/>
      <c r="F10407" s="325"/>
      <c r="G10407" s="325"/>
      <c r="H10407" s="325"/>
      <c r="I10407" s="325"/>
      <c r="J10407" s="325"/>
      <c r="K10407" s="325"/>
      <c r="L10407" s="325"/>
      <c r="M10407" s="326"/>
    </row>
    <row r="10408" spans="1:13">
      <c r="A10408" s="267"/>
      <c r="B10408" s="271" t="s">
        <v>1556</v>
      </c>
      <c r="C10408" s="325" t="s">
        <v>1557</v>
      </c>
      <c r="D10408" s="325">
        <v>0</v>
      </c>
      <c r="E10408" s="325">
        <v>0</v>
      </c>
      <c r="F10408" s="325">
        <v>0</v>
      </c>
      <c r="G10408" s="325">
        <v>0</v>
      </c>
      <c r="H10408" s="325">
        <v>0</v>
      </c>
      <c r="I10408" s="325">
        <v>0</v>
      </c>
      <c r="J10408" s="325">
        <v>0</v>
      </c>
      <c r="K10408" s="325">
        <v>0</v>
      </c>
      <c r="L10408" s="325">
        <v>0</v>
      </c>
      <c r="M10408" s="326">
        <v>0</v>
      </c>
    </row>
    <row r="10409" spans="1:13">
      <c r="A10409" s="267"/>
      <c r="B10409" s="271" t="s">
        <v>1558</v>
      </c>
      <c r="C10409" s="325" t="s">
        <v>1557</v>
      </c>
      <c r="D10409" s="325">
        <v>0</v>
      </c>
      <c r="E10409" s="325">
        <v>0</v>
      </c>
      <c r="F10409" s="325">
        <v>0</v>
      </c>
      <c r="G10409" s="325">
        <v>0</v>
      </c>
      <c r="H10409" s="325">
        <v>0</v>
      </c>
      <c r="I10409" s="325">
        <v>0</v>
      </c>
      <c r="J10409" s="325">
        <v>0</v>
      </c>
      <c r="K10409" s="325">
        <v>0</v>
      </c>
      <c r="L10409" s="325">
        <v>0</v>
      </c>
      <c r="M10409" s="326">
        <v>0</v>
      </c>
    </row>
    <row r="10410" spans="1:13">
      <c r="A10410" s="267"/>
      <c r="B10410" s="271" t="s">
        <v>1559</v>
      </c>
      <c r="C10410" s="325" t="s">
        <v>1557</v>
      </c>
      <c r="D10410" s="1213">
        <v>1.40583297858636E-6</v>
      </c>
      <c r="E10410" s="1213">
        <v>1.40583297858636E-6</v>
      </c>
      <c r="F10410" s="1213">
        <v>1.40583297858636E-6</v>
      </c>
      <c r="G10410" s="1213">
        <v>1.40583297858636E-6</v>
      </c>
      <c r="H10410" s="1213">
        <v>1.40583297858636E-6</v>
      </c>
      <c r="I10410" s="1213">
        <v>1.40583297858636E-6</v>
      </c>
      <c r="J10410" s="1213">
        <v>1.8433546026547801E-4</v>
      </c>
      <c r="K10410" s="1213">
        <v>4.9464984072580598E-5</v>
      </c>
      <c r="L10410" s="1213">
        <v>4.9464984072580598E-5</v>
      </c>
      <c r="M10410" s="1214">
        <v>1.40583297858636E-6</v>
      </c>
    </row>
    <row r="10411" spans="1:13">
      <c r="A10411" s="267"/>
      <c r="B10411" s="271" t="s">
        <v>1560</v>
      </c>
      <c r="C10411" s="325" t="s">
        <v>1557</v>
      </c>
      <c r="D10411" s="1213">
        <v>0</v>
      </c>
      <c r="E10411" s="1213">
        <v>0</v>
      </c>
      <c r="F10411" s="1213">
        <v>0</v>
      </c>
      <c r="G10411" s="1213">
        <v>0</v>
      </c>
      <c r="H10411" s="1213">
        <v>0</v>
      </c>
      <c r="I10411" s="1213">
        <v>0</v>
      </c>
      <c r="J10411" s="1213">
        <v>0</v>
      </c>
      <c r="K10411" s="1213">
        <v>0</v>
      </c>
      <c r="L10411" s="1213">
        <v>0</v>
      </c>
      <c r="M10411" s="1214">
        <v>0</v>
      </c>
    </row>
    <row r="10412" spans="1:13">
      <c r="A10412" s="267"/>
      <c r="B10412" s="1215" t="s">
        <v>1561</v>
      </c>
      <c r="C10412" s="325" t="s">
        <v>1557</v>
      </c>
      <c r="D10412" s="1213">
        <v>2.52808111124775E-2</v>
      </c>
      <c r="E10412" s="1213">
        <v>2.52808111124775E-2</v>
      </c>
      <c r="F10412" s="1213">
        <v>2.52808111124775E-2</v>
      </c>
      <c r="G10412" s="1213">
        <v>2.51063716243436E-2</v>
      </c>
      <c r="H10412" s="1213">
        <v>2.4931930022624699E-2</v>
      </c>
      <c r="I10412" s="1213">
        <v>2.4583046814012799E-2</v>
      </c>
      <c r="J10412" s="1213">
        <v>0</v>
      </c>
      <c r="K10412" s="1213">
        <v>0</v>
      </c>
      <c r="L10412" s="1213">
        <v>0</v>
      </c>
      <c r="M10412" s="1214">
        <v>2.4583046814012799E-2</v>
      </c>
    </row>
    <row r="10413" spans="1:13">
      <c r="A10413" s="267"/>
      <c r="B10413" s="1215" t="s">
        <v>1562</v>
      </c>
      <c r="C10413" s="325" t="s">
        <v>1557</v>
      </c>
      <c r="D10413" s="1213">
        <v>0</v>
      </c>
      <c r="E10413" s="1213">
        <v>0</v>
      </c>
      <c r="F10413" s="1213">
        <v>0</v>
      </c>
      <c r="G10413" s="1213">
        <v>0</v>
      </c>
      <c r="H10413" s="1213">
        <v>0</v>
      </c>
      <c r="I10413" s="1213">
        <v>0</v>
      </c>
      <c r="J10413" s="1213">
        <v>0</v>
      </c>
      <c r="K10413" s="1213">
        <v>0</v>
      </c>
      <c r="L10413" s="1213">
        <v>0</v>
      </c>
      <c r="M10413" s="1214">
        <v>0</v>
      </c>
    </row>
    <row r="10414" spans="1:13">
      <c r="A10414" s="267"/>
      <c r="B10414" s="1215" t="s">
        <v>1563</v>
      </c>
      <c r="C10414" s="325" t="s">
        <v>1557</v>
      </c>
      <c r="D10414" s="1213">
        <v>7.23543438543056E-2</v>
      </c>
      <c r="E10414" s="1213">
        <v>7.23543438543056E-2</v>
      </c>
      <c r="F10414" s="1213">
        <v>7.23543438543056E-2</v>
      </c>
      <c r="G10414" s="1213">
        <v>7.2433996326161099E-2</v>
      </c>
      <c r="H10414" s="1213">
        <v>7.2513648798147201E-2</v>
      </c>
      <c r="I10414" s="1213">
        <v>7.2672953741986096E-2</v>
      </c>
      <c r="J10414" s="1213">
        <v>0</v>
      </c>
      <c r="K10414" s="1213">
        <v>0</v>
      </c>
      <c r="L10414" s="1213">
        <v>0</v>
      </c>
      <c r="M10414" s="1214">
        <v>7.2672953741986096E-2</v>
      </c>
    </row>
    <row r="10415" spans="1:13">
      <c r="A10415" s="267"/>
      <c r="B10415" s="271" t="s">
        <v>1564</v>
      </c>
      <c r="C10415" s="325" t="s">
        <v>1557</v>
      </c>
      <c r="D10415" s="1213">
        <v>0</v>
      </c>
      <c r="E10415" s="1213">
        <v>0</v>
      </c>
      <c r="F10415" s="1213">
        <v>0</v>
      </c>
      <c r="G10415" s="1213">
        <v>0</v>
      </c>
      <c r="H10415" s="1213">
        <v>0</v>
      </c>
      <c r="I10415" s="1213">
        <v>0</v>
      </c>
      <c r="J10415" s="1213">
        <v>0</v>
      </c>
      <c r="K10415" s="1213">
        <v>0</v>
      </c>
      <c r="L10415" s="1213">
        <v>0</v>
      </c>
      <c r="M10415" s="1214">
        <v>0</v>
      </c>
    </row>
    <row r="10416" spans="1:13">
      <c r="A10416" s="267"/>
      <c r="B10416" s="1215" t="s">
        <v>1565</v>
      </c>
      <c r="C10416" s="325" t="s">
        <v>1557</v>
      </c>
      <c r="D10416" s="1213">
        <v>9.7907166604677804E-5</v>
      </c>
      <c r="E10416" s="1213">
        <v>9.7907166604677804E-5</v>
      </c>
      <c r="F10416" s="1213">
        <v>9.7907166604677804E-5</v>
      </c>
      <c r="G10416" s="1213">
        <v>9.7143820474027804E-5</v>
      </c>
      <c r="H10416" s="1213">
        <v>9.6379836904816695E-5</v>
      </c>
      <c r="I10416" s="1213">
        <v>9.4852515548052795E-5</v>
      </c>
      <c r="J10416" s="1213">
        <v>0</v>
      </c>
      <c r="K10416" s="1213">
        <v>0</v>
      </c>
      <c r="L10416" s="1213">
        <v>0</v>
      </c>
      <c r="M10416" s="1214">
        <v>9.4852515548052795E-5</v>
      </c>
    </row>
    <row r="10417" spans="1:26">
      <c r="A10417" s="267"/>
      <c r="B10417" s="1215" t="s">
        <v>1566</v>
      </c>
      <c r="C10417" s="325" t="s">
        <v>1557</v>
      </c>
      <c r="D10417" s="1213">
        <v>1.0093297725284701E-4</v>
      </c>
      <c r="E10417" s="1213">
        <v>1.0093297725284701E-4</v>
      </c>
      <c r="F10417" s="1213">
        <v>1.0093297725284701E-4</v>
      </c>
      <c r="G10417" s="1213">
        <v>1.00145778463533E-4</v>
      </c>
      <c r="H10417" s="1213">
        <v>9.9357973409091698E-5</v>
      </c>
      <c r="I10417" s="1213">
        <v>9.7783604804944403E-5</v>
      </c>
      <c r="J10417" s="1213">
        <v>0</v>
      </c>
      <c r="K10417" s="1213">
        <v>0</v>
      </c>
      <c r="L10417" s="1213">
        <v>0</v>
      </c>
      <c r="M10417" s="1214">
        <v>9.7783604804944403E-5</v>
      </c>
    </row>
    <row r="10418" spans="1:26">
      <c r="A10418" s="267"/>
      <c r="B10418" s="271" t="s">
        <v>1567</v>
      </c>
      <c r="C10418" s="325" t="s">
        <v>1557</v>
      </c>
      <c r="D10418" s="1213">
        <v>0</v>
      </c>
      <c r="E10418" s="1213">
        <v>0</v>
      </c>
      <c r="F10418" s="1213">
        <v>0</v>
      </c>
      <c r="G10418" s="1213">
        <v>0</v>
      </c>
      <c r="H10418" s="1213">
        <v>0</v>
      </c>
      <c r="I10418" s="1213">
        <v>0</v>
      </c>
      <c r="J10418" s="1213">
        <v>0</v>
      </c>
      <c r="K10418" s="1213">
        <v>0</v>
      </c>
      <c r="L10418" s="1213">
        <v>0</v>
      </c>
      <c r="M10418" s="1214">
        <v>0</v>
      </c>
    </row>
    <row r="10419" spans="1:26">
      <c r="A10419" s="267"/>
      <c r="B10419" s="271" t="s">
        <v>1568</v>
      </c>
      <c r="C10419" s="325"/>
      <c r="D10419" s="1213">
        <v>1</v>
      </c>
      <c r="E10419" s="1213">
        <v>0</v>
      </c>
      <c r="F10419" s="1213">
        <v>0</v>
      </c>
      <c r="G10419" s="1213">
        <v>1</v>
      </c>
      <c r="H10419" s="1213">
        <v>1</v>
      </c>
      <c r="I10419" s="1213">
        <v>1</v>
      </c>
      <c r="J10419" s="1213">
        <v>1</v>
      </c>
      <c r="K10419" s="1213">
        <v>1</v>
      </c>
      <c r="L10419" s="1213">
        <v>0</v>
      </c>
      <c r="M10419" s="1214">
        <v>0</v>
      </c>
    </row>
    <row r="10420" spans="1:26">
      <c r="A10420" s="267"/>
      <c r="B10420" s="271"/>
      <c r="C10420" s="325"/>
      <c r="D10420" s="325"/>
      <c r="E10420" s="325"/>
      <c r="F10420" s="325"/>
      <c r="G10420" s="325"/>
      <c r="H10420" s="325"/>
      <c r="I10420" s="325"/>
      <c r="J10420" s="325"/>
      <c r="K10420" s="325"/>
      <c r="L10420" s="325"/>
      <c r="M10420" s="326"/>
    </row>
    <row r="10421" spans="1:26">
      <c r="A10421" s="267"/>
      <c r="B10421" s="1216"/>
      <c r="C10421" s="1217"/>
      <c r="D10421" s="1217"/>
      <c r="E10421" s="1217"/>
      <c r="F10421" s="1217"/>
      <c r="G10421" s="1217"/>
      <c r="H10421" s="1217"/>
      <c r="I10421" s="1217"/>
      <c r="J10421" s="1217"/>
      <c r="K10421" s="1217"/>
      <c r="L10421" s="1217"/>
      <c r="M10421" s="1218"/>
      <c r="N10421" s="1219"/>
      <c r="O10421" s="1219"/>
      <c r="P10421" s="1219"/>
      <c r="Q10421" s="1219"/>
      <c r="R10421" s="1219"/>
      <c r="S10421" s="1219"/>
      <c r="T10421" s="1219"/>
      <c r="U10421" s="1219"/>
      <c r="V10421" s="1219"/>
      <c r="W10421" s="1219"/>
      <c r="X10421" s="1219"/>
      <c r="Y10421" s="1219"/>
      <c r="Z10421" s="1219"/>
    </row>
    <row r="10422" spans="1:26">
      <c r="A10422" s="267"/>
      <c r="B10422" s="884"/>
      <c r="C10422" s="1195"/>
      <c r="D10422" s="1195"/>
      <c r="E10422" s="1195"/>
      <c r="F10422" s="1195"/>
      <c r="G10422" s="1195"/>
      <c r="H10422" s="1195"/>
      <c r="I10422" s="1195"/>
      <c r="J10422" s="1195"/>
      <c r="K10422" s="1195"/>
      <c r="L10422" s="1195"/>
      <c r="M10422" s="1220"/>
    </row>
    <row r="10423" spans="1:26">
      <c r="A10423" s="267"/>
      <c r="B10423" s="884"/>
      <c r="C10423" s="1195"/>
      <c r="D10423" s="1195"/>
      <c r="E10423" s="1195"/>
      <c r="F10423" s="1195"/>
      <c r="G10423" s="1195"/>
      <c r="H10423" s="1195"/>
      <c r="I10423" s="1195"/>
      <c r="J10423" s="1195"/>
      <c r="K10423" s="1195"/>
      <c r="L10423" s="1195"/>
      <c r="M10423" s="326"/>
    </row>
    <row r="10424" spans="1:26">
      <c r="A10424" s="267"/>
      <c r="B10424" s="884"/>
      <c r="C10424" s="1195"/>
      <c r="D10424" s="1195"/>
      <c r="E10424" s="1195"/>
      <c r="F10424" s="1195"/>
      <c r="G10424" s="1195"/>
      <c r="H10424" s="1195"/>
      <c r="I10424" s="1195"/>
      <c r="J10424" s="1195"/>
      <c r="K10424" s="1195"/>
      <c r="L10424" s="1195"/>
      <c r="M10424" s="326"/>
    </row>
    <row r="10425" spans="1:26">
      <c r="A10425" s="267"/>
      <c r="B10425" s="884" t="s">
        <v>1569</v>
      </c>
      <c r="C10425" s="1221" t="s">
        <v>1570</v>
      </c>
      <c r="D10425" s="1195"/>
      <c r="E10425" s="1195"/>
      <c r="F10425" s="1195"/>
      <c r="G10425" s="1195"/>
      <c r="H10425" s="1195"/>
      <c r="I10425" s="1195"/>
      <c r="J10425" s="1195"/>
      <c r="K10425" s="1195"/>
      <c r="L10425" s="1195"/>
      <c r="M10425" s="326"/>
    </row>
    <row r="10426" spans="1:26">
      <c r="A10426" s="267"/>
      <c r="B10426" s="271" t="s">
        <v>1460</v>
      </c>
      <c r="C10426" s="325"/>
      <c r="D10426" s="325"/>
      <c r="E10426" s="325"/>
      <c r="F10426" s="325"/>
      <c r="G10426" s="325"/>
      <c r="H10426" s="325"/>
      <c r="I10426" s="325"/>
      <c r="J10426" s="325"/>
      <c r="K10426" s="325"/>
      <c r="L10426" s="325"/>
      <c r="M10426" s="326"/>
    </row>
    <row r="10427" spans="1:26">
      <c r="A10427" s="267"/>
      <c r="B10427" s="271" t="s">
        <v>1571</v>
      </c>
      <c r="C10427" s="325"/>
      <c r="D10427" s="325"/>
      <c r="E10427" s="325"/>
      <c r="F10427" s="325"/>
      <c r="G10427" s="325"/>
      <c r="H10427" s="325"/>
      <c r="I10427" s="325"/>
      <c r="J10427" s="325"/>
      <c r="K10427" s="325"/>
      <c r="L10427" s="325"/>
      <c r="M10427" s="326"/>
    </row>
    <row r="10428" spans="1:26">
      <c r="A10428" s="267"/>
      <c r="B10428" s="271"/>
      <c r="C10428" s="325" t="s">
        <v>1572</v>
      </c>
      <c r="D10428" s="325"/>
      <c r="E10428" s="325"/>
      <c r="F10428" s="325"/>
      <c r="G10428" s="325"/>
      <c r="H10428" s="325"/>
      <c r="I10428" s="325"/>
      <c r="J10428" s="325"/>
      <c r="K10428" s="325"/>
      <c r="L10428" s="325"/>
      <c r="M10428" s="326"/>
    </row>
    <row r="10429" spans="1:26">
      <c r="A10429" s="267"/>
      <c r="B10429" s="271" t="s">
        <v>1573</v>
      </c>
      <c r="C10429" s="838" t="s">
        <v>1574</v>
      </c>
      <c r="D10429" s="838" t="s">
        <v>1575</v>
      </c>
      <c r="E10429" s="838" t="s">
        <v>1576</v>
      </c>
      <c r="F10429" s="325"/>
      <c r="G10429" s="325"/>
      <c r="H10429" s="325"/>
      <c r="I10429" s="325"/>
      <c r="J10429" s="325"/>
      <c r="K10429" s="325"/>
      <c r="L10429" s="325"/>
      <c r="M10429" s="326"/>
    </row>
    <row r="10430" spans="1:26">
      <c r="A10430" s="267"/>
      <c r="B10430" s="1222">
        <v>800</v>
      </c>
      <c r="C10430" s="838">
        <v>0.64</v>
      </c>
      <c r="D10430" s="838">
        <v>0.7</v>
      </c>
      <c r="E10430" s="838">
        <v>0.76</v>
      </c>
      <c r="F10430" s="325"/>
      <c r="G10430" s="325"/>
      <c r="H10430" s="325"/>
      <c r="I10430" s="325"/>
      <c r="J10430" s="325"/>
      <c r="K10430" s="325"/>
      <c r="L10430" s="325"/>
      <c r="M10430" s="326"/>
    </row>
    <row r="10431" spans="1:26">
      <c r="A10431" s="267"/>
      <c r="B10431" s="1222">
        <v>900</v>
      </c>
      <c r="C10431" s="838">
        <v>0.73</v>
      </c>
      <c r="D10431" s="838">
        <v>0.79</v>
      </c>
      <c r="E10431" s="838">
        <v>0.85</v>
      </c>
      <c r="F10431" s="325"/>
      <c r="G10431" s="325"/>
      <c r="H10431" s="325"/>
      <c r="I10431" s="325"/>
      <c r="J10431" s="325"/>
      <c r="K10431" s="325"/>
      <c r="L10431" s="325"/>
      <c r="M10431" s="326"/>
    </row>
    <row r="10432" spans="1:26">
      <c r="A10432" s="267"/>
      <c r="B10432" s="1222">
        <v>1000</v>
      </c>
      <c r="C10432" s="838">
        <v>0.81</v>
      </c>
      <c r="D10432" s="838">
        <v>0.87</v>
      </c>
      <c r="E10432" s="838">
        <v>0.94</v>
      </c>
      <c r="F10432" s="325"/>
      <c r="G10432" s="325"/>
      <c r="H10432" s="325"/>
      <c r="I10432" s="325"/>
      <c r="J10432" s="325"/>
      <c r="K10432" s="325"/>
      <c r="L10432" s="325"/>
      <c r="M10432" s="326"/>
    </row>
    <row r="10433" spans="1:113">
      <c r="A10433" s="267"/>
      <c r="B10433" s="1222">
        <v>1100</v>
      </c>
      <c r="C10433" s="838">
        <v>0.92</v>
      </c>
      <c r="D10433" s="838">
        <v>0.98</v>
      </c>
      <c r="E10433" s="838">
        <v>1.05</v>
      </c>
      <c r="F10433" s="325"/>
      <c r="G10433" s="325"/>
      <c r="H10433" s="325"/>
      <c r="I10433" s="325"/>
      <c r="J10433" s="325"/>
      <c r="K10433" s="325"/>
      <c r="L10433" s="325"/>
      <c r="M10433" s="326"/>
    </row>
    <row r="10434" spans="1:113">
      <c r="A10434" s="267"/>
      <c r="B10434" s="1222">
        <v>1200</v>
      </c>
      <c r="C10434" s="838">
        <v>1.03</v>
      </c>
      <c r="D10434" s="838">
        <v>1.0900000000000001</v>
      </c>
      <c r="E10434" s="838">
        <v>1.1499999999999999</v>
      </c>
      <c r="F10434" s="325"/>
      <c r="G10434" s="325"/>
      <c r="H10434" s="325"/>
      <c r="I10434" s="325"/>
      <c r="J10434" s="325"/>
      <c r="K10434" s="325"/>
      <c r="L10434" s="325"/>
      <c r="M10434" s="326"/>
    </row>
    <row r="10435" spans="1:113">
      <c r="A10435" s="267"/>
      <c r="B10435" s="271" t="s">
        <v>1577</v>
      </c>
      <c r="C10435" s="325"/>
      <c r="D10435" s="325"/>
      <c r="E10435" s="325"/>
      <c r="F10435" s="325"/>
      <c r="G10435" s="325"/>
      <c r="H10435" s="325"/>
      <c r="I10435" s="325"/>
      <c r="J10435" s="325"/>
      <c r="K10435" s="325"/>
      <c r="L10435" s="325"/>
      <c r="M10435" s="326"/>
    </row>
    <row r="10436" spans="1:113">
      <c r="A10436" s="267"/>
      <c r="B10436" s="271"/>
      <c r="C10436" s="325"/>
      <c r="D10436" s="325"/>
      <c r="E10436" s="325"/>
      <c r="F10436" s="325"/>
      <c r="G10436" s="325"/>
      <c r="H10436" s="325"/>
      <c r="I10436" s="325"/>
      <c r="J10436" s="325"/>
      <c r="K10436" s="325"/>
      <c r="L10436" s="325"/>
      <c r="M10436" s="326"/>
    </row>
    <row r="10437" spans="1:113">
      <c r="A10437" s="267"/>
      <c r="B10437" s="271" t="s">
        <v>570</v>
      </c>
      <c r="C10437" s="325"/>
      <c r="D10437" s="325"/>
      <c r="E10437" s="325"/>
      <c r="F10437" s="325"/>
      <c r="G10437" s="325"/>
      <c r="H10437" s="325"/>
      <c r="I10437" s="325"/>
      <c r="J10437" s="325"/>
      <c r="K10437" s="325"/>
      <c r="L10437" s="325"/>
      <c r="M10437" s="326"/>
    </row>
    <row r="10438" spans="1:113">
      <c r="A10438" s="267"/>
      <c r="B10438" s="271"/>
      <c r="C10438" s="325" t="s">
        <v>1578</v>
      </c>
      <c r="D10438" s="325"/>
      <c r="E10438" s="325"/>
      <c r="F10438" s="325"/>
      <c r="G10438" s="325"/>
      <c r="H10438" s="325" t="s">
        <v>1579</v>
      </c>
      <c r="I10438" s="325"/>
      <c r="J10438" s="325"/>
      <c r="K10438" s="325"/>
      <c r="L10438" s="325"/>
      <c r="M10438" s="326"/>
    </row>
    <row r="10439" spans="1:113">
      <c r="A10439" s="267"/>
      <c r="B10439" s="271"/>
      <c r="C10439" s="325"/>
      <c r="D10439" s="325"/>
      <c r="E10439" s="325"/>
      <c r="F10439" s="325"/>
      <c r="G10439" s="325"/>
      <c r="H10439" s="838" t="s">
        <v>3</v>
      </c>
      <c r="I10439" s="325" t="s">
        <v>1580</v>
      </c>
      <c r="J10439" s="325" t="s">
        <v>1581</v>
      </c>
      <c r="K10439" s="838" t="s">
        <v>1582</v>
      </c>
      <c r="L10439" s="325"/>
      <c r="M10439" s="326"/>
    </row>
    <row r="10440" spans="1:113">
      <c r="A10440" s="267"/>
      <c r="B10440" s="271"/>
      <c r="C10440" s="325"/>
      <c r="D10440" s="325" t="s">
        <v>1583</v>
      </c>
      <c r="E10440" s="325"/>
      <c r="F10440" s="325"/>
      <c r="G10440" s="325"/>
      <c r="H10440" s="838">
        <v>2011</v>
      </c>
      <c r="I10440" s="325" t="s">
        <v>1584</v>
      </c>
      <c r="J10440" s="325" t="s">
        <v>1585</v>
      </c>
      <c r="K10440" s="838">
        <v>1.8</v>
      </c>
      <c r="L10440" s="325"/>
      <c r="M10440" s="326"/>
    </row>
    <row r="10441" spans="1:113">
      <c r="A10441" s="267"/>
      <c r="B10441" s="271"/>
      <c r="C10441" s="838" t="s">
        <v>1582</v>
      </c>
      <c r="D10441" s="838" t="s">
        <v>1586</v>
      </c>
      <c r="E10441" s="325"/>
      <c r="F10441" s="325"/>
      <c r="G10441" s="325"/>
      <c r="H10441" s="838">
        <v>2011</v>
      </c>
      <c r="I10441" s="325" t="s">
        <v>1584</v>
      </c>
      <c r="J10441" s="325" t="s">
        <v>1587</v>
      </c>
      <c r="K10441" s="838">
        <v>2.4</v>
      </c>
      <c r="L10441" s="325"/>
      <c r="M10441" s="326"/>
    </row>
    <row r="10442" spans="1:113">
      <c r="A10442" s="267"/>
      <c r="B10442" s="271"/>
      <c r="C10442" s="838">
        <v>1</v>
      </c>
      <c r="D10442" s="838">
        <v>0.16</v>
      </c>
      <c r="E10442" s="325"/>
      <c r="F10442" s="325"/>
      <c r="G10442" s="325"/>
      <c r="H10442" s="838">
        <v>2011</v>
      </c>
      <c r="I10442" s="325" t="s">
        <v>1588</v>
      </c>
      <c r="J10442" s="325" t="s">
        <v>1589</v>
      </c>
      <c r="K10442" s="838">
        <v>2.5</v>
      </c>
      <c r="L10442" s="325"/>
      <c r="M10442" s="326"/>
    </row>
    <row r="10443" spans="1:113">
      <c r="A10443" s="267"/>
      <c r="B10443" s="271"/>
      <c r="C10443" s="838">
        <v>2</v>
      </c>
      <c r="D10443" s="838">
        <v>0.32</v>
      </c>
      <c r="E10443" s="325"/>
      <c r="F10443" s="325"/>
      <c r="G10443" s="325"/>
      <c r="H10443" s="838">
        <v>2011</v>
      </c>
      <c r="I10443" s="325" t="s">
        <v>1590</v>
      </c>
      <c r="J10443" s="325" t="s">
        <v>1591</v>
      </c>
      <c r="K10443" s="838">
        <v>2.5</v>
      </c>
      <c r="L10443" s="325"/>
      <c r="M10443" s="326"/>
    </row>
    <row r="10444" spans="1:113">
      <c r="A10444" s="267"/>
      <c r="B10444" s="271"/>
      <c r="C10444" s="838">
        <v>3</v>
      </c>
      <c r="D10444" s="838">
        <v>0.48</v>
      </c>
      <c r="E10444" s="325"/>
      <c r="F10444" s="325"/>
      <c r="G10444" s="325"/>
      <c r="H10444" s="838">
        <v>2010</v>
      </c>
      <c r="I10444" s="325" t="s">
        <v>1592</v>
      </c>
      <c r="J10444" s="325" t="s">
        <v>1593</v>
      </c>
      <c r="K10444" s="838">
        <v>3.6</v>
      </c>
      <c r="L10444" s="325"/>
      <c r="M10444" s="326"/>
    </row>
    <row r="10445" spans="1:113">
      <c r="A10445" s="267"/>
      <c r="B10445" s="271"/>
      <c r="C10445" s="838">
        <v>4</v>
      </c>
      <c r="D10445" s="838">
        <v>0.63</v>
      </c>
      <c r="E10445" s="325"/>
      <c r="F10445" s="325"/>
      <c r="G10445" s="325"/>
      <c r="H10445" s="838">
        <v>2011</v>
      </c>
      <c r="I10445" s="325" t="s">
        <v>1588</v>
      </c>
      <c r="J10445" s="325" t="s">
        <v>1594</v>
      </c>
      <c r="K10445" s="838">
        <v>4</v>
      </c>
      <c r="L10445" s="325"/>
      <c r="M10445" s="326"/>
    </row>
    <row r="10446" spans="1:113" ht="16" thickBot="1">
      <c r="A10446" s="267"/>
      <c r="B10446" s="273"/>
      <c r="C10446" s="1223">
        <v>5</v>
      </c>
      <c r="D10446" s="1223">
        <v>0.79</v>
      </c>
      <c r="E10446" s="327"/>
      <c r="F10446" s="327"/>
      <c r="G10446" s="327"/>
      <c r="H10446" s="1223">
        <v>2010</v>
      </c>
      <c r="I10446" s="327" t="s">
        <v>1592</v>
      </c>
      <c r="J10446" s="327" t="s">
        <v>1595</v>
      </c>
      <c r="K10446" s="1223">
        <v>6.2</v>
      </c>
      <c r="L10446" s="327"/>
      <c r="M10446" s="328"/>
    </row>
    <row r="10448" spans="1:113" s="1019" customFormat="1">
      <c r="A10448" s="1183"/>
      <c r="B10448" s="1183"/>
      <c r="C10448" s="1183"/>
      <c r="D10448" s="1183"/>
      <c r="E10448" s="1183"/>
      <c r="F10448" s="1183"/>
      <c r="G10448" s="1183"/>
      <c r="H10448" s="1183"/>
      <c r="I10448" s="1183"/>
      <c r="J10448" s="1183"/>
      <c r="K10448" s="1183"/>
      <c r="L10448" s="1183"/>
      <c r="M10448" s="1183"/>
      <c r="N10448" s="1183"/>
      <c r="O10448" s="1183"/>
      <c r="P10448" s="1183"/>
      <c r="Q10448" s="1183"/>
      <c r="R10448" s="1183"/>
      <c r="S10448" s="1183"/>
      <c r="T10448" s="1183"/>
      <c r="U10448" s="1183"/>
      <c r="V10448" s="1183"/>
      <c r="W10448" s="1183"/>
      <c r="X10448" s="1183"/>
      <c r="Y10448" s="1183"/>
      <c r="Z10448" s="1183"/>
      <c r="AA10448" s="1183"/>
      <c r="AB10448" s="1183"/>
      <c r="AC10448" s="1183"/>
      <c r="AD10448" s="1183"/>
      <c r="AE10448" s="1183"/>
      <c r="AF10448" s="1183"/>
      <c r="AG10448" s="1183"/>
      <c r="AH10448" s="1183"/>
      <c r="AI10448" s="1183"/>
      <c r="AJ10448" s="1183"/>
      <c r="AK10448" s="1183"/>
      <c r="AL10448" s="1183"/>
      <c r="AM10448" s="1183"/>
      <c r="AN10448" s="1183"/>
      <c r="AO10448" s="1183"/>
      <c r="AP10448" s="1183"/>
      <c r="AQ10448" s="1183"/>
      <c r="AR10448" s="1183"/>
      <c r="AS10448" s="1183"/>
      <c r="AT10448" s="1183"/>
      <c r="AU10448" s="1183"/>
      <c r="AV10448" s="1183"/>
      <c r="AW10448" s="1183"/>
      <c r="AX10448" s="1183"/>
      <c r="AY10448" s="1183"/>
      <c r="AZ10448" s="1183"/>
      <c r="BA10448" s="1183"/>
      <c r="BB10448" s="1183"/>
      <c r="BC10448" s="1183"/>
      <c r="BD10448" s="1183"/>
      <c r="BE10448" s="1183"/>
      <c r="BF10448" s="1183"/>
      <c r="BG10448" s="1183"/>
      <c r="BH10448" s="1183"/>
      <c r="BI10448" s="1183"/>
      <c r="BJ10448" s="1183"/>
      <c r="BK10448" s="1183"/>
      <c r="BL10448" s="1183"/>
      <c r="BM10448" s="1183"/>
      <c r="BN10448" s="1183"/>
      <c r="BO10448" s="1183"/>
      <c r="BP10448" s="1183"/>
      <c r="BQ10448" s="1183"/>
      <c r="BR10448" s="1183"/>
      <c r="BS10448" s="1183"/>
      <c r="BT10448" s="1183"/>
      <c r="BU10448" s="1183"/>
      <c r="BV10448" s="1183"/>
      <c r="BW10448" s="1183"/>
      <c r="BX10448" s="1183"/>
      <c r="BY10448" s="1183"/>
      <c r="BZ10448" s="1183"/>
      <c r="CA10448" s="1183"/>
      <c r="CB10448" s="1183"/>
      <c r="CC10448" s="1183"/>
      <c r="CD10448" s="1183"/>
      <c r="CE10448" s="1183"/>
      <c r="CF10448" s="1183"/>
      <c r="CG10448" s="1183"/>
      <c r="CH10448" s="1183"/>
      <c r="CI10448" s="1183"/>
      <c r="CJ10448" s="1183"/>
      <c r="CK10448" s="1183"/>
      <c r="CL10448" s="1183"/>
      <c r="CM10448" s="1183"/>
      <c r="CN10448" s="1183"/>
      <c r="CO10448" s="1183"/>
      <c r="CP10448" s="1183"/>
      <c r="CQ10448" s="1183"/>
      <c r="CR10448" s="1183"/>
      <c r="CS10448" s="1183"/>
      <c r="CT10448" s="1183"/>
      <c r="CU10448" s="1183"/>
      <c r="CV10448" s="1183"/>
      <c r="CW10448" s="1183"/>
      <c r="CX10448" s="1183"/>
      <c r="CY10448" s="1183"/>
      <c r="CZ10448" s="1183"/>
      <c r="DA10448" s="1183"/>
      <c r="DB10448" s="1183"/>
      <c r="DC10448" s="1183"/>
      <c r="DD10448" s="1183"/>
      <c r="DE10448" s="1183"/>
      <c r="DF10448" s="1183"/>
      <c r="DG10448" s="1183"/>
      <c r="DH10448" s="1183"/>
      <c r="DI10448" s="1183"/>
    </row>
    <row r="10449" spans="1:113" s="1019" customFormat="1">
      <c r="A10449" s="1183"/>
      <c r="B10449" s="1183"/>
      <c r="C10449" s="1183"/>
      <c r="D10449" s="1183"/>
      <c r="E10449" s="1183"/>
      <c r="F10449" s="1183"/>
      <c r="G10449" s="1183"/>
      <c r="H10449" s="1183"/>
      <c r="I10449" s="1183"/>
      <c r="J10449" s="1183"/>
      <c r="K10449" s="1183"/>
      <c r="L10449" s="1183"/>
      <c r="M10449" s="1183"/>
      <c r="N10449" s="1183"/>
      <c r="O10449" s="1183"/>
      <c r="P10449" s="1183"/>
      <c r="Q10449" s="1183"/>
      <c r="R10449" s="1183"/>
      <c r="S10449" s="1183"/>
      <c r="T10449" s="1183"/>
      <c r="U10449" s="1183"/>
      <c r="V10449" s="1183"/>
      <c r="W10449" s="1183"/>
      <c r="X10449" s="1183"/>
      <c r="Y10449" s="1183"/>
      <c r="Z10449" s="1183"/>
      <c r="AA10449" s="1183"/>
      <c r="AB10449" s="1183"/>
      <c r="AC10449" s="1183"/>
      <c r="AD10449" s="1183"/>
      <c r="AE10449" s="1183"/>
      <c r="AF10449" s="1183"/>
      <c r="AG10449" s="1183"/>
      <c r="AH10449" s="1183"/>
      <c r="AI10449" s="1183"/>
      <c r="AJ10449" s="1183"/>
      <c r="AK10449" s="1183"/>
      <c r="AL10449" s="1183"/>
      <c r="AM10449" s="1183"/>
      <c r="AN10449" s="1183"/>
      <c r="AO10449" s="1183"/>
      <c r="AP10449" s="1183"/>
      <c r="AQ10449" s="1183"/>
      <c r="AR10449" s="1183"/>
      <c r="AS10449" s="1183"/>
      <c r="AT10449" s="1183"/>
      <c r="AU10449" s="1183"/>
      <c r="AV10449" s="1183"/>
      <c r="AW10449" s="1183"/>
      <c r="AX10449" s="1183"/>
      <c r="AY10449" s="1183"/>
      <c r="AZ10449" s="1183"/>
      <c r="BA10449" s="1183"/>
      <c r="BB10449" s="1183"/>
      <c r="BC10449" s="1183"/>
      <c r="BD10449" s="1183"/>
      <c r="BE10449" s="1183"/>
      <c r="BF10449" s="1183"/>
      <c r="BG10449" s="1183"/>
      <c r="BH10449" s="1183"/>
      <c r="BI10449" s="1183"/>
      <c r="BJ10449" s="1183"/>
      <c r="BK10449" s="1183"/>
      <c r="BL10449" s="1183"/>
      <c r="BM10449" s="1183"/>
      <c r="BN10449" s="1183"/>
      <c r="BO10449" s="1183"/>
      <c r="BP10449" s="1183"/>
      <c r="BQ10449" s="1183"/>
      <c r="BR10449" s="1183"/>
      <c r="BS10449" s="1183"/>
      <c r="BT10449" s="1183"/>
      <c r="BU10449" s="1183"/>
      <c r="BV10449" s="1183"/>
      <c r="BW10449" s="1183"/>
      <c r="BX10449" s="1183"/>
      <c r="BY10449" s="1183"/>
      <c r="BZ10449" s="1183"/>
      <c r="CA10449" s="1183"/>
      <c r="CB10449" s="1183"/>
      <c r="CC10449" s="1183"/>
      <c r="CD10449" s="1183"/>
      <c r="CE10449" s="1183"/>
      <c r="CF10449" s="1183"/>
      <c r="CG10449" s="1183"/>
      <c r="CH10449" s="1183"/>
      <c r="CI10449" s="1183"/>
      <c r="CJ10449" s="1183"/>
      <c r="CK10449" s="1183"/>
      <c r="CL10449" s="1183"/>
      <c r="CM10449" s="1183"/>
      <c r="CN10449" s="1183"/>
      <c r="CO10449" s="1183"/>
      <c r="CP10449" s="1183"/>
      <c r="CQ10449" s="1183"/>
      <c r="CR10449" s="1183"/>
      <c r="CS10449" s="1183"/>
      <c r="CT10449" s="1183"/>
      <c r="CU10449" s="1183"/>
      <c r="CV10449" s="1183"/>
      <c r="CW10449" s="1183"/>
      <c r="CX10449" s="1183"/>
      <c r="CY10449" s="1183"/>
      <c r="CZ10449" s="1183"/>
      <c r="DA10449" s="1183"/>
      <c r="DB10449" s="1183"/>
      <c r="DC10449" s="1183"/>
      <c r="DD10449" s="1183"/>
      <c r="DE10449" s="1183"/>
      <c r="DF10449" s="1183"/>
      <c r="DG10449" s="1183"/>
      <c r="DH10449" s="1183"/>
      <c r="DI10449" s="1183"/>
    </row>
    <row r="10450" spans="1:113" s="1019" customFormat="1">
      <c r="A10450" s="1183"/>
      <c r="B10450" s="1183"/>
      <c r="C10450" s="1183"/>
      <c r="D10450" s="1183"/>
      <c r="E10450" s="1183"/>
      <c r="F10450" s="1183"/>
      <c r="G10450" s="1183"/>
      <c r="H10450" s="1183"/>
      <c r="I10450" s="1183"/>
      <c r="J10450" s="1183"/>
      <c r="K10450" s="1183"/>
      <c r="L10450" s="1183"/>
      <c r="M10450" s="1183"/>
      <c r="N10450" s="1183"/>
      <c r="O10450" s="1183"/>
      <c r="P10450" s="1183"/>
      <c r="Q10450" s="1183"/>
      <c r="R10450" s="1183"/>
      <c r="S10450" s="1183"/>
      <c r="T10450" s="1183"/>
      <c r="U10450" s="1183"/>
      <c r="V10450" s="1183"/>
      <c r="W10450" s="1183"/>
      <c r="X10450" s="1183"/>
      <c r="Y10450" s="1183"/>
      <c r="Z10450" s="1183"/>
      <c r="AA10450" s="1183"/>
      <c r="AB10450" s="1183"/>
      <c r="AC10450" s="1183"/>
      <c r="AD10450" s="1183"/>
      <c r="AE10450" s="1183"/>
      <c r="AF10450" s="1183"/>
      <c r="AG10450" s="1183"/>
      <c r="AH10450" s="1183"/>
      <c r="AI10450" s="1183"/>
      <c r="AJ10450" s="1183"/>
      <c r="AK10450" s="1183"/>
      <c r="AL10450" s="1183"/>
      <c r="AM10450" s="1183"/>
      <c r="AN10450" s="1183"/>
      <c r="AO10450" s="1183"/>
      <c r="AP10450" s="1183"/>
      <c r="AQ10450" s="1183"/>
      <c r="AR10450" s="1183"/>
      <c r="AS10450" s="1183"/>
      <c r="AT10450" s="1183"/>
      <c r="AU10450" s="1183"/>
      <c r="AV10450" s="1183"/>
      <c r="AW10450" s="1183"/>
      <c r="AX10450" s="1183"/>
      <c r="AY10450" s="1183"/>
      <c r="AZ10450" s="1183"/>
      <c r="BA10450" s="1183"/>
      <c r="BB10450" s="1183"/>
      <c r="BC10450" s="1183"/>
      <c r="BD10450" s="1183"/>
      <c r="BE10450" s="1183"/>
      <c r="BF10450" s="1183"/>
      <c r="BG10450" s="1183"/>
      <c r="BH10450" s="1183"/>
      <c r="BI10450" s="1183"/>
      <c r="BJ10450" s="1183"/>
      <c r="BK10450" s="1183"/>
      <c r="BL10450" s="1183"/>
      <c r="BM10450" s="1183"/>
      <c r="BN10450" s="1183"/>
      <c r="BO10450" s="1183"/>
      <c r="BP10450" s="1183"/>
      <c r="BQ10450" s="1183"/>
      <c r="BR10450" s="1183"/>
      <c r="BS10450" s="1183"/>
      <c r="BT10450" s="1183"/>
      <c r="BU10450" s="1183"/>
      <c r="BV10450" s="1183"/>
      <c r="BW10450" s="1183"/>
      <c r="BX10450" s="1183"/>
      <c r="BY10450" s="1183"/>
      <c r="BZ10450" s="1183"/>
      <c r="CA10450" s="1183"/>
      <c r="CB10450" s="1183"/>
      <c r="CC10450" s="1183"/>
      <c r="CD10450" s="1183"/>
      <c r="CE10450" s="1183"/>
      <c r="CF10450" s="1183"/>
      <c r="CG10450" s="1183"/>
      <c r="CH10450" s="1183"/>
      <c r="CI10450" s="1183"/>
      <c r="CJ10450" s="1183"/>
      <c r="CK10450" s="1183"/>
      <c r="CL10450" s="1183"/>
      <c r="CM10450" s="1183"/>
      <c r="CN10450" s="1183"/>
      <c r="CO10450" s="1183"/>
      <c r="CP10450" s="1183"/>
      <c r="CQ10450" s="1183"/>
      <c r="CR10450" s="1183"/>
      <c r="CS10450" s="1183"/>
      <c r="CT10450" s="1183"/>
      <c r="CU10450" s="1183"/>
      <c r="CV10450" s="1183"/>
      <c r="CW10450" s="1183"/>
      <c r="CX10450" s="1183"/>
      <c r="CY10450" s="1183"/>
      <c r="CZ10450" s="1183"/>
      <c r="DA10450" s="1183"/>
      <c r="DB10450" s="1183"/>
      <c r="DC10450" s="1183"/>
      <c r="DD10450" s="1183"/>
      <c r="DE10450" s="1183"/>
      <c r="DF10450" s="1183"/>
      <c r="DG10450" s="1183"/>
      <c r="DH10450" s="1183"/>
      <c r="DI10450" s="1183"/>
    </row>
    <row r="10452" spans="1:113" ht="19">
      <c r="A10452" s="240" t="s">
        <v>1596</v>
      </c>
    </row>
    <row r="10453" spans="1:113" ht="14.75" customHeight="1">
      <c r="A10453" s="240"/>
    </row>
    <row r="10454" spans="1:113" ht="14.75" customHeight="1" thickBot="1">
      <c r="A10454" s="240"/>
      <c r="B10454" s="63" t="s">
        <v>1597</v>
      </c>
    </row>
    <row r="10455" spans="1:113" ht="15" customHeight="1" thickBot="1">
      <c r="A10455" s="240"/>
      <c r="B10455" s="519"/>
      <c r="C10455" s="520" t="s">
        <v>9</v>
      </c>
      <c r="D10455" s="509" t="s">
        <v>408</v>
      </c>
      <c r="E10455" s="1224" t="s">
        <v>555</v>
      </c>
      <c r="F10455" s="334">
        <v>2</v>
      </c>
      <c r="G10455" s="334">
        <v>3</v>
      </c>
      <c r="H10455" s="334">
        <v>4</v>
      </c>
      <c r="I10455" s="334">
        <v>5</v>
      </c>
      <c r="J10455" s="334">
        <v>6</v>
      </c>
      <c r="K10455" s="334">
        <v>7</v>
      </c>
      <c r="L10455" s="334">
        <v>8</v>
      </c>
      <c r="M10455" s="334">
        <v>9</v>
      </c>
      <c r="N10455" s="334">
        <v>10</v>
      </c>
      <c r="O10455" s="334">
        <v>11</v>
      </c>
      <c r="P10455" s="334">
        <v>12</v>
      </c>
      <c r="Q10455" s="334">
        <v>13</v>
      </c>
      <c r="R10455" s="334">
        <v>14</v>
      </c>
      <c r="S10455" s="334">
        <v>15</v>
      </c>
      <c r="T10455" s="334">
        <v>16</v>
      </c>
      <c r="U10455" s="334">
        <v>17</v>
      </c>
      <c r="V10455" s="334">
        <v>18</v>
      </c>
      <c r="W10455" s="334">
        <v>19</v>
      </c>
      <c r="X10455" s="334">
        <v>20</v>
      </c>
      <c r="Y10455" s="334">
        <v>21</v>
      </c>
      <c r="Z10455" s="334">
        <v>22</v>
      </c>
      <c r="AA10455" s="334">
        <v>23</v>
      </c>
      <c r="AB10455" s="334">
        <v>24</v>
      </c>
      <c r="AC10455" s="334">
        <v>25</v>
      </c>
      <c r="AD10455" s="334">
        <v>26</v>
      </c>
      <c r="AE10455" s="334">
        <v>27</v>
      </c>
      <c r="AF10455" s="334">
        <v>28</v>
      </c>
      <c r="AG10455" s="334">
        <v>29</v>
      </c>
      <c r="AH10455" s="335">
        <v>30</v>
      </c>
    </row>
    <row r="10456" spans="1:113" ht="15" customHeight="1">
      <c r="A10456" s="240"/>
      <c r="B10456" s="245" t="s">
        <v>1598</v>
      </c>
      <c r="C10456" s="509" t="s">
        <v>1599</v>
      </c>
      <c r="D10456" s="510">
        <f>E10474</f>
        <v>15.521713504787757</v>
      </c>
      <c r="E10456" s="510">
        <f>D10456</f>
        <v>15.521713504787757</v>
      </c>
      <c r="F10456" s="510">
        <f t="shared" ref="F10456:V10456" si="197">E10456+(E10456*$D$805)</f>
        <v>15.894234628902662</v>
      </c>
      <c r="G10456" s="510">
        <f t="shared" si="197"/>
        <v>16.275696259996327</v>
      </c>
      <c r="H10456" s="510">
        <f t="shared" si="197"/>
        <v>16.666312970236238</v>
      </c>
      <c r="I10456" s="510">
        <f t="shared" si="197"/>
        <v>17.066304481521907</v>
      </c>
      <c r="J10456" s="510">
        <f t="shared" si="197"/>
        <v>17.475895789078432</v>
      </c>
      <c r="K10456" s="510">
        <f t="shared" si="197"/>
        <v>17.895317288016315</v>
      </c>
      <c r="L10456" s="510">
        <f t="shared" si="197"/>
        <v>18.324804902928708</v>
      </c>
      <c r="M10456" s="510">
        <f t="shared" si="197"/>
        <v>18.764600220598997</v>
      </c>
      <c r="N10456" s="510">
        <f t="shared" si="197"/>
        <v>19.214950625893373</v>
      </c>
      <c r="O10456" s="510">
        <f t="shared" si="197"/>
        <v>19.676109440914814</v>
      </c>
      <c r="P10456" s="510">
        <f t="shared" si="197"/>
        <v>20.148336067496771</v>
      </c>
      <c r="Q10456" s="510">
        <f t="shared" si="197"/>
        <v>20.631896133116694</v>
      </c>
      <c r="R10456" s="510">
        <f t="shared" si="197"/>
        <v>21.127061640311496</v>
      </c>
      <c r="S10456" s="510">
        <f t="shared" si="197"/>
        <v>21.634111119678973</v>
      </c>
      <c r="T10456" s="510">
        <f t="shared" si="197"/>
        <v>22.153329786551268</v>
      </c>
      <c r="U10456" s="510">
        <f t="shared" si="197"/>
        <v>22.685009701428498</v>
      </c>
      <c r="V10456" s="510">
        <f t="shared" si="197"/>
        <v>23.229449934262782</v>
      </c>
      <c r="W10456" s="510">
        <f t="shared" ref="W10456:AH10465" si="198">V10456+(V10456*$D$805)</f>
        <v>23.786956732685088</v>
      </c>
      <c r="X10456" s="510">
        <f t="shared" si="198"/>
        <v>24.35784369426953</v>
      </c>
      <c r="Y10456" s="510">
        <f t="shared" si="198"/>
        <v>24.942431942932</v>
      </c>
      <c r="Z10456" s="510">
        <f t="shared" si="198"/>
        <v>25.541050309562369</v>
      </c>
      <c r="AA10456" s="510">
        <f t="shared" si="198"/>
        <v>26.154035516991865</v>
      </c>
      <c r="AB10456" s="510">
        <f t="shared" si="198"/>
        <v>26.78173236939967</v>
      </c>
      <c r="AC10456" s="510">
        <f t="shared" si="198"/>
        <v>27.424493946265262</v>
      </c>
      <c r="AD10456" s="510">
        <f t="shared" si="198"/>
        <v>28.082681800975628</v>
      </c>
      <c r="AE10456" s="510">
        <f t="shared" si="198"/>
        <v>28.756666164199043</v>
      </c>
      <c r="AF10456" s="510">
        <f t="shared" si="198"/>
        <v>29.44682615213982</v>
      </c>
      <c r="AG10456" s="510">
        <f t="shared" si="198"/>
        <v>30.153549979791176</v>
      </c>
      <c r="AH10456" s="511">
        <f t="shared" si="198"/>
        <v>30.877235179306165</v>
      </c>
    </row>
    <row r="10457" spans="1:113" ht="15" customHeight="1">
      <c r="A10457" s="240"/>
      <c r="B10457" s="136" t="s">
        <v>1600</v>
      </c>
      <c r="C10457" s="132" t="s">
        <v>1601</v>
      </c>
      <c r="D10457" s="356">
        <f>E10487</f>
        <v>37.340354070144137</v>
      </c>
      <c r="E10457" s="356">
        <f>D10457</f>
        <v>37.340354070144137</v>
      </c>
      <c r="F10457" s="356">
        <f t="shared" ref="F10457:V10457" si="199">E10457+(E10457*$D$805)</f>
        <v>38.236522567827599</v>
      </c>
      <c r="G10457" s="356">
        <f t="shared" si="199"/>
        <v>39.154199109455462</v>
      </c>
      <c r="H10457" s="356">
        <f t="shared" si="199"/>
        <v>40.09389988808239</v>
      </c>
      <c r="I10457" s="356">
        <f t="shared" si="199"/>
        <v>41.056153485396365</v>
      </c>
      <c r="J10457" s="356">
        <f t="shared" si="199"/>
        <v>42.04150116904588</v>
      </c>
      <c r="K10457" s="356">
        <f t="shared" si="199"/>
        <v>43.050497197102978</v>
      </c>
      <c r="L10457" s="356">
        <f t="shared" si="199"/>
        <v>44.083709129833451</v>
      </c>
      <c r="M10457" s="356">
        <f t="shared" si="199"/>
        <v>45.141718148949451</v>
      </c>
      <c r="N10457" s="356">
        <f t="shared" si="199"/>
        <v>46.225119384524241</v>
      </c>
      <c r="O10457" s="356">
        <f t="shared" si="199"/>
        <v>47.334522249752823</v>
      </c>
      <c r="P10457" s="356">
        <f t="shared" si="199"/>
        <v>48.470550783746887</v>
      </c>
      <c r="Q10457" s="356">
        <f t="shared" si="199"/>
        <v>49.633844002556813</v>
      </c>
      <c r="R10457" s="356">
        <f t="shared" si="199"/>
        <v>50.825056258618176</v>
      </c>
      <c r="S10457" s="356">
        <f t="shared" si="199"/>
        <v>52.044857608825012</v>
      </c>
      <c r="T10457" s="356">
        <f t="shared" si="199"/>
        <v>53.293934191436811</v>
      </c>
      <c r="U10457" s="356">
        <f t="shared" si="199"/>
        <v>54.572988612031295</v>
      </c>
      <c r="V10457" s="356">
        <f t="shared" si="199"/>
        <v>55.882740338720048</v>
      </c>
      <c r="W10457" s="356">
        <f t="shared" si="198"/>
        <v>57.223926106849326</v>
      </c>
      <c r="X10457" s="356">
        <f t="shared" si="198"/>
        <v>58.597300333413713</v>
      </c>
      <c r="Y10457" s="356">
        <f t="shared" si="198"/>
        <v>60.00363554141564</v>
      </c>
      <c r="Z10457" s="356">
        <f t="shared" si="198"/>
        <v>61.443722794409616</v>
      </c>
      <c r="AA10457" s="356">
        <f t="shared" si="198"/>
        <v>62.918372141475444</v>
      </c>
      <c r="AB10457" s="356">
        <f t="shared" si="198"/>
        <v>64.428413072870853</v>
      </c>
      <c r="AC10457" s="356">
        <f t="shared" si="198"/>
        <v>65.974694986619753</v>
      </c>
      <c r="AD10457" s="356">
        <f t="shared" si="198"/>
        <v>67.558087666298633</v>
      </c>
      <c r="AE10457" s="356">
        <f t="shared" si="198"/>
        <v>69.179481770289797</v>
      </c>
      <c r="AF10457" s="356">
        <f t="shared" si="198"/>
        <v>70.839789332776746</v>
      </c>
      <c r="AG10457" s="356">
        <f t="shared" si="198"/>
        <v>72.539944276763393</v>
      </c>
      <c r="AH10457" s="362">
        <f t="shared" si="198"/>
        <v>74.280902939405721</v>
      </c>
    </row>
    <row r="10458" spans="1:113" ht="15" customHeight="1">
      <c r="A10458" s="240"/>
      <c r="B10458" s="136" t="s">
        <v>282</v>
      </c>
      <c r="C10458" s="132" t="s">
        <v>1602</v>
      </c>
      <c r="D10458" s="356">
        <f>IFERROR(D$10502,D$10501)/2000</f>
        <v>0</v>
      </c>
      <c r="E10458" s="356">
        <f t="shared" ref="E10458:E10465" si="200">D10458</f>
        <v>0</v>
      </c>
      <c r="F10458" s="356">
        <f t="shared" ref="F10458:U10465" si="201">E10458+(E10458*$D$805)</f>
        <v>0</v>
      </c>
      <c r="G10458" s="356">
        <f t="shared" si="201"/>
        <v>0</v>
      </c>
      <c r="H10458" s="356">
        <f t="shared" si="201"/>
        <v>0</v>
      </c>
      <c r="I10458" s="356">
        <f t="shared" si="201"/>
        <v>0</v>
      </c>
      <c r="J10458" s="356">
        <f t="shared" si="201"/>
        <v>0</v>
      </c>
      <c r="K10458" s="356">
        <f t="shared" si="201"/>
        <v>0</v>
      </c>
      <c r="L10458" s="356">
        <f t="shared" si="201"/>
        <v>0</v>
      </c>
      <c r="M10458" s="356">
        <f t="shared" si="201"/>
        <v>0</v>
      </c>
      <c r="N10458" s="356">
        <f t="shared" si="201"/>
        <v>0</v>
      </c>
      <c r="O10458" s="356">
        <f t="shared" si="201"/>
        <v>0</v>
      </c>
      <c r="P10458" s="356">
        <f t="shared" si="201"/>
        <v>0</v>
      </c>
      <c r="Q10458" s="356">
        <f t="shared" si="201"/>
        <v>0</v>
      </c>
      <c r="R10458" s="356">
        <f t="shared" si="201"/>
        <v>0</v>
      </c>
      <c r="S10458" s="356">
        <f t="shared" si="201"/>
        <v>0</v>
      </c>
      <c r="T10458" s="356">
        <f t="shared" si="201"/>
        <v>0</v>
      </c>
      <c r="U10458" s="356">
        <f t="shared" si="201"/>
        <v>0</v>
      </c>
      <c r="V10458" s="356">
        <f t="shared" ref="V10458:V10465" si="202">U10458+(U10458*$D$805)</f>
        <v>0</v>
      </c>
      <c r="W10458" s="356">
        <f t="shared" si="198"/>
        <v>0</v>
      </c>
      <c r="X10458" s="356">
        <f t="shared" si="198"/>
        <v>0</v>
      </c>
      <c r="Y10458" s="356">
        <f t="shared" si="198"/>
        <v>0</v>
      </c>
      <c r="Z10458" s="356">
        <f t="shared" si="198"/>
        <v>0</v>
      </c>
      <c r="AA10458" s="356">
        <f t="shared" si="198"/>
        <v>0</v>
      </c>
      <c r="AB10458" s="356">
        <f t="shared" si="198"/>
        <v>0</v>
      </c>
      <c r="AC10458" s="356">
        <f t="shared" si="198"/>
        <v>0</v>
      </c>
      <c r="AD10458" s="356">
        <f t="shared" si="198"/>
        <v>0</v>
      </c>
      <c r="AE10458" s="356">
        <f t="shared" si="198"/>
        <v>0</v>
      </c>
      <c r="AF10458" s="356">
        <f t="shared" si="198"/>
        <v>0</v>
      </c>
      <c r="AG10458" s="356">
        <f t="shared" si="198"/>
        <v>0</v>
      </c>
      <c r="AH10458" s="362">
        <f t="shared" si="198"/>
        <v>0</v>
      </c>
    </row>
    <row r="10459" spans="1:113" ht="15" customHeight="1">
      <c r="A10459" s="240"/>
      <c r="B10459" s="136" t="s">
        <v>283</v>
      </c>
      <c r="C10459" s="132" t="s">
        <v>1602</v>
      </c>
      <c r="D10459" s="356">
        <f>IFERROR(G$10498,G$10496)/2000</f>
        <v>0.28123402163182343</v>
      </c>
      <c r="E10459" s="356">
        <f t="shared" si="200"/>
        <v>0.28123402163182343</v>
      </c>
      <c r="F10459" s="356">
        <f t="shared" si="201"/>
        <v>0.28798363815098721</v>
      </c>
      <c r="G10459" s="356">
        <f t="shared" si="201"/>
        <v>0.29489524546661089</v>
      </c>
      <c r="H10459" s="356">
        <f t="shared" si="201"/>
        <v>0.30197273135780955</v>
      </c>
      <c r="I10459" s="356">
        <f t="shared" si="201"/>
        <v>0.30922007691039699</v>
      </c>
      <c r="J10459" s="356">
        <f t="shared" si="201"/>
        <v>0.31664135875624649</v>
      </c>
      <c r="K10459" s="356">
        <f t="shared" si="201"/>
        <v>0.32424075136639641</v>
      </c>
      <c r="L10459" s="356">
        <f t="shared" si="201"/>
        <v>0.33202252939918991</v>
      </c>
      <c r="M10459" s="356">
        <f t="shared" si="201"/>
        <v>0.33999107010477048</v>
      </c>
      <c r="N10459" s="356">
        <f t="shared" si="201"/>
        <v>0.348150855787285</v>
      </c>
      <c r="O10459" s="356">
        <f t="shared" si="201"/>
        <v>0.35650647632617982</v>
      </c>
      <c r="P10459" s="356">
        <f t="shared" si="201"/>
        <v>0.36506263175800813</v>
      </c>
      <c r="Q10459" s="356">
        <f t="shared" si="201"/>
        <v>0.37382413492020033</v>
      </c>
      <c r="R10459" s="356">
        <f t="shared" si="201"/>
        <v>0.38279591415828512</v>
      </c>
      <c r="S10459" s="356">
        <f t="shared" si="201"/>
        <v>0.39198301609808395</v>
      </c>
      <c r="T10459" s="356">
        <f t="shared" si="201"/>
        <v>0.40139060848443797</v>
      </c>
      <c r="U10459" s="356">
        <f t="shared" si="201"/>
        <v>0.41102398308806448</v>
      </c>
      <c r="V10459" s="356">
        <f t="shared" si="202"/>
        <v>0.420888558682178</v>
      </c>
      <c r="W10459" s="356">
        <f t="shared" si="198"/>
        <v>0.43098988409055028</v>
      </c>
      <c r="X10459" s="356">
        <f t="shared" si="198"/>
        <v>0.44133364130872349</v>
      </c>
      <c r="Y10459" s="356">
        <f t="shared" si="198"/>
        <v>0.45192564870013285</v>
      </c>
      <c r="Z10459" s="356">
        <f t="shared" si="198"/>
        <v>0.46277186426893602</v>
      </c>
      <c r="AA10459" s="356">
        <f t="shared" si="198"/>
        <v>0.47387838901139046</v>
      </c>
      <c r="AB10459" s="356">
        <f t="shared" si="198"/>
        <v>0.4852514703476638</v>
      </c>
      <c r="AC10459" s="356">
        <f t="shared" si="198"/>
        <v>0.49689750563600776</v>
      </c>
      <c r="AD10459" s="356">
        <f t="shared" si="198"/>
        <v>0.50882304577127191</v>
      </c>
      <c r="AE10459" s="356">
        <f t="shared" si="198"/>
        <v>0.52103479886978243</v>
      </c>
      <c r="AF10459" s="356">
        <f t="shared" si="198"/>
        <v>0.53353963404265725</v>
      </c>
      <c r="AG10459" s="356">
        <f t="shared" si="198"/>
        <v>0.54634458525968099</v>
      </c>
      <c r="AH10459" s="362">
        <f t="shared" si="198"/>
        <v>0.55945685530591338</v>
      </c>
    </row>
    <row r="10460" spans="1:113" ht="15" customHeight="1">
      <c r="A10460" s="240"/>
      <c r="B10460" s="136" t="s">
        <v>1603</v>
      </c>
      <c r="C10460" s="132" t="s">
        <v>1602</v>
      </c>
      <c r="D10460" s="356">
        <f>IFERROR(E$10498,E$10496)/2000</f>
        <v>0.14713773112659698</v>
      </c>
      <c r="E10460" s="356">
        <f t="shared" si="200"/>
        <v>0.14713773112659698</v>
      </c>
      <c r="F10460" s="356">
        <f t="shared" si="201"/>
        <v>0.15066903667363529</v>
      </c>
      <c r="G10460" s="356">
        <f t="shared" si="201"/>
        <v>0.15428509355380254</v>
      </c>
      <c r="H10460" s="356">
        <f t="shared" si="201"/>
        <v>0.15798793579909381</v>
      </c>
      <c r="I10460" s="356">
        <f t="shared" si="201"/>
        <v>0.16177964625827207</v>
      </c>
      <c r="J10460" s="356">
        <f t="shared" si="201"/>
        <v>0.1656623577684706</v>
      </c>
      <c r="K10460" s="356">
        <f t="shared" si="201"/>
        <v>0.16963825435491389</v>
      </c>
      <c r="L10460" s="356">
        <f t="shared" si="201"/>
        <v>0.17370957245943183</v>
      </c>
      <c r="M10460" s="356">
        <f t="shared" si="201"/>
        <v>0.17787860219845819</v>
      </c>
      <c r="N10460" s="356">
        <f t="shared" si="201"/>
        <v>0.18214768865122119</v>
      </c>
      <c r="O10460" s="356">
        <f t="shared" si="201"/>
        <v>0.1865192331788505</v>
      </c>
      <c r="P10460" s="356">
        <f t="shared" si="201"/>
        <v>0.19099569477514292</v>
      </c>
      <c r="Q10460" s="356">
        <f t="shared" si="201"/>
        <v>0.19557959144974635</v>
      </c>
      <c r="R10460" s="356">
        <f t="shared" si="201"/>
        <v>0.20027350164454027</v>
      </c>
      <c r="S10460" s="356">
        <f t="shared" si="201"/>
        <v>0.20508006568400924</v>
      </c>
      <c r="T10460" s="356">
        <f t="shared" si="201"/>
        <v>0.21000198726042546</v>
      </c>
      <c r="U10460" s="356">
        <f t="shared" si="201"/>
        <v>0.21504203495467566</v>
      </c>
      <c r="V10460" s="356">
        <f t="shared" si="202"/>
        <v>0.22020304379358788</v>
      </c>
      <c r="W10460" s="356">
        <f t="shared" si="198"/>
        <v>0.22548791684463398</v>
      </c>
      <c r="X10460" s="356">
        <f t="shared" si="198"/>
        <v>0.23089962684890519</v>
      </c>
      <c r="Y10460" s="356">
        <f t="shared" si="198"/>
        <v>0.2364412178932789</v>
      </c>
      <c r="Z10460" s="356">
        <f t="shared" si="198"/>
        <v>0.2421158071227176</v>
      </c>
      <c r="AA10460" s="356">
        <f t="shared" si="198"/>
        <v>0.24792658649366284</v>
      </c>
      <c r="AB10460" s="356">
        <f t="shared" si="198"/>
        <v>0.25387682456951077</v>
      </c>
      <c r="AC10460" s="356">
        <f t="shared" si="198"/>
        <v>0.25996986835917901</v>
      </c>
      <c r="AD10460" s="356">
        <f t="shared" si="198"/>
        <v>0.26620914519979932</v>
      </c>
      <c r="AE10460" s="356">
        <f t="shared" si="198"/>
        <v>0.27259816468459452</v>
      </c>
      <c r="AF10460" s="356">
        <f t="shared" si="198"/>
        <v>0.27914052063702477</v>
      </c>
      <c r="AG10460" s="356">
        <f t="shared" si="198"/>
        <v>0.28583989313231334</v>
      </c>
      <c r="AH10460" s="362">
        <f t="shared" si="198"/>
        <v>0.29270005056748888</v>
      </c>
    </row>
    <row r="10461" spans="1:113" ht="15" customHeight="1">
      <c r="A10461" s="240"/>
      <c r="B10461" s="136" t="s">
        <v>1604</v>
      </c>
      <c r="C10461" s="132" t="s">
        <v>1602</v>
      </c>
      <c r="D10461" s="356">
        <f>IFERROR(E$10498,E$10496)/2000</f>
        <v>0.14713773112659698</v>
      </c>
      <c r="E10461" s="356">
        <f t="shared" si="200"/>
        <v>0.14713773112659698</v>
      </c>
      <c r="F10461" s="356">
        <f t="shared" si="201"/>
        <v>0.15066903667363529</v>
      </c>
      <c r="G10461" s="356">
        <f t="shared" si="201"/>
        <v>0.15428509355380254</v>
      </c>
      <c r="H10461" s="356">
        <f t="shared" si="201"/>
        <v>0.15798793579909381</v>
      </c>
      <c r="I10461" s="356">
        <f t="shared" si="201"/>
        <v>0.16177964625827207</v>
      </c>
      <c r="J10461" s="356">
        <f t="shared" si="201"/>
        <v>0.1656623577684706</v>
      </c>
      <c r="K10461" s="356">
        <f t="shared" si="201"/>
        <v>0.16963825435491389</v>
      </c>
      <c r="L10461" s="356">
        <f t="shared" si="201"/>
        <v>0.17370957245943183</v>
      </c>
      <c r="M10461" s="356">
        <f t="shared" si="201"/>
        <v>0.17787860219845819</v>
      </c>
      <c r="N10461" s="356">
        <f t="shared" si="201"/>
        <v>0.18214768865122119</v>
      </c>
      <c r="O10461" s="356">
        <f t="shared" si="201"/>
        <v>0.1865192331788505</v>
      </c>
      <c r="P10461" s="356">
        <f t="shared" si="201"/>
        <v>0.19099569477514292</v>
      </c>
      <c r="Q10461" s="356">
        <f t="shared" si="201"/>
        <v>0.19557959144974635</v>
      </c>
      <c r="R10461" s="356">
        <f t="shared" si="201"/>
        <v>0.20027350164454027</v>
      </c>
      <c r="S10461" s="356">
        <f t="shared" si="201"/>
        <v>0.20508006568400924</v>
      </c>
      <c r="T10461" s="356">
        <f t="shared" si="201"/>
        <v>0.21000198726042546</v>
      </c>
      <c r="U10461" s="356">
        <f t="shared" si="201"/>
        <v>0.21504203495467566</v>
      </c>
      <c r="V10461" s="356">
        <f t="shared" si="202"/>
        <v>0.22020304379358788</v>
      </c>
      <c r="W10461" s="356">
        <f t="shared" si="198"/>
        <v>0.22548791684463398</v>
      </c>
      <c r="X10461" s="356">
        <f t="shared" si="198"/>
        <v>0.23089962684890519</v>
      </c>
      <c r="Y10461" s="356">
        <f t="shared" si="198"/>
        <v>0.2364412178932789</v>
      </c>
      <c r="Z10461" s="356">
        <f t="shared" si="198"/>
        <v>0.2421158071227176</v>
      </c>
      <c r="AA10461" s="356">
        <f t="shared" si="198"/>
        <v>0.24792658649366284</v>
      </c>
      <c r="AB10461" s="356">
        <f t="shared" si="198"/>
        <v>0.25387682456951077</v>
      </c>
      <c r="AC10461" s="356">
        <f t="shared" si="198"/>
        <v>0.25996986835917901</v>
      </c>
      <c r="AD10461" s="356">
        <f t="shared" si="198"/>
        <v>0.26620914519979932</v>
      </c>
      <c r="AE10461" s="356">
        <f t="shared" si="198"/>
        <v>0.27259816468459452</v>
      </c>
      <c r="AF10461" s="356">
        <f t="shared" si="198"/>
        <v>0.27914052063702477</v>
      </c>
      <c r="AG10461" s="356">
        <f t="shared" si="198"/>
        <v>0.28583989313231334</v>
      </c>
      <c r="AH10461" s="362">
        <f t="shared" si="198"/>
        <v>0.29270005056748888</v>
      </c>
    </row>
    <row r="10462" spans="1:113" ht="15" customHeight="1">
      <c r="A10462" s="240"/>
      <c r="B10462" s="136" t="s">
        <v>285</v>
      </c>
      <c r="C10462" s="132" t="s">
        <v>1602</v>
      </c>
      <c r="D10462" s="356">
        <f>IFERROR(F$10498,F$10496)/2000</f>
        <v>1.8398410214866434</v>
      </c>
      <c r="E10462" s="356">
        <f t="shared" si="200"/>
        <v>1.8398410214866434</v>
      </c>
      <c r="F10462" s="356">
        <f t="shared" si="201"/>
        <v>1.8839972060023229</v>
      </c>
      <c r="G10462" s="356">
        <f t="shared" si="201"/>
        <v>1.9292131389463787</v>
      </c>
      <c r="H10462" s="356">
        <f t="shared" si="201"/>
        <v>1.9755142542810917</v>
      </c>
      <c r="I10462" s="356">
        <f t="shared" si="201"/>
        <v>2.0229265963838379</v>
      </c>
      <c r="J10462" s="356">
        <f t="shared" si="201"/>
        <v>2.0714768346970498</v>
      </c>
      <c r="K10462" s="356">
        <f t="shared" si="201"/>
        <v>2.121192278729779</v>
      </c>
      <c r="L10462" s="356">
        <f t="shared" si="201"/>
        <v>2.1721008934192936</v>
      </c>
      <c r="M10462" s="356">
        <f t="shared" si="201"/>
        <v>2.2242313148613566</v>
      </c>
      <c r="N10462" s="356">
        <f t="shared" si="201"/>
        <v>2.2776128664180293</v>
      </c>
      <c r="O10462" s="356">
        <f t="shared" si="201"/>
        <v>2.3322755752120621</v>
      </c>
      <c r="P10462" s="356">
        <f t="shared" si="201"/>
        <v>2.3882501890171515</v>
      </c>
      <c r="Q10462" s="356">
        <f t="shared" si="201"/>
        <v>2.4455681935535631</v>
      </c>
      <c r="R10462" s="356">
        <f t="shared" si="201"/>
        <v>2.5042618301988488</v>
      </c>
      <c r="S10462" s="356">
        <f t="shared" si="201"/>
        <v>2.5643641141236211</v>
      </c>
      <c r="T10462" s="356">
        <f t="shared" si="201"/>
        <v>2.625908852862588</v>
      </c>
      <c r="U10462" s="356">
        <f t="shared" si="201"/>
        <v>2.6889306653312901</v>
      </c>
      <c r="V10462" s="356">
        <f t="shared" si="202"/>
        <v>2.753465001299241</v>
      </c>
      <c r="W10462" s="356">
        <f t="shared" si="198"/>
        <v>2.819548161330423</v>
      </c>
      <c r="X10462" s="356">
        <f t="shared" si="198"/>
        <v>2.887217317202353</v>
      </c>
      <c r="Y10462" s="356">
        <f t="shared" si="198"/>
        <v>2.9565105328152095</v>
      </c>
      <c r="Z10462" s="356">
        <f t="shared" si="198"/>
        <v>3.0274667856027744</v>
      </c>
      <c r="AA10462" s="356">
        <f t="shared" si="198"/>
        <v>3.1001259884572407</v>
      </c>
      <c r="AB10462" s="356">
        <f t="shared" si="198"/>
        <v>3.1745290121802143</v>
      </c>
      <c r="AC10462" s="356">
        <f t="shared" si="198"/>
        <v>3.2507177084725396</v>
      </c>
      <c r="AD10462" s="356">
        <f t="shared" si="198"/>
        <v>3.3287349334758805</v>
      </c>
      <c r="AE10462" s="356">
        <f t="shared" si="198"/>
        <v>3.4086245718793018</v>
      </c>
      <c r="AF10462" s="356">
        <f t="shared" si="198"/>
        <v>3.4904315616044048</v>
      </c>
      <c r="AG10462" s="356">
        <f t="shared" si="198"/>
        <v>3.5742019190829106</v>
      </c>
      <c r="AH10462" s="362">
        <f t="shared" si="198"/>
        <v>3.6599827651409003</v>
      </c>
    </row>
    <row r="10463" spans="1:113" ht="15" customHeight="1">
      <c r="A10463" s="240"/>
      <c r="B10463" s="136" t="s">
        <v>1380</v>
      </c>
      <c r="C10463" s="132" t="s">
        <v>1602</v>
      </c>
      <c r="D10463" s="356">
        <f>IFERROR(F$10498,F$10496)/2000</f>
        <v>1.8398410214866434</v>
      </c>
      <c r="E10463" s="356">
        <f t="shared" si="200"/>
        <v>1.8398410214866434</v>
      </c>
      <c r="F10463" s="356">
        <f t="shared" si="201"/>
        <v>1.8839972060023229</v>
      </c>
      <c r="G10463" s="356">
        <f t="shared" si="201"/>
        <v>1.9292131389463787</v>
      </c>
      <c r="H10463" s="356">
        <f t="shared" si="201"/>
        <v>1.9755142542810917</v>
      </c>
      <c r="I10463" s="356">
        <f t="shared" si="201"/>
        <v>2.0229265963838379</v>
      </c>
      <c r="J10463" s="356">
        <f t="shared" si="201"/>
        <v>2.0714768346970498</v>
      </c>
      <c r="K10463" s="356">
        <f t="shared" si="201"/>
        <v>2.121192278729779</v>
      </c>
      <c r="L10463" s="356">
        <f t="shared" si="201"/>
        <v>2.1721008934192936</v>
      </c>
      <c r="M10463" s="356">
        <f t="shared" si="201"/>
        <v>2.2242313148613566</v>
      </c>
      <c r="N10463" s="356">
        <f t="shared" si="201"/>
        <v>2.2776128664180293</v>
      </c>
      <c r="O10463" s="356">
        <f t="shared" si="201"/>
        <v>2.3322755752120621</v>
      </c>
      <c r="P10463" s="356">
        <f t="shared" si="201"/>
        <v>2.3882501890171515</v>
      </c>
      <c r="Q10463" s="356">
        <f t="shared" si="201"/>
        <v>2.4455681935535631</v>
      </c>
      <c r="R10463" s="356">
        <f t="shared" si="201"/>
        <v>2.5042618301988488</v>
      </c>
      <c r="S10463" s="356">
        <f t="shared" si="201"/>
        <v>2.5643641141236211</v>
      </c>
      <c r="T10463" s="356">
        <f t="shared" si="201"/>
        <v>2.625908852862588</v>
      </c>
      <c r="U10463" s="356">
        <f t="shared" si="201"/>
        <v>2.6889306653312901</v>
      </c>
      <c r="V10463" s="356">
        <f t="shared" si="202"/>
        <v>2.753465001299241</v>
      </c>
      <c r="W10463" s="356">
        <f t="shared" si="198"/>
        <v>2.819548161330423</v>
      </c>
      <c r="X10463" s="356">
        <f t="shared" si="198"/>
        <v>2.887217317202353</v>
      </c>
      <c r="Y10463" s="356">
        <f t="shared" si="198"/>
        <v>2.9565105328152095</v>
      </c>
      <c r="Z10463" s="356">
        <f t="shared" si="198"/>
        <v>3.0274667856027744</v>
      </c>
      <c r="AA10463" s="356">
        <f t="shared" si="198"/>
        <v>3.1001259884572407</v>
      </c>
      <c r="AB10463" s="356">
        <f t="shared" si="198"/>
        <v>3.1745290121802143</v>
      </c>
      <c r="AC10463" s="356">
        <f t="shared" si="198"/>
        <v>3.2507177084725396</v>
      </c>
      <c r="AD10463" s="356">
        <f t="shared" si="198"/>
        <v>3.3287349334758805</v>
      </c>
      <c r="AE10463" s="356">
        <f t="shared" si="198"/>
        <v>3.4086245718793018</v>
      </c>
      <c r="AF10463" s="356">
        <f t="shared" si="198"/>
        <v>3.4904315616044048</v>
      </c>
      <c r="AG10463" s="356">
        <f t="shared" si="198"/>
        <v>3.5742019190829106</v>
      </c>
      <c r="AH10463" s="362">
        <f t="shared" si="198"/>
        <v>3.6599827651409003</v>
      </c>
    </row>
    <row r="10464" spans="1:113" ht="15" customHeight="1">
      <c r="A10464" s="240"/>
      <c r="B10464" s="136" t="s">
        <v>281</v>
      </c>
      <c r="C10464" s="132" t="s">
        <v>1602</v>
      </c>
      <c r="D10464" s="356">
        <f>IFERROR(H$10498,H$10496)/2000</f>
        <v>0.18120376335656216</v>
      </c>
      <c r="E10464" s="356">
        <f t="shared" si="200"/>
        <v>0.18120376335656216</v>
      </c>
      <c r="F10464" s="356">
        <f t="shared" si="201"/>
        <v>0.18555265367711965</v>
      </c>
      <c r="G10464" s="356">
        <f t="shared" si="201"/>
        <v>0.19000591736537054</v>
      </c>
      <c r="H10464" s="356">
        <f t="shared" si="201"/>
        <v>0.19456605938213942</v>
      </c>
      <c r="I10464" s="356">
        <f t="shared" si="201"/>
        <v>0.19923564480731076</v>
      </c>
      <c r="J10464" s="356">
        <f t="shared" si="201"/>
        <v>0.20401730028268622</v>
      </c>
      <c r="K10464" s="356">
        <f t="shared" si="201"/>
        <v>0.20891371548947069</v>
      </c>
      <c r="L10464" s="356">
        <f t="shared" si="201"/>
        <v>0.21392764466121797</v>
      </c>
      <c r="M10464" s="356">
        <f t="shared" si="201"/>
        <v>0.21906190813308721</v>
      </c>
      <c r="N10464" s="356">
        <f t="shared" si="201"/>
        <v>0.22431939392828129</v>
      </c>
      <c r="O10464" s="356">
        <f t="shared" si="201"/>
        <v>0.22970305938256005</v>
      </c>
      <c r="P10464" s="356">
        <f t="shared" si="201"/>
        <v>0.2352159328077415</v>
      </c>
      <c r="Q10464" s="356">
        <f t="shared" si="201"/>
        <v>0.24086111519512729</v>
      </c>
      <c r="R10464" s="356">
        <f t="shared" si="201"/>
        <v>0.24664178195981035</v>
      </c>
      <c r="S10464" s="356">
        <f t="shared" si="201"/>
        <v>0.2525611847268458</v>
      </c>
      <c r="T10464" s="356">
        <f t="shared" si="201"/>
        <v>0.25862265316029009</v>
      </c>
      <c r="U10464" s="356">
        <f t="shared" si="201"/>
        <v>0.26482959683613705</v>
      </c>
      <c r="V10464" s="356">
        <f t="shared" si="202"/>
        <v>0.27118550716020434</v>
      </c>
      <c r="W10464" s="356">
        <f t="shared" si="198"/>
        <v>0.27769395933204927</v>
      </c>
      <c r="X10464" s="356">
        <f t="shared" si="198"/>
        <v>0.28435861435601845</v>
      </c>
      <c r="Y10464" s="356">
        <f t="shared" si="198"/>
        <v>0.29118322110056288</v>
      </c>
      <c r="Z10464" s="356">
        <f t="shared" si="198"/>
        <v>0.29817161840697637</v>
      </c>
      <c r="AA10464" s="356">
        <f t="shared" si="198"/>
        <v>0.30532773724874379</v>
      </c>
      <c r="AB10464" s="356">
        <f t="shared" si="198"/>
        <v>0.31265560294271366</v>
      </c>
      <c r="AC10464" s="356">
        <f t="shared" si="198"/>
        <v>0.3201593374133388</v>
      </c>
      <c r="AD10464" s="356">
        <f t="shared" si="198"/>
        <v>0.32784316151125892</v>
      </c>
      <c r="AE10464" s="356">
        <f t="shared" si="198"/>
        <v>0.33571139738752914</v>
      </c>
      <c r="AF10464" s="356">
        <f t="shared" si="198"/>
        <v>0.34376847092482982</v>
      </c>
      <c r="AG10464" s="356">
        <f t="shared" si="198"/>
        <v>0.35201891422702575</v>
      </c>
      <c r="AH10464" s="362">
        <f t="shared" si="198"/>
        <v>0.36046736816847436</v>
      </c>
    </row>
    <row r="10465" spans="1:34" ht="15" customHeight="1" thickBot="1">
      <c r="A10465" s="240"/>
      <c r="B10465" s="143" t="s">
        <v>1384</v>
      </c>
      <c r="C10465" s="145" t="s">
        <v>1602</v>
      </c>
      <c r="D10465" s="353">
        <f>IFERROR(H$10498,H$10496)/2000</f>
        <v>0.18120376335656216</v>
      </c>
      <c r="E10465" s="353">
        <f t="shared" si="200"/>
        <v>0.18120376335656216</v>
      </c>
      <c r="F10465" s="353">
        <f t="shared" si="201"/>
        <v>0.18555265367711965</v>
      </c>
      <c r="G10465" s="353">
        <f t="shared" si="201"/>
        <v>0.19000591736537054</v>
      </c>
      <c r="H10465" s="353">
        <f t="shared" si="201"/>
        <v>0.19456605938213942</v>
      </c>
      <c r="I10465" s="353">
        <f t="shared" si="201"/>
        <v>0.19923564480731076</v>
      </c>
      <c r="J10465" s="353">
        <f t="shared" si="201"/>
        <v>0.20401730028268622</v>
      </c>
      <c r="K10465" s="353">
        <f t="shared" si="201"/>
        <v>0.20891371548947069</v>
      </c>
      <c r="L10465" s="353">
        <f t="shared" si="201"/>
        <v>0.21392764466121797</v>
      </c>
      <c r="M10465" s="353">
        <f t="shared" si="201"/>
        <v>0.21906190813308721</v>
      </c>
      <c r="N10465" s="353">
        <f t="shared" si="201"/>
        <v>0.22431939392828129</v>
      </c>
      <c r="O10465" s="353">
        <f t="shared" si="201"/>
        <v>0.22970305938256005</v>
      </c>
      <c r="P10465" s="353">
        <f t="shared" si="201"/>
        <v>0.2352159328077415</v>
      </c>
      <c r="Q10465" s="353">
        <f t="shared" si="201"/>
        <v>0.24086111519512729</v>
      </c>
      <c r="R10465" s="353">
        <f t="shared" si="201"/>
        <v>0.24664178195981035</v>
      </c>
      <c r="S10465" s="353">
        <f t="shared" si="201"/>
        <v>0.2525611847268458</v>
      </c>
      <c r="T10465" s="353">
        <f t="shared" si="201"/>
        <v>0.25862265316029009</v>
      </c>
      <c r="U10465" s="353">
        <f t="shared" si="201"/>
        <v>0.26482959683613705</v>
      </c>
      <c r="V10465" s="353">
        <f t="shared" si="202"/>
        <v>0.27118550716020434</v>
      </c>
      <c r="W10465" s="353">
        <f t="shared" si="198"/>
        <v>0.27769395933204927</v>
      </c>
      <c r="X10465" s="353">
        <f t="shared" si="198"/>
        <v>0.28435861435601845</v>
      </c>
      <c r="Y10465" s="353">
        <f t="shared" si="198"/>
        <v>0.29118322110056288</v>
      </c>
      <c r="Z10465" s="353">
        <f t="shared" si="198"/>
        <v>0.29817161840697637</v>
      </c>
      <c r="AA10465" s="353">
        <f t="shared" si="198"/>
        <v>0.30532773724874379</v>
      </c>
      <c r="AB10465" s="353">
        <f t="shared" si="198"/>
        <v>0.31265560294271366</v>
      </c>
      <c r="AC10465" s="353">
        <f t="shared" si="198"/>
        <v>0.3201593374133388</v>
      </c>
      <c r="AD10465" s="353">
        <f t="shared" si="198"/>
        <v>0.32784316151125892</v>
      </c>
      <c r="AE10465" s="353">
        <f t="shared" si="198"/>
        <v>0.33571139738752914</v>
      </c>
      <c r="AF10465" s="353">
        <f t="shared" si="198"/>
        <v>0.34376847092482982</v>
      </c>
      <c r="AG10465" s="353">
        <f t="shared" si="198"/>
        <v>0.35201891422702575</v>
      </c>
      <c r="AH10465" s="354">
        <f t="shared" si="198"/>
        <v>0.36046736816847436</v>
      </c>
    </row>
    <row r="10466" spans="1:34" ht="14.75" customHeight="1">
      <c r="A10466" s="240"/>
      <c r="B10466" s="1225"/>
      <c r="C10466" s="1225"/>
      <c r="D10466" s="1225"/>
      <c r="E10466" s="356"/>
      <c r="F10466" s="356"/>
      <c r="G10466" s="356"/>
      <c r="H10466" s="356"/>
      <c r="I10466" s="356"/>
      <c r="J10466" s="356"/>
      <c r="K10466" s="356"/>
      <c r="L10466" s="356"/>
      <c r="M10466" s="356"/>
      <c r="N10466" s="356"/>
      <c r="O10466" s="356"/>
      <c r="P10466" s="356"/>
      <c r="Q10466" s="356"/>
      <c r="R10466" s="356"/>
      <c r="S10466" s="356"/>
      <c r="T10466" s="356"/>
      <c r="U10466" s="356"/>
      <c r="V10466" s="356"/>
      <c r="W10466" s="356"/>
      <c r="X10466" s="356"/>
      <c r="Y10466" s="356"/>
      <c r="Z10466" s="356"/>
      <c r="AA10466" s="356"/>
      <c r="AB10466" s="356"/>
      <c r="AC10466" s="356"/>
      <c r="AD10466" s="356"/>
      <c r="AE10466" s="356"/>
      <c r="AF10466" s="356"/>
      <c r="AG10466" s="356"/>
      <c r="AH10466" s="356"/>
    </row>
    <row r="10467" spans="1:34" ht="14.75" customHeight="1">
      <c r="A10467" s="240"/>
      <c r="B10467" s="63" t="s">
        <v>1605</v>
      </c>
      <c r="C10467" s="63" t="s">
        <v>1606</v>
      </c>
      <c r="D10467" s="557">
        <v>2010</v>
      </c>
      <c r="E10467" s="63" t="s">
        <v>1607</v>
      </c>
    </row>
    <row r="10468" spans="1:34" ht="14.75" customHeight="1">
      <c r="A10468" s="240"/>
      <c r="B10468" s="1226" t="s">
        <v>1608</v>
      </c>
      <c r="C10468" s="1227"/>
      <c r="D10468" s="822" t="s">
        <v>1609</v>
      </c>
      <c r="E10468" s="822" t="s">
        <v>1610</v>
      </c>
      <c r="F10468" s="1228" t="s">
        <v>1611</v>
      </c>
    </row>
    <row r="10469" spans="1:34" ht="14.75" customHeight="1">
      <c r="A10469" s="240"/>
      <c r="B10469" s="1229" t="s">
        <v>1612</v>
      </c>
      <c r="C10469" s="132" t="s">
        <v>1613</v>
      </c>
      <c r="D10469" s="360">
        <v>0</v>
      </c>
      <c r="E10469" s="360">
        <v>0.09</v>
      </c>
      <c r="F10469" s="573">
        <v>0.28000000000000003</v>
      </c>
    </row>
    <row r="10470" spans="1:34" ht="14.75" customHeight="1">
      <c r="A10470" s="240"/>
      <c r="B10470" s="1230" t="s">
        <v>1614</v>
      </c>
      <c r="C10470" s="132" t="s">
        <v>1613</v>
      </c>
      <c r="D10470" s="356">
        <v>7.0000000000000007E-2</v>
      </c>
      <c r="E10470" s="356">
        <v>0.22</v>
      </c>
      <c r="F10470" s="574">
        <v>0.45</v>
      </c>
    </row>
    <row r="10471" spans="1:34" ht="14.75" customHeight="1">
      <c r="A10471" s="240"/>
      <c r="B10471" s="1231" t="s">
        <v>1615</v>
      </c>
      <c r="C10471" s="132" t="s">
        <v>1613</v>
      </c>
      <c r="D10471" s="356">
        <v>0</v>
      </c>
      <c r="E10471" s="356">
        <v>0.03</v>
      </c>
      <c r="F10471" s="574">
        <v>0.16</v>
      </c>
    </row>
    <row r="10472" spans="1:34" ht="14.75" customHeight="1">
      <c r="A10472" s="240"/>
      <c r="B10472" s="1232" t="s">
        <v>271</v>
      </c>
      <c r="C10472" s="342" t="s">
        <v>1613</v>
      </c>
      <c r="D10472" s="360">
        <f>SUM(D10469:D10471)</f>
        <v>7.0000000000000007E-2</v>
      </c>
      <c r="E10472" s="360">
        <f>SUM(E10469:E10471)</f>
        <v>0.33999999999999997</v>
      </c>
      <c r="F10472" s="573">
        <f>SUM(F10469:F10471)</f>
        <v>0.89</v>
      </c>
    </row>
    <row r="10473" spans="1:34" ht="14.75" customHeight="1">
      <c r="A10473" s="240"/>
      <c r="B10473" s="1230" t="s">
        <v>271</v>
      </c>
      <c r="C10473" s="132" t="s">
        <v>1616</v>
      </c>
      <c r="D10473" s="356">
        <f>D10472*INDEX($C$812:$C$848,MATCH($D10467,$B$812:$B$848,0))</f>
        <v>7.6086830905822356E-2</v>
      </c>
      <c r="E10473" s="356">
        <f>E10472*INDEX($C$812:$C$848,MATCH($D10467,$B$812:$B$848,0))</f>
        <v>0.36956460725685136</v>
      </c>
      <c r="F10473" s="574">
        <f>F10472*INDEX($C$812:$C$848,MATCH($D10467,$B$812:$B$848,0))</f>
        <v>0.9673897072311699</v>
      </c>
    </row>
    <row r="10474" spans="1:34" ht="14.75" customHeight="1">
      <c r="A10474" s="240"/>
      <c r="B10474" s="1233" t="s">
        <v>271</v>
      </c>
      <c r="C10474" s="689" t="s">
        <v>1599</v>
      </c>
      <c r="D10474" s="1234">
        <f>D10473*42</f>
        <v>3.1956468980445392</v>
      </c>
      <c r="E10474" s="1234">
        <f>E10473*42</f>
        <v>15.521713504787757</v>
      </c>
      <c r="F10474" s="1235">
        <f>F10473*42</f>
        <v>40.630367703709133</v>
      </c>
    </row>
    <row r="10475" spans="1:34" ht="14.75" customHeight="1">
      <c r="A10475" s="240"/>
    </row>
    <row r="10476" spans="1:34" ht="14.75" customHeight="1">
      <c r="A10476" s="240"/>
      <c r="B10476" s="612" t="s">
        <v>1617</v>
      </c>
      <c r="C10476" s="241"/>
      <c r="D10476" s="557">
        <v>2007</v>
      </c>
      <c r="E10476" s="63" t="s">
        <v>1607</v>
      </c>
    </row>
    <row r="10477" spans="1:34" ht="14.75" customHeight="1">
      <c r="A10477" s="240"/>
      <c r="B10477" s="1236"/>
      <c r="C10477" s="1227"/>
      <c r="D10477" s="1237" t="s">
        <v>1618</v>
      </c>
      <c r="E10477" s="771"/>
      <c r="F10477" s="771"/>
      <c r="G10477" s="772"/>
    </row>
    <row r="10478" spans="1:34" ht="14.75" customHeight="1">
      <c r="A10478" s="240"/>
      <c r="B10478" s="1236" t="s">
        <v>3</v>
      </c>
      <c r="C10478" s="822"/>
      <c r="D10478" s="1238" t="s">
        <v>1619</v>
      </c>
      <c r="E10478" s="1238" t="s">
        <v>1620</v>
      </c>
      <c r="F10478" s="822" t="s">
        <v>1621</v>
      </c>
      <c r="G10478" s="1228" t="s">
        <v>1622</v>
      </c>
    </row>
    <row r="10479" spans="1:34" ht="14.75" customHeight="1">
      <c r="A10479" s="240"/>
      <c r="B10479" s="1239">
        <v>2015</v>
      </c>
      <c r="C10479" s="132" t="s">
        <v>1623</v>
      </c>
      <c r="D10479" s="553">
        <v>11</v>
      </c>
      <c r="E10479" s="553">
        <v>36</v>
      </c>
      <c r="F10479" s="553">
        <v>56</v>
      </c>
      <c r="G10479" s="647">
        <v>105</v>
      </c>
    </row>
    <row r="10480" spans="1:34" ht="14.75" customHeight="1">
      <c r="A10480" s="240"/>
      <c r="B10480" s="1239">
        <v>2020</v>
      </c>
      <c r="C10480" s="132" t="s">
        <v>1623</v>
      </c>
      <c r="D10480" s="553">
        <v>12</v>
      </c>
      <c r="E10480" s="553">
        <v>42</v>
      </c>
      <c r="F10480" s="553">
        <v>62</v>
      </c>
      <c r="G10480" s="647">
        <v>123</v>
      </c>
    </row>
    <row r="10481" spans="1:11" ht="14.75" customHeight="1">
      <c r="A10481" s="240"/>
      <c r="B10481" s="1240">
        <v>2025</v>
      </c>
      <c r="C10481" s="132" t="s">
        <v>1623</v>
      </c>
      <c r="D10481" s="553">
        <v>14</v>
      </c>
      <c r="E10481" s="553">
        <v>46</v>
      </c>
      <c r="F10481" s="553">
        <v>68</v>
      </c>
      <c r="G10481" s="647">
        <v>138</v>
      </c>
    </row>
    <row r="10482" spans="1:11" ht="14.75" customHeight="1">
      <c r="A10482" s="240"/>
      <c r="B10482" s="1240">
        <v>2030</v>
      </c>
      <c r="C10482" s="132" t="s">
        <v>1623</v>
      </c>
      <c r="D10482" s="553">
        <v>16</v>
      </c>
      <c r="E10482" s="553">
        <v>50</v>
      </c>
      <c r="F10482" s="553">
        <v>73</v>
      </c>
      <c r="G10482" s="647">
        <v>152</v>
      </c>
    </row>
    <row r="10483" spans="1:11" ht="14.75" customHeight="1">
      <c r="A10483" s="240"/>
      <c r="B10483" s="1240">
        <v>2035</v>
      </c>
      <c r="C10483" s="132" t="s">
        <v>1623</v>
      </c>
      <c r="D10483" s="553">
        <v>18</v>
      </c>
      <c r="E10483" s="553">
        <v>55</v>
      </c>
      <c r="F10483" s="553">
        <v>78</v>
      </c>
      <c r="G10483" s="647">
        <v>168</v>
      </c>
    </row>
    <row r="10484" spans="1:11" ht="14.75" customHeight="1">
      <c r="A10484" s="240"/>
      <c r="B10484" s="1240">
        <v>2040</v>
      </c>
      <c r="C10484" s="132" t="s">
        <v>1623</v>
      </c>
      <c r="D10484" s="553">
        <v>21</v>
      </c>
      <c r="E10484" s="553">
        <v>60</v>
      </c>
      <c r="F10484" s="553">
        <v>84</v>
      </c>
      <c r="G10484" s="647">
        <v>183</v>
      </c>
    </row>
    <row r="10485" spans="1:11" ht="14.75" customHeight="1">
      <c r="A10485" s="240"/>
      <c r="B10485" s="1240">
        <v>2045</v>
      </c>
      <c r="C10485" s="132" t="s">
        <v>1623</v>
      </c>
      <c r="D10485" s="553">
        <v>23</v>
      </c>
      <c r="E10485" s="553">
        <v>64</v>
      </c>
      <c r="F10485" s="553">
        <v>89</v>
      </c>
      <c r="G10485" s="647">
        <v>197</v>
      </c>
    </row>
    <row r="10486" spans="1:11" ht="14.75" customHeight="1">
      <c r="A10486" s="240"/>
      <c r="B10486" s="1241">
        <v>2050</v>
      </c>
      <c r="C10486" s="338" t="s">
        <v>1623</v>
      </c>
      <c r="D10486" s="649">
        <v>26</v>
      </c>
      <c r="E10486" s="649">
        <v>69</v>
      </c>
      <c r="F10486" s="649">
        <v>95</v>
      </c>
      <c r="G10486" s="650">
        <v>212</v>
      </c>
    </row>
    <row r="10487" spans="1:11" ht="14.75" customHeight="1">
      <c r="A10487" s="240"/>
      <c r="B10487" s="1242">
        <v>2015</v>
      </c>
      <c r="C10487" s="577" t="s">
        <v>1624</v>
      </c>
      <c r="D10487" s="844">
        <f>D10479*0.90718474*INDEX($C$812:$C$848,MATCH($D10476,$B$812:$B$848,0))</f>
        <v>11.409552632544042</v>
      </c>
      <c r="E10487" s="844">
        <f>E10479*0.90718474*INDEX($C$812:$C$848,MATCH($D10476,$B$812:$B$848,0))</f>
        <v>37.340354070144137</v>
      </c>
      <c r="F10487" s="844">
        <f>F10479*0.90718474*INDEX($C$812:$C$848,MATCH($D10476,$B$812:$B$848,0))</f>
        <v>58.084995220224215</v>
      </c>
      <c r="G10487" s="665">
        <f>G10479*0.90718474*INDEX($C$812:$C$848,MATCH($D10476,$B$812:$B$848,0))</f>
        <v>108.90936603792039</v>
      </c>
    </row>
    <row r="10488" spans="1:11" ht="14.75" customHeight="1">
      <c r="A10488" s="240"/>
      <c r="C10488" s="241"/>
      <c r="D10488" s="557"/>
    </row>
    <row r="10489" spans="1:11" ht="14.75" customHeight="1">
      <c r="B10489" s="63" t="s">
        <v>1625</v>
      </c>
    </row>
    <row r="10490" spans="1:11">
      <c r="B10490" s="1226"/>
      <c r="C10490" s="822"/>
      <c r="D10490" s="822" t="s">
        <v>1113</v>
      </c>
      <c r="E10490" s="1243" t="s">
        <v>284</v>
      </c>
      <c r="F10490" s="1243" t="s">
        <v>285</v>
      </c>
      <c r="G10490" s="1243" t="s">
        <v>1534</v>
      </c>
      <c r="H10490" s="1243" t="s">
        <v>281</v>
      </c>
      <c r="I10490" s="829" t="s">
        <v>1626</v>
      </c>
      <c r="J10490" s="830" t="s">
        <v>1627</v>
      </c>
    </row>
    <row r="10491" spans="1:11">
      <c r="B10491" s="1229" t="s">
        <v>1628</v>
      </c>
      <c r="C10491" s="342" t="s">
        <v>1629</v>
      </c>
      <c r="D10491" s="342" t="s">
        <v>1630</v>
      </c>
      <c r="E10491" s="880">
        <f t="shared" ref="E10491:J10491" si="203">MAX(E$10567:E$13709)</f>
        <v>14136.38</v>
      </c>
      <c r="F10491" s="880">
        <f t="shared" si="203"/>
        <v>136002.62</v>
      </c>
      <c r="G10491" s="880">
        <f t="shared" si="203"/>
        <v>5206.63</v>
      </c>
      <c r="H10491" s="880">
        <f t="shared" si="203"/>
        <v>13666.92</v>
      </c>
      <c r="I10491" s="756">
        <f t="shared" si="203"/>
        <v>301939.15000000002</v>
      </c>
      <c r="J10491" s="750">
        <f t="shared" si="203"/>
        <v>56843.839999999997</v>
      </c>
    </row>
    <row r="10492" spans="1:11">
      <c r="B10492" s="1230" t="s">
        <v>1628</v>
      </c>
      <c r="C10492" s="132" t="s">
        <v>1629</v>
      </c>
      <c r="D10492" s="132" t="s">
        <v>1631</v>
      </c>
      <c r="E10492" s="761">
        <f t="shared" ref="E10492:J10492" si="204">MEDIAN(E$10567:E$13709)</f>
        <v>213.8</v>
      </c>
      <c r="F10492" s="761">
        <f t="shared" si="204"/>
        <v>2673.4</v>
      </c>
      <c r="G10492" s="761">
        <f t="shared" si="204"/>
        <v>408.65</v>
      </c>
      <c r="H10492" s="761">
        <f t="shared" si="204"/>
        <v>263.3</v>
      </c>
      <c r="I10492" s="581">
        <f t="shared" si="204"/>
        <v>1604.99</v>
      </c>
      <c r="J10492" s="751">
        <f t="shared" si="204"/>
        <v>1757.08</v>
      </c>
    </row>
    <row r="10493" spans="1:11">
      <c r="B10493" s="1230" t="s">
        <v>1628</v>
      </c>
      <c r="C10493" s="132" t="s">
        <v>1629</v>
      </c>
      <c r="D10493" s="132" t="s">
        <v>1632</v>
      </c>
      <c r="E10493" s="761">
        <f t="shared" ref="E10493:J10493" si="205">MIN(E$10567:E$13709)</f>
        <v>25.64</v>
      </c>
      <c r="F10493" s="761">
        <f t="shared" si="205"/>
        <v>207.07</v>
      </c>
      <c r="G10493" s="761">
        <f t="shared" si="205"/>
        <v>-240.86</v>
      </c>
      <c r="H10493" s="761">
        <f t="shared" si="205"/>
        <v>22.02</v>
      </c>
      <c r="I10493" s="581">
        <f t="shared" si="205"/>
        <v>67.2</v>
      </c>
      <c r="J10493" s="751">
        <f t="shared" si="205"/>
        <v>277.51</v>
      </c>
    </row>
    <row r="10494" spans="1:11">
      <c r="B10494" s="1092" t="str">
        <f>county_name</f>
        <v>LOS ANGELES</v>
      </c>
      <c r="C10494" s="338" t="s">
        <v>1629</v>
      </c>
      <c r="D10494" s="338"/>
      <c r="E10494" s="765" t="e">
        <f t="array" ref="E10494">INDEX(E$10567:E$13790,MATCH(state_name&amp;county_name,$B$10567:$B$13790&amp;$C$10567:$C$13790,0))</f>
        <v>#N/A</v>
      </c>
      <c r="F10494" s="765" t="e">
        <f t="array" ref="F10494">INDEX(F$10567:F$13790,MATCH(state_name&amp;county_name,$B$10567:$B$13790&amp;$C$10567:$C$13790,0))</f>
        <v>#N/A</v>
      </c>
      <c r="G10494" s="765" t="e">
        <f t="array" ref="G10494">INDEX(G$10567:G$13790,MATCH(state_name&amp;county_name,$B$10567:$B$13790&amp;$C$10567:$C$13790,0))</f>
        <v>#N/A</v>
      </c>
      <c r="H10494" s="765" t="e">
        <f t="array" ref="H10494">INDEX(H$10567:H$13790,MATCH(state_name&amp;county_name,$B$10567:$B$13790&amp;$C$10567:$C$13790,0))</f>
        <v>#N/A</v>
      </c>
      <c r="I10494" s="759" t="e">
        <f t="array" ref="I10494">INDEX(I$10567:I$13790,MATCH(state_name&amp;county_name,$B$10567:$B$13790&amp;$C$10567:$C$13790,0))</f>
        <v>#N/A</v>
      </c>
      <c r="J10494" s="752" t="e">
        <f t="array" ref="J10494">INDEX(J$10567:J$13790,MATCH(state_name&amp;county_name,$B$10567:$B$13790&amp;$C$10567:$C$13790,0))</f>
        <v>#N/A</v>
      </c>
    </row>
    <row r="10495" spans="1:11">
      <c r="B10495" s="1229" t="s">
        <v>1628</v>
      </c>
      <c r="C10495" s="342" t="s">
        <v>1601</v>
      </c>
      <c r="D10495" s="342" t="s">
        <v>1630</v>
      </c>
      <c r="E10495" s="880">
        <f t="shared" ref="E10495:J10495" si="206">MAX(E$10567:E$13709)*INDEX($C$812:$C$848,MATCH($E10564,$B$812:$B$848,0))</f>
        <v>19457.388957375144</v>
      </c>
      <c r="F10495" s="880">
        <f t="shared" si="206"/>
        <v>187194.73277897792</v>
      </c>
      <c r="G10495" s="880">
        <f t="shared" si="206"/>
        <v>7166.4333490708477</v>
      </c>
      <c r="H10495" s="880">
        <f t="shared" si="206"/>
        <v>18811.221705226482</v>
      </c>
      <c r="I10495" s="756">
        <f t="shared" si="206"/>
        <v>415590.65920760744</v>
      </c>
      <c r="J10495" s="750">
        <f t="shared" si="206"/>
        <v>78240.165071312425</v>
      </c>
    </row>
    <row r="10496" spans="1:11">
      <c r="B10496" s="1244" t="s">
        <v>1628</v>
      </c>
      <c r="C10496" s="249" t="s">
        <v>1601</v>
      </c>
      <c r="D10496" s="249" t="s">
        <v>1631</v>
      </c>
      <c r="E10496" s="1245">
        <f t="shared" ref="E10496:J10496" si="207">MEDIAN(E$10567:E$13709)*INDEX($C$812:$C$848,MATCH($E10564,$B$812:$B$848,0))</f>
        <v>294.27546225319395</v>
      </c>
      <c r="F10496" s="1245">
        <f t="shared" si="207"/>
        <v>3679.682042973287</v>
      </c>
      <c r="G10496" s="1245">
        <f t="shared" si="207"/>
        <v>562.4680432636469</v>
      </c>
      <c r="H10496" s="1245">
        <f t="shared" si="207"/>
        <v>362.4075267131243</v>
      </c>
      <c r="I10496" s="1246">
        <f t="shared" si="207"/>
        <v>2209.1168108594657</v>
      </c>
      <c r="J10496" s="1247">
        <f t="shared" si="207"/>
        <v>2418.4542994192798</v>
      </c>
      <c r="K10496" s="260"/>
    </row>
    <row r="10497" spans="1:18">
      <c r="B10497" s="1230" t="s">
        <v>1628</v>
      </c>
      <c r="C10497" s="132" t="s">
        <v>1601</v>
      </c>
      <c r="D10497" s="132" t="s">
        <v>1632</v>
      </c>
      <c r="E10497" s="761">
        <f t="shared" ref="E10497:J10497" si="208">MIN(E$10567:E$13709)*INDEX($C$812:$C$848,MATCH($E10564,$B$812:$B$848,0))</f>
        <v>35.291032984901278</v>
      </c>
      <c r="F10497" s="761">
        <f t="shared" si="208"/>
        <v>285.0122542973287</v>
      </c>
      <c r="G10497" s="761">
        <f t="shared" si="208"/>
        <v>-331.52099082462257</v>
      </c>
      <c r="H10497" s="761">
        <f t="shared" si="208"/>
        <v>30.308445644599303</v>
      </c>
      <c r="I10497" s="581">
        <f t="shared" si="208"/>
        <v>92.494439024390246</v>
      </c>
      <c r="J10497" s="751">
        <f t="shared" si="208"/>
        <v>381.96624663182342</v>
      </c>
      <c r="K10497" s="260"/>
    </row>
    <row r="10498" spans="1:18">
      <c r="B10498" s="1233" t="str">
        <f>county_name</f>
        <v>LOS ANGELES</v>
      </c>
      <c r="C10498" s="689" t="s">
        <v>1601</v>
      </c>
      <c r="D10498" s="689"/>
      <c r="E10498" s="1248" t="e">
        <f t="array" ref="E10498">INDEX(E$10567:E$13790,MATCH(state_name&amp;county_name,$B$10567:$B$13790&amp;$C$10567:$C$13790,0))*INDEX($C$812:$C$848,MATCH($E10564,$B$812:$B$848,0))</f>
        <v>#N/A</v>
      </c>
      <c r="F10498" s="1248" t="e">
        <f t="array" ref="F10498">INDEX(F$10567:F$13790,MATCH(state_name&amp;county_name,$B$10567:$B$13790&amp;$C$10567:$C$13790,0))*INDEX($C$812:$C$848,MATCH($E10564,$B$812:$B$848,0))</f>
        <v>#N/A</v>
      </c>
      <c r="G10498" s="1248" t="e">
        <f t="array" ref="G10498">INDEX(G$10567:G$13790,MATCH(state_name&amp;county_name,$B$10567:$B$13790&amp;$C$10567:$C$13790,0))*INDEX($C$812:$C$848,MATCH($E10564,$B$812:$B$848,0))</f>
        <v>#N/A</v>
      </c>
      <c r="H10498" s="1248" t="e">
        <f t="array" ref="H10498">INDEX(H$10567:H$13790,MATCH(state_name&amp;county_name,$B$10567:$B$13790&amp;$C$10567:$C$13790,0))*INDEX($C$812:$C$848,MATCH($E10564,$B$812:$B$848,0))</f>
        <v>#N/A</v>
      </c>
      <c r="I10498" s="1249" t="e">
        <f t="array" ref="I10498">INDEX(I$10567:I$13790,MATCH(state_name&amp;county_name,$B$10567:$B$13790&amp;$C$10567:$C$13790,0))*INDEX($C$812:$C$848,MATCH($E10564,$B$812:$B$848,0))</f>
        <v>#N/A</v>
      </c>
      <c r="J10498" s="1250" t="e">
        <f t="array" ref="J10498">INDEX(J$10567:J$13790,MATCH(state_name&amp;county_name,$B$10567:$B$13790&amp;$C$10567:$C$13790,0))*INDEX($C$812:$C$848,MATCH($E10564,$B$812:$B$848,0))</f>
        <v>#N/A</v>
      </c>
      <c r="K10498" s="260"/>
      <c r="L10498" s="260"/>
    </row>
    <row r="10500" spans="1:18">
      <c r="B10500" s="63" t="s">
        <v>1633</v>
      </c>
      <c r="E10500" s="63" t="s">
        <v>10</v>
      </c>
      <c r="F10500" s="63" t="s">
        <v>1634</v>
      </c>
    </row>
    <row r="10501" spans="1:18">
      <c r="B10501" s="1251" t="s">
        <v>1628</v>
      </c>
      <c r="C10501" s="666" t="s">
        <v>1601</v>
      </c>
      <c r="D10501" s="1252">
        <v>0</v>
      </c>
      <c r="E10501" s="1253" t="s">
        <v>1635</v>
      </c>
      <c r="F10501" s="662" t="s">
        <v>1636</v>
      </c>
      <c r="H10501" s="241"/>
    </row>
    <row r="10502" spans="1:18">
      <c r="B10502" s="1233" t="str">
        <f>county_name</f>
        <v>LOS ANGELES</v>
      </c>
      <c r="C10502" s="689" t="s">
        <v>1601</v>
      </c>
      <c r="D10502" s="1248" t="e">
        <f>$D$10501*E10498/$E$10496</f>
        <v>#N/A</v>
      </c>
      <c r="E10502" s="349" t="s">
        <v>1637</v>
      </c>
      <c r="F10502" s="650" t="s">
        <v>1638</v>
      </c>
    </row>
    <row r="10503" spans="1:18">
      <c r="B10503" s="249"/>
      <c r="C10503" s="249"/>
      <c r="D10503" s="249"/>
      <c r="E10503" s="1245"/>
      <c r="F10503" s="1245"/>
      <c r="G10503" s="1245"/>
      <c r="H10503" s="1245"/>
      <c r="I10503" s="1245"/>
      <c r="J10503" s="1245"/>
      <c r="K10503" s="260"/>
      <c r="L10503" s="260"/>
    </row>
    <row r="10504" spans="1:18" ht="14.75" customHeight="1">
      <c r="A10504" s="240"/>
      <c r="B10504" s="317" t="s">
        <v>1639</v>
      </c>
      <c r="C10504" s="1254" t="s">
        <v>1640</v>
      </c>
      <c r="D10504" s="1255" t="s">
        <v>1641</v>
      </c>
      <c r="E10504" s="267"/>
      <c r="F10504" s="267" t="s">
        <v>1642</v>
      </c>
      <c r="G10504" s="267"/>
      <c r="H10504" s="267"/>
      <c r="I10504" s="267"/>
      <c r="J10504" s="267"/>
      <c r="K10504" s="267"/>
      <c r="L10504" s="267"/>
      <c r="M10504" s="267"/>
      <c r="N10504" s="267"/>
      <c r="O10504" s="267"/>
      <c r="P10504" s="267"/>
      <c r="Q10504" s="267"/>
      <c r="R10504" s="267"/>
    </row>
    <row r="10505" spans="1:18" ht="14.75" customHeight="1">
      <c r="A10505" s="240"/>
      <c r="B10505" s="1256" t="s">
        <v>1643</v>
      </c>
      <c r="C10505" s="1257"/>
      <c r="D10505" s="1258" t="s">
        <v>676</v>
      </c>
      <c r="E10505" s="1259" t="s">
        <v>1644</v>
      </c>
      <c r="F10505" s="1260" t="s">
        <v>1645</v>
      </c>
      <c r="G10505" s="1260" t="s">
        <v>1646</v>
      </c>
      <c r="H10505" s="1260" t="s">
        <v>1647</v>
      </c>
      <c r="I10505" s="1260" t="s">
        <v>1648</v>
      </c>
      <c r="J10505" s="1260" t="s">
        <v>1649</v>
      </c>
      <c r="K10505" s="1260" t="s">
        <v>1650</v>
      </c>
      <c r="L10505" s="1260" t="s">
        <v>1651</v>
      </c>
      <c r="M10505" s="1260" t="s">
        <v>1652</v>
      </c>
      <c r="N10505" s="1260" t="s">
        <v>1653</v>
      </c>
      <c r="O10505" s="1260" t="s">
        <v>1654</v>
      </c>
      <c r="P10505" s="1260" t="s">
        <v>1655</v>
      </c>
      <c r="Q10505" s="1260" t="s">
        <v>1656</v>
      </c>
      <c r="R10505" s="1261" t="s">
        <v>1657</v>
      </c>
    </row>
    <row r="10506" spans="1:18" ht="14.75" customHeight="1">
      <c r="A10506" s="240"/>
      <c r="B10506" s="1256" t="s">
        <v>1658</v>
      </c>
      <c r="C10506" s="1257" t="s">
        <v>1659</v>
      </c>
      <c r="D10506" s="1258"/>
      <c r="E10506" s="1262">
        <v>1.4200000000000002</v>
      </c>
      <c r="F10506" s="1262">
        <v>1.4200000000000002</v>
      </c>
      <c r="G10506" s="1262">
        <v>1.4200000000000002</v>
      </c>
      <c r="H10506" s="1262">
        <v>1.4200000000000002</v>
      </c>
      <c r="I10506" s="1262">
        <v>1</v>
      </c>
      <c r="J10506" s="1262">
        <v>10.199999999999999</v>
      </c>
      <c r="K10506" s="1262">
        <v>14</v>
      </c>
      <c r="L10506" s="1262">
        <v>1</v>
      </c>
      <c r="M10506" s="1262">
        <v>1</v>
      </c>
      <c r="N10506" s="1262">
        <v>1</v>
      </c>
      <c r="O10506" s="1262">
        <v>1</v>
      </c>
      <c r="P10506" s="1263" t="s">
        <v>1660</v>
      </c>
      <c r="Q10506" s="1263" t="s">
        <v>1608</v>
      </c>
      <c r="R10506" s="1264" t="s">
        <v>1608</v>
      </c>
    </row>
    <row r="10507" spans="1:18" ht="14.75" customHeight="1">
      <c r="A10507" s="240"/>
      <c r="B10507" s="1265" t="s">
        <v>1661</v>
      </c>
      <c r="C10507" s="1266" t="s">
        <v>1659</v>
      </c>
      <c r="D10507" s="1267" t="s">
        <v>1662</v>
      </c>
      <c r="E10507" s="302">
        <v>0.27200000000000002</v>
      </c>
      <c r="F10507" s="302">
        <v>0.23899999999999999</v>
      </c>
      <c r="G10507" s="302">
        <v>0.34100000000000008</v>
      </c>
      <c r="H10507" s="302">
        <v>0.35399999999999998</v>
      </c>
      <c r="I10507" s="302">
        <v>0</v>
      </c>
      <c r="J10507" s="302">
        <v>0</v>
      </c>
      <c r="K10507" s="302">
        <v>0</v>
      </c>
      <c r="L10507" s="302">
        <v>0.33300000000000007</v>
      </c>
      <c r="M10507" s="302">
        <v>6.6000000000000003E-2</v>
      </c>
      <c r="N10507" s="302">
        <v>0</v>
      </c>
      <c r="O10507" s="302">
        <v>0.26400000000000001</v>
      </c>
      <c r="P10507" s="1268">
        <v>1</v>
      </c>
      <c r="Q10507" s="1268">
        <v>1</v>
      </c>
      <c r="R10507" s="1269">
        <v>1</v>
      </c>
    </row>
    <row r="10508" spans="1:18" ht="14.75" customHeight="1">
      <c r="A10508" s="240"/>
      <c r="B10508" s="1265" t="s">
        <v>1663</v>
      </c>
      <c r="C10508" s="1266" t="s">
        <v>1659</v>
      </c>
      <c r="D10508" s="1267" t="s">
        <v>1662</v>
      </c>
      <c r="E10508" s="302">
        <v>0.16400000000000001</v>
      </c>
      <c r="F10508" s="302">
        <v>0.11899999999999999</v>
      </c>
      <c r="G10508" s="302">
        <v>0.23060000000000003</v>
      </c>
      <c r="H10508" s="302">
        <v>0.23060000000000003</v>
      </c>
      <c r="I10508" s="302">
        <v>3.6000000000000003E-3</v>
      </c>
      <c r="J10508" s="302">
        <v>2.4948000000000001</v>
      </c>
      <c r="K10508" s="302">
        <v>3.2434000000000003</v>
      </c>
      <c r="L10508" s="302">
        <v>7.1199999999999999E-2</v>
      </c>
      <c r="M10508" s="302">
        <v>2.5999999999999999E-2</v>
      </c>
      <c r="N10508" s="302">
        <v>5.3000000000000005E-2</v>
      </c>
      <c r="O10508" s="302">
        <v>0</v>
      </c>
      <c r="P10508" s="1268">
        <v>1</v>
      </c>
      <c r="Q10508" s="1268">
        <v>0</v>
      </c>
      <c r="R10508" s="1269">
        <v>1</v>
      </c>
    </row>
    <row r="10509" spans="1:18" ht="14.75" customHeight="1">
      <c r="A10509" s="240"/>
      <c r="B10509" s="1265" t="s">
        <v>1664</v>
      </c>
      <c r="C10509" s="1266" t="s">
        <v>1659</v>
      </c>
      <c r="D10509" s="1267" t="s">
        <v>1662</v>
      </c>
      <c r="E10509" s="302">
        <v>0</v>
      </c>
      <c r="F10509" s="302">
        <v>0</v>
      </c>
      <c r="G10509" s="302">
        <v>0</v>
      </c>
      <c r="H10509" s="302">
        <v>0</v>
      </c>
      <c r="I10509" s="302">
        <v>0</v>
      </c>
      <c r="J10509" s="302">
        <v>3.3660000000000005</v>
      </c>
      <c r="K10509" s="302">
        <v>5.3592000000000004</v>
      </c>
      <c r="L10509" s="302">
        <v>0</v>
      </c>
      <c r="M10509" s="302">
        <v>0</v>
      </c>
      <c r="N10509" s="302">
        <v>0</v>
      </c>
      <c r="O10509" s="302">
        <v>0</v>
      </c>
      <c r="P10509" s="1268">
        <v>0</v>
      </c>
      <c r="Q10509" s="1268">
        <v>1</v>
      </c>
      <c r="R10509" s="1269">
        <v>1</v>
      </c>
    </row>
    <row r="10510" spans="1:18" ht="14.75" customHeight="1">
      <c r="A10510" s="240"/>
      <c r="B10510" s="1265" t="s">
        <v>1665</v>
      </c>
      <c r="C10510" s="1266" t="s">
        <v>1659</v>
      </c>
      <c r="D10510" s="1267" t="s">
        <v>1666</v>
      </c>
      <c r="E10510" s="302">
        <v>0.11249999999999999</v>
      </c>
      <c r="F10510" s="302">
        <v>0.11249999999999999</v>
      </c>
      <c r="G10510" s="302">
        <v>0.11249999999999999</v>
      </c>
      <c r="H10510" s="302">
        <v>0.11249999999999999</v>
      </c>
      <c r="I10510" s="302">
        <v>0.1</v>
      </c>
      <c r="J10510" s="302">
        <v>0.26250000000000001</v>
      </c>
      <c r="K10510" s="302">
        <v>0.26250000000000001</v>
      </c>
      <c r="L10510" s="302">
        <v>0.11249999999999999</v>
      </c>
      <c r="M10510" s="302">
        <v>0.38750000000000007</v>
      </c>
      <c r="N10510" s="302">
        <v>1.25</v>
      </c>
      <c r="O10510" s="302">
        <v>0</v>
      </c>
      <c r="P10510" s="1268">
        <v>1</v>
      </c>
      <c r="Q10510" s="1268">
        <v>0</v>
      </c>
      <c r="R10510" s="1269">
        <v>0</v>
      </c>
    </row>
    <row r="10511" spans="1:18" ht="14.75" customHeight="1">
      <c r="A10511" s="240"/>
      <c r="B10511" s="1265" t="s">
        <v>1667</v>
      </c>
      <c r="C10511" s="1266" t="s">
        <v>1659</v>
      </c>
      <c r="D10511" s="1267" t="s">
        <v>1666</v>
      </c>
      <c r="E10511" s="302">
        <v>8.299999999999999E-2</v>
      </c>
      <c r="F10511" s="302">
        <v>9.1999999999999998E-2</v>
      </c>
      <c r="G10511" s="302">
        <v>8.299999999999999E-2</v>
      </c>
      <c r="H10511" s="302">
        <v>8.299999999999999E-2</v>
      </c>
      <c r="I10511" s="302">
        <v>8.299999999999999E-2</v>
      </c>
      <c r="J10511" s="302">
        <v>4.0000000000000001E-3</v>
      </c>
      <c r="K10511" s="302">
        <v>4.0000000000000001E-3</v>
      </c>
      <c r="L10511" s="302">
        <v>0.57699999999999996</v>
      </c>
      <c r="M10511" s="302">
        <v>8.299999999999999E-2</v>
      </c>
      <c r="N10511" s="302">
        <v>8.299999999999999E-2</v>
      </c>
      <c r="O10511" s="302">
        <v>0</v>
      </c>
      <c r="P10511" s="1268">
        <v>1</v>
      </c>
      <c r="Q10511" s="1268">
        <v>0</v>
      </c>
      <c r="R10511" s="1269">
        <v>0.2</v>
      </c>
    </row>
    <row r="10512" spans="1:18" ht="14.75" customHeight="1">
      <c r="A10512" s="240"/>
      <c r="B10512" s="1265" t="s">
        <v>1668</v>
      </c>
      <c r="C10512" s="1266" t="s">
        <v>1659</v>
      </c>
      <c r="D10512" s="1267" t="s">
        <v>1662</v>
      </c>
      <c r="E10512" s="302">
        <v>5.5000000000000007E-2</v>
      </c>
      <c r="F10512" s="302">
        <v>5.3000000000000005E-2</v>
      </c>
      <c r="G10512" s="302">
        <v>5.5000000000000007E-2</v>
      </c>
      <c r="H10512" s="302">
        <v>5.5000000000000007E-2</v>
      </c>
      <c r="I10512" s="302">
        <v>0</v>
      </c>
      <c r="J10512" s="302">
        <v>0.26400000000000001</v>
      </c>
      <c r="K10512" s="302">
        <v>0.26400000000000001</v>
      </c>
      <c r="L10512" s="302">
        <v>0.10200000000000001</v>
      </c>
      <c r="M10512" s="302">
        <v>3.0000000000000001E-3</v>
      </c>
      <c r="N10512" s="302">
        <v>3.0000000000000001E-3</v>
      </c>
      <c r="O10512" s="302">
        <v>0</v>
      </c>
      <c r="P10512" s="1268">
        <v>0</v>
      </c>
      <c r="Q10512" s="1268">
        <v>0</v>
      </c>
      <c r="R10512" s="1269">
        <v>0.2</v>
      </c>
    </row>
    <row r="10513" spans="1:18" ht="14.75" customHeight="1">
      <c r="A10513" s="240"/>
      <c r="B10513" s="1265" t="s">
        <v>1669</v>
      </c>
      <c r="C10513" s="1266" t="s">
        <v>1659</v>
      </c>
      <c r="D10513" s="1267" t="s">
        <v>1666</v>
      </c>
      <c r="E10513" s="302">
        <v>0</v>
      </c>
      <c r="F10513" s="302">
        <v>0</v>
      </c>
      <c r="G10513" s="302">
        <v>0</v>
      </c>
      <c r="H10513" s="302">
        <v>0</v>
      </c>
      <c r="I10513" s="302">
        <v>0</v>
      </c>
      <c r="J10513" s="302">
        <v>0</v>
      </c>
      <c r="K10513" s="302">
        <v>0</v>
      </c>
      <c r="L10513" s="302">
        <v>0</v>
      </c>
      <c r="M10513" s="302">
        <v>-9.5000000000000015E-2</v>
      </c>
      <c r="N10513" s="302">
        <v>-0.24000000000000002</v>
      </c>
      <c r="O10513" s="302">
        <v>0</v>
      </c>
      <c r="P10513" s="1268">
        <v>1</v>
      </c>
      <c r="Q10513" s="1268">
        <v>0</v>
      </c>
      <c r="R10513" s="1269">
        <v>0.2</v>
      </c>
    </row>
    <row r="10514" spans="1:18" ht="14.75" customHeight="1">
      <c r="A10514" s="240"/>
      <c r="B10514" s="1265" t="s">
        <v>1670</v>
      </c>
      <c r="C10514" s="1266" t="s">
        <v>1659</v>
      </c>
      <c r="D10514" s="1267" t="s">
        <v>1666</v>
      </c>
      <c r="E10514" s="302">
        <v>0</v>
      </c>
      <c r="F10514" s="302">
        <v>0</v>
      </c>
      <c r="G10514" s="302">
        <v>0</v>
      </c>
      <c r="H10514" s="302">
        <v>0</v>
      </c>
      <c r="I10514" s="302">
        <v>0</v>
      </c>
      <c r="J10514" s="302">
        <v>0</v>
      </c>
      <c r="K10514" s="302">
        <v>0</v>
      </c>
      <c r="L10514" s="302">
        <v>0</v>
      </c>
      <c r="M10514" s="302">
        <v>-9.5000000000000015E-2</v>
      </c>
      <c r="N10514" s="302">
        <v>-0.24000000000000002</v>
      </c>
      <c r="O10514" s="302">
        <v>0</v>
      </c>
      <c r="P10514" s="1268">
        <v>0</v>
      </c>
      <c r="Q10514" s="1268">
        <v>0</v>
      </c>
      <c r="R10514" s="1269">
        <v>0.2</v>
      </c>
    </row>
    <row r="10515" spans="1:18" ht="14.75" customHeight="1">
      <c r="A10515" s="240"/>
      <c r="B10515" s="1265" t="s">
        <v>1671</v>
      </c>
      <c r="C10515" s="1266" t="s">
        <v>1659</v>
      </c>
      <c r="D10515" s="1267" t="s">
        <v>1662</v>
      </c>
      <c r="E10515" s="302">
        <v>6.4000000000000001E-2</v>
      </c>
      <c r="F10515" s="302">
        <v>5.8000000000000003E-2</v>
      </c>
      <c r="G10515" s="302">
        <v>6.4000000000000001E-2</v>
      </c>
      <c r="H10515" s="302">
        <v>6.4000000000000001E-2</v>
      </c>
      <c r="I10515" s="302">
        <v>0</v>
      </c>
      <c r="J10515" s="302">
        <v>0</v>
      </c>
      <c r="K10515" s="302">
        <v>0</v>
      </c>
      <c r="L10515" s="302">
        <v>5.1200000000000002E-2</v>
      </c>
      <c r="M10515" s="302">
        <v>3.8E-3</v>
      </c>
      <c r="N10515" s="302">
        <v>0</v>
      </c>
      <c r="O10515" s="302">
        <v>0</v>
      </c>
      <c r="P10515" s="1268">
        <v>1</v>
      </c>
      <c r="Q10515" s="1268">
        <v>1</v>
      </c>
      <c r="R10515" s="1269">
        <v>1</v>
      </c>
    </row>
    <row r="10516" spans="1:18" ht="14.75" customHeight="1">
      <c r="A10516" s="240"/>
      <c r="B10516" s="1265" t="s">
        <v>1672</v>
      </c>
      <c r="C10516" s="1266" t="s">
        <v>1659</v>
      </c>
      <c r="D10516" s="1267" t="s">
        <v>1662</v>
      </c>
      <c r="E10516" s="302">
        <v>6.0000000000000005E-2</v>
      </c>
      <c r="F10516" s="302">
        <v>5.6999999999999995E-2</v>
      </c>
      <c r="G10516" s="302">
        <v>6.0000000000000005E-2</v>
      </c>
      <c r="H10516" s="302">
        <v>6.0000000000000005E-2</v>
      </c>
      <c r="I10516" s="302">
        <v>0</v>
      </c>
      <c r="J10516" s="302">
        <v>0</v>
      </c>
      <c r="K10516" s="302">
        <v>0</v>
      </c>
      <c r="L10516" s="302">
        <v>4.4600000000000001E-2</v>
      </c>
      <c r="M10516" s="302">
        <v>3.2000000000000006E-3</v>
      </c>
      <c r="N10516" s="302">
        <v>0</v>
      </c>
      <c r="O10516" s="302">
        <v>0</v>
      </c>
      <c r="P10516" s="1268">
        <v>0</v>
      </c>
      <c r="Q10516" s="1268">
        <v>0</v>
      </c>
      <c r="R10516" s="1269">
        <v>1</v>
      </c>
    </row>
    <row r="10517" spans="1:18" ht="14.75" customHeight="1">
      <c r="A10517" s="240"/>
      <c r="B10517" s="1265" t="s">
        <v>1673</v>
      </c>
      <c r="C10517" s="1266" t="s">
        <v>1659</v>
      </c>
      <c r="D10517" s="1267" t="s">
        <v>1662</v>
      </c>
      <c r="E10517" s="302">
        <v>3.4000000000000002E-2</v>
      </c>
      <c r="F10517" s="302">
        <v>3.4000000000000002E-2</v>
      </c>
      <c r="G10517" s="302">
        <v>3.4000000000000002E-2</v>
      </c>
      <c r="H10517" s="302">
        <v>3.4000000000000002E-2</v>
      </c>
      <c r="I10517" s="302">
        <v>0</v>
      </c>
      <c r="J10517" s="302">
        <v>7.0000000000000007E-2</v>
      </c>
      <c r="K10517" s="302">
        <v>7.0000000000000007E-2</v>
      </c>
      <c r="L10517" s="302">
        <v>3.4000000000000002E-2</v>
      </c>
      <c r="M10517" s="302">
        <v>2.4000000000000002E-3</v>
      </c>
      <c r="N10517" s="302">
        <v>1E-3</v>
      </c>
      <c r="O10517" s="302">
        <v>0</v>
      </c>
      <c r="P10517" s="1268">
        <v>0</v>
      </c>
      <c r="Q10517" s="1268">
        <v>0</v>
      </c>
      <c r="R10517" s="1269">
        <v>0.5</v>
      </c>
    </row>
    <row r="10518" spans="1:18" ht="14.75" customHeight="1">
      <c r="A10518" s="240"/>
      <c r="B10518" s="1265" t="s">
        <v>1674</v>
      </c>
      <c r="C10518" s="1266" t="s">
        <v>1659</v>
      </c>
      <c r="D10518" s="1267" t="s">
        <v>1662</v>
      </c>
      <c r="E10518" s="302">
        <v>2.1999999999999999E-2</v>
      </c>
      <c r="F10518" s="302">
        <v>2.1999999999999999E-2</v>
      </c>
      <c r="G10518" s="302">
        <v>5.3600000000000002E-2</v>
      </c>
      <c r="H10518" s="302">
        <v>2.9400000000000006E-2</v>
      </c>
      <c r="I10518" s="302">
        <v>0</v>
      </c>
      <c r="J10518" s="302">
        <v>4.0400000000000005E-2</v>
      </c>
      <c r="K10518" s="302">
        <v>4.0400000000000005E-2</v>
      </c>
      <c r="L10518" s="302">
        <v>1.1600000000000001E-2</v>
      </c>
      <c r="M10518" s="302">
        <v>1.6000000000000001E-3</v>
      </c>
      <c r="N10518" s="302">
        <v>1.6000000000000001E-3</v>
      </c>
      <c r="O10518" s="302">
        <v>0</v>
      </c>
      <c r="P10518" s="1268">
        <v>0</v>
      </c>
      <c r="Q10518" s="1268">
        <v>0</v>
      </c>
      <c r="R10518" s="1269">
        <v>1</v>
      </c>
    </row>
    <row r="10519" spans="1:18" ht="14.75" customHeight="1">
      <c r="A10519" s="240"/>
      <c r="B10519" s="1265" t="s">
        <v>1675</v>
      </c>
      <c r="C10519" s="1266" t="s">
        <v>1659</v>
      </c>
      <c r="D10519" s="1267" t="s">
        <v>1662</v>
      </c>
      <c r="E10519" s="302">
        <v>3.4000000000000002E-2</v>
      </c>
      <c r="F10519" s="302">
        <v>3.4000000000000002E-2</v>
      </c>
      <c r="G10519" s="302">
        <v>3.4000000000000002E-2</v>
      </c>
      <c r="H10519" s="302">
        <v>3.4000000000000002E-2</v>
      </c>
      <c r="I10519" s="302">
        <v>0</v>
      </c>
      <c r="J10519" s="302">
        <v>3.4000000000000002E-2</v>
      </c>
      <c r="K10519" s="302">
        <v>3.4000000000000002E-2</v>
      </c>
      <c r="L10519" s="302">
        <v>3.4000000000000002E-2</v>
      </c>
      <c r="M10519" s="302">
        <v>2E-3</v>
      </c>
      <c r="N10519" s="302">
        <v>2E-3</v>
      </c>
      <c r="O10519" s="302">
        <v>0</v>
      </c>
      <c r="P10519" s="1268">
        <v>0</v>
      </c>
      <c r="Q10519" s="1268">
        <v>1</v>
      </c>
      <c r="R10519" s="1269">
        <v>1</v>
      </c>
    </row>
    <row r="10520" spans="1:18" ht="14.75" customHeight="1">
      <c r="A10520" s="240"/>
      <c r="B10520" s="1265" t="s">
        <v>1676</v>
      </c>
      <c r="C10520" s="1266" t="s">
        <v>1659</v>
      </c>
      <c r="D10520" s="1267" t="s">
        <v>1662</v>
      </c>
      <c r="E10520" s="302">
        <v>1.2E-2</v>
      </c>
      <c r="F10520" s="302">
        <v>1.2E-2</v>
      </c>
      <c r="G10520" s="302">
        <v>1.2E-2</v>
      </c>
      <c r="H10520" s="302">
        <v>1.2E-2</v>
      </c>
      <c r="I10520" s="302">
        <v>0</v>
      </c>
      <c r="J10520" s="302">
        <v>1.2E-2</v>
      </c>
      <c r="K10520" s="302">
        <v>1.2E-2</v>
      </c>
      <c r="L10520" s="302">
        <v>1.2E-2</v>
      </c>
      <c r="M10520" s="302">
        <v>8.0000000000000004E-4</v>
      </c>
      <c r="N10520" s="302">
        <v>8.0000000000000004E-4</v>
      </c>
      <c r="O10520" s="302">
        <v>8.0000000000000004E-4</v>
      </c>
      <c r="P10520" s="1268">
        <v>0</v>
      </c>
      <c r="Q10520" s="1268">
        <v>0</v>
      </c>
      <c r="R10520" s="1269">
        <v>1</v>
      </c>
    </row>
    <row r="10521" spans="1:18" ht="14.75" customHeight="1">
      <c r="A10521" s="240"/>
      <c r="B10521" s="1265" t="s">
        <v>1677</v>
      </c>
      <c r="C10521" s="1266" t="s">
        <v>1659</v>
      </c>
      <c r="D10521" s="1267" t="s">
        <v>1662</v>
      </c>
      <c r="E10521" s="302">
        <v>7.000000000000001E-3</v>
      </c>
      <c r="F10521" s="302">
        <v>7.000000000000001E-3</v>
      </c>
      <c r="G10521" s="302">
        <v>7.000000000000001E-3</v>
      </c>
      <c r="H10521" s="302">
        <v>7.000000000000001E-3</v>
      </c>
      <c r="I10521" s="302">
        <v>0</v>
      </c>
      <c r="J10521" s="302">
        <v>0</v>
      </c>
      <c r="K10521" s="302">
        <v>0</v>
      </c>
      <c r="L10521" s="302">
        <v>7.000000000000001E-3</v>
      </c>
      <c r="M10521" s="302">
        <v>0</v>
      </c>
      <c r="N10521" s="302">
        <v>0</v>
      </c>
      <c r="O10521" s="302">
        <v>0</v>
      </c>
      <c r="P10521" s="1268">
        <v>0</v>
      </c>
      <c r="Q10521" s="1268">
        <v>0</v>
      </c>
      <c r="R10521" s="1269">
        <v>0</v>
      </c>
    </row>
    <row r="10522" spans="1:18" ht="14.75" customHeight="1">
      <c r="A10522" s="240"/>
      <c r="B10522" s="1265" t="s">
        <v>1678</v>
      </c>
      <c r="C10522" s="1266" t="s">
        <v>1659</v>
      </c>
      <c r="D10522" s="1267" t="s">
        <v>1662</v>
      </c>
      <c r="E10522" s="302">
        <v>3.4799999999999998E-2</v>
      </c>
      <c r="F10522" s="302">
        <v>2.8200000000000003E-2</v>
      </c>
      <c r="G10522" s="302">
        <v>8.7999999999999988E-3</v>
      </c>
      <c r="H10522" s="302">
        <v>6.2800000000000009E-2</v>
      </c>
      <c r="I10522" s="302">
        <v>1.2000000000000001E-3</v>
      </c>
      <c r="J10522" s="302">
        <v>0.1062</v>
      </c>
      <c r="K10522" s="302">
        <v>4.3600000000000007E-2</v>
      </c>
      <c r="L10522" s="302">
        <v>5.7999999999999996E-2</v>
      </c>
      <c r="M10522" s="302">
        <v>0</v>
      </c>
      <c r="N10522" s="302">
        <v>0</v>
      </c>
      <c r="O10522" s="302">
        <v>0</v>
      </c>
      <c r="P10522" s="1268">
        <v>0</v>
      </c>
      <c r="Q10522" s="1268">
        <v>0</v>
      </c>
      <c r="R10522" s="1269">
        <v>0</v>
      </c>
    </row>
    <row r="10523" spans="1:18" ht="14.75" customHeight="1">
      <c r="A10523" s="240"/>
      <c r="B10523" s="1265" t="s">
        <v>1600</v>
      </c>
      <c r="C10523" s="1266" t="s">
        <v>1659</v>
      </c>
      <c r="D10523" s="1267" t="s">
        <v>1662</v>
      </c>
      <c r="E10523" s="302">
        <v>1.66E-2</v>
      </c>
      <c r="F10523" s="302">
        <v>1.2800000000000001E-2</v>
      </c>
      <c r="G10523" s="302">
        <v>4.1999999999999997E-3</v>
      </c>
      <c r="H10523" s="302">
        <v>2.3200000000000002E-2</v>
      </c>
      <c r="I10523" s="302">
        <v>0</v>
      </c>
      <c r="J10523" s="302">
        <v>8.3999999999999991E-2</v>
      </c>
      <c r="K10523" s="302">
        <v>2.7800000000000002E-2</v>
      </c>
      <c r="L10523" s="302">
        <v>8.6E-3</v>
      </c>
      <c r="M10523" s="302">
        <v>0</v>
      </c>
      <c r="N10523" s="302">
        <v>0</v>
      </c>
      <c r="O10523" s="302">
        <v>0</v>
      </c>
      <c r="P10523" s="1268">
        <v>0</v>
      </c>
      <c r="Q10523" s="1268">
        <v>0</v>
      </c>
      <c r="R10523" s="1269">
        <v>0</v>
      </c>
    </row>
    <row r="10524" spans="1:18" ht="14.75" customHeight="1">
      <c r="A10524" s="240"/>
      <c r="B10524" s="1265" t="s">
        <v>1679</v>
      </c>
      <c r="C10524" s="1266" t="s">
        <v>1659</v>
      </c>
      <c r="D10524" s="1267" t="s">
        <v>1662</v>
      </c>
      <c r="E10524" s="302">
        <v>1.06E-2</v>
      </c>
      <c r="F10524" s="302">
        <v>1.06E-2</v>
      </c>
      <c r="G10524" s="302">
        <v>4.0000000000000001E-3</v>
      </c>
      <c r="H10524" s="302">
        <v>1.06E-2</v>
      </c>
      <c r="I10524" s="302">
        <v>0</v>
      </c>
      <c r="J10524" s="302">
        <v>5.2800000000000007E-2</v>
      </c>
      <c r="K10524" s="302">
        <v>3.2000000000000001E-2</v>
      </c>
      <c r="L10524" s="302">
        <v>0.10560000000000001</v>
      </c>
      <c r="M10524" s="302">
        <v>0</v>
      </c>
      <c r="N10524" s="302">
        <v>0</v>
      </c>
      <c r="O10524" s="302">
        <v>0</v>
      </c>
      <c r="P10524" s="1268">
        <v>0</v>
      </c>
      <c r="Q10524" s="1268">
        <v>0</v>
      </c>
      <c r="R10524" s="1269">
        <v>0</v>
      </c>
    </row>
    <row r="10525" spans="1:18" ht="14.75" customHeight="1">
      <c r="A10525" s="240"/>
      <c r="B10525" s="1265" t="s">
        <v>1680</v>
      </c>
      <c r="C10525" s="1266" t="s">
        <v>1659</v>
      </c>
      <c r="D10525" s="1267" t="s">
        <v>1662</v>
      </c>
      <c r="E10525" s="302">
        <v>3.8800000000000001E-2</v>
      </c>
      <c r="F10525" s="302">
        <v>3.2000000000000001E-2</v>
      </c>
      <c r="G10525" s="302">
        <v>1.5800000000000002E-2</v>
      </c>
      <c r="H10525" s="302">
        <v>5.04E-2</v>
      </c>
      <c r="I10525" s="302">
        <v>1E-3</v>
      </c>
      <c r="J10525" s="302">
        <v>0.19360000000000002</v>
      </c>
      <c r="K10525" s="302">
        <v>6.4600000000000005E-2</v>
      </c>
      <c r="L10525" s="302">
        <v>1.54E-2</v>
      </c>
      <c r="M10525" s="302">
        <v>0</v>
      </c>
      <c r="N10525" s="302">
        <v>0</v>
      </c>
      <c r="O10525" s="302">
        <v>4.0000000000000001E-3</v>
      </c>
      <c r="P10525" s="1268">
        <v>0</v>
      </c>
      <c r="Q10525" s="1268">
        <v>0</v>
      </c>
      <c r="R10525" s="1269">
        <v>0.5</v>
      </c>
    </row>
    <row r="10526" spans="1:18" ht="14.75" customHeight="1">
      <c r="A10526" s="240"/>
      <c r="B10526" s="1265" t="s">
        <v>1681</v>
      </c>
      <c r="C10526" s="1266" t="s">
        <v>1659</v>
      </c>
      <c r="D10526" s="1267" t="s">
        <v>1662</v>
      </c>
      <c r="E10526" s="302">
        <v>1.38E-2</v>
      </c>
      <c r="F10526" s="302">
        <v>1.38E-2</v>
      </c>
      <c r="G10526" s="302">
        <v>1.38E-2</v>
      </c>
      <c r="H10526" s="302">
        <v>1.38E-2</v>
      </c>
      <c r="I10526" s="302">
        <v>0</v>
      </c>
      <c r="J10526" s="302">
        <v>2.2800000000000001E-2</v>
      </c>
      <c r="K10526" s="302">
        <v>2.2800000000000001E-2</v>
      </c>
      <c r="L10526" s="302">
        <v>1.38E-2</v>
      </c>
      <c r="M10526" s="302">
        <v>6.0000000000000006E-4</v>
      </c>
      <c r="N10526" s="302">
        <v>0</v>
      </c>
      <c r="O10526" s="302">
        <v>0</v>
      </c>
      <c r="P10526" s="1268">
        <v>0</v>
      </c>
      <c r="Q10526" s="1268">
        <v>0</v>
      </c>
      <c r="R10526" s="1269">
        <v>0</v>
      </c>
    </row>
    <row r="10527" spans="1:18" ht="14.75" customHeight="1">
      <c r="A10527" s="240"/>
      <c r="B10527" s="1265" t="s">
        <v>1682</v>
      </c>
      <c r="C10527" s="1266" t="s">
        <v>1659</v>
      </c>
      <c r="D10527" s="1267" t="s">
        <v>1662</v>
      </c>
      <c r="E10527" s="302">
        <v>6.6400000000000001E-2</v>
      </c>
      <c r="F10527" s="302">
        <v>6.6400000000000001E-2</v>
      </c>
      <c r="G10527" s="302">
        <v>6.6400000000000001E-2</v>
      </c>
      <c r="H10527" s="302">
        <v>6.6400000000000001E-2</v>
      </c>
      <c r="I10527" s="302">
        <v>0</v>
      </c>
      <c r="J10527" s="302">
        <v>0</v>
      </c>
      <c r="K10527" s="302">
        <v>0</v>
      </c>
      <c r="L10527" s="302">
        <v>6.6400000000000001E-2</v>
      </c>
      <c r="M10527" s="302">
        <v>0</v>
      </c>
      <c r="N10527" s="302">
        <v>0</v>
      </c>
      <c r="O10527" s="302">
        <v>6.6400000000000001E-2</v>
      </c>
      <c r="P10527" s="1268">
        <v>0</v>
      </c>
      <c r="Q10527" s="1268">
        <v>1</v>
      </c>
      <c r="R10527" s="1269">
        <v>0.5</v>
      </c>
    </row>
    <row r="10528" spans="1:18" ht="14.75" customHeight="1">
      <c r="A10528" s="240"/>
      <c r="B10528" s="1265" t="s">
        <v>1683</v>
      </c>
      <c r="C10528" s="1266" t="s">
        <v>1659</v>
      </c>
      <c r="D10528" s="1267" t="s">
        <v>1662</v>
      </c>
      <c r="E10528" s="302">
        <v>1.4000000000000002E-2</v>
      </c>
      <c r="F10528" s="302">
        <v>1.4000000000000002E-2</v>
      </c>
      <c r="G10528" s="302">
        <v>7.000000000000001E-3</v>
      </c>
      <c r="H10528" s="302">
        <v>1.4000000000000002E-2</v>
      </c>
      <c r="I10528" s="302">
        <v>0</v>
      </c>
      <c r="J10528" s="302">
        <v>1.4000000000000002E-2</v>
      </c>
      <c r="K10528" s="302">
        <v>7.000000000000001E-3</v>
      </c>
      <c r="L10528" s="302">
        <v>1.4000000000000002E-2</v>
      </c>
      <c r="M10528" s="302">
        <v>0</v>
      </c>
      <c r="N10528" s="302">
        <v>0</v>
      </c>
      <c r="O10528" s="302">
        <v>0</v>
      </c>
      <c r="P10528" s="1268">
        <v>0</v>
      </c>
      <c r="Q10528" s="1268">
        <v>0</v>
      </c>
      <c r="R10528" s="1269">
        <v>0</v>
      </c>
    </row>
    <row r="10529" spans="1:18" ht="14.75" customHeight="1">
      <c r="A10529" s="240"/>
      <c r="B10529" s="1270" t="s">
        <v>1684</v>
      </c>
      <c r="C10529" s="1271" t="s">
        <v>1659</v>
      </c>
      <c r="D10529" s="1272" t="s">
        <v>1662</v>
      </c>
      <c r="E10529" s="1273">
        <v>4.0000000000000007E-4</v>
      </c>
      <c r="F10529" s="1273">
        <v>4.0000000000000007E-4</v>
      </c>
      <c r="G10529" s="1273">
        <v>4.0000000000000007E-4</v>
      </c>
      <c r="H10529" s="1273">
        <v>4.0000000000000007E-4</v>
      </c>
      <c r="I10529" s="1273">
        <v>0</v>
      </c>
      <c r="J10529" s="1273">
        <v>4.0000000000000007E-4</v>
      </c>
      <c r="K10529" s="1273">
        <v>4.0000000000000007E-4</v>
      </c>
      <c r="L10529" s="1273">
        <v>4.0000000000000007E-4</v>
      </c>
      <c r="M10529" s="1273">
        <v>0</v>
      </c>
      <c r="N10529" s="1273">
        <v>0</v>
      </c>
      <c r="O10529" s="1273">
        <v>0</v>
      </c>
      <c r="P10529" s="1274">
        <v>0</v>
      </c>
      <c r="Q10529" s="1274">
        <v>0</v>
      </c>
      <c r="R10529" s="1275">
        <v>0</v>
      </c>
    </row>
    <row r="10530" spans="1:18" ht="14.75" customHeight="1">
      <c r="A10530" s="240"/>
      <c r="B10530" s="1276" t="s">
        <v>1685</v>
      </c>
      <c r="C10530" s="1277" t="s">
        <v>1659</v>
      </c>
      <c r="D10530" s="1278"/>
      <c r="E10530" s="1279">
        <v>1.1149000000000002</v>
      </c>
      <c r="F10530" s="1279">
        <v>1.0177000000000003</v>
      </c>
      <c r="G10530" s="1279">
        <v>1.2071000000000001</v>
      </c>
      <c r="H10530" s="1279">
        <v>1.3171000000000002</v>
      </c>
      <c r="I10530" s="1279">
        <v>0.1888</v>
      </c>
      <c r="J10530" s="1279">
        <v>7.0215000000000014</v>
      </c>
      <c r="K10530" s="1279">
        <v>9.4877000000000002</v>
      </c>
      <c r="L10530" s="1279">
        <v>1.6723000000000001</v>
      </c>
      <c r="M10530" s="1279">
        <v>0.38989999999999997</v>
      </c>
      <c r="N10530" s="1279">
        <v>0.91439999999999988</v>
      </c>
      <c r="O10530" s="1279">
        <v>0.33520000000000005</v>
      </c>
      <c r="P10530" s="1280" t="s">
        <v>1608</v>
      </c>
      <c r="Q10530" s="1280" t="s">
        <v>1608</v>
      </c>
      <c r="R10530" s="1281" t="s">
        <v>1608</v>
      </c>
    </row>
    <row r="10532" spans="1:18" ht="14.75" customHeight="1">
      <c r="B10532" s="267" t="s">
        <v>1686</v>
      </c>
      <c r="C10532" s="267"/>
      <c r="D10532" s="1255">
        <v>1992</v>
      </c>
      <c r="E10532" s="267" t="s">
        <v>1607</v>
      </c>
      <c r="F10532" s="267"/>
      <c r="G10532" s="267"/>
      <c r="H10532" s="267"/>
    </row>
    <row r="10533" spans="1:18" ht="14.75" customHeight="1">
      <c r="B10533" s="801"/>
      <c r="C10533" s="542"/>
      <c r="D10533" s="542" t="s">
        <v>1687</v>
      </c>
      <c r="E10533" s="542" t="s">
        <v>1688</v>
      </c>
      <c r="F10533" s="542" t="s">
        <v>1689</v>
      </c>
      <c r="G10533" s="542" t="s">
        <v>1690</v>
      </c>
      <c r="H10533" s="585" t="s">
        <v>1691</v>
      </c>
    </row>
    <row r="10534" spans="1:18" ht="14.75" customHeight="1">
      <c r="B10534" s="801" t="s">
        <v>1692</v>
      </c>
      <c r="C10534" s="542" t="s">
        <v>1693</v>
      </c>
      <c r="D10534" s="542">
        <v>2</v>
      </c>
      <c r="E10534" s="700">
        <v>1</v>
      </c>
      <c r="F10534" s="700">
        <v>520</v>
      </c>
      <c r="G10534" s="700">
        <v>520</v>
      </c>
      <c r="H10534" s="1282">
        <v>1050</v>
      </c>
      <c r="I10534" s="132"/>
    </row>
    <row r="10535" spans="1:18" ht="14.75" customHeight="1">
      <c r="B10535" s="803" t="s">
        <v>1694</v>
      </c>
      <c r="C10535" s="325" t="s">
        <v>1693</v>
      </c>
      <c r="D10535" s="325">
        <v>9</v>
      </c>
      <c r="E10535" s="550">
        <v>220</v>
      </c>
      <c r="F10535" s="550">
        <v>1060</v>
      </c>
      <c r="G10535" s="550">
        <v>2800</v>
      </c>
      <c r="H10535" s="1283">
        <v>9500</v>
      </c>
      <c r="I10535" s="132"/>
    </row>
    <row r="10536" spans="1:18" ht="14.75" customHeight="1">
      <c r="B10536" s="803" t="s">
        <v>1695</v>
      </c>
      <c r="C10536" s="325" t="s">
        <v>1693</v>
      </c>
      <c r="D10536" s="325">
        <v>10</v>
      </c>
      <c r="E10536" s="550">
        <v>770</v>
      </c>
      <c r="F10536" s="550">
        <v>1800</v>
      </c>
      <c r="G10536" s="550">
        <v>2000</v>
      </c>
      <c r="H10536" s="1283">
        <v>4700</v>
      </c>
      <c r="I10536" s="132"/>
    </row>
    <row r="10537" spans="1:18" ht="14.75" customHeight="1">
      <c r="B10537" s="803" t="s">
        <v>1696</v>
      </c>
      <c r="C10537" s="325" t="s">
        <v>1693</v>
      </c>
      <c r="D10537" s="325">
        <v>12</v>
      </c>
      <c r="E10537" s="550">
        <v>950</v>
      </c>
      <c r="F10537" s="550">
        <v>2800</v>
      </c>
      <c r="G10537" s="550">
        <v>4300</v>
      </c>
      <c r="H10537" s="1283">
        <v>16200</v>
      </c>
      <c r="I10537" s="132"/>
    </row>
    <row r="10538" spans="1:18" ht="14.75" customHeight="1">
      <c r="B10538" s="1284" t="s">
        <v>1697</v>
      </c>
      <c r="C10538" s="339" t="s">
        <v>1693</v>
      </c>
      <c r="D10538" s="339">
        <v>5</v>
      </c>
      <c r="E10538" s="703">
        <v>160</v>
      </c>
      <c r="F10538" s="703">
        <v>1400</v>
      </c>
      <c r="G10538" s="703">
        <v>1600</v>
      </c>
      <c r="H10538" s="1285">
        <v>4400</v>
      </c>
      <c r="I10538" s="132"/>
    </row>
    <row r="10539" spans="1:18" ht="14.75" customHeight="1">
      <c r="B10539" s="801" t="s">
        <v>282</v>
      </c>
      <c r="C10539" s="542" t="s">
        <v>1601</v>
      </c>
      <c r="D10539" s="542"/>
      <c r="E10539" s="700">
        <f t="shared" ref="E10539:H10543" si="209">E10534*INDEX($C$812:$C$848,MATCH($D$10532,$B$812:$B$848,0))</f>
        <v>1.68935851746258</v>
      </c>
      <c r="F10539" s="700">
        <f t="shared" si="209"/>
        <v>878.46642908054162</v>
      </c>
      <c r="G10539" s="700">
        <f t="shared" si="209"/>
        <v>878.46642908054162</v>
      </c>
      <c r="H10539" s="701">
        <f t="shared" si="209"/>
        <v>1773.826443335709</v>
      </c>
      <c r="I10539" s="132"/>
    </row>
    <row r="10540" spans="1:18" ht="14.75" customHeight="1">
      <c r="B10540" s="803" t="s">
        <v>283</v>
      </c>
      <c r="C10540" s="325" t="s">
        <v>1601</v>
      </c>
      <c r="D10540" s="325"/>
      <c r="E10540" s="550">
        <f t="shared" si="209"/>
        <v>371.65887384176762</v>
      </c>
      <c r="F10540" s="550">
        <f t="shared" si="209"/>
        <v>1790.7200285103349</v>
      </c>
      <c r="G10540" s="550">
        <f t="shared" si="209"/>
        <v>4730.2038488952239</v>
      </c>
      <c r="H10540" s="702">
        <f t="shared" si="209"/>
        <v>16048.905915894511</v>
      </c>
      <c r="I10540" s="132"/>
    </row>
    <row r="10541" spans="1:18" ht="14.75" customHeight="1">
      <c r="B10541" s="803" t="s">
        <v>1627</v>
      </c>
      <c r="C10541" s="325" t="s">
        <v>1601</v>
      </c>
      <c r="D10541" s="325"/>
      <c r="E10541" s="550">
        <f t="shared" si="209"/>
        <v>1300.8060584461866</v>
      </c>
      <c r="F10541" s="550">
        <f t="shared" si="209"/>
        <v>3040.8453314326439</v>
      </c>
      <c r="G10541" s="550">
        <f t="shared" si="209"/>
        <v>3378.7170349251601</v>
      </c>
      <c r="H10541" s="702">
        <f t="shared" si="209"/>
        <v>7939.9850320741261</v>
      </c>
      <c r="I10541" s="132"/>
    </row>
    <row r="10542" spans="1:18" ht="14.75" customHeight="1">
      <c r="B10542" s="803" t="s">
        <v>1419</v>
      </c>
      <c r="C10542" s="325" t="s">
        <v>1601</v>
      </c>
      <c r="D10542" s="325"/>
      <c r="E10542" s="550">
        <f t="shared" si="209"/>
        <v>1604.8905915894511</v>
      </c>
      <c r="F10542" s="550">
        <f t="shared" si="209"/>
        <v>4730.2038488952239</v>
      </c>
      <c r="G10542" s="550">
        <f t="shared" si="209"/>
        <v>7264.2416250890938</v>
      </c>
      <c r="H10542" s="702">
        <f t="shared" si="209"/>
        <v>27367.607982893798</v>
      </c>
      <c r="I10542" s="132"/>
    </row>
    <row r="10543" spans="1:18" ht="14.75" customHeight="1">
      <c r="B10543" s="1284" t="s">
        <v>1698</v>
      </c>
      <c r="C10543" s="339" t="s">
        <v>1601</v>
      </c>
      <c r="D10543" s="339"/>
      <c r="E10543" s="703">
        <f t="shared" si="209"/>
        <v>270.29736279401283</v>
      </c>
      <c r="F10543" s="703">
        <f t="shared" si="209"/>
        <v>2365.101924447612</v>
      </c>
      <c r="G10543" s="703">
        <f t="shared" si="209"/>
        <v>2702.9736279401282</v>
      </c>
      <c r="H10543" s="704">
        <f t="shared" si="209"/>
        <v>7433.1774768353525</v>
      </c>
      <c r="I10543" s="132"/>
    </row>
    <row r="10544" spans="1:18" ht="14.75" customHeight="1">
      <c r="A10544" s="240"/>
    </row>
    <row r="10545" spans="2:16">
      <c r="B10545" s="267" t="s">
        <v>1699</v>
      </c>
      <c r="C10545" s="1254" t="s">
        <v>1700</v>
      </c>
      <c r="D10545" s="1255">
        <v>1991</v>
      </c>
      <c r="E10545" s="267" t="s">
        <v>1607</v>
      </c>
      <c r="F10545" s="267"/>
      <c r="G10545" s="267"/>
      <c r="H10545" s="267"/>
      <c r="I10545" s="267"/>
      <c r="J10545" s="267"/>
      <c r="K10545" s="267"/>
      <c r="L10545" s="267"/>
      <c r="M10545" s="267"/>
      <c r="N10545" s="267"/>
      <c r="O10545" s="267"/>
      <c r="P10545" s="267"/>
    </row>
    <row r="10546" spans="2:16">
      <c r="B10546" s="801"/>
      <c r="C10546" s="585"/>
      <c r="D10546" s="1286" t="s">
        <v>271</v>
      </c>
      <c r="E10546" s="1287" t="s">
        <v>271</v>
      </c>
      <c r="F10546" s="757" t="s">
        <v>271</v>
      </c>
      <c r="G10546" s="1287" t="s">
        <v>1701</v>
      </c>
      <c r="H10546" s="1288" t="s">
        <v>1701</v>
      </c>
      <c r="I10546" s="1288" t="s">
        <v>1702</v>
      </c>
      <c r="J10546" s="1288" t="s">
        <v>1702</v>
      </c>
      <c r="K10546" s="1288" t="s">
        <v>1703</v>
      </c>
      <c r="L10546" s="757" t="s">
        <v>1703</v>
      </c>
      <c r="M10546" s="1287" t="s">
        <v>1701</v>
      </c>
      <c r="N10546" s="1288" t="s">
        <v>1701</v>
      </c>
      <c r="O10546" s="1288" t="s">
        <v>1701</v>
      </c>
      <c r="P10546" s="757" t="s">
        <v>1701</v>
      </c>
    </row>
    <row r="10547" spans="2:16">
      <c r="B10547" s="803"/>
      <c r="C10547" s="272"/>
      <c r="D10547" s="1289" t="s">
        <v>1704</v>
      </c>
      <c r="E10547" s="841" t="s">
        <v>1704</v>
      </c>
      <c r="F10547" s="758" t="s">
        <v>1704</v>
      </c>
      <c r="G10547" s="841" t="s">
        <v>1704</v>
      </c>
      <c r="H10547" s="753" t="s">
        <v>1704</v>
      </c>
      <c r="I10547" s="753" t="s">
        <v>1704</v>
      </c>
      <c r="J10547" s="753" t="s">
        <v>1704</v>
      </c>
      <c r="K10547" s="753" t="s">
        <v>1704</v>
      </c>
      <c r="L10547" s="758" t="s">
        <v>1704</v>
      </c>
      <c r="M10547" s="841" t="s">
        <v>1705</v>
      </c>
      <c r="N10547" s="753" t="s">
        <v>1705</v>
      </c>
      <c r="O10547" s="753" t="s">
        <v>1706</v>
      </c>
      <c r="P10547" s="758" t="s">
        <v>1706</v>
      </c>
    </row>
    <row r="10548" spans="2:16">
      <c r="B10548" s="1284"/>
      <c r="C10548" s="802"/>
      <c r="D10548" s="1289" t="s">
        <v>1262</v>
      </c>
      <c r="E10548" s="841" t="s">
        <v>1707</v>
      </c>
      <c r="F10548" s="758" t="s">
        <v>1708</v>
      </c>
      <c r="G10548" s="841" t="s">
        <v>1707</v>
      </c>
      <c r="H10548" s="753" t="s">
        <v>1708</v>
      </c>
      <c r="I10548" s="753" t="s">
        <v>1707</v>
      </c>
      <c r="J10548" s="753" t="s">
        <v>1708</v>
      </c>
      <c r="K10548" s="753" t="s">
        <v>1707</v>
      </c>
      <c r="L10548" s="758" t="s">
        <v>1708</v>
      </c>
      <c r="M10548" s="841" t="s">
        <v>1707</v>
      </c>
      <c r="N10548" s="753" t="s">
        <v>1708</v>
      </c>
      <c r="O10548" s="753" t="s">
        <v>1707</v>
      </c>
      <c r="P10548" s="758" t="s">
        <v>1708</v>
      </c>
    </row>
    <row r="10549" spans="2:16">
      <c r="B10549" s="801" t="s">
        <v>282</v>
      </c>
      <c r="C10549" s="542" t="s">
        <v>1709</v>
      </c>
      <c r="D10549" s="1290">
        <f>AVERAGE(E10549,F10549)</f>
        <v>4.9999999999999996E-2</v>
      </c>
      <c r="E10549" s="1291">
        <f>G10549+I10549+K10549</f>
        <v>0.01</v>
      </c>
      <c r="F10549" s="1292">
        <f>H10549+J10549+L10549</f>
        <v>0.09</v>
      </c>
      <c r="G10549" s="1291">
        <v>0.01</v>
      </c>
      <c r="H10549" s="1293">
        <v>0.09</v>
      </c>
      <c r="I10549" s="1293">
        <v>0</v>
      </c>
      <c r="J10549" s="1293">
        <v>0</v>
      </c>
      <c r="K10549" s="1293">
        <v>0</v>
      </c>
      <c r="L10549" s="1292">
        <v>0</v>
      </c>
      <c r="M10549" s="1291">
        <v>0.01</v>
      </c>
      <c r="N10549" s="1293">
        <v>0.1</v>
      </c>
      <c r="O10549" s="1293">
        <v>0.03</v>
      </c>
      <c r="P10549" s="1292">
        <v>0.18</v>
      </c>
    </row>
    <row r="10550" spans="2:16">
      <c r="B10550" s="803" t="s">
        <v>283</v>
      </c>
      <c r="C10550" s="325" t="s">
        <v>1709</v>
      </c>
      <c r="D10550" s="1294">
        <f t="shared" ref="D10550:D10555" si="210">AVERAGE(E10550,F10550)</f>
        <v>9.3050000000000015</v>
      </c>
      <c r="E10550" s="1295">
        <f t="shared" ref="E10550:F10555" si="211">G10550+I10550+K10550</f>
        <v>1.3</v>
      </c>
      <c r="F10550" s="1296">
        <f t="shared" si="211"/>
        <v>17.310000000000002</v>
      </c>
      <c r="G10550" s="1295">
        <v>1.1000000000000001</v>
      </c>
      <c r="H10550" s="582">
        <v>16.21</v>
      </c>
      <c r="I10550" s="582">
        <v>0.2</v>
      </c>
      <c r="J10550" s="582">
        <v>1.1000000000000001</v>
      </c>
      <c r="K10550" s="582">
        <v>0</v>
      </c>
      <c r="L10550" s="1296">
        <v>0</v>
      </c>
      <c r="M10550" s="1295">
        <v>1.5</v>
      </c>
      <c r="N10550" s="582">
        <v>22.08</v>
      </c>
      <c r="O10550" s="582">
        <v>6.54</v>
      </c>
      <c r="P10550" s="1296">
        <v>77.73</v>
      </c>
    </row>
    <row r="10551" spans="2:16">
      <c r="B10551" s="803" t="s">
        <v>285</v>
      </c>
      <c r="C10551" s="325" t="s">
        <v>1709</v>
      </c>
      <c r="D10551" s="1294">
        <f t="shared" si="210"/>
        <v>78.475000000000009</v>
      </c>
      <c r="E10551" s="1295">
        <f t="shared" si="211"/>
        <v>9.7100000000000009</v>
      </c>
      <c r="F10551" s="1296">
        <f t="shared" si="211"/>
        <v>147.24</v>
      </c>
      <c r="G10551" s="1295">
        <v>9.7100000000000009</v>
      </c>
      <c r="H10551" s="582">
        <v>147.24</v>
      </c>
      <c r="I10551" s="582">
        <v>0</v>
      </c>
      <c r="J10551" s="582">
        <v>0</v>
      </c>
      <c r="K10551" s="582">
        <v>0</v>
      </c>
      <c r="L10551" s="1296">
        <v>0</v>
      </c>
      <c r="M10551" s="1295">
        <v>13.63</v>
      </c>
      <c r="N10551" s="582">
        <v>205.44</v>
      </c>
      <c r="O10551" s="582">
        <v>62.57</v>
      </c>
      <c r="P10551" s="1296">
        <v>737.36</v>
      </c>
    </row>
    <row r="10552" spans="2:16">
      <c r="B10552" s="803" t="s">
        <v>1710</v>
      </c>
      <c r="C10552" s="325" t="s">
        <v>1709</v>
      </c>
      <c r="D10552" s="1294">
        <f t="shared" si="210"/>
        <v>11.924999999999999</v>
      </c>
      <c r="E10552" s="1295">
        <f t="shared" si="211"/>
        <v>5.7</v>
      </c>
      <c r="F10552" s="1296">
        <f t="shared" si="211"/>
        <v>18.149999999999999</v>
      </c>
      <c r="G10552" s="1295">
        <v>5.3</v>
      </c>
      <c r="H10552" s="582">
        <v>14.25</v>
      </c>
      <c r="I10552" s="582">
        <v>0.4</v>
      </c>
      <c r="J10552" s="582">
        <v>3.9</v>
      </c>
      <c r="K10552" s="582">
        <v>0</v>
      </c>
      <c r="L10552" s="1296">
        <v>0</v>
      </c>
      <c r="M10552" s="1295">
        <v>7.2</v>
      </c>
      <c r="N10552" s="582">
        <v>18.34</v>
      </c>
      <c r="O10552" s="582">
        <v>30.04</v>
      </c>
      <c r="P10552" s="1296">
        <v>47.87</v>
      </c>
    </row>
    <row r="10553" spans="2:16">
      <c r="B10553" s="803" t="s">
        <v>286</v>
      </c>
      <c r="C10553" s="325" t="s">
        <v>1709</v>
      </c>
      <c r="D10553" s="1294">
        <f t="shared" si="210"/>
        <v>15.15</v>
      </c>
      <c r="E10553" s="1295">
        <f t="shared" si="211"/>
        <v>3.6999999999999997</v>
      </c>
      <c r="F10553" s="1296">
        <f t="shared" si="211"/>
        <v>26.6</v>
      </c>
      <c r="G10553" s="1295">
        <v>2.8</v>
      </c>
      <c r="H10553" s="582">
        <v>22.6</v>
      </c>
      <c r="I10553" s="582">
        <v>0.9</v>
      </c>
      <c r="J10553" s="582">
        <v>4</v>
      </c>
      <c r="K10553" s="582">
        <v>0</v>
      </c>
      <c r="L10553" s="1296">
        <v>0</v>
      </c>
      <c r="M10553" s="1295">
        <v>4.4000000000000004</v>
      </c>
      <c r="N10553" s="582">
        <v>35.28</v>
      </c>
      <c r="O10553" s="582">
        <v>33.53</v>
      </c>
      <c r="P10553" s="1296">
        <v>209.88</v>
      </c>
    </row>
    <row r="10554" spans="2:16">
      <c r="B10554" s="803" t="s">
        <v>281</v>
      </c>
      <c r="C10554" s="325" t="s">
        <v>1709</v>
      </c>
      <c r="D10554" s="1294">
        <f t="shared" si="210"/>
        <v>0.59500000000000008</v>
      </c>
      <c r="E10554" s="1295">
        <f t="shared" si="211"/>
        <v>0.1</v>
      </c>
      <c r="F10554" s="1296">
        <f t="shared" si="211"/>
        <v>1.0900000000000001</v>
      </c>
      <c r="G10554" s="1295">
        <v>0.1</v>
      </c>
      <c r="H10554" s="582">
        <v>0.99</v>
      </c>
      <c r="I10554" s="582">
        <v>0</v>
      </c>
      <c r="J10554" s="582">
        <v>0.1</v>
      </c>
      <c r="K10554" s="582">
        <v>0</v>
      </c>
      <c r="L10554" s="1296">
        <v>0</v>
      </c>
      <c r="M10554" s="1295">
        <v>0.13</v>
      </c>
      <c r="N10554" s="582">
        <v>1.25</v>
      </c>
      <c r="O10554" s="582">
        <v>0.52</v>
      </c>
      <c r="P10554" s="1296">
        <v>4.29</v>
      </c>
    </row>
    <row r="10555" spans="2:16">
      <c r="B10555" s="1284" t="s">
        <v>1711</v>
      </c>
      <c r="C10555" s="339" t="s">
        <v>1709</v>
      </c>
      <c r="D10555" s="1297">
        <f t="shared" si="210"/>
        <v>0.30000000000000004</v>
      </c>
      <c r="E10555" s="1298">
        <f t="shared" si="211"/>
        <v>0.2</v>
      </c>
      <c r="F10555" s="1299">
        <f t="shared" si="211"/>
        <v>0.4</v>
      </c>
      <c r="G10555" s="1298">
        <v>0.01</v>
      </c>
      <c r="H10555" s="1300">
        <v>0.1</v>
      </c>
      <c r="I10555" s="1300">
        <v>0</v>
      </c>
      <c r="J10555" s="1300">
        <v>0</v>
      </c>
      <c r="K10555" s="1300">
        <v>0.19</v>
      </c>
      <c r="L10555" s="1299">
        <v>0.3</v>
      </c>
      <c r="M10555" s="1298">
        <v>0.02</v>
      </c>
      <c r="N10555" s="1300">
        <v>0.12</v>
      </c>
      <c r="O10555" s="1300">
        <v>0.05</v>
      </c>
      <c r="P10555" s="1299">
        <v>0.39</v>
      </c>
    </row>
    <row r="10556" spans="2:16">
      <c r="B10556" s="801" t="s">
        <v>282</v>
      </c>
      <c r="C10556" s="585" t="s">
        <v>1601</v>
      </c>
      <c r="D10556" s="751">
        <f t="shared" ref="D10556:P10562" si="212">D10549*1000*0.90718474*INDEX($C$812:$C$848,MATCH($D$10545,$B$812:$B$848,0))</f>
        <v>78.934730367320114</v>
      </c>
      <c r="E10556" s="1301">
        <f t="shared" si="212"/>
        <v>15.786946073464026</v>
      </c>
      <c r="F10556" s="750">
        <f t="shared" si="212"/>
        <v>142.08251466117622</v>
      </c>
      <c r="G10556" s="1301">
        <f t="shared" si="212"/>
        <v>15.786946073464026</v>
      </c>
      <c r="H10556" s="756">
        <f t="shared" si="212"/>
        <v>142.08251466117622</v>
      </c>
      <c r="I10556" s="756">
        <f t="shared" si="212"/>
        <v>0</v>
      </c>
      <c r="J10556" s="756">
        <f t="shared" si="212"/>
        <v>0</v>
      </c>
      <c r="K10556" s="756">
        <f t="shared" si="212"/>
        <v>0</v>
      </c>
      <c r="L10556" s="750">
        <f t="shared" si="212"/>
        <v>0</v>
      </c>
      <c r="M10556" s="1301">
        <f t="shared" si="212"/>
        <v>15.786946073464026</v>
      </c>
      <c r="N10556" s="756">
        <f t="shared" si="212"/>
        <v>157.86946073464026</v>
      </c>
      <c r="O10556" s="756">
        <f t="shared" si="212"/>
        <v>47.360838220392075</v>
      </c>
      <c r="P10556" s="750">
        <f t="shared" si="212"/>
        <v>284.16502932235244</v>
      </c>
    </row>
    <row r="10557" spans="2:16">
      <c r="B10557" s="803" t="s">
        <v>283</v>
      </c>
      <c r="C10557" s="272" t="s">
        <v>1601</v>
      </c>
      <c r="D10557" s="751">
        <f t="shared" si="212"/>
        <v>14689.753321358279</v>
      </c>
      <c r="E10557" s="1302">
        <f t="shared" si="212"/>
        <v>2052.3029895503232</v>
      </c>
      <c r="F10557" s="751">
        <f t="shared" si="212"/>
        <v>27327.203653166231</v>
      </c>
      <c r="G10557" s="1302">
        <f t="shared" si="212"/>
        <v>1736.5640680810427</v>
      </c>
      <c r="H10557" s="581">
        <f t="shared" si="212"/>
        <v>25590.639585085188</v>
      </c>
      <c r="I10557" s="581">
        <f t="shared" si="212"/>
        <v>315.73892146928051</v>
      </c>
      <c r="J10557" s="581">
        <f t="shared" si="212"/>
        <v>1736.5640680810427</v>
      </c>
      <c r="K10557" s="581">
        <f t="shared" si="212"/>
        <v>0</v>
      </c>
      <c r="L10557" s="751">
        <f t="shared" si="212"/>
        <v>0</v>
      </c>
      <c r="M10557" s="1302">
        <f t="shared" si="212"/>
        <v>2368.0419110196035</v>
      </c>
      <c r="N10557" s="581">
        <f t="shared" si="212"/>
        <v>34857.576930208568</v>
      </c>
      <c r="O10557" s="581">
        <f t="shared" si="212"/>
        <v>10324.662732045474</v>
      </c>
      <c r="P10557" s="751">
        <f t="shared" si="212"/>
        <v>122711.93182903588</v>
      </c>
    </row>
    <row r="10558" spans="2:16">
      <c r="B10558" s="803" t="s">
        <v>285</v>
      </c>
      <c r="C10558" s="272" t="s">
        <v>1601</v>
      </c>
      <c r="D10558" s="751">
        <f t="shared" si="212"/>
        <v>123888.05931150896</v>
      </c>
      <c r="E10558" s="1302">
        <f t="shared" si="212"/>
        <v>15329.124637333571</v>
      </c>
      <c r="F10558" s="751">
        <f t="shared" si="212"/>
        <v>232446.99398568433</v>
      </c>
      <c r="G10558" s="1302">
        <f t="shared" si="212"/>
        <v>15329.124637333571</v>
      </c>
      <c r="H10558" s="581">
        <f t="shared" si="212"/>
        <v>232446.99398568433</v>
      </c>
      <c r="I10558" s="581">
        <f t="shared" si="212"/>
        <v>0</v>
      </c>
      <c r="J10558" s="581">
        <f t="shared" si="212"/>
        <v>0</v>
      </c>
      <c r="K10558" s="581">
        <f t="shared" si="212"/>
        <v>0</v>
      </c>
      <c r="L10558" s="751">
        <f t="shared" si="212"/>
        <v>0</v>
      </c>
      <c r="M10558" s="1302">
        <f t="shared" si="212"/>
        <v>21517.607498131467</v>
      </c>
      <c r="N10558" s="581">
        <f t="shared" si="212"/>
        <v>324327.02013324492</v>
      </c>
      <c r="O10558" s="581">
        <f t="shared" si="212"/>
        <v>98778.921581664399</v>
      </c>
      <c r="P10558" s="751">
        <f t="shared" si="212"/>
        <v>1164066.2556729433</v>
      </c>
    </row>
    <row r="10559" spans="2:16">
      <c r="B10559" s="803" t="s">
        <v>1710</v>
      </c>
      <c r="C10559" s="272" t="s">
        <v>1601</v>
      </c>
      <c r="D10559" s="751">
        <f t="shared" si="212"/>
        <v>18825.933192605848</v>
      </c>
      <c r="E10559" s="1302">
        <f t="shared" si="212"/>
        <v>8998.559261874494</v>
      </c>
      <c r="F10559" s="751">
        <f t="shared" si="212"/>
        <v>28653.307123337207</v>
      </c>
      <c r="G10559" s="1302">
        <f t="shared" si="212"/>
        <v>8367.0814189359335</v>
      </c>
      <c r="H10559" s="581">
        <f t="shared" si="212"/>
        <v>22496.398154686234</v>
      </c>
      <c r="I10559" s="581">
        <f t="shared" si="212"/>
        <v>631.47784293856103</v>
      </c>
      <c r="J10559" s="581">
        <f t="shared" si="212"/>
        <v>6156.9089686509706</v>
      </c>
      <c r="K10559" s="581">
        <f t="shared" si="212"/>
        <v>0</v>
      </c>
      <c r="L10559" s="751">
        <f t="shared" si="212"/>
        <v>0</v>
      </c>
      <c r="M10559" s="1302">
        <f t="shared" si="212"/>
        <v>11366.601172894098</v>
      </c>
      <c r="N10559" s="581">
        <f t="shared" si="212"/>
        <v>28953.259098733026</v>
      </c>
      <c r="O10559" s="581">
        <f t="shared" si="212"/>
        <v>47423.986004685932</v>
      </c>
      <c r="P10559" s="751">
        <f t="shared" si="212"/>
        <v>75572.11085367229</v>
      </c>
    </row>
    <row r="10560" spans="2:16">
      <c r="B10560" s="803" t="s">
        <v>286</v>
      </c>
      <c r="C10560" s="272" t="s">
        <v>1601</v>
      </c>
      <c r="D10560" s="751">
        <f t="shared" si="212"/>
        <v>23917.223301297996</v>
      </c>
      <c r="E10560" s="1302">
        <f t="shared" si="212"/>
        <v>5841.1700471816885</v>
      </c>
      <c r="F10560" s="751">
        <f t="shared" si="212"/>
        <v>41993.276555414304</v>
      </c>
      <c r="G10560" s="1302">
        <f t="shared" si="212"/>
        <v>4420.3449005699267</v>
      </c>
      <c r="H10560" s="581">
        <f t="shared" si="212"/>
        <v>35678.498126028702</v>
      </c>
      <c r="I10560" s="581">
        <f t="shared" si="212"/>
        <v>1420.8251466117622</v>
      </c>
      <c r="J10560" s="581">
        <f t="shared" si="212"/>
        <v>6314.7784293856103</v>
      </c>
      <c r="K10560" s="581">
        <f t="shared" si="212"/>
        <v>0</v>
      </c>
      <c r="L10560" s="751">
        <f t="shared" si="212"/>
        <v>0</v>
      </c>
      <c r="M10560" s="1302">
        <f t="shared" si="212"/>
        <v>6946.2562723241708</v>
      </c>
      <c r="N10560" s="581">
        <f t="shared" si="212"/>
        <v>55696.345747181083</v>
      </c>
      <c r="O10560" s="581">
        <f t="shared" si="212"/>
        <v>52933.630184324873</v>
      </c>
      <c r="P10560" s="751">
        <f t="shared" si="212"/>
        <v>331336.42418986297</v>
      </c>
    </row>
    <row r="10561" spans="2:16">
      <c r="B10561" s="803" t="s">
        <v>281</v>
      </c>
      <c r="C10561" s="272" t="s">
        <v>1601</v>
      </c>
      <c r="D10561" s="751">
        <f t="shared" si="212"/>
        <v>939.32329137110958</v>
      </c>
      <c r="E10561" s="1302">
        <f t="shared" si="212"/>
        <v>157.86946073464026</v>
      </c>
      <c r="F10561" s="751">
        <f t="shared" si="212"/>
        <v>1720.7771220075788</v>
      </c>
      <c r="G10561" s="1302">
        <f t="shared" si="212"/>
        <v>157.86946073464026</v>
      </c>
      <c r="H10561" s="581">
        <f t="shared" si="212"/>
        <v>1562.9076612729384</v>
      </c>
      <c r="I10561" s="581">
        <f t="shared" si="212"/>
        <v>0</v>
      </c>
      <c r="J10561" s="581">
        <f t="shared" si="212"/>
        <v>157.86946073464026</v>
      </c>
      <c r="K10561" s="581">
        <f t="shared" si="212"/>
        <v>0</v>
      </c>
      <c r="L10561" s="751">
        <f t="shared" si="212"/>
        <v>0</v>
      </c>
      <c r="M10561" s="1302">
        <f t="shared" si="212"/>
        <v>205.23029895503231</v>
      </c>
      <c r="N10561" s="581">
        <f t="shared" si="212"/>
        <v>1973.3682591830031</v>
      </c>
      <c r="O10561" s="581">
        <f t="shared" si="212"/>
        <v>820.92119582012924</v>
      </c>
      <c r="P10561" s="751">
        <f t="shared" si="212"/>
        <v>6772.5998655160674</v>
      </c>
    </row>
    <row r="10562" spans="2:16">
      <c r="B10562" s="1284" t="s">
        <v>1711</v>
      </c>
      <c r="C10562" s="802" t="s">
        <v>1601</v>
      </c>
      <c r="D10562" s="752">
        <f t="shared" si="212"/>
        <v>473.60838220392083</v>
      </c>
      <c r="E10562" s="842">
        <f t="shared" si="212"/>
        <v>315.73892146928051</v>
      </c>
      <c r="F10562" s="752">
        <f t="shared" si="212"/>
        <v>631.47784293856103</v>
      </c>
      <c r="G10562" s="842">
        <f t="shared" si="212"/>
        <v>15.786946073464026</v>
      </c>
      <c r="H10562" s="759">
        <f t="shared" si="212"/>
        <v>157.86946073464026</v>
      </c>
      <c r="I10562" s="759">
        <f t="shared" si="212"/>
        <v>0</v>
      </c>
      <c r="J10562" s="759">
        <f t="shared" si="212"/>
        <v>0</v>
      </c>
      <c r="K10562" s="759">
        <f t="shared" si="212"/>
        <v>299.95197539581648</v>
      </c>
      <c r="L10562" s="752">
        <f t="shared" si="212"/>
        <v>473.60838220392071</v>
      </c>
      <c r="M10562" s="842">
        <f t="shared" si="212"/>
        <v>31.573892146928053</v>
      </c>
      <c r="N10562" s="759">
        <f t="shared" si="212"/>
        <v>189.4433528815683</v>
      </c>
      <c r="O10562" s="759">
        <f t="shared" si="212"/>
        <v>78.934730367320128</v>
      </c>
      <c r="P10562" s="752">
        <f t="shared" si="212"/>
        <v>615.69089686509699</v>
      </c>
    </row>
    <row r="10563" spans="2:16">
      <c r="E10563" s="260"/>
      <c r="F10563" s="260"/>
      <c r="G10563" s="260"/>
      <c r="H10563" s="260"/>
      <c r="I10563" s="260"/>
      <c r="J10563" s="260"/>
    </row>
    <row r="10564" spans="2:16">
      <c r="B10564" s="63" t="s">
        <v>1712</v>
      </c>
      <c r="C10564" s="241" t="s">
        <v>1713</v>
      </c>
      <c r="D10564" s="1303" t="s">
        <v>1714</v>
      </c>
      <c r="E10564" s="63">
        <v>2000</v>
      </c>
      <c r="F10564" s="63" t="s">
        <v>1607</v>
      </c>
      <c r="G10564" s="241" t="s">
        <v>1715</v>
      </c>
    </row>
    <row r="10565" spans="2:16">
      <c r="B10565" s="1229"/>
      <c r="C10565" s="342"/>
      <c r="D10565" s="662"/>
      <c r="E10565" s="1229" t="s">
        <v>1716</v>
      </c>
      <c r="F10565" s="342"/>
      <c r="G10565" s="342"/>
      <c r="H10565" s="342"/>
      <c r="I10565" s="342"/>
      <c r="J10565" s="662"/>
    </row>
    <row r="10566" spans="2:16">
      <c r="B10566" s="1226" t="s">
        <v>407</v>
      </c>
      <c r="C10566" s="822" t="s">
        <v>1717</v>
      </c>
      <c r="D10566" s="1228" t="s">
        <v>1718</v>
      </c>
      <c r="E10566" s="1304" t="s">
        <v>284</v>
      </c>
      <c r="F10566" s="1304" t="s">
        <v>285</v>
      </c>
      <c r="G10566" s="1304" t="s">
        <v>1534</v>
      </c>
      <c r="H10566" s="1304" t="s">
        <v>281</v>
      </c>
      <c r="I10566" s="1304" t="s">
        <v>1626</v>
      </c>
      <c r="J10566" s="1305" t="s">
        <v>1627</v>
      </c>
    </row>
    <row r="10567" spans="2:16">
      <c r="B10567" s="1229" t="s">
        <v>435</v>
      </c>
      <c r="C10567" s="342" t="s">
        <v>1719</v>
      </c>
      <c r="D10567" s="662">
        <v>1001</v>
      </c>
      <c r="E10567" s="644">
        <v>186.43</v>
      </c>
      <c r="F10567" s="644">
        <v>2535.4899999999998</v>
      </c>
      <c r="G10567" s="644">
        <v>177.01</v>
      </c>
      <c r="H10567" s="644">
        <v>247.89</v>
      </c>
      <c r="I10567" s="644">
        <v>4031.65</v>
      </c>
      <c r="J10567" s="645">
        <v>1433.43</v>
      </c>
    </row>
    <row r="10568" spans="2:16">
      <c r="B10568" s="1230" t="s">
        <v>435</v>
      </c>
      <c r="C10568" s="132" t="s">
        <v>1720</v>
      </c>
      <c r="D10568" s="255">
        <v>1003</v>
      </c>
      <c r="E10568" s="553">
        <v>379.1</v>
      </c>
      <c r="F10568" s="553">
        <v>5605.06</v>
      </c>
      <c r="G10568" s="553">
        <v>161.31</v>
      </c>
      <c r="H10568" s="553">
        <v>545.07000000000005</v>
      </c>
      <c r="I10568" s="553">
        <v>10315.43</v>
      </c>
      <c r="J10568" s="647">
        <v>2617.1</v>
      </c>
    </row>
    <row r="10569" spans="2:16">
      <c r="B10569" s="1230" t="s">
        <v>435</v>
      </c>
      <c r="C10569" s="132" t="s">
        <v>1721</v>
      </c>
      <c r="D10569" s="255">
        <v>1005</v>
      </c>
      <c r="E10569" s="553">
        <v>154.66999999999999</v>
      </c>
      <c r="F10569" s="553">
        <v>2050.58</v>
      </c>
      <c r="G10569" s="553">
        <v>209.32</v>
      </c>
      <c r="H10569" s="553">
        <v>200.84</v>
      </c>
      <c r="I10569" s="553">
        <v>2265.48</v>
      </c>
      <c r="J10569" s="647">
        <v>1416.65</v>
      </c>
    </row>
    <row r="10570" spans="2:16">
      <c r="B10570" s="1230" t="s">
        <v>435</v>
      </c>
      <c r="C10570" s="132" t="s">
        <v>1722</v>
      </c>
      <c r="D10570" s="255">
        <v>1007</v>
      </c>
      <c r="E10570" s="553">
        <v>168.73</v>
      </c>
      <c r="F10570" s="553">
        <v>2322.65</v>
      </c>
      <c r="G10570" s="553">
        <v>207.75</v>
      </c>
      <c r="H10570" s="553">
        <v>226.86</v>
      </c>
      <c r="I10570" s="553">
        <v>3457.84</v>
      </c>
      <c r="J10570" s="647">
        <v>1436.14</v>
      </c>
    </row>
    <row r="10571" spans="2:16">
      <c r="B10571" s="1230" t="s">
        <v>435</v>
      </c>
      <c r="C10571" s="132" t="s">
        <v>1723</v>
      </c>
      <c r="D10571" s="255">
        <v>1009</v>
      </c>
      <c r="E10571" s="553">
        <v>285.79000000000002</v>
      </c>
      <c r="F10571" s="553">
        <v>4162.88</v>
      </c>
      <c r="G10571" s="553">
        <v>378.1</v>
      </c>
      <c r="H10571" s="553">
        <v>405.12</v>
      </c>
      <c r="I10571" s="553">
        <v>3126.43</v>
      </c>
      <c r="J10571" s="647">
        <v>2225.0100000000002</v>
      </c>
    </row>
    <row r="10572" spans="2:16">
      <c r="B10572" s="1230" t="s">
        <v>435</v>
      </c>
      <c r="C10572" s="132" t="s">
        <v>1724</v>
      </c>
      <c r="D10572" s="255">
        <v>1011</v>
      </c>
      <c r="E10572" s="553">
        <v>180.71</v>
      </c>
      <c r="F10572" s="553">
        <v>2487.79</v>
      </c>
      <c r="G10572" s="553">
        <v>196.99</v>
      </c>
      <c r="H10572" s="553">
        <v>242.96</v>
      </c>
      <c r="I10572" s="553">
        <v>2986.77</v>
      </c>
      <c r="J10572" s="647">
        <v>1485.89</v>
      </c>
    </row>
    <row r="10573" spans="2:16">
      <c r="B10573" s="1230" t="s">
        <v>435</v>
      </c>
      <c r="C10573" s="132" t="s">
        <v>1725</v>
      </c>
      <c r="D10573" s="255">
        <v>1013</v>
      </c>
      <c r="E10573" s="553">
        <v>121.86</v>
      </c>
      <c r="F10573" s="553">
        <v>1696.71</v>
      </c>
      <c r="G10573" s="553">
        <v>185.98</v>
      </c>
      <c r="H10573" s="553">
        <v>165.64</v>
      </c>
      <c r="I10573" s="553">
        <v>1670.93</v>
      </c>
      <c r="J10573" s="647">
        <v>1258.17</v>
      </c>
    </row>
    <row r="10574" spans="2:16">
      <c r="B10574" s="1230" t="s">
        <v>435</v>
      </c>
      <c r="C10574" s="132" t="s">
        <v>1726</v>
      </c>
      <c r="D10574" s="255">
        <v>1015</v>
      </c>
      <c r="E10574" s="553">
        <v>328.41</v>
      </c>
      <c r="F10574" s="553">
        <v>4631.6099999999997</v>
      </c>
      <c r="G10574" s="553">
        <v>415.45</v>
      </c>
      <c r="H10574" s="553">
        <v>451.69</v>
      </c>
      <c r="I10574" s="553">
        <v>2437</v>
      </c>
      <c r="J10574" s="647">
        <v>2380.61</v>
      </c>
    </row>
    <row r="10575" spans="2:16">
      <c r="B10575" s="1230" t="s">
        <v>435</v>
      </c>
      <c r="C10575" s="132" t="s">
        <v>1727</v>
      </c>
      <c r="D10575" s="255">
        <v>1017</v>
      </c>
      <c r="E10575" s="553">
        <v>283.48</v>
      </c>
      <c r="F10575" s="553">
        <v>3902.17</v>
      </c>
      <c r="G10575" s="553">
        <v>192.88</v>
      </c>
      <c r="H10575" s="553">
        <v>381.07</v>
      </c>
      <c r="I10575" s="553">
        <v>6792.78</v>
      </c>
      <c r="J10575" s="647">
        <v>1827.82</v>
      </c>
    </row>
    <row r="10576" spans="2:16">
      <c r="B10576" s="1230" t="s">
        <v>435</v>
      </c>
      <c r="C10576" s="132" t="s">
        <v>1728</v>
      </c>
      <c r="D10576" s="255">
        <v>1019</v>
      </c>
      <c r="E10576" s="553">
        <v>310.7</v>
      </c>
      <c r="F10576" s="553">
        <v>4302.6099999999997</v>
      </c>
      <c r="G10576" s="553">
        <v>410.8</v>
      </c>
      <c r="H10576" s="553">
        <v>420.11</v>
      </c>
      <c r="I10576" s="553">
        <v>2267.75</v>
      </c>
      <c r="J10576" s="647">
        <v>2316.89</v>
      </c>
    </row>
    <row r="10577" spans="2:10">
      <c r="B10577" s="1230" t="s">
        <v>435</v>
      </c>
      <c r="C10577" s="132" t="s">
        <v>1729</v>
      </c>
      <c r="D10577" s="255">
        <v>1021</v>
      </c>
      <c r="E10577" s="553">
        <v>197.59</v>
      </c>
      <c r="F10577" s="553">
        <v>2678.16</v>
      </c>
      <c r="G10577" s="553">
        <v>189.92</v>
      </c>
      <c r="H10577" s="553">
        <v>261.8</v>
      </c>
      <c r="I10577" s="553">
        <v>4195.37</v>
      </c>
      <c r="J10577" s="647">
        <v>1532.58</v>
      </c>
    </row>
    <row r="10578" spans="2:10">
      <c r="B10578" s="1230" t="s">
        <v>435</v>
      </c>
      <c r="C10578" s="132" t="s">
        <v>1730</v>
      </c>
      <c r="D10578" s="255">
        <v>1023</v>
      </c>
      <c r="E10578" s="553">
        <v>118.55</v>
      </c>
      <c r="F10578" s="553">
        <v>1674.41</v>
      </c>
      <c r="G10578" s="553">
        <v>201.36</v>
      </c>
      <c r="H10578" s="553">
        <v>163.26</v>
      </c>
      <c r="I10578" s="553">
        <v>1858</v>
      </c>
      <c r="J10578" s="647">
        <v>1241.9100000000001</v>
      </c>
    </row>
    <row r="10579" spans="2:10">
      <c r="B10579" s="1230" t="s">
        <v>435</v>
      </c>
      <c r="C10579" s="132" t="s">
        <v>1731</v>
      </c>
      <c r="D10579" s="255">
        <v>1025</v>
      </c>
      <c r="E10579" s="553">
        <v>119.52</v>
      </c>
      <c r="F10579" s="553">
        <v>1691.41</v>
      </c>
      <c r="G10579" s="553">
        <v>159.05000000000001</v>
      </c>
      <c r="H10579" s="553">
        <v>164.94</v>
      </c>
      <c r="I10579" s="553">
        <v>2447.0300000000002</v>
      </c>
      <c r="J10579" s="647">
        <v>1231.3</v>
      </c>
    </row>
    <row r="10580" spans="2:10">
      <c r="B10580" s="1230" t="s">
        <v>435</v>
      </c>
      <c r="C10580" s="132" t="s">
        <v>1732</v>
      </c>
      <c r="D10580" s="255">
        <v>1027</v>
      </c>
      <c r="E10580" s="553">
        <v>221.98</v>
      </c>
      <c r="F10580" s="553">
        <v>3100.22</v>
      </c>
      <c r="G10580" s="553">
        <v>269.8</v>
      </c>
      <c r="H10580" s="553">
        <v>302.5</v>
      </c>
      <c r="I10580" s="553">
        <v>2740.89</v>
      </c>
      <c r="J10580" s="647">
        <v>1824.52</v>
      </c>
    </row>
    <row r="10581" spans="2:10">
      <c r="B10581" s="1230" t="s">
        <v>435</v>
      </c>
      <c r="C10581" s="132" t="s">
        <v>1733</v>
      </c>
      <c r="D10581" s="255">
        <v>1029</v>
      </c>
      <c r="E10581" s="553">
        <v>303.14</v>
      </c>
      <c r="F10581" s="553">
        <v>4034.27</v>
      </c>
      <c r="G10581" s="553">
        <v>355.69</v>
      </c>
      <c r="H10581" s="553">
        <v>394.97</v>
      </c>
      <c r="I10581" s="553">
        <v>2561.81</v>
      </c>
      <c r="J10581" s="647">
        <v>2165.15</v>
      </c>
    </row>
    <row r="10582" spans="2:10">
      <c r="B10582" s="1230" t="s">
        <v>435</v>
      </c>
      <c r="C10582" s="132" t="s">
        <v>1734</v>
      </c>
      <c r="D10582" s="255">
        <v>1031</v>
      </c>
      <c r="E10582" s="553">
        <v>176.08</v>
      </c>
      <c r="F10582" s="553">
        <v>2576.77</v>
      </c>
      <c r="G10582" s="553">
        <v>270.26</v>
      </c>
      <c r="H10582" s="553">
        <v>250.75</v>
      </c>
      <c r="I10582" s="553">
        <v>1443.71</v>
      </c>
      <c r="J10582" s="647">
        <v>1524.51</v>
      </c>
    </row>
    <row r="10583" spans="2:10">
      <c r="B10583" s="1230" t="s">
        <v>435</v>
      </c>
      <c r="C10583" s="132" t="s">
        <v>1735</v>
      </c>
      <c r="D10583" s="255">
        <v>1033</v>
      </c>
      <c r="E10583" s="553">
        <v>268.54000000000002</v>
      </c>
      <c r="F10583" s="553">
        <v>3884.29</v>
      </c>
      <c r="G10583" s="553">
        <v>472.53</v>
      </c>
      <c r="H10583" s="553">
        <v>378.26</v>
      </c>
      <c r="I10583" s="553">
        <v>2010.47</v>
      </c>
      <c r="J10583" s="647">
        <v>2313.12</v>
      </c>
    </row>
    <row r="10584" spans="2:10">
      <c r="B10584" s="1230" t="s">
        <v>435</v>
      </c>
      <c r="C10584" s="132" t="s">
        <v>1736</v>
      </c>
      <c r="D10584" s="255">
        <v>1035</v>
      </c>
      <c r="E10584" s="553">
        <v>150.02000000000001</v>
      </c>
      <c r="F10584" s="553">
        <v>2143.44</v>
      </c>
      <c r="G10584" s="553">
        <v>167.94</v>
      </c>
      <c r="H10584" s="553">
        <v>208.89</v>
      </c>
      <c r="I10584" s="553">
        <v>3023.51</v>
      </c>
      <c r="J10584" s="647">
        <v>1348.37</v>
      </c>
    </row>
    <row r="10585" spans="2:10">
      <c r="B10585" s="1230" t="s">
        <v>435</v>
      </c>
      <c r="C10585" s="132" t="s">
        <v>1737</v>
      </c>
      <c r="D10585" s="255">
        <v>1037</v>
      </c>
      <c r="E10585" s="553">
        <v>208.52</v>
      </c>
      <c r="F10585" s="553">
        <v>2808.53</v>
      </c>
      <c r="G10585" s="553">
        <v>199.52</v>
      </c>
      <c r="H10585" s="553">
        <v>274.77</v>
      </c>
      <c r="I10585" s="553">
        <v>4265.28</v>
      </c>
      <c r="J10585" s="647">
        <v>1621.49</v>
      </c>
    </row>
    <row r="10586" spans="2:10">
      <c r="B10586" s="1230" t="s">
        <v>435</v>
      </c>
      <c r="C10586" s="132" t="s">
        <v>1738</v>
      </c>
      <c r="D10586" s="255">
        <v>1039</v>
      </c>
      <c r="E10586" s="553">
        <v>137.07</v>
      </c>
      <c r="F10586" s="553">
        <v>1995.09</v>
      </c>
      <c r="G10586" s="553">
        <v>217.95</v>
      </c>
      <c r="H10586" s="553">
        <v>194.24</v>
      </c>
      <c r="I10586" s="553">
        <v>1625.89</v>
      </c>
      <c r="J10586" s="647">
        <v>1369.26</v>
      </c>
    </row>
    <row r="10587" spans="2:10">
      <c r="B10587" s="1230" t="s">
        <v>435</v>
      </c>
      <c r="C10587" s="132" t="s">
        <v>1739</v>
      </c>
      <c r="D10587" s="255">
        <v>1041</v>
      </c>
      <c r="E10587" s="553">
        <v>153.75</v>
      </c>
      <c r="F10587" s="553">
        <v>2171.04</v>
      </c>
      <c r="G10587" s="553">
        <v>213.67</v>
      </c>
      <c r="H10587" s="553">
        <v>211.79</v>
      </c>
      <c r="I10587" s="553">
        <v>1769.24</v>
      </c>
      <c r="J10587" s="647">
        <v>1390.67</v>
      </c>
    </row>
    <row r="10588" spans="2:10">
      <c r="B10588" s="1230" t="s">
        <v>435</v>
      </c>
      <c r="C10588" s="132" t="s">
        <v>1740</v>
      </c>
      <c r="D10588" s="255">
        <v>1043</v>
      </c>
      <c r="E10588" s="553">
        <v>270.38</v>
      </c>
      <c r="F10588" s="553">
        <v>3936.02</v>
      </c>
      <c r="G10588" s="553">
        <v>381.16</v>
      </c>
      <c r="H10588" s="553">
        <v>383.13</v>
      </c>
      <c r="I10588" s="553">
        <v>2917.96</v>
      </c>
      <c r="J10588" s="647">
        <v>2176.1799999999998</v>
      </c>
    </row>
    <row r="10589" spans="2:10">
      <c r="B10589" s="1230" t="s">
        <v>435</v>
      </c>
      <c r="C10589" s="132" t="s">
        <v>1741</v>
      </c>
      <c r="D10589" s="255">
        <v>1045</v>
      </c>
      <c r="E10589" s="553">
        <v>223.32</v>
      </c>
      <c r="F10589" s="553">
        <v>3395.11</v>
      </c>
      <c r="G10589" s="553">
        <v>347.18</v>
      </c>
      <c r="H10589" s="553">
        <v>329.51</v>
      </c>
      <c r="I10589" s="553">
        <v>1264.7</v>
      </c>
      <c r="J10589" s="647">
        <v>1729.5</v>
      </c>
    </row>
    <row r="10590" spans="2:10">
      <c r="B10590" s="1230" t="s">
        <v>435</v>
      </c>
      <c r="C10590" s="132" t="s">
        <v>1742</v>
      </c>
      <c r="D10590" s="255">
        <v>1047</v>
      </c>
      <c r="E10590" s="553">
        <v>155.53</v>
      </c>
      <c r="F10590" s="553">
        <v>2147.1799999999998</v>
      </c>
      <c r="G10590" s="553">
        <v>178.73</v>
      </c>
      <c r="H10590" s="553">
        <v>209.75</v>
      </c>
      <c r="I10590" s="553">
        <v>3292.39</v>
      </c>
      <c r="J10590" s="647">
        <v>1385.68</v>
      </c>
    </row>
    <row r="10591" spans="2:10">
      <c r="B10591" s="1230" t="s">
        <v>435</v>
      </c>
      <c r="C10591" s="132" t="s">
        <v>1743</v>
      </c>
      <c r="D10591" s="255">
        <v>1049</v>
      </c>
      <c r="E10591" s="553">
        <v>287.23</v>
      </c>
      <c r="F10591" s="553">
        <v>4051.52</v>
      </c>
      <c r="G10591" s="553">
        <v>419.75</v>
      </c>
      <c r="H10591" s="553">
        <v>395.19</v>
      </c>
      <c r="I10591" s="553">
        <v>2132.36</v>
      </c>
      <c r="J10591" s="647">
        <v>2527.7800000000002</v>
      </c>
    </row>
    <row r="10592" spans="2:10">
      <c r="B10592" s="1230" t="s">
        <v>435</v>
      </c>
      <c r="C10592" s="132" t="s">
        <v>1744</v>
      </c>
      <c r="D10592" s="255">
        <v>1051</v>
      </c>
      <c r="E10592" s="553">
        <v>224.02</v>
      </c>
      <c r="F10592" s="553">
        <v>3125.37</v>
      </c>
      <c r="G10592" s="553">
        <v>185.31</v>
      </c>
      <c r="H10592" s="553">
        <v>304.99</v>
      </c>
      <c r="I10592" s="553">
        <v>5126.84</v>
      </c>
      <c r="J10592" s="647">
        <v>1603.48</v>
      </c>
    </row>
    <row r="10593" spans="2:10">
      <c r="B10593" s="1230" t="s">
        <v>435</v>
      </c>
      <c r="C10593" s="132" t="s">
        <v>1745</v>
      </c>
      <c r="D10593" s="255">
        <v>1053</v>
      </c>
      <c r="E10593" s="553">
        <v>150.61000000000001</v>
      </c>
      <c r="F10593" s="553">
        <v>2137.2399999999998</v>
      </c>
      <c r="G10593" s="553">
        <v>149.9</v>
      </c>
      <c r="H10593" s="553">
        <v>208.4</v>
      </c>
      <c r="I10593" s="553">
        <v>3460.58</v>
      </c>
      <c r="J10593" s="647">
        <v>1284.53</v>
      </c>
    </row>
    <row r="10594" spans="2:10">
      <c r="B10594" s="1230" t="s">
        <v>435</v>
      </c>
      <c r="C10594" s="132" t="s">
        <v>1746</v>
      </c>
      <c r="D10594" s="255">
        <v>1055</v>
      </c>
      <c r="E10594" s="553">
        <v>332.09</v>
      </c>
      <c r="F10594" s="553">
        <v>4767.12</v>
      </c>
      <c r="G10594" s="553">
        <v>442.22</v>
      </c>
      <c r="H10594" s="553">
        <v>464.33</v>
      </c>
      <c r="I10594" s="553">
        <v>2225.2800000000002</v>
      </c>
      <c r="J10594" s="647">
        <v>2394.4</v>
      </c>
    </row>
    <row r="10595" spans="2:10">
      <c r="B10595" s="1230" t="s">
        <v>435</v>
      </c>
      <c r="C10595" s="132" t="s">
        <v>1747</v>
      </c>
      <c r="D10595" s="255">
        <v>1057</v>
      </c>
      <c r="E10595" s="553">
        <v>208.14</v>
      </c>
      <c r="F10595" s="553">
        <v>2918.62</v>
      </c>
      <c r="G10595" s="553">
        <v>299.79000000000002</v>
      </c>
      <c r="H10595" s="553">
        <v>284.76</v>
      </c>
      <c r="I10595" s="553">
        <v>2590.58</v>
      </c>
      <c r="J10595" s="647">
        <v>1719.02</v>
      </c>
    </row>
    <row r="10596" spans="2:10">
      <c r="B10596" s="1230" t="s">
        <v>435</v>
      </c>
      <c r="C10596" s="132" t="s">
        <v>1748</v>
      </c>
      <c r="D10596" s="255">
        <v>1059</v>
      </c>
      <c r="E10596" s="553">
        <v>203.87</v>
      </c>
      <c r="F10596" s="553">
        <v>2947.53</v>
      </c>
      <c r="G10596" s="553">
        <v>382.74</v>
      </c>
      <c r="H10596" s="553">
        <v>286.98</v>
      </c>
      <c r="I10596" s="553">
        <v>1670.54</v>
      </c>
      <c r="J10596" s="647">
        <v>1795.31</v>
      </c>
    </row>
    <row r="10597" spans="2:10">
      <c r="B10597" s="1230" t="s">
        <v>435</v>
      </c>
      <c r="C10597" s="132" t="s">
        <v>1749</v>
      </c>
      <c r="D10597" s="255">
        <v>1061</v>
      </c>
      <c r="E10597" s="553">
        <v>161.88999999999999</v>
      </c>
      <c r="F10597" s="553">
        <v>2278.4699999999998</v>
      </c>
      <c r="G10597" s="553">
        <v>268.01</v>
      </c>
      <c r="H10597" s="553">
        <v>222.21</v>
      </c>
      <c r="I10597" s="553">
        <v>1295.9100000000001</v>
      </c>
      <c r="J10597" s="647">
        <v>1388.82</v>
      </c>
    </row>
    <row r="10598" spans="2:10">
      <c r="B10598" s="1230" t="s">
        <v>435</v>
      </c>
      <c r="C10598" s="132" t="s">
        <v>1750</v>
      </c>
      <c r="D10598" s="255">
        <v>1063</v>
      </c>
      <c r="E10598" s="553">
        <v>131.57</v>
      </c>
      <c r="F10598" s="553">
        <v>1787.11</v>
      </c>
      <c r="G10598" s="553">
        <v>206.11</v>
      </c>
      <c r="H10598" s="553">
        <v>174.71</v>
      </c>
      <c r="I10598" s="553">
        <v>2419.9899999999998</v>
      </c>
      <c r="J10598" s="647">
        <v>1287.0999999999999</v>
      </c>
    </row>
    <row r="10599" spans="2:10">
      <c r="B10599" s="1230" t="s">
        <v>435</v>
      </c>
      <c r="C10599" s="132" t="s">
        <v>1751</v>
      </c>
      <c r="D10599" s="255">
        <v>1065</v>
      </c>
      <c r="E10599" s="553">
        <v>137.05000000000001</v>
      </c>
      <c r="F10599" s="553">
        <v>1855.15</v>
      </c>
      <c r="G10599" s="553">
        <v>194.34</v>
      </c>
      <c r="H10599" s="553">
        <v>181.43</v>
      </c>
      <c r="I10599" s="553">
        <v>2647.31</v>
      </c>
      <c r="J10599" s="647">
        <v>1305.31</v>
      </c>
    </row>
    <row r="10600" spans="2:10">
      <c r="B10600" s="1230" t="s">
        <v>435</v>
      </c>
      <c r="C10600" s="132" t="s">
        <v>1752</v>
      </c>
      <c r="D10600" s="255">
        <v>1067</v>
      </c>
      <c r="E10600" s="553">
        <v>158.30000000000001</v>
      </c>
      <c r="F10600" s="553">
        <v>2204.54</v>
      </c>
      <c r="G10600" s="553">
        <v>265.87</v>
      </c>
      <c r="H10600" s="553">
        <v>215.25</v>
      </c>
      <c r="I10600" s="553">
        <v>1478.2</v>
      </c>
      <c r="J10600" s="647">
        <v>1395.79</v>
      </c>
    </row>
    <row r="10601" spans="2:10">
      <c r="B10601" s="1230" t="s">
        <v>435</v>
      </c>
      <c r="C10601" s="132" t="s">
        <v>1753</v>
      </c>
      <c r="D10601" s="255">
        <v>1069</v>
      </c>
      <c r="E10601" s="553">
        <v>184.27</v>
      </c>
      <c r="F10601" s="553">
        <v>2769.12</v>
      </c>
      <c r="G10601" s="553">
        <v>308.08999999999997</v>
      </c>
      <c r="H10601" s="553">
        <v>269</v>
      </c>
      <c r="I10601" s="553">
        <v>1341.51</v>
      </c>
      <c r="J10601" s="647">
        <v>1547.51</v>
      </c>
    </row>
    <row r="10602" spans="2:10">
      <c r="B10602" s="1230" t="s">
        <v>435</v>
      </c>
      <c r="C10602" s="132" t="s">
        <v>1754</v>
      </c>
      <c r="D10602" s="255">
        <v>1071</v>
      </c>
      <c r="E10602" s="553">
        <v>271.58999999999997</v>
      </c>
      <c r="F10602" s="553">
        <v>3826.71</v>
      </c>
      <c r="G10602" s="553">
        <v>437.65</v>
      </c>
      <c r="H10602" s="553">
        <v>373.24</v>
      </c>
      <c r="I10602" s="553">
        <v>2172.31</v>
      </c>
      <c r="J10602" s="647">
        <v>2556.2399999999998</v>
      </c>
    </row>
    <row r="10603" spans="2:10">
      <c r="B10603" s="1230" t="s">
        <v>435</v>
      </c>
      <c r="C10603" s="132" t="s">
        <v>1755</v>
      </c>
      <c r="D10603" s="255">
        <v>1073</v>
      </c>
      <c r="E10603" s="553">
        <v>491.93</v>
      </c>
      <c r="F10603" s="553">
        <v>6973.44</v>
      </c>
      <c r="G10603" s="553">
        <v>281.67</v>
      </c>
      <c r="H10603" s="553">
        <v>679.72</v>
      </c>
      <c r="I10603" s="553">
        <v>11291.85</v>
      </c>
      <c r="J10603" s="647">
        <v>2917.08</v>
      </c>
    </row>
    <row r="10604" spans="2:10">
      <c r="B10604" s="1230" t="s">
        <v>435</v>
      </c>
      <c r="C10604" s="132" t="s">
        <v>1756</v>
      </c>
      <c r="D10604" s="255">
        <v>1075</v>
      </c>
      <c r="E10604" s="553">
        <v>162.5</v>
      </c>
      <c r="F10604" s="553">
        <v>2320.62</v>
      </c>
      <c r="G10604" s="553">
        <v>280.12</v>
      </c>
      <c r="H10604" s="553">
        <v>226.1</v>
      </c>
      <c r="I10604" s="553">
        <v>2389.4899999999998</v>
      </c>
      <c r="J10604" s="647">
        <v>1547.45</v>
      </c>
    </row>
    <row r="10605" spans="2:10">
      <c r="B10605" s="1230" t="s">
        <v>435</v>
      </c>
      <c r="C10605" s="132" t="s">
        <v>1757</v>
      </c>
      <c r="D10605" s="255">
        <v>1077</v>
      </c>
      <c r="E10605" s="553">
        <v>242.96</v>
      </c>
      <c r="F10605" s="553">
        <v>3473.52</v>
      </c>
      <c r="G10605" s="553">
        <v>437.61</v>
      </c>
      <c r="H10605" s="553">
        <v>338.52</v>
      </c>
      <c r="I10605" s="553">
        <v>2198.54</v>
      </c>
      <c r="J10605" s="647">
        <v>2211.17</v>
      </c>
    </row>
    <row r="10606" spans="2:10">
      <c r="B10606" s="1230" t="s">
        <v>435</v>
      </c>
      <c r="C10606" s="132" t="s">
        <v>1758</v>
      </c>
      <c r="D10606" s="255">
        <v>1079</v>
      </c>
      <c r="E10606" s="553">
        <v>213.53</v>
      </c>
      <c r="F10606" s="553">
        <v>2904.88</v>
      </c>
      <c r="G10606" s="553">
        <v>384.95</v>
      </c>
      <c r="H10606" s="553">
        <v>284.10000000000002</v>
      </c>
      <c r="I10606" s="553">
        <v>1775.69</v>
      </c>
      <c r="J10606" s="647">
        <v>1809.48</v>
      </c>
    </row>
    <row r="10607" spans="2:10">
      <c r="B10607" s="1230" t="s">
        <v>435</v>
      </c>
      <c r="C10607" s="132" t="s">
        <v>1759</v>
      </c>
      <c r="D10607" s="255">
        <v>1081</v>
      </c>
      <c r="E10607" s="553">
        <v>262.02999999999997</v>
      </c>
      <c r="F10607" s="553">
        <v>3625.39</v>
      </c>
      <c r="G10607" s="553">
        <v>183.78</v>
      </c>
      <c r="H10607" s="553">
        <v>354.02</v>
      </c>
      <c r="I10607" s="553">
        <v>6394.42</v>
      </c>
      <c r="J10607" s="647">
        <v>1727.77</v>
      </c>
    </row>
    <row r="10608" spans="2:10">
      <c r="B10608" s="1230" t="s">
        <v>435</v>
      </c>
      <c r="C10608" s="132" t="s">
        <v>1760</v>
      </c>
      <c r="D10608" s="255">
        <v>1083</v>
      </c>
      <c r="E10608" s="553">
        <v>341.39</v>
      </c>
      <c r="F10608" s="553">
        <v>4776.99</v>
      </c>
      <c r="G10608" s="553">
        <v>502.99</v>
      </c>
      <c r="H10608" s="553">
        <v>466.23</v>
      </c>
      <c r="I10608" s="553">
        <v>2156.27</v>
      </c>
      <c r="J10608" s="647">
        <v>2620.38</v>
      </c>
    </row>
    <row r="10609" spans="2:10">
      <c r="B10609" s="1230" t="s">
        <v>435</v>
      </c>
      <c r="C10609" s="132" t="s">
        <v>1761</v>
      </c>
      <c r="D10609" s="255">
        <v>1085</v>
      </c>
      <c r="E10609" s="553">
        <v>249.49</v>
      </c>
      <c r="F10609" s="553">
        <v>3539.55</v>
      </c>
      <c r="G10609" s="553">
        <v>170.59</v>
      </c>
      <c r="H10609" s="553">
        <v>345.18</v>
      </c>
      <c r="I10609" s="553">
        <v>6023.16</v>
      </c>
      <c r="J10609" s="647">
        <v>1654.44</v>
      </c>
    </row>
    <row r="10610" spans="2:10">
      <c r="B10610" s="1230" t="s">
        <v>435</v>
      </c>
      <c r="C10610" s="132" t="s">
        <v>1762</v>
      </c>
      <c r="D10610" s="255">
        <v>1087</v>
      </c>
      <c r="E10610" s="553">
        <v>171.5</v>
      </c>
      <c r="F10610" s="553">
        <v>2337.13</v>
      </c>
      <c r="G10610" s="553">
        <v>185.69</v>
      </c>
      <c r="H10610" s="553">
        <v>228.43</v>
      </c>
      <c r="I10610" s="553">
        <v>3286.07</v>
      </c>
      <c r="J10610" s="647">
        <v>1476.22</v>
      </c>
    </row>
    <row r="10611" spans="2:10">
      <c r="B10611" s="1230" t="s">
        <v>435</v>
      </c>
      <c r="C10611" s="132" t="s">
        <v>1763</v>
      </c>
      <c r="D10611" s="255">
        <v>1089</v>
      </c>
      <c r="E10611" s="553">
        <v>425.93</v>
      </c>
      <c r="F10611" s="553">
        <v>5913.5</v>
      </c>
      <c r="G10611" s="553">
        <v>623.36</v>
      </c>
      <c r="H10611" s="553">
        <v>577.55999999999995</v>
      </c>
      <c r="I10611" s="553">
        <v>2008.95</v>
      </c>
      <c r="J10611" s="647">
        <v>3226.29</v>
      </c>
    </row>
    <row r="10612" spans="2:10">
      <c r="B10612" s="1230" t="s">
        <v>435</v>
      </c>
      <c r="C10612" s="132" t="s">
        <v>1764</v>
      </c>
      <c r="D10612" s="255">
        <v>1091</v>
      </c>
      <c r="E10612" s="553">
        <v>109.24</v>
      </c>
      <c r="F10612" s="553">
        <v>1514.92</v>
      </c>
      <c r="G10612" s="553">
        <v>172.68</v>
      </c>
      <c r="H10612" s="553">
        <v>147.93</v>
      </c>
      <c r="I10612" s="553">
        <v>2024.24</v>
      </c>
      <c r="J10612" s="647">
        <v>1198.46</v>
      </c>
    </row>
    <row r="10613" spans="2:10">
      <c r="B10613" s="1230" t="s">
        <v>435</v>
      </c>
      <c r="C10613" s="132" t="s">
        <v>1765</v>
      </c>
      <c r="D10613" s="255">
        <v>1093</v>
      </c>
      <c r="E10613" s="553">
        <v>186.13</v>
      </c>
      <c r="F10613" s="553">
        <v>2652.13</v>
      </c>
      <c r="G10613" s="553">
        <v>345.79</v>
      </c>
      <c r="H10613" s="553">
        <v>258.52</v>
      </c>
      <c r="I10613" s="553">
        <v>1680.48</v>
      </c>
      <c r="J10613" s="647">
        <v>1722.08</v>
      </c>
    </row>
    <row r="10614" spans="2:10">
      <c r="B10614" s="1230" t="s">
        <v>435</v>
      </c>
      <c r="C10614" s="132" t="s">
        <v>1766</v>
      </c>
      <c r="D10614" s="255">
        <v>1095</v>
      </c>
      <c r="E10614" s="553">
        <v>249.61</v>
      </c>
      <c r="F10614" s="553">
        <v>3515.01</v>
      </c>
      <c r="G10614" s="553">
        <v>383.02</v>
      </c>
      <c r="H10614" s="553">
        <v>342.97</v>
      </c>
      <c r="I10614" s="553">
        <v>2075.8200000000002</v>
      </c>
      <c r="J10614" s="647">
        <v>2097.62</v>
      </c>
    </row>
    <row r="10615" spans="2:10">
      <c r="B10615" s="1230" t="s">
        <v>435</v>
      </c>
      <c r="C10615" s="132" t="s">
        <v>1767</v>
      </c>
      <c r="D10615" s="255">
        <v>1097</v>
      </c>
      <c r="E10615" s="553">
        <v>349.4</v>
      </c>
      <c r="F10615" s="553">
        <v>5271.82</v>
      </c>
      <c r="G10615" s="553">
        <v>152.66999999999999</v>
      </c>
      <c r="H10615" s="553">
        <v>512.08000000000004</v>
      </c>
      <c r="I10615" s="553">
        <v>9597.2000000000007</v>
      </c>
      <c r="J10615" s="647">
        <v>2295.81</v>
      </c>
    </row>
    <row r="10616" spans="2:10">
      <c r="B10616" s="1230" t="s">
        <v>435</v>
      </c>
      <c r="C10616" s="132" t="s">
        <v>1768</v>
      </c>
      <c r="D10616" s="255">
        <v>1099</v>
      </c>
      <c r="E10616" s="553">
        <v>142.46</v>
      </c>
      <c r="F10616" s="553">
        <v>2035.79</v>
      </c>
      <c r="G10616" s="553">
        <v>153.24</v>
      </c>
      <c r="H10616" s="553">
        <v>198.45</v>
      </c>
      <c r="I10616" s="553">
        <v>3206.23</v>
      </c>
      <c r="J10616" s="647">
        <v>1308.2</v>
      </c>
    </row>
    <row r="10617" spans="2:10">
      <c r="B10617" s="1230" t="s">
        <v>435</v>
      </c>
      <c r="C10617" s="132" t="s">
        <v>1769</v>
      </c>
      <c r="D10617" s="255">
        <v>1101</v>
      </c>
      <c r="E10617" s="553">
        <v>255.89</v>
      </c>
      <c r="F10617" s="553">
        <v>3617.18</v>
      </c>
      <c r="G10617" s="553">
        <v>178.76</v>
      </c>
      <c r="H10617" s="553">
        <v>352.82</v>
      </c>
      <c r="I10617" s="553">
        <v>6086.27</v>
      </c>
      <c r="J10617" s="647">
        <v>1716.21</v>
      </c>
    </row>
    <row r="10618" spans="2:10">
      <c r="B10618" s="1230" t="s">
        <v>435</v>
      </c>
      <c r="C10618" s="132" t="s">
        <v>1770</v>
      </c>
      <c r="D10618" s="255">
        <v>1103</v>
      </c>
      <c r="E10618" s="553">
        <v>467.78</v>
      </c>
      <c r="F10618" s="553">
        <v>6538.04</v>
      </c>
      <c r="G10618" s="553">
        <v>615.97</v>
      </c>
      <c r="H10618" s="553">
        <v>638.16</v>
      </c>
      <c r="I10618" s="553">
        <v>2067.98</v>
      </c>
      <c r="J10618" s="647">
        <v>2895.62</v>
      </c>
    </row>
    <row r="10619" spans="2:10">
      <c r="B10619" s="1230" t="s">
        <v>435</v>
      </c>
      <c r="C10619" s="132" t="s">
        <v>1771</v>
      </c>
      <c r="D10619" s="255">
        <v>1105</v>
      </c>
      <c r="E10619" s="553">
        <v>153.41</v>
      </c>
      <c r="F10619" s="553">
        <v>2161.35</v>
      </c>
      <c r="G10619" s="553">
        <v>177.96</v>
      </c>
      <c r="H10619" s="553">
        <v>210.86</v>
      </c>
      <c r="I10619" s="553">
        <v>3308.85</v>
      </c>
      <c r="J10619" s="647">
        <v>1367.15</v>
      </c>
    </row>
    <row r="10620" spans="2:10">
      <c r="B10620" s="1230" t="s">
        <v>435</v>
      </c>
      <c r="C10620" s="132" t="s">
        <v>1772</v>
      </c>
      <c r="D10620" s="255">
        <v>1107</v>
      </c>
      <c r="E10620" s="553">
        <v>152.24</v>
      </c>
      <c r="F10620" s="553">
        <v>2151.2199999999998</v>
      </c>
      <c r="G10620" s="553">
        <v>264.64999999999998</v>
      </c>
      <c r="H10620" s="553">
        <v>209.77</v>
      </c>
      <c r="I10620" s="553">
        <v>1930.39</v>
      </c>
      <c r="J10620" s="647">
        <v>1481.67</v>
      </c>
    </row>
    <row r="10621" spans="2:10">
      <c r="B10621" s="1230" t="s">
        <v>435</v>
      </c>
      <c r="C10621" s="132" t="s">
        <v>1773</v>
      </c>
      <c r="D10621" s="255">
        <v>1109</v>
      </c>
      <c r="E10621" s="553">
        <v>154.11000000000001</v>
      </c>
      <c r="F10621" s="553">
        <v>2114.27</v>
      </c>
      <c r="G10621" s="553">
        <v>225.45</v>
      </c>
      <c r="H10621" s="553">
        <v>206.65</v>
      </c>
      <c r="I10621" s="553">
        <v>1831.7</v>
      </c>
      <c r="J10621" s="647">
        <v>1400.45</v>
      </c>
    </row>
    <row r="10622" spans="2:10">
      <c r="B10622" s="1230" t="s">
        <v>435</v>
      </c>
      <c r="C10622" s="132" t="s">
        <v>1774</v>
      </c>
      <c r="D10622" s="255">
        <v>1111</v>
      </c>
      <c r="E10622" s="553">
        <v>219.95</v>
      </c>
      <c r="F10622" s="553">
        <v>2791.53</v>
      </c>
      <c r="G10622" s="553">
        <v>221.54</v>
      </c>
      <c r="H10622" s="553">
        <v>274.27</v>
      </c>
      <c r="I10622" s="553">
        <v>3501.63</v>
      </c>
      <c r="J10622" s="647">
        <v>1732.05</v>
      </c>
    </row>
    <row r="10623" spans="2:10">
      <c r="B10623" s="1230" t="s">
        <v>435</v>
      </c>
      <c r="C10623" s="132" t="s">
        <v>1775</v>
      </c>
      <c r="D10623" s="255">
        <v>1113</v>
      </c>
      <c r="E10623" s="553">
        <v>333.85</v>
      </c>
      <c r="F10623" s="553">
        <v>4419.7700000000004</v>
      </c>
      <c r="G10623" s="553">
        <v>178.26</v>
      </c>
      <c r="H10623" s="553">
        <v>432.87</v>
      </c>
      <c r="I10623" s="553">
        <v>7748.15</v>
      </c>
      <c r="J10623" s="647">
        <v>1910.09</v>
      </c>
    </row>
    <row r="10624" spans="2:10">
      <c r="B10624" s="1230" t="s">
        <v>435</v>
      </c>
      <c r="C10624" s="132" t="s">
        <v>1776</v>
      </c>
      <c r="D10624" s="255">
        <v>1115</v>
      </c>
      <c r="E10624" s="553">
        <v>295.94</v>
      </c>
      <c r="F10624" s="553">
        <v>4180.6099999999997</v>
      </c>
      <c r="G10624" s="553">
        <v>349.33</v>
      </c>
      <c r="H10624" s="553">
        <v>407.63</v>
      </c>
      <c r="I10624" s="553">
        <v>3305.97</v>
      </c>
      <c r="J10624" s="647">
        <v>2217.0100000000002</v>
      </c>
    </row>
    <row r="10625" spans="2:11">
      <c r="B10625" s="1230" t="s">
        <v>435</v>
      </c>
      <c r="C10625" s="132" t="s">
        <v>1777</v>
      </c>
      <c r="D10625" s="255">
        <v>1117</v>
      </c>
      <c r="E10625" s="553">
        <v>569.71</v>
      </c>
      <c r="F10625" s="553">
        <v>8082.07</v>
      </c>
      <c r="G10625" s="553">
        <v>215.19</v>
      </c>
      <c r="H10625" s="553">
        <v>787.66</v>
      </c>
      <c r="I10625" s="553">
        <v>14639.46</v>
      </c>
      <c r="J10625" s="647">
        <v>2867.18</v>
      </c>
    </row>
    <row r="10626" spans="2:11">
      <c r="B10626" s="1230" t="s">
        <v>435</v>
      </c>
      <c r="C10626" s="132" t="s">
        <v>1778</v>
      </c>
      <c r="D10626" s="255">
        <v>1119</v>
      </c>
      <c r="E10626" s="553">
        <v>116.97</v>
      </c>
      <c r="F10626" s="553">
        <v>1601.39</v>
      </c>
      <c r="G10626" s="553">
        <v>214.89</v>
      </c>
      <c r="H10626" s="553">
        <v>156.49</v>
      </c>
      <c r="I10626" s="553">
        <v>1704.02</v>
      </c>
      <c r="J10626" s="647">
        <v>1268.25</v>
      </c>
    </row>
    <row r="10627" spans="2:11">
      <c r="B10627" s="1230" t="s">
        <v>435</v>
      </c>
      <c r="C10627" s="132" t="s">
        <v>1779</v>
      </c>
      <c r="D10627" s="255">
        <v>1121</v>
      </c>
      <c r="E10627" s="553">
        <v>252.74</v>
      </c>
      <c r="F10627" s="553">
        <v>3516.44</v>
      </c>
      <c r="G10627" s="553">
        <v>322.64</v>
      </c>
      <c r="H10627" s="553">
        <v>343.23</v>
      </c>
      <c r="I10627" s="553">
        <v>2773.87</v>
      </c>
      <c r="J10627" s="647">
        <v>1996.42</v>
      </c>
    </row>
    <row r="10628" spans="2:11">
      <c r="B10628" s="1230" t="s">
        <v>435</v>
      </c>
      <c r="C10628" s="132" t="s">
        <v>1780</v>
      </c>
      <c r="D10628" s="255">
        <v>1123</v>
      </c>
      <c r="E10628" s="553">
        <v>204.92</v>
      </c>
      <c r="F10628" s="553">
        <v>2821.65</v>
      </c>
      <c r="G10628" s="553">
        <v>189.97</v>
      </c>
      <c r="H10628" s="553">
        <v>275.67</v>
      </c>
      <c r="I10628" s="553">
        <v>4397.68</v>
      </c>
      <c r="J10628" s="647">
        <v>1604.33</v>
      </c>
    </row>
    <row r="10629" spans="2:11">
      <c r="B10629" s="1230" t="s">
        <v>435</v>
      </c>
      <c r="C10629" s="132" t="s">
        <v>1781</v>
      </c>
      <c r="D10629" s="255">
        <v>1125</v>
      </c>
      <c r="E10629" s="553">
        <v>432.45</v>
      </c>
      <c r="F10629" s="553">
        <v>6254.2</v>
      </c>
      <c r="G10629" s="553">
        <v>259.76</v>
      </c>
      <c r="H10629" s="553">
        <v>608.80999999999995</v>
      </c>
      <c r="I10629" s="553">
        <v>10410.32</v>
      </c>
      <c r="J10629" s="647">
        <v>2755.49</v>
      </c>
    </row>
    <row r="10630" spans="2:11">
      <c r="B10630" s="1230" t="s">
        <v>435</v>
      </c>
      <c r="C10630" s="132" t="s">
        <v>1782</v>
      </c>
      <c r="D10630" s="255">
        <v>1127</v>
      </c>
      <c r="E10630" s="553">
        <v>532.09</v>
      </c>
      <c r="F10630" s="553">
        <v>7729.13</v>
      </c>
      <c r="G10630" s="553">
        <v>311.36</v>
      </c>
      <c r="H10630" s="553">
        <v>752.16</v>
      </c>
      <c r="I10630" s="553">
        <v>12281</v>
      </c>
      <c r="J10630" s="647">
        <v>2881.04</v>
      </c>
    </row>
    <row r="10631" spans="2:11">
      <c r="B10631" s="1230" t="s">
        <v>435</v>
      </c>
      <c r="C10631" s="132" t="s">
        <v>487</v>
      </c>
      <c r="D10631" s="255">
        <v>1129</v>
      </c>
      <c r="E10631" s="553">
        <v>123.98</v>
      </c>
      <c r="F10631" s="553">
        <v>1737.93</v>
      </c>
      <c r="G10631" s="553">
        <v>168.55</v>
      </c>
      <c r="H10631" s="553">
        <v>169.57</v>
      </c>
      <c r="I10631" s="553">
        <v>2365.38</v>
      </c>
      <c r="J10631" s="647">
        <v>1219.45</v>
      </c>
    </row>
    <row r="10632" spans="2:11">
      <c r="B10632" s="1230" t="s">
        <v>435</v>
      </c>
      <c r="C10632" s="132" t="s">
        <v>1783</v>
      </c>
      <c r="D10632" s="255">
        <v>1131</v>
      </c>
      <c r="E10632" s="553">
        <v>122.83</v>
      </c>
      <c r="F10632" s="553">
        <v>1740.99</v>
      </c>
      <c r="G10632" s="553">
        <v>163.31</v>
      </c>
      <c r="H10632" s="553">
        <v>169.75</v>
      </c>
      <c r="I10632" s="553">
        <v>2527.37</v>
      </c>
      <c r="J10632" s="647">
        <v>1249.54</v>
      </c>
    </row>
    <row r="10633" spans="2:11">
      <c r="B10633" s="1230" t="s">
        <v>435</v>
      </c>
      <c r="C10633" s="132" t="s">
        <v>1784</v>
      </c>
      <c r="D10633" s="255">
        <v>1133</v>
      </c>
      <c r="E10633" s="553">
        <v>176.21</v>
      </c>
      <c r="F10633" s="553">
        <v>2453.15</v>
      </c>
      <c r="G10633" s="553">
        <v>306.18</v>
      </c>
      <c r="H10633" s="553">
        <v>239.52</v>
      </c>
      <c r="I10633" s="553">
        <v>2020.92</v>
      </c>
      <c r="J10633" s="647">
        <v>1657.34</v>
      </c>
    </row>
    <row r="10634" spans="2:11">
      <c r="B10634" s="803" t="s">
        <v>436</v>
      </c>
      <c r="C10634" s="325" t="s">
        <v>1785</v>
      </c>
      <c r="D10634" s="272">
        <v>2013</v>
      </c>
      <c r="E10634" s="550"/>
      <c r="F10634" s="550"/>
      <c r="G10634" s="550"/>
      <c r="H10634" s="550"/>
      <c r="I10634" s="550"/>
      <c r="J10634" s="702"/>
      <c r="K10634" s="63" t="s">
        <v>1786</v>
      </c>
    </row>
    <row r="10635" spans="2:11">
      <c r="B10635" s="803" t="s">
        <v>436</v>
      </c>
      <c r="C10635" s="325" t="s">
        <v>1787</v>
      </c>
      <c r="D10635" s="272">
        <v>2016</v>
      </c>
      <c r="E10635" s="550"/>
      <c r="F10635" s="550"/>
      <c r="G10635" s="550"/>
      <c r="H10635" s="550"/>
      <c r="I10635" s="550"/>
      <c r="J10635" s="702"/>
      <c r="K10635" s="63" t="s">
        <v>1786</v>
      </c>
    </row>
    <row r="10636" spans="2:11">
      <c r="B10636" s="803" t="s">
        <v>436</v>
      </c>
      <c r="C10636" s="325" t="s">
        <v>1788</v>
      </c>
      <c r="D10636" s="272">
        <v>2020</v>
      </c>
      <c r="E10636" s="550"/>
      <c r="F10636" s="550"/>
      <c r="G10636" s="550"/>
      <c r="H10636" s="550"/>
      <c r="I10636" s="550"/>
      <c r="J10636" s="702"/>
      <c r="K10636" s="63" t="s">
        <v>1786</v>
      </c>
    </row>
    <row r="10637" spans="2:11">
      <c r="B10637" s="803" t="s">
        <v>436</v>
      </c>
      <c r="C10637" s="325" t="s">
        <v>1789</v>
      </c>
      <c r="D10637" s="272">
        <v>2050</v>
      </c>
      <c r="E10637" s="550"/>
      <c r="F10637" s="550"/>
      <c r="G10637" s="550"/>
      <c r="H10637" s="550"/>
      <c r="I10637" s="550"/>
      <c r="J10637" s="702"/>
      <c r="K10637" s="63" t="s">
        <v>1786</v>
      </c>
    </row>
    <row r="10638" spans="2:11">
      <c r="B10638" s="803" t="s">
        <v>436</v>
      </c>
      <c r="C10638" s="325" t="s">
        <v>1790</v>
      </c>
      <c r="D10638" s="272">
        <v>2060</v>
      </c>
      <c r="E10638" s="550"/>
      <c r="F10638" s="550"/>
      <c r="G10638" s="550"/>
      <c r="H10638" s="550"/>
      <c r="I10638" s="550"/>
      <c r="J10638" s="702"/>
      <c r="K10638" s="63" t="s">
        <v>1786</v>
      </c>
    </row>
    <row r="10639" spans="2:11">
      <c r="B10639" s="803" t="s">
        <v>436</v>
      </c>
      <c r="C10639" s="325" t="s">
        <v>1791</v>
      </c>
      <c r="D10639" s="272">
        <v>2068</v>
      </c>
      <c r="E10639" s="550"/>
      <c r="F10639" s="550"/>
      <c r="G10639" s="550"/>
      <c r="H10639" s="550"/>
      <c r="I10639" s="550"/>
      <c r="J10639" s="702"/>
      <c r="K10639" s="63" t="s">
        <v>1786</v>
      </c>
    </row>
    <row r="10640" spans="2:11">
      <c r="B10640" s="803" t="s">
        <v>436</v>
      </c>
      <c r="C10640" s="325" t="s">
        <v>1792</v>
      </c>
      <c r="D10640" s="272">
        <v>2070</v>
      </c>
      <c r="E10640" s="550"/>
      <c r="F10640" s="550"/>
      <c r="G10640" s="550"/>
      <c r="H10640" s="550"/>
      <c r="I10640" s="550"/>
      <c r="J10640" s="702"/>
      <c r="K10640" s="63" t="s">
        <v>1786</v>
      </c>
    </row>
    <row r="10641" spans="2:11">
      <c r="B10641" s="803" t="s">
        <v>436</v>
      </c>
      <c r="C10641" s="325" t="s">
        <v>1793</v>
      </c>
      <c r="D10641" s="272">
        <v>2090</v>
      </c>
      <c r="E10641" s="550"/>
      <c r="F10641" s="550"/>
      <c r="G10641" s="550"/>
      <c r="H10641" s="550"/>
      <c r="I10641" s="550"/>
      <c r="J10641" s="702"/>
      <c r="K10641" s="63" t="s">
        <v>1786</v>
      </c>
    </row>
    <row r="10642" spans="2:11">
      <c r="B10642" s="803" t="s">
        <v>436</v>
      </c>
      <c r="C10642" s="325" t="s">
        <v>1794</v>
      </c>
      <c r="D10642" s="272">
        <v>2100</v>
      </c>
      <c r="E10642" s="550"/>
      <c r="F10642" s="550"/>
      <c r="G10642" s="550"/>
      <c r="H10642" s="550"/>
      <c r="I10642" s="550"/>
      <c r="J10642" s="702"/>
      <c r="K10642" s="63" t="s">
        <v>1786</v>
      </c>
    </row>
    <row r="10643" spans="2:11">
      <c r="B10643" s="803" t="s">
        <v>436</v>
      </c>
      <c r="C10643" s="325" t="s">
        <v>1795</v>
      </c>
      <c r="D10643" s="272">
        <v>2105</v>
      </c>
      <c r="E10643" s="550"/>
      <c r="F10643" s="550"/>
      <c r="G10643" s="550"/>
      <c r="H10643" s="550"/>
      <c r="I10643" s="550"/>
      <c r="J10643" s="702"/>
      <c r="K10643" s="63" t="s">
        <v>1786</v>
      </c>
    </row>
    <row r="10644" spans="2:11">
      <c r="B10644" s="803" t="s">
        <v>436</v>
      </c>
      <c r="C10644" s="325" t="s">
        <v>1796</v>
      </c>
      <c r="D10644" s="272">
        <v>2110</v>
      </c>
      <c r="E10644" s="550"/>
      <c r="F10644" s="550"/>
      <c r="G10644" s="550"/>
      <c r="H10644" s="550"/>
      <c r="I10644" s="550"/>
      <c r="J10644" s="702"/>
      <c r="K10644" s="63" t="s">
        <v>1786</v>
      </c>
    </row>
    <row r="10645" spans="2:11">
      <c r="B10645" s="803" t="s">
        <v>436</v>
      </c>
      <c r="C10645" s="325" t="s">
        <v>1797</v>
      </c>
      <c r="D10645" s="272">
        <v>2122</v>
      </c>
      <c r="E10645" s="550"/>
      <c r="F10645" s="550"/>
      <c r="G10645" s="550"/>
      <c r="H10645" s="550"/>
      <c r="I10645" s="550"/>
      <c r="J10645" s="702"/>
      <c r="K10645" s="63" t="s">
        <v>1786</v>
      </c>
    </row>
    <row r="10646" spans="2:11">
      <c r="B10646" s="803" t="s">
        <v>436</v>
      </c>
      <c r="C10646" s="325" t="s">
        <v>1798</v>
      </c>
      <c r="D10646" s="272">
        <v>2130</v>
      </c>
      <c r="E10646" s="550"/>
      <c r="F10646" s="550"/>
      <c r="G10646" s="550"/>
      <c r="H10646" s="550"/>
      <c r="I10646" s="550"/>
      <c r="J10646" s="702"/>
      <c r="K10646" s="63" t="s">
        <v>1786</v>
      </c>
    </row>
    <row r="10647" spans="2:11">
      <c r="B10647" s="803" t="s">
        <v>436</v>
      </c>
      <c r="C10647" s="325" t="s">
        <v>1799</v>
      </c>
      <c r="D10647" s="272">
        <v>2150</v>
      </c>
      <c r="E10647" s="550"/>
      <c r="F10647" s="550"/>
      <c r="G10647" s="550"/>
      <c r="H10647" s="550"/>
      <c r="I10647" s="550"/>
      <c r="J10647" s="702"/>
      <c r="K10647" s="63" t="s">
        <v>1786</v>
      </c>
    </row>
    <row r="10648" spans="2:11">
      <c r="B10648" s="803" t="s">
        <v>436</v>
      </c>
      <c r="C10648" s="325" t="s">
        <v>1800</v>
      </c>
      <c r="D10648" s="272">
        <v>2164</v>
      </c>
      <c r="E10648" s="550"/>
      <c r="F10648" s="550"/>
      <c r="G10648" s="550"/>
      <c r="H10648" s="550"/>
      <c r="I10648" s="550"/>
      <c r="J10648" s="702"/>
      <c r="K10648" s="63" t="s">
        <v>1786</v>
      </c>
    </row>
    <row r="10649" spans="2:11">
      <c r="B10649" s="803" t="s">
        <v>436</v>
      </c>
      <c r="C10649" s="325" t="s">
        <v>1801</v>
      </c>
      <c r="D10649" s="272">
        <v>2170</v>
      </c>
      <c r="E10649" s="550"/>
      <c r="F10649" s="550"/>
      <c r="G10649" s="550"/>
      <c r="H10649" s="550"/>
      <c r="I10649" s="550"/>
      <c r="J10649" s="702"/>
      <c r="K10649" s="63" t="s">
        <v>1786</v>
      </c>
    </row>
    <row r="10650" spans="2:11">
      <c r="B10650" s="803" t="s">
        <v>436</v>
      </c>
      <c r="C10650" s="325" t="s">
        <v>1802</v>
      </c>
      <c r="D10650" s="272">
        <v>2180</v>
      </c>
      <c r="E10650" s="550"/>
      <c r="F10650" s="550"/>
      <c r="G10650" s="550"/>
      <c r="H10650" s="550"/>
      <c r="I10650" s="550"/>
      <c r="J10650" s="702"/>
      <c r="K10650" s="63" t="s">
        <v>1786</v>
      </c>
    </row>
    <row r="10651" spans="2:11">
      <c r="B10651" s="803" t="s">
        <v>436</v>
      </c>
      <c r="C10651" s="325" t="s">
        <v>1803</v>
      </c>
      <c r="D10651" s="272">
        <v>2185</v>
      </c>
      <c r="E10651" s="550"/>
      <c r="F10651" s="550"/>
      <c r="G10651" s="550"/>
      <c r="H10651" s="550"/>
      <c r="I10651" s="550"/>
      <c r="J10651" s="702"/>
      <c r="K10651" s="63" t="s">
        <v>1786</v>
      </c>
    </row>
    <row r="10652" spans="2:11">
      <c r="B10652" s="803" t="s">
        <v>436</v>
      </c>
      <c r="C10652" s="325" t="s">
        <v>1804</v>
      </c>
      <c r="D10652" s="272">
        <v>2188</v>
      </c>
      <c r="E10652" s="550"/>
      <c r="F10652" s="550"/>
      <c r="G10652" s="550"/>
      <c r="H10652" s="550"/>
      <c r="I10652" s="550"/>
      <c r="J10652" s="702"/>
      <c r="K10652" s="63" t="s">
        <v>1786</v>
      </c>
    </row>
    <row r="10653" spans="2:11">
      <c r="B10653" s="803" t="s">
        <v>436</v>
      </c>
      <c r="C10653" s="325" t="s">
        <v>1805</v>
      </c>
      <c r="D10653" s="272">
        <v>2195</v>
      </c>
      <c r="E10653" s="550"/>
      <c r="F10653" s="550"/>
      <c r="G10653" s="550"/>
      <c r="H10653" s="550"/>
      <c r="I10653" s="550"/>
      <c r="J10653" s="702"/>
      <c r="K10653" s="63" t="s">
        <v>1786</v>
      </c>
    </row>
    <row r="10654" spans="2:11">
      <c r="B10654" s="803" t="s">
        <v>436</v>
      </c>
      <c r="C10654" s="325" t="s">
        <v>1806</v>
      </c>
      <c r="D10654" s="272">
        <v>2198</v>
      </c>
      <c r="E10654" s="550"/>
      <c r="F10654" s="550"/>
      <c r="G10654" s="550"/>
      <c r="H10654" s="550"/>
      <c r="I10654" s="550"/>
      <c r="J10654" s="702"/>
      <c r="K10654" s="63" t="s">
        <v>1786</v>
      </c>
    </row>
    <row r="10655" spans="2:11">
      <c r="B10655" s="803" t="s">
        <v>436</v>
      </c>
      <c r="C10655" s="325" t="s">
        <v>1807</v>
      </c>
      <c r="D10655" s="272">
        <v>2220</v>
      </c>
      <c r="E10655" s="550"/>
      <c r="F10655" s="550"/>
      <c r="G10655" s="550"/>
      <c r="H10655" s="550"/>
      <c r="I10655" s="550"/>
      <c r="J10655" s="702"/>
      <c r="K10655" s="63" t="s">
        <v>1786</v>
      </c>
    </row>
    <row r="10656" spans="2:11">
      <c r="B10656" s="803" t="s">
        <v>436</v>
      </c>
      <c r="C10656" s="325" t="s">
        <v>1808</v>
      </c>
      <c r="D10656" s="272">
        <v>2230</v>
      </c>
      <c r="E10656" s="550"/>
      <c r="F10656" s="550"/>
      <c r="G10656" s="550"/>
      <c r="H10656" s="550"/>
      <c r="I10656" s="550"/>
      <c r="J10656" s="702"/>
      <c r="K10656" s="63" t="s">
        <v>1786</v>
      </c>
    </row>
    <row r="10657" spans="2:11">
      <c r="B10657" s="803" t="s">
        <v>436</v>
      </c>
      <c r="C10657" s="325" t="s">
        <v>1809</v>
      </c>
      <c r="D10657" s="272">
        <v>2240</v>
      </c>
      <c r="E10657" s="550"/>
      <c r="F10657" s="550"/>
      <c r="G10657" s="550"/>
      <c r="H10657" s="550"/>
      <c r="I10657" s="550"/>
      <c r="J10657" s="702"/>
      <c r="K10657" s="63" t="s">
        <v>1786</v>
      </c>
    </row>
    <row r="10658" spans="2:11">
      <c r="B10658" s="803" t="s">
        <v>436</v>
      </c>
      <c r="C10658" s="325" t="s">
        <v>1810</v>
      </c>
      <c r="D10658" s="272">
        <v>2261</v>
      </c>
      <c r="E10658" s="550"/>
      <c r="F10658" s="550"/>
      <c r="G10658" s="550"/>
      <c r="H10658" s="550"/>
      <c r="I10658" s="550"/>
      <c r="J10658" s="702"/>
      <c r="K10658" s="63" t="s">
        <v>1786</v>
      </c>
    </row>
    <row r="10659" spans="2:11">
      <c r="B10659" s="803" t="s">
        <v>436</v>
      </c>
      <c r="C10659" s="325" t="s">
        <v>1811</v>
      </c>
      <c r="D10659" s="272">
        <v>2270</v>
      </c>
      <c r="E10659" s="550"/>
      <c r="F10659" s="550"/>
      <c r="G10659" s="550"/>
      <c r="H10659" s="550"/>
      <c r="I10659" s="550"/>
      <c r="J10659" s="702"/>
      <c r="K10659" s="63" t="s">
        <v>1786</v>
      </c>
    </row>
    <row r="10660" spans="2:11">
      <c r="B10660" s="803" t="s">
        <v>436</v>
      </c>
      <c r="C10660" s="325" t="s">
        <v>1812</v>
      </c>
      <c r="D10660" s="272">
        <v>2275</v>
      </c>
      <c r="E10660" s="550"/>
      <c r="F10660" s="550"/>
      <c r="G10660" s="550"/>
      <c r="H10660" s="550"/>
      <c r="I10660" s="550"/>
      <c r="J10660" s="702"/>
      <c r="K10660" s="63" t="s">
        <v>1786</v>
      </c>
    </row>
    <row r="10661" spans="2:11">
      <c r="B10661" s="803" t="s">
        <v>436</v>
      </c>
      <c r="C10661" s="325" t="s">
        <v>1813</v>
      </c>
      <c r="D10661" s="272">
        <v>2282</v>
      </c>
      <c r="E10661" s="550"/>
      <c r="F10661" s="550"/>
      <c r="G10661" s="550"/>
      <c r="H10661" s="550"/>
      <c r="I10661" s="550"/>
      <c r="J10661" s="702"/>
      <c r="K10661" s="63" t="s">
        <v>1786</v>
      </c>
    </row>
    <row r="10662" spans="2:11">
      <c r="B10662" s="803" t="s">
        <v>436</v>
      </c>
      <c r="C10662" s="325" t="s">
        <v>1814</v>
      </c>
      <c r="D10662" s="272">
        <v>2290</v>
      </c>
      <c r="E10662" s="550"/>
      <c r="F10662" s="550"/>
      <c r="G10662" s="550"/>
      <c r="H10662" s="550"/>
      <c r="I10662" s="550"/>
      <c r="J10662" s="702"/>
      <c r="K10662" s="63" t="s">
        <v>1786</v>
      </c>
    </row>
    <row r="10663" spans="2:11">
      <c r="B10663" s="1230" t="s">
        <v>437</v>
      </c>
      <c r="C10663" s="132" t="s">
        <v>1815</v>
      </c>
      <c r="D10663" s="255">
        <v>4001</v>
      </c>
      <c r="E10663" s="553">
        <v>96.37</v>
      </c>
      <c r="F10663" s="553">
        <v>991.66</v>
      </c>
      <c r="G10663" s="553">
        <v>357.21</v>
      </c>
      <c r="H10663" s="553">
        <v>99.18</v>
      </c>
      <c r="I10663" s="553">
        <v>638.01</v>
      </c>
      <c r="J10663" s="647">
        <v>946</v>
      </c>
    </row>
    <row r="10664" spans="2:11">
      <c r="B10664" s="1230" t="s">
        <v>437</v>
      </c>
      <c r="C10664" s="132" t="s">
        <v>1816</v>
      </c>
      <c r="D10664" s="255">
        <v>4003</v>
      </c>
      <c r="E10664" s="553">
        <v>88.47</v>
      </c>
      <c r="F10664" s="553">
        <v>927.52</v>
      </c>
      <c r="G10664" s="553">
        <v>303.35000000000002</v>
      </c>
      <c r="H10664" s="553">
        <v>92.63</v>
      </c>
      <c r="I10664" s="553">
        <v>797.05</v>
      </c>
      <c r="J10664" s="647">
        <v>747.28</v>
      </c>
    </row>
    <row r="10665" spans="2:11">
      <c r="B10665" s="1230" t="s">
        <v>437</v>
      </c>
      <c r="C10665" s="132" t="s">
        <v>1817</v>
      </c>
      <c r="D10665" s="255">
        <v>4005</v>
      </c>
      <c r="E10665" s="553">
        <v>96.83</v>
      </c>
      <c r="F10665" s="553">
        <v>1042.3599999999999</v>
      </c>
      <c r="G10665" s="553">
        <v>328.35</v>
      </c>
      <c r="H10665" s="553">
        <v>103.82</v>
      </c>
      <c r="I10665" s="553">
        <v>713.12</v>
      </c>
      <c r="J10665" s="647">
        <v>938.44</v>
      </c>
    </row>
    <row r="10666" spans="2:11">
      <c r="B10666" s="1230" t="s">
        <v>437</v>
      </c>
      <c r="C10666" s="132" t="s">
        <v>1818</v>
      </c>
      <c r="D10666" s="255">
        <v>4007</v>
      </c>
      <c r="E10666" s="553">
        <v>271.7</v>
      </c>
      <c r="F10666" s="553">
        <v>3326.29</v>
      </c>
      <c r="G10666" s="553">
        <v>669.68</v>
      </c>
      <c r="H10666" s="553">
        <v>328.25</v>
      </c>
      <c r="I10666" s="553">
        <v>464.3</v>
      </c>
      <c r="J10666" s="647">
        <v>1406.76</v>
      </c>
    </row>
    <row r="10667" spans="2:11">
      <c r="B10667" s="1230" t="s">
        <v>437</v>
      </c>
      <c r="C10667" s="132" t="s">
        <v>1819</v>
      </c>
      <c r="D10667" s="255">
        <v>4009</v>
      </c>
      <c r="E10667" s="553">
        <v>82.05</v>
      </c>
      <c r="F10667" s="553">
        <v>814.35</v>
      </c>
      <c r="G10667" s="553">
        <v>308.55</v>
      </c>
      <c r="H10667" s="553">
        <v>81.83</v>
      </c>
      <c r="I10667" s="553">
        <v>520.75</v>
      </c>
      <c r="J10667" s="647">
        <v>725.46</v>
      </c>
    </row>
    <row r="10668" spans="2:11">
      <c r="B10668" s="1230" t="s">
        <v>437</v>
      </c>
      <c r="C10668" s="132" t="s">
        <v>1820</v>
      </c>
      <c r="D10668" s="255">
        <v>4011</v>
      </c>
      <c r="E10668" s="553">
        <v>96.68</v>
      </c>
      <c r="F10668" s="553">
        <v>858.62</v>
      </c>
      <c r="G10668" s="553">
        <v>309.38</v>
      </c>
      <c r="H10668" s="553">
        <v>87.19</v>
      </c>
      <c r="I10668" s="553">
        <v>738.87</v>
      </c>
      <c r="J10668" s="647">
        <v>734.44</v>
      </c>
    </row>
    <row r="10669" spans="2:11">
      <c r="B10669" s="1230" t="s">
        <v>437</v>
      </c>
      <c r="C10669" s="132" t="s">
        <v>1821</v>
      </c>
      <c r="D10669" s="255">
        <v>4012</v>
      </c>
      <c r="E10669" s="553">
        <v>145.81</v>
      </c>
      <c r="F10669" s="553">
        <v>1704.21</v>
      </c>
      <c r="G10669" s="553">
        <v>203.61</v>
      </c>
      <c r="H10669" s="553">
        <v>168.81</v>
      </c>
      <c r="I10669" s="553">
        <v>1189.8800000000001</v>
      </c>
      <c r="J10669" s="647">
        <v>2026.4</v>
      </c>
    </row>
    <row r="10670" spans="2:11">
      <c r="B10670" s="1230" t="s">
        <v>437</v>
      </c>
      <c r="C10670" s="132" t="s">
        <v>1822</v>
      </c>
      <c r="D10670" s="255">
        <v>4013</v>
      </c>
      <c r="E10670" s="553">
        <v>559.16999999999996</v>
      </c>
      <c r="F10670" s="553">
        <v>7096.77</v>
      </c>
      <c r="G10670" s="553">
        <v>1418.19</v>
      </c>
      <c r="H10670" s="553">
        <v>698.74</v>
      </c>
      <c r="I10670" s="553">
        <v>1328.41</v>
      </c>
      <c r="J10670" s="647">
        <v>2692.09</v>
      </c>
    </row>
    <row r="10671" spans="2:11">
      <c r="B10671" s="1230" t="s">
        <v>437</v>
      </c>
      <c r="C10671" s="132" t="s">
        <v>1823</v>
      </c>
      <c r="D10671" s="255">
        <v>4015</v>
      </c>
      <c r="E10671" s="553">
        <v>104.85</v>
      </c>
      <c r="F10671" s="553">
        <v>1173.0999999999999</v>
      </c>
      <c r="G10671" s="553">
        <v>166.29</v>
      </c>
      <c r="H10671" s="553">
        <v>116.62</v>
      </c>
      <c r="I10671" s="553">
        <v>1625.39</v>
      </c>
      <c r="J10671" s="647">
        <v>661.06</v>
      </c>
    </row>
    <row r="10672" spans="2:11">
      <c r="B10672" s="1230" t="s">
        <v>437</v>
      </c>
      <c r="C10672" s="132" t="s">
        <v>1824</v>
      </c>
      <c r="D10672" s="255">
        <v>4017</v>
      </c>
      <c r="E10672" s="553">
        <v>90.99</v>
      </c>
      <c r="F10672" s="553">
        <v>944.71</v>
      </c>
      <c r="G10672" s="553">
        <v>341.04</v>
      </c>
      <c r="H10672" s="553">
        <v>94.42</v>
      </c>
      <c r="I10672" s="553">
        <v>579.97</v>
      </c>
      <c r="J10672" s="647">
        <v>904.97</v>
      </c>
    </row>
    <row r="10673" spans="2:10">
      <c r="B10673" s="1230" t="s">
        <v>437</v>
      </c>
      <c r="C10673" s="132" t="s">
        <v>1825</v>
      </c>
      <c r="D10673" s="255">
        <v>4019</v>
      </c>
      <c r="E10673" s="553">
        <v>211.62</v>
      </c>
      <c r="F10673" s="553">
        <v>2623.41</v>
      </c>
      <c r="G10673" s="553">
        <v>556.02</v>
      </c>
      <c r="H10673" s="553">
        <v>258.68</v>
      </c>
      <c r="I10673" s="553">
        <v>1281.21</v>
      </c>
      <c r="J10673" s="647">
        <v>1227.22</v>
      </c>
    </row>
    <row r="10674" spans="2:10">
      <c r="B10674" s="1230" t="s">
        <v>437</v>
      </c>
      <c r="C10674" s="132" t="s">
        <v>1826</v>
      </c>
      <c r="D10674" s="255">
        <v>4021</v>
      </c>
      <c r="E10674" s="553">
        <v>350.5</v>
      </c>
      <c r="F10674" s="553">
        <v>4369.97</v>
      </c>
      <c r="G10674" s="553">
        <v>847.03</v>
      </c>
      <c r="H10674" s="553">
        <v>430.76</v>
      </c>
      <c r="I10674" s="553">
        <v>460.23</v>
      </c>
      <c r="J10674" s="647">
        <v>1540.1</v>
      </c>
    </row>
    <row r="10675" spans="2:10">
      <c r="B10675" s="1230" t="s">
        <v>437</v>
      </c>
      <c r="C10675" s="132" t="s">
        <v>1827</v>
      </c>
      <c r="D10675" s="255">
        <v>4023</v>
      </c>
      <c r="E10675" s="553">
        <v>138.19999999999999</v>
      </c>
      <c r="F10675" s="553">
        <v>1581.84</v>
      </c>
      <c r="G10675" s="553">
        <v>285.14999999999998</v>
      </c>
      <c r="H10675" s="553">
        <v>157</v>
      </c>
      <c r="I10675" s="553">
        <v>2169.66</v>
      </c>
      <c r="J10675" s="647">
        <v>832.88</v>
      </c>
    </row>
    <row r="10676" spans="2:10">
      <c r="B10676" s="1230" t="s">
        <v>437</v>
      </c>
      <c r="C10676" s="132" t="s">
        <v>1828</v>
      </c>
      <c r="D10676" s="255">
        <v>4025</v>
      </c>
      <c r="E10676" s="553">
        <v>108.92</v>
      </c>
      <c r="F10676" s="553">
        <v>1212.44</v>
      </c>
      <c r="G10676" s="553">
        <v>331.37</v>
      </c>
      <c r="H10676" s="553">
        <v>120.48</v>
      </c>
      <c r="I10676" s="553">
        <v>862.54</v>
      </c>
      <c r="J10676" s="647">
        <v>927.41</v>
      </c>
    </row>
    <row r="10677" spans="2:10">
      <c r="B10677" s="1230" t="s">
        <v>437</v>
      </c>
      <c r="C10677" s="132" t="s">
        <v>1829</v>
      </c>
      <c r="D10677" s="255">
        <v>4027</v>
      </c>
      <c r="E10677" s="553">
        <v>145.41</v>
      </c>
      <c r="F10677" s="553">
        <v>1459.7</v>
      </c>
      <c r="G10677" s="553">
        <v>238.42</v>
      </c>
      <c r="H10677" s="553">
        <v>146.38999999999999</v>
      </c>
      <c r="I10677" s="553">
        <v>742.48</v>
      </c>
      <c r="J10677" s="647">
        <v>1944.29</v>
      </c>
    </row>
    <row r="10678" spans="2:10">
      <c r="B10678" s="1230" t="s">
        <v>438</v>
      </c>
      <c r="C10678" s="132" t="s">
        <v>438</v>
      </c>
      <c r="D10678" s="255">
        <v>5001</v>
      </c>
      <c r="E10678" s="553">
        <v>180.64</v>
      </c>
      <c r="F10678" s="553">
        <v>2425.3000000000002</v>
      </c>
      <c r="G10678" s="553">
        <v>506.21</v>
      </c>
      <c r="H10678" s="553">
        <v>237.53</v>
      </c>
      <c r="I10678" s="553">
        <v>897.23</v>
      </c>
      <c r="J10678" s="647">
        <v>1899.62</v>
      </c>
    </row>
    <row r="10679" spans="2:10">
      <c r="B10679" s="1230" t="s">
        <v>438</v>
      </c>
      <c r="C10679" s="132" t="s">
        <v>1830</v>
      </c>
      <c r="D10679" s="255">
        <v>5003</v>
      </c>
      <c r="E10679" s="553">
        <v>145.4</v>
      </c>
      <c r="F10679" s="553">
        <v>1969.71</v>
      </c>
      <c r="G10679" s="553">
        <v>408.71</v>
      </c>
      <c r="H10679" s="553">
        <v>192.71</v>
      </c>
      <c r="I10679" s="553">
        <v>799.57</v>
      </c>
      <c r="J10679" s="647">
        <v>1661.51</v>
      </c>
    </row>
    <row r="10680" spans="2:10">
      <c r="B10680" s="1230" t="s">
        <v>438</v>
      </c>
      <c r="C10680" s="132" t="s">
        <v>1831</v>
      </c>
      <c r="D10680" s="255">
        <v>5005</v>
      </c>
      <c r="E10680" s="553">
        <v>154.19</v>
      </c>
      <c r="F10680" s="553">
        <v>2159.89</v>
      </c>
      <c r="G10680" s="553">
        <v>525.16999999999996</v>
      </c>
      <c r="H10680" s="553">
        <v>210.84</v>
      </c>
      <c r="I10680" s="553">
        <v>1013.78</v>
      </c>
      <c r="J10680" s="647">
        <v>1844.67</v>
      </c>
    </row>
    <row r="10681" spans="2:10">
      <c r="B10681" s="1230" t="s">
        <v>438</v>
      </c>
      <c r="C10681" s="132" t="s">
        <v>1832</v>
      </c>
      <c r="D10681" s="255">
        <v>5007</v>
      </c>
      <c r="E10681" s="553">
        <v>217.6</v>
      </c>
      <c r="F10681" s="553">
        <v>2955.96</v>
      </c>
      <c r="G10681" s="553">
        <v>700.85</v>
      </c>
      <c r="H10681" s="553">
        <v>289.22000000000003</v>
      </c>
      <c r="I10681" s="553">
        <v>721.46</v>
      </c>
      <c r="J10681" s="647">
        <v>2010.35</v>
      </c>
    </row>
    <row r="10682" spans="2:10">
      <c r="B10682" s="1230" t="s">
        <v>438</v>
      </c>
      <c r="C10682" s="132" t="s">
        <v>1833</v>
      </c>
      <c r="D10682" s="255">
        <v>5009</v>
      </c>
      <c r="E10682" s="553">
        <v>152.82</v>
      </c>
      <c r="F10682" s="553">
        <v>2056.7600000000002</v>
      </c>
      <c r="G10682" s="553">
        <v>537.32000000000005</v>
      </c>
      <c r="H10682" s="553">
        <v>201.38</v>
      </c>
      <c r="I10682" s="553">
        <v>909.14</v>
      </c>
      <c r="J10682" s="647">
        <v>1815.04</v>
      </c>
    </row>
    <row r="10683" spans="2:10">
      <c r="B10683" s="1230" t="s">
        <v>438</v>
      </c>
      <c r="C10683" s="132" t="s">
        <v>1834</v>
      </c>
      <c r="D10683" s="255">
        <v>5011</v>
      </c>
      <c r="E10683" s="553">
        <v>124.17</v>
      </c>
      <c r="F10683" s="553">
        <v>1617.36</v>
      </c>
      <c r="G10683" s="553">
        <v>384.39</v>
      </c>
      <c r="H10683" s="553">
        <v>158.62</v>
      </c>
      <c r="I10683" s="553">
        <v>773.53</v>
      </c>
      <c r="J10683" s="647">
        <v>1548.93</v>
      </c>
    </row>
    <row r="10684" spans="2:10">
      <c r="B10684" s="1230" t="s">
        <v>438</v>
      </c>
      <c r="C10684" s="132" t="s">
        <v>1726</v>
      </c>
      <c r="D10684" s="255">
        <v>5013</v>
      </c>
      <c r="E10684" s="553">
        <v>164.78</v>
      </c>
      <c r="F10684" s="553">
        <v>2285.71</v>
      </c>
      <c r="G10684" s="553">
        <v>456.75</v>
      </c>
      <c r="H10684" s="553">
        <v>223.16</v>
      </c>
      <c r="I10684" s="553">
        <v>756.29</v>
      </c>
      <c r="J10684" s="647">
        <v>1723.07</v>
      </c>
    </row>
    <row r="10685" spans="2:10">
      <c r="B10685" s="1230" t="s">
        <v>438</v>
      </c>
      <c r="C10685" s="132" t="s">
        <v>1835</v>
      </c>
      <c r="D10685" s="255">
        <v>5015</v>
      </c>
      <c r="E10685" s="553">
        <v>150.32</v>
      </c>
      <c r="F10685" s="553">
        <v>1982.27</v>
      </c>
      <c r="G10685" s="553">
        <v>549</v>
      </c>
      <c r="H10685" s="553">
        <v>194.33</v>
      </c>
      <c r="I10685" s="553">
        <v>819.98</v>
      </c>
      <c r="J10685" s="647">
        <v>1777</v>
      </c>
    </row>
    <row r="10686" spans="2:10">
      <c r="B10686" s="1230" t="s">
        <v>438</v>
      </c>
      <c r="C10686" s="132" t="s">
        <v>1836</v>
      </c>
      <c r="D10686" s="255">
        <v>5017</v>
      </c>
      <c r="E10686" s="553">
        <v>127.51</v>
      </c>
      <c r="F10686" s="553">
        <v>1831.61</v>
      </c>
      <c r="G10686" s="553">
        <v>416.94</v>
      </c>
      <c r="H10686" s="553">
        <v>178.54</v>
      </c>
      <c r="I10686" s="553">
        <v>590.54</v>
      </c>
      <c r="J10686" s="647">
        <v>1379.05</v>
      </c>
    </row>
    <row r="10687" spans="2:10">
      <c r="B10687" s="1230" t="s">
        <v>438</v>
      </c>
      <c r="C10687" s="132" t="s">
        <v>1837</v>
      </c>
      <c r="D10687" s="255">
        <v>5019</v>
      </c>
      <c r="E10687" s="553">
        <v>158.69</v>
      </c>
      <c r="F10687" s="553">
        <v>2168.2399999999998</v>
      </c>
      <c r="G10687" s="553">
        <v>494.78</v>
      </c>
      <c r="H10687" s="553">
        <v>211.98</v>
      </c>
      <c r="I10687" s="553">
        <v>705.99</v>
      </c>
      <c r="J10687" s="647">
        <v>1740.5</v>
      </c>
    </row>
    <row r="10688" spans="2:10">
      <c r="B10688" s="1230" t="s">
        <v>438</v>
      </c>
      <c r="C10688" s="132" t="s">
        <v>1732</v>
      </c>
      <c r="D10688" s="255">
        <v>5021</v>
      </c>
      <c r="E10688" s="553">
        <v>208.53</v>
      </c>
      <c r="F10688" s="553">
        <v>2928.72</v>
      </c>
      <c r="G10688" s="553">
        <v>583.29</v>
      </c>
      <c r="H10688" s="553">
        <v>285.87</v>
      </c>
      <c r="I10688" s="553">
        <v>1206.33</v>
      </c>
      <c r="J10688" s="647">
        <v>2029.38</v>
      </c>
    </row>
    <row r="10689" spans="2:10">
      <c r="B10689" s="1230" t="s">
        <v>438</v>
      </c>
      <c r="C10689" s="132" t="s">
        <v>1733</v>
      </c>
      <c r="D10689" s="255">
        <v>5023</v>
      </c>
      <c r="E10689" s="553">
        <v>145.22</v>
      </c>
      <c r="F10689" s="553">
        <v>2020.88</v>
      </c>
      <c r="G10689" s="553">
        <v>481.59</v>
      </c>
      <c r="H10689" s="553">
        <v>197.43</v>
      </c>
      <c r="I10689" s="553">
        <v>897.15</v>
      </c>
      <c r="J10689" s="647">
        <v>1680.61</v>
      </c>
    </row>
    <row r="10690" spans="2:10">
      <c r="B10690" s="1230" t="s">
        <v>438</v>
      </c>
      <c r="C10690" s="132" t="s">
        <v>1838</v>
      </c>
      <c r="D10690" s="255">
        <v>5025</v>
      </c>
      <c r="E10690" s="553">
        <v>124.94</v>
      </c>
      <c r="F10690" s="553">
        <v>1633.46</v>
      </c>
      <c r="G10690" s="553">
        <v>409.18</v>
      </c>
      <c r="H10690" s="553">
        <v>160.26</v>
      </c>
      <c r="I10690" s="553">
        <v>812.67</v>
      </c>
      <c r="J10690" s="647">
        <v>1573.71</v>
      </c>
    </row>
    <row r="10691" spans="2:10">
      <c r="B10691" s="1230" t="s">
        <v>438</v>
      </c>
      <c r="C10691" s="132" t="s">
        <v>1839</v>
      </c>
      <c r="D10691" s="255">
        <v>5027</v>
      </c>
      <c r="E10691" s="553">
        <v>151.15</v>
      </c>
      <c r="F10691" s="553">
        <v>1994.56</v>
      </c>
      <c r="G10691" s="553">
        <v>615.21</v>
      </c>
      <c r="H10691" s="553">
        <v>195.49</v>
      </c>
      <c r="I10691" s="553">
        <v>622.14</v>
      </c>
      <c r="J10691" s="647">
        <v>893.17</v>
      </c>
    </row>
    <row r="10692" spans="2:10">
      <c r="B10692" s="1230" t="s">
        <v>438</v>
      </c>
      <c r="C10692" s="132" t="s">
        <v>1840</v>
      </c>
      <c r="D10692" s="255">
        <v>5029</v>
      </c>
      <c r="E10692" s="553">
        <v>179.63</v>
      </c>
      <c r="F10692" s="553">
        <v>2515.2199999999998</v>
      </c>
      <c r="G10692" s="553">
        <v>531.22</v>
      </c>
      <c r="H10692" s="553">
        <v>245.49</v>
      </c>
      <c r="I10692" s="553">
        <v>767.42</v>
      </c>
      <c r="J10692" s="647">
        <v>1792.78</v>
      </c>
    </row>
    <row r="10693" spans="2:10">
      <c r="B10693" s="1230" t="s">
        <v>438</v>
      </c>
      <c r="C10693" s="132" t="s">
        <v>1841</v>
      </c>
      <c r="D10693" s="255">
        <v>5031</v>
      </c>
      <c r="E10693" s="553">
        <v>226.7</v>
      </c>
      <c r="F10693" s="553">
        <v>3167.34</v>
      </c>
      <c r="G10693" s="553">
        <v>690.83</v>
      </c>
      <c r="H10693" s="553">
        <v>309.32</v>
      </c>
      <c r="I10693" s="553">
        <v>1106.6400000000001</v>
      </c>
      <c r="J10693" s="647">
        <v>2111.96</v>
      </c>
    </row>
    <row r="10694" spans="2:10">
      <c r="B10694" s="1230" t="s">
        <v>438</v>
      </c>
      <c r="C10694" s="132" t="s">
        <v>1842</v>
      </c>
      <c r="D10694" s="255">
        <v>5033</v>
      </c>
      <c r="E10694" s="553">
        <v>157.28</v>
      </c>
      <c r="F10694" s="553">
        <v>2061.16</v>
      </c>
      <c r="G10694" s="553">
        <v>532</v>
      </c>
      <c r="H10694" s="553">
        <v>202.2</v>
      </c>
      <c r="I10694" s="553">
        <v>699.12</v>
      </c>
      <c r="J10694" s="647">
        <v>1790.77</v>
      </c>
    </row>
    <row r="10695" spans="2:10">
      <c r="B10695" s="1230" t="s">
        <v>438</v>
      </c>
      <c r="C10695" s="132" t="s">
        <v>1843</v>
      </c>
      <c r="D10695" s="255">
        <v>5035</v>
      </c>
      <c r="E10695" s="553">
        <v>664.99</v>
      </c>
      <c r="F10695" s="553">
        <v>8760.75</v>
      </c>
      <c r="G10695" s="553">
        <v>944.89</v>
      </c>
      <c r="H10695" s="553">
        <v>859.06</v>
      </c>
      <c r="I10695" s="553">
        <v>1283.21</v>
      </c>
      <c r="J10695" s="647">
        <v>3530</v>
      </c>
    </row>
    <row r="10696" spans="2:10">
      <c r="B10696" s="1230" t="s">
        <v>438</v>
      </c>
      <c r="C10696" s="132" t="s">
        <v>1844</v>
      </c>
      <c r="D10696" s="255">
        <v>5037</v>
      </c>
      <c r="E10696" s="553">
        <v>201.68</v>
      </c>
      <c r="F10696" s="553">
        <v>2686.77</v>
      </c>
      <c r="G10696" s="553">
        <v>574.39</v>
      </c>
      <c r="H10696" s="553">
        <v>263.3</v>
      </c>
      <c r="I10696" s="553">
        <v>1057.1400000000001</v>
      </c>
      <c r="J10696" s="647">
        <v>1960.18</v>
      </c>
    </row>
    <row r="10697" spans="2:10">
      <c r="B10697" s="1230" t="s">
        <v>438</v>
      </c>
      <c r="C10697" s="132" t="s">
        <v>1742</v>
      </c>
      <c r="D10697" s="255">
        <v>5039</v>
      </c>
      <c r="E10697" s="553">
        <v>138.22999999999999</v>
      </c>
      <c r="F10697" s="553">
        <v>1823.34</v>
      </c>
      <c r="G10697" s="553">
        <v>415.48</v>
      </c>
      <c r="H10697" s="553">
        <v>178.69</v>
      </c>
      <c r="I10697" s="553">
        <v>1349.67</v>
      </c>
      <c r="J10697" s="647">
        <v>1608.36</v>
      </c>
    </row>
    <row r="10698" spans="2:10">
      <c r="B10698" s="1230" t="s">
        <v>438</v>
      </c>
      <c r="C10698" s="132" t="s">
        <v>1845</v>
      </c>
      <c r="D10698" s="255">
        <v>5041</v>
      </c>
      <c r="E10698" s="553">
        <v>144.57</v>
      </c>
      <c r="F10698" s="553">
        <v>1962.96</v>
      </c>
      <c r="G10698" s="553">
        <v>424.36</v>
      </c>
      <c r="H10698" s="553">
        <v>192.13</v>
      </c>
      <c r="I10698" s="553">
        <v>917.27</v>
      </c>
      <c r="J10698" s="647">
        <v>1703.37</v>
      </c>
    </row>
    <row r="10699" spans="2:10">
      <c r="B10699" s="1230" t="s">
        <v>438</v>
      </c>
      <c r="C10699" s="132" t="s">
        <v>1846</v>
      </c>
      <c r="D10699" s="255">
        <v>5043</v>
      </c>
      <c r="E10699" s="553">
        <v>147.82</v>
      </c>
      <c r="F10699" s="553">
        <v>1950.94</v>
      </c>
      <c r="G10699" s="553">
        <v>416.94</v>
      </c>
      <c r="H10699" s="553">
        <v>191.18</v>
      </c>
      <c r="I10699" s="553">
        <v>827.8</v>
      </c>
      <c r="J10699" s="647">
        <v>1676.28</v>
      </c>
    </row>
    <row r="10700" spans="2:10">
      <c r="B10700" s="1230" t="s">
        <v>438</v>
      </c>
      <c r="C10700" s="132" t="s">
        <v>1847</v>
      </c>
      <c r="D10700" s="255">
        <v>5045</v>
      </c>
      <c r="E10700" s="553">
        <v>203.34</v>
      </c>
      <c r="F10700" s="553">
        <v>2817.01</v>
      </c>
      <c r="G10700" s="553">
        <v>564.49</v>
      </c>
      <c r="H10700" s="553">
        <v>275.17</v>
      </c>
      <c r="I10700" s="553">
        <v>810.96</v>
      </c>
      <c r="J10700" s="647">
        <v>1921.43</v>
      </c>
    </row>
    <row r="10701" spans="2:10">
      <c r="B10701" s="1230" t="s">
        <v>438</v>
      </c>
      <c r="C10701" s="132" t="s">
        <v>1748</v>
      </c>
      <c r="D10701" s="255">
        <v>5047</v>
      </c>
      <c r="E10701" s="553">
        <v>165.64</v>
      </c>
      <c r="F10701" s="553">
        <v>2188.9899999999998</v>
      </c>
      <c r="G10701" s="553">
        <v>525.29</v>
      </c>
      <c r="H10701" s="553">
        <v>214.6</v>
      </c>
      <c r="I10701" s="553">
        <v>729.02</v>
      </c>
      <c r="J10701" s="647">
        <v>1834.13</v>
      </c>
    </row>
    <row r="10702" spans="2:10">
      <c r="B10702" s="1230" t="s">
        <v>438</v>
      </c>
      <c r="C10702" s="132" t="s">
        <v>1848</v>
      </c>
      <c r="D10702" s="255">
        <v>5049</v>
      </c>
      <c r="E10702" s="553">
        <v>152.15</v>
      </c>
      <c r="F10702" s="553">
        <v>2061.02</v>
      </c>
      <c r="G10702" s="553">
        <v>495.17</v>
      </c>
      <c r="H10702" s="553">
        <v>201.7</v>
      </c>
      <c r="I10702" s="553">
        <v>1048.57</v>
      </c>
      <c r="J10702" s="647">
        <v>1676.06</v>
      </c>
    </row>
    <row r="10703" spans="2:10">
      <c r="B10703" s="1230" t="s">
        <v>438</v>
      </c>
      <c r="C10703" s="132" t="s">
        <v>1849</v>
      </c>
      <c r="D10703" s="255">
        <v>5051</v>
      </c>
      <c r="E10703" s="553">
        <v>240.5</v>
      </c>
      <c r="F10703" s="553">
        <v>3608.06</v>
      </c>
      <c r="G10703" s="553">
        <v>635.58000000000004</v>
      </c>
      <c r="H10703" s="553">
        <v>350.48</v>
      </c>
      <c r="I10703" s="553">
        <v>711.05</v>
      </c>
      <c r="J10703" s="647">
        <v>2115.44</v>
      </c>
    </row>
    <row r="10704" spans="2:10">
      <c r="B10704" s="1230" t="s">
        <v>438</v>
      </c>
      <c r="C10704" s="132" t="s">
        <v>1850</v>
      </c>
      <c r="D10704" s="255">
        <v>5053</v>
      </c>
      <c r="E10704" s="553">
        <v>155.47</v>
      </c>
      <c r="F10704" s="553">
        <v>2061</v>
      </c>
      <c r="G10704" s="553">
        <v>450.46</v>
      </c>
      <c r="H10704" s="553">
        <v>201.94</v>
      </c>
      <c r="I10704" s="553">
        <v>1410.6</v>
      </c>
      <c r="J10704" s="647">
        <v>1691.03</v>
      </c>
    </row>
    <row r="10705" spans="2:10">
      <c r="B10705" s="1230" t="s">
        <v>438</v>
      </c>
      <c r="C10705" s="132" t="s">
        <v>1750</v>
      </c>
      <c r="D10705" s="255">
        <v>5055</v>
      </c>
      <c r="E10705" s="553">
        <v>213.37</v>
      </c>
      <c r="F10705" s="553">
        <v>2989.66</v>
      </c>
      <c r="G10705" s="553">
        <v>664.18</v>
      </c>
      <c r="H10705" s="553">
        <v>291.83999999999997</v>
      </c>
      <c r="I10705" s="553">
        <v>1150.3800000000001</v>
      </c>
      <c r="J10705" s="647">
        <v>2015.25</v>
      </c>
    </row>
    <row r="10706" spans="2:10">
      <c r="B10706" s="1230" t="s">
        <v>438</v>
      </c>
      <c r="C10706" s="132" t="s">
        <v>1851</v>
      </c>
      <c r="D10706" s="255">
        <v>5057</v>
      </c>
      <c r="E10706" s="553">
        <v>159.35</v>
      </c>
      <c r="F10706" s="553">
        <v>2059.2600000000002</v>
      </c>
      <c r="G10706" s="553">
        <v>636.54</v>
      </c>
      <c r="H10706" s="553">
        <v>202.15</v>
      </c>
      <c r="I10706" s="553">
        <v>545.73</v>
      </c>
      <c r="J10706" s="647">
        <v>876.42</v>
      </c>
    </row>
    <row r="10707" spans="2:10">
      <c r="B10707" s="1230" t="s">
        <v>438</v>
      </c>
      <c r="C10707" s="132" t="s">
        <v>1852</v>
      </c>
      <c r="D10707" s="255">
        <v>5059</v>
      </c>
      <c r="E10707" s="553">
        <v>217.49</v>
      </c>
      <c r="F10707" s="553">
        <v>3324.74</v>
      </c>
      <c r="G10707" s="553">
        <v>580.57000000000005</v>
      </c>
      <c r="H10707" s="553">
        <v>322.62</v>
      </c>
      <c r="I10707" s="553">
        <v>736.1</v>
      </c>
      <c r="J10707" s="647">
        <v>2004.22</v>
      </c>
    </row>
    <row r="10708" spans="2:10">
      <c r="B10708" s="1230" t="s">
        <v>438</v>
      </c>
      <c r="C10708" s="132" t="s">
        <v>1853</v>
      </c>
      <c r="D10708" s="255">
        <v>5061</v>
      </c>
      <c r="E10708" s="553">
        <v>147.18</v>
      </c>
      <c r="F10708" s="553">
        <v>1903.77</v>
      </c>
      <c r="G10708" s="553">
        <v>465.75</v>
      </c>
      <c r="H10708" s="553">
        <v>186.9</v>
      </c>
      <c r="I10708" s="553">
        <v>561.13</v>
      </c>
      <c r="J10708" s="647">
        <v>1594.12</v>
      </c>
    </row>
    <row r="10709" spans="2:10">
      <c r="B10709" s="1230" t="s">
        <v>438</v>
      </c>
      <c r="C10709" s="132" t="s">
        <v>1854</v>
      </c>
      <c r="D10709" s="255">
        <v>5063</v>
      </c>
      <c r="E10709" s="553">
        <v>155.12</v>
      </c>
      <c r="F10709" s="553">
        <v>2117.0500000000002</v>
      </c>
      <c r="G10709" s="553">
        <v>513.61</v>
      </c>
      <c r="H10709" s="553">
        <v>207.04</v>
      </c>
      <c r="I10709" s="553">
        <v>989.99</v>
      </c>
      <c r="J10709" s="647">
        <v>1755.18</v>
      </c>
    </row>
    <row r="10710" spans="2:10">
      <c r="B10710" s="1230" t="s">
        <v>438</v>
      </c>
      <c r="C10710" s="132" t="s">
        <v>1855</v>
      </c>
      <c r="D10710" s="255">
        <v>5065</v>
      </c>
      <c r="E10710" s="553">
        <v>149.03</v>
      </c>
      <c r="F10710" s="553">
        <v>2002.73</v>
      </c>
      <c r="G10710" s="553">
        <v>491.48</v>
      </c>
      <c r="H10710" s="553">
        <v>196.02</v>
      </c>
      <c r="I10710" s="553">
        <v>970.55</v>
      </c>
      <c r="J10710" s="647">
        <v>1661.54</v>
      </c>
    </row>
    <row r="10711" spans="2:10">
      <c r="B10711" s="1230" t="s">
        <v>438</v>
      </c>
      <c r="C10711" s="132" t="s">
        <v>1754</v>
      </c>
      <c r="D10711" s="255">
        <v>5067</v>
      </c>
      <c r="E10711" s="553">
        <v>164.86</v>
      </c>
      <c r="F10711" s="553">
        <v>2246.06</v>
      </c>
      <c r="G10711" s="553">
        <v>515.4</v>
      </c>
      <c r="H10711" s="553">
        <v>219.67</v>
      </c>
      <c r="I10711" s="553">
        <v>1011.72</v>
      </c>
      <c r="J10711" s="647">
        <v>1799.25</v>
      </c>
    </row>
    <row r="10712" spans="2:10">
      <c r="B10712" s="1230" t="s">
        <v>438</v>
      </c>
      <c r="C10712" s="132" t="s">
        <v>1755</v>
      </c>
      <c r="D10712" s="255">
        <v>5069</v>
      </c>
      <c r="E10712" s="553">
        <v>169.52</v>
      </c>
      <c r="F10712" s="553">
        <v>2295.25</v>
      </c>
      <c r="G10712" s="553">
        <v>522.63</v>
      </c>
      <c r="H10712" s="553">
        <v>224.53</v>
      </c>
      <c r="I10712" s="553">
        <v>847.03</v>
      </c>
      <c r="J10712" s="647">
        <v>1834.02</v>
      </c>
    </row>
    <row r="10713" spans="2:10">
      <c r="B10713" s="1230" t="s">
        <v>438</v>
      </c>
      <c r="C10713" s="132" t="s">
        <v>1856</v>
      </c>
      <c r="D10713" s="255">
        <v>5071</v>
      </c>
      <c r="E10713" s="553">
        <v>166.09</v>
      </c>
      <c r="F10713" s="553">
        <v>2294.3000000000002</v>
      </c>
      <c r="G10713" s="553">
        <v>552.09</v>
      </c>
      <c r="H10713" s="553">
        <v>224.21</v>
      </c>
      <c r="I10713" s="553">
        <v>700.65</v>
      </c>
      <c r="J10713" s="647">
        <v>1729.05</v>
      </c>
    </row>
    <row r="10714" spans="2:10">
      <c r="B10714" s="1230" t="s">
        <v>438</v>
      </c>
      <c r="C10714" s="132" t="s">
        <v>1857</v>
      </c>
      <c r="D10714" s="255">
        <v>5073</v>
      </c>
      <c r="E10714" s="553">
        <v>185.9</v>
      </c>
      <c r="F10714" s="553">
        <v>2474.88</v>
      </c>
      <c r="G10714" s="553">
        <v>649.20000000000005</v>
      </c>
      <c r="H10714" s="553">
        <v>242.43</v>
      </c>
      <c r="I10714" s="553">
        <v>559.86</v>
      </c>
      <c r="J10714" s="647">
        <v>909.87</v>
      </c>
    </row>
    <row r="10715" spans="2:10">
      <c r="B10715" s="1230" t="s">
        <v>438</v>
      </c>
      <c r="C10715" s="132" t="s">
        <v>1758</v>
      </c>
      <c r="D10715" s="255">
        <v>5075</v>
      </c>
      <c r="E10715" s="553">
        <v>159.34</v>
      </c>
      <c r="F10715" s="553">
        <v>2152.23</v>
      </c>
      <c r="G10715" s="553">
        <v>509.06</v>
      </c>
      <c r="H10715" s="553">
        <v>210.6</v>
      </c>
      <c r="I10715" s="553">
        <v>1095.94</v>
      </c>
      <c r="J10715" s="647">
        <v>1755.53</v>
      </c>
    </row>
    <row r="10716" spans="2:10">
      <c r="B10716" s="1230" t="s">
        <v>438</v>
      </c>
      <c r="C10716" s="132" t="s">
        <v>1759</v>
      </c>
      <c r="D10716" s="255">
        <v>5077</v>
      </c>
      <c r="E10716" s="553">
        <v>194.82</v>
      </c>
      <c r="F10716" s="553">
        <v>2528.54</v>
      </c>
      <c r="G10716" s="553">
        <v>517.62</v>
      </c>
      <c r="H10716" s="553">
        <v>248.14</v>
      </c>
      <c r="I10716" s="553">
        <v>1074.4100000000001</v>
      </c>
      <c r="J10716" s="647">
        <v>1929.79</v>
      </c>
    </row>
    <row r="10717" spans="2:10">
      <c r="B10717" s="1230" t="s">
        <v>438</v>
      </c>
      <c r="C10717" s="132" t="s">
        <v>1858</v>
      </c>
      <c r="D10717" s="255">
        <v>5079</v>
      </c>
      <c r="E10717" s="553">
        <v>177.47</v>
      </c>
      <c r="F10717" s="553">
        <v>2406.4299999999998</v>
      </c>
      <c r="G10717" s="553">
        <v>514.45000000000005</v>
      </c>
      <c r="H10717" s="553">
        <v>235.39</v>
      </c>
      <c r="I10717" s="553">
        <v>847.32</v>
      </c>
      <c r="J10717" s="647">
        <v>1791.05</v>
      </c>
    </row>
    <row r="10718" spans="2:10">
      <c r="B10718" s="1230" t="s">
        <v>438</v>
      </c>
      <c r="C10718" s="132" t="s">
        <v>1859</v>
      </c>
      <c r="D10718" s="255">
        <v>5081</v>
      </c>
      <c r="E10718" s="553">
        <v>160.31</v>
      </c>
      <c r="F10718" s="553">
        <v>2029.61</v>
      </c>
      <c r="G10718" s="553">
        <v>628.55999999999995</v>
      </c>
      <c r="H10718" s="553">
        <v>199.61</v>
      </c>
      <c r="I10718" s="553">
        <v>493.78</v>
      </c>
      <c r="J10718" s="647">
        <v>852.46</v>
      </c>
    </row>
    <row r="10719" spans="2:10">
      <c r="B10719" s="1230" t="s">
        <v>438</v>
      </c>
      <c r="C10719" s="132" t="s">
        <v>1860</v>
      </c>
      <c r="D10719" s="255">
        <v>5083</v>
      </c>
      <c r="E10719" s="553">
        <v>152.91999999999999</v>
      </c>
      <c r="F10719" s="553">
        <v>2074.2399999999998</v>
      </c>
      <c r="G10719" s="553">
        <v>520.79999999999995</v>
      </c>
      <c r="H10719" s="553">
        <v>202.82</v>
      </c>
      <c r="I10719" s="553">
        <v>641.66</v>
      </c>
      <c r="J10719" s="647">
        <v>1677.73</v>
      </c>
    </row>
    <row r="10720" spans="2:10">
      <c r="B10720" s="1230" t="s">
        <v>438</v>
      </c>
      <c r="C10720" s="132" t="s">
        <v>1861</v>
      </c>
      <c r="D10720" s="255">
        <v>5085</v>
      </c>
      <c r="E10720" s="553">
        <v>167.54</v>
      </c>
      <c r="F10720" s="553">
        <v>2263.71</v>
      </c>
      <c r="G10720" s="553">
        <v>555.72</v>
      </c>
      <c r="H10720" s="553">
        <v>221.5</v>
      </c>
      <c r="I10720" s="553">
        <v>845.63</v>
      </c>
      <c r="J10720" s="647">
        <v>1809.68</v>
      </c>
    </row>
    <row r="10721" spans="2:10">
      <c r="B10721" s="1230" t="s">
        <v>438</v>
      </c>
      <c r="C10721" s="132" t="s">
        <v>1763</v>
      </c>
      <c r="D10721" s="255">
        <v>5087</v>
      </c>
      <c r="E10721" s="553">
        <v>145.56</v>
      </c>
      <c r="F10721" s="553">
        <v>1901.39</v>
      </c>
      <c r="G10721" s="553">
        <v>541.39</v>
      </c>
      <c r="H10721" s="553">
        <v>186.54</v>
      </c>
      <c r="I10721" s="553">
        <v>786.08</v>
      </c>
      <c r="J10721" s="647">
        <v>1772.09</v>
      </c>
    </row>
    <row r="10722" spans="2:10">
      <c r="B10722" s="1230" t="s">
        <v>438</v>
      </c>
      <c r="C10722" s="132" t="s">
        <v>1765</v>
      </c>
      <c r="D10722" s="255">
        <v>5089</v>
      </c>
      <c r="E10722" s="553">
        <v>166.04</v>
      </c>
      <c r="F10722" s="553">
        <v>2353.5</v>
      </c>
      <c r="G10722" s="553">
        <v>542.63</v>
      </c>
      <c r="H10722" s="553">
        <v>229.57</v>
      </c>
      <c r="I10722" s="553">
        <v>970.43</v>
      </c>
      <c r="J10722" s="647">
        <v>1885.51</v>
      </c>
    </row>
    <row r="10723" spans="2:10">
      <c r="B10723" s="1230" t="s">
        <v>438</v>
      </c>
      <c r="C10723" s="132" t="s">
        <v>1862</v>
      </c>
      <c r="D10723" s="255">
        <v>5091</v>
      </c>
      <c r="E10723" s="553">
        <v>166.4</v>
      </c>
      <c r="F10723" s="553">
        <v>2176.3000000000002</v>
      </c>
      <c r="G10723" s="553">
        <v>643.21</v>
      </c>
      <c r="H10723" s="553">
        <v>213.45</v>
      </c>
      <c r="I10723" s="553">
        <v>530.1</v>
      </c>
      <c r="J10723" s="647">
        <v>886.22</v>
      </c>
    </row>
    <row r="10724" spans="2:10">
      <c r="B10724" s="1230" t="s">
        <v>438</v>
      </c>
      <c r="C10724" s="132" t="s">
        <v>462</v>
      </c>
      <c r="D10724" s="255">
        <v>5093</v>
      </c>
      <c r="E10724" s="553">
        <v>229.06</v>
      </c>
      <c r="F10724" s="553">
        <v>3024.12</v>
      </c>
      <c r="G10724" s="553">
        <v>496.6</v>
      </c>
      <c r="H10724" s="553">
        <v>296.49</v>
      </c>
      <c r="I10724" s="553">
        <v>1319.26</v>
      </c>
      <c r="J10724" s="647">
        <v>2097.06</v>
      </c>
    </row>
    <row r="10725" spans="2:10">
      <c r="B10725" s="1230" t="s">
        <v>438</v>
      </c>
      <c r="C10725" s="132" t="s">
        <v>1768</v>
      </c>
      <c r="D10725" s="255">
        <v>5095</v>
      </c>
      <c r="E10725" s="553">
        <v>147.81</v>
      </c>
      <c r="F10725" s="553">
        <v>1928.56</v>
      </c>
      <c r="G10725" s="553">
        <v>470.15</v>
      </c>
      <c r="H10725" s="553">
        <v>189.29</v>
      </c>
      <c r="I10725" s="553">
        <v>930.79</v>
      </c>
      <c r="J10725" s="647">
        <v>1751.16</v>
      </c>
    </row>
    <row r="10726" spans="2:10">
      <c r="B10726" s="1230" t="s">
        <v>438</v>
      </c>
      <c r="C10726" s="132" t="s">
        <v>1769</v>
      </c>
      <c r="D10726" s="255">
        <v>5097</v>
      </c>
      <c r="E10726" s="553">
        <v>127.42</v>
      </c>
      <c r="F10726" s="553">
        <v>1709.4</v>
      </c>
      <c r="G10726" s="553">
        <v>470.29</v>
      </c>
      <c r="H10726" s="553">
        <v>167.34</v>
      </c>
      <c r="I10726" s="553">
        <v>620.1</v>
      </c>
      <c r="J10726" s="647">
        <v>1584.38</v>
      </c>
    </row>
    <row r="10727" spans="2:10">
      <c r="B10727" s="1230" t="s">
        <v>438</v>
      </c>
      <c r="C10727" s="132" t="s">
        <v>466</v>
      </c>
      <c r="D10727" s="255">
        <v>5099</v>
      </c>
      <c r="E10727" s="553">
        <v>134.94999999999999</v>
      </c>
      <c r="F10727" s="553">
        <v>1810.08</v>
      </c>
      <c r="G10727" s="553">
        <v>438.89</v>
      </c>
      <c r="H10727" s="553">
        <v>177.27</v>
      </c>
      <c r="I10727" s="553">
        <v>669.33</v>
      </c>
      <c r="J10727" s="647">
        <v>1585.48</v>
      </c>
    </row>
    <row r="10728" spans="2:10">
      <c r="B10728" s="1230" t="s">
        <v>438</v>
      </c>
      <c r="C10728" s="132" t="s">
        <v>1863</v>
      </c>
      <c r="D10728" s="255">
        <v>5101</v>
      </c>
      <c r="E10728" s="553">
        <v>146.47999999999999</v>
      </c>
      <c r="F10728" s="553">
        <v>1934.91</v>
      </c>
      <c r="G10728" s="553">
        <v>531.61</v>
      </c>
      <c r="H10728" s="553">
        <v>189.73</v>
      </c>
      <c r="I10728" s="553">
        <v>843.07</v>
      </c>
      <c r="J10728" s="647">
        <v>1804.6</v>
      </c>
    </row>
    <row r="10729" spans="2:10">
      <c r="B10729" s="1230" t="s">
        <v>438</v>
      </c>
      <c r="C10729" s="132" t="s">
        <v>1864</v>
      </c>
      <c r="D10729" s="255">
        <v>5103</v>
      </c>
      <c r="E10729" s="553">
        <v>128.38</v>
      </c>
      <c r="F10729" s="553">
        <v>1722.97</v>
      </c>
      <c r="G10729" s="553">
        <v>423.57</v>
      </c>
      <c r="H10729" s="553">
        <v>168.62</v>
      </c>
      <c r="I10729" s="553">
        <v>735.93</v>
      </c>
      <c r="J10729" s="647">
        <v>1575.95</v>
      </c>
    </row>
    <row r="10730" spans="2:10">
      <c r="B10730" s="1230" t="s">
        <v>438</v>
      </c>
      <c r="C10730" s="132" t="s">
        <v>1771</v>
      </c>
      <c r="D10730" s="255">
        <v>5105</v>
      </c>
      <c r="E10730" s="553">
        <v>174.07</v>
      </c>
      <c r="F10730" s="553">
        <v>2374.8000000000002</v>
      </c>
      <c r="G10730" s="553">
        <v>514</v>
      </c>
      <c r="H10730" s="553">
        <v>232.26</v>
      </c>
      <c r="I10730" s="553">
        <v>733.97</v>
      </c>
      <c r="J10730" s="647">
        <v>1753.98</v>
      </c>
    </row>
    <row r="10731" spans="2:10">
      <c r="B10731" s="1230" t="s">
        <v>438</v>
      </c>
      <c r="C10731" s="132" t="s">
        <v>1865</v>
      </c>
      <c r="D10731" s="255">
        <v>5107</v>
      </c>
      <c r="E10731" s="553">
        <v>162.87</v>
      </c>
      <c r="F10731" s="553">
        <v>2202.91</v>
      </c>
      <c r="G10731" s="553">
        <v>537.74</v>
      </c>
      <c r="H10731" s="553">
        <v>215.59</v>
      </c>
      <c r="I10731" s="553">
        <v>1047.98</v>
      </c>
      <c r="J10731" s="647">
        <v>1809.3</v>
      </c>
    </row>
    <row r="10732" spans="2:10">
      <c r="B10732" s="1230" t="s">
        <v>438</v>
      </c>
      <c r="C10732" s="132" t="s">
        <v>1773</v>
      </c>
      <c r="D10732" s="255">
        <v>5109</v>
      </c>
      <c r="E10732" s="553">
        <v>133.43</v>
      </c>
      <c r="F10732" s="553">
        <v>1788.41</v>
      </c>
      <c r="G10732" s="553">
        <v>456.92</v>
      </c>
      <c r="H10732" s="553">
        <v>175.08</v>
      </c>
      <c r="I10732" s="553">
        <v>609.6</v>
      </c>
      <c r="J10732" s="647">
        <v>1586.47</v>
      </c>
    </row>
    <row r="10733" spans="2:10">
      <c r="B10733" s="1230" t="s">
        <v>438</v>
      </c>
      <c r="C10733" s="132" t="s">
        <v>1866</v>
      </c>
      <c r="D10733" s="255">
        <v>5111</v>
      </c>
      <c r="E10733" s="553">
        <v>216.51</v>
      </c>
      <c r="F10733" s="553">
        <v>2966.23</v>
      </c>
      <c r="G10733" s="553">
        <v>709.37</v>
      </c>
      <c r="H10733" s="553">
        <v>290.08</v>
      </c>
      <c r="I10733" s="553">
        <v>1090.82</v>
      </c>
      <c r="J10733" s="647">
        <v>2065.12</v>
      </c>
    </row>
    <row r="10734" spans="2:10">
      <c r="B10734" s="1230" t="s">
        <v>438</v>
      </c>
      <c r="C10734" s="132" t="s">
        <v>1867</v>
      </c>
      <c r="D10734" s="255">
        <v>5113</v>
      </c>
      <c r="E10734" s="553">
        <v>113.55</v>
      </c>
      <c r="F10734" s="553">
        <v>1512.56</v>
      </c>
      <c r="G10734" s="553">
        <v>452.38</v>
      </c>
      <c r="H10734" s="553">
        <v>148.08000000000001</v>
      </c>
      <c r="I10734" s="553">
        <v>556.91999999999996</v>
      </c>
      <c r="J10734" s="647">
        <v>1502.57</v>
      </c>
    </row>
    <row r="10735" spans="2:10">
      <c r="B10735" s="1230" t="s">
        <v>438</v>
      </c>
      <c r="C10735" s="132" t="s">
        <v>1868</v>
      </c>
      <c r="D10735" s="255">
        <v>5115</v>
      </c>
      <c r="E10735" s="553">
        <v>165.89</v>
      </c>
      <c r="F10735" s="553">
        <v>2299</v>
      </c>
      <c r="G10735" s="553">
        <v>563.09</v>
      </c>
      <c r="H10735" s="553">
        <v>224.56</v>
      </c>
      <c r="I10735" s="553">
        <v>742.97</v>
      </c>
      <c r="J10735" s="647">
        <v>1787.27</v>
      </c>
    </row>
    <row r="10736" spans="2:10">
      <c r="B10736" s="1230" t="s">
        <v>438</v>
      </c>
      <c r="C10736" s="132" t="s">
        <v>1869</v>
      </c>
      <c r="D10736" s="255">
        <v>5117</v>
      </c>
      <c r="E10736" s="553">
        <v>172.78</v>
      </c>
      <c r="F10736" s="553">
        <v>2309.9699999999998</v>
      </c>
      <c r="G10736" s="553">
        <v>520.39</v>
      </c>
      <c r="H10736" s="553">
        <v>226.22</v>
      </c>
      <c r="I10736" s="553">
        <v>889.23</v>
      </c>
      <c r="J10736" s="647">
        <v>1834.03</v>
      </c>
    </row>
    <row r="10737" spans="2:10">
      <c r="B10737" s="1230" t="s">
        <v>438</v>
      </c>
      <c r="C10737" s="132" t="s">
        <v>1870</v>
      </c>
      <c r="D10737" s="255">
        <v>5119</v>
      </c>
      <c r="E10737" s="553">
        <v>371.6</v>
      </c>
      <c r="F10737" s="553">
        <v>5202.38</v>
      </c>
      <c r="G10737" s="553">
        <v>808.87</v>
      </c>
      <c r="H10737" s="553">
        <v>507.74</v>
      </c>
      <c r="I10737" s="553">
        <v>809.66</v>
      </c>
      <c r="J10737" s="647">
        <v>2667.29</v>
      </c>
    </row>
    <row r="10738" spans="2:10">
      <c r="B10738" s="1230" t="s">
        <v>438</v>
      </c>
      <c r="C10738" s="132" t="s">
        <v>1774</v>
      </c>
      <c r="D10738" s="255">
        <v>5121</v>
      </c>
      <c r="E10738" s="553">
        <v>164.52</v>
      </c>
      <c r="F10738" s="553">
        <v>2236.36</v>
      </c>
      <c r="G10738" s="553">
        <v>516.21</v>
      </c>
      <c r="H10738" s="553">
        <v>218.76</v>
      </c>
      <c r="I10738" s="553">
        <v>1160.32</v>
      </c>
      <c r="J10738" s="647">
        <v>1770.49</v>
      </c>
    </row>
    <row r="10739" spans="2:10">
      <c r="B10739" s="1230" t="s">
        <v>438</v>
      </c>
      <c r="C10739" s="132" t="s">
        <v>1871</v>
      </c>
      <c r="D10739" s="255">
        <v>5123</v>
      </c>
      <c r="E10739" s="553">
        <v>197.15</v>
      </c>
      <c r="F10739" s="553">
        <v>2582.3000000000002</v>
      </c>
      <c r="G10739" s="553">
        <v>617.73</v>
      </c>
      <c r="H10739" s="553">
        <v>253.29</v>
      </c>
      <c r="I10739" s="553">
        <v>1054.83</v>
      </c>
      <c r="J10739" s="647">
        <v>1959.35</v>
      </c>
    </row>
    <row r="10740" spans="2:10">
      <c r="B10740" s="1230" t="s">
        <v>438</v>
      </c>
      <c r="C10740" s="132" t="s">
        <v>1872</v>
      </c>
      <c r="D10740" s="255">
        <v>5125</v>
      </c>
      <c r="E10740" s="553">
        <v>393.98</v>
      </c>
      <c r="F10740" s="553">
        <v>5749.13</v>
      </c>
      <c r="G10740" s="553">
        <v>841.92</v>
      </c>
      <c r="H10740" s="553">
        <v>559.42999999999995</v>
      </c>
      <c r="I10740" s="553">
        <v>788.42</v>
      </c>
      <c r="J10740" s="647">
        <v>2775.58</v>
      </c>
    </row>
    <row r="10741" spans="2:10">
      <c r="B10741" s="1230" t="s">
        <v>438</v>
      </c>
      <c r="C10741" s="132" t="s">
        <v>1873</v>
      </c>
      <c r="D10741" s="255">
        <v>5127</v>
      </c>
      <c r="E10741" s="553">
        <v>171.44</v>
      </c>
      <c r="F10741" s="553">
        <v>2356.79</v>
      </c>
      <c r="G10741" s="553">
        <v>550.53</v>
      </c>
      <c r="H10741" s="553">
        <v>230.3</v>
      </c>
      <c r="I10741" s="553">
        <v>586.57000000000005</v>
      </c>
      <c r="J10741" s="647">
        <v>1772.67</v>
      </c>
    </row>
    <row r="10742" spans="2:10">
      <c r="B10742" s="1230" t="s">
        <v>438</v>
      </c>
      <c r="C10742" s="132" t="s">
        <v>1874</v>
      </c>
      <c r="D10742" s="255">
        <v>5129</v>
      </c>
      <c r="E10742" s="553">
        <v>147.4</v>
      </c>
      <c r="F10742" s="553">
        <v>2034.78</v>
      </c>
      <c r="G10742" s="553">
        <v>508.6</v>
      </c>
      <c r="H10742" s="553">
        <v>198.77</v>
      </c>
      <c r="I10742" s="553">
        <v>838.16</v>
      </c>
      <c r="J10742" s="647">
        <v>1655.24</v>
      </c>
    </row>
    <row r="10743" spans="2:10">
      <c r="B10743" s="1230" t="s">
        <v>438</v>
      </c>
      <c r="C10743" s="132" t="s">
        <v>1875</v>
      </c>
      <c r="D10743" s="255">
        <v>5131</v>
      </c>
      <c r="E10743" s="553">
        <v>184.92</v>
      </c>
      <c r="F10743" s="553">
        <v>2554.2800000000002</v>
      </c>
      <c r="G10743" s="553">
        <v>570.1</v>
      </c>
      <c r="H10743" s="553">
        <v>249.6</v>
      </c>
      <c r="I10743" s="553">
        <v>583.57000000000005</v>
      </c>
      <c r="J10743" s="647">
        <v>1743.43</v>
      </c>
    </row>
    <row r="10744" spans="2:10">
      <c r="B10744" s="1230" t="s">
        <v>438</v>
      </c>
      <c r="C10744" s="132" t="s">
        <v>1876</v>
      </c>
      <c r="D10744" s="255">
        <v>5133</v>
      </c>
      <c r="E10744" s="553">
        <v>154.80000000000001</v>
      </c>
      <c r="F10744" s="553">
        <v>1955.75</v>
      </c>
      <c r="G10744" s="553">
        <v>626.83000000000004</v>
      </c>
      <c r="H10744" s="553">
        <v>192.23</v>
      </c>
      <c r="I10744" s="553">
        <v>487.36</v>
      </c>
      <c r="J10744" s="647">
        <v>838.86</v>
      </c>
    </row>
    <row r="10745" spans="2:10">
      <c r="B10745" s="1230" t="s">
        <v>438</v>
      </c>
      <c r="C10745" s="132" t="s">
        <v>1877</v>
      </c>
      <c r="D10745" s="255">
        <v>5135</v>
      </c>
      <c r="E10745" s="553">
        <v>159.87</v>
      </c>
      <c r="F10745" s="553">
        <v>2173.2199999999998</v>
      </c>
      <c r="G10745" s="553">
        <v>503.03</v>
      </c>
      <c r="H10745" s="553">
        <v>212.57</v>
      </c>
      <c r="I10745" s="553">
        <v>1067.3599999999999</v>
      </c>
      <c r="J10745" s="647">
        <v>1736.81</v>
      </c>
    </row>
    <row r="10746" spans="2:10">
      <c r="B10746" s="1230" t="s">
        <v>438</v>
      </c>
      <c r="C10746" s="132" t="s">
        <v>1878</v>
      </c>
      <c r="D10746" s="255">
        <v>5137</v>
      </c>
      <c r="E10746" s="553">
        <v>140.38</v>
      </c>
      <c r="F10746" s="553">
        <v>1898.38</v>
      </c>
      <c r="G10746" s="553">
        <v>482.4</v>
      </c>
      <c r="H10746" s="553">
        <v>185.71</v>
      </c>
      <c r="I10746" s="553">
        <v>920.97</v>
      </c>
      <c r="J10746" s="647">
        <v>1630.19</v>
      </c>
    </row>
    <row r="10747" spans="2:10">
      <c r="B10747" s="1230" t="s">
        <v>438</v>
      </c>
      <c r="C10747" s="132" t="s">
        <v>1879</v>
      </c>
      <c r="D10747" s="255">
        <v>5139</v>
      </c>
      <c r="E10747" s="553">
        <v>152.08000000000001</v>
      </c>
      <c r="F10747" s="553">
        <v>2102.7600000000002</v>
      </c>
      <c r="G10747" s="553">
        <v>453.12</v>
      </c>
      <c r="H10747" s="553">
        <v>205.36</v>
      </c>
      <c r="I10747" s="553">
        <v>711.61</v>
      </c>
      <c r="J10747" s="647">
        <v>1721.7</v>
      </c>
    </row>
    <row r="10748" spans="2:10">
      <c r="B10748" s="1230" t="s">
        <v>438</v>
      </c>
      <c r="C10748" s="132" t="s">
        <v>1880</v>
      </c>
      <c r="D10748" s="255">
        <v>5141</v>
      </c>
      <c r="E10748" s="553">
        <v>155.18</v>
      </c>
      <c r="F10748" s="553">
        <v>2127.0700000000002</v>
      </c>
      <c r="G10748" s="553">
        <v>508.74</v>
      </c>
      <c r="H10748" s="553">
        <v>207.93</v>
      </c>
      <c r="I10748" s="553">
        <v>824.92</v>
      </c>
      <c r="J10748" s="647">
        <v>1722.44</v>
      </c>
    </row>
    <row r="10749" spans="2:10">
      <c r="B10749" s="1230" t="s">
        <v>438</v>
      </c>
      <c r="C10749" s="132" t="s">
        <v>487</v>
      </c>
      <c r="D10749" s="255">
        <v>5143</v>
      </c>
      <c r="E10749" s="553">
        <v>226.07</v>
      </c>
      <c r="F10749" s="553">
        <v>3055.96</v>
      </c>
      <c r="G10749" s="553">
        <v>725.77</v>
      </c>
      <c r="H10749" s="553">
        <v>299.2</v>
      </c>
      <c r="I10749" s="553">
        <v>711.95</v>
      </c>
      <c r="J10749" s="647">
        <v>2070.52</v>
      </c>
    </row>
    <row r="10750" spans="2:10">
      <c r="B10750" s="1230" t="s">
        <v>438</v>
      </c>
      <c r="C10750" s="132" t="s">
        <v>1881</v>
      </c>
      <c r="D10750" s="255">
        <v>5145</v>
      </c>
      <c r="E10750" s="553">
        <v>166.94</v>
      </c>
      <c r="F10750" s="553">
        <v>2343.31</v>
      </c>
      <c r="G10750" s="553">
        <v>530.36</v>
      </c>
      <c r="H10750" s="553">
        <v>228.67</v>
      </c>
      <c r="I10750" s="553">
        <v>912.05</v>
      </c>
      <c r="J10750" s="647">
        <v>1853.78</v>
      </c>
    </row>
    <row r="10751" spans="2:10">
      <c r="B10751" s="1230" t="s">
        <v>438</v>
      </c>
      <c r="C10751" s="132" t="s">
        <v>1882</v>
      </c>
      <c r="D10751" s="255">
        <v>5147</v>
      </c>
      <c r="E10751" s="553">
        <v>140.30000000000001</v>
      </c>
      <c r="F10751" s="553">
        <v>1842.67</v>
      </c>
      <c r="G10751" s="553">
        <v>479.45</v>
      </c>
      <c r="H10751" s="553">
        <v>180.66</v>
      </c>
      <c r="I10751" s="553">
        <v>969.41</v>
      </c>
      <c r="J10751" s="647">
        <v>1693.53</v>
      </c>
    </row>
    <row r="10752" spans="2:10">
      <c r="B10752" s="1230" t="s">
        <v>438</v>
      </c>
      <c r="C10752" s="132" t="s">
        <v>1883</v>
      </c>
      <c r="D10752" s="255">
        <v>5149</v>
      </c>
      <c r="E10752" s="553">
        <v>154.07</v>
      </c>
      <c r="F10752" s="553">
        <v>2102.7399999999998</v>
      </c>
      <c r="G10752" s="553">
        <v>529.94000000000005</v>
      </c>
      <c r="H10752" s="553">
        <v>205.58</v>
      </c>
      <c r="I10752" s="553">
        <v>683.13</v>
      </c>
      <c r="J10752" s="647">
        <v>1736.92</v>
      </c>
    </row>
    <row r="10753" spans="2:10">
      <c r="B10753" s="1230" t="s">
        <v>439</v>
      </c>
      <c r="C10753" s="132" t="s">
        <v>1884</v>
      </c>
      <c r="D10753" s="255">
        <v>6001</v>
      </c>
      <c r="E10753" s="553">
        <v>2737.73</v>
      </c>
      <c r="F10753" s="553">
        <v>25414.16</v>
      </c>
      <c r="G10753" s="553">
        <v>240.12</v>
      </c>
      <c r="H10753" s="553">
        <v>2568.42</v>
      </c>
      <c r="I10753" s="553">
        <v>42926.58</v>
      </c>
      <c r="J10753" s="647">
        <v>9743.9</v>
      </c>
    </row>
    <row r="10754" spans="2:10">
      <c r="B10754" s="1230" t="s">
        <v>439</v>
      </c>
      <c r="C10754" s="132" t="s">
        <v>1885</v>
      </c>
      <c r="D10754" s="255">
        <v>6003</v>
      </c>
      <c r="E10754" s="553">
        <v>371.66</v>
      </c>
      <c r="F10754" s="553">
        <v>1566.17</v>
      </c>
      <c r="G10754" s="553">
        <v>98.12</v>
      </c>
      <c r="H10754" s="553">
        <v>176.53</v>
      </c>
      <c r="I10754" s="553">
        <v>2195.13</v>
      </c>
      <c r="J10754" s="647">
        <v>1258.55</v>
      </c>
    </row>
    <row r="10755" spans="2:10">
      <c r="B10755" s="1230" t="s">
        <v>439</v>
      </c>
      <c r="C10755" s="132" t="s">
        <v>1886</v>
      </c>
      <c r="D10755" s="255">
        <v>6005</v>
      </c>
      <c r="E10755" s="553">
        <v>957.12</v>
      </c>
      <c r="F10755" s="553">
        <v>4587.3</v>
      </c>
      <c r="G10755" s="553">
        <v>298.95999999999998</v>
      </c>
      <c r="H10755" s="553">
        <v>504.99</v>
      </c>
      <c r="I10755" s="553">
        <v>4872.12</v>
      </c>
      <c r="J10755" s="647">
        <v>2552.36</v>
      </c>
    </row>
    <row r="10756" spans="2:10">
      <c r="B10756" s="1230" t="s">
        <v>439</v>
      </c>
      <c r="C10756" s="132" t="s">
        <v>1887</v>
      </c>
      <c r="D10756" s="255">
        <v>6007</v>
      </c>
      <c r="E10756" s="553">
        <v>334.76</v>
      </c>
      <c r="F10756" s="553">
        <v>1917.02</v>
      </c>
      <c r="G10756" s="553">
        <v>259.58999999999997</v>
      </c>
      <c r="H10756" s="553">
        <v>205.24</v>
      </c>
      <c r="I10756" s="553">
        <v>800</v>
      </c>
      <c r="J10756" s="647">
        <v>1637.23</v>
      </c>
    </row>
    <row r="10757" spans="2:10">
      <c r="B10757" s="1230" t="s">
        <v>439</v>
      </c>
      <c r="C10757" s="132" t="s">
        <v>1888</v>
      </c>
      <c r="D10757" s="255">
        <v>6009</v>
      </c>
      <c r="E10757" s="553">
        <v>623.54</v>
      </c>
      <c r="F10757" s="553">
        <v>2724.57</v>
      </c>
      <c r="G10757" s="553">
        <v>353.45</v>
      </c>
      <c r="H10757" s="553">
        <v>305.12</v>
      </c>
      <c r="I10757" s="553">
        <v>828.05</v>
      </c>
      <c r="J10757" s="647">
        <v>2215.09</v>
      </c>
    </row>
    <row r="10758" spans="2:10">
      <c r="B10758" s="1230" t="s">
        <v>439</v>
      </c>
      <c r="C10758" s="132" t="s">
        <v>1889</v>
      </c>
      <c r="D10758" s="255">
        <v>6011</v>
      </c>
      <c r="E10758" s="553">
        <v>690.52</v>
      </c>
      <c r="F10758" s="553">
        <v>3047.36</v>
      </c>
      <c r="G10758" s="553">
        <v>437.64</v>
      </c>
      <c r="H10758" s="553">
        <v>340.69</v>
      </c>
      <c r="I10758" s="553">
        <v>1060.22</v>
      </c>
      <c r="J10758" s="647">
        <v>2563.1</v>
      </c>
    </row>
    <row r="10759" spans="2:10">
      <c r="B10759" s="1230" t="s">
        <v>439</v>
      </c>
      <c r="C10759" s="132" t="s">
        <v>1890</v>
      </c>
      <c r="D10759" s="255">
        <v>6013</v>
      </c>
      <c r="E10759" s="553">
        <v>3797.4</v>
      </c>
      <c r="F10759" s="553">
        <v>34386.120000000003</v>
      </c>
      <c r="G10759" s="553">
        <v>683.25</v>
      </c>
      <c r="H10759" s="553">
        <v>3483.46</v>
      </c>
      <c r="I10759" s="553">
        <v>53086.6</v>
      </c>
      <c r="J10759" s="647">
        <v>12933.86</v>
      </c>
    </row>
    <row r="10760" spans="2:10">
      <c r="B10760" s="1230" t="s">
        <v>439</v>
      </c>
      <c r="C10760" s="132" t="s">
        <v>1891</v>
      </c>
      <c r="D10760" s="255">
        <v>6015</v>
      </c>
      <c r="E10760" s="553">
        <v>160.21</v>
      </c>
      <c r="F10760" s="553">
        <v>545.65</v>
      </c>
      <c r="G10760" s="553">
        <v>58.55</v>
      </c>
      <c r="H10760" s="553">
        <v>64.400000000000006</v>
      </c>
      <c r="I10760" s="553">
        <v>1028.04</v>
      </c>
      <c r="J10760" s="647">
        <v>574.22</v>
      </c>
    </row>
    <row r="10761" spans="2:10">
      <c r="B10761" s="1230" t="s">
        <v>439</v>
      </c>
      <c r="C10761" s="132" t="s">
        <v>1892</v>
      </c>
      <c r="D10761" s="255">
        <v>6017</v>
      </c>
      <c r="E10761" s="553">
        <v>469.38</v>
      </c>
      <c r="F10761" s="553">
        <v>2701.8</v>
      </c>
      <c r="G10761" s="553">
        <v>183.52</v>
      </c>
      <c r="H10761" s="553">
        <v>288.87</v>
      </c>
      <c r="I10761" s="553">
        <v>3322.37</v>
      </c>
      <c r="J10761" s="647">
        <v>1881.54</v>
      </c>
    </row>
    <row r="10762" spans="2:10">
      <c r="B10762" s="1230" t="s">
        <v>439</v>
      </c>
      <c r="C10762" s="132" t="s">
        <v>1893</v>
      </c>
      <c r="D10762" s="255">
        <v>6019</v>
      </c>
      <c r="E10762" s="553">
        <v>492.39</v>
      </c>
      <c r="F10762" s="553">
        <v>4064.16</v>
      </c>
      <c r="G10762" s="553">
        <v>678.44</v>
      </c>
      <c r="H10762" s="553">
        <v>415.5</v>
      </c>
      <c r="I10762" s="553">
        <v>738.73</v>
      </c>
      <c r="J10762" s="647">
        <v>3984.94</v>
      </c>
    </row>
    <row r="10763" spans="2:10">
      <c r="B10763" s="1230" t="s">
        <v>439</v>
      </c>
      <c r="C10763" s="132" t="s">
        <v>1894</v>
      </c>
      <c r="D10763" s="255">
        <v>6021</v>
      </c>
      <c r="E10763" s="553">
        <v>445.44</v>
      </c>
      <c r="F10763" s="553">
        <v>1873.12</v>
      </c>
      <c r="G10763" s="553">
        <v>274.49</v>
      </c>
      <c r="H10763" s="553">
        <v>211.23</v>
      </c>
      <c r="I10763" s="553">
        <v>847.78</v>
      </c>
      <c r="J10763" s="647">
        <v>1845.33</v>
      </c>
    </row>
    <row r="10764" spans="2:10">
      <c r="B10764" s="1230" t="s">
        <v>439</v>
      </c>
      <c r="C10764" s="132" t="s">
        <v>1895</v>
      </c>
      <c r="D10764" s="255">
        <v>6023</v>
      </c>
      <c r="E10764" s="553">
        <v>102.51</v>
      </c>
      <c r="F10764" s="553">
        <v>552.29999999999995</v>
      </c>
      <c r="G10764" s="553">
        <v>97.92</v>
      </c>
      <c r="H10764" s="553">
        <v>59.75</v>
      </c>
      <c r="I10764" s="553">
        <v>761.18</v>
      </c>
      <c r="J10764" s="647">
        <v>664.61</v>
      </c>
    </row>
    <row r="10765" spans="2:10">
      <c r="B10765" s="1230" t="s">
        <v>439</v>
      </c>
      <c r="C10765" s="132" t="s">
        <v>1896</v>
      </c>
      <c r="D10765" s="255">
        <v>6025</v>
      </c>
      <c r="E10765" s="553">
        <v>211.68</v>
      </c>
      <c r="F10765" s="553">
        <v>1930.96</v>
      </c>
      <c r="G10765" s="553">
        <v>226.41</v>
      </c>
      <c r="H10765" s="553">
        <v>195.49</v>
      </c>
      <c r="I10765" s="553">
        <v>1209.3</v>
      </c>
      <c r="J10765" s="647">
        <v>2262.46</v>
      </c>
    </row>
    <row r="10766" spans="2:10">
      <c r="B10766" s="1230" t="s">
        <v>439</v>
      </c>
      <c r="C10766" s="132" t="s">
        <v>1897</v>
      </c>
      <c r="D10766" s="255">
        <v>6027</v>
      </c>
      <c r="E10766" s="553">
        <v>101.29</v>
      </c>
      <c r="F10766" s="553">
        <v>824.18</v>
      </c>
      <c r="G10766" s="553">
        <v>165.81</v>
      </c>
      <c r="H10766" s="553">
        <v>84.47</v>
      </c>
      <c r="I10766" s="553">
        <v>822.67</v>
      </c>
      <c r="J10766" s="647">
        <v>554.77</v>
      </c>
    </row>
    <row r="10767" spans="2:10">
      <c r="B10767" s="1230" t="s">
        <v>439</v>
      </c>
      <c r="C10767" s="132" t="s">
        <v>1898</v>
      </c>
      <c r="D10767" s="255">
        <v>6029</v>
      </c>
      <c r="E10767" s="553">
        <v>635.76</v>
      </c>
      <c r="F10767" s="553">
        <v>5578.89</v>
      </c>
      <c r="G10767" s="553">
        <v>240.8</v>
      </c>
      <c r="H10767" s="553">
        <v>566.49</v>
      </c>
      <c r="I10767" s="553">
        <v>9375.4</v>
      </c>
      <c r="J10767" s="647">
        <v>1503.78</v>
      </c>
    </row>
    <row r="10768" spans="2:10">
      <c r="B10768" s="1230" t="s">
        <v>439</v>
      </c>
      <c r="C10768" s="132" t="s">
        <v>1899</v>
      </c>
      <c r="D10768" s="255">
        <v>6031</v>
      </c>
      <c r="E10768" s="553">
        <v>753.18</v>
      </c>
      <c r="F10768" s="553">
        <v>4120.8599999999997</v>
      </c>
      <c r="G10768" s="553">
        <v>552.44000000000005</v>
      </c>
      <c r="H10768" s="553">
        <v>444.37</v>
      </c>
      <c r="I10768" s="553">
        <v>1223.6400000000001</v>
      </c>
      <c r="J10768" s="647">
        <v>3393.33</v>
      </c>
    </row>
    <row r="10769" spans="2:10">
      <c r="B10769" s="1230" t="s">
        <v>439</v>
      </c>
      <c r="C10769" s="132" t="s">
        <v>1900</v>
      </c>
      <c r="D10769" s="255">
        <v>6033</v>
      </c>
      <c r="E10769" s="553">
        <v>512.52</v>
      </c>
      <c r="F10769" s="553">
        <v>2676.35</v>
      </c>
      <c r="G10769" s="553">
        <v>371.47</v>
      </c>
      <c r="H10769" s="553">
        <v>290.70999999999998</v>
      </c>
      <c r="I10769" s="553">
        <v>1061.5899999999999</v>
      </c>
      <c r="J10769" s="647">
        <v>2460.35</v>
      </c>
    </row>
    <row r="10770" spans="2:10">
      <c r="B10770" s="1230" t="s">
        <v>439</v>
      </c>
      <c r="C10770" s="132" t="s">
        <v>1901</v>
      </c>
      <c r="D10770" s="255">
        <v>6035</v>
      </c>
      <c r="E10770" s="553">
        <v>198.11</v>
      </c>
      <c r="F10770" s="553">
        <v>1365.71</v>
      </c>
      <c r="G10770" s="553">
        <v>298.24</v>
      </c>
      <c r="H10770" s="553">
        <v>142.58000000000001</v>
      </c>
      <c r="I10770" s="553">
        <v>1518.19</v>
      </c>
      <c r="J10770" s="647">
        <v>932.45</v>
      </c>
    </row>
    <row r="10771" spans="2:10">
      <c r="B10771" s="1230" t="s">
        <v>439</v>
      </c>
      <c r="C10771" s="132" t="s">
        <v>1902</v>
      </c>
      <c r="D10771" s="255">
        <v>6037</v>
      </c>
      <c r="E10771" s="553">
        <v>8871.5300000000007</v>
      </c>
      <c r="F10771" s="553">
        <v>80006.66</v>
      </c>
      <c r="G10771" s="553">
        <v>96.26</v>
      </c>
      <c r="H10771" s="553">
        <v>8102.46</v>
      </c>
      <c r="I10771" s="553">
        <v>104594.68</v>
      </c>
      <c r="J10771" s="647">
        <v>56843.839999999997</v>
      </c>
    </row>
    <row r="10772" spans="2:10">
      <c r="B10772" s="1230" t="s">
        <v>439</v>
      </c>
      <c r="C10772" s="132" t="s">
        <v>1903</v>
      </c>
      <c r="D10772" s="255">
        <v>6039</v>
      </c>
      <c r="E10772" s="553">
        <v>588.75</v>
      </c>
      <c r="F10772" s="553">
        <v>3831.58</v>
      </c>
      <c r="G10772" s="553">
        <v>529.58000000000004</v>
      </c>
      <c r="H10772" s="553">
        <v>402.97</v>
      </c>
      <c r="I10772" s="553">
        <v>602.73</v>
      </c>
      <c r="J10772" s="647">
        <v>2996.23</v>
      </c>
    </row>
    <row r="10773" spans="2:10">
      <c r="B10773" s="1230" t="s">
        <v>439</v>
      </c>
      <c r="C10773" s="132" t="s">
        <v>1904</v>
      </c>
      <c r="D10773" s="255">
        <v>6041</v>
      </c>
      <c r="E10773" s="553">
        <v>2089.8000000000002</v>
      </c>
      <c r="F10773" s="553">
        <v>18752.27</v>
      </c>
      <c r="G10773" s="553">
        <v>682.84</v>
      </c>
      <c r="H10773" s="553">
        <v>1901.91</v>
      </c>
      <c r="I10773" s="553">
        <v>24795.79</v>
      </c>
      <c r="J10773" s="647">
        <v>7658.2</v>
      </c>
    </row>
    <row r="10774" spans="2:10">
      <c r="B10774" s="1230" t="s">
        <v>439</v>
      </c>
      <c r="C10774" s="132" t="s">
        <v>1905</v>
      </c>
      <c r="D10774" s="255">
        <v>6043</v>
      </c>
      <c r="E10774" s="553">
        <v>492.1</v>
      </c>
      <c r="F10774" s="553">
        <v>2275.0300000000002</v>
      </c>
      <c r="G10774" s="553">
        <v>326.38</v>
      </c>
      <c r="H10774" s="553">
        <v>252.16</v>
      </c>
      <c r="I10774" s="553">
        <v>565.25</v>
      </c>
      <c r="J10774" s="647">
        <v>2076.7199999999998</v>
      </c>
    </row>
    <row r="10775" spans="2:10">
      <c r="B10775" s="1230" t="s">
        <v>439</v>
      </c>
      <c r="C10775" s="132" t="s">
        <v>1906</v>
      </c>
      <c r="D10775" s="255">
        <v>6045</v>
      </c>
      <c r="E10775" s="553">
        <v>317.56</v>
      </c>
      <c r="F10775" s="553">
        <v>1888.41</v>
      </c>
      <c r="G10775" s="553">
        <v>256.05</v>
      </c>
      <c r="H10775" s="553">
        <v>201.12</v>
      </c>
      <c r="I10775" s="553">
        <v>1137.3599999999999</v>
      </c>
      <c r="J10775" s="647">
        <v>2013.07</v>
      </c>
    </row>
    <row r="10776" spans="2:10">
      <c r="B10776" s="1230" t="s">
        <v>439</v>
      </c>
      <c r="C10776" s="132" t="s">
        <v>1907</v>
      </c>
      <c r="D10776" s="255">
        <v>6047</v>
      </c>
      <c r="E10776" s="553">
        <v>666.2</v>
      </c>
      <c r="F10776" s="553">
        <v>4842.1099999999997</v>
      </c>
      <c r="G10776" s="553">
        <v>630.32000000000005</v>
      </c>
      <c r="H10776" s="553">
        <v>502.33</v>
      </c>
      <c r="I10776" s="553">
        <v>925.42</v>
      </c>
      <c r="J10776" s="647">
        <v>3694.53</v>
      </c>
    </row>
    <row r="10777" spans="2:10">
      <c r="B10777" s="1230" t="s">
        <v>439</v>
      </c>
      <c r="C10777" s="132" t="s">
        <v>1908</v>
      </c>
      <c r="D10777" s="255">
        <v>6049</v>
      </c>
      <c r="E10777" s="553">
        <v>49.96</v>
      </c>
      <c r="F10777" s="553">
        <v>252.13</v>
      </c>
      <c r="G10777" s="553">
        <v>35.630000000000003</v>
      </c>
      <c r="H10777" s="553">
        <v>27.61</v>
      </c>
      <c r="I10777" s="553">
        <v>368.02</v>
      </c>
      <c r="J10777" s="647">
        <v>332.54</v>
      </c>
    </row>
    <row r="10778" spans="2:10">
      <c r="B10778" s="1230" t="s">
        <v>439</v>
      </c>
      <c r="C10778" s="132" t="s">
        <v>1909</v>
      </c>
      <c r="D10778" s="255">
        <v>6051</v>
      </c>
      <c r="E10778" s="553">
        <v>129.88</v>
      </c>
      <c r="F10778" s="553">
        <v>713.42</v>
      </c>
      <c r="G10778" s="553">
        <v>157.6</v>
      </c>
      <c r="H10778" s="553">
        <v>76.91</v>
      </c>
      <c r="I10778" s="553">
        <v>649.88</v>
      </c>
      <c r="J10778" s="647">
        <v>489.45</v>
      </c>
    </row>
    <row r="10779" spans="2:10">
      <c r="B10779" s="1230" t="s">
        <v>439</v>
      </c>
      <c r="C10779" s="132" t="s">
        <v>1910</v>
      </c>
      <c r="D10779" s="255">
        <v>6053</v>
      </c>
      <c r="E10779" s="553">
        <v>305.69</v>
      </c>
      <c r="F10779" s="553">
        <v>2360.92</v>
      </c>
      <c r="G10779" s="553">
        <v>265.83999999999997</v>
      </c>
      <c r="H10779" s="553">
        <v>243.18</v>
      </c>
      <c r="I10779" s="553">
        <v>1209.5899999999999</v>
      </c>
      <c r="J10779" s="647">
        <v>2322.73</v>
      </c>
    </row>
    <row r="10780" spans="2:10">
      <c r="B10780" s="1230" t="s">
        <v>439</v>
      </c>
      <c r="C10780" s="132" t="s">
        <v>1911</v>
      </c>
      <c r="D10780" s="255">
        <v>6055</v>
      </c>
      <c r="E10780" s="553">
        <v>1335.45</v>
      </c>
      <c r="F10780" s="553">
        <v>9631.57</v>
      </c>
      <c r="G10780" s="553">
        <v>1069.44</v>
      </c>
      <c r="H10780" s="553">
        <v>1000.22</v>
      </c>
      <c r="I10780" s="553">
        <v>2318.7600000000002</v>
      </c>
      <c r="J10780" s="647">
        <v>5617.89</v>
      </c>
    </row>
    <row r="10781" spans="2:10">
      <c r="B10781" s="1230" t="s">
        <v>439</v>
      </c>
      <c r="C10781" s="132" t="s">
        <v>466</v>
      </c>
      <c r="D10781" s="255">
        <v>6057</v>
      </c>
      <c r="E10781" s="553">
        <v>841.5</v>
      </c>
      <c r="F10781" s="553">
        <v>4776.8500000000004</v>
      </c>
      <c r="G10781" s="553">
        <v>384.05</v>
      </c>
      <c r="H10781" s="553">
        <v>511.75</v>
      </c>
      <c r="I10781" s="553">
        <v>4908.97</v>
      </c>
      <c r="J10781" s="647">
        <v>2846.31</v>
      </c>
    </row>
    <row r="10782" spans="2:10">
      <c r="B10782" s="1230" t="s">
        <v>439</v>
      </c>
      <c r="C10782" s="132" t="s">
        <v>1912</v>
      </c>
      <c r="D10782" s="255">
        <v>6059</v>
      </c>
      <c r="E10782" s="553">
        <v>3344.55</v>
      </c>
      <c r="F10782" s="553">
        <v>32717.03</v>
      </c>
      <c r="G10782" s="553">
        <v>-240.86</v>
      </c>
      <c r="H10782" s="553">
        <v>3290.11</v>
      </c>
      <c r="I10782" s="553">
        <v>52150.93</v>
      </c>
      <c r="J10782" s="647">
        <v>15412.19</v>
      </c>
    </row>
    <row r="10783" spans="2:10">
      <c r="B10783" s="1230" t="s">
        <v>439</v>
      </c>
      <c r="C10783" s="132" t="s">
        <v>1913</v>
      </c>
      <c r="D10783" s="255">
        <v>6061</v>
      </c>
      <c r="E10783" s="553">
        <v>828.41</v>
      </c>
      <c r="F10783" s="553">
        <v>4819.45</v>
      </c>
      <c r="G10783" s="553">
        <v>360.7</v>
      </c>
      <c r="H10783" s="553">
        <v>514.4</v>
      </c>
      <c r="I10783" s="553">
        <v>5336.16</v>
      </c>
      <c r="J10783" s="647">
        <v>3138.36</v>
      </c>
    </row>
    <row r="10784" spans="2:10">
      <c r="B10784" s="1230" t="s">
        <v>439</v>
      </c>
      <c r="C10784" s="132" t="s">
        <v>1914</v>
      </c>
      <c r="D10784" s="255">
        <v>6063</v>
      </c>
      <c r="E10784" s="553">
        <v>342.4</v>
      </c>
      <c r="F10784" s="553">
        <v>1811.37</v>
      </c>
      <c r="G10784" s="553">
        <v>371.25</v>
      </c>
      <c r="H10784" s="553">
        <v>196.28</v>
      </c>
      <c r="I10784" s="553">
        <v>1383.2</v>
      </c>
      <c r="J10784" s="647">
        <v>1019.88</v>
      </c>
    </row>
    <row r="10785" spans="2:10">
      <c r="B10785" s="1230" t="s">
        <v>439</v>
      </c>
      <c r="C10785" s="132" t="s">
        <v>1915</v>
      </c>
      <c r="D10785" s="255">
        <v>6065</v>
      </c>
      <c r="E10785" s="553">
        <v>1203.5999999999999</v>
      </c>
      <c r="F10785" s="553">
        <v>12799.21</v>
      </c>
      <c r="G10785" s="553">
        <v>193.17</v>
      </c>
      <c r="H10785" s="553">
        <v>1277.6199999999999</v>
      </c>
      <c r="I10785" s="553">
        <v>13008.54</v>
      </c>
      <c r="J10785" s="647">
        <v>11873.32</v>
      </c>
    </row>
    <row r="10786" spans="2:10">
      <c r="B10786" s="1230" t="s">
        <v>439</v>
      </c>
      <c r="C10786" s="132" t="s">
        <v>1916</v>
      </c>
      <c r="D10786" s="255">
        <v>6067</v>
      </c>
      <c r="E10786" s="553">
        <v>1550.1</v>
      </c>
      <c r="F10786" s="553">
        <v>13791.48</v>
      </c>
      <c r="G10786" s="553">
        <v>1616.98</v>
      </c>
      <c r="H10786" s="553">
        <v>1399.26</v>
      </c>
      <c r="I10786" s="553">
        <v>1637.03</v>
      </c>
      <c r="J10786" s="647">
        <v>7908.73</v>
      </c>
    </row>
    <row r="10787" spans="2:10">
      <c r="B10787" s="1230" t="s">
        <v>439</v>
      </c>
      <c r="C10787" s="132" t="s">
        <v>1917</v>
      </c>
      <c r="D10787" s="255">
        <v>6069</v>
      </c>
      <c r="E10787" s="553">
        <v>560.41999999999996</v>
      </c>
      <c r="F10787" s="553">
        <v>4028.77</v>
      </c>
      <c r="G10787" s="553">
        <v>489.56</v>
      </c>
      <c r="H10787" s="553">
        <v>418.73</v>
      </c>
      <c r="I10787" s="553">
        <v>1308.27</v>
      </c>
      <c r="J10787" s="647">
        <v>3286.43</v>
      </c>
    </row>
    <row r="10788" spans="2:10">
      <c r="B10788" s="1230" t="s">
        <v>439</v>
      </c>
      <c r="C10788" s="132" t="s">
        <v>1918</v>
      </c>
      <c r="D10788" s="255">
        <v>6071</v>
      </c>
      <c r="E10788" s="553">
        <v>464.42</v>
      </c>
      <c r="F10788" s="553">
        <v>4454.79</v>
      </c>
      <c r="G10788" s="553">
        <v>175.49</v>
      </c>
      <c r="H10788" s="553">
        <v>448.57</v>
      </c>
      <c r="I10788" s="553">
        <v>7485.84</v>
      </c>
      <c r="J10788" s="647">
        <v>1676.04</v>
      </c>
    </row>
    <row r="10789" spans="2:10">
      <c r="B10789" s="1230" t="s">
        <v>439</v>
      </c>
      <c r="C10789" s="132" t="s">
        <v>1919</v>
      </c>
      <c r="D10789" s="255">
        <v>6073</v>
      </c>
      <c r="E10789" s="553">
        <v>2477.48</v>
      </c>
      <c r="F10789" s="553">
        <v>25030.65</v>
      </c>
      <c r="G10789" s="553">
        <v>107.79</v>
      </c>
      <c r="H10789" s="553">
        <v>2508.23</v>
      </c>
      <c r="I10789" s="553">
        <v>31040.21</v>
      </c>
      <c r="J10789" s="647">
        <v>18862.66</v>
      </c>
    </row>
    <row r="10790" spans="2:10">
      <c r="B10790" s="1230" t="s">
        <v>439</v>
      </c>
      <c r="C10790" s="132" t="s">
        <v>1920</v>
      </c>
      <c r="D10790" s="255">
        <v>6075</v>
      </c>
      <c r="E10790" s="553">
        <v>4047</v>
      </c>
      <c r="F10790" s="553">
        <v>37582.25</v>
      </c>
      <c r="G10790" s="553">
        <v>347.38</v>
      </c>
      <c r="H10790" s="553">
        <v>3799.59</v>
      </c>
      <c r="I10790" s="553">
        <v>68894.539999999994</v>
      </c>
      <c r="J10790" s="647">
        <v>10532.58</v>
      </c>
    </row>
    <row r="10791" spans="2:10">
      <c r="B10791" s="1230" t="s">
        <v>439</v>
      </c>
      <c r="C10791" s="132" t="s">
        <v>1921</v>
      </c>
      <c r="D10791" s="255">
        <v>6077</v>
      </c>
      <c r="E10791" s="553">
        <v>1471.73</v>
      </c>
      <c r="F10791" s="553">
        <v>13484.08</v>
      </c>
      <c r="G10791" s="553">
        <v>1770</v>
      </c>
      <c r="H10791" s="553">
        <v>1364.31</v>
      </c>
      <c r="I10791" s="553">
        <v>2125.62</v>
      </c>
      <c r="J10791" s="647">
        <v>8886.5499999999993</v>
      </c>
    </row>
    <row r="10792" spans="2:10">
      <c r="B10792" s="1230" t="s">
        <v>439</v>
      </c>
      <c r="C10792" s="132" t="s">
        <v>1922</v>
      </c>
      <c r="D10792" s="255">
        <v>6079</v>
      </c>
      <c r="E10792" s="553">
        <v>398.18</v>
      </c>
      <c r="F10792" s="553">
        <v>3630.37</v>
      </c>
      <c r="G10792" s="553">
        <v>120.93</v>
      </c>
      <c r="H10792" s="553">
        <v>367.42</v>
      </c>
      <c r="I10792" s="553">
        <v>4320.09</v>
      </c>
      <c r="J10792" s="647">
        <v>2986.04</v>
      </c>
    </row>
    <row r="10793" spans="2:10">
      <c r="B10793" s="1230" t="s">
        <v>439</v>
      </c>
      <c r="C10793" s="132" t="s">
        <v>1923</v>
      </c>
      <c r="D10793" s="255">
        <v>6081</v>
      </c>
      <c r="E10793" s="553">
        <v>1855.43</v>
      </c>
      <c r="F10793" s="553">
        <v>17643.79</v>
      </c>
      <c r="G10793" s="553">
        <v>246.22</v>
      </c>
      <c r="H10793" s="553">
        <v>1779.54</v>
      </c>
      <c r="I10793" s="553">
        <v>30592.86</v>
      </c>
      <c r="J10793" s="647">
        <v>6514.71</v>
      </c>
    </row>
    <row r="10794" spans="2:10">
      <c r="B10794" s="1230" t="s">
        <v>439</v>
      </c>
      <c r="C10794" s="132" t="s">
        <v>1924</v>
      </c>
      <c r="D10794" s="255">
        <v>6083</v>
      </c>
      <c r="E10794" s="553">
        <v>536.22</v>
      </c>
      <c r="F10794" s="553">
        <v>4851.41</v>
      </c>
      <c r="G10794" s="553">
        <v>173.72</v>
      </c>
      <c r="H10794" s="553">
        <v>491.47</v>
      </c>
      <c r="I10794" s="553">
        <v>5275.2</v>
      </c>
      <c r="J10794" s="647">
        <v>4325.79</v>
      </c>
    </row>
    <row r="10795" spans="2:10">
      <c r="B10795" s="1230" t="s">
        <v>439</v>
      </c>
      <c r="C10795" s="132" t="s">
        <v>1925</v>
      </c>
      <c r="D10795" s="255">
        <v>6085</v>
      </c>
      <c r="E10795" s="553">
        <v>2533.0500000000002</v>
      </c>
      <c r="F10795" s="553">
        <v>23397.24</v>
      </c>
      <c r="G10795" s="553">
        <v>235.9</v>
      </c>
      <c r="H10795" s="553">
        <v>2366.65</v>
      </c>
      <c r="I10795" s="553">
        <v>38256.449999999997</v>
      </c>
      <c r="J10795" s="647">
        <v>10938.89</v>
      </c>
    </row>
    <row r="10796" spans="2:10">
      <c r="B10796" s="1230" t="s">
        <v>439</v>
      </c>
      <c r="C10796" s="132" t="s">
        <v>1827</v>
      </c>
      <c r="D10796" s="255">
        <v>6087</v>
      </c>
      <c r="E10796" s="553">
        <v>2691.3</v>
      </c>
      <c r="F10796" s="553">
        <v>24640.26</v>
      </c>
      <c r="G10796" s="553">
        <v>204.12</v>
      </c>
      <c r="H10796" s="553">
        <v>2495.11</v>
      </c>
      <c r="I10796" s="553">
        <v>45089.06</v>
      </c>
      <c r="J10796" s="647">
        <v>7652.82</v>
      </c>
    </row>
    <row r="10797" spans="2:10">
      <c r="B10797" s="1230" t="s">
        <v>439</v>
      </c>
      <c r="C10797" s="132" t="s">
        <v>1926</v>
      </c>
      <c r="D10797" s="255">
        <v>6089</v>
      </c>
      <c r="E10797" s="553">
        <v>153.09</v>
      </c>
      <c r="F10797" s="553">
        <v>745.87</v>
      </c>
      <c r="G10797" s="553">
        <v>96.76</v>
      </c>
      <c r="H10797" s="553">
        <v>81.91</v>
      </c>
      <c r="I10797" s="553">
        <v>1185.42</v>
      </c>
      <c r="J10797" s="647">
        <v>784.56</v>
      </c>
    </row>
    <row r="10798" spans="2:10">
      <c r="B10798" s="1230" t="s">
        <v>439</v>
      </c>
      <c r="C10798" s="132" t="s">
        <v>1927</v>
      </c>
      <c r="D10798" s="255">
        <v>6091</v>
      </c>
      <c r="E10798" s="553">
        <v>286.70999999999998</v>
      </c>
      <c r="F10798" s="553">
        <v>1061.54</v>
      </c>
      <c r="G10798" s="553">
        <v>115.83</v>
      </c>
      <c r="H10798" s="553">
        <v>122.88</v>
      </c>
      <c r="I10798" s="553">
        <v>1054.58</v>
      </c>
      <c r="J10798" s="647">
        <v>1098.06</v>
      </c>
    </row>
    <row r="10799" spans="2:10">
      <c r="B10799" s="1230" t="s">
        <v>439</v>
      </c>
      <c r="C10799" s="132" t="s">
        <v>1928</v>
      </c>
      <c r="D10799" s="255">
        <v>6093</v>
      </c>
      <c r="E10799" s="553">
        <v>92.48</v>
      </c>
      <c r="F10799" s="553">
        <v>542</v>
      </c>
      <c r="G10799" s="553">
        <v>57.58</v>
      </c>
      <c r="H10799" s="553">
        <v>57.89</v>
      </c>
      <c r="I10799" s="553">
        <v>851.91</v>
      </c>
      <c r="J10799" s="647">
        <v>603.54</v>
      </c>
    </row>
    <row r="10800" spans="2:10">
      <c r="B10800" s="1230" t="s">
        <v>439</v>
      </c>
      <c r="C10800" s="132" t="s">
        <v>1929</v>
      </c>
      <c r="D10800" s="255">
        <v>6095</v>
      </c>
      <c r="E10800" s="553">
        <v>2222.48</v>
      </c>
      <c r="F10800" s="553">
        <v>18449.48</v>
      </c>
      <c r="G10800" s="553">
        <v>1170.21</v>
      </c>
      <c r="H10800" s="553">
        <v>1885.57</v>
      </c>
      <c r="I10800" s="553">
        <v>16339.12</v>
      </c>
      <c r="J10800" s="647">
        <v>8605.5300000000007</v>
      </c>
    </row>
    <row r="10801" spans="2:10">
      <c r="B10801" s="1230" t="s">
        <v>439</v>
      </c>
      <c r="C10801" s="132" t="s">
        <v>1930</v>
      </c>
      <c r="D10801" s="255">
        <v>6097</v>
      </c>
      <c r="E10801" s="553">
        <v>965.09</v>
      </c>
      <c r="F10801" s="553">
        <v>8090.35</v>
      </c>
      <c r="G10801" s="553">
        <v>1062.72</v>
      </c>
      <c r="H10801" s="553">
        <v>826.13</v>
      </c>
      <c r="I10801" s="553">
        <v>2630.46</v>
      </c>
      <c r="J10801" s="647">
        <v>5967.73</v>
      </c>
    </row>
    <row r="10802" spans="2:10">
      <c r="B10802" s="1230" t="s">
        <v>439</v>
      </c>
      <c r="C10802" s="132" t="s">
        <v>1931</v>
      </c>
      <c r="D10802" s="255">
        <v>6099</v>
      </c>
      <c r="E10802" s="553">
        <v>936.98</v>
      </c>
      <c r="F10802" s="553">
        <v>7551.42</v>
      </c>
      <c r="G10802" s="553">
        <v>1034.49</v>
      </c>
      <c r="H10802" s="553">
        <v>774.26</v>
      </c>
      <c r="I10802" s="553">
        <v>1437.58</v>
      </c>
      <c r="J10802" s="647">
        <v>5400.87</v>
      </c>
    </row>
    <row r="10803" spans="2:10">
      <c r="B10803" s="1230" t="s">
        <v>439</v>
      </c>
      <c r="C10803" s="132" t="s">
        <v>1932</v>
      </c>
      <c r="D10803" s="255">
        <v>6101</v>
      </c>
      <c r="E10803" s="553">
        <v>570.79999999999995</v>
      </c>
      <c r="F10803" s="553">
        <v>3154.87</v>
      </c>
      <c r="G10803" s="553">
        <v>393.6</v>
      </c>
      <c r="H10803" s="553">
        <v>339.68</v>
      </c>
      <c r="I10803" s="553">
        <v>1548.93</v>
      </c>
      <c r="J10803" s="647">
        <v>2277.64</v>
      </c>
    </row>
    <row r="10804" spans="2:10">
      <c r="B10804" s="1230" t="s">
        <v>439</v>
      </c>
      <c r="C10804" s="132" t="s">
        <v>1933</v>
      </c>
      <c r="D10804" s="255">
        <v>6103</v>
      </c>
      <c r="E10804" s="553">
        <v>237.35</v>
      </c>
      <c r="F10804" s="553">
        <v>1336.4</v>
      </c>
      <c r="G10804" s="553">
        <v>210.91</v>
      </c>
      <c r="H10804" s="553">
        <v>143.41999999999999</v>
      </c>
      <c r="I10804" s="553">
        <v>1342.31</v>
      </c>
      <c r="J10804" s="647">
        <v>1532.23</v>
      </c>
    </row>
    <row r="10805" spans="2:10">
      <c r="B10805" s="1230" t="s">
        <v>439</v>
      </c>
      <c r="C10805" s="132" t="s">
        <v>1934</v>
      </c>
      <c r="D10805" s="255">
        <v>6105</v>
      </c>
      <c r="E10805" s="553">
        <v>194.53</v>
      </c>
      <c r="F10805" s="553">
        <v>1013.95</v>
      </c>
      <c r="G10805" s="553">
        <v>92.16</v>
      </c>
      <c r="H10805" s="553">
        <v>110.15</v>
      </c>
      <c r="I10805" s="553">
        <v>1629.7</v>
      </c>
      <c r="J10805" s="647">
        <v>1103.9100000000001</v>
      </c>
    </row>
    <row r="10806" spans="2:10">
      <c r="B10806" s="1230" t="s">
        <v>439</v>
      </c>
      <c r="C10806" s="132" t="s">
        <v>1935</v>
      </c>
      <c r="D10806" s="255">
        <v>6107</v>
      </c>
      <c r="E10806" s="553">
        <v>314.69</v>
      </c>
      <c r="F10806" s="553">
        <v>2531.38</v>
      </c>
      <c r="G10806" s="553">
        <v>436.3</v>
      </c>
      <c r="H10806" s="553">
        <v>259.67</v>
      </c>
      <c r="I10806" s="553">
        <v>618.11</v>
      </c>
      <c r="J10806" s="647">
        <v>907.88</v>
      </c>
    </row>
    <row r="10807" spans="2:10">
      <c r="B10807" s="1230" t="s">
        <v>439</v>
      </c>
      <c r="C10807" s="132" t="s">
        <v>1936</v>
      </c>
      <c r="D10807" s="255">
        <v>6109</v>
      </c>
      <c r="E10807" s="553">
        <v>361.13</v>
      </c>
      <c r="F10807" s="553">
        <v>1422.84</v>
      </c>
      <c r="G10807" s="553">
        <v>209.65</v>
      </c>
      <c r="H10807" s="553">
        <v>162.53</v>
      </c>
      <c r="I10807" s="553">
        <v>673.71</v>
      </c>
      <c r="J10807" s="647">
        <v>1443.96</v>
      </c>
    </row>
    <row r="10808" spans="2:10">
      <c r="B10808" s="1230" t="s">
        <v>439</v>
      </c>
      <c r="C10808" s="132" t="s">
        <v>1937</v>
      </c>
      <c r="D10808" s="255">
        <v>6111</v>
      </c>
      <c r="E10808" s="553">
        <v>965.7</v>
      </c>
      <c r="F10808" s="553">
        <v>8859.16</v>
      </c>
      <c r="G10808" s="553">
        <v>184.77</v>
      </c>
      <c r="H10808" s="553">
        <v>895.94</v>
      </c>
      <c r="I10808" s="553">
        <v>12209.41</v>
      </c>
      <c r="J10808" s="647">
        <v>5661.12</v>
      </c>
    </row>
    <row r="10809" spans="2:10">
      <c r="B10809" s="1230" t="s">
        <v>439</v>
      </c>
      <c r="C10809" s="132" t="s">
        <v>1938</v>
      </c>
      <c r="D10809" s="255">
        <v>6113</v>
      </c>
      <c r="E10809" s="553">
        <v>1408.95</v>
      </c>
      <c r="F10809" s="553">
        <v>10003.209999999999</v>
      </c>
      <c r="G10809" s="553">
        <v>1196.8599999999999</v>
      </c>
      <c r="H10809" s="553">
        <v>1040.77</v>
      </c>
      <c r="I10809" s="553">
        <v>1662.81</v>
      </c>
      <c r="J10809" s="647">
        <v>6011.89</v>
      </c>
    </row>
    <row r="10810" spans="2:10">
      <c r="B10810" s="1230" t="s">
        <v>439</v>
      </c>
      <c r="C10810" s="132" t="s">
        <v>1939</v>
      </c>
      <c r="D10810" s="255">
        <v>6115</v>
      </c>
      <c r="E10810" s="553">
        <v>742.43</v>
      </c>
      <c r="F10810" s="553">
        <v>3697.68</v>
      </c>
      <c r="G10810" s="553">
        <v>427.53</v>
      </c>
      <c r="H10810" s="553">
        <v>404.49</v>
      </c>
      <c r="I10810" s="553">
        <v>1686.99</v>
      </c>
      <c r="J10810" s="647">
        <v>2406.44</v>
      </c>
    </row>
    <row r="10811" spans="2:10">
      <c r="B10811" s="1230" t="s">
        <v>440</v>
      </c>
      <c r="C10811" s="132" t="s">
        <v>1940</v>
      </c>
      <c r="D10811" s="255">
        <v>8001</v>
      </c>
      <c r="E10811" s="553">
        <v>824.78</v>
      </c>
      <c r="F10811" s="553">
        <v>7462.3</v>
      </c>
      <c r="G10811" s="553">
        <v>1666.96</v>
      </c>
      <c r="H10811" s="553">
        <v>756.33</v>
      </c>
      <c r="I10811" s="553">
        <v>14791.53</v>
      </c>
      <c r="J10811" s="647">
        <v>1552.12</v>
      </c>
    </row>
    <row r="10812" spans="2:10">
      <c r="B10812" s="1230" t="s">
        <v>440</v>
      </c>
      <c r="C10812" s="132" t="s">
        <v>1941</v>
      </c>
      <c r="D10812" s="255">
        <v>8003</v>
      </c>
      <c r="E10812" s="553">
        <v>161.52000000000001</v>
      </c>
      <c r="F10812" s="553">
        <v>1107.22</v>
      </c>
      <c r="G10812" s="553">
        <v>368.76</v>
      </c>
      <c r="H10812" s="553">
        <v>115.74</v>
      </c>
      <c r="I10812" s="553">
        <v>885.47</v>
      </c>
      <c r="J10812" s="647">
        <v>758.83</v>
      </c>
    </row>
    <row r="10813" spans="2:10">
      <c r="B10813" s="1230" t="s">
        <v>440</v>
      </c>
      <c r="C10813" s="132" t="s">
        <v>1942</v>
      </c>
      <c r="D10813" s="255">
        <v>8005</v>
      </c>
      <c r="E10813" s="553">
        <v>711.29</v>
      </c>
      <c r="F10813" s="553">
        <v>6301.07</v>
      </c>
      <c r="G10813" s="553">
        <v>1802.36</v>
      </c>
      <c r="H10813" s="553">
        <v>640.19000000000005</v>
      </c>
      <c r="I10813" s="553">
        <v>2564.96</v>
      </c>
      <c r="J10813" s="647">
        <v>1521.3</v>
      </c>
    </row>
    <row r="10814" spans="2:10">
      <c r="B10814" s="1230" t="s">
        <v>440</v>
      </c>
      <c r="C10814" s="132" t="s">
        <v>1943</v>
      </c>
      <c r="D10814" s="255">
        <v>8007</v>
      </c>
      <c r="E10814" s="553">
        <v>136.31</v>
      </c>
      <c r="F10814" s="553">
        <v>1042.6300000000001</v>
      </c>
      <c r="G10814" s="553">
        <v>404.23</v>
      </c>
      <c r="H10814" s="553">
        <v>107.46</v>
      </c>
      <c r="I10814" s="553">
        <v>869.3</v>
      </c>
      <c r="J10814" s="647">
        <v>941.41</v>
      </c>
    </row>
    <row r="10815" spans="2:10">
      <c r="B10815" s="1230" t="s">
        <v>440</v>
      </c>
      <c r="C10815" s="132" t="s">
        <v>1944</v>
      </c>
      <c r="D10815" s="255">
        <v>8009</v>
      </c>
      <c r="E10815" s="553">
        <v>82.03</v>
      </c>
      <c r="F10815" s="553">
        <v>667.7</v>
      </c>
      <c r="G10815" s="553">
        <v>306.43</v>
      </c>
      <c r="H10815" s="553">
        <v>68.33</v>
      </c>
      <c r="I10815" s="553">
        <v>256.48</v>
      </c>
      <c r="J10815" s="647">
        <v>1063.96</v>
      </c>
    </row>
    <row r="10816" spans="2:10">
      <c r="B10816" s="1230" t="s">
        <v>440</v>
      </c>
      <c r="C10816" s="132" t="s">
        <v>1945</v>
      </c>
      <c r="D10816" s="255">
        <v>8011</v>
      </c>
      <c r="E10816" s="553">
        <v>156.9</v>
      </c>
      <c r="F10816" s="553">
        <v>1154.53</v>
      </c>
      <c r="G10816" s="553">
        <v>498.51</v>
      </c>
      <c r="H10816" s="553">
        <v>119.59</v>
      </c>
      <c r="I10816" s="553">
        <v>379.51</v>
      </c>
      <c r="J10816" s="647">
        <v>860.46</v>
      </c>
    </row>
    <row r="10817" spans="2:10">
      <c r="B10817" s="1230" t="s">
        <v>440</v>
      </c>
      <c r="C10817" s="132" t="s">
        <v>1946</v>
      </c>
      <c r="D10817" s="255">
        <v>8013</v>
      </c>
      <c r="E10817" s="553">
        <v>423.17</v>
      </c>
      <c r="F10817" s="553">
        <v>3497.09</v>
      </c>
      <c r="G10817" s="553">
        <v>919.83</v>
      </c>
      <c r="H10817" s="553">
        <v>357.82</v>
      </c>
      <c r="I10817" s="553">
        <v>4545.33</v>
      </c>
      <c r="J10817" s="647">
        <v>1050.18</v>
      </c>
    </row>
    <row r="10818" spans="2:10">
      <c r="B10818" s="1230" t="s">
        <v>440</v>
      </c>
      <c r="C10818" s="132" t="s">
        <v>1947</v>
      </c>
      <c r="D10818" s="255">
        <v>8015</v>
      </c>
      <c r="E10818" s="553">
        <v>164.24</v>
      </c>
      <c r="F10818" s="553">
        <v>1309.42</v>
      </c>
      <c r="G10818" s="553">
        <v>364.86</v>
      </c>
      <c r="H10818" s="553">
        <v>134.38999999999999</v>
      </c>
      <c r="I10818" s="553">
        <v>2229.89</v>
      </c>
      <c r="J10818" s="647">
        <v>773.22</v>
      </c>
    </row>
    <row r="10819" spans="2:10">
      <c r="B10819" s="1230" t="s">
        <v>440</v>
      </c>
      <c r="C10819" s="132" t="s">
        <v>1948</v>
      </c>
      <c r="D10819" s="255">
        <v>8017</v>
      </c>
      <c r="E10819" s="553">
        <v>123.85</v>
      </c>
      <c r="F10819" s="553">
        <v>974.95</v>
      </c>
      <c r="G10819" s="553">
        <v>513.30999999999995</v>
      </c>
      <c r="H10819" s="553">
        <v>100.22</v>
      </c>
      <c r="I10819" s="553">
        <v>354.45</v>
      </c>
      <c r="J10819" s="647">
        <v>827.85</v>
      </c>
    </row>
    <row r="10820" spans="2:10">
      <c r="B10820" s="1230" t="s">
        <v>440</v>
      </c>
      <c r="C10820" s="132" t="s">
        <v>1949</v>
      </c>
      <c r="D10820" s="255">
        <v>8019</v>
      </c>
      <c r="E10820" s="553">
        <v>367.88</v>
      </c>
      <c r="F10820" s="553">
        <v>2719.37</v>
      </c>
      <c r="G10820" s="553">
        <v>567.42999999999995</v>
      </c>
      <c r="H10820" s="553">
        <v>281.63</v>
      </c>
      <c r="I10820" s="553">
        <v>7215.86</v>
      </c>
      <c r="J10820" s="647">
        <v>890.12</v>
      </c>
    </row>
    <row r="10821" spans="2:10">
      <c r="B10821" s="1230" t="s">
        <v>440</v>
      </c>
      <c r="C10821" s="132" t="s">
        <v>1950</v>
      </c>
      <c r="D10821" s="255">
        <v>8021</v>
      </c>
      <c r="E10821" s="553">
        <v>163.91</v>
      </c>
      <c r="F10821" s="553">
        <v>1223.48</v>
      </c>
      <c r="G10821" s="553">
        <v>459.56</v>
      </c>
      <c r="H10821" s="553">
        <v>126.49</v>
      </c>
      <c r="I10821" s="553">
        <v>867.28</v>
      </c>
      <c r="J10821" s="647">
        <v>999.32</v>
      </c>
    </row>
    <row r="10822" spans="2:10">
      <c r="B10822" s="1230" t="s">
        <v>440</v>
      </c>
      <c r="C10822" s="132" t="s">
        <v>1951</v>
      </c>
      <c r="D10822" s="255">
        <v>8023</v>
      </c>
      <c r="E10822" s="553">
        <v>139.49</v>
      </c>
      <c r="F10822" s="553">
        <v>1041.5999999999999</v>
      </c>
      <c r="G10822" s="553">
        <v>369.23</v>
      </c>
      <c r="H10822" s="553">
        <v>107.65</v>
      </c>
      <c r="I10822" s="553">
        <v>719.33</v>
      </c>
      <c r="J10822" s="647">
        <v>761.25</v>
      </c>
    </row>
    <row r="10823" spans="2:10">
      <c r="B10823" s="1230" t="s">
        <v>440</v>
      </c>
      <c r="C10823" s="132" t="s">
        <v>1952</v>
      </c>
      <c r="D10823" s="255">
        <v>8025</v>
      </c>
      <c r="E10823" s="553">
        <v>159.85</v>
      </c>
      <c r="F10823" s="553">
        <v>1253.5899999999999</v>
      </c>
      <c r="G10823" s="553">
        <v>480.56</v>
      </c>
      <c r="H10823" s="553">
        <v>128.88</v>
      </c>
      <c r="I10823" s="553">
        <v>766.83</v>
      </c>
      <c r="J10823" s="647">
        <v>847.39</v>
      </c>
    </row>
    <row r="10824" spans="2:10">
      <c r="B10824" s="1230" t="s">
        <v>440</v>
      </c>
      <c r="C10824" s="132" t="s">
        <v>1953</v>
      </c>
      <c r="D10824" s="255">
        <v>8027</v>
      </c>
      <c r="E10824" s="553">
        <v>154.96</v>
      </c>
      <c r="F10824" s="553">
        <v>1232.6300000000001</v>
      </c>
      <c r="G10824" s="553">
        <v>371.47</v>
      </c>
      <c r="H10824" s="553">
        <v>126.53</v>
      </c>
      <c r="I10824" s="553">
        <v>1841.52</v>
      </c>
      <c r="J10824" s="647">
        <v>776.46</v>
      </c>
    </row>
    <row r="10825" spans="2:10">
      <c r="B10825" s="1230" t="s">
        <v>440</v>
      </c>
      <c r="C10825" s="132" t="s">
        <v>1954</v>
      </c>
      <c r="D10825" s="255">
        <v>8029</v>
      </c>
      <c r="E10825" s="553">
        <v>193.81</v>
      </c>
      <c r="F10825" s="553">
        <v>1946.3</v>
      </c>
      <c r="G10825" s="553">
        <v>384.05</v>
      </c>
      <c r="H10825" s="553">
        <v>195.2</v>
      </c>
      <c r="I10825" s="553">
        <v>3332.64</v>
      </c>
      <c r="J10825" s="647">
        <v>972.66</v>
      </c>
    </row>
    <row r="10826" spans="2:10">
      <c r="B10826" s="1230" t="s">
        <v>440</v>
      </c>
      <c r="C10826" s="132" t="s">
        <v>1955</v>
      </c>
      <c r="D10826" s="255">
        <v>8031</v>
      </c>
      <c r="E10826" s="553">
        <v>1628.25</v>
      </c>
      <c r="F10826" s="553">
        <v>15173.87</v>
      </c>
      <c r="G10826" s="553">
        <v>491.2</v>
      </c>
      <c r="H10826" s="553">
        <v>1533.14</v>
      </c>
      <c r="I10826" s="553">
        <v>73498.42</v>
      </c>
      <c r="J10826" s="647">
        <v>1170.3900000000001</v>
      </c>
    </row>
    <row r="10827" spans="2:10">
      <c r="B10827" s="1230" t="s">
        <v>440</v>
      </c>
      <c r="C10827" s="132" t="s">
        <v>1956</v>
      </c>
      <c r="D10827" s="255">
        <v>8033</v>
      </c>
      <c r="E10827" s="553">
        <v>161.47999999999999</v>
      </c>
      <c r="F10827" s="553">
        <v>1090.9100000000001</v>
      </c>
      <c r="G10827" s="553">
        <v>333.34</v>
      </c>
      <c r="H10827" s="553">
        <v>114.18</v>
      </c>
      <c r="I10827" s="553">
        <v>1077.92</v>
      </c>
      <c r="J10827" s="647">
        <v>861.39</v>
      </c>
    </row>
    <row r="10828" spans="2:10">
      <c r="B10828" s="1230" t="s">
        <v>440</v>
      </c>
      <c r="C10828" s="132" t="s">
        <v>1957</v>
      </c>
      <c r="D10828" s="255">
        <v>8035</v>
      </c>
      <c r="E10828" s="553">
        <v>1062</v>
      </c>
      <c r="F10828" s="553">
        <v>9606.1200000000008</v>
      </c>
      <c r="G10828" s="553">
        <v>726.29</v>
      </c>
      <c r="H10828" s="553">
        <v>973.32</v>
      </c>
      <c r="I10828" s="553">
        <v>41622.26</v>
      </c>
      <c r="J10828" s="647">
        <v>1176.5999999999999</v>
      </c>
    </row>
    <row r="10829" spans="2:10">
      <c r="B10829" s="1230" t="s">
        <v>440</v>
      </c>
      <c r="C10829" s="132" t="s">
        <v>1958</v>
      </c>
      <c r="D10829" s="255">
        <v>8037</v>
      </c>
      <c r="E10829" s="553">
        <v>196.22</v>
      </c>
      <c r="F10829" s="553">
        <v>1361.39</v>
      </c>
      <c r="G10829" s="553">
        <v>380.34</v>
      </c>
      <c r="H10829" s="553">
        <v>142.06</v>
      </c>
      <c r="I10829" s="553">
        <v>2346.96</v>
      </c>
      <c r="J10829" s="647">
        <v>783.08</v>
      </c>
    </row>
    <row r="10830" spans="2:10">
      <c r="B10830" s="1230" t="s">
        <v>440</v>
      </c>
      <c r="C10830" s="132" t="s">
        <v>1959</v>
      </c>
      <c r="D10830" s="255">
        <v>8039</v>
      </c>
      <c r="E10830" s="553">
        <v>427.7</v>
      </c>
      <c r="F10830" s="553">
        <v>3846.96</v>
      </c>
      <c r="G10830" s="553">
        <v>892.72</v>
      </c>
      <c r="H10830" s="553">
        <v>390.25</v>
      </c>
      <c r="I10830" s="553">
        <v>5075.9799999999996</v>
      </c>
      <c r="J10830" s="647">
        <v>1192.67</v>
      </c>
    </row>
    <row r="10831" spans="2:10">
      <c r="B10831" s="1230" t="s">
        <v>440</v>
      </c>
      <c r="C10831" s="132" t="s">
        <v>1960</v>
      </c>
      <c r="D10831" s="255">
        <v>8041</v>
      </c>
      <c r="E10831" s="553">
        <v>348.56</v>
      </c>
      <c r="F10831" s="553">
        <v>3004.52</v>
      </c>
      <c r="G10831" s="553">
        <v>515.24</v>
      </c>
      <c r="H10831" s="553">
        <v>306.05</v>
      </c>
      <c r="I10831" s="553">
        <v>7140.27</v>
      </c>
      <c r="J10831" s="647">
        <v>1006.55</v>
      </c>
    </row>
    <row r="10832" spans="2:10">
      <c r="B10832" s="1230" t="s">
        <v>440</v>
      </c>
      <c r="C10832" s="132" t="s">
        <v>1961</v>
      </c>
      <c r="D10832" s="255">
        <v>8043</v>
      </c>
      <c r="E10832" s="553">
        <v>225.18</v>
      </c>
      <c r="F10832" s="553">
        <v>1797.06</v>
      </c>
      <c r="G10832" s="553">
        <v>402.21</v>
      </c>
      <c r="H10832" s="553">
        <v>184.4</v>
      </c>
      <c r="I10832" s="553">
        <v>4268.46</v>
      </c>
      <c r="J10832" s="647">
        <v>823.96</v>
      </c>
    </row>
    <row r="10833" spans="2:10">
      <c r="B10833" s="1230" t="s">
        <v>440</v>
      </c>
      <c r="C10833" s="132" t="s">
        <v>1962</v>
      </c>
      <c r="D10833" s="255">
        <v>8045</v>
      </c>
      <c r="E10833" s="553">
        <v>149.44</v>
      </c>
      <c r="F10833" s="553">
        <v>1168.17</v>
      </c>
      <c r="G10833" s="553">
        <v>408.27</v>
      </c>
      <c r="H10833" s="553">
        <v>120.18</v>
      </c>
      <c r="I10833" s="553">
        <v>1326.65</v>
      </c>
      <c r="J10833" s="647">
        <v>917.17</v>
      </c>
    </row>
    <row r="10834" spans="2:10">
      <c r="B10834" s="1230" t="s">
        <v>440</v>
      </c>
      <c r="C10834" s="132" t="s">
        <v>1963</v>
      </c>
      <c r="D10834" s="255">
        <v>8047</v>
      </c>
      <c r="E10834" s="553">
        <v>515.85</v>
      </c>
      <c r="F10834" s="553">
        <v>3294.7</v>
      </c>
      <c r="G10834" s="553">
        <v>652.02</v>
      </c>
      <c r="H10834" s="553">
        <v>347.61</v>
      </c>
      <c r="I10834" s="553">
        <v>8013.99</v>
      </c>
      <c r="J10834" s="647">
        <v>921.56</v>
      </c>
    </row>
    <row r="10835" spans="2:10">
      <c r="B10835" s="1230" t="s">
        <v>440</v>
      </c>
      <c r="C10835" s="132" t="s">
        <v>1964</v>
      </c>
      <c r="D10835" s="255">
        <v>8049</v>
      </c>
      <c r="E10835" s="553">
        <v>300.8</v>
      </c>
      <c r="F10835" s="553">
        <v>2227.1799999999998</v>
      </c>
      <c r="G10835" s="553">
        <v>613.45000000000005</v>
      </c>
      <c r="H10835" s="553">
        <v>230.58</v>
      </c>
      <c r="I10835" s="553">
        <v>3645.59</v>
      </c>
      <c r="J10835" s="647">
        <v>908.01</v>
      </c>
    </row>
    <row r="10836" spans="2:10">
      <c r="B10836" s="1230" t="s">
        <v>440</v>
      </c>
      <c r="C10836" s="132" t="s">
        <v>1965</v>
      </c>
      <c r="D10836" s="255">
        <v>8051</v>
      </c>
      <c r="E10836" s="553">
        <v>163.49</v>
      </c>
      <c r="F10836" s="553">
        <v>1268.3900000000001</v>
      </c>
      <c r="G10836" s="553">
        <v>412.8</v>
      </c>
      <c r="H10836" s="553">
        <v>130.61000000000001</v>
      </c>
      <c r="I10836" s="553">
        <v>1573.87</v>
      </c>
      <c r="J10836" s="647">
        <v>948.65</v>
      </c>
    </row>
    <row r="10837" spans="2:10">
      <c r="B10837" s="1230" t="s">
        <v>440</v>
      </c>
      <c r="C10837" s="132" t="s">
        <v>1966</v>
      </c>
      <c r="D10837" s="255">
        <v>8053</v>
      </c>
      <c r="E10837" s="553">
        <v>164.94</v>
      </c>
      <c r="F10837" s="553">
        <v>971.62</v>
      </c>
      <c r="G10837" s="553">
        <v>382.5</v>
      </c>
      <c r="H10837" s="553">
        <v>103.66</v>
      </c>
      <c r="I10837" s="553">
        <v>795</v>
      </c>
      <c r="J10837" s="647">
        <v>913.49</v>
      </c>
    </row>
    <row r="10838" spans="2:10">
      <c r="B10838" s="1230" t="s">
        <v>440</v>
      </c>
      <c r="C10838" s="132" t="s">
        <v>1967</v>
      </c>
      <c r="D10838" s="255">
        <v>8055</v>
      </c>
      <c r="E10838" s="553">
        <v>196.49</v>
      </c>
      <c r="F10838" s="553">
        <v>1758.17</v>
      </c>
      <c r="G10838" s="553">
        <v>384.39</v>
      </c>
      <c r="H10838" s="553">
        <v>178.31</v>
      </c>
      <c r="I10838" s="553">
        <v>2720.77</v>
      </c>
      <c r="J10838" s="647">
        <v>861.87</v>
      </c>
    </row>
    <row r="10839" spans="2:10">
      <c r="B10839" s="1230" t="s">
        <v>440</v>
      </c>
      <c r="C10839" s="132" t="s">
        <v>1754</v>
      </c>
      <c r="D10839" s="255">
        <v>8057</v>
      </c>
      <c r="E10839" s="553">
        <v>149.57</v>
      </c>
      <c r="F10839" s="553">
        <v>1153.24</v>
      </c>
      <c r="G10839" s="553">
        <v>394.02</v>
      </c>
      <c r="H10839" s="553">
        <v>118.86</v>
      </c>
      <c r="I10839" s="553">
        <v>1710.12</v>
      </c>
      <c r="J10839" s="647">
        <v>752.62</v>
      </c>
    </row>
    <row r="10840" spans="2:10">
      <c r="B10840" s="1230" t="s">
        <v>440</v>
      </c>
      <c r="C10840" s="132" t="s">
        <v>1755</v>
      </c>
      <c r="D10840" s="255">
        <v>8059</v>
      </c>
      <c r="E10840" s="553">
        <v>1089.5999999999999</v>
      </c>
      <c r="F10840" s="553">
        <v>9656.31</v>
      </c>
      <c r="G10840" s="553">
        <v>588.55999999999995</v>
      </c>
      <c r="H10840" s="553">
        <v>980.4</v>
      </c>
      <c r="I10840" s="553">
        <v>44707.37</v>
      </c>
      <c r="J10840" s="647">
        <v>1097.81</v>
      </c>
    </row>
    <row r="10841" spans="2:10">
      <c r="B10841" s="1230" t="s">
        <v>440</v>
      </c>
      <c r="C10841" s="132" t="s">
        <v>1968</v>
      </c>
      <c r="D10841" s="255">
        <v>8061</v>
      </c>
      <c r="E10841" s="553">
        <v>133.07</v>
      </c>
      <c r="F10841" s="553">
        <v>1008.32</v>
      </c>
      <c r="G10841" s="553">
        <v>483.06</v>
      </c>
      <c r="H10841" s="553">
        <v>104.1</v>
      </c>
      <c r="I10841" s="553">
        <v>360.81</v>
      </c>
      <c r="J10841" s="647">
        <v>831.44</v>
      </c>
    </row>
    <row r="10842" spans="2:10">
      <c r="B10842" s="1230" t="s">
        <v>440</v>
      </c>
      <c r="C10842" s="132" t="s">
        <v>1969</v>
      </c>
      <c r="D10842" s="255">
        <v>8063</v>
      </c>
      <c r="E10842" s="553">
        <v>114.89</v>
      </c>
      <c r="F10842" s="553">
        <v>967.43</v>
      </c>
      <c r="G10842" s="553">
        <v>531.91</v>
      </c>
      <c r="H10842" s="553">
        <v>98.72</v>
      </c>
      <c r="I10842" s="553">
        <v>377.87</v>
      </c>
      <c r="J10842" s="647">
        <v>824.49</v>
      </c>
    </row>
    <row r="10843" spans="2:10">
      <c r="B10843" s="1230" t="s">
        <v>440</v>
      </c>
      <c r="C10843" s="132" t="s">
        <v>1900</v>
      </c>
      <c r="D10843" s="255">
        <v>8065</v>
      </c>
      <c r="E10843" s="553">
        <v>201.24</v>
      </c>
      <c r="F10843" s="553">
        <v>1368.53</v>
      </c>
      <c r="G10843" s="553">
        <v>386.11</v>
      </c>
      <c r="H10843" s="553">
        <v>143.16999999999999</v>
      </c>
      <c r="I10843" s="553">
        <v>2450.85</v>
      </c>
      <c r="J10843" s="647">
        <v>781.23</v>
      </c>
    </row>
    <row r="10844" spans="2:10">
      <c r="B10844" s="1230" t="s">
        <v>440</v>
      </c>
      <c r="C10844" s="132" t="s">
        <v>1970</v>
      </c>
      <c r="D10844" s="255">
        <v>8067</v>
      </c>
      <c r="E10844" s="553">
        <v>153.52000000000001</v>
      </c>
      <c r="F10844" s="553">
        <v>1140.1300000000001</v>
      </c>
      <c r="G10844" s="553">
        <v>363.82</v>
      </c>
      <c r="H10844" s="553">
        <v>118.01</v>
      </c>
      <c r="I10844" s="553">
        <v>1069.54</v>
      </c>
      <c r="J10844" s="647">
        <v>908.5</v>
      </c>
    </row>
    <row r="10845" spans="2:10">
      <c r="B10845" s="1230" t="s">
        <v>440</v>
      </c>
      <c r="C10845" s="132" t="s">
        <v>1971</v>
      </c>
      <c r="D10845" s="255">
        <v>8069</v>
      </c>
      <c r="E10845" s="553">
        <v>252.99</v>
      </c>
      <c r="F10845" s="553">
        <v>2183.85</v>
      </c>
      <c r="G10845" s="553">
        <v>646.34</v>
      </c>
      <c r="H10845" s="553">
        <v>222.38</v>
      </c>
      <c r="I10845" s="553">
        <v>4030.4</v>
      </c>
      <c r="J10845" s="647">
        <v>911.53</v>
      </c>
    </row>
    <row r="10846" spans="2:10">
      <c r="B10846" s="1230" t="s">
        <v>440</v>
      </c>
      <c r="C10846" s="132" t="s">
        <v>1972</v>
      </c>
      <c r="D10846" s="255">
        <v>8071</v>
      </c>
      <c r="E10846" s="553">
        <v>125.45</v>
      </c>
      <c r="F10846" s="553">
        <v>1135</v>
      </c>
      <c r="G10846" s="553">
        <v>409.93</v>
      </c>
      <c r="H10846" s="553">
        <v>115.02</v>
      </c>
      <c r="I10846" s="553">
        <v>958.48</v>
      </c>
      <c r="J10846" s="647">
        <v>825.62</v>
      </c>
    </row>
    <row r="10847" spans="2:10">
      <c r="B10847" s="1230" t="s">
        <v>440</v>
      </c>
      <c r="C10847" s="132" t="s">
        <v>1858</v>
      </c>
      <c r="D10847" s="255">
        <v>8073</v>
      </c>
      <c r="E10847" s="553">
        <v>135.96</v>
      </c>
      <c r="F10847" s="553">
        <v>1124.6400000000001</v>
      </c>
      <c r="G10847" s="553">
        <v>462.47</v>
      </c>
      <c r="H10847" s="553">
        <v>115</v>
      </c>
      <c r="I10847" s="553">
        <v>1118.93</v>
      </c>
      <c r="J10847" s="647">
        <v>809.99</v>
      </c>
    </row>
    <row r="10848" spans="2:10">
      <c r="B10848" s="1230" t="s">
        <v>440</v>
      </c>
      <c r="C10848" s="132" t="s">
        <v>1860</v>
      </c>
      <c r="D10848" s="255">
        <v>8075</v>
      </c>
      <c r="E10848" s="553">
        <v>140.37</v>
      </c>
      <c r="F10848" s="553">
        <v>1104.69</v>
      </c>
      <c r="G10848" s="553">
        <v>603.16999999999996</v>
      </c>
      <c r="H10848" s="553">
        <v>113.47</v>
      </c>
      <c r="I10848" s="553">
        <v>441.95</v>
      </c>
      <c r="J10848" s="647">
        <v>840.97</v>
      </c>
    </row>
    <row r="10849" spans="2:10">
      <c r="B10849" s="1230" t="s">
        <v>440</v>
      </c>
      <c r="C10849" s="132" t="s">
        <v>1973</v>
      </c>
      <c r="D10849" s="255">
        <v>8077</v>
      </c>
      <c r="E10849" s="553">
        <v>140.87</v>
      </c>
      <c r="F10849" s="553">
        <v>1341.18</v>
      </c>
      <c r="G10849" s="553">
        <v>365.96</v>
      </c>
      <c r="H10849" s="553">
        <v>135.09</v>
      </c>
      <c r="I10849" s="553">
        <v>1762.07</v>
      </c>
      <c r="J10849" s="647">
        <v>909.84</v>
      </c>
    </row>
    <row r="10850" spans="2:10">
      <c r="B10850" s="1230" t="s">
        <v>440</v>
      </c>
      <c r="C10850" s="132" t="s">
        <v>1974</v>
      </c>
      <c r="D10850" s="255">
        <v>8079</v>
      </c>
      <c r="E10850" s="553">
        <v>154.85</v>
      </c>
      <c r="F10850" s="553">
        <v>974.3</v>
      </c>
      <c r="G10850" s="553">
        <v>392.67</v>
      </c>
      <c r="H10850" s="553">
        <v>102.97</v>
      </c>
      <c r="I10850" s="553">
        <v>747.89</v>
      </c>
      <c r="J10850" s="647">
        <v>921.38</v>
      </c>
    </row>
    <row r="10851" spans="2:10">
      <c r="B10851" s="1230" t="s">
        <v>440</v>
      </c>
      <c r="C10851" s="132" t="s">
        <v>1975</v>
      </c>
      <c r="D10851" s="255">
        <v>8081</v>
      </c>
      <c r="E10851" s="553">
        <v>102.73</v>
      </c>
      <c r="F10851" s="553">
        <v>865.4</v>
      </c>
      <c r="G10851" s="553">
        <v>378.7</v>
      </c>
      <c r="H10851" s="553">
        <v>88.27</v>
      </c>
      <c r="I10851" s="553">
        <v>626.54</v>
      </c>
      <c r="J10851" s="647">
        <v>838.06</v>
      </c>
    </row>
    <row r="10852" spans="2:10">
      <c r="B10852" s="1230" t="s">
        <v>440</v>
      </c>
      <c r="C10852" s="132" t="s">
        <v>1976</v>
      </c>
      <c r="D10852" s="255">
        <v>8083</v>
      </c>
      <c r="E10852" s="553">
        <v>142.07</v>
      </c>
      <c r="F10852" s="553">
        <v>1082.19</v>
      </c>
      <c r="G10852" s="553">
        <v>328.22</v>
      </c>
      <c r="H10852" s="553">
        <v>111.62</v>
      </c>
      <c r="I10852" s="553">
        <v>998.53</v>
      </c>
      <c r="J10852" s="647">
        <v>864.04</v>
      </c>
    </row>
    <row r="10853" spans="2:10">
      <c r="B10853" s="1230" t="s">
        <v>440</v>
      </c>
      <c r="C10853" s="132" t="s">
        <v>1977</v>
      </c>
      <c r="D10853" s="255">
        <v>8085</v>
      </c>
      <c r="E10853" s="553">
        <v>176.72</v>
      </c>
      <c r="F10853" s="553">
        <v>1523.17</v>
      </c>
      <c r="G10853" s="553">
        <v>390.02</v>
      </c>
      <c r="H10853" s="553">
        <v>154.93</v>
      </c>
      <c r="I10853" s="553">
        <v>2276.2399999999998</v>
      </c>
      <c r="J10853" s="647">
        <v>916.21</v>
      </c>
    </row>
    <row r="10854" spans="2:10">
      <c r="B10854" s="1230" t="s">
        <v>440</v>
      </c>
      <c r="C10854" s="132" t="s">
        <v>1770</v>
      </c>
      <c r="D10854" s="255">
        <v>8087</v>
      </c>
      <c r="E10854" s="553">
        <v>251.22</v>
      </c>
      <c r="F10854" s="553">
        <v>2139.44</v>
      </c>
      <c r="G10854" s="553">
        <v>884.34</v>
      </c>
      <c r="H10854" s="553">
        <v>218.01</v>
      </c>
      <c r="I10854" s="553">
        <v>820.22</v>
      </c>
      <c r="J10854" s="647">
        <v>991.68</v>
      </c>
    </row>
    <row r="10855" spans="2:10">
      <c r="B10855" s="1230" t="s">
        <v>440</v>
      </c>
      <c r="C10855" s="132" t="s">
        <v>1978</v>
      </c>
      <c r="D10855" s="255">
        <v>8089</v>
      </c>
      <c r="E10855" s="553">
        <v>139.13999999999999</v>
      </c>
      <c r="F10855" s="553">
        <v>1128.22</v>
      </c>
      <c r="G10855" s="553">
        <v>465.39</v>
      </c>
      <c r="H10855" s="553">
        <v>115.62</v>
      </c>
      <c r="I10855" s="553">
        <v>569.22</v>
      </c>
      <c r="J10855" s="647">
        <v>838.56</v>
      </c>
    </row>
    <row r="10856" spans="2:10">
      <c r="B10856" s="1230" t="s">
        <v>440</v>
      </c>
      <c r="C10856" s="132" t="s">
        <v>1979</v>
      </c>
      <c r="D10856" s="255">
        <v>8091</v>
      </c>
      <c r="E10856" s="553">
        <v>177.15</v>
      </c>
      <c r="F10856" s="553">
        <v>1096.1600000000001</v>
      </c>
      <c r="G10856" s="553">
        <v>368.68</v>
      </c>
      <c r="H10856" s="553">
        <v>116.05</v>
      </c>
      <c r="I10856" s="553">
        <v>1225.95</v>
      </c>
      <c r="J10856" s="647">
        <v>894.16</v>
      </c>
    </row>
    <row r="10857" spans="2:10">
      <c r="B10857" s="1230" t="s">
        <v>440</v>
      </c>
      <c r="C10857" s="132" t="s">
        <v>1980</v>
      </c>
      <c r="D10857" s="255">
        <v>8093</v>
      </c>
      <c r="E10857" s="553">
        <v>415.25</v>
      </c>
      <c r="F10857" s="553">
        <v>3335.54</v>
      </c>
      <c r="G10857" s="553">
        <v>432.64</v>
      </c>
      <c r="H10857" s="553">
        <v>342.21</v>
      </c>
      <c r="I10857" s="553">
        <v>11853.06</v>
      </c>
      <c r="J10857" s="647">
        <v>889.19</v>
      </c>
    </row>
    <row r="10858" spans="2:10">
      <c r="B10858" s="1230" t="s">
        <v>440</v>
      </c>
      <c r="C10858" s="132" t="s">
        <v>1865</v>
      </c>
      <c r="D10858" s="255">
        <v>8095</v>
      </c>
      <c r="E10858" s="553">
        <v>127.07</v>
      </c>
      <c r="F10858" s="553">
        <v>843.44</v>
      </c>
      <c r="G10858" s="553">
        <v>633.61</v>
      </c>
      <c r="H10858" s="553">
        <v>88.56</v>
      </c>
      <c r="I10858" s="553">
        <v>287.31</v>
      </c>
      <c r="J10858" s="647">
        <v>537.48</v>
      </c>
    </row>
    <row r="10859" spans="2:10">
      <c r="B10859" s="1230" t="s">
        <v>440</v>
      </c>
      <c r="C10859" s="132" t="s">
        <v>1981</v>
      </c>
      <c r="D10859" s="255">
        <v>8097</v>
      </c>
      <c r="E10859" s="553">
        <v>165.3</v>
      </c>
      <c r="F10859" s="553">
        <v>1194.05</v>
      </c>
      <c r="G10859" s="553">
        <v>421.39</v>
      </c>
      <c r="H10859" s="553">
        <v>123.99</v>
      </c>
      <c r="I10859" s="553">
        <v>1479.53</v>
      </c>
      <c r="J10859" s="647">
        <v>926.17</v>
      </c>
    </row>
    <row r="10860" spans="2:10">
      <c r="B10860" s="1230" t="s">
        <v>440</v>
      </c>
      <c r="C10860" s="132" t="s">
        <v>1982</v>
      </c>
      <c r="D10860" s="255">
        <v>8099</v>
      </c>
      <c r="E10860" s="553">
        <v>85.71</v>
      </c>
      <c r="F10860" s="553">
        <v>667.45</v>
      </c>
      <c r="G10860" s="553">
        <v>301.22000000000003</v>
      </c>
      <c r="H10860" s="553">
        <v>68.7</v>
      </c>
      <c r="I10860" s="553">
        <v>250.55</v>
      </c>
      <c r="J10860" s="647">
        <v>1051.6600000000001</v>
      </c>
    </row>
    <row r="10861" spans="2:10">
      <c r="B10861" s="1230" t="s">
        <v>440</v>
      </c>
      <c r="C10861" s="132" t="s">
        <v>1983</v>
      </c>
      <c r="D10861" s="255">
        <v>8101</v>
      </c>
      <c r="E10861" s="553">
        <v>286.7</v>
      </c>
      <c r="F10861" s="553">
        <v>2585.0300000000002</v>
      </c>
      <c r="G10861" s="553">
        <v>444.85</v>
      </c>
      <c r="H10861" s="553">
        <v>262.08</v>
      </c>
      <c r="I10861" s="553">
        <v>4669.3100000000004</v>
      </c>
      <c r="J10861" s="647">
        <v>993.09</v>
      </c>
    </row>
    <row r="10862" spans="2:10">
      <c r="B10862" s="1230" t="s">
        <v>440</v>
      </c>
      <c r="C10862" s="132" t="s">
        <v>1984</v>
      </c>
      <c r="D10862" s="255">
        <v>8103</v>
      </c>
      <c r="E10862" s="553">
        <v>124.93</v>
      </c>
      <c r="F10862" s="553">
        <v>1011.22</v>
      </c>
      <c r="G10862" s="553">
        <v>391.08</v>
      </c>
      <c r="H10862" s="553">
        <v>103.6</v>
      </c>
      <c r="I10862" s="553">
        <v>928.31</v>
      </c>
      <c r="J10862" s="647">
        <v>873.58</v>
      </c>
    </row>
    <row r="10863" spans="2:10">
      <c r="B10863" s="1230" t="s">
        <v>440</v>
      </c>
      <c r="C10863" s="132" t="s">
        <v>1985</v>
      </c>
      <c r="D10863" s="255">
        <v>8105</v>
      </c>
      <c r="E10863" s="553">
        <v>146.38</v>
      </c>
      <c r="F10863" s="553">
        <v>1062.17</v>
      </c>
      <c r="G10863" s="553">
        <v>428.97</v>
      </c>
      <c r="H10863" s="553">
        <v>110.14</v>
      </c>
      <c r="I10863" s="553">
        <v>641.08000000000004</v>
      </c>
      <c r="J10863" s="647">
        <v>945.27</v>
      </c>
    </row>
    <row r="10864" spans="2:10">
      <c r="B10864" s="1230" t="s">
        <v>440</v>
      </c>
      <c r="C10864" s="132" t="s">
        <v>1986</v>
      </c>
      <c r="D10864" s="255">
        <v>8107</v>
      </c>
      <c r="E10864" s="553">
        <v>129.47</v>
      </c>
      <c r="F10864" s="553">
        <v>1042.79</v>
      </c>
      <c r="G10864" s="553">
        <v>440.71</v>
      </c>
      <c r="H10864" s="553">
        <v>106.89</v>
      </c>
      <c r="I10864" s="553">
        <v>1036.0999999999999</v>
      </c>
      <c r="J10864" s="647">
        <v>908.96</v>
      </c>
    </row>
    <row r="10865" spans="2:10">
      <c r="B10865" s="1230" t="s">
        <v>440</v>
      </c>
      <c r="C10865" s="132" t="s">
        <v>1987</v>
      </c>
      <c r="D10865" s="255">
        <v>8109</v>
      </c>
      <c r="E10865" s="553">
        <v>160.18</v>
      </c>
      <c r="F10865" s="553">
        <v>1179.58</v>
      </c>
      <c r="G10865" s="553">
        <v>354.73</v>
      </c>
      <c r="H10865" s="553">
        <v>122.24</v>
      </c>
      <c r="I10865" s="553">
        <v>1715.62</v>
      </c>
      <c r="J10865" s="647">
        <v>766.94</v>
      </c>
    </row>
    <row r="10866" spans="2:10">
      <c r="B10866" s="1230" t="s">
        <v>440</v>
      </c>
      <c r="C10866" s="132" t="s">
        <v>1988</v>
      </c>
      <c r="D10866" s="255">
        <v>8111</v>
      </c>
      <c r="E10866" s="553">
        <v>156.55000000000001</v>
      </c>
      <c r="F10866" s="553">
        <v>963.03</v>
      </c>
      <c r="G10866" s="553">
        <v>367.3</v>
      </c>
      <c r="H10866" s="553">
        <v>102.04</v>
      </c>
      <c r="I10866" s="553">
        <v>801.29</v>
      </c>
      <c r="J10866" s="647">
        <v>890.54</v>
      </c>
    </row>
    <row r="10867" spans="2:10">
      <c r="B10867" s="1230" t="s">
        <v>440</v>
      </c>
      <c r="C10867" s="132" t="s">
        <v>1989</v>
      </c>
      <c r="D10867" s="255">
        <v>8113</v>
      </c>
      <c r="E10867" s="553">
        <v>173.79</v>
      </c>
      <c r="F10867" s="553">
        <v>1145.58</v>
      </c>
      <c r="G10867" s="553">
        <v>339.86</v>
      </c>
      <c r="H10867" s="553">
        <v>120.22</v>
      </c>
      <c r="I10867" s="553">
        <v>1364.47</v>
      </c>
      <c r="J10867" s="647">
        <v>869.26</v>
      </c>
    </row>
    <row r="10868" spans="2:10">
      <c r="B10868" s="1230" t="s">
        <v>440</v>
      </c>
      <c r="C10868" s="132" t="s">
        <v>1990</v>
      </c>
      <c r="D10868" s="255">
        <v>8115</v>
      </c>
      <c r="E10868" s="553">
        <v>156.21</v>
      </c>
      <c r="F10868" s="553">
        <v>889.98</v>
      </c>
      <c r="G10868" s="553">
        <v>523.76</v>
      </c>
      <c r="H10868" s="553">
        <v>95.4</v>
      </c>
      <c r="I10868" s="553">
        <v>291.95999999999998</v>
      </c>
      <c r="J10868" s="647">
        <v>543.16999999999996</v>
      </c>
    </row>
    <row r="10869" spans="2:10">
      <c r="B10869" s="1230" t="s">
        <v>440</v>
      </c>
      <c r="C10869" s="132" t="s">
        <v>1991</v>
      </c>
      <c r="D10869" s="255">
        <v>8117</v>
      </c>
      <c r="E10869" s="553">
        <v>254.84</v>
      </c>
      <c r="F10869" s="553">
        <v>1780.45</v>
      </c>
      <c r="G10869" s="553">
        <v>448.75</v>
      </c>
      <c r="H10869" s="553">
        <v>185.62</v>
      </c>
      <c r="I10869" s="553">
        <v>4049.35</v>
      </c>
      <c r="J10869" s="647">
        <v>817.32</v>
      </c>
    </row>
    <row r="10870" spans="2:10">
      <c r="B10870" s="1230" t="s">
        <v>440</v>
      </c>
      <c r="C10870" s="132" t="s">
        <v>1992</v>
      </c>
      <c r="D10870" s="255">
        <v>8119</v>
      </c>
      <c r="E10870" s="553">
        <v>325.94</v>
      </c>
      <c r="F10870" s="553">
        <v>2669.99</v>
      </c>
      <c r="G10870" s="553">
        <v>535.6</v>
      </c>
      <c r="H10870" s="553">
        <v>273.37</v>
      </c>
      <c r="I10870" s="553">
        <v>6633.02</v>
      </c>
      <c r="J10870" s="647">
        <v>917.98</v>
      </c>
    </row>
    <row r="10871" spans="2:10">
      <c r="B10871" s="1230" t="s">
        <v>440</v>
      </c>
      <c r="C10871" s="132" t="s">
        <v>487</v>
      </c>
      <c r="D10871" s="255">
        <v>8121</v>
      </c>
      <c r="E10871" s="553">
        <v>144.30000000000001</v>
      </c>
      <c r="F10871" s="553">
        <v>1204.08</v>
      </c>
      <c r="G10871" s="553">
        <v>579.74</v>
      </c>
      <c r="H10871" s="553">
        <v>122.99</v>
      </c>
      <c r="I10871" s="553">
        <v>574.80999999999995</v>
      </c>
      <c r="J10871" s="647">
        <v>861.08</v>
      </c>
    </row>
    <row r="10872" spans="2:10">
      <c r="B10872" s="1230" t="s">
        <v>440</v>
      </c>
      <c r="C10872" s="132" t="s">
        <v>1993</v>
      </c>
      <c r="D10872" s="255">
        <v>8123</v>
      </c>
      <c r="E10872" s="553">
        <v>353.6</v>
      </c>
      <c r="F10872" s="553">
        <v>3125.36</v>
      </c>
      <c r="G10872" s="553">
        <v>1453.62</v>
      </c>
      <c r="H10872" s="553">
        <v>317.47000000000003</v>
      </c>
      <c r="I10872" s="553">
        <v>1061.46</v>
      </c>
      <c r="J10872" s="647">
        <v>1327.72</v>
      </c>
    </row>
    <row r="10873" spans="2:10">
      <c r="B10873" s="1230" t="s">
        <v>440</v>
      </c>
      <c r="C10873" s="132" t="s">
        <v>1829</v>
      </c>
      <c r="D10873" s="255">
        <v>8125</v>
      </c>
      <c r="E10873" s="553">
        <v>121.6</v>
      </c>
      <c r="F10873" s="553">
        <v>855.61</v>
      </c>
      <c r="G10873" s="553">
        <v>476.79</v>
      </c>
      <c r="H10873" s="553">
        <v>89.09</v>
      </c>
      <c r="I10873" s="553">
        <v>290.91000000000003</v>
      </c>
      <c r="J10873" s="647">
        <v>543.4</v>
      </c>
    </row>
    <row r="10874" spans="2:10">
      <c r="B10874" s="1230" t="s">
        <v>441</v>
      </c>
      <c r="C10874" s="132" t="s">
        <v>1994</v>
      </c>
      <c r="D10874" s="255">
        <v>9001</v>
      </c>
      <c r="E10874" s="553">
        <v>1506.68</v>
      </c>
      <c r="F10874" s="553">
        <v>17502.86</v>
      </c>
      <c r="G10874" s="553">
        <v>241.88</v>
      </c>
      <c r="H10874" s="553">
        <v>1733.33</v>
      </c>
      <c r="I10874" s="553">
        <v>31313.22</v>
      </c>
      <c r="J10874" s="647">
        <v>4631.37</v>
      </c>
    </row>
    <row r="10875" spans="2:10">
      <c r="B10875" s="1230" t="s">
        <v>441</v>
      </c>
      <c r="C10875" s="132" t="s">
        <v>1995</v>
      </c>
      <c r="D10875" s="255">
        <v>9003</v>
      </c>
      <c r="E10875" s="553">
        <v>1119.5999999999999</v>
      </c>
      <c r="F10875" s="553">
        <v>13247.99</v>
      </c>
      <c r="G10875" s="553">
        <v>94.73</v>
      </c>
      <c r="H10875" s="553">
        <v>1310.28</v>
      </c>
      <c r="I10875" s="553">
        <v>25132.57</v>
      </c>
      <c r="J10875" s="647">
        <v>3670.47</v>
      </c>
    </row>
    <row r="10876" spans="2:10">
      <c r="B10876" s="1230" t="s">
        <v>441</v>
      </c>
      <c r="C10876" s="132" t="s">
        <v>1996</v>
      </c>
      <c r="D10876" s="255">
        <v>9005</v>
      </c>
      <c r="E10876" s="553">
        <v>1148.25</v>
      </c>
      <c r="F10876" s="553">
        <v>13735.52</v>
      </c>
      <c r="G10876" s="553">
        <v>143.31</v>
      </c>
      <c r="H10876" s="553">
        <v>1357.07</v>
      </c>
      <c r="I10876" s="553">
        <v>25116.85</v>
      </c>
      <c r="J10876" s="647">
        <v>4122.16</v>
      </c>
    </row>
    <row r="10877" spans="2:10">
      <c r="B10877" s="1230" t="s">
        <v>441</v>
      </c>
      <c r="C10877" s="132" t="s">
        <v>1997</v>
      </c>
      <c r="D10877" s="255">
        <v>9007</v>
      </c>
      <c r="E10877" s="553">
        <v>479.4</v>
      </c>
      <c r="F10877" s="553">
        <v>5532.65</v>
      </c>
      <c r="G10877" s="553">
        <v>68.459999999999994</v>
      </c>
      <c r="H10877" s="553">
        <v>548.23</v>
      </c>
      <c r="I10877" s="553">
        <v>10142.99</v>
      </c>
      <c r="J10877" s="647">
        <v>1819.53</v>
      </c>
    </row>
    <row r="10878" spans="2:10">
      <c r="B10878" s="1230" t="s">
        <v>441</v>
      </c>
      <c r="C10878" s="132" t="s">
        <v>1998</v>
      </c>
      <c r="D10878" s="255">
        <v>9009</v>
      </c>
      <c r="E10878" s="553">
        <v>877.5</v>
      </c>
      <c r="F10878" s="553">
        <v>10507.41</v>
      </c>
      <c r="G10878" s="553">
        <v>90.27</v>
      </c>
      <c r="H10878" s="553">
        <v>1038.08</v>
      </c>
      <c r="I10878" s="553">
        <v>19768.580000000002</v>
      </c>
      <c r="J10878" s="647">
        <v>3035.44</v>
      </c>
    </row>
    <row r="10879" spans="2:10">
      <c r="B10879" s="1230" t="s">
        <v>441</v>
      </c>
      <c r="C10879" s="132" t="s">
        <v>1999</v>
      </c>
      <c r="D10879" s="255">
        <v>9011</v>
      </c>
      <c r="E10879" s="553">
        <v>781.5</v>
      </c>
      <c r="F10879" s="553">
        <v>9003.7800000000007</v>
      </c>
      <c r="G10879" s="553">
        <v>126.75</v>
      </c>
      <c r="H10879" s="553">
        <v>892.23</v>
      </c>
      <c r="I10879" s="553">
        <v>13270.53</v>
      </c>
      <c r="J10879" s="647">
        <v>3143.76</v>
      </c>
    </row>
    <row r="10880" spans="2:10">
      <c r="B10880" s="1230" t="s">
        <v>441</v>
      </c>
      <c r="C10880" s="132" t="s">
        <v>2000</v>
      </c>
      <c r="D10880" s="255">
        <v>9013</v>
      </c>
      <c r="E10880" s="553">
        <v>528.54999999999995</v>
      </c>
      <c r="F10880" s="553">
        <v>6122.83</v>
      </c>
      <c r="G10880" s="553">
        <v>62.61</v>
      </c>
      <c r="H10880" s="553">
        <v>606.44000000000005</v>
      </c>
      <c r="I10880" s="553">
        <v>11300.66</v>
      </c>
      <c r="J10880" s="647">
        <v>1936.71</v>
      </c>
    </row>
    <row r="10881" spans="2:10">
      <c r="B10881" s="1230" t="s">
        <v>441</v>
      </c>
      <c r="C10881" s="132" t="s">
        <v>2001</v>
      </c>
      <c r="D10881" s="255">
        <v>9015</v>
      </c>
      <c r="E10881" s="553">
        <v>657.45</v>
      </c>
      <c r="F10881" s="553">
        <v>7604.75</v>
      </c>
      <c r="G10881" s="553">
        <v>127.23</v>
      </c>
      <c r="H10881" s="553">
        <v>753.34</v>
      </c>
      <c r="I10881" s="553">
        <v>11013.96</v>
      </c>
      <c r="J10881" s="647">
        <v>2751.74</v>
      </c>
    </row>
    <row r="10882" spans="2:10">
      <c r="B10882" s="1230" t="s">
        <v>443</v>
      </c>
      <c r="C10882" s="132" t="s">
        <v>2002</v>
      </c>
      <c r="D10882" s="255">
        <v>10001</v>
      </c>
      <c r="E10882" s="553">
        <v>545.94000000000005</v>
      </c>
      <c r="F10882" s="553">
        <v>6521.36</v>
      </c>
      <c r="G10882" s="553">
        <v>328.84</v>
      </c>
      <c r="H10882" s="553">
        <v>644.16</v>
      </c>
      <c r="I10882" s="553">
        <v>5722.1</v>
      </c>
      <c r="J10882" s="647">
        <v>3177.07</v>
      </c>
    </row>
    <row r="10883" spans="2:10">
      <c r="B10883" s="1230" t="s">
        <v>443</v>
      </c>
      <c r="C10883" s="132" t="s">
        <v>2003</v>
      </c>
      <c r="D10883" s="255">
        <v>10003</v>
      </c>
      <c r="E10883" s="553">
        <v>1132.58</v>
      </c>
      <c r="F10883" s="553">
        <v>13335.56</v>
      </c>
      <c r="G10883" s="553">
        <v>328.48</v>
      </c>
      <c r="H10883" s="553">
        <v>1318.79</v>
      </c>
      <c r="I10883" s="553">
        <v>19579.099999999999</v>
      </c>
      <c r="J10883" s="647">
        <v>4358.84</v>
      </c>
    </row>
    <row r="10884" spans="2:10">
      <c r="B10884" s="1230" t="s">
        <v>443</v>
      </c>
      <c r="C10884" s="132" t="s">
        <v>2004</v>
      </c>
      <c r="D10884" s="255">
        <v>10005</v>
      </c>
      <c r="E10884" s="553">
        <v>475.32</v>
      </c>
      <c r="F10884" s="553">
        <v>5975.5</v>
      </c>
      <c r="G10884" s="553">
        <v>490.18</v>
      </c>
      <c r="H10884" s="553">
        <v>587.97</v>
      </c>
      <c r="I10884" s="553">
        <v>3087.44</v>
      </c>
      <c r="J10884" s="647">
        <v>3757.59</v>
      </c>
    </row>
    <row r="10885" spans="2:10">
      <c r="B10885" s="1230" t="s">
        <v>445</v>
      </c>
      <c r="C10885" s="132" t="s">
        <v>445</v>
      </c>
      <c r="D10885" s="255">
        <v>11001</v>
      </c>
      <c r="E10885" s="553">
        <v>5348.4</v>
      </c>
      <c r="F10885" s="553">
        <v>56174.77</v>
      </c>
      <c r="G10885" s="553">
        <v>37.75</v>
      </c>
      <c r="H10885" s="553">
        <v>5604.2</v>
      </c>
      <c r="I10885" s="553">
        <v>109114.87</v>
      </c>
      <c r="J10885" s="647">
        <v>12258.58</v>
      </c>
    </row>
    <row r="10886" spans="2:10">
      <c r="B10886" s="1230" t="s">
        <v>446</v>
      </c>
      <c r="C10886" s="132" t="s">
        <v>2005</v>
      </c>
      <c r="D10886" s="255">
        <v>12001</v>
      </c>
      <c r="E10886" s="553">
        <v>263.12</v>
      </c>
      <c r="F10886" s="553">
        <v>3486.48</v>
      </c>
      <c r="G10886" s="553">
        <v>180.86</v>
      </c>
      <c r="H10886" s="553">
        <v>341.7</v>
      </c>
      <c r="I10886" s="553">
        <v>4944.0600000000004</v>
      </c>
      <c r="J10886" s="647">
        <v>1708.49</v>
      </c>
    </row>
    <row r="10887" spans="2:10">
      <c r="B10887" s="1230" t="s">
        <v>446</v>
      </c>
      <c r="C10887" s="132" t="s">
        <v>2006</v>
      </c>
      <c r="D10887" s="255">
        <v>12003</v>
      </c>
      <c r="E10887" s="553">
        <v>215.87</v>
      </c>
      <c r="F10887" s="553">
        <v>2718.95</v>
      </c>
      <c r="G10887" s="553">
        <v>156.31</v>
      </c>
      <c r="H10887" s="553">
        <v>267.36</v>
      </c>
      <c r="I10887" s="553">
        <v>3879.16</v>
      </c>
      <c r="J10887" s="647">
        <v>1444.8</v>
      </c>
    </row>
    <row r="10888" spans="2:10">
      <c r="B10888" s="1230" t="s">
        <v>446</v>
      </c>
      <c r="C10888" s="132" t="s">
        <v>2007</v>
      </c>
      <c r="D10888" s="255">
        <v>12005</v>
      </c>
      <c r="E10888" s="553">
        <v>160.22</v>
      </c>
      <c r="F10888" s="553">
        <v>2217.2800000000002</v>
      </c>
      <c r="G10888" s="553">
        <v>150.01</v>
      </c>
      <c r="H10888" s="553">
        <v>216.7</v>
      </c>
      <c r="I10888" s="553">
        <v>1413.47</v>
      </c>
      <c r="J10888" s="647">
        <v>1346.93</v>
      </c>
    </row>
    <row r="10889" spans="2:10">
      <c r="B10889" s="1230" t="s">
        <v>446</v>
      </c>
      <c r="C10889" s="132" t="s">
        <v>2008</v>
      </c>
      <c r="D10889" s="255">
        <v>12007</v>
      </c>
      <c r="E10889" s="553">
        <v>251.98</v>
      </c>
      <c r="F10889" s="553">
        <v>3183.13</v>
      </c>
      <c r="G10889" s="553">
        <v>191.21</v>
      </c>
      <c r="H10889" s="553">
        <v>313.02</v>
      </c>
      <c r="I10889" s="553">
        <v>3584.53</v>
      </c>
      <c r="J10889" s="647">
        <v>1522.92</v>
      </c>
    </row>
    <row r="10890" spans="2:10">
      <c r="B10890" s="1230" t="s">
        <v>446</v>
      </c>
      <c r="C10890" s="132" t="s">
        <v>2009</v>
      </c>
      <c r="D10890" s="255">
        <v>12009</v>
      </c>
      <c r="E10890" s="553">
        <v>514.44000000000005</v>
      </c>
      <c r="F10890" s="553">
        <v>7935.2</v>
      </c>
      <c r="G10890" s="553">
        <v>392.17</v>
      </c>
      <c r="H10890" s="553">
        <v>770.17</v>
      </c>
      <c r="I10890" s="553">
        <v>10032.89</v>
      </c>
      <c r="J10890" s="647">
        <v>3402.25</v>
      </c>
    </row>
    <row r="10891" spans="2:10">
      <c r="B10891" s="1230" t="s">
        <v>446</v>
      </c>
      <c r="C10891" s="132" t="s">
        <v>2010</v>
      </c>
      <c r="D10891" s="255">
        <v>12011</v>
      </c>
      <c r="E10891" s="553">
        <v>1048.6500000000001</v>
      </c>
      <c r="F10891" s="553">
        <v>17123.259999999998</v>
      </c>
      <c r="G10891" s="553">
        <v>95.02</v>
      </c>
      <c r="H10891" s="553">
        <v>1656.06</v>
      </c>
      <c r="I10891" s="553">
        <v>33007.449999999997</v>
      </c>
      <c r="J10891" s="647">
        <v>5084.17</v>
      </c>
    </row>
    <row r="10892" spans="2:10">
      <c r="B10892" s="1230" t="s">
        <v>446</v>
      </c>
      <c r="C10892" s="132" t="s">
        <v>1726</v>
      </c>
      <c r="D10892" s="255">
        <v>12013</v>
      </c>
      <c r="E10892" s="553">
        <v>113.57</v>
      </c>
      <c r="F10892" s="553">
        <v>1483.61</v>
      </c>
      <c r="G10892" s="553">
        <v>144.46</v>
      </c>
      <c r="H10892" s="553">
        <v>145.54</v>
      </c>
      <c r="I10892" s="553">
        <v>1575.4</v>
      </c>
      <c r="J10892" s="647">
        <v>1099.8</v>
      </c>
    </row>
    <row r="10893" spans="2:10">
      <c r="B10893" s="1230" t="s">
        <v>446</v>
      </c>
      <c r="C10893" s="132" t="s">
        <v>2011</v>
      </c>
      <c r="D10893" s="255">
        <v>12015</v>
      </c>
      <c r="E10893" s="553">
        <v>579.4</v>
      </c>
      <c r="F10893" s="553">
        <v>11885.95</v>
      </c>
      <c r="G10893" s="553">
        <v>488.46</v>
      </c>
      <c r="H10893" s="553">
        <v>1136.04</v>
      </c>
      <c r="I10893" s="553">
        <v>13702.11</v>
      </c>
      <c r="J10893" s="647">
        <v>4025.75</v>
      </c>
    </row>
    <row r="10894" spans="2:10">
      <c r="B10894" s="1230" t="s">
        <v>446</v>
      </c>
      <c r="C10894" s="132" t="s">
        <v>2012</v>
      </c>
      <c r="D10894" s="255">
        <v>12017</v>
      </c>
      <c r="E10894" s="553">
        <v>308.69</v>
      </c>
      <c r="F10894" s="553">
        <v>6275.24</v>
      </c>
      <c r="G10894" s="553">
        <v>326.58</v>
      </c>
      <c r="H10894" s="553">
        <v>599.49</v>
      </c>
      <c r="I10894" s="553">
        <v>6154.22</v>
      </c>
      <c r="J10894" s="647">
        <v>2426.0700000000002</v>
      </c>
    </row>
    <row r="10895" spans="2:10">
      <c r="B10895" s="1230" t="s">
        <v>446</v>
      </c>
      <c r="C10895" s="132" t="s">
        <v>1732</v>
      </c>
      <c r="D10895" s="255">
        <v>12019</v>
      </c>
      <c r="E10895" s="553">
        <v>378.5</v>
      </c>
      <c r="F10895" s="553">
        <v>5035.12</v>
      </c>
      <c r="G10895" s="553">
        <v>140.69999999999999</v>
      </c>
      <c r="H10895" s="553">
        <v>493.27</v>
      </c>
      <c r="I10895" s="553">
        <v>8967.81</v>
      </c>
      <c r="J10895" s="647">
        <v>1852.19</v>
      </c>
    </row>
    <row r="10896" spans="2:10">
      <c r="B10896" s="1230" t="s">
        <v>446</v>
      </c>
      <c r="C10896" s="132" t="s">
        <v>2013</v>
      </c>
      <c r="D10896" s="255">
        <v>12021</v>
      </c>
      <c r="E10896" s="553">
        <v>237.58</v>
      </c>
      <c r="F10896" s="553">
        <v>4381.47</v>
      </c>
      <c r="G10896" s="553">
        <v>94.5</v>
      </c>
      <c r="H10896" s="553">
        <v>421.02</v>
      </c>
      <c r="I10896" s="553">
        <v>7693.62</v>
      </c>
      <c r="J10896" s="647">
        <v>1733.85</v>
      </c>
    </row>
    <row r="10897" spans="2:11">
      <c r="B10897" s="1230" t="s">
        <v>446</v>
      </c>
      <c r="C10897" s="132" t="s">
        <v>1839</v>
      </c>
      <c r="D10897" s="255">
        <v>12023</v>
      </c>
      <c r="E10897" s="553">
        <v>208.03</v>
      </c>
      <c r="F10897" s="553">
        <v>2749.44</v>
      </c>
      <c r="G10897" s="553">
        <v>230.82</v>
      </c>
      <c r="H10897" s="553">
        <v>269.49</v>
      </c>
      <c r="I10897" s="553">
        <v>2409.94</v>
      </c>
      <c r="J10897" s="647">
        <v>1590.09</v>
      </c>
    </row>
    <row r="10898" spans="2:11">
      <c r="B10898" s="1306" t="s">
        <v>446</v>
      </c>
      <c r="C10898" s="259" t="s">
        <v>2014</v>
      </c>
      <c r="D10898" s="1307">
        <v>12025</v>
      </c>
      <c r="E10898" s="1308">
        <v>732.29</v>
      </c>
      <c r="F10898" s="1308">
        <v>11388.77</v>
      </c>
      <c r="G10898" s="1308">
        <v>85.2</v>
      </c>
      <c r="H10898" s="1308">
        <v>1105.3900000000001</v>
      </c>
      <c r="I10898" s="1308">
        <v>21988.09</v>
      </c>
      <c r="J10898" s="1309">
        <v>3473.36</v>
      </c>
      <c r="K10898" s="63" t="s">
        <v>1786</v>
      </c>
    </row>
    <row r="10899" spans="2:11">
      <c r="B10899" s="1230" t="s">
        <v>446</v>
      </c>
      <c r="C10899" s="132" t="s">
        <v>2015</v>
      </c>
      <c r="D10899" s="255">
        <v>12027</v>
      </c>
      <c r="E10899" s="553">
        <v>371.83</v>
      </c>
      <c r="F10899" s="553">
        <v>7397.78</v>
      </c>
      <c r="G10899" s="553">
        <v>608.95000000000005</v>
      </c>
      <c r="H10899" s="553">
        <v>707.97</v>
      </c>
      <c r="I10899" s="553">
        <v>2641.55</v>
      </c>
      <c r="J10899" s="647">
        <v>3238.62</v>
      </c>
    </row>
    <row r="10900" spans="2:11">
      <c r="B10900" s="1230" t="s">
        <v>446</v>
      </c>
      <c r="C10900" s="132" t="s">
        <v>2016</v>
      </c>
      <c r="D10900" s="255">
        <v>12029</v>
      </c>
      <c r="E10900" s="553">
        <v>135.07</v>
      </c>
      <c r="F10900" s="553">
        <v>1472.5</v>
      </c>
      <c r="G10900" s="553">
        <v>122.78</v>
      </c>
      <c r="H10900" s="553">
        <v>146.47999999999999</v>
      </c>
      <c r="I10900" s="553">
        <v>1706.82</v>
      </c>
      <c r="J10900" s="647">
        <v>1028.81</v>
      </c>
    </row>
    <row r="10901" spans="2:11">
      <c r="B10901" s="1230" t="s">
        <v>446</v>
      </c>
      <c r="C10901" s="132" t="s">
        <v>2017</v>
      </c>
      <c r="D10901" s="255">
        <v>12031</v>
      </c>
      <c r="E10901" s="553">
        <v>633.16999999999996</v>
      </c>
      <c r="F10901" s="553">
        <v>8164.44</v>
      </c>
      <c r="G10901" s="553">
        <v>139.63</v>
      </c>
      <c r="H10901" s="553">
        <v>801.71</v>
      </c>
      <c r="I10901" s="553">
        <v>15245.84</v>
      </c>
      <c r="J10901" s="647">
        <v>2718.26</v>
      </c>
    </row>
    <row r="10902" spans="2:11">
      <c r="B10902" s="1230" t="s">
        <v>446</v>
      </c>
      <c r="C10902" s="132" t="s">
        <v>1745</v>
      </c>
      <c r="D10902" s="255">
        <v>12033</v>
      </c>
      <c r="E10902" s="553">
        <v>440.18</v>
      </c>
      <c r="F10902" s="553">
        <v>6339.98</v>
      </c>
      <c r="G10902" s="553">
        <v>141.88999999999999</v>
      </c>
      <c r="H10902" s="553">
        <v>617.59</v>
      </c>
      <c r="I10902" s="553">
        <v>12104.22</v>
      </c>
      <c r="J10902" s="647">
        <v>2197.69</v>
      </c>
    </row>
    <row r="10903" spans="2:11">
      <c r="B10903" s="1230" t="s">
        <v>446</v>
      </c>
      <c r="C10903" s="132" t="s">
        <v>2018</v>
      </c>
      <c r="D10903" s="255">
        <v>12035</v>
      </c>
      <c r="E10903" s="553">
        <v>176.38</v>
      </c>
      <c r="F10903" s="553">
        <v>3050.43</v>
      </c>
      <c r="G10903" s="553">
        <v>148.22999999999999</v>
      </c>
      <c r="H10903" s="553">
        <v>293.92</v>
      </c>
      <c r="I10903" s="553">
        <v>4565.04</v>
      </c>
      <c r="J10903" s="647">
        <v>1433.38</v>
      </c>
    </row>
    <row r="10904" spans="2:11">
      <c r="B10904" s="1230" t="s">
        <v>446</v>
      </c>
      <c r="C10904" s="132" t="s">
        <v>1748</v>
      </c>
      <c r="D10904" s="255">
        <v>12037</v>
      </c>
      <c r="E10904" s="553">
        <v>85.16</v>
      </c>
      <c r="F10904" s="553">
        <v>1129.28</v>
      </c>
      <c r="G10904" s="553">
        <v>122.68</v>
      </c>
      <c r="H10904" s="553">
        <v>110.75</v>
      </c>
      <c r="I10904" s="553">
        <v>987.63</v>
      </c>
      <c r="J10904" s="647">
        <v>979.53</v>
      </c>
    </row>
    <row r="10905" spans="2:11">
      <c r="B10905" s="1230" t="s">
        <v>446</v>
      </c>
      <c r="C10905" s="132" t="s">
        <v>2019</v>
      </c>
      <c r="D10905" s="255">
        <v>12039</v>
      </c>
      <c r="E10905" s="553">
        <v>268.54000000000002</v>
      </c>
      <c r="F10905" s="553">
        <v>3548.3</v>
      </c>
      <c r="G10905" s="553">
        <v>176.3</v>
      </c>
      <c r="H10905" s="553">
        <v>347.82</v>
      </c>
      <c r="I10905" s="553">
        <v>5311.74</v>
      </c>
      <c r="J10905" s="647">
        <v>1539.02</v>
      </c>
    </row>
    <row r="10906" spans="2:11">
      <c r="B10906" s="1230" t="s">
        <v>446</v>
      </c>
      <c r="C10906" s="132" t="s">
        <v>2020</v>
      </c>
      <c r="D10906" s="255">
        <v>12041</v>
      </c>
      <c r="E10906" s="553">
        <v>156.16999999999999</v>
      </c>
      <c r="F10906" s="553">
        <v>2013.58</v>
      </c>
      <c r="G10906" s="553">
        <v>176.47</v>
      </c>
      <c r="H10906" s="553">
        <v>197.67</v>
      </c>
      <c r="I10906" s="553">
        <v>2182.13</v>
      </c>
      <c r="J10906" s="647">
        <v>1294.01</v>
      </c>
    </row>
    <row r="10907" spans="2:11">
      <c r="B10907" s="1230" t="s">
        <v>446</v>
      </c>
      <c r="C10907" s="132" t="s">
        <v>2021</v>
      </c>
      <c r="D10907" s="255">
        <v>12043</v>
      </c>
      <c r="E10907" s="553">
        <v>248.27</v>
      </c>
      <c r="F10907" s="553">
        <v>3787.21</v>
      </c>
      <c r="G10907" s="553">
        <v>246.51</v>
      </c>
      <c r="H10907" s="553">
        <v>367.78</v>
      </c>
      <c r="I10907" s="553">
        <v>2866.32</v>
      </c>
      <c r="J10907" s="647">
        <v>1674.35</v>
      </c>
    </row>
    <row r="10908" spans="2:11">
      <c r="B10908" s="1230" t="s">
        <v>446</v>
      </c>
      <c r="C10908" s="132" t="s">
        <v>2022</v>
      </c>
      <c r="D10908" s="255">
        <v>12045</v>
      </c>
      <c r="E10908" s="553">
        <v>87.77</v>
      </c>
      <c r="F10908" s="553">
        <v>1196.3</v>
      </c>
      <c r="G10908" s="553">
        <v>126.53</v>
      </c>
      <c r="H10908" s="553">
        <v>117.02</v>
      </c>
      <c r="I10908" s="553">
        <v>973.09</v>
      </c>
      <c r="J10908" s="647">
        <v>988.1</v>
      </c>
    </row>
    <row r="10909" spans="2:11">
      <c r="B10909" s="1230" t="s">
        <v>446</v>
      </c>
      <c r="C10909" s="132" t="s">
        <v>2023</v>
      </c>
      <c r="D10909" s="255">
        <v>12047</v>
      </c>
      <c r="E10909" s="553">
        <v>158.5</v>
      </c>
      <c r="F10909" s="553">
        <v>2043.84</v>
      </c>
      <c r="G10909" s="553">
        <v>200.44</v>
      </c>
      <c r="H10909" s="553">
        <v>200.61</v>
      </c>
      <c r="I10909" s="553">
        <v>1604.99</v>
      </c>
      <c r="J10909" s="647">
        <v>1348.06</v>
      </c>
    </row>
    <row r="10910" spans="2:11">
      <c r="B10910" s="1230" t="s">
        <v>446</v>
      </c>
      <c r="C10910" s="132" t="s">
        <v>2024</v>
      </c>
      <c r="D10910" s="255">
        <v>12049</v>
      </c>
      <c r="E10910" s="553">
        <v>311.89999999999998</v>
      </c>
      <c r="F10910" s="553">
        <v>5270.38</v>
      </c>
      <c r="G10910" s="553">
        <v>417.92</v>
      </c>
      <c r="H10910" s="553">
        <v>508.73</v>
      </c>
      <c r="I10910" s="553">
        <v>3631.39</v>
      </c>
      <c r="J10910" s="647">
        <v>2635.37</v>
      </c>
    </row>
    <row r="10911" spans="2:11">
      <c r="B10911" s="1230" t="s">
        <v>446</v>
      </c>
      <c r="C10911" s="132" t="s">
        <v>2025</v>
      </c>
      <c r="D10911" s="255">
        <v>12051</v>
      </c>
      <c r="E10911" s="553">
        <v>256.94</v>
      </c>
      <c r="F10911" s="553">
        <v>4684.29</v>
      </c>
      <c r="G10911" s="553">
        <v>119.32</v>
      </c>
      <c r="H10911" s="553">
        <v>450.35</v>
      </c>
      <c r="I10911" s="553">
        <v>7632.02</v>
      </c>
      <c r="J10911" s="647">
        <v>1793.8</v>
      </c>
    </row>
    <row r="10912" spans="2:11">
      <c r="B10912" s="1230" t="s">
        <v>446</v>
      </c>
      <c r="C10912" s="132" t="s">
        <v>2026</v>
      </c>
      <c r="D10912" s="255">
        <v>12053</v>
      </c>
      <c r="E10912" s="553">
        <v>668.03</v>
      </c>
      <c r="F10912" s="553">
        <v>12574.92</v>
      </c>
      <c r="G10912" s="553">
        <v>889.15</v>
      </c>
      <c r="H10912" s="553">
        <v>1205.68</v>
      </c>
      <c r="I10912" s="553">
        <v>3194.56</v>
      </c>
      <c r="J10912" s="647">
        <v>4287.8</v>
      </c>
    </row>
    <row r="10913" spans="2:10">
      <c r="B10913" s="1230" t="s">
        <v>446</v>
      </c>
      <c r="C10913" s="132" t="s">
        <v>2027</v>
      </c>
      <c r="D10913" s="255">
        <v>12055</v>
      </c>
      <c r="E10913" s="553">
        <v>263.06</v>
      </c>
      <c r="F10913" s="553">
        <v>4096.17</v>
      </c>
      <c r="G10913" s="553">
        <v>370.66</v>
      </c>
      <c r="H10913" s="553">
        <v>397.29</v>
      </c>
      <c r="I10913" s="553">
        <v>2158.96</v>
      </c>
      <c r="J10913" s="647">
        <v>2123.79</v>
      </c>
    </row>
    <row r="10914" spans="2:10">
      <c r="B10914" s="1230" t="s">
        <v>446</v>
      </c>
      <c r="C10914" s="132" t="s">
        <v>2028</v>
      </c>
      <c r="D10914" s="255">
        <v>12057</v>
      </c>
      <c r="E10914" s="553">
        <v>1258.28</v>
      </c>
      <c r="F10914" s="553">
        <v>19652.259999999998</v>
      </c>
      <c r="G10914" s="553">
        <v>515.84</v>
      </c>
      <c r="H10914" s="553">
        <v>1905.29</v>
      </c>
      <c r="I10914" s="553">
        <v>29546.79</v>
      </c>
      <c r="J10914" s="647">
        <v>6957.55</v>
      </c>
    </row>
    <row r="10915" spans="2:10">
      <c r="B10915" s="1230" t="s">
        <v>446</v>
      </c>
      <c r="C10915" s="132" t="s">
        <v>2029</v>
      </c>
      <c r="D10915" s="255">
        <v>12059</v>
      </c>
      <c r="E10915" s="553">
        <v>157.01</v>
      </c>
      <c r="F10915" s="553">
        <v>2132.12</v>
      </c>
      <c r="G10915" s="553">
        <v>205.72</v>
      </c>
      <c r="H10915" s="553">
        <v>208.54</v>
      </c>
      <c r="I10915" s="553">
        <v>1843.14</v>
      </c>
      <c r="J10915" s="647">
        <v>1295.3499999999999</v>
      </c>
    </row>
    <row r="10916" spans="2:10">
      <c r="B10916" s="1230" t="s">
        <v>446</v>
      </c>
      <c r="C10916" s="132" t="s">
        <v>2030</v>
      </c>
      <c r="D10916" s="255">
        <v>12061</v>
      </c>
      <c r="E10916" s="553">
        <v>229.24</v>
      </c>
      <c r="F10916" s="553">
        <v>4314.47</v>
      </c>
      <c r="G10916" s="553">
        <v>208.71</v>
      </c>
      <c r="H10916" s="553">
        <v>414.08</v>
      </c>
      <c r="I10916" s="553">
        <v>5449.39</v>
      </c>
      <c r="J10916" s="647">
        <v>1680.12</v>
      </c>
    </row>
    <row r="10917" spans="2:10">
      <c r="B10917" s="1230" t="s">
        <v>446</v>
      </c>
      <c r="C10917" s="132" t="s">
        <v>1754</v>
      </c>
      <c r="D10917" s="255">
        <v>12063</v>
      </c>
      <c r="E10917" s="553">
        <v>155.82</v>
      </c>
      <c r="F10917" s="553">
        <v>2263.54</v>
      </c>
      <c r="G10917" s="553">
        <v>223.53</v>
      </c>
      <c r="H10917" s="553">
        <v>220.41</v>
      </c>
      <c r="I10917" s="553">
        <v>1896.16</v>
      </c>
      <c r="J10917" s="647">
        <v>1435.26</v>
      </c>
    </row>
    <row r="10918" spans="2:10">
      <c r="B10918" s="1230" t="s">
        <v>446</v>
      </c>
      <c r="C10918" s="132" t="s">
        <v>1755</v>
      </c>
      <c r="D10918" s="255">
        <v>12065</v>
      </c>
      <c r="E10918" s="553">
        <v>131.53</v>
      </c>
      <c r="F10918" s="553">
        <v>1578.73</v>
      </c>
      <c r="G10918" s="553">
        <v>141.84</v>
      </c>
      <c r="H10918" s="553">
        <v>155.76</v>
      </c>
      <c r="I10918" s="553">
        <v>2087.08</v>
      </c>
      <c r="J10918" s="647">
        <v>1068.05</v>
      </c>
    </row>
    <row r="10919" spans="2:10">
      <c r="B10919" s="1230" t="s">
        <v>446</v>
      </c>
      <c r="C10919" s="132" t="s">
        <v>1857</v>
      </c>
      <c r="D10919" s="255">
        <v>12067</v>
      </c>
      <c r="E10919" s="553">
        <v>158.88999999999999</v>
      </c>
      <c r="F10919" s="553">
        <v>1967.48</v>
      </c>
      <c r="G10919" s="553">
        <v>201.91</v>
      </c>
      <c r="H10919" s="553">
        <v>193.69</v>
      </c>
      <c r="I10919" s="553">
        <v>1448.56</v>
      </c>
      <c r="J10919" s="647">
        <v>1340.93</v>
      </c>
    </row>
    <row r="10920" spans="2:10">
      <c r="B10920" s="1230" t="s">
        <v>446</v>
      </c>
      <c r="C10920" s="132" t="s">
        <v>1900</v>
      </c>
      <c r="D10920" s="255">
        <v>12069</v>
      </c>
      <c r="E10920" s="553">
        <v>1277.18</v>
      </c>
      <c r="F10920" s="553">
        <v>18161.41</v>
      </c>
      <c r="G10920" s="553">
        <v>1326.79</v>
      </c>
      <c r="H10920" s="553">
        <v>1770.08</v>
      </c>
      <c r="I10920" s="553">
        <v>11298.99</v>
      </c>
      <c r="J10920" s="647">
        <v>7433.61</v>
      </c>
    </row>
    <row r="10921" spans="2:10">
      <c r="B10921" s="1230" t="s">
        <v>446</v>
      </c>
      <c r="C10921" s="132" t="s">
        <v>1759</v>
      </c>
      <c r="D10921" s="255">
        <v>12071</v>
      </c>
      <c r="E10921" s="553">
        <v>454.61</v>
      </c>
      <c r="F10921" s="553">
        <v>9391.48</v>
      </c>
      <c r="G10921" s="553">
        <v>352.42</v>
      </c>
      <c r="H10921" s="553">
        <v>897.32</v>
      </c>
      <c r="I10921" s="553">
        <v>12281.3</v>
      </c>
      <c r="J10921" s="647">
        <v>3295.68</v>
      </c>
    </row>
    <row r="10922" spans="2:10">
      <c r="B10922" s="1230" t="s">
        <v>446</v>
      </c>
      <c r="C10922" s="132" t="s">
        <v>2031</v>
      </c>
      <c r="D10922" s="255">
        <v>12073</v>
      </c>
      <c r="E10922" s="553">
        <v>225.05</v>
      </c>
      <c r="F10922" s="553">
        <v>2948.1</v>
      </c>
      <c r="G10922" s="553">
        <v>159.19</v>
      </c>
      <c r="H10922" s="553">
        <v>289.19</v>
      </c>
      <c r="I10922" s="553">
        <v>4699.5200000000004</v>
      </c>
      <c r="J10922" s="647">
        <v>1432.69</v>
      </c>
    </row>
    <row r="10923" spans="2:10">
      <c r="B10923" s="1230" t="s">
        <v>446</v>
      </c>
      <c r="C10923" s="132" t="s">
        <v>2032</v>
      </c>
      <c r="D10923" s="255">
        <v>12075</v>
      </c>
      <c r="E10923" s="553">
        <v>157.32</v>
      </c>
      <c r="F10923" s="553">
        <v>1918.26</v>
      </c>
      <c r="G10923" s="553">
        <v>147.84</v>
      </c>
      <c r="H10923" s="553">
        <v>189.08</v>
      </c>
      <c r="I10923" s="553">
        <v>2390.96</v>
      </c>
      <c r="J10923" s="647">
        <v>1261.06</v>
      </c>
    </row>
    <row r="10924" spans="2:10">
      <c r="B10924" s="1230" t="s">
        <v>446</v>
      </c>
      <c r="C10924" s="132" t="s">
        <v>2033</v>
      </c>
      <c r="D10924" s="255">
        <v>12077</v>
      </c>
      <c r="E10924" s="553">
        <v>127.88</v>
      </c>
      <c r="F10924" s="553">
        <v>1663.23</v>
      </c>
      <c r="G10924" s="553">
        <v>139.16999999999999</v>
      </c>
      <c r="H10924" s="553">
        <v>163.26</v>
      </c>
      <c r="I10924" s="553">
        <v>2134.7800000000002</v>
      </c>
      <c r="J10924" s="647">
        <v>1146.56</v>
      </c>
    </row>
    <row r="10925" spans="2:10">
      <c r="B10925" s="1230" t="s">
        <v>446</v>
      </c>
      <c r="C10925" s="132" t="s">
        <v>1763</v>
      </c>
      <c r="D10925" s="255">
        <v>12079</v>
      </c>
      <c r="E10925" s="553">
        <v>145.21</v>
      </c>
      <c r="F10925" s="553">
        <v>1744.75</v>
      </c>
      <c r="G10925" s="553">
        <v>163.76</v>
      </c>
      <c r="H10925" s="553">
        <v>172.24</v>
      </c>
      <c r="I10925" s="553">
        <v>2242.2800000000002</v>
      </c>
      <c r="J10925" s="647">
        <v>1277.77</v>
      </c>
    </row>
    <row r="10926" spans="2:10">
      <c r="B10926" s="1230" t="s">
        <v>446</v>
      </c>
      <c r="C10926" s="132" t="s">
        <v>2034</v>
      </c>
      <c r="D10926" s="255">
        <v>12081</v>
      </c>
      <c r="E10926" s="553">
        <v>620.04</v>
      </c>
      <c r="F10926" s="553">
        <v>11778.88</v>
      </c>
      <c r="G10926" s="553">
        <v>880.69</v>
      </c>
      <c r="H10926" s="553">
        <v>1129.9000000000001</v>
      </c>
      <c r="I10926" s="553">
        <v>5258.66</v>
      </c>
      <c r="J10926" s="647">
        <v>4664.3999999999996</v>
      </c>
    </row>
    <row r="10927" spans="2:10">
      <c r="B10927" s="1230" t="s">
        <v>446</v>
      </c>
      <c r="C10927" s="132" t="s">
        <v>1765</v>
      </c>
      <c r="D10927" s="255">
        <v>12083</v>
      </c>
      <c r="E10927" s="553">
        <v>429.29</v>
      </c>
      <c r="F10927" s="553">
        <v>7524.71</v>
      </c>
      <c r="G10927" s="553">
        <v>383.42</v>
      </c>
      <c r="H10927" s="553">
        <v>724.43</v>
      </c>
      <c r="I10927" s="553">
        <v>9355.81</v>
      </c>
      <c r="J10927" s="647">
        <v>3549.31</v>
      </c>
    </row>
    <row r="10928" spans="2:10">
      <c r="B10928" s="1230" t="s">
        <v>446</v>
      </c>
      <c r="C10928" s="132" t="s">
        <v>2035</v>
      </c>
      <c r="D10928" s="255">
        <v>12085</v>
      </c>
      <c r="E10928" s="553">
        <v>459.16</v>
      </c>
      <c r="F10928" s="553">
        <v>7225.9</v>
      </c>
      <c r="G10928" s="553">
        <v>407.9</v>
      </c>
      <c r="H10928" s="553">
        <v>700.32</v>
      </c>
      <c r="I10928" s="553">
        <v>4658.53</v>
      </c>
      <c r="J10928" s="647">
        <v>2576.29</v>
      </c>
    </row>
    <row r="10929" spans="2:10">
      <c r="B10929" s="1230" t="s">
        <v>446</v>
      </c>
      <c r="C10929" s="132" t="s">
        <v>1768</v>
      </c>
      <c r="D10929" s="255">
        <v>12087</v>
      </c>
      <c r="E10929" s="553">
        <v>72.83</v>
      </c>
      <c r="F10929" s="553">
        <v>1165.67</v>
      </c>
      <c r="G10929" s="553">
        <v>54.6</v>
      </c>
      <c r="H10929" s="553">
        <v>112.94</v>
      </c>
      <c r="I10929" s="553">
        <v>1883.44</v>
      </c>
      <c r="J10929" s="647">
        <v>645.9</v>
      </c>
    </row>
    <row r="10930" spans="2:10">
      <c r="B10930" s="1230" t="s">
        <v>446</v>
      </c>
      <c r="C10930" s="132" t="s">
        <v>2036</v>
      </c>
      <c r="D10930" s="255">
        <v>12089</v>
      </c>
      <c r="E10930" s="553">
        <v>604.37</v>
      </c>
      <c r="F10930" s="553">
        <v>7908.55</v>
      </c>
      <c r="G10930" s="553">
        <v>136.88999999999999</v>
      </c>
      <c r="H10930" s="553">
        <v>775.86</v>
      </c>
      <c r="I10930" s="553">
        <v>14820.82</v>
      </c>
      <c r="J10930" s="647">
        <v>2523.15</v>
      </c>
    </row>
    <row r="10931" spans="2:10">
      <c r="B10931" s="1230" t="s">
        <v>446</v>
      </c>
      <c r="C10931" s="132" t="s">
        <v>2037</v>
      </c>
      <c r="D10931" s="255">
        <v>12091</v>
      </c>
      <c r="E10931" s="553">
        <v>207.85</v>
      </c>
      <c r="F10931" s="553">
        <v>2783.49</v>
      </c>
      <c r="G10931" s="553">
        <v>171.53</v>
      </c>
      <c r="H10931" s="553">
        <v>272.58</v>
      </c>
      <c r="I10931" s="553">
        <v>4421.07</v>
      </c>
      <c r="J10931" s="647">
        <v>1452.07</v>
      </c>
    </row>
    <row r="10932" spans="2:10">
      <c r="B10932" s="1230" t="s">
        <v>446</v>
      </c>
      <c r="C10932" s="132" t="s">
        <v>2038</v>
      </c>
      <c r="D10932" s="255">
        <v>12093</v>
      </c>
      <c r="E10932" s="553">
        <v>257.27999999999997</v>
      </c>
      <c r="F10932" s="553">
        <v>4021.35</v>
      </c>
      <c r="G10932" s="553">
        <v>279.13</v>
      </c>
      <c r="H10932" s="553">
        <v>389.89</v>
      </c>
      <c r="I10932" s="553">
        <v>2852.99</v>
      </c>
      <c r="J10932" s="647">
        <v>1864.72</v>
      </c>
    </row>
    <row r="10933" spans="2:10">
      <c r="B10933" s="1230" t="s">
        <v>446</v>
      </c>
      <c r="C10933" s="132" t="s">
        <v>1912</v>
      </c>
      <c r="D10933" s="255">
        <v>12095</v>
      </c>
      <c r="E10933" s="553">
        <v>1056.68</v>
      </c>
      <c r="F10933" s="553">
        <v>13920.55</v>
      </c>
      <c r="G10933" s="553">
        <v>1293.3499999999999</v>
      </c>
      <c r="H10933" s="553">
        <v>1363.34</v>
      </c>
      <c r="I10933" s="553">
        <v>3382.07</v>
      </c>
      <c r="J10933" s="647">
        <v>6044.71</v>
      </c>
    </row>
    <row r="10934" spans="2:10">
      <c r="B10934" s="1230" t="s">
        <v>446</v>
      </c>
      <c r="C10934" s="132" t="s">
        <v>2039</v>
      </c>
      <c r="D10934" s="255">
        <v>12097</v>
      </c>
      <c r="E10934" s="553">
        <v>480.05</v>
      </c>
      <c r="F10934" s="553">
        <v>7367.5</v>
      </c>
      <c r="G10934" s="553">
        <v>731.35</v>
      </c>
      <c r="H10934" s="553">
        <v>715.32</v>
      </c>
      <c r="I10934" s="553">
        <v>2856.05</v>
      </c>
      <c r="J10934" s="647">
        <v>3829.27</v>
      </c>
    </row>
    <row r="10935" spans="2:10">
      <c r="B10935" s="1230" t="s">
        <v>446</v>
      </c>
      <c r="C10935" s="132" t="s">
        <v>2040</v>
      </c>
      <c r="D10935" s="255">
        <v>12099</v>
      </c>
      <c r="E10935" s="553">
        <v>644.98</v>
      </c>
      <c r="F10935" s="553">
        <v>10242.82</v>
      </c>
      <c r="G10935" s="553">
        <v>177.78</v>
      </c>
      <c r="H10935" s="553">
        <v>992.2</v>
      </c>
      <c r="I10935" s="553">
        <v>18024.68</v>
      </c>
      <c r="J10935" s="647">
        <v>3407.77</v>
      </c>
    </row>
    <row r="10936" spans="2:10">
      <c r="B10936" s="1230" t="s">
        <v>446</v>
      </c>
      <c r="C10936" s="132" t="s">
        <v>2041</v>
      </c>
      <c r="D10936" s="255">
        <v>12101</v>
      </c>
      <c r="E10936" s="553">
        <v>540.75</v>
      </c>
      <c r="F10936" s="553">
        <v>9820.07</v>
      </c>
      <c r="G10936" s="553">
        <v>727.82</v>
      </c>
      <c r="H10936" s="553">
        <v>943.53</v>
      </c>
      <c r="I10936" s="553">
        <v>4853.95</v>
      </c>
      <c r="J10936" s="647">
        <v>3917.85</v>
      </c>
    </row>
    <row r="10937" spans="2:10">
      <c r="B10937" s="1230" t="s">
        <v>446</v>
      </c>
      <c r="C10937" s="132" t="s">
        <v>2042</v>
      </c>
      <c r="D10937" s="255">
        <v>12103</v>
      </c>
      <c r="E10937" s="553">
        <v>1769.85</v>
      </c>
      <c r="F10937" s="553">
        <v>27626.94</v>
      </c>
      <c r="G10937" s="553">
        <v>192.07</v>
      </c>
      <c r="H10937" s="553">
        <v>2677.72</v>
      </c>
      <c r="I10937" s="553">
        <v>53074.09</v>
      </c>
      <c r="J10937" s="647">
        <v>6580.55</v>
      </c>
    </row>
    <row r="10938" spans="2:10">
      <c r="B10938" s="1230" t="s">
        <v>446</v>
      </c>
      <c r="C10938" s="132" t="s">
        <v>1867</v>
      </c>
      <c r="D10938" s="255">
        <v>12105</v>
      </c>
      <c r="E10938" s="553">
        <v>369.45</v>
      </c>
      <c r="F10938" s="553">
        <v>5828.87</v>
      </c>
      <c r="G10938" s="553">
        <v>491.01</v>
      </c>
      <c r="H10938" s="553">
        <v>564.89</v>
      </c>
      <c r="I10938" s="553">
        <v>3591.45</v>
      </c>
      <c r="J10938" s="647">
        <v>2880.55</v>
      </c>
    </row>
    <row r="10939" spans="2:10">
      <c r="B10939" s="1230" t="s">
        <v>446</v>
      </c>
      <c r="C10939" s="132" t="s">
        <v>2043</v>
      </c>
      <c r="D10939" s="255">
        <v>12107</v>
      </c>
      <c r="E10939" s="553">
        <v>285.12</v>
      </c>
      <c r="F10939" s="553">
        <v>4166.97</v>
      </c>
      <c r="G10939" s="553">
        <v>135.69</v>
      </c>
      <c r="H10939" s="553">
        <v>405.58</v>
      </c>
      <c r="I10939" s="553">
        <v>7029.23</v>
      </c>
      <c r="J10939" s="647">
        <v>1721.52</v>
      </c>
    </row>
    <row r="10940" spans="2:10">
      <c r="B10940" s="1230" t="s">
        <v>446</v>
      </c>
      <c r="C10940" s="132" t="s">
        <v>2044</v>
      </c>
      <c r="D10940" s="255">
        <v>12109</v>
      </c>
      <c r="E10940" s="553">
        <v>313.89999999999998</v>
      </c>
      <c r="F10940" s="553">
        <v>4238.7299999999996</v>
      </c>
      <c r="G10940" s="553">
        <v>123.23</v>
      </c>
      <c r="H10940" s="553">
        <v>414.78</v>
      </c>
      <c r="I10940" s="553">
        <v>7536.02</v>
      </c>
      <c r="J10940" s="647">
        <v>1655.03</v>
      </c>
    </row>
    <row r="10941" spans="2:10">
      <c r="B10941" s="1230" t="s">
        <v>446</v>
      </c>
      <c r="C10941" s="132" t="s">
        <v>2045</v>
      </c>
      <c r="D10941" s="255">
        <v>12111</v>
      </c>
      <c r="E10941" s="553">
        <v>397.79</v>
      </c>
      <c r="F10941" s="553">
        <v>6127.91</v>
      </c>
      <c r="G10941" s="553">
        <v>415.84</v>
      </c>
      <c r="H10941" s="553">
        <v>594.6</v>
      </c>
      <c r="I10941" s="553">
        <v>2623.93</v>
      </c>
      <c r="J10941" s="647">
        <v>2300.2199999999998</v>
      </c>
    </row>
    <row r="10942" spans="2:10">
      <c r="B10942" s="1230" t="s">
        <v>446</v>
      </c>
      <c r="C10942" s="132" t="s">
        <v>2046</v>
      </c>
      <c r="D10942" s="255">
        <v>12113</v>
      </c>
      <c r="E10942" s="553">
        <v>267.47000000000003</v>
      </c>
      <c r="F10942" s="553">
        <v>3690.64</v>
      </c>
      <c r="G10942" s="553">
        <v>172.59</v>
      </c>
      <c r="H10942" s="553">
        <v>360.58</v>
      </c>
      <c r="I10942" s="553">
        <v>6247.36</v>
      </c>
      <c r="J10942" s="647">
        <v>1709.9</v>
      </c>
    </row>
    <row r="10943" spans="2:10">
      <c r="B10943" s="1230" t="s">
        <v>446</v>
      </c>
      <c r="C10943" s="132" t="s">
        <v>2047</v>
      </c>
      <c r="D10943" s="255">
        <v>12115</v>
      </c>
      <c r="E10943" s="553">
        <v>613.65</v>
      </c>
      <c r="F10943" s="553">
        <v>12263.07</v>
      </c>
      <c r="G10943" s="553">
        <v>928.25</v>
      </c>
      <c r="H10943" s="553">
        <v>1173.44</v>
      </c>
      <c r="I10943" s="553">
        <v>2694.56</v>
      </c>
      <c r="J10943" s="647">
        <v>4458.4399999999996</v>
      </c>
    </row>
    <row r="10944" spans="2:10">
      <c r="B10944" s="1230" t="s">
        <v>446</v>
      </c>
      <c r="C10944" s="132" t="s">
        <v>2048</v>
      </c>
      <c r="D10944" s="255">
        <v>12117</v>
      </c>
      <c r="E10944" s="553">
        <v>2291.4</v>
      </c>
      <c r="F10944" s="553">
        <v>27495.82</v>
      </c>
      <c r="G10944" s="553">
        <v>2083.52</v>
      </c>
      <c r="H10944" s="553">
        <v>2711.92</v>
      </c>
      <c r="I10944" s="553">
        <v>5180.01</v>
      </c>
      <c r="J10944" s="647">
        <v>9220.3700000000008</v>
      </c>
    </row>
    <row r="10945" spans="2:10">
      <c r="B10945" s="1230" t="s">
        <v>446</v>
      </c>
      <c r="C10945" s="132" t="s">
        <v>1778</v>
      </c>
      <c r="D10945" s="255">
        <v>12119</v>
      </c>
      <c r="E10945" s="553">
        <v>382.37</v>
      </c>
      <c r="F10945" s="553">
        <v>7225.95</v>
      </c>
      <c r="G10945" s="553">
        <v>494.34</v>
      </c>
      <c r="H10945" s="553">
        <v>692.77</v>
      </c>
      <c r="I10945" s="553">
        <v>3901.03</v>
      </c>
      <c r="J10945" s="647">
        <v>2899.64</v>
      </c>
    </row>
    <row r="10946" spans="2:10">
      <c r="B10946" s="1230" t="s">
        <v>446</v>
      </c>
      <c r="C10946" s="132" t="s">
        <v>2049</v>
      </c>
      <c r="D10946" s="255">
        <v>12121</v>
      </c>
      <c r="E10946" s="553">
        <v>190.88</v>
      </c>
      <c r="F10946" s="553">
        <v>2442.02</v>
      </c>
      <c r="G10946" s="553">
        <v>245.02</v>
      </c>
      <c r="H10946" s="553">
        <v>239.87</v>
      </c>
      <c r="I10946" s="553">
        <v>1463.47</v>
      </c>
      <c r="J10946" s="647">
        <v>1500.7</v>
      </c>
    </row>
    <row r="10947" spans="2:10">
      <c r="B10947" s="1230" t="s">
        <v>446</v>
      </c>
      <c r="C10947" s="132" t="s">
        <v>2050</v>
      </c>
      <c r="D10947" s="255">
        <v>12123</v>
      </c>
      <c r="E10947" s="553">
        <v>97.93</v>
      </c>
      <c r="F10947" s="553">
        <v>1290.9100000000001</v>
      </c>
      <c r="G10947" s="553">
        <v>120.23</v>
      </c>
      <c r="H10947" s="553">
        <v>126.57</v>
      </c>
      <c r="I10947" s="553">
        <v>1559.5</v>
      </c>
      <c r="J10947" s="647">
        <v>992.68</v>
      </c>
    </row>
    <row r="10948" spans="2:10">
      <c r="B10948" s="1230" t="s">
        <v>446</v>
      </c>
      <c r="C10948" s="132" t="s">
        <v>1879</v>
      </c>
      <c r="D10948" s="255">
        <v>12125</v>
      </c>
      <c r="E10948" s="553">
        <v>246.28</v>
      </c>
      <c r="F10948" s="553">
        <v>3070.86</v>
      </c>
      <c r="G10948" s="553">
        <v>197.94</v>
      </c>
      <c r="H10948" s="553">
        <v>302.27</v>
      </c>
      <c r="I10948" s="553">
        <v>2991.8</v>
      </c>
      <c r="J10948" s="647">
        <v>1546.01</v>
      </c>
    </row>
    <row r="10949" spans="2:10">
      <c r="B10949" s="1230" t="s">
        <v>446</v>
      </c>
      <c r="C10949" s="132" t="s">
        <v>2051</v>
      </c>
      <c r="D10949" s="255">
        <v>12127</v>
      </c>
      <c r="E10949" s="553">
        <v>1110.68</v>
      </c>
      <c r="F10949" s="553">
        <v>15716.95</v>
      </c>
      <c r="G10949" s="553">
        <v>1171.1500000000001</v>
      </c>
      <c r="H10949" s="553">
        <v>1532.29</v>
      </c>
      <c r="I10949" s="553">
        <v>10524.81</v>
      </c>
      <c r="J10949" s="647">
        <v>6782.51</v>
      </c>
    </row>
    <row r="10950" spans="2:10">
      <c r="B10950" s="1230" t="s">
        <v>446</v>
      </c>
      <c r="C10950" s="132" t="s">
        <v>2052</v>
      </c>
      <c r="D10950" s="255">
        <v>12129</v>
      </c>
      <c r="E10950" s="553">
        <v>206.43</v>
      </c>
      <c r="F10950" s="553">
        <v>2673.61</v>
      </c>
      <c r="G10950" s="553">
        <v>139.84</v>
      </c>
      <c r="H10950" s="553">
        <v>262.39999999999998</v>
      </c>
      <c r="I10950" s="553">
        <v>4261.38</v>
      </c>
      <c r="J10950" s="647">
        <v>1318.86</v>
      </c>
    </row>
    <row r="10951" spans="2:10">
      <c r="B10951" s="1230" t="s">
        <v>446</v>
      </c>
      <c r="C10951" s="132" t="s">
        <v>2053</v>
      </c>
      <c r="D10951" s="255">
        <v>12131</v>
      </c>
      <c r="E10951" s="553">
        <v>177.05</v>
      </c>
      <c r="F10951" s="553">
        <v>2393.96</v>
      </c>
      <c r="G10951" s="553">
        <v>164.58</v>
      </c>
      <c r="H10951" s="553">
        <v>234.27</v>
      </c>
      <c r="I10951" s="553">
        <v>3171.13</v>
      </c>
      <c r="J10951" s="647">
        <v>1430.37</v>
      </c>
    </row>
    <row r="10952" spans="2:10">
      <c r="B10952" s="1230" t="s">
        <v>446</v>
      </c>
      <c r="C10952" s="132" t="s">
        <v>487</v>
      </c>
      <c r="D10952" s="255">
        <v>12133</v>
      </c>
      <c r="E10952" s="553">
        <v>133.28</v>
      </c>
      <c r="F10952" s="553">
        <v>1764.49</v>
      </c>
      <c r="G10952" s="553">
        <v>171.39</v>
      </c>
      <c r="H10952" s="553">
        <v>172.93</v>
      </c>
      <c r="I10952" s="553">
        <v>1618.15</v>
      </c>
      <c r="J10952" s="647">
        <v>1181.07</v>
      </c>
    </row>
    <row r="10953" spans="2:10">
      <c r="B10953" s="1230" t="s">
        <v>448</v>
      </c>
      <c r="C10953" s="132" t="s">
        <v>2054</v>
      </c>
      <c r="D10953" s="255">
        <v>13001</v>
      </c>
      <c r="E10953" s="553">
        <v>152.09</v>
      </c>
      <c r="F10953" s="553">
        <v>1939.99</v>
      </c>
      <c r="G10953" s="553">
        <v>216.97</v>
      </c>
      <c r="H10953" s="553">
        <v>190.54</v>
      </c>
      <c r="I10953" s="553">
        <v>1474.56</v>
      </c>
      <c r="J10953" s="647">
        <v>1387.32</v>
      </c>
    </row>
    <row r="10954" spans="2:10">
      <c r="B10954" s="1230" t="s">
        <v>448</v>
      </c>
      <c r="C10954" s="132" t="s">
        <v>2055</v>
      </c>
      <c r="D10954" s="255">
        <v>13003</v>
      </c>
      <c r="E10954" s="553">
        <v>128.19999999999999</v>
      </c>
      <c r="F10954" s="553">
        <v>1639.65</v>
      </c>
      <c r="G10954" s="553">
        <v>217.06</v>
      </c>
      <c r="H10954" s="553">
        <v>161.13</v>
      </c>
      <c r="I10954" s="553">
        <v>1557.53</v>
      </c>
      <c r="J10954" s="647">
        <v>1293.6300000000001</v>
      </c>
    </row>
    <row r="10955" spans="2:10">
      <c r="B10955" s="1230" t="s">
        <v>448</v>
      </c>
      <c r="C10955" s="132" t="s">
        <v>2056</v>
      </c>
      <c r="D10955" s="255">
        <v>13005</v>
      </c>
      <c r="E10955" s="553">
        <v>163.07</v>
      </c>
      <c r="F10955" s="553">
        <v>2079.89</v>
      </c>
      <c r="G10955" s="553">
        <v>229.85</v>
      </c>
      <c r="H10955" s="553">
        <v>204.42</v>
      </c>
      <c r="I10955" s="553">
        <v>1447.14</v>
      </c>
      <c r="J10955" s="647">
        <v>1415.42</v>
      </c>
    </row>
    <row r="10956" spans="2:10">
      <c r="B10956" s="1230" t="s">
        <v>448</v>
      </c>
      <c r="C10956" s="132" t="s">
        <v>2006</v>
      </c>
      <c r="D10956" s="255">
        <v>13007</v>
      </c>
      <c r="E10956" s="553">
        <v>146.59</v>
      </c>
      <c r="F10956" s="553">
        <v>1910.83</v>
      </c>
      <c r="G10956" s="553">
        <v>250.5</v>
      </c>
      <c r="H10956" s="553">
        <v>187.4</v>
      </c>
      <c r="I10956" s="553">
        <v>1465.82</v>
      </c>
      <c r="J10956" s="647">
        <v>1276.1300000000001</v>
      </c>
    </row>
    <row r="10957" spans="2:10">
      <c r="B10957" s="1230" t="s">
        <v>448</v>
      </c>
      <c r="C10957" s="132" t="s">
        <v>1720</v>
      </c>
      <c r="D10957" s="255">
        <v>13009</v>
      </c>
      <c r="E10957" s="553">
        <v>237.92</v>
      </c>
      <c r="F10957" s="553">
        <v>3036.51</v>
      </c>
      <c r="G10957" s="553">
        <v>199.58</v>
      </c>
      <c r="H10957" s="553">
        <v>298.14999999999998</v>
      </c>
      <c r="I10957" s="553">
        <v>4441.8</v>
      </c>
      <c r="J10957" s="647">
        <v>1717.26</v>
      </c>
    </row>
    <row r="10958" spans="2:10">
      <c r="B10958" s="1230" t="s">
        <v>448</v>
      </c>
      <c r="C10958" s="132" t="s">
        <v>2057</v>
      </c>
      <c r="D10958" s="255">
        <v>13011</v>
      </c>
      <c r="E10958" s="553">
        <v>391.11</v>
      </c>
      <c r="F10958" s="553">
        <v>4455.83</v>
      </c>
      <c r="G10958" s="553">
        <v>365.43</v>
      </c>
      <c r="H10958" s="553">
        <v>441.33</v>
      </c>
      <c r="I10958" s="553">
        <v>3449.08</v>
      </c>
      <c r="J10958" s="647">
        <v>2451.7199999999998</v>
      </c>
    </row>
    <row r="10959" spans="2:10">
      <c r="B10959" s="1230" t="s">
        <v>448</v>
      </c>
      <c r="C10959" s="132" t="s">
        <v>2058</v>
      </c>
      <c r="D10959" s="255">
        <v>13013</v>
      </c>
      <c r="E10959" s="553">
        <v>707.38</v>
      </c>
      <c r="F10959" s="553">
        <v>7509.97</v>
      </c>
      <c r="G10959" s="553">
        <v>474.26</v>
      </c>
      <c r="H10959" s="553">
        <v>748.04</v>
      </c>
      <c r="I10959" s="553">
        <v>5993.7</v>
      </c>
      <c r="J10959" s="647">
        <v>3019.25</v>
      </c>
    </row>
    <row r="10960" spans="2:10">
      <c r="B10960" s="1230" t="s">
        <v>448</v>
      </c>
      <c r="C10960" s="132" t="s">
        <v>2059</v>
      </c>
      <c r="D10960" s="255">
        <v>13015</v>
      </c>
      <c r="E10960" s="553">
        <v>673.76</v>
      </c>
      <c r="F10960" s="553">
        <v>7479.09</v>
      </c>
      <c r="G10960" s="553">
        <v>481.06</v>
      </c>
      <c r="H10960" s="553">
        <v>742.14</v>
      </c>
      <c r="I10960" s="553">
        <v>7034.88</v>
      </c>
      <c r="J10960" s="647">
        <v>3425.12</v>
      </c>
    </row>
    <row r="10961" spans="2:10">
      <c r="B10961" s="1230" t="s">
        <v>448</v>
      </c>
      <c r="C10961" s="132" t="s">
        <v>2060</v>
      </c>
      <c r="D10961" s="255">
        <v>13017</v>
      </c>
      <c r="E10961" s="553">
        <v>183.8</v>
      </c>
      <c r="F10961" s="553">
        <v>2366.1799999999998</v>
      </c>
      <c r="G10961" s="553">
        <v>293.81</v>
      </c>
      <c r="H10961" s="553">
        <v>232.28</v>
      </c>
      <c r="I10961" s="553">
        <v>1388.98</v>
      </c>
      <c r="J10961" s="647">
        <v>1564.35</v>
      </c>
    </row>
    <row r="10962" spans="2:10">
      <c r="B10962" s="1230" t="s">
        <v>448</v>
      </c>
      <c r="C10962" s="132" t="s">
        <v>2061</v>
      </c>
      <c r="D10962" s="255">
        <v>13019</v>
      </c>
      <c r="E10962" s="553">
        <v>201.11</v>
      </c>
      <c r="F10962" s="553">
        <v>2620.81</v>
      </c>
      <c r="G10962" s="553">
        <v>251.64</v>
      </c>
      <c r="H10962" s="553">
        <v>257.17</v>
      </c>
      <c r="I10962" s="553">
        <v>2072.5700000000002</v>
      </c>
      <c r="J10962" s="647">
        <v>1562.67</v>
      </c>
    </row>
    <row r="10963" spans="2:10">
      <c r="B10963" s="1230" t="s">
        <v>448</v>
      </c>
      <c r="C10963" s="132" t="s">
        <v>1722</v>
      </c>
      <c r="D10963" s="255">
        <v>13021</v>
      </c>
      <c r="E10963" s="553">
        <v>435.82</v>
      </c>
      <c r="F10963" s="553">
        <v>5580.22</v>
      </c>
      <c r="G10963" s="553">
        <v>201.16</v>
      </c>
      <c r="H10963" s="553">
        <v>547.72</v>
      </c>
      <c r="I10963" s="553">
        <v>9596.94</v>
      </c>
      <c r="J10963" s="647">
        <v>2162.0300000000002</v>
      </c>
    </row>
    <row r="10964" spans="2:10">
      <c r="B10964" s="1230" t="s">
        <v>448</v>
      </c>
      <c r="C10964" s="132" t="s">
        <v>2062</v>
      </c>
      <c r="D10964" s="255">
        <v>13023</v>
      </c>
      <c r="E10964" s="553">
        <v>208.52</v>
      </c>
      <c r="F10964" s="553">
        <v>2567.19</v>
      </c>
      <c r="G10964" s="553">
        <v>226.84</v>
      </c>
      <c r="H10964" s="553">
        <v>252.85</v>
      </c>
      <c r="I10964" s="553">
        <v>3077.11</v>
      </c>
      <c r="J10964" s="647">
        <v>1586.7</v>
      </c>
    </row>
    <row r="10965" spans="2:10">
      <c r="B10965" s="1230" t="s">
        <v>448</v>
      </c>
      <c r="C10965" s="132" t="s">
        <v>2063</v>
      </c>
      <c r="D10965" s="255">
        <v>13025</v>
      </c>
      <c r="E10965" s="553">
        <v>142.58000000000001</v>
      </c>
      <c r="F10965" s="553">
        <v>1882.7</v>
      </c>
      <c r="G10965" s="553">
        <v>154.09</v>
      </c>
      <c r="H10965" s="553">
        <v>184.5</v>
      </c>
      <c r="I10965" s="553">
        <v>2645.19</v>
      </c>
      <c r="J10965" s="647">
        <v>1236.06</v>
      </c>
    </row>
    <row r="10966" spans="2:10">
      <c r="B10966" s="1230" t="s">
        <v>448</v>
      </c>
      <c r="C10966" s="132" t="s">
        <v>2064</v>
      </c>
      <c r="D10966" s="255">
        <v>13027</v>
      </c>
      <c r="E10966" s="553">
        <v>198.14</v>
      </c>
      <c r="F10966" s="553">
        <v>2748.18</v>
      </c>
      <c r="G10966" s="553">
        <v>212.38</v>
      </c>
      <c r="H10966" s="553">
        <v>268.48</v>
      </c>
      <c r="I10966" s="553">
        <v>4111.3900000000003</v>
      </c>
      <c r="J10966" s="647">
        <v>1481.89</v>
      </c>
    </row>
    <row r="10967" spans="2:10">
      <c r="B10967" s="1230" t="s">
        <v>448</v>
      </c>
      <c r="C10967" s="132" t="s">
        <v>2065</v>
      </c>
      <c r="D10967" s="255">
        <v>13029</v>
      </c>
      <c r="E10967" s="553">
        <v>374.4</v>
      </c>
      <c r="F10967" s="553">
        <v>5003.21</v>
      </c>
      <c r="G10967" s="553">
        <v>164.32</v>
      </c>
      <c r="H10967" s="553">
        <v>489.95</v>
      </c>
      <c r="I10967" s="553">
        <v>8924.26</v>
      </c>
      <c r="J10967" s="647">
        <v>1858.42</v>
      </c>
    </row>
    <row r="10968" spans="2:10">
      <c r="B10968" s="1230" t="s">
        <v>448</v>
      </c>
      <c r="C10968" s="132" t="s">
        <v>2066</v>
      </c>
      <c r="D10968" s="255">
        <v>13031</v>
      </c>
      <c r="E10968" s="553">
        <v>192.98</v>
      </c>
      <c r="F10968" s="553">
        <v>2489.2199999999998</v>
      </c>
      <c r="G10968" s="553">
        <v>215.4</v>
      </c>
      <c r="H10968" s="553">
        <v>244.34</v>
      </c>
      <c r="I10968" s="553">
        <v>3387.06</v>
      </c>
      <c r="J10968" s="647">
        <v>1550.35</v>
      </c>
    </row>
    <row r="10969" spans="2:10">
      <c r="B10969" s="1230" t="s">
        <v>448</v>
      </c>
      <c r="C10969" s="132" t="s">
        <v>2067</v>
      </c>
      <c r="D10969" s="255">
        <v>13033</v>
      </c>
      <c r="E10969" s="553">
        <v>290.02</v>
      </c>
      <c r="F10969" s="553">
        <v>3701.8</v>
      </c>
      <c r="G10969" s="553">
        <v>343.44</v>
      </c>
      <c r="H10969" s="553">
        <v>363.55</v>
      </c>
      <c r="I10969" s="553">
        <v>2733.3</v>
      </c>
      <c r="J10969" s="647">
        <v>2171</v>
      </c>
    </row>
    <row r="10970" spans="2:10">
      <c r="B10970" s="1230" t="s">
        <v>448</v>
      </c>
      <c r="C10970" s="132" t="s">
        <v>2068</v>
      </c>
      <c r="D10970" s="255">
        <v>13035</v>
      </c>
      <c r="E10970" s="553">
        <v>343.94</v>
      </c>
      <c r="F10970" s="553">
        <v>3825.16</v>
      </c>
      <c r="G10970" s="553">
        <v>248.94</v>
      </c>
      <c r="H10970" s="553">
        <v>379.54</v>
      </c>
      <c r="I10970" s="553">
        <v>4653.03</v>
      </c>
      <c r="J10970" s="647">
        <v>2079.64</v>
      </c>
    </row>
    <row r="10971" spans="2:10">
      <c r="B10971" s="1230" t="s">
        <v>448</v>
      </c>
      <c r="C10971" s="132" t="s">
        <v>1726</v>
      </c>
      <c r="D10971" s="255">
        <v>13037</v>
      </c>
      <c r="E10971" s="553">
        <v>133.97999999999999</v>
      </c>
      <c r="F10971" s="553">
        <v>1693.1</v>
      </c>
      <c r="G10971" s="553">
        <v>202.77</v>
      </c>
      <c r="H10971" s="553">
        <v>166.37</v>
      </c>
      <c r="I10971" s="553">
        <v>1756.27</v>
      </c>
      <c r="J10971" s="647">
        <v>1230.8900000000001</v>
      </c>
    </row>
    <row r="10972" spans="2:10">
      <c r="B10972" s="1230" t="s">
        <v>448</v>
      </c>
      <c r="C10972" s="132" t="s">
        <v>2069</v>
      </c>
      <c r="D10972" s="255">
        <v>13039</v>
      </c>
      <c r="E10972" s="553">
        <v>168.21</v>
      </c>
      <c r="F10972" s="553">
        <v>2395.36</v>
      </c>
      <c r="G10972" s="553">
        <v>141.26</v>
      </c>
      <c r="H10972" s="553">
        <v>233.56</v>
      </c>
      <c r="I10972" s="553">
        <v>3121.85</v>
      </c>
      <c r="J10972" s="647">
        <v>1362.64</v>
      </c>
    </row>
    <row r="10973" spans="2:10">
      <c r="B10973" s="1230" t="s">
        <v>448</v>
      </c>
      <c r="C10973" s="132" t="s">
        <v>2070</v>
      </c>
      <c r="D10973" s="255">
        <v>13043</v>
      </c>
      <c r="E10973" s="553">
        <v>152.44</v>
      </c>
      <c r="F10973" s="553">
        <v>1962.83</v>
      </c>
      <c r="G10973" s="553">
        <v>191.52</v>
      </c>
      <c r="H10973" s="553">
        <v>192.71</v>
      </c>
      <c r="I10973" s="553">
        <v>2474.23</v>
      </c>
      <c r="J10973" s="647">
        <v>1409.8</v>
      </c>
    </row>
    <row r="10974" spans="2:10">
      <c r="B10974" s="1230" t="s">
        <v>448</v>
      </c>
      <c r="C10974" s="132" t="s">
        <v>1835</v>
      </c>
      <c r="D10974" s="255">
        <v>13045</v>
      </c>
      <c r="E10974" s="553">
        <v>589.27</v>
      </c>
      <c r="F10974" s="553">
        <v>6688.93</v>
      </c>
      <c r="G10974" s="553">
        <v>390.87</v>
      </c>
      <c r="H10974" s="553">
        <v>662.55</v>
      </c>
      <c r="I10974" s="553">
        <v>7699.24</v>
      </c>
      <c r="J10974" s="647">
        <v>2994.27</v>
      </c>
    </row>
    <row r="10975" spans="2:10">
      <c r="B10975" s="1230" t="s">
        <v>448</v>
      </c>
      <c r="C10975" s="132" t="s">
        <v>2071</v>
      </c>
      <c r="D10975" s="255">
        <v>13047</v>
      </c>
      <c r="E10975" s="553">
        <v>697.45</v>
      </c>
      <c r="F10975" s="553">
        <v>9266.9599999999991</v>
      </c>
      <c r="G10975" s="553">
        <v>718.16</v>
      </c>
      <c r="H10975" s="553">
        <v>907.56</v>
      </c>
      <c r="I10975" s="553">
        <v>3012.15</v>
      </c>
      <c r="J10975" s="647">
        <v>3595.76</v>
      </c>
    </row>
    <row r="10976" spans="2:10">
      <c r="B10976" s="1230" t="s">
        <v>448</v>
      </c>
      <c r="C10976" s="132" t="s">
        <v>2072</v>
      </c>
      <c r="D10976" s="255">
        <v>13049</v>
      </c>
      <c r="E10976" s="553">
        <v>207.01</v>
      </c>
      <c r="F10976" s="553">
        <v>2695.56</v>
      </c>
      <c r="G10976" s="553">
        <v>140.51</v>
      </c>
      <c r="H10976" s="553">
        <v>264.51</v>
      </c>
      <c r="I10976" s="553">
        <v>4155.83</v>
      </c>
      <c r="J10976" s="647">
        <v>1471.04</v>
      </c>
    </row>
    <row r="10977" spans="2:10">
      <c r="B10977" s="1230" t="s">
        <v>448</v>
      </c>
      <c r="C10977" s="132" t="s">
        <v>2073</v>
      </c>
      <c r="D10977" s="255">
        <v>13051</v>
      </c>
      <c r="E10977" s="553">
        <v>295.86</v>
      </c>
      <c r="F10977" s="553">
        <v>4069.78</v>
      </c>
      <c r="G10977" s="553">
        <v>139.76</v>
      </c>
      <c r="H10977" s="553">
        <v>397.82</v>
      </c>
      <c r="I10977" s="553">
        <v>6897.5</v>
      </c>
      <c r="J10977" s="647">
        <v>1692.41</v>
      </c>
    </row>
    <row r="10978" spans="2:10">
      <c r="B10978" s="1230" t="s">
        <v>448</v>
      </c>
      <c r="C10978" s="132" t="s">
        <v>2074</v>
      </c>
      <c r="D10978" s="255">
        <v>13053</v>
      </c>
      <c r="E10978" s="553">
        <v>418.09</v>
      </c>
      <c r="F10978" s="553">
        <v>5340.12</v>
      </c>
      <c r="G10978" s="553">
        <v>195.28</v>
      </c>
      <c r="H10978" s="553">
        <v>524.26</v>
      </c>
      <c r="I10978" s="553">
        <v>9318.68</v>
      </c>
      <c r="J10978" s="647">
        <v>2094.0500000000002</v>
      </c>
    </row>
    <row r="10979" spans="2:10">
      <c r="B10979" s="1230" t="s">
        <v>448</v>
      </c>
      <c r="C10979" s="132" t="s">
        <v>2075</v>
      </c>
      <c r="D10979" s="255">
        <v>13055</v>
      </c>
      <c r="E10979" s="553">
        <v>444.31</v>
      </c>
      <c r="F10979" s="553">
        <v>5971.37</v>
      </c>
      <c r="G10979" s="553">
        <v>548.38</v>
      </c>
      <c r="H10979" s="553">
        <v>584.15</v>
      </c>
      <c r="I10979" s="553">
        <v>2932.64</v>
      </c>
      <c r="J10979" s="647">
        <v>3040.72</v>
      </c>
    </row>
    <row r="10980" spans="2:10">
      <c r="B10980" s="1230" t="s">
        <v>448</v>
      </c>
      <c r="C10980" s="132" t="s">
        <v>1728</v>
      </c>
      <c r="D10980" s="255">
        <v>13057</v>
      </c>
      <c r="E10980" s="553">
        <v>900.15</v>
      </c>
      <c r="F10980" s="553">
        <v>9113.9599999999991</v>
      </c>
      <c r="G10980" s="553">
        <v>497.43</v>
      </c>
      <c r="H10980" s="553">
        <v>911.62</v>
      </c>
      <c r="I10980" s="553">
        <v>9750.2999999999993</v>
      </c>
      <c r="J10980" s="647">
        <v>3890.41</v>
      </c>
    </row>
    <row r="10981" spans="2:10">
      <c r="B10981" s="1230" t="s">
        <v>448</v>
      </c>
      <c r="C10981" s="132" t="s">
        <v>1731</v>
      </c>
      <c r="D10981" s="255">
        <v>13059</v>
      </c>
      <c r="E10981" s="553">
        <v>535.37</v>
      </c>
      <c r="F10981" s="553">
        <v>5936.69</v>
      </c>
      <c r="G10981" s="553">
        <v>459.36</v>
      </c>
      <c r="H10981" s="553">
        <v>589.51</v>
      </c>
      <c r="I10981" s="553">
        <v>3062.72</v>
      </c>
      <c r="J10981" s="647">
        <v>2715.7</v>
      </c>
    </row>
    <row r="10982" spans="2:10">
      <c r="B10982" s="1230" t="s">
        <v>448</v>
      </c>
      <c r="C10982" s="132" t="s">
        <v>1732</v>
      </c>
      <c r="D10982" s="255">
        <v>13061</v>
      </c>
      <c r="E10982" s="553">
        <v>133.6</v>
      </c>
      <c r="F10982" s="553">
        <v>1706.53</v>
      </c>
      <c r="G10982" s="553">
        <v>218.13</v>
      </c>
      <c r="H10982" s="553">
        <v>167.6</v>
      </c>
      <c r="I10982" s="553">
        <v>1769.28</v>
      </c>
      <c r="J10982" s="647">
        <v>1265.05</v>
      </c>
    </row>
    <row r="10983" spans="2:10">
      <c r="B10983" s="1230" t="s">
        <v>448</v>
      </c>
      <c r="C10983" s="132" t="s">
        <v>2076</v>
      </c>
      <c r="D10983" s="255">
        <v>13063</v>
      </c>
      <c r="E10983" s="553">
        <v>1248.08</v>
      </c>
      <c r="F10983" s="553">
        <v>12578.29</v>
      </c>
      <c r="G10983" s="553">
        <v>144.97999999999999</v>
      </c>
      <c r="H10983" s="553">
        <v>1258.47</v>
      </c>
      <c r="I10983" s="553">
        <v>23615.84</v>
      </c>
      <c r="J10983" s="647">
        <v>3571.95</v>
      </c>
    </row>
    <row r="10984" spans="2:10">
      <c r="B10984" s="1230" t="s">
        <v>448</v>
      </c>
      <c r="C10984" s="132" t="s">
        <v>2077</v>
      </c>
      <c r="D10984" s="255">
        <v>13065</v>
      </c>
      <c r="E10984" s="553">
        <v>141.5</v>
      </c>
      <c r="F10984" s="553">
        <v>1837.92</v>
      </c>
      <c r="G10984" s="553">
        <v>156.79</v>
      </c>
      <c r="H10984" s="553">
        <v>180.36</v>
      </c>
      <c r="I10984" s="553">
        <v>2474.4299999999998</v>
      </c>
      <c r="J10984" s="647">
        <v>1283.1199999999999</v>
      </c>
    </row>
    <row r="10985" spans="2:10">
      <c r="B10985" s="1230" t="s">
        <v>448</v>
      </c>
      <c r="C10985" s="132" t="s">
        <v>2078</v>
      </c>
      <c r="D10985" s="255">
        <v>13067</v>
      </c>
      <c r="E10985" s="553">
        <v>2772.45</v>
      </c>
      <c r="F10985" s="553">
        <v>26260.74</v>
      </c>
      <c r="G10985" s="553">
        <v>314.56</v>
      </c>
      <c r="H10985" s="553">
        <v>2641.41</v>
      </c>
      <c r="I10985" s="553">
        <v>51194.1</v>
      </c>
      <c r="J10985" s="647">
        <v>6366.52</v>
      </c>
    </row>
    <row r="10986" spans="2:10">
      <c r="B10986" s="1230" t="s">
        <v>448</v>
      </c>
      <c r="C10986" s="132" t="s">
        <v>1734</v>
      </c>
      <c r="D10986" s="255">
        <v>13069</v>
      </c>
      <c r="E10986" s="553">
        <v>182.24</v>
      </c>
      <c r="F10986" s="553">
        <v>2350.84</v>
      </c>
      <c r="G10986" s="553">
        <v>289.81</v>
      </c>
      <c r="H10986" s="553">
        <v>230.8</v>
      </c>
      <c r="I10986" s="553">
        <v>1340.28</v>
      </c>
      <c r="J10986" s="647">
        <v>1559.98</v>
      </c>
    </row>
    <row r="10987" spans="2:10">
      <c r="B10987" s="1230" t="s">
        <v>448</v>
      </c>
      <c r="C10987" s="132" t="s">
        <v>2079</v>
      </c>
      <c r="D10987" s="255">
        <v>13071</v>
      </c>
      <c r="E10987" s="553">
        <v>168.91</v>
      </c>
      <c r="F10987" s="553">
        <v>2340.1</v>
      </c>
      <c r="G10987" s="553">
        <v>274.08999999999997</v>
      </c>
      <c r="H10987" s="553">
        <v>228.64</v>
      </c>
      <c r="I10987" s="553">
        <v>1593.55</v>
      </c>
      <c r="J10987" s="647">
        <v>1546.02</v>
      </c>
    </row>
    <row r="10988" spans="2:10">
      <c r="B10988" s="1230" t="s">
        <v>448</v>
      </c>
      <c r="C10988" s="132" t="s">
        <v>1839</v>
      </c>
      <c r="D10988" s="255">
        <v>13073</v>
      </c>
      <c r="E10988" s="553">
        <v>561.19000000000005</v>
      </c>
      <c r="F10988" s="553">
        <v>6942.73</v>
      </c>
      <c r="G10988" s="553">
        <v>544.29</v>
      </c>
      <c r="H10988" s="553">
        <v>683.34</v>
      </c>
      <c r="I10988" s="553">
        <v>2871.68</v>
      </c>
      <c r="J10988" s="647">
        <v>2986.39</v>
      </c>
    </row>
    <row r="10989" spans="2:10">
      <c r="B10989" s="1230" t="s">
        <v>448</v>
      </c>
      <c r="C10989" s="132" t="s">
        <v>2080</v>
      </c>
      <c r="D10989" s="255">
        <v>13075</v>
      </c>
      <c r="E10989" s="553">
        <v>193.97</v>
      </c>
      <c r="F10989" s="553">
        <v>2565.4299999999998</v>
      </c>
      <c r="G10989" s="553">
        <v>234.46</v>
      </c>
      <c r="H10989" s="553">
        <v>251.5</v>
      </c>
      <c r="I10989" s="553">
        <v>2437.16</v>
      </c>
      <c r="J10989" s="647">
        <v>1508.28</v>
      </c>
    </row>
    <row r="10990" spans="2:10">
      <c r="B10990" s="1230" t="s">
        <v>448</v>
      </c>
      <c r="C10990" s="132" t="s">
        <v>2081</v>
      </c>
      <c r="D10990" s="255">
        <v>13077</v>
      </c>
      <c r="E10990" s="553">
        <v>559.75</v>
      </c>
      <c r="F10990" s="553">
        <v>6475.7</v>
      </c>
      <c r="G10990" s="553">
        <v>237.37</v>
      </c>
      <c r="H10990" s="553">
        <v>640.52</v>
      </c>
      <c r="I10990" s="553">
        <v>11021.59</v>
      </c>
      <c r="J10990" s="647">
        <v>2653.52</v>
      </c>
    </row>
    <row r="10991" spans="2:10">
      <c r="B10991" s="1230" t="s">
        <v>448</v>
      </c>
      <c r="C10991" s="132" t="s">
        <v>1842</v>
      </c>
      <c r="D10991" s="255">
        <v>13079</v>
      </c>
      <c r="E10991" s="553">
        <v>394.84</v>
      </c>
      <c r="F10991" s="553">
        <v>5058.66</v>
      </c>
      <c r="G10991" s="553">
        <v>217.98</v>
      </c>
      <c r="H10991" s="553">
        <v>496.54</v>
      </c>
      <c r="I10991" s="553">
        <v>7856.19</v>
      </c>
      <c r="J10991" s="647">
        <v>2105.4899999999998</v>
      </c>
    </row>
    <row r="10992" spans="2:10">
      <c r="B10992" s="1230" t="s">
        <v>448</v>
      </c>
      <c r="C10992" s="132" t="s">
        <v>2082</v>
      </c>
      <c r="D10992" s="255">
        <v>13081</v>
      </c>
      <c r="E10992" s="553">
        <v>175.03</v>
      </c>
      <c r="F10992" s="553">
        <v>2277.15</v>
      </c>
      <c r="G10992" s="553">
        <v>282.81</v>
      </c>
      <c r="H10992" s="553">
        <v>223.43</v>
      </c>
      <c r="I10992" s="553">
        <v>1659.28</v>
      </c>
      <c r="J10992" s="647">
        <v>1569.56</v>
      </c>
    </row>
    <row r="10993" spans="2:10">
      <c r="B10993" s="1230" t="s">
        <v>448</v>
      </c>
      <c r="C10993" s="132" t="s">
        <v>2083</v>
      </c>
      <c r="D10993" s="255">
        <v>13083</v>
      </c>
      <c r="E10993" s="553">
        <v>420.44</v>
      </c>
      <c r="F10993" s="553">
        <v>5438.24</v>
      </c>
      <c r="G10993" s="553">
        <v>462.75</v>
      </c>
      <c r="H10993" s="553">
        <v>533.66999999999996</v>
      </c>
      <c r="I10993" s="553">
        <v>3031.03</v>
      </c>
      <c r="J10993" s="647">
        <v>2843.06</v>
      </c>
    </row>
    <row r="10994" spans="2:10">
      <c r="B10994" s="1230" t="s">
        <v>448</v>
      </c>
      <c r="C10994" s="132" t="s">
        <v>2084</v>
      </c>
      <c r="D10994" s="255">
        <v>13085</v>
      </c>
      <c r="E10994" s="553">
        <v>514.35</v>
      </c>
      <c r="F10994" s="553">
        <v>5733.88</v>
      </c>
      <c r="G10994" s="553">
        <v>450.57</v>
      </c>
      <c r="H10994" s="553">
        <v>568.80999999999995</v>
      </c>
      <c r="I10994" s="553">
        <v>4213.7</v>
      </c>
      <c r="J10994" s="647">
        <v>2929.58</v>
      </c>
    </row>
    <row r="10995" spans="2:10">
      <c r="B10995" s="1230" t="s">
        <v>448</v>
      </c>
      <c r="C10995" s="132" t="s">
        <v>2085</v>
      </c>
      <c r="D10995" s="255">
        <v>13087</v>
      </c>
      <c r="E10995" s="553">
        <v>184.7</v>
      </c>
      <c r="F10995" s="553">
        <v>2511.4699999999998</v>
      </c>
      <c r="G10995" s="553">
        <v>248.76</v>
      </c>
      <c r="H10995" s="553">
        <v>245.65</v>
      </c>
      <c r="I10995" s="553">
        <v>2378.33</v>
      </c>
      <c r="J10995" s="647">
        <v>1448.8</v>
      </c>
    </row>
    <row r="10996" spans="2:10">
      <c r="B10996" s="1230" t="s">
        <v>448</v>
      </c>
      <c r="C10996" s="132" t="s">
        <v>1743</v>
      </c>
      <c r="D10996" s="255">
        <v>13089</v>
      </c>
      <c r="E10996" s="553">
        <v>3807.6</v>
      </c>
      <c r="F10996" s="553">
        <v>34228.959999999999</v>
      </c>
      <c r="G10996" s="553">
        <v>192.46</v>
      </c>
      <c r="H10996" s="553">
        <v>3459.89</v>
      </c>
      <c r="I10996" s="553">
        <v>68130.73</v>
      </c>
      <c r="J10996" s="647">
        <v>8151.69</v>
      </c>
    </row>
    <row r="10997" spans="2:10">
      <c r="B10997" s="1230" t="s">
        <v>448</v>
      </c>
      <c r="C10997" s="132" t="s">
        <v>2086</v>
      </c>
      <c r="D10997" s="255">
        <v>13091</v>
      </c>
      <c r="E10997" s="553">
        <v>225.76</v>
      </c>
      <c r="F10997" s="553">
        <v>2935.32</v>
      </c>
      <c r="G10997" s="553">
        <v>214.64</v>
      </c>
      <c r="H10997" s="553">
        <v>287.93</v>
      </c>
      <c r="I10997" s="553">
        <v>4089.86</v>
      </c>
      <c r="J10997" s="647">
        <v>1645.44</v>
      </c>
    </row>
    <row r="10998" spans="2:10">
      <c r="B10998" s="1230" t="s">
        <v>448</v>
      </c>
      <c r="C10998" s="132" t="s">
        <v>2087</v>
      </c>
      <c r="D10998" s="255">
        <v>13093</v>
      </c>
      <c r="E10998" s="553">
        <v>203.93</v>
      </c>
      <c r="F10998" s="553">
        <v>2573.5300000000002</v>
      </c>
      <c r="G10998" s="553">
        <v>264.33</v>
      </c>
      <c r="H10998" s="553">
        <v>252.96</v>
      </c>
      <c r="I10998" s="553">
        <v>2138.46</v>
      </c>
      <c r="J10998" s="647">
        <v>1621.48</v>
      </c>
    </row>
    <row r="10999" spans="2:10">
      <c r="B10999" s="1230" t="s">
        <v>448</v>
      </c>
      <c r="C10999" s="132" t="s">
        <v>2088</v>
      </c>
      <c r="D10999" s="255">
        <v>13095</v>
      </c>
      <c r="E10999" s="553">
        <v>230.54</v>
      </c>
      <c r="F10999" s="553">
        <v>2961.37</v>
      </c>
      <c r="G10999" s="553">
        <v>310.5</v>
      </c>
      <c r="H10999" s="553">
        <v>290.91000000000003</v>
      </c>
      <c r="I10999" s="553">
        <v>1834.75</v>
      </c>
      <c r="J10999" s="647">
        <v>1701.08</v>
      </c>
    </row>
    <row r="11000" spans="2:10">
      <c r="B11000" s="1230" t="s">
        <v>448</v>
      </c>
      <c r="C11000" s="132" t="s">
        <v>1957</v>
      </c>
      <c r="D11000" s="255">
        <v>13097</v>
      </c>
      <c r="E11000" s="553">
        <v>830.63</v>
      </c>
      <c r="F11000" s="553">
        <v>8332.76</v>
      </c>
      <c r="G11000" s="553">
        <v>276.12</v>
      </c>
      <c r="H11000" s="553">
        <v>833.92</v>
      </c>
      <c r="I11000" s="553">
        <v>14212.59</v>
      </c>
      <c r="J11000" s="647">
        <v>3037.93</v>
      </c>
    </row>
    <row r="11001" spans="2:10">
      <c r="B11001" s="1230" t="s">
        <v>448</v>
      </c>
      <c r="C11001" s="132" t="s">
        <v>2089</v>
      </c>
      <c r="D11001" s="255">
        <v>13099</v>
      </c>
      <c r="E11001" s="553">
        <v>137.36000000000001</v>
      </c>
      <c r="F11001" s="553">
        <v>1804.75</v>
      </c>
      <c r="G11001" s="553">
        <v>205.59</v>
      </c>
      <c r="H11001" s="553">
        <v>176.94</v>
      </c>
      <c r="I11001" s="553">
        <v>1758.9</v>
      </c>
      <c r="J11001" s="647">
        <v>1265.8599999999999</v>
      </c>
    </row>
    <row r="11002" spans="2:10">
      <c r="B11002" s="1230" t="s">
        <v>448</v>
      </c>
      <c r="C11002" s="132" t="s">
        <v>2090</v>
      </c>
      <c r="D11002" s="255">
        <v>13101</v>
      </c>
      <c r="E11002" s="553">
        <v>142.58000000000001</v>
      </c>
      <c r="F11002" s="553">
        <v>1723.01</v>
      </c>
      <c r="G11002" s="553">
        <v>170.45</v>
      </c>
      <c r="H11002" s="553">
        <v>169.96</v>
      </c>
      <c r="I11002" s="553">
        <v>1940.89</v>
      </c>
      <c r="J11002" s="647">
        <v>1240.81</v>
      </c>
    </row>
    <row r="11003" spans="2:10">
      <c r="B11003" s="1230" t="s">
        <v>448</v>
      </c>
      <c r="C11003" s="132" t="s">
        <v>2091</v>
      </c>
      <c r="D11003" s="255">
        <v>13103</v>
      </c>
      <c r="E11003" s="553">
        <v>186.47</v>
      </c>
      <c r="F11003" s="553">
        <v>2399.64</v>
      </c>
      <c r="G11003" s="553">
        <v>160.91999999999999</v>
      </c>
      <c r="H11003" s="553">
        <v>235.62</v>
      </c>
      <c r="I11003" s="553">
        <v>3351.01</v>
      </c>
      <c r="J11003" s="647">
        <v>1495.38</v>
      </c>
    </row>
    <row r="11004" spans="2:10">
      <c r="B11004" s="1230" t="s">
        <v>448</v>
      </c>
      <c r="C11004" s="132" t="s">
        <v>1959</v>
      </c>
      <c r="D11004" s="255">
        <v>13105</v>
      </c>
      <c r="E11004" s="553">
        <v>289.68</v>
      </c>
      <c r="F11004" s="553">
        <v>3715.63</v>
      </c>
      <c r="G11004" s="553">
        <v>355.1</v>
      </c>
      <c r="H11004" s="553">
        <v>364.7</v>
      </c>
      <c r="I11004" s="553">
        <v>2030.16</v>
      </c>
      <c r="J11004" s="647">
        <v>2210.65</v>
      </c>
    </row>
    <row r="11005" spans="2:10">
      <c r="B11005" s="1230" t="s">
        <v>448</v>
      </c>
      <c r="C11005" s="132" t="s">
        <v>2092</v>
      </c>
      <c r="D11005" s="255">
        <v>13107</v>
      </c>
      <c r="E11005" s="553">
        <v>171.56</v>
      </c>
      <c r="F11005" s="553">
        <v>2165.08</v>
      </c>
      <c r="G11005" s="553">
        <v>199.77</v>
      </c>
      <c r="H11005" s="553">
        <v>212.82</v>
      </c>
      <c r="I11005" s="553">
        <v>2854.36</v>
      </c>
      <c r="J11005" s="647">
        <v>1523.5</v>
      </c>
    </row>
    <row r="11006" spans="2:10">
      <c r="B11006" s="1230" t="s">
        <v>448</v>
      </c>
      <c r="C11006" s="132" t="s">
        <v>2093</v>
      </c>
      <c r="D11006" s="255">
        <v>13109</v>
      </c>
      <c r="E11006" s="553">
        <v>210.89</v>
      </c>
      <c r="F11006" s="553">
        <v>2673.39</v>
      </c>
      <c r="G11006" s="553">
        <v>241.37</v>
      </c>
      <c r="H11006" s="553">
        <v>262.83</v>
      </c>
      <c r="I11006" s="553">
        <v>1951.65</v>
      </c>
      <c r="J11006" s="647">
        <v>1540.68</v>
      </c>
    </row>
    <row r="11007" spans="2:10">
      <c r="B11007" s="1230" t="s">
        <v>448</v>
      </c>
      <c r="C11007" s="132" t="s">
        <v>2094</v>
      </c>
      <c r="D11007" s="255">
        <v>13111</v>
      </c>
      <c r="E11007" s="553">
        <v>336.23</v>
      </c>
      <c r="F11007" s="553">
        <v>4456.6499999999996</v>
      </c>
      <c r="G11007" s="553">
        <v>395.26</v>
      </c>
      <c r="H11007" s="553">
        <v>436.45</v>
      </c>
      <c r="I11007" s="553">
        <v>3407.9</v>
      </c>
      <c r="J11007" s="647">
        <v>2477.6</v>
      </c>
    </row>
    <row r="11008" spans="2:10">
      <c r="B11008" s="1230" t="s">
        <v>448</v>
      </c>
      <c r="C11008" s="132" t="s">
        <v>1747</v>
      </c>
      <c r="D11008" s="255">
        <v>13113</v>
      </c>
      <c r="E11008" s="553">
        <v>1021.5</v>
      </c>
      <c r="F11008" s="553">
        <v>10514.99</v>
      </c>
      <c r="G11008" s="553">
        <v>234.97</v>
      </c>
      <c r="H11008" s="553">
        <v>1049.96</v>
      </c>
      <c r="I11008" s="553">
        <v>19531.38</v>
      </c>
      <c r="J11008" s="647">
        <v>3281.1</v>
      </c>
    </row>
    <row r="11009" spans="2:10">
      <c r="B11009" s="1230" t="s">
        <v>448</v>
      </c>
      <c r="C11009" s="132" t="s">
        <v>2095</v>
      </c>
      <c r="D11009" s="255">
        <v>13115</v>
      </c>
      <c r="E11009" s="553">
        <v>501.37</v>
      </c>
      <c r="F11009" s="553">
        <v>6469.74</v>
      </c>
      <c r="G11009" s="553">
        <v>578.58000000000004</v>
      </c>
      <c r="H11009" s="553">
        <v>634.72</v>
      </c>
      <c r="I11009" s="553">
        <v>3348</v>
      </c>
      <c r="J11009" s="647">
        <v>3182.75</v>
      </c>
    </row>
    <row r="11010" spans="2:10">
      <c r="B11010" s="1230" t="s">
        <v>448</v>
      </c>
      <c r="C11010" s="132" t="s">
        <v>2096</v>
      </c>
      <c r="D11010" s="255">
        <v>13117</v>
      </c>
      <c r="E11010" s="553">
        <v>971.48</v>
      </c>
      <c r="F11010" s="553">
        <v>9335.74</v>
      </c>
      <c r="G11010" s="553">
        <v>465.98</v>
      </c>
      <c r="H11010" s="553">
        <v>937.96</v>
      </c>
      <c r="I11010" s="553">
        <v>10851.16</v>
      </c>
      <c r="J11010" s="647">
        <v>3672.49</v>
      </c>
    </row>
    <row r="11011" spans="2:10">
      <c r="B11011" s="1230" t="s">
        <v>448</v>
      </c>
      <c r="C11011" s="132" t="s">
        <v>1748</v>
      </c>
      <c r="D11011" s="255">
        <v>13119</v>
      </c>
      <c r="E11011" s="553">
        <v>435.48</v>
      </c>
      <c r="F11011" s="553">
        <v>5474.93</v>
      </c>
      <c r="G11011" s="553">
        <v>463.03</v>
      </c>
      <c r="H11011" s="553">
        <v>538.19000000000005</v>
      </c>
      <c r="I11011" s="553">
        <v>2786.9</v>
      </c>
      <c r="J11011" s="647">
        <v>2761.21</v>
      </c>
    </row>
    <row r="11012" spans="2:10">
      <c r="B11012" s="1230" t="s">
        <v>448</v>
      </c>
      <c r="C11012" s="132" t="s">
        <v>1848</v>
      </c>
      <c r="D11012" s="255">
        <v>13121</v>
      </c>
      <c r="E11012" s="553">
        <v>3265.73</v>
      </c>
      <c r="F11012" s="553">
        <v>29890.46</v>
      </c>
      <c r="G11012" s="553">
        <v>291.54000000000002</v>
      </c>
      <c r="H11012" s="553">
        <v>3016.13</v>
      </c>
      <c r="I11012" s="553">
        <v>58520.23</v>
      </c>
      <c r="J11012" s="647">
        <v>8080.12</v>
      </c>
    </row>
    <row r="11013" spans="2:10">
      <c r="B11013" s="1230" t="s">
        <v>448</v>
      </c>
      <c r="C11013" s="132" t="s">
        <v>2097</v>
      </c>
      <c r="D11013" s="255">
        <v>13123</v>
      </c>
      <c r="E11013" s="553">
        <v>389.11</v>
      </c>
      <c r="F11013" s="553">
        <v>4844.1899999999996</v>
      </c>
      <c r="G11013" s="553">
        <v>455.82</v>
      </c>
      <c r="H11013" s="553">
        <v>476.41</v>
      </c>
      <c r="I11013" s="553">
        <v>2931.33</v>
      </c>
      <c r="J11013" s="647">
        <v>2749.28</v>
      </c>
    </row>
    <row r="11014" spans="2:10">
      <c r="B11014" s="1230" t="s">
        <v>448</v>
      </c>
      <c r="C11014" s="132" t="s">
        <v>2098</v>
      </c>
      <c r="D11014" s="255">
        <v>13125</v>
      </c>
      <c r="E11014" s="553">
        <v>197.36</v>
      </c>
      <c r="F11014" s="553">
        <v>2361.75</v>
      </c>
      <c r="G11014" s="553">
        <v>217.99</v>
      </c>
      <c r="H11014" s="553">
        <v>233.02</v>
      </c>
      <c r="I11014" s="553">
        <v>2514.77</v>
      </c>
      <c r="J11014" s="647">
        <v>1674.47</v>
      </c>
    </row>
    <row r="11015" spans="2:10">
      <c r="B11015" s="1230" t="s">
        <v>448</v>
      </c>
      <c r="C11015" s="132" t="s">
        <v>2099</v>
      </c>
      <c r="D11015" s="255">
        <v>13127</v>
      </c>
      <c r="E11015" s="553">
        <v>175.58</v>
      </c>
      <c r="F11015" s="553">
        <v>2575.91</v>
      </c>
      <c r="G11015" s="553">
        <v>141.01</v>
      </c>
      <c r="H11015" s="553">
        <v>250.68</v>
      </c>
      <c r="I11015" s="553">
        <v>4053.38</v>
      </c>
      <c r="J11015" s="647">
        <v>1340.7</v>
      </c>
    </row>
    <row r="11016" spans="2:10">
      <c r="B11016" s="1230" t="s">
        <v>448</v>
      </c>
      <c r="C11016" s="132" t="s">
        <v>2100</v>
      </c>
      <c r="D11016" s="255">
        <v>13129</v>
      </c>
      <c r="E11016" s="553">
        <v>506.96</v>
      </c>
      <c r="F11016" s="553">
        <v>6202.88</v>
      </c>
      <c r="G11016" s="553">
        <v>529.9</v>
      </c>
      <c r="H11016" s="553">
        <v>610.88</v>
      </c>
      <c r="I11016" s="553">
        <v>3331.37</v>
      </c>
      <c r="J11016" s="647">
        <v>3036.53</v>
      </c>
    </row>
    <row r="11017" spans="2:10">
      <c r="B11017" s="1230" t="s">
        <v>448</v>
      </c>
      <c r="C11017" s="132" t="s">
        <v>2101</v>
      </c>
      <c r="D11017" s="255">
        <v>13131</v>
      </c>
      <c r="E11017" s="553">
        <v>163.31</v>
      </c>
      <c r="F11017" s="553">
        <v>2296.7199999999998</v>
      </c>
      <c r="G11017" s="553">
        <v>183.42</v>
      </c>
      <c r="H11017" s="553">
        <v>224.1</v>
      </c>
      <c r="I11017" s="553">
        <v>2675.13</v>
      </c>
      <c r="J11017" s="647">
        <v>1293.5899999999999</v>
      </c>
    </row>
    <row r="11018" spans="2:10">
      <c r="B11018" s="1230" t="s">
        <v>448</v>
      </c>
      <c r="C11018" s="132" t="s">
        <v>1750</v>
      </c>
      <c r="D11018" s="255">
        <v>13133</v>
      </c>
      <c r="E11018" s="553">
        <v>285.95</v>
      </c>
      <c r="F11018" s="553">
        <v>3421.22</v>
      </c>
      <c r="G11018" s="553">
        <v>306.38</v>
      </c>
      <c r="H11018" s="553">
        <v>337.55</v>
      </c>
      <c r="I11018" s="553">
        <v>2400.77</v>
      </c>
      <c r="J11018" s="647">
        <v>2065.06</v>
      </c>
    </row>
    <row r="11019" spans="2:10">
      <c r="B11019" s="1230" t="s">
        <v>448</v>
      </c>
      <c r="C11019" s="132" t="s">
        <v>2102</v>
      </c>
      <c r="D11019" s="255">
        <v>13135</v>
      </c>
      <c r="E11019" s="553">
        <v>2340.08</v>
      </c>
      <c r="F11019" s="553">
        <v>21124.53</v>
      </c>
      <c r="G11019" s="553">
        <v>474.77</v>
      </c>
      <c r="H11019" s="553">
        <v>2134.16</v>
      </c>
      <c r="I11019" s="553">
        <v>36213.03</v>
      </c>
      <c r="J11019" s="647">
        <v>5858.08</v>
      </c>
    </row>
    <row r="11020" spans="2:10">
      <c r="B11020" s="1230" t="s">
        <v>448</v>
      </c>
      <c r="C11020" s="132" t="s">
        <v>2103</v>
      </c>
      <c r="D11020" s="255">
        <v>13137</v>
      </c>
      <c r="E11020" s="553">
        <v>420.23</v>
      </c>
      <c r="F11020" s="553">
        <v>5456.23</v>
      </c>
      <c r="G11020" s="553">
        <v>484.57</v>
      </c>
      <c r="H11020" s="553">
        <v>535.01</v>
      </c>
      <c r="I11020" s="553">
        <v>2840.98</v>
      </c>
      <c r="J11020" s="647">
        <v>2819.5</v>
      </c>
    </row>
    <row r="11021" spans="2:10">
      <c r="B11021" s="1230" t="s">
        <v>448</v>
      </c>
      <c r="C11021" s="132" t="s">
        <v>2104</v>
      </c>
      <c r="D11021" s="255">
        <v>13139</v>
      </c>
      <c r="E11021" s="553">
        <v>823.41</v>
      </c>
      <c r="F11021" s="553">
        <v>9027.16</v>
      </c>
      <c r="G11021" s="553">
        <v>627.66</v>
      </c>
      <c r="H11021" s="553">
        <v>896.73</v>
      </c>
      <c r="I11021" s="553">
        <v>5454.61</v>
      </c>
      <c r="J11021" s="647">
        <v>3706.62</v>
      </c>
    </row>
    <row r="11022" spans="2:10">
      <c r="B11022" s="1230" t="s">
        <v>448</v>
      </c>
      <c r="C11022" s="132" t="s">
        <v>2105</v>
      </c>
      <c r="D11022" s="255">
        <v>13141</v>
      </c>
      <c r="E11022" s="553">
        <v>256.74</v>
      </c>
      <c r="F11022" s="553">
        <v>3229.57</v>
      </c>
      <c r="G11022" s="553">
        <v>238.32</v>
      </c>
      <c r="H11022" s="553">
        <v>317.44</v>
      </c>
      <c r="I11022" s="553">
        <v>3865.61</v>
      </c>
      <c r="J11022" s="647">
        <v>1887.36</v>
      </c>
    </row>
    <row r="11023" spans="2:10">
      <c r="B11023" s="1230" t="s">
        <v>448</v>
      </c>
      <c r="C11023" s="132" t="s">
        <v>2106</v>
      </c>
      <c r="D11023" s="255">
        <v>13143</v>
      </c>
      <c r="E11023" s="553">
        <v>579.17999999999995</v>
      </c>
      <c r="F11023" s="553">
        <v>7118.31</v>
      </c>
      <c r="G11023" s="553">
        <v>505.15</v>
      </c>
      <c r="H11023" s="553">
        <v>700.79</v>
      </c>
      <c r="I11023" s="553">
        <v>5164.12</v>
      </c>
      <c r="J11023" s="647">
        <v>3150.76</v>
      </c>
    </row>
    <row r="11024" spans="2:10">
      <c r="B11024" s="1230" t="s">
        <v>448</v>
      </c>
      <c r="C11024" s="132" t="s">
        <v>2107</v>
      </c>
      <c r="D11024" s="255">
        <v>13145</v>
      </c>
      <c r="E11024" s="553">
        <v>381.86</v>
      </c>
      <c r="F11024" s="553">
        <v>5034.5</v>
      </c>
      <c r="G11024" s="553">
        <v>204.78</v>
      </c>
      <c r="H11024" s="553">
        <v>493.16</v>
      </c>
      <c r="I11024" s="553">
        <v>8603.5400000000009</v>
      </c>
      <c r="J11024" s="647">
        <v>2165.17</v>
      </c>
    </row>
    <row r="11025" spans="2:10">
      <c r="B11025" s="1230" t="s">
        <v>448</v>
      </c>
      <c r="C11025" s="132" t="s">
        <v>2108</v>
      </c>
      <c r="D11025" s="255">
        <v>13147</v>
      </c>
      <c r="E11025" s="553">
        <v>318.97000000000003</v>
      </c>
      <c r="F11025" s="553">
        <v>4085.07</v>
      </c>
      <c r="G11025" s="553">
        <v>368.72</v>
      </c>
      <c r="H11025" s="553">
        <v>401.05</v>
      </c>
      <c r="I11025" s="553">
        <v>2407.0300000000002</v>
      </c>
      <c r="J11025" s="647">
        <v>2339.9499999999998</v>
      </c>
    </row>
    <row r="11026" spans="2:10">
      <c r="B11026" s="1230" t="s">
        <v>448</v>
      </c>
      <c r="C11026" s="132" t="s">
        <v>2109</v>
      </c>
      <c r="D11026" s="255">
        <v>13149</v>
      </c>
      <c r="E11026" s="553">
        <v>358.34</v>
      </c>
      <c r="F11026" s="553">
        <v>4535.9799999999996</v>
      </c>
      <c r="G11026" s="553">
        <v>246.59</v>
      </c>
      <c r="H11026" s="553">
        <v>445.49</v>
      </c>
      <c r="I11026" s="553">
        <v>6704.21</v>
      </c>
      <c r="J11026" s="647">
        <v>2244.91</v>
      </c>
    </row>
    <row r="11027" spans="2:10">
      <c r="B11027" s="1230" t="s">
        <v>448</v>
      </c>
      <c r="C11027" s="132" t="s">
        <v>1752</v>
      </c>
      <c r="D11027" s="255">
        <v>13151</v>
      </c>
      <c r="E11027" s="553">
        <v>1087.58</v>
      </c>
      <c r="F11027" s="553">
        <v>11155.96</v>
      </c>
      <c r="G11027" s="553">
        <v>319.18</v>
      </c>
      <c r="H11027" s="553">
        <v>1114.3399999999999</v>
      </c>
      <c r="I11027" s="553">
        <v>18235.009999999998</v>
      </c>
      <c r="J11027" s="647">
        <v>3651.22</v>
      </c>
    </row>
    <row r="11028" spans="2:10">
      <c r="B11028" s="1230" t="s">
        <v>448</v>
      </c>
      <c r="C11028" s="132" t="s">
        <v>1753</v>
      </c>
      <c r="D11028" s="255">
        <v>13153</v>
      </c>
      <c r="E11028" s="553">
        <v>317.81</v>
      </c>
      <c r="F11028" s="553">
        <v>3895.74</v>
      </c>
      <c r="G11028" s="553">
        <v>225.11</v>
      </c>
      <c r="H11028" s="553">
        <v>383.88</v>
      </c>
      <c r="I11028" s="553">
        <v>5477.24</v>
      </c>
      <c r="J11028" s="647">
        <v>1836.85</v>
      </c>
    </row>
    <row r="11029" spans="2:10">
      <c r="B11029" s="1230" t="s">
        <v>448</v>
      </c>
      <c r="C11029" s="132" t="s">
        <v>2110</v>
      </c>
      <c r="D11029" s="255">
        <v>13155</v>
      </c>
      <c r="E11029" s="553">
        <v>197.63</v>
      </c>
      <c r="F11029" s="553">
        <v>2643.71</v>
      </c>
      <c r="G11029" s="553">
        <v>355.28</v>
      </c>
      <c r="H11029" s="553">
        <v>258.93</v>
      </c>
      <c r="I11029" s="553">
        <v>1328.75</v>
      </c>
      <c r="J11029" s="647">
        <v>1601.35</v>
      </c>
    </row>
    <row r="11030" spans="2:10">
      <c r="B11030" s="1230" t="s">
        <v>448</v>
      </c>
      <c r="C11030" s="132" t="s">
        <v>1754</v>
      </c>
      <c r="D11030" s="255">
        <v>13157</v>
      </c>
      <c r="E11030" s="553">
        <v>663.25</v>
      </c>
      <c r="F11030" s="553">
        <v>7204.02</v>
      </c>
      <c r="G11030" s="553">
        <v>494.11</v>
      </c>
      <c r="H11030" s="553">
        <v>716.27</v>
      </c>
      <c r="I11030" s="553">
        <v>4885.6899999999996</v>
      </c>
      <c r="J11030" s="647">
        <v>3070.67</v>
      </c>
    </row>
    <row r="11031" spans="2:10">
      <c r="B11031" s="1230" t="s">
        <v>448</v>
      </c>
      <c r="C11031" s="132" t="s">
        <v>2111</v>
      </c>
      <c r="D11031" s="255">
        <v>13159</v>
      </c>
      <c r="E11031" s="553">
        <v>381.86</v>
      </c>
      <c r="F11031" s="553">
        <v>4246.49</v>
      </c>
      <c r="G11031" s="553">
        <v>309.19</v>
      </c>
      <c r="H11031" s="553">
        <v>421.38</v>
      </c>
      <c r="I11031" s="553">
        <v>3908.25</v>
      </c>
      <c r="J11031" s="647">
        <v>2197.98</v>
      </c>
    </row>
    <row r="11032" spans="2:10">
      <c r="B11032" s="1230" t="s">
        <v>448</v>
      </c>
      <c r="C11032" s="132" t="s">
        <v>2112</v>
      </c>
      <c r="D11032" s="255">
        <v>13161</v>
      </c>
      <c r="E11032" s="553">
        <v>138.19999999999999</v>
      </c>
      <c r="F11032" s="553">
        <v>1784.8</v>
      </c>
      <c r="G11032" s="553">
        <v>222.61</v>
      </c>
      <c r="H11032" s="553">
        <v>175.2</v>
      </c>
      <c r="I11032" s="553">
        <v>1385.03</v>
      </c>
      <c r="J11032" s="647">
        <v>1378.33</v>
      </c>
    </row>
    <row r="11033" spans="2:10">
      <c r="B11033" s="1230" t="s">
        <v>448</v>
      </c>
      <c r="C11033" s="132" t="s">
        <v>1755</v>
      </c>
      <c r="D11033" s="255">
        <v>13163</v>
      </c>
      <c r="E11033" s="553">
        <v>199</v>
      </c>
      <c r="F11033" s="553">
        <v>2491.3000000000002</v>
      </c>
      <c r="G11033" s="553">
        <v>210.05</v>
      </c>
      <c r="H11033" s="553">
        <v>245.08</v>
      </c>
      <c r="I11033" s="553">
        <v>3086.99</v>
      </c>
      <c r="J11033" s="647">
        <v>1674.08</v>
      </c>
    </row>
    <row r="11034" spans="2:10">
      <c r="B11034" s="1230" t="s">
        <v>448</v>
      </c>
      <c r="C11034" s="132" t="s">
        <v>2113</v>
      </c>
      <c r="D11034" s="255">
        <v>13165</v>
      </c>
      <c r="E11034" s="553">
        <v>169.55</v>
      </c>
      <c r="F11034" s="553">
        <v>2166.88</v>
      </c>
      <c r="G11034" s="553">
        <v>200.11</v>
      </c>
      <c r="H11034" s="553">
        <v>212.76</v>
      </c>
      <c r="I11034" s="553">
        <v>2877.23</v>
      </c>
      <c r="J11034" s="647">
        <v>1486.89</v>
      </c>
    </row>
    <row r="11035" spans="2:10">
      <c r="B11035" s="1230" t="s">
        <v>448</v>
      </c>
      <c r="C11035" s="132" t="s">
        <v>1856</v>
      </c>
      <c r="D11035" s="255">
        <v>13167</v>
      </c>
      <c r="E11035" s="553">
        <v>161.18</v>
      </c>
      <c r="F11035" s="553">
        <v>2027.7</v>
      </c>
      <c r="G11035" s="553">
        <v>190.29</v>
      </c>
      <c r="H11035" s="553">
        <v>199.39</v>
      </c>
      <c r="I11035" s="553">
        <v>2603.41</v>
      </c>
      <c r="J11035" s="647">
        <v>1485.68</v>
      </c>
    </row>
    <row r="11036" spans="2:10">
      <c r="B11036" s="1230" t="s">
        <v>448</v>
      </c>
      <c r="C11036" s="132" t="s">
        <v>2114</v>
      </c>
      <c r="D11036" s="255">
        <v>13169</v>
      </c>
      <c r="E11036" s="553">
        <v>412.86</v>
      </c>
      <c r="F11036" s="553">
        <v>5251.04</v>
      </c>
      <c r="G11036" s="553">
        <v>206.34</v>
      </c>
      <c r="H11036" s="553">
        <v>515.74</v>
      </c>
      <c r="I11036" s="553">
        <v>8902.31</v>
      </c>
      <c r="J11036" s="647">
        <v>2157.58</v>
      </c>
    </row>
    <row r="11037" spans="2:10">
      <c r="B11037" s="1230" t="s">
        <v>448</v>
      </c>
      <c r="C11037" s="132" t="s">
        <v>1756</v>
      </c>
      <c r="D11037" s="255">
        <v>13171</v>
      </c>
      <c r="E11037" s="553">
        <v>339.33</v>
      </c>
      <c r="F11037" s="553">
        <v>4011.12</v>
      </c>
      <c r="G11037" s="553">
        <v>233.77</v>
      </c>
      <c r="H11037" s="553">
        <v>396.14</v>
      </c>
      <c r="I11037" s="553">
        <v>5334.32</v>
      </c>
      <c r="J11037" s="647">
        <v>2069.06</v>
      </c>
    </row>
    <row r="11038" spans="2:10">
      <c r="B11038" s="1230" t="s">
        <v>448</v>
      </c>
      <c r="C11038" s="132" t="s">
        <v>2115</v>
      </c>
      <c r="D11038" s="255">
        <v>13173</v>
      </c>
      <c r="E11038" s="553">
        <v>162.1</v>
      </c>
      <c r="F11038" s="553">
        <v>2073.5</v>
      </c>
      <c r="G11038" s="553">
        <v>200.85</v>
      </c>
      <c r="H11038" s="553">
        <v>203.67</v>
      </c>
      <c r="I11038" s="553">
        <v>2834.09</v>
      </c>
      <c r="J11038" s="647">
        <v>1332.96</v>
      </c>
    </row>
    <row r="11039" spans="2:10">
      <c r="B11039" s="1230" t="s">
        <v>448</v>
      </c>
      <c r="C11039" s="132" t="s">
        <v>2116</v>
      </c>
      <c r="D11039" s="255">
        <v>13175</v>
      </c>
      <c r="E11039" s="553">
        <v>200.86</v>
      </c>
      <c r="F11039" s="553">
        <v>2559.69</v>
      </c>
      <c r="G11039" s="553">
        <v>209.8</v>
      </c>
      <c r="H11039" s="553">
        <v>251.49</v>
      </c>
      <c r="I11039" s="553">
        <v>3648.48</v>
      </c>
      <c r="J11039" s="647">
        <v>1624.98</v>
      </c>
    </row>
    <row r="11040" spans="2:10">
      <c r="B11040" s="1230" t="s">
        <v>448</v>
      </c>
      <c r="C11040" s="132" t="s">
        <v>1759</v>
      </c>
      <c r="D11040" s="255">
        <v>13177</v>
      </c>
      <c r="E11040" s="553">
        <v>262.61</v>
      </c>
      <c r="F11040" s="553">
        <v>3335.77</v>
      </c>
      <c r="G11040" s="553">
        <v>325.42</v>
      </c>
      <c r="H11040" s="553">
        <v>327.96</v>
      </c>
      <c r="I11040" s="553">
        <v>2418.79</v>
      </c>
      <c r="J11040" s="647">
        <v>1753.46</v>
      </c>
    </row>
    <row r="11041" spans="2:10">
      <c r="B11041" s="1230" t="s">
        <v>448</v>
      </c>
      <c r="C11041" s="132" t="s">
        <v>2033</v>
      </c>
      <c r="D11041" s="255">
        <v>13179</v>
      </c>
      <c r="E11041" s="553">
        <v>218.77</v>
      </c>
      <c r="F11041" s="553">
        <v>2718</v>
      </c>
      <c r="G11041" s="553">
        <v>159.09</v>
      </c>
      <c r="H11041" s="553">
        <v>267.56</v>
      </c>
      <c r="I11041" s="553">
        <v>4357.22</v>
      </c>
      <c r="J11041" s="647">
        <v>1443.48</v>
      </c>
    </row>
    <row r="11042" spans="2:10">
      <c r="B11042" s="1230" t="s">
        <v>448</v>
      </c>
      <c r="C11042" s="132" t="s">
        <v>1858</v>
      </c>
      <c r="D11042" s="255">
        <v>13181</v>
      </c>
      <c r="E11042" s="553">
        <v>265.39</v>
      </c>
      <c r="F11042" s="553">
        <v>3264.2</v>
      </c>
      <c r="G11042" s="553">
        <v>331.8</v>
      </c>
      <c r="H11042" s="553">
        <v>321.44</v>
      </c>
      <c r="I11042" s="553">
        <v>1895.78</v>
      </c>
      <c r="J11042" s="647">
        <v>2091.17</v>
      </c>
    </row>
    <row r="11043" spans="2:10">
      <c r="B11043" s="1230" t="s">
        <v>448</v>
      </c>
      <c r="C11043" s="132" t="s">
        <v>2117</v>
      </c>
      <c r="D11043" s="255">
        <v>13183</v>
      </c>
      <c r="E11043" s="553">
        <v>209.32</v>
      </c>
      <c r="F11043" s="553">
        <v>2650.92</v>
      </c>
      <c r="G11043" s="553">
        <v>163.5</v>
      </c>
      <c r="H11043" s="553">
        <v>260.64</v>
      </c>
      <c r="I11043" s="553">
        <v>4142.17</v>
      </c>
      <c r="J11043" s="647">
        <v>1442.54</v>
      </c>
    </row>
    <row r="11044" spans="2:10">
      <c r="B11044" s="1230" t="s">
        <v>448</v>
      </c>
      <c r="C11044" s="132" t="s">
        <v>1761</v>
      </c>
      <c r="D11044" s="255">
        <v>13185</v>
      </c>
      <c r="E11044" s="553">
        <v>196.49</v>
      </c>
      <c r="F11044" s="553">
        <v>2648.53</v>
      </c>
      <c r="G11044" s="553">
        <v>181.64</v>
      </c>
      <c r="H11044" s="553">
        <v>259.27999999999997</v>
      </c>
      <c r="I11044" s="553">
        <v>4037.25</v>
      </c>
      <c r="J11044" s="647">
        <v>1451.38</v>
      </c>
    </row>
    <row r="11045" spans="2:10">
      <c r="B11045" s="1230" t="s">
        <v>448</v>
      </c>
      <c r="C11045" s="132" t="s">
        <v>2118</v>
      </c>
      <c r="D11045" s="255">
        <v>13187</v>
      </c>
      <c r="E11045" s="553">
        <v>445.49</v>
      </c>
      <c r="F11045" s="553">
        <v>5290.71</v>
      </c>
      <c r="G11045" s="553">
        <v>460.78</v>
      </c>
      <c r="H11045" s="553">
        <v>522.26</v>
      </c>
      <c r="I11045" s="553">
        <v>3313.85</v>
      </c>
      <c r="J11045" s="647">
        <v>2820.92</v>
      </c>
    </row>
    <row r="11046" spans="2:10">
      <c r="B11046" s="1230" t="s">
        <v>448</v>
      </c>
      <c r="C11046" s="132" t="s">
        <v>2119</v>
      </c>
      <c r="D11046" s="255">
        <v>13189</v>
      </c>
      <c r="E11046" s="553">
        <v>391.7</v>
      </c>
      <c r="F11046" s="553">
        <v>4686.7</v>
      </c>
      <c r="G11046" s="553">
        <v>358.1</v>
      </c>
      <c r="H11046" s="553">
        <v>462.55</v>
      </c>
      <c r="I11046" s="553">
        <v>3178.3</v>
      </c>
      <c r="J11046" s="647">
        <v>2282.1</v>
      </c>
    </row>
    <row r="11047" spans="2:10">
      <c r="B11047" s="1230" t="s">
        <v>448</v>
      </c>
      <c r="C11047" s="132" t="s">
        <v>2120</v>
      </c>
      <c r="D11047" s="255">
        <v>13191</v>
      </c>
      <c r="E11047" s="553">
        <v>176.63</v>
      </c>
      <c r="F11047" s="553">
        <v>2596.91</v>
      </c>
      <c r="G11047" s="553">
        <v>141.22999999999999</v>
      </c>
      <c r="H11047" s="553">
        <v>252.64</v>
      </c>
      <c r="I11047" s="553">
        <v>4169.22</v>
      </c>
      <c r="J11047" s="647">
        <v>1346.86</v>
      </c>
    </row>
    <row r="11048" spans="2:10">
      <c r="B11048" s="1230" t="s">
        <v>448</v>
      </c>
      <c r="C11048" s="132" t="s">
        <v>1762</v>
      </c>
      <c r="D11048" s="255">
        <v>13193</v>
      </c>
      <c r="E11048" s="553">
        <v>255.86</v>
      </c>
      <c r="F11048" s="553">
        <v>3082.69</v>
      </c>
      <c r="G11048" s="553">
        <v>268.63</v>
      </c>
      <c r="H11048" s="553">
        <v>303.98</v>
      </c>
      <c r="I11048" s="553">
        <v>2493.0500000000002</v>
      </c>
      <c r="J11048" s="647">
        <v>1787.77</v>
      </c>
    </row>
    <row r="11049" spans="2:10">
      <c r="B11049" s="1230" t="s">
        <v>448</v>
      </c>
      <c r="C11049" s="132" t="s">
        <v>1763</v>
      </c>
      <c r="D11049" s="255">
        <v>13195</v>
      </c>
      <c r="E11049" s="553">
        <v>366.29</v>
      </c>
      <c r="F11049" s="553">
        <v>4335.12</v>
      </c>
      <c r="G11049" s="553">
        <v>386.03</v>
      </c>
      <c r="H11049" s="553">
        <v>428.11</v>
      </c>
      <c r="I11049" s="553">
        <v>2720.8</v>
      </c>
      <c r="J11049" s="647">
        <v>2442.89</v>
      </c>
    </row>
    <row r="11050" spans="2:10">
      <c r="B11050" s="1230" t="s">
        <v>448</v>
      </c>
      <c r="C11050" s="132" t="s">
        <v>1765</v>
      </c>
      <c r="D11050" s="255">
        <v>13197</v>
      </c>
      <c r="E11050" s="553">
        <v>209.25</v>
      </c>
      <c r="F11050" s="553">
        <v>2302.02</v>
      </c>
      <c r="G11050" s="553">
        <v>204.52</v>
      </c>
      <c r="H11050" s="553">
        <v>228.71</v>
      </c>
      <c r="I11050" s="553">
        <v>2928.27</v>
      </c>
      <c r="J11050" s="647">
        <v>1568.7</v>
      </c>
    </row>
    <row r="11051" spans="2:10">
      <c r="B11051" s="1230" t="s">
        <v>448</v>
      </c>
      <c r="C11051" s="132" t="s">
        <v>2121</v>
      </c>
      <c r="D11051" s="255">
        <v>13199</v>
      </c>
      <c r="E11051" s="553">
        <v>350.93</v>
      </c>
      <c r="F11051" s="553">
        <v>4455.17</v>
      </c>
      <c r="G11051" s="553">
        <v>214.78</v>
      </c>
      <c r="H11051" s="553">
        <v>437.51</v>
      </c>
      <c r="I11051" s="553">
        <v>7217.05</v>
      </c>
      <c r="J11051" s="647">
        <v>2196.46</v>
      </c>
    </row>
    <row r="11052" spans="2:10">
      <c r="B11052" s="1230" t="s">
        <v>448</v>
      </c>
      <c r="C11052" s="132" t="s">
        <v>1862</v>
      </c>
      <c r="D11052" s="255">
        <v>13201</v>
      </c>
      <c r="E11052" s="553">
        <v>147.69999999999999</v>
      </c>
      <c r="F11052" s="553">
        <v>1938.68</v>
      </c>
      <c r="G11052" s="553">
        <v>209.54</v>
      </c>
      <c r="H11052" s="553">
        <v>190.03</v>
      </c>
      <c r="I11052" s="553">
        <v>1951.13</v>
      </c>
      <c r="J11052" s="647">
        <v>1279.77</v>
      </c>
    </row>
    <row r="11053" spans="2:10">
      <c r="B11053" s="1230" t="s">
        <v>448</v>
      </c>
      <c r="C11053" s="132" t="s">
        <v>2122</v>
      </c>
      <c r="D11053" s="255">
        <v>13205</v>
      </c>
      <c r="E11053" s="553">
        <v>214.22</v>
      </c>
      <c r="F11053" s="553">
        <v>2877.51</v>
      </c>
      <c r="G11053" s="553">
        <v>321.69</v>
      </c>
      <c r="H11053" s="553">
        <v>281.77</v>
      </c>
      <c r="I11053" s="553">
        <v>1326.79</v>
      </c>
      <c r="J11053" s="647">
        <v>1727.04</v>
      </c>
    </row>
    <row r="11054" spans="2:10">
      <c r="B11054" s="1230" t="s">
        <v>448</v>
      </c>
      <c r="C11054" s="132" t="s">
        <v>1768</v>
      </c>
      <c r="D11054" s="255">
        <v>13207</v>
      </c>
      <c r="E11054" s="553">
        <v>355.18</v>
      </c>
      <c r="F11054" s="553">
        <v>4179.28</v>
      </c>
      <c r="G11054" s="553">
        <v>246.36</v>
      </c>
      <c r="H11054" s="553">
        <v>412.87</v>
      </c>
      <c r="I11054" s="553">
        <v>5510.61</v>
      </c>
      <c r="J11054" s="647">
        <v>2079.5100000000002</v>
      </c>
    </row>
    <row r="11055" spans="2:10">
      <c r="B11055" s="1230" t="s">
        <v>448</v>
      </c>
      <c r="C11055" s="132" t="s">
        <v>1769</v>
      </c>
      <c r="D11055" s="255">
        <v>13209</v>
      </c>
      <c r="E11055" s="553">
        <v>209.21</v>
      </c>
      <c r="F11055" s="553">
        <v>2605.9299999999998</v>
      </c>
      <c r="G11055" s="553">
        <v>248.72</v>
      </c>
      <c r="H11055" s="553">
        <v>256.38</v>
      </c>
      <c r="I11055" s="553">
        <v>2357.25</v>
      </c>
      <c r="J11055" s="647">
        <v>1584.94</v>
      </c>
    </row>
    <row r="11056" spans="2:10">
      <c r="B11056" s="1230" t="s">
        <v>448</v>
      </c>
      <c r="C11056" s="132" t="s">
        <v>1770</v>
      </c>
      <c r="D11056" s="255">
        <v>13211</v>
      </c>
      <c r="E11056" s="553">
        <v>437.83</v>
      </c>
      <c r="F11056" s="553">
        <v>4910.16</v>
      </c>
      <c r="G11056" s="553">
        <v>374.64</v>
      </c>
      <c r="H11056" s="553">
        <v>487</v>
      </c>
      <c r="I11056" s="553">
        <v>3117.21</v>
      </c>
      <c r="J11056" s="647">
        <v>2446.89</v>
      </c>
    </row>
    <row r="11057" spans="2:10">
      <c r="B11057" s="1230" t="s">
        <v>448</v>
      </c>
      <c r="C11057" s="132" t="s">
        <v>2123</v>
      </c>
      <c r="D11057" s="255">
        <v>13213</v>
      </c>
      <c r="E11057" s="553">
        <v>411.83</v>
      </c>
      <c r="F11057" s="553">
        <v>5421.46</v>
      </c>
      <c r="G11057" s="553">
        <v>508.11</v>
      </c>
      <c r="H11057" s="553">
        <v>531.15</v>
      </c>
      <c r="I11057" s="553">
        <v>2505.0300000000002</v>
      </c>
      <c r="J11057" s="647">
        <v>2743.72</v>
      </c>
    </row>
    <row r="11058" spans="2:10">
      <c r="B11058" s="1230" t="s">
        <v>448</v>
      </c>
      <c r="C11058" s="132" t="s">
        <v>2124</v>
      </c>
      <c r="D11058" s="255">
        <v>13215</v>
      </c>
      <c r="E11058" s="553">
        <v>452.35</v>
      </c>
      <c r="F11058" s="553">
        <v>5796.8</v>
      </c>
      <c r="G11058" s="553">
        <v>208.86</v>
      </c>
      <c r="H11058" s="553">
        <v>569.02</v>
      </c>
      <c r="I11058" s="553">
        <v>10287.08</v>
      </c>
      <c r="J11058" s="647">
        <v>2150.54</v>
      </c>
    </row>
    <row r="11059" spans="2:10">
      <c r="B11059" s="1230" t="s">
        <v>448</v>
      </c>
      <c r="C11059" s="132" t="s">
        <v>1863</v>
      </c>
      <c r="D11059" s="255">
        <v>13217</v>
      </c>
      <c r="E11059" s="553">
        <v>666.51</v>
      </c>
      <c r="F11059" s="553">
        <v>6942.79</v>
      </c>
      <c r="G11059" s="553">
        <v>401.02</v>
      </c>
      <c r="H11059" s="553">
        <v>692.45</v>
      </c>
      <c r="I11059" s="553">
        <v>7317.91</v>
      </c>
      <c r="J11059" s="647">
        <v>2893.82</v>
      </c>
    </row>
    <row r="11060" spans="2:10">
      <c r="B11060" s="1230" t="s">
        <v>448</v>
      </c>
      <c r="C11060" s="132" t="s">
        <v>2125</v>
      </c>
      <c r="D11060" s="255">
        <v>13219</v>
      </c>
      <c r="E11060" s="553">
        <v>499.69</v>
      </c>
      <c r="F11060" s="553">
        <v>5523.55</v>
      </c>
      <c r="G11060" s="553">
        <v>412.13</v>
      </c>
      <c r="H11060" s="553">
        <v>548.47</v>
      </c>
      <c r="I11060" s="553">
        <v>3274.36</v>
      </c>
      <c r="J11060" s="647">
        <v>2566.06</v>
      </c>
    </row>
    <row r="11061" spans="2:10">
      <c r="B11061" s="1230" t="s">
        <v>448</v>
      </c>
      <c r="C11061" s="132" t="s">
        <v>2126</v>
      </c>
      <c r="D11061" s="255">
        <v>13221</v>
      </c>
      <c r="E11061" s="553">
        <v>308.26</v>
      </c>
      <c r="F11061" s="553">
        <v>3702.61</v>
      </c>
      <c r="G11061" s="553">
        <v>359.82</v>
      </c>
      <c r="H11061" s="553">
        <v>365.36</v>
      </c>
      <c r="I11061" s="553">
        <v>2104.0500000000002</v>
      </c>
      <c r="J11061" s="647">
        <v>2216.5700000000002</v>
      </c>
    </row>
    <row r="11062" spans="2:10">
      <c r="B11062" s="1230" t="s">
        <v>448</v>
      </c>
      <c r="C11062" s="132" t="s">
        <v>2127</v>
      </c>
      <c r="D11062" s="255">
        <v>13223</v>
      </c>
      <c r="E11062" s="553">
        <v>855.15</v>
      </c>
      <c r="F11062" s="553">
        <v>8865.2999999999993</v>
      </c>
      <c r="G11062" s="553">
        <v>445.32</v>
      </c>
      <c r="H11062" s="553">
        <v>884.88</v>
      </c>
      <c r="I11062" s="553">
        <v>10910.1</v>
      </c>
      <c r="J11062" s="647">
        <v>3366.58</v>
      </c>
    </row>
    <row r="11063" spans="2:10">
      <c r="B11063" s="1230" t="s">
        <v>448</v>
      </c>
      <c r="C11063" s="132" t="s">
        <v>2128</v>
      </c>
      <c r="D11063" s="255">
        <v>13225</v>
      </c>
      <c r="E11063" s="553">
        <v>507.8</v>
      </c>
      <c r="F11063" s="553">
        <v>6116.21</v>
      </c>
      <c r="G11063" s="553">
        <v>235.88</v>
      </c>
      <c r="H11063" s="553">
        <v>603.48</v>
      </c>
      <c r="I11063" s="553">
        <v>9420.5</v>
      </c>
      <c r="J11063" s="647">
        <v>2177.02</v>
      </c>
    </row>
    <row r="11064" spans="2:10">
      <c r="B11064" s="1230" t="s">
        <v>448</v>
      </c>
      <c r="C11064" s="132" t="s">
        <v>1772</v>
      </c>
      <c r="D11064" s="255">
        <v>13227</v>
      </c>
      <c r="E11064" s="553">
        <v>461.96</v>
      </c>
      <c r="F11064" s="553">
        <v>5236.6099999999997</v>
      </c>
      <c r="G11064" s="553">
        <v>429.04</v>
      </c>
      <c r="H11064" s="553">
        <v>518.79</v>
      </c>
      <c r="I11064" s="553">
        <v>4091.49</v>
      </c>
      <c r="J11064" s="647">
        <v>2796.95</v>
      </c>
    </row>
    <row r="11065" spans="2:10">
      <c r="B11065" s="1230" t="s">
        <v>448</v>
      </c>
      <c r="C11065" s="132" t="s">
        <v>2129</v>
      </c>
      <c r="D11065" s="255">
        <v>13229</v>
      </c>
      <c r="E11065" s="553">
        <v>163.76</v>
      </c>
      <c r="F11065" s="553">
        <v>2081.13</v>
      </c>
      <c r="G11065" s="553">
        <v>201.88</v>
      </c>
      <c r="H11065" s="553">
        <v>204.44</v>
      </c>
      <c r="I11065" s="553">
        <v>2640.39</v>
      </c>
      <c r="J11065" s="647">
        <v>1300.23</v>
      </c>
    </row>
    <row r="11066" spans="2:10">
      <c r="B11066" s="1230" t="s">
        <v>448</v>
      </c>
      <c r="C11066" s="132" t="s">
        <v>1773</v>
      </c>
      <c r="D11066" s="255">
        <v>13231</v>
      </c>
      <c r="E11066" s="553">
        <v>429.5</v>
      </c>
      <c r="F11066" s="553">
        <v>5281.59</v>
      </c>
      <c r="G11066" s="553">
        <v>233.02</v>
      </c>
      <c r="H11066" s="553">
        <v>519.91</v>
      </c>
      <c r="I11066" s="553">
        <v>8093.95</v>
      </c>
      <c r="J11066" s="647">
        <v>2287.58</v>
      </c>
    </row>
    <row r="11067" spans="2:10">
      <c r="B11067" s="1230" t="s">
        <v>448</v>
      </c>
      <c r="C11067" s="132" t="s">
        <v>1867</v>
      </c>
      <c r="D11067" s="255">
        <v>13233</v>
      </c>
      <c r="E11067" s="553">
        <v>621.54999999999995</v>
      </c>
      <c r="F11067" s="553">
        <v>6912.15</v>
      </c>
      <c r="G11067" s="553">
        <v>505.7</v>
      </c>
      <c r="H11067" s="553">
        <v>685.84</v>
      </c>
      <c r="I11067" s="553">
        <v>5587.93</v>
      </c>
      <c r="J11067" s="647">
        <v>3207.88</v>
      </c>
    </row>
    <row r="11068" spans="2:10">
      <c r="B11068" s="1230" t="s">
        <v>448</v>
      </c>
      <c r="C11068" s="132" t="s">
        <v>1870</v>
      </c>
      <c r="D11068" s="255">
        <v>13235</v>
      </c>
      <c r="E11068" s="553">
        <v>193.06</v>
      </c>
      <c r="F11068" s="553">
        <v>2389.33</v>
      </c>
      <c r="G11068" s="553">
        <v>237.52</v>
      </c>
      <c r="H11068" s="553">
        <v>235.12</v>
      </c>
      <c r="I11068" s="553">
        <v>2651.61</v>
      </c>
      <c r="J11068" s="647">
        <v>1559.09</v>
      </c>
    </row>
    <row r="11069" spans="2:10">
      <c r="B11069" s="1230" t="s">
        <v>448</v>
      </c>
      <c r="C11069" s="132" t="s">
        <v>2043</v>
      </c>
      <c r="D11069" s="255">
        <v>13237</v>
      </c>
      <c r="E11069" s="553">
        <v>255.54</v>
      </c>
      <c r="F11069" s="553">
        <v>3159.26</v>
      </c>
      <c r="G11069" s="553">
        <v>262</v>
      </c>
      <c r="H11069" s="553">
        <v>310.93</v>
      </c>
      <c r="I11069" s="553">
        <v>2849.15</v>
      </c>
      <c r="J11069" s="647">
        <v>1900.56</v>
      </c>
    </row>
    <row r="11070" spans="2:10">
      <c r="B11070" s="1230" t="s">
        <v>448</v>
      </c>
      <c r="C11070" s="132" t="s">
        <v>2130</v>
      </c>
      <c r="D11070" s="255">
        <v>13239</v>
      </c>
      <c r="E11070" s="553">
        <v>144.99</v>
      </c>
      <c r="F11070" s="553">
        <v>1744.09</v>
      </c>
      <c r="G11070" s="553">
        <v>173.74</v>
      </c>
      <c r="H11070" s="553">
        <v>172.02</v>
      </c>
      <c r="I11070" s="553">
        <v>2193.11</v>
      </c>
      <c r="J11070" s="647">
        <v>1291.2</v>
      </c>
    </row>
    <row r="11071" spans="2:10">
      <c r="B11071" s="1230" t="s">
        <v>448</v>
      </c>
      <c r="C11071" s="132" t="s">
        <v>2131</v>
      </c>
      <c r="D11071" s="255">
        <v>13241</v>
      </c>
      <c r="E11071" s="553">
        <v>408.01</v>
      </c>
      <c r="F11071" s="553">
        <v>5688.3</v>
      </c>
      <c r="G11071" s="553">
        <v>470.57</v>
      </c>
      <c r="H11071" s="553">
        <v>555.08000000000004</v>
      </c>
      <c r="I11071" s="553">
        <v>2836.49</v>
      </c>
      <c r="J11071" s="647">
        <v>2777.24</v>
      </c>
    </row>
    <row r="11072" spans="2:10">
      <c r="B11072" s="1230" t="s">
        <v>448</v>
      </c>
      <c r="C11072" s="132" t="s">
        <v>1774</v>
      </c>
      <c r="D11072" s="255">
        <v>13243</v>
      </c>
      <c r="E11072" s="553">
        <v>161.03</v>
      </c>
      <c r="F11072" s="553">
        <v>1961.73</v>
      </c>
      <c r="G11072" s="553">
        <v>202.72</v>
      </c>
      <c r="H11072" s="553">
        <v>193.42</v>
      </c>
      <c r="I11072" s="553">
        <v>2406.21</v>
      </c>
      <c r="J11072" s="647">
        <v>1317.16</v>
      </c>
    </row>
    <row r="11073" spans="2:10">
      <c r="B11073" s="1230" t="s">
        <v>448</v>
      </c>
      <c r="C11073" s="132" t="s">
        <v>2132</v>
      </c>
      <c r="D11073" s="255">
        <v>13245</v>
      </c>
      <c r="E11073" s="553">
        <v>473.81</v>
      </c>
      <c r="F11073" s="553">
        <v>5863.6</v>
      </c>
      <c r="G11073" s="553">
        <v>483.35</v>
      </c>
      <c r="H11073" s="553">
        <v>577.23</v>
      </c>
      <c r="I11073" s="553">
        <v>2140.06</v>
      </c>
      <c r="J11073" s="647">
        <v>2660.12</v>
      </c>
    </row>
    <row r="11074" spans="2:10">
      <c r="B11074" s="1230" t="s">
        <v>448</v>
      </c>
      <c r="C11074" s="132" t="s">
        <v>2133</v>
      </c>
      <c r="D11074" s="255">
        <v>13247</v>
      </c>
      <c r="E11074" s="553">
        <v>717.9</v>
      </c>
      <c r="F11074" s="553">
        <v>7218.46</v>
      </c>
      <c r="G11074" s="553">
        <v>287.5</v>
      </c>
      <c r="H11074" s="553">
        <v>722.19</v>
      </c>
      <c r="I11074" s="553">
        <v>11132.72</v>
      </c>
      <c r="J11074" s="647">
        <v>2728.34</v>
      </c>
    </row>
    <row r="11075" spans="2:10">
      <c r="B11075" s="1230" t="s">
        <v>448</v>
      </c>
      <c r="C11075" s="132" t="s">
        <v>2134</v>
      </c>
      <c r="D11075" s="255">
        <v>13249</v>
      </c>
      <c r="E11075" s="553">
        <v>181.63</v>
      </c>
      <c r="F11075" s="553">
        <v>2166.9899999999998</v>
      </c>
      <c r="G11075" s="553">
        <v>212.18</v>
      </c>
      <c r="H11075" s="553">
        <v>213.88</v>
      </c>
      <c r="I11075" s="553">
        <v>2346.5500000000002</v>
      </c>
      <c r="J11075" s="647">
        <v>1553.45</v>
      </c>
    </row>
    <row r="11076" spans="2:10">
      <c r="B11076" s="1230" t="s">
        <v>448</v>
      </c>
      <c r="C11076" s="132" t="s">
        <v>2135</v>
      </c>
      <c r="D11076" s="255">
        <v>13251</v>
      </c>
      <c r="E11076" s="553">
        <v>164.36</v>
      </c>
      <c r="F11076" s="553">
        <v>2122.21</v>
      </c>
      <c r="G11076" s="553">
        <v>175.76</v>
      </c>
      <c r="H11076" s="553">
        <v>208.3</v>
      </c>
      <c r="I11076" s="553">
        <v>2522.2199999999998</v>
      </c>
      <c r="J11076" s="647">
        <v>1545.25</v>
      </c>
    </row>
    <row r="11077" spans="2:10">
      <c r="B11077" s="1230" t="s">
        <v>448</v>
      </c>
      <c r="C11077" s="132" t="s">
        <v>2048</v>
      </c>
      <c r="D11077" s="255">
        <v>13253</v>
      </c>
      <c r="E11077" s="553">
        <v>133.97</v>
      </c>
      <c r="F11077" s="553">
        <v>1805.04</v>
      </c>
      <c r="G11077" s="553">
        <v>200.85</v>
      </c>
      <c r="H11077" s="553">
        <v>176.63</v>
      </c>
      <c r="I11077" s="553">
        <v>1594.05</v>
      </c>
      <c r="J11077" s="647">
        <v>1209.6500000000001</v>
      </c>
    </row>
    <row r="11078" spans="2:10">
      <c r="B11078" s="1230" t="s">
        <v>448</v>
      </c>
      <c r="C11078" s="132" t="s">
        <v>2136</v>
      </c>
      <c r="D11078" s="255">
        <v>13255</v>
      </c>
      <c r="E11078" s="553">
        <v>500.18</v>
      </c>
      <c r="F11078" s="553">
        <v>5860.73</v>
      </c>
      <c r="G11078" s="553">
        <v>227.33</v>
      </c>
      <c r="H11078" s="553">
        <v>579</v>
      </c>
      <c r="I11078" s="553">
        <v>9692.6200000000008</v>
      </c>
      <c r="J11078" s="647">
        <v>2449.02</v>
      </c>
    </row>
    <row r="11079" spans="2:10">
      <c r="B11079" s="1230" t="s">
        <v>448</v>
      </c>
      <c r="C11079" s="132" t="s">
        <v>2137</v>
      </c>
      <c r="D11079" s="255">
        <v>13257</v>
      </c>
      <c r="E11079" s="553">
        <v>362.04</v>
      </c>
      <c r="F11079" s="553">
        <v>4644.58</v>
      </c>
      <c r="G11079" s="553">
        <v>412.56</v>
      </c>
      <c r="H11079" s="553">
        <v>455.83</v>
      </c>
      <c r="I11079" s="553">
        <v>2791.2</v>
      </c>
      <c r="J11079" s="647">
        <v>2553.65</v>
      </c>
    </row>
    <row r="11080" spans="2:10">
      <c r="B11080" s="1230" t="s">
        <v>448</v>
      </c>
      <c r="C11080" s="132" t="s">
        <v>2138</v>
      </c>
      <c r="D11080" s="255">
        <v>13259</v>
      </c>
      <c r="E11080" s="553">
        <v>168.6</v>
      </c>
      <c r="F11080" s="553">
        <v>1947.97</v>
      </c>
      <c r="G11080" s="553">
        <v>169.68</v>
      </c>
      <c r="H11080" s="553">
        <v>192.85</v>
      </c>
      <c r="I11080" s="553">
        <v>2740.73</v>
      </c>
      <c r="J11080" s="647">
        <v>1354.32</v>
      </c>
    </row>
    <row r="11081" spans="2:10">
      <c r="B11081" s="1230" t="s">
        <v>448</v>
      </c>
      <c r="C11081" s="132" t="s">
        <v>1778</v>
      </c>
      <c r="D11081" s="255">
        <v>13261</v>
      </c>
      <c r="E11081" s="553">
        <v>214.85</v>
      </c>
      <c r="F11081" s="553">
        <v>2603.4299999999998</v>
      </c>
      <c r="G11081" s="553">
        <v>256.48</v>
      </c>
      <c r="H11081" s="553">
        <v>256.74</v>
      </c>
      <c r="I11081" s="553">
        <v>3075.77</v>
      </c>
      <c r="J11081" s="647">
        <v>1625.24</v>
      </c>
    </row>
    <row r="11082" spans="2:10">
      <c r="B11082" s="1230" t="s">
        <v>448</v>
      </c>
      <c r="C11082" s="132" t="s">
        <v>2139</v>
      </c>
      <c r="D11082" s="255">
        <v>13263</v>
      </c>
      <c r="E11082" s="553">
        <v>255.88</v>
      </c>
      <c r="F11082" s="553">
        <v>3203.49</v>
      </c>
      <c r="G11082" s="553">
        <v>208.01</v>
      </c>
      <c r="H11082" s="553">
        <v>315.02</v>
      </c>
      <c r="I11082" s="553">
        <v>4520.0200000000004</v>
      </c>
      <c r="J11082" s="647">
        <v>1790.79</v>
      </c>
    </row>
    <row r="11083" spans="2:10">
      <c r="B11083" s="1230" t="s">
        <v>448</v>
      </c>
      <c r="C11083" s="132" t="s">
        <v>2140</v>
      </c>
      <c r="D11083" s="255">
        <v>13265</v>
      </c>
      <c r="E11083" s="553">
        <v>211.3</v>
      </c>
      <c r="F11083" s="553">
        <v>2490.48</v>
      </c>
      <c r="G11083" s="553">
        <v>255.85</v>
      </c>
      <c r="H11083" s="553">
        <v>246.02</v>
      </c>
      <c r="I11083" s="553">
        <v>2121.35</v>
      </c>
      <c r="J11083" s="647">
        <v>1811.37</v>
      </c>
    </row>
    <row r="11084" spans="2:10">
      <c r="B11084" s="1230" t="s">
        <v>448</v>
      </c>
      <c r="C11084" s="132" t="s">
        <v>2141</v>
      </c>
      <c r="D11084" s="255">
        <v>13267</v>
      </c>
      <c r="E11084" s="553">
        <v>177.05</v>
      </c>
      <c r="F11084" s="553">
        <v>2308.4499999999998</v>
      </c>
      <c r="G11084" s="553">
        <v>229.66</v>
      </c>
      <c r="H11084" s="553">
        <v>226.45</v>
      </c>
      <c r="I11084" s="553">
        <v>1785.92</v>
      </c>
      <c r="J11084" s="647">
        <v>1504.46</v>
      </c>
    </row>
    <row r="11085" spans="2:10">
      <c r="B11085" s="1230" t="s">
        <v>448</v>
      </c>
      <c r="C11085" s="132" t="s">
        <v>2050</v>
      </c>
      <c r="D11085" s="255">
        <v>13269</v>
      </c>
      <c r="E11085" s="553">
        <v>259.12</v>
      </c>
      <c r="F11085" s="553">
        <v>3033.94</v>
      </c>
      <c r="G11085" s="553">
        <v>223.9</v>
      </c>
      <c r="H11085" s="553">
        <v>299.87</v>
      </c>
      <c r="I11085" s="553">
        <v>3499.65</v>
      </c>
      <c r="J11085" s="647">
        <v>1760.79</v>
      </c>
    </row>
    <row r="11086" spans="2:10">
      <c r="B11086" s="1230" t="s">
        <v>448</v>
      </c>
      <c r="C11086" s="132" t="s">
        <v>2142</v>
      </c>
      <c r="D11086" s="255">
        <v>13271</v>
      </c>
      <c r="E11086" s="553">
        <v>180.14</v>
      </c>
      <c r="F11086" s="553">
        <v>2260.61</v>
      </c>
      <c r="G11086" s="553">
        <v>218.28</v>
      </c>
      <c r="H11086" s="553">
        <v>222.4</v>
      </c>
      <c r="I11086" s="553">
        <v>2489.21</v>
      </c>
      <c r="J11086" s="647">
        <v>1496.85</v>
      </c>
    </row>
    <row r="11087" spans="2:10">
      <c r="B11087" s="1230" t="s">
        <v>448</v>
      </c>
      <c r="C11087" s="132" t="s">
        <v>2143</v>
      </c>
      <c r="D11087" s="255">
        <v>13273</v>
      </c>
      <c r="E11087" s="553">
        <v>160.13</v>
      </c>
      <c r="F11087" s="553">
        <v>2002.95</v>
      </c>
      <c r="G11087" s="553">
        <v>257.70999999999998</v>
      </c>
      <c r="H11087" s="553">
        <v>197.09</v>
      </c>
      <c r="I11087" s="553">
        <v>2227.0700000000002</v>
      </c>
      <c r="J11087" s="647">
        <v>1461.09</v>
      </c>
    </row>
    <row r="11088" spans="2:10">
      <c r="B11088" s="1230" t="s">
        <v>448</v>
      </c>
      <c r="C11088" s="132" t="s">
        <v>2144</v>
      </c>
      <c r="D11088" s="255">
        <v>13275</v>
      </c>
      <c r="E11088" s="553">
        <v>190.89</v>
      </c>
      <c r="F11088" s="553">
        <v>2688.24</v>
      </c>
      <c r="G11088" s="553">
        <v>230.35</v>
      </c>
      <c r="H11088" s="553">
        <v>262.33999999999997</v>
      </c>
      <c r="I11088" s="553">
        <v>3221.62</v>
      </c>
      <c r="J11088" s="647">
        <v>1549.98</v>
      </c>
    </row>
    <row r="11089" spans="2:10">
      <c r="B11089" s="1230" t="s">
        <v>448</v>
      </c>
      <c r="C11089" s="132" t="s">
        <v>2145</v>
      </c>
      <c r="D11089" s="255">
        <v>13277</v>
      </c>
      <c r="E11089" s="553">
        <v>187.11</v>
      </c>
      <c r="F11089" s="553">
        <v>2581.9899999999998</v>
      </c>
      <c r="G11089" s="553">
        <v>326.74</v>
      </c>
      <c r="H11089" s="553">
        <v>252.31</v>
      </c>
      <c r="I11089" s="553">
        <v>1326.88</v>
      </c>
      <c r="J11089" s="647">
        <v>1605.14</v>
      </c>
    </row>
    <row r="11090" spans="2:10">
      <c r="B11090" s="1230" t="s">
        <v>448</v>
      </c>
      <c r="C11090" s="132" t="s">
        <v>2146</v>
      </c>
      <c r="D11090" s="255">
        <v>13279</v>
      </c>
      <c r="E11090" s="553">
        <v>162.74</v>
      </c>
      <c r="F11090" s="553">
        <v>2097.1999999999998</v>
      </c>
      <c r="G11090" s="553">
        <v>226.2</v>
      </c>
      <c r="H11090" s="553">
        <v>205.8</v>
      </c>
      <c r="I11090" s="553">
        <v>1826</v>
      </c>
      <c r="J11090" s="647">
        <v>1447.17</v>
      </c>
    </row>
    <row r="11091" spans="2:10">
      <c r="B11091" s="1230" t="s">
        <v>448</v>
      </c>
      <c r="C11091" s="132" t="s">
        <v>2147</v>
      </c>
      <c r="D11091" s="255">
        <v>13281</v>
      </c>
      <c r="E11091" s="553">
        <v>315.52999999999997</v>
      </c>
      <c r="F11091" s="553">
        <v>4097.5</v>
      </c>
      <c r="G11091" s="553">
        <v>326.32</v>
      </c>
      <c r="H11091" s="553">
        <v>401.78</v>
      </c>
      <c r="I11091" s="553">
        <v>4449.05</v>
      </c>
      <c r="J11091" s="647">
        <v>2318.9699999999998</v>
      </c>
    </row>
    <row r="11092" spans="2:10">
      <c r="B11092" s="1230" t="s">
        <v>448</v>
      </c>
      <c r="C11092" s="132" t="s">
        <v>2148</v>
      </c>
      <c r="D11092" s="255">
        <v>13283</v>
      </c>
      <c r="E11092" s="553">
        <v>152.33000000000001</v>
      </c>
      <c r="F11092" s="553">
        <v>1898.85</v>
      </c>
      <c r="G11092" s="553">
        <v>196</v>
      </c>
      <c r="H11092" s="553">
        <v>186.92</v>
      </c>
      <c r="I11092" s="553">
        <v>2365.65</v>
      </c>
      <c r="J11092" s="647">
        <v>1414.82</v>
      </c>
    </row>
    <row r="11093" spans="2:10">
      <c r="B11093" s="1230" t="s">
        <v>448</v>
      </c>
      <c r="C11093" s="132" t="s">
        <v>2149</v>
      </c>
      <c r="D11093" s="255">
        <v>13285</v>
      </c>
      <c r="E11093" s="553">
        <v>356.06</v>
      </c>
      <c r="F11093" s="553">
        <v>4752.57</v>
      </c>
      <c r="G11093" s="553">
        <v>237.32</v>
      </c>
      <c r="H11093" s="553">
        <v>465.17</v>
      </c>
      <c r="I11093" s="553">
        <v>7881.48</v>
      </c>
      <c r="J11093" s="647">
        <v>2252.56</v>
      </c>
    </row>
    <row r="11094" spans="2:10">
      <c r="B11094" s="1230" t="s">
        <v>448</v>
      </c>
      <c r="C11094" s="132" t="s">
        <v>2150</v>
      </c>
      <c r="D11094" s="255">
        <v>13287</v>
      </c>
      <c r="E11094" s="553">
        <v>187.04</v>
      </c>
      <c r="F11094" s="553">
        <v>2415.9899999999998</v>
      </c>
      <c r="G11094" s="553">
        <v>278.94</v>
      </c>
      <c r="H11094" s="553">
        <v>237.17</v>
      </c>
      <c r="I11094" s="553">
        <v>1370.21</v>
      </c>
      <c r="J11094" s="647">
        <v>1589.12</v>
      </c>
    </row>
    <row r="11095" spans="2:10">
      <c r="B11095" s="1230" t="s">
        <v>448</v>
      </c>
      <c r="C11095" s="132" t="s">
        <v>2151</v>
      </c>
      <c r="D11095" s="255">
        <v>13289</v>
      </c>
      <c r="E11095" s="553">
        <v>399.4</v>
      </c>
      <c r="F11095" s="553">
        <v>5115.6499999999996</v>
      </c>
      <c r="G11095" s="553">
        <v>188.15</v>
      </c>
      <c r="H11095" s="553">
        <v>502.19</v>
      </c>
      <c r="I11095" s="553">
        <v>8839.5400000000009</v>
      </c>
      <c r="J11095" s="647">
        <v>2012.93</v>
      </c>
    </row>
    <row r="11096" spans="2:10">
      <c r="B11096" s="1230" t="s">
        <v>448</v>
      </c>
      <c r="C11096" s="132" t="s">
        <v>1879</v>
      </c>
      <c r="D11096" s="255">
        <v>13291</v>
      </c>
      <c r="E11096" s="553">
        <v>375.85</v>
      </c>
      <c r="F11096" s="553">
        <v>4993.01</v>
      </c>
      <c r="G11096" s="553">
        <v>418.13</v>
      </c>
      <c r="H11096" s="553">
        <v>488.89</v>
      </c>
      <c r="I11096" s="553">
        <v>3893.78</v>
      </c>
      <c r="J11096" s="647">
        <v>2628.93</v>
      </c>
    </row>
    <row r="11097" spans="2:10">
      <c r="B11097" s="1230" t="s">
        <v>448</v>
      </c>
      <c r="C11097" s="132" t="s">
        <v>2152</v>
      </c>
      <c r="D11097" s="255">
        <v>13293</v>
      </c>
      <c r="E11097" s="553">
        <v>279.64999999999998</v>
      </c>
      <c r="F11097" s="553">
        <v>3455.32</v>
      </c>
      <c r="G11097" s="553">
        <v>202.43</v>
      </c>
      <c r="H11097" s="553">
        <v>340.08</v>
      </c>
      <c r="I11097" s="553">
        <v>5170.04</v>
      </c>
      <c r="J11097" s="647">
        <v>1885.46</v>
      </c>
    </row>
    <row r="11098" spans="2:10">
      <c r="B11098" s="1230" t="s">
        <v>448</v>
      </c>
      <c r="C11098" s="132" t="s">
        <v>1782</v>
      </c>
      <c r="D11098" s="255">
        <v>13295</v>
      </c>
      <c r="E11098" s="553">
        <v>428.24</v>
      </c>
      <c r="F11098" s="553">
        <v>5672.04</v>
      </c>
      <c r="G11098" s="553">
        <v>450.32</v>
      </c>
      <c r="H11098" s="553">
        <v>555.59</v>
      </c>
      <c r="I11098" s="553">
        <v>3349.24</v>
      </c>
      <c r="J11098" s="647">
        <v>2846.07</v>
      </c>
    </row>
    <row r="11099" spans="2:10">
      <c r="B11099" s="1230" t="s">
        <v>448</v>
      </c>
      <c r="C11099" s="132" t="s">
        <v>2053</v>
      </c>
      <c r="D11099" s="255">
        <v>13297</v>
      </c>
      <c r="E11099" s="553">
        <v>649.16</v>
      </c>
      <c r="F11099" s="553">
        <v>6950.23</v>
      </c>
      <c r="G11099" s="553">
        <v>491.74</v>
      </c>
      <c r="H11099" s="553">
        <v>691.78</v>
      </c>
      <c r="I11099" s="553">
        <v>5026.66</v>
      </c>
      <c r="J11099" s="647">
        <v>2980.82</v>
      </c>
    </row>
    <row r="11100" spans="2:10">
      <c r="B11100" s="1230" t="s">
        <v>448</v>
      </c>
      <c r="C11100" s="132" t="s">
        <v>2153</v>
      </c>
      <c r="D11100" s="255">
        <v>13299</v>
      </c>
      <c r="E11100" s="553">
        <v>152.03</v>
      </c>
      <c r="F11100" s="553">
        <v>1997.9</v>
      </c>
      <c r="G11100" s="553">
        <v>159.66</v>
      </c>
      <c r="H11100" s="553">
        <v>195.87</v>
      </c>
      <c r="I11100" s="553">
        <v>2822.09</v>
      </c>
      <c r="J11100" s="647">
        <v>1324.36</v>
      </c>
    </row>
    <row r="11101" spans="2:10">
      <c r="B11101" s="1230" t="s">
        <v>448</v>
      </c>
      <c r="C11101" s="132" t="s">
        <v>2154</v>
      </c>
      <c r="D11101" s="255">
        <v>13301</v>
      </c>
      <c r="E11101" s="553">
        <v>249.02</v>
      </c>
      <c r="F11101" s="553">
        <v>3009.42</v>
      </c>
      <c r="G11101" s="553">
        <v>239.19</v>
      </c>
      <c r="H11101" s="553">
        <v>296.76</v>
      </c>
      <c r="I11101" s="553">
        <v>3263.35</v>
      </c>
      <c r="J11101" s="647">
        <v>1854.1</v>
      </c>
    </row>
    <row r="11102" spans="2:10">
      <c r="B11102" s="1230" t="s">
        <v>448</v>
      </c>
      <c r="C11102" s="132" t="s">
        <v>487</v>
      </c>
      <c r="D11102" s="255">
        <v>13303</v>
      </c>
      <c r="E11102" s="553">
        <v>205.28</v>
      </c>
      <c r="F11102" s="553">
        <v>2520.89</v>
      </c>
      <c r="G11102" s="553">
        <v>193.72</v>
      </c>
      <c r="H11102" s="553">
        <v>248.29</v>
      </c>
      <c r="I11102" s="553">
        <v>3400.99</v>
      </c>
      <c r="J11102" s="647">
        <v>1672.16</v>
      </c>
    </row>
    <row r="11103" spans="2:10">
      <c r="B11103" s="1230" t="s">
        <v>448</v>
      </c>
      <c r="C11103" s="132" t="s">
        <v>2155</v>
      </c>
      <c r="D11103" s="255">
        <v>13305</v>
      </c>
      <c r="E11103" s="553">
        <v>152.57</v>
      </c>
      <c r="F11103" s="553">
        <v>1975.36</v>
      </c>
      <c r="G11103" s="553">
        <v>163</v>
      </c>
      <c r="H11103" s="553">
        <v>193.86</v>
      </c>
      <c r="I11103" s="553">
        <v>2759.46</v>
      </c>
      <c r="J11103" s="647">
        <v>1313.71</v>
      </c>
    </row>
    <row r="11104" spans="2:10">
      <c r="B11104" s="1230" t="s">
        <v>448</v>
      </c>
      <c r="C11104" s="132" t="s">
        <v>2156</v>
      </c>
      <c r="D11104" s="255">
        <v>13307</v>
      </c>
      <c r="E11104" s="553">
        <v>155.69</v>
      </c>
      <c r="F11104" s="553">
        <v>1862.85</v>
      </c>
      <c r="G11104" s="553">
        <v>224.59</v>
      </c>
      <c r="H11104" s="553">
        <v>183.88</v>
      </c>
      <c r="I11104" s="553">
        <v>2180.81</v>
      </c>
      <c r="J11104" s="647">
        <v>1459.94</v>
      </c>
    </row>
    <row r="11105" spans="2:11">
      <c r="B11105" s="1230" t="s">
        <v>448</v>
      </c>
      <c r="C11105" s="132" t="s">
        <v>2157</v>
      </c>
      <c r="D11105" s="255">
        <v>13309</v>
      </c>
      <c r="E11105" s="553">
        <v>181.9</v>
      </c>
      <c r="F11105" s="553">
        <v>2192.06</v>
      </c>
      <c r="G11105" s="553">
        <v>201.56</v>
      </c>
      <c r="H11105" s="553">
        <v>216.26</v>
      </c>
      <c r="I11105" s="553">
        <v>2774.24</v>
      </c>
      <c r="J11105" s="647">
        <v>1478.76</v>
      </c>
    </row>
    <row r="11106" spans="2:11">
      <c r="B11106" s="1230" t="s">
        <v>448</v>
      </c>
      <c r="C11106" s="132" t="s">
        <v>1881</v>
      </c>
      <c r="D11106" s="255">
        <v>13311</v>
      </c>
      <c r="E11106" s="553">
        <v>401.9</v>
      </c>
      <c r="F11106" s="553">
        <v>5089.12</v>
      </c>
      <c r="G11106" s="553">
        <v>452.16</v>
      </c>
      <c r="H11106" s="553">
        <v>499.86</v>
      </c>
      <c r="I11106" s="553">
        <v>2906.3</v>
      </c>
      <c r="J11106" s="647">
        <v>2725.76</v>
      </c>
    </row>
    <row r="11107" spans="2:11">
      <c r="B11107" s="1230" t="s">
        <v>448</v>
      </c>
      <c r="C11107" s="132" t="s">
        <v>2158</v>
      </c>
      <c r="D11107" s="255">
        <v>13313</v>
      </c>
      <c r="E11107" s="553">
        <v>498.89</v>
      </c>
      <c r="F11107" s="553">
        <v>6496.83</v>
      </c>
      <c r="G11107" s="553">
        <v>597.83000000000004</v>
      </c>
      <c r="H11107" s="553">
        <v>637.19000000000005</v>
      </c>
      <c r="I11107" s="553">
        <v>2688.52</v>
      </c>
      <c r="J11107" s="647">
        <v>3160.53</v>
      </c>
    </row>
    <row r="11108" spans="2:11">
      <c r="B11108" s="1230" t="s">
        <v>448</v>
      </c>
      <c r="C11108" s="132" t="s">
        <v>1783</v>
      </c>
      <c r="D11108" s="255">
        <v>13315</v>
      </c>
      <c r="E11108" s="553">
        <v>178.96</v>
      </c>
      <c r="F11108" s="553">
        <v>2243.91</v>
      </c>
      <c r="G11108" s="553">
        <v>244.76</v>
      </c>
      <c r="H11108" s="553">
        <v>220.78</v>
      </c>
      <c r="I11108" s="553">
        <v>1914.51</v>
      </c>
      <c r="J11108" s="647">
        <v>1518.38</v>
      </c>
    </row>
    <row r="11109" spans="2:11">
      <c r="B11109" s="1230" t="s">
        <v>448</v>
      </c>
      <c r="C11109" s="132" t="s">
        <v>2159</v>
      </c>
      <c r="D11109" s="255">
        <v>13317</v>
      </c>
      <c r="E11109" s="553">
        <v>254.31</v>
      </c>
      <c r="F11109" s="553">
        <v>3051.32</v>
      </c>
      <c r="G11109" s="553">
        <v>311.05</v>
      </c>
      <c r="H11109" s="553">
        <v>300.97000000000003</v>
      </c>
      <c r="I11109" s="553">
        <v>1954.39</v>
      </c>
      <c r="J11109" s="647">
        <v>2030.81</v>
      </c>
    </row>
    <row r="11110" spans="2:11">
      <c r="B11110" s="1230" t="s">
        <v>448</v>
      </c>
      <c r="C11110" s="132" t="s">
        <v>2160</v>
      </c>
      <c r="D11110" s="255">
        <v>13319</v>
      </c>
      <c r="E11110" s="553">
        <v>232.77</v>
      </c>
      <c r="F11110" s="553">
        <v>2906.12</v>
      </c>
      <c r="G11110" s="553">
        <v>182.65</v>
      </c>
      <c r="H11110" s="553">
        <v>285.83</v>
      </c>
      <c r="I11110" s="553">
        <v>4361.72</v>
      </c>
      <c r="J11110" s="647">
        <v>1664.32</v>
      </c>
    </row>
    <row r="11111" spans="2:11">
      <c r="B11111" s="1230" t="s">
        <v>448</v>
      </c>
      <c r="C11111" s="132" t="s">
        <v>2161</v>
      </c>
      <c r="D11111" s="255">
        <v>13321</v>
      </c>
      <c r="E11111" s="553">
        <v>273.62</v>
      </c>
      <c r="F11111" s="553">
        <v>3591.5</v>
      </c>
      <c r="G11111" s="553">
        <v>381.75</v>
      </c>
      <c r="H11111" s="553">
        <v>352.17</v>
      </c>
      <c r="I11111" s="553">
        <v>1692.31</v>
      </c>
      <c r="J11111" s="647">
        <v>1943.91</v>
      </c>
    </row>
    <row r="11112" spans="2:11">
      <c r="B11112" s="803" t="s">
        <v>449</v>
      </c>
      <c r="C11112" s="325" t="s">
        <v>449</v>
      </c>
      <c r="D11112" s="272">
        <v>15001</v>
      </c>
      <c r="E11112" s="550"/>
      <c r="F11112" s="550"/>
      <c r="G11112" s="550"/>
      <c r="H11112" s="550"/>
      <c r="I11112" s="550"/>
      <c r="J11112" s="702"/>
      <c r="K11112" s="63" t="s">
        <v>1786</v>
      </c>
    </row>
    <row r="11113" spans="2:11">
      <c r="B11113" s="803" t="s">
        <v>449</v>
      </c>
      <c r="C11113" s="325" t="s">
        <v>2162</v>
      </c>
      <c r="D11113" s="272">
        <v>15003</v>
      </c>
      <c r="E11113" s="550"/>
      <c r="F11113" s="550"/>
      <c r="G11113" s="550"/>
      <c r="H11113" s="550"/>
      <c r="I11113" s="550"/>
      <c r="J11113" s="702"/>
      <c r="K11113" s="63" t="s">
        <v>1786</v>
      </c>
    </row>
    <row r="11114" spans="2:11">
      <c r="B11114" s="803" t="s">
        <v>449</v>
      </c>
      <c r="C11114" s="325" t="s">
        <v>2163</v>
      </c>
      <c r="D11114" s="272">
        <v>15005</v>
      </c>
      <c r="E11114" s="550"/>
      <c r="F11114" s="550"/>
      <c r="G11114" s="550"/>
      <c r="H11114" s="550"/>
      <c r="I11114" s="550"/>
      <c r="J11114" s="702"/>
      <c r="K11114" s="63" t="s">
        <v>1786</v>
      </c>
    </row>
    <row r="11115" spans="2:11">
      <c r="B11115" s="803" t="s">
        <v>449</v>
      </c>
      <c r="C11115" s="325" t="s">
        <v>2164</v>
      </c>
      <c r="D11115" s="272">
        <v>15007</v>
      </c>
      <c r="E11115" s="550"/>
      <c r="F11115" s="550"/>
      <c r="G11115" s="550"/>
      <c r="H11115" s="550"/>
      <c r="I11115" s="550"/>
      <c r="J11115" s="702"/>
      <c r="K11115" s="63" t="s">
        <v>1786</v>
      </c>
    </row>
    <row r="11116" spans="2:11">
      <c r="B11116" s="803" t="s">
        <v>449</v>
      </c>
      <c r="C11116" s="325" t="s">
        <v>2165</v>
      </c>
      <c r="D11116" s="272">
        <v>15009</v>
      </c>
      <c r="E11116" s="550"/>
      <c r="F11116" s="550"/>
      <c r="G11116" s="550"/>
      <c r="H11116" s="550"/>
      <c r="I11116" s="550"/>
      <c r="J11116" s="702"/>
      <c r="K11116" s="63" t="s">
        <v>1786</v>
      </c>
    </row>
    <row r="11117" spans="2:11">
      <c r="B11117" s="1230" t="s">
        <v>450</v>
      </c>
      <c r="C11117" s="132" t="s">
        <v>2166</v>
      </c>
      <c r="D11117" s="255">
        <v>16001</v>
      </c>
      <c r="E11117" s="553">
        <v>381.48</v>
      </c>
      <c r="F11117" s="553">
        <v>3410.35</v>
      </c>
      <c r="G11117" s="553">
        <v>616.26</v>
      </c>
      <c r="H11117" s="553">
        <v>345.92</v>
      </c>
      <c r="I11117" s="553">
        <v>261.64</v>
      </c>
      <c r="J11117" s="647">
        <v>1209.3399999999999</v>
      </c>
    </row>
    <row r="11118" spans="2:11">
      <c r="B11118" s="1230" t="s">
        <v>450</v>
      </c>
      <c r="C11118" s="132" t="s">
        <v>1940</v>
      </c>
      <c r="D11118" s="255">
        <v>16003</v>
      </c>
      <c r="E11118" s="553">
        <v>118.92</v>
      </c>
      <c r="F11118" s="553">
        <v>853.97</v>
      </c>
      <c r="G11118" s="553">
        <v>304.33999999999997</v>
      </c>
      <c r="H11118" s="553">
        <v>88.74</v>
      </c>
      <c r="I11118" s="553">
        <v>246.14</v>
      </c>
      <c r="J11118" s="647">
        <v>804.88</v>
      </c>
    </row>
    <row r="11119" spans="2:11">
      <c r="B11119" s="1230" t="s">
        <v>450</v>
      </c>
      <c r="C11119" s="132" t="s">
        <v>2167</v>
      </c>
      <c r="D11119" s="255">
        <v>16005</v>
      </c>
      <c r="E11119" s="553">
        <v>153</v>
      </c>
      <c r="F11119" s="553">
        <v>1082.69</v>
      </c>
      <c r="G11119" s="553">
        <v>293.66000000000003</v>
      </c>
      <c r="H11119" s="553">
        <v>112.78</v>
      </c>
      <c r="I11119" s="553">
        <v>224.99</v>
      </c>
      <c r="J11119" s="647">
        <v>683.72</v>
      </c>
    </row>
    <row r="11120" spans="2:11">
      <c r="B11120" s="1230" t="s">
        <v>450</v>
      </c>
      <c r="C11120" s="132" t="s">
        <v>2168</v>
      </c>
      <c r="D11120" s="255">
        <v>16007</v>
      </c>
      <c r="E11120" s="553">
        <v>117.58</v>
      </c>
      <c r="F11120" s="553">
        <v>741.04</v>
      </c>
      <c r="G11120" s="553">
        <v>258.85000000000002</v>
      </c>
      <c r="H11120" s="553">
        <v>78.27</v>
      </c>
      <c r="I11120" s="553">
        <v>227.78</v>
      </c>
      <c r="J11120" s="647">
        <v>641.35</v>
      </c>
    </row>
    <row r="11121" spans="2:10">
      <c r="B11121" s="1230" t="s">
        <v>450</v>
      </c>
      <c r="C11121" s="132" t="s">
        <v>2169</v>
      </c>
      <c r="D11121" s="255">
        <v>16009</v>
      </c>
      <c r="E11121" s="553">
        <v>103.61</v>
      </c>
      <c r="F11121" s="553">
        <v>784.85</v>
      </c>
      <c r="G11121" s="553">
        <v>185.84</v>
      </c>
      <c r="H11121" s="553">
        <v>81.069999999999993</v>
      </c>
      <c r="I11121" s="553">
        <v>186.42</v>
      </c>
      <c r="J11121" s="647">
        <v>373.33</v>
      </c>
    </row>
    <row r="11122" spans="2:10">
      <c r="B11122" s="1230" t="s">
        <v>450</v>
      </c>
      <c r="C11122" s="132" t="s">
        <v>2170</v>
      </c>
      <c r="D11122" s="255">
        <v>16011</v>
      </c>
      <c r="E11122" s="553">
        <v>144.66</v>
      </c>
      <c r="F11122" s="553">
        <v>1105.8399999999999</v>
      </c>
      <c r="G11122" s="553">
        <v>306.82</v>
      </c>
      <c r="H11122" s="553">
        <v>114.05</v>
      </c>
      <c r="I11122" s="553">
        <v>194.19</v>
      </c>
      <c r="J11122" s="647">
        <v>708.63</v>
      </c>
    </row>
    <row r="11123" spans="2:10">
      <c r="B11123" s="1230" t="s">
        <v>450</v>
      </c>
      <c r="C11123" s="132" t="s">
        <v>2171</v>
      </c>
      <c r="D11123" s="255">
        <v>16013</v>
      </c>
      <c r="E11123" s="553">
        <v>147.07</v>
      </c>
      <c r="F11123" s="553">
        <v>997.77</v>
      </c>
      <c r="G11123" s="553">
        <v>360.64</v>
      </c>
      <c r="H11123" s="553">
        <v>104.41</v>
      </c>
      <c r="I11123" s="553">
        <v>319.07</v>
      </c>
      <c r="J11123" s="647">
        <v>873.72</v>
      </c>
    </row>
    <row r="11124" spans="2:10">
      <c r="B11124" s="1230" t="s">
        <v>450</v>
      </c>
      <c r="C11124" s="132" t="s">
        <v>2172</v>
      </c>
      <c r="D11124" s="255">
        <v>16015</v>
      </c>
      <c r="E11124" s="553">
        <v>119.85</v>
      </c>
      <c r="F11124" s="553">
        <v>889.44</v>
      </c>
      <c r="G11124" s="553">
        <v>320.2</v>
      </c>
      <c r="H11124" s="553">
        <v>92.02</v>
      </c>
      <c r="I11124" s="553">
        <v>266.41000000000003</v>
      </c>
      <c r="J11124" s="647">
        <v>809.21</v>
      </c>
    </row>
    <row r="11125" spans="2:10">
      <c r="B11125" s="1230" t="s">
        <v>450</v>
      </c>
      <c r="C11125" s="132" t="s">
        <v>2173</v>
      </c>
      <c r="D11125" s="255">
        <v>16017</v>
      </c>
      <c r="E11125" s="553">
        <v>79.44</v>
      </c>
      <c r="F11125" s="553">
        <v>664.68</v>
      </c>
      <c r="G11125" s="553">
        <v>137.35</v>
      </c>
      <c r="H11125" s="553">
        <v>67.89</v>
      </c>
      <c r="I11125" s="553">
        <v>570.63</v>
      </c>
      <c r="J11125" s="647">
        <v>334.35</v>
      </c>
    </row>
    <row r="11126" spans="2:10">
      <c r="B11126" s="1230" t="s">
        <v>450</v>
      </c>
      <c r="C11126" s="132" t="s">
        <v>2174</v>
      </c>
      <c r="D11126" s="255">
        <v>16019</v>
      </c>
      <c r="E11126" s="553">
        <v>206.47</v>
      </c>
      <c r="F11126" s="553">
        <v>1542.67</v>
      </c>
      <c r="G11126" s="553">
        <v>482.22</v>
      </c>
      <c r="H11126" s="553">
        <v>159.53</v>
      </c>
      <c r="I11126" s="553">
        <v>308.98</v>
      </c>
      <c r="J11126" s="647">
        <v>1194.33</v>
      </c>
    </row>
    <row r="11127" spans="2:10">
      <c r="B11127" s="1230" t="s">
        <v>450</v>
      </c>
      <c r="C11127" s="132" t="s">
        <v>2175</v>
      </c>
      <c r="D11127" s="255">
        <v>16021</v>
      </c>
      <c r="E11127" s="553">
        <v>71.31</v>
      </c>
      <c r="F11127" s="553">
        <v>566.67999999999995</v>
      </c>
      <c r="G11127" s="553">
        <v>112.51</v>
      </c>
      <c r="H11127" s="553">
        <v>58.2</v>
      </c>
      <c r="I11127" s="553">
        <v>650.07000000000005</v>
      </c>
      <c r="J11127" s="647">
        <v>301.85000000000002</v>
      </c>
    </row>
    <row r="11128" spans="2:10">
      <c r="B11128" s="1230" t="s">
        <v>450</v>
      </c>
      <c r="C11128" s="132" t="s">
        <v>1887</v>
      </c>
      <c r="D11128" s="255">
        <v>16023</v>
      </c>
      <c r="E11128" s="553">
        <v>96.55</v>
      </c>
      <c r="F11128" s="553">
        <v>795.5</v>
      </c>
      <c r="G11128" s="553">
        <v>335.45</v>
      </c>
      <c r="H11128" s="553">
        <v>81.27</v>
      </c>
      <c r="I11128" s="553">
        <v>300.17</v>
      </c>
      <c r="J11128" s="647">
        <v>835.09</v>
      </c>
    </row>
    <row r="11129" spans="2:10">
      <c r="B11129" s="1230" t="s">
        <v>450</v>
      </c>
      <c r="C11129" s="132" t="s">
        <v>2176</v>
      </c>
      <c r="D11129" s="255">
        <v>16025</v>
      </c>
      <c r="E11129" s="553">
        <v>109.03</v>
      </c>
      <c r="F11129" s="553">
        <v>777.63</v>
      </c>
      <c r="G11129" s="553">
        <v>310.8</v>
      </c>
      <c r="H11129" s="553">
        <v>80.77</v>
      </c>
      <c r="I11129" s="553">
        <v>275.56</v>
      </c>
      <c r="J11129" s="647">
        <v>790.47</v>
      </c>
    </row>
    <row r="11130" spans="2:10">
      <c r="B11130" s="1230" t="s">
        <v>450</v>
      </c>
      <c r="C11130" s="132" t="s">
        <v>2177</v>
      </c>
      <c r="D11130" s="255">
        <v>16027</v>
      </c>
      <c r="E11130" s="553">
        <v>246.03</v>
      </c>
      <c r="F11130" s="553">
        <v>2383.62</v>
      </c>
      <c r="G11130" s="553">
        <v>871.22</v>
      </c>
      <c r="H11130" s="553">
        <v>239.8</v>
      </c>
      <c r="I11130" s="553">
        <v>258.33999999999997</v>
      </c>
      <c r="J11130" s="647">
        <v>960.69</v>
      </c>
    </row>
    <row r="11131" spans="2:10">
      <c r="B11131" s="1230" t="s">
        <v>450</v>
      </c>
      <c r="C11131" s="132" t="s">
        <v>2178</v>
      </c>
      <c r="D11131" s="255">
        <v>16029</v>
      </c>
      <c r="E11131" s="553">
        <v>135.97</v>
      </c>
      <c r="F11131" s="553">
        <v>981.56</v>
      </c>
      <c r="G11131" s="553">
        <v>283.51</v>
      </c>
      <c r="H11131" s="553">
        <v>101.93</v>
      </c>
      <c r="I11131" s="553">
        <v>204.21</v>
      </c>
      <c r="J11131" s="647">
        <v>674.6</v>
      </c>
    </row>
    <row r="11132" spans="2:10">
      <c r="B11132" s="1230" t="s">
        <v>450</v>
      </c>
      <c r="C11132" s="132" t="s">
        <v>2179</v>
      </c>
      <c r="D11132" s="255">
        <v>16031</v>
      </c>
      <c r="E11132" s="553">
        <v>124.08</v>
      </c>
      <c r="F11132" s="553">
        <v>915.36</v>
      </c>
      <c r="G11132" s="553">
        <v>310.02</v>
      </c>
      <c r="H11132" s="553">
        <v>94.77</v>
      </c>
      <c r="I11132" s="553">
        <v>250.43</v>
      </c>
      <c r="J11132" s="647">
        <v>670.3</v>
      </c>
    </row>
    <row r="11133" spans="2:10">
      <c r="B11133" s="1230" t="s">
        <v>450</v>
      </c>
      <c r="C11133" s="132" t="s">
        <v>1837</v>
      </c>
      <c r="D11133" s="255">
        <v>16033</v>
      </c>
      <c r="E11133" s="553">
        <v>119.32</v>
      </c>
      <c r="F11133" s="553">
        <v>873.23</v>
      </c>
      <c r="G11133" s="553">
        <v>366.48</v>
      </c>
      <c r="H11133" s="553">
        <v>90.58</v>
      </c>
      <c r="I11133" s="553">
        <v>304.47000000000003</v>
      </c>
      <c r="J11133" s="647">
        <v>866.67</v>
      </c>
    </row>
    <row r="11134" spans="2:10">
      <c r="B11134" s="1230" t="s">
        <v>450</v>
      </c>
      <c r="C11134" s="132" t="s">
        <v>2180</v>
      </c>
      <c r="D11134" s="255">
        <v>16035</v>
      </c>
      <c r="E11134" s="553">
        <v>62.65</v>
      </c>
      <c r="F11134" s="553">
        <v>459.81</v>
      </c>
      <c r="G11134" s="553">
        <v>150.19999999999999</v>
      </c>
      <c r="H11134" s="553">
        <v>47.63</v>
      </c>
      <c r="I11134" s="553">
        <v>321.22000000000003</v>
      </c>
      <c r="J11134" s="647">
        <v>348.04</v>
      </c>
    </row>
    <row r="11135" spans="2:10">
      <c r="B11135" s="1230" t="s">
        <v>450</v>
      </c>
      <c r="C11135" s="132" t="s">
        <v>1953</v>
      </c>
      <c r="D11135" s="255">
        <v>16037</v>
      </c>
      <c r="E11135" s="553">
        <v>97.43</v>
      </c>
      <c r="F11135" s="553">
        <v>753.28</v>
      </c>
      <c r="G11135" s="553">
        <v>308.52</v>
      </c>
      <c r="H11135" s="553">
        <v>77.569999999999993</v>
      </c>
      <c r="I11135" s="553">
        <v>322.88</v>
      </c>
      <c r="J11135" s="647">
        <v>793.27</v>
      </c>
    </row>
    <row r="11136" spans="2:10">
      <c r="B11136" s="1230" t="s">
        <v>450</v>
      </c>
      <c r="C11136" s="132" t="s">
        <v>1744</v>
      </c>
      <c r="D11136" s="255">
        <v>16039</v>
      </c>
      <c r="E11136" s="553">
        <v>192.26</v>
      </c>
      <c r="F11136" s="553">
        <v>1523.07</v>
      </c>
      <c r="G11136" s="553">
        <v>424.73</v>
      </c>
      <c r="H11136" s="553">
        <v>156.46</v>
      </c>
      <c r="I11136" s="553">
        <v>268.97000000000003</v>
      </c>
      <c r="J11136" s="647">
        <v>951.86</v>
      </c>
    </row>
    <row r="11137" spans="2:10">
      <c r="B11137" s="1230" t="s">
        <v>450</v>
      </c>
      <c r="C11137" s="132" t="s">
        <v>1748</v>
      </c>
      <c r="D11137" s="255">
        <v>16041</v>
      </c>
      <c r="E11137" s="553">
        <v>140.79</v>
      </c>
      <c r="F11137" s="553">
        <v>905.68</v>
      </c>
      <c r="G11137" s="553">
        <v>296.58999999999997</v>
      </c>
      <c r="H11137" s="553">
        <v>95.43</v>
      </c>
      <c r="I11137" s="553">
        <v>234.71</v>
      </c>
      <c r="J11137" s="647">
        <v>649.66</v>
      </c>
    </row>
    <row r="11138" spans="2:10">
      <c r="B11138" s="1230" t="s">
        <v>450</v>
      </c>
      <c r="C11138" s="132" t="s">
        <v>1961</v>
      </c>
      <c r="D11138" s="255">
        <v>16043</v>
      </c>
      <c r="E11138" s="553">
        <v>140.63</v>
      </c>
      <c r="F11138" s="553">
        <v>1028.76</v>
      </c>
      <c r="G11138" s="553">
        <v>401.92</v>
      </c>
      <c r="H11138" s="553">
        <v>106.62</v>
      </c>
      <c r="I11138" s="553">
        <v>306.7</v>
      </c>
      <c r="J11138" s="647">
        <v>1059.23</v>
      </c>
    </row>
    <row r="11139" spans="2:10">
      <c r="B11139" s="1230" t="s">
        <v>450</v>
      </c>
      <c r="C11139" s="132" t="s">
        <v>2181</v>
      </c>
      <c r="D11139" s="255">
        <v>16045</v>
      </c>
      <c r="E11139" s="553">
        <v>136.56</v>
      </c>
      <c r="F11139" s="553">
        <v>1020.56</v>
      </c>
      <c r="G11139" s="553">
        <v>334.99</v>
      </c>
      <c r="H11139" s="553">
        <v>105.47</v>
      </c>
      <c r="I11139" s="553">
        <v>252.62</v>
      </c>
      <c r="J11139" s="647">
        <v>815.95</v>
      </c>
    </row>
    <row r="11140" spans="2:10">
      <c r="B11140" s="1230" t="s">
        <v>450</v>
      </c>
      <c r="C11140" s="132" t="s">
        <v>2182</v>
      </c>
      <c r="D11140" s="255">
        <v>16047</v>
      </c>
      <c r="E11140" s="553">
        <v>140.51</v>
      </c>
      <c r="F11140" s="553">
        <v>1091.3</v>
      </c>
      <c r="G11140" s="553">
        <v>368.76</v>
      </c>
      <c r="H11140" s="553">
        <v>112.26</v>
      </c>
      <c r="I11140" s="553">
        <v>316.42</v>
      </c>
      <c r="J11140" s="647">
        <v>833.26</v>
      </c>
    </row>
    <row r="11141" spans="2:10">
      <c r="B11141" s="1230" t="s">
        <v>450</v>
      </c>
      <c r="C11141" s="132" t="s">
        <v>450</v>
      </c>
      <c r="D11141" s="255">
        <v>16049</v>
      </c>
      <c r="E11141" s="553">
        <v>69.39</v>
      </c>
      <c r="F11141" s="553">
        <v>520.49</v>
      </c>
      <c r="G11141" s="553">
        <v>164.65</v>
      </c>
      <c r="H11141" s="553">
        <v>53.85</v>
      </c>
      <c r="I11141" s="553">
        <v>299.38</v>
      </c>
      <c r="J11141" s="647">
        <v>395.32</v>
      </c>
    </row>
    <row r="11142" spans="2:10">
      <c r="B11142" s="1230" t="s">
        <v>450</v>
      </c>
      <c r="C11142" s="132" t="s">
        <v>1755</v>
      </c>
      <c r="D11142" s="255">
        <v>16051</v>
      </c>
      <c r="E11142" s="553">
        <v>187.82</v>
      </c>
      <c r="F11142" s="553">
        <v>1222.69</v>
      </c>
      <c r="G11142" s="553">
        <v>435.85</v>
      </c>
      <c r="H11142" s="553">
        <v>128.66</v>
      </c>
      <c r="I11142" s="553">
        <v>279.06</v>
      </c>
      <c r="J11142" s="647">
        <v>1095.9100000000001</v>
      </c>
    </row>
    <row r="11143" spans="2:10">
      <c r="B11143" s="1230" t="s">
        <v>450</v>
      </c>
      <c r="C11143" s="132" t="s">
        <v>2183</v>
      </c>
      <c r="D11143" s="255">
        <v>16053</v>
      </c>
      <c r="E11143" s="553">
        <v>243.43</v>
      </c>
      <c r="F11143" s="553">
        <v>1824.09</v>
      </c>
      <c r="G11143" s="553">
        <v>1212.17</v>
      </c>
      <c r="H11143" s="553">
        <v>188.53</v>
      </c>
      <c r="I11143" s="553">
        <v>357.43</v>
      </c>
      <c r="J11143" s="647">
        <v>917.98</v>
      </c>
    </row>
    <row r="11144" spans="2:10">
      <c r="B11144" s="1230" t="s">
        <v>450</v>
      </c>
      <c r="C11144" s="132" t="s">
        <v>2184</v>
      </c>
      <c r="D11144" s="255">
        <v>16055</v>
      </c>
      <c r="E11144" s="553">
        <v>253.38</v>
      </c>
      <c r="F11144" s="553">
        <v>2665.42</v>
      </c>
      <c r="G11144" s="553">
        <v>386.99</v>
      </c>
      <c r="H11144" s="553">
        <v>266.25</v>
      </c>
      <c r="I11144" s="553">
        <v>232.18</v>
      </c>
      <c r="J11144" s="647">
        <v>657.43</v>
      </c>
    </row>
    <row r="11145" spans="2:10">
      <c r="B11145" s="1230" t="s">
        <v>450</v>
      </c>
      <c r="C11145" s="132" t="s">
        <v>2185</v>
      </c>
      <c r="D11145" s="255">
        <v>16057</v>
      </c>
      <c r="E11145" s="553">
        <v>92.7</v>
      </c>
      <c r="F11145" s="553">
        <v>702.18</v>
      </c>
      <c r="G11145" s="553">
        <v>220.6</v>
      </c>
      <c r="H11145" s="553">
        <v>72.44</v>
      </c>
      <c r="I11145" s="553">
        <v>178.21</v>
      </c>
      <c r="J11145" s="647">
        <v>389.47</v>
      </c>
    </row>
    <row r="11146" spans="2:10">
      <c r="B11146" s="1230" t="s">
        <v>450</v>
      </c>
      <c r="C11146" s="132" t="s">
        <v>2186</v>
      </c>
      <c r="D11146" s="255">
        <v>16059</v>
      </c>
      <c r="E11146" s="553">
        <v>88.98</v>
      </c>
      <c r="F11146" s="553">
        <v>764.17</v>
      </c>
      <c r="G11146" s="553">
        <v>336.9</v>
      </c>
      <c r="H11146" s="553">
        <v>77.72</v>
      </c>
      <c r="I11146" s="553">
        <v>355.2</v>
      </c>
      <c r="J11146" s="647">
        <v>838.1</v>
      </c>
    </row>
    <row r="11147" spans="2:10">
      <c r="B11147" s="1230" t="s">
        <v>450</v>
      </c>
      <c r="C11147" s="132" t="s">
        <v>2187</v>
      </c>
      <c r="D11147" s="255">
        <v>16061</v>
      </c>
      <c r="E11147" s="553">
        <v>113.49</v>
      </c>
      <c r="F11147" s="553">
        <v>827.12</v>
      </c>
      <c r="G11147" s="553">
        <v>177.79</v>
      </c>
      <c r="H11147" s="553">
        <v>85.84</v>
      </c>
      <c r="I11147" s="553">
        <v>197.83</v>
      </c>
      <c r="J11147" s="647">
        <v>391.9</v>
      </c>
    </row>
    <row r="11148" spans="2:10">
      <c r="B11148" s="1230" t="s">
        <v>450</v>
      </c>
      <c r="C11148" s="132" t="s">
        <v>1858</v>
      </c>
      <c r="D11148" s="255">
        <v>16063</v>
      </c>
      <c r="E11148" s="553">
        <v>183.71</v>
      </c>
      <c r="F11148" s="553">
        <v>1181.53</v>
      </c>
      <c r="G11148" s="553">
        <v>365.88</v>
      </c>
      <c r="H11148" s="553">
        <v>124.48</v>
      </c>
      <c r="I11148" s="553">
        <v>331.55</v>
      </c>
      <c r="J11148" s="647">
        <v>861.98</v>
      </c>
    </row>
    <row r="11149" spans="2:10">
      <c r="B11149" s="1230" t="s">
        <v>450</v>
      </c>
      <c r="C11149" s="132" t="s">
        <v>1763</v>
      </c>
      <c r="D11149" s="255">
        <v>16065</v>
      </c>
      <c r="E11149" s="553">
        <v>171.67</v>
      </c>
      <c r="F11149" s="553">
        <v>1214.6500000000001</v>
      </c>
      <c r="G11149" s="553">
        <v>425.06</v>
      </c>
      <c r="H11149" s="553">
        <v>126.39</v>
      </c>
      <c r="I11149" s="553">
        <v>321.66000000000003</v>
      </c>
      <c r="J11149" s="647">
        <v>1083.42</v>
      </c>
    </row>
    <row r="11150" spans="2:10">
      <c r="B11150" s="1230" t="s">
        <v>450</v>
      </c>
      <c r="C11150" s="132" t="s">
        <v>2188</v>
      </c>
      <c r="D11150" s="255">
        <v>16067</v>
      </c>
      <c r="E11150" s="553">
        <v>159.38999999999999</v>
      </c>
      <c r="F11150" s="553">
        <v>1081.8499999999999</v>
      </c>
      <c r="G11150" s="553">
        <v>628.97</v>
      </c>
      <c r="H11150" s="553">
        <v>113.19</v>
      </c>
      <c r="I11150" s="553">
        <v>347.79</v>
      </c>
      <c r="J11150" s="647">
        <v>868.41</v>
      </c>
    </row>
    <row r="11151" spans="2:10">
      <c r="B11151" s="1230" t="s">
        <v>450</v>
      </c>
      <c r="C11151" s="132" t="s">
        <v>2189</v>
      </c>
      <c r="D11151" s="255">
        <v>16069</v>
      </c>
      <c r="E11151" s="553">
        <v>113.5</v>
      </c>
      <c r="F11151" s="553">
        <v>834.08</v>
      </c>
      <c r="G11151" s="553">
        <v>422.48</v>
      </c>
      <c r="H11151" s="553">
        <v>86.43</v>
      </c>
      <c r="I11151" s="553">
        <v>178.61</v>
      </c>
      <c r="J11151" s="647">
        <v>411.25</v>
      </c>
    </row>
    <row r="11152" spans="2:10">
      <c r="B11152" s="1230" t="s">
        <v>450</v>
      </c>
      <c r="C11152" s="132" t="s">
        <v>2190</v>
      </c>
      <c r="D11152" s="255">
        <v>16071</v>
      </c>
      <c r="E11152" s="553">
        <v>139.74</v>
      </c>
      <c r="F11152" s="553">
        <v>1062.02</v>
      </c>
      <c r="G11152" s="553">
        <v>278.06</v>
      </c>
      <c r="H11152" s="553">
        <v>109.68</v>
      </c>
      <c r="I11152" s="553">
        <v>311.18</v>
      </c>
      <c r="J11152" s="647">
        <v>677.98</v>
      </c>
    </row>
    <row r="11153" spans="2:10">
      <c r="B11153" s="1230" t="s">
        <v>450</v>
      </c>
      <c r="C11153" s="132" t="s">
        <v>2191</v>
      </c>
      <c r="D11153" s="255">
        <v>16073</v>
      </c>
      <c r="E11153" s="553">
        <v>125.17</v>
      </c>
      <c r="F11153" s="553">
        <v>1091.5999999999999</v>
      </c>
      <c r="G11153" s="553">
        <v>349.14</v>
      </c>
      <c r="H11153" s="553">
        <v>111.04</v>
      </c>
      <c r="I11153" s="553">
        <v>267.92</v>
      </c>
      <c r="J11153" s="647">
        <v>874.51</v>
      </c>
    </row>
    <row r="11154" spans="2:10">
      <c r="B11154" s="1230" t="s">
        <v>450</v>
      </c>
      <c r="C11154" s="132" t="s">
        <v>2192</v>
      </c>
      <c r="D11154" s="255">
        <v>16075</v>
      </c>
      <c r="E11154" s="553">
        <v>166.34</v>
      </c>
      <c r="F11154" s="553">
        <v>1307.21</v>
      </c>
      <c r="G11154" s="553">
        <v>425.89</v>
      </c>
      <c r="H11154" s="553">
        <v>134.38999999999999</v>
      </c>
      <c r="I11154" s="553">
        <v>254.75</v>
      </c>
      <c r="J11154" s="647">
        <v>847.85</v>
      </c>
    </row>
    <row r="11155" spans="2:10">
      <c r="B11155" s="1230" t="s">
        <v>450</v>
      </c>
      <c r="C11155" s="132" t="s">
        <v>2193</v>
      </c>
      <c r="D11155" s="255">
        <v>16077</v>
      </c>
      <c r="E11155" s="553">
        <v>134.47</v>
      </c>
      <c r="F11155" s="553">
        <v>973.89</v>
      </c>
      <c r="G11155" s="553">
        <v>278.35000000000002</v>
      </c>
      <c r="H11155" s="553">
        <v>101.1</v>
      </c>
      <c r="I11155" s="553">
        <v>243.04</v>
      </c>
      <c r="J11155" s="647">
        <v>672.58</v>
      </c>
    </row>
    <row r="11156" spans="2:10">
      <c r="B11156" s="1230" t="s">
        <v>450</v>
      </c>
      <c r="C11156" s="132" t="s">
        <v>2194</v>
      </c>
      <c r="D11156" s="255">
        <v>16079</v>
      </c>
      <c r="E11156" s="553">
        <v>86.66</v>
      </c>
      <c r="F11156" s="553">
        <v>729.85</v>
      </c>
      <c r="G11156" s="553">
        <v>165.31</v>
      </c>
      <c r="H11156" s="553">
        <v>74.45</v>
      </c>
      <c r="I11156" s="553">
        <v>287.52</v>
      </c>
      <c r="J11156" s="647">
        <v>374.77</v>
      </c>
    </row>
    <row r="11157" spans="2:10">
      <c r="B11157" s="1230" t="s">
        <v>450</v>
      </c>
      <c r="C11157" s="132" t="s">
        <v>2195</v>
      </c>
      <c r="D11157" s="255">
        <v>16081</v>
      </c>
      <c r="E11157" s="553">
        <v>161.88999999999999</v>
      </c>
      <c r="F11157" s="553">
        <v>1084.69</v>
      </c>
      <c r="G11157" s="553">
        <v>406.98</v>
      </c>
      <c r="H11157" s="553">
        <v>113.61</v>
      </c>
      <c r="I11157" s="553">
        <v>429.58</v>
      </c>
      <c r="J11157" s="647">
        <v>1076.0899999999999</v>
      </c>
    </row>
    <row r="11158" spans="2:10">
      <c r="B11158" s="1230" t="s">
        <v>450</v>
      </c>
      <c r="C11158" s="132" t="s">
        <v>2196</v>
      </c>
      <c r="D11158" s="255">
        <v>16083</v>
      </c>
      <c r="E11158" s="553">
        <v>138.91</v>
      </c>
      <c r="F11158" s="553">
        <v>1117.5899999999999</v>
      </c>
      <c r="G11158" s="553">
        <v>597.41</v>
      </c>
      <c r="H11158" s="553">
        <v>114.63</v>
      </c>
      <c r="I11158" s="553">
        <v>344.4</v>
      </c>
      <c r="J11158" s="647">
        <v>833.02</v>
      </c>
    </row>
    <row r="11159" spans="2:10">
      <c r="B11159" s="1230" t="s">
        <v>450</v>
      </c>
      <c r="C11159" s="132" t="s">
        <v>2197</v>
      </c>
      <c r="D11159" s="255">
        <v>16085</v>
      </c>
      <c r="E11159" s="553">
        <v>102.52</v>
      </c>
      <c r="F11159" s="553">
        <v>776.16</v>
      </c>
      <c r="G11159" s="553">
        <v>303.33</v>
      </c>
      <c r="H11159" s="553">
        <v>80.12</v>
      </c>
      <c r="I11159" s="553">
        <v>300.64999999999998</v>
      </c>
      <c r="J11159" s="647">
        <v>793.08</v>
      </c>
    </row>
    <row r="11160" spans="2:10">
      <c r="B11160" s="1230" t="s">
        <v>450</v>
      </c>
      <c r="C11160" s="132" t="s">
        <v>487</v>
      </c>
      <c r="D11160" s="255">
        <v>16087</v>
      </c>
      <c r="E11160" s="553">
        <v>164.46</v>
      </c>
      <c r="F11160" s="553">
        <v>1140.22</v>
      </c>
      <c r="G11160" s="553">
        <v>343.35</v>
      </c>
      <c r="H11160" s="553">
        <v>118.92</v>
      </c>
      <c r="I11160" s="553">
        <v>248.62</v>
      </c>
      <c r="J11160" s="647">
        <v>861.18</v>
      </c>
    </row>
    <row r="11161" spans="2:10">
      <c r="B11161" s="1230" t="s">
        <v>451</v>
      </c>
      <c r="C11161" s="132" t="s">
        <v>1940</v>
      </c>
      <c r="D11161" s="255">
        <v>17001</v>
      </c>
      <c r="E11161" s="553">
        <v>229.13</v>
      </c>
      <c r="F11161" s="553">
        <v>2967.64</v>
      </c>
      <c r="G11161" s="553">
        <v>805.85</v>
      </c>
      <c r="H11161" s="553">
        <v>291.5</v>
      </c>
      <c r="I11161" s="553">
        <v>1787.45</v>
      </c>
      <c r="J11161" s="647">
        <v>2140.84</v>
      </c>
    </row>
    <row r="11162" spans="2:10">
      <c r="B11162" s="1230" t="s">
        <v>451</v>
      </c>
      <c r="C11162" s="132" t="s">
        <v>2198</v>
      </c>
      <c r="D11162" s="255">
        <v>17003</v>
      </c>
      <c r="E11162" s="553">
        <v>241.62</v>
      </c>
      <c r="F11162" s="553">
        <v>3151.3</v>
      </c>
      <c r="G11162" s="553">
        <v>558.28</v>
      </c>
      <c r="H11162" s="553">
        <v>309.33999999999997</v>
      </c>
      <c r="I11162" s="553">
        <v>1790.65</v>
      </c>
      <c r="J11162" s="647">
        <v>1945.81</v>
      </c>
    </row>
    <row r="11163" spans="2:10">
      <c r="B11163" s="1230" t="s">
        <v>451</v>
      </c>
      <c r="C11163" s="132" t="s">
        <v>2199</v>
      </c>
      <c r="D11163" s="255">
        <v>17005</v>
      </c>
      <c r="E11163" s="553">
        <v>231.51</v>
      </c>
      <c r="F11163" s="553">
        <v>2859.93</v>
      </c>
      <c r="G11163" s="553">
        <v>687.71</v>
      </c>
      <c r="H11163" s="553">
        <v>281.87</v>
      </c>
      <c r="I11163" s="553">
        <v>3161.63</v>
      </c>
      <c r="J11163" s="647">
        <v>2089.34</v>
      </c>
    </row>
    <row r="11164" spans="2:10">
      <c r="B11164" s="1230" t="s">
        <v>451</v>
      </c>
      <c r="C11164" s="132" t="s">
        <v>1833</v>
      </c>
      <c r="D11164" s="255">
        <v>17007</v>
      </c>
      <c r="E11164" s="553">
        <v>518.12</v>
      </c>
      <c r="F11164" s="553">
        <v>5654.86</v>
      </c>
      <c r="G11164" s="553">
        <v>759.32</v>
      </c>
      <c r="H11164" s="553">
        <v>563</v>
      </c>
      <c r="I11164" s="553">
        <v>10312.11</v>
      </c>
      <c r="J11164" s="647">
        <v>2436.63</v>
      </c>
    </row>
    <row r="11165" spans="2:10">
      <c r="B11165" s="1230" t="s">
        <v>451</v>
      </c>
      <c r="C11165" s="132" t="s">
        <v>2200</v>
      </c>
      <c r="D11165" s="255">
        <v>17009</v>
      </c>
      <c r="E11165" s="553">
        <v>210.74</v>
      </c>
      <c r="F11165" s="553">
        <v>2496.23</v>
      </c>
      <c r="G11165" s="553">
        <v>648.83000000000004</v>
      </c>
      <c r="H11165" s="553">
        <v>246.83</v>
      </c>
      <c r="I11165" s="553">
        <v>2131.06</v>
      </c>
      <c r="J11165" s="647">
        <v>1961.02</v>
      </c>
    </row>
    <row r="11166" spans="2:10">
      <c r="B11166" s="1230" t="s">
        <v>451</v>
      </c>
      <c r="C11166" s="132" t="s">
        <v>2201</v>
      </c>
      <c r="D11166" s="255">
        <v>17011</v>
      </c>
      <c r="E11166" s="553">
        <v>289.14999999999998</v>
      </c>
      <c r="F11166" s="553">
        <v>3467.34</v>
      </c>
      <c r="G11166" s="553">
        <v>796.76</v>
      </c>
      <c r="H11166" s="553">
        <v>342.61</v>
      </c>
      <c r="I11166" s="553">
        <v>3957.87</v>
      </c>
      <c r="J11166" s="647">
        <v>2205.14</v>
      </c>
    </row>
    <row r="11167" spans="2:10">
      <c r="B11167" s="1230" t="s">
        <v>451</v>
      </c>
      <c r="C11167" s="132" t="s">
        <v>1726</v>
      </c>
      <c r="D11167" s="255">
        <v>17013</v>
      </c>
      <c r="E11167" s="553">
        <v>309.48</v>
      </c>
      <c r="F11167" s="553">
        <v>3790.29</v>
      </c>
      <c r="G11167" s="553">
        <v>832.96</v>
      </c>
      <c r="H11167" s="553">
        <v>373.66</v>
      </c>
      <c r="I11167" s="553">
        <v>3168.95</v>
      </c>
      <c r="J11167" s="647">
        <v>2306.15</v>
      </c>
    </row>
    <row r="11168" spans="2:10">
      <c r="B11168" s="1230" t="s">
        <v>451</v>
      </c>
      <c r="C11168" s="132" t="s">
        <v>1835</v>
      </c>
      <c r="D11168" s="255">
        <v>17015</v>
      </c>
      <c r="E11168" s="553">
        <v>268.72000000000003</v>
      </c>
      <c r="F11168" s="553">
        <v>3369.94</v>
      </c>
      <c r="G11168" s="553">
        <v>803.9</v>
      </c>
      <c r="H11168" s="553">
        <v>331.91</v>
      </c>
      <c r="I11168" s="553">
        <v>2489.9299999999998</v>
      </c>
      <c r="J11168" s="647">
        <v>2099.04</v>
      </c>
    </row>
    <row r="11169" spans="2:10">
      <c r="B11169" s="1230" t="s">
        <v>451</v>
      </c>
      <c r="C11169" s="132" t="s">
        <v>2202</v>
      </c>
      <c r="D11169" s="255">
        <v>17017</v>
      </c>
      <c r="E11169" s="553">
        <v>227.26</v>
      </c>
      <c r="F11169" s="553">
        <v>2750.34</v>
      </c>
      <c r="G11169" s="553">
        <v>687.08</v>
      </c>
      <c r="H11169" s="553">
        <v>271.45</v>
      </c>
      <c r="I11169" s="553">
        <v>2425.02</v>
      </c>
      <c r="J11169" s="647">
        <v>2034.09</v>
      </c>
    </row>
    <row r="11170" spans="2:10">
      <c r="B11170" s="1230" t="s">
        <v>451</v>
      </c>
      <c r="C11170" s="132" t="s">
        <v>2203</v>
      </c>
      <c r="D11170" s="255">
        <v>17019</v>
      </c>
      <c r="E11170" s="553">
        <v>317.23</v>
      </c>
      <c r="F11170" s="553">
        <v>3902.41</v>
      </c>
      <c r="G11170" s="553">
        <v>734.64</v>
      </c>
      <c r="H11170" s="553">
        <v>384.92</v>
      </c>
      <c r="I11170" s="553">
        <v>3212.73</v>
      </c>
      <c r="J11170" s="647">
        <v>2457.44</v>
      </c>
    </row>
    <row r="11171" spans="2:10">
      <c r="B11171" s="1230" t="s">
        <v>451</v>
      </c>
      <c r="C11171" s="132" t="s">
        <v>2204</v>
      </c>
      <c r="D11171" s="255">
        <v>17021</v>
      </c>
      <c r="E11171" s="553">
        <v>384.58</v>
      </c>
      <c r="F11171" s="553">
        <v>4897.66</v>
      </c>
      <c r="G11171" s="553">
        <v>1115.98</v>
      </c>
      <c r="H11171" s="553">
        <v>481.83</v>
      </c>
      <c r="I11171" s="553">
        <v>2492.36</v>
      </c>
      <c r="J11171" s="647">
        <v>2705.88</v>
      </c>
    </row>
    <row r="11172" spans="2:10">
      <c r="B11172" s="1230" t="s">
        <v>451</v>
      </c>
      <c r="C11172" s="132" t="s">
        <v>1837</v>
      </c>
      <c r="D11172" s="255">
        <v>17023</v>
      </c>
      <c r="E11172" s="553">
        <v>285.95</v>
      </c>
      <c r="F11172" s="553">
        <v>3674.52</v>
      </c>
      <c r="G11172" s="553">
        <v>582.69000000000005</v>
      </c>
      <c r="H11172" s="553">
        <v>361.17</v>
      </c>
      <c r="I11172" s="553">
        <v>2144.52</v>
      </c>
      <c r="J11172" s="647">
        <v>2306.4299999999998</v>
      </c>
    </row>
    <row r="11173" spans="2:10">
      <c r="B11173" s="1230" t="s">
        <v>451</v>
      </c>
      <c r="C11173" s="132" t="s">
        <v>1732</v>
      </c>
      <c r="D11173" s="255">
        <v>17025</v>
      </c>
      <c r="E11173" s="553">
        <v>200.55</v>
      </c>
      <c r="F11173" s="553">
        <v>2554.0500000000002</v>
      </c>
      <c r="G11173" s="553">
        <v>562.02</v>
      </c>
      <c r="H11173" s="553">
        <v>251.15</v>
      </c>
      <c r="I11173" s="553">
        <v>1815.11</v>
      </c>
      <c r="J11173" s="647">
        <v>1792.88</v>
      </c>
    </row>
    <row r="11174" spans="2:10">
      <c r="B11174" s="1230" t="s">
        <v>451</v>
      </c>
      <c r="C11174" s="132" t="s">
        <v>2205</v>
      </c>
      <c r="D11174" s="255">
        <v>17027</v>
      </c>
      <c r="E11174" s="553">
        <v>242.75</v>
      </c>
      <c r="F11174" s="553">
        <v>2983.94</v>
      </c>
      <c r="G11174" s="553">
        <v>804.35</v>
      </c>
      <c r="H11174" s="553">
        <v>294.2</v>
      </c>
      <c r="I11174" s="553">
        <v>3073.83</v>
      </c>
      <c r="J11174" s="647">
        <v>1946.27</v>
      </c>
    </row>
    <row r="11175" spans="2:10">
      <c r="B11175" s="1230" t="s">
        <v>451</v>
      </c>
      <c r="C11175" s="132" t="s">
        <v>2206</v>
      </c>
      <c r="D11175" s="255">
        <v>17029</v>
      </c>
      <c r="E11175" s="553">
        <v>243.41</v>
      </c>
      <c r="F11175" s="553">
        <v>3061.9</v>
      </c>
      <c r="G11175" s="553">
        <v>657.63</v>
      </c>
      <c r="H11175" s="553">
        <v>301.42</v>
      </c>
      <c r="I11175" s="553">
        <v>2143.0500000000002</v>
      </c>
      <c r="J11175" s="647">
        <v>2140.81</v>
      </c>
    </row>
    <row r="11176" spans="2:10">
      <c r="B11176" s="1230" t="s">
        <v>451</v>
      </c>
      <c r="C11176" s="132" t="s">
        <v>2080</v>
      </c>
      <c r="D11176" s="255">
        <v>17031</v>
      </c>
      <c r="E11176" s="553">
        <v>3409.5</v>
      </c>
      <c r="F11176" s="553">
        <v>35568.519999999997</v>
      </c>
      <c r="G11176" s="553">
        <v>-211.13</v>
      </c>
      <c r="H11176" s="553">
        <v>3554.4</v>
      </c>
      <c r="I11176" s="553">
        <v>163157.03</v>
      </c>
      <c r="J11176" s="647">
        <v>5031.93</v>
      </c>
    </row>
    <row r="11177" spans="2:10">
      <c r="B11177" s="1230" t="s">
        <v>451</v>
      </c>
      <c r="C11177" s="132" t="s">
        <v>1842</v>
      </c>
      <c r="D11177" s="255">
        <v>17033</v>
      </c>
      <c r="E11177" s="553">
        <v>214.33</v>
      </c>
      <c r="F11177" s="553">
        <v>2685.68</v>
      </c>
      <c r="G11177" s="553">
        <v>487.26</v>
      </c>
      <c r="H11177" s="553">
        <v>264.39</v>
      </c>
      <c r="I11177" s="553">
        <v>2324.2199999999998</v>
      </c>
      <c r="J11177" s="647">
        <v>1834.53</v>
      </c>
    </row>
    <row r="11178" spans="2:10">
      <c r="B11178" s="1230" t="s">
        <v>451</v>
      </c>
      <c r="C11178" s="132" t="s">
        <v>2207</v>
      </c>
      <c r="D11178" s="255">
        <v>17035</v>
      </c>
      <c r="E11178" s="553">
        <v>240.33</v>
      </c>
      <c r="F11178" s="553">
        <v>3035.93</v>
      </c>
      <c r="G11178" s="553">
        <v>653.16</v>
      </c>
      <c r="H11178" s="553">
        <v>298.76</v>
      </c>
      <c r="I11178" s="553">
        <v>2004.38</v>
      </c>
      <c r="J11178" s="647">
        <v>2106.91</v>
      </c>
    </row>
    <row r="11179" spans="2:10">
      <c r="B11179" s="1230" t="s">
        <v>451</v>
      </c>
      <c r="C11179" s="132" t="s">
        <v>1743</v>
      </c>
      <c r="D11179" s="255">
        <v>17037</v>
      </c>
      <c r="E11179" s="553">
        <v>781.38</v>
      </c>
      <c r="F11179" s="553">
        <v>8088.88</v>
      </c>
      <c r="G11179" s="553">
        <v>816.01</v>
      </c>
      <c r="H11179" s="553">
        <v>808.89</v>
      </c>
      <c r="I11179" s="553">
        <v>25994.29</v>
      </c>
      <c r="J11179" s="647">
        <v>2587.38</v>
      </c>
    </row>
    <row r="11180" spans="2:10">
      <c r="B11180" s="1230" t="s">
        <v>451</v>
      </c>
      <c r="C11180" s="132" t="s">
        <v>2208</v>
      </c>
      <c r="D11180" s="255">
        <v>17039</v>
      </c>
      <c r="E11180" s="553">
        <v>256.61</v>
      </c>
      <c r="F11180" s="553">
        <v>3087.99</v>
      </c>
      <c r="G11180" s="553">
        <v>681.47</v>
      </c>
      <c r="H11180" s="553">
        <v>305</v>
      </c>
      <c r="I11180" s="553">
        <v>2967.36</v>
      </c>
      <c r="J11180" s="647">
        <v>2079.89</v>
      </c>
    </row>
    <row r="11181" spans="2:10">
      <c r="B11181" s="1230" t="s">
        <v>451</v>
      </c>
      <c r="C11181" s="132" t="s">
        <v>1957</v>
      </c>
      <c r="D11181" s="255">
        <v>17041</v>
      </c>
      <c r="E11181" s="553">
        <v>256.33999999999997</v>
      </c>
      <c r="F11181" s="553">
        <v>3228.6</v>
      </c>
      <c r="G11181" s="553">
        <v>641.24</v>
      </c>
      <c r="H11181" s="553">
        <v>317.77999999999997</v>
      </c>
      <c r="I11181" s="553">
        <v>2276.98</v>
      </c>
      <c r="J11181" s="647">
        <v>2162.35</v>
      </c>
    </row>
    <row r="11182" spans="2:10">
      <c r="B11182" s="1230" t="s">
        <v>451</v>
      </c>
      <c r="C11182" s="132" t="s">
        <v>2209</v>
      </c>
      <c r="D11182" s="255">
        <v>17043</v>
      </c>
      <c r="E11182" s="553">
        <v>5935.28</v>
      </c>
      <c r="F11182" s="553">
        <v>62024.69</v>
      </c>
      <c r="G11182" s="553">
        <v>272.04000000000002</v>
      </c>
      <c r="H11182" s="553">
        <v>6196.17</v>
      </c>
      <c r="I11182" s="553">
        <v>301939.15000000002</v>
      </c>
      <c r="J11182" s="647">
        <v>5570.06</v>
      </c>
    </row>
    <row r="11183" spans="2:10">
      <c r="B11183" s="1230" t="s">
        <v>451</v>
      </c>
      <c r="C11183" s="132" t="s">
        <v>2210</v>
      </c>
      <c r="D11183" s="255">
        <v>17045</v>
      </c>
      <c r="E11183" s="553">
        <v>243.01</v>
      </c>
      <c r="F11183" s="553">
        <v>3040.32</v>
      </c>
      <c r="G11183" s="553">
        <v>544.02</v>
      </c>
      <c r="H11183" s="553">
        <v>299.39999999999998</v>
      </c>
      <c r="I11183" s="553">
        <v>3024.91</v>
      </c>
      <c r="J11183" s="647">
        <v>2134.92</v>
      </c>
    </row>
    <row r="11184" spans="2:10">
      <c r="B11184" s="1230" t="s">
        <v>451</v>
      </c>
      <c r="C11184" s="132" t="s">
        <v>2211</v>
      </c>
      <c r="D11184" s="255">
        <v>17047</v>
      </c>
      <c r="E11184" s="553">
        <v>200.87</v>
      </c>
      <c r="F11184" s="553">
        <v>2476.5300000000002</v>
      </c>
      <c r="G11184" s="553">
        <v>483.48</v>
      </c>
      <c r="H11184" s="553">
        <v>244.14</v>
      </c>
      <c r="I11184" s="553">
        <v>1746.31</v>
      </c>
      <c r="J11184" s="647">
        <v>1799.82</v>
      </c>
    </row>
    <row r="11185" spans="2:10">
      <c r="B11185" s="1230" t="s">
        <v>451</v>
      </c>
      <c r="C11185" s="132" t="s">
        <v>2091</v>
      </c>
      <c r="D11185" s="255">
        <v>17049</v>
      </c>
      <c r="E11185" s="553">
        <v>225.95</v>
      </c>
      <c r="F11185" s="553">
        <v>2839.05</v>
      </c>
      <c r="G11185" s="553">
        <v>617.29999999999995</v>
      </c>
      <c r="H11185" s="553">
        <v>279.39999999999998</v>
      </c>
      <c r="I11185" s="553">
        <v>2234.9699999999998</v>
      </c>
      <c r="J11185" s="647">
        <v>2074.7399999999998</v>
      </c>
    </row>
    <row r="11186" spans="2:10">
      <c r="B11186" s="1230" t="s">
        <v>451</v>
      </c>
      <c r="C11186" s="132" t="s">
        <v>1747</v>
      </c>
      <c r="D11186" s="255">
        <v>17051</v>
      </c>
      <c r="E11186" s="553">
        <v>253.22</v>
      </c>
      <c r="F11186" s="553">
        <v>3207.82</v>
      </c>
      <c r="G11186" s="553">
        <v>697.26</v>
      </c>
      <c r="H11186" s="553">
        <v>315.49</v>
      </c>
      <c r="I11186" s="553">
        <v>2364.27</v>
      </c>
      <c r="J11186" s="647">
        <v>2228.1</v>
      </c>
    </row>
    <row r="11187" spans="2:10">
      <c r="B11187" s="1230" t="s">
        <v>451</v>
      </c>
      <c r="C11187" s="132" t="s">
        <v>2212</v>
      </c>
      <c r="D11187" s="255">
        <v>17053</v>
      </c>
      <c r="E11187" s="553">
        <v>336.93</v>
      </c>
      <c r="F11187" s="553">
        <v>3991.63</v>
      </c>
      <c r="G11187" s="553">
        <v>663.64</v>
      </c>
      <c r="H11187" s="553">
        <v>394.74</v>
      </c>
      <c r="I11187" s="553">
        <v>7342.51</v>
      </c>
      <c r="J11187" s="647">
        <v>2207.62</v>
      </c>
    </row>
    <row r="11188" spans="2:10">
      <c r="B11188" s="1230" t="s">
        <v>451</v>
      </c>
      <c r="C11188" s="132" t="s">
        <v>1748</v>
      </c>
      <c r="D11188" s="255">
        <v>17055</v>
      </c>
      <c r="E11188" s="553">
        <v>236.33</v>
      </c>
      <c r="F11188" s="553">
        <v>3217.95</v>
      </c>
      <c r="G11188" s="553">
        <v>509.12</v>
      </c>
      <c r="H11188" s="553">
        <v>314.95999999999998</v>
      </c>
      <c r="I11188" s="553">
        <v>4289.22</v>
      </c>
      <c r="J11188" s="647">
        <v>1896.28</v>
      </c>
    </row>
    <row r="11189" spans="2:10">
      <c r="B11189" s="1230" t="s">
        <v>451</v>
      </c>
      <c r="C11189" s="132" t="s">
        <v>1848</v>
      </c>
      <c r="D11189" s="255">
        <v>17057</v>
      </c>
      <c r="E11189" s="553">
        <v>249.15</v>
      </c>
      <c r="F11189" s="553">
        <v>3129.84</v>
      </c>
      <c r="G11189" s="553">
        <v>790.92</v>
      </c>
      <c r="H11189" s="553">
        <v>308.14999999999998</v>
      </c>
      <c r="I11189" s="553">
        <v>2432.88</v>
      </c>
      <c r="J11189" s="647">
        <v>2161.62</v>
      </c>
    </row>
    <row r="11190" spans="2:10">
      <c r="B11190" s="1230" t="s">
        <v>451</v>
      </c>
      <c r="C11190" s="132" t="s">
        <v>2213</v>
      </c>
      <c r="D11190" s="255">
        <v>17059</v>
      </c>
      <c r="E11190" s="553">
        <v>192.2</v>
      </c>
      <c r="F11190" s="553">
        <v>2396.7399999999998</v>
      </c>
      <c r="G11190" s="553">
        <v>473.46</v>
      </c>
      <c r="H11190" s="553">
        <v>236.06</v>
      </c>
      <c r="I11190" s="553">
        <v>1782.67</v>
      </c>
      <c r="J11190" s="647">
        <v>1806.7</v>
      </c>
    </row>
    <row r="11191" spans="2:10">
      <c r="B11191" s="1230" t="s">
        <v>451</v>
      </c>
      <c r="C11191" s="132" t="s">
        <v>1750</v>
      </c>
      <c r="D11191" s="255">
        <v>17061</v>
      </c>
      <c r="E11191" s="553">
        <v>251.09</v>
      </c>
      <c r="F11191" s="553">
        <v>3060.82</v>
      </c>
      <c r="G11191" s="553">
        <v>708.91</v>
      </c>
      <c r="H11191" s="553">
        <v>302.02999999999997</v>
      </c>
      <c r="I11191" s="553">
        <v>3163.61</v>
      </c>
      <c r="J11191" s="647">
        <v>2121.19</v>
      </c>
    </row>
    <row r="11192" spans="2:10">
      <c r="B11192" s="1230" t="s">
        <v>451</v>
      </c>
      <c r="C11192" s="132" t="s">
        <v>2214</v>
      </c>
      <c r="D11192" s="255">
        <v>17063</v>
      </c>
      <c r="E11192" s="553">
        <v>606.01</v>
      </c>
      <c r="F11192" s="553">
        <v>6652.76</v>
      </c>
      <c r="G11192" s="553">
        <v>487.44</v>
      </c>
      <c r="H11192" s="553">
        <v>661.91</v>
      </c>
      <c r="I11192" s="553">
        <v>20726.48</v>
      </c>
      <c r="J11192" s="647">
        <v>2329.9499999999998</v>
      </c>
    </row>
    <row r="11193" spans="2:10">
      <c r="B11193" s="1230" t="s">
        <v>451</v>
      </c>
      <c r="C11193" s="132" t="s">
        <v>2023</v>
      </c>
      <c r="D11193" s="255">
        <v>17065</v>
      </c>
      <c r="E11193" s="553">
        <v>175.47</v>
      </c>
      <c r="F11193" s="553">
        <v>2245.69</v>
      </c>
      <c r="G11193" s="553">
        <v>550.16</v>
      </c>
      <c r="H11193" s="553">
        <v>220.74</v>
      </c>
      <c r="I11193" s="553">
        <v>2013.55</v>
      </c>
      <c r="J11193" s="647">
        <v>1724.98</v>
      </c>
    </row>
    <row r="11194" spans="2:10">
      <c r="B11194" s="1230" t="s">
        <v>451</v>
      </c>
      <c r="C11194" s="132" t="s">
        <v>2105</v>
      </c>
      <c r="D11194" s="255">
        <v>17067</v>
      </c>
      <c r="E11194" s="553">
        <v>213.29</v>
      </c>
      <c r="F11194" s="553">
        <v>2660.56</v>
      </c>
      <c r="G11194" s="553">
        <v>736.66</v>
      </c>
      <c r="H11194" s="553">
        <v>262.05</v>
      </c>
      <c r="I11194" s="553">
        <v>1530.91</v>
      </c>
      <c r="J11194" s="647">
        <v>2021.65</v>
      </c>
    </row>
    <row r="11195" spans="2:10">
      <c r="B11195" s="1230" t="s">
        <v>451</v>
      </c>
      <c r="C11195" s="132" t="s">
        <v>2215</v>
      </c>
      <c r="D11195" s="255">
        <v>17069</v>
      </c>
      <c r="E11195" s="553">
        <v>177.75</v>
      </c>
      <c r="F11195" s="553">
        <v>2203.34</v>
      </c>
      <c r="G11195" s="553">
        <v>418.92</v>
      </c>
      <c r="H11195" s="553">
        <v>217.08</v>
      </c>
      <c r="I11195" s="553">
        <v>1697.96</v>
      </c>
      <c r="J11195" s="647">
        <v>1762.77</v>
      </c>
    </row>
    <row r="11196" spans="2:10">
      <c r="B11196" s="1230" t="s">
        <v>451</v>
      </c>
      <c r="C11196" s="132" t="s">
        <v>2216</v>
      </c>
      <c r="D11196" s="255">
        <v>17071</v>
      </c>
      <c r="E11196" s="553">
        <v>220.61</v>
      </c>
      <c r="F11196" s="553">
        <v>2708.25</v>
      </c>
      <c r="G11196" s="553">
        <v>792.01</v>
      </c>
      <c r="H11196" s="553">
        <v>267.17</v>
      </c>
      <c r="I11196" s="553">
        <v>1454.24</v>
      </c>
      <c r="J11196" s="647">
        <v>1981.38</v>
      </c>
    </row>
    <row r="11197" spans="2:10">
      <c r="B11197" s="1230" t="s">
        <v>451</v>
      </c>
      <c r="C11197" s="132" t="s">
        <v>1752</v>
      </c>
      <c r="D11197" s="255">
        <v>17073</v>
      </c>
      <c r="E11197" s="553">
        <v>294.06</v>
      </c>
      <c r="F11197" s="553">
        <v>3685.13</v>
      </c>
      <c r="G11197" s="553">
        <v>914.93</v>
      </c>
      <c r="H11197" s="553">
        <v>362.95</v>
      </c>
      <c r="I11197" s="553">
        <v>2037.8</v>
      </c>
      <c r="J11197" s="647">
        <v>2334</v>
      </c>
    </row>
    <row r="11198" spans="2:10">
      <c r="B11198" s="1230" t="s">
        <v>451</v>
      </c>
      <c r="C11198" s="132" t="s">
        <v>2217</v>
      </c>
      <c r="D11198" s="255">
        <v>17075</v>
      </c>
      <c r="E11198" s="553">
        <v>318.14</v>
      </c>
      <c r="F11198" s="553">
        <v>3802.83</v>
      </c>
      <c r="G11198" s="553">
        <v>645.54</v>
      </c>
      <c r="H11198" s="553">
        <v>375.82</v>
      </c>
      <c r="I11198" s="553">
        <v>4926.29</v>
      </c>
      <c r="J11198" s="647">
        <v>2336.34</v>
      </c>
    </row>
    <row r="11199" spans="2:10">
      <c r="B11199" s="1230" t="s">
        <v>451</v>
      </c>
      <c r="C11199" s="132" t="s">
        <v>1754</v>
      </c>
      <c r="D11199" s="255">
        <v>17077</v>
      </c>
      <c r="E11199" s="553">
        <v>261.64999999999998</v>
      </c>
      <c r="F11199" s="553">
        <v>3390.48</v>
      </c>
      <c r="G11199" s="553">
        <v>765.36</v>
      </c>
      <c r="H11199" s="553">
        <v>332.93</v>
      </c>
      <c r="I11199" s="553">
        <v>3100.56</v>
      </c>
      <c r="J11199" s="647">
        <v>2209.52</v>
      </c>
    </row>
    <row r="11200" spans="2:10">
      <c r="B11200" s="1230" t="s">
        <v>451</v>
      </c>
      <c r="C11200" s="132" t="s">
        <v>2111</v>
      </c>
      <c r="D11200" s="255">
        <v>17079</v>
      </c>
      <c r="E11200" s="553">
        <v>231.27</v>
      </c>
      <c r="F11200" s="553">
        <v>2868.52</v>
      </c>
      <c r="G11200" s="553">
        <v>544.16</v>
      </c>
      <c r="H11200" s="553">
        <v>282.58999999999997</v>
      </c>
      <c r="I11200" s="553">
        <v>1931.04</v>
      </c>
      <c r="J11200" s="647">
        <v>2096</v>
      </c>
    </row>
    <row r="11201" spans="2:10">
      <c r="B11201" s="1230" t="s">
        <v>451</v>
      </c>
      <c r="C11201" s="132" t="s">
        <v>1755</v>
      </c>
      <c r="D11201" s="255">
        <v>17081</v>
      </c>
      <c r="E11201" s="553">
        <v>210.32</v>
      </c>
      <c r="F11201" s="553">
        <v>2772.83</v>
      </c>
      <c r="G11201" s="553">
        <v>564.17999999999995</v>
      </c>
      <c r="H11201" s="553">
        <v>271.99</v>
      </c>
      <c r="I11201" s="553">
        <v>3999.75</v>
      </c>
      <c r="J11201" s="647">
        <v>1827.82</v>
      </c>
    </row>
    <row r="11202" spans="2:10">
      <c r="B11202" s="1230" t="s">
        <v>451</v>
      </c>
      <c r="C11202" s="132" t="s">
        <v>2218</v>
      </c>
      <c r="D11202" s="255">
        <v>17083</v>
      </c>
      <c r="E11202" s="553">
        <v>306.27999999999997</v>
      </c>
      <c r="F11202" s="553">
        <v>3720.82</v>
      </c>
      <c r="G11202" s="553">
        <v>744.54</v>
      </c>
      <c r="H11202" s="553">
        <v>367.07</v>
      </c>
      <c r="I11202" s="553">
        <v>5048.3500000000004</v>
      </c>
      <c r="J11202" s="647">
        <v>2204.81</v>
      </c>
    </row>
    <row r="11203" spans="2:10">
      <c r="B11203" s="1230" t="s">
        <v>451</v>
      </c>
      <c r="C11203" s="132" t="s">
        <v>2219</v>
      </c>
      <c r="D11203" s="255">
        <v>17085</v>
      </c>
      <c r="E11203" s="553">
        <v>230.05</v>
      </c>
      <c r="F11203" s="553">
        <v>2753.72</v>
      </c>
      <c r="G11203" s="553">
        <v>707.7</v>
      </c>
      <c r="H11203" s="553">
        <v>272.11</v>
      </c>
      <c r="I11203" s="553">
        <v>1899.22</v>
      </c>
      <c r="J11203" s="647">
        <v>1975.42</v>
      </c>
    </row>
    <row r="11204" spans="2:10">
      <c r="B11204" s="1230" t="s">
        <v>451</v>
      </c>
      <c r="C11204" s="132" t="s">
        <v>1856</v>
      </c>
      <c r="D11204" s="255">
        <v>17087</v>
      </c>
      <c r="E11204" s="553">
        <v>169.91</v>
      </c>
      <c r="F11204" s="553">
        <v>2177.4</v>
      </c>
      <c r="G11204" s="553">
        <v>405.41</v>
      </c>
      <c r="H11204" s="553">
        <v>214</v>
      </c>
      <c r="I11204" s="553">
        <v>2361.77</v>
      </c>
      <c r="J11204" s="647">
        <v>1697.51</v>
      </c>
    </row>
    <row r="11205" spans="2:10">
      <c r="B11205" s="1230" t="s">
        <v>451</v>
      </c>
      <c r="C11205" s="132" t="s">
        <v>2220</v>
      </c>
      <c r="D11205" s="255">
        <v>17089</v>
      </c>
      <c r="E11205" s="553">
        <v>1664.7</v>
      </c>
      <c r="F11205" s="553">
        <v>16822.61</v>
      </c>
      <c r="G11205" s="553">
        <v>577.30999999999995</v>
      </c>
      <c r="H11205" s="553">
        <v>1685.33</v>
      </c>
      <c r="I11205" s="553">
        <v>57583.89</v>
      </c>
      <c r="J11205" s="647">
        <v>3602.94</v>
      </c>
    </row>
    <row r="11206" spans="2:10">
      <c r="B11206" s="1230" t="s">
        <v>451</v>
      </c>
      <c r="C11206" s="132" t="s">
        <v>2221</v>
      </c>
      <c r="D11206" s="255">
        <v>17091</v>
      </c>
      <c r="E11206" s="553">
        <v>761.23</v>
      </c>
      <c r="F11206" s="553">
        <v>8001.56</v>
      </c>
      <c r="G11206" s="553">
        <v>535.79999999999995</v>
      </c>
      <c r="H11206" s="553">
        <v>799.01</v>
      </c>
      <c r="I11206" s="553">
        <v>26843.55</v>
      </c>
      <c r="J11206" s="647">
        <v>2540.7800000000002</v>
      </c>
    </row>
    <row r="11207" spans="2:10">
      <c r="B11207" s="1230" t="s">
        <v>451</v>
      </c>
      <c r="C11207" s="132" t="s">
        <v>2222</v>
      </c>
      <c r="D11207" s="255">
        <v>17093</v>
      </c>
      <c r="E11207" s="553">
        <v>960.15</v>
      </c>
      <c r="F11207" s="553">
        <v>10266.24</v>
      </c>
      <c r="G11207" s="553">
        <v>624.19000000000005</v>
      </c>
      <c r="H11207" s="553">
        <v>1023.66</v>
      </c>
      <c r="I11207" s="553">
        <v>36341.050000000003</v>
      </c>
      <c r="J11207" s="647">
        <v>2700.11</v>
      </c>
    </row>
    <row r="11208" spans="2:10">
      <c r="B11208" s="1230" t="s">
        <v>451</v>
      </c>
      <c r="C11208" s="132" t="s">
        <v>2223</v>
      </c>
      <c r="D11208" s="255">
        <v>17095</v>
      </c>
      <c r="E11208" s="553">
        <v>242.15</v>
      </c>
      <c r="F11208" s="553">
        <v>3056.7</v>
      </c>
      <c r="G11208" s="553">
        <v>775.5</v>
      </c>
      <c r="H11208" s="553">
        <v>300.8</v>
      </c>
      <c r="I11208" s="553">
        <v>2119.42</v>
      </c>
      <c r="J11208" s="647">
        <v>2110.7399999999998</v>
      </c>
    </row>
    <row r="11209" spans="2:10">
      <c r="B11209" s="1230" t="s">
        <v>451</v>
      </c>
      <c r="C11209" s="132" t="s">
        <v>1900</v>
      </c>
      <c r="D11209" s="255">
        <v>17097</v>
      </c>
      <c r="E11209" s="553">
        <v>1205.18</v>
      </c>
      <c r="F11209" s="553">
        <v>12669.67</v>
      </c>
      <c r="G11209" s="553">
        <v>535.97</v>
      </c>
      <c r="H11209" s="553">
        <v>1265.21</v>
      </c>
      <c r="I11209" s="553">
        <v>47654.96</v>
      </c>
      <c r="J11209" s="647">
        <v>2863.85</v>
      </c>
    </row>
    <row r="11210" spans="2:10">
      <c r="B11210" s="1230" t="s">
        <v>451</v>
      </c>
      <c r="C11210" s="132" t="s">
        <v>2224</v>
      </c>
      <c r="D11210" s="255">
        <v>17099</v>
      </c>
      <c r="E11210" s="553">
        <v>457.54</v>
      </c>
      <c r="F11210" s="553">
        <v>5383.14</v>
      </c>
      <c r="G11210" s="553">
        <v>879.97</v>
      </c>
      <c r="H11210" s="553">
        <v>532.61</v>
      </c>
      <c r="I11210" s="553">
        <v>9334.93</v>
      </c>
      <c r="J11210" s="647">
        <v>2669.27</v>
      </c>
    </row>
    <row r="11211" spans="2:10">
      <c r="B11211" s="1230" t="s">
        <v>451</v>
      </c>
      <c r="C11211" s="132" t="s">
        <v>1758</v>
      </c>
      <c r="D11211" s="255">
        <v>17101</v>
      </c>
      <c r="E11211" s="553">
        <v>216.18</v>
      </c>
      <c r="F11211" s="553">
        <v>2789.94</v>
      </c>
      <c r="G11211" s="553">
        <v>506.26</v>
      </c>
      <c r="H11211" s="553">
        <v>274.08</v>
      </c>
      <c r="I11211" s="553">
        <v>1850.67</v>
      </c>
      <c r="J11211" s="647">
        <v>1875.33</v>
      </c>
    </row>
    <row r="11212" spans="2:10">
      <c r="B11212" s="1230" t="s">
        <v>451</v>
      </c>
      <c r="C11212" s="132" t="s">
        <v>1759</v>
      </c>
      <c r="D11212" s="255">
        <v>17103</v>
      </c>
      <c r="E11212" s="553">
        <v>349.15</v>
      </c>
      <c r="F11212" s="553">
        <v>4089.76</v>
      </c>
      <c r="G11212" s="553">
        <v>821.19</v>
      </c>
      <c r="H11212" s="553">
        <v>404.8</v>
      </c>
      <c r="I11212" s="553">
        <v>5943.97</v>
      </c>
      <c r="J11212" s="647">
        <v>2305.46</v>
      </c>
    </row>
    <row r="11213" spans="2:10">
      <c r="B11213" s="1230" t="s">
        <v>451</v>
      </c>
      <c r="C11213" s="132" t="s">
        <v>2225</v>
      </c>
      <c r="D11213" s="255">
        <v>17105</v>
      </c>
      <c r="E11213" s="553">
        <v>418.57</v>
      </c>
      <c r="F11213" s="553">
        <v>5001.63</v>
      </c>
      <c r="G11213" s="553">
        <v>958.84</v>
      </c>
      <c r="H11213" s="553">
        <v>494.34</v>
      </c>
      <c r="I11213" s="553">
        <v>7009.79</v>
      </c>
      <c r="J11213" s="647">
        <v>2605.9299999999998</v>
      </c>
    </row>
    <row r="11214" spans="2:10">
      <c r="B11214" s="1230" t="s">
        <v>451</v>
      </c>
      <c r="C11214" s="132" t="s">
        <v>1860</v>
      </c>
      <c r="D11214" s="255">
        <v>17107</v>
      </c>
      <c r="E11214" s="553">
        <v>257.60000000000002</v>
      </c>
      <c r="F11214" s="553">
        <v>3128.48</v>
      </c>
      <c r="G11214" s="553">
        <v>794.71</v>
      </c>
      <c r="H11214" s="553">
        <v>308.86</v>
      </c>
      <c r="I11214" s="553">
        <v>2744.78</v>
      </c>
      <c r="J11214" s="647">
        <v>2149.88</v>
      </c>
    </row>
    <row r="11215" spans="2:10">
      <c r="B11215" s="1230" t="s">
        <v>451</v>
      </c>
      <c r="C11215" s="132" t="s">
        <v>2226</v>
      </c>
      <c r="D11215" s="255">
        <v>17109</v>
      </c>
      <c r="E11215" s="553">
        <v>203.62</v>
      </c>
      <c r="F11215" s="553">
        <v>2511.89</v>
      </c>
      <c r="G11215" s="553">
        <v>739.46</v>
      </c>
      <c r="H11215" s="553">
        <v>247.69</v>
      </c>
      <c r="I11215" s="553">
        <v>1912.68</v>
      </c>
      <c r="J11215" s="647">
        <v>1959.15</v>
      </c>
    </row>
    <row r="11216" spans="2:10">
      <c r="B11216" s="1230" t="s">
        <v>451</v>
      </c>
      <c r="C11216" s="132" t="s">
        <v>2227</v>
      </c>
      <c r="D11216" s="255">
        <v>17111</v>
      </c>
      <c r="E11216" s="553">
        <v>1165.8800000000001</v>
      </c>
      <c r="F11216" s="553">
        <v>12274.81</v>
      </c>
      <c r="G11216" s="553">
        <v>1018.42</v>
      </c>
      <c r="H11216" s="553">
        <v>1225.7</v>
      </c>
      <c r="I11216" s="553">
        <v>36633.5</v>
      </c>
      <c r="J11216" s="647">
        <v>3318.74</v>
      </c>
    </row>
    <row r="11217" spans="2:10">
      <c r="B11217" s="1230" t="s">
        <v>451</v>
      </c>
      <c r="C11217" s="132" t="s">
        <v>2228</v>
      </c>
      <c r="D11217" s="255">
        <v>17113</v>
      </c>
      <c r="E11217" s="553">
        <v>312.99</v>
      </c>
      <c r="F11217" s="553">
        <v>3706.74</v>
      </c>
      <c r="G11217" s="553">
        <v>786.45</v>
      </c>
      <c r="H11217" s="553">
        <v>366.68</v>
      </c>
      <c r="I11217" s="553">
        <v>4188.53</v>
      </c>
      <c r="J11217" s="647">
        <v>2345.81</v>
      </c>
    </row>
    <row r="11218" spans="2:10">
      <c r="B11218" s="1230" t="s">
        <v>451</v>
      </c>
      <c r="C11218" s="132" t="s">
        <v>1762</v>
      </c>
      <c r="D11218" s="255">
        <v>17115</v>
      </c>
      <c r="E11218" s="553">
        <v>303.17</v>
      </c>
      <c r="F11218" s="553">
        <v>3793.21</v>
      </c>
      <c r="G11218" s="553">
        <v>779.39</v>
      </c>
      <c r="H11218" s="553">
        <v>373.59</v>
      </c>
      <c r="I11218" s="553">
        <v>2605.5500000000002</v>
      </c>
      <c r="J11218" s="647">
        <v>2326.5100000000002</v>
      </c>
    </row>
    <row r="11219" spans="2:10">
      <c r="B11219" s="1230" t="s">
        <v>451</v>
      </c>
      <c r="C11219" s="132" t="s">
        <v>2229</v>
      </c>
      <c r="D11219" s="255">
        <v>17117</v>
      </c>
      <c r="E11219" s="553">
        <v>281.36</v>
      </c>
      <c r="F11219" s="553">
        <v>3554.67</v>
      </c>
      <c r="G11219" s="553">
        <v>840.87</v>
      </c>
      <c r="H11219" s="553">
        <v>349.73</v>
      </c>
      <c r="I11219" s="553">
        <v>3560.82</v>
      </c>
      <c r="J11219" s="647">
        <v>2339.0700000000002</v>
      </c>
    </row>
    <row r="11220" spans="2:10">
      <c r="B11220" s="1230" t="s">
        <v>451</v>
      </c>
      <c r="C11220" s="132" t="s">
        <v>1763</v>
      </c>
      <c r="D11220" s="255">
        <v>17119</v>
      </c>
      <c r="E11220" s="553">
        <v>550.65</v>
      </c>
      <c r="F11220" s="553">
        <v>6709.7</v>
      </c>
      <c r="G11220" s="553">
        <v>680.28</v>
      </c>
      <c r="H11220" s="553">
        <v>661.81</v>
      </c>
      <c r="I11220" s="553">
        <v>22518.6</v>
      </c>
      <c r="J11220" s="647">
        <v>2362.1799999999998</v>
      </c>
    </row>
    <row r="11221" spans="2:10">
      <c r="B11221" s="1230" t="s">
        <v>451</v>
      </c>
      <c r="C11221" s="132" t="s">
        <v>1765</v>
      </c>
      <c r="D11221" s="255">
        <v>17121</v>
      </c>
      <c r="E11221" s="553">
        <v>200.36</v>
      </c>
      <c r="F11221" s="553">
        <v>2576.27</v>
      </c>
      <c r="G11221" s="553">
        <v>638.34</v>
      </c>
      <c r="H11221" s="553">
        <v>253.08</v>
      </c>
      <c r="I11221" s="553">
        <v>2492.46</v>
      </c>
      <c r="J11221" s="647">
        <v>1798.15</v>
      </c>
    </row>
    <row r="11222" spans="2:10">
      <c r="B11222" s="1230" t="s">
        <v>451</v>
      </c>
      <c r="C11222" s="132" t="s">
        <v>1766</v>
      </c>
      <c r="D11222" s="255">
        <v>17123</v>
      </c>
      <c r="E11222" s="553">
        <v>279.47000000000003</v>
      </c>
      <c r="F11222" s="553">
        <v>3318.88</v>
      </c>
      <c r="G11222" s="553">
        <v>783.25</v>
      </c>
      <c r="H11222" s="553">
        <v>328.1</v>
      </c>
      <c r="I11222" s="553">
        <v>4225.84</v>
      </c>
      <c r="J11222" s="647">
        <v>2108.15</v>
      </c>
    </row>
    <row r="11223" spans="2:10">
      <c r="B11223" s="1230" t="s">
        <v>451</v>
      </c>
      <c r="C11223" s="132" t="s">
        <v>2230</v>
      </c>
      <c r="D11223" s="255">
        <v>17125</v>
      </c>
      <c r="E11223" s="553">
        <v>271.08</v>
      </c>
      <c r="F11223" s="553">
        <v>3366.91</v>
      </c>
      <c r="G11223" s="553">
        <v>784.06</v>
      </c>
      <c r="H11223" s="553">
        <v>331.76</v>
      </c>
      <c r="I11223" s="553">
        <v>2527.96</v>
      </c>
      <c r="J11223" s="647">
        <v>2217.81</v>
      </c>
    </row>
    <row r="11224" spans="2:10">
      <c r="B11224" s="1230" t="s">
        <v>451</v>
      </c>
      <c r="C11224" s="132" t="s">
        <v>2231</v>
      </c>
      <c r="D11224" s="255">
        <v>17127</v>
      </c>
      <c r="E11224" s="553">
        <v>276.36</v>
      </c>
      <c r="F11224" s="553">
        <v>3882.9</v>
      </c>
      <c r="G11224" s="553">
        <v>561.16</v>
      </c>
      <c r="H11224" s="553">
        <v>379.18</v>
      </c>
      <c r="I11224" s="553">
        <v>1762.41</v>
      </c>
      <c r="J11224" s="647">
        <v>2136.27</v>
      </c>
    </row>
    <row r="11225" spans="2:10">
      <c r="B11225" s="1230" t="s">
        <v>451</v>
      </c>
      <c r="C11225" s="132" t="s">
        <v>2232</v>
      </c>
      <c r="D11225" s="255">
        <v>17129</v>
      </c>
      <c r="E11225" s="553">
        <v>253.51</v>
      </c>
      <c r="F11225" s="553">
        <v>3067.04</v>
      </c>
      <c r="G11225" s="553">
        <v>803.15</v>
      </c>
      <c r="H11225" s="553">
        <v>302.87</v>
      </c>
      <c r="I11225" s="553">
        <v>2574.04</v>
      </c>
      <c r="J11225" s="647">
        <v>2123.7199999999998</v>
      </c>
    </row>
    <row r="11226" spans="2:10">
      <c r="B11226" s="1230" t="s">
        <v>451</v>
      </c>
      <c r="C11226" s="132" t="s">
        <v>2233</v>
      </c>
      <c r="D11226" s="255">
        <v>17131</v>
      </c>
      <c r="E11226" s="553">
        <v>212.1</v>
      </c>
      <c r="F11226" s="553">
        <v>2582.89</v>
      </c>
      <c r="G11226" s="553">
        <v>785.18</v>
      </c>
      <c r="H11226" s="553">
        <v>254.93</v>
      </c>
      <c r="I11226" s="553">
        <v>1547.81</v>
      </c>
      <c r="J11226" s="647">
        <v>1975.11</v>
      </c>
    </row>
    <row r="11227" spans="2:10">
      <c r="B11227" s="1230" t="s">
        <v>451</v>
      </c>
      <c r="C11227" s="132" t="s">
        <v>1768</v>
      </c>
      <c r="D11227" s="255">
        <v>17133</v>
      </c>
      <c r="E11227" s="553">
        <v>576.04</v>
      </c>
      <c r="F11227" s="553">
        <v>7140.52</v>
      </c>
      <c r="G11227" s="553">
        <v>1322.1</v>
      </c>
      <c r="H11227" s="553">
        <v>703.38</v>
      </c>
      <c r="I11227" s="553">
        <v>6343.46</v>
      </c>
      <c r="J11227" s="647">
        <v>2833.24</v>
      </c>
    </row>
    <row r="11228" spans="2:10">
      <c r="B11228" s="1230" t="s">
        <v>451</v>
      </c>
      <c r="C11228" s="132" t="s">
        <v>1769</v>
      </c>
      <c r="D11228" s="255">
        <v>17135</v>
      </c>
      <c r="E11228" s="553">
        <v>253.48</v>
      </c>
      <c r="F11228" s="553">
        <v>3182.81</v>
      </c>
      <c r="G11228" s="553">
        <v>745.59</v>
      </c>
      <c r="H11228" s="553">
        <v>313.32</v>
      </c>
      <c r="I11228" s="553">
        <v>2647.79</v>
      </c>
      <c r="J11228" s="647">
        <v>2210.11</v>
      </c>
    </row>
    <row r="11229" spans="2:10">
      <c r="B11229" s="1230" t="s">
        <v>451</v>
      </c>
      <c r="C11229" s="132" t="s">
        <v>1770</v>
      </c>
      <c r="D11229" s="255">
        <v>17137</v>
      </c>
      <c r="E11229" s="553">
        <v>242.41</v>
      </c>
      <c r="F11229" s="553">
        <v>2976.22</v>
      </c>
      <c r="G11229" s="553">
        <v>762.66</v>
      </c>
      <c r="H11229" s="553">
        <v>293.51</v>
      </c>
      <c r="I11229" s="553">
        <v>2534.2800000000002</v>
      </c>
      <c r="J11229" s="647">
        <v>2124.19</v>
      </c>
    </row>
    <row r="11230" spans="2:10">
      <c r="B11230" s="1230" t="s">
        <v>451</v>
      </c>
      <c r="C11230" s="132" t="s">
        <v>2234</v>
      </c>
      <c r="D11230" s="255">
        <v>17139</v>
      </c>
      <c r="E11230" s="553">
        <v>241.38</v>
      </c>
      <c r="F11230" s="553">
        <v>3008.54</v>
      </c>
      <c r="G11230" s="553">
        <v>656.91</v>
      </c>
      <c r="H11230" s="553">
        <v>296.39</v>
      </c>
      <c r="I11230" s="553">
        <v>2490.09</v>
      </c>
      <c r="J11230" s="647">
        <v>2095.39</v>
      </c>
    </row>
    <row r="11231" spans="2:10">
      <c r="B11231" s="1230" t="s">
        <v>451</v>
      </c>
      <c r="C11231" s="132" t="s">
        <v>2235</v>
      </c>
      <c r="D11231" s="255">
        <v>17141</v>
      </c>
      <c r="E11231" s="553">
        <v>480.53</v>
      </c>
      <c r="F11231" s="553">
        <v>5768.28</v>
      </c>
      <c r="G11231" s="553">
        <v>1171.28</v>
      </c>
      <c r="H11231" s="553">
        <v>569.97</v>
      </c>
      <c r="I11231" s="553">
        <v>5285.17</v>
      </c>
      <c r="J11231" s="647">
        <v>2811.4</v>
      </c>
    </row>
    <row r="11232" spans="2:10">
      <c r="B11232" s="1230" t="s">
        <v>451</v>
      </c>
      <c r="C11232" s="132" t="s">
        <v>2236</v>
      </c>
      <c r="D11232" s="255">
        <v>17143</v>
      </c>
      <c r="E11232" s="553">
        <v>376.37</v>
      </c>
      <c r="F11232" s="553">
        <v>4767.2700000000004</v>
      </c>
      <c r="G11232" s="553">
        <v>989.65</v>
      </c>
      <c r="H11232" s="553">
        <v>469.17</v>
      </c>
      <c r="I11232" s="553">
        <v>2870.51</v>
      </c>
      <c r="J11232" s="647">
        <v>2562.71</v>
      </c>
    </row>
    <row r="11233" spans="2:10">
      <c r="B11233" s="1230" t="s">
        <v>451</v>
      </c>
      <c r="C11233" s="132" t="s">
        <v>1771</v>
      </c>
      <c r="D11233" s="255">
        <v>17145</v>
      </c>
      <c r="E11233" s="553">
        <v>223.1</v>
      </c>
      <c r="F11233" s="553">
        <v>2837.33</v>
      </c>
      <c r="G11233" s="553">
        <v>710.54</v>
      </c>
      <c r="H11233" s="553">
        <v>278.99</v>
      </c>
      <c r="I11233" s="553">
        <v>2502.2800000000002</v>
      </c>
      <c r="J11233" s="647">
        <v>1987.03</v>
      </c>
    </row>
    <row r="11234" spans="2:10">
      <c r="B11234" s="1230" t="s">
        <v>451</v>
      </c>
      <c r="C11234" s="132" t="s">
        <v>2237</v>
      </c>
      <c r="D11234" s="255">
        <v>17147</v>
      </c>
      <c r="E11234" s="553">
        <v>257.08999999999997</v>
      </c>
      <c r="F11234" s="553">
        <v>3100.15</v>
      </c>
      <c r="G11234" s="553">
        <v>727.42</v>
      </c>
      <c r="H11234" s="553">
        <v>306.23</v>
      </c>
      <c r="I11234" s="553">
        <v>2887.71</v>
      </c>
      <c r="J11234" s="647">
        <v>2118.58</v>
      </c>
    </row>
    <row r="11235" spans="2:10">
      <c r="B11235" s="1230" t="s">
        <v>451</v>
      </c>
      <c r="C11235" s="132" t="s">
        <v>1773</v>
      </c>
      <c r="D11235" s="255">
        <v>17149</v>
      </c>
      <c r="E11235" s="553">
        <v>245.03</v>
      </c>
      <c r="F11235" s="553">
        <v>3095.77</v>
      </c>
      <c r="G11235" s="553">
        <v>781.41</v>
      </c>
      <c r="H11235" s="553">
        <v>304.58</v>
      </c>
      <c r="I11235" s="553">
        <v>2143.21</v>
      </c>
      <c r="J11235" s="647">
        <v>2188.09</v>
      </c>
    </row>
    <row r="11236" spans="2:10">
      <c r="B11236" s="1230" t="s">
        <v>451</v>
      </c>
      <c r="C11236" s="132" t="s">
        <v>1868</v>
      </c>
      <c r="D11236" s="255">
        <v>17151</v>
      </c>
      <c r="E11236" s="553">
        <v>241.77</v>
      </c>
      <c r="F11236" s="553">
        <v>3301.18</v>
      </c>
      <c r="G11236" s="553">
        <v>492.66</v>
      </c>
      <c r="H11236" s="553">
        <v>322.98</v>
      </c>
      <c r="I11236" s="553">
        <v>2119.2199999999998</v>
      </c>
      <c r="J11236" s="647">
        <v>2008.62</v>
      </c>
    </row>
    <row r="11237" spans="2:10">
      <c r="B11237" s="1230" t="s">
        <v>451</v>
      </c>
      <c r="C11237" s="132" t="s">
        <v>1870</v>
      </c>
      <c r="D11237" s="255">
        <v>17153</v>
      </c>
      <c r="E11237" s="553">
        <v>216.61</v>
      </c>
      <c r="F11237" s="553">
        <v>2680.06</v>
      </c>
      <c r="G11237" s="553">
        <v>485.88</v>
      </c>
      <c r="H11237" s="553">
        <v>264.11</v>
      </c>
      <c r="I11237" s="553">
        <v>1953.27</v>
      </c>
      <c r="J11237" s="647">
        <v>1834.88</v>
      </c>
    </row>
    <row r="11238" spans="2:10">
      <c r="B11238" s="1230" t="s">
        <v>451</v>
      </c>
      <c r="C11238" s="132" t="s">
        <v>2043</v>
      </c>
      <c r="D11238" s="255">
        <v>17155</v>
      </c>
      <c r="E11238" s="553">
        <v>312.95999999999998</v>
      </c>
      <c r="F11238" s="553">
        <v>3678.39</v>
      </c>
      <c r="G11238" s="553">
        <v>751.48</v>
      </c>
      <c r="H11238" s="553">
        <v>364.01</v>
      </c>
      <c r="I11238" s="553">
        <v>4456.49</v>
      </c>
      <c r="J11238" s="647">
        <v>2150.4699999999998</v>
      </c>
    </row>
    <row r="11239" spans="2:10">
      <c r="B11239" s="1230" t="s">
        <v>451</v>
      </c>
      <c r="C11239" s="132" t="s">
        <v>1774</v>
      </c>
      <c r="D11239" s="255">
        <v>17157</v>
      </c>
      <c r="E11239" s="553">
        <v>867.3</v>
      </c>
      <c r="F11239" s="553">
        <v>11236.5</v>
      </c>
      <c r="G11239" s="553">
        <v>2401.4</v>
      </c>
      <c r="H11239" s="553">
        <v>1102.6600000000001</v>
      </c>
      <c r="I11239" s="553">
        <v>2635.29</v>
      </c>
      <c r="J11239" s="647">
        <v>4554.2</v>
      </c>
    </row>
    <row r="11240" spans="2:10">
      <c r="B11240" s="1230" t="s">
        <v>451</v>
      </c>
      <c r="C11240" s="132" t="s">
        <v>2238</v>
      </c>
      <c r="D11240" s="255">
        <v>17159</v>
      </c>
      <c r="E11240" s="553">
        <v>174.5</v>
      </c>
      <c r="F11240" s="553">
        <v>2202.1999999999998</v>
      </c>
      <c r="G11240" s="553">
        <v>480.01</v>
      </c>
      <c r="H11240" s="553">
        <v>216.66</v>
      </c>
      <c r="I11240" s="553">
        <v>1747.74</v>
      </c>
      <c r="J11240" s="647">
        <v>1721.82</v>
      </c>
    </row>
    <row r="11241" spans="2:10">
      <c r="B11241" s="1230" t="s">
        <v>451</v>
      </c>
      <c r="C11241" s="132" t="s">
        <v>2239</v>
      </c>
      <c r="D11241" s="255">
        <v>17161</v>
      </c>
      <c r="E11241" s="553">
        <v>465.62</v>
      </c>
      <c r="F11241" s="553">
        <v>5709.44</v>
      </c>
      <c r="G11241" s="553">
        <v>1137.77</v>
      </c>
      <c r="H11241" s="553">
        <v>563.41</v>
      </c>
      <c r="I11241" s="553">
        <v>2004.44</v>
      </c>
      <c r="J11241" s="647">
        <v>2678.64</v>
      </c>
    </row>
    <row r="11242" spans="2:10">
      <c r="B11242" s="1230" t="s">
        <v>451</v>
      </c>
      <c r="C11242" s="132" t="s">
        <v>1776</v>
      </c>
      <c r="D11242" s="255">
        <v>17163</v>
      </c>
      <c r="E11242" s="553">
        <v>597.61</v>
      </c>
      <c r="F11242" s="553">
        <v>7204.76</v>
      </c>
      <c r="G11242" s="553">
        <v>1028.51</v>
      </c>
      <c r="H11242" s="553">
        <v>711.16</v>
      </c>
      <c r="I11242" s="553">
        <v>16468.09</v>
      </c>
      <c r="J11242" s="647">
        <v>2651.46</v>
      </c>
    </row>
    <row r="11243" spans="2:10">
      <c r="B11243" s="1230" t="s">
        <v>451</v>
      </c>
      <c r="C11243" s="132" t="s">
        <v>1872</v>
      </c>
      <c r="D11243" s="255">
        <v>17165</v>
      </c>
      <c r="E11243" s="553">
        <v>181.23</v>
      </c>
      <c r="F11243" s="553">
        <v>2350.36</v>
      </c>
      <c r="G11243" s="553">
        <v>465.68</v>
      </c>
      <c r="H11243" s="553">
        <v>230.75</v>
      </c>
      <c r="I11243" s="553">
        <v>2746.42</v>
      </c>
      <c r="J11243" s="647">
        <v>1736.85</v>
      </c>
    </row>
    <row r="11244" spans="2:10">
      <c r="B11244" s="1230" t="s">
        <v>451</v>
      </c>
      <c r="C11244" s="132" t="s">
        <v>2240</v>
      </c>
      <c r="D11244" s="255">
        <v>17167</v>
      </c>
      <c r="E11244" s="553">
        <v>323.08999999999997</v>
      </c>
      <c r="F11244" s="553">
        <v>4009.78</v>
      </c>
      <c r="G11244" s="553">
        <v>919.38</v>
      </c>
      <c r="H11244" s="553">
        <v>395.16</v>
      </c>
      <c r="I11244" s="553">
        <v>2565.19</v>
      </c>
      <c r="J11244" s="647">
        <v>2496.1999999999998</v>
      </c>
    </row>
    <row r="11245" spans="2:10">
      <c r="B11245" s="1230" t="s">
        <v>451</v>
      </c>
      <c r="C11245" s="132" t="s">
        <v>2241</v>
      </c>
      <c r="D11245" s="255">
        <v>17169</v>
      </c>
      <c r="E11245" s="553">
        <v>219.02</v>
      </c>
      <c r="F11245" s="553">
        <v>2619.61</v>
      </c>
      <c r="G11245" s="553">
        <v>677.71</v>
      </c>
      <c r="H11245" s="553">
        <v>258.83</v>
      </c>
      <c r="I11245" s="553">
        <v>2160.71</v>
      </c>
      <c r="J11245" s="647">
        <v>2000.15</v>
      </c>
    </row>
    <row r="11246" spans="2:10">
      <c r="B11246" s="1230" t="s">
        <v>451</v>
      </c>
      <c r="C11246" s="132" t="s">
        <v>1873</v>
      </c>
      <c r="D11246" s="255">
        <v>17171</v>
      </c>
      <c r="E11246" s="553">
        <v>259.67</v>
      </c>
      <c r="F11246" s="553">
        <v>3207.83</v>
      </c>
      <c r="G11246" s="553">
        <v>795.35</v>
      </c>
      <c r="H11246" s="553">
        <v>316.14</v>
      </c>
      <c r="I11246" s="553">
        <v>2455.13</v>
      </c>
      <c r="J11246" s="647">
        <v>2149.81</v>
      </c>
    </row>
    <row r="11247" spans="2:10">
      <c r="B11247" s="1230" t="s">
        <v>451</v>
      </c>
      <c r="C11247" s="132" t="s">
        <v>1777</v>
      </c>
      <c r="D11247" s="255">
        <v>17173</v>
      </c>
      <c r="E11247" s="553">
        <v>239.09</v>
      </c>
      <c r="F11247" s="553">
        <v>3013.51</v>
      </c>
      <c r="G11247" s="553">
        <v>665.73</v>
      </c>
      <c r="H11247" s="553">
        <v>296.61</v>
      </c>
      <c r="I11247" s="553">
        <v>2341.31</v>
      </c>
      <c r="J11247" s="647">
        <v>2159.8000000000002</v>
      </c>
    </row>
    <row r="11248" spans="2:10">
      <c r="B11248" s="1230" t="s">
        <v>451</v>
      </c>
      <c r="C11248" s="132" t="s">
        <v>2242</v>
      </c>
      <c r="D11248" s="255">
        <v>17175</v>
      </c>
      <c r="E11248" s="553">
        <v>231.12</v>
      </c>
      <c r="F11248" s="553">
        <v>2795.81</v>
      </c>
      <c r="G11248" s="553">
        <v>791.64</v>
      </c>
      <c r="H11248" s="553">
        <v>276.07</v>
      </c>
      <c r="I11248" s="553">
        <v>2455</v>
      </c>
      <c r="J11248" s="647">
        <v>1997.67</v>
      </c>
    </row>
    <row r="11249" spans="2:10">
      <c r="B11249" s="1230" t="s">
        <v>451</v>
      </c>
      <c r="C11249" s="132" t="s">
        <v>2243</v>
      </c>
      <c r="D11249" s="255">
        <v>17177</v>
      </c>
      <c r="E11249" s="553">
        <v>301.98</v>
      </c>
      <c r="F11249" s="553">
        <v>3611.97</v>
      </c>
      <c r="G11249" s="553">
        <v>853.67</v>
      </c>
      <c r="H11249" s="553">
        <v>357</v>
      </c>
      <c r="I11249" s="553">
        <v>2833.12</v>
      </c>
      <c r="J11249" s="647">
        <v>2178.3000000000002</v>
      </c>
    </row>
    <row r="11250" spans="2:10">
      <c r="B11250" s="1230" t="s">
        <v>451</v>
      </c>
      <c r="C11250" s="132" t="s">
        <v>2244</v>
      </c>
      <c r="D11250" s="255">
        <v>17179</v>
      </c>
      <c r="E11250" s="553">
        <v>397.86</v>
      </c>
      <c r="F11250" s="553">
        <v>5015.53</v>
      </c>
      <c r="G11250" s="553">
        <v>1055.32</v>
      </c>
      <c r="H11250" s="553">
        <v>493.73</v>
      </c>
      <c r="I11250" s="553">
        <v>3079.86</v>
      </c>
      <c r="J11250" s="647">
        <v>2653.72</v>
      </c>
    </row>
    <row r="11251" spans="2:10">
      <c r="B11251" s="1230" t="s">
        <v>451</v>
      </c>
      <c r="C11251" s="132" t="s">
        <v>1879</v>
      </c>
      <c r="D11251" s="255">
        <v>17181</v>
      </c>
      <c r="E11251" s="553">
        <v>183.78</v>
      </c>
      <c r="F11251" s="553">
        <v>2385.62</v>
      </c>
      <c r="G11251" s="553">
        <v>478.41</v>
      </c>
      <c r="H11251" s="553">
        <v>234.18</v>
      </c>
      <c r="I11251" s="553">
        <v>2282.0300000000002</v>
      </c>
      <c r="J11251" s="647">
        <v>1782.11</v>
      </c>
    </row>
    <row r="11252" spans="2:10">
      <c r="B11252" s="1230" t="s">
        <v>451</v>
      </c>
      <c r="C11252" s="132" t="s">
        <v>2245</v>
      </c>
      <c r="D11252" s="255">
        <v>17183</v>
      </c>
      <c r="E11252" s="553">
        <v>335.57</v>
      </c>
      <c r="F11252" s="553">
        <v>4123.28</v>
      </c>
      <c r="G11252" s="553">
        <v>747.31</v>
      </c>
      <c r="H11252" s="553">
        <v>406.61</v>
      </c>
      <c r="I11252" s="553">
        <v>2984.17</v>
      </c>
      <c r="J11252" s="647">
        <v>2530.2399999999998</v>
      </c>
    </row>
    <row r="11253" spans="2:10">
      <c r="B11253" s="1230" t="s">
        <v>451</v>
      </c>
      <c r="C11253" s="132" t="s">
        <v>2246</v>
      </c>
      <c r="D11253" s="255">
        <v>17185</v>
      </c>
      <c r="E11253" s="553">
        <v>260.93</v>
      </c>
      <c r="F11253" s="553">
        <v>3271.84</v>
      </c>
      <c r="G11253" s="553">
        <v>547.63</v>
      </c>
      <c r="H11253" s="553">
        <v>322.27999999999997</v>
      </c>
      <c r="I11253" s="553">
        <v>1756.54</v>
      </c>
      <c r="J11253" s="647">
        <v>1997.59</v>
      </c>
    </row>
    <row r="11254" spans="2:10">
      <c r="B11254" s="1230" t="s">
        <v>451</v>
      </c>
      <c r="C11254" s="132" t="s">
        <v>2154</v>
      </c>
      <c r="D11254" s="255">
        <v>17187</v>
      </c>
      <c r="E11254" s="553">
        <v>235.18</v>
      </c>
      <c r="F11254" s="553">
        <v>2989.96</v>
      </c>
      <c r="G11254" s="553">
        <v>724.07</v>
      </c>
      <c r="H11254" s="553">
        <v>294.08999999999997</v>
      </c>
      <c r="I11254" s="553">
        <v>1744.08</v>
      </c>
      <c r="J11254" s="647">
        <v>2063.39</v>
      </c>
    </row>
    <row r="11255" spans="2:10">
      <c r="B11255" s="1230" t="s">
        <v>451</v>
      </c>
      <c r="C11255" s="132" t="s">
        <v>487</v>
      </c>
      <c r="D11255" s="255">
        <v>17189</v>
      </c>
      <c r="E11255" s="553">
        <v>238.31</v>
      </c>
      <c r="F11255" s="553">
        <v>2969.31</v>
      </c>
      <c r="G11255" s="553">
        <v>749.33</v>
      </c>
      <c r="H11255" s="553">
        <v>292.43</v>
      </c>
      <c r="I11255" s="553">
        <v>2640.02</v>
      </c>
      <c r="J11255" s="647">
        <v>1996.9</v>
      </c>
    </row>
    <row r="11256" spans="2:10">
      <c r="B11256" s="1230" t="s">
        <v>451</v>
      </c>
      <c r="C11256" s="132" t="s">
        <v>2155</v>
      </c>
      <c r="D11256" s="255">
        <v>17191</v>
      </c>
      <c r="E11256" s="553">
        <v>190.49</v>
      </c>
      <c r="F11256" s="553">
        <v>2410.15</v>
      </c>
      <c r="G11256" s="553">
        <v>513.12</v>
      </c>
      <c r="H11256" s="553">
        <v>237.09</v>
      </c>
      <c r="I11256" s="553">
        <v>2209.06</v>
      </c>
      <c r="J11256" s="647">
        <v>1808.2</v>
      </c>
    </row>
    <row r="11257" spans="2:10">
      <c r="B11257" s="1230" t="s">
        <v>451</v>
      </c>
      <c r="C11257" s="132" t="s">
        <v>1881</v>
      </c>
      <c r="D11257" s="255">
        <v>17193</v>
      </c>
      <c r="E11257" s="553">
        <v>201.89</v>
      </c>
      <c r="F11257" s="553">
        <v>2535.87</v>
      </c>
      <c r="G11257" s="553">
        <v>505.79</v>
      </c>
      <c r="H11257" s="553">
        <v>249.58</v>
      </c>
      <c r="I11257" s="553">
        <v>1777.32</v>
      </c>
      <c r="J11257" s="647">
        <v>1849.26</v>
      </c>
    </row>
    <row r="11258" spans="2:10">
      <c r="B11258" s="1230" t="s">
        <v>451</v>
      </c>
      <c r="C11258" s="132" t="s">
        <v>2247</v>
      </c>
      <c r="D11258" s="255">
        <v>17195</v>
      </c>
      <c r="E11258" s="553">
        <v>337.06</v>
      </c>
      <c r="F11258" s="553">
        <v>4243.1499999999996</v>
      </c>
      <c r="G11258" s="553">
        <v>985.2</v>
      </c>
      <c r="H11258" s="553">
        <v>417.83</v>
      </c>
      <c r="I11258" s="553">
        <v>2808.31</v>
      </c>
      <c r="J11258" s="647">
        <v>2426.9899999999998</v>
      </c>
    </row>
    <row r="11259" spans="2:10">
      <c r="B11259" s="1230" t="s">
        <v>451</v>
      </c>
      <c r="C11259" s="132" t="s">
        <v>2248</v>
      </c>
      <c r="D11259" s="255">
        <v>17197</v>
      </c>
      <c r="E11259" s="553">
        <v>3731.1</v>
      </c>
      <c r="F11259" s="553">
        <v>39751.129999999997</v>
      </c>
      <c r="G11259" s="553">
        <v>408.67</v>
      </c>
      <c r="H11259" s="553">
        <v>3964.82</v>
      </c>
      <c r="I11259" s="553">
        <v>175875.72</v>
      </c>
      <c r="J11259" s="647">
        <v>5513.41</v>
      </c>
    </row>
    <row r="11260" spans="2:10">
      <c r="B11260" s="1230" t="s">
        <v>451</v>
      </c>
      <c r="C11260" s="132" t="s">
        <v>2249</v>
      </c>
      <c r="D11260" s="255">
        <v>17199</v>
      </c>
      <c r="E11260" s="553">
        <v>247.91</v>
      </c>
      <c r="F11260" s="553">
        <v>3340.88</v>
      </c>
      <c r="G11260" s="553">
        <v>516.5</v>
      </c>
      <c r="H11260" s="553">
        <v>327.11</v>
      </c>
      <c r="I11260" s="553">
        <v>4351.17</v>
      </c>
      <c r="J11260" s="647">
        <v>1981.4</v>
      </c>
    </row>
    <row r="11261" spans="2:10">
      <c r="B11261" s="1230" t="s">
        <v>451</v>
      </c>
      <c r="C11261" s="132" t="s">
        <v>2250</v>
      </c>
      <c r="D11261" s="255">
        <v>17201</v>
      </c>
      <c r="E11261" s="553">
        <v>570.35</v>
      </c>
      <c r="F11261" s="553">
        <v>6652.24</v>
      </c>
      <c r="G11261" s="553">
        <v>1140.42</v>
      </c>
      <c r="H11261" s="553">
        <v>658.84</v>
      </c>
      <c r="I11261" s="553">
        <v>5744.35</v>
      </c>
      <c r="J11261" s="647">
        <v>2897.97</v>
      </c>
    </row>
    <row r="11262" spans="2:10">
      <c r="B11262" s="1230" t="s">
        <v>451</v>
      </c>
      <c r="C11262" s="132" t="s">
        <v>2251</v>
      </c>
      <c r="D11262" s="255">
        <v>17203</v>
      </c>
      <c r="E11262" s="553">
        <v>288.14999999999998</v>
      </c>
      <c r="F11262" s="553">
        <v>3446.48</v>
      </c>
      <c r="G11262" s="553">
        <v>782.69</v>
      </c>
      <c r="H11262" s="553">
        <v>340.61</v>
      </c>
      <c r="I11262" s="553">
        <v>4095.5</v>
      </c>
      <c r="J11262" s="647">
        <v>2121.5500000000002</v>
      </c>
    </row>
    <row r="11263" spans="2:10">
      <c r="B11263" s="1230" t="s">
        <v>452</v>
      </c>
      <c r="C11263" s="132" t="s">
        <v>1940</v>
      </c>
      <c r="D11263" s="255">
        <v>18001</v>
      </c>
      <c r="E11263" s="553">
        <v>388.24</v>
      </c>
      <c r="F11263" s="553">
        <v>4839.58</v>
      </c>
      <c r="G11263" s="553">
        <v>767.21</v>
      </c>
      <c r="H11263" s="553">
        <v>476.85</v>
      </c>
      <c r="I11263" s="553">
        <v>2452.6999999999998</v>
      </c>
      <c r="J11263" s="647">
        <v>2924.68</v>
      </c>
    </row>
    <row r="11264" spans="2:10">
      <c r="B11264" s="1230" t="s">
        <v>452</v>
      </c>
      <c r="C11264" s="132" t="s">
        <v>2252</v>
      </c>
      <c r="D11264" s="255">
        <v>18003</v>
      </c>
      <c r="E11264" s="553">
        <v>594.86</v>
      </c>
      <c r="F11264" s="553">
        <v>7392.91</v>
      </c>
      <c r="G11264" s="553">
        <v>940.18</v>
      </c>
      <c r="H11264" s="553">
        <v>728.52</v>
      </c>
      <c r="I11264" s="553">
        <v>2478.2399999999998</v>
      </c>
      <c r="J11264" s="647">
        <v>3895.33</v>
      </c>
    </row>
    <row r="11265" spans="2:10">
      <c r="B11265" s="1230" t="s">
        <v>452</v>
      </c>
      <c r="C11265" s="132" t="s">
        <v>2253</v>
      </c>
      <c r="D11265" s="255">
        <v>18005</v>
      </c>
      <c r="E11265" s="553">
        <v>492.91</v>
      </c>
      <c r="F11265" s="553">
        <v>5912.52</v>
      </c>
      <c r="G11265" s="553">
        <v>729.7</v>
      </c>
      <c r="H11265" s="553">
        <v>584.14</v>
      </c>
      <c r="I11265" s="553">
        <v>4938.97</v>
      </c>
      <c r="J11265" s="647">
        <v>3210.25</v>
      </c>
    </row>
    <row r="11266" spans="2:10">
      <c r="B11266" s="1230" t="s">
        <v>452</v>
      </c>
      <c r="C11266" s="132" t="s">
        <v>1832</v>
      </c>
      <c r="D11266" s="255">
        <v>18007</v>
      </c>
      <c r="E11266" s="553">
        <v>278.37</v>
      </c>
      <c r="F11266" s="553">
        <v>3318.07</v>
      </c>
      <c r="G11266" s="553">
        <v>639.35</v>
      </c>
      <c r="H11266" s="553">
        <v>327.95</v>
      </c>
      <c r="I11266" s="553">
        <v>4466.74</v>
      </c>
      <c r="J11266" s="647">
        <v>2165.8200000000002</v>
      </c>
    </row>
    <row r="11267" spans="2:10">
      <c r="B11267" s="1230" t="s">
        <v>452</v>
      </c>
      <c r="C11267" s="132" t="s">
        <v>2254</v>
      </c>
      <c r="D11267" s="255">
        <v>18009</v>
      </c>
      <c r="E11267" s="553">
        <v>351.5</v>
      </c>
      <c r="F11267" s="553">
        <v>4345.16</v>
      </c>
      <c r="G11267" s="553">
        <v>682.06</v>
      </c>
      <c r="H11267" s="553">
        <v>428.35</v>
      </c>
      <c r="I11267" s="553">
        <v>2560.06</v>
      </c>
      <c r="J11267" s="647">
        <v>2778.29</v>
      </c>
    </row>
    <row r="11268" spans="2:10">
      <c r="B11268" s="1230" t="s">
        <v>452</v>
      </c>
      <c r="C11268" s="132" t="s">
        <v>1833</v>
      </c>
      <c r="D11268" s="255">
        <v>18011</v>
      </c>
      <c r="E11268" s="553">
        <v>628.02</v>
      </c>
      <c r="F11268" s="553">
        <v>7225.18</v>
      </c>
      <c r="G11268" s="553">
        <v>720.58</v>
      </c>
      <c r="H11268" s="553">
        <v>716.24</v>
      </c>
      <c r="I11268" s="553">
        <v>5276.85</v>
      </c>
      <c r="J11268" s="647">
        <v>3499.05</v>
      </c>
    </row>
    <row r="11269" spans="2:10">
      <c r="B11269" s="1230" t="s">
        <v>452</v>
      </c>
      <c r="C11269" s="132" t="s">
        <v>2200</v>
      </c>
      <c r="D11269" s="255">
        <v>18013</v>
      </c>
      <c r="E11269" s="553">
        <v>516.44000000000005</v>
      </c>
      <c r="F11269" s="553">
        <v>6117.48</v>
      </c>
      <c r="G11269" s="553">
        <v>550.15</v>
      </c>
      <c r="H11269" s="553">
        <v>605.01</v>
      </c>
      <c r="I11269" s="553">
        <v>8767.02</v>
      </c>
      <c r="J11269" s="647">
        <v>3076.2</v>
      </c>
    </row>
    <row r="11270" spans="2:10">
      <c r="B11270" s="1230" t="s">
        <v>452</v>
      </c>
      <c r="C11270" s="132" t="s">
        <v>1835</v>
      </c>
      <c r="D11270" s="255">
        <v>18015</v>
      </c>
      <c r="E11270" s="553">
        <v>407.53</v>
      </c>
      <c r="F11270" s="553">
        <v>5011.5</v>
      </c>
      <c r="G11270" s="553">
        <v>843.07</v>
      </c>
      <c r="H11270" s="553">
        <v>494.19</v>
      </c>
      <c r="I11270" s="553">
        <v>3242.03</v>
      </c>
      <c r="J11270" s="647">
        <v>2929.08</v>
      </c>
    </row>
    <row r="11271" spans="2:10">
      <c r="B11271" s="1230" t="s">
        <v>452</v>
      </c>
      <c r="C11271" s="132" t="s">
        <v>2202</v>
      </c>
      <c r="D11271" s="255">
        <v>18017</v>
      </c>
      <c r="E11271" s="553">
        <v>405.26</v>
      </c>
      <c r="F11271" s="553">
        <v>4981.6499999999996</v>
      </c>
      <c r="G11271" s="553">
        <v>782.25</v>
      </c>
      <c r="H11271" s="553">
        <v>491.3</v>
      </c>
      <c r="I11271" s="553">
        <v>2956.49</v>
      </c>
      <c r="J11271" s="647">
        <v>2975.35</v>
      </c>
    </row>
    <row r="11272" spans="2:10">
      <c r="B11272" s="1230" t="s">
        <v>452</v>
      </c>
      <c r="C11272" s="132" t="s">
        <v>1837</v>
      </c>
      <c r="D11272" s="255">
        <v>18019</v>
      </c>
      <c r="E11272" s="553">
        <v>1482.38</v>
      </c>
      <c r="F11272" s="553">
        <v>18146.97</v>
      </c>
      <c r="G11272" s="553">
        <v>539.25</v>
      </c>
      <c r="H11272" s="553">
        <v>1788.84</v>
      </c>
      <c r="I11272" s="553">
        <v>39946.65</v>
      </c>
      <c r="J11272" s="647">
        <v>4940.3</v>
      </c>
    </row>
    <row r="11273" spans="2:10">
      <c r="B11273" s="1230" t="s">
        <v>452</v>
      </c>
      <c r="C11273" s="132" t="s">
        <v>1732</v>
      </c>
      <c r="D11273" s="255">
        <v>18021</v>
      </c>
      <c r="E11273" s="553">
        <v>372.87</v>
      </c>
      <c r="F11273" s="553">
        <v>4706.16</v>
      </c>
      <c r="G11273" s="553">
        <v>652.45000000000005</v>
      </c>
      <c r="H11273" s="553">
        <v>463.27</v>
      </c>
      <c r="I11273" s="553">
        <v>3011.14</v>
      </c>
      <c r="J11273" s="647">
        <v>2519.33</v>
      </c>
    </row>
    <row r="11274" spans="2:10">
      <c r="B11274" s="1230" t="s">
        <v>452</v>
      </c>
      <c r="C11274" s="132" t="s">
        <v>2205</v>
      </c>
      <c r="D11274" s="255">
        <v>18023</v>
      </c>
      <c r="E11274" s="553">
        <v>468.07</v>
      </c>
      <c r="F11274" s="553">
        <v>5578.62</v>
      </c>
      <c r="G11274" s="553">
        <v>852.74</v>
      </c>
      <c r="H11274" s="553">
        <v>551.51</v>
      </c>
      <c r="I11274" s="553">
        <v>3696.98</v>
      </c>
      <c r="J11274" s="647">
        <v>3093.45</v>
      </c>
    </row>
    <row r="11275" spans="2:10">
      <c r="B11275" s="1230" t="s">
        <v>452</v>
      </c>
      <c r="C11275" s="132" t="s">
        <v>1842</v>
      </c>
      <c r="D11275" s="255">
        <v>18025</v>
      </c>
      <c r="E11275" s="553">
        <v>237.69</v>
      </c>
      <c r="F11275" s="553">
        <v>2918.46</v>
      </c>
      <c r="G11275" s="553">
        <v>398.79</v>
      </c>
      <c r="H11275" s="553">
        <v>287.69</v>
      </c>
      <c r="I11275" s="553">
        <v>2965.04</v>
      </c>
      <c r="J11275" s="647">
        <v>2039.94</v>
      </c>
    </row>
    <row r="11276" spans="2:10">
      <c r="B11276" s="1230" t="s">
        <v>452</v>
      </c>
      <c r="C11276" s="132" t="s">
        <v>2255</v>
      </c>
      <c r="D11276" s="255">
        <v>18027</v>
      </c>
      <c r="E11276" s="553">
        <v>248.43</v>
      </c>
      <c r="F11276" s="553">
        <v>3165.51</v>
      </c>
      <c r="G11276" s="553">
        <v>551.28</v>
      </c>
      <c r="H11276" s="553">
        <v>311.23</v>
      </c>
      <c r="I11276" s="553">
        <v>2201.4899999999998</v>
      </c>
      <c r="J11276" s="647">
        <v>2021.97</v>
      </c>
    </row>
    <row r="11277" spans="2:10">
      <c r="B11277" s="1230" t="s">
        <v>452</v>
      </c>
      <c r="C11277" s="132" t="s">
        <v>2256</v>
      </c>
      <c r="D11277" s="255">
        <v>18029</v>
      </c>
      <c r="E11277" s="553">
        <v>713.97</v>
      </c>
      <c r="F11277" s="553">
        <v>8164.25</v>
      </c>
      <c r="G11277" s="553">
        <v>537.75</v>
      </c>
      <c r="H11277" s="553">
        <v>809.47</v>
      </c>
      <c r="I11277" s="553">
        <v>13537.38</v>
      </c>
      <c r="J11277" s="647">
        <v>3360.1</v>
      </c>
    </row>
    <row r="11278" spans="2:10">
      <c r="B11278" s="1230" t="s">
        <v>452</v>
      </c>
      <c r="C11278" s="132" t="s">
        <v>2085</v>
      </c>
      <c r="D11278" s="255">
        <v>18031</v>
      </c>
      <c r="E11278" s="553">
        <v>409.76</v>
      </c>
      <c r="F11278" s="553">
        <v>4951.47</v>
      </c>
      <c r="G11278" s="553">
        <v>673.8</v>
      </c>
      <c r="H11278" s="553">
        <v>488.89</v>
      </c>
      <c r="I11278" s="553">
        <v>4850.28</v>
      </c>
      <c r="J11278" s="647">
        <v>2930.32</v>
      </c>
    </row>
    <row r="11279" spans="2:10">
      <c r="B11279" s="1230" t="s">
        <v>452</v>
      </c>
      <c r="C11279" s="132" t="s">
        <v>1743</v>
      </c>
      <c r="D11279" s="255">
        <v>18033</v>
      </c>
      <c r="E11279" s="553">
        <v>392.12</v>
      </c>
      <c r="F11279" s="553">
        <v>4802.93</v>
      </c>
      <c r="G11279" s="553">
        <v>680.38</v>
      </c>
      <c r="H11279" s="553">
        <v>473.87</v>
      </c>
      <c r="I11279" s="553">
        <v>2774.83</v>
      </c>
      <c r="J11279" s="647">
        <v>2825.39</v>
      </c>
    </row>
    <row r="11280" spans="2:10">
      <c r="B11280" s="1230" t="s">
        <v>452</v>
      </c>
      <c r="C11280" s="132" t="s">
        <v>443</v>
      </c>
      <c r="D11280" s="255">
        <v>18035</v>
      </c>
      <c r="E11280" s="553">
        <v>611.32000000000005</v>
      </c>
      <c r="F11280" s="553">
        <v>7783.92</v>
      </c>
      <c r="G11280" s="553">
        <v>988.01</v>
      </c>
      <c r="H11280" s="553">
        <v>765.62</v>
      </c>
      <c r="I11280" s="553">
        <v>2726.32</v>
      </c>
      <c r="J11280" s="647">
        <v>3730.72</v>
      </c>
    </row>
    <row r="11281" spans="2:10">
      <c r="B11281" s="1230" t="s">
        <v>452</v>
      </c>
      <c r="C11281" s="132" t="s">
        <v>2257</v>
      </c>
      <c r="D11281" s="255">
        <v>18037</v>
      </c>
      <c r="E11281" s="553">
        <v>220.37</v>
      </c>
      <c r="F11281" s="553">
        <v>2770.73</v>
      </c>
      <c r="G11281" s="553">
        <v>488.27</v>
      </c>
      <c r="H11281" s="553">
        <v>272.73</v>
      </c>
      <c r="I11281" s="553">
        <v>2319.3200000000002</v>
      </c>
      <c r="J11281" s="647">
        <v>1948.25</v>
      </c>
    </row>
    <row r="11282" spans="2:10">
      <c r="B11282" s="1230" t="s">
        <v>452</v>
      </c>
      <c r="C11282" s="132" t="s">
        <v>2258</v>
      </c>
      <c r="D11282" s="255">
        <v>18039</v>
      </c>
      <c r="E11282" s="553">
        <v>410.75</v>
      </c>
      <c r="F11282" s="553">
        <v>5181</v>
      </c>
      <c r="G11282" s="553">
        <v>645.17999999999995</v>
      </c>
      <c r="H11282" s="553">
        <v>509.95</v>
      </c>
      <c r="I11282" s="553">
        <v>2586.5700000000002</v>
      </c>
      <c r="J11282" s="647">
        <v>2944.01</v>
      </c>
    </row>
    <row r="11283" spans="2:10">
      <c r="B11283" s="1230" t="s">
        <v>452</v>
      </c>
      <c r="C11283" s="132" t="s">
        <v>1747</v>
      </c>
      <c r="D11283" s="255">
        <v>18041</v>
      </c>
      <c r="E11283" s="553">
        <v>429.11</v>
      </c>
      <c r="F11283" s="553">
        <v>5207.28</v>
      </c>
      <c r="G11283" s="553">
        <v>633.44000000000005</v>
      </c>
      <c r="H11283" s="553">
        <v>513.96</v>
      </c>
      <c r="I11283" s="553">
        <v>4622.3500000000004</v>
      </c>
      <c r="J11283" s="647">
        <v>2919.48</v>
      </c>
    </row>
    <row r="11284" spans="2:10">
      <c r="B11284" s="1230" t="s">
        <v>452</v>
      </c>
      <c r="C11284" s="132" t="s">
        <v>2095</v>
      </c>
      <c r="D11284" s="255">
        <v>18043</v>
      </c>
      <c r="E11284" s="553">
        <v>637.27</v>
      </c>
      <c r="F11284" s="553">
        <v>7594.25</v>
      </c>
      <c r="G11284" s="553">
        <v>590.65</v>
      </c>
      <c r="H11284" s="553">
        <v>750.2</v>
      </c>
      <c r="I11284" s="553">
        <v>10314.06</v>
      </c>
      <c r="J11284" s="647">
        <v>3199.66</v>
      </c>
    </row>
    <row r="11285" spans="2:10">
      <c r="B11285" s="1230" t="s">
        <v>452</v>
      </c>
      <c r="C11285" s="132" t="s">
        <v>2259</v>
      </c>
      <c r="D11285" s="255">
        <v>18045</v>
      </c>
      <c r="E11285" s="553">
        <v>279.47000000000003</v>
      </c>
      <c r="F11285" s="553">
        <v>3369.61</v>
      </c>
      <c r="G11285" s="553">
        <v>560.30999999999995</v>
      </c>
      <c r="H11285" s="553">
        <v>332.69</v>
      </c>
      <c r="I11285" s="553">
        <v>3312.02</v>
      </c>
      <c r="J11285" s="647">
        <v>2191.79</v>
      </c>
    </row>
    <row r="11286" spans="2:10">
      <c r="B11286" s="1230" t="s">
        <v>452</v>
      </c>
      <c r="C11286" s="132" t="s">
        <v>1748</v>
      </c>
      <c r="D11286" s="255">
        <v>18047</v>
      </c>
      <c r="E11286" s="553">
        <v>557.44000000000005</v>
      </c>
      <c r="F11286" s="553">
        <v>6620.09</v>
      </c>
      <c r="G11286" s="553">
        <v>615.03</v>
      </c>
      <c r="H11286" s="553">
        <v>654.52</v>
      </c>
      <c r="I11286" s="553">
        <v>8346.06</v>
      </c>
      <c r="J11286" s="647">
        <v>3234.13</v>
      </c>
    </row>
    <row r="11287" spans="2:10">
      <c r="B11287" s="1230" t="s">
        <v>452</v>
      </c>
      <c r="C11287" s="132" t="s">
        <v>1848</v>
      </c>
      <c r="D11287" s="255">
        <v>18049</v>
      </c>
      <c r="E11287" s="553">
        <v>332.93</v>
      </c>
      <c r="F11287" s="553">
        <v>4149.2700000000004</v>
      </c>
      <c r="G11287" s="553">
        <v>708.42</v>
      </c>
      <c r="H11287" s="553">
        <v>408.73</v>
      </c>
      <c r="I11287" s="553">
        <v>2871.91</v>
      </c>
      <c r="J11287" s="647">
        <v>2755.06</v>
      </c>
    </row>
    <row r="11288" spans="2:10">
      <c r="B11288" s="1230" t="s">
        <v>452</v>
      </c>
      <c r="C11288" s="132" t="s">
        <v>2260</v>
      </c>
      <c r="D11288" s="255">
        <v>18051</v>
      </c>
      <c r="E11288" s="553">
        <v>233.09</v>
      </c>
      <c r="F11288" s="553">
        <v>2934.16</v>
      </c>
      <c r="G11288" s="553">
        <v>561.98</v>
      </c>
      <c r="H11288" s="553">
        <v>288.74</v>
      </c>
      <c r="I11288" s="553">
        <v>1786.25</v>
      </c>
      <c r="J11288" s="647">
        <v>1948.24</v>
      </c>
    </row>
    <row r="11289" spans="2:10">
      <c r="B11289" s="1230" t="s">
        <v>452</v>
      </c>
      <c r="C11289" s="132" t="s">
        <v>1850</v>
      </c>
      <c r="D11289" s="255">
        <v>18053</v>
      </c>
      <c r="E11289" s="553">
        <v>407.73</v>
      </c>
      <c r="F11289" s="553">
        <v>5236.75</v>
      </c>
      <c r="G11289" s="553">
        <v>796.98</v>
      </c>
      <c r="H11289" s="553">
        <v>514.84</v>
      </c>
      <c r="I11289" s="553">
        <v>2678.99</v>
      </c>
      <c r="J11289" s="647">
        <v>3027.11</v>
      </c>
    </row>
    <row r="11290" spans="2:10">
      <c r="B11290" s="1230" t="s">
        <v>452</v>
      </c>
      <c r="C11290" s="132" t="s">
        <v>1750</v>
      </c>
      <c r="D11290" s="255">
        <v>18055</v>
      </c>
      <c r="E11290" s="553">
        <v>309.43</v>
      </c>
      <c r="F11290" s="553">
        <v>3834.96</v>
      </c>
      <c r="G11290" s="553">
        <v>605.48</v>
      </c>
      <c r="H11290" s="553">
        <v>377.87</v>
      </c>
      <c r="I11290" s="553">
        <v>3123.41</v>
      </c>
      <c r="J11290" s="647">
        <v>2590.2399999999998</v>
      </c>
    </row>
    <row r="11291" spans="2:10">
      <c r="B11291" s="1230" t="s">
        <v>452</v>
      </c>
      <c r="C11291" s="132" t="s">
        <v>2023</v>
      </c>
      <c r="D11291" s="255">
        <v>18057</v>
      </c>
      <c r="E11291" s="553">
        <v>816.49</v>
      </c>
      <c r="F11291" s="553">
        <v>9279.06</v>
      </c>
      <c r="G11291" s="553">
        <v>1012.04</v>
      </c>
      <c r="H11291" s="553">
        <v>920.67</v>
      </c>
      <c r="I11291" s="553">
        <v>5383.55</v>
      </c>
      <c r="J11291" s="647">
        <v>4038.35</v>
      </c>
    </row>
    <row r="11292" spans="2:10">
      <c r="B11292" s="1230" t="s">
        <v>452</v>
      </c>
      <c r="C11292" s="132" t="s">
        <v>2105</v>
      </c>
      <c r="D11292" s="255">
        <v>18059</v>
      </c>
      <c r="E11292" s="553">
        <v>507.14</v>
      </c>
      <c r="F11292" s="553">
        <v>5954.03</v>
      </c>
      <c r="G11292" s="553">
        <v>584.85</v>
      </c>
      <c r="H11292" s="553">
        <v>589.17999999999995</v>
      </c>
      <c r="I11292" s="553">
        <v>5454.07</v>
      </c>
      <c r="J11292" s="647">
        <v>3170.06</v>
      </c>
    </row>
    <row r="11293" spans="2:10">
      <c r="B11293" s="1230" t="s">
        <v>452</v>
      </c>
      <c r="C11293" s="132" t="s">
        <v>2261</v>
      </c>
      <c r="D11293" s="255">
        <v>18061</v>
      </c>
      <c r="E11293" s="553">
        <v>400.72</v>
      </c>
      <c r="F11293" s="553">
        <v>4838.91</v>
      </c>
      <c r="G11293" s="553">
        <v>491.61</v>
      </c>
      <c r="H11293" s="553">
        <v>477.62</v>
      </c>
      <c r="I11293" s="553">
        <v>5529.64</v>
      </c>
      <c r="J11293" s="647">
        <v>2471.39</v>
      </c>
    </row>
    <row r="11294" spans="2:10">
      <c r="B11294" s="1230" t="s">
        <v>452</v>
      </c>
      <c r="C11294" s="132" t="s">
        <v>2262</v>
      </c>
      <c r="D11294" s="255">
        <v>18063</v>
      </c>
      <c r="E11294" s="553">
        <v>796.79</v>
      </c>
      <c r="F11294" s="553">
        <v>9097.35</v>
      </c>
      <c r="G11294" s="553">
        <v>814.59</v>
      </c>
      <c r="H11294" s="553">
        <v>902.34</v>
      </c>
      <c r="I11294" s="553">
        <v>11059.5</v>
      </c>
      <c r="J11294" s="647">
        <v>3685.43</v>
      </c>
    </row>
    <row r="11295" spans="2:10">
      <c r="B11295" s="1230" t="s">
        <v>452</v>
      </c>
      <c r="C11295" s="132" t="s">
        <v>1752</v>
      </c>
      <c r="D11295" s="255">
        <v>18065</v>
      </c>
      <c r="E11295" s="553">
        <v>419.65</v>
      </c>
      <c r="F11295" s="553">
        <v>5277.93</v>
      </c>
      <c r="G11295" s="553">
        <v>752.91</v>
      </c>
      <c r="H11295" s="553">
        <v>519.53</v>
      </c>
      <c r="I11295" s="553">
        <v>3587.79</v>
      </c>
      <c r="J11295" s="647">
        <v>3100.25</v>
      </c>
    </row>
    <row r="11296" spans="2:10">
      <c r="B11296" s="1230" t="s">
        <v>452</v>
      </c>
      <c r="C11296" s="132" t="s">
        <v>1853</v>
      </c>
      <c r="D11296" s="255">
        <v>18067</v>
      </c>
      <c r="E11296" s="553">
        <v>459.68</v>
      </c>
      <c r="F11296" s="553">
        <v>5604.06</v>
      </c>
      <c r="G11296" s="553">
        <v>940.63</v>
      </c>
      <c r="H11296" s="553">
        <v>553.08000000000004</v>
      </c>
      <c r="I11296" s="553">
        <v>3308.13</v>
      </c>
      <c r="J11296" s="647">
        <v>3092.84</v>
      </c>
    </row>
    <row r="11297" spans="2:10">
      <c r="B11297" s="1230" t="s">
        <v>452</v>
      </c>
      <c r="C11297" s="132" t="s">
        <v>2263</v>
      </c>
      <c r="D11297" s="255">
        <v>18069</v>
      </c>
      <c r="E11297" s="553">
        <v>437.33</v>
      </c>
      <c r="F11297" s="553">
        <v>5553.29</v>
      </c>
      <c r="G11297" s="553">
        <v>828.48</v>
      </c>
      <c r="H11297" s="553">
        <v>546.36</v>
      </c>
      <c r="I11297" s="553">
        <v>2439.46</v>
      </c>
      <c r="J11297" s="647">
        <v>3111.67</v>
      </c>
    </row>
    <row r="11298" spans="2:10">
      <c r="B11298" s="1230" t="s">
        <v>452</v>
      </c>
      <c r="C11298" s="132" t="s">
        <v>1754</v>
      </c>
      <c r="D11298" s="255">
        <v>18071</v>
      </c>
      <c r="E11298" s="553">
        <v>450.07</v>
      </c>
      <c r="F11298" s="553">
        <v>5528.89</v>
      </c>
      <c r="G11298" s="553">
        <v>697.12</v>
      </c>
      <c r="H11298" s="553">
        <v>545.13</v>
      </c>
      <c r="I11298" s="553">
        <v>4230.34</v>
      </c>
      <c r="J11298" s="647">
        <v>3148.38</v>
      </c>
    </row>
    <row r="11299" spans="2:10">
      <c r="B11299" s="1230" t="s">
        <v>452</v>
      </c>
      <c r="C11299" s="132" t="s">
        <v>2111</v>
      </c>
      <c r="D11299" s="255">
        <v>18073</v>
      </c>
      <c r="E11299" s="553">
        <v>339.06</v>
      </c>
      <c r="F11299" s="553">
        <v>4118.6000000000004</v>
      </c>
      <c r="G11299" s="553">
        <v>608.20000000000005</v>
      </c>
      <c r="H11299" s="553">
        <v>406.55</v>
      </c>
      <c r="I11299" s="553">
        <v>4695.45</v>
      </c>
      <c r="J11299" s="647">
        <v>2390.5300000000002</v>
      </c>
    </row>
    <row r="11300" spans="2:10">
      <c r="B11300" s="1230" t="s">
        <v>452</v>
      </c>
      <c r="C11300" s="132" t="s">
        <v>2264</v>
      </c>
      <c r="D11300" s="255">
        <v>18075</v>
      </c>
      <c r="E11300" s="553">
        <v>372.09</v>
      </c>
      <c r="F11300" s="553">
        <v>4652.8</v>
      </c>
      <c r="G11300" s="553">
        <v>742.41</v>
      </c>
      <c r="H11300" s="553">
        <v>458.26</v>
      </c>
      <c r="I11300" s="553">
        <v>2522.88</v>
      </c>
      <c r="J11300" s="647">
        <v>2876.91</v>
      </c>
    </row>
    <row r="11301" spans="2:10">
      <c r="B11301" s="1230" t="s">
        <v>452</v>
      </c>
      <c r="C11301" s="132" t="s">
        <v>1755</v>
      </c>
      <c r="D11301" s="255">
        <v>18077</v>
      </c>
      <c r="E11301" s="553">
        <v>420.85</v>
      </c>
      <c r="F11301" s="553">
        <v>5001.8500000000004</v>
      </c>
      <c r="G11301" s="553">
        <v>460.16</v>
      </c>
      <c r="H11301" s="553">
        <v>494.52</v>
      </c>
      <c r="I11301" s="553">
        <v>6830.23</v>
      </c>
      <c r="J11301" s="647">
        <v>2787.75</v>
      </c>
    </row>
    <row r="11302" spans="2:10">
      <c r="B11302" s="1230" t="s">
        <v>452</v>
      </c>
      <c r="C11302" s="132" t="s">
        <v>2265</v>
      </c>
      <c r="D11302" s="255">
        <v>18079</v>
      </c>
      <c r="E11302" s="553">
        <v>374.04</v>
      </c>
      <c r="F11302" s="553">
        <v>4480.01</v>
      </c>
      <c r="G11302" s="553">
        <v>494.94</v>
      </c>
      <c r="H11302" s="553">
        <v>442.56</v>
      </c>
      <c r="I11302" s="553">
        <v>5064.51</v>
      </c>
      <c r="J11302" s="647">
        <v>2783.11</v>
      </c>
    </row>
    <row r="11303" spans="2:10">
      <c r="B11303" s="1230" t="s">
        <v>452</v>
      </c>
      <c r="C11303" s="132" t="s">
        <v>1856</v>
      </c>
      <c r="D11303" s="255">
        <v>18081</v>
      </c>
      <c r="E11303" s="553">
        <v>668.57</v>
      </c>
      <c r="F11303" s="553">
        <v>7759.32</v>
      </c>
      <c r="G11303" s="553">
        <v>764.49</v>
      </c>
      <c r="H11303" s="553">
        <v>768.64</v>
      </c>
      <c r="I11303" s="553">
        <v>8366.06</v>
      </c>
      <c r="J11303" s="647">
        <v>3584.53</v>
      </c>
    </row>
    <row r="11304" spans="2:10">
      <c r="B11304" s="1230" t="s">
        <v>452</v>
      </c>
      <c r="C11304" s="132" t="s">
        <v>2223</v>
      </c>
      <c r="D11304" s="255">
        <v>18083</v>
      </c>
      <c r="E11304" s="553">
        <v>238.28</v>
      </c>
      <c r="F11304" s="553">
        <v>3052.27</v>
      </c>
      <c r="G11304" s="553">
        <v>555.53</v>
      </c>
      <c r="H11304" s="553">
        <v>300.08</v>
      </c>
      <c r="I11304" s="553">
        <v>1901.34</v>
      </c>
      <c r="J11304" s="647">
        <v>2007.9</v>
      </c>
    </row>
    <row r="11305" spans="2:10">
      <c r="B11305" s="1230" t="s">
        <v>452</v>
      </c>
      <c r="C11305" s="132" t="s">
        <v>2266</v>
      </c>
      <c r="D11305" s="255">
        <v>18085</v>
      </c>
      <c r="E11305" s="553">
        <v>462.62</v>
      </c>
      <c r="F11305" s="553">
        <v>5830.12</v>
      </c>
      <c r="G11305" s="553">
        <v>857.23</v>
      </c>
      <c r="H11305" s="553">
        <v>573.99</v>
      </c>
      <c r="I11305" s="553">
        <v>2553.13</v>
      </c>
      <c r="J11305" s="647">
        <v>3308.01</v>
      </c>
    </row>
    <row r="11306" spans="2:10">
      <c r="B11306" s="1230" t="s">
        <v>452</v>
      </c>
      <c r="C11306" s="132" t="s">
        <v>2267</v>
      </c>
      <c r="D11306" s="255">
        <v>18087</v>
      </c>
      <c r="E11306" s="553">
        <v>345.11</v>
      </c>
      <c r="F11306" s="553">
        <v>4288.43</v>
      </c>
      <c r="G11306" s="553">
        <v>592.69000000000005</v>
      </c>
      <c r="H11306" s="553">
        <v>422.49</v>
      </c>
      <c r="I11306" s="553">
        <v>2426.69</v>
      </c>
      <c r="J11306" s="647">
        <v>2694.01</v>
      </c>
    </row>
    <row r="11307" spans="2:10">
      <c r="B11307" s="1230" t="s">
        <v>452</v>
      </c>
      <c r="C11307" s="132" t="s">
        <v>1900</v>
      </c>
      <c r="D11307" s="255">
        <v>18089</v>
      </c>
      <c r="E11307" s="553">
        <v>844.12</v>
      </c>
      <c r="F11307" s="553">
        <v>10050.36</v>
      </c>
      <c r="G11307" s="553">
        <v>569.79999999999995</v>
      </c>
      <c r="H11307" s="553">
        <v>993.61</v>
      </c>
      <c r="I11307" s="553">
        <v>23827.22</v>
      </c>
      <c r="J11307" s="647">
        <v>3157.49</v>
      </c>
    </row>
    <row r="11308" spans="2:10">
      <c r="B11308" s="1230" t="s">
        <v>452</v>
      </c>
      <c r="C11308" s="132" t="s">
        <v>2268</v>
      </c>
      <c r="D11308" s="255">
        <v>18091</v>
      </c>
      <c r="E11308" s="553">
        <v>581.02</v>
      </c>
      <c r="F11308" s="553">
        <v>7395.29</v>
      </c>
      <c r="G11308" s="553">
        <v>654.51</v>
      </c>
      <c r="H11308" s="553">
        <v>727.43</v>
      </c>
      <c r="I11308" s="553">
        <v>4543.18</v>
      </c>
      <c r="J11308" s="647">
        <v>3280.91</v>
      </c>
    </row>
    <row r="11309" spans="2:10">
      <c r="B11309" s="1230" t="s">
        <v>452</v>
      </c>
      <c r="C11309" s="132" t="s">
        <v>1758</v>
      </c>
      <c r="D11309" s="255">
        <v>18093</v>
      </c>
      <c r="E11309" s="553">
        <v>358.88</v>
      </c>
      <c r="F11309" s="553">
        <v>4452.7700000000004</v>
      </c>
      <c r="G11309" s="553">
        <v>656.64</v>
      </c>
      <c r="H11309" s="553">
        <v>438.81</v>
      </c>
      <c r="I11309" s="553">
        <v>3511.46</v>
      </c>
      <c r="J11309" s="647">
        <v>2762.89</v>
      </c>
    </row>
    <row r="11310" spans="2:10">
      <c r="B11310" s="1230" t="s">
        <v>452</v>
      </c>
      <c r="C11310" s="132" t="s">
        <v>1763</v>
      </c>
      <c r="D11310" s="255">
        <v>18095</v>
      </c>
      <c r="E11310" s="553">
        <v>829.69</v>
      </c>
      <c r="F11310" s="553">
        <v>9722.65</v>
      </c>
      <c r="G11310" s="553">
        <v>1181.3499999999999</v>
      </c>
      <c r="H11310" s="553">
        <v>962.4</v>
      </c>
      <c r="I11310" s="553">
        <v>3419.33</v>
      </c>
      <c r="J11310" s="647">
        <v>4367.99</v>
      </c>
    </row>
    <row r="11311" spans="2:10">
      <c r="B11311" s="1230" t="s">
        <v>452</v>
      </c>
      <c r="C11311" s="132" t="s">
        <v>1765</v>
      </c>
      <c r="D11311" s="255">
        <v>18097</v>
      </c>
      <c r="E11311" s="553">
        <v>1476.3</v>
      </c>
      <c r="F11311" s="553">
        <v>16805.990000000002</v>
      </c>
      <c r="G11311" s="553">
        <v>690.25</v>
      </c>
      <c r="H11311" s="553">
        <v>1667.64</v>
      </c>
      <c r="I11311" s="553">
        <v>34112.17</v>
      </c>
      <c r="J11311" s="647">
        <v>4926.38</v>
      </c>
    </row>
    <row r="11312" spans="2:10">
      <c r="B11312" s="1230" t="s">
        <v>452</v>
      </c>
      <c r="C11312" s="132" t="s">
        <v>1766</v>
      </c>
      <c r="D11312" s="255">
        <v>18099</v>
      </c>
      <c r="E11312" s="553">
        <v>639</v>
      </c>
      <c r="F11312" s="553">
        <v>8348.5400000000009</v>
      </c>
      <c r="G11312" s="553">
        <v>1077.3699999999999</v>
      </c>
      <c r="H11312" s="553">
        <v>819.73</v>
      </c>
      <c r="I11312" s="553">
        <v>3181.44</v>
      </c>
      <c r="J11312" s="647">
        <v>3881.58</v>
      </c>
    </row>
    <row r="11313" spans="2:10">
      <c r="B11313" s="1230" t="s">
        <v>452</v>
      </c>
      <c r="C11313" s="132" t="s">
        <v>2035</v>
      </c>
      <c r="D11313" s="255">
        <v>18101</v>
      </c>
      <c r="E11313" s="553">
        <v>236.78</v>
      </c>
      <c r="F11313" s="553">
        <v>2946.64</v>
      </c>
      <c r="G11313" s="553">
        <v>443.86</v>
      </c>
      <c r="H11313" s="553">
        <v>290.2</v>
      </c>
      <c r="I11313" s="553">
        <v>2602.5300000000002</v>
      </c>
      <c r="J11313" s="647">
        <v>1946.15</v>
      </c>
    </row>
    <row r="11314" spans="2:10">
      <c r="B11314" s="1230" t="s">
        <v>452</v>
      </c>
      <c r="C11314" s="132" t="s">
        <v>2269</v>
      </c>
      <c r="D11314" s="255">
        <v>18103</v>
      </c>
      <c r="E11314" s="553">
        <v>451.66</v>
      </c>
      <c r="F11314" s="553">
        <v>5705.19</v>
      </c>
      <c r="G11314" s="553">
        <v>871.65</v>
      </c>
      <c r="H11314" s="553">
        <v>561.48</v>
      </c>
      <c r="I11314" s="553">
        <v>2780.59</v>
      </c>
      <c r="J11314" s="647">
        <v>3209.31</v>
      </c>
    </row>
    <row r="11315" spans="2:10">
      <c r="B11315" s="1230" t="s">
        <v>452</v>
      </c>
      <c r="C11315" s="132" t="s">
        <v>1768</v>
      </c>
      <c r="D11315" s="255">
        <v>18105</v>
      </c>
      <c r="E11315" s="553">
        <v>449.32</v>
      </c>
      <c r="F11315" s="553">
        <v>5356.79</v>
      </c>
      <c r="G11315" s="553">
        <v>542.52</v>
      </c>
      <c r="H11315" s="553">
        <v>529.57000000000005</v>
      </c>
      <c r="I11315" s="553">
        <v>7759.08</v>
      </c>
      <c r="J11315" s="647">
        <v>2833.25</v>
      </c>
    </row>
    <row r="11316" spans="2:10">
      <c r="B11316" s="1230" t="s">
        <v>452</v>
      </c>
      <c r="C11316" s="132" t="s">
        <v>1769</v>
      </c>
      <c r="D11316" s="255">
        <v>18107</v>
      </c>
      <c r="E11316" s="553">
        <v>405.62</v>
      </c>
      <c r="F11316" s="553">
        <v>4875.92</v>
      </c>
      <c r="G11316" s="553">
        <v>727.47</v>
      </c>
      <c r="H11316" s="553">
        <v>481.77</v>
      </c>
      <c r="I11316" s="553">
        <v>3421.51</v>
      </c>
      <c r="J11316" s="647">
        <v>2882.86</v>
      </c>
    </row>
    <row r="11317" spans="2:10">
      <c r="B11317" s="1230" t="s">
        <v>452</v>
      </c>
      <c r="C11317" s="132" t="s">
        <v>1770</v>
      </c>
      <c r="D11317" s="255">
        <v>18109</v>
      </c>
      <c r="E11317" s="553">
        <v>761.38</v>
      </c>
      <c r="F11317" s="553">
        <v>8718.65</v>
      </c>
      <c r="G11317" s="553">
        <v>709.64</v>
      </c>
      <c r="H11317" s="553">
        <v>864.64</v>
      </c>
      <c r="I11317" s="553">
        <v>9500.9599999999991</v>
      </c>
      <c r="J11317" s="647">
        <v>3728.71</v>
      </c>
    </row>
    <row r="11318" spans="2:10">
      <c r="B11318" s="1230" t="s">
        <v>452</v>
      </c>
      <c r="C11318" s="132" t="s">
        <v>1863</v>
      </c>
      <c r="D11318" s="255">
        <v>18111</v>
      </c>
      <c r="E11318" s="553">
        <v>372.2</v>
      </c>
      <c r="F11318" s="553">
        <v>4389.8100000000004</v>
      </c>
      <c r="G11318" s="553">
        <v>605.51</v>
      </c>
      <c r="H11318" s="553">
        <v>434.25</v>
      </c>
      <c r="I11318" s="553">
        <v>7845.4</v>
      </c>
      <c r="J11318" s="647">
        <v>2313.27</v>
      </c>
    </row>
    <row r="11319" spans="2:10">
      <c r="B11319" s="1230" t="s">
        <v>452</v>
      </c>
      <c r="C11319" s="132" t="s">
        <v>2270</v>
      </c>
      <c r="D11319" s="255">
        <v>18113</v>
      </c>
      <c r="E11319" s="553">
        <v>422.78</v>
      </c>
      <c r="F11319" s="553">
        <v>5221.41</v>
      </c>
      <c r="G11319" s="553">
        <v>769.37</v>
      </c>
      <c r="H11319" s="553">
        <v>514.78</v>
      </c>
      <c r="I11319" s="553">
        <v>2452.1</v>
      </c>
      <c r="J11319" s="647">
        <v>3019.95</v>
      </c>
    </row>
    <row r="11320" spans="2:10">
      <c r="B11320" s="1230" t="s">
        <v>452</v>
      </c>
      <c r="C11320" s="132" t="s">
        <v>473</v>
      </c>
      <c r="D11320" s="255">
        <v>18115</v>
      </c>
      <c r="E11320" s="553">
        <v>496.16</v>
      </c>
      <c r="F11320" s="553">
        <v>5760.56</v>
      </c>
      <c r="G11320" s="553">
        <v>423.77</v>
      </c>
      <c r="H11320" s="553">
        <v>570.5</v>
      </c>
      <c r="I11320" s="553">
        <v>9853.5</v>
      </c>
      <c r="J11320" s="647">
        <v>2893.75</v>
      </c>
    </row>
    <row r="11321" spans="2:10">
      <c r="B11321" s="1230" t="s">
        <v>452</v>
      </c>
      <c r="C11321" s="132" t="s">
        <v>1912</v>
      </c>
      <c r="D11321" s="255">
        <v>18117</v>
      </c>
      <c r="E11321" s="553">
        <v>327.89</v>
      </c>
      <c r="F11321" s="553">
        <v>3976.17</v>
      </c>
      <c r="G11321" s="553">
        <v>541.19000000000005</v>
      </c>
      <c r="H11321" s="553">
        <v>392.52</v>
      </c>
      <c r="I11321" s="553">
        <v>3559.93</v>
      </c>
      <c r="J11321" s="647">
        <v>2601.3000000000002</v>
      </c>
    </row>
    <row r="11322" spans="2:10">
      <c r="B11322" s="1230" t="s">
        <v>452</v>
      </c>
      <c r="C11322" s="132" t="s">
        <v>2271</v>
      </c>
      <c r="D11322" s="255">
        <v>18119</v>
      </c>
      <c r="E11322" s="553">
        <v>366.45</v>
      </c>
      <c r="F11322" s="553">
        <v>4418.79</v>
      </c>
      <c r="G11322" s="553">
        <v>603.98</v>
      </c>
      <c r="H11322" s="553">
        <v>436.39</v>
      </c>
      <c r="I11322" s="553">
        <v>4157.74</v>
      </c>
      <c r="J11322" s="647">
        <v>2675.6</v>
      </c>
    </row>
    <row r="11323" spans="2:10">
      <c r="B11323" s="1230" t="s">
        <v>452</v>
      </c>
      <c r="C11323" s="132" t="s">
        <v>2272</v>
      </c>
      <c r="D11323" s="255">
        <v>18121</v>
      </c>
      <c r="E11323" s="553">
        <v>274.39</v>
      </c>
      <c r="F11323" s="553">
        <v>3341.13</v>
      </c>
      <c r="G11323" s="553">
        <v>519.61</v>
      </c>
      <c r="H11323" s="553">
        <v>329.67</v>
      </c>
      <c r="I11323" s="553">
        <v>2935.95</v>
      </c>
      <c r="J11323" s="647">
        <v>2225.4499999999998</v>
      </c>
    </row>
    <row r="11324" spans="2:10">
      <c r="B11324" s="1230" t="s">
        <v>452</v>
      </c>
      <c r="C11324" s="132" t="s">
        <v>1771</v>
      </c>
      <c r="D11324" s="255">
        <v>18123</v>
      </c>
      <c r="E11324" s="553">
        <v>253.74</v>
      </c>
      <c r="F11324" s="553">
        <v>3112.8</v>
      </c>
      <c r="G11324" s="553">
        <v>416.8</v>
      </c>
      <c r="H11324" s="553">
        <v>306.89999999999998</v>
      </c>
      <c r="I11324" s="553">
        <v>2771.27</v>
      </c>
      <c r="J11324" s="647">
        <v>2092.71</v>
      </c>
    </row>
    <row r="11325" spans="2:10">
      <c r="B11325" s="1230" t="s">
        <v>452</v>
      </c>
      <c r="C11325" s="132" t="s">
        <v>1773</v>
      </c>
      <c r="D11325" s="255">
        <v>18125</v>
      </c>
      <c r="E11325" s="553">
        <v>200.24</v>
      </c>
      <c r="F11325" s="553">
        <v>2514.4</v>
      </c>
      <c r="G11325" s="553">
        <v>471.68</v>
      </c>
      <c r="H11325" s="553">
        <v>247.52</v>
      </c>
      <c r="I11325" s="553">
        <v>1900.42</v>
      </c>
      <c r="J11325" s="647">
        <v>1851.33</v>
      </c>
    </row>
    <row r="11326" spans="2:10">
      <c r="B11326" s="1230" t="s">
        <v>452</v>
      </c>
      <c r="C11326" s="132" t="s">
        <v>2273</v>
      </c>
      <c r="D11326" s="255">
        <v>18127</v>
      </c>
      <c r="E11326" s="553">
        <v>844.73</v>
      </c>
      <c r="F11326" s="553">
        <v>10496.74</v>
      </c>
      <c r="G11326" s="553">
        <v>562</v>
      </c>
      <c r="H11326" s="553">
        <v>1034.33</v>
      </c>
      <c r="I11326" s="553">
        <v>17750.32</v>
      </c>
      <c r="J11326" s="647">
        <v>3337.86</v>
      </c>
    </row>
    <row r="11327" spans="2:10">
      <c r="B11327" s="1230" t="s">
        <v>452</v>
      </c>
      <c r="C11327" s="132" t="s">
        <v>2274</v>
      </c>
      <c r="D11327" s="255">
        <v>18129</v>
      </c>
      <c r="E11327" s="553">
        <v>333.64</v>
      </c>
      <c r="F11327" s="553">
        <v>4391.3100000000004</v>
      </c>
      <c r="G11327" s="553">
        <v>577.71</v>
      </c>
      <c r="H11327" s="553">
        <v>430.8</v>
      </c>
      <c r="I11327" s="553">
        <v>1807.5</v>
      </c>
      <c r="J11327" s="647">
        <v>2334.5</v>
      </c>
    </row>
    <row r="11328" spans="2:10">
      <c r="B11328" s="1230" t="s">
        <v>452</v>
      </c>
      <c r="C11328" s="132" t="s">
        <v>1870</v>
      </c>
      <c r="D11328" s="255">
        <v>18131</v>
      </c>
      <c r="E11328" s="553">
        <v>295.31</v>
      </c>
      <c r="F11328" s="553">
        <v>3635.47</v>
      </c>
      <c r="G11328" s="553">
        <v>562.70000000000005</v>
      </c>
      <c r="H11328" s="553">
        <v>358.42</v>
      </c>
      <c r="I11328" s="553">
        <v>3080.09</v>
      </c>
      <c r="J11328" s="647">
        <v>2313.69</v>
      </c>
    </row>
    <row r="11329" spans="2:10">
      <c r="B11329" s="1230" t="s">
        <v>452</v>
      </c>
      <c r="C11329" s="132" t="s">
        <v>2043</v>
      </c>
      <c r="D11329" s="255">
        <v>18133</v>
      </c>
      <c r="E11329" s="553">
        <v>482.41</v>
      </c>
      <c r="F11329" s="553">
        <v>5604.16</v>
      </c>
      <c r="G11329" s="553">
        <v>726.07</v>
      </c>
      <c r="H11329" s="553">
        <v>554.98</v>
      </c>
      <c r="I11329" s="553">
        <v>4728.9799999999996</v>
      </c>
      <c r="J11329" s="647">
        <v>3096.15</v>
      </c>
    </row>
    <row r="11330" spans="2:10">
      <c r="B11330" s="1230" t="s">
        <v>452</v>
      </c>
      <c r="C11330" s="132" t="s">
        <v>1774</v>
      </c>
      <c r="D11330" s="255">
        <v>18135</v>
      </c>
      <c r="E11330" s="553">
        <v>597.03</v>
      </c>
      <c r="F11330" s="553">
        <v>7796.18</v>
      </c>
      <c r="G11330" s="553">
        <v>991.8</v>
      </c>
      <c r="H11330" s="553">
        <v>765.54</v>
      </c>
      <c r="I11330" s="553">
        <v>2929.97</v>
      </c>
      <c r="J11330" s="647">
        <v>3815.16</v>
      </c>
    </row>
    <row r="11331" spans="2:10">
      <c r="B11331" s="1230" t="s">
        <v>452</v>
      </c>
      <c r="C11331" s="132" t="s">
        <v>2275</v>
      </c>
      <c r="D11331" s="255">
        <v>18137</v>
      </c>
      <c r="E11331" s="553">
        <v>523.46</v>
      </c>
      <c r="F11331" s="553">
        <v>6176.36</v>
      </c>
      <c r="G11331" s="553">
        <v>601.99</v>
      </c>
      <c r="H11331" s="553">
        <v>610.96</v>
      </c>
      <c r="I11331" s="553">
        <v>6566.43</v>
      </c>
      <c r="J11331" s="647">
        <v>3214.34</v>
      </c>
    </row>
    <row r="11332" spans="2:10">
      <c r="B11332" s="1230" t="s">
        <v>452</v>
      </c>
      <c r="C11332" s="132" t="s">
        <v>2276</v>
      </c>
      <c r="D11332" s="255">
        <v>18139</v>
      </c>
      <c r="E11332" s="553">
        <v>478.07</v>
      </c>
      <c r="F11332" s="553">
        <v>5774.29</v>
      </c>
      <c r="G11332" s="553">
        <v>728.61</v>
      </c>
      <c r="H11332" s="553">
        <v>570.16999999999996</v>
      </c>
      <c r="I11332" s="553">
        <v>4719.6499999999996</v>
      </c>
      <c r="J11332" s="647">
        <v>3231.28</v>
      </c>
    </row>
    <row r="11333" spans="2:10">
      <c r="B11333" s="1230" t="s">
        <v>452</v>
      </c>
      <c r="C11333" s="132" t="s">
        <v>2277</v>
      </c>
      <c r="D11333" s="255">
        <v>18141</v>
      </c>
      <c r="E11333" s="553">
        <v>516.73</v>
      </c>
      <c r="F11333" s="553">
        <v>6685.61</v>
      </c>
      <c r="G11333" s="553">
        <v>743.78</v>
      </c>
      <c r="H11333" s="553">
        <v>656.89</v>
      </c>
      <c r="I11333" s="553">
        <v>3675.79</v>
      </c>
      <c r="J11333" s="647">
        <v>3259.56</v>
      </c>
    </row>
    <row r="11334" spans="2:10">
      <c r="B11334" s="1230" t="s">
        <v>452</v>
      </c>
      <c r="C11334" s="132" t="s">
        <v>1873</v>
      </c>
      <c r="D11334" s="255">
        <v>18143</v>
      </c>
      <c r="E11334" s="553">
        <v>372.39</v>
      </c>
      <c r="F11334" s="553">
        <v>4466.1499999999996</v>
      </c>
      <c r="G11334" s="553">
        <v>485.64</v>
      </c>
      <c r="H11334" s="553">
        <v>441.12</v>
      </c>
      <c r="I11334" s="553">
        <v>5275.66</v>
      </c>
      <c r="J11334" s="647">
        <v>2669.39</v>
      </c>
    </row>
    <row r="11335" spans="2:10">
      <c r="B11335" s="1230" t="s">
        <v>452</v>
      </c>
      <c r="C11335" s="132" t="s">
        <v>1777</v>
      </c>
      <c r="D11335" s="255">
        <v>18145</v>
      </c>
      <c r="E11335" s="553">
        <v>619.63</v>
      </c>
      <c r="F11335" s="553">
        <v>7258.2</v>
      </c>
      <c r="G11335" s="553">
        <v>844.92</v>
      </c>
      <c r="H11335" s="553">
        <v>718.51</v>
      </c>
      <c r="I11335" s="553">
        <v>6192.73</v>
      </c>
      <c r="J11335" s="647">
        <v>3576.6</v>
      </c>
    </row>
    <row r="11336" spans="2:10">
      <c r="B11336" s="1230" t="s">
        <v>452</v>
      </c>
      <c r="C11336" s="132" t="s">
        <v>2278</v>
      </c>
      <c r="D11336" s="255">
        <v>18147</v>
      </c>
      <c r="E11336" s="553">
        <v>325.55</v>
      </c>
      <c r="F11336" s="553">
        <v>4134.97</v>
      </c>
      <c r="G11336" s="553">
        <v>583.09</v>
      </c>
      <c r="H11336" s="553">
        <v>406.67</v>
      </c>
      <c r="I11336" s="553">
        <v>2066.31</v>
      </c>
      <c r="J11336" s="647">
        <v>2329.19</v>
      </c>
    </row>
    <row r="11337" spans="2:10">
      <c r="B11337" s="1230" t="s">
        <v>452</v>
      </c>
      <c r="C11337" s="132" t="s">
        <v>2279</v>
      </c>
      <c r="D11337" s="255">
        <v>18149</v>
      </c>
      <c r="E11337" s="553">
        <v>425.66</v>
      </c>
      <c r="F11337" s="553">
        <v>5440.06</v>
      </c>
      <c r="G11337" s="553">
        <v>691.55</v>
      </c>
      <c r="H11337" s="553">
        <v>534.86</v>
      </c>
      <c r="I11337" s="553">
        <v>3570.51</v>
      </c>
      <c r="J11337" s="647">
        <v>2730.74</v>
      </c>
    </row>
    <row r="11338" spans="2:10">
      <c r="B11338" s="1230" t="s">
        <v>452</v>
      </c>
      <c r="C11338" s="132" t="s">
        <v>2280</v>
      </c>
      <c r="D11338" s="255">
        <v>18151</v>
      </c>
      <c r="E11338" s="553">
        <v>366.65</v>
      </c>
      <c r="F11338" s="553">
        <v>4492.16</v>
      </c>
      <c r="G11338" s="553">
        <v>635.83000000000004</v>
      </c>
      <c r="H11338" s="553">
        <v>443.06</v>
      </c>
      <c r="I11338" s="553">
        <v>3148.54</v>
      </c>
      <c r="J11338" s="647">
        <v>2791.74</v>
      </c>
    </row>
    <row r="11339" spans="2:10">
      <c r="B11339" s="1230" t="s">
        <v>452</v>
      </c>
      <c r="C11339" s="132" t="s">
        <v>2281</v>
      </c>
      <c r="D11339" s="255">
        <v>18153</v>
      </c>
      <c r="E11339" s="553">
        <v>212.63</v>
      </c>
      <c r="F11339" s="553">
        <v>2647.66</v>
      </c>
      <c r="G11339" s="553">
        <v>506.54</v>
      </c>
      <c r="H11339" s="553">
        <v>260.87</v>
      </c>
      <c r="I11339" s="553">
        <v>2539.5300000000002</v>
      </c>
      <c r="J11339" s="647">
        <v>1820.64</v>
      </c>
    </row>
    <row r="11340" spans="2:10">
      <c r="B11340" s="1230" t="s">
        <v>452</v>
      </c>
      <c r="C11340" s="132" t="s">
        <v>2282</v>
      </c>
      <c r="D11340" s="255">
        <v>18155</v>
      </c>
      <c r="E11340" s="553">
        <v>485.34</v>
      </c>
      <c r="F11340" s="553">
        <v>5589.76</v>
      </c>
      <c r="G11340" s="553">
        <v>406.63</v>
      </c>
      <c r="H11340" s="553">
        <v>553.89</v>
      </c>
      <c r="I11340" s="553">
        <v>9365.08</v>
      </c>
      <c r="J11340" s="647">
        <v>2861.46</v>
      </c>
    </row>
    <row r="11341" spans="2:10">
      <c r="B11341" s="1230" t="s">
        <v>452</v>
      </c>
      <c r="C11341" s="132" t="s">
        <v>2283</v>
      </c>
      <c r="D11341" s="255">
        <v>18157</v>
      </c>
      <c r="E11341" s="553">
        <v>350.27</v>
      </c>
      <c r="F11341" s="553">
        <v>4242.62</v>
      </c>
      <c r="G11341" s="553">
        <v>598.14</v>
      </c>
      <c r="H11341" s="553">
        <v>418.86</v>
      </c>
      <c r="I11341" s="553">
        <v>3370.56</v>
      </c>
      <c r="J11341" s="647">
        <v>2448.71</v>
      </c>
    </row>
    <row r="11342" spans="2:10">
      <c r="B11342" s="1230" t="s">
        <v>452</v>
      </c>
      <c r="C11342" s="132" t="s">
        <v>2284</v>
      </c>
      <c r="D11342" s="255">
        <v>18159</v>
      </c>
      <c r="E11342" s="553">
        <v>508.92</v>
      </c>
      <c r="F11342" s="553">
        <v>6167.73</v>
      </c>
      <c r="G11342" s="553">
        <v>934.69</v>
      </c>
      <c r="H11342" s="553">
        <v>608.94000000000005</v>
      </c>
      <c r="I11342" s="553">
        <v>3645.2</v>
      </c>
      <c r="J11342" s="647">
        <v>3194.83</v>
      </c>
    </row>
    <row r="11343" spans="2:10">
      <c r="B11343" s="1230" t="s">
        <v>452</v>
      </c>
      <c r="C11343" s="132" t="s">
        <v>1879</v>
      </c>
      <c r="D11343" s="255">
        <v>18161</v>
      </c>
      <c r="E11343" s="553">
        <v>469.14</v>
      </c>
      <c r="F11343" s="553">
        <v>5629.11</v>
      </c>
      <c r="G11343" s="553">
        <v>646.13</v>
      </c>
      <c r="H11343" s="553">
        <v>556.21</v>
      </c>
      <c r="I11343" s="553">
        <v>6197.82</v>
      </c>
      <c r="J11343" s="647">
        <v>3116.51</v>
      </c>
    </row>
    <row r="11344" spans="2:10">
      <c r="B11344" s="1230" t="s">
        <v>452</v>
      </c>
      <c r="C11344" s="132" t="s">
        <v>2285</v>
      </c>
      <c r="D11344" s="255">
        <v>18163</v>
      </c>
      <c r="E11344" s="553">
        <v>462.65</v>
      </c>
      <c r="F11344" s="553">
        <v>6150.81</v>
      </c>
      <c r="G11344" s="553">
        <v>653.74</v>
      </c>
      <c r="H11344" s="553">
        <v>603.02</v>
      </c>
      <c r="I11344" s="553">
        <v>3969.12</v>
      </c>
      <c r="J11344" s="647">
        <v>2631.9</v>
      </c>
    </row>
    <row r="11345" spans="2:10">
      <c r="B11345" s="1230" t="s">
        <v>452</v>
      </c>
      <c r="C11345" s="132" t="s">
        <v>2286</v>
      </c>
      <c r="D11345" s="255">
        <v>18165</v>
      </c>
      <c r="E11345" s="553">
        <v>276.64</v>
      </c>
      <c r="F11345" s="553">
        <v>3387.22</v>
      </c>
      <c r="G11345" s="553">
        <v>552.95000000000005</v>
      </c>
      <c r="H11345" s="553">
        <v>334.16</v>
      </c>
      <c r="I11345" s="553">
        <v>2495.84</v>
      </c>
      <c r="J11345" s="647">
        <v>2230.27</v>
      </c>
    </row>
    <row r="11346" spans="2:10">
      <c r="B11346" s="1230" t="s">
        <v>452</v>
      </c>
      <c r="C11346" s="132" t="s">
        <v>2287</v>
      </c>
      <c r="D11346" s="255">
        <v>18167</v>
      </c>
      <c r="E11346" s="553">
        <v>308.11</v>
      </c>
      <c r="F11346" s="553">
        <v>3943.68</v>
      </c>
      <c r="G11346" s="553">
        <v>533.84</v>
      </c>
      <c r="H11346" s="553">
        <v>387.77</v>
      </c>
      <c r="I11346" s="553">
        <v>2307.35</v>
      </c>
      <c r="J11346" s="647">
        <v>2349.3000000000002</v>
      </c>
    </row>
    <row r="11347" spans="2:10">
      <c r="B11347" s="1230" t="s">
        <v>452</v>
      </c>
      <c r="C11347" s="132" t="s">
        <v>2246</v>
      </c>
      <c r="D11347" s="255">
        <v>18169</v>
      </c>
      <c r="E11347" s="553">
        <v>418.46</v>
      </c>
      <c r="F11347" s="553">
        <v>5297.93</v>
      </c>
      <c r="G11347" s="553">
        <v>813.96</v>
      </c>
      <c r="H11347" s="553">
        <v>521.39</v>
      </c>
      <c r="I11347" s="553">
        <v>2528.17</v>
      </c>
      <c r="J11347" s="647">
        <v>3057.34</v>
      </c>
    </row>
    <row r="11348" spans="2:10">
      <c r="B11348" s="1230" t="s">
        <v>452</v>
      </c>
      <c r="C11348" s="132" t="s">
        <v>2154</v>
      </c>
      <c r="D11348" s="255">
        <v>18171</v>
      </c>
      <c r="E11348" s="553">
        <v>281.14999999999998</v>
      </c>
      <c r="F11348" s="553">
        <v>3375.19</v>
      </c>
      <c r="G11348" s="553">
        <v>546.49</v>
      </c>
      <c r="H11348" s="553">
        <v>333.42</v>
      </c>
      <c r="I11348" s="553">
        <v>3525.94</v>
      </c>
      <c r="J11348" s="647">
        <v>2185.85</v>
      </c>
    </row>
    <row r="11349" spans="2:10">
      <c r="B11349" s="1230" t="s">
        <v>452</v>
      </c>
      <c r="C11349" s="132" t="s">
        <v>2288</v>
      </c>
      <c r="D11349" s="255">
        <v>18173</v>
      </c>
      <c r="E11349" s="553">
        <v>381.02</v>
      </c>
      <c r="F11349" s="553">
        <v>4948.42</v>
      </c>
      <c r="G11349" s="553">
        <v>644.97</v>
      </c>
      <c r="H11349" s="553">
        <v>485.89</v>
      </c>
      <c r="I11349" s="553">
        <v>1940.51</v>
      </c>
      <c r="J11349" s="647">
        <v>2498.04</v>
      </c>
    </row>
    <row r="11350" spans="2:10">
      <c r="B11350" s="1230" t="s">
        <v>452</v>
      </c>
      <c r="C11350" s="132" t="s">
        <v>487</v>
      </c>
      <c r="D11350" s="255">
        <v>18175</v>
      </c>
      <c r="E11350" s="553">
        <v>472.18</v>
      </c>
      <c r="F11350" s="553">
        <v>5664.14</v>
      </c>
      <c r="G11350" s="553">
        <v>680.48</v>
      </c>
      <c r="H11350" s="553">
        <v>559.41999999999996</v>
      </c>
      <c r="I11350" s="553">
        <v>4915.97</v>
      </c>
      <c r="J11350" s="647">
        <v>3134.45</v>
      </c>
    </row>
    <row r="11351" spans="2:10">
      <c r="B11351" s="1230" t="s">
        <v>452</v>
      </c>
      <c r="C11351" s="132" t="s">
        <v>2155</v>
      </c>
      <c r="D11351" s="255">
        <v>18177</v>
      </c>
      <c r="E11351" s="553">
        <v>480.98</v>
      </c>
      <c r="F11351" s="553">
        <v>6041.46</v>
      </c>
      <c r="G11351" s="553">
        <v>750.82</v>
      </c>
      <c r="H11351" s="553">
        <v>594.87</v>
      </c>
      <c r="I11351" s="553">
        <v>4059.08</v>
      </c>
      <c r="J11351" s="647">
        <v>3244.64</v>
      </c>
    </row>
    <row r="11352" spans="2:10">
      <c r="B11352" s="1230" t="s">
        <v>452</v>
      </c>
      <c r="C11352" s="132" t="s">
        <v>2289</v>
      </c>
      <c r="D11352" s="255">
        <v>18179</v>
      </c>
      <c r="E11352" s="553">
        <v>463.26</v>
      </c>
      <c r="F11352" s="553">
        <v>5783.47</v>
      </c>
      <c r="G11352" s="553">
        <v>885.07</v>
      </c>
      <c r="H11352" s="553">
        <v>569.78</v>
      </c>
      <c r="I11352" s="553">
        <v>2451.1999999999998</v>
      </c>
      <c r="J11352" s="647">
        <v>3204.7</v>
      </c>
    </row>
    <row r="11353" spans="2:10">
      <c r="B11353" s="1230" t="s">
        <v>452</v>
      </c>
      <c r="C11353" s="132" t="s">
        <v>1881</v>
      </c>
      <c r="D11353" s="255">
        <v>18181</v>
      </c>
      <c r="E11353" s="553">
        <v>303.01</v>
      </c>
      <c r="F11353" s="553">
        <v>3688.24</v>
      </c>
      <c r="G11353" s="553">
        <v>589.76</v>
      </c>
      <c r="H11353" s="553">
        <v>363.9</v>
      </c>
      <c r="I11353" s="553">
        <v>3328.55</v>
      </c>
      <c r="J11353" s="647">
        <v>2312.9699999999998</v>
      </c>
    </row>
    <row r="11354" spans="2:10">
      <c r="B11354" s="1230" t="s">
        <v>452</v>
      </c>
      <c r="C11354" s="132" t="s">
        <v>2290</v>
      </c>
      <c r="D11354" s="255">
        <v>18183</v>
      </c>
      <c r="E11354" s="553">
        <v>409.55</v>
      </c>
      <c r="F11354" s="553">
        <v>5068.79</v>
      </c>
      <c r="G11354" s="553">
        <v>777.54</v>
      </c>
      <c r="H11354" s="553">
        <v>499.63</v>
      </c>
      <c r="I11354" s="553">
        <v>2431.44</v>
      </c>
      <c r="J11354" s="647">
        <v>2955.07</v>
      </c>
    </row>
    <row r="11355" spans="2:10">
      <c r="B11355" s="1230" t="s">
        <v>453</v>
      </c>
      <c r="C11355" s="132" t="s">
        <v>2291</v>
      </c>
      <c r="D11355" s="255">
        <v>19001</v>
      </c>
      <c r="E11355" s="553">
        <v>131.74</v>
      </c>
      <c r="F11355" s="553">
        <v>1524.25</v>
      </c>
      <c r="G11355" s="553">
        <v>624.16</v>
      </c>
      <c r="H11355" s="553">
        <v>151</v>
      </c>
      <c r="I11355" s="553">
        <v>563.24</v>
      </c>
      <c r="J11355" s="647">
        <v>616.51</v>
      </c>
    </row>
    <row r="11356" spans="2:10">
      <c r="B11356" s="1230" t="s">
        <v>453</v>
      </c>
      <c r="C11356" s="132" t="s">
        <v>1940</v>
      </c>
      <c r="D11356" s="255">
        <v>19003</v>
      </c>
      <c r="E11356" s="553">
        <v>125.67</v>
      </c>
      <c r="F11356" s="553">
        <v>1447.43</v>
      </c>
      <c r="G11356" s="553">
        <v>630.29999999999995</v>
      </c>
      <c r="H11356" s="553">
        <v>143.41999999999999</v>
      </c>
      <c r="I11356" s="553">
        <v>561.96</v>
      </c>
      <c r="J11356" s="647">
        <v>612.08000000000004</v>
      </c>
    </row>
    <row r="11357" spans="2:10">
      <c r="B11357" s="1230" t="s">
        <v>453</v>
      </c>
      <c r="C11357" s="132" t="s">
        <v>2292</v>
      </c>
      <c r="D11357" s="255">
        <v>19005</v>
      </c>
      <c r="E11357" s="553">
        <v>173.69</v>
      </c>
      <c r="F11357" s="553">
        <v>2047.55</v>
      </c>
      <c r="G11357" s="553">
        <v>599.36</v>
      </c>
      <c r="H11357" s="553">
        <v>202.59</v>
      </c>
      <c r="I11357" s="553">
        <v>1245.95</v>
      </c>
      <c r="J11357" s="647">
        <v>1790.87</v>
      </c>
    </row>
    <row r="11358" spans="2:10">
      <c r="B11358" s="1230" t="s">
        <v>453</v>
      </c>
      <c r="C11358" s="132" t="s">
        <v>2293</v>
      </c>
      <c r="D11358" s="255">
        <v>19007</v>
      </c>
      <c r="E11358" s="553">
        <v>161.74</v>
      </c>
      <c r="F11358" s="553">
        <v>1917.91</v>
      </c>
      <c r="G11358" s="553">
        <v>611.67999999999995</v>
      </c>
      <c r="H11358" s="553">
        <v>189.7</v>
      </c>
      <c r="I11358" s="553">
        <v>893.71</v>
      </c>
      <c r="J11358" s="647">
        <v>1714.85</v>
      </c>
    </row>
    <row r="11359" spans="2:10">
      <c r="B11359" s="1230" t="s">
        <v>453</v>
      </c>
      <c r="C11359" s="132" t="s">
        <v>2294</v>
      </c>
      <c r="D11359" s="255">
        <v>19009</v>
      </c>
      <c r="E11359" s="553">
        <v>127.49</v>
      </c>
      <c r="F11359" s="553">
        <v>1486.3</v>
      </c>
      <c r="G11359" s="553">
        <v>667.1</v>
      </c>
      <c r="H11359" s="553">
        <v>147.16</v>
      </c>
      <c r="I11359" s="553">
        <v>489.16</v>
      </c>
      <c r="J11359" s="647">
        <v>607.11</v>
      </c>
    </row>
    <row r="11360" spans="2:10">
      <c r="B11360" s="1230" t="s">
        <v>453</v>
      </c>
      <c r="C11360" s="132" t="s">
        <v>1832</v>
      </c>
      <c r="D11360" s="255">
        <v>19011</v>
      </c>
      <c r="E11360" s="553">
        <v>273.77</v>
      </c>
      <c r="F11360" s="553">
        <v>3231.51</v>
      </c>
      <c r="G11360" s="553">
        <v>1013.41</v>
      </c>
      <c r="H11360" s="553">
        <v>319.86</v>
      </c>
      <c r="I11360" s="553">
        <v>1125.74</v>
      </c>
      <c r="J11360" s="647">
        <v>2098.96</v>
      </c>
    </row>
    <row r="11361" spans="2:10">
      <c r="B11361" s="1230" t="s">
        <v>453</v>
      </c>
      <c r="C11361" s="132" t="s">
        <v>2295</v>
      </c>
      <c r="D11361" s="255">
        <v>19013</v>
      </c>
      <c r="E11361" s="553">
        <v>225.3</v>
      </c>
      <c r="F11361" s="553">
        <v>2774.04</v>
      </c>
      <c r="G11361" s="553">
        <v>807.17</v>
      </c>
      <c r="H11361" s="553">
        <v>273.70999999999998</v>
      </c>
      <c r="I11361" s="553">
        <v>985.03</v>
      </c>
      <c r="J11361" s="647">
        <v>1889.19</v>
      </c>
    </row>
    <row r="11362" spans="2:10">
      <c r="B11362" s="1230" t="s">
        <v>453</v>
      </c>
      <c r="C11362" s="132" t="s">
        <v>1833</v>
      </c>
      <c r="D11362" s="255">
        <v>19015</v>
      </c>
      <c r="E11362" s="553">
        <v>143</v>
      </c>
      <c r="F11362" s="553">
        <v>1693.08</v>
      </c>
      <c r="G11362" s="553">
        <v>725.76</v>
      </c>
      <c r="H11362" s="553">
        <v>167.48</v>
      </c>
      <c r="I11362" s="553">
        <v>551.52</v>
      </c>
      <c r="J11362" s="647">
        <v>619.74</v>
      </c>
    </row>
    <row r="11363" spans="2:10">
      <c r="B11363" s="1230" t="s">
        <v>453</v>
      </c>
      <c r="C11363" s="132" t="s">
        <v>2296</v>
      </c>
      <c r="D11363" s="255">
        <v>19017</v>
      </c>
      <c r="E11363" s="553">
        <v>250.65</v>
      </c>
      <c r="F11363" s="553">
        <v>3086.63</v>
      </c>
      <c r="G11363" s="553">
        <v>911.95</v>
      </c>
      <c r="H11363" s="553">
        <v>304.51</v>
      </c>
      <c r="I11363" s="553">
        <v>922.22</v>
      </c>
      <c r="J11363" s="647">
        <v>1914.53</v>
      </c>
    </row>
    <row r="11364" spans="2:10">
      <c r="B11364" s="1230" t="s">
        <v>453</v>
      </c>
      <c r="C11364" s="132" t="s">
        <v>2297</v>
      </c>
      <c r="D11364" s="255">
        <v>19019</v>
      </c>
      <c r="E11364" s="553">
        <v>178.49</v>
      </c>
      <c r="F11364" s="553">
        <v>2119.42</v>
      </c>
      <c r="G11364" s="553">
        <v>683.06</v>
      </c>
      <c r="H11364" s="553">
        <v>209.64</v>
      </c>
      <c r="I11364" s="553">
        <v>1107.08</v>
      </c>
      <c r="J11364" s="647">
        <v>1743.93</v>
      </c>
    </row>
    <row r="11365" spans="2:10">
      <c r="B11365" s="1230" t="s">
        <v>453</v>
      </c>
      <c r="C11365" s="132" t="s">
        <v>2298</v>
      </c>
      <c r="D11365" s="255">
        <v>19021</v>
      </c>
      <c r="E11365" s="553">
        <v>134.41999999999999</v>
      </c>
      <c r="F11365" s="553">
        <v>1568.5</v>
      </c>
      <c r="G11365" s="553">
        <v>780.91</v>
      </c>
      <c r="H11365" s="553">
        <v>155.33000000000001</v>
      </c>
      <c r="I11365" s="553">
        <v>454.47</v>
      </c>
      <c r="J11365" s="647">
        <v>588.74</v>
      </c>
    </row>
    <row r="11366" spans="2:10">
      <c r="B11366" s="1230" t="s">
        <v>453</v>
      </c>
      <c r="C11366" s="132" t="s">
        <v>1725</v>
      </c>
      <c r="D11366" s="255">
        <v>19023</v>
      </c>
      <c r="E11366" s="553">
        <v>153.34</v>
      </c>
      <c r="F11366" s="553">
        <v>1841.67</v>
      </c>
      <c r="G11366" s="553">
        <v>665.4</v>
      </c>
      <c r="H11366" s="553">
        <v>181.98</v>
      </c>
      <c r="I11366" s="553">
        <v>707.5</v>
      </c>
      <c r="J11366" s="647">
        <v>637.41</v>
      </c>
    </row>
    <row r="11367" spans="2:10">
      <c r="B11367" s="1230" t="s">
        <v>453</v>
      </c>
      <c r="C11367" s="132" t="s">
        <v>1726</v>
      </c>
      <c r="D11367" s="255">
        <v>19025</v>
      </c>
      <c r="E11367" s="553">
        <v>121.79</v>
      </c>
      <c r="F11367" s="553">
        <v>1433.14</v>
      </c>
      <c r="G11367" s="553">
        <v>644.57000000000005</v>
      </c>
      <c r="H11367" s="553">
        <v>141.86000000000001</v>
      </c>
      <c r="I11367" s="553">
        <v>493.56</v>
      </c>
      <c r="J11367" s="647">
        <v>589.34</v>
      </c>
    </row>
    <row r="11368" spans="2:10">
      <c r="B11368" s="1230" t="s">
        <v>453</v>
      </c>
      <c r="C11368" s="132" t="s">
        <v>1835</v>
      </c>
      <c r="D11368" s="255">
        <v>19027</v>
      </c>
      <c r="E11368" s="553">
        <v>126.21</v>
      </c>
      <c r="F11368" s="553">
        <v>1492.34</v>
      </c>
      <c r="G11368" s="553">
        <v>649.23</v>
      </c>
      <c r="H11368" s="553">
        <v>147.65</v>
      </c>
      <c r="I11368" s="553">
        <v>475.64</v>
      </c>
      <c r="J11368" s="647">
        <v>601.54</v>
      </c>
    </row>
    <row r="11369" spans="2:10">
      <c r="B11369" s="1230" t="s">
        <v>453</v>
      </c>
      <c r="C11369" s="132" t="s">
        <v>2202</v>
      </c>
      <c r="D11369" s="255">
        <v>19029</v>
      </c>
      <c r="E11369" s="553">
        <v>120.57</v>
      </c>
      <c r="F11369" s="553">
        <v>1419.03</v>
      </c>
      <c r="G11369" s="553">
        <v>624.05999999999995</v>
      </c>
      <c r="H11369" s="553">
        <v>140.36000000000001</v>
      </c>
      <c r="I11369" s="553">
        <v>512.98</v>
      </c>
      <c r="J11369" s="647">
        <v>607.05999999999995</v>
      </c>
    </row>
    <row r="11370" spans="2:10">
      <c r="B11370" s="1230" t="s">
        <v>453</v>
      </c>
      <c r="C11370" s="132" t="s">
        <v>2299</v>
      </c>
      <c r="D11370" s="255">
        <v>19031</v>
      </c>
      <c r="E11370" s="553">
        <v>220.44</v>
      </c>
      <c r="F11370" s="553">
        <v>2604</v>
      </c>
      <c r="G11370" s="553">
        <v>713.5</v>
      </c>
      <c r="H11370" s="553">
        <v>257.67</v>
      </c>
      <c r="I11370" s="553">
        <v>1522.84</v>
      </c>
      <c r="J11370" s="647">
        <v>1934.38</v>
      </c>
    </row>
    <row r="11371" spans="2:10">
      <c r="B11371" s="1230" t="s">
        <v>453</v>
      </c>
      <c r="C11371" s="132" t="s">
        <v>2300</v>
      </c>
      <c r="D11371" s="255">
        <v>19033</v>
      </c>
      <c r="E11371" s="553">
        <v>240.52</v>
      </c>
      <c r="F11371" s="553">
        <v>2914.39</v>
      </c>
      <c r="G11371" s="553">
        <v>993.33</v>
      </c>
      <c r="H11371" s="553">
        <v>287.86</v>
      </c>
      <c r="I11371" s="553">
        <v>916.32</v>
      </c>
      <c r="J11371" s="647">
        <v>2359.33</v>
      </c>
    </row>
    <row r="11372" spans="2:10">
      <c r="B11372" s="1230" t="s">
        <v>453</v>
      </c>
      <c r="C11372" s="132" t="s">
        <v>1728</v>
      </c>
      <c r="D11372" s="255">
        <v>19035</v>
      </c>
      <c r="E11372" s="553">
        <v>126.05</v>
      </c>
      <c r="F11372" s="553">
        <v>1479.72</v>
      </c>
      <c r="G11372" s="553">
        <v>687.28</v>
      </c>
      <c r="H11372" s="553">
        <v>146.44</v>
      </c>
      <c r="I11372" s="553">
        <v>416.81</v>
      </c>
      <c r="J11372" s="647">
        <v>573.80999999999995</v>
      </c>
    </row>
    <row r="11373" spans="2:10">
      <c r="B11373" s="1230" t="s">
        <v>453</v>
      </c>
      <c r="C11373" s="132" t="s">
        <v>2301</v>
      </c>
      <c r="D11373" s="255">
        <v>19037</v>
      </c>
      <c r="E11373" s="553">
        <v>221.61</v>
      </c>
      <c r="F11373" s="553">
        <v>2631.95</v>
      </c>
      <c r="G11373" s="553">
        <v>898.98</v>
      </c>
      <c r="H11373" s="553">
        <v>260.41000000000003</v>
      </c>
      <c r="I11373" s="553">
        <v>1130.5</v>
      </c>
      <c r="J11373" s="647">
        <v>2267.75</v>
      </c>
    </row>
    <row r="11374" spans="2:10">
      <c r="B11374" s="1230" t="s">
        <v>453</v>
      </c>
      <c r="C11374" s="132" t="s">
        <v>1731</v>
      </c>
      <c r="D11374" s="255">
        <v>19039</v>
      </c>
      <c r="E11374" s="553">
        <v>143.94</v>
      </c>
      <c r="F11374" s="553">
        <v>1674.22</v>
      </c>
      <c r="G11374" s="553">
        <v>616.38</v>
      </c>
      <c r="H11374" s="553">
        <v>165.77</v>
      </c>
      <c r="I11374" s="553">
        <v>678.77</v>
      </c>
      <c r="J11374" s="647">
        <v>636.73</v>
      </c>
    </row>
    <row r="11375" spans="2:10">
      <c r="B11375" s="1230" t="s">
        <v>453</v>
      </c>
      <c r="C11375" s="132" t="s">
        <v>1732</v>
      </c>
      <c r="D11375" s="255">
        <v>19041</v>
      </c>
      <c r="E11375" s="553">
        <v>142.28</v>
      </c>
      <c r="F11375" s="553">
        <v>1673.07</v>
      </c>
      <c r="G11375" s="553">
        <v>759.59</v>
      </c>
      <c r="H11375" s="553">
        <v>165.51</v>
      </c>
      <c r="I11375" s="553">
        <v>457.84</v>
      </c>
      <c r="J11375" s="647">
        <v>589.98</v>
      </c>
    </row>
    <row r="11376" spans="2:10">
      <c r="B11376" s="1230" t="s">
        <v>453</v>
      </c>
      <c r="C11376" s="132" t="s">
        <v>2076</v>
      </c>
      <c r="D11376" s="255">
        <v>19043</v>
      </c>
      <c r="E11376" s="553">
        <v>190.34</v>
      </c>
      <c r="F11376" s="553">
        <v>2294.38</v>
      </c>
      <c r="G11376" s="553">
        <v>671.12</v>
      </c>
      <c r="H11376" s="553">
        <v>226.65</v>
      </c>
      <c r="I11376" s="553">
        <v>1161.05</v>
      </c>
      <c r="J11376" s="647">
        <v>1800.14</v>
      </c>
    </row>
    <row r="11377" spans="2:10">
      <c r="B11377" s="1230" t="s">
        <v>453</v>
      </c>
      <c r="C11377" s="132" t="s">
        <v>2205</v>
      </c>
      <c r="D11377" s="255">
        <v>19045</v>
      </c>
      <c r="E11377" s="553">
        <v>383.98</v>
      </c>
      <c r="F11377" s="553">
        <v>4650.8999999999996</v>
      </c>
      <c r="G11377" s="553">
        <v>1087.73</v>
      </c>
      <c r="H11377" s="553">
        <v>459.34</v>
      </c>
      <c r="I11377" s="553">
        <v>1984.95</v>
      </c>
      <c r="J11377" s="647">
        <v>2559.87</v>
      </c>
    </row>
    <row r="11378" spans="2:10">
      <c r="B11378" s="1230" t="s">
        <v>453</v>
      </c>
      <c r="C11378" s="132" t="s">
        <v>1842</v>
      </c>
      <c r="D11378" s="255">
        <v>19047</v>
      </c>
      <c r="E11378" s="553">
        <v>126.56</v>
      </c>
      <c r="F11378" s="553">
        <v>1473.11</v>
      </c>
      <c r="G11378" s="553">
        <v>656.18</v>
      </c>
      <c r="H11378" s="553">
        <v>145.88999999999999</v>
      </c>
      <c r="I11378" s="553">
        <v>434.79</v>
      </c>
      <c r="J11378" s="647">
        <v>596.66</v>
      </c>
    </row>
    <row r="11379" spans="2:10">
      <c r="B11379" s="1230" t="s">
        <v>453</v>
      </c>
      <c r="C11379" s="132" t="s">
        <v>1742</v>
      </c>
      <c r="D11379" s="255">
        <v>19049</v>
      </c>
      <c r="E11379" s="553">
        <v>313.37</v>
      </c>
      <c r="F11379" s="553">
        <v>3543.19</v>
      </c>
      <c r="G11379" s="553">
        <v>1040.44</v>
      </c>
      <c r="H11379" s="553">
        <v>351.9</v>
      </c>
      <c r="I11379" s="553">
        <v>567.75</v>
      </c>
      <c r="J11379" s="647">
        <v>792.47</v>
      </c>
    </row>
    <row r="11380" spans="2:10">
      <c r="B11380" s="1230" t="s">
        <v>453</v>
      </c>
      <c r="C11380" s="132" t="s">
        <v>2302</v>
      </c>
      <c r="D11380" s="255">
        <v>19051</v>
      </c>
      <c r="E11380" s="553">
        <v>178.42</v>
      </c>
      <c r="F11380" s="553">
        <v>2145.6999999999998</v>
      </c>
      <c r="G11380" s="553">
        <v>655.21</v>
      </c>
      <c r="H11380" s="553">
        <v>212.01</v>
      </c>
      <c r="I11380" s="553">
        <v>992.28</v>
      </c>
      <c r="J11380" s="647">
        <v>1796.93</v>
      </c>
    </row>
    <row r="11381" spans="2:10">
      <c r="B11381" s="1230" t="s">
        <v>453</v>
      </c>
      <c r="C11381" s="132" t="s">
        <v>2085</v>
      </c>
      <c r="D11381" s="255">
        <v>19053</v>
      </c>
      <c r="E11381" s="553">
        <v>129.9</v>
      </c>
      <c r="F11381" s="553">
        <v>1527.11</v>
      </c>
      <c r="G11381" s="553">
        <v>573.97</v>
      </c>
      <c r="H11381" s="553">
        <v>151.15</v>
      </c>
      <c r="I11381" s="553">
        <v>709.75</v>
      </c>
      <c r="J11381" s="647">
        <v>631.91999999999996</v>
      </c>
    </row>
    <row r="11382" spans="2:10">
      <c r="B11382" s="1230" t="s">
        <v>453</v>
      </c>
      <c r="C11382" s="132" t="s">
        <v>443</v>
      </c>
      <c r="D11382" s="255">
        <v>19055</v>
      </c>
      <c r="E11382" s="553">
        <v>189.48</v>
      </c>
      <c r="F11382" s="553">
        <v>2243.8000000000002</v>
      </c>
      <c r="G11382" s="553">
        <v>669.59</v>
      </c>
      <c r="H11382" s="553">
        <v>221.94</v>
      </c>
      <c r="I11382" s="553">
        <v>1262.6500000000001</v>
      </c>
      <c r="J11382" s="647">
        <v>1773.08</v>
      </c>
    </row>
    <row r="11383" spans="2:10">
      <c r="B11383" s="1230" t="s">
        <v>453</v>
      </c>
      <c r="C11383" s="132" t="s">
        <v>2303</v>
      </c>
      <c r="D11383" s="255">
        <v>19057</v>
      </c>
      <c r="E11383" s="553">
        <v>228.13</v>
      </c>
      <c r="F11383" s="553">
        <v>2767.17</v>
      </c>
      <c r="G11383" s="553">
        <v>773.95</v>
      </c>
      <c r="H11383" s="553">
        <v>273.19</v>
      </c>
      <c r="I11383" s="553">
        <v>1322.41</v>
      </c>
      <c r="J11383" s="647">
        <v>1990.6</v>
      </c>
    </row>
    <row r="11384" spans="2:10">
      <c r="B11384" s="1230" t="s">
        <v>453</v>
      </c>
      <c r="C11384" s="132" t="s">
        <v>2304</v>
      </c>
      <c r="D11384" s="255">
        <v>19059</v>
      </c>
      <c r="E11384" s="553">
        <v>113.86</v>
      </c>
      <c r="F11384" s="553">
        <v>1327.32</v>
      </c>
      <c r="G11384" s="553">
        <v>722.65</v>
      </c>
      <c r="H11384" s="553">
        <v>131.38999999999999</v>
      </c>
      <c r="I11384" s="553">
        <v>460.42</v>
      </c>
      <c r="J11384" s="647">
        <v>554.27</v>
      </c>
    </row>
    <row r="11385" spans="2:10">
      <c r="B11385" s="1230" t="s">
        <v>453</v>
      </c>
      <c r="C11385" s="132" t="s">
        <v>2305</v>
      </c>
      <c r="D11385" s="255">
        <v>19061</v>
      </c>
      <c r="E11385" s="553">
        <v>227.89</v>
      </c>
      <c r="F11385" s="553">
        <v>2758.54</v>
      </c>
      <c r="G11385" s="553">
        <v>747.52</v>
      </c>
      <c r="H11385" s="553">
        <v>272.36</v>
      </c>
      <c r="I11385" s="553">
        <v>1494.24</v>
      </c>
      <c r="J11385" s="647">
        <v>1951.95</v>
      </c>
    </row>
    <row r="11386" spans="2:10">
      <c r="B11386" s="1230" t="s">
        <v>453</v>
      </c>
      <c r="C11386" s="132" t="s">
        <v>2306</v>
      </c>
      <c r="D11386" s="255">
        <v>19063</v>
      </c>
      <c r="E11386" s="553">
        <v>161.38999999999999</v>
      </c>
      <c r="F11386" s="553">
        <v>1893.93</v>
      </c>
      <c r="G11386" s="553">
        <v>850.87</v>
      </c>
      <c r="H11386" s="553">
        <v>187.44</v>
      </c>
      <c r="I11386" s="553">
        <v>704.26</v>
      </c>
      <c r="J11386" s="647">
        <v>1926.31</v>
      </c>
    </row>
    <row r="11387" spans="2:10">
      <c r="B11387" s="1230" t="s">
        <v>453</v>
      </c>
      <c r="C11387" s="132" t="s">
        <v>1747</v>
      </c>
      <c r="D11387" s="255">
        <v>19065</v>
      </c>
      <c r="E11387" s="553">
        <v>177.38</v>
      </c>
      <c r="F11387" s="553">
        <v>2121.9499999999998</v>
      </c>
      <c r="G11387" s="553">
        <v>698.14</v>
      </c>
      <c r="H11387" s="553">
        <v>209.74</v>
      </c>
      <c r="I11387" s="553">
        <v>1003.61</v>
      </c>
      <c r="J11387" s="647">
        <v>1741.53</v>
      </c>
    </row>
    <row r="11388" spans="2:10">
      <c r="B11388" s="1230" t="s">
        <v>453</v>
      </c>
      <c r="C11388" s="132" t="s">
        <v>2095</v>
      </c>
      <c r="D11388" s="255">
        <v>19067</v>
      </c>
      <c r="E11388" s="553">
        <v>203.06</v>
      </c>
      <c r="F11388" s="553">
        <v>2454.0100000000002</v>
      </c>
      <c r="G11388" s="553">
        <v>879.01</v>
      </c>
      <c r="H11388" s="553">
        <v>242.32</v>
      </c>
      <c r="I11388" s="553">
        <v>1014.61</v>
      </c>
      <c r="J11388" s="647">
        <v>2193.37</v>
      </c>
    </row>
    <row r="11389" spans="2:10">
      <c r="B11389" s="1230" t="s">
        <v>453</v>
      </c>
      <c r="C11389" s="132" t="s">
        <v>1748</v>
      </c>
      <c r="D11389" s="255">
        <v>19069</v>
      </c>
      <c r="E11389" s="553">
        <v>163.63999999999999</v>
      </c>
      <c r="F11389" s="553">
        <v>2012.81</v>
      </c>
      <c r="G11389" s="553">
        <v>652.19000000000005</v>
      </c>
      <c r="H11389" s="553">
        <v>198.57</v>
      </c>
      <c r="I11389" s="553">
        <v>632.21</v>
      </c>
      <c r="J11389" s="647">
        <v>644.34</v>
      </c>
    </row>
    <row r="11390" spans="2:10">
      <c r="B11390" s="1230" t="s">
        <v>453</v>
      </c>
      <c r="C11390" s="132" t="s">
        <v>1961</v>
      </c>
      <c r="D11390" s="255">
        <v>19071</v>
      </c>
      <c r="E11390" s="553">
        <v>134.79</v>
      </c>
      <c r="F11390" s="553">
        <v>1538.87</v>
      </c>
      <c r="G11390" s="553">
        <v>664.08</v>
      </c>
      <c r="H11390" s="553">
        <v>152.61000000000001</v>
      </c>
      <c r="I11390" s="553">
        <v>481.75</v>
      </c>
      <c r="J11390" s="647">
        <v>622.29999999999995</v>
      </c>
    </row>
    <row r="11391" spans="2:10">
      <c r="B11391" s="1230" t="s">
        <v>453</v>
      </c>
      <c r="C11391" s="132" t="s">
        <v>1750</v>
      </c>
      <c r="D11391" s="255">
        <v>19073</v>
      </c>
      <c r="E11391" s="553">
        <v>135.57</v>
      </c>
      <c r="F11391" s="553">
        <v>1609.68</v>
      </c>
      <c r="G11391" s="553">
        <v>678.68</v>
      </c>
      <c r="H11391" s="553">
        <v>159.19</v>
      </c>
      <c r="I11391" s="553">
        <v>516.34</v>
      </c>
      <c r="J11391" s="647">
        <v>615.02</v>
      </c>
    </row>
    <row r="11392" spans="2:10">
      <c r="B11392" s="1230" t="s">
        <v>453</v>
      </c>
      <c r="C11392" s="132" t="s">
        <v>2214</v>
      </c>
      <c r="D11392" s="255">
        <v>19075</v>
      </c>
      <c r="E11392" s="553">
        <v>136.37</v>
      </c>
      <c r="F11392" s="553">
        <v>1643.51</v>
      </c>
      <c r="G11392" s="553">
        <v>767.38</v>
      </c>
      <c r="H11392" s="553">
        <v>162.30000000000001</v>
      </c>
      <c r="I11392" s="553">
        <v>712.55</v>
      </c>
      <c r="J11392" s="647">
        <v>630.70000000000005</v>
      </c>
    </row>
    <row r="11393" spans="2:10">
      <c r="B11393" s="1230" t="s">
        <v>453</v>
      </c>
      <c r="C11393" s="132" t="s">
        <v>2307</v>
      </c>
      <c r="D11393" s="255">
        <v>19077</v>
      </c>
      <c r="E11393" s="553">
        <v>152.84</v>
      </c>
      <c r="F11393" s="553">
        <v>1757.23</v>
      </c>
      <c r="G11393" s="553">
        <v>790.24</v>
      </c>
      <c r="H11393" s="553">
        <v>174.29</v>
      </c>
      <c r="I11393" s="553">
        <v>529.26</v>
      </c>
      <c r="J11393" s="647">
        <v>638.94000000000005</v>
      </c>
    </row>
    <row r="11394" spans="2:10">
      <c r="B11394" s="1230" t="s">
        <v>453</v>
      </c>
      <c r="C11394" s="132" t="s">
        <v>2023</v>
      </c>
      <c r="D11394" s="255">
        <v>19079</v>
      </c>
      <c r="E11394" s="553">
        <v>127.89</v>
      </c>
      <c r="F11394" s="553">
        <v>1524.74</v>
      </c>
      <c r="G11394" s="553">
        <v>630.86</v>
      </c>
      <c r="H11394" s="553">
        <v>150.69999999999999</v>
      </c>
      <c r="I11394" s="553">
        <v>572.37</v>
      </c>
      <c r="J11394" s="647">
        <v>604.16999999999996</v>
      </c>
    </row>
    <row r="11395" spans="2:10">
      <c r="B11395" s="1230" t="s">
        <v>453</v>
      </c>
      <c r="C11395" s="132" t="s">
        <v>2105</v>
      </c>
      <c r="D11395" s="255">
        <v>19081</v>
      </c>
      <c r="E11395" s="553">
        <v>144.86000000000001</v>
      </c>
      <c r="F11395" s="553">
        <v>1729.14</v>
      </c>
      <c r="G11395" s="553">
        <v>709.82</v>
      </c>
      <c r="H11395" s="553">
        <v>170.96</v>
      </c>
      <c r="I11395" s="553">
        <v>578.33000000000004</v>
      </c>
      <c r="J11395" s="647">
        <v>613.20000000000005</v>
      </c>
    </row>
    <row r="11396" spans="2:10">
      <c r="B11396" s="1230" t="s">
        <v>453</v>
      </c>
      <c r="C11396" s="132" t="s">
        <v>2215</v>
      </c>
      <c r="D11396" s="255">
        <v>19083</v>
      </c>
      <c r="E11396" s="553">
        <v>129.6</v>
      </c>
      <c r="F11396" s="553">
        <v>1570.84</v>
      </c>
      <c r="G11396" s="553">
        <v>637.92999999999995</v>
      </c>
      <c r="H11396" s="553">
        <v>155.04</v>
      </c>
      <c r="I11396" s="553">
        <v>635.72</v>
      </c>
      <c r="J11396" s="647">
        <v>614.95000000000005</v>
      </c>
    </row>
    <row r="11397" spans="2:10">
      <c r="B11397" s="1230" t="s">
        <v>453</v>
      </c>
      <c r="C11397" s="132" t="s">
        <v>2261</v>
      </c>
      <c r="D11397" s="255">
        <v>19085</v>
      </c>
      <c r="E11397" s="553">
        <v>145.15</v>
      </c>
      <c r="F11397" s="553">
        <v>1680.76</v>
      </c>
      <c r="G11397" s="553">
        <v>699.18</v>
      </c>
      <c r="H11397" s="553">
        <v>166.62</v>
      </c>
      <c r="I11397" s="553">
        <v>413.85</v>
      </c>
      <c r="J11397" s="647">
        <v>614.52</v>
      </c>
    </row>
    <row r="11398" spans="2:10">
      <c r="B11398" s="1230" t="s">
        <v>453</v>
      </c>
      <c r="C11398" s="132" t="s">
        <v>1752</v>
      </c>
      <c r="D11398" s="255">
        <v>19087</v>
      </c>
      <c r="E11398" s="553">
        <v>208.31</v>
      </c>
      <c r="F11398" s="553">
        <v>2525.44</v>
      </c>
      <c r="G11398" s="553">
        <v>710.51</v>
      </c>
      <c r="H11398" s="553">
        <v>249.33</v>
      </c>
      <c r="I11398" s="553">
        <v>1212.0899999999999</v>
      </c>
      <c r="J11398" s="647">
        <v>1899.91</v>
      </c>
    </row>
    <row r="11399" spans="2:10">
      <c r="B11399" s="1230" t="s">
        <v>453</v>
      </c>
      <c r="C11399" s="132" t="s">
        <v>1853</v>
      </c>
      <c r="D11399" s="255">
        <v>19089</v>
      </c>
      <c r="E11399" s="553">
        <v>196.01</v>
      </c>
      <c r="F11399" s="553">
        <v>2299.14</v>
      </c>
      <c r="G11399" s="553">
        <v>849.48</v>
      </c>
      <c r="H11399" s="553">
        <v>227.51</v>
      </c>
      <c r="I11399" s="553">
        <v>1102.8399999999999</v>
      </c>
      <c r="J11399" s="647">
        <v>2133.38</v>
      </c>
    </row>
    <row r="11400" spans="2:10">
      <c r="B11400" s="1230" t="s">
        <v>453</v>
      </c>
      <c r="C11400" s="132" t="s">
        <v>1895</v>
      </c>
      <c r="D11400" s="255">
        <v>19091</v>
      </c>
      <c r="E11400" s="553">
        <v>118.57</v>
      </c>
      <c r="F11400" s="553">
        <v>1386.08</v>
      </c>
      <c r="G11400" s="553">
        <v>651.92999999999995</v>
      </c>
      <c r="H11400" s="553">
        <v>137.16999999999999</v>
      </c>
      <c r="I11400" s="553">
        <v>540.01</v>
      </c>
      <c r="J11400" s="647">
        <v>582.04</v>
      </c>
    </row>
    <row r="11401" spans="2:10">
      <c r="B11401" s="1230" t="s">
        <v>453</v>
      </c>
      <c r="C11401" s="132" t="s">
        <v>2308</v>
      </c>
      <c r="D11401" s="255">
        <v>19093</v>
      </c>
      <c r="E11401" s="553">
        <v>110.01</v>
      </c>
      <c r="F11401" s="553">
        <v>1273.6400000000001</v>
      </c>
      <c r="G11401" s="553">
        <v>658.02</v>
      </c>
      <c r="H11401" s="553">
        <v>126.18</v>
      </c>
      <c r="I11401" s="553">
        <v>422.95</v>
      </c>
      <c r="J11401" s="647">
        <v>562.70000000000005</v>
      </c>
    </row>
    <row r="11402" spans="2:10">
      <c r="B11402" s="1230" t="s">
        <v>453</v>
      </c>
      <c r="C11402" s="132" t="s">
        <v>453</v>
      </c>
      <c r="D11402" s="255">
        <v>19095</v>
      </c>
      <c r="E11402" s="553">
        <v>230.32</v>
      </c>
      <c r="F11402" s="553">
        <v>2578.23</v>
      </c>
      <c r="G11402" s="553">
        <v>746.75</v>
      </c>
      <c r="H11402" s="553">
        <v>256.23</v>
      </c>
      <c r="I11402" s="553">
        <v>1137.67</v>
      </c>
      <c r="J11402" s="647">
        <v>1911.32</v>
      </c>
    </row>
    <row r="11403" spans="2:10">
      <c r="B11403" s="1230" t="s">
        <v>453</v>
      </c>
      <c r="C11403" s="132" t="s">
        <v>1754</v>
      </c>
      <c r="D11403" s="255">
        <v>19097</v>
      </c>
      <c r="E11403" s="553">
        <v>283.16000000000003</v>
      </c>
      <c r="F11403" s="553">
        <v>3475.58</v>
      </c>
      <c r="G11403" s="553">
        <v>834.19</v>
      </c>
      <c r="H11403" s="553">
        <v>342.94</v>
      </c>
      <c r="I11403" s="553">
        <v>1809.12</v>
      </c>
      <c r="J11403" s="647">
        <v>2162.71</v>
      </c>
    </row>
    <row r="11404" spans="2:10">
      <c r="B11404" s="1230" t="s">
        <v>453</v>
      </c>
      <c r="C11404" s="132" t="s">
        <v>2111</v>
      </c>
      <c r="D11404" s="255">
        <v>19099</v>
      </c>
      <c r="E11404" s="553">
        <v>310.51</v>
      </c>
      <c r="F11404" s="553">
        <v>3642.92</v>
      </c>
      <c r="G11404" s="553">
        <v>1058.22</v>
      </c>
      <c r="H11404" s="553">
        <v>360.75</v>
      </c>
      <c r="I11404" s="553">
        <v>713.5</v>
      </c>
      <c r="J11404" s="647">
        <v>833.89</v>
      </c>
    </row>
    <row r="11405" spans="2:10">
      <c r="B11405" s="1230" t="s">
        <v>453</v>
      </c>
      <c r="C11405" s="132" t="s">
        <v>1755</v>
      </c>
      <c r="D11405" s="255">
        <v>19101</v>
      </c>
      <c r="E11405" s="553">
        <v>177.43</v>
      </c>
      <c r="F11405" s="553">
        <v>2078.89</v>
      </c>
      <c r="G11405" s="553">
        <v>654.84</v>
      </c>
      <c r="H11405" s="553">
        <v>205.82</v>
      </c>
      <c r="I11405" s="553">
        <v>1107</v>
      </c>
      <c r="J11405" s="647">
        <v>1774.08</v>
      </c>
    </row>
    <row r="11406" spans="2:10">
      <c r="B11406" s="1230" t="s">
        <v>453</v>
      </c>
      <c r="C11406" s="132" t="s">
        <v>1856</v>
      </c>
      <c r="D11406" s="255">
        <v>19103</v>
      </c>
      <c r="E11406" s="553">
        <v>249.81</v>
      </c>
      <c r="F11406" s="553">
        <v>2821.2</v>
      </c>
      <c r="G11406" s="553">
        <v>773.37</v>
      </c>
      <c r="H11406" s="553">
        <v>280.20999999999998</v>
      </c>
      <c r="I11406" s="553">
        <v>1286.3399999999999</v>
      </c>
      <c r="J11406" s="647">
        <v>2013.65</v>
      </c>
    </row>
    <row r="11407" spans="2:10">
      <c r="B11407" s="1230" t="s">
        <v>453</v>
      </c>
      <c r="C11407" s="132" t="s">
        <v>2114</v>
      </c>
      <c r="D11407" s="255">
        <v>19105</v>
      </c>
      <c r="E11407" s="553">
        <v>194.79</v>
      </c>
      <c r="F11407" s="553">
        <v>2307.27</v>
      </c>
      <c r="G11407" s="553">
        <v>770.71</v>
      </c>
      <c r="H11407" s="553">
        <v>228.26</v>
      </c>
      <c r="I11407" s="553">
        <v>1488.81</v>
      </c>
      <c r="J11407" s="647">
        <v>1817.13</v>
      </c>
    </row>
    <row r="11408" spans="2:10">
      <c r="B11408" s="1230" t="s">
        <v>453</v>
      </c>
      <c r="C11408" s="132" t="s">
        <v>2309</v>
      </c>
      <c r="D11408" s="255">
        <v>19107</v>
      </c>
      <c r="E11408" s="553">
        <v>191.88</v>
      </c>
      <c r="F11408" s="553">
        <v>2278.14</v>
      </c>
      <c r="G11408" s="553">
        <v>691.19</v>
      </c>
      <c r="H11408" s="553">
        <v>225.22</v>
      </c>
      <c r="I11408" s="553">
        <v>1073.8399999999999</v>
      </c>
      <c r="J11408" s="647">
        <v>1836.71</v>
      </c>
    </row>
    <row r="11409" spans="2:10">
      <c r="B11409" s="1230" t="s">
        <v>453</v>
      </c>
      <c r="C11409" s="132" t="s">
        <v>2310</v>
      </c>
      <c r="D11409" s="255">
        <v>19109</v>
      </c>
      <c r="E11409" s="553">
        <v>135.86000000000001</v>
      </c>
      <c r="F11409" s="553">
        <v>1564.64</v>
      </c>
      <c r="G11409" s="553">
        <v>681.42</v>
      </c>
      <c r="H11409" s="553">
        <v>155.05000000000001</v>
      </c>
      <c r="I11409" s="553">
        <v>547</v>
      </c>
      <c r="J11409" s="647">
        <v>601.61</v>
      </c>
    </row>
    <row r="11410" spans="2:10">
      <c r="B11410" s="1230" t="s">
        <v>453</v>
      </c>
      <c r="C11410" s="132" t="s">
        <v>1759</v>
      </c>
      <c r="D11410" s="255">
        <v>19111</v>
      </c>
      <c r="E11410" s="553">
        <v>209.04</v>
      </c>
      <c r="F11410" s="553">
        <v>2584.6</v>
      </c>
      <c r="G11410" s="553">
        <v>737.26</v>
      </c>
      <c r="H11410" s="553">
        <v>254.81</v>
      </c>
      <c r="I11410" s="553">
        <v>1338.2</v>
      </c>
      <c r="J11410" s="647">
        <v>1942.88</v>
      </c>
    </row>
    <row r="11411" spans="2:10">
      <c r="B11411" s="1230" t="s">
        <v>453</v>
      </c>
      <c r="C11411" s="132" t="s">
        <v>2311</v>
      </c>
      <c r="D11411" s="255">
        <v>19113</v>
      </c>
      <c r="E11411" s="553">
        <v>278.66000000000003</v>
      </c>
      <c r="F11411" s="553">
        <v>3265.25</v>
      </c>
      <c r="G11411" s="553">
        <v>872.34</v>
      </c>
      <c r="H11411" s="553">
        <v>323.39</v>
      </c>
      <c r="I11411" s="553">
        <v>1285.74</v>
      </c>
      <c r="J11411" s="647">
        <v>2120.39</v>
      </c>
    </row>
    <row r="11412" spans="2:10">
      <c r="B11412" s="1230" t="s">
        <v>453</v>
      </c>
      <c r="C11412" s="132" t="s">
        <v>2312</v>
      </c>
      <c r="D11412" s="255">
        <v>19115</v>
      </c>
      <c r="E11412" s="553">
        <v>223.1</v>
      </c>
      <c r="F11412" s="553">
        <v>2624.2</v>
      </c>
      <c r="G11412" s="553">
        <v>803.32</v>
      </c>
      <c r="H11412" s="553">
        <v>259.74</v>
      </c>
      <c r="I11412" s="553">
        <v>1355.56</v>
      </c>
      <c r="J11412" s="647">
        <v>1952.52</v>
      </c>
    </row>
    <row r="11413" spans="2:10">
      <c r="B11413" s="1230" t="s">
        <v>453</v>
      </c>
      <c r="C11413" s="132" t="s">
        <v>2313</v>
      </c>
      <c r="D11413" s="255">
        <v>19117</v>
      </c>
      <c r="E11413" s="553">
        <v>138.26</v>
      </c>
      <c r="F11413" s="553">
        <v>1636.88</v>
      </c>
      <c r="G11413" s="553">
        <v>589.38</v>
      </c>
      <c r="H11413" s="553">
        <v>161.84</v>
      </c>
      <c r="I11413" s="553">
        <v>763.6</v>
      </c>
      <c r="J11413" s="647">
        <v>639.66</v>
      </c>
    </row>
    <row r="11414" spans="2:10">
      <c r="B11414" s="1230" t="s">
        <v>453</v>
      </c>
      <c r="C11414" s="132" t="s">
        <v>2314</v>
      </c>
      <c r="D11414" s="255">
        <v>19119</v>
      </c>
      <c r="E11414" s="553">
        <v>152.77000000000001</v>
      </c>
      <c r="F11414" s="553">
        <v>1843.23</v>
      </c>
      <c r="G11414" s="553">
        <v>787.69</v>
      </c>
      <c r="H11414" s="553">
        <v>182.04</v>
      </c>
      <c r="I11414" s="553">
        <v>432.64</v>
      </c>
      <c r="J11414" s="647">
        <v>732.43</v>
      </c>
    </row>
    <row r="11415" spans="2:10">
      <c r="B11415" s="1230" t="s">
        <v>453</v>
      </c>
      <c r="C11415" s="132" t="s">
        <v>1763</v>
      </c>
      <c r="D11415" s="255">
        <v>19121</v>
      </c>
      <c r="E11415" s="553">
        <v>153.59</v>
      </c>
      <c r="F11415" s="553">
        <v>1777.78</v>
      </c>
      <c r="G11415" s="553">
        <v>673.38</v>
      </c>
      <c r="H11415" s="553">
        <v>176.14</v>
      </c>
      <c r="I11415" s="553">
        <v>609.47</v>
      </c>
      <c r="J11415" s="647">
        <v>638.62</v>
      </c>
    </row>
    <row r="11416" spans="2:10">
      <c r="B11416" s="1230" t="s">
        <v>453</v>
      </c>
      <c r="C11416" s="132" t="s">
        <v>2315</v>
      </c>
      <c r="D11416" s="255">
        <v>19123</v>
      </c>
      <c r="E11416" s="553">
        <v>160.28</v>
      </c>
      <c r="F11416" s="553">
        <v>1926.38</v>
      </c>
      <c r="G11416" s="553">
        <v>688.52</v>
      </c>
      <c r="H11416" s="553">
        <v>190.32</v>
      </c>
      <c r="I11416" s="553">
        <v>963.15</v>
      </c>
      <c r="J11416" s="647">
        <v>1717.21</v>
      </c>
    </row>
    <row r="11417" spans="2:10">
      <c r="B11417" s="1230" t="s">
        <v>453</v>
      </c>
      <c r="C11417" s="132" t="s">
        <v>1765</v>
      </c>
      <c r="D11417" s="255">
        <v>19125</v>
      </c>
      <c r="E11417" s="553">
        <v>146.35</v>
      </c>
      <c r="F11417" s="553">
        <v>1765.04</v>
      </c>
      <c r="G11417" s="553">
        <v>670.46</v>
      </c>
      <c r="H11417" s="553">
        <v>174.39</v>
      </c>
      <c r="I11417" s="553">
        <v>764.19</v>
      </c>
      <c r="J11417" s="647">
        <v>658.46</v>
      </c>
    </row>
    <row r="11418" spans="2:10">
      <c r="B11418" s="1230" t="s">
        <v>453</v>
      </c>
      <c r="C11418" s="132" t="s">
        <v>1766</v>
      </c>
      <c r="D11418" s="255">
        <v>19127</v>
      </c>
      <c r="E11418" s="553">
        <v>174.69</v>
      </c>
      <c r="F11418" s="553">
        <v>2121.63</v>
      </c>
      <c r="G11418" s="553">
        <v>756.16</v>
      </c>
      <c r="H11418" s="553">
        <v>209.42</v>
      </c>
      <c r="I11418" s="553">
        <v>678.95</v>
      </c>
      <c r="J11418" s="647">
        <v>673.66</v>
      </c>
    </row>
    <row r="11419" spans="2:10">
      <c r="B11419" s="1230" t="s">
        <v>453</v>
      </c>
      <c r="C11419" s="132" t="s">
        <v>2316</v>
      </c>
      <c r="D11419" s="255">
        <v>19129</v>
      </c>
      <c r="E11419" s="553">
        <v>190.88</v>
      </c>
      <c r="F11419" s="553">
        <v>2209.5500000000002</v>
      </c>
      <c r="G11419" s="553">
        <v>808.32</v>
      </c>
      <c r="H11419" s="553">
        <v>219.04</v>
      </c>
      <c r="I11419" s="553">
        <v>467.2</v>
      </c>
      <c r="J11419" s="647">
        <v>675.64</v>
      </c>
    </row>
    <row r="11420" spans="2:10">
      <c r="B11420" s="1230" t="s">
        <v>453</v>
      </c>
      <c r="C11420" s="132" t="s">
        <v>2122</v>
      </c>
      <c r="D11420" s="255">
        <v>19131</v>
      </c>
      <c r="E11420" s="553">
        <v>238.86</v>
      </c>
      <c r="F11420" s="553">
        <v>2932.74</v>
      </c>
      <c r="G11420" s="553">
        <v>1017.6</v>
      </c>
      <c r="H11420" s="553">
        <v>289.44</v>
      </c>
      <c r="I11420" s="553">
        <v>991.85</v>
      </c>
      <c r="J11420" s="647">
        <v>2327.6799999999998</v>
      </c>
    </row>
    <row r="11421" spans="2:10">
      <c r="B11421" s="1230" t="s">
        <v>453</v>
      </c>
      <c r="C11421" s="132" t="s">
        <v>2317</v>
      </c>
      <c r="D11421" s="255">
        <v>19133</v>
      </c>
      <c r="E11421" s="553">
        <v>163.97</v>
      </c>
      <c r="F11421" s="553">
        <v>1930.76</v>
      </c>
      <c r="G11421" s="553">
        <v>702.38</v>
      </c>
      <c r="H11421" s="553">
        <v>191.09</v>
      </c>
      <c r="I11421" s="553">
        <v>402.5</v>
      </c>
      <c r="J11421" s="647">
        <v>635.15</v>
      </c>
    </row>
    <row r="11422" spans="2:10">
      <c r="B11422" s="1230" t="s">
        <v>453</v>
      </c>
      <c r="C11422" s="132" t="s">
        <v>1768</v>
      </c>
      <c r="D11422" s="255">
        <v>19135</v>
      </c>
      <c r="E11422" s="553">
        <v>141.88</v>
      </c>
      <c r="F11422" s="553">
        <v>1697.4</v>
      </c>
      <c r="G11422" s="553">
        <v>586.26</v>
      </c>
      <c r="H11422" s="553">
        <v>167.74</v>
      </c>
      <c r="I11422" s="553">
        <v>864.85</v>
      </c>
      <c r="J11422" s="647">
        <v>654.32000000000005</v>
      </c>
    </row>
    <row r="11423" spans="2:10">
      <c r="B11423" s="1230" t="s">
        <v>453</v>
      </c>
      <c r="C11423" s="132" t="s">
        <v>1769</v>
      </c>
      <c r="D11423" s="255">
        <v>19137</v>
      </c>
      <c r="E11423" s="553">
        <v>135.9</v>
      </c>
      <c r="F11423" s="553">
        <v>1600.87</v>
      </c>
      <c r="G11423" s="553">
        <v>673.7</v>
      </c>
      <c r="H11423" s="553">
        <v>158.37</v>
      </c>
      <c r="I11423" s="553">
        <v>511.49</v>
      </c>
      <c r="J11423" s="647">
        <v>626.63</v>
      </c>
    </row>
    <row r="11424" spans="2:10">
      <c r="B11424" s="1230" t="s">
        <v>453</v>
      </c>
      <c r="C11424" s="132" t="s">
        <v>2318</v>
      </c>
      <c r="D11424" s="255">
        <v>19139</v>
      </c>
      <c r="E11424" s="553">
        <v>246.8</v>
      </c>
      <c r="F11424" s="553">
        <v>2896.42</v>
      </c>
      <c r="G11424" s="553">
        <v>716</v>
      </c>
      <c r="H11424" s="553">
        <v>286.76</v>
      </c>
      <c r="I11424" s="553">
        <v>1466.28</v>
      </c>
      <c r="J11424" s="647">
        <v>2023.74</v>
      </c>
    </row>
    <row r="11425" spans="2:10">
      <c r="B11425" s="1230" t="s">
        <v>453</v>
      </c>
      <c r="C11425" s="132" t="s">
        <v>2319</v>
      </c>
      <c r="D11425" s="255">
        <v>19141</v>
      </c>
      <c r="E11425" s="553">
        <v>127.51</v>
      </c>
      <c r="F11425" s="553">
        <v>1477.51</v>
      </c>
      <c r="G11425" s="553">
        <v>669.03</v>
      </c>
      <c r="H11425" s="553">
        <v>146.41</v>
      </c>
      <c r="I11425" s="553">
        <v>418.14</v>
      </c>
      <c r="J11425" s="647">
        <v>565.45000000000005</v>
      </c>
    </row>
    <row r="11426" spans="2:10">
      <c r="B11426" s="1230" t="s">
        <v>453</v>
      </c>
      <c r="C11426" s="132" t="s">
        <v>2039</v>
      </c>
      <c r="D11426" s="255">
        <v>19143</v>
      </c>
      <c r="E11426" s="553">
        <v>105.38</v>
      </c>
      <c r="F11426" s="553">
        <v>1199.68</v>
      </c>
      <c r="G11426" s="553">
        <v>678.61</v>
      </c>
      <c r="H11426" s="553">
        <v>119.07</v>
      </c>
      <c r="I11426" s="553">
        <v>419.73</v>
      </c>
      <c r="J11426" s="647">
        <v>536.95000000000005</v>
      </c>
    </row>
    <row r="11427" spans="2:10">
      <c r="B11427" s="1230" t="s">
        <v>453</v>
      </c>
      <c r="C11427" s="132" t="s">
        <v>2320</v>
      </c>
      <c r="D11427" s="255">
        <v>19145</v>
      </c>
      <c r="E11427" s="553">
        <v>132.32</v>
      </c>
      <c r="F11427" s="553">
        <v>1560.95</v>
      </c>
      <c r="G11427" s="553">
        <v>644.63</v>
      </c>
      <c r="H11427" s="553">
        <v>154.47</v>
      </c>
      <c r="I11427" s="553">
        <v>529.98</v>
      </c>
      <c r="J11427" s="647">
        <v>630.9</v>
      </c>
    </row>
    <row r="11428" spans="2:10">
      <c r="B11428" s="1230" t="s">
        <v>453</v>
      </c>
      <c r="C11428" s="132" t="s">
        <v>2321</v>
      </c>
      <c r="D11428" s="255">
        <v>19147</v>
      </c>
      <c r="E11428" s="553">
        <v>117.44</v>
      </c>
      <c r="F11428" s="553">
        <v>1355.57</v>
      </c>
      <c r="G11428" s="553">
        <v>678.29</v>
      </c>
      <c r="H11428" s="553">
        <v>134.30000000000001</v>
      </c>
      <c r="I11428" s="553">
        <v>499.53</v>
      </c>
      <c r="J11428" s="647">
        <v>568.41999999999996</v>
      </c>
    </row>
    <row r="11429" spans="2:10">
      <c r="B11429" s="1230" t="s">
        <v>453</v>
      </c>
      <c r="C11429" s="132" t="s">
        <v>2322</v>
      </c>
      <c r="D11429" s="255">
        <v>19149</v>
      </c>
      <c r="E11429" s="553">
        <v>157.37</v>
      </c>
      <c r="F11429" s="553">
        <v>1865.25</v>
      </c>
      <c r="G11429" s="553">
        <v>743.3</v>
      </c>
      <c r="H11429" s="553">
        <v>184.62</v>
      </c>
      <c r="I11429" s="553">
        <v>370.49</v>
      </c>
      <c r="J11429" s="647">
        <v>618.94000000000005</v>
      </c>
    </row>
    <row r="11430" spans="2:10">
      <c r="B11430" s="1230" t="s">
        <v>453</v>
      </c>
      <c r="C11430" s="132" t="s">
        <v>2323</v>
      </c>
      <c r="D11430" s="255">
        <v>19151</v>
      </c>
      <c r="E11430" s="553">
        <v>121.14</v>
      </c>
      <c r="F11430" s="553">
        <v>1410.09</v>
      </c>
      <c r="G11430" s="553">
        <v>652.44000000000005</v>
      </c>
      <c r="H11430" s="553">
        <v>139.74</v>
      </c>
      <c r="I11430" s="553">
        <v>496.06</v>
      </c>
      <c r="J11430" s="647">
        <v>579.78</v>
      </c>
    </row>
    <row r="11431" spans="2:10">
      <c r="B11431" s="1230" t="s">
        <v>453</v>
      </c>
      <c r="C11431" s="132" t="s">
        <v>1867</v>
      </c>
      <c r="D11431" s="255">
        <v>19153</v>
      </c>
      <c r="E11431" s="553">
        <v>304.85000000000002</v>
      </c>
      <c r="F11431" s="553">
        <v>3475.88</v>
      </c>
      <c r="G11431" s="553">
        <v>922.67</v>
      </c>
      <c r="H11431" s="553">
        <v>345.03</v>
      </c>
      <c r="I11431" s="553">
        <v>631.11</v>
      </c>
      <c r="J11431" s="647">
        <v>800.19</v>
      </c>
    </row>
    <row r="11432" spans="2:10">
      <c r="B11432" s="1230" t="s">
        <v>453</v>
      </c>
      <c r="C11432" s="132" t="s">
        <v>2324</v>
      </c>
      <c r="D11432" s="255">
        <v>19155</v>
      </c>
      <c r="E11432" s="553">
        <v>303.17</v>
      </c>
      <c r="F11432" s="553">
        <v>3468.9</v>
      </c>
      <c r="G11432" s="553">
        <v>1033.48</v>
      </c>
      <c r="H11432" s="553">
        <v>344.2</v>
      </c>
      <c r="I11432" s="553">
        <v>453.53</v>
      </c>
      <c r="J11432" s="647">
        <v>834.25</v>
      </c>
    </row>
    <row r="11433" spans="2:10">
      <c r="B11433" s="1230" t="s">
        <v>453</v>
      </c>
      <c r="C11433" s="132" t="s">
        <v>2325</v>
      </c>
      <c r="D11433" s="255">
        <v>19157</v>
      </c>
      <c r="E11433" s="553">
        <v>164.12</v>
      </c>
      <c r="F11433" s="553">
        <v>1960.47</v>
      </c>
      <c r="G11433" s="553">
        <v>663.53</v>
      </c>
      <c r="H11433" s="553">
        <v>193.77</v>
      </c>
      <c r="I11433" s="553">
        <v>1003.31</v>
      </c>
      <c r="J11433" s="647">
        <v>1729.14</v>
      </c>
    </row>
    <row r="11434" spans="2:10">
      <c r="B11434" s="1230" t="s">
        <v>453</v>
      </c>
      <c r="C11434" s="132" t="s">
        <v>2326</v>
      </c>
      <c r="D11434" s="255">
        <v>19159</v>
      </c>
      <c r="E11434" s="553">
        <v>130.88</v>
      </c>
      <c r="F11434" s="553">
        <v>1518.77</v>
      </c>
      <c r="G11434" s="553">
        <v>585.16</v>
      </c>
      <c r="H11434" s="553">
        <v>150.47999999999999</v>
      </c>
      <c r="I11434" s="553">
        <v>638.6</v>
      </c>
      <c r="J11434" s="647">
        <v>626.30999999999995</v>
      </c>
    </row>
    <row r="11435" spans="2:10">
      <c r="B11435" s="1230" t="s">
        <v>453</v>
      </c>
      <c r="C11435" s="132" t="s">
        <v>2327</v>
      </c>
      <c r="D11435" s="255">
        <v>19161</v>
      </c>
      <c r="E11435" s="553">
        <v>121.85</v>
      </c>
      <c r="F11435" s="553">
        <v>1416.22</v>
      </c>
      <c r="G11435" s="553">
        <v>671.56</v>
      </c>
      <c r="H11435" s="553">
        <v>140.35</v>
      </c>
      <c r="I11435" s="553">
        <v>455.21</v>
      </c>
      <c r="J11435" s="647">
        <v>581.22</v>
      </c>
    </row>
    <row r="11436" spans="2:10">
      <c r="B11436" s="1230" t="s">
        <v>453</v>
      </c>
      <c r="C11436" s="132" t="s">
        <v>1873</v>
      </c>
      <c r="D11436" s="255">
        <v>19163</v>
      </c>
      <c r="E11436" s="553">
        <v>435.61</v>
      </c>
      <c r="F11436" s="553">
        <v>5301.04</v>
      </c>
      <c r="G11436" s="553">
        <v>1058.26</v>
      </c>
      <c r="H11436" s="553">
        <v>523.37</v>
      </c>
      <c r="I11436" s="553">
        <v>1793.75</v>
      </c>
      <c r="J11436" s="647">
        <v>2606.4299999999998</v>
      </c>
    </row>
    <row r="11437" spans="2:10">
      <c r="B11437" s="1230" t="s">
        <v>453</v>
      </c>
      <c r="C11437" s="132" t="s">
        <v>1777</v>
      </c>
      <c r="D11437" s="255">
        <v>19165</v>
      </c>
      <c r="E11437" s="553">
        <v>127.43</v>
      </c>
      <c r="F11437" s="553">
        <v>1480.52</v>
      </c>
      <c r="G11437" s="553">
        <v>680.34</v>
      </c>
      <c r="H11437" s="553">
        <v>146.71</v>
      </c>
      <c r="I11437" s="553">
        <v>455.84</v>
      </c>
      <c r="J11437" s="647">
        <v>607.1</v>
      </c>
    </row>
    <row r="11438" spans="2:10">
      <c r="B11438" s="1230" t="s">
        <v>453</v>
      </c>
      <c r="C11438" s="132" t="s">
        <v>2328</v>
      </c>
      <c r="D11438" s="255">
        <v>19167</v>
      </c>
      <c r="E11438" s="553">
        <v>121.48</v>
      </c>
      <c r="F11438" s="553">
        <v>1423.05</v>
      </c>
      <c r="G11438" s="553">
        <v>644.88</v>
      </c>
      <c r="H11438" s="553">
        <v>140.88999999999999</v>
      </c>
      <c r="I11438" s="553">
        <v>371.54</v>
      </c>
      <c r="J11438" s="647">
        <v>560.54999999999995</v>
      </c>
    </row>
    <row r="11439" spans="2:10">
      <c r="B11439" s="1230" t="s">
        <v>453</v>
      </c>
      <c r="C11439" s="132" t="s">
        <v>2329</v>
      </c>
      <c r="D11439" s="255">
        <v>19169</v>
      </c>
      <c r="E11439" s="553">
        <v>181.94</v>
      </c>
      <c r="F11439" s="553">
        <v>2191.39</v>
      </c>
      <c r="G11439" s="553">
        <v>732.59</v>
      </c>
      <c r="H11439" s="553">
        <v>216.55</v>
      </c>
      <c r="I11439" s="553">
        <v>610.91999999999996</v>
      </c>
      <c r="J11439" s="647">
        <v>671.04</v>
      </c>
    </row>
    <row r="11440" spans="2:10">
      <c r="B11440" s="1230" t="s">
        <v>453</v>
      </c>
      <c r="C11440" s="132" t="s">
        <v>2330</v>
      </c>
      <c r="D11440" s="255">
        <v>19171</v>
      </c>
      <c r="E11440" s="553">
        <v>206.57</v>
      </c>
      <c r="F11440" s="553">
        <v>2490.86</v>
      </c>
      <c r="G11440" s="553">
        <v>798.22</v>
      </c>
      <c r="H11440" s="553">
        <v>245.97</v>
      </c>
      <c r="I11440" s="553">
        <v>988.44</v>
      </c>
      <c r="J11440" s="647">
        <v>1868.96</v>
      </c>
    </row>
    <row r="11441" spans="2:10">
      <c r="B11441" s="1230" t="s">
        <v>453</v>
      </c>
      <c r="C11441" s="132" t="s">
        <v>2050</v>
      </c>
      <c r="D11441" s="255">
        <v>19173</v>
      </c>
      <c r="E11441" s="553">
        <v>124.41</v>
      </c>
      <c r="F11441" s="553">
        <v>1446.38</v>
      </c>
      <c r="G11441" s="553">
        <v>594.66</v>
      </c>
      <c r="H11441" s="553">
        <v>143.22999999999999</v>
      </c>
      <c r="I11441" s="553">
        <v>583.42999999999995</v>
      </c>
      <c r="J11441" s="647">
        <v>620.91999999999996</v>
      </c>
    </row>
    <row r="11442" spans="2:10">
      <c r="B11442" s="1230" t="s">
        <v>453</v>
      </c>
      <c r="C11442" s="132" t="s">
        <v>1879</v>
      </c>
      <c r="D11442" s="255">
        <v>19175</v>
      </c>
      <c r="E11442" s="553">
        <v>130.46</v>
      </c>
      <c r="F11442" s="553">
        <v>1529.66</v>
      </c>
      <c r="G11442" s="553">
        <v>621.94000000000005</v>
      </c>
      <c r="H11442" s="553">
        <v>151.41</v>
      </c>
      <c r="I11442" s="553">
        <v>614.05999999999995</v>
      </c>
      <c r="J11442" s="647">
        <v>623.29999999999995</v>
      </c>
    </row>
    <row r="11443" spans="2:10">
      <c r="B11443" s="1230" t="s">
        <v>453</v>
      </c>
      <c r="C11443" s="132" t="s">
        <v>1880</v>
      </c>
      <c r="D11443" s="255">
        <v>19177</v>
      </c>
      <c r="E11443" s="553">
        <v>171.61</v>
      </c>
      <c r="F11443" s="553">
        <v>2023.65</v>
      </c>
      <c r="G11443" s="553">
        <v>626.05999999999995</v>
      </c>
      <c r="H11443" s="553">
        <v>200.18</v>
      </c>
      <c r="I11443" s="553">
        <v>1098.8900000000001</v>
      </c>
      <c r="J11443" s="647">
        <v>1787.44</v>
      </c>
    </row>
    <row r="11444" spans="2:10">
      <c r="B11444" s="1230" t="s">
        <v>453</v>
      </c>
      <c r="C11444" s="132" t="s">
        <v>2331</v>
      </c>
      <c r="D11444" s="255">
        <v>19179</v>
      </c>
      <c r="E11444" s="553">
        <v>179.19</v>
      </c>
      <c r="F11444" s="553">
        <v>2163.75</v>
      </c>
      <c r="G11444" s="553">
        <v>684.83</v>
      </c>
      <c r="H11444" s="553">
        <v>213.7</v>
      </c>
      <c r="I11444" s="553">
        <v>997.62</v>
      </c>
      <c r="J11444" s="647">
        <v>1779.22</v>
      </c>
    </row>
    <row r="11445" spans="2:10">
      <c r="B11445" s="1230" t="s">
        <v>453</v>
      </c>
      <c r="C11445" s="132" t="s">
        <v>2154</v>
      </c>
      <c r="D11445" s="255">
        <v>19181</v>
      </c>
      <c r="E11445" s="553">
        <v>326.07</v>
      </c>
      <c r="F11445" s="553">
        <v>3721.82</v>
      </c>
      <c r="G11445" s="553">
        <v>962.39</v>
      </c>
      <c r="H11445" s="553">
        <v>369.36</v>
      </c>
      <c r="I11445" s="553">
        <v>678.95</v>
      </c>
      <c r="J11445" s="647">
        <v>812.6</v>
      </c>
    </row>
    <row r="11446" spans="2:10">
      <c r="B11446" s="1230" t="s">
        <v>453</v>
      </c>
      <c r="C11446" s="132" t="s">
        <v>487</v>
      </c>
      <c r="D11446" s="255">
        <v>19183</v>
      </c>
      <c r="E11446" s="553">
        <v>231.4</v>
      </c>
      <c r="F11446" s="553">
        <v>2605.1999999999998</v>
      </c>
      <c r="G11446" s="553">
        <v>817.69</v>
      </c>
      <c r="H11446" s="553">
        <v>258.8</v>
      </c>
      <c r="I11446" s="553">
        <v>1198.1500000000001</v>
      </c>
      <c r="J11446" s="647">
        <v>1936.91</v>
      </c>
    </row>
    <row r="11447" spans="2:10">
      <c r="B11447" s="1230" t="s">
        <v>453</v>
      </c>
      <c r="C11447" s="132" t="s">
        <v>2155</v>
      </c>
      <c r="D11447" s="255">
        <v>19185</v>
      </c>
      <c r="E11447" s="553">
        <v>130.76</v>
      </c>
      <c r="F11447" s="553">
        <v>1556.1</v>
      </c>
      <c r="G11447" s="553">
        <v>560.82000000000005</v>
      </c>
      <c r="H11447" s="553">
        <v>153.87</v>
      </c>
      <c r="I11447" s="553">
        <v>800.06</v>
      </c>
      <c r="J11447" s="647">
        <v>637.23</v>
      </c>
    </row>
    <row r="11448" spans="2:10">
      <c r="B11448" s="1230" t="s">
        <v>453</v>
      </c>
      <c r="C11448" s="132" t="s">
        <v>2156</v>
      </c>
      <c r="D11448" s="255">
        <v>19187</v>
      </c>
      <c r="E11448" s="553">
        <v>145.93</v>
      </c>
      <c r="F11448" s="553">
        <v>1743.75</v>
      </c>
      <c r="G11448" s="553">
        <v>765.57</v>
      </c>
      <c r="H11448" s="553">
        <v>172.42</v>
      </c>
      <c r="I11448" s="553">
        <v>537.54</v>
      </c>
      <c r="J11448" s="647">
        <v>626.28</v>
      </c>
    </row>
    <row r="11449" spans="2:10">
      <c r="B11449" s="1230" t="s">
        <v>453</v>
      </c>
      <c r="C11449" s="132" t="s">
        <v>2250</v>
      </c>
      <c r="D11449" s="255">
        <v>19189</v>
      </c>
      <c r="E11449" s="553">
        <v>171.65</v>
      </c>
      <c r="F11449" s="553">
        <v>2026.25</v>
      </c>
      <c r="G11449" s="553">
        <v>862.68</v>
      </c>
      <c r="H11449" s="553">
        <v>200.45</v>
      </c>
      <c r="I11449" s="553">
        <v>825.35</v>
      </c>
      <c r="J11449" s="647">
        <v>1986.08</v>
      </c>
    </row>
    <row r="11450" spans="2:10">
      <c r="B11450" s="1230" t="s">
        <v>453</v>
      </c>
      <c r="C11450" s="132" t="s">
        <v>2332</v>
      </c>
      <c r="D11450" s="255">
        <v>19191</v>
      </c>
      <c r="E11450" s="553">
        <v>205.98</v>
      </c>
      <c r="F11450" s="553">
        <v>2437.1999999999998</v>
      </c>
      <c r="G11450" s="553">
        <v>806.07</v>
      </c>
      <c r="H11450" s="553">
        <v>241.05</v>
      </c>
      <c r="I11450" s="553">
        <v>1239.6099999999999</v>
      </c>
      <c r="J11450" s="647">
        <v>2220.37</v>
      </c>
    </row>
    <row r="11451" spans="2:10">
      <c r="B11451" s="1230" t="s">
        <v>453</v>
      </c>
      <c r="C11451" s="132" t="s">
        <v>2333</v>
      </c>
      <c r="D11451" s="255">
        <v>19193</v>
      </c>
      <c r="E11451" s="553">
        <v>158.46</v>
      </c>
      <c r="F11451" s="553">
        <v>1835.46</v>
      </c>
      <c r="G11451" s="553">
        <v>668.46</v>
      </c>
      <c r="H11451" s="553">
        <v>181.97</v>
      </c>
      <c r="I11451" s="553">
        <v>382.74</v>
      </c>
      <c r="J11451" s="647">
        <v>627.19000000000005</v>
      </c>
    </row>
    <row r="11452" spans="2:10">
      <c r="B11452" s="1230" t="s">
        <v>453</v>
      </c>
      <c r="C11452" s="132" t="s">
        <v>2161</v>
      </c>
      <c r="D11452" s="255">
        <v>19195</v>
      </c>
      <c r="E11452" s="553">
        <v>181.77</v>
      </c>
      <c r="F11452" s="553">
        <v>2144.04</v>
      </c>
      <c r="G11452" s="553">
        <v>912</v>
      </c>
      <c r="H11452" s="553">
        <v>212.18</v>
      </c>
      <c r="I11452" s="553">
        <v>900.38</v>
      </c>
      <c r="J11452" s="647">
        <v>2047.58</v>
      </c>
    </row>
    <row r="11453" spans="2:10">
      <c r="B11453" s="1230" t="s">
        <v>453</v>
      </c>
      <c r="C11453" s="132" t="s">
        <v>2334</v>
      </c>
      <c r="D11453" s="255">
        <v>19197</v>
      </c>
      <c r="E11453" s="553">
        <v>126.56</v>
      </c>
      <c r="F11453" s="553">
        <v>1502.75</v>
      </c>
      <c r="G11453" s="553">
        <v>647.96</v>
      </c>
      <c r="H11453" s="553">
        <v>148.57</v>
      </c>
      <c r="I11453" s="553">
        <v>571.35</v>
      </c>
      <c r="J11453" s="647">
        <v>596.69000000000005</v>
      </c>
    </row>
    <row r="11454" spans="2:10">
      <c r="B11454" s="1230" t="s">
        <v>454</v>
      </c>
      <c r="C11454" s="132" t="s">
        <v>2252</v>
      </c>
      <c r="D11454" s="255">
        <v>20001</v>
      </c>
      <c r="E11454" s="553">
        <v>137.41999999999999</v>
      </c>
      <c r="F11454" s="553">
        <v>1661.92</v>
      </c>
      <c r="G11454" s="553">
        <v>595.36</v>
      </c>
      <c r="H11454" s="553">
        <v>164.07</v>
      </c>
      <c r="I11454" s="553">
        <v>377.37</v>
      </c>
      <c r="J11454" s="647">
        <v>556.98</v>
      </c>
    </row>
    <row r="11455" spans="2:10">
      <c r="B11455" s="1230" t="s">
        <v>454</v>
      </c>
      <c r="C11455" s="132" t="s">
        <v>2335</v>
      </c>
      <c r="D11455" s="255">
        <v>20003</v>
      </c>
      <c r="E11455" s="553">
        <v>188.51</v>
      </c>
      <c r="F11455" s="553">
        <v>2218.6</v>
      </c>
      <c r="G11455" s="553">
        <v>751.48</v>
      </c>
      <c r="H11455" s="553">
        <v>219.56</v>
      </c>
      <c r="I11455" s="553">
        <v>374.59</v>
      </c>
      <c r="J11455" s="647">
        <v>640.44000000000005</v>
      </c>
    </row>
    <row r="11456" spans="2:10">
      <c r="B11456" s="1230" t="s">
        <v>454</v>
      </c>
      <c r="C11456" s="132" t="s">
        <v>2336</v>
      </c>
      <c r="D11456" s="255">
        <v>20005</v>
      </c>
      <c r="E11456" s="553">
        <v>185.13</v>
      </c>
      <c r="F11456" s="553">
        <v>2185.34</v>
      </c>
      <c r="G11456" s="553">
        <v>790.93</v>
      </c>
      <c r="H11456" s="553">
        <v>216.22</v>
      </c>
      <c r="I11456" s="553">
        <v>341.53</v>
      </c>
      <c r="J11456" s="647">
        <v>626.92999999999995</v>
      </c>
    </row>
    <row r="11457" spans="2:10">
      <c r="B11457" s="1230" t="s">
        <v>454</v>
      </c>
      <c r="C11457" s="132" t="s">
        <v>2337</v>
      </c>
      <c r="D11457" s="255">
        <v>20007</v>
      </c>
      <c r="E11457" s="553">
        <v>95.71</v>
      </c>
      <c r="F11457" s="553">
        <v>1086.27</v>
      </c>
      <c r="G11457" s="553">
        <v>454.61</v>
      </c>
      <c r="H11457" s="553">
        <v>107.78</v>
      </c>
      <c r="I11457" s="553">
        <v>303.98</v>
      </c>
      <c r="J11457" s="647">
        <v>1375.45</v>
      </c>
    </row>
    <row r="11458" spans="2:10">
      <c r="B11458" s="1230" t="s">
        <v>454</v>
      </c>
      <c r="C11458" s="132" t="s">
        <v>2338</v>
      </c>
      <c r="D11458" s="255">
        <v>20009</v>
      </c>
      <c r="E11458" s="553">
        <v>87.57</v>
      </c>
      <c r="F11458" s="553">
        <v>1015.3</v>
      </c>
      <c r="G11458" s="553">
        <v>456.59</v>
      </c>
      <c r="H11458" s="553">
        <v>100.58</v>
      </c>
      <c r="I11458" s="553">
        <v>271.77999999999997</v>
      </c>
      <c r="J11458" s="647">
        <v>1296.3599999999999</v>
      </c>
    </row>
    <row r="11459" spans="2:10">
      <c r="B11459" s="1230" t="s">
        <v>454</v>
      </c>
      <c r="C11459" s="132" t="s">
        <v>2339</v>
      </c>
      <c r="D11459" s="255">
        <v>20011</v>
      </c>
      <c r="E11459" s="553">
        <v>155.68</v>
      </c>
      <c r="F11459" s="553">
        <v>1950.43</v>
      </c>
      <c r="G11459" s="553">
        <v>672.75</v>
      </c>
      <c r="H11459" s="553">
        <v>192.04</v>
      </c>
      <c r="I11459" s="553">
        <v>655.95</v>
      </c>
      <c r="J11459" s="647">
        <v>1684.6</v>
      </c>
    </row>
    <row r="11460" spans="2:10">
      <c r="B11460" s="1230" t="s">
        <v>454</v>
      </c>
      <c r="C11460" s="132" t="s">
        <v>2200</v>
      </c>
      <c r="D11460" s="255">
        <v>20013</v>
      </c>
      <c r="E11460" s="553">
        <v>142.15</v>
      </c>
      <c r="F11460" s="553">
        <v>1675.62</v>
      </c>
      <c r="G11460" s="553">
        <v>694.56</v>
      </c>
      <c r="H11460" s="553">
        <v>165.77</v>
      </c>
      <c r="I11460" s="553">
        <v>320.57</v>
      </c>
      <c r="J11460" s="647">
        <v>560.92999999999995</v>
      </c>
    </row>
    <row r="11461" spans="2:10">
      <c r="B11461" s="1230" t="s">
        <v>454</v>
      </c>
      <c r="C11461" s="132" t="s">
        <v>1725</v>
      </c>
      <c r="D11461" s="255">
        <v>20015</v>
      </c>
      <c r="E11461" s="553">
        <v>296.58</v>
      </c>
      <c r="F11461" s="553">
        <v>3701.76</v>
      </c>
      <c r="G11461" s="553">
        <v>1198.92</v>
      </c>
      <c r="H11461" s="553">
        <v>364.79</v>
      </c>
      <c r="I11461" s="553">
        <v>290.95999999999998</v>
      </c>
      <c r="J11461" s="647">
        <v>922.41</v>
      </c>
    </row>
    <row r="11462" spans="2:10">
      <c r="B11462" s="1230" t="s">
        <v>454</v>
      </c>
      <c r="C11462" s="132" t="s">
        <v>2340</v>
      </c>
      <c r="D11462" s="255">
        <v>20017</v>
      </c>
      <c r="E11462" s="553">
        <v>136.31</v>
      </c>
      <c r="F11462" s="553">
        <v>1602.02</v>
      </c>
      <c r="G11462" s="553">
        <v>606.19000000000005</v>
      </c>
      <c r="H11462" s="553">
        <v>158.56</v>
      </c>
      <c r="I11462" s="553">
        <v>296.63</v>
      </c>
      <c r="J11462" s="647">
        <v>552.54</v>
      </c>
    </row>
    <row r="11463" spans="2:10">
      <c r="B11463" s="1230" t="s">
        <v>454</v>
      </c>
      <c r="C11463" s="132" t="s">
        <v>2341</v>
      </c>
      <c r="D11463" s="255">
        <v>20019</v>
      </c>
      <c r="E11463" s="553">
        <v>118.68</v>
      </c>
      <c r="F11463" s="553">
        <v>1449.07</v>
      </c>
      <c r="G11463" s="553">
        <v>560.27</v>
      </c>
      <c r="H11463" s="553">
        <v>142.93</v>
      </c>
      <c r="I11463" s="553">
        <v>508.94</v>
      </c>
      <c r="J11463" s="647">
        <v>1536.12</v>
      </c>
    </row>
    <row r="11464" spans="2:10">
      <c r="B11464" s="1230" t="s">
        <v>454</v>
      </c>
      <c r="C11464" s="132" t="s">
        <v>1728</v>
      </c>
      <c r="D11464" s="255">
        <v>20021</v>
      </c>
      <c r="E11464" s="553">
        <v>158.9</v>
      </c>
      <c r="F11464" s="553">
        <v>2102.15</v>
      </c>
      <c r="G11464" s="553">
        <v>651.12</v>
      </c>
      <c r="H11464" s="553">
        <v>206.18</v>
      </c>
      <c r="I11464" s="553">
        <v>654.80999999999995</v>
      </c>
      <c r="J11464" s="647">
        <v>1709.87</v>
      </c>
    </row>
    <row r="11465" spans="2:10">
      <c r="B11465" s="1230" t="s">
        <v>454</v>
      </c>
      <c r="C11465" s="132" t="s">
        <v>1948</v>
      </c>
      <c r="D11465" s="255">
        <v>20023</v>
      </c>
      <c r="E11465" s="553">
        <v>130.9</v>
      </c>
      <c r="F11465" s="553">
        <v>885.6</v>
      </c>
      <c r="G11465" s="553">
        <v>465.47</v>
      </c>
      <c r="H11465" s="553">
        <v>92.71</v>
      </c>
      <c r="I11465" s="553">
        <v>268.45999999999998</v>
      </c>
      <c r="J11465" s="647">
        <v>554.17999999999995</v>
      </c>
    </row>
    <row r="11466" spans="2:10">
      <c r="B11466" s="1230" t="s">
        <v>454</v>
      </c>
      <c r="C11466" s="132" t="s">
        <v>1837</v>
      </c>
      <c r="D11466" s="255">
        <v>20025</v>
      </c>
      <c r="E11466" s="553">
        <v>85.83</v>
      </c>
      <c r="F11466" s="553">
        <v>847.57</v>
      </c>
      <c r="G11466" s="553">
        <v>390.79</v>
      </c>
      <c r="H11466" s="553">
        <v>85.18</v>
      </c>
      <c r="I11466" s="553">
        <v>262.02</v>
      </c>
      <c r="J11466" s="647">
        <v>1236.8499999999999</v>
      </c>
    </row>
    <row r="11467" spans="2:10">
      <c r="B11467" s="1230" t="s">
        <v>454</v>
      </c>
      <c r="C11467" s="132" t="s">
        <v>1732</v>
      </c>
      <c r="D11467" s="255">
        <v>20027</v>
      </c>
      <c r="E11467" s="553">
        <v>100.4</v>
      </c>
      <c r="F11467" s="553">
        <v>1171.42</v>
      </c>
      <c r="G11467" s="553">
        <v>532.29999999999995</v>
      </c>
      <c r="H11467" s="553">
        <v>116.01</v>
      </c>
      <c r="I11467" s="553">
        <v>246.11</v>
      </c>
      <c r="J11467" s="647">
        <v>475.94</v>
      </c>
    </row>
    <row r="11468" spans="2:10">
      <c r="B11468" s="1230" t="s">
        <v>454</v>
      </c>
      <c r="C11468" s="132" t="s">
        <v>2342</v>
      </c>
      <c r="D11468" s="255">
        <v>20029</v>
      </c>
      <c r="E11468" s="553">
        <v>105.09</v>
      </c>
      <c r="F11468" s="553">
        <v>1194.5999999999999</v>
      </c>
      <c r="G11468" s="553">
        <v>546.59</v>
      </c>
      <c r="H11468" s="553">
        <v>118.53</v>
      </c>
      <c r="I11468" s="553">
        <v>226.22</v>
      </c>
      <c r="J11468" s="647">
        <v>478.03</v>
      </c>
    </row>
    <row r="11469" spans="2:10">
      <c r="B11469" s="1230" t="s">
        <v>454</v>
      </c>
      <c r="C11469" s="132" t="s">
        <v>2343</v>
      </c>
      <c r="D11469" s="255">
        <v>20031</v>
      </c>
      <c r="E11469" s="553">
        <v>141.76</v>
      </c>
      <c r="F11469" s="553">
        <v>1637.09</v>
      </c>
      <c r="G11469" s="553">
        <v>640.29999999999995</v>
      </c>
      <c r="H11469" s="553">
        <v>162.22999999999999</v>
      </c>
      <c r="I11469" s="553">
        <v>338.95</v>
      </c>
      <c r="J11469" s="647">
        <v>575.20000000000005</v>
      </c>
    </row>
    <row r="11470" spans="2:10">
      <c r="B11470" s="1230" t="s">
        <v>454</v>
      </c>
      <c r="C11470" s="132" t="s">
        <v>2344</v>
      </c>
      <c r="D11470" s="255">
        <v>20033</v>
      </c>
      <c r="E11470" s="553">
        <v>84.44</v>
      </c>
      <c r="F11470" s="553">
        <v>921.72</v>
      </c>
      <c r="G11470" s="553">
        <v>430.31</v>
      </c>
      <c r="H11470" s="553">
        <v>91.77</v>
      </c>
      <c r="I11470" s="553">
        <v>280.75</v>
      </c>
      <c r="J11470" s="647">
        <v>1295.01</v>
      </c>
    </row>
    <row r="11471" spans="2:10">
      <c r="B11471" s="1230" t="s">
        <v>454</v>
      </c>
      <c r="C11471" s="132" t="s">
        <v>2345</v>
      </c>
      <c r="D11471" s="255">
        <v>20035</v>
      </c>
      <c r="E11471" s="553">
        <v>126.87</v>
      </c>
      <c r="F11471" s="553">
        <v>1583.13</v>
      </c>
      <c r="G11471" s="553">
        <v>591.25</v>
      </c>
      <c r="H11471" s="553">
        <v>155.97</v>
      </c>
      <c r="I11471" s="553">
        <v>296.23</v>
      </c>
      <c r="J11471" s="647">
        <v>563.21</v>
      </c>
    </row>
    <row r="11472" spans="2:10">
      <c r="B11472" s="1230" t="s">
        <v>454</v>
      </c>
      <c r="C11472" s="132" t="s">
        <v>1842</v>
      </c>
      <c r="D11472" s="255">
        <v>20037</v>
      </c>
      <c r="E11472" s="553">
        <v>150.63</v>
      </c>
      <c r="F11472" s="553">
        <v>1924.42</v>
      </c>
      <c r="G11472" s="553">
        <v>646.89</v>
      </c>
      <c r="H11472" s="553">
        <v>189.22</v>
      </c>
      <c r="I11472" s="553">
        <v>657.92</v>
      </c>
      <c r="J11472" s="647">
        <v>1673.9</v>
      </c>
    </row>
    <row r="11473" spans="2:10">
      <c r="B11473" s="1230" t="s">
        <v>454</v>
      </c>
      <c r="C11473" s="132" t="s">
        <v>2085</v>
      </c>
      <c r="D11473" s="255">
        <v>20039</v>
      </c>
      <c r="E11473" s="553">
        <v>141.16999999999999</v>
      </c>
      <c r="F11473" s="553">
        <v>1090.1199999999999</v>
      </c>
      <c r="G11473" s="553">
        <v>468.81</v>
      </c>
      <c r="H11473" s="553">
        <v>112.22</v>
      </c>
      <c r="I11473" s="553">
        <v>275.13</v>
      </c>
      <c r="J11473" s="647">
        <v>602.38</v>
      </c>
    </row>
    <row r="11474" spans="2:10">
      <c r="B11474" s="1230" t="s">
        <v>454</v>
      </c>
      <c r="C11474" s="132" t="s">
        <v>2304</v>
      </c>
      <c r="D11474" s="255">
        <v>20041</v>
      </c>
      <c r="E11474" s="553">
        <v>149.18</v>
      </c>
      <c r="F11474" s="553">
        <v>1813.72</v>
      </c>
      <c r="G11474" s="553">
        <v>668.35</v>
      </c>
      <c r="H11474" s="553">
        <v>179.05</v>
      </c>
      <c r="I11474" s="553">
        <v>257.38</v>
      </c>
      <c r="J11474" s="647">
        <v>575.07000000000005</v>
      </c>
    </row>
    <row r="11475" spans="2:10">
      <c r="B11475" s="1230" t="s">
        <v>454</v>
      </c>
      <c r="C11475" s="132" t="s">
        <v>2346</v>
      </c>
      <c r="D11475" s="255">
        <v>20043</v>
      </c>
      <c r="E11475" s="553">
        <v>239.1</v>
      </c>
      <c r="F11475" s="553">
        <v>2991.42</v>
      </c>
      <c r="G11475" s="553">
        <v>960.66</v>
      </c>
      <c r="H11475" s="553">
        <v>294.72000000000003</v>
      </c>
      <c r="I11475" s="553">
        <v>351.14</v>
      </c>
      <c r="J11475" s="647">
        <v>686.11</v>
      </c>
    </row>
    <row r="11476" spans="2:10">
      <c r="B11476" s="1230" t="s">
        <v>454</v>
      </c>
      <c r="C11476" s="132" t="s">
        <v>1957</v>
      </c>
      <c r="D11476" s="255">
        <v>20045</v>
      </c>
      <c r="E11476" s="553">
        <v>276.86</v>
      </c>
      <c r="F11476" s="553">
        <v>3193.5</v>
      </c>
      <c r="G11476" s="553">
        <v>953.07</v>
      </c>
      <c r="H11476" s="553">
        <v>316.60000000000002</v>
      </c>
      <c r="I11476" s="553">
        <v>359.06</v>
      </c>
      <c r="J11476" s="647">
        <v>747.24</v>
      </c>
    </row>
    <row r="11477" spans="2:10">
      <c r="B11477" s="1230" t="s">
        <v>454</v>
      </c>
      <c r="C11477" s="132" t="s">
        <v>2211</v>
      </c>
      <c r="D11477" s="255">
        <v>20047</v>
      </c>
      <c r="E11477" s="553">
        <v>86.2</v>
      </c>
      <c r="F11477" s="553">
        <v>920.71</v>
      </c>
      <c r="G11477" s="553">
        <v>442.46</v>
      </c>
      <c r="H11477" s="553">
        <v>91.81</v>
      </c>
      <c r="I11477" s="553">
        <v>266.94</v>
      </c>
      <c r="J11477" s="647">
        <v>1252.02</v>
      </c>
    </row>
    <row r="11478" spans="2:10">
      <c r="B11478" s="1230" t="s">
        <v>454</v>
      </c>
      <c r="C11478" s="132" t="s">
        <v>2347</v>
      </c>
      <c r="D11478" s="255">
        <v>20049</v>
      </c>
      <c r="E11478" s="553">
        <v>118.09</v>
      </c>
      <c r="F11478" s="553">
        <v>1396.7</v>
      </c>
      <c r="G11478" s="553">
        <v>534.41</v>
      </c>
      <c r="H11478" s="553">
        <v>138.1</v>
      </c>
      <c r="I11478" s="553">
        <v>329.2</v>
      </c>
      <c r="J11478" s="647">
        <v>533.24</v>
      </c>
    </row>
    <row r="11479" spans="2:10">
      <c r="B11479" s="1230" t="s">
        <v>454</v>
      </c>
      <c r="C11479" s="132" t="s">
        <v>2348</v>
      </c>
      <c r="D11479" s="255">
        <v>20051</v>
      </c>
      <c r="E11479" s="553">
        <v>83.73</v>
      </c>
      <c r="F11479" s="553">
        <v>912.63</v>
      </c>
      <c r="G11479" s="553">
        <v>405.21</v>
      </c>
      <c r="H11479" s="553">
        <v>90.92</v>
      </c>
      <c r="I11479" s="553">
        <v>244.8</v>
      </c>
      <c r="J11479" s="647">
        <v>1216.56</v>
      </c>
    </row>
    <row r="11480" spans="2:10">
      <c r="B11480" s="1230" t="s">
        <v>454</v>
      </c>
      <c r="C11480" s="132" t="s">
        <v>2349</v>
      </c>
      <c r="D11480" s="255">
        <v>20053</v>
      </c>
      <c r="E11480" s="553">
        <v>94.73</v>
      </c>
      <c r="F11480" s="553">
        <v>1075.27</v>
      </c>
      <c r="G11480" s="553">
        <v>453.83</v>
      </c>
      <c r="H11480" s="553">
        <v>106.7</v>
      </c>
      <c r="I11480" s="553">
        <v>287.57</v>
      </c>
      <c r="J11480" s="647">
        <v>1325.76</v>
      </c>
    </row>
    <row r="11481" spans="2:10">
      <c r="B11481" s="1230" t="s">
        <v>454</v>
      </c>
      <c r="C11481" s="132" t="s">
        <v>2350</v>
      </c>
      <c r="D11481" s="255">
        <v>20055</v>
      </c>
      <c r="E11481" s="553">
        <v>106.98</v>
      </c>
      <c r="F11481" s="553">
        <v>837.43</v>
      </c>
      <c r="G11481" s="553">
        <v>397.38</v>
      </c>
      <c r="H11481" s="553">
        <v>86.17</v>
      </c>
      <c r="I11481" s="553">
        <v>232.77</v>
      </c>
      <c r="J11481" s="647">
        <v>1160.56</v>
      </c>
    </row>
    <row r="11482" spans="2:10">
      <c r="B11482" s="1230" t="s">
        <v>454</v>
      </c>
      <c r="C11482" s="132" t="s">
        <v>2212</v>
      </c>
      <c r="D11482" s="255">
        <v>20057</v>
      </c>
      <c r="E11482" s="553">
        <v>89.77</v>
      </c>
      <c r="F11482" s="553">
        <v>892.8</v>
      </c>
      <c r="G11482" s="553">
        <v>397.24</v>
      </c>
      <c r="H11482" s="553">
        <v>89.61</v>
      </c>
      <c r="I11482" s="553">
        <v>253.2</v>
      </c>
      <c r="J11482" s="647">
        <v>1224.24</v>
      </c>
    </row>
    <row r="11483" spans="2:10">
      <c r="B11483" s="1230" t="s">
        <v>454</v>
      </c>
      <c r="C11483" s="132" t="s">
        <v>1748</v>
      </c>
      <c r="D11483" s="255">
        <v>20059</v>
      </c>
      <c r="E11483" s="553">
        <v>285.26</v>
      </c>
      <c r="F11483" s="553">
        <v>3280.72</v>
      </c>
      <c r="G11483" s="553">
        <v>1037.22</v>
      </c>
      <c r="H11483" s="553">
        <v>325.25</v>
      </c>
      <c r="I11483" s="553">
        <v>368.23</v>
      </c>
      <c r="J11483" s="647">
        <v>790.73</v>
      </c>
    </row>
    <row r="11484" spans="2:10">
      <c r="B11484" s="1230" t="s">
        <v>454</v>
      </c>
      <c r="C11484" s="132" t="s">
        <v>2351</v>
      </c>
      <c r="D11484" s="255">
        <v>20061</v>
      </c>
      <c r="E11484" s="553">
        <v>165.55</v>
      </c>
      <c r="F11484" s="553">
        <v>1926.69</v>
      </c>
      <c r="G11484" s="553">
        <v>660.69</v>
      </c>
      <c r="H11484" s="553">
        <v>190.88</v>
      </c>
      <c r="I11484" s="553">
        <v>273.83</v>
      </c>
      <c r="J11484" s="647">
        <v>557.76</v>
      </c>
    </row>
    <row r="11485" spans="2:10">
      <c r="B11485" s="1230" t="s">
        <v>454</v>
      </c>
      <c r="C11485" s="132" t="s">
        <v>2352</v>
      </c>
      <c r="D11485" s="255">
        <v>20063</v>
      </c>
      <c r="E11485" s="553">
        <v>85.96</v>
      </c>
      <c r="F11485" s="553">
        <v>718.47</v>
      </c>
      <c r="G11485" s="553">
        <v>349.91</v>
      </c>
      <c r="H11485" s="553">
        <v>73.319999999999993</v>
      </c>
      <c r="I11485" s="553">
        <v>226.7</v>
      </c>
      <c r="J11485" s="647">
        <v>1098.8</v>
      </c>
    </row>
    <row r="11486" spans="2:10">
      <c r="B11486" s="1230" t="s">
        <v>454</v>
      </c>
      <c r="C11486" s="132" t="s">
        <v>1819</v>
      </c>
      <c r="D11486" s="255">
        <v>20065</v>
      </c>
      <c r="E11486" s="553">
        <v>75.09</v>
      </c>
      <c r="F11486" s="553">
        <v>765.09</v>
      </c>
      <c r="G11486" s="553">
        <v>363.46</v>
      </c>
      <c r="H11486" s="553">
        <v>76.55</v>
      </c>
      <c r="I11486" s="553">
        <v>232.13</v>
      </c>
      <c r="J11486" s="647">
        <v>1126.53</v>
      </c>
    </row>
    <row r="11487" spans="2:10">
      <c r="B11487" s="1230" t="s">
        <v>454</v>
      </c>
      <c r="C11487" s="132" t="s">
        <v>1850</v>
      </c>
      <c r="D11487" s="255">
        <v>20067</v>
      </c>
      <c r="E11487" s="553">
        <v>85.73</v>
      </c>
      <c r="F11487" s="553">
        <v>722.29</v>
      </c>
      <c r="G11487" s="553">
        <v>359.75</v>
      </c>
      <c r="H11487" s="553">
        <v>73.61</v>
      </c>
      <c r="I11487" s="553">
        <v>228.97</v>
      </c>
      <c r="J11487" s="647">
        <v>1098.43</v>
      </c>
    </row>
    <row r="11488" spans="2:10">
      <c r="B11488" s="1230" t="s">
        <v>454</v>
      </c>
      <c r="C11488" s="132" t="s">
        <v>2353</v>
      </c>
      <c r="D11488" s="255">
        <v>20069</v>
      </c>
      <c r="E11488" s="553">
        <v>101.13</v>
      </c>
      <c r="F11488" s="553">
        <v>873.01</v>
      </c>
      <c r="G11488" s="553">
        <v>395.82</v>
      </c>
      <c r="H11488" s="553">
        <v>88.83</v>
      </c>
      <c r="I11488" s="553">
        <v>240.2</v>
      </c>
      <c r="J11488" s="647">
        <v>1183.25</v>
      </c>
    </row>
    <row r="11489" spans="2:10">
      <c r="B11489" s="1230" t="s">
        <v>454</v>
      </c>
      <c r="C11489" s="132" t="s">
        <v>2354</v>
      </c>
      <c r="D11489" s="255">
        <v>20071</v>
      </c>
      <c r="E11489" s="553">
        <v>83.51</v>
      </c>
      <c r="F11489" s="553">
        <v>639.29</v>
      </c>
      <c r="G11489" s="553">
        <v>308.41000000000003</v>
      </c>
      <c r="H11489" s="553">
        <v>65.95</v>
      </c>
      <c r="I11489" s="553">
        <v>224.86</v>
      </c>
      <c r="J11489" s="647">
        <v>1026.04</v>
      </c>
    </row>
    <row r="11490" spans="2:10">
      <c r="B11490" s="1230" t="s">
        <v>454</v>
      </c>
      <c r="C11490" s="132" t="s">
        <v>2355</v>
      </c>
      <c r="D11490" s="255">
        <v>20073</v>
      </c>
      <c r="E11490" s="553">
        <v>136.26</v>
      </c>
      <c r="F11490" s="553">
        <v>1606.71</v>
      </c>
      <c r="G11490" s="553">
        <v>563.13</v>
      </c>
      <c r="H11490" s="553">
        <v>158.99</v>
      </c>
      <c r="I11490" s="553">
        <v>324.51</v>
      </c>
      <c r="J11490" s="647">
        <v>562.49</v>
      </c>
    </row>
    <row r="11491" spans="2:10">
      <c r="B11491" s="1230" t="s">
        <v>454</v>
      </c>
      <c r="C11491" s="132" t="s">
        <v>2023</v>
      </c>
      <c r="D11491" s="255">
        <v>20075</v>
      </c>
      <c r="E11491" s="553">
        <v>87.19</v>
      </c>
      <c r="F11491" s="553">
        <v>662.31</v>
      </c>
      <c r="G11491" s="553">
        <v>326.08999999999997</v>
      </c>
      <c r="H11491" s="553">
        <v>68.31</v>
      </c>
      <c r="I11491" s="553">
        <v>224.84</v>
      </c>
      <c r="J11491" s="647">
        <v>1047.8800000000001</v>
      </c>
    </row>
    <row r="11492" spans="2:10">
      <c r="B11492" s="1230" t="s">
        <v>454</v>
      </c>
      <c r="C11492" s="132" t="s">
        <v>2356</v>
      </c>
      <c r="D11492" s="255">
        <v>20077</v>
      </c>
      <c r="E11492" s="553">
        <v>108.68</v>
      </c>
      <c r="F11492" s="553">
        <v>1283.06</v>
      </c>
      <c r="G11492" s="553">
        <v>478.73</v>
      </c>
      <c r="H11492" s="553">
        <v>126.89</v>
      </c>
      <c r="I11492" s="553">
        <v>334.6</v>
      </c>
      <c r="J11492" s="647">
        <v>1469.87</v>
      </c>
    </row>
    <row r="11493" spans="2:10">
      <c r="B11493" s="1230" t="s">
        <v>454</v>
      </c>
      <c r="C11493" s="132" t="s">
        <v>2357</v>
      </c>
      <c r="D11493" s="255">
        <v>20079</v>
      </c>
      <c r="E11493" s="553">
        <v>165.74</v>
      </c>
      <c r="F11493" s="553">
        <v>2073.91</v>
      </c>
      <c r="G11493" s="553">
        <v>612.13</v>
      </c>
      <c r="H11493" s="553">
        <v>204.33</v>
      </c>
      <c r="I11493" s="553">
        <v>258.94</v>
      </c>
      <c r="J11493" s="647">
        <v>575.25</v>
      </c>
    </row>
    <row r="11494" spans="2:10">
      <c r="B11494" s="1230" t="s">
        <v>454</v>
      </c>
      <c r="C11494" s="132" t="s">
        <v>2358</v>
      </c>
      <c r="D11494" s="255">
        <v>20081</v>
      </c>
      <c r="E11494" s="553">
        <v>87.55</v>
      </c>
      <c r="F11494" s="553">
        <v>758.04</v>
      </c>
      <c r="G11494" s="553">
        <v>399.32</v>
      </c>
      <c r="H11494" s="553">
        <v>77.08</v>
      </c>
      <c r="I11494" s="553">
        <v>235.17</v>
      </c>
      <c r="J11494" s="647">
        <v>1133.81</v>
      </c>
    </row>
    <row r="11495" spans="2:10">
      <c r="B11495" s="1230" t="s">
        <v>454</v>
      </c>
      <c r="C11495" s="132" t="s">
        <v>2359</v>
      </c>
      <c r="D11495" s="255">
        <v>20083</v>
      </c>
      <c r="E11495" s="553">
        <v>85.16</v>
      </c>
      <c r="F11495" s="553">
        <v>882.28</v>
      </c>
      <c r="G11495" s="553">
        <v>386.18</v>
      </c>
      <c r="H11495" s="553">
        <v>88.2</v>
      </c>
      <c r="I11495" s="553">
        <v>245.81</v>
      </c>
      <c r="J11495" s="647">
        <v>1199.69</v>
      </c>
    </row>
    <row r="11496" spans="2:10">
      <c r="B11496" s="1230" t="s">
        <v>454</v>
      </c>
      <c r="C11496" s="132" t="s">
        <v>1754</v>
      </c>
      <c r="D11496" s="255">
        <v>20085</v>
      </c>
      <c r="E11496" s="553">
        <v>141.01</v>
      </c>
      <c r="F11496" s="553">
        <v>1671.44</v>
      </c>
      <c r="G11496" s="553">
        <v>630.14</v>
      </c>
      <c r="H11496" s="553">
        <v>165.26</v>
      </c>
      <c r="I11496" s="553">
        <v>305.77</v>
      </c>
      <c r="J11496" s="647">
        <v>559.72</v>
      </c>
    </row>
    <row r="11497" spans="2:10">
      <c r="B11497" s="1230" t="s">
        <v>454</v>
      </c>
      <c r="C11497" s="132" t="s">
        <v>1755</v>
      </c>
      <c r="D11497" s="255">
        <v>20087</v>
      </c>
      <c r="E11497" s="553">
        <v>262.20999999999998</v>
      </c>
      <c r="F11497" s="553">
        <v>2995.08</v>
      </c>
      <c r="G11497" s="553">
        <v>953.08</v>
      </c>
      <c r="H11497" s="553">
        <v>297.11</v>
      </c>
      <c r="I11497" s="553">
        <v>341.57</v>
      </c>
      <c r="J11497" s="647">
        <v>720.75</v>
      </c>
    </row>
    <row r="11498" spans="2:10">
      <c r="B11498" s="1230" t="s">
        <v>454</v>
      </c>
      <c r="C11498" s="132" t="s">
        <v>2360</v>
      </c>
      <c r="D11498" s="255">
        <v>20089</v>
      </c>
      <c r="E11498" s="553">
        <v>91.18</v>
      </c>
      <c r="F11498" s="553">
        <v>991.52</v>
      </c>
      <c r="G11498" s="553">
        <v>443.71</v>
      </c>
      <c r="H11498" s="553">
        <v>98.69</v>
      </c>
      <c r="I11498" s="553">
        <v>209.09</v>
      </c>
      <c r="J11498" s="647">
        <v>437.01</v>
      </c>
    </row>
    <row r="11499" spans="2:10">
      <c r="B11499" s="1230" t="s">
        <v>454</v>
      </c>
      <c r="C11499" s="132" t="s">
        <v>1856</v>
      </c>
      <c r="D11499" s="255">
        <v>20091</v>
      </c>
      <c r="E11499" s="553">
        <v>796.32</v>
      </c>
      <c r="F11499" s="553">
        <v>8866.17</v>
      </c>
      <c r="G11499" s="553">
        <v>1979.36</v>
      </c>
      <c r="H11499" s="553">
        <v>881.34</v>
      </c>
      <c r="I11499" s="553">
        <v>398.9</v>
      </c>
      <c r="J11499" s="647">
        <v>1350.7</v>
      </c>
    </row>
    <row r="11500" spans="2:10">
      <c r="B11500" s="1230" t="s">
        <v>454</v>
      </c>
      <c r="C11500" s="132" t="s">
        <v>2361</v>
      </c>
      <c r="D11500" s="255">
        <v>20093</v>
      </c>
      <c r="E11500" s="553">
        <v>86.66</v>
      </c>
      <c r="F11500" s="553">
        <v>690.94</v>
      </c>
      <c r="G11500" s="553">
        <v>378.02</v>
      </c>
      <c r="H11500" s="553">
        <v>70.849999999999994</v>
      </c>
      <c r="I11500" s="553">
        <v>224.24</v>
      </c>
      <c r="J11500" s="647">
        <v>1074.98</v>
      </c>
    </row>
    <row r="11501" spans="2:10">
      <c r="B11501" s="1230" t="s">
        <v>454</v>
      </c>
      <c r="C11501" s="132" t="s">
        <v>2362</v>
      </c>
      <c r="D11501" s="255">
        <v>20095</v>
      </c>
      <c r="E11501" s="553">
        <v>115.63</v>
      </c>
      <c r="F11501" s="553">
        <v>1416.2</v>
      </c>
      <c r="G11501" s="553">
        <v>492.06</v>
      </c>
      <c r="H11501" s="553">
        <v>139.69</v>
      </c>
      <c r="I11501" s="553">
        <v>323.44</v>
      </c>
      <c r="J11501" s="647">
        <v>1456.57</v>
      </c>
    </row>
    <row r="11502" spans="2:10">
      <c r="B11502" s="1230" t="s">
        <v>454</v>
      </c>
      <c r="C11502" s="132" t="s">
        <v>1968</v>
      </c>
      <c r="D11502" s="255">
        <v>20097</v>
      </c>
      <c r="E11502" s="553">
        <v>84.64</v>
      </c>
      <c r="F11502" s="553">
        <v>901.14</v>
      </c>
      <c r="G11502" s="553">
        <v>444.91</v>
      </c>
      <c r="H11502" s="553">
        <v>89.89</v>
      </c>
      <c r="I11502" s="553">
        <v>273.7</v>
      </c>
      <c r="J11502" s="647">
        <v>1263</v>
      </c>
    </row>
    <row r="11503" spans="2:10">
      <c r="B11503" s="1230" t="s">
        <v>454</v>
      </c>
      <c r="C11503" s="132" t="s">
        <v>2363</v>
      </c>
      <c r="D11503" s="255">
        <v>20099</v>
      </c>
      <c r="E11503" s="553">
        <v>157.04</v>
      </c>
      <c r="F11503" s="553">
        <v>2027.3</v>
      </c>
      <c r="G11503" s="553">
        <v>676.56</v>
      </c>
      <c r="H11503" s="553">
        <v>199.2</v>
      </c>
      <c r="I11503" s="553">
        <v>592.15</v>
      </c>
      <c r="J11503" s="647">
        <v>1699.28</v>
      </c>
    </row>
    <row r="11504" spans="2:10">
      <c r="B11504" s="1230" t="s">
        <v>454</v>
      </c>
      <c r="C11504" s="132" t="s">
        <v>2364</v>
      </c>
      <c r="D11504" s="255">
        <v>20101</v>
      </c>
      <c r="E11504" s="553">
        <v>87.25</v>
      </c>
      <c r="F11504" s="553">
        <v>745.56</v>
      </c>
      <c r="G11504" s="553">
        <v>359.5</v>
      </c>
      <c r="H11504" s="553">
        <v>75.88</v>
      </c>
      <c r="I11504" s="553">
        <v>228.83</v>
      </c>
      <c r="J11504" s="647">
        <v>1119.28</v>
      </c>
    </row>
    <row r="11505" spans="2:10">
      <c r="B11505" s="1230" t="s">
        <v>454</v>
      </c>
      <c r="C11505" s="132" t="s">
        <v>2365</v>
      </c>
      <c r="D11505" s="255">
        <v>20103</v>
      </c>
      <c r="E11505" s="553">
        <v>489.75</v>
      </c>
      <c r="F11505" s="553">
        <v>5481.43</v>
      </c>
      <c r="G11505" s="553">
        <v>1372.62</v>
      </c>
      <c r="H11505" s="553">
        <v>544.57000000000005</v>
      </c>
      <c r="I11505" s="553">
        <v>377.58</v>
      </c>
      <c r="J11505" s="647">
        <v>985.02</v>
      </c>
    </row>
    <row r="11506" spans="2:10">
      <c r="B11506" s="1230" t="s">
        <v>454</v>
      </c>
      <c r="C11506" s="132" t="s">
        <v>1858</v>
      </c>
      <c r="D11506" s="255">
        <v>20105</v>
      </c>
      <c r="E11506" s="553">
        <v>90.99</v>
      </c>
      <c r="F11506" s="553">
        <v>1020.71</v>
      </c>
      <c r="G11506" s="553">
        <v>450.99</v>
      </c>
      <c r="H11506" s="553">
        <v>101.33</v>
      </c>
      <c r="I11506" s="553">
        <v>276.57</v>
      </c>
      <c r="J11506" s="647">
        <v>1302.5</v>
      </c>
    </row>
    <row r="11507" spans="2:10">
      <c r="B11507" s="1230" t="s">
        <v>454</v>
      </c>
      <c r="C11507" s="132" t="s">
        <v>2311</v>
      </c>
      <c r="D11507" s="255">
        <v>20107</v>
      </c>
      <c r="E11507" s="553">
        <v>188.98</v>
      </c>
      <c r="F11507" s="553">
        <v>2271.2399999999998</v>
      </c>
      <c r="G11507" s="553">
        <v>774.61</v>
      </c>
      <c r="H11507" s="553">
        <v>224.39</v>
      </c>
      <c r="I11507" s="553">
        <v>410.64</v>
      </c>
      <c r="J11507" s="647">
        <v>666.59</v>
      </c>
    </row>
    <row r="11508" spans="2:10">
      <c r="B11508" s="1230" t="s">
        <v>454</v>
      </c>
      <c r="C11508" s="132" t="s">
        <v>1860</v>
      </c>
      <c r="D11508" s="255">
        <v>20109</v>
      </c>
      <c r="E11508" s="553">
        <v>85.66</v>
      </c>
      <c r="F11508" s="553">
        <v>681.51</v>
      </c>
      <c r="G11508" s="553">
        <v>344.75</v>
      </c>
      <c r="H11508" s="553">
        <v>69.98</v>
      </c>
      <c r="I11508" s="553">
        <v>224.04</v>
      </c>
      <c r="J11508" s="647">
        <v>1049.1199999999999</v>
      </c>
    </row>
    <row r="11509" spans="2:10">
      <c r="B11509" s="1230" t="s">
        <v>454</v>
      </c>
      <c r="C11509" s="132" t="s">
        <v>2314</v>
      </c>
      <c r="D11509" s="255">
        <v>20111</v>
      </c>
      <c r="E11509" s="553">
        <v>147.28</v>
      </c>
      <c r="F11509" s="553">
        <v>1713.2</v>
      </c>
      <c r="G11509" s="553">
        <v>648.64</v>
      </c>
      <c r="H11509" s="553">
        <v>169.65</v>
      </c>
      <c r="I11509" s="553">
        <v>320.97000000000003</v>
      </c>
      <c r="J11509" s="647">
        <v>572.6</v>
      </c>
    </row>
    <row r="11510" spans="2:10">
      <c r="B11510" s="1230" t="s">
        <v>454</v>
      </c>
      <c r="C11510" s="132" t="s">
        <v>2366</v>
      </c>
      <c r="D11510" s="255">
        <v>20113</v>
      </c>
      <c r="E11510" s="553">
        <v>174.77</v>
      </c>
      <c r="F11510" s="553">
        <v>2216.4299999999998</v>
      </c>
      <c r="G11510" s="553">
        <v>727.19</v>
      </c>
      <c r="H11510" s="553">
        <v>218.1</v>
      </c>
      <c r="I11510" s="553">
        <v>244.07</v>
      </c>
      <c r="J11510" s="647">
        <v>626.62</v>
      </c>
    </row>
    <row r="11511" spans="2:10">
      <c r="B11511" s="1230" t="s">
        <v>454</v>
      </c>
      <c r="C11511" s="132" t="s">
        <v>1765</v>
      </c>
      <c r="D11511" s="255">
        <v>20115</v>
      </c>
      <c r="E11511" s="553">
        <v>140.53</v>
      </c>
      <c r="F11511" s="553">
        <v>1736.73</v>
      </c>
      <c r="G11511" s="553">
        <v>614.62</v>
      </c>
      <c r="H11511" s="553">
        <v>171.15</v>
      </c>
      <c r="I11511" s="553">
        <v>269.64</v>
      </c>
      <c r="J11511" s="647">
        <v>567.32000000000005</v>
      </c>
    </row>
    <row r="11512" spans="2:10">
      <c r="B11512" s="1230" t="s">
        <v>454</v>
      </c>
      <c r="C11512" s="132" t="s">
        <v>1766</v>
      </c>
      <c r="D11512" s="255">
        <v>20117</v>
      </c>
      <c r="E11512" s="553">
        <v>112.98</v>
      </c>
      <c r="F11512" s="553">
        <v>1319.71</v>
      </c>
      <c r="G11512" s="553">
        <v>561.58000000000004</v>
      </c>
      <c r="H11512" s="553">
        <v>130.63</v>
      </c>
      <c r="I11512" s="553">
        <v>267.83</v>
      </c>
      <c r="J11512" s="647">
        <v>503.22</v>
      </c>
    </row>
    <row r="11513" spans="2:10">
      <c r="B11513" s="1230" t="s">
        <v>454</v>
      </c>
      <c r="C11513" s="132" t="s">
        <v>2367</v>
      </c>
      <c r="D11513" s="255">
        <v>20119</v>
      </c>
      <c r="E11513" s="553">
        <v>92.78</v>
      </c>
      <c r="F11513" s="553">
        <v>850.39</v>
      </c>
      <c r="G11513" s="553">
        <v>379.96</v>
      </c>
      <c r="H11513" s="553">
        <v>86.07</v>
      </c>
      <c r="I11513" s="553">
        <v>247.98</v>
      </c>
      <c r="J11513" s="647">
        <v>1201.46</v>
      </c>
    </row>
    <row r="11514" spans="2:10">
      <c r="B11514" s="1230" t="s">
        <v>454</v>
      </c>
      <c r="C11514" s="132" t="s">
        <v>2269</v>
      </c>
      <c r="D11514" s="255">
        <v>20121</v>
      </c>
      <c r="E11514" s="553">
        <v>560.04999999999995</v>
      </c>
      <c r="F11514" s="553">
        <v>6354.69</v>
      </c>
      <c r="G11514" s="553">
        <v>1623.21</v>
      </c>
      <c r="H11514" s="553">
        <v>630.74</v>
      </c>
      <c r="I11514" s="553">
        <v>407.85</v>
      </c>
      <c r="J11514" s="647">
        <v>1122.49</v>
      </c>
    </row>
    <row r="11515" spans="2:10">
      <c r="B11515" s="1230" t="s">
        <v>454</v>
      </c>
      <c r="C11515" s="132" t="s">
        <v>2122</v>
      </c>
      <c r="D11515" s="255">
        <v>20123</v>
      </c>
      <c r="E11515" s="553">
        <v>89.45</v>
      </c>
      <c r="F11515" s="553">
        <v>982.17</v>
      </c>
      <c r="G11515" s="553">
        <v>450.63</v>
      </c>
      <c r="H11515" s="553">
        <v>97.73</v>
      </c>
      <c r="I11515" s="553">
        <v>210.45</v>
      </c>
      <c r="J11515" s="647">
        <v>437.74</v>
      </c>
    </row>
    <row r="11516" spans="2:10">
      <c r="B11516" s="1230" t="s">
        <v>454</v>
      </c>
      <c r="C11516" s="132" t="s">
        <v>1769</v>
      </c>
      <c r="D11516" s="255">
        <v>20125</v>
      </c>
      <c r="E11516" s="553">
        <v>136.76</v>
      </c>
      <c r="F11516" s="553">
        <v>1756.05</v>
      </c>
      <c r="G11516" s="553">
        <v>625.38</v>
      </c>
      <c r="H11516" s="553">
        <v>172.54</v>
      </c>
      <c r="I11516" s="553">
        <v>536.54</v>
      </c>
      <c r="J11516" s="647">
        <v>1615.66</v>
      </c>
    </row>
    <row r="11517" spans="2:10">
      <c r="B11517" s="1230" t="s">
        <v>454</v>
      </c>
      <c r="C11517" s="132" t="s">
        <v>2368</v>
      </c>
      <c r="D11517" s="255">
        <v>20127</v>
      </c>
      <c r="E11517" s="553">
        <v>123.71</v>
      </c>
      <c r="F11517" s="553">
        <v>1429.9</v>
      </c>
      <c r="G11517" s="553">
        <v>560.26</v>
      </c>
      <c r="H11517" s="553">
        <v>141.63</v>
      </c>
      <c r="I11517" s="553">
        <v>286.39</v>
      </c>
      <c r="J11517" s="647">
        <v>528.77</v>
      </c>
    </row>
    <row r="11518" spans="2:10">
      <c r="B11518" s="1230" t="s">
        <v>454</v>
      </c>
      <c r="C11518" s="132" t="s">
        <v>2369</v>
      </c>
      <c r="D11518" s="255">
        <v>20129</v>
      </c>
      <c r="E11518" s="553">
        <v>95.15</v>
      </c>
      <c r="F11518" s="553">
        <v>710.95</v>
      </c>
      <c r="G11518" s="553">
        <v>334.19</v>
      </c>
      <c r="H11518" s="553">
        <v>73.44</v>
      </c>
      <c r="I11518" s="553">
        <v>231.36</v>
      </c>
      <c r="J11518" s="647">
        <v>1083.9100000000001</v>
      </c>
    </row>
    <row r="11519" spans="2:10">
      <c r="B11519" s="1230" t="s">
        <v>454</v>
      </c>
      <c r="C11519" s="132" t="s">
        <v>2370</v>
      </c>
      <c r="D11519" s="255">
        <v>20131</v>
      </c>
      <c r="E11519" s="553">
        <v>128.47999999999999</v>
      </c>
      <c r="F11519" s="553">
        <v>1515.45</v>
      </c>
      <c r="G11519" s="553">
        <v>613.26</v>
      </c>
      <c r="H11519" s="553">
        <v>149.99</v>
      </c>
      <c r="I11519" s="553">
        <v>293.87</v>
      </c>
      <c r="J11519" s="647">
        <v>534.48</v>
      </c>
    </row>
    <row r="11520" spans="2:10">
      <c r="B11520" s="1230" t="s">
        <v>454</v>
      </c>
      <c r="C11520" s="132" t="s">
        <v>2371</v>
      </c>
      <c r="D11520" s="255">
        <v>20133</v>
      </c>
      <c r="E11520" s="553">
        <v>139.56</v>
      </c>
      <c r="F11520" s="553">
        <v>1728.31</v>
      </c>
      <c r="G11520" s="553">
        <v>619.83000000000004</v>
      </c>
      <c r="H11520" s="553">
        <v>170.27</v>
      </c>
      <c r="I11520" s="553">
        <v>589.80999999999995</v>
      </c>
      <c r="J11520" s="647">
        <v>1615.39</v>
      </c>
    </row>
    <row r="11521" spans="2:10">
      <c r="B11521" s="1230" t="s">
        <v>454</v>
      </c>
      <c r="C11521" s="132" t="s">
        <v>2372</v>
      </c>
      <c r="D11521" s="255">
        <v>20135</v>
      </c>
      <c r="E11521" s="553">
        <v>83.55</v>
      </c>
      <c r="F11521" s="553">
        <v>802.11</v>
      </c>
      <c r="G11521" s="553">
        <v>369.82</v>
      </c>
      <c r="H11521" s="553">
        <v>80.83</v>
      </c>
      <c r="I11521" s="553">
        <v>238.14</v>
      </c>
      <c r="J11521" s="647">
        <v>1167.55</v>
      </c>
    </row>
    <row r="11522" spans="2:10">
      <c r="B11522" s="1230" t="s">
        <v>454</v>
      </c>
      <c r="C11522" s="132" t="s">
        <v>2373</v>
      </c>
      <c r="D11522" s="255">
        <v>20137</v>
      </c>
      <c r="E11522" s="553">
        <v>106.72</v>
      </c>
      <c r="F11522" s="553">
        <v>1091.69</v>
      </c>
      <c r="G11522" s="553">
        <v>467.93</v>
      </c>
      <c r="H11522" s="553">
        <v>109.24</v>
      </c>
      <c r="I11522" s="553">
        <v>285.18</v>
      </c>
      <c r="J11522" s="647">
        <v>610.07000000000005</v>
      </c>
    </row>
    <row r="11523" spans="2:10">
      <c r="B11523" s="1230" t="s">
        <v>454</v>
      </c>
      <c r="C11523" s="132" t="s">
        <v>2374</v>
      </c>
      <c r="D11523" s="255">
        <v>20139</v>
      </c>
      <c r="E11523" s="553">
        <v>181.01</v>
      </c>
      <c r="F11523" s="553">
        <v>2155.41</v>
      </c>
      <c r="G11523" s="553">
        <v>757.62</v>
      </c>
      <c r="H11523" s="553">
        <v>213.07</v>
      </c>
      <c r="I11523" s="553">
        <v>330.54</v>
      </c>
      <c r="J11523" s="647">
        <v>630.41</v>
      </c>
    </row>
    <row r="11524" spans="2:10">
      <c r="B11524" s="1230" t="s">
        <v>454</v>
      </c>
      <c r="C11524" s="132" t="s">
        <v>2375</v>
      </c>
      <c r="D11524" s="255">
        <v>20141</v>
      </c>
      <c r="E11524" s="553">
        <v>83.61</v>
      </c>
      <c r="F11524" s="553">
        <v>921.88</v>
      </c>
      <c r="G11524" s="553">
        <v>424.71</v>
      </c>
      <c r="H11524" s="553">
        <v>91.75</v>
      </c>
      <c r="I11524" s="553">
        <v>254.14</v>
      </c>
      <c r="J11524" s="647">
        <v>1235.53</v>
      </c>
    </row>
    <row r="11525" spans="2:10">
      <c r="B11525" s="1230" t="s">
        <v>454</v>
      </c>
      <c r="C11525" s="132" t="s">
        <v>2376</v>
      </c>
      <c r="D11525" s="255">
        <v>20143</v>
      </c>
      <c r="E11525" s="553">
        <v>133.38999999999999</v>
      </c>
      <c r="F11525" s="553">
        <v>1608.03</v>
      </c>
      <c r="G11525" s="553">
        <v>632.16999999999996</v>
      </c>
      <c r="H11525" s="553">
        <v>158.83000000000001</v>
      </c>
      <c r="I11525" s="553">
        <v>230.71</v>
      </c>
      <c r="J11525" s="647">
        <v>539.66999999999996</v>
      </c>
    </row>
    <row r="11526" spans="2:10">
      <c r="B11526" s="1230" t="s">
        <v>454</v>
      </c>
      <c r="C11526" s="132" t="s">
        <v>2377</v>
      </c>
      <c r="D11526" s="255">
        <v>20145</v>
      </c>
      <c r="E11526" s="553">
        <v>85.2</v>
      </c>
      <c r="F11526" s="553">
        <v>917.57</v>
      </c>
      <c r="G11526" s="553">
        <v>417.42</v>
      </c>
      <c r="H11526" s="553">
        <v>91.42</v>
      </c>
      <c r="I11526" s="553">
        <v>262.32</v>
      </c>
      <c r="J11526" s="647">
        <v>1245.42</v>
      </c>
    </row>
    <row r="11527" spans="2:10">
      <c r="B11527" s="1230" t="s">
        <v>454</v>
      </c>
      <c r="C11527" s="132" t="s">
        <v>1865</v>
      </c>
      <c r="D11527" s="255">
        <v>20147</v>
      </c>
      <c r="E11527" s="553">
        <v>113.47</v>
      </c>
      <c r="F11527" s="553">
        <v>1192.05</v>
      </c>
      <c r="G11527" s="553">
        <v>511.44</v>
      </c>
      <c r="H11527" s="553">
        <v>119.12</v>
      </c>
      <c r="I11527" s="553">
        <v>298.3</v>
      </c>
      <c r="J11527" s="647">
        <v>633.88</v>
      </c>
    </row>
    <row r="11528" spans="2:10">
      <c r="B11528" s="1230" t="s">
        <v>454</v>
      </c>
      <c r="C11528" s="132" t="s">
        <v>2378</v>
      </c>
      <c r="D11528" s="255">
        <v>20149</v>
      </c>
      <c r="E11528" s="553">
        <v>144.97999999999999</v>
      </c>
      <c r="F11528" s="553">
        <v>1694.33</v>
      </c>
      <c r="G11528" s="553">
        <v>671.14</v>
      </c>
      <c r="H11528" s="553">
        <v>167.86</v>
      </c>
      <c r="I11528" s="553">
        <v>285</v>
      </c>
      <c r="J11528" s="647">
        <v>562.29</v>
      </c>
    </row>
    <row r="11529" spans="2:10">
      <c r="B11529" s="1230" t="s">
        <v>454</v>
      </c>
      <c r="C11529" s="132" t="s">
        <v>2379</v>
      </c>
      <c r="D11529" s="255">
        <v>20151</v>
      </c>
      <c r="E11529" s="553">
        <v>90.51</v>
      </c>
      <c r="F11529" s="553">
        <v>1026.8599999999999</v>
      </c>
      <c r="G11529" s="553">
        <v>476.44</v>
      </c>
      <c r="H11529" s="553">
        <v>101.89</v>
      </c>
      <c r="I11529" s="553">
        <v>293.14999999999998</v>
      </c>
      <c r="J11529" s="647">
        <v>1330.02</v>
      </c>
    </row>
    <row r="11530" spans="2:10">
      <c r="B11530" s="1230" t="s">
        <v>454</v>
      </c>
      <c r="C11530" s="132" t="s">
        <v>2380</v>
      </c>
      <c r="D11530" s="255">
        <v>20153</v>
      </c>
      <c r="E11530" s="553">
        <v>129.25</v>
      </c>
      <c r="F11530" s="553">
        <v>931.85</v>
      </c>
      <c r="G11530" s="553">
        <v>449.03</v>
      </c>
      <c r="H11530" s="553">
        <v>96.81</v>
      </c>
      <c r="I11530" s="553">
        <v>269.08999999999997</v>
      </c>
      <c r="J11530" s="647">
        <v>571.80999999999995</v>
      </c>
    </row>
    <row r="11531" spans="2:10">
      <c r="B11531" s="1230" t="s">
        <v>454</v>
      </c>
      <c r="C11531" s="132" t="s">
        <v>2381</v>
      </c>
      <c r="D11531" s="255">
        <v>20155</v>
      </c>
      <c r="E11531" s="553">
        <v>109.91</v>
      </c>
      <c r="F11531" s="553">
        <v>1335.49</v>
      </c>
      <c r="G11531" s="553">
        <v>509.17</v>
      </c>
      <c r="H11531" s="553">
        <v>131.82</v>
      </c>
      <c r="I11531" s="553">
        <v>316.18</v>
      </c>
      <c r="J11531" s="647">
        <v>1433.76</v>
      </c>
    </row>
    <row r="11532" spans="2:10">
      <c r="B11532" s="1230" t="s">
        <v>454</v>
      </c>
      <c r="C11532" s="132" t="s">
        <v>2382</v>
      </c>
      <c r="D11532" s="255">
        <v>20157</v>
      </c>
      <c r="E11532" s="553">
        <v>102.89</v>
      </c>
      <c r="F11532" s="553">
        <v>1175.9000000000001</v>
      </c>
      <c r="G11532" s="553">
        <v>582.77</v>
      </c>
      <c r="H11532" s="553">
        <v>116.66</v>
      </c>
      <c r="I11532" s="553">
        <v>225.15</v>
      </c>
      <c r="J11532" s="647">
        <v>473.42</v>
      </c>
    </row>
    <row r="11533" spans="2:10">
      <c r="B11533" s="1230" t="s">
        <v>454</v>
      </c>
      <c r="C11533" s="132" t="s">
        <v>2383</v>
      </c>
      <c r="D11533" s="255">
        <v>20159</v>
      </c>
      <c r="E11533" s="553">
        <v>97.55</v>
      </c>
      <c r="F11533" s="553">
        <v>1133.6500000000001</v>
      </c>
      <c r="G11533" s="553">
        <v>473.09</v>
      </c>
      <c r="H11533" s="553">
        <v>112.33</v>
      </c>
      <c r="I11533" s="553">
        <v>299.17</v>
      </c>
      <c r="J11533" s="647">
        <v>1354.32</v>
      </c>
    </row>
    <row r="11534" spans="2:10">
      <c r="B11534" s="1230" t="s">
        <v>454</v>
      </c>
      <c r="C11534" s="132" t="s">
        <v>2384</v>
      </c>
      <c r="D11534" s="255">
        <v>20161</v>
      </c>
      <c r="E11534" s="553">
        <v>157.77000000000001</v>
      </c>
      <c r="F11534" s="553">
        <v>1836.57</v>
      </c>
      <c r="G11534" s="553">
        <v>666.63</v>
      </c>
      <c r="H11534" s="553">
        <v>181.89</v>
      </c>
      <c r="I11534" s="553">
        <v>269.91000000000003</v>
      </c>
      <c r="J11534" s="647">
        <v>562.91999999999996</v>
      </c>
    </row>
    <row r="11535" spans="2:10">
      <c r="B11535" s="1230" t="s">
        <v>454</v>
      </c>
      <c r="C11535" s="132" t="s">
        <v>2385</v>
      </c>
      <c r="D11535" s="255">
        <v>20163</v>
      </c>
      <c r="E11535" s="553">
        <v>80.44</v>
      </c>
      <c r="F11535" s="553">
        <v>861.25</v>
      </c>
      <c r="G11535" s="553">
        <v>392.01</v>
      </c>
      <c r="H11535" s="553">
        <v>85.86</v>
      </c>
      <c r="I11535" s="553">
        <v>241.46</v>
      </c>
      <c r="J11535" s="647">
        <v>1184.77</v>
      </c>
    </row>
    <row r="11536" spans="2:10">
      <c r="B11536" s="1230" t="s">
        <v>454</v>
      </c>
      <c r="C11536" s="132" t="s">
        <v>2276</v>
      </c>
      <c r="D11536" s="255">
        <v>20165</v>
      </c>
      <c r="E11536" s="553">
        <v>81.2</v>
      </c>
      <c r="F11536" s="553">
        <v>877.09</v>
      </c>
      <c r="G11536" s="553">
        <v>397.44</v>
      </c>
      <c r="H11536" s="553">
        <v>87.39</v>
      </c>
      <c r="I11536" s="553">
        <v>252.6</v>
      </c>
      <c r="J11536" s="647">
        <v>1221.8900000000001</v>
      </c>
    </row>
    <row r="11537" spans="2:10">
      <c r="B11537" s="1230" t="s">
        <v>454</v>
      </c>
      <c r="C11537" s="132" t="s">
        <v>1775</v>
      </c>
      <c r="D11537" s="255">
        <v>20167</v>
      </c>
      <c r="E11537" s="553">
        <v>81.84</v>
      </c>
      <c r="F11537" s="553">
        <v>924.41</v>
      </c>
      <c r="G11537" s="553">
        <v>426.07</v>
      </c>
      <c r="H11537" s="553">
        <v>91.76</v>
      </c>
      <c r="I11537" s="553">
        <v>259.74</v>
      </c>
      <c r="J11537" s="647">
        <v>1257.98</v>
      </c>
    </row>
    <row r="11538" spans="2:10">
      <c r="B11538" s="1230" t="s">
        <v>454</v>
      </c>
      <c r="C11538" s="132" t="s">
        <v>1872</v>
      </c>
      <c r="D11538" s="255">
        <v>20169</v>
      </c>
      <c r="E11538" s="553">
        <v>129.47</v>
      </c>
      <c r="F11538" s="553">
        <v>1565.99</v>
      </c>
      <c r="G11538" s="553">
        <v>594.89</v>
      </c>
      <c r="H11538" s="553">
        <v>154.6</v>
      </c>
      <c r="I11538" s="553">
        <v>237.22</v>
      </c>
      <c r="J11538" s="647">
        <v>529.26</v>
      </c>
    </row>
    <row r="11539" spans="2:10">
      <c r="B11539" s="1230" t="s">
        <v>454</v>
      </c>
      <c r="C11539" s="132" t="s">
        <v>1873</v>
      </c>
      <c r="D11539" s="255">
        <v>20171</v>
      </c>
      <c r="E11539" s="553">
        <v>94.38</v>
      </c>
      <c r="F11539" s="553">
        <v>721.78</v>
      </c>
      <c r="G11539" s="553">
        <v>368.42</v>
      </c>
      <c r="H11539" s="553">
        <v>74.38</v>
      </c>
      <c r="I11539" s="553">
        <v>225.46</v>
      </c>
      <c r="J11539" s="647">
        <v>1087.95</v>
      </c>
    </row>
    <row r="11540" spans="2:10">
      <c r="B11540" s="1230" t="s">
        <v>454</v>
      </c>
      <c r="C11540" s="132" t="s">
        <v>1990</v>
      </c>
      <c r="D11540" s="255">
        <v>20173</v>
      </c>
      <c r="E11540" s="553">
        <v>198.72</v>
      </c>
      <c r="F11540" s="553">
        <v>2449.27</v>
      </c>
      <c r="G11540" s="553">
        <v>661.62</v>
      </c>
      <c r="H11540" s="553">
        <v>241.56</v>
      </c>
      <c r="I11540" s="553">
        <v>358.32</v>
      </c>
      <c r="J11540" s="647">
        <v>1757.09</v>
      </c>
    </row>
    <row r="11541" spans="2:10">
      <c r="B11541" s="1230" t="s">
        <v>454</v>
      </c>
      <c r="C11541" s="132" t="s">
        <v>2386</v>
      </c>
      <c r="D11541" s="255">
        <v>20175</v>
      </c>
      <c r="E11541" s="553">
        <v>88</v>
      </c>
      <c r="F11541" s="553">
        <v>808.71</v>
      </c>
      <c r="G11541" s="553">
        <v>390.89</v>
      </c>
      <c r="H11541" s="553">
        <v>81.77</v>
      </c>
      <c r="I11541" s="553">
        <v>239.26</v>
      </c>
      <c r="J11541" s="647">
        <v>1162.18</v>
      </c>
    </row>
    <row r="11542" spans="2:10">
      <c r="B11542" s="1230" t="s">
        <v>454</v>
      </c>
      <c r="C11542" s="132" t="s">
        <v>2387</v>
      </c>
      <c r="D11542" s="255">
        <v>20177</v>
      </c>
      <c r="E11542" s="553">
        <v>249.41</v>
      </c>
      <c r="F11542" s="553">
        <v>3124.91</v>
      </c>
      <c r="G11542" s="553">
        <v>913.56</v>
      </c>
      <c r="H11542" s="553">
        <v>307.86</v>
      </c>
      <c r="I11542" s="553">
        <v>317.29000000000002</v>
      </c>
      <c r="J11542" s="647">
        <v>726.96</v>
      </c>
    </row>
    <row r="11543" spans="2:10">
      <c r="B11543" s="1230" t="s">
        <v>454</v>
      </c>
      <c r="C11543" s="132" t="s">
        <v>2388</v>
      </c>
      <c r="D11543" s="255">
        <v>20179</v>
      </c>
      <c r="E11543" s="553">
        <v>87.46</v>
      </c>
      <c r="F11543" s="553">
        <v>721.17</v>
      </c>
      <c r="G11543" s="553">
        <v>365.39</v>
      </c>
      <c r="H11543" s="553">
        <v>73.69</v>
      </c>
      <c r="I11543" s="553">
        <v>226.53</v>
      </c>
      <c r="J11543" s="647">
        <v>1085.67</v>
      </c>
    </row>
    <row r="11544" spans="2:10">
      <c r="B11544" s="1230" t="s">
        <v>454</v>
      </c>
      <c r="C11544" s="132" t="s">
        <v>2389</v>
      </c>
      <c r="D11544" s="255">
        <v>20181</v>
      </c>
      <c r="E11544" s="553">
        <v>129.74</v>
      </c>
      <c r="F11544" s="553">
        <v>873.77</v>
      </c>
      <c r="G11544" s="553">
        <v>484.78</v>
      </c>
      <c r="H11544" s="553">
        <v>91.52</v>
      </c>
      <c r="I11544" s="553">
        <v>266.3</v>
      </c>
      <c r="J11544" s="647">
        <v>553.29</v>
      </c>
    </row>
    <row r="11545" spans="2:10">
      <c r="B11545" s="1230" t="s">
        <v>454</v>
      </c>
      <c r="C11545" s="132" t="s">
        <v>2390</v>
      </c>
      <c r="D11545" s="255">
        <v>20183</v>
      </c>
      <c r="E11545" s="553">
        <v>110.56</v>
      </c>
      <c r="F11545" s="553">
        <v>1210.9000000000001</v>
      </c>
      <c r="G11545" s="553">
        <v>523.41</v>
      </c>
      <c r="H11545" s="553">
        <v>120.52</v>
      </c>
      <c r="I11545" s="553">
        <v>314.85000000000002</v>
      </c>
      <c r="J11545" s="647">
        <v>648.33000000000004</v>
      </c>
    </row>
    <row r="11546" spans="2:10">
      <c r="B11546" s="1230" t="s">
        <v>454</v>
      </c>
      <c r="C11546" s="132" t="s">
        <v>2391</v>
      </c>
      <c r="D11546" s="255">
        <v>20185</v>
      </c>
      <c r="E11546" s="553">
        <v>88.27</v>
      </c>
      <c r="F11546" s="553">
        <v>995.91</v>
      </c>
      <c r="G11546" s="553">
        <v>462.2</v>
      </c>
      <c r="H11546" s="553">
        <v>98.82</v>
      </c>
      <c r="I11546" s="553">
        <v>283.92</v>
      </c>
      <c r="J11546" s="647">
        <v>1303.6199999999999</v>
      </c>
    </row>
    <row r="11547" spans="2:10">
      <c r="B11547" s="1230" t="s">
        <v>454</v>
      </c>
      <c r="C11547" s="132" t="s">
        <v>2392</v>
      </c>
      <c r="D11547" s="255">
        <v>20187</v>
      </c>
      <c r="E11547" s="553">
        <v>95.76</v>
      </c>
      <c r="F11547" s="553">
        <v>701.71</v>
      </c>
      <c r="G11547" s="553">
        <v>333.36</v>
      </c>
      <c r="H11547" s="553">
        <v>72.73</v>
      </c>
      <c r="I11547" s="553">
        <v>227.9</v>
      </c>
      <c r="J11547" s="647">
        <v>1071.51</v>
      </c>
    </row>
    <row r="11548" spans="2:10">
      <c r="B11548" s="1230" t="s">
        <v>454</v>
      </c>
      <c r="C11548" s="132" t="s">
        <v>2393</v>
      </c>
      <c r="D11548" s="255">
        <v>20189</v>
      </c>
      <c r="E11548" s="553">
        <v>102.57</v>
      </c>
      <c r="F11548" s="553">
        <v>816.96</v>
      </c>
      <c r="G11548" s="553">
        <v>372.38</v>
      </c>
      <c r="H11548" s="553">
        <v>83.88</v>
      </c>
      <c r="I11548" s="553">
        <v>232.21</v>
      </c>
      <c r="J11548" s="647">
        <v>1139.06</v>
      </c>
    </row>
    <row r="11549" spans="2:10">
      <c r="B11549" s="1230" t="s">
        <v>454</v>
      </c>
      <c r="C11549" s="132" t="s">
        <v>2394</v>
      </c>
      <c r="D11549" s="255">
        <v>20191</v>
      </c>
      <c r="E11549" s="553">
        <v>188.12</v>
      </c>
      <c r="F11549" s="553">
        <v>2307.31</v>
      </c>
      <c r="G11549" s="553">
        <v>671.72</v>
      </c>
      <c r="H11549" s="553">
        <v>227.63</v>
      </c>
      <c r="I11549" s="553">
        <v>369.24</v>
      </c>
      <c r="J11549" s="647">
        <v>1783.61</v>
      </c>
    </row>
    <row r="11550" spans="2:10">
      <c r="B11550" s="1230" t="s">
        <v>454</v>
      </c>
      <c r="C11550" s="132" t="s">
        <v>2144</v>
      </c>
      <c r="D11550" s="255">
        <v>20193</v>
      </c>
      <c r="E11550" s="553">
        <v>130.08000000000001</v>
      </c>
      <c r="F11550" s="553">
        <v>929.38</v>
      </c>
      <c r="G11550" s="553">
        <v>453.02</v>
      </c>
      <c r="H11550" s="553">
        <v>96.66</v>
      </c>
      <c r="I11550" s="553">
        <v>267.77999999999997</v>
      </c>
      <c r="J11550" s="647">
        <v>572.51</v>
      </c>
    </row>
    <row r="11551" spans="2:10">
      <c r="B11551" s="1230" t="s">
        <v>454</v>
      </c>
      <c r="C11551" s="132" t="s">
        <v>2395</v>
      </c>
      <c r="D11551" s="255">
        <v>20195</v>
      </c>
      <c r="E11551" s="553">
        <v>81.400000000000006</v>
      </c>
      <c r="F11551" s="553">
        <v>851.95</v>
      </c>
      <c r="G11551" s="553">
        <v>375.06</v>
      </c>
      <c r="H11551" s="553">
        <v>85.11</v>
      </c>
      <c r="I11551" s="553">
        <v>234.27</v>
      </c>
      <c r="J11551" s="647">
        <v>1163.01</v>
      </c>
    </row>
    <row r="11552" spans="2:10">
      <c r="B11552" s="1230" t="s">
        <v>454</v>
      </c>
      <c r="C11552" s="132" t="s">
        <v>2396</v>
      </c>
      <c r="D11552" s="255">
        <v>20197</v>
      </c>
      <c r="E11552" s="553">
        <v>228.49</v>
      </c>
      <c r="F11552" s="553">
        <v>2799.95</v>
      </c>
      <c r="G11552" s="553">
        <v>903.54</v>
      </c>
      <c r="H11552" s="553">
        <v>276.29000000000002</v>
      </c>
      <c r="I11552" s="553">
        <v>304.79000000000002</v>
      </c>
      <c r="J11552" s="647">
        <v>704.18</v>
      </c>
    </row>
    <row r="11553" spans="2:10">
      <c r="B11553" s="1230" t="s">
        <v>454</v>
      </c>
      <c r="C11553" s="132" t="s">
        <v>2397</v>
      </c>
      <c r="D11553" s="255">
        <v>20199</v>
      </c>
      <c r="E11553" s="553">
        <v>80.680000000000007</v>
      </c>
      <c r="F11553" s="553">
        <v>636.26</v>
      </c>
      <c r="G11553" s="553">
        <v>358.36</v>
      </c>
      <c r="H11553" s="553">
        <v>65.39</v>
      </c>
      <c r="I11553" s="553">
        <v>224.73</v>
      </c>
      <c r="J11553" s="647">
        <v>1008.1</v>
      </c>
    </row>
    <row r="11554" spans="2:10">
      <c r="B11554" s="1230" t="s">
        <v>454</v>
      </c>
      <c r="C11554" s="132" t="s">
        <v>487</v>
      </c>
      <c r="D11554" s="255">
        <v>20201</v>
      </c>
      <c r="E11554" s="553">
        <v>107.32</v>
      </c>
      <c r="F11554" s="553">
        <v>1241.05</v>
      </c>
      <c r="G11554" s="553">
        <v>558.89</v>
      </c>
      <c r="H11554" s="553">
        <v>122.98</v>
      </c>
      <c r="I11554" s="553">
        <v>244.49</v>
      </c>
      <c r="J11554" s="647">
        <v>484.56</v>
      </c>
    </row>
    <row r="11555" spans="2:10">
      <c r="B11555" s="1230" t="s">
        <v>454</v>
      </c>
      <c r="C11555" s="132" t="s">
        <v>2398</v>
      </c>
      <c r="D11555" s="255">
        <v>20203</v>
      </c>
      <c r="E11555" s="553">
        <v>94.69</v>
      </c>
      <c r="F11555" s="553">
        <v>690.76</v>
      </c>
      <c r="G11555" s="553">
        <v>361.18</v>
      </c>
      <c r="H11555" s="553">
        <v>71.61</v>
      </c>
      <c r="I11555" s="553">
        <v>221.71</v>
      </c>
      <c r="J11555" s="647">
        <v>1058.5999999999999</v>
      </c>
    </row>
    <row r="11556" spans="2:10">
      <c r="B11556" s="1230" t="s">
        <v>454</v>
      </c>
      <c r="C11556" s="132" t="s">
        <v>2399</v>
      </c>
      <c r="D11556" s="255">
        <v>20205</v>
      </c>
      <c r="E11556" s="553">
        <v>138.13999999999999</v>
      </c>
      <c r="F11556" s="553">
        <v>1677.43</v>
      </c>
      <c r="G11556" s="553">
        <v>590.1</v>
      </c>
      <c r="H11556" s="553">
        <v>165.52</v>
      </c>
      <c r="I11556" s="553">
        <v>347.38</v>
      </c>
      <c r="J11556" s="647">
        <v>556.63</v>
      </c>
    </row>
    <row r="11557" spans="2:10">
      <c r="B11557" s="1230" t="s">
        <v>454</v>
      </c>
      <c r="C11557" s="132" t="s">
        <v>2400</v>
      </c>
      <c r="D11557" s="255">
        <v>20207</v>
      </c>
      <c r="E11557" s="553">
        <v>112.62</v>
      </c>
      <c r="F11557" s="553">
        <v>1333.39</v>
      </c>
      <c r="G11557" s="553">
        <v>528.20000000000005</v>
      </c>
      <c r="H11557" s="553">
        <v>131.9</v>
      </c>
      <c r="I11557" s="553">
        <v>343.7</v>
      </c>
      <c r="J11557" s="647">
        <v>519.02</v>
      </c>
    </row>
    <row r="11558" spans="2:10">
      <c r="B11558" s="1230" t="s">
        <v>454</v>
      </c>
      <c r="C11558" s="132" t="s">
        <v>2401</v>
      </c>
      <c r="D11558" s="255">
        <v>20209</v>
      </c>
      <c r="E11558" s="553">
        <v>676.34</v>
      </c>
      <c r="F11558" s="553">
        <v>7516.98</v>
      </c>
      <c r="G11558" s="553">
        <v>1547.46</v>
      </c>
      <c r="H11558" s="553">
        <v>747.15</v>
      </c>
      <c r="I11558" s="553">
        <v>399.79</v>
      </c>
      <c r="J11558" s="647">
        <v>1098.8699999999999</v>
      </c>
    </row>
    <row r="11559" spans="2:10">
      <c r="B11559" s="1230" t="s">
        <v>455</v>
      </c>
      <c r="C11559" s="132" t="s">
        <v>2291</v>
      </c>
      <c r="D11559" s="255">
        <v>21001</v>
      </c>
      <c r="E11559" s="553">
        <v>264.47000000000003</v>
      </c>
      <c r="F11559" s="553">
        <v>3518.25</v>
      </c>
      <c r="G11559" s="553">
        <v>367.05</v>
      </c>
      <c r="H11559" s="553">
        <v>344.74</v>
      </c>
      <c r="I11559" s="553">
        <v>2869.82</v>
      </c>
      <c r="J11559" s="647">
        <v>2164.0700000000002</v>
      </c>
    </row>
    <row r="11560" spans="2:10">
      <c r="B11560" s="1230" t="s">
        <v>455</v>
      </c>
      <c r="C11560" s="132" t="s">
        <v>2252</v>
      </c>
      <c r="D11560" s="255">
        <v>21003</v>
      </c>
      <c r="E11560" s="553">
        <v>340.88</v>
      </c>
      <c r="F11560" s="553">
        <v>4703.4799999999996</v>
      </c>
      <c r="G11560" s="553">
        <v>457.99</v>
      </c>
      <c r="H11560" s="553">
        <v>459.63</v>
      </c>
      <c r="I11560" s="553">
        <v>3825.45</v>
      </c>
      <c r="J11560" s="647">
        <v>2480.0100000000002</v>
      </c>
    </row>
    <row r="11561" spans="2:10">
      <c r="B11561" s="1230" t="s">
        <v>455</v>
      </c>
      <c r="C11561" s="132" t="s">
        <v>2335</v>
      </c>
      <c r="D11561" s="255">
        <v>21005</v>
      </c>
      <c r="E11561" s="553">
        <v>433.07</v>
      </c>
      <c r="F11561" s="553">
        <v>5295.39</v>
      </c>
      <c r="G11561" s="553">
        <v>316.98</v>
      </c>
      <c r="H11561" s="553">
        <v>522.23</v>
      </c>
      <c r="I11561" s="553">
        <v>9362.36</v>
      </c>
      <c r="J11561" s="647">
        <v>2747.65</v>
      </c>
    </row>
    <row r="11562" spans="2:10">
      <c r="B11562" s="1230" t="s">
        <v>455</v>
      </c>
      <c r="C11562" s="132" t="s">
        <v>2402</v>
      </c>
      <c r="D11562" s="255">
        <v>21007</v>
      </c>
      <c r="E11562" s="553">
        <v>200.89</v>
      </c>
      <c r="F11562" s="553">
        <v>2512.4</v>
      </c>
      <c r="G11562" s="553">
        <v>535.61</v>
      </c>
      <c r="H11562" s="553">
        <v>247.34</v>
      </c>
      <c r="I11562" s="553">
        <v>1593.36</v>
      </c>
      <c r="J11562" s="647">
        <v>1808.57</v>
      </c>
    </row>
    <row r="11563" spans="2:10">
      <c r="B11563" s="1230" t="s">
        <v>455</v>
      </c>
      <c r="C11563" s="132" t="s">
        <v>2403</v>
      </c>
      <c r="D11563" s="255">
        <v>21009</v>
      </c>
      <c r="E11563" s="553">
        <v>259.64</v>
      </c>
      <c r="F11563" s="553">
        <v>3446.21</v>
      </c>
      <c r="G11563" s="553">
        <v>395.03</v>
      </c>
      <c r="H11563" s="553">
        <v>337.77</v>
      </c>
      <c r="I11563" s="553">
        <v>3032.94</v>
      </c>
      <c r="J11563" s="647">
        <v>2178.1999999999998</v>
      </c>
    </row>
    <row r="11564" spans="2:10">
      <c r="B11564" s="1230" t="s">
        <v>455</v>
      </c>
      <c r="C11564" s="132" t="s">
        <v>2404</v>
      </c>
      <c r="D11564" s="255">
        <v>21011</v>
      </c>
      <c r="E11564" s="553">
        <v>307.37</v>
      </c>
      <c r="F11564" s="553">
        <v>3838.34</v>
      </c>
      <c r="G11564" s="553">
        <v>229.63</v>
      </c>
      <c r="H11564" s="553">
        <v>377.92</v>
      </c>
      <c r="I11564" s="553">
        <v>7379.97</v>
      </c>
      <c r="J11564" s="647">
        <v>2257.08</v>
      </c>
    </row>
    <row r="11565" spans="2:10">
      <c r="B11565" s="1230" t="s">
        <v>455</v>
      </c>
      <c r="C11565" s="132" t="s">
        <v>2405</v>
      </c>
      <c r="D11565" s="255">
        <v>21013</v>
      </c>
      <c r="E11565" s="553">
        <v>282.68</v>
      </c>
      <c r="F11565" s="553">
        <v>3850.1</v>
      </c>
      <c r="G11565" s="553">
        <v>190.03</v>
      </c>
      <c r="H11565" s="553">
        <v>376.51</v>
      </c>
      <c r="I11565" s="553">
        <v>2748.27</v>
      </c>
      <c r="J11565" s="647">
        <v>2402.25</v>
      </c>
    </row>
    <row r="11566" spans="2:10">
      <c r="B11566" s="1230" t="s">
        <v>455</v>
      </c>
      <c r="C11566" s="132" t="s">
        <v>1833</v>
      </c>
      <c r="D11566" s="255">
        <v>21015</v>
      </c>
      <c r="E11566" s="553">
        <v>957.9</v>
      </c>
      <c r="F11566" s="553">
        <v>10741.59</v>
      </c>
      <c r="G11566" s="553">
        <v>359.93</v>
      </c>
      <c r="H11566" s="553">
        <v>1067.05</v>
      </c>
      <c r="I11566" s="553">
        <v>23634.01</v>
      </c>
      <c r="J11566" s="647">
        <v>3642.61</v>
      </c>
    </row>
    <row r="11567" spans="2:10">
      <c r="B11567" s="1230" t="s">
        <v>455</v>
      </c>
      <c r="C11567" s="132" t="s">
        <v>2339</v>
      </c>
      <c r="D11567" s="255">
        <v>21017</v>
      </c>
      <c r="E11567" s="553">
        <v>343.96</v>
      </c>
      <c r="F11567" s="553">
        <v>4205.57</v>
      </c>
      <c r="G11567" s="553">
        <v>250.03</v>
      </c>
      <c r="H11567" s="553">
        <v>414.81</v>
      </c>
      <c r="I11567" s="553">
        <v>8316.7900000000009</v>
      </c>
      <c r="J11567" s="647">
        <v>2368.4</v>
      </c>
    </row>
    <row r="11568" spans="2:10">
      <c r="B11568" s="1230" t="s">
        <v>455</v>
      </c>
      <c r="C11568" s="132" t="s">
        <v>2406</v>
      </c>
      <c r="D11568" s="255">
        <v>21019</v>
      </c>
      <c r="E11568" s="553">
        <v>376.19</v>
      </c>
      <c r="F11568" s="553">
        <v>4943.8999999999996</v>
      </c>
      <c r="G11568" s="553">
        <v>192.48</v>
      </c>
      <c r="H11568" s="553">
        <v>484.75</v>
      </c>
      <c r="I11568" s="553">
        <v>10329.879999999999</v>
      </c>
      <c r="J11568" s="647">
        <v>2427.73</v>
      </c>
    </row>
    <row r="11569" spans="2:10">
      <c r="B11569" s="1230" t="s">
        <v>455</v>
      </c>
      <c r="C11569" s="132" t="s">
        <v>2407</v>
      </c>
      <c r="D11569" s="255">
        <v>21021</v>
      </c>
      <c r="E11569" s="553">
        <v>278.33</v>
      </c>
      <c r="F11569" s="553">
        <v>3667.99</v>
      </c>
      <c r="G11569" s="553">
        <v>320.27999999999997</v>
      </c>
      <c r="H11569" s="553">
        <v>359.71</v>
      </c>
      <c r="I11569" s="553">
        <v>4400.01</v>
      </c>
      <c r="J11569" s="647">
        <v>2122.58</v>
      </c>
    </row>
    <row r="11570" spans="2:10">
      <c r="B11570" s="1230" t="s">
        <v>455</v>
      </c>
      <c r="C11570" s="132" t="s">
        <v>2408</v>
      </c>
      <c r="D11570" s="255">
        <v>21023</v>
      </c>
      <c r="E11570" s="553">
        <v>366.26</v>
      </c>
      <c r="F11570" s="553">
        <v>4293.37</v>
      </c>
      <c r="G11570" s="553">
        <v>329.12</v>
      </c>
      <c r="H11570" s="553">
        <v>424.89</v>
      </c>
      <c r="I11570" s="553">
        <v>7548.66</v>
      </c>
      <c r="J11570" s="647">
        <v>2514.0300000000002</v>
      </c>
    </row>
    <row r="11571" spans="2:10">
      <c r="B11571" s="1230" t="s">
        <v>455</v>
      </c>
      <c r="C11571" s="132" t="s">
        <v>2409</v>
      </c>
      <c r="D11571" s="255">
        <v>21025</v>
      </c>
      <c r="E11571" s="553">
        <v>288.27999999999997</v>
      </c>
      <c r="F11571" s="553">
        <v>3652.91</v>
      </c>
      <c r="G11571" s="553">
        <v>188.14</v>
      </c>
      <c r="H11571" s="553">
        <v>359.17</v>
      </c>
      <c r="I11571" s="553">
        <v>2645.67</v>
      </c>
      <c r="J11571" s="647">
        <v>2428.64</v>
      </c>
    </row>
    <row r="11572" spans="2:10">
      <c r="B11572" s="1230" t="s">
        <v>455</v>
      </c>
      <c r="C11572" s="132" t="s">
        <v>2410</v>
      </c>
      <c r="D11572" s="255">
        <v>21027</v>
      </c>
      <c r="E11572" s="553">
        <v>286.76</v>
      </c>
      <c r="F11572" s="553">
        <v>3649.92</v>
      </c>
      <c r="G11572" s="553">
        <v>443.5</v>
      </c>
      <c r="H11572" s="553">
        <v>358.89</v>
      </c>
      <c r="I11572" s="553">
        <v>3314.88</v>
      </c>
      <c r="J11572" s="647">
        <v>2276.46</v>
      </c>
    </row>
    <row r="11573" spans="2:10">
      <c r="B11573" s="1230" t="s">
        <v>455</v>
      </c>
      <c r="C11573" s="132" t="s">
        <v>2411</v>
      </c>
      <c r="D11573" s="255">
        <v>21029</v>
      </c>
      <c r="E11573" s="553">
        <v>1252.8800000000001</v>
      </c>
      <c r="F11573" s="553">
        <v>15704.05</v>
      </c>
      <c r="G11573" s="553">
        <v>297.63</v>
      </c>
      <c r="H11573" s="553">
        <v>1545.12</v>
      </c>
      <c r="I11573" s="553">
        <v>38570.32</v>
      </c>
      <c r="J11573" s="647">
        <v>4195.74</v>
      </c>
    </row>
    <row r="11574" spans="2:10">
      <c r="B11574" s="1230" t="s">
        <v>455</v>
      </c>
      <c r="C11574" s="132" t="s">
        <v>1725</v>
      </c>
      <c r="D11574" s="255">
        <v>21031</v>
      </c>
      <c r="E11574" s="553">
        <v>210.32</v>
      </c>
      <c r="F11574" s="553">
        <v>2722.89</v>
      </c>
      <c r="G11574" s="553">
        <v>335.72</v>
      </c>
      <c r="H11574" s="553">
        <v>267.33</v>
      </c>
      <c r="I11574" s="553">
        <v>2939.53</v>
      </c>
      <c r="J11574" s="647">
        <v>1959.04</v>
      </c>
    </row>
    <row r="11575" spans="2:10">
      <c r="B11575" s="1230" t="s">
        <v>455</v>
      </c>
      <c r="C11575" s="132" t="s">
        <v>2412</v>
      </c>
      <c r="D11575" s="255">
        <v>21033</v>
      </c>
      <c r="E11575" s="553">
        <v>205.15</v>
      </c>
      <c r="F11575" s="553">
        <v>2661.93</v>
      </c>
      <c r="G11575" s="553">
        <v>430.41</v>
      </c>
      <c r="H11575" s="553">
        <v>261.36</v>
      </c>
      <c r="I11575" s="553">
        <v>1876.96</v>
      </c>
      <c r="J11575" s="647">
        <v>1890.42</v>
      </c>
    </row>
    <row r="11576" spans="2:10">
      <c r="B11576" s="1230" t="s">
        <v>455</v>
      </c>
      <c r="C11576" s="132" t="s">
        <v>2413</v>
      </c>
      <c r="D11576" s="255">
        <v>21035</v>
      </c>
      <c r="E11576" s="553">
        <v>209.34</v>
      </c>
      <c r="F11576" s="553">
        <v>2936.73</v>
      </c>
      <c r="G11576" s="553">
        <v>504.45</v>
      </c>
      <c r="H11576" s="553">
        <v>286.72000000000003</v>
      </c>
      <c r="I11576" s="553">
        <v>2016.69</v>
      </c>
      <c r="J11576" s="647">
        <v>1951.09</v>
      </c>
    </row>
    <row r="11577" spans="2:10">
      <c r="B11577" s="1230" t="s">
        <v>455</v>
      </c>
      <c r="C11577" s="132" t="s">
        <v>2414</v>
      </c>
      <c r="D11577" s="255">
        <v>21037</v>
      </c>
      <c r="E11577" s="553">
        <v>1537.43</v>
      </c>
      <c r="F11577" s="553">
        <v>17431.080000000002</v>
      </c>
      <c r="G11577" s="553">
        <v>387.42</v>
      </c>
      <c r="H11577" s="553">
        <v>1729.72</v>
      </c>
      <c r="I11577" s="553">
        <v>41805.019999999997</v>
      </c>
      <c r="J11577" s="647">
        <v>4822.28</v>
      </c>
    </row>
    <row r="11578" spans="2:10">
      <c r="B11578" s="1230" t="s">
        <v>455</v>
      </c>
      <c r="C11578" s="132" t="s">
        <v>2415</v>
      </c>
      <c r="D11578" s="255">
        <v>21039</v>
      </c>
      <c r="E11578" s="553">
        <v>179.75</v>
      </c>
      <c r="F11578" s="553">
        <v>2324.0100000000002</v>
      </c>
      <c r="G11578" s="553">
        <v>479.75</v>
      </c>
      <c r="H11578" s="553">
        <v>228.26</v>
      </c>
      <c r="I11578" s="553">
        <v>1498.96</v>
      </c>
      <c r="J11578" s="647">
        <v>1759.75</v>
      </c>
    </row>
    <row r="11579" spans="2:10">
      <c r="B11579" s="1230" t="s">
        <v>455</v>
      </c>
      <c r="C11579" s="132" t="s">
        <v>1835</v>
      </c>
      <c r="D11579" s="255">
        <v>21041</v>
      </c>
      <c r="E11579" s="553">
        <v>404.57</v>
      </c>
      <c r="F11579" s="553">
        <v>4720.3599999999997</v>
      </c>
      <c r="G11579" s="553">
        <v>411.77</v>
      </c>
      <c r="H11579" s="553">
        <v>467.27</v>
      </c>
      <c r="I11579" s="553">
        <v>7082.32</v>
      </c>
      <c r="J11579" s="647">
        <v>2668.74</v>
      </c>
    </row>
    <row r="11580" spans="2:10">
      <c r="B11580" s="1230" t="s">
        <v>455</v>
      </c>
      <c r="C11580" s="132" t="s">
        <v>2416</v>
      </c>
      <c r="D11580" s="255">
        <v>21043</v>
      </c>
      <c r="E11580" s="553">
        <v>378.65</v>
      </c>
      <c r="F11580" s="553">
        <v>4909.4399999999996</v>
      </c>
      <c r="G11580" s="553">
        <v>199.7</v>
      </c>
      <c r="H11580" s="553">
        <v>481.96</v>
      </c>
      <c r="I11580" s="553">
        <v>10224.44</v>
      </c>
      <c r="J11580" s="647">
        <v>2447.12</v>
      </c>
    </row>
    <row r="11581" spans="2:10">
      <c r="B11581" s="1230" t="s">
        <v>455</v>
      </c>
      <c r="C11581" s="132" t="s">
        <v>2417</v>
      </c>
      <c r="D11581" s="255">
        <v>21045</v>
      </c>
      <c r="E11581" s="553">
        <v>248.06</v>
      </c>
      <c r="F11581" s="553">
        <v>3298.36</v>
      </c>
      <c r="G11581" s="553">
        <v>304.74</v>
      </c>
      <c r="H11581" s="553">
        <v>323.17</v>
      </c>
      <c r="I11581" s="553">
        <v>3760.55</v>
      </c>
      <c r="J11581" s="647">
        <v>2066.8200000000002</v>
      </c>
    </row>
    <row r="11582" spans="2:10">
      <c r="B11582" s="1230" t="s">
        <v>455</v>
      </c>
      <c r="C11582" s="132" t="s">
        <v>2204</v>
      </c>
      <c r="D11582" s="255">
        <v>21047</v>
      </c>
      <c r="E11582" s="553">
        <v>217.2</v>
      </c>
      <c r="F11582" s="553">
        <v>2795.23</v>
      </c>
      <c r="G11582" s="553">
        <v>453.65</v>
      </c>
      <c r="H11582" s="553">
        <v>274.58999999999997</v>
      </c>
      <c r="I11582" s="553">
        <v>2447.87</v>
      </c>
      <c r="J11582" s="647">
        <v>2005.75</v>
      </c>
    </row>
    <row r="11583" spans="2:10">
      <c r="B11583" s="1230" t="s">
        <v>455</v>
      </c>
      <c r="C11583" s="132" t="s">
        <v>1837</v>
      </c>
      <c r="D11583" s="255">
        <v>21049</v>
      </c>
      <c r="E11583" s="553">
        <v>370.41</v>
      </c>
      <c r="F11583" s="553">
        <v>4617.51</v>
      </c>
      <c r="G11583" s="553">
        <v>219.17</v>
      </c>
      <c r="H11583" s="553">
        <v>454.78</v>
      </c>
      <c r="I11583" s="553">
        <v>9488.85</v>
      </c>
      <c r="J11583" s="647">
        <v>2392.11</v>
      </c>
    </row>
    <row r="11584" spans="2:10">
      <c r="B11584" s="1230" t="s">
        <v>455</v>
      </c>
      <c r="C11584" s="132" t="s">
        <v>1732</v>
      </c>
      <c r="D11584" s="255">
        <v>21051</v>
      </c>
      <c r="E11584" s="553">
        <v>277.85000000000002</v>
      </c>
      <c r="F11584" s="553">
        <v>3594.95</v>
      </c>
      <c r="G11584" s="553">
        <v>185.16</v>
      </c>
      <c r="H11584" s="553">
        <v>352.96</v>
      </c>
      <c r="I11584" s="553">
        <v>2697.3</v>
      </c>
      <c r="J11584" s="647">
        <v>2365.65</v>
      </c>
    </row>
    <row r="11585" spans="2:10">
      <c r="B11585" s="1230" t="s">
        <v>455</v>
      </c>
      <c r="C11585" s="132" t="s">
        <v>2205</v>
      </c>
      <c r="D11585" s="255">
        <v>21053</v>
      </c>
      <c r="E11585" s="553">
        <v>200.76</v>
      </c>
      <c r="F11585" s="553">
        <v>2577.2399999999998</v>
      </c>
      <c r="G11585" s="553">
        <v>258.07</v>
      </c>
      <c r="H11585" s="553">
        <v>253.12</v>
      </c>
      <c r="I11585" s="553">
        <v>2909.97</v>
      </c>
      <c r="J11585" s="647">
        <v>1871.57</v>
      </c>
    </row>
    <row r="11586" spans="2:10">
      <c r="B11586" s="1230" t="s">
        <v>455</v>
      </c>
      <c r="C11586" s="132" t="s">
        <v>1843</v>
      </c>
      <c r="D11586" s="255">
        <v>21055</v>
      </c>
      <c r="E11586" s="553">
        <v>197.88</v>
      </c>
      <c r="F11586" s="553">
        <v>2532.5100000000002</v>
      </c>
      <c r="G11586" s="553">
        <v>432.07</v>
      </c>
      <c r="H11586" s="553">
        <v>248.95</v>
      </c>
      <c r="I11586" s="553">
        <v>1811.78</v>
      </c>
      <c r="J11586" s="647">
        <v>1863.76</v>
      </c>
    </row>
    <row r="11587" spans="2:10">
      <c r="B11587" s="1230" t="s">
        <v>455</v>
      </c>
      <c r="C11587" s="132" t="s">
        <v>2207</v>
      </c>
      <c r="D11587" s="255">
        <v>21057</v>
      </c>
      <c r="E11587" s="553">
        <v>229.83</v>
      </c>
      <c r="F11587" s="553">
        <v>2904.47</v>
      </c>
      <c r="G11587" s="553">
        <v>310.52999999999997</v>
      </c>
      <c r="H11587" s="553">
        <v>285.77</v>
      </c>
      <c r="I11587" s="553">
        <v>2806.78</v>
      </c>
      <c r="J11587" s="647">
        <v>2003.2</v>
      </c>
    </row>
    <row r="11588" spans="2:10">
      <c r="B11588" s="1230" t="s">
        <v>455</v>
      </c>
      <c r="C11588" s="132" t="s">
        <v>2255</v>
      </c>
      <c r="D11588" s="255">
        <v>21059</v>
      </c>
      <c r="E11588" s="553">
        <v>278.75</v>
      </c>
      <c r="F11588" s="553">
        <v>3586.63</v>
      </c>
      <c r="G11588" s="553">
        <v>561.04999999999995</v>
      </c>
      <c r="H11588" s="553">
        <v>352.3</v>
      </c>
      <c r="I11588" s="553">
        <v>2041.5</v>
      </c>
      <c r="J11588" s="647">
        <v>2219.17</v>
      </c>
    </row>
    <row r="11589" spans="2:10">
      <c r="B11589" s="1230" t="s">
        <v>455</v>
      </c>
      <c r="C11589" s="132" t="s">
        <v>2418</v>
      </c>
      <c r="D11589" s="255">
        <v>21061</v>
      </c>
      <c r="E11589" s="553">
        <v>320.83999999999997</v>
      </c>
      <c r="F11589" s="553">
        <v>4400.3</v>
      </c>
      <c r="G11589" s="553">
        <v>488.31</v>
      </c>
      <c r="H11589" s="553">
        <v>430.26</v>
      </c>
      <c r="I11589" s="553">
        <v>3032.16</v>
      </c>
      <c r="J11589" s="647">
        <v>2432.64</v>
      </c>
    </row>
    <row r="11590" spans="2:10">
      <c r="B11590" s="1230" t="s">
        <v>455</v>
      </c>
      <c r="C11590" s="132" t="s">
        <v>2419</v>
      </c>
      <c r="D11590" s="255">
        <v>21063</v>
      </c>
      <c r="E11590" s="553">
        <v>275.95999999999998</v>
      </c>
      <c r="F11590" s="553">
        <v>3556.49</v>
      </c>
      <c r="G11590" s="553">
        <v>198.51</v>
      </c>
      <c r="H11590" s="553">
        <v>349.29</v>
      </c>
      <c r="I11590" s="553">
        <v>6419.73</v>
      </c>
      <c r="J11590" s="647">
        <v>2192.37</v>
      </c>
    </row>
    <row r="11591" spans="2:10">
      <c r="B11591" s="1230" t="s">
        <v>455</v>
      </c>
      <c r="C11591" s="132" t="s">
        <v>2420</v>
      </c>
      <c r="D11591" s="255">
        <v>21065</v>
      </c>
      <c r="E11591" s="553">
        <v>295.39999999999998</v>
      </c>
      <c r="F11591" s="553">
        <v>3673.77</v>
      </c>
      <c r="G11591" s="553">
        <v>207.54</v>
      </c>
      <c r="H11591" s="553">
        <v>361.79</v>
      </c>
      <c r="I11591" s="553">
        <v>6159.04</v>
      </c>
      <c r="J11591" s="647">
        <v>2297.83</v>
      </c>
    </row>
    <row r="11592" spans="2:10">
      <c r="B11592" s="1230" t="s">
        <v>455</v>
      </c>
      <c r="C11592" s="132" t="s">
        <v>1747</v>
      </c>
      <c r="D11592" s="255">
        <v>21067</v>
      </c>
      <c r="E11592" s="553">
        <v>696.44</v>
      </c>
      <c r="F11592" s="553">
        <v>8321.7199999999993</v>
      </c>
      <c r="G11592" s="553">
        <v>246.63</v>
      </c>
      <c r="H11592" s="553">
        <v>822.32</v>
      </c>
      <c r="I11592" s="553">
        <v>19400.27</v>
      </c>
      <c r="J11592" s="647">
        <v>3113.71</v>
      </c>
    </row>
    <row r="11593" spans="2:10">
      <c r="B11593" s="1230" t="s">
        <v>455</v>
      </c>
      <c r="C11593" s="132" t="s">
        <v>2421</v>
      </c>
      <c r="D11593" s="255">
        <v>21069</v>
      </c>
      <c r="E11593" s="553">
        <v>323.88</v>
      </c>
      <c r="F11593" s="553">
        <v>4071.12</v>
      </c>
      <c r="G11593" s="553">
        <v>259.82</v>
      </c>
      <c r="H11593" s="553">
        <v>400.66</v>
      </c>
      <c r="I11593" s="553">
        <v>7045.25</v>
      </c>
      <c r="J11593" s="647">
        <v>2333.0300000000002</v>
      </c>
    </row>
    <row r="11594" spans="2:10">
      <c r="B11594" s="1230" t="s">
        <v>455</v>
      </c>
      <c r="C11594" s="132" t="s">
        <v>2095</v>
      </c>
      <c r="D11594" s="255">
        <v>21071</v>
      </c>
      <c r="E11594" s="553">
        <v>278.18</v>
      </c>
      <c r="F11594" s="553">
        <v>3692.5</v>
      </c>
      <c r="G11594" s="553">
        <v>181.94</v>
      </c>
      <c r="H11594" s="553">
        <v>361.74</v>
      </c>
      <c r="I11594" s="553">
        <v>2744.1</v>
      </c>
      <c r="J11594" s="647">
        <v>2368.4499999999998</v>
      </c>
    </row>
    <row r="11595" spans="2:10">
      <c r="B11595" s="1230" t="s">
        <v>455</v>
      </c>
      <c r="C11595" s="132" t="s">
        <v>1748</v>
      </c>
      <c r="D11595" s="255">
        <v>21073</v>
      </c>
      <c r="E11595" s="553">
        <v>394.58</v>
      </c>
      <c r="F11595" s="553">
        <v>5012.84</v>
      </c>
      <c r="G11595" s="553">
        <v>337.2</v>
      </c>
      <c r="H11595" s="553">
        <v>493.02</v>
      </c>
      <c r="I11595" s="553">
        <v>9456.5300000000007</v>
      </c>
      <c r="J11595" s="647">
        <v>2579.13</v>
      </c>
    </row>
    <row r="11596" spans="2:10">
      <c r="B11596" s="1230" t="s">
        <v>455</v>
      </c>
      <c r="C11596" s="132" t="s">
        <v>1848</v>
      </c>
      <c r="D11596" s="255">
        <v>21075</v>
      </c>
      <c r="E11596" s="553">
        <v>187.1</v>
      </c>
      <c r="F11596" s="553">
        <v>2362.6799999999998</v>
      </c>
      <c r="G11596" s="553">
        <v>604.98</v>
      </c>
      <c r="H11596" s="553">
        <v>232.48</v>
      </c>
      <c r="I11596" s="553">
        <v>1560.55</v>
      </c>
      <c r="J11596" s="647">
        <v>1789.08</v>
      </c>
    </row>
    <row r="11597" spans="2:10">
      <c r="B11597" s="1230" t="s">
        <v>455</v>
      </c>
      <c r="C11597" s="132" t="s">
        <v>2213</v>
      </c>
      <c r="D11597" s="255">
        <v>21077</v>
      </c>
      <c r="E11597" s="553">
        <v>527.99</v>
      </c>
      <c r="F11597" s="553">
        <v>6065.5</v>
      </c>
      <c r="G11597" s="553">
        <v>372.36</v>
      </c>
      <c r="H11597" s="553">
        <v>601.25</v>
      </c>
      <c r="I11597" s="553">
        <v>11752.99</v>
      </c>
      <c r="J11597" s="647">
        <v>2919.34</v>
      </c>
    </row>
    <row r="11598" spans="2:10">
      <c r="B11598" s="1230" t="s">
        <v>455</v>
      </c>
      <c r="C11598" s="132" t="s">
        <v>2422</v>
      </c>
      <c r="D11598" s="255">
        <v>21079</v>
      </c>
      <c r="E11598" s="553">
        <v>415.56</v>
      </c>
      <c r="F11598" s="553">
        <v>5534</v>
      </c>
      <c r="G11598" s="553">
        <v>291.39</v>
      </c>
      <c r="H11598" s="553">
        <v>542.37</v>
      </c>
      <c r="I11598" s="553">
        <v>9890.4</v>
      </c>
      <c r="J11598" s="647">
        <v>2591.81</v>
      </c>
    </row>
    <row r="11599" spans="2:10">
      <c r="B11599" s="1230" t="s">
        <v>455</v>
      </c>
      <c r="C11599" s="132" t="s">
        <v>1850</v>
      </c>
      <c r="D11599" s="255">
        <v>21081</v>
      </c>
      <c r="E11599" s="553">
        <v>555.72</v>
      </c>
      <c r="F11599" s="553">
        <v>6540.92</v>
      </c>
      <c r="G11599" s="553">
        <v>344.9</v>
      </c>
      <c r="H11599" s="553">
        <v>646.9</v>
      </c>
      <c r="I11599" s="553">
        <v>13214.23</v>
      </c>
      <c r="J11599" s="647">
        <v>3091.2</v>
      </c>
    </row>
    <row r="11600" spans="2:10">
      <c r="B11600" s="1230" t="s">
        <v>455</v>
      </c>
      <c r="C11600" s="132" t="s">
        <v>2423</v>
      </c>
      <c r="D11600" s="255">
        <v>21083</v>
      </c>
      <c r="E11600" s="553">
        <v>225.35</v>
      </c>
      <c r="F11600" s="553">
        <v>3131.76</v>
      </c>
      <c r="G11600" s="553">
        <v>538.83000000000004</v>
      </c>
      <c r="H11600" s="553">
        <v>306.04000000000002</v>
      </c>
      <c r="I11600" s="553">
        <v>1689</v>
      </c>
      <c r="J11600" s="647">
        <v>2064.4299999999998</v>
      </c>
    </row>
    <row r="11601" spans="2:10">
      <c r="B11601" s="1230" t="s">
        <v>455</v>
      </c>
      <c r="C11601" s="132" t="s">
        <v>2424</v>
      </c>
      <c r="D11601" s="255">
        <v>21085</v>
      </c>
      <c r="E11601" s="553">
        <v>233.86</v>
      </c>
      <c r="F11601" s="553">
        <v>3048.19</v>
      </c>
      <c r="G11601" s="553">
        <v>363.97</v>
      </c>
      <c r="H11601" s="553">
        <v>299.06</v>
      </c>
      <c r="I11601" s="553">
        <v>3217.29</v>
      </c>
      <c r="J11601" s="647">
        <v>2061.42</v>
      </c>
    </row>
    <row r="11602" spans="2:10">
      <c r="B11602" s="1230" t="s">
        <v>455</v>
      </c>
      <c r="C11602" s="132" t="s">
        <v>2425</v>
      </c>
      <c r="D11602" s="255">
        <v>21087</v>
      </c>
      <c r="E11602" s="553">
        <v>245.09</v>
      </c>
      <c r="F11602" s="553">
        <v>3249.65</v>
      </c>
      <c r="G11602" s="553">
        <v>350.41</v>
      </c>
      <c r="H11602" s="553">
        <v>318.64999999999998</v>
      </c>
      <c r="I11602" s="553">
        <v>3004.84</v>
      </c>
      <c r="J11602" s="647">
        <v>2110.67</v>
      </c>
    </row>
    <row r="11603" spans="2:10">
      <c r="B11603" s="1230" t="s">
        <v>455</v>
      </c>
      <c r="C11603" s="132" t="s">
        <v>2426</v>
      </c>
      <c r="D11603" s="255">
        <v>21089</v>
      </c>
      <c r="E11603" s="553">
        <v>474.05</v>
      </c>
      <c r="F11603" s="553">
        <v>6357.12</v>
      </c>
      <c r="G11603" s="553">
        <v>210.48</v>
      </c>
      <c r="H11603" s="553">
        <v>622.48</v>
      </c>
      <c r="I11603" s="553">
        <v>14127.24</v>
      </c>
      <c r="J11603" s="647">
        <v>2651.44</v>
      </c>
    </row>
    <row r="11604" spans="2:10">
      <c r="B11604" s="1230" t="s">
        <v>455</v>
      </c>
      <c r="C11604" s="132" t="s">
        <v>2105</v>
      </c>
      <c r="D11604" s="255">
        <v>21091</v>
      </c>
      <c r="E11604" s="553">
        <v>232.15</v>
      </c>
      <c r="F11604" s="553">
        <v>2885.61</v>
      </c>
      <c r="G11604" s="553">
        <v>403.45</v>
      </c>
      <c r="H11604" s="553">
        <v>284.17</v>
      </c>
      <c r="I11604" s="553">
        <v>2553.6</v>
      </c>
      <c r="J11604" s="647">
        <v>2025.6</v>
      </c>
    </row>
    <row r="11605" spans="2:10">
      <c r="B11605" s="1230" t="s">
        <v>455</v>
      </c>
      <c r="C11605" s="132" t="s">
        <v>2215</v>
      </c>
      <c r="D11605" s="255">
        <v>21093</v>
      </c>
      <c r="E11605" s="553">
        <v>382.08</v>
      </c>
      <c r="F11605" s="553">
        <v>4849.96</v>
      </c>
      <c r="G11605" s="553">
        <v>394.95</v>
      </c>
      <c r="H11605" s="553">
        <v>476.97</v>
      </c>
      <c r="I11605" s="553">
        <v>7755.36</v>
      </c>
      <c r="J11605" s="647">
        <v>2474.61</v>
      </c>
    </row>
    <row r="11606" spans="2:10">
      <c r="B11606" s="1230" t="s">
        <v>455</v>
      </c>
      <c r="C11606" s="132" t="s">
        <v>2427</v>
      </c>
      <c r="D11606" s="255">
        <v>21095</v>
      </c>
      <c r="E11606" s="553">
        <v>281.08999999999997</v>
      </c>
      <c r="F11606" s="553">
        <v>3725.73</v>
      </c>
      <c r="G11606" s="553">
        <v>182.99</v>
      </c>
      <c r="H11606" s="553">
        <v>365.14</v>
      </c>
      <c r="I11606" s="553">
        <v>2483.04</v>
      </c>
      <c r="J11606" s="647">
        <v>2433.1</v>
      </c>
    </row>
    <row r="11607" spans="2:10">
      <c r="B11607" s="1230" t="s">
        <v>455</v>
      </c>
      <c r="C11607" s="132" t="s">
        <v>2261</v>
      </c>
      <c r="D11607" s="255">
        <v>21097</v>
      </c>
      <c r="E11607" s="553">
        <v>384.01</v>
      </c>
      <c r="F11607" s="553">
        <v>4548.8</v>
      </c>
      <c r="G11607" s="553">
        <v>255.28</v>
      </c>
      <c r="H11607" s="553">
        <v>449.74</v>
      </c>
      <c r="I11607" s="553">
        <v>9151.75</v>
      </c>
      <c r="J11607" s="647">
        <v>2498.5500000000002</v>
      </c>
    </row>
    <row r="11608" spans="2:10">
      <c r="B11608" s="1230" t="s">
        <v>455</v>
      </c>
      <c r="C11608" s="132" t="s">
        <v>2108</v>
      </c>
      <c r="D11608" s="255">
        <v>21099</v>
      </c>
      <c r="E11608" s="553">
        <v>223.16</v>
      </c>
      <c r="F11608" s="553">
        <v>2922.67</v>
      </c>
      <c r="G11608" s="553">
        <v>296.7</v>
      </c>
      <c r="H11608" s="553">
        <v>286.64</v>
      </c>
      <c r="I11608" s="553">
        <v>4021.14</v>
      </c>
      <c r="J11608" s="647">
        <v>2000.91</v>
      </c>
    </row>
    <row r="11609" spans="2:10">
      <c r="B11609" s="1230" t="s">
        <v>455</v>
      </c>
      <c r="C11609" s="132" t="s">
        <v>2216</v>
      </c>
      <c r="D11609" s="255">
        <v>21101</v>
      </c>
      <c r="E11609" s="553">
        <v>357.77</v>
      </c>
      <c r="F11609" s="553">
        <v>4720.6400000000003</v>
      </c>
      <c r="G11609" s="553">
        <v>623.24</v>
      </c>
      <c r="H11609" s="553">
        <v>463.05</v>
      </c>
      <c r="I11609" s="553">
        <v>2983.13</v>
      </c>
      <c r="J11609" s="647">
        <v>2424.56</v>
      </c>
    </row>
    <row r="11610" spans="2:10">
      <c r="B11610" s="1230" t="s">
        <v>455</v>
      </c>
      <c r="C11610" s="132" t="s">
        <v>1752</v>
      </c>
      <c r="D11610" s="255">
        <v>21103</v>
      </c>
      <c r="E11610" s="553">
        <v>403.94</v>
      </c>
      <c r="F11610" s="553">
        <v>4818.7</v>
      </c>
      <c r="G11610" s="553">
        <v>418.54</v>
      </c>
      <c r="H11610" s="553">
        <v>476.13</v>
      </c>
      <c r="I11610" s="553">
        <v>7404.75</v>
      </c>
      <c r="J11610" s="647">
        <v>2711.5</v>
      </c>
    </row>
    <row r="11611" spans="2:10">
      <c r="B11611" s="1230" t="s">
        <v>455</v>
      </c>
      <c r="C11611" s="132" t="s">
        <v>2428</v>
      </c>
      <c r="D11611" s="255">
        <v>21105</v>
      </c>
      <c r="E11611" s="553">
        <v>196.67</v>
      </c>
      <c r="F11611" s="553">
        <v>2467.65</v>
      </c>
      <c r="G11611" s="553">
        <v>506.19</v>
      </c>
      <c r="H11611" s="553">
        <v>242.92</v>
      </c>
      <c r="I11611" s="553">
        <v>1487.67</v>
      </c>
      <c r="J11611" s="647">
        <v>1834.49</v>
      </c>
    </row>
    <row r="11612" spans="2:10">
      <c r="B11612" s="1230" t="s">
        <v>455</v>
      </c>
      <c r="C11612" s="132" t="s">
        <v>2429</v>
      </c>
      <c r="D11612" s="255">
        <v>21107</v>
      </c>
      <c r="E11612" s="553">
        <v>228.63</v>
      </c>
      <c r="F11612" s="553">
        <v>3060.2</v>
      </c>
      <c r="G11612" s="553">
        <v>485.07</v>
      </c>
      <c r="H11612" s="553">
        <v>299.82</v>
      </c>
      <c r="I11612" s="553">
        <v>1958.63</v>
      </c>
      <c r="J11612" s="647">
        <v>2066.5</v>
      </c>
    </row>
    <row r="11613" spans="2:10">
      <c r="B11613" s="1230" t="s">
        <v>455</v>
      </c>
      <c r="C11613" s="132" t="s">
        <v>1754</v>
      </c>
      <c r="D11613" s="255">
        <v>21109</v>
      </c>
      <c r="E11613" s="553">
        <v>241.88</v>
      </c>
      <c r="F11613" s="553">
        <v>3034.22</v>
      </c>
      <c r="G11613" s="553">
        <v>200.09</v>
      </c>
      <c r="H11613" s="553">
        <v>298.58</v>
      </c>
      <c r="I11613" s="553">
        <v>4439.3900000000003</v>
      </c>
      <c r="J11613" s="647">
        <v>2124.52</v>
      </c>
    </row>
    <row r="11614" spans="2:10">
      <c r="B11614" s="1230" t="s">
        <v>455</v>
      </c>
      <c r="C11614" s="132" t="s">
        <v>1755</v>
      </c>
      <c r="D11614" s="255">
        <v>21111</v>
      </c>
      <c r="E11614" s="553">
        <v>1503.6</v>
      </c>
      <c r="F11614" s="553">
        <v>18260.96</v>
      </c>
      <c r="G11614" s="553">
        <v>476.91</v>
      </c>
      <c r="H11614" s="553">
        <v>1801.07</v>
      </c>
      <c r="I11614" s="553">
        <v>41452.080000000002</v>
      </c>
      <c r="J11614" s="647">
        <v>4921.21</v>
      </c>
    </row>
    <row r="11615" spans="2:10">
      <c r="B11615" s="1230" t="s">
        <v>455</v>
      </c>
      <c r="C11615" s="132" t="s">
        <v>2430</v>
      </c>
      <c r="D11615" s="255">
        <v>21113</v>
      </c>
      <c r="E11615" s="553">
        <v>921</v>
      </c>
      <c r="F11615" s="553">
        <v>11066.71</v>
      </c>
      <c r="G11615" s="553">
        <v>238.66</v>
      </c>
      <c r="H11615" s="553">
        <v>1093.17</v>
      </c>
      <c r="I11615" s="553">
        <v>26647.45</v>
      </c>
      <c r="J11615" s="647">
        <v>3621.4</v>
      </c>
    </row>
    <row r="11616" spans="2:10">
      <c r="B11616" s="1230" t="s">
        <v>455</v>
      </c>
      <c r="C11616" s="132" t="s">
        <v>1856</v>
      </c>
      <c r="D11616" s="255">
        <v>21115</v>
      </c>
      <c r="E11616" s="553">
        <v>276.06</v>
      </c>
      <c r="F11616" s="553">
        <v>3609.83</v>
      </c>
      <c r="G11616" s="553">
        <v>187.72</v>
      </c>
      <c r="H11616" s="553">
        <v>354.15</v>
      </c>
      <c r="I11616" s="553">
        <v>4595.2</v>
      </c>
      <c r="J11616" s="647">
        <v>2299.54</v>
      </c>
    </row>
    <row r="11617" spans="2:10">
      <c r="B11617" s="1230" t="s">
        <v>455</v>
      </c>
      <c r="C11617" s="132" t="s">
        <v>2431</v>
      </c>
      <c r="D11617" s="255">
        <v>21117</v>
      </c>
      <c r="E11617" s="553">
        <v>1373.03</v>
      </c>
      <c r="F11617" s="553">
        <v>15375.46</v>
      </c>
      <c r="G11617" s="553">
        <v>382.2</v>
      </c>
      <c r="H11617" s="553">
        <v>1526.54</v>
      </c>
      <c r="I11617" s="553">
        <v>36142.879999999997</v>
      </c>
      <c r="J11617" s="647">
        <v>4507.1400000000003</v>
      </c>
    </row>
    <row r="11618" spans="2:10">
      <c r="B11618" s="1230" t="s">
        <v>455</v>
      </c>
      <c r="C11618" s="132" t="s">
        <v>2432</v>
      </c>
      <c r="D11618" s="255">
        <v>21119</v>
      </c>
      <c r="E11618" s="553">
        <v>308.49</v>
      </c>
      <c r="F11618" s="553">
        <v>4112.78</v>
      </c>
      <c r="G11618" s="553">
        <v>177.87</v>
      </c>
      <c r="H11618" s="553">
        <v>402.97</v>
      </c>
      <c r="I11618" s="553">
        <v>2360.86</v>
      </c>
      <c r="J11618" s="647">
        <v>2449.9499999999998</v>
      </c>
    </row>
    <row r="11619" spans="2:10">
      <c r="B11619" s="1230" t="s">
        <v>455</v>
      </c>
      <c r="C11619" s="132" t="s">
        <v>2223</v>
      </c>
      <c r="D11619" s="255">
        <v>21121</v>
      </c>
      <c r="E11619" s="553">
        <v>323.08</v>
      </c>
      <c r="F11619" s="553">
        <v>4458.33</v>
      </c>
      <c r="G11619" s="553">
        <v>184.28</v>
      </c>
      <c r="H11619" s="553">
        <v>435.76</v>
      </c>
      <c r="I11619" s="553">
        <v>2785.82</v>
      </c>
      <c r="J11619" s="647">
        <v>2573.88</v>
      </c>
    </row>
    <row r="11620" spans="2:10">
      <c r="B11620" s="1230" t="s">
        <v>455</v>
      </c>
      <c r="C11620" s="132" t="s">
        <v>2433</v>
      </c>
      <c r="D11620" s="255">
        <v>21123</v>
      </c>
      <c r="E11620" s="553">
        <v>238.01</v>
      </c>
      <c r="F11620" s="553">
        <v>3048.91</v>
      </c>
      <c r="G11620" s="553">
        <v>365.45</v>
      </c>
      <c r="H11620" s="553">
        <v>299.47000000000003</v>
      </c>
      <c r="I11620" s="553">
        <v>3755.46</v>
      </c>
      <c r="J11620" s="647">
        <v>2030.03</v>
      </c>
    </row>
    <row r="11621" spans="2:10">
      <c r="B11621" s="1230" t="s">
        <v>455</v>
      </c>
      <c r="C11621" s="132" t="s">
        <v>2434</v>
      </c>
      <c r="D11621" s="255">
        <v>21125</v>
      </c>
      <c r="E11621" s="553">
        <v>288.38</v>
      </c>
      <c r="F11621" s="553">
        <v>3858.64</v>
      </c>
      <c r="G11621" s="553">
        <v>206.18</v>
      </c>
      <c r="H11621" s="553">
        <v>377.97</v>
      </c>
      <c r="I11621" s="553">
        <v>6700.48</v>
      </c>
      <c r="J11621" s="647">
        <v>2227.63</v>
      </c>
    </row>
    <row r="11622" spans="2:10">
      <c r="B11622" s="1230" t="s">
        <v>455</v>
      </c>
      <c r="C11622" s="132" t="s">
        <v>1758</v>
      </c>
      <c r="D11622" s="255">
        <v>21127</v>
      </c>
      <c r="E11622" s="553">
        <v>327.88</v>
      </c>
      <c r="F11622" s="553">
        <v>4317.8599999999997</v>
      </c>
      <c r="G11622" s="553">
        <v>187.23</v>
      </c>
      <c r="H11622" s="553">
        <v>423.48</v>
      </c>
      <c r="I11622" s="553">
        <v>7223.6</v>
      </c>
      <c r="J11622" s="647">
        <v>2419.1</v>
      </c>
    </row>
    <row r="11623" spans="2:10">
      <c r="B11623" s="1230" t="s">
        <v>455</v>
      </c>
      <c r="C11623" s="132" t="s">
        <v>1759</v>
      </c>
      <c r="D11623" s="255">
        <v>21129</v>
      </c>
      <c r="E11623" s="553">
        <v>256.41000000000003</v>
      </c>
      <c r="F11623" s="553">
        <v>3196.9</v>
      </c>
      <c r="G11623" s="553">
        <v>196.37</v>
      </c>
      <c r="H11623" s="553">
        <v>314.69</v>
      </c>
      <c r="I11623" s="553">
        <v>4504.3500000000004</v>
      </c>
      <c r="J11623" s="647">
        <v>2172.67</v>
      </c>
    </row>
    <row r="11624" spans="2:10">
      <c r="B11624" s="1230" t="s">
        <v>455</v>
      </c>
      <c r="C11624" s="132" t="s">
        <v>2435</v>
      </c>
      <c r="D11624" s="255">
        <v>21131</v>
      </c>
      <c r="E11624" s="553">
        <v>276.17</v>
      </c>
      <c r="F11624" s="553">
        <v>3575.68</v>
      </c>
      <c r="G11624" s="553">
        <v>181.41</v>
      </c>
      <c r="H11624" s="553">
        <v>351.09</v>
      </c>
      <c r="I11624" s="553">
        <v>2261.04</v>
      </c>
      <c r="J11624" s="647">
        <v>2342.89</v>
      </c>
    </row>
    <row r="11625" spans="2:10">
      <c r="B11625" s="1230" t="s">
        <v>455</v>
      </c>
      <c r="C11625" s="132" t="s">
        <v>2436</v>
      </c>
      <c r="D11625" s="255">
        <v>21133</v>
      </c>
      <c r="E11625" s="553">
        <v>313.64</v>
      </c>
      <c r="F11625" s="553">
        <v>4074.57</v>
      </c>
      <c r="G11625" s="553">
        <v>185.09</v>
      </c>
      <c r="H11625" s="553">
        <v>399.94</v>
      </c>
      <c r="I11625" s="553">
        <v>2350.02</v>
      </c>
      <c r="J11625" s="647">
        <v>2511.4299999999998</v>
      </c>
    </row>
    <row r="11626" spans="2:10">
      <c r="B11626" s="1230" t="s">
        <v>455</v>
      </c>
      <c r="C11626" s="132" t="s">
        <v>2187</v>
      </c>
      <c r="D11626" s="255">
        <v>21135</v>
      </c>
      <c r="E11626" s="553">
        <v>269.02999999999997</v>
      </c>
      <c r="F11626" s="553">
        <v>3456.65</v>
      </c>
      <c r="G11626" s="553">
        <v>229.86</v>
      </c>
      <c r="H11626" s="553">
        <v>339.5</v>
      </c>
      <c r="I11626" s="553">
        <v>6248.01</v>
      </c>
      <c r="J11626" s="647">
        <v>2216.0100000000002</v>
      </c>
    </row>
    <row r="11627" spans="2:10">
      <c r="B11627" s="1230" t="s">
        <v>455</v>
      </c>
      <c r="C11627" s="132" t="s">
        <v>1858</v>
      </c>
      <c r="D11627" s="255">
        <v>21137</v>
      </c>
      <c r="E11627" s="553">
        <v>330.57</v>
      </c>
      <c r="F11627" s="553">
        <v>4384.51</v>
      </c>
      <c r="G11627" s="553">
        <v>342.14</v>
      </c>
      <c r="H11627" s="553">
        <v>429.83</v>
      </c>
      <c r="I11627" s="553">
        <v>6029.85</v>
      </c>
      <c r="J11627" s="647">
        <v>2472.5500000000002</v>
      </c>
    </row>
    <row r="11628" spans="2:10">
      <c r="B11628" s="1230" t="s">
        <v>455</v>
      </c>
      <c r="C11628" s="132" t="s">
        <v>2225</v>
      </c>
      <c r="D11628" s="255">
        <v>21139</v>
      </c>
      <c r="E11628" s="553">
        <v>185.99</v>
      </c>
      <c r="F11628" s="553">
        <v>2365.11</v>
      </c>
      <c r="G11628" s="553">
        <v>419.8</v>
      </c>
      <c r="H11628" s="553">
        <v>232.55</v>
      </c>
      <c r="I11628" s="553">
        <v>2203.0100000000002</v>
      </c>
      <c r="J11628" s="647">
        <v>1778.59</v>
      </c>
    </row>
    <row r="11629" spans="2:10">
      <c r="B11629" s="1230" t="s">
        <v>455</v>
      </c>
      <c r="C11629" s="132" t="s">
        <v>1860</v>
      </c>
      <c r="D11629" s="255">
        <v>21141</v>
      </c>
      <c r="E11629" s="553">
        <v>257</v>
      </c>
      <c r="F11629" s="553">
        <v>3343.02</v>
      </c>
      <c r="G11629" s="553">
        <v>379.7</v>
      </c>
      <c r="H11629" s="553">
        <v>328.07</v>
      </c>
      <c r="I11629" s="553">
        <v>3685.74</v>
      </c>
      <c r="J11629" s="647">
        <v>2129.61</v>
      </c>
    </row>
    <row r="11630" spans="2:10">
      <c r="B11630" s="1230" t="s">
        <v>455</v>
      </c>
      <c r="C11630" s="132" t="s">
        <v>2314</v>
      </c>
      <c r="D11630" s="255">
        <v>21143</v>
      </c>
      <c r="E11630" s="553">
        <v>208.82</v>
      </c>
      <c r="F11630" s="553">
        <v>2732.78</v>
      </c>
      <c r="G11630" s="553">
        <v>437.08</v>
      </c>
      <c r="H11630" s="553">
        <v>268.08999999999997</v>
      </c>
      <c r="I11630" s="553">
        <v>1832.04</v>
      </c>
      <c r="J11630" s="647">
        <v>1902.94</v>
      </c>
    </row>
    <row r="11631" spans="2:10">
      <c r="B11631" s="1230" t="s">
        <v>455</v>
      </c>
      <c r="C11631" s="132" t="s">
        <v>2437</v>
      </c>
      <c r="D11631" s="255">
        <v>21145</v>
      </c>
      <c r="E11631" s="553">
        <v>263.29000000000002</v>
      </c>
      <c r="F11631" s="553">
        <v>3760.13</v>
      </c>
      <c r="G11631" s="553">
        <v>561.37</v>
      </c>
      <c r="H11631" s="553">
        <v>366.77</v>
      </c>
      <c r="I11631" s="553">
        <v>1660.13</v>
      </c>
      <c r="J11631" s="647">
        <v>2115.1799999999998</v>
      </c>
    </row>
    <row r="11632" spans="2:10">
      <c r="B11632" s="1230" t="s">
        <v>455</v>
      </c>
      <c r="C11632" s="132" t="s">
        <v>2438</v>
      </c>
      <c r="D11632" s="255">
        <v>21147</v>
      </c>
      <c r="E11632" s="553">
        <v>215.62</v>
      </c>
      <c r="F11632" s="553">
        <v>2867.72</v>
      </c>
      <c r="G11632" s="553">
        <v>191.86</v>
      </c>
      <c r="H11632" s="553">
        <v>280.95</v>
      </c>
      <c r="I11632" s="553">
        <v>4533.83</v>
      </c>
      <c r="J11632" s="647">
        <v>1902.34</v>
      </c>
    </row>
    <row r="11633" spans="2:10">
      <c r="B11633" s="1230" t="s">
        <v>455</v>
      </c>
      <c r="C11633" s="132" t="s">
        <v>2228</v>
      </c>
      <c r="D11633" s="255">
        <v>21149</v>
      </c>
      <c r="E11633" s="553">
        <v>220.67</v>
      </c>
      <c r="F11633" s="553">
        <v>2858.26</v>
      </c>
      <c r="G11633" s="553">
        <v>527.14</v>
      </c>
      <c r="H11633" s="553">
        <v>280.58</v>
      </c>
      <c r="I11633" s="553">
        <v>1959.26</v>
      </c>
      <c r="J11633" s="647">
        <v>1994.88</v>
      </c>
    </row>
    <row r="11634" spans="2:10">
      <c r="B11634" s="1230" t="s">
        <v>455</v>
      </c>
      <c r="C11634" s="132" t="s">
        <v>1763</v>
      </c>
      <c r="D11634" s="255">
        <v>21151</v>
      </c>
      <c r="E11634" s="553">
        <v>420.25</v>
      </c>
      <c r="F11634" s="553">
        <v>5336.76</v>
      </c>
      <c r="G11634" s="553">
        <v>227.28</v>
      </c>
      <c r="H11634" s="553">
        <v>524.86</v>
      </c>
      <c r="I11634" s="553">
        <v>11186.92</v>
      </c>
      <c r="J11634" s="647">
        <v>2540.31</v>
      </c>
    </row>
    <row r="11635" spans="2:10">
      <c r="B11635" s="1230" t="s">
        <v>455</v>
      </c>
      <c r="C11635" s="132" t="s">
        <v>2439</v>
      </c>
      <c r="D11635" s="255">
        <v>21153</v>
      </c>
      <c r="E11635" s="553">
        <v>268.60000000000002</v>
      </c>
      <c r="F11635" s="553">
        <v>3394.17</v>
      </c>
      <c r="G11635" s="553">
        <v>186.9</v>
      </c>
      <c r="H11635" s="553">
        <v>333.84</v>
      </c>
      <c r="I11635" s="553">
        <v>2965.13</v>
      </c>
      <c r="J11635" s="647">
        <v>2288.65</v>
      </c>
    </row>
    <row r="11636" spans="2:10">
      <c r="B11636" s="1230" t="s">
        <v>455</v>
      </c>
      <c r="C11636" s="132" t="s">
        <v>1765</v>
      </c>
      <c r="D11636" s="255">
        <v>21155</v>
      </c>
      <c r="E11636" s="553">
        <v>310.49</v>
      </c>
      <c r="F11636" s="553">
        <v>4068.67</v>
      </c>
      <c r="G11636" s="553">
        <v>391.04</v>
      </c>
      <c r="H11636" s="553">
        <v>399.2</v>
      </c>
      <c r="I11636" s="553">
        <v>3565.32</v>
      </c>
      <c r="J11636" s="647">
        <v>2292.94</v>
      </c>
    </row>
    <row r="11637" spans="2:10">
      <c r="B11637" s="1230" t="s">
        <v>455</v>
      </c>
      <c r="C11637" s="132" t="s">
        <v>1766</v>
      </c>
      <c r="D11637" s="255">
        <v>21157</v>
      </c>
      <c r="E11637" s="553">
        <v>210.62</v>
      </c>
      <c r="F11637" s="553">
        <v>2871.88</v>
      </c>
      <c r="G11637" s="553">
        <v>453.7</v>
      </c>
      <c r="H11637" s="553">
        <v>280.89</v>
      </c>
      <c r="I11637" s="553">
        <v>1792.32</v>
      </c>
      <c r="J11637" s="647">
        <v>1935.45</v>
      </c>
    </row>
    <row r="11638" spans="2:10">
      <c r="B11638" s="1230" t="s">
        <v>455</v>
      </c>
      <c r="C11638" s="132" t="s">
        <v>2035</v>
      </c>
      <c r="D11638" s="255">
        <v>21159</v>
      </c>
      <c r="E11638" s="553">
        <v>241.82</v>
      </c>
      <c r="F11638" s="553">
        <v>3112.08</v>
      </c>
      <c r="G11638" s="553">
        <v>178.96</v>
      </c>
      <c r="H11638" s="553">
        <v>305.61</v>
      </c>
      <c r="I11638" s="553">
        <v>3875.31</v>
      </c>
      <c r="J11638" s="647">
        <v>2169.0100000000002</v>
      </c>
    </row>
    <row r="11639" spans="2:10">
      <c r="B11639" s="1230" t="s">
        <v>455</v>
      </c>
      <c r="C11639" s="132" t="s">
        <v>2230</v>
      </c>
      <c r="D11639" s="255">
        <v>21161</v>
      </c>
      <c r="E11639" s="553">
        <v>314.14999999999998</v>
      </c>
      <c r="F11639" s="553">
        <v>3797.37</v>
      </c>
      <c r="G11639" s="553">
        <v>298.20999999999998</v>
      </c>
      <c r="H11639" s="553">
        <v>374.86</v>
      </c>
      <c r="I11639" s="553">
        <v>5866.51</v>
      </c>
      <c r="J11639" s="647">
        <v>2396.31</v>
      </c>
    </row>
    <row r="11640" spans="2:10">
      <c r="B11640" s="1230" t="s">
        <v>455</v>
      </c>
      <c r="C11640" s="132" t="s">
        <v>2367</v>
      </c>
      <c r="D11640" s="255">
        <v>21163</v>
      </c>
      <c r="E11640" s="553">
        <v>353</v>
      </c>
      <c r="F11640" s="553">
        <v>4417.71</v>
      </c>
      <c r="G11640" s="553">
        <v>484.52</v>
      </c>
      <c r="H11640" s="553">
        <v>434.9</v>
      </c>
      <c r="I11640" s="553">
        <v>4347.51</v>
      </c>
      <c r="J11640" s="647">
        <v>2412.9499999999998</v>
      </c>
    </row>
    <row r="11641" spans="2:10">
      <c r="B11641" s="1230" t="s">
        <v>455</v>
      </c>
      <c r="C11641" s="132" t="s">
        <v>2440</v>
      </c>
      <c r="D11641" s="255">
        <v>21165</v>
      </c>
      <c r="E11641" s="553">
        <v>229.97</v>
      </c>
      <c r="F11641" s="553">
        <v>2833.77</v>
      </c>
      <c r="G11641" s="553">
        <v>208.21</v>
      </c>
      <c r="H11641" s="553">
        <v>279.35000000000002</v>
      </c>
      <c r="I11641" s="553">
        <v>4478.17</v>
      </c>
      <c r="J11641" s="647">
        <v>2057.6999999999998</v>
      </c>
    </row>
    <row r="11642" spans="2:10">
      <c r="B11642" s="1230" t="s">
        <v>455</v>
      </c>
      <c r="C11642" s="132" t="s">
        <v>2233</v>
      </c>
      <c r="D11642" s="255">
        <v>21167</v>
      </c>
      <c r="E11642" s="553">
        <v>439.39</v>
      </c>
      <c r="F11642" s="553">
        <v>5543.13</v>
      </c>
      <c r="G11642" s="553">
        <v>365.32</v>
      </c>
      <c r="H11642" s="553">
        <v>545.41</v>
      </c>
      <c r="I11642" s="553">
        <v>8511.67</v>
      </c>
      <c r="J11642" s="647">
        <v>2732.51</v>
      </c>
    </row>
    <row r="11643" spans="2:10">
      <c r="B11643" s="1230" t="s">
        <v>455</v>
      </c>
      <c r="C11643" s="132" t="s">
        <v>2441</v>
      </c>
      <c r="D11643" s="255">
        <v>21169</v>
      </c>
      <c r="E11643" s="553">
        <v>200.85</v>
      </c>
      <c r="F11643" s="553">
        <v>2597.5100000000002</v>
      </c>
      <c r="G11643" s="553">
        <v>297.51</v>
      </c>
      <c r="H11643" s="553">
        <v>255</v>
      </c>
      <c r="I11643" s="553">
        <v>2740.86</v>
      </c>
      <c r="J11643" s="647">
        <v>1907.58</v>
      </c>
    </row>
    <row r="11644" spans="2:10">
      <c r="B11644" s="1230" t="s">
        <v>455</v>
      </c>
      <c r="C11644" s="132" t="s">
        <v>1768</v>
      </c>
      <c r="D11644" s="255">
        <v>21171</v>
      </c>
      <c r="E11644" s="553">
        <v>215.58</v>
      </c>
      <c r="F11644" s="553">
        <v>2726.69</v>
      </c>
      <c r="G11644" s="553">
        <v>291.82</v>
      </c>
      <c r="H11644" s="553">
        <v>268.22000000000003</v>
      </c>
      <c r="I11644" s="553">
        <v>2923.53</v>
      </c>
      <c r="J11644" s="647">
        <v>1923.54</v>
      </c>
    </row>
    <row r="11645" spans="2:10">
      <c r="B11645" s="1230" t="s">
        <v>455</v>
      </c>
      <c r="C11645" s="132" t="s">
        <v>1769</v>
      </c>
      <c r="D11645" s="255">
        <v>21173</v>
      </c>
      <c r="E11645" s="553">
        <v>311.38</v>
      </c>
      <c r="F11645" s="553">
        <v>3928.63</v>
      </c>
      <c r="G11645" s="553">
        <v>228.9</v>
      </c>
      <c r="H11645" s="553">
        <v>386.53</v>
      </c>
      <c r="I11645" s="553">
        <v>7598.89</v>
      </c>
      <c r="J11645" s="647">
        <v>2267.11</v>
      </c>
    </row>
    <row r="11646" spans="2:10">
      <c r="B11646" s="1230" t="s">
        <v>455</v>
      </c>
      <c r="C11646" s="132" t="s">
        <v>1770</v>
      </c>
      <c r="D11646" s="255">
        <v>21175</v>
      </c>
      <c r="E11646" s="553">
        <v>268.95999999999998</v>
      </c>
      <c r="F11646" s="553">
        <v>3323.54</v>
      </c>
      <c r="G11646" s="553">
        <v>195.29</v>
      </c>
      <c r="H11646" s="553">
        <v>327.51</v>
      </c>
      <c r="I11646" s="553">
        <v>3953.19</v>
      </c>
      <c r="J11646" s="647">
        <v>2235.79</v>
      </c>
    </row>
    <row r="11647" spans="2:10">
      <c r="B11647" s="1230" t="s">
        <v>455</v>
      </c>
      <c r="C11647" s="132" t="s">
        <v>2442</v>
      </c>
      <c r="D11647" s="255">
        <v>21177</v>
      </c>
      <c r="E11647" s="553">
        <v>212.09</v>
      </c>
      <c r="F11647" s="553">
        <v>2839.23</v>
      </c>
      <c r="G11647" s="553">
        <v>405.82</v>
      </c>
      <c r="H11647" s="553">
        <v>278.07</v>
      </c>
      <c r="I11647" s="553">
        <v>2318.1</v>
      </c>
      <c r="J11647" s="647">
        <v>2043.9</v>
      </c>
    </row>
    <row r="11648" spans="2:10">
      <c r="B11648" s="1230" t="s">
        <v>455</v>
      </c>
      <c r="C11648" s="132" t="s">
        <v>2443</v>
      </c>
      <c r="D11648" s="255">
        <v>21179</v>
      </c>
      <c r="E11648" s="553">
        <v>425.27</v>
      </c>
      <c r="F11648" s="553">
        <v>5231.21</v>
      </c>
      <c r="G11648" s="553">
        <v>406.6</v>
      </c>
      <c r="H11648" s="553">
        <v>515.57000000000005</v>
      </c>
      <c r="I11648" s="553">
        <v>7287.69</v>
      </c>
      <c r="J11648" s="647">
        <v>2624.7</v>
      </c>
    </row>
    <row r="11649" spans="2:10">
      <c r="B11649" s="1230" t="s">
        <v>455</v>
      </c>
      <c r="C11649" s="132" t="s">
        <v>2444</v>
      </c>
      <c r="D11649" s="255">
        <v>21181</v>
      </c>
      <c r="E11649" s="553">
        <v>318.74</v>
      </c>
      <c r="F11649" s="553">
        <v>3800.57</v>
      </c>
      <c r="G11649" s="553">
        <v>241.16</v>
      </c>
      <c r="H11649" s="553">
        <v>375.59</v>
      </c>
      <c r="I11649" s="553">
        <v>7101.14</v>
      </c>
      <c r="J11649" s="647">
        <v>2296.89</v>
      </c>
    </row>
    <row r="11650" spans="2:10">
      <c r="B11650" s="1230" t="s">
        <v>455</v>
      </c>
      <c r="C11650" s="132" t="s">
        <v>473</v>
      </c>
      <c r="D11650" s="255">
        <v>21183</v>
      </c>
      <c r="E11650" s="553">
        <v>310.32</v>
      </c>
      <c r="F11650" s="553">
        <v>4142.0200000000004</v>
      </c>
      <c r="G11650" s="553">
        <v>530.92999999999995</v>
      </c>
      <c r="H11650" s="553">
        <v>405.82</v>
      </c>
      <c r="I11650" s="553">
        <v>2396.89</v>
      </c>
      <c r="J11650" s="647">
        <v>2469.73</v>
      </c>
    </row>
    <row r="11651" spans="2:10">
      <c r="B11651" s="1230" t="s">
        <v>455</v>
      </c>
      <c r="C11651" s="132" t="s">
        <v>2445</v>
      </c>
      <c r="D11651" s="255">
        <v>21185</v>
      </c>
      <c r="E11651" s="553">
        <v>455.02</v>
      </c>
      <c r="F11651" s="553">
        <v>5235.72</v>
      </c>
      <c r="G11651" s="553">
        <v>401.36</v>
      </c>
      <c r="H11651" s="553">
        <v>518.83000000000004</v>
      </c>
      <c r="I11651" s="553">
        <v>9532.0300000000007</v>
      </c>
      <c r="J11651" s="647">
        <v>2650.31</v>
      </c>
    </row>
    <row r="11652" spans="2:10">
      <c r="B11652" s="1230" t="s">
        <v>455</v>
      </c>
      <c r="C11652" s="132" t="s">
        <v>2271</v>
      </c>
      <c r="D11652" s="255">
        <v>21187</v>
      </c>
      <c r="E11652" s="553">
        <v>457.96</v>
      </c>
      <c r="F11652" s="553">
        <v>5442.07</v>
      </c>
      <c r="G11652" s="553">
        <v>368.91</v>
      </c>
      <c r="H11652" s="553">
        <v>537.84</v>
      </c>
      <c r="I11652" s="553">
        <v>9563.16</v>
      </c>
      <c r="J11652" s="647">
        <v>2844.63</v>
      </c>
    </row>
    <row r="11653" spans="2:10">
      <c r="B11653" s="1230" t="s">
        <v>455</v>
      </c>
      <c r="C11653" s="132" t="s">
        <v>2446</v>
      </c>
      <c r="D11653" s="255">
        <v>21189</v>
      </c>
      <c r="E11653" s="553">
        <v>214.91</v>
      </c>
      <c r="F11653" s="553">
        <v>2673.4</v>
      </c>
      <c r="G11653" s="553">
        <v>195.45</v>
      </c>
      <c r="H11653" s="553">
        <v>263.19</v>
      </c>
      <c r="I11653" s="553">
        <v>3060.54</v>
      </c>
      <c r="J11653" s="647">
        <v>2064.84</v>
      </c>
    </row>
    <row r="11654" spans="2:10">
      <c r="B11654" s="1230" t="s">
        <v>455</v>
      </c>
      <c r="C11654" s="132" t="s">
        <v>2447</v>
      </c>
      <c r="D11654" s="255">
        <v>21191</v>
      </c>
      <c r="E11654" s="553">
        <v>535.96</v>
      </c>
      <c r="F11654" s="553">
        <v>6344.26</v>
      </c>
      <c r="G11654" s="553">
        <v>328.27</v>
      </c>
      <c r="H11654" s="553">
        <v>627.26</v>
      </c>
      <c r="I11654" s="553">
        <v>12842.21</v>
      </c>
      <c r="J11654" s="647">
        <v>3024.21</v>
      </c>
    </row>
    <row r="11655" spans="2:10">
      <c r="B11655" s="1230" t="s">
        <v>455</v>
      </c>
      <c r="C11655" s="132" t="s">
        <v>1771</v>
      </c>
      <c r="D11655" s="255">
        <v>21193</v>
      </c>
      <c r="E11655" s="553">
        <v>245.29</v>
      </c>
      <c r="F11655" s="553">
        <v>3165.54</v>
      </c>
      <c r="G11655" s="553">
        <v>182.42</v>
      </c>
      <c r="H11655" s="553">
        <v>310.73</v>
      </c>
      <c r="I11655" s="553">
        <v>2266.5300000000002</v>
      </c>
      <c r="J11655" s="647">
        <v>2242.04</v>
      </c>
    </row>
    <row r="11656" spans="2:10">
      <c r="B11656" s="1230" t="s">
        <v>455</v>
      </c>
      <c r="C11656" s="132" t="s">
        <v>1773</v>
      </c>
      <c r="D11656" s="255">
        <v>21195</v>
      </c>
      <c r="E11656" s="553">
        <v>337.55</v>
      </c>
      <c r="F11656" s="553">
        <v>4501.88</v>
      </c>
      <c r="G11656" s="553">
        <v>187.95</v>
      </c>
      <c r="H11656" s="553">
        <v>441.14</v>
      </c>
      <c r="I11656" s="553">
        <v>3695.56</v>
      </c>
      <c r="J11656" s="647">
        <v>2794.18</v>
      </c>
    </row>
    <row r="11657" spans="2:10">
      <c r="B11657" s="1230" t="s">
        <v>455</v>
      </c>
      <c r="C11657" s="132" t="s">
        <v>2448</v>
      </c>
      <c r="D11657" s="255">
        <v>21197</v>
      </c>
      <c r="E11657" s="553">
        <v>289.35000000000002</v>
      </c>
      <c r="F11657" s="553">
        <v>3613.95</v>
      </c>
      <c r="G11657" s="553">
        <v>208.67</v>
      </c>
      <c r="H11657" s="553">
        <v>355.86</v>
      </c>
      <c r="I11657" s="553">
        <v>6571.74</v>
      </c>
      <c r="J11657" s="647">
        <v>2215.9</v>
      </c>
    </row>
    <row r="11658" spans="2:10">
      <c r="B11658" s="1230" t="s">
        <v>455</v>
      </c>
      <c r="C11658" s="132" t="s">
        <v>1870</v>
      </c>
      <c r="D11658" s="255">
        <v>21199</v>
      </c>
      <c r="E11658" s="553">
        <v>274.22000000000003</v>
      </c>
      <c r="F11658" s="553">
        <v>3741.05</v>
      </c>
      <c r="G11658" s="553">
        <v>244.98</v>
      </c>
      <c r="H11658" s="553">
        <v>366.07</v>
      </c>
      <c r="I11658" s="553">
        <v>6360.05</v>
      </c>
      <c r="J11658" s="647">
        <v>2147.65</v>
      </c>
    </row>
    <row r="11659" spans="2:10">
      <c r="B11659" s="1230" t="s">
        <v>455</v>
      </c>
      <c r="C11659" s="132" t="s">
        <v>2449</v>
      </c>
      <c r="D11659" s="255">
        <v>21201</v>
      </c>
      <c r="E11659" s="553">
        <v>297.67</v>
      </c>
      <c r="F11659" s="553">
        <v>3507.62</v>
      </c>
      <c r="G11659" s="553">
        <v>244.46</v>
      </c>
      <c r="H11659" s="553">
        <v>346.96</v>
      </c>
      <c r="I11659" s="553">
        <v>6220.13</v>
      </c>
      <c r="J11659" s="647">
        <v>2351.67</v>
      </c>
    </row>
    <row r="11660" spans="2:10">
      <c r="B11660" s="1230" t="s">
        <v>455</v>
      </c>
      <c r="C11660" s="132" t="s">
        <v>2450</v>
      </c>
      <c r="D11660" s="255">
        <v>21203</v>
      </c>
      <c r="E11660" s="553">
        <v>226.64</v>
      </c>
      <c r="F11660" s="553">
        <v>2948.53</v>
      </c>
      <c r="G11660" s="553">
        <v>222.61</v>
      </c>
      <c r="H11660" s="553">
        <v>289.31</v>
      </c>
      <c r="I11660" s="553">
        <v>4579.51</v>
      </c>
      <c r="J11660" s="647">
        <v>2063.62</v>
      </c>
    </row>
    <row r="11661" spans="2:10">
      <c r="B11661" s="1230" t="s">
        <v>455</v>
      </c>
      <c r="C11661" s="132" t="s">
        <v>2451</v>
      </c>
      <c r="D11661" s="255">
        <v>21205</v>
      </c>
      <c r="E11661" s="553">
        <v>241.1</v>
      </c>
      <c r="F11661" s="553">
        <v>3072.46</v>
      </c>
      <c r="G11661" s="553">
        <v>210.91</v>
      </c>
      <c r="H11661" s="553">
        <v>301.93</v>
      </c>
      <c r="I11661" s="553">
        <v>5263.96</v>
      </c>
      <c r="J11661" s="647">
        <v>2112.1999999999998</v>
      </c>
    </row>
    <row r="11662" spans="2:10">
      <c r="B11662" s="1230" t="s">
        <v>455</v>
      </c>
      <c r="C11662" s="132" t="s">
        <v>1775</v>
      </c>
      <c r="D11662" s="255">
        <v>21207</v>
      </c>
      <c r="E11662" s="553">
        <v>234.36</v>
      </c>
      <c r="F11662" s="553">
        <v>3129.69</v>
      </c>
      <c r="G11662" s="553">
        <v>303.75</v>
      </c>
      <c r="H11662" s="553">
        <v>306.61</v>
      </c>
      <c r="I11662" s="553">
        <v>2959.94</v>
      </c>
      <c r="J11662" s="647">
        <v>2023.37</v>
      </c>
    </row>
    <row r="11663" spans="2:10">
      <c r="B11663" s="1230" t="s">
        <v>455</v>
      </c>
      <c r="C11663" s="132" t="s">
        <v>1873</v>
      </c>
      <c r="D11663" s="255">
        <v>21209</v>
      </c>
      <c r="E11663" s="553">
        <v>391.18</v>
      </c>
      <c r="F11663" s="553">
        <v>4714.3</v>
      </c>
      <c r="G11663" s="553">
        <v>315.88</v>
      </c>
      <c r="H11663" s="553">
        <v>465.56</v>
      </c>
      <c r="I11663" s="553">
        <v>8897.7999999999993</v>
      </c>
      <c r="J11663" s="647">
        <v>2592.37</v>
      </c>
    </row>
    <row r="11664" spans="2:10">
      <c r="B11664" s="1230" t="s">
        <v>455</v>
      </c>
      <c r="C11664" s="132" t="s">
        <v>1777</v>
      </c>
      <c r="D11664" s="255">
        <v>21211</v>
      </c>
      <c r="E11664" s="553">
        <v>562.82000000000005</v>
      </c>
      <c r="F11664" s="553">
        <v>6840.45</v>
      </c>
      <c r="G11664" s="553">
        <v>445.36</v>
      </c>
      <c r="H11664" s="553">
        <v>674.8</v>
      </c>
      <c r="I11664" s="553">
        <v>11901.17</v>
      </c>
      <c r="J11664" s="647">
        <v>3035.23</v>
      </c>
    </row>
    <row r="11665" spans="2:10">
      <c r="B11665" s="1230" t="s">
        <v>455</v>
      </c>
      <c r="C11665" s="132" t="s">
        <v>2452</v>
      </c>
      <c r="D11665" s="255">
        <v>21213</v>
      </c>
      <c r="E11665" s="553">
        <v>264.91000000000003</v>
      </c>
      <c r="F11665" s="553">
        <v>3436.27</v>
      </c>
      <c r="G11665" s="553">
        <v>342.85</v>
      </c>
      <c r="H11665" s="553">
        <v>337.32</v>
      </c>
      <c r="I11665" s="553">
        <v>4376.1000000000004</v>
      </c>
      <c r="J11665" s="647">
        <v>2074.89</v>
      </c>
    </row>
    <row r="11666" spans="2:10">
      <c r="B11666" s="1230" t="s">
        <v>455</v>
      </c>
      <c r="C11666" s="132" t="s">
        <v>2278</v>
      </c>
      <c r="D11666" s="255">
        <v>21215</v>
      </c>
      <c r="E11666" s="553">
        <v>442.78</v>
      </c>
      <c r="F11666" s="553">
        <v>5484.02</v>
      </c>
      <c r="G11666" s="553">
        <v>399.13</v>
      </c>
      <c r="H11666" s="553">
        <v>540.22</v>
      </c>
      <c r="I11666" s="553">
        <v>9434.6299999999992</v>
      </c>
      <c r="J11666" s="647">
        <v>2730.25</v>
      </c>
    </row>
    <row r="11667" spans="2:10">
      <c r="B11667" s="1230" t="s">
        <v>455</v>
      </c>
      <c r="C11667" s="132" t="s">
        <v>2050</v>
      </c>
      <c r="D11667" s="255">
        <v>21217</v>
      </c>
      <c r="E11667" s="553">
        <v>305.64999999999998</v>
      </c>
      <c r="F11667" s="553">
        <v>4070.94</v>
      </c>
      <c r="G11667" s="553">
        <v>432.92</v>
      </c>
      <c r="H11667" s="553">
        <v>398.93</v>
      </c>
      <c r="I11667" s="553">
        <v>3161.16</v>
      </c>
      <c r="J11667" s="647">
        <v>2314.56</v>
      </c>
    </row>
    <row r="11668" spans="2:10">
      <c r="B11668" s="1230" t="s">
        <v>455</v>
      </c>
      <c r="C11668" s="132" t="s">
        <v>2453</v>
      </c>
      <c r="D11668" s="255">
        <v>21219</v>
      </c>
      <c r="E11668" s="553">
        <v>287.72000000000003</v>
      </c>
      <c r="F11668" s="553">
        <v>3756.85</v>
      </c>
      <c r="G11668" s="553">
        <v>445.43</v>
      </c>
      <c r="H11668" s="553">
        <v>368.67</v>
      </c>
      <c r="I11668" s="553">
        <v>2990.69</v>
      </c>
      <c r="J11668" s="647">
        <v>2198.4699999999998</v>
      </c>
    </row>
    <row r="11669" spans="2:10">
      <c r="B11669" s="1230" t="s">
        <v>455</v>
      </c>
      <c r="C11669" s="132" t="s">
        <v>2454</v>
      </c>
      <c r="D11669" s="255">
        <v>21221</v>
      </c>
      <c r="E11669" s="553">
        <v>187.57</v>
      </c>
      <c r="F11669" s="553">
        <v>2427.75</v>
      </c>
      <c r="G11669" s="553">
        <v>419.05</v>
      </c>
      <c r="H11669" s="553">
        <v>238.31</v>
      </c>
      <c r="I11669" s="553">
        <v>2086.9499999999998</v>
      </c>
      <c r="J11669" s="647">
        <v>1846.62</v>
      </c>
    </row>
    <row r="11670" spans="2:10">
      <c r="B11670" s="1230" t="s">
        <v>455</v>
      </c>
      <c r="C11670" s="132" t="s">
        <v>2455</v>
      </c>
      <c r="D11670" s="255">
        <v>21223</v>
      </c>
      <c r="E11670" s="553">
        <v>394.43</v>
      </c>
      <c r="F11670" s="553">
        <v>4644.67</v>
      </c>
      <c r="G11670" s="553">
        <v>408.53</v>
      </c>
      <c r="H11670" s="553">
        <v>459.37</v>
      </c>
      <c r="I11670" s="553">
        <v>6857.25</v>
      </c>
      <c r="J11670" s="647">
        <v>2695.79</v>
      </c>
    </row>
    <row r="11671" spans="2:10">
      <c r="B11671" s="1230" t="s">
        <v>455</v>
      </c>
      <c r="C11671" s="132" t="s">
        <v>1879</v>
      </c>
      <c r="D11671" s="255">
        <v>21225</v>
      </c>
      <c r="E11671" s="553">
        <v>202.07</v>
      </c>
      <c r="F11671" s="553">
        <v>2575.92</v>
      </c>
      <c r="G11671" s="553">
        <v>467.81</v>
      </c>
      <c r="H11671" s="553">
        <v>253.2</v>
      </c>
      <c r="I11671" s="553">
        <v>1843.26</v>
      </c>
      <c r="J11671" s="647">
        <v>1856.32</v>
      </c>
    </row>
    <row r="11672" spans="2:10">
      <c r="B11672" s="1230" t="s">
        <v>455</v>
      </c>
      <c r="C11672" s="132" t="s">
        <v>2154</v>
      </c>
      <c r="D11672" s="255">
        <v>21227</v>
      </c>
      <c r="E11672" s="553">
        <v>317.55</v>
      </c>
      <c r="F11672" s="553">
        <v>4238.58</v>
      </c>
      <c r="G11672" s="553">
        <v>473.97</v>
      </c>
      <c r="H11672" s="553">
        <v>415.27</v>
      </c>
      <c r="I11672" s="553">
        <v>3574.6</v>
      </c>
      <c r="J11672" s="647">
        <v>2439.88</v>
      </c>
    </row>
    <row r="11673" spans="2:10">
      <c r="B11673" s="1230" t="s">
        <v>455</v>
      </c>
      <c r="C11673" s="132" t="s">
        <v>487</v>
      </c>
      <c r="D11673" s="255">
        <v>21229</v>
      </c>
      <c r="E11673" s="553">
        <v>332.12</v>
      </c>
      <c r="F11673" s="553">
        <v>4261.03</v>
      </c>
      <c r="G11673" s="553">
        <v>391.26</v>
      </c>
      <c r="H11673" s="553">
        <v>418.7</v>
      </c>
      <c r="I11673" s="553">
        <v>4452.57</v>
      </c>
      <c r="J11673" s="647">
        <v>2396.7600000000002</v>
      </c>
    </row>
    <row r="11674" spans="2:10">
      <c r="B11674" s="1230" t="s">
        <v>455</v>
      </c>
      <c r="C11674" s="132" t="s">
        <v>2155</v>
      </c>
      <c r="D11674" s="255">
        <v>21231</v>
      </c>
      <c r="E11674" s="553">
        <v>235.44</v>
      </c>
      <c r="F11674" s="553">
        <v>3088.93</v>
      </c>
      <c r="G11674" s="553">
        <v>242.17</v>
      </c>
      <c r="H11674" s="553">
        <v>302.95</v>
      </c>
      <c r="I11674" s="553">
        <v>4299.6400000000003</v>
      </c>
      <c r="J11674" s="647">
        <v>1967.32</v>
      </c>
    </row>
    <row r="11675" spans="2:10">
      <c r="B11675" s="1230" t="s">
        <v>455</v>
      </c>
      <c r="C11675" s="132" t="s">
        <v>2156</v>
      </c>
      <c r="D11675" s="255">
        <v>21233</v>
      </c>
      <c r="E11675" s="553">
        <v>228.39</v>
      </c>
      <c r="F11675" s="553">
        <v>3083.5</v>
      </c>
      <c r="G11675" s="553">
        <v>477.97</v>
      </c>
      <c r="H11675" s="553">
        <v>301.89999999999998</v>
      </c>
      <c r="I11675" s="553">
        <v>1971.22</v>
      </c>
      <c r="J11675" s="647">
        <v>2036.16</v>
      </c>
    </row>
    <row r="11676" spans="2:10">
      <c r="B11676" s="1230" t="s">
        <v>455</v>
      </c>
      <c r="C11676" s="132" t="s">
        <v>2290</v>
      </c>
      <c r="D11676" s="255">
        <v>21235</v>
      </c>
      <c r="E11676" s="553">
        <v>269.18</v>
      </c>
      <c r="F11676" s="553">
        <v>3705.9</v>
      </c>
      <c r="G11676" s="553">
        <v>192.45</v>
      </c>
      <c r="H11676" s="553">
        <v>362.18</v>
      </c>
      <c r="I11676" s="553">
        <v>2988.86</v>
      </c>
      <c r="J11676" s="647">
        <v>2346.77</v>
      </c>
    </row>
    <row r="11677" spans="2:10">
      <c r="B11677" s="1230" t="s">
        <v>455</v>
      </c>
      <c r="C11677" s="132" t="s">
        <v>2456</v>
      </c>
      <c r="D11677" s="255">
        <v>21237</v>
      </c>
      <c r="E11677" s="553">
        <v>218.07</v>
      </c>
      <c r="F11677" s="553">
        <v>2703.56</v>
      </c>
      <c r="G11677" s="553">
        <v>193.91</v>
      </c>
      <c r="H11677" s="553">
        <v>266.25</v>
      </c>
      <c r="I11677" s="553">
        <v>3206.46</v>
      </c>
      <c r="J11677" s="647">
        <v>2080.29</v>
      </c>
    </row>
    <row r="11678" spans="2:10">
      <c r="B11678" s="1230" t="s">
        <v>455</v>
      </c>
      <c r="C11678" s="132" t="s">
        <v>2251</v>
      </c>
      <c r="D11678" s="255">
        <v>21239</v>
      </c>
      <c r="E11678" s="553">
        <v>472.76</v>
      </c>
      <c r="F11678" s="553">
        <v>5583.02</v>
      </c>
      <c r="G11678" s="553">
        <v>311.89</v>
      </c>
      <c r="H11678" s="553">
        <v>552.1</v>
      </c>
      <c r="I11678" s="553">
        <v>10533.58</v>
      </c>
      <c r="J11678" s="647">
        <v>2578.5500000000002</v>
      </c>
    </row>
    <row r="11679" spans="2:10">
      <c r="B11679" s="1230" t="s">
        <v>456</v>
      </c>
      <c r="C11679" s="132" t="s">
        <v>2457</v>
      </c>
      <c r="D11679" s="255">
        <v>22001</v>
      </c>
      <c r="E11679" s="553">
        <v>224.65</v>
      </c>
      <c r="F11679" s="553">
        <v>3177.57</v>
      </c>
      <c r="G11679" s="553">
        <v>476.05</v>
      </c>
      <c r="H11679" s="553">
        <v>310.05</v>
      </c>
      <c r="I11679" s="553">
        <v>950.26</v>
      </c>
      <c r="J11679" s="647">
        <v>1628.95</v>
      </c>
    </row>
    <row r="11680" spans="2:10">
      <c r="B11680" s="1230" t="s">
        <v>456</v>
      </c>
      <c r="C11680" s="132" t="s">
        <v>2458</v>
      </c>
      <c r="D11680" s="255">
        <v>22003</v>
      </c>
      <c r="E11680" s="553">
        <v>118.09</v>
      </c>
      <c r="F11680" s="553">
        <v>1618.27</v>
      </c>
      <c r="G11680" s="553">
        <v>323.33999999999997</v>
      </c>
      <c r="H11680" s="553">
        <v>158.30000000000001</v>
      </c>
      <c r="I11680" s="553">
        <v>1493.52</v>
      </c>
      <c r="J11680" s="647">
        <v>1161.24</v>
      </c>
    </row>
    <row r="11681" spans="2:10">
      <c r="B11681" s="1230" t="s">
        <v>456</v>
      </c>
      <c r="C11681" s="132" t="s">
        <v>2459</v>
      </c>
      <c r="D11681" s="255">
        <v>22005</v>
      </c>
      <c r="E11681" s="553">
        <v>253.24</v>
      </c>
      <c r="F11681" s="553">
        <v>3224.39</v>
      </c>
      <c r="G11681" s="553">
        <v>292.77999999999997</v>
      </c>
      <c r="H11681" s="553">
        <v>316.72000000000003</v>
      </c>
      <c r="I11681" s="553">
        <v>2276.92</v>
      </c>
      <c r="J11681" s="647">
        <v>1418.81</v>
      </c>
    </row>
    <row r="11682" spans="2:10">
      <c r="B11682" s="1230" t="s">
        <v>456</v>
      </c>
      <c r="C11682" s="132" t="s">
        <v>2460</v>
      </c>
      <c r="D11682" s="255">
        <v>22007</v>
      </c>
      <c r="E11682" s="553">
        <v>129.88</v>
      </c>
      <c r="F11682" s="553">
        <v>1769.93</v>
      </c>
      <c r="G11682" s="553">
        <v>198.92</v>
      </c>
      <c r="H11682" s="553">
        <v>173.08</v>
      </c>
      <c r="I11682" s="553">
        <v>1819.34</v>
      </c>
      <c r="J11682" s="647">
        <v>961.73</v>
      </c>
    </row>
    <row r="11683" spans="2:10">
      <c r="B11683" s="1230" t="s">
        <v>456</v>
      </c>
      <c r="C11683" s="132" t="s">
        <v>2461</v>
      </c>
      <c r="D11683" s="255">
        <v>22009</v>
      </c>
      <c r="E11683" s="553">
        <v>110.22</v>
      </c>
      <c r="F11683" s="553">
        <v>1558.76</v>
      </c>
      <c r="G11683" s="553">
        <v>312.83</v>
      </c>
      <c r="H11683" s="553">
        <v>152.1</v>
      </c>
      <c r="I11683" s="553">
        <v>1465.22</v>
      </c>
      <c r="J11683" s="647">
        <v>1167.8399999999999</v>
      </c>
    </row>
    <row r="11684" spans="2:10">
      <c r="B11684" s="1230" t="s">
        <v>456</v>
      </c>
      <c r="C11684" s="132" t="s">
        <v>2462</v>
      </c>
      <c r="D11684" s="255">
        <v>22011</v>
      </c>
      <c r="E11684" s="553">
        <v>173.4</v>
      </c>
      <c r="F11684" s="553">
        <v>2440.1</v>
      </c>
      <c r="G11684" s="553">
        <v>309.26</v>
      </c>
      <c r="H11684" s="553">
        <v>238.21</v>
      </c>
      <c r="I11684" s="553">
        <v>3727.72</v>
      </c>
      <c r="J11684" s="647">
        <v>1390.53</v>
      </c>
    </row>
    <row r="11685" spans="2:10">
      <c r="B11685" s="1230" t="s">
        <v>456</v>
      </c>
      <c r="C11685" s="132" t="s">
        <v>2463</v>
      </c>
      <c r="D11685" s="255">
        <v>22013</v>
      </c>
      <c r="E11685" s="553">
        <v>170.16</v>
      </c>
      <c r="F11685" s="553">
        <v>2285.33</v>
      </c>
      <c r="G11685" s="553">
        <v>611.9</v>
      </c>
      <c r="H11685" s="553">
        <v>223.68</v>
      </c>
      <c r="I11685" s="553">
        <v>675.94</v>
      </c>
      <c r="J11685" s="647">
        <v>933.65</v>
      </c>
    </row>
    <row r="11686" spans="2:10">
      <c r="B11686" s="1230" t="s">
        <v>456</v>
      </c>
      <c r="C11686" s="132" t="s">
        <v>2464</v>
      </c>
      <c r="D11686" s="255">
        <v>22015</v>
      </c>
      <c r="E11686" s="553">
        <v>289.60000000000002</v>
      </c>
      <c r="F11686" s="553">
        <v>4269.8900000000003</v>
      </c>
      <c r="G11686" s="553">
        <v>860.96</v>
      </c>
      <c r="H11686" s="553">
        <v>415.3</v>
      </c>
      <c r="I11686" s="553">
        <v>573.26</v>
      </c>
      <c r="J11686" s="647">
        <v>1156.8699999999999</v>
      </c>
    </row>
    <row r="11687" spans="2:10">
      <c r="B11687" s="1230" t="s">
        <v>456</v>
      </c>
      <c r="C11687" s="132" t="s">
        <v>2465</v>
      </c>
      <c r="D11687" s="255">
        <v>22017</v>
      </c>
      <c r="E11687" s="553">
        <v>283.11</v>
      </c>
      <c r="F11687" s="553">
        <v>4163.6000000000004</v>
      </c>
      <c r="G11687" s="553">
        <v>861</v>
      </c>
      <c r="H11687" s="553">
        <v>404.97</v>
      </c>
      <c r="I11687" s="553">
        <v>558.30999999999995</v>
      </c>
      <c r="J11687" s="647">
        <v>1152.43</v>
      </c>
    </row>
    <row r="11688" spans="2:10">
      <c r="B11688" s="1230" t="s">
        <v>456</v>
      </c>
      <c r="C11688" s="132" t="s">
        <v>2466</v>
      </c>
      <c r="D11688" s="255">
        <v>22019</v>
      </c>
      <c r="E11688" s="553">
        <v>185.51</v>
      </c>
      <c r="F11688" s="553">
        <v>2602.02</v>
      </c>
      <c r="G11688" s="553">
        <v>314.32</v>
      </c>
      <c r="H11688" s="553">
        <v>254</v>
      </c>
      <c r="I11688" s="553">
        <v>3745.74</v>
      </c>
      <c r="J11688" s="647">
        <v>1452.02</v>
      </c>
    </row>
    <row r="11689" spans="2:10">
      <c r="B11689" s="1230" t="s">
        <v>456</v>
      </c>
      <c r="C11689" s="132" t="s">
        <v>2467</v>
      </c>
      <c r="D11689" s="255">
        <v>22021</v>
      </c>
      <c r="E11689" s="553">
        <v>102.35</v>
      </c>
      <c r="F11689" s="553">
        <v>1396.87</v>
      </c>
      <c r="G11689" s="553">
        <v>314.94</v>
      </c>
      <c r="H11689" s="553">
        <v>136.63</v>
      </c>
      <c r="I11689" s="553">
        <v>578.33000000000004</v>
      </c>
      <c r="J11689" s="647">
        <v>1174</v>
      </c>
    </row>
    <row r="11690" spans="2:10">
      <c r="B11690" s="1230" t="s">
        <v>456</v>
      </c>
      <c r="C11690" s="132" t="s">
        <v>2468</v>
      </c>
      <c r="D11690" s="255">
        <v>22023</v>
      </c>
      <c r="E11690" s="553">
        <v>147.54</v>
      </c>
      <c r="F11690" s="553">
        <v>2065.63</v>
      </c>
      <c r="G11690" s="553">
        <v>292.93</v>
      </c>
      <c r="H11690" s="553">
        <v>201.68</v>
      </c>
      <c r="I11690" s="553">
        <v>2674.45</v>
      </c>
      <c r="J11690" s="647">
        <v>1338.04</v>
      </c>
    </row>
    <row r="11691" spans="2:10">
      <c r="B11691" s="1230" t="s">
        <v>456</v>
      </c>
      <c r="C11691" s="132" t="s">
        <v>2469</v>
      </c>
      <c r="D11691" s="255">
        <v>22025</v>
      </c>
      <c r="E11691" s="553">
        <v>129.81</v>
      </c>
      <c r="F11691" s="553">
        <v>1805.32</v>
      </c>
      <c r="G11691" s="553">
        <v>323.32</v>
      </c>
      <c r="H11691" s="553">
        <v>176.28</v>
      </c>
      <c r="I11691" s="553">
        <v>734.59</v>
      </c>
      <c r="J11691" s="647">
        <v>1314.06</v>
      </c>
    </row>
    <row r="11692" spans="2:10">
      <c r="B11692" s="1230" t="s">
        <v>456</v>
      </c>
      <c r="C11692" s="132" t="s">
        <v>2470</v>
      </c>
      <c r="D11692" s="255">
        <v>22027</v>
      </c>
      <c r="E11692" s="553">
        <v>178.15</v>
      </c>
      <c r="F11692" s="553">
        <v>2433.86</v>
      </c>
      <c r="G11692" s="553">
        <v>630.80999999999995</v>
      </c>
      <c r="H11692" s="553">
        <v>237.98</v>
      </c>
      <c r="I11692" s="553">
        <v>648.07000000000005</v>
      </c>
      <c r="J11692" s="647">
        <v>938.09</v>
      </c>
    </row>
    <row r="11693" spans="2:10">
      <c r="B11693" s="1230" t="s">
        <v>456</v>
      </c>
      <c r="C11693" s="132" t="s">
        <v>2471</v>
      </c>
      <c r="D11693" s="255">
        <v>22029</v>
      </c>
      <c r="E11693" s="553">
        <v>128.94999999999999</v>
      </c>
      <c r="F11693" s="553">
        <v>1783.17</v>
      </c>
      <c r="G11693" s="553">
        <v>325.23</v>
      </c>
      <c r="H11693" s="553">
        <v>174.25</v>
      </c>
      <c r="I11693" s="553">
        <v>1017.38</v>
      </c>
      <c r="J11693" s="647">
        <v>1277.46</v>
      </c>
    </row>
    <row r="11694" spans="2:10">
      <c r="B11694" s="1230" t="s">
        <v>456</v>
      </c>
      <c r="C11694" s="132" t="s">
        <v>2472</v>
      </c>
      <c r="D11694" s="255">
        <v>22031</v>
      </c>
      <c r="E11694" s="553">
        <v>162.72</v>
      </c>
      <c r="F11694" s="553">
        <v>2188.0100000000002</v>
      </c>
      <c r="G11694" s="553">
        <v>619.29</v>
      </c>
      <c r="H11694" s="553">
        <v>214.17</v>
      </c>
      <c r="I11694" s="553">
        <v>599.64</v>
      </c>
      <c r="J11694" s="647">
        <v>919.74</v>
      </c>
    </row>
    <row r="11695" spans="2:10">
      <c r="B11695" s="1230" t="s">
        <v>456</v>
      </c>
      <c r="C11695" s="132" t="s">
        <v>2473</v>
      </c>
      <c r="D11695" s="255">
        <v>22033</v>
      </c>
      <c r="E11695" s="553">
        <v>493.84</v>
      </c>
      <c r="F11695" s="553">
        <v>6590.16</v>
      </c>
      <c r="G11695" s="553">
        <v>216.21</v>
      </c>
      <c r="H11695" s="553">
        <v>645.04999999999995</v>
      </c>
      <c r="I11695" s="553">
        <v>11892.91</v>
      </c>
      <c r="J11695" s="647">
        <v>2095.4299999999998</v>
      </c>
    </row>
    <row r="11696" spans="2:10">
      <c r="B11696" s="1230" t="s">
        <v>456</v>
      </c>
      <c r="C11696" s="132" t="s">
        <v>2474</v>
      </c>
      <c r="D11696" s="255">
        <v>22035</v>
      </c>
      <c r="E11696" s="553">
        <v>117.84</v>
      </c>
      <c r="F11696" s="553">
        <v>1498.15</v>
      </c>
      <c r="G11696" s="553">
        <v>347.01</v>
      </c>
      <c r="H11696" s="553">
        <v>147.16</v>
      </c>
      <c r="I11696" s="553">
        <v>584.6</v>
      </c>
      <c r="J11696" s="647">
        <v>1227.74</v>
      </c>
    </row>
    <row r="11697" spans="2:10">
      <c r="B11697" s="1230" t="s">
        <v>456</v>
      </c>
      <c r="C11697" s="132" t="s">
        <v>2475</v>
      </c>
      <c r="D11697" s="255">
        <v>22037</v>
      </c>
      <c r="E11697" s="553">
        <v>513.38</v>
      </c>
      <c r="F11697" s="553">
        <v>6812.26</v>
      </c>
      <c r="G11697" s="553">
        <v>271.32</v>
      </c>
      <c r="H11697" s="553">
        <v>666.98</v>
      </c>
      <c r="I11697" s="553">
        <v>11195.53</v>
      </c>
      <c r="J11697" s="647">
        <v>2184.91</v>
      </c>
    </row>
    <row r="11698" spans="2:10">
      <c r="B11698" s="1230" t="s">
        <v>456</v>
      </c>
      <c r="C11698" s="132" t="s">
        <v>2476</v>
      </c>
      <c r="D11698" s="255">
        <v>22039</v>
      </c>
      <c r="E11698" s="553">
        <v>155.75</v>
      </c>
      <c r="F11698" s="553">
        <v>2325.2199999999998</v>
      </c>
      <c r="G11698" s="553">
        <v>371.69</v>
      </c>
      <c r="H11698" s="553">
        <v>226.06</v>
      </c>
      <c r="I11698" s="553">
        <v>1052.47</v>
      </c>
      <c r="J11698" s="647">
        <v>1363.44</v>
      </c>
    </row>
    <row r="11699" spans="2:10">
      <c r="B11699" s="1230" t="s">
        <v>456</v>
      </c>
      <c r="C11699" s="132" t="s">
        <v>2477</v>
      </c>
      <c r="D11699" s="255">
        <v>22041</v>
      </c>
      <c r="E11699" s="553">
        <v>127.13</v>
      </c>
      <c r="F11699" s="553">
        <v>1709.32</v>
      </c>
      <c r="G11699" s="553">
        <v>357.89</v>
      </c>
      <c r="H11699" s="553">
        <v>167.33</v>
      </c>
      <c r="I11699" s="553">
        <v>585.57000000000005</v>
      </c>
      <c r="J11699" s="647">
        <v>1297.76</v>
      </c>
    </row>
    <row r="11700" spans="2:10">
      <c r="B11700" s="1230" t="s">
        <v>456</v>
      </c>
      <c r="C11700" s="132" t="s">
        <v>2478</v>
      </c>
      <c r="D11700" s="255">
        <v>22043</v>
      </c>
      <c r="E11700" s="553">
        <v>117.59</v>
      </c>
      <c r="F11700" s="553">
        <v>1556.11</v>
      </c>
      <c r="G11700" s="553">
        <v>367.79</v>
      </c>
      <c r="H11700" s="553">
        <v>152.44999999999999</v>
      </c>
      <c r="I11700" s="553">
        <v>702.2</v>
      </c>
      <c r="J11700" s="647">
        <v>1170.73</v>
      </c>
    </row>
    <row r="11701" spans="2:10">
      <c r="B11701" s="1230" t="s">
        <v>456</v>
      </c>
      <c r="C11701" s="132" t="s">
        <v>2479</v>
      </c>
      <c r="D11701" s="255">
        <v>22045</v>
      </c>
      <c r="E11701" s="553">
        <v>150.74</v>
      </c>
      <c r="F11701" s="553">
        <v>2177.89</v>
      </c>
      <c r="G11701" s="553">
        <v>279.64</v>
      </c>
      <c r="H11701" s="553">
        <v>212.17</v>
      </c>
      <c r="I11701" s="553">
        <v>2445.98</v>
      </c>
      <c r="J11701" s="647">
        <v>1213.45</v>
      </c>
    </row>
    <row r="11702" spans="2:10">
      <c r="B11702" s="1230" t="s">
        <v>456</v>
      </c>
      <c r="C11702" s="132" t="s">
        <v>2480</v>
      </c>
      <c r="D11702" s="255">
        <v>22047</v>
      </c>
      <c r="E11702" s="553">
        <v>433.02</v>
      </c>
      <c r="F11702" s="553">
        <v>5866.13</v>
      </c>
      <c r="G11702" s="553">
        <v>200.6</v>
      </c>
      <c r="H11702" s="553">
        <v>573.61</v>
      </c>
      <c r="I11702" s="553">
        <v>10601.35</v>
      </c>
      <c r="J11702" s="647">
        <v>2076.61</v>
      </c>
    </row>
    <row r="11703" spans="2:10">
      <c r="B11703" s="1230" t="s">
        <v>456</v>
      </c>
      <c r="C11703" s="132" t="s">
        <v>2481</v>
      </c>
      <c r="D11703" s="255">
        <v>22049</v>
      </c>
      <c r="E11703" s="553">
        <v>169.25</v>
      </c>
      <c r="F11703" s="553">
        <v>2281.92</v>
      </c>
      <c r="G11703" s="553">
        <v>589.14</v>
      </c>
      <c r="H11703" s="553">
        <v>223.32</v>
      </c>
      <c r="I11703" s="553">
        <v>713.26</v>
      </c>
      <c r="J11703" s="647">
        <v>926.83</v>
      </c>
    </row>
    <row r="11704" spans="2:10">
      <c r="B11704" s="1230" t="s">
        <v>456</v>
      </c>
      <c r="C11704" s="132" t="s">
        <v>2482</v>
      </c>
      <c r="D11704" s="255">
        <v>22051</v>
      </c>
      <c r="E11704" s="553">
        <v>596.21</v>
      </c>
      <c r="F11704" s="553">
        <v>9261.11</v>
      </c>
      <c r="G11704" s="553">
        <v>15.22</v>
      </c>
      <c r="H11704" s="553">
        <v>898.62</v>
      </c>
      <c r="I11704" s="553">
        <v>17988.919999999998</v>
      </c>
      <c r="J11704" s="647">
        <v>2380.8000000000002</v>
      </c>
    </row>
    <row r="11705" spans="2:10">
      <c r="B11705" s="1230" t="s">
        <v>456</v>
      </c>
      <c r="C11705" s="132" t="s">
        <v>2483</v>
      </c>
      <c r="D11705" s="255">
        <v>22053</v>
      </c>
      <c r="E11705" s="553">
        <v>114.22</v>
      </c>
      <c r="F11705" s="553">
        <v>1585.03</v>
      </c>
      <c r="G11705" s="553">
        <v>302.17</v>
      </c>
      <c r="H11705" s="553">
        <v>154.88999999999999</v>
      </c>
      <c r="I11705" s="553">
        <v>1438.93</v>
      </c>
      <c r="J11705" s="647">
        <v>1114.77</v>
      </c>
    </row>
    <row r="11706" spans="2:10">
      <c r="B11706" s="1230" t="s">
        <v>456</v>
      </c>
      <c r="C11706" s="132" t="s">
        <v>2484</v>
      </c>
      <c r="D11706" s="255">
        <v>22055</v>
      </c>
      <c r="E11706" s="553">
        <v>348.39</v>
      </c>
      <c r="F11706" s="553">
        <v>4872.71</v>
      </c>
      <c r="G11706" s="553">
        <v>556.07000000000005</v>
      </c>
      <c r="H11706" s="553">
        <v>475.93</v>
      </c>
      <c r="I11706" s="553">
        <v>1008.78</v>
      </c>
      <c r="J11706" s="647">
        <v>1886.28</v>
      </c>
    </row>
    <row r="11707" spans="2:10">
      <c r="B11707" s="1230" t="s">
        <v>456</v>
      </c>
      <c r="C11707" s="132" t="s">
        <v>2485</v>
      </c>
      <c r="D11707" s="255">
        <v>22057</v>
      </c>
      <c r="E11707" s="553">
        <v>364.11</v>
      </c>
      <c r="F11707" s="553">
        <v>5545.23</v>
      </c>
      <c r="G11707" s="553">
        <v>157.56</v>
      </c>
      <c r="H11707" s="553">
        <v>538.72</v>
      </c>
      <c r="I11707" s="553">
        <v>10563.04</v>
      </c>
      <c r="J11707" s="647">
        <v>2229.94</v>
      </c>
    </row>
    <row r="11708" spans="2:10">
      <c r="B11708" s="1230" t="s">
        <v>456</v>
      </c>
      <c r="C11708" s="132" t="s">
        <v>2486</v>
      </c>
      <c r="D11708" s="255">
        <v>22059</v>
      </c>
      <c r="E11708" s="553">
        <v>116.85</v>
      </c>
      <c r="F11708" s="553">
        <v>1535.64</v>
      </c>
      <c r="G11708" s="553">
        <v>356.59</v>
      </c>
      <c r="H11708" s="553">
        <v>150.54</v>
      </c>
      <c r="I11708" s="553">
        <v>659.77</v>
      </c>
      <c r="J11708" s="647">
        <v>1193.82</v>
      </c>
    </row>
    <row r="11709" spans="2:10">
      <c r="B11709" s="1230" t="s">
        <v>456</v>
      </c>
      <c r="C11709" s="132" t="s">
        <v>2487</v>
      </c>
      <c r="D11709" s="255">
        <v>22061</v>
      </c>
      <c r="E11709" s="553">
        <v>185.51</v>
      </c>
      <c r="F11709" s="553">
        <v>2505.48</v>
      </c>
      <c r="G11709" s="553">
        <v>614.70000000000005</v>
      </c>
      <c r="H11709" s="553">
        <v>245.18</v>
      </c>
      <c r="I11709" s="553">
        <v>664.1</v>
      </c>
      <c r="J11709" s="647">
        <v>933.31</v>
      </c>
    </row>
    <row r="11710" spans="2:10">
      <c r="B11710" s="1230" t="s">
        <v>456</v>
      </c>
      <c r="C11710" s="132" t="s">
        <v>2488</v>
      </c>
      <c r="D11710" s="255">
        <v>22063</v>
      </c>
      <c r="E11710" s="553">
        <v>534.20000000000005</v>
      </c>
      <c r="F11710" s="553">
        <v>7259.66</v>
      </c>
      <c r="G11710" s="553">
        <v>425.5</v>
      </c>
      <c r="H11710" s="553">
        <v>709.72</v>
      </c>
      <c r="I11710" s="553">
        <v>8476.7900000000009</v>
      </c>
      <c r="J11710" s="647">
        <v>2741.22</v>
      </c>
    </row>
    <row r="11711" spans="2:10">
      <c r="B11711" s="1230" t="s">
        <v>456</v>
      </c>
      <c r="C11711" s="132" t="s">
        <v>2489</v>
      </c>
      <c r="D11711" s="255">
        <v>22065</v>
      </c>
      <c r="E11711" s="553">
        <v>126.33</v>
      </c>
      <c r="F11711" s="553">
        <v>1759.82</v>
      </c>
      <c r="G11711" s="553">
        <v>368.74</v>
      </c>
      <c r="H11711" s="553">
        <v>171.83</v>
      </c>
      <c r="I11711" s="553">
        <v>589.30999999999995</v>
      </c>
      <c r="J11711" s="647">
        <v>1322.61</v>
      </c>
    </row>
    <row r="11712" spans="2:10">
      <c r="B11712" s="1230" t="s">
        <v>456</v>
      </c>
      <c r="C11712" s="132" t="s">
        <v>2490</v>
      </c>
      <c r="D11712" s="255">
        <v>22067</v>
      </c>
      <c r="E11712" s="553">
        <v>118.83</v>
      </c>
      <c r="F11712" s="553">
        <v>1652.88</v>
      </c>
      <c r="G11712" s="553">
        <v>386.93</v>
      </c>
      <c r="H11712" s="553">
        <v>161.43</v>
      </c>
      <c r="I11712" s="553">
        <v>539.69000000000005</v>
      </c>
      <c r="J11712" s="647">
        <v>1309.98</v>
      </c>
    </row>
    <row r="11713" spans="2:10">
      <c r="B11713" s="1230" t="s">
        <v>456</v>
      </c>
      <c r="C11713" s="132" t="s">
        <v>2491</v>
      </c>
      <c r="D11713" s="255">
        <v>22069</v>
      </c>
      <c r="E11713" s="553">
        <v>165.26</v>
      </c>
      <c r="F11713" s="553">
        <v>2188.62</v>
      </c>
      <c r="G11713" s="553">
        <v>573.72</v>
      </c>
      <c r="H11713" s="553">
        <v>214.47</v>
      </c>
      <c r="I11713" s="553">
        <v>1106.7</v>
      </c>
      <c r="J11713" s="647">
        <v>935.92</v>
      </c>
    </row>
    <row r="11714" spans="2:10">
      <c r="B11714" s="1230" t="s">
        <v>456</v>
      </c>
      <c r="C11714" s="132" t="s">
        <v>2492</v>
      </c>
      <c r="D11714" s="255">
        <v>22071</v>
      </c>
      <c r="E11714" s="553">
        <v>856.65</v>
      </c>
      <c r="F11714" s="553">
        <v>13092.11</v>
      </c>
      <c r="G11714" s="553">
        <v>-107.05</v>
      </c>
      <c r="H11714" s="553">
        <v>1270.78</v>
      </c>
      <c r="I11714" s="553">
        <v>25752.400000000001</v>
      </c>
      <c r="J11714" s="647">
        <v>3124.86</v>
      </c>
    </row>
    <row r="11715" spans="2:10">
      <c r="B11715" s="1230" t="s">
        <v>456</v>
      </c>
      <c r="C11715" s="132" t="s">
        <v>2493</v>
      </c>
      <c r="D11715" s="255">
        <v>22073</v>
      </c>
      <c r="E11715" s="553">
        <v>172.66</v>
      </c>
      <c r="F11715" s="553">
        <v>2523.73</v>
      </c>
      <c r="G11715" s="553">
        <v>449.45</v>
      </c>
      <c r="H11715" s="553">
        <v>245.59</v>
      </c>
      <c r="I11715" s="553">
        <v>521.22</v>
      </c>
      <c r="J11715" s="647">
        <v>1538.3</v>
      </c>
    </row>
    <row r="11716" spans="2:10">
      <c r="B11716" s="1230" t="s">
        <v>456</v>
      </c>
      <c r="C11716" s="132" t="s">
        <v>2494</v>
      </c>
      <c r="D11716" s="255">
        <v>22075</v>
      </c>
      <c r="E11716" s="553">
        <v>114.01</v>
      </c>
      <c r="F11716" s="553">
        <v>1655.78</v>
      </c>
      <c r="G11716" s="553">
        <v>127.59</v>
      </c>
      <c r="H11716" s="553">
        <v>161.24</v>
      </c>
      <c r="I11716" s="553">
        <v>2279.58</v>
      </c>
      <c r="J11716" s="647">
        <v>964.56</v>
      </c>
    </row>
    <row r="11717" spans="2:10">
      <c r="B11717" s="1230" t="s">
        <v>456</v>
      </c>
      <c r="C11717" s="132" t="s">
        <v>2495</v>
      </c>
      <c r="D11717" s="255">
        <v>22077</v>
      </c>
      <c r="E11717" s="553">
        <v>178.02</v>
      </c>
      <c r="F11717" s="553">
        <v>2264.6799999999998</v>
      </c>
      <c r="G11717" s="553">
        <v>263.88</v>
      </c>
      <c r="H11717" s="553">
        <v>222.5</v>
      </c>
      <c r="I11717" s="553">
        <v>2427.37</v>
      </c>
      <c r="J11717" s="647">
        <v>1193.8399999999999</v>
      </c>
    </row>
    <row r="11718" spans="2:10">
      <c r="B11718" s="1230" t="s">
        <v>456</v>
      </c>
      <c r="C11718" s="132" t="s">
        <v>2496</v>
      </c>
      <c r="D11718" s="255">
        <v>22079</v>
      </c>
      <c r="E11718" s="553">
        <v>154.34</v>
      </c>
      <c r="F11718" s="553">
        <v>2219.85</v>
      </c>
      <c r="G11718" s="553">
        <v>345</v>
      </c>
      <c r="H11718" s="553">
        <v>216.37</v>
      </c>
      <c r="I11718" s="553">
        <v>2282.2800000000002</v>
      </c>
      <c r="J11718" s="647">
        <v>1412.05</v>
      </c>
    </row>
    <row r="11719" spans="2:10">
      <c r="B11719" s="1230" t="s">
        <v>456</v>
      </c>
      <c r="C11719" s="132" t="s">
        <v>2497</v>
      </c>
      <c r="D11719" s="255">
        <v>22081</v>
      </c>
      <c r="E11719" s="553">
        <v>174.26</v>
      </c>
      <c r="F11719" s="553">
        <v>2326.9699999999998</v>
      </c>
      <c r="G11719" s="553">
        <v>598.02</v>
      </c>
      <c r="H11719" s="553">
        <v>227.85</v>
      </c>
      <c r="I11719" s="553">
        <v>699.4</v>
      </c>
      <c r="J11719" s="647">
        <v>919.71</v>
      </c>
    </row>
    <row r="11720" spans="2:10">
      <c r="B11720" s="1230" t="s">
        <v>456</v>
      </c>
      <c r="C11720" s="132" t="s">
        <v>2498</v>
      </c>
      <c r="D11720" s="255">
        <v>22083</v>
      </c>
      <c r="E11720" s="553">
        <v>119.6</v>
      </c>
      <c r="F11720" s="553">
        <v>1671.65</v>
      </c>
      <c r="G11720" s="553">
        <v>353.45</v>
      </c>
      <c r="H11720" s="553">
        <v>163.21</v>
      </c>
      <c r="I11720" s="553">
        <v>552.63</v>
      </c>
      <c r="J11720" s="647">
        <v>1262.7</v>
      </c>
    </row>
    <row r="11721" spans="2:10">
      <c r="B11721" s="1230" t="s">
        <v>456</v>
      </c>
      <c r="C11721" s="132" t="s">
        <v>2499</v>
      </c>
      <c r="D11721" s="255">
        <v>22085</v>
      </c>
      <c r="E11721" s="553">
        <v>143.54</v>
      </c>
      <c r="F11721" s="553">
        <v>1898.52</v>
      </c>
      <c r="G11721" s="553">
        <v>554.26</v>
      </c>
      <c r="H11721" s="553">
        <v>186.04</v>
      </c>
      <c r="I11721" s="553">
        <v>785.49</v>
      </c>
      <c r="J11721" s="647">
        <v>885.73</v>
      </c>
    </row>
    <row r="11722" spans="2:10">
      <c r="B11722" s="1230" t="s">
        <v>456</v>
      </c>
      <c r="C11722" s="132" t="s">
        <v>2500</v>
      </c>
      <c r="D11722" s="255">
        <v>22087</v>
      </c>
      <c r="E11722" s="553">
        <v>570.73</v>
      </c>
      <c r="F11722" s="553">
        <v>8725.2099999999991</v>
      </c>
      <c r="G11722" s="553">
        <v>149.13999999999999</v>
      </c>
      <c r="H11722" s="553">
        <v>846.95</v>
      </c>
      <c r="I11722" s="553">
        <v>16739.62</v>
      </c>
      <c r="J11722" s="647">
        <v>2658.8</v>
      </c>
    </row>
    <row r="11723" spans="2:10">
      <c r="B11723" s="1230" t="s">
        <v>456</v>
      </c>
      <c r="C11723" s="132" t="s">
        <v>2501</v>
      </c>
      <c r="D11723" s="255">
        <v>22089</v>
      </c>
      <c r="E11723" s="553">
        <v>240.67</v>
      </c>
      <c r="F11723" s="553">
        <v>3285.57</v>
      </c>
      <c r="G11723" s="553">
        <v>163.6</v>
      </c>
      <c r="H11723" s="553">
        <v>321.25</v>
      </c>
      <c r="I11723" s="553">
        <v>5425.96</v>
      </c>
      <c r="J11723" s="647">
        <v>1316.77</v>
      </c>
    </row>
    <row r="11724" spans="2:10">
      <c r="B11724" s="1230" t="s">
        <v>456</v>
      </c>
      <c r="C11724" s="132" t="s">
        <v>2502</v>
      </c>
      <c r="D11724" s="255">
        <v>22091</v>
      </c>
      <c r="E11724" s="553">
        <v>191.72</v>
      </c>
      <c r="F11724" s="553">
        <v>2526.27</v>
      </c>
      <c r="G11724" s="553">
        <v>241.29</v>
      </c>
      <c r="H11724" s="553">
        <v>247.51</v>
      </c>
      <c r="I11724" s="553">
        <v>2978.16</v>
      </c>
      <c r="J11724" s="647">
        <v>1312.86</v>
      </c>
    </row>
    <row r="11725" spans="2:10">
      <c r="B11725" s="1230" t="s">
        <v>456</v>
      </c>
      <c r="C11725" s="132" t="s">
        <v>2503</v>
      </c>
      <c r="D11725" s="255">
        <v>22093</v>
      </c>
      <c r="E11725" s="553">
        <v>257.06</v>
      </c>
      <c r="F11725" s="553">
        <v>3254.19</v>
      </c>
      <c r="G11725" s="553">
        <v>318.39999999999998</v>
      </c>
      <c r="H11725" s="553">
        <v>319.79000000000002</v>
      </c>
      <c r="I11725" s="553">
        <v>1889.18</v>
      </c>
      <c r="J11725" s="647">
        <v>1398.73</v>
      </c>
    </row>
    <row r="11726" spans="2:10">
      <c r="B11726" s="1230" t="s">
        <v>456</v>
      </c>
      <c r="C11726" s="132" t="s">
        <v>2504</v>
      </c>
      <c r="D11726" s="255">
        <v>22095</v>
      </c>
      <c r="E11726" s="553">
        <v>277.48</v>
      </c>
      <c r="F11726" s="553">
        <v>3723.03</v>
      </c>
      <c r="G11726" s="553">
        <v>206.51</v>
      </c>
      <c r="H11726" s="553">
        <v>364.5</v>
      </c>
      <c r="I11726" s="553">
        <v>5900.79</v>
      </c>
      <c r="J11726" s="647">
        <v>1394.23</v>
      </c>
    </row>
    <row r="11727" spans="2:10">
      <c r="B11727" s="1230" t="s">
        <v>456</v>
      </c>
      <c r="C11727" s="132" t="s">
        <v>2505</v>
      </c>
      <c r="D11727" s="255">
        <v>22097</v>
      </c>
      <c r="E11727" s="553">
        <v>235.94</v>
      </c>
      <c r="F11727" s="553">
        <v>3434.28</v>
      </c>
      <c r="G11727" s="553">
        <v>538.02</v>
      </c>
      <c r="H11727" s="553">
        <v>334.53</v>
      </c>
      <c r="I11727" s="553">
        <v>930.15</v>
      </c>
      <c r="J11727" s="647">
        <v>1856.91</v>
      </c>
    </row>
    <row r="11728" spans="2:10">
      <c r="B11728" s="1230" t="s">
        <v>456</v>
      </c>
      <c r="C11728" s="132" t="s">
        <v>2506</v>
      </c>
      <c r="D11728" s="255">
        <v>22099</v>
      </c>
      <c r="E11728" s="553">
        <v>277.10000000000002</v>
      </c>
      <c r="F11728" s="553">
        <v>3849.34</v>
      </c>
      <c r="G11728" s="553">
        <v>421.47</v>
      </c>
      <c r="H11728" s="553">
        <v>376.06</v>
      </c>
      <c r="I11728" s="553">
        <v>3510.95</v>
      </c>
      <c r="J11728" s="647">
        <v>1793.07</v>
      </c>
    </row>
    <row r="11729" spans="2:10">
      <c r="B11729" s="1230" t="s">
        <v>456</v>
      </c>
      <c r="C11729" s="132" t="s">
        <v>2507</v>
      </c>
      <c r="D11729" s="255">
        <v>22101</v>
      </c>
      <c r="E11729" s="553">
        <v>158.81</v>
      </c>
      <c r="F11729" s="553">
        <v>2306.84</v>
      </c>
      <c r="G11729" s="553">
        <v>258.06</v>
      </c>
      <c r="H11729" s="553">
        <v>224.61</v>
      </c>
      <c r="I11729" s="553">
        <v>3278</v>
      </c>
      <c r="J11729" s="647">
        <v>1257.5899999999999</v>
      </c>
    </row>
    <row r="11730" spans="2:10">
      <c r="B11730" s="1230" t="s">
        <v>456</v>
      </c>
      <c r="C11730" s="132" t="s">
        <v>2508</v>
      </c>
      <c r="D11730" s="255">
        <v>22103</v>
      </c>
      <c r="E11730" s="553">
        <v>523.74</v>
      </c>
      <c r="F11730" s="553">
        <v>7895.83</v>
      </c>
      <c r="G11730" s="553">
        <v>225.29</v>
      </c>
      <c r="H11730" s="553">
        <v>767.02</v>
      </c>
      <c r="I11730" s="553">
        <v>13741.27</v>
      </c>
      <c r="J11730" s="647">
        <v>2914.89</v>
      </c>
    </row>
    <row r="11731" spans="2:10">
      <c r="B11731" s="1230" t="s">
        <v>456</v>
      </c>
      <c r="C11731" s="132" t="s">
        <v>2509</v>
      </c>
      <c r="D11731" s="255">
        <v>22105</v>
      </c>
      <c r="E11731" s="553">
        <v>252.95</v>
      </c>
      <c r="F11731" s="553">
        <v>3590.21</v>
      </c>
      <c r="G11731" s="553">
        <v>412.68</v>
      </c>
      <c r="H11731" s="553">
        <v>350.12</v>
      </c>
      <c r="I11731" s="553">
        <v>1708.47</v>
      </c>
      <c r="J11731" s="647">
        <v>1832.5</v>
      </c>
    </row>
    <row r="11732" spans="2:10">
      <c r="B11732" s="1230" t="s">
        <v>456</v>
      </c>
      <c r="C11732" s="132" t="s">
        <v>2510</v>
      </c>
      <c r="D11732" s="255">
        <v>22107</v>
      </c>
      <c r="E11732" s="553">
        <v>111.09</v>
      </c>
      <c r="F11732" s="553">
        <v>1444</v>
      </c>
      <c r="G11732" s="553">
        <v>308.8</v>
      </c>
      <c r="H11732" s="553">
        <v>141.63999999999999</v>
      </c>
      <c r="I11732" s="553">
        <v>631.79999999999995</v>
      </c>
      <c r="J11732" s="647">
        <v>1219.32</v>
      </c>
    </row>
    <row r="11733" spans="2:10">
      <c r="B11733" s="1230" t="s">
        <v>456</v>
      </c>
      <c r="C11733" s="132" t="s">
        <v>2511</v>
      </c>
      <c r="D11733" s="255">
        <v>22109</v>
      </c>
      <c r="E11733" s="553">
        <v>139.49</v>
      </c>
      <c r="F11733" s="553">
        <v>2034.5</v>
      </c>
      <c r="G11733" s="553">
        <v>181.76</v>
      </c>
      <c r="H11733" s="553">
        <v>198.1</v>
      </c>
      <c r="I11733" s="553">
        <v>3333.89</v>
      </c>
      <c r="J11733" s="647">
        <v>1115.47</v>
      </c>
    </row>
    <row r="11734" spans="2:10">
      <c r="B11734" s="1230" t="s">
        <v>456</v>
      </c>
      <c r="C11734" s="132" t="s">
        <v>2512</v>
      </c>
      <c r="D11734" s="255">
        <v>22111</v>
      </c>
      <c r="E11734" s="553">
        <v>229.21</v>
      </c>
      <c r="F11734" s="553">
        <v>3252.93</v>
      </c>
      <c r="G11734" s="553">
        <v>731.52</v>
      </c>
      <c r="H11734" s="553">
        <v>317.12</v>
      </c>
      <c r="I11734" s="553">
        <v>685.63</v>
      </c>
      <c r="J11734" s="647">
        <v>1057.97</v>
      </c>
    </row>
    <row r="11735" spans="2:10">
      <c r="B11735" s="1230" t="s">
        <v>456</v>
      </c>
      <c r="C11735" s="132" t="s">
        <v>2513</v>
      </c>
      <c r="D11735" s="255">
        <v>22113</v>
      </c>
      <c r="E11735" s="553">
        <v>198.44</v>
      </c>
      <c r="F11735" s="553">
        <v>2862.02</v>
      </c>
      <c r="G11735" s="553">
        <v>414.36</v>
      </c>
      <c r="H11735" s="553">
        <v>278.92</v>
      </c>
      <c r="I11735" s="553">
        <v>2038.06</v>
      </c>
      <c r="J11735" s="647">
        <v>1637.56</v>
      </c>
    </row>
    <row r="11736" spans="2:10">
      <c r="B11736" s="1230" t="s">
        <v>456</v>
      </c>
      <c r="C11736" s="132" t="s">
        <v>2514</v>
      </c>
      <c r="D11736" s="255">
        <v>22115</v>
      </c>
      <c r="E11736" s="553">
        <v>112.7</v>
      </c>
      <c r="F11736" s="553">
        <v>1528.03</v>
      </c>
      <c r="G11736" s="553">
        <v>338.4</v>
      </c>
      <c r="H11736" s="553">
        <v>149.49</v>
      </c>
      <c r="I11736" s="553">
        <v>1434.19</v>
      </c>
      <c r="J11736" s="647">
        <v>1170.27</v>
      </c>
    </row>
    <row r="11737" spans="2:10">
      <c r="B11737" s="1230" t="s">
        <v>456</v>
      </c>
      <c r="C11737" s="132" t="s">
        <v>2515</v>
      </c>
      <c r="D11737" s="255">
        <v>22117</v>
      </c>
      <c r="E11737" s="553">
        <v>219.89</v>
      </c>
      <c r="F11737" s="553">
        <v>3262</v>
      </c>
      <c r="G11737" s="553">
        <v>347.79</v>
      </c>
      <c r="H11737" s="553">
        <v>317.10000000000002</v>
      </c>
      <c r="I11737" s="553">
        <v>1969.6</v>
      </c>
      <c r="J11737" s="647">
        <v>1643.95</v>
      </c>
    </row>
    <row r="11738" spans="2:10">
      <c r="B11738" s="1230" t="s">
        <v>456</v>
      </c>
      <c r="C11738" s="132" t="s">
        <v>2516</v>
      </c>
      <c r="D11738" s="255">
        <v>22119</v>
      </c>
      <c r="E11738" s="553">
        <v>221.41</v>
      </c>
      <c r="F11738" s="553">
        <v>3033.59</v>
      </c>
      <c r="G11738" s="553">
        <v>687.51</v>
      </c>
      <c r="H11738" s="553">
        <v>296.47000000000003</v>
      </c>
      <c r="I11738" s="553">
        <v>606.70000000000005</v>
      </c>
      <c r="J11738" s="647">
        <v>978.83</v>
      </c>
    </row>
    <row r="11739" spans="2:10">
      <c r="B11739" s="1230" t="s">
        <v>456</v>
      </c>
      <c r="C11739" s="132" t="s">
        <v>2517</v>
      </c>
      <c r="D11739" s="255">
        <v>22121</v>
      </c>
      <c r="E11739" s="553">
        <v>754.88</v>
      </c>
      <c r="F11739" s="553">
        <v>10144.120000000001</v>
      </c>
      <c r="G11739" s="553">
        <v>198.32</v>
      </c>
      <c r="H11739" s="553">
        <v>992.37</v>
      </c>
      <c r="I11739" s="553">
        <v>19490.97</v>
      </c>
      <c r="J11739" s="647">
        <v>2464.7600000000002</v>
      </c>
    </row>
    <row r="11740" spans="2:10">
      <c r="B11740" s="1230" t="s">
        <v>456</v>
      </c>
      <c r="C11740" s="132" t="s">
        <v>2518</v>
      </c>
      <c r="D11740" s="255">
        <v>22123</v>
      </c>
      <c r="E11740" s="553">
        <v>139.16</v>
      </c>
      <c r="F11740" s="553">
        <v>1886.47</v>
      </c>
      <c r="G11740" s="553">
        <v>366.98</v>
      </c>
      <c r="H11740" s="553">
        <v>184.58</v>
      </c>
      <c r="I11740" s="553">
        <v>562.83000000000004</v>
      </c>
      <c r="J11740" s="647">
        <v>1299.6199999999999</v>
      </c>
    </row>
    <row r="11741" spans="2:10">
      <c r="B11741" s="1230" t="s">
        <v>456</v>
      </c>
      <c r="C11741" s="132" t="s">
        <v>2519</v>
      </c>
      <c r="D11741" s="255">
        <v>22125</v>
      </c>
      <c r="E11741" s="553">
        <v>145.22</v>
      </c>
      <c r="F11741" s="553">
        <v>1889.03</v>
      </c>
      <c r="G11741" s="553">
        <v>260.68</v>
      </c>
      <c r="H11741" s="553">
        <v>185.29</v>
      </c>
      <c r="I11741" s="553">
        <v>1364.82</v>
      </c>
      <c r="J11741" s="647">
        <v>1089.95</v>
      </c>
    </row>
    <row r="11742" spans="2:10">
      <c r="B11742" s="1230" t="s">
        <v>456</v>
      </c>
      <c r="C11742" s="132" t="s">
        <v>2520</v>
      </c>
      <c r="D11742" s="255">
        <v>22127</v>
      </c>
      <c r="E11742" s="553">
        <v>171.35</v>
      </c>
      <c r="F11742" s="553">
        <v>2275.33</v>
      </c>
      <c r="G11742" s="553">
        <v>560.08000000000004</v>
      </c>
      <c r="H11742" s="553">
        <v>222.9</v>
      </c>
      <c r="I11742" s="553">
        <v>1227.49</v>
      </c>
      <c r="J11742" s="647">
        <v>940.14</v>
      </c>
    </row>
    <row r="11743" spans="2:10">
      <c r="B11743" s="1230" t="s">
        <v>457</v>
      </c>
      <c r="C11743" s="132" t="s">
        <v>2521</v>
      </c>
      <c r="D11743" s="255">
        <v>23001</v>
      </c>
      <c r="E11743" s="553">
        <v>185.25</v>
      </c>
      <c r="F11743" s="553">
        <v>2327.31</v>
      </c>
      <c r="G11743" s="553">
        <v>123.85</v>
      </c>
      <c r="H11743" s="553">
        <v>229.18</v>
      </c>
      <c r="I11743" s="553">
        <v>696.09</v>
      </c>
      <c r="J11743" s="647">
        <v>1033.25</v>
      </c>
    </row>
    <row r="11744" spans="2:10">
      <c r="B11744" s="1230" t="s">
        <v>457</v>
      </c>
      <c r="C11744" s="132" t="s">
        <v>2522</v>
      </c>
      <c r="D11744" s="255">
        <v>23003</v>
      </c>
      <c r="E11744" s="553">
        <v>25.64</v>
      </c>
      <c r="F11744" s="553">
        <v>326.45999999999998</v>
      </c>
      <c r="G11744" s="553">
        <v>20.58</v>
      </c>
      <c r="H11744" s="553">
        <v>32.130000000000003</v>
      </c>
      <c r="I11744" s="553">
        <v>109.97</v>
      </c>
      <c r="J11744" s="647">
        <v>281.63</v>
      </c>
    </row>
    <row r="11745" spans="2:10">
      <c r="B11745" s="1230" t="s">
        <v>457</v>
      </c>
      <c r="C11745" s="132" t="s">
        <v>2207</v>
      </c>
      <c r="D11745" s="255">
        <v>23005</v>
      </c>
      <c r="E11745" s="553">
        <v>271.73</v>
      </c>
      <c r="F11745" s="553">
        <v>3373.73</v>
      </c>
      <c r="G11745" s="553">
        <v>105.77</v>
      </c>
      <c r="H11745" s="553">
        <v>332.5</v>
      </c>
      <c r="I11745" s="553">
        <v>1131.3499999999999</v>
      </c>
      <c r="J11745" s="647">
        <v>1547.65</v>
      </c>
    </row>
    <row r="11746" spans="2:10">
      <c r="B11746" s="1230" t="s">
        <v>457</v>
      </c>
      <c r="C11746" s="132" t="s">
        <v>1748</v>
      </c>
      <c r="D11746" s="255">
        <v>23007</v>
      </c>
      <c r="E11746" s="553">
        <v>79.13</v>
      </c>
      <c r="F11746" s="553">
        <v>992.48</v>
      </c>
      <c r="G11746" s="553">
        <v>40.270000000000003</v>
      </c>
      <c r="H11746" s="553">
        <v>97.68</v>
      </c>
      <c r="I11746" s="553">
        <v>393.64</v>
      </c>
      <c r="J11746" s="647">
        <v>685.04</v>
      </c>
    </row>
    <row r="11747" spans="2:10">
      <c r="B11747" s="1230" t="s">
        <v>457</v>
      </c>
      <c r="C11747" s="132" t="s">
        <v>2105</v>
      </c>
      <c r="D11747" s="255">
        <v>23009</v>
      </c>
      <c r="E11747" s="553">
        <v>48.26</v>
      </c>
      <c r="F11747" s="553">
        <v>618.58000000000004</v>
      </c>
      <c r="G11747" s="553">
        <v>29.29</v>
      </c>
      <c r="H11747" s="553">
        <v>60.87</v>
      </c>
      <c r="I11747" s="553">
        <v>203.94</v>
      </c>
      <c r="J11747" s="647">
        <v>483.68</v>
      </c>
    </row>
    <row r="11748" spans="2:10">
      <c r="B11748" s="1230" t="s">
        <v>457</v>
      </c>
      <c r="C11748" s="132" t="s">
        <v>2523</v>
      </c>
      <c r="D11748" s="255">
        <v>23011</v>
      </c>
      <c r="E11748" s="553">
        <v>176.8</v>
      </c>
      <c r="F11748" s="553">
        <v>2302.64</v>
      </c>
      <c r="G11748" s="553">
        <v>104.83</v>
      </c>
      <c r="H11748" s="553">
        <v>226.19</v>
      </c>
      <c r="I11748" s="553">
        <v>863.81</v>
      </c>
      <c r="J11748" s="647">
        <v>1101.08</v>
      </c>
    </row>
    <row r="11749" spans="2:10">
      <c r="B11749" s="1230" t="s">
        <v>457</v>
      </c>
      <c r="C11749" s="132" t="s">
        <v>2223</v>
      </c>
      <c r="D11749" s="255">
        <v>23013</v>
      </c>
      <c r="E11749" s="553">
        <v>127.69</v>
      </c>
      <c r="F11749" s="553">
        <v>1713.19</v>
      </c>
      <c r="G11749" s="553">
        <v>39.380000000000003</v>
      </c>
      <c r="H11749" s="553">
        <v>167.88</v>
      </c>
      <c r="I11749" s="553">
        <v>1351.88</v>
      </c>
      <c r="J11749" s="647">
        <v>730.19</v>
      </c>
    </row>
    <row r="11750" spans="2:10">
      <c r="B11750" s="1230" t="s">
        <v>457</v>
      </c>
      <c r="C11750" s="132" t="s">
        <v>1858</v>
      </c>
      <c r="D11750" s="255">
        <v>23015</v>
      </c>
      <c r="E11750" s="553">
        <v>158.91</v>
      </c>
      <c r="F11750" s="553">
        <v>2054.77</v>
      </c>
      <c r="G11750" s="553">
        <v>42.91</v>
      </c>
      <c r="H11750" s="553">
        <v>201.89</v>
      </c>
      <c r="I11750" s="553">
        <v>1961.35</v>
      </c>
      <c r="J11750" s="647">
        <v>840.68</v>
      </c>
    </row>
    <row r="11751" spans="2:10">
      <c r="B11751" s="1230" t="s">
        <v>457</v>
      </c>
      <c r="C11751" s="132" t="s">
        <v>2524</v>
      </c>
      <c r="D11751" s="255">
        <v>23017</v>
      </c>
      <c r="E11751" s="553">
        <v>123.26</v>
      </c>
      <c r="F11751" s="553">
        <v>1547.72</v>
      </c>
      <c r="G11751" s="553">
        <v>70.33</v>
      </c>
      <c r="H11751" s="553">
        <v>152.43</v>
      </c>
      <c r="I11751" s="553">
        <v>555.54</v>
      </c>
      <c r="J11751" s="647">
        <v>945.78</v>
      </c>
    </row>
    <row r="11752" spans="2:10">
      <c r="B11752" s="1230" t="s">
        <v>457</v>
      </c>
      <c r="C11752" s="132" t="s">
        <v>2525</v>
      </c>
      <c r="D11752" s="255">
        <v>23019</v>
      </c>
      <c r="E11752" s="553">
        <v>37.78</v>
      </c>
      <c r="F11752" s="553">
        <v>473.29</v>
      </c>
      <c r="G11752" s="553">
        <v>43.98</v>
      </c>
      <c r="H11752" s="553">
        <v>46.68</v>
      </c>
      <c r="I11752" s="553">
        <v>145.91</v>
      </c>
      <c r="J11752" s="647">
        <v>364.73</v>
      </c>
    </row>
    <row r="11753" spans="2:10">
      <c r="B11753" s="1230" t="s">
        <v>457</v>
      </c>
      <c r="C11753" s="132" t="s">
        <v>2526</v>
      </c>
      <c r="D11753" s="255">
        <v>23021</v>
      </c>
      <c r="E11753" s="553">
        <v>42.52</v>
      </c>
      <c r="F11753" s="553">
        <v>532.09</v>
      </c>
      <c r="G11753" s="553">
        <v>29.66</v>
      </c>
      <c r="H11753" s="553">
        <v>52.47</v>
      </c>
      <c r="I11753" s="553">
        <v>169.12</v>
      </c>
      <c r="J11753" s="647">
        <v>407.94</v>
      </c>
    </row>
    <row r="11754" spans="2:10">
      <c r="B11754" s="1230" t="s">
        <v>457</v>
      </c>
      <c r="C11754" s="132" t="s">
        <v>2527</v>
      </c>
      <c r="D11754" s="255">
        <v>23023</v>
      </c>
      <c r="E11754" s="553">
        <v>135.80000000000001</v>
      </c>
      <c r="F11754" s="553">
        <v>1649.48</v>
      </c>
      <c r="G11754" s="553">
        <v>50.27</v>
      </c>
      <c r="H11754" s="553">
        <v>162.77000000000001</v>
      </c>
      <c r="I11754" s="553">
        <v>1877.11</v>
      </c>
      <c r="J11754" s="647">
        <v>768.24</v>
      </c>
    </row>
    <row r="11755" spans="2:10">
      <c r="B11755" s="1230" t="s">
        <v>457</v>
      </c>
      <c r="C11755" s="132" t="s">
        <v>2528</v>
      </c>
      <c r="D11755" s="255">
        <v>23025</v>
      </c>
      <c r="E11755" s="553">
        <v>50.4</v>
      </c>
      <c r="F11755" s="553">
        <v>628.1</v>
      </c>
      <c r="G11755" s="553">
        <v>29.94</v>
      </c>
      <c r="H11755" s="553">
        <v>61.88</v>
      </c>
      <c r="I11755" s="553">
        <v>219.44</v>
      </c>
      <c r="J11755" s="647">
        <v>464.79</v>
      </c>
    </row>
    <row r="11756" spans="2:10">
      <c r="B11756" s="1230" t="s">
        <v>457</v>
      </c>
      <c r="C11756" s="132" t="s">
        <v>2529</v>
      </c>
      <c r="D11756" s="255">
        <v>23027</v>
      </c>
      <c r="E11756" s="553">
        <v>89.16</v>
      </c>
      <c r="F11756" s="553">
        <v>1136.82</v>
      </c>
      <c r="G11756" s="553">
        <v>34.340000000000003</v>
      </c>
      <c r="H11756" s="553">
        <v>111.88</v>
      </c>
      <c r="I11756" s="553">
        <v>311.05</v>
      </c>
      <c r="J11756" s="647">
        <v>659.34</v>
      </c>
    </row>
    <row r="11757" spans="2:10">
      <c r="B11757" s="1230" t="s">
        <v>457</v>
      </c>
      <c r="C11757" s="132" t="s">
        <v>487</v>
      </c>
      <c r="D11757" s="255">
        <v>23029</v>
      </c>
      <c r="E11757" s="553">
        <v>32.590000000000003</v>
      </c>
      <c r="F11757" s="553">
        <v>429.35</v>
      </c>
      <c r="G11757" s="553">
        <v>15.39</v>
      </c>
      <c r="H11757" s="553">
        <v>42.13</v>
      </c>
      <c r="I11757" s="553">
        <v>67.2</v>
      </c>
      <c r="J11757" s="647">
        <v>394.16</v>
      </c>
    </row>
    <row r="11758" spans="2:10">
      <c r="B11758" s="1230" t="s">
        <v>457</v>
      </c>
      <c r="C11758" s="132" t="s">
        <v>2530</v>
      </c>
      <c r="D11758" s="255">
        <v>23031</v>
      </c>
      <c r="E11758" s="553">
        <v>259.37</v>
      </c>
      <c r="F11758" s="553">
        <v>3076.3</v>
      </c>
      <c r="G11758" s="553">
        <v>63.31</v>
      </c>
      <c r="H11758" s="553">
        <v>304.25</v>
      </c>
      <c r="I11758" s="553">
        <v>1360.2</v>
      </c>
      <c r="J11758" s="647">
        <v>1502.39</v>
      </c>
    </row>
    <row r="11759" spans="2:10">
      <c r="B11759" s="1230" t="s">
        <v>458</v>
      </c>
      <c r="C11759" s="132" t="s">
        <v>2531</v>
      </c>
      <c r="D11759" s="255">
        <v>24001</v>
      </c>
      <c r="E11759" s="553">
        <v>362.77</v>
      </c>
      <c r="F11759" s="553">
        <v>4628.76</v>
      </c>
      <c r="G11759" s="553">
        <v>206.69</v>
      </c>
      <c r="H11759" s="553">
        <v>454.93</v>
      </c>
      <c r="I11759" s="553">
        <v>4753.9799999999996</v>
      </c>
      <c r="J11759" s="647">
        <v>2468.59</v>
      </c>
    </row>
    <row r="11760" spans="2:10">
      <c r="B11760" s="1230" t="s">
        <v>458</v>
      </c>
      <c r="C11760" s="132" t="s">
        <v>2532</v>
      </c>
      <c r="D11760" s="255">
        <v>24003</v>
      </c>
      <c r="E11760" s="553">
        <v>1505.33</v>
      </c>
      <c r="F11760" s="553">
        <v>15389.21</v>
      </c>
      <c r="G11760" s="553">
        <v>239.74</v>
      </c>
      <c r="H11760" s="553">
        <v>1539.55</v>
      </c>
      <c r="I11760" s="553">
        <v>27629.65</v>
      </c>
      <c r="J11760" s="647">
        <v>4414.57</v>
      </c>
    </row>
    <row r="11761" spans="2:10">
      <c r="B11761" s="1230" t="s">
        <v>458</v>
      </c>
      <c r="C11761" s="132" t="s">
        <v>2533</v>
      </c>
      <c r="D11761" s="255">
        <v>24005</v>
      </c>
      <c r="E11761" s="553">
        <v>1642.2</v>
      </c>
      <c r="F11761" s="553">
        <v>19387.12</v>
      </c>
      <c r="G11761" s="553">
        <v>290.25</v>
      </c>
      <c r="H11761" s="553">
        <v>1917.09</v>
      </c>
      <c r="I11761" s="553">
        <v>34626.449999999997</v>
      </c>
      <c r="J11761" s="647">
        <v>5774.27</v>
      </c>
    </row>
    <row r="11762" spans="2:10">
      <c r="B11762" s="1230" t="s">
        <v>458</v>
      </c>
      <c r="C11762" s="132" t="s">
        <v>2534</v>
      </c>
      <c r="D11762" s="255">
        <v>24009</v>
      </c>
      <c r="E11762" s="553">
        <v>461.64</v>
      </c>
      <c r="F11762" s="553">
        <v>5213.08</v>
      </c>
      <c r="G11762" s="553">
        <v>218.22</v>
      </c>
      <c r="H11762" s="553">
        <v>517.16999999999996</v>
      </c>
      <c r="I11762" s="553">
        <v>7032.9</v>
      </c>
      <c r="J11762" s="647">
        <v>2508.13</v>
      </c>
    </row>
    <row r="11763" spans="2:10">
      <c r="B11763" s="1230" t="s">
        <v>458</v>
      </c>
      <c r="C11763" s="132" t="s">
        <v>2535</v>
      </c>
      <c r="D11763" s="255">
        <v>24011</v>
      </c>
      <c r="E11763" s="553">
        <v>548.72</v>
      </c>
      <c r="F11763" s="553">
        <v>6600.49</v>
      </c>
      <c r="G11763" s="553">
        <v>427.61</v>
      </c>
      <c r="H11763" s="553">
        <v>651.61</v>
      </c>
      <c r="I11763" s="553">
        <v>4768.01</v>
      </c>
      <c r="J11763" s="647">
        <v>3831.88</v>
      </c>
    </row>
    <row r="11764" spans="2:10">
      <c r="B11764" s="1230" t="s">
        <v>458</v>
      </c>
      <c r="C11764" s="132" t="s">
        <v>1835</v>
      </c>
      <c r="D11764" s="255">
        <v>24013</v>
      </c>
      <c r="E11764" s="553">
        <v>952.73</v>
      </c>
      <c r="F11764" s="553">
        <v>10941.72</v>
      </c>
      <c r="G11764" s="553">
        <v>394.64</v>
      </c>
      <c r="H11764" s="553">
        <v>1084.1400000000001</v>
      </c>
      <c r="I11764" s="553">
        <v>13727.03</v>
      </c>
      <c r="J11764" s="647">
        <v>4071.11</v>
      </c>
    </row>
    <row r="11765" spans="2:10">
      <c r="B11765" s="1230" t="s">
        <v>458</v>
      </c>
      <c r="C11765" s="132" t="s">
        <v>2536</v>
      </c>
      <c r="D11765" s="255">
        <v>24015</v>
      </c>
      <c r="E11765" s="553">
        <v>1034.33</v>
      </c>
      <c r="F11765" s="553">
        <v>12180.26</v>
      </c>
      <c r="G11765" s="553">
        <v>323.39999999999998</v>
      </c>
      <c r="H11765" s="553">
        <v>1204.5899999999999</v>
      </c>
      <c r="I11765" s="553">
        <v>17677.2</v>
      </c>
      <c r="J11765" s="647">
        <v>4088.8</v>
      </c>
    </row>
    <row r="11766" spans="2:10">
      <c r="B11766" s="1230" t="s">
        <v>458</v>
      </c>
      <c r="C11766" s="132" t="s">
        <v>2537</v>
      </c>
      <c r="D11766" s="255">
        <v>24017</v>
      </c>
      <c r="E11766" s="553">
        <v>646.61</v>
      </c>
      <c r="F11766" s="553">
        <v>6962.63</v>
      </c>
      <c r="G11766" s="553">
        <v>195.85</v>
      </c>
      <c r="H11766" s="553">
        <v>693.41</v>
      </c>
      <c r="I11766" s="553">
        <v>8619.9500000000007</v>
      </c>
      <c r="J11766" s="647">
        <v>2967.55</v>
      </c>
    </row>
    <row r="11767" spans="2:10">
      <c r="B11767" s="1230" t="s">
        <v>458</v>
      </c>
      <c r="C11767" s="132" t="s">
        <v>2538</v>
      </c>
      <c r="D11767" s="255">
        <v>24019</v>
      </c>
      <c r="E11767" s="553">
        <v>420.32</v>
      </c>
      <c r="F11767" s="553">
        <v>5126.1499999999996</v>
      </c>
      <c r="G11767" s="553">
        <v>368.03</v>
      </c>
      <c r="H11767" s="553">
        <v>505.54</v>
      </c>
      <c r="I11767" s="553">
        <v>3756.18</v>
      </c>
      <c r="J11767" s="647">
        <v>3347.12</v>
      </c>
    </row>
    <row r="11768" spans="2:10">
      <c r="B11768" s="1230" t="s">
        <v>458</v>
      </c>
      <c r="C11768" s="132" t="s">
        <v>2539</v>
      </c>
      <c r="D11768" s="255">
        <v>24021</v>
      </c>
      <c r="E11768" s="553">
        <v>1258.28</v>
      </c>
      <c r="F11768" s="553">
        <v>14374.9</v>
      </c>
      <c r="G11768" s="553">
        <v>397.71</v>
      </c>
      <c r="H11768" s="553">
        <v>1424.81</v>
      </c>
      <c r="I11768" s="553">
        <v>20159.22</v>
      </c>
      <c r="J11768" s="647">
        <v>4913.3500000000004</v>
      </c>
    </row>
    <row r="11769" spans="2:10">
      <c r="B11769" s="1230" t="s">
        <v>458</v>
      </c>
      <c r="C11769" s="132" t="s">
        <v>2540</v>
      </c>
      <c r="D11769" s="255">
        <v>24023</v>
      </c>
      <c r="E11769" s="553">
        <v>329.17</v>
      </c>
      <c r="F11769" s="553">
        <v>4140.08</v>
      </c>
      <c r="G11769" s="553">
        <v>209.39</v>
      </c>
      <c r="H11769" s="553">
        <v>407.41</v>
      </c>
      <c r="I11769" s="553">
        <v>4541.03</v>
      </c>
      <c r="J11769" s="647">
        <v>2476.06</v>
      </c>
    </row>
    <row r="11770" spans="2:10">
      <c r="B11770" s="1230" t="s">
        <v>458</v>
      </c>
      <c r="C11770" s="132" t="s">
        <v>2541</v>
      </c>
      <c r="D11770" s="255">
        <v>24025</v>
      </c>
      <c r="E11770" s="553">
        <v>1191.53</v>
      </c>
      <c r="F11770" s="553">
        <v>14706.1</v>
      </c>
      <c r="G11770" s="553">
        <v>277.87</v>
      </c>
      <c r="H11770" s="553">
        <v>1449.32</v>
      </c>
      <c r="I11770" s="553">
        <v>25618.98</v>
      </c>
      <c r="J11770" s="647">
        <v>4549.8100000000004</v>
      </c>
    </row>
    <row r="11771" spans="2:10">
      <c r="B11771" s="1230" t="s">
        <v>458</v>
      </c>
      <c r="C11771" s="132" t="s">
        <v>1853</v>
      </c>
      <c r="D11771" s="255">
        <v>24027</v>
      </c>
      <c r="E11771" s="553">
        <v>2701.05</v>
      </c>
      <c r="F11771" s="553">
        <v>30127.26</v>
      </c>
      <c r="G11771" s="553">
        <v>203.05</v>
      </c>
      <c r="H11771" s="553">
        <v>2992.13</v>
      </c>
      <c r="I11771" s="553">
        <v>56488.63</v>
      </c>
      <c r="J11771" s="647">
        <v>7194.1</v>
      </c>
    </row>
    <row r="11772" spans="2:10">
      <c r="B11772" s="1230" t="s">
        <v>458</v>
      </c>
      <c r="C11772" s="132" t="s">
        <v>2002</v>
      </c>
      <c r="D11772" s="255">
        <v>24029</v>
      </c>
      <c r="E11772" s="553">
        <v>644.9</v>
      </c>
      <c r="F11772" s="553">
        <v>7628.28</v>
      </c>
      <c r="G11772" s="553">
        <v>366.35</v>
      </c>
      <c r="H11772" s="553">
        <v>754.06</v>
      </c>
      <c r="I11772" s="553">
        <v>7504.16</v>
      </c>
      <c r="J11772" s="647">
        <v>3358.13</v>
      </c>
    </row>
    <row r="11773" spans="2:10">
      <c r="B11773" s="1230" t="s">
        <v>458</v>
      </c>
      <c r="C11773" s="132" t="s">
        <v>1769</v>
      </c>
      <c r="D11773" s="255">
        <v>24031</v>
      </c>
      <c r="E11773" s="553">
        <v>2762.48</v>
      </c>
      <c r="F11773" s="553">
        <v>30283.41</v>
      </c>
      <c r="G11773" s="553">
        <v>257.89</v>
      </c>
      <c r="H11773" s="553">
        <v>3010.97</v>
      </c>
      <c r="I11773" s="553">
        <v>56747.92</v>
      </c>
      <c r="J11773" s="647">
        <v>7508.49</v>
      </c>
    </row>
    <row r="11774" spans="2:10">
      <c r="B11774" s="1230" t="s">
        <v>458</v>
      </c>
      <c r="C11774" s="132" t="s">
        <v>2542</v>
      </c>
      <c r="D11774" s="255">
        <v>24033</v>
      </c>
      <c r="E11774" s="553">
        <v>2841.08</v>
      </c>
      <c r="F11774" s="553">
        <v>29847.16</v>
      </c>
      <c r="G11774" s="553">
        <v>219.48</v>
      </c>
      <c r="H11774" s="553">
        <v>2978.32</v>
      </c>
      <c r="I11774" s="553">
        <v>56351.42</v>
      </c>
      <c r="J11774" s="647">
        <v>7229.38</v>
      </c>
    </row>
    <row r="11775" spans="2:10">
      <c r="B11775" s="1230" t="s">
        <v>458</v>
      </c>
      <c r="C11775" s="132" t="s">
        <v>2543</v>
      </c>
      <c r="D11775" s="255">
        <v>24035</v>
      </c>
      <c r="E11775" s="553">
        <v>465.71</v>
      </c>
      <c r="F11775" s="553">
        <v>5543.86</v>
      </c>
      <c r="G11775" s="553">
        <v>326.02</v>
      </c>
      <c r="H11775" s="553">
        <v>547.69000000000005</v>
      </c>
      <c r="I11775" s="553">
        <v>5072.2700000000004</v>
      </c>
      <c r="J11775" s="647">
        <v>2778.8</v>
      </c>
    </row>
    <row r="11776" spans="2:10">
      <c r="B11776" s="1230" t="s">
        <v>458</v>
      </c>
      <c r="C11776" s="132" t="s">
        <v>2544</v>
      </c>
      <c r="D11776" s="255">
        <v>24037</v>
      </c>
      <c r="E11776" s="553">
        <v>413.21</v>
      </c>
      <c r="F11776" s="553">
        <v>4752.1400000000003</v>
      </c>
      <c r="G11776" s="553">
        <v>185.91</v>
      </c>
      <c r="H11776" s="553">
        <v>470.82</v>
      </c>
      <c r="I11776" s="553">
        <v>5021.7700000000004</v>
      </c>
      <c r="J11776" s="647">
        <v>2368.94</v>
      </c>
    </row>
    <row r="11777" spans="2:10">
      <c r="B11777" s="1230" t="s">
        <v>458</v>
      </c>
      <c r="C11777" s="132" t="s">
        <v>2528</v>
      </c>
      <c r="D11777" s="255">
        <v>24039</v>
      </c>
      <c r="E11777" s="553">
        <v>284.24</v>
      </c>
      <c r="F11777" s="553">
        <v>3403.61</v>
      </c>
      <c r="G11777" s="553">
        <v>266.8</v>
      </c>
      <c r="H11777" s="553">
        <v>336.17</v>
      </c>
      <c r="I11777" s="553">
        <v>2187.81</v>
      </c>
      <c r="J11777" s="647">
        <v>2572.31</v>
      </c>
    </row>
    <row r="11778" spans="2:10">
      <c r="B11778" s="1230" t="s">
        <v>458</v>
      </c>
      <c r="C11778" s="132" t="s">
        <v>2139</v>
      </c>
      <c r="D11778" s="255">
        <v>24041</v>
      </c>
      <c r="E11778" s="553">
        <v>391.9</v>
      </c>
      <c r="F11778" s="553">
        <v>4833.43</v>
      </c>
      <c r="G11778" s="553">
        <v>331.91</v>
      </c>
      <c r="H11778" s="553">
        <v>476.2</v>
      </c>
      <c r="I11778" s="553">
        <v>4136.0600000000004</v>
      </c>
      <c r="J11778" s="647">
        <v>2611.92</v>
      </c>
    </row>
    <row r="11779" spans="2:10">
      <c r="B11779" s="1230" t="s">
        <v>458</v>
      </c>
      <c r="C11779" s="132" t="s">
        <v>487</v>
      </c>
      <c r="D11779" s="255">
        <v>24043</v>
      </c>
      <c r="E11779" s="553">
        <v>799.99</v>
      </c>
      <c r="F11779" s="553">
        <v>9367.16</v>
      </c>
      <c r="G11779" s="553">
        <v>416.57</v>
      </c>
      <c r="H11779" s="553">
        <v>926.62</v>
      </c>
      <c r="I11779" s="553">
        <v>9207.81</v>
      </c>
      <c r="J11779" s="647">
        <v>3786.68</v>
      </c>
    </row>
    <row r="11780" spans="2:10">
      <c r="B11780" s="1230" t="s">
        <v>458</v>
      </c>
      <c r="C11780" s="132" t="s">
        <v>2545</v>
      </c>
      <c r="D11780" s="255">
        <v>24045</v>
      </c>
      <c r="E11780" s="553">
        <v>360.32</v>
      </c>
      <c r="F11780" s="553">
        <v>4393.5</v>
      </c>
      <c r="G11780" s="553">
        <v>337.83</v>
      </c>
      <c r="H11780" s="553">
        <v>433.28</v>
      </c>
      <c r="I11780" s="553">
        <v>2541.34</v>
      </c>
      <c r="J11780" s="647">
        <v>2938.95</v>
      </c>
    </row>
    <row r="11781" spans="2:10">
      <c r="B11781" s="1230" t="s">
        <v>458</v>
      </c>
      <c r="C11781" s="132" t="s">
        <v>2546</v>
      </c>
      <c r="D11781" s="255">
        <v>24047</v>
      </c>
      <c r="E11781" s="553">
        <v>313.42</v>
      </c>
      <c r="F11781" s="553">
        <v>3876.21</v>
      </c>
      <c r="G11781" s="553">
        <v>313.06</v>
      </c>
      <c r="H11781" s="553">
        <v>381.92</v>
      </c>
      <c r="I11781" s="553">
        <v>1868.56</v>
      </c>
      <c r="J11781" s="647">
        <v>2681.12</v>
      </c>
    </row>
    <row r="11782" spans="2:10">
      <c r="B11782" s="1230" t="s">
        <v>458</v>
      </c>
      <c r="C11782" s="132" t="s">
        <v>2547</v>
      </c>
      <c r="D11782" s="255">
        <v>24510</v>
      </c>
      <c r="E11782" s="553">
        <v>2235.6799999999998</v>
      </c>
      <c r="F11782" s="553">
        <v>26403.19</v>
      </c>
      <c r="G11782" s="553">
        <v>155.94999999999999</v>
      </c>
      <c r="H11782" s="553">
        <v>2611.12</v>
      </c>
      <c r="I11782" s="553">
        <v>48640.73</v>
      </c>
      <c r="J11782" s="647">
        <v>6722.75</v>
      </c>
    </row>
    <row r="11783" spans="2:10">
      <c r="B11783" s="1230" t="s">
        <v>459</v>
      </c>
      <c r="C11783" s="132" t="s">
        <v>2548</v>
      </c>
      <c r="D11783" s="255">
        <v>25001</v>
      </c>
      <c r="E11783" s="553">
        <v>252.38</v>
      </c>
      <c r="F11783" s="553">
        <v>3548.49</v>
      </c>
      <c r="G11783" s="553">
        <v>53.75</v>
      </c>
      <c r="H11783" s="553">
        <v>346.42</v>
      </c>
      <c r="I11783" s="553">
        <v>1005.35</v>
      </c>
      <c r="J11783" s="647">
        <v>1480.13</v>
      </c>
    </row>
    <row r="11784" spans="2:10">
      <c r="B11784" s="1230" t="s">
        <v>459</v>
      </c>
      <c r="C11784" s="132" t="s">
        <v>2549</v>
      </c>
      <c r="D11784" s="255">
        <v>25003</v>
      </c>
      <c r="E11784" s="553">
        <v>465.53</v>
      </c>
      <c r="F11784" s="553">
        <v>5658.72</v>
      </c>
      <c r="G11784" s="553">
        <v>104.34</v>
      </c>
      <c r="H11784" s="553">
        <v>558.6</v>
      </c>
      <c r="I11784" s="553">
        <v>9745.7000000000007</v>
      </c>
      <c r="J11784" s="647">
        <v>2079.5100000000002</v>
      </c>
    </row>
    <row r="11785" spans="2:10">
      <c r="B11785" s="1230" t="s">
        <v>459</v>
      </c>
      <c r="C11785" s="132" t="s">
        <v>2550</v>
      </c>
      <c r="D11785" s="255">
        <v>25005</v>
      </c>
      <c r="E11785" s="553">
        <v>871.8</v>
      </c>
      <c r="F11785" s="553">
        <v>10381.75</v>
      </c>
      <c r="G11785" s="553">
        <v>58.36</v>
      </c>
      <c r="H11785" s="553">
        <v>1026.18</v>
      </c>
      <c r="I11785" s="553">
        <v>16662.54</v>
      </c>
      <c r="J11785" s="647">
        <v>2994.87</v>
      </c>
    </row>
    <row r="11786" spans="2:10">
      <c r="B11786" s="1230" t="s">
        <v>459</v>
      </c>
      <c r="C11786" s="132" t="s">
        <v>2551</v>
      </c>
      <c r="D11786" s="255">
        <v>25007</v>
      </c>
      <c r="E11786" s="553">
        <v>197.51</v>
      </c>
      <c r="F11786" s="553">
        <v>2262.65</v>
      </c>
      <c r="G11786" s="553">
        <v>52.74</v>
      </c>
      <c r="H11786" s="553">
        <v>224.32</v>
      </c>
      <c r="I11786" s="553">
        <v>1846.99</v>
      </c>
      <c r="J11786" s="647">
        <v>1223.52</v>
      </c>
    </row>
    <row r="11787" spans="2:10">
      <c r="B11787" s="1230" t="s">
        <v>459</v>
      </c>
      <c r="C11787" s="132" t="s">
        <v>2552</v>
      </c>
      <c r="D11787" s="255">
        <v>25009</v>
      </c>
      <c r="E11787" s="553">
        <v>747.19</v>
      </c>
      <c r="F11787" s="553">
        <v>8941.84</v>
      </c>
      <c r="G11787" s="553">
        <v>2.83</v>
      </c>
      <c r="H11787" s="553">
        <v>883.73</v>
      </c>
      <c r="I11787" s="553">
        <v>15817.64</v>
      </c>
      <c r="J11787" s="647">
        <v>2457.64</v>
      </c>
    </row>
    <row r="11788" spans="2:10">
      <c r="B11788" s="1230" t="s">
        <v>459</v>
      </c>
      <c r="C11788" s="132" t="s">
        <v>1748</v>
      </c>
      <c r="D11788" s="255">
        <v>25011</v>
      </c>
      <c r="E11788" s="553">
        <v>604.12</v>
      </c>
      <c r="F11788" s="553">
        <v>7042.76</v>
      </c>
      <c r="G11788" s="553">
        <v>75.040000000000006</v>
      </c>
      <c r="H11788" s="553">
        <v>697.27</v>
      </c>
      <c r="I11788" s="553">
        <v>12708.16</v>
      </c>
      <c r="J11788" s="647">
        <v>2249.44</v>
      </c>
    </row>
    <row r="11789" spans="2:10">
      <c r="B11789" s="1230" t="s">
        <v>459</v>
      </c>
      <c r="C11789" s="132" t="s">
        <v>2553</v>
      </c>
      <c r="D11789" s="255">
        <v>25013</v>
      </c>
      <c r="E11789" s="553">
        <v>660.23</v>
      </c>
      <c r="F11789" s="553">
        <v>7768.98</v>
      </c>
      <c r="G11789" s="553">
        <v>66.959999999999994</v>
      </c>
      <c r="H11789" s="553">
        <v>768.6</v>
      </c>
      <c r="I11789" s="553">
        <v>14322.81</v>
      </c>
      <c r="J11789" s="647">
        <v>2379.79</v>
      </c>
    </row>
    <row r="11790" spans="2:10">
      <c r="B11790" s="1230" t="s">
        <v>459</v>
      </c>
      <c r="C11790" s="132" t="s">
        <v>2554</v>
      </c>
      <c r="D11790" s="255">
        <v>25015</v>
      </c>
      <c r="E11790" s="553">
        <v>704.12</v>
      </c>
      <c r="F11790" s="553">
        <v>8238.9500000000007</v>
      </c>
      <c r="G11790" s="553">
        <v>56.31</v>
      </c>
      <c r="H11790" s="553">
        <v>815.39</v>
      </c>
      <c r="I11790" s="553">
        <v>15259.87</v>
      </c>
      <c r="J11790" s="647">
        <v>2432.7199999999998</v>
      </c>
    </row>
    <row r="11791" spans="2:10">
      <c r="B11791" s="1230" t="s">
        <v>459</v>
      </c>
      <c r="C11791" s="132" t="s">
        <v>1997</v>
      </c>
      <c r="D11791" s="255">
        <v>25017</v>
      </c>
      <c r="E11791" s="553">
        <v>1766.93</v>
      </c>
      <c r="F11791" s="553">
        <v>19926.669999999998</v>
      </c>
      <c r="G11791" s="553">
        <v>106.1</v>
      </c>
      <c r="H11791" s="553">
        <v>1978.44</v>
      </c>
      <c r="I11791" s="553">
        <v>33635.83</v>
      </c>
      <c r="J11791" s="647">
        <v>5636.5</v>
      </c>
    </row>
    <row r="11792" spans="2:10">
      <c r="B11792" s="1230" t="s">
        <v>459</v>
      </c>
      <c r="C11792" s="132" t="s">
        <v>2555</v>
      </c>
      <c r="D11792" s="255">
        <v>25019</v>
      </c>
      <c r="E11792" s="553">
        <v>121.1</v>
      </c>
      <c r="F11792" s="553">
        <v>1332.18</v>
      </c>
      <c r="G11792" s="553">
        <v>38.29</v>
      </c>
      <c r="H11792" s="553">
        <v>132.53</v>
      </c>
      <c r="I11792" s="553">
        <v>819.07</v>
      </c>
      <c r="J11792" s="647">
        <v>885.51</v>
      </c>
    </row>
    <row r="11793" spans="2:10">
      <c r="B11793" s="1230" t="s">
        <v>459</v>
      </c>
      <c r="C11793" s="132" t="s">
        <v>2556</v>
      </c>
      <c r="D11793" s="255">
        <v>25021</v>
      </c>
      <c r="E11793" s="553">
        <v>1317.45</v>
      </c>
      <c r="F11793" s="553">
        <v>14484.58</v>
      </c>
      <c r="G11793" s="553">
        <v>80.209999999999994</v>
      </c>
      <c r="H11793" s="553">
        <v>1441.26</v>
      </c>
      <c r="I11793" s="553">
        <v>26898.51</v>
      </c>
      <c r="J11793" s="647">
        <v>3611.01</v>
      </c>
    </row>
    <row r="11794" spans="2:10">
      <c r="B11794" s="1230" t="s">
        <v>459</v>
      </c>
      <c r="C11794" s="132" t="s">
        <v>2322</v>
      </c>
      <c r="D11794" s="255">
        <v>25023</v>
      </c>
      <c r="E11794" s="553">
        <v>1008.45</v>
      </c>
      <c r="F11794" s="553">
        <v>11829.08</v>
      </c>
      <c r="G11794" s="553">
        <v>82.28</v>
      </c>
      <c r="H11794" s="553">
        <v>1170.43</v>
      </c>
      <c r="I11794" s="553">
        <v>19133.95</v>
      </c>
      <c r="J11794" s="647">
        <v>3332.89</v>
      </c>
    </row>
    <row r="11795" spans="2:10">
      <c r="B11795" s="1230" t="s">
        <v>459</v>
      </c>
      <c r="C11795" s="132" t="s">
        <v>2557</v>
      </c>
      <c r="D11795" s="255">
        <v>25025</v>
      </c>
      <c r="E11795" s="553">
        <v>1544.1</v>
      </c>
      <c r="F11795" s="553">
        <v>16035.55</v>
      </c>
      <c r="G11795" s="553">
        <v>-29.16</v>
      </c>
      <c r="H11795" s="553">
        <v>1603.7</v>
      </c>
      <c r="I11795" s="553">
        <v>33969.339999999997</v>
      </c>
      <c r="J11795" s="647">
        <v>3568</v>
      </c>
    </row>
    <row r="11796" spans="2:10">
      <c r="B11796" s="1230" t="s">
        <v>459</v>
      </c>
      <c r="C11796" s="132" t="s">
        <v>2546</v>
      </c>
      <c r="D11796" s="255">
        <v>25027</v>
      </c>
      <c r="E11796" s="553">
        <v>1363.8</v>
      </c>
      <c r="F11796" s="553">
        <v>15876.51</v>
      </c>
      <c r="G11796" s="553">
        <v>44.92</v>
      </c>
      <c r="H11796" s="553">
        <v>1572.2</v>
      </c>
      <c r="I11796" s="553">
        <v>29591.47</v>
      </c>
      <c r="J11796" s="647">
        <v>5219.87</v>
      </c>
    </row>
    <row r="11797" spans="2:10">
      <c r="B11797" s="1230" t="s">
        <v>460</v>
      </c>
      <c r="C11797" s="132" t="s">
        <v>2558</v>
      </c>
      <c r="D11797" s="255">
        <v>26001</v>
      </c>
      <c r="E11797" s="553">
        <v>139.88</v>
      </c>
      <c r="F11797" s="553">
        <v>1835.18</v>
      </c>
      <c r="G11797" s="553">
        <v>224.09</v>
      </c>
      <c r="H11797" s="553">
        <v>180.1</v>
      </c>
      <c r="I11797" s="553">
        <v>3073.96</v>
      </c>
      <c r="J11797" s="647">
        <v>1430.23</v>
      </c>
    </row>
    <row r="11798" spans="2:10">
      <c r="B11798" s="1230" t="s">
        <v>460</v>
      </c>
      <c r="C11798" s="132" t="s">
        <v>2559</v>
      </c>
      <c r="D11798" s="255">
        <v>26003</v>
      </c>
      <c r="E11798" s="553">
        <v>109.07</v>
      </c>
      <c r="F11798" s="553">
        <v>1316.24</v>
      </c>
      <c r="G11798" s="553">
        <v>200.41</v>
      </c>
      <c r="H11798" s="553">
        <v>130.02000000000001</v>
      </c>
      <c r="I11798" s="553">
        <v>1352.08</v>
      </c>
      <c r="J11798" s="647">
        <v>1405.55</v>
      </c>
    </row>
    <row r="11799" spans="2:10">
      <c r="B11799" s="1230" t="s">
        <v>460</v>
      </c>
      <c r="C11799" s="132" t="s">
        <v>2560</v>
      </c>
      <c r="D11799" s="255">
        <v>26005</v>
      </c>
      <c r="E11799" s="553">
        <v>476.62</v>
      </c>
      <c r="F11799" s="553">
        <v>5823.53</v>
      </c>
      <c r="G11799" s="553">
        <v>793.71</v>
      </c>
      <c r="H11799" s="553">
        <v>574.61</v>
      </c>
      <c r="I11799" s="553">
        <v>2688.05</v>
      </c>
      <c r="J11799" s="647">
        <v>3266.28</v>
      </c>
    </row>
    <row r="11800" spans="2:10">
      <c r="B11800" s="1230" t="s">
        <v>460</v>
      </c>
      <c r="C11800" s="132" t="s">
        <v>2561</v>
      </c>
      <c r="D11800" s="255">
        <v>26007</v>
      </c>
      <c r="E11800" s="553">
        <v>148.69999999999999</v>
      </c>
      <c r="F11800" s="553">
        <v>1879.83</v>
      </c>
      <c r="G11800" s="553">
        <v>248.83</v>
      </c>
      <c r="H11800" s="553">
        <v>185.05</v>
      </c>
      <c r="I11800" s="553">
        <v>2376.5700000000002</v>
      </c>
      <c r="J11800" s="647">
        <v>1610.45</v>
      </c>
    </row>
    <row r="11801" spans="2:10">
      <c r="B11801" s="1230" t="s">
        <v>460</v>
      </c>
      <c r="C11801" s="132" t="s">
        <v>2562</v>
      </c>
      <c r="D11801" s="255">
        <v>26009</v>
      </c>
      <c r="E11801" s="553">
        <v>192.63</v>
      </c>
      <c r="F11801" s="553">
        <v>2420.42</v>
      </c>
      <c r="G11801" s="553">
        <v>258.52</v>
      </c>
      <c r="H11801" s="553">
        <v>238.23</v>
      </c>
      <c r="I11801" s="553">
        <v>3750.92</v>
      </c>
      <c r="J11801" s="647">
        <v>1760.84</v>
      </c>
    </row>
    <row r="11802" spans="2:10">
      <c r="B11802" s="1230" t="s">
        <v>460</v>
      </c>
      <c r="C11802" s="132" t="s">
        <v>2563</v>
      </c>
      <c r="D11802" s="255">
        <v>26011</v>
      </c>
      <c r="E11802" s="553">
        <v>158.41999999999999</v>
      </c>
      <c r="F11802" s="553">
        <v>1995.78</v>
      </c>
      <c r="G11802" s="553">
        <v>565.27</v>
      </c>
      <c r="H11802" s="553">
        <v>196.45</v>
      </c>
      <c r="I11802" s="553">
        <v>3214.02</v>
      </c>
      <c r="J11802" s="647">
        <v>1544.64</v>
      </c>
    </row>
    <row r="11803" spans="2:10">
      <c r="B11803" s="1230" t="s">
        <v>460</v>
      </c>
      <c r="C11803" s="132" t="s">
        <v>2564</v>
      </c>
      <c r="D11803" s="255">
        <v>26013</v>
      </c>
      <c r="E11803" s="553">
        <v>103.46</v>
      </c>
      <c r="F11803" s="553">
        <v>1279.3800000000001</v>
      </c>
      <c r="G11803" s="553">
        <v>252.88</v>
      </c>
      <c r="H11803" s="553">
        <v>126.09</v>
      </c>
      <c r="I11803" s="553">
        <v>2736.16</v>
      </c>
      <c r="J11803" s="647">
        <v>1159.8900000000001</v>
      </c>
    </row>
    <row r="11804" spans="2:10">
      <c r="B11804" s="1230" t="s">
        <v>460</v>
      </c>
      <c r="C11804" s="132" t="s">
        <v>2565</v>
      </c>
      <c r="D11804" s="255">
        <v>26015</v>
      </c>
      <c r="E11804" s="553">
        <v>331.85</v>
      </c>
      <c r="F11804" s="553">
        <v>4052.03</v>
      </c>
      <c r="G11804" s="553">
        <v>564.87</v>
      </c>
      <c r="H11804" s="553">
        <v>399.85</v>
      </c>
      <c r="I11804" s="553">
        <v>2906.2</v>
      </c>
      <c r="J11804" s="647">
        <v>2567.96</v>
      </c>
    </row>
    <row r="11805" spans="2:10">
      <c r="B11805" s="1230" t="s">
        <v>460</v>
      </c>
      <c r="C11805" s="132" t="s">
        <v>2007</v>
      </c>
      <c r="D11805" s="255">
        <v>26017</v>
      </c>
      <c r="E11805" s="553">
        <v>315.48</v>
      </c>
      <c r="F11805" s="553">
        <v>4028.31</v>
      </c>
      <c r="G11805" s="553">
        <v>511.62</v>
      </c>
      <c r="H11805" s="553">
        <v>396.16</v>
      </c>
      <c r="I11805" s="553">
        <v>6015.33</v>
      </c>
      <c r="J11805" s="647">
        <v>2061.63</v>
      </c>
    </row>
    <row r="11806" spans="2:10">
      <c r="B11806" s="1230" t="s">
        <v>460</v>
      </c>
      <c r="C11806" s="132" t="s">
        <v>2566</v>
      </c>
      <c r="D11806" s="255">
        <v>26019</v>
      </c>
      <c r="E11806" s="553">
        <v>159.58000000000001</v>
      </c>
      <c r="F11806" s="553">
        <v>1977.28</v>
      </c>
      <c r="G11806" s="553">
        <v>306.32</v>
      </c>
      <c r="H11806" s="553">
        <v>194.82</v>
      </c>
      <c r="I11806" s="553">
        <v>3710.19</v>
      </c>
      <c r="J11806" s="647">
        <v>1538.91</v>
      </c>
    </row>
    <row r="11807" spans="2:10">
      <c r="B11807" s="1230" t="s">
        <v>460</v>
      </c>
      <c r="C11807" s="132" t="s">
        <v>2061</v>
      </c>
      <c r="D11807" s="255">
        <v>26021</v>
      </c>
      <c r="E11807" s="553">
        <v>369.35</v>
      </c>
      <c r="F11807" s="553">
        <v>4684.24</v>
      </c>
      <c r="G11807" s="553">
        <v>459.2</v>
      </c>
      <c r="H11807" s="553">
        <v>460.92</v>
      </c>
      <c r="I11807" s="553">
        <v>7558.96</v>
      </c>
      <c r="J11807" s="647">
        <v>2606.0100000000002</v>
      </c>
    </row>
    <row r="11808" spans="2:10">
      <c r="B11808" s="1230" t="s">
        <v>460</v>
      </c>
      <c r="C11808" s="132" t="s">
        <v>2567</v>
      </c>
      <c r="D11808" s="255">
        <v>26023</v>
      </c>
      <c r="E11808" s="553">
        <v>350.02</v>
      </c>
      <c r="F11808" s="553">
        <v>4331.24</v>
      </c>
      <c r="G11808" s="553">
        <v>626.58000000000004</v>
      </c>
      <c r="H11808" s="553">
        <v>426.92</v>
      </c>
      <c r="I11808" s="553">
        <v>3171.52</v>
      </c>
      <c r="J11808" s="647">
        <v>2740.69</v>
      </c>
    </row>
    <row r="11809" spans="2:10">
      <c r="B11809" s="1230" t="s">
        <v>460</v>
      </c>
      <c r="C11809" s="132" t="s">
        <v>1726</v>
      </c>
      <c r="D11809" s="255">
        <v>26025</v>
      </c>
      <c r="E11809" s="553">
        <v>441.38</v>
      </c>
      <c r="F11809" s="553">
        <v>5497.47</v>
      </c>
      <c r="G11809" s="553">
        <v>687.46</v>
      </c>
      <c r="H11809" s="553">
        <v>541.84</v>
      </c>
      <c r="I11809" s="553">
        <v>3609.29</v>
      </c>
      <c r="J11809" s="647">
        <v>3046.39</v>
      </c>
    </row>
    <row r="11810" spans="2:10">
      <c r="B11810" s="1230" t="s">
        <v>460</v>
      </c>
      <c r="C11810" s="132" t="s">
        <v>2202</v>
      </c>
      <c r="D11810" s="255">
        <v>26027</v>
      </c>
      <c r="E11810" s="553">
        <v>321.11</v>
      </c>
      <c r="F11810" s="553">
        <v>4003.91</v>
      </c>
      <c r="G11810" s="553">
        <v>579.71</v>
      </c>
      <c r="H11810" s="553">
        <v>394.47</v>
      </c>
      <c r="I11810" s="553">
        <v>2919.65</v>
      </c>
      <c r="J11810" s="647">
        <v>2594.0100000000002</v>
      </c>
    </row>
    <row r="11811" spans="2:10">
      <c r="B11811" s="1230" t="s">
        <v>460</v>
      </c>
      <c r="C11811" s="132" t="s">
        <v>2568</v>
      </c>
      <c r="D11811" s="255">
        <v>26029</v>
      </c>
      <c r="E11811" s="553">
        <v>183.66</v>
      </c>
      <c r="F11811" s="553">
        <v>2309.87</v>
      </c>
      <c r="G11811" s="553">
        <v>239.95</v>
      </c>
      <c r="H11811" s="553">
        <v>227.37</v>
      </c>
      <c r="I11811" s="553">
        <v>3513.39</v>
      </c>
      <c r="J11811" s="647">
        <v>1693.36</v>
      </c>
    </row>
    <row r="11812" spans="2:10">
      <c r="B11812" s="1230" t="s">
        <v>460</v>
      </c>
      <c r="C11812" s="132" t="s">
        <v>2569</v>
      </c>
      <c r="D11812" s="255">
        <v>26031</v>
      </c>
      <c r="E11812" s="553">
        <v>156.38</v>
      </c>
      <c r="F11812" s="553">
        <v>1975.97</v>
      </c>
      <c r="G11812" s="553">
        <v>215.21</v>
      </c>
      <c r="H11812" s="553">
        <v>194.42</v>
      </c>
      <c r="I11812" s="553">
        <v>2654.57</v>
      </c>
      <c r="J11812" s="647">
        <v>1622.15</v>
      </c>
    </row>
    <row r="11813" spans="2:10">
      <c r="B11813" s="1230" t="s">
        <v>460</v>
      </c>
      <c r="C11813" s="132" t="s">
        <v>2570</v>
      </c>
      <c r="D11813" s="255">
        <v>26033</v>
      </c>
      <c r="E11813" s="553">
        <v>107.78</v>
      </c>
      <c r="F11813" s="553">
        <v>1316.6</v>
      </c>
      <c r="G11813" s="553">
        <v>194.79</v>
      </c>
      <c r="H11813" s="553">
        <v>129.88</v>
      </c>
      <c r="I11813" s="553">
        <v>928.34</v>
      </c>
      <c r="J11813" s="647">
        <v>1437.37</v>
      </c>
    </row>
    <row r="11814" spans="2:10">
      <c r="B11814" s="1230" t="s">
        <v>460</v>
      </c>
      <c r="C11814" s="132" t="s">
        <v>2571</v>
      </c>
      <c r="D11814" s="255">
        <v>26035</v>
      </c>
      <c r="E11814" s="553">
        <v>197.58</v>
      </c>
      <c r="F11814" s="553">
        <v>2532.4699999999998</v>
      </c>
      <c r="G11814" s="553">
        <v>326.39999999999998</v>
      </c>
      <c r="H11814" s="553">
        <v>248.96</v>
      </c>
      <c r="I11814" s="553">
        <v>4481.1000000000004</v>
      </c>
      <c r="J11814" s="647">
        <v>1709.39</v>
      </c>
    </row>
    <row r="11815" spans="2:10">
      <c r="B11815" s="1230" t="s">
        <v>460</v>
      </c>
      <c r="C11815" s="132" t="s">
        <v>2205</v>
      </c>
      <c r="D11815" s="255">
        <v>26037</v>
      </c>
      <c r="E11815" s="553">
        <v>400.86</v>
      </c>
      <c r="F11815" s="553">
        <v>4799.29</v>
      </c>
      <c r="G11815" s="553">
        <v>622.30999999999995</v>
      </c>
      <c r="H11815" s="553">
        <v>474.38</v>
      </c>
      <c r="I11815" s="553">
        <v>4734.34</v>
      </c>
      <c r="J11815" s="647">
        <v>2579.29</v>
      </c>
    </row>
    <row r="11816" spans="2:10">
      <c r="B11816" s="1230" t="s">
        <v>460</v>
      </c>
      <c r="C11816" s="132" t="s">
        <v>1842</v>
      </c>
      <c r="D11816" s="255">
        <v>26039</v>
      </c>
      <c r="E11816" s="553">
        <v>216.02</v>
      </c>
      <c r="F11816" s="553">
        <v>2714.67</v>
      </c>
      <c r="G11816" s="553">
        <v>307.64999999999998</v>
      </c>
      <c r="H11816" s="553">
        <v>267.22000000000003</v>
      </c>
      <c r="I11816" s="553">
        <v>6335.87</v>
      </c>
      <c r="J11816" s="647">
        <v>1762.41</v>
      </c>
    </row>
    <row r="11817" spans="2:10">
      <c r="B11817" s="1230" t="s">
        <v>460</v>
      </c>
      <c r="C11817" s="132" t="s">
        <v>1954</v>
      </c>
      <c r="D11817" s="255">
        <v>26041</v>
      </c>
      <c r="E11817" s="553">
        <v>104.03</v>
      </c>
      <c r="F11817" s="553">
        <v>1297.9000000000001</v>
      </c>
      <c r="G11817" s="553">
        <v>262.08999999999997</v>
      </c>
      <c r="H11817" s="553">
        <v>127.88</v>
      </c>
      <c r="I11817" s="553">
        <v>1621.39</v>
      </c>
      <c r="J11817" s="647">
        <v>1298.3399999999999</v>
      </c>
    </row>
    <row r="11818" spans="2:10">
      <c r="B11818" s="1230" t="s">
        <v>460</v>
      </c>
      <c r="C11818" s="132" t="s">
        <v>2304</v>
      </c>
      <c r="D11818" s="255">
        <v>26043</v>
      </c>
      <c r="E11818" s="553">
        <v>118.09</v>
      </c>
      <c r="F11818" s="553">
        <v>1440.31</v>
      </c>
      <c r="G11818" s="553">
        <v>282.14999999999998</v>
      </c>
      <c r="H11818" s="553">
        <v>142.21</v>
      </c>
      <c r="I11818" s="553">
        <v>1959.17</v>
      </c>
      <c r="J11818" s="647">
        <v>1310.7</v>
      </c>
    </row>
    <row r="11819" spans="2:10">
      <c r="B11819" s="1230" t="s">
        <v>460</v>
      </c>
      <c r="C11819" s="132" t="s">
        <v>2572</v>
      </c>
      <c r="D11819" s="255">
        <v>26045</v>
      </c>
      <c r="E11819" s="553">
        <v>534.88</v>
      </c>
      <c r="F11819" s="553">
        <v>6415.09</v>
      </c>
      <c r="G11819" s="553">
        <v>740.17</v>
      </c>
      <c r="H11819" s="553">
        <v>634.02</v>
      </c>
      <c r="I11819" s="553">
        <v>3898.3</v>
      </c>
      <c r="J11819" s="647">
        <v>3183.01</v>
      </c>
    </row>
    <row r="11820" spans="2:10">
      <c r="B11820" s="1230" t="s">
        <v>460</v>
      </c>
      <c r="C11820" s="132" t="s">
        <v>2306</v>
      </c>
      <c r="D11820" s="255">
        <v>26047</v>
      </c>
      <c r="E11820" s="553">
        <v>194.66</v>
      </c>
      <c r="F11820" s="553">
        <v>2478.66</v>
      </c>
      <c r="G11820" s="553">
        <v>223.67</v>
      </c>
      <c r="H11820" s="553">
        <v>243.78</v>
      </c>
      <c r="I11820" s="553">
        <v>3988.45</v>
      </c>
      <c r="J11820" s="647">
        <v>1682.5</v>
      </c>
    </row>
    <row r="11821" spans="2:10">
      <c r="B11821" s="1230" t="s">
        <v>460</v>
      </c>
      <c r="C11821" s="132" t="s">
        <v>2573</v>
      </c>
      <c r="D11821" s="255">
        <v>26049</v>
      </c>
      <c r="E11821" s="553">
        <v>641.70000000000005</v>
      </c>
      <c r="F11821" s="553">
        <v>7682.12</v>
      </c>
      <c r="G11821" s="553">
        <v>342</v>
      </c>
      <c r="H11821" s="553">
        <v>759.45</v>
      </c>
      <c r="I11821" s="553">
        <v>17511.55</v>
      </c>
      <c r="J11821" s="647">
        <v>2806.38</v>
      </c>
    </row>
    <row r="11822" spans="2:10">
      <c r="B11822" s="1230" t="s">
        <v>460</v>
      </c>
      <c r="C11822" s="132" t="s">
        <v>2574</v>
      </c>
      <c r="D11822" s="255">
        <v>26051</v>
      </c>
      <c r="E11822" s="553">
        <v>182.37</v>
      </c>
      <c r="F11822" s="553">
        <v>2325.52</v>
      </c>
      <c r="G11822" s="553">
        <v>364.76</v>
      </c>
      <c r="H11822" s="553">
        <v>228.65</v>
      </c>
      <c r="I11822" s="553">
        <v>3968.01</v>
      </c>
      <c r="J11822" s="647">
        <v>1661.17</v>
      </c>
    </row>
    <row r="11823" spans="2:10">
      <c r="B11823" s="1230" t="s">
        <v>460</v>
      </c>
      <c r="C11823" s="132" t="s">
        <v>2575</v>
      </c>
      <c r="D11823" s="255">
        <v>26053</v>
      </c>
      <c r="E11823" s="553">
        <v>107.7</v>
      </c>
      <c r="F11823" s="553">
        <v>1316.28</v>
      </c>
      <c r="G11823" s="553">
        <v>307.64</v>
      </c>
      <c r="H11823" s="553">
        <v>129.85</v>
      </c>
      <c r="I11823" s="553">
        <v>1966.46</v>
      </c>
      <c r="J11823" s="647">
        <v>1220.93</v>
      </c>
    </row>
    <row r="11824" spans="2:10">
      <c r="B11824" s="1230" t="s">
        <v>460</v>
      </c>
      <c r="C11824" s="132" t="s">
        <v>2576</v>
      </c>
      <c r="D11824" s="255">
        <v>26055</v>
      </c>
      <c r="E11824" s="553">
        <v>210.61</v>
      </c>
      <c r="F11824" s="553">
        <v>2676</v>
      </c>
      <c r="G11824" s="553">
        <v>303.92</v>
      </c>
      <c r="H11824" s="553">
        <v>263.33</v>
      </c>
      <c r="I11824" s="553">
        <v>5180.59</v>
      </c>
      <c r="J11824" s="647">
        <v>1635.41</v>
      </c>
    </row>
    <row r="11825" spans="2:10">
      <c r="B11825" s="1230" t="s">
        <v>460</v>
      </c>
      <c r="C11825" s="132" t="s">
        <v>2577</v>
      </c>
      <c r="D11825" s="255">
        <v>26057</v>
      </c>
      <c r="E11825" s="553">
        <v>270.8</v>
      </c>
      <c r="F11825" s="553">
        <v>3374.03</v>
      </c>
      <c r="G11825" s="553">
        <v>1295.8599999999999</v>
      </c>
      <c r="H11825" s="553">
        <v>332.47</v>
      </c>
      <c r="I11825" s="553">
        <v>4074.85</v>
      </c>
      <c r="J11825" s="647">
        <v>2132.17</v>
      </c>
    </row>
    <row r="11826" spans="2:10">
      <c r="B11826" s="1230" t="s">
        <v>460</v>
      </c>
      <c r="C11826" s="132" t="s">
        <v>2578</v>
      </c>
      <c r="D11826" s="255">
        <v>26059</v>
      </c>
      <c r="E11826" s="553">
        <v>412.85</v>
      </c>
      <c r="F11826" s="553">
        <v>5113.45</v>
      </c>
      <c r="G11826" s="553">
        <v>646.76</v>
      </c>
      <c r="H11826" s="553">
        <v>504.05</v>
      </c>
      <c r="I11826" s="553">
        <v>4522.3100000000004</v>
      </c>
      <c r="J11826" s="647">
        <v>2952.95</v>
      </c>
    </row>
    <row r="11827" spans="2:10">
      <c r="B11827" s="1230" t="s">
        <v>460</v>
      </c>
      <c r="C11827" s="132" t="s">
        <v>2579</v>
      </c>
      <c r="D11827" s="255">
        <v>26061</v>
      </c>
      <c r="E11827" s="553">
        <v>94.55</v>
      </c>
      <c r="F11827" s="553">
        <v>1158.0999999999999</v>
      </c>
      <c r="G11827" s="553">
        <v>255.17</v>
      </c>
      <c r="H11827" s="553">
        <v>114.23</v>
      </c>
      <c r="I11827" s="553">
        <v>2284.7800000000002</v>
      </c>
      <c r="J11827" s="647">
        <v>1125.24</v>
      </c>
    </row>
    <row r="11828" spans="2:10">
      <c r="B11828" s="1230" t="s">
        <v>460</v>
      </c>
      <c r="C11828" s="132" t="s">
        <v>2580</v>
      </c>
      <c r="D11828" s="255">
        <v>26063</v>
      </c>
      <c r="E11828" s="553">
        <v>142.94</v>
      </c>
      <c r="F11828" s="553">
        <v>1821.04</v>
      </c>
      <c r="G11828" s="553">
        <v>1096.4100000000001</v>
      </c>
      <c r="H11828" s="553">
        <v>179.17</v>
      </c>
      <c r="I11828" s="553">
        <v>1976.88</v>
      </c>
      <c r="J11828" s="647">
        <v>1594.14</v>
      </c>
    </row>
    <row r="11829" spans="2:10">
      <c r="B11829" s="1230" t="s">
        <v>460</v>
      </c>
      <c r="C11829" s="132" t="s">
        <v>2581</v>
      </c>
      <c r="D11829" s="255">
        <v>26065</v>
      </c>
      <c r="E11829" s="553">
        <v>611.13</v>
      </c>
      <c r="F11829" s="553">
        <v>7028.41</v>
      </c>
      <c r="G11829" s="553">
        <v>783.48</v>
      </c>
      <c r="H11829" s="553">
        <v>696.88</v>
      </c>
      <c r="I11829" s="553">
        <v>7287.99</v>
      </c>
      <c r="J11829" s="647">
        <v>3187.94</v>
      </c>
    </row>
    <row r="11830" spans="2:10">
      <c r="B11830" s="1230" t="s">
        <v>460</v>
      </c>
      <c r="C11830" s="132" t="s">
        <v>2582</v>
      </c>
      <c r="D11830" s="255">
        <v>26067</v>
      </c>
      <c r="E11830" s="553">
        <v>341.77</v>
      </c>
      <c r="F11830" s="553">
        <v>4108.51</v>
      </c>
      <c r="G11830" s="553">
        <v>597.99</v>
      </c>
      <c r="H11830" s="553">
        <v>406</v>
      </c>
      <c r="I11830" s="553">
        <v>3132.87</v>
      </c>
      <c r="J11830" s="647">
        <v>2470.56</v>
      </c>
    </row>
    <row r="11831" spans="2:10">
      <c r="B11831" s="1230" t="s">
        <v>460</v>
      </c>
      <c r="C11831" s="132" t="s">
        <v>2583</v>
      </c>
      <c r="D11831" s="255">
        <v>26069</v>
      </c>
      <c r="E11831" s="553">
        <v>131.83000000000001</v>
      </c>
      <c r="F11831" s="553">
        <v>1708.2</v>
      </c>
      <c r="G11831" s="553">
        <v>254.96</v>
      </c>
      <c r="H11831" s="553">
        <v>167.78</v>
      </c>
      <c r="I11831" s="553">
        <v>2630.77</v>
      </c>
      <c r="J11831" s="647">
        <v>1453.93</v>
      </c>
    </row>
    <row r="11832" spans="2:10">
      <c r="B11832" s="1230" t="s">
        <v>460</v>
      </c>
      <c r="C11832" s="132" t="s">
        <v>2584</v>
      </c>
      <c r="D11832" s="255">
        <v>26071</v>
      </c>
      <c r="E11832" s="553">
        <v>106.85</v>
      </c>
      <c r="F11832" s="553">
        <v>1278.21</v>
      </c>
      <c r="G11832" s="553">
        <v>291.95</v>
      </c>
      <c r="H11832" s="553">
        <v>126.34</v>
      </c>
      <c r="I11832" s="553">
        <v>1647.96</v>
      </c>
      <c r="J11832" s="647">
        <v>1271.82</v>
      </c>
    </row>
    <row r="11833" spans="2:10">
      <c r="B11833" s="1230" t="s">
        <v>460</v>
      </c>
      <c r="C11833" s="132" t="s">
        <v>2585</v>
      </c>
      <c r="D11833" s="255">
        <v>26073</v>
      </c>
      <c r="E11833" s="553">
        <v>286.33</v>
      </c>
      <c r="F11833" s="553">
        <v>3558.26</v>
      </c>
      <c r="G11833" s="553">
        <v>678.47</v>
      </c>
      <c r="H11833" s="553">
        <v>350.68</v>
      </c>
      <c r="I11833" s="553">
        <v>3081.91</v>
      </c>
      <c r="J11833" s="647">
        <v>2133.9699999999998</v>
      </c>
    </row>
    <row r="11834" spans="2:10">
      <c r="B11834" s="1230" t="s">
        <v>460</v>
      </c>
      <c r="C11834" s="132" t="s">
        <v>1754</v>
      </c>
      <c r="D11834" s="255">
        <v>26075</v>
      </c>
      <c r="E11834" s="553">
        <v>572.67999999999995</v>
      </c>
      <c r="F11834" s="553">
        <v>6910.9</v>
      </c>
      <c r="G11834" s="553">
        <v>725.41</v>
      </c>
      <c r="H11834" s="553">
        <v>682.68</v>
      </c>
      <c r="I11834" s="553">
        <v>6916.4</v>
      </c>
      <c r="J11834" s="647">
        <v>3350.44</v>
      </c>
    </row>
    <row r="11835" spans="2:10">
      <c r="B11835" s="1230" t="s">
        <v>460</v>
      </c>
      <c r="C11835" s="132" t="s">
        <v>2586</v>
      </c>
      <c r="D11835" s="255">
        <v>26077</v>
      </c>
      <c r="E11835" s="553">
        <v>442.22</v>
      </c>
      <c r="F11835" s="553">
        <v>5543.14</v>
      </c>
      <c r="G11835" s="553">
        <v>680.48</v>
      </c>
      <c r="H11835" s="553">
        <v>546.02</v>
      </c>
      <c r="I11835" s="553">
        <v>2787.64</v>
      </c>
      <c r="J11835" s="647">
        <v>3025.11</v>
      </c>
    </row>
    <row r="11836" spans="2:10">
      <c r="B11836" s="1230" t="s">
        <v>460</v>
      </c>
      <c r="C11836" s="132" t="s">
        <v>2587</v>
      </c>
      <c r="D11836" s="255">
        <v>26079</v>
      </c>
      <c r="E11836" s="553">
        <v>231.08</v>
      </c>
      <c r="F11836" s="553">
        <v>2848.06</v>
      </c>
      <c r="G11836" s="553">
        <v>281.02</v>
      </c>
      <c r="H11836" s="553">
        <v>280.83</v>
      </c>
      <c r="I11836" s="553">
        <v>5834.12</v>
      </c>
      <c r="J11836" s="647">
        <v>1853.98</v>
      </c>
    </row>
    <row r="11837" spans="2:10">
      <c r="B11837" s="1230" t="s">
        <v>460</v>
      </c>
      <c r="C11837" s="132" t="s">
        <v>2002</v>
      </c>
      <c r="D11837" s="255">
        <v>26081</v>
      </c>
      <c r="E11837" s="553">
        <v>609.83000000000004</v>
      </c>
      <c r="F11837" s="553">
        <v>7395.72</v>
      </c>
      <c r="G11837" s="553">
        <v>959.26</v>
      </c>
      <c r="H11837" s="553">
        <v>730.19</v>
      </c>
      <c r="I11837" s="553">
        <v>2580.02</v>
      </c>
      <c r="J11837" s="647">
        <v>3719.98</v>
      </c>
    </row>
    <row r="11838" spans="2:10">
      <c r="B11838" s="1230" t="s">
        <v>460</v>
      </c>
      <c r="C11838" s="132" t="s">
        <v>2588</v>
      </c>
      <c r="D11838" s="255">
        <v>26083</v>
      </c>
      <c r="E11838" s="553">
        <v>89.22</v>
      </c>
      <c r="F11838" s="553">
        <v>1041.0899999999999</v>
      </c>
      <c r="G11838" s="553">
        <v>199.91</v>
      </c>
      <c r="H11838" s="553">
        <v>103.06</v>
      </c>
      <c r="I11838" s="553">
        <v>970.51</v>
      </c>
      <c r="J11838" s="647">
        <v>1260.01</v>
      </c>
    </row>
    <row r="11839" spans="2:10">
      <c r="B11839" s="1230" t="s">
        <v>460</v>
      </c>
      <c r="C11839" s="132" t="s">
        <v>1900</v>
      </c>
      <c r="D11839" s="255">
        <v>26085</v>
      </c>
      <c r="E11839" s="553">
        <v>210.51</v>
      </c>
      <c r="F11839" s="553">
        <v>2613.79</v>
      </c>
      <c r="G11839" s="553">
        <v>342.08</v>
      </c>
      <c r="H11839" s="553">
        <v>257.58</v>
      </c>
      <c r="I11839" s="553">
        <v>4114.97</v>
      </c>
      <c r="J11839" s="647">
        <v>1769.65</v>
      </c>
    </row>
    <row r="11840" spans="2:10">
      <c r="B11840" s="1230" t="s">
        <v>460</v>
      </c>
      <c r="C11840" s="132" t="s">
        <v>2589</v>
      </c>
      <c r="D11840" s="255">
        <v>26087</v>
      </c>
      <c r="E11840" s="553">
        <v>572.80999999999995</v>
      </c>
      <c r="F11840" s="553">
        <v>6892.44</v>
      </c>
      <c r="G11840" s="553">
        <v>304.83</v>
      </c>
      <c r="H11840" s="553">
        <v>681.03</v>
      </c>
      <c r="I11840" s="553">
        <v>16996.439999999999</v>
      </c>
      <c r="J11840" s="647">
        <v>2565.86</v>
      </c>
    </row>
    <row r="11841" spans="2:10">
      <c r="B11841" s="1230" t="s">
        <v>460</v>
      </c>
      <c r="C11841" s="132" t="s">
        <v>2590</v>
      </c>
      <c r="D11841" s="255">
        <v>26089</v>
      </c>
      <c r="E11841" s="553">
        <v>151.58000000000001</v>
      </c>
      <c r="F11841" s="553">
        <v>1898.65</v>
      </c>
      <c r="G11841" s="553">
        <v>281.64</v>
      </c>
      <c r="H11841" s="553">
        <v>186.97</v>
      </c>
      <c r="I11841" s="553">
        <v>3062.95</v>
      </c>
      <c r="J11841" s="647">
        <v>1484.95</v>
      </c>
    </row>
    <row r="11842" spans="2:10">
      <c r="B11842" s="1230" t="s">
        <v>460</v>
      </c>
      <c r="C11842" s="132" t="s">
        <v>2591</v>
      </c>
      <c r="D11842" s="255">
        <v>26091</v>
      </c>
      <c r="E11842" s="553">
        <v>834.45</v>
      </c>
      <c r="F11842" s="553">
        <v>10243.39</v>
      </c>
      <c r="G11842" s="553">
        <v>887.78</v>
      </c>
      <c r="H11842" s="553">
        <v>1010.45</v>
      </c>
      <c r="I11842" s="553">
        <v>11986.11</v>
      </c>
      <c r="J11842" s="647">
        <v>4245.37</v>
      </c>
    </row>
    <row r="11843" spans="2:10">
      <c r="B11843" s="1230" t="s">
        <v>460</v>
      </c>
      <c r="C11843" s="132" t="s">
        <v>2225</v>
      </c>
      <c r="D11843" s="255">
        <v>26093</v>
      </c>
      <c r="E11843" s="553">
        <v>778.65</v>
      </c>
      <c r="F11843" s="553">
        <v>9050.86</v>
      </c>
      <c r="G11843" s="553">
        <v>718.27</v>
      </c>
      <c r="H11843" s="553">
        <v>896.79</v>
      </c>
      <c r="I11843" s="553">
        <v>17156.060000000001</v>
      </c>
      <c r="J11843" s="647">
        <v>3278.21</v>
      </c>
    </row>
    <row r="11844" spans="2:10">
      <c r="B11844" s="1230" t="s">
        <v>460</v>
      </c>
      <c r="C11844" s="132" t="s">
        <v>2592</v>
      </c>
      <c r="D11844" s="255">
        <v>26095</v>
      </c>
      <c r="E11844" s="553">
        <v>96.43</v>
      </c>
      <c r="F11844" s="553">
        <v>1161.5899999999999</v>
      </c>
      <c r="G11844" s="553">
        <v>190.93</v>
      </c>
      <c r="H11844" s="553">
        <v>114.66</v>
      </c>
      <c r="I11844" s="553">
        <v>1056.96</v>
      </c>
      <c r="J11844" s="647">
        <v>1348.46</v>
      </c>
    </row>
    <row r="11845" spans="2:10">
      <c r="B11845" s="1230" t="s">
        <v>460</v>
      </c>
      <c r="C11845" s="132" t="s">
        <v>2593</v>
      </c>
      <c r="D11845" s="255">
        <v>26097</v>
      </c>
      <c r="E11845" s="553">
        <v>109.59</v>
      </c>
      <c r="F11845" s="553">
        <v>1342.82</v>
      </c>
      <c r="G11845" s="553">
        <v>186.22</v>
      </c>
      <c r="H11845" s="553">
        <v>132.43</v>
      </c>
      <c r="I11845" s="553">
        <v>1223.4000000000001</v>
      </c>
      <c r="J11845" s="647">
        <v>1442.7</v>
      </c>
    </row>
    <row r="11846" spans="2:10">
      <c r="B11846" s="1230" t="s">
        <v>460</v>
      </c>
      <c r="C11846" s="132" t="s">
        <v>2594</v>
      </c>
      <c r="D11846" s="255">
        <v>26099</v>
      </c>
      <c r="E11846" s="553">
        <v>1053.45</v>
      </c>
      <c r="F11846" s="553">
        <v>13046.55</v>
      </c>
      <c r="G11846" s="553">
        <v>312.58</v>
      </c>
      <c r="H11846" s="553">
        <v>1285.74</v>
      </c>
      <c r="I11846" s="553">
        <v>34253.910000000003</v>
      </c>
      <c r="J11846" s="647">
        <v>3465.42</v>
      </c>
    </row>
    <row r="11847" spans="2:10">
      <c r="B11847" s="1230" t="s">
        <v>460</v>
      </c>
      <c r="C11847" s="132" t="s">
        <v>2595</v>
      </c>
      <c r="D11847" s="255">
        <v>26101</v>
      </c>
      <c r="E11847" s="553">
        <v>178.47</v>
      </c>
      <c r="F11847" s="553">
        <v>2229.6799999999998</v>
      </c>
      <c r="G11847" s="553">
        <v>327.58999999999997</v>
      </c>
      <c r="H11847" s="553">
        <v>219.67</v>
      </c>
      <c r="I11847" s="553">
        <v>3980.97</v>
      </c>
      <c r="J11847" s="647">
        <v>1635.06</v>
      </c>
    </row>
    <row r="11848" spans="2:10">
      <c r="B11848" s="1230" t="s">
        <v>460</v>
      </c>
      <c r="C11848" s="132" t="s">
        <v>2596</v>
      </c>
      <c r="D11848" s="255">
        <v>26103</v>
      </c>
      <c r="E11848" s="553">
        <v>102.99</v>
      </c>
      <c r="F11848" s="553">
        <v>1271.26</v>
      </c>
      <c r="G11848" s="553">
        <v>246.43</v>
      </c>
      <c r="H11848" s="553">
        <v>125.36</v>
      </c>
      <c r="I11848" s="553">
        <v>2289.23</v>
      </c>
      <c r="J11848" s="647">
        <v>1199.25</v>
      </c>
    </row>
    <row r="11849" spans="2:10">
      <c r="B11849" s="1230" t="s">
        <v>460</v>
      </c>
      <c r="C11849" s="132" t="s">
        <v>2230</v>
      </c>
      <c r="D11849" s="255">
        <v>26105</v>
      </c>
      <c r="E11849" s="553">
        <v>181.84</v>
      </c>
      <c r="F11849" s="553">
        <v>2266.5300000000002</v>
      </c>
      <c r="G11849" s="553">
        <v>345.58</v>
      </c>
      <c r="H11849" s="553">
        <v>223.27</v>
      </c>
      <c r="I11849" s="553">
        <v>3085.81</v>
      </c>
      <c r="J11849" s="647">
        <v>1718.42</v>
      </c>
    </row>
    <row r="11850" spans="2:10">
      <c r="B11850" s="1230" t="s">
        <v>460</v>
      </c>
      <c r="C11850" s="132" t="s">
        <v>2597</v>
      </c>
      <c r="D11850" s="255">
        <v>26107</v>
      </c>
      <c r="E11850" s="553">
        <v>234.77</v>
      </c>
      <c r="F11850" s="553">
        <v>2903.74</v>
      </c>
      <c r="G11850" s="553">
        <v>487.47</v>
      </c>
      <c r="H11850" s="553">
        <v>286.19</v>
      </c>
      <c r="I11850" s="553">
        <v>2675.85</v>
      </c>
      <c r="J11850" s="647">
        <v>1971.44</v>
      </c>
    </row>
    <row r="11851" spans="2:10">
      <c r="B11851" s="1230" t="s">
        <v>460</v>
      </c>
      <c r="C11851" s="132" t="s">
        <v>2598</v>
      </c>
      <c r="D11851" s="255">
        <v>26109</v>
      </c>
      <c r="E11851" s="553">
        <v>132.47</v>
      </c>
      <c r="F11851" s="553">
        <v>1654.4</v>
      </c>
      <c r="G11851" s="553">
        <v>363.77</v>
      </c>
      <c r="H11851" s="553">
        <v>162.94999999999999</v>
      </c>
      <c r="I11851" s="553">
        <v>1233.5999999999999</v>
      </c>
      <c r="J11851" s="647">
        <v>1475.78</v>
      </c>
    </row>
    <row r="11852" spans="2:10">
      <c r="B11852" s="1230" t="s">
        <v>460</v>
      </c>
      <c r="C11852" s="132" t="s">
        <v>2599</v>
      </c>
      <c r="D11852" s="255">
        <v>26111</v>
      </c>
      <c r="E11852" s="553">
        <v>318.05</v>
      </c>
      <c r="F11852" s="553">
        <v>4057.4</v>
      </c>
      <c r="G11852" s="553">
        <v>440.01</v>
      </c>
      <c r="H11852" s="553">
        <v>399.04</v>
      </c>
      <c r="I11852" s="553">
        <v>6196.51</v>
      </c>
      <c r="J11852" s="647">
        <v>2103.25</v>
      </c>
    </row>
    <row r="11853" spans="2:10">
      <c r="B11853" s="1230" t="s">
        <v>460</v>
      </c>
      <c r="C11853" s="132" t="s">
        <v>2600</v>
      </c>
      <c r="D11853" s="255">
        <v>26113</v>
      </c>
      <c r="E11853" s="553">
        <v>158.75</v>
      </c>
      <c r="F11853" s="553">
        <v>1937.55</v>
      </c>
      <c r="G11853" s="553">
        <v>264.02</v>
      </c>
      <c r="H11853" s="553">
        <v>191.21</v>
      </c>
      <c r="I11853" s="553">
        <v>4101.16</v>
      </c>
      <c r="J11853" s="647">
        <v>1505.68</v>
      </c>
    </row>
    <row r="11854" spans="2:10">
      <c r="B11854" s="1230" t="s">
        <v>460</v>
      </c>
      <c r="C11854" s="132" t="s">
        <v>1768</v>
      </c>
      <c r="D11854" s="255">
        <v>26115</v>
      </c>
      <c r="E11854" s="553">
        <v>716.79</v>
      </c>
      <c r="F11854" s="553">
        <v>8892.8700000000008</v>
      </c>
      <c r="G11854" s="553">
        <v>338.17</v>
      </c>
      <c r="H11854" s="553">
        <v>876.62</v>
      </c>
      <c r="I11854" s="553">
        <v>19193.490000000002</v>
      </c>
      <c r="J11854" s="647">
        <v>3345.15</v>
      </c>
    </row>
    <row r="11855" spans="2:10">
      <c r="B11855" s="1230" t="s">
        <v>460</v>
      </c>
      <c r="C11855" s="132" t="s">
        <v>2601</v>
      </c>
      <c r="D11855" s="255">
        <v>26117</v>
      </c>
      <c r="E11855" s="553">
        <v>570.62</v>
      </c>
      <c r="F11855" s="553">
        <v>6969.73</v>
      </c>
      <c r="G11855" s="553">
        <v>1028.92</v>
      </c>
      <c r="H11855" s="553">
        <v>687.75</v>
      </c>
      <c r="I11855" s="553">
        <v>2682.13</v>
      </c>
      <c r="J11855" s="647">
        <v>3356.5</v>
      </c>
    </row>
    <row r="11856" spans="2:10">
      <c r="B11856" s="1230" t="s">
        <v>460</v>
      </c>
      <c r="C11856" s="132" t="s">
        <v>2602</v>
      </c>
      <c r="D11856" s="255">
        <v>26119</v>
      </c>
      <c r="E11856" s="553">
        <v>149.38</v>
      </c>
      <c r="F11856" s="553">
        <v>1863.12</v>
      </c>
      <c r="G11856" s="553">
        <v>239.38</v>
      </c>
      <c r="H11856" s="553">
        <v>183.55</v>
      </c>
      <c r="I11856" s="553">
        <v>2327.5500000000002</v>
      </c>
      <c r="J11856" s="647">
        <v>1642.74</v>
      </c>
    </row>
    <row r="11857" spans="2:10">
      <c r="B11857" s="1230" t="s">
        <v>460</v>
      </c>
      <c r="C11857" s="132" t="s">
        <v>2603</v>
      </c>
      <c r="D11857" s="255">
        <v>26121</v>
      </c>
      <c r="E11857" s="553">
        <v>472.17</v>
      </c>
      <c r="F11857" s="553">
        <v>5822.21</v>
      </c>
      <c r="G11857" s="553">
        <v>686.57</v>
      </c>
      <c r="H11857" s="553">
        <v>574.02</v>
      </c>
      <c r="I11857" s="553">
        <v>2532.0700000000002</v>
      </c>
      <c r="J11857" s="647">
        <v>2860.82</v>
      </c>
    </row>
    <row r="11858" spans="2:10">
      <c r="B11858" s="1230" t="s">
        <v>460</v>
      </c>
      <c r="C11858" s="132" t="s">
        <v>2604</v>
      </c>
      <c r="D11858" s="255">
        <v>26123</v>
      </c>
      <c r="E11858" s="553">
        <v>306.48</v>
      </c>
      <c r="F11858" s="553">
        <v>3851.25</v>
      </c>
      <c r="G11858" s="553">
        <v>502.33</v>
      </c>
      <c r="H11858" s="553">
        <v>379.22</v>
      </c>
      <c r="I11858" s="553">
        <v>3080.54</v>
      </c>
      <c r="J11858" s="647">
        <v>2342.61</v>
      </c>
    </row>
    <row r="11859" spans="2:10">
      <c r="B11859" s="1230" t="s">
        <v>460</v>
      </c>
      <c r="C11859" s="132" t="s">
        <v>2605</v>
      </c>
      <c r="D11859" s="255">
        <v>26125</v>
      </c>
      <c r="E11859" s="553">
        <v>1529.1</v>
      </c>
      <c r="F11859" s="553">
        <v>18349.59</v>
      </c>
      <c r="G11859" s="553">
        <v>483.22</v>
      </c>
      <c r="H11859" s="553">
        <v>1813.45</v>
      </c>
      <c r="I11859" s="553">
        <v>60126.83</v>
      </c>
      <c r="J11859" s="647">
        <v>4352.1000000000004</v>
      </c>
    </row>
    <row r="11860" spans="2:10">
      <c r="B11860" s="1230" t="s">
        <v>460</v>
      </c>
      <c r="C11860" s="132" t="s">
        <v>2606</v>
      </c>
      <c r="D11860" s="255">
        <v>26127</v>
      </c>
      <c r="E11860" s="553">
        <v>210.32</v>
      </c>
      <c r="F11860" s="553">
        <v>2577.1799999999998</v>
      </c>
      <c r="G11860" s="553">
        <v>402.44</v>
      </c>
      <c r="H11860" s="553">
        <v>254.2</v>
      </c>
      <c r="I11860" s="553">
        <v>2410.79</v>
      </c>
      <c r="J11860" s="647">
        <v>1896.06</v>
      </c>
    </row>
    <row r="11861" spans="2:10">
      <c r="B11861" s="1230" t="s">
        <v>460</v>
      </c>
      <c r="C11861" s="132" t="s">
        <v>2607</v>
      </c>
      <c r="D11861" s="255">
        <v>26129</v>
      </c>
      <c r="E11861" s="553">
        <v>172.81</v>
      </c>
      <c r="F11861" s="553">
        <v>2243.1</v>
      </c>
      <c r="G11861" s="553">
        <v>248.91</v>
      </c>
      <c r="H11861" s="553">
        <v>220.31</v>
      </c>
      <c r="I11861" s="553">
        <v>5281.79</v>
      </c>
      <c r="J11861" s="647">
        <v>1537.88</v>
      </c>
    </row>
    <row r="11862" spans="2:10">
      <c r="B11862" s="1230" t="s">
        <v>460</v>
      </c>
      <c r="C11862" s="132" t="s">
        <v>2608</v>
      </c>
      <c r="D11862" s="255">
        <v>26131</v>
      </c>
      <c r="E11862" s="553">
        <v>89.68</v>
      </c>
      <c r="F11862" s="553">
        <v>1091.75</v>
      </c>
      <c r="G11862" s="553">
        <v>257.8</v>
      </c>
      <c r="H11862" s="553">
        <v>107.73</v>
      </c>
      <c r="I11862" s="553">
        <v>1778.51</v>
      </c>
      <c r="J11862" s="647">
        <v>1136.8</v>
      </c>
    </row>
    <row r="11863" spans="2:10">
      <c r="B11863" s="1230" t="s">
        <v>460</v>
      </c>
      <c r="C11863" s="132" t="s">
        <v>2039</v>
      </c>
      <c r="D11863" s="255">
        <v>26133</v>
      </c>
      <c r="E11863" s="553">
        <v>180.91</v>
      </c>
      <c r="F11863" s="553">
        <v>2233.38</v>
      </c>
      <c r="G11863" s="553">
        <v>304.77999999999997</v>
      </c>
      <c r="H11863" s="553">
        <v>220.16</v>
      </c>
      <c r="I11863" s="553">
        <v>3605.33</v>
      </c>
      <c r="J11863" s="647">
        <v>1670.24</v>
      </c>
    </row>
    <row r="11864" spans="2:10">
      <c r="B11864" s="1230" t="s">
        <v>460</v>
      </c>
      <c r="C11864" s="132" t="s">
        <v>2609</v>
      </c>
      <c r="D11864" s="255">
        <v>26135</v>
      </c>
      <c r="E11864" s="553">
        <v>132.53</v>
      </c>
      <c r="F11864" s="553">
        <v>1633.53</v>
      </c>
      <c r="G11864" s="553">
        <v>234.25</v>
      </c>
      <c r="H11864" s="553">
        <v>161.02000000000001</v>
      </c>
      <c r="I11864" s="553">
        <v>3160.73</v>
      </c>
      <c r="J11864" s="647">
        <v>1412.6</v>
      </c>
    </row>
    <row r="11865" spans="2:10">
      <c r="B11865" s="1230" t="s">
        <v>460</v>
      </c>
      <c r="C11865" s="132" t="s">
        <v>2610</v>
      </c>
      <c r="D11865" s="255">
        <v>26137</v>
      </c>
      <c r="E11865" s="553">
        <v>166.25</v>
      </c>
      <c r="F11865" s="553">
        <v>2057.23</v>
      </c>
      <c r="G11865" s="553">
        <v>291.19</v>
      </c>
      <c r="H11865" s="553">
        <v>202.77</v>
      </c>
      <c r="I11865" s="553">
        <v>2849.5</v>
      </c>
      <c r="J11865" s="647">
        <v>1688.66</v>
      </c>
    </row>
    <row r="11866" spans="2:10">
      <c r="B11866" s="1230" t="s">
        <v>460</v>
      </c>
      <c r="C11866" s="132" t="s">
        <v>2376</v>
      </c>
      <c r="D11866" s="255">
        <v>26139</v>
      </c>
      <c r="E11866" s="553">
        <v>504.32</v>
      </c>
      <c r="F11866" s="553">
        <v>6211.27</v>
      </c>
      <c r="G11866" s="553">
        <v>722.73</v>
      </c>
      <c r="H11866" s="553">
        <v>612.48</v>
      </c>
      <c r="I11866" s="553">
        <v>2444.84</v>
      </c>
      <c r="J11866" s="647">
        <v>3020.26</v>
      </c>
    </row>
    <row r="11867" spans="2:10">
      <c r="B11867" s="1230" t="s">
        <v>460</v>
      </c>
      <c r="C11867" s="132" t="s">
        <v>2611</v>
      </c>
      <c r="D11867" s="255">
        <v>26141</v>
      </c>
      <c r="E11867" s="553">
        <v>128.66</v>
      </c>
      <c r="F11867" s="553">
        <v>1607.42</v>
      </c>
      <c r="G11867" s="553">
        <v>220.81</v>
      </c>
      <c r="H11867" s="553">
        <v>158.28</v>
      </c>
      <c r="I11867" s="553">
        <v>1399.12</v>
      </c>
      <c r="J11867" s="647">
        <v>1547.56</v>
      </c>
    </row>
    <row r="11868" spans="2:10">
      <c r="B11868" s="1230" t="s">
        <v>460</v>
      </c>
      <c r="C11868" s="132" t="s">
        <v>2612</v>
      </c>
      <c r="D11868" s="255">
        <v>26143</v>
      </c>
      <c r="E11868" s="553">
        <v>150.62</v>
      </c>
      <c r="F11868" s="553">
        <v>1940.9</v>
      </c>
      <c r="G11868" s="553">
        <v>312.37</v>
      </c>
      <c r="H11868" s="553">
        <v>190.78</v>
      </c>
      <c r="I11868" s="553">
        <v>4155.26</v>
      </c>
      <c r="J11868" s="647">
        <v>1500.25</v>
      </c>
    </row>
    <row r="11869" spans="2:10">
      <c r="B11869" s="1230" t="s">
        <v>460</v>
      </c>
      <c r="C11869" s="132" t="s">
        <v>2613</v>
      </c>
      <c r="D11869" s="255">
        <v>26145</v>
      </c>
      <c r="E11869" s="553">
        <v>450.36</v>
      </c>
      <c r="F11869" s="553">
        <v>5745.16</v>
      </c>
      <c r="G11869" s="553">
        <v>519.79</v>
      </c>
      <c r="H11869" s="553">
        <v>565.1</v>
      </c>
      <c r="I11869" s="553">
        <v>9925.43</v>
      </c>
      <c r="J11869" s="647">
        <v>2618.75</v>
      </c>
    </row>
    <row r="11870" spans="2:10">
      <c r="B11870" s="1230" t="s">
        <v>460</v>
      </c>
      <c r="C11870" s="132" t="s">
        <v>1776</v>
      </c>
      <c r="D11870" s="255">
        <v>26147</v>
      </c>
      <c r="E11870" s="553">
        <v>747.7</v>
      </c>
      <c r="F11870" s="553">
        <v>9295.4599999999991</v>
      </c>
      <c r="G11870" s="553">
        <v>273.95999999999998</v>
      </c>
      <c r="H11870" s="553">
        <v>916.02</v>
      </c>
      <c r="I11870" s="553">
        <v>22545.42</v>
      </c>
      <c r="J11870" s="647">
        <v>3106.45</v>
      </c>
    </row>
    <row r="11871" spans="2:10">
      <c r="B11871" s="1230" t="s">
        <v>460</v>
      </c>
      <c r="C11871" s="132" t="s">
        <v>2277</v>
      </c>
      <c r="D11871" s="255">
        <v>26149</v>
      </c>
      <c r="E11871" s="553">
        <v>340.3</v>
      </c>
      <c r="F11871" s="553">
        <v>4257.62</v>
      </c>
      <c r="G11871" s="553">
        <v>620.04</v>
      </c>
      <c r="H11871" s="553">
        <v>419.38</v>
      </c>
      <c r="I11871" s="553">
        <v>2486.19</v>
      </c>
      <c r="J11871" s="647">
        <v>2699.7</v>
      </c>
    </row>
    <row r="11872" spans="2:10">
      <c r="B11872" s="1230" t="s">
        <v>460</v>
      </c>
      <c r="C11872" s="132" t="s">
        <v>2614</v>
      </c>
      <c r="D11872" s="255">
        <v>26151</v>
      </c>
      <c r="E11872" s="553">
        <v>251.11</v>
      </c>
      <c r="F11872" s="553">
        <v>3075.37</v>
      </c>
      <c r="G11872" s="553">
        <v>424.62</v>
      </c>
      <c r="H11872" s="553">
        <v>303.36</v>
      </c>
      <c r="I11872" s="553">
        <v>5117.8100000000004</v>
      </c>
      <c r="J11872" s="647">
        <v>1939.53</v>
      </c>
    </row>
    <row r="11873" spans="2:10">
      <c r="B11873" s="1230" t="s">
        <v>460</v>
      </c>
      <c r="C11873" s="132" t="s">
        <v>2615</v>
      </c>
      <c r="D11873" s="255">
        <v>26153</v>
      </c>
      <c r="E11873" s="553">
        <v>114.05</v>
      </c>
      <c r="F11873" s="553">
        <v>1386.83</v>
      </c>
      <c r="G11873" s="553">
        <v>206.89</v>
      </c>
      <c r="H11873" s="553">
        <v>136.86000000000001</v>
      </c>
      <c r="I11873" s="553">
        <v>1396.93</v>
      </c>
      <c r="J11873" s="647">
        <v>1462.51</v>
      </c>
    </row>
    <row r="11874" spans="2:10">
      <c r="B11874" s="1230" t="s">
        <v>460</v>
      </c>
      <c r="C11874" s="132" t="s">
        <v>2616</v>
      </c>
      <c r="D11874" s="255">
        <v>26155</v>
      </c>
      <c r="E11874" s="553">
        <v>438.77</v>
      </c>
      <c r="F11874" s="553">
        <v>5302.79</v>
      </c>
      <c r="G11874" s="553">
        <v>497.09</v>
      </c>
      <c r="H11874" s="553">
        <v>523.74</v>
      </c>
      <c r="I11874" s="553">
        <v>8103.85</v>
      </c>
      <c r="J11874" s="647">
        <v>2528.33</v>
      </c>
    </row>
    <row r="11875" spans="2:10">
      <c r="B11875" s="1230" t="s">
        <v>460</v>
      </c>
      <c r="C11875" s="132" t="s">
        <v>2617</v>
      </c>
      <c r="D11875" s="255">
        <v>26157</v>
      </c>
      <c r="E11875" s="553">
        <v>267.73</v>
      </c>
      <c r="F11875" s="553">
        <v>3251.19</v>
      </c>
      <c r="G11875" s="553">
        <v>1083.8599999999999</v>
      </c>
      <c r="H11875" s="553">
        <v>321.02</v>
      </c>
      <c r="I11875" s="553">
        <v>5399.34</v>
      </c>
      <c r="J11875" s="647">
        <v>1982.81</v>
      </c>
    </row>
    <row r="11876" spans="2:10">
      <c r="B11876" s="1230" t="s">
        <v>460</v>
      </c>
      <c r="C11876" s="132" t="s">
        <v>1880</v>
      </c>
      <c r="D11876" s="255">
        <v>26159</v>
      </c>
      <c r="E11876" s="553">
        <v>355.15</v>
      </c>
      <c r="F11876" s="553">
        <v>4406.5</v>
      </c>
      <c r="G11876" s="553">
        <v>604.29</v>
      </c>
      <c r="H11876" s="553">
        <v>434.28</v>
      </c>
      <c r="I11876" s="553">
        <v>2794.97</v>
      </c>
      <c r="J11876" s="647">
        <v>2710.16</v>
      </c>
    </row>
    <row r="11877" spans="2:10">
      <c r="B11877" s="1230" t="s">
        <v>460</v>
      </c>
      <c r="C11877" s="132" t="s">
        <v>2618</v>
      </c>
      <c r="D11877" s="255">
        <v>26161</v>
      </c>
      <c r="E11877" s="553">
        <v>786.39</v>
      </c>
      <c r="F11877" s="553">
        <v>9128.02</v>
      </c>
      <c r="G11877" s="553">
        <v>536.82000000000005</v>
      </c>
      <c r="H11877" s="553">
        <v>904.5</v>
      </c>
      <c r="I11877" s="553">
        <v>20942.71</v>
      </c>
      <c r="J11877" s="647">
        <v>3237.94</v>
      </c>
    </row>
    <row r="11878" spans="2:10">
      <c r="B11878" s="1230" t="s">
        <v>460</v>
      </c>
      <c r="C11878" s="132" t="s">
        <v>2155</v>
      </c>
      <c r="D11878" s="255">
        <v>26163</v>
      </c>
      <c r="E11878" s="553">
        <v>1585.5</v>
      </c>
      <c r="F11878" s="553">
        <v>19837.689999999999</v>
      </c>
      <c r="G11878" s="553">
        <v>248.09</v>
      </c>
      <c r="H11878" s="553">
        <v>1954.89</v>
      </c>
      <c r="I11878" s="553">
        <v>51202.77</v>
      </c>
      <c r="J11878" s="647">
        <v>5072.03</v>
      </c>
    </row>
    <row r="11879" spans="2:10">
      <c r="B11879" s="1230" t="s">
        <v>460</v>
      </c>
      <c r="C11879" s="132" t="s">
        <v>2619</v>
      </c>
      <c r="D11879" s="255">
        <v>26165</v>
      </c>
      <c r="E11879" s="553">
        <v>169.49</v>
      </c>
      <c r="F11879" s="553">
        <v>2091.81</v>
      </c>
      <c r="G11879" s="553">
        <v>321.79000000000002</v>
      </c>
      <c r="H11879" s="553">
        <v>206.32</v>
      </c>
      <c r="I11879" s="553">
        <v>3956.46</v>
      </c>
      <c r="J11879" s="647">
        <v>1604.02</v>
      </c>
    </row>
    <row r="11880" spans="2:10">
      <c r="B11880" s="1230" t="s">
        <v>461</v>
      </c>
      <c r="C11880" s="132" t="s">
        <v>2620</v>
      </c>
      <c r="D11880" s="255">
        <v>27001</v>
      </c>
      <c r="E11880" s="553">
        <v>131.03</v>
      </c>
      <c r="F11880" s="553">
        <v>1537.51</v>
      </c>
      <c r="G11880" s="553">
        <v>481.52</v>
      </c>
      <c r="H11880" s="553">
        <v>152.13999999999999</v>
      </c>
      <c r="I11880" s="553">
        <v>1319.23</v>
      </c>
      <c r="J11880" s="647">
        <v>1637.63</v>
      </c>
    </row>
    <row r="11881" spans="2:10">
      <c r="B11881" s="1230" t="s">
        <v>461</v>
      </c>
      <c r="C11881" s="132" t="s">
        <v>2621</v>
      </c>
      <c r="D11881" s="255">
        <v>27003</v>
      </c>
      <c r="E11881" s="553">
        <v>2871.9</v>
      </c>
      <c r="F11881" s="553">
        <v>23550.34</v>
      </c>
      <c r="G11881" s="553">
        <v>4704.1899999999996</v>
      </c>
      <c r="H11881" s="553">
        <v>2410.69</v>
      </c>
      <c r="I11881" s="553">
        <v>16428.2</v>
      </c>
      <c r="J11881" s="647">
        <v>8318.52</v>
      </c>
    </row>
    <row r="11882" spans="2:10">
      <c r="B11882" s="1230" t="s">
        <v>461</v>
      </c>
      <c r="C11882" s="132" t="s">
        <v>2622</v>
      </c>
      <c r="D11882" s="255">
        <v>27005</v>
      </c>
      <c r="E11882" s="553">
        <v>148.91999999999999</v>
      </c>
      <c r="F11882" s="553">
        <v>1808.51</v>
      </c>
      <c r="G11882" s="553">
        <v>738.7</v>
      </c>
      <c r="H11882" s="553">
        <v>178.54</v>
      </c>
      <c r="I11882" s="553">
        <v>526.87</v>
      </c>
      <c r="J11882" s="647">
        <v>1830.57</v>
      </c>
    </row>
    <row r="11883" spans="2:10">
      <c r="B11883" s="1230" t="s">
        <v>461</v>
      </c>
      <c r="C11883" s="132" t="s">
        <v>2623</v>
      </c>
      <c r="D11883" s="255">
        <v>27007</v>
      </c>
      <c r="E11883" s="553">
        <v>107.68</v>
      </c>
      <c r="F11883" s="553">
        <v>1251.0899999999999</v>
      </c>
      <c r="G11883" s="553">
        <v>451.35</v>
      </c>
      <c r="H11883" s="553">
        <v>123.88</v>
      </c>
      <c r="I11883" s="553">
        <v>686.87</v>
      </c>
      <c r="J11883" s="647">
        <v>1651.9</v>
      </c>
    </row>
    <row r="11884" spans="2:10">
      <c r="B11884" s="1230" t="s">
        <v>461</v>
      </c>
      <c r="C11884" s="132" t="s">
        <v>1832</v>
      </c>
      <c r="D11884" s="255">
        <v>27009</v>
      </c>
      <c r="E11884" s="553">
        <v>299.68</v>
      </c>
      <c r="F11884" s="553">
        <v>2883.03</v>
      </c>
      <c r="G11884" s="553">
        <v>1027.8499999999999</v>
      </c>
      <c r="H11884" s="553">
        <v>290.38</v>
      </c>
      <c r="I11884" s="553">
        <v>1387.54</v>
      </c>
      <c r="J11884" s="647">
        <v>2254.87</v>
      </c>
    </row>
    <row r="11885" spans="2:10">
      <c r="B11885" s="1230" t="s">
        <v>461</v>
      </c>
      <c r="C11885" s="132" t="s">
        <v>2624</v>
      </c>
      <c r="D11885" s="255">
        <v>27011</v>
      </c>
      <c r="E11885" s="553">
        <v>101.53</v>
      </c>
      <c r="F11885" s="553">
        <v>1167.58</v>
      </c>
      <c r="G11885" s="553">
        <v>618.6</v>
      </c>
      <c r="H11885" s="553">
        <v>115.76</v>
      </c>
      <c r="I11885" s="553">
        <v>416.81</v>
      </c>
      <c r="J11885" s="647">
        <v>648.70000000000005</v>
      </c>
    </row>
    <row r="11886" spans="2:10">
      <c r="B11886" s="1230" t="s">
        <v>461</v>
      </c>
      <c r="C11886" s="132" t="s">
        <v>2625</v>
      </c>
      <c r="D11886" s="255">
        <v>27013</v>
      </c>
      <c r="E11886" s="553">
        <v>259.58999999999997</v>
      </c>
      <c r="F11886" s="553">
        <v>2885.37</v>
      </c>
      <c r="G11886" s="553">
        <v>1053.44</v>
      </c>
      <c r="H11886" s="553">
        <v>286.97000000000003</v>
      </c>
      <c r="I11886" s="553">
        <v>802.28</v>
      </c>
      <c r="J11886" s="647">
        <v>2346.02</v>
      </c>
    </row>
    <row r="11887" spans="2:10">
      <c r="B11887" s="1230" t="s">
        <v>461</v>
      </c>
      <c r="C11887" s="132" t="s">
        <v>2200</v>
      </c>
      <c r="D11887" s="255">
        <v>27015</v>
      </c>
      <c r="E11887" s="553">
        <v>214.85</v>
      </c>
      <c r="F11887" s="553">
        <v>2411.02</v>
      </c>
      <c r="G11887" s="553">
        <v>990.68</v>
      </c>
      <c r="H11887" s="553">
        <v>239.48</v>
      </c>
      <c r="I11887" s="553">
        <v>703.51</v>
      </c>
      <c r="J11887" s="647">
        <v>2122.52</v>
      </c>
    </row>
    <row r="11888" spans="2:10">
      <c r="B11888" s="1230" t="s">
        <v>461</v>
      </c>
      <c r="C11888" s="132" t="s">
        <v>2626</v>
      </c>
      <c r="D11888" s="255">
        <v>27017</v>
      </c>
      <c r="E11888" s="553">
        <v>136.13999999999999</v>
      </c>
      <c r="F11888" s="553">
        <v>1589.97</v>
      </c>
      <c r="G11888" s="553">
        <v>449.11</v>
      </c>
      <c r="H11888" s="553">
        <v>157.38999999999999</v>
      </c>
      <c r="I11888" s="553">
        <v>2341.52</v>
      </c>
      <c r="J11888" s="647">
        <v>1632.09</v>
      </c>
    </row>
    <row r="11889" spans="2:10">
      <c r="B11889" s="1230" t="s">
        <v>461</v>
      </c>
      <c r="C11889" s="132" t="s">
        <v>2627</v>
      </c>
      <c r="D11889" s="255">
        <v>27019</v>
      </c>
      <c r="E11889" s="553">
        <v>633.4</v>
      </c>
      <c r="F11889" s="553">
        <v>5272.39</v>
      </c>
      <c r="G11889" s="553">
        <v>1375.22</v>
      </c>
      <c r="H11889" s="553">
        <v>538.98</v>
      </c>
      <c r="I11889" s="553">
        <v>1343.54</v>
      </c>
      <c r="J11889" s="647">
        <v>2912.89</v>
      </c>
    </row>
    <row r="11890" spans="2:10">
      <c r="B11890" s="1230" t="s">
        <v>461</v>
      </c>
      <c r="C11890" s="132" t="s">
        <v>2202</v>
      </c>
      <c r="D11890" s="255">
        <v>27021</v>
      </c>
      <c r="E11890" s="553">
        <v>126.77</v>
      </c>
      <c r="F11890" s="553">
        <v>1495.13</v>
      </c>
      <c r="G11890" s="553">
        <v>532.91999999999996</v>
      </c>
      <c r="H11890" s="553">
        <v>147.97</v>
      </c>
      <c r="I11890" s="553">
        <v>754.25</v>
      </c>
      <c r="J11890" s="647">
        <v>1625.05</v>
      </c>
    </row>
    <row r="11891" spans="2:10">
      <c r="B11891" s="1230" t="s">
        <v>461</v>
      </c>
      <c r="C11891" s="132" t="s">
        <v>2570</v>
      </c>
      <c r="D11891" s="255">
        <v>27023</v>
      </c>
      <c r="E11891" s="553">
        <v>179.59</v>
      </c>
      <c r="F11891" s="553">
        <v>2014.29</v>
      </c>
      <c r="G11891" s="553">
        <v>887.6</v>
      </c>
      <c r="H11891" s="553">
        <v>200.29</v>
      </c>
      <c r="I11891" s="553">
        <v>599.28</v>
      </c>
      <c r="J11891" s="647">
        <v>1897.72</v>
      </c>
    </row>
    <row r="11892" spans="2:10">
      <c r="B11892" s="1230" t="s">
        <v>461</v>
      </c>
      <c r="C11892" s="132" t="s">
        <v>2628</v>
      </c>
      <c r="D11892" s="255">
        <v>27025</v>
      </c>
      <c r="E11892" s="553">
        <v>406.28</v>
      </c>
      <c r="F11892" s="553">
        <v>3983.56</v>
      </c>
      <c r="G11892" s="553">
        <v>1099.47</v>
      </c>
      <c r="H11892" s="553">
        <v>400.45</v>
      </c>
      <c r="I11892" s="553">
        <v>1775.8</v>
      </c>
      <c r="J11892" s="647">
        <v>2619.34</v>
      </c>
    </row>
    <row r="11893" spans="2:10">
      <c r="B11893" s="1230" t="s">
        <v>461</v>
      </c>
      <c r="C11893" s="132" t="s">
        <v>1732</v>
      </c>
      <c r="D11893" s="255">
        <v>27027</v>
      </c>
      <c r="E11893" s="553">
        <v>136.97999999999999</v>
      </c>
      <c r="F11893" s="553">
        <v>1550.47</v>
      </c>
      <c r="G11893" s="553">
        <v>749.02</v>
      </c>
      <c r="H11893" s="553">
        <v>153.99</v>
      </c>
      <c r="I11893" s="553">
        <v>437.14</v>
      </c>
      <c r="J11893" s="647">
        <v>1662.81</v>
      </c>
    </row>
    <row r="11894" spans="2:10">
      <c r="B11894" s="1230" t="s">
        <v>461</v>
      </c>
      <c r="C11894" s="132" t="s">
        <v>2180</v>
      </c>
      <c r="D11894" s="255">
        <v>27029</v>
      </c>
      <c r="E11894" s="553">
        <v>144.62</v>
      </c>
      <c r="F11894" s="553">
        <v>1659.22</v>
      </c>
      <c r="G11894" s="553">
        <v>559.09</v>
      </c>
      <c r="H11894" s="553">
        <v>164.49</v>
      </c>
      <c r="I11894" s="553">
        <v>683.45</v>
      </c>
      <c r="J11894" s="647">
        <v>1826.74</v>
      </c>
    </row>
    <row r="11895" spans="2:10">
      <c r="B11895" s="1230" t="s">
        <v>461</v>
      </c>
      <c r="C11895" s="132" t="s">
        <v>2080</v>
      </c>
      <c r="D11895" s="255">
        <v>27031</v>
      </c>
      <c r="E11895" s="553">
        <v>88.99</v>
      </c>
      <c r="F11895" s="553">
        <v>1052.02</v>
      </c>
      <c r="G11895" s="553">
        <v>275.70999999999998</v>
      </c>
      <c r="H11895" s="553">
        <v>104</v>
      </c>
      <c r="I11895" s="553">
        <v>938.73</v>
      </c>
      <c r="J11895" s="647">
        <v>1556.42</v>
      </c>
    </row>
    <row r="11896" spans="2:10">
      <c r="B11896" s="1230" t="s">
        <v>461</v>
      </c>
      <c r="C11896" s="132" t="s">
        <v>2629</v>
      </c>
      <c r="D11896" s="255">
        <v>27033</v>
      </c>
      <c r="E11896" s="553">
        <v>161.69</v>
      </c>
      <c r="F11896" s="553">
        <v>1863.71</v>
      </c>
      <c r="G11896" s="553">
        <v>785.51</v>
      </c>
      <c r="H11896" s="553">
        <v>184.7</v>
      </c>
      <c r="I11896" s="553">
        <v>648.84</v>
      </c>
      <c r="J11896" s="647">
        <v>1915.23</v>
      </c>
    </row>
    <row r="11897" spans="2:10">
      <c r="B11897" s="1230" t="s">
        <v>461</v>
      </c>
      <c r="C11897" s="132" t="s">
        <v>2630</v>
      </c>
      <c r="D11897" s="255">
        <v>27035</v>
      </c>
      <c r="E11897" s="553">
        <v>190.08</v>
      </c>
      <c r="F11897" s="553">
        <v>2272.4499999999998</v>
      </c>
      <c r="G11897" s="553">
        <v>764.2</v>
      </c>
      <c r="H11897" s="553">
        <v>224.54</v>
      </c>
      <c r="I11897" s="553">
        <v>767.82</v>
      </c>
      <c r="J11897" s="647">
        <v>2016.54</v>
      </c>
    </row>
    <row r="11898" spans="2:10">
      <c r="B11898" s="1230" t="s">
        <v>461</v>
      </c>
      <c r="C11898" s="132" t="s">
        <v>2631</v>
      </c>
      <c r="D11898" s="255">
        <v>27037</v>
      </c>
      <c r="E11898" s="553">
        <v>1454.93</v>
      </c>
      <c r="F11898" s="553">
        <v>11845.45</v>
      </c>
      <c r="G11898" s="553">
        <v>3099.96</v>
      </c>
      <c r="H11898" s="553">
        <v>1213.23</v>
      </c>
      <c r="I11898" s="553">
        <v>1756.41</v>
      </c>
      <c r="J11898" s="647">
        <v>5720.95</v>
      </c>
    </row>
    <row r="11899" spans="2:10">
      <c r="B11899" s="1230" t="s">
        <v>461</v>
      </c>
      <c r="C11899" s="132" t="s">
        <v>2086</v>
      </c>
      <c r="D11899" s="255">
        <v>27039</v>
      </c>
      <c r="E11899" s="553">
        <v>259.7</v>
      </c>
      <c r="F11899" s="553">
        <v>2839.03</v>
      </c>
      <c r="G11899" s="553">
        <v>952.39</v>
      </c>
      <c r="H11899" s="553">
        <v>282.67</v>
      </c>
      <c r="I11899" s="553">
        <v>971.37</v>
      </c>
      <c r="J11899" s="647">
        <v>2272.3200000000002</v>
      </c>
    </row>
    <row r="11900" spans="2:10">
      <c r="B11900" s="1230" t="s">
        <v>461</v>
      </c>
      <c r="C11900" s="132" t="s">
        <v>1957</v>
      </c>
      <c r="D11900" s="255">
        <v>27041</v>
      </c>
      <c r="E11900" s="553">
        <v>164.42</v>
      </c>
      <c r="F11900" s="553">
        <v>1925.82</v>
      </c>
      <c r="G11900" s="553">
        <v>748.01</v>
      </c>
      <c r="H11900" s="553">
        <v>190.63</v>
      </c>
      <c r="I11900" s="553">
        <v>603.23</v>
      </c>
      <c r="J11900" s="647">
        <v>1826.85</v>
      </c>
    </row>
    <row r="11901" spans="2:10">
      <c r="B11901" s="1230" t="s">
        <v>461</v>
      </c>
      <c r="C11901" s="132" t="s">
        <v>2632</v>
      </c>
      <c r="D11901" s="255">
        <v>27043</v>
      </c>
      <c r="E11901" s="553">
        <v>180.05</v>
      </c>
      <c r="F11901" s="553">
        <v>2116.67</v>
      </c>
      <c r="G11901" s="553">
        <v>832.06</v>
      </c>
      <c r="H11901" s="553">
        <v>209.47</v>
      </c>
      <c r="I11901" s="553">
        <v>797.21</v>
      </c>
      <c r="J11901" s="647">
        <v>2036.7</v>
      </c>
    </row>
    <row r="11902" spans="2:10">
      <c r="B11902" s="1230" t="s">
        <v>461</v>
      </c>
      <c r="C11902" s="132" t="s">
        <v>2633</v>
      </c>
      <c r="D11902" s="255">
        <v>27045</v>
      </c>
      <c r="E11902" s="553">
        <v>293.42</v>
      </c>
      <c r="F11902" s="553">
        <v>3285.72</v>
      </c>
      <c r="G11902" s="553">
        <v>1053.56</v>
      </c>
      <c r="H11902" s="553">
        <v>326.55</v>
      </c>
      <c r="I11902" s="553">
        <v>1138.03</v>
      </c>
      <c r="J11902" s="647">
        <v>2613.17</v>
      </c>
    </row>
    <row r="11903" spans="2:10">
      <c r="B11903" s="1230" t="s">
        <v>461</v>
      </c>
      <c r="C11903" s="132" t="s">
        <v>2634</v>
      </c>
      <c r="D11903" s="255">
        <v>27047</v>
      </c>
      <c r="E11903" s="553">
        <v>221.93</v>
      </c>
      <c r="F11903" s="553">
        <v>2599.25</v>
      </c>
      <c r="G11903" s="553">
        <v>968.89</v>
      </c>
      <c r="H11903" s="553">
        <v>257.35000000000002</v>
      </c>
      <c r="I11903" s="553">
        <v>875.32</v>
      </c>
      <c r="J11903" s="647">
        <v>2242.09</v>
      </c>
    </row>
    <row r="11904" spans="2:10">
      <c r="B11904" s="1230" t="s">
        <v>461</v>
      </c>
      <c r="C11904" s="132" t="s">
        <v>2635</v>
      </c>
      <c r="D11904" s="255">
        <v>27049</v>
      </c>
      <c r="E11904" s="553">
        <v>606.42999999999995</v>
      </c>
      <c r="F11904" s="553">
        <v>5538.73</v>
      </c>
      <c r="G11904" s="553">
        <v>1720.75</v>
      </c>
      <c r="H11904" s="553">
        <v>560.75</v>
      </c>
      <c r="I11904" s="553">
        <v>1166.1199999999999</v>
      </c>
      <c r="J11904" s="647">
        <v>3571.18</v>
      </c>
    </row>
    <row r="11905" spans="2:10">
      <c r="B11905" s="1230" t="s">
        <v>461</v>
      </c>
      <c r="C11905" s="132" t="s">
        <v>1850</v>
      </c>
      <c r="D11905" s="255">
        <v>27051</v>
      </c>
      <c r="E11905" s="553">
        <v>120.47</v>
      </c>
      <c r="F11905" s="553">
        <v>1371.7</v>
      </c>
      <c r="G11905" s="553">
        <v>732.27</v>
      </c>
      <c r="H11905" s="553">
        <v>136.05000000000001</v>
      </c>
      <c r="I11905" s="553">
        <v>504.64</v>
      </c>
      <c r="J11905" s="647">
        <v>1592.89</v>
      </c>
    </row>
    <row r="11906" spans="2:10">
      <c r="B11906" s="1230" t="s">
        <v>461</v>
      </c>
      <c r="C11906" s="132" t="s">
        <v>2636</v>
      </c>
      <c r="D11906" s="255">
        <v>27053</v>
      </c>
      <c r="E11906" s="553">
        <v>2566.2800000000002</v>
      </c>
      <c r="F11906" s="553">
        <v>20945.77</v>
      </c>
      <c r="G11906" s="553">
        <v>4584.42</v>
      </c>
      <c r="H11906" s="553">
        <v>2144.62</v>
      </c>
      <c r="I11906" s="553">
        <v>13883.7</v>
      </c>
      <c r="J11906" s="647">
        <v>8206.06</v>
      </c>
    </row>
    <row r="11907" spans="2:10">
      <c r="B11907" s="1230" t="s">
        <v>461</v>
      </c>
      <c r="C11907" s="132" t="s">
        <v>1753</v>
      </c>
      <c r="D11907" s="255">
        <v>27055</v>
      </c>
      <c r="E11907" s="553">
        <v>218.48</v>
      </c>
      <c r="F11907" s="553">
        <v>2565.54</v>
      </c>
      <c r="G11907" s="553">
        <v>704</v>
      </c>
      <c r="H11907" s="553">
        <v>253.96</v>
      </c>
      <c r="I11907" s="553">
        <v>1118.6400000000001</v>
      </c>
      <c r="J11907" s="647">
        <v>1878.52</v>
      </c>
    </row>
    <row r="11908" spans="2:10">
      <c r="B11908" s="1230" t="s">
        <v>461</v>
      </c>
      <c r="C11908" s="132" t="s">
        <v>2637</v>
      </c>
      <c r="D11908" s="255">
        <v>27057</v>
      </c>
      <c r="E11908" s="553">
        <v>117.27</v>
      </c>
      <c r="F11908" s="553">
        <v>1366.91</v>
      </c>
      <c r="G11908" s="553">
        <v>638.21</v>
      </c>
      <c r="H11908" s="553">
        <v>135.28</v>
      </c>
      <c r="I11908" s="553">
        <v>623.04999999999995</v>
      </c>
      <c r="J11908" s="647">
        <v>1582.91</v>
      </c>
    </row>
    <row r="11909" spans="2:10">
      <c r="B11909" s="1230" t="s">
        <v>461</v>
      </c>
      <c r="C11909" s="132" t="s">
        <v>2638</v>
      </c>
      <c r="D11909" s="255">
        <v>27059</v>
      </c>
      <c r="E11909" s="553">
        <v>462.11</v>
      </c>
      <c r="F11909" s="553">
        <v>4185.5200000000004</v>
      </c>
      <c r="G11909" s="553">
        <v>1225.46</v>
      </c>
      <c r="H11909" s="553">
        <v>423.93</v>
      </c>
      <c r="I11909" s="553">
        <v>3569.47</v>
      </c>
      <c r="J11909" s="647">
        <v>2828.39</v>
      </c>
    </row>
    <row r="11910" spans="2:10">
      <c r="B11910" s="1230" t="s">
        <v>461</v>
      </c>
      <c r="C11910" s="132" t="s">
        <v>2639</v>
      </c>
      <c r="D11910" s="255">
        <v>27061</v>
      </c>
      <c r="E11910" s="553">
        <v>113.7</v>
      </c>
      <c r="F11910" s="553">
        <v>1370.2</v>
      </c>
      <c r="G11910" s="553">
        <v>389.72</v>
      </c>
      <c r="H11910" s="553">
        <v>135.28</v>
      </c>
      <c r="I11910" s="553">
        <v>1708.84</v>
      </c>
      <c r="J11910" s="647">
        <v>1679.83</v>
      </c>
    </row>
    <row r="11911" spans="2:10">
      <c r="B11911" s="1230" t="s">
        <v>461</v>
      </c>
      <c r="C11911" s="132" t="s">
        <v>1754</v>
      </c>
      <c r="D11911" s="255">
        <v>27063</v>
      </c>
      <c r="E11911" s="553">
        <v>176.48</v>
      </c>
      <c r="F11911" s="553">
        <v>2065.92</v>
      </c>
      <c r="G11911" s="553">
        <v>890.58</v>
      </c>
      <c r="H11911" s="553">
        <v>204.56</v>
      </c>
      <c r="I11911" s="553">
        <v>650.33000000000004</v>
      </c>
      <c r="J11911" s="647">
        <v>2019.16</v>
      </c>
    </row>
    <row r="11912" spans="2:10">
      <c r="B11912" s="1230" t="s">
        <v>461</v>
      </c>
      <c r="C11912" s="132" t="s">
        <v>2640</v>
      </c>
      <c r="D11912" s="255">
        <v>27065</v>
      </c>
      <c r="E11912" s="553">
        <v>221.75</v>
      </c>
      <c r="F11912" s="553">
        <v>2326.94</v>
      </c>
      <c r="G11912" s="553">
        <v>707.63</v>
      </c>
      <c r="H11912" s="553">
        <v>232.44</v>
      </c>
      <c r="I11912" s="553">
        <v>1196.3399999999999</v>
      </c>
      <c r="J11912" s="647">
        <v>2037.09</v>
      </c>
    </row>
    <row r="11913" spans="2:10">
      <c r="B11913" s="1230" t="s">
        <v>461</v>
      </c>
      <c r="C11913" s="132" t="s">
        <v>2641</v>
      </c>
      <c r="D11913" s="255">
        <v>27067</v>
      </c>
      <c r="E11913" s="553">
        <v>205.48</v>
      </c>
      <c r="F11913" s="553">
        <v>2277.8000000000002</v>
      </c>
      <c r="G11913" s="553">
        <v>1024.78</v>
      </c>
      <c r="H11913" s="553">
        <v>226.58</v>
      </c>
      <c r="I11913" s="553">
        <v>718.42</v>
      </c>
      <c r="J11913" s="647">
        <v>2060.5500000000002</v>
      </c>
    </row>
    <row r="11914" spans="2:10">
      <c r="B11914" s="1230" t="s">
        <v>461</v>
      </c>
      <c r="C11914" s="132" t="s">
        <v>2642</v>
      </c>
      <c r="D11914" s="255">
        <v>27069</v>
      </c>
      <c r="E11914" s="553">
        <v>83.71</v>
      </c>
      <c r="F11914" s="553">
        <v>949.35</v>
      </c>
      <c r="G11914" s="553">
        <v>427.13</v>
      </c>
      <c r="H11914" s="553">
        <v>94.23</v>
      </c>
      <c r="I11914" s="553">
        <v>445.98</v>
      </c>
      <c r="J11914" s="647">
        <v>1467.31</v>
      </c>
    </row>
    <row r="11915" spans="2:10">
      <c r="B11915" s="1230" t="s">
        <v>461</v>
      </c>
      <c r="C11915" s="132" t="s">
        <v>2643</v>
      </c>
      <c r="D11915" s="255">
        <v>27071</v>
      </c>
      <c r="E11915" s="553">
        <v>87.18</v>
      </c>
      <c r="F11915" s="553">
        <v>1036.96</v>
      </c>
      <c r="G11915" s="553">
        <v>319.14</v>
      </c>
      <c r="H11915" s="553">
        <v>102.51</v>
      </c>
      <c r="I11915" s="553">
        <v>1069.95</v>
      </c>
      <c r="J11915" s="647">
        <v>1496.36</v>
      </c>
    </row>
    <row r="11916" spans="2:10">
      <c r="B11916" s="1230" t="s">
        <v>461</v>
      </c>
      <c r="C11916" s="132" t="s">
        <v>2644</v>
      </c>
      <c r="D11916" s="255">
        <v>27073</v>
      </c>
      <c r="E11916" s="553">
        <v>154.61000000000001</v>
      </c>
      <c r="F11916" s="553">
        <v>1751.62</v>
      </c>
      <c r="G11916" s="553">
        <v>751.5</v>
      </c>
      <c r="H11916" s="553">
        <v>173.89</v>
      </c>
      <c r="I11916" s="553">
        <v>517.71</v>
      </c>
      <c r="J11916" s="647">
        <v>1797.11</v>
      </c>
    </row>
    <row r="11917" spans="2:10">
      <c r="B11917" s="1230" t="s">
        <v>461</v>
      </c>
      <c r="C11917" s="132" t="s">
        <v>1900</v>
      </c>
      <c r="D11917" s="255">
        <v>27075</v>
      </c>
      <c r="E11917" s="553">
        <v>96.47</v>
      </c>
      <c r="F11917" s="553">
        <v>1157.93</v>
      </c>
      <c r="G11917" s="553">
        <v>310.20999999999998</v>
      </c>
      <c r="H11917" s="553">
        <v>114.44</v>
      </c>
      <c r="I11917" s="553">
        <v>1227.8599999999999</v>
      </c>
      <c r="J11917" s="647">
        <v>1613.49</v>
      </c>
    </row>
    <row r="11918" spans="2:10">
      <c r="B11918" s="1230" t="s">
        <v>461</v>
      </c>
      <c r="C11918" s="132" t="s">
        <v>2645</v>
      </c>
      <c r="D11918" s="255">
        <v>27077</v>
      </c>
      <c r="E11918" s="553">
        <v>78.709999999999994</v>
      </c>
      <c r="F11918" s="553">
        <v>902.97</v>
      </c>
      <c r="G11918" s="553">
        <v>325.61</v>
      </c>
      <c r="H11918" s="553">
        <v>89.59</v>
      </c>
      <c r="I11918" s="553">
        <v>554.66999999999996</v>
      </c>
      <c r="J11918" s="647">
        <v>1422.61</v>
      </c>
    </row>
    <row r="11919" spans="2:10">
      <c r="B11919" s="1230" t="s">
        <v>461</v>
      </c>
      <c r="C11919" s="132" t="s">
        <v>2646</v>
      </c>
      <c r="D11919" s="255">
        <v>27079</v>
      </c>
      <c r="E11919" s="553">
        <v>262.07</v>
      </c>
      <c r="F11919" s="553">
        <v>2692.02</v>
      </c>
      <c r="G11919" s="553">
        <v>899.03</v>
      </c>
      <c r="H11919" s="553">
        <v>269.44</v>
      </c>
      <c r="I11919" s="553">
        <v>906.68</v>
      </c>
      <c r="J11919" s="647">
        <v>2181.11</v>
      </c>
    </row>
    <row r="11920" spans="2:10">
      <c r="B11920" s="1230" t="s">
        <v>461</v>
      </c>
      <c r="C11920" s="132" t="s">
        <v>1858</v>
      </c>
      <c r="D11920" s="255">
        <v>27081</v>
      </c>
      <c r="E11920" s="553">
        <v>120.07</v>
      </c>
      <c r="F11920" s="553">
        <v>1397.63</v>
      </c>
      <c r="G11920" s="553">
        <v>644.21</v>
      </c>
      <c r="H11920" s="553">
        <v>138.37</v>
      </c>
      <c r="I11920" s="553">
        <v>426.68</v>
      </c>
      <c r="J11920" s="647">
        <v>678.76</v>
      </c>
    </row>
    <row r="11921" spans="2:10">
      <c r="B11921" s="1230" t="s">
        <v>461</v>
      </c>
      <c r="C11921" s="132" t="s">
        <v>2314</v>
      </c>
      <c r="D11921" s="255">
        <v>27083</v>
      </c>
      <c r="E11921" s="553">
        <v>161.30000000000001</v>
      </c>
      <c r="F11921" s="553">
        <v>1836.8</v>
      </c>
      <c r="G11921" s="553">
        <v>833.93</v>
      </c>
      <c r="H11921" s="553">
        <v>182.29</v>
      </c>
      <c r="I11921" s="553">
        <v>571.41999999999996</v>
      </c>
      <c r="J11921" s="647">
        <v>1869.13</v>
      </c>
    </row>
    <row r="11922" spans="2:10">
      <c r="B11922" s="1230" t="s">
        <v>461</v>
      </c>
      <c r="C11922" s="132" t="s">
        <v>2647</v>
      </c>
      <c r="D11922" s="255">
        <v>27085</v>
      </c>
      <c r="E11922" s="553">
        <v>287.24</v>
      </c>
      <c r="F11922" s="553">
        <v>2916.57</v>
      </c>
      <c r="G11922" s="553">
        <v>1058.3499999999999</v>
      </c>
      <c r="H11922" s="553">
        <v>292.27999999999997</v>
      </c>
      <c r="I11922" s="553">
        <v>889.33</v>
      </c>
      <c r="J11922" s="647">
        <v>2262.21</v>
      </c>
    </row>
    <row r="11923" spans="2:10">
      <c r="B11923" s="1230" t="s">
        <v>461</v>
      </c>
      <c r="C11923" s="132" t="s">
        <v>2648</v>
      </c>
      <c r="D11923" s="255">
        <v>27087</v>
      </c>
      <c r="E11923" s="553">
        <v>114.38</v>
      </c>
      <c r="F11923" s="553">
        <v>1286.49</v>
      </c>
      <c r="G11923" s="553">
        <v>558.61</v>
      </c>
      <c r="H11923" s="553">
        <v>127.77</v>
      </c>
      <c r="I11923" s="553">
        <v>626.41</v>
      </c>
      <c r="J11923" s="647">
        <v>1699.53</v>
      </c>
    </row>
    <row r="11924" spans="2:10">
      <c r="B11924" s="1230" t="s">
        <v>461</v>
      </c>
      <c r="C11924" s="132" t="s">
        <v>1766</v>
      </c>
      <c r="D11924" s="255">
        <v>27089</v>
      </c>
      <c r="E11924" s="553">
        <v>102.01</v>
      </c>
      <c r="F11924" s="553">
        <v>1141.92</v>
      </c>
      <c r="G11924" s="553">
        <v>501.75</v>
      </c>
      <c r="H11924" s="553">
        <v>113.45</v>
      </c>
      <c r="I11924" s="553">
        <v>496.22</v>
      </c>
      <c r="J11924" s="647">
        <v>1577.78</v>
      </c>
    </row>
    <row r="11925" spans="2:10">
      <c r="B11925" s="1230" t="s">
        <v>461</v>
      </c>
      <c r="C11925" s="132" t="s">
        <v>2035</v>
      </c>
      <c r="D11925" s="255">
        <v>27091</v>
      </c>
      <c r="E11925" s="553">
        <v>183.53</v>
      </c>
      <c r="F11925" s="553">
        <v>2149.02</v>
      </c>
      <c r="G11925" s="553">
        <v>939.36</v>
      </c>
      <c r="H11925" s="553">
        <v>212.7</v>
      </c>
      <c r="I11925" s="553">
        <v>717.77</v>
      </c>
      <c r="J11925" s="647">
        <v>2053.61</v>
      </c>
    </row>
    <row r="11926" spans="2:10">
      <c r="B11926" s="1230" t="s">
        <v>461</v>
      </c>
      <c r="C11926" s="132" t="s">
        <v>2649</v>
      </c>
      <c r="D11926" s="255">
        <v>27093</v>
      </c>
      <c r="E11926" s="553">
        <v>315.06</v>
      </c>
      <c r="F11926" s="553">
        <v>3305.42</v>
      </c>
      <c r="G11926" s="553">
        <v>1095.5</v>
      </c>
      <c r="H11926" s="553">
        <v>330.36</v>
      </c>
      <c r="I11926" s="553">
        <v>1000.51</v>
      </c>
      <c r="J11926" s="647">
        <v>2436.0700000000002</v>
      </c>
    </row>
    <row r="11927" spans="2:10">
      <c r="B11927" s="1230" t="s">
        <v>461</v>
      </c>
      <c r="C11927" s="132" t="s">
        <v>2650</v>
      </c>
      <c r="D11927" s="255">
        <v>27095</v>
      </c>
      <c r="E11927" s="553">
        <v>232.27</v>
      </c>
      <c r="F11927" s="553">
        <v>2404.8200000000002</v>
      </c>
      <c r="G11927" s="553">
        <v>753.42</v>
      </c>
      <c r="H11927" s="553">
        <v>240.5</v>
      </c>
      <c r="I11927" s="553">
        <v>1184.95</v>
      </c>
      <c r="J11927" s="647">
        <v>2083.5500000000002</v>
      </c>
    </row>
    <row r="11928" spans="2:10">
      <c r="B11928" s="1230" t="s">
        <v>461</v>
      </c>
      <c r="C11928" s="132" t="s">
        <v>2651</v>
      </c>
      <c r="D11928" s="255">
        <v>27097</v>
      </c>
      <c r="E11928" s="553">
        <v>235.06</v>
      </c>
      <c r="F11928" s="553">
        <v>2663.71</v>
      </c>
      <c r="G11928" s="553">
        <v>949.17</v>
      </c>
      <c r="H11928" s="553">
        <v>264.41000000000003</v>
      </c>
      <c r="I11928" s="553">
        <v>784.17</v>
      </c>
      <c r="J11928" s="647">
        <v>2258.8200000000002</v>
      </c>
    </row>
    <row r="11929" spans="2:10">
      <c r="B11929" s="1230" t="s">
        <v>461</v>
      </c>
      <c r="C11929" s="132" t="s">
        <v>2652</v>
      </c>
      <c r="D11929" s="255">
        <v>27099</v>
      </c>
      <c r="E11929" s="553">
        <v>224.65</v>
      </c>
      <c r="F11929" s="553">
        <v>2648.46</v>
      </c>
      <c r="G11929" s="553">
        <v>978.37</v>
      </c>
      <c r="H11929" s="553">
        <v>262.11</v>
      </c>
      <c r="I11929" s="553">
        <v>996.76</v>
      </c>
      <c r="J11929" s="647">
        <v>2288.84</v>
      </c>
    </row>
    <row r="11930" spans="2:10">
      <c r="B11930" s="1230" t="s">
        <v>461</v>
      </c>
      <c r="C11930" s="132" t="s">
        <v>2123</v>
      </c>
      <c r="D11930" s="255">
        <v>27101</v>
      </c>
      <c r="E11930" s="553">
        <v>128.82</v>
      </c>
      <c r="F11930" s="553">
        <v>1509.85</v>
      </c>
      <c r="G11930" s="553">
        <v>698.06</v>
      </c>
      <c r="H11930" s="553">
        <v>149.46</v>
      </c>
      <c r="I11930" s="553">
        <v>489.99</v>
      </c>
      <c r="J11930" s="647">
        <v>708.33</v>
      </c>
    </row>
    <row r="11931" spans="2:10">
      <c r="B11931" s="1230" t="s">
        <v>461</v>
      </c>
      <c r="C11931" s="132" t="s">
        <v>2653</v>
      </c>
      <c r="D11931" s="255">
        <v>27103</v>
      </c>
      <c r="E11931" s="553">
        <v>266.52999999999997</v>
      </c>
      <c r="F11931" s="553">
        <v>2924.02</v>
      </c>
      <c r="G11931" s="553">
        <v>1052.0899999999999</v>
      </c>
      <c r="H11931" s="553">
        <v>291.14999999999998</v>
      </c>
      <c r="I11931" s="553">
        <v>760.83</v>
      </c>
      <c r="J11931" s="647">
        <v>2250.1999999999998</v>
      </c>
    </row>
    <row r="11932" spans="2:10">
      <c r="B11932" s="1230" t="s">
        <v>461</v>
      </c>
      <c r="C11932" s="132" t="s">
        <v>2654</v>
      </c>
      <c r="D11932" s="255">
        <v>27105</v>
      </c>
      <c r="E11932" s="553">
        <v>134.37</v>
      </c>
      <c r="F11932" s="553">
        <v>1562.03</v>
      </c>
      <c r="G11932" s="553">
        <v>763.47</v>
      </c>
      <c r="H11932" s="553">
        <v>154.68</v>
      </c>
      <c r="I11932" s="553">
        <v>492.29</v>
      </c>
      <c r="J11932" s="647">
        <v>716.65</v>
      </c>
    </row>
    <row r="11933" spans="2:10">
      <c r="B11933" s="1230" t="s">
        <v>461</v>
      </c>
      <c r="C11933" s="132" t="s">
        <v>2655</v>
      </c>
      <c r="D11933" s="255">
        <v>27107</v>
      </c>
      <c r="E11933" s="553">
        <v>112.74</v>
      </c>
      <c r="F11933" s="553">
        <v>1273.96</v>
      </c>
      <c r="G11933" s="553">
        <v>617.13</v>
      </c>
      <c r="H11933" s="553">
        <v>126.51</v>
      </c>
      <c r="I11933" s="553">
        <v>549.19000000000005</v>
      </c>
      <c r="J11933" s="647">
        <v>1709.17</v>
      </c>
    </row>
    <row r="11934" spans="2:10">
      <c r="B11934" s="1230" t="s">
        <v>461</v>
      </c>
      <c r="C11934" s="132" t="s">
        <v>2656</v>
      </c>
      <c r="D11934" s="255">
        <v>27109</v>
      </c>
      <c r="E11934" s="553">
        <v>324.11</v>
      </c>
      <c r="F11934" s="553">
        <v>3454.95</v>
      </c>
      <c r="G11934" s="553">
        <v>1067.81</v>
      </c>
      <c r="H11934" s="553">
        <v>344.8</v>
      </c>
      <c r="I11934" s="553">
        <v>1054.6400000000001</v>
      </c>
      <c r="J11934" s="647">
        <v>2612.23</v>
      </c>
    </row>
    <row r="11935" spans="2:10">
      <c r="B11935" s="1230" t="s">
        <v>461</v>
      </c>
      <c r="C11935" s="132" t="s">
        <v>2657</v>
      </c>
      <c r="D11935" s="255">
        <v>27111</v>
      </c>
      <c r="E11935" s="553">
        <v>129.71</v>
      </c>
      <c r="F11935" s="553">
        <v>1533.67</v>
      </c>
      <c r="G11935" s="553">
        <v>713.16</v>
      </c>
      <c r="H11935" s="553">
        <v>151.66999999999999</v>
      </c>
      <c r="I11935" s="553">
        <v>541.33000000000004</v>
      </c>
      <c r="J11935" s="647">
        <v>1652.72</v>
      </c>
    </row>
    <row r="11936" spans="2:10">
      <c r="B11936" s="1230" t="s">
        <v>461</v>
      </c>
      <c r="C11936" s="132" t="s">
        <v>2658</v>
      </c>
      <c r="D11936" s="255">
        <v>27113</v>
      </c>
      <c r="E11936" s="553">
        <v>135.86000000000001</v>
      </c>
      <c r="F11936" s="553">
        <v>1544.74</v>
      </c>
      <c r="G11936" s="553">
        <v>565.36</v>
      </c>
      <c r="H11936" s="553">
        <v>153.32</v>
      </c>
      <c r="I11936" s="553">
        <v>546.91999999999996</v>
      </c>
      <c r="J11936" s="647">
        <v>1723.42</v>
      </c>
    </row>
    <row r="11937" spans="2:10">
      <c r="B11937" s="1230" t="s">
        <v>461</v>
      </c>
      <c r="C11937" s="132" t="s">
        <v>2659</v>
      </c>
      <c r="D11937" s="255">
        <v>27115</v>
      </c>
      <c r="E11937" s="553">
        <v>177.62</v>
      </c>
      <c r="F11937" s="553">
        <v>2008.62</v>
      </c>
      <c r="G11937" s="553">
        <v>603.26</v>
      </c>
      <c r="H11937" s="553">
        <v>199.37</v>
      </c>
      <c r="I11937" s="553">
        <v>1915.77</v>
      </c>
      <c r="J11937" s="647">
        <v>1935.92</v>
      </c>
    </row>
    <row r="11938" spans="2:10">
      <c r="B11938" s="1230" t="s">
        <v>461</v>
      </c>
      <c r="C11938" s="132" t="s">
        <v>2660</v>
      </c>
      <c r="D11938" s="255">
        <v>27117</v>
      </c>
      <c r="E11938" s="553">
        <v>121.1</v>
      </c>
      <c r="F11938" s="553">
        <v>1412.78</v>
      </c>
      <c r="G11938" s="553">
        <v>680.96</v>
      </c>
      <c r="H11938" s="553">
        <v>139.88</v>
      </c>
      <c r="I11938" s="553">
        <v>430.65</v>
      </c>
      <c r="J11938" s="647">
        <v>684.46</v>
      </c>
    </row>
    <row r="11939" spans="2:10">
      <c r="B11939" s="1230" t="s">
        <v>461</v>
      </c>
      <c r="C11939" s="132" t="s">
        <v>1867</v>
      </c>
      <c r="D11939" s="255">
        <v>27119</v>
      </c>
      <c r="E11939" s="553">
        <v>117.72</v>
      </c>
      <c r="F11939" s="553">
        <v>1340.5</v>
      </c>
      <c r="G11939" s="553">
        <v>817.34</v>
      </c>
      <c r="H11939" s="553">
        <v>132.97</v>
      </c>
      <c r="I11939" s="553">
        <v>593.73</v>
      </c>
      <c r="J11939" s="647">
        <v>1692.58</v>
      </c>
    </row>
    <row r="11940" spans="2:10">
      <c r="B11940" s="1230" t="s">
        <v>461</v>
      </c>
      <c r="C11940" s="132" t="s">
        <v>1868</v>
      </c>
      <c r="D11940" s="255">
        <v>27121</v>
      </c>
      <c r="E11940" s="553">
        <v>184.1</v>
      </c>
      <c r="F11940" s="553">
        <v>2116.8200000000002</v>
      </c>
      <c r="G11940" s="553">
        <v>858.3</v>
      </c>
      <c r="H11940" s="553">
        <v>209.84</v>
      </c>
      <c r="I11940" s="553">
        <v>619.04999999999995</v>
      </c>
      <c r="J11940" s="647">
        <v>1926.63</v>
      </c>
    </row>
    <row r="11941" spans="2:10">
      <c r="B11941" s="1230" t="s">
        <v>461</v>
      </c>
      <c r="C11941" s="132" t="s">
        <v>2661</v>
      </c>
      <c r="D11941" s="255">
        <v>27123</v>
      </c>
      <c r="E11941" s="553">
        <v>2135.1</v>
      </c>
      <c r="F11941" s="553">
        <v>17190.82</v>
      </c>
      <c r="G11941" s="553">
        <v>3362.87</v>
      </c>
      <c r="H11941" s="553">
        <v>1762.66</v>
      </c>
      <c r="I11941" s="553">
        <v>2548.75</v>
      </c>
      <c r="J11941" s="647">
        <v>6255.88</v>
      </c>
    </row>
    <row r="11942" spans="2:10">
      <c r="B11942" s="1230" t="s">
        <v>461</v>
      </c>
      <c r="C11942" s="132" t="s">
        <v>2662</v>
      </c>
      <c r="D11942" s="255">
        <v>27125</v>
      </c>
      <c r="E11942" s="553">
        <v>150.94</v>
      </c>
      <c r="F11942" s="553">
        <v>1711.12</v>
      </c>
      <c r="G11942" s="553">
        <v>613.96</v>
      </c>
      <c r="H11942" s="553">
        <v>169.92</v>
      </c>
      <c r="I11942" s="553">
        <v>554.36</v>
      </c>
      <c r="J11942" s="647">
        <v>1760.88</v>
      </c>
    </row>
    <row r="11943" spans="2:10">
      <c r="B11943" s="1230" t="s">
        <v>461</v>
      </c>
      <c r="C11943" s="132" t="s">
        <v>2663</v>
      </c>
      <c r="D11943" s="255">
        <v>27127</v>
      </c>
      <c r="E11943" s="553">
        <v>180.63</v>
      </c>
      <c r="F11943" s="553">
        <v>2093.12</v>
      </c>
      <c r="G11943" s="553">
        <v>854.82</v>
      </c>
      <c r="H11943" s="553">
        <v>207.43</v>
      </c>
      <c r="I11943" s="553">
        <v>638.33000000000004</v>
      </c>
      <c r="J11943" s="647">
        <v>2019.31</v>
      </c>
    </row>
    <row r="11944" spans="2:10">
      <c r="B11944" s="1230" t="s">
        <v>461</v>
      </c>
      <c r="C11944" s="132" t="s">
        <v>2664</v>
      </c>
      <c r="D11944" s="255">
        <v>27129</v>
      </c>
      <c r="E11944" s="553">
        <v>189.86</v>
      </c>
      <c r="F11944" s="553">
        <v>2154.4</v>
      </c>
      <c r="G11944" s="553">
        <v>950.42</v>
      </c>
      <c r="H11944" s="553">
        <v>213.85</v>
      </c>
      <c r="I11944" s="553">
        <v>678.94</v>
      </c>
      <c r="J11944" s="647">
        <v>2052.9699999999998</v>
      </c>
    </row>
    <row r="11945" spans="2:10">
      <c r="B11945" s="1230" t="s">
        <v>461</v>
      </c>
      <c r="C11945" s="132" t="s">
        <v>2383</v>
      </c>
      <c r="D11945" s="255">
        <v>27131</v>
      </c>
      <c r="E11945" s="553">
        <v>346.49</v>
      </c>
      <c r="F11945" s="553">
        <v>3465.95</v>
      </c>
      <c r="G11945" s="553">
        <v>1087.19</v>
      </c>
      <c r="H11945" s="553">
        <v>347.83</v>
      </c>
      <c r="I11945" s="553">
        <v>1094.56</v>
      </c>
      <c r="J11945" s="647">
        <v>2525.4299999999998</v>
      </c>
    </row>
    <row r="11946" spans="2:10">
      <c r="B11946" s="1230" t="s">
        <v>461</v>
      </c>
      <c r="C11946" s="132" t="s">
        <v>2665</v>
      </c>
      <c r="D11946" s="255">
        <v>27133</v>
      </c>
      <c r="E11946" s="553">
        <v>124.38</v>
      </c>
      <c r="F11946" s="553">
        <v>1448.01</v>
      </c>
      <c r="G11946" s="553">
        <v>708.44</v>
      </c>
      <c r="H11946" s="553">
        <v>143.47</v>
      </c>
      <c r="I11946" s="553">
        <v>431.23</v>
      </c>
      <c r="J11946" s="647">
        <v>690.67</v>
      </c>
    </row>
    <row r="11947" spans="2:10">
      <c r="B11947" s="1230" t="s">
        <v>461</v>
      </c>
      <c r="C11947" s="132" t="s">
        <v>2666</v>
      </c>
      <c r="D11947" s="255">
        <v>27135</v>
      </c>
      <c r="E11947" s="553">
        <v>87.4</v>
      </c>
      <c r="F11947" s="553">
        <v>990.97</v>
      </c>
      <c r="G11947" s="553">
        <v>371.1</v>
      </c>
      <c r="H11947" s="553">
        <v>98.31</v>
      </c>
      <c r="I11947" s="553">
        <v>501.55</v>
      </c>
      <c r="J11947" s="647">
        <v>1466.06</v>
      </c>
    </row>
    <row r="11948" spans="2:10">
      <c r="B11948" s="1230" t="s">
        <v>461</v>
      </c>
      <c r="C11948" s="132" t="s">
        <v>2667</v>
      </c>
      <c r="D11948" s="255">
        <v>27137</v>
      </c>
      <c r="E11948" s="553">
        <v>104.52</v>
      </c>
      <c r="F11948" s="553">
        <v>1269.6199999999999</v>
      </c>
      <c r="G11948" s="553">
        <v>324.83</v>
      </c>
      <c r="H11948" s="553">
        <v>125.31</v>
      </c>
      <c r="I11948" s="553">
        <v>1768.13</v>
      </c>
      <c r="J11948" s="647">
        <v>1620.62</v>
      </c>
    </row>
    <row r="11949" spans="2:10">
      <c r="B11949" s="1230" t="s">
        <v>461</v>
      </c>
      <c r="C11949" s="132" t="s">
        <v>1873</v>
      </c>
      <c r="D11949" s="255">
        <v>27139</v>
      </c>
      <c r="E11949" s="553">
        <v>689.26</v>
      </c>
      <c r="F11949" s="553">
        <v>5754.44</v>
      </c>
      <c r="G11949" s="553">
        <v>1512.94</v>
      </c>
      <c r="H11949" s="553">
        <v>588.13</v>
      </c>
      <c r="I11949" s="553">
        <v>1074.52</v>
      </c>
      <c r="J11949" s="647">
        <v>3174.45</v>
      </c>
    </row>
    <row r="11950" spans="2:10">
      <c r="B11950" s="1230" t="s">
        <v>461</v>
      </c>
      <c r="C11950" s="132" t="s">
        <v>2668</v>
      </c>
      <c r="D11950" s="255">
        <v>27141</v>
      </c>
      <c r="E11950" s="553">
        <v>668.9</v>
      </c>
      <c r="F11950" s="553">
        <v>5806.98</v>
      </c>
      <c r="G11950" s="553">
        <v>1698.99</v>
      </c>
      <c r="H11950" s="553">
        <v>590.96</v>
      </c>
      <c r="I11950" s="553">
        <v>2880.9</v>
      </c>
      <c r="J11950" s="647">
        <v>3355.36</v>
      </c>
    </row>
    <row r="11951" spans="2:10">
      <c r="B11951" s="1230" t="s">
        <v>461</v>
      </c>
      <c r="C11951" s="132" t="s">
        <v>2669</v>
      </c>
      <c r="D11951" s="255">
        <v>27143</v>
      </c>
      <c r="E11951" s="553">
        <v>290.23</v>
      </c>
      <c r="F11951" s="553">
        <v>3013.53</v>
      </c>
      <c r="G11951" s="553">
        <v>1034.6600000000001</v>
      </c>
      <c r="H11951" s="553">
        <v>301.51</v>
      </c>
      <c r="I11951" s="553">
        <v>900.17</v>
      </c>
      <c r="J11951" s="647">
        <v>2331.79</v>
      </c>
    </row>
    <row r="11952" spans="2:10">
      <c r="B11952" s="1230" t="s">
        <v>461</v>
      </c>
      <c r="C11952" s="132" t="s">
        <v>2670</v>
      </c>
      <c r="D11952" s="255">
        <v>27145</v>
      </c>
      <c r="E11952" s="553">
        <v>298.94</v>
      </c>
      <c r="F11952" s="553">
        <v>3116.3</v>
      </c>
      <c r="G11952" s="553">
        <v>1168.73</v>
      </c>
      <c r="H11952" s="553">
        <v>311.64999999999998</v>
      </c>
      <c r="I11952" s="553">
        <v>818.3</v>
      </c>
      <c r="J11952" s="647">
        <v>2606.84</v>
      </c>
    </row>
    <row r="11953" spans="2:10">
      <c r="B11953" s="1230" t="s">
        <v>461</v>
      </c>
      <c r="C11953" s="132" t="s">
        <v>2671</v>
      </c>
      <c r="D11953" s="255">
        <v>27147</v>
      </c>
      <c r="E11953" s="553">
        <v>275.63</v>
      </c>
      <c r="F11953" s="553">
        <v>2988.12</v>
      </c>
      <c r="G11953" s="553">
        <v>998.24</v>
      </c>
      <c r="H11953" s="553">
        <v>297.77</v>
      </c>
      <c r="I11953" s="553">
        <v>889.96</v>
      </c>
      <c r="J11953" s="647">
        <v>2307.29</v>
      </c>
    </row>
    <row r="11954" spans="2:10">
      <c r="B11954" s="1230" t="s">
        <v>461</v>
      </c>
      <c r="C11954" s="132" t="s">
        <v>2393</v>
      </c>
      <c r="D11954" s="255">
        <v>27149</v>
      </c>
      <c r="E11954" s="553">
        <v>133.80000000000001</v>
      </c>
      <c r="F11954" s="553">
        <v>1489.51</v>
      </c>
      <c r="G11954" s="553">
        <v>747.3</v>
      </c>
      <c r="H11954" s="553">
        <v>148.12</v>
      </c>
      <c r="I11954" s="553">
        <v>535.51</v>
      </c>
      <c r="J11954" s="647">
        <v>1650.08</v>
      </c>
    </row>
    <row r="11955" spans="2:10">
      <c r="B11955" s="1230" t="s">
        <v>461</v>
      </c>
      <c r="C11955" s="132" t="s">
        <v>2672</v>
      </c>
      <c r="D11955" s="255">
        <v>27151</v>
      </c>
      <c r="E11955" s="553">
        <v>178.55</v>
      </c>
      <c r="F11955" s="553">
        <v>1988.79</v>
      </c>
      <c r="G11955" s="553">
        <v>899.59</v>
      </c>
      <c r="H11955" s="553">
        <v>197.85</v>
      </c>
      <c r="I11955" s="553">
        <v>597.61</v>
      </c>
      <c r="J11955" s="647">
        <v>1900.44</v>
      </c>
    </row>
    <row r="11956" spans="2:10">
      <c r="B11956" s="1230" t="s">
        <v>461</v>
      </c>
      <c r="C11956" s="132" t="s">
        <v>2453</v>
      </c>
      <c r="D11956" s="255">
        <v>27153</v>
      </c>
      <c r="E11956" s="553">
        <v>169.41</v>
      </c>
      <c r="F11956" s="553">
        <v>1957.91</v>
      </c>
      <c r="G11956" s="553">
        <v>721.93</v>
      </c>
      <c r="H11956" s="553">
        <v>194.14</v>
      </c>
      <c r="I11956" s="553">
        <v>671.03</v>
      </c>
      <c r="J11956" s="647">
        <v>1884.76</v>
      </c>
    </row>
    <row r="11957" spans="2:10">
      <c r="B11957" s="1230" t="s">
        <v>461</v>
      </c>
      <c r="C11957" s="132" t="s">
        <v>2673</v>
      </c>
      <c r="D11957" s="255">
        <v>27155</v>
      </c>
      <c r="E11957" s="553">
        <v>107.82</v>
      </c>
      <c r="F11957" s="553">
        <v>1207.75</v>
      </c>
      <c r="G11957" s="553">
        <v>637.5</v>
      </c>
      <c r="H11957" s="553">
        <v>119.98</v>
      </c>
      <c r="I11957" s="553">
        <v>460.92</v>
      </c>
      <c r="J11957" s="647">
        <v>1518.02</v>
      </c>
    </row>
    <row r="11958" spans="2:10">
      <c r="B11958" s="1230" t="s">
        <v>461</v>
      </c>
      <c r="C11958" s="132" t="s">
        <v>2674</v>
      </c>
      <c r="D11958" s="255">
        <v>27157</v>
      </c>
      <c r="E11958" s="553">
        <v>366.08</v>
      </c>
      <c r="F11958" s="553">
        <v>3857.62</v>
      </c>
      <c r="G11958" s="553">
        <v>1158.97</v>
      </c>
      <c r="H11958" s="553">
        <v>385.45</v>
      </c>
      <c r="I11958" s="553">
        <v>1078.6500000000001</v>
      </c>
      <c r="J11958" s="647">
        <v>2722.46</v>
      </c>
    </row>
    <row r="11959" spans="2:10">
      <c r="B11959" s="1230" t="s">
        <v>461</v>
      </c>
      <c r="C11959" s="132" t="s">
        <v>2675</v>
      </c>
      <c r="D11959" s="255">
        <v>27159</v>
      </c>
      <c r="E11959" s="553">
        <v>128.96</v>
      </c>
      <c r="F11959" s="553">
        <v>1504.34</v>
      </c>
      <c r="G11959" s="553">
        <v>602.42999999999995</v>
      </c>
      <c r="H11959" s="553">
        <v>148.97</v>
      </c>
      <c r="I11959" s="553">
        <v>630</v>
      </c>
      <c r="J11959" s="647">
        <v>1633.35</v>
      </c>
    </row>
    <row r="11960" spans="2:10">
      <c r="B11960" s="1230" t="s">
        <v>461</v>
      </c>
      <c r="C11960" s="132" t="s">
        <v>2676</v>
      </c>
      <c r="D11960" s="255">
        <v>27161</v>
      </c>
      <c r="E11960" s="553">
        <v>249.1</v>
      </c>
      <c r="F11960" s="553">
        <v>2749.05</v>
      </c>
      <c r="G11960" s="553">
        <v>945.2</v>
      </c>
      <c r="H11960" s="553">
        <v>273.45999999999998</v>
      </c>
      <c r="I11960" s="553">
        <v>849.46</v>
      </c>
      <c r="J11960" s="647">
        <v>2213.5300000000002</v>
      </c>
    </row>
    <row r="11961" spans="2:10">
      <c r="B11961" s="1230" t="s">
        <v>461</v>
      </c>
      <c r="C11961" s="132" t="s">
        <v>487</v>
      </c>
      <c r="D11961" s="255">
        <v>27163</v>
      </c>
      <c r="E11961" s="553">
        <v>1485.23</v>
      </c>
      <c r="F11961" s="553">
        <v>12148.8</v>
      </c>
      <c r="G11961" s="553">
        <v>2863.96</v>
      </c>
      <c r="H11961" s="553">
        <v>1243.79</v>
      </c>
      <c r="I11961" s="553">
        <v>2301.35</v>
      </c>
      <c r="J11961" s="647">
        <v>5375.49</v>
      </c>
    </row>
    <row r="11962" spans="2:10">
      <c r="B11962" s="1230" t="s">
        <v>461</v>
      </c>
      <c r="C11962" s="132" t="s">
        <v>2677</v>
      </c>
      <c r="D11962" s="255">
        <v>27165</v>
      </c>
      <c r="E11962" s="553">
        <v>170.18</v>
      </c>
      <c r="F11962" s="553">
        <v>1948.67</v>
      </c>
      <c r="G11962" s="553">
        <v>803.41</v>
      </c>
      <c r="H11962" s="553">
        <v>193.26</v>
      </c>
      <c r="I11962" s="553">
        <v>711.73</v>
      </c>
      <c r="J11962" s="647">
        <v>1933.89</v>
      </c>
    </row>
    <row r="11963" spans="2:10">
      <c r="B11963" s="1230" t="s">
        <v>461</v>
      </c>
      <c r="C11963" s="132" t="s">
        <v>2678</v>
      </c>
      <c r="D11963" s="255">
        <v>27167</v>
      </c>
      <c r="E11963" s="553">
        <v>122.9</v>
      </c>
      <c r="F11963" s="553">
        <v>1388</v>
      </c>
      <c r="G11963" s="553">
        <v>702.81</v>
      </c>
      <c r="H11963" s="553">
        <v>137.81</v>
      </c>
      <c r="I11963" s="553">
        <v>449.96</v>
      </c>
      <c r="J11963" s="647">
        <v>1583.3</v>
      </c>
    </row>
    <row r="11964" spans="2:10">
      <c r="B11964" s="1230" t="s">
        <v>461</v>
      </c>
      <c r="C11964" s="132" t="s">
        <v>2679</v>
      </c>
      <c r="D11964" s="255">
        <v>27169</v>
      </c>
      <c r="E11964" s="553">
        <v>269.39999999999998</v>
      </c>
      <c r="F11964" s="553">
        <v>3140.58</v>
      </c>
      <c r="G11964" s="553">
        <v>978.19</v>
      </c>
      <c r="H11964" s="553">
        <v>311.04000000000002</v>
      </c>
      <c r="I11964" s="553">
        <v>1212.22</v>
      </c>
      <c r="J11964" s="647">
        <v>2495.83</v>
      </c>
    </row>
    <row r="11965" spans="2:10">
      <c r="B11965" s="1230" t="s">
        <v>461</v>
      </c>
      <c r="C11965" s="132" t="s">
        <v>2334</v>
      </c>
      <c r="D11965" s="255">
        <v>27171</v>
      </c>
      <c r="E11965" s="553">
        <v>1484.33</v>
      </c>
      <c r="F11965" s="553">
        <v>12610.43</v>
      </c>
      <c r="G11965" s="553">
        <v>3450.1</v>
      </c>
      <c r="H11965" s="553">
        <v>1286.1099999999999</v>
      </c>
      <c r="I11965" s="553">
        <v>2036.94</v>
      </c>
      <c r="J11965" s="647">
        <v>6157.14</v>
      </c>
    </row>
    <row r="11966" spans="2:10">
      <c r="B11966" s="1230" t="s">
        <v>461</v>
      </c>
      <c r="C11966" s="132" t="s">
        <v>2680</v>
      </c>
      <c r="D11966" s="255">
        <v>27173</v>
      </c>
      <c r="E11966" s="553">
        <v>170.16</v>
      </c>
      <c r="F11966" s="553">
        <v>1942.84</v>
      </c>
      <c r="G11966" s="553">
        <v>801.36</v>
      </c>
      <c r="H11966" s="553">
        <v>192.81</v>
      </c>
      <c r="I11966" s="553">
        <v>559.42999999999995</v>
      </c>
      <c r="J11966" s="647">
        <v>1903.06</v>
      </c>
    </row>
    <row r="11967" spans="2:10">
      <c r="B11967" s="1230" t="s">
        <v>462</v>
      </c>
      <c r="C11967" s="132" t="s">
        <v>1940</v>
      </c>
      <c r="D11967" s="255">
        <v>28001</v>
      </c>
      <c r="E11967" s="553">
        <v>139.41999999999999</v>
      </c>
      <c r="F11967" s="553">
        <v>1959.86</v>
      </c>
      <c r="G11967" s="553">
        <v>304.55</v>
      </c>
      <c r="H11967" s="553">
        <v>191.23</v>
      </c>
      <c r="I11967" s="553">
        <v>1058.18</v>
      </c>
      <c r="J11967" s="647">
        <v>1278.79</v>
      </c>
    </row>
    <row r="11968" spans="2:10">
      <c r="B11968" s="1230" t="s">
        <v>462</v>
      </c>
      <c r="C11968" s="132" t="s">
        <v>2681</v>
      </c>
      <c r="D11968" s="255">
        <v>28003</v>
      </c>
      <c r="E11968" s="553">
        <v>229.19</v>
      </c>
      <c r="F11968" s="553">
        <v>3291.54</v>
      </c>
      <c r="G11968" s="553">
        <v>280.56</v>
      </c>
      <c r="H11968" s="553">
        <v>320.64</v>
      </c>
      <c r="I11968" s="553">
        <v>5295.95</v>
      </c>
      <c r="J11968" s="647">
        <v>1908.19</v>
      </c>
    </row>
    <row r="11969" spans="2:10">
      <c r="B11969" s="1230" t="s">
        <v>462</v>
      </c>
      <c r="C11969" s="132" t="s">
        <v>2682</v>
      </c>
      <c r="D11969" s="255">
        <v>28005</v>
      </c>
      <c r="E11969" s="553">
        <v>147.66999999999999</v>
      </c>
      <c r="F11969" s="553">
        <v>2050.0500000000002</v>
      </c>
      <c r="G11969" s="553">
        <v>313.75</v>
      </c>
      <c r="H11969" s="553">
        <v>200.17</v>
      </c>
      <c r="I11969" s="553">
        <v>1078.4100000000001</v>
      </c>
      <c r="J11969" s="647">
        <v>1249.55</v>
      </c>
    </row>
    <row r="11970" spans="2:10">
      <c r="B11970" s="1230" t="s">
        <v>462</v>
      </c>
      <c r="C11970" s="132" t="s">
        <v>2683</v>
      </c>
      <c r="D11970" s="255">
        <v>28007</v>
      </c>
      <c r="E11970" s="553">
        <v>134.97</v>
      </c>
      <c r="F11970" s="553">
        <v>1884.69</v>
      </c>
      <c r="G11970" s="553">
        <v>345.47</v>
      </c>
      <c r="H11970" s="553">
        <v>183.91</v>
      </c>
      <c r="I11970" s="553">
        <v>841.73</v>
      </c>
      <c r="J11970" s="647">
        <v>1411.64</v>
      </c>
    </row>
    <row r="11971" spans="2:10">
      <c r="B11971" s="1230" t="s">
        <v>462</v>
      </c>
      <c r="C11971" s="132" t="s">
        <v>1832</v>
      </c>
      <c r="D11971" s="255">
        <v>28009</v>
      </c>
      <c r="E11971" s="553">
        <v>199.23</v>
      </c>
      <c r="F11971" s="553">
        <v>2719.19</v>
      </c>
      <c r="G11971" s="553">
        <v>319.02999999999997</v>
      </c>
      <c r="H11971" s="553">
        <v>265.88</v>
      </c>
      <c r="I11971" s="553">
        <v>4267.33</v>
      </c>
      <c r="J11971" s="647">
        <v>1795.95</v>
      </c>
    </row>
    <row r="11972" spans="2:10">
      <c r="B11972" s="1230" t="s">
        <v>462</v>
      </c>
      <c r="C11972" s="132" t="s">
        <v>2684</v>
      </c>
      <c r="D11972" s="255">
        <v>28011</v>
      </c>
      <c r="E11972" s="553">
        <v>155.72</v>
      </c>
      <c r="F11972" s="553">
        <v>2115.77</v>
      </c>
      <c r="G11972" s="553">
        <v>452.72</v>
      </c>
      <c r="H11972" s="553">
        <v>207.04</v>
      </c>
      <c r="I11972" s="553">
        <v>1018.19</v>
      </c>
      <c r="J11972" s="647">
        <v>1763.34</v>
      </c>
    </row>
    <row r="11973" spans="2:10">
      <c r="B11973" s="1230" t="s">
        <v>462</v>
      </c>
      <c r="C11973" s="132" t="s">
        <v>1726</v>
      </c>
      <c r="D11973" s="255">
        <v>28013</v>
      </c>
      <c r="E11973" s="553">
        <v>153.55000000000001</v>
      </c>
      <c r="F11973" s="553">
        <v>2108.0500000000002</v>
      </c>
      <c r="G11973" s="553">
        <v>336</v>
      </c>
      <c r="H11973" s="553">
        <v>205.98</v>
      </c>
      <c r="I11973" s="553">
        <v>1765.93</v>
      </c>
      <c r="J11973" s="647">
        <v>1457.21</v>
      </c>
    </row>
    <row r="11974" spans="2:10">
      <c r="B11974" s="1230" t="s">
        <v>462</v>
      </c>
      <c r="C11974" s="132" t="s">
        <v>1835</v>
      </c>
      <c r="D11974" s="255">
        <v>28015</v>
      </c>
      <c r="E11974" s="553">
        <v>158.43</v>
      </c>
      <c r="F11974" s="553">
        <v>2210.79</v>
      </c>
      <c r="G11974" s="553">
        <v>376.05</v>
      </c>
      <c r="H11974" s="553">
        <v>215.81</v>
      </c>
      <c r="I11974" s="553">
        <v>1572.18</v>
      </c>
      <c r="J11974" s="647">
        <v>1472.23</v>
      </c>
    </row>
    <row r="11975" spans="2:10">
      <c r="B11975" s="1230" t="s">
        <v>462</v>
      </c>
      <c r="C11975" s="132" t="s">
        <v>2301</v>
      </c>
      <c r="D11975" s="255">
        <v>28017</v>
      </c>
      <c r="E11975" s="553">
        <v>159.53</v>
      </c>
      <c r="F11975" s="553">
        <v>2232.0700000000002</v>
      </c>
      <c r="G11975" s="553">
        <v>341.84</v>
      </c>
      <c r="H11975" s="553">
        <v>217.78</v>
      </c>
      <c r="I11975" s="553">
        <v>1308.1600000000001</v>
      </c>
      <c r="J11975" s="647">
        <v>1481.42</v>
      </c>
    </row>
    <row r="11976" spans="2:10">
      <c r="B11976" s="1230" t="s">
        <v>462</v>
      </c>
      <c r="C11976" s="132" t="s">
        <v>1730</v>
      </c>
      <c r="D11976" s="255">
        <v>28019</v>
      </c>
      <c r="E11976" s="553">
        <v>137.91</v>
      </c>
      <c r="F11976" s="553">
        <v>1890.93</v>
      </c>
      <c r="G11976" s="553">
        <v>316.41000000000003</v>
      </c>
      <c r="H11976" s="553">
        <v>184.73</v>
      </c>
      <c r="I11976" s="553">
        <v>954.57</v>
      </c>
      <c r="J11976" s="647">
        <v>1363.88</v>
      </c>
    </row>
    <row r="11977" spans="2:10">
      <c r="B11977" s="1230" t="s">
        <v>462</v>
      </c>
      <c r="C11977" s="132" t="s">
        <v>2685</v>
      </c>
      <c r="D11977" s="255">
        <v>28021</v>
      </c>
      <c r="E11977" s="553">
        <v>124.42</v>
      </c>
      <c r="F11977" s="553">
        <v>1626.66</v>
      </c>
      <c r="G11977" s="553">
        <v>312.54000000000002</v>
      </c>
      <c r="H11977" s="553">
        <v>159.51</v>
      </c>
      <c r="I11977" s="553">
        <v>656.22</v>
      </c>
      <c r="J11977" s="647">
        <v>1251.55</v>
      </c>
    </row>
    <row r="11978" spans="2:10">
      <c r="B11978" s="1230" t="s">
        <v>462</v>
      </c>
      <c r="C11978" s="132" t="s">
        <v>1731</v>
      </c>
      <c r="D11978" s="255">
        <v>28023</v>
      </c>
      <c r="E11978" s="553">
        <v>150.82</v>
      </c>
      <c r="F11978" s="553">
        <v>2271.0300000000002</v>
      </c>
      <c r="G11978" s="553">
        <v>307.29000000000002</v>
      </c>
      <c r="H11978" s="553">
        <v>220.56</v>
      </c>
      <c r="I11978" s="553">
        <v>1051.01</v>
      </c>
      <c r="J11978" s="647">
        <v>1503.45</v>
      </c>
    </row>
    <row r="11979" spans="2:10">
      <c r="B11979" s="1230" t="s">
        <v>462</v>
      </c>
      <c r="C11979" s="132" t="s">
        <v>1732</v>
      </c>
      <c r="D11979" s="255">
        <v>28025</v>
      </c>
      <c r="E11979" s="553">
        <v>204.21</v>
      </c>
      <c r="F11979" s="553">
        <v>2960.58</v>
      </c>
      <c r="G11979" s="553">
        <v>365.63</v>
      </c>
      <c r="H11979" s="553">
        <v>288.18</v>
      </c>
      <c r="I11979" s="553">
        <v>1315.89</v>
      </c>
      <c r="J11979" s="647">
        <v>1628.91</v>
      </c>
    </row>
    <row r="11980" spans="2:10">
      <c r="B11980" s="1230" t="s">
        <v>462</v>
      </c>
      <c r="C11980" s="132" t="s">
        <v>2686</v>
      </c>
      <c r="D11980" s="255">
        <v>28027</v>
      </c>
      <c r="E11980" s="553">
        <v>173.33</v>
      </c>
      <c r="F11980" s="553">
        <v>2342.58</v>
      </c>
      <c r="G11980" s="553">
        <v>486.01</v>
      </c>
      <c r="H11980" s="553">
        <v>229.23</v>
      </c>
      <c r="I11980" s="553">
        <v>1154.1400000000001</v>
      </c>
      <c r="J11980" s="647">
        <v>1820.86</v>
      </c>
    </row>
    <row r="11981" spans="2:10">
      <c r="B11981" s="1230" t="s">
        <v>462</v>
      </c>
      <c r="C11981" s="132" t="s">
        <v>2687</v>
      </c>
      <c r="D11981" s="255">
        <v>28029</v>
      </c>
      <c r="E11981" s="553">
        <v>145.91</v>
      </c>
      <c r="F11981" s="553">
        <v>2117.42</v>
      </c>
      <c r="G11981" s="553">
        <v>351.88</v>
      </c>
      <c r="H11981" s="553">
        <v>206.18</v>
      </c>
      <c r="I11981" s="553">
        <v>723.36</v>
      </c>
      <c r="J11981" s="647">
        <v>1455.63</v>
      </c>
    </row>
    <row r="11982" spans="2:10">
      <c r="B11982" s="1230" t="s">
        <v>462</v>
      </c>
      <c r="C11982" s="132" t="s">
        <v>1738</v>
      </c>
      <c r="D11982" s="255">
        <v>28031</v>
      </c>
      <c r="E11982" s="553">
        <v>132.44</v>
      </c>
      <c r="F11982" s="553">
        <v>1866.04</v>
      </c>
      <c r="G11982" s="553">
        <v>266.37</v>
      </c>
      <c r="H11982" s="553">
        <v>181.96</v>
      </c>
      <c r="I11982" s="553">
        <v>886.56</v>
      </c>
      <c r="J11982" s="647">
        <v>1307.28</v>
      </c>
    </row>
    <row r="11983" spans="2:10">
      <c r="B11983" s="1230" t="s">
        <v>462</v>
      </c>
      <c r="C11983" s="132" t="s">
        <v>2015</v>
      </c>
      <c r="D11983" s="255">
        <v>28033</v>
      </c>
      <c r="E11983" s="553">
        <v>308.02</v>
      </c>
      <c r="F11983" s="553">
        <v>4026.96</v>
      </c>
      <c r="G11983" s="553">
        <v>541.76</v>
      </c>
      <c r="H11983" s="553">
        <v>394.94</v>
      </c>
      <c r="I11983" s="553">
        <v>1546.93</v>
      </c>
      <c r="J11983" s="647">
        <v>2175.34</v>
      </c>
    </row>
    <row r="11984" spans="2:10">
      <c r="B11984" s="1230" t="s">
        <v>462</v>
      </c>
      <c r="C11984" s="132" t="s">
        <v>2688</v>
      </c>
      <c r="D11984" s="255">
        <v>28035</v>
      </c>
      <c r="E11984" s="553">
        <v>203.27</v>
      </c>
      <c r="F11984" s="553">
        <v>3002.1</v>
      </c>
      <c r="G11984" s="553">
        <v>341.94</v>
      </c>
      <c r="H11984" s="553">
        <v>291.94</v>
      </c>
      <c r="I11984" s="553">
        <v>1284.07</v>
      </c>
      <c r="J11984" s="647">
        <v>1500.54</v>
      </c>
    </row>
    <row r="11985" spans="2:10">
      <c r="B11985" s="1230" t="s">
        <v>462</v>
      </c>
      <c r="C11985" s="132" t="s">
        <v>1748</v>
      </c>
      <c r="D11985" s="255">
        <v>28037</v>
      </c>
      <c r="E11985" s="553">
        <v>124.61</v>
      </c>
      <c r="F11985" s="553">
        <v>1676.65</v>
      </c>
      <c r="G11985" s="553">
        <v>287.31</v>
      </c>
      <c r="H11985" s="553">
        <v>164.05</v>
      </c>
      <c r="I11985" s="553">
        <v>873.1</v>
      </c>
      <c r="J11985" s="647">
        <v>1269.19</v>
      </c>
    </row>
    <row r="11986" spans="2:10">
      <c r="B11986" s="1230" t="s">
        <v>462</v>
      </c>
      <c r="C11986" s="132" t="s">
        <v>2689</v>
      </c>
      <c r="D11986" s="255">
        <v>28039</v>
      </c>
      <c r="E11986" s="553">
        <v>144.61000000000001</v>
      </c>
      <c r="F11986" s="553">
        <v>2026.67</v>
      </c>
      <c r="G11986" s="553">
        <v>175.46</v>
      </c>
      <c r="H11986" s="553">
        <v>197.8</v>
      </c>
      <c r="I11986" s="553">
        <v>3035.94</v>
      </c>
      <c r="J11986" s="647">
        <v>1114.04</v>
      </c>
    </row>
    <row r="11987" spans="2:10">
      <c r="B11987" s="1230" t="s">
        <v>462</v>
      </c>
      <c r="C11987" s="132" t="s">
        <v>1750</v>
      </c>
      <c r="D11987" s="255">
        <v>28041</v>
      </c>
      <c r="E11987" s="553">
        <v>122.83</v>
      </c>
      <c r="F11987" s="553">
        <v>1669.88</v>
      </c>
      <c r="G11987" s="553">
        <v>213.07</v>
      </c>
      <c r="H11987" s="553">
        <v>163.26</v>
      </c>
      <c r="I11987" s="553">
        <v>1667.36</v>
      </c>
      <c r="J11987" s="647">
        <v>1076.45</v>
      </c>
    </row>
    <row r="11988" spans="2:10">
      <c r="B11988" s="1230" t="s">
        <v>462</v>
      </c>
      <c r="C11988" s="132" t="s">
        <v>2690</v>
      </c>
      <c r="D11988" s="255">
        <v>28043</v>
      </c>
      <c r="E11988" s="553">
        <v>132.59</v>
      </c>
      <c r="F11988" s="553">
        <v>1825.32</v>
      </c>
      <c r="G11988" s="553">
        <v>301.73</v>
      </c>
      <c r="H11988" s="553">
        <v>178.36</v>
      </c>
      <c r="I11988" s="553">
        <v>2498.5300000000002</v>
      </c>
      <c r="J11988" s="647">
        <v>1299.8399999999999</v>
      </c>
    </row>
    <row r="11989" spans="2:10">
      <c r="B11989" s="1230" t="s">
        <v>462</v>
      </c>
      <c r="C11989" s="132" t="s">
        <v>2105</v>
      </c>
      <c r="D11989" s="255">
        <v>28045</v>
      </c>
      <c r="E11989" s="553">
        <v>203.45</v>
      </c>
      <c r="F11989" s="553">
        <v>2996.03</v>
      </c>
      <c r="G11989" s="553">
        <v>166.47</v>
      </c>
      <c r="H11989" s="553">
        <v>291.49</v>
      </c>
      <c r="I11989" s="553">
        <v>4983.07</v>
      </c>
      <c r="J11989" s="647">
        <v>1389.7</v>
      </c>
    </row>
    <row r="11990" spans="2:10">
      <c r="B11990" s="1230" t="s">
        <v>462</v>
      </c>
      <c r="C11990" s="132" t="s">
        <v>2261</v>
      </c>
      <c r="D11990" s="255">
        <v>28047</v>
      </c>
      <c r="E11990" s="553">
        <v>243.67</v>
      </c>
      <c r="F11990" s="553">
        <v>3440.43</v>
      </c>
      <c r="G11990" s="553">
        <v>174.57</v>
      </c>
      <c r="H11990" s="553">
        <v>335.59</v>
      </c>
      <c r="I11990" s="553">
        <v>6016.44</v>
      </c>
      <c r="J11990" s="647">
        <v>1422.56</v>
      </c>
    </row>
    <row r="11991" spans="2:10">
      <c r="B11991" s="1230" t="s">
        <v>462</v>
      </c>
      <c r="C11991" s="132" t="s">
        <v>2691</v>
      </c>
      <c r="D11991" s="255">
        <v>28049</v>
      </c>
      <c r="E11991" s="553">
        <v>304.73</v>
      </c>
      <c r="F11991" s="553">
        <v>4396.21</v>
      </c>
      <c r="G11991" s="553">
        <v>663.67</v>
      </c>
      <c r="H11991" s="553">
        <v>428.12</v>
      </c>
      <c r="I11991" s="553">
        <v>673.39</v>
      </c>
      <c r="J11991" s="647">
        <v>2358.19</v>
      </c>
    </row>
    <row r="11992" spans="2:10">
      <c r="B11992" s="1230" t="s">
        <v>462</v>
      </c>
      <c r="C11992" s="132" t="s">
        <v>2029</v>
      </c>
      <c r="D11992" s="255">
        <v>28051</v>
      </c>
      <c r="E11992" s="553">
        <v>134.69</v>
      </c>
      <c r="F11992" s="553">
        <v>1857.06</v>
      </c>
      <c r="G11992" s="553">
        <v>357.47</v>
      </c>
      <c r="H11992" s="553">
        <v>181.34</v>
      </c>
      <c r="I11992" s="553">
        <v>822.28</v>
      </c>
      <c r="J11992" s="647">
        <v>1411.76</v>
      </c>
    </row>
    <row r="11993" spans="2:10">
      <c r="B11993" s="1230" t="s">
        <v>462</v>
      </c>
      <c r="C11993" s="132" t="s">
        <v>2692</v>
      </c>
      <c r="D11993" s="255">
        <v>28053</v>
      </c>
      <c r="E11993" s="553">
        <v>106.12</v>
      </c>
      <c r="F11993" s="553">
        <v>1436.65</v>
      </c>
      <c r="G11993" s="553">
        <v>332.22</v>
      </c>
      <c r="H11993" s="553">
        <v>140.54</v>
      </c>
      <c r="I11993" s="553">
        <v>730.5</v>
      </c>
      <c r="J11993" s="647">
        <v>1219.9100000000001</v>
      </c>
    </row>
    <row r="11994" spans="2:10">
      <c r="B11994" s="1230" t="s">
        <v>462</v>
      </c>
      <c r="C11994" s="132" t="s">
        <v>2693</v>
      </c>
      <c r="D11994" s="255">
        <v>28055</v>
      </c>
      <c r="E11994" s="553">
        <v>115.21</v>
      </c>
      <c r="F11994" s="553">
        <v>1431.59</v>
      </c>
      <c r="G11994" s="553">
        <v>335.94</v>
      </c>
      <c r="H11994" s="553">
        <v>140.88</v>
      </c>
      <c r="I11994" s="553">
        <v>608.5</v>
      </c>
      <c r="J11994" s="647">
        <v>1202.56</v>
      </c>
    </row>
    <row r="11995" spans="2:10">
      <c r="B11995" s="1230" t="s">
        <v>462</v>
      </c>
      <c r="C11995" s="132" t="s">
        <v>2694</v>
      </c>
      <c r="D11995" s="255">
        <v>28057</v>
      </c>
      <c r="E11995" s="553">
        <v>191.45</v>
      </c>
      <c r="F11995" s="553">
        <v>2785.66</v>
      </c>
      <c r="G11995" s="553">
        <v>362.62</v>
      </c>
      <c r="H11995" s="553">
        <v>271.17</v>
      </c>
      <c r="I11995" s="553">
        <v>1654.59</v>
      </c>
      <c r="J11995" s="647">
        <v>1698.48</v>
      </c>
    </row>
    <row r="11996" spans="2:10">
      <c r="B11996" s="1230" t="s">
        <v>462</v>
      </c>
      <c r="C11996" s="132" t="s">
        <v>1754</v>
      </c>
      <c r="D11996" s="255">
        <v>28059</v>
      </c>
      <c r="E11996" s="553">
        <v>283.88</v>
      </c>
      <c r="F11996" s="553">
        <v>4007.93</v>
      </c>
      <c r="G11996" s="553">
        <v>157.27000000000001</v>
      </c>
      <c r="H11996" s="553">
        <v>391</v>
      </c>
      <c r="I11996" s="553">
        <v>7244.75</v>
      </c>
      <c r="J11996" s="647">
        <v>1629.83</v>
      </c>
    </row>
    <row r="11997" spans="2:10">
      <c r="B11997" s="1230" t="s">
        <v>462</v>
      </c>
      <c r="C11997" s="132" t="s">
        <v>2111</v>
      </c>
      <c r="D11997" s="255">
        <v>28061</v>
      </c>
      <c r="E11997" s="553">
        <v>119.69</v>
      </c>
      <c r="F11997" s="553">
        <v>1706</v>
      </c>
      <c r="G11997" s="553">
        <v>276.04000000000002</v>
      </c>
      <c r="H11997" s="553">
        <v>166.28</v>
      </c>
      <c r="I11997" s="553">
        <v>885.5</v>
      </c>
      <c r="J11997" s="647">
        <v>1322.88</v>
      </c>
    </row>
    <row r="11998" spans="2:10">
      <c r="B11998" s="1230" t="s">
        <v>462</v>
      </c>
      <c r="C11998" s="132" t="s">
        <v>1755</v>
      </c>
      <c r="D11998" s="255">
        <v>28063</v>
      </c>
      <c r="E11998" s="553">
        <v>116.94</v>
      </c>
      <c r="F11998" s="553">
        <v>1526.48</v>
      </c>
      <c r="G11998" s="553">
        <v>287.95999999999998</v>
      </c>
      <c r="H11998" s="553">
        <v>149.72999999999999</v>
      </c>
      <c r="I11998" s="553">
        <v>723.41</v>
      </c>
      <c r="J11998" s="647">
        <v>1214.1300000000001</v>
      </c>
    </row>
    <row r="11999" spans="2:10">
      <c r="B11999" s="1230" t="s">
        <v>462</v>
      </c>
      <c r="C11999" s="132" t="s">
        <v>2695</v>
      </c>
      <c r="D11999" s="255">
        <v>28065</v>
      </c>
      <c r="E11999" s="553">
        <v>148.63999999999999</v>
      </c>
      <c r="F11999" s="553">
        <v>2073.21</v>
      </c>
      <c r="G11999" s="553">
        <v>288.27999999999997</v>
      </c>
      <c r="H11999" s="553">
        <v>202.42</v>
      </c>
      <c r="I11999" s="553">
        <v>852.52</v>
      </c>
      <c r="J11999" s="647">
        <v>1363.99</v>
      </c>
    </row>
    <row r="12000" spans="2:10">
      <c r="B12000" s="1230" t="s">
        <v>462</v>
      </c>
      <c r="C12000" s="132" t="s">
        <v>2114</v>
      </c>
      <c r="D12000" s="255">
        <v>28067</v>
      </c>
      <c r="E12000" s="553">
        <v>150.56</v>
      </c>
      <c r="F12000" s="553">
        <v>2259.9</v>
      </c>
      <c r="G12000" s="553">
        <v>303.25</v>
      </c>
      <c r="H12000" s="553">
        <v>219.55</v>
      </c>
      <c r="I12000" s="553">
        <v>977.04</v>
      </c>
      <c r="J12000" s="647">
        <v>1499.7</v>
      </c>
    </row>
    <row r="12001" spans="2:10">
      <c r="B12001" s="1230" t="s">
        <v>462</v>
      </c>
      <c r="C12001" s="132" t="s">
        <v>2696</v>
      </c>
      <c r="D12001" s="255">
        <v>28069</v>
      </c>
      <c r="E12001" s="553">
        <v>144.22999999999999</v>
      </c>
      <c r="F12001" s="553">
        <v>2131.13</v>
      </c>
      <c r="G12001" s="553">
        <v>293.63</v>
      </c>
      <c r="H12001" s="553">
        <v>207.14</v>
      </c>
      <c r="I12001" s="553">
        <v>1070.03</v>
      </c>
      <c r="J12001" s="647">
        <v>1428.57</v>
      </c>
    </row>
    <row r="12002" spans="2:10">
      <c r="B12002" s="1230" t="s">
        <v>462</v>
      </c>
      <c r="C12002" s="132" t="s">
        <v>1857</v>
      </c>
      <c r="D12002" s="255">
        <v>28071</v>
      </c>
      <c r="E12002" s="553">
        <v>145.71</v>
      </c>
      <c r="F12002" s="553">
        <v>2002.94</v>
      </c>
      <c r="G12002" s="553">
        <v>347.36</v>
      </c>
      <c r="H12002" s="553">
        <v>195.75</v>
      </c>
      <c r="I12002" s="553">
        <v>2349.02</v>
      </c>
      <c r="J12002" s="647">
        <v>1461.84</v>
      </c>
    </row>
    <row r="12003" spans="2:10">
      <c r="B12003" s="1230" t="s">
        <v>462</v>
      </c>
      <c r="C12003" s="132" t="s">
        <v>1756</v>
      </c>
      <c r="D12003" s="255">
        <v>28073</v>
      </c>
      <c r="E12003" s="553">
        <v>205.72</v>
      </c>
      <c r="F12003" s="553">
        <v>3098.44</v>
      </c>
      <c r="G12003" s="553">
        <v>356.11</v>
      </c>
      <c r="H12003" s="553">
        <v>300.87</v>
      </c>
      <c r="I12003" s="553">
        <v>1167.33</v>
      </c>
      <c r="J12003" s="647">
        <v>1546.5</v>
      </c>
    </row>
    <row r="12004" spans="2:10">
      <c r="B12004" s="1230" t="s">
        <v>462</v>
      </c>
      <c r="C12004" s="132" t="s">
        <v>1757</v>
      </c>
      <c r="D12004" s="255">
        <v>28075</v>
      </c>
      <c r="E12004" s="553">
        <v>146.49</v>
      </c>
      <c r="F12004" s="553">
        <v>2189.71</v>
      </c>
      <c r="G12004" s="553">
        <v>319.55</v>
      </c>
      <c r="H12004" s="553">
        <v>212.69</v>
      </c>
      <c r="I12004" s="553">
        <v>1033.22</v>
      </c>
      <c r="J12004" s="647">
        <v>1500.17</v>
      </c>
    </row>
    <row r="12005" spans="2:10">
      <c r="B12005" s="1230" t="s">
        <v>462</v>
      </c>
      <c r="C12005" s="132" t="s">
        <v>1758</v>
      </c>
      <c r="D12005" s="255">
        <v>28077</v>
      </c>
      <c r="E12005" s="553">
        <v>130.71</v>
      </c>
      <c r="F12005" s="553">
        <v>1823.82</v>
      </c>
      <c r="G12005" s="553">
        <v>276.99</v>
      </c>
      <c r="H12005" s="553">
        <v>177.99</v>
      </c>
      <c r="I12005" s="553">
        <v>839.69</v>
      </c>
      <c r="J12005" s="647">
        <v>1292.1400000000001</v>
      </c>
    </row>
    <row r="12006" spans="2:10">
      <c r="B12006" s="1230" t="s">
        <v>462</v>
      </c>
      <c r="C12006" s="132" t="s">
        <v>2697</v>
      </c>
      <c r="D12006" s="255">
        <v>28079</v>
      </c>
      <c r="E12006" s="553">
        <v>156.19999999999999</v>
      </c>
      <c r="F12006" s="553">
        <v>2263.87</v>
      </c>
      <c r="G12006" s="553">
        <v>362.59</v>
      </c>
      <c r="H12006" s="553">
        <v>220.43</v>
      </c>
      <c r="I12006" s="553">
        <v>801.76</v>
      </c>
      <c r="J12006" s="647">
        <v>1485.99</v>
      </c>
    </row>
    <row r="12007" spans="2:10">
      <c r="B12007" s="1230" t="s">
        <v>462</v>
      </c>
      <c r="C12007" s="132" t="s">
        <v>1759</v>
      </c>
      <c r="D12007" s="255">
        <v>28081</v>
      </c>
      <c r="E12007" s="553">
        <v>221.53</v>
      </c>
      <c r="F12007" s="553">
        <v>3232.82</v>
      </c>
      <c r="G12007" s="553">
        <v>409.88</v>
      </c>
      <c r="H12007" s="553">
        <v>314.66000000000003</v>
      </c>
      <c r="I12007" s="553">
        <v>1650.58</v>
      </c>
      <c r="J12007" s="647">
        <v>1764.18</v>
      </c>
    </row>
    <row r="12008" spans="2:10">
      <c r="B12008" s="1230" t="s">
        <v>462</v>
      </c>
      <c r="C12008" s="132" t="s">
        <v>2698</v>
      </c>
      <c r="D12008" s="255">
        <v>28083</v>
      </c>
      <c r="E12008" s="553">
        <v>142.69999999999999</v>
      </c>
      <c r="F12008" s="553">
        <v>1971.09</v>
      </c>
      <c r="G12008" s="553">
        <v>422.2</v>
      </c>
      <c r="H12008" s="553">
        <v>192.6</v>
      </c>
      <c r="I12008" s="553">
        <v>937.81</v>
      </c>
      <c r="J12008" s="647">
        <v>1423.46</v>
      </c>
    </row>
    <row r="12009" spans="2:10">
      <c r="B12009" s="1230" t="s">
        <v>462</v>
      </c>
      <c r="C12009" s="132" t="s">
        <v>1858</v>
      </c>
      <c r="D12009" s="255">
        <v>28085</v>
      </c>
      <c r="E12009" s="553">
        <v>132.88999999999999</v>
      </c>
      <c r="F12009" s="553">
        <v>1898.07</v>
      </c>
      <c r="G12009" s="553">
        <v>301.61</v>
      </c>
      <c r="H12009" s="553">
        <v>185.07</v>
      </c>
      <c r="I12009" s="553">
        <v>830.71</v>
      </c>
      <c r="J12009" s="647">
        <v>1332.21</v>
      </c>
    </row>
    <row r="12010" spans="2:10">
      <c r="B12010" s="1230" t="s">
        <v>462</v>
      </c>
      <c r="C12010" s="132" t="s">
        <v>1761</v>
      </c>
      <c r="D12010" s="255">
        <v>28087</v>
      </c>
      <c r="E12010" s="553">
        <v>169.11</v>
      </c>
      <c r="F12010" s="553">
        <v>2432.2600000000002</v>
      </c>
      <c r="G12010" s="553">
        <v>325.73</v>
      </c>
      <c r="H12010" s="553">
        <v>236.87</v>
      </c>
      <c r="I12010" s="553">
        <v>1417.1</v>
      </c>
      <c r="J12010" s="647">
        <v>1542.02</v>
      </c>
    </row>
    <row r="12011" spans="2:10">
      <c r="B12011" s="1230" t="s">
        <v>462</v>
      </c>
      <c r="C12011" s="132" t="s">
        <v>1763</v>
      </c>
      <c r="D12011" s="255">
        <v>28089</v>
      </c>
      <c r="E12011" s="553">
        <v>220.58</v>
      </c>
      <c r="F12011" s="553">
        <v>3076.18</v>
      </c>
      <c r="G12011" s="553">
        <v>498.1</v>
      </c>
      <c r="H12011" s="553">
        <v>300.20999999999998</v>
      </c>
      <c r="I12011" s="553">
        <v>715.52</v>
      </c>
      <c r="J12011" s="647">
        <v>1824.72</v>
      </c>
    </row>
    <row r="12012" spans="2:10">
      <c r="B12012" s="1230" t="s">
        <v>462</v>
      </c>
      <c r="C12012" s="132" t="s">
        <v>1765</v>
      </c>
      <c r="D12012" s="255">
        <v>28091</v>
      </c>
      <c r="E12012" s="553">
        <v>172.01</v>
      </c>
      <c r="F12012" s="553">
        <v>2486.1799999999998</v>
      </c>
      <c r="G12012" s="553">
        <v>314.85000000000002</v>
      </c>
      <c r="H12012" s="553">
        <v>242.13</v>
      </c>
      <c r="I12012" s="553">
        <v>1115.8900000000001</v>
      </c>
      <c r="J12012" s="647">
        <v>1389.07</v>
      </c>
    </row>
    <row r="12013" spans="2:10">
      <c r="B12013" s="1230" t="s">
        <v>462</v>
      </c>
      <c r="C12013" s="132" t="s">
        <v>1766</v>
      </c>
      <c r="D12013" s="255">
        <v>28093</v>
      </c>
      <c r="E12013" s="553">
        <v>178.97</v>
      </c>
      <c r="F12013" s="553">
        <v>2406.44</v>
      </c>
      <c r="G12013" s="553">
        <v>382.12</v>
      </c>
      <c r="H12013" s="553">
        <v>235.56</v>
      </c>
      <c r="I12013" s="553">
        <v>2825.15</v>
      </c>
      <c r="J12013" s="647">
        <v>1816.12</v>
      </c>
    </row>
    <row r="12014" spans="2:10">
      <c r="B12014" s="1230" t="s">
        <v>462</v>
      </c>
      <c r="C12014" s="132" t="s">
        <v>1768</v>
      </c>
      <c r="D12014" s="255">
        <v>28095</v>
      </c>
      <c r="E12014" s="553">
        <v>186.05</v>
      </c>
      <c r="F12014" s="553">
        <v>2695.03</v>
      </c>
      <c r="G12014" s="553">
        <v>343.45</v>
      </c>
      <c r="H12014" s="553">
        <v>262.44</v>
      </c>
      <c r="I12014" s="553">
        <v>2027.01</v>
      </c>
      <c r="J12014" s="647">
        <v>1684.5</v>
      </c>
    </row>
    <row r="12015" spans="2:10">
      <c r="B12015" s="1230" t="s">
        <v>462</v>
      </c>
      <c r="C12015" s="132" t="s">
        <v>1769</v>
      </c>
      <c r="D12015" s="255">
        <v>28097</v>
      </c>
      <c r="E12015" s="553">
        <v>124.27</v>
      </c>
      <c r="F12015" s="553">
        <v>1676.25</v>
      </c>
      <c r="G12015" s="553">
        <v>312.35000000000002</v>
      </c>
      <c r="H12015" s="553">
        <v>164.03</v>
      </c>
      <c r="I12015" s="553">
        <v>1094.93</v>
      </c>
      <c r="J12015" s="647">
        <v>1306.69</v>
      </c>
    </row>
    <row r="12016" spans="2:10">
      <c r="B12016" s="1230" t="s">
        <v>462</v>
      </c>
      <c r="C12016" s="132" t="s">
        <v>2699</v>
      </c>
      <c r="D12016" s="255">
        <v>28099</v>
      </c>
      <c r="E12016" s="553">
        <v>129.26</v>
      </c>
      <c r="F12016" s="553">
        <v>1853.57</v>
      </c>
      <c r="G12016" s="553">
        <v>310.33999999999997</v>
      </c>
      <c r="H12016" s="553">
        <v>180.55</v>
      </c>
      <c r="I12016" s="553">
        <v>880.12</v>
      </c>
      <c r="J12016" s="647">
        <v>1369.32</v>
      </c>
    </row>
    <row r="12017" spans="2:10">
      <c r="B12017" s="1230" t="s">
        <v>462</v>
      </c>
      <c r="C12017" s="132" t="s">
        <v>1863</v>
      </c>
      <c r="D12017" s="255">
        <v>28101</v>
      </c>
      <c r="E12017" s="553">
        <v>112.14</v>
      </c>
      <c r="F12017" s="553">
        <v>1608.27</v>
      </c>
      <c r="G12017" s="553">
        <v>281.94</v>
      </c>
      <c r="H12017" s="553">
        <v>156.72999999999999</v>
      </c>
      <c r="I12017" s="553">
        <v>863.19</v>
      </c>
      <c r="J12017" s="647">
        <v>1292.5999999999999</v>
      </c>
    </row>
    <row r="12018" spans="2:10">
      <c r="B12018" s="1230" t="s">
        <v>462</v>
      </c>
      <c r="C12018" s="132" t="s">
        <v>2700</v>
      </c>
      <c r="D12018" s="255">
        <v>28103</v>
      </c>
      <c r="E12018" s="553">
        <v>116.87</v>
      </c>
      <c r="F12018" s="553">
        <v>1593.83</v>
      </c>
      <c r="G12018" s="553">
        <v>256.11</v>
      </c>
      <c r="H12018" s="553">
        <v>155.86000000000001</v>
      </c>
      <c r="I12018" s="553">
        <v>1178.77</v>
      </c>
      <c r="J12018" s="647">
        <v>1280.81</v>
      </c>
    </row>
    <row r="12019" spans="2:10">
      <c r="B12019" s="1230" t="s">
        <v>462</v>
      </c>
      <c r="C12019" s="132" t="s">
        <v>2701</v>
      </c>
      <c r="D12019" s="255">
        <v>28105</v>
      </c>
      <c r="E12019" s="553">
        <v>147.59</v>
      </c>
      <c r="F12019" s="553">
        <v>2070.61</v>
      </c>
      <c r="G12019" s="553">
        <v>307.64999999999998</v>
      </c>
      <c r="H12019" s="553">
        <v>202.05</v>
      </c>
      <c r="I12019" s="553">
        <v>1134.5899999999999</v>
      </c>
      <c r="J12019" s="647">
        <v>1399.39</v>
      </c>
    </row>
    <row r="12020" spans="2:10">
      <c r="B12020" s="1230" t="s">
        <v>462</v>
      </c>
      <c r="C12020" s="132" t="s">
        <v>2702</v>
      </c>
      <c r="D12020" s="255">
        <v>28107</v>
      </c>
      <c r="E12020" s="553">
        <v>181.84</v>
      </c>
      <c r="F12020" s="553">
        <v>2454.65</v>
      </c>
      <c r="G12020" s="553">
        <v>393.41</v>
      </c>
      <c r="H12020" s="553">
        <v>240.14</v>
      </c>
      <c r="I12020" s="553">
        <v>2230.58</v>
      </c>
      <c r="J12020" s="647">
        <v>1829.02</v>
      </c>
    </row>
    <row r="12021" spans="2:10">
      <c r="B12021" s="1230" t="s">
        <v>462</v>
      </c>
      <c r="C12021" s="132" t="s">
        <v>2703</v>
      </c>
      <c r="D12021" s="255">
        <v>28109</v>
      </c>
      <c r="E12021" s="553">
        <v>294.64999999999998</v>
      </c>
      <c r="F12021" s="553">
        <v>4370.17</v>
      </c>
      <c r="G12021" s="553">
        <v>234.07</v>
      </c>
      <c r="H12021" s="553">
        <v>425</v>
      </c>
      <c r="I12021" s="553">
        <v>6642.85</v>
      </c>
      <c r="J12021" s="647">
        <v>1866.59</v>
      </c>
    </row>
    <row r="12022" spans="2:10">
      <c r="B12022" s="1230" t="s">
        <v>462</v>
      </c>
      <c r="C12022" s="132" t="s">
        <v>1771</v>
      </c>
      <c r="D12022" s="255">
        <v>28111</v>
      </c>
      <c r="E12022" s="553">
        <v>157.41</v>
      </c>
      <c r="F12022" s="553">
        <v>2272.16</v>
      </c>
      <c r="G12022" s="553">
        <v>292.67</v>
      </c>
      <c r="H12022" s="553">
        <v>221.27</v>
      </c>
      <c r="I12022" s="553">
        <v>1206.32</v>
      </c>
      <c r="J12022" s="647">
        <v>1301.3599999999999</v>
      </c>
    </row>
    <row r="12023" spans="2:10">
      <c r="B12023" s="1230" t="s">
        <v>462</v>
      </c>
      <c r="C12023" s="132" t="s">
        <v>1773</v>
      </c>
      <c r="D12023" s="255">
        <v>28113</v>
      </c>
      <c r="E12023" s="553">
        <v>136.77000000000001</v>
      </c>
      <c r="F12023" s="553">
        <v>2035.98</v>
      </c>
      <c r="G12023" s="553">
        <v>290.91000000000003</v>
      </c>
      <c r="H12023" s="553">
        <v>197.96</v>
      </c>
      <c r="I12023" s="553">
        <v>942.53</v>
      </c>
      <c r="J12023" s="647">
        <v>1184.54</v>
      </c>
    </row>
    <row r="12024" spans="2:10">
      <c r="B12024" s="1230" t="s">
        <v>462</v>
      </c>
      <c r="C12024" s="132" t="s">
        <v>2704</v>
      </c>
      <c r="D12024" s="255">
        <v>28115</v>
      </c>
      <c r="E12024" s="553">
        <v>209.37</v>
      </c>
      <c r="F12024" s="553">
        <v>3058.46</v>
      </c>
      <c r="G12024" s="553">
        <v>390.01</v>
      </c>
      <c r="H12024" s="553">
        <v>297.63</v>
      </c>
      <c r="I12024" s="553">
        <v>2063.39</v>
      </c>
      <c r="J12024" s="647">
        <v>1694.32</v>
      </c>
    </row>
    <row r="12025" spans="2:10">
      <c r="B12025" s="1230" t="s">
        <v>462</v>
      </c>
      <c r="C12025" s="132" t="s">
        <v>2705</v>
      </c>
      <c r="D12025" s="255">
        <v>28117</v>
      </c>
      <c r="E12025" s="553">
        <v>202.84</v>
      </c>
      <c r="F12025" s="553">
        <v>2956.23</v>
      </c>
      <c r="G12025" s="553">
        <v>305.3</v>
      </c>
      <c r="H12025" s="553">
        <v>287.7</v>
      </c>
      <c r="I12025" s="553">
        <v>4301.01</v>
      </c>
      <c r="J12025" s="647">
        <v>1614.72</v>
      </c>
    </row>
    <row r="12026" spans="2:10">
      <c r="B12026" s="1230" t="s">
        <v>462</v>
      </c>
      <c r="C12026" s="132" t="s">
        <v>2130</v>
      </c>
      <c r="D12026" s="255">
        <v>28119</v>
      </c>
      <c r="E12026" s="553">
        <v>183.74</v>
      </c>
      <c r="F12026" s="553">
        <v>2475.02</v>
      </c>
      <c r="G12026" s="553">
        <v>407.66</v>
      </c>
      <c r="H12026" s="553">
        <v>242.31</v>
      </c>
      <c r="I12026" s="553">
        <v>2233.79</v>
      </c>
      <c r="J12026" s="647">
        <v>1811.65</v>
      </c>
    </row>
    <row r="12027" spans="2:10">
      <c r="B12027" s="1230" t="s">
        <v>462</v>
      </c>
      <c r="C12027" s="132" t="s">
        <v>2706</v>
      </c>
      <c r="D12027" s="255">
        <v>28121</v>
      </c>
      <c r="E12027" s="553">
        <v>314.66000000000003</v>
      </c>
      <c r="F12027" s="553">
        <v>4516.1899999999996</v>
      </c>
      <c r="G12027" s="553">
        <v>660.6</v>
      </c>
      <c r="H12027" s="553">
        <v>439.96</v>
      </c>
      <c r="I12027" s="553">
        <v>714.63</v>
      </c>
      <c r="J12027" s="647">
        <v>2337.7800000000002</v>
      </c>
    </row>
    <row r="12028" spans="2:10">
      <c r="B12028" s="1230" t="s">
        <v>462</v>
      </c>
      <c r="C12028" s="132" t="s">
        <v>1873</v>
      </c>
      <c r="D12028" s="255">
        <v>28123</v>
      </c>
      <c r="E12028" s="553">
        <v>128.41</v>
      </c>
      <c r="F12028" s="553">
        <v>1820.65</v>
      </c>
      <c r="G12028" s="553">
        <v>320.76</v>
      </c>
      <c r="H12028" s="553">
        <v>177.47</v>
      </c>
      <c r="I12028" s="553">
        <v>773.41</v>
      </c>
      <c r="J12028" s="647">
        <v>1358.47</v>
      </c>
    </row>
    <row r="12029" spans="2:10">
      <c r="B12029" s="1230" t="s">
        <v>462</v>
      </c>
      <c r="C12029" s="132" t="s">
        <v>2707</v>
      </c>
      <c r="D12029" s="255">
        <v>28125</v>
      </c>
      <c r="E12029" s="553">
        <v>110.18</v>
      </c>
      <c r="F12029" s="553">
        <v>1421.17</v>
      </c>
      <c r="G12029" s="553">
        <v>341.99</v>
      </c>
      <c r="H12029" s="553">
        <v>139.47999999999999</v>
      </c>
      <c r="I12029" s="553">
        <v>643.23</v>
      </c>
      <c r="J12029" s="647">
        <v>1216.1199999999999</v>
      </c>
    </row>
    <row r="12030" spans="2:10">
      <c r="B12030" s="1230" t="s">
        <v>462</v>
      </c>
      <c r="C12030" s="132" t="s">
        <v>2452</v>
      </c>
      <c r="D12030" s="255">
        <v>28127</v>
      </c>
      <c r="E12030" s="553">
        <v>141.13999999999999</v>
      </c>
      <c r="F12030" s="553">
        <v>1995.06</v>
      </c>
      <c r="G12030" s="553">
        <v>338.77</v>
      </c>
      <c r="H12030" s="553">
        <v>194.55</v>
      </c>
      <c r="I12030" s="553">
        <v>748.31</v>
      </c>
      <c r="J12030" s="647">
        <v>1432.58</v>
      </c>
    </row>
    <row r="12031" spans="2:10">
      <c r="B12031" s="1230" t="s">
        <v>462</v>
      </c>
      <c r="C12031" s="132" t="s">
        <v>2390</v>
      </c>
      <c r="D12031" s="255">
        <v>28129</v>
      </c>
      <c r="E12031" s="553">
        <v>124.55</v>
      </c>
      <c r="F12031" s="553">
        <v>1750.14</v>
      </c>
      <c r="G12031" s="553">
        <v>289.86</v>
      </c>
      <c r="H12031" s="553">
        <v>170.71</v>
      </c>
      <c r="I12031" s="553">
        <v>795.77</v>
      </c>
      <c r="J12031" s="647">
        <v>1341.39</v>
      </c>
    </row>
    <row r="12032" spans="2:10">
      <c r="B12032" s="1230" t="s">
        <v>462</v>
      </c>
      <c r="C12032" s="132" t="s">
        <v>1878</v>
      </c>
      <c r="D12032" s="255">
        <v>28131</v>
      </c>
      <c r="E12032" s="553">
        <v>280.06</v>
      </c>
      <c r="F12032" s="553">
        <v>3954.04</v>
      </c>
      <c r="G12032" s="553">
        <v>185.2</v>
      </c>
      <c r="H12032" s="553">
        <v>385.67</v>
      </c>
      <c r="I12032" s="553">
        <v>6804.45</v>
      </c>
      <c r="J12032" s="647">
        <v>1503.02</v>
      </c>
    </row>
    <row r="12033" spans="2:10">
      <c r="B12033" s="1230" t="s">
        <v>462</v>
      </c>
      <c r="C12033" s="132" t="s">
        <v>2708</v>
      </c>
      <c r="D12033" s="255">
        <v>28133</v>
      </c>
      <c r="E12033" s="553">
        <v>148.18</v>
      </c>
      <c r="F12033" s="553">
        <v>2096.7199999999998</v>
      </c>
      <c r="G12033" s="553">
        <v>475.98</v>
      </c>
      <c r="H12033" s="553">
        <v>204.54</v>
      </c>
      <c r="I12033" s="553">
        <v>790.55</v>
      </c>
      <c r="J12033" s="647">
        <v>1500.37</v>
      </c>
    </row>
    <row r="12034" spans="2:10">
      <c r="B12034" s="1230" t="s">
        <v>462</v>
      </c>
      <c r="C12034" s="132" t="s">
        <v>2709</v>
      </c>
      <c r="D12034" s="255">
        <v>28135</v>
      </c>
      <c r="E12034" s="553">
        <v>135.30000000000001</v>
      </c>
      <c r="F12034" s="553">
        <v>1833.1</v>
      </c>
      <c r="G12034" s="553">
        <v>348.63</v>
      </c>
      <c r="H12034" s="553">
        <v>179.36</v>
      </c>
      <c r="I12034" s="553">
        <v>1999.99</v>
      </c>
      <c r="J12034" s="647">
        <v>1363.83</v>
      </c>
    </row>
    <row r="12035" spans="2:10">
      <c r="B12035" s="1230" t="s">
        <v>462</v>
      </c>
      <c r="C12035" s="132" t="s">
        <v>2710</v>
      </c>
      <c r="D12035" s="255">
        <v>28137</v>
      </c>
      <c r="E12035" s="553">
        <v>279.22000000000003</v>
      </c>
      <c r="F12035" s="553">
        <v>3646.3</v>
      </c>
      <c r="G12035" s="553">
        <v>518.83000000000004</v>
      </c>
      <c r="H12035" s="553">
        <v>357.68</v>
      </c>
      <c r="I12035" s="553">
        <v>1766.15</v>
      </c>
      <c r="J12035" s="647">
        <v>2109.11</v>
      </c>
    </row>
    <row r="12036" spans="2:10">
      <c r="B12036" s="1230" t="s">
        <v>462</v>
      </c>
      <c r="C12036" s="132" t="s">
        <v>2711</v>
      </c>
      <c r="D12036" s="255">
        <v>28139</v>
      </c>
      <c r="E12036" s="553">
        <v>195.78</v>
      </c>
      <c r="F12036" s="553">
        <v>2711.82</v>
      </c>
      <c r="G12036" s="553">
        <v>323.87</v>
      </c>
      <c r="H12036" s="553">
        <v>264.86</v>
      </c>
      <c r="I12036" s="553">
        <v>3894.12</v>
      </c>
      <c r="J12036" s="647">
        <v>1837.57</v>
      </c>
    </row>
    <row r="12037" spans="2:10">
      <c r="B12037" s="1230" t="s">
        <v>462</v>
      </c>
      <c r="C12037" s="132" t="s">
        <v>2712</v>
      </c>
      <c r="D12037" s="255">
        <v>28141</v>
      </c>
      <c r="E12037" s="553">
        <v>171.16</v>
      </c>
      <c r="F12037" s="553">
        <v>2427.21</v>
      </c>
      <c r="G12037" s="553">
        <v>286.5</v>
      </c>
      <c r="H12037" s="553">
        <v>236.72</v>
      </c>
      <c r="I12037" s="553">
        <v>3268.2</v>
      </c>
      <c r="J12037" s="647">
        <v>1538.17</v>
      </c>
    </row>
    <row r="12038" spans="2:10">
      <c r="B12038" s="1230" t="s">
        <v>462</v>
      </c>
      <c r="C12038" s="132" t="s">
        <v>2713</v>
      </c>
      <c r="D12038" s="255">
        <v>28143</v>
      </c>
      <c r="E12038" s="553">
        <v>190.25</v>
      </c>
      <c r="F12038" s="553">
        <v>2469.0700000000002</v>
      </c>
      <c r="G12038" s="553">
        <v>470.24</v>
      </c>
      <c r="H12038" s="553">
        <v>242.35</v>
      </c>
      <c r="I12038" s="553">
        <v>1310.31</v>
      </c>
      <c r="J12038" s="647">
        <v>1842.16</v>
      </c>
    </row>
    <row r="12039" spans="2:10">
      <c r="B12039" s="1230" t="s">
        <v>462</v>
      </c>
      <c r="C12039" s="132" t="s">
        <v>1879</v>
      </c>
      <c r="D12039" s="255">
        <v>28145</v>
      </c>
      <c r="E12039" s="553">
        <v>171.77</v>
      </c>
      <c r="F12039" s="553">
        <v>2424.4</v>
      </c>
      <c r="G12039" s="553">
        <v>334.58</v>
      </c>
      <c r="H12039" s="553">
        <v>236.55</v>
      </c>
      <c r="I12039" s="553">
        <v>2462.5700000000002</v>
      </c>
      <c r="J12039" s="647">
        <v>1507.98</v>
      </c>
    </row>
    <row r="12040" spans="2:10">
      <c r="B12040" s="1230" t="s">
        <v>462</v>
      </c>
      <c r="C12040" s="132" t="s">
        <v>2714</v>
      </c>
      <c r="D12040" s="255">
        <v>28147</v>
      </c>
      <c r="E12040" s="553">
        <v>148.61000000000001</v>
      </c>
      <c r="F12040" s="553">
        <v>2154.39</v>
      </c>
      <c r="G12040" s="553">
        <v>277.04000000000002</v>
      </c>
      <c r="H12040" s="553">
        <v>209.81</v>
      </c>
      <c r="I12040" s="553">
        <v>1030.3599999999999</v>
      </c>
      <c r="J12040" s="647">
        <v>1203.73</v>
      </c>
    </row>
    <row r="12041" spans="2:10">
      <c r="B12041" s="1230" t="s">
        <v>462</v>
      </c>
      <c r="C12041" s="132" t="s">
        <v>2154</v>
      </c>
      <c r="D12041" s="255">
        <v>28149</v>
      </c>
      <c r="E12041" s="553">
        <v>128.9</v>
      </c>
      <c r="F12041" s="553">
        <v>1833.49</v>
      </c>
      <c r="G12041" s="553">
        <v>343.45</v>
      </c>
      <c r="H12041" s="553">
        <v>178.79</v>
      </c>
      <c r="I12041" s="553">
        <v>636.87</v>
      </c>
      <c r="J12041" s="647">
        <v>1332.29</v>
      </c>
    </row>
    <row r="12042" spans="2:10">
      <c r="B12042" s="1230" t="s">
        <v>462</v>
      </c>
      <c r="C12042" s="132" t="s">
        <v>487</v>
      </c>
      <c r="D12042" s="255">
        <v>28151</v>
      </c>
      <c r="E12042" s="553">
        <v>126.39</v>
      </c>
      <c r="F12042" s="553">
        <v>1808.33</v>
      </c>
      <c r="G12042" s="553">
        <v>418</v>
      </c>
      <c r="H12042" s="553">
        <v>176.29</v>
      </c>
      <c r="I12042" s="553">
        <v>637</v>
      </c>
      <c r="J12042" s="647">
        <v>1390.82</v>
      </c>
    </row>
    <row r="12043" spans="2:10">
      <c r="B12043" s="1230" t="s">
        <v>462</v>
      </c>
      <c r="C12043" s="132" t="s">
        <v>2155</v>
      </c>
      <c r="D12043" s="255">
        <v>28153</v>
      </c>
      <c r="E12043" s="553">
        <v>139.61000000000001</v>
      </c>
      <c r="F12043" s="553">
        <v>2076.4699999999998</v>
      </c>
      <c r="G12043" s="553">
        <v>274.35000000000002</v>
      </c>
      <c r="H12043" s="553">
        <v>201.83</v>
      </c>
      <c r="I12043" s="553">
        <v>1137.06</v>
      </c>
      <c r="J12043" s="647">
        <v>1440.02</v>
      </c>
    </row>
    <row r="12044" spans="2:10">
      <c r="B12044" s="1230" t="s">
        <v>462</v>
      </c>
      <c r="C12044" s="132" t="s">
        <v>2156</v>
      </c>
      <c r="D12044" s="255">
        <v>28155</v>
      </c>
      <c r="E12044" s="553">
        <v>138.77000000000001</v>
      </c>
      <c r="F12044" s="553">
        <v>1867.13</v>
      </c>
      <c r="G12044" s="553">
        <v>317.17</v>
      </c>
      <c r="H12044" s="553">
        <v>182.64</v>
      </c>
      <c r="I12044" s="553">
        <v>1105.53</v>
      </c>
      <c r="J12044" s="647">
        <v>1377.19</v>
      </c>
    </row>
    <row r="12045" spans="2:10">
      <c r="B12045" s="1230" t="s">
        <v>462</v>
      </c>
      <c r="C12045" s="132" t="s">
        <v>2160</v>
      </c>
      <c r="D12045" s="255">
        <v>28157</v>
      </c>
      <c r="E12045" s="553">
        <v>143.06</v>
      </c>
      <c r="F12045" s="553">
        <v>1946.46</v>
      </c>
      <c r="G12045" s="553">
        <v>286.38</v>
      </c>
      <c r="H12045" s="553">
        <v>190.39</v>
      </c>
      <c r="I12045" s="553">
        <v>1208.03</v>
      </c>
      <c r="J12045" s="647">
        <v>1295.1300000000001</v>
      </c>
    </row>
    <row r="12046" spans="2:10">
      <c r="B12046" s="1230" t="s">
        <v>462</v>
      </c>
      <c r="C12046" s="132" t="s">
        <v>1784</v>
      </c>
      <c r="D12046" s="255">
        <v>28159</v>
      </c>
      <c r="E12046" s="553">
        <v>137.12</v>
      </c>
      <c r="F12046" s="553">
        <v>1936.71</v>
      </c>
      <c r="G12046" s="553">
        <v>322.42</v>
      </c>
      <c r="H12046" s="553">
        <v>188.84</v>
      </c>
      <c r="I12046" s="553">
        <v>953.46</v>
      </c>
      <c r="J12046" s="647">
        <v>1405.98</v>
      </c>
    </row>
    <row r="12047" spans="2:10">
      <c r="B12047" s="1230" t="s">
        <v>462</v>
      </c>
      <c r="C12047" s="132" t="s">
        <v>2715</v>
      </c>
      <c r="D12047" s="255">
        <v>28161</v>
      </c>
      <c r="E12047" s="553">
        <v>139.82</v>
      </c>
      <c r="F12047" s="553">
        <v>1924.63</v>
      </c>
      <c r="G12047" s="553">
        <v>305.77</v>
      </c>
      <c r="H12047" s="553">
        <v>188.11</v>
      </c>
      <c r="I12047" s="553">
        <v>2650.1</v>
      </c>
      <c r="J12047" s="647">
        <v>1348.21</v>
      </c>
    </row>
    <row r="12048" spans="2:10">
      <c r="B12048" s="1230" t="s">
        <v>462</v>
      </c>
      <c r="C12048" s="132" t="s">
        <v>2716</v>
      </c>
      <c r="D12048" s="255">
        <v>28163</v>
      </c>
      <c r="E12048" s="553">
        <v>169.06</v>
      </c>
      <c r="F12048" s="553">
        <v>2359.67</v>
      </c>
      <c r="G12048" s="553">
        <v>448.6</v>
      </c>
      <c r="H12048" s="553">
        <v>230.25</v>
      </c>
      <c r="I12048" s="553">
        <v>693.22</v>
      </c>
      <c r="J12048" s="647">
        <v>1607.25</v>
      </c>
    </row>
    <row r="12049" spans="2:10">
      <c r="B12049" s="1230" t="s">
        <v>463</v>
      </c>
      <c r="C12049" s="132" t="s">
        <v>2291</v>
      </c>
      <c r="D12049" s="255">
        <v>29001</v>
      </c>
      <c r="E12049" s="553">
        <v>156.54</v>
      </c>
      <c r="F12049" s="553">
        <v>1920.58</v>
      </c>
      <c r="G12049" s="553">
        <v>613.49</v>
      </c>
      <c r="H12049" s="553">
        <v>189.43</v>
      </c>
      <c r="I12049" s="553">
        <v>996.98</v>
      </c>
      <c r="J12049" s="647">
        <v>1763.47</v>
      </c>
    </row>
    <row r="12050" spans="2:10">
      <c r="B12050" s="1230" t="s">
        <v>463</v>
      </c>
      <c r="C12050" s="132" t="s">
        <v>2717</v>
      </c>
      <c r="D12050" s="255">
        <v>29003</v>
      </c>
      <c r="E12050" s="553">
        <v>224.21</v>
      </c>
      <c r="F12050" s="553">
        <v>2800.49</v>
      </c>
      <c r="G12050" s="553">
        <v>874.59</v>
      </c>
      <c r="H12050" s="553">
        <v>275.86</v>
      </c>
      <c r="I12050" s="553">
        <v>372.69</v>
      </c>
      <c r="J12050" s="647">
        <v>666.1</v>
      </c>
    </row>
    <row r="12051" spans="2:10">
      <c r="B12051" s="1230" t="s">
        <v>463</v>
      </c>
      <c r="C12051" s="132" t="s">
        <v>2336</v>
      </c>
      <c r="D12051" s="255">
        <v>29005</v>
      </c>
      <c r="E12051" s="553">
        <v>132.61000000000001</v>
      </c>
      <c r="F12051" s="553">
        <v>1551.36</v>
      </c>
      <c r="G12051" s="553">
        <v>656.9</v>
      </c>
      <c r="H12051" s="553">
        <v>153.62</v>
      </c>
      <c r="I12051" s="553">
        <v>511.86</v>
      </c>
      <c r="J12051" s="647">
        <v>630.14</v>
      </c>
    </row>
    <row r="12052" spans="2:10">
      <c r="B12052" s="1230" t="s">
        <v>463</v>
      </c>
      <c r="C12052" s="132" t="s">
        <v>2718</v>
      </c>
      <c r="D12052" s="255">
        <v>29007</v>
      </c>
      <c r="E12052" s="553">
        <v>183.89</v>
      </c>
      <c r="F12052" s="553">
        <v>2331.42</v>
      </c>
      <c r="G12052" s="553">
        <v>697.55</v>
      </c>
      <c r="H12052" s="553">
        <v>229.25</v>
      </c>
      <c r="I12052" s="553">
        <v>1466.27</v>
      </c>
      <c r="J12052" s="647">
        <v>1938.36</v>
      </c>
    </row>
    <row r="12053" spans="2:10">
      <c r="B12053" s="1230" t="s">
        <v>463</v>
      </c>
      <c r="C12053" s="132" t="s">
        <v>2565</v>
      </c>
      <c r="D12053" s="255">
        <v>29009</v>
      </c>
      <c r="E12053" s="553">
        <v>169.3</v>
      </c>
      <c r="F12053" s="553">
        <v>2298.64</v>
      </c>
      <c r="G12053" s="553">
        <v>619.13</v>
      </c>
      <c r="H12053" s="553">
        <v>224.96</v>
      </c>
      <c r="I12053" s="553">
        <v>805.77</v>
      </c>
      <c r="J12053" s="647">
        <v>1836.38</v>
      </c>
    </row>
    <row r="12054" spans="2:10">
      <c r="B12054" s="1230" t="s">
        <v>463</v>
      </c>
      <c r="C12054" s="132" t="s">
        <v>2338</v>
      </c>
      <c r="D12054" s="255">
        <v>29011</v>
      </c>
      <c r="E12054" s="553">
        <v>173.1</v>
      </c>
      <c r="F12054" s="553">
        <v>2274.66</v>
      </c>
      <c r="G12054" s="553">
        <v>675.3</v>
      </c>
      <c r="H12054" s="553">
        <v>223.12</v>
      </c>
      <c r="I12054" s="553">
        <v>742.91</v>
      </c>
      <c r="J12054" s="647">
        <v>1753.99</v>
      </c>
    </row>
    <row r="12055" spans="2:10">
      <c r="B12055" s="1230" t="s">
        <v>463</v>
      </c>
      <c r="C12055" s="132" t="s">
        <v>2719</v>
      </c>
      <c r="D12055" s="255">
        <v>29013</v>
      </c>
      <c r="E12055" s="553">
        <v>205.43</v>
      </c>
      <c r="F12055" s="553">
        <v>2594.9</v>
      </c>
      <c r="G12055" s="553">
        <v>883.86</v>
      </c>
      <c r="H12055" s="553">
        <v>255.38</v>
      </c>
      <c r="I12055" s="553">
        <v>465.7</v>
      </c>
      <c r="J12055" s="647">
        <v>728.7</v>
      </c>
    </row>
    <row r="12056" spans="2:10">
      <c r="B12056" s="1230" t="s">
        <v>463</v>
      </c>
      <c r="C12056" s="132" t="s">
        <v>1832</v>
      </c>
      <c r="D12056" s="255">
        <v>29015</v>
      </c>
      <c r="E12056" s="553">
        <v>149.22</v>
      </c>
      <c r="F12056" s="553">
        <v>1939.32</v>
      </c>
      <c r="G12056" s="553">
        <v>608.42999999999995</v>
      </c>
      <c r="H12056" s="553">
        <v>190.39</v>
      </c>
      <c r="I12056" s="553">
        <v>990.86</v>
      </c>
      <c r="J12056" s="647">
        <v>1708.86</v>
      </c>
    </row>
    <row r="12057" spans="2:10">
      <c r="B12057" s="1230" t="s">
        <v>463</v>
      </c>
      <c r="C12057" s="132" t="s">
        <v>2720</v>
      </c>
      <c r="D12057" s="255">
        <v>29017</v>
      </c>
      <c r="E12057" s="553">
        <v>205.89</v>
      </c>
      <c r="F12057" s="553">
        <v>2776.59</v>
      </c>
      <c r="G12057" s="553">
        <v>550.79999999999995</v>
      </c>
      <c r="H12057" s="553">
        <v>271.83</v>
      </c>
      <c r="I12057" s="553">
        <v>1615.97</v>
      </c>
      <c r="J12057" s="647">
        <v>1949.55</v>
      </c>
    </row>
    <row r="12058" spans="2:10">
      <c r="B12058" s="1230" t="s">
        <v>463</v>
      </c>
      <c r="C12058" s="132" t="s">
        <v>1833</v>
      </c>
      <c r="D12058" s="255">
        <v>29019</v>
      </c>
      <c r="E12058" s="553">
        <v>208.04</v>
      </c>
      <c r="F12058" s="553">
        <v>2580.62</v>
      </c>
      <c r="G12058" s="553">
        <v>677.47</v>
      </c>
      <c r="H12058" s="553">
        <v>254.33</v>
      </c>
      <c r="I12058" s="553">
        <v>1315.42</v>
      </c>
      <c r="J12058" s="647">
        <v>1833.66</v>
      </c>
    </row>
    <row r="12059" spans="2:10">
      <c r="B12059" s="1230" t="s">
        <v>463</v>
      </c>
      <c r="C12059" s="132" t="s">
        <v>2297</v>
      </c>
      <c r="D12059" s="255">
        <v>29021</v>
      </c>
      <c r="E12059" s="553">
        <v>248.61</v>
      </c>
      <c r="F12059" s="553">
        <v>3093.19</v>
      </c>
      <c r="G12059" s="553">
        <v>861.01</v>
      </c>
      <c r="H12059" s="553">
        <v>304.82</v>
      </c>
      <c r="I12059" s="553">
        <v>371.71</v>
      </c>
      <c r="J12059" s="647">
        <v>704.34</v>
      </c>
    </row>
    <row r="12060" spans="2:10">
      <c r="B12060" s="1230" t="s">
        <v>463</v>
      </c>
      <c r="C12060" s="132" t="s">
        <v>1725</v>
      </c>
      <c r="D12060" s="255">
        <v>29023</v>
      </c>
      <c r="E12060" s="553">
        <v>177.51</v>
      </c>
      <c r="F12060" s="553">
        <v>2402.2199999999998</v>
      </c>
      <c r="G12060" s="553">
        <v>568.01</v>
      </c>
      <c r="H12060" s="553">
        <v>235.13</v>
      </c>
      <c r="I12060" s="553">
        <v>1312.72</v>
      </c>
      <c r="J12060" s="647">
        <v>1861.73</v>
      </c>
    </row>
    <row r="12061" spans="2:10">
      <c r="B12061" s="1230" t="s">
        <v>463</v>
      </c>
      <c r="C12061" s="132" t="s">
        <v>2412</v>
      </c>
      <c r="D12061" s="255">
        <v>29025</v>
      </c>
      <c r="E12061" s="553">
        <v>151.34</v>
      </c>
      <c r="F12061" s="553">
        <v>1827.28</v>
      </c>
      <c r="G12061" s="553">
        <v>661.23</v>
      </c>
      <c r="H12061" s="553">
        <v>180.34</v>
      </c>
      <c r="I12061" s="553">
        <v>458.25</v>
      </c>
      <c r="J12061" s="647">
        <v>586.23</v>
      </c>
    </row>
    <row r="12062" spans="2:10">
      <c r="B12062" s="1230" t="s">
        <v>463</v>
      </c>
      <c r="C12062" s="132" t="s">
        <v>2721</v>
      </c>
      <c r="D12062" s="255">
        <v>29027</v>
      </c>
      <c r="E12062" s="553">
        <v>226.93</v>
      </c>
      <c r="F12062" s="553">
        <v>2875.3</v>
      </c>
      <c r="G12062" s="553">
        <v>737.61</v>
      </c>
      <c r="H12062" s="553">
        <v>282.82</v>
      </c>
      <c r="I12062" s="553">
        <v>1522.72</v>
      </c>
      <c r="J12062" s="647">
        <v>1951.98</v>
      </c>
    </row>
    <row r="12063" spans="2:10">
      <c r="B12063" s="1230" t="s">
        <v>463</v>
      </c>
      <c r="C12063" s="132" t="s">
        <v>2069</v>
      </c>
      <c r="D12063" s="255">
        <v>29029</v>
      </c>
      <c r="E12063" s="553">
        <v>159.66999999999999</v>
      </c>
      <c r="F12063" s="553">
        <v>2109.92</v>
      </c>
      <c r="G12063" s="553">
        <v>596.44000000000005</v>
      </c>
      <c r="H12063" s="553">
        <v>206.79</v>
      </c>
      <c r="I12063" s="553">
        <v>1125.3900000000001</v>
      </c>
      <c r="J12063" s="647">
        <v>1766.17</v>
      </c>
    </row>
    <row r="12064" spans="2:10">
      <c r="B12064" s="1230" t="s">
        <v>463</v>
      </c>
      <c r="C12064" s="132" t="s">
        <v>2722</v>
      </c>
      <c r="D12064" s="255">
        <v>29031</v>
      </c>
      <c r="E12064" s="553">
        <v>253.57</v>
      </c>
      <c r="F12064" s="553">
        <v>3427.64</v>
      </c>
      <c r="G12064" s="553">
        <v>613.16</v>
      </c>
      <c r="H12064" s="553">
        <v>335.54</v>
      </c>
      <c r="I12064" s="553">
        <v>1895.37</v>
      </c>
      <c r="J12064" s="647">
        <v>2139.7399999999998</v>
      </c>
    </row>
    <row r="12065" spans="2:10">
      <c r="B12065" s="1230" t="s">
        <v>463</v>
      </c>
      <c r="C12065" s="132" t="s">
        <v>1835</v>
      </c>
      <c r="D12065" s="255">
        <v>29033</v>
      </c>
      <c r="E12065" s="553">
        <v>146.4</v>
      </c>
      <c r="F12065" s="553">
        <v>1888.59</v>
      </c>
      <c r="G12065" s="553">
        <v>669.11</v>
      </c>
      <c r="H12065" s="553">
        <v>185.48</v>
      </c>
      <c r="I12065" s="553">
        <v>548.77</v>
      </c>
      <c r="J12065" s="647">
        <v>610.12</v>
      </c>
    </row>
    <row r="12066" spans="2:10">
      <c r="B12066" s="1230" t="s">
        <v>463</v>
      </c>
      <c r="C12066" s="132" t="s">
        <v>2416</v>
      </c>
      <c r="D12066" s="255">
        <v>29035</v>
      </c>
      <c r="E12066" s="553">
        <v>153.06</v>
      </c>
      <c r="F12066" s="553">
        <v>1926.86</v>
      </c>
      <c r="G12066" s="553">
        <v>478.07</v>
      </c>
      <c r="H12066" s="553">
        <v>189.55</v>
      </c>
      <c r="I12066" s="553">
        <v>1452.1</v>
      </c>
      <c r="J12066" s="647">
        <v>1648.98</v>
      </c>
    </row>
    <row r="12067" spans="2:10">
      <c r="B12067" s="1230" t="s">
        <v>463</v>
      </c>
      <c r="C12067" s="132" t="s">
        <v>2202</v>
      </c>
      <c r="D12067" s="255">
        <v>29037</v>
      </c>
      <c r="E12067" s="553">
        <v>641.54</v>
      </c>
      <c r="F12067" s="553">
        <v>7920.97</v>
      </c>
      <c r="G12067" s="553">
        <v>2093.42</v>
      </c>
      <c r="H12067" s="553">
        <v>780.85</v>
      </c>
      <c r="I12067" s="553">
        <v>456.82</v>
      </c>
      <c r="J12067" s="647">
        <v>1362.34</v>
      </c>
    </row>
    <row r="12068" spans="2:10">
      <c r="B12068" s="1230" t="s">
        <v>463</v>
      </c>
      <c r="C12068" s="132" t="s">
        <v>2299</v>
      </c>
      <c r="D12068" s="255">
        <v>29039</v>
      </c>
      <c r="E12068" s="553">
        <v>149.66</v>
      </c>
      <c r="F12068" s="553">
        <v>1918.07</v>
      </c>
      <c r="G12068" s="553">
        <v>617.89</v>
      </c>
      <c r="H12068" s="553">
        <v>188.49</v>
      </c>
      <c r="I12068" s="553">
        <v>847.89</v>
      </c>
      <c r="J12068" s="647">
        <v>1703.77</v>
      </c>
    </row>
    <row r="12069" spans="2:10">
      <c r="B12069" s="1230" t="s">
        <v>463</v>
      </c>
      <c r="C12069" s="132" t="s">
        <v>2723</v>
      </c>
      <c r="D12069" s="255">
        <v>29041</v>
      </c>
      <c r="E12069" s="553">
        <v>164.43</v>
      </c>
      <c r="F12069" s="553">
        <v>2140.19</v>
      </c>
      <c r="G12069" s="553">
        <v>697.13</v>
      </c>
      <c r="H12069" s="553">
        <v>210.14</v>
      </c>
      <c r="I12069" s="553">
        <v>625.86</v>
      </c>
      <c r="J12069" s="647">
        <v>644.21</v>
      </c>
    </row>
    <row r="12070" spans="2:10">
      <c r="B12070" s="1230" t="s">
        <v>463</v>
      </c>
      <c r="C12070" s="132" t="s">
        <v>2204</v>
      </c>
      <c r="D12070" s="255">
        <v>29043</v>
      </c>
      <c r="E12070" s="553">
        <v>272.12</v>
      </c>
      <c r="F12070" s="553">
        <v>3713.26</v>
      </c>
      <c r="G12070" s="553">
        <v>783.5</v>
      </c>
      <c r="H12070" s="553">
        <v>363.33</v>
      </c>
      <c r="I12070" s="553">
        <v>922.15</v>
      </c>
      <c r="J12070" s="647">
        <v>2118.25</v>
      </c>
    </row>
    <row r="12071" spans="2:10">
      <c r="B12071" s="1230" t="s">
        <v>463</v>
      </c>
      <c r="C12071" s="132" t="s">
        <v>1837</v>
      </c>
      <c r="D12071" s="255">
        <v>29045</v>
      </c>
      <c r="E12071" s="553">
        <v>188.59</v>
      </c>
      <c r="F12071" s="553">
        <v>2318.48</v>
      </c>
      <c r="G12071" s="553">
        <v>698.24</v>
      </c>
      <c r="H12071" s="553">
        <v>228.62</v>
      </c>
      <c r="I12071" s="553">
        <v>1291.7</v>
      </c>
      <c r="J12071" s="647">
        <v>1878.06</v>
      </c>
    </row>
    <row r="12072" spans="2:10">
      <c r="B12072" s="1230" t="s">
        <v>463</v>
      </c>
      <c r="C12072" s="132" t="s">
        <v>1732</v>
      </c>
      <c r="D12072" s="255">
        <v>29047</v>
      </c>
      <c r="E12072" s="553">
        <v>952.8</v>
      </c>
      <c r="F12072" s="553">
        <v>11637.37</v>
      </c>
      <c r="G12072" s="553">
        <v>2348.75</v>
      </c>
      <c r="H12072" s="553">
        <v>1148.07</v>
      </c>
      <c r="I12072" s="553">
        <v>426.14</v>
      </c>
      <c r="J12072" s="647">
        <v>1493.61</v>
      </c>
    </row>
    <row r="12073" spans="2:10">
      <c r="B12073" s="1230" t="s">
        <v>463</v>
      </c>
      <c r="C12073" s="132" t="s">
        <v>2205</v>
      </c>
      <c r="D12073" s="255">
        <v>29049</v>
      </c>
      <c r="E12073" s="553">
        <v>230.76</v>
      </c>
      <c r="F12073" s="553">
        <v>2810.17</v>
      </c>
      <c r="G12073" s="553">
        <v>855.71</v>
      </c>
      <c r="H12073" s="553">
        <v>277.27999999999997</v>
      </c>
      <c r="I12073" s="553">
        <v>413.46</v>
      </c>
      <c r="J12073" s="647">
        <v>687.36</v>
      </c>
    </row>
    <row r="12074" spans="2:10">
      <c r="B12074" s="1230" t="s">
        <v>463</v>
      </c>
      <c r="C12074" s="132" t="s">
        <v>2724</v>
      </c>
      <c r="D12074" s="255">
        <v>29051</v>
      </c>
      <c r="E12074" s="553">
        <v>193.71</v>
      </c>
      <c r="F12074" s="553">
        <v>2493.87</v>
      </c>
      <c r="G12074" s="553">
        <v>627.84</v>
      </c>
      <c r="H12074" s="553">
        <v>245.06</v>
      </c>
      <c r="I12074" s="553">
        <v>1356.84</v>
      </c>
      <c r="J12074" s="647">
        <v>1804.31</v>
      </c>
    </row>
    <row r="12075" spans="2:10">
      <c r="B12075" s="1230" t="s">
        <v>463</v>
      </c>
      <c r="C12075" s="132" t="s">
        <v>2725</v>
      </c>
      <c r="D12075" s="255">
        <v>29053</v>
      </c>
      <c r="E12075" s="553">
        <v>158.18</v>
      </c>
      <c r="F12075" s="553">
        <v>1971.87</v>
      </c>
      <c r="G12075" s="553">
        <v>596.29</v>
      </c>
      <c r="H12075" s="553">
        <v>194.27</v>
      </c>
      <c r="I12075" s="553">
        <v>1136.29</v>
      </c>
      <c r="J12075" s="647">
        <v>1677.25</v>
      </c>
    </row>
    <row r="12076" spans="2:10">
      <c r="B12076" s="1230" t="s">
        <v>463</v>
      </c>
      <c r="C12076" s="132" t="s">
        <v>1842</v>
      </c>
      <c r="D12076" s="255">
        <v>29055</v>
      </c>
      <c r="E12076" s="553">
        <v>202.16</v>
      </c>
      <c r="F12076" s="553">
        <v>2637.6</v>
      </c>
      <c r="G12076" s="553">
        <v>694.07</v>
      </c>
      <c r="H12076" s="553">
        <v>258.79000000000002</v>
      </c>
      <c r="I12076" s="553">
        <v>1921.48</v>
      </c>
      <c r="J12076" s="647">
        <v>1847.26</v>
      </c>
    </row>
    <row r="12077" spans="2:10">
      <c r="B12077" s="1230" t="s">
        <v>463</v>
      </c>
      <c r="C12077" s="132" t="s">
        <v>2083</v>
      </c>
      <c r="D12077" s="255">
        <v>29057</v>
      </c>
      <c r="E12077" s="553">
        <v>161.99</v>
      </c>
      <c r="F12077" s="553">
        <v>2145.37</v>
      </c>
      <c r="G12077" s="553">
        <v>631.38</v>
      </c>
      <c r="H12077" s="553">
        <v>210.35</v>
      </c>
      <c r="I12077" s="553">
        <v>840.28</v>
      </c>
      <c r="J12077" s="647">
        <v>1740.68</v>
      </c>
    </row>
    <row r="12078" spans="2:10">
      <c r="B12078" s="1230" t="s">
        <v>463</v>
      </c>
      <c r="C12078" s="132" t="s">
        <v>1742</v>
      </c>
      <c r="D12078" s="255">
        <v>29059</v>
      </c>
      <c r="E12078" s="553">
        <v>156.30000000000001</v>
      </c>
      <c r="F12078" s="553">
        <v>2044.17</v>
      </c>
      <c r="G12078" s="553">
        <v>599.45000000000005</v>
      </c>
      <c r="H12078" s="553">
        <v>200.54</v>
      </c>
      <c r="I12078" s="553">
        <v>1022.31</v>
      </c>
      <c r="J12078" s="647">
        <v>1749.69</v>
      </c>
    </row>
    <row r="12079" spans="2:10">
      <c r="B12079" s="1230" t="s">
        <v>463</v>
      </c>
      <c r="C12079" s="132" t="s">
        <v>2255</v>
      </c>
      <c r="D12079" s="255">
        <v>29061</v>
      </c>
      <c r="E12079" s="553">
        <v>142.22</v>
      </c>
      <c r="F12079" s="553">
        <v>1701.94</v>
      </c>
      <c r="G12079" s="553">
        <v>617.4</v>
      </c>
      <c r="H12079" s="553">
        <v>168.2</v>
      </c>
      <c r="I12079" s="553">
        <v>442.82</v>
      </c>
      <c r="J12079" s="647">
        <v>571.95000000000005</v>
      </c>
    </row>
    <row r="12080" spans="2:10">
      <c r="B12080" s="1230" t="s">
        <v>463</v>
      </c>
      <c r="C12080" s="132" t="s">
        <v>1743</v>
      </c>
      <c r="D12080" s="255">
        <v>29063</v>
      </c>
      <c r="E12080" s="553">
        <v>173.34</v>
      </c>
      <c r="F12080" s="553">
        <v>2107.27</v>
      </c>
      <c r="G12080" s="553">
        <v>734.27</v>
      </c>
      <c r="H12080" s="553">
        <v>207.88</v>
      </c>
      <c r="I12080" s="553">
        <v>402.02</v>
      </c>
      <c r="J12080" s="647">
        <v>615.33000000000004</v>
      </c>
    </row>
    <row r="12081" spans="2:10">
      <c r="B12081" s="1230" t="s">
        <v>463</v>
      </c>
      <c r="C12081" s="132" t="s">
        <v>2726</v>
      </c>
      <c r="D12081" s="255">
        <v>29065</v>
      </c>
      <c r="E12081" s="553">
        <v>174.37</v>
      </c>
      <c r="F12081" s="553">
        <v>2255.0700000000002</v>
      </c>
      <c r="G12081" s="553">
        <v>571.54</v>
      </c>
      <c r="H12081" s="553">
        <v>221.5</v>
      </c>
      <c r="I12081" s="553">
        <v>1644.27</v>
      </c>
      <c r="J12081" s="647">
        <v>1885.13</v>
      </c>
    </row>
    <row r="12082" spans="2:10">
      <c r="B12082" s="1230" t="s">
        <v>463</v>
      </c>
      <c r="C12082" s="132" t="s">
        <v>1957</v>
      </c>
      <c r="D12082" s="255">
        <v>29067</v>
      </c>
      <c r="E12082" s="553">
        <v>145.96</v>
      </c>
      <c r="F12082" s="553">
        <v>1875.97</v>
      </c>
      <c r="G12082" s="553">
        <v>524.44000000000005</v>
      </c>
      <c r="H12082" s="553">
        <v>184.36</v>
      </c>
      <c r="I12082" s="553">
        <v>1098.02</v>
      </c>
      <c r="J12082" s="647">
        <v>1780.23</v>
      </c>
    </row>
    <row r="12083" spans="2:10">
      <c r="B12083" s="1230" t="s">
        <v>463</v>
      </c>
      <c r="C12083" s="132" t="s">
        <v>2727</v>
      </c>
      <c r="D12083" s="255">
        <v>29069</v>
      </c>
      <c r="E12083" s="553">
        <v>191</v>
      </c>
      <c r="F12083" s="553">
        <v>2605.16</v>
      </c>
      <c r="G12083" s="553">
        <v>521.94000000000005</v>
      </c>
      <c r="H12083" s="553">
        <v>254.8</v>
      </c>
      <c r="I12083" s="553">
        <v>1286.78</v>
      </c>
      <c r="J12083" s="647">
        <v>1927.81</v>
      </c>
    </row>
    <row r="12084" spans="2:10">
      <c r="B12084" s="1230" t="s">
        <v>463</v>
      </c>
      <c r="C12084" s="132" t="s">
        <v>1748</v>
      </c>
      <c r="D12084" s="255">
        <v>29071</v>
      </c>
      <c r="E12084" s="553">
        <v>246.71</v>
      </c>
      <c r="F12084" s="553">
        <v>3056.88</v>
      </c>
      <c r="G12084" s="553">
        <v>785.41</v>
      </c>
      <c r="H12084" s="553">
        <v>301.14</v>
      </c>
      <c r="I12084" s="553">
        <v>2775.46</v>
      </c>
      <c r="J12084" s="647">
        <v>1973.51</v>
      </c>
    </row>
    <row r="12085" spans="2:10">
      <c r="B12085" s="1230" t="s">
        <v>463</v>
      </c>
      <c r="C12085" s="132" t="s">
        <v>2728</v>
      </c>
      <c r="D12085" s="255">
        <v>29073</v>
      </c>
      <c r="E12085" s="553">
        <v>175.58</v>
      </c>
      <c r="F12085" s="553">
        <v>2192.33</v>
      </c>
      <c r="G12085" s="553">
        <v>573.45000000000005</v>
      </c>
      <c r="H12085" s="553">
        <v>215.86</v>
      </c>
      <c r="I12085" s="553">
        <v>1776.96</v>
      </c>
      <c r="J12085" s="647">
        <v>1798.18</v>
      </c>
    </row>
    <row r="12086" spans="2:10">
      <c r="B12086" s="1230" t="s">
        <v>463</v>
      </c>
      <c r="C12086" s="132" t="s">
        <v>2729</v>
      </c>
      <c r="D12086" s="255">
        <v>29075</v>
      </c>
      <c r="E12086" s="553">
        <v>145.61000000000001</v>
      </c>
      <c r="F12086" s="553">
        <v>1700.54</v>
      </c>
      <c r="G12086" s="553">
        <v>647.29</v>
      </c>
      <c r="H12086" s="553">
        <v>168.34</v>
      </c>
      <c r="I12086" s="553">
        <v>403.56</v>
      </c>
      <c r="J12086" s="647">
        <v>574</v>
      </c>
    </row>
    <row r="12087" spans="2:10">
      <c r="B12087" s="1230" t="s">
        <v>463</v>
      </c>
      <c r="C12087" s="132" t="s">
        <v>1750</v>
      </c>
      <c r="D12087" s="255">
        <v>29077</v>
      </c>
      <c r="E12087" s="553">
        <v>248.16</v>
      </c>
      <c r="F12087" s="553">
        <v>3315.88</v>
      </c>
      <c r="G12087" s="553">
        <v>801.24</v>
      </c>
      <c r="H12087" s="553">
        <v>324.89</v>
      </c>
      <c r="I12087" s="553">
        <v>924.16</v>
      </c>
      <c r="J12087" s="647">
        <v>2065.48</v>
      </c>
    </row>
    <row r="12088" spans="2:10">
      <c r="B12088" s="1230" t="s">
        <v>463</v>
      </c>
      <c r="C12088" s="132" t="s">
        <v>2214</v>
      </c>
      <c r="D12088" s="255">
        <v>29079</v>
      </c>
      <c r="E12088" s="553">
        <v>119.51</v>
      </c>
      <c r="F12088" s="553">
        <v>1481.03</v>
      </c>
      <c r="G12088" s="553">
        <v>568.91999999999996</v>
      </c>
      <c r="H12088" s="553">
        <v>145.87</v>
      </c>
      <c r="I12088" s="553">
        <v>493.54</v>
      </c>
      <c r="J12088" s="647">
        <v>546.86</v>
      </c>
    </row>
    <row r="12089" spans="2:10">
      <c r="B12089" s="1230" t="s">
        <v>463</v>
      </c>
      <c r="C12089" s="132" t="s">
        <v>2261</v>
      </c>
      <c r="D12089" s="255">
        <v>29081</v>
      </c>
      <c r="E12089" s="553">
        <v>135.65</v>
      </c>
      <c r="F12089" s="553">
        <v>1589.05</v>
      </c>
      <c r="G12089" s="553">
        <v>600.66</v>
      </c>
      <c r="H12089" s="553">
        <v>157.29</v>
      </c>
      <c r="I12089" s="553">
        <v>444.17</v>
      </c>
      <c r="J12089" s="647">
        <v>559.98</v>
      </c>
    </row>
    <row r="12090" spans="2:10">
      <c r="B12090" s="1230" t="s">
        <v>463</v>
      </c>
      <c r="C12090" s="132" t="s">
        <v>1752</v>
      </c>
      <c r="D12090" s="255">
        <v>29083</v>
      </c>
      <c r="E12090" s="553">
        <v>163.06</v>
      </c>
      <c r="F12090" s="553">
        <v>2093.5500000000002</v>
      </c>
      <c r="G12090" s="553">
        <v>681.59</v>
      </c>
      <c r="H12090" s="553">
        <v>205.73</v>
      </c>
      <c r="I12090" s="553">
        <v>858.02</v>
      </c>
      <c r="J12090" s="647">
        <v>1770.64</v>
      </c>
    </row>
    <row r="12091" spans="2:10">
      <c r="B12091" s="1230" t="s">
        <v>463</v>
      </c>
      <c r="C12091" s="132" t="s">
        <v>2730</v>
      </c>
      <c r="D12091" s="255">
        <v>29085</v>
      </c>
      <c r="E12091" s="553">
        <v>139.97</v>
      </c>
      <c r="F12091" s="553">
        <v>1795.76</v>
      </c>
      <c r="G12091" s="553">
        <v>563.97</v>
      </c>
      <c r="H12091" s="553">
        <v>176.49</v>
      </c>
      <c r="I12091" s="553">
        <v>977.35</v>
      </c>
      <c r="J12091" s="647">
        <v>1683.48</v>
      </c>
    </row>
    <row r="12092" spans="2:10">
      <c r="B12092" s="1230" t="s">
        <v>463</v>
      </c>
      <c r="C12092" s="132" t="s">
        <v>2731</v>
      </c>
      <c r="D12092" s="255">
        <v>29087</v>
      </c>
      <c r="E12092" s="553">
        <v>145.34</v>
      </c>
      <c r="F12092" s="553">
        <v>1685.66</v>
      </c>
      <c r="G12092" s="553">
        <v>686.17</v>
      </c>
      <c r="H12092" s="553">
        <v>166.97</v>
      </c>
      <c r="I12092" s="553">
        <v>340.2</v>
      </c>
      <c r="J12092" s="647">
        <v>555.12</v>
      </c>
    </row>
    <row r="12093" spans="2:10">
      <c r="B12093" s="1230" t="s">
        <v>463</v>
      </c>
      <c r="C12093" s="132" t="s">
        <v>1853</v>
      </c>
      <c r="D12093" s="255">
        <v>29089</v>
      </c>
      <c r="E12093" s="553">
        <v>173.99</v>
      </c>
      <c r="F12093" s="553">
        <v>2234.6</v>
      </c>
      <c r="G12093" s="553">
        <v>682.73</v>
      </c>
      <c r="H12093" s="553">
        <v>219.56</v>
      </c>
      <c r="I12093" s="553">
        <v>703.39</v>
      </c>
      <c r="J12093" s="647">
        <v>636.66</v>
      </c>
    </row>
    <row r="12094" spans="2:10">
      <c r="B12094" s="1230" t="s">
        <v>463</v>
      </c>
      <c r="C12094" s="132" t="s">
        <v>2732</v>
      </c>
      <c r="D12094" s="255">
        <v>29091</v>
      </c>
      <c r="E12094" s="553">
        <v>151.06</v>
      </c>
      <c r="F12094" s="553">
        <v>1972.32</v>
      </c>
      <c r="G12094" s="553">
        <v>496.15</v>
      </c>
      <c r="H12094" s="553">
        <v>193.56</v>
      </c>
      <c r="I12094" s="553">
        <v>1207.8599999999999</v>
      </c>
      <c r="J12094" s="647">
        <v>1840.35</v>
      </c>
    </row>
    <row r="12095" spans="2:10">
      <c r="B12095" s="1230" t="s">
        <v>463</v>
      </c>
      <c r="C12095" s="132" t="s">
        <v>2584</v>
      </c>
      <c r="D12095" s="255">
        <v>29093</v>
      </c>
      <c r="E12095" s="553">
        <v>213.8</v>
      </c>
      <c r="F12095" s="553">
        <v>2708</v>
      </c>
      <c r="G12095" s="553">
        <v>607.5</v>
      </c>
      <c r="H12095" s="553">
        <v>266.20999999999998</v>
      </c>
      <c r="I12095" s="553">
        <v>1884.72</v>
      </c>
      <c r="J12095" s="647">
        <v>1853.03</v>
      </c>
    </row>
    <row r="12096" spans="2:10">
      <c r="B12096" s="1230" t="s">
        <v>463</v>
      </c>
      <c r="C12096" s="132" t="s">
        <v>1754</v>
      </c>
      <c r="D12096" s="255">
        <v>29095</v>
      </c>
      <c r="E12096" s="553">
        <v>847.05</v>
      </c>
      <c r="F12096" s="553">
        <v>10166.6</v>
      </c>
      <c r="G12096" s="553">
        <v>2402.41</v>
      </c>
      <c r="H12096" s="553">
        <v>1004.36</v>
      </c>
      <c r="I12096" s="553">
        <v>441.56</v>
      </c>
      <c r="J12096" s="647">
        <v>1557.38</v>
      </c>
    </row>
    <row r="12097" spans="2:10">
      <c r="B12097" s="1230" t="s">
        <v>463</v>
      </c>
      <c r="C12097" s="132" t="s">
        <v>2111</v>
      </c>
      <c r="D12097" s="255">
        <v>29097</v>
      </c>
      <c r="E12097" s="553">
        <v>183.23</v>
      </c>
      <c r="F12097" s="553">
        <v>2403.62</v>
      </c>
      <c r="G12097" s="553">
        <v>686.73</v>
      </c>
      <c r="H12097" s="553">
        <v>235.84</v>
      </c>
      <c r="I12097" s="553">
        <v>744.46</v>
      </c>
      <c r="J12097" s="647">
        <v>1806.84</v>
      </c>
    </row>
    <row r="12098" spans="2:10">
      <c r="B12098" s="1230" t="s">
        <v>463</v>
      </c>
      <c r="C12098" s="132" t="s">
        <v>1755</v>
      </c>
      <c r="D12098" s="255">
        <v>29099</v>
      </c>
      <c r="E12098" s="553">
        <v>415.34</v>
      </c>
      <c r="F12098" s="553">
        <v>4947.3999999999996</v>
      </c>
      <c r="G12098" s="553">
        <v>793.51</v>
      </c>
      <c r="H12098" s="553">
        <v>488.74</v>
      </c>
      <c r="I12098" s="553">
        <v>12096.55</v>
      </c>
      <c r="J12098" s="647">
        <v>2184.42</v>
      </c>
    </row>
    <row r="12099" spans="2:10">
      <c r="B12099" s="1230" t="s">
        <v>463</v>
      </c>
      <c r="C12099" s="132" t="s">
        <v>1856</v>
      </c>
      <c r="D12099" s="255">
        <v>29101</v>
      </c>
      <c r="E12099" s="553">
        <v>262.66000000000003</v>
      </c>
      <c r="F12099" s="553">
        <v>3475.85</v>
      </c>
      <c r="G12099" s="553">
        <v>1140.0899999999999</v>
      </c>
      <c r="H12099" s="553">
        <v>340.82</v>
      </c>
      <c r="I12099" s="553">
        <v>520.87</v>
      </c>
      <c r="J12099" s="647">
        <v>871.26</v>
      </c>
    </row>
    <row r="12100" spans="2:10">
      <c r="B12100" s="1230" t="s">
        <v>463</v>
      </c>
      <c r="C12100" s="132" t="s">
        <v>2223</v>
      </c>
      <c r="D12100" s="255">
        <v>29103</v>
      </c>
      <c r="E12100" s="553">
        <v>158.56</v>
      </c>
      <c r="F12100" s="553">
        <v>1906.93</v>
      </c>
      <c r="G12100" s="553">
        <v>596.15</v>
      </c>
      <c r="H12100" s="553">
        <v>188.23</v>
      </c>
      <c r="I12100" s="553">
        <v>1186.44</v>
      </c>
      <c r="J12100" s="647">
        <v>1779.43</v>
      </c>
    </row>
    <row r="12101" spans="2:10">
      <c r="B12101" s="1230" t="s">
        <v>463</v>
      </c>
      <c r="C12101" s="132" t="s">
        <v>2733</v>
      </c>
      <c r="D12101" s="255">
        <v>29105</v>
      </c>
      <c r="E12101" s="553">
        <v>174.86</v>
      </c>
      <c r="F12101" s="553">
        <v>2308.8200000000002</v>
      </c>
      <c r="G12101" s="553">
        <v>630.33000000000004</v>
      </c>
      <c r="H12101" s="553">
        <v>226.41</v>
      </c>
      <c r="I12101" s="553">
        <v>1143.33</v>
      </c>
      <c r="J12101" s="647">
        <v>1844.71</v>
      </c>
    </row>
    <row r="12102" spans="2:10">
      <c r="B12102" s="1230" t="s">
        <v>463</v>
      </c>
      <c r="C12102" s="132" t="s">
        <v>1857</v>
      </c>
      <c r="D12102" s="255">
        <v>29107</v>
      </c>
      <c r="E12102" s="553">
        <v>225.69</v>
      </c>
      <c r="F12102" s="553">
        <v>2876.15</v>
      </c>
      <c r="G12102" s="553">
        <v>963.95</v>
      </c>
      <c r="H12102" s="553">
        <v>282.82</v>
      </c>
      <c r="I12102" s="553">
        <v>509.13</v>
      </c>
      <c r="J12102" s="647">
        <v>742.7</v>
      </c>
    </row>
    <row r="12103" spans="2:10">
      <c r="B12103" s="1230" t="s">
        <v>463</v>
      </c>
      <c r="C12103" s="132" t="s">
        <v>1758</v>
      </c>
      <c r="D12103" s="255">
        <v>29109</v>
      </c>
      <c r="E12103" s="553">
        <v>158.75</v>
      </c>
      <c r="F12103" s="553">
        <v>2102.62</v>
      </c>
      <c r="G12103" s="553">
        <v>617.01</v>
      </c>
      <c r="H12103" s="553">
        <v>206.15</v>
      </c>
      <c r="I12103" s="553">
        <v>827.55</v>
      </c>
      <c r="J12103" s="647">
        <v>1756.19</v>
      </c>
    </row>
    <row r="12104" spans="2:10">
      <c r="B12104" s="1230" t="s">
        <v>463</v>
      </c>
      <c r="C12104" s="132" t="s">
        <v>2187</v>
      </c>
      <c r="D12104" s="255">
        <v>29111</v>
      </c>
      <c r="E12104" s="553">
        <v>187.37</v>
      </c>
      <c r="F12104" s="553">
        <v>2385.8200000000002</v>
      </c>
      <c r="G12104" s="553">
        <v>712.47</v>
      </c>
      <c r="H12104" s="553">
        <v>234.64</v>
      </c>
      <c r="I12104" s="553">
        <v>1412.16</v>
      </c>
      <c r="J12104" s="647">
        <v>1911.03</v>
      </c>
    </row>
    <row r="12105" spans="2:10">
      <c r="B12105" s="1230" t="s">
        <v>463</v>
      </c>
      <c r="C12105" s="132" t="s">
        <v>1858</v>
      </c>
      <c r="D12105" s="255">
        <v>29113</v>
      </c>
      <c r="E12105" s="553">
        <v>271.14999999999998</v>
      </c>
      <c r="F12105" s="553">
        <v>3355.08</v>
      </c>
      <c r="G12105" s="553">
        <v>790.15</v>
      </c>
      <c r="H12105" s="553">
        <v>330.52</v>
      </c>
      <c r="I12105" s="553">
        <v>2505.0700000000002</v>
      </c>
      <c r="J12105" s="647">
        <v>2228.98</v>
      </c>
    </row>
    <row r="12106" spans="2:10">
      <c r="B12106" s="1230" t="s">
        <v>463</v>
      </c>
      <c r="C12106" s="132" t="s">
        <v>2311</v>
      </c>
      <c r="D12106" s="255">
        <v>29115</v>
      </c>
      <c r="E12106" s="553">
        <v>139.97999999999999</v>
      </c>
      <c r="F12106" s="553">
        <v>1789.34</v>
      </c>
      <c r="G12106" s="553">
        <v>612.59</v>
      </c>
      <c r="H12106" s="553">
        <v>175.91</v>
      </c>
      <c r="I12106" s="553">
        <v>580.15</v>
      </c>
      <c r="J12106" s="647">
        <v>595.27</v>
      </c>
    </row>
    <row r="12107" spans="2:10">
      <c r="B12107" s="1230" t="s">
        <v>463</v>
      </c>
      <c r="C12107" s="132" t="s">
        <v>2225</v>
      </c>
      <c r="D12107" s="255">
        <v>29117</v>
      </c>
      <c r="E12107" s="553">
        <v>146.41</v>
      </c>
      <c r="F12107" s="553">
        <v>1882.11</v>
      </c>
      <c r="G12107" s="553">
        <v>650.07000000000005</v>
      </c>
      <c r="H12107" s="553">
        <v>184.9</v>
      </c>
      <c r="I12107" s="553">
        <v>514.59</v>
      </c>
      <c r="J12107" s="647">
        <v>594.75</v>
      </c>
    </row>
    <row r="12108" spans="2:10">
      <c r="B12108" s="1230" t="s">
        <v>463</v>
      </c>
      <c r="C12108" s="132" t="s">
        <v>2734</v>
      </c>
      <c r="D12108" s="255">
        <v>29119</v>
      </c>
      <c r="E12108" s="553">
        <v>163.19</v>
      </c>
      <c r="F12108" s="553">
        <v>2131.29</v>
      </c>
      <c r="G12108" s="553">
        <v>596.30999999999995</v>
      </c>
      <c r="H12108" s="553">
        <v>209.17</v>
      </c>
      <c r="I12108" s="553">
        <v>722.97</v>
      </c>
      <c r="J12108" s="647">
        <v>1748.53</v>
      </c>
    </row>
    <row r="12109" spans="2:10">
      <c r="B12109" s="1230" t="s">
        <v>463</v>
      </c>
      <c r="C12109" s="132" t="s">
        <v>1762</v>
      </c>
      <c r="D12109" s="255">
        <v>29121</v>
      </c>
      <c r="E12109" s="553">
        <v>176.33</v>
      </c>
      <c r="F12109" s="553">
        <v>2240.83</v>
      </c>
      <c r="G12109" s="553">
        <v>665</v>
      </c>
      <c r="H12109" s="553">
        <v>220.34</v>
      </c>
      <c r="I12109" s="553">
        <v>1059.8900000000001</v>
      </c>
      <c r="J12109" s="647">
        <v>1892.31</v>
      </c>
    </row>
    <row r="12110" spans="2:10">
      <c r="B12110" s="1230" t="s">
        <v>463</v>
      </c>
      <c r="C12110" s="132" t="s">
        <v>1763</v>
      </c>
      <c r="D12110" s="255">
        <v>29123</v>
      </c>
      <c r="E12110" s="553">
        <v>272.55</v>
      </c>
      <c r="F12110" s="553">
        <v>3506.07</v>
      </c>
      <c r="G12110" s="553">
        <v>865.43</v>
      </c>
      <c r="H12110" s="553">
        <v>344.36</v>
      </c>
      <c r="I12110" s="553">
        <v>1820.8</v>
      </c>
      <c r="J12110" s="647">
        <v>2323.62</v>
      </c>
    </row>
    <row r="12111" spans="2:10">
      <c r="B12111" s="1230" t="s">
        <v>463</v>
      </c>
      <c r="C12111" s="132" t="s">
        <v>2735</v>
      </c>
      <c r="D12111" s="255">
        <v>29125</v>
      </c>
      <c r="E12111" s="553">
        <v>168.08</v>
      </c>
      <c r="F12111" s="553">
        <v>2149.67</v>
      </c>
      <c r="G12111" s="553">
        <v>578.66</v>
      </c>
      <c r="H12111" s="553">
        <v>211.31</v>
      </c>
      <c r="I12111" s="553">
        <v>1422.44</v>
      </c>
      <c r="J12111" s="647">
        <v>1796.57</v>
      </c>
    </row>
    <row r="12112" spans="2:10">
      <c r="B12112" s="1230" t="s">
        <v>463</v>
      </c>
      <c r="C12112" s="132" t="s">
        <v>1765</v>
      </c>
      <c r="D12112" s="255">
        <v>29127</v>
      </c>
      <c r="E12112" s="553">
        <v>190.8</v>
      </c>
      <c r="F12112" s="553">
        <v>2457.7199999999998</v>
      </c>
      <c r="G12112" s="553">
        <v>671.94</v>
      </c>
      <c r="H12112" s="553">
        <v>241.44</v>
      </c>
      <c r="I12112" s="553">
        <v>1615.34</v>
      </c>
      <c r="J12112" s="647">
        <v>1932.51</v>
      </c>
    </row>
    <row r="12113" spans="2:10">
      <c r="B12113" s="1230" t="s">
        <v>463</v>
      </c>
      <c r="C12113" s="132" t="s">
        <v>2233</v>
      </c>
      <c r="D12113" s="255">
        <v>29129</v>
      </c>
      <c r="E12113" s="553">
        <v>121.57</v>
      </c>
      <c r="F12113" s="553">
        <v>1459.27</v>
      </c>
      <c r="G12113" s="553">
        <v>544.26</v>
      </c>
      <c r="H12113" s="553">
        <v>144.13</v>
      </c>
      <c r="I12113" s="553">
        <v>781.13</v>
      </c>
      <c r="J12113" s="647">
        <v>630.48</v>
      </c>
    </row>
    <row r="12114" spans="2:10">
      <c r="B12114" s="1230" t="s">
        <v>463</v>
      </c>
      <c r="C12114" s="132" t="s">
        <v>1862</v>
      </c>
      <c r="D12114" s="255">
        <v>29131</v>
      </c>
      <c r="E12114" s="553">
        <v>191.12</v>
      </c>
      <c r="F12114" s="553">
        <v>2547.9899999999998</v>
      </c>
      <c r="G12114" s="553">
        <v>646.59</v>
      </c>
      <c r="H12114" s="553">
        <v>249.72</v>
      </c>
      <c r="I12114" s="553">
        <v>1238.3800000000001</v>
      </c>
      <c r="J12114" s="647">
        <v>1857.14</v>
      </c>
    </row>
    <row r="12115" spans="2:10">
      <c r="B12115" s="1230" t="s">
        <v>463</v>
      </c>
      <c r="C12115" s="132" t="s">
        <v>462</v>
      </c>
      <c r="D12115" s="255">
        <v>29133</v>
      </c>
      <c r="E12115" s="553">
        <v>182.87</v>
      </c>
      <c r="F12115" s="553">
        <v>2322.14</v>
      </c>
      <c r="G12115" s="553">
        <v>516.89</v>
      </c>
      <c r="H12115" s="553">
        <v>228.32</v>
      </c>
      <c r="I12115" s="553">
        <v>1596.15</v>
      </c>
      <c r="J12115" s="647">
        <v>1803.07</v>
      </c>
    </row>
    <row r="12116" spans="2:10">
      <c r="B12116" s="1230" t="s">
        <v>463</v>
      </c>
      <c r="C12116" s="132" t="s">
        <v>2736</v>
      </c>
      <c r="D12116" s="255">
        <v>29135</v>
      </c>
      <c r="E12116" s="553">
        <v>165.51</v>
      </c>
      <c r="F12116" s="553">
        <v>2073.89</v>
      </c>
      <c r="G12116" s="553">
        <v>592.66</v>
      </c>
      <c r="H12116" s="553">
        <v>204.19</v>
      </c>
      <c r="I12116" s="553">
        <v>1206.78</v>
      </c>
      <c r="J12116" s="647">
        <v>1697.76</v>
      </c>
    </row>
    <row r="12117" spans="2:10">
      <c r="B12117" s="1230" t="s">
        <v>463</v>
      </c>
      <c r="C12117" s="132" t="s">
        <v>1768</v>
      </c>
      <c r="D12117" s="255">
        <v>29137</v>
      </c>
      <c r="E12117" s="553">
        <v>182.7</v>
      </c>
      <c r="F12117" s="553">
        <v>2311.19</v>
      </c>
      <c r="G12117" s="553">
        <v>652.95000000000005</v>
      </c>
      <c r="H12117" s="553">
        <v>227.3</v>
      </c>
      <c r="I12117" s="553">
        <v>1382.13</v>
      </c>
      <c r="J12117" s="647">
        <v>1916.34</v>
      </c>
    </row>
    <row r="12118" spans="2:10">
      <c r="B12118" s="1230" t="s">
        <v>463</v>
      </c>
      <c r="C12118" s="132" t="s">
        <v>1769</v>
      </c>
      <c r="D12118" s="255">
        <v>29139</v>
      </c>
      <c r="E12118" s="553">
        <v>211.79</v>
      </c>
      <c r="F12118" s="553">
        <v>2649.54</v>
      </c>
      <c r="G12118" s="553">
        <v>688.14</v>
      </c>
      <c r="H12118" s="553">
        <v>260.85000000000002</v>
      </c>
      <c r="I12118" s="553">
        <v>1868.9</v>
      </c>
      <c r="J12118" s="647">
        <v>2045.09</v>
      </c>
    </row>
    <row r="12119" spans="2:10">
      <c r="B12119" s="1230" t="s">
        <v>463</v>
      </c>
      <c r="C12119" s="132" t="s">
        <v>1770</v>
      </c>
      <c r="D12119" s="255">
        <v>29141</v>
      </c>
      <c r="E12119" s="553">
        <v>152.68</v>
      </c>
      <c r="F12119" s="553">
        <v>1950.82</v>
      </c>
      <c r="G12119" s="553">
        <v>589.92999999999995</v>
      </c>
      <c r="H12119" s="553">
        <v>191.74</v>
      </c>
      <c r="I12119" s="553">
        <v>1123.2</v>
      </c>
      <c r="J12119" s="647">
        <v>1711.16</v>
      </c>
    </row>
    <row r="12120" spans="2:10">
      <c r="B12120" s="1230" t="s">
        <v>463</v>
      </c>
      <c r="C12120" s="132" t="s">
        <v>2737</v>
      </c>
      <c r="D12120" s="255">
        <v>29143</v>
      </c>
      <c r="E12120" s="553">
        <v>172.34</v>
      </c>
      <c r="F12120" s="553">
        <v>2227.08</v>
      </c>
      <c r="G12120" s="553">
        <v>490.1</v>
      </c>
      <c r="H12120" s="553">
        <v>218.76</v>
      </c>
      <c r="I12120" s="553">
        <v>1423.64</v>
      </c>
      <c r="J12120" s="647">
        <v>1799.73</v>
      </c>
    </row>
    <row r="12121" spans="2:10">
      <c r="B12121" s="1230" t="s">
        <v>463</v>
      </c>
      <c r="C12121" s="132" t="s">
        <v>1863</v>
      </c>
      <c r="D12121" s="255">
        <v>29145</v>
      </c>
      <c r="E12121" s="553">
        <v>190.22</v>
      </c>
      <c r="F12121" s="553">
        <v>2511.14</v>
      </c>
      <c r="G12121" s="553">
        <v>680.72</v>
      </c>
      <c r="H12121" s="553">
        <v>246.32</v>
      </c>
      <c r="I12121" s="553">
        <v>738.52</v>
      </c>
      <c r="J12121" s="647">
        <v>1842.64</v>
      </c>
    </row>
    <row r="12122" spans="2:10">
      <c r="B12122" s="1230" t="s">
        <v>463</v>
      </c>
      <c r="C12122" s="132" t="s">
        <v>2738</v>
      </c>
      <c r="D12122" s="255">
        <v>29147</v>
      </c>
      <c r="E12122" s="553">
        <v>144.53</v>
      </c>
      <c r="F12122" s="553">
        <v>1708.6</v>
      </c>
      <c r="G12122" s="553">
        <v>701.45</v>
      </c>
      <c r="H12122" s="553">
        <v>168.95</v>
      </c>
      <c r="I12122" s="553">
        <v>581.51</v>
      </c>
      <c r="J12122" s="647">
        <v>661.79</v>
      </c>
    </row>
    <row r="12123" spans="2:10">
      <c r="B12123" s="1230" t="s">
        <v>463</v>
      </c>
      <c r="C12123" s="132" t="s">
        <v>475</v>
      </c>
      <c r="D12123" s="255">
        <v>29149</v>
      </c>
      <c r="E12123" s="553">
        <v>151.41</v>
      </c>
      <c r="F12123" s="553">
        <v>2018.51</v>
      </c>
      <c r="G12123" s="553">
        <v>509.28</v>
      </c>
      <c r="H12123" s="553">
        <v>197.73</v>
      </c>
      <c r="I12123" s="553">
        <v>1218.08</v>
      </c>
      <c r="J12123" s="647">
        <v>1706.52</v>
      </c>
    </row>
    <row r="12124" spans="2:10">
      <c r="B12124" s="1230" t="s">
        <v>463</v>
      </c>
      <c r="C12124" s="132" t="s">
        <v>2374</v>
      </c>
      <c r="D12124" s="255">
        <v>29151</v>
      </c>
      <c r="E12124" s="553">
        <v>206.24</v>
      </c>
      <c r="F12124" s="553">
        <v>2644.35</v>
      </c>
      <c r="G12124" s="553">
        <v>655.12</v>
      </c>
      <c r="H12124" s="553">
        <v>259.86</v>
      </c>
      <c r="I12124" s="553">
        <v>1494.29</v>
      </c>
      <c r="J12124" s="647">
        <v>1880.8</v>
      </c>
    </row>
    <row r="12125" spans="2:10">
      <c r="B12125" s="1230" t="s">
        <v>463</v>
      </c>
      <c r="C12125" s="132" t="s">
        <v>2739</v>
      </c>
      <c r="D12125" s="255">
        <v>29153</v>
      </c>
      <c r="E12125" s="553">
        <v>140.41</v>
      </c>
      <c r="F12125" s="553">
        <v>1809.46</v>
      </c>
      <c r="G12125" s="553">
        <v>502.16</v>
      </c>
      <c r="H12125" s="553">
        <v>177.77</v>
      </c>
      <c r="I12125" s="553">
        <v>1063.69</v>
      </c>
      <c r="J12125" s="647">
        <v>1771.69</v>
      </c>
    </row>
    <row r="12126" spans="2:10">
      <c r="B12126" s="1230" t="s">
        <v>463</v>
      </c>
      <c r="C12126" s="132" t="s">
        <v>2740</v>
      </c>
      <c r="D12126" s="255">
        <v>29155</v>
      </c>
      <c r="E12126" s="553">
        <v>213.92</v>
      </c>
      <c r="F12126" s="553">
        <v>2894.05</v>
      </c>
      <c r="G12126" s="553">
        <v>529.04999999999995</v>
      </c>
      <c r="H12126" s="553">
        <v>283.2</v>
      </c>
      <c r="I12126" s="553">
        <v>1373.8</v>
      </c>
      <c r="J12126" s="647">
        <v>1979.69</v>
      </c>
    </row>
    <row r="12127" spans="2:10">
      <c r="B12127" s="1230" t="s">
        <v>463</v>
      </c>
      <c r="C12127" s="132" t="s">
        <v>1771</v>
      </c>
      <c r="D12127" s="255">
        <v>29157</v>
      </c>
      <c r="E12127" s="553">
        <v>945.83</v>
      </c>
      <c r="F12127" s="553">
        <v>12396.92</v>
      </c>
      <c r="G12127" s="553">
        <v>2424.65</v>
      </c>
      <c r="H12127" s="553">
        <v>1215.48</v>
      </c>
      <c r="I12127" s="553">
        <v>2013.84</v>
      </c>
      <c r="J12127" s="647">
        <v>4637.22</v>
      </c>
    </row>
    <row r="12128" spans="2:10">
      <c r="B12128" s="1230" t="s">
        <v>463</v>
      </c>
      <c r="C12128" s="132" t="s">
        <v>2741</v>
      </c>
      <c r="D12128" s="255">
        <v>29159</v>
      </c>
      <c r="E12128" s="553">
        <v>158.69999999999999</v>
      </c>
      <c r="F12128" s="553">
        <v>2113.83</v>
      </c>
      <c r="G12128" s="553">
        <v>737.52</v>
      </c>
      <c r="H12128" s="553">
        <v>207.16</v>
      </c>
      <c r="I12128" s="553">
        <v>605.51</v>
      </c>
      <c r="J12128" s="647">
        <v>665.31</v>
      </c>
    </row>
    <row r="12129" spans="2:10">
      <c r="B12129" s="1230" t="s">
        <v>463</v>
      </c>
      <c r="C12129" s="132" t="s">
        <v>2742</v>
      </c>
      <c r="D12129" s="255">
        <v>29161</v>
      </c>
      <c r="E12129" s="553">
        <v>181.67</v>
      </c>
      <c r="F12129" s="553">
        <v>2327.83</v>
      </c>
      <c r="G12129" s="553">
        <v>596.6</v>
      </c>
      <c r="H12129" s="553">
        <v>228.74</v>
      </c>
      <c r="I12129" s="553">
        <v>1492.54</v>
      </c>
      <c r="J12129" s="647">
        <v>1855.92</v>
      </c>
    </row>
    <row r="12130" spans="2:10">
      <c r="B12130" s="1230" t="s">
        <v>463</v>
      </c>
      <c r="C12130" s="132" t="s">
        <v>1773</v>
      </c>
      <c r="D12130" s="255">
        <v>29163</v>
      </c>
      <c r="E12130" s="553">
        <v>235.46</v>
      </c>
      <c r="F12130" s="553">
        <v>2935.22</v>
      </c>
      <c r="G12130" s="553">
        <v>725.13</v>
      </c>
      <c r="H12130" s="553">
        <v>289.08999999999997</v>
      </c>
      <c r="I12130" s="553">
        <v>2125.79</v>
      </c>
      <c r="J12130" s="647">
        <v>2125.33</v>
      </c>
    </row>
    <row r="12131" spans="2:10">
      <c r="B12131" s="1230" t="s">
        <v>463</v>
      </c>
      <c r="C12131" s="132" t="s">
        <v>2743</v>
      </c>
      <c r="D12131" s="255">
        <v>29165</v>
      </c>
      <c r="E12131" s="553">
        <v>500.74</v>
      </c>
      <c r="F12131" s="553">
        <v>5585.41</v>
      </c>
      <c r="G12131" s="553">
        <v>1280.25</v>
      </c>
      <c r="H12131" s="553">
        <v>555.11</v>
      </c>
      <c r="I12131" s="553">
        <v>384.72</v>
      </c>
      <c r="J12131" s="647">
        <v>950.04</v>
      </c>
    </row>
    <row r="12132" spans="2:10">
      <c r="B12132" s="1230" t="s">
        <v>463</v>
      </c>
      <c r="C12132" s="132" t="s">
        <v>1867</v>
      </c>
      <c r="D12132" s="255">
        <v>29167</v>
      </c>
      <c r="E12132" s="553">
        <v>232</v>
      </c>
      <c r="F12132" s="553">
        <v>3139.03</v>
      </c>
      <c r="G12132" s="553">
        <v>780.48</v>
      </c>
      <c r="H12132" s="553">
        <v>307.39999999999998</v>
      </c>
      <c r="I12132" s="553">
        <v>936.45</v>
      </c>
      <c r="J12132" s="647">
        <v>1993.79</v>
      </c>
    </row>
    <row r="12133" spans="2:10">
      <c r="B12133" s="1230" t="s">
        <v>463</v>
      </c>
      <c r="C12133" s="132" t="s">
        <v>1870</v>
      </c>
      <c r="D12133" s="255">
        <v>29169</v>
      </c>
      <c r="E12133" s="553">
        <v>167.82</v>
      </c>
      <c r="F12133" s="553">
        <v>2164.84</v>
      </c>
      <c r="G12133" s="553">
        <v>588.11</v>
      </c>
      <c r="H12133" s="553">
        <v>212.68</v>
      </c>
      <c r="I12133" s="553">
        <v>1255.79</v>
      </c>
      <c r="J12133" s="647">
        <v>1796.72</v>
      </c>
    </row>
    <row r="12134" spans="2:10">
      <c r="B12134" s="1230" t="s">
        <v>463</v>
      </c>
      <c r="C12134" s="132" t="s">
        <v>2043</v>
      </c>
      <c r="D12134" s="255">
        <v>29171</v>
      </c>
      <c r="E12134" s="553">
        <v>138.28</v>
      </c>
      <c r="F12134" s="553">
        <v>1667.89</v>
      </c>
      <c r="G12134" s="553">
        <v>543.14</v>
      </c>
      <c r="H12134" s="553">
        <v>164.68</v>
      </c>
      <c r="I12134" s="553">
        <v>896.07</v>
      </c>
      <c r="J12134" s="647">
        <v>652.22</v>
      </c>
    </row>
    <row r="12135" spans="2:10">
      <c r="B12135" s="1230" t="s">
        <v>463</v>
      </c>
      <c r="C12135" s="132" t="s">
        <v>2744</v>
      </c>
      <c r="D12135" s="255">
        <v>29173</v>
      </c>
      <c r="E12135" s="553">
        <v>218.34</v>
      </c>
      <c r="F12135" s="553">
        <v>2791.52</v>
      </c>
      <c r="G12135" s="553">
        <v>715.62</v>
      </c>
      <c r="H12135" s="553">
        <v>274.39</v>
      </c>
      <c r="I12135" s="553">
        <v>1806.53</v>
      </c>
      <c r="J12135" s="647">
        <v>2043.68</v>
      </c>
    </row>
    <row r="12136" spans="2:10">
      <c r="B12136" s="1230" t="s">
        <v>463</v>
      </c>
      <c r="C12136" s="132" t="s">
        <v>1774</v>
      </c>
      <c r="D12136" s="255">
        <v>29175</v>
      </c>
      <c r="E12136" s="553">
        <v>152.62</v>
      </c>
      <c r="F12136" s="553">
        <v>1945.61</v>
      </c>
      <c r="G12136" s="553">
        <v>618.59</v>
      </c>
      <c r="H12136" s="553">
        <v>191.23</v>
      </c>
      <c r="I12136" s="553">
        <v>735.14</v>
      </c>
      <c r="J12136" s="647">
        <v>618.54</v>
      </c>
    </row>
    <row r="12137" spans="2:10">
      <c r="B12137" s="1230" t="s">
        <v>463</v>
      </c>
      <c r="C12137" s="132" t="s">
        <v>2745</v>
      </c>
      <c r="D12137" s="255">
        <v>29177</v>
      </c>
      <c r="E12137" s="553">
        <v>346.16</v>
      </c>
      <c r="F12137" s="553">
        <v>4194.8900000000003</v>
      </c>
      <c r="G12137" s="553">
        <v>1140.8499999999999</v>
      </c>
      <c r="H12137" s="553">
        <v>414.02</v>
      </c>
      <c r="I12137" s="553">
        <v>472.3</v>
      </c>
      <c r="J12137" s="647">
        <v>847.03</v>
      </c>
    </row>
    <row r="12138" spans="2:10">
      <c r="B12138" s="1230" t="s">
        <v>463</v>
      </c>
      <c r="C12138" s="132" t="s">
        <v>2746</v>
      </c>
      <c r="D12138" s="255">
        <v>29179</v>
      </c>
      <c r="E12138" s="553">
        <v>160.06</v>
      </c>
      <c r="F12138" s="553">
        <v>1978.4</v>
      </c>
      <c r="G12138" s="553">
        <v>485.33</v>
      </c>
      <c r="H12138" s="553">
        <v>194.89</v>
      </c>
      <c r="I12138" s="553">
        <v>1771.39</v>
      </c>
      <c r="J12138" s="647">
        <v>1636.76</v>
      </c>
    </row>
    <row r="12139" spans="2:10">
      <c r="B12139" s="1230" t="s">
        <v>463</v>
      </c>
      <c r="C12139" s="132" t="s">
        <v>2275</v>
      </c>
      <c r="D12139" s="255">
        <v>29181</v>
      </c>
      <c r="E12139" s="553">
        <v>170.2</v>
      </c>
      <c r="F12139" s="553">
        <v>2254.0100000000002</v>
      </c>
      <c r="G12139" s="553">
        <v>504.35</v>
      </c>
      <c r="H12139" s="553">
        <v>220.93</v>
      </c>
      <c r="I12139" s="553">
        <v>1311.69</v>
      </c>
      <c r="J12139" s="647">
        <v>1773.04</v>
      </c>
    </row>
    <row r="12140" spans="2:10">
      <c r="B12140" s="1230" t="s">
        <v>463</v>
      </c>
      <c r="C12140" s="132" t="s">
        <v>2747</v>
      </c>
      <c r="D12140" s="255">
        <v>29183</v>
      </c>
      <c r="E12140" s="553">
        <v>695.41</v>
      </c>
      <c r="F12140" s="553">
        <v>8229.14</v>
      </c>
      <c r="G12140" s="553">
        <v>1014.33</v>
      </c>
      <c r="H12140" s="553">
        <v>813.38</v>
      </c>
      <c r="I12140" s="553">
        <v>17724.62</v>
      </c>
      <c r="J12140" s="647">
        <v>2972.7</v>
      </c>
    </row>
    <row r="12141" spans="2:10">
      <c r="B12141" s="1230" t="s">
        <v>463</v>
      </c>
      <c r="C12141" s="132" t="s">
        <v>1776</v>
      </c>
      <c r="D12141" s="255">
        <v>29185</v>
      </c>
      <c r="E12141" s="553">
        <v>154.03</v>
      </c>
      <c r="F12141" s="553">
        <v>1993.18</v>
      </c>
      <c r="G12141" s="553">
        <v>649</v>
      </c>
      <c r="H12141" s="553">
        <v>195.74</v>
      </c>
      <c r="I12141" s="553">
        <v>863.57</v>
      </c>
      <c r="J12141" s="647">
        <v>1742.7</v>
      </c>
    </row>
    <row r="12142" spans="2:10">
      <c r="B12142" s="1230" t="s">
        <v>463</v>
      </c>
      <c r="C12142" s="132" t="s">
        <v>2748</v>
      </c>
      <c r="D12142" s="255">
        <v>29186</v>
      </c>
      <c r="E12142" s="553">
        <v>281.45</v>
      </c>
      <c r="F12142" s="553">
        <v>3554.33</v>
      </c>
      <c r="G12142" s="553">
        <v>747.08</v>
      </c>
      <c r="H12142" s="553">
        <v>349.54</v>
      </c>
      <c r="I12142" s="553">
        <v>3294.86</v>
      </c>
      <c r="J12142" s="647">
        <v>2042.59</v>
      </c>
    </row>
    <row r="12143" spans="2:10">
      <c r="B12143" s="1230" t="s">
        <v>463</v>
      </c>
      <c r="C12143" s="132" t="s">
        <v>2749</v>
      </c>
      <c r="D12143" s="255">
        <v>29187</v>
      </c>
      <c r="E12143" s="553">
        <v>718.63</v>
      </c>
      <c r="F12143" s="553">
        <v>8485.9500000000007</v>
      </c>
      <c r="G12143" s="553">
        <v>1145.06</v>
      </c>
      <c r="H12143" s="553">
        <v>838.88</v>
      </c>
      <c r="I12143" s="553">
        <v>19656.64</v>
      </c>
      <c r="J12143" s="647">
        <v>2834.64</v>
      </c>
    </row>
    <row r="12144" spans="2:10">
      <c r="B12144" s="1230" t="s">
        <v>463</v>
      </c>
      <c r="C12144" s="132" t="s">
        <v>2667</v>
      </c>
      <c r="D12144" s="255">
        <v>29189</v>
      </c>
      <c r="E12144" s="553">
        <v>931.88</v>
      </c>
      <c r="F12144" s="553">
        <v>12139.24</v>
      </c>
      <c r="G12144" s="553">
        <v>2423.34</v>
      </c>
      <c r="H12144" s="553">
        <v>1190.76</v>
      </c>
      <c r="I12144" s="553">
        <v>2741.39</v>
      </c>
      <c r="J12144" s="647">
        <v>4656.6000000000004</v>
      </c>
    </row>
    <row r="12145" spans="2:10">
      <c r="B12145" s="1230" t="s">
        <v>463</v>
      </c>
      <c r="C12145" s="132" t="s">
        <v>1872</v>
      </c>
      <c r="D12145" s="255">
        <v>29195</v>
      </c>
      <c r="E12145" s="553">
        <v>153.18</v>
      </c>
      <c r="F12145" s="553">
        <v>1974.05</v>
      </c>
      <c r="G12145" s="553">
        <v>717.52</v>
      </c>
      <c r="H12145" s="553">
        <v>193.84</v>
      </c>
      <c r="I12145" s="553">
        <v>603.66999999999996</v>
      </c>
      <c r="J12145" s="647">
        <v>628.02</v>
      </c>
    </row>
    <row r="12146" spans="2:10">
      <c r="B12146" s="1230" t="s">
        <v>463</v>
      </c>
      <c r="C12146" s="132" t="s">
        <v>2241</v>
      </c>
      <c r="D12146" s="255">
        <v>29197</v>
      </c>
      <c r="E12146" s="553">
        <v>150.32</v>
      </c>
      <c r="F12146" s="553">
        <v>1786.63</v>
      </c>
      <c r="G12146" s="553">
        <v>587.35</v>
      </c>
      <c r="H12146" s="553">
        <v>176.61</v>
      </c>
      <c r="I12146" s="553">
        <v>968.74</v>
      </c>
      <c r="J12146" s="647">
        <v>1720.66</v>
      </c>
    </row>
    <row r="12147" spans="2:10">
      <c r="B12147" s="1230" t="s">
        <v>463</v>
      </c>
      <c r="C12147" s="132" t="s">
        <v>2750</v>
      </c>
      <c r="D12147" s="255">
        <v>29199</v>
      </c>
      <c r="E12147" s="553">
        <v>160.11000000000001</v>
      </c>
      <c r="F12147" s="553">
        <v>1897.17</v>
      </c>
      <c r="G12147" s="553">
        <v>615.66999999999996</v>
      </c>
      <c r="H12147" s="553">
        <v>187.59</v>
      </c>
      <c r="I12147" s="553">
        <v>1099.9000000000001</v>
      </c>
      <c r="J12147" s="647">
        <v>1764.28</v>
      </c>
    </row>
    <row r="12148" spans="2:10">
      <c r="B12148" s="1230" t="s">
        <v>463</v>
      </c>
      <c r="C12148" s="132" t="s">
        <v>1873</v>
      </c>
      <c r="D12148" s="255">
        <v>29201</v>
      </c>
      <c r="E12148" s="553">
        <v>195.11</v>
      </c>
      <c r="F12148" s="553">
        <v>2582.13</v>
      </c>
      <c r="G12148" s="553">
        <v>528.54</v>
      </c>
      <c r="H12148" s="553">
        <v>253.22</v>
      </c>
      <c r="I12148" s="553">
        <v>1649.69</v>
      </c>
      <c r="J12148" s="647">
        <v>1846.38</v>
      </c>
    </row>
    <row r="12149" spans="2:10">
      <c r="B12149" s="1230" t="s">
        <v>463</v>
      </c>
      <c r="C12149" s="132" t="s">
        <v>2751</v>
      </c>
      <c r="D12149" s="255">
        <v>29203</v>
      </c>
      <c r="E12149" s="553">
        <v>153.62</v>
      </c>
      <c r="F12149" s="553">
        <v>1921.15</v>
      </c>
      <c r="G12149" s="553">
        <v>480.69</v>
      </c>
      <c r="H12149" s="553">
        <v>189.14</v>
      </c>
      <c r="I12149" s="553">
        <v>1550.59</v>
      </c>
      <c r="J12149" s="647">
        <v>1839.38</v>
      </c>
    </row>
    <row r="12150" spans="2:10">
      <c r="B12150" s="1230" t="s">
        <v>463</v>
      </c>
      <c r="C12150" s="132" t="s">
        <v>1777</v>
      </c>
      <c r="D12150" s="255">
        <v>29205</v>
      </c>
      <c r="E12150" s="553">
        <v>167.23</v>
      </c>
      <c r="F12150" s="553">
        <v>2063.69</v>
      </c>
      <c r="G12150" s="553">
        <v>617.24</v>
      </c>
      <c r="H12150" s="553">
        <v>203.44</v>
      </c>
      <c r="I12150" s="553">
        <v>1284.8599999999999</v>
      </c>
      <c r="J12150" s="647">
        <v>1841.6</v>
      </c>
    </row>
    <row r="12151" spans="2:10">
      <c r="B12151" s="1230" t="s">
        <v>463</v>
      </c>
      <c r="C12151" s="132" t="s">
        <v>2752</v>
      </c>
      <c r="D12151" s="255">
        <v>29207</v>
      </c>
      <c r="E12151" s="553">
        <v>204.08</v>
      </c>
      <c r="F12151" s="553">
        <v>2813.68</v>
      </c>
      <c r="G12151" s="553">
        <v>563.69000000000005</v>
      </c>
      <c r="H12151" s="553">
        <v>275.01</v>
      </c>
      <c r="I12151" s="553">
        <v>1442.06</v>
      </c>
      <c r="J12151" s="647">
        <v>2015.83</v>
      </c>
    </row>
    <row r="12152" spans="2:10">
      <c r="B12152" s="1230" t="s">
        <v>463</v>
      </c>
      <c r="C12152" s="132" t="s">
        <v>1878</v>
      </c>
      <c r="D12152" s="255">
        <v>29209</v>
      </c>
      <c r="E12152" s="553">
        <v>197.82</v>
      </c>
      <c r="F12152" s="553">
        <v>2621.16</v>
      </c>
      <c r="G12152" s="553">
        <v>646.53</v>
      </c>
      <c r="H12152" s="553">
        <v>256.94</v>
      </c>
      <c r="I12152" s="553">
        <v>871.69</v>
      </c>
      <c r="J12152" s="647">
        <v>1879.67</v>
      </c>
    </row>
    <row r="12153" spans="2:10">
      <c r="B12153" s="1230" t="s">
        <v>463</v>
      </c>
      <c r="C12153" s="132" t="s">
        <v>2281</v>
      </c>
      <c r="D12153" s="255">
        <v>29211</v>
      </c>
      <c r="E12153" s="553">
        <v>141.53</v>
      </c>
      <c r="F12153" s="553">
        <v>1751.45</v>
      </c>
      <c r="G12153" s="553">
        <v>604.07000000000005</v>
      </c>
      <c r="H12153" s="553">
        <v>172.6</v>
      </c>
      <c r="I12153" s="553">
        <v>563.87</v>
      </c>
      <c r="J12153" s="647">
        <v>592.79</v>
      </c>
    </row>
    <row r="12154" spans="2:10">
      <c r="B12154" s="1230" t="s">
        <v>463</v>
      </c>
      <c r="C12154" s="132" t="s">
        <v>2753</v>
      </c>
      <c r="D12154" s="255">
        <v>29213</v>
      </c>
      <c r="E12154" s="553">
        <v>196.13</v>
      </c>
      <c r="F12154" s="553">
        <v>2645.75</v>
      </c>
      <c r="G12154" s="553">
        <v>606.37</v>
      </c>
      <c r="H12154" s="553">
        <v>258.99</v>
      </c>
      <c r="I12154" s="553">
        <v>946.88</v>
      </c>
      <c r="J12154" s="647">
        <v>1927.07</v>
      </c>
    </row>
    <row r="12155" spans="2:10">
      <c r="B12155" s="1230" t="s">
        <v>463</v>
      </c>
      <c r="C12155" s="132" t="s">
        <v>482</v>
      </c>
      <c r="D12155" s="255">
        <v>29215</v>
      </c>
      <c r="E12155" s="553">
        <v>150.65</v>
      </c>
      <c r="F12155" s="553">
        <v>1943.24</v>
      </c>
      <c r="G12155" s="553">
        <v>540.36</v>
      </c>
      <c r="H12155" s="553">
        <v>190.9</v>
      </c>
      <c r="I12155" s="553">
        <v>1330.69</v>
      </c>
      <c r="J12155" s="647">
        <v>1812.78</v>
      </c>
    </row>
    <row r="12156" spans="2:10">
      <c r="B12156" s="1230" t="s">
        <v>463</v>
      </c>
      <c r="C12156" s="132" t="s">
        <v>2754</v>
      </c>
      <c r="D12156" s="255">
        <v>29217</v>
      </c>
      <c r="E12156" s="553">
        <v>153.53</v>
      </c>
      <c r="F12156" s="553">
        <v>1962.73</v>
      </c>
      <c r="G12156" s="553">
        <v>663.4</v>
      </c>
      <c r="H12156" s="553">
        <v>193.01</v>
      </c>
      <c r="I12156" s="553">
        <v>745.89</v>
      </c>
      <c r="J12156" s="647">
        <v>1723.78</v>
      </c>
    </row>
    <row r="12157" spans="2:10">
      <c r="B12157" s="1230" t="s">
        <v>463</v>
      </c>
      <c r="C12157" s="132" t="s">
        <v>2154</v>
      </c>
      <c r="D12157" s="255">
        <v>29219</v>
      </c>
      <c r="E12157" s="553">
        <v>248.44</v>
      </c>
      <c r="F12157" s="553">
        <v>3095.14</v>
      </c>
      <c r="G12157" s="553">
        <v>730.15</v>
      </c>
      <c r="H12157" s="553">
        <v>304.73</v>
      </c>
      <c r="I12157" s="553">
        <v>2329.1999999999998</v>
      </c>
      <c r="J12157" s="647">
        <v>2124.6999999999998</v>
      </c>
    </row>
    <row r="12158" spans="2:10">
      <c r="B12158" s="1230" t="s">
        <v>463</v>
      </c>
      <c r="C12158" s="132" t="s">
        <v>487</v>
      </c>
      <c r="D12158" s="255">
        <v>29221</v>
      </c>
      <c r="E12158" s="553">
        <v>322.47000000000003</v>
      </c>
      <c r="F12158" s="553">
        <v>3909.99</v>
      </c>
      <c r="G12158" s="553">
        <v>674.94</v>
      </c>
      <c r="H12158" s="553">
        <v>385.64</v>
      </c>
      <c r="I12158" s="553">
        <v>8553.17</v>
      </c>
      <c r="J12158" s="647">
        <v>1958.14</v>
      </c>
    </row>
    <row r="12159" spans="2:10">
      <c r="B12159" s="1230" t="s">
        <v>463</v>
      </c>
      <c r="C12159" s="132" t="s">
        <v>2155</v>
      </c>
      <c r="D12159" s="255">
        <v>29223</v>
      </c>
      <c r="E12159" s="553">
        <v>178.33</v>
      </c>
      <c r="F12159" s="553">
        <v>2311.11</v>
      </c>
      <c r="G12159" s="553">
        <v>550.33000000000004</v>
      </c>
      <c r="H12159" s="553">
        <v>226.79</v>
      </c>
      <c r="I12159" s="553">
        <v>1748.76</v>
      </c>
      <c r="J12159" s="647">
        <v>1836.12</v>
      </c>
    </row>
    <row r="12160" spans="2:10">
      <c r="B12160" s="1230" t="s">
        <v>463</v>
      </c>
      <c r="C12160" s="132" t="s">
        <v>2156</v>
      </c>
      <c r="D12160" s="255">
        <v>29225</v>
      </c>
      <c r="E12160" s="553">
        <v>156.99</v>
      </c>
      <c r="F12160" s="553">
        <v>2043.44</v>
      </c>
      <c r="G12160" s="553">
        <v>581.66</v>
      </c>
      <c r="H12160" s="553">
        <v>200.57</v>
      </c>
      <c r="I12160" s="553">
        <v>1027.44</v>
      </c>
      <c r="J12160" s="647">
        <v>1764.19</v>
      </c>
    </row>
    <row r="12161" spans="2:10">
      <c r="B12161" s="1230" t="s">
        <v>463</v>
      </c>
      <c r="C12161" s="132" t="s">
        <v>2161</v>
      </c>
      <c r="D12161" s="255">
        <v>29227</v>
      </c>
      <c r="E12161" s="553">
        <v>128.81</v>
      </c>
      <c r="F12161" s="553">
        <v>1488.69</v>
      </c>
      <c r="G12161" s="553">
        <v>581.65</v>
      </c>
      <c r="H12161" s="553">
        <v>147.44999999999999</v>
      </c>
      <c r="I12161" s="553">
        <v>634.09</v>
      </c>
      <c r="J12161" s="647">
        <v>630.04999999999995</v>
      </c>
    </row>
    <row r="12162" spans="2:10">
      <c r="B12162" s="1230" t="s">
        <v>463</v>
      </c>
      <c r="C12162" s="132" t="s">
        <v>2334</v>
      </c>
      <c r="D12162" s="255">
        <v>29229</v>
      </c>
      <c r="E12162" s="553">
        <v>158.43</v>
      </c>
      <c r="F12162" s="553">
        <v>2048.2800000000002</v>
      </c>
      <c r="G12162" s="553">
        <v>568.33000000000004</v>
      </c>
      <c r="H12162" s="553">
        <v>201.07</v>
      </c>
      <c r="I12162" s="553">
        <v>1136.45</v>
      </c>
      <c r="J12162" s="647">
        <v>1803.42</v>
      </c>
    </row>
    <row r="12163" spans="2:10">
      <c r="B12163" s="1230" t="s">
        <v>463</v>
      </c>
      <c r="C12163" s="132" t="s">
        <v>2755</v>
      </c>
      <c r="D12163" s="255">
        <v>29510</v>
      </c>
      <c r="E12163" s="553">
        <v>1263.9000000000001</v>
      </c>
      <c r="F12163" s="553">
        <v>14653.51</v>
      </c>
      <c r="G12163" s="553">
        <v>738.7</v>
      </c>
      <c r="H12163" s="553">
        <v>1450.16</v>
      </c>
      <c r="I12163" s="553">
        <v>63897.83</v>
      </c>
      <c r="J12163" s="647">
        <v>2753.84</v>
      </c>
    </row>
    <row r="12164" spans="2:10">
      <c r="B12164" s="1230" t="s">
        <v>464</v>
      </c>
      <c r="C12164" s="132" t="s">
        <v>2756</v>
      </c>
      <c r="D12164" s="255">
        <v>30001</v>
      </c>
      <c r="E12164" s="553">
        <v>93.51</v>
      </c>
      <c r="F12164" s="553">
        <v>809.83</v>
      </c>
      <c r="G12164" s="553">
        <v>308.87</v>
      </c>
      <c r="H12164" s="553">
        <v>82.33</v>
      </c>
      <c r="I12164" s="553">
        <v>348.28</v>
      </c>
      <c r="J12164" s="647">
        <v>1494.65</v>
      </c>
    </row>
    <row r="12165" spans="2:10">
      <c r="B12165" s="1230" t="s">
        <v>464</v>
      </c>
      <c r="C12165" s="132" t="s">
        <v>2757</v>
      </c>
      <c r="D12165" s="255">
        <v>30003</v>
      </c>
      <c r="E12165" s="553">
        <v>100.95</v>
      </c>
      <c r="F12165" s="553">
        <v>978.13</v>
      </c>
      <c r="G12165" s="553">
        <v>388.68</v>
      </c>
      <c r="H12165" s="553">
        <v>98.39</v>
      </c>
      <c r="I12165" s="553">
        <v>620.54</v>
      </c>
      <c r="J12165" s="647">
        <v>729.91</v>
      </c>
    </row>
    <row r="12166" spans="2:10">
      <c r="B12166" s="1230" t="s">
        <v>464</v>
      </c>
      <c r="C12166" s="132" t="s">
        <v>2171</v>
      </c>
      <c r="D12166" s="255">
        <v>30005</v>
      </c>
      <c r="E12166" s="553">
        <v>74.680000000000007</v>
      </c>
      <c r="F12166" s="553">
        <v>706.3</v>
      </c>
      <c r="G12166" s="553">
        <v>320.44</v>
      </c>
      <c r="H12166" s="553">
        <v>71.180000000000007</v>
      </c>
      <c r="I12166" s="553">
        <v>272.08</v>
      </c>
      <c r="J12166" s="647">
        <v>647.94000000000005</v>
      </c>
    </row>
    <row r="12167" spans="2:10">
      <c r="B12167" s="1230" t="s">
        <v>464</v>
      </c>
      <c r="C12167" s="132" t="s">
        <v>2758</v>
      </c>
      <c r="D12167" s="255">
        <v>30007</v>
      </c>
      <c r="E12167" s="553">
        <v>89.99</v>
      </c>
      <c r="F12167" s="553">
        <v>691.11</v>
      </c>
      <c r="G12167" s="553">
        <v>281.5</v>
      </c>
      <c r="H12167" s="553">
        <v>71.23</v>
      </c>
      <c r="I12167" s="553">
        <v>285.16000000000003</v>
      </c>
      <c r="J12167" s="647">
        <v>1354.99</v>
      </c>
    </row>
    <row r="12168" spans="2:10">
      <c r="B12168" s="1230" t="s">
        <v>464</v>
      </c>
      <c r="C12168" s="132" t="s">
        <v>2759</v>
      </c>
      <c r="D12168" s="255">
        <v>30009</v>
      </c>
      <c r="E12168" s="553">
        <v>123.31</v>
      </c>
      <c r="F12168" s="553">
        <v>1037.25</v>
      </c>
      <c r="G12168" s="553">
        <v>481.84</v>
      </c>
      <c r="H12168" s="553">
        <v>105.79</v>
      </c>
      <c r="I12168" s="553">
        <v>304.45999999999998</v>
      </c>
      <c r="J12168" s="647">
        <v>1036.1099999999999</v>
      </c>
    </row>
    <row r="12169" spans="2:10">
      <c r="B12169" s="1230" t="s">
        <v>464</v>
      </c>
      <c r="C12169" s="132" t="s">
        <v>2416</v>
      </c>
      <c r="D12169" s="255">
        <v>30011</v>
      </c>
      <c r="E12169" s="553">
        <v>74.75</v>
      </c>
      <c r="F12169" s="553">
        <v>605.46</v>
      </c>
      <c r="G12169" s="553">
        <v>314.36</v>
      </c>
      <c r="H12169" s="553">
        <v>62.07</v>
      </c>
      <c r="I12169" s="553">
        <v>323.37</v>
      </c>
      <c r="J12169" s="647">
        <v>1122.03</v>
      </c>
    </row>
    <row r="12170" spans="2:10">
      <c r="B12170" s="1230" t="s">
        <v>464</v>
      </c>
      <c r="C12170" s="132" t="s">
        <v>2760</v>
      </c>
      <c r="D12170" s="255">
        <v>30013</v>
      </c>
      <c r="E12170" s="553">
        <v>96.19</v>
      </c>
      <c r="F12170" s="553">
        <v>888.85</v>
      </c>
      <c r="G12170" s="553">
        <v>294.44</v>
      </c>
      <c r="H12170" s="553">
        <v>89.86</v>
      </c>
      <c r="I12170" s="553">
        <v>248.25</v>
      </c>
      <c r="J12170" s="647">
        <v>1367.86</v>
      </c>
    </row>
    <row r="12171" spans="2:10">
      <c r="B12171" s="1230" t="s">
        <v>464</v>
      </c>
      <c r="C12171" s="132" t="s">
        <v>2761</v>
      </c>
      <c r="D12171" s="255">
        <v>30015</v>
      </c>
      <c r="E12171" s="553">
        <v>84.33</v>
      </c>
      <c r="F12171" s="553">
        <v>728.2</v>
      </c>
      <c r="G12171" s="553">
        <v>262.25</v>
      </c>
      <c r="H12171" s="553">
        <v>74.03</v>
      </c>
      <c r="I12171" s="553">
        <v>235.55</v>
      </c>
      <c r="J12171" s="647">
        <v>1272.83</v>
      </c>
    </row>
    <row r="12172" spans="2:10">
      <c r="B12172" s="1230" t="s">
        <v>464</v>
      </c>
      <c r="C12172" s="132" t="s">
        <v>1953</v>
      </c>
      <c r="D12172" s="255">
        <v>30017</v>
      </c>
      <c r="E12172" s="553">
        <v>92.23</v>
      </c>
      <c r="F12172" s="553">
        <v>855.84</v>
      </c>
      <c r="G12172" s="553">
        <v>385.8</v>
      </c>
      <c r="H12172" s="553">
        <v>86.43</v>
      </c>
      <c r="I12172" s="553">
        <v>548.30999999999995</v>
      </c>
      <c r="J12172" s="647">
        <v>723.27</v>
      </c>
    </row>
    <row r="12173" spans="2:10">
      <c r="B12173" s="1230" t="s">
        <v>464</v>
      </c>
      <c r="C12173" s="132" t="s">
        <v>2762</v>
      </c>
      <c r="D12173" s="255">
        <v>30019</v>
      </c>
      <c r="E12173" s="553">
        <v>78</v>
      </c>
      <c r="F12173" s="553">
        <v>754.9</v>
      </c>
      <c r="G12173" s="553">
        <v>342.36</v>
      </c>
      <c r="H12173" s="553">
        <v>75.95</v>
      </c>
      <c r="I12173" s="553">
        <v>449.66</v>
      </c>
      <c r="J12173" s="647">
        <v>670.79</v>
      </c>
    </row>
    <row r="12174" spans="2:10">
      <c r="B12174" s="1230" t="s">
        <v>464</v>
      </c>
      <c r="C12174" s="132" t="s">
        <v>2084</v>
      </c>
      <c r="D12174" s="255">
        <v>30021</v>
      </c>
      <c r="E12174" s="553">
        <v>101.21</v>
      </c>
      <c r="F12174" s="553">
        <v>869.45</v>
      </c>
      <c r="G12174" s="553">
        <v>407.17</v>
      </c>
      <c r="H12174" s="553">
        <v>88.53</v>
      </c>
      <c r="I12174" s="553">
        <v>348.29</v>
      </c>
      <c r="J12174" s="647">
        <v>721.29</v>
      </c>
    </row>
    <row r="12175" spans="2:10">
      <c r="B12175" s="1230" t="s">
        <v>464</v>
      </c>
      <c r="C12175" s="132" t="s">
        <v>2763</v>
      </c>
      <c r="D12175" s="255">
        <v>30023</v>
      </c>
      <c r="E12175" s="553">
        <v>118.68</v>
      </c>
      <c r="F12175" s="553">
        <v>991.74</v>
      </c>
      <c r="G12175" s="553">
        <v>301.95</v>
      </c>
      <c r="H12175" s="553">
        <v>101.22</v>
      </c>
      <c r="I12175" s="553">
        <v>322.04000000000002</v>
      </c>
      <c r="J12175" s="647">
        <v>1438.79</v>
      </c>
    </row>
    <row r="12176" spans="2:10">
      <c r="B12176" s="1230" t="s">
        <v>464</v>
      </c>
      <c r="C12176" s="132" t="s">
        <v>2764</v>
      </c>
      <c r="D12176" s="255">
        <v>30025</v>
      </c>
      <c r="E12176" s="553">
        <v>89.2</v>
      </c>
      <c r="F12176" s="553">
        <v>863.36</v>
      </c>
      <c r="G12176" s="553">
        <v>405.45</v>
      </c>
      <c r="H12176" s="553">
        <v>86.93</v>
      </c>
      <c r="I12176" s="553">
        <v>400.99</v>
      </c>
      <c r="J12176" s="647">
        <v>738.26</v>
      </c>
    </row>
    <row r="12177" spans="2:10">
      <c r="B12177" s="1230" t="s">
        <v>464</v>
      </c>
      <c r="C12177" s="132" t="s">
        <v>2765</v>
      </c>
      <c r="D12177" s="255">
        <v>30027</v>
      </c>
      <c r="E12177" s="553">
        <v>79.66</v>
      </c>
      <c r="F12177" s="553">
        <v>648.6</v>
      </c>
      <c r="G12177" s="553">
        <v>267.33999999999997</v>
      </c>
      <c r="H12177" s="553">
        <v>66.37</v>
      </c>
      <c r="I12177" s="553">
        <v>275.32</v>
      </c>
      <c r="J12177" s="647">
        <v>1302.7</v>
      </c>
    </row>
    <row r="12178" spans="2:10">
      <c r="B12178" s="1230" t="s">
        <v>464</v>
      </c>
      <c r="C12178" s="132" t="s">
        <v>2766</v>
      </c>
      <c r="D12178" s="255">
        <v>30029</v>
      </c>
      <c r="E12178" s="553">
        <v>72.040000000000006</v>
      </c>
      <c r="F12178" s="553">
        <v>669.2</v>
      </c>
      <c r="G12178" s="553">
        <v>211.69</v>
      </c>
      <c r="H12178" s="553">
        <v>67.58</v>
      </c>
      <c r="I12178" s="553">
        <v>559.22</v>
      </c>
      <c r="J12178" s="647">
        <v>1134.75</v>
      </c>
    </row>
    <row r="12179" spans="2:10">
      <c r="B12179" s="1230" t="s">
        <v>464</v>
      </c>
      <c r="C12179" s="132" t="s">
        <v>2213</v>
      </c>
      <c r="D12179" s="255">
        <v>30031</v>
      </c>
      <c r="E12179" s="553">
        <v>101.15</v>
      </c>
      <c r="F12179" s="553">
        <v>891.97</v>
      </c>
      <c r="G12179" s="553">
        <v>339.6</v>
      </c>
      <c r="H12179" s="553">
        <v>90.56</v>
      </c>
      <c r="I12179" s="553">
        <v>335.02</v>
      </c>
      <c r="J12179" s="647">
        <v>1522.71</v>
      </c>
    </row>
    <row r="12180" spans="2:10">
      <c r="B12180" s="1230" t="s">
        <v>464</v>
      </c>
      <c r="C12180" s="132" t="s">
        <v>1962</v>
      </c>
      <c r="D12180" s="255">
        <v>30033</v>
      </c>
      <c r="E12180" s="553">
        <v>78.819999999999993</v>
      </c>
      <c r="F12180" s="553">
        <v>744.1</v>
      </c>
      <c r="G12180" s="553">
        <v>344.77</v>
      </c>
      <c r="H12180" s="553">
        <v>74.97</v>
      </c>
      <c r="I12180" s="553">
        <v>347.25</v>
      </c>
      <c r="J12180" s="647">
        <v>679.63</v>
      </c>
    </row>
    <row r="12181" spans="2:10">
      <c r="B12181" s="1230" t="s">
        <v>464</v>
      </c>
      <c r="C12181" s="132" t="s">
        <v>2767</v>
      </c>
      <c r="D12181" s="255">
        <v>30035</v>
      </c>
      <c r="E12181" s="553">
        <v>74.92</v>
      </c>
      <c r="F12181" s="553">
        <v>691.39</v>
      </c>
      <c r="G12181" s="553">
        <v>194.58</v>
      </c>
      <c r="H12181" s="553">
        <v>69.849999999999994</v>
      </c>
      <c r="I12181" s="553">
        <v>607.05999999999995</v>
      </c>
      <c r="J12181" s="647">
        <v>1106.74</v>
      </c>
    </row>
    <row r="12182" spans="2:10">
      <c r="B12182" s="1230" t="s">
        <v>464</v>
      </c>
      <c r="C12182" s="132" t="s">
        <v>2768</v>
      </c>
      <c r="D12182" s="255">
        <v>30037</v>
      </c>
      <c r="E12182" s="553">
        <v>93.97</v>
      </c>
      <c r="F12182" s="553">
        <v>724.81</v>
      </c>
      <c r="G12182" s="553">
        <v>295.92</v>
      </c>
      <c r="H12182" s="553">
        <v>74.61</v>
      </c>
      <c r="I12182" s="553">
        <v>311.58</v>
      </c>
      <c r="J12182" s="647">
        <v>1413.45</v>
      </c>
    </row>
    <row r="12183" spans="2:10">
      <c r="B12183" s="1230" t="s">
        <v>464</v>
      </c>
      <c r="C12183" s="132" t="s">
        <v>2769</v>
      </c>
      <c r="D12183" s="255">
        <v>30039</v>
      </c>
      <c r="E12183" s="553">
        <v>100.48</v>
      </c>
      <c r="F12183" s="553">
        <v>838.03</v>
      </c>
      <c r="G12183" s="553">
        <v>266.39999999999998</v>
      </c>
      <c r="H12183" s="553">
        <v>85.48</v>
      </c>
      <c r="I12183" s="553">
        <v>603.55999999999995</v>
      </c>
      <c r="J12183" s="647">
        <v>1356.19</v>
      </c>
    </row>
    <row r="12184" spans="2:10">
      <c r="B12184" s="1230" t="s">
        <v>464</v>
      </c>
      <c r="C12184" s="132" t="s">
        <v>2770</v>
      </c>
      <c r="D12184" s="255">
        <v>30041</v>
      </c>
      <c r="E12184" s="553">
        <v>66.37</v>
      </c>
      <c r="F12184" s="553">
        <v>563.80999999999995</v>
      </c>
      <c r="G12184" s="553">
        <v>220.91</v>
      </c>
      <c r="H12184" s="553">
        <v>57.52</v>
      </c>
      <c r="I12184" s="553">
        <v>215.81</v>
      </c>
      <c r="J12184" s="647">
        <v>1122.6500000000001</v>
      </c>
    </row>
    <row r="12185" spans="2:10">
      <c r="B12185" s="1230" t="s">
        <v>464</v>
      </c>
      <c r="C12185" s="132" t="s">
        <v>1755</v>
      </c>
      <c r="D12185" s="255">
        <v>30043</v>
      </c>
      <c r="E12185" s="553">
        <v>99.6</v>
      </c>
      <c r="F12185" s="553">
        <v>825.27</v>
      </c>
      <c r="G12185" s="553">
        <v>292.66000000000003</v>
      </c>
      <c r="H12185" s="553">
        <v>84.35</v>
      </c>
      <c r="I12185" s="553">
        <v>384.01</v>
      </c>
      <c r="J12185" s="647">
        <v>1393.84</v>
      </c>
    </row>
    <row r="12186" spans="2:10">
      <c r="B12186" s="1230" t="s">
        <v>464</v>
      </c>
      <c r="C12186" s="132" t="s">
        <v>2771</v>
      </c>
      <c r="D12186" s="255">
        <v>30045</v>
      </c>
      <c r="E12186" s="553">
        <v>79.180000000000007</v>
      </c>
      <c r="F12186" s="553">
        <v>643.03</v>
      </c>
      <c r="G12186" s="553">
        <v>262.16000000000003</v>
      </c>
      <c r="H12186" s="553">
        <v>65.83</v>
      </c>
      <c r="I12186" s="553">
        <v>266.02</v>
      </c>
      <c r="J12186" s="647">
        <v>1287.6500000000001</v>
      </c>
    </row>
    <row r="12187" spans="2:10">
      <c r="B12187" s="1230" t="s">
        <v>464</v>
      </c>
      <c r="C12187" s="132" t="s">
        <v>1900</v>
      </c>
      <c r="D12187" s="255">
        <v>30047</v>
      </c>
      <c r="E12187" s="553">
        <v>108.51</v>
      </c>
      <c r="F12187" s="553">
        <v>1068.1500000000001</v>
      </c>
      <c r="G12187" s="553">
        <v>244.75</v>
      </c>
      <c r="H12187" s="553">
        <v>107.31</v>
      </c>
      <c r="I12187" s="553">
        <v>1207.6500000000001</v>
      </c>
      <c r="J12187" s="647">
        <v>1369.97</v>
      </c>
    </row>
    <row r="12188" spans="2:10">
      <c r="B12188" s="1230" t="s">
        <v>464</v>
      </c>
      <c r="C12188" s="132" t="s">
        <v>2772</v>
      </c>
      <c r="D12188" s="255">
        <v>30049</v>
      </c>
      <c r="E12188" s="553">
        <v>93.16</v>
      </c>
      <c r="F12188" s="553">
        <v>851.7</v>
      </c>
      <c r="G12188" s="553">
        <v>287.39</v>
      </c>
      <c r="H12188" s="553">
        <v>86.19</v>
      </c>
      <c r="I12188" s="553">
        <v>286.27</v>
      </c>
      <c r="J12188" s="647">
        <v>1355.23</v>
      </c>
    </row>
    <row r="12189" spans="2:10">
      <c r="B12189" s="1230" t="s">
        <v>464</v>
      </c>
      <c r="C12189" s="132" t="s">
        <v>2033</v>
      </c>
      <c r="D12189" s="255">
        <v>30051</v>
      </c>
      <c r="E12189" s="553">
        <v>70.41</v>
      </c>
      <c r="F12189" s="553">
        <v>548.23</v>
      </c>
      <c r="G12189" s="553">
        <v>211.55</v>
      </c>
      <c r="H12189" s="553">
        <v>56.44</v>
      </c>
      <c r="I12189" s="553">
        <v>208.82</v>
      </c>
      <c r="J12189" s="647">
        <v>1095.8599999999999</v>
      </c>
    </row>
    <row r="12190" spans="2:10">
      <c r="B12190" s="1230" t="s">
        <v>464</v>
      </c>
      <c r="C12190" s="132" t="s">
        <v>1858</v>
      </c>
      <c r="D12190" s="255">
        <v>30053</v>
      </c>
      <c r="E12190" s="553">
        <v>61.75</v>
      </c>
      <c r="F12190" s="553">
        <v>503.74</v>
      </c>
      <c r="G12190" s="553">
        <v>119.75</v>
      </c>
      <c r="H12190" s="553">
        <v>51.65</v>
      </c>
      <c r="I12190" s="553">
        <v>487.51</v>
      </c>
      <c r="J12190" s="647">
        <v>315.44</v>
      </c>
    </row>
    <row r="12191" spans="2:10">
      <c r="B12191" s="1230" t="s">
        <v>464</v>
      </c>
      <c r="C12191" s="132" t="s">
        <v>2773</v>
      </c>
      <c r="D12191" s="255">
        <v>30055</v>
      </c>
      <c r="E12191" s="553">
        <v>83.43</v>
      </c>
      <c r="F12191" s="553">
        <v>797.43</v>
      </c>
      <c r="G12191" s="553">
        <v>366.08</v>
      </c>
      <c r="H12191" s="553">
        <v>80.239999999999995</v>
      </c>
      <c r="I12191" s="553">
        <v>353.25</v>
      </c>
      <c r="J12191" s="647">
        <v>694.96</v>
      </c>
    </row>
    <row r="12192" spans="2:10">
      <c r="B12192" s="1230" t="s">
        <v>464</v>
      </c>
      <c r="C12192" s="132" t="s">
        <v>1763</v>
      </c>
      <c r="D12192" s="255">
        <v>30057</v>
      </c>
      <c r="E12192" s="553">
        <v>101.02</v>
      </c>
      <c r="F12192" s="553">
        <v>892.64</v>
      </c>
      <c r="G12192" s="553">
        <v>323.26</v>
      </c>
      <c r="H12192" s="553">
        <v>90.61</v>
      </c>
      <c r="I12192" s="553">
        <v>352.98</v>
      </c>
      <c r="J12192" s="647">
        <v>1529.14</v>
      </c>
    </row>
    <row r="12193" spans="2:10">
      <c r="B12193" s="1230" t="s">
        <v>464</v>
      </c>
      <c r="C12193" s="132" t="s">
        <v>2774</v>
      </c>
      <c r="D12193" s="255">
        <v>30059</v>
      </c>
      <c r="E12193" s="553">
        <v>100.02</v>
      </c>
      <c r="F12193" s="553">
        <v>843.35</v>
      </c>
      <c r="G12193" s="553">
        <v>295.57</v>
      </c>
      <c r="H12193" s="553">
        <v>86.04</v>
      </c>
      <c r="I12193" s="553">
        <v>274.77</v>
      </c>
      <c r="J12193" s="647">
        <v>1406</v>
      </c>
    </row>
    <row r="12194" spans="2:10">
      <c r="B12194" s="1230" t="s">
        <v>464</v>
      </c>
      <c r="C12194" s="132" t="s">
        <v>1974</v>
      </c>
      <c r="D12194" s="255">
        <v>30061</v>
      </c>
      <c r="E12194" s="553">
        <v>60.68</v>
      </c>
      <c r="F12194" s="553">
        <v>447.22</v>
      </c>
      <c r="G12194" s="553">
        <v>133.29</v>
      </c>
      <c r="H12194" s="553">
        <v>46.23</v>
      </c>
      <c r="I12194" s="553">
        <v>372.89</v>
      </c>
      <c r="J12194" s="647">
        <v>329.91</v>
      </c>
    </row>
    <row r="12195" spans="2:10">
      <c r="B12195" s="1230" t="s">
        <v>464</v>
      </c>
      <c r="C12195" s="132" t="s">
        <v>2775</v>
      </c>
      <c r="D12195" s="255">
        <v>30063</v>
      </c>
      <c r="E12195" s="553">
        <v>97.8</v>
      </c>
      <c r="F12195" s="553">
        <v>914.69</v>
      </c>
      <c r="G12195" s="553">
        <v>268.95</v>
      </c>
      <c r="H12195" s="553">
        <v>92.35</v>
      </c>
      <c r="I12195" s="553">
        <v>834.74</v>
      </c>
      <c r="J12195" s="647">
        <v>1382.93</v>
      </c>
    </row>
    <row r="12196" spans="2:10">
      <c r="B12196" s="1230" t="s">
        <v>464</v>
      </c>
      <c r="C12196" s="132" t="s">
        <v>2776</v>
      </c>
      <c r="D12196" s="255">
        <v>30065</v>
      </c>
      <c r="E12196" s="553">
        <v>113.92</v>
      </c>
      <c r="F12196" s="553">
        <v>1091.3800000000001</v>
      </c>
      <c r="G12196" s="553">
        <v>383.88</v>
      </c>
      <c r="H12196" s="553">
        <v>109.97</v>
      </c>
      <c r="I12196" s="553">
        <v>329.15</v>
      </c>
      <c r="J12196" s="647">
        <v>713.5</v>
      </c>
    </row>
    <row r="12197" spans="2:10">
      <c r="B12197" s="1230" t="s">
        <v>464</v>
      </c>
      <c r="C12197" s="132" t="s">
        <v>1980</v>
      </c>
      <c r="D12197" s="255">
        <v>30067</v>
      </c>
      <c r="E12197" s="553">
        <v>105.86</v>
      </c>
      <c r="F12197" s="553">
        <v>914.73</v>
      </c>
      <c r="G12197" s="553">
        <v>339.43</v>
      </c>
      <c r="H12197" s="553">
        <v>93.05</v>
      </c>
      <c r="I12197" s="553">
        <v>406.02</v>
      </c>
      <c r="J12197" s="647">
        <v>1532.82</v>
      </c>
    </row>
    <row r="12198" spans="2:10">
      <c r="B12198" s="1230" t="s">
        <v>464</v>
      </c>
      <c r="C12198" s="132" t="s">
        <v>2777</v>
      </c>
      <c r="D12198" s="255">
        <v>30069</v>
      </c>
      <c r="E12198" s="553">
        <v>77.03</v>
      </c>
      <c r="F12198" s="553">
        <v>726.11</v>
      </c>
      <c r="G12198" s="553">
        <v>335.05</v>
      </c>
      <c r="H12198" s="553">
        <v>73.22</v>
      </c>
      <c r="I12198" s="553">
        <v>305.07</v>
      </c>
      <c r="J12198" s="647">
        <v>665.15</v>
      </c>
    </row>
    <row r="12199" spans="2:10">
      <c r="B12199" s="1230" t="s">
        <v>464</v>
      </c>
      <c r="C12199" s="132" t="s">
        <v>1865</v>
      </c>
      <c r="D12199" s="255">
        <v>30071</v>
      </c>
      <c r="E12199" s="553">
        <v>72.010000000000005</v>
      </c>
      <c r="F12199" s="553">
        <v>704.78</v>
      </c>
      <c r="G12199" s="553">
        <v>323.82</v>
      </c>
      <c r="H12199" s="553">
        <v>70.849999999999994</v>
      </c>
      <c r="I12199" s="553">
        <v>346.09</v>
      </c>
      <c r="J12199" s="647">
        <v>653.47</v>
      </c>
    </row>
    <row r="12200" spans="2:10">
      <c r="B12200" s="1230" t="s">
        <v>464</v>
      </c>
      <c r="C12200" s="132" t="s">
        <v>2778</v>
      </c>
      <c r="D12200" s="255">
        <v>30073</v>
      </c>
      <c r="E12200" s="553">
        <v>78.349999999999994</v>
      </c>
      <c r="F12200" s="553">
        <v>591.83000000000004</v>
      </c>
      <c r="G12200" s="553">
        <v>219.16</v>
      </c>
      <c r="H12200" s="553">
        <v>61.13</v>
      </c>
      <c r="I12200" s="553">
        <v>224.54</v>
      </c>
      <c r="J12200" s="647">
        <v>1124.43</v>
      </c>
    </row>
    <row r="12201" spans="2:10">
      <c r="B12201" s="1230" t="s">
        <v>464</v>
      </c>
      <c r="C12201" s="132" t="s">
        <v>2779</v>
      </c>
      <c r="D12201" s="255">
        <v>30075</v>
      </c>
      <c r="E12201" s="553">
        <v>65.459999999999994</v>
      </c>
      <c r="F12201" s="553">
        <v>564.25</v>
      </c>
      <c r="G12201" s="553">
        <v>284.08</v>
      </c>
      <c r="H12201" s="553">
        <v>57.47</v>
      </c>
      <c r="I12201" s="553">
        <v>377.07</v>
      </c>
      <c r="J12201" s="647">
        <v>1056.8900000000001</v>
      </c>
    </row>
    <row r="12202" spans="2:10">
      <c r="B12202" s="1230" t="s">
        <v>464</v>
      </c>
      <c r="C12202" s="132" t="s">
        <v>2448</v>
      </c>
      <c r="D12202" s="255">
        <v>30077</v>
      </c>
      <c r="E12202" s="553">
        <v>92.11</v>
      </c>
      <c r="F12202" s="553">
        <v>798.35</v>
      </c>
      <c r="G12202" s="553">
        <v>266.7</v>
      </c>
      <c r="H12202" s="553">
        <v>81.2</v>
      </c>
      <c r="I12202" s="553">
        <v>341.07</v>
      </c>
      <c r="J12202" s="647">
        <v>1317.54</v>
      </c>
    </row>
    <row r="12203" spans="2:10">
      <c r="B12203" s="1230" t="s">
        <v>464</v>
      </c>
      <c r="C12203" s="132" t="s">
        <v>1869</v>
      </c>
      <c r="D12203" s="255">
        <v>30079</v>
      </c>
      <c r="E12203" s="553">
        <v>97.69</v>
      </c>
      <c r="F12203" s="553">
        <v>880.31</v>
      </c>
      <c r="G12203" s="553">
        <v>398.74</v>
      </c>
      <c r="H12203" s="553">
        <v>89.17</v>
      </c>
      <c r="I12203" s="553">
        <v>598.53</v>
      </c>
      <c r="J12203" s="647">
        <v>717.5</v>
      </c>
    </row>
    <row r="12204" spans="2:10">
      <c r="B12204" s="1230" t="s">
        <v>464</v>
      </c>
      <c r="C12204" s="132" t="s">
        <v>2780</v>
      </c>
      <c r="D12204" s="255">
        <v>30081</v>
      </c>
      <c r="E12204" s="553">
        <v>93.44</v>
      </c>
      <c r="F12204" s="553">
        <v>815.23</v>
      </c>
      <c r="G12204" s="553">
        <v>286.56</v>
      </c>
      <c r="H12204" s="553">
        <v>82.79</v>
      </c>
      <c r="I12204" s="553">
        <v>535.13</v>
      </c>
      <c r="J12204" s="647">
        <v>1438.89</v>
      </c>
    </row>
    <row r="12205" spans="2:10">
      <c r="B12205" s="1230" t="s">
        <v>464</v>
      </c>
      <c r="C12205" s="132" t="s">
        <v>2238</v>
      </c>
      <c r="D12205" s="255">
        <v>30083</v>
      </c>
      <c r="E12205" s="553">
        <v>94.89</v>
      </c>
      <c r="F12205" s="553">
        <v>881.73</v>
      </c>
      <c r="G12205" s="553">
        <v>399.41</v>
      </c>
      <c r="H12205" s="553">
        <v>89.05</v>
      </c>
      <c r="I12205" s="553">
        <v>354.4</v>
      </c>
      <c r="J12205" s="647">
        <v>716.15</v>
      </c>
    </row>
    <row r="12206" spans="2:10">
      <c r="B12206" s="1230" t="s">
        <v>464</v>
      </c>
      <c r="C12206" s="132" t="s">
        <v>2781</v>
      </c>
      <c r="D12206" s="255">
        <v>30085</v>
      </c>
      <c r="E12206" s="553">
        <v>92.39</v>
      </c>
      <c r="F12206" s="553">
        <v>842.37</v>
      </c>
      <c r="G12206" s="553">
        <v>377.52</v>
      </c>
      <c r="H12206" s="553">
        <v>85.14</v>
      </c>
      <c r="I12206" s="553">
        <v>497.69</v>
      </c>
      <c r="J12206" s="647">
        <v>696.85</v>
      </c>
    </row>
    <row r="12207" spans="2:10">
      <c r="B12207" s="1230" t="s">
        <v>464</v>
      </c>
      <c r="C12207" s="132" t="s">
        <v>2782</v>
      </c>
      <c r="D12207" s="255">
        <v>30087</v>
      </c>
      <c r="E12207" s="553">
        <v>88.39</v>
      </c>
      <c r="F12207" s="553">
        <v>838.38</v>
      </c>
      <c r="G12207" s="553">
        <v>373.17</v>
      </c>
      <c r="H12207" s="553">
        <v>84.45</v>
      </c>
      <c r="I12207" s="553">
        <v>509.28</v>
      </c>
      <c r="J12207" s="647">
        <v>712.26</v>
      </c>
    </row>
    <row r="12208" spans="2:10">
      <c r="B12208" s="1230" t="s">
        <v>464</v>
      </c>
      <c r="C12208" s="132" t="s">
        <v>2783</v>
      </c>
      <c r="D12208" s="255">
        <v>30089</v>
      </c>
      <c r="E12208" s="553">
        <v>70.599999999999994</v>
      </c>
      <c r="F12208" s="553">
        <v>535.85</v>
      </c>
      <c r="G12208" s="553">
        <v>129.65</v>
      </c>
      <c r="H12208" s="553">
        <v>55.29</v>
      </c>
      <c r="I12208" s="553">
        <v>493.78</v>
      </c>
      <c r="J12208" s="647">
        <v>332.44</v>
      </c>
    </row>
    <row r="12209" spans="2:10">
      <c r="B12209" s="1230" t="s">
        <v>464</v>
      </c>
      <c r="C12209" s="132" t="s">
        <v>2388</v>
      </c>
      <c r="D12209" s="255">
        <v>30091</v>
      </c>
      <c r="E12209" s="553">
        <v>85.47</v>
      </c>
      <c r="F12209" s="553">
        <v>821.53</v>
      </c>
      <c r="G12209" s="553">
        <v>370.44</v>
      </c>
      <c r="H12209" s="553">
        <v>82.65</v>
      </c>
      <c r="I12209" s="553">
        <v>463.15</v>
      </c>
      <c r="J12209" s="647">
        <v>689.53</v>
      </c>
    </row>
    <row r="12210" spans="2:10">
      <c r="B12210" s="1230" t="s">
        <v>464</v>
      </c>
      <c r="C12210" s="132" t="s">
        <v>2784</v>
      </c>
      <c r="D12210" s="255">
        <v>30093</v>
      </c>
      <c r="E12210" s="553">
        <v>126.32</v>
      </c>
      <c r="F12210" s="553">
        <v>1022.47</v>
      </c>
      <c r="G12210" s="553">
        <v>313.35000000000002</v>
      </c>
      <c r="H12210" s="553">
        <v>104.7</v>
      </c>
      <c r="I12210" s="553">
        <v>382.43</v>
      </c>
      <c r="J12210" s="647">
        <v>1456.79</v>
      </c>
    </row>
    <row r="12211" spans="2:10">
      <c r="B12211" s="1230" t="s">
        <v>464</v>
      </c>
      <c r="C12211" s="132" t="s">
        <v>2785</v>
      </c>
      <c r="D12211" s="255">
        <v>30095</v>
      </c>
      <c r="E12211" s="553">
        <v>104.18</v>
      </c>
      <c r="F12211" s="553">
        <v>896.47</v>
      </c>
      <c r="G12211" s="553">
        <v>332.51</v>
      </c>
      <c r="H12211" s="553">
        <v>91.28</v>
      </c>
      <c r="I12211" s="553">
        <v>452.97</v>
      </c>
      <c r="J12211" s="647">
        <v>1534.85</v>
      </c>
    </row>
    <row r="12212" spans="2:10">
      <c r="B12212" s="1230" t="s">
        <v>464</v>
      </c>
      <c r="C12212" s="132" t="s">
        <v>2786</v>
      </c>
      <c r="D12212" s="255">
        <v>30097</v>
      </c>
      <c r="E12212" s="553">
        <v>100.26</v>
      </c>
      <c r="F12212" s="553">
        <v>843.49</v>
      </c>
      <c r="G12212" s="553">
        <v>332.47</v>
      </c>
      <c r="H12212" s="553">
        <v>86.07</v>
      </c>
      <c r="I12212" s="553">
        <v>434.26</v>
      </c>
      <c r="J12212" s="647">
        <v>1500.54</v>
      </c>
    </row>
    <row r="12213" spans="2:10">
      <c r="B12213" s="1230" t="s">
        <v>464</v>
      </c>
      <c r="C12213" s="132" t="s">
        <v>2195</v>
      </c>
      <c r="D12213" s="255">
        <v>30099</v>
      </c>
      <c r="E12213" s="553">
        <v>85.52</v>
      </c>
      <c r="F12213" s="553">
        <v>739.16</v>
      </c>
      <c r="G12213" s="553">
        <v>249.51</v>
      </c>
      <c r="H12213" s="553">
        <v>75.2</v>
      </c>
      <c r="I12213" s="553">
        <v>228.11</v>
      </c>
      <c r="J12213" s="647">
        <v>1231.6300000000001</v>
      </c>
    </row>
    <row r="12214" spans="2:10">
      <c r="B12214" s="1230" t="s">
        <v>464</v>
      </c>
      <c r="C12214" s="132" t="s">
        <v>2787</v>
      </c>
      <c r="D12214" s="255">
        <v>30101</v>
      </c>
      <c r="E12214" s="553">
        <v>69.55</v>
      </c>
      <c r="F12214" s="553">
        <v>542.15</v>
      </c>
      <c r="G12214" s="553">
        <v>207.07</v>
      </c>
      <c r="H12214" s="553">
        <v>55.85</v>
      </c>
      <c r="I12214" s="553">
        <v>206.43</v>
      </c>
      <c r="J12214" s="647">
        <v>1079.68</v>
      </c>
    </row>
    <row r="12215" spans="2:10">
      <c r="B12215" s="1230" t="s">
        <v>464</v>
      </c>
      <c r="C12215" s="132" t="s">
        <v>2788</v>
      </c>
      <c r="D12215" s="255">
        <v>30103</v>
      </c>
      <c r="E12215" s="553">
        <v>89.79</v>
      </c>
      <c r="F12215" s="553">
        <v>809.64</v>
      </c>
      <c r="G12215" s="553">
        <v>372.36</v>
      </c>
      <c r="H12215" s="553">
        <v>81.98</v>
      </c>
      <c r="I12215" s="553">
        <v>389.72</v>
      </c>
      <c r="J12215" s="647">
        <v>698.3</v>
      </c>
    </row>
    <row r="12216" spans="2:10">
      <c r="B12216" s="1230" t="s">
        <v>464</v>
      </c>
      <c r="C12216" s="132" t="s">
        <v>2197</v>
      </c>
      <c r="D12216" s="255">
        <v>30105</v>
      </c>
      <c r="E12216" s="553">
        <v>78.63</v>
      </c>
      <c r="F12216" s="553">
        <v>744.46</v>
      </c>
      <c r="G12216" s="553">
        <v>338.63</v>
      </c>
      <c r="H12216" s="553">
        <v>75.069999999999993</v>
      </c>
      <c r="I12216" s="553">
        <v>412.44</v>
      </c>
      <c r="J12216" s="647">
        <v>669.43</v>
      </c>
    </row>
    <row r="12217" spans="2:10">
      <c r="B12217" s="1230" t="s">
        <v>464</v>
      </c>
      <c r="C12217" s="132" t="s">
        <v>2789</v>
      </c>
      <c r="D12217" s="255">
        <v>30107</v>
      </c>
      <c r="E12217" s="553">
        <v>87.14</v>
      </c>
      <c r="F12217" s="553">
        <v>688.47</v>
      </c>
      <c r="G12217" s="553">
        <v>285.07</v>
      </c>
      <c r="H12217" s="553">
        <v>70.72</v>
      </c>
      <c r="I12217" s="553">
        <v>298.77999999999997</v>
      </c>
      <c r="J12217" s="647">
        <v>1376.97</v>
      </c>
    </row>
    <row r="12218" spans="2:10">
      <c r="B12218" s="1230" t="s">
        <v>464</v>
      </c>
      <c r="C12218" s="132" t="s">
        <v>2790</v>
      </c>
      <c r="D12218" s="255">
        <v>30109</v>
      </c>
      <c r="E12218" s="553">
        <v>104</v>
      </c>
      <c r="F12218" s="553">
        <v>869.21</v>
      </c>
      <c r="G12218" s="553">
        <v>402.69</v>
      </c>
      <c r="H12218" s="553">
        <v>88.79</v>
      </c>
      <c r="I12218" s="553">
        <v>359.3</v>
      </c>
      <c r="J12218" s="647">
        <v>731.17</v>
      </c>
    </row>
    <row r="12219" spans="2:10">
      <c r="B12219" s="1230" t="s">
        <v>464</v>
      </c>
      <c r="C12219" s="132" t="s">
        <v>2791</v>
      </c>
      <c r="D12219" s="255">
        <v>30111</v>
      </c>
      <c r="E12219" s="553">
        <v>111.64</v>
      </c>
      <c r="F12219" s="553">
        <v>1050.76</v>
      </c>
      <c r="G12219" s="553">
        <v>405.08</v>
      </c>
      <c r="H12219" s="553">
        <v>105.96</v>
      </c>
      <c r="I12219" s="553">
        <v>361.66</v>
      </c>
      <c r="J12219" s="647">
        <v>723.39</v>
      </c>
    </row>
    <row r="12220" spans="2:10">
      <c r="B12220" s="1230" t="s">
        <v>465</v>
      </c>
      <c r="C12220" s="132" t="s">
        <v>1940</v>
      </c>
      <c r="D12220" s="255">
        <v>31001</v>
      </c>
      <c r="E12220" s="553">
        <v>150.5</v>
      </c>
      <c r="F12220" s="553">
        <v>1709.11</v>
      </c>
      <c r="G12220" s="553">
        <v>681</v>
      </c>
      <c r="H12220" s="553">
        <v>169.54</v>
      </c>
      <c r="I12220" s="553">
        <v>326.02999999999997</v>
      </c>
      <c r="J12220" s="647">
        <v>698.17</v>
      </c>
    </row>
    <row r="12221" spans="2:10">
      <c r="B12221" s="1230" t="s">
        <v>465</v>
      </c>
      <c r="C12221" s="132" t="s">
        <v>2792</v>
      </c>
      <c r="D12221" s="255">
        <v>31003</v>
      </c>
      <c r="E12221" s="553">
        <v>89.76</v>
      </c>
      <c r="F12221" s="553">
        <v>1008.08</v>
      </c>
      <c r="G12221" s="553">
        <v>540.73</v>
      </c>
      <c r="H12221" s="553">
        <v>100.14</v>
      </c>
      <c r="I12221" s="553">
        <v>287.64</v>
      </c>
      <c r="J12221" s="647">
        <v>500.43</v>
      </c>
    </row>
    <row r="12222" spans="2:10">
      <c r="B12222" s="1230" t="s">
        <v>465</v>
      </c>
      <c r="C12222" s="132" t="s">
        <v>2793</v>
      </c>
      <c r="D12222" s="255">
        <v>31005</v>
      </c>
      <c r="E12222" s="553">
        <v>140.4</v>
      </c>
      <c r="F12222" s="553">
        <v>872.53</v>
      </c>
      <c r="G12222" s="553">
        <v>485.76</v>
      </c>
      <c r="H12222" s="553">
        <v>92.34</v>
      </c>
      <c r="I12222" s="553">
        <v>278.72000000000003</v>
      </c>
      <c r="J12222" s="647">
        <v>551.24</v>
      </c>
    </row>
    <row r="12223" spans="2:10">
      <c r="B12223" s="1230" t="s">
        <v>465</v>
      </c>
      <c r="C12223" s="132" t="s">
        <v>2794</v>
      </c>
      <c r="D12223" s="255">
        <v>31007</v>
      </c>
      <c r="E12223" s="553">
        <v>182.51</v>
      </c>
      <c r="F12223" s="553">
        <v>1366</v>
      </c>
      <c r="G12223" s="553">
        <v>747.17</v>
      </c>
      <c r="H12223" s="553">
        <v>141.21</v>
      </c>
      <c r="I12223" s="553">
        <v>447.43</v>
      </c>
      <c r="J12223" s="647">
        <v>835.9</v>
      </c>
    </row>
    <row r="12224" spans="2:10">
      <c r="B12224" s="1230" t="s">
        <v>465</v>
      </c>
      <c r="C12224" s="132" t="s">
        <v>2171</v>
      </c>
      <c r="D12224" s="255">
        <v>31009</v>
      </c>
      <c r="E12224" s="553">
        <v>85.79</v>
      </c>
      <c r="F12224" s="553">
        <v>857.89</v>
      </c>
      <c r="G12224" s="553">
        <v>413.5</v>
      </c>
      <c r="H12224" s="553">
        <v>86.1</v>
      </c>
      <c r="I12224" s="553">
        <v>286.11</v>
      </c>
      <c r="J12224" s="647">
        <v>576.79</v>
      </c>
    </row>
    <row r="12225" spans="2:10">
      <c r="B12225" s="1230" t="s">
        <v>465</v>
      </c>
      <c r="C12225" s="132" t="s">
        <v>1833</v>
      </c>
      <c r="D12225" s="255">
        <v>31011</v>
      </c>
      <c r="E12225" s="553">
        <v>97.64</v>
      </c>
      <c r="F12225" s="553">
        <v>1070.29</v>
      </c>
      <c r="G12225" s="553">
        <v>581.33000000000004</v>
      </c>
      <c r="H12225" s="553">
        <v>106.52</v>
      </c>
      <c r="I12225" s="553">
        <v>303.42</v>
      </c>
      <c r="J12225" s="647">
        <v>514.86</v>
      </c>
    </row>
    <row r="12226" spans="2:10">
      <c r="B12226" s="1230" t="s">
        <v>465</v>
      </c>
      <c r="C12226" s="132" t="s">
        <v>2795</v>
      </c>
      <c r="D12226" s="255">
        <v>31013</v>
      </c>
      <c r="E12226" s="553">
        <v>95.98</v>
      </c>
      <c r="F12226" s="553">
        <v>780.19</v>
      </c>
      <c r="G12226" s="553">
        <v>576.26</v>
      </c>
      <c r="H12226" s="553">
        <v>79.81</v>
      </c>
      <c r="I12226" s="553">
        <v>261.76</v>
      </c>
      <c r="J12226" s="647">
        <v>1265.51</v>
      </c>
    </row>
    <row r="12227" spans="2:10">
      <c r="B12227" s="1230" t="s">
        <v>465</v>
      </c>
      <c r="C12227" s="132" t="s">
        <v>2406</v>
      </c>
      <c r="D12227" s="255">
        <v>31015</v>
      </c>
      <c r="E12227" s="553">
        <v>96.3</v>
      </c>
      <c r="F12227" s="553">
        <v>1095.8800000000001</v>
      </c>
      <c r="G12227" s="553">
        <v>517.77</v>
      </c>
      <c r="H12227" s="553">
        <v>108.64</v>
      </c>
      <c r="I12227" s="553">
        <v>293.22000000000003</v>
      </c>
      <c r="J12227" s="647">
        <v>615.61</v>
      </c>
    </row>
    <row r="12228" spans="2:10">
      <c r="B12228" s="1230" t="s">
        <v>465</v>
      </c>
      <c r="C12228" s="132" t="s">
        <v>2200</v>
      </c>
      <c r="D12228" s="255">
        <v>31017</v>
      </c>
      <c r="E12228" s="553">
        <v>88</v>
      </c>
      <c r="F12228" s="553">
        <v>864.44</v>
      </c>
      <c r="G12228" s="553">
        <v>421.49</v>
      </c>
      <c r="H12228" s="553">
        <v>86.91</v>
      </c>
      <c r="I12228" s="553">
        <v>288.04000000000002</v>
      </c>
      <c r="J12228" s="647">
        <v>577.88</v>
      </c>
    </row>
    <row r="12229" spans="2:10">
      <c r="B12229" s="1230" t="s">
        <v>465</v>
      </c>
      <c r="C12229" s="132" t="s">
        <v>2796</v>
      </c>
      <c r="D12229" s="255">
        <v>31019</v>
      </c>
      <c r="E12229" s="553">
        <v>159.44</v>
      </c>
      <c r="F12229" s="553">
        <v>1854.97</v>
      </c>
      <c r="G12229" s="553">
        <v>736.63</v>
      </c>
      <c r="H12229" s="553">
        <v>183.72</v>
      </c>
      <c r="I12229" s="553">
        <v>307.24</v>
      </c>
      <c r="J12229" s="647">
        <v>726.11</v>
      </c>
    </row>
    <row r="12230" spans="2:10">
      <c r="B12230" s="1230" t="s">
        <v>465</v>
      </c>
      <c r="C12230" s="132" t="s">
        <v>2797</v>
      </c>
      <c r="D12230" s="255">
        <v>31021</v>
      </c>
      <c r="E12230" s="553">
        <v>133.34</v>
      </c>
      <c r="F12230" s="553">
        <v>1543.11</v>
      </c>
      <c r="G12230" s="553">
        <v>720.19</v>
      </c>
      <c r="H12230" s="553">
        <v>152.87</v>
      </c>
      <c r="I12230" s="553">
        <v>391.03</v>
      </c>
      <c r="J12230" s="647">
        <v>596.38</v>
      </c>
    </row>
    <row r="12231" spans="2:10">
      <c r="B12231" s="1230" t="s">
        <v>465</v>
      </c>
      <c r="C12231" s="132" t="s">
        <v>1725</v>
      </c>
      <c r="D12231" s="255">
        <v>31023</v>
      </c>
      <c r="E12231" s="553">
        <v>128.93</v>
      </c>
      <c r="F12231" s="553">
        <v>1470.15</v>
      </c>
      <c r="G12231" s="553">
        <v>707.57</v>
      </c>
      <c r="H12231" s="553">
        <v>145.91</v>
      </c>
      <c r="I12231" s="553">
        <v>366.58</v>
      </c>
      <c r="J12231" s="647">
        <v>585.91</v>
      </c>
    </row>
    <row r="12232" spans="2:10">
      <c r="B12232" s="1230" t="s">
        <v>465</v>
      </c>
      <c r="C12232" s="132" t="s">
        <v>2202</v>
      </c>
      <c r="D12232" s="255">
        <v>31025</v>
      </c>
      <c r="E12232" s="553">
        <v>213.68</v>
      </c>
      <c r="F12232" s="553">
        <v>2336.84</v>
      </c>
      <c r="G12232" s="553">
        <v>801.54</v>
      </c>
      <c r="H12232" s="553">
        <v>232.69</v>
      </c>
      <c r="I12232" s="553">
        <v>450.61</v>
      </c>
      <c r="J12232" s="647">
        <v>697.65</v>
      </c>
    </row>
    <row r="12233" spans="2:10">
      <c r="B12233" s="1230" t="s">
        <v>465</v>
      </c>
      <c r="C12233" s="132" t="s">
        <v>2299</v>
      </c>
      <c r="D12233" s="255">
        <v>31027</v>
      </c>
      <c r="E12233" s="553">
        <v>112.48</v>
      </c>
      <c r="F12233" s="553">
        <v>1326.37</v>
      </c>
      <c r="G12233" s="553">
        <v>654.04999999999995</v>
      </c>
      <c r="H12233" s="553">
        <v>131.21</v>
      </c>
      <c r="I12233" s="553">
        <v>316.86</v>
      </c>
      <c r="J12233" s="647">
        <v>542.4</v>
      </c>
    </row>
    <row r="12234" spans="2:10">
      <c r="B12234" s="1230" t="s">
        <v>465</v>
      </c>
      <c r="C12234" s="132" t="s">
        <v>2340</v>
      </c>
      <c r="D12234" s="255">
        <v>31029</v>
      </c>
      <c r="E12234" s="553">
        <v>134.57</v>
      </c>
      <c r="F12234" s="553">
        <v>868.93</v>
      </c>
      <c r="G12234" s="553">
        <v>720.16</v>
      </c>
      <c r="H12234" s="553">
        <v>91.49</v>
      </c>
      <c r="I12234" s="553">
        <v>272.52</v>
      </c>
      <c r="J12234" s="647">
        <v>551.82000000000005</v>
      </c>
    </row>
    <row r="12235" spans="2:10">
      <c r="B12235" s="1230" t="s">
        <v>465</v>
      </c>
      <c r="C12235" s="132" t="s">
        <v>2798</v>
      </c>
      <c r="D12235" s="255">
        <v>31031</v>
      </c>
      <c r="E12235" s="553">
        <v>91.47</v>
      </c>
      <c r="F12235" s="553">
        <v>765.57</v>
      </c>
      <c r="G12235" s="553">
        <v>379.05</v>
      </c>
      <c r="H12235" s="553">
        <v>78.11</v>
      </c>
      <c r="I12235" s="553">
        <v>283.56</v>
      </c>
      <c r="J12235" s="647">
        <v>546.27</v>
      </c>
    </row>
    <row r="12236" spans="2:10">
      <c r="B12236" s="1230" t="s">
        <v>465</v>
      </c>
      <c r="C12236" s="132" t="s">
        <v>1948</v>
      </c>
      <c r="D12236" s="255">
        <v>31033</v>
      </c>
      <c r="E12236" s="553">
        <v>117.85</v>
      </c>
      <c r="F12236" s="553">
        <v>857.64</v>
      </c>
      <c r="G12236" s="553">
        <v>468.77</v>
      </c>
      <c r="H12236" s="553">
        <v>88.95</v>
      </c>
      <c r="I12236" s="553">
        <v>321.95</v>
      </c>
      <c r="J12236" s="647">
        <v>533.92999999999995</v>
      </c>
    </row>
    <row r="12237" spans="2:10">
      <c r="B12237" s="1230" t="s">
        <v>465</v>
      </c>
      <c r="C12237" s="132" t="s">
        <v>1732</v>
      </c>
      <c r="D12237" s="255">
        <v>31035</v>
      </c>
      <c r="E12237" s="553">
        <v>123.08</v>
      </c>
      <c r="F12237" s="553">
        <v>1419.87</v>
      </c>
      <c r="G12237" s="553">
        <v>786.64</v>
      </c>
      <c r="H12237" s="553">
        <v>140.80000000000001</v>
      </c>
      <c r="I12237" s="553">
        <v>336.67</v>
      </c>
      <c r="J12237" s="647">
        <v>574.42999999999995</v>
      </c>
    </row>
    <row r="12238" spans="2:10">
      <c r="B12238" s="1230" t="s">
        <v>465</v>
      </c>
      <c r="C12238" s="132" t="s">
        <v>2799</v>
      </c>
      <c r="D12238" s="255">
        <v>31037</v>
      </c>
      <c r="E12238" s="553">
        <v>119.74</v>
      </c>
      <c r="F12238" s="553">
        <v>1376.55</v>
      </c>
      <c r="G12238" s="553">
        <v>722.98</v>
      </c>
      <c r="H12238" s="553">
        <v>136.49</v>
      </c>
      <c r="I12238" s="553">
        <v>358.29</v>
      </c>
      <c r="J12238" s="647">
        <v>571.66</v>
      </c>
    </row>
    <row r="12239" spans="2:10">
      <c r="B12239" s="1230" t="s">
        <v>465</v>
      </c>
      <c r="C12239" s="132" t="s">
        <v>2800</v>
      </c>
      <c r="D12239" s="255">
        <v>31039</v>
      </c>
      <c r="E12239" s="553">
        <v>124.05</v>
      </c>
      <c r="F12239" s="553">
        <v>1395.28</v>
      </c>
      <c r="G12239" s="553">
        <v>688.82</v>
      </c>
      <c r="H12239" s="553">
        <v>138.63999999999999</v>
      </c>
      <c r="I12239" s="553">
        <v>359.75</v>
      </c>
      <c r="J12239" s="647">
        <v>570.67999999999995</v>
      </c>
    </row>
    <row r="12240" spans="2:10">
      <c r="B12240" s="1230" t="s">
        <v>465</v>
      </c>
      <c r="C12240" s="132" t="s">
        <v>1953</v>
      </c>
      <c r="D12240" s="255">
        <v>31041</v>
      </c>
      <c r="E12240" s="553">
        <v>109.33</v>
      </c>
      <c r="F12240" s="553">
        <v>1128.6600000000001</v>
      </c>
      <c r="G12240" s="553">
        <v>500.38</v>
      </c>
      <c r="H12240" s="553">
        <v>112.9</v>
      </c>
      <c r="I12240" s="553">
        <v>289.68</v>
      </c>
      <c r="J12240" s="647">
        <v>627.55999999999995</v>
      </c>
    </row>
    <row r="12241" spans="2:10">
      <c r="B12241" s="1230" t="s">
        <v>465</v>
      </c>
      <c r="C12241" s="132" t="s">
        <v>2631</v>
      </c>
      <c r="D12241" s="255">
        <v>31043</v>
      </c>
      <c r="E12241" s="553">
        <v>135.53</v>
      </c>
      <c r="F12241" s="553">
        <v>1498.94</v>
      </c>
      <c r="G12241" s="553">
        <v>1003.99</v>
      </c>
      <c r="H12241" s="553">
        <v>149.12</v>
      </c>
      <c r="I12241" s="553">
        <v>355.07</v>
      </c>
      <c r="J12241" s="647">
        <v>574.02</v>
      </c>
    </row>
    <row r="12242" spans="2:10">
      <c r="B12242" s="1230" t="s">
        <v>465</v>
      </c>
      <c r="C12242" s="132" t="s">
        <v>2801</v>
      </c>
      <c r="D12242" s="255">
        <v>31045</v>
      </c>
      <c r="E12242" s="553">
        <v>111.52</v>
      </c>
      <c r="F12242" s="553">
        <v>814.79</v>
      </c>
      <c r="G12242" s="553">
        <v>427.17</v>
      </c>
      <c r="H12242" s="553">
        <v>84.4</v>
      </c>
      <c r="I12242" s="553">
        <v>341.93</v>
      </c>
      <c r="J12242" s="647">
        <v>1288.55</v>
      </c>
    </row>
    <row r="12243" spans="2:10">
      <c r="B12243" s="1230" t="s">
        <v>465</v>
      </c>
      <c r="C12243" s="132" t="s">
        <v>2084</v>
      </c>
      <c r="D12243" s="255">
        <v>31047</v>
      </c>
      <c r="E12243" s="553">
        <v>107.73</v>
      </c>
      <c r="F12243" s="553">
        <v>1153.8599999999999</v>
      </c>
      <c r="G12243" s="553">
        <v>579.21</v>
      </c>
      <c r="H12243" s="553">
        <v>115.12</v>
      </c>
      <c r="I12243" s="553">
        <v>288.06</v>
      </c>
      <c r="J12243" s="647">
        <v>620.19000000000005</v>
      </c>
    </row>
    <row r="12244" spans="2:10">
      <c r="B12244" s="1230" t="s">
        <v>465</v>
      </c>
      <c r="C12244" s="132" t="s">
        <v>2802</v>
      </c>
      <c r="D12244" s="255">
        <v>31049</v>
      </c>
      <c r="E12244" s="553">
        <v>141.19999999999999</v>
      </c>
      <c r="F12244" s="553">
        <v>846.28</v>
      </c>
      <c r="G12244" s="553">
        <v>453.05</v>
      </c>
      <c r="H12244" s="553">
        <v>90.04</v>
      </c>
      <c r="I12244" s="553">
        <v>293.33</v>
      </c>
      <c r="J12244" s="647">
        <v>535.61</v>
      </c>
    </row>
    <row r="12245" spans="2:10">
      <c r="B12245" s="1230" t="s">
        <v>465</v>
      </c>
      <c r="C12245" s="132" t="s">
        <v>2803</v>
      </c>
      <c r="D12245" s="255">
        <v>31051</v>
      </c>
      <c r="E12245" s="553">
        <v>122.15</v>
      </c>
      <c r="F12245" s="553">
        <v>1386.96</v>
      </c>
      <c r="G12245" s="553">
        <v>845.15</v>
      </c>
      <c r="H12245" s="553">
        <v>137.74</v>
      </c>
      <c r="I12245" s="553">
        <v>339.19</v>
      </c>
      <c r="J12245" s="647">
        <v>555.19000000000005</v>
      </c>
    </row>
    <row r="12246" spans="2:10">
      <c r="B12246" s="1230" t="s">
        <v>465</v>
      </c>
      <c r="C12246" s="132" t="s">
        <v>2086</v>
      </c>
      <c r="D12246" s="255">
        <v>31053</v>
      </c>
      <c r="E12246" s="553">
        <v>156.13</v>
      </c>
      <c r="F12246" s="553">
        <v>1852.47</v>
      </c>
      <c r="G12246" s="553">
        <v>822.32</v>
      </c>
      <c r="H12246" s="553">
        <v>183.15</v>
      </c>
      <c r="I12246" s="553">
        <v>386.58</v>
      </c>
      <c r="J12246" s="647">
        <v>620.67999999999995</v>
      </c>
    </row>
    <row r="12247" spans="2:10">
      <c r="B12247" s="1230" t="s">
        <v>465</v>
      </c>
      <c r="C12247" s="132" t="s">
        <v>1957</v>
      </c>
      <c r="D12247" s="255">
        <v>31055</v>
      </c>
      <c r="E12247" s="553">
        <v>500.51</v>
      </c>
      <c r="F12247" s="553">
        <v>5499.74</v>
      </c>
      <c r="G12247" s="553">
        <v>1140.6400000000001</v>
      </c>
      <c r="H12247" s="553">
        <v>547.58000000000004</v>
      </c>
      <c r="I12247" s="553">
        <v>431.84</v>
      </c>
      <c r="J12247" s="647">
        <v>910.84</v>
      </c>
    </row>
    <row r="12248" spans="2:10">
      <c r="B12248" s="1230" t="s">
        <v>465</v>
      </c>
      <c r="C12248" s="132" t="s">
        <v>2804</v>
      </c>
      <c r="D12248" s="255">
        <v>31057</v>
      </c>
      <c r="E12248" s="553">
        <v>133.62</v>
      </c>
      <c r="F12248" s="553">
        <v>876.34</v>
      </c>
      <c r="G12248" s="553">
        <v>576.30999999999995</v>
      </c>
      <c r="H12248" s="553">
        <v>92.11</v>
      </c>
      <c r="I12248" s="553">
        <v>271.57</v>
      </c>
      <c r="J12248" s="647">
        <v>553.05999999999995</v>
      </c>
    </row>
    <row r="12249" spans="2:10">
      <c r="B12249" s="1230" t="s">
        <v>465</v>
      </c>
      <c r="C12249" s="132" t="s">
        <v>2633</v>
      </c>
      <c r="D12249" s="255">
        <v>31059</v>
      </c>
      <c r="E12249" s="553">
        <v>114.77</v>
      </c>
      <c r="F12249" s="553">
        <v>1300.52</v>
      </c>
      <c r="G12249" s="553">
        <v>686.78</v>
      </c>
      <c r="H12249" s="553">
        <v>129.04</v>
      </c>
      <c r="I12249" s="553">
        <v>360.59</v>
      </c>
      <c r="J12249" s="647">
        <v>572.74</v>
      </c>
    </row>
    <row r="12250" spans="2:10">
      <c r="B12250" s="1230" t="s">
        <v>465</v>
      </c>
      <c r="C12250" s="132" t="s">
        <v>1748</v>
      </c>
      <c r="D12250" s="255">
        <v>31061</v>
      </c>
      <c r="E12250" s="553">
        <v>122.3</v>
      </c>
      <c r="F12250" s="553">
        <v>1268.75</v>
      </c>
      <c r="G12250" s="553">
        <v>588.84</v>
      </c>
      <c r="H12250" s="553">
        <v>126.9</v>
      </c>
      <c r="I12250" s="553">
        <v>310.51</v>
      </c>
      <c r="J12250" s="647">
        <v>642.54</v>
      </c>
    </row>
    <row r="12251" spans="2:10">
      <c r="B12251" s="1230" t="s">
        <v>465</v>
      </c>
      <c r="C12251" s="132" t="s">
        <v>2805</v>
      </c>
      <c r="D12251" s="255">
        <v>31063</v>
      </c>
      <c r="E12251" s="553">
        <v>122.27</v>
      </c>
      <c r="F12251" s="553">
        <v>1029.47</v>
      </c>
      <c r="G12251" s="553">
        <v>460.2</v>
      </c>
      <c r="H12251" s="553">
        <v>105</v>
      </c>
      <c r="I12251" s="553">
        <v>277.85000000000002</v>
      </c>
      <c r="J12251" s="647">
        <v>594.38</v>
      </c>
    </row>
    <row r="12252" spans="2:10">
      <c r="B12252" s="1230" t="s">
        <v>465</v>
      </c>
      <c r="C12252" s="132" t="s">
        <v>2806</v>
      </c>
      <c r="D12252" s="255">
        <v>31065</v>
      </c>
      <c r="E12252" s="553">
        <v>101.62</v>
      </c>
      <c r="F12252" s="553">
        <v>1022.43</v>
      </c>
      <c r="G12252" s="553">
        <v>469.87</v>
      </c>
      <c r="H12252" s="553">
        <v>102.51</v>
      </c>
      <c r="I12252" s="553">
        <v>285.7</v>
      </c>
      <c r="J12252" s="647">
        <v>599.91999999999996</v>
      </c>
    </row>
    <row r="12253" spans="2:10">
      <c r="B12253" s="1230" t="s">
        <v>465</v>
      </c>
      <c r="C12253" s="132" t="s">
        <v>2807</v>
      </c>
      <c r="D12253" s="255">
        <v>31067</v>
      </c>
      <c r="E12253" s="553">
        <v>130.49</v>
      </c>
      <c r="F12253" s="553">
        <v>1520.68</v>
      </c>
      <c r="G12253" s="553">
        <v>641.71</v>
      </c>
      <c r="H12253" s="553">
        <v>150.65</v>
      </c>
      <c r="I12253" s="553">
        <v>430.34</v>
      </c>
      <c r="J12253" s="647">
        <v>629.12</v>
      </c>
    </row>
    <row r="12254" spans="2:10">
      <c r="B12254" s="1230" t="s">
        <v>465</v>
      </c>
      <c r="C12254" s="132" t="s">
        <v>2808</v>
      </c>
      <c r="D12254" s="255">
        <v>31069</v>
      </c>
      <c r="E12254" s="553">
        <v>119.18</v>
      </c>
      <c r="F12254" s="553">
        <v>783.22</v>
      </c>
      <c r="G12254" s="553">
        <v>390.13</v>
      </c>
      <c r="H12254" s="553">
        <v>82.22</v>
      </c>
      <c r="I12254" s="553">
        <v>297.67</v>
      </c>
      <c r="J12254" s="647">
        <v>528.29999999999995</v>
      </c>
    </row>
    <row r="12255" spans="2:10">
      <c r="B12255" s="1230" t="s">
        <v>465</v>
      </c>
      <c r="C12255" s="132" t="s">
        <v>1962</v>
      </c>
      <c r="D12255" s="255">
        <v>31071</v>
      </c>
      <c r="E12255" s="553">
        <v>103.67</v>
      </c>
      <c r="F12255" s="553">
        <v>1009.98</v>
      </c>
      <c r="G12255" s="553">
        <v>475.38</v>
      </c>
      <c r="H12255" s="553">
        <v>101.59</v>
      </c>
      <c r="I12255" s="553">
        <v>309.13</v>
      </c>
      <c r="J12255" s="647">
        <v>614.17999999999995</v>
      </c>
    </row>
    <row r="12256" spans="2:10">
      <c r="B12256" s="1230" t="s">
        <v>465</v>
      </c>
      <c r="C12256" s="132" t="s">
        <v>2809</v>
      </c>
      <c r="D12256" s="255">
        <v>31073</v>
      </c>
      <c r="E12256" s="553">
        <v>99.9</v>
      </c>
      <c r="F12256" s="553">
        <v>1016.64</v>
      </c>
      <c r="G12256" s="553">
        <v>576.74</v>
      </c>
      <c r="H12256" s="553">
        <v>101.79</v>
      </c>
      <c r="I12256" s="553">
        <v>286.72000000000003</v>
      </c>
      <c r="J12256" s="647">
        <v>596.05999999999995</v>
      </c>
    </row>
    <row r="12257" spans="2:10">
      <c r="B12257" s="1230" t="s">
        <v>465</v>
      </c>
      <c r="C12257" s="132" t="s">
        <v>1850</v>
      </c>
      <c r="D12257" s="255">
        <v>31075</v>
      </c>
      <c r="E12257" s="553">
        <v>113.6</v>
      </c>
      <c r="F12257" s="553">
        <v>753.84</v>
      </c>
      <c r="G12257" s="553">
        <v>378.19</v>
      </c>
      <c r="H12257" s="553">
        <v>79.06</v>
      </c>
      <c r="I12257" s="553">
        <v>281.95999999999998</v>
      </c>
      <c r="J12257" s="647">
        <v>535.25</v>
      </c>
    </row>
    <row r="12258" spans="2:10">
      <c r="B12258" s="1230" t="s">
        <v>465</v>
      </c>
      <c r="C12258" s="132" t="s">
        <v>2354</v>
      </c>
      <c r="D12258" s="255">
        <v>31077</v>
      </c>
      <c r="E12258" s="553">
        <v>115.87</v>
      </c>
      <c r="F12258" s="553">
        <v>1200.6099999999999</v>
      </c>
      <c r="G12258" s="553">
        <v>567.41</v>
      </c>
      <c r="H12258" s="553">
        <v>120.03</v>
      </c>
      <c r="I12258" s="553">
        <v>324.83999999999997</v>
      </c>
      <c r="J12258" s="647">
        <v>649.71</v>
      </c>
    </row>
    <row r="12259" spans="2:10">
      <c r="B12259" s="1230" t="s">
        <v>465</v>
      </c>
      <c r="C12259" s="132" t="s">
        <v>2104</v>
      </c>
      <c r="D12259" s="255">
        <v>31079</v>
      </c>
      <c r="E12259" s="553">
        <v>142.16</v>
      </c>
      <c r="F12259" s="553">
        <v>1723.29</v>
      </c>
      <c r="G12259" s="553">
        <v>771.68</v>
      </c>
      <c r="H12259" s="553">
        <v>170.21</v>
      </c>
      <c r="I12259" s="553">
        <v>326.2</v>
      </c>
      <c r="J12259" s="647">
        <v>704.76</v>
      </c>
    </row>
    <row r="12260" spans="2:10">
      <c r="B12260" s="1230" t="s">
        <v>465</v>
      </c>
      <c r="C12260" s="132" t="s">
        <v>2023</v>
      </c>
      <c r="D12260" s="255">
        <v>31081</v>
      </c>
      <c r="E12260" s="553">
        <v>106.41</v>
      </c>
      <c r="F12260" s="553">
        <v>1203.32</v>
      </c>
      <c r="G12260" s="553">
        <v>649.75</v>
      </c>
      <c r="H12260" s="553">
        <v>119.49</v>
      </c>
      <c r="I12260" s="553">
        <v>326.13</v>
      </c>
      <c r="J12260" s="647">
        <v>544.97</v>
      </c>
    </row>
    <row r="12261" spans="2:10">
      <c r="B12261" s="1230" t="s">
        <v>465</v>
      </c>
      <c r="C12261" s="132" t="s">
        <v>2427</v>
      </c>
      <c r="D12261" s="255">
        <v>31083</v>
      </c>
      <c r="E12261" s="553">
        <v>109.05</v>
      </c>
      <c r="F12261" s="553">
        <v>1160.1500000000001</v>
      </c>
      <c r="G12261" s="553">
        <v>572.91999999999996</v>
      </c>
      <c r="H12261" s="553">
        <v>115.75</v>
      </c>
      <c r="I12261" s="553">
        <v>297.68</v>
      </c>
      <c r="J12261" s="647">
        <v>621.24</v>
      </c>
    </row>
    <row r="12262" spans="2:10">
      <c r="B12262" s="1230" t="s">
        <v>465</v>
      </c>
      <c r="C12262" s="132" t="s">
        <v>2810</v>
      </c>
      <c r="D12262" s="255">
        <v>31085</v>
      </c>
      <c r="E12262" s="553">
        <v>126.07</v>
      </c>
      <c r="F12262" s="553">
        <v>899.56</v>
      </c>
      <c r="G12262" s="553">
        <v>466.86</v>
      </c>
      <c r="H12262" s="553">
        <v>93.5</v>
      </c>
      <c r="I12262" s="553">
        <v>271.62</v>
      </c>
      <c r="J12262" s="647">
        <v>566.54</v>
      </c>
    </row>
    <row r="12263" spans="2:10">
      <c r="B12263" s="1230" t="s">
        <v>465</v>
      </c>
      <c r="C12263" s="132" t="s">
        <v>2811</v>
      </c>
      <c r="D12263" s="255">
        <v>31087</v>
      </c>
      <c r="E12263" s="553">
        <v>125.69</v>
      </c>
      <c r="F12263" s="553">
        <v>893.05</v>
      </c>
      <c r="G12263" s="553">
        <v>439.55</v>
      </c>
      <c r="H12263" s="553">
        <v>92.87</v>
      </c>
      <c r="I12263" s="553">
        <v>270.02</v>
      </c>
      <c r="J12263" s="647">
        <v>564.17999999999995</v>
      </c>
    </row>
    <row r="12264" spans="2:10">
      <c r="B12264" s="1230" t="s">
        <v>465</v>
      </c>
      <c r="C12264" s="132" t="s">
        <v>2731</v>
      </c>
      <c r="D12264" s="255">
        <v>31089</v>
      </c>
      <c r="E12264" s="553">
        <v>95.91</v>
      </c>
      <c r="F12264" s="553">
        <v>1076.83</v>
      </c>
      <c r="G12264" s="553">
        <v>537.73</v>
      </c>
      <c r="H12264" s="553">
        <v>106.92</v>
      </c>
      <c r="I12264" s="553">
        <v>290.18</v>
      </c>
      <c r="J12264" s="647">
        <v>619.6</v>
      </c>
    </row>
    <row r="12265" spans="2:10">
      <c r="B12265" s="1230" t="s">
        <v>465</v>
      </c>
      <c r="C12265" s="132" t="s">
        <v>2812</v>
      </c>
      <c r="D12265" s="255">
        <v>31091</v>
      </c>
      <c r="E12265" s="553">
        <v>115.89</v>
      </c>
      <c r="F12265" s="553">
        <v>789.75</v>
      </c>
      <c r="G12265" s="553">
        <v>385.54</v>
      </c>
      <c r="H12265" s="553">
        <v>82.49</v>
      </c>
      <c r="I12265" s="553">
        <v>276.14</v>
      </c>
      <c r="J12265" s="647">
        <v>550.25</v>
      </c>
    </row>
    <row r="12266" spans="2:10">
      <c r="B12266" s="1230" t="s">
        <v>465</v>
      </c>
      <c r="C12266" s="132" t="s">
        <v>1853</v>
      </c>
      <c r="D12266" s="255">
        <v>31093</v>
      </c>
      <c r="E12266" s="553">
        <v>112.31</v>
      </c>
      <c r="F12266" s="553">
        <v>1258.45</v>
      </c>
      <c r="G12266" s="553">
        <v>636.97</v>
      </c>
      <c r="H12266" s="553">
        <v>125.06</v>
      </c>
      <c r="I12266" s="553">
        <v>325.39</v>
      </c>
      <c r="J12266" s="647">
        <v>656.37</v>
      </c>
    </row>
    <row r="12267" spans="2:10">
      <c r="B12267" s="1230" t="s">
        <v>465</v>
      </c>
      <c r="C12267" s="132" t="s">
        <v>1755</v>
      </c>
      <c r="D12267" s="255">
        <v>31095</v>
      </c>
      <c r="E12267" s="553">
        <v>127.97</v>
      </c>
      <c r="F12267" s="553">
        <v>1494.56</v>
      </c>
      <c r="G12267" s="553">
        <v>657.28</v>
      </c>
      <c r="H12267" s="553">
        <v>147.97999999999999</v>
      </c>
      <c r="I12267" s="553">
        <v>398.17</v>
      </c>
      <c r="J12267" s="647">
        <v>608.16999999999996</v>
      </c>
    </row>
    <row r="12268" spans="2:10">
      <c r="B12268" s="1230" t="s">
        <v>465</v>
      </c>
      <c r="C12268" s="132" t="s">
        <v>1856</v>
      </c>
      <c r="D12268" s="255">
        <v>31097</v>
      </c>
      <c r="E12268" s="553">
        <v>130.66999999999999</v>
      </c>
      <c r="F12268" s="553">
        <v>1490.92</v>
      </c>
      <c r="G12268" s="553">
        <v>639.82000000000005</v>
      </c>
      <c r="H12268" s="553">
        <v>147.9</v>
      </c>
      <c r="I12268" s="553">
        <v>460.73</v>
      </c>
      <c r="J12268" s="647">
        <v>625.05999999999995</v>
      </c>
    </row>
    <row r="12269" spans="2:10">
      <c r="B12269" s="1230" t="s">
        <v>465</v>
      </c>
      <c r="C12269" s="132" t="s">
        <v>2813</v>
      </c>
      <c r="D12269" s="255">
        <v>31099</v>
      </c>
      <c r="E12269" s="553">
        <v>109.8</v>
      </c>
      <c r="F12269" s="553">
        <v>1218.8900000000001</v>
      </c>
      <c r="G12269" s="553">
        <v>843.58</v>
      </c>
      <c r="H12269" s="553">
        <v>121.17</v>
      </c>
      <c r="I12269" s="553">
        <v>310.91000000000003</v>
      </c>
      <c r="J12269" s="647">
        <v>634.74</v>
      </c>
    </row>
    <row r="12270" spans="2:10">
      <c r="B12270" s="1230" t="s">
        <v>465</v>
      </c>
      <c r="C12270" s="132" t="s">
        <v>2814</v>
      </c>
      <c r="D12270" s="255">
        <v>31101</v>
      </c>
      <c r="E12270" s="553">
        <v>127.67</v>
      </c>
      <c r="F12270" s="553">
        <v>875.35</v>
      </c>
      <c r="G12270" s="553">
        <v>451.79</v>
      </c>
      <c r="H12270" s="553">
        <v>91.5</v>
      </c>
      <c r="I12270" s="553">
        <v>276.76</v>
      </c>
      <c r="J12270" s="647">
        <v>554.17999999999995</v>
      </c>
    </row>
    <row r="12271" spans="2:10">
      <c r="B12271" s="1230" t="s">
        <v>465</v>
      </c>
      <c r="C12271" s="132" t="s">
        <v>2815</v>
      </c>
      <c r="D12271" s="255">
        <v>31103</v>
      </c>
      <c r="E12271" s="553">
        <v>81.459999999999994</v>
      </c>
      <c r="F12271" s="553">
        <v>881.22</v>
      </c>
      <c r="G12271" s="553">
        <v>437.33</v>
      </c>
      <c r="H12271" s="553">
        <v>87.8</v>
      </c>
      <c r="I12271" s="553">
        <v>265.51</v>
      </c>
      <c r="J12271" s="647">
        <v>577.79</v>
      </c>
    </row>
    <row r="12272" spans="2:10">
      <c r="B12272" s="1230" t="s">
        <v>465</v>
      </c>
      <c r="C12272" s="132" t="s">
        <v>2816</v>
      </c>
      <c r="D12272" s="255">
        <v>31105</v>
      </c>
      <c r="E12272" s="553">
        <v>139.78</v>
      </c>
      <c r="F12272" s="553">
        <v>1021.38</v>
      </c>
      <c r="G12272" s="553">
        <v>551.70000000000005</v>
      </c>
      <c r="H12272" s="553">
        <v>105.84</v>
      </c>
      <c r="I12272" s="553">
        <v>495.26</v>
      </c>
      <c r="J12272" s="647">
        <v>794.74</v>
      </c>
    </row>
    <row r="12273" spans="2:10">
      <c r="B12273" s="1230" t="s">
        <v>465</v>
      </c>
      <c r="C12273" s="132" t="s">
        <v>2223</v>
      </c>
      <c r="D12273" s="255">
        <v>31107</v>
      </c>
      <c r="E12273" s="553">
        <v>105.74</v>
      </c>
      <c r="F12273" s="553">
        <v>1238.6400000000001</v>
      </c>
      <c r="G12273" s="553">
        <v>574.4</v>
      </c>
      <c r="H12273" s="553">
        <v>122.63</v>
      </c>
      <c r="I12273" s="553">
        <v>327.39</v>
      </c>
      <c r="J12273" s="647">
        <v>651.29999999999995</v>
      </c>
    </row>
    <row r="12274" spans="2:10">
      <c r="B12274" s="1230" t="s">
        <v>465</v>
      </c>
      <c r="C12274" s="132" t="s">
        <v>2817</v>
      </c>
      <c r="D12274" s="255">
        <v>31109</v>
      </c>
      <c r="E12274" s="553">
        <v>208.62</v>
      </c>
      <c r="F12274" s="553">
        <v>2444.16</v>
      </c>
      <c r="G12274" s="553">
        <v>797.37</v>
      </c>
      <c r="H12274" s="553">
        <v>242.02</v>
      </c>
      <c r="I12274" s="553">
        <v>413.66</v>
      </c>
      <c r="J12274" s="647">
        <v>714.69</v>
      </c>
    </row>
    <row r="12275" spans="2:10">
      <c r="B12275" s="1230" t="s">
        <v>465</v>
      </c>
      <c r="C12275" s="132" t="s">
        <v>1858</v>
      </c>
      <c r="D12275" s="255">
        <v>31111</v>
      </c>
      <c r="E12275" s="553">
        <v>125.84</v>
      </c>
      <c r="F12275" s="553">
        <v>979.54</v>
      </c>
      <c r="G12275" s="553">
        <v>461.82</v>
      </c>
      <c r="H12275" s="553">
        <v>100.78</v>
      </c>
      <c r="I12275" s="553">
        <v>273.81</v>
      </c>
      <c r="J12275" s="647">
        <v>588.51</v>
      </c>
    </row>
    <row r="12276" spans="2:10">
      <c r="B12276" s="1230" t="s">
        <v>465</v>
      </c>
      <c r="C12276" s="132" t="s">
        <v>1860</v>
      </c>
      <c r="D12276" s="255">
        <v>31113</v>
      </c>
      <c r="E12276" s="553">
        <v>120.65</v>
      </c>
      <c r="F12276" s="553">
        <v>870.7</v>
      </c>
      <c r="G12276" s="553">
        <v>423.66</v>
      </c>
      <c r="H12276" s="553">
        <v>90.38</v>
      </c>
      <c r="I12276" s="553">
        <v>278.58</v>
      </c>
      <c r="J12276" s="647">
        <v>569.66999999999996</v>
      </c>
    </row>
    <row r="12277" spans="2:10">
      <c r="B12277" s="1230" t="s">
        <v>465</v>
      </c>
      <c r="C12277" s="132" t="s">
        <v>2818</v>
      </c>
      <c r="D12277" s="255">
        <v>31115</v>
      </c>
      <c r="E12277" s="553">
        <v>94.53</v>
      </c>
      <c r="F12277" s="553">
        <v>944.06</v>
      </c>
      <c r="G12277" s="553">
        <v>445.38</v>
      </c>
      <c r="H12277" s="553">
        <v>94.71</v>
      </c>
      <c r="I12277" s="553">
        <v>296.86</v>
      </c>
      <c r="J12277" s="647">
        <v>596.44000000000005</v>
      </c>
    </row>
    <row r="12278" spans="2:10">
      <c r="B12278" s="1230" t="s">
        <v>465</v>
      </c>
      <c r="C12278" s="132" t="s">
        <v>2366</v>
      </c>
      <c r="D12278" s="255">
        <v>31117</v>
      </c>
      <c r="E12278" s="553">
        <v>115.19</v>
      </c>
      <c r="F12278" s="553">
        <v>833.18</v>
      </c>
      <c r="G12278" s="553">
        <v>408.65</v>
      </c>
      <c r="H12278" s="553">
        <v>86.45</v>
      </c>
      <c r="I12278" s="553">
        <v>275.39</v>
      </c>
      <c r="J12278" s="647">
        <v>558.36</v>
      </c>
    </row>
    <row r="12279" spans="2:10">
      <c r="B12279" s="1230" t="s">
        <v>465</v>
      </c>
      <c r="C12279" s="132" t="s">
        <v>1763</v>
      </c>
      <c r="D12279" s="255">
        <v>31119</v>
      </c>
      <c r="E12279" s="553">
        <v>116.61</v>
      </c>
      <c r="F12279" s="553">
        <v>1339.5</v>
      </c>
      <c r="G12279" s="553">
        <v>739.96</v>
      </c>
      <c r="H12279" s="553">
        <v>132.82</v>
      </c>
      <c r="I12279" s="553">
        <v>315.68</v>
      </c>
      <c r="J12279" s="647">
        <v>545.71</v>
      </c>
    </row>
    <row r="12280" spans="2:10">
      <c r="B12280" s="1230" t="s">
        <v>465</v>
      </c>
      <c r="C12280" s="132" t="s">
        <v>2819</v>
      </c>
      <c r="D12280" s="255">
        <v>31121</v>
      </c>
      <c r="E12280" s="553">
        <v>117.68</v>
      </c>
      <c r="F12280" s="553">
        <v>1294.81</v>
      </c>
      <c r="G12280" s="553">
        <v>733.3</v>
      </c>
      <c r="H12280" s="553">
        <v>128.80000000000001</v>
      </c>
      <c r="I12280" s="553">
        <v>326.10000000000002</v>
      </c>
      <c r="J12280" s="647">
        <v>549.86</v>
      </c>
    </row>
    <row r="12281" spans="2:10">
      <c r="B12281" s="1230" t="s">
        <v>465</v>
      </c>
      <c r="C12281" s="132" t="s">
        <v>2820</v>
      </c>
      <c r="D12281" s="255">
        <v>31123</v>
      </c>
      <c r="E12281" s="553">
        <v>134.68</v>
      </c>
      <c r="F12281" s="553">
        <v>907.98</v>
      </c>
      <c r="G12281" s="553">
        <v>552.44000000000005</v>
      </c>
      <c r="H12281" s="553">
        <v>95.1</v>
      </c>
      <c r="I12281" s="553">
        <v>311.24</v>
      </c>
      <c r="J12281" s="647">
        <v>537.21</v>
      </c>
    </row>
    <row r="12282" spans="2:10">
      <c r="B12282" s="1230" t="s">
        <v>465</v>
      </c>
      <c r="C12282" s="132" t="s">
        <v>2821</v>
      </c>
      <c r="D12282" s="255">
        <v>31125</v>
      </c>
      <c r="E12282" s="553">
        <v>109.25</v>
      </c>
      <c r="F12282" s="553">
        <v>1202.77</v>
      </c>
      <c r="G12282" s="553">
        <v>624.33000000000004</v>
      </c>
      <c r="H12282" s="553">
        <v>119.69</v>
      </c>
      <c r="I12282" s="553">
        <v>315.38</v>
      </c>
      <c r="J12282" s="647">
        <v>532.6</v>
      </c>
    </row>
    <row r="12283" spans="2:10">
      <c r="B12283" s="1230" t="s">
        <v>465</v>
      </c>
      <c r="C12283" s="132" t="s">
        <v>2370</v>
      </c>
      <c r="D12283" s="255">
        <v>31127</v>
      </c>
      <c r="E12283" s="553">
        <v>133.25</v>
      </c>
      <c r="F12283" s="553">
        <v>1543.12</v>
      </c>
      <c r="G12283" s="553">
        <v>715.95</v>
      </c>
      <c r="H12283" s="553">
        <v>152.9</v>
      </c>
      <c r="I12283" s="553">
        <v>479.62</v>
      </c>
      <c r="J12283" s="647">
        <v>628.41999999999996</v>
      </c>
    </row>
    <row r="12284" spans="2:10">
      <c r="B12284" s="1230" t="s">
        <v>465</v>
      </c>
      <c r="C12284" s="132" t="s">
        <v>2822</v>
      </c>
      <c r="D12284" s="255">
        <v>31129</v>
      </c>
      <c r="E12284" s="553">
        <v>106.8</v>
      </c>
      <c r="F12284" s="553">
        <v>1191.68</v>
      </c>
      <c r="G12284" s="553">
        <v>559.71</v>
      </c>
      <c r="H12284" s="553">
        <v>118.47</v>
      </c>
      <c r="I12284" s="553">
        <v>344.09</v>
      </c>
      <c r="J12284" s="647">
        <v>560.99</v>
      </c>
    </row>
    <row r="12285" spans="2:10">
      <c r="B12285" s="1230" t="s">
        <v>465</v>
      </c>
      <c r="C12285" s="132" t="s">
        <v>2823</v>
      </c>
      <c r="D12285" s="255">
        <v>31131</v>
      </c>
      <c r="E12285" s="553">
        <v>148.66</v>
      </c>
      <c r="F12285" s="553">
        <v>1711.06</v>
      </c>
      <c r="G12285" s="553">
        <v>653.29999999999995</v>
      </c>
      <c r="H12285" s="553">
        <v>169.68</v>
      </c>
      <c r="I12285" s="553">
        <v>465.61</v>
      </c>
      <c r="J12285" s="647">
        <v>646.92999999999995</v>
      </c>
    </row>
    <row r="12286" spans="2:10">
      <c r="B12286" s="1230" t="s">
        <v>465</v>
      </c>
      <c r="C12286" s="132" t="s">
        <v>2377</v>
      </c>
      <c r="D12286" s="255">
        <v>31133</v>
      </c>
      <c r="E12286" s="553">
        <v>117.77</v>
      </c>
      <c r="F12286" s="553">
        <v>1317.93</v>
      </c>
      <c r="G12286" s="553">
        <v>604.79</v>
      </c>
      <c r="H12286" s="553">
        <v>130.9</v>
      </c>
      <c r="I12286" s="553">
        <v>279.22000000000003</v>
      </c>
      <c r="J12286" s="647">
        <v>508.08</v>
      </c>
    </row>
    <row r="12287" spans="2:10">
      <c r="B12287" s="1230" t="s">
        <v>465</v>
      </c>
      <c r="C12287" s="132" t="s">
        <v>2824</v>
      </c>
      <c r="D12287" s="255">
        <v>31135</v>
      </c>
      <c r="E12287" s="553">
        <v>138.5</v>
      </c>
      <c r="F12287" s="553">
        <v>924.3</v>
      </c>
      <c r="G12287" s="553">
        <v>558.49</v>
      </c>
      <c r="H12287" s="553">
        <v>96.87</v>
      </c>
      <c r="I12287" s="553">
        <v>272.64999999999998</v>
      </c>
      <c r="J12287" s="647">
        <v>559.05999999999995</v>
      </c>
    </row>
    <row r="12288" spans="2:10">
      <c r="B12288" s="1230" t="s">
        <v>465</v>
      </c>
      <c r="C12288" s="132" t="s">
        <v>2742</v>
      </c>
      <c r="D12288" s="255">
        <v>31137</v>
      </c>
      <c r="E12288" s="553">
        <v>104.7</v>
      </c>
      <c r="F12288" s="553">
        <v>1143.06</v>
      </c>
      <c r="G12288" s="553">
        <v>619.48</v>
      </c>
      <c r="H12288" s="553">
        <v>113.81</v>
      </c>
      <c r="I12288" s="553">
        <v>297.54000000000002</v>
      </c>
      <c r="J12288" s="647">
        <v>618.92999999999995</v>
      </c>
    </row>
    <row r="12289" spans="2:10">
      <c r="B12289" s="1230" t="s">
        <v>465</v>
      </c>
      <c r="C12289" s="132" t="s">
        <v>2129</v>
      </c>
      <c r="D12289" s="255">
        <v>31139</v>
      </c>
      <c r="E12289" s="553">
        <v>107.57</v>
      </c>
      <c r="F12289" s="553">
        <v>1254.73</v>
      </c>
      <c r="G12289" s="553">
        <v>763.58</v>
      </c>
      <c r="H12289" s="553">
        <v>124.21</v>
      </c>
      <c r="I12289" s="553">
        <v>303.76</v>
      </c>
      <c r="J12289" s="647">
        <v>529.24</v>
      </c>
    </row>
    <row r="12290" spans="2:10">
      <c r="B12290" s="1230" t="s">
        <v>465</v>
      </c>
      <c r="C12290" s="132" t="s">
        <v>2743</v>
      </c>
      <c r="D12290" s="255">
        <v>31141</v>
      </c>
      <c r="E12290" s="553">
        <v>120.65</v>
      </c>
      <c r="F12290" s="553">
        <v>1367.21</v>
      </c>
      <c r="G12290" s="553">
        <v>791.95</v>
      </c>
      <c r="H12290" s="553">
        <v>135.71</v>
      </c>
      <c r="I12290" s="553">
        <v>332.51</v>
      </c>
      <c r="J12290" s="647">
        <v>558.9</v>
      </c>
    </row>
    <row r="12291" spans="2:10">
      <c r="B12291" s="1230" t="s">
        <v>465</v>
      </c>
      <c r="C12291" s="132" t="s">
        <v>1867</v>
      </c>
      <c r="D12291" s="255">
        <v>31143</v>
      </c>
      <c r="E12291" s="553">
        <v>111.17</v>
      </c>
      <c r="F12291" s="553">
        <v>1257.31</v>
      </c>
      <c r="G12291" s="553">
        <v>786.53</v>
      </c>
      <c r="H12291" s="553">
        <v>124.79</v>
      </c>
      <c r="I12291" s="553">
        <v>340.08</v>
      </c>
      <c r="J12291" s="647">
        <v>556.34</v>
      </c>
    </row>
    <row r="12292" spans="2:10">
      <c r="B12292" s="1230" t="s">
        <v>465</v>
      </c>
      <c r="C12292" s="132" t="s">
        <v>2825</v>
      </c>
      <c r="D12292" s="255">
        <v>31145</v>
      </c>
      <c r="E12292" s="553">
        <v>128.09</v>
      </c>
      <c r="F12292" s="553">
        <v>1033.05</v>
      </c>
      <c r="G12292" s="553">
        <v>465.44</v>
      </c>
      <c r="H12292" s="553">
        <v>105.84</v>
      </c>
      <c r="I12292" s="553">
        <v>275.54000000000002</v>
      </c>
      <c r="J12292" s="647">
        <v>590.74</v>
      </c>
    </row>
    <row r="12293" spans="2:10">
      <c r="B12293" s="1230" t="s">
        <v>465</v>
      </c>
      <c r="C12293" s="132" t="s">
        <v>2826</v>
      </c>
      <c r="D12293" s="255">
        <v>31147</v>
      </c>
      <c r="E12293" s="553">
        <v>148.87</v>
      </c>
      <c r="F12293" s="553">
        <v>1714.17</v>
      </c>
      <c r="G12293" s="553">
        <v>712.39</v>
      </c>
      <c r="H12293" s="553">
        <v>169.98</v>
      </c>
      <c r="I12293" s="553">
        <v>315.93</v>
      </c>
      <c r="J12293" s="647">
        <v>559.9</v>
      </c>
    </row>
    <row r="12294" spans="2:10">
      <c r="B12294" s="1230" t="s">
        <v>465</v>
      </c>
      <c r="C12294" s="132" t="s">
        <v>2665</v>
      </c>
      <c r="D12294" s="255">
        <v>31149</v>
      </c>
      <c r="E12294" s="553">
        <v>92.37</v>
      </c>
      <c r="F12294" s="553">
        <v>925.44</v>
      </c>
      <c r="G12294" s="553">
        <v>451.32</v>
      </c>
      <c r="H12294" s="553">
        <v>92.84</v>
      </c>
      <c r="I12294" s="553">
        <v>297.25</v>
      </c>
      <c r="J12294" s="647">
        <v>592.49</v>
      </c>
    </row>
    <row r="12295" spans="2:10">
      <c r="B12295" s="1230" t="s">
        <v>465</v>
      </c>
      <c r="C12295" s="132" t="s">
        <v>1872</v>
      </c>
      <c r="D12295" s="255">
        <v>31151</v>
      </c>
      <c r="E12295" s="553">
        <v>130.63999999999999</v>
      </c>
      <c r="F12295" s="553">
        <v>1528.48</v>
      </c>
      <c r="G12295" s="553">
        <v>683.08</v>
      </c>
      <c r="H12295" s="553">
        <v>151.28</v>
      </c>
      <c r="I12295" s="553">
        <v>390.22</v>
      </c>
      <c r="J12295" s="647">
        <v>598.61</v>
      </c>
    </row>
    <row r="12296" spans="2:10">
      <c r="B12296" s="1230" t="s">
        <v>465</v>
      </c>
      <c r="C12296" s="132" t="s">
        <v>2827</v>
      </c>
      <c r="D12296" s="255">
        <v>31153</v>
      </c>
      <c r="E12296" s="553">
        <v>913.5</v>
      </c>
      <c r="F12296" s="553">
        <v>9961.51</v>
      </c>
      <c r="G12296" s="553">
        <v>1848.42</v>
      </c>
      <c r="H12296" s="553">
        <v>992.78</v>
      </c>
      <c r="I12296" s="553">
        <v>445.56</v>
      </c>
      <c r="J12296" s="647">
        <v>1185.25</v>
      </c>
    </row>
    <row r="12297" spans="2:10">
      <c r="B12297" s="1230" t="s">
        <v>465</v>
      </c>
      <c r="C12297" s="132" t="s">
        <v>2828</v>
      </c>
      <c r="D12297" s="255">
        <v>31155</v>
      </c>
      <c r="E12297" s="553">
        <v>311.36</v>
      </c>
      <c r="F12297" s="553">
        <v>3600.34</v>
      </c>
      <c r="G12297" s="553">
        <v>1217.1300000000001</v>
      </c>
      <c r="H12297" s="553">
        <v>356.96</v>
      </c>
      <c r="I12297" s="553">
        <v>401.71</v>
      </c>
      <c r="J12297" s="647">
        <v>806.13</v>
      </c>
    </row>
    <row r="12298" spans="2:10">
      <c r="B12298" s="1230" t="s">
        <v>465</v>
      </c>
      <c r="C12298" s="132" t="s">
        <v>2829</v>
      </c>
      <c r="D12298" s="255">
        <v>31157</v>
      </c>
      <c r="E12298" s="553">
        <v>133.03</v>
      </c>
      <c r="F12298" s="553">
        <v>1054.2</v>
      </c>
      <c r="G12298" s="553">
        <v>1625.4</v>
      </c>
      <c r="H12298" s="553">
        <v>108.18</v>
      </c>
      <c r="I12298" s="553">
        <v>273.74</v>
      </c>
      <c r="J12298" s="647">
        <v>1335.12</v>
      </c>
    </row>
    <row r="12299" spans="2:10">
      <c r="B12299" s="1230" t="s">
        <v>465</v>
      </c>
      <c r="C12299" s="132" t="s">
        <v>2386</v>
      </c>
      <c r="D12299" s="255">
        <v>31159</v>
      </c>
      <c r="E12299" s="553">
        <v>128.03</v>
      </c>
      <c r="F12299" s="553">
        <v>1493.48</v>
      </c>
      <c r="G12299" s="553">
        <v>796.1</v>
      </c>
      <c r="H12299" s="553">
        <v>147.96</v>
      </c>
      <c r="I12299" s="553">
        <v>380.04</v>
      </c>
      <c r="J12299" s="647">
        <v>591.64</v>
      </c>
    </row>
    <row r="12300" spans="2:10">
      <c r="B12300" s="1230" t="s">
        <v>465</v>
      </c>
      <c r="C12300" s="132" t="s">
        <v>2388</v>
      </c>
      <c r="D12300" s="255">
        <v>31161</v>
      </c>
      <c r="E12300" s="553">
        <v>90.1</v>
      </c>
      <c r="F12300" s="553">
        <v>768.37</v>
      </c>
      <c r="G12300" s="553">
        <v>426.71</v>
      </c>
      <c r="H12300" s="553">
        <v>78.209999999999994</v>
      </c>
      <c r="I12300" s="553">
        <v>275.89999999999998</v>
      </c>
      <c r="J12300" s="647">
        <v>1287.7</v>
      </c>
    </row>
    <row r="12301" spans="2:10">
      <c r="B12301" s="1230" t="s">
        <v>465</v>
      </c>
      <c r="C12301" s="132" t="s">
        <v>2389</v>
      </c>
      <c r="D12301" s="255">
        <v>31163</v>
      </c>
      <c r="E12301" s="553">
        <v>108.73</v>
      </c>
      <c r="F12301" s="553">
        <v>1212.7</v>
      </c>
      <c r="G12301" s="553">
        <v>533.79999999999995</v>
      </c>
      <c r="H12301" s="553">
        <v>120.52</v>
      </c>
      <c r="I12301" s="553">
        <v>309.85000000000002</v>
      </c>
      <c r="J12301" s="647">
        <v>643.33000000000004</v>
      </c>
    </row>
    <row r="12302" spans="2:10">
      <c r="B12302" s="1230" t="s">
        <v>465</v>
      </c>
      <c r="C12302" s="132" t="s">
        <v>2328</v>
      </c>
      <c r="D12302" s="255">
        <v>31165</v>
      </c>
      <c r="E12302" s="553">
        <v>110.15</v>
      </c>
      <c r="F12302" s="553">
        <v>879.99</v>
      </c>
      <c r="G12302" s="553">
        <v>473.11</v>
      </c>
      <c r="H12302" s="553">
        <v>90.3</v>
      </c>
      <c r="I12302" s="553">
        <v>317.77999999999997</v>
      </c>
      <c r="J12302" s="647">
        <v>1284.99</v>
      </c>
    </row>
    <row r="12303" spans="2:10">
      <c r="B12303" s="1230" t="s">
        <v>465</v>
      </c>
      <c r="C12303" s="132" t="s">
        <v>2392</v>
      </c>
      <c r="D12303" s="255">
        <v>31167</v>
      </c>
      <c r="E12303" s="553">
        <v>114.02</v>
      </c>
      <c r="F12303" s="553">
        <v>1287.55</v>
      </c>
      <c r="G12303" s="553">
        <v>718.78</v>
      </c>
      <c r="H12303" s="553">
        <v>127.78</v>
      </c>
      <c r="I12303" s="553">
        <v>337.48</v>
      </c>
      <c r="J12303" s="647">
        <v>549.65</v>
      </c>
    </row>
    <row r="12304" spans="2:10">
      <c r="B12304" s="1230" t="s">
        <v>465</v>
      </c>
      <c r="C12304" s="132" t="s">
        <v>2830</v>
      </c>
      <c r="D12304" s="255">
        <v>31169</v>
      </c>
      <c r="E12304" s="553">
        <v>115.37</v>
      </c>
      <c r="F12304" s="553">
        <v>1323.55</v>
      </c>
      <c r="G12304" s="553">
        <v>681.5</v>
      </c>
      <c r="H12304" s="553">
        <v>131.19999999999999</v>
      </c>
      <c r="I12304" s="553">
        <v>369.39</v>
      </c>
      <c r="J12304" s="647">
        <v>584.19000000000005</v>
      </c>
    </row>
    <row r="12305" spans="2:10">
      <c r="B12305" s="1230" t="s">
        <v>465</v>
      </c>
      <c r="C12305" s="132" t="s">
        <v>2144</v>
      </c>
      <c r="D12305" s="255">
        <v>31171</v>
      </c>
      <c r="E12305" s="553">
        <v>112.24</v>
      </c>
      <c r="F12305" s="553">
        <v>821.74</v>
      </c>
      <c r="G12305" s="553">
        <v>400.42</v>
      </c>
      <c r="H12305" s="553">
        <v>85.07</v>
      </c>
      <c r="I12305" s="553">
        <v>278.43</v>
      </c>
      <c r="J12305" s="647">
        <v>562.59</v>
      </c>
    </row>
    <row r="12306" spans="2:10">
      <c r="B12306" s="1230" t="s">
        <v>465</v>
      </c>
      <c r="C12306" s="132" t="s">
        <v>2831</v>
      </c>
      <c r="D12306" s="255">
        <v>31173</v>
      </c>
      <c r="E12306" s="553">
        <v>129.46</v>
      </c>
      <c r="F12306" s="553">
        <v>1448.59</v>
      </c>
      <c r="G12306" s="553">
        <v>709.9</v>
      </c>
      <c r="H12306" s="553">
        <v>144</v>
      </c>
      <c r="I12306" s="553">
        <v>363.18</v>
      </c>
      <c r="J12306" s="647">
        <v>574.66</v>
      </c>
    </row>
    <row r="12307" spans="2:10">
      <c r="B12307" s="1230" t="s">
        <v>465</v>
      </c>
      <c r="C12307" s="132" t="s">
        <v>2197</v>
      </c>
      <c r="D12307" s="255">
        <v>31175</v>
      </c>
      <c r="E12307" s="553">
        <v>99.9</v>
      </c>
      <c r="F12307" s="553">
        <v>1084.8699999999999</v>
      </c>
      <c r="G12307" s="553">
        <v>519.04999999999995</v>
      </c>
      <c r="H12307" s="553">
        <v>108.01</v>
      </c>
      <c r="I12307" s="553">
        <v>309.41000000000003</v>
      </c>
      <c r="J12307" s="647">
        <v>624.51</v>
      </c>
    </row>
    <row r="12308" spans="2:10">
      <c r="B12308" s="1230" t="s">
        <v>465</v>
      </c>
      <c r="C12308" s="132" t="s">
        <v>487</v>
      </c>
      <c r="D12308" s="255">
        <v>31177</v>
      </c>
      <c r="E12308" s="553">
        <v>406.02</v>
      </c>
      <c r="F12308" s="553">
        <v>4603.04</v>
      </c>
      <c r="G12308" s="553">
        <v>1361.92</v>
      </c>
      <c r="H12308" s="553">
        <v>457.15</v>
      </c>
      <c r="I12308" s="553">
        <v>417.45</v>
      </c>
      <c r="J12308" s="647">
        <v>822.01</v>
      </c>
    </row>
    <row r="12309" spans="2:10">
      <c r="B12309" s="1230" t="s">
        <v>465</v>
      </c>
      <c r="C12309" s="132" t="s">
        <v>2155</v>
      </c>
      <c r="D12309" s="255">
        <v>31179</v>
      </c>
      <c r="E12309" s="553">
        <v>103</v>
      </c>
      <c r="F12309" s="553">
        <v>1169.04</v>
      </c>
      <c r="G12309" s="553">
        <v>693.57</v>
      </c>
      <c r="H12309" s="553">
        <v>116</v>
      </c>
      <c r="I12309" s="553">
        <v>330.13</v>
      </c>
      <c r="J12309" s="647">
        <v>535.88</v>
      </c>
    </row>
    <row r="12310" spans="2:10">
      <c r="B12310" s="1230" t="s">
        <v>465</v>
      </c>
      <c r="C12310" s="132" t="s">
        <v>2156</v>
      </c>
      <c r="D12310" s="255">
        <v>31181</v>
      </c>
      <c r="E12310" s="553">
        <v>142.27000000000001</v>
      </c>
      <c r="F12310" s="553">
        <v>1612.51</v>
      </c>
      <c r="G12310" s="553">
        <v>595.77</v>
      </c>
      <c r="H12310" s="553">
        <v>159.99</v>
      </c>
      <c r="I12310" s="553">
        <v>325.68</v>
      </c>
      <c r="J12310" s="647">
        <v>689.86</v>
      </c>
    </row>
    <row r="12311" spans="2:10">
      <c r="B12311" s="1230" t="s">
        <v>465</v>
      </c>
      <c r="C12311" s="132" t="s">
        <v>2157</v>
      </c>
      <c r="D12311" s="255">
        <v>31183</v>
      </c>
      <c r="E12311" s="553">
        <v>109.51</v>
      </c>
      <c r="F12311" s="553">
        <v>1115.97</v>
      </c>
      <c r="G12311" s="553">
        <v>527.19000000000005</v>
      </c>
      <c r="H12311" s="553">
        <v>111.67</v>
      </c>
      <c r="I12311" s="553">
        <v>324.14</v>
      </c>
      <c r="J12311" s="647">
        <v>637.23</v>
      </c>
    </row>
    <row r="12312" spans="2:10">
      <c r="B12312" s="1230" t="s">
        <v>465</v>
      </c>
      <c r="C12312" s="132" t="s">
        <v>2530</v>
      </c>
      <c r="D12312" s="255">
        <v>31185</v>
      </c>
      <c r="E12312" s="553">
        <v>106.2</v>
      </c>
      <c r="F12312" s="553">
        <v>1231.7</v>
      </c>
      <c r="G12312" s="553">
        <v>704.21</v>
      </c>
      <c r="H12312" s="553">
        <v>122.04</v>
      </c>
      <c r="I12312" s="553">
        <v>350.83</v>
      </c>
      <c r="J12312" s="647">
        <v>559.41</v>
      </c>
    </row>
    <row r="12313" spans="2:10">
      <c r="B12313" s="1230" t="s">
        <v>466</v>
      </c>
      <c r="C12313" s="132" t="s">
        <v>2832</v>
      </c>
      <c r="D12313" s="255">
        <v>32001</v>
      </c>
      <c r="E12313" s="553">
        <v>110.86</v>
      </c>
      <c r="F12313" s="553">
        <v>948.01</v>
      </c>
      <c r="G12313" s="553">
        <v>303.64</v>
      </c>
      <c r="H12313" s="553">
        <v>96.57</v>
      </c>
      <c r="I12313" s="553">
        <v>682.12</v>
      </c>
      <c r="J12313" s="647">
        <v>896.72</v>
      </c>
    </row>
    <row r="12314" spans="2:10">
      <c r="B12314" s="1230" t="s">
        <v>466</v>
      </c>
      <c r="C12314" s="132" t="s">
        <v>1837</v>
      </c>
      <c r="D12314" s="255">
        <v>32003</v>
      </c>
      <c r="E12314" s="553">
        <v>339.79</v>
      </c>
      <c r="F12314" s="553">
        <v>4174.37</v>
      </c>
      <c r="G12314" s="553">
        <v>178.02</v>
      </c>
      <c r="H12314" s="553">
        <v>411.69</v>
      </c>
      <c r="I12314" s="553">
        <v>7328.71</v>
      </c>
      <c r="J12314" s="647">
        <v>1196.72</v>
      </c>
    </row>
    <row r="12315" spans="2:10">
      <c r="B12315" s="1230" t="s">
        <v>466</v>
      </c>
      <c r="C12315" s="132" t="s">
        <v>1957</v>
      </c>
      <c r="D12315" s="255">
        <v>32005</v>
      </c>
      <c r="E12315" s="553">
        <v>424.26</v>
      </c>
      <c r="F12315" s="553">
        <v>2177.0500000000002</v>
      </c>
      <c r="G12315" s="553">
        <v>167.06</v>
      </c>
      <c r="H12315" s="553">
        <v>237</v>
      </c>
      <c r="I12315" s="553">
        <v>2192.0300000000002</v>
      </c>
      <c r="J12315" s="647">
        <v>1493.42</v>
      </c>
    </row>
    <row r="12316" spans="2:10">
      <c r="B12316" s="1230" t="s">
        <v>466</v>
      </c>
      <c r="C12316" s="132" t="s">
        <v>2833</v>
      </c>
      <c r="D12316" s="255">
        <v>32007</v>
      </c>
      <c r="E12316" s="553">
        <v>86.48</v>
      </c>
      <c r="F12316" s="553">
        <v>824.88</v>
      </c>
      <c r="G12316" s="553">
        <v>334.57</v>
      </c>
      <c r="H12316" s="553">
        <v>83.07</v>
      </c>
      <c r="I12316" s="553">
        <v>415.42</v>
      </c>
      <c r="J12316" s="647">
        <v>881.38</v>
      </c>
    </row>
    <row r="12317" spans="2:10">
      <c r="B12317" s="1230" t="s">
        <v>466</v>
      </c>
      <c r="C12317" s="132" t="s">
        <v>2834</v>
      </c>
      <c r="D12317" s="255">
        <v>32009</v>
      </c>
      <c r="E12317" s="553">
        <v>109.2</v>
      </c>
      <c r="F12317" s="553">
        <v>641.05999999999995</v>
      </c>
      <c r="G12317" s="553">
        <v>146.94999999999999</v>
      </c>
      <c r="H12317" s="553">
        <v>68.36</v>
      </c>
      <c r="I12317" s="553">
        <v>648.21</v>
      </c>
      <c r="J12317" s="647">
        <v>491.2</v>
      </c>
    </row>
    <row r="12318" spans="2:10">
      <c r="B12318" s="1230" t="s">
        <v>466</v>
      </c>
      <c r="C12318" s="132" t="s">
        <v>2835</v>
      </c>
      <c r="D12318" s="255">
        <v>32011</v>
      </c>
      <c r="E12318" s="553">
        <v>80.87</v>
      </c>
      <c r="F12318" s="553">
        <v>645.1</v>
      </c>
      <c r="G12318" s="553">
        <v>177.79</v>
      </c>
      <c r="H12318" s="553">
        <v>66.16</v>
      </c>
      <c r="I12318" s="553">
        <v>409.21</v>
      </c>
      <c r="J12318" s="647">
        <v>615.12</v>
      </c>
    </row>
    <row r="12319" spans="2:10">
      <c r="B12319" s="1230" t="s">
        <v>466</v>
      </c>
      <c r="C12319" s="132" t="s">
        <v>1895</v>
      </c>
      <c r="D12319" s="255">
        <v>32013</v>
      </c>
      <c r="E12319" s="553">
        <v>98.25</v>
      </c>
      <c r="F12319" s="553">
        <v>944.16</v>
      </c>
      <c r="G12319" s="553">
        <v>303.55</v>
      </c>
      <c r="H12319" s="553">
        <v>95.11</v>
      </c>
      <c r="I12319" s="553">
        <v>682.91</v>
      </c>
      <c r="J12319" s="647">
        <v>884.91</v>
      </c>
    </row>
    <row r="12320" spans="2:10">
      <c r="B12320" s="1230" t="s">
        <v>466</v>
      </c>
      <c r="C12320" s="132" t="s">
        <v>2836</v>
      </c>
      <c r="D12320" s="255">
        <v>32015</v>
      </c>
      <c r="E12320" s="553">
        <v>95.58</v>
      </c>
      <c r="F12320" s="553">
        <v>835.6</v>
      </c>
      <c r="G12320" s="553">
        <v>306.69</v>
      </c>
      <c r="H12320" s="553">
        <v>84.93</v>
      </c>
      <c r="I12320" s="553">
        <v>509.5</v>
      </c>
      <c r="J12320" s="647">
        <v>872.67</v>
      </c>
    </row>
    <row r="12321" spans="2:10">
      <c r="B12321" s="1230" t="s">
        <v>466</v>
      </c>
      <c r="C12321" s="132" t="s">
        <v>1858</v>
      </c>
      <c r="D12321" s="255">
        <v>32017</v>
      </c>
      <c r="E12321" s="553">
        <v>70.91</v>
      </c>
      <c r="F12321" s="553">
        <v>647.57000000000005</v>
      </c>
      <c r="G12321" s="553">
        <v>157.08000000000001</v>
      </c>
      <c r="H12321" s="553">
        <v>65.55</v>
      </c>
      <c r="I12321" s="553">
        <v>667.01</v>
      </c>
      <c r="J12321" s="647">
        <v>525.24</v>
      </c>
    </row>
    <row r="12322" spans="2:10">
      <c r="B12322" s="1230" t="s">
        <v>466</v>
      </c>
      <c r="C12322" s="132" t="s">
        <v>2314</v>
      </c>
      <c r="D12322" s="255">
        <v>32019</v>
      </c>
      <c r="E12322" s="553">
        <v>226.94</v>
      </c>
      <c r="F12322" s="553">
        <v>1518.41</v>
      </c>
      <c r="G12322" s="553">
        <v>324.58999999999997</v>
      </c>
      <c r="H12322" s="553">
        <v>159.06</v>
      </c>
      <c r="I12322" s="553">
        <v>1445.01</v>
      </c>
      <c r="J12322" s="647">
        <v>975.55</v>
      </c>
    </row>
    <row r="12323" spans="2:10">
      <c r="B12323" s="1230" t="s">
        <v>466</v>
      </c>
      <c r="C12323" s="132" t="s">
        <v>1974</v>
      </c>
      <c r="D12323" s="255">
        <v>32021</v>
      </c>
      <c r="E12323" s="553">
        <v>154.32</v>
      </c>
      <c r="F12323" s="553">
        <v>1043.32</v>
      </c>
      <c r="G12323" s="553">
        <v>305.41000000000003</v>
      </c>
      <c r="H12323" s="553">
        <v>109.15</v>
      </c>
      <c r="I12323" s="553">
        <v>874.23</v>
      </c>
      <c r="J12323" s="647">
        <v>924.41</v>
      </c>
    </row>
    <row r="12324" spans="2:10">
      <c r="B12324" s="1230" t="s">
        <v>466</v>
      </c>
      <c r="C12324" s="132" t="s">
        <v>2837</v>
      </c>
      <c r="D12324" s="255">
        <v>32023</v>
      </c>
      <c r="E12324" s="553">
        <v>78.27</v>
      </c>
      <c r="F12324" s="553">
        <v>618.29999999999995</v>
      </c>
      <c r="G12324" s="553">
        <v>150.34</v>
      </c>
      <c r="H12324" s="553">
        <v>63.49</v>
      </c>
      <c r="I12324" s="553">
        <v>623.47</v>
      </c>
      <c r="J12324" s="647">
        <v>501.4</v>
      </c>
    </row>
    <row r="12325" spans="2:10">
      <c r="B12325" s="1230" t="s">
        <v>466</v>
      </c>
      <c r="C12325" s="132" t="s">
        <v>2838</v>
      </c>
      <c r="D12325" s="255">
        <v>32027</v>
      </c>
      <c r="E12325" s="553">
        <v>124.15</v>
      </c>
      <c r="F12325" s="553">
        <v>1177.9000000000001</v>
      </c>
      <c r="G12325" s="553">
        <v>302.39999999999998</v>
      </c>
      <c r="H12325" s="553">
        <v>118.8</v>
      </c>
      <c r="I12325" s="553">
        <v>1131.18</v>
      </c>
      <c r="J12325" s="647">
        <v>920.62</v>
      </c>
    </row>
    <row r="12326" spans="2:10">
      <c r="B12326" s="1230" t="s">
        <v>466</v>
      </c>
      <c r="C12326" s="132" t="s">
        <v>2839</v>
      </c>
      <c r="D12326" s="255">
        <v>32029</v>
      </c>
      <c r="E12326" s="553">
        <v>180.17</v>
      </c>
      <c r="F12326" s="553">
        <v>1171.55</v>
      </c>
      <c r="G12326" s="553">
        <v>302.51</v>
      </c>
      <c r="H12326" s="553">
        <v>123.17</v>
      </c>
      <c r="I12326" s="553">
        <v>1086.0999999999999</v>
      </c>
      <c r="J12326" s="647">
        <v>909</v>
      </c>
    </row>
    <row r="12327" spans="2:10">
      <c r="B12327" s="1230" t="s">
        <v>466</v>
      </c>
      <c r="C12327" s="132" t="s">
        <v>2840</v>
      </c>
      <c r="D12327" s="255">
        <v>32031</v>
      </c>
      <c r="E12327" s="553">
        <v>158.83000000000001</v>
      </c>
      <c r="F12327" s="553">
        <v>1218.27</v>
      </c>
      <c r="G12327" s="553">
        <v>309.89</v>
      </c>
      <c r="H12327" s="553">
        <v>125.55</v>
      </c>
      <c r="I12327" s="553">
        <v>1224.54</v>
      </c>
      <c r="J12327" s="647">
        <v>928.73</v>
      </c>
    </row>
    <row r="12328" spans="2:10">
      <c r="B12328" s="1230" t="s">
        <v>466</v>
      </c>
      <c r="C12328" s="132" t="s">
        <v>2841</v>
      </c>
      <c r="D12328" s="255">
        <v>32033</v>
      </c>
      <c r="E12328" s="553">
        <v>73.41</v>
      </c>
      <c r="F12328" s="553">
        <v>653.16</v>
      </c>
      <c r="G12328" s="553">
        <v>189.5</v>
      </c>
      <c r="H12328" s="553">
        <v>66.209999999999994</v>
      </c>
      <c r="I12328" s="553">
        <v>390.21</v>
      </c>
      <c r="J12328" s="647">
        <v>617.76</v>
      </c>
    </row>
    <row r="12329" spans="2:10">
      <c r="B12329" s="1230" t="s">
        <v>466</v>
      </c>
      <c r="C12329" s="132" t="s">
        <v>2842</v>
      </c>
      <c r="D12329" s="255">
        <v>32510</v>
      </c>
      <c r="E12329" s="553">
        <v>372.65</v>
      </c>
      <c r="F12329" s="553">
        <v>3467.67</v>
      </c>
      <c r="G12329" s="553">
        <v>478.02</v>
      </c>
      <c r="H12329" s="553">
        <v>350</v>
      </c>
      <c r="I12329" s="553">
        <v>1058.6300000000001</v>
      </c>
      <c r="J12329" s="647">
        <v>1146.1600000000001</v>
      </c>
    </row>
    <row r="12330" spans="2:10">
      <c r="B12330" s="1230" t="s">
        <v>467</v>
      </c>
      <c r="C12330" s="132" t="s">
        <v>2843</v>
      </c>
      <c r="D12330" s="255">
        <v>33001</v>
      </c>
      <c r="E12330" s="553">
        <v>398.98</v>
      </c>
      <c r="F12330" s="553">
        <v>4589.41</v>
      </c>
      <c r="G12330" s="553">
        <v>67.25</v>
      </c>
      <c r="H12330" s="553">
        <v>455</v>
      </c>
      <c r="I12330" s="553">
        <v>1969.65</v>
      </c>
      <c r="J12330" s="647">
        <v>1852.53</v>
      </c>
    </row>
    <row r="12331" spans="2:10">
      <c r="B12331" s="1230" t="s">
        <v>467</v>
      </c>
      <c r="C12331" s="132" t="s">
        <v>1835</v>
      </c>
      <c r="D12331" s="255">
        <v>33003</v>
      </c>
      <c r="E12331" s="553">
        <v>226.68</v>
      </c>
      <c r="F12331" s="553">
        <v>2788</v>
      </c>
      <c r="G12331" s="553">
        <v>58.63</v>
      </c>
      <c r="H12331" s="553">
        <v>274.93</v>
      </c>
      <c r="I12331" s="553">
        <v>1177</v>
      </c>
      <c r="J12331" s="647">
        <v>1431.81</v>
      </c>
    </row>
    <row r="12332" spans="2:10">
      <c r="B12332" s="1230" t="s">
        <v>467</v>
      </c>
      <c r="C12332" s="132" t="s">
        <v>2844</v>
      </c>
      <c r="D12332" s="255">
        <v>33005</v>
      </c>
      <c r="E12332" s="553">
        <v>304.01</v>
      </c>
      <c r="F12332" s="553">
        <v>3491.64</v>
      </c>
      <c r="G12332" s="553">
        <v>69.42</v>
      </c>
      <c r="H12332" s="553">
        <v>346.13</v>
      </c>
      <c r="I12332" s="553">
        <v>4388.13</v>
      </c>
      <c r="J12332" s="647">
        <v>1399.48</v>
      </c>
    </row>
    <row r="12333" spans="2:10">
      <c r="B12333" s="1230" t="s">
        <v>467</v>
      </c>
      <c r="C12333" s="132" t="s">
        <v>2845</v>
      </c>
      <c r="D12333" s="255">
        <v>33007</v>
      </c>
      <c r="E12333" s="553">
        <v>114.14</v>
      </c>
      <c r="F12333" s="553">
        <v>1386.51</v>
      </c>
      <c r="G12333" s="553">
        <v>72.33</v>
      </c>
      <c r="H12333" s="553">
        <v>136.79</v>
      </c>
      <c r="I12333" s="553">
        <v>1021.13</v>
      </c>
      <c r="J12333" s="647">
        <v>883.68</v>
      </c>
    </row>
    <row r="12334" spans="2:10">
      <c r="B12334" s="1230" t="s">
        <v>467</v>
      </c>
      <c r="C12334" s="132" t="s">
        <v>2846</v>
      </c>
      <c r="D12334" s="255">
        <v>33009</v>
      </c>
      <c r="E12334" s="553">
        <v>181.75</v>
      </c>
      <c r="F12334" s="553">
        <v>2180.4299999999998</v>
      </c>
      <c r="G12334" s="553">
        <v>73.95</v>
      </c>
      <c r="H12334" s="553">
        <v>215.48</v>
      </c>
      <c r="I12334" s="553">
        <v>1531.17</v>
      </c>
      <c r="J12334" s="647">
        <v>1217.8399999999999</v>
      </c>
    </row>
    <row r="12335" spans="2:10">
      <c r="B12335" s="1230" t="s">
        <v>467</v>
      </c>
      <c r="C12335" s="132" t="s">
        <v>2028</v>
      </c>
      <c r="D12335" s="255">
        <v>33011</v>
      </c>
      <c r="E12335" s="553">
        <v>763.05</v>
      </c>
      <c r="F12335" s="553">
        <v>8356.94</v>
      </c>
      <c r="G12335" s="553">
        <v>71.59</v>
      </c>
      <c r="H12335" s="553">
        <v>831.98</v>
      </c>
      <c r="I12335" s="553">
        <v>6818.91</v>
      </c>
      <c r="J12335" s="647">
        <v>3305.73</v>
      </c>
    </row>
    <row r="12336" spans="2:10">
      <c r="B12336" s="1230" t="s">
        <v>467</v>
      </c>
      <c r="C12336" s="132" t="s">
        <v>2847</v>
      </c>
      <c r="D12336" s="255">
        <v>33013</v>
      </c>
      <c r="E12336" s="553">
        <v>506.24</v>
      </c>
      <c r="F12336" s="553">
        <v>5622.35</v>
      </c>
      <c r="G12336" s="553">
        <v>63.17</v>
      </c>
      <c r="H12336" s="553">
        <v>559.05999999999995</v>
      </c>
      <c r="I12336" s="553">
        <v>2733.06</v>
      </c>
      <c r="J12336" s="647">
        <v>2486.35</v>
      </c>
    </row>
    <row r="12337" spans="2:10">
      <c r="B12337" s="1230" t="s">
        <v>467</v>
      </c>
      <c r="C12337" s="132" t="s">
        <v>2848</v>
      </c>
      <c r="D12337" s="255">
        <v>33015</v>
      </c>
      <c r="E12337" s="553">
        <v>801.41</v>
      </c>
      <c r="F12337" s="553">
        <v>9229.9599999999991</v>
      </c>
      <c r="G12337" s="553">
        <v>39.26</v>
      </c>
      <c r="H12337" s="553">
        <v>915.05</v>
      </c>
      <c r="I12337" s="553">
        <v>11568.56</v>
      </c>
      <c r="J12337" s="647">
        <v>2978.24</v>
      </c>
    </row>
    <row r="12338" spans="2:10">
      <c r="B12338" s="1230" t="s">
        <v>467</v>
      </c>
      <c r="C12338" s="132" t="s">
        <v>2849</v>
      </c>
      <c r="D12338" s="255">
        <v>33017</v>
      </c>
      <c r="E12338" s="553">
        <v>343.43</v>
      </c>
      <c r="F12338" s="553">
        <v>3895.75</v>
      </c>
      <c r="G12338" s="553">
        <v>69.22</v>
      </c>
      <c r="H12338" s="553">
        <v>386.67</v>
      </c>
      <c r="I12338" s="553">
        <v>2163.5100000000002</v>
      </c>
      <c r="J12338" s="647">
        <v>1520.89</v>
      </c>
    </row>
    <row r="12339" spans="2:10">
      <c r="B12339" s="1230" t="s">
        <v>467</v>
      </c>
      <c r="C12339" s="132" t="s">
        <v>2281</v>
      </c>
      <c r="D12339" s="255">
        <v>33019</v>
      </c>
      <c r="E12339" s="553">
        <v>204.57</v>
      </c>
      <c r="F12339" s="553">
        <v>2359.6999999999998</v>
      </c>
      <c r="G12339" s="553">
        <v>68.099999999999994</v>
      </c>
      <c r="H12339" s="553">
        <v>233.87</v>
      </c>
      <c r="I12339" s="553">
        <v>1931.68</v>
      </c>
      <c r="J12339" s="647">
        <v>1147.7</v>
      </c>
    </row>
    <row r="12340" spans="2:10">
      <c r="B12340" s="1230" t="s">
        <v>468</v>
      </c>
      <c r="C12340" s="132" t="s">
        <v>2850</v>
      </c>
      <c r="D12340" s="255">
        <v>34001</v>
      </c>
      <c r="E12340" s="553">
        <v>896.63</v>
      </c>
      <c r="F12340" s="553">
        <v>10532.68</v>
      </c>
      <c r="G12340" s="553">
        <v>338.57</v>
      </c>
      <c r="H12340" s="553">
        <v>1041.6400000000001</v>
      </c>
      <c r="I12340" s="553">
        <v>14355.29</v>
      </c>
      <c r="J12340" s="647">
        <v>3918.81</v>
      </c>
    </row>
    <row r="12341" spans="2:10">
      <c r="B12341" s="1230" t="s">
        <v>468</v>
      </c>
      <c r="C12341" s="132" t="s">
        <v>2851</v>
      </c>
      <c r="D12341" s="255">
        <v>34003</v>
      </c>
      <c r="E12341" s="553">
        <v>9502.35</v>
      </c>
      <c r="F12341" s="553">
        <v>96770.86</v>
      </c>
      <c r="G12341" s="553">
        <v>4661.97</v>
      </c>
      <c r="H12341" s="553">
        <v>9676.81</v>
      </c>
      <c r="I12341" s="553">
        <v>11814.87</v>
      </c>
      <c r="J12341" s="647">
        <v>22239.4</v>
      </c>
    </row>
    <row r="12342" spans="2:10">
      <c r="B12342" s="1230" t="s">
        <v>468</v>
      </c>
      <c r="C12342" s="132" t="s">
        <v>2852</v>
      </c>
      <c r="D12342" s="255">
        <v>34005</v>
      </c>
      <c r="E12342" s="553">
        <v>2037.23</v>
      </c>
      <c r="F12342" s="553">
        <v>24602.62</v>
      </c>
      <c r="G12342" s="553">
        <v>500.49</v>
      </c>
      <c r="H12342" s="553">
        <v>2427.4499999999998</v>
      </c>
      <c r="I12342" s="553">
        <v>35940.800000000003</v>
      </c>
      <c r="J12342" s="647">
        <v>7321.75</v>
      </c>
    </row>
    <row r="12343" spans="2:10">
      <c r="B12343" s="1230" t="s">
        <v>468</v>
      </c>
      <c r="C12343" s="132" t="s">
        <v>2069</v>
      </c>
      <c r="D12343" s="255">
        <v>34007</v>
      </c>
      <c r="E12343" s="553">
        <v>2395.88</v>
      </c>
      <c r="F12343" s="553">
        <v>27774.15</v>
      </c>
      <c r="G12343" s="553">
        <v>428.32</v>
      </c>
      <c r="H12343" s="553">
        <v>2749.85</v>
      </c>
      <c r="I12343" s="553">
        <v>39566.54</v>
      </c>
      <c r="J12343" s="647">
        <v>6605.55</v>
      </c>
    </row>
    <row r="12344" spans="2:10">
      <c r="B12344" s="1230" t="s">
        <v>468</v>
      </c>
      <c r="C12344" s="132" t="s">
        <v>2853</v>
      </c>
      <c r="D12344" s="255">
        <v>34009</v>
      </c>
      <c r="E12344" s="553">
        <v>513.04999999999995</v>
      </c>
      <c r="F12344" s="553">
        <v>6409.59</v>
      </c>
      <c r="G12344" s="553">
        <v>266.43</v>
      </c>
      <c r="H12344" s="553">
        <v>630.99</v>
      </c>
      <c r="I12344" s="553">
        <v>7916.38</v>
      </c>
      <c r="J12344" s="647">
        <v>2887.36</v>
      </c>
    </row>
    <row r="12345" spans="2:10">
      <c r="B12345" s="1230" t="s">
        <v>468</v>
      </c>
      <c r="C12345" s="132" t="s">
        <v>2207</v>
      </c>
      <c r="D12345" s="255">
        <v>34011</v>
      </c>
      <c r="E12345" s="553">
        <v>681.51</v>
      </c>
      <c r="F12345" s="553">
        <v>8070.85</v>
      </c>
      <c r="G12345" s="553">
        <v>317.5</v>
      </c>
      <c r="H12345" s="553">
        <v>797.77</v>
      </c>
      <c r="I12345" s="553">
        <v>9895.73</v>
      </c>
      <c r="J12345" s="647">
        <v>3426.22</v>
      </c>
    </row>
    <row r="12346" spans="2:10">
      <c r="B12346" s="1230" t="s">
        <v>468</v>
      </c>
      <c r="C12346" s="132" t="s">
        <v>2552</v>
      </c>
      <c r="D12346" s="255">
        <v>34013</v>
      </c>
      <c r="E12346" s="553">
        <v>6546.23</v>
      </c>
      <c r="F12346" s="553">
        <v>69079.820000000007</v>
      </c>
      <c r="G12346" s="553">
        <v>3004.95</v>
      </c>
      <c r="H12346" s="553">
        <v>6889.66</v>
      </c>
      <c r="I12346" s="553">
        <v>9648.74</v>
      </c>
      <c r="J12346" s="647">
        <v>15426.65</v>
      </c>
    </row>
    <row r="12347" spans="2:10">
      <c r="B12347" s="1230" t="s">
        <v>468</v>
      </c>
      <c r="C12347" s="132" t="s">
        <v>2854</v>
      </c>
      <c r="D12347" s="255">
        <v>34015</v>
      </c>
      <c r="E12347" s="553">
        <v>1371.23</v>
      </c>
      <c r="F12347" s="553">
        <v>16016.58</v>
      </c>
      <c r="G12347" s="553">
        <v>351.2</v>
      </c>
      <c r="H12347" s="553">
        <v>1585.01</v>
      </c>
      <c r="I12347" s="553">
        <v>20672.07</v>
      </c>
      <c r="J12347" s="647">
        <v>4720.67</v>
      </c>
    </row>
    <row r="12348" spans="2:10">
      <c r="B12348" s="1230" t="s">
        <v>468</v>
      </c>
      <c r="C12348" s="132" t="s">
        <v>2855</v>
      </c>
      <c r="D12348" s="255">
        <v>34017</v>
      </c>
      <c r="E12348" s="553">
        <v>7368.6</v>
      </c>
      <c r="F12348" s="553">
        <v>69616.13</v>
      </c>
      <c r="G12348" s="553">
        <v>3274.5</v>
      </c>
      <c r="H12348" s="553">
        <v>7010.35</v>
      </c>
      <c r="I12348" s="553">
        <v>11084.93</v>
      </c>
      <c r="J12348" s="647">
        <v>15395.74</v>
      </c>
    </row>
    <row r="12349" spans="2:10">
      <c r="B12349" s="1230" t="s">
        <v>468</v>
      </c>
      <c r="C12349" s="132" t="s">
        <v>2856</v>
      </c>
      <c r="D12349" s="255">
        <v>34019</v>
      </c>
      <c r="E12349" s="553">
        <v>1837.28</v>
      </c>
      <c r="F12349" s="553">
        <v>20617.84</v>
      </c>
      <c r="G12349" s="553">
        <v>801.28</v>
      </c>
      <c r="H12349" s="553">
        <v>2046.82</v>
      </c>
      <c r="I12349" s="553">
        <v>21863.03</v>
      </c>
      <c r="J12349" s="647">
        <v>6554.14</v>
      </c>
    </row>
    <row r="12350" spans="2:10">
      <c r="B12350" s="1230" t="s">
        <v>468</v>
      </c>
      <c r="C12350" s="132" t="s">
        <v>2233</v>
      </c>
      <c r="D12350" s="255">
        <v>34021</v>
      </c>
      <c r="E12350" s="553">
        <v>1648.65</v>
      </c>
      <c r="F12350" s="553">
        <v>18905.22</v>
      </c>
      <c r="G12350" s="553">
        <v>586.65</v>
      </c>
      <c r="H12350" s="553">
        <v>1873.36</v>
      </c>
      <c r="I12350" s="553">
        <v>22290.79</v>
      </c>
      <c r="J12350" s="647">
        <v>5569.71</v>
      </c>
    </row>
    <row r="12351" spans="2:10">
      <c r="B12351" s="1230" t="s">
        <v>468</v>
      </c>
      <c r="C12351" s="132" t="s">
        <v>1997</v>
      </c>
      <c r="D12351" s="255">
        <v>34023</v>
      </c>
      <c r="E12351" s="553">
        <v>3444.83</v>
      </c>
      <c r="F12351" s="553">
        <v>38208.129999999997</v>
      </c>
      <c r="G12351" s="553">
        <v>1749.09</v>
      </c>
      <c r="H12351" s="553">
        <v>3796.01</v>
      </c>
      <c r="I12351" s="553">
        <v>19931.259999999998</v>
      </c>
      <c r="J12351" s="647">
        <v>9871.7999999999993</v>
      </c>
    </row>
    <row r="12352" spans="2:10">
      <c r="B12352" s="1230" t="s">
        <v>468</v>
      </c>
      <c r="C12352" s="132" t="s">
        <v>2857</v>
      </c>
      <c r="D12352" s="255">
        <v>34025</v>
      </c>
      <c r="E12352" s="553">
        <v>2185.88</v>
      </c>
      <c r="F12352" s="553">
        <v>24157.41</v>
      </c>
      <c r="G12352" s="553">
        <v>1091.1300000000001</v>
      </c>
      <c r="H12352" s="553">
        <v>2400.42</v>
      </c>
      <c r="I12352" s="553">
        <v>16041.26</v>
      </c>
      <c r="J12352" s="647">
        <v>7359.04</v>
      </c>
    </row>
    <row r="12353" spans="2:10">
      <c r="B12353" s="1230" t="s">
        <v>468</v>
      </c>
      <c r="C12353" s="132" t="s">
        <v>2368</v>
      </c>
      <c r="D12353" s="255">
        <v>34027</v>
      </c>
      <c r="E12353" s="553">
        <v>3068.4</v>
      </c>
      <c r="F12353" s="553">
        <v>33442.68</v>
      </c>
      <c r="G12353" s="553">
        <v>1541.5</v>
      </c>
      <c r="H12353" s="553">
        <v>3326.73</v>
      </c>
      <c r="I12353" s="553">
        <v>17244.21</v>
      </c>
      <c r="J12353" s="647">
        <v>9947.5</v>
      </c>
    </row>
    <row r="12354" spans="2:10">
      <c r="B12354" s="1230" t="s">
        <v>468</v>
      </c>
      <c r="C12354" s="132" t="s">
        <v>2858</v>
      </c>
      <c r="D12354" s="255">
        <v>34029</v>
      </c>
      <c r="E12354" s="553">
        <v>1064.55</v>
      </c>
      <c r="F12354" s="553">
        <v>13149.64</v>
      </c>
      <c r="G12354" s="553">
        <v>429.3</v>
      </c>
      <c r="H12354" s="553">
        <v>1295.18</v>
      </c>
      <c r="I12354" s="553">
        <v>17454.45</v>
      </c>
      <c r="J12354" s="647">
        <v>4594.2299999999996</v>
      </c>
    </row>
    <row r="12355" spans="2:10">
      <c r="B12355" s="1230" t="s">
        <v>468</v>
      </c>
      <c r="C12355" s="132" t="s">
        <v>2859</v>
      </c>
      <c r="D12355" s="255">
        <v>34031</v>
      </c>
      <c r="E12355" s="553">
        <v>3889.43</v>
      </c>
      <c r="F12355" s="553">
        <v>44594.400000000001</v>
      </c>
      <c r="G12355" s="553">
        <v>1969.53</v>
      </c>
      <c r="H12355" s="553">
        <v>4418.0600000000004</v>
      </c>
      <c r="I12355" s="553">
        <v>10066.719999999999</v>
      </c>
      <c r="J12355" s="647">
        <v>10899.75</v>
      </c>
    </row>
    <row r="12356" spans="2:10">
      <c r="B12356" s="1230" t="s">
        <v>468</v>
      </c>
      <c r="C12356" s="132" t="s">
        <v>2860</v>
      </c>
      <c r="D12356" s="255">
        <v>34033</v>
      </c>
      <c r="E12356" s="553">
        <v>1423.8</v>
      </c>
      <c r="F12356" s="553">
        <v>16699.61</v>
      </c>
      <c r="G12356" s="553">
        <v>435.35</v>
      </c>
      <c r="H12356" s="553">
        <v>1651.94</v>
      </c>
      <c r="I12356" s="553">
        <v>22357.21</v>
      </c>
      <c r="J12356" s="647">
        <v>4920.7</v>
      </c>
    </row>
    <row r="12357" spans="2:10">
      <c r="B12357" s="1230" t="s">
        <v>468</v>
      </c>
      <c r="C12357" s="132" t="s">
        <v>2528</v>
      </c>
      <c r="D12357" s="255">
        <v>34035</v>
      </c>
      <c r="E12357" s="553">
        <v>2649.53</v>
      </c>
      <c r="F12357" s="553">
        <v>28993.7</v>
      </c>
      <c r="G12357" s="553">
        <v>1578.89</v>
      </c>
      <c r="H12357" s="553">
        <v>2883.59</v>
      </c>
      <c r="I12357" s="553">
        <v>9746.93</v>
      </c>
      <c r="J12357" s="647">
        <v>8880.64</v>
      </c>
    </row>
    <row r="12358" spans="2:10">
      <c r="B12358" s="1230" t="s">
        <v>468</v>
      </c>
      <c r="C12358" s="132" t="s">
        <v>2004</v>
      </c>
      <c r="D12358" s="255">
        <v>34037</v>
      </c>
      <c r="E12358" s="553">
        <v>1617.3</v>
      </c>
      <c r="F12358" s="553">
        <v>17996.38</v>
      </c>
      <c r="G12358" s="553">
        <v>848.82</v>
      </c>
      <c r="H12358" s="553">
        <v>1787.55</v>
      </c>
      <c r="I12358" s="553">
        <v>14650.83</v>
      </c>
      <c r="J12358" s="647">
        <v>6098.56</v>
      </c>
    </row>
    <row r="12359" spans="2:10">
      <c r="B12359" s="1230" t="s">
        <v>468</v>
      </c>
      <c r="C12359" s="132" t="s">
        <v>1879</v>
      </c>
      <c r="D12359" s="255">
        <v>34039</v>
      </c>
      <c r="E12359" s="553">
        <v>4788.2299999999996</v>
      </c>
      <c r="F12359" s="553">
        <v>51379.16</v>
      </c>
      <c r="G12359" s="553">
        <v>2226.59</v>
      </c>
      <c r="H12359" s="553">
        <v>5116.84</v>
      </c>
      <c r="I12359" s="553">
        <v>9430.9500000000007</v>
      </c>
      <c r="J12359" s="647">
        <v>12382.43</v>
      </c>
    </row>
    <row r="12360" spans="2:10">
      <c r="B12360" s="1230" t="s">
        <v>468</v>
      </c>
      <c r="C12360" s="132" t="s">
        <v>2154</v>
      </c>
      <c r="D12360" s="255">
        <v>34041</v>
      </c>
      <c r="E12360" s="553">
        <v>1169.0999999999999</v>
      </c>
      <c r="F12360" s="553">
        <v>12991.26</v>
      </c>
      <c r="G12360" s="553">
        <v>725.76</v>
      </c>
      <c r="H12360" s="553">
        <v>1290.46</v>
      </c>
      <c r="I12360" s="553">
        <v>10790.66</v>
      </c>
      <c r="J12360" s="647">
        <v>5060.7299999999996</v>
      </c>
    </row>
    <row r="12361" spans="2:10">
      <c r="B12361" s="1230" t="s">
        <v>469</v>
      </c>
      <c r="C12361" s="132" t="s">
        <v>2861</v>
      </c>
      <c r="D12361" s="255">
        <v>35001</v>
      </c>
      <c r="E12361" s="553">
        <v>404.33</v>
      </c>
      <c r="F12361" s="553">
        <v>4273.2</v>
      </c>
      <c r="G12361" s="553">
        <v>417.2</v>
      </c>
      <c r="H12361" s="553">
        <v>426.85</v>
      </c>
      <c r="I12361" s="553">
        <v>7162.9</v>
      </c>
      <c r="J12361" s="647">
        <v>1290.5899999999999</v>
      </c>
    </row>
    <row r="12362" spans="2:10">
      <c r="B12362" s="1230" t="s">
        <v>469</v>
      </c>
      <c r="C12362" s="132" t="s">
        <v>2862</v>
      </c>
      <c r="D12362" s="255">
        <v>35003</v>
      </c>
      <c r="E12362" s="553">
        <v>89</v>
      </c>
      <c r="F12362" s="553">
        <v>858.47</v>
      </c>
      <c r="G12362" s="553">
        <v>343.48</v>
      </c>
      <c r="H12362" s="553">
        <v>86.41</v>
      </c>
      <c r="I12362" s="553">
        <v>445.47</v>
      </c>
      <c r="J12362" s="647">
        <v>851.14</v>
      </c>
    </row>
    <row r="12363" spans="2:10">
      <c r="B12363" s="1230" t="s">
        <v>469</v>
      </c>
      <c r="C12363" s="132" t="s">
        <v>2863</v>
      </c>
      <c r="D12363" s="255">
        <v>35005</v>
      </c>
      <c r="E12363" s="553">
        <v>118.16</v>
      </c>
      <c r="F12363" s="553">
        <v>1217.45</v>
      </c>
      <c r="G12363" s="553">
        <v>452.93</v>
      </c>
      <c r="H12363" s="553">
        <v>121.85</v>
      </c>
      <c r="I12363" s="553">
        <v>424.77</v>
      </c>
      <c r="J12363" s="647">
        <v>1014.75</v>
      </c>
    </row>
    <row r="12364" spans="2:10">
      <c r="B12364" s="1230" t="s">
        <v>469</v>
      </c>
      <c r="C12364" s="132" t="s">
        <v>2864</v>
      </c>
      <c r="D12364" s="255">
        <v>35006</v>
      </c>
      <c r="E12364" s="553">
        <v>100.2</v>
      </c>
      <c r="F12364" s="553">
        <v>983.22</v>
      </c>
      <c r="G12364" s="553">
        <v>363.46</v>
      </c>
      <c r="H12364" s="553">
        <v>98.82</v>
      </c>
      <c r="I12364" s="553">
        <v>701.74</v>
      </c>
      <c r="J12364" s="647">
        <v>888.64</v>
      </c>
    </row>
    <row r="12365" spans="2:10">
      <c r="B12365" s="1230" t="s">
        <v>469</v>
      </c>
      <c r="C12365" s="132" t="s">
        <v>2799</v>
      </c>
      <c r="D12365" s="255">
        <v>35007</v>
      </c>
      <c r="E12365" s="553">
        <v>120.71</v>
      </c>
      <c r="F12365" s="553">
        <v>1092.3499999999999</v>
      </c>
      <c r="G12365" s="553">
        <v>469.89</v>
      </c>
      <c r="H12365" s="553">
        <v>110.56</v>
      </c>
      <c r="I12365" s="553">
        <v>636.95000000000005</v>
      </c>
      <c r="J12365" s="647">
        <v>1031.69</v>
      </c>
    </row>
    <row r="12366" spans="2:10">
      <c r="B12366" s="1230" t="s">
        <v>469</v>
      </c>
      <c r="C12366" s="132" t="s">
        <v>2865</v>
      </c>
      <c r="D12366" s="255">
        <v>35009</v>
      </c>
      <c r="E12366" s="553">
        <v>95.38</v>
      </c>
      <c r="F12366" s="553">
        <v>896.13</v>
      </c>
      <c r="G12366" s="553">
        <v>339.32</v>
      </c>
      <c r="H12366" s="553">
        <v>90.47</v>
      </c>
      <c r="I12366" s="553">
        <v>321.86</v>
      </c>
      <c r="J12366" s="647">
        <v>551.09</v>
      </c>
    </row>
    <row r="12367" spans="2:10">
      <c r="B12367" s="1230" t="s">
        <v>469</v>
      </c>
      <c r="C12367" s="132" t="s">
        <v>2866</v>
      </c>
      <c r="D12367" s="255">
        <v>35011</v>
      </c>
      <c r="E12367" s="553">
        <v>109.76</v>
      </c>
      <c r="F12367" s="553">
        <v>1000.59</v>
      </c>
      <c r="G12367" s="553">
        <v>454.81</v>
      </c>
      <c r="H12367" s="553">
        <v>101.28</v>
      </c>
      <c r="I12367" s="553">
        <v>339.98</v>
      </c>
      <c r="J12367" s="647">
        <v>983.82</v>
      </c>
    </row>
    <row r="12368" spans="2:10">
      <c r="B12368" s="1230" t="s">
        <v>469</v>
      </c>
      <c r="C12368" s="132" t="s">
        <v>2867</v>
      </c>
      <c r="D12368" s="255">
        <v>35013</v>
      </c>
      <c r="E12368" s="553">
        <v>229.79</v>
      </c>
      <c r="F12368" s="553">
        <v>2663.57</v>
      </c>
      <c r="G12368" s="553">
        <v>643.86</v>
      </c>
      <c r="H12368" s="553">
        <v>264.02</v>
      </c>
      <c r="I12368" s="553">
        <v>430.73</v>
      </c>
      <c r="J12368" s="647">
        <v>1318.95</v>
      </c>
    </row>
    <row r="12369" spans="2:10">
      <c r="B12369" s="1230" t="s">
        <v>469</v>
      </c>
      <c r="C12369" s="132" t="s">
        <v>2868</v>
      </c>
      <c r="D12369" s="255">
        <v>35015</v>
      </c>
      <c r="E12369" s="553">
        <v>96.87</v>
      </c>
      <c r="F12369" s="553">
        <v>949.19</v>
      </c>
      <c r="G12369" s="553">
        <v>311.67</v>
      </c>
      <c r="H12369" s="553">
        <v>95.37</v>
      </c>
      <c r="I12369" s="553">
        <v>331.73</v>
      </c>
      <c r="J12369" s="647">
        <v>584.21</v>
      </c>
    </row>
    <row r="12370" spans="2:10">
      <c r="B12370" s="1230" t="s">
        <v>469</v>
      </c>
      <c r="C12370" s="132" t="s">
        <v>1850</v>
      </c>
      <c r="D12370" s="255">
        <v>35017</v>
      </c>
      <c r="E12370" s="553">
        <v>110.6</v>
      </c>
      <c r="F12370" s="553">
        <v>1103.1199999999999</v>
      </c>
      <c r="G12370" s="553">
        <v>366.7</v>
      </c>
      <c r="H12370" s="553">
        <v>110.63</v>
      </c>
      <c r="I12370" s="553">
        <v>604.52</v>
      </c>
      <c r="J12370" s="647">
        <v>937.2</v>
      </c>
    </row>
    <row r="12371" spans="2:10">
      <c r="B12371" s="1230" t="s">
        <v>469</v>
      </c>
      <c r="C12371" s="132" t="s">
        <v>2869</v>
      </c>
      <c r="D12371" s="255">
        <v>35019</v>
      </c>
      <c r="E12371" s="553">
        <v>116.43</v>
      </c>
      <c r="F12371" s="553">
        <v>1051.68</v>
      </c>
      <c r="G12371" s="553">
        <v>447.74</v>
      </c>
      <c r="H12371" s="553">
        <v>106.52</v>
      </c>
      <c r="I12371" s="553">
        <v>523.48</v>
      </c>
      <c r="J12371" s="647">
        <v>987.1</v>
      </c>
    </row>
    <row r="12372" spans="2:10">
      <c r="B12372" s="1230" t="s">
        <v>469</v>
      </c>
      <c r="C12372" s="132" t="s">
        <v>2870</v>
      </c>
      <c r="D12372" s="255">
        <v>35021</v>
      </c>
      <c r="E12372" s="553">
        <v>74.16</v>
      </c>
      <c r="F12372" s="553">
        <v>657.63</v>
      </c>
      <c r="G12372" s="553">
        <v>289.49</v>
      </c>
      <c r="H12372" s="553">
        <v>66.709999999999994</v>
      </c>
      <c r="I12372" s="553">
        <v>408.47</v>
      </c>
      <c r="J12372" s="647">
        <v>486.94</v>
      </c>
    </row>
    <row r="12373" spans="2:10">
      <c r="B12373" s="1230" t="s">
        <v>469</v>
      </c>
      <c r="C12373" s="132" t="s">
        <v>2871</v>
      </c>
      <c r="D12373" s="255">
        <v>35023</v>
      </c>
      <c r="E12373" s="553">
        <v>113.92</v>
      </c>
      <c r="F12373" s="553">
        <v>1153.54</v>
      </c>
      <c r="G12373" s="553">
        <v>357.33</v>
      </c>
      <c r="H12373" s="553">
        <v>115.62</v>
      </c>
      <c r="I12373" s="553">
        <v>695.04</v>
      </c>
      <c r="J12373" s="647">
        <v>932.89</v>
      </c>
    </row>
    <row r="12374" spans="2:10">
      <c r="B12374" s="1230" t="s">
        <v>469</v>
      </c>
      <c r="C12374" s="132" t="s">
        <v>2872</v>
      </c>
      <c r="D12374" s="255">
        <v>35025</v>
      </c>
      <c r="E12374" s="553">
        <v>103.02</v>
      </c>
      <c r="F12374" s="553">
        <v>951.18</v>
      </c>
      <c r="G12374" s="553">
        <v>328.3</v>
      </c>
      <c r="H12374" s="553">
        <v>96.13</v>
      </c>
      <c r="I12374" s="553">
        <v>327.01</v>
      </c>
      <c r="J12374" s="647">
        <v>596.71</v>
      </c>
    </row>
    <row r="12375" spans="2:10">
      <c r="B12375" s="1230" t="s">
        <v>469</v>
      </c>
      <c r="C12375" s="132" t="s">
        <v>1858</v>
      </c>
      <c r="D12375" s="255">
        <v>35027</v>
      </c>
      <c r="E12375" s="553">
        <v>94.51</v>
      </c>
      <c r="F12375" s="553">
        <v>939.52</v>
      </c>
      <c r="G12375" s="553">
        <v>407.31</v>
      </c>
      <c r="H12375" s="553">
        <v>94.28</v>
      </c>
      <c r="I12375" s="553">
        <v>372.99</v>
      </c>
      <c r="J12375" s="647">
        <v>926.73</v>
      </c>
    </row>
    <row r="12376" spans="2:10">
      <c r="B12376" s="1230" t="s">
        <v>469</v>
      </c>
      <c r="C12376" s="132" t="s">
        <v>2873</v>
      </c>
      <c r="D12376" s="255">
        <v>35028</v>
      </c>
      <c r="E12376" s="553">
        <v>237.21</v>
      </c>
      <c r="F12376" s="553">
        <v>1914.15</v>
      </c>
      <c r="G12376" s="553">
        <v>419.28</v>
      </c>
      <c r="H12376" s="553">
        <v>196.2</v>
      </c>
      <c r="I12376" s="553">
        <v>2597.52</v>
      </c>
      <c r="J12376" s="647">
        <v>1014.53</v>
      </c>
    </row>
    <row r="12377" spans="2:10">
      <c r="B12377" s="1230" t="s">
        <v>469</v>
      </c>
      <c r="C12377" s="132" t="s">
        <v>2874</v>
      </c>
      <c r="D12377" s="255">
        <v>35029</v>
      </c>
      <c r="E12377" s="553">
        <v>120.38</v>
      </c>
      <c r="F12377" s="553">
        <v>1206.94</v>
      </c>
      <c r="G12377" s="553">
        <v>385.13</v>
      </c>
      <c r="H12377" s="553">
        <v>121.05</v>
      </c>
      <c r="I12377" s="553">
        <v>645.37</v>
      </c>
      <c r="J12377" s="647">
        <v>966.26</v>
      </c>
    </row>
    <row r="12378" spans="2:10">
      <c r="B12378" s="1230" t="s">
        <v>469</v>
      </c>
      <c r="C12378" s="132" t="s">
        <v>2875</v>
      </c>
      <c r="D12378" s="255">
        <v>35031</v>
      </c>
      <c r="E12378" s="553">
        <v>116.68</v>
      </c>
      <c r="F12378" s="553">
        <v>1144.8900000000001</v>
      </c>
      <c r="G12378" s="553">
        <v>360.76</v>
      </c>
      <c r="H12378" s="553">
        <v>115.04</v>
      </c>
      <c r="I12378" s="553">
        <v>1021.04</v>
      </c>
      <c r="J12378" s="647">
        <v>914.45</v>
      </c>
    </row>
    <row r="12379" spans="2:10">
      <c r="B12379" s="1230" t="s">
        <v>469</v>
      </c>
      <c r="C12379" s="132" t="s">
        <v>2876</v>
      </c>
      <c r="D12379" s="255">
        <v>35033</v>
      </c>
      <c r="E12379" s="553">
        <v>122.07</v>
      </c>
      <c r="F12379" s="553">
        <v>1094.98</v>
      </c>
      <c r="G12379" s="553">
        <v>456.31</v>
      </c>
      <c r="H12379" s="553">
        <v>110.95</v>
      </c>
      <c r="I12379" s="553">
        <v>685.73</v>
      </c>
      <c r="J12379" s="647">
        <v>1004.59</v>
      </c>
    </row>
    <row r="12380" spans="2:10">
      <c r="B12380" s="1230" t="s">
        <v>469</v>
      </c>
      <c r="C12380" s="132" t="s">
        <v>1978</v>
      </c>
      <c r="D12380" s="255">
        <v>35035</v>
      </c>
      <c r="E12380" s="553">
        <v>157.49</v>
      </c>
      <c r="F12380" s="553">
        <v>1779.13</v>
      </c>
      <c r="G12380" s="553">
        <v>516.16</v>
      </c>
      <c r="H12380" s="553">
        <v>176.61</v>
      </c>
      <c r="I12380" s="553">
        <v>507.89</v>
      </c>
      <c r="J12380" s="647">
        <v>1143.19</v>
      </c>
    </row>
    <row r="12381" spans="2:10">
      <c r="B12381" s="1230" t="s">
        <v>469</v>
      </c>
      <c r="C12381" s="132" t="s">
        <v>2877</v>
      </c>
      <c r="D12381" s="255">
        <v>35037</v>
      </c>
      <c r="E12381" s="553">
        <v>83.4</v>
      </c>
      <c r="F12381" s="553">
        <v>771.43</v>
      </c>
      <c r="G12381" s="553">
        <v>311.52</v>
      </c>
      <c r="H12381" s="553">
        <v>77.95</v>
      </c>
      <c r="I12381" s="553">
        <v>386.45</v>
      </c>
      <c r="J12381" s="647">
        <v>519.66</v>
      </c>
    </row>
    <row r="12382" spans="2:10">
      <c r="B12382" s="1230" t="s">
        <v>469</v>
      </c>
      <c r="C12382" s="132" t="s">
        <v>2878</v>
      </c>
      <c r="D12382" s="255">
        <v>35039</v>
      </c>
      <c r="E12382" s="553">
        <v>135.69999999999999</v>
      </c>
      <c r="F12382" s="553">
        <v>1274.6400000000001</v>
      </c>
      <c r="G12382" s="553">
        <v>416.35</v>
      </c>
      <c r="H12382" s="553">
        <v>128.57</v>
      </c>
      <c r="I12382" s="553">
        <v>1185.42</v>
      </c>
      <c r="J12382" s="647">
        <v>996.1</v>
      </c>
    </row>
    <row r="12383" spans="2:10">
      <c r="B12383" s="1230" t="s">
        <v>469</v>
      </c>
      <c r="C12383" s="132" t="s">
        <v>2781</v>
      </c>
      <c r="D12383" s="255">
        <v>35041</v>
      </c>
      <c r="E12383" s="553">
        <v>90.53</v>
      </c>
      <c r="F12383" s="553">
        <v>859.86</v>
      </c>
      <c r="G12383" s="553">
        <v>335.17</v>
      </c>
      <c r="H12383" s="553">
        <v>86.67</v>
      </c>
      <c r="I12383" s="553">
        <v>310.11</v>
      </c>
      <c r="J12383" s="647">
        <v>554.32000000000005</v>
      </c>
    </row>
    <row r="12384" spans="2:10">
      <c r="B12384" s="1230" t="s">
        <v>469</v>
      </c>
      <c r="C12384" s="132" t="s">
        <v>2879</v>
      </c>
      <c r="D12384" s="255">
        <v>35043</v>
      </c>
      <c r="E12384" s="553">
        <v>253.82</v>
      </c>
      <c r="F12384" s="553">
        <v>2593.7600000000002</v>
      </c>
      <c r="G12384" s="553">
        <v>402.87</v>
      </c>
      <c r="H12384" s="553">
        <v>259.74</v>
      </c>
      <c r="I12384" s="553">
        <v>3694.75</v>
      </c>
      <c r="J12384" s="647">
        <v>1183.33</v>
      </c>
    </row>
    <row r="12385" spans="2:10">
      <c r="B12385" s="1230" t="s">
        <v>469</v>
      </c>
      <c r="C12385" s="132" t="s">
        <v>1988</v>
      </c>
      <c r="D12385" s="255">
        <v>35045</v>
      </c>
      <c r="E12385" s="553">
        <v>113.27</v>
      </c>
      <c r="F12385" s="553">
        <v>1082.8699999999999</v>
      </c>
      <c r="G12385" s="553">
        <v>359.03</v>
      </c>
      <c r="H12385" s="553">
        <v>109.03</v>
      </c>
      <c r="I12385" s="553">
        <v>914.92</v>
      </c>
      <c r="J12385" s="647">
        <v>913.5</v>
      </c>
    </row>
    <row r="12386" spans="2:10">
      <c r="B12386" s="1230" t="s">
        <v>469</v>
      </c>
      <c r="C12386" s="132" t="s">
        <v>1989</v>
      </c>
      <c r="D12386" s="255">
        <v>35047</v>
      </c>
      <c r="E12386" s="553">
        <v>110.66</v>
      </c>
      <c r="F12386" s="553">
        <v>1017.13</v>
      </c>
      <c r="G12386" s="553">
        <v>464.02</v>
      </c>
      <c r="H12386" s="553">
        <v>102.84</v>
      </c>
      <c r="I12386" s="553">
        <v>470.9</v>
      </c>
      <c r="J12386" s="647">
        <v>1002.6</v>
      </c>
    </row>
    <row r="12387" spans="2:10">
      <c r="B12387" s="1230" t="s">
        <v>469</v>
      </c>
      <c r="C12387" s="132" t="s">
        <v>2880</v>
      </c>
      <c r="D12387" s="255">
        <v>35049</v>
      </c>
      <c r="E12387" s="553">
        <v>159.19999999999999</v>
      </c>
      <c r="F12387" s="553">
        <v>1594.24</v>
      </c>
      <c r="G12387" s="553">
        <v>427.53</v>
      </c>
      <c r="H12387" s="553">
        <v>159.88999999999999</v>
      </c>
      <c r="I12387" s="553">
        <v>1761.73</v>
      </c>
      <c r="J12387" s="647">
        <v>1024.05</v>
      </c>
    </row>
    <row r="12388" spans="2:10">
      <c r="B12388" s="1230" t="s">
        <v>469</v>
      </c>
      <c r="C12388" s="132" t="s">
        <v>1927</v>
      </c>
      <c r="D12388" s="255">
        <v>35051</v>
      </c>
      <c r="E12388" s="553">
        <v>122.3</v>
      </c>
      <c r="F12388" s="553">
        <v>1296.7</v>
      </c>
      <c r="G12388" s="553">
        <v>431.94</v>
      </c>
      <c r="H12388" s="553">
        <v>129.41999999999999</v>
      </c>
      <c r="I12388" s="553">
        <v>440.2</v>
      </c>
      <c r="J12388" s="647">
        <v>1014.01</v>
      </c>
    </row>
    <row r="12389" spans="2:10">
      <c r="B12389" s="1230" t="s">
        <v>469</v>
      </c>
      <c r="C12389" s="132" t="s">
        <v>2881</v>
      </c>
      <c r="D12389" s="255">
        <v>35053</v>
      </c>
      <c r="E12389" s="553">
        <v>145.91999999999999</v>
      </c>
      <c r="F12389" s="553">
        <v>1470.85</v>
      </c>
      <c r="G12389" s="553">
        <v>386.06</v>
      </c>
      <c r="H12389" s="553">
        <v>147.49</v>
      </c>
      <c r="I12389" s="553">
        <v>1395.27</v>
      </c>
      <c r="J12389" s="647">
        <v>1008.68</v>
      </c>
    </row>
    <row r="12390" spans="2:10">
      <c r="B12390" s="1230" t="s">
        <v>469</v>
      </c>
      <c r="C12390" s="132" t="s">
        <v>2882</v>
      </c>
      <c r="D12390" s="255">
        <v>35055</v>
      </c>
      <c r="E12390" s="553">
        <v>116.26</v>
      </c>
      <c r="F12390" s="553">
        <v>1094.6400000000001</v>
      </c>
      <c r="G12390" s="553">
        <v>447.17</v>
      </c>
      <c r="H12390" s="553">
        <v>110.4</v>
      </c>
      <c r="I12390" s="553">
        <v>743.2</v>
      </c>
      <c r="J12390" s="647">
        <v>989.53</v>
      </c>
    </row>
    <row r="12391" spans="2:10">
      <c r="B12391" s="1230" t="s">
        <v>469</v>
      </c>
      <c r="C12391" s="132" t="s">
        <v>2883</v>
      </c>
      <c r="D12391" s="255">
        <v>35057</v>
      </c>
      <c r="E12391" s="553">
        <v>221.22</v>
      </c>
      <c r="F12391" s="553">
        <v>2276.3200000000002</v>
      </c>
      <c r="G12391" s="553">
        <v>411.12</v>
      </c>
      <c r="H12391" s="553">
        <v>227.84</v>
      </c>
      <c r="I12391" s="553">
        <v>2977.88</v>
      </c>
      <c r="J12391" s="647">
        <v>1131.4100000000001</v>
      </c>
    </row>
    <row r="12392" spans="2:10">
      <c r="B12392" s="1230" t="s">
        <v>469</v>
      </c>
      <c r="C12392" s="132" t="s">
        <v>1879</v>
      </c>
      <c r="D12392" s="255">
        <v>35059</v>
      </c>
      <c r="E12392" s="553">
        <v>76.69</v>
      </c>
      <c r="F12392" s="553">
        <v>661.69</v>
      </c>
      <c r="G12392" s="553">
        <v>298.16000000000003</v>
      </c>
      <c r="H12392" s="553">
        <v>67.33</v>
      </c>
      <c r="I12392" s="553">
        <v>366.74</v>
      </c>
      <c r="J12392" s="647">
        <v>485.86</v>
      </c>
    </row>
    <row r="12393" spans="2:10">
      <c r="B12393" s="1230" t="s">
        <v>469</v>
      </c>
      <c r="C12393" s="132" t="s">
        <v>2884</v>
      </c>
      <c r="D12393" s="255">
        <v>35061</v>
      </c>
      <c r="E12393" s="553">
        <v>418.97</v>
      </c>
      <c r="F12393" s="553">
        <v>4430.76</v>
      </c>
      <c r="G12393" s="553">
        <v>395.71</v>
      </c>
      <c r="H12393" s="553">
        <v>442.46</v>
      </c>
      <c r="I12393" s="553">
        <v>7487.07</v>
      </c>
      <c r="J12393" s="647">
        <v>1259.19</v>
      </c>
    </row>
    <row r="12394" spans="2:10">
      <c r="B12394" s="1230" t="s">
        <v>470</v>
      </c>
      <c r="C12394" s="132" t="s">
        <v>2885</v>
      </c>
      <c r="D12394" s="255">
        <v>36001</v>
      </c>
      <c r="E12394" s="553">
        <v>487.88</v>
      </c>
      <c r="F12394" s="553">
        <v>6057.8</v>
      </c>
      <c r="G12394" s="553">
        <v>76.430000000000007</v>
      </c>
      <c r="H12394" s="553">
        <v>597.11</v>
      </c>
      <c r="I12394" s="553">
        <v>10846.53</v>
      </c>
      <c r="J12394" s="647">
        <v>1990.46</v>
      </c>
    </row>
    <row r="12395" spans="2:10">
      <c r="B12395" s="1230" t="s">
        <v>470</v>
      </c>
      <c r="C12395" s="132" t="s">
        <v>2531</v>
      </c>
      <c r="D12395" s="255">
        <v>36003</v>
      </c>
      <c r="E12395" s="553">
        <v>252.26</v>
      </c>
      <c r="F12395" s="553">
        <v>3136.79</v>
      </c>
      <c r="G12395" s="553">
        <v>188.51</v>
      </c>
      <c r="H12395" s="553">
        <v>309.14</v>
      </c>
      <c r="I12395" s="553">
        <v>3668.62</v>
      </c>
      <c r="J12395" s="647">
        <v>1996.18</v>
      </c>
    </row>
    <row r="12396" spans="2:10">
      <c r="B12396" s="1230" t="s">
        <v>470</v>
      </c>
      <c r="C12396" s="132" t="s">
        <v>2886</v>
      </c>
      <c r="D12396" s="255">
        <v>36005</v>
      </c>
      <c r="E12396" s="553">
        <v>4479.68</v>
      </c>
      <c r="F12396" s="553">
        <v>45569.29</v>
      </c>
      <c r="G12396" s="553">
        <v>1481.58</v>
      </c>
      <c r="H12396" s="553">
        <v>4559.2299999999996</v>
      </c>
      <c r="I12396" s="553">
        <v>19702.560000000001</v>
      </c>
      <c r="J12396" s="647">
        <v>10344.31</v>
      </c>
    </row>
    <row r="12397" spans="2:10">
      <c r="B12397" s="1230" t="s">
        <v>470</v>
      </c>
      <c r="C12397" s="132" t="s">
        <v>2887</v>
      </c>
      <c r="D12397" s="255">
        <v>36007</v>
      </c>
      <c r="E12397" s="553">
        <v>344.49</v>
      </c>
      <c r="F12397" s="553">
        <v>4328.58</v>
      </c>
      <c r="G12397" s="553">
        <v>146.35</v>
      </c>
      <c r="H12397" s="553">
        <v>426.14</v>
      </c>
      <c r="I12397" s="553">
        <v>6345.74</v>
      </c>
      <c r="J12397" s="647">
        <v>2002.96</v>
      </c>
    </row>
    <row r="12398" spans="2:10">
      <c r="B12398" s="1230" t="s">
        <v>470</v>
      </c>
      <c r="C12398" s="132" t="s">
        <v>2888</v>
      </c>
      <c r="D12398" s="255">
        <v>36009</v>
      </c>
      <c r="E12398" s="553">
        <v>487.69</v>
      </c>
      <c r="F12398" s="553">
        <v>6500.86</v>
      </c>
      <c r="G12398" s="553">
        <v>179.44</v>
      </c>
      <c r="H12398" s="553">
        <v>637.62</v>
      </c>
      <c r="I12398" s="553">
        <v>11746.27</v>
      </c>
      <c r="J12398" s="647">
        <v>2742.49</v>
      </c>
    </row>
    <row r="12399" spans="2:10">
      <c r="B12399" s="1230" t="s">
        <v>470</v>
      </c>
      <c r="C12399" s="132" t="s">
        <v>2889</v>
      </c>
      <c r="D12399" s="255">
        <v>36011</v>
      </c>
      <c r="E12399" s="553">
        <v>415.05</v>
      </c>
      <c r="F12399" s="553">
        <v>5197.42</v>
      </c>
      <c r="G12399" s="553">
        <v>170.69</v>
      </c>
      <c r="H12399" s="553">
        <v>512.04</v>
      </c>
      <c r="I12399" s="553">
        <v>8729.24</v>
      </c>
      <c r="J12399" s="647">
        <v>2022.68</v>
      </c>
    </row>
    <row r="12400" spans="2:10">
      <c r="B12400" s="1230" t="s">
        <v>470</v>
      </c>
      <c r="C12400" s="132" t="s">
        <v>2341</v>
      </c>
      <c r="D12400" s="255">
        <v>36013</v>
      </c>
      <c r="E12400" s="553">
        <v>243.89</v>
      </c>
      <c r="F12400" s="553">
        <v>3192</v>
      </c>
      <c r="G12400" s="553">
        <v>177.75</v>
      </c>
      <c r="H12400" s="553">
        <v>313.39999999999998</v>
      </c>
      <c r="I12400" s="553">
        <v>3369.88</v>
      </c>
      <c r="J12400" s="647">
        <v>2018.34</v>
      </c>
    </row>
    <row r="12401" spans="2:10">
      <c r="B12401" s="1230" t="s">
        <v>470</v>
      </c>
      <c r="C12401" s="132" t="s">
        <v>2890</v>
      </c>
      <c r="D12401" s="255">
        <v>36015</v>
      </c>
      <c r="E12401" s="553">
        <v>300.44</v>
      </c>
      <c r="F12401" s="553">
        <v>3699.24</v>
      </c>
      <c r="G12401" s="553">
        <v>172.7</v>
      </c>
      <c r="H12401" s="553">
        <v>364.84</v>
      </c>
      <c r="I12401" s="553">
        <v>5317.36</v>
      </c>
      <c r="J12401" s="647">
        <v>1943.22</v>
      </c>
    </row>
    <row r="12402" spans="2:10">
      <c r="B12402" s="1230" t="s">
        <v>470</v>
      </c>
      <c r="C12402" s="132" t="s">
        <v>2891</v>
      </c>
      <c r="D12402" s="255">
        <v>36017</v>
      </c>
      <c r="E12402" s="553">
        <v>325.43</v>
      </c>
      <c r="F12402" s="553">
        <v>4091.33</v>
      </c>
      <c r="G12402" s="553">
        <v>127.94</v>
      </c>
      <c r="H12402" s="553">
        <v>402.8</v>
      </c>
      <c r="I12402" s="553">
        <v>6350.8</v>
      </c>
      <c r="J12402" s="647">
        <v>1928.94</v>
      </c>
    </row>
    <row r="12403" spans="2:10">
      <c r="B12403" s="1230" t="s">
        <v>470</v>
      </c>
      <c r="C12403" s="132" t="s">
        <v>2205</v>
      </c>
      <c r="D12403" s="255">
        <v>36019</v>
      </c>
      <c r="E12403" s="553">
        <v>118.06</v>
      </c>
      <c r="F12403" s="553">
        <v>1377.16</v>
      </c>
      <c r="G12403" s="553">
        <v>60.31</v>
      </c>
      <c r="H12403" s="553">
        <v>136.47</v>
      </c>
      <c r="I12403" s="553">
        <v>2975.21</v>
      </c>
      <c r="J12403" s="647">
        <v>783.99</v>
      </c>
    </row>
    <row r="12404" spans="2:10">
      <c r="B12404" s="1230" t="s">
        <v>470</v>
      </c>
      <c r="C12404" s="132" t="s">
        <v>1839</v>
      </c>
      <c r="D12404" s="255">
        <v>36021</v>
      </c>
      <c r="E12404" s="553">
        <v>384.56</v>
      </c>
      <c r="F12404" s="553">
        <v>4788.25</v>
      </c>
      <c r="G12404" s="553">
        <v>98.54</v>
      </c>
      <c r="H12404" s="553">
        <v>471.77</v>
      </c>
      <c r="I12404" s="553">
        <v>7915.26</v>
      </c>
      <c r="J12404" s="647">
        <v>1891.98</v>
      </c>
    </row>
    <row r="12405" spans="2:10">
      <c r="B12405" s="1230" t="s">
        <v>470</v>
      </c>
      <c r="C12405" s="132" t="s">
        <v>2892</v>
      </c>
      <c r="D12405" s="255">
        <v>36023</v>
      </c>
      <c r="E12405" s="553">
        <v>278.39</v>
      </c>
      <c r="F12405" s="553">
        <v>3394.1</v>
      </c>
      <c r="G12405" s="553">
        <v>134.63999999999999</v>
      </c>
      <c r="H12405" s="553">
        <v>335.01</v>
      </c>
      <c r="I12405" s="553">
        <v>5183.82</v>
      </c>
      <c r="J12405" s="647">
        <v>1748.4</v>
      </c>
    </row>
    <row r="12406" spans="2:10">
      <c r="B12406" s="1230" t="s">
        <v>470</v>
      </c>
      <c r="C12406" s="132" t="s">
        <v>443</v>
      </c>
      <c r="D12406" s="255">
        <v>36025</v>
      </c>
      <c r="E12406" s="553">
        <v>362.27</v>
      </c>
      <c r="F12406" s="553">
        <v>4409.76</v>
      </c>
      <c r="G12406" s="553">
        <v>148.63999999999999</v>
      </c>
      <c r="H12406" s="553">
        <v>435.15</v>
      </c>
      <c r="I12406" s="553">
        <v>6320.11</v>
      </c>
      <c r="J12406" s="647">
        <v>2192.86</v>
      </c>
    </row>
    <row r="12407" spans="2:10">
      <c r="B12407" s="1230" t="s">
        <v>470</v>
      </c>
      <c r="C12407" s="132" t="s">
        <v>2893</v>
      </c>
      <c r="D12407" s="255">
        <v>36027</v>
      </c>
      <c r="E12407" s="553">
        <v>648.26</v>
      </c>
      <c r="F12407" s="553">
        <v>7410.75</v>
      </c>
      <c r="G12407" s="553">
        <v>172.24</v>
      </c>
      <c r="H12407" s="553">
        <v>734.84</v>
      </c>
      <c r="I12407" s="553">
        <v>11900.34</v>
      </c>
      <c r="J12407" s="647">
        <v>2671.26</v>
      </c>
    </row>
    <row r="12408" spans="2:10">
      <c r="B12408" s="1230" t="s">
        <v>470</v>
      </c>
      <c r="C12408" s="132" t="s">
        <v>2894</v>
      </c>
      <c r="D12408" s="255">
        <v>36029</v>
      </c>
      <c r="E12408" s="553">
        <v>554.85</v>
      </c>
      <c r="F12408" s="553">
        <v>7370.67</v>
      </c>
      <c r="G12408" s="553">
        <v>187.58</v>
      </c>
      <c r="H12408" s="553">
        <v>723.1</v>
      </c>
      <c r="I12408" s="553">
        <v>15473.1</v>
      </c>
      <c r="J12408" s="647">
        <v>2635.83</v>
      </c>
    </row>
    <row r="12409" spans="2:10">
      <c r="B12409" s="1230" t="s">
        <v>470</v>
      </c>
      <c r="C12409" s="132" t="s">
        <v>2552</v>
      </c>
      <c r="D12409" s="255">
        <v>36031</v>
      </c>
      <c r="E12409" s="553">
        <v>157.33000000000001</v>
      </c>
      <c r="F12409" s="553">
        <v>1843.88</v>
      </c>
      <c r="G12409" s="553">
        <v>52.55</v>
      </c>
      <c r="H12409" s="553">
        <v>182.62</v>
      </c>
      <c r="I12409" s="553">
        <v>2926.05</v>
      </c>
      <c r="J12409" s="647">
        <v>994.45</v>
      </c>
    </row>
    <row r="12410" spans="2:10">
      <c r="B12410" s="1230" t="s">
        <v>470</v>
      </c>
      <c r="C12410" s="132" t="s">
        <v>1748</v>
      </c>
      <c r="D12410" s="255">
        <v>36033</v>
      </c>
      <c r="E12410" s="553">
        <v>115.9</v>
      </c>
      <c r="F12410" s="553">
        <v>1390.34</v>
      </c>
      <c r="G12410" s="553">
        <v>64.38</v>
      </c>
      <c r="H12410" s="553">
        <v>137.43</v>
      </c>
      <c r="I12410" s="553">
        <v>2075.17</v>
      </c>
      <c r="J12410" s="647">
        <v>887.7</v>
      </c>
    </row>
    <row r="12411" spans="2:10">
      <c r="B12411" s="1230" t="s">
        <v>470</v>
      </c>
      <c r="C12411" s="132" t="s">
        <v>1848</v>
      </c>
      <c r="D12411" s="255">
        <v>36035</v>
      </c>
      <c r="E12411" s="553">
        <v>259.66000000000003</v>
      </c>
      <c r="F12411" s="553">
        <v>3245.17</v>
      </c>
      <c r="G12411" s="553">
        <v>97.69</v>
      </c>
      <c r="H12411" s="553">
        <v>319.74</v>
      </c>
      <c r="I12411" s="553">
        <v>5270.27</v>
      </c>
      <c r="J12411" s="647">
        <v>1457.86</v>
      </c>
    </row>
    <row r="12412" spans="2:10">
      <c r="B12412" s="1230" t="s">
        <v>470</v>
      </c>
      <c r="C12412" s="132" t="s">
        <v>2573</v>
      </c>
      <c r="D12412" s="255">
        <v>36037</v>
      </c>
      <c r="E12412" s="553">
        <v>346.94</v>
      </c>
      <c r="F12412" s="553">
        <v>4288.8999999999996</v>
      </c>
      <c r="G12412" s="553">
        <v>304.51</v>
      </c>
      <c r="H12412" s="553">
        <v>422.94</v>
      </c>
      <c r="I12412" s="553">
        <v>5910.78</v>
      </c>
      <c r="J12412" s="647">
        <v>1867.06</v>
      </c>
    </row>
    <row r="12413" spans="2:10">
      <c r="B12413" s="1230" t="s">
        <v>470</v>
      </c>
      <c r="C12413" s="132" t="s">
        <v>1750</v>
      </c>
      <c r="D12413" s="255">
        <v>36039</v>
      </c>
      <c r="E12413" s="553">
        <v>431.51</v>
      </c>
      <c r="F12413" s="553">
        <v>5276.94</v>
      </c>
      <c r="G12413" s="553">
        <v>87.2</v>
      </c>
      <c r="H12413" s="553">
        <v>520.61</v>
      </c>
      <c r="I12413" s="553">
        <v>8895.99</v>
      </c>
      <c r="J12413" s="647">
        <v>2006.77</v>
      </c>
    </row>
    <row r="12414" spans="2:10">
      <c r="B12414" s="1230" t="s">
        <v>470</v>
      </c>
      <c r="C12414" s="132" t="s">
        <v>2023</v>
      </c>
      <c r="D12414" s="255">
        <v>36041</v>
      </c>
      <c r="E12414" s="553">
        <v>162.86000000000001</v>
      </c>
      <c r="F12414" s="553">
        <v>1978.41</v>
      </c>
      <c r="G12414" s="553">
        <v>64.09</v>
      </c>
      <c r="H12414" s="553">
        <v>195.25</v>
      </c>
      <c r="I12414" s="553">
        <v>2887.28</v>
      </c>
      <c r="J12414" s="647">
        <v>1163.8499999999999</v>
      </c>
    </row>
    <row r="12415" spans="2:10">
      <c r="B12415" s="1230" t="s">
        <v>470</v>
      </c>
      <c r="C12415" s="132" t="s">
        <v>2895</v>
      </c>
      <c r="D12415" s="255">
        <v>36043</v>
      </c>
      <c r="E12415" s="553">
        <v>249.52</v>
      </c>
      <c r="F12415" s="553">
        <v>3149.6</v>
      </c>
      <c r="G12415" s="553">
        <v>92.73</v>
      </c>
      <c r="H12415" s="553">
        <v>309.98</v>
      </c>
      <c r="I12415" s="553">
        <v>5664.69</v>
      </c>
      <c r="J12415" s="647">
        <v>1583.66</v>
      </c>
    </row>
    <row r="12416" spans="2:10">
      <c r="B12416" s="1230" t="s">
        <v>470</v>
      </c>
      <c r="C12416" s="132" t="s">
        <v>1755</v>
      </c>
      <c r="D12416" s="255">
        <v>36045</v>
      </c>
      <c r="E12416" s="553">
        <v>153.41</v>
      </c>
      <c r="F12416" s="553">
        <v>1858.73</v>
      </c>
      <c r="G12416" s="553">
        <v>91.74</v>
      </c>
      <c r="H12416" s="553">
        <v>183.49</v>
      </c>
      <c r="I12416" s="553">
        <v>2821.63</v>
      </c>
      <c r="J12416" s="647">
        <v>1208.68</v>
      </c>
    </row>
    <row r="12417" spans="2:10">
      <c r="B12417" s="1230" t="s">
        <v>470</v>
      </c>
      <c r="C12417" s="132" t="s">
        <v>1899</v>
      </c>
      <c r="D12417" s="255">
        <v>36047</v>
      </c>
      <c r="E12417" s="553">
        <v>10795.2</v>
      </c>
      <c r="F12417" s="553">
        <v>106782.26</v>
      </c>
      <c r="G12417" s="553">
        <v>4700.3900000000003</v>
      </c>
      <c r="H12417" s="553">
        <v>10701.06</v>
      </c>
      <c r="I12417" s="553">
        <v>12360.8</v>
      </c>
      <c r="J12417" s="647">
        <v>22863.8</v>
      </c>
    </row>
    <row r="12418" spans="2:10">
      <c r="B12418" s="1230" t="s">
        <v>470</v>
      </c>
      <c r="C12418" s="132" t="s">
        <v>2187</v>
      </c>
      <c r="D12418" s="255">
        <v>36049</v>
      </c>
      <c r="E12418" s="553">
        <v>173.14</v>
      </c>
      <c r="F12418" s="553">
        <v>2113.1799999999998</v>
      </c>
      <c r="G12418" s="553">
        <v>79.08</v>
      </c>
      <c r="H12418" s="553">
        <v>208.56</v>
      </c>
      <c r="I12418" s="553">
        <v>3376.54</v>
      </c>
      <c r="J12418" s="647">
        <v>1279.98</v>
      </c>
    </row>
    <row r="12419" spans="2:10">
      <c r="B12419" s="1230" t="s">
        <v>470</v>
      </c>
      <c r="C12419" s="132" t="s">
        <v>2225</v>
      </c>
      <c r="D12419" s="255">
        <v>36051</v>
      </c>
      <c r="E12419" s="553">
        <v>334.7</v>
      </c>
      <c r="F12419" s="553">
        <v>4067.95</v>
      </c>
      <c r="G12419" s="553">
        <v>480.31</v>
      </c>
      <c r="H12419" s="553">
        <v>401.68</v>
      </c>
      <c r="I12419" s="553">
        <v>4043.79</v>
      </c>
      <c r="J12419" s="647">
        <v>2017.49</v>
      </c>
    </row>
    <row r="12420" spans="2:10">
      <c r="B12420" s="1230" t="s">
        <v>470</v>
      </c>
      <c r="C12420" s="132" t="s">
        <v>1763</v>
      </c>
      <c r="D12420" s="255">
        <v>36053</v>
      </c>
      <c r="E12420" s="553">
        <v>329.42</v>
      </c>
      <c r="F12420" s="553">
        <v>4155.3100000000004</v>
      </c>
      <c r="G12420" s="553">
        <v>128.74</v>
      </c>
      <c r="H12420" s="553">
        <v>409.12</v>
      </c>
      <c r="I12420" s="553">
        <v>7721.76</v>
      </c>
      <c r="J12420" s="647">
        <v>1811.57</v>
      </c>
    </row>
    <row r="12421" spans="2:10">
      <c r="B12421" s="1230" t="s">
        <v>470</v>
      </c>
      <c r="C12421" s="132" t="s">
        <v>1768</v>
      </c>
      <c r="D12421" s="255">
        <v>36055</v>
      </c>
      <c r="E12421" s="553">
        <v>472.97</v>
      </c>
      <c r="F12421" s="553">
        <v>5952.98</v>
      </c>
      <c r="G12421" s="553">
        <v>172.01</v>
      </c>
      <c r="H12421" s="553">
        <v>586.27</v>
      </c>
      <c r="I12421" s="553">
        <v>10303.959999999999</v>
      </c>
      <c r="J12421" s="647">
        <v>2129.89</v>
      </c>
    </row>
    <row r="12422" spans="2:10">
      <c r="B12422" s="1230" t="s">
        <v>470</v>
      </c>
      <c r="C12422" s="132" t="s">
        <v>1769</v>
      </c>
      <c r="D12422" s="255">
        <v>36057</v>
      </c>
      <c r="E12422" s="553">
        <v>389.27</v>
      </c>
      <c r="F12422" s="553">
        <v>4957.28</v>
      </c>
      <c r="G12422" s="553">
        <v>95.99</v>
      </c>
      <c r="H12422" s="553">
        <v>487.72</v>
      </c>
      <c r="I12422" s="553">
        <v>8662.09</v>
      </c>
      <c r="J12422" s="647">
        <v>1747.36</v>
      </c>
    </row>
    <row r="12423" spans="2:10">
      <c r="B12423" s="1230" t="s">
        <v>470</v>
      </c>
      <c r="C12423" s="132" t="s">
        <v>2036</v>
      </c>
      <c r="D12423" s="255">
        <v>36059</v>
      </c>
      <c r="E12423" s="553">
        <v>6649.35</v>
      </c>
      <c r="F12423" s="553">
        <v>68777.320000000007</v>
      </c>
      <c r="G12423" s="553">
        <v>2548.39</v>
      </c>
      <c r="H12423" s="553">
        <v>6869.8</v>
      </c>
      <c r="I12423" s="553">
        <v>43371.97</v>
      </c>
      <c r="J12423" s="647">
        <v>15749.19</v>
      </c>
    </row>
    <row r="12424" spans="2:10">
      <c r="B12424" s="1230" t="s">
        <v>470</v>
      </c>
      <c r="C12424" s="132" t="s">
        <v>470</v>
      </c>
      <c r="D12424" s="255">
        <v>36061</v>
      </c>
      <c r="E12424" s="553">
        <v>5657.93</v>
      </c>
      <c r="F12424" s="553">
        <v>53100.66</v>
      </c>
      <c r="G12424" s="553">
        <v>1985.8</v>
      </c>
      <c r="H12424" s="553">
        <v>5350.39</v>
      </c>
      <c r="I12424" s="553">
        <v>14011.52</v>
      </c>
      <c r="J12424" s="647">
        <v>12452.69</v>
      </c>
    </row>
    <row r="12425" spans="2:10">
      <c r="B12425" s="1230" t="s">
        <v>470</v>
      </c>
      <c r="C12425" s="132" t="s">
        <v>2896</v>
      </c>
      <c r="D12425" s="255">
        <v>36063</v>
      </c>
      <c r="E12425" s="553">
        <v>287.33</v>
      </c>
      <c r="F12425" s="553">
        <v>3700.5</v>
      </c>
      <c r="G12425" s="553">
        <v>163.44999999999999</v>
      </c>
      <c r="H12425" s="553">
        <v>363.76</v>
      </c>
      <c r="I12425" s="553">
        <v>7177.86</v>
      </c>
      <c r="J12425" s="647">
        <v>1743.8</v>
      </c>
    </row>
    <row r="12426" spans="2:10">
      <c r="B12426" s="1230" t="s">
        <v>470</v>
      </c>
      <c r="C12426" s="132" t="s">
        <v>2190</v>
      </c>
      <c r="D12426" s="255">
        <v>36065</v>
      </c>
      <c r="E12426" s="553">
        <v>267.14</v>
      </c>
      <c r="F12426" s="553">
        <v>3356.59</v>
      </c>
      <c r="G12426" s="553">
        <v>113.29</v>
      </c>
      <c r="H12426" s="553">
        <v>330.54</v>
      </c>
      <c r="I12426" s="553">
        <v>5999.88</v>
      </c>
      <c r="J12426" s="647">
        <v>1697.01</v>
      </c>
    </row>
    <row r="12427" spans="2:10">
      <c r="B12427" s="1230" t="s">
        <v>470</v>
      </c>
      <c r="C12427" s="132" t="s">
        <v>2897</v>
      </c>
      <c r="D12427" s="255">
        <v>36067</v>
      </c>
      <c r="E12427" s="553">
        <v>419.02</v>
      </c>
      <c r="F12427" s="553">
        <v>5208.6000000000004</v>
      </c>
      <c r="G12427" s="553">
        <v>137.38999999999999</v>
      </c>
      <c r="H12427" s="553">
        <v>513.37</v>
      </c>
      <c r="I12427" s="553">
        <v>8691.7000000000007</v>
      </c>
      <c r="J12427" s="647">
        <v>2138.4699999999998</v>
      </c>
    </row>
    <row r="12428" spans="2:10">
      <c r="B12428" s="1230" t="s">
        <v>470</v>
      </c>
      <c r="C12428" s="132" t="s">
        <v>2898</v>
      </c>
      <c r="D12428" s="255">
        <v>36069</v>
      </c>
      <c r="E12428" s="553">
        <v>315.95</v>
      </c>
      <c r="F12428" s="553">
        <v>3849.14</v>
      </c>
      <c r="G12428" s="553">
        <v>296.04000000000002</v>
      </c>
      <c r="H12428" s="553">
        <v>379.93</v>
      </c>
      <c r="I12428" s="553">
        <v>4274.6499999999996</v>
      </c>
      <c r="J12428" s="647">
        <v>1919.43</v>
      </c>
    </row>
    <row r="12429" spans="2:10">
      <c r="B12429" s="1230" t="s">
        <v>470</v>
      </c>
      <c r="C12429" s="132" t="s">
        <v>1912</v>
      </c>
      <c r="D12429" s="255">
        <v>36071</v>
      </c>
      <c r="E12429" s="553">
        <v>1189.6500000000001</v>
      </c>
      <c r="F12429" s="553">
        <v>13186.32</v>
      </c>
      <c r="G12429" s="553">
        <v>638.47</v>
      </c>
      <c r="H12429" s="553">
        <v>1310.33</v>
      </c>
      <c r="I12429" s="553">
        <v>11679.21</v>
      </c>
      <c r="J12429" s="647">
        <v>4730.0600000000004</v>
      </c>
    </row>
    <row r="12430" spans="2:10">
      <c r="B12430" s="1230" t="s">
        <v>470</v>
      </c>
      <c r="C12430" s="132" t="s">
        <v>2899</v>
      </c>
      <c r="D12430" s="255">
        <v>36073</v>
      </c>
      <c r="E12430" s="553">
        <v>257.54000000000002</v>
      </c>
      <c r="F12430" s="553">
        <v>3190.13</v>
      </c>
      <c r="G12430" s="553">
        <v>204.18</v>
      </c>
      <c r="H12430" s="553">
        <v>314.57</v>
      </c>
      <c r="I12430" s="553">
        <v>4258.3900000000003</v>
      </c>
      <c r="J12430" s="647">
        <v>1610.9</v>
      </c>
    </row>
    <row r="12431" spans="2:10">
      <c r="B12431" s="1230" t="s">
        <v>470</v>
      </c>
      <c r="C12431" s="132" t="s">
        <v>2900</v>
      </c>
      <c r="D12431" s="255">
        <v>36075</v>
      </c>
      <c r="E12431" s="553">
        <v>374.36</v>
      </c>
      <c r="F12431" s="553">
        <v>4624.03</v>
      </c>
      <c r="G12431" s="553">
        <v>138.5</v>
      </c>
      <c r="H12431" s="553">
        <v>456.04</v>
      </c>
      <c r="I12431" s="553">
        <v>6949.72</v>
      </c>
      <c r="J12431" s="647">
        <v>2032.94</v>
      </c>
    </row>
    <row r="12432" spans="2:10">
      <c r="B12432" s="1230" t="s">
        <v>470</v>
      </c>
      <c r="C12432" s="132" t="s">
        <v>2610</v>
      </c>
      <c r="D12432" s="255">
        <v>36077</v>
      </c>
      <c r="E12432" s="553">
        <v>269.86</v>
      </c>
      <c r="F12432" s="553">
        <v>3356.33</v>
      </c>
      <c r="G12432" s="553">
        <v>129.02000000000001</v>
      </c>
      <c r="H12432" s="553">
        <v>330.63</v>
      </c>
      <c r="I12432" s="553">
        <v>5017.4399999999996</v>
      </c>
      <c r="J12432" s="647">
        <v>1736.09</v>
      </c>
    </row>
    <row r="12433" spans="2:10">
      <c r="B12433" s="1230" t="s">
        <v>470</v>
      </c>
      <c r="C12433" s="132" t="s">
        <v>2043</v>
      </c>
      <c r="D12433" s="255">
        <v>36079</v>
      </c>
      <c r="E12433" s="553">
        <v>980.7</v>
      </c>
      <c r="F12433" s="553">
        <v>10873.62</v>
      </c>
      <c r="G12433" s="553">
        <v>337.21</v>
      </c>
      <c r="H12433" s="553">
        <v>1080.95</v>
      </c>
      <c r="I12433" s="553">
        <v>15587.29</v>
      </c>
      <c r="J12433" s="647">
        <v>3464.19</v>
      </c>
    </row>
    <row r="12434" spans="2:10">
      <c r="B12434" s="1230" t="s">
        <v>470</v>
      </c>
      <c r="C12434" s="132" t="s">
        <v>2901</v>
      </c>
      <c r="D12434" s="255">
        <v>36081</v>
      </c>
      <c r="E12434" s="553">
        <v>14136.38</v>
      </c>
      <c r="F12434" s="553">
        <v>136002.62</v>
      </c>
      <c r="G12434" s="553">
        <v>5206.63</v>
      </c>
      <c r="H12434" s="553">
        <v>13666.92</v>
      </c>
      <c r="I12434" s="553">
        <v>18295.03</v>
      </c>
      <c r="J12434" s="647">
        <v>28506.720000000001</v>
      </c>
    </row>
    <row r="12435" spans="2:10">
      <c r="B12435" s="1230" t="s">
        <v>470</v>
      </c>
      <c r="C12435" s="132" t="s">
        <v>2902</v>
      </c>
      <c r="D12435" s="255">
        <v>36083</v>
      </c>
      <c r="E12435" s="553">
        <v>439.25</v>
      </c>
      <c r="F12435" s="553">
        <v>5360.45</v>
      </c>
      <c r="G12435" s="553">
        <v>84.79</v>
      </c>
      <c r="H12435" s="553">
        <v>529.03</v>
      </c>
      <c r="I12435" s="553">
        <v>9360.44</v>
      </c>
      <c r="J12435" s="647">
        <v>1903.93</v>
      </c>
    </row>
    <row r="12436" spans="2:10">
      <c r="B12436" s="1230" t="s">
        <v>470</v>
      </c>
      <c r="C12436" s="132" t="s">
        <v>2132</v>
      </c>
      <c r="D12436" s="255">
        <v>36085</v>
      </c>
      <c r="E12436" s="553">
        <v>3180.98</v>
      </c>
      <c r="F12436" s="553">
        <v>32920.03</v>
      </c>
      <c r="G12436" s="553">
        <v>1157.3800000000001</v>
      </c>
      <c r="H12436" s="553">
        <v>3288.78</v>
      </c>
      <c r="I12436" s="553">
        <v>9691.7999999999993</v>
      </c>
      <c r="J12436" s="647">
        <v>8027.46</v>
      </c>
    </row>
    <row r="12437" spans="2:10">
      <c r="B12437" s="1230" t="s">
        <v>470</v>
      </c>
      <c r="C12437" s="132" t="s">
        <v>2903</v>
      </c>
      <c r="D12437" s="255">
        <v>36087</v>
      </c>
      <c r="E12437" s="553">
        <v>2144.4</v>
      </c>
      <c r="F12437" s="553">
        <v>23590.46</v>
      </c>
      <c r="G12437" s="553">
        <v>1267.51</v>
      </c>
      <c r="H12437" s="553">
        <v>2344.69</v>
      </c>
      <c r="I12437" s="553">
        <v>11489.17</v>
      </c>
      <c r="J12437" s="647">
        <v>7592.05</v>
      </c>
    </row>
    <row r="12438" spans="2:10">
      <c r="B12438" s="1230" t="s">
        <v>470</v>
      </c>
      <c r="C12438" s="132" t="s">
        <v>2904</v>
      </c>
      <c r="D12438" s="255">
        <v>36089</v>
      </c>
      <c r="E12438" s="553">
        <v>155.18</v>
      </c>
      <c r="F12438" s="553">
        <v>1897.68</v>
      </c>
      <c r="G12438" s="553">
        <v>129.80000000000001</v>
      </c>
      <c r="H12438" s="553">
        <v>187.18</v>
      </c>
      <c r="I12438" s="553">
        <v>1914.39</v>
      </c>
      <c r="J12438" s="647">
        <v>1595.7</v>
      </c>
    </row>
    <row r="12439" spans="2:10">
      <c r="B12439" s="1230" t="s">
        <v>470</v>
      </c>
      <c r="C12439" s="132" t="s">
        <v>2905</v>
      </c>
      <c r="D12439" s="255">
        <v>36091</v>
      </c>
      <c r="E12439" s="553">
        <v>337.16</v>
      </c>
      <c r="F12439" s="553">
        <v>4055.09</v>
      </c>
      <c r="G12439" s="553">
        <v>84.21</v>
      </c>
      <c r="H12439" s="553">
        <v>400.74</v>
      </c>
      <c r="I12439" s="553">
        <v>6816.58</v>
      </c>
      <c r="J12439" s="647">
        <v>1656.37</v>
      </c>
    </row>
    <row r="12440" spans="2:10">
      <c r="B12440" s="1230" t="s">
        <v>470</v>
      </c>
      <c r="C12440" s="132" t="s">
        <v>2906</v>
      </c>
      <c r="D12440" s="255">
        <v>36093</v>
      </c>
      <c r="E12440" s="553">
        <v>495.3</v>
      </c>
      <c r="F12440" s="553">
        <v>6203.49</v>
      </c>
      <c r="G12440" s="553">
        <v>82.94</v>
      </c>
      <c r="H12440" s="553">
        <v>611.04999999999995</v>
      </c>
      <c r="I12440" s="553">
        <v>11303.33</v>
      </c>
      <c r="J12440" s="647">
        <v>1847.83</v>
      </c>
    </row>
    <row r="12441" spans="2:10">
      <c r="B12441" s="1230" t="s">
        <v>470</v>
      </c>
      <c r="C12441" s="132" t="s">
        <v>2907</v>
      </c>
      <c r="D12441" s="255">
        <v>36095</v>
      </c>
      <c r="E12441" s="553">
        <v>407.82</v>
      </c>
      <c r="F12441" s="553">
        <v>5056.6899999999996</v>
      </c>
      <c r="G12441" s="553">
        <v>103.92</v>
      </c>
      <c r="H12441" s="553">
        <v>498.45</v>
      </c>
      <c r="I12441" s="553">
        <v>8635.65</v>
      </c>
      <c r="J12441" s="647">
        <v>1917.89</v>
      </c>
    </row>
    <row r="12442" spans="2:10">
      <c r="B12442" s="1230" t="s">
        <v>470</v>
      </c>
      <c r="C12442" s="132" t="s">
        <v>2241</v>
      </c>
      <c r="D12442" s="255">
        <v>36097</v>
      </c>
      <c r="E12442" s="553">
        <v>309.93</v>
      </c>
      <c r="F12442" s="553">
        <v>3826.36</v>
      </c>
      <c r="G12442" s="553">
        <v>156.5</v>
      </c>
      <c r="H12442" s="553">
        <v>377.24</v>
      </c>
      <c r="I12442" s="553">
        <v>5702.82</v>
      </c>
      <c r="J12442" s="647">
        <v>1915.1</v>
      </c>
    </row>
    <row r="12443" spans="2:10">
      <c r="B12443" s="1230" t="s">
        <v>470</v>
      </c>
      <c r="C12443" s="132" t="s">
        <v>2908</v>
      </c>
      <c r="D12443" s="255">
        <v>36099</v>
      </c>
      <c r="E12443" s="553">
        <v>261.73</v>
      </c>
      <c r="F12443" s="553">
        <v>3224.53</v>
      </c>
      <c r="G12443" s="553">
        <v>195.26</v>
      </c>
      <c r="H12443" s="553">
        <v>318.01</v>
      </c>
      <c r="I12443" s="553">
        <v>4695.68</v>
      </c>
      <c r="J12443" s="647">
        <v>1690.91</v>
      </c>
    </row>
    <row r="12444" spans="2:10">
      <c r="B12444" s="1230" t="s">
        <v>470</v>
      </c>
      <c r="C12444" s="132" t="s">
        <v>2280</v>
      </c>
      <c r="D12444" s="255">
        <v>36101</v>
      </c>
      <c r="E12444" s="553">
        <v>328.18</v>
      </c>
      <c r="F12444" s="553">
        <v>4091.63</v>
      </c>
      <c r="G12444" s="553">
        <v>227.94</v>
      </c>
      <c r="H12444" s="553">
        <v>403.1</v>
      </c>
      <c r="I12444" s="553">
        <v>4597.3599999999997</v>
      </c>
      <c r="J12444" s="647">
        <v>2265.58</v>
      </c>
    </row>
    <row r="12445" spans="2:10">
      <c r="B12445" s="1230" t="s">
        <v>470</v>
      </c>
      <c r="C12445" s="132" t="s">
        <v>2557</v>
      </c>
      <c r="D12445" s="255">
        <v>36103</v>
      </c>
      <c r="E12445" s="553">
        <v>765.6</v>
      </c>
      <c r="F12445" s="553">
        <v>8996.5499999999993</v>
      </c>
      <c r="G12445" s="553">
        <v>69.489999999999995</v>
      </c>
      <c r="H12445" s="553">
        <v>890.17</v>
      </c>
      <c r="I12445" s="553">
        <v>16620.21</v>
      </c>
      <c r="J12445" s="647">
        <v>2849.1</v>
      </c>
    </row>
    <row r="12446" spans="2:10">
      <c r="B12446" s="1230" t="s">
        <v>470</v>
      </c>
      <c r="C12446" s="132" t="s">
        <v>2281</v>
      </c>
      <c r="D12446" s="255">
        <v>36105</v>
      </c>
      <c r="E12446" s="553">
        <v>601.58000000000004</v>
      </c>
      <c r="F12446" s="553">
        <v>7045.35</v>
      </c>
      <c r="G12446" s="553">
        <v>185.26</v>
      </c>
      <c r="H12446" s="553">
        <v>697.13</v>
      </c>
      <c r="I12446" s="553">
        <v>10450.67</v>
      </c>
      <c r="J12446" s="647">
        <v>2785.52</v>
      </c>
    </row>
    <row r="12447" spans="2:10">
      <c r="B12447" s="1230" t="s">
        <v>470</v>
      </c>
      <c r="C12447" s="132" t="s">
        <v>2909</v>
      </c>
      <c r="D12447" s="255">
        <v>36107</v>
      </c>
      <c r="E12447" s="553">
        <v>348.85</v>
      </c>
      <c r="F12447" s="553">
        <v>4278.75</v>
      </c>
      <c r="G12447" s="553">
        <v>148.47</v>
      </c>
      <c r="H12447" s="553">
        <v>422.1</v>
      </c>
      <c r="I12447" s="553">
        <v>6463.06</v>
      </c>
      <c r="J12447" s="647">
        <v>2022.47</v>
      </c>
    </row>
    <row r="12448" spans="2:10">
      <c r="B12448" s="1230" t="s">
        <v>470</v>
      </c>
      <c r="C12448" s="132" t="s">
        <v>2910</v>
      </c>
      <c r="D12448" s="255">
        <v>36109</v>
      </c>
      <c r="E12448" s="553">
        <v>307.66000000000003</v>
      </c>
      <c r="F12448" s="553">
        <v>3715.35</v>
      </c>
      <c r="G12448" s="553">
        <v>144.91</v>
      </c>
      <c r="H12448" s="553">
        <v>366.95</v>
      </c>
      <c r="I12448" s="553">
        <v>5714.27</v>
      </c>
      <c r="J12448" s="647">
        <v>1856.61</v>
      </c>
    </row>
    <row r="12449" spans="2:10">
      <c r="B12449" s="1230" t="s">
        <v>470</v>
      </c>
      <c r="C12449" s="132" t="s">
        <v>2911</v>
      </c>
      <c r="D12449" s="255">
        <v>36111</v>
      </c>
      <c r="E12449" s="553">
        <v>518.97</v>
      </c>
      <c r="F12449" s="553">
        <v>6133.98</v>
      </c>
      <c r="G12449" s="553">
        <v>162.71</v>
      </c>
      <c r="H12449" s="553">
        <v>606.66</v>
      </c>
      <c r="I12449" s="553">
        <v>9427.9599999999991</v>
      </c>
      <c r="J12449" s="647">
        <v>2544.96</v>
      </c>
    </row>
    <row r="12450" spans="2:10">
      <c r="B12450" s="1230" t="s">
        <v>470</v>
      </c>
      <c r="C12450" s="132" t="s">
        <v>2154</v>
      </c>
      <c r="D12450" s="255">
        <v>36113</v>
      </c>
      <c r="E12450" s="553">
        <v>198.07</v>
      </c>
      <c r="F12450" s="553">
        <v>2365.2399999999998</v>
      </c>
      <c r="G12450" s="553">
        <v>66.95</v>
      </c>
      <c r="H12450" s="553">
        <v>233.81</v>
      </c>
      <c r="I12450" s="553">
        <v>3560.71</v>
      </c>
      <c r="J12450" s="647">
        <v>1234.6400000000001</v>
      </c>
    </row>
    <row r="12451" spans="2:10">
      <c r="B12451" s="1230" t="s">
        <v>470</v>
      </c>
      <c r="C12451" s="132" t="s">
        <v>487</v>
      </c>
      <c r="D12451" s="255">
        <v>36115</v>
      </c>
      <c r="E12451" s="553">
        <v>233.3</v>
      </c>
      <c r="F12451" s="553">
        <v>2784.77</v>
      </c>
      <c r="G12451" s="553">
        <v>73.790000000000006</v>
      </c>
      <c r="H12451" s="553">
        <v>275.27</v>
      </c>
      <c r="I12451" s="553">
        <v>4233.24</v>
      </c>
      <c r="J12451" s="647">
        <v>1308.06</v>
      </c>
    </row>
    <row r="12452" spans="2:10">
      <c r="B12452" s="1230" t="s">
        <v>470</v>
      </c>
      <c r="C12452" s="132" t="s">
        <v>2155</v>
      </c>
      <c r="D12452" s="255">
        <v>36117</v>
      </c>
      <c r="E12452" s="553">
        <v>220.76</v>
      </c>
      <c r="F12452" s="553">
        <v>2688.9</v>
      </c>
      <c r="G12452" s="553">
        <v>206.36</v>
      </c>
      <c r="H12452" s="553">
        <v>265.37</v>
      </c>
      <c r="I12452" s="553">
        <v>3848.28</v>
      </c>
      <c r="J12452" s="647">
        <v>1521.24</v>
      </c>
    </row>
    <row r="12453" spans="2:10">
      <c r="B12453" s="1230" t="s">
        <v>470</v>
      </c>
      <c r="C12453" s="132" t="s">
        <v>2912</v>
      </c>
      <c r="D12453" s="255">
        <v>36119</v>
      </c>
      <c r="E12453" s="553">
        <v>2711.03</v>
      </c>
      <c r="F12453" s="553">
        <v>28841.33</v>
      </c>
      <c r="G12453" s="553">
        <v>1019.75</v>
      </c>
      <c r="H12453" s="553">
        <v>2875</v>
      </c>
      <c r="I12453" s="553">
        <v>26230.52</v>
      </c>
      <c r="J12453" s="647">
        <v>7719.7</v>
      </c>
    </row>
    <row r="12454" spans="2:10">
      <c r="B12454" s="1230" t="s">
        <v>470</v>
      </c>
      <c r="C12454" s="132" t="s">
        <v>490</v>
      </c>
      <c r="D12454" s="255">
        <v>36121</v>
      </c>
      <c r="E12454" s="553">
        <v>317.19</v>
      </c>
      <c r="F12454" s="553">
        <v>3917.55</v>
      </c>
      <c r="G12454" s="553">
        <v>248.9</v>
      </c>
      <c r="H12454" s="553">
        <v>386.26</v>
      </c>
      <c r="I12454" s="553">
        <v>4385.41</v>
      </c>
      <c r="J12454" s="647">
        <v>2017.14</v>
      </c>
    </row>
    <row r="12455" spans="2:10">
      <c r="B12455" s="1230" t="s">
        <v>470</v>
      </c>
      <c r="C12455" s="132" t="s">
        <v>2913</v>
      </c>
      <c r="D12455" s="255">
        <v>36123</v>
      </c>
      <c r="E12455" s="553">
        <v>308.11</v>
      </c>
      <c r="F12455" s="553">
        <v>3776.38</v>
      </c>
      <c r="G12455" s="553">
        <v>235.18</v>
      </c>
      <c r="H12455" s="553">
        <v>372.58</v>
      </c>
      <c r="I12455" s="553">
        <v>4083.52</v>
      </c>
      <c r="J12455" s="647">
        <v>1898.41</v>
      </c>
    </row>
    <row r="12456" spans="2:10">
      <c r="B12456" s="1230" t="s">
        <v>471</v>
      </c>
      <c r="C12456" s="132" t="s">
        <v>2914</v>
      </c>
      <c r="D12456" s="255">
        <v>37001</v>
      </c>
      <c r="E12456" s="553">
        <v>539.20000000000005</v>
      </c>
      <c r="F12456" s="553">
        <v>6510.82</v>
      </c>
      <c r="G12456" s="553">
        <v>525.76</v>
      </c>
      <c r="H12456" s="553">
        <v>642.22</v>
      </c>
      <c r="I12456" s="553">
        <v>2742.17</v>
      </c>
      <c r="J12456" s="647">
        <v>3203.59</v>
      </c>
    </row>
    <row r="12457" spans="2:10">
      <c r="B12457" s="1230" t="s">
        <v>471</v>
      </c>
      <c r="C12457" s="132" t="s">
        <v>2198</v>
      </c>
      <c r="D12457" s="255">
        <v>37003</v>
      </c>
      <c r="E12457" s="553">
        <v>391.49</v>
      </c>
      <c r="F12457" s="553">
        <v>4839.6000000000004</v>
      </c>
      <c r="G12457" s="553">
        <v>341.77</v>
      </c>
      <c r="H12457" s="553">
        <v>476.68</v>
      </c>
      <c r="I12457" s="553">
        <v>4308.88</v>
      </c>
      <c r="J12457" s="647">
        <v>2723.31</v>
      </c>
    </row>
    <row r="12458" spans="2:10">
      <c r="B12458" s="1230" t="s">
        <v>471</v>
      </c>
      <c r="C12458" s="132" t="s">
        <v>2915</v>
      </c>
      <c r="D12458" s="255">
        <v>37005</v>
      </c>
      <c r="E12458" s="553">
        <v>285.3</v>
      </c>
      <c r="F12458" s="553">
        <v>3642.21</v>
      </c>
      <c r="G12458" s="553">
        <v>270.48</v>
      </c>
      <c r="H12458" s="553">
        <v>357.88</v>
      </c>
      <c r="I12458" s="553">
        <v>3404.63</v>
      </c>
      <c r="J12458" s="647">
        <v>2408.0100000000002</v>
      </c>
    </row>
    <row r="12459" spans="2:10">
      <c r="B12459" s="1230" t="s">
        <v>471</v>
      </c>
      <c r="C12459" s="132" t="s">
        <v>2916</v>
      </c>
      <c r="D12459" s="255">
        <v>37007</v>
      </c>
      <c r="E12459" s="553">
        <v>278.08</v>
      </c>
      <c r="F12459" s="553">
        <v>3650.29</v>
      </c>
      <c r="G12459" s="553">
        <v>385.35</v>
      </c>
      <c r="H12459" s="553">
        <v>357.97</v>
      </c>
      <c r="I12459" s="553">
        <v>1330.84</v>
      </c>
      <c r="J12459" s="647">
        <v>2350.59</v>
      </c>
    </row>
    <row r="12460" spans="2:10">
      <c r="B12460" s="1230" t="s">
        <v>471</v>
      </c>
      <c r="C12460" s="132" t="s">
        <v>2917</v>
      </c>
      <c r="D12460" s="255">
        <v>37009</v>
      </c>
      <c r="E12460" s="553">
        <v>357.11</v>
      </c>
      <c r="F12460" s="553">
        <v>4664.3999999999996</v>
      </c>
      <c r="G12460" s="553">
        <v>277.99</v>
      </c>
      <c r="H12460" s="553">
        <v>457.58</v>
      </c>
      <c r="I12460" s="553">
        <v>5201.88</v>
      </c>
      <c r="J12460" s="647">
        <v>2596.8000000000002</v>
      </c>
    </row>
    <row r="12461" spans="2:10">
      <c r="B12461" s="1230" t="s">
        <v>471</v>
      </c>
      <c r="C12461" s="132" t="s">
        <v>2918</v>
      </c>
      <c r="D12461" s="255">
        <v>37011</v>
      </c>
      <c r="E12461" s="553">
        <v>327.36</v>
      </c>
      <c r="F12461" s="553">
        <v>4316.3900000000003</v>
      </c>
      <c r="G12461" s="553">
        <v>221.78</v>
      </c>
      <c r="H12461" s="553">
        <v>423.09</v>
      </c>
      <c r="I12461" s="553">
        <v>5841.54</v>
      </c>
      <c r="J12461" s="647">
        <v>2448.79</v>
      </c>
    </row>
    <row r="12462" spans="2:10">
      <c r="B12462" s="1230" t="s">
        <v>471</v>
      </c>
      <c r="C12462" s="132" t="s">
        <v>2919</v>
      </c>
      <c r="D12462" s="255">
        <v>37013</v>
      </c>
      <c r="E12462" s="553">
        <v>173.92</v>
      </c>
      <c r="F12462" s="553">
        <v>2345.6999999999998</v>
      </c>
      <c r="G12462" s="553">
        <v>236.7</v>
      </c>
      <c r="H12462" s="553">
        <v>229.63</v>
      </c>
      <c r="I12462" s="553">
        <v>854.14</v>
      </c>
      <c r="J12462" s="647">
        <v>1609.38</v>
      </c>
    </row>
    <row r="12463" spans="2:10">
      <c r="B12463" s="1230" t="s">
        <v>471</v>
      </c>
      <c r="C12463" s="132" t="s">
        <v>2920</v>
      </c>
      <c r="D12463" s="255">
        <v>37015</v>
      </c>
      <c r="E12463" s="553">
        <v>206.67</v>
      </c>
      <c r="F12463" s="553">
        <v>2613.11</v>
      </c>
      <c r="G12463" s="553">
        <v>234.95</v>
      </c>
      <c r="H12463" s="553">
        <v>257.02999999999997</v>
      </c>
      <c r="I12463" s="553">
        <v>1110.95</v>
      </c>
      <c r="J12463" s="647">
        <v>1781.29</v>
      </c>
    </row>
    <row r="12464" spans="2:10">
      <c r="B12464" s="1230" t="s">
        <v>471</v>
      </c>
      <c r="C12464" s="132" t="s">
        <v>2921</v>
      </c>
      <c r="D12464" s="255">
        <v>37017</v>
      </c>
      <c r="E12464" s="553">
        <v>238.73</v>
      </c>
      <c r="F12464" s="553">
        <v>3262.05</v>
      </c>
      <c r="G12464" s="553">
        <v>376.13</v>
      </c>
      <c r="H12464" s="553">
        <v>318.95</v>
      </c>
      <c r="I12464" s="553">
        <v>744.12</v>
      </c>
      <c r="J12464" s="647">
        <v>2102.16</v>
      </c>
    </row>
    <row r="12465" spans="2:10">
      <c r="B12465" s="1230" t="s">
        <v>471</v>
      </c>
      <c r="C12465" s="132" t="s">
        <v>2922</v>
      </c>
      <c r="D12465" s="255">
        <v>37019</v>
      </c>
      <c r="E12465" s="553">
        <v>256.5</v>
      </c>
      <c r="F12465" s="553">
        <v>3518.97</v>
      </c>
      <c r="G12465" s="553">
        <v>352.74</v>
      </c>
      <c r="H12465" s="553">
        <v>344.04</v>
      </c>
      <c r="I12465" s="553">
        <v>867.08</v>
      </c>
      <c r="J12465" s="647">
        <v>2109.29</v>
      </c>
    </row>
    <row r="12466" spans="2:10">
      <c r="B12466" s="1230" t="s">
        <v>471</v>
      </c>
      <c r="C12466" s="132" t="s">
        <v>2923</v>
      </c>
      <c r="D12466" s="255">
        <v>37021</v>
      </c>
      <c r="E12466" s="553">
        <v>491.2</v>
      </c>
      <c r="F12466" s="553">
        <v>7225.94</v>
      </c>
      <c r="G12466" s="553">
        <v>256.7</v>
      </c>
      <c r="H12466" s="553">
        <v>702.91</v>
      </c>
      <c r="I12466" s="553">
        <v>7226.32</v>
      </c>
      <c r="J12466" s="647">
        <v>3313.04</v>
      </c>
    </row>
    <row r="12467" spans="2:10">
      <c r="B12467" s="1230" t="s">
        <v>471</v>
      </c>
      <c r="C12467" s="132" t="s">
        <v>2067</v>
      </c>
      <c r="D12467" s="255">
        <v>37023</v>
      </c>
      <c r="E12467" s="553">
        <v>437.25</v>
      </c>
      <c r="F12467" s="553">
        <v>5984.5</v>
      </c>
      <c r="G12467" s="553">
        <v>267.48</v>
      </c>
      <c r="H12467" s="553">
        <v>585.07000000000005</v>
      </c>
      <c r="I12467" s="553">
        <v>8620.59</v>
      </c>
      <c r="J12467" s="647">
        <v>2922.48</v>
      </c>
    </row>
    <row r="12468" spans="2:10">
      <c r="B12468" s="1230" t="s">
        <v>471</v>
      </c>
      <c r="C12468" s="132" t="s">
        <v>2924</v>
      </c>
      <c r="D12468" s="255">
        <v>37025</v>
      </c>
      <c r="E12468" s="553">
        <v>1451.03</v>
      </c>
      <c r="F12468" s="553">
        <v>15851.26</v>
      </c>
      <c r="G12468" s="553">
        <v>1157.72</v>
      </c>
      <c r="H12468" s="553">
        <v>1575.91</v>
      </c>
      <c r="I12468" s="553">
        <v>2586.17</v>
      </c>
      <c r="J12468" s="647">
        <v>5709.42</v>
      </c>
    </row>
    <row r="12469" spans="2:10">
      <c r="B12469" s="1230" t="s">
        <v>471</v>
      </c>
      <c r="C12469" s="132" t="s">
        <v>2412</v>
      </c>
      <c r="D12469" s="255">
        <v>37027</v>
      </c>
      <c r="E12469" s="553">
        <v>443.75</v>
      </c>
      <c r="F12469" s="553">
        <v>6069.56</v>
      </c>
      <c r="G12469" s="553">
        <v>287.86</v>
      </c>
      <c r="H12469" s="553">
        <v>593.48</v>
      </c>
      <c r="I12469" s="553">
        <v>8443.9699999999993</v>
      </c>
      <c r="J12469" s="647">
        <v>2927.73</v>
      </c>
    </row>
    <row r="12470" spans="2:10">
      <c r="B12470" s="1230" t="s">
        <v>471</v>
      </c>
      <c r="C12470" s="132" t="s">
        <v>2069</v>
      </c>
      <c r="D12470" s="255">
        <v>37029</v>
      </c>
      <c r="E12470" s="553">
        <v>232.52</v>
      </c>
      <c r="F12470" s="553">
        <v>2798.18</v>
      </c>
      <c r="G12470" s="553">
        <v>194.26</v>
      </c>
      <c r="H12470" s="553">
        <v>276.23</v>
      </c>
      <c r="I12470" s="553">
        <v>3163.71</v>
      </c>
      <c r="J12470" s="647">
        <v>1546.43</v>
      </c>
    </row>
    <row r="12471" spans="2:10">
      <c r="B12471" s="1230" t="s">
        <v>471</v>
      </c>
      <c r="C12471" s="132" t="s">
        <v>2925</v>
      </c>
      <c r="D12471" s="255">
        <v>37031</v>
      </c>
      <c r="E12471" s="553">
        <v>125.2</v>
      </c>
      <c r="F12471" s="553">
        <v>1717.37</v>
      </c>
      <c r="G12471" s="553">
        <v>128.65</v>
      </c>
      <c r="H12471" s="553">
        <v>167.92</v>
      </c>
      <c r="I12471" s="553">
        <v>1638.96</v>
      </c>
      <c r="J12471" s="647">
        <v>1195.83</v>
      </c>
    </row>
    <row r="12472" spans="2:10">
      <c r="B12472" s="1230" t="s">
        <v>471</v>
      </c>
      <c r="C12472" s="132" t="s">
        <v>2926</v>
      </c>
      <c r="D12472" s="255">
        <v>37033</v>
      </c>
      <c r="E12472" s="553">
        <v>389.59</v>
      </c>
      <c r="F12472" s="553">
        <v>4788.9799999999996</v>
      </c>
      <c r="G12472" s="553">
        <v>325.41000000000003</v>
      </c>
      <c r="H12472" s="553">
        <v>471.75</v>
      </c>
      <c r="I12472" s="553">
        <v>5051.9399999999996</v>
      </c>
      <c r="J12472" s="647">
        <v>2765.6</v>
      </c>
    </row>
    <row r="12473" spans="2:10">
      <c r="B12473" s="1230" t="s">
        <v>471</v>
      </c>
      <c r="C12473" s="132" t="s">
        <v>2927</v>
      </c>
      <c r="D12473" s="255">
        <v>37035</v>
      </c>
      <c r="E12473" s="553">
        <v>764.72</v>
      </c>
      <c r="F12473" s="553">
        <v>9583.58</v>
      </c>
      <c r="G12473" s="553">
        <v>490.33</v>
      </c>
      <c r="H12473" s="553">
        <v>942.85</v>
      </c>
      <c r="I12473" s="553">
        <v>11603.6</v>
      </c>
      <c r="J12473" s="647">
        <v>3827.22</v>
      </c>
    </row>
    <row r="12474" spans="2:10">
      <c r="B12474" s="1230" t="s">
        <v>471</v>
      </c>
      <c r="C12474" s="132" t="s">
        <v>2073</v>
      </c>
      <c r="D12474" s="255">
        <v>37037</v>
      </c>
      <c r="E12474" s="553">
        <v>580.45000000000005</v>
      </c>
      <c r="F12474" s="553">
        <v>7099.85</v>
      </c>
      <c r="G12474" s="553">
        <v>644.17999999999995</v>
      </c>
      <c r="H12474" s="553">
        <v>699.57</v>
      </c>
      <c r="I12474" s="553">
        <v>2714.41</v>
      </c>
      <c r="J12474" s="647">
        <v>3641.46</v>
      </c>
    </row>
    <row r="12475" spans="2:10">
      <c r="B12475" s="1230" t="s">
        <v>471</v>
      </c>
      <c r="C12475" s="132" t="s">
        <v>1728</v>
      </c>
      <c r="D12475" s="255">
        <v>37039</v>
      </c>
      <c r="E12475" s="553">
        <v>268.39999999999998</v>
      </c>
      <c r="F12475" s="553">
        <v>3603.16</v>
      </c>
      <c r="G12475" s="553">
        <v>299.33</v>
      </c>
      <c r="H12475" s="553">
        <v>352.57</v>
      </c>
      <c r="I12475" s="553">
        <v>4403.26</v>
      </c>
      <c r="J12475" s="647">
        <v>2204.4299999999998</v>
      </c>
    </row>
    <row r="12476" spans="2:10">
      <c r="B12476" s="1230" t="s">
        <v>471</v>
      </c>
      <c r="C12476" s="132" t="s">
        <v>2928</v>
      </c>
      <c r="D12476" s="255">
        <v>37041</v>
      </c>
      <c r="E12476" s="553">
        <v>211.97</v>
      </c>
      <c r="F12476" s="553">
        <v>2647.69</v>
      </c>
      <c r="G12476" s="553">
        <v>208.81</v>
      </c>
      <c r="H12476" s="553">
        <v>260.68</v>
      </c>
      <c r="I12476" s="553">
        <v>1204.8399999999999</v>
      </c>
      <c r="J12476" s="647">
        <v>1650.59</v>
      </c>
    </row>
    <row r="12477" spans="2:10">
      <c r="B12477" s="1230" t="s">
        <v>471</v>
      </c>
      <c r="C12477" s="132" t="s">
        <v>1732</v>
      </c>
      <c r="D12477" s="255">
        <v>37043</v>
      </c>
      <c r="E12477" s="553">
        <v>275.08</v>
      </c>
      <c r="F12477" s="553">
        <v>3668.38</v>
      </c>
      <c r="G12477" s="553">
        <v>310.18</v>
      </c>
      <c r="H12477" s="553">
        <v>359.12</v>
      </c>
      <c r="I12477" s="553">
        <v>4266.46</v>
      </c>
      <c r="J12477" s="647">
        <v>2202.71</v>
      </c>
    </row>
    <row r="12478" spans="2:10">
      <c r="B12478" s="1230" t="s">
        <v>471</v>
      </c>
      <c r="C12478" s="132" t="s">
        <v>1838</v>
      </c>
      <c r="D12478" s="255">
        <v>37045</v>
      </c>
      <c r="E12478" s="553">
        <v>683.93</v>
      </c>
      <c r="F12478" s="553">
        <v>8830.1</v>
      </c>
      <c r="G12478" s="553">
        <v>303.61</v>
      </c>
      <c r="H12478" s="553">
        <v>866.75</v>
      </c>
      <c r="I12478" s="553">
        <v>13836.78</v>
      </c>
      <c r="J12478" s="647">
        <v>3518.05</v>
      </c>
    </row>
    <row r="12479" spans="2:10">
      <c r="B12479" s="1230" t="s">
        <v>471</v>
      </c>
      <c r="C12479" s="132" t="s">
        <v>2929</v>
      </c>
      <c r="D12479" s="255">
        <v>37047</v>
      </c>
      <c r="E12479" s="553">
        <v>292.43</v>
      </c>
      <c r="F12479" s="553">
        <v>4355.04</v>
      </c>
      <c r="G12479" s="553">
        <v>431.43</v>
      </c>
      <c r="H12479" s="553">
        <v>423.36</v>
      </c>
      <c r="I12479" s="553">
        <v>972</v>
      </c>
      <c r="J12479" s="647">
        <v>2432.9699999999998</v>
      </c>
    </row>
    <row r="12480" spans="2:10">
      <c r="B12480" s="1230" t="s">
        <v>471</v>
      </c>
      <c r="C12480" s="132" t="s">
        <v>2930</v>
      </c>
      <c r="D12480" s="255">
        <v>37049</v>
      </c>
      <c r="E12480" s="553">
        <v>163.89</v>
      </c>
      <c r="F12480" s="553">
        <v>2201.7199999999998</v>
      </c>
      <c r="G12480" s="553">
        <v>214.88</v>
      </c>
      <c r="H12480" s="553">
        <v>215.69</v>
      </c>
      <c r="I12480" s="553">
        <v>859.66</v>
      </c>
      <c r="J12480" s="647">
        <v>1495.89</v>
      </c>
    </row>
    <row r="12481" spans="2:10">
      <c r="B12481" s="1230" t="s">
        <v>471</v>
      </c>
      <c r="C12481" s="132" t="s">
        <v>2207</v>
      </c>
      <c r="D12481" s="255">
        <v>37051</v>
      </c>
      <c r="E12481" s="553">
        <v>531.73</v>
      </c>
      <c r="F12481" s="553">
        <v>6440.55</v>
      </c>
      <c r="G12481" s="553">
        <v>641.65</v>
      </c>
      <c r="H12481" s="553">
        <v>635.26</v>
      </c>
      <c r="I12481" s="553">
        <v>899.57</v>
      </c>
      <c r="J12481" s="647">
        <v>3224.47</v>
      </c>
    </row>
    <row r="12482" spans="2:10">
      <c r="B12482" s="1230" t="s">
        <v>471</v>
      </c>
      <c r="C12482" s="132" t="s">
        <v>2931</v>
      </c>
      <c r="D12482" s="255">
        <v>37053</v>
      </c>
      <c r="E12482" s="553">
        <v>171.14</v>
      </c>
      <c r="F12482" s="553">
        <v>1970.62</v>
      </c>
      <c r="G12482" s="553">
        <v>145.83000000000001</v>
      </c>
      <c r="H12482" s="553">
        <v>195.18</v>
      </c>
      <c r="I12482" s="553">
        <v>1831.84</v>
      </c>
      <c r="J12482" s="647">
        <v>1368.69</v>
      </c>
    </row>
    <row r="12483" spans="2:10">
      <c r="B12483" s="1230" t="s">
        <v>471</v>
      </c>
      <c r="C12483" s="132" t="s">
        <v>2932</v>
      </c>
      <c r="D12483" s="255">
        <v>37055</v>
      </c>
      <c r="E12483" s="553">
        <v>114.54</v>
      </c>
      <c r="F12483" s="553">
        <v>1434.3</v>
      </c>
      <c r="G12483" s="553">
        <v>103.81</v>
      </c>
      <c r="H12483" s="553">
        <v>141.16999999999999</v>
      </c>
      <c r="I12483" s="553">
        <v>674.88</v>
      </c>
      <c r="J12483" s="647">
        <v>1158.3599999999999</v>
      </c>
    </row>
    <row r="12484" spans="2:10">
      <c r="B12484" s="1230" t="s">
        <v>471</v>
      </c>
      <c r="C12484" s="132" t="s">
        <v>2933</v>
      </c>
      <c r="D12484" s="255">
        <v>37057</v>
      </c>
      <c r="E12484" s="553">
        <v>665.87</v>
      </c>
      <c r="F12484" s="553">
        <v>8321.11</v>
      </c>
      <c r="G12484" s="553">
        <v>601.03</v>
      </c>
      <c r="H12484" s="553">
        <v>818.69</v>
      </c>
      <c r="I12484" s="553">
        <v>5941.81</v>
      </c>
      <c r="J12484" s="647">
        <v>3918.33</v>
      </c>
    </row>
    <row r="12485" spans="2:10">
      <c r="B12485" s="1230" t="s">
        <v>471</v>
      </c>
      <c r="C12485" s="132" t="s">
        <v>2934</v>
      </c>
      <c r="D12485" s="255">
        <v>37059</v>
      </c>
      <c r="E12485" s="553">
        <v>676.06</v>
      </c>
      <c r="F12485" s="553">
        <v>8588.86</v>
      </c>
      <c r="G12485" s="553">
        <v>388.35</v>
      </c>
      <c r="H12485" s="553">
        <v>844.07</v>
      </c>
      <c r="I12485" s="553">
        <v>11273.63</v>
      </c>
      <c r="J12485" s="647">
        <v>3474.38</v>
      </c>
    </row>
    <row r="12486" spans="2:10">
      <c r="B12486" s="1230" t="s">
        <v>471</v>
      </c>
      <c r="C12486" s="132" t="s">
        <v>2935</v>
      </c>
      <c r="D12486" s="255">
        <v>37061</v>
      </c>
      <c r="E12486" s="553">
        <v>213.11</v>
      </c>
      <c r="F12486" s="553">
        <v>2850.76</v>
      </c>
      <c r="G12486" s="553">
        <v>272.83999999999997</v>
      </c>
      <c r="H12486" s="553">
        <v>279.26</v>
      </c>
      <c r="I12486" s="553">
        <v>863.55</v>
      </c>
      <c r="J12486" s="647">
        <v>1836.72</v>
      </c>
    </row>
    <row r="12487" spans="2:10">
      <c r="B12487" s="1230" t="s">
        <v>471</v>
      </c>
      <c r="C12487" s="132" t="s">
        <v>2936</v>
      </c>
      <c r="D12487" s="255">
        <v>37063</v>
      </c>
      <c r="E12487" s="553">
        <v>750.14</v>
      </c>
      <c r="F12487" s="553">
        <v>8423.76</v>
      </c>
      <c r="G12487" s="553">
        <v>449.17</v>
      </c>
      <c r="H12487" s="553">
        <v>835.7</v>
      </c>
      <c r="I12487" s="553">
        <v>8766.85</v>
      </c>
      <c r="J12487" s="647">
        <v>3398.92</v>
      </c>
    </row>
    <row r="12488" spans="2:10">
      <c r="B12488" s="1230" t="s">
        <v>471</v>
      </c>
      <c r="C12488" s="132" t="s">
        <v>2937</v>
      </c>
      <c r="D12488" s="255">
        <v>37065</v>
      </c>
      <c r="E12488" s="553">
        <v>221.72</v>
      </c>
      <c r="F12488" s="553">
        <v>2811.48</v>
      </c>
      <c r="G12488" s="553">
        <v>276.02</v>
      </c>
      <c r="H12488" s="553">
        <v>276.47000000000003</v>
      </c>
      <c r="I12488" s="553">
        <v>1194.6300000000001</v>
      </c>
      <c r="J12488" s="647">
        <v>1903.23</v>
      </c>
    </row>
    <row r="12489" spans="2:10">
      <c r="B12489" s="1230" t="s">
        <v>471</v>
      </c>
      <c r="C12489" s="132" t="s">
        <v>2096</v>
      </c>
      <c r="D12489" s="255">
        <v>37067</v>
      </c>
      <c r="E12489" s="553">
        <v>734.59</v>
      </c>
      <c r="F12489" s="553">
        <v>9244.5499999999993</v>
      </c>
      <c r="G12489" s="553">
        <v>353.66</v>
      </c>
      <c r="H12489" s="553">
        <v>909.32</v>
      </c>
      <c r="I12489" s="553">
        <v>13842.39</v>
      </c>
      <c r="J12489" s="647">
        <v>3695.82</v>
      </c>
    </row>
    <row r="12490" spans="2:10">
      <c r="B12490" s="1230" t="s">
        <v>471</v>
      </c>
      <c r="C12490" s="132" t="s">
        <v>1748</v>
      </c>
      <c r="D12490" s="255">
        <v>37069</v>
      </c>
      <c r="E12490" s="553">
        <v>431.64</v>
      </c>
      <c r="F12490" s="553">
        <v>5300.03</v>
      </c>
      <c r="G12490" s="553">
        <v>498.89</v>
      </c>
      <c r="H12490" s="553">
        <v>522.13</v>
      </c>
      <c r="I12490" s="553">
        <v>1845.94</v>
      </c>
      <c r="J12490" s="647">
        <v>2789.4</v>
      </c>
    </row>
    <row r="12491" spans="2:10">
      <c r="B12491" s="1230" t="s">
        <v>471</v>
      </c>
      <c r="C12491" s="132" t="s">
        <v>2938</v>
      </c>
      <c r="D12491" s="255">
        <v>37071</v>
      </c>
      <c r="E12491" s="553">
        <v>700.53</v>
      </c>
      <c r="F12491" s="553">
        <v>8558.39</v>
      </c>
      <c r="G12491" s="553">
        <v>308.52</v>
      </c>
      <c r="H12491" s="553">
        <v>843.42</v>
      </c>
      <c r="I12491" s="553">
        <v>12631.24</v>
      </c>
      <c r="J12491" s="647">
        <v>3304.96</v>
      </c>
    </row>
    <row r="12492" spans="2:10">
      <c r="B12492" s="1230" t="s">
        <v>471</v>
      </c>
      <c r="C12492" s="132" t="s">
        <v>2939</v>
      </c>
      <c r="D12492" s="255">
        <v>37073</v>
      </c>
      <c r="E12492" s="553">
        <v>224.65</v>
      </c>
      <c r="F12492" s="553">
        <v>2727.52</v>
      </c>
      <c r="G12492" s="553">
        <v>190.2</v>
      </c>
      <c r="H12492" s="553">
        <v>269.11</v>
      </c>
      <c r="I12492" s="553">
        <v>1578.12</v>
      </c>
      <c r="J12492" s="647">
        <v>1781.59</v>
      </c>
    </row>
    <row r="12493" spans="2:10">
      <c r="B12493" s="1230" t="s">
        <v>471</v>
      </c>
      <c r="C12493" s="132" t="s">
        <v>1819</v>
      </c>
      <c r="D12493" s="255">
        <v>37075</v>
      </c>
      <c r="E12493" s="553">
        <v>251.72</v>
      </c>
      <c r="F12493" s="553">
        <v>3361.4</v>
      </c>
      <c r="G12493" s="553">
        <v>260.43</v>
      </c>
      <c r="H12493" s="553">
        <v>329.08</v>
      </c>
      <c r="I12493" s="553">
        <v>4445.57</v>
      </c>
      <c r="J12493" s="647">
        <v>2067.3200000000002</v>
      </c>
    </row>
    <row r="12494" spans="2:10">
      <c r="B12494" s="1230" t="s">
        <v>471</v>
      </c>
      <c r="C12494" s="132" t="s">
        <v>2940</v>
      </c>
      <c r="D12494" s="255">
        <v>37077</v>
      </c>
      <c r="E12494" s="553">
        <v>601.32000000000005</v>
      </c>
      <c r="F12494" s="553">
        <v>7073.83</v>
      </c>
      <c r="G12494" s="553">
        <v>306.08999999999997</v>
      </c>
      <c r="H12494" s="553">
        <v>699.17</v>
      </c>
      <c r="I12494" s="553">
        <v>10203.65</v>
      </c>
      <c r="J12494" s="647">
        <v>3100.3</v>
      </c>
    </row>
    <row r="12495" spans="2:10">
      <c r="B12495" s="1230" t="s">
        <v>471</v>
      </c>
      <c r="C12495" s="132" t="s">
        <v>1750</v>
      </c>
      <c r="D12495" s="255">
        <v>37079</v>
      </c>
      <c r="E12495" s="553">
        <v>330.56</v>
      </c>
      <c r="F12495" s="553">
        <v>4358.33</v>
      </c>
      <c r="G12495" s="553">
        <v>371.13</v>
      </c>
      <c r="H12495" s="553">
        <v>427.35</v>
      </c>
      <c r="I12495" s="553">
        <v>1001.83</v>
      </c>
      <c r="J12495" s="647">
        <v>2119.7600000000002</v>
      </c>
    </row>
    <row r="12496" spans="2:10">
      <c r="B12496" s="1230" t="s">
        <v>471</v>
      </c>
      <c r="C12496" s="132" t="s">
        <v>2941</v>
      </c>
      <c r="D12496" s="255">
        <v>37081</v>
      </c>
      <c r="E12496" s="553">
        <v>871.05</v>
      </c>
      <c r="F12496" s="553">
        <v>10983.85</v>
      </c>
      <c r="G12496" s="553">
        <v>855.75</v>
      </c>
      <c r="H12496" s="553">
        <v>1079.9000000000001</v>
      </c>
      <c r="I12496" s="553">
        <v>5736.74</v>
      </c>
      <c r="J12496" s="647">
        <v>4859.4799999999996</v>
      </c>
    </row>
    <row r="12497" spans="2:10">
      <c r="B12497" s="1230" t="s">
        <v>471</v>
      </c>
      <c r="C12497" s="132" t="s">
        <v>2942</v>
      </c>
      <c r="D12497" s="255">
        <v>37083</v>
      </c>
      <c r="E12497" s="553">
        <v>303.07</v>
      </c>
      <c r="F12497" s="553">
        <v>3920.97</v>
      </c>
      <c r="G12497" s="553">
        <v>383.78</v>
      </c>
      <c r="H12497" s="553">
        <v>384.95</v>
      </c>
      <c r="I12497" s="553">
        <v>1587.27</v>
      </c>
      <c r="J12497" s="647">
        <v>2452.91</v>
      </c>
    </row>
    <row r="12498" spans="2:10">
      <c r="B12498" s="1230" t="s">
        <v>471</v>
      </c>
      <c r="C12498" s="132" t="s">
        <v>2943</v>
      </c>
      <c r="D12498" s="255">
        <v>37085</v>
      </c>
      <c r="E12498" s="553">
        <v>642.48</v>
      </c>
      <c r="F12498" s="553">
        <v>7558.51</v>
      </c>
      <c r="G12498" s="553">
        <v>735.88</v>
      </c>
      <c r="H12498" s="553">
        <v>747.13</v>
      </c>
      <c r="I12498" s="553">
        <v>1164.18</v>
      </c>
      <c r="J12498" s="647">
        <v>3653.63</v>
      </c>
    </row>
    <row r="12499" spans="2:10">
      <c r="B12499" s="1230" t="s">
        <v>471</v>
      </c>
      <c r="C12499" s="132" t="s">
        <v>2944</v>
      </c>
      <c r="D12499" s="255">
        <v>37087</v>
      </c>
      <c r="E12499" s="553">
        <v>314.93</v>
      </c>
      <c r="F12499" s="553">
        <v>4581.08</v>
      </c>
      <c r="G12499" s="553">
        <v>247.54</v>
      </c>
      <c r="H12499" s="553">
        <v>445.98</v>
      </c>
      <c r="I12499" s="553">
        <v>4496.8500000000004</v>
      </c>
      <c r="J12499" s="647">
        <v>2482.7800000000002</v>
      </c>
    </row>
    <row r="12500" spans="2:10">
      <c r="B12500" s="1230" t="s">
        <v>471</v>
      </c>
      <c r="C12500" s="132" t="s">
        <v>2216</v>
      </c>
      <c r="D12500" s="255">
        <v>37089</v>
      </c>
      <c r="E12500" s="553">
        <v>445.22</v>
      </c>
      <c r="F12500" s="553">
        <v>6803.73</v>
      </c>
      <c r="G12500" s="553">
        <v>282.33</v>
      </c>
      <c r="H12500" s="553">
        <v>660.06</v>
      </c>
      <c r="I12500" s="553">
        <v>10444.049999999999</v>
      </c>
      <c r="J12500" s="647">
        <v>2850.55</v>
      </c>
    </row>
    <row r="12501" spans="2:10">
      <c r="B12501" s="1230" t="s">
        <v>471</v>
      </c>
      <c r="C12501" s="132" t="s">
        <v>2945</v>
      </c>
      <c r="D12501" s="255">
        <v>37091</v>
      </c>
      <c r="E12501" s="553">
        <v>228.94</v>
      </c>
      <c r="F12501" s="553">
        <v>2790.7</v>
      </c>
      <c r="G12501" s="553">
        <v>207.36</v>
      </c>
      <c r="H12501" s="553">
        <v>275.25</v>
      </c>
      <c r="I12501" s="553">
        <v>1650.77</v>
      </c>
      <c r="J12501" s="647">
        <v>1860.72</v>
      </c>
    </row>
    <row r="12502" spans="2:10">
      <c r="B12502" s="1230" t="s">
        <v>471</v>
      </c>
      <c r="C12502" s="132" t="s">
        <v>2946</v>
      </c>
      <c r="D12502" s="255">
        <v>37093</v>
      </c>
      <c r="E12502" s="553">
        <v>329.04</v>
      </c>
      <c r="F12502" s="553">
        <v>4017.62</v>
      </c>
      <c r="G12502" s="553">
        <v>421.09</v>
      </c>
      <c r="H12502" s="553">
        <v>395.94</v>
      </c>
      <c r="I12502" s="553">
        <v>1030.28</v>
      </c>
      <c r="J12502" s="647">
        <v>2368.5500000000002</v>
      </c>
    </row>
    <row r="12503" spans="2:10">
      <c r="B12503" s="1230" t="s">
        <v>471</v>
      </c>
      <c r="C12503" s="132" t="s">
        <v>2947</v>
      </c>
      <c r="D12503" s="255">
        <v>37095</v>
      </c>
      <c r="E12503" s="553">
        <v>96.4</v>
      </c>
      <c r="F12503" s="553">
        <v>1190</v>
      </c>
      <c r="G12503" s="553">
        <v>121.73</v>
      </c>
      <c r="H12503" s="553">
        <v>117.26</v>
      </c>
      <c r="I12503" s="553">
        <v>731.9</v>
      </c>
      <c r="J12503" s="647">
        <v>1130.3599999999999</v>
      </c>
    </row>
    <row r="12504" spans="2:10">
      <c r="B12504" s="1230" t="s">
        <v>471</v>
      </c>
      <c r="C12504" s="132" t="s">
        <v>2948</v>
      </c>
      <c r="D12504" s="255">
        <v>37097</v>
      </c>
      <c r="E12504" s="553">
        <v>668.43</v>
      </c>
      <c r="F12504" s="553">
        <v>8325.26</v>
      </c>
      <c r="G12504" s="553">
        <v>534.9</v>
      </c>
      <c r="H12504" s="553">
        <v>819.36</v>
      </c>
      <c r="I12504" s="553">
        <v>8360.44</v>
      </c>
      <c r="J12504" s="647">
        <v>3857.84</v>
      </c>
    </row>
    <row r="12505" spans="2:10">
      <c r="B12505" s="1230" t="s">
        <v>471</v>
      </c>
      <c r="C12505" s="132" t="s">
        <v>1754</v>
      </c>
      <c r="D12505" s="255">
        <v>37099</v>
      </c>
      <c r="E12505" s="553">
        <v>382.54</v>
      </c>
      <c r="F12505" s="553">
        <v>5646.21</v>
      </c>
      <c r="G12505" s="553">
        <v>298.19</v>
      </c>
      <c r="H12505" s="553">
        <v>549.03</v>
      </c>
      <c r="I12505" s="553">
        <v>6289.63</v>
      </c>
      <c r="J12505" s="647">
        <v>2735.8</v>
      </c>
    </row>
    <row r="12506" spans="2:10">
      <c r="B12506" s="1230" t="s">
        <v>471</v>
      </c>
      <c r="C12506" s="132" t="s">
        <v>2949</v>
      </c>
      <c r="D12506" s="255">
        <v>37101</v>
      </c>
      <c r="E12506" s="553">
        <v>818.35</v>
      </c>
      <c r="F12506" s="553">
        <v>9274.17</v>
      </c>
      <c r="G12506" s="553">
        <v>931.63</v>
      </c>
      <c r="H12506" s="553">
        <v>919.49</v>
      </c>
      <c r="I12506" s="553">
        <v>1118.42</v>
      </c>
      <c r="J12506" s="647">
        <v>4460.8500000000004</v>
      </c>
    </row>
    <row r="12507" spans="2:10">
      <c r="B12507" s="1230" t="s">
        <v>471</v>
      </c>
      <c r="C12507" s="132" t="s">
        <v>2114</v>
      </c>
      <c r="D12507" s="255">
        <v>37103</v>
      </c>
      <c r="E12507" s="553">
        <v>260.61</v>
      </c>
      <c r="F12507" s="553">
        <v>3510.41</v>
      </c>
      <c r="G12507" s="553">
        <v>291.95999999999998</v>
      </c>
      <c r="H12507" s="553">
        <v>343.87</v>
      </c>
      <c r="I12507" s="553">
        <v>813.66</v>
      </c>
      <c r="J12507" s="647">
        <v>1820.49</v>
      </c>
    </row>
    <row r="12508" spans="2:10">
      <c r="B12508" s="1230" t="s">
        <v>471</v>
      </c>
      <c r="C12508" s="132" t="s">
        <v>1759</v>
      </c>
      <c r="D12508" s="255">
        <v>37105</v>
      </c>
      <c r="E12508" s="553">
        <v>418.6</v>
      </c>
      <c r="F12508" s="553">
        <v>5110.49</v>
      </c>
      <c r="G12508" s="553">
        <v>513.69000000000005</v>
      </c>
      <c r="H12508" s="553">
        <v>503.62</v>
      </c>
      <c r="I12508" s="553">
        <v>1583.14</v>
      </c>
      <c r="J12508" s="647">
        <v>2851.09</v>
      </c>
    </row>
    <row r="12509" spans="2:10">
      <c r="B12509" s="1230" t="s">
        <v>471</v>
      </c>
      <c r="C12509" s="132" t="s">
        <v>2950</v>
      </c>
      <c r="D12509" s="255">
        <v>37107</v>
      </c>
      <c r="E12509" s="553">
        <v>203.48</v>
      </c>
      <c r="F12509" s="553">
        <v>2712.01</v>
      </c>
      <c r="G12509" s="553">
        <v>264.08999999999997</v>
      </c>
      <c r="H12509" s="553">
        <v>265.74</v>
      </c>
      <c r="I12509" s="553">
        <v>899.3</v>
      </c>
      <c r="J12509" s="647">
        <v>1686.98</v>
      </c>
    </row>
    <row r="12510" spans="2:10">
      <c r="B12510" s="1230" t="s">
        <v>471</v>
      </c>
      <c r="C12510" s="132" t="s">
        <v>1858</v>
      </c>
      <c r="D12510" s="255">
        <v>37109</v>
      </c>
      <c r="E12510" s="553">
        <v>860.63</v>
      </c>
      <c r="F12510" s="553">
        <v>10612.51</v>
      </c>
      <c r="G12510" s="553">
        <v>467.16</v>
      </c>
      <c r="H12510" s="553">
        <v>1045.2</v>
      </c>
      <c r="I12510" s="553">
        <v>13117.9</v>
      </c>
      <c r="J12510" s="647">
        <v>4033.49</v>
      </c>
    </row>
    <row r="12511" spans="2:10">
      <c r="B12511" s="1230" t="s">
        <v>471</v>
      </c>
      <c r="C12511" s="132" t="s">
        <v>2951</v>
      </c>
      <c r="D12511" s="255">
        <v>37111</v>
      </c>
      <c r="E12511" s="553">
        <v>370.26</v>
      </c>
      <c r="F12511" s="553">
        <v>5037.54</v>
      </c>
      <c r="G12511" s="553">
        <v>214.96</v>
      </c>
      <c r="H12511" s="553">
        <v>492.61</v>
      </c>
      <c r="I12511" s="553">
        <v>7300.64</v>
      </c>
      <c r="J12511" s="647">
        <v>2664.43</v>
      </c>
    </row>
    <row r="12512" spans="2:10">
      <c r="B12512" s="1230" t="s">
        <v>471</v>
      </c>
      <c r="C12512" s="132" t="s">
        <v>1762</v>
      </c>
      <c r="D12512" s="255">
        <v>37113</v>
      </c>
      <c r="E12512" s="553">
        <v>321.64</v>
      </c>
      <c r="F12512" s="553">
        <v>4469.3900000000003</v>
      </c>
      <c r="G12512" s="553">
        <v>319.52999999999997</v>
      </c>
      <c r="H12512" s="553">
        <v>436.39</v>
      </c>
      <c r="I12512" s="553">
        <v>5234.59</v>
      </c>
      <c r="J12512" s="647">
        <v>2476.92</v>
      </c>
    </row>
    <row r="12513" spans="2:10">
      <c r="B12513" s="1230" t="s">
        <v>471</v>
      </c>
      <c r="C12513" s="132" t="s">
        <v>1763</v>
      </c>
      <c r="D12513" s="255">
        <v>37115</v>
      </c>
      <c r="E12513" s="553">
        <v>477.05</v>
      </c>
      <c r="F12513" s="553">
        <v>6734.67</v>
      </c>
      <c r="G12513" s="553">
        <v>243.92</v>
      </c>
      <c r="H12513" s="553">
        <v>657.09</v>
      </c>
      <c r="I12513" s="553">
        <v>4855.66</v>
      </c>
      <c r="J12513" s="647">
        <v>3041.59</v>
      </c>
    </row>
    <row r="12514" spans="2:10">
      <c r="B12514" s="1230" t="s">
        <v>471</v>
      </c>
      <c r="C12514" s="132" t="s">
        <v>2035</v>
      </c>
      <c r="D12514" s="255">
        <v>37117</v>
      </c>
      <c r="E12514" s="553">
        <v>187.61</v>
      </c>
      <c r="F12514" s="553">
        <v>2386.71</v>
      </c>
      <c r="G12514" s="553">
        <v>211.53</v>
      </c>
      <c r="H12514" s="553">
        <v>234.61</v>
      </c>
      <c r="I12514" s="553">
        <v>1026.1199999999999</v>
      </c>
      <c r="J12514" s="647">
        <v>1684.14</v>
      </c>
    </row>
    <row r="12515" spans="2:10">
      <c r="B12515" s="1230" t="s">
        <v>471</v>
      </c>
      <c r="C12515" s="132" t="s">
        <v>2952</v>
      </c>
      <c r="D12515" s="255">
        <v>37119</v>
      </c>
      <c r="E12515" s="553">
        <v>1233.1500000000001</v>
      </c>
      <c r="F12515" s="553">
        <v>13383.69</v>
      </c>
      <c r="G12515" s="553">
        <v>1064.1400000000001</v>
      </c>
      <c r="H12515" s="553">
        <v>1331.43</v>
      </c>
      <c r="I12515" s="553">
        <v>3529.51</v>
      </c>
      <c r="J12515" s="647">
        <v>5535.3</v>
      </c>
    </row>
    <row r="12516" spans="2:10">
      <c r="B12516" s="1230" t="s">
        <v>471</v>
      </c>
      <c r="C12516" s="132" t="s">
        <v>2122</v>
      </c>
      <c r="D12516" s="255">
        <v>37121</v>
      </c>
      <c r="E12516" s="553">
        <v>353.51</v>
      </c>
      <c r="F12516" s="553">
        <v>4702.78</v>
      </c>
      <c r="G12516" s="553">
        <v>212.02</v>
      </c>
      <c r="H12516" s="553">
        <v>460.73</v>
      </c>
      <c r="I12516" s="553">
        <v>6502.72</v>
      </c>
      <c r="J12516" s="647">
        <v>2538.46</v>
      </c>
    </row>
    <row r="12517" spans="2:10">
      <c r="B12517" s="1230" t="s">
        <v>471</v>
      </c>
      <c r="C12517" s="132" t="s">
        <v>1769</v>
      </c>
      <c r="D12517" s="255">
        <v>37123</v>
      </c>
      <c r="E12517" s="553">
        <v>340.52</v>
      </c>
      <c r="F12517" s="553">
        <v>4389.03</v>
      </c>
      <c r="G12517" s="553">
        <v>434.62</v>
      </c>
      <c r="H12517" s="553">
        <v>430.81</v>
      </c>
      <c r="I12517" s="553">
        <v>1528.1</v>
      </c>
      <c r="J12517" s="647">
        <v>2668.72</v>
      </c>
    </row>
    <row r="12518" spans="2:10">
      <c r="B12518" s="1230" t="s">
        <v>471</v>
      </c>
      <c r="C12518" s="132" t="s">
        <v>2953</v>
      </c>
      <c r="D12518" s="255">
        <v>37125</v>
      </c>
      <c r="E12518" s="553">
        <v>373.58</v>
      </c>
      <c r="F12518" s="553">
        <v>4966.47</v>
      </c>
      <c r="G12518" s="553">
        <v>530.69000000000005</v>
      </c>
      <c r="H12518" s="553">
        <v>486.45</v>
      </c>
      <c r="I12518" s="553">
        <v>1380.11</v>
      </c>
      <c r="J12518" s="647">
        <v>2922.22</v>
      </c>
    </row>
    <row r="12519" spans="2:10">
      <c r="B12519" s="1230" t="s">
        <v>471</v>
      </c>
      <c r="C12519" s="132" t="s">
        <v>2954</v>
      </c>
      <c r="D12519" s="255">
        <v>37127</v>
      </c>
      <c r="E12519" s="553">
        <v>479.03</v>
      </c>
      <c r="F12519" s="553">
        <v>6284</v>
      </c>
      <c r="G12519" s="553">
        <v>600.82000000000005</v>
      </c>
      <c r="H12519" s="553">
        <v>616.23</v>
      </c>
      <c r="I12519" s="553">
        <v>1438.64</v>
      </c>
      <c r="J12519" s="647">
        <v>3184.29</v>
      </c>
    </row>
    <row r="12520" spans="2:10">
      <c r="B12520" s="1230" t="s">
        <v>471</v>
      </c>
      <c r="C12520" s="132" t="s">
        <v>2955</v>
      </c>
      <c r="D12520" s="255">
        <v>37129</v>
      </c>
      <c r="E12520" s="553">
        <v>395.96</v>
      </c>
      <c r="F12520" s="553">
        <v>5260.6</v>
      </c>
      <c r="G12520" s="553">
        <v>371.66</v>
      </c>
      <c r="H12520" s="553">
        <v>515.62</v>
      </c>
      <c r="I12520" s="553">
        <v>815.08</v>
      </c>
      <c r="J12520" s="647">
        <v>2149.5</v>
      </c>
    </row>
    <row r="12521" spans="2:10">
      <c r="B12521" s="1230" t="s">
        <v>471</v>
      </c>
      <c r="C12521" s="132" t="s">
        <v>2956</v>
      </c>
      <c r="D12521" s="255">
        <v>37131</v>
      </c>
      <c r="E12521" s="553">
        <v>244.22</v>
      </c>
      <c r="F12521" s="553">
        <v>3105.31</v>
      </c>
      <c r="G12521" s="553">
        <v>275.43</v>
      </c>
      <c r="H12521" s="553">
        <v>305.24</v>
      </c>
      <c r="I12521" s="553">
        <v>1579.71</v>
      </c>
      <c r="J12521" s="647">
        <v>2054.08</v>
      </c>
    </row>
    <row r="12522" spans="2:10">
      <c r="B12522" s="1230" t="s">
        <v>471</v>
      </c>
      <c r="C12522" s="132" t="s">
        <v>2957</v>
      </c>
      <c r="D12522" s="255">
        <v>37133</v>
      </c>
      <c r="E12522" s="553">
        <v>155.47</v>
      </c>
      <c r="F12522" s="553">
        <v>1957.36</v>
      </c>
      <c r="G12522" s="553">
        <v>207.6</v>
      </c>
      <c r="H12522" s="553">
        <v>192.72</v>
      </c>
      <c r="I12522" s="553">
        <v>715.37</v>
      </c>
      <c r="J12522" s="647">
        <v>1427.31</v>
      </c>
    </row>
    <row r="12523" spans="2:10">
      <c r="B12523" s="1230" t="s">
        <v>471</v>
      </c>
      <c r="C12523" s="132" t="s">
        <v>1912</v>
      </c>
      <c r="D12523" s="255">
        <v>37135</v>
      </c>
      <c r="E12523" s="553">
        <v>815</v>
      </c>
      <c r="F12523" s="553">
        <v>9477.9699999999993</v>
      </c>
      <c r="G12523" s="553">
        <v>554.14</v>
      </c>
      <c r="H12523" s="553">
        <v>937.53</v>
      </c>
      <c r="I12523" s="553">
        <v>8127.41</v>
      </c>
      <c r="J12523" s="647">
        <v>3788.86</v>
      </c>
    </row>
    <row r="12524" spans="2:10">
      <c r="B12524" s="1230" t="s">
        <v>471</v>
      </c>
      <c r="C12524" s="132" t="s">
        <v>2958</v>
      </c>
      <c r="D12524" s="255">
        <v>37137</v>
      </c>
      <c r="E12524" s="553">
        <v>156.22999999999999</v>
      </c>
      <c r="F12524" s="553">
        <v>2173.23</v>
      </c>
      <c r="G12524" s="553">
        <v>162.03</v>
      </c>
      <c r="H12524" s="553">
        <v>212.28</v>
      </c>
      <c r="I12524" s="553">
        <v>2173.0500000000002</v>
      </c>
      <c r="J12524" s="647">
        <v>1305.6300000000001</v>
      </c>
    </row>
    <row r="12525" spans="2:10">
      <c r="B12525" s="1230" t="s">
        <v>471</v>
      </c>
      <c r="C12525" s="132" t="s">
        <v>2959</v>
      </c>
      <c r="D12525" s="255">
        <v>37139</v>
      </c>
      <c r="E12525" s="553">
        <v>236.02</v>
      </c>
      <c r="F12525" s="553">
        <v>2908.45</v>
      </c>
      <c r="G12525" s="553">
        <v>223.13</v>
      </c>
      <c r="H12525" s="553">
        <v>286.52</v>
      </c>
      <c r="I12525" s="553">
        <v>2714.64</v>
      </c>
      <c r="J12525" s="647">
        <v>1605.02</v>
      </c>
    </row>
    <row r="12526" spans="2:10">
      <c r="B12526" s="1230" t="s">
        <v>471</v>
      </c>
      <c r="C12526" s="132" t="s">
        <v>2960</v>
      </c>
      <c r="D12526" s="255">
        <v>37141</v>
      </c>
      <c r="E12526" s="553">
        <v>187.94</v>
      </c>
      <c r="F12526" s="553">
        <v>2477.62</v>
      </c>
      <c r="G12526" s="553">
        <v>240.04</v>
      </c>
      <c r="H12526" s="553">
        <v>242.96</v>
      </c>
      <c r="I12526" s="553">
        <v>735.62</v>
      </c>
      <c r="J12526" s="647">
        <v>1631.81</v>
      </c>
    </row>
    <row r="12527" spans="2:10">
      <c r="B12527" s="1230" t="s">
        <v>471</v>
      </c>
      <c r="C12527" s="132" t="s">
        <v>2961</v>
      </c>
      <c r="D12527" s="255">
        <v>37143</v>
      </c>
      <c r="E12527" s="553">
        <v>246.47</v>
      </c>
      <c r="F12527" s="553">
        <v>3074.61</v>
      </c>
      <c r="G12527" s="553">
        <v>218.93</v>
      </c>
      <c r="H12527" s="553">
        <v>302.82</v>
      </c>
      <c r="I12527" s="553">
        <v>2574.9699999999998</v>
      </c>
      <c r="J12527" s="647">
        <v>1666.63</v>
      </c>
    </row>
    <row r="12528" spans="2:10">
      <c r="B12528" s="1230" t="s">
        <v>471</v>
      </c>
      <c r="C12528" s="132" t="s">
        <v>2962</v>
      </c>
      <c r="D12528" s="255">
        <v>37145</v>
      </c>
      <c r="E12528" s="553">
        <v>337.73</v>
      </c>
      <c r="F12528" s="553">
        <v>4095.49</v>
      </c>
      <c r="G12528" s="553">
        <v>289.5</v>
      </c>
      <c r="H12528" s="553">
        <v>403.85</v>
      </c>
      <c r="I12528" s="553">
        <v>4457.38</v>
      </c>
      <c r="J12528" s="647">
        <v>2453.81</v>
      </c>
    </row>
    <row r="12529" spans="2:10">
      <c r="B12529" s="1230" t="s">
        <v>471</v>
      </c>
      <c r="C12529" s="132" t="s">
        <v>2963</v>
      </c>
      <c r="D12529" s="255">
        <v>37147</v>
      </c>
      <c r="E12529" s="553">
        <v>242.75</v>
      </c>
      <c r="F12529" s="553">
        <v>3164.01</v>
      </c>
      <c r="G12529" s="553">
        <v>314.8</v>
      </c>
      <c r="H12529" s="553">
        <v>310.47000000000003</v>
      </c>
      <c r="I12529" s="553">
        <v>983.14</v>
      </c>
      <c r="J12529" s="647">
        <v>1946.18</v>
      </c>
    </row>
    <row r="12530" spans="2:10">
      <c r="B12530" s="1230" t="s">
        <v>471</v>
      </c>
      <c r="C12530" s="132" t="s">
        <v>1867</v>
      </c>
      <c r="D12530" s="255">
        <v>37149</v>
      </c>
      <c r="E12530" s="553">
        <v>433.04</v>
      </c>
      <c r="F12530" s="553">
        <v>6153.87</v>
      </c>
      <c r="G12530" s="553">
        <v>263.99</v>
      </c>
      <c r="H12530" s="553">
        <v>599.99</v>
      </c>
      <c r="I12530" s="553">
        <v>9428.9699999999993</v>
      </c>
      <c r="J12530" s="647">
        <v>2779.75</v>
      </c>
    </row>
    <row r="12531" spans="2:10">
      <c r="B12531" s="1230" t="s">
        <v>471</v>
      </c>
      <c r="C12531" s="132" t="s">
        <v>1774</v>
      </c>
      <c r="D12531" s="255">
        <v>37151</v>
      </c>
      <c r="E12531" s="553">
        <v>783.1</v>
      </c>
      <c r="F12531" s="553">
        <v>9674.9500000000007</v>
      </c>
      <c r="G12531" s="553">
        <v>942.24</v>
      </c>
      <c r="H12531" s="553">
        <v>952.7</v>
      </c>
      <c r="I12531" s="553">
        <v>2149.0300000000002</v>
      </c>
      <c r="J12531" s="647">
        <v>4840.8599999999997</v>
      </c>
    </row>
    <row r="12532" spans="2:10">
      <c r="B12532" s="1230" t="s">
        <v>471</v>
      </c>
      <c r="C12532" s="132" t="s">
        <v>2132</v>
      </c>
      <c r="D12532" s="255">
        <v>37153</v>
      </c>
      <c r="E12532" s="553">
        <v>330.28</v>
      </c>
      <c r="F12532" s="553">
        <v>4429.7299999999996</v>
      </c>
      <c r="G12532" s="553">
        <v>451.33</v>
      </c>
      <c r="H12532" s="553">
        <v>433.66</v>
      </c>
      <c r="I12532" s="553">
        <v>1184.3499999999999</v>
      </c>
      <c r="J12532" s="647">
        <v>2574.31</v>
      </c>
    </row>
    <row r="12533" spans="2:10">
      <c r="B12533" s="1230" t="s">
        <v>471</v>
      </c>
      <c r="C12533" s="132" t="s">
        <v>2964</v>
      </c>
      <c r="D12533" s="255">
        <v>37155</v>
      </c>
      <c r="E12533" s="553">
        <v>320.77999999999997</v>
      </c>
      <c r="F12533" s="553">
        <v>4121.1499999999996</v>
      </c>
      <c r="G12533" s="553">
        <v>476.3</v>
      </c>
      <c r="H12533" s="553">
        <v>404.74</v>
      </c>
      <c r="I12533" s="553">
        <v>832.05</v>
      </c>
      <c r="J12533" s="647">
        <v>2516.39</v>
      </c>
    </row>
    <row r="12534" spans="2:10">
      <c r="B12534" s="1230" t="s">
        <v>471</v>
      </c>
      <c r="C12534" s="132" t="s">
        <v>2848</v>
      </c>
      <c r="D12534" s="255">
        <v>37157</v>
      </c>
      <c r="E12534" s="553">
        <v>782.59</v>
      </c>
      <c r="F12534" s="553">
        <v>9939.35</v>
      </c>
      <c r="G12534" s="553">
        <v>627.66999999999996</v>
      </c>
      <c r="H12534" s="553">
        <v>976.8</v>
      </c>
      <c r="I12534" s="553">
        <v>8019.9</v>
      </c>
      <c r="J12534" s="647">
        <v>4297.5</v>
      </c>
    </row>
    <row r="12535" spans="2:10">
      <c r="B12535" s="1230" t="s">
        <v>471</v>
      </c>
      <c r="C12535" s="132" t="s">
        <v>2451</v>
      </c>
      <c r="D12535" s="255">
        <v>37159</v>
      </c>
      <c r="E12535" s="553">
        <v>709.88</v>
      </c>
      <c r="F12535" s="553">
        <v>8771.1299999999992</v>
      </c>
      <c r="G12535" s="553">
        <v>606.87</v>
      </c>
      <c r="H12535" s="553">
        <v>863.73</v>
      </c>
      <c r="I12535" s="553">
        <v>6862.84</v>
      </c>
      <c r="J12535" s="647">
        <v>4034.18</v>
      </c>
    </row>
    <row r="12536" spans="2:10">
      <c r="B12536" s="1230" t="s">
        <v>471</v>
      </c>
      <c r="C12536" s="132" t="s">
        <v>2965</v>
      </c>
      <c r="D12536" s="255">
        <v>37161</v>
      </c>
      <c r="E12536" s="553">
        <v>398.18</v>
      </c>
      <c r="F12536" s="553">
        <v>5543.3</v>
      </c>
      <c r="G12536" s="553">
        <v>236.36</v>
      </c>
      <c r="H12536" s="553">
        <v>541.23</v>
      </c>
      <c r="I12536" s="553">
        <v>8401.83</v>
      </c>
      <c r="J12536" s="647">
        <v>2792.02</v>
      </c>
    </row>
    <row r="12537" spans="2:10">
      <c r="B12537" s="1230" t="s">
        <v>471</v>
      </c>
      <c r="C12537" s="132" t="s">
        <v>2966</v>
      </c>
      <c r="D12537" s="255">
        <v>37163</v>
      </c>
      <c r="E12537" s="553">
        <v>398.71</v>
      </c>
      <c r="F12537" s="553">
        <v>4956.57</v>
      </c>
      <c r="G12537" s="553">
        <v>551.15</v>
      </c>
      <c r="H12537" s="553">
        <v>487.98</v>
      </c>
      <c r="I12537" s="553">
        <v>790.58</v>
      </c>
      <c r="J12537" s="647">
        <v>2837.78</v>
      </c>
    </row>
    <row r="12538" spans="2:10">
      <c r="B12538" s="1230" t="s">
        <v>471</v>
      </c>
      <c r="C12538" s="132" t="s">
        <v>2750</v>
      </c>
      <c r="D12538" s="255">
        <v>37165</v>
      </c>
      <c r="E12538" s="553">
        <v>262.58</v>
      </c>
      <c r="F12538" s="553">
        <v>3321.44</v>
      </c>
      <c r="G12538" s="553">
        <v>357.71</v>
      </c>
      <c r="H12538" s="553">
        <v>326.55</v>
      </c>
      <c r="I12538" s="553">
        <v>1009.33</v>
      </c>
      <c r="J12538" s="647">
        <v>2118.88</v>
      </c>
    </row>
    <row r="12539" spans="2:10">
      <c r="B12539" s="1230" t="s">
        <v>471</v>
      </c>
      <c r="C12539" s="132" t="s">
        <v>2967</v>
      </c>
      <c r="D12539" s="255">
        <v>37167</v>
      </c>
      <c r="E12539" s="553">
        <v>535.97</v>
      </c>
      <c r="F12539" s="553">
        <v>6496.22</v>
      </c>
      <c r="G12539" s="553">
        <v>597.79</v>
      </c>
      <c r="H12539" s="553">
        <v>640.61</v>
      </c>
      <c r="I12539" s="553">
        <v>1910.25</v>
      </c>
      <c r="J12539" s="647">
        <v>3291</v>
      </c>
    </row>
    <row r="12540" spans="2:10">
      <c r="B12540" s="1230" t="s">
        <v>471</v>
      </c>
      <c r="C12540" s="132" t="s">
        <v>2968</v>
      </c>
      <c r="D12540" s="255">
        <v>37169</v>
      </c>
      <c r="E12540" s="553">
        <v>664.07</v>
      </c>
      <c r="F12540" s="553">
        <v>8389.06</v>
      </c>
      <c r="G12540" s="553">
        <v>309.20999999999998</v>
      </c>
      <c r="H12540" s="553">
        <v>824.94</v>
      </c>
      <c r="I12540" s="553">
        <v>13050.59</v>
      </c>
      <c r="J12540" s="647">
        <v>3515.75</v>
      </c>
    </row>
    <row r="12541" spans="2:10">
      <c r="B12541" s="1230" t="s">
        <v>471</v>
      </c>
      <c r="C12541" s="132" t="s">
        <v>2969</v>
      </c>
      <c r="D12541" s="255">
        <v>37171</v>
      </c>
      <c r="E12541" s="553">
        <v>373.09</v>
      </c>
      <c r="F12541" s="553">
        <v>4872.25</v>
      </c>
      <c r="G12541" s="553">
        <v>379.54</v>
      </c>
      <c r="H12541" s="553">
        <v>477.93</v>
      </c>
      <c r="I12541" s="553">
        <v>3901.12</v>
      </c>
      <c r="J12541" s="647">
        <v>2848.65</v>
      </c>
    </row>
    <row r="12542" spans="2:10">
      <c r="B12542" s="1230" t="s">
        <v>471</v>
      </c>
      <c r="C12542" s="132" t="s">
        <v>2970</v>
      </c>
      <c r="D12542" s="255">
        <v>37173</v>
      </c>
      <c r="E12542" s="553">
        <v>305.06</v>
      </c>
      <c r="F12542" s="553">
        <v>4297.78</v>
      </c>
      <c r="G12542" s="553">
        <v>251.14</v>
      </c>
      <c r="H12542" s="553">
        <v>419.28</v>
      </c>
      <c r="I12542" s="553">
        <v>6185.72</v>
      </c>
      <c r="J12542" s="647">
        <v>2300.25</v>
      </c>
    </row>
    <row r="12543" spans="2:10">
      <c r="B12543" s="1230" t="s">
        <v>471</v>
      </c>
      <c r="C12543" s="132" t="s">
        <v>2971</v>
      </c>
      <c r="D12543" s="255">
        <v>37175</v>
      </c>
      <c r="E12543" s="553">
        <v>424.86</v>
      </c>
      <c r="F12543" s="553">
        <v>6434.64</v>
      </c>
      <c r="G12543" s="553">
        <v>305.61</v>
      </c>
      <c r="H12543" s="553">
        <v>624.73</v>
      </c>
      <c r="I12543" s="553">
        <v>9399.5499999999993</v>
      </c>
      <c r="J12543" s="647">
        <v>2801.94</v>
      </c>
    </row>
    <row r="12544" spans="2:10">
      <c r="B12544" s="1230" t="s">
        <v>471</v>
      </c>
      <c r="C12544" s="132" t="s">
        <v>2972</v>
      </c>
      <c r="D12544" s="255">
        <v>37177</v>
      </c>
      <c r="E12544" s="553">
        <v>118.4</v>
      </c>
      <c r="F12544" s="553">
        <v>1420.36</v>
      </c>
      <c r="G12544" s="553">
        <v>135.01</v>
      </c>
      <c r="H12544" s="553">
        <v>140.25</v>
      </c>
      <c r="I12544" s="553">
        <v>928.28</v>
      </c>
      <c r="J12544" s="647">
        <v>1250.42</v>
      </c>
    </row>
    <row r="12545" spans="2:10">
      <c r="B12545" s="1230" t="s">
        <v>471</v>
      </c>
      <c r="C12545" s="132" t="s">
        <v>1879</v>
      </c>
      <c r="D12545" s="255">
        <v>37179</v>
      </c>
      <c r="E12545" s="553">
        <v>1098</v>
      </c>
      <c r="F12545" s="553">
        <v>12109</v>
      </c>
      <c r="G12545" s="553">
        <v>1106.53</v>
      </c>
      <c r="H12545" s="553">
        <v>1202.96</v>
      </c>
      <c r="I12545" s="553">
        <v>1778.28</v>
      </c>
      <c r="J12545" s="647">
        <v>5335.26</v>
      </c>
    </row>
    <row r="12546" spans="2:10">
      <c r="B12546" s="1230" t="s">
        <v>471</v>
      </c>
      <c r="C12546" s="132" t="s">
        <v>2973</v>
      </c>
      <c r="D12546" s="255">
        <v>37181</v>
      </c>
      <c r="E12546" s="553">
        <v>396.63</v>
      </c>
      <c r="F12546" s="553">
        <v>4862.45</v>
      </c>
      <c r="G12546" s="553">
        <v>302.51</v>
      </c>
      <c r="H12546" s="553">
        <v>479.11</v>
      </c>
      <c r="I12546" s="553">
        <v>6266.74</v>
      </c>
      <c r="J12546" s="647">
        <v>2474.08</v>
      </c>
    </row>
    <row r="12547" spans="2:10">
      <c r="B12547" s="1230" t="s">
        <v>471</v>
      </c>
      <c r="C12547" s="132" t="s">
        <v>2974</v>
      </c>
      <c r="D12547" s="255">
        <v>37183</v>
      </c>
      <c r="E12547" s="553">
        <v>899.48</v>
      </c>
      <c r="F12547" s="553">
        <v>9934.85</v>
      </c>
      <c r="G12547" s="553">
        <v>870.28</v>
      </c>
      <c r="H12547" s="553">
        <v>987.02</v>
      </c>
      <c r="I12547" s="553">
        <v>4681.8100000000004</v>
      </c>
      <c r="J12547" s="647">
        <v>4714.74</v>
      </c>
    </row>
    <row r="12548" spans="2:10">
      <c r="B12548" s="1230" t="s">
        <v>471</v>
      </c>
      <c r="C12548" s="132" t="s">
        <v>2154</v>
      </c>
      <c r="D12548" s="255">
        <v>37185</v>
      </c>
      <c r="E12548" s="553">
        <v>310.67</v>
      </c>
      <c r="F12548" s="553">
        <v>3841.97</v>
      </c>
      <c r="G12548" s="553">
        <v>262.91000000000003</v>
      </c>
      <c r="H12548" s="553">
        <v>378.36</v>
      </c>
      <c r="I12548" s="553">
        <v>4243.5200000000004</v>
      </c>
      <c r="J12548" s="647">
        <v>2233.21</v>
      </c>
    </row>
    <row r="12549" spans="2:10">
      <c r="B12549" s="1230" t="s">
        <v>471</v>
      </c>
      <c r="C12549" s="132" t="s">
        <v>487</v>
      </c>
      <c r="D12549" s="255">
        <v>37187</v>
      </c>
      <c r="E12549" s="553">
        <v>149.54</v>
      </c>
      <c r="F12549" s="553">
        <v>1866.49</v>
      </c>
      <c r="G12549" s="553">
        <v>179.84</v>
      </c>
      <c r="H12549" s="553">
        <v>183.78</v>
      </c>
      <c r="I12549" s="553">
        <v>987.99</v>
      </c>
      <c r="J12549" s="647">
        <v>1461.32</v>
      </c>
    </row>
    <row r="12550" spans="2:10">
      <c r="B12550" s="1230" t="s">
        <v>471</v>
      </c>
      <c r="C12550" s="132" t="s">
        <v>2975</v>
      </c>
      <c r="D12550" s="255">
        <v>37189</v>
      </c>
      <c r="E12550" s="553">
        <v>373.79</v>
      </c>
      <c r="F12550" s="553">
        <v>4922.97</v>
      </c>
      <c r="G12550" s="553">
        <v>272.8</v>
      </c>
      <c r="H12550" s="553">
        <v>482.71</v>
      </c>
      <c r="I12550" s="553">
        <v>6126.41</v>
      </c>
      <c r="J12550" s="647">
        <v>2645.68</v>
      </c>
    </row>
    <row r="12551" spans="2:10">
      <c r="B12551" s="1230" t="s">
        <v>471</v>
      </c>
      <c r="C12551" s="132" t="s">
        <v>2155</v>
      </c>
      <c r="D12551" s="255">
        <v>37191</v>
      </c>
      <c r="E12551" s="553">
        <v>401.37</v>
      </c>
      <c r="F12551" s="553">
        <v>5235.71</v>
      </c>
      <c r="G12551" s="553">
        <v>527.07000000000005</v>
      </c>
      <c r="H12551" s="553">
        <v>513.54999999999995</v>
      </c>
      <c r="I12551" s="553">
        <v>878.54</v>
      </c>
      <c r="J12551" s="647">
        <v>2679.58</v>
      </c>
    </row>
    <row r="12552" spans="2:10">
      <c r="B12552" s="1230" t="s">
        <v>471</v>
      </c>
      <c r="C12552" s="132" t="s">
        <v>2159</v>
      </c>
      <c r="D12552" s="255">
        <v>37193</v>
      </c>
      <c r="E12552" s="553">
        <v>373.07</v>
      </c>
      <c r="F12552" s="553">
        <v>4856.88</v>
      </c>
      <c r="G12552" s="553">
        <v>402.87</v>
      </c>
      <c r="H12552" s="553">
        <v>476.53</v>
      </c>
      <c r="I12552" s="553">
        <v>3696.35</v>
      </c>
      <c r="J12552" s="647">
        <v>2936.56</v>
      </c>
    </row>
    <row r="12553" spans="2:10">
      <c r="B12553" s="1230" t="s">
        <v>471</v>
      </c>
      <c r="C12553" s="132" t="s">
        <v>2399</v>
      </c>
      <c r="D12553" s="255">
        <v>37195</v>
      </c>
      <c r="E12553" s="553">
        <v>417.17</v>
      </c>
      <c r="F12553" s="553">
        <v>5615.17</v>
      </c>
      <c r="G12553" s="553">
        <v>515.65</v>
      </c>
      <c r="H12553" s="553">
        <v>549.70000000000005</v>
      </c>
      <c r="I12553" s="553">
        <v>1129.8699999999999</v>
      </c>
      <c r="J12553" s="647">
        <v>2702.98</v>
      </c>
    </row>
    <row r="12554" spans="2:10">
      <c r="B12554" s="1230" t="s">
        <v>471</v>
      </c>
      <c r="C12554" s="132" t="s">
        <v>2976</v>
      </c>
      <c r="D12554" s="255">
        <v>37197</v>
      </c>
      <c r="E12554" s="553">
        <v>454.15</v>
      </c>
      <c r="F12554" s="553">
        <v>5898.03</v>
      </c>
      <c r="G12554" s="553">
        <v>450.86</v>
      </c>
      <c r="H12554" s="553">
        <v>578.80999999999995</v>
      </c>
      <c r="I12554" s="553">
        <v>4646.96</v>
      </c>
      <c r="J12554" s="647">
        <v>3122.81</v>
      </c>
    </row>
    <row r="12555" spans="2:10">
      <c r="B12555" s="1230" t="s">
        <v>471</v>
      </c>
      <c r="C12555" s="132" t="s">
        <v>2977</v>
      </c>
      <c r="D12555" s="255">
        <v>37199</v>
      </c>
      <c r="E12555" s="553">
        <v>347.9</v>
      </c>
      <c r="F12555" s="553">
        <v>4699.55</v>
      </c>
      <c r="G12555" s="553">
        <v>206.39</v>
      </c>
      <c r="H12555" s="553">
        <v>459.82</v>
      </c>
      <c r="I12555" s="553">
        <v>5783.54</v>
      </c>
      <c r="J12555" s="647">
        <v>2548.7399999999998</v>
      </c>
    </row>
    <row r="12556" spans="2:10">
      <c r="B12556" s="1230" t="s">
        <v>472</v>
      </c>
      <c r="C12556" s="132" t="s">
        <v>1940</v>
      </c>
      <c r="D12556" s="255">
        <v>38001</v>
      </c>
      <c r="E12556" s="553">
        <v>107.48</v>
      </c>
      <c r="F12556" s="553">
        <v>902.94</v>
      </c>
      <c r="G12556" s="553">
        <v>421.29</v>
      </c>
      <c r="H12556" s="553">
        <v>92.15</v>
      </c>
      <c r="I12556" s="553">
        <v>319.35000000000002</v>
      </c>
      <c r="J12556" s="647">
        <v>1603.45</v>
      </c>
    </row>
    <row r="12557" spans="2:10">
      <c r="B12557" s="1230" t="s">
        <v>472</v>
      </c>
      <c r="C12557" s="132" t="s">
        <v>2978</v>
      </c>
      <c r="D12557" s="255">
        <v>38003</v>
      </c>
      <c r="E12557" s="553">
        <v>114.23</v>
      </c>
      <c r="F12557" s="553">
        <v>1300.45</v>
      </c>
      <c r="G12557" s="553">
        <v>656.16</v>
      </c>
      <c r="H12557" s="553">
        <v>128.97999999999999</v>
      </c>
      <c r="I12557" s="553">
        <v>493.16</v>
      </c>
      <c r="J12557" s="647">
        <v>1893.28</v>
      </c>
    </row>
    <row r="12558" spans="2:10">
      <c r="B12558" s="1230" t="s">
        <v>472</v>
      </c>
      <c r="C12558" s="132" t="s">
        <v>2979</v>
      </c>
      <c r="D12558" s="255">
        <v>38005</v>
      </c>
      <c r="E12558" s="553">
        <v>101.63</v>
      </c>
      <c r="F12558" s="553">
        <v>1121.5899999999999</v>
      </c>
      <c r="G12558" s="553">
        <v>642.15</v>
      </c>
      <c r="H12558" s="553">
        <v>111.46</v>
      </c>
      <c r="I12558" s="553">
        <v>421.06</v>
      </c>
      <c r="J12558" s="647">
        <v>1772.28</v>
      </c>
    </row>
    <row r="12559" spans="2:10">
      <c r="B12559" s="1230" t="s">
        <v>472</v>
      </c>
      <c r="C12559" s="132" t="s">
        <v>2980</v>
      </c>
      <c r="D12559" s="255">
        <v>38007</v>
      </c>
      <c r="E12559" s="553">
        <v>104.49</v>
      </c>
      <c r="F12559" s="553">
        <v>849.41</v>
      </c>
      <c r="G12559" s="553">
        <v>395.91</v>
      </c>
      <c r="H12559" s="553">
        <v>86.92</v>
      </c>
      <c r="I12559" s="553">
        <v>300.95999999999998</v>
      </c>
      <c r="J12559" s="647">
        <v>1548.75</v>
      </c>
    </row>
    <row r="12560" spans="2:10">
      <c r="B12560" s="1230" t="s">
        <v>472</v>
      </c>
      <c r="C12560" s="132" t="s">
        <v>2981</v>
      </c>
      <c r="D12560" s="255">
        <v>38009</v>
      </c>
      <c r="E12560" s="553">
        <v>95.13</v>
      </c>
      <c r="F12560" s="553">
        <v>935.8</v>
      </c>
      <c r="G12560" s="553">
        <v>441.61</v>
      </c>
      <c r="H12560" s="553">
        <v>94.06</v>
      </c>
      <c r="I12560" s="553">
        <v>353.22</v>
      </c>
      <c r="J12560" s="647">
        <v>1637.93</v>
      </c>
    </row>
    <row r="12561" spans="2:10">
      <c r="B12561" s="1230" t="s">
        <v>472</v>
      </c>
      <c r="C12561" s="132" t="s">
        <v>2982</v>
      </c>
      <c r="D12561" s="255">
        <v>38011</v>
      </c>
      <c r="E12561" s="553">
        <v>103.35</v>
      </c>
      <c r="F12561" s="553">
        <v>839.94</v>
      </c>
      <c r="G12561" s="553">
        <v>392.71</v>
      </c>
      <c r="H12561" s="553">
        <v>86</v>
      </c>
      <c r="I12561" s="553">
        <v>316.45999999999998</v>
      </c>
      <c r="J12561" s="647">
        <v>1547.08</v>
      </c>
    </row>
    <row r="12562" spans="2:10">
      <c r="B12562" s="1230" t="s">
        <v>472</v>
      </c>
      <c r="C12562" s="132" t="s">
        <v>2067</v>
      </c>
      <c r="D12562" s="255">
        <v>38013</v>
      </c>
      <c r="E12562" s="553">
        <v>87.61</v>
      </c>
      <c r="F12562" s="553">
        <v>838.5</v>
      </c>
      <c r="G12562" s="553">
        <v>406.19</v>
      </c>
      <c r="H12562" s="553">
        <v>84.36</v>
      </c>
      <c r="I12562" s="553">
        <v>295.51</v>
      </c>
      <c r="J12562" s="647">
        <v>1541.59</v>
      </c>
    </row>
    <row r="12563" spans="2:10">
      <c r="B12563" s="1230" t="s">
        <v>472</v>
      </c>
      <c r="C12563" s="132" t="s">
        <v>2983</v>
      </c>
      <c r="D12563" s="255">
        <v>38015</v>
      </c>
      <c r="E12563" s="553">
        <v>125.05</v>
      </c>
      <c r="F12563" s="553">
        <v>1241.97</v>
      </c>
      <c r="G12563" s="553">
        <v>552.08000000000004</v>
      </c>
      <c r="H12563" s="553">
        <v>124.71</v>
      </c>
      <c r="I12563" s="553">
        <v>382.48</v>
      </c>
      <c r="J12563" s="647">
        <v>1830.92</v>
      </c>
    </row>
    <row r="12564" spans="2:10">
      <c r="B12564" s="1230" t="s">
        <v>472</v>
      </c>
      <c r="C12564" s="132" t="s">
        <v>2202</v>
      </c>
      <c r="D12564" s="255">
        <v>38017</v>
      </c>
      <c r="E12564" s="553">
        <v>141.56</v>
      </c>
      <c r="F12564" s="553">
        <v>1617.8</v>
      </c>
      <c r="G12564" s="553">
        <v>866.63</v>
      </c>
      <c r="H12564" s="553">
        <v>160.51</v>
      </c>
      <c r="I12564" s="553">
        <v>545.26</v>
      </c>
      <c r="J12564" s="647">
        <v>2002.43</v>
      </c>
    </row>
    <row r="12565" spans="2:10">
      <c r="B12565" s="1230" t="s">
        <v>472</v>
      </c>
      <c r="C12565" s="132" t="s">
        <v>2984</v>
      </c>
      <c r="D12565" s="255">
        <v>38019</v>
      </c>
      <c r="E12565" s="553">
        <v>89.78</v>
      </c>
      <c r="F12565" s="553">
        <v>1016.04</v>
      </c>
      <c r="G12565" s="553">
        <v>520.73</v>
      </c>
      <c r="H12565" s="553">
        <v>100.85</v>
      </c>
      <c r="I12565" s="553">
        <v>441</v>
      </c>
      <c r="J12565" s="647">
        <v>1719.92</v>
      </c>
    </row>
    <row r="12566" spans="2:10">
      <c r="B12566" s="1230" t="s">
        <v>472</v>
      </c>
      <c r="C12566" s="132" t="s">
        <v>2985</v>
      </c>
      <c r="D12566" s="255">
        <v>38021</v>
      </c>
      <c r="E12566" s="553">
        <v>105.12</v>
      </c>
      <c r="F12566" s="553">
        <v>1210.51</v>
      </c>
      <c r="G12566" s="553">
        <v>699.79</v>
      </c>
      <c r="H12566" s="553">
        <v>120.03</v>
      </c>
      <c r="I12566" s="553">
        <v>477.63</v>
      </c>
      <c r="J12566" s="647">
        <v>1851.65</v>
      </c>
    </row>
    <row r="12567" spans="2:10">
      <c r="B12567" s="1230" t="s">
        <v>472</v>
      </c>
      <c r="C12567" s="132" t="s">
        <v>2986</v>
      </c>
      <c r="D12567" s="255">
        <v>38023</v>
      </c>
      <c r="E12567" s="553">
        <v>82.94</v>
      </c>
      <c r="F12567" s="553">
        <v>823.77</v>
      </c>
      <c r="G12567" s="553">
        <v>383.32</v>
      </c>
      <c r="H12567" s="553">
        <v>82.63</v>
      </c>
      <c r="I12567" s="553">
        <v>352.81</v>
      </c>
      <c r="J12567" s="647">
        <v>700.49</v>
      </c>
    </row>
    <row r="12568" spans="2:10">
      <c r="B12568" s="1230" t="s">
        <v>472</v>
      </c>
      <c r="C12568" s="132" t="s">
        <v>2987</v>
      </c>
      <c r="D12568" s="255">
        <v>38025</v>
      </c>
      <c r="E12568" s="553">
        <v>104.07</v>
      </c>
      <c r="F12568" s="553">
        <v>940.76</v>
      </c>
      <c r="G12568" s="553">
        <v>428.37</v>
      </c>
      <c r="H12568" s="553">
        <v>95.24</v>
      </c>
      <c r="I12568" s="553">
        <v>304.77</v>
      </c>
      <c r="J12568" s="647">
        <v>1595.75</v>
      </c>
    </row>
    <row r="12569" spans="2:10">
      <c r="B12569" s="1230" t="s">
        <v>472</v>
      </c>
      <c r="C12569" s="132" t="s">
        <v>2868</v>
      </c>
      <c r="D12569" s="255">
        <v>38027</v>
      </c>
      <c r="E12569" s="553">
        <v>102.19</v>
      </c>
      <c r="F12569" s="553">
        <v>1110.68</v>
      </c>
      <c r="G12569" s="553">
        <v>650.11</v>
      </c>
      <c r="H12569" s="553">
        <v>110.56</v>
      </c>
      <c r="I12569" s="553">
        <v>439.67</v>
      </c>
      <c r="J12569" s="647">
        <v>1770.21</v>
      </c>
    </row>
    <row r="12570" spans="2:10">
      <c r="B12570" s="1230" t="s">
        <v>472</v>
      </c>
      <c r="C12570" s="132" t="s">
        <v>2988</v>
      </c>
      <c r="D12570" s="255">
        <v>38029</v>
      </c>
      <c r="E12570" s="553">
        <v>116.47</v>
      </c>
      <c r="F12570" s="553">
        <v>1056.6500000000001</v>
      </c>
      <c r="G12570" s="553">
        <v>479.68</v>
      </c>
      <c r="H12570" s="553">
        <v>106.95</v>
      </c>
      <c r="I12570" s="553">
        <v>395.19</v>
      </c>
      <c r="J12570" s="647">
        <v>1757.08</v>
      </c>
    </row>
    <row r="12571" spans="2:10">
      <c r="B12571" s="1230" t="s">
        <v>472</v>
      </c>
      <c r="C12571" s="132" t="s">
        <v>2989</v>
      </c>
      <c r="D12571" s="255">
        <v>38031</v>
      </c>
      <c r="E12571" s="553">
        <v>102.88</v>
      </c>
      <c r="F12571" s="553">
        <v>1125.3</v>
      </c>
      <c r="G12571" s="553">
        <v>638.02</v>
      </c>
      <c r="H12571" s="553">
        <v>111.91</v>
      </c>
      <c r="I12571" s="553">
        <v>444.19</v>
      </c>
      <c r="J12571" s="647">
        <v>1781.05</v>
      </c>
    </row>
    <row r="12572" spans="2:10">
      <c r="B12572" s="1230" t="s">
        <v>472</v>
      </c>
      <c r="C12572" s="132" t="s">
        <v>2768</v>
      </c>
      <c r="D12572" s="255">
        <v>38033</v>
      </c>
      <c r="E12572" s="553">
        <v>114.62</v>
      </c>
      <c r="F12572" s="553">
        <v>827.47</v>
      </c>
      <c r="G12572" s="553">
        <v>386.71</v>
      </c>
      <c r="H12572" s="553">
        <v>85.8</v>
      </c>
      <c r="I12572" s="553">
        <v>298.41000000000003</v>
      </c>
      <c r="J12572" s="647">
        <v>1530.04</v>
      </c>
    </row>
    <row r="12573" spans="2:10">
      <c r="B12573" s="1230" t="s">
        <v>472</v>
      </c>
      <c r="C12573" s="132" t="s">
        <v>2990</v>
      </c>
      <c r="D12573" s="255">
        <v>38035</v>
      </c>
      <c r="E12573" s="553">
        <v>129.31</v>
      </c>
      <c r="F12573" s="553">
        <v>1447.59</v>
      </c>
      <c r="G12573" s="553">
        <v>1343.03</v>
      </c>
      <c r="H12573" s="553">
        <v>143.9</v>
      </c>
      <c r="I12573" s="553">
        <v>513.87</v>
      </c>
      <c r="J12573" s="647">
        <v>1954.18</v>
      </c>
    </row>
    <row r="12574" spans="2:10">
      <c r="B12574" s="1230" t="s">
        <v>472</v>
      </c>
      <c r="C12574" s="132" t="s">
        <v>1850</v>
      </c>
      <c r="D12574" s="255">
        <v>38037</v>
      </c>
      <c r="E12574" s="553">
        <v>108.24</v>
      </c>
      <c r="F12574" s="553">
        <v>1005.57</v>
      </c>
      <c r="G12574" s="553">
        <v>444.13</v>
      </c>
      <c r="H12574" s="553">
        <v>101.54</v>
      </c>
      <c r="I12574" s="553">
        <v>353.44</v>
      </c>
      <c r="J12574" s="647">
        <v>1689.96</v>
      </c>
    </row>
    <row r="12575" spans="2:10">
      <c r="B12575" s="1230" t="s">
        <v>472</v>
      </c>
      <c r="C12575" s="132" t="s">
        <v>2991</v>
      </c>
      <c r="D12575" s="255">
        <v>38039</v>
      </c>
      <c r="E12575" s="553">
        <v>106.35</v>
      </c>
      <c r="F12575" s="553">
        <v>1166.82</v>
      </c>
      <c r="G12575" s="553">
        <v>766.15</v>
      </c>
      <c r="H12575" s="553">
        <v>116.16</v>
      </c>
      <c r="I12575" s="553">
        <v>476.23</v>
      </c>
      <c r="J12575" s="647">
        <v>1811.63</v>
      </c>
    </row>
    <row r="12576" spans="2:10">
      <c r="B12576" s="1230" t="s">
        <v>472</v>
      </c>
      <c r="C12576" s="132" t="s">
        <v>2992</v>
      </c>
      <c r="D12576" s="255">
        <v>38041</v>
      </c>
      <c r="E12576" s="553">
        <v>123.1</v>
      </c>
      <c r="F12576" s="553">
        <v>1027.78</v>
      </c>
      <c r="G12576" s="553">
        <v>453.81</v>
      </c>
      <c r="H12576" s="553">
        <v>104.93</v>
      </c>
      <c r="I12576" s="553">
        <v>316.87</v>
      </c>
      <c r="J12576" s="647">
        <v>1656.67</v>
      </c>
    </row>
    <row r="12577" spans="2:10">
      <c r="B12577" s="1230" t="s">
        <v>472</v>
      </c>
      <c r="C12577" s="132" t="s">
        <v>2993</v>
      </c>
      <c r="D12577" s="255">
        <v>38043</v>
      </c>
      <c r="E12577" s="553">
        <v>123.47</v>
      </c>
      <c r="F12577" s="553">
        <v>1324.14</v>
      </c>
      <c r="G12577" s="553">
        <v>564</v>
      </c>
      <c r="H12577" s="553">
        <v>132.03</v>
      </c>
      <c r="I12577" s="553">
        <v>410.37</v>
      </c>
      <c r="J12577" s="647">
        <v>1868.98</v>
      </c>
    </row>
    <row r="12578" spans="2:10">
      <c r="B12578" s="1230" t="s">
        <v>472</v>
      </c>
      <c r="C12578" s="132" t="s">
        <v>2994</v>
      </c>
      <c r="D12578" s="255">
        <v>38045</v>
      </c>
      <c r="E12578" s="553">
        <v>103.34</v>
      </c>
      <c r="F12578" s="553">
        <v>1177.24</v>
      </c>
      <c r="G12578" s="553">
        <v>729.49</v>
      </c>
      <c r="H12578" s="553">
        <v>116.82</v>
      </c>
      <c r="I12578" s="553">
        <v>473.12</v>
      </c>
      <c r="J12578" s="647">
        <v>1831.2</v>
      </c>
    </row>
    <row r="12579" spans="2:10">
      <c r="B12579" s="1230" t="s">
        <v>472</v>
      </c>
      <c r="C12579" s="132" t="s">
        <v>1860</v>
      </c>
      <c r="D12579" s="255">
        <v>38047</v>
      </c>
      <c r="E12579" s="553">
        <v>99.89</v>
      </c>
      <c r="F12579" s="553">
        <v>1097.4000000000001</v>
      </c>
      <c r="G12579" s="553">
        <v>512.66</v>
      </c>
      <c r="H12579" s="553">
        <v>109.16</v>
      </c>
      <c r="I12579" s="553">
        <v>427.47</v>
      </c>
      <c r="J12579" s="647">
        <v>1780.63</v>
      </c>
    </row>
    <row r="12580" spans="2:10">
      <c r="B12580" s="1230" t="s">
        <v>472</v>
      </c>
      <c r="C12580" s="132" t="s">
        <v>2227</v>
      </c>
      <c r="D12580" s="255">
        <v>38049</v>
      </c>
      <c r="E12580" s="553">
        <v>95.73</v>
      </c>
      <c r="F12580" s="553">
        <v>986.08</v>
      </c>
      <c r="G12580" s="553">
        <v>515.53</v>
      </c>
      <c r="H12580" s="553">
        <v>98.67</v>
      </c>
      <c r="I12580" s="553">
        <v>365.91</v>
      </c>
      <c r="J12580" s="647">
        <v>1675.48</v>
      </c>
    </row>
    <row r="12581" spans="2:10">
      <c r="B12581" s="1230" t="s">
        <v>472</v>
      </c>
      <c r="C12581" s="132" t="s">
        <v>2120</v>
      </c>
      <c r="D12581" s="255">
        <v>38051</v>
      </c>
      <c r="E12581" s="553">
        <v>104.18</v>
      </c>
      <c r="F12581" s="553">
        <v>1139.22</v>
      </c>
      <c r="G12581" s="553">
        <v>510.85</v>
      </c>
      <c r="H12581" s="553">
        <v>113.37</v>
      </c>
      <c r="I12581" s="553">
        <v>430.88</v>
      </c>
      <c r="J12581" s="647">
        <v>1800.27</v>
      </c>
    </row>
    <row r="12582" spans="2:10">
      <c r="B12582" s="1230" t="s">
        <v>472</v>
      </c>
      <c r="C12582" s="132" t="s">
        <v>2995</v>
      </c>
      <c r="D12582" s="255">
        <v>38053</v>
      </c>
      <c r="E12582" s="553">
        <v>95.28</v>
      </c>
      <c r="F12582" s="553">
        <v>877.19</v>
      </c>
      <c r="G12582" s="553">
        <v>406.76</v>
      </c>
      <c r="H12582" s="553">
        <v>88.72</v>
      </c>
      <c r="I12582" s="553">
        <v>292.52999999999997</v>
      </c>
      <c r="J12582" s="647">
        <v>1554.93</v>
      </c>
    </row>
    <row r="12583" spans="2:10">
      <c r="B12583" s="1230" t="s">
        <v>472</v>
      </c>
      <c r="C12583" s="132" t="s">
        <v>2228</v>
      </c>
      <c r="D12583" s="255">
        <v>38055</v>
      </c>
      <c r="E12583" s="553">
        <v>119.81</v>
      </c>
      <c r="F12583" s="553">
        <v>1134.21</v>
      </c>
      <c r="G12583" s="553">
        <v>537.99</v>
      </c>
      <c r="H12583" s="553">
        <v>114.39</v>
      </c>
      <c r="I12583" s="553">
        <v>360.71</v>
      </c>
      <c r="J12583" s="647">
        <v>1738.38</v>
      </c>
    </row>
    <row r="12584" spans="2:10">
      <c r="B12584" s="1230" t="s">
        <v>472</v>
      </c>
      <c r="C12584" s="132" t="s">
        <v>2233</v>
      </c>
      <c r="D12584" s="255">
        <v>38057</v>
      </c>
      <c r="E12584" s="553">
        <v>111.9</v>
      </c>
      <c r="F12584" s="553">
        <v>990.92</v>
      </c>
      <c r="G12584" s="553">
        <v>457.51</v>
      </c>
      <c r="H12584" s="553">
        <v>100.59</v>
      </c>
      <c r="I12584" s="553">
        <v>342.72</v>
      </c>
      <c r="J12584" s="647">
        <v>1674.84</v>
      </c>
    </row>
    <row r="12585" spans="2:10">
      <c r="B12585" s="1230" t="s">
        <v>472</v>
      </c>
      <c r="C12585" s="132" t="s">
        <v>2369</v>
      </c>
      <c r="D12585" s="255">
        <v>38059</v>
      </c>
      <c r="E12585" s="553">
        <v>111.79</v>
      </c>
      <c r="F12585" s="553">
        <v>1022.72</v>
      </c>
      <c r="G12585" s="553">
        <v>459.02</v>
      </c>
      <c r="H12585" s="553">
        <v>103.44</v>
      </c>
      <c r="I12585" s="553">
        <v>358.05</v>
      </c>
      <c r="J12585" s="647">
        <v>1703.85</v>
      </c>
    </row>
    <row r="12586" spans="2:10">
      <c r="B12586" s="1230" t="s">
        <v>472</v>
      </c>
      <c r="C12586" s="132" t="s">
        <v>2996</v>
      </c>
      <c r="D12586" s="255">
        <v>38061</v>
      </c>
      <c r="E12586" s="553">
        <v>97.74</v>
      </c>
      <c r="F12586" s="553">
        <v>993.69</v>
      </c>
      <c r="G12586" s="553">
        <v>449.93</v>
      </c>
      <c r="H12586" s="553">
        <v>99.48</v>
      </c>
      <c r="I12586" s="553">
        <v>303.74</v>
      </c>
      <c r="J12586" s="647">
        <v>1605.27</v>
      </c>
    </row>
    <row r="12587" spans="2:10">
      <c r="B12587" s="1230" t="s">
        <v>472</v>
      </c>
      <c r="C12587" s="132" t="s">
        <v>2443</v>
      </c>
      <c r="D12587" s="255">
        <v>38063</v>
      </c>
      <c r="E12587" s="553">
        <v>99.58</v>
      </c>
      <c r="F12587" s="553">
        <v>1130.3399999999999</v>
      </c>
      <c r="G12587" s="553">
        <v>686.8</v>
      </c>
      <c r="H12587" s="553">
        <v>112.2</v>
      </c>
      <c r="I12587" s="553">
        <v>469.6</v>
      </c>
      <c r="J12587" s="647">
        <v>1792.85</v>
      </c>
    </row>
    <row r="12588" spans="2:10">
      <c r="B12588" s="1230" t="s">
        <v>472</v>
      </c>
      <c r="C12588" s="132" t="s">
        <v>2997</v>
      </c>
      <c r="D12588" s="255">
        <v>38065</v>
      </c>
      <c r="E12588" s="553">
        <v>123.91</v>
      </c>
      <c r="F12588" s="553">
        <v>1068.28</v>
      </c>
      <c r="G12588" s="553">
        <v>502.92</v>
      </c>
      <c r="H12588" s="553">
        <v>108.68</v>
      </c>
      <c r="I12588" s="553">
        <v>354.93</v>
      </c>
      <c r="J12588" s="647">
        <v>1708.96</v>
      </c>
    </row>
    <row r="12589" spans="2:10">
      <c r="B12589" s="1230" t="s">
        <v>472</v>
      </c>
      <c r="C12589" s="132" t="s">
        <v>2998</v>
      </c>
      <c r="D12589" s="255">
        <v>38067</v>
      </c>
      <c r="E12589" s="553">
        <v>94.84</v>
      </c>
      <c r="F12589" s="553">
        <v>1070.29</v>
      </c>
      <c r="G12589" s="553">
        <v>1002.84</v>
      </c>
      <c r="H12589" s="553">
        <v>106.23</v>
      </c>
      <c r="I12589" s="553">
        <v>407.43</v>
      </c>
      <c r="J12589" s="647">
        <v>1505.8</v>
      </c>
    </row>
    <row r="12590" spans="2:10">
      <c r="B12590" s="1230" t="s">
        <v>472</v>
      </c>
      <c r="C12590" s="132" t="s">
        <v>2129</v>
      </c>
      <c r="D12590" s="255">
        <v>38069</v>
      </c>
      <c r="E12590" s="553">
        <v>90.39</v>
      </c>
      <c r="F12590" s="553">
        <v>997.14</v>
      </c>
      <c r="G12590" s="553">
        <v>502.99</v>
      </c>
      <c r="H12590" s="553">
        <v>99.21</v>
      </c>
      <c r="I12590" s="553">
        <v>392.3</v>
      </c>
      <c r="J12590" s="647">
        <v>1699.6</v>
      </c>
    </row>
    <row r="12591" spans="2:10">
      <c r="B12591" s="1230" t="s">
        <v>472</v>
      </c>
      <c r="C12591" s="132" t="s">
        <v>2661</v>
      </c>
      <c r="D12591" s="255">
        <v>38071</v>
      </c>
      <c r="E12591" s="553">
        <v>101.5</v>
      </c>
      <c r="F12591" s="553">
        <v>1138.6199999999999</v>
      </c>
      <c r="G12591" s="553">
        <v>669.38</v>
      </c>
      <c r="H12591" s="553">
        <v>113.12</v>
      </c>
      <c r="I12591" s="553">
        <v>438.02</v>
      </c>
      <c r="J12591" s="647">
        <v>1781.96</v>
      </c>
    </row>
    <row r="12592" spans="2:10">
      <c r="B12592" s="1230" t="s">
        <v>472</v>
      </c>
      <c r="C12592" s="132" t="s">
        <v>2999</v>
      </c>
      <c r="D12592" s="255">
        <v>38073</v>
      </c>
      <c r="E12592" s="553">
        <v>91.45</v>
      </c>
      <c r="F12592" s="553">
        <v>1027.51</v>
      </c>
      <c r="G12592" s="553">
        <v>697.71</v>
      </c>
      <c r="H12592" s="553">
        <v>102.01</v>
      </c>
      <c r="I12592" s="553">
        <v>348.16</v>
      </c>
      <c r="J12592" s="647">
        <v>610.35</v>
      </c>
    </row>
    <row r="12593" spans="2:10">
      <c r="B12593" s="1230" t="s">
        <v>472</v>
      </c>
      <c r="C12593" s="132" t="s">
        <v>2664</v>
      </c>
      <c r="D12593" s="255">
        <v>38075</v>
      </c>
      <c r="E12593" s="553">
        <v>127</v>
      </c>
      <c r="F12593" s="553">
        <v>1243.78</v>
      </c>
      <c r="G12593" s="553">
        <v>514.32000000000005</v>
      </c>
      <c r="H12593" s="553">
        <v>125.04</v>
      </c>
      <c r="I12593" s="553">
        <v>333.38</v>
      </c>
      <c r="J12593" s="647">
        <v>1733.23</v>
      </c>
    </row>
    <row r="12594" spans="2:10">
      <c r="B12594" s="1230" t="s">
        <v>472</v>
      </c>
      <c r="C12594" s="132" t="s">
        <v>2238</v>
      </c>
      <c r="D12594" s="255">
        <v>38077</v>
      </c>
      <c r="E12594" s="553">
        <v>102.98</v>
      </c>
      <c r="F12594" s="553">
        <v>1156.5</v>
      </c>
      <c r="G12594" s="553">
        <v>685.25</v>
      </c>
      <c r="H12594" s="553">
        <v>114.88</v>
      </c>
      <c r="I12594" s="553">
        <v>392.54</v>
      </c>
      <c r="J12594" s="647">
        <v>640.55999999999995</v>
      </c>
    </row>
    <row r="12595" spans="2:10">
      <c r="B12595" s="1230" t="s">
        <v>472</v>
      </c>
      <c r="C12595" s="132" t="s">
        <v>3000</v>
      </c>
      <c r="D12595" s="255">
        <v>38079</v>
      </c>
      <c r="E12595" s="553">
        <v>92.51</v>
      </c>
      <c r="F12595" s="553">
        <v>1007.27</v>
      </c>
      <c r="G12595" s="553">
        <v>502.57</v>
      </c>
      <c r="H12595" s="553">
        <v>100.33</v>
      </c>
      <c r="I12595" s="553">
        <v>385.42</v>
      </c>
      <c r="J12595" s="647">
        <v>1686.16</v>
      </c>
    </row>
    <row r="12596" spans="2:10">
      <c r="B12596" s="1230" t="s">
        <v>472</v>
      </c>
      <c r="C12596" s="132" t="s">
        <v>3001</v>
      </c>
      <c r="D12596" s="255">
        <v>38081</v>
      </c>
      <c r="E12596" s="553">
        <v>94.31</v>
      </c>
      <c r="F12596" s="553">
        <v>1061.8800000000001</v>
      </c>
      <c r="G12596" s="553">
        <v>687.6</v>
      </c>
      <c r="H12596" s="553">
        <v>105.41</v>
      </c>
      <c r="I12596" s="553">
        <v>348.94</v>
      </c>
      <c r="J12596" s="647">
        <v>619.63</v>
      </c>
    </row>
    <row r="12597" spans="2:10">
      <c r="B12597" s="1230" t="s">
        <v>472</v>
      </c>
      <c r="C12597" s="132" t="s">
        <v>2388</v>
      </c>
      <c r="D12597" s="255">
        <v>38083</v>
      </c>
      <c r="E12597" s="553">
        <v>98.65</v>
      </c>
      <c r="F12597" s="553">
        <v>983.42</v>
      </c>
      <c r="G12597" s="553">
        <v>475.47</v>
      </c>
      <c r="H12597" s="553">
        <v>98.68</v>
      </c>
      <c r="I12597" s="553">
        <v>382.82</v>
      </c>
      <c r="J12597" s="647">
        <v>1694.85</v>
      </c>
    </row>
    <row r="12598" spans="2:10">
      <c r="B12598" s="1230" t="s">
        <v>472</v>
      </c>
      <c r="C12598" s="132" t="s">
        <v>2328</v>
      </c>
      <c r="D12598" s="255">
        <v>38085</v>
      </c>
      <c r="E12598" s="553">
        <v>113.32</v>
      </c>
      <c r="F12598" s="553">
        <v>1021.71</v>
      </c>
      <c r="G12598" s="553">
        <v>458.23</v>
      </c>
      <c r="H12598" s="553">
        <v>103.52</v>
      </c>
      <c r="I12598" s="553">
        <v>373.85</v>
      </c>
      <c r="J12598" s="647">
        <v>1724.21</v>
      </c>
    </row>
    <row r="12599" spans="2:10">
      <c r="B12599" s="1230" t="s">
        <v>472</v>
      </c>
      <c r="C12599" s="132" t="s">
        <v>3002</v>
      </c>
      <c r="D12599" s="255">
        <v>38087</v>
      </c>
      <c r="E12599" s="553">
        <v>103.97</v>
      </c>
      <c r="F12599" s="553">
        <v>837.82</v>
      </c>
      <c r="G12599" s="553">
        <v>393.37</v>
      </c>
      <c r="H12599" s="553">
        <v>85.78</v>
      </c>
      <c r="I12599" s="553">
        <v>307.81</v>
      </c>
      <c r="J12599" s="647">
        <v>1545.34</v>
      </c>
    </row>
    <row r="12600" spans="2:10">
      <c r="B12600" s="1230" t="s">
        <v>472</v>
      </c>
      <c r="C12600" s="132" t="s">
        <v>2242</v>
      </c>
      <c r="D12600" s="255">
        <v>38089</v>
      </c>
      <c r="E12600" s="553">
        <v>117.96</v>
      </c>
      <c r="F12600" s="553">
        <v>986.17</v>
      </c>
      <c r="G12600" s="553">
        <v>450.58</v>
      </c>
      <c r="H12600" s="553">
        <v>100.68</v>
      </c>
      <c r="I12600" s="553">
        <v>309.83999999999997</v>
      </c>
      <c r="J12600" s="647">
        <v>1636.13</v>
      </c>
    </row>
    <row r="12601" spans="2:10">
      <c r="B12601" s="1230" t="s">
        <v>472</v>
      </c>
      <c r="C12601" s="132" t="s">
        <v>2671</v>
      </c>
      <c r="D12601" s="255">
        <v>38091</v>
      </c>
      <c r="E12601" s="553">
        <v>116.64</v>
      </c>
      <c r="F12601" s="553">
        <v>1281.3800000000001</v>
      </c>
      <c r="G12601" s="553">
        <v>1380.76</v>
      </c>
      <c r="H12601" s="553">
        <v>127.47</v>
      </c>
      <c r="I12601" s="553">
        <v>504.61</v>
      </c>
      <c r="J12601" s="647">
        <v>1854.49</v>
      </c>
    </row>
    <row r="12602" spans="2:10">
      <c r="B12602" s="1230" t="s">
        <v>472</v>
      </c>
      <c r="C12602" s="132" t="s">
        <v>3003</v>
      </c>
      <c r="D12602" s="255">
        <v>38093</v>
      </c>
      <c r="E12602" s="553">
        <v>104.12</v>
      </c>
      <c r="F12602" s="553">
        <v>1177.8399999999999</v>
      </c>
      <c r="G12602" s="553">
        <v>695.97</v>
      </c>
      <c r="H12602" s="553">
        <v>116.97</v>
      </c>
      <c r="I12602" s="553">
        <v>446.49</v>
      </c>
      <c r="J12602" s="647">
        <v>1817.96</v>
      </c>
    </row>
    <row r="12603" spans="2:10">
      <c r="B12603" s="1230" t="s">
        <v>472</v>
      </c>
      <c r="C12603" s="132" t="s">
        <v>3004</v>
      </c>
      <c r="D12603" s="255">
        <v>38095</v>
      </c>
      <c r="E12603" s="553">
        <v>93.23</v>
      </c>
      <c r="F12603" s="553">
        <v>1033.07</v>
      </c>
      <c r="G12603" s="553">
        <v>608.09</v>
      </c>
      <c r="H12603" s="553">
        <v>102.69</v>
      </c>
      <c r="I12603" s="553">
        <v>408.95</v>
      </c>
      <c r="J12603" s="647">
        <v>1711.02</v>
      </c>
    </row>
    <row r="12604" spans="2:10">
      <c r="B12604" s="1230" t="s">
        <v>472</v>
      </c>
      <c r="C12604" s="132" t="s">
        <v>3005</v>
      </c>
      <c r="D12604" s="255">
        <v>38097</v>
      </c>
      <c r="E12604" s="553">
        <v>116.54</v>
      </c>
      <c r="F12604" s="553">
        <v>1309.53</v>
      </c>
      <c r="G12604" s="553">
        <v>1003.07</v>
      </c>
      <c r="H12604" s="553">
        <v>130.06</v>
      </c>
      <c r="I12604" s="553">
        <v>540.46</v>
      </c>
      <c r="J12604" s="647">
        <v>1887.25</v>
      </c>
    </row>
    <row r="12605" spans="2:10">
      <c r="B12605" s="1230" t="s">
        <v>472</v>
      </c>
      <c r="C12605" s="132" t="s">
        <v>3006</v>
      </c>
      <c r="D12605" s="255">
        <v>38099</v>
      </c>
      <c r="E12605" s="553">
        <v>120.9</v>
      </c>
      <c r="F12605" s="553">
        <v>1380.65</v>
      </c>
      <c r="G12605" s="553">
        <v>1193.58</v>
      </c>
      <c r="H12605" s="553">
        <v>136.97999999999999</v>
      </c>
      <c r="I12605" s="553">
        <v>485.51</v>
      </c>
      <c r="J12605" s="647">
        <v>1897.29</v>
      </c>
    </row>
    <row r="12606" spans="2:10">
      <c r="B12606" s="1230" t="s">
        <v>472</v>
      </c>
      <c r="C12606" s="132" t="s">
        <v>3007</v>
      </c>
      <c r="D12606" s="255">
        <v>38101</v>
      </c>
      <c r="E12606" s="553">
        <v>107.08</v>
      </c>
      <c r="F12606" s="553">
        <v>1047.52</v>
      </c>
      <c r="G12606" s="553">
        <v>472.45</v>
      </c>
      <c r="H12606" s="553">
        <v>105.31</v>
      </c>
      <c r="I12606" s="553">
        <v>336.57</v>
      </c>
      <c r="J12606" s="647">
        <v>1675.66</v>
      </c>
    </row>
    <row r="12607" spans="2:10">
      <c r="B12607" s="1230" t="s">
        <v>472</v>
      </c>
      <c r="C12607" s="132" t="s">
        <v>2289</v>
      </c>
      <c r="D12607" s="255">
        <v>38103</v>
      </c>
      <c r="E12607" s="553">
        <v>100.95</v>
      </c>
      <c r="F12607" s="553">
        <v>1043.2</v>
      </c>
      <c r="G12607" s="553">
        <v>748.38</v>
      </c>
      <c r="H12607" s="553">
        <v>104.28</v>
      </c>
      <c r="I12607" s="553">
        <v>408.27</v>
      </c>
      <c r="J12607" s="647">
        <v>1739.32</v>
      </c>
    </row>
    <row r="12608" spans="2:10">
      <c r="B12608" s="1230" t="s">
        <v>472</v>
      </c>
      <c r="C12608" s="132" t="s">
        <v>3008</v>
      </c>
      <c r="D12608" s="255">
        <v>38105</v>
      </c>
      <c r="E12608" s="553">
        <v>94.49</v>
      </c>
      <c r="F12608" s="553">
        <v>902.18</v>
      </c>
      <c r="G12608" s="553">
        <v>416.19</v>
      </c>
      <c r="H12608" s="553">
        <v>90.93</v>
      </c>
      <c r="I12608" s="553">
        <v>373.67</v>
      </c>
      <c r="J12608" s="647">
        <v>720.49</v>
      </c>
    </row>
    <row r="12609" spans="2:10">
      <c r="B12609" s="1230" t="s">
        <v>473</v>
      </c>
      <c r="C12609" s="132" t="s">
        <v>1940</v>
      </c>
      <c r="D12609" s="255">
        <v>39001</v>
      </c>
      <c r="E12609" s="553">
        <v>345.83</v>
      </c>
      <c r="F12609" s="553">
        <v>4264.97</v>
      </c>
      <c r="G12609" s="553">
        <v>285.16000000000003</v>
      </c>
      <c r="H12609" s="553">
        <v>420.35</v>
      </c>
      <c r="I12609" s="553">
        <v>7390.5</v>
      </c>
      <c r="J12609" s="647">
        <v>2535</v>
      </c>
    </row>
    <row r="12610" spans="2:10">
      <c r="B12610" s="1230" t="s">
        <v>473</v>
      </c>
      <c r="C12610" s="132" t="s">
        <v>2252</v>
      </c>
      <c r="D12610" s="255">
        <v>39003</v>
      </c>
      <c r="E12610" s="553">
        <v>486.89</v>
      </c>
      <c r="F12610" s="553">
        <v>6213.67</v>
      </c>
      <c r="G12610" s="553">
        <v>780.92</v>
      </c>
      <c r="H12610" s="553">
        <v>611.23</v>
      </c>
      <c r="I12610" s="553">
        <v>2501.41</v>
      </c>
      <c r="J12610" s="647">
        <v>3259.16</v>
      </c>
    </row>
    <row r="12611" spans="2:10">
      <c r="B12611" s="1230" t="s">
        <v>473</v>
      </c>
      <c r="C12611" s="132" t="s">
        <v>3009</v>
      </c>
      <c r="D12611" s="255">
        <v>39005</v>
      </c>
      <c r="E12611" s="553">
        <v>679.1</v>
      </c>
      <c r="F12611" s="553">
        <v>8939.18</v>
      </c>
      <c r="G12611" s="553">
        <v>935.8</v>
      </c>
      <c r="H12611" s="553">
        <v>877.18</v>
      </c>
      <c r="I12611" s="553">
        <v>3601.35</v>
      </c>
      <c r="J12611" s="647">
        <v>4175.38</v>
      </c>
    </row>
    <row r="12612" spans="2:10">
      <c r="B12612" s="1230" t="s">
        <v>473</v>
      </c>
      <c r="C12612" s="132" t="s">
        <v>3010</v>
      </c>
      <c r="D12612" s="255">
        <v>39007</v>
      </c>
      <c r="E12612" s="553">
        <v>488.46</v>
      </c>
      <c r="F12612" s="553">
        <v>6535.52</v>
      </c>
      <c r="G12612" s="553">
        <v>303.04000000000002</v>
      </c>
      <c r="H12612" s="553">
        <v>640.45000000000005</v>
      </c>
      <c r="I12612" s="553">
        <v>12494.3</v>
      </c>
      <c r="J12612" s="647">
        <v>2967.38</v>
      </c>
    </row>
    <row r="12613" spans="2:10">
      <c r="B12613" s="1230" t="s">
        <v>473</v>
      </c>
      <c r="C12613" s="132" t="s">
        <v>3011</v>
      </c>
      <c r="D12613" s="255">
        <v>39009</v>
      </c>
      <c r="E12613" s="553">
        <v>282.61</v>
      </c>
      <c r="F12613" s="553">
        <v>3563.89</v>
      </c>
      <c r="G12613" s="553">
        <v>222.33</v>
      </c>
      <c r="H12613" s="553">
        <v>350.73</v>
      </c>
      <c r="I12613" s="553">
        <v>6186.21</v>
      </c>
      <c r="J12613" s="647">
        <v>2277.3200000000002</v>
      </c>
    </row>
    <row r="12614" spans="2:10">
      <c r="B12614" s="1230" t="s">
        <v>473</v>
      </c>
      <c r="C12614" s="132" t="s">
        <v>3012</v>
      </c>
      <c r="D12614" s="255">
        <v>39011</v>
      </c>
      <c r="E12614" s="553">
        <v>512.66</v>
      </c>
      <c r="F12614" s="553">
        <v>6526.44</v>
      </c>
      <c r="G12614" s="553">
        <v>879.44</v>
      </c>
      <c r="H12614" s="553">
        <v>642.11</v>
      </c>
      <c r="I12614" s="553">
        <v>2525.9899999999998</v>
      </c>
      <c r="J12614" s="647">
        <v>3345.49</v>
      </c>
    </row>
    <row r="12615" spans="2:10">
      <c r="B12615" s="1230" t="s">
        <v>473</v>
      </c>
      <c r="C12615" s="132" t="s">
        <v>3013</v>
      </c>
      <c r="D12615" s="255">
        <v>39013</v>
      </c>
      <c r="E12615" s="553">
        <v>480.63</v>
      </c>
      <c r="F12615" s="553">
        <v>6560.38</v>
      </c>
      <c r="G12615" s="553">
        <v>262.44</v>
      </c>
      <c r="H12615" s="553">
        <v>642</v>
      </c>
      <c r="I12615" s="553">
        <v>7588.64</v>
      </c>
      <c r="J12615" s="647">
        <v>3247.23</v>
      </c>
    </row>
    <row r="12616" spans="2:10">
      <c r="B12616" s="1230" t="s">
        <v>473</v>
      </c>
      <c r="C12616" s="132" t="s">
        <v>2200</v>
      </c>
      <c r="D12616" s="255">
        <v>39015</v>
      </c>
      <c r="E12616" s="553">
        <v>632.44000000000005</v>
      </c>
      <c r="F12616" s="553">
        <v>7464</v>
      </c>
      <c r="G12616" s="553">
        <v>519.70000000000005</v>
      </c>
      <c r="H12616" s="553">
        <v>738.23</v>
      </c>
      <c r="I12616" s="553">
        <v>13364.14</v>
      </c>
      <c r="J12616" s="647">
        <v>3419.46</v>
      </c>
    </row>
    <row r="12617" spans="2:10">
      <c r="B12617" s="1230" t="s">
        <v>473</v>
      </c>
      <c r="C12617" s="132" t="s">
        <v>1725</v>
      </c>
      <c r="D12617" s="255">
        <v>39017</v>
      </c>
      <c r="E12617" s="553">
        <v>1685.63</v>
      </c>
      <c r="F12617" s="553">
        <v>20047.919999999998</v>
      </c>
      <c r="G12617" s="553">
        <v>546.52</v>
      </c>
      <c r="H12617" s="553">
        <v>1981.87</v>
      </c>
      <c r="I12617" s="553">
        <v>43587.66</v>
      </c>
      <c r="J12617" s="647">
        <v>5664.4</v>
      </c>
    </row>
    <row r="12618" spans="2:10">
      <c r="B12618" s="1230" t="s">
        <v>473</v>
      </c>
      <c r="C12618" s="132" t="s">
        <v>1835</v>
      </c>
      <c r="D12618" s="255">
        <v>39019</v>
      </c>
      <c r="E12618" s="553">
        <v>612.1</v>
      </c>
      <c r="F12618" s="553">
        <v>8253.48</v>
      </c>
      <c r="G12618" s="553">
        <v>581.76</v>
      </c>
      <c r="H12618" s="553">
        <v>808.38</v>
      </c>
      <c r="I12618" s="553">
        <v>7216.92</v>
      </c>
      <c r="J12618" s="647">
        <v>3864.63</v>
      </c>
    </row>
    <row r="12619" spans="2:10">
      <c r="B12619" s="1230" t="s">
        <v>473</v>
      </c>
      <c r="C12619" s="132" t="s">
        <v>2203</v>
      </c>
      <c r="D12619" s="255">
        <v>39021</v>
      </c>
      <c r="E12619" s="553">
        <v>589.82000000000005</v>
      </c>
      <c r="F12619" s="553">
        <v>7380.92</v>
      </c>
      <c r="G12619" s="553">
        <v>878.15</v>
      </c>
      <c r="H12619" s="553">
        <v>727.04</v>
      </c>
      <c r="I12619" s="553">
        <v>3812.62</v>
      </c>
      <c r="J12619" s="647">
        <v>3594.81</v>
      </c>
    </row>
    <row r="12620" spans="2:10">
      <c r="B12620" s="1230" t="s">
        <v>473</v>
      </c>
      <c r="C12620" s="132" t="s">
        <v>1837</v>
      </c>
      <c r="D12620" s="255">
        <v>39023</v>
      </c>
      <c r="E12620" s="553">
        <v>795.14</v>
      </c>
      <c r="F12620" s="553">
        <v>9634.48</v>
      </c>
      <c r="G12620" s="553">
        <v>1003.08</v>
      </c>
      <c r="H12620" s="553">
        <v>951.3</v>
      </c>
      <c r="I12620" s="553">
        <v>4308.91</v>
      </c>
      <c r="J12620" s="647">
        <v>4216.24</v>
      </c>
    </row>
    <row r="12621" spans="2:10">
      <c r="B12621" s="1230" t="s">
        <v>473</v>
      </c>
      <c r="C12621" s="132" t="s">
        <v>3014</v>
      </c>
      <c r="D12621" s="255">
        <v>39025</v>
      </c>
      <c r="E12621" s="553">
        <v>911.63</v>
      </c>
      <c r="F12621" s="553">
        <v>10453.32</v>
      </c>
      <c r="G12621" s="553">
        <v>390.7</v>
      </c>
      <c r="H12621" s="553">
        <v>1036.1300000000001</v>
      </c>
      <c r="I12621" s="553">
        <v>22826.36</v>
      </c>
      <c r="J12621" s="647">
        <v>3829.37</v>
      </c>
    </row>
    <row r="12622" spans="2:10">
      <c r="B12622" s="1230" t="s">
        <v>473</v>
      </c>
      <c r="C12622" s="132" t="s">
        <v>2205</v>
      </c>
      <c r="D12622" s="255">
        <v>39027</v>
      </c>
      <c r="E12622" s="553">
        <v>535.91</v>
      </c>
      <c r="F12622" s="553">
        <v>6536.48</v>
      </c>
      <c r="G12622" s="553">
        <v>860.8</v>
      </c>
      <c r="H12622" s="553">
        <v>645.01</v>
      </c>
      <c r="I12622" s="553">
        <v>4973.6000000000004</v>
      </c>
      <c r="J12622" s="647">
        <v>3482.17</v>
      </c>
    </row>
    <row r="12623" spans="2:10">
      <c r="B12623" s="1230" t="s">
        <v>473</v>
      </c>
      <c r="C12623" s="132" t="s">
        <v>3015</v>
      </c>
      <c r="D12623" s="255">
        <v>39029</v>
      </c>
      <c r="E12623" s="553">
        <v>810.58</v>
      </c>
      <c r="F12623" s="553">
        <v>11258.35</v>
      </c>
      <c r="G12623" s="553">
        <v>799.43</v>
      </c>
      <c r="H12623" s="553">
        <v>1100.3800000000001</v>
      </c>
      <c r="I12623" s="553">
        <v>7737.41</v>
      </c>
      <c r="J12623" s="647">
        <v>4791.1899999999996</v>
      </c>
    </row>
    <row r="12624" spans="2:10">
      <c r="B12624" s="1230" t="s">
        <v>473</v>
      </c>
      <c r="C12624" s="132" t="s">
        <v>3016</v>
      </c>
      <c r="D12624" s="255">
        <v>39031</v>
      </c>
      <c r="E12624" s="553">
        <v>448.4</v>
      </c>
      <c r="F12624" s="553">
        <v>5945.65</v>
      </c>
      <c r="G12624" s="553">
        <v>484.07</v>
      </c>
      <c r="H12624" s="553">
        <v>582.98</v>
      </c>
      <c r="I12624" s="553">
        <v>6945.24</v>
      </c>
      <c r="J12624" s="647">
        <v>3163.18</v>
      </c>
    </row>
    <row r="12625" spans="2:10">
      <c r="B12625" s="1230" t="s">
        <v>473</v>
      </c>
      <c r="C12625" s="132" t="s">
        <v>1842</v>
      </c>
      <c r="D12625" s="255">
        <v>39033</v>
      </c>
      <c r="E12625" s="553">
        <v>388.92</v>
      </c>
      <c r="F12625" s="553">
        <v>5030.01</v>
      </c>
      <c r="G12625" s="553">
        <v>684.22</v>
      </c>
      <c r="H12625" s="553">
        <v>494.14</v>
      </c>
      <c r="I12625" s="553">
        <v>3223.42</v>
      </c>
      <c r="J12625" s="647">
        <v>2947.55</v>
      </c>
    </row>
    <row r="12626" spans="2:10">
      <c r="B12626" s="1230" t="s">
        <v>473</v>
      </c>
      <c r="C12626" s="132" t="s">
        <v>3017</v>
      </c>
      <c r="D12626" s="255">
        <v>39035</v>
      </c>
      <c r="E12626" s="553">
        <v>1715.33</v>
      </c>
      <c r="F12626" s="553">
        <v>23464.27</v>
      </c>
      <c r="G12626" s="553">
        <v>2189.04</v>
      </c>
      <c r="H12626" s="553">
        <v>2295.25</v>
      </c>
      <c r="I12626" s="553">
        <v>5275.63</v>
      </c>
      <c r="J12626" s="647">
        <v>8131.24</v>
      </c>
    </row>
    <row r="12627" spans="2:10">
      <c r="B12627" s="1230" t="s">
        <v>473</v>
      </c>
      <c r="C12627" s="132" t="s">
        <v>3018</v>
      </c>
      <c r="D12627" s="255">
        <v>39037</v>
      </c>
      <c r="E12627" s="553">
        <v>489.95</v>
      </c>
      <c r="F12627" s="553">
        <v>6145.58</v>
      </c>
      <c r="G12627" s="553">
        <v>857.74</v>
      </c>
      <c r="H12627" s="553">
        <v>605.20000000000005</v>
      </c>
      <c r="I12627" s="553">
        <v>3368.18</v>
      </c>
      <c r="J12627" s="647">
        <v>3444.69</v>
      </c>
    </row>
    <row r="12628" spans="2:10">
      <c r="B12628" s="1230" t="s">
        <v>473</v>
      </c>
      <c r="C12628" s="132" t="s">
        <v>3019</v>
      </c>
      <c r="D12628" s="255">
        <v>39039</v>
      </c>
      <c r="E12628" s="553">
        <v>409.5</v>
      </c>
      <c r="F12628" s="553">
        <v>5137.8</v>
      </c>
      <c r="G12628" s="553">
        <v>823.74</v>
      </c>
      <c r="H12628" s="553">
        <v>505.99</v>
      </c>
      <c r="I12628" s="553">
        <v>3101.41</v>
      </c>
      <c r="J12628" s="647">
        <v>2923.84</v>
      </c>
    </row>
    <row r="12629" spans="2:10">
      <c r="B12629" s="1230" t="s">
        <v>473</v>
      </c>
      <c r="C12629" s="132" t="s">
        <v>443</v>
      </c>
      <c r="D12629" s="255">
        <v>39041</v>
      </c>
      <c r="E12629" s="553">
        <v>615.02</v>
      </c>
      <c r="F12629" s="553">
        <v>6905.83</v>
      </c>
      <c r="G12629" s="553">
        <v>452.21</v>
      </c>
      <c r="H12629" s="553">
        <v>685.89</v>
      </c>
      <c r="I12629" s="553">
        <v>5637.34</v>
      </c>
      <c r="J12629" s="647">
        <v>3309.55</v>
      </c>
    </row>
    <row r="12630" spans="2:10">
      <c r="B12630" s="1230" t="s">
        <v>473</v>
      </c>
      <c r="C12630" s="132" t="s">
        <v>2894</v>
      </c>
      <c r="D12630" s="255">
        <v>39043</v>
      </c>
      <c r="E12630" s="553">
        <v>414.72</v>
      </c>
      <c r="F12630" s="553">
        <v>5517.53</v>
      </c>
      <c r="G12630" s="553">
        <v>490.08</v>
      </c>
      <c r="H12630" s="553">
        <v>540.91999999999996</v>
      </c>
      <c r="I12630" s="553">
        <v>3897.28</v>
      </c>
      <c r="J12630" s="647">
        <v>2941.22</v>
      </c>
    </row>
    <row r="12631" spans="2:10">
      <c r="B12631" s="1230" t="s">
        <v>473</v>
      </c>
      <c r="C12631" s="132" t="s">
        <v>1994</v>
      </c>
      <c r="D12631" s="255">
        <v>39045</v>
      </c>
      <c r="E12631" s="553">
        <v>619.85</v>
      </c>
      <c r="F12631" s="553">
        <v>7213.49</v>
      </c>
      <c r="G12631" s="553">
        <v>608.01</v>
      </c>
      <c r="H12631" s="553">
        <v>714.46</v>
      </c>
      <c r="I12631" s="553">
        <v>8114.4</v>
      </c>
      <c r="J12631" s="647">
        <v>3450.3</v>
      </c>
    </row>
    <row r="12632" spans="2:10">
      <c r="B12632" s="1230" t="s">
        <v>473</v>
      </c>
      <c r="C12632" s="132" t="s">
        <v>1747</v>
      </c>
      <c r="D12632" s="255">
        <v>39047</v>
      </c>
      <c r="E12632" s="553">
        <v>484.96</v>
      </c>
      <c r="F12632" s="553">
        <v>5774.2</v>
      </c>
      <c r="G12632" s="553">
        <v>695.76</v>
      </c>
      <c r="H12632" s="553">
        <v>570.79999999999995</v>
      </c>
      <c r="I12632" s="553">
        <v>6172.26</v>
      </c>
      <c r="J12632" s="647">
        <v>3161.93</v>
      </c>
    </row>
    <row r="12633" spans="2:10">
      <c r="B12633" s="1230" t="s">
        <v>473</v>
      </c>
      <c r="C12633" s="132" t="s">
        <v>1748</v>
      </c>
      <c r="D12633" s="255">
        <v>39049</v>
      </c>
      <c r="E12633" s="553">
        <v>1479.83</v>
      </c>
      <c r="F12633" s="553">
        <v>16153.33</v>
      </c>
      <c r="G12633" s="553">
        <v>641.19000000000005</v>
      </c>
      <c r="H12633" s="553">
        <v>1608.73</v>
      </c>
      <c r="I12633" s="553">
        <v>31203.31</v>
      </c>
      <c r="J12633" s="647">
        <v>5212.34</v>
      </c>
    </row>
    <row r="12634" spans="2:10">
      <c r="B12634" s="1230" t="s">
        <v>473</v>
      </c>
      <c r="C12634" s="132" t="s">
        <v>1848</v>
      </c>
      <c r="D12634" s="255">
        <v>39051</v>
      </c>
      <c r="E12634" s="553">
        <v>454.67</v>
      </c>
      <c r="F12634" s="553">
        <v>5674.8</v>
      </c>
      <c r="G12634" s="553">
        <v>613.01</v>
      </c>
      <c r="H12634" s="553">
        <v>559</v>
      </c>
      <c r="I12634" s="553">
        <v>5374.06</v>
      </c>
      <c r="J12634" s="647">
        <v>2934.91</v>
      </c>
    </row>
    <row r="12635" spans="2:10">
      <c r="B12635" s="1230" t="s">
        <v>473</v>
      </c>
      <c r="C12635" s="132" t="s">
        <v>3020</v>
      </c>
      <c r="D12635" s="255">
        <v>39053</v>
      </c>
      <c r="E12635" s="553">
        <v>387.26</v>
      </c>
      <c r="F12635" s="553">
        <v>5028.3599999999997</v>
      </c>
      <c r="G12635" s="553">
        <v>203.35</v>
      </c>
      <c r="H12635" s="553">
        <v>493.6</v>
      </c>
      <c r="I12635" s="553">
        <v>10464.299999999999</v>
      </c>
      <c r="J12635" s="647">
        <v>2537.48</v>
      </c>
    </row>
    <row r="12636" spans="2:10">
      <c r="B12636" s="1230" t="s">
        <v>473</v>
      </c>
      <c r="C12636" s="132" t="s">
        <v>3021</v>
      </c>
      <c r="D12636" s="255">
        <v>39055</v>
      </c>
      <c r="E12636" s="553">
        <v>766.41</v>
      </c>
      <c r="F12636" s="553">
        <v>10070.59</v>
      </c>
      <c r="G12636" s="553">
        <v>740.51</v>
      </c>
      <c r="H12636" s="553">
        <v>988.06</v>
      </c>
      <c r="I12636" s="553">
        <v>13925.33</v>
      </c>
      <c r="J12636" s="647">
        <v>3935.73</v>
      </c>
    </row>
    <row r="12637" spans="2:10">
      <c r="B12637" s="1230" t="s">
        <v>473</v>
      </c>
      <c r="C12637" s="132" t="s">
        <v>1750</v>
      </c>
      <c r="D12637" s="255">
        <v>39057</v>
      </c>
      <c r="E12637" s="553">
        <v>697.05</v>
      </c>
      <c r="F12637" s="553">
        <v>8600.5300000000007</v>
      </c>
      <c r="G12637" s="553">
        <v>891.48</v>
      </c>
      <c r="H12637" s="553">
        <v>848</v>
      </c>
      <c r="I12637" s="553">
        <v>4069.4</v>
      </c>
      <c r="J12637" s="647">
        <v>3904.06</v>
      </c>
    </row>
    <row r="12638" spans="2:10">
      <c r="B12638" s="1230" t="s">
        <v>473</v>
      </c>
      <c r="C12638" s="132" t="s">
        <v>3022</v>
      </c>
      <c r="D12638" s="255">
        <v>39059</v>
      </c>
      <c r="E12638" s="553">
        <v>347.13</v>
      </c>
      <c r="F12638" s="553">
        <v>4528.59</v>
      </c>
      <c r="G12638" s="553">
        <v>285.08</v>
      </c>
      <c r="H12638" s="553">
        <v>444.58</v>
      </c>
      <c r="I12638" s="553">
        <v>5812.65</v>
      </c>
      <c r="J12638" s="647">
        <v>2649.29</v>
      </c>
    </row>
    <row r="12639" spans="2:10">
      <c r="B12639" s="1230" t="s">
        <v>473</v>
      </c>
      <c r="C12639" s="132" t="s">
        <v>2023</v>
      </c>
      <c r="D12639" s="255">
        <v>39061</v>
      </c>
      <c r="E12639" s="553">
        <v>2110.73</v>
      </c>
      <c r="F12639" s="553">
        <v>24589.71</v>
      </c>
      <c r="G12639" s="553">
        <v>443.88</v>
      </c>
      <c r="H12639" s="553">
        <v>2434.92</v>
      </c>
      <c r="I12639" s="553">
        <v>59738.12</v>
      </c>
      <c r="J12639" s="647">
        <v>6063.31</v>
      </c>
    </row>
    <row r="12640" spans="2:10">
      <c r="B12640" s="1230" t="s">
        <v>473</v>
      </c>
      <c r="C12640" s="132" t="s">
        <v>2105</v>
      </c>
      <c r="D12640" s="255">
        <v>39063</v>
      </c>
      <c r="E12640" s="553">
        <v>417.63</v>
      </c>
      <c r="F12640" s="553">
        <v>5364.88</v>
      </c>
      <c r="G12640" s="553">
        <v>772.46</v>
      </c>
      <c r="H12640" s="553">
        <v>527.51</v>
      </c>
      <c r="I12640" s="553">
        <v>3016.63</v>
      </c>
      <c r="J12640" s="647">
        <v>3129.47</v>
      </c>
    </row>
    <row r="12641" spans="2:10">
      <c r="B12641" s="1230" t="s">
        <v>473</v>
      </c>
      <c r="C12641" s="132" t="s">
        <v>2215</v>
      </c>
      <c r="D12641" s="255">
        <v>39065</v>
      </c>
      <c r="E12641" s="553">
        <v>377.35</v>
      </c>
      <c r="F12641" s="553">
        <v>4762.66</v>
      </c>
      <c r="G12641" s="553">
        <v>693.86</v>
      </c>
      <c r="H12641" s="553">
        <v>468.79</v>
      </c>
      <c r="I12641" s="553">
        <v>2828.89</v>
      </c>
      <c r="J12641" s="647">
        <v>2902.14</v>
      </c>
    </row>
    <row r="12642" spans="2:10">
      <c r="B12642" s="1230" t="s">
        <v>473</v>
      </c>
      <c r="C12642" s="132" t="s">
        <v>2261</v>
      </c>
      <c r="D12642" s="255">
        <v>39067</v>
      </c>
      <c r="E12642" s="553">
        <v>524.36</v>
      </c>
      <c r="F12642" s="553">
        <v>7091.02</v>
      </c>
      <c r="G12642" s="553">
        <v>386.5</v>
      </c>
      <c r="H12642" s="553">
        <v>694.38</v>
      </c>
      <c r="I12642" s="553">
        <v>10272.57</v>
      </c>
      <c r="J12642" s="647">
        <v>3377.29</v>
      </c>
    </row>
    <row r="12643" spans="2:10">
      <c r="B12643" s="1230" t="s">
        <v>473</v>
      </c>
      <c r="C12643" s="132" t="s">
        <v>1752</v>
      </c>
      <c r="D12643" s="255">
        <v>39069</v>
      </c>
      <c r="E12643" s="553">
        <v>452.49</v>
      </c>
      <c r="F12643" s="553">
        <v>5673.61</v>
      </c>
      <c r="G12643" s="553">
        <v>723.71</v>
      </c>
      <c r="H12643" s="553">
        <v>558.67999999999995</v>
      </c>
      <c r="I12643" s="553">
        <v>3628.13</v>
      </c>
      <c r="J12643" s="647">
        <v>3049.7</v>
      </c>
    </row>
    <row r="12644" spans="2:10">
      <c r="B12644" s="1230" t="s">
        <v>473</v>
      </c>
      <c r="C12644" s="132" t="s">
        <v>3023</v>
      </c>
      <c r="D12644" s="255">
        <v>39071</v>
      </c>
      <c r="E12644" s="553">
        <v>429.36</v>
      </c>
      <c r="F12644" s="553">
        <v>5227.82</v>
      </c>
      <c r="G12644" s="553">
        <v>578.17999999999995</v>
      </c>
      <c r="H12644" s="553">
        <v>515.91999999999996</v>
      </c>
      <c r="I12644" s="553">
        <v>6079.89</v>
      </c>
      <c r="J12644" s="647">
        <v>3011.97</v>
      </c>
    </row>
    <row r="12645" spans="2:10">
      <c r="B12645" s="1230" t="s">
        <v>473</v>
      </c>
      <c r="C12645" s="132" t="s">
        <v>3024</v>
      </c>
      <c r="D12645" s="255">
        <v>39073</v>
      </c>
      <c r="E12645" s="553">
        <v>468.8</v>
      </c>
      <c r="F12645" s="553">
        <v>5612.7</v>
      </c>
      <c r="G12645" s="553">
        <v>427.21</v>
      </c>
      <c r="H12645" s="553">
        <v>554.54999999999995</v>
      </c>
      <c r="I12645" s="553">
        <v>6800.07</v>
      </c>
      <c r="J12645" s="647">
        <v>2900.76</v>
      </c>
    </row>
    <row r="12646" spans="2:10">
      <c r="B12646" s="1230" t="s">
        <v>473</v>
      </c>
      <c r="C12646" s="132" t="s">
        <v>2029</v>
      </c>
      <c r="D12646" s="255">
        <v>39075</v>
      </c>
      <c r="E12646" s="553">
        <v>560.38</v>
      </c>
      <c r="F12646" s="553">
        <v>7396.33</v>
      </c>
      <c r="G12646" s="553">
        <v>737.08</v>
      </c>
      <c r="H12646" s="553">
        <v>725.53</v>
      </c>
      <c r="I12646" s="553">
        <v>4110.97</v>
      </c>
      <c r="J12646" s="647">
        <v>3700.88</v>
      </c>
    </row>
    <row r="12647" spans="2:10">
      <c r="B12647" s="1230" t="s">
        <v>473</v>
      </c>
      <c r="C12647" s="132" t="s">
        <v>2580</v>
      </c>
      <c r="D12647" s="255">
        <v>39077</v>
      </c>
      <c r="E12647" s="553">
        <v>475.26</v>
      </c>
      <c r="F12647" s="553">
        <v>6294.72</v>
      </c>
      <c r="G12647" s="553">
        <v>681.58</v>
      </c>
      <c r="H12647" s="553">
        <v>617.28</v>
      </c>
      <c r="I12647" s="553">
        <v>5535.24</v>
      </c>
      <c r="J12647" s="647">
        <v>3142.9</v>
      </c>
    </row>
    <row r="12648" spans="2:10">
      <c r="B12648" s="1230" t="s">
        <v>473</v>
      </c>
      <c r="C12648" s="132" t="s">
        <v>1754</v>
      </c>
      <c r="D12648" s="255">
        <v>39079</v>
      </c>
      <c r="E12648" s="553">
        <v>284.58</v>
      </c>
      <c r="F12648" s="553">
        <v>3556.25</v>
      </c>
      <c r="G12648" s="553">
        <v>215.14</v>
      </c>
      <c r="H12648" s="553">
        <v>350.08</v>
      </c>
      <c r="I12648" s="553">
        <v>6470.16</v>
      </c>
      <c r="J12648" s="647">
        <v>2260.91</v>
      </c>
    </row>
    <row r="12649" spans="2:10">
      <c r="B12649" s="1230" t="s">
        <v>473</v>
      </c>
      <c r="C12649" s="132" t="s">
        <v>1755</v>
      </c>
      <c r="D12649" s="255">
        <v>39081</v>
      </c>
      <c r="E12649" s="553">
        <v>661.3</v>
      </c>
      <c r="F12649" s="553">
        <v>9119.2199999999993</v>
      </c>
      <c r="G12649" s="553">
        <v>346.89</v>
      </c>
      <c r="H12649" s="553">
        <v>891.82</v>
      </c>
      <c r="I12649" s="553">
        <v>14790.25</v>
      </c>
      <c r="J12649" s="647">
        <v>3780.61</v>
      </c>
    </row>
    <row r="12650" spans="2:10">
      <c r="B12650" s="1230" t="s">
        <v>473</v>
      </c>
      <c r="C12650" s="132" t="s">
        <v>2223</v>
      </c>
      <c r="D12650" s="255">
        <v>39083</v>
      </c>
      <c r="E12650" s="553">
        <v>532.04</v>
      </c>
      <c r="F12650" s="553">
        <v>6677.62</v>
      </c>
      <c r="G12650" s="553">
        <v>796.67</v>
      </c>
      <c r="H12650" s="553">
        <v>657.56</v>
      </c>
      <c r="I12650" s="553">
        <v>3222.31</v>
      </c>
      <c r="J12650" s="647">
        <v>3490.29</v>
      </c>
    </row>
    <row r="12651" spans="2:10">
      <c r="B12651" s="1230" t="s">
        <v>473</v>
      </c>
      <c r="C12651" s="132" t="s">
        <v>1900</v>
      </c>
      <c r="D12651" s="255">
        <v>39085</v>
      </c>
      <c r="E12651" s="553">
        <v>662.05</v>
      </c>
      <c r="F12651" s="553">
        <v>8626.4699999999993</v>
      </c>
      <c r="G12651" s="553">
        <v>574.12</v>
      </c>
      <c r="H12651" s="553">
        <v>846.94</v>
      </c>
      <c r="I12651" s="553">
        <v>13579.81</v>
      </c>
      <c r="J12651" s="647">
        <v>3315.66</v>
      </c>
    </row>
    <row r="12652" spans="2:10">
      <c r="B12652" s="1230" t="s">
        <v>473</v>
      </c>
      <c r="C12652" s="132" t="s">
        <v>1758</v>
      </c>
      <c r="D12652" s="255">
        <v>39087</v>
      </c>
      <c r="E12652" s="553">
        <v>418.27</v>
      </c>
      <c r="F12652" s="553">
        <v>5450</v>
      </c>
      <c r="G12652" s="553">
        <v>202.84</v>
      </c>
      <c r="H12652" s="553">
        <v>534.84</v>
      </c>
      <c r="I12652" s="553">
        <v>11698.99</v>
      </c>
      <c r="J12652" s="647">
        <v>2571.91</v>
      </c>
    </row>
    <row r="12653" spans="2:10">
      <c r="B12653" s="1230" t="s">
        <v>473</v>
      </c>
      <c r="C12653" s="132" t="s">
        <v>3025</v>
      </c>
      <c r="D12653" s="255">
        <v>39089</v>
      </c>
      <c r="E12653" s="553">
        <v>574.14</v>
      </c>
      <c r="F12653" s="553">
        <v>6991.64</v>
      </c>
      <c r="G12653" s="553">
        <v>744.07</v>
      </c>
      <c r="H12653" s="553">
        <v>689.89</v>
      </c>
      <c r="I12653" s="553">
        <v>4691.74</v>
      </c>
      <c r="J12653" s="647">
        <v>3661.9</v>
      </c>
    </row>
    <row r="12654" spans="2:10">
      <c r="B12654" s="1230" t="s">
        <v>473</v>
      </c>
      <c r="C12654" s="132" t="s">
        <v>1860</v>
      </c>
      <c r="D12654" s="255">
        <v>39091</v>
      </c>
      <c r="E12654" s="553">
        <v>424.04</v>
      </c>
      <c r="F12654" s="553">
        <v>5241.7</v>
      </c>
      <c r="G12654" s="553">
        <v>761.82</v>
      </c>
      <c r="H12654" s="553">
        <v>516.79999999999995</v>
      </c>
      <c r="I12654" s="553">
        <v>3001.78</v>
      </c>
      <c r="J12654" s="647">
        <v>2983.32</v>
      </c>
    </row>
    <row r="12655" spans="2:10">
      <c r="B12655" s="1230" t="s">
        <v>473</v>
      </c>
      <c r="C12655" s="132" t="s">
        <v>3026</v>
      </c>
      <c r="D12655" s="255">
        <v>39093</v>
      </c>
      <c r="E12655" s="553">
        <v>1015.73</v>
      </c>
      <c r="F12655" s="553">
        <v>13024.1</v>
      </c>
      <c r="G12655" s="553">
        <v>985.33</v>
      </c>
      <c r="H12655" s="553">
        <v>1280.08</v>
      </c>
      <c r="I12655" s="553">
        <v>10057.69</v>
      </c>
      <c r="J12655" s="647">
        <v>5048</v>
      </c>
    </row>
    <row r="12656" spans="2:10">
      <c r="B12656" s="1230" t="s">
        <v>473</v>
      </c>
      <c r="C12656" s="132" t="s">
        <v>2313</v>
      </c>
      <c r="D12656" s="255">
        <v>39095</v>
      </c>
      <c r="E12656" s="553">
        <v>805.13</v>
      </c>
      <c r="F12656" s="553">
        <v>10266.06</v>
      </c>
      <c r="G12656" s="553">
        <v>869.3</v>
      </c>
      <c r="H12656" s="553">
        <v>1009.82</v>
      </c>
      <c r="I12656" s="553">
        <v>6835.44</v>
      </c>
      <c r="J12656" s="647">
        <v>4048.52</v>
      </c>
    </row>
    <row r="12657" spans="2:10">
      <c r="B12657" s="1230" t="s">
        <v>473</v>
      </c>
      <c r="C12657" s="132" t="s">
        <v>1763</v>
      </c>
      <c r="D12657" s="255">
        <v>39097</v>
      </c>
      <c r="E12657" s="553">
        <v>658.74</v>
      </c>
      <c r="F12657" s="553">
        <v>7845.85</v>
      </c>
      <c r="G12657" s="553">
        <v>610.66999999999996</v>
      </c>
      <c r="H12657" s="553">
        <v>775.6</v>
      </c>
      <c r="I12657" s="553">
        <v>7861.09</v>
      </c>
      <c r="J12657" s="647">
        <v>3542.48</v>
      </c>
    </row>
    <row r="12658" spans="2:10">
      <c r="B12658" s="1230" t="s">
        <v>473</v>
      </c>
      <c r="C12658" s="132" t="s">
        <v>3027</v>
      </c>
      <c r="D12658" s="255">
        <v>39099</v>
      </c>
      <c r="E12658" s="553">
        <v>798.4</v>
      </c>
      <c r="F12658" s="553">
        <v>11167.44</v>
      </c>
      <c r="G12658" s="553">
        <v>826.22</v>
      </c>
      <c r="H12658" s="553">
        <v>1090.77</v>
      </c>
      <c r="I12658" s="553">
        <v>7182.85</v>
      </c>
      <c r="J12658" s="647">
        <v>4641.84</v>
      </c>
    </row>
    <row r="12659" spans="2:10">
      <c r="B12659" s="1230" t="s">
        <v>473</v>
      </c>
      <c r="C12659" s="132" t="s">
        <v>1765</v>
      </c>
      <c r="D12659" s="255">
        <v>39101</v>
      </c>
      <c r="E12659" s="553">
        <v>438.14</v>
      </c>
      <c r="F12659" s="553">
        <v>5427.48</v>
      </c>
      <c r="G12659" s="553">
        <v>691.81</v>
      </c>
      <c r="H12659" s="553">
        <v>534.98</v>
      </c>
      <c r="I12659" s="553">
        <v>3388.23</v>
      </c>
      <c r="J12659" s="647">
        <v>3027.05</v>
      </c>
    </row>
    <row r="12660" spans="2:10">
      <c r="B12660" s="1230" t="s">
        <v>473</v>
      </c>
      <c r="C12660" s="132" t="s">
        <v>3028</v>
      </c>
      <c r="D12660" s="255">
        <v>39103</v>
      </c>
      <c r="E12660" s="553">
        <v>1558.28</v>
      </c>
      <c r="F12660" s="553">
        <v>19696</v>
      </c>
      <c r="G12660" s="553">
        <v>1491.66</v>
      </c>
      <c r="H12660" s="553">
        <v>1938.06</v>
      </c>
      <c r="I12660" s="553">
        <v>11480.81</v>
      </c>
      <c r="J12660" s="647">
        <v>6823.31</v>
      </c>
    </row>
    <row r="12661" spans="2:10">
      <c r="B12661" s="1230" t="s">
        <v>473</v>
      </c>
      <c r="C12661" s="132" t="s">
        <v>3029</v>
      </c>
      <c r="D12661" s="255">
        <v>39105</v>
      </c>
      <c r="E12661" s="553">
        <v>281.76</v>
      </c>
      <c r="F12661" s="553">
        <v>3635.33</v>
      </c>
      <c r="G12661" s="553">
        <v>197.69</v>
      </c>
      <c r="H12661" s="553">
        <v>357.01</v>
      </c>
      <c r="I12661" s="553">
        <v>6635.73</v>
      </c>
      <c r="J12661" s="647">
        <v>2274.64</v>
      </c>
    </row>
    <row r="12662" spans="2:10">
      <c r="B12662" s="1230" t="s">
        <v>473</v>
      </c>
      <c r="C12662" s="132" t="s">
        <v>2233</v>
      </c>
      <c r="D12662" s="255">
        <v>39107</v>
      </c>
      <c r="E12662" s="553">
        <v>365.4</v>
      </c>
      <c r="F12662" s="553">
        <v>4624.4399999999996</v>
      </c>
      <c r="G12662" s="553">
        <v>808.54</v>
      </c>
      <c r="H12662" s="553">
        <v>455.1</v>
      </c>
      <c r="I12662" s="553">
        <v>2517.13</v>
      </c>
      <c r="J12662" s="647">
        <v>2892.31</v>
      </c>
    </row>
    <row r="12663" spans="2:10">
      <c r="B12663" s="1230" t="s">
        <v>473</v>
      </c>
      <c r="C12663" s="132" t="s">
        <v>2269</v>
      </c>
      <c r="D12663" s="255">
        <v>39109</v>
      </c>
      <c r="E12663" s="553">
        <v>1139.33</v>
      </c>
      <c r="F12663" s="553">
        <v>14326.97</v>
      </c>
      <c r="G12663" s="553">
        <v>1521.56</v>
      </c>
      <c r="H12663" s="553">
        <v>1410.81</v>
      </c>
      <c r="I12663" s="553">
        <v>3512.72</v>
      </c>
      <c r="J12663" s="647">
        <v>5541.81</v>
      </c>
    </row>
    <row r="12664" spans="2:10">
      <c r="B12664" s="1230" t="s">
        <v>473</v>
      </c>
      <c r="C12664" s="132" t="s">
        <v>1768</v>
      </c>
      <c r="D12664" s="255">
        <v>39111</v>
      </c>
      <c r="E12664" s="553">
        <v>308.97000000000003</v>
      </c>
      <c r="F12664" s="553">
        <v>3996.7</v>
      </c>
      <c r="G12664" s="553">
        <v>231.44</v>
      </c>
      <c r="H12664" s="553">
        <v>392.55</v>
      </c>
      <c r="I12664" s="553">
        <v>4577.2</v>
      </c>
      <c r="J12664" s="647">
        <v>2472.8200000000002</v>
      </c>
    </row>
    <row r="12665" spans="2:10">
      <c r="B12665" s="1230" t="s">
        <v>473</v>
      </c>
      <c r="C12665" s="132" t="s">
        <v>1769</v>
      </c>
      <c r="D12665" s="255">
        <v>39113</v>
      </c>
      <c r="E12665" s="553">
        <v>1230.3</v>
      </c>
      <c r="F12665" s="553">
        <v>15197.08</v>
      </c>
      <c r="G12665" s="553">
        <v>1591.72</v>
      </c>
      <c r="H12665" s="553">
        <v>1498.47</v>
      </c>
      <c r="I12665" s="553">
        <v>4423.95</v>
      </c>
      <c r="J12665" s="647">
        <v>5889.69</v>
      </c>
    </row>
    <row r="12666" spans="2:10">
      <c r="B12666" s="1230" t="s">
        <v>473</v>
      </c>
      <c r="C12666" s="132" t="s">
        <v>1770</v>
      </c>
      <c r="D12666" s="255">
        <v>39115</v>
      </c>
      <c r="E12666" s="553">
        <v>317.14999999999998</v>
      </c>
      <c r="F12666" s="553">
        <v>4043.55</v>
      </c>
      <c r="G12666" s="553">
        <v>230.44</v>
      </c>
      <c r="H12666" s="553">
        <v>397.56</v>
      </c>
      <c r="I12666" s="553">
        <v>7019.34</v>
      </c>
      <c r="J12666" s="647">
        <v>2419.7399999999998</v>
      </c>
    </row>
    <row r="12667" spans="2:10">
      <c r="B12667" s="1230" t="s">
        <v>473</v>
      </c>
      <c r="C12667" s="132" t="s">
        <v>3030</v>
      </c>
      <c r="D12667" s="255">
        <v>39117</v>
      </c>
      <c r="E12667" s="553">
        <v>625.79</v>
      </c>
      <c r="F12667" s="553">
        <v>7348.62</v>
      </c>
      <c r="G12667" s="553">
        <v>843.01</v>
      </c>
      <c r="H12667" s="553">
        <v>727.27</v>
      </c>
      <c r="I12667" s="553">
        <v>3663.78</v>
      </c>
      <c r="J12667" s="647">
        <v>3601.76</v>
      </c>
    </row>
    <row r="12668" spans="2:10">
      <c r="B12668" s="1230" t="s">
        <v>473</v>
      </c>
      <c r="C12668" s="132" t="s">
        <v>3031</v>
      </c>
      <c r="D12668" s="255">
        <v>39119</v>
      </c>
      <c r="E12668" s="553">
        <v>422.27</v>
      </c>
      <c r="F12668" s="553">
        <v>5437</v>
      </c>
      <c r="G12668" s="553">
        <v>378.92</v>
      </c>
      <c r="H12668" s="553">
        <v>534.24</v>
      </c>
      <c r="I12668" s="553">
        <v>7720.16</v>
      </c>
      <c r="J12668" s="647">
        <v>2926.74</v>
      </c>
    </row>
    <row r="12669" spans="2:10">
      <c r="B12669" s="1230" t="s">
        <v>473</v>
      </c>
      <c r="C12669" s="132" t="s">
        <v>2270</v>
      </c>
      <c r="D12669" s="255">
        <v>39121</v>
      </c>
      <c r="E12669" s="553">
        <v>337.49</v>
      </c>
      <c r="F12669" s="553">
        <v>4347.5600000000004</v>
      </c>
      <c r="G12669" s="553">
        <v>256.5</v>
      </c>
      <c r="H12669" s="553">
        <v>427.12</v>
      </c>
      <c r="I12669" s="553">
        <v>5752.57</v>
      </c>
      <c r="J12669" s="647">
        <v>2559.69</v>
      </c>
    </row>
    <row r="12670" spans="2:10">
      <c r="B12670" s="1230" t="s">
        <v>473</v>
      </c>
      <c r="C12670" s="132" t="s">
        <v>2376</v>
      </c>
      <c r="D12670" s="255">
        <v>39123</v>
      </c>
      <c r="E12670" s="553">
        <v>417.04</v>
      </c>
      <c r="F12670" s="553">
        <v>5421.3</v>
      </c>
      <c r="G12670" s="553">
        <v>538.73</v>
      </c>
      <c r="H12670" s="553">
        <v>532.33000000000004</v>
      </c>
      <c r="I12670" s="553">
        <v>4050.67</v>
      </c>
      <c r="J12670" s="647">
        <v>2877.11</v>
      </c>
    </row>
    <row r="12671" spans="2:10">
      <c r="B12671" s="1230" t="s">
        <v>473</v>
      </c>
      <c r="C12671" s="132" t="s">
        <v>2127</v>
      </c>
      <c r="D12671" s="255">
        <v>39125</v>
      </c>
      <c r="E12671" s="553">
        <v>394.73</v>
      </c>
      <c r="F12671" s="553">
        <v>4924.43</v>
      </c>
      <c r="G12671" s="553">
        <v>807.4</v>
      </c>
      <c r="H12671" s="553">
        <v>485.16</v>
      </c>
      <c r="I12671" s="553">
        <v>2694.46</v>
      </c>
      <c r="J12671" s="647">
        <v>2881.82</v>
      </c>
    </row>
    <row r="12672" spans="2:10">
      <c r="B12672" s="1230" t="s">
        <v>473</v>
      </c>
      <c r="C12672" s="132" t="s">
        <v>1771</v>
      </c>
      <c r="D12672" s="255">
        <v>39127</v>
      </c>
      <c r="E12672" s="553">
        <v>504.7</v>
      </c>
      <c r="F12672" s="553">
        <v>6130.85</v>
      </c>
      <c r="G12672" s="553">
        <v>466.48</v>
      </c>
      <c r="H12672" s="553">
        <v>605.04</v>
      </c>
      <c r="I12672" s="553">
        <v>7372.02</v>
      </c>
      <c r="J12672" s="647">
        <v>3069.12</v>
      </c>
    </row>
    <row r="12673" spans="2:10">
      <c r="B12673" s="1230" t="s">
        <v>473</v>
      </c>
      <c r="C12673" s="132" t="s">
        <v>3032</v>
      </c>
      <c r="D12673" s="255">
        <v>39129</v>
      </c>
      <c r="E12673" s="553">
        <v>684.48</v>
      </c>
      <c r="F12673" s="553">
        <v>7892.41</v>
      </c>
      <c r="G12673" s="553">
        <v>613.57000000000005</v>
      </c>
      <c r="H12673" s="553">
        <v>782.31</v>
      </c>
      <c r="I12673" s="553">
        <v>10613.27</v>
      </c>
      <c r="J12673" s="647">
        <v>3520.74</v>
      </c>
    </row>
    <row r="12674" spans="2:10">
      <c r="B12674" s="1230" t="s">
        <v>473</v>
      </c>
      <c r="C12674" s="132" t="s">
        <v>1773</v>
      </c>
      <c r="D12674" s="255">
        <v>39131</v>
      </c>
      <c r="E12674" s="553">
        <v>435.32</v>
      </c>
      <c r="F12674" s="553">
        <v>5571.41</v>
      </c>
      <c r="G12674" s="553">
        <v>278.60000000000002</v>
      </c>
      <c r="H12674" s="553">
        <v>547.61</v>
      </c>
      <c r="I12674" s="553">
        <v>11233.5</v>
      </c>
      <c r="J12674" s="647">
        <v>2735.1</v>
      </c>
    </row>
    <row r="12675" spans="2:10">
      <c r="B12675" s="1230" t="s">
        <v>473</v>
      </c>
      <c r="C12675" s="132" t="s">
        <v>3033</v>
      </c>
      <c r="D12675" s="255">
        <v>39133</v>
      </c>
      <c r="E12675" s="553">
        <v>1151.6300000000001</v>
      </c>
      <c r="F12675" s="553">
        <v>14707.51</v>
      </c>
      <c r="G12675" s="553">
        <v>1282.78</v>
      </c>
      <c r="H12675" s="553">
        <v>1445.77</v>
      </c>
      <c r="I12675" s="553">
        <v>9970.2099999999991</v>
      </c>
      <c r="J12675" s="647">
        <v>5857.11</v>
      </c>
    </row>
    <row r="12676" spans="2:10">
      <c r="B12676" s="1230" t="s">
        <v>473</v>
      </c>
      <c r="C12676" s="132" t="s">
        <v>3034</v>
      </c>
      <c r="D12676" s="255">
        <v>39135</v>
      </c>
      <c r="E12676" s="553">
        <v>1059.98</v>
      </c>
      <c r="F12676" s="553">
        <v>13139.27</v>
      </c>
      <c r="G12676" s="553">
        <v>1377.86</v>
      </c>
      <c r="H12676" s="553">
        <v>1294.96</v>
      </c>
      <c r="I12676" s="553">
        <v>5565.88</v>
      </c>
      <c r="J12676" s="647">
        <v>5163.1400000000003</v>
      </c>
    </row>
    <row r="12677" spans="2:10">
      <c r="B12677" s="1230" t="s">
        <v>473</v>
      </c>
      <c r="C12677" s="132" t="s">
        <v>2043</v>
      </c>
      <c r="D12677" s="255">
        <v>39137</v>
      </c>
      <c r="E12677" s="553">
        <v>427.1</v>
      </c>
      <c r="F12677" s="553">
        <v>5452.17</v>
      </c>
      <c r="G12677" s="553">
        <v>744.38</v>
      </c>
      <c r="H12677" s="553">
        <v>536.16999999999996</v>
      </c>
      <c r="I12677" s="553">
        <v>2699.23</v>
      </c>
      <c r="J12677" s="647">
        <v>3050.57</v>
      </c>
    </row>
    <row r="12678" spans="2:10">
      <c r="B12678" s="1230" t="s">
        <v>473</v>
      </c>
      <c r="C12678" s="132" t="s">
        <v>2238</v>
      </c>
      <c r="D12678" s="255">
        <v>39139</v>
      </c>
      <c r="E12678" s="553">
        <v>550.33000000000004</v>
      </c>
      <c r="F12678" s="553">
        <v>7235.81</v>
      </c>
      <c r="G12678" s="553">
        <v>825.81</v>
      </c>
      <c r="H12678" s="553">
        <v>710.1</v>
      </c>
      <c r="I12678" s="553">
        <v>3277.73</v>
      </c>
      <c r="J12678" s="647">
        <v>3659.49</v>
      </c>
    </row>
    <row r="12679" spans="2:10">
      <c r="B12679" s="1230" t="s">
        <v>473</v>
      </c>
      <c r="C12679" s="132" t="s">
        <v>3035</v>
      </c>
      <c r="D12679" s="255">
        <v>39141</v>
      </c>
      <c r="E12679" s="553">
        <v>448.83</v>
      </c>
      <c r="F12679" s="553">
        <v>5350.17</v>
      </c>
      <c r="G12679" s="553">
        <v>470.45</v>
      </c>
      <c r="H12679" s="553">
        <v>528.91</v>
      </c>
      <c r="I12679" s="553">
        <v>7451.09</v>
      </c>
      <c r="J12679" s="647">
        <v>2980.99</v>
      </c>
    </row>
    <row r="12680" spans="2:10">
      <c r="B12680" s="1230" t="s">
        <v>473</v>
      </c>
      <c r="C12680" s="132" t="s">
        <v>3036</v>
      </c>
      <c r="D12680" s="255">
        <v>39143</v>
      </c>
      <c r="E12680" s="553">
        <v>423.72</v>
      </c>
      <c r="F12680" s="553">
        <v>5522.01</v>
      </c>
      <c r="G12680" s="553">
        <v>550.88</v>
      </c>
      <c r="H12680" s="553">
        <v>542.20000000000005</v>
      </c>
      <c r="I12680" s="553">
        <v>3798.23</v>
      </c>
      <c r="J12680" s="647">
        <v>2949.99</v>
      </c>
    </row>
    <row r="12681" spans="2:10">
      <c r="B12681" s="1230" t="s">
        <v>473</v>
      </c>
      <c r="C12681" s="132" t="s">
        <v>3037</v>
      </c>
      <c r="D12681" s="255">
        <v>39145</v>
      </c>
      <c r="E12681" s="553">
        <v>413.63</v>
      </c>
      <c r="F12681" s="553">
        <v>5379.7</v>
      </c>
      <c r="G12681" s="553">
        <v>233.91</v>
      </c>
      <c r="H12681" s="553">
        <v>528.02</v>
      </c>
      <c r="I12681" s="553">
        <v>11250.09</v>
      </c>
      <c r="J12681" s="647">
        <v>2684.72</v>
      </c>
    </row>
    <row r="12682" spans="2:10">
      <c r="B12682" s="1230" t="s">
        <v>473</v>
      </c>
      <c r="C12682" s="132" t="s">
        <v>2908</v>
      </c>
      <c r="D12682" s="255">
        <v>39147</v>
      </c>
      <c r="E12682" s="553">
        <v>467.93</v>
      </c>
      <c r="F12682" s="553">
        <v>6141.98</v>
      </c>
      <c r="G12682" s="553">
        <v>733.28</v>
      </c>
      <c r="H12682" s="553">
        <v>602.84</v>
      </c>
      <c r="I12682" s="553">
        <v>3135.18</v>
      </c>
      <c r="J12682" s="647">
        <v>3330.08</v>
      </c>
    </row>
    <row r="12683" spans="2:10">
      <c r="B12683" s="1230" t="s">
        <v>473</v>
      </c>
      <c r="C12683" s="132" t="s">
        <v>1777</v>
      </c>
      <c r="D12683" s="255">
        <v>39149</v>
      </c>
      <c r="E12683" s="553">
        <v>539.67999999999995</v>
      </c>
      <c r="F12683" s="553">
        <v>6692.07</v>
      </c>
      <c r="G12683" s="553">
        <v>887.34</v>
      </c>
      <c r="H12683" s="553">
        <v>659.61</v>
      </c>
      <c r="I12683" s="553">
        <v>2791.2</v>
      </c>
      <c r="J12683" s="647">
        <v>3464.28</v>
      </c>
    </row>
    <row r="12684" spans="2:10">
      <c r="B12684" s="1230" t="s">
        <v>473</v>
      </c>
      <c r="C12684" s="132" t="s">
        <v>2242</v>
      </c>
      <c r="D12684" s="255">
        <v>39151</v>
      </c>
      <c r="E12684" s="553">
        <v>1186.8</v>
      </c>
      <c r="F12684" s="553">
        <v>15571.09</v>
      </c>
      <c r="G12684" s="553">
        <v>1520.33</v>
      </c>
      <c r="H12684" s="553">
        <v>1527.94</v>
      </c>
      <c r="I12684" s="553">
        <v>4720.21</v>
      </c>
      <c r="J12684" s="647">
        <v>6392.49</v>
      </c>
    </row>
    <row r="12685" spans="2:10">
      <c r="B12685" s="1230" t="s">
        <v>473</v>
      </c>
      <c r="C12685" s="132" t="s">
        <v>1991</v>
      </c>
      <c r="D12685" s="255">
        <v>39153</v>
      </c>
      <c r="E12685" s="553">
        <v>1307.55</v>
      </c>
      <c r="F12685" s="553">
        <v>16656.34</v>
      </c>
      <c r="G12685" s="553">
        <v>1365.93</v>
      </c>
      <c r="H12685" s="553">
        <v>1638.14</v>
      </c>
      <c r="I12685" s="553">
        <v>9378.89</v>
      </c>
      <c r="J12685" s="647">
        <v>6066.81</v>
      </c>
    </row>
    <row r="12686" spans="2:10">
      <c r="B12686" s="1230" t="s">
        <v>473</v>
      </c>
      <c r="C12686" s="132" t="s">
        <v>3038</v>
      </c>
      <c r="D12686" s="255">
        <v>39155</v>
      </c>
      <c r="E12686" s="553">
        <v>720.19</v>
      </c>
      <c r="F12686" s="553">
        <v>10104.73</v>
      </c>
      <c r="G12686" s="553">
        <v>633.35</v>
      </c>
      <c r="H12686" s="553">
        <v>986.89</v>
      </c>
      <c r="I12686" s="553">
        <v>12164.87</v>
      </c>
      <c r="J12686" s="647">
        <v>4262.13</v>
      </c>
    </row>
    <row r="12687" spans="2:10">
      <c r="B12687" s="1230" t="s">
        <v>473</v>
      </c>
      <c r="C12687" s="132" t="s">
        <v>3039</v>
      </c>
      <c r="D12687" s="255">
        <v>39157</v>
      </c>
      <c r="E12687" s="553">
        <v>462.74</v>
      </c>
      <c r="F12687" s="553">
        <v>6182.6</v>
      </c>
      <c r="G12687" s="553">
        <v>445.68</v>
      </c>
      <c r="H12687" s="553">
        <v>605.91</v>
      </c>
      <c r="I12687" s="553">
        <v>7775.74</v>
      </c>
      <c r="J12687" s="647">
        <v>3164.88</v>
      </c>
    </row>
    <row r="12688" spans="2:10">
      <c r="B12688" s="1230" t="s">
        <v>473</v>
      </c>
      <c r="C12688" s="132" t="s">
        <v>1879</v>
      </c>
      <c r="D12688" s="255">
        <v>39159</v>
      </c>
      <c r="E12688" s="553">
        <v>550.41999999999996</v>
      </c>
      <c r="F12688" s="553">
        <v>6167.96</v>
      </c>
      <c r="G12688" s="553">
        <v>744.53</v>
      </c>
      <c r="H12688" s="553">
        <v>612.70000000000005</v>
      </c>
      <c r="I12688" s="553">
        <v>4643.59</v>
      </c>
      <c r="J12688" s="647">
        <v>3238.55</v>
      </c>
    </row>
    <row r="12689" spans="2:10">
      <c r="B12689" s="1230" t="s">
        <v>473</v>
      </c>
      <c r="C12689" s="132" t="s">
        <v>3040</v>
      </c>
      <c r="D12689" s="255">
        <v>39161</v>
      </c>
      <c r="E12689" s="553">
        <v>355.83</v>
      </c>
      <c r="F12689" s="553">
        <v>4431</v>
      </c>
      <c r="G12689" s="553">
        <v>808.05</v>
      </c>
      <c r="H12689" s="553">
        <v>436.63</v>
      </c>
      <c r="I12689" s="553">
        <v>2506.54</v>
      </c>
      <c r="J12689" s="647">
        <v>2799.42</v>
      </c>
    </row>
    <row r="12690" spans="2:10">
      <c r="B12690" s="1230" t="s">
        <v>473</v>
      </c>
      <c r="C12690" s="132" t="s">
        <v>3041</v>
      </c>
      <c r="D12690" s="255">
        <v>39163</v>
      </c>
      <c r="E12690" s="553">
        <v>302.58999999999997</v>
      </c>
      <c r="F12690" s="553">
        <v>3739.86</v>
      </c>
      <c r="G12690" s="553">
        <v>249.3</v>
      </c>
      <c r="H12690" s="553">
        <v>368.45</v>
      </c>
      <c r="I12690" s="553">
        <v>6511.86</v>
      </c>
      <c r="J12690" s="647">
        <v>2398.8000000000002</v>
      </c>
    </row>
    <row r="12691" spans="2:10">
      <c r="B12691" s="1230" t="s">
        <v>473</v>
      </c>
      <c r="C12691" s="132" t="s">
        <v>2154</v>
      </c>
      <c r="D12691" s="255">
        <v>39165</v>
      </c>
      <c r="E12691" s="553">
        <v>714.08</v>
      </c>
      <c r="F12691" s="553">
        <v>8372.6299999999992</v>
      </c>
      <c r="G12691" s="553">
        <v>502.06</v>
      </c>
      <c r="H12691" s="553">
        <v>828.56</v>
      </c>
      <c r="I12691" s="553">
        <v>11704.94</v>
      </c>
      <c r="J12691" s="647">
        <v>3629.53</v>
      </c>
    </row>
    <row r="12692" spans="2:10">
      <c r="B12692" s="1230" t="s">
        <v>473</v>
      </c>
      <c r="C12692" s="132" t="s">
        <v>487</v>
      </c>
      <c r="D12692" s="255">
        <v>39167</v>
      </c>
      <c r="E12692" s="553">
        <v>383.92</v>
      </c>
      <c r="F12692" s="553">
        <v>5003.7</v>
      </c>
      <c r="G12692" s="553">
        <v>196.99</v>
      </c>
      <c r="H12692" s="553">
        <v>491.2</v>
      </c>
      <c r="I12692" s="553">
        <v>9116.07</v>
      </c>
      <c r="J12692" s="647">
        <v>2671.69</v>
      </c>
    </row>
    <row r="12693" spans="2:10">
      <c r="B12693" s="1230" t="s">
        <v>473</v>
      </c>
      <c r="C12693" s="132" t="s">
        <v>2155</v>
      </c>
      <c r="D12693" s="255">
        <v>39169</v>
      </c>
      <c r="E12693" s="553">
        <v>794.78</v>
      </c>
      <c r="F12693" s="553">
        <v>10215.18</v>
      </c>
      <c r="G12693" s="553">
        <v>993.05</v>
      </c>
      <c r="H12693" s="553">
        <v>1003.9</v>
      </c>
      <c r="I12693" s="553">
        <v>4001.7</v>
      </c>
      <c r="J12693" s="647">
        <v>4587.92</v>
      </c>
    </row>
    <row r="12694" spans="2:10">
      <c r="B12694" s="1230" t="s">
        <v>473</v>
      </c>
      <c r="C12694" s="132" t="s">
        <v>3008</v>
      </c>
      <c r="D12694" s="255">
        <v>39171</v>
      </c>
      <c r="E12694" s="553">
        <v>378.93</v>
      </c>
      <c r="F12694" s="553">
        <v>4751.05</v>
      </c>
      <c r="G12694" s="553">
        <v>649.01</v>
      </c>
      <c r="H12694" s="553">
        <v>467.85</v>
      </c>
      <c r="I12694" s="553">
        <v>3925.15</v>
      </c>
      <c r="J12694" s="647">
        <v>2829.9</v>
      </c>
    </row>
    <row r="12695" spans="2:10">
      <c r="B12695" s="1230" t="s">
        <v>473</v>
      </c>
      <c r="C12695" s="132" t="s">
        <v>3042</v>
      </c>
      <c r="D12695" s="255">
        <v>39173</v>
      </c>
      <c r="E12695" s="553">
        <v>660.49</v>
      </c>
      <c r="F12695" s="553">
        <v>8436.9</v>
      </c>
      <c r="G12695" s="553">
        <v>850.2</v>
      </c>
      <c r="H12695" s="553">
        <v>829.66</v>
      </c>
      <c r="I12695" s="553">
        <v>5070.78</v>
      </c>
      <c r="J12695" s="647">
        <v>3932.16</v>
      </c>
    </row>
    <row r="12696" spans="2:10">
      <c r="B12696" s="1230" t="s">
        <v>473</v>
      </c>
      <c r="C12696" s="132" t="s">
        <v>3043</v>
      </c>
      <c r="D12696" s="255">
        <v>39175</v>
      </c>
      <c r="E12696" s="553">
        <v>336.36</v>
      </c>
      <c r="F12696" s="553">
        <v>4266.37</v>
      </c>
      <c r="G12696" s="553">
        <v>583.21</v>
      </c>
      <c r="H12696" s="553">
        <v>419.72</v>
      </c>
      <c r="I12696" s="553">
        <v>2745.45</v>
      </c>
      <c r="J12696" s="647">
        <v>2701.12</v>
      </c>
    </row>
    <row r="12697" spans="2:10">
      <c r="B12697" s="1230" t="s">
        <v>474</v>
      </c>
      <c r="C12697" s="132" t="s">
        <v>2291</v>
      </c>
      <c r="D12697" s="255">
        <v>40001</v>
      </c>
      <c r="E12697" s="553">
        <v>165.41</v>
      </c>
      <c r="F12697" s="553">
        <v>2220.5300000000002</v>
      </c>
      <c r="G12697" s="553">
        <v>595.36</v>
      </c>
      <c r="H12697" s="553">
        <v>217.44</v>
      </c>
      <c r="I12697" s="553">
        <v>656.97</v>
      </c>
      <c r="J12697" s="647">
        <v>1785.79</v>
      </c>
    </row>
    <row r="12698" spans="2:10">
      <c r="B12698" s="1230" t="s">
        <v>474</v>
      </c>
      <c r="C12698" s="132" t="s">
        <v>3044</v>
      </c>
      <c r="D12698" s="255">
        <v>40003</v>
      </c>
      <c r="E12698" s="553">
        <v>100.61</v>
      </c>
      <c r="F12698" s="553">
        <v>1186.98</v>
      </c>
      <c r="G12698" s="553">
        <v>475.91</v>
      </c>
      <c r="H12698" s="553">
        <v>117.42</v>
      </c>
      <c r="I12698" s="553">
        <v>329.8</v>
      </c>
      <c r="J12698" s="647">
        <v>1464.57</v>
      </c>
    </row>
    <row r="12699" spans="2:10">
      <c r="B12699" s="1230" t="s">
        <v>474</v>
      </c>
      <c r="C12699" s="132" t="s">
        <v>3045</v>
      </c>
      <c r="D12699" s="255">
        <v>40005</v>
      </c>
      <c r="E12699" s="553">
        <v>131.09</v>
      </c>
      <c r="F12699" s="553">
        <v>1635.47</v>
      </c>
      <c r="G12699" s="553">
        <v>582.21</v>
      </c>
      <c r="H12699" s="553">
        <v>160.99</v>
      </c>
      <c r="I12699" s="553">
        <v>468.85</v>
      </c>
      <c r="J12699" s="647">
        <v>649.27</v>
      </c>
    </row>
    <row r="12700" spans="2:10">
      <c r="B12700" s="1230" t="s">
        <v>474</v>
      </c>
      <c r="C12700" s="132" t="s">
        <v>3046</v>
      </c>
      <c r="D12700" s="255">
        <v>40007</v>
      </c>
      <c r="E12700" s="553">
        <v>95.49</v>
      </c>
      <c r="F12700" s="553">
        <v>848.37</v>
      </c>
      <c r="G12700" s="553">
        <v>382.37</v>
      </c>
      <c r="H12700" s="553">
        <v>86.15</v>
      </c>
      <c r="I12700" s="553">
        <v>250.47</v>
      </c>
      <c r="J12700" s="647">
        <v>1225.42</v>
      </c>
    </row>
    <row r="12701" spans="2:10">
      <c r="B12701" s="1230" t="s">
        <v>474</v>
      </c>
      <c r="C12701" s="132" t="s">
        <v>3047</v>
      </c>
      <c r="D12701" s="255">
        <v>40009</v>
      </c>
      <c r="E12701" s="553">
        <v>97.08</v>
      </c>
      <c r="F12701" s="553">
        <v>1130.23</v>
      </c>
      <c r="G12701" s="553">
        <v>451.53</v>
      </c>
      <c r="H12701" s="553">
        <v>111.89</v>
      </c>
      <c r="I12701" s="553">
        <v>378.58</v>
      </c>
      <c r="J12701" s="647">
        <v>626.54999999999995</v>
      </c>
    </row>
    <row r="12702" spans="2:10">
      <c r="B12702" s="1230" t="s">
        <v>474</v>
      </c>
      <c r="C12702" s="132" t="s">
        <v>2171</v>
      </c>
      <c r="D12702" s="255">
        <v>40011</v>
      </c>
      <c r="E12702" s="553">
        <v>111.7</v>
      </c>
      <c r="F12702" s="553">
        <v>1350.23</v>
      </c>
      <c r="G12702" s="553">
        <v>509.02</v>
      </c>
      <c r="H12702" s="553">
        <v>133.31</v>
      </c>
      <c r="I12702" s="553">
        <v>294.7</v>
      </c>
      <c r="J12702" s="647">
        <v>529.44000000000005</v>
      </c>
    </row>
    <row r="12703" spans="2:10">
      <c r="B12703" s="1230" t="s">
        <v>474</v>
      </c>
      <c r="C12703" s="132" t="s">
        <v>2065</v>
      </c>
      <c r="D12703" s="255">
        <v>40013</v>
      </c>
      <c r="E12703" s="553">
        <v>179.36</v>
      </c>
      <c r="F12703" s="553">
        <v>2308.17</v>
      </c>
      <c r="G12703" s="553">
        <v>708.64</v>
      </c>
      <c r="H12703" s="553">
        <v>226.79</v>
      </c>
      <c r="I12703" s="553">
        <v>452.12</v>
      </c>
      <c r="J12703" s="647">
        <v>760.08</v>
      </c>
    </row>
    <row r="12704" spans="2:10">
      <c r="B12704" s="1230" t="s">
        <v>474</v>
      </c>
      <c r="C12704" s="132" t="s">
        <v>3048</v>
      </c>
      <c r="D12704" s="255">
        <v>40015</v>
      </c>
      <c r="E12704" s="553">
        <v>161.88</v>
      </c>
      <c r="F12704" s="553">
        <v>2093.16</v>
      </c>
      <c r="G12704" s="553">
        <v>602.79</v>
      </c>
      <c r="H12704" s="553">
        <v>205.58</v>
      </c>
      <c r="I12704" s="553">
        <v>309.31</v>
      </c>
      <c r="J12704" s="647">
        <v>657.49</v>
      </c>
    </row>
    <row r="12705" spans="2:10">
      <c r="B12705" s="1230" t="s">
        <v>474</v>
      </c>
      <c r="C12705" s="132" t="s">
        <v>3049</v>
      </c>
      <c r="D12705" s="255">
        <v>40017</v>
      </c>
      <c r="E12705" s="553">
        <v>162.22999999999999</v>
      </c>
      <c r="F12705" s="553">
        <v>2029.19</v>
      </c>
      <c r="G12705" s="553">
        <v>591.5</v>
      </c>
      <c r="H12705" s="553">
        <v>199.86</v>
      </c>
      <c r="I12705" s="553">
        <v>325.69</v>
      </c>
      <c r="J12705" s="647">
        <v>628.07000000000005</v>
      </c>
    </row>
    <row r="12706" spans="2:10">
      <c r="B12706" s="1230" t="s">
        <v>474</v>
      </c>
      <c r="C12706" s="132" t="s">
        <v>2416</v>
      </c>
      <c r="D12706" s="255">
        <v>40019</v>
      </c>
      <c r="E12706" s="553">
        <v>186.24</v>
      </c>
      <c r="F12706" s="553">
        <v>2461.1999999999998</v>
      </c>
      <c r="G12706" s="553">
        <v>737.3</v>
      </c>
      <c r="H12706" s="553">
        <v>241.25</v>
      </c>
      <c r="I12706" s="553">
        <v>380.35</v>
      </c>
      <c r="J12706" s="647">
        <v>743.5</v>
      </c>
    </row>
    <row r="12707" spans="2:10">
      <c r="B12707" s="1230" t="s">
        <v>474</v>
      </c>
      <c r="C12707" s="132" t="s">
        <v>1728</v>
      </c>
      <c r="D12707" s="255">
        <v>40021</v>
      </c>
      <c r="E12707" s="553">
        <v>169.25</v>
      </c>
      <c r="F12707" s="553">
        <v>2229.98</v>
      </c>
      <c r="G12707" s="553">
        <v>646.24</v>
      </c>
      <c r="H12707" s="553">
        <v>218.66</v>
      </c>
      <c r="I12707" s="553">
        <v>612.04999999999995</v>
      </c>
      <c r="J12707" s="647">
        <v>1802.53</v>
      </c>
    </row>
    <row r="12708" spans="2:10">
      <c r="B12708" s="1230" t="s">
        <v>474</v>
      </c>
      <c r="C12708" s="132" t="s">
        <v>1730</v>
      </c>
      <c r="D12708" s="255">
        <v>40023</v>
      </c>
      <c r="E12708" s="553">
        <v>158.76</v>
      </c>
      <c r="F12708" s="553">
        <v>2070.75</v>
      </c>
      <c r="G12708" s="553">
        <v>749.99</v>
      </c>
      <c r="H12708" s="553">
        <v>203.22</v>
      </c>
      <c r="I12708" s="553">
        <v>372.64</v>
      </c>
      <c r="J12708" s="647">
        <v>876.53</v>
      </c>
    </row>
    <row r="12709" spans="2:10">
      <c r="B12709" s="1230" t="s">
        <v>474</v>
      </c>
      <c r="C12709" s="132" t="s">
        <v>3050</v>
      </c>
      <c r="D12709" s="255">
        <v>40025</v>
      </c>
      <c r="E12709" s="553">
        <v>86.46</v>
      </c>
      <c r="F12709" s="553">
        <v>717.4</v>
      </c>
      <c r="G12709" s="553">
        <v>328.23</v>
      </c>
      <c r="H12709" s="553">
        <v>73.25</v>
      </c>
      <c r="I12709" s="553">
        <v>323.06</v>
      </c>
      <c r="J12709" s="647">
        <v>502.36</v>
      </c>
    </row>
    <row r="12710" spans="2:10">
      <c r="B12710" s="1230" t="s">
        <v>474</v>
      </c>
      <c r="C12710" s="132" t="s">
        <v>1838</v>
      </c>
      <c r="D12710" s="255">
        <v>40027</v>
      </c>
      <c r="E12710" s="553">
        <v>343.88</v>
      </c>
      <c r="F12710" s="553">
        <v>4375.34</v>
      </c>
      <c r="G12710" s="553">
        <v>821.39</v>
      </c>
      <c r="H12710" s="553">
        <v>430.36</v>
      </c>
      <c r="I12710" s="553">
        <v>368.43</v>
      </c>
      <c r="J12710" s="647">
        <v>880.75</v>
      </c>
    </row>
    <row r="12711" spans="2:10">
      <c r="B12711" s="1230" t="s">
        <v>474</v>
      </c>
      <c r="C12711" s="132" t="s">
        <v>3051</v>
      </c>
      <c r="D12711" s="255">
        <v>40029</v>
      </c>
      <c r="E12711" s="553">
        <v>140.13999999999999</v>
      </c>
      <c r="F12711" s="553">
        <v>1739.02</v>
      </c>
      <c r="G12711" s="553">
        <v>595.85</v>
      </c>
      <c r="H12711" s="553">
        <v>171.35</v>
      </c>
      <c r="I12711" s="553">
        <v>447.47</v>
      </c>
      <c r="J12711" s="647">
        <v>644.55999999999995</v>
      </c>
    </row>
    <row r="12712" spans="2:10">
      <c r="B12712" s="1230" t="s">
        <v>474</v>
      </c>
      <c r="C12712" s="132" t="s">
        <v>2344</v>
      </c>
      <c r="D12712" s="255">
        <v>40031</v>
      </c>
      <c r="E12712" s="553">
        <v>157.19</v>
      </c>
      <c r="F12712" s="553">
        <v>1966.27</v>
      </c>
      <c r="G12712" s="553">
        <v>663.86</v>
      </c>
      <c r="H12712" s="553">
        <v>193.76</v>
      </c>
      <c r="I12712" s="553">
        <v>311.29000000000002</v>
      </c>
      <c r="J12712" s="647">
        <v>632.34</v>
      </c>
    </row>
    <row r="12713" spans="2:10">
      <c r="B12713" s="1230" t="s">
        <v>474</v>
      </c>
      <c r="C12713" s="132" t="s">
        <v>3052</v>
      </c>
      <c r="D12713" s="255">
        <v>40033</v>
      </c>
      <c r="E12713" s="553">
        <v>238.65</v>
      </c>
      <c r="F12713" s="553">
        <v>3079.16</v>
      </c>
      <c r="G12713" s="553">
        <v>861.49</v>
      </c>
      <c r="H12713" s="553">
        <v>302.73</v>
      </c>
      <c r="I12713" s="553">
        <v>316.07</v>
      </c>
      <c r="J12713" s="647">
        <v>741.51</v>
      </c>
    </row>
    <row r="12714" spans="2:10">
      <c r="B12714" s="1230" t="s">
        <v>474</v>
      </c>
      <c r="C12714" s="132" t="s">
        <v>3053</v>
      </c>
      <c r="D12714" s="255">
        <v>40035</v>
      </c>
      <c r="E12714" s="553">
        <v>144.71</v>
      </c>
      <c r="F12714" s="553">
        <v>1892.47</v>
      </c>
      <c r="G12714" s="553">
        <v>620.57000000000005</v>
      </c>
      <c r="H12714" s="553">
        <v>185.66</v>
      </c>
      <c r="I12714" s="553">
        <v>603.97</v>
      </c>
      <c r="J12714" s="647">
        <v>1693.5</v>
      </c>
    </row>
    <row r="12715" spans="2:10">
      <c r="B12715" s="1230" t="s">
        <v>474</v>
      </c>
      <c r="C12715" s="132" t="s">
        <v>3054</v>
      </c>
      <c r="D12715" s="255">
        <v>40037</v>
      </c>
      <c r="E12715" s="553">
        <v>438.22</v>
      </c>
      <c r="F12715" s="553">
        <v>5748.21</v>
      </c>
      <c r="G12715" s="553">
        <v>1587.67</v>
      </c>
      <c r="H12715" s="553">
        <v>563.67999999999995</v>
      </c>
      <c r="I12715" s="553">
        <v>441.42</v>
      </c>
      <c r="J12715" s="647">
        <v>1133.32</v>
      </c>
    </row>
    <row r="12716" spans="2:10">
      <c r="B12716" s="1230" t="s">
        <v>474</v>
      </c>
      <c r="C12716" s="132" t="s">
        <v>1953</v>
      </c>
      <c r="D12716" s="255">
        <v>40039</v>
      </c>
      <c r="E12716" s="553">
        <v>104.29</v>
      </c>
      <c r="F12716" s="553">
        <v>1240.18</v>
      </c>
      <c r="G12716" s="553">
        <v>472.82</v>
      </c>
      <c r="H12716" s="553">
        <v>122.65</v>
      </c>
      <c r="I12716" s="553">
        <v>271.08999999999997</v>
      </c>
      <c r="J12716" s="647">
        <v>497.54</v>
      </c>
    </row>
    <row r="12717" spans="2:10">
      <c r="B12717" s="1230" t="s">
        <v>474</v>
      </c>
      <c r="C12717" s="132" t="s">
        <v>443</v>
      </c>
      <c r="D12717" s="255">
        <v>40041</v>
      </c>
      <c r="E12717" s="553">
        <v>155.11000000000001</v>
      </c>
      <c r="F12717" s="553">
        <v>2088.14</v>
      </c>
      <c r="G12717" s="553">
        <v>608.87</v>
      </c>
      <c r="H12717" s="553">
        <v>204.47</v>
      </c>
      <c r="I12717" s="553">
        <v>657.52</v>
      </c>
      <c r="J12717" s="647">
        <v>1744.75</v>
      </c>
    </row>
    <row r="12718" spans="2:10">
      <c r="B12718" s="1230" t="s">
        <v>474</v>
      </c>
      <c r="C12718" s="132" t="s">
        <v>3055</v>
      </c>
      <c r="D12718" s="255">
        <v>40043</v>
      </c>
      <c r="E12718" s="553">
        <v>94.57</v>
      </c>
      <c r="F12718" s="553">
        <v>1113.8800000000001</v>
      </c>
      <c r="G12718" s="553">
        <v>458.7</v>
      </c>
      <c r="H12718" s="553">
        <v>110.15</v>
      </c>
      <c r="I12718" s="553">
        <v>264.32</v>
      </c>
      <c r="J12718" s="647">
        <v>474.78</v>
      </c>
    </row>
    <row r="12719" spans="2:10">
      <c r="B12719" s="1230" t="s">
        <v>474</v>
      </c>
      <c r="C12719" s="132" t="s">
        <v>2348</v>
      </c>
      <c r="D12719" s="255">
        <v>40045</v>
      </c>
      <c r="E12719" s="553">
        <v>93.58</v>
      </c>
      <c r="F12719" s="553">
        <v>975.44</v>
      </c>
      <c r="G12719" s="553">
        <v>414.75</v>
      </c>
      <c r="H12719" s="553">
        <v>97.5</v>
      </c>
      <c r="I12719" s="553">
        <v>277.55</v>
      </c>
      <c r="J12719" s="647">
        <v>1331.11</v>
      </c>
    </row>
    <row r="12720" spans="2:10">
      <c r="B12720" s="1230" t="s">
        <v>474</v>
      </c>
      <c r="C12720" s="132" t="s">
        <v>1962</v>
      </c>
      <c r="D12720" s="255">
        <v>40047</v>
      </c>
      <c r="E12720" s="553">
        <v>146.15</v>
      </c>
      <c r="F12720" s="553">
        <v>1865.21</v>
      </c>
      <c r="G12720" s="553">
        <v>612.04</v>
      </c>
      <c r="H12720" s="553">
        <v>183.42</v>
      </c>
      <c r="I12720" s="553">
        <v>320.23</v>
      </c>
      <c r="J12720" s="647">
        <v>615.55999999999995</v>
      </c>
    </row>
    <row r="12721" spans="2:10">
      <c r="B12721" s="1230" t="s">
        <v>474</v>
      </c>
      <c r="C12721" s="132" t="s">
        <v>3056</v>
      </c>
      <c r="D12721" s="255">
        <v>40049</v>
      </c>
      <c r="E12721" s="553">
        <v>206.05</v>
      </c>
      <c r="F12721" s="553">
        <v>2754.25</v>
      </c>
      <c r="G12721" s="553">
        <v>747</v>
      </c>
      <c r="H12721" s="553">
        <v>269.85000000000002</v>
      </c>
      <c r="I12721" s="553">
        <v>377.1</v>
      </c>
      <c r="J12721" s="647">
        <v>755.48</v>
      </c>
    </row>
    <row r="12722" spans="2:10">
      <c r="B12722" s="1230" t="s">
        <v>474</v>
      </c>
      <c r="C12722" s="132" t="s">
        <v>2101</v>
      </c>
      <c r="D12722" s="255">
        <v>40051</v>
      </c>
      <c r="E12722" s="553">
        <v>256.5</v>
      </c>
      <c r="F12722" s="553">
        <v>3298.96</v>
      </c>
      <c r="G12722" s="553">
        <v>752.72</v>
      </c>
      <c r="H12722" s="553">
        <v>324.20999999999998</v>
      </c>
      <c r="I12722" s="553">
        <v>340.42</v>
      </c>
      <c r="J12722" s="647">
        <v>818.23</v>
      </c>
    </row>
    <row r="12723" spans="2:10">
      <c r="B12723" s="1230" t="s">
        <v>474</v>
      </c>
      <c r="C12723" s="132" t="s">
        <v>1850</v>
      </c>
      <c r="D12723" s="255">
        <v>40053</v>
      </c>
      <c r="E12723" s="553">
        <v>153.56</v>
      </c>
      <c r="F12723" s="553">
        <v>1909.84</v>
      </c>
      <c r="G12723" s="553">
        <v>641.52</v>
      </c>
      <c r="H12723" s="553">
        <v>188.18</v>
      </c>
      <c r="I12723" s="553">
        <v>310.93</v>
      </c>
      <c r="J12723" s="647">
        <v>609.12</v>
      </c>
    </row>
    <row r="12724" spans="2:10">
      <c r="B12724" s="1230" t="s">
        <v>474</v>
      </c>
      <c r="C12724" s="132" t="s">
        <v>3057</v>
      </c>
      <c r="D12724" s="255">
        <v>40055</v>
      </c>
      <c r="E12724" s="553">
        <v>119.99</v>
      </c>
      <c r="F12724" s="553">
        <v>1417.73</v>
      </c>
      <c r="G12724" s="553">
        <v>481.07</v>
      </c>
      <c r="H12724" s="553">
        <v>140.15</v>
      </c>
      <c r="I12724" s="553">
        <v>385.42</v>
      </c>
      <c r="J12724" s="647">
        <v>664.75</v>
      </c>
    </row>
    <row r="12725" spans="2:10">
      <c r="B12725" s="1230" t="s">
        <v>474</v>
      </c>
      <c r="C12725" s="132" t="s">
        <v>3058</v>
      </c>
      <c r="D12725" s="255">
        <v>40057</v>
      </c>
      <c r="E12725" s="553">
        <v>100.29</v>
      </c>
      <c r="F12725" s="553">
        <v>1119.3399999999999</v>
      </c>
      <c r="G12725" s="553">
        <v>435.79</v>
      </c>
      <c r="H12725" s="553">
        <v>111.14</v>
      </c>
      <c r="I12725" s="553">
        <v>376.25</v>
      </c>
      <c r="J12725" s="647">
        <v>632.62</v>
      </c>
    </row>
    <row r="12726" spans="2:10">
      <c r="B12726" s="1230" t="s">
        <v>474</v>
      </c>
      <c r="C12726" s="132" t="s">
        <v>2356</v>
      </c>
      <c r="D12726" s="255">
        <v>40059</v>
      </c>
      <c r="E12726" s="553">
        <v>87.09</v>
      </c>
      <c r="F12726" s="553">
        <v>941.26</v>
      </c>
      <c r="G12726" s="553">
        <v>411.41</v>
      </c>
      <c r="H12726" s="553">
        <v>93.77</v>
      </c>
      <c r="I12726" s="553">
        <v>272.85000000000002</v>
      </c>
      <c r="J12726" s="647">
        <v>1292.3</v>
      </c>
    </row>
    <row r="12727" spans="2:10">
      <c r="B12727" s="1230" t="s">
        <v>474</v>
      </c>
      <c r="C12727" s="132" t="s">
        <v>2358</v>
      </c>
      <c r="D12727" s="255">
        <v>40061</v>
      </c>
      <c r="E12727" s="553">
        <v>135.34</v>
      </c>
      <c r="F12727" s="553">
        <v>1767.59</v>
      </c>
      <c r="G12727" s="553">
        <v>607.05999999999995</v>
      </c>
      <c r="H12727" s="553">
        <v>173.43</v>
      </c>
      <c r="I12727" s="553">
        <v>523.85</v>
      </c>
      <c r="J12727" s="647">
        <v>632.83000000000004</v>
      </c>
    </row>
    <row r="12728" spans="2:10">
      <c r="B12728" s="1230" t="s">
        <v>474</v>
      </c>
      <c r="C12728" s="132" t="s">
        <v>3059</v>
      </c>
      <c r="D12728" s="255">
        <v>40063</v>
      </c>
      <c r="E12728" s="553">
        <v>150.77000000000001</v>
      </c>
      <c r="F12728" s="553">
        <v>1963.66</v>
      </c>
      <c r="G12728" s="553">
        <v>667.89</v>
      </c>
      <c r="H12728" s="553">
        <v>192.73</v>
      </c>
      <c r="I12728" s="553">
        <v>450.84</v>
      </c>
      <c r="J12728" s="647">
        <v>681.02</v>
      </c>
    </row>
    <row r="12729" spans="2:10">
      <c r="B12729" s="1230" t="s">
        <v>474</v>
      </c>
      <c r="C12729" s="132" t="s">
        <v>1754</v>
      </c>
      <c r="D12729" s="255">
        <v>40065</v>
      </c>
      <c r="E12729" s="553">
        <v>113.67</v>
      </c>
      <c r="F12729" s="553">
        <v>1270.44</v>
      </c>
      <c r="G12729" s="553">
        <v>478.73</v>
      </c>
      <c r="H12729" s="553">
        <v>126.26</v>
      </c>
      <c r="I12729" s="553">
        <v>265.54000000000002</v>
      </c>
      <c r="J12729" s="647">
        <v>503.34</v>
      </c>
    </row>
    <row r="12730" spans="2:10">
      <c r="B12730" s="1230" t="s">
        <v>474</v>
      </c>
      <c r="C12730" s="132" t="s">
        <v>1755</v>
      </c>
      <c r="D12730" s="255">
        <v>40067</v>
      </c>
      <c r="E12730" s="553">
        <v>152.16</v>
      </c>
      <c r="F12730" s="553">
        <v>1877.48</v>
      </c>
      <c r="G12730" s="553">
        <v>636.04999999999995</v>
      </c>
      <c r="H12730" s="553">
        <v>184.97</v>
      </c>
      <c r="I12730" s="553">
        <v>344.25</v>
      </c>
      <c r="J12730" s="647">
        <v>653.15</v>
      </c>
    </row>
    <row r="12731" spans="2:10">
      <c r="B12731" s="1230" t="s">
        <v>474</v>
      </c>
      <c r="C12731" s="132" t="s">
        <v>2949</v>
      </c>
      <c r="D12731" s="255">
        <v>40069</v>
      </c>
      <c r="E12731" s="553">
        <v>155.6</v>
      </c>
      <c r="F12731" s="553">
        <v>1945.84</v>
      </c>
      <c r="G12731" s="553">
        <v>648.12</v>
      </c>
      <c r="H12731" s="553">
        <v>191.5</v>
      </c>
      <c r="I12731" s="553">
        <v>418.25</v>
      </c>
      <c r="J12731" s="647">
        <v>678.89</v>
      </c>
    </row>
    <row r="12732" spans="2:10">
      <c r="B12732" s="1230" t="s">
        <v>474</v>
      </c>
      <c r="C12732" s="132" t="s">
        <v>3060</v>
      </c>
      <c r="D12732" s="255">
        <v>40071</v>
      </c>
      <c r="E12732" s="553">
        <v>149.04</v>
      </c>
      <c r="F12732" s="553">
        <v>1953.76</v>
      </c>
      <c r="G12732" s="553">
        <v>700.67</v>
      </c>
      <c r="H12732" s="553">
        <v>191.77</v>
      </c>
      <c r="I12732" s="553">
        <v>357.77</v>
      </c>
      <c r="J12732" s="647">
        <v>624.97</v>
      </c>
    </row>
    <row r="12733" spans="2:10">
      <c r="B12733" s="1230" t="s">
        <v>474</v>
      </c>
      <c r="C12733" s="132" t="s">
        <v>3061</v>
      </c>
      <c r="D12733" s="255">
        <v>40073</v>
      </c>
      <c r="E12733" s="553">
        <v>190.28</v>
      </c>
      <c r="F12733" s="553">
        <v>2416.7600000000002</v>
      </c>
      <c r="G12733" s="553">
        <v>638.87</v>
      </c>
      <c r="H12733" s="553">
        <v>237.74</v>
      </c>
      <c r="I12733" s="553">
        <v>319.92</v>
      </c>
      <c r="J12733" s="647">
        <v>667.93</v>
      </c>
    </row>
    <row r="12734" spans="2:10">
      <c r="B12734" s="1230" t="s">
        <v>474</v>
      </c>
      <c r="C12734" s="132" t="s">
        <v>1968</v>
      </c>
      <c r="D12734" s="255">
        <v>40075</v>
      </c>
      <c r="E12734" s="553">
        <v>103.6</v>
      </c>
      <c r="F12734" s="553">
        <v>1240.94</v>
      </c>
      <c r="G12734" s="553">
        <v>485.56</v>
      </c>
      <c r="H12734" s="553">
        <v>122.63</v>
      </c>
      <c r="I12734" s="553">
        <v>281.89999999999998</v>
      </c>
      <c r="J12734" s="647">
        <v>516.88</v>
      </c>
    </row>
    <row r="12735" spans="2:10">
      <c r="B12735" s="1230" t="s">
        <v>474</v>
      </c>
      <c r="C12735" s="132" t="s">
        <v>3062</v>
      </c>
      <c r="D12735" s="255">
        <v>40077</v>
      </c>
      <c r="E12735" s="553">
        <v>125.53</v>
      </c>
      <c r="F12735" s="553">
        <v>1621.95</v>
      </c>
      <c r="G12735" s="553">
        <v>574.66999999999996</v>
      </c>
      <c r="H12735" s="553">
        <v>159.26</v>
      </c>
      <c r="I12735" s="553">
        <v>511.97</v>
      </c>
      <c r="J12735" s="647">
        <v>625.82000000000005</v>
      </c>
    </row>
    <row r="12736" spans="2:10">
      <c r="B12736" s="1230" t="s">
        <v>474</v>
      </c>
      <c r="C12736" s="132" t="s">
        <v>3063</v>
      </c>
      <c r="D12736" s="255">
        <v>40079</v>
      </c>
      <c r="E12736" s="553">
        <v>158.91999999999999</v>
      </c>
      <c r="F12736" s="553">
        <v>2097.64</v>
      </c>
      <c r="G12736" s="553">
        <v>563.45000000000005</v>
      </c>
      <c r="H12736" s="553">
        <v>205.62</v>
      </c>
      <c r="I12736" s="553">
        <v>610.9</v>
      </c>
      <c r="J12736" s="647">
        <v>1876.54</v>
      </c>
    </row>
    <row r="12737" spans="2:10">
      <c r="B12737" s="1230" t="s">
        <v>474</v>
      </c>
      <c r="C12737" s="132" t="s">
        <v>1858</v>
      </c>
      <c r="D12737" s="255">
        <v>40081</v>
      </c>
      <c r="E12737" s="553">
        <v>184.24</v>
      </c>
      <c r="F12737" s="553">
        <v>2455.04</v>
      </c>
      <c r="G12737" s="553">
        <v>752.59</v>
      </c>
      <c r="H12737" s="553">
        <v>240.63</v>
      </c>
      <c r="I12737" s="553">
        <v>400.68</v>
      </c>
      <c r="J12737" s="647">
        <v>729.33</v>
      </c>
    </row>
    <row r="12738" spans="2:10">
      <c r="B12738" s="1230" t="s">
        <v>474</v>
      </c>
      <c r="C12738" s="132" t="s">
        <v>1860</v>
      </c>
      <c r="D12738" s="255">
        <v>40083</v>
      </c>
      <c r="E12738" s="553">
        <v>502.9</v>
      </c>
      <c r="F12738" s="553">
        <v>7076.61</v>
      </c>
      <c r="G12738" s="553">
        <v>1193.27</v>
      </c>
      <c r="H12738" s="553">
        <v>691.09</v>
      </c>
      <c r="I12738" s="553">
        <v>355.97</v>
      </c>
      <c r="J12738" s="647">
        <v>1206.05</v>
      </c>
    </row>
    <row r="12739" spans="2:10">
      <c r="B12739" s="1230" t="s">
        <v>474</v>
      </c>
      <c r="C12739" s="132" t="s">
        <v>3064</v>
      </c>
      <c r="D12739" s="255">
        <v>40085</v>
      </c>
      <c r="E12739" s="553">
        <v>203.9</v>
      </c>
      <c r="F12739" s="553">
        <v>2516.46</v>
      </c>
      <c r="G12739" s="553">
        <v>710.22</v>
      </c>
      <c r="H12739" s="553">
        <v>248</v>
      </c>
      <c r="I12739" s="553">
        <v>379.43</v>
      </c>
      <c r="J12739" s="647">
        <v>756.98</v>
      </c>
    </row>
    <row r="12740" spans="2:10">
      <c r="B12740" s="1230" t="s">
        <v>474</v>
      </c>
      <c r="C12740" s="132" t="s">
        <v>3065</v>
      </c>
      <c r="D12740" s="255">
        <v>40087</v>
      </c>
      <c r="E12740" s="553">
        <v>412.37</v>
      </c>
      <c r="F12740" s="553">
        <v>5423.25</v>
      </c>
      <c r="G12740" s="553">
        <v>930.45</v>
      </c>
      <c r="H12740" s="553">
        <v>532.11</v>
      </c>
      <c r="I12740" s="553">
        <v>360.96</v>
      </c>
      <c r="J12740" s="647">
        <v>990.29</v>
      </c>
    </row>
    <row r="12741" spans="2:10">
      <c r="B12741" s="1230" t="s">
        <v>474</v>
      </c>
      <c r="C12741" s="132" t="s">
        <v>3066</v>
      </c>
      <c r="D12741" s="255">
        <v>40089</v>
      </c>
      <c r="E12741" s="553">
        <v>135.44</v>
      </c>
      <c r="F12741" s="553">
        <v>1740.37</v>
      </c>
      <c r="G12741" s="553">
        <v>638.39</v>
      </c>
      <c r="H12741" s="553">
        <v>170.9</v>
      </c>
      <c r="I12741" s="553">
        <v>432.61</v>
      </c>
      <c r="J12741" s="647">
        <v>819.79</v>
      </c>
    </row>
    <row r="12742" spans="2:10">
      <c r="B12742" s="1230" t="s">
        <v>474</v>
      </c>
      <c r="C12742" s="132" t="s">
        <v>2120</v>
      </c>
      <c r="D12742" s="255">
        <v>40091</v>
      </c>
      <c r="E12742" s="553">
        <v>196.1</v>
      </c>
      <c r="F12742" s="553">
        <v>2779.81</v>
      </c>
      <c r="G12742" s="553">
        <v>766</v>
      </c>
      <c r="H12742" s="553">
        <v>271.26</v>
      </c>
      <c r="I12742" s="553">
        <v>472.33</v>
      </c>
      <c r="J12742" s="647">
        <v>730.88</v>
      </c>
    </row>
    <row r="12743" spans="2:10">
      <c r="B12743" s="1230" t="s">
        <v>474</v>
      </c>
      <c r="C12743" s="132" t="s">
        <v>3067</v>
      </c>
      <c r="D12743" s="255">
        <v>40093</v>
      </c>
      <c r="E12743" s="553">
        <v>94.13</v>
      </c>
      <c r="F12743" s="553">
        <v>1083.47</v>
      </c>
      <c r="G12743" s="553">
        <v>466.56</v>
      </c>
      <c r="H12743" s="553">
        <v>107.38</v>
      </c>
      <c r="I12743" s="553">
        <v>280.08</v>
      </c>
      <c r="J12743" s="647">
        <v>474.59</v>
      </c>
    </row>
    <row r="12744" spans="2:10">
      <c r="B12744" s="1230" t="s">
        <v>474</v>
      </c>
      <c r="C12744" s="132" t="s">
        <v>1766</v>
      </c>
      <c r="D12744" s="255">
        <v>40095</v>
      </c>
      <c r="E12744" s="553">
        <v>189.87</v>
      </c>
      <c r="F12744" s="553">
        <v>2315.81</v>
      </c>
      <c r="G12744" s="553">
        <v>676.58</v>
      </c>
      <c r="H12744" s="553">
        <v>228.4</v>
      </c>
      <c r="I12744" s="553">
        <v>409.49</v>
      </c>
      <c r="J12744" s="647">
        <v>729.43</v>
      </c>
    </row>
    <row r="12745" spans="2:10">
      <c r="B12745" s="1230" t="s">
        <v>474</v>
      </c>
      <c r="C12745" s="132" t="s">
        <v>3068</v>
      </c>
      <c r="D12745" s="255">
        <v>40097</v>
      </c>
      <c r="E12745" s="553">
        <v>169.97</v>
      </c>
      <c r="F12745" s="553">
        <v>2220.9499999999998</v>
      </c>
      <c r="G12745" s="553">
        <v>649.98</v>
      </c>
      <c r="H12745" s="553">
        <v>217.94</v>
      </c>
      <c r="I12745" s="553">
        <v>603.4</v>
      </c>
      <c r="J12745" s="647">
        <v>1770.67</v>
      </c>
    </row>
    <row r="12746" spans="2:10">
      <c r="B12746" s="1230" t="s">
        <v>474</v>
      </c>
      <c r="C12746" s="132" t="s">
        <v>2123</v>
      </c>
      <c r="D12746" s="255">
        <v>40099</v>
      </c>
      <c r="E12746" s="553">
        <v>227.2</v>
      </c>
      <c r="F12746" s="553">
        <v>3132.55</v>
      </c>
      <c r="G12746" s="553">
        <v>787.35</v>
      </c>
      <c r="H12746" s="553">
        <v>306.27999999999997</v>
      </c>
      <c r="I12746" s="553">
        <v>391.32</v>
      </c>
      <c r="J12746" s="647">
        <v>777.82</v>
      </c>
    </row>
    <row r="12747" spans="2:10">
      <c r="B12747" s="1230" t="s">
        <v>474</v>
      </c>
      <c r="C12747" s="132" t="s">
        <v>3069</v>
      </c>
      <c r="D12747" s="255">
        <v>40101</v>
      </c>
      <c r="E12747" s="553">
        <v>178.94</v>
      </c>
      <c r="F12747" s="553">
        <v>2507.11</v>
      </c>
      <c r="G12747" s="553">
        <v>727.73</v>
      </c>
      <c r="H12747" s="553">
        <v>244.82</v>
      </c>
      <c r="I12747" s="553">
        <v>494.42</v>
      </c>
      <c r="J12747" s="647">
        <v>710.29</v>
      </c>
    </row>
    <row r="12748" spans="2:10">
      <c r="B12748" s="1230" t="s">
        <v>474</v>
      </c>
      <c r="C12748" s="132" t="s">
        <v>2270</v>
      </c>
      <c r="D12748" s="255">
        <v>40103</v>
      </c>
      <c r="E12748" s="553">
        <v>163.94</v>
      </c>
      <c r="F12748" s="553">
        <v>2170.27</v>
      </c>
      <c r="G12748" s="553">
        <v>680.71</v>
      </c>
      <c r="H12748" s="553">
        <v>212.84</v>
      </c>
      <c r="I12748" s="553">
        <v>360.76</v>
      </c>
      <c r="J12748" s="647">
        <v>638.29</v>
      </c>
    </row>
    <row r="12749" spans="2:10">
      <c r="B12749" s="1230" t="s">
        <v>474</v>
      </c>
      <c r="C12749" s="132" t="s">
        <v>3070</v>
      </c>
      <c r="D12749" s="255">
        <v>40105</v>
      </c>
      <c r="E12749" s="553">
        <v>159.28</v>
      </c>
      <c r="F12749" s="553">
        <v>2132.67</v>
      </c>
      <c r="G12749" s="553">
        <v>628.25</v>
      </c>
      <c r="H12749" s="553">
        <v>208.84</v>
      </c>
      <c r="I12749" s="553">
        <v>553.12</v>
      </c>
      <c r="J12749" s="647">
        <v>1712.29</v>
      </c>
    </row>
    <row r="12750" spans="2:10">
      <c r="B12750" s="1230" t="s">
        <v>474</v>
      </c>
      <c r="C12750" s="132" t="s">
        <v>3071</v>
      </c>
      <c r="D12750" s="255">
        <v>40107</v>
      </c>
      <c r="E12750" s="553">
        <v>194.42</v>
      </c>
      <c r="F12750" s="553">
        <v>2555.61</v>
      </c>
      <c r="G12750" s="553">
        <v>801.75</v>
      </c>
      <c r="H12750" s="553">
        <v>250.63</v>
      </c>
      <c r="I12750" s="553">
        <v>443.58</v>
      </c>
      <c r="J12750" s="647">
        <v>730.89</v>
      </c>
    </row>
    <row r="12751" spans="2:10">
      <c r="B12751" s="1230" t="s">
        <v>474</v>
      </c>
      <c r="C12751" s="132" t="s">
        <v>474</v>
      </c>
      <c r="D12751" s="255">
        <v>40109</v>
      </c>
      <c r="E12751" s="553">
        <v>481.67</v>
      </c>
      <c r="F12751" s="553">
        <v>6725.04</v>
      </c>
      <c r="G12751" s="553">
        <v>1101.44</v>
      </c>
      <c r="H12751" s="553">
        <v>657.1</v>
      </c>
      <c r="I12751" s="553">
        <v>363.54</v>
      </c>
      <c r="J12751" s="647">
        <v>1181.5899999999999</v>
      </c>
    </row>
    <row r="12752" spans="2:10">
      <c r="B12752" s="1230" t="s">
        <v>474</v>
      </c>
      <c r="C12752" s="132" t="s">
        <v>3072</v>
      </c>
      <c r="D12752" s="255">
        <v>40111</v>
      </c>
      <c r="E12752" s="553">
        <v>197.7</v>
      </c>
      <c r="F12752" s="553">
        <v>2631.61</v>
      </c>
      <c r="G12752" s="553">
        <v>845.59</v>
      </c>
      <c r="H12752" s="553">
        <v>257.83999999999997</v>
      </c>
      <c r="I12752" s="553">
        <v>445.32</v>
      </c>
      <c r="J12752" s="647">
        <v>726.28</v>
      </c>
    </row>
    <row r="12753" spans="2:10">
      <c r="B12753" s="1230" t="s">
        <v>474</v>
      </c>
      <c r="C12753" s="132" t="s">
        <v>2374</v>
      </c>
      <c r="D12753" s="255">
        <v>40113</v>
      </c>
      <c r="E12753" s="553">
        <v>253.12</v>
      </c>
      <c r="F12753" s="553">
        <v>3333.6</v>
      </c>
      <c r="G12753" s="553">
        <v>1069.45</v>
      </c>
      <c r="H12753" s="553">
        <v>326.85000000000002</v>
      </c>
      <c r="I12753" s="553">
        <v>413.19</v>
      </c>
      <c r="J12753" s="647">
        <v>847.09</v>
      </c>
    </row>
    <row r="12754" spans="2:10">
      <c r="B12754" s="1230" t="s">
        <v>474</v>
      </c>
      <c r="C12754" s="132" t="s">
        <v>2376</v>
      </c>
      <c r="D12754" s="255">
        <v>40115</v>
      </c>
      <c r="E12754" s="553">
        <v>144.36000000000001</v>
      </c>
      <c r="F12754" s="553">
        <v>1923.43</v>
      </c>
      <c r="G12754" s="553">
        <v>612.37</v>
      </c>
      <c r="H12754" s="553">
        <v>188.45</v>
      </c>
      <c r="I12754" s="553">
        <v>662.02</v>
      </c>
      <c r="J12754" s="647">
        <v>1691.36</v>
      </c>
    </row>
    <row r="12755" spans="2:10">
      <c r="B12755" s="1230" t="s">
        <v>474</v>
      </c>
      <c r="C12755" s="132" t="s">
        <v>2377</v>
      </c>
      <c r="D12755" s="255">
        <v>40117</v>
      </c>
      <c r="E12755" s="553">
        <v>186.05</v>
      </c>
      <c r="F12755" s="553">
        <v>2380.65</v>
      </c>
      <c r="G12755" s="553">
        <v>775.36</v>
      </c>
      <c r="H12755" s="553">
        <v>233.97</v>
      </c>
      <c r="I12755" s="553">
        <v>409.94</v>
      </c>
      <c r="J12755" s="647">
        <v>692.48</v>
      </c>
    </row>
    <row r="12756" spans="2:10">
      <c r="B12756" s="1230" t="s">
        <v>474</v>
      </c>
      <c r="C12756" s="132" t="s">
        <v>3073</v>
      </c>
      <c r="D12756" s="255">
        <v>40119</v>
      </c>
      <c r="E12756" s="553">
        <v>191.06</v>
      </c>
      <c r="F12756" s="553">
        <v>2531.21</v>
      </c>
      <c r="G12756" s="553">
        <v>714.24</v>
      </c>
      <c r="H12756" s="553">
        <v>248.2</v>
      </c>
      <c r="I12756" s="553">
        <v>383.67</v>
      </c>
      <c r="J12756" s="647">
        <v>684.93</v>
      </c>
    </row>
    <row r="12757" spans="2:10">
      <c r="B12757" s="1230" t="s">
        <v>474</v>
      </c>
      <c r="C12757" s="132" t="s">
        <v>3074</v>
      </c>
      <c r="D12757" s="255">
        <v>40121</v>
      </c>
      <c r="E12757" s="553">
        <v>152.6</v>
      </c>
      <c r="F12757" s="553">
        <v>2056.83</v>
      </c>
      <c r="G12757" s="553">
        <v>726.36</v>
      </c>
      <c r="H12757" s="553">
        <v>201.34</v>
      </c>
      <c r="I12757" s="553">
        <v>468.04</v>
      </c>
      <c r="J12757" s="647">
        <v>687.25</v>
      </c>
    </row>
    <row r="12758" spans="2:10">
      <c r="B12758" s="1230" t="s">
        <v>474</v>
      </c>
      <c r="C12758" s="132" t="s">
        <v>2704</v>
      </c>
      <c r="D12758" s="255">
        <v>40123</v>
      </c>
      <c r="E12758" s="553">
        <v>157.03</v>
      </c>
      <c r="F12758" s="553">
        <v>2038.41</v>
      </c>
      <c r="G12758" s="553">
        <v>663.45</v>
      </c>
      <c r="H12758" s="553">
        <v>200.09</v>
      </c>
      <c r="I12758" s="553">
        <v>419.65</v>
      </c>
      <c r="J12758" s="647">
        <v>673.84</v>
      </c>
    </row>
    <row r="12759" spans="2:10">
      <c r="B12759" s="1230" t="s">
        <v>474</v>
      </c>
      <c r="C12759" s="132" t="s">
        <v>2378</v>
      </c>
      <c r="D12759" s="255">
        <v>40125</v>
      </c>
      <c r="E12759" s="553">
        <v>187.12</v>
      </c>
      <c r="F12759" s="553">
        <v>2474.5</v>
      </c>
      <c r="G12759" s="553">
        <v>700.34</v>
      </c>
      <c r="H12759" s="553">
        <v>242.65</v>
      </c>
      <c r="I12759" s="553">
        <v>404.29</v>
      </c>
      <c r="J12759" s="647">
        <v>727.72</v>
      </c>
    </row>
    <row r="12760" spans="2:10">
      <c r="B12760" s="1230" t="s">
        <v>474</v>
      </c>
      <c r="C12760" s="132" t="s">
        <v>3075</v>
      </c>
      <c r="D12760" s="255">
        <v>40127</v>
      </c>
      <c r="E12760" s="553">
        <v>125.18</v>
      </c>
      <c r="F12760" s="553">
        <v>1604.6</v>
      </c>
      <c r="G12760" s="553">
        <v>568.61</v>
      </c>
      <c r="H12760" s="553">
        <v>157.69</v>
      </c>
      <c r="I12760" s="553">
        <v>497.37</v>
      </c>
      <c r="J12760" s="647">
        <v>643.07000000000005</v>
      </c>
    </row>
    <row r="12761" spans="2:10">
      <c r="B12761" s="1230" t="s">
        <v>474</v>
      </c>
      <c r="C12761" s="132" t="s">
        <v>3076</v>
      </c>
      <c r="D12761" s="255">
        <v>40129</v>
      </c>
      <c r="E12761" s="553">
        <v>92.59</v>
      </c>
      <c r="F12761" s="553">
        <v>1065.02</v>
      </c>
      <c r="G12761" s="553">
        <v>437.23</v>
      </c>
      <c r="H12761" s="553">
        <v>105.51</v>
      </c>
      <c r="I12761" s="553">
        <v>374.99</v>
      </c>
      <c r="J12761" s="647">
        <v>609.41999999999996</v>
      </c>
    </row>
    <row r="12762" spans="2:10">
      <c r="B12762" s="1230" t="s">
        <v>474</v>
      </c>
      <c r="C12762" s="132" t="s">
        <v>3077</v>
      </c>
      <c r="D12762" s="255">
        <v>40131</v>
      </c>
      <c r="E12762" s="553">
        <v>193.83</v>
      </c>
      <c r="F12762" s="553">
        <v>2492.81</v>
      </c>
      <c r="G12762" s="553">
        <v>705.13</v>
      </c>
      <c r="H12762" s="553">
        <v>244.82</v>
      </c>
      <c r="I12762" s="553">
        <v>561.88</v>
      </c>
      <c r="J12762" s="647">
        <v>1830.81</v>
      </c>
    </row>
    <row r="12763" spans="2:10">
      <c r="B12763" s="1230" t="s">
        <v>474</v>
      </c>
      <c r="C12763" s="132" t="s">
        <v>2048</v>
      </c>
      <c r="D12763" s="255">
        <v>40133</v>
      </c>
      <c r="E12763" s="553">
        <v>202.48</v>
      </c>
      <c r="F12763" s="553">
        <v>2689.33</v>
      </c>
      <c r="G12763" s="553">
        <v>728.85</v>
      </c>
      <c r="H12763" s="553">
        <v>263.61</v>
      </c>
      <c r="I12763" s="553">
        <v>422.99</v>
      </c>
      <c r="J12763" s="647">
        <v>734.41</v>
      </c>
    </row>
    <row r="12764" spans="2:10">
      <c r="B12764" s="1230" t="s">
        <v>474</v>
      </c>
      <c r="C12764" s="132" t="s">
        <v>3078</v>
      </c>
      <c r="D12764" s="255">
        <v>40135</v>
      </c>
      <c r="E12764" s="553">
        <v>147.69</v>
      </c>
      <c r="F12764" s="553">
        <v>1932.05</v>
      </c>
      <c r="G12764" s="553">
        <v>541.52</v>
      </c>
      <c r="H12764" s="553">
        <v>189.61</v>
      </c>
      <c r="I12764" s="553">
        <v>625.74</v>
      </c>
      <c r="J12764" s="647">
        <v>1747.71</v>
      </c>
    </row>
    <row r="12765" spans="2:10">
      <c r="B12765" s="1230" t="s">
        <v>474</v>
      </c>
      <c r="C12765" s="132" t="s">
        <v>2137</v>
      </c>
      <c r="D12765" s="255">
        <v>40137</v>
      </c>
      <c r="E12765" s="553">
        <v>156.88999999999999</v>
      </c>
      <c r="F12765" s="553">
        <v>2077.5700000000002</v>
      </c>
      <c r="G12765" s="553">
        <v>663.18</v>
      </c>
      <c r="H12765" s="553">
        <v>203.72</v>
      </c>
      <c r="I12765" s="553">
        <v>343.8</v>
      </c>
      <c r="J12765" s="647">
        <v>672.08</v>
      </c>
    </row>
    <row r="12766" spans="2:10">
      <c r="B12766" s="1230" t="s">
        <v>474</v>
      </c>
      <c r="C12766" s="132" t="s">
        <v>482</v>
      </c>
      <c r="D12766" s="255">
        <v>40139</v>
      </c>
      <c r="E12766" s="553">
        <v>98.74</v>
      </c>
      <c r="F12766" s="553">
        <v>814.14</v>
      </c>
      <c r="G12766" s="553">
        <v>377.24</v>
      </c>
      <c r="H12766" s="553">
        <v>83.23</v>
      </c>
      <c r="I12766" s="553">
        <v>314.75</v>
      </c>
      <c r="J12766" s="647">
        <v>520.12</v>
      </c>
    </row>
    <row r="12767" spans="2:10">
      <c r="B12767" s="1230" t="s">
        <v>474</v>
      </c>
      <c r="C12767" s="132" t="s">
        <v>3079</v>
      </c>
      <c r="D12767" s="255">
        <v>40141</v>
      </c>
      <c r="E12767" s="553">
        <v>169.77</v>
      </c>
      <c r="F12767" s="553">
        <v>2117.73</v>
      </c>
      <c r="G12767" s="553">
        <v>695.28</v>
      </c>
      <c r="H12767" s="553">
        <v>208.63</v>
      </c>
      <c r="I12767" s="553">
        <v>290.25</v>
      </c>
      <c r="J12767" s="647">
        <v>631.72</v>
      </c>
    </row>
    <row r="12768" spans="2:10">
      <c r="B12768" s="1230" t="s">
        <v>474</v>
      </c>
      <c r="C12768" s="132" t="s">
        <v>3080</v>
      </c>
      <c r="D12768" s="255">
        <v>40143</v>
      </c>
      <c r="E12768" s="553">
        <v>539.69000000000005</v>
      </c>
      <c r="F12768" s="553">
        <v>7065.5</v>
      </c>
      <c r="G12768" s="553">
        <v>1638.91</v>
      </c>
      <c r="H12768" s="553">
        <v>693.03</v>
      </c>
      <c r="I12768" s="553">
        <v>465.35</v>
      </c>
      <c r="J12768" s="647">
        <v>1152.6099999999999</v>
      </c>
    </row>
    <row r="12769" spans="2:10">
      <c r="B12769" s="1230" t="s">
        <v>474</v>
      </c>
      <c r="C12769" s="132" t="s">
        <v>3081</v>
      </c>
      <c r="D12769" s="255">
        <v>40145</v>
      </c>
      <c r="E12769" s="553">
        <v>157.91</v>
      </c>
      <c r="F12769" s="553">
        <v>2026.79</v>
      </c>
      <c r="G12769" s="553">
        <v>617.51</v>
      </c>
      <c r="H12769" s="553">
        <v>199.15</v>
      </c>
      <c r="I12769" s="553">
        <v>567.23</v>
      </c>
      <c r="J12769" s="647">
        <v>1702.57</v>
      </c>
    </row>
    <row r="12770" spans="2:10">
      <c r="B12770" s="1230" t="s">
        <v>474</v>
      </c>
      <c r="C12770" s="132" t="s">
        <v>487</v>
      </c>
      <c r="D12770" s="255">
        <v>40147</v>
      </c>
      <c r="E12770" s="553">
        <v>158.84</v>
      </c>
      <c r="F12770" s="553">
        <v>2137.96</v>
      </c>
      <c r="G12770" s="553">
        <v>631.44000000000005</v>
      </c>
      <c r="H12770" s="553">
        <v>209.28</v>
      </c>
      <c r="I12770" s="553">
        <v>520.16</v>
      </c>
      <c r="J12770" s="647">
        <v>1699.66</v>
      </c>
    </row>
    <row r="12771" spans="2:10">
      <c r="B12771" s="1230" t="s">
        <v>474</v>
      </c>
      <c r="C12771" s="132" t="s">
        <v>3082</v>
      </c>
      <c r="D12771" s="255">
        <v>40149</v>
      </c>
      <c r="E12771" s="553">
        <v>108.07</v>
      </c>
      <c r="F12771" s="553">
        <v>1314.41</v>
      </c>
      <c r="G12771" s="553">
        <v>483.33</v>
      </c>
      <c r="H12771" s="553">
        <v>129.75</v>
      </c>
      <c r="I12771" s="553">
        <v>276.93</v>
      </c>
      <c r="J12771" s="647">
        <v>517.33000000000004</v>
      </c>
    </row>
    <row r="12772" spans="2:10">
      <c r="B12772" s="1230" t="s">
        <v>474</v>
      </c>
      <c r="C12772" s="132" t="s">
        <v>3083</v>
      </c>
      <c r="D12772" s="255">
        <v>40151</v>
      </c>
      <c r="E12772" s="553">
        <v>93.14</v>
      </c>
      <c r="F12772" s="553">
        <v>1076.76</v>
      </c>
      <c r="G12772" s="553">
        <v>450.43</v>
      </c>
      <c r="H12772" s="553">
        <v>106.7</v>
      </c>
      <c r="I12772" s="553">
        <v>298.89</v>
      </c>
      <c r="J12772" s="647">
        <v>1394.35</v>
      </c>
    </row>
    <row r="12773" spans="2:10">
      <c r="B12773" s="1230" t="s">
        <v>474</v>
      </c>
      <c r="C12773" s="132" t="s">
        <v>3084</v>
      </c>
      <c r="D12773" s="255">
        <v>40153</v>
      </c>
      <c r="E12773" s="553">
        <v>92.33</v>
      </c>
      <c r="F12773" s="553">
        <v>1031.8599999999999</v>
      </c>
      <c r="G12773" s="553">
        <v>440.82</v>
      </c>
      <c r="H12773" s="553">
        <v>102.47</v>
      </c>
      <c r="I12773" s="553">
        <v>289.88</v>
      </c>
      <c r="J12773" s="647">
        <v>1360.47</v>
      </c>
    </row>
    <row r="12774" spans="2:10">
      <c r="B12774" s="1230" t="s">
        <v>475</v>
      </c>
      <c r="C12774" s="132" t="s">
        <v>2006</v>
      </c>
      <c r="D12774" s="255">
        <v>41001</v>
      </c>
      <c r="E12774" s="553">
        <v>113.01</v>
      </c>
      <c r="F12774" s="553">
        <v>961.34</v>
      </c>
      <c r="G12774" s="553">
        <v>308.11</v>
      </c>
      <c r="H12774" s="553">
        <v>98.01</v>
      </c>
      <c r="I12774" s="553">
        <v>256.14999999999998</v>
      </c>
      <c r="J12774" s="647">
        <v>828.39</v>
      </c>
    </row>
    <row r="12775" spans="2:10">
      <c r="B12775" s="1230" t="s">
        <v>475</v>
      </c>
      <c r="C12775" s="132" t="s">
        <v>1832</v>
      </c>
      <c r="D12775" s="255">
        <v>41003</v>
      </c>
      <c r="E12775" s="553">
        <v>188.87</v>
      </c>
      <c r="F12775" s="553">
        <v>2005.92</v>
      </c>
      <c r="G12775" s="553">
        <v>225.48</v>
      </c>
      <c r="H12775" s="553">
        <v>200.27</v>
      </c>
      <c r="I12775" s="553">
        <v>476.59</v>
      </c>
      <c r="J12775" s="647">
        <v>1034.18</v>
      </c>
    </row>
    <row r="12776" spans="2:10">
      <c r="B12776" s="1230" t="s">
        <v>475</v>
      </c>
      <c r="C12776" s="132" t="s">
        <v>3085</v>
      </c>
      <c r="D12776" s="255">
        <v>41005</v>
      </c>
      <c r="E12776" s="553">
        <v>345.82</v>
      </c>
      <c r="F12776" s="553">
        <v>3629.07</v>
      </c>
      <c r="G12776" s="553">
        <v>250.87</v>
      </c>
      <c r="H12776" s="553">
        <v>362.54</v>
      </c>
      <c r="I12776" s="553">
        <v>3665.89</v>
      </c>
      <c r="J12776" s="647">
        <v>1642.42</v>
      </c>
    </row>
    <row r="12777" spans="2:10">
      <c r="B12777" s="1230" t="s">
        <v>475</v>
      </c>
      <c r="C12777" s="132" t="s">
        <v>3086</v>
      </c>
      <c r="D12777" s="255">
        <v>41007</v>
      </c>
      <c r="E12777" s="553">
        <v>129.02000000000001</v>
      </c>
      <c r="F12777" s="553">
        <v>1168.83</v>
      </c>
      <c r="G12777" s="553">
        <v>92.46</v>
      </c>
      <c r="H12777" s="553">
        <v>118.39</v>
      </c>
      <c r="I12777" s="553">
        <v>1516.88</v>
      </c>
      <c r="J12777" s="647">
        <v>667.39</v>
      </c>
    </row>
    <row r="12778" spans="2:10">
      <c r="B12778" s="1230" t="s">
        <v>475</v>
      </c>
      <c r="C12778" s="132" t="s">
        <v>1839</v>
      </c>
      <c r="D12778" s="255">
        <v>41009</v>
      </c>
      <c r="E12778" s="553">
        <v>298.83999999999997</v>
      </c>
      <c r="F12778" s="553">
        <v>3024.59</v>
      </c>
      <c r="G12778" s="553">
        <v>216.51</v>
      </c>
      <c r="H12778" s="553">
        <v>303.27</v>
      </c>
      <c r="I12778" s="553">
        <v>2397.61</v>
      </c>
      <c r="J12778" s="647">
        <v>1274.94</v>
      </c>
    </row>
    <row r="12779" spans="2:10">
      <c r="B12779" s="1230" t="s">
        <v>475</v>
      </c>
      <c r="C12779" s="132" t="s">
        <v>2845</v>
      </c>
      <c r="D12779" s="255">
        <v>41011</v>
      </c>
      <c r="E12779" s="553">
        <v>69.55</v>
      </c>
      <c r="F12779" s="553">
        <v>779.6</v>
      </c>
      <c r="G12779" s="553">
        <v>56.55</v>
      </c>
      <c r="H12779" s="553">
        <v>77.52</v>
      </c>
      <c r="I12779" s="553">
        <v>1310.32</v>
      </c>
      <c r="J12779" s="647">
        <v>623</v>
      </c>
    </row>
    <row r="12780" spans="2:10">
      <c r="B12780" s="1230" t="s">
        <v>475</v>
      </c>
      <c r="C12780" s="132" t="s">
        <v>3087</v>
      </c>
      <c r="D12780" s="255">
        <v>41013</v>
      </c>
      <c r="E12780" s="553">
        <v>75.77</v>
      </c>
      <c r="F12780" s="553">
        <v>599.77</v>
      </c>
      <c r="G12780" s="553">
        <v>101.17</v>
      </c>
      <c r="H12780" s="553">
        <v>61.6</v>
      </c>
      <c r="I12780" s="553">
        <v>206.31</v>
      </c>
      <c r="J12780" s="647">
        <v>563.04</v>
      </c>
    </row>
    <row r="12781" spans="2:10">
      <c r="B12781" s="1230" t="s">
        <v>475</v>
      </c>
      <c r="C12781" s="132" t="s">
        <v>2865</v>
      </c>
      <c r="D12781" s="255">
        <v>41015</v>
      </c>
      <c r="E12781" s="553">
        <v>65</v>
      </c>
      <c r="F12781" s="553">
        <v>605.5</v>
      </c>
      <c r="G12781" s="553">
        <v>57.39</v>
      </c>
      <c r="H12781" s="553">
        <v>61.2</v>
      </c>
      <c r="I12781" s="553">
        <v>1002.2</v>
      </c>
      <c r="J12781" s="647">
        <v>539.57000000000005</v>
      </c>
    </row>
    <row r="12782" spans="2:10">
      <c r="B12782" s="1230" t="s">
        <v>475</v>
      </c>
      <c r="C12782" s="132" t="s">
        <v>3088</v>
      </c>
      <c r="D12782" s="255">
        <v>41017</v>
      </c>
      <c r="E12782" s="553">
        <v>73.34</v>
      </c>
      <c r="F12782" s="553">
        <v>633.82000000000005</v>
      </c>
      <c r="G12782" s="553">
        <v>107.32</v>
      </c>
      <c r="H12782" s="553">
        <v>64.47</v>
      </c>
      <c r="I12782" s="553">
        <v>269.02</v>
      </c>
      <c r="J12782" s="647">
        <v>571.85</v>
      </c>
    </row>
    <row r="12783" spans="2:10">
      <c r="B12783" s="1230" t="s">
        <v>475</v>
      </c>
      <c r="C12783" s="132" t="s">
        <v>1957</v>
      </c>
      <c r="D12783" s="255">
        <v>41019</v>
      </c>
      <c r="E12783" s="553">
        <v>64.81</v>
      </c>
      <c r="F12783" s="553">
        <v>726.53</v>
      </c>
      <c r="G12783" s="553">
        <v>103.32</v>
      </c>
      <c r="H12783" s="553">
        <v>72.16</v>
      </c>
      <c r="I12783" s="553">
        <v>820.81</v>
      </c>
      <c r="J12783" s="647">
        <v>610.84</v>
      </c>
    </row>
    <row r="12784" spans="2:10">
      <c r="B12784" s="1230" t="s">
        <v>475</v>
      </c>
      <c r="C12784" s="132" t="s">
        <v>3089</v>
      </c>
      <c r="D12784" s="255">
        <v>41021</v>
      </c>
      <c r="E12784" s="553">
        <v>82.93</v>
      </c>
      <c r="F12784" s="553">
        <v>412.89</v>
      </c>
      <c r="G12784" s="553">
        <v>75.790000000000006</v>
      </c>
      <c r="H12784" s="553">
        <v>45.15</v>
      </c>
      <c r="I12784" s="553">
        <v>173.75</v>
      </c>
      <c r="J12784" s="647">
        <v>432.31</v>
      </c>
    </row>
    <row r="12785" spans="2:10">
      <c r="B12785" s="1230" t="s">
        <v>475</v>
      </c>
      <c r="C12785" s="132" t="s">
        <v>1850</v>
      </c>
      <c r="D12785" s="255">
        <v>41023</v>
      </c>
      <c r="E12785" s="553">
        <v>89.24</v>
      </c>
      <c r="F12785" s="553">
        <v>787.29</v>
      </c>
      <c r="G12785" s="553">
        <v>259.16000000000003</v>
      </c>
      <c r="H12785" s="553">
        <v>79.86</v>
      </c>
      <c r="I12785" s="553">
        <v>326.61</v>
      </c>
      <c r="J12785" s="647">
        <v>776.04</v>
      </c>
    </row>
    <row r="12786" spans="2:10">
      <c r="B12786" s="1230" t="s">
        <v>475</v>
      </c>
      <c r="C12786" s="132" t="s">
        <v>3090</v>
      </c>
      <c r="D12786" s="255">
        <v>41025</v>
      </c>
      <c r="E12786" s="553">
        <v>78.16</v>
      </c>
      <c r="F12786" s="553">
        <v>723.75</v>
      </c>
      <c r="G12786" s="553">
        <v>232.6</v>
      </c>
      <c r="H12786" s="553">
        <v>73.06</v>
      </c>
      <c r="I12786" s="553">
        <v>328.11</v>
      </c>
      <c r="J12786" s="647">
        <v>749.91</v>
      </c>
    </row>
    <row r="12787" spans="2:10">
      <c r="B12787" s="1230" t="s">
        <v>475</v>
      </c>
      <c r="C12787" s="132" t="s">
        <v>3091</v>
      </c>
      <c r="D12787" s="255">
        <v>41027</v>
      </c>
      <c r="E12787" s="553">
        <v>620.84</v>
      </c>
      <c r="F12787" s="553">
        <v>6187.89</v>
      </c>
      <c r="G12787" s="553">
        <v>83.27</v>
      </c>
      <c r="H12787" s="553">
        <v>621.09</v>
      </c>
      <c r="I12787" s="553">
        <v>12067.37</v>
      </c>
      <c r="J12787" s="647">
        <v>1757.79</v>
      </c>
    </row>
    <row r="12788" spans="2:10">
      <c r="B12788" s="1230" t="s">
        <v>475</v>
      </c>
      <c r="C12788" s="132" t="s">
        <v>1754</v>
      </c>
      <c r="D12788" s="255">
        <v>41029</v>
      </c>
      <c r="E12788" s="553">
        <v>71.989999999999995</v>
      </c>
      <c r="F12788" s="553">
        <v>760.61</v>
      </c>
      <c r="G12788" s="553">
        <v>69.92</v>
      </c>
      <c r="H12788" s="553">
        <v>75.92</v>
      </c>
      <c r="I12788" s="553">
        <v>1238.06</v>
      </c>
      <c r="J12788" s="647">
        <v>693.13</v>
      </c>
    </row>
    <row r="12789" spans="2:10">
      <c r="B12789" s="1230" t="s">
        <v>475</v>
      </c>
      <c r="C12789" s="132" t="s">
        <v>1755</v>
      </c>
      <c r="D12789" s="255">
        <v>41031</v>
      </c>
      <c r="E12789" s="553">
        <v>57.4</v>
      </c>
      <c r="F12789" s="553">
        <v>453.75</v>
      </c>
      <c r="G12789" s="553">
        <v>68.78</v>
      </c>
      <c r="H12789" s="553">
        <v>46.59</v>
      </c>
      <c r="I12789" s="553">
        <v>229.72</v>
      </c>
      <c r="J12789" s="647">
        <v>436.18</v>
      </c>
    </row>
    <row r="12790" spans="2:10">
      <c r="B12790" s="1230" t="s">
        <v>475</v>
      </c>
      <c r="C12790" s="132" t="s">
        <v>3092</v>
      </c>
      <c r="D12790" s="255">
        <v>41033</v>
      </c>
      <c r="E12790" s="553">
        <v>72.400000000000006</v>
      </c>
      <c r="F12790" s="553">
        <v>676.87</v>
      </c>
      <c r="G12790" s="553">
        <v>68.55</v>
      </c>
      <c r="H12790" s="553">
        <v>68.290000000000006</v>
      </c>
      <c r="I12790" s="553">
        <v>1131.1500000000001</v>
      </c>
      <c r="J12790" s="647">
        <v>594.49</v>
      </c>
    </row>
    <row r="12791" spans="2:10">
      <c r="B12791" s="1230" t="s">
        <v>475</v>
      </c>
      <c r="C12791" s="132" t="s">
        <v>3093</v>
      </c>
      <c r="D12791" s="255">
        <v>41035</v>
      </c>
      <c r="E12791" s="553">
        <v>39.979999999999997</v>
      </c>
      <c r="F12791" s="553">
        <v>355.58</v>
      </c>
      <c r="G12791" s="553">
        <v>49.27</v>
      </c>
      <c r="H12791" s="553">
        <v>36.04</v>
      </c>
      <c r="I12791" s="553">
        <v>484.92</v>
      </c>
      <c r="J12791" s="647">
        <v>381.99</v>
      </c>
    </row>
    <row r="12792" spans="2:10">
      <c r="B12792" s="1230" t="s">
        <v>475</v>
      </c>
      <c r="C12792" s="132" t="s">
        <v>1900</v>
      </c>
      <c r="D12792" s="255">
        <v>41037</v>
      </c>
      <c r="E12792" s="553">
        <v>34.01</v>
      </c>
      <c r="F12792" s="553">
        <v>207.07</v>
      </c>
      <c r="G12792" s="553">
        <v>33.86</v>
      </c>
      <c r="H12792" s="553">
        <v>22.02</v>
      </c>
      <c r="I12792" s="553">
        <v>256.93</v>
      </c>
      <c r="J12792" s="647">
        <v>283.19</v>
      </c>
    </row>
    <row r="12793" spans="2:10">
      <c r="B12793" s="1230" t="s">
        <v>475</v>
      </c>
      <c r="C12793" s="132" t="s">
        <v>2364</v>
      </c>
      <c r="D12793" s="255">
        <v>41039</v>
      </c>
      <c r="E12793" s="553">
        <v>90.4</v>
      </c>
      <c r="F12793" s="553">
        <v>993.92</v>
      </c>
      <c r="G12793" s="553">
        <v>158.56</v>
      </c>
      <c r="H12793" s="553">
        <v>98.88</v>
      </c>
      <c r="I12793" s="553">
        <v>581.28</v>
      </c>
      <c r="J12793" s="647">
        <v>721.59</v>
      </c>
    </row>
    <row r="12794" spans="2:10">
      <c r="B12794" s="1230" t="s">
        <v>475</v>
      </c>
      <c r="C12794" s="132" t="s">
        <v>1858</v>
      </c>
      <c r="D12794" s="255">
        <v>41041</v>
      </c>
      <c r="E12794" s="553">
        <v>178.44</v>
      </c>
      <c r="F12794" s="553">
        <v>1863.76</v>
      </c>
      <c r="G12794" s="553">
        <v>216.43</v>
      </c>
      <c r="H12794" s="553">
        <v>186.25</v>
      </c>
      <c r="I12794" s="553">
        <v>421.93</v>
      </c>
      <c r="J12794" s="647">
        <v>1028.6300000000001</v>
      </c>
    </row>
    <row r="12795" spans="2:10">
      <c r="B12795" s="1230" t="s">
        <v>475</v>
      </c>
      <c r="C12795" s="132" t="s">
        <v>2311</v>
      </c>
      <c r="D12795" s="255">
        <v>41043</v>
      </c>
      <c r="E12795" s="553">
        <v>217.89</v>
      </c>
      <c r="F12795" s="553">
        <v>2401.06</v>
      </c>
      <c r="G12795" s="553">
        <v>305.57</v>
      </c>
      <c r="H12795" s="553">
        <v>238.91</v>
      </c>
      <c r="I12795" s="553">
        <v>548.02</v>
      </c>
      <c r="J12795" s="647">
        <v>1367.49</v>
      </c>
    </row>
    <row r="12796" spans="2:10">
      <c r="B12796" s="1230" t="s">
        <v>475</v>
      </c>
      <c r="C12796" s="132" t="s">
        <v>3094</v>
      </c>
      <c r="D12796" s="255">
        <v>41045</v>
      </c>
      <c r="E12796" s="553">
        <v>99.03</v>
      </c>
      <c r="F12796" s="553">
        <v>891.37</v>
      </c>
      <c r="G12796" s="553">
        <v>297.45</v>
      </c>
      <c r="H12796" s="553">
        <v>90.37</v>
      </c>
      <c r="I12796" s="553">
        <v>281.06</v>
      </c>
      <c r="J12796" s="647">
        <v>821.52</v>
      </c>
    </row>
    <row r="12797" spans="2:10">
      <c r="B12797" s="1230" t="s">
        <v>475</v>
      </c>
      <c r="C12797" s="132" t="s">
        <v>1765</v>
      </c>
      <c r="D12797" s="255">
        <v>41047</v>
      </c>
      <c r="E12797" s="553">
        <v>453.94</v>
      </c>
      <c r="F12797" s="553">
        <v>4950.92</v>
      </c>
      <c r="G12797" s="553">
        <v>567.66</v>
      </c>
      <c r="H12797" s="553">
        <v>493.05</v>
      </c>
      <c r="I12797" s="553">
        <v>1171.4100000000001</v>
      </c>
      <c r="J12797" s="647">
        <v>2542.5</v>
      </c>
    </row>
    <row r="12798" spans="2:10">
      <c r="B12798" s="1230" t="s">
        <v>475</v>
      </c>
      <c r="C12798" s="132" t="s">
        <v>3030</v>
      </c>
      <c r="D12798" s="255">
        <v>41049</v>
      </c>
      <c r="E12798" s="553">
        <v>69.23</v>
      </c>
      <c r="F12798" s="553">
        <v>511.14</v>
      </c>
      <c r="G12798" s="553">
        <v>95.29</v>
      </c>
      <c r="H12798" s="553">
        <v>52.98</v>
      </c>
      <c r="I12798" s="553">
        <v>159.41999999999999</v>
      </c>
      <c r="J12798" s="647">
        <v>464.6</v>
      </c>
    </row>
    <row r="12799" spans="2:10">
      <c r="B12799" s="1230" t="s">
        <v>475</v>
      </c>
      <c r="C12799" s="132" t="s">
        <v>3095</v>
      </c>
      <c r="D12799" s="255">
        <v>41051</v>
      </c>
      <c r="E12799" s="553">
        <v>756.81</v>
      </c>
      <c r="F12799" s="553">
        <v>7596.06</v>
      </c>
      <c r="G12799" s="553">
        <v>98.07</v>
      </c>
      <c r="H12799" s="553">
        <v>761.94</v>
      </c>
      <c r="I12799" s="553">
        <v>14204.08</v>
      </c>
      <c r="J12799" s="647">
        <v>2026.07</v>
      </c>
    </row>
    <row r="12800" spans="2:10">
      <c r="B12800" s="1230" t="s">
        <v>475</v>
      </c>
      <c r="C12800" s="132" t="s">
        <v>1867</v>
      </c>
      <c r="D12800" s="255">
        <v>41053</v>
      </c>
      <c r="E12800" s="553">
        <v>234.38</v>
      </c>
      <c r="F12800" s="553">
        <v>2431.79</v>
      </c>
      <c r="G12800" s="553">
        <v>256.02</v>
      </c>
      <c r="H12800" s="553">
        <v>243.03</v>
      </c>
      <c r="I12800" s="553">
        <v>658.33</v>
      </c>
      <c r="J12800" s="647">
        <v>1168.6199999999999</v>
      </c>
    </row>
    <row r="12801" spans="2:10">
      <c r="B12801" s="1230" t="s">
        <v>475</v>
      </c>
      <c r="C12801" s="132" t="s">
        <v>2389</v>
      </c>
      <c r="D12801" s="255">
        <v>41055</v>
      </c>
      <c r="E12801" s="553">
        <v>103.6</v>
      </c>
      <c r="F12801" s="553">
        <v>580.5</v>
      </c>
      <c r="G12801" s="553">
        <v>90.36</v>
      </c>
      <c r="H12801" s="553">
        <v>62.4</v>
      </c>
      <c r="I12801" s="553">
        <v>183.19</v>
      </c>
      <c r="J12801" s="647">
        <v>501.33</v>
      </c>
    </row>
    <row r="12802" spans="2:10">
      <c r="B12802" s="1230" t="s">
        <v>475</v>
      </c>
      <c r="C12802" s="132" t="s">
        <v>3096</v>
      </c>
      <c r="D12802" s="255">
        <v>41057</v>
      </c>
      <c r="E12802" s="553">
        <v>347.27</v>
      </c>
      <c r="F12802" s="553">
        <v>3450.25</v>
      </c>
      <c r="G12802" s="553">
        <v>392.91</v>
      </c>
      <c r="H12802" s="553">
        <v>346.39</v>
      </c>
      <c r="I12802" s="553">
        <v>711.4</v>
      </c>
      <c r="J12802" s="647">
        <v>1797.75</v>
      </c>
    </row>
    <row r="12803" spans="2:10">
      <c r="B12803" s="1230" t="s">
        <v>475</v>
      </c>
      <c r="C12803" s="132" t="s">
        <v>3097</v>
      </c>
      <c r="D12803" s="255">
        <v>41059</v>
      </c>
      <c r="E12803" s="553">
        <v>91.5</v>
      </c>
      <c r="F12803" s="553">
        <v>778.35</v>
      </c>
      <c r="G12803" s="553">
        <v>214.63</v>
      </c>
      <c r="H12803" s="553">
        <v>79.39</v>
      </c>
      <c r="I12803" s="553">
        <v>168.92</v>
      </c>
      <c r="J12803" s="647">
        <v>442.13</v>
      </c>
    </row>
    <row r="12804" spans="2:10">
      <c r="B12804" s="1230" t="s">
        <v>475</v>
      </c>
      <c r="C12804" s="132" t="s">
        <v>1879</v>
      </c>
      <c r="D12804" s="255">
        <v>41061</v>
      </c>
      <c r="E12804" s="553">
        <v>89.95</v>
      </c>
      <c r="F12804" s="553">
        <v>736.76</v>
      </c>
      <c r="G12804" s="553">
        <v>208</v>
      </c>
      <c r="H12804" s="553">
        <v>75.349999999999994</v>
      </c>
      <c r="I12804" s="553">
        <v>166.93</v>
      </c>
      <c r="J12804" s="647">
        <v>428.13</v>
      </c>
    </row>
    <row r="12805" spans="2:10">
      <c r="B12805" s="1230" t="s">
        <v>475</v>
      </c>
      <c r="C12805" s="132" t="s">
        <v>3098</v>
      </c>
      <c r="D12805" s="255">
        <v>41063</v>
      </c>
      <c r="E12805" s="553">
        <v>79.14</v>
      </c>
      <c r="F12805" s="553">
        <v>603.6</v>
      </c>
      <c r="G12805" s="553">
        <v>183.11</v>
      </c>
      <c r="H12805" s="553">
        <v>62.24</v>
      </c>
      <c r="I12805" s="553">
        <v>169.27</v>
      </c>
      <c r="J12805" s="647">
        <v>403.58</v>
      </c>
    </row>
    <row r="12806" spans="2:10">
      <c r="B12806" s="1230" t="s">
        <v>475</v>
      </c>
      <c r="C12806" s="132" t="s">
        <v>3099</v>
      </c>
      <c r="D12806" s="255">
        <v>41065</v>
      </c>
      <c r="E12806" s="553">
        <v>81.75</v>
      </c>
      <c r="F12806" s="553">
        <v>552.04</v>
      </c>
      <c r="G12806" s="553">
        <v>88.39</v>
      </c>
      <c r="H12806" s="553">
        <v>57.86</v>
      </c>
      <c r="I12806" s="553">
        <v>323.73</v>
      </c>
      <c r="J12806" s="647">
        <v>506.43</v>
      </c>
    </row>
    <row r="12807" spans="2:10">
      <c r="B12807" s="1230" t="s">
        <v>475</v>
      </c>
      <c r="C12807" s="132" t="s">
        <v>487</v>
      </c>
      <c r="D12807" s="255">
        <v>41067</v>
      </c>
      <c r="E12807" s="553">
        <v>469.11</v>
      </c>
      <c r="F12807" s="553">
        <v>4701.46</v>
      </c>
      <c r="G12807" s="553">
        <v>441.36</v>
      </c>
      <c r="H12807" s="553">
        <v>471.73</v>
      </c>
      <c r="I12807" s="553">
        <v>1590.09</v>
      </c>
      <c r="J12807" s="647">
        <v>2052.58</v>
      </c>
    </row>
    <row r="12808" spans="2:10">
      <c r="B12808" s="1230" t="s">
        <v>475</v>
      </c>
      <c r="C12808" s="132" t="s">
        <v>2157</v>
      </c>
      <c r="D12808" s="255">
        <v>41069</v>
      </c>
      <c r="E12808" s="553">
        <v>46.64</v>
      </c>
      <c r="F12808" s="553">
        <v>293.23</v>
      </c>
      <c r="G12808" s="553">
        <v>56.76</v>
      </c>
      <c r="H12808" s="553">
        <v>31.01</v>
      </c>
      <c r="I12808" s="553">
        <v>177.91</v>
      </c>
      <c r="J12808" s="647">
        <v>372.86</v>
      </c>
    </row>
    <row r="12809" spans="2:10">
      <c r="B12809" s="1230" t="s">
        <v>475</v>
      </c>
      <c r="C12809" s="132" t="s">
        <v>3100</v>
      </c>
      <c r="D12809" s="255">
        <v>41071</v>
      </c>
      <c r="E12809" s="553">
        <v>519.73</v>
      </c>
      <c r="F12809" s="553">
        <v>5210.42</v>
      </c>
      <c r="G12809" s="553">
        <v>511.23</v>
      </c>
      <c r="H12809" s="553">
        <v>522.76</v>
      </c>
      <c r="I12809" s="553">
        <v>961.73</v>
      </c>
      <c r="J12809" s="647">
        <v>2253.23</v>
      </c>
    </row>
    <row r="12810" spans="2:10">
      <c r="B12810" s="1230" t="s">
        <v>476</v>
      </c>
      <c r="C12810" s="132" t="s">
        <v>1940</v>
      </c>
      <c r="D12810" s="255">
        <v>42001</v>
      </c>
      <c r="E12810" s="553">
        <v>665.6</v>
      </c>
      <c r="F12810" s="553">
        <v>8128.34</v>
      </c>
      <c r="G12810" s="553">
        <v>466.99</v>
      </c>
      <c r="H12810" s="553">
        <v>801.66</v>
      </c>
      <c r="I12810" s="553">
        <v>6103.27</v>
      </c>
      <c r="J12810" s="647">
        <v>3601.05</v>
      </c>
    </row>
    <row r="12811" spans="2:10">
      <c r="B12811" s="1230" t="s">
        <v>476</v>
      </c>
      <c r="C12811" s="132" t="s">
        <v>3101</v>
      </c>
      <c r="D12811" s="255">
        <v>42003</v>
      </c>
      <c r="E12811" s="553">
        <v>1514.25</v>
      </c>
      <c r="F12811" s="553">
        <v>21107.37</v>
      </c>
      <c r="G12811" s="553">
        <v>161.61000000000001</v>
      </c>
      <c r="H12811" s="553">
        <v>2062.09</v>
      </c>
      <c r="I12811" s="553">
        <v>38931.370000000003</v>
      </c>
      <c r="J12811" s="647">
        <v>6797.72</v>
      </c>
    </row>
    <row r="12812" spans="2:10">
      <c r="B12812" s="1230" t="s">
        <v>476</v>
      </c>
      <c r="C12812" s="132" t="s">
        <v>3102</v>
      </c>
      <c r="D12812" s="255">
        <v>42005</v>
      </c>
      <c r="E12812" s="553">
        <v>436.37</v>
      </c>
      <c r="F12812" s="553">
        <v>5792.05</v>
      </c>
      <c r="G12812" s="553">
        <v>231.97</v>
      </c>
      <c r="H12812" s="553">
        <v>567.85</v>
      </c>
      <c r="I12812" s="553">
        <v>9438.24</v>
      </c>
      <c r="J12812" s="647">
        <v>2914.62</v>
      </c>
    </row>
    <row r="12813" spans="2:10">
      <c r="B12813" s="1230" t="s">
        <v>476</v>
      </c>
      <c r="C12813" s="132" t="s">
        <v>3046</v>
      </c>
      <c r="D12813" s="255">
        <v>42007</v>
      </c>
      <c r="E12813" s="553">
        <v>678.15</v>
      </c>
      <c r="F12813" s="553">
        <v>9275.2900000000009</v>
      </c>
      <c r="G12813" s="553">
        <v>301.12</v>
      </c>
      <c r="H12813" s="553">
        <v>907.31</v>
      </c>
      <c r="I12813" s="553">
        <v>14250.36</v>
      </c>
      <c r="J12813" s="647">
        <v>3665.55</v>
      </c>
    </row>
    <row r="12814" spans="2:10">
      <c r="B12814" s="1230" t="s">
        <v>476</v>
      </c>
      <c r="C12814" s="132" t="s">
        <v>3103</v>
      </c>
      <c r="D12814" s="255">
        <v>42009</v>
      </c>
      <c r="E12814" s="553">
        <v>333.81</v>
      </c>
      <c r="F12814" s="553">
        <v>4181.46</v>
      </c>
      <c r="G12814" s="553">
        <v>217.15</v>
      </c>
      <c r="H12814" s="553">
        <v>411.56</v>
      </c>
      <c r="I12814" s="553">
        <v>5023.49</v>
      </c>
      <c r="J12814" s="647">
        <v>2457.38</v>
      </c>
    </row>
    <row r="12815" spans="2:10">
      <c r="B12815" s="1230" t="s">
        <v>476</v>
      </c>
      <c r="C12815" s="132" t="s">
        <v>3104</v>
      </c>
      <c r="D12815" s="255">
        <v>42011</v>
      </c>
      <c r="E12815" s="553">
        <v>1021.8</v>
      </c>
      <c r="F12815" s="553">
        <v>12877.03</v>
      </c>
      <c r="G12815" s="553">
        <v>582.29</v>
      </c>
      <c r="H12815" s="553">
        <v>1267</v>
      </c>
      <c r="I12815" s="553">
        <v>12728.49</v>
      </c>
      <c r="J12815" s="647">
        <v>5004.3500000000004</v>
      </c>
    </row>
    <row r="12816" spans="2:10">
      <c r="B12816" s="1230" t="s">
        <v>476</v>
      </c>
      <c r="C12816" s="132" t="s">
        <v>3105</v>
      </c>
      <c r="D12816" s="255">
        <v>42013</v>
      </c>
      <c r="E12816" s="553">
        <v>570.03</v>
      </c>
      <c r="F12816" s="553">
        <v>7796.25</v>
      </c>
      <c r="G12816" s="553">
        <v>266.68</v>
      </c>
      <c r="H12816" s="553">
        <v>762.82</v>
      </c>
      <c r="I12816" s="553">
        <v>11765.95</v>
      </c>
      <c r="J12816" s="647">
        <v>3331.58</v>
      </c>
    </row>
    <row r="12817" spans="2:10">
      <c r="B12817" s="1230" t="s">
        <v>476</v>
      </c>
      <c r="C12817" s="132" t="s">
        <v>2008</v>
      </c>
      <c r="D12817" s="255">
        <v>42015</v>
      </c>
      <c r="E12817" s="553">
        <v>311.8</v>
      </c>
      <c r="F12817" s="553">
        <v>3844.69</v>
      </c>
      <c r="G12817" s="553">
        <v>189.74</v>
      </c>
      <c r="H12817" s="553">
        <v>379.02</v>
      </c>
      <c r="I12817" s="553">
        <v>4547.9799999999996</v>
      </c>
      <c r="J12817" s="647">
        <v>2212.7600000000002</v>
      </c>
    </row>
    <row r="12818" spans="2:10">
      <c r="B12818" s="1230" t="s">
        <v>476</v>
      </c>
      <c r="C12818" s="132" t="s">
        <v>3106</v>
      </c>
      <c r="D12818" s="255">
        <v>42017</v>
      </c>
      <c r="E12818" s="553">
        <v>2481.83</v>
      </c>
      <c r="F12818" s="553">
        <v>29304.42</v>
      </c>
      <c r="G12818" s="553">
        <v>499.5</v>
      </c>
      <c r="H12818" s="553">
        <v>2897.4</v>
      </c>
      <c r="I12818" s="553">
        <v>45411.55</v>
      </c>
      <c r="J12818" s="647">
        <v>8149.77</v>
      </c>
    </row>
    <row r="12819" spans="2:10">
      <c r="B12819" s="1230" t="s">
        <v>476</v>
      </c>
      <c r="C12819" s="132" t="s">
        <v>1725</v>
      </c>
      <c r="D12819" s="255">
        <v>42019</v>
      </c>
      <c r="E12819" s="553">
        <v>660.65</v>
      </c>
      <c r="F12819" s="553">
        <v>9027.43</v>
      </c>
      <c r="G12819" s="553">
        <v>256.8</v>
      </c>
      <c r="H12819" s="553">
        <v>883.26</v>
      </c>
      <c r="I12819" s="553">
        <v>15897.7</v>
      </c>
      <c r="J12819" s="647">
        <v>3797.09</v>
      </c>
    </row>
    <row r="12820" spans="2:10">
      <c r="B12820" s="1230" t="s">
        <v>476</v>
      </c>
      <c r="C12820" s="132" t="s">
        <v>3107</v>
      </c>
      <c r="D12820" s="255">
        <v>42021</v>
      </c>
      <c r="E12820" s="553">
        <v>538.91999999999996</v>
      </c>
      <c r="F12820" s="553">
        <v>7394.05</v>
      </c>
      <c r="G12820" s="553">
        <v>245.1</v>
      </c>
      <c r="H12820" s="553">
        <v>723.26</v>
      </c>
      <c r="I12820" s="553">
        <v>11941.02</v>
      </c>
      <c r="J12820" s="647">
        <v>3324.42</v>
      </c>
    </row>
    <row r="12821" spans="2:10">
      <c r="B12821" s="1230" t="s">
        <v>476</v>
      </c>
      <c r="C12821" s="132" t="s">
        <v>3108</v>
      </c>
      <c r="D12821" s="255">
        <v>42023</v>
      </c>
      <c r="E12821" s="553">
        <v>234.03</v>
      </c>
      <c r="F12821" s="553">
        <v>2850.23</v>
      </c>
      <c r="G12821" s="553">
        <v>202.62</v>
      </c>
      <c r="H12821" s="553">
        <v>281.20999999999998</v>
      </c>
      <c r="I12821" s="553">
        <v>2622.4</v>
      </c>
      <c r="J12821" s="647">
        <v>2116.33</v>
      </c>
    </row>
    <row r="12822" spans="2:10">
      <c r="B12822" s="1230" t="s">
        <v>476</v>
      </c>
      <c r="C12822" s="132" t="s">
        <v>2759</v>
      </c>
      <c r="D12822" s="255">
        <v>42025</v>
      </c>
      <c r="E12822" s="553">
        <v>860.63</v>
      </c>
      <c r="F12822" s="553">
        <v>11228.75</v>
      </c>
      <c r="G12822" s="553">
        <v>352.22</v>
      </c>
      <c r="H12822" s="553">
        <v>1102.1600000000001</v>
      </c>
      <c r="I12822" s="553">
        <v>8180.36</v>
      </c>
      <c r="J12822" s="647">
        <v>4159.58</v>
      </c>
    </row>
    <row r="12823" spans="2:10">
      <c r="B12823" s="1230" t="s">
        <v>476</v>
      </c>
      <c r="C12823" s="132" t="s">
        <v>3109</v>
      </c>
      <c r="D12823" s="255">
        <v>42027</v>
      </c>
      <c r="E12823" s="553">
        <v>370.15</v>
      </c>
      <c r="F12823" s="553">
        <v>4631.46</v>
      </c>
      <c r="G12823" s="553">
        <v>308.42</v>
      </c>
      <c r="H12823" s="553">
        <v>455.99</v>
      </c>
      <c r="I12823" s="553">
        <v>2964.59</v>
      </c>
      <c r="J12823" s="647">
        <v>2917.1</v>
      </c>
    </row>
    <row r="12824" spans="2:10">
      <c r="B12824" s="1230" t="s">
        <v>476</v>
      </c>
      <c r="C12824" s="132" t="s">
        <v>3110</v>
      </c>
      <c r="D12824" s="255">
        <v>42029</v>
      </c>
      <c r="E12824" s="553">
        <v>1483.88</v>
      </c>
      <c r="F12824" s="553">
        <v>18086.13</v>
      </c>
      <c r="G12824" s="553">
        <v>478.44</v>
      </c>
      <c r="H12824" s="553">
        <v>1783.99</v>
      </c>
      <c r="I12824" s="553">
        <v>23468.25</v>
      </c>
      <c r="J12824" s="647">
        <v>5999.18</v>
      </c>
    </row>
    <row r="12825" spans="2:10">
      <c r="B12825" s="1230" t="s">
        <v>476</v>
      </c>
      <c r="C12825" s="132" t="s">
        <v>3111</v>
      </c>
      <c r="D12825" s="255">
        <v>42031</v>
      </c>
      <c r="E12825" s="553">
        <v>389.84</v>
      </c>
      <c r="F12825" s="553">
        <v>5111.21</v>
      </c>
      <c r="G12825" s="553">
        <v>225.66</v>
      </c>
      <c r="H12825" s="553">
        <v>501.52</v>
      </c>
      <c r="I12825" s="553">
        <v>7144.4</v>
      </c>
      <c r="J12825" s="647">
        <v>2729.33</v>
      </c>
    </row>
    <row r="12826" spans="2:10">
      <c r="B12826" s="1230" t="s">
        <v>476</v>
      </c>
      <c r="C12826" s="132" t="s">
        <v>3112</v>
      </c>
      <c r="D12826" s="255">
        <v>42033</v>
      </c>
      <c r="E12826" s="553">
        <v>341.48</v>
      </c>
      <c r="F12826" s="553">
        <v>4364.1099999999997</v>
      </c>
      <c r="G12826" s="553">
        <v>231.66</v>
      </c>
      <c r="H12826" s="553">
        <v>429.02</v>
      </c>
      <c r="I12826" s="553">
        <v>2940.17</v>
      </c>
      <c r="J12826" s="647">
        <v>2818.81</v>
      </c>
    </row>
    <row r="12827" spans="2:10">
      <c r="B12827" s="1230" t="s">
        <v>476</v>
      </c>
      <c r="C12827" s="132" t="s">
        <v>2205</v>
      </c>
      <c r="D12827" s="255">
        <v>42035</v>
      </c>
      <c r="E12827" s="553">
        <v>298.77999999999997</v>
      </c>
      <c r="F12827" s="553">
        <v>3682.26</v>
      </c>
      <c r="G12827" s="553">
        <v>223.68</v>
      </c>
      <c r="H12827" s="553">
        <v>363.06</v>
      </c>
      <c r="I12827" s="553">
        <v>3034.38</v>
      </c>
      <c r="J12827" s="647">
        <v>2307.86</v>
      </c>
    </row>
    <row r="12828" spans="2:10">
      <c r="B12828" s="1230" t="s">
        <v>476</v>
      </c>
      <c r="C12828" s="132" t="s">
        <v>1839</v>
      </c>
      <c r="D12828" s="255">
        <v>42037</v>
      </c>
      <c r="E12828" s="553">
        <v>538.91</v>
      </c>
      <c r="F12828" s="553">
        <v>6943.65</v>
      </c>
      <c r="G12828" s="553">
        <v>333.6</v>
      </c>
      <c r="H12828" s="553">
        <v>682.16</v>
      </c>
      <c r="I12828" s="553">
        <v>5744.95</v>
      </c>
      <c r="J12828" s="647">
        <v>3061.13</v>
      </c>
    </row>
    <row r="12829" spans="2:10">
      <c r="B12829" s="1230" t="s">
        <v>476</v>
      </c>
      <c r="C12829" s="132" t="s">
        <v>1842</v>
      </c>
      <c r="D12829" s="255">
        <v>42039</v>
      </c>
      <c r="E12829" s="553">
        <v>500.75</v>
      </c>
      <c r="F12829" s="553">
        <v>6886.67</v>
      </c>
      <c r="G12829" s="553">
        <v>232.93</v>
      </c>
      <c r="H12829" s="553">
        <v>673.77</v>
      </c>
      <c r="I12829" s="553">
        <v>12835.21</v>
      </c>
      <c r="J12829" s="647">
        <v>3197.89</v>
      </c>
    </row>
    <row r="12830" spans="2:10">
      <c r="B12830" s="1230" t="s">
        <v>476</v>
      </c>
      <c r="C12830" s="132" t="s">
        <v>2207</v>
      </c>
      <c r="D12830" s="255">
        <v>42041</v>
      </c>
      <c r="E12830" s="553">
        <v>622.91999999999996</v>
      </c>
      <c r="F12830" s="553">
        <v>7663.37</v>
      </c>
      <c r="G12830" s="553">
        <v>493.28</v>
      </c>
      <c r="H12830" s="553">
        <v>755.37</v>
      </c>
      <c r="I12830" s="553">
        <v>4519.3</v>
      </c>
      <c r="J12830" s="647">
        <v>3507.73</v>
      </c>
    </row>
    <row r="12831" spans="2:10">
      <c r="B12831" s="1230" t="s">
        <v>476</v>
      </c>
      <c r="C12831" s="132" t="s">
        <v>3113</v>
      </c>
      <c r="D12831" s="255">
        <v>42043</v>
      </c>
      <c r="E12831" s="553">
        <v>672.23</v>
      </c>
      <c r="F12831" s="553">
        <v>8422.9</v>
      </c>
      <c r="G12831" s="553">
        <v>505.48</v>
      </c>
      <c r="H12831" s="553">
        <v>829.17</v>
      </c>
      <c r="I12831" s="553">
        <v>4624.2700000000004</v>
      </c>
      <c r="J12831" s="647">
        <v>3688.76</v>
      </c>
    </row>
    <row r="12832" spans="2:10">
      <c r="B12832" s="1230" t="s">
        <v>476</v>
      </c>
      <c r="C12832" s="132" t="s">
        <v>443</v>
      </c>
      <c r="D12832" s="255">
        <v>42045</v>
      </c>
      <c r="E12832" s="553">
        <v>2077.35</v>
      </c>
      <c r="F12832" s="553">
        <v>25439.01</v>
      </c>
      <c r="G12832" s="553">
        <v>332.24</v>
      </c>
      <c r="H12832" s="553">
        <v>2508.04</v>
      </c>
      <c r="I12832" s="553">
        <v>42399.08</v>
      </c>
      <c r="J12832" s="647">
        <v>5786.36</v>
      </c>
    </row>
    <row r="12833" spans="2:10">
      <c r="B12833" s="1230" t="s">
        <v>476</v>
      </c>
      <c r="C12833" s="132" t="s">
        <v>2347</v>
      </c>
      <c r="D12833" s="255">
        <v>42047</v>
      </c>
      <c r="E12833" s="553">
        <v>306.19</v>
      </c>
      <c r="F12833" s="553">
        <v>3904.2</v>
      </c>
      <c r="G12833" s="553">
        <v>222.11</v>
      </c>
      <c r="H12833" s="553">
        <v>383.91</v>
      </c>
      <c r="I12833" s="553">
        <v>2605.06</v>
      </c>
      <c r="J12833" s="647">
        <v>2580.06</v>
      </c>
    </row>
    <row r="12834" spans="2:10">
      <c r="B12834" s="1230" t="s">
        <v>476</v>
      </c>
      <c r="C12834" s="132" t="s">
        <v>2894</v>
      </c>
      <c r="D12834" s="255">
        <v>42049</v>
      </c>
      <c r="E12834" s="553">
        <v>332.51</v>
      </c>
      <c r="F12834" s="553">
        <v>4456.72</v>
      </c>
      <c r="G12834" s="553">
        <v>207.29</v>
      </c>
      <c r="H12834" s="553">
        <v>436.78</v>
      </c>
      <c r="I12834" s="553">
        <v>7587.08</v>
      </c>
      <c r="J12834" s="647">
        <v>2208.85</v>
      </c>
    </row>
    <row r="12835" spans="2:10">
      <c r="B12835" s="1230" t="s">
        <v>476</v>
      </c>
      <c r="C12835" s="132" t="s">
        <v>1747</v>
      </c>
      <c r="D12835" s="255">
        <v>42051</v>
      </c>
      <c r="E12835" s="553">
        <v>408.94</v>
      </c>
      <c r="F12835" s="553">
        <v>5515.17</v>
      </c>
      <c r="G12835" s="553">
        <v>224.67</v>
      </c>
      <c r="H12835" s="553">
        <v>540.04999999999995</v>
      </c>
      <c r="I12835" s="553">
        <v>8441.4699999999993</v>
      </c>
      <c r="J12835" s="647">
        <v>2873.93</v>
      </c>
    </row>
    <row r="12836" spans="2:10">
      <c r="B12836" s="1230" t="s">
        <v>476</v>
      </c>
      <c r="C12836" s="132" t="s">
        <v>3114</v>
      </c>
      <c r="D12836" s="255">
        <v>42053</v>
      </c>
      <c r="E12836" s="553">
        <v>236.25</v>
      </c>
      <c r="F12836" s="553">
        <v>2944.17</v>
      </c>
      <c r="G12836" s="553">
        <v>208.3</v>
      </c>
      <c r="H12836" s="553">
        <v>289.98</v>
      </c>
      <c r="I12836" s="553">
        <v>2916.65</v>
      </c>
      <c r="J12836" s="647">
        <v>2159.59</v>
      </c>
    </row>
    <row r="12837" spans="2:10">
      <c r="B12837" s="1230" t="s">
        <v>476</v>
      </c>
      <c r="C12837" s="132" t="s">
        <v>1748</v>
      </c>
      <c r="D12837" s="255">
        <v>42055</v>
      </c>
      <c r="E12837" s="553">
        <v>429.88</v>
      </c>
      <c r="F12837" s="553">
        <v>5279.29</v>
      </c>
      <c r="G12837" s="553">
        <v>361.34</v>
      </c>
      <c r="H12837" s="553">
        <v>520.46</v>
      </c>
      <c r="I12837" s="553">
        <v>4185.2</v>
      </c>
      <c r="J12837" s="647">
        <v>2855.9</v>
      </c>
    </row>
    <row r="12838" spans="2:10">
      <c r="B12838" s="1230" t="s">
        <v>476</v>
      </c>
      <c r="C12838" s="132" t="s">
        <v>1848</v>
      </c>
      <c r="D12838" s="255">
        <v>42057</v>
      </c>
      <c r="E12838" s="553">
        <v>462.06</v>
      </c>
      <c r="F12838" s="553">
        <v>5809.69</v>
      </c>
      <c r="G12838" s="553">
        <v>317.92</v>
      </c>
      <c r="H12838" s="553">
        <v>571.66</v>
      </c>
      <c r="I12838" s="553">
        <v>5097.1499999999996</v>
      </c>
      <c r="J12838" s="647">
        <v>2831.26</v>
      </c>
    </row>
    <row r="12839" spans="2:10">
      <c r="B12839" s="1230" t="s">
        <v>476</v>
      </c>
      <c r="C12839" s="132" t="s">
        <v>1750</v>
      </c>
      <c r="D12839" s="255">
        <v>42059</v>
      </c>
      <c r="E12839" s="553">
        <v>435.53</v>
      </c>
      <c r="F12839" s="553">
        <v>5823.62</v>
      </c>
      <c r="G12839" s="553">
        <v>215.71</v>
      </c>
      <c r="H12839" s="553">
        <v>570.58000000000004</v>
      </c>
      <c r="I12839" s="553">
        <v>8682.44</v>
      </c>
      <c r="J12839" s="647">
        <v>2854.87</v>
      </c>
    </row>
    <row r="12840" spans="2:10">
      <c r="B12840" s="1230" t="s">
        <v>476</v>
      </c>
      <c r="C12840" s="132" t="s">
        <v>3115</v>
      </c>
      <c r="D12840" s="255">
        <v>42061</v>
      </c>
      <c r="E12840" s="553">
        <v>431.9</v>
      </c>
      <c r="F12840" s="553">
        <v>5564.61</v>
      </c>
      <c r="G12840" s="553">
        <v>331.94</v>
      </c>
      <c r="H12840" s="553">
        <v>546.6</v>
      </c>
      <c r="I12840" s="553">
        <v>5145.4799999999996</v>
      </c>
      <c r="J12840" s="647">
        <v>2823.94</v>
      </c>
    </row>
    <row r="12841" spans="2:10">
      <c r="B12841" s="1230" t="s">
        <v>476</v>
      </c>
      <c r="C12841" s="132" t="s">
        <v>452</v>
      </c>
      <c r="D12841" s="255">
        <v>42063</v>
      </c>
      <c r="E12841" s="553">
        <v>706.02</v>
      </c>
      <c r="F12841" s="553">
        <v>9862.98</v>
      </c>
      <c r="G12841" s="553">
        <v>209.37</v>
      </c>
      <c r="H12841" s="553">
        <v>963.5</v>
      </c>
      <c r="I12841" s="553">
        <v>18906.77</v>
      </c>
      <c r="J12841" s="647">
        <v>3927.57</v>
      </c>
    </row>
    <row r="12842" spans="2:10">
      <c r="B12842" s="1230" t="s">
        <v>476</v>
      </c>
      <c r="C12842" s="132" t="s">
        <v>1755</v>
      </c>
      <c r="D12842" s="255">
        <v>42065</v>
      </c>
      <c r="E12842" s="553">
        <v>304.13</v>
      </c>
      <c r="F12842" s="553">
        <v>3909.97</v>
      </c>
      <c r="G12842" s="553">
        <v>217.58</v>
      </c>
      <c r="H12842" s="553">
        <v>384.17</v>
      </c>
      <c r="I12842" s="553">
        <v>2984.02</v>
      </c>
      <c r="J12842" s="647">
        <v>2549.39</v>
      </c>
    </row>
    <row r="12843" spans="2:10">
      <c r="B12843" s="1230" t="s">
        <v>476</v>
      </c>
      <c r="C12843" s="132" t="s">
        <v>3116</v>
      </c>
      <c r="D12843" s="255">
        <v>42067</v>
      </c>
      <c r="E12843" s="553">
        <v>424.27</v>
      </c>
      <c r="F12843" s="553">
        <v>5217.4799999999996</v>
      </c>
      <c r="G12843" s="553">
        <v>342.48</v>
      </c>
      <c r="H12843" s="553">
        <v>514.24</v>
      </c>
      <c r="I12843" s="553">
        <v>3351.49</v>
      </c>
      <c r="J12843" s="647">
        <v>2664.56</v>
      </c>
    </row>
    <row r="12844" spans="2:10">
      <c r="B12844" s="1230" t="s">
        <v>476</v>
      </c>
      <c r="C12844" s="132" t="s">
        <v>3117</v>
      </c>
      <c r="D12844" s="255">
        <v>42069</v>
      </c>
      <c r="E12844" s="553">
        <v>565.77</v>
      </c>
      <c r="F12844" s="553">
        <v>7182.2</v>
      </c>
      <c r="G12844" s="553">
        <v>314.98</v>
      </c>
      <c r="H12844" s="553">
        <v>706.28</v>
      </c>
      <c r="I12844" s="553">
        <v>9092</v>
      </c>
      <c r="J12844" s="647">
        <v>2965.84</v>
      </c>
    </row>
    <row r="12845" spans="2:10">
      <c r="B12845" s="1230" t="s">
        <v>476</v>
      </c>
      <c r="C12845" s="132" t="s">
        <v>2817</v>
      </c>
      <c r="D12845" s="255">
        <v>42071</v>
      </c>
      <c r="E12845" s="553">
        <v>1027.58</v>
      </c>
      <c r="F12845" s="553">
        <v>12677.75</v>
      </c>
      <c r="G12845" s="553">
        <v>943.77</v>
      </c>
      <c r="H12845" s="553">
        <v>1249.47</v>
      </c>
      <c r="I12845" s="553">
        <v>5952.45</v>
      </c>
      <c r="J12845" s="647">
        <v>5475.72</v>
      </c>
    </row>
    <row r="12846" spans="2:10">
      <c r="B12846" s="1230" t="s">
        <v>476</v>
      </c>
      <c r="C12846" s="132" t="s">
        <v>1758</v>
      </c>
      <c r="D12846" s="255">
        <v>42073</v>
      </c>
      <c r="E12846" s="553">
        <v>527.41999999999996</v>
      </c>
      <c r="F12846" s="553">
        <v>7256.43</v>
      </c>
      <c r="G12846" s="553">
        <v>317.68</v>
      </c>
      <c r="H12846" s="553">
        <v>709.64</v>
      </c>
      <c r="I12846" s="553">
        <v>11449.27</v>
      </c>
      <c r="J12846" s="647">
        <v>3170.73</v>
      </c>
    </row>
    <row r="12847" spans="2:10">
      <c r="B12847" s="1230" t="s">
        <v>476</v>
      </c>
      <c r="C12847" s="132" t="s">
        <v>3118</v>
      </c>
      <c r="D12847" s="255">
        <v>42075</v>
      </c>
      <c r="E12847" s="553">
        <v>831.38</v>
      </c>
      <c r="F12847" s="553">
        <v>10521.25</v>
      </c>
      <c r="G12847" s="553">
        <v>552.98</v>
      </c>
      <c r="H12847" s="553">
        <v>1034.8699999999999</v>
      </c>
      <c r="I12847" s="553">
        <v>5585.89</v>
      </c>
      <c r="J12847" s="647">
        <v>3986.06</v>
      </c>
    </row>
    <row r="12848" spans="2:10">
      <c r="B12848" s="1230" t="s">
        <v>476</v>
      </c>
      <c r="C12848" s="132" t="s">
        <v>3119</v>
      </c>
      <c r="D12848" s="255">
        <v>42077</v>
      </c>
      <c r="E12848" s="553">
        <v>1164.3800000000001</v>
      </c>
      <c r="F12848" s="553">
        <v>14434.5</v>
      </c>
      <c r="G12848" s="553">
        <v>369.21</v>
      </c>
      <c r="H12848" s="553">
        <v>1422.06</v>
      </c>
      <c r="I12848" s="553">
        <v>19822.169999999998</v>
      </c>
      <c r="J12848" s="647">
        <v>4698.6499999999996</v>
      </c>
    </row>
    <row r="12849" spans="2:10">
      <c r="B12849" s="1230" t="s">
        <v>476</v>
      </c>
      <c r="C12849" s="132" t="s">
        <v>3120</v>
      </c>
      <c r="D12849" s="255">
        <v>42079</v>
      </c>
      <c r="E12849" s="553">
        <v>697.18</v>
      </c>
      <c r="F12849" s="553">
        <v>9195</v>
      </c>
      <c r="G12849" s="553">
        <v>305.07</v>
      </c>
      <c r="H12849" s="553">
        <v>901.74</v>
      </c>
      <c r="I12849" s="553">
        <v>8422.9</v>
      </c>
      <c r="J12849" s="647">
        <v>3827</v>
      </c>
    </row>
    <row r="12850" spans="2:10">
      <c r="B12850" s="1230" t="s">
        <v>476</v>
      </c>
      <c r="C12850" s="132" t="s">
        <v>3121</v>
      </c>
      <c r="D12850" s="255">
        <v>42081</v>
      </c>
      <c r="E12850" s="553">
        <v>329.03</v>
      </c>
      <c r="F12850" s="553">
        <v>4122.82</v>
      </c>
      <c r="G12850" s="553">
        <v>247.44</v>
      </c>
      <c r="H12850" s="553">
        <v>405.89</v>
      </c>
      <c r="I12850" s="553">
        <v>4697.22</v>
      </c>
      <c r="J12850" s="647">
        <v>2368.7399999999998</v>
      </c>
    </row>
    <row r="12851" spans="2:10">
      <c r="B12851" s="1230" t="s">
        <v>476</v>
      </c>
      <c r="C12851" s="132" t="s">
        <v>3122</v>
      </c>
      <c r="D12851" s="255">
        <v>42083</v>
      </c>
      <c r="E12851" s="553">
        <v>237.83</v>
      </c>
      <c r="F12851" s="553">
        <v>2992.4</v>
      </c>
      <c r="G12851" s="553">
        <v>204.96</v>
      </c>
      <c r="H12851" s="553">
        <v>294.58</v>
      </c>
      <c r="I12851" s="553">
        <v>2645.24</v>
      </c>
      <c r="J12851" s="647">
        <v>2098.0700000000002</v>
      </c>
    </row>
    <row r="12852" spans="2:10">
      <c r="B12852" s="1230" t="s">
        <v>476</v>
      </c>
      <c r="C12852" s="132" t="s">
        <v>2233</v>
      </c>
      <c r="D12852" s="255">
        <v>42085</v>
      </c>
      <c r="E12852" s="553">
        <v>458.66</v>
      </c>
      <c r="F12852" s="553">
        <v>6334.06</v>
      </c>
      <c r="G12852" s="553">
        <v>294.97000000000003</v>
      </c>
      <c r="H12852" s="553">
        <v>619.37</v>
      </c>
      <c r="I12852" s="553">
        <v>10679.51</v>
      </c>
      <c r="J12852" s="647">
        <v>3043.99</v>
      </c>
    </row>
    <row r="12853" spans="2:10">
      <c r="B12853" s="1230" t="s">
        <v>476</v>
      </c>
      <c r="C12853" s="132" t="s">
        <v>3123</v>
      </c>
      <c r="D12853" s="255">
        <v>42087</v>
      </c>
      <c r="E12853" s="553">
        <v>357.65</v>
      </c>
      <c r="F12853" s="553">
        <v>4436.46</v>
      </c>
      <c r="G12853" s="553">
        <v>313.17</v>
      </c>
      <c r="H12853" s="553">
        <v>437.06</v>
      </c>
      <c r="I12853" s="553">
        <v>3049.6</v>
      </c>
      <c r="J12853" s="647">
        <v>2447.4699999999998</v>
      </c>
    </row>
    <row r="12854" spans="2:10">
      <c r="B12854" s="1230" t="s">
        <v>476</v>
      </c>
      <c r="C12854" s="132" t="s">
        <v>1768</v>
      </c>
      <c r="D12854" s="255">
        <v>42089</v>
      </c>
      <c r="E12854" s="553">
        <v>970.2</v>
      </c>
      <c r="F12854" s="553">
        <v>11494.6</v>
      </c>
      <c r="G12854" s="553">
        <v>445.13</v>
      </c>
      <c r="H12854" s="553">
        <v>1136.25</v>
      </c>
      <c r="I12854" s="553">
        <v>11844.16</v>
      </c>
      <c r="J12854" s="647">
        <v>4413.7</v>
      </c>
    </row>
    <row r="12855" spans="2:10">
      <c r="B12855" s="1230" t="s">
        <v>476</v>
      </c>
      <c r="C12855" s="132" t="s">
        <v>1769</v>
      </c>
      <c r="D12855" s="255">
        <v>42091</v>
      </c>
      <c r="E12855" s="553">
        <v>2693.7</v>
      </c>
      <c r="F12855" s="553">
        <v>32522.99</v>
      </c>
      <c r="G12855" s="553">
        <v>426.7</v>
      </c>
      <c r="H12855" s="553">
        <v>3209.88</v>
      </c>
      <c r="I12855" s="553">
        <v>54306.27</v>
      </c>
      <c r="J12855" s="647">
        <v>8048.95</v>
      </c>
    </row>
    <row r="12856" spans="2:10">
      <c r="B12856" s="1230" t="s">
        <v>476</v>
      </c>
      <c r="C12856" s="132" t="s">
        <v>3124</v>
      </c>
      <c r="D12856" s="255">
        <v>42093</v>
      </c>
      <c r="E12856" s="553">
        <v>651.46</v>
      </c>
      <c r="F12856" s="553">
        <v>8757.73</v>
      </c>
      <c r="G12856" s="553">
        <v>539.05999999999995</v>
      </c>
      <c r="H12856" s="553">
        <v>857.84</v>
      </c>
      <c r="I12856" s="553">
        <v>4594.71</v>
      </c>
      <c r="J12856" s="647">
        <v>3557.57</v>
      </c>
    </row>
    <row r="12857" spans="2:10">
      <c r="B12857" s="1230" t="s">
        <v>476</v>
      </c>
      <c r="C12857" s="132" t="s">
        <v>2956</v>
      </c>
      <c r="D12857" s="255">
        <v>42095</v>
      </c>
      <c r="E12857" s="553">
        <v>1362.53</v>
      </c>
      <c r="F12857" s="553">
        <v>16462.82</v>
      </c>
      <c r="G12857" s="553">
        <v>434.9</v>
      </c>
      <c r="H12857" s="553">
        <v>1624.95</v>
      </c>
      <c r="I12857" s="553">
        <v>20106.22</v>
      </c>
      <c r="J12857" s="647">
        <v>5277.93</v>
      </c>
    </row>
    <row r="12858" spans="2:10">
      <c r="B12858" s="1230" t="s">
        <v>476</v>
      </c>
      <c r="C12858" s="132" t="s">
        <v>3125</v>
      </c>
      <c r="D12858" s="255">
        <v>42097</v>
      </c>
      <c r="E12858" s="553">
        <v>481.27</v>
      </c>
      <c r="F12858" s="553">
        <v>6235.06</v>
      </c>
      <c r="G12858" s="553">
        <v>374.48</v>
      </c>
      <c r="H12858" s="553">
        <v>612.29</v>
      </c>
      <c r="I12858" s="553">
        <v>5307.95</v>
      </c>
      <c r="J12858" s="647">
        <v>2873.78</v>
      </c>
    </row>
    <row r="12859" spans="2:10">
      <c r="B12859" s="1230" t="s">
        <v>476</v>
      </c>
      <c r="C12859" s="132" t="s">
        <v>1771</v>
      </c>
      <c r="D12859" s="255">
        <v>42099</v>
      </c>
      <c r="E12859" s="553">
        <v>552.39</v>
      </c>
      <c r="F12859" s="553">
        <v>6901.55</v>
      </c>
      <c r="G12859" s="553">
        <v>464.14</v>
      </c>
      <c r="H12859" s="553">
        <v>679.56</v>
      </c>
      <c r="I12859" s="553">
        <v>3659.14</v>
      </c>
      <c r="J12859" s="647">
        <v>3217.39</v>
      </c>
    </row>
    <row r="12860" spans="2:10">
      <c r="B12860" s="1230" t="s">
        <v>476</v>
      </c>
      <c r="C12860" s="132" t="s">
        <v>3126</v>
      </c>
      <c r="D12860" s="255">
        <v>42101</v>
      </c>
      <c r="E12860" s="553">
        <v>3743.85</v>
      </c>
      <c r="F12860" s="553">
        <v>44253.33</v>
      </c>
      <c r="G12860" s="553">
        <v>357.67</v>
      </c>
      <c r="H12860" s="553">
        <v>4373.4399999999996</v>
      </c>
      <c r="I12860" s="553">
        <v>79200.91</v>
      </c>
      <c r="J12860" s="647">
        <v>8602.4500000000007</v>
      </c>
    </row>
    <row r="12861" spans="2:10">
      <c r="B12861" s="1230" t="s">
        <v>476</v>
      </c>
      <c r="C12861" s="132" t="s">
        <v>1773</v>
      </c>
      <c r="D12861" s="255">
        <v>42103</v>
      </c>
      <c r="E12861" s="553">
        <v>603.69000000000005</v>
      </c>
      <c r="F12861" s="553">
        <v>6886.02</v>
      </c>
      <c r="G12861" s="553">
        <v>317</v>
      </c>
      <c r="H12861" s="553">
        <v>682.57</v>
      </c>
      <c r="I12861" s="553">
        <v>7354.2</v>
      </c>
      <c r="J12861" s="647">
        <v>2909.32</v>
      </c>
    </row>
    <row r="12862" spans="2:10">
      <c r="B12862" s="1230" t="s">
        <v>476</v>
      </c>
      <c r="C12862" s="132" t="s">
        <v>3127</v>
      </c>
      <c r="D12862" s="255">
        <v>42105</v>
      </c>
      <c r="E12862" s="553">
        <v>218.12</v>
      </c>
      <c r="F12862" s="553">
        <v>2678.66</v>
      </c>
      <c r="G12862" s="553">
        <v>180.59</v>
      </c>
      <c r="H12862" s="553">
        <v>264.12</v>
      </c>
      <c r="I12862" s="553">
        <v>2727.37</v>
      </c>
      <c r="J12862" s="647">
        <v>1961.22</v>
      </c>
    </row>
    <row r="12863" spans="2:10">
      <c r="B12863" s="1230" t="s">
        <v>476</v>
      </c>
      <c r="C12863" s="132" t="s">
        <v>3128</v>
      </c>
      <c r="D12863" s="255">
        <v>42107</v>
      </c>
      <c r="E12863" s="553">
        <v>855.45</v>
      </c>
      <c r="F12863" s="553">
        <v>11046.02</v>
      </c>
      <c r="G12863" s="553">
        <v>559.29999999999995</v>
      </c>
      <c r="H12863" s="553">
        <v>1085</v>
      </c>
      <c r="I12863" s="553">
        <v>8478.59</v>
      </c>
      <c r="J12863" s="647">
        <v>4482.74</v>
      </c>
    </row>
    <row r="12864" spans="2:10">
      <c r="B12864" s="1230" t="s">
        <v>476</v>
      </c>
      <c r="C12864" s="132" t="s">
        <v>3129</v>
      </c>
      <c r="D12864" s="255">
        <v>42109</v>
      </c>
      <c r="E12864" s="553">
        <v>411.7</v>
      </c>
      <c r="F12864" s="553">
        <v>5111.2</v>
      </c>
      <c r="G12864" s="553">
        <v>351.37</v>
      </c>
      <c r="H12864" s="553">
        <v>503.44</v>
      </c>
      <c r="I12864" s="553">
        <v>3373.69</v>
      </c>
      <c r="J12864" s="647">
        <v>2666.13</v>
      </c>
    </row>
    <row r="12865" spans="2:10">
      <c r="B12865" s="1230" t="s">
        <v>476</v>
      </c>
      <c r="C12865" s="132" t="s">
        <v>2528</v>
      </c>
      <c r="D12865" s="255">
        <v>42111</v>
      </c>
      <c r="E12865" s="553">
        <v>627.22</v>
      </c>
      <c r="F12865" s="553">
        <v>8628.4</v>
      </c>
      <c r="G12865" s="553">
        <v>228.85</v>
      </c>
      <c r="H12865" s="553">
        <v>843.71</v>
      </c>
      <c r="I12865" s="553">
        <v>15437.43</v>
      </c>
      <c r="J12865" s="647">
        <v>3785.31</v>
      </c>
    </row>
    <row r="12866" spans="2:10">
      <c r="B12866" s="1230" t="s">
        <v>476</v>
      </c>
      <c r="C12866" s="132" t="s">
        <v>2281</v>
      </c>
      <c r="D12866" s="255">
        <v>42113</v>
      </c>
      <c r="E12866" s="553">
        <v>288.47000000000003</v>
      </c>
      <c r="F12866" s="553">
        <v>3536.33</v>
      </c>
      <c r="G12866" s="553">
        <v>202.83</v>
      </c>
      <c r="H12866" s="553">
        <v>348.67</v>
      </c>
      <c r="I12866" s="553">
        <v>3747.78</v>
      </c>
      <c r="J12866" s="647">
        <v>2171.5500000000002</v>
      </c>
    </row>
    <row r="12867" spans="2:10">
      <c r="B12867" s="1230" t="s">
        <v>476</v>
      </c>
      <c r="C12867" s="132" t="s">
        <v>3130</v>
      </c>
      <c r="D12867" s="255">
        <v>42115</v>
      </c>
      <c r="E12867" s="553">
        <v>405.83</v>
      </c>
      <c r="F12867" s="553">
        <v>5050.28</v>
      </c>
      <c r="G12867" s="553">
        <v>186.1</v>
      </c>
      <c r="H12867" s="553">
        <v>497.47</v>
      </c>
      <c r="I12867" s="553">
        <v>6378.9</v>
      </c>
      <c r="J12867" s="647">
        <v>2374.94</v>
      </c>
    </row>
    <row r="12868" spans="2:10">
      <c r="B12868" s="1230" t="s">
        <v>476</v>
      </c>
      <c r="C12868" s="132" t="s">
        <v>2909</v>
      </c>
      <c r="D12868" s="255">
        <v>42117</v>
      </c>
      <c r="E12868" s="553">
        <v>268.22000000000003</v>
      </c>
      <c r="F12868" s="553">
        <v>3397.74</v>
      </c>
      <c r="G12868" s="553">
        <v>181.94</v>
      </c>
      <c r="H12868" s="553">
        <v>334.24</v>
      </c>
      <c r="I12868" s="553">
        <v>4649.93</v>
      </c>
      <c r="J12868" s="647">
        <v>2056.7199999999998</v>
      </c>
    </row>
    <row r="12869" spans="2:10">
      <c r="B12869" s="1230" t="s">
        <v>476</v>
      </c>
      <c r="C12869" s="132" t="s">
        <v>1879</v>
      </c>
      <c r="D12869" s="255">
        <v>42119</v>
      </c>
      <c r="E12869" s="553">
        <v>368.72</v>
      </c>
      <c r="F12869" s="553">
        <v>4578.26</v>
      </c>
      <c r="G12869" s="553">
        <v>315.35000000000002</v>
      </c>
      <c r="H12869" s="553">
        <v>451.02</v>
      </c>
      <c r="I12869" s="553">
        <v>3399.59</v>
      </c>
      <c r="J12869" s="647">
        <v>2405.9</v>
      </c>
    </row>
    <row r="12870" spans="2:10">
      <c r="B12870" s="1230" t="s">
        <v>476</v>
      </c>
      <c r="C12870" s="132" t="s">
        <v>3131</v>
      </c>
      <c r="D12870" s="255">
        <v>42121</v>
      </c>
      <c r="E12870" s="553">
        <v>374.99</v>
      </c>
      <c r="F12870" s="553">
        <v>4960.2299999999996</v>
      </c>
      <c r="G12870" s="553">
        <v>238.51</v>
      </c>
      <c r="H12870" s="553">
        <v>486.47</v>
      </c>
      <c r="I12870" s="553">
        <v>7328.7</v>
      </c>
      <c r="J12870" s="647">
        <v>2683.05</v>
      </c>
    </row>
    <row r="12871" spans="2:10">
      <c r="B12871" s="1230" t="s">
        <v>476</v>
      </c>
      <c r="C12871" s="132" t="s">
        <v>2154</v>
      </c>
      <c r="D12871" s="255">
        <v>42123</v>
      </c>
      <c r="E12871" s="553">
        <v>230.07</v>
      </c>
      <c r="F12871" s="553">
        <v>2913.17</v>
      </c>
      <c r="G12871" s="553">
        <v>201.89</v>
      </c>
      <c r="H12871" s="553">
        <v>286.63</v>
      </c>
      <c r="I12871" s="553">
        <v>2819.8</v>
      </c>
      <c r="J12871" s="647">
        <v>2062.29</v>
      </c>
    </row>
    <row r="12872" spans="2:10">
      <c r="B12872" s="1230" t="s">
        <v>476</v>
      </c>
      <c r="C12872" s="132" t="s">
        <v>487</v>
      </c>
      <c r="D12872" s="255">
        <v>42125</v>
      </c>
      <c r="E12872" s="553">
        <v>1307.6300000000001</v>
      </c>
      <c r="F12872" s="553">
        <v>18230.240000000002</v>
      </c>
      <c r="G12872" s="553">
        <v>227.65</v>
      </c>
      <c r="H12872" s="553">
        <v>1781.19</v>
      </c>
      <c r="I12872" s="553">
        <v>32605.82</v>
      </c>
      <c r="J12872" s="647">
        <v>6382.7</v>
      </c>
    </row>
    <row r="12873" spans="2:10">
      <c r="B12873" s="1230" t="s">
        <v>476</v>
      </c>
      <c r="C12873" s="132" t="s">
        <v>2155</v>
      </c>
      <c r="D12873" s="255">
        <v>42127</v>
      </c>
      <c r="E12873" s="553">
        <v>508.76</v>
      </c>
      <c r="F12873" s="553">
        <v>6367.72</v>
      </c>
      <c r="G12873" s="553">
        <v>212.9</v>
      </c>
      <c r="H12873" s="553">
        <v>626.83000000000004</v>
      </c>
      <c r="I12873" s="553">
        <v>8562.2999999999993</v>
      </c>
      <c r="J12873" s="647">
        <v>2641.29</v>
      </c>
    </row>
    <row r="12874" spans="2:10">
      <c r="B12874" s="1230" t="s">
        <v>476</v>
      </c>
      <c r="C12874" s="132" t="s">
        <v>3132</v>
      </c>
      <c r="D12874" s="255">
        <v>42129</v>
      </c>
      <c r="E12874" s="553">
        <v>1300.8</v>
      </c>
      <c r="F12874" s="553">
        <v>18225.37</v>
      </c>
      <c r="G12874" s="553">
        <v>218.35</v>
      </c>
      <c r="H12874" s="553">
        <v>1780.29</v>
      </c>
      <c r="I12874" s="553">
        <v>34262.32</v>
      </c>
      <c r="J12874" s="647">
        <v>6575.05</v>
      </c>
    </row>
    <row r="12875" spans="2:10">
      <c r="B12875" s="1230" t="s">
        <v>476</v>
      </c>
      <c r="C12875" s="132" t="s">
        <v>490</v>
      </c>
      <c r="D12875" s="255">
        <v>42131</v>
      </c>
      <c r="E12875" s="553">
        <v>418.61</v>
      </c>
      <c r="F12875" s="553">
        <v>5198.72</v>
      </c>
      <c r="G12875" s="553">
        <v>259.08</v>
      </c>
      <c r="H12875" s="553">
        <v>512.05999999999995</v>
      </c>
      <c r="I12875" s="553">
        <v>5624.54</v>
      </c>
      <c r="J12875" s="647">
        <v>2501.9899999999998</v>
      </c>
    </row>
    <row r="12876" spans="2:10">
      <c r="B12876" s="1230" t="s">
        <v>476</v>
      </c>
      <c r="C12876" s="132" t="s">
        <v>2530</v>
      </c>
      <c r="D12876" s="255">
        <v>42133</v>
      </c>
      <c r="E12876" s="553">
        <v>962.93</v>
      </c>
      <c r="F12876" s="553">
        <v>11986.04</v>
      </c>
      <c r="G12876" s="553">
        <v>810.7</v>
      </c>
      <c r="H12876" s="553">
        <v>1180.43</v>
      </c>
      <c r="I12876" s="553">
        <v>6676.14</v>
      </c>
      <c r="J12876" s="647">
        <v>5185.87</v>
      </c>
    </row>
    <row r="12877" spans="2:10">
      <c r="B12877" s="1230" t="s">
        <v>478</v>
      </c>
      <c r="C12877" s="132" t="s">
        <v>2550</v>
      </c>
      <c r="D12877" s="255">
        <v>44001</v>
      </c>
      <c r="E12877" s="553">
        <v>513.38</v>
      </c>
      <c r="F12877" s="553">
        <v>6101.29</v>
      </c>
      <c r="G12877" s="553">
        <v>47.16</v>
      </c>
      <c r="H12877" s="553">
        <v>603.08000000000004</v>
      </c>
      <c r="I12877" s="553">
        <v>9403.89</v>
      </c>
      <c r="J12877" s="647">
        <v>1952.67</v>
      </c>
    </row>
    <row r="12878" spans="2:10">
      <c r="B12878" s="1230" t="s">
        <v>478</v>
      </c>
      <c r="C12878" s="132" t="s">
        <v>2002</v>
      </c>
      <c r="D12878" s="255">
        <v>44003</v>
      </c>
      <c r="E12878" s="553">
        <v>1564.73</v>
      </c>
      <c r="F12878" s="553">
        <v>19029.39</v>
      </c>
      <c r="G12878" s="553">
        <v>101.45</v>
      </c>
      <c r="H12878" s="553">
        <v>1877.95</v>
      </c>
      <c r="I12878" s="553">
        <v>32719.96</v>
      </c>
      <c r="J12878" s="647">
        <v>4323.75</v>
      </c>
    </row>
    <row r="12879" spans="2:10">
      <c r="B12879" s="1230" t="s">
        <v>478</v>
      </c>
      <c r="C12879" s="132" t="s">
        <v>3133</v>
      </c>
      <c r="D12879" s="255">
        <v>44005</v>
      </c>
      <c r="E12879" s="553">
        <v>618.20000000000005</v>
      </c>
      <c r="F12879" s="553">
        <v>7384.69</v>
      </c>
      <c r="G12879" s="553">
        <v>65.150000000000006</v>
      </c>
      <c r="H12879" s="553">
        <v>729.73</v>
      </c>
      <c r="I12879" s="553">
        <v>11803.61</v>
      </c>
      <c r="J12879" s="647">
        <v>2134.16</v>
      </c>
    </row>
    <row r="12880" spans="2:10">
      <c r="B12880" s="1230" t="s">
        <v>478</v>
      </c>
      <c r="C12880" s="132" t="s">
        <v>3134</v>
      </c>
      <c r="D12880" s="255">
        <v>44007</v>
      </c>
      <c r="E12880" s="553">
        <v>1030.8800000000001</v>
      </c>
      <c r="F12880" s="553">
        <v>12357.74</v>
      </c>
      <c r="G12880" s="553">
        <v>82.35</v>
      </c>
      <c r="H12880" s="553">
        <v>1221.1400000000001</v>
      </c>
      <c r="I12880" s="553">
        <v>20409.66</v>
      </c>
      <c r="J12880" s="647">
        <v>3337.87</v>
      </c>
    </row>
    <row r="12881" spans="2:10">
      <c r="B12881" s="1230" t="s">
        <v>478</v>
      </c>
      <c r="C12881" s="132" t="s">
        <v>487</v>
      </c>
      <c r="D12881" s="255">
        <v>44009</v>
      </c>
      <c r="E12881" s="553">
        <v>587.41999999999996</v>
      </c>
      <c r="F12881" s="553">
        <v>6971.8</v>
      </c>
      <c r="G12881" s="553">
        <v>89.33</v>
      </c>
      <c r="H12881" s="553">
        <v>689.27</v>
      </c>
      <c r="I12881" s="553">
        <v>10552.99</v>
      </c>
      <c r="J12881" s="647">
        <v>2306.9299999999998</v>
      </c>
    </row>
    <row r="12882" spans="2:10">
      <c r="B12882" s="1230" t="s">
        <v>479</v>
      </c>
      <c r="C12882" s="132" t="s">
        <v>3135</v>
      </c>
      <c r="D12882" s="255">
        <v>45001</v>
      </c>
      <c r="E12882" s="553">
        <v>427.18</v>
      </c>
      <c r="F12882" s="553">
        <v>5781.9</v>
      </c>
      <c r="G12882" s="553">
        <v>524.97</v>
      </c>
      <c r="H12882" s="553">
        <v>565.44000000000005</v>
      </c>
      <c r="I12882" s="553">
        <v>1968.84</v>
      </c>
      <c r="J12882" s="647">
        <v>2890.25</v>
      </c>
    </row>
    <row r="12883" spans="2:10">
      <c r="B12883" s="1230" t="s">
        <v>479</v>
      </c>
      <c r="C12883" s="132" t="s">
        <v>3136</v>
      </c>
      <c r="D12883" s="255">
        <v>45003</v>
      </c>
      <c r="E12883" s="553">
        <v>370.89</v>
      </c>
      <c r="F12883" s="553">
        <v>4903.1899999999996</v>
      </c>
      <c r="G12883" s="553">
        <v>412.58</v>
      </c>
      <c r="H12883" s="553">
        <v>480.44</v>
      </c>
      <c r="I12883" s="553">
        <v>3969.06</v>
      </c>
      <c r="J12883" s="647">
        <v>2717.19</v>
      </c>
    </row>
    <row r="12884" spans="2:10">
      <c r="B12884" s="1230" t="s">
        <v>479</v>
      </c>
      <c r="C12884" s="132" t="s">
        <v>3137</v>
      </c>
      <c r="D12884" s="255">
        <v>45005</v>
      </c>
      <c r="E12884" s="553">
        <v>182.25</v>
      </c>
      <c r="F12884" s="553">
        <v>2376.2800000000002</v>
      </c>
      <c r="G12884" s="553">
        <v>175.31</v>
      </c>
      <c r="H12884" s="553">
        <v>233.1</v>
      </c>
      <c r="I12884" s="553">
        <v>3029.9</v>
      </c>
      <c r="J12884" s="647">
        <v>1561.12</v>
      </c>
    </row>
    <row r="12885" spans="2:10">
      <c r="B12885" s="1230" t="s">
        <v>479</v>
      </c>
      <c r="C12885" s="132" t="s">
        <v>2335</v>
      </c>
      <c r="D12885" s="255">
        <v>45007</v>
      </c>
      <c r="E12885" s="553">
        <v>750.88</v>
      </c>
      <c r="F12885" s="553">
        <v>9821.73</v>
      </c>
      <c r="G12885" s="553">
        <v>594.97</v>
      </c>
      <c r="H12885" s="553">
        <v>962.75</v>
      </c>
      <c r="I12885" s="553">
        <v>9639.2099999999991</v>
      </c>
      <c r="J12885" s="647">
        <v>4123.84</v>
      </c>
    </row>
    <row r="12886" spans="2:10">
      <c r="B12886" s="1230" t="s">
        <v>479</v>
      </c>
      <c r="C12886" s="132" t="s">
        <v>3138</v>
      </c>
      <c r="D12886" s="255">
        <v>45009</v>
      </c>
      <c r="E12886" s="553">
        <v>233.57</v>
      </c>
      <c r="F12886" s="553">
        <v>3346.05</v>
      </c>
      <c r="G12886" s="553">
        <v>257.07</v>
      </c>
      <c r="H12886" s="553">
        <v>326.08</v>
      </c>
      <c r="I12886" s="553">
        <v>2253.75</v>
      </c>
      <c r="J12886" s="647">
        <v>1854.69</v>
      </c>
    </row>
    <row r="12887" spans="2:10">
      <c r="B12887" s="1230" t="s">
        <v>479</v>
      </c>
      <c r="C12887" s="132" t="s">
        <v>3139</v>
      </c>
      <c r="D12887" s="255">
        <v>45011</v>
      </c>
      <c r="E12887" s="553">
        <v>262.35000000000002</v>
      </c>
      <c r="F12887" s="553">
        <v>3562.97</v>
      </c>
      <c r="G12887" s="553">
        <v>204.01</v>
      </c>
      <c r="H12887" s="553">
        <v>348.57</v>
      </c>
      <c r="I12887" s="553">
        <v>4795.21</v>
      </c>
      <c r="J12887" s="647">
        <v>1894.56</v>
      </c>
    </row>
    <row r="12888" spans="2:10">
      <c r="B12888" s="1230" t="s">
        <v>479</v>
      </c>
      <c r="C12888" s="132" t="s">
        <v>2919</v>
      </c>
      <c r="D12888" s="255">
        <v>45013</v>
      </c>
      <c r="E12888" s="553">
        <v>209.48</v>
      </c>
      <c r="F12888" s="553">
        <v>3207.98</v>
      </c>
      <c r="G12888" s="553">
        <v>146.66</v>
      </c>
      <c r="H12888" s="553">
        <v>311.27999999999997</v>
      </c>
      <c r="I12888" s="553">
        <v>5016.8100000000004</v>
      </c>
      <c r="J12888" s="647">
        <v>1631.31</v>
      </c>
    </row>
    <row r="12889" spans="2:10">
      <c r="B12889" s="1230" t="s">
        <v>479</v>
      </c>
      <c r="C12889" s="132" t="s">
        <v>3140</v>
      </c>
      <c r="D12889" s="255">
        <v>45015</v>
      </c>
      <c r="E12889" s="553">
        <v>330.95</v>
      </c>
      <c r="F12889" s="553">
        <v>4496.53</v>
      </c>
      <c r="G12889" s="553">
        <v>165.61</v>
      </c>
      <c r="H12889" s="553">
        <v>439.9</v>
      </c>
      <c r="I12889" s="553">
        <v>7158.64</v>
      </c>
      <c r="J12889" s="647">
        <v>2143.34</v>
      </c>
    </row>
    <row r="12890" spans="2:10">
      <c r="B12890" s="1230" t="s">
        <v>479</v>
      </c>
      <c r="C12890" s="132" t="s">
        <v>1726</v>
      </c>
      <c r="D12890" s="255">
        <v>45017</v>
      </c>
      <c r="E12890" s="553">
        <v>262.74</v>
      </c>
      <c r="F12890" s="553">
        <v>3740.83</v>
      </c>
      <c r="G12890" s="553">
        <v>329.21</v>
      </c>
      <c r="H12890" s="553">
        <v>364.75</v>
      </c>
      <c r="I12890" s="553">
        <v>1579.65</v>
      </c>
      <c r="J12890" s="647">
        <v>2040.16</v>
      </c>
    </row>
    <row r="12891" spans="2:10">
      <c r="B12891" s="1230" t="s">
        <v>479</v>
      </c>
      <c r="C12891" s="132" t="s">
        <v>3141</v>
      </c>
      <c r="D12891" s="255">
        <v>45019</v>
      </c>
      <c r="E12891" s="553">
        <v>286.85000000000002</v>
      </c>
      <c r="F12891" s="553">
        <v>3938.06</v>
      </c>
      <c r="G12891" s="553">
        <v>147.04</v>
      </c>
      <c r="H12891" s="553">
        <v>384.97</v>
      </c>
      <c r="I12891" s="553">
        <v>6343.93</v>
      </c>
      <c r="J12891" s="647">
        <v>1902.1</v>
      </c>
    </row>
    <row r="12892" spans="2:10">
      <c r="B12892" s="1230" t="s">
        <v>479</v>
      </c>
      <c r="C12892" s="132" t="s">
        <v>1728</v>
      </c>
      <c r="D12892" s="255">
        <v>45021</v>
      </c>
      <c r="E12892" s="553">
        <v>412.82</v>
      </c>
      <c r="F12892" s="553">
        <v>5308.83</v>
      </c>
      <c r="G12892" s="553">
        <v>289.89999999999998</v>
      </c>
      <c r="H12892" s="553">
        <v>521.19000000000005</v>
      </c>
      <c r="I12892" s="553">
        <v>7158.8</v>
      </c>
      <c r="J12892" s="647">
        <v>2744.19</v>
      </c>
    </row>
    <row r="12893" spans="2:10">
      <c r="B12893" s="1230" t="s">
        <v>479</v>
      </c>
      <c r="C12893" s="132" t="s">
        <v>3110</v>
      </c>
      <c r="D12893" s="255">
        <v>45023</v>
      </c>
      <c r="E12893" s="553">
        <v>470.89</v>
      </c>
      <c r="F12893" s="553">
        <v>5929.21</v>
      </c>
      <c r="G12893" s="553">
        <v>342.09</v>
      </c>
      <c r="H12893" s="553">
        <v>583.04999999999995</v>
      </c>
      <c r="I12893" s="553">
        <v>7171.15</v>
      </c>
      <c r="J12893" s="647">
        <v>2927.84</v>
      </c>
    </row>
    <row r="12894" spans="2:10">
      <c r="B12894" s="1230" t="s">
        <v>479</v>
      </c>
      <c r="C12894" s="132" t="s">
        <v>3142</v>
      </c>
      <c r="D12894" s="255">
        <v>45025</v>
      </c>
      <c r="E12894" s="553">
        <v>286.87</v>
      </c>
      <c r="F12894" s="553">
        <v>3908.89</v>
      </c>
      <c r="G12894" s="553">
        <v>431.6</v>
      </c>
      <c r="H12894" s="553">
        <v>382.2</v>
      </c>
      <c r="I12894" s="553">
        <v>1102.8599999999999</v>
      </c>
      <c r="J12894" s="647">
        <v>2505.64</v>
      </c>
    </row>
    <row r="12895" spans="2:10">
      <c r="B12895" s="1230" t="s">
        <v>479</v>
      </c>
      <c r="C12895" s="132" t="s">
        <v>3143</v>
      </c>
      <c r="D12895" s="255">
        <v>45027</v>
      </c>
      <c r="E12895" s="553">
        <v>236.69</v>
      </c>
      <c r="F12895" s="553">
        <v>3350.4</v>
      </c>
      <c r="G12895" s="553">
        <v>307.66000000000003</v>
      </c>
      <c r="H12895" s="553">
        <v>326.75</v>
      </c>
      <c r="I12895" s="553">
        <v>1584.57</v>
      </c>
      <c r="J12895" s="647">
        <v>2000.16</v>
      </c>
    </row>
    <row r="12896" spans="2:10">
      <c r="B12896" s="1230" t="s">
        <v>479</v>
      </c>
      <c r="C12896" s="132" t="s">
        <v>3144</v>
      </c>
      <c r="D12896" s="255">
        <v>45029</v>
      </c>
      <c r="E12896" s="553">
        <v>246.35</v>
      </c>
      <c r="F12896" s="553">
        <v>3522.15</v>
      </c>
      <c r="G12896" s="553">
        <v>158.41999999999999</v>
      </c>
      <c r="H12896" s="553">
        <v>343.28</v>
      </c>
      <c r="I12896" s="553">
        <v>5353.98</v>
      </c>
      <c r="J12896" s="647">
        <v>1869.96</v>
      </c>
    </row>
    <row r="12897" spans="2:10">
      <c r="B12897" s="1230" t="s">
        <v>479</v>
      </c>
      <c r="C12897" s="132" t="s">
        <v>3145</v>
      </c>
      <c r="D12897" s="255">
        <v>45031</v>
      </c>
      <c r="E12897" s="553">
        <v>285.89</v>
      </c>
      <c r="F12897" s="553">
        <v>3932.15</v>
      </c>
      <c r="G12897" s="553">
        <v>384.68</v>
      </c>
      <c r="H12897" s="553">
        <v>384.27</v>
      </c>
      <c r="I12897" s="553">
        <v>1188.52</v>
      </c>
      <c r="J12897" s="647">
        <v>2245.7399999999998</v>
      </c>
    </row>
    <row r="12898" spans="2:10">
      <c r="B12898" s="1230" t="s">
        <v>479</v>
      </c>
      <c r="C12898" s="132" t="s">
        <v>3146</v>
      </c>
      <c r="D12898" s="255">
        <v>45033</v>
      </c>
      <c r="E12898" s="553">
        <v>289.39</v>
      </c>
      <c r="F12898" s="553">
        <v>3920.3</v>
      </c>
      <c r="G12898" s="553">
        <v>376.36</v>
      </c>
      <c r="H12898" s="553">
        <v>383.61</v>
      </c>
      <c r="I12898" s="553">
        <v>1112.44</v>
      </c>
      <c r="J12898" s="647">
        <v>2168.3000000000002</v>
      </c>
    </row>
    <row r="12899" spans="2:10">
      <c r="B12899" s="1230" t="s">
        <v>479</v>
      </c>
      <c r="C12899" s="132" t="s">
        <v>2538</v>
      </c>
      <c r="D12899" s="255">
        <v>45035</v>
      </c>
      <c r="E12899" s="553">
        <v>232.07</v>
      </c>
      <c r="F12899" s="553">
        <v>3077.63</v>
      </c>
      <c r="G12899" s="553">
        <v>177.23</v>
      </c>
      <c r="H12899" s="553">
        <v>301.44</v>
      </c>
      <c r="I12899" s="553">
        <v>4428.01</v>
      </c>
      <c r="J12899" s="647">
        <v>1702.58</v>
      </c>
    </row>
    <row r="12900" spans="2:10">
      <c r="B12900" s="1230" t="s">
        <v>479</v>
      </c>
      <c r="C12900" s="132" t="s">
        <v>3147</v>
      </c>
      <c r="D12900" s="255">
        <v>45037</v>
      </c>
      <c r="E12900" s="553">
        <v>278.36</v>
      </c>
      <c r="F12900" s="553">
        <v>3595.08</v>
      </c>
      <c r="G12900" s="553">
        <v>344.19</v>
      </c>
      <c r="H12900" s="553">
        <v>352.86</v>
      </c>
      <c r="I12900" s="553">
        <v>2336.11</v>
      </c>
      <c r="J12900" s="647">
        <v>2142.9</v>
      </c>
    </row>
    <row r="12901" spans="2:10">
      <c r="B12901" s="1230" t="s">
        <v>479</v>
      </c>
      <c r="C12901" s="132" t="s">
        <v>1994</v>
      </c>
      <c r="D12901" s="255">
        <v>45039</v>
      </c>
      <c r="E12901" s="553">
        <v>262.52999999999997</v>
      </c>
      <c r="F12901" s="553">
        <v>3420.05</v>
      </c>
      <c r="G12901" s="553">
        <v>318.88</v>
      </c>
      <c r="H12901" s="553">
        <v>335.48</v>
      </c>
      <c r="I12901" s="553">
        <v>2656.35</v>
      </c>
      <c r="J12901" s="647">
        <v>2196.9699999999998</v>
      </c>
    </row>
    <row r="12902" spans="2:10">
      <c r="B12902" s="1230" t="s">
        <v>479</v>
      </c>
      <c r="C12902" s="132" t="s">
        <v>3148</v>
      </c>
      <c r="D12902" s="255">
        <v>45041</v>
      </c>
      <c r="E12902" s="553">
        <v>265.86</v>
      </c>
      <c r="F12902" s="553">
        <v>3702.3</v>
      </c>
      <c r="G12902" s="553">
        <v>375.4</v>
      </c>
      <c r="H12902" s="553">
        <v>361.59</v>
      </c>
      <c r="I12902" s="553">
        <v>1252.29</v>
      </c>
      <c r="J12902" s="647">
        <v>2209.0700000000002</v>
      </c>
    </row>
    <row r="12903" spans="2:10">
      <c r="B12903" s="1230" t="s">
        <v>479</v>
      </c>
      <c r="C12903" s="132" t="s">
        <v>3149</v>
      </c>
      <c r="D12903" s="255">
        <v>45043</v>
      </c>
      <c r="E12903" s="553">
        <v>172.28</v>
      </c>
      <c r="F12903" s="553">
        <v>2436.7199999999998</v>
      </c>
      <c r="G12903" s="553">
        <v>168.47</v>
      </c>
      <c r="H12903" s="553">
        <v>237.73</v>
      </c>
      <c r="I12903" s="553">
        <v>2963.77</v>
      </c>
      <c r="J12903" s="647">
        <v>1604.87</v>
      </c>
    </row>
    <row r="12904" spans="2:10">
      <c r="B12904" s="1230" t="s">
        <v>479</v>
      </c>
      <c r="C12904" s="132" t="s">
        <v>3150</v>
      </c>
      <c r="D12904" s="255">
        <v>45045</v>
      </c>
      <c r="E12904" s="553">
        <v>834.55</v>
      </c>
      <c r="F12904" s="553">
        <v>11082.83</v>
      </c>
      <c r="G12904" s="553">
        <v>514.57000000000005</v>
      </c>
      <c r="H12904" s="553">
        <v>1085.28</v>
      </c>
      <c r="I12904" s="553">
        <v>13958.36</v>
      </c>
      <c r="J12904" s="647">
        <v>4448.45</v>
      </c>
    </row>
    <row r="12905" spans="2:10">
      <c r="B12905" s="1230" t="s">
        <v>479</v>
      </c>
      <c r="C12905" s="132" t="s">
        <v>2355</v>
      </c>
      <c r="D12905" s="255">
        <v>45047</v>
      </c>
      <c r="E12905" s="553">
        <v>277.54000000000002</v>
      </c>
      <c r="F12905" s="553">
        <v>3824.59</v>
      </c>
      <c r="G12905" s="553">
        <v>388.09</v>
      </c>
      <c r="H12905" s="553">
        <v>373.64</v>
      </c>
      <c r="I12905" s="553">
        <v>1846.29</v>
      </c>
      <c r="J12905" s="647">
        <v>2307.98</v>
      </c>
    </row>
    <row r="12906" spans="2:10">
      <c r="B12906" s="1230" t="s">
        <v>479</v>
      </c>
      <c r="C12906" s="132" t="s">
        <v>3151</v>
      </c>
      <c r="D12906" s="255">
        <v>45049</v>
      </c>
      <c r="E12906" s="553">
        <v>185.27</v>
      </c>
      <c r="F12906" s="553">
        <v>2491.12</v>
      </c>
      <c r="G12906" s="553">
        <v>162.97999999999999</v>
      </c>
      <c r="H12906" s="553">
        <v>243.78</v>
      </c>
      <c r="I12906" s="553">
        <v>3378.49</v>
      </c>
      <c r="J12906" s="647">
        <v>1568.2</v>
      </c>
    </row>
    <row r="12907" spans="2:10">
      <c r="B12907" s="1230" t="s">
        <v>479</v>
      </c>
      <c r="C12907" s="132" t="s">
        <v>3152</v>
      </c>
      <c r="D12907" s="255">
        <v>45051</v>
      </c>
      <c r="E12907" s="553">
        <v>238.28</v>
      </c>
      <c r="F12907" s="553">
        <v>3544.51</v>
      </c>
      <c r="G12907" s="553">
        <v>376.2</v>
      </c>
      <c r="H12907" s="553">
        <v>344.7</v>
      </c>
      <c r="I12907" s="553">
        <v>1106.8699999999999</v>
      </c>
      <c r="J12907" s="647">
        <v>2204.38</v>
      </c>
    </row>
    <row r="12908" spans="2:10">
      <c r="B12908" s="1230" t="s">
        <v>479</v>
      </c>
      <c r="C12908" s="132" t="s">
        <v>2111</v>
      </c>
      <c r="D12908" s="255">
        <v>45053</v>
      </c>
      <c r="E12908" s="553">
        <v>234.18</v>
      </c>
      <c r="F12908" s="553">
        <v>3427.1</v>
      </c>
      <c r="G12908" s="553">
        <v>153.65</v>
      </c>
      <c r="H12908" s="553">
        <v>333.44</v>
      </c>
      <c r="I12908" s="553">
        <v>5375.03</v>
      </c>
      <c r="J12908" s="647">
        <v>1717.41</v>
      </c>
    </row>
    <row r="12909" spans="2:10">
      <c r="B12909" s="1230" t="s">
        <v>479</v>
      </c>
      <c r="C12909" s="132" t="s">
        <v>3153</v>
      </c>
      <c r="D12909" s="255">
        <v>45055</v>
      </c>
      <c r="E12909" s="553">
        <v>250.46</v>
      </c>
      <c r="F12909" s="553">
        <v>3319.75</v>
      </c>
      <c r="G12909" s="553">
        <v>349.47</v>
      </c>
      <c r="H12909" s="553">
        <v>325.31</v>
      </c>
      <c r="I12909" s="553">
        <v>1407.47</v>
      </c>
      <c r="J12909" s="647">
        <v>2163.08</v>
      </c>
    </row>
    <row r="12910" spans="2:10">
      <c r="B12910" s="1230" t="s">
        <v>479</v>
      </c>
      <c r="C12910" s="132" t="s">
        <v>2817</v>
      </c>
      <c r="D12910" s="255">
        <v>45057</v>
      </c>
      <c r="E12910" s="553">
        <v>400.85</v>
      </c>
      <c r="F12910" s="553">
        <v>4912.03</v>
      </c>
      <c r="G12910" s="553">
        <v>473.01</v>
      </c>
      <c r="H12910" s="553">
        <v>484.03</v>
      </c>
      <c r="I12910" s="553">
        <v>1584.16</v>
      </c>
      <c r="J12910" s="647">
        <v>2790.98</v>
      </c>
    </row>
    <row r="12911" spans="2:10">
      <c r="B12911" s="1230" t="s">
        <v>479</v>
      </c>
      <c r="C12911" s="132" t="s">
        <v>2116</v>
      </c>
      <c r="D12911" s="255">
        <v>45059</v>
      </c>
      <c r="E12911" s="553">
        <v>359.1</v>
      </c>
      <c r="F12911" s="553">
        <v>5064.16</v>
      </c>
      <c r="G12911" s="553">
        <v>468.66</v>
      </c>
      <c r="H12911" s="553">
        <v>494.01</v>
      </c>
      <c r="I12911" s="553">
        <v>3083.93</v>
      </c>
      <c r="J12911" s="647">
        <v>2776.9</v>
      </c>
    </row>
    <row r="12912" spans="2:10">
      <c r="B12912" s="1230" t="s">
        <v>479</v>
      </c>
      <c r="C12912" s="132" t="s">
        <v>1759</v>
      </c>
      <c r="D12912" s="255">
        <v>45061</v>
      </c>
      <c r="E12912" s="553">
        <v>330.18</v>
      </c>
      <c r="F12912" s="553">
        <v>4683.3</v>
      </c>
      <c r="G12912" s="553">
        <v>409.95</v>
      </c>
      <c r="H12912" s="553">
        <v>456.73</v>
      </c>
      <c r="I12912" s="553">
        <v>1236.78</v>
      </c>
      <c r="J12912" s="647">
        <v>2356.27</v>
      </c>
    </row>
    <row r="12913" spans="2:10">
      <c r="B12913" s="1230" t="s">
        <v>479</v>
      </c>
      <c r="C12913" s="132" t="s">
        <v>3154</v>
      </c>
      <c r="D12913" s="255">
        <v>45063</v>
      </c>
      <c r="E12913" s="553">
        <v>459.41</v>
      </c>
      <c r="F12913" s="553">
        <v>5946.71</v>
      </c>
      <c r="G12913" s="553">
        <v>510.93</v>
      </c>
      <c r="H12913" s="553">
        <v>583.76</v>
      </c>
      <c r="I12913" s="553">
        <v>1835.87</v>
      </c>
      <c r="J12913" s="647">
        <v>2897.01</v>
      </c>
    </row>
    <row r="12914" spans="2:10">
      <c r="B12914" s="1230" t="s">
        <v>479</v>
      </c>
      <c r="C12914" s="132" t="s">
        <v>3155</v>
      </c>
      <c r="D12914" s="255">
        <v>45065</v>
      </c>
      <c r="E12914" s="553">
        <v>256.55</v>
      </c>
      <c r="F12914" s="553">
        <v>3191.7</v>
      </c>
      <c r="G12914" s="553">
        <v>336.7</v>
      </c>
      <c r="H12914" s="553">
        <v>314.08</v>
      </c>
      <c r="I12914" s="553">
        <v>1881.31</v>
      </c>
      <c r="J12914" s="647">
        <v>2103.35</v>
      </c>
    </row>
    <row r="12915" spans="2:10">
      <c r="B12915" s="1230" t="s">
        <v>479</v>
      </c>
      <c r="C12915" s="132" t="s">
        <v>1765</v>
      </c>
      <c r="D12915" s="255">
        <v>45067</v>
      </c>
      <c r="E12915" s="553">
        <v>273.20999999999998</v>
      </c>
      <c r="F12915" s="553">
        <v>3834.66</v>
      </c>
      <c r="G12915" s="553">
        <v>330.03</v>
      </c>
      <c r="H12915" s="553">
        <v>374.3</v>
      </c>
      <c r="I12915" s="553">
        <v>1273.8800000000001</v>
      </c>
      <c r="J12915" s="647">
        <v>2066.87</v>
      </c>
    </row>
    <row r="12916" spans="2:10">
      <c r="B12916" s="1230" t="s">
        <v>479</v>
      </c>
      <c r="C12916" s="132" t="s">
        <v>3156</v>
      </c>
      <c r="D12916" s="255">
        <v>45069</v>
      </c>
      <c r="E12916" s="553">
        <v>262.33999999999997</v>
      </c>
      <c r="F12916" s="553">
        <v>3492.01</v>
      </c>
      <c r="G12916" s="553">
        <v>378.1</v>
      </c>
      <c r="H12916" s="553">
        <v>342.08</v>
      </c>
      <c r="I12916" s="553">
        <v>953.16</v>
      </c>
      <c r="J12916" s="647">
        <v>2172.1999999999998</v>
      </c>
    </row>
    <row r="12917" spans="2:10">
      <c r="B12917" s="1230" t="s">
        <v>479</v>
      </c>
      <c r="C12917" s="132" t="s">
        <v>3157</v>
      </c>
      <c r="D12917" s="255">
        <v>45071</v>
      </c>
      <c r="E12917" s="553">
        <v>322.72000000000003</v>
      </c>
      <c r="F12917" s="553">
        <v>4410.1000000000004</v>
      </c>
      <c r="G12917" s="553">
        <v>453.75</v>
      </c>
      <c r="H12917" s="553">
        <v>431.07</v>
      </c>
      <c r="I12917" s="553">
        <v>1820.87</v>
      </c>
      <c r="J12917" s="647">
        <v>2551.87</v>
      </c>
    </row>
    <row r="12918" spans="2:10">
      <c r="B12918" s="1230" t="s">
        <v>479</v>
      </c>
      <c r="C12918" s="132" t="s">
        <v>2125</v>
      </c>
      <c r="D12918" s="255">
        <v>45073</v>
      </c>
      <c r="E12918" s="553">
        <v>457.61</v>
      </c>
      <c r="F12918" s="553">
        <v>6174.79</v>
      </c>
      <c r="G12918" s="553">
        <v>550.76</v>
      </c>
      <c r="H12918" s="553">
        <v>603.98</v>
      </c>
      <c r="I12918" s="553">
        <v>3186.52</v>
      </c>
      <c r="J12918" s="647">
        <v>3134.96</v>
      </c>
    </row>
    <row r="12919" spans="2:10">
      <c r="B12919" s="1230" t="s">
        <v>479</v>
      </c>
      <c r="C12919" s="132" t="s">
        <v>3158</v>
      </c>
      <c r="D12919" s="255">
        <v>45075</v>
      </c>
      <c r="E12919" s="553">
        <v>230.34</v>
      </c>
      <c r="F12919" s="553">
        <v>3107.97</v>
      </c>
      <c r="G12919" s="553">
        <v>269.73</v>
      </c>
      <c r="H12919" s="553">
        <v>304.04000000000002</v>
      </c>
      <c r="I12919" s="553">
        <v>2657.32</v>
      </c>
      <c r="J12919" s="647">
        <v>1962.29</v>
      </c>
    </row>
    <row r="12920" spans="2:10">
      <c r="B12920" s="1230" t="s">
        <v>479</v>
      </c>
      <c r="C12920" s="132" t="s">
        <v>1772</v>
      </c>
      <c r="D12920" s="255">
        <v>45077</v>
      </c>
      <c r="E12920" s="553">
        <v>797.23</v>
      </c>
      <c r="F12920" s="553">
        <v>10534.83</v>
      </c>
      <c r="G12920" s="553">
        <v>502.26</v>
      </c>
      <c r="H12920" s="553">
        <v>1031.75</v>
      </c>
      <c r="I12920" s="553">
        <v>12677.05</v>
      </c>
      <c r="J12920" s="647">
        <v>3882.58</v>
      </c>
    </row>
    <row r="12921" spans="2:10">
      <c r="B12921" s="1230" t="s">
        <v>479</v>
      </c>
      <c r="C12921" s="132" t="s">
        <v>2238</v>
      </c>
      <c r="D12921" s="255">
        <v>45079</v>
      </c>
      <c r="E12921" s="553">
        <v>458.08</v>
      </c>
      <c r="F12921" s="553">
        <v>5941.71</v>
      </c>
      <c r="G12921" s="553">
        <v>520.99</v>
      </c>
      <c r="H12921" s="553">
        <v>583.09</v>
      </c>
      <c r="I12921" s="553">
        <v>1926.42</v>
      </c>
      <c r="J12921" s="647">
        <v>2919.11</v>
      </c>
    </row>
    <row r="12922" spans="2:10">
      <c r="B12922" s="1230" t="s">
        <v>479</v>
      </c>
      <c r="C12922" s="132" t="s">
        <v>3159</v>
      </c>
      <c r="D12922" s="255">
        <v>45081</v>
      </c>
      <c r="E12922" s="553">
        <v>282.01</v>
      </c>
      <c r="F12922" s="553">
        <v>3671.7</v>
      </c>
      <c r="G12922" s="553">
        <v>355.55</v>
      </c>
      <c r="H12922" s="553">
        <v>360.16</v>
      </c>
      <c r="I12922" s="553">
        <v>1934.05</v>
      </c>
      <c r="J12922" s="647">
        <v>2205.52</v>
      </c>
    </row>
    <row r="12923" spans="2:10">
      <c r="B12923" s="1230" t="s">
        <v>479</v>
      </c>
      <c r="C12923" s="132" t="s">
        <v>3160</v>
      </c>
      <c r="D12923" s="255">
        <v>45083</v>
      </c>
      <c r="E12923" s="553">
        <v>749.64</v>
      </c>
      <c r="F12923" s="553">
        <v>10015.91</v>
      </c>
      <c r="G12923" s="553">
        <v>331.25</v>
      </c>
      <c r="H12923" s="553">
        <v>980.34</v>
      </c>
      <c r="I12923" s="553">
        <v>15715.18</v>
      </c>
      <c r="J12923" s="647">
        <v>3968.3</v>
      </c>
    </row>
    <row r="12924" spans="2:10">
      <c r="B12924" s="1230" t="s">
        <v>479</v>
      </c>
      <c r="C12924" s="132" t="s">
        <v>1778</v>
      </c>
      <c r="D12924" s="255">
        <v>45085</v>
      </c>
      <c r="E12924" s="553">
        <v>252.81</v>
      </c>
      <c r="F12924" s="553">
        <v>3526.85</v>
      </c>
      <c r="G12924" s="553">
        <v>356.56</v>
      </c>
      <c r="H12924" s="553">
        <v>344.37</v>
      </c>
      <c r="I12924" s="553">
        <v>1333.6</v>
      </c>
      <c r="J12924" s="647">
        <v>2099.34</v>
      </c>
    </row>
    <row r="12925" spans="2:10">
      <c r="B12925" s="1230" t="s">
        <v>479</v>
      </c>
      <c r="C12925" s="132" t="s">
        <v>1879</v>
      </c>
      <c r="D12925" s="255">
        <v>45087</v>
      </c>
      <c r="E12925" s="553">
        <v>325.37</v>
      </c>
      <c r="F12925" s="553">
        <v>4374.76</v>
      </c>
      <c r="G12925" s="553">
        <v>313.64</v>
      </c>
      <c r="H12925" s="553">
        <v>428.06</v>
      </c>
      <c r="I12925" s="553">
        <v>5352.3</v>
      </c>
      <c r="J12925" s="647">
        <v>2395.2399999999998</v>
      </c>
    </row>
    <row r="12926" spans="2:10">
      <c r="B12926" s="1230" t="s">
        <v>479</v>
      </c>
      <c r="C12926" s="132" t="s">
        <v>3161</v>
      </c>
      <c r="D12926" s="255">
        <v>45089</v>
      </c>
      <c r="E12926" s="553">
        <v>253.01</v>
      </c>
      <c r="F12926" s="553">
        <v>3490.02</v>
      </c>
      <c r="G12926" s="553">
        <v>220.17</v>
      </c>
      <c r="H12926" s="553">
        <v>340.99</v>
      </c>
      <c r="I12926" s="553">
        <v>4126.24</v>
      </c>
      <c r="J12926" s="647">
        <v>1971.85</v>
      </c>
    </row>
    <row r="12927" spans="2:10">
      <c r="B12927" s="1230" t="s">
        <v>479</v>
      </c>
      <c r="C12927" s="132" t="s">
        <v>2530</v>
      </c>
      <c r="D12927" s="255">
        <v>45091</v>
      </c>
      <c r="E12927" s="553">
        <v>776.32</v>
      </c>
      <c r="F12927" s="553">
        <v>9394.16</v>
      </c>
      <c r="G12927" s="553">
        <v>434.92</v>
      </c>
      <c r="H12927" s="553">
        <v>926.35</v>
      </c>
      <c r="I12927" s="553">
        <v>11543.4</v>
      </c>
      <c r="J12927" s="647">
        <v>3983.75</v>
      </c>
    </row>
    <row r="12928" spans="2:10">
      <c r="B12928" s="1230" t="s">
        <v>480</v>
      </c>
      <c r="C12928" s="132" t="s">
        <v>3162</v>
      </c>
      <c r="D12928" s="255">
        <v>46003</v>
      </c>
      <c r="E12928" s="553">
        <v>100.29</v>
      </c>
      <c r="F12928" s="553">
        <v>1170.3</v>
      </c>
      <c r="G12928" s="553">
        <v>508.69</v>
      </c>
      <c r="H12928" s="553">
        <v>115.79</v>
      </c>
      <c r="I12928" s="553">
        <v>304.64</v>
      </c>
      <c r="J12928" s="647">
        <v>623.97</v>
      </c>
    </row>
    <row r="12929" spans="2:10">
      <c r="B12929" s="1230" t="s">
        <v>480</v>
      </c>
      <c r="C12929" s="132" t="s">
        <v>3163</v>
      </c>
      <c r="D12929" s="255">
        <v>46005</v>
      </c>
      <c r="E12929" s="553">
        <v>94.35</v>
      </c>
      <c r="F12929" s="553">
        <v>1104.75</v>
      </c>
      <c r="G12929" s="553">
        <v>557.41999999999996</v>
      </c>
      <c r="H12929" s="553">
        <v>109.29</v>
      </c>
      <c r="I12929" s="553">
        <v>315.74</v>
      </c>
      <c r="J12929" s="647">
        <v>626.85</v>
      </c>
    </row>
    <row r="12930" spans="2:10">
      <c r="B12930" s="1230" t="s">
        <v>480</v>
      </c>
      <c r="C12930" s="132" t="s">
        <v>3164</v>
      </c>
      <c r="D12930" s="255">
        <v>46007</v>
      </c>
      <c r="E12930" s="553">
        <v>86.46</v>
      </c>
      <c r="F12930" s="553">
        <v>778.45</v>
      </c>
      <c r="G12930" s="553">
        <v>402.3</v>
      </c>
      <c r="H12930" s="553">
        <v>78.86</v>
      </c>
      <c r="I12930" s="553">
        <v>314.83999999999997</v>
      </c>
      <c r="J12930" s="647">
        <v>1350.27</v>
      </c>
    </row>
    <row r="12931" spans="2:10">
      <c r="B12931" s="1230" t="s">
        <v>480</v>
      </c>
      <c r="C12931" s="132" t="s">
        <v>3165</v>
      </c>
      <c r="D12931" s="255">
        <v>46009</v>
      </c>
      <c r="E12931" s="553">
        <v>107.71</v>
      </c>
      <c r="F12931" s="553">
        <v>1273.48</v>
      </c>
      <c r="G12931" s="553">
        <v>585.09</v>
      </c>
      <c r="H12931" s="553">
        <v>125.92</v>
      </c>
      <c r="I12931" s="553">
        <v>330.43</v>
      </c>
      <c r="J12931" s="647">
        <v>649.79999999999995</v>
      </c>
    </row>
    <row r="12932" spans="2:10">
      <c r="B12932" s="1230" t="s">
        <v>480</v>
      </c>
      <c r="C12932" s="132" t="s">
        <v>3166</v>
      </c>
      <c r="D12932" s="255">
        <v>46011</v>
      </c>
      <c r="E12932" s="553">
        <v>119.69</v>
      </c>
      <c r="F12932" s="553">
        <v>1423.83</v>
      </c>
      <c r="G12932" s="553">
        <v>693.16</v>
      </c>
      <c r="H12932" s="553">
        <v>140.71</v>
      </c>
      <c r="I12932" s="553">
        <v>392.21</v>
      </c>
      <c r="J12932" s="647">
        <v>689.08</v>
      </c>
    </row>
    <row r="12933" spans="2:10">
      <c r="B12933" s="1230" t="s">
        <v>480</v>
      </c>
      <c r="C12933" s="132" t="s">
        <v>2200</v>
      </c>
      <c r="D12933" s="255">
        <v>46013</v>
      </c>
      <c r="E12933" s="553">
        <v>90.06</v>
      </c>
      <c r="F12933" s="553">
        <v>1079.8699999999999</v>
      </c>
      <c r="G12933" s="553">
        <v>600.41</v>
      </c>
      <c r="H12933" s="553">
        <v>106.67</v>
      </c>
      <c r="I12933" s="553">
        <v>307.51</v>
      </c>
      <c r="J12933" s="647">
        <v>614.82000000000005</v>
      </c>
    </row>
    <row r="12934" spans="2:10">
      <c r="B12934" s="1230" t="s">
        <v>480</v>
      </c>
      <c r="C12934" s="132" t="s">
        <v>3167</v>
      </c>
      <c r="D12934" s="255">
        <v>46015</v>
      </c>
      <c r="E12934" s="553">
        <v>91.01</v>
      </c>
      <c r="F12934" s="553">
        <v>995.63</v>
      </c>
      <c r="G12934" s="553">
        <v>461.64</v>
      </c>
      <c r="H12934" s="553">
        <v>99.13</v>
      </c>
      <c r="I12934" s="553">
        <v>285.86</v>
      </c>
      <c r="J12934" s="647">
        <v>598.79999999999995</v>
      </c>
    </row>
    <row r="12935" spans="2:10">
      <c r="B12935" s="1230" t="s">
        <v>480</v>
      </c>
      <c r="C12935" s="132" t="s">
        <v>2796</v>
      </c>
      <c r="D12935" s="255">
        <v>46017</v>
      </c>
      <c r="E12935" s="553">
        <v>84.62</v>
      </c>
      <c r="F12935" s="553">
        <v>923.24</v>
      </c>
      <c r="G12935" s="553">
        <v>440.69</v>
      </c>
      <c r="H12935" s="553">
        <v>91.97</v>
      </c>
      <c r="I12935" s="553">
        <v>281.42</v>
      </c>
      <c r="J12935" s="647">
        <v>588.76</v>
      </c>
    </row>
    <row r="12936" spans="2:10">
      <c r="B12936" s="1230" t="s">
        <v>480</v>
      </c>
      <c r="C12936" s="132" t="s">
        <v>1887</v>
      </c>
      <c r="D12936" s="255">
        <v>46019</v>
      </c>
      <c r="E12936" s="553">
        <v>90.32</v>
      </c>
      <c r="F12936" s="553">
        <v>874.01</v>
      </c>
      <c r="G12936" s="553">
        <v>388.85</v>
      </c>
      <c r="H12936" s="553">
        <v>87.94</v>
      </c>
      <c r="I12936" s="553">
        <v>612.12</v>
      </c>
      <c r="J12936" s="647">
        <v>1260.5</v>
      </c>
    </row>
    <row r="12937" spans="2:10">
      <c r="B12937" s="1230" t="s">
        <v>480</v>
      </c>
      <c r="C12937" s="132" t="s">
        <v>2414</v>
      </c>
      <c r="D12937" s="255">
        <v>46021</v>
      </c>
      <c r="E12937" s="553">
        <v>121.2</v>
      </c>
      <c r="F12937" s="553">
        <v>1112.28</v>
      </c>
      <c r="G12937" s="553">
        <v>488.46</v>
      </c>
      <c r="H12937" s="553">
        <v>112.39</v>
      </c>
      <c r="I12937" s="553">
        <v>402.98</v>
      </c>
      <c r="J12937" s="647">
        <v>1775.78</v>
      </c>
    </row>
    <row r="12938" spans="2:10">
      <c r="B12938" s="1230" t="s">
        <v>480</v>
      </c>
      <c r="C12938" s="132" t="s">
        <v>3168</v>
      </c>
      <c r="D12938" s="255">
        <v>46023</v>
      </c>
      <c r="E12938" s="553">
        <v>96.74</v>
      </c>
      <c r="F12938" s="553">
        <v>1099.49</v>
      </c>
      <c r="G12938" s="553">
        <v>501.83</v>
      </c>
      <c r="H12938" s="553">
        <v>109.04</v>
      </c>
      <c r="I12938" s="553">
        <v>297.97000000000003</v>
      </c>
      <c r="J12938" s="647">
        <v>620.6</v>
      </c>
    </row>
    <row r="12939" spans="2:10">
      <c r="B12939" s="1230" t="s">
        <v>480</v>
      </c>
      <c r="C12939" s="132" t="s">
        <v>1837</v>
      </c>
      <c r="D12939" s="255">
        <v>46025</v>
      </c>
      <c r="E12939" s="553">
        <v>106.25</v>
      </c>
      <c r="F12939" s="553">
        <v>1281.07</v>
      </c>
      <c r="G12939" s="553">
        <v>589.16999999999996</v>
      </c>
      <c r="H12939" s="553">
        <v>126.52</v>
      </c>
      <c r="I12939" s="553">
        <v>338.95</v>
      </c>
      <c r="J12939" s="647">
        <v>649.51</v>
      </c>
    </row>
    <row r="12940" spans="2:10">
      <c r="B12940" s="1230" t="s">
        <v>480</v>
      </c>
      <c r="C12940" s="132" t="s">
        <v>1732</v>
      </c>
      <c r="D12940" s="255">
        <v>46027</v>
      </c>
      <c r="E12940" s="553">
        <v>110.69</v>
      </c>
      <c r="F12940" s="553">
        <v>1303.94</v>
      </c>
      <c r="G12940" s="553">
        <v>656.71</v>
      </c>
      <c r="H12940" s="553">
        <v>129.03</v>
      </c>
      <c r="I12940" s="553">
        <v>328.36</v>
      </c>
      <c r="J12940" s="647">
        <v>532.39</v>
      </c>
    </row>
    <row r="12941" spans="2:10">
      <c r="B12941" s="1230" t="s">
        <v>480</v>
      </c>
      <c r="C12941" s="132" t="s">
        <v>3169</v>
      </c>
      <c r="D12941" s="255">
        <v>46029</v>
      </c>
      <c r="E12941" s="553">
        <v>111.38</v>
      </c>
      <c r="F12941" s="553">
        <v>1361.61</v>
      </c>
      <c r="G12941" s="553">
        <v>676.36</v>
      </c>
      <c r="H12941" s="553">
        <v>134.30000000000001</v>
      </c>
      <c r="I12941" s="553">
        <v>366.49</v>
      </c>
      <c r="J12941" s="647">
        <v>663.4</v>
      </c>
    </row>
    <row r="12942" spans="2:10">
      <c r="B12942" s="1230" t="s">
        <v>480</v>
      </c>
      <c r="C12942" s="132" t="s">
        <v>3170</v>
      </c>
      <c r="D12942" s="255">
        <v>46031</v>
      </c>
      <c r="E12942" s="553">
        <v>104.74</v>
      </c>
      <c r="F12942" s="553">
        <v>980.19</v>
      </c>
      <c r="G12942" s="553">
        <v>443.74</v>
      </c>
      <c r="H12942" s="553">
        <v>98.97</v>
      </c>
      <c r="I12942" s="553">
        <v>366.12</v>
      </c>
      <c r="J12942" s="647">
        <v>1702.47</v>
      </c>
    </row>
    <row r="12943" spans="2:10">
      <c r="B12943" s="1230" t="s">
        <v>480</v>
      </c>
      <c r="C12943" s="132" t="s">
        <v>1953</v>
      </c>
      <c r="D12943" s="255">
        <v>46033</v>
      </c>
      <c r="E12943" s="553">
        <v>131.16</v>
      </c>
      <c r="F12943" s="553">
        <v>1341.81</v>
      </c>
      <c r="G12943" s="553">
        <v>344.6</v>
      </c>
      <c r="H12943" s="553">
        <v>134.27000000000001</v>
      </c>
      <c r="I12943" s="553">
        <v>3610.3</v>
      </c>
      <c r="J12943" s="647">
        <v>1269.0999999999999</v>
      </c>
    </row>
    <row r="12944" spans="2:10">
      <c r="B12944" s="1230" t="s">
        <v>480</v>
      </c>
      <c r="C12944" s="132" t="s">
        <v>3171</v>
      </c>
      <c r="D12944" s="255">
        <v>46035</v>
      </c>
      <c r="E12944" s="553">
        <v>106.83</v>
      </c>
      <c r="F12944" s="553">
        <v>1280.97</v>
      </c>
      <c r="G12944" s="553">
        <v>572.14</v>
      </c>
      <c r="H12944" s="553">
        <v>126.58</v>
      </c>
      <c r="I12944" s="553">
        <v>321.73</v>
      </c>
      <c r="J12944" s="647">
        <v>638.04999999999995</v>
      </c>
    </row>
    <row r="12945" spans="2:10">
      <c r="B12945" s="1230" t="s">
        <v>480</v>
      </c>
      <c r="C12945" s="132" t="s">
        <v>3172</v>
      </c>
      <c r="D12945" s="255">
        <v>46037</v>
      </c>
      <c r="E12945" s="553">
        <v>94.03</v>
      </c>
      <c r="F12945" s="553">
        <v>1110.18</v>
      </c>
      <c r="G12945" s="553">
        <v>566.29</v>
      </c>
      <c r="H12945" s="553">
        <v>109.78</v>
      </c>
      <c r="I12945" s="553">
        <v>342.58</v>
      </c>
      <c r="J12945" s="647">
        <v>632.55999999999995</v>
      </c>
    </row>
    <row r="12946" spans="2:10">
      <c r="B12946" s="1230" t="s">
        <v>480</v>
      </c>
      <c r="C12946" s="132" t="s">
        <v>2802</v>
      </c>
      <c r="D12946" s="255">
        <v>46039</v>
      </c>
      <c r="E12946" s="553">
        <v>102.31</v>
      </c>
      <c r="F12946" s="553">
        <v>1199.3699999999999</v>
      </c>
      <c r="G12946" s="553">
        <v>593.79</v>
      </c>
      <c r="H12946" s="553">
        <v>118.77</v>
      </c>
      <c r="I12946" s="553">
        <v>398.21</v>
      </c>
      <c r="J12946" s="647">
        <v>653.59</v>
      </c>
    </row>
    <row r="12947" spans="2:10">
      <c r="B12947" s="1230" t="s">
        <v>480</v>
      </c>
      <c r="C12947" s="132" t="s">
        <v>3055</v>
      </c>
      <c r="D12947" s="255">
        <v>46041</v>
      </c>
      <c r="E12947" s="553">
        <v>116.19</v>
      </c>
      <c r="F12947" s="553">
        <v>1040.69</v>
      </c>
      <c r="G12947" s="553">
        <v>464.15</v>
      </c>
      <c r="H12947" s="553">
        <v>105.5</v>
      </c>
      <c r="I12947" s="553">
        <v>378.21</v>
      </c>
      <c r="J12947" s="647">
        <v>1739.34</v>
      </c>
    </row>
    <row r="12948" spans="2:10">
      <c r="B12948" s="1230" t="s">
        <v>480</v>
      </c>
      <c r="C12948" s="132" t="s">
        <v>1957</v>
      </c>
      <c r="D12948" s="255">
        <v>46043</v>
      </c>
      <c r="E12948" s="553">
        <v>101.71</v>
      </c>
      <c r="F12948" s="553">
        <v>1180.92</v>
      </c>
      <c r="G12948" s="553">
        <v>541.01</v>
      </c>
      <c r="H12948" s="553">
        <v>116.86</v>
      </c>
      <c r="I12948" s="553">
        <v>309.63</v>
      </c>
      <c r="J12948" s="647">
        <v>626.99</v>
      </c>
    </row>
    <row r="12949" spans="2:10">
      <c r="B12949" s="1230" t="s">
        <v>480</v>
      </c>
      <c r="C12949" s="132" t="s">
        <v>3173</v>
      </c>
      <c r="D12949" s="255">
        <v>46045</v>
      </c>
      <c r="E12949" s="553">
        <v>82.86</v>
      </c>
      <c r="F12949" s="553">
        <v>916.28</v>
      </c>
      <c r="G12949" s="553">
        <v>486.69</v>
      </c>
      <c r="H12949" s="553">
        <v>91.16</v>
      </c>
      <c r="I12949" s="553">
        <v>276.66000000000003</v>
      </c>
      <c r="J12949" s="647">
        <v>585.74</v>
      </c>
    </row>
    <row r="12950" spans="2:10">
      <c r="B12950" s="1230" t="s">
        <v>480</v>
      </c>
      <c r="C12950" s="132" t="s">
        <v>3174</v>
      </c>
      <c r="D12950" s="255">
        <v>46047</v>
      </c>
      <c r="E12950" s="553">
        <v>90.44</v>
      </c>
      <c r="F12950" s="553">
        <v>767.23</v>
      </c>
      <c r="G12950" s="553">
        <v>347.04</v>
      </c>
      <c r="H12950" s="553">
        <v>78.2</v>
      </c>
      <c r="I12950" s="553">
        <v>710.45</v>
      </c>
      <c r="J12950" s="647">
        <v>1205.53</v>
      </c>
    </row>
    <row r="12951" spans="2:10">
      <c r="B12951" s="1230" t="s">
        <v>480</v>
      </c>
      <c r="C12951" s="132" t="s">
        <v>3175</v>
      </c>
      <c r="D12951" s="255">
        <v>46049</v>
      </c>
      <c r="E12951" s="553">
        <v>82.88</v>
      </c>
      <c r="F12951" s="553">
        <v>927.41</v>
      </c>
      <c r="G12951" s="553">
        <v>463.08</v>
      </c>
      <c r="H12951" s="553">
        <v>92.17</v>
      </c>
      <c r="I12951" s="553">
        <v>281.19</v>
      </c>
      <c r="J12951" s="647">
        <v>588.29999999999995</v>
      </c>
    </row>
    <row r="12952" spans="2:10">
      <c r="B12952" s="1230" t="s">
        <v>480</v>
      </c>
      <c r="C12952" s="132" t="s">
        <v>1850</v>
      </c>
      <c r="D12952" s="255">
        <v>46051</v>
      </c>
      <c r="E12952" s="553">
        <v>113.42</v>
      </c>
      <c r="F12952" s="553">
        <v>1376.04</v>
      </c>
      <c r="G12952" s="553">
        <v>623.58000000000004</v>
      </c>
      <c r="H12952" s="553">
        <v>135.79</v>
      </c>
      <c r="I12952" s="553">
        <v>386.08</v>
      </c>
      <c r="J12952" s="647">
        <v>666.03</v>
      </c>
    </row>
    <row r="12953" spans="2:10">
      <c r="B12953" s="1230" t="s">
        <v>480</v>
      </c>
      <c r="C12953" s="132" t="s">
        <v>3176</v>
      </c>
      <c r="D12953" s="255">
        <v>46053</v>
      </c>
      <c r="E12953" s="553">
        <v>94.61</v>
      </c>
      <c r="F12953" s="553">
        <v>1063.43</v>
      </c>
      <c r="G12953" s="553">
        <v>481.94</v>
      </c>
      <c r="H12953" s="553">
        <v>105.54</v>
      </c>
      <c r="I12953" s="553">
        <v>287.12</v>
      </c>
      <c r="J12953" s="647">
        <v>610.66</v>
      </c>
    </row>
    <row r="12954" spans="2:10">
      <c r="B12954" s="1230" t="s">
        <v>480</v>
      </c>
      <c r="C12954" s="132" t="s">
        <v>3177</v>
      </c>
      <c r="D12954" s="255">
        <v>46055</v>
      </c>
      <c r="E12954" s="553">
        <v>78.88</v>
      </c>
      <c r="F12954" s="553">
        <v>761.71</v>
      </c>
      <c r="G12954" s="553">
        <v>403.01</v>
      </c>
      <c r="H12954" s="553">
        <v>76.59</v>
      </c>
      <c r="I12954" s="553">
        <v>285.81</v>
      </c>
      <c r="J12954" s="647">
        <v>1351.61</v>
      </c>
    </row>
    <row r="12955" spans="2:10">
      <c r="B12955" s="1230" t="s">
        <v>480</v>
      </c>
      <c r="C12955" s="132" t="s">
        <v>3178</v>
      </c>
      <c r="D12955" s="255">
        <v>46057</v>
      </c>
      <c r="E12955" s="553">
        <v>114.45</v>
      </c>
      <c r="F12955" s="553">
        <v>1413.3</v>
      </c>
      <c r="G12955" s="553">
        <v>696.08</v>
      </c>
      <c r="H12955" s="553">
        <v>139.28</v>
      </c>
      <c r="I12955" s="553">
        <v>368.13</v>
      </c>
      <c r="J12955" s="647">
        <v>662</v>
      </c>
    </row>
    <row r="12956" spans="2:10">
      <c r="B12956" s="1230" t="s">
        <v>480</v>
      </c>
      <c r="C12956" s="132" t="s">
        <v>3179</v>
      </c>
      <c r="D12956" s="255">
        <v>46059</v>
      </c>
      <c r="E12956" s="553">
        <v>91.55</v>
      </c>
      <c r="F12956" s="553">
        <v>1028.3</v>
      </c>
      <c r="G12956" s="553">
        <v>478.66</v>
      </c>
      <c r="H12956" s="553">
        <v>102.11</v>
      </c>
      <c r="I12956" s="553">
        <v>287.83999999999997</v>
      </c>
      <c r="J12956" s="647">
        <v>606.75</v>
      </c>
    </row>
    <row r="12957" spans="2:10">
      <c r="B12957" s="1230" t="s">
        <v>480</v>
      </c>
      <c r="C12957" s="132" t="s">
        <v>3180</v>
      </c>
      <c r="D12957" s="255">
        <v>46061</v>
      </c>
      <c r="E12957" s="553">
        <v>111.17</v>
      </c>
      <c r="F12957" s="553">
        <v>1341.14</v>
      </c>
      <c r="G12957" s="553">
        <v>585.99</v>
      </c>
      <c r="H12957" s="553">
        <v>132.38999999999999</v>
      </c>
      <c r="I12957" s="553">
        <v>338.13</v>
      </c>
      <c r="J12957" s="647">
        <v>648.62</v>
      </c>
    </row>
    <row r="12958" spans="2:10">
      <c r="B12958" s="1230" t="s">
        <v>480</v>
      </c>
      <c r="C12958" s="132" t="s">
        <v>2870</v>
      </c>
      <c r="D12958" s="255">
        <v>46063</v>
      </c>
      <c r="E12958" s="553">
        <v>86.11</v>
      </c>
      <c r="F12958" s="553">
        <v>689.2</v>
      </c>
      <c r="G12958" s="553">
        <v>360.25</v>
      </c>
      <c r="H12958" s="553">
        <v>70.64</v>
      </c>
      <c r="I12958" s="553">
        <v>287.58999999999997</v>
      </c>
      <c r="J12958" s="647">
        <v>1207.5</v>
      </c>
    </row>
    <row r="12959" spans="2:10">
      <c r="B12959" s="1230" t="s">
        <v>480</v>
      </c>
      <c r="C12959" s="132" t="s">
        <v>3059</v>
      </c>
      <c r="D12959" s="255">
        <v>46065</v>
      </c>
      <c r="E12959" s="553">
        <v>109.46</v>
      </c>
      <c r="F12959" s="553">
        <v>973.37</v>
      </c>
      <c r="G12959" s="553">
        <v>447.56</v>
      </c>
      <c r="H12959" s="553">
        <v>98.75</v>
      </c>
      <c r="I12959" s="553">
        <v>257.42</v>
      </c>
      <c r="J12959" s="647">
        <v>581.44000000000005</v>
      </c>
    </row>
    <row r="12960" spans="2:10">
      <c r="B12960" s="1230" t="s">
        <v>480</v>
      </c>
      <c r="C12960" s="132" t="s">
        <v>3181</v>
      </c>
      <c r="D12960" s="255">
        <v>46067</v>
      </c>
      <c r="E12960" s="553">
        <v>108.23</v>
      </c>
      <c r="F12960" s="553">
        <v>1284</v>
      </c>
      <c r="G12960" s="553">
        <v>580.24</v>
      </c>
      <c r="H12960" s="553">
        <v>126.95</v>
      </c>
      <c r="I12960" s="553">
        <v>338.63</v>
      </c>
      <c r="J12960" s="647">
        <v>653.57000000000005</v>
      </c>
    </row>
    <row r="12961" spans="2:10">
      <c r="B12961" s="1230" t="s">
        <v>480</v>
      </c>
      <c r="C12961" s="132" t="s">
        <v>2947</v>
      </c>
      <c r="D12961" s="255">
        <v>46069</v>
      </c>
      <c r="E12961" s="553">
        <v>83.75</v>
      </c>
      <c r="F12961" s="553">
        <v>903.82</v>
      </c>
      <c r="G12961" s="553">
        <v>434.22</v>
      </c>
      <c r="H12961" s="553">
        <v>90.12</v>
      </c>
      <c r="I12961" s="553">
        <v>272.76</v>
      </c>
      <c r="J12961" s="647">
        <v>583.12</v>
      </c>
    </row>
    <row r="12962" spans="2:10">
      <c r="B12962" s="1230" t="s">
        <v>480</v>
      </c>
      <c r="C12962" s="132" t="s">
        <v>1754</v>
      </c>
      <c r="D12962" s="255">
        <v>46071</v>
      </c>
      <c r="E12962" s="553">
        <v>84.18</v>
      </c>
      <c r="F12962" s="553">
        <v>779.99</v>
      </c>
      <c r="G12962" s="553">
        <v>403.96</v>
      </c>
      <c r="H12962" s="553">
        <v>78.790000000000006</v>
      </c>
      <c r="I12962" s="553">
        <v>387.77</v>
      </c>
      <c r="J12962" s="647">
        <v>1350.86</v>
      </c>
    </row>
    <row r="12963" spans="2:10">
      <c r="B12963" s="1230" t="s">
        <v>480</v>
      </c>
      <c r="C12963" s="132" t="s">
        <v>3182</v>
      </c>
      <c r="D12963" s="255">
        <v>46073</v>
      </c>
      <c r="E12963" s="553">
        <v>89.37</v>
      </c>
      <c r="F12963" s="553">
        <v>1018.29</v>
      </c>
      <c r="G12963" s="553">
        <v>484.87</v>
      </c>
      <c r="H12963" s="553">
        <v>100.96</v>
      </c>
      <c r="I12963" s="553">
        <v>302.32</v>
      </c>
      <c r="J12963" s="647">
        <v>607.55999999999995</v>
      </c>
    </row>
    <row r="12964" spans="2:10">
      <c r="B12964" s="1230" t="s">
        <v>480</v>
      </c>
      <c r="C12964" s="132" t="s">
        <v>2114</v>
      </c>
      <c r="D12964" s="255">
        <v>46075</v>
      </c>
      <c r="E12964" s="553">
        <v>100.63</v>
      </c>
      <c r="F12964" s="553">
        <v>845.6</v>
      </c>
      <c r="G12964" s="553">
        <v>440.94</v>
      </c>
      <c r="H12964" s="553">
        <v>86.2</v>
      </c>
      <c r="I12964" s="553">
        <v>278.5</v>
      </c>
      <c r="J12964" s="647">
        <v>1430.94</v>
      </c>
    </row>
    <row r="12965" spans="2:10">
      <c r="B12965" s="1230" t="s">
        <v>480</v>
      </c>
      <c r="C12965" s="132" t="s">
        <v>3183</v>
      </c>
      <c r="D12965" s="255">
        <v>46077</v>
      </c>
      <c r="E12965" s="553">
        <v>104.9</v>
      </c>
      <c r="F12965" s="553">
        <v>1217.72</v>
      </c>
      <c r="G12965" s="553">
        <v>584.01</v>
      </c>
      <c r="H12965" s="553">
        <v>120.6</v>
      </c>
      <c r="I12965" s="553">
        <v>352.67</v>
      </c>
      <c r="J12965" s="647">
        <v>646.29</v>
      </c>
    </row>
    <row r="12966" spans="2:10">
      <c r="B12966" s="1230" t="s">
        <v>480</v>
      </c>
      <c r="C12966" s="132" t="s">
        <v>1900</v>
      </c>
      <c r="D12966" s="255">
        <v>46079</v>
      </c>
      <c r="E12966" s="553">
        <v>119.77</v>
      </c>
      <c r="F12966" s="553">
        <v>1414.38</v>
      </c>
      <c r="G12966" s="553">
        <v>650.80999999999995</v>
      </c>
      <c r="H12966" s="553">
        <v>139.91</v>
      </c>
      <c r="I12966" s="553">
        <v>373.07</v>
      </c>
      <c r="J12966" s="647">
        <v>666.36</v>
      </c>
    </row>
    <row r="12967" spans="2:10">
      <c r="B12967" s="1230" t="s">
        <v>480</v>
      </c>
      <c r="C12967" s="132" t="s">
        <v>1758</v>
      </c>
      <c r="D12967" s="255">
        <v>46081</v>
      </c>
      <c r="E12967" s="553">
        <v>99.95</v>
      </c>
      <c r="F12967" s="553">
        <v>987.51</v>
      </c>
      <c r="G12967" s="553">
        <v>401.47</v>
      </c>
      <c r="H12967" s="553">
        <v>99.13</v>
      </c>
      <c r="I12967" s="553">
        <v>963.31</v>
      </c>
      <c r="J12967" s="647">
        <v>1254.3599999999999</v>
      </c>
    </row>
    <row r="12968" spans="2:10">
      <c r="B12968" s="1230" t="s">
        <v>480</v>
      </c>
      <c r="C12968" s="132" t="s">
        <v>1858</v>
      </c>
      <c r="D12968" s="255">
        <v>46083</v>
      </c>
      <c r="E12968" s="553">
        <v>135.41</v>
      </c>
      <c r="F12968" s="553">
        <v>1630.35</v>
      </c>
      <c r="G12968" s="553">
        <v>772.45</v>
      </c>
      <c r="H12968" s="553">
        <v>160.97999999999999</v>
      </c>
      <c r="I12968" s="553">
        <v>400.61</v>
      </c>
      <c r="J12968" s="647">
        <v>705.05</v>
      </c>
    </row>
    <row r="12969" spans="2:10">
      <c r="B12969" s="1230" t="s">
        <v>480</v>
      </c>
      <c r="C12969" s="132" t="s">
        <v>3184</v>
      </c>
      <c r="D12969" s="255">
        <v>46085</v>
      </c>
      <c r="E12969" s="553">
        <v>89.72</v>
      </c>
      <c r="F12969" s="553">
        <v>955.99</v>
      </c>
      <c r="G12969" s="553">
        <v>435.53</v>
      </c>
      <c r="H12969" s="553">
        <v>95.35</v>
      </c>
      <c r="I12969" s="553">
        <v>266.13</v>
      </c>
      <c r="J12969" s="647">
        <v>584.91999999999996</v>
      </c>
    </row>
    <row r="12970" spans="2:10">
      <c r="B12970" s="1230" t="s">
        <v>480</v>
      </c>
      <c r="C12970" s="132" t="s">
        <v>3185</v>
      </c>
      <c r="D12970" s="255">
        <v>46087</v>
      </c>
      <c r="E12970" s="553">
        <v>109.61</v>
      </c>
      <c r="F12970" s="553">
        <v>1273.33</v>
      </c>
      <c r="G12970" s="553">
        <v>644.9</v>
      </c>
      <c r="H12970" s="553">
        <v>126.12</v>
      </c>
      <c r="I12970" s="553">
        <v>359.82</v>
      </c>
      <c r="J12970" s="647">
        <v>653.6</v>
      </c>
    </row>
    <row r="12971" spans="2:10">
      <c r="B12971" s="1230" t="s">
        <v>480</v>
      </c>
      <c r="C12971" s="132" t="s">
        <v>2366</v>
      </c>
      <c r="D12971" s="255">
        <v>46089</v>
      </c>
      <c r="E12971" s="553">
        <v>105.5</v>
      </c>
      <c r="F12971" s="553">
        <v>1183.01</v>
      </c>
      <c r="G12971" s="553">
        <v>529.64</v>
      </c>
      <c r="H12971" s="553">
        <v>117.46</v>
      </c>
      <c r="I12971" s="553">
        <v>441.9</v>
      </c>
      <c r="J12971" s="647">
        <v>1825.08</v>
      </c>
    </row>
    <row r="12972" spans="2:10">
      <c r="B12972" s="1230" t="s">
        <v>480</v>
      </c>
      <c r="C12972" s="132" t="s">
        <v>1766</v>
      </c>
      <c r="D12972" s="255">
        <v>46091</v>
      </c>
      <c r="E12972" s="553">
        <v>99.95</v>
      </c>
      <c r="F12972" s="553">
        <v>1152.3900000000001</v>
      </c>
      <c r="G12972" s="553">
        <v>586.94000000000005</v>
      </c>
      <c r="H12972" s="553">
        <v>114.1</v>
      </c>
      <c r="I12972" s="553">
        <v>347.06</v>
      </c>
      <c r="J12972" s="647">
        <v>635.29999999999995</v>
      </c>
    </row>
    <row r="12973" spans="2:10">
      <c r="B12973" s="1230" t="s">
        <v>480</v>
      </c>
      <c r="C12973" s="132" t="s">
        <v>2367</v>
      </c>
      <c r="D12973" s="255">
        <v>46093</v>
      </c>
      <c r="E12973" s="553">
        <v>95.93</v>
      </c>
      <c r="F12973" s="553">
        <v>1005.57</v>
      </c>
      <c r="G12973" s="553">
        <v>408.06</v>
      </c>
      <c r="H12973" s="553">
        <v>100.44</v>
      </c>
      <c r="I12973" s="553">
        <v>1331.5</v>
      </c>
      <c r="J12973" s="647">
        <v>1314.02</v>
      </c>
    </row>
    <row r="12974" spans="2:10">
      <c r="B12974" s="1230" t="s">
        <v>480</v>
      </c>
      <c r="C12974" s="132" t="s">
        <v>3186</v>
      </c>
      <c r="D12974" s="255">
        <v>46095</v>
      </c>
      <c r="E12974" s="553">
        <v>107.12</v>
      </c>
      <c r="F12974" s="553">
        <v>882.71</v>
      </c>
      <c r="G12974" s="553">
        <v>456.16</v>
      </c>
      <c r="H12974" s="553">
        <v>90.29</v>
      </c>
      <c r="I12974" s="553">
        <v>282.04000000000002</v>
      </c>
      <c r="J12974" s="647">
        <v>1452</v>
      </c>
    </row>
    <row r="12975" spans="2:10">
      <c r="B12975" s="1230" t="s">
        <v>480</v>
      </c>
      <c r="C12975" s="132" t="s">
        <v>3187</v>
      </c>
      <c r="D12975" s="255">
        <v>46097</v>
      </c>
      <c r="E12975" s="553">
        <v>100.18</v>
      </c>
      <c r="F12975" s="553">
        <v>1163.42</v>
      </c>
      <c r="G12975" s="553">
        <v>569.85</v>
      </c>
      <c r="H12975" s="553">
        <v>115.2</v>
      </c>
      <c r="I12975" s="553">
        <v>346.84</v>
      </c>
      <c r="J12975" s="647">
        <v>638.95000000000005</v>
      </c>
    </row>
    <row r="12976" spans="2:10">
      <c r="B12976" s="1230" t="s">
        <v>480</v>
      </c>
      <c r="C12976" s="132" t="s">
        <v>3188</v>
      </c>
      <c r="D12976" s="255">
        <v>46099</v>
      </c>
      <c r="E12976" s="553">
        <v>171.71</v>
      </c>
      <c r="F12976" s="553">
        <v>2001.6</v>
      </c>
      <c r="G12976" s="553">
        <v>779.44</v>
      </c>
      <c r="H12976" s="553">
        <v>198.29</v>
      </c>
      <c r="I12976" s="553">
        <v>394.4</v>
      </c>
      <c r="J12976" s="647">
        <v>746.02</v>
      </c>
    </row>
    <row r="12977" spans="2:10">
      <c r="B12977" s="1230" t="s">
        <v>480</v>
      </c>
      <c r="C12977" s="132" t="s">
        <v>3189</v>
      </c>
      <c r="D12977" s="255">
        <v>46101</v>
      </c>
      <c r="E12977" s="553">
        <v>120.2</v>
      </c>
      <c r="F12977" s="553">
        <v>1405.6</v>
      </c>
      <c r="G12977" s="553">
        <v>659.74</v>
      </c>
      <c r="H12977" s="553">
        <v>139.13</v>
      </c>
      <c r="I12977" s="553">
        <v>401.74</v>
      </c>
      <c r="J12977" s="647">
        <v>673.17</v>
      </c>
    </row>
    <row r="12978" spans="2:10">
      <c r="B12978" s="1230" t="s">
        <v>480</v>
      </c>
      <c r="C12978" s="132" t="s">
        <v>2658</v>
      </c>
      <c r="D12978" s="255">
        <v>46103</v>
      </c>
      <c r="E12978" s="553">
        <v>104.25</v>
      </c>
      <c r="F12978" s="553">
        <v>1071.3599999999999</v>
      </c>
      <c r="G12978" s="553">
        <v>408.76</v>
      </c>
      <c r="H12978" s="553">
        <v>107.21</v>
      </c>
      <c r="I12978" s="553">
        <v>1659.66</v>
      </c>
      <c r="J12978" s="647">
        <v>1303.49</v>
      </c>
    </row>
    <row r="12979" spans="2:10">
      <c r="B12979" s="1230" t="s">
        <v>480</v>
      </c>
      <c r="C12979" s="132" t="s">
        <v>2824</v>
      </c>
      <c r="D12979" s="255">
        <v>46105</v>
      </c>
      <c r="E12979" s="553">
        <v>78.209999999999994</v>
      </c>
      <c r="F12979" s="553">
        <v>691.85</v>
      </c>
      <c r="G12979" s="553">
        <v>374.49</v>
      </c>
      <c r="H12979" s="553">
        <v>70.16</v>
      </c>
      <c r="I12979" s="553">
        <v>249.99</v>
      </c>
      <c r="J12979" s="647">
        <v>1251.2</v>
      </c>
    </row>
    <row r="12980" spans="2:10">
      <c r="B12980" s="1230" t="s">
        <v>480</v>
      </c>
      <c r="C12980" s="132" t="s">
        <v>3127</v>
      </c>
      <c r="D12980" s="255">
        <v>46107</v>
      </c>
      <c r="E12980" s="553">
        <v>94.95</v>
      </c>
      <c r="F12980" s="553">
        <v>885.91</v>
      </c>
      <c r="G12980" s="553">
        <v>423.24</v>
      </c>
      <c r="H12980" s="553">
        <v>89.49</v>
      </c>
      <c r="I12980" s="553">
        <v>254.77</v>
      </c>
      <c r="J12980" s="647">
        <v>571.05999999999995</v>
      </c>
    </row>
    <row r="12981" spans="2:10">
      <c r="B12981" s="1230" t="s">
        <v>480</v>
      </c>
      <c r="C12981" s="132" t="s">
        <v>3190</v>
      </c>
      <c r="D12981" s="255">
        <v>46109</v>
      </c>
      <c r="E12981" s="553">
        <v>104.63</v>
      </c>
      <c r="F12981" s="553">
        <v>1205.8499999999999</v>
      </c>
      <c r="G12981" s="553">
        <v>569.48</v>
      </c>
      <c r="H12981" s="553">
        <v>119.58</v>
      </c>
      <c r="I12981" s="553">
        <v>379.82</v>
      </c>
      <c r="J12981" s="647">
        <v>647.91</v>
      </c>
    </row>
    <row r="12982" spans="2:10">
      <c r="B12982" s="1230" t="s">
        <v>480</v>
      </c>
      <c r="C12982" s="132" t="s">
        <v>3191</v>
      </c>
      <c r="D12982" s="255">
        <v>46111</v>
      </c>
      <c r="E12982" s="553">
        <v>103.04</v>
      </c>
      <c r="F12982" s="553">
        <v>1229.6300000000001</v>
      </c>
      <c r="G12982" s="553">
        <v>536.14</v>
      </c>
      <c r="H12982" s="553">
        <v>121.52</v>
      </c>
      <c r="I12982" s="553">
        <v>324.18</v>
      </c>
      <c r="J12982" s="647">
        <v>635.29999999999995</v>
      </c>
    </row>
    <row r="12983" spans="2:10">
      <c r="B12983" s="1230" t="s">
        <v>480</v>
      </c>
      <c r="C12983" s="132" t="s">
        <v>2751</v>
      </c>
      <c r="D12983" s="255">
        <v>46113</v>
      </c>
      <c r="E12983" s="553">
        <v>82.63</v>
      </c>
      <c r="F12983" s="553">
        <v>767.87</v>
      </c>
      <c r="G12983" s="553">
        <v>369.7</v>
      </c>
      <c r="H12983" s="553">
        <v>77.53</v>
      </c>
      <c r="I12983" s="553">
        <v>678.32</v>
      </c>
      <c r="J12983" s="647">
        <v>1249.5999999999999</v>
      </c>
    </row>
    <row r="12984" spans="2:10">
      <c r="B12984" s="1230" t="s">
        <v>480</v>
      </c>
      <c r="C12984" s="132" t="s">
        <v>3192</v>
      </c>
      <c r="D12984" s="255">
        <v>46115</v>
      </c>
      <c r="E12984" s="553">
        <v>91.2</v>
      </c>
      <c r="F12984" s="553">
        <v>1081.95</v>
      </c>
      <c r="G12984" s="553">
        <v>537.91999999999996</v>
      </c>
      <c r="H12984" s="553">
        <v>106.95</v>
      </c>
      <c r="I12984" s="553">
        <v>311.16000000000003</v>
      </c>
      <c r="J12984" s="647">
        <v>622.22</v>
      </c>
    </row>
    <row r="12985" spans="2:10">
      <c r="B12985" s="1230" t="s">
        <v>480</v>
      </c>
      <c r="C12985" s="132" t="s">
        <v>3193</v>
      </c>
      <c r="D12985" s="255">
        <v>46117</v>
      </c>
      <c r="E12985" s="553">
        <v>100.29</v>
      </c>
      <c r="F12985" s="553">
        <v>882.6</v>
      </c>
      <c r="G12985" s="553">
        <v>420.1</v>
      </c>
      <c r="H12985" s="553">
        <v>89.61</v>
      </c>
      <c r="I12985" s="553">
        <v>248.58</v>
      </c>
      <c r="J12985" s="647">
        <v>565.77</v>
      </c>
    </row>
    <row r="12986" spans="2:10">
      <c r="B12986" s="1230" t="s">
        <v>480</v>
      </c>
      <c r="C12986" s="132" t="s">
        <v>3194</v>
      </c>
      <c r="D12986" s="255">
        <v>46119</v>
      </c>
      <c r="E12986" s="553">
        <v>105.21</v>
      </c>
      <c r="F12986" s="553">
        <v>947.41</v>
      </c>
      <c r="G12986" s="553">
        <v>443.57</v>
      </c>
      <c r="H12986" s="553">
        <v>96.02</v>
      </c>
      <c r="I12986" s="553">
        <v>252.75</v>
      </c>
      <c r="J12986" s="647">
        <v>577.04999999999995</v>
      </c>
    </row>
    <row r="12987" spans="2:10">
      <c r="B12987" s="1230" t="s">
        <v>480</v>
      </c>
      <c r="C12987" s="132" t="s">
        <v>2453</v>
      </c>
      <c r="D12987" s="255">
        <v>46121</v>
      </c>
      <c r="E12987" s="553">
        <v>96.19</v>
      </c>
      <c r="F12987" s="553">
        <v>861.69</v>
      </c>
      <c r="G12987" s="553">
        <v>446.77</v>
      </c>
      <c r="H12987" s="553">
        <v>87.23</v>
      </c>
      <c r="I12987" s="553">
        <v>271.97000000000003</v>
      </c>
      <c r="J12987" s="647">
        <v>1438.72</v>
      </c>
    </row>
    <row r="12988" spans="2:10">
      <c r="B12988" s="1230" t="s">
        <v>480</v>
      </c>
      <c r="C12988" s="132" t="s">
        <v>3195</v>
      </c>
      <c r="D12988" s="255">
        <v>46123</v>
      </c>
      <c r="E12988" s="553">
        <v>83.09</v>
      </c>
      <c r="F12988" s="553">
        <v>896.74</v>
      </c>
      <c r="G12988" s="553">
        <v>436.23</v>
      </c>
      <c r="H12988" s="553">
        <v>89.37</v>
      </c>
      <c r="I12988" s="553">
        <v>264.64999999999998</v>
      </c>
      <c r="J12988" s="647">
        <v>578.5</v>
      </c>
    </row>
    <row r="12989" spans="2:10">
      <c r="B12989" s="1230" t="s">
        <v>480</v>
      </c>
      <c r="C12989" s="132" t="s">
        <v>2150</v>
      </c>
      <c r="D12989" s="255">
        <v>46125</v>
      </c>
      <c r="E12989" s="553">
        <v>135.13</v>
      </c>
      <c r="F12989" s="553">
        <v>1687.6</v>
      </c>
      <c r="G12989" s="553">
        <v>744.62</v>
      </c>
      <c r="H12989" s="553">
        <v>166.2</v>
      </c>
      <c r="I12989" s="553">
        <v>370.65</v>
      </c>
      <c r="J12989" s="647">
        <v>697.64</v>
      </c>
    </row>
    <row r="12990" spans="2:10">
      <c r="B12990" s="1230" t="s">
        <v>480</v>
      </c>
      <c r="C12990" s="132" t="s">
        <v>1879</v>
      </c>
      <c r="D12990" s="255">
        <v>46127</v>
      </c>
      <c r="E12990" s="553">
        <v>134</v>
      </c>
      <c r="F12990" s="553">
        <v>1556.89</v>
      </c>
      <c r="G12990" s="553">
        <v>855.62</v>
      </c>
      <c r="H12990" s="553">
        <v>154.26</v>
      </c>
      <c r="I12990" s="553">
        <v>348.11</v>
      </c>
      <c r="J12990" s="647">
        <v>564.54</v>
      </c>
    </row>
    <row r="12991" spans="2:10">
      <c r="B12991" s="1230" t="s">
        <v>480</v>
      </c>
      <c r="C12991" s="132" t="s">
        <v>3196</v>
      </c>
      <c r="D12991" s="255">
        <v>46129</v>
      </c>
      <c r="E12991" s="553">
        <v>125.55</v>
      </c>
      <c r="F12991" s="553">
        <v>1152.3599999999999</v>
      </c>
      <c r="G12991" s="553">
        <v>499.74</v>
      </c>
      <c r="H12991" s="553">
        <v>116.47</v>
      </c>
      <c r="I12991" s="553">
        <v>404.88</v>
      </c>
      <c r="J12991" s="647">
        <v>1790.43</v>
      </c>
    </row>
    <row r="12992" spans="2:10">
      <c r="B12992" s="1230" t="s">
        <v>480</v>
      </c>
      <c r="C12992" s="132" t="s">
        <v>3197</v>
      </c>
      <c r="D12992" s="255">
        <v>46135</v>
      </c>
      <c r="E12992" s="553">
        <v>121.14</v>
      </c>
      <c r="F12992" s="553">
        <v>1484.11</v>
      </c>
      <c r="G12992" s="553">
        <v>662.83</v>
      </c>
      <c r="H12992" s="553">
        <v>146.30000000000001</v>
      </c>
      <c r="I12992" s="553">
        <v>355.36</v>
      </c>
      <c r="J12992" s="647">
        <v>675.98</v>
      </c>
    </row>
    <row r="12993" spans="2:10">
      <c r="B12993" s="1230" t="s">
        <v>480</v>
      </c>
      <c r="C12993" s="132" t="s">
        <v>3198</v>
      </c>
      <c r="D12993" s="255">
        <v>46137</v>
      </c>
      <c r="E12993" s="553">
        <v>86.56</v>
      </c>
      <c r="F12993" s="553">
        <v>775.4</v>
      </c>
      <c r="G12993" s="553">
        <v>405.85</v>
      </c>
      <c r="H12993" s="553">
        <v>78.56</v>
      </c>
      <c r="I12993" s="553">
        <v>267.49</v>
      </c>
      <c r="J12993" s="647">
        <v>1361.57</v>
      </c>
    </row>
    <row r="12994" spans="2:10">
      <c r="B12994" s="1230" t="s">
        <v>481</v>
      </c>
      <c r="C12994" s="132" t="s">
        <v>2335</v>
      </c>
      <c r="D12994" s="255">
        <v>47001</v>
      </c>
      <c r="E12994" s="553">
        <v>611.63</v>
      </c>
      <c r="F12994" s="553">
        <v>8682.76</v>
      </c>
      <c r="G12994" s="553">
        <v>184.49</v>
      </c>
      <c r="H12994" s="553">
        <v>846.64</v>
      </c>
      <c r="I12994" s="553">
        <v>15634.09</v>
      </c>
      <c r="J12994" s="647">
        <v>3064.06</v>
      </c>
    </row>
    <row r="12995" spans="2:10">
      <c r="B12995" s="1230" t="s">
        <v>481</v>
      </c>
      <c r="C12995" s="132" t="s">
        <v>3103</v>
      </c>
      <c r="D12995" s="255">
        <v>47003</v>
      </c>
      <c r="E12995" s="553">
        <v>325.75</v>
      </c>
      <c r="F12995" s="553">
        <v>4403.04</v>
      </c>
      <c r="G12995" s="553">
        <v>424.3</v>
      </c>
      <c r="H12995" s="553">
        <v>430.93</v>
      </c>
      <c r="I12995" s="553">
        <v>4053.24</v>
      </c>
      <c r="J12995" s="647">
        <v>2464.63</v>
      </c>
    </row>
    <row r="12996" spans="2:10">
      <c r="B12996" s="1230" t="s">
        <v>481</v>
      </c>
      <c r="C12996" s="132" t="s">
        <v>1832</v>
      </c>
      <c r="D12996" s="255">
        <v>47005</v>
      </c>
      <c r="E12996" s="553">
        <v>219.53</v>
      </c>
      <c r="F12996" s="553">
        <v>3017.44</v>
      </c>
      <c r="G12996" s="553">
        <v>326.7</v>
      </c>
      <c r="H12996" s="553">
        <v>294.91000000000003</v>
      </c>
      <c r="I12996" s="553">
        <v>5161.92</v>
      </c>
      <c r="J12996" s="647">
        <v>1878.81</v>
      </c>
    </row>
    <row r="12997" spans="2:10">
      <c r="B12997" s="1230" t="s">
        <v>481</v>
      </c>
      <c r="C12997" s="132" t="s">
        <v>3199</v>
      </c>
      <c r="D12997" s="255">
        <v>47007</v>
      </c>
      <c r="E12997" s="553">
        <v>306.74</v>
      </c>
      <c r="F12997" s="553">
        <v>4029.3</v>
      </c>
      <c r="G12997" s="553">
        <v>217.57</v>
      </c>
      <c r="H12997" s="553">
        <v>394.89</v>
      </c>
      <c r="I12997" s="553">
        <v>6419.47</v>
      </c>
      <c r="J12997" s="647">
        <v>2158.39</v>
      </c>
    </row>
    <row r="12998" spans="2:10">
      <c r="B12998" s="1230" t="s">
        <v>481</v>
      </c>
      <c r="C12998" s="132" t="s">
        <v>1723</v>
      </c>
      <c r="D12998" s="255">
        <v>47009</v>
      </c>
      <c r="E12998" s="553">
        <v>651.91999999999996</v>
      </c>
      <c r="F12998" s="553">
        <v>9218.26</v>
      </c>
      <c r="G12998" s="553">
        <v>259.72000000000003</v>
      </c>
      <c r="H12998" s="553">
        <v>899.1</v>
      </c>
      <c r="I12998" s="553">
        <v>16388.400000000001</v>
      </c>
      <c r="J12998" s="647">
        <v>3363.01</v>
      </c>
    </row>
    <row r="12999" spans="2:10">
      <c r="B12999" s="1230" t="s">
        <v>481</v>
      </c>
      <c r="C12999" s="132" t="s">
        <v>1834</v>
      </c>
      <c r="D12999" s="255">
        <v>47011</v>
      </c>
      <c r="E12999" s="553">
        <v>330.3</v>
      </c>
      <c r="F12999" s="553">
        <v>4574.5200000000004</v>
      </c>
      <c r="G12999" s="553">
        <v>251.11</v>
      </c>
      <c r="H12999" s="553">
        <v>446.72</v>
      </c>
      <c r="I12999" s="553">
        <v>6514.45</v>
      </c>
      <c r="J12999" s="647">
        <v>2360.13</v>
      </c>
    </row>
    <row r="13000" spans="2:10">
      <c r="B13000" s="1230" t="s">
        <v>481</v>
      </c>
      <c r="C13000" s="132" t="s">
        <v>2414</v>
      </c>
      <c r="D13000" s="255">
        <v>47013</v>
      </c>
      <c r="E13000" s="553">
        <v>326.54000000000002</v>
      </c>
      <c r="F13000" s="553">
        <v>4536.71</v>
      </c>
      <c r="G13000" s="553">
        <v>187.52</v>
      </c>
      <c r="H13000" s="553">
        <v>443.06</v>
      </c>
      <c r="I13000" s="553">
        <v>6340.25</v>
      </c>
      <c r="J13000" s="647">
        <v>2335.36</v>
      </c>
    </row>
    <row r="13001" spans="2:10">
      <c r="B13001" s="1230" t="s">
        <v>481</v>
      </c>
      <c r="C13001" s="132" t="s">
        <v>3200</v>
      </c>
      <c r="D13001" s="255">
        <v>47015</v>
      </c>
      <c r="E13001" s="553">
        <v>235.28</v>
      </c>
      <c r="F13001" s="553">
        <v>3049.48</v>
      </c>
      <c r="G13001" s="553">
        <v>296.70999999999998</v>
      </c>
      <c r="H13001" s="553">
        <v>299.29000000000002</v>
      </c>
      <c r="I13001" s="553">
        <v>3890.95</v>
      </c>
      <c r="J13001" s="647">
        <v>2026.35</v>
      </c>
    </row>
    <row r="13002" spans="2:10">
      <c r="B13002" s="1230" t="s">
        <v>481</v>
      </c>
      <c r="C13002" s="132" t="s">
        <v>1835</v>
      </c>
      <c r="D13002" s="255">
        <v>47017</v>
      </c>
      <c r="E13002" s="553">
        <v>197.15</v>
      </c>
      <c r="F13002" s="553">
        <v>2733.04</v>
      </c>
      <c r="G13002" s="553">
        <v>344.9</v>
      </c>
      <c r="H13002" s="553">
        <v>267</v>
      </c>
      <c r="I13002" s="553">
        <v>4280.1099999999997</v>
      </c>
      <c r="J13002" s="647">
        <v>1852.23</v>
      </c>
    </row>
    <row r="13003" spans="2:10">
      <c r="B13003" s="1230" t="s">
        <v>481</v>
      </c>
      <c r="C13003" s="132" t="s">
        <v>2416</v>
      </c>
      <c r="D13003" s="255">
        <v>47019</v>
      </c>
      <c r="E13003" s="553">
        <v>482.57</v>
      </c>
      <c r="F13003" s="553">
        <v>6736.86</v>
      </c>
      <c r="G13003" s="553">
        <v>216.31</v>
      </c>
      <c r="H13003" s="553">
        <v>657.8</v>
      </c>
      <c r="I13003" s="553">
        <v>9219.2199999999993</v>
      </c>
      <c r="J13003" s="647">
        <v>2958.67</v>
      </c>
    </row>
    <row r="13004" spans="2:10">
      <c r="B13004" s="1230" t="s">
        <v>481</v>
      </c>
      <c r="C13004" s="132" t="s">
        <v>3201</v>
      </c>
      <c r="D13004" s="255">
        <v>47021</v>
      </c>
      <c r="E13004" s="553">
        <v>350.31</v>
      </c>
      <c r="F13004" s="553">
        <v>4386.7700000000004</v>
      </c>
      <c r="G13004" s="553">
        <v>266.60000000000002</v>
      </c>
      <c r="H13004" s="553">
        <v>431.61</v>
      </c>
      <c r="I13004" s="553">
        <v>9071.23</v>
      </c>
      <c r="J13004" s="647">
        <v>2125.35</v>
      </c>
    </row>
    <row r="13005" spans="2:10">
      <c r="B13005" s="1230" t="s">
        <v>481</v>
      </c>
      <c r="C13005" s="132" t="s">
        <v>3110</v>
      </c>
      <c r="D13005" s="255">
        <v>47023</v>
      </c>
      <c r="E13005" s="553">
        <v>202.25</v>
      </c>
      <c r="F13005" s="553">
        <v>2759.6</v>
      </c>
      <c r="G13005" s="553">
        <v>323.02999999999997</v>
      </c>
      <c r="H13005" s="553">
        <v>269.81</v>
      </c>
      <c r="I13005" s="553">
        <v>4632.18</v>
      </c>
      <c r="J13005" s="647">
        <v>1782.29</v>
      </c>
    </row>
    <row r="13006" spans="2:10">
      <c r="B13006" s="1230" t="s">
        <v>481</v>
      </c>
      <c r="C13006" s="132" t="s">
        <v>2685</v>
      </c>
      <c r="D13006" s="255">
        <v>47025</v>
      </c>
      <c r="E13006" s="553">
        <v>340.81</v>
      </c>
      <c r="F13006" s="553">
        <v>4555.43</v>
      </c>
      <c r="G13006" s="553">
        <v>177.06</v>
      </c>
      <c r="H13006" s="553">
        <v>446.18</v>
      </c>
      <c r="I13006" s="553">
        <v>6030.17</v>
      </c>
      <c r="J13006" s="647">
        <v>2530.89</v>
      </c>
    </row>
    <row r="13007" spans="2:10">
      <c r="B13007" s="1230" t="s">
        <v>481</v>
      </c>
      <c r="C13007" s="132" t="s">
        <v>1732</v>
      </c>
      <c r="D13007" s="255">
        <v>47027</v>
      </c>
      <c r="E13007" s="553">
        <v>225.07</v>
      </c>
      <c r="F13007" s="553">
        <v>2839.47</v>
      </c>
      <c r="G13007" s="553">
        <v>263.12</v>
      </c>
      <c r="H13007" s="553">
        <v>279.29000000000002</v>
      </c>
      <c r="I13007" s="553">
        <v>3828.15</v>
      </c>
      <c r="J13007" s="647">
        <v>1925.31</v>
      </c>
    </row>
    <row r="13008" spans="2:10">
      <c r="B13008" s="1230" t="s">
        <v>481</v>
      </c>
      <c r="C13008" s="132" t="s">
        <v>3202</v>
      </c>
      <c r="D13008" s="255">
        <v>47029</v>
      </c>
      <c r="E13008" s="553">
        <v>459.67</v>
      </c>
      <c r="F13008" s="553">
        <v>6718.26</v>
      </c>
      <c r="G13008" s="553">
        <v>244.37</v>
      </c>
      <c r="H13008" s="553">
        <v>653.97</v>
      </c>
      <c r="I13008" s="553">
        <v>10739.24</v>
      </c>
      <c r="J13008" s="647">
        <v>2815.17</v>
      </c>
    </row>
    <row r="13009" spans="2:10">
      <c r="B13009" s="1230" t="s">
        <v>481</v>
      </c>
      <c r="C13009" s="132" t="s">
        <v>1734</v>
      </c>
      <c r="D13009" s="255">
        <v>47031</v>
      </c>
      <c r="E13009" s="553">
        <v>248.39</v>
      </c>
      <c r="F13009" s="553">
        <v>3413.2</v>
      </c>
      <c r="G13009" s="553">
        <v>357.95</v>
      </c>
      <c r="H13009" s="553">
        <v>333.55</v>
      </c>
      <c r="I13009" s="553">
        <v>3277.84</v>
      </c>
      <c r="J13009" s="647">
        <v>2177.59</v>
      </c>
    </row>
    <row r="13010" spans="2:10">
      <c r="B13010" s="1230" t="s">
        <v>481</v>
      </c>
      <c r="C13010" s="132" t="s">
        <v>3203</v>
      </c>
      <c r="D13010" s="255">
        <v>47033</v>
      </c>
      <c r="E13010" s="553">
        <v>230.21</v>
      </c>
      <c r="F13010" s="553">
        <v>3331.99</v>
      </c>
      <c r="G13010" s="553">
        <v>493.06</v>
      </c>
      <c r="H13010" s="553">
        <v>324.64</v>
      </c>
      <c r="I13010" s="553">
        <v>1874.13</v>
      </c>
      <c r="J13010" s="647">
        <v>2029.37</v>
      </c>
    </row>
    <row r="13011" spans="2:10">
      <c r="B13011" s="1230" t="s">
        <v>481</v>
      </c>
      <c r="C13011" s="132" t="s">
        <v>2207</v>
      </c>
      <c r="D13011" s="255">
        <v>47035</v>
      </c>
      <c r="E13011" s="553">
        <v>254.6</v>
      </c>
      <c r="F13011" s="553">
        <v>3619.48</v>
      </c>
      <c r="G13011" s="553">
        <v>210.97</v>
      </c>
      <c r="H13011" s="553">
        <v>352.87</v>
      </c>
      <c r="I13011" s="553">
        <v>5648.98</v>
      </c>
      <c r="J13011" s="647">
        <v>2173.73</v>
      </c>
    </row>
    <row r="13012" spans="2:10">
      <c r="B13012" s="1230" t="s">
        <v>481</v>
      </c>
      <c r="C13012" s="132" t="s">
        <v>2933</v>
      </c>
      <c r="D13012" s="255">
        <v>47037</v>
      </c>
      <c r="E13012" s="553">
        <v>737.51</v>
      </c>
      <c r="F13012" s="553">
        <v>9569.82</v>
      </c>
      <c r="G13012" s="553">
        <v>263.29000000000002</v>
      </c>
      <c r="H13012" s="553">
        <v>939.42</v>
      </c>
      <c r="I13012" s="553">
        <v>22788.53</v>
      </c>
      <c r="J13012" s="647">
        <v>3129.05</v>
      </c>
    </row>
    <row r="13013" spans="2:10">
      <c r="B13013" s="1230" t="s">
        <v>481</v>
      </c>
      <c r="C13013" s="132" t="s">
        <v>2085</v>
      </c>
      <c r="D13013" s="255">
        <v>47039</v>
      </c>
      <c r="E13013" s="553">
        <v>204.25</v>
      </c>
      <c r="F13013" s="553">
        <v>2725.24</v>
      </c>
      <c r="G13013" s="553">
        <v>263.68</v>
      </c>
      <c r="H13013" s="553">
        <v>266.83</v>
      </c>
      <c r="I13013" s="553">
        <v>4748.25</v>
      </c>
      <c r="J13013" s="647">
        <v>1800.45</v>
      </c>
    </row>
    <row r="13014" spans="2:10">
      <c r="B13014" s="1230" t="s">
        <v>481</v>
      </c>
      <c r="C13014" s="132" t="s">
        <v>1743</v>
      </c>
      <c r="D13014" s="255">
        <v>47041</v>
      </c>
      <c r="E13014" s="553">
        <v>249.68</v>
      </c>
      <c r="F13014" s="553">
        <v>3256.66</v>
      </c>
      <c r="G13014" s="553">
        <v>273.83</v>
      </c>
      <c r="H13014" s="553">
        <v>319.45</v>
      </c>
      <c r="I13014" s="553">
        <v>4833.04</v>
      </c>
      <c r="J13014" s="647">
        <v>2042</v>
      </c>
    </row>
    <row r="13015" spans="2:10">
      <c r="B13015" s="1230" t="s">
        <v>481</v>
      </c>
      <c r="C13015" s="132" t="s">
        <v>3204</v>
      </c>
      <c r="D13015" s="255">
        <v>47043</v>
      </c>
      <c r="E13015" s="553">
        <v>287.70999999999998</v>
      </c>
      <c r="F13015" s="553">
        <v>3623.35</v>
      </c>
      <c r="G13015" s="553">
        <v>266.2</v>
      </c>
      <c r="H13015" s="553">
        <v>356.32</v>
      </c>
      <c r="I13015" s="553">
        <v>7072.11</v>
      </c>
      <c r="J13015" s="647">
        <v>2032.03</v>
      </c>
    </row>
    <row r="13016" spans="2:10">
      <c r="B13016" s="1230" t="s">
        <v>481</v>
      </c>
      <c r="C13016" s="132" t="s">
        <v>3205</v>
      </c>
      <c r="D13016" s="255">
        <v>47045</v>
      </c>
      <c r="E13016" s="553">
        <v>210.68</v>
      </c>
      <c r="F13016" s="553">
        <v>2809.7</v>
      </c>
      <c r="G13016" s="553">
        <v>534.42999999999995</v>
      </c>
      <c r="H13016" s="553">
        <v>275.26</v>
      </c>
      <c r="I13016" s="553">
        <v>1567.01</v>
      </c>
      <c r="J13016" s="647">
        <v>1959.45</v>
      </c>
    </row>
    <row r="13017" spans="2:10">
      <c r="B13017" s="1230" t="s">
        <v>481</v>
      </c>
      <c r="C13017" s="132" t="s">
        <v>1747</v>
      </c>
      <c r="D13017" s="255">
        <v>47047</v>
      </c>
      <c r="E13017" s="553">
        <v>194.67</v>
      </c>
      <c r="F13017" s="553">
        <v>2610.58</v>
      </c>
      <c r="G13017" s="553">
        <v>397.96</v>
      </c>
      <c r="H13017" s="553">
        <v>255.63</v>
      </c>
      <c r="I13017" s="553">
        <v>3185.57</v>
      </c>
      <c r="J13017" s="647">
        <v>1890.07</v>
      </c>
    </row>
    <row r="13018" spans="2:10">
      <c r="B13018" s="1230" t="s">
        <v>481</v>
      </c>
      <c r="C13018" s="132" t="s">
        <v>3206</v>
      </c>
      <c r="D13018" s="255">
        <v>47049</v>
      </c>
      <c r="E13018" s="553">
        <v>254.07</v>
      </c>
      <c r="F13018" s="553">
        <v>3345.99</v>
      </c>
      <c r="G13018" s="553">
        <v>208.85</v>
      </c>
      <c r="H13018" s="553">
        <v>328</v>
      </c>
      <c r="I13018" s="553">
        <v>5745.29</v>
      </c>
      <c r="J13018" s="647">
        <v>2012.18</v>
      </c>
    </row>
    <row r="13019" spans="2:10">
      <c r="B13019" s="1230" t="s">
        <v>481</v>
      </c>
      <c r="C13019" s="132" t="s">
        <v>1748</v>
      </c>
      <c r="D13019" s="255">
        <v>47051</v>
      </c>
      <c r="E13019" s="553">
        <v>269.56</v>
      </c>
      <c r="F13019" s="553">
        <v>3747.2</v>
      </c>
      <c r="G13019" s="553">
        <v>427.1</v>
      </c>
      <c r="H13019" s="553">
        <v>365.96</v>
      </c>
      <c r="I13019" s="553">
        <v>2659.67</v>
      </c>
      <c r="J13019" s="647">
        <v>2338.96</v>
      </c>
    </row>
    <row r="13020" spans="2:10">
      <c r="B13020" s="1230" t="s">
        <v>481</v>
      </c>
      <c r="C13020" s="132" t="s">
        <v>2260</v>
      </c>
      <c r="D13020" s="255">
        <v>47053</v>
      </c>
      <c r="E13020" s="553">
        <v>204.7</v>
      </c>
      <c r="F13020" s="553">
        <v>2911.71</v>
      </c>
      <c r="G13020" s="553">
        <v>528.03</v>
      </c>
      <c r="H13020" s="553">
        <v>284.01</v>
      </c>
      <c r="I13020" s="553">
        <v>1992.52</v>
      </c>
      <c r="J13020" s="647">
        <v>1989.49</v>
      </c>
    </row>
    <row r="13021" spans="2:10">
      <c r="B13021" s="1230" t="s">
        <v>481</v>
      </c>
      <c r="C13021" s="132" t="s">
        <v>3207</v>
      </c>
      <c r="D13021" s="255">
        <v>47055</v>
      </c>
      <c r="E13021" s="553">
        <v>255.25</v>
      </c>
      <c r="F13021" s="553">
        <v>3525.44</v>
      </c>
      <c r="G13021" s="553">
        <v>303.33</v>
      </c>
      <c r="H13021" s="553">
        <v>344.35</v>
      </c>
      <c r="I13021" s="553">
        <v>5097.75</v>
      </c>
      <c r="J13021" s="647">
        <v>2097.09</v>
      </c>
    </row>
    <row r="13022" spans="2:10">
      <c r="B13022" s="1230" t="s">
        <v>481</v>
      </c>
      <c r="C13022" s="132" t="s">
        <v>3208</v>
      </c>
      <c r="D13022" s="255">
        <v>47057</v>
      </c>
      <c r="E13022" s="553">
        <v>430.72</v>
      </c>
      <c r="F13022" s="553">
        <v>6018.35</v>
      </c>
      <c r="G13022" s="553">
        <v>186.84</v>
      </c>
      <c r="H13022" s="553">
        <v>587.48</v>
      </c>
      <c r="I13022" s="553">
        <v>10031.39</v>
      </c>
      <c r="J13022" s="647">
        <v>2752.69</v>
      </c>
    </row>
    <row r="13023" spans="2:10">
      <c r="B13023" s="1230" t="s">
        <v>481</v>
      </c>
      <c r="C13023" s="132" t="s">
        <v>1750</v>
      </c>
      <c r="D13023" s="255">
        <v>47059</v>
      </c>
      <c r="E13023" s="553">
        <v>515.49</v>
      </c>
      <c r="F13023" s="553">
        <v>7279.97</v>
      </c>
      <c r="G13023" s="553">
        <v>183.1</v>
      </c>
      <c r="H13023" s="553">
        <v>710.28</v>
      </c>
      <c r="I13023" s="553">
        <v>12361</v>
      </c>
      <c r="J13023" s="647">
        <v>3158.16</v>
      </c>
    </row>
    <row r="13024" spans="2:10">
      <c r="B13024" s="1230" t="s">
        <v>481</v>
      </c>
      <c r="C13024" s="132" t="s">
        <v>2214</v>
      </c>
      <c r="D13024" s="255">
        <v>47061</v>
      </c>
      <c r="E13024" s="553">
        <v>267.64</v>
      </c>
      <c r="F13024" s="553">
        <v>3483.74</v>
      </c>
      <c r="G13024" s="553">
        <v>261.70999999999998</v>
      </c>
      <c r="H13024" s="553">
        <v>341.77</v>
      </c>
      <c r="I13024" s="553">
        <v>5265.28</v>
      </c>
      <c r="J13024" s="647">
        <v>2119.58</v>
      </c>
    </row>
    <row r="13025" spans="2:10">
      <c r="B13025" s="1230" t="s">
        <v>481</v>
      </c>
      <c r="C13025" s="132" t="s">
        <v>3209</v>
      </c>
      <c r="D13025" s="255">
        <v>47063</v>
      </c>
      <c r="E13025" s="553">
        <v>402.56</v>
      </c>
      <c r="F13025" s="553">
        <v>5663.86</v>
      </c>
      <c r="G13025" s="553">
        <v>184.81</v>
      </c>
      <c r="H13025" s="553">
        <v>552.54999999999995</v>
      </c>
      <c r="I13025" s="553">
        <v>9405.31</v>
      </c>
      <c r="J13025" s="647">
        <v>2584.48</v>
      </c>
    </row>
    <row r="13026" spans="2:10">
      <c r="B13026" s="1230" t="s">
        <v>481</v>
      </c>
      <c r="C13026" s="132" t="s">
        <v>2023</v>
      </c>
      <c r="D13026" s="255">
        <v>47065</v>
      </c>
      <c r="E13026" s="553">
        <v>498.93</v>
      </c>
      <c r="F13026" s="553">
        <v>7128.27</v>
      </c>
      <c r="G13026" s="553">
        <v>246.52</v>
      </c>
      <c r="H13026" s="553">
        <v>694.72</v>
      </c>
      <c r="I13026" s="553">
        <v>11989.59</v>
      </c>
      <c r="J13026" s="647">
        <v>2913.57</v>
      </c>
    </row>
    <row r="13027" spans="2:10">
      <c r="B13027" s="1230" t="s">
        <v>481</v>
      </c>
      <c r="C13027" s="132" t="s">
        <v>2105</v>
      </c>
      <c r="D13027" s="255">
        <v>47067</v>
      </c>
      <c r="E13027" s="553">
        <v>340.23</v>
      </c>
      <c r="F13027" s="553">
        <v>4468.53</v>
      </c>
      <c r="G13027" s="553">
        <v>174.82</v>
      </c>
      <c r="H13027" s="553">
        <v>438.24</v>
      </c>
      <c r="I13027" s="553">
        <v>6444.73</v>
      </c>
      <c r="J13027" s="647">
        <v>2388.36</v>
      </c>
    </row>
    <row r="13028" spans="2:10">
      <c r="B13028" s="1230" t="s">
        <v>481</v>
      </c>
      <c r="C13028" s="132" t="s">
        <v>3210</v>
      </c>
      <c r="D13028" s="255">
        <v>47069</v>
      </c>
      <c r="E13028" s="553">
        <v>199.28</v>
      </c>
      <c r="F13028" s="553">
        <v>2745.27</v>
      </c>
      <c r="G13028" s="553">
        <v>335.92</v>
      </c>
      <c r="H13028" s="553">
        <v>268.27999999999997</v>
      </c>
      <c r="I13028" s="553">
        <v>4366.8</v>
      </c>
      <c r="J13028" s="647">
        <v>1844.44</v>
      </c>
    </row>
    <row r="13029" spans="2:10">
      <c r="B13029" s="1230" t="s">
        <v>481</v>
      </c>
      <c r="C13029" s="132" t="s">
        <v>2215</v>
      </c>
      <c r="D13029" s="255">
        <v>47071</v>
      </c>
      <c r="E13029" s="553">
        <v>203.13</v>
      </c>
      <c r="F13029" s="553">
        <v>2808.85</v>
      </c>
      <c r="G13029" s="553">
        <v>258.52999999999997</v>
      </c>
      <c r="H13029" s="553">
        <v>274.35000000000002</v>
      </c>
      <c r="I13029" s="553">
        <v>4750.01</v>
      </c>
      <c r="J13029" s="647">
        <v>1839.05</v>
      </c>
    </row>
    <row r="13030" spans="2:10">
      <c r="B13030" s="1230" t="s">
        <v>481</v>
      </c>
      <c r="C13030" s="132" t="s">
        <v>3211</v>
      </c>
      <c r="D13030" s="255">
        <v>47073</v>
      </c>
      <c r="E13030" s="553">
        <v>359.32</v>
      </c>
      <c r="F13030" s="553">
        <v>4943.3</v>
      </c>
      <c r="G13030" s="553">
        <v>173.85</v>
      </c>
      <c r="H13030" s="553">
        <v>483.17</v>
      </c>
      <c r="I13030" s="553">
        <v>7661.72</v>
      </c>
      <c r="J13030" s="647">
        <v>2523.7399999999998</v>
      </c>
    </row>
    <row r="13031" spans="2:10">
      <c r="B13031" s="1230" t="s">
        <v>481</v>
      </c>
      <c r="C13031" s="132" t="s">
        <v>2944</v>
      </c>
      <c r="D13031" s="255">
        <v>47075</v>
      </c>
      <c r="E13031" s="553">
        <v>201.92</v>
      </c>
      <c r="F13031" s="553">
        <v>2710.89</v>
      </c>
      <c r="G13031" s="553">
        <v>449.38</v>
      </c>
      <c r="H13031" s="553">
        <v>265.36</v>
      </c>
      <c r="I13031" s="553">
        <v>2434.38</v>
      </c>
      <c r="J13031" s="647">
        <v>1921.79</v>
      </c>
    </row>
    <row r="13032" spans="2:10">
      <c r="B13032" s="1230" t="s">
        <v>481</v>
      </c>
      <c r="C13032" s="132" t="s">
        <v>2216</v>
      </c>
      <c r="D13032" s="255">
        <v>47077</v>
      </c>
      <c r="E13032" s="553">
        <v>186.6</v>
      </c>
      <c r="F13032" s="553">
        <v>2498.48</v>
      </c>
      <c r="G13032" s="553">
        <v>318.89999999999998</v>
      </c>
      <c r="H13032" s="553">
        <v>244.56</v>
      </c>
      <c r="I13032" s="553">
        <v>3912.24</v>
      </c>
      <c r="J13032" s="647">
        <v>1777.75</v>
      </c>
    </row>
    <row r="13033" spans="2:10">
      <c r="B13033" s="1230" t="s">
        <v>481</v>
      </c>
      <c r="C13033" s="132" t="s">
        <v>1752</v>
      </c>
      <c r="D13033" s="255">
        <v>47079</v>
      </c>
      <c r="E13033" s="553">
        <v>202.55</v>
      </c>
      <c r="F13033" s="553">
        <v>2820.94</v>
      </c>
      <c r="G13033" s="553">
        <v>410.32</v>
      </c>
      <c r="H13033" s="553">
        <v>275.47000000000003</v>
      </c>
      <c r="I13033" s="553">
        <v>3558.88</v>
      </c>
      <c r="J13033" s="647">
        <v>1900.47</v>
      </c>
    </row>
    <row r="13034" spans="2:10">
      <c r="B13034" s="1230" t="s">
        <v>481</v>
      </c>
      <c r="C13034" s="132" t="s">
        <v>2428</v>
      </c>
      <c r="D13034" s="255">
        <v>47081</v>
      </c>
      <c r="E13034" s="553">
        <v>238.76</v>
      </c>
      <c r="F13034" s="553">
        <v>3091.24</v>
      </c>
      <c r="G13034" s="553">
        <v>268.54000000000002</v>
      </c>
      <c r="H13034" s="553">
        <v>303.43</v>
      </c>
      <c r="I13034" s="553">
        <v>5629.72</v>
      </c>
      <c r="J13034" s="647">
        <v>1937.97</v>
      </c>
    </row>
    <row r="13035" spans="2:10">
      <c r="B13035" s="1230" t="s">
        <v>481</v>
      </c>
      <c r="C13035" s="132" t="s">
        <v>1753</v>
      </c>
      <c r="D13035" s="255">
        <v>47083</v>
      </c>
      <c r="E13035" s="553">
        <v>208.4</v>
      </c>
      <c r="F13035" s="553">
        <v>2662.44</v>
      </c>
      <c r="G13035" s="553">
        <v>290.36</v>
      </c>
      <c r="H13035" s="553">
        <v>261.62</v>
      </c>
      <c r="I13035" s="553">
        <v>4378.91</v>
      </c>
      <c r="J13035" s="647">
        <v>1824.83</v>
      </c>
    </row>
    <row r="13036" spans="2:10">
      <c r="B13036" s="1230" t="s">
        <v>481</v>
      </c>
      <c r="C13036" s="132" t="s">
        <v>2692</v>
      </c>
      <c r="D13036" s="255">
        <v>47085</v>
      </c>
      <c r="E13036" s="553">
        <v>212.83</v>
      </c>
      <c r="F13036" s="553">
        <v>2792.47</v>
      </c>
      <c r="G13036" s="553">
        <v>267.76</v>
      </c>
      <c r="H13036" s="553">
        <v>273.76</v>
      </c>
      <c r="I13036" s="553">
        <v>4827.62</v>
      </c>
      <c r="J13036" s="647">
        <v>1857.61</v>
      </c>
    </row>
    <row r="13037" spans="2:10">
      <c r="B13037" s="1230" t="s">
        <v>481</v>
      </c>
      <c r="C13037" s="132" t="s">
        <v>1754</v>
      </c>
      <c r="D13037" s="255">
        <v>47087</v>
      </c>
      <c r="E13037" s="553">
        <v>218.29</v>
      </c>
      <c r="F13037" s="553">
        <v>2779.56</v>
      </c>
      <c r="G13037" s="553">
        <v>261.39</v>
      </c>
      <c r="H13037" s="553">
        <v>273.10000000000002</v>
      </c>
      <c r="I13037" s="553">
        <v>3967.69</v>
      </c>
      <c r="J13037" s="647">
        <v>1916.77</v>
      </c>
    </row>
    <row r="13038" spans="2:10">
      <c r="B13038" s="1230" t="s">
        <v>481</v>
      </c>
      <c r="C13038" s="132" t="s">
        <v>1755</v>
      </c>
      <c r="D13038" s="255">
        <v>47089</v>
      </c>
      <c r="E13038" s="553">
        <v>434.62</v>
      </c>
      <c r="F13038" s="553">
        <v>6183.66</v>
      </c>
      <c r="G13038" s="553">
        <v>239.92</v>
      </c>
      <c r="H13038" s="553">
        <v>602.98</v>
      </c>
      <c r="I13038" s="553">
        <v>10355.32</v>
      </c>
      <c r="J13038" s="647">
        <v>2591.6999999999998</v>
      </c>
    </row>
    <row r="13039" spans="2:10">
      <c r="B13039" s="1230" t="s">
        <v>481</v>
      </c>
      <c r="C13039" s="132" t="s">
        <v>1856</v>
      </c>
      <c r="D13039" s="255">
        <v>47091</v>
      </c>
      <c r="E13039" s="553">
        <v>308.99</v>
      </c>
      <c r="F13039" s="553">
        <v>4059.84</v>
      </c>
      <c r="G13039" s="553">
        <v>208.87</v>
      </c>
      <c r="H13039" s="553">
        <v>398.07</v>
      </c>
      <c r="I13039" s="553">
        <v>5570.05</v>
      </c>
      <c r="J13039" s="647">
        <v>2352.0700000000002</v>
      </c>
    </row>
    <row r="13040" spans="2:10">
      <c r="B13040" s="1230" t="s">
        <v>481</v>
      </c>
      <c r="C13040" s="132" t="s">
        <v>2223</v>
      </c>
      <c r="D13040" s="255">
        <v>47093</v>
      </c>
      <c r="E13040" s="553">
        <v>575.94000000000005</v>
      </c>
      <c r="F13040" s="553">
        <v>8092.57</v>
      </c>
      <c r="G13040" s="553">
        <v>190.5</v>
      </c>
      <c r="H13040" s="553">
        <v>789.61</v>
      </c>
      <c r="I13040" s="553">
        <v>14456.57</v>
      </c>
      <c r="J13040" s="647">
        <v>3064.23</v>
      </c>
    </row>
    <row r="13041" spans="2:10">
      <c r="B13041" s="1230" t="s">
        <v>481</v>
      </c>
      <c r="C13041" s="132" t="s">
        <v>1900</v>
      </c>
      <c r="D13041" s="255">
        <v>47095</v>
      </c>
      <c r="E13041" s="553">
        <v>185.36</v>
      </c>
      <c r="F13041" s="553">
        <v>2305.12</v>
      </c>
      <c r="G13041" s="553">
        <v>509.56</v>
      </c>
      <c r="H13041" s="553">
        <v>227.13</v>
      </c>
      <c r="I13041" s="553">
        <v>1464.51</v>
      </c>
      <c r="J13041" s="647">
        <v>1819.58</v>
      </c>
    </row>
    <row r="13042" spans="2:10">
      <c r="B13042" s="1230" t="s">
        <v>481</v>
      </c>
      <c r="C13042" s="132" t="s">
        <v>1757</v>
      </c>
      <c r="D13042" s="255">
        <v>47097</v>
      </c>
      <c r="E13042" s="553">
        <v>264.26</v>
      </c>
      <c r="F13042" s="553">
        <v>3516.18</v>
      </c>
      <c r="G13042" s="553">
        <v>530.91</v>
      </c>
      <c r="H13042" s="553">
        <v>344.55</v>
      </c>
      <c r="I13042" s="553">
        <v>2084.62</v>
      </c>
      <c r="J13042" s="647">
        <v>2131.0700000000002</v>
      </c>
    </row>
    <row r="13043" spans="2:10">
      <c r="B13043" s="1230" t="s">
        <v>481</v>
      </c>
      <c r="C13043" s="132" t="s">
        <v>1758</v>
      </c>
      <c r="D13043" s="255">
        <v>47099</v>
      </c>
      <c r="E13043" s="553">
        <v>242.1</v>
      </c>
      <c r="F13043" s="553">
        <v>3323.17</v>
      </c>
      <c r="G13043" s="553">
        <v>291.19</v>
      </c>
      <c r="H13043" s="553">
        <v>324.77999999999997</v>
      </c>
      <c r="I13043" s="553">
        <v>5471.13</v>
      </c>
      <c r="J13043" s="647">
        <v>2004.36</v>
      </c>
    </row>
    <row r="13044" spans="2:10">
      <c r="B13044" s="1230" t="s">
        <v>481</v>
      </c>
      <c r="C13044" s="132" t="s">
        <v>2187</v>
      </c>
      <c r="D13044" s="255">
        <v>47101</v>
      </c>
      <c r="E13044" s="553">
        <v>203.83</v>
      </c>
      <c r="F13044" s="553">
        <v>2663.07</v>
      </c>
      <c r="G13044" s="553">
        <v>256.83999999999997</v>
      </c>
      <c r="H13044" s="553">
        <v>261.22000000000003</v>
      </c>
      <c r="I13044" s="553">
        <v>4305.84</v>
      </c>
      <c r="J13044" s="647">
        <v>1837.53</v>
      </c>
    </row>
    <row r="13045" spans="2:10">
      <c r="B13045" s="1230" t="s">
        <v>481</v>
      </c>
      <c r="C13045" s="132" t="s">
        <v>1858</v>
      </c>
      <c r="D13045" s="255">
        <v>47103</v>
      </c>
      <c r="E13045" s="553">
        <v>255</v>
      </c>
      <c r="F13045" s="553">
        <v>3441.22</v>
      </c>
      <c r="G13045" s="553">
        <v>336.2</v>
      </c>
      <c r="H13045" s="553">
        <v>336.77</v>
      </c>
      <c r="I13045" s="553">
        <v>3518.76</v>
      </c>
      <c r="J13045" s="647">
        <v>2151.52</v>
      </c>
    </row>
    <row r="13046" spans="2:10">
      <c r="B13046" s="1230" t="s">
        <v>481</v>
      </c>
      <c r="C13046" s="132" t="s">
        <v>3212</v>
      </c>
      <c r="D13046" s="255">
        <v>47105</v>
      </c>
      <c r="E13046" s="553">
        <v>386.3</v>
      </c>
      <c r="F13046" s="553">
        <v>5730.96</v>
      </c>
      <c r="G13046" s="553">
        <v>192.1</v>
      </c>
      <c r="H13046" s="553">
        <v>557.11</v>
      </c>
      <c r="I13046" s="553">
        <v>9793.3700000000008</v>
      </c>
      <c r="J13046" s="647">
        <v>2466.12</v>
      </c>
    </row>
    <row r="13047" spans="2:10">
      <c r="B13047" s="1230" t="s">
        <v>481</v>
      </c>
      <c r="C13047" s="132" t="s">
        <v>3213</v>
      </c>
      <c r="D13047" s="255">
        <v>47107</v>
      </c>
      <c r="E13047" s="553">
        <v>291.54000000000002</v>
      </c>
      <c r="F13047" s="553">
        <v>4027.07</v>
      </c>
      <c r="G13047" s="553">
        <v>216.95</v>
      </c>
      <c r="H13047" s="553">
        <v>393.26</v>
      </c>
      <c r="I13047" s="553">
        <v>6064.25</v>
      </c>
      <c r="J13047" s="647">
        <v>2259.2199999999998</v>
      </c>
    </row>
    <row r="13048" spans="2:10">
      <c r="B13048" s="1230" t="s">
        <v>481</v>
      </c>
      <c r="C13048" s="132" t="s">
        <v>3214</v>
      </c>
      <c r="D13048" s="255">
        <v>47109</v>
      </c>
      <c r="E13048" s="553">
        <v>210.56</v>
      </c>
      <c r="F13048" s="553">
        <v>2950.46</v>
      </c>
      <c r="G13048" s="553">
        <v>301.60000000000002</v>
      </c>
      <c r="H13048" s="553">
        <v>287.95</v>
      </c>
      <c r="I13048" s="553">
        <v>4901.3599999999997</v>
      </c>
      <c r="J13048" s="647">
        <v>1846.94</v>
      </c>
    </row>
    <row r="13049" spans="2:10">
      <c r="B13049" s="1230" t="s">
        <v>481</v>
      </c>
      <c r="C13049" s="132" t="s">
        <v>1762</v>
      </c>
      <c r="D13049" s="255">
        <v>47111</v>
      </c>
      <c r="E13049" s="553">
        <v>252.27</v>
      </c>
      <c r="F13049" s="553">
        <v>3228.33</v>
      </c>
      <c r="G13049" s="553">
        <v>306.01</v>
      </c>
      <c r="H13049" s="553">
        <v>317.24</v>
      </c>
      <c r="I13049" s="553">
        <v>4809.3</v>
      </c>
      <c r="J13049" s="647">
        <v>2059.94</v>
      </c>
    </row>
    <row r="13050" spans="2:10">
      <c r="B13050" s="1230" t="s">
        <v>481</v>
      </c>
      <c r="C13050" s="132" t="s">
        <v>1763</v>
      </c>
      <c r="D13050" s="255">
        <v>47113</v>
      </c>
      <c r="E13050" s="553">
        <v>221.75</v>
      </c>
      <c r="F13050" s="553">
        <v>3117.85</v>
      </c>
      <c r="G13050" s="553">
        <v>372.32</v>
      </c>
      <c r="H13050" s="553">
        <v>304.27999999999997</v>
      </c>
      <c r="I13050" s="553">
        <v>4860.07</v>
      </c>
      <c r="J13050" s="647">
        <v>1919.42</v>
      </c>
    </row>
    <row r="13051" spans="2:10">
      <c r="B13051" s="1230" t="s">
        <v>481</v>
      </c>
      <c r="C13051" s="132" t="s">
        <v>1765</v>
      </c>
      <c r="D13051" s="255">
        <v>47115</v>
      </c>
      <c r="E13051" s="553">
        <v>263.17</v>
      </c>
      <c r="F13051" s="553">
        <v>3465.94</v>
      </c>
      <c r="G13051" s="553">
        <v>267.55</v>
      </c>
      <c r="H13051" s="553">
        <v>339.67</v>
      </c>
      <c r="I13051" s="553">
        <v>4952.1499999999996</v>
      </c>
      <c r="J13051" s="647">
        <v>2102.94</v>
      </c>
    </row>
    <row r="13052" spans="2:10">
      <c r="B13052" s="1230" t="s">
        <v>481</v>
      </c>
      <c r="C13052" s="132" t="s">
        <v>1766</v>
      </c>
      <c r="D13052" s="255">
        <v>47117</v>
      </c>
      <c r="E13052" s="553">
        <v>344.45</v>
      </c>
      <c r="F13052" s="553">
        <v>4740.67</v>
      </c>
      <c r="G13052" s="553">
        <v>350.54</v>
      </c>
      <c r="H13052" s="553">
        <v>463.29</v>
      </c>
      <c r="I13052" s="553">
        <v>6706.02</v>
      </c>
      <c r="J13052" s="647">
        <v>2347.0300000000002</v>
      </c>
    </row>
    <row r="13053" spans="2:10">
      <c r="B13053" s="1230" t="s">
        <v>481</v>
      </c>
      <c r="C13053" s="132" t="s">
        <v>3215</v>
      </c>
      <c r="D13053" s="255">
        <v>47119</v>
      </c>
      <c r="E13053" s="553">
        <v>356.3</v>
      </c>
      <c r="F13053" s="553">
        <v>4670.95</v>
      </c>
      <c r="G13053" s="553">
        <v>298.39999999999998</v>
      </c>
      <c r="H13053" s="553">
        <v>458.15</v>
      </c>
      <c r="I13053" s="553">
        <v>8782.4699999999993</v>
      </c>
      <c r="J13053" s="647">
        <v>2306.9299999999998</v>
      </c>
    </row>
    <row r="13054" spans="2:10">
      <c r="B13054" s="1230" t="s">
        <v>481</v>
      </c>
      <c r="C13054" s="132" t="s">
        <v>3029</v>
      </c>
      <c r="D13054" s="255">
        <v>47121</v>
      </c>
      <c r="E13054" s="553">
        <v>412.87</v>
      </c>
      <c r="F13054" s="553">
        <v>5836.41</v>
      </c>
      <c r="G13054" s="553">
        <v>218.14</v>
      </c>
      <c r="H13054" s="553">
        <v>569.17999999999995</v>
      </c>
      <c r="I13054" s="553">
        <v>9857.8799999999992</v>
      </c>
      <c r="J13054" s="647">
        <v>2489.34</v>
      </c>
    </row>
    <row r="13055" spans="2:10">
      <c r="B13055" s="1230" t="s">
        <v>481</v>
      </c>
      <c r="C13055" s="132" t="s">
        <v>1768</v>
      </c>
      <c r="D13055" s="255">
        <v>47123</v>
      </c>
      <c r="E13055" s="553">
        <v>427.04</v>
      </c>
      <c r="F13055" s="553">
        <v>6171.45</v>
      </c>
      <c r="G13055" s="553">
        <v>258.58999999999997</v>
      </c>
      <c r="H13055" s="553">
        <v>601.04999999999995</v>
      </c>
      <c r="I13055" s="553">
        <v>10199.469999999999</v>
      </c>
      <c r="J13055" s="647">
        <v>2739.39</v>
      </c>
    </row>
    <row r="13056" spans="2:10">
      <c r="B13056" s="1230" t="s">
        <v>481</v>
      </c>
      <c r="C13056" s="132" t="s">
        <v>1769</v>
      </c>
      <c r="D13056" s="255">
        <v>47125</v>
      </c>
      <c r="E13056" s="553">
        <v>341.93</v>
      </c>
      <c r="F13056" s="553">
        <v>4258.0600000000004</v>
      </c>
      <c r="G13056" s="553">
        <v>304.10000000000002</v>
      </c>
      <c r="H13056" s="553">
        <v>419.33</v>
      </c>
      <c r="I13056" s="553">
        <v>8351.43</v>
      </c>
      <c r="J13056" s="647">
        <v>2198.98</v>
      </c>
    </row>
    <row r="13057" spans="2:10">
      <c r="B13057" s="1230" t="s">
        <v>481</v>
      </c>
      <c r="C13057" s="132" t="s">
        <v>2953</v>
      </c>
      <c r="D13057" s="255">
        <v>47127</v>
      </c>
      <c r="E13057" s="553">
        <v>251.6</v>
      </c>
      <c r="F13057" s="553">
        <v>3288.6</v>
      </c>
      <c r="G13057" s="553">
        <v>344.63</v>
      </c>
      <c r="H13057" s="553">
        <v>322.5</v>
      </c>
      <c r="I13057" s="553">
        <v>3043.89</v>
      </c>
      <c r="J13057" s="647">
        <v>2174.2199999999998</v>
      </c>
    </row>
    <row r="13058" spans="2:10">
      <c r="B13058" s="1230" t="s">
        <v>481</v>
      </c>
      <c r="C13058" s="132" t="s">
        <v>1770</v>
      </c>
      <c r="D13058" s="255">
        <v>47129</v>
      </c>
      <c r="E13058" s="553">
        <v>285.68</v>
      </c>
      <c r="F13058" s="553">
        <v>3974.04</v>
      </c>
      <c r="G13058" s="553">
        <v>186.92</v>
      </c>
      <c r="H13058" s="553">
        <v>387.95</v>
      </c>
      <c r="I13058" s="553">
        <v>6631.74</v>
      </c>
      <c r="J13058" s="647">
        <v>2179.58</v>
      </c>
    </row>
    <row r="13059" spans="2:10">
      <c r="B13059" s="1230" t="s">
        <v>481</v>
      </c>
      <c r="C13059" s="132" t="s">
        <v>3216</v>
      </c>
      <c r="D13059" s="255">
        <v>47131</v>
      </c>
      <c r="E13059" s="553">
        <v>211.61</v>
      </c>
      <c r="F13059" s="553">
        <v>2852.74</v>
      </c>
      <c r="G13059" s="553">
        <v>584.14</v>
      </c>
      <c r="H13059" s="553">
        <v>279.41000000000003</v>
      </c>
      <c r="I13059" s="553">
        <v>1505.38</v>
      </c>
      <c r="J13059" s="647">
        <v>1988.71</v>
      </c>
    </row>
    <row r="13060" spans="2:10">
      <c r="B13060" s="1230" t="s">
        <v>481</v>
      </c>
      <c r="C13060" s="132" t="s">
        <v>3217</v>
      </c>
      <c r="D13060" s="255">
        <v>47133</v>
      </c>
      <c r="E13060" s="553">
        <v>276.56</v>
      </c>
      <c r="F13060" s="553">
        <v>3734.88</v>
      </c>
      <c r="G13060" s="553">
        <v>243.58</v>
      </c>
      <c r="H13060" s="553">
        <v>365.54</v>
      </c>
      <c r="I13060" s="553">
        <v>6129.52</v>
      </c>
      <c r="J13060" s="647">
        <v>2085.2399999999998</v>
      </c>
    </row>
    <row r="13061" spans="2:10">
      <c r="B13061" s="1230" t="s">
        <v>481</v>
      </c>
      <c r="C13061" s="132" t="s">
        <v>1771</v>
      </c>
      <c r="D13061" s="255">
        <v>47135</v>
      </c>
      <c r="E13061" s="553">
        <v>187.11</v>
      </c>
      <c r="F13061" s="553">
        <v>2452.6799999999998</v>
      </c>
      <c r="G13061" s="553">
        <v>255.96</v>
      </c>
      <c r="H13061" s="553">
        <v>240.48</v>
      </c>
      <c r="I13061" s="553">
        <v>3933.68</v>
      </c>
      <c r="J13061" s="647">
        <v>1771.75</v>
      </c>
    </row>
    <row r="13062" spans="2:10">
      <c r="B13062" s="1230" t="s">
        <v>481</v>
      </c>
      <c r="C13062" s="132" t="s">
        <v>3218</v>
      </c>
      <c r="D13062" s="255">
        <v>47137</v>
      </c>
      <c r="E13062" s="553">
        <v>209.01</v>
      </c>
      <c r="F13062" s="553">
        <v>2640.17</v>
      </c>
      <c r="G13062" s="553">
        <v>229.72</v>
      </c>
      <c r="H13062" s="553">
        <v>259.62</v>
      </c>
      <c r="I13062" s="553">
        <v>3889.44</v>
      </c>
      <c r="J13062" s="647">
        <v>1881.88</v>
      </c>
    </row>
    <row r="13063" spans="2:10">
      <c r="B13063" s="1230" t="s">
        <v>481</v>
      </c>
      <c r="C13063" s="132" t="s">
        <v>1867</v>
      </c>
      <c r="D13063" s="255">
        <v>47139</v>
      </c>
      <c r="E13063" s="553">
        <v>332.03</v>
      </c>
      <c r="F13063" s="553">
        <v>4618.91</v>
      </c>
      <c r="G13063" s="553">
        <v>331.08</v>
      </c>
      <c r="H13063" s="553">
        <v>450.87</v>
      </c>
      <c r="I13063" s="553">
        <v>6304.56</v>
      </c>
      <c r="J13063" s="647">
        <v>2377.9299999999998</v>
      </c>
    </row>
    <row r="13064" spans="2:10">
      <c r="B13064" s="1230" t="s">
        <v>481</v>
      </c>
      <c r="C13064" s="132" t="s">
        <v>2043</v>
      </c>
      <c r="D13064" s="255">
        <v>47141</v>
      </c>
      <c r="E13064" s="553">
        <v>289.67</v>
      </c>
      <c r="F13064" s="553">
        <v>4034.89</v>
      </c>
      <c r="G13064" s="553">
        <v>229.67</v>
      </c>
      <c r="H13064" s="553">
        <v>394.03</v>
      </c>
      <c r="I13064" s="553">
        <v>6969.77</v>
      </c>
      <c r="J13064" s="647">
        <v>2129.5300000000002</v>
      </c>
    </row>
    <row r="13065" spans="2:10">
      <c r="B13065" s="1230" t="s">
        <v>481</v>
      </c>
      <c r="C13065" s="132" t="s">
        <v>3219</v>
      </c>
      <c r="D13065" s="255">
        <v>47143</v>
      </c>
      <c r="E13065" s="553">
        <v>302.77</v>
      </c>
      <c r="F13065" s="553">
        <v>4075.35</v>
      </c>
      <c r="G13065" s="553">
        <v>216.18</v>
      </c>
      <c r="H13065" s="553">
        <v>398.75</v>
      </c>
      <c r="I13065" s="553">
        <v>6362.91</v>
      </c>
      <c r="J13065" s="647">
        <v>2243.87</v>
      </c>
    </row>
    <row r="13066" spans="2:10">
      <c r="B13066" s="1230" t="s">
        <v>481</v>
      </c>
      <c r="C13066" s="132" t="s">
        <v>3220</v>
      </c>
      <c r="D13066" s="255">
        <v>47145</v>
      </c>
      <c r="E13066" s="553">
        <v>320.95999999999998</v>
      </c>
      <c r="F13066" s="553">
        <v>4674.58</v>
      </c>
      <c r="G13066" s="553">
        <v>191.49</v>
      </c>
      <c r="H13066" s="553">
        <v>454.93</v>
      </c>
      <c r="I13066" s="553">
        <v>7724.53</v>
      </c>
      <c r="J13066" s="647">
        <v>2292.89</v>
      </c>
    </row>
    <row r="13067" spans="2:10">
      <c r="B13067" s="1230" t="s">
        <v>481</v>
      </c>
      <c r="C13067" s="132" t="s">
        <v>2449</v>
      </c>
      <c r="D13067" s="255">
        <v>47147</v>
      </c>
      <c r="E13067" s="553">
        <v>413.43</v>
      </c>
      <c r="F13067" s="553">
        <v>5350.04</v>
      </c>
      <c r="G13067" s="553">
        <v>292.26</v>
      </c>
      <c r="H13067" s="553">
        <v>525.27</v>
      </c>
      <c r="I13067" s="553">
        <v>11199.43</v>
      </c>
      <c r="J13067" s="647">
        <v>2325.52</v>
      </c>
    </row>
    <row r="13068" spans="2:10">
      <c r="B13068" s="1230" t="s">
        <v>481</v>
      </c>
      <c r="C13068" s="132" t="s">
        <v>2965</v>
      </c>
      <c r="D13068" s="255">
        <v>47149</v>
      </c>
      <c r="E13068" s="553">
        <v>432.57</v>
      </c>
      <c r="F13068" s="553">
        <v>5472.29</v>
      </c>
      <c r="G13068" s="553">
        <v>311.22000000000003</v>
      </c>
      <c r="H13068" s="553">
        <v>538.11</v>
      </c>
      <c r="I13068" s="553">
        <v>10074.76</v>
      </c>
      <c r="J13068" s="647">
        <v>2583.85</v>
      </c>
    </row>
    <row r="13069" spans="2:10">
      <c r="B13069" s="1230" t="s">
        <v>481</v>
      </c>
      <c r="C13069" s="132" t="s">
        <v>1873</v>
      </c>
      <c r="D13069" s="255">
        <v>47151</v>
      </c>
      <c r="E13069" s="553">
        <v>262.29000000000002</v>
      </c>
      <c r="F13069" s="553">
        <v>3571.68</v>
      </c>
      <c r="G13069" s="553">
        <v>182.63</v>
      </c>
      <c r="H13069" s="553">
        <v>349.27</v>
      </c>
      <c r="I13069" s="553">
        <v>4824.05</v>
      </c>
      <c r="J13069" s="647">
        <v>2126.4699999999998</v>
      </c>
    </row>
    <row r="13070" spans="2:10">
      <c r="B13070" s="1230" t="s">
        <v>481</v>
      </c>
      <c r="C13070" s="132" t="s">
        <v>3221</v>
      </c>
      <c r="D13070" s="255">
        <v>47153</v>
      </c>
      <c r="E13070" s="553">
        <v>633.16</v>
      </c>
      <c r="F13070" s="553">
        <v>9139.7999999999993</v>
      </c>
      <c r="G13070" s="553">
        <v>241.02</v>
      </c>
      <c r="H13070" s="553">
        <v>890.12</v>
      </c>
      <c r="I13070" s="553">
        <v>16491.53</v>
      </c>
      <c r="J13070" s="647">
        <v>3167.81</v>
      </c>
    </row>
    <row r="13071" spans="2:10">
      <c r="B13071" s="1230" t="s">
        <v>481</v>
      </c>
      <c r="C13071" s="132" t="s">
        <v>1876</v>
      </c>
      <c r="D13071" s="255">
        <v>47155</v>
      </c>
      <c r="E13071" s="553">
        <v>339.74</v>
      </c>
      <c r="F13071" s="553">
        <v>4851.67</v>
      </c>
      <c r="G13071" s="553">
        <v>247.95</v>
      </c>
      <c r="H13071" s="553">
        <v>472.8</v>
      </c>
      <c r="I13071" s="553">
        <v>7393.1</v>
      </c>
      <c r="J13071" s="647">
        <v>2445.9899999999998</v>
      </c>
    </row>
    <row r="13072" spans="2:10">
      <c r="B13072" s="1230" t="s">
        <v>481</v>
      </c>
      <c r="C13072" s="132" t="s">
        <v>1777</v>
      </c>
      <c r="D13072" s="255">
        <v>47157</v>
      </c>
      <c r="E13072" s="553">
        <v>653.38</v>
      </c>
      <c r="F13072" s="553">
        <v>8537.0300000000007</v>
      </c>
      <c r="G13072" s="553">
        <v>1061.56</v>
      </c>
      <c r="H13072" s="553">
        <v>837.61</v>
      </c>
      <c r="I13072" s="553">
        <v>1509.97</v>
      </c>
      <c r="J13072" s="647">
        <v>3719.6</v>
      </c>
    </row>
    <row r="13073" spans="2:10">
      <c r="B13073" s="1230" t="s">
        <v>481</v>
      </c>
      <c r="C13073" s="132" t="s">
        <v>2390</v>
      </c>
      <c r="D13073" s="255">
        <v>47159</v>
      </c>
      <c r="E13073" s="553">
        <v>247.51</v>
      </c>
      <c r="F13073" s="553">
        <v>3146.26</v>
      </c>
      <c r="G13073" s="553">
        <v>272.41000000000003</v>
      </c>
      <c r="H13073" s="553">
        <v>309.25</v>
      </c>
      <c r="I13073" s="553">
        <v>4954.79</v>
      </c>
      <c r="J13073" s="647">
        <v>2019.5</v>
      </c>
    </row>
    <row r="13074" spans="2:10">
      <c r="B13074" s="1230" t="s">
        <v>481</v>
      </c>
      <c r="C13074" s="132" t="s">
        <v>2138</v>
      </c>
      <c r="D13074" s="255">
        <v>47161</v>
      </c>
      <c r="E13074" s="553">
        <v>189.89</v>
      </c>
      <c r="F13074" s="553">
        <v>2436.9899999999998</v>
      </c>
      <c r="G13074" s="553">
        <v>348.91</v>
      </c>
      <c r="H13074" s="553">
        <v>239.4</v>
      </c>
      <c r="I13074" s="553">
        <v>3265.74</v>
      </c>
      <c r="J13074" s="647">
        <v>1813.94</v>
      </c>
    </row>
    <row r="13075" spans="2:10">
      <c r="B13075" s="1230" t="s">
        <v>481</v>
      </c>
      <c r="C13075" s="132" t="s">
        <v>2281</v>
      </c>
      <c r="D13075" s="255">
        <v>47163</v>
      </c>
      <c r="E13075" s="553">
        <v>491.41</v>
      </c>
      <c r="F13075" s="553">
        <v>6856.22</v>
      </c>
      <c r="G13075" s="553">
        <v>178.73</v>
      </c>
      <c r="H13075" s="553">
        <v>669.49</v>
      </c>
      <c r="I13075" s="553">
        <v>9648.64</v>
      </c>
      <c r="J13075" s="647">
        <v>2939.74</v>
      </c>
    </row>
    <row r="13076" spans="2:10">
      <c r="B13076" s="1230" t="s">
        <v>481</v>
      </c>
      <c r="C13076" s="132" t="s">
        <v>2394</v>
      </c>
      <c r="D13076" s="255">
        <v>47165</v>
      </c>
      <c r="E13076" s="553">
        <v>498.78</v>
      </c>
      <c r="F13076" s="553">
        <v>6388.67</v>
      </c>
      <c r="G13076" s="553">
        <v>321.23</v>
      </c>
      <c r="H13076" s="553">
        <v>627.82000000000005</v>
      </c>
      <c r="I13076" s="553">
        <v>13118.14</v>
      </c>
      <c r="J13076" s="647">
        <v>2661.98</v>
      </c>
    </row>
    <row r="13077" spans="2:10">
      <c r="B13077" s="1230" t="s">
        <v>481</v>
      </c>
      <c r="C13077" s="132" t="s">
        <v>2284</v>
      </c>
      <c r="D13077" s="255">
        <v>47167</v>
      </c>
      <c r="E13077" s="553">
        <v>285.69</v>
      </c>
      <c r="F13077" s="553">
        <v>3781.52</v>
      </c>
      <c r="G13077" s="553">
        <v>524.74</v>
      </c>
      <c r="H13077" s="553">
        <v>370.67</v>
      </c>
      <c r="I13077" s="553">
        <v>1452.47</v>
      </c>
      <c r="J13077" s="647">
        <v>2179.8000000000002</v>
      </c>
    </row>
    <row r="13078" spans="2:10">
      <c r="B13078" s="1230" t="s">
        <v>481</v>
      </c>
      <c r="C13078" s="132" t="s">
        <v>3222</v>
      </c>
      <c r="D13078" s="255">
        <v>47169</v>
      </c>
      <c r="E13078" s="553">
        <v>271.05</v>
      </c>
      <c r="F13078" s="553">
        <v>3393.85</v>
      </c>
      <c r="G13078" s="553">
        <v>299.29000000000002</v>
      </c>
      <c r="H13078" s="553">
        <v>333.95</v>
      </c>
      <c r="I13078" s="553">
        <v>5084.58</v>
      </c>
      <c r="J13078" s="647">
        <v>2136.23</v>
      </c>
    </row>
    <row r="13079" spans="2:10">
      <c r="B13079" s="1230" t="s">
        <v>481</v>
      </c>
      <c r="C13079" s="132" t="s">
        <v>3223</v>
      </c>
      <c r="D13079" s="255">
        <v>47171</v>
      </c>
      <c r="E13079" s="553">
        <v>506.43</v>
      </c>
      <c r="F13079" s="553">
        <v>7075.64</v>
      </c>
      <c r="G13079" s="553">
        <v>199.22</v>
      </c>
      <c r="H13079" s="553">
        <v>690.96</v>
      </c>
      <c r="I13079" s="553">
        <v>10947.49</v>
      </c>
      <c r="J13079" s="647">
        <v>2866.31</v>
      </c>
    </row>
    <row r="13080" spans="2:10">
      <c r="B13080" s="1230" t="s">
        <v>481</v>
      </c>
      <c r="C13080" s="132" t="s">
        <v>1879</v>
      </c>
      <c r="D13080" s="255">
        <v>47173</v>
      </c>
      <c r="E13080" s="553">
        <v>346.19</v>
      </c>
      <c r="F13080" s="553">
        <v>4663.28</v>
      </c>
      <c r="G13080" s="553">
        <v>181.52</v>
      </c>
      <c r="H13080" s="553">
        <v>456.44</v>
      </c>
      <c r="I13080" s="553">
        <v>7906.07</v>
      </c>
      <c r="J13080" s="647">
        <v>2273.58</v>
      </c>
    </row>
    <row r="13081" spans="2:10">
      <c r="B13081" s="1230" t="s">
        <v>481</v>
      </c>
      <c r="C13081" s="132" t="s">
        <v>1880</v>
      </c>
      <c r="D13081" s="255">
        <v>47175</v>
      </c>
      <c r="E13081" s="553">
        <v>211.16</v>
      </c>
      <c r="F13081" s="553">
        <v>2763.5</v>
      </c>
      <c r="G13081" s="553">
        <v>232.46</v>
      </c>
      <c r="H13081" s="553">
        <v>271.04000000000002</v>
      </c>
      <c r="I13081" s="553">
        <v>3939.07</v>
      </c>
      <c r="J13081" s="647">
        <v>1960.74</v>
      </c>
    </row>
    <row r="13082" spans="2:10">
      <c r="B13082" s="1230" t="s">
        <v>481</v>
      </c>
      <c r="C13082" s="132" t="s">
        <v>2154</v>
      </c>
      <c r="D13082" s="255">
        <v>47177</v>
      </c>
      <c r="E13082" s="553">
        <v>272.33</v>
      </c>
      <c r="F13082" s="553">
        <v>3623.51</v>
      </c>
      <c r="G13082" s="553">
        <v>287.77</v>
      </c>
      <c r="H13082" s="553">
        <v>355</v>
      </c>
      <c r="I13082" s="553">
        <v>5631.45</v>
      </c>
      <c r="J13082" s="647">
        <v>2126.54</v>
      </c>
    </row>
    <row r="13083" spans="2:10">
      <c r="B13083" s="1230" t="s">
        <v>481</v>
      </c>
      <c r="C13083" s="132" t="s">
        <v>487</v>
      </c>
      <c r="D13083" s="255">
        <v>47179</v>
      </c>
      <c r="E13083" s="553">
        <v>421.58</v>
      </c>
      <c r="F13083" s="553">
        <v>5858.24</v>
      </c>
      <c r="G13083" s="553">
        <v>189.66</v>
      </c>
      <c r="H13083" s="553">
        <v>572.17999999999995</v>
      </c>
      <c r="I13083" s="553">
        <v>9552.89</v>
      </c>
      <c r="J13083" s="647">
        <v>2596.16</v>
      </c>
    </row>
    <row r="13084" spans="2:10">
      <c r="B13084" s="1230" t="s">
        <v>481</v>
      </c>
      <c r="C13084" s="132" t="s">
        <v>2155</v>
      </c>
      <c r="D13084" s="255">
        <v>47181</v>
      </c>
      <c r="E13084" s="553">
        <v>270.74</v>
      </c>
      <c r="F13084" s="553">
        <v>3791.86</v>
      </c>
      <c r="G13084" s="553">
        <v>353.29</v>
      </c>
      <c r="H13084" s="553">
        <v>370.04</v>
      </c>
      <c r="I13084" s="553">
        <v>5085.08</v>
      </c>
      <c r="J13084" s="647">
        <v>2193.21</v>
      </c>
    </row>
    <row r="13085" spans="2:10">
      <c r="B13085" s="1230" t="s">
        <v>481</v>
      </c>
      <c r="C13085" s="132" t="s">
        <v>3224</v>
      </c>
      <c r="D13085" s="255">
        <v>47183</v>
      </c>
      <c r="E13085" s="553">
        <v>216.44</v>
      </c>
      <c r="F13085" s="553">
        <v>3123.87</v>
      </c>
      <c r="G13085" s="553">
        <v>546.44000000000005</v>
      </c>
      <c r="H13085" s="553">
        <v>304.43</v>
      </c>
      <c r="I13085" s="553">
        <v>1878.43</v>
      </c>
      <c r="J13085" s="647">
        <v>2059.8000000000002</v>
      </c>
    </row>
    <row r="13086" spans="2:10">
      <c r="B13086" s="1230" t="s">
        <v>481</v>
      </c>
      <c r="C13086" s="132" t="s">
        <v>1881</v>
      </c>
      <c r="D13086" s="255">
        <v>47185</v>
      </c>
      <c r="E13086" s="553">
        <v>274.91000000000003</v>
      </c>
      <c r="F13086" s="553">
        <v>3827.63</v>
      </c>
      <c r="G13086" s="553">
        <v>225.85</v>
      </c>
      <c r="H13086" s="553">
        <v>373.79</v>
      </c>
      <c r="I13086" s="553">
        <v>6288.05</v>
      </c>
      <c r="J13086" s="647">
        <v>2100.0100000000002</v>
      </c>
    </row>
    <row r="13087" spans="2:10">
      <c r="B13087" s="1230" t="s">
        <v>481</v>
      </c>
      <c r="C13087" s="132" t="s">
        <v>2249</v>
      </c>
      <c r="D13087" s="255">
        <v>47187</v>
      </c>
      <c r="E13087" s="553">
        <v>729.68</v>
      </c>
      <c r="F13087" s="553">
        <v>9607.0400000000009</v>
      </c>
      <c r="G13087" s="553">
        <v>259.18</v>
      </c>
      <c r="H13087" s="553">
        <v>942.09</v>
      </c>
      <c r="I13087" s="553">
        <v>22752.32</v>
      </c>
      <c r="J13087" s="647">
        <v>3229.63</v>
      </c>
    </row>
    <row r="13088" spans="2:10">
      <c r="B13088" s="1230" t="s">
        <v>481</v>
      </c>
      <c r="C13088" s="132" t="s">
        <v>2399</v>
      </c>
      <c r="D13088" s="255">
        <v>47189</v>
      </c>
      <c r="E13088" s="553">
        <v>529.6</v>
      </c>
      <c r="F13088" s="553">
        <v>6679.97</v>
      </c>
      <c r="G13088" s="553">
        <v>264.01</v>
      </c>
      <c r="H13088" s="553">
        <v>657.25</v>
      </c>
      <c r="I13088" s="553">
        <v>14656.81</v>
      </c>
      <c r="J13088" s="647">
        <v>2733.69</v>
      </c>
    </row>
    <row r="13089" spans="2:10">
      <c r="B13089" s="1230" t="s">
        <v>482</v>
      </c>
      <c r="C13089" s="132" t="s">
        <v>2335</v>
      </c>
      <c r="D13089" s="255">
        <v>48001</v>
      </c>
      <c r="E13089" s="553">
        <v>226.29</v>
      </c>
      <c r="F13089" s="553">
        <v>3034.26</v>
      </c>
      <c r="G13089" s="553">
        <v>797.25</v>
      </c>
      <c r="H13089" s="553">
        <v>297.07</v>
      </c>
      <c r="I13089" s="553">
        <v>391.74</v>
      </c>
      <c r="J13089" s="647">
        <v>1050.07</v>
      </c>
    </row>
    <row r="13090" spans="2:10">
      <c r="B13090" s="1230" t="s">
        <v>482</v>
      </c>
      <c r="C13090" s="132" t="s">
        <v>3225</v>
      </c>
      <c r="D13090" s="255">
        <v>48003</v>
      </c>
      <c r="E13090" s="553">
        <v>149.13999999999999</v>
      </c>
      <c r="F13090" s="553">
        <v>1399.87</v>
      </c>
      <c r="G13090" s="553">
        <v>333.35</v>
      </c>
      <c r="H13090" s="553">
        <v>141.35</v>
      </c>
      <c r="I13090" s="553">
        <v>1334.78</v>
      </c>
      <c r="J13090" s="647">
        <v>635.42999999999995</v>
      </c>
    </row>
    <row r="13091" spans="2:10">
      <c r="B13091" s="1230" t="s">
        <v>482</v>
      </c>
      <c r="C13091" s="132" t="s">
        <v>3226</v>
      </c>
      <c r="D13091" s="255">
        <v>48005</v>
      </c>
      <c r="E13091" s="553">
        <v>193.25</v>
      </c>
      <c r="F13091" s="553">
        <v>2606.94</v>
      </c>
      <c r="G13091" s="553">
        <v>676.52</v>
      </c>
      <c r="H13091" s="553">
        <v>255.13</v>
      </c>
      <c r="I13091" s="553">
        <v>586.09</v>
      </c>
      <c r="J13091" s="647">
        <v>969.1</v>
      </c>
    </row>
    <row r="13092" spans="2:10">
      <c r="B13092" s="1230" t="s">
        <v>482</v>
      </c>
      <c r="C13092" s="132" t="s">
        <v>3227</v>
      </c>
      <c r="D13092" s="255">
        <v>48007</v>
      </c>
      <c r="E13092" s="553">
        <v>138.68</v>
      </c>
      <c r="F13092" s="553">
        <v>1711.11</v>
      </c>
      <c r="G13092" s="553">
        <v>374.88</v>
      </c>
      <c r="H13092" s="553">
        <v>168.73</v>
      </c>
      <c r="I13092" s="553">
        <v>110.59</v>
      </c>
      <c r="J13092" s="647">
        <v>1209.75</v>
      </c>
    </row>
    <row r="13093" spans="2:10">
      <c r="B13093" s="1230" t="s">
        <v>482</v>
      </c>
      <c r="C13093" s="132" t="s">
        <v>3228</v>
      </c>
      <c r="D13093" s="255">
        <v>48009</v>
      </c>
      <c r="E13093" s="553">
        <v>151.69</v>
      </c>
      <c r="F13093" s="553">
        <v>1816.12</v>
      </c>
      <c r="G13093" s="553">
        <v>659.69</v>
      </c>
      <c r="H13093" s="553">
        <v>179.51</v>
      </c>
      <c r="I13093" s="553">
        <v>229</v>
      </c>
      <c r="J13093" s="647">
        <v>757.47</v>
      </c>
    </row>
    <row r="13094" spans="2:10">
      <c r="B13094" s="1230" t="s">
        <v>482</v>
      </c>
      <c r="C13094" s="132" t="s">
        <v>3102</v>
      </c>
      <c r="D13094" s="255">
        <v>48011</v>
      </c>
      <c r="E13094" s="553">
        <v>101.21</v>
      </c>
      <c r="F13094" s="553">
        <v>887.06</v>
      </c>
      <c r="G13094" s="553">
        <v>372.14</v>
      </c>
      <c r="H13094" s="553">
        <v>90.17</v>
      </c>
      <c r="I13094" s="553">
        <v>325.63</v>
      </c>
      <c r="J13094" s="647">
        <v>554.4</v>
      </c>
    </row>
    <row r="13095" spans="2:10">
      <c r="B13095" s="1230" t="s">
        <v>482</v>
      </c>
      <c r="C13095" s="132" t="s">
        <v>3229</v>
      </c>
      <c r="D13095" s="255">
        <v>48013</v>
      </c>
      <c r="E13095" s="553">
        <v>539.09</v>
      </c>
      <c r="F13095" s="553">
        <v>6760.49</v>
      </c>
      <c r="G13095" s="553">
        <v>913.49</v>
      </c>
      <c r="H13095" s="553">
        <v>666.23</v>
      </c>
      <c r="I13095" s="553">
        <v>156.16999999999999</v>
      </c>
      <c r="J13095" s="647">
        <v>2949.01</v>
      </c>
    </row>
    <row r="13096" spans="2:10">
      <c r="B13096" s="1230" t="s">
        <v>482</v>
      </c>
      <c r="C13096" s="132" t="s">
        <v>3230</v>
      </c>
      <c r="D13096" s="255">
        <v>48015</v>
      </c>
      <c r="E13096" s="553">
        <v>196.54</v>
      </c>
      <c r="F13096" s="553">
        <v>2216.66</v>
      </c>
      <c r="G13096" s="553">
        <v>494.08</v>
      </c>
      <c r="H13096" s="553">
        <v>220.01</v>
      </c>
      <c r="I13096" s="553">
        <v>148.62</v>
      </c>
      <c r="J13096" s="647">
        <v>1516.12</v>
      </c>
    </row>
    <row r="13097" spans="2:10">
      <c r="B13097" s="1230" t="s">
        <v>482</v>
      </c>
      <c r="C13097" s="132" t="s">
        <v>3231</v>
      </c>
      <c r="D13097" s="255">
        <v>48017</v>
      </c>
      <c r="E13097" s="553">
        <v>106.82</v>
      </c>
      <c r="F13097" s="553">
        <v>967.83</v>
      </c>
      <c r="G13097" s="553">
        <v>379.11</v>
      </c>
      <c r="H13097" s="553">
        <v>98.03</v>
      </c>
      <c r="I13097" s="553">
        <v>319.14</v>
      </c>
      <c r="J13097" s="647">
        <v>580.41999999999996</v>
      </c>
    </row>
    <row r="13098" spans="2:10">
      <c r="B13098" s="1230" t="s">
        <v>482</v>
      </c>
      <c r="C13098" s="132" t="s">
        <v>3232</v>
      </c>
      <c r="D13098" s="255">
        <v>48019</v>
      </c>
      <c r="E13098" s="553">
        <v>152.4</v>
      </c>
      <c r="F13098" s="553">
        <v>1923.79</v>
      </c>
      <c r="G13098" s="553">
        <v>420.44</v>
      </c>
      <c r="H13098" s="553">
        <v>189.34</v>
      </c>
      <c r="I13098" s="553">
        <v>195.02</v>
      </c>
      <c r="J13098" s="647">
        <v>1520.63</v>
      </c>
    </row>
    <row r="13099" spans="2:10">
      <c r="B13099" s="1230" t="s">
        <v>482</v>
      </c>
      <c r="C13099" s="132" t="s">
        <v>3233</v>
      </c>
      <c r="D13099" s="255">
        <v>48021</v>
      </c>
      <c r="E13099" s="553">
        <v>467.9</v>
      </c>
      <c r="F13099" s="553">
        <v>5072.18</v>
      </c>
      <c r="G13099" s="553">
        <v>961.97</v>
      </c>
      <c r="H13099" s="553">
        <v>505.34</v>
      </c>
      <c r="I13099" s="553">
        <v>283.33999999999997</v>
      </c>
      <c r="J13099" s="647">
        <v>1264.53</v>
      </c>
    </row>
    <row r="13100" spans="2:10">
      <c r="B13100" s="1230" t="s">
        <v>482</v>
      </c>
      <c r="C13100" s="132" t="s">
        <v>3234</v>
      </c>
      <c r="D13100" s="255">
        <v>48023</v>
      </c>
      <c r="E13100" s="553">
        <v>102.47</v>
      </c>
      <c r="F13100" s="553">
        <v>1138.1099999999999</v>
      </c>
      <c r="G13100" s="553">
        <v>492.78</v>
      </c>
      <c r="H13100" s="553">
        <v>113.18</v>
      </c>
      <c r="I13100" s="553">
        <v>218.03</v>
      </c>
      <c r="J13100" s="647">
        <v>649.91</v>
      </c>
    </row>
    <row r="13101" spans="2:10">
      <c r="B13101" s="1230" t="s">
        <v>482</v>
      </c>
      <c r="C13101" s="132" t="s">
        <v>3235</v>
      </c>
      <c r="D13101" s="255">
        <v>48025</v>
      </c>
      <c r="E13101" s="553">
        <v>145.53</v>
      </c>
      <c r="F13101" s="553">
        <v>1656.84</v>
      </c>
      <c r="G13101" s="553">
        <v>375.4</v>
      </c>
      <c r="H13101" s="553">
        <v>164.5</v>
      </c>
      <c r="I13101" s="553">
        <v>127.67</v>
      </c>
      <c r="J13101" s="647">
        <v>1244.3900000000001</v>
      </c>
    </row>
    <row r="13102" spans="2:10">
      <c r="B13102" s="1230" t="s">
        <v>482</v>
      </c>
      <c r="C13102" s="132" t="s">
        <v>2405</v>
      </c>
      <c r="D13102" s="255">
        <v>48027</v>
      </c>
      <c r="E13102" s="553">
        <v>328.7</v>
      </c>
      <c r="F13102" s="553">
        <v>3740.23</v>
      </c>
      <c r="G13102" s="553">
        <v>871.37</v>
      </c>
      <c r="H13102" s="553">
        <v>371.19</v>
      </c>
      <c r="I13102" s="553">
        <v>275.44</v>
      </c>
      <c r="J13102" s="647">
        <v>1115.1300000000001</v>
      </c>
    </row>
    <row r="13103" spans="2:10">
      <c r="B13103" s="1230" t="s">
        <v>482</v>
      </c>
      <c r="C13103" s="132" t="s">
        <v>3236</v>
      </c>
      <c r="D13103" s="255">
        <v>48029</v>
      </c>
      <c r="E13103" s="553">
        <v>588.54</v>
      </c>
      <c r="F13103" s="553">
        <v>7379.31</v>
      </c>
      <c r="G13103" s="553">
        <v>1005.62</v>
      </c>
      <c r="H13103" s="553">
        <v>727.1</v>
      </c>
      <c r="I13103" s="553">
        <v>142.91999999999999</v>
      </c>
      <c r="J13103" s="647">
        <v>3209.88</v>
      </c>
    </row>
    <row r="13104" spans="2:10">
      <c r="B13104" s="1230" t="s">
        <v>482</v>
      </c>
      <c r="C13104" s="132" t="s">
        <v>3237</v>
      </c>
      <c r="D13104" s="255">
        <v>48031</v>
      </c>
      <c r="E13104" s="553">
        <v>228.83</v>
      </c>
      <c r="F13104" s="553">
        <v>2647.13</v>
      </c>
      <c r="G13104" s="553">
        <v>672.43</v>
      </c>
      <c r="H13104" s="553">
        <v>262.33999999999997</v>
      </c>
      <c r="I13104" s="553">
        <v>244.27</v>
      </c>
      <c r="J13104" s="647">
        <v>930.34</v>
      </c>
    </row>
    <row r="13105" spans="2:10">
      <c r="B13105" s="1230" t="s">
        <v>482</v>
      </c>
      <c r="C13105" s="132" t="s">
        <v>3238</v>
      </c>
      <c r="D13105" s="255">
        <v>48033</v>
      </c>
      <c r="E13105" s="553">
        <v>137.47999999999999</v>
      </c>
      <c r="F13105" s="553">
        <v>1196.1600000000001</v>
      </c>
      <c r="G13105" s="553">
        <v>353.11</v>
      </c>
      <c r="H13105" s="553">
        <v>121.67</v>
      </c>
      <c r="I13105" s="553">
        <v>1073.5</v>
      </c>
      <c r="J13105" s="647">
        <v>619.01</v>
      </c>
    </row>
    <row r="13106" spans="2:10">
      <c r="B13106" s="1230" t="s">
        <v>482</v>
      </c>
      <c r="C13106" s="132" t="s">
        <v>3239</v>
      </c>
      <c r="D13106" s="255">
        <v>48035</v>
      </c>
      <c r="E13106" s="553">
        <v>234.97</v>
      </c>
      <c r="F13106" s="553">
        <v>2728.96</v>
      </c>
      <c r="G13106" s="553">
        <v>719.17</v>
      </c>
      <c r="H13106" s="553">
        <v>270.36</v>
      </c>
      <c r="I13106" s="553">
        <v>271.06</v>
      </c>
      <c r="J13106" s="647">
        <v>939.33</v>
      </c>
    </row>
    <row r="13107" spans="2:10">
      <c r="B13107" s="1230" t="s">
        <v>482</v>
      </c>
      <c r="C13107" s="132" t="s">
        <v>3240</v>
      </c>
      <c r="D13107" s="255">
        <v>48037</v>
      </c>
      <c r="E13107" s="553">
        <v>185.33</v>
      </c>
      <c r="F13107" s="553">
        <v>2427.5700000000002</v>
      </c>
      <c r="G13107" s="553">
        <v>695.99</v>
      </c>
      <c r="H13107" s="553">
        <v>238</v>
      </c>
      <c r="I13107" s="553">
        <v>472.54</v>
      </c>
      <c r="J13107" s="647">
        <v>917.84</v>
      </c>
    </row>
    <row r="13108" spans="2:10">
      <c r="B13108" s="1230" t="s">
        <v>482</v>
      </c>
      <c r="C13108" s="132" t="s">
        <v>3241</v>
      </c>
      <c r="D13108" s="255">
        <v>48039</v>
      </c>
      <c r="E13108" s="553">
        <v>557.24</v>
      </c>
      <c r="F13108" s="553">
        <v>5870.44</v>
      </c>
      <c r="G13108" s="553">
        <v>717.65</v>
      </c>
      <c r="H13108" s="553">
        <v>586.01</v>
      </c>
      <c r="I13108" s="553">
        <v>2391.89</v>
      </c>
      <c r="J13108" s="647">
        <v>2676.23</v>
      </c>
    </row>
    <row r="13109" spans="2:10">
      <c r="B13109" s="1230" t="s">
        <v>482</v>
      </c>
      <c r="C13109" s="132" t="s">
        <v>3242</v>
      </c>
      <c r="D13109" s="255">
        <v>48041</v>
      </c>
      <c r="E13109" s="553">
        <v>220.17</v>
      </c>
      <c r="F13109" s="553">
        <v>2599.9</v>
      </c>
      <c r="G13109" s="553">
        <v>671.87</v>
      </c>
      <c r="H13109" s="553">
        <v>257.02</v>
      </c>
      <c r="I13109" s="553">
        <v>429.89</v>
      </c>
      <c r="J13109" s="647">
        <v>982.65</v>
      </c>
    </row>
    <row r="13110" spans="2:10">
      <c r="B13110" s="1230" t="s">
        <v>482</v>
      </c>
      <c r="C13110" s="132" t="s">
        <v>3243</v>
      </c>
      <c r="D13110" s="255">
        <v>48043</v>
      </c>
      <c r="E13110" s="553">
        <v>63.21</v>
      </c>
      <c r="F13110" s="553">
        <v>491.1</v>
      </c>
      <c r="G13110" s="553">
        <v>149.77000000000001</v>
      </c>
      <c r="H13110" s="553">
        <v>50.61</v>
      </c>
      <c r="I13110" s="553">
        <v>324.49</v>
      </c>
      <c r="J13110" s="647">
        <v>847.65</v>
      </c>
    </row>
    <row r="13111" spans="2:10">
      <c r="B13111" s="1230" t="s">
        <v>482</v>
      </c>
      <c r="C13111" s="132" t="s">
        <v>3244</v>
      </c>
      <c r="D13111" s="255">
        <v>48045</v>
      </c>
      <c r="E13111" s="553">
        <v>103.02</v>
      </c>
      <c r="F13111" s="553">
        <v>896.5</v>
      </c>
      <c r="G13111" s="553">
        <v>377.9</v>
      </c>
      <c r="H13111" s="553">
        <v>91.21</v>
      </c>
      <c r="I13111" s="553">
        <v>331.39</v>
      </c>
      <c r="J13111" s="647">
        <v>566.54</v>
      </c>
    </row>
    <row r="13112" spans="2:10">
      <c r="B13112" s="1230" t="s">
        <v>482</v>
      </c>
      <c r="C13112" s="132" t="s">
        <v>2064</v>
      </c>
      <c r="D13112" s="255">
        <v>48047</v>
      </c>
      <c r="E13112" s="553">
        <v>88.47</v>
      </c>
      <c r="F13112" s="553">
        <v>969.63</v>
      </c>
      <c r="G13112" s="553">
        <v>245.93</v>
      </c>
      <c r="H13112" s="553">
        <v>96.54</v>
      </c>
      <c r="I13112" s="553">
        <v>230.27</v>
      </c>
      <c r="J13112" s="647">
        <v>913.3</v>
      </c>
    </row>
    <row r="13113" spans="2:10">
      <c r="B13113" s="1230" t="s">
        <v>482</v>
      </c>
      <c r="C13113" s="132" t="s">
        <v>2200</v>
      </c>
      <c r="D13113" s="255">
        <v>48049</v>
      </c>
      <c r="E13113" s="553">
        <v>128.94999999999999</v>
      </c>
      <c r="F13113" s="553">
        <v>1544.68</v>
      </c>
      <c r="G13113" s="553">
        <v>533.21</v>
      </c>
      <c r="H13113" s="553">
        <v>152.66999999999999</v>
      </c>
      <c r="I13113" s="553">
        <v>230.27</v>
      </c>
      <c r="J13113" s="647">
        <v>740.77</v>
      </c>
    </row>
    <row r="13114" spans="2:10">
      <c r="B13114" s="1230" t="s">
        <v>482</v>
      </c>
      <c r="C13114" s="132" t="s">
        <v>3245</v>
      </c>
      <c r="D13114" s="255">
        <v>48051</v>
      </c>
      <c r="E13114" s="553">
        <v>210.42</v>
      </c>
      <c r="F13114" s="553">
        <v>2519.73</v>
      </c>
      <c r="G13114" s="553">
        <v>670.17</v>
      </c>
      <c r="H13114" s="553">
        <v>248.86</v>
      </c>
      <c r="I13114" s="553">
        <v>339.76</v>
      </c>
      <c r="J13114" s="647">
        <v>977.36</v>
      </c>
    </row>
    <row r="13115" spans="2:10">
      <c r="B13115" s="1230" t="s">
        <v>482</v>
      </c>
      <c r="C13115" s="132" t="s">
        <v>3246</v>
      </c>
      <c r="D13115" s="255">
        <v>48053</v>
      </c>
      <c r="E13115" s="553">
        <v>194.42</v>
      </c>
      <c r="F13115" s="553">
        <v>2328.75</v>
      </c>
      <c r="G13115" s="553">
        <v>659.18</v>
      </c>
      <c r="H13115" s="553">
        <v>230.05</v>
      </c>
      <c r="I13115" s="553">
        <v>250.22</v>
      </c>
      <c r="J13115" s="647">
        <v>916.87</v>
      </c>
    </row>
    <row r="13116" spans="2:10">
      <c r="B13116" s="1230" t="s">
        <v>482</v>
      </c>
      <c r="C13116" s="132" t="s">
        <v>2412</v>
      </c>
      <c r="D13116" s="255">
        <v>48055</v>
      </c>
      <c r="E13116" s="553">
        <v>294.25</v>
      </c>
      <c r="F13116" s="553">
        <v>3244.88</v>
      </c>
      <c r="G13116" s="553">
        <v>513.91</v>
      </c>
      <c r="H13116" s="553">
        <v>322.75</v>
      </c>
      <c r="I13116" s="553">
        <v>120.22</v>
      </c>
      <c r="J13116" s="647">
        <v>1627.54</v>
      </c>
    </row>
    <row r="13117" spans="2:10">
      <c r="B13117" s="1230" t="s">
        <v>482</v>
      </c>
      <c r="C13117" s="132" t="s">
        <v>1726</v>
      </c>
      <c r="D13117" s="255">
        <v>48057</v>
      </c>
      <c r="E13117" s="553">
        <v>118.97</v>
      </c>
      <c r="F13117" s="553">
        <v>1385.24</v>
      </c>
      <c r="G13117" s="553">
        <v>368.68</v>
      </c>
      <c r="H13117" s="553">
        <v>137.25</v>
      </c>
      <c r="I13117" s="553">
        <v>101.4</v>
      </c>
      <c r="J13117" s="647">
        <v>1166.02</v>
      </c>
    </row>
    <row r="13118" spans="2:10">
      <c r="B13118" s="1230" t="s">
        <v>482</v>
      </c>
      <c r="C13118" s="132" t="s">
        <v>3247</v>
      </c>
      <c r="D13118" s="255">
        <v>48059</v>
      </c>
      <c r="E13118" s="553">
        <v>103.78</v>
      </c>
      <c r="F13118" s="553">
        <v>1169.54</v>
      </c>
      <c r="G13118" s="553">
        <v>472.63</v>
      </c>
      <c r="H13118" s="553">
        <v>116.13</v>
      </c>
      <c r="I13118" s="553">
        <v>222.63</v>
      </c>
      <c r="J13118" s="647">
        <v>662.67</v>
      </c>
    </row>
    <row r="13119" spans="2:10">
      <c r="B13119" s="1230" t="s">
        <v>482</v>
      </c>
      <c r="C13119" s="132" t="s">
        <v>3108</v>
      </c>
      <c r="D13119" s="255">
        <v>48061</v>
      </c>
      <c r="E13119" s="553">
        <v>218.39</v>
      </c>
      <c r="F13119" s="553">
        <v>2940.74</v>
      </c>
      <c r="G13119" s="553">
        <v>549.33000000000004</v>
      </c>
      <c r="H13119" s="553">
        <v>288.27999999999997</v>
      </c>
      <c r="I13119" s="553">
        <v>119.61</v>
      </c>
      <c r="J13119" s="647">
        <v>711.12</v>
      </c>
    </row>
    <row r="13120" spans="2:10">
      <c r="B13120" s="1230" t="s">
        <v>482</v>
      </c>
      <c r="C13120" s="132" t="s">
        <v>3248</v>
      </c>
      <c r="D13120" s="255">
        <v>48063</v>
      </c>
      <c r="E13120" s="553">
        <v>234.2</v>
      </c>
      <c r="F13120" s="553">
        <v>2929.87</v>
      </c>
      <c r="G13120" s="553">
        <v>714.49</v>
      </c>
      <c r="H13120" s="553">
        <v>288.22000000000003</v>
      </c>
      <c r="I13120" s="553">
        <v>425.58</v>
      </c>
      <c r="J13120" s="647">
        <v>905.52</v>
      </c>
    </row>
    <row r="13121" spans="2:10">
      <c r="B13121" s="1230" t="s">
        <v>482</v>
      </c>
      <c r="C13121" s="132" t="s">
        <v>3249</v>
      </c>
      <c r="D13121" s="255">
        <v>48065</v>
      </c>
      <c r="E13121" s="553">
        <v>113.23</v>
      </c>
      <c r="F13121" s="553">
        <v>992.51</v>
      </c>
      <c r="G13121" s="553">
        <v>387.82</v>
      </c>
      <c r="H13121" s="553">
        <v>100.79</v>
      </c>
      <c r="I13121" s="553">
        <v>324.12</v>
      </c>
      <c r="J13121" s="647">
        <v>560.29999999999995</v>
      </c>
    </row>
    <row r="13122" spans="2:10">
      <c r="B13122" s="1230" t="s">
        <v>482</v>
      </c>
      <c r="C13122" s="132" t="s">
        <v>2202</v>
      </c>
      <c r="D13122" s="255">
        <v>48067</v>
      </c>
      <c r="E13122" s="553">
        <v>196.46</v>
      </c>
      <c r="F13122" s="553">
        <v>2585.1799999999998</v>
      </c>
      <c r="G13122" s="553">
        <v>703.8</v>
      </c>
      <c r="H13122" s="553">
        <v>253.51</v>
      </c>
      <c r="I13122" s="553">
        <v>480.13</v>
      </c>
      <c r="J13122" s="647">
        <v>942.13</v>
      </c>
    </row>
    <row r="13123" spans="2:10">
      <c r="B13123" s="1230" t="s">
        <v>482</v>
      </c>
      <c r="C13123" s="132" t="s">
        <v>3250</v>
      </c>
      <c r="D13123" s="255">
        <v>48069</v>
      </c>
      <c r="E13123" s="553">
        <v>117</v>
      </c>
      <c r="F13123" s="553">
        <v>1066.19</v>
      </c>
      <c r="G13123" s="553">
        <v>388.55</v>
      </c>
      <c r="H13123" s="553">
        <v>107.89</v>
      </c>
      <c r="I13123" s="553">
        <v>325.52999999999997</v>
      </c>
      <c r="J13123" s="647">
        <v>586.30999999999995</v>
      </c>
    </row>
    <row r="13124" spans="2:10">
      <c r="B13124" s="1230" t="s">
        <v>482</v>
      </c>
      <c r="C13124" s="132" t="s">
        <v>1727</v>
      </c>
      <c r="D13124" s="255">
        <v>48071</v>
      </c>
      <c r="E13124" s="553">
        <v>300.35000000000002</v>
      </c>
      <c r="F13124" s="553">
        <v>3254.01</v>
      </c>
      <c r="G13124" s="553">
        <v>594.83000000000004</v>
      </c>
      <c r="H13124" s="553">
        <v>324.05</v>
      </c>
      <c r="I13124" s="553">
        <v>1091.71</v>
      </c>
      <c r="J13124" s="647">
        <v>1999.36</v>
      </c>
    </row>
    <row r="13125" spans="2:10">
      <c r="B13125" s="1230" t="s">
        <v>482</v>
      </c>
      <c r="C13125" s="132" t="s">
        <v>1728</v>
      </c>
      <c r="D13125" s="255">
        <v>48073</v>
      </c>
      <c r="E13125" s="553">
        <v>184.79</v>
      </c>
      <c r="F13125" s="553">
        <v>2414.9</v>
      </c>
      <c r="G13125" s="553">
        <v>697.14</v>
      </c>
      <c r="H13125" s="553">
        <v>236.97</v>
      </c>
      <c r="I13125" s="553">
        <v>431.78</v>
      </c>
      <c r="J13125" s="647">
        <v>931.27</v>
      </c>
    </row>
    <row r="13126" spans="2:10">
      <c r="B13126" s="1230" t="s">
        <v>482</v>
      </c>
      <c r="C13126" s="132" t="s">
        <v>3251</v>
      </c>
      <c r="D13126" s="255">
        <v>48075</v>
      </c>
      <c r="E13126" s="553">
        <v>97.28</v>
      </c>
      <c r="F13126" s="553">
        <v>999.27</v>
      </c>
      <c r="G13126" s="553">
        <v>417.19</v>
      </c>
      <c r="H13126" s="553">
        <v>99.99</v>
      </c>
      <c r="I13126" s="553">
        <v>364.11</v>
      </c>
      <c r="J13126" s="647">
        <v>610.05999999999995</v>
      </c>
    </row>
    <row r="13127" spans="2:10">
      <c r="B13127" s="1230" t="s">
        <v>482</v>
      </c>
      <c r="C13127" s="132" t="s">
        <v>1732</v>
      </c>
      <c r="D13127" s="255">
        <v>48077</v>
      </c>
      <c r="E13127" s="553">
        <v>191.41</v>
      </c>
      <c r="F13127" s="553">
        <v>2383.27</v>
      </c>
      <c r="G13127" s="553">
        <v>785.8</v>
      </c>
      <c r="H13127" s="553">
        <v>234.88</v>
      </c>
      <c r="I13127" s="553">
        <v>323.73</v>
      </c>
      <c r="J13127" s="647">
        <v>721.6</v>
      </c>
    </row>
    <row r="13128" spans="2:10">
      <c r="B13128" s="1230" t="s">
        <v>482</v>
      </c>
      <c r="C13128" s="132" t="s">
        <v>3252</v>
      </c>
      <c r="D13128" s="255">
        <v>48079</v>
      </c>
      <c r="E13128" s="553">
        <v>128.72</v>
      </c>
      <c r="F13128" s="553">
        <v>1027.6400000000001</v>
      </c>
      <c r="G13128" s="553">
        <v>347.29</v>
      </c>
      <c r="H13128" s="553">
        <v>105.46</v>
      </c>
      <c r="I13128" s="553">
        <v>316.07</v>
      </c>
      <c r="J13128" s="647">
        <v>587</v>
      </c>
    </row>
    <row r="13129" spans="2:10">
      <c r="B13129" s="1230" t="s">
        <v>482</v>
      </c>
      <c r="C13129" s="132" t="s">
        <v>3253</v>
      </c>
      <c r="D13129" s="255">
        <v>48081</v>
      </c>
      <c r="E13129" s="553">
        <v>127.43</v>
      </c>
      <c r="F13129" s="553">
        <v>1167.72</v>
      </c>
      <c r="G13129" s="553">
        <v>388.96</v>
      </c>
      <c r="H13129" s="553">
        <v>118.12</v>
      </c>
      <c r="I13129" s="553">
        <v>398.85</v>
      </c>
      <c r="J13129" s="647">
        <v>639.51</v>
      </c>
    </row>
    <row r="13130" spans="2:10">
      <c r="B13130" s="1230" t="s">
        <v>482</v>
      </c>
      <c r="C13130" s="132" t="s">
        <v>3254</v>
      </c>
      <c r="D13130" s="255">
        <v>48083</v>
      </c>
      <c r="E13130" s="553">
        <v>115.89</v>
      </c>
      <c r="F13130" s="553">
        <v>1361.04</v>
      </c>
      <c r="G13130" s="553">
        <v>493.65</v>
      </c>
      <c r="H13130" s="553">
        <v>134.66999999999999</v>
      </c>
      <c r="I13130" s="553">
        <v>220.29</v>
      </c>
      <c r="J13130" s="647">
        <v>700.48</v>
      </c>
    </row>
    <row r="13131" spans="2:10">
      <c r="B13131" s="1230" t="s">
        <v>482</v>
      </c>
      <c r="C13131" s="132" t="s">
        <v>3255</v>
      </c>
      <c r="D13131" s="255">
        <v>48085</v>
      </c>
      <c r="E13131" s="553">
        <v>490.64</v>
      </c>
      <c r="F13131" s="553">
        <v>5213.26</v>
      </c>
      <c r="G13131" s="553">
        <v>1119.6300000000001</v>
      </c>
      <c r="H13131" s="553">
        <v>520.03</v>
      </c>
      <c r="I13131" s="553">
        <v>319.77999999999997</v>
      </c>
      <c r="J13131" s="647">
        <v>1282.3</v>
      </c>
    </row>
    <row r="13132" spans="2:10">
      <c r="B13132" s="1230" t="s">
        <v>482</v>
      </c>
      <c r="C13132" s="132" t="s">
        <v>3256</v>
      </c>
      <c r="D13132" s="255">
        <v>48087</v>
      </c>
      <c r="E13132" s="553">
        <v>103.74</v>
      </c>
      <c r="F13132" s="553">
        <v>994.13</v>
      </c>
      <c r="G13132" s="553">
        <v>418.11</v>
      </c>
      <c r="H13132" s="553">
        <v>100.07</v>
      </c>
      <c r="I13132" s="553">
        <v>358.8</v>
      </c>
      <c r="J13132" s="647">
        <v>601.08000000000004</v>
      </c>
    </row>
    <row r="13133" spans="2:10">
      <c r="B13133" s="1230" t="s">
        <v>482</v>
      </c>
      <c r="C13133" s="132" t="s">
        <v>440</v>
      </c>
      <c r="D13133" s="255">
        <v>48089</v>
      </c>
      <c r="E13133" s="553">
        <v>188.82</v>
      </c>
      <c r="F13133" s="553">
        <v>2252.4699999999998</v>
      </c>
      <c r="G13133" s="553">
        <v>512.76</v>
      </c>
      <c r="H13133" s="553">
        <v>222.53</v>
      </c>
      <c r="I13133" s="553">
        <v>105.34</v>
      </c>
      <c r="J13133" s="647">
        <v>1591.25</v>
      </c>
    </row>
    <row r="13134" spans="2:10">
      <c r="B13134" s="1230" t="s">
        <v>482</v>
      </c>
      <c r="C13134" s="132" t="s">
        <v>3257</v>
      </c>
      <c r="D13134" s="255">
        <v>48091</v>
      </c>
      <c r="E13134" s="553">
        <v>229.79</v>
      </c>
      <c r="F13134" s="553">
        <v>2777.52</v>
      </c>
      <c r="G13134" s="553">
        <v>398.28</v>
      </c>
      <c r="H13134" s="553">
        <v>274.25</v>
      </c>
      <c r="I13134" s="553">
        <v>139.99</v>
      </c>
      <c r="J13134" s="647">
        <v>1310.58</v>
      </c>
    </row>
    <row r="13135" spans="2:10">
      <c r="B13135" s="1230" t="s">
        <v>482</v>
      </c>
      <c r="C13135" s="132" t="s">
        <v>2344</v>
      </c>
      <c r="D13135" s="255">
        <v>48093</v>
      </c>
      <c r="E13135" s="553">
        <v>158.65</v>
      </c>
      <c r="F13135" s="553">
        <v>1963.19</v>
      </c>
      <c r="G13135" s="553">
        <v>594.54</v>
      </c>
      <c r="H13135" s="553">
        <v>193.47</v>
      </c>
      <c r="I13135" s="553">
        <v>239.84</v>
      </c>
      <c r="J13135" s="647">
        <v>802.39</v>
      </c>
    </row>
    <row r="13136" spans="2:10">
      <c r="B13136" s="1230" t="s">
        <v>482</v>
      </c>
      <c r="C13136" s="132" t="s">
        <v>3258</v>
      </c>
      <c r="D13136" s="255">
        <v>48095</v>
      </c>
      <c r="E13136" s="553">
        <v>103.6</v>
      </c>
      <c r="F13136" s="553">
        <v>1104.83</v>
      </c>
      <c r="G13136" s="553">
        <v>444.4</v>
      </c>
      <c r="H13136" s="553">
        <v>110.2</v>
      </c>
      <c r="I13136" s="553">
        <v>215.41</v>
      </c>
      <c r="J13136" s="647">
        <v>660.76</v>
      </c>
    </row>
    <row r="13137" spans="2:10">
      <c r="B13137" s="1230" t="s">
        <v>482</v>
      </c>
      <c r="C13137" s="132" t="s">
        <v>3259</v>
      </c>
      <c r="D13137" s="255">
        <v>48097</v>
      </c>
      <c r="E13137" s="553">
        <v>216.35</v>
      </c>
      <c r="F13137" s="553">
        <v>2554.98</v>
      </c>
      <c r="G13137" s="553">
        <v>702.41</v>
      </c>
      <c r="H13137" s="553">
        <v>252.67</v>
      </c>
      <c r="I13137" s="553">
        <v>381.68</v>
      </c>
      <c r="J13137" s="647">
        <v>770.86</v>
      </c>
    </row>
    <row r="13138" spans="2:10">
      <c r="B13138" s="1230" t="s">
        <v>482</v>
      </c>
      <c r="C13138" s="132" t="s">
        <v>3260</v>
      </c>
      <c r="D13138" s="255">
        <v>48099</v>
      </c>
      <c r="E13138" s="553">
        <v>263.02999999999997</v>
      </c>
      <c r="F13138" s="553">
        <v>3071.3</v>
      </c>
      <c r="G13138" s="553">
        <v>781.89</v>
      </c>
      <c r="H13138" s="553">
        <v>304.27</v>
      </c>
      <c r="I13138" s="553">
        <v>264.61</v>
      </c>
      <c r="J13138" s="647">
        <v>1007.16</v>
      </c>
    </row>
    <row r="13139" spans="2:10">
      <c r="B13139" s="1230" t="s">
        <v>482</v>
      </c>
      <c r="C13139" s="132" t="s">
        <v>3261</v>
      </c>
      <c r="D13139" s="255">
        <v>48101</v>
      </c>
      <c r="E13139" s="553">
        <v>104.3</v>
      </c>
      <c r="F13139" s="553">
        <v>981.54</v>
      </c>
      <c r="G13139" s="553">
        <v>415.44</v>
      </c>
      <c r="H13139" s="553">
        <v>99.03</v>
      </c>
      <c r="I13139" s="553">
        <v>367.69</v>
      </c>
      <c r="J13139" s="647">
        <v>613.15</v>
      </c>
    </row>
    <row r="13140" spans="2:10">
      <c r="B13140" s="1230" t="s">
        <v>482</v>
      </c>
      <c r="C13140" s="132" t="s">
        <v>3262</v>
      </c>
      <c r="D13140" s="255">
        <v>48103</v>
      </c>
      <c r="E13140" s="553">
        <v>111.08</v>
      </c>
      <c r="F13140" s="553">
        <v>993.2</v>
      </c>
      <c r="G13140" s="553">
        <v>302.69</v>
      </c>
      <c r="H13140" s="553">
        <v>100.66</v>
      </c>
      <c r="I13140" s="553">
        <v>925.08</v>
      </c>
      <c r="J13140" s="647">
        <v>582.83000000000004</v>
      </c>
    </row>
    <row r="13141" spans="2:10">
      <c r="B13141" s="1230" t="s">
        <v>482</v>
      </c>
      <c r="C13141" s="132" t="s">
        <v>3203</v>
      </c>
      <c r="D13141" s="255">
        <v>48105</v>
      </c>
      <c r="E13141" s="553">
        <v>95.37</v>
      </c>
      <c r="F13141" s="553">
        <v>823.6</v>
      </c>
      <c r="G13141" s="553">
        <v>311.66000000000003</v>
      </c>
      <c r="H13141" s="553">
        <v>83.88</v>
      </c>
      <c r="I13141" s="553">
        <v>543.27</v>
      </c>
      <c r="J13141" s="647">
        <v>577.21</v>
      </c>
    </row>
    <row r="13142" spans="2:10">
      <c r="B13142" s="1230" t="s">
        <v>482</v>
      </c>
      <c r="C13142" s="132" t="s">
        <v>3263</v>
      </c>
      <c r="D13142" s="255">
        <v>48107</v>
      </c>
      <c r="E13142" s="553">
        <v>174.89</v>
      </c>
      <c r="F13142" s="553">
        <v>1781.88</v>
      </c>
      <c r="G13142" s="553">
        <v>441.68</v>
      </c>
      <c r="H13142" s="553">
        <v>178.53</v>
      </c>
      <c r="I13142" s="553">
        <v>350.52</v>
      </c>
      <c r="J13142" s="647">
        <v>667.79</v>
      </c>
    </row>
    <row r="13143" spans="2:10">
      <c r="B13143" s="1230" t="s">
        <v>482</v>
      </c>
      <c r="C13143" s="132" t="s">
        <v>3264</v>
      </c>
      <c r="D13143" s="255">
        <v>48109</v>
      </c>
      <c r="E13143" s="553">
        <v>117.37</v>
      </c>
      <c r="F13143" s="553">
        <v>1029.19</v>
      </c>
      <c r="G13143" s="553">
        <v>385.83</v>
      </c>
      <c r="H13143" s="553">
        <v>104.52</v>
      </c>
      <c r="I13143" s="553">
        <v>583.61</v>
      </c>
      <c r="J13143" s="647">
        <v>943.08</v>
      </c>
    </row>
    <row r="13144" spans="2:10">
      <c r="B13144" s="1230" t="s">
        <v>482</v>
      </c>
      <c r="C13144" s="132" t="s">
        <v>3265</v>
      </c>
      <c r="D13144" s="255">
        <v>48111</v>
      </c>
      <c r="E13144" s="553">
        <v>91.82</v>
      </c>
      <c r="F13144" s="553">
        <v>751.29</v>
      </c>
      <c r="G13144" s="553">
        <v>387.26</v>
      </c>
      <c r="H13144" s="553">
        <v>76.8</v>
      </c>
      <c r="I13144" s="553">
        <v>319.33999999999997</v>
      </c>
      <c r="J13144" s="647">
        <v>513.94000000000005</v>
      </c>
    </row>
    <row r="13145" spans="2:10">
      <c r="B13145" s="1230" t="s">
        <v>482</v>
      </c>
      <c r="C13145" s="132" t="s">
        <v>1742</v>
      </c>
      <c r="D13145" s="255">
        <v>48113</v>
      </c>
      <c r="E13145" s="553">
        <v>1022.1</v>
      </c>
      <c r="F13145" s="553">
        <v>11215.84</v>
      </c>
      <c r="G13145" s="553">
        <v>1754.53</v>
      </c>
      <c r="H13145" s="553">
        <v>1116.48</v>
      </c>
      <c r="I13145" s="553">
        <v>310.43</v>
      </c>
      <c r="J13145" s="647">
        <v>2025.43</v>
      </c>
    </row>
    <row r="13146" spans="2:10">
      <c r="B13146" s="1230" t="s">
        <v>482</v>
      </c>
      <c r="C13146" s="132" t="s">
        <v>2084</v>
      </c>
      <c r="D13146" s="255">
        <v>48115</v>
      </c>
      <c r="E13146" s="553">
        <v>135.71</v>
      </c>
      <c r="F13146" s="553">
        <v>1144.8800000000001</v>
      </c>
      <c r="G13146" s="553">
        <v>379.52</v>
      </c>
      <c r="H13146" s="553">
        <v>116.77</v>
      </c>
      <c r="I13146" s="553">
        <v>437.6</v>
      </c>
      <c r="J13146" s="647">
        <v>620.58000000000004</v>
      </c>
    </row>
    <row r="13147" spans="2:10">
      <c r="B13147" s="1230" t="s">
        <v>482</v>
      </c>
      <c r="C13147" s="132" t="s">
        <v>3266</v>
      </c>
      <c r="D13147" s="255">
        <v>48117</v>
      </c>
      <c r="E13147" s="553">
        <v>111.09</v>
      </c>
      <c r="F13147" s="553">
        <v>961.59</v>
      </c>
      <c r="G13147" s="553">
        <v>368.97</v>
      </c>
      <c r="H13147" s="553">
        <v>97.85</v>
      </c>
      <c r="I13147" s="553">
        <v>316.97000000000003</v>
      </c>
      <c r="J13147" s="647">
        <v>564.83000000000004</v>
      </c>
    </row>
    <row r="13148" spans="2:10">
      <c r="B13148" s="1230" t="s">
        <v>482</v>
      </c>
      <c r="C13148" s="132" t="s">
        <v>1954</v>
      </c>
      <c r="D13148" s="255">
        <v>48119</v>
      </c>
      <c r="E13148" s="553">
        <v>216.93</v>
      </c>
      <c r="F13148" s="553">
        <v>2729.92</v>
      </c>
      <c r="G13148" s="553">
        <v>821.23</v>
      </c>
      <c r="H13148" s="553">
        <v>268.54000000000002</v>
      </c>
      <c r="I13148" s="553">
        <v>373.3</v>
      </c>
      <c r="J13148" s="647">
        <v>911.05</v>
      </c>
    </row>
    <row r="13149" spans="2:10">
      <c r="B13149" s="1230" t="s">
        <v>482</v>
      </c>
      <c r="C13149" s="132" t="s">
        <v>3267</v>
      </c>
      <c r="D13149" s="255">
        <v>48121</v>
      </c>
      <c r="E13149" s="553">
        <v>455.36</v>
      </c>
      <c r="F13149" s="553">
        <v>4859.3</v>
      </c>
      <c r="G13149" s="553">
        <v>1201.1500000000001</v>
      </c>
      <c r="H13149" s="553">
        <v>484.6</v>
      </c>
      <c r="I13149" s="553">
        <v>289.60000000000002</v>
      </c>
      <c r="J13149" s="647">
        <v>1249.98</v>
      </c>
    </row>
    <row r="13150" spans="2:10">
      <c r="B13150" s="1230" t="s">
        <v>482</v>
      </c>
      <c r="C13150" s="132" t="s">
        <v>3268</v>
      </c>
      <c r="D13150" s="255">
        <v>48123</v>
      </c>
      <c r="E13150" s="553">
        <v>146.13999999999999</v>
      </c>
      <c r="F13150" s="553">
        <v>1673.49</v>
      </c>
      <c r="G13150" s="553">
        <v>386.63</v>
      </c>
      <c r="H13150" s="553">
        <v>165.9</v>
      </c>
      <c r="I13150" s="553">
        <v>113.64</v>
      </c>
      <c r="J13150" s="647">
        <v>1247.22</v>
      </c>
    </row>
    <row r="13151" spans="2:10">
      <c r="B13151" s="1230" t="s">
        <v>482</v>
      </c>
      <c r="C13151" s="132" t="s">
        <v>3269</v>
      </c>
      <c r="D13151" s="255">
        <v>48125</v>
      </c>
      <c r="E13151" s="553">
        <v>102.73</v>
      </c>
      <c r="F13151" s="553">
        <v>941.48</v>
      </c>
      <c r="G13151" s="553">
        <v>393.51</v>
      </c>
      <c r="H13151" s="553">
        <v>95.25</v>
      </c>
      <c r="I13151" s="553">
        <v>360.14</v>
      </c>
      <c r="J13151" s="647">
        <v>600.04999999999995</v>
      </c>
    </row>
    <row r="13152" spans="2:10">
      <c r="B13152" s="1230" t="s">
        <v>482</v>
      </c>
      <c r="C13152" s="132" t="s">
        <v>3270</v>
      </c>
      <c r="D13152" s="255">
        <v>48127</v>
      </c>
      <c r="E13152" s="553">
        <v>84.65</v>
      </c>
      <c r="F13152" s="553">
        <v>801.39</v>
      </c>
      <c r="G13152" s="553">
        <v>244.18</v>
      </c>
      <c r="H13152" s="553">
        <v>80.819999999999993</v>
      </c>
      <c r="I13152" s="553">
        <v>595.64</v>
      </c>
      <c r="J13152" s="647">
        <v>1076.08</v>
      </c>
    </row>
    <row r="13153" spans="2:10">
      <c r="B13153" s="1230" t="s">
        <v>482</v>
      </c>
      <c r="C13153" s="132" t="s">
        <v>3271</v>
      </c>
      <c r="D13153" s="255">
        <v>48129</v>
      </c>
      <c r="E13153" s="553">
        <v>103.31</v>
      </c>
      <c r="F13153" s="553">
        <v>981.81</v>
      </c>
      <c r="G13153" s="553">
        <v>394.87</v>
      </c>
      <c r="H13153" s="553">
        <v>98.96</v>
      </c>
      <c r="I13153" s="553">
        <v>341.13</v>
      </c>
      <c r="J13153" s="647">
        <v>580.9</v>
      </c>
    </row>
    <row r="13154" spans="2:10">
      <c r="B13154" s="1230" t="s">
        <v>482</v>
      </c>
      <c r="C13154" s="132" t="s">
        <v>2017</v>
      </c>
      <c r="D13154" s="255">
        <v>48131</v>
      </c>
      <c r="E13154" s="553">
        <v>80.86</v>
      </c>
      <c r="F13154" s="553">
        <v>883.13</v>
      </c>
      <c r="G13154" s="553">
        <v>216.02</v>
      </c>
      <c r="H13154" s="553">
        <v>87.97</v>
      </c>
      <c r="I13154" s="553">
        <v>344.83</v>
      </c>
      <c r="J13154" s="647">
        <v>830.7</v>
      </c>
    </row>
    <row r="13155" spans="2:10">
      <c r="B13155" s="1230" t="s">
        <v>482</v>
      </c>
      <c r="C13155" s="132" t="s">
        <v>3272</v>
      </c>
      <c r="D13155" s="255">
        <v>48133</v>
      </c>
      <c r="E13155" s="553">
        <v>126.64</v>
      </c>
      <c r="F13155" s="553">
        <v>1495.82</v>
      </c>
      <c r="G13155" s="553">
        <v>531.62</v>
      </c>
      <c r="H13155" s="553">
        <v>147.94999999999999</v>
      </c>
      <c r="I13155" s="553">
        <v>231.94</v>
      </c>
      <c r="J13155" s="647">
        <v>723.06</v>
      </c>
    </row>
    <row r="13156" spans="2:10">
      <c r="B13156" s="1230" t="s">
        <v>482</v>
      </c>
      <c r="C13156" s="132" t="s">
        <v>3273</v>
      </c>
      <c r="D13156" s="255">
        <v>48135</v>
      </c>
      <c r="E13156" s="553">
        <v>202.8</v>
      </c>
      <c r="F13156" s="553">
        <v>2139.02</v>
      </c>
      <c r="G13156" s="553">
        <v>324.75</v>
      </c>
      <c r="H13156" s="553">
        <v>213.67</v>
      </c>
      <c r="I13156" s="553">
        <v>3112.86</v>
      </c>
      <c r="J13156" s="647">
        <v>674.03</v>
      </c>
    </row>
    <row r="13157" spans="2:10">
      <c r="B13157" s="1230" t="s">
        <v>482</v>
      </c>
      <c r="C13157" s="132" t="s">
        <v>2211</v>
      </c>
      <c r="D13157" s="255">
        <v>48137</v>
      </c>
      <c r="E13157" s="553">
        <v>90.96</v>
      </c>
      <c r="F13157" s="553">
        <v>680.16</v>
      </c>
      <c r="G13157" s="553">
        <v>225.27</v>
      </c>
      <c r="H13157" s="553">
        <v>70.31</v>
      </c>
      <c r="I13157" s="553">
        <v>340.06</v>
      </c>
      <c r="J13157" s="647">
        <v>1006.55</v>
      </c>
    </row>
    <row r="13158" spans="2:10">
      <c r="B13158" s="1230" t="s">
        <v>482</v>
      </c>
      <c r="C13158" s="132" t="s">
        <v>2348</v>
      </c>
      <c r="D13158" s="255">
        <v>48139</v>
      </c>
      <c r="E13158" s="553">
        <v>369.08</v>
      </c>
      <c r="F13158" s="553">
        <v>4244.99</v>
      </c>
      <c r="G13158" s="553">
        <v>935.67</v>
      </c>
      <c r="H13158" s="553">
        <v>420.83</v>
      </c>
      <c r="I13158" s="553">
        <v>315.39999999999998</v>
      </c>
      <c r="J13158" s="647">
        <v>1186.6300000000001</v>
      </c>
    </row>
    <row r="13159" spans="2:10">
      <c r="B13159" s="1230" t="s">
        <v>482</v>
      </c>
      <c r="C13159" s="132" t="s">
        <v>1960</v>
      </c>
      <c r="D13159" s="255">
        <v>48141</v>
      </c>
      <c r="E13159" s="553">
        <v>453.07</v>
      </c>
      <c r="F13159" s="553">
        <v>5740.52</v>
      </c>
      <c r="G13159" s="553">
        <v>926.95</v>
      </c>
      <c r="H13159" s="553">
        <v>565.29999999999995</v>
      </c>
      <c r="I13159" s="553">
        <v>386.32</v>
      </c>
      <c r="J13159" s="647">
        <v>1667.71</v>
      </c>
    </row>
    <row r="13160" spans="2:10">
      <c r="B13160" s="1230" t="s">
        <v>482</v>
      </c>
      <c r="C13160" s="132" t="s">
        <v>3274</v>
      </c>
      <c r="D13160" s="255">
        <v>48143</v>
      </c>
      <c r="E13160" s="553">
        <v>179.73</v>
      </c>
      <c r="F13160" s="553">
        <v>2142.52</v>
      </c>
      <c r="G13160" s="553">
        <v>640.99</v>
      </c>
      <c r="H13160" s="553">
        <v>211.79</v>
      </c>
      <c r="I13160" s="553">
        <v>249.31</v>
      </c>
      <c r="J13160" s="647">
        <v>842.21</v>
      </c>
    </row>
    <row r="13161" spans="2:10">
      <c r="B13161" s="1230" t="s">
        <v>482</v>
      </c>
      <c r="C13161" s="132" t="s">
        <v>3275</v>
      </c>
      <c r="D13161" s="255">
        <v>48145</v>
      </c>
      <c r="E13161" s="553">
        <v>228.29</v>
      </c>
      <c r="F13161" s="553">
        <v>2922.8</v>
      </c>
      <c r="G13161" s="553">
        <v>728.52</v>
      </c>
      <c r="H13161" s="553">
        <v>287.33</v>
      </c>
      <c r="I13161" s="553">
        <v>303.02</v>
      </c>
      <c r="J13161" s="647">
        <v>999.2</v>
      </c>
    </row>
    <row r="13162" spans="2:10">
      <c r="B13162" s="1230" t="s">
        <v>482</v>
      </c>
      <c r="C13162" s="132" t="s">
        <v>2094</v>
      </c>
      <c r="D13162" s="255">
        <v>48147</v>
      </c>
      <c r="E13162" s="553">
        <v>193.7</v>
      </c>
      <c r="F13162" s="553">
        <v>2440.71</v>
      </c>
      <c r="G13162" s="553">
        <v>824.3</v>
      </c>
      <c r="H13162" s="553">
        <v>240.06</v>
      </c>
      <c r="I13162" s="553">
        <v>354.8</v>
      </c>
      <c r="J13162" s="647">
        <v>965.14</v>
      </c>
    </row>
    <row r="13163" spans="2:10">
      <c r="B13163" s="1230" t="s">
        <v>482</v>
      </c>
      <c r="C13163" s="132" t="s">
        <v>1747</v>
      </c>
      <c r="D13163" s="255">
        <v>48149</v>
      </c>
      <c r="E13163" s="553">
        <v>192.63</v>
      </c>
      <c r="F13163" s="553">
        <v>2194.06</v>
      </c>
      <c r="G13163" s="553">
        <v>488.36</v>
      </c>
      <c r="H13163" s="553">
        <v>217.66</v>
      </c>
      <c r="I13163" s="553">
        <v>106.79</v>
      </c>
      <c r="J13163" s="647">
        <v>1526.75</v>
      </c>
    </row>
    <row r="13164" spans="2:10">
      <c r="B13164" s="1230" t="s">
        <v>482</v>
      </c>
      <c r="C13164" s="132" t="s">
        <v>3276</v>
      </c>
      <c r="D13164" s="255">
        <v>48151</v>
      </c>
      <c r="E13164" s="553">
        <v>130.4</v>
      </c>
      <c r="F13164" s="553">
        <v>1134.42</v>
      </c>
      <c r="G13164" s="553">
        <v>398.9</v>
      </c>
      <c r="H13164" s="553">
        <v>115.29</v>
      </c>
      <c r="I13164" s="553">
        <v>349.4</v>
      </c>
      <c r="J13164" s="647">
        <v>636.21</v>
      </c>
    </row>
    <row r="13165" spans="2:10">
      <c r="B13165" s="1230" t="s">
        <v>482</v>
      </c>
      <c r="C13165" s="132" t="s">
        <v>2095</v>
      </c>
      <c r="D13165" s="255">
        <v>48153</v>
      </c>
      <c r="E13165" s="553">
        <v>115.67</v>
      </c>
      <c r="F13165" s="553">
        <v>1058.32</v>
      </c>
      <c r="G13165" s="553">
        <v>393.2</v>
      </c>
      <c r="H13165" s="553">
        <v>106.98</v>
      </c>
      <c r="I13165" s="553">
        <v>336.01</v>
      </c>
      <c r="J13165" s="647">
        <v>592.78</v>
      </c>
    </row>
    <row r="13166" spans="2:10">
      <c r="B13166" s="1230" t="s">
        <v>482</v>
      </c>
      <c r="C13166" s="132" t="s">
        <v>3277</v>
      </c>
      <c r="D13166" s="255">
        <v>48155</v>
      </c>
      <c r="E13166" s="553">
        <v>103.85</v>
      </c>
      <c r="F13166" s="553">
        <v>1148.1500000000001</v>
      </c>
      <c r="G13166" s="553">
        <v>452.49</v>
      </c>
      <c r="H13166" s="553">
        <v>114.1</v>
      </c>
      <c r="I13166" s="553">
        <v>385.77</v>
      </c>
      <c r="J13166" s="647">
        <v>647.41999999999996</v>
      </c>
    </row>
    <row r="13167" spans="2:10">
      <c r="B13167" s="1230" t="s">
        <v>482</v>
      </c>
      <c r="C13167" s="132" t="s">
        <v>3278</v>
      </c>
      <c r="D13167" s="255">
        <v>48157</v>
      </c>
      <c r="E13167" s="553">
        <v>2014.8</v>
      </c>
      <c r="F13167" s="553">
        <v>20313.3</v>
      </c>
      <c r="G13167" s="553">
        <v>2554.77</v>
      </c>
      <c r="H13167" s="553">
        <v>2035.92</v>
      </c>
      <c r="I13167" s="553">
        <v>396.5</v>
      </c>
      <c r="J13167" s="647">
        <v>7981.86</v>
      </c>
    </row>
    <row r="13168" spans="2:10">
      <c r="B13168" s="1230" t="s">
        <v>482</v>
      </c>
      <c r="C13168" s="132" t="s">
        <v>1748</v>
      </c>
      <c r="D13168" s="255">
        <v>48159</v>
      </c>
      <c r="E13168" s="553">
        <v>201.28</v>
      </c>
      <c r="F13168" s="553">
        <v>2512.4299999999998</v>
      </c>
      <c r="G13168" s="553">
        <v>698.88</v>
      </c>
      <c r="H13168" s="553">
        <v>247.32</v>
      </c>
      <c r="I13168" s="553">
        <v>401.53</v>
      </c>
      <c r="J13168" s="647">
        <v>878.08</v>
      </c>
    </row>
    <row r="13169" spans="2:10">
      <c r="B13169" s="1230" t="s">
        <v>482</v>
      </c>
      <c r="C13169" s="132" t="s">
        <v>3279</v>
      </c>
      <c r="D13169" s="255">
        <v>48161</v>
      </c>
      <c r="E13169" s="553">
        <v>229.58</v>
      </c>
      <c r="F13169" s="553">
        <v>2911.13</v>
      </c>
      <c r="G13169" s="553">
        <v>786.8</v>
      </c>
      <c r="H13169" s="553">
        <v>286.25</v>
      </c>
      <c r="I13169" s="553">
        <v>363.72</v>
      </c>
      <c r="J13169" s="647">
        <v>1065.56</v>
      </c>
    </row>
    <row r="13170" spans="2:10">
      <c r="B13170" s="1230" t="s">
        <v>482</v>
      </c>
      <c r="C13170" s="132" t="s">
        <v>3280</v>
      </c>
      <c r="D13170" s="255">
        <v>48163</v>
      </c>
      <c r="E13170" s="553">
        <v>89.77</v>
      </c>
      <c r="F13170" s="553">
        <v>911.52</v>
      </c>
      <c r="G13170" s="553">
        <v>299.20999999999998</v>
      </c>
      <c r="H13170" s="553">
        <v>91.35</v>
      </c>
      <c r="I13170" s="553">
        <v>257.20999999999998</v>
      </c>
      <c r="J13170" s="647">
        <v>1169.3399999999999</v>
      </c>
    </row>
    <row r="13171" spans="2:10">
      <c r="B13171" s="1230" t="s">
        <v>482</v>
      </c>
      <c r="C13171" s="132" t="s">
        <v>3281</v>
      </c>
      <c r="D13171" s="255">
        <v>48165</v>
      </c>
      <c r="E13171" s="553">
        <v>133.47999999999999</v>
      </c>
      <c r="F13171" s="553">
        <v>1074.0999999999999</v>
      </c>
      <c r="G13171" s="553">
        <v>356.77</v>
      </c>
      <c r="H13171" s="553">
        <v>110.05</v>
      </c>
      <c r="I13171" s="553">
        <v>410.98</v>
      </c>
      <c r="J13171" s="647">
        <v>611.87</v>
      </c>
    </row>
    <row r="13172" spans="2:10">
      <c r="B13172" s="1230" t="s">
        <v>482</v>
      </c>
      <c r="C13172" s="132" t="s">
        <v>3282</v>
      </c>
      <c r="D13172" s="255">
        <v>48167</v>
      </c>
      <c r="E13172" s="553">
        <v>510.68</v>
      </c>
      <c r="F13172" s="553">
        <v>5799</v>
      </c>
      <c r="G13172" s="553">
        <v>503.94</v>
      </c>
      <c r="H13172" s="553">
        <v>575.30999999999995</v>
      </c>
      <c r="I13172" s="553">
        <v>5894.77</v>
      </c>
      <c r="J13172" s="647">
        <v>2174.56</v>
      </c>
    </row>
    <row r="13173" spans="2:10">
      <c r="B13173" s="1230" t="s">
        <v>482</v>
      </c>
      <c r="C13173" s="132" t="s">
        <v>3283</v>
      </c>
      <c r="D13173" s="255">
        <v>48169</v>
      </c>
      <c r="E13173" s="553">
        <v>126.35</v>
      </c>
      <c r="F13173" s="553">
        <v>1056.8499999999999</v>
      </c>
      <c r="G13173" s="553">
        <v>367.13</v>
      </c>
      <c r="H13173" s="553">
        <v>107.85</v>
      </c>
      <c r="I13173" s="553">
        <v>358.37</v>
      </c>
      <c r="J13173" s="647">
        <v>610.55999999999995</v>
      </c>
    </row>
    <row r="13174" spans="2:10">
      <c r="B13174" s="1230" t="s">
        <v>482</v>
      </c>
      <c r="C13174" s="132" t="s">
        <v>3284</v>
      </c>
      <c r="D13174" s="255">
        <v>48171</v>
      </c>
      <c r="E13174" s="553">
        <v>154.86000000000001</v>
      </c>
      <c r="F13174" s="553">
        <v>2009.66</v>
      </c>
      <c r="G13174" s="553">
        <v>453.65</v>
      </c>
      <c r="H13174" s="553">
        <v>197.39</v>
      </c>
      <c r="I13174" s="553">
        <v>184.44</v>
      </c>
      <c r="J13174" s="647">
        <v>1596.6</v>
      </c>
    </row>
    <row r="13175" spans="2:10">
      <c r="B13175" s="1230" t="s">
        <v>482</v>
      </c>
      <c r="C13175" s="132" t="s">
        <v>3285</v>
      </c>
      <c r="D13175" s="255">
        <v>48173</v>
      </c>
      <c r="E13175" s="553">
        <v>178.56</v>
      </c>
      <c r="F13175" s="553">
        <v>1606.38</v>
      </c>
      <c r="G13175" s="553">
        <v>332.51</v>
      </c>
      <c r="H13175" s="553">
        <v>162.78</v>
      </c>
      <c r="I13175" s="553">
        <v>2063.48</v>
      </c>
      <c r="J13175" s="647">
        <v>642.98</v>
      </c>
    </row>
    <row r="13176" spans="2:10">
      <c r="B13176" s="1230" t="s">
        <v>482</v>
      </c>
      <c r="C13176" s="132" t="s">
        <v>3286</v>
      </c>
      <c r="D13176" s="255">
        <v>48175</v>
      </c>
      <c r="E13176" s="553">
        <v>151.59</v>
      </c>
      <c r="F13176" s="553">
        <v>1731.56</v>
      </c>
      <c r="G13176" s="553">
        <v>390.94</v>
      </c>
      <c r="H13176" s="553">
        <v>171.8</v>
      </c>
      <c r="I13176" s="553">
        <v>117.02</v>
      </c>
      <c r="J13176" s="647">
        <v>1276.74</v>
      </c>
    </row>
    <row r="13177" spans="2:10">
      <c r="B13177" s="1230" t="s">
        <v>482</v>
      </c>
      <c r="C13177" s="132" t="s">
        <v>3287</v>
      </c>
      <c r="D13177" s="255">
        <v>48177</v>
      </c>
      <c r="E13177" s="553">
        <v>214.29</v>
      </c>
      <c r="F13177" s="553">
        <v>2466.7800000000002</v>
      </c>
      <c r="G13177" s="553">
        <v>473.78</v>
      </c>
      <c r="H13177" s="553">
        <v>244.5</v>
      </c>
      <c r="I13177" s="553">
        <v>116.66</v>
      </c>
      <c r="J13177" s="647">
        <v>1521.06</v>
      </c>
    </row>
    <row r="13178" spans="2:10">
      <c r="B13178" s="1230" t="s">
        <v>482</v>
      </c>
      <c r="C13178" s="132" t="s">
        <v>2353</v>
      </c>
      <c r="D13178" s="255">
        <v>48179</v>
      </c>
      <c r="E13178" s="553">
        <v>109.37</v>
      </c>
      <c r="F13178" s="553">
        <v>972.13</v>
      </c>
      <c r="G13178" s="553">
        <v>404.55</v>
      </c>
      <c r="H13178" s="553">
        <v>98.61</v>
      </c>
      <c r="I13178" s="553">
        <v>338.26</v>
      </c>
      <c r="J13178" s="647">
        <v>573.45000000000005</v>
      </c>
    </row>
    <row r="13179" spans="2:10">
      <c r="B13179" s="1230" t="s">
        <v>482</v>
      </c>
      <c r="C13179" s="132" t="s">
        <v>2424</v>
      </c>
      <c r="D13179" s="255">
        <v>48181</v>
      </c>
      <c r="E13179" s="553">
        <v>254.17</v>
      </c>
      <c r="F13179" s="553">
        <v>3095.8</v>
      </c>
      <c r="G13179" s="553">
        <v>856.69</v>
      </c>
      <c r="H13179" s="553">
        <v>305.38</v>
      </c>
      <c r="I13179" s="553">
        <v>415.25</v>
      </c>
      <c r="J13179" s="647">
        <v>851.38</v>
      </c>
    </row>
    <row r="13180" spans="2:10">
      <c r="B13180" s="1230" t="s">
        <v>482</v>
      </c>
      <c r="C13180" s="132" t="s">
        <v>3288</v>
      </c>
      <c r="D13180" s="255">
        <v>48183</v>
      </c>
      <c r="E13180" s="553">
        <v>371.78</v>
      </c>
      <c r="F13180" s="553">
        <v>4756.99</v>
      </c>
      <c r="G13180" s="553">
        <v>1116.6099999999999</v>
      </c>
      <c r="H13180" s="553">
        <v>467.15</v>
      </c>
      <c r="I13180" s="553">
        <v>441.17</v>
      </c>
      <c r="J13180" s="647">
        <v>1087.1199999999999</v>
      </c>
    </row>
    <row r="13181" spans="2:10">
      <c r="B13181" s="1230" t="s">
        <v>482</v>
      </c>
      <c r="C13181" s="132" t="s">
        <v>3289</v>
      </c>
      <c r="D13181" s="255">
        <v>48185</v>
      </c>
      <c r="E13181" s="553">
        <v>255.54</v>
      </c>
      <c r="F13181" s="553">
        <v>2934.26</v>
      </c>
      <c r="G13181" s="553">
        <v>717.55</v>
      </c>
      <c r="H13181" s="553">
        <v>290.82</v>
      </c>
      <c r="I13181" s="553">
        <v>598.27</v>
      </c>
      <c r="J13181" s="647">
        <v>996.96</v>
      </c>
    </row>
    <row r="13182" spans="2:10">
      <c r="B13182" s="1230" t="s">
        <v>482</v>
      </c>
      <c r="C13182" s="132" t="s">
        <v>2869</v>
      </c>
      <c r="D13182" s="255">
        <v>48187</v>
      </c>
      <c r="E13182" s="553">
        <v>246.05</v>
      </c>
      <c r="F13182" s="553">
        <v>2863.19</v>
      </c>
      <c r="G13182" s="553">
        <v>443.25</v>
      </c>
      <c r="H13182" s="553">
        <v>283.57</v>
      </c>
      <c r="I13182" s="553">
        <v>128.57</v>
      </c>
      <c r="J13182" s="647">
        <v>1421.95</v>
      </c>
    </row>
    <row r="13183" spans="2:10">
      <c r="B13183" s="1230" t="s">
        <v>482</v>
      </c>
      <c r="C13183" s="132" t="s">
        <v>1751</v>
      </c>
      <c r="D13183" s="255">
        <v>48189</v>
      </c>
      <c r="E13183" s="553">
        <v>123.91</v>
      </c>
      <c r="F13183" s="553">
        <v>1161.3599999999999</v>
      </c>
      <c r="G13183" s="553">
        <v>388.13</v>
      </c>
      <c r="H13183" s="553">
        <v>117.21</v>
      </c>
      <c r="I13183" s="553">
        <v>321.5</v>
      </c>
      <c r="J13183" s="647">
        <v>583.97</v>
      </c>
    </row>
    <row r="13184" spans="2:10">
      <c r="B13184" s="1230" t="s">
        <v>482</v>
      </c>
      <c r="C13184" s="132" t="s">
        <v>2104</v>
      </c>
      <c r="D13184" s="255">
        <v>48191</v>
      </c>
      <c r="E13184" s="553">
        <v>102.22</v>
      </c>
      <c r="F13184" s="553">
        <v>935.41</v>
      </c>
      <c r="G13184" s="553">
        <v>395.28</v>
      </c>
      <c r="H13184" s="553">
        <v>94.61</v>
      </c>
      <c r="I13184" s="553">
        <v>347.41</v>
      </c>
      <c r="J13184" s="647">
        <v>589.16</v>
      </c>
    </row>
    <row r="13185" spans="2:10">
      <c r="B13185" s="1230" t="s">
        <v>482</v>
      </c>
      <c r="C13185" s="132" t="s">
        <v>2023</v>
      </c>
      <c r="D13185" s="255">
        <v>48193</v>
      </c>
      <c r="E13185" s="553">
        <v>160.47</v>
      </c>
      <c r="F13185" s="553">
        <v>1862.54</v>
      </c>
      <c r="G13185" s="553">
        <v>604.16</v>
      </c>
      <c r="H13185" s="553">
        <v>184.52</v>
      </c>
      <c r="I13185" s="553">
        <v>253.44</v>
      </c>
      <c r="J13185" s="647">
        <v>824.09</v>
      </c>
    </row>
    <row r="13186" spans="2:10">
      <c r="B13186" s="1230" t="s">
        <v>482</v>
      </c>
      <c r="C13186" s="132" t="s">
        <v>3290</v>
      </c>
      <c r="D13186" s="255">
        <v>48195</v>
      </c>
      <c r="E13186" s="553">
        <v>116.93</v>
      </c>
      <c r="F13186" s="553">
        <v>955.2</v>
      </c>
      <c r="G13186" s="553">
        <v>397.91</v>
      </c>
      <c r="H13186" s="553">
        <v>97.81</v>
      </c>
      <c r="I13186" s="553">
        <v>320.45999999999998</v>
      </c>
      <c r="J13186" s="647">
        <v>543.1</v>
      </c>
    </row>
    <row r="13187" spans="2:10">
      <c r="B13187" s="1230" t="s">
        <v>482</v>
      </c>
      <c r="C13187" s="132" t="s">
        <v>3210</v>
      </c>
      <c r="D13187" s="255">
        <v>48197</v>
      </c>
      <c r="E13187" s="553">
        <v>109.52</v>
      </c>
      <c r="F13187" s="553">
        <v>1253.28</v>
      </c>
      <c r="G13187" s="553">
        <v>474.07</v>
      </c>
      <c r="H13187" s="553">
        <v>124.29</v>
      </c>
      <c r="I13187" s="553">
        <v>383.31</v>
      </c>
      <c r="J13187" s="647">
        <v>655.24</v>
      </c>
    </row>
    <row r="13188" spans="2:10">
      <c r="B13188" s="1230" t="s">
        <v>482</v>
      </c>
      <c r="C13188" s="132" t="s">
        <v>2215</v>
      </c>
      <c r="D13188" s="255">
        <v>48199</v>
      </c>
      <c r="E13188" s="553">
        <v>185.45</v>
      </c>
      <c r="F13188" s="553">
        <v>2213.31</v>
      </c>
      <c r="G13188" s="553">
        <v>450.49</v>
      </c>
      <c r="H13188" s="553">
        <v>218.62</v>
      </c>
      <c r="I13188" s="553">
        <v>1124.6600000000001</v>
      </c>
      <c r="J13188" s="647">
        <v>1472.06</v>
      </c>
    </row>
    <row r="13189" spans="2:10">
      <c r="B13189" s="1230" t="s">
        <v>482</v>
      </c>
      <c r="C13189" s="132" t="s">
        <v>2107</v>
      </c>
      <c r="D13189" s="255">
        <v>48201</v>
      </c>
      <c r="E13189" s="553">
        <v>1056.75</v>
      </c>
      <c r="F13189" s="553">
        <v>10694.75</v>
      </c>
      <c r="G13189" s="553">
        <v>1342.68</v>
      </c>
      <c r="H13189" s="553">
        <v>1071.43</v>
      </c>
      <c r="I13189" s="553">
        <v>2435.75</v>
      </c>
      <c r="J13189" s="647">
        <v>4822.8500000000004</v>
      </c>
    </row>
    <row r="13190" spans="2:10">
      <c r="B13190" s="1230" t="s">
        <v>482</v>
      </c>
      <c r="C13190" s="132" t="s">
        <v>2261</v>
      </c>
      <c r="D13190" s="255">
        <v>48203</v>
      </c>
      <c r="E13190" s="553">
        <v>225.98</v>
      </c>
      <c r="F13190" s="553">
        <v>2899.75</v>
      </c>
      <c r="G13190" s="553">
        <v>847.36</v>
      </c>
      <c r="H13190" s="553">
        <v>284.74</v>
      </c>
      <c r="I13190" s="553">
        <v>482.76</v>
      </c>
      <c r="J13190" s="647">
        <v>986.58</v>
      </c>
    </row>
    <row r="13191" spans="2:10">
      <c r="B13191" s="1230" t="s">
        <v>482</v>
      </c>
      <c r="C13191" s="132" t="s">
        <v>3291</v>
      </c>
      <c r="D13191" s="255">
        <v>48205</v>
      </c>
      <c r="E13191" s="553">
        <v>95.78</v>
      </c>
      <c r="F13191" s="553">
        <v>793.41</v>
      </c>
      <c r="G13191" s="553">
        <v>343.08</v>
      </c>
      <c r="H13191" s="553">
        <v>81.040000000000006</v>
      </c>
      <c r="I13191" s="553">
        <v>318.37</v>
      </c>
      <c r="J13191" s="647">
        <v>526.98</v>
      </c>
    </row>
    <row r="13192" spans="2:10">
      <c r="B13192" s="1230" t="s">
        <v>482</v>
      </c>
      <c r="C13192" s="132" t="s">
        <v>2358</v>
      </c>
      <c r="D13192" s="255">
        <v>48207</v>
      </c>
      <c r="E13192" s="553">
        <v>94.03</v>
      </c>
      <c r="F13192" s="553">
        <v>1005.56</v>
      </c>
      <c r="G13192" s="553">
        <v>444.6</v>
      </c>
      <c r="H13192" s="553">
        <v>100.26</v>
      </c>
      <c r="I13192" s="553">
        <v>217.25</v>
      </c>
      <c r="J13192" s="647">
        <v>606.36</v>
      </c>
    </row>
    <row r="13193" spans="2:10">
      <c r="B13193" s="1230" t="s">
        <v>482</v>
      </c>
      <c r="C13193" s="132" t="s">
        <v>3292</v>
      </c>
      <c r="D13193" s="255">
        <v>48209</v>
      </c>
      <c r="E13193" s="553">
        <v>581.52</v>
      </c>
      <c r="F13193" s="553">
        <v>6214.56</v>
      </c>
      <c r="G13193" s="553">
        <v>1029.9100000000001</v>
      </c>
      <c r="H13193" s="553">
        <v>619.9</v>
      </c>
      <c r="I13193" s="553">
        <v>256.27999999999997</v>
      </c>
      <c r="J13193" s="647">
        <v>1308.74</v>
      </c>
    </row>
    <row r="13194" spans="2:10">
      <c r="B13194" s="1230" t="s">
        <v>482</v>
      </c>
      <c r="C13194" s="132" t="s">
        <v>3293</v>
      </c>
      <c r="D13194" s="255">
        <v>48211</v>
      </c>
      <c r="E13194" s="553">
        <v>87.89</v>
      </c>
      <c r="F13194" s="553">
        <v>881.49</v>
      </c>
      <c r="G13194" s="553">
        <v>401.78</v>
      </c>
      <c r="H13194" s="553">
        <v>88.46</v>
      </c>
      <c r="I13194" s="553">
        <v>352.83</v>
      </c>
      <c r="J13194" s="647">
        <v>569.24</v>
      </c>
    </row>
    <row r="13195" spans="2:10">
      <c r="B13195" s="1230" t="s">
        <v>482</v>
      </c>
      <c r="C13195" s="132" t="s">
        <v>2216</v>
      </c>
      <c r="D13195" s="255">
        <v>48213</v>
      </c>
      <c r="E13195" s="553">
        <v>216.89</v>
      </c>
      <c r="F13195" s="553">
        <v>2809.28</v>
      </c>
      <c r="G13195" s="553">
        <v>807.48</v>
      </c>
      <c r="H13195" s="553">
        <v>275.81</v>
      </c>
      <c r="I13195" s="553">
        <v>352.55</v>
      </c>
      <c r="J13195" s="647">
        <v>1034.25</v>
      </c>
    </row>
    <row r="13196" spans="2:10">
      <c r="B13196" s="1230" t="s">
        <v>482</v>
      </c>
      <c r="C13196" s="132" t="s">
        <v>2871</v>
      </c>
      <c r="D13196" s="255">
        <v>48215</v>
      </c>
      <c r="E13196" s="553">
        <v>227.24</v>
      </c>
      <c r="F13196" s="553">
        <v>2950.36</v>
      </c>
      <c r="G13196" s="553">
        <v>616.49</v>
      </c>
      <c r="H13196" s="553">
        <v>289.99</v>
      </c>
      <c r="I13196" s="553">
        <v>171.63</v>
      </c>
      <c r="J13196" s="647">
        <v>761.07</v>
      </c>
    </row>
    <row r="13197" spans="2:10">
      <c r="B13197" s="1230" t="s">
        <v>482</v>
      </c>
      <c r="C13197" s="132" t="s">
        <v>2770</v>
      </c>
      <c r="D13197" s="255">
        <v>48217</v>
      </c>
      <c r="E13197" s="553">
        <v>405.86</v>
      </c>
      <c r="F13197" s="553">
        <v>4906.1899999999996</v>
      </c>
      <c r="G13197" s="553">
        <v>985.3</v>
      </c>
      <c r="H13197" s="553">
        <v>484.54</v>
      </c>
      <c r="I13197" s="553">
        <v>294.20999999999998</v>
      </c>
      <c r="J13197" s="647">
        <v>1205.6099999999999</v>
      </c>
    </row>
    <row r="13198" spans="2:10">
      <c r="B13198" s="1230" t="s">
        <v>482</v>
      </c>
      <c r="C13198" s="132" t="s">
        <v>3294</v>
      </c>
      <c r="D13198" s="255">
        <v>48219</v>
      </c>
      <c r="E13198" s="553">
        <v>133.56</v>
      </c>
      <c r="F13198" s="553">
        <v>1122.74</v>
      </c>
      <c r="G13198" s="553">
        <v>362.7</v>
      </c>
      <c r="H13198" s="553">
        <v>114.64</v>
      </c>
      <c r="I13198" s="553">
        <v>315.27</v>
      </c>
      <c r="J13198" s="647">
        <v>600.79</v>
      </c>
    </row>
    <row r="13199" spans="2:10">
      <c r="B13199" s="1230" t="s">
        <v>482</v>
      </c>
      <c r="C13199" s="132" t="s">
        <v>3295</v>
      </c>
      <c r="D13199" s="255">
        <v>48221</v>
      </c>
      <c r="E13199" s="553">
        <v>231.3</v>
      </c>
      <c r="F13199" s="553">
        <v>2718.84</v>
      </c>
      <c r="G13199" s="553">
        <v>693.15</v>
      </c>
      <c r="H13199" s="553">
        <v>269.02999999999997</v>
      </c>
      <c r="I13199" s="553">
        <v>261.68</v>
      </c>
      <c r="J13199" s="647">
        <v>878.5</v>
      </c>
    </row>
    <row r="13200" spans="2:10">
      <c r="B13200" s="1230" t="s">
        <v>482</v>
      </c>
      <c r="C13200" s="132" t="s">
        <v>2429</v>
      </c>
      <c r="D13200" s="255">
        <v>48223</v>
      </c>
      <c r="E13200" s="553">
        <v>178.94</v>
      </c>
      <c r="F13200" s="553">
        <v>2206.65</v>
      </c>
      <c r="G13200" s="553">
        <v>729.69</v>
      </c>
      <c r="H13200" s="553">
        <v>217.36</v>
      </c>
      <c r="I13200" s="553">
        <v>373.06</v>
      </c>
      <c r="J13200" s="647">
        <v>862.26</v>
      </c>
    </row>
    <row r="13201" spans="2:10">
      <c r="B13201" s="1230" t="s">
        <v>482</v>
      </c>
      <c r="C13201" s="132" t="s">
        <v>1753</v>
      </c>
      <c r="D13201" s="255">
        <v>48225</v>
      </c>
      <c r="E13201" s="553">
        <v>162.77000000000001</v>
      </c>
      <c r="F13201" s="553">
        <v>2049.66</v>
      </c>
      <c r="G13201" s="553">
        <v>623.57000000000005</v>
      </c>
      <c r="H13201" s="553">
        <v>201.6</v>
      </c>
      <c r="I13201" s="553">
        <v>572.75</v>
      </c>
      <c r="J13201" s="647">
        <v>883.14</v>
      </c>
    </row>
    <row r="13202" spans="2:10">
      <c r="B13202" s="1230" t="s">
        <v>482</v>
      </c>
      <c r="C13202" s="132" t="s">
        <v>1853</v>
      </c>
      <c r="D13202" s="255">
        <v>48227</v>
      </c>
      <c r="E13202" s="553">
        <v>145</v>
      </c>
      <c r="F13202" s="553">
        <v>1203.71</v>
      </c>
      <c r="G13202" s="553">
        <v>345.24</v>
      </c>
      <c r="H13202" s="553">
        <v>123.01</v>
      </c>
      <c r="I13202" s="553">
        <v>1316.87</v>
      </c>
      <c r="J13202" s="647">
        <v>617.14</v>
      </c>
    </row>
    <row r="13203" spans="2:10">
      <c r="B13203" s="1230" t="s">
        <v>482</v>
      </c>
      <c r="C13203" s="132" t="s">
        <v>3296</v>
      </c>
      <c r="D13203" s="255">
        <v>48229</v>
      </c>
      <c r="E13203" s="553">
        <v>139.15</v>
      </c>
      <c r="F13203" s="553">
        <v>1580.01</v>
      </c>
      <c r="G13203" s="553">
        <v>461.14</v>
      </c>
      <c r="H13203" s="553">
        <v>156.83000000000001</v>
      </c>
      <c r="I13203" s="553">
        <v>403.82</v>
      </c>
      <c r="J13203" s="647">
        <v>1055.8</v>
      </c>
    </row>
    <row r="13204" spans="2:10">
      <c r="B13204" s="1230" t="s">
        <v>482</v>
      </c>
      <c r="C13204" s="132" t="s">
        <v>3297</v>
      </c>
      <c r="D13204" s="255">
        <v>48231</v>
      </c>
      <c r="E13204" s="553">
        <v>515.38</v>
      </c>
      <c r="F13204" s="553">
        <v>5492.62</v>
      </c>
      <c r="G13204" s="553">
        <v>1206.83</v>
      </c>
      <c r="H13204" s="553">
        <v>547.54</v>
      </c>
      <c r="I13204" s="553">
        <v>358.07</v>
      </c>
      <c r="J13204" s="647">
        <v>1321.52</v>
      </c>
    </row>
    <row r="13205" spans="2:10">
      <c r="B13205" s="1230" t="s">
        <v>482</v>
      </c>
      <c r="C13205" s="132" t="s">
        <v>3181</v>
      </c>
      <c r="D13205" s="255">
        <v>48233</v>
      </c>
      <c r="E13205" s="553">
        <v>94.48</v>
      </c>
      <c r="F13205" s="553">
        <v>916.03</v>
      </c>
      <c r="G13205" s="553">
        <v>384.96</v>
      </c>
      <c r="H13205" s="553">
        <v>92.16</v>
      </c>
      <c r="I13205" s="553">
        <v>322.57</v>
      </c>
      <c r="J13205" s="647">
        <v>546</v>
      </c>
    </row>
    <row r="13206" spans="2:10">
      <c r="B13206" s="1230" t="s">
        <v>482</v>
      </c>
      <c r="C13206" s="132" t="s">
        <v>3298</v>
      </c>
      <c r="D13206" s="255">
        <v>48235</v>
      </c>
      <c r="E13206" s="553">
        <v>155.34</v>
      </c>
      <c r="F13206" s="553">
        <v>1465.35</v>
      </c>
      <c r="G13206" s="553">
        <v>407.85</v>
      </c>
      <c r="H13206" s="553">
        <v>147.83000000000001</v>
      </c>
      <c r="I13206" s="553">
        <v>477.95</v>
      </c>
      <c r="J13206" s="647">
        <v>666.87</v>
      </c>
    </row>
    <row r="13207" spans="2:10">
      <c r="B13207" s="1230" t="s">
        <v>482</v>
      </c>
      <c r="C13207" s="132" t="s">
        <v>3299</v>
      </c>
      <c r="D13207" s="255">
        <v>48237</v>
      </c>
      <c r="E13207" s="553">
        <v>164.33</v>
      </c>
      <c r="F13207" s="553">
        <v>1922.68</v>
      </c>
      <c r="G13207" s="553">
        <v>654.64</v>
      </c>
      <c r="H13207" s="553">
        <v>190.28</v>
      </c>
      <c r="I13207" s="553">
        <v>245.96</v>
      </c>
      <c r="J13207" s="647">
        <v>816.8</v>
      </c>
    </row>
    <row r="13208" spans="2:10">
      <c r="B13208" s="1230" t="s">
        <v>482</v>
      </c>
      <c r="C13208" s="132" t="s">
        <v>1754</v>
      </c>
      <c r="D13208" s="255">
        <v>48239</v>
      </c>
      <c r="E13208" s="553">
        <v>154.79</v>
      </c>
      <c r="F13208" s="553">
        <v>1828.93</v>
      </c>
      <c r="G13208" s="553">
        <v>430.53</v>
      </c>
      <c r="H13208" s="553">
        <v>180.91</v>
      </c>
      <c r="I13208" s="553">
        <v>102.67</v>
      </c>
      <c r="J13208" s="647">
        <v>1350.6</v>
      </c>
    </row>
    <row r="13209" spans="2:10">
      <c r="B13209" s="1230" t="s">
        <v>482</v>
      </c>
      <c r="C13209" s="132" t="s">
        <v>2111</v>
      </c>
      <c r="D13209" s="255">
        <v>48241</v>
      </c>
      <c r="E13209" s="553">
        <v>130.63</v>
      </c>
      <c r="F13209" s="553">
        <v>1699.8</v>
      </c>
      <c r="G13209" s="553">
        <v>342.81</v>
      </c>
      <c r="H13209" s="553">
        <v>166.68</v>
      </c>
      <c r="I13209" s="553">
        <v>1986.96</v>
      </c>
      <c r="J13209" s="647">
        <v>1211</v>
      </c>
    </row>
    <row r="13210" spans="2:10">
      <c r="B13210" s="1230" t="s">
        <v>482</v>
      </c>
      <c r="C13210" s="132" t="s">
        <v>2112</v>
      </c>
      <c r="D13210" s="255">
        <v>48243</v>
      </c>
      <c r="E13210" s="553">
        <v>75.760000000000005</v>
      </c>
      <c r="F13210" s="553">
        <v>636.61</v>
      </c>
      <c r="G13210" s="553">
        <v>260.73</v>
      </c>
      <c r="H13210" s="553">
        <v>64.98</v>
      </c>
      <c r="I13210" s="553">
        <v>376.63</v>
      </c>
      <c r="J13210" s="647">
        <v>523.15</v>
      </c>
    </row>
    <row r="13211" spans="2:10">
      <c r="B13211" s="1230" t="s">
        <v>482</v>
      </c>
      <c r="C13211" s="132" t="s">
        <v>1755</v>
      </c>
      <c r="D13211" s="255">
        <v>48245</v>
      </c>
      <c r="E13211" s="553">
        <v>274.3</v>
      </c>
      <c r="F13211" s="553">
        <v>3470.5</v>
      </c>
      <c r="G13211" s="553">
        <v>400.81</v>
      </c>
      <c r="H13211" s="553">
        <v>341.43</v>
      </c>
      <c r="I13211" s="553">
        <v>5701.74</v>
      </c>
      <c r="J13211" s="647">
        <v>1764.87</v>
      </c>
    </row>
    <row r="13212" spans="2:10">
      <c r="B13212" s="1230" t="s">
        <v>482</v>
      </c>
      <c r="C13212" s="132" t="s">
        <v>3300</v>
      </c>
      <c r="D13212" s="255">
        <v>48247</v>
      </c>
      <c r="E13212" s="553">
        <v>77.400000000000006</v>
      </c>
      <c r="F13212" s="553">
        <v>815.24</v>
      </c>
      <c r="G13212" s="553">
        <v>196.45</v>
      </c>
      <c r="H13212" s="553">
        <v>81.41</v>
      </c>
      <c r="I13212" s="553">
        <v>469.26</v>
      </c>
      <c r="J13212" s="647">
        <v>790.8</v>
      </c>
    </row>
    <row r="13213" spans="2:10">
      <c r="B13213" s="1230" t="s">
        <v>482</v>
      </c>
      <c r="C13213" s="132" t="s">
        <v>3301</v>
      </c>
      <c r="D13213" s="255">
        <v>48249</v>
      </c>
      <c r="E13213" s="553">
        <v>113.11</v>
      </c>
      <c r="F13213" s="553">
        <v>1331.42</v>
      </c>
      <c r="G13213" s="553">
        <v>306.73</v>
      </c>
      <c r="H13213" s="553">
        <v>131.78</v>
      </c>
      <c r="I13213" s="553">
        <v>195.16</v>
      </c>
      <c r="J13213" s="647">
        <v>1061.26</v>
      </c>
    </row>
    <row r="13214" spans="2:10">
      <c r="B13214" s="1230" t="s">
        <v>482</v>
      </c>
      <c r="C13214" s="132" t="s">
        <v>1856</v>
      </c>
      <c r="D13214" s="255">
        <v>48251</v>
      </c>
      <c r="E13214" s="553">
        <v>398.27</v>
      </c>
      <c r="F13214" s="553">
        <v>4564.7</v>
      </c>
      <c r="G13214" s="553">
        <v>908.99</v>
      </c>
      <c r="H13214" s="553">
        <v>452.56</v>
      </c>
      <c r="I13214" s="553">
        <v>282.77999999999997</v>
      </c>
      <c r="J13214" s="647">
        <v>1112.3</v>
      </c>
    </row>
    <row r="13215" spans="2:10">
      <c r="B13215" s="1230" t="s">
        <v>482</v>
      </c>
      <c r="C13215" s="132" t="s">
        <v>2114</v>
      </c>
      <c r="D13215" s="255">
        <v>48253</v>
      </c>
      <c r="E13215" s="553">
        <v>140.6</v>
      </c>
      <c r="F13215" s="553">
        <v>1563.18</v>
      </c>
      <c r="G13215" s="553">
        <v>491.05</v>
      </c>
      <c r="H13215" s="553">
        <v>155.43</v>
      </c>
      <c r="I13215" s="553">
        <v>217.07</v>
      </c>
      <c r="J13215" s="647">
        <v>671.17</v>
      </c>
    </row>
    <row r="13216" spans="2:10">
      <c r="B13216" s="1230" t="s">
        <v>482</v>
      </c>
      <c r="C13216" s="132" t="s">
        <v>3302</v>
      </c>
      <c r="D13216" s="255">
        <v>48255</v>
      </c>
      <c r="E13216" s="553">
        <v>237.51</v>
      </c>
      <c r="F13216" s="553">
        <v>2827.89</v>
      </c>
      <c r="G13216" s="553">
        <v>479.54</v>
      </c>
      <c r="H13216" s="553">
        <v>279.72000000000003</v>
      </c>
      <c r="I13216" s="553">
        <v>128.15</v>
      </c>
      <c r="J13216" s="647">
        <v>1562.16</v>
      </c>
    </row>
    <row r="13217" spans="2:10">
      <c r="B13217" s="1230" t="s">
        <v>482</v>
      </c>
      <c r="C13217" s="132" t="s">
        <v>3303</v>
      </c>
      <c r="D13217" s="255">
        <v>48257</v>
      </c>
      <c r="E13217" s="553">
        <v>376.76</v>
      </c>
      <c r="F13217" s="553">
        <v>4269.0600000000004</v>
      </c>
      <c r="G13217" s="553">
        <v>1020.49</v>
      </c>
      <c r="H13217" s="553">
        <v>423.64</v>
      </c>
      <c r="I13217" s="553">
        <v>342.24</v>
      </c>
      <c r="J13217" s="647">
        <v>1201.8599999999999</v>
      </c>
    </row>
    <row r="13218" spans="2:10">
      <c r="B13218" s="1230" t="s">
        <v>482</v>
      </c>
      <c r="C13218" s="132" t="s">
        <v>2222</v>
      </c>
      <c r="D13218" s="255">
        <v>48259</v>
      </c>
      <c r="E13218" s="553">
        <v>260.66000000000003</v>
      </c>
      <c r="F13218" s="553">
        <v>3188.5</v>
      </c>
      <c r="G13218" s="553">
        <v>634.6</v>
      </c>
      <c r="H13218" s="553">
        <v>314.54000000000002</v>
      </c>
      <c r="I13218" s="553">
        <v>178.07</v>
      </c>
      <c r="J13218" s="647">
        <v>2138.5</v>
      </c>
    </row>
    <row r="13219" spans="2:10">
      <c r="B13219" s="1230" t="s">
        <v>482</v>
      </c>
      <c r="C13219" s="132" t="s">
        <v>3304</v>
      </c>
      <c r="D13219" s="255">
        <v>48261</v>
      </c>
      <c r="E13219" s="553">
        <v>108.73</v>
      </c>
      <c r="F13219" s="553">
        <v>1255.96</v>
      </c>
      <c r="G13219" s="553">
        <v>320.56</v>
      </c>
      <c r="H13219" s="553">
        <v>124.54</v>
      </c>
      <c r="I13219" s="553">
        <v>151.05000000000001</v>
      </c>
      <c r="J13219" s="647">
        <v>1133.54</v>
      </c>
    </row>
    <row r="13220" spans="2:10">
      <c r="B13220" s="1230" t="s">
        <v>482</v>
      </c>
      <c r="C13220" s="132" t="s">
        <v>2002</v>
      </c>
      <c r="D13220" s="255">
        <v>48263</v>
      </c>
      <c r="E13220" s="553">
        <v>108.91</v>
      </c>
      <c r="F13220" s="553">
        <v>924.18</v>
      </c>
      <c r="G13220" s="553">
        <v>368.75</v>
      </c>
      <c r="H13220" s="553">
        <v>94.21</v>
      </c>
      <c r="I13220" s="553">
        <v>333.76</v>
      </c>
      <c r="J13220" s="647">
        <v>606.64</v>
      </c>
    </row>
    <row r="13221" spans="2:10">
      <c r="B13221" s="1230" t="s">
        <v>482</v>
      </c>
      <c r="C13221" s="132" t="s">
        <v>3305</v>
      </c>
      <c r="D13221" s="255">
        <v>48265</v>
      </c>
      <c r="E13221" s="553">
        <v>133.66999999999999</v>
      </c>
      <c r="F13221" s="553">
        <v>1616.55</v>
      </c>
      <c r="G13221" s="553">
        <v>397.85</v>
      </c>
      <c r="H13221" s="553">
        <v>159.65</v>
      </c>
      <c r="I13221" s="553">
        <v>206.38</v>
      </c>
      <c r="J13221" s="647">
        <v>1453.65</v>
      </c>
    </row>
    <row r="13222" spans="2:10">
      <c r="B13222" s="1230" t="s">
        <v>482</v>
      </c>
      <c r="C13222" s="132" t="s">
        <v>3306</v>
      </c>
      <c r="D13222" s="255">
        <v>48267</v>
      </c>
      <c r="E13222" s="553">
        <v>96.22</v>
      </c>
      <c r="F13222" s="553">
        <v>836.73</v>
      </c>
      <c r="G13222" s="553">
        <v>277.08</v>
      </c>
      <c r="H13222" s="553">
        <v>85.14</v>
      </c>
      <c r="I13222" s="553">
        <v>216.44</v>
      </c>
      <c r="J13222" s="647">
        <v>1116.1099999999999</v>
      </c>
    </row>
    <row r="13223" spans="2:10">
      <c r="B13223" s="1230" t="s">
        <v>482</v>
      </c>
      <c r="C13223" s="132" t="s">
        <v>3307</v>
      </c>
      <c r="D13223" s="255">
        <v>48269</v>
      </c>
      <c r="E13223" s="553">
        <v>98.06</v>
      </c>
      <c r="F13223" s="553">
        <v>999</v>
      </c>
      <c r="G13223" s="553">
        <v>417.67</v>
      </c>
      <c r="H13223" s="553">
        <v>100.02</v>
      </c>
      <c r="I13223" s="553">
        <v>379.23</v>
      </c>
      <c r="J13223" s="647">
        <v>623.35</v>
      </c>
    </row>
    <row r="13224" spans="2:10">
      <c r="B13224" s="1230" t="s">
        <v>482</v>
      </c>
      <c r="C13224" s="132" t="s">
        <v>3308</v>
      </c>
      <c r="D13224" s="255">
        <v>48271</v>
      </c>
      <c r="E13224" s="553">
        <v>78.599999999999994</v>
      </c>
      <c r="F13224" s="553">
        <v>622.20000000000005</v>
      </c>
      <c r="G13224" s="553">
        <v>204.3</v>
      </c>
      <c r="H13224" s="553">
        <v>63.93</v>
      </c>
      <c r="I13224" s="553">
        <v>434.89</v>
      </c>
      <c r="J13224" s="647">
        <v>959.01</v>
      </c>
    </row>
    <row r="13225" spans="2:10">
      <c r="B13225" s="1230" t="s">
        <v>482</v>
      </c>
      <c r="C13225" s="132" t="s">
        <v>3309</v>
      </c>
      <c r="D13225" s="255">
        <v>48273</v>
      </c>
      <c r="E13225" s="553">
        <v>233.24</v>
      </c>
      <c r="F13225" s="553">
        <v>2979.17</v>
      </c>
      <c r="G13225" s="553">
        <v>480.34</v>
      </c>
      <c r="H13225" s="553">
        <v>293.24</v>
      </c>
      <c r="I13225" s="553">
        <v>146.34</v>
      </c>
      <c r="J13225" s="647">
        <v>1581.99</v>
      </c>
    </row>
    <row r="13226" spans="2:10">
      <c r="B13226" s="1230" t="s">
        <v>482</v>
      </c>
      <c r="C13226" s="132" t="s">
        <v>2223</v>
      </c>
      <c r="D13226" s="255">
        <v>48275</v>
      </c>
      <c r="E13226" s="553">
        <v>96.16</v>
      </c>
      <c r="F13226" s="553">
        <v>988.66</v>
      </c>
      <c r="G13226" s="553">
        <v>438.85</v>
      </c>
      <c r="H13226" s="553">
        <v>98.97</v>
      </c>
      <c r="I13226" s="553">
        <v>213.76</v>
      </c>
      <c r="J13226" s="647">
        <v>604.4</v>
      </c>
    </row>
    <row r="13227" spans="2:10">
      <c r="B13227" s="1230" t="s">
        <v>482</v>
      </c>
      <c r="C13227" s="132" t="s">
        <v>1756</v>
      </c>
      <c r="D13227" s="255">
        <v>48277</v>
      </c>
      <c r="E13227" s="553">
        <v>166.39</v>
      </c>
      <c r="F13227" s="553">
        <v>2130.4699999999998</v>
      </c>
      <c r="G13227" s="553">
        <v>771.41</v>
      </c>
      <c r="H13227" s="553">
        <v>209.31</v>
      </c>
      <c r="I13227" s="553">
        <v>372.9</v>
      </c>
      <c r="J13227" s="647">
        <v>897.94</v>
      </c>
    </row>
    <row r="13228" spans="2:10">
      <c r="B13228" s="1230" t="s">
        <v>482</v>
      </c>
      <c r="C13228" s="132" t="s">
        <v>3310</v>
      </c>
      <c r="D13228" s="255">
        <v>48279</v>
      </c>
      <c r="E13228" s="553">
        <v>133.35</v>
      </c>
      <c r="F13228" s="553">
        <v>1220.8499999999999</v>
      </c>
      <c r="G13228" s="553">
        <v>404.43</v>
      </c>
      <c r="H13228" s="553">
        <v>123.49</v>
      </c>
      <c r="I13228" s="553">
        <v>326.81</v>
      </c>
      <c r="J13228" s="647">
        <v>608.25</v>
      </c>
    </row>
    <row r="13229" spans="2:10">
      <c r="B13229" s="1230" t="s">
        <v>482</v>
      </c>
      <c r="C13229" s="132" t="s">
        <v>3311</v>
      </c>
      <c r="D13229" s="255">
        <v>48281</v>
      </c>
      <c r="E13229" s="553">
        <v>150.55000000000001</v>
      </c>
      <c r="F13229" s="553">
        <v>1758.58</v>
      </c>
      <c r="G13229" s="553">
        <v>578.84</v>
      </c>
      <c r="H13229" s="553">
        <v>174.03</v>
      </c>
      <c r="I13229" s="553">
        <v>248.69</v>
      </c>
      <c r="J13229" s="647">
        <v>808.18</v>
      </c>
    </row>
    <row r="13230" spans="2:10">
      <c r="B13230" s="1230" t="s">
        <v>482</v>
      </c>
      <c r="C13230" s="132" t="s">
        <v>3312</v>
      </c>
      <c r="D13230" s="255">
        <v>48283</v>
      </c>
      <c r="E13230" s="553">
        <v>65.16</v>
      </c>
      <c r="F13230" s="553">
        <v>620.85</v>
      </c>
      <c r="G13230" s="553">
        <v>155.24</v>
      </c>
      <c r="H13230" s="553">
        <v>62.58</v>
      </c>
      <c r="I13230" s="553">
        <v>350.07</v>
      </c>
      <c r="J13230" s="647">
        <v>666.08</v>
      </c>
    </row>
    <row r="13231" spans="2:10">
      <c r="B13231" s="1230" t="s">
        <v>482</v>
      </c>
      <c r="C13231" s="132" t="s">
        <v>3313</v>
      </c>
      <c r="D13231" s="255">
        <v>48285</v>
      </c>
      <c r="E13231" s="553">
        <v>153.52000000000001</v>
      </c>
      <c r="F13231" s="553">
        <v>1794.82</v>
      </c>
      <c r="G13231" s="553">
        <v>427.89</v>
      </c>
      <c r="H13231" s="553">
        <v>177.62</v>
      </c>
      <c r="I13231" s="553">
        <v>105.85</v>
      </c>
      <c r="J13231" s="647">
        <v>1345.56</v>
      </c>
    </row>
    <row r="13232" spans="2:10">
      <c r="B13232" s="1230" t="s">
        <v>482</v>
      </c>
      <c r="C13232" s="132" t="s">
        <v>1759</v>
      </c>
      <c r="D13232" s="255">
        <v>48287</v>
      </c>
      <c r="E13232" s="553">
        <v>181.13</v>
      </c>
      <c r="F13232" s="553">
        <v>2177.71</v>
      </c>
      <c r="G13232" s="553">
        <v>624.16</v>
      </c>
      <c r="H13232" s="553">
        <v>215.05</v>
      </c>
      <c r="I13232" s="553">
        <v>306.05</v>
      </c>
      <c r="J13232" s="647">
        <v>921.43</v>
      </c>
    </row>
    <row r="13233" spans="2:10">
      <c r="B13233" s="1230" t="s">
        <v>482</v>
      </c>
      <c r="C13233" s="132" t="s">
        <v>2031</v>
      </c>
      <c r="D13233" s="255">
        <v>48289</v>
      </c>
      <c r="E13233" s="553">
        <v>168.85</v>
      </c>
      <c r="F13233" s="553">
        <v>2088.23</v>
      </c>
      <c r="G13233" s="553">
        <v>648.62</v>
      </c>
      <c r="H13233" s="553">
        <v>205.73</v>
      </c>
      <c r="I13233" s="553">
        <v>425.15</v>
      </c>
      <c r="J13233" s="647">
        <v>918.88</v>
      </c>
    </row>
    <row r="13234" spans="2:10">
      <c r="B13234" s="1230" t="s">
        <v>482</v>
      </c>
      <c r="C13234" s="132" t="s">
        <v>2033</v>
      </c>
      <c r="D13234" s="255">
        <v>48291</v>
      </c>
      <c r="E13234" s="553">
        <v>285.01</v>
      </c>
      <c r="F13234" s="553">
        <v>3171.98</v>
      </c>
      <c r="G13234" s="553">
        <v>609.53</v>
      </c>
      <c r="H13234" s="553">
        <v>315.07</v>
      </c>
      <c r="I13234" s="553">
        <v>954.54</v>
      </c>
      <c r="J13234" s="647">
        <v>1960.44</v>
      </c>
    </row>
    <row r="13235" spans="2:10">
      <c r="B13235" s="1230" t="s">
        <v>482</v>
      </c>
      <c r="C13235" s="132" t="s">
        <v>1760</v>
      </c>
      <c r="D13235" s="255">
        <v>48293</v>
      </c>
      <c r="E13235" s="553">
        <v>184.04</v>
      </c>
      <c r="F13235" s="553">
        <v>2240.2399999999998</v>
      </c>
      <c r="G13235" s="553">
        <v>667.57</v>
      </c>
      <c r="H13235" s="553">
        <v>221.02</v>
      </c>
      <c r="I13235" s="553">
        <v>330.24</v>
      </c>
      <c r="J13235" s="647">
        <v>938.23</v>
      </c>
    </row>
    <row r="13236" spans="2:10">
      <c r="B13236" s="1230" t="s">
        <v>482</v>
      </c>
      <c r="C13236" s="132" t="s">
        <v>3314</v>
      </c>
      <c r="D13236" s="255">
        <v>48295</v>
      </c>
      <c r="E13236" s="553">
        <v>90</v>
      </c>
      <c r="F13236" s="553">
        <v>837.99</v>
      </c>
      <c r="G13236" s="553">
        <v>383.51</v>
      </c>
      <c r="H13236" s="553">
        <v>84.63</v>
      </c>
      <c r="I13236" s="553">
        <v>259.48</v>
      </c>
      <c r="J13236" s="647">
        <v>1252.69</v>
      </c>
    </row>
    <row r="13237" spans="2:10">
      <c r="B13237" s="1230" t="s">
        <v>482</v>
      </c>
      <c r="C13237" s="132" t="s">
        <v>3315</v>
      </c>
      <c r="D13237" s="255">
        <v>48297</v>
      </c>
      <c r="E13237" s="553">
        <v>131.15</v>
      </c>
      <c r="F13237" s="553">
        <v>1464.86</v>
      </c>
      <c r="G13237" s="553">
        <v>321.81</v>
      </c>
      <c r="H13237" s="553">
        <v>145.61000000000001</v>
      </c>
      <c r="I13237" s="553">
        <v>145.41999999999999</v>
      </c>
      <c r="J13237" s="647">
        <v>1099.6099999999999</v>
      </c>
    </row>
    <row r="13238" spans="2:10">
      <c r="B13238" s="1230" t="s">
        <v>482</v>
      </c>
      <c r="C13238" s="132" t="s">
        <v>3316</v>
      </c>
      <c r="D13238" s="255">
        <v>48299</v>
      </c>
      <c r="E13238" s="553">
        <v>141.13999999999999</v>
      </c>
      <c r="F13238" s="553">
        <v>1697.83</v>
      </c>
      <c r="G13238" s="553">
        <v>563.51</v>
      </c>
      <c r="H13238" s="553">
        <v>167.72</v>
      </c>
      <c r="I13238" s="553">
        <v>235.01</v>
      </c>
      <c r="J13238" s="647">
        <v>805.58</v>
      </c>
    </row>
    <row r="13239" spans="2:10">
      <c r="B13239" s="1230" t="s">
        <v>482</v>
      </c>
      <c r="C13239" s="132" t="s">
        <v>3317</v>
      </c>
      <c r="D13239" s="255">
        <v>48301</v>
      </c>
      <c r="E13239" s="553">
        <v>92.8</v>
      </c>
      <c r="F13239" s="553">
        <v>755.82</v>
      </c>
      <c r="G13239" s="553">
        <v>283.98</v>
      </c>
      <c r="H13239" s="553">
        <v>77.34</v>
      </c>
      <c r="I13239" s="553">
        <v>443.74</v>
      </c>
      <c r="J13239" s="647">
        <v>549.66999999999996</v>
      </c>
    </row>
    <row r="13240" spans="2:10">
      <c r="B13240" s="1230" t="s">
        <v>482</v>
      </c>
      <c r="C13240" s="132" t="s">
        <v>3318</v>
      </c>
      <c r="D13240" s="255">
        <v>48303</v>
      </c>
      <c r="E13240" s="553">
        <v>166.04</v>
      </c>
      <c r="F13240" s="553">
        <v>1747.05</v>
      </c>
      <c r="G13240" s="553">
        <v>443.8</v>
      </c>
      <c r="H13240" s="553">
        <v>174.56</v>
      </c>
      <c r="I13240" s="553">
        <v>337.49</v>
      </c>
      <c r="J13240" s="647">
        <v>656.39</v>
      </c>
    </row>
    <row r="13241" spans="2:10">
      <c r="B13241" s="1230" t="s">
        <v>482</v>
      </c>
      <c r="C13241" s="132" t="s">
        <v>3319</v>
      </c>
      <c r="D13241" s="255">
        <v>48305</v>
      </c>
      <c r="E13241" s="553">
        <v>224.18</v>
      </c>
      <c r="F13241" s="553">
        <v>2318.1999999999998</v>
      </c>
      <c r="G13241" s="553">
        <v>458.69</v>
      </c>
      <c r="H13241" s="553">
        <v>231.92</v>
      </c>
      <c r="I13241" s="553">
        <v>349.57</v>
      </c>
      <c r="J13241" s="647">
        <v>739.84</v>
      </c>
    </row>
    <row r="13242" spans="2:10">
      <c r="B13242" s="1230" t="s">
        <v>482</v>
      </c>
      <c r="C13242" s="132" t="s">
        <v>3320</v>
      </c>
      <c r="D13242" s="255">
        <v>48307</v>
      </c>
      <c r="E13242" s="553">
        <v>107.12</v>
      </c>
      <c r="F13242" s="553">
        <v>1198.5899999999999</v>
      </c>
      <c r="G13242" s="553">
        <v>469.04</v>
      </c>
      <c r="H13242" s="553">
        <v>119.11</v>
      </c>
      <c r="I13242" s="553">
        <v>221.65</v>
      </c>
      <c r="J13242" s="647">
        <v>689.09</v>
      </c>
    </row>
    <row r="13243" spans="2:10">
      <c r="B13243" s="1230" t="s">
        <v>482</v>
      </c>
      <c r="C13243" s="132" t="s">
        <v>3321</v>
      </c>
      <c r="D13243" s="255">
        <v>48309</v>
      </c>
      <c r="E13243" s="553">
        <v>258.10000000000002</v>
      </c>
      <c r="F13243" s="553">
        <v>3229.83</v>
      </c>
      <c r="G13243" s="553">
        <v>811.65</v>
      </c>
      <c r="H13243" s="553">
        <v>318.11</v>
      </c>
      <c r="I13243" s="553">
        <v>289.41000000000003</v>
      </c>
      <c r="J13243" s="647">
        <v>1043.45</v>
      </c>
    </row>
    <row r="13244" spans="2:10">
      <c r="B13244" s="1230" t="s">
        <v>482</v>
      </c>
      <c r="C13244" s="132" t="s">
        <v>3322</v>
      </c>
      <c r="D13244" s="255">
        <v>48311</v>
      </c>
      <c r="E13244" s="553">
        <v>101.69</v>
      </c>
      <c r="F13244" s="553">
        <v>1087.1300000000001</v>
      </c>
      <c r="G13244" s="553">
        <v>239.95</v>
      </c>
      <c r="H13244" s="553">
        <v>108.45</v>
      </c>
      <c r="I13244" s="553">
        <v>259.56</v>
      </c>
      <c r="J13244" s="647">
        <v>890.08</v>
      </c>
    </row>
    <row r="13245" spans="2:10">
      <c r="B13245" s="1230" t="s">
        <v>482</v>
      </c>
      <c r="C13245" s="132" t="s">
        <v>1763</v>
      </c>
      <c r="D13245" s="255">
        <v>48313</v>
      </c>
      <c r="E13245" s="553">
        <v>174.74</v>
      </c>
      <c r="F13245" s="553">
        <v>2071.75</v>
      </c>
      <c r="G13245" s="553">
        <v>624.85</v>
      </c>
      <c r="H13245" s="553">
        <v>204.76</v>
      </c>
      <c r="I13245" s="553">
        <v>502.54</v>
      </c>
      <c r="J13245" s="647">
        <v>881.96</v>
      </c>
    </row>
    <row r="13246" spans="2:10">
      <c r="B13246" s="1230" t="s">
        <v>482</v>
      </c>
      <c r="C13246" s="132" t="s">
        <v>1765</v>
      </c>
      <c r="D13246" s="255">
        <v>48315</v>
      </c>
      <c r="E13246" s="553">
        <v>203.72</v>
      </c>
      <c r="F13246" s="553">
        <v>2608.4899999999998</v>
      </c>
      <c r="G13246" s="553">
        <v>720.07</v>
      </c>
      <c r="H13246" s="553">
        <v>256.14999999999998</v>
      </c>
      <c r="I13246" s="553">
        <v>480.83</v>
      </c>
      <c r="J13246" s="647">
        <v>902</v>
      </c>
    </row>
    <row r="13247" spans="2:10">
      <c r="B13247" s="1230" t="s">
        <v>482</v>
      </c>
      <c r="C13247" s="132" t="s">
        <v>2035</v>
      </c>
      <c r="D13247" s="255">
        <v>48317</v>
      </c>
      <c r="E13247" s="553">
        <v>128.1</v>
      </c>
      <c r="F13247" s="553">
        <v>1085.1500000000001</v>
      </c>
      <c r="G13247" s="553">
        <v>343.98</v>
      </c>
      <c r="H13247" s="553">
        <v>110.59</v>
      </c>
      <c r="I13247" s="553">
        <v>606.22</v>
      </c>
      <c r="J13247" s="647">
        <v>604.72</v>
      </c>
    </row>
    <row r="13248" spans="2:10">
      <c r="B13248" s="1230" t="s">
        <v>482</v>
      </c>
      <c r="C13248" s="132" t="s">
        <v>2230</v>
      </c>
      <c r="D13248" s="255">
        <v>48319</v>
      </c>
      <c r="E13248" s="553">
        <v>110.89</v>
      </c>
      <c r="F13248" s="553">
        <v>1275.57</v>
      </c>
      <c r="G13248" s="553">
        <v>485.3</v>
      </c>
      <c r="H13248" s="553">
        <v>126.49</v>
      </c>
      <c r="I13248" s="553">
        <v>223.72</v>
      </c>
      <c r="J13248" s="647">
        <v>714.18</v>
      </c>
    </row>
    <row r="13249" spans="2:10">
      <c r="B13249" s="1230" t="s">
        <v>482</v>
      </c>
      <c r="C13249" s="132" t="s">
        <v>3323</v>
      </c>
      <c r="D13249" s="255">
        <v>48321</v>
      </c>
      <c r="E13249" s="553">
        <v>129.62</v>
      </c>
      <c r="F13249" s="553">
        <v>1461.17</v>
      </c>
      <c r="G13249" s="553">
        <v>396.36</v>
      </c>
      <c r="H13249" s="553">
        <v>145.13</v>
      </c>
      <c r="I13249" s="553">
        <v>119.02</v>
      </c>
      <c r="J13249" s="647">
        <v>1253.05</v>
      </c>
    </row>
    <row r="13250" spans="2:10">
      <c r="B13250" s="1230" t="s">
        <v>482</v>
      </c>
      <c r="C13250" s="132" t="s">
        <v>3324</v>
      </c>
      <c r="D13250" s="255">
        <v>48323</v>
      </c>
      <c r="E13250" s="553">
        <v>87.15</v>
      </c>
      <c r="F13250" s="553">
        <v>803.22</v>
      </c>
      <c r="G13250" s="553">
        <v>201.15</v>
      </c>
      <c r="H13250" s="553">
        <v>81.260000000000005</v>
      </c>
      <c r="I13250" s="553">
        <v>1624.81</v>
      </c>
      <c r="J13250" s="647">
        <v>981.71</v>
      </c>
    </row>
    <row r="13251" spans="2:10">
      <c r="B13251" s="1230" t="s">
        <v>482</v>
      </c>
      <c r="C13251" s="132" t="s">
        <v>3028</v>
      </c>
      <c r="D13251" s="255">
        <v>48325</v>
      </c>
      <c r="E13251" s="553">
        <v>124.79</v>
      </c>
      <c r="F13251" s="553">
        <v>1389.24</v>
      </c>
      <c r="G13251" s="553">
        <v>384.28</v>
      </c>
      <c r="H13251" s="553">
        <v>138.01</v>
      </c>
      <c r="I13251" s="553">
        <v>207.33</v>
      </c>
      <c r="J13251" s="647">
        <v>1414.34</v>
      </c>
    </row>
    <row r="13252" spans="2:10">
      <c r="B13252" s="1230" t="s">
        <v>482</v>
      </c>
      <c r="C13252" s="132" t="s">
        <v>2232</v>
      </c>
      <c r="D13252" s="255">
        <v>48327</v>
      </c>
      <c r="E13252" s="553">
        <v>100.23</v>
      </c>
      <c r="F13252" s="553">
        <v>830.8</v>
      </c>
      <c r="G13252" s="553">
        <v>266.47000000000003</v>
      </c>
      <c r="H13252" s="553">
        <v>84.97</v>
      </c>
      <c r="I13252" s="553">
        <v>219.4</v>
      </c>
      <c r="J13252" s="647">
        <v>1073.19</v>
      </c>
    </row>
    <row r="13253" spans="2:10">
      <c r="B13253" s="1230" t="s">
        <v>482</v>
      </c>
      <c r="C13253" s="132" t="s">
        <v>2599</v>
      </c>
      <c r="D13253" s="255">
        <v>48329</v>
      </c>
      <c r="E13253" s="553">
        <v>217.74</v>
      </c>
      <c r="F13253" s="553">
        <v>2173.21</v>
      </c>
      <c r="G13253" s="553">
        <v>334.39</v>
      </c>
      <c r="H13253" s="553">
        <v>218.15</v>
      </c>
      <c r="I13253" s="553">
        <v>3184.71</v>
      </c>
      <c r="J13253" s="647">
        <v>687.64</v>
      </c>
    </row>
    <row r="13254" spans="2:10">
      <c r="B13254" s="1230" t="s">
        <v>482</v>
      </c>
      <c r="C13254" s="132" t="s">
        <v>3325</v>
      </c>
      <c r="D13254" s="255">
        <v>48331</v>
      </c>
      <c r="E13254" s="553">
        <v>169.06</v>
      </c>
      <c r="F13254" s="553">
        <v>2050.64</v>
      </c>
      <c r="G13254" s="553">
        <v>637.51</v>
      </c>
      <c r="H13254" s="553">
        <v>202.35</v>
      </c>
      <c r="I13254" s="553">
        <v>305.57</v>
      </c>
      <c r="J13254" s="647">
        <v>924.45</v>
      </c>
    </row>
    <row r="13255" spans="2:10">
      <c r="B13255" s="1230" t="s">
        <v>482</v>
      </c>
      <c r="C13255" s="132" t="s">
        <v>2316</v>
      </c>
      <c r="D13255" s="255">
        <v>48333</v>
      </c>
      <c r="E13255" s="553">
        <v>142.85</v>
      </c>
      <c r="F13255" s="553">
        <v>1704.04</v>
      </c>
      <c r="G13255" s="553">
        <v>554.29999999999995</v>
      </c>
      <c r="H13255" s="553">
        <v>168.36</v>
      </c>
      <c r="I13255" s="553">
        <v>237.51</v>
      </c>
      <c r="J13255" s="647">
        <v>777.38</v>
      </c>
    </row>
    <row r="13256" spans="2:10">
      <c r="B13256" s="1230" t="s">
        <v>482</v>
      </c>
      <c r="C13256" s="132" t="s">
        <v>2122</v>
      </c>
      <c r="D13256" s="255">
        <v>48335</v>
      </c>
      <c r="E13256" s="553">
        <v>155.16999999999999</v>
      </c>
      <c r="F13256" s="553">
        <v>1369.09</v>
      </c>
      <c r="G13256" s="553">
        <v>376.96</v>
      </c>
      <c r="H13256" s="553">
        <v>139</v>
      </c>
      <c r="I13256" s="553">
        <v>1219.2</v>
      </c>
      <c r="J13256" s="647">
        <v>644.1</v>
      </c>
    </row>
    <row r="13257" spans="2:10">
      <c r="B13257" s="1230" t="s">
        <v>482</v>
      </c>
      <c r="C13257" s="132" t="s">
        <v>3326</v>
      </c>
      <c r="D13257" s="255">
        <v>48337</v>
      </c>
      <c r="E13257" s="553">
        <v>181.98</v>
      </c>
      <c r="F13257" s="553">
        <v>2220.6</v>
      </c>
      <c r="G13257" s="553">
        <v>687.09</v>
      </c>
      <c r="H13257" s="553">
        <v>218.99</v>
      </c>
      <c r="I13257" s="553">
        <v>349.91</v>
      </c>
      <c r="J13257" s="647">
        <v>724.73</v>
      </c>
    </row>
    <row r="13258" spans="2:10">
      <c r="B13258" s="1230" t="s">
        <v>482</v>
      </c>
      <c r="C13258" s="132" t="s">
        <v>1769</v>
      </c>
      <c r="D13258" s="255">
        <v>48339</v>
      </c>
      <c r="E13258" s="553">
        <v>424.1</v>
      </c>
      <c r="F13258" s="553">
        <v>4545.57</v>
      </c>
      <c r="G13258" s="553">
        <v>573.22</v>
      </c>
      <c r="H13258" s="553">
        <v>452.9</v>
      </c>
      <c r="I13258" s="553">
        <v>4064.99</v>
      </c>
      <c r="J13258" s="647">
        <v>2167.54</v>
      </c>
    </row>
    <row r="13259" spans="2:10">
      <c r="B13259" s="1230" t="s">
        <v>482</v>
      </c>
      <c r="C13259" s="132" t="s">
        <v>2953</v>
      </c>
      <c r="D13259" s="255">
        <v>48341</v>
      </c>
      <c r="E13259" s="553">
        <v>96.47</v>
      </c>
      <c r="F13259" s="553">
        <v>912.44</v>
      </c>
      <c r="G13259" s="553">
        <v>368.13</v>
      </c>
      <c r="H13259" s="553">
        <v>92.05</v>
      </c>
      <c r="I13259" s="553">
        <v>311.99</v>
      </c>
      <c r="J13259" s="647">
        <v>536.27</v>
      </c>
    </row>
    <row r="13260" spans="2:10">
      <c r="B13260" s="1230" t="s">
        <v>482</v>
      </c>
      <c r="C13260" s="132" t="s">
        <v>2368</v>
      </c>
      <c r="D13260" s="255">
        <v>48343</v>
      </c>
      <c r="E13260" s="553">
        <v>241.64</v>
      </c>
      <c r="F13260" s="553">
        <v>3031.92</v>
      </c>
      <c r="G13260" s="553">
        <v>713.05</v>
      </c>
      <c r="H13260" s="553">
        <v>298.18</v>
      </c>
      <c r="I13260" s="553">
        <v>442.61</v>
      </c>
      <c r="J13260" s="647">
        <v>926.96</v>
      </c>
    </row>
    <row r="13261" spans="2:10">
      <c r="B13261" s="1230" t="s">
        <v>482</v>
      </c>
      <c r="C13261" s="132" t="s">
        <v>3327</v>
      </c>
      <c r="D13261" s="255">
        <v>48345</v>
      </c>
      <c r="E13261" s="553">
        <v>107.74</v>
      </c>
      <c r="F13261" s="553">
        <v>935.75</v>
      </c>
      <c r="G13261" s="553">
        <v>394.15</v>
      </c>
      <c r="H13261" s="553">
        <v>95.16</v>
      </c>
      <c r="I13261" s="553">
        <v>350.38</v>
      </c>
      <c r="J13261" s="647">
        <v>592.14</v>
      </c>
    </row>
    <row r="13262" spans="2:10">
      <c r="B13262" s="1230" t="s">
        <v>482</v>
      </c>
      <c r="C13262" s="132" t="s">
        <v>3328</v>
      </c>
      <c r="D13262" s="255">
        <v>48347</v>
      </c>
      <c r="E13262" s="553">
        <v>189.28</v>
      </c>
      <c r="F13262" s="553">
        <v>2557.4699999999998</v>
      </c>
      <c r="G13262" s="553">
        <v>685.64</v>
      </c>
      <c r="H13262" s="553">
        <v>250.34</v>
      </c>
      <c r="I13262" s="553">
        <v>508.31</v>
      </c>
      <c r="J13262" s="647">
        <v>954.55</v>
      </c>
    </row>
    <row r="13263" spans="2:10">
      <c r="B13263" s="1230" t="s">
        <v>482</v>
      </c>
      <c r="C13263" s="132" t="s">
        <v>3329</v>
      </c>
      <c r="D13263" s="255">
        <v>48349</v>
      </c>
      <c r="E13263" s="553">
        <v>259.98</v>
      </c>
      <c r="F13263" s="553">
        <v>3094.81</v>
      </c>
      <c r="G13263" s="553">
        <v>772.95</v>
      </c>
      <c r="H13263" s="553">
        <v>305.92</v>
      </c>
      <c r="I13263" s="553">
        <v>331.94</v>
      </c>
      <c r="J13263" s="647">
        <v>1020.89</v>
      </c>
    </row>
    <row r="13264" spans="2:10">
      <c r="B13264" s="1230" t="s">
        <v>482</v>
      </c>
      <c r="C13264" s="132" t="s">
        <v>1863</v>
      </c>
      <c r="D13264" s="255">
        <v>48351</v>
      </c>
      <c r="E13264" s="553">
        <v>131.51</v>
      </c>
      <c r="F13264" s="553">
        <v>1735.21</v>
      </c>
      <c r="G13264" s="553">
        <v>322.95999999999998</v>
      </c>
      <c r="H13264" s="553">
        <v>170.07</v>
      </c>
      <c r="I13264" s="553">
        <v>2290.08</v>
      </c>
      <c r="J13264" s="647">
        <v>1206.5999999999999</v>
      </c>
    </row>
    <row r="13265" spans="2:10">
      <c r="B13265" s="1230" t="s">
        <v>482</v>
      </c>
      <c r="C13265" s="132" t="s">
        <v>3330</v>
      </c>
      <c r="D13265" s="255">
        <v>48353</v>
      </c>
      <c r="E13265" s="553">
        <v>143.41999999999999</v>
      </c>
      <c r="F13265" s="553">
        <v>1227</v>
      </c>
      <c r="G13265" s="553">
        <v>396.61</v>
      </c>
      <c r="H13265" s="553">
        <v>124.96</v>
      </c>
      <c r="I13265" s="553">
        <v>558.37</v>
      </c>
      <c r="J13265" s="647">
        <v>642.5</v>
      </c>
    </row>
    <row r="13266" spans="2:10">
      <c r="B13266" s="1230" t="s">
        <v>482</v>
      </c>
      <c r="C13266" s="132" t="s">
        <v>3331</v>
      </c>
      <c r="D13266" s="255">
        <v>48355</v>
      </c>
      <c r="E13266" s="553">
        <v>248.97</v>
      </c>
      <c r="F13266" s="553">
        <v>3137.3</v>
      </c>
      <c r="G13266" s="553">
        <v>510.69</v>
      </c>
      <c r="H13266" s="553">
        <v>309.13</v>
      </c>
      <c r="I13266" s="553">
        <v>130.32</v>
      </c>
      <c r="J13266" s="647">
        <v>1656.01</v>
      </c>
    </row>
    <row r="13267" spans="2:10">
      <c r="B13267" s="1230" t="s">
        <v>482</v>
      </c>
      <c r="C13267" s="132" t="s">
        <v>3332</v>
      </c>
      <c r="D13267" s="255">
        <v>48357</v>
      </c>
      <c r="E13267" s="553">
        <v>97.46</v>
      </c>
      <c r="F13267" s="553">
        <v>858.63</v>
      </c>
      <c r="G13267" s="553">
        <v>396.53</v>
      </c>
      <c r="H13267" s="553">
        <v>87.24</v>
      </c>
      <c r="I13267" s="553">
        <v>332.64</v>
      </c>
      <c r="J13267" s="647">
        <v>543.57000000000005</v>
      </c>
    </row>
    <row r="13268" spans="2:10">
      <c r="B13268" s="1230" t="s">
        <v>482</v>
      </c>
      <c r="C13268" s="132" t="s">
        <v>2445</v>
      </c>
      <c r="D13268" s="255">
        <v>48359</v>
      </c>
      <c r="E13268" s="553">
        <v>101.22</v>
      </c>
      <c r="F13268" s="553">
        <v>883.72</v>
      </c>
      <c r="G13268" s="553">
        <v>353.08</v>
      </c>
      <c r="H13268" s="553">
        <v>89.88</v>
      </c>
      <c r="I13268" s="553">
        <v>318.93</v>
      </c>
      <c r="J13268" s="647">
        <v>546.28</v>
      </c>
    </row>
    <row r="13269" spans="2:10">
      <c r="B13269" s="1230" t="s">
        <v>482</v>
      </c>
      <c r="C13269" s="132" t="s">
        <v>1912</v>
      </c>
      <c r="D13269" s="255">
        <v>48361</v>
      </c>
      <c r="E13269" s="553">
        <v>398.53</v>
      </c>
      <c r="F13269" s="553">
        <v>5276.15</v>
      </c>
      <c r="G13269" s="553">
        <v>361.27</v>
      </c>
      <c r="H13269" s="553">
        <v>517.35</v>
      </c>
      <c r="I13269" s="553">
        <v>11358.11</v>
      </c>
      <c r="J13269" s="647">
        <v>1777.88</v>
      </c>
    </row>
    <row r="13270" spans="2:10">
      <c r="B13270" s="1230" t="s">
        <v>482</v>
      </c>
      <c r="C13270" s="132" t="s">
        <v>3333</v>
      </c>
      <c r="D13270" s="255">
        <v>48363</v>
      </c>
      <c r="E13270" s="553">
        <v>165.91</v>
      </c>
      <c r="F13270" s="553">
        <v>1965.73</v>
      </c>
      <c r="G13270" s="553">
        <v>643.41999999999996</v>
      </c>
      <c r="H13270" s="553">
        <v>194.41</v>
      </c>
      <c r="I13270" s="553">
        <v>243.13</v>
      </c>
      <c r="J13270" s="647">
        <v>785.86</v>
      </c>
    </row>
    <row r="13271" spans="2:10">
      <c r="B13271" s="1230" t="s">
        <v>482</v>
      </c>
      <c r="C13271" s="132" t="s">
        <v>2702</v>
      </c>
      <c r="D13271" s="255">
        <v>48365</v>
      </c>
      <c r="E13271" s="553">
        <v>204.23</v>
      </c>
      <c r="F13271" s="553">
        <v>2728.59</v>
      </c>
      <c r="G13271" s="553">
        <v>750.66</v>
      </c>
      <c r="H13271" s="553">
        <v>267.26</v>
      </c>
      <c r="I13271" s="553">
        <v>496.65</v>
      </c>
      <c r="J13271" s="647">
        <v>962.99</v>
      </c>
    </row>
    <row r="13272" spans="2:10">
      <c r="B13272" s="1230" t="s">
        <v>482</v>
      </c>
      <c r="C13272" s="132" t="s">
        <v>3334</v>
      </c>
      <c r="D13272" s="255">
        <v>48367</v>
      </c>
      <c r="E13272" s="553">
        <v>246.55</v>
      </c>
      <c r="F13272" s="553">
        <v>2929.18</v>
      </c>
      <c r="G13272" s="553">
        <v>799.29</v>
      </c>
      <c r="H13272" s="553">
        <v>289.64</v>
      </c>
      <c r="I13272" s="553">
        <v>261.26</v>
      </c>
      <c r="J13272" s="647">
        <v>944.76</v>
      </c>
    </row>
    <row r="13273" spans="2:10">
      <c r="B13273" s="1230" t="s">
        <v>482</v>
      </c>
      <c r="C13273" s="132" t="s">
        <v>3335</v>
      </c>
      <c r="D13273" s="255">
        <v>48369</v>
      </c>
      <c r="E13273" s="553">
        <v>106.83</v>
      </c>
      <c r="F13273" s="553">
        <v>944.59</v>
      </c>
      <c r="G13273" s="553">
        <v>404.55</v>
      </c>
      <c r="H13273" s="553">
        <v>95.93</v>
      </c>
      <c r="I13273" s="553">
        <v>316.60000000000002</v>
      </c>
      <c r="J13273" s="647">
        <v>566.98</v>
      </c>
    </row>
    <row r="13274" spans="2:10">
      <c r="B13274" s="1230" t="s">
        <v>482</v>
      </c>
      <c r="C13274" s="132" t="s">
        <v>3336</v>
      </c>
      <c r="D13274" s="255">
        <v>48371</v>
      </c>
      <c r="E13274" s="553">
        <v>89.43</v>
      </c>
      <c r="F13274" s="553">
        <v>789.6</v>
      </c>
      <c r="G13274" s="553">
        <v>290.93</v>
      </c>
      <c r="H13274" s="553">
        <v>80.069999999999993</v>
      </c>
      <c r="I13274" s="553">
        <v>580.6</v>
      </c>
      <c r="J13274" s="647">
        <v>561.04999999999995</v>
      </c>
    </row>
    <row r="13275" spans="2:10">
      <c r="B13275" s="1230" t="s">
        <v>482</v>
      </c>
      <c r="C13275" s="132" t="s">
        <v>1867</v>
      </c>
      <c r="D13275" s="255">
        <v>48373</v>
      </c>
      <c r="E13275" s="553">
        <v>192.32</v>
      </c>
      <c r="F13275" s="553">
        <v>2507.2199999999998</v>
      </c>
      <c r="G13275" s="553">
        <v>633.79999999999995</v>
      </c>
      <c r="H13275" s="553">
        <v>245.94</v>
      </c>
      <c r="I13275" s="553">
        <v>1001.87</v>
      </c>
      <c r="J13275" s="647">
        <v>955.88</v>
      </c>
    </row>
    <row r="13276" spans="2:10">
      <c r="B13276" s="1230" t="s">
        <v>482</v>
      </c>
      <c r="C13276" s="132" t="s">
        <v>3127</v>
      </c>
      <c r="D13276" s="255">
        <v>48375</v>
      </c>
      <c r="E13276" s="553">
        <v>150.24</v>
      </c>
      <c r="F13276" s="553">
        <v>1597.17</v>
      </c>
      <c r="G13276" s="553">
        <v>416.57</v>
      </c>
      <c r="H13276" s="553">
        <v>159.5</v>
      </c>
      <c r="I13276" s="553">
        <v>312.56</v>
      </c>
      <c r="J13276" s="647">
        <v>607.95000000000005</v>
      </c>
    </row>
    <row r="13277" spans="2:10">
      <c r="B13277" s="1230" t="s">
        <v>482</v>
      </c>
      <c r="C13277" s="132" t="s">
        <v>3337</v>
      </c>
      <c r="D13277" s="255">
        <v>48377</v>
      </c>
      <c r="E13277" s="553">
        <v>89.49</v>
      </c>
      <c r="F13277" s="553">
        <v>894.72</v>
      </c>
      <c r="G13277" s="553">
        <v>350.23</v>
      </c>
      <c r="H13277" s="553">
        <v>89.79</v>
      </c>
      <c r="I13277" s="553">
        <v>404.74</v>
      </c>
      <c r="J13277" s="647">
        <v>886.38</v>
      </c>
    </row>
    <row r="13278" spans="2:10">
      <c r="B13278" s="1230" t="s">
        <v>482</v>
      </c>
      <c r="C13278" s="132" t="s">
        <v>3338</v>
      </c>
      <c r="D13278" s="255">
        <v>48379</v>
      </c>
      <c r="E13278" s="553">
        <v>210.11</v>
      </c>
      <c r="F13278" s="553">
        <v>2573.35</v>
      </c>
      <c r="G13278" s="553">
        <v>742.01</v>
      </c>
      <c r="H13278" s="553">
        <v>253.67</v>
      </c>
      <c r="I13278" s="553">
        <v>358.87</v>
      </c>
      <c r="J13278" s="647">
        <v>890.28</v>
      </c>
    </row>
    <row r="13279" spans="2:10">
      <c r="B13279" s="1230" t="s">
        <v>482</v>
      </c>
      <c r="C13279" s="132" t="s">
        <v>3339</v>
      </c>
      <c r="D13279" s="255">
        <v>48381</v>
      </c>
      <c r="E13279" s="553">
        <v>151.63999999999999</v>
      </c>
      <c r="F13279" s="553">
        <v>1607.29</v>
      </c>
      <c r="G13279" s="553">
        <v>418.35</v>
      </c>
      <c r="H13279" s="553">
        <v>160.46</v>
      </c>
      <c r="I13279" s="553">
        <v>312.56</v>
      </c>
      <c r="J13279" s="647">
        <v>614.47</v>
      </c>
    </row>
    <row r="13280" spans="2:10">
      <c r="B13280" s="1230" t="s">
        <v>482</v>
      </c>
      <c r="C13280" s="132" t="s">
        <v>3340</v>
      </c>
      <c r="D13280" s="255">
        <v>48383</v>
      </c>
      <c r="E13280" s="553">
        <v>123.42</v>
      </c>
      <c r="F13280" s="553">
        <v>946.61</v>
      </c>
      <c r="G13280" s="553">
        <v>327.08</v>
      </c>
      <c r="H13280" s="553">
        <v>97.62</v>
      </c>
      <c r="I13280" s="553">
        <v>710.81</v>
      </c>
      <c r="J13280" s="647">
        <v>593.24</v>
      </c>
    </row>
    <row r="13281" spans="2:10">
      <c r="B13281" s="1230" t="s">
        <v>482</v>
      </c>
      <c r="C13281" s="132" t="s">
        <v>3341</v>
      </c>
      <c r="D13281" s="255">
        <v>48385</v>
      </c>
      <c r="E13281" s="553">
        <v>99.2</v>
      </c>
      <c r="F13281" s="553">
        <v>753.62</v>
      </c>
      <c r="G13281" s="553">
        <v>254.48</v>
      </c>
      <c r="H13281" s="553">
        <v>77.760000000000005</v>
      </c>
      <c r="I13281" s="553">
        <v>246.96</v>
      </c>
      <c r="J13281" s="647">
        <v>1065.0899999999999</v>
      </c>
    </row>
    <row r="13282" spans="2:10">
      <c r="B13282" s="1230" t="s">
        <v>482</v>
      </c>
      <c r="C13282" s="132" t="s">
        <v>3342</v>
      </c>
      <c r="D13282" s="255">
        <v>48387</v>
      </c>
      <c r="E13282" s="553">
        <v>172.84</v>
      </c>
      <c r="F13282" s="553">
        <v>2292.86</v>
      </c>
      <c r="G13282" s="553">
        <v>755.9</v>
      </c>
      <c r="H13282" s="553">
        <v>224.7</v>
      </c>
      <c r="I13282" s="553">
        <v>415.95</v>
      </c>
      <c r="J13282" s="647">
        <v>894.78</v>
      </c>
    </row>
    <row r="13283" spans="2:10">
      <c r="B13283" s="1230" t="s">
        <v>482</v>
      </c>
      <c r="C13283" s="132" t="s">
        <v>3343</v>
      </c>
      <c r="D13283" s="255">
        <v>48389</v>
      </c>
      <c r="E13283" s="553">
        <v>91.24</v>
      </c>
      <c r="F13283" s="553">
        <v>768.87</v>
      </c>
      <c r="G13283" s="553">
        <v>279.45</v>
      </c>
      <c r="H13283" s="553">
        <v>78.38</v>
      </c>
      <c r="I13283" s="553">
        <v>568.27</v>
      </c>
      <c r="J13283" s="647">
        <v>548.66</v>
      </c>
    </row>
    <row r="13284" spans="2:10">
      <c r="B13284" s="1230" t="s">
        <v>482</v>
      </c>
      <c r="C13284" s="132" t="s">
        <v>3344</v>
      </c>
      <c r="D13284" s="255">
        <v>48391</v>
      </c>
      <c r="E13284" s="553">
        <v>133.38999999999999</v>
      </c>
      <c r="F13284" s="553">
        <v>1569.17</v>
      </c>
      <c r="G13284" s="553">
        <v>377.64</v>
      </c>
      <c r="H13284" s="553">
        <v>155.31</v>
      </c>
      <c r="I13284" s="553">
        <v>111.55</v>
      </c>
      <c r="J13284" s="647">
        <v>1229.47</v>
      </c>
    </row>
    <row r="13285" spans="2:10">
      <c r="B13285" s="1230" t="s">
        <v>482</v>
      </c>
      <c r="C13285" s="132" t="s">
        <v>3190</v>
      </c>
      <c r="D13285" s="255">
        <v>48393</v>
      </c>
      <c r="E13285" s="553">
        <v>88.46</v>
      </c>
      <c r="F13285" s="553">
        <v>832.5</v>
      </c>
      <c r="G13285" s="553">
        <v>398.18</v>
      </c>
      <c r="H13285" s="553">
        <v>84.01</v>
      </c>
      <c r="I13285" s="553">
        <v>336.06</v>
      </c>
      <c r="J13285" s="647">
        <v>551.17999999999995</v>
      </c>
    </row>
    <row r="13286" spans="2:10">
      <c r="B13286" s="1230" t="s">
        <v>482</v>
      </c>
      <c r="C13286" s="132" t="s">
        <v>2449</v>
      </c>
      <c r="D13286" s="255">
        <v>48395</v>
      </c>
      <c r="E13286" s="553">
        <v>192.98</v>
      </c>
      <c r="F13286" s="553">
        <v>2300.1799999999998</v>
      </c>
      <c r="G13286" s="553">
        <v>655.91</v>
      </c>
      <c r="H13286" s="553">
        <v>227.24</v>
      </c>
      <c r="I13286" s="553">
        <v>346.1</v>
      </c>
      <c r="J13286" s="647">
        <v>948.26</v>
      </c>
    </row>
    <row r="13287" spans="2:10">
      <c r="B13287" s="1230" t="s">
        <v>482</v>
      </c>
      <c r="C13287" s="132" t="s">
        <v>3345</v>
      </c>
      <c r="D13287" s="255">
        <v>48397</v>
      </c>
      <c r="E13287" s="553">
        <v>462.68</v>
      </c>
      <c r="F13287" s="553">
        <v>4836.83</v>
      </c>
      <c r="G13287" s="553">
        <v>937.36</v>
      </c>
      <c r="H13287" s="553">
        <v>482.99</v>
      </c>
      <c r="I13287" s="553">
        <v>334.78</v>
      </c>
      <c r="J13287" s="647">
        <v>1086.4000000000001</v>
      </c>
    </row>
    <row r="13288" spans="2:10">
      <c r="B13288" s="1230" t="s">
        <v>482</v>
      </c>
      <c r="C13288" s="132" t="s">
        <v>3346</v>
      </c>
      <c r="D13288" s="255">
        <v>48399</v>
      </c>
      <c r="E13288" s="553">
        <v>108.11</v>
      </c>
      <c r="F13288" s="553">
        <v>1209.94</v>
      </c>
      <c r="G13288" s="553">
        <v>450.3</v>
      </c>
      <c r="H13288" s="553">
        <v>120.21</v>
      </c>
      <c r="I13288" s="553">
        <v>215.92</v>
      </c>
      <c r="J13288" s="647">
        <v>655.28</v>
      </c>
    </row>
    <row r="13289" spans="2:10">
      <c r="B13289" s="1230" t="s">
        <v>482</v>
      </c>
      <c r="C13289" s="132" t="s">
        <v>3347</v>
      </c>
      <c r="D13289" s="255">
        <v>48401</v>
      </c>
      <c r="E13289" s="553">
        <v>221.87</v>
      </c>
      <c r="F13289" s="553">
        <v>2915.88</v>
      </c>
      <c r="G13289" s="553">
        <v>827.3</v>
      </c>
      <c r="H13289" s="553">
        <v>285.87</v>
      </c>
      <c r="I13289" s="553">
        <v>449.75</v>
      </c>
      <c r="J13289" s="647">
        <v>996.26</v>
      </c>
    </row>
    <row r="13290" spans="2:10">
      <c r="B13290" s="1230" t="s">
        <v>482</v>
      </c>
      <c r="C13290" s="132" t="s">
        <v>3348</v>
      </c>
      <c r="D13290" s="255">
        <v>48403</v>
      </c>
      <c r="E13290" s="553">
        <v>160.35</v>
      </c>
      <c r="F13290" s="553">
        <v>2110.5100000000002</v>
      </c>
      <c r="G13290" s="553">
        <v>571.59</v>
      </c>
      <c r="H13290" s="553">
        <v>206.85</v>
      </c>
      <c r="I13290" s="553">
        <v>723.43</v>
      </c>
      <c r="J13290" s="647">
        <v>889.39</v>
      </c>
    </row>
    <row r="13291" spans="2:10">
      <c r="B13291" s="1230" t="s">
        <v>482</v>
      </c>
      <c r="C13291" s="132" t="s">
        <v>3349</v>
      </c>
      <c r="D13291" s="255">
        <v>48405</v>
      </c>
      <c r="E13291" s="553">
        <v>149.11000000000001</v>
      </c>
      <c r="F13291" s="553">
        <v>1937.79</v>
      </c>
      <c r="G13291" s="553">
        <v>575.86</v>
      </c>
      <c r="H13291" s="553">
        <v>190.13</v>
      </c>
      <c r="I13291" s="553">
        <v>642.74</v>
      </c>
      <c r="J13291" s="647">
        <v>872.89</v>
      </c>
    </row>
    <row r="13292" spans="2:10">
      <c r="B13292" s="1230" t="s">
        <v>482</v>
      </c>
      <c r="C13292" s="132" t="s">
        <v>3350</v>
      </c>
      <c r="D13292" s="255">
        <v>48407</v>
      </c>
      <c r="E13292" s="553">
        <v>225.68</v>
      </c>
      <c r="F13292" s="553">
        <v>2726.65</v>
      </c>
      <c r="G13292" s="553">
        <v>508.6</v>
      </c>
      <c r="H13292" s="553">
        <v>269.02999999999997</v>
      </c>
      <c r="I13292" s="553">
        <v>1121.6500000000001</v>
      </c>
      <c r="J13292" s="647">
        <v>1608.36</v>
      </c>
    </row>
    <row r="13293" spans="2:10">
      <c r="B13293" s="1230" t="s">
        <v>482</v>
      </c>
      <c r="C13293" s="132" t="s">
        <v>3351</v>
      </c>
      <c r="D13293" s="255">
        <v>48409</v>
      </c>
      <c r="E13293" s="553">
        <v>273.44</v>
      </c>
      <c r="F13293" s="553">
        <v>3451.54</v>
      </c>
      <c r="G13293" s="553">
        <v>528.70000000000005</v>
      </c>
      <c r="H13293" s="553">
        <v>340.02</v>
      </c>
      <c r="I13293" s="553">
        <v>126.05</v>
      </c>
      <c r="J13293" s="647">
        <v>1705.13</v>
      </c>
    </row>
    <row r="13294" spans="2:10">
      <c r="B13294" s="1230" t="s">
        <v>482</v>
      </c>
      <c r="C13294" s="132" t="s">
        <v>3352</v>
      </c>
      <c r="D13294" s="255">
        <v>48411</v>
      </c>
      <c r="E13294" s="553">
        <v>126.27</v>
      </c>
      <c r="F13294" s="553">
        <v>1463.79</v>
      </c>
      <c r="G13294" s="553">
        <v>522.16</v>
      </c>
      <c r="H13294" s="553">
        <v>144.97999999999999</v>
      </c>
      <c r="I13294" s="553">
        <v>233.42</v>
      </c>
      <c r="J13294" s="647">
        <v>750.28</v>
      </c>
    </row>
    <row r="13295" spans="2:10">
      <c r="B13295" s="1230" t="s">
        <v>482</v>
      </c>
      <c r="C13295" s="132" t="s">
        <v>3353</v>
      </c>
      <c r="D13295" s="255">
        <v>48413</v>
      </c>
      <c r="E13295" s="553">
        <v>143.07</v>
      </c>
      <c r="F13295" s="553">
        <v>1203.3399999999999</v>
      </c>
      <c r="G13295" s="553">
        <v>297.39</v>
      </c>
      <c r="H13295" s="553">
        <v>122.8</v>
      </c>
      <c r="I13295" s="553">
        <v>297.89999999999998</v>
      </c>
      <c r="J13295" s="647">
        <v>1205.31</v>
      </c>
    </row>
    <row r="13296" spans="2:10">
      <c r="B13296" s="1230" t="s">
        <v>482</v>
      </c>
      <c r="C13296" s="132" t="s">
        <v>3354</v>
      </c>
      <c r="D13296" s="255">
        <v>48415</v>
      </c>
      <c r="E13296" s="553">
        <v>128.38</v>
      </c>
      <c r="F13296" s="553">
        <v>1066.07</v>
      </c>
      <c r="G13296" s="553">
        <v>380.45</v>
      </c>
      <c r="H13296" s="553">
        <v>108.88</v>
      </c>
      <c r="I13296" s="553">
        <v>380.27</v>
      </c>
      <c r="J13296" s="647">
        <v>619.96</v>
      </c>
    </row>
    <row r="13297" spans="2:10">
      <c r="B13297" s="1230" t="s">
        <v>482</v>
      </c>
      <c r="C13297" s="132" t="s">
        <v>3355</v>
      </c>
      <c r="D13297" s="255">
        <v>48417</v>
      </c>
      <c r="E13297" s="553">
        <v>102.06</v>
      </c>
      <c r="F13297" s="553">
        <v>1114.03</v>
      </c>
      <c r="G13297" s="553">
        <v>461.16</v>
      </c>
      <c r="H13297" s="553">
        <v>110.81</v>
      </c>
      <c r="I13297" s="553">
        <v>218.57</v>
      </c>
      <c r="J13297" s="647">
        <v>634.58000000000004</v>
      </c>
    </row>
    <row r="13298" spans="2:10">
      <c r="B13298" s="1230" t="s">
        <v>482</v>
      </c>
      <c r="C13298" s="132" t="s">
        <v>1777</v>
      </c>
      <c r="D13298" s="255">
        <v>48419</v>
      </c>
      <c r="E13298" s="553">
        <v>156.72</v>
      </c>
      <c r="F13298" s="553">
        <v>2076.25</v>
      </c>
      <c r="G13298" s="553">
        <v>643.72</v>
      </c>
      <c r="H13298" s="553">
        <v>203.51</v>
      </c>
      <c r="I13298" s="553">
        <v>552.66999999999996</v>
      </c>
      <c r="J13298" s="647">
        <v>901.94</v>
      </c>
    </row>
    <row r="13299" spans="2:10">
      <c r="B13299" s="1230" t="s">
        <v>482</v>
      </c>
      <c r="C13299" s="132" t="s">
        <v>2389</v>
      </c>
      <c r="D13299" s="255">
        <v>48421</v>
      </c>
      <c r="E13299" s="553">
        <v>107.74</v>
      </c>
      <c r="F13299" s="553">
        <v>882.93</v>
      </c>
      <c r="G13299" s="553">
        <v>375.74</v>
      </c>
      <c r="H13299" s="553">
        <v>90.33</v>
      </c>
      <c r="I13299" s="553">
        <v>310.68</v>
      </c>
      <c r="J13299" s="647">
        <v>528.19000000000005</v>
      </c>
    </row>
    <row r="13300" spans="2:10">
      <c r="B13300" s="1230" t="s">
        <v>482</v>
      </c>
      <c r="C13300" s="132" t="s">
        <v>2390</v>
      </c>
      <c r="D13300" s="255">
        <v>48423</v>
      </c>
      <c r="E13300" s="553">
        <v>263.83</v>
      </c>
      <c r="F13300" s="553">
        <v>3614.66</v>
      </c>
      <c r="G13300" s="553">
        <v>915.63</v>
      </c>
      <c r="H13300" s="553">
        <v>353.43</v>
      </c>
      <c r="I13300" s="553">
        <v>400.36</v>
      </c>
      <c r="J13300" s="647">
        <v>1065.96</v>
      </c>
    </row>
    <row r="13301" spans="2:10">
      <c r="B13301" s="1230" t="s">
        <v>482</v>
      </c>
      <c r="C13301" s="132" t="s">
        <v>3356</v>
      </c>
      <c r="D13301" s="255">
        <v>48425</v>
      </c>
      <c r="E13301" s="553">
        <v>280.22000000000003</v>
      </c>
      <c r="F13301" s="553">
        <v>3278.24</v>
      </c>
      <c r="G13301" s="553">
        <v>727.92</v>
      </c>
      <c r="H13301" s="553">
        <v>324.5</v>
      </c>
      <c r="I13301" s="553">
        <v>264.95</v>
      </c>
      <c r="J13301" s="647">
        <v>924.43</v>
      </c>
    </row>
    <row r="13302" spans="2:10">
      <c r="B13302" s="1230" t="s">
        <v>482</v>
      </c>
      <c r="C13302" s="132" t="s">
        <v>3357</v>
      </c>
      <c r="D13302" s="255">
        <v>48427</v>
      </c>
      <c r="E13302" s="553">
        <v>238.25</v>
      </c>
      <c r="F13302" s="553">
        <v>3138.44</v>
      </c>
      <c r="G13302" s="553">
        <v>553.98</v>
      </c>
      <c r="H13302" s="553">
        <v>308.10000000000002</v>
      </c>
      <c r="I13302" s="553">
        <v>261.97000000000003</v>
      </c>
      <c r="J13302" s="647">
        <v>693.75</v>
      </c>
    </row>
    <row r="13303" spans="2:10">
      <c r="B13303" s="1230" t="s">
        <v>482</v>
      </c>
      <c r="C13303" s="132" t="s">
        <v>2137</v>
      </c>
      <c r="D13303" s="255">
        <v>48429</v>
      </c>
      <c r="E13303" s="553">
        <v>111.68</v>
      </c>
      <c r="F13303" s="553">
        <v>1264.9000000000001</v>
      </c>
      <c r="G13303" s="553">
        <v>493.51</v>
      </c>
      <c r="H13303" s="553">
        <v>125.57</v>
      </c>
      <c r="I13303" s="553">
        <v>228.76</v>
      </c>
      <c r="J13303" s="647">
        <v>669.48</v>
      </c>
    </row>
    <row r="13304" spans="2:10">
      <c r="B13304" s="1230" t="s">
        <v>482</v>
      </c>
      <c r="C13304" s="132" t="s">
        <v>3358</v>
      </c>
      <c r="D13304" s="255">
        <v>48431</v>
      </c>
      <c r="E13304" s="553">
        <v>135.78</v>
      </c>
      <c r="F13304" s="553">
        <v>1038.29</v>
      </c>
      <c r="G13304" s="553">
        <v>362.58</v>
      </c>
      <c r="H13304" s="553">
        <v>107.04</v>
      </c>
      <c r="I13304" s="553">
        <v>552.21</v>
      </c>
      <c r="J13304" s="647">
        <v>620.17999999999995</v>
      </c>
    </row>
    <row r="13305" spans="2:10">
      <c r="B13305" s="1230" t="s">
        <v>482</v>
      </c>
      <c r="C13305" s="132" t="s">
        <v>3359</v>
      </c>
      <c r="D13305" s="255">
        <v>48433</v>
      </c>
      <c r="E13305" s="553">
        <v>112.51</v>
      </c>
      <c r="F13305" s="553">
        <v>911.94</v>
      </c>
      <c r="G13305" s="553">
        <v>403.04</v>
      </c>
      <c r="H13305" s="553">
        <v>93.48</v>
      </c>
      <c r="I13305" s="553">
        <v>267.95999999999998</v>
      </c>
      <c r="J13305" s="647">
        <v>577.29</v>
      </c>
    </row>
    <row r="13306" spans="2:10">
      <c r="B13306" s="1230" t="s">
        <v>482</v>
      </c>
      <c r="C13306" s="132" t="s">
        <v>3360</v>
      </c>
      <c r="D13306" s="255">
        <v>48435</v>
      </c>
      <c r="E13306" s="553">
        <v>94.61</v>
      </c>
      <c r="F13306" s="553">
        <v>656.39</v>
      </c>
      <c r="G13306" s="553">
        <v>216.57</v>
      </c>
      <c r="H13306" s="553">
        <v>68.510000000000005</v>
      </c>
      <c r="I13306" s="553">
        <v>276.81</v>
      </c>
      <c r="J13306" s="647">
        <v>970.2</v>
      </c>
    </row>
    <row r="13307" spans="2:10">
      <c r="B13307" s="1230" t="s">
        <v>482</v>
      </c>
      <c r="C13307" s="132" t="s">
        <v>3361</v>
      </c>
      <c r="D13307" s="255">
        <v>48437</v>
      </c>
      <c r="E13307" s="553">
        <v>105.37</v>
      </c>
      <c r="F13307" s="553">
        <v>930.13</v>
      </c>
      <c r="G13307" s="553">
        <v>368.1</v>
      </c>
      <c r="H13307" s="553">
        <v>94.45</v>
      </c>
      <c r="I13307" s="553">
        <v>318.5</v>
      </c>
      <c r="J13307" s="647">
        <v>558.83000000000004</v>
      </c>
    </row>
    <row r="13308" spans="2:10">
      <c r="B13308" s="1230" t="s">
        <v>482</v>
      </c>
      <c r="C13308" s="132" t="s">
        <v>3362</v>
      </c>
      <c r="D13308" s="255">
        <v>48439</v>
      </c>
      <c r="E13308" s="553">
        <v>762.33</v>
      </c>
      <c r="F13308" s="553">
        <v>8640.9500000000007</v>
      </c>
      <c r="G13308" s="553">
        <v>1449.92</v>
      </c>
      <c r="H13308" s="553">
        <v>857.52</v>
      </c>
      <c r="I13308" s="553">
        <v>284.58999999999997</v>
      </c>
      <c r="J13308" s="647">
        <v>1684.04</v>
      </c>
    </row>
    <row r="13309" spans="2:10">
      <c r="B13309" s="1230" t="s">
        <v>482</v>
      </c>
      <c r="C13309" s="132" t="s">
        <v>2050</v>
      </c>
      <c r="D13309" s="255">
        <v>48441</v>
      </c>
      <c r="E13309" s="553">
        <v>127.49</v>
      </c>
      <c r="F13309" s="553">
        <v>1513.57</v>
      </c>
      <c r="G13309" s="553">
        <v>494.31</v>
      </c>
      <c r="H13309" s="553">
        <v>149.72</v>
      </c>
      <c r="I13309" s="553">
        <v>219.31</v>
      </c>
      <c r="J13309" s="647">
        <v>680.92</v>
      </c>
    </row>
    <row r="13310" spans="2:10">
      <c r="B13310" s="1230" t="s">
        <v>482</v>
      </c>
      <c r="C13310" s="132" t="s">
        <v>2143</v>
      </c>
      <c r="D13310" s="255">
        <v>48443</v>
      </c>
      <c r="E13310" s="553">
        <v>83.48</v>
      </c>
      <c r="F13310" s="553">
        <v>584</v>
      </c>
      <c r="G13310" s="553">
        <v>167.78</v>
      </c>
      <c r="H13310" s="553">
        <v>60.88</v>
      </c>
      <c r="I13310" s="553">
        <v>521.22</v>
      </c>
      <c r="J13310" s="647">
        <v>877.4</v>
      </c>
    </row>
    <row r="13311" spans="2:10">
      <c r="B13311" s="1230" t="s">
        <v>482</v>
      </c>
      <c r="C13311" s="132" t="s">
        <v>3363</v>
      </c>
      <c r="D13311" s="255">
        <v>48445</v>
      </c>
      <c r="E13311" s="553">
        <v>145.71</v>
      </c>
      <c r="F13311" s="553">
        <v>1144.9100000000001</v>
      </c>
      <c r="G13311" s="553">
        <v>378.83</v>
      </c>
      <c r="H13311" s="553">
        <v>117.75</v>
      </c>
      <c r="I13311" s="553">
        <v>347.1</v>
      </c>
      <c r="J13311" s="647">
        <v>613.51</v>
      </c>
    </row>
    <row r="13312" spans="2:10">
      <c r="B13312" s="1230" t="s">
        <v>482</v>
      </c>
      <c r="C13312" s="132" t="s">
        <v>3364</v>
      </c>
      <c r="D13312" s="255">
        <v>48447</v>
      </c>
      <c r="E13312" s="553">
        <v>110.44</v>
      </c>
      <c r="F13312" s="553">
        <v>1236.3</v>
      </c>
      <c r="G13312" s="553">
        <v>492.49</v>
      </c>
      <c r="H13312" s="553">
        <v>122.82</v>
      </c>
      <c r="I13312" s="553">
        <v>219.58</v>
      </c>
      <c r="J13312" s="647">
        <v>657.91</v>
      </c>
    </row>
    <row r="13313" spans="2:10">
      <c r="B13313" s="1230" t="s">
        <v>482</v>
      </c>
      <c r="C13313" s="132" t="s">
        <v>3365</v>
      </c>
      <c r="D13313" s="255">
        <v>48449</v>
      </c>
      <c r="E13313" s="553">
        <v>194.78</v>
      </c>
      <c r="F13313" s="553">
        <v>2431.4699999999998</v>
      </c>
      <c r="G13313" s="553">
        <v>686.99</v>
      </c>
      <c r="H13313" s="553">
        <v>239.22</v>
      </c>
      <c r="I13313" s="553">
        <v>422.06</v>
      </c>
      <c r="J13313" s="647">
        <v>875.85</v>
      </c>
    </row>
    <row r="13314" spans="2:10">
      <c r="B13314" s="1230" t="s">
        <v>482</v>
      </c>
      <c r="C13314" s="132" t="s">
        <v>3366</v>
      </c>
      <c r="D13314" s="255">
        <v>48451</v>
      </c>
      <c r="E13314" s="553">
        <v>155.63</v>
      </c>
      <c r="F13314" s="553">
        <v>1402.9</v>
      </c>
      <c r="G13314" s="553">
        <v>432.14</v>
      </c>
      <c r="H13314" s="553">
        <v>142.19</v>
      </c>
      <c r="I13314" s="553">
        <v>371.6</v>
      </c>
      <c r="J13314" s="647">
        <v>683.25</v>
      </c>
    </row>
    <row r="13315" spans="2:10">
      <c r="B13315" s="1230" t="s">
        <v>482</v>
      </c>
      <c r="C13315" s="132" t="s">
        <v>3367</v>
      </c>
      <c r="D13315" s="255">
        <v>48453</v>
      </c>
      <c r="E13315" s="553">
        <v>545.08000000000004</v>
      </c>
      <c r="F13315" s="553">
        <v>5805.51</v>
      </c>
      <c r="G13315" s="553">
        <v>1089.72</v>
      </c>
      <c r="H13315" s="553">
        <v>579.21</v>
      </c>
      <c r="I13315" s="553">
        <v>260.86</v>
      </c>
      <c r="J13315" s="647">
        <v>1391.47</v>
      </c>
    </row>
    <row r="13316" spans="2:10">
      <c r="B13316" s="1230" t="s">
        <v>482</v>
      </c>
      <c r="C13316" s="132" t="s">
        <v>1934</v>
      </c>
      <c r="D13316" s="255">
        <v>48455</v>
      </c>
      <c r="E13316" s="553">
        <v>194.93</v>
      </c>
      <c r="F13316" s="553">
        <v>2564.75</v>
      </c>
      <c r="G13316" s="553">
        <v>668.28</v>
      </c>
      <c r="H13316" s="553">
        <v>251.43</v>
      </c>
      <c r="I13316" s="553">
        <v>530.72</v>
      </c>
      <c r="J13316" s="647">
        <v>940.7</v>
      </c>
    </row>
    <row r="13317" spans="2:10">
      <c r="B13317" s="1230" t="s">
        <v>482</v>
      </c>
      <c r="C13317" s="132" t="s">
        <v>3368</v>
      </c>
      <c r="D13317" s="255">
        <v>48457</v>
      </c>
      <c r="E13317" s="553">
        <v>135.77000000000001</v>
      </c>
      <c r="F13317" s="553">
        <v>1759.53</v>
      </c>
      <c r="G13317" s="553">
        <v>374.17</v>
      </c>
      <c r="H13317" s="553">
        <v>172.67</v>
      </c>
      <c r="I13317" s="553">
        <v>1545.18</v>
      </c>
      <c r="J13317" s="647">
        <v>1251.47</v>
      </c>
    </row>
    <row r="13318" spans="2:10">
      <c r="B13318" s="1230" t="s">
        <v>482</v>
      </c>
      <c r="C13318" s="132" t="s">
        <v>3369</v>
      </c>
      <c r="D13318" s="255">
        <v>48459</v>
      </c>
      <c r="E13318" s="553">
        <v>241.32</v>
      </c>
      <c r="F13318" s="553">
        <v>3068.94</v>
      </c>
      <c r="G13318" s="553">
        <v>862.72</v>
      </c>
      <c r="H13318" s="553">
        <v>301.52</v>
      </c>
      <c r="I13318" s="553">
        <v>427.25</v>
      </c>
      <c r="J13318" s="647">
        <v>964.37</v>
      </c>
    </row>
    <row r="13319" spans="2:10">
      <c r="B13319" s="1230" t="s">
        <v>482</v>
      </c>
      <c r="C13319" s="132" t="s">
        <v>3370</v>
      </c>
      <c r="D13319" s="255">
        <v>48461</v>
      </c>
      <c r="E13319" s="553">
        <v>161.49</v>
      </c>
      <c r="F13319" s="553">
        <v>1427</v>
      </c>
      <c r="G13319" s="553">
        <v>315.56</v>
      </c>
      <c r="H13319" s="553">
        <v>144.94</v>
      </c>
      <c r="I13319" s="553">
        <v>1799.83</v>
      </c>
      <c r="J13319" s="647">
        <v>630.83000000000004</v>
      </c>
    </row>
    <row r="13320" spans="2:10">
      <c r="B13320" s="1230" t="s">
        <v>482</v>
      </c>
      <c r="C13320" s="132" t="s">
        <v>3371</v>
      </c>
      <c r="D13320" s="255">
        <v>48463</v>
      </c>
      <c r="E13320" s="553">
        <v>109.72</v>
      </c>
      <c r="F13320" s="553">
        <v>1085.1600000000001</v>
      </c>
      <c r="G13320" s="553">
        <v>308.47000000000003</v>
      </c>
      <c r="H13320" s="553">
        <v>109.02</v>
      </c>
      <c r="I13320" s="553">
        <v>266.02999999999997</v>
      </c>
      <c r="J13320" s="647">
        <v>1232.55</v>
      </c>
    </row>
    <row r="13321" spans="2:10">
      <c r="B13321" s="1230" t="s">
        <v>482</v>
      </c>
      <c r="C13321" s="132" t="s">
        <v>3372</v>
      </c>
      <c r="D13321" s="255">
        <v>48465</v>
      </c>
      <c r="E13321" s="553">
        <v>77.489999999999995</v>
      </c>
      <c r="F13321" s="553">
        <v>628.79999999999995</v>
      </c>
      <c r="G13321" s="553">
        <v>179.92</v>
      </c>
      <c r="H13321" s="553">
        <v>64.39</v>
      </c>
      <c r="I13321" s="553">
        <v>566.44000000000005</v>
      </c>
      <c r="J13321" s="647">
        <v>928.58</v>
      </c>
    </row>
    <row r="13322" spans="2:10">
      <c r="B13322" s="1230" t="s">
        <v>482</v>
      </c>
      <c r="C13322" s="132" t="s">
        <v>3373</v>
      </c>
      <c r="D13322" s="255">
        <v>48467</v>
      </c>
      <c r="E13322" s="553">
        <v>216.82</v>
      </c>
      <c r="F13322" s="553">
        <v>2803.39</v>
      </c>
      <c r="G13322" s="553">
        <v>809.96</v>
      </c>
      <c r="H13322" s="553">
        <v>275.31</v>
      </c>
      <c r="I13322" s="553">
        <v>363</v>
      </c>
      <c r="J13322" s="647">
        <v>964.13</v>
      </c>
    </row>
    <row r="13323" spans="2:10">
      <c r="B13323" s="1230" t="s">
        <v>482</v>
      </c>
      <c r="C13323" s="132" t="s">
        <v>3374</v>
      </c>
      <c r="D13323" s="255">
        <v>48469</v>
      </c>
      <c r="E13323" s="553">
        <v>149.6</v>
      </c>
      <c r="F13323" s="553">
        <v>1768.52</v>
      </c>
      <c r="G13323" s="553">
        <v>412.39</v>
      </c>
      <c r="H13323" s="553">
        <v>174.97</v>
      </c>
      <c r="I13323" s="553">
        <v>105.19</v>
      </c>
      <c r="J13323" s="647">
        <v>1291.44</v>
      </c>
    </row>
    <row r="13324" spans="2:10">
      <c r="B13324" s="1230" t="s">
        <v>482</v>
      </c>
      <c r="C13324" s="132" t="s">
        <v>1782</v>
      </c>
      <c r="D13324" s="255">
        <v>48471</v>
      </c>
      <c r="E13324" s="553">
        <v>246.55</v>
      </c>
      <c r="F13324" s="553">
        <v>2837.66</v>
      </c>
      <c r="G13324" s="553">
        <v>699.65</v>
      </c>
      <c r="H13324" s="553">
        <v>281.04000000000002</v>
      </c>
      <c r="I13324" s="553">
        <v>929.02</v>
      </c>
      <c r="J13324" s="647">
        <v>986.37</v>
      </c>
    </row>
    <row r="13325" spans="2:10">
      <c r="B13325" s="1230" t="s">
        <v>482</v>
      </c>
      <c r="C13325" s="132" t="s">
        <v>3375</v>
      </c>
      <c r="D13325" s="255">
        <v>48473</v>
      </c>
      <c r="E13325" s="553">
        <v>250.16</v>
      </c>
      <c r="F13325" s="553">
        <v>2742.6</v>
      </c>
      <c r="G13325" s="553">
        <v>528.05999999999995</v>
      </c>
      <c r="H13325" s="553">
        <v>272.81</v>
      </c>
      <c r="I13325" s="553">
        <v>351.33</v>
      </c>
      <c r="J13325" s="647">
        <v>1611.68</v>
      </c>
    </row>
    <row r="13326" spans="2:10">
      <c r="B13326" s="1230" t="s">
        <v>482</v>
      </c>
      <c r="C13326" s="132" t="s">
        <v>3007</v>
      </c>
      <c r="D13326" s="255">
        <v>48475</v>
      </c>
      <c r="E13326" s="553">
        <v>128.06</v>
      </c>
      <c r="F13326" s="553">
        <v>978.96</v>
      </c>
      <c r="G13326" s="553">
        <v>286.39</v>
      </c>
      <c r="H13326" s="553">
        <v>100.92</v>
      </c>
      <c r="I13326" s="553">
        <v>1049.76</v>
      </c>
      <c r="J13326" s="647">
        <v>565.95000000000005</v>
      </c>
    </row>
    <row r="13327" spans="2:10">
      <c r="B13327" s="1230" t="s">
        <v>482</v>
      </c>
      <c r="C13327" s="132" t="s">
        <v>487</v>
      </c>
      <c r="D13327" s="255">
        <v>48477</v>
      </c>
      <c r="E13327" s="553">
        <v>198.26</v>
      </c>
      <c r="F13327" s="553">
        <v>2353.54</v>
      </c>
      <c r="G13327" s="553">
        <v>666.76</v>
      </c>
      <c r="H13327" s="553">
        <v>232.62</v>
      </c>
      <c r="I13327" s="553">
        <v>392.49</v>
      </c>
      <c r="J13327" s="647">
        <v>990.96</v>
      </c>
    </row>
    <row r="13328" spans="2:10">
      <c r="B13328" s="1230" t="s">
        <v>482</v>
      </c>
      <c r="C13328" s="132" t="s">
        <v>3376</v>
      </c>
      <c r="D13328" s="255">
        <v>48479</v>
      </c>
      <c r="E13328" s="553">
        <v>63.3</v>
      </c>
      <c r="F13328" s="553">
        <v>651.13</v>
      </c>
      <c r="G13328" s="553">
        <v>126.18</v>
      </c>
      <c r="H13328" s="553">
        <v>65.11</v>
      </c>
      <c r="I13328" s="553">
        <v>830.12</v>
      </c>
      <c r="J13328" s="647">
        <v>641.39</v>
      </c>
    </row>
    <row r="13329" spans="2:10">
      <c r="B13329" s="1230" t="s">
        <v>482</v>
      </c>
      <c r="C13329" s="132" t="s">
        <v>3377</v>
      </c>
      <c r="D13329" s="255">
        <v>48481</v>
      </c>
      <c r="E13329" s="553">
        <v>166.08</v>
      </c>
      <c r="F13329" s="553">
        <v>1909.88</v>
      </c>
      <c r="G13329" s="553">
        <v>483.49</v>
      </c>
      <c r="H13329" s="553">
        <v>189.35</v>
      </c>
      <c r="I13329" s="553">
        <v>113.99</v>
      </c>
      <c r="J13329" s="647">
        <v>1486.22</v>
      </c>
    </row>
    <row r="13330" spans="2:10">
      <c r="B13330" s="1230" t="s">
        <v>482</v>
      </c>
      <c r="C13330" s="132" t="s">
        <v>2157</v>
      </c>
      <c r="D13330" s="255">
        <v>48483</v>
      </c>
      <c r="E13330" s="553">
        <v>98</v>
      </c>
      <c r="F13330" s="553">
        <v>946.98</v>
      </c>
      <c r="G13330" s="553">
        <v>424.7</v>
      </c>
      <c r="H13330" s="553">
        <v>95.27</v>
      </c>
      <c r="I13330" s="553">
        <v>355.76</v>
      </c>
      <c r="J13330" s="647">
        <v>585.61</v>
      </c>
    </row>
    <row r="13331" spans="2:10">
      <c r="B13331" s="1230" t="s">
        <v>482</v>
      </c>
      <c r="C13331" s="132" t="s">
        <v>2398</v>
      </c>
      <c r="D13331" s="255">
        <v>48485</v>
      </c>
      <c r="E13331" s="553">
        <v>176.34</v>
      </c>
      <c r="F13331" s="553">
        <v>2256.7199999999998</v>
      </c>
      <c r="G13331" s="553">
        <v>699.38</v>
      </c>
      <c r="H13331" s="553">
        <v>221.99</v>
      </c>
      <c r="I13331" s="553">
        <v>301.72000000000003</v>
      </c>
      <c r="J13331" s="647">
        <v>645.59</v>
      </c>
    </row>
    <row r="13332" spans="2:10">
      <c r="B13332" s="1230" t="s">
        <v>482</v>
      </c>
      <c r="C13332" s="132" t="s">
        <v>3378</v>
      </c>
      <c r="D13332" s="255">
        <v>48487</v>
      </c>
      <c r="E13332" s="553">
        <v>155.9</v>
      </c>
      <c r="F13332" s="553">
        <v>1940.76</v>
      </c>
      <c r="G13332" s="553">
        <v>656.59</v>
      </c>
      <c r="H13332" s="553">
        <v>191.28</v>
      </c>
      <c r="I13332" s="553">
        <v>280.39999999999998</v>
      </c>
      <c r="J13332" s="647">
        <v>607.97</v>
      </c>
    </row>
    <row r="13333" spans="2:10">
      <c r="B13333" s="1230" t="s">
        <v>482</v>
      </c>
      <c r="C13333" s="132" t="s">
        <v>3379</v>
      </c>
      <c r="D13333" s="255">
        <v>48489</v>
      </c>
      <c r="E13333" s="553">
        <v>282.68</v>
      </c>
      <c r="F13333" s="553">
        <v>3858.28</v>
      </c>
      <c r="G13333" s="553">
        <v>593.84</v>
      </c>
      <c r="H13333" s="553">
        <v>377.85</v>
      </c>
      <c r="I13333" s="553">
        <v>132.47</v>
      </c>
      <c r="J13333" s="647">
        <v>776.93</v>
      </c>
    </row>
    <row r="13334" spans="2:10">
      <c r="B13334" s="1230" t="s">
        <v>482</v>
      </c>
      <c r="C13334" s="132" t="s">
        <v>2249</v>
      </c>
      <c r="D13334" s="255">
        <v>48491</v>
      </c>
      <c r="E13334" s="553">
        <v>529.21</v>
      </c>
      <c r="F13334" s="553">
        <v>5776.33</v>
      </c>
      <c r="G13334" s="553">
        <v>1124.06</v>
      </c>
      <c r="H13334" s="553">
        <v>575.17999999999995</v>
      </c>
      <c r="I13334" s="553">
        <v>268.45</v>
      </c>
      <c r="J13334" s="647">
        <v>1419.77</v>
      </c>
    </row>
    <row r="13335" spans="2:10">
      <c r="B13335" s="1230" t="s">
        <v>482</v>
      </c>
      <c r="C13335" s="132" t="s">
        <v>2399</v>
      </c>
      <c r="D13335" s="255">
        <v>48493</v>
      </c>
      <c r="E13335" s="553">
        <v>353.54</v>
      </c>
      <c r="F13335" s="553">
        <v>4326.51</v>
      </c>
      <c r="G13335" s="553">
        <v>547.30999999999995</v>
      </c>
      <c r="H13335" s="553">
        <v>427.09</v>
      </c>
      <c r="I13335" s="553">
        <v>132.63</v>
      </c>
      <c r="J13335" s="647">
        <v>1755.15</v>
      </c>
    </row>
    <row r="13336" spans="2:10">
      <c r="B13336" s="1230" t="s">
        <v>482</v>
      </c>
      <c r="C13336" s="132" t="s">
        <v>3380</v>
      </c>
      <c r="D13336" s="255">
        <v>48495</v>
      </c>
      <c r="E13336" s="553">
        <v>116.36</v>
      </c>
      <c r="F13336" s="553">
        <v>953.05</v>
      </c>
      <c r="G13336" s="553">
        <v>296.27999999999997</v>
      </c>
      <c r="H13336" s="553">
        <v>97.5</v>
      </c>
      <c r="I13336" s="553">
        <v>811.49</v>
      </c>
      <c r="J13336" s="647">
        <v>570.25</v>
      </c>
    </row>
    <row r="13337" spans="2:10">
      <c r="B13337" s="1230" t="s">
        <v>482</v>
      </c>
      <c r="C13337" s="132" t="s">
        <v>3381</v>
      </c>
      <c r="D13337" s="255">
        <v>48497</v>
      </c>
      <c r="E13337" s="553">
        <v>232.48</v>
      </c>
      <c r="F13337" s="553">
        <v>2667.16</v>
      </c>
      <c r="G13337" s="553">
        <v>809.48</v>
      </c>
      <c r="H13337" s="553">
        <v>264.43</v>
      </c>
      <c r="I13337" s="553">
        <v>265.27</v>
      </c>
      <c r="J13337" s="647">
        <v>960.34</v>
      </c>
    </row>
    <row r="13338" spans="2:10">
      <c r="B13338" s="1230" t="s">
        <v>482</v>
      </c>
      <c r="C13338" s="132" t="s">
        <v>3042</v>
      </c>
      <c r="D13338" s="255">
        <v>48499</v>
      </c>
      <c r="E13338" s="553">
        <v>210.85</v>
      </c>
      <c r="F13338" s="553">
        <v>2815.43</v>
      </c>
      <c r="G13338" s="553">
        <v>775.24</v>
      </c>
      <c r="H13338" s="553">
        <v>275.72000000000003</v>
      </c>
      <c r="I13338" s="553">
        <v>388.65</v>
      </c>
      <c r="J13338" s="647">
        <v>922.67</v>
      </c>
    </row>
    <row r="13339" spans="2:10">
      <c r="B13339" s="1230" t="s">
        <v>482</v>
      </c>
      <c r="C13339" s="132" t="s">
        <v>3382</v>
      </c>
      <c r="D13339" s="255">
        <v>48501</v>
      </c>
      <c r="E13339" s="553">
        <v>105.54</v>
      </c>
      <c r="F13339" s="553">
        <v>882.62</v>
      </c>
      <c r="G13339" s="553">
        <v>329.35</v>
      </c>
      <c r="H13339" s="553">
        <v>90.18</v>
      </c>
      <c r="I13339" s="553">
        <v>333.6</v>
      </c>
      <c r="J13339" s="647">
        <v>575.54999999999995</v>
      </c>
    </row>
    <row r="13340" spans="2:10">
      <c r="B13340" s="1230" t="s">
        <v>482</v>
      </c>
      <c r="C13340" s="132" t="s">
        <v>3383</v>
      </c>
      <c r="D13340" s="255">
        <v>48503</v>
      </c>
      <c r="E13340" s="553">
        <v>126.95</v>
      </c>
      <c r="F13340" s="553">
        <v>1439.52</v>
      </c>
      <c r="G13340" s="553">
        <v>539.79</v>
      </c>
      <c r="H13340" s="553">
        <v>142.77000000000001</v>
      </c>
      <c r="I13340" s="553">
        <v>230.74</v>
      </c>
      <c r="J13340" s="647">
        <v>715.85</v>
      </c>
    </row>
    <row r="13341" spans="2:10">
      <c r="B13341" s="1230" t="s">
        <v>482</v>
      </c>
      <c r="C13341" s="132" t="s">
        <v>3384</v>
      </c>
      <c r="D13341" s="255">
        <v>48505</v>
      </c>
      <c r="E13341" s="553">
        <v>55.24</v>
      </c>
      <c r="F13341" s="553">
        <v>565.91</v>
      </c>
      <c r="G13341" s="553">
        <v>136.49</v>
      </c>
      <c r="H13341" s="553">
        <v>56.7</v>
      </c>
      <c r="I13341" s="553">
        <v>521.44000000000005</v>
      </c>
      <c r="J13341" s="647">
        <v>636.89</v>
      </c>
    </row>
    <row r="13342" spans="2:10">
      <c r="B13342" s="1230" t="s">
        <v>482</v>
      </c>
      <c r="C13342" s="132" t="s">
        <v>3385</v>
      </c>
      <c r="D13342" s="255">
        <v>48507</v>
      </c>
      <c r="E13342" s="553">
        <v>95.45</v>
      </c>
      <c r="F13342" s="553">
        <v>928.54</v>
      </c>
      <c r="G13342" s="553">
        <v>272.49</v>
      </c>
      <c r="H13342" s="553">
        <v>93.36</v>
      </c>
      <c r="I13342" s="553">
        <v>435.94</v>
      </c>
      <c r="J13342" s="647">
        <v>1146.42</v>
      </c>
    </row>
    <row r="13343" spans="2:10">
      <c r="B13343" s="1230" t="s">
        <v>483</v>
      </c>
      <c r="C13343" s="132" t="s">
        <v>3046</v>
      </c>
      <c r="D13343" s="255">
        <v>49001</v>
      </c>
      <c r="E13343" s="553">
        <v>96.96</v>
      </c>
      <c r="F13343" s="553">
        <v>768.73</v>
      </c>
      <c r="G13343" s="553">
        <v>205.76</v>
      </c>
      <c r="H13343" s="553">
        <v>78.95</v>
      </c>
      <c r="I13343" s="553">
        <v>671.1</v>
      </c>
      <c r="J13343" s="647">
        <v>614.97</v>
      </c>
    </row>
    <row r="13344" spans="2:10">
      <c r="B13344" s="1230" t="s">
        <v>483</v>
      </c>
      <c r="C13344" s="132" t="s">
        <v>3386</v>
      </c>
      <c r="D13344" s="255">
        <v>49003</v>
      </c>
      <c r="E13344" s="553">
        <v>128.35</v>
      </c>
      <c r="F13344" s="553">
        <v>1079.3499999999999</v>
      </c>
      <c r="G13344" s="553">
        <v>312.51</v>
      </c>
      <c r="H13344" s="553">
        <v>110.13</v>
      </c>
      <c r="I13344" s="553">
        <v>503.01</v>
      </c>
      <c r="J13344" s="647">
        <v>746.71</v>
      </c>
    </row>
    <row r="13345" spans="2:10">
      <c r="B13345" s="1230" t="s">
        <v>483</v>
      </c>
      <c r="C13345" s="132" t="s">
        <v>3387</v>
      </c>
      <c r="D13345" s="255">
        <v>49005</v>
      </c>
      <c r="E13345" s="553">
        <v>218.66</v>
      </c>
      <c r="F13345" s="553">
        <v>1852.34</v>
      </c>
      <c r="G13345" s="553">
        <v>437.99</v>
      </c>
      <c r="H13345" s="553">
        <v>188.91</v>
      </c>
      <c r="I13345" s="553">
        <v>310.70999999999998</v>
      </c>
      <c r="J13345" s="647">
        <v>830.32</v>
      </c>
    </row>
    <row r="13346" spans="2:10">
      <c r="B13346" s="1230" t="s">
        <v>483</v>
      </c>
      <c r="C13346" s="132" t="s">
        <v>2759</v>
      </c>
      <c r="D13346" s="255">
        <v>49007</v>
      </c>
      <c r="E13346" s="553">
        <v>125.32</v>
      </c>
      <c r="F13346" s="553">
        <v>915.85</v>
      </c>
      <c r="G13346" s="553">
        <v>248.2</v>
      </c>
      <c r="H13346" s="553">
        <v>94.98</v>
      </c>
      <c r="I13346" s="553">
        <v>932.46</v>
      </c>
      <c r="J13346" s="647">
        <v>649.79</v>
      </c>
    </row>
    <row r="13347" spans="2:10">
      <c r="B13347" s="1230" t="s">
        <v>483</v>
      </c>
      <c r="C13347" s="132" t="s">
        <v>3388</v>
      </c>
      <c r="D13347" s="255">
        <v>49009</v>
      </c>
      <c r="E13347" s="553">
        <v>82.37</v>
      </c>
      <c r="F13347" s="553">
        <v>555.79</v>
      </c>
      <c r="G13347" s="553">
        <v>233.86</v>
      </c>
      <c r="H13347" s="553">
        <v>58.23</v>
      </c>
      <c r="I13347" s="553">
        <v>360.1</v>
      </c>
      <c r="J13347" s="647">
        <v>606.55999999999995</v>
      </c>
    </row>
    <row r="13348" spans="2:10">
      <c r="B13348" s="1230" t="s">
        <v>483</v>
      </c>
      <c r="C13348" s="132" t="s">
        <v>2302</v>
      </c>
      <c r="D13348" s="255">
        <v>49011</v>
      </c>
      <c r="E13348" s="553">
        <v>450.05</v>
      </c>
      <c r="F13348" s="553">
        <v>3998.88</v>
      </c>
      <c r="G13348" s="553">
        <v>377.67</v>
      </c>
      <c r="H13348" s="553">
        <v>405.59</v>
      </c>
      <c r="I13348" s="553">
        <v>2844.99</v>
      </c>
      <c r="J13348" s="647">
        <v>877.35</v>
      </c>
    </row>
    <row r="13349" spans="2:10">
      <c r="B13349" s="1230" t="s">
        <v>483</v>
      </c>
      <c r="C13349" s="132" t="s">
        <v>3389</v>
      </c>
      <c r="D13349" s="255">
        <v>49013</v>
      </c>
      <c r="E13349" s="553">
        <v>112.13</v>
      </c>
      <c r="F13349" s="553">
        <v>793.19</v>
      </c>
      <c r="G13349" s="553">
        <v>236.84</v>
      </c>
      <c r="H13349" s="553">
        <v>82.61</v>
      </c>
      <c r="I13349" s="553">
        <v>793.53</v>
      </c>
      <c r="J13349" s="647">
        <v>636.01</v>
      </c>
    </row>
    <row r="13350" spans="2:10">
      <c r="B13350" s="1230" t="s">
        <v>483</v>
      </c>
      <c r="C13350" s="132" t="s">
        <v>3390</v>
      </c>
      <c r="D13350" s="255">
        <v>49015</v>
      </c>
      <c r="E13350" s="553">
        <v>124.83</v>
      </c>
      <c r="F13350" s="553">
        <v>954.5</v>
      </c>
      <c r="G13350" s="553">
        <v>317.60000000000002</v>
      </c>
      <c r="H13350" s="553">
        <v>98.41</v>
      </c>
      <c r="I13350" s="553">
        <v>780.68</v>
      </c>
      <c r="J13350" s="647">
        <v>842</v>
      </c>
    </row>
    <row r="13351" spans="2:10">
      <c r="B13351" s="1230" t="s">
        <v>483</v>
      </c>
      <c r="C13351" s="132" t="s">
        <v>1962</v>
      </c>
      <c r="D13351" s="255">
        <v>49017</v>
      </c>
      <c r="E13351" s="553">
        <v>101.18</v>
      </c>
      <c r="F13351" s="553">
        <v>798.18</v>
      </c>
      <c r="G13351" s="553">
        <v>284.11</v>
      </c>
      <c r="H13351" s="553">
        <v>81.93</v>
      </c>
      <c r="I13351" s="553">
        <v>433.77</v>
      </c>
      <c r="J13351" s="647">
        <v>806.79</v>
      </c>
    </row>
    <row r="13352" spans="2:10">
      <c r="B13352" s="1230" t="s">
        <v>483</v>
      </c>
      <c r="C13352" s="132" t="s">
        <v>1964</v>
      </c>
      <c r="D13352" s="255">
        <v>49019</v>
      </c>
      <c r="E13352" s="553">
        <v>105.19</v>
      </c>
      <c r="F13352" s="553">
        <v>862.74</v>
      </c>
      <c r="G13352" s="553">
        <v>326.74</v>
      </c>
      <c r="H13352" s="553">
        <v>88.28</v>
      </c>
      <c r="I13352" s="553">
        <v>631.13</v>
      </c>
      <c r="J13352" s="647">
        <v>828.62</v>
      </c>
    </row>
    <row r="13353" spans="2:10">
      <c r="B13353" s="1230" t="s">
        <v>483</v>
      </c>
      <c r="C13353" s="132" t="s">
        <v>2584</v>
      </c>
      <c r="D13353" s="255">
        <v>49021</v>
      </c>
      <c r="E13353" s="553">
        <v>99.08</v>
      </c>
      <c r="F13353" s="553">
        <v>929.36</v>
      </c>
      <c r="G13353" s="553">
        <v>209.09</v>
      </c>
      <c r="H13353" s="553">
        <v>93.83</v>
      </c>
      <c r="I13353" s="553">
        <v>921.83</v>
      </c>
      <c r="J13353" s="647">
        <v>647.62</v>
      </c>
    </row>
    <row r="13354" spans="2:10">
      <c r="B13354" s="1230" t="s">
        <v>483</v>
      </c>
      <c r="C13354" s="132" t="s">
        <v>3391</v>
      </c>
      <c r="D13354" s="255">
        <v>49023</v>
      </c>
      <c r="E13354" s="553">
        <v>86.54</v>
      </c>
      <c r="F13354" s="553">
        <v>666.39</v>
      </c>
      <c r="G13354" s="553">
        <v>202.89</v>
      </c>
      <c r="H13354" s="553">
        <v>68.680000000000007</v>
      </c>
      <c r="I13354" s="553">
        <v>526.74</v>
      </c>
      <c r="J13354" s="647">
        <v>614.30999999999995</v>
      </c>
    </row>
    <row r="13355" spans="2:10">
      <c r="B13355" s="1230" t="s">
        <v>483</v>
      </c>
      <c r="C13355" s="132" t="s">
        <v>2220</v>
      </c>
      <c r="D13355" s="255">
        <v>49025</v>
      </c>
      <c r="E13355" s="553">
        <v>91.57</v>
      </c>
      <c r="F13355" s="553">
        <v>835.24</v>
      </c>
      <c r="G13355" s="553">
        <v>313.05</v>
      </c>
      <c r="H13355" s="553">
        <v>84.57</v>
      </c>
      <c r="I13355" s="553">
        <v>502.66</v>
      </c>
      <c r="J13355" s="647">
        <v>861.48</v>
      </c>
    </row>
    <row r="13356" spans="2:10">
      <c r="B13356" s="1230" t="s">
        <v>483</v>
      </c>
      <c r="C13356" s="132" t="s">
        <v>3392</v>
      </c>
      <c r="D13356" s="255">
        <v>49027</v>
      </c>
      <c r="E13356" s="553">
        <v>91.66</v>
      </c>
      <c r="F13356" s="553">
        <v>744.77</v>
      </c>
      <c r="G13356" s="553">
        <v>211.49</v>
      </c>
      <c r="H13356" s="553">
        <v>76.239999999999995</v>
      </c>
      <c r="I13356" s="553">
        <v>571.85</v>
      </c>
      <c r="J13356" s="647">
        <v>621.63</v>
      </c>
    </row>
    <row r="13357" spans="2:10">
      <c r="B13357" s="1230" t="s">
        <v>483</v>
      </c>
      <c r="C13357" s="132" t="s">
        <v>1770</v>
      </c>
      <c r="D13357" s="255">
        <v>49029</v>
      </c>
      <c r="E13357" s="553">
        <v>254.89</v>
      </c>
      <c r="F13357" s="553">
        <v>2235.6</v>
      </c>
      <c r="G13357" s="553">
        <v>395.23</v>
      </c>
      <c r="H13357" s="553">
        <v>227.1</v>
      </c>
      <c r="I13357" s="553">
        <v>906.38</v>
      </c>
      <c r="J13357" s="647">
        <v>806.62</v>
      </c>
    </row>
    <row r="13358" spans="2:10">
      <c r="B13358" s="1230" t="s">
        <v>483</v>
      </c>
      <c r="C13358" s="132" t="s">
        <v>3393</v>
      </c>
      <c r="D13358" s="255">
        <v>49031</v>
      </c>
      <c r="E13358" s="553">
        <v>90.3</v>
      </c>
      <c r="F13358" s="553">
        <v>651.80999999999995</v>
      </c>
      <c r="G13358" s="553">
        <v>219.13</v>
      </c>
      <c r="H13358" s="553">
        <v>67.680000000000007</v>
      </c>
      <c r="I13358" s="553">
        <v>396.01</v>
      </c>
      <c r="J13358" s="647">
        <v>583.42999999999995</v>
      </c>
    </row>
    <row r="13359" spans="2:10">
      <c r="B13359" s="1230" t="s">
        <v>483</v>
      </c>
      <c r="C13359" s="132" t="s">
        <v>3394</v>
      </c>
      <c r="D13359" s="255">
        <v>49033</v>
      </c>
      <c r="E13359" s="553">
        <v>135.91</v>
      </c>
      <c r="F13359" s="553">
        <v>1017.8</v>
      </c>
      <c r="G13359" s="553">
        <v>292.35000000000002</v>
      </c>
      <c r="H13359" s="553">
        <v>105.22</v>
      </c>
      <c r="I13359" s="553">
        <v>291.27999999999997</v>
      </c>
      <c r="J13359" s="647">
        <v>682.95</v>
      </c>
    </row>
    <row r="13360" spans="2:10">
      <c r="B13360" s="1230" t="s">
        <v>483</v>
      </c>
      <c r="C13360" s="132" t="s">
        <v>3395</v>
      </c>
      <c r="D13360" s="255">
        <v>49035</v>
      </c>
      <c r="E13360" s="553">
        <v>2106</v>
      </c>
      <c r="F13360" s="553">
        <v>19062.599999999999</v>
      </c>
      <c r="G13360" s="553">
        <v>438.3</v>
      </c>
      <c r="H13360" s="553">
        <v>1929.85</v>
      </c>
      <c r="I13360" s="553">
        <v>45237.11</v>
      </c>
      <c r="J13360" s="647">
        <v>2323.27</v>
      </c>
    </row>
    <row r="13361" spans="2:10">
      <c r="B13361" s="1230" t="s">
        <v>483</v>
      </c>
      <c r="C13361" s="132" t="s">
        <v>1988</v>
      </c>
      <c r="D13361" s="255">
        <v>49037</v>
      </c>
      <c r="E13361" s="553">
        <v>93.1</v>
      </c>
      <c r="F13361" s="553">
        <v>799.87</v>
      </c>
      <c r="G13361" s="553">
        <v>299.48</v>
      </c>
      <c r="H13361" s="553">
        <v>81.38</v>
      </c>
      <c r="I13361" s="553">
        <v>417.09</v>
      </c>
      <c r="J13361" s="647">
        <v>816.57</v>
      </c>
    </row>
    <row r="13362" spans="2:10">
      <c r="B13362" s="1230" t="s">
        <v>483</v>
      </c>
      <c r="C13362" s="132" t="s">
        <v>3396</v>
      </c>
      <c r="D13362" s="255">
        <v>49039</v>
      </c>
      <c r="E13362" s="553">
        <v>124.82</v>
      </c>
      <c r="F13362" s="553">
        <v>1059.3</v>
      </c>
      <c r="G13362" s="553">
        <v>240.46</v>
      </c>
      <c r="H13362" s="553">
        <v>107.95</v>
      </c>
      <c r="I13362" s="553">
        <v>984.58</v>
      </c>
      <c r="J13362" s="647">
        <v>656.96</v>
      </c>
    </row>
    <row r="13363" spans="2:10">
      <c r="B13363" s="1230" t="s">
        <v>483</v>
      </c>
      <c r="C13363" s="132" t="s">
        <v>1876</v>
      </c>
      <c r="D13363" s="255">
        <v>49041</v>
      </c>
      <c r="E13363" s="553">
        <v>85.72</v>
      </c>
      <c r="F13363" s="553">
        <v>631.76</v>
      </c>
      <c r="G13363" s="553">
        <v>201.9</v>
      </c>
      <c r="H13363" s="553">
        <v>65.39</v>
      </c>
      <c r="I13363" s="553">
        <v>434.75</v>
      </c>
      <c r="J13363" s="647">
        <v>582.22</v>
      </c>
    </row>
    <row r="13364" spans="2:10">
      <c r="B13364" s="1230" t="s">
        <v>483</v>
      </c>
      <c r="C13364" s="132" t="s">
        <v>1991</v>
      </c>
      <c r="D13364" s="255">
        <v>49043</v>
      </c>
      <c r="E13364" s="553">
        <v>110.26</v>
      </c>
      <c r="F13364" s="553">
        <v>755.47</v>
      </c>
      <c r="G13364" s="553">
        <v>236.85</v>
      </c>
      <c r="H13364" s="553">
        <v>78.88</v>
      </c>
      <c r="I13364" s="553">
        <v>685.07</v>
      </c>
      <c r="J13364" s="647">
        <v>623.30999999999995</v>
      </c>
    </row>
    <row r="13365" spans="2:10">
      <c r="B13365" s="1230" t="s">
        <v>483</v>
      </c>
      <c r="C13365" s="132" t="s">
        <v>3397</v>
      </c>
      <c r="D13365" s="255">
        <v>49045</v>
      </c>
      <c r="E13365" s="553">
        <v>157.13</v>
      </c>
      <c r="F13365" s="553">
        <v>1378.88</v>
      </c>
      <c r="G13365" s="553">
        <v>272.35000000000002</v>
      </c>
      <c r="H13365" s="553">
        <v>140.05000000000001</v>
      </c>
      <c r="I13365" s="553">
        <v>1534.46</v>
      </c>
      <c r="J13365" s="647">
        <v>815.2</v>
      </c>
    </row>
    <row r="13366" spans="2:10">
      <c r="B13366" s="1230" t="s">
        <v>483</v>
      </c>
      <c r="C13366" s="132" t="s">
        <v>3398</v>
      </c>
      <c r="D13366" s="255">
        <v>49047</v>
      </c>
      <c r="E13366" s="553">
        <v>117.38</v>
      </c>
      <c r="F13366" s="553">
        <v>930.51</v>
      </c>
      <c r="G13366" s="553">
        <v>350.41</v>
      </c>
      <c r="H13366" s="553">
        <v>95.58</v>
      </c>
      <c r="I13366" s="553">
        <v>748.1</v>
      </c>
      <c r="J13366" s="647">
        <v>848.52</v>
      </c>
    </row>
    <row r="13367" spans="2:10">
      <c r="B13367" s="1230" t="s">
        <v>483</v>
      </c>
      <c r="C13367" s="132" t="s">
        <v>483</v>
      </c>
      <c r="D13367" s="255">
        <v>49049</v>
      </c>
      <c r="E13367" s="553">
        <v>350.47</v>
      </c>
      <c r="F13367" s="553">
        <v>3153.72</v>
      </c>
      <c r="G13367" s="553">
        <v>385.57</v>
      </c>
      <c r="H13367" s="553">
        <v>319.54000000000002</v>
      </c>
      <c r="I13367" s="553">
        <v>4735.9799999999996</v>
      </c>
      <c r="J13367" s="647">
        <v>980</v>
      </c>
    </row>
    <row r="13368" spans="2:10">
      <c r="B13368" s="1230" t="s">
        <v>483</v>
      </c>
      <c r="C13368" s="132" t="s">
        <v>3399</v>
      </c>
      <c r="D13368" s="255">
        <v>49051</v>
      </c>
      <c r="E13368" s="553">
        <v>283.61</v>
      </c>
      <c r="F13368" s="553">
        <v>2555.5</v>
      </c>
      <c r="G13368" s="553">
        <v>458.04</v>
      </c>
      <c r="H13368" s="553">
        <v>258.92</v>
      </c>
      <c r="I13368" s="553">
        <v>1897.73</v>
      </c>
      <c r="J13368" s="647">
        <v>898.34</v>
      </c>
    </row>
    <row r="13369" spans="2:10">
      <c r="B13369" s="1230" t="s">
        <v>483</v>
      </c>
      <c r="C13369" s="132" t="s">
        <v>487</v>
      </c>
      <c r="D13369" s="255">
        <v>49053</v>
      </c>
      <c r="E13369" s="553">
        <v>90.83</v>
      </c>
      <c r="F13369" s="553">
        <v>889.95</v>
      </c>
      <c r="G13369" s="553">
        <v>172.34</v>
      </c>
      <c r="H13369" s="553">
        <v>89.44</v>
      </c>
      <c r="I13369" s="553">
        <v>1154.8599999999999</v>
      </c>
      <c r="J13369" s="647">
        <v>560.04</v>
      </c>
    </row>
    <row r="13370" spans="2:10">
      <c r="B13370" s="1230" t="s">
        <v>483</v>
      </c>
      <c r="C13370" s="132" t="s">
        <v>2155</v>
      </c>
      <c r="D13370" s="255">
        <v>49055</v>
      </c>
      <c r="E13370" s="553">
        <v>110.77</v>
      </c>
      <c r="F13370" s="553">
        <v>846.17</v>
      </c>
      <c r="G13370" s="553">
        <v>301.23</v>
      </c>
      <c r="H13370" s="553">
        <v>87.29</v>
      </c>
      <c r="I13370" s="553">
        <v>535.97</v>
      </c>
      <c r="J13370" s="647">
        <v>819.43</v>
      </c>
    </row>
    <row r="13371" spans="2:10">
      <c r="B13371" s="1230" t="s">
        <v>483</v>
      </c>
      <c r="C13371" s="132" t="s">
        <v>3400</v>
      </c>
      <c r="D13371" s="255">
        <v>49057</v>
      </c>
      <c r="E13371" s="553">
        <v>379.93</v>
      </c>
      <c r="F13371" s="553">
        <v>3500</v>
      </c>
      <c r="G13371" s="553">
        <v>567.04999999999995</v>
      </c>
      <c r="H13371" s="553">
        <v>353.74</v>
      </c>
      <c r="I13371" s="553">
        <v>684.03</v>
      </c>
      <c r="J13371" s="647">
        <v>954.77</v>
      </c>
    </row>
    <row r="13372" spans="2:10">
      <c r="B13372" s="1230" t="s">
        <v>484</v>
      </c>
      <c r="C13372" s="132" t="s">
        <v>3401</v>
      </c>
      <c r="D13372" s="255">
        <v>50001</v>
      </c>
      <c r="E13372" s="553">
        <v>135.75</v>
      </c>
      <c r="F13372" s="553">
        <v>1559.23</v>
      </c>
      <c r="G13372" s="553">
        <v>56.73</v>
      </c>
      <c r="H13372" s="553">
        <v>154.58000000000001</v>
      </c>
      <c r="I13372" s="553">
        <v>2151.66</v>
      </c>
      <c r="J13372" s="647">
        <v>903.09</v>
      </c>
    </row>
    <row r="13373" spans="2:10">
      <c r="B13373" s="1230" t="s">
        <v>484</v>
      </c>
      <c r="C13373" s="132" t="s">
        <v>3402</v>
      </c>
      <c r="D13373" s="255">
        <v>50003</v>
      </c>
      <c r="E13373" s="553">
        <v>231.75</v>
      </c>
      <c r="F13373" s="553">
        <v>2711.05</v>
      </c>
      <c r="G13373" s="553">
        <v>83.74</v>
      </c>
      <c r="H13373" s="553">
        <v>268.42</v>
      </c>
      <c r="I13373" s="553">
        <v>3032</v>
      </c>
      <c r="J13373" s="647">
        <v>1346.67</v>
      </c>
    </row>
    <row r="13374" spans="2:10">
      <c r="B13374" s="1230" t="s">
        <v>484</v>
      </c>
      <c r="C13374" s="132" t="s">
        <v>3403</v>
      </c>
      <c r="D13374" s="255">
        <v>50005</v>
      </c>
      <c r="E13374" s="553">
        <v>148.13999999999999</v>
      </c>
      <c r="F13374" s="553">
        <v>1721.95</v>
      </c>
      <c r="G13374" s="553">
        <v>64</v>
      </c>
      <c r="H13374" s="553">
        <v>170.52</v>
      </c>
      <c r="I13374" s="553">
        <v>1986.18</v>
      </c>
      <c r="J13374" s="647">
        <v>1010.83</v>
      </c>
    </row>
    <row r="13375" spans="2:10">
      <c r="B13375" s="1230" t="s">
        <v>484</v>
      </c>
      <c r="C13375" s="132" t="s">
        <v>3404</v>
      </c>
      <c r="D13375" s="255">
        <v>50007</v>
      </c>
      <c r="E13375" s="553">
        <v>180.73</v>
      </c>
      <c r="F13375" s="553">
        <v>2023.87</v>
      </c>
      <c r="G13375" s="553">
        <v>67.849999999999994</v>
      </c>
      <c r="H13375" s="553">
        <v>201.24</v>
      </c>
      <c r="I13375" s="553">
        <v>3206.36</v>
      </c>
      <c r="J13375" s="647">
        <v>932.48</v>
      </c>
    </row>
    <row r="13376" spans="2:10">
      <c r="B13376" s="1230" t="s">
        <v>484</v>
      </c>
      <c r="C13376" s="132" t="s">
        <v>2552</v>
      </c>
      <c r="D13376" s="255">
        <v>50009</v>
      </c>
      <c r="E13376" s="553">
        <v>144.27000000000001</v>
      </c>
      <c r="F13376" s="553">
        <v>1715.17</v>
      </c>
      <c r="G13376" s="553">
        <v>64.98</v>
      </c>
      <c r="H13376" s="553">
        <v>169.51</v>
      </c>
      <c r="I13376" s="553">
        <v>1694.4</v>
      </c>
      <c r="J13376" s="647">
        <v>953.79</v>
      </c>
    </row>
    <row r="13377" spans="2:10">
      <c r="B13377" s="1230" t="s">
        <v>484</v>
      </c>
      <c r="C13377" s="132" t="s">
        <v>1748</v>
      </c>
      <c r="D13377" s="255">
        <v>50011</v>
      </c>
      <c r="E13377" s="553">
        <v>121.19</v>
      </c>
      <c r="F13377" s="553">
        <v>1331.02</v>
      </c>
      <c r="G13377" s="553">
        <v>74.849999999999994</v>
      </c>
      <c r="H13377" s="553">
        <v>132.56</v>
      </c>
      <c r="I13377" s="553">
        <v>1581.4</v>
      </c>
      <c r="J13377" s="647">
        <v>786.16</v>
      </c>
    </row>
    <row r="13378" spans="2:10">
      <c r="B13378" s="1230" t="s">
        <v>484</v>
      </c>
      <c r="C13378" s="132" t="s">
        <v>3405</v>
      </c>
      <c r="D13378" s="255">
        <v>50013</v>
      </c>
      <c r="E13378" s="553">
        <v>116.63</v>
      </c>
      <c r="F13378" s="553">
        <v>1230.83</v>
      </c>
      <c r="G13378" s="553">
        <v>65.849999999999994</v>
      </c>
      <c r="H13378" s="553">
        <v>122.94</v>
      </c>
      <c r="I13378" s="553">
        <v>1319.06</v>
      </c>
      <c r="J13378" s="647">
        <v>773.56</v>
      </c>
    </row>
    <row r="13379" spans="2:10">
      <c r="B13379" s="1230" t="s">
        <v>484</v>
      </c>
      <c r="C13379" s="132" t="s">
        <v>3406</v>
      </c>
      <c r="D13379" s="255">
        <v>50015</v>
      </c>
      <c r="E13379" s="553">
        <v>178.89</v>
      </c>
      <c r="F13379" s="553">
        <v>2007.07</v>
      </c>
      <c r="G13379" s="553">
        <v>85.74</v>
      </c>
      <c r="H13379" s="553">
        <v>199.4</v>
      </c>
      <c r="I13379" s="553">
        <v>2303.34</v>
      </c>
      <c r="J13379" s="647">
        <v>1078.54</v>
      </c>
    </row>
    <row r="13380" spans="2:10">
      <c r="B13380" s="1230" t="s">
        <v>484</v>
      </c>
      <c r="C13380" s="132" t="s">
        <v>1912</v>
      </c>
      <c r="D13380" s="255">
        <v>50017</v>
      </c>
      <c r="E13380" s="553">
        <v>193.23</v>
      </c>
      <c r="F13380" s="553">
        <v>2253.54</v>
      </c>
      <c r="G13380" s="553">
        <v>81.48</v>
      </c>
      <c r="H13380" s="553">
        <v>223.2</v>
      </c>
      <c r="I13380" s="553">
        <v>2557.63</v>
      </c>
      <c r="J13380" s="647">
        <v>1199.47</v>
      </c>
    </row>
    <row r="13381" spans="2:10">
      <c r="B13381" s="1230" t="s">
        <v>484</v>
      </c>
      <c r="C13381" s="132" t="s">
        <v>2899</v>
      </c>
      <c r="D13381" s="255">
        <v>50019</v>
      </c>
      <c r="E13381" s="553">
        <v>143.54</v>
      </c>
      <c r="F13381" s="553">
        <v>1632.45</v>
      </c>
      <c r="G13381" s="553">
        <v>71.55</v>
      </c>
      <c r="H13381" s="553">
        <v>161.94</v>
      </c>
      <c r="I13381" s="553">
        <v>1817.99</v>
      </c>
      <c r="J13381" s="647">
        <v>972.94</v>
      </c>
    </row>
    <row r="13382" spans="2:10">
      <c r="B13382" s="1230" t="s">
        <v>484</v>
      </c>
      <c r="C13382" s="132" t="s">
        <v>3407</v>
      </c>
      <c r="D13382" s="255">
        <v>50021</v>
      </c>
      <c r="E13382" s="553">
        <v>204.75</v>
      </c>
      <c r="F13382" s="553">
        <v>2428.9899999999998</v>
      </c>
      <c r="G13382" s="553">
        <v>79.92</v>
      </c>
      <c r="H13382" s="553">
        <v>240.19</v>
      </c>
      <c r="I13382" s="553">
        <v>2965.06</v>
      </c>
      <c r="J13382" s="647">
        <v>1214.1099999999999</v>
      </c>
    </row>
    <row r="13383" spans="2:10">
      <c r="B13383" s="1230" t="s">
        <v>484</v>
      </c>
      <c r="C13383" s="132" t="s">
        <v>487</v>
      </c>
      <c r="D13383" s="255">
        <v>50023</v>
      </c>
      <c r="E13383" s="553">
        <v>164.63</v>
      </c>
      <c r="F13383" s="553">
        <v>1866.5</v>
      </c>
      <c r="G13383" s="553">
        <v>80.87</v>
      </c>
      <c r="H13383" s="553">
        <v>185.24</v>
      </c>
      <c r="I13383" s="553">
        <v>2497.7800000000002</v>
      </c>
      <c r="J13383" s="647">
        <v>935.52</v>
      </c>
    </row>
    <row r="13384" spans="2:10">
      <c r="B13384" s="1230" t="s">
        <v>484</v>
      </c>
      <c r="C13384" s="132" t="s">
        <v>2001</v>
      </c>
      <c r="D13384" s="255">
        <v>50025</v>
      </c>
      <c r="E13384" s="553">
        <v>266.48</v>
      </c>
      <c r="F13384" s="553">
        <v>3118.68</v>
      </c>
      <c r="G13384" s="553">
        <v>65.44</v>
      </c>
      <c r="H13384" s="553">
        <v>308.77999999999997</v>
      </c>
      <c r="I13384" s="553">
        <v>3856.19</v>
      </c>
      <c r="J13384" s="647">
        <v>1409.47</v>
      </c>
    </row>
    <row r="13385" spans="2:10">
      <c r="B13385" s="1230" t="s">
        <v>484</v>
      </c>
      <c r="C13385" s="132" t="s">
        <v>3408</v>
      </c>
      <c r="D13385" s="255">
        <v>50027</v>
      </c>
      <c r="E13385" s="553">
        <v>203.79</v>
      </c>
      <c r="F13385" s="553">
        <v>2401.17</v>
      </c>
      <c r="G13385" s="553">
        <v>73.05</v>
      </c>
      <c r="H13385" s="553">
        <v>237.66</v>
      </c>
      <c r="I13385" s="553">
        <v>2478.1999999999998</v>
      </c>
      <c r="J13385" s="647">
        <v>1182.82</v>
      </c>
    </row>
    <row r="13386" spans="2:10">
      <c r="B13386" s="1230" t="s">
        <v>486</v>
      </c>
      <c r="C13386" s="132" t="s">
        <v>3409</v>
      </c>
      <c r="D13386" s="255">
        <v>51001</v>
      </c>
      <c r="E13386" s="553">
        <v>219.81</v>
      </c>
      <c r="F13386" s="553">
        <v>2686.51</v>
      </c>
      <c r="G13386" s="553">
        <v>194.36</v>
      </c>
      <c r="H13386" s="553">
        <v>264.89999999999998</v>
      </c>
      <c r="I13386" s="553">
        <v>2166.59</v>
      </c>
      <c r="J13386" s="647">
        <v>2154.27</v>
      </c>
    </row>
    <row r="13387" spans="2:10">
      <c r="B13387" s="1230" t="s">
        <v>486</v>
      </c>
      <c r="C13387" s="132" t="s">
        <v>3410</v>
      </c>
      <c r="D13387" s="255">
        <v>51003</v>
      </c>
      <c r="E13387" s="553">
        <v>349.17</v>
      </c>
      <c r="F13387" s="553">
        <v>4133.33</v>
      </c>
      <c r="G13387" s="553">
        <v>205.23</v>
      </c>
      <c r="H13387" s="553">
        <v>408.45</v>
      </c>
      <c r="I13387" s="553">
        <v>4543.05</v>
      </c>
      <c r="J13387" s="647">
        <v>2417.16</v>
      </c>
    </row>
    <row r="13388" spans="2:10">
      <c r="B13388" s="1230" t="s">
        <v>486</v>
      </c>
      <c r="C13388" s="132" t="s">
        <v>2915</v>
      </c>
      <c r="D13388" s="255">
        <v>51005</v>
      </c>
      <c r="E13388" s="553">
        <v>301.79000000000002</v>
      </c>
      <c r="F13388" s="553">
        <v>3656.62</v>
      </c>
      <c r="G13388" s="553">
        <v>220.82</v>
      </c>
      <c r="H13388" s="553">
        <v>360.77</v>
      </c>
      <c r="I13388" s="553">
        <v>4090.02</v>
      </c>
      <c r="J13388" s="647">
        <v>2357.7600000000002</v>
      </c>
    </row>
    <row r="13389" spans="2:10">
      <c r="B13389" s="1230" t="s">
        <v>486</v>
      </c>
      <c r="C13389" s="132" t="s">
        <v>3411</v>
      </c>
      <c r="D13389" s="255">
        <v>51007</v>
      </c>
      <c r="E13389" s="553">
        <v>382.05</v>
      </c>
      <c r="F13389" s="553">
        <v>4365.07</v>
      </c>
      <c r="G13389" s="553">
        <v>185.44</v>
      </c>
      <c r="H13389" s="553">
        <v>432.56</v>
      </c>
      <c r="I13389" s="553">
        <v>5893.5</v>
      </c>
      <c r="J13389" s="647">
        <v>2391.77</v>
      </c>
    </row>
    <row r="13390" spans="2:10">
      <c r="B13390" s="1230" t="s">
        <v>486</v>
      </c>
      <c r="C13390" s="132" t="s">
        <v>3412</v>
      </c>
      <c r="D13390" s="255">
        <v>51009</v>
      </c>
      <c r="E13390" s="553">
        <v>364.19</v>
      </c>
      <c r="F13390" s="553">
        <v>4403.96</v>
      </c>
      <c r="G13390" s="553">
        <v>221.68</v>
      </c>
      <c r="H13390" s="553">
        <v>434.52</v>
      </c>
      <c r="I13390" s="553">
        <v>6330.31</v>
      </c>
      <c r="J13390" s="647">
        <v>2591.6999999999998</v>
      </c>
    </row>
    <row r="13391" spans="2:10">
      <c r="B13391" s="1230" t="s">
        <v>486</v>
      </c>
      <c r="C13391" s="132" t="s">
        <v>3413</v>
      </c>
      <c r="D13391" s="255">
        <v>51011</v>
      </c>
      <c r="E13391" s="553">
        <v>288.35000000000002</v>
      </c>
      <c r="F13391" s="553">
        <v>3433.65</v>
      </c>
      <c r="G13391" s="553">
        <v>205.41</v>
      </c>
      <c r="H13391" s="553">
        <v>339.15</v>
      </c>
      <c r="I13391" s="553">
        <v>4430.6099999999997</v>
      </c>
      <c r="J13391" s="647">
        <v>2356.3200000000002</v>
      </c>
    </row>
    <row r="13392" spans="2:10">
      <c r="B13392" s="1230" t="s">
        <v>486</v>
      </c>
      <c r="C13392" s="132" t="s">
        <v>3414</v>
      </c>
      <c r="D13392" s="255">
        <v>51013</v>
      </c>
      <c r="E13392" s="553">
        <v>1979.33</v>
      </c>
      <c r="F13392" s="553">
        <v>19199.349999999999</v>
      </c>
      <c r="G13392" s="553">
        <v>152.4</v>
      </c>
      <c r="H13392" s="553">
        <v>1930.13</v>
      </c>
      <c r="I13392" s="553">
        <v>35398.93</v>
      </c>
      <c r="J13392" s="647">
        <v>5164.83</v>
      </c>
    </row>
    <row r="13393" spans="2:10">
      <c r="B13393" s="1230" t="s">
        <v>486</v>
      </c>
      <c r="C13393" s="132" t="s">
        <v>3415</v>
      </c>
      <c r="D13393" s="255">
        <v>51015</v>
      </c>
      <c r="E13393" s="553">
        <v>332.99</v>
      </c>
      <c r="F13393" s="553">
        <v>4141.78</v>
      </c>
      <c r="G13393" s="553">
        <v>311.2</v>
      </c>
      <c r="H13393" s="553">
        <v>407.79</v>
      </c>
      <c r="I13393" s="553">
        <v>3125.8</v>
      </c>
      <c r="J13393" s="647">
        <v>2549.35</v>
      </c>
    </row>
    <row r="13394" spans="2:10">
      <c r="B13394" s="1230" t="s">
        <v>486</v>
      </c>
      <c r="C13394" s="132" t="s">
        <v>2404</v>
      </c>
      <c r="D13394" s="255">
        <v>51017</v>
      </c>
      <c r="E13394" s="553">
        <v>260.88</v>
      </c>
      <c r="F13394" s="553">
        <v>3159.26</v>
      </c>
      <c r="G13394" s="553">
        <v>234.03</v>
      </c>
      <c r="H13394" s="553">
        <v>311.58</v>
      </c>
      <c r="I13394" s="553">
        <v>2813.94</v>
      </c>
      <c r="J13394" s="647">
        <v>2271.73</v>
      </c>
    </row>
    <row r="13395" spans="2:10">
      <c r="B13395" s="1230" t="s">
        <v>486</v>
      </c>
      <c r="C13395" s="132" t="s">
        <v>3103</v>
      </c>
      <c r="D13395" s="255">
        <v>51019</v>
      </c>
      <c r="E13395" s="553">
        <v>584.77</v>
      </c>
      <c r="F13395" s="553">
        <v>7324.87</v>
      </c>
      <c r="G13395" s="553">
        <v>232.09</v>
      </c>
      <c r="H13395" s="553">
        <v>720.75</v>
      </c>
      <c r="I13395" s="553">
        <v>12034.86</v>
      </c>
      <c r="J13395" s="647">
        <v>3410.13</v>
      </c>
    </row>
    <row r="13396" spans="2:10">
      <c r="B13396" s="1230" t="s">
        <v>486</v>
      </c>
      <c r="C13396" s="132" t="s">
        <v>3416</v>
      </c>
      <c r="D13396" s="255">
        <v>51021</v>
      </c>
      <c r="E13396" s="553">
        <v>263.33999999999997</v>
      </c>
      <c r="F13396" s="553">
        <v>3326.23</v>
      </c>
      <c r="G13396" s="553">
        <v>208.2</v>
      </c>
      <c r="H13396" s="553">
        <v>327.08999999999997</v>
      </c>
      <c r="I13396" s="553">
        <v>4462.92</v>
      </c>
      <c r="J13396" s="647">
        <v>2178.4699999999998</v>
      </c>
    </row>
    <row r="13397" spans="2:10">
      <c r="B13397" s="1230" t="s">
        <v>486</v>
      </c>
      <c r="C13397" s="132" t="s">
        <v>3417</v>
      </c>
      <c r="D13397" s="255">
        <v>51023</v>
      </c>
      <c r="E13397" s="553">
        <v>585.87</v>
      </c>
      <c r="F13397" s="553">
        <v>7243.55</v>
      </c>
      <c r="G13397" s="553">
        <v>229.51</v>
      </c>
      <c r="H13397" s="553">
        <v>713.32</v>
      </c>
      <c r="I13397" s="553">
        <v>11405.21</v>
      </c>
      <c r="J13397" s="647">
        <v>3207.74</v>
      </c>
    </row>
    <row r="13398" spans="2:10">
      <c r="B13398" s="1230" t="s">
        <v>486</v>
      </c>
      <c r="C13398" s="132" t="s">
        <v>2922</v>
      </c>
      <c r="D13398" s="255">
        <v>51025</v>
      </c>
      <c r="E13398" s="553">
        <v>317.02999999999997</v>
      </c>
      <c r="F13398" s="553">
        <v>3664.43</v>
      </c>
      <c r="G13398" s="553">
        <v>207.98</v>
      </c>
      <c r="H13398" s="553">
        <v>362.89</v>
      </c>
      <c r="I13398" s="553">
        <v>4840.43</v>
      </c>
      <c r="J13398" s="647">
        <v>2278.06</v>
      </c>
    </row>
    <row r="13399" spans="2:10">
      <c r="B13399" s="1230" t="s">
        <v>486</v>
      </c>
      <c r="C13399" s="132" t="s">
        <v>2297</v>
      </c>
      <c r="D13399" s="255">
        <v>51027</v>
      </c>
      <c r="E13399" s="553">
        <v>317.07</v>
      </c>
      <c r="F13399" s="553">
        <v>4235.87</v>
      </c>
      <c r="G13399" s="553">
        <v>181.94</v>
      </c>
      <c r="H13399" s="553">
        <v>414.9</v>
      </c>
      <c r="I13399" s="553">
        <v>3252.56</v>
      </c>
      <c r="J13399" s="647">
        <v>2535.38</v>
      </c>
    </row>
    <row r="13400" spans="2:10">
      <c r="B13400" s="1230" t="s">
        <v>486</v>
      </c>
      <c r="C13400" s="132" t="s">
        <v>3418</v>
      </c>
      <c r="D13400" s="255">
        <v>51029</v>
      </c>
      <c r="E13400" s="553">
        <v>276.98</v>
      </c>
      <c r="F13400" s="553">
        <v>3259.2</v>
      </c>
      <c r="G13400" s="553">
        <v>178.7</v>
      </c>
      <c r="H13400" s="553">
        <v>322.26</v>
      </c>
      <c r="I13400" s="553">
        <v>3820.93</v>
      </c>
      <c r="J13400" s="647">
        <v>2145.2399999999998</v>
      </c>
    </row>
    <row r="13401" spans="2:10">
      <c r="B13401" s="1230" t="s">
        <v>486</v>
      </c>
      <c r="C13401" s="132" t="s">
        <v>2414</v>
      </c>
      <c r="D13401" s="255">
        <v>51031</v>
      </c>
      <c r="E13401" s="553">
        <v>459.62</v>
      </c>
      <c r="F13401" s="553">
        <v>5702.79</v>
      </c>
      <c r="G13401" s="553">
        <v>220.06</v>
      </c>
      <c r="H13401" s="553">
        <v>561.66</v>
      </c>
      <c r="I13401" s="553">
        <v>8727.2999999999993</v>
      </c>
      <c r="J13401" s="647">
        <v>2905.93</v>
      </c>
    </row>
    <row r="13402" spans="2:10">
      <c r="B13402" s="1230" t="s">
        <v>486</v>
      </c>
      <c r="C13402" s="132" t="s">
        <v>2535</v>
      </c>
      <c r="D13402" s="255">
        <v>51033</v>
      </c>
      <c r="E13402" s="553">
        <v>518.77</v>
      </c>
      <c r="F13402" s="553">
        <v>5999.48</v>
      </c>
      <c r="G13402" s="553">
        <v>184.38</v>
      </c>
      <c r="H13402" s="553">
        <v>594.01</v>
      </c>
      <c r="I13402" s="553">
        <v>4900.01</v>
      </c>
      <c r="J13402" s="647">
        <v>2978.31</v>
      </c>
    </row>
    <row r="13403" spans="2:10">
      <c r="B13403" s="1230" t="s">
        <v>486</v>
      </c>
      <c r="C13403" s="132" t="s">
        <v>1835</v>
      </c>
      <c r="D13403" s="255">
        <v>51035</v>
      </c>
      <c r="E13403" s="553">
        <v>330.36</v>
      </c>
      <c r="F13403" s="553">
        <v>4191.1899999999996</v>
      </c>
      <c r="G13403" s="553">
        <v>234.98</v>
      </c>
      <c r="H13403" s="553">
        <v>412.08</v>
      </c>
      <c r="I13403" s="553">
        <v>5669.14</v>
      </c>
      <c r="J13403" s="647">
        <v>2502.6999999999998</v>
      </c>
    </row>
    <row r="13404" spans="2:10">
      <c r="B13404" s="1230" t="s">
        <v>486</v>
      </c>
      <c r="C13404" s="132" t="s">
        <v>3419</v>
      </c>
      <c r="D13404" s="255">
        <v>51036</v>
      </c>
      <c r="E13404" s="553">
        <v>365.36</v>
      </c>
      <c r="F13404" s="553">
        <v>4086</v>
      </c>
      <c r="G13404" s="553">
        <v>209.72</v>
      </c>
      <c r="H13404" s="553">
        <v>405.78</v>
      </c>
      <c r="I13404" s="553">
        <v>4005.78</v>
      </c>
      <c r="J13404" s="647">
        <v>2721.53</v>
      </c>
    </row>
    <row r="13405" spans="2:10">
      <c r="B13405" s="1230" t="s">
        <v>486</v>
      </c>
      <c r="C13405" s="132" t="s">
        <v>2011</v>
      </c>
      <c r="D13405" s="255">
        <v>51037</v>
      </c>
      <c r="E13405" s="553">
        <v>295.27999999999997</v>
      </c>
      <c r="F13405" s="553">
        <v>3671.89</v>
      </c>
      <c r="G13405" s="553">
        <v>205.46</v>
      </c>
      <c r="H13405" s="553">
        <v>361.43</v>
      </c>
      <c r="I13405" s="553">
        <v>5145.13</v>
      </c>
      <c r="J13405" s="647">
        <v>2328.67</v>
      </c>
    </row>
    <row r="13406" spans="2:10">
      <c r="B13406" s="1230" t="s">
        <v>486</v>
      </c>
      <c r="C13406" s="132" t="s">
        <v>3142</v>
      </c>
      <c r="D13406" s="255">
        <v>51041</v>
      </c>
      <c r="E13406" s="553">
        <v>848.78</v>
      </c>
      <c r="F13406" s="553">
        <v>9630.2199999999993</v>
      </c>
      <c r="G13406" s="553">
        <v>179.58</v>
      </c>
      <c r="H13406" s="553">
        <v>954.76</v>
      </c>
      <c r="I13406" s="553">
        <v>16326.7</v>
      </c>
      <c r="J13406" s="647">
        <v>3220.34</v>
      </c>
    </row>
    <row r="13407" spans="2:10">
      <c r="B13407" s="1230" t="s">
        <v>486</v>
      </c>
      <c r="C13407" s="132" t="s">
        <v>1731</v>
      </c>
      <c r="D13407" s="255">
        <v>51043</v>
      </c>
      <c r="E13407" s="553">
        <v>479.21</v>
      </c>
      <c r="F13407" s="553">
        <v>5451.17</v>
      </c>
      <c r="G13407" s="553">
        <v>247.51</v>
      </c>
      <c r="H13407" s="553">
        <v>540.5</v>
      </c>
      <c r="I13407" s="553">
        <v>7197.79</v>
      </c>
      <c r="J13407" s="647">
        <v>2702.7</v>
      </c>
    </row>
    <row r="13408" spans="2:10">
      <c r="B13408" s="1230" t="s">
        <v>486</v>
      </c>
      <c r="C13408" s="132" t="s">
        <v>3053</v>
      </c>
      <c r="D13408" s="255">
        <v>51045</v>
      </c>
      <c r="E13408" s="553">
        <v>284.43</v>
      </c>
      <c r="F13408" s="553">
        <v>3486.79</v>
      </c>
      <c r="G13408" s="553">
        <v>217.2</v>
      </c>
      <c r="H13408" s="553">
        <v>343.61</v>
      </c>
      <c r="I13408" s="553">
        <v>4386.72</v>
      </c>
      <c r="J13408" s="647">
        <v>2298.92</v>
      </c>
    </row>
    <row r="13409" spans="2:10">
      <c r="B13409" s="1230" t="s">
        <v>486</v>
      </c>
      <c r="C13409" s="132" t="s">
        <v>3420</v>
      </c>
      <c r="D13409" s="255">
        <v>51047</v>
      </c>
      <c r="E13409" s="553">
        <v>542.63</v>
      </c>
      <c r="F13409" s="553">
        <v>6229.56</v>
      </c>
      <c r="G13409" s="553">
        <v>222.52</v>
      </c>
      <c r="H13409" s="553">
        <v>617.27</v>
      </c>
      <c r="I13409" s="553">
        <v>8587.7999999999993</v>
      </c>
      <c r="J13409" s="647">
        <v>2841.24</v>
      </c>
    </row>
    <row r="13410" spans="2:10">
      <c r="B13410" s="1230" t="s">
        <v>486</v>
      </c>
      <c r="C13410" s="132" t="s">
        <v>2207</v>
      </c>
      <c r="D13410" s="255">
        <v>51049</v>
      </c>
      <c r="E13410" s="553">
        <v>306.98</v>
      </c>
      <c r="F13410" s="553">
        <v>3546.43</v>
      </c>
      <c r="G13410" s="553">
        <v>179.19</v>
      </c>
      <c r="H13410" s="553">
        <v>351.26</v>
      </c>
      <c r="I13410" s="553">
        <v>4348.01</v>
      </c>
      <c r="J13410" s="647">
        <v>2208.14</v>
      </c>
    </row>
    <row r="13411" spans="2:10">
      <c r="B13411" s="1230" t="s">
        <v>486</v>
      </c>
      <c r="C13411" s="132" t="s">
        <v>3421</v>
      </c>
      <c r="D13411" s="255">
        <v>51051</v>
      </c>
      <c r="E13411" s="553">
        <v>286.42</v>
      </c>
      <c r="F13411" s="553">
        <v>3664.14</v>
      </c>
      <c r="G13411" s="553">
        <v>177.46</v>
      </c>
      <c r="H13411" s="553">
        <v>360.01</v>
      </c>
      <c r="I13411" s="553">
        <v>2780.35</v>
      </c>
      <c r="J13411" s="647">
        <v>2332.66</v>
      </c>
    </row>
    <row r="13412" spans="2:10">
      <c r="B13412" s="1230" t="s">
        <v>486</v>
      </c>
      <c r="C13412" s="132" t="s">
        <v>3422</v>
      </c>
      <c r="D13412" s="255">
        <v>51053</v>
      </c>
      <c r="E13412" s="553">
        <v>344.38</v>
      </c>
      <c r="F13412" s="553">
        <v>4002.38</v>
      </c>
      <c r="G13412" s="553">
        <v>200.03</v>
      </c>
      <c r="H13412" s="553">
        <v>396.04</v>
      </c>
      <c r="I13412" s="553">
        <v>4328.5</v>
      </c>
      <c r="J13412" s="647">
        <v>2652.77</v>
      </c>
    </row>
    <row r="13413" spans="2:10">
      <c r="B13413" s="1230" t="s">
        <v>486</v>
      </c>
      <c r="C13413" s="132" t="s">
        <v>2552</v>
      </c>
      <c r="D13413" s="255">
        <v>51057</v>
      </c>
      <c r="E13413" s="553">
        <v>347.52</v>
      </c>
      <c r="F13413" s="553">
        <v>4084.73</v>
      </c>
      <c r="G13413" s="553">
        <v>216.24</v>
      </c>
      <c r="H13413" s="553">
        <v>403.99</v>
      </c>
      <c r="I13413" s="553">
        <v>4823.05</v>
      </c>
      <c r="J13413" s="647">
        <v>2282.0100000000002</v>
      </c>
    </row>
    <row r="13414" spans="2:10">
      <c r="B13414" s="1230" t="s">
        <v>486</v>
      </c>
      <c r="C13414" s="132" t="s">
        <v>3423</v>
      </c>
      <c r="D13414" s="255">
        <v>51059</v>
      </c>
      <c r="E13414" s="553">
        <v>3198.98</v>
      </c>
      <c r="F13414" s="553">
        <v>32793.379999999997</v>
      </c>
      <c r="G13414" s="553">
        <v>225.64</v>
      </c>
      <c r="H13414" s="553">
        <v>3279.35</v>
      </c>
      <c r="I13414" s="553">
        <v>62991.519999999997</v>
      </c>
      <c r="J13414" s="647">
        <v>7333.71</v>
      </c>
    </row>
    <row r="13415" spans="2:10">
      <c r="B13415" s="1230" t="s">
        <v>486</v>
      </c>
      <c r="C13415" s="132" t="s">
        <v>3424</v>
      </c>
      <c r="D13415" s="255">
        <v>51061</v>
      </c>
      <c r="E13415" s="553">
        <v>735.33</v>
      </c>
      <c r="F13415" s="553">
        <v>7813.53</v>
      </c>
      <c r="G13415" s="553">
        <v>209.2</v>
      </c>
      <c r="H13415" s="553">
        <v>779.26</v>
      </c>
      <c r="I13415" s="553">
        <v>12075.25</v>
      </c>
      <c r="J13415" s="647">
        <v>3272</v>
      </c>
    </row>
    <row r="13416" spans="2:10">
      <c r="B13416" s="1230" t="s">
        <v>486</v>
      </c>
      <c r="C13416" s="132" t="s">
        <v>2095</v>
      </c>
      <c r="D13416" s="255">
        <v>51063</v>
      </c>
      <c r="E13416" s="553">
        <v>409.11</v>
      </c>
      <c r="F13416" s="553">
        <v>5125.2700000000004</v>
      </c>
      <c r="G13416" s="553">
        <v>237.7</v>
      </c>
      <c r="H13416" s="553">
        <v>504.43</v>
      </c>
      <c r="I13416" s="553">
        <v>7699.74</v>
      </c>
      <c r="J13416" s="647">
        <v>2736.85</v>
      </c>
    </row>
    <row r="13417" spans="2:10">
      <c r="B13417" s="1230" t="s">
        <v>486</v>
      </c>
      <c r="C13417" s="132" t="s">
        <v>3425</v>
      </c>
      <c r="D13417" s="255">
        <v>51065</v>
      </c>
      <c r="E13417" s="553">
        <v>384.96</v>
      </c>
      <c r="F13417" s="553">
        <v>4557.38</v>
      </c>
      <c r="G13417" s="553">
        <v>184.86</v>
      </c>
      <c r="H13417" s="553">
        <v>450.49</v>
      </c>
      <c r="I13417" s="553">
        <v>4741.37</v>
      </c>
      <c r="J13417" s="647">
        <v>2471.4699999999998</v>
      </c>
    </row>
    <row r="13418" spans="2:10">
      <c r="B13418" s="1230" t="s">
        <v>486</v>
      </c>
      <c r="C13418" s="132" t="s">
        <v>1748</v>
      </c>
      <c r="D13418" s="255">
        <v>51067</v>
      </c>
      <c r="E13418" s="553">
        <v>528.32000000000005</v>
      </c>
      <c r="F13418" s="553">
        <v>6693.67</v>
      </c>
      <c r="G13418" s="553">
        <v>243.52</v>
      </c>
      <c r="H13418" s="553">
        <v>658.09</v>
      </c>
      <c r="I13418" s="553">
        <v>10718.36</v>
      </c>
      <c r="J13418" s="647">
        <v>3208.89</v>
      </c>
    </row>
    <row r="13419" spans="2:10">
      <c r="B13419" s="1230" t="s">
        <v>486</v>
      </c>
      <c r="C13419" s="132" t="s">
        <v>2539</v>
      </c>
      <c r="D13419" s="255">
        <v>51069</v>
      </c>
      <c r="E13419" s="553">
        <v>477.68</v>
      </c>
      <c r="F13419" s="553">
        <v>5736.7</v>
      </c>
      <c r="G13419" s="553">
        <v>231.2</v>
      </c>
      <c r="H13419" s="553">
        <v>566.38</v>
      </c>
      <c r="I13419" s="553">
        <v>8072.87</v>
      </c>
      <c r="J13419" s="647">
        <v>2684.15</v>
      </c>
    </row>
    <row r="13420" spans="2:10">
      <c r="B13420" s="1230" t="s">
        <v>486</v>
      </c>
      <c r="C13420" s="132" t="s">
        <v>3207</v>
      </c>
      <c r="D13420" s="255">
        <v>51071</v>
      </c>
      <c r="E13420" s="553">
        <v>308.8</v>
      </c>
      <c r="F13420" s="553">
        <v>3890.27</v>
      </c>
      <c r="G13420" s="553">
        <v>205.66</v>
      </c>
      <c r="H13420" s="553">
        <v>382.61</v>
      </c>
      <c r="I13420" s="553">
        <v>4977</v>
      </c>
      <c r="J13420" s="647">
        <v>2316.73</v>
      </c>
    </row>
    <row r="13421" spans="2:10">
      <c r="B13421" s="1230" t="s">
        <v>486</v>
      </c>
      <c r="C13421" s="132" t="s">
        <v>2854</v>
      </c>
      <c r="D13421" s="255">
        <v>51073</v>
      </c>
      <c r="E13421" s="553">
        <v>583.12</v>
      </c>
      <c r="F13421" s="553">
        <v>6825.77</v>
      </c>
      <c r="G13421" s="553">
        <v>198.32</v>
      </c>
      <c r="H13421" s="553">
        <v>675.24</v>
      </c>
      <c r="I13421" s="553">
        <v>5240.7299999999996</v>
      </c>
      <c r="J13421" s="647">
        <v>3305.43</v>
      </c>
    </row>
    <row r="13422" spans="2:10">
      <c r="B13422" s="1230" t="s">
        <v>486</v>
      </c>
      <c r="C13422" s="132" t="s">
        <v>3426</v>
      </c>
      <c r="D13422" s="255">
        <v>51075</v>
      </c>
      <c r="E13422" s="553">
        <v>512.33000000000004</v>
      </c>
      <c r="F13422" s="553">
        <v>5888.24</v>
      </c>
      <c r="G13422" s="553">
        <v>186.17</v>
      </c>
      <c r="H13422" s="553">
        <v>583.33000000000004</v>
      </c>
      <c r="I13422" s="553">
        <v>7703.42</v>
      </c>
      <c r="J13422" s="647">
        <v>2726.84</v>
      </c>
    </row>
    <row r="13423" spans="2:10">
      <c r="B13423" s="1230" t="s">
        <v>486</v>
      </c>
      <c r="C13423" s="132" t="s">
        <v>2424</v>
      </c>
      <c r="D13423" s="255">
        <v>51077</v>
      </c>
      <c r="E13423" s="553">
        <v>343.33</v>
      </c>
      <c r="F13423" s="553">
        <v>4445.3100000000004</v>
      </c>
      <c r="G13423" s="553">
        <v>246.94</v>
      </c>
      <c r="H13423" s="553">
        <v>436.45</v>
      </c>
      <c r="I13423" s="553">
        <v>5822.5</v>
      </c>
      <c r="J13423" s="647">
        <v>2542.2600000000002</v>
      </c>
    </row>
    <row r="13424" spans="2:10">
      <c r="B13424" s="1230" t="s">
        <v>486</v>
      </c>
      <c r="C13424" s="132" t="s">
        <v>1750</v>
      </c>
      <c r="D13424" s="255">
        <v>51079</v>
      </c>
      <c r="E13424" s="553">
        <v>350.33</v>
      </c>
      <c r="F13424" s="553">
        <v>3979.4</v>
      </c>
      <c r="G13424" s="553">
        <v>233.46</v>
      </c>
      <c r="H13424" s="553">
        <v>394.57</v>
      </c>
      <c r="I13424" s="553">
        <v>3805.75</v>
      </c>
      <c r="J13424" s="647">
        <v>2402.56</v>
      </c>
    </row>
    <row r="13425" spans="2:10">
      <c r="B13425" s="1230" t="s">
        <v>486</v>
      </c>
      <c r="C13425" s="132" t="s">
        <v>3427</v>
      </c>
      <c r="D13425" s="255">
        <v>51081</v>
      </c>
      <c r="E13425" s="553">
        <v>275.27</v>
      </c>
      <c r="F13425" s="553">
        <v>3183.45</v>
      </c>
      <c r="G13425" s="553">
        <v>198.93</v>
      </c>
      <c r="H13425" s="553">
        <v>315.24</v>
      </c>
      <c r="I13425" s="553">
        <v>2642.58</v>
      </c>
      <c r="J13425" s="647">
        <v>2393.09</v>
      </c>
    </row>
    <row r="13426" spans="2:10">
      <c r="B13426" s="1230" t="s">
        <v>486</v>
      </c>
      <c r="C13426" s="132" t="s">
        <v>2942</v>
      </c>
      <c r="D13426" s="255">
        <v>51083</v>
      </c>
      <c r="E13426" s="553">
        <v>381.02</v>
      </c>
      <c r="F13426" s="553">
        <v>4858.34</v>
      </c>
      <c r="G13426" s="553">
        <v>226.35</v>
      </c>
      <c r="H13426" s="553">
        <v>477.39</v>
      </c>
      <c r="I13426" s="553">
        <v>4996.1099999999997</v>
      </c>
      <c r="J13426" s="647">
        <v>2870.1</v>
      </c>
    </row>
    <row r="13427" spans="2:10">
      <c r="B13427" s="1230" t="s">
        <v>486</v>
      </c>
      <c r="C13427" s="132" t="s">
        <v>3428</v>
      </c>
      <c r="D13427" s="255">
        <v>51085</v>
      </c>
      <c r="E13427" s="553">
        <v>733.36</v>
      </c>
      <c r="F13427" s="553">
        <v>8582.0400000000009</v>
      </c>
      <c r="G13427" s="553">
        <v>171.23</v>
      </c>
      <c r="H13427" s="553">
        <v>848.75</v>
      </c>
      <c r="I13427" s="553">
        <v>12012.85</v>
      </c>
      <c r="J13427" s="647">
        <v>3239.84</v>
      </c>
    </row>
    <row r="13428" spans="2:10">
      <c r="B13428" s="1230" t="s">
        <v>486</v>
      </c>
      <c r="C13428" s="132" t="s">
        <v>3429</v>
      </c>
      <c r="D13428" s="255">
        <v>51087</v>
      </c>
      <c r="E13428" s="553">
        <v>1542.15</v>
      </c>
      <c r="F13428" s="553">
        <v>17446.150000000001</v>
      </c>
      <c r="G13428" s="553">
        <v>158.58000000000001</v>
      </c>
      <c r="H13428" s="553">
        <v>1730.12</v>
      </c>
      <c r="I13428" s="553">
        <v>31700.77</v>
      </c>
      <c r="J13428" s="647">
        <v>4545.2299999999996</v>
      </c>
    </row>
    <row r="13429" spans="2:10">
      <c r="B13429" s="1230" t="s">
        <v>486</v>
      </c>
      <c r="C13429" s="132" t="s">
        <v>1752</v>
      </c>
      <c r="D13429" s="255">
        <v>51089</v>
      </c>
      <c r="E13429" s="553">
        <v>380.57</v>
      </c>
      <c r="F13429" s="553">
        <v>4836.67</v>
      </c>
      <c r="G13429" s="553">
        <v>253.73</v>
      </c>
      <c r="H13429" s="553">
        <v>475.4</v>
      </c>
      <c r="I13429" s="553">
        <v>6113.51</v>
      </c>
      <c r="J13429" s="647">
        <v>2678.28</v>
      </c>
    </row>
    <row r="13430" spans="2:10">
      <c r="B13430" s="1230" t="s">
        <v>486</v>
      </c>
      <c r="C13430" s="132" t="s">
        <v>3023</v>
      </c>
      <c r="D13430" s="255">
        <v>51091</v>
      </c>
      <c r="E13430" s="553">
        <v>217.34</v>
      </c>
      <c r="F13430" s="553">
        <v>2637.84</v>
      </c>
      <c r="G13430" s="553">
        <v>214.6</v>
      </c>
      <c r="H13430" s="553">
        <v>260.3</v>
      </c>
      <c r="I13430" s="553">
        <v>2235.02</v>
      </c>
      <c r="J13430" s="647">
        <v>2027.32</v>
      </c>
    </row>
    <row r="13431" spans="2:10">
      <c r="B13431" s="1230" t="s">
        <v>486</v>
      </c>
      <c r="C13431" s="132" t="s">
        <v>3430</v>
      </c>
      <c r="D13431" s="255">
        <v>51093</v>
      </c>
      <c r="E13431" s="553">
        <v>648.64</v>
      </c>
      <c r="F13431" s="553">
        <v>6869.23</v>
      </c>
      <c r="G13431" s="553">
        <v>185.07</v>
      </c>
      <c r="H13431" s="553">
        <v>685.19</v>
      </c>
      <c r="I13431" s="553">
        <v>2144.35</v>
      </c>
      <c r="J13431" s="647">
        <v>3187.72</v>
      </c>
    </row>
    <row r="13432" spans="2:10">
      <c r="B13432" s="1230" t="s">
        <v>486</v>
      </c>
      <c r="C13432" s="132" t="s">
        <v>3431</v>
      </c>
      <c r="D13432" s="255">
        <v>51095</v>
      </c>
      <c r="E13432" s="553">
        <v>704.28</v>
      </c>
      <c r="F13432" s="553">
        <v>8168.45</v>
      </c>
      <c r="G13432" s="553">
        <v>198.82</v>
      </c>
      <c r="H13432" s="553">
        <v>808.51</v>
      </c>
      <c r="I13432" s="553">
        <v>7068.27</v>
      </c>
      <c r="J13432" s="647">
        <v>3900.51</v>
      </c>
    </row>
    <row r="13433" spans="2:10">
      <c r="B13433" s="1230" t="s">
        <v>486</v>
      </c>
      <c r="C13433" s="132" t="s">
        <v>3432</v>
      </c>
      <c r="D13433" s="255">
        <v>51097</v>
      </c>
      <c r="E13433" s="553">
        <v>391.64</v>
      </c>
      <c r="F13433" s="553">
        <v>4508.1000000000004</v>
      </c>
      <c r="G13433" s="553">
        <v>225.6</v>
      </c>
      <c r="H13433" s="553">
        <v>446.63</v>
      </c>
      <c r="I13433" s="553">
        <v>3746.95</v>
      </c>
      <c r="J13433" s="647">
        <v>2996.14</v>
      </c>
    </row>
    <row r="13434" spans="2:10">
      <c r="B13434" s="1230" t="s">
        <v>486</v>
      </c>
      <c r="C13434" s="132" t="s">
        <v>3433</v>
      </c>
      <c r="D13434" s="255">
        <v>51099</v>
      </c>
      <c r="E13434" s="553">
        <v>470.18</v>
      </c>
      <c r="F13434" s="553">
        <v>5212.53</v>
      </c>
      <c r="G13434" s="553">
        <v>183.32</v>
      </c>
      <c r="H13434" s="553">
        <v>517.87</v>
      </c>
      <c r="I13434" s="553">
        <v>5820.29</v>
      </c>
      <c r="J13434" s="647">
        <v>2652.52</v>
      </c>
    </row>
    <row r="13435" spans="2:10">
      <c r="B13435" s="1230" t="s">
        <v>486</v>
      </c>
      <c r="C13435" s="132" t="s">
        <v>3434</v>
      </c>
      <c r="D13435" s="255">
        <v>51101</v>
      </c>
      <c r="E13435" s="553">
        <v>400.76</v>
      </c>
      <c r="F13435" s="553">
        <v>4553.54</v>
      </c>
      <c r="G13435" s="553">
        <v>224.77</v>
      </c>
      <c r="H13435" s="553">
        <v>451.6</v>
      </c>
      <c r="I13435" s="553">
        <v>4073.77</v>
      </c>
      <c r="J13435" s="647">
        <v>3029.5</v>
      </c>
    </row>
    <row r="13436" spans="2:10">
      <c r="B13436" s="1230" t="s">
        <v>486</v>
      </c>
      <c r="C13436" s="132" t="s">
        <v>2817</v>
      </c>
      <c r="D13436" s="255">
        <v>51103</v>
      </c>
      <c r="E13436" s="553">
        <v>421.41</v>
      </c>
      <c r="F13436" s="553">
        <v>5376.8</v>
      </c>
      <c r="G13436" s="553">
        <v>225.16</v>
      </c>
      <c r="H13436" s="553">
        <v>528.39</v>
      </c>
      <c r="I13436" s="553">
        <v>3725.28</v>
      </c>
      <c r="J13436" s="647">
        <v>3270.55</v>
      </c>
    </row>
    <row r="13437" spans="2:10">
      <c r="B13437" s="1230" t="s">
        <v>486</v>
      </c>
      <c r="C13437" s="132" t="s">
        <v>1759</v>
      </c>
      <c r="D13437" s="255">
        <v>51105</v>
      </c>
      <c r="E13437" s="553">
        <v>317.48</v>
      </c>
      <c r="F13437" s="553">
        <v>4184.8500000000004</v>
      </c>
      <c r="G13437" s="553">
        <v>183.62</v>
      </c>
      <c r="H13437" s="553">
        <v>410.45</v>
      </c>
      <c r="I13437" s="553">
        <v>3772.2</v>
      </c>
      <c r="J13437" s="647">
        <v>2465.9699999999998</v>
      </c>
    </row>
    <row r="13438" spans="2:10">
      <c r="B13438" s="1230" t="s">
        <v>486</v>
      </c>
      <c r="C13438" s="132" t="s">
        <v>3435</v>
      </c>
      <c r="D13438" s="255">
        <v>51107</v>
      </c>
      <c r="E13438" s="553">
        <v>854.78</v>
      </c>
      <c r="F13438" s="553">
        <v>9278.3700000000008</v>
      </c>
      <c r="G13438" s="553">
        <v>222.55</v>
      </c>
      <c r="H13438" s="553">
        <v>923.48</v>
      </c>
      <c r="I13438" s="553">
        <v>14624.63</v>
      </c>
      <c r="J13438" s="647">
        <v>3529.62</v>
      </c>
    </row>
    <row r="13439" spans="2:10">
      <c r="B13439" s="1230" t="s">
        <v>486</v>
      </c>
      <c r="C13439" s="132" t="s">
        <v>2312</v>
      </c>
      <c r="D13439" s="255">
        <v>51109</v>
      </c>
      <c r="E13439" s="553">
        <v>421.26</v>
      </c>
      <c r="F13439" s="553">
        <v>4920.7</v>
      </c>
      <c r="G13439" s="553">
        <v>187.08</v>
      </c>
      <c r="H13439" s="553">
        <v>486.85</v>
      </c>
      <c r="I13439" s="553">
        <v>5702.11</v>
      </c>
      <c r="J13439" s="647">
        <v>2585.36</v>
      </c>
    </row>
    <row r="13440" spans="2:10">
      <c r="B13440" s="1230" t="s">
        <v>486</v>
      </c>
      <c r="C13440" s="132" t="s">
        <v>3436</v>
      </c>
      <c r="D13440" s="255">
        <v>51111</v>
      </c>
      <c r="E13440" s="553">
        <v>340.06</v>
      </c>
      <c r="F13440" s="553">
        <v>4153.04</v>
      </c>
      <c r="G13440" s="553">
        <v>196.31</v>
      </c>
      <c r="H13440" s="553">
        <v>409.35</v>
      </c>
      <c r="I13440" s="553">
        <v>6079.46</v>
      </c>
      <c r="J13440" s="647">
        <v>2374.83</v>
      </c>
    </row>
    <row r="13441" spans="2:10">
      <c r="B13441" s="1230" t="s">
        <v>486</v>
      </c>
      <c r="C13441" s="132" t="s">
        <v>1763</v>
      </c>
      <c r="D13441" s="255">
        <v>51113</v>
      </c>
      <c r="E13441" s="553">
        <v>397.9</v>
      </c>
      <c r="F13441" s="553">
        <v>4649.6400000000003</v>
      </c>
      <c r="G13441" s="553">
        <v>240.19</v>
      </c>
      <c r="H13441" s="553">
        <v>459.99</v>
      </c>
      <c r="I13441" s="553">
        <v>4958.7700000000004</v>
      </c>
      <c r="J13441" s="647">
        <v>2542.0500000000002</v>
      </c>
    </row>
    <row r="13442" spans="2:10">
      <c r="B13442" s="1230" t="s">
        <v>486</v>
      </c>
      <c r="C13442" s="132" t="s">
        <v>3437</v>
      </c>
      <c r="D13442" s="255">
        <v>51115</v>
      </c>
      <c r="E13442" s="553">
        <v>326.66000000000003</v>
      </c>
      <c r="F13442" s="553">
        <v>3875.9</v>
      </c>
      <c r="G13442" s="553">
        <v>193.21</v>
      </c>
      <c r="H13442" s="553">
        <v>383.04</v>
      </c>
      <c r="I13442" s="553">
        <v>2832.17</v>
      </c>
      <c r="J13442" s="647">
        <v>2648.76</v>
      </c>
    </row>
    <row r="13443" spans="2:10">
      <c r="B13443" s="1230" t="s">
        <v>486</v>
      </c>
      <c r="C13443" s="132" t="s">
        <v>2952</v>
      </c>
      <c r="D13443" s="255">
        <v>51117</v>
      </c>
      <c r="E13443" s="553">
        <v>311.45</v>
      </c>
      <c r="F13443" s="553">
        <v>3778.74</v>
      </c>
      <c r="G13443" s="553">
        <v>232.9</v>
      </c>
      <c r="H13443" s="553">
        <v>372.61</v>
      </c>
      <c r="I13443" s="553">
        <v>5026.7700000000004</v>
      </c>
      <c r="J13443" s="647">
        <v>2387.52</v>
      </c>
    </row>
    <row r="13444" spans="2:10">
      <c r="B13444" s="1230" t="s">
        <v>486</v>
      </c>
      <c r="C13444" s="132" t="s">
        <v>1997</v>
      </c>
      <c r="D13444" s="255">
        <v>51119</v>
      </c>
      <c r="E13444" s="553">
        <v>405.92</v>
      </c>
      <c r="F13444" s="553">
        <v>5004.17</v>
      </c>
      <c r="G13444" s="553">
        <v>209.36</v>
      </c>
      <c r="H13444" s="553">
        <v>493.11</v>
      </c>
      <c r="I13444" s="553">
        <v>3876.98</v>
      </c>
      <c r="J13444" s="647">
        <v>3110.49</v>
      </c>
    </row>
    <row r="13445" spans="2:10">
      <c r="B13445" s="1230" t="s">
        <v>486</v>
      </c>
      <c r="C13445" s="132" t="s">
        <v>1769</v>
      </c>
      <c r="D13445" s="255">
        <v>51121</v>
      </c>
      <c r="E13445" s="553">
        <v>343.6</v>
      </c>
      <c r="F13445" s="553">
        <v>4251.59</v>
      </c>
      <c r="G13445" s="553">
        <v>220.9</v>
      </c>
      <c r="H13445" s="553">
        <v>418.75</v>
      </c>
      <c r="I13445" s="553">
        <v>6254.61</v>
      </c>
      <c r="J13445" s="647">
        <v>2432.8200000000002</v>
      </c>
    </row>
    <row r="13446" spans="2:10">
      <c r="B13446" s="1230" t="s">
        <v>486</v>
      </c>
      <c r="C13446" s="132" t="s">
        <v>2443</v>
      </c>
      <c r="D13446" s="255">
        <v>51125</v>
      </c>
      <c r="E13446" s="553">
        <v>271.77</v>
      </c>
      <c r="F13446" s="553">
        <v>3274.95</v>
      </c>
      <c r="G13446" s="553">
        <v>204.17</v>
      </c>
      <c r="H13446" s="553">
        <v>323.26</v>
      </c>
      <c r="I13446" s="553">
        <v>3806.84</v>
      </c>
      <c r="J13446" s="647">
        <v>2117.6</v>
      </c>
    </row>
    <row r="13447" spans="2:10">
      <c r="B13447" s="1230" t="s">
        <v>486</v>
      </c>
      <c r="C13447" s="132" t="s">
        <v>3438</v>
      </c>
      <c r="D13447" s="255">
        <v>51127</v>
      </c>
      <c r="E13447" s="553">
        <v>406.43</v>
      </c>
      <c r="F13447" s="553">
        <v>4542.79</v>
      </c>
      <c r="G13447" s="553">
        <v>209.23</v>
      </c>
      <c r="H13447" s="553">
        <v>451.15</v>
      </c>
      <c r="I13447" s="553">
        <v>3865.61</v>
      </c>
      <c r="J13447" s="647">
        <v>2939.38</v>
      </c>
    </row>
    <row r="13448" spans="2:10">
      <c r="B13448" s="1230" t="s">
        <v>486</v>
      </c>
      <c r="C13448" s="132" t="s">
        <v>2956</v>
      </c>
      <c r="D13448" s="255">
        <v>51131</v>
      </c>
      <c r="E13448" s="553">
        <v>224.43</v>
      </c>
      <c r="F13448" s="553">
        <v>2704.82</v>
      </c>
      <c r="G13448" s="553">
        <v>171.48</v>
      </c>
      <c r="H13448" s="553">
        <v>267.04000000000002</v>
      </c>
      <c r="I13448" s="553">
        <v>1360.85</v>
      </c>
      <c r="J13448" s="647">
        <v>2116.35</v>
      </c>
    </row>
    <row r="13449" spans="2:10">
      <c r="B13449" s="1230" t="s">
        <v>486</v>
      </c>
      <c r="C13449" s="132" t="s">
        <v>3125</v>
      </c>
      <c r="D13449" s="255">
        <v>51133</v>
      </c>
      <c r="E13449" s="553">
        <v>353.01</v>
      </c>
      <c r="F13449" s="553">
        <v>4376.59</v>
      </c>
      <c r="G13449" s="553">
        <v>244.23</v>
      </c>
      <c r="H13449" s="553">
        <v>430.93</v>
      </c>
      <c r="I13449" s="553">
        <v>3433.6</v>
      </c>
      <c r="J13449" s="647">
        <v>2894.85</v>
      </c>
    </row>
    <row r="13450" spans="2:10">
      <c r="B13450" s="1230" t="s">
        <v>486</v>
      </c>
      <c r="C13450" s="132" t="s">
        <v>3439</v>
      </c>
      <c r="D13450" s="255">
        <v>51135</v>
      </c>
      <c r="E13450" s="553">
        <v>389.21</v>
      </c>
      <c r="F13450" s="553">
        <v>4520.6000000000004</v>
      </c>
      <c r="G13450" s="553">
        <v>181.66</v>
      </c>
      <c r="H13450" s="553">
        <v>447.36</v>
      </c>
      <c r="I13450" s="553">
        <v>6798.77</v>
      </c>
      <c r="J13450" s="647">
        <v>2466.96</v>
      </c>
    </row>
    <row r="13451" spans="2:10">
      <c r="B13451" s="1230" t="s">
        <v>486</v>
      </c>
      <c r="C13451" s="132" t="s">
        <v>1912</v>
      </c>
      <c r="D13451" s="255">
        <v>51137</v>
      </c>
      <c r="E13451" s="553">
        <v>445.3</v>
      </c>
      <c r="F13451" s="553">
        <v>5185.57</v>
      </c>
      <c r="G13451" s="553">
        <v>199.03</v>
      </c>
      <c r="H13451" s="553">
        <v>513.19000000000005</v>
      </c>
      <c r="I13451" s="553">
        <v>6465.34</v>
      </c>
      <c r="J13451" s="647">
        <v>2652.52</v>
      </c>
    </row>
    <row r="13452" spans="2:10">
      <c r="B13452" s="1230" t="s">
        <v>486</v>
      </c>
      <c r="C13452" s="132" t="s">
        <v>2320</v>
      </c>
      <c r="D13452" s="255">
        <v>51139</v>
      </c>
      <c r="E13452" s="553">
        <v>403.24</v>
      </c>
      <c r="F13452" s="553">
        <v>4915.5600000000004</v>
      </c>
      <c r="G13452" s="553">
        <v>317.57</v>
      </c>
      <c r="H13452" s="553">
        <v>484.83</v>
      </c>
      <c r="I13452" s="553">
        <v>3733.14</v>
      </c>
      <c r="J13452" s="647">
        <v>2660.03</v>
      </c>
    </row>
    <row r="13453" spans="2:10">
      <c r="B13453" s="1230" t="s">
        <v>486</v>
      </c>
      <c r="C13453" s="132" t="s">
        <v>3440</v>
      </c>
      <c r="D13453" s="255">
        <v>51141</v>
      </c>
      <c r="E13453" s="553">
        <v>323.83999999999997</v>
      </c>
      <c r="F13453" s="553">
        <v>4064.54</v>
      </c>
      <c r="G13453" s="553">
        <v>247.02</v>
      </c>
      <c r="H13453" s="553">
        <v>399.82</v>
      </c>
      <c r="I13453" s="553">
        <v>5243.51</v>
      </c>
      <c r="J13453" s="647">
        <v>2540.16</v>
      </c>
    </row>
    <row r="13454" spans="2:10">
      <c r="B13454" s="1230" t="s">
        <v>486</v>
      </c>
      <c r="C13454" s="132" t="s">
        <v>3441</v>
      </c>
      <c r="D13454" s="255">
        <v>51143</v>
      </c>
      <c r="E13454" s="553">
        <v>492.35</v>
      </c>
      <c r="F13454" s="553">
        <v>6363.19</v>
      </c>
      <c r="G13454" s="553">
        <v>264.72000000000003</v>
      </c>
      <c r="H13454" s="553">
        <v>624.72</v>
      </c>
      <c r="I13454" s="553">
        <v>7974.08</v>
      </c>
      <c r="J13454" s="647">
        <v>3453.5</v>
      </c>
    </row>
    <row r="13455" spans="2:10">
      <c r="B13455" s="1230" t="s">
        <v>486</v>
      </c>
      <c r="C13455" s="132" t="s">
        <v>3442</v>
      </c>
      <c r="D13455" s="255">
        <v>51145</v>
      </c>
      <c r="E13455" s="553">
        <v>458.38</v>
      </c>
      <c r="F13455" s="553">
        <v>5120.32</v>
      </c>
      <c r="G13455" s="553">
        <v>177.86</v>
      </c>
      <c r="H13455" s="553">
        <v>508.5</v>
      </c>
      <c r="I13455" s="553">
        <v>7216.31</v>
      </c>
      <c r="J13455" s="647">
        <v>2499.86</v>
      </c>
    </row>
    <row r="13456" spans="2:10">
      <c r="B13456" s="1230" t="s">
        <v>486</v>
      </c>
      <c r="C13456" s="132" t="s">
        <v>3443</v>
      </c>
      <c r="D13456" s="255">
        <v>51147</v>
      </c>
      <c r="E13456" s="553">
        <v>287.81</v>
      </c>
      <c r="F13456" s="553">
        <v>3445.33</v>
      </c>
      <c r="G13456" s="553">
        <v>193.79</v>
      </c>
      <c r="H13456" s="553">
        <v>340.18</v>
      </c>
      <c r="I13456" s="553">
        <v>4555.8599999999997</v>
      </c>
      <c r="J13456" s="647">
        <v>2325.73</v>
      </c>
    </row>
    <row r="13457" spans="2:10">
      <c r="B13457" s="1230" t="s">
        <v>486</v>
      </c>
      <c r="C13457" s="132" t="s">
        <v>3444</v>
      </c>
      <c r="D13457" s="255">
        <v>51149</v>
      </c>
      <c r="E13457" s="553">
        <v>415.01</v>
      </c>
      <c r="F13457" s="553">
        <v>4741.32</v>
      </c>
      <c r="G13457" s="553">
        <v>194.42</v>
      </c>
      <c r="H13457" s="553">
        <v>469.96</v>
      </c>
      <c r="I13457" s="553">
        <v>5451.46</v>
      </c>
      <c r="J13457" s="647">
        <v>2774.53</v>
      </c>
    </row>
    <row r="13458" spans="2:10">
      <c r="B13458" s="1230" t="s">
        <v>486</v>
      </c>
      <c r="C13458" s="132" t="s">
        <v>3445</v>
      </c>
      <c r="D13458" s="255">
        <v>51153</v>
      </c>
      <c r="E13458" s="553">
        <v>1849.28</v>
      </c>
      <c r="F13458" s="553">
        <v>18774.439999999999</v>
      </c>
      <c r="G13458" s="553">
        <v>169.97</v>
      </c>
      <c r="H13458" s="553">
        <v>1879.45</v>
      </c>
      <c r="I13458" s="553">
        <v>34196.07</v>
      </c>
      <c r="J13458" s="647">
        <v>5131.46</v>
      </c>
    </row>
    <row r="13459" spans="2:10">
      <c r="B13459" s="1230" t="s">
        <v>486</v>
      </c>
      <c r="C13459" s="132" t="s">
        <v>1870</v>
      </c>
      <c r="D13459" s="255">
        <v>51155</v>
      </c>
      <c r="E13459" s="553">
        <v>327.12</v>
      </c>
      <c r="F13459" s="553">
        <v>4115.05</v>
      </c>
      <c r="G13459" s="553">
        <v>227.24</v>
      </c>
      <c r="H13459" s="553">
        <v>404.81</v>
      </c>
      <c r="I13459" s="553">
        <v>5307</v>
      </c>
      <c r="J13459" s="647">
        <v>2432.27</v>
      </c>
    </row>
    <row r="13460" spans="2:10">
      <c r="B13460" s="1230" t="s">
        <v>486</v>
      </c>
      <c r="C13460" s="132" t="s">
        <v>3446</v>
      </c>
      <c r="D13460" s="255">
        <v>51157</v>
      </c>
      <c r="E13460" s="553">
        <v>445.51</v>
      </c>
      <c r="F13460" s="553">
        <v>5121.76</v>
      </c>
      <c r="G13460" s="553">
        <v>206.29</v>
      </c>
      <c r="H13460" s="553">
        <v>507.38</v>
      </c>
      <c r="I13460" s="553">
        <v>6931.19</v>
      </c>
      <c r="J13460" s="647">
        <v>2642.22</v>
      </c>
    </row>
    <row r="13461" spans="2:10">
      <c r="B13461" s="1230" t="s">
        <v>486</v>
      </c>
      <c r="C13461" s="132" t="s">
        <v>2132</v>
      </c>
      <c r="D13461" s="255">
        <v>51159</v>
      </c>
      <c r="E13461" s="553">
        <v>418.49</v>
      </c>
      <c r="F13461" s="553">
        <v>4959.5600000000004</v>
      </c>
      <c r="G13461" s="553">
        <v>238.8</v>
      </c>
      <c r="H13461" s="553">
        <v>490.19</v>
      </c>
      <c r="I13461" s="553">
        <v>5162.63</v>
      </c>
      <c r="J13461" s="647">
        <v>3086.75</v>
      </c>
    </row>
    <row r="13462" spans="2:10">
      <c r="B13462" s="1230" t="s">
        <v>486</v>
      </c>
      <c r="C13462" s="132" t="s">
        <v>3447</v>
      </c>
      <c r="D13462" s="255">
        <v>51161</v>
      </c>
      <c r="E13462" s="553">
        <v>581.59</v>
      </c>
      <c r="F13462" s="553">
        <v>7308.04</v>
      </c>
      <c r="G13462" s="553">
        <v>222.48</v>
      </c>
      <c r="H13462" s="553">
        <v>718.85</v>
      </c>
      <c r="I13462" s="553">
        <v>12372.85</v>
      </c>
      <c r="J13462" s="647">
        <v>3015.38</v>
      </c>
    </row>
    <row r="13463" spans="2:10">
      <c r="B13463" s="1230" t="s">
        <v>486</v>
      </c>
      <c r="C13463" s="132" t="s">
        <v>3448</v>
      </c>
      <c r="D13463" s="255">
        <v>51163</v>
      </c>
      <c r="E13463" s="553">
        <v>325</v>
      </c>
      <c r="F13463" s="553">
        <v>3974.17</v>
      </c>
      <c r="G13463" s="553">
        <v>249.64</v>
      </c>
      <c r="H13463" s="553">
        <v>391.88</v>
      </c>
      <c r="I13463" s="553">
        <v>4872.7299999999996</v>
      </c>
      <c r="J13463" s="647">
        <v>2519.7199999999998</v>
      </c>
    </row>
    <row r="13464" spans="2:10">
      <c r="B13464" s="1230" t="s">
        <v>486</v>
      </c>
      <c r="C13464" s="132" t="s">
        <v>2848</v>
      </c>
      <c r="D13464" s="255">
        <v>51165</v>
      </c>
      <c r="E13464" s="553">
        <v>373.53</v>
      </c>
      <c r="F13464" s="553">
        <v>4664.6899999999996</v>
      </c>
      <c r="G13464" s="553">
        <v>361.74</v>
      </c>
      <c r="H13464" s="553">
        <v>459.24</v>
      </c>
      <c r="I13464" s="553">
        <v>2764.15</v>
      </c>
      <c r="J13464" s="647">
        <v>2711.08</v>
      </c>
    </row>
    <row r="13465" spans="2:10">
      <c r="B13465" s="1230" t="s">
        <v>486</v>
      </c>
      <c r="C13465" s="132" t="s">
        <v>1775</v>
      </c>
      <c r="D13465" s="255">
        <v>51167</v>
      </c>
      <c r="E13465" s="553">
        <v>336.64</v>
      </c>
      <c r="F13465" s="553">
        <v>4369.1099999999997</v>
      </c>
      <c r="G13465" s="553">
        <v>172.83</v>
      </c>
      <c r="H13465" s="553">
        <v>428.96</v>
      </c>
      <c r="I13465" s="553">
        <v>6078.1</v>
      </c>
      <c r="J13465" s="647">
        <v>2412.0100000000002</v>
      </c>
    </row>
    <row r="13466" spans="2:10">
      <c r="B13466" s="1230" t="s">
        <v>486</v>
      </c>
      <c r="C13466" s="132" t="s">
        <v>1873</v>
      </c>
      <c r="D13466" s="255">
        <v>51169</v>
      </c>
      <c r="E13466" s="553">
        <v>308.39</v>
      </c>
      <c r="F13466" s="553">
        <v>4014.04</v>
      </c>
      <c r="G13466" s="553">
        <v>191.64</v>
      </c>
      <c r="H13466" s="553">
        <v>393.89</v>
      </c>
      <c r="I13466" s="553">
        <v>3768.65</v>
      </c>
      <c r="J13466" s="647">
        <v>2421.3200000000002</v>
      </c>
    </row>
    <row r="13467" spans="2:10">
      <c r="B13467" s="1230" t="s">
        <v>486</v>
      </c>
      <c r="C13467" s="132" t="s">
        <v>3449</v>
      </c>
      <c r="D13467" s="255">
        <v>51171</v>
      </c>
      <c r="E13467" s="553">
        <v>347.62</v>
      </c>
      <c r="F13467" s="553">
        <v>4229.82</v>
      </c>
      <c r="G13467" s="553">
        <v>261.69</v>
      </c>
      <c r="H13467" s="553">
        <v>417.14</v>
      </c>
      <c r="I13467" s="553">
        <v>3926.72</v>
      </c>
      <c r="J13467" s="647">
        <v>2423.0100000000002</v>
      </c>
    </row>
    <row r="13468" spans="2:10">
      <c r="B13468" s="1230" t="s">
        <v>486</v>
      </c>
      <c r="C13468" s="132" t="s">
        <v>3450</v>
      </c>
      <c r="D13468" s="255">
        <v>51173</v>
      </c>
      <c r="E13468" s="553">
        <v>275.39</v>
      </c>
      <c r="F13468" s="553">
        <v>3603.41</v>
      </c>
      <c r="G13468" s="553">
        <v>212.63</v>
      </c>
      <c r="H13468" s="553">
        <v>353.42</v>
      </c>
      <c r="I13468" s="553">
        <v>4909.91</v>
      </c>
      <c r="J13468" s="647">
        <v>2263.6799999999998</v>
      </c>
    </row>
    <row r="13469" spans="2:10">
      <c r="B13469" s="1230" t="s">
        <v>486</v>
      </c>
      <c r="C13469" s="132" t="s">
        <v>3451</v>
      </c>
      <c r="D13469" s="255">
        <v>51175</v>
      </c>
      <c r="E13469" s="553">
        <v>290.06</v>
      </c>
      <c r="F13469" s="553">
        <v>3340.56</v>
      </c>
      <c r="G13469" s="553">
        <v>183.18</v>
      </c>
      <c r="H13469" s="553">
        <v>330.84</v>
      </c>
      <c r="I13469" s="553">
        <v>2602.44</v>
      </c>
      <c r="J13469" s="647">
        <v>2402.9499999999998</v>
      </c>
    </row>
    <row r="13470" spans="2:10">
      <c r="B13470" s="1230" t="s">
        <v>486</v>
      </c>
      <c r="C13470" s="132" t="s">
        <v>3452</v>
      </c>
      <c r="D13470" s="255">
        <v>51177</v>
      </c>
      <c r="E13470" s="553">
        <v>584.72</v>
      </c>
      <c r="F13470" s="553">
        <v>6567.73</v>
      </c>
      <c r="G13470" s="553">
        <v>185.5</v>
      </c>
      <c r="H13470" s="553">
        <v>651.80999999999995</v>
      </c>
      <c r="I13470" s="553">
        <v>5927.25</v>
      </c>
      <c r="J13470" s="647">
        <v>3085.71</v>
      </c>
    </row>
    <row r="13471" spans="2:10">
      <c r="B13471" s="1230" t="s">
        <v>486</v>
      </c>
      <c r="C13471" s="132" t="s">
        <v>2391</v>
      </c>
      <c r="D13471" s="255">
        <v>51179</v>
      </c>
      <c r="E13471" s="553">
        <v>714.5</v>
      </c>
      <c r="F13471" s="553">
        <v>7743.1</v>
      </c>
      <c r="G13471" s="553">
        <v>189.62</v>
      </c>
      <c r="H13471" s="553">
        <v>770.67</v>
      </c>
      <c r="I13471" s="553">
        <v>8885.11</v>
      </c>
      <c r="J13471" s="647">
        <v>3311.69</v>
      </c>
    </row>
    <row r="13472" spans="2:10">
      <c r="B13472" s="1230" t="s">
        <v>486</v>
      </c>
      <c r="C13472" s="132" t="s">
        <v>2969</v>
      </c>
      <c r="D13472" s="255">
        <v>51181</v>
      </c>
      <c r="E13472" s="553">
        <v>487.3</v>
      </c>
      <c r="F13472" s="553">
        <v>5711.41</v>
      </c>
      <c r="G13472" s="553">
        <v>186.05</v>
      </c>
      <c r="H13472" s="553">
        <v>564.91</v>
      </c>
      <c r="I13472" s="553">
        <v>6897.98</v>
      </c>
      <c r="J13472" s="647">
        <v>2874.75</v>
      </c>
    </row>
    <row r="13473" spans="2:11">
      <c r="B13473" s="1230" t="s">
        <v>486</v>
      </c>
      <c r="C13473" s="132" t="s">
        <v>2004</v>
      </c>
      <c r="D13473" s="255">
        <v>51183</v>
      </c>
      <c r="E13473" s="553">
        <v>358.22</v>
      </c>
      <c r="F13473" s="553">
        <v>4113.46</v>
      </c>
      <c r="G13473" s="553">
        <v>198.67</v>
      </c>
      <c r="H13473" s="553">
        <v>407.64</v>
      </c>
      <c r="I13473" s="553">
        <v>4319.32</v>
      </c>
      <c r="J13473" s="647">
        <v>2626.03</v>
      </c>
    </row>
    <row r="13474" spans="2:11">
      <c r="B13474" s="1230" t="s">
        <v>486</v>
      </c>
      <c r="C13474" s="132" t="s">
        <v>2244</v>
      </c>
      <c r="D13474" s="255">
        <v>51185</v>
      </c>
      <c r="E13474" s="553">
        <v>319.33999999999997</v>
      </c>
      <c r="F13474" s="553">
        <v>4287.6099999999997</v>
      </c>
      <c r="G13474" s="553">
        <v>187.74</v>
      </c>
      <c r="H13474" s="553">
        <v>419.84</v>
      </c>
      <c r="I13474" s="553">
        <v>5655.5</v>
      </c>
      <c r="J13474" s="647">
        <v>2420.9</v>
      </c>
    </row>
    <row r="13475" spans="2:11">
      <c r="B13475" s="1230" t="s">
        <v>486</v>
      </c>
      <c r="C13475" s="132" t="s">
        <v>2154</v>
      </c>
      <c r="D13475" s="255">
        <v>51187</v>
      </c>
      <c r="E13475" s="553">
        <v>417.26</v>
      </c>
      <c r="F13475" s="553">
        <v>4876.41</v>
      </c>
      <c r="G13475" s="553">
        <v>216.58</v>
      </c>
      <c r="H13475" s="553">
        <v>482.48</v>
      </c>
      <c r="I13475" s="553">
        <v>6476.93</v>
      </c>
      <c r="J13475" s="647">
        <v>2526.54</v>
      </c>
    </row>
    <row r="13476" spans="2:11">
      <c r="B13476" s="1230" t="s">
        <v>486</v>
      </c>
      <c r="C13476" s="132" t="s">
        <v>487</v>
      </c>
      <c r="D13476" s="255">
        <v>51191</v>
      </c>
      <c r="E13476" s="553">
        <v>475.81</v>
      </c>
      <c r="F13476" s="553">
        <v>6483.13</v>
      </c>
      <c r="G13476" s="553">
        <v>188.13</v>
      </c>
      <c r="H13476" s="553">
        <v>634.19000000000005</v>
      </c>
      <c r="I13476" s="553">
        <v>10687.88</v>
      </c>
      <c r="J13476" s="647">
        <v>2926.89</v>
      </c>
    </row>
    <row r="13477" spans="2:11">
      <c r="B13477" s="1230" t="s">
        <v>486</v>
      </c>
      <c r="C13477" s="132" t="s">
        <v>3132</v>
      </c>
      <c r="D13477" s="255">
        <v>51193</v>
      </c>
      <c r="E13477" s="553">
        <v>492.75</v>
      </c>
      <c r="F13477" s="553">
        <v>5711.28</v>
      </c>
      <c r="G13477" s="553">
        <v>189.34</v>
      </c>
      <c r="H13477" s="553">
        <v>565.48</v>
      </c>
      <c r="I13477" s="553">
        <v>5243.17</v>
      </c>
      <c r="J13477" s="647">
        <v>2623.84</v>
      </c>
    </row>
    <row r="13478" spans="2:11">
      <c r="B13478" s="1230" t="s">
        <v>486</v>
      </c>
      <c r="C13478" s="132" t="s">
        <v>3381</v>
      </c>
      <c r="D13478" s="255">
        <v>51195</v>
      </c>
      <c r="E13478" s="553">
        <v>351.73</v>
      </c>
      <c r="F13478" s="553">
        <v>4566.6499999999996</v>
      </c>
      <c r="G13478" s="553">
        <v>183.27</v>
      </c>
      <c r="H13478" s="553">
        <v>448.19</v>
      </c>
      <c r="I13478" s="553">
        <v>3508.52</v>
      </c>
      <c r="J13478" s="647">
        <v>2592.29</v>
      </c>
    </row>
    <row r="13479" spans="2:11">
      <c r="B13479" s="1230" t="s">
        <v>486</v>
      </c>
      <c r="C13479" s="132" t="s">
        <v>3453</v>
      </c>
      <c r="D13479" s="255">
        <v>51197</v>
      </c>
      <c r="E13479" s="553">
        <v>379.67</v>
      </c>
      <c r="F13479" s="553">
        <v>4788.41</v>
      </c>
      <c r="G13479" s="553">
        <v>220.16</v>
      </c>
      <c r="H13479" s="553">
        <v>471.05</v>
      </c>
      <c r="I13479" s="553">
        <v>7210.16</v>
      </c>
      <c r="J13479" s="647">
        <v>2542.9299999999998</v>
      </c>
    </row>
    <row r="13480" spans="2:11">
      <c r="B13480" s="1230" t="s">
        <v>486</v>
      </c>
      <c r="C13480" s="132" t="s">
        <v>2530</v>
      </c>
      <c r="D13480" s="255">
        <v>51199</v>
      </c>
      <c r="E13480" s="553">
        <v>606.82000000000005</v>
      </c>
      <c r="F13480" s="553">
        <v>6620.45</v>
      </c>
      <c r="G13480" s="553">
        <v>189.12</v>
      </c>
      <c r="H13480" s="553">
        <v>658.75</v>
      </c>
      <c r="I13480" s="553">
        <v>1898.18</v>
      </c>
      <c r="J13480" s="647">
        <v>3555.85</v>
      </c>
    </row>
    <row r="13481" spans="2:11">
      <c r="B13481" s="1230" t="s">
        <v>486</v>
      </c>
      <c r="C13481" s="132" t="s">
        <v>3454</v>
      </c>
      <c r="D13481" s="255">
        <v>51510</v>
      </c>
      <c r="E13481" s="553">
        <v>1235.6300000000001</v>
      </c>
      <c r="F13481" s="553">
        <v>12646.56</v>
      </c>
      <c r="G13481" s="553">
        <v>126.41</v>
      </c>
      <c r="H13481" s="553">
        <v>1264.95</v>
      </c>
      <c r="I13481" s="553">
        <v>21911</v>
      </c>
      <c r="J13481" s="647">
        <v>3969.75</v>
      </c>
    </row>
    <row r="13482" spans="2:11">
      <c r="B13482" s="1230" t="s">
        <v>486</v>
      </c>
      <c r="C13482" s="132" t="s">
        <v>3455</v>
      </c>
      <c r="D13482" s="255">
        <v>51515</v>
      </c>
      <c r="E13482" s="553">
        <v>584.77</v>
      </c>
      <c r="F13482" s="553">
        <v>7324.87</v>
      </c>
      <c r="G13482" s="553">
        <v>215.42</v>
      </c>
      <c r="H13482" s="553">
        <v>720.75</v>
      </c>
      <c r="I13482" s="553">
        <v>12034.86</v>
      </c>
      <c r="J13482" s="647">
        <v>3407.53</v>
      </c>
    </row>
    <row r="13483" spans="2:11">
      <c r="B13483" s="1230" t="s">
        <v>486</v>
      </c>
      <c r="C13483" s="132" t="s">
        <v>3456</v>
      </c>
      <c r="D13483" s="255">
        <v>51520</v>
      </c>
      <c r="E13483" s="553">
        <v>475.81</v>
      </c>
      <c r="F13483" s="553">
        <v>6483.13</v>
      </c>
      <c r="G13483" s="553">
        <v>171.46</v>
      </c>
      <c r="H13483" s="553">
        <v>634.19000000000005</v>
      </c>
      <c r="I13483" s="553">
        <v>10687.88</v>
      </c>
      <c r="J13483" s="647">
        <v>2925.29</v>
      </c>
    </row>
    <row r="13484" spans="2:11">
      <c r="B13484" s="1230" t="s">
        <v>486</v>
      </c>
      <c r="C13484" s="132" t="s">
        <v>3457</v>
      </c>
      <c r="D13484" s="255">
        <v>51530</v>
      </c>
      <c r="E13484" s="553">
        <v>325</v>
      </c>
      <c r="F13484" s="553">
        <v>3974.17</v>
      </c>
      <c r="G13484" s="553">
        <v>244.03</v>
      </c>
      <c r="H13484" s="553">
        <v>391.88</v>
      </c>
      <c r="I13484" s="553">
        <v>4872.7299999999996</v>
      </c>
      <c r="J13484" s="647">
        <v>2521.8200000000002</v>
      </c>
    </row>
    <row r="13485" spans="2:11">
      <c r="B13485" s="1230" t="s">
        <v>486</v>
      </c>
      <c r="C13485" s="132" t="s">
        <v>3458</v>
      </c>
      <c r="D13485" s="255">
        <v>51540</v>
      </c>
      <c r="E13485" s="553">
        <v>349.17</v>
      </c>
      <c r="F13485" s="553">
        <v>4133.33</v>
      </c>
      <c r="G13485" s="553">
        <v>191.99</v>
      </c>
      <c r="H13485" s="553">
        <v>408.45</v>
      </c>
      <c r="I13485" s="553">
        <v>4543.05</v>
      </c>
      <c r="J13485" s="647">
        <v>2413.46</v>
      </c>
    </row>
    <row r="13486" spans="2:11">
      <c r="B13486" s="1230" t="s">
        <v>486</v>
      </c>
      <c r="C13486" s="132" t="s">
        <v>3459</v>
      </c>
      <c r="D13486" s="255">
        <v>51550</v>
      </c>
      <c r="E13486" s="553">
        <v>648.64</v>
      </c>
      <c r="F13486" s="553">
        <v>6869.23</v>
      </c>
      <c r="G13486" s="553">
        <v>141.77000000000001</v>
      </c>
      <c r="H13486" s="553">
        <v>685.19</v>
      </c>
      <c r="I13486" s="553">
        <v>2144.35</v>
      </c>
      <c r="J13486" s="647">
        <v>3187.92</v>
      </c>
    </row>
    <row r="13487" spans="2:11">
      <c r="B13487" s="1306" t="s">
        <v>486</v>
      </c>
      <c r="C13487" s="259" t="s">
        <v>3460</v>
      </c>
      <c r="D13487" s="1307">
        <v>51560</v>
      </c>
      <c r="E13487" s="1308">
        <v>301.79000000000002</v>
      </c>
      <c r="F13487" s="1308">
        <v>3656.62</v>
      </c>
      <c r="G13487" s="1308">
        <v>213.89</v>
      </c>
      <c r="H13487" s="1308">
        <v>360.77</v>
      </c>
      <c r="I13487" s="1308">
        <v>4090.02</v>
      </c>
      <c r="J13487" s="1309">
        <v>2355.66</v>
      </c>
      <c r="K13487" s="63" t="s">
        <v>1786</v>
      </c>
    </row>
    <row r="13488" spans="2:11">
      <c r="B13488" s="1230" t="s">
        <v>486</v>
      </c>
      <c r="C13488" s="132" t="s">
        <v>3461</v>
      </c>
      <c r="D13488" s="255">
        <v>51570</v>
      </c>
      <c r="E13488" s="553">
        <v>848.78</v>
      </c>
      <c r="F13488" s="553">
        <v>9630.2199999999993</v>
      </c>
      <c r="G13488" s="553">
        <v>140.29</v>
      </c>
      <c r="H13488" s="553">
        <v>954.76</v>
      </c>
      <c r="I13488" s="553">
        <v>16326.7</v>
      </c>
      <c r="J13488" s="647">
        <v>3270.44</v>
      </c>
    </row>
    <row r="13489" spans="2:10">
      <c r="B13489" s="1230" t="s">
        <v>486</v>
      </c>
      <c r="C13489" s="132" t="s">
        <v>3462</v>
      </c>
      <c r="D13489" s="255">
        <v>51580</v>
      </c>
      <c r="E13489" s="553">
        <v>301.79000000000002</v>
      </c>
      <c r="F13489" s="553">
        <v>3656.62</v>
      </c>
      <c r="G13489" s="553">
        <v>213.98</v>
      </c>
      <c r="H13489" s="553">
        <v>360.77</v>
      </c>
      <c r="I13489" s="553">
        <v>4090.02</v>
      </c>
      <c r="J13489" s="647">
        <v>2355.56</v>
      </c>
    </row>
    <row r="13490" spans="2:10">
      <c r="B13490" s="1230" t="s">
        <v>486</v>
      </c>
      <c r="C13490" s="132" t="s">
        <v>3463</v>
      </c>
      <c r="D13490" s="255">
        <v>51590</v>
      </c>
      <c r="E13490" s="553">
        <v>492.35</v>
      </c>
      <c r="F13490" s="553">
        <v>6363.19</v>
      </c>
      <c r="G13490" s="553">
        <v>245.12</v>
      </c>
      <c r="H13490" s="553">
        <v>624.72</v>
      </c>
      <c r="I13490" s="553">
        <v>7974.08</v>
      </c>
      <c r="J13490" s="647">
        <v>3453.2</v>
      </c>
    </row>
    <row r="13491" spans="2:10">
      <c r="B13491" s="1230" t="s">
        <v>486</v>
      </c>
      <c r="C13491" s="132" t="s">
        <v>3464</v>
      </c>
      <c r="D13491" s="255">
        <v>51595</v>
      </c>
      <c r="E13491" s="553">
        <v>275.27</v>
      </c>
      <c r="F13491" s="553">
        <v>3183.45</v>
      </c>
      <c r="G13491" s="553">
        <v>199.62</v>
      </c>
      <c r="H13491" s="553">
        <v>315.24</v>
      </c>
      <c r="I13491" s="553">
        <v>2642.58</v>
      </c>
      <c r="J13491" s="647">
        <v>2393.19</v>
      </c>
    </row>
    <row r="13492" spans="2:10">
      <c r="B13492" s="1230" t="s">
        <v>486</v>
      </c>
      <c r="C13492" s="132" t="s">
        <v>3465</v>
      </c>
      <c r="D13492" s="255">
        <v>51600</v>
      </c>
      <c r="E13492" s="553">
        <v>3198.98</v>
      </c>
      <c r="F13492" s="553">
        <v>32793.379999999997</v>
      </c>
      <c r="G13492" s="553">
        <v>199.46</v>
      </c>
      <c r="H13492" s="553">
        <v>3279.35</v>
      </c>
      <c r="I13492" s="553">
        <v>62994.82</v>
      </c>
      <c r="J13492" s="647">
        <v>7288.41</v>
      </c>
    </row>
    <row r="13493" spans="2:10">
      <c r="B13493" s="1230" t="s">
        <v>486</v>
      </c>
      <c r="C13493" s="132" t="s">
        <v>3466</v>
      </c>
      <c r="D13493" s="255">
        <v>51610</v>
      </c>
      <c r="E13493" s="553">
        <v>3198.98</v>
      </c>
      <c r="F13493" s="553">
        <v>32793.379999999997</v>
      </c>
      <c r="G13493" s="553">
        <v>184.22</v>
      </c>
      <c r="H13493" s="553">
        <v>3279.35</v>
      </c>
      <c r="I13493" s="553">
        <v>62994.82</v>
      </c>
      <c r="J13493" s="647">
        <v>7291.51</v>
      </c>
    </row>
    <row r="13494" spans="2:10">
      <c r="B13494" s="1230" t="s">
        <v>486</v>
      </c>
      <c r="C13494" s="132" t="s">
        <v>3467</v>
      </c>
      <c r="D13494" s="255">
        <v>51620</v>
      </c>
      <c r="E13494" s="553">
        <v>290.06</v>
      </c>
      <c r="F13494" s="553">
        <v>3340.56</v>
      </c>
      <c r="G13494" s="553">
        <v>180.66</v>
      </c>
      <c r="H13494" s="553">
        <v>330.84</v>
      </c>
      <c r="I13494" s="553">
        <v>2602.44</v>
      </c>
      <c r="J13494" s="647">
        <v>2403.0500000000002</v>
      </c>
    </row>
    <row r="13495" spans="2:10">
      <c r="B13495" s="1230" t="s">
        <v>486</v>
      </c>
      <c r="C13495" s="132" t="s">
        <v>3468</v>
      </c>
      <c r="D13495" s="255">
        <v>51630</v>
      </c>
      <c r="E13495" s="553">
        <v>584.72</v>
      </c>
      <c r="F13495" s="553">
        <v>6567.73</v>
      </c>
      <c r="G13495" s="553">
        <v>174.43</v>
      </c>
      <c r="H13495" s="553">
        <v>651.80999999999995</v>
      </c>
      <c r="I13495" s="553">
        <v>5927.25</v>
      </c>
      <c r="J13495" s="647">
        <v>3082.51</v>
      </c>
    </row>
    <row r="13496" spans="2:10">
      <c r="B13496" s="1230" t="s">
        <v>486</v>
      </c>
      <c r="C13496" s="132" t="s">
        <v>3469</v>
      </c>
      <c r="D13496" s="255">
        <v>51640</v>
      </c>
      <c r="E13496" s="553">
        <v>330.36</v>
      </c>
      <c r="F13496" s="553">
        <v>4191.1899999999996</v>
      </c>
      <c r="G13496" s="553">
        <v>232.27</v>
      </c>
      <c r="H13496" s="553">
        <v>412.08</v>
      </c>
      <c r="I13496" s="553">
        <v>5669.14</v>
      </c>
      <c r="J13496" s="647">
        <v>2501.6999999999998</v>
      </c>
    </row>
    <row r="13497" spans="2:10">
      <c r="B13497" s="1230" t="s">
        <v>486</v>
      </c>
      <c r="C13497" s="132" t="s">
        <v>3470</v>
      </c>
      <c r="D13497" s="255">
        <v>51650</v>
      </c>
      <c r="E13497" s="553">
        <v>648.64</v>
      </c>
      <c r="F13497" s="553">
        <v>6869.23</v>
      </c>
      <c r="G13497" s="553">
        <v>153.06</v>
      </c>
      <c r="H13497" s="553">
        <v>685.19</v>
      </c>
      <c r="I13497" s="553">
        <v>2144.35</v>
      </c>
      <c r="J13497" s="647">
        <v>3193.52</v>
      </c>
    </row>
    <row r="13498" spans="2:10">
      <c r="B13498" s="1230" t="s">
        <v>486</v>
      </c>
      <c r="C13498" s="132" t="s">
        <v>3471</v>
      </c>
      <c r="D13498" s="255">
        <v>51660</v>
      </c>
      <c r="E13498" s="553">
        <v>373.53</v>
      </c>
      <c r="F13498" s="553">
        <v>4664.6899999999996</v>
      </c>
      <c r="G13498" s="553">
        <v>355.84</v>
      </c>
      <c r="H13498" s="553">
        <v>459.24</v>
      </c>
      <c r="I13498" s="553">
        <v>2764.15</v>
      </c>
      <c r="J13498" s="647">
        <v>2708.88</v>
      </c>
    </row>
    <row r="13499" spans="2:10">
      <c r="B13499" s="1230" t="s">
        <v>486</v>
      </c>
      <c r="C13499" s="132" t="s">
        <v>3472</v>
      </c>
      <c r="D13499" s="255">
        <v>51670</v>
      </c>
      <c r="E13499" s="553">
        <v>415.01</v>
      </c>
      <c r="F13499" s="553">
        <v>4741.32</v>
      </c>
      <c r="G13499" s="553">
        <v>176.74</v>
      </c>
      <c r="H13499" s="553">
        <v>469.96</v>
      </c>
      <c r="I13499" s="553">
        <v>5451.16</v>
      </c>
      <c r="J13499" s="647">
        <v>2771.63</v>
      </c>
    </row>
    <row r="13500" spans="2:10">
      <c r="B13500" s="1230" t="s">
        <v>486</v>
      </c>
      <c r="C13500" s="132" t="s">
        <v>3473</v>
      </c>
      <c r="D13500" s="255">
        <v>51678</v>
      </c>
      <c r="E13500" s="553">
        <v>325</v>
      </c>
      <c r="F13500" s="553">
        <v>3974.17</v>
      </c>
      <c r="G13500" s="553">
        <v>242.74</v>
      </c>
      <c r="H13500" s="553">
        <v>391.88</v>
      </c>
      <c r="I13500" s="553">
        <v>4872.7299999999996</v>
      </c>
      <c r="J13500" s="647">
        <v>2519.3200000000002</v>
      </c>
    </row>
    <row r="13501" spans="2:10">
      <c r="B13501" s="1230" t="s">
        <v>486</v>
      </c>
      <c r="C13501" s="132" t="s">
        <v>3474</v>
      </c>
      <c r="D13501" s="255">
        <v>51680</v>
      </c>
      <c r="E13501" s="553">
        <v>459.62</v>
      </c>
      <c r="F13501" s="553">
        <v>5702.79</v>
      </c>
      <c r="G13501" s="553">
        <v>210.19</v>
      </c>
      <c r="H13501" s="553">
        <v>561.66</v>
      </c>
      <c r="I13501" s="553">
        <v>8727.2999999999993</v>
      </c>
      <c r="J13501" s="647">
        <v>2904.43</v>
      </c>
    </row>
    <row r="13502" spans="2:10">
      <c r="B13502" s="1230" t="s">
        <v>486</v>
      </c>
      <c r="C13502" s="132" t="s">
        <v>3475</v>
      </c>
      <c r="D13502" s="255">
        <v>51683</v>
      </c>
      <c r="E13502" s="553">
        <v>1849.28</v>
      </c>
      <c r="F13502" s="553">
        <v>18774.439999999999</v>
      </c>
      <c r="G13502" s="553">
        <v>166.28</v>
      </c>
      <c r="H13502" s="553">
        <v>1879.45</v>
      </c>
      <c r="I13502" s="553">
        <v>34200.47</v>
      </c>
      <c r="J13502" s="647">
        <v>5147.66</v>
      </c>
    </row>
    <row r="13503" spans="2:10">
      <c r="B13503" s="1230" t="s">
        <v>486</v>
      </c>
      <c r="C13503" s="132" t="s">
        <v>3476</v>
      </c>
      <c r="D13503" s="255">
        <v>51685</v>
      </c>
      <c r="E13503" s="553">
        <v>1849.28</v>
      </c>
      <c r="F13503" s="553">
        <v>18774.439999999999</v>
      </c>
      <c r="G13503" s="553">
        <v>164.8</v>
      </c>
      <c r="H13503" s="553">
        <v>1879.45</v>
      </c>
      <c r="I13503" s="553">
        <v>34200.47</v>
      </c>
      <c r="J13503" s="647">
        <v>5145.26</v>
      </c>
    </row>
    <row r="13504" spans="2:10">
      <c r="B13504" s="1230" t="s">
        <v>486</v>
      </c>
      <c r="C13504" s="132" t="s">
        <v>3477</v>
      </c>
      <c r="D13504" s="255">
        <v>51690</v>
      </c>
      <c r="E13504" s="553">
        <v>380.57</v>
      </c>
      <c r="F13504" s="553">
        <v>4836.67</v>
      </c>
      <c r="G13504" s="553">
        <v>240.49</v>
      </c>
      <c r="H13504" s="553">
        <v>475.4</v>
      </c>
      <c r="I13504" s="553">
        <v>6113.51</v>
      </c>
      <c r="J13504" s="647">
        <v>2675.78</v>
      </c>
    </row>
    <row r="13505" spans="2:10">
      <c r="B13505" s="1230" t="s">
        <v>486</v>
      </c>
      <c r="C13505" s="132" t="s">
        <v>3478</v>
      </c>
      <c r="D13505" s="255">
        <v>51700</v>
      </c>
      <c r="E13505" s="553">
        <v>648.64</v>
      </c>
      <c r="F13505" s="553">
        <v>6869.23</v>
      </c>
      <c r="G13505" s="553">
        <v>160.38999999999999</v>
      </c>
      <c r="H13505" s="553">
        <v>685.19</v>
      </c>
      <c r="I13505" s="553">
        <v>2144.35</v>
      </c>
      <c r="J13505" s="647">
        <v>3193.82</v>
      </c>
    </row>
    <row r="13506" spans="2:10">
      <c r="B13506" s="1230" t="s">
        <v>486</v>
      </c>
      <c r="C13506" s="132" t="s">
        <v>3479</v>
      </c>
      <c r="D13506" s="255">
        <v>51710</v>
      </c>
      <c r="E13506" s="553">
        <v>648.64</v>
      </c>
      <c r="F13506" s="553">
        <v>6869.23</v>
      </c>
      <c r="G13506" s="553">
        <v>168.78</v>
      </c>
      <c r="H13506" s="553">
        <v>685.19</v>
      </c>
      <c r="I13506" s="553">
        <v>2144.35</v>
      </c>
      <c r="J13506" s="647">
        <v>3199.02</v>
      </c>
    </row>
    <row r="13507" spans="2:10">
      <c r="B13507" s="1230" t="s">
        <v>486</v>
      </c>
      <c r="C13507" s="132" t="s">
        <v>3480</v>
      </c>
      <c r="D13507" s="255">
        <v>51720</v>
      </c>
      <c r="E13507" s="553">
        <v>351.73</v>
      </c>
      <c r="F13507" s="553">
        <v>4566.6499999999996</v>
      </c>
      <c r="G13507" s="553">
        <v>172.82</v>
      </c>
      <c r="H13507" s="553">
        <v>448.19</v>
      </c>
      <c r="I13507" s="553">
        <v>3508.52</v>
      </c>
      <c r="J13507" s="647">
        <v>2590.69</v>
      </c>
    </row>
    <row r="13508" spans="2:10">
      <c r="B13508" s="1230" t="s">
        <v>486</v>
      </c>
      <c r="C13508" s="132" t="s">
        <v>3481</v>
      </c>
      <c r="D13508" s="255">
        <v>51730</v>
      </c>
      <c r="E13508" s="553">
        <v>415.01</v>
      </c>
      <c r="F13508" s="553">
        <v>4741.32</v>
      </c>
      <c r="G13508" s="553">
        <v>178.32</v>
      </c>
      <c r="H13508" s="553">
        <v>469.96</v>
      </c>
      <c r="I13508" s="553">
        <v>5451.16</v>
      </c>
      <c r="J13508" s="647">
        <v>2775.03</v>
      </c>
    </row>
    <row r="13509" spans="2:10">
      <c r="B13509" s="1230" t="s">
        <v>486</v>
      </c>
      <c r="C13509" s="132" t="s">
        <v>3482</v>
      </c>
      <c r="D13509" s="255">
        <v>51735</v>
      </c>
      <c r="E13509" s="553">
        <v>606.82000000000005</v>
      </c>
      <c r="F13509" s="553">
        <v>6620.45</v>
      </c>
      <c r="G13509" s="553">
        <v>170.1</v>
      </c>
      <c r="H13509" s="553">
        <v>658.75</v>
      </c>
      <c r="I13509" s="553">
        <v>1898.18</v>
      </c>
      <c r="J13509" s="647">
        <v>3555.45</v>
      </c>
    </row>
    <row r="13510" spans="2:10">
      <c r="B13510" s="1230" t="s">
        <v>486</v>
      </c>
      <c r="C13510" s="132" t="s">
        <v>3483</v>
      </c>
      <c r="D13510" s="255">
        <v>51740</v>
      </c>
      <c r="E13510" s="553">
        <v>648.98</v>
      </c>
      <c r="F13510" s="553">
        <v>6869.35</v>
      </c>
      <c r="G13510" s="553">
        <v>158.68</v>
      </c>
      <c r="H13510" s="553">
        <v>685.19</v>
      </c>
      <c r="I13510" s="553">
        <v>2144.2399999999998</v>
      </c>
      <c r="J13510" s="647">
        <v>3187.22</v>
      </c>
    </row>
    <row r="13511" spans="2:10">
      <c r="B13511" s="1230" t="s">
        <v>486</v>
      </c>
      <c r="C13511" s="132" t="s">
        <v>3484</v>
      </c>
      <c r="D13511" s="255">
        <v>51750</v>
      </c>
      <c r="E13511" s="553">
        <v>327.12</v>
      </c>
      <c r="F13511" s="553">
        <v>4115.05</v>
      </c>
      <c r="G13511" s="553">
        <v>219.58</v>
      </c>
      <c r="H13511" s="553">
        <v>404.81</v>
      </c>
      <c r="I13511" s="553">
        <v>5307</v>
      </c>
      <c r="J13511" s="647">
        <v>2431.5700000000002</v>
      </c>
    </row>
    <row r="13512" spans="2:10">
      <c r="B13512" s="1230" t="s">
        <v>486</v>
      </c>
      <c r="C13512" s="132" t="s">
        <v>3485</v>
      </c>
      <c r="D13512" s="255">
        <v>51760</v>
      </c>
      <c r="E13512" s="553">
        <v>457.44</v>
      </c>
      <c r="F13512" s="553">
        <v>5043.04</v>
      </c>
      <c r="G13512" s="553">
        <v>164.98</v>
      </c>
      <c r="H13512" s="553">
        <v>501.33</v>
      </c>
      <c r="I13512" s="553">
        <v>1873.79</v>
      </c>
      <c r="J13512" s="647">
        <v>2744.21</v>
      </c>
    </row>
    <row r="13513" spans="2:10">
      <c r="B13513" s="1230" t="s">
        <v>486</v>
      </c>
      <c r="C13513" s="132" t="s">
        <v>3486</v>
      </c>
      <c r="D13513" s="255">
        <v>51770</v>
      </c>
      <c r="E13513" s="553">
        <v>581.59</v>
      </c>
      <c r="F13513" s="553">
        <v>7308.04</v>
      </c>
      <c r="G13513" s="553">
        <v>217.73</v>
      </c>
      <c r="H13513" s="553">
        <v>718.85</v>
      </c>
      <c r="I13513" s="553">
        <v>12372.85</v>
      </c>
      <c r="J13513" s="647">
        <v>3013.28</v>
      </c>
    </row>
    <row r="13514" spans="2:10">
      <c r="B13514" s="1230" t="s">
        <v>486</v>
      </c>
      <c r="C13514" s="132" t="s">
        <v>3487</v>
      </c>
      <c r="D13514" s="255">
        <v>51775</v>
      </c>
      <c r="E13514" s="553">
        <v>581.59</v>
      </c>
      <c r="F13514" s="553">
        <v>7308.04</v>
      </c>
      <c r="G13514" s="553">
        <v>216.94</v>
      </c>
      <c r="H13514" s="553">
        <v>718.85</v>
      </c>
      <c r="I13514" s="553">
        <v>12372.85</v>
      </c>
      <c r="J13514" s="647">
        <v>3017.08</v>
      </c>
    </row>
    <row r="13515" spans="2:10">
      <c r="B13515" s="1230" t="s">
        <v>486</v>
      </c>
      <c r="C13515" s="132" t="s">
        <v>3488</v>
      </c>
      <c r="D13515" s="255">
        <v>51790</v>
      </c>
      <c r="E13515" s="553">
        <v>332.99</v>
      </c>
      <c r="F13515" s="553">
        <v>4141.78</v>
      </c>
      <c r="G13515" s="553">
        <v>299.14</v>
      </c>
      <c r="H13515" s="553">
        <v>407.79</v>
      </c>
      <c r="I13515" s="553">
        <v>3125.8</v>
      </c>
      <c r="J13515" s="647">
        <v>2548.15</v>
      </c>
    </row>
    <row r="13516" spans="2:10">
      <c r="B13516" s="1230" t="s">
        <v>486</v>
      </c>
      <c r="C13516" s="132" t="s">
        <v>3489</v>
      </c>
      <c r="D13516" s="255">
        <v>51800</v>
      </c>
      <c r="E13516" s="553">
        <v>648.64</v>
      </c>
      <c r="F13516" s="553">
        <v>6869.23</v>
      </c>
      <c r="G13516" s="553">
        <v>189.62</v>
      </c>
      <c r="H13516" s="553">
        <v>685.19</v>
      </c>
      <c r="I13516" s="553">
        <v>2144.35</v>
      </c>
      <c r="J13516" s="647">
        <v>3189.02</v>
      </c>
    </row>
    <row r="13517" spans="2:10">
      <c r="B13517" s="1230" t="s">
        <v>486</v>
      </c>
      <c r="C13517" s="132" t="s">
        <v>3490</v>
      </c>
      <c r="D13517" s="255">
        <v>51810</v>
      </c>
      <c r="E13517" s="553">
        <v>648.64</v>
      </c>
      <c r="F13517" s="553">
        <v>6869.23</v>
      </c>
      <c r="G13517" s="553">
        <v>180.33</v>
      </c>
      <c r="H13517" s="553">
        <v>685.19</v>
      </c>
      <c r="I13517" s="553">
        <v>2144.35</v>
      </c>
      <c r="J13517" s="647">
        <v>3201.82</v>
      </c>
    </row>
    <row r="13518" spans="2:10">
      <c r="B13518" s="1230" t="s">
        <v>486</v>
      </c>
      <c r="C13518" s="132" t="s">
        <v>3491</v>
      </c>
      <c r="D13518" s="255">
        <v>51820</v>
      </c>
      <c r="E13518" s="553">
        <v>332.99</v>
      </c>
      <c r="F13518" s="553">
        <v>4141.78</v>
      </c>
      <c r="G13518" s="553">
        <v>299.99</v>
      </c>
      <c r="H13518" s="553">
        <v>407.79</v>
      </c>
      <c r="I13518" s="553">
        <v>3125.8</v>
      </c>
      <c r="J13518" s="647">
        <v>2548.5500000000002</v>
      </c>
    </row>
    <row r="13519" spans="2:10">
      <c r="B13519" s="1230" t="s">
        <v>486</v>
      </c>
      <c r="C13519" s="132" t="s">
        <v>3492</v>
      </c>
      <c r="D13519" s="255">
        <v>51830</v>
      </c>
      <c r="E13519" s="553">
        <v>606.82000000000005</v>
      </c>
      <c r="F13519" s="553">
        <v>6620.45</v>
      </c>
      <c r="G13519" s="553">
        <v>180.99</v>
      </c>
      <c r="H13519" s="553">
        <v>658.75</v>
      </c>
      <c r="I13519" s="553">
        <v>1898.18</v>
      </c>
      <c r="J13519" s="647">
        <v>3552.15</v>
      </c>
    </row>
    <row r="13520" spans="2:10">
      <c r="B13520" s="1230" t="s">
        <v>486</v>
      </c>
      <c r="C13520" s="132" t="s">
        <v>3493</v>
      </c>
      <c r="D13520" s="255">
        <v>51840</v>
      </c>
      <c r="E13520" s="553">
        <v>477.68</v>
      </c>
      <c r="F13520" s="553">
        <v>5736.7</v>
      </c>
      <c r="G13520" s="553">
        <v>222.21</v>
      </c>
      <c r="H13520" s="553">
        <v>566.38</v>
      </c>
      <c r="I13520" s="553">
        <v>8072.87</v>
      </c>
      <c r="J13520" s="647">
        <v>2682.45</v>
      </c>
    </row>
    <row r="13521" spans="2:10">
      <c r="B13521" s="1230" t="s">
        <v>487</v>
      </c>
      <c r="C13521" s="132" t="s">
        <v>1940</v>
      </c>
      <c r="D13521" s="255">
        <v>53001</v>
      </c>
      <c r="E13521" s="553">
        <v>86.88</v>
      </c>
      <c r="F13521" s="553">
        <v>744.82</v>
      </c>
      <c r="G13521" s="553">
        <v>186.2</v>
      </c>
      <c r="H13521" s="553">
        <v>75.89</v>
      </c>
      <c r="I13521" s="553">
        <v>192.56</v>
      </c>
      <c r="J13521" s="647">
        <v>374.56</v>
      </c>
    </row>
    <row r="13522" spans="2:10">
      <c r="B13522" s="1230" t="s">
        <v>487</v>
      </c>
      <c r="C13522" s="132" t="s">
        <v>3494</v>
      </c>
      <c r="D13522" s="255">
        <v>53003</v>
      </c>
      <c r="E13522" s="553">
        <v>129.88999999999999</v>
      </c>
      <c r="F13522" s="553">
        <v>934.62</v>
      </c>
      <c r="G13522" s="553">
        <v>198.05</v>
      </c>
      <c r="H13522" s="553">
        <v>97.04</v>
      </c>
      <c r="I13522" s="553">
        <v>162.78</v>
      </c>
      <c r="J13522" s="647">
        <v>408.92</v>
      </c>
    </row>
    <row r="13523" spans="2:10">
      <c r="B13523" s="1230" t="s">
        <v>487</v>
      </c>
      <c r="C13523" s="132" t="s">
        <v>1832</v>
      </c>
      <c r="D13523" s="255">
        <v>53005</v>
      </c>
      <c r="E13523" s="553">
        <v>111.23</v>
      </c>
      <c r="F13523" s="553">
        <v>1010.18</v>
      </c>
      <c r="G13523" s="553">
        <v>222.71</v>
      </c>
      <c r="H13523" s="553">
        <v>102.34</v>
      </c>
      <c r="I13523" s="553">
        <v>207.13</v>
      </c>
      <c r="J13523" s="647">
        <v>446.7</v>
      </c>
    </row>
    <row r="13524" spans="2:10">
      <c r="B13524" s="1230" t="s">
        <v>487</v>
      </c>
      <c r="C13524" s="132" t="s">
        <v>3495</v>
      </c>
      <c r="D13524" s="255">
        <v>53007</v>
      </c>
      <c r="E13524" s="553">
        <v>142.84</v>
      </c>
      <c r="F13524" s="553">
        <v>1393.13</v>
      </c>
      <c r="G13524" s="553">
        <v>145.66</v>
      </c>
      <c r="H13524" s="553">
        <v>140.16999999999999</v>
      </c>
      <c r="I13524" s="553">
        <v>1828.15</v>
      </c>
      <c r="J13524" s="647">
        <v>478.34</v>
      </c>
    </row>
    <row r="13525" spans="2:10">
      <c r="B13525" s="1230" t="s">
        <v>487</v>
      </c>
      <c r="C13525" s="132" t="s">
        <v>3496</v>
      </c>
      <c r="D13525" s="255">
        <v>53009</v>
      </c>
      <c r="E13525" s="553">
        <v>55.05</v>
      </c>
      <c r="F13525" s="553">
        <v>614.29</v>
      </c>
      <c r="G13525" s="553">
        <v>26.56</v>
      </c>
      <c r="H13525" s="553">
        <v>61.07</v>
      </c>
      <c r="I13525" s="553">
        <v>1204.44</v>
      </c>
      <c r="J13525" s="647">
        <v>277.51</v>
      </c>
    </row>
    <row r="13526" spans="2:10">
      <c r="B13526" s="1230" t="s">
        <v>487</v>
      </c>
      <c r="C13526" s="132" t="s">
        <v>1837</v>
      </c>
      <c r="D13526" s="255">
        <v>53011</v>
      </c>
      <c r="E13526" s="553">
        <v>455.79</v>
      </c>
      <c r="F13526" s="553">
        <v>4746.59</v>
      </c>
      <c r="G13526" s="553">
        <v>174.58</v>
      </c>
      <c r="H13526" s="553">
        <v>474.64</v>
      </c>
      <c r="I13526" s="553">
        <v>6764.7</v>
      </c>
      <c r="J13526" s="647">
        <v>1754.58</v>
      </c>
    </row>
    <row r="13527" spans="2:10">
      <c r="B13527" s="1230" t="s">
        <v>487</v>
      </c>
      <c r="C13527" s="132" t="s">
        <v>1839</v>
      </c>
      <c r="D13527" s="255">
        <v>53013</v>
      </c>
      <c r="E13527" s="553">
        <v>118.2</v>
      </c>
      <c r="F13527" s="553">
        <v>874.24</v>
      </c>
      <c r="G13527" s="553">
        <v>186.07</v>
      </c>
      <c r="H13527" s="553">
        <v>90.52</v>
      </c>
      <c r="I13527" s="553">
        <v>157.22999999999999</v>
      </c>
      <c r="J13527" s="647">
        <v>396.65</v>
      </c>
    </row>
    <row r="13528" spans="2:10">
      <c r="B13528" s="1230" t="s">
        <v>487</v>
      </c>
      <c r="C13528" s="132" t="s">
        <v>3497</v>
      </c>
      <c r="D13528" s="255">
        <v>53015</v>
      </c>
      <c r="E13528" s="553">
        <v>357.04</v>
      </c>
      <c r="F13528" s="553">
        <v>3675.93</v>
      </c>
      <c r="G13528" s="553">
        <v>178.77</v>
      </c>
      <c r="H13528" s="553">
        <v>367.91</v>
      </c>
      <c r="I13528" s="553">
        <v>5025.3900000000003</v>
      </c>
      <c r="J13528" s="647">
        <v>1619.35</v>
      </c>
    </row>
    <row r="13529" spans="2:10">
      <c r="B13529" s="1230" t="s">
        <v>487</v>
      </c>
      <c r="C13529" s="132" t="s">
        <v>1957</v>
      </c>
      <c r="D13529" s="255">
        <v>53017</v>
      </c>
      <c r="E13529" s="553">
        <v>85.44</v>
      </c>
      <c r="F13529" s="553">
        <v>789.97</v>
      </c>
      <c r="G13529" s="553">
        <v>163.13</v>
      </c>
      <c r="H13529" s="553">
        <v>79.849999999999994</v>
      </c>
      <c r="I13529" s="553">
        <v>353.47</v>
      </c>
      <c r="J13529" s="647">
        <v>360.45</v>
      </c>
    </row>
    <row r="13530" spans="2:10">
      <c r="B13530" s="1230" t="s">
        <v>487</v>
      </c>
      <c r="C13530" s="132" t="s">
        <v>3498</v>
      </c>
      <c r="D13530" s="255">
        <v>53019</v>
      </c>
      <c r="E13530" s="553">
        <v>57.62</v>
      </c>
      <c r="F13530" s="553">
        <v>483.09</v>
      </c>
      <c r="G13530" s="553">
        <v>112.91</v>
      </c>
      <c r="H13530" s="553">
        <v>49.32</v>
      </c>
      <c r="I13530" s="553">
        <v>410.35</v>
      </c>
      <c r="J13530" s="647">
        <v>298.49</v>
      </c>
    </row>
    <row r="13531" spans="2:10">
      <c r="B13531" s="1230" t="s">
        <v>487</v>
      </c>
      <c r="C13531" s="132" t="s">
        <v>1748</v>
      </c>
      <c r="D13531" s="255">
        <v>53021</v>
      </c>
      <c r="E13531" s="553">
        <v>159.97</v>
      </c>
      <c r="F13531" s="553">
        <v>1469.79</v>
      </c>
      <c r="G13531" s="553">
        <v>320.33</v>
      </c>
      <c r="H13531" s="553">
        <v>148.63</v>
      </c>
      <c r="I13531" s="553">
        <v>176.96</v>
      </c>
      <c r="J13531" s="647">
        <v>505.18</v>
      </c>
    </row>
    <row r="13532" spans="2:10">
      <c r="B13532" s="1230" t="s">
        <v>487</v>
      </c>
      <c r="C13532" s="132" t="s">
        <v>1962</v>
      </c>
      <c r="D13532" s="255">
        <v>53023</v>
      </c>
      <c r="E13532" s="553">
        <v>114.11</v>
      </c>
      <c r="F13532" s="553">
        <v>717.61</v>
      </c>
      <c r="G13532" s="553">
        <v>179.53</v>
      </c>
      <c r="H13532" s="553">
        <v>75.86</v>
      </c>
      <c r="I13532" s="553">
        <v>157.53</v>
      </c>
      <c r="J13532" s="647">
        <v>386.77</v>
      </c>
    </row>
    <row r="13533" spans="2:10">
      <c r="B13533" s="1230" t="s">
        <v>487</v>
      </c>
      <c r="C13533" s="132" t="s">
        <v>1850</v>
      </c>
      <c r="D13533" s="255">
        <v>53025</v>
      </c>
      <c r="E13533" s="553">
        <v>86.87</v>
      </c>
      <c r="F13533" s="553">
        <v>779</v>
      </c>
      <c r="G13533" s="553">
        <v>310.31</v>
      </c>
      <c r="H13533" s="553">
        <v>79.040000000000006</v>
      </c>
      <c r="I13533" s="553">
        <v>283.74</v>
      </c>
      <c r="J13533" s="647">
        <v>384.93</v>
      </c>
    </row>
    <row r="13534" spans="2:10">
      <c r="B13534" s="1230" t="s">
        <v>487</v>
      </c>
      <c r="C13534" s="132" t="s">
        <v>3499</v>
      </c>
      <c r="D13534" s="255">
        <v>53027</v>
      </c>
      <c r="E13534" s="553">
        <v>66.180000000000007</v>
      </c>
      <c r="F13534" s="553">
        <v>704.3</v>
      </c>
      <c r="G13534" s="553">
        <v>46.53</v>
      </c>
      <c r="H13534" s="553">
        <v>70.38</v>
      </c>
      <c r="I13534" s="553">
        <v>1298.23</v>
      </c>
      <c r="J13534" s="647">
        <v>320.37</v>
      </c>
    </row>
    <row r="13535" spans="2:10">
      <c r="B13535" s="1230" t="s">
        <v>487</v>
      </c>
      <c r="C13535" s="132" t="s">
        <v>3500</v>
      </c>
      <c r="D13535" s="255">
        <v>53029</v>
      </c>
      <c r="E13535" s="553">
        <v>240.73</v>
      </c>
      <c r="F13535" s="553">
        <v>2577.64</v>
      </c>
      <c r="G13535" s="553">
        <v>161.91999999999999</v>
      </c>
      <c r="H13535" s="553">
        <v>257.08999999999997</v>
      </c>
      <c r="I13535" s="553">
        <v>1518.53</v>
      </c>
      <c r="J13535" s="647">
        <v>858.92</v>
      </c>
    </row>
    <row r="13536" spans="2:10">
      <c r="B13536" s="1230" t="s">
        <v>487</v>
      </c>
      <c r="C13536" s="132" t="s">
        <v>1755</v>
      </c>
      <c r="D13536" s="255">
        <v>53031</v>
      </c>
      <c r="E13536" s="553">
        <v>77.56</v>
      </c>
      <c r="F13536" s="553">
        <v>852.87</v>
      </c>
      <c r="G13536" s="553">
        <v>23.42</v>
      </c>
      <c r="H13536" s="553">
        <v>84.9</v>
      </c>
      <c r="I13536" s="553">
        <v>1683.98</v>
      </c>
      <c r="J13536" s="647">
        <v>345.72</v>
      </c>
    </row>
    <row r="13537" spans="2:10">
      <c r="B13537" s="1230" t="s">
        <v>487</v>
      </c>
      <c r="C13537" s="132" t="s">
        <v>3307</v>
      </c>
      <c r="D13537" s="255">
        <v>53033</v>
      </c>
      <c r="E13537" s="553">
        <v>1393.28</v>
      </c>
      <c r="F13537" s="553">
        <v>14639.74</v>
      </c>
      <c r="G13537" s="553">
        <v>29.21</v>
      </c>
      <c r="H13537" s="553">
        <v>1462.34</v>
      </c>
      <c r="I13537" s="553">
        <v>31985.37</v>
      </c>
      <c r="J13537" s="647">
        <v>4880.42</v>
      </c>
    </row>
    <row r="13538" spans="2:10">
      <c r="B13538" s="1230" t="s">
        <v>487</v>
      </c>
      <c r="C13538" s="132" t="s">
        <v>3501</v>
      </c>
      <c r="D13538" s="255">
        <v>53035</v>
      </c>
      <c r="E13538" s="553">
        <v>337.39</v>
      </c>
      <c r="F13538" s="553">
        <v>3657.13</v>
      </c>
      <c r="G13538" s="553">
        <v>59.6</v>
      </c>
      <c r="H13538" s="553">
        <v>364.68</v>
      </c>
      <c r="I13538" s="553">
        <v>7617.67</v>
      </c>
      <c r="J13538" s="647">
        <v>1009.35</v>
      </c>
    </row>
    <row r="13539" spans="2:10">
      <c r="B13539" s="1230" t="s">
        <v>487</v>
      </c>
      <c r="C13539" s="132" t="s">
        <v>3502</v>
      </c>
      <c r="D13539" s="255">
        <v>53037</v>
      </c>
      <c r="E13539" s="553">
        <v>132.54</v>
      </c>
      <c r="F13539" s="553">
        <v>1365.29</v>
      </c>
      <c r="G13539" s="553">
        <v>207.06</v>
      </c>
      <c r="H13539" s="553">
        <v>136.68</v>
      </c>
      <c r="I13539" s="553">
        <v>906.58</v>
      </c>
      <c r="J13539" s="647">
        <v>505.11</v>
      </c>
    </row>
    <row r="13540" spans="2:10">
      <c r="B13540" s="1230" t="s">
        <v>487</v>
      </c>
      <c r="C13540" s="132" t="s">
        <v>3503</v>
      </c>
      <c r="D13540" s="255">
        <v>53039</v>
      </c>
      <c r="E13540" s="553">
        <v>75.319999999999993</v>
      </c>
      <c r="F13540" s="553">
        <v>527.92999999999995</v>
      </c>
      <c r="G13540" s="553">
        <v>85.21</v>
      </c>
      <c r="H13540" s="553">
        <v>55.06</v>
      </c>
      <c r="I13540" s="553">
        <v>237.73</v>
      </c>
      <c r="J13540" s="647">
        <v>478.48</v>
      </c>
    </row>
    <row r="13541" spans="2:10">
      <c r="B13541" s="1230" t="s">
        <v>487</v>
      </c>
      <c r="C13541" s="132" t="s">
        <v>2187</v>
      </c>
      <c r="D13541" s="255">
        <v>53041</v>
      </c>
      <c r="E13541" s="553">
        <v>314.08</v>
      </c>
      <c r="F13541" s="553">
        <v>3378.93</v>
      </c>
      <c r="G13541" s="553">
        <v>169.44</v>
      </c>
      <c r="H13541" s="553">
        <v>336.92</v>
      </c>
      <c r="I13541" s="553">
        <v>4871.2700000000004</v>
      </c>
      <c r="J13541" s="647">
        <v>1563.44</v>
      </c>
    </row>
    <row r="13542" spans="2:10">
      <c r="B13542" s="1230" t="s">
        <v>487</v>
      </c>
      <c r="C13542" s="132" t="s">
        <v>1858</v>
      </c>
      <c r="D13542" s="255">
        <v>53043</v>
      </c>
      <c r="E13542" s="553">
        <v>139.16</v>
      </c>
      <c r="F13542" s="553">
        <v>1421.89</v>
      </c>
      <c r="G13542" s="553">
        <v>243.59</v>
      </c>
      <c r="H13542" s="553">
        <v>142.44</v>
      </c>
      <c r="I13542" s="553">
        <v>233.72</v>
      </c>
      <c r="J13542" s="647">
        <v>483.96</v>
      </c>
    </row>
    <row r="13543" spans="2:10">
      <c r="B13543" s="1230" t="s">
        <v>487</v>
      </c>
      <c r="C13543" s="132" t="s">
        <v>2230</v>
      </c>
      <c r="D13543" s="255">
        <v>53045</v>
      </c>
      <c r="E13543" s="553">
        <v>223.27</v>
      </c>
      <c r="F13543" s="553">
        <v>2411.79</v>
      </c>
      <c r="G13543" s="553">
        <v>49.34</v>
      </c>
      <c r="H13543" s="553">
        <v>240.41</v>
      </c>
      <c r="I13543" s="553">
        <v>4861.96</v>
      </c>
      <c r="J13543" s="647">
        <v>902.78</v>
      </c>
    </row>
    <row r="13544" spans="2:10">
      <c r="B13544" s="1230" t="s">
        <v>487</v>
      </c>
      <c r="C13544" s="132" t="s">
        <v>3504</v>
      </c>
      <c r="D13544" s="255">
        <v>53047</v>
      </c>
      <c r="E13544" s="553">
        <v>63.4</v>
      </c>
      <c r="F13544" s="553">
        <v>598.78</v>
      </c>
      <c r="G13544" s="553">
        <v>108.37</v>
      </c>
      <c r="H13544" s="553">
        <v>60.44</v>
      </c>
      <c r="I13544" s="553">
        <v>594.73</v>
      </c>
      <c r="J13544" s="647">
        <v>334.89</v>
      </c>
    </row>
    <row r="13545" spans="2:10">
      <c r="B13545" s="1230" t="s">
        <v>487</v>
      </c>
      <c r="C13545" s="132" t="s">
        <v>3505</v>
      </c>
      <c r="D13545" s="255">
        <v>53049</v>
      </c>
      <c r="E13545" s="553">
        <v>81.25</v>
      </c>
      <c r="F13545" s="553">
        <v>704.4</v>
      </c>
      <c r="G13545" s="553">
        <v>46.4</v>
      </c>
      <c r="H13545" s="553">
        <v>71.680000000000007</v>
      </c>
      <c r="I13545" s="553">
        <v>1131.33</v>
      </c>
      <c r="J13545" s="647">
        <v>361.43</v>
      </c>
    </row>
    <row r="13546" spans="2:10">
      <c r="B13546" s="1230" t="s">
        <v>487</v>
      </c>
      <c r="C13546" s="132" t="s">
        <v>3506</v>
      </c>
      <c r="D13546" s="255">
        <v>53051</v>
      </c>
      <c r="E13546" s="553">
        <v>72.98</v>
      </c>
      <c r="F13546" s="553">
        <v>599.39</v>
      </c>
      <c r="G13546" s="553">
        <v>111.13</v>
      </c>
      <c r="H13546" s="553">
        <v>61.35</v>
      </c>
      <c r="I13546" s="553">
        <v>662.45</v>
      </c>
      <c r="J13546" s="647">
        <v>301.95</v>
      </c>
    </row>
    <row r="13547" spans="2:10">
      <c r="B13547" s="1230" t="s">
        <v>487</v>
      </c>
      <c r="C13547" s="132" t="s">
        <v>2129</v>
      </c>
      <c r="D13547" s="255">
        <v>53053</v>
      </c>
      <c r="E13547" s="553">
        <v>571.03</v>
      </c>
      <c r="F13547" s="553">
        <v>6103.38</v>
      </c>
      <c r="G13547" s="553">
        <v>93.36</v>
      </c>
      <c r="H13547" s="553">
        <v>608.88</v>
      </c>
      <c r="I13547" s="553">
        <v>12150.78</v>
      </c>
      <c r="J13547" s="647">
        <v>1942.97</v>
      </c>
    </row>
    <row r="13548" spans="2:10">
      <c r="B13548" s="1230" t="s">
        <v>487</v>
      </c>
      <c r="C13548" s="132" t="s">
        <v>1988</v>
      </c>
      <c r="D13548" s="255">
        <v>53055</v>
      </c>
      <c r="E13548" s="553">
        <v>133.51</v>
      </c>
      <c r="F13548" s="553">
        <v>1017.03</v>
      </c>
      <c r="G13548" s="553">
        <v>27.8</v>
      </c>
      <c r="H13548" s="553">
        <v>104.91</v>
      </c>
      <c r="I13548" s="553">
        <v>1989.33</v>
      </c>
      <c r="J13548" s="647">
        <v>377.97</v>
      </c>
    </row>
    <row r="13549" spans="2:10">
      <c r="B13549" s="1230" t="s">
        <v>487</v>
      </c>
      <c r="C13549" s="132" t="s">
        <v>3507</v>
      </c>
      <c r="D13549" s="255">
        <v>53057</v>
      </c>
      <c r="E13549" s="553">
        <v>191.2</v>
      </c>
      <c r="F13549" s="553">
        <v>2062.02</v>
      </c>
      <c r="G13549" s="553">
        <v>104.85</v>
      </c>
      <c r="H13549" s="553">
        <v>205.62</v>
      </c>
      <c r="I13549" s="553">
        <v>2982.42</v>
      </c>
      <c r="J13549" s="647">
        <v>767.82</v>
      </c>
    </row>
    <row r="13550" spans="2:10">
      <c r="B13550" s="1230" t="s">
        <v>487</v>
      </c>
      <c r="C13550" s="132" t="s">
        <v>3508</v>
      </c>
      <c r="D13550" s="255">
        <v>53059</v>
      </c>
      <c r="E13550" s="553">
        <v>317.05</v>
      </c>
      <c r="F13550" s="553">
        <v>3157.46</v>
      </c>
      <c r="G13550" s="553">
        <v>99.39</v>
      </c>
      <c r="H13550" s="553">
        <v>316.97000000000003</v>
      </c>
      <c r="I13550" s="553">
        <v>5514.22</v>
      </c>
      <c r="J13550" s="647">
        <v>1277.98</v>
      </c>
    </row>
    <row r="13551" spans="2:10">
      <c r="B13551" s="1230" t="s">
        <v>487</v>
      </c>
      <c r="C13551" s="132" t="s">
        <v>3509</v>
      </c>
      <c r="D13551" s="255">
        <v>53061</v>
      </c>
      <c r="E13551" s="553">
        <v>449.96</v>
      </c>
      <c r="F13551" s="553">
        <v>4741.33</v>
      </c>
      <c r="G13551" s="553">
        <v>106.56</v>
      </c>
      <c r="H13551" s="553">
        <v>473.54</v>
      </c>
      <c r="I13551" s="553">
        <v>9363.67</v>
      </c>
      <c r="J13551" s="647">
        <v>1672.53</v>
      </c>
    </row>
    <row r="13552" spans="2:10">
      <c r="B13552" s="1230" t="s">
        <v>487</v>
      </c>
      <c r="C13552" s="132" t="s">
        <v>3510</v>
      </c>
      <c r="D13552" s="255">
        <v>53063</v>
      </c>
      <c r="E13552" s="553">
        <v>167.74</v>
      </c>
      <c r="F13552" s="553">
        <v>1838.12</v>
      </c>
      <c r="G13552" s="553">
        <v>283.56</v>
      </c>
      <c r="H13552" s="553">
        <v>182.95</v>
      </c>
      <c r="I13552" s="553">
        <v>242.9</v>
      </c>
      <c r="J13552" s="647">
        <v>543.70000000000005</v>
      </c>
    </row>
    <row r="13553" spans="2:10">
      <c r="B13553" s="1230" t="s">
        <v>487</v>
      </c>
      <c r="C13553" s="132" t="s">
        <v>2393</v>
      </c>
      <c r="D13553" s="255">
        <v>53065</v>
      </c>
      <c r="E13553" s="553">
        <v>63.84</v>
      </c>
      <c r="F13553" s="553">
        <v>517.9</v>
      </c>
      <c r="G13553" s="553">
        <v>117.45</v>
      </c>
      <c r="H13553" s="553">
        <v>53.05</v>
      </c>
      <c r="I13553" s="553">
        <v>442.5</v>
      </c>
      <c r="J13553" s="647">
        <v>301.81</v>
      </c>
    </row>
    <row r="13554" spans="2:10">
      <c r="B13554" s="1230" t="s">
        <v>487</v>
      </c>
      <c r="C13554" s="132" t="s">
        <v>2831</v>
      </c>
      <c r="D13554" s="255">
        <v>53067</v>
      </c>
      <c r="E13554" s="553">
        <v>254.16</v>
      </c>
      <c r="F13554" s="553">
        <v>2780.98</v>
      </c>
      <c r="G13554" s="553">
        <v>203.07</v>
      </c>
      <c r="H13554" s="553">
        <v>276.89</v>
      </c>
      <c r="I13554" s="553">
        <v>2647.51</v>
      </c>
      <c r="J13554" s="647">
        <v>1150.79</v>
      </c>
    </row>
    <row r="13555" spans="2:10">
      <c r="B13555" s="1230" t="s">
        <v>487</v>
      </c>
      <c r="C13555" s="132" t="s">
        <v>3511</v>
      </c>
      <c r="D13555" s="255">
        <v>53069</v>
      </c>
      <c r="E13555" s="553">
        <v>145.41</v>
      </c>
      <c r="F13555" s="553">
        <v>1188.6199999999999</v>
      </c>
      <c r="G13555" s="553">
        <v>95.98</v>
      </c>
      <c r="H13555" s="553">
        <v>121.65</v>
      </c>
      <c r="I13555" s="553">
        <v>1256.49</v>
      </c>
      <c r="J13555" s="647">
        <v>700.2</v>
      </c>
    </row>
    <row r="13556" spans="2:10">
      <c r="B13556" s="1230" t="s">
        <v>487</v>
      </c>
      <c r="C13556" s="132" t="s">
        <v>3512</v>
      </c>
      <c r="D13556" s="255">
        <v>53071</v>
      </c>
      <c r="E13556" s="553">
        <v>117.2</v>
      </c>
      <c r="F13556" s="553">
        <v>942.08</v>
      </c>
      <c r="G13556" s="553">
        <v>290.3</v>
      </c>
      <c r="H13556" s="553">
        <v>96.62</v>
      </c>
      <c r="I13556" s="553">
        <v>164.89</v>
      </c>
      <c r="J13556" s="647">
        <v>423.85</v>
      </c>
    </row>
    <row r="13557" spans="2:10">
      <c r="B13557" s="1230" t="s">
        <v>487</v>
      </c>
      <c r="C13557" s="132" t="s">
        <v>3513</v>
      </c>
      <c r="D13557" s="255">
        <v>53073</v>
      </c>
      <c r="E13557" s="553">
        <v>68.39</v>
      </c>
      <c r="F13557" s="553">
        <v>762.24</v>
      </c>
      <c r="G13557" s="553">
        <v>85.09</v>
      </c>
      <c r="H13557" s="553">
        <v>75.849999999999994</v>
      </c>
      <c r="I13557" s="553">
        <v>371.04</v>
      </c>
      <c r="J13557" s="647">
        <v>391.53</v>
      </c>
    </row>
    <row r="13558" spans="2:10">
      <c r="B13558" s="1230" t="s">
        <v>487</v>
      </c>
      <c r="C13558" s="132" t="s">
        <v>3514</v>
      </c>
      <c r="D13558" s="255">
        <v>53075</v>
      </c>
      <c r="E13558" s="553">
        <v>102.68</v>
      </c>
      <c r="F13558" s="553">
        <v>818.29</v>
      </c>
      <c r="G13558" s="553">
        <v>261.94</v>
      </c>
      <c r="H13558" s="553">
        <v>83.98</v>
      </c>
      <c r="I13558" s="553">
        <v>165.31</v>
      </c>
      <c r="J13558" s="647">
        <v>411.29</v>
      </c>
    </row>
    <row r="13559" spans="2:10">
      <c r="B13559" s="1230" t="s">
        <v>487</v>
      </c>
      <c r="C13559" s="132" t="s">
        <v>3515</v>
      </c>
      <c r="D13559" s="255">
        <v>53077</v>
      </c>
      <c r="E13559" s="553">
        <v>91.8</v>
      </c>
      <c r="F13559" s="553">
        <v>873.91</v>
      </c>
      <c r="G13559" s="553">
        <v>157.76</v>
      </c>
      <c r="H13559" s="553">
        <v>88.12</v>
      </c>
      <c r="I13559" s="553">
        <v>324</v>
      </c>
      <c r="J13559" s="647">
        <v>704</v>
      </c>
    </row>
    <row r="13560" spans="2:10">
      <c r="B13560" s="1230" t="s">
        <v>488</v>
      </c>
      <c r="C13560" s="132" t="s">
        <v>1721</v>
      </c>
      <c r="D13560" s="255">
        <v>54001</v>
      </c>
      <c r="E13560" s="553">
        <v>291.86</v>
      </c>
      <c r="F13560" s="553">
        <v>3722.79</v>
      </c>
      <c r="G13560" s="553">
        <v>200.1</v>
      </c>
      <c r="H13560" s="553">
        <v>365.91</v>
      </c>
      <c r="I13560" s="553">
        <v>4254.6099999999997</v>
      </c>
      <c r="J13560" s="647">
        <v>2310.65</v>
      </c>
    </row>
    <row r="13561" spans="2:10">
      <c r="B13561" s="1230" t="s">
        <v>488</v>
      </c>
      <c r="C13561" s="132" t="s">
        <v>3140</v>
      </c>
      <c r="D13561" s="255">
        <v>54003</v>
      </c>
      <c r="E13561" s="553">
        <v>626.05999999999995</v>
      </c>
      <c r="F13561" s="553">
        <v>7543.63</v>
      </c>
      <c r="G13561" s="553">
        <v>316.47000000000003</v>
      </c>
      <c r="H13561" s="553">
        <v>744.65</v>
      </c>
      <c r="I13561" s="553">
        <v>8602.49</v>
      </c>
      <c r="J13561" s="647">
        <v>3179.34</v>
      </c>
    </row>
    <row r="13562" spans="2:10">
      <c r="B13562" s="1230" t="s">
        <v>488</v>
      </c>
      <c r="C13562" s="132" t="s">
        <v>1833</v>
      </c>
      <c r="D13562" s="255">
        <v>54005</v>
      </c>
      <c r="E13562" s="553">
        <v>342.17</v>
      </c>
      <c r="F13562" s="553">
        <v>4736.54</v>
      </c>
      <c r="G13562" s="553">
        <v>189.32</v>
      </c>
      <c r="H13562" s="553">
        <v>462.75</v>
      </c>
      <c r="I13562" s="553">
        <v>9597.49</v>
      </c>
      <c r="J13562" s="647">
        <v>2378.17</v>
      </c>
    </row>
    <row r="13563" spans="2:10">
      <c r="B13563" s="1230" t="s">
        <v>488</v>
      </c>
      <c r="C13563" s="132" t="s">
        <v>3516</v>
      </c>
      <c r="D13563" s="255">
        <v>54007</v>
      </c>
      <c r="E13563" s="553">
        <v>256.82</v>
      </c>
      <c r="F13563" s="553">
        <v>3249.8</v>
      </c>
      <c r="G13563" s="553">
        <v>182.16</v>
      </c>
      <c r="H13563" s="553">
        <v>319.67</v>
      </c>
      <c r="I13563" s="553">
        <v>4060.83</v>
      </c>
      <c r="J13563" s="647">
        <v>2220.4499999999998</v>
      </c>
    </row>
    <row r="13564" spans="2:10">
      <c r="B13564" s="1230" t="s">
        <v>488</v>
      </c>
      <c r="C13564" s="132" t="s">
        <v>3517</v>
      </c>
      <c r="D13564" s="255">
        <v>54009</v>
      </c>
      <c r="E13564" s="553">
        <v>594.44000000000005</v>
      </c>
      <c r="F13564" s="553">
        <v>8152.91</v>
      </c>
      <c r="G13564" s="553">
        <v>265</v>
      </c>
      <c r="H13564" s="553">
        <v>797.51</v>
      </c>
      <c r="I13564" s="553">
        <v>13718.67</v>
      </c>
      <c r="J13564" s="647">
        <v>3434.11</v>
      </c>
    </row>
    <row r="13565" spans="2:10">
      <c r="B13565" s="1230" t="s">
        <v>488</v>
      </c>
      <c r="C13565" s="132" t="s">
        <v>3518</v>
      </c>
      <c r="D13565" s="255">
        <v>54011</v>
      </c>
      <c r="E13565" s="553">
        <v>358.7</v>
      </c>
      <c r="F13565" s="553">
        <v>5031.3500000000004</v>
      </c>
      <c r="G13565" s="553">
        <v>190.23</v>
      </c>
      <c r="H13565" s="553">
        <v>491.2</v>
      </c>
      <c r="I13565" s="553">
        <v>10484.870000000001</v>
      </c>
      <c r="J13565" s="647">
        <v>2453.48</v>
      </c>
    </row>
    <row r="13566" spans="2:10">
      <c r="B13566" s="1230" t="s">
        <v>488</v>
      </c>
      <c r="C13566" s="132" t="s">
        <v>1726</v>
      </c>
      <c r="D13566" s="255">
        <v>54013</v>
      </c>
      <c r="E13566" s="553">
        <v>248.49</v>
      </c>
      <c r="F13566" s="553">
        <v>3130.25</v>
      </c>
      <c r="G13566" s="553">
        <v>180.93</v>
      </c>
      <c r="H13566" s="553">
        <v>307.91000000000003</v>
      </c>
      <c r="I13566" s="553">
        <v>4886.08</v>
      </c>
      <c r="J13566" s="647">
        <v>2151.84</v>
      </c>
    </row>
    <row r="13567" spans="2:10">
      <c r="B13567" s="1230" t="s">
        <v>488</v>
      </c>
      <c r="C13567" s="132" t="s">
        <v>1732</v>
      </c>
      <c r="D13567" s="255">
        <v>54015</v>
      </c>
      <c r="E13567" s="553">
        <v>262.81</v>
      </c>
      <c r="F13567" s="553">
        <v>3419.86</v>
      </c>
      <c r="G13567" s="553">
        <v>187.22</v>
      </c>
      <c r="H13567" s="553">
        <v>335.58</v>
      </c>
      <c r="I13567" s="553">
        <v>5697.71</v>
      </c>
      <c r="J13567" s="647">
        <v>2160.2600000000002</v>
      </c>
    </row>
    <row r="13568" spans="2:10">
      <c r="B13568" s="1230" t="s">
        <v>488</v>
      </c>
      <c r="C13568" s="132" t="s">
        <v>3519</v>
      </c>
      <c r="D13568" s="255">
        <v>54017</v>
      </c>
      <c r="E13568" s="553">
        <v>292.64</v>
      </c>
      <c r="F13568" s="553">
        <v>3787.91</v>
      </c>
      <c r="G13568" s="553">
        <v>214.79</v>
      </c>
      <c r="H13568" s="553">
        <v>371.93</v>
      </c>
      <c r="I13568" s="553">
        <v>4554.72</v>
      </c>
      <c r="J13568" s="647">
        <v>2323.44</v>
      </c>
    </row>
    <row r="13569" spans="2:10">
      <c r="B13569" s="1230" t="s">
        <v>488</v>
      </c>
      <c r="C13569" s="132" t="s">
        <v>1747</v>
      </c>
      <c r="D13569" s="255">
        <v>54019</v>
      </c>
      <c r="E13569" s="553">
        <v>321.08</v>
      </c>
      <c r="F13569" s="553">
        <v>4561.45</v>
      </c>
      <c r="G13569" s="553">
        <v>187.22</v>
      </c>
      <c r="H13569" s="553">
        <v>444.83</v>
      </c>
      <c r="I13569" s="553">
        <v>8137.67</v>
      </c>
      <c r="J13569" s="647">
        <v>2474.69</v>
      </c>
    </row>
    <row r="13570" spans="2:10">
      <c r="B13570" s="1230" t="s">
        <v>488</v>
      </c>
      <c r="C13570" s="132" t="s">
        <v>2097</v>
      </c>
      <c r="D13570" s="255">
        <v>54021</v>
      </c>
      <c r="E13570" s="553">
        <v>281.36</v>
      </c>
      <c r="F13570" s="553">
        <v>3580.12</v>
      </c>
      <c r="G13570" s="553">
        <v>182.28</v>
      </c>
      <c r="H13570" s="553">
        <v>352.05</v>
      </c>
      <c r="I13570" s="553">
        <v>4490.17</v>
      </c>
      <c r="J13570" s="647">
        <v>2332.9</v>
      </c>
    </row>
    <row r="13571" spans="2:10">
      <c r="B13571" s="1230" t="s">
        <v>488</v>
      </c>
      <c r="C13571" s="132" t="s">
        <v>1850</v>
      </c>
      <c r="D13571" s="255">
        <v>54023</v>
      </c>
      <c r="E13571" s="553">
        <v>241.99</v>
      </c>
      <c r="F13571" s="553">
        <v>2959.55</v>
      </c>
      <c r="G13571" s="553">
        <v>202.44</v>
      </c>
      <c r="H13571" s="553">
        <v>291.77999999999997</v>
      </c>
      <c r="I13571" s="553">
        <v>3077.81</v>
      </c>
      <c r="J13571" s="647">
        <v>2083.84</v>
      </c>
    </row>
    <row r="13572" spans="2:10">
      <c r="B13572" s="1230" t="s">
        <v>488</v>
      </c>
      <c r="C13572" s="132" t="s">
        <v>3520</v>
      </c>
      <c r="D13572" s="255">
        <v>54025</v>
      </c>
      <c r="E13572" s="553">
        <v>254.36</v>
      </c>
      <c r="F13572" s="553">
        <v>3278.19</v>
      </c>
      <c r="G13572" s="553">
        <v>175.77</v>
      </c>
      <c r="H13572" s="553">
        <v>321.8</v>
      </c>
      <c r="I13572" s="553">
        <v>3637.16</v>
      </c>
      <c r="J13572" s="647">
        <v>2287.27</v>
      </c>
    </row>
    <row r="13573" spans="2:10">
      <c r="B13573" s="1230" t="s">
        <v>488</v>
      </c>
      <c r="C13573" s="132" t="s">
        <v>2554</v>
      </c>
      <c r="D13573" s="255">
        <v>54027</v>
      </c>
      <c r="E13573" s="553">
        <v>390.69</v>
      </c>
      <c r="F13573" s="553">
        <v>4899.22</v>
      </c>
      <c r="G13573" s="553">
        <v>225.48</v>
      </c>
      <c r="H13573" s="553">
        <v>482.08</v>
      </c>
      <c r="I13573" s="553">
        <v>5360.87</v>
      </c>
      <c r="J13573" s="647">
        <v>2577.41</v>
      </c>
    </row>
    <row r="13574" spans="2:10">
      <c r="B13574" s="1230" t="s">
        <v>488</v>
      </c>
      <c r="C13574" s="132" t="s">
        <v>2105</v>
      </c>
      <c r="D13574" s="255">
        <v>54029</v>
      </c>
      <c r="E13574" s="553">
        <v>656.49</v>
      </c>
      <c r="F13574" s="553">
        <v>9002.74</v>
      </c>
      <c r="G13574" s="553">
        <v>380.81</v>
      </c>
      <c r="H13574" s="553">
        <v>880.59</v>
      </c>
      <c r="I13574" s="553">
        <v>12559.6</v>
      </c>
      <c r="J13574" s="647">
        <v>3723.52</v>
      </c>
    </row>
    <row r="13575" spans="2:10">
      <c r="B13575" s="1230" t="s">
        <v>488</v>
      </c>
      <c r="C13575" s="132" t="s">
        <v>3521</v>
      </c>
      <c r="D13575" s="255">
        <v>54031</v>
      </c>
      <c r="E13575" s="553">
        <v>308.27999999999997</v>
      </c>
      <c r="F13575" s="553">
        <v>3801.68</v>
      </c>
      <c r="G13575" s="553">
        <v>243.17</v>
      </c>
      <c r="H13575" s="553">
        <v>374.54</v>
      </c>
      <c r="I13575" s="553">
        <v>3638.56</v>
      </c>
      <c r="J13575" s="647">
        <v>2317.0700000000002</v>
      </c>
    </row>
    <row r="13576" spans="2:10">
      <c r="B13576" s="1230" t="s">
        <v>488</v>
      </c>
      <c r="C13576" s="132" t="s">
        <v>2261</v>
      </c>
      <c r="D13576" s="255">
        <v>54033</v>
      </c>
      <c r="E13576" s="553">
        <v>412.55</v>
      </c>
      <c r="F13576" s="553">
        <v>5781.39</v>
      </c>
      <c r="G13576" s="553">
        <v>210.78</v>
      </c>
      <c r="H13576" s="553">
        <v>564.63</v>
      </c>
      <c r="I13576" s="553">
        <v>7371.23</v>
      </c>
      <c r="J13576" s="647">
        <v>2779.3</v>
      </c>
    </row>
    <row r="13577" spans="2:10">
      <c r="B13577" s="1230" t="s">
        <v>488</v>
      </c>
      <c r="C13577" s="132" t="s">
        <v>1754</v>
      </c>
      <c r="D13577" s="255">
        <v>54035</v>
      </c>
      <c r="E13577" s="553">
        <v>293.18</v>
      </c>
      <c r="F13577" s="553">
        <v>3897.41</v>
      </c>
      <c r="G13577" s="553">
        <v>182.27</v>
      </c>
      <c r="H13577" s="553">
        <v>381.86</v>
      </c>
      <c r="I13577" s="553">
        <v>7279.48</v>
      </c>
      <c r="J13577" s="647">
        <v>2323.09</v>
      </c>
    </row>
    <row r="13578" spans="2:10">
      <c r="B13578" s="1230" t="s">
        <v>488</v>
      </c>
      <c r="C13578" s="132" t="s">
        <v>1755</v>
      </c>
      <c r="D13578" s="255">
        <v>54037</v>
      </c>
      <c r="E13578" s="553">
        <v>780.42</v>
      </c>
      <c r="F13578" s="553">
        <v>9250.5</v>
      </c>
      <c r="G13578" s="553">
        <v>289.82</v>
      </c>
      <c r="H13578" s="553">
        <v>914.17</v>
      </c>
      <c r="I13578" s="553">
        <v>13493.79</v>
      </c>
      <c r="J13578" s="647">
        <v>3402.17</v>
      </c>
    </row>
    <row r="13579" spans="2:10">
      <c r="B13579" s="1230" t="s">
        <v>488</v>
      </c>
      <c r="C13579" s="132" t="s">
        <v>3522</v>
      </c>
      <c r="D13579" s="255">
        <v>54039</v>
      </c>
      <c r="E13579" s="553">
        <v>398.77</v>
      </c>
      <c r="F13579" s="553">
        <v>5554.83</v>
      </c>
      <c r="G13579" s="553">
        <v>183.63</v>
      </c>
      <c r="H13579" s="553">
        <v>542.58000000000004</v>
      </c>
      <c r="I13579" s="553">
        <v>11257.29</v>
      </c>
      <c r="J13579" s="647">
        <v>2829.86</v>
      </c>
    </row>
    <row r="13580" spans="2:10">
      <c r="B13580" s="1230" t="s">
        <v>488</v>
      </c>
      <c r="C13580" s="132" t="s">
        <v>2187</v>
      </c>
      <c r="D13580" s="255">
        <v>54041</v>
      </c>
      <c r="E13580" s="553">
        <v>287.04000000000002</v>
      </c>
      <c r="F13580" s="553">
        <v>3698.72</v>
      </c>
      <c r="G13580" s="553">
        <v>202.27</v>
      </c>
      <c r="H13580" s="553">
        <v>363.32</v>
      </c>
      <c r="I13580" s="553">
        <v>3841.83</v>
      </c>
      <c r="J13580" s="647">
        <v>2313.19</v>
      </c>
    </row>
    <row r="13581" spans="2:10">
      <c r="B13581" s="1230" t="s">
        <v>488</v>
      </c>
      <c r="C13581" s="132" t="s">
        <v>1858</v>
      </c>
      <c r="D13581" s="255">
        <v>54043</v>
      </c>
      <c r="E13581" s="553">
        <v>310.33999999999997</v>
      </c>
      <c r="F13581" s="553">
        <v>4152.53</v>
      </c>
      <c r="G13581" s="553">
        <v>191.26</v>
      </c>
      <c r="H13581" s="553">
        <v>406.58</v>
      </c>
      <c r="I13581" s="553">
        <v>8034.16</v>
      </c>
      <c r="J13581" s="647">
        <v>2282.92</v>
      </c>
    </row>
    <row r="13582" spans="2:10">
      <c r="B13582" s="1230" t="s">
        <v>488</v>
      </c>
      <c r="C13582" s="132" t="s">
        <v>1860</v>
      </c>
      <c r="D13582" s="255">
        <v>54045</v>
      </c>
      <c r="E13582" s="553">
        <v>321.74</v>
      </c>
      <c r="F13582" s="553">
        <v>4391.46</v>
      </c>
      <c r="G13582" s="553">
        <v>179.85</v>
      </c>
      <c r="H13582" s="553">
        <v>429.51</v>
      </c>
      <c r="I13582" s="553">
        <v>8428.16</v>
      </c>
      <c r="J13582" s="647">
        <v>2393.1999999999998</v>
      </c>
    </row>
    <row r="13583" spans="2:10">
      <c r="B13583" s="1230" t="s">
        <v>488</v>
      </c>
      <c r="C13583" s="132" t="s">
        <v>2951</v>
      </c>
      <c r="D13583" s="255">
        <v>54047</v>
      </c>
      <c r="E13583" s="553">
        <v>327.44</v>
      </c>
      <c r="F13583" s="553">
        <v>4425.18</v>
      </c>
      <c r="G13583" s="553">
        <v>180.64</v>
      </c>
      <c r="H13583" s="553">
        <v>433.11</v>
      </c>
      <c r="I13583" s="553">
        <v>5519.94</v>
      </c>
      <c r="J13583" s="647">
        <v>2510.2800000000002</v>
      </c>
    </row>
    <row r="13584" spans="2:10">
      <c r="B13584" s="1230" t="s">
        <v>488</v>
      </c>
      <c r="C13584" s="132" t="s">
        <v>1765</v>
      </c>
      <c r="D13584" s="255">
        <v>54049</v>
      </c>
      <c r="E13584" s="553">
        <v>454.9</v>
      </c>
      <c r="F13584" s="553">
        <v>6385.25</v>
      </c>
      <c r="G13584" s="553">
        <v>214.77</v>
      </c>
      <c r="H13584" s="553">
        <v>623.49</v>
      </c>
      <c r="I13584" s="553">
        <v>8996.1200000000008</v>
      </c>
      <c r="J13584" s="647">
        <v>2905.36</v>
      </c>
    </row>
    <row r="13585" spans="2:10">
      <c r="B13585" s="1230" t="s">
        <v>488</v>
      </c>
      <c r="C13585" s="132" t="s">
        <v>1766</v>
      </c>
      <c r="D13585" s="255">
        <v>54051</v>
      </c>
      <c r="E13585" s="553">
        <v>462.28</v>
      </c>
      <c r="F13585" s="553">
        <v>6363.75</v>
      </c>
      <c r="G13585" s="553">
        <v>231.42</v>
      </c>
      <c r="H13585" s="553">
        <v>622.34</v>
      </c>
      <c r="I13585" s="553">
        <v>7284.34</v>
      </c>
      <c r="J13585" s="647">
        <v>3093.33</v>
      </c>
    </row>
    <row r="13586" spans="2:10">
      <c r="B13586" s="1230" t="s">
        <v>488</v>
      </c>
      <c r="C13586" s="132" t="s">
        <v>2230</v>
      </c>
      <c r="D13586" s="255">
        <v>54053</v>
      </c>
      <c r="E13586" s="553">
        <v>407.91</v>
      </c>
      <c r="F13586" s="553">
        <v>5351.96</v>
      </c>
      <c r="G13586" s="553">
        <v>193.95</v>
      </c>
      <c r="H13586" s="553">
        <v>525.04</v>
      </c>
      <c r="I13586" s="553">
        <v>10829.01</v>
      </c>
      <c r="J13586" s="647">
        <v>2592.0500000000002</v>
      </c>
    </row>
    <row r="13587" spans="2:10">
      <c r="B13587" s="1230" t="s">
        <v>488</v>
      </c>
      <c r="C13587" s="132" t="s">
        <v>2233</v>
      </c>
      <c r="D13587" s="255">
        <v>54055</v>
      </c>
      <c r="E13587" s="553">
        <v>286.08</v>
      </c>
      <c r="F13587" s="553">
        <v>3963.35</v>
      </c>
      <c r="G13587" s="553">
        <v>182.87</v>
      </c>
      <c r="H13587" s="553">
        <v>387.18</v>
      </c>
      <c r="I13587" s="553">
        <v>6120.3</v>
      </c>
      <c r="J13587" s="647">
        <v>2226.6999999999998</v>
      </c>
    </row>
    <row r="13588" spans="2:10">
      <c r="B13588" s="1230" t="s">
        <v>488</v>
      </c>
      <c r="C13588" s="132" t="s">
        <v>1974</v>
      </c>
      <c r="D13588" s="255">
        <v>54057</v>
      </c>
      <c r="E13588" s="553">
        <v>299.73</v>
      </c>
      <c r="F13588" s="553">
        <v>3734.54</v>
      </c>
      <c r="G13588" s="553">
        <v>206.66</v>
      </c>
      <c r="H13588" s="553">
        <v>367.66</v>
      </c>
      <c r="I13588" s="553">
        <v>3717.91</v>
      </c>
      <c r="J13588" s="647">
        <v>2243.94</v>
      </c>
    </row>
    <row r="13589" spans="2:10">
      <c r="B13589" s="1230" t="s">
        <v>488</v>
      </c>
      <c r="C13589" s="132" t="s">
        <v>3523</v>
      </c>
      <c r="D13589" s="255">
        <v>54059</v>
      </c>
      <c r="E13589" s="553">
        <v>286.47000000000003</v>
      </c>
      <c r="F13589" s="553">
        <v>3870.13</v>
      </c>
      <c r="G13589" s="553">
        <v>178.19</v>
      </c>
      <c r="H13589" s="553">
        <v>378.77</v>
      </c>
      <c r="I13589" s="553">
        <v>6775.33</v>
      </c>
      <c r="J13589" s="647">
        <v>2281.63</v>
      </c>
    </row>
    <row r="13590" spans="2:10">
      <c r="B13590" s="1230" t="s">
        <v>488</v>
      </c>
      <c r="C13590" s="132" t="s">
        <v>3524</v>
      </c>
      <c r="D13590" s="255">
        <v>54061</v>
      </c>
      <c r="E13590" s="553">
        <v>451.4</v>
      </c>
      <c r="F13590" s="553">
        <v>6207.8</v>
      </c>
      <c r="G13590" s="553">
        <v>213.42</v>
      </c>
      <c r="H13590" s="553">
        <v>607.09</v>
      </c>
      <c r="I13590" s="553">
        <v>11041.31</v>
      </c>
      <c r="J13590" s="647">
        <v>2785.14</v>
      </c>
    </row>
    <row r="13591" spans="2:10">
      <c r="B13591" s="1230" t="s">
        <v>488</v>
      </c>
      <c r="C13591" s="132" t="s">
        <v>1768</v>
      </c>
      <c r="D13591" s="255">
        <v>54063</v>
      </c>
      <c r="E13591" s="553">
        <v>273.48</v>
      </c>
      <c r="F13591" s="553">
        <v>3419.22</v>
      </c>
      <c r="G13591" s="553">
        <v>202.87</v>
      </c>
      <c r="H13591" s="553">
        <v>336.64</v>
      </c>
      <c r="I13591" s="553">
        <v>3887.75</v>
      </c>
      <c r="J13591" s="647">
        <v>2261.37</v>
      </c>
    </row>
    <row r="13592" spans="2:10">
      <c r="B13592" s="1230" t="s">
        <v>488</v>
      </c>
      <c r="C13592" s="132" t="s">
        <v>1770</v>
      </c>
      <c r="D13592" s="255">
        <v>54065</v>
      </c>
      <c r="E13592" s="553">
        <v>507.15</v>
      </c>
      <c r="F13592" s="553">
        <v>6234.11</v>
      </c>
      <c r="G13592" s="553">
        <v>223.52</v>
      </c>
      <c r="H13592" s="553">
        <v>614.28</v>
      </c>
      <c r="I13592" s="553">
        <v>9016.27</v>
      </c>
      <c r="J13592" s="647">
        <v>2743.44</v>
      </c>
    </row>
    <row r="13593" spans="2:10">
      <c r="B13593" s="1230" t="s">
        <v>488</v>
      </c>
      <c r="C13593" s="132" t="s">
        <v>2444</v>
      </c>
      <c r="D13593" s="255">
        <v>54067</v>
      </c>
      <c r="E13593" s="553">
        <v>275.83</v>
      </c>
      <c r="F13593" s="553">
        <v>3680.06</v>
      </c>
      <c r="G13593" s="553">
        <v>183.15</v>
      </c>
      <c r="H13593" s="553">
        <v>360.44</v>
      </c>
      <c r="I13593" s="553">
        <v>6070.34</v>
      </c>
      <c r="J13593" s="647">
        <v>2266.7399999999998</v>
      </c>
    </row>
    <row r="13594" spans="2:10">
      <c r="B13594" s="1230" t="s">
        <v>488</v>
      </c>
      <c r="C13594" s="132" t="s">
        <v>473</v>
      </c>
      <c r="D13594" s="255">
        <v>54069</v>
      </c>
      <c r="E13594" s="553">
        <v>526.59</v>
      </c>
      <c r="F13594" s="553">
        <v>7300.3</v>
      </c>
      <c r="G13594" s="553">
        <v>251.99</v>
      </c>
      <c r="H13594" s="553">
        <v>713.55</v>
      </c>
      <c r="I13594" s="553">
        <v>12241.41</v>
      </c>
      <c r="J13594" s="647">
        <v>3262.77</v>
      </c>
    </row>
    <row r="13595" spans="2:10">
      <c r="B13595" s="1230" t="s">
        <v>488</v>
      </c>
      <c r="C13595" s="132" t="s">
        <v>2447</v>
      </c>
      <c r="D13595" s="255">
        <v>54071</v>
      </c>
      <c r="E13595" s="553">
        <v>246.02</v>
      </c>
      <c r="F13595" s="553">
        <v>3035.33</v>
      </c>
      <c r="G13595" s="553">
        <v>218.63</v>
      </c>
      <c r="H13595" s="553">
        <v>299.10000000000002</v>
      </c>
      <c r="I13595" s="553">
        <v>2841.94</v>
      </c>
      <c r="J13595" s="647">
        <v>2131.2600000000002</v>
      </c>
    </row>
    <row r="13596" spans="2:10">
      <c r="B13596" s="1230" t="s">
        <v>488</v>
      </c>
      <c r="C13596" s="132" t="s">
        <v>3525</v>
      </c>
      <c r="D13596" s="255">
        <v>54073</v>
      </c>
      <c r="E13596" s="553">
        <v>275.95999999999998</v>
      </c>
      <c r="F13596" s="553">
        <v>3485.36</v>
      </c>
      <c r="G13596" s="553">
        <v>213.97</v>
      </c>
      <c r="H13596" s="553">
        <v>342.85</v>
      </c>
      <c r="I13596" s="553">
        <v>4137.3999999999996</v>
      </c>
      <c r="J13596" s="647">
        <v>2293.0500000000002</v>
      </c>
    </row>
    <row r="13597" spans="2:10">
      <c r="B13597" s="1230" t="s">
        <v>488</v>
      </c>
      <c r="C13597" s="132" t="s">
        <v>2323</v>
      </c>
      <c r="D13597" s="255">
        <v>54075</v>
      </c>
      <c r="E13597" s="553">
        <v>232.31</v>
      </c>
      <c r="F13597" s="553">
        <v>2828.23</v>
      </c>
      <c r="G13597" s="553">
        <v>195.12</v>
      </c>
      <c r="H13597" s="553">
        <v>278.91000000000003</v>
      </c>
      <c r="I13597" s="553">
        <v>2936.81</v>
      </c>
      <c r="J13597" s="647">
        <v>2122.39</v>
      </c>
    </row>
    <row r="13598" spans="2:10">
      <c r="B13598" s="1230" t="s">
        <v>488</v>
      </c>
      <c r="C13598" s="132" t="s">
        <v>3526</v>
      </c>
      <c r="D13598" s="255">
        <v>54077</v>
      </c>
      <c r="E13598" s="553">
        <v>371.31</v>
      </c>
      <c r="F13598" s="553">
        <v>4837.82</v>
      </c>
      <c r="G13598" s="553">
        <v>215.09</v>
      </c>
      <c r="H13598" s="553">
        <v>474.85</v>
      </c>
      <c r="I13598" s="553">
        <v>6639.86</v>
      </c>
      <c r="J13598" s="647">
        <v>2652.99</v>
      </c>
    </row>
    <row r="13599" spans="2:10">
      <c r="B13599" s="1230" t="s">
        <v>488</v>
      </c>
      <c r="C13599" s="132" t="s">
        <v>2043</v>
      </c>
      <c r="D13599" s="255">
        <v>54079</v>
      </c>
      <c r="E13599" s="553">
        <v>311.92</v>
      </c>
      <c r="F13599" s="553">
        <v>4084.61</v>
      </c>
      <c r="G13599" s="553">
        <v>188.39</v>
      </c>
      <c r="H13599" s="553">
        <v>400.64</v>
      </c>
      <c r="I13599" s="553">
        <v>7392.87</v>
      </c>
      <c r="J13599" s="647">
        <v>2314.61</v>
      </c>
    </row>
    <row r="13600" spans="2:10">
      <c r="B13600" s="1230" t="s">
        <v>488</v>
      </c>
      <c r="C13600" s="132" t="s">
        <v>3527</v>
      </c>
      <c r="D13600" s="255">
        <v>54081</v>
      </c>
      <c r="E13600" s="553">
        <v>387.28</v>
      </c>
      <c r="F13600" s="553">
        <v>5660.14</v>
      </c>
      <c r="G13600" s="553">
        <v>190.54</v>
      </c>
      <c r="H13600" s="553">
        <v>550.95000000000005</v>
      </c>
      <c r="I13600" s="553">
        <v>10359.64</v>
      </c>
      <c r="J13600" s="647">
        <v>2682.01</v>
      </c>
    </row>
    <row r="13601" spans="2:10">
      <c r="B13601" s="1230" t="s">
        <v>488</v>
      </c>
      <c r="C13601" s="132" t="s">
        <v>1774</v>
      </c>
      <c r="D13601" s="255">
        <v>54083</v>
      </c>
      <c r="E13601" s="553">
        <v>279.33999999999997</v>
      </c>
      <c r="F13601" s="553">
        <v>3469.18</v>
      </c>
      <c r="G13601" s="553">
        <v>223.53</v>
      </c>
      <c r="H13601" s="553">
        <v>341.7</v>
      </c>
      <c r="I13601" s="553">
        <v>3245.68</v>
      </c>
      <c r="J13601" s="647">
        <v>2364.69</v>
      </c>
    </row>
    <row r="13602" spans="2:10">
      <c r="B13602" s="1230" t="s">
        <v>488</v>
      </c>
      <c r="C13602" s="132" t="s">
        <v>3528</v>
      </c>
      <c r="D13602" s="255">
        <v>54085</v>
      </c>
      <c r="E13602" s="553">
        <v>294.64999999999998</v>
      </c>
      <c r="F13602" s="553">
        <v>3638.75</v>
      </c>
      <c r="G13602" s="553">
        <v>189.08</v>
      </c>
      <c r="H13602" s="553">
        <v>358.59</v>
      </c>
      <c r="I13602" s="553">
        <v>5013.1400000000003</v>
      </c>
      <c r="J13602" s="647">
        <v>2376</v>
      </c>
    </row>
    <row r="13603" spans="2:10">
      <c r="B13603" s="1230" t="s">
        <v>488</v>
      </c>
      <c r="C13603" s="132" t="s">
        <v>3220</v>
      </c>
      <c r="D13603" s="255">
        <v>54087</v>
      </c>
      <c r="E13603" s="553">
        <v>239.15</v>
      </c>
      <c r="F13603" s="553">
        <v>3053.01</v>
      </c>
      <c r="G13603" s="553">
        <v>181.04</v>
      </c>
      <c r="H13603" s="553">
        <v>299.98</v>
      </c>
      <c r="I13603" s="553">
        <v>4809.17</v>
      </c>
      <c r="J13603" s="647">
        <v>2160.31</v>
      </c>
    </row>
    <row r="13604" spans="2:10">
      <c r="B13604" s="1230" t="s">
        <v>488</v>
      </c>
      <c r="C13604" s="132" t="s">
        <v>3529</v>
      </c>
      <c r="D13604" s="255">
        <v>54089</v>
      </c>
      <c r="E13604" s="553">
        <v>224.83</v>
      </c>
      <c r="F13604" s="553">
        <v>2946.72</v>
      </c>
      <c r="G13604" s="553">
        <v>171.28</v>
      </c>
      <c r="H13604" s="553">
        <v>288.98</v>
      </c>
      <c r="I13604" s="553">
        <v>4069.02</v>
      </c>
      <c r="J13604" s="647">
        <v>2009.42</v>
      </c>
    </row>
    <row r="13605" spans="2:10">
      <c r="B13605" s="1230" t="s">
        <v>488</v>
      </c>
      <c r="C13605" s="132" t="s">
        <v>2050</v>
      </c>
      <c r="D13605" s="255">
        <v>54091</v>
      </c>
      <c r="E13605" s="553">
        <v>297.7</v>
      </c>
      <c r="F13605" s="553">
        <v>3839.96</v>
      </c>
      <c r="G13605" s="553">
        <v>203.65</v>
      </c>
      <c r="H13605" s="553">
        <v>377.11</v>
      </c>
      <c r="I13605" s="553">
        <v>4953.0200000000004</v>
      </c>
      <c r="J13605" s="647">
        <v>2321.2199999999998</v>
      </c>
    </row>
    <row r="13606" spans="2:10">
      <c r="B13606" s="1230" t="s">
        <v>488</v>
      </c>
      <c r="C13606" s="132" t="s">
        <v>3530</v>
      </c>
      <c r="D13606" s="255">
        <v>54093</v>
      </c>
      <c r="E13606" s="553">
        <v>271.77999999999997</v>
      </c>
      <c r="F13606" s="553">
        <v>3337.01</v>
      </c>
      <c r="G13606" s="553">
        <v>203.56</v>
      </c>
      <c r="H13606" s="553">
        <v>328.87</v>
      </c>
      <c r="I13606" s="553">
        <v>3789.9</v>
      </c>
      <c r="J13606" s="647">
        <v>2212.4699999999998</v>
      </c>
    </row>
    <row r="13607" spans="2:10">
      <c r="B13607" s="1230" t="s">
        <v>488</v>
      </c>
      <c r="C13607" s="132" t="s">
        <v>3368</v>
      </c>
      <c r="D13607" s="255">
        <v>54095</v>
      </c>
      <c r="E13607" s="553">
        <v>313.82</v>
      </c>
      <c r="F13607" s="553">
        <v>4070.67</v>
      </c>
      <c r="G13607" s="553">
        <v>211.47</v>
      </c>
      <c r="H13607" s="553">
        <v>399.75</v>
      </c>
      <c r="I13607" s="553">
        <v>4847.17</v>
      </c>
      <c r="J13607" s="647">
        <v>2465.56</v>
      </c>
    </row>
    <row r="13608" spans="2:10">
      <c r="B13608" s="1230" t="s">
        <v>488</v>
      </c>
      <c r="C13608" s="132" t="s">
        <v>3369</v>
      </c>
      <c r="D13608" s="255">
        <v>54097</v>
      </c>
      <c r="E13608" s="553">
        <v>279.19</v>
      </c>
      <c r="F13608" s="553">
        <v>3609.21</v>
      </c>
      <c r="G13608" s="553">
        <v>200.82</v>
      </c>
      <c r="H13608" s="553">
        <v>354.36</v>
      </c>
      <c r="I13608" s="553">
        <v>3823.4</v>
      </c>
      <c r="J13608" s="647">
        <v>2267.9699999999998</v>
      </c>
    </row>
    <row r="13609" spans="2:10">
      <c r="B13609" s="1230" t="s">
        <v>488</v>
      </c>
      <c r="C13609" s="132" t="s">
        <v>2155</v>
      </c>
      <c r="D13609" s="255">
        <v>54099</v>
      </c>
      <c r="E13609" s="553">
        <v>449.6</v>
      </c>
      <c r="F13609" s="553">
        <v>6125.99</v>
      </c>
      <c r="G13609" s="553">
        <v>186.11</v>
      </c>
      <c r="H13609" s="553">
        <v>599.24</v>
      </c>
      <c r="I13609" s="553">
        <v>12776.68</v>
      </c>
      <c r="J13609" s="647">
        <v>2756.03</v>
      </c>
    </row>
    <row r="13610" spans="2:10">
      <c r="B13610" s="1230" t="s">
        <v>488</v>
      </c>
      <c r="C13610" s="132" t="s">
        <v>2156</v>
      </c>
      <c r="D13610" s="255">
        <v>54101</v>
      </c>
      <c r="E13610" s="553">
        <v>220.53</v>
      </c>
      <c r="F13610" s="553">
        <v>2754.32</v>
      </c>
      <c r="G13610" s="553">
        <v>186.13</v>
      </c>
      <c r="H13610" s="553">
        <v>271.19</v>
      </c>
      <c r="I13610" s="553">
        <v>2666.02</v>
      </c>
      <c r="J13610" s="647">
        <v>2088.58</v>
      </c>
    </row>
    <row r="13611" spans="2:10">
      <c r="B13611" s="1230" t="s">
        <v>488</v>
      </c>
      <c r="C13611" s="132" t="s">
        <v>3531</v>
      </c>
      <c r="D13611" s="255">
        <v>54103</v>
      </c>
      <c r="E13611" s="553">
        <v>326.42</v>
      </c>
      <c r="F13611" s="553">
        <v>4298</v>
      </c>
      <c r="G13611" s="553">
        <v>218.07</v>
      </c>
      <c r="H13611" s="553">
        <v>421.48</v>
      </c>
      <c r="I13611" s="553">
        <v>5257.83</v>
      </c>
      <c r="J13611" s="647">
        <v>2509.41</v>
      </c>
    </row>
    <row r="13612" spans="2:10">
      <c r="B13612" s="1230" t="s">
        <v>488</v>
      </c>
      <c r="C13612" s="132" t="s">
        <v>3532</v>
      </c>
      <c r="D13612" s="255">
        <v>54105</v>
      </c>
      <c r="E13612" s="553">
        <v>377.48</v>
      </c>
      <c r="F13612" s="553">
        <v>5018.79</v>
      </c>
      <c r="G13612" s="553">
        <v>188.14</v>
      </c>
      <c r="H13612" s="553">
        <v>491.84</v>
      </c>
      <c r="I13612" s="553">
        <v>9888.66</v>
      </c>
      <c r="J13612" s="647">
        <v>2474.81</v>
      </c>
    </row>
    <row r="13613" spans="2:10">
      <c r="B13613" s="1230" t="s">
        <v>488</v>
      </c>
      <c r="C13613" s="132" t="s">
        <v>3042</v>
      </c>
      <c r="D13613" s="255">
        <v>54107</v>
      </c>
      <c r="E13613" s="553">
        <v>420.35</v>
      </c>
      <c r="F13613" s="553">
        <v>5559.62</v>
      </c>
      <c r="G13613" s="553">
        <v>195.4</v>
      </c>
      <c r="H13613" s="553">
        <v>545.19000000000005</v>
      </c>
      <c r="I13613" s="553">
        <v>11304.75</v>
      </c>
      <c r="J13613" s="647">
        <v>2612.21</v>
      </c>
    </row>
    <row r="13614" spans="2:10">
      <c r="B13614" s="1230" t="s">
        <v>488</v>
      </c>
      <c r="C13614" s="132" t="s">
        <v>490</v>
      </c>
      <c r="D13614" s="255">
        <v>54109</v>
      </c>
      <c r="E13614" s="553">
        <v>331.52</v>
      </c>
      <c r="F13614" s="553">
        <v>4674.79</v>
      </c>
      <c r="G13614" s="553">
        <v>180.72</v>
      </c>
      <c r="H13614" s="553">
        <v>456.23</v>
      </c>
      <c r="I13614" s="553">
        <v>8304.98</v>
      </c>
      <c r="J13614" s="647">
        <v>2417.5</v>
      </c>
    </row>
    <row r="13615" spans="2:10">
      <c r="B13615" s="1230" t="s">
        <v>489</v>
      </c>
      <c r="C13615" s="132" t="s">
        <v>1940</v>
      </c>
      <c r="D13615" s="255">
        <v>55001</v>
      </c>
      <c r="E13615" s="553">
        <v>203.97</v>
      </c>
      <c r="F13615" s="553">
        <v>2429.29</v>
      </c>
      <c r="G13615" s="553">
        <v>618.19000000000005</v>
      </c>
      <c r="H13615" s="553">
        <v>240.2</v>
      </c>
      <c r="I13615" s="553">
        <v>1248.77</v>
      </c>
      <c r="J13615" s="647">
        <v>1868.41</v>
      </c>
    </row>
    <row r="13616" spans="2:10">
      <c r="B13616" s="1230" t="s">
        <v>489</v>
      </c>
      <c r="C13616" s="132" t="s">
        <v>3009</v>
      </c>
      <c r="D13616" s="255">
        <v>55003</v>
      </c>
      <c r="E13616" s="553">
        <v>138.22</v>
      </c>
      <c r="F13616" s="553">
        <v>1621.93</v>
      </c>
      <c r="G13616" s="553">
        <v>440.76</v>
      </c>
      <c r="H13616" s="553">
        <v>160.5</v>
      </c>
      <c r="I13616" s="553">
        <v>1458.29</v>
      </c>
      <c r="J13616" s="647">
        <v>1725.47</v>
      </c>
    </row>
    <row r="13617" spans="2:10">
      <c r="B13617" s="1230" t="s">
        <v>489</v>
      </c>
      <c r="C13617" s="132" t="s">
        <v>3533</v>
      </c>
      <c r="D13617" s="255">
        <v>55005</v>
      </c>
      <c r="E13617" s="553">
        <v>189.8</v>
      </c>
      <c r="F13617" s="553">
        <v>2238.15</v>
      </c>
      <c r="G13617" s="553">
        <v>714.41</v>
      </c>
      <c r="H13617" s="553">
        <v>221.45</v>
      </c>
      <c r="I13617" s="553">
        <v>1046.8800000000001</v>
      </c>
      <c r="J13617" s="647">
        <v>2091.42</v>
      </c>
    </row>
    <row r="13618" spans="2:10">
      <c r="B13618" s="1230" t="s">
        <v>489</v>
      </c>
      <c r="C13618" s="132" t="s">
        <v>3534</v>
      </c>
      <c r="D13618" s="255">
        <v>55007</v>
      </c>
      <c r="E13618" s="553">
        <v>140.16</v>
      </c>
      <c r="F13618" s="553">
        <v>1657.8</v>
      </c>
      <c r="G13618" s="553">
        <v>520.95000000000005</v>
      </c>
      <c r="H13618" s="553">
        <v>163.92</v>
      </c>
      <c r="I13618" s="553">
        <v>965.03</v>
      </c>
      <c r="J13618" s="647">
        <v>1805.07</v>
      </c>
    </row>
    <row r="13619" spans="2:10">
      <c r="B13619" s="1230" t="s">
        <v>489</v>
      </c>
      <c r="C13619" s="132" t="s">
        <v>2200</v>
      </c>
      <c r="D13619" s="255">
        <v>55009</v>
      </c>
      <c r="E13619" s="553">
        <v>427.25</v>
      </c>
      <c r="F13619" s="553">
        <v>4697.16</v>
      </c>
      <c r="G13619" s="553">
        <v>773.87</v>
      </c>
      <c r="H13619" s="553">
        <v>467.69</v>
      </c>
      <c r="I13619" s="553">
        <v>1498.5</v>
      </c>
      <c r="J13619" s="647">
        <v>2359.67</v>
      </c>
    </row>
    <row r="13620" spans="2:10">
      <c r="B13620" s="1230" t="s">
        <v>489</v>
      </c>
      <c r="C13620" s="132" t="s">
        <v>2796</v>
      </c>
      <c r="D13620" s="255">
        <v>55011</v>
      </c>
      <c r="E13620" s="553">
        <v>273.14999999999998</v>
      </c>
      <c r="F13620" s="553">
        <v>3116.34</v>
      </c>
      <c r="G13620" s="553">
        <v>939.13</v>
      </c>
      <c r="H13620" s="553">
        <v>309.20999999999998</v>
      </c>
      <c r="I13620" s="553">
        <v>1145.0899999999999</v>
      </c>
      <c r="J13620" s="647">
        <v>2489.66</v>
      </c>
    </row>
    <row r="13621" spans="2:10">
      <c r="B13621" s="1230" t="s">
        <v>489</v>
      </c>
      <c r="C13621" s="132" t="s">
        <v>3535</v>
      </c>
      <c r="D13621" s="255">
        <v>55013</v>
      </c>
      <c r="E13621" s="553">
        <v>172.93</v>
      </c>
      <c r="F13621" s="553">
        <v>1984.19</v>
      </c>
      <c r="G13621" s="553">
        <v>624.53</v>
      </c>
      <c r="H13621" s="553">
        <v>196.67</v>
      </c>
      <c r="I13621" s="553">
        <v>1002.13</v>
      </c>
      <c r="J13621" s="647">
        <v>1932.03</v>
      </c>
    </row>
    <row r="13622" spans="2:10">
      <c r="B13622" s="1230" t="s">
        <v>489</v>
      </c>
      <c r="C13622" s="132" t="s">
        <v>3536</v>
      </c>
      <c r="D13622" s="255">
        <v>55015</v>
      </c>
      <c r="E13622" s="553">
        <v>258.35000000000002</v>
      </c>
      <c r="F13622" s="553">
        <v>2929.59</v>
      </c>
      <c r="G13622" s="553">
        <v>619.19000000000005</v>
      </c>
      <c r="H13622" s="553">
        <v>290.8</v>
      </c>
      <c r="I13622" s="553">
        <v>1640.8</v>
      </c>
      <c r="J13622" s="647">
        <v>1931.75</v>
      </c>
    </row>
    <row r="13623" spans="2:10">
      <c r="B13623" s="1230" t="s">
        <v>489</v>
      </c>
      <c r="C13623" s="132" t="s">
        <v>2570</v>
      </c>
      <c r="D13623" s="255">
        <v>55017</v>
      </c>
      <c r="E13623" s="553">
        <v>268.74</v>
      </c>
      <c r="F13623" s="553">
        <v>3130.91</v>
      </c>
      <c r="G13623" s="553">
        <v>956.49</v>
      </c>
      <c r="H13623" s="553">
        <v>310.08</v>
      </c>
      <c r="I13623" s="553">
        <v>1157.6600000000001</v>
      </c>
      <c r="J13623" s="647">
        <v>2551.06</v>
      </c>
    </row>
    <row r="13624" spans="2:10">
      <c r="B13624" s="1230" t="s">
        <v>489</v>
      </c>
      <c r="C13624" s="132" t="s">
        <v>1837</v>
      </c>
      <c r="D13624" s="255">
        <v>55019</v>
      </c>
      <c r="E13624" s="553">
        <v>209.37</v>
      </c>
      <c r="F13624" s="553">
        <v>2519.61</v>
      </c>
      <c r="G13624" s="553">
        <v>686.23</v>
      </c>
      <c r="H13624" s="553">
        <v>248.93</v>
      </c>
      <c r="I13624" s="553">
        <v>955.27</v>
      </c>
      <c r="J13624" s="647">
        <v>1901.19</v>
      </c>
    </row>
    <row r="13625" spans="2:10">
      <c r="B13625" s="1230" t="s">
        <v>489</v>
      </c>
      <c r="C13625" s="132" t="s">
        <v>1839</v>
      </c>
      <c r="D13625" s="255">
        <v>55021</v>
      </c>
      <c r="E13625" s="553">
        <v>459.22</v>
      </c>
      <c r="F13625" s="553">
        <v>4986.54</v>
      </c>
      <c r="G13625" s="553">
        <v>1166.77</v>
      </c>
      <c r="H13625" s="553">
        <v>496.82</v>
      </c>
      <c r="I13625" s="553">
        <v>1701.99</v>
      </c>
      <c r="J13625" s="647">
        <v>2760.26</v>
      </c>
    </row>
    <row r="13626" spans="2:10">
      <c r="B13626" s="1230" t="s">
        <v>489</v>
      </c>
      <c r="C13626" s="132" t="s">
        <v>1842</v>
      </c>
      <c r="D13626" s="255">
        <v>55023</v>
      </c>
      <c r="E13626" s="553">
        <v>188.79</v>
      </c>
      <c r="F13626" s="553">
        <v>2224.3000000000002</v>
      </c>
      <c r="G13626" s="553">
        <v>601.12</v>
      </c>
      <c r="H13626" s="553">
        <v>220.11</v>
      </c>
      <c r="I13626" s="553">
        <v>1394.55</v>
      </c>
      <c r="J13626" s="647">
        <v>1858.77</v>
      </c>
    </row>
    <row r="13627" spans="2:10">
      <c r="B13627" s="1230" t="s">
        <v>489</v>
      </c>
      <c r="C13627" s="132" t="s">
        <v>3537</v>
      </c>
      <c r="D13627" s="255">
        <v>55025</v>
      </c>
      <c r="E13627" s="553">
        <v>504.56</v>
      </c>
      <c r="F13627" s="553">
        <v>5556.61</v>
      </c>
      <c r="G13627" s="553">
        <v>1329.29</v>
      </c>
      <c r="H13627" s="553">
        <v>553.01</v>
      </c>
      <c r="I13627" s="553">
        <v>2842.05</v>
      </c>
      <c r="J13627" s="647">
        <v>3141.62</v>
      </c>
    </row>
    <row r="13628" spans="2:10">
      <c r="B13628" s="1230" t="s">
        <v>489</v>
      </c>
      <c r="C13628" s="132" t="s">
        <v>2086</v>
      </c>
      <c r="D13628" s="255">
        <v>55027</v>
      </c>
      <c r="E13628" s="553">
        <v>450.53</v>
      </c>
      <c r="F13628" s="553">
        <v>5185.3100000000004</v>
      </c>
      <c r="G13628" s="553">
        <v>1170.3499999999999</v>
      </c>
      <c r="H13628" s="553">
        <v>514.12</v>
      </c>
      <c r="I13628" s="553">
        <v>2435.87</v>
      </c>
      <c r="J13628" s="647">
        <v>2839.08</v>
      </c>
    </row>
    <row r="13629" spans="2:10">
      <c r="B13629" s="1230" t="s">
        <v>489</v>
      </c>
      <c r="C13629" s="132" t="s">
        <v>3538</v>
      </c>
      <c r="D13629" s="255">
        <v>55029</v>
      </c>
      <c r="E13629" s="553">
        <v>138.61000000000001</v>
      </c>
      <c r="F13629" s="553">
        <v>1700.04</v>
      </c>
      <c r="G13629" s="553">
        <v>344.87</v>
      </c>
      <c r="H13629" s="553">
        <v>167.65</v>
      </c>
      <c r="I13629" s="553">
        <v>1307.0899999999999</v>
      </c>
      <c r="J13629" s="647">
        <v>1505.87</v>
      </c>
    </row>
    <row r="13630" spans="2:10">
      <c r="B13630" s="1230" t="s">
        <v>489</v>
      </c>
      <c r="C13630" s="132" t="s">
        <v>1957</v>
      </c>
      <c r="D13630" s="255">
        <v>55031</v>
      </c>
      <c r="E13630" s="553">
        <v>130.74</v>
      </c>
      <c r="F13630" s="553">
        <v>1546.06</v>
      </c>
      <c r="G13630" s="553">
        <v>510.83</v>
      </c>
      <c r="H13630" s="553">
        <v>152.9</v>
      </c>
      <c r="I13630" s="553">
        <v>1055.99</v>
      </c>
      <c r="J13630" s="647">
        <v>1726.81</v>
      </c>
    </row>
    <row r="13631" spans="2:10">
      <c r="B13631" s="1230" t="s">
        <v>489</v>
      </c>
      <c r="C13631" s="132" t="s">
        <v>2987</v>
      </c>
      <c r="D13631" s="255">
        <v>55033</v>
      </c>
      <c r="E13631" s="553">
        <v>268.22000000000003</v>
      </c>
      <c r="F13631" s="553">
        <v>2871.13</v>
      </c>
      <c r="G13631" s="553">
        <v>1099.92</v>
      </c>
      <c r="H13631" s="553">
        <v>286.39999999999998</v>
      </c>
      <c r="I13631" s="553">
        <v>1058.33</v>
      </c>
      <c r="J13631" s="647">
        <v>2422.21</v>
      </c>
    </row>
    <row r="13632" spans="2:10">
      <c r="B13632" s="1230" t="s">
        <v>489</v>
      </c>
      <c r="C13632" s="132" t="s">
        <v>3539</v>
      </c>
      <c r="D13632" s="255">
        <v>55035</v>
      </c>
      <c r="E13632" s="553">
        <v>280.7</v>
      </c>
      <c r="F13632" s="553">
        <v>3294.21</v>
      </c>
      <c r="G13632" s="553">
        <v>971.21</v>
      </c>
      <c r="H13632" s="553">
        <v>326.11</v>
      </c>
      <c r="I13632" s="553">
        <v>1195.71</v>
      </c>
      <c r="J13632" s="647">
        <v>2504.1799999999998</v>
      </c>
    </row>
    <row r="13633" spans="2:10">
      <c r="B13633" s="1230" t="s">
        <v>489</v>
      </c>
      <c r="C13633" s="132" t="s">
        <v>3148</v>
      </c>
      <c r="D13633" s="255">
        <v>55037</v>
      </c>
      <c r="E13633" s="553">
        <v>119.9</v>
      </c>
      <c r="F13633" s="553">
        <v>1402.87</v>
      </c>
      <c r="G13633" s="553">
        <v>327.85</v>
      </c>
      <c r="H13633" s="553">
        <v>138.80000000000001</v>
      </c>
      <c r="I13633" s="553">
        <v>1309.56</v>
      </c>
      <c r="J13633" s="647">
        <v>1346.95</v>
      </c>
    </row>
    <row r="13634" spans="2:10">
      <c r="B13634" s="1230" t="s">
        <v>489</v>
      </c>
      <c r="C13634" s="132" t="s">
        <v>3540</v>
      </c>
      <c r="D13634" s="255">
        <v>55039</v>
      </c>
      <c r="E13634" s="553">
        <v>401.75</v>
      </c>
      <c r="F13634" s="553">
        <v>4735.79</v>
      </c>
      <c r="G13634" s="553">
        <v>1028.22</v>
      </c>
      <c r="H13634" s="553">
        <v>468.78</v>
      </c>
      <c r="I13634" s="553">
        <v>1778.58</v>
      </c>
      <c r="J13634" s="647">
        <v>2587.67</v>
      </c>
    </row>
    <row r="13635" spans="2:10">
      <c r="B13635" s="1230" t="s">
        <v>489</v>
      </c>
      <c r="C13635" s="132" t="s">
        <v>3114</v>
      </c>
      <c r="D13635" s="255">
        <v>55041</v>
      </c>
      <c r="E13635" s="553">
        <v>119.32</v>
      </c>
      <c r="F13635" s="553">
        <v>1422.07</v>
      </c>
      <c r="G13635" s="553">
        <v>343.96</v>
      </c>
      <c r="H13635" s="553">
        <v>140.51</v>
      </c>
      <c r="I13635" s="553">
        <v>1589.46</v>
      </c>
      <c r="J13635" s="647">
        <v>1373.09</v>
      </c>
    </row>
    <row r="13636" spans="2:10">
      <c r="B13636" s="1230" t="s">
        <v>489</v>
      </c>
      <c r="C13636" s="132" t="s">
        <v>1850</v>
      </c>
      <c r="D13636" s="255">
        <v>55043</v>
      </c>
      <c r="E13636" s="553">
        <v>214.1</v>
      </c>
      <c r="F13636" s="553">
        <v>2590.4299999999998</v>
      </c>
      <c r="G13636" s="553">
        <v>741.71</v>
      </c>
      <c r="H13636" s="553">
        <v>255.87</v>
      </c>
      <c r="I13636" s="553">
        <v>1348.92</v>
      </c>
      <c r="J13636" s="647">
        <v>1956.03</v>
      </c>
    </row>
    <row r="13637" spans="2:10">
      <c r="B13637" s="1230" t="s">
        <v>489</v>
      </c>
      <c r="C13637" s="132" t="s">
        <v>2425</v>
      </c>
      <c r="D13637" s="255">
        <v>55045</v>
      </c>
      <c r="E13637" s="553">
        <v>340.39</v>
      </c>
      <c r="F13637" s="553">
        <v>3960.63</v>
      </c>
      <c r="G13637" s="553">
        <v>868.35</v>
      </c>
      <c r="H13637" s="553">
        <v>392.27</v>
      </c>
      <c r="I13637" s="553">
        <v>3298.53</v>
      </c>
      <c r="J13637" s="647">
        <v>2244.31</v>
      </c>
    </row>
    <row r="13638" spans="2:10">
      <c r="B13638" s="1230" t="s">
        <v>489</v>
      </c>
      <c r="C13638" s="132" t="s">
        <v>3541</v>
      </c>
      <c r="D13638" s="255">
        <v>55047</v>
      </c>
      <c r="E13638" s="553">
        <v>263.60000000000002</v>
      </c>
      <c r="F13638" s="553">
        <v>3095</v>
      </c>
      <c r="G13638" s="553">
        <v>739.31</v>
      </c>
      <c r="H13638" s="553">
        <v>306.36</v>
      </c>
      <c r="I13638" s="553">
        <v>1402.51</v>
      </c>
      <c r="J13638" s="647">
        <v>2103.66</v>
      </c>
    </row>
    <row r="13639" spans="2:10">
      <c r="B13639" s="1230" t="s">
        <v>489</v>
      </c>
      <c r="C13639" s="132" t="s">
        <v>453</v>
      </c>
      <c r="D13639" s="255">
        <v>55049</v>
      </c>
      <c r="E13639" s="553">
        <v>244.3</v>
      </c>
      <c r="F13639" s="553">
        <v>2801.97</v>
      </c>
      <c r="G13639" s="553">
        <v>758.53</v>
      </c>
      <c r="H13639" s="553">
        <v>277.82</v>
      </c>
      <c r="I13639" s="553">
        <v>1893.09</v>
      </c>
      <c r="J13639" s="647">
        <v>2120.2199999999998</v>
      </c>
    </row>
    <row r="13640" spans="2:10">
      <c r="B13640" s="1230" t="s">
        <v>489</v>
      </c>
      <c r="C13640" s="132" t="s">
        <v>2584</v>
      </c>
      <c r="D13640" s="255">
        <v>55051</v>
      </c>
      <c r="E13640" s="553">
        <v>102.59</v>
      </c>
      <c r="F13640" s="553">
        <v>1206.6199999999999</v>
      </c>
      <c r="G13640" s="553">
        <v>320.89999999999998</v>
      </c>
      <c r="H13640" s="553">
        <v>119.43</v>
      </c>
      <c r="I13640" s="553">
        <v>1216.29</v>
      </c>
      <c r="J13640" s="647">
        <v>1237.68</v>
      </c>
    </row>
    <row r="13641" spans="2:10">
      <c r="B13641" s="1230" t="s">
        <v>489</v>
      </c>
      <c r="C13641" s="132" t="s">
        <v>1754</v>
      </c>
      <c r="D13641" s="255">
        <v>55053</v>
      </c>
      <c r="E13641" s="553">
        <v>192.19</v>
      </c>
      <c r="F13641" s="553">
        <v>2306.39</v>
      </c>
      <c r="G13641" s="553">
        <v>624.24</v>
      </c>
      <c r="H13641" s="553">
        <v>227.84</v>
      </c>
      <c r="I13641" s="553">
        <v>1073.8900000000001</v>
      </c>
      <c r="J13641" s="647">
        <v>1821.99</v>
      </c>
    </row>
    <row r="13642" spans="2:10">
      <c r="B13642" s="1230" t="s">
        <v>489</v>
      </c>
      <c r="C13642" s="132" t="s">
        <v>1755</v>
      </c>
      <c r="D13642" s="255">
        <v>55055</v>
      </c>
      <c r="E13642" s="553">
        <v>416.21</v>
      </c>
      <c r="F13642" s="553">
        <v>4700.91</v>
      </c>
      <c r="G13642" s="553">
        <v>915.07</v>
      </c>
      <c r="H13642" s="553">
        <v>466.8</v>
      </c>
      <c r="I13642" s="553">
        <v>3548.09</v>
      </c>
      <c r="J13642" s="647">
        <v>2495.83</v>
      </c>
    </row>
    <row r="13643" spans="2:10">
      <c r="B13643" s="1230" t="s">
        <v>489</v>
      </c>
      <c r="C13643" s="132" t="s">
        <v>3542</v>
      </c>
      <c r="D13643" s="255">
        <v>55057</v>
      </c>
      <c r="E13643" s="553">
        <v>182.46</v>
      </c>
      <c r="F13643" s="553">
        <v>2176.9</v>
      </c>
      <c r="G13643" s="553">
        <v>569.07000000000005</v>
      </c>
      <c r="H13643" s="553">
        <v>215.23</v>
      </c>
      <c r="I13643" s="553">
        <v>1304.8900000000001</v>
      </c>
      <c r="J13643" s="647">
        <v>1804.44</v>
      </c>
    </row>
    <row r="13644" spans="2:10">
      <c r="B13644" s="1230" t="s">
        <v>489</v>
      </c>
      <c r="C13644" s="132" t="s">
        <v>3543</v>
      </c>
      <c r="D13644" s="255">
        <v>55059</v>
      </c>
      <c r="E13644" s="553">
        <v>892.27</v>
      </c>
      <c r="F13644" s="553">
        <v>9629.84</v>
      </c>
      <c r="G13644" s="553">
        <v>724.14</v>
      </c>
      <c r="H13644" s="553">
        <v>959.65</v>
      </c>
      <c r="I13644" s="553">
        <v>15328.99</v>
      </c>
      <c r="J13644" s="647">
        <v>3232.11</v>
      </c>
    </row>
    <row r="13645" spans="2:10">
      <c r="B13645" s="1230" t="s">
        <v>489</v>
      </c>
      <c r="C13645" s="132" t="s">
        <v>3544</v>
      </c>
      <c r="D13645" s="255">
        <v>55061</v>
      </c>
      <c r="E13645" s="553">
        <v>171.66</v>
      </c>
      <c r="F13645" s="553">
        <v>2017.83</v>
      </c>
      <c r="G13645" s="553">
        <v>441.61</v>
      </c>
      <c r="H13645" s="553">
        <v>199.72</v>
      </c>
      <c r="I13645" s="553">
        <v>1470.91</v>
      </c>
      <c r="J13645" s="647">
        <v>1641.56</v>
      </c>
    </row>
    <row r="13646" spans="2:10">
      <c r="B13646" s="1230" t="s">
        <v>489</v>
      </c>
      <c r="C13646" s="132" t="s">
        <v>3545</v>
      </c>
      <c r="D13646" s="255">
        <v>55063</v>
      </c>
      <c r="E13646" s="553">
        <v>216.84</v>
      </c>
      <c r="F13646" s="553">
        <v>2554.71</v>
      </c>
      <c r="G13646" s="553">
        <v>638.66</v>
      </c>
      <c r="H13646" s="553">
        <v>252.81</v>
      </c>
      <c r="I13646" s="553">
        <v>1133.98</v>
      </c>
      <c r="J13646" s="647">
        <v>1824.4</v>
      </c>
    </row>
    <row r="13647" spans="2:10">
      <c r="B13647" s="1230" t="s">
        <v>489</v>
      </c>
      <c r="C13647" s="132" t="s">
        <v>1857</v>
      </c>
      <c r="D13647" s="255">
        <v>55065</v>
      </c>
      <c r="E13647" s="553">
        <v>231.02</v>
      </c>
      <c r="F13647" s="553">
        <v>2709.74</v>
      </c>
      <c r="G13647" s="553">
        <v>680.5</v>
      </c>
      <c r="H13647" s="553">
        <v>268.27999999999997</v>
      </c>
      <c r="I13647" s="553">
        <v>1845.82</v>
      </c>
      <c r="J13647" s="647">
        <v>1935.05</v>
      </c>
    </row>
    <row r="13648" spans="2:10">
      <c r="B13648" s="1230" t="s">
        <v>489</v>
      </c>
      <c r="C13648" s="132" t="s">
        <v>3546</v>
      </c>
      <c r="D13648" s="255">
        <v>55067</v>
      </c>
      <c r="E13648" s="553">
        <v>133.78</v>
      </c>
      <c r="F13648" s="553">
        <v>1573.64</v>
      </c>
      <c r="G13648" s="553">
        <v>413.57</v>
      </c>
      <c r="H13648" s="553">
        <v>155.74</v>
      </c>
      <c r="I13648" s="553">
        <v>1022.72</v>
      </c>
      <c r="J13648" s="647">
        <v>1502.19</v>
      </c>
    </row>
    <row r="13649" spans="2:10">
      <c r="B13649" s="1230" t="s">
        <v>489</v>
      </c>
      <c r="C13649" s="132" t="s">
        <v>1858</v>
      </c>
      <c r="D13649" s="255">
        <v>55069</v>
      </c>
      <c r="E13649" s="553">
        <v>148.59</v>
      </c>
      <c r="F13649" s="553">
        <v>1806.37</v>
      </c>
      <c r="G13649" s="553">
        <v>487.4</v>
      </c>
      <c r="H13649" s="553">
        <v>178.37</v>
      </c>
      <c r="I13649" s="553">
        <v>855.87</v>
      </c>
      <c r="J13649" s="647">
        <v>1554.61</v>
      </c>
    </row>
    <row r="13650" spans="2:10">
      <c r="B13650" s="1230" t="s">
        <v>489</v>
      </c>
      <c r="C13650" s="132" t="s">
        <v>3547</v>
      </c>
      <c r="D13650" s="255">
        <v>55071</v>
      </c>
      <c r="E13650" s="553">
        <v>248.49</v>
      </c>
      <c r="F13650" s="553">
        <v>2936.77</v>
      </c>
      <c r="G13650" s="553">
        <v>589.34</v>
      </c>
      <c r="H13650" s="553">
        <v>290.52999999999997</v>
      </c>
      <c r="I13650" s="553">
        <v>1700.5</v>
      </c>
      <c r="J13650" s="647">
        <v>1955.8</v>
      </c>
    </row>
    <row r="13651" spans="2:10">
      <c r="B13651" s="1230" t="s">
        <v>489</v>
      </c>
      <c r="C13651" s="132" t="s">
        <v>3548</v>
      </c>
      <c r="D13651" s="255">
        <v>55073</v>
      </c>
      <c r="E13651" s="553">
        <v>207.82</v>
      </c>
      <c r="F13651" s="553">
        <v>2512.5700000000002</v>
      </c>
      <c r="G13651" s="553">
        <v>710.94</v>
      </c>
      <c r="H13651" s="553">
        <v>248.19</v>
      </c>
      <c r="I13651" s="553">
        <v>894.49</v>
      </c>
      <c r="J13651" s="647">
        <v>1944.78</v>
      </c>
    </row>
    <row r="13652" spans="2:10">
      <c r="B13652" s="1230" t="s">
        <v>489</v>
      </c>
      <c r="C13652" s="132" t="s">
        <v>3549</v>
      </c>
      <c r="D13652" s="255">
        <v>55075</v>
      </c>
      <c r="E13652" s="553">
        <v>148.99</v>
      </c>
      <c r="F13652" s="553">
        <v>1820.76</v>
      </c>
      <c r="G13652" s="553">
        <v>442.81</v>
      </c>
      <c r="H13652" s="553">
        <v>179.68</v>
      </c>
      <c r="I13652" s="553">
        <v>1212.5899999999999</v>
      </c>
      <c r="J13652" s="647">
        <v>1595.95</v>
      </c>
    </row>
    <row r="13653" spans="2:10">
      <c r="B13653" s="1230" t="s">
        <v>489</v>
      </c>
      <c r="C13653" s="132" t="s">
        <v>2596</v>
      </c>
      <c r="D13653" s="255">
        <v>55077</v>
      </c>
      <c r="E13653" s="553">
        <v>231.68</v>
      </c>
      <c r="F13653" s="553">
        <v>2720.56</v>
      </c>
      <c r="G13653" s="553">
        <v>660.56</v>
      </c>
      <c r="H13653" s="553">
        <v>269.32</v>
      </c>
      <c r="I13653" s="553">
        <v>1348.15</v>
      </c>
      <c r="J13653" s="647">
        <v>1985.32</v>
      </c>
    </row>
    <row r="13654" spans="2:10">
      <c r="B13654" s="1230" t="s">
        <v>489</v>
      </c>
      <c r="C13654" s="132" t="s">
        <v>2598</v>
      </c>
      <c r="D13654" s="255">
        <v>55078</v>
      </c>
      <c r="E13654" s="553">
        <v>185.22</v>
      </c>
      <c r="F13654" s="553">
        <v>2189.8000000000002</v>
      </c>
      <c r="G13654" s="553">
        <v>518.92999999999995</v>
      </c>
      <c r="H13654" s="553">
        <v>216.56</v>
      </c>
      <c r="I13654" s="553">
        <v>1118.92</v>
      </c>
      <c r="J13654" s="647">
        <v>1669.02</v>
      </c>
    </row>
    <row r="13655" spans="2:10">
      <c r="B13655" s="1230" t="s">
        <v>489</v>
      </c>
      <c r="C13655" s="132" t="s">
        <v>3550</v>
      </c>
      <c r="D13655" s="255">
        <v>55079</v>
      </c>
      <c r="E13655" s="553">
        <v>1454.93</v>
      </c>
      <c r="F13655" s="553">
        <v>15796.54</v>
      </c>
      <c r="G13655" s="553">
        <v>2267.46</v>
      </c>
      <c r="H13655" s="553">
        <v>1574.17</v>
      </c>
      <c r="I13655" s="553">
        <v>6027.99</v>
      </c>
      <c r="J13655" s="647">
        <v>4698.13</v>
      </c>
    </row>
    <row r="13656" spans="2:10">
      <c r="B13656" s="1230" t="s">
        <v>489</v>
      </c>
      <c r="C13656" s="132" t="s">
        <v>1768</v>
      </c>
      <c r="D13656" s="255">
        <v>55081</v>
      </c>
      <c r="E13656" s="553">
        <v>245.03</v>
      </c>
      <c r="F13656" s="553">
        <v>2912.8</v>
      </c>
      <c r="G13656" s="553">
        <v>745.54</v>
      </c>
      <c r="H13656" s="553">
        <v>288.07</v>
      </c>
      <c r="I13656" s="553">
        <v>1233.32</v>
      </c>
      <c r="J13656" s="647">
        <v>2043.43</v>
      </c>
    </row>
    <row r="13657" spans="2:10">
      <c r="B13657" s="1230" t="s">
        <v>489</v>
      </c>
      <c r="C13657" s="132" t="s">
        <v>3551</v>
      </c>
      <c r="D13657" s="255">
        <v>55083</v>
      </c>
      <c r="E13657" s="553">
        <v>186.23</v>
      </c>
      <c r="F13657" s="553">
        <v>2242.69</v>
      </c>
      <c r="G13657" s="553">
        <v>535.11</v>
      </c>
      <c r="H13657" s="553">
        <v>221.47</v>
      </c>
      <c r="I13657" s="553">
        <v>1235.83</v>
      </c>
      <c r="J13657" s="647">
        <v>1733.53</v>
      </c>
    </row>
    <row r="13658" spans="2:10">
      <c r="B13658" s="1230" t="s">
        <v>489</v>
      </c>
      <c r="C13658" s="132" t="s">
        <v>2190</v>
      </c>
      <c r="D13658" s="255">
        <v>55085</v>
      </c>
      <c r="E13658" s="553">
        <v>136.58000000000001</v>
      </c>
      <c r="F13658" s="553">
        <v>1681.01</v>
      </c>
      <c r="G13658" s="553">
        <v>451.15</v>
      </c>
      <c r="H13658" s="553">
        <v>165.74</v>
      </c>
      <c r="I13658" s="553">
        <v>886.75</v>
      </c>
      <c r="J13658" s="647">
        <v>1494.42</v>
      </c>
    </row>
    <row r="13659" spans="2:10">
      <c r="B13659" s="1230" t="s">
        <v>489</v>
      </c>
      <c r="C13659" s="132" t="s">
        <v>3552</v>
      </c>
      <c r="D13659" s="255">
        <v>55087</v>
      </c>
      <c r="E13659" s="553">
        <v>413.87</v>
      </c>
      <c r="F13659" s="553">
        <v>4652.17</v>
      </c>
      <c r="G13659" s="553">
        <v>825.28</v>
      </c>
      <c r="H13659" s="553">
        <v>462.24</v>
      </c>
      <c r="I13659" s="553">
        <v>1371.51</v>
      </c>
      <c r="J13659" s="647">
        <v>2434.02</v>
      </c>
    </row>
    <row r="13660" spans="2:10">
      <c r="B13660" s="1230" t="s">
        <v>489</v>
      </c>
      <c r="C13660" s="132" t="s">
        <v>3553</v>
      </c>
      <c r="D13660" s="255">
        <v>55089</v>
      </c>
      <c r="E13660" s="553">
        <v>596.79</v>
      </c>
      <c r="F13660" s="553">
        <v>6566.68</v>
      </c>
      <c r="G13660" s="553">
        <v>1012.86</v>
      </c>
      <c r="H13660" s="553">
        <v>653.6</v>
      </c>
      <c r="I13660" s="553">
        <v>3713.21</v>
      </c>
      <c r="J13660" s="647">
        <v>2737.86</v>
      </c>
    </row>
    <row r="13661" spans="2:10">
      <c r="B13661" s="1230" t="s">
        <v>489</v>
      </c>
      <c r="C13661" s="132" t="s">
        <v>3554</v>
      </c>
      <c r="D13661" s="255">
        <v>55091</v>
      </c>
      <c r="E13661" s="553">
        <v>211.47</v>
      </c>
      <c r="F13661" s="553">
        <v>2304.6999999999998</v>
      </c>
      <c r="G13661" s="553">
        <v>757.08</v>
      </c>
      <c r="H13661" s="553">
        <v>229.48</v>
      </c>
      <c r="I13661" s="553">
        <v>1075.95</v>
      </c>
      <c r="J13661" s="647">
        <v>2171.61</v>
      </c>
    </row>
    <row r="13662" spans="2:10">
      <c r="B13662" s="1230" t="s">
        <v>489</v>
      </c>
      <c r="C13662" s="132" t="s">
        <v>2129</v>
      </c>
      <c r="D13662" s="255">
        <v>55093</v>
      </c>
      <c r="E13662" s="553">
        <v>447.77</v>
      </c>
      <c r="F13662" s="553">
        <v>4382.21</v>
      </c>
      <c r="G13662" s="553">
        <v>1353.29</v>
      </c>
      <c r="H13662" s="553">
        <v>440.66</v>
      </c>
      <c r="I13662" s="553">
        <v>1200.8</v>
      </c>
      <c r="J13662" s="647">
        <v>3026.63</v>
      </c>
    </row>
    <row r="13663" spans="2:10">
      <c r="B13663" s="1230" t="s">
        <v>489</v>
      </c>
      <c r="C13663" s="132" t="s">
        <v>1867</v>
      </c>
      <c r="D13663" s="255">
        <v>55095</v>
      </c>
      <c r="E13663" s="553">
        <v>273.82</v>
      </c>
      <c r="F13663" s="553">
        <v>2854.08</v>
      </c>
      <c r="G13663" s="553">
        <v>861.83</v>
      </c>
      <c r="H13663" s="553">
        <v>285.25</v>
      </c>
      <c r="I13663" s="553">
        <v>1622.69</v>
      </c>
      <c r="J13663" s="647">
        <v>2317.7600000000002</v>
      </c>
    </row>
    <row r="13664" spans="2:10">
      <c r="B13664" s="1230" t="s">
        <v>489</v>
      </c>
      <c r="C13664" s="132" t="s">
        <v>3033</v>
      </c>
      <c r="D13664" s="255">
        <v>55097</v>
      </c>
      <c r="E13664" s="553">
        <v>228.59</v>
      </c>
      <c r="F13664" s="553">
        <v>2773.8</v>
      </c>
      <c r="G13664" s="553">
        <v>677.59</v>
      </c>
      <c r="H13664" s="553">
        <v>273.83999999999997</v>
      </c>
      <c r="I13664" s="553">
        <v>1028.93</v>
      </c>
      <c r="J13664" s="647">
        <v>1927.25</v>
      </c>
    </row>
    <row r="13665" spans="2:10">
      <c r="B13665" s="1230" t="s">
        <v>489</v>
      </c>
      <c r="C13665" s="132" t="s">
        <v>3555</v>
      </c>
      <c r="D13665" s="255">
        <v>55099</v>
      </c>
      <c r="E13665" s="553">
        <v>114.98</v>
      </c>
      <c r="F13665" s="553">
        <v>1366.57</v>
      </c>
      <c r="G13665" s="553">
        <v>390.15</v>
      </c>
      <c r="H13665" s="553">
        <v>135.1</v>
      </c>
      <c r="I13665" s="553">
        <v>806.19</v>
      </c>
      <c r="J13665" s="647">
        <v>1388.13</v>
      </c>
    </row>
    <row r="13666" spans="2:10">
      <c r="B13666" s="1230" t="s">
        <v>489</v>
      </c>
      <c r="C13666" s="132" t="s">
        <v>3556</v>
      </c>
      <c r="D13666" s="255">
        <v>55101</v>
      </c>
      <c r="E13666" s="553">
        <v>810.44</v>
      </c>
      <c r="F13666" s="553">
        <v>8799.66</v>
      </c>
      <c r="G13666" s="553">
        <v>821.51</v>
      </c>
      <c r="H13666" s="553">
        <v>876.54</v>
      </c>
      <c r="I13666" s="553">
        <v>10865.77</v>
      </c>
      <c r="J13666" s="647">
        <v>3113.22</v>
      </c>
    </row>
    <row r="13667" spans="2:10">
      <c r="B13667" s="1230" t="s">
        <v>489</v>
      </c>
      <c r="C13667" s="132" t="s">
        <v>2238</v>
      </c>
      <c r="D13667" s="255">
        <v>55103</v>
      </c>
      <c r="E13667" s="553">
        <v>239.08</v>
      </c>
      <c r="F13667" s="553">
        <v>2860.34</v>
      </c>
      <c r="G13667" s="553">
        <v>706.67</v>
      </c>
      <c r="H13667" s="553">
        <v>282.66000000000003</v>
      </c>
      <c r="I13667" s="553">
        <v>1516.01</v>
      </c>
      <c r="J13667" s="647">
        <v>2039.56</v>
      </c>
    </row>
    <row r="13668" spans="2:10">
      <c r="B13668" s="1230" t="s">
        <v>489</v>
      </c>
      <c r="C13668" s="132" t="s">
        <v>2665</v>
      </c>
      <c r="D13668" s="255">
        <v>55105</v>
      </c>
      <c r="E13668" s="553">
        <v>600.92999999999995</v>
      </c>
      <c r="F13668" s="553">
        <v>6887.18</v>
      </c>
      <c r="G13668" s="553">
        <v>1285.2</v>
      </c>
      <c r="H13668" s="553">
        <v>683.02</v>
      </c>
      <c r="I13668" s="553">
        <v>6609.8</v>
      </c>
      <c r="J13668" s="647">
        <v>3206.18</v>
      </c>
    </row>
    <row r="13669" spans="2:10">
      <c r="B13669" s="1230" t="s">
        <v>489</v>
      </c>
      <c r="C13669" s="132" t="s">
        <v>3347</v>
      </c>
      <c r="D13669" s="255">
        <v>55107</v>
      </c>
      <c r="E13669" s="553">
        <v>202.18</v>
      </c>
      <c r="F13669" s="553">
        <v>2377.17</v>
      </c>
      <c r="G13669" s="553">
        <v>690.17</v>
      </c>
      <c r="H13669" s="553">
        <v>235.31</v>
      </c>
      <c r="I13669" s="553">
        <v>1125.25</v>
      </c>
      <c r="J13669" s="647">
        <v>2156.25</v>
      </c>
    </row>
    <row r="13670" spans="2:10">
      <c r="B13670" s="1230" t="s">
        <v>489</v>
      </c>
      <c r="C13670" s="132" t="s">
        <v>3557</v>
      </c>
      <c r="D13670" s="255">
        <v>55109</v>
      </c>
      <c r="E13670" s="553">
        <v>563.48</v>
      </c>
      <c r="F13670" s="553">
        <v>4961.09</v>
      </c>
      <c r="G13670" s="553">
        <v>1535.71</v>
      </c>
      <c r="H13670" s="553">
        <v>503.94</v>
      </c>
      <c r="I13670" s="553">
        <v>1194.93</v>
      </c>
      <c r="J13670" s="647">
        <v>3321.66</v>
      </c>
    </row>
    <row r="13671" spans="2:10">
      <c r="B13671" s="1230" t="s">
        <v>489</v>
      </c>
      <c r="C13671" s="132" t="s">
        <v>3558</v>
      </c>
      <c r="D13671" s="255">
        <v>55111</v>
      </c>
      <c r="E13671" s="553">
        <v>257.89999999999998</v>
      </c>
      <c r="F13671" s="553">
        <v>2982.03</v>
      </c>
      <c r="G13671" s="553">
        <v>782.28</v>
      </c>
      <c r="H13671" s="553">
        <v>295.52999999999997</v>
      </c>
      <c r="I13671" s="553">
        <v>1601.41</v>
      </c>
      <c r="J13671" s="647">
        <v>2136.9299999999998</v>
      </c>
    </row>
    <row r="13672" spans="2:10">
      <c r="B13672" s="1230" t="s">
        <v>489</v>
      </c>
      <c r="C13672" s="132" t="s">
        <v>3559</v>
      </c>
      <c r="D13672" s="255">
        <v>55113</v>
      </c>
      <c r="E13672" s="553">
        <v>150.16</v>
      </c>
      <c r="F13672" s="553">
        <v>1780.46</v>
      </c>
      <c r="G13672" s="553">
        <v>530.4</v>
      </c>
      <c r="H13672" s="553">
        <v>175.99</v>
      </c>
      <c r="I13672" s="553">
        <v>1056.77</v>
      </c>
      <c r="J13672" s="647">
        <v>1875.84</v>
      </c>
    </row>
    <row r="13673" spans="2:10">
      <c r="B13673" s="1230" t="s">
        <v>489</v>
      </c>
      <c r="C13673" s="132" t="s">
        <v>3560</v>
      </c>
      <c r="D13673" s="255">
        <v>55115</v>
      </c>
      <c r="E13673" s="553">
        <v>211.61</v>
      </c>
      <c r="F13673" s="553">
        <v>2531.3200000000002</v>
      </c>
      <c r="G13673" s="553">
        <v>564.16999999999996</v>
      </c>
      <c r="H13673" s="553">
        <v>250.2</v>
      </c>
      <c r="I13673" s="553">
        <v>1155.1099999999999</v>
      </c>
      <c r="J13673" s="647">
        <v>1842.38</v>
      </c>
    </row>
    <row r="13674" spans="2:10">
      <c r="B13674" s="1230" t="s">
        <v>489</v>
      </c>
      <c r="C13674" s="132" t="s">
        <v>3561</v>
      </c>
      <c r="D13674" s="255">
        <v>55117</v>
      </c>
      <c r="E13674" s="553">
        <v>299.42</v>
      </c>
      <c r="F13674" s="553">
        <v>3510.6</v>
      </c>
      <c r="G13674" s="553">
        <v>636</v>
      </c>
      <c r="H13674" s="553">
        <v>347.55</v>
      </c>
      <c r="I13674" s="553">
        <v>2177.3000000000002</v>
      </c>
      <c r="J13674" s="647">
        <v>2124.9</v>
      </c>
    </row>
    <row r="13675" spans="2:10">
      <c r="B13675" s="1230" t="s">
        <v>489</v>
      </c>
      <c r="C13675" s="132" t="s">
        <v>2050</v>
      </c>
      <c r="D13675" s="255">
        <v>55119</v>
      </c>
      <c r="E13675" s="553">
        <v>127.34</v>
      </c>
      <c r="F13675" s="553">
        <v>1501.08</v>
      </c>
      <c r="G13675" s="553">
        <v>432.41</v>
      </c>
      <c r="H13675" s="553">
        <v>148.55000000000001</v>
      </c>
      <c r="I13675" s="553">
        <v>856.48</v>
      </c>
      <c r="J13675" s="647">
        <v>1482.07</v>
      </c>
    </row>
    <row r="13676" spans="2:10">
      <c r="B13676" s="1230" t="s">
        <v>489</v>
      </c>
      <c r="C13676" s="132" t="s">
        <v>3562</v>
      </c>
      <c r="D13676" s="255">
        <v>55121</v>
      </c>
      <c r="E13676" s="553">
        <v>246.49</v>
      </c>
      <c r="F13676" s="553">
        <v>2904.67</v>
      </c>
      <c r="G13676" s="553">
        <v>858.14</v>
      </c>
      <c r="H13676" s="553">
        <v>287.36</v>
      </c>
      <c r="I13676" s="553">
        <v>1256.18</v>
      </c>
      <c r="J13676" s="647">
        <v>2381.9</v>
      </c>
    </row>
    <row r="13677" spans="2:10">
      <c r="B13677" s="1230" t="s">
        <v>489</v>
      </c>
      <c r="C13677" s="132" t="s">
        <v>2754</v>
      </c>
      <c r="D13677" s="255">
        <v>55123</v>
      </c>
      <c r="E13677" s="553">
        <v>208.75</v>
      </c>
      <c r="F13677" s="553">
        <v>2486.27</v>
      </c>
      <c r="G13677" s="553">
        <v>653.96</v>
      </c>
      <c r="H13677" s="553">
        <v>245.79</v>
      </c>
      <c r="I13677" s="553">
        <v>1318.58</v>
      </c>
      <c r="J13677" s="647">
        <v>1920.46</v>
      </c>
    </row>
    <row r="13678" spans="2:10">
      <c r="B13678" s="1230" t="s">
        <v>489</v>
      </c>
      <c r="C13678" s="132" t="s">
        <v>3563</v>
      </c>
      <c r="D13678" s="255">
        <v>55125</v>
      </c>
      <c r="E13678" s="553">
        <v>128.93</v>
      </c>
      <c r="F13678" s="553">
        <v>1624.09</v>
      </c>
      <c r="G13678" s="553">
        <v>382.01</v>
      </c>
      <c r="H13678" s="553">
        <v>159.87</v>
      </c>
      <c r="I13678" s="553">
        <v>1671.73</v>
      </c>
      <c r="J13678" s="647">
        <v>1363.96</v>
      </c>
    </row>
    <row r="13679" spans="2:10">
      <c r="B13679" s="1230" t="s">
        <v>489</v>
      </c>
      <c r="C13679" s="132" t="s">
        <v>3196</v>
      </c>
      <c r="D13679" s="255">
        <v>55127</v>
      </c>
      <c r="E13679" s="553">
        <v>579.07000000000005</v>
      </c>
      <c r="F13679" s="553">
        <v>6432.05</v>
      </c>
      <c r="G13679" s="553">
        <v>999.31</v>
      </c>
      <c r="H13679" s="553">
        <v>639.45000000000005</v>
      </c>
      <c r="I13679" s="553">
        <v>8469.33</v>
      </c>
      <c r="J13679" s="647">
        <v>2904.4</v>
      </c>
    </row>
    <row r="13680" spans="2:10">
      <c r="B13680" s="1230" t="s">
        <v>489</v>
      </c>
      <c r="C13680" s="132" t="s">
        <v>3564</v>
      </c>
      <c r="D13680" s="255">
        <v>55129</v>
      </c>
      <c r="E13680" s="553">
        <v>141.65</v>
      </c>
      <c r="F13680" s="553">
        <v>1678.75</v>
      </c>
      <c r="G13680" s="553">
        <v>523.66999999999996</v>
      </c>
      <c r="H13680" s="553">
        <v>166.02</v>
      </c>
      <c r="I13680" s="553">
        <v>983.36</v>
      </c>
      <c r="J13680" s="647">
        <v>1794.77</v>
      </c>
    </row>
    <row r="13681" spans="2:10">
      <c r="B13681" s="1230" t="s">
        <v>489</v>
      </c>
      <c r="C13681" s="132" t="s">
        <v>487</v>
      </c>
      <c r="D13681" s="255">
        <v>55131</v>
      </c>
      <c r="E13681" s="553">
        <v>492.41</v>
      </c>
      <c r="F13681" s="553">
        <v>5475.04</v>
      </c>
      <c r="G13681" s="553">
        <v>972.12</v>
      </c>
      <c r="H13681" s="553">
        <v>544.38</v>
      </c>
      <c r="I13681" s="553">
        <v>3272.66</v>
      </c>
      <c r="J13681" s="647">
        <v>2613.13</v>
      </c>
    </row>
    <row r="13682" spans="2:10">
      <c r="B13682" s="1230" t="s">
        <v>489</v>
      </c>
      <c r="C13682" s="132" t="s">
        <v>3565</v>
      </c>
      <c r="D13682" s="255">
        <v>55133</v>
      </c>
      <c r="E13682" s="553">
        <v>1131.1500000000001</v>
      </c>
      <c r="F13682" s="553">
        <v>12400.79</v>
      </c>
      <c r="G13682" s="553">
        <v>2100.17</v>
      </c>
      <c r="H13682" s="553">
        <v>1234.43</v>
      </c>
      <c r="I13682" s="553">
        <v>4772.54</v>
      </c>
      <c r="J13682" s="647">
        <v>4430.41</v>
      </c>
    </row>
    <row r="13683" spans="2:10">
      <c r="B13683" s="1230" t="s">
        <v>489</v>
      </c>
      <c r="C13683" s="132" t="s">
        <v>3566</v>
      </c>
      <c r="D13683" s="255">
        <v>55135</v>
      </c>
      <c r="E13683" s="553">
        <v>291.05</v>
      </c>
      <c r="F13683" s="553">
        <v>3384.93</v>
      </c>
      <c r="G13683" s="553">
        <v>723.85</v>
      </c>
      <c r="H13683" s="553">
        <v>335.42</v>
      </c>
      <c r="I13683" s="553">
        <v>1200.53</v>
      </c>
      <c r="J13683" s="647">
        <v>2107.4499999999998</v>
      </c>
    </row>
    <row r="13684" spans="2:10">
      <c r="B13684" s="1230" t="s">
        <v>489</v>
      </c>
      <c r="C13684" s="132" t="s">
        <v>3567</v>
      </c>
      <c r="D13684" s="255">
        <v>55137</v>
      </c>
      <c r="E13684" s="553">
        <v>222.33</v>
      </c>
      <c r="F13684" s="553">
        <v>2644.58</v>
      </c>
      <c r="G13684" s="553">
        <v>619.62</v>
      </c>
      <c r="H13684" s="553">
        <v>261.55</v>
      </c>
      <c r="I13684" s="553">
        <v>1188.76</v>
      </c>
      <c r="J13684" s="647">
        <v>1905.6</v>
      </c>
    </row>
    <row r="13685" spans="2:10">
      <c r="B13685" s="1230" t="s">
        <v>489</v>
      </c>
      <c r="C13685" s="132" t="s">
        <v>2250</v>
      </c>
      <c r="D13685" s="255">
        <v>55139</v>
      </c>
      <c r="E13685" s="553">
        <v>352.33</v>
      </c>
      <c r="F13685" s="553">
        <v>3999.65</v>
      </c>
      <c r="G13685" s="553">
        <v>777.66</v>
      </c>
      <c r="H13685" s="553">
        <v>396.99</v>
      </c>
      <c r="I13685" s="553">
        <v>1452.13</v>
      </c>
      <c r="J13685" s="647">
        <v>2191.87</v>
      </c>
    </row>
    <row r="13686" spans="2:10">
      <c r="B13686" s="1230" t="s">
        <v>489</v>
      </c>
      <c r="C13686" s="132" t="s">
        <v>3042</v>
      </c>
      <c r="D13686" s="255">
        <v>55141</v>
      </c>
      <c r="E13686" s="553">
        <v>210.05</v>
      </c>
      <c r="F13686" s="553">
        <v>2545.4499999999998</v>
      </c>
      <c r="G13686" s="553">
        <v>640.57000000000005</v>
      </c>
      <c r="H13686" s="553">
        <v>251.44</v>
      </c>
      <c r="I13686" s="553">
        <v>1068.3599999999999</v>
      </c>
      <c r="J13686" s="647">
        <v>1865.47</v>
      </c>
    </row>
    <row r="13687" spans="2:10">
      <c r="B13687" s="1230" t="s">
        <v>490</v>
      </c>
      <c r="C13687" s="132" t="s">
        <v>2885</v>
      </c>
      <c r="D13687" s="255">
        <v>56001</v>
      </c>
      <c r="E13687" s="553">
        <v>125.79</v>
      </c>
      <c r="F13687" s="553">
        <v>1094.5</v>
      </c>
      <c r="G13687" s="553">
        <v>474.33</v>
      </c>
      <c r="H13687" s="553">
        <v>111.29</v>
      </c>
      <c r="I13687" s="553">
        <v>821.47</v>
      </c>
      <c r="J13687" s="647">
        <v>788.01</v>
      </c>
    </row>
    <row r="13688" spans="2:10">
      <c r="B13688" s="1230" t="s">
        <v>490</v>
      </c>
      <c r="C13688" s="132" t="s">
        <v>2757</v>
      </c>
      <c r="D13688" s="255">
        <v>56003</v>
      </c>
      <c r="E13688" s="553">
        <v>126.23</v>
      </c>
      <c r="F13688" s="553">
        <v>1087.8399999999999</v>
      </c>
      <c r="G13688" s="553">
        <v>465.5</v>
      </c>
      <c r="H13688" s="553">
        <v>110.7</v>
      </c>
      <c r="I13688" s="553">
        <v>962.89</v>
      </c>
      <c r="J13688" s="647">
        <v>1078.2</v>
      </c>
    </row>
    <row r="13689" spans="2:10">
      <c r="B13689" s="1230" t="s">
        <v>490</v>
      </c>
      <c r="C13689" s="132" t="s">
        <v>2414</v>
      </c>
      <c r="D13689" s="255">
        <v>56005</v>
      </c>
      <c r="E13689" s="553">
        <v>68.989999999999995</v>
      </c>
      <c r="F13689" s="553">
        <v>607.74</v>
      </c>
      <c r="G13689" s="553">
        <v>292.27999999999997</v>
      </c>
      <c r="H13689" s="553">
        <v>61.75</v>
      </c>
      <c r="I13689" s="553">
        <v>587.14</v>
      </c>
      <c r="J13689" s="647">
        <v>1061.19</v>
      </c>
    </row>
    <row r="13690" spans="2:10">
      <c r="B13690" s="1230" t="s">
        <v>490</v>
      </c>
      <c r="C13690" s="132" t="s">
        <v>2759</v>
      </c>
      <c r="D13690" s="255">
        <v>56007</v>
      </c>
      <c r="E13690" s="553">
        <v>139.52000000000001</v>
      </c>
      <c r="F13690" s="553">
        <v>1283.6400000000001</v>
      </c>
      <c r="G13690" s="553">
        <v>554.08000000000004</v>
      </c>
      <c r="H13690" s="553">
        <v>129.75</v>
      </c>
      <c r="I13690" s="553">
        <v>970.82</v>
      </c>
      <c r="J13690" s="647">
        <v>1255.79</v>
      </c>
    </row>
    <row r="13691" spans="2:10">
      <c r="B13691" s="1230" t="s">
        <v>490</v>
      </c>
      <c r="C13691" s="132" t="s">
        <v>3568</v>
      </c>
      <c r="D13691" s="255">
        <v>56009</v>
      </c>
      <c r="E13691" s="553">
        <v>75.819999999999993</v>
      </c>
      <c r="F13691" s="553">
        <v>644.13</v>
      </c>
      <c r="G13691" s="553">
        <v>310.82</v>
      </c>
      <c r="H13691" s="553">
        <v>65.650000000000006</v>
      </c>
      <c r="I13691" s="553">
        <v>512.62</v>
      </c>
      <c r="J13691" s="647">
        <v>1087.5999999999999</v>
      </c>
    </row>
    <row r="13692" spans="2:10">
      <c r="B13692" s="1230" t="s">
        <v>490</v>
      </c>
      <c r="C13692" s="132" t="s">
        <v>3087</v>
      </c>
      <c r="D13692" s="255">
        <v>56011</v>
      </c>
      <c r="E13692" s="553">
        <v>79.45</v>
      </c>
      <c r="F13692" s="553">
        <v>713.4</v>
      </c>
      <c r="G13692" s="553">
        <v>327.98</v>
      </c>
      <c r="H13692" s="553">
        <v>72.290000000000006</v>
      </c>
      <c r="I13692" s="553">
        <v>641.22</v>
      </c>
      <c r="J13692" s="647">
        <v>1147.71</v>
      </c>
    </row>
    <row r="13693" spans="2:10">
      <c r="B13693" s="1230" t="s">
        <v>490</v>
      </c>
      <c r="C13693" s="132" t="s">
        <v>1961</v>
      </c>
      <c r="D13693" s="255">
        <v>56013</v>
      </c>
      <c r="E13693" s="553">
        <v>112.61</v>
      </c>
      <c r="F13693" s="553">
        <v>1035.03</v>
      </c>
      <c r="G13693" s="553">
        <v>450.21</v>
      </c>
      <c r="H13693" s="553">
        <v>104.65</v>
      </c>
      <c r="I13693" s="553">
        <v>488.98</v>
      </c>
      <c r="J13693" s="647">
        <v>1137.93</v>
      </c>
    </row>
    <row r="13694" spans="2:10">
      <c r="B13694" s="1230" t="s">
        <v>490</v>
      </c>
      <c r="C13694" s="132" t="s">
        <v>3569</v>
      </c>
      <c r="D13694" s="255">
        <v>56015</v>
      </c>
      <c r="E13694" s="553">
        <v>103.62</v>
      </c>
      <c r="F13694" s="553">
        <v>849.92</v>
      </c>
      <c r="G13694" s="553">
        <v>425.44</v>
      </c>
      <c r="H13694" s="553">
        <v>87.02</v>
      </c>
      <c r="I13694" s="553">
        <v>307.75</v>
      </c>
      <c r="J13694" s="647">
        <v>1244.77</v>
      </c>
    </row>
    <row r="13695" spans="2:10">
      <c r="B13695" s="1230" t="s">
        <v>490</v>
      </c>
      <c r="C13695" s="132" t="s">
        <v>3570</v>
      </c>
      <c r="D13695" s="255">
        <v>56017</v>
      </c>
      <c r="E13695" s="553">
        <v>124.52</v>
      </c>
      <c r="F13695" s="553">
        <v>1037.03</v>
      </c>
      <c r="G13695" s="553">
        <v>448.88</v>
      </c>
      <c r="H13695" s="553">
        <v>105.89</v>
      </c>
      <c r="I13695" s="553">
        <v>642.58000000000004</v>
      </c>
      <c r="J13695" s="647">
        <v>1084.3599999999999</v>
      </c>
    </row>
    <row r="13696" spans="2:10">
      <c r="B13696" s="1230" t="s">
        <v>490</v>
      </c>
      <c r="C13696" s="132" t="s">
        <v>1856</v>
      </c>
      <c r="D13696" s="255">
        <v>56019</v>
      </c>
      <c r="E13696" s="553">
        <v>134.63999999999999</v>
      </c>
      <c r="F13696" s="553">
        <v>1161.04</v>
      </c>
      <c r="G13696" s="553">
        <v>499.5</v>
      </c>
      <c r="H13696" s="553">
        <v>118.15</v>
      </c>
      <c r="I13696" s="553">
        <v>1210.8399999999999</v>
      </c>
      <c r="J13696" s="647">
        <v>1122.45</v>
      </c>
    </row>
    <row r="13697" spans="2:10">
      <c r="B13697" s="1230" t="s">
        <v>490</v>
      </c>
      <c r="C13697" s="132" t="s">
        <v>3571</v>
      </c>
      <c r="D13697" s="255">
        <v>56021</v>
      </c>
      <c r="E13697" s="553">
        <v>135.41999999999999</v>
      </c>
      <c r="F13697" s="553">
        <v>1223.9100000000001</v>
      </c>
      <c r="G13697" s="553">
        <v>581.79999999999995</v>
      </c>
      <c r="H13697" s="553">
        <v>123.93</v>
      </c>
      <c r="I13697" s="553">
        <v>672.53</v>
      </c>
      <c r="J13697" s="647">
        <v>814.72</v>
      </c>
    </row>
    <row r="13698" spans="2:10">
      <c r="B13698" s="1230" t="s">
        <v>490</v>
      </c>
      <c r="C13698" s="132" t="s">
        <v>1858</v>
      </c>
      <c r="D13698" s="255">
        <v>56023</v>
      </c>
      <c r="E13698" s="553">
        <v>136.72</v>
      </c>
      <c r="F13698" s="553">
        <v>1087.6400000000001</v>
      </c>
      <c r="G13698" s="553">
        <v>410.39</v>
      </c>
      <c r="H13698" s="553">
        <v>111.62</v>
      </c>
      <c r="I13698" s="553">
        <v>517.74</v>
      </c>
      <c r="J13698" s="647">
        <v>1128.25</v>
      </c>
    </row>
    <row r="13699" spans="2:10">
      <c r="B13699" s="1230" t="s">
        <v>490</v>
      </c>
      <c r="C13699" s="132" t="s">
        <v>3572</v>
      </c>
      <c r="D13699" s="255">
        <v>56025</v>
      </c>
      <c r="E13699" s="553">
        <v>118.47</v>
      </c>
      <c r="F13699" s="553">
        <v>1141.19</v>
      </c>
      <c r="G13699" s="553">
        <v>527.5</v>
      </c>
      <c r="H13699" s="553">
        <v>114.91</v>
      </c>
      <c r="I13699" s="553">
        <v>832.28</v>
      </c>
      <c r="J13699" s="647">
        <v>1167.83</v>
      </c>
    </row>
    <row r="13700" spans="2:10">
      <c r="B13700" s="1230" t="s">
        <v>490</v>
      </c>
      <c r="C13700" s="132" t="s">
        <v>3573</v>
      </c>
      <c r="D13700" s="255">
        <v>56027</v>
      </c>
      <c r="E13700" s="553">
        <v>77.61</v>
      </c>
      <c r="F13700" s="553">
        <v>665.99</v>
      </c>
      <c r="G13700" s="553">
        <v>352.66</v>
      </c>
      <c r="H13700" s="553">
        <v>67.760000000000005</v>
      </c>
      <c r="I13700" s="553">
        <v>555.29999999999995</v>
      </c>
      <c r="J13700" s="647">
        <v>1129.33</v>
      </c>
    </row>
    <row r="13701" spans="2:10">
      <c r="B13701" s="1230" t="s">
        <v>490</v>
      </c>
      <c r="C13701" s="132" t="s">
        <v>1980</v>
      </c>
      <c r="D13701" s="255">
        <v>56029</v>
      </c>
      <c r="E13701" s="553">
        <v>110.38</v>
      </c>
      <c r="F13701" s="553">
        <v>970.25</v>
      </c>
      <c r="G13701" s="553">
        <v>417.25</v>
      </c>
      <c r="H13701" s="553">
        <v>98.52</v>
      </c>
      <c r="I13701" s="553">
        <v>424.92</v>
      </c>
      <c r="J13701" s="647">
        <v>1055.3699999999999</v>
      </c>
    </row>
    <row r="13702" spans="2:10">
      <c r="B13702" s="1230" t="s">
        <v>490</v>
      </c>
      <c r="C13702" s="132" t="s">
        <v>2743</v>
      </c>
      <c r="D13702" s="255">
        <v>56031</v>
      </c>
      <c r="E13702" s="553">
        <v>89.41</v>
      </c>
      <c r="F13702" s="553">
        <v>769.89</v>
      </c>
      <c r="G13702" s="553">
        <v>354.58</v>
      </c>
      <c r="H13702" s="553">
        <v>78.33</v>
      </c>
      <c r="I13702" s="553">
        <v>391.4</v>
      </c>
      <c r="J13702" s="647">
        <v>1164.8800000000001</v>
      </c>
    </row>
    <row r="13703" spans="2:10">
      <c r="B13703" s="1230" t="s">
        <v>490</v>
      </c>
      <c r="C13703" s="132" t="s">
        <v>2388</v>
      </c>
      <c r="D13703" s="255">
        <v>56033</v>
      </c>
      <c r="E13703" s="553">
        <v>121.69</v>
      </c>
      <c r="F13703" s="553">
        <v>1084.82</v>
      </c>
      <c r="G13703" s="553">
        <v>488.73</v>
      </c>
      <c r="H13703" s="553">
        <v>110.02</v>
      </c>
      <c r="I13703" s="553">
        <v>989.4</v>
      </c>
      <c r="J13703" s="647">
        <v>1073.28</v>
      </c>
    </row>
    <row r="13704" spans="2:10">
      <c r="B13704" s="1230" t="s">
        <v>490</v>
      </c>
      <c r="C13704" s="132" t="s">
        <v>3574</v>
      </c>
      <c r="D13704" s="255">
        <v>56035</v>
      </c>
      <c r="E13704" s="553">
        <v>118.73</v>
      </c>
      <c r="F13704" s="553">
        <v>1053.82</v>
      </c>
      <c r="G13704" s="553">
        <v>411.93</v>
      </c>
      <c r="H13704" s="553">
        <v>106.91</v>
      </c>
      <c r="I13704" s="553">
        <v>546.03</v>
      </c>
      <c r="J13704" s="647">
        <v>1120.1400000000001</v>
      </c>
    </row>
    <row r="13705" spans="2:10">
      <c r="B13705" s="1230" t="s">
        <v>490</v>
      </c>
      <c r="C13705" s="132" t="s">
        <v>3575</v>
      </c>
      <c r="D13705" s="255">
        <v>56037</v>
      </c>
      <c r="E13705" s="553">
        <v>122.37</v>
      </c>
      <c r="F13705" s="553">
        <v>1096.2</v>
      </c>
      <c r="G13705" s="553">
        <v>454.05</v>
      </c>
      <c r="H13705" s="553">
        <v>111.06</v>
      </c>
      <c r="I13705" s="553">
        <v>541.66</v>
      </c>
      <c r="J13705" s="647">
        <v>1175.3</v>
      </c>
    </row>
    <row r="13706" spans="2:10">
      <c r="B13706" s="1230" t="s">
        <v>490</v>
      </c>
      <c r="C13706" s="132" t="s">
        <v>2195</v>
      </c>
      <c r="D13706" s="255">
        <v>56039</v>
      </c>
      <c r="E13706" s="553">
        <v>144.24</v>
      </c>
      <c r="F13706" s="553">
        <v>1121.08</v>
      </c>
      <c r="G13706" s="553">
        <v>419.45</v>
      </c>
      <c r="H13706" s="553">
        <v>115.3</v>
      </c>
      <c r="I13706" s="553">
        <v>566.23</v>
      </c>
      <c r="J13706" s="647">
        <v>1118.99</v>
      </c>
    </row>
    <row r="13707" spans="2:10">
      <c r="B13707" s="1230" t="s">
        <v>490</v>
      </c>
      <c r="C13707" s="132" t="s">
        <v>3576</v>
      </c>
      <c r="D13707" s="255">
        <v>56041</v>
      </c>
      <c r="E13707" s="553">
        <v>98.11</v>
      </c>
      <c r="F13707" s="553">
        <v>671.7</v>
      </c>
      <c r="G13707" s="553">
        <v>231.45</v>
      </c>
      <c r="H13707" s="553">
        <v>70.16</v>
      </c>
      <c r="I13707" s="553">
        <v>553.74</v>
      </c>
      <c r="J13707" s="647">
        <v>621.61</v>
      </c>
    </row>
    <row r="13708" spans="2:10">
      <c r="B13708" s="1230" t="s">
        <v>490</v>
      </c>
      <c r="C13708" s="132" t="s">
        <v>3577</v>
      </c>
      <c r="D13708" s="255">
        <v>56043</v>
      </c>
      <c r="E13708" s="553">
        <v>125.28</v>
      </c>
      <c r="F13708" s="553">
        <v>1057.42</v>
      </c>
      <c r="G13708" s="553">
        <v>474.64</v>
      </c>
      <c r="H13708" s="553">
        <v>107.85</v>
      </c>
      <c r="I13708" s="553">
        <v>689.06</v>
      </c>
      <c r="J13708" s="647">
        <v>1108.02</v>
      </c>
    </row>
    <row r="13709" spans="2:10">
      <c r="B13709" s="1092" t="s">
        <v>490</v>
      </c>
      <c r="C13709" s="338" t="s">
        <v>3578</v>
      </c>
      <c r="D13709" s="663">
        <v>56045</v>
      </c>
      <c r="E13709" s="649">
        <v>71.760000000000005</v>
      </c>
      <c r="F13709" s="649">
        <v>639.09</v>
      </c>
      <c r="G13709" s="649">
        <v>305.2</v>
      </c>
      <c r="H13709" s="649">
        <v>64.83</v>
      </c>
      <c r="I13709" s="649">
        <v>548.77</v>
      </c>
      <c r="J13709" s="650">
        <v>1111.25</v>
      </c>
    </row>
    <row r="13710" spans="2:10">
      <c r="B13710" s="803" t="s">
        <v>477</v>
      </c>
      <c r="C13710" s="325" t="s">
        <v>3579</v>
      </c>
      <c r="D13710" s="272">
        <v>72001</v>
      </c>
      <c r="E13710" s="325"/>
      <c r="F13710" s="325"/>
      <c r="G13710" s="325"/>
      <c r="H13710" s="325"/>
      <c r="I13710" s="325"/>
      <c r="J13710" s="272"/>
    </row>
    <row r="13711" spans="2:10">
      <c r="B13711" s="803" t="s">
        <v>477</v>
      </c>
      <c r="C13711" s="325" t="s">
        <v>3580</v>
      </c>
      <c r="D13711" s="272">
        <v>72003</v>
      </c>
      <c r="E13711" s="325"/>
      <c r="F13711" s="325"/>
      <c r="G13711" s="325"/>
      <c r="H13711" s="325"/>
      <c r="I13711" s="325"/>
      <c r="J13711" s="272"/>
    </row>
    <row r="13712" spans="2:10">
      <c r="B13712" s="803" t="s">
        <v>477</v>
      </c>
      <c r="C13712" s="325" t="s">
        <v>3581</v>
      </c>
      <c r="D13712" s="272">
        <v>72005</v>
      </c>
      <c r="E13712" s="325"/>
      <c r="F13712" s="325"/>
      <c r="G13712" s="325"/>
      <c r="H13712" s="325"/>
      <c r="I13712" s="325"/>
      <c r="J13712" s="272"/>
    </row>
    <row r="13713" spans="2:10">
      <c r="B13713" s="803" t="s">
        <v>477</v>
      </c>
      <c r="C13713" s="325" t="s">
        <v>3582</v>
      </c>
      <c r="D13713" s="272">
        <v>72007</v>
      </c>
      <c r="E13713" s="325"/>
      <c r="F13713" s="325"/>
      <c r="G13713" s="325"/>
      <c r="H13713" s="325"/>
      <c r="I13713" s="325"/>
      <c r="J13713" s="272"/>
    </row>
    <row r="13714" spans="2:10">
      <c r="B13714" s="803" t="s">
        <v>477</v>
      </c>
      <c r="C13714" s="325" t="s">
        <v>3583</v>
      </c>
      <c r="D13714" s="272">
        <v>72009</v>
      </c>
      <c r="E13714" s="325"/>
      <c r="F13714" s="325"/>
      <c r="G13714" s="325"/>
      <c r="H13714" s="325"/>
      <c r="I13714" s="325"/>
      <c r="J13714" s="272"/>
    </row>
    <row r="13715" spans="2:10">
      <c r="B13715" s="803" t="s">
        <v>477</v>
      </c>
      <c r="C13715" s="325" t="s">
        <v>3584</v>
      </c>
      <c r="D13715" s="272">
        <v>72011</v>
      </c>
      <c r="E13715" s="325"/>
      <c r="F13715" s="325"/>
      <c r="G13715" s="325"/>
      <c r="H13715" s="325"/>
      <c r="I13715" s="325"/>
      <c r="J13715" s="272"/>
    </row>
    <row r="13716" spans="2:10">
      <c r="B13716" s="803" t="s">
        <v>477</v>
      </c>
      <c r="C13716" s="325" t="s">
        <v>3585</v>
      </c>
      <c r="D13716" s="272">
        <v>72013</v>
      </c>
      <c r="E13716" s="325"/>
      <c r="F13716" s="325"/>
      <c r="G13716" s="325"/>
      <c r="H13716" s="325"/>
      <c r="I13716" s="325"/>
      <c r="J13716" s="272"/>
    </row>
    <row r="13717" spans="2:10">
      <c r="B13717" s="803" t="s">
        <v>477</v>
      </c>
      <c r="C13717" s="325" t="s">
        <v>3586</v>
      </c>
      <c r="D13717" s="272">
        <v>72015</v>
      </c>
      <c r="E13717" s="325"/>
      <c r="F13717" s="325"/>
      <c r="G13717" s="325"/>
      <c r="H13717" s="325"/>
      <c r="I13717" s="325"/>
      <c r="J13717" s="272"/>
    </row>
    <row r="13718" spans="2:10">
      <c r="B13718" s="803" t="s">
        <v>477</v>
      </c>
      <c r="C13718" s="325" t="s">
        <v>3587</v>
      </c>
      <c r="D13718" s="272">
        <v>72017</v>
      </c>
      <c r="E13718" s="325"/>
      <c r="F13718" s="325"/>
      <c r="G13718" s="325"/>
      <c r="H13718" s="325"/>
      <c r="I13718" s="325"/>
      <c r="J13718" s="272"/>
    </row>
    <row r="13719" spans="2:10">
      <c r="B13719" s="803" t="s">
        <v>477</v>
      </c>
      <c r="C13719" s="325" t="s">
        <v>3588</v>
      </c>
      <c r="D13719" s="272">
        <v>72019</v>
      </c>
      <c r="E13719" s="325"/>
      <c r="F13719" s="325"/>
      <c r="G13719" s="325"/>
      <c r="H13719" s="325"/>
      <c r="I13719" s="325"/>
      <c r="J13719" s="272"/>
    </row>
    <row r="13720" spans="2:10">
      <c r="B13720" s="803" t="s">
        <v>477</v>
      </c>
      <c r="C13720" s="325" t="s">
        <v>3589</v>
      </c>
      <c r="D13720" s="272">
        <v>72021</v>
      </c>
      <c r="E13720" s="325"/>
      <c r="F13720" s="325"/>
      <c r="G13720" s="325"/>
      <c r="H13720" s="325"/>
      <c r="I13720" s="325"/>
      <c r="J13720" s="272"/>
    </row>
    <row r="13721" spans="2:10">
      <c r="B13721" s="803" t="s">
        <v>477</v>
      </c>
      <c r="C13721" s="325" t="s">
        <v>3590</v>
      </c>
      <c r="D13721" s="272">
        <v>72023</v>
      </c>
      <c r="E13721" s="325"/>
      <c r="F13721" s="325"/>
      <c r="G13721" s="325"/>
      <c r="H13721" s="325"/>
      <c r="I13721" s="325"/>
      <c r="J13721" s="272"/>
    </row>
    <row r="13722" spans="2:10">
      <c r="B13722" s="803" t="s">
        <v>477</v>
      </c>
      <c r="C13722" s="325" t="s">
        <v>3591</v>
      </c>
      <c r="D13722" s="272">
        <v>72025</v>
      </c>
      <c r="E13722" s="325"/>
      <c r="F13722" s="325"/>
      <c r="G13722" s="325"/>
      <c r="H13722" s="325"/>
      <c r="I13722" s="325"/>
      <c r="J13722" s="272"/>
    </row>
    <row r="13723" spans="2:10">
      <c r="B13723" s="803" t="s">
        <v>477</v>
      </c>
      <c r="C13723" s="325" t="s">
        <v>3592</v>
      </c>
      <c r="D13723" s="272">
        <v>72027</v>
      </c>
      <c r="E13723" s="325"/>
      <c r="F13723" s="325"/>
      <c r="G13723" s="325"/>
      <c r="H13723" s="325"/>
      <c r="I13723" s="325"/>
      <c r="J13723" s="272"/>
    </row>
    <row r="13724" spans="2:10">
      <c r="B13724" s="803" t="s">
        <v>477</v>
      </c>
      <c r="C13724" s="325" t="s">
        <v>3593</v>
      </c>
      <c r="D13724" s="272">
        <v>72029</v>
      </c>
      <c r="E13724" s="325"/>
      <c r="F13724" s="325"/>
      <c r="G13724" s="325"/>
      <c r="H13724" s="325"/>
      <c r="I13724" s="325"/>
      <c r="J13724" s="272"/>
    </row>
    <row r="13725" spans="2:10">
      <c r="B13725" s="803" t="s">
        <v>477</v>
      </c>
      <c r="C13725" s="325" t="s">
        <v>3594</v>
      </c>
      <c r="D13725" s="272">
        <v>72031</v>
      </c>
      <c r="E13725" s="325"/>
      <c r="F13725" s="325"/>
      <c r="G13725" s="325"/>
      <c r="H13725" s="325"/>
      <c r="I13725" s="325"/>
      <c r="J13725" s="272"/>
    </row>
    <row r="13726" spans="2:10">
      <c r="B13726" s="803" t="s">
        <v>477</v>
      </c>
      <c r="C13726" s="325" t="s">
        <v>3595</v>
      </c>
      <c r="D13726" s="272">
        <v>72033</v>
      </c>
      <c r="E13726" s="325"/>
      <c r="F13726" s="325"/>
      <c r="G13726" s="325"/>
      <c r="H13726" s="325"/>
      <c r="I13726" s="325"/>
      <c r="J13726" s="272"/>
    </row>
    <row r="13727" spans="2:10">
      <c r="B13727" s="803" t="s">
        <v>477</v>
      </c>
      <c r="C13727" s="325" t="s">
        <v>3596</v>
      </c>
      <c r="D13727" s="272">
        <v>72035</v>
      </c>
      <c r="E13727" s="325"/>
      <c r="F13727" s="325"/>
      <c r="G13727" s="325"/>
      <c r="H13727" s="325"/>
      <c r="I13727" s="325"/>
      <c r="J13727" s="272"/>
    </row>
    <row r="13728" spans="2:10">
      <c r="B13728" s="803" t="s">
        <v>477</v>
      </c>
      <c r="C13728" s="325" t="s">
        <v>3597</v>
      </c>
      <c r="D13728" s="272">
        <v>72037</v>
      </c>
      <c r="E13728" s="325"/>
      <c r="F13728" s="325"/>
      <c r="G13728" s="325"/>
      <c r="H13728" s="325"/>
      <c r="I13728" s="325"/>
      <c r="J13728" s="272"/>
    </row>
    <row r="13729" spans="2:10">
      <c r="B13729" s="803" t="s">
        <v>477</v>
      </c>
      <c r="C13729" s="325" t="s">
        <v>3598</v>
      </c>
      <c r="D13729" s="272">
        <v>72039</v>
      </c>
      <c r="E13729" s="325"/>
      <c r="F13729" s="325"/>
      <c r="G13729" s="325"/>
      <c r="H13729" s="325"/>
      <c r="I13729" s="325"/>
      <c r="J13729" s="272"/>
    </row>
    <row r="13730" spans="2:10">
      <c r="B13730" s="803" t="s">
        <v>477</v>
      </c>
      <c r="C13730" s="325" t="s">
        <v>3599</v>
      </c>
      <c r="D13730" s="272">
        <v>72041</v>
      </c>
      <c r="E13730" s="325"/>
      <c r="F13730" s="325"/>
      <c r="G13730" s="325"/>
      <c r="H13730" s="325"/>
      <c r="I13730" s="325"/>
      <c r="J13730" s="272"/>
    </row>
    <row r="13731" spans="2:10">
      <c r="B13731" s="803" t="s">
        <v>477</v>
      </c>
      <c r="C13731" s="325" t="s">
        <v>3600</v>
      </c>
      <c r="D13731" s="272">
        <v>72043</v>
      </c>
      <c r="E13731" s="325"/>
      <c r="F13731" s="325"/>
      <c r="G13731" s="325"/>
      <c r="H13731" s="325"/>
      <c r="I13731" s="325"/>
      <c r="J13731" s="272"/>
    </row>
    <row r="13732" spans="2:10">
      <c r="B13732" s="803" t="s">
        <v>477</v>
      </c>
      <c r="C13732" s="325" t="s">
        <v>3601</v>
      </c>
      <c r="D13732" s="272">
        <v>72045</v>
      </c>
      <c r="E13732" s="325"/>
      <c r="F13732" s="325"/>
      <c r="G13732" s="325"/>
      <c r="H13732" s="325"/>
      <c r="I13732" s="325"/>
      <c r="J13732" s="272"/>
    </row>
    <row r="13733" spans="2:10">
      <c r="B13733" s="803" t="s">
        <v>477</v>
      </c>
      <c r="C13733" s="325" t="s">
        <v>3602</v>
      </c>
      <c r="D13733" s="272">
        <v>72047</v>
      </c>
      <c r="E13733" s="325"/>
      <c r="F13733" s="325"/>
      <c r="G13733" s="325"/>
      <c r="H13733" s="325"/>
      <c r="I13733" s="325"/>
      <c r="J13733" s="272"/>
    </row>
    <row r="13734" spans="2:10">
      <c r="B13734" s="803" t="s">
        <v>477</v>
      </c>
      <c r="C13734" s="325" t="s">
        <v>3603</v>
      </c>
      <c r="D13734" s="272">
        <v>72049</v>
      </c>
      <c r="E13734" s="325"/>
      <c r="F13734" s="325"/>
      <c r="G13734" s="325"/>
      <c r="H13734" s="325"/>
      <c r="I13734" s="325"/>
      <c r="J13734" s="272"/>
    </row>
    <row r="13735" spans="2:10">
      <c r="B13735" s="803" t="s">
        <v>477</v>
      </c>
      <c r="C13735" s="325" t="s">
        <v>3604</v>
      </c>
      <c r="D13735" s="272">
        <v>72051</v>
      </c>
      <c r="E13735" s="325"/>
      <c r="F13735" s="325"/>
      <c r="G13735" s="325"/>
      <c r="H13735" s="325"/>
      <c r="I13735" s="325"/>
      <c r="J13735" s="272"/>
    </row>
    <row r="13736" spans="2:10">
      <c r="B13736" s="803" t="s">
        <v>477</v>
      </c>
      <c r="C13736" s="325" t="s">
        <v>3605</v>
      </c>
      <c r="D13736" s="272">
        <v>72053</v>
      </c>
      <c r="E13736" s="325"/>
      <c r="F13736" s="325"/>
      <c r="G13736" s="325"/>
      <c r="H13736" s="325"/>
      <c r="I13736" s="325"/>
      <c r="J13736" s="272"/>
    </row>
    <row r="13737" spans="2:10">
      <c r="B13737" s="803" t="s">
        <v>477</v>
      </c>
      <c r="C13737" s="325" t="s">
        <v>3606</v>
      </c>
      <c r="D13737" s="272">
        <v>72054</v>
      </c>
      <c r="E13737" s="325"/>
      <c r="F13737" s="325"/>
      <c r="G13737" s="325"/>
      <c r="H13737" s="325"/>
      <c r="I13737" s="325"/>
      <c r="J13737" s="272"/>
    </row>
    <row r="13738" spans="2:10">
      <c r="B13738" s="803" t="s">
        <v>477</v>
      </c>
      <c r="C13738" s="325" t="s">
        <v>3607</v>
      </c>
      <c r="D13738" s="272">
        <v>72055</v>
      </c>
      <c r="E13738" s="325"/>
      <c r="F13738" s="325"/>
      <c r="G13738" s="325"/>
      <c r="H13738" s="325"/>
      <c r="I13738" s="325"/>
      <c r="J13738" s="272"/>
    </row>
    <row r="13739" spans="2:10">
      <c r="B13739" s="803" t="s">
        <v>477</v>
      </c>
      <c r="C13739" s="325" t="s">
        <v>3608</v>
      </c>
      <c r="D13739" s="272">
        <v>72057</v>
      </c>
      <c r="E13739" s="325"/>
      <c r="F13739" s="325"/>
      <c r="G13739" s="325"/>
      <c r="H13739" s="325"/>
      <c r="I13739" s="325"/>
      <c r="J13739" s="272"/>
    </row>
    <row r="13740" spans="2:10">
      <c r="B13740" s="803" t="s">
        <v>477</v>
      </c>
      <c r="C13740" s="325" t="s">
        <v>3609</v>
      </c>
      <c r="D13740" s="272">
        <v>72059</v>
      </c>
      <c r="E13740" s="325"/>
      <c r="F13740" s="325"/>
      <c r="G13740" s="325"/>
      <c r="H13740" s="325"/>
      <c r="I13740" s="325"/>
      <c r="J13740" s="272"/>
    </row>
    <row r="13741" spans="2:10">
      <c r="B13741" s="803" t="s">
        <v>477</v>
      </c>
      <c r="C13741" s="325" t="s">
        <v>3610</v>
      </c>
      <c r="D13741" s="272">
        <v>72061</v>
      </c>
      <c r="E13741" s="325"/>
      <c r="F13741" s="325"/>
      <c r="G13741" s="325"/>
      <c r="H13741" s="325"/>
      <c r="I13741" s="325"/>
      <c r="J13741" s="272"/>
    </row>
    <row r="13742" spans="2:10">
      <c r="B13742" s="803" t="s">
        <v>477</v>
      </c>
      <c r="C13742" s="325" t="s">
        <v>3611</v>
      </c>
      <c r="D13742" s="272">
        <v>72063</v>
      </c>
      <c r="E13742" s="325"/>
      <c r="F13742" s="325"/>
      <c r="G13742" s="325"/>
      <c r="H13742" s="325"/>
      <c r="I13742" s="325"/>
      <c r="J13742" s="272"/>
    </row>
    <row r="13743" spans="2:10">
      <c r="B13743" s="803" t="s">
        <v>477</v>
      </c>
      <c r="C13743" s="325" t="s">
        <v>3612</v>
      </c>
      <c r="D13743" s="272">
        <v>72065</v>
      </c>
      <c r="E13743" s="325"/>
      <c r="F13743" s="325"/>
      <c r="G13743" s="325"/>
      <c r="H13743" s="325"/>
      <c r="I13743" s="325"/>
      <c r="J13743" s="272"/>
    </row>
    <row r="13744" spans="2:10">
      <c r="B13744" s="803" t="s">
        <v>477</v>
      </c>
      <c r="C13744" s="325" t="s">
        <v>3613</v>
      </c>
      <c r="D13744" s="272">
        <v>72067</v>
      </c>
      <c r="E13744" s="325"/>
      <c r="F13744" s="325"/>
      <c r="G13744" s="325"/>
      <c r="H13744" s="325"/>
      <c r="I13744" s="325"/>
      <c r="J13744" s="272"/>
    </row>
    <row r="13745" spans="2:10">
      <c r="B13745" s="803" t="s">
        <v>477</v>
      </c>
      <c r="C13745" s="325" t="s">
        <v>3614</v>
      </c>
      <c r="D13745" s="272">
        <v>72069</v>
      </c>
      <c r="E13745" s="325"/>
      <c r="F13745" s="325"/>
      <c r="G13745" s="325"/>
      <c r="H13745" s="325"/>
      <c r="I13745" s="325"/>
      <c r="J13745" s="272"/>
    </row>
    <row r="13746" spans="2:10">
      <c r="B13746" s="803" t="s">
        <v>477</v>
      </c>
      <c r="C13746" s="325" t="s">
        <v>3615</v>
      </c>
      <c r="D13746" s="272">
        <v>72071</v>
      </c>
      <c r="E13746" s="325"/>
      <c r="F13746" s="325"/>
      <c r="G13746" s="325"/>
      <c r="H13746" s="325"/>
      <c r="I13746" s="325"/>
      <c r="J13746" s="272"/>
    </row>
    <row r="13747" spans="2:10">
      <c r="B13747" s="803" t="s">
        <v>477</v>
      </c>
      <c r="C13747" s="325" t="s">
        <v>3616</v>
      </c>
      <c r="D13747" s="272">
        <v>72073</v>
      </c>
      <c r="E13747" s="325"/>
      <c r="F13747" s="325"/>
      <c r="G13747" s="325"/>
      <c r="H13747" s="325"/>
      <c r="I13747" s="325"/>
      <c r="J13747" s="272"/>
    </row>
    <row r="13748" spans="2:10">
      <c r="B13748" s="803" t="s">
        <v>477</v>
      </c>
      <c r="C13748" s="325" t="s">
        <v>3617</v>
      </c>
      <c r="D13748" s="272">
        <v>72075</v>
      </c>
      <c r="E13748" s="325"/>
      <c r="F13748" s="325"/>
      <c r="G13748" s="325"/>
      <c r="H13748" s="325"/>
      <c r="I13748" s="325"/>
      <c r="J13748" s="272"/>
    </row>
    <row r="13749" spans="2:10">
      <c r="B13749" s="803" t="s">
        <v>477</v>
      </c>
      <c r="C13749" s="325" t="s">
        <v>3618</v>
      </c>
      <c r="D13749" s="272">
        <v>72077</v>
      </c>
      <c r="E13749" s="325"/>
      <c r="F13749" s="325"/>
      <c r="G13749" s="325"/>
      <c r="H13749" s="325"/>
      <c r="I13749" s="325"/>
      <c r="J13749" s="272"/>
    </row>
    <row r="13750" spans="2:10">
      <c r="B13750" s="803" t="s">
        <v>477</v>
      </c>
      <c r="C13750" s="325" t="s">
        <v>3619</v>
      </c>
      <c r="D13750" s="272">
        <v>72079</v>
      </c>
      <c r="E13750" s="325"/>
      <c r="F13750" s="325"/>
      <c r="G13750" s="325"/>
      <c r="H13750" s="325"/>
      <c r="I13750" s="325"/>
      <c r="J13750" s="272"/>
    </row>
    <row r="13751" spans="2:10">
      <c r="B13751" s="803" t="s">
        <v>477</v>
      </c>
      <c r="C13751" s="325" t="s">
        <v>3620</v>
      </c>
      <c r="D13751" s="272">
        <v>72081</v>
      </c>
      <c r="E13751" s="325"/>
      <c r="F13751" s="325"/>
      <c r="G13751" s="325"/>
      <c r="H13751" s="325"/>
      <c r="I13751" s="325"/>
      <c r="J13751" s="272"/>
    </row>
    <row r="13752" spans="2:10">
      <c r="B13752" s="803" t="s">
        <v>477</v>
      </c>
      <c r="C13752" s="325" t="s">
        <v>3621</v>
      </c>
      <c r="D13752" s="272">
        <v>72083</v>
      </c>
      <c r="E13752" s="325"/>
      <c r="F13752" s="325"/>
      <c r="G13752" s="325"/>
      <c r="H13752" s="325"/>
      <c r="I13752" s="325"/>
      <c r="J13752" s="272"/>
    </row>
    <row r="13753" spans="2:10">
      <c r="B13753" s="803" t="s">
        <v>477</v>
      </c>
      <c r="C13753" s="325" t="s">
        <v>3622</v>
      </c>
      <c r="D13753" s="272">
        <v>72085</v>
      </c>
      <c r="E13753" s="325"/>
      <c r="F13753" s="325"/>
      <c r="G13753" s="325"/>
      <c r="H13753" s="325"/>
      <c r="I13753" s="325"/>
      <c r="J13753" s="272"/>
    </row>
    <row r="13754" spans="2:10">
      <c r="B13754" s="803" t="s">
        <v>477</v>
      </c>
      <c r="C13754" s="325" t="s">
        <v>3623</v>
      </c>
      <c r="D13754" s="272">
        <v>72087</v>
      </c>
      <c r="E13754" s="325"/>
      <c r="F13754" s="325"/>
      <c r="G13754" s="325"/>
      <c r="H13754" s="325"/>
      <c r="I13754" s="325"/>
      <c r="J13754" s="272"/>
    </row>
    <row r="13755" spans="2:10">
      <c r="B13755" s="803" t="s">
        <v>477</v>
      </c>
      <c r="C13755" s="325" t="s">
        <v>3624</v>
      </c>
      <c r="D13755" s="272">
        <v>72089</v>
      </c>
      <c r="E13755" s="325"/>
      <c r="F13755" s="325"/>
      <c r="G13755" s="325"/>
      <c r="H13755" s="325"/>
      <c r="I13755" s="325"/>
      <c r="J13755" s="272"/>
    </row>
    <row r="13756" spans="2:10">
      <c r="B13756" s="803" t="s">
        <v>477</v>
      </c>
      <c r="C13756" s="325" t="s">
        <v>3625</v>
      </c>
      <c r="D13756" s="272">
        <v>72091</v>
      </c>
      <c r="E13756" s="325"/>
      <c r="F13756" s="325"/>
      <c r="G13756" s="325"/>
      <c r="H13756" s="325"/>
      <c r="I13756" s="325"/>
      <c r="J13756" s="272"/>
    </row>
    <row r="13757" spans="2:10">
      <c r="B13757" s="803" t="s">
        <v>477</v>
      </c>
      <c r="C13757" s="325" t="s">
        <v>3626</v>
      </c>
      <c r="D13757" s="272">
        <v>72093</v>
      </c>
      <c r="E13757" s="325"/>
      <c r="F13757" s="325"/>
      <c r="G13757" s="325"/>
      <c r="H13757" s="325"/>
      <c r="I13757" s="325"/>
      <c r="J13757" s="272"/>
    </row>
    <row r="13758" spans="2:10">
      <c r="B13758" s="803" t="s">
        <v>477</v>
      </c>
      <c r="C13758" s="325" t="s">
        <v>3627</v>
      </c>
      <c r="D13758" s="272">
        <v>72095</v>
      </c>
      <c r="E13758" s="325"/>
      <c r="F13758" s="325"/>
      <c r="G13758" s="325"/>
      <c r="H13758" s="325"/>
      <c r="I13758" s="325"/>
      <c r="J13758" s="272"/>
    </row>
    <row r="13759" spans="2:10">
      <c r="B13759" s="803" t="s">
        <v>477</v>
      </c>
      <c r="C13759" s="325" t="s">
        <v>3628</v>
      </c>
      <c r="D13759" s="272">
        <v>72097</v>
      </c>
      <c r="E13759" s="325"/>
      <c r="F13759" s="325"/>
      <c r="G13759" s="325"/>
      <c r="H13759" s="325"/>
      <c r="I13759" s="325"/>
      <c r="J13759" s="272"/>
    </row>
    <row r="13760" spans="2:10">
      <c r="B13760" s="803" t="s">
        <v>477</v>
      </c>
      <c r="C13760" s="325" t="s">
        <v>3629</v>
      </c>
      <c r="D13760" s="272">
        <v>72099</v>
      </c>
      <c r="E13760" s="325"/>
      <c r="F13760" s="325"/>
      <c r="G13760" s="325"/>
      <c r="H13760" s="325"/>
      <c r="I13760" s="325"/>
      <c r="J13760" s="272"/>
    </row>
    <row r="13761" spans="2:10">
      <c r="B13761" s="803" t="s">
        <v>477</v>
      </c>
      <c r="C13761" s="325" t="s">
        <v>3630</v>
      </c>
      <c r="D13761" s="272">
        <v>72101</v>
      </c>
      <c r="E13761" s="325"/>
      <c r="F13761" s="325"/>
      <c r="G13761" s="325"/>
      <c r="H13761" s="325"/>
      <c r="I13761" s="325"/>
      <c r="J13761" s="272"/>
    </row>
    <row r="13762" spans="2:10">
      <c r="B13762" s="803" t="s">
        <v>477</v>
      </c>
      <c r="C13762" s="325" t="s">
        <v>3631</v>
      </c>
      <c r="D13762" s="272">
        <v>72103</v>
      </c>
      <c r="E13762" s="325"/>
      <c r="F13762" s="325"/>
      <c r="G13762" s="325"/>
      <c r="H13762" s="325"/>
      <c r="I13762" s="325"/>
      <c r="J13762" s="272"/>
    </row>
    <row r="13763" spans="2:10">
      <c r="B13763" s="803" t="s">
        <v>477</v>
      </c>
      <c r="C13763" s="325" t="s">
        <v>3632</v>
      </c>
      <c r="D13763" s="272">
        <v>72105</v>
      </c>
      <c r="E13763" s="325"/>
      <c r="F13763" s="325"/>
      <c r="G13763" s="325"/>
      <c r="H13763" s="325"/>
      <c r="I13763" s="325"/>
      <c r="J13763" s="272"/>
    </row>
    <row r="13764" spans="2:10">
      <c r="B13764" s="803" t="s">
        <v>477</v>
      </c>
      <c r="C13764" s="325" t="s">
        <v>3633</v>
      </c>
      <c r="D13764" s="272">
        <v>72107</v>
      </c>
      <c r="E13764" s="325"/>
      <c r="F13764" s="325"/>
      <c r="G13764" s="325"/>
      <c r="H13764" s="325"/>
      <c r="I13764" s="325"/>
      <c r="J13764" s="272"/>
    </row>
    <row r="13765" spans="2:10">
      <c r="B13765" s="803" t="s">
        <v>477</v>
      </c>
      <c r="C13765" s="325" t="s">
        <v>3634</v>
      </c>
      <c r="D13765" s="272">
        <v>72109</v>
      </c>
      <c r="E13765" s="325"/>
      <c r="F13765" s="325"/>
      <c r="G13765" s="325"/>
      <c r="H13765" s="325"/>
      <c r="I13765" s="325"/>
      <c r="J13765" s="272"/>
    </row>
    <row r="13766" spans="2:10">
      <c r="B13766" s="803" t="s">
        <v>477</v>
      </c>
      <c r="C13766" s="325" t="s">
        <v>3635</v>
      </c>
      <c r="D13766" s="272">
        <v>72111</v>
      </c>
      <c r="E13766" s="325"/>
      <c r="F13766" s="325"/>
      <c r="G13766" s="325"/>
      <c r="H13766" s="325"/>
      <c r="I13766" s="325"/>
      <c r="J13766" s="272"/>
    </row>
    <row r="13767" spans="2:10">
      <c r="B13767" s="803" t="s">
        <v>477</v>
      </c>
      <c r="C13767" s="325" t="s">
        <v>3636</v>
      </c>
      <c r="D13767" s="272">
        <v>72113</v>
      </c>
      <c r="E13767" s="325"/>
      <c r="F13767" s="325"/>
      <c r="G13767" s="325"/>
      <c r="H13767" s="325"/>
      <c r="I13767" s="325"/>
      <c r="J13767" s="272"/>
    </row>
    <row r="13768" spans="2:10">
      <c r="B13768" s="803" t="s">
        <v>477</v>
      </c>
      <c r="C13768" s="325" t="s">
        <v>3637</v>
      </c>
      <c r="D13768" s="272">
        <v>72115</v>
      </c>
      <c r="E13768" s="325"/>
      <c r="F13768" s="325"/>
      <c r="G13768" s="325"/>
      <c r="H13768" s="325"/>
      <c r="I13768" s="325"/>
      <c r="J13768" s="272"/>
    </row>
    <row r="13769" spans="2:10">
      <c r="B13769" s="803" t="s">
        <v>477</v>
      </c>
      <c r="C13769" s="325" t="s">
        <v>3638</v>
      </c>
      <c r="D13769" s="272">
        <v>72117</v>
      </c>
      <c r="E13769" s="325"/>
      <c r="F13769" s="325"/>
      <c r="G13769" s="325"/>
      <c r="H13769" s="325"/>
      <c r="I13769" s="325"/>
      <c r="J13769" s="272"/>
    </row>
    <row r="13770" spans="2:10">
      <c r="B13770" s="803" t="s">
        <v>477</v>
      </c>
      <c r="C13770" s="325" t="s">
        <v>3639</v>
      </c>
      <c r="D13770" s="272">
        <v>72119</v>
      </c>
      <c r="E13770" s="325"/>
      <c r="F13770" s="325"/>
      <c r="G13770" s="325"/>
      <c r="H13770" s="325"/>
      <c r="I13770" s="325"/>
      <c r="J13770" s="272"/>
    </row>
    <row r="13771" spans="2:10">
      <c r="B13771" s="803" t="s">
        <v>477</v>
      </c>
      <c r="C13771" s="325" t="s">
        <v>3640</v>
      </c>
      <c r="D13771" s="272">
        <v>72121</v>
      </c>
      <c r="E13771" s="325"/>
      <c r="F13771" s="325"/>
      <c r="G13771" s="325"/>
      <c r="H13771" s="325"/>
      <c r="I13771" s="325"/>
      <c r="J13771" s="272"/>
    </row>
    <row r="13772" spans="2:10">
      <c r="B13772" s="803" t="s">
        <v>477</v>
      </c>
      <c r="C13772" s="325" t="s">
        <v>3641</v>
      </c>
      <c r="D13772" s="272">
        <v>72123</v>
      </c>
      <c r="E13772" s="325"/>
      <c r="F13772" s="325"/>
      <c r="G13772" s="325"/>
      <c r="H13772" s="325"/>
      <c r="I13772" s="325"/>
      <c r="J13772" s="272"/>
    </row>
    <row r="13773" spans="2:10">
      <c r="B13773" s="803" t="s">
        <v>477</v>
      </c>
      <c r="C13773" s="325" t="s">
        <v>3642</v>
      </c>
      <c r="D13773" s="272">
        <v>72125</v>
      </c>
      <c r="E13773" s="325"/>
      <c r="F13773" s="325"/>
      <c r="G13773" s="325"/>
      <c r="H13773" s="325"/>
      <c r="I13773" s="325"/>
      <c r="J13773" s="272"/>
    </row>
    <row r="13774" spans="2:10">
      <c r="B13774" s="803" t="s">
        <v>477</v>
      </c>
      <c r="C13774" s="325" t="s">
        <v>3643</v>
      </c>
      <c r="D13774" s="272">
        <v>72127</v>
      </c>
      <c r="E13774" s="325"/>
      <c r="F13774" s="325"/>
      <c r="G13774" s="325"/>
      <c r="H13774" s="325"/>
      <c r="I13774" s="325"/>
      <c r="J13774" s="272"/>
    </row>
    <row r="13775" spans="2:10">
      <c r="B13775" s="803" t="s">
        <v>477</v>
      </c>
      <c r="C13775" s="325" t="s">
        <v>3644</v>
      </c>
      <c r="D13775" s="272">
        <v>72129</v>
      </c>
      <c r="E13775" s="325"/>
      <c r="F13775" s="325"/>
      <c r="G13775" s="325"/>
      <c r="H13775" s="325"/>
      <c r="I13775" s="325"/>
      <c r="J13775" s="272"/>
    </row>
    <row r="13776" spans="2:10">
      <c r="B13776" s="803" t="s">
        <v>477</v>
      </c>
      <c r="C13776" s="325" t="s">
        <v>3645</v>
      </c>
      <c r="D13776" s="272">
        <v>72131</v>
      </c>
      <c r="E13776" s="325"/>
      <c r="F13776" s="325"/>
      <c r="G13776" s="325"/>
      <c r="H13776" s="325"/>
      <c r="I13776" s="325"/>
      <c r="J13776" s="272"/>
    </row>
    <row r="13777" spans="2:10">
      <c r="B13777" s="803" t="s">
        <v>477</v>
      </c>
      <c r="C13777" s="325" t="s">
        <v>3646</v>
      </c>
      <c r="D13777" s="272">
        <v>72133</v>
      </c>
      <c r="E13777" s="325"/>
      <c r="F13777" s="325"/>
      <c r="G13777" s="325"/>
      <c r="H13777" s="325"/>
      <c r="I13777" s="325"/>
      <c r="J13777" s="272"/>
    </row>
    <row r="13778" spans="2:10">
      <c r="B13778" s="803" t="s">
        <v>477</v>
      </c>
      <c r="C13778" s="325" t="s">
        <v>3647</v>
      </c>
      <c r="D13778" s="272">
        <v>72135</v>
      </c>
      <c r="E13778" s="325"/>
      <c r="F13778" s="325"/>
      <c r="G13778" s="325"/>
      <c r="H13778" s="325"/>
      <c r="I13778" s="325"/>
      <c r="J13778" s="272"/>
    </row>
    <row r="13779" spans="2:10">
      <c r="B13779" s="803" t="s">
        <v>477</v>
      </c>
      <c r="C13779" s="325" t="s">
        <v>3648</v>
      </c>
      <c r="D13779" s="272">
        <v>72137</v>
      </c>
      <c r="E13779" s="325"/>
      <c r="F13779" s="325"/>
      <c r="G13779" s="325"/>
      <c r="H13779" s="325"/>
      <c r="I13779" s="325"/>
      <c r="J13779" s="272"/>
    </row>
    <row r="13780" spans="2:10">
      <c r="B13780" s="803" t="s">
        <v>477</v>
      </c>
      <c r="C13780" s="325" t="s">
        <v>3649</v>
      </c>
      <c r="D13780" s="272">
        <v>72139</v>
      </c>
      <c r="E13780" s="325"/>
      <c r="F13780" s="325"/>
      <c r="G13780" s="325"/>
      <c r="H13780" s="325"/>
      <c r="I13780" s="325"/>
      <c r="J13780" s="272"/>
    </row>
    <row r="13781" spans="2:10">
      <c r="B13781" s="803" t="s">
        <v>477</v>
      </c>
      <c r="C13781" s="325" t="s">
        <v>3650</v>
      </c>
      <c r="D13781" s="272">
        <v>72141</v>
      </c>
      <c r="E13781" s="325"/>
      <c r="F13781" s="325"/>
      <c r="G13781" s="325"/>
      <c r="H13781" s="325"/>
      <c r="I13781" s="325"/>
      <c r="J13781" s="272"/>
    </row>
    <row r="13782" spans="2:10">
      <c r="B13782" s="803" t="s">
        <v>477</v>
      </c>
      <c r="C13782" s="325" t="s">
        <v>3651</v>
      </c>
      <c r="D13782" s="272">
        <v>72143</v>
      </c>
      <c r="E13782" s="325"/>
      <c r="F13782" s="325"/>
      <c r="G13782" s="325"/>
      <c r="H13782" s="325"/>
      <c r="I13782" s="325"/>
      <c r="J13782" s="272"/>
    </row>
    <row r="13783" spans="2:10">
      <c r="B13783" s="803" t="s">
        <v>477</v>
      </c>
      <c r="C13783" s="325" t="s">
        <v>3652</v>
      </c>
      <c r="D13783" s="272">
        <v>72145</v>
      </c>
      <c r="E13783" s="325"/>
      <c r="F13783" s="325"/>
      <c r="G13783" s="325"/>
      <c r="H13783" s="325"/>
      <c r="I13783" s="325"/>
      <c r="J13783" s="272"/>
    </row>
    <row r="13784" spans="2:10">
      <c r="B13784" s="803" t="s">
        <v>477</v>
      </c>
      <c r="C13784" s="325" t="s">
        <v>3653</v>
      </c>
      <c r="D13784" s="272">
        <v>72147</v>
      </c>
      <c r="E13784" s="325"/>
      <c r="F13784" s="325"/>
      <c r="G13784" s="325"/>
      <c r="H13784" s="325"/>
      <c r="I13784" s="325"/>
      <c r="J13784" s="272"/>
    </row>
    <row r="13785" spans="2:10">
      <c r="B13785" s="803" t="s">
        <v>477</v>
      </c>
      <c r="C13785" s="325" t="s">
        <v>3654</v>
      </c>
      <c r="D13785" s="272">
        <v>72149</v>
      </c>
      <c r="E13785" s="325"/>
      <c r="F13785" s="325"/>
      <c r="G13785" s="325"/>
      <c r="H13785" s="325"/>
      <c r="I13785" s="325"/>
      <c r="J13785" s="272"/>
    </row>
    <row r="13786" spans="2:10">
      <c r="B13786" s="803" t="s">
        <v>477</v>
      </c>
      <c r="C13786" s="325" t="s">
        <v>3655</v>
      </c>
      <c r="D13786" s="272">
        <v>72151</v>
      </c>
      <c r="E13786" s="325"/>
      <c r="F13786" s="325"/>
      <c r="G13786" s="325"/>
      <c r="H13786" s="325"/>
      <c r="I13786" s="325"/>
      <c r="J13786" s="272"/>
    </row>
    <row r="13787" spans="2:10">
      <c r="B13787" s="803" t="s">
        <v>477</v>
      </c>
      <c r="C13787" s="325" t="s">
        <v>3656</v>
      </c>
      <c r="D13787" s="272">
        <v>72153</v>
      </c>
      <c r="E13787" s="325"/>
      <c r="F13787" s="325"/>
      <c r="G13787" s="325"/>
      <c r="H13787" s="325"/>
      <c r="I13787" s="325"/>
      <c r="J13787" s="272"/>
    </row>
    <row r="13788" spans="2:10">
      <c r="B13788" s="803" t="s">
        <v>485</v>
      </c>
      <c r="C13788" s="325" t="s">
        <v>3657</v>
      </c>
      <c r="D13788" s="272">
        <v>78010</v>
      </c>
      <c r="E13788" s="325"/>
      <c r="F13788" s="325"/>
      <c r="G13788" s="325"/>
      <c r="H13788" s="325"/>
      <c r="I13788" s="325"/>
      <c r="J13788" s="272"/>
    </row>
    <row r="13789" spans="2:10">
      <c r="B13789" s="803" t="s">
        <v>485</v>
      </c>
      <c r="C13789" s="325" t="s">
        <v>3658</v>
      </c>
      <c r="D13789" s="272">
        <v>78020</v>
      </c>
      <c r="E13789" s="325"/>
      <c r="F13789" s="325"/>
      <c r="G13789" s="325"/>
      <c r="H13789" s="325"/>
      <c r="I13789" s="325"/>
      <c r="J13789" s="272"/>
    </row>
    <row r="13790" spans="2:10">
      <c r="B13790" s="1284" t="s">
        <v>485</v>
      </c>
      <c r="C13790" s="339" t="s">
        <v>3659</v>
      </c>
      <c r="D13790" s="802">
        <v>78030</v>
      </c>
      <c r="E13790" s="339"/>
      <c r="F13790" s="339"/>
      <c r="G13790" s="339"/>
      <c r="H13790" s="339"/>
      <c r="I13790" s="339"/>
      <c r="J13790" s="802"/>
    </row>
  </sheetData>
  <mergeCells count="87">
    <mergeCell ref="C675:L675"/>
    <mergeCell ref="M675:V675"/>
    <mergeCell ref="F1821:I1821"/>
    <mergeCell ref="J1821:L1821"/>
    <mergeCell ref="D8946:E8946"/>
    <mergeCell ref="F8946:AK8946"/>
    <mergeCell ref="C662:L662"/>
    <mergeCell ref="M662:V662"/>
    <mergeCell ref="AA662:AJ662"/>
    <mergeCell ref="AK662:AT662"/>
    <mergeCell ref="B663:B664"/>
    <mergeCell ref="Z663:Z664"/>
    <mergeCell ref="X657:Y657"/>
    <mergeCell ref="X646:Y646"/>
    <mergeCell ref="X647:Y647"/>
    <mergeCell ref="X648:Y648"/>
    <mergeCell ref="X649:Y649"/>
    <mergeCell ref="X650:Y650"/>
    <mergeCell ref="X651:Y651"/>
    <mergeCell ref="X652:Y652"/>
    <mergeCell ref="X653:Y653"/>
    <mergeCell ref="X654:Y654"/>
    <mergeCell ref="X655:Y655"/>
    <mergeCell ref="X656:Y656"/>
    <mergeCell ref="X645:Y645"/>
    <mergeCell ref="X634:Y634"/>
    <mergeCell ref="X635:Y635"/>
    <mergeCell ref="X636:Y636"/>
    <mergeCell ref="X637:Y637"/>
    <mergeCell ref="X638:Y638"/>
    <mergeCell ref="X639:Y639"/>
    <mergeCell ref="X640:Y640"/>
    <mergeCell ref="X641:Y641"/>
    <mergeCell ref="X642:Y642"/>
    <mergeCell ref="X643:Y643"/>
    <mergeCell ref="X644:Y644"/>
    <mergeCell ref="X633:Y633"/>
    <mergeCell ref="X622:Y622"/>
    <mergeCell ref="X623:Y623"/>
    <mergeCell ref="X624:Y624"/>
    <mergeCell ref="X625:Y625"/>
    <mergeCell ref="X626:Y626"/>
    <mergeCell ref="X627:Y627"/>
    <mergeCell ref="X628:Y628"/>
    <mergeCell ref="X629:Y629"/>
    <mergeCell ref="X630:Y630"/>
    <mergeCell ref="X631:Y631"/>
    <mergeCell ref="X632:Y632"/>
    <mergeCell ref="X621:Y621"/>
    <mergeCell ref="X610:Y610"/>
    <mergeCell ref="X611:Y611"/>
    <mergeCell ref="X612:Y612"/>
    <mergeCell ref="X613:Y613"/>
    <mergeCell ref="X614:Y614"/>
    <mergeCell ref="X615:Y615"/>
    <mergeCell ref="X616:Y616"/>
    <mergeCell ref="X617:Y617"/>
    <mergeCell ref="X618:Y618"/>
    <mergeCell ref="X619:Y619"/>
    <mergeCell ref="X620:Y620"/>
    <mergeCell ref="X609:Y609"/>
    <mergeCell ref="C601:L601"/>
    <mergeCell ref="M601:V601"/>
    <mergeCell ref="AA601:AJ601"/>
    <mergeCell ref="AK601:AT601"/>
    <mergeCell ref="X604:Y604"/>
    <mergeCell ref="X605:Y605"/>
    <mergeCell ref="X606:Y606"/>
    <mergeCell ref="X607:Y607"/>
    <mergeCell ref="X608:Y608"/>
    <mergeCell ref="B602:B603"/>
    <mergeCell ref="X602:Y602"/>
    <mergeCell ref="X603:Y603"/>
    <mergeCell ref="AA131:AD131"/>
    <mergeCell ref="AE131:AH131"/>
    <mergeCell ref="AI131:AL131"/>
    <mergeCell ref="AM131:AP131"/>
    <mergeCell ref="AQ131:AT131"/>
    <mergeCell ref="C132:D132"/>
    <mergeCell ref="G132:H132"/>
    <mergeCell ref="O132:P132"/>
    <mergeCell ref="C131:F131"/>
    <mergeCell ref="G131:J131"/>
    <mergeCell ref="K131:N131"/>
    <mergeCell ref="O131:R131"/>
    <mergeCell ref="S131:V131"/>
    <mergeCell ref="W131:Z131"/>
  </mergeCells>
  <conditionalFormatting sqref="C188:C211 W656:W659 C604:V657 W604:AC604 X656:Z657 W605:Z655 AA605:AC657 AE604:AT657 C665:E671 G665:O671 Q665:AT671">
    <cfRule type="containsErrors" dxfId="11" priority="12">
      <formula>ISERROR(C188)</formula>
    </cfRule>
  </conditionalFormatting>
  <conditionalFormatting sqref="C242:C265">
    <cfRule type="containsErrors" dxfId="10" priority="11">
      <formula>ISERROR(C242)</formula>
    </cfRule>
  </conditionalFormatting>
  <conditionalFormatting sqref="C269:C292">
    <cfRule type="containsErrors" dxfId="9" priority="10">
      <formula>ISERROR(C269)</formula>
    </cfRule>
  </conditionalFormatting>
  <conditionalFormatting sqref="C296:C319">
    <cfRule type="containsErrors" dxfId="8" priority="9">
      <formula>ISERROR(C296)</formula>
    </cfRule>
  </conditionalFormatting>
  <conditionalFormatting sqref="C323:C346">
    <cfRule type="containsErrors" dxfId="7" priority="8">
      <formula>ISERROR(C323)</formula>
    </cfRule>
  </conditionalFormatting>
  <conditionalFormatting sqref="C350:C373">
    <cfRule type="containsErrors" dxfId="6" priority="7">
      <formula>ISERROR(C350)</formula>
    </cfRule>
  </conditionalFormatting>
  <conditionalFormatting sqref="C377:C400">
    <cfRule type="containsErrors" dxfId="5" priority="6">
      <formula>ISERROR(C377)</formula>
    </cfRule>
  </conditionalFormatting>
  <conditionalFormatting sqref="C404:C427">
    <cfRule type="containsErrors" dxfId="4" priority="5">
      <formula>ISERROR(C404)</formula>
    </cfRule>
  </conditionalFormatting>
  <conditionalFormatting sqref="AD604:AD657">
    <cfRule type="containsErrors" dxfId="3" priority="4">
      <formula>ISERROR(AD604)</formula>
    </cfRule>
  </conditionalFormatting>
  <conditionalFormatting sqref="F665:F671">
    <cfRule type="containsErrors" dxfId="2" priority="3">
      <formula>ISERROR(F665)</formula>
    </cfRule>
  </conditionalFormatting>
  <conditionalFormatting sqref="P665:P671">
    <cfRule type="containsErrors" dxfId="1" priority="2">
      <formula>ISERROR(P665)</formula>
    </cfRule>
  </conditionalFormatting>
  <conditionalFormatting sqref="D10458:D10465">
    <cfRule type="expression" dxfId="0" priority="1">
      <formula>ISERROR($D$10502)</formula>
    </cfRule>
  </conditionalFormatting>
  <dataValidations count="10">
    <dataValidation type="list" allowBlank="1" showInputMessage="1" showErrorMessage="1" sqref="C175" xr:uid="{85CFB640-F6ED-4482-A0F7-6FD3EE3476E2}">
      <formula1>Passenger_Car</formula1>
    </dataValidation>
    <dataValidation type="list" allowBlank="1" showInputMessage="1" showErrorMessage="1" sqref="C176" xr:uid="{1FF41F42-1120-442F-BC5A-D21F62ACA3A8}">
      <formula1>Passenger_Truck</formula1>
    </dataValidation>
    <dataValidation type="list" allowBlank="1" showInputMessage="1" showErrorMessage="1" sqref="C177" xr:uid="{140F386E-BBA1-494B-9892-A23F27598A69}">
      <formula1>Light_Commercial_Truck</formula1>
    </dataValidation>
    <dataValidation type="list" allowBlank="1" showInputMessage="1" showErrorMessage="1" sqref="C178" xr:uid="{1A9F8889-7164-4655-8227-0A8F84F04228}">
      <formula1>School_Bus</formula1>
    </dataValidation>
    <dataValidation type="list" allowBlank="1" showInputMessage="1" showErrorMessage="1" sqref="C179" xr:uid="{9897BE0D-6E3F-4461-A30E-036BBC13FB4F}">
      <formula1>Transit_Bus</formula1>
    </dataValidation>
    <dataValidation type="list" allowBlank="1" showInputMessage="1" showErrorMessage="1" sqref="C180" xr:uid="{91324DEC-6B11-416A-8103-19C4AACD89B0}">
      <formula1>Refuse_Truck</formula1>
    </dataValidation>
    <dataValidation type="list" allowBlank="1" showInputMessage="1" showErrorMessage="1" sqref="C181" xr:uid="{1595AF89-C9C2-43A4-9689-6E4B991E5BBC}">
      <formula1>Single_Unit_Short_Haul_Truck</formula1>
    </dataValidation>
    <dataValidation type="list" allowBlank="1" showInputMessage="1" showErrorMessage="1" sqref="C183" xr:uid="{2C830DC8-D3CD-42B8-8868-E59144B1B5F0}">
      <formula1>Combination_Unit_Short_Haul_Truck</formula1>
    </dataValidation>
    <dataValidation type="list" allowBlank="1" showInputMessage="1" showErrorMessage="1" sqref="C184" xr:uid="{F49BEED8-DD30-4209-94B1-EF2831D5D2C2}">
      <formula1>Combination_Unit_Long_Haul_Truck</formula1>
    </dataValidation>
    <dataValidation type="list" allowBlank="1" showInputMessage="1" showErrorMessage="1" sqref="C182" xr:uid="{087B111F-1BFB-47F9-9255-30BE3CF178E0}">
      <formula1>Single_Unit_Long_Haul_Truck</formula1>
    </dataValidation>
  </dataValidations>
  <hyperlinks>
    <hyperlink ref="B10400" r:id="rId1" xr:uid="{DF10C1E3-C5FA-43D8-B870-54779F36BAB5}"/>
    <hyperlink ref="C10425" r:id="rId2" xr:uid="{FA25D06A-D2FE-4219-BF7B-A85A51CF242B}"/>
    <hyperlink ref="C1069" r:id="rId3" display="http://www.aga.org/our-issues/natural-gas-vehicles/Pages/default.aspx" xr:uid="{8D35AB61-5E5F-4C5F-819A-3EC82C34083E}"/>
    <hyperlink ref="C854" r:id="rId4" xr:uid="{7DA9E0C1-EBE4-4860-8E1C-977A75E6FFFE}"/>
    <hyperlink ref="C803" r:id="rId5" xr:uid="{73CFD55F-E8F2-44B9-A11D-9C26E61B142F}"/>
    <hyperlink ref="C806" r:id="rId6" xr:uid="{3D76FAC4-8B1E-4C5B-AF11-1A6B08F20405}"/>
    <hyperlink ref="C852" r:id="rId7" xr:uid="{4E278D86-94AB-42D6-B1DE-622D013979B4}"/>
    <hyperlink ref="C807" r:id="rId8" xr:uid="{7FE42F2B-0E5D-4325-867A-F4F781E7549A}"/>
    <hyperlink ref="C860" r:id="rId9" display="http://www.cyberdriveillinois.com/departments/vehicles/basicfees.html" xr:uid="{113284B2-14A5-42FA-93BE-7B447927B53E}"/>
    <hyperlink ref="C853" r:id="rId10" xr:uid="{E36AD3AF-0CA6-45E0-9004-F064A02A4837}"/>
    <hyperlink ref="C580" r:id="rId11" xr:uid="{50C6F3A6-2B7F-433B-A2D6-77CDD2BE4A98}"/>
    <hyperlink ref="C730" r:id="rId12" xr:uid="{58D8F98E-534B-4B3B-BD6E-64D9FDCB3FB5}"/>
    <hyperlink ref="C563" r:id="rId13" xr:uid="{C72076DC-D7A3-4FAE-B9BB-57061577903A}"/>
    <hyperlink ref="C659" r:id="rId14" xr:uid="{EB0F880F-4140-41AF-B413-8D933F42B051}"/>
    <hyperlink ref="C567" location="state_name" display="state_name" xr:uid="{93C822EF-7D2B-44A9-BD81-D12367DCE111}"/>
    <hyperlink ref="C550" location="state_name" display="state_name" xr:uid="{B2B3CB3A-56DD-49E6-AD1A-7815FBAA5AB7}"/>
    <hyperlink ref="C10504" r:id="rId15" xr:uid="{9E73B443-B556-499F-9E3A-F25DB9137FF8}"/>
    <hyperlink ref="C584" location="state_name" display="state_name" xr:uid="{54064D0D-15EB-4650-967D-F40E542E446B}"/>
    <hyperlink ref="C810" r:id="rId16" xr:uid="{9B9E19A2-0F40-4351-8851-8F9085F4137D}"/>
    <hyperlink ref="G10564" location="Consumer_Price_Index" display="Consumer_Price_Index" xr:uid="{434323CC-A815-462B-8998-087010F67CEE}"/>
    <hyperlink ref="C10564" r:id="rId17" xr:uid="{807C75EB-433F-4DA0-A55D-12D895142098}"/>
    <hyperlink ref="E10502" r:id="rId18" display="www.pnas.org/content/108/40/16554" xr:uid="{E3935B88-3FF1-4F6C-959E-697843FCB0BE}"/>
    <hyperlink ref="E10501" r:id="rId19" display="http://www3.nd.edu/~kshrader/interest/us-epa-2011-summary-report-costs-benefits%20of%20clean%20air%20act%20amendments.pdf" xr:uid="{54012F89-4E2F-41A2-BD80-CE54007AD3EB}"/>
    <hyperlink ref="C10545" r:id="rId20" xr:uid="{AD30C926-9ADD-443C-82E5-876839A9F4F3}"/>
  </hyperlinks>
  <pageMargins left="0.7" right="0.7" top="0.75" bottom="0.75" header="0.3" footer="0.3"/>
  <pageSetup orientation="portrait" r:id="rId21"/>
  <drawing r:id="rId22"/>
  <legacyDrawing r:id="rId2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H21"/>
  <sheetViews>
    <sheetView workbookViewId="0">
      <selection activeCell="H7" sqref="H7"/>
    </sheetView>
  </sheetViews>
  <sheetFormatPr baseColWidth="10" defaultColWidth="8.83203125" defaultRowHeight="15"/>
  <cols>
    <col min="2" max="2" width="15.6640625" customWidth="1"/>
    <col min="3" max="3" width="15.83203125" customWidth="1"/>
    <col min="4" max="4" width="38.33203125" customWidth="1"/>
    <col min="5" max="5" width="19.6640625" customWidth="1"/>
    <col min="6" max="6" width="14.5" customWidth="1"/>
    <col min="7" max="7" width="26" customWidth="1"/>
  </cols>
  <sheetData>
    <row r="2" spans="2:8">
      <c r="B2" s="41" t="s">
        <v>73</v>
      </c>
    </row>
    <row r="4" spans="2:8">
      <c r="B4" s="50" t="s">
        <v>86</v>
      </c>
      <c r="C4" s="50" t="s">
        <v>74</v>
      </c>
      <c r="D4" s="50" t="s">
        <v>75</v>
      </c>
      <c r="E4" s="50" t="s">
        <v>62</v>
      </c>
      <c r="F4" s="50" t="s">
        <v>87</v>
      </c>
      <c r="H4" s="41" t="s">
        <v>78</v>
      </c>
    </row>
    <row r="5" spans="2:8">
      <c r="B5" s="50">
        <v>1</v>
      </c>
      <c r="C5" s="50" t="s">
        <v>76</v>
      </c>
      <c r="D5" s="50" t="s">
        <v>90</v>
      </c>
      <c r="E5" s="51">
        <f>Transportation!R40</f>
        <v>3414213.0761000733</v>
      </c>
      <c r="F5" s="50" t="s">
        <v>4</v>
      </c>
      <c r="G5" s="52" t="s">
        <v>88</v>
      </c>
      <c r="H5" s="2">
        <f>VMT_Redux</f>
        <v>0.2</v>
      </c>
    </row>
    <row r="6" spans="2:8">
      <c r="B6" s="50">
        <v>2</v>
      </c>
      <c r="C6" s="50" t="s">
        <v>7</v>
      </c>
      <c r="D6" s="50" t="s">
        <v>91</v>
      </c>
      <c r="E6" s="51">
        <f>Transportation!R44</f>
        <v>76260.697190138686</v>
      </c>
      <c r="F6" s="50" t="s">
        <v>4</v>
      </c>
      <c r="G6" s="52" t="s">
        <v>89</v>
      </c>
      <c r="H6" s="2">
        <f>Electric_percent</f>
        <v>0.1</v>
      </c>
    </row>
    <row r="7" spans="2:8">
      <c r="B7" s="50">
        <v>3</v>
      </c>
      <c r="C7" s="50" t="s">
        <v>77</v>
      </c>
      <c r="D7" s="50" t="s">
        <v>84</v>
      </c>
      <c r="E7" s="51">
        <f>Transportation!R41</f>
        <v>1410453.1198469836</v>
      </c>
      <c r="F7" s="50" t="s">
        <v>4</v>
      </c>
      <c r="G7" s="52" t="s">
        <v>92</v>
      </c>
      <c r="H7" s="2">
        <f>FE_Improvement</f>
        <v>0.3</v>
      </c>
    </row>
    <row r="8" spans="2:8">
      <c r="B8" s="50">
        <v>4</v>
      </c>
      <c r="C8" s="50" t="s">
        <v>79</v>
      </c>
      <c r="D8" s="50" t="s">
        <v>83</v>
      </c>
      <c r="E8" s="51">
        <f>Transportation!R43</f>
        <v>0</v>
      </c>
      <c r="F8" s="50" t="s">
        <v>80</v>
      </c>
      <c r="G8" s="52" t="s">
        <v>93</v>
      </c>
      <c r="H8">
        <f>Synchronized_signals</f>
        <v>0</v>
      </c>
    </row>
    <row r="9" spans="2:8">
      <c r="B9" s="50">
        <v>5</v>
      </c>
      <c r="C9" s="50" t="s">
        <v>82</v>
      </c>
      <c r="D9" s="50" t="s">
        <v>85</v>
      </c>
      <c r="E9" s="51">
        <f>Transportation!R42</f>
        <v>2467897.2575670937</v>
      </c>
      <c r="F9" s="50" t="s">
        <v>5</v>
      </c>
      <c r="G9" s="53" t="s">
        <v>88</v>
      </c>
      <c r="H9">
        <f>Idle_hours_reduced</f>
        <v>1</v>
      </c>
    </row>
    <row r="10" spans="2:8">
      <c r="B10" s="50">
        <v>6</v>
      </c>
      <c r="C10" s="50" t="s">
        <v>6</v>
      </c>
      <c r="D10" s="50" t="s">
        <v>81</v>
      </c>
      <c r="E10" s="51">
        <f>Transportation!R45</f>
        <v>1104903.6620054103</v>
      </c>
      <c r="F10" s="50" t="s">
        <v>5</v>
      </c>
      <c r="G10" s="53" t="s">
        <v>94</v>
      </c>
      <c r="H10" s="2">
        <f>Perc_Biodiesel</f>
        <v>0.1</v>
      </c>
    </row>
    <row r="16" spans="2:8">
      <c r="C16" s="26" t="s">
        <v>23</v>
      </c>
    </row>
    <row r="17" spans="3:3">
      <c r="C17" s="26" t="s">
        <v>36</v>
      </c>
    </row>
    <row r="18" spans="3:3">
      <c r="C18" s="27" t="s">
        <v>11</v>
      </c>
    </row>
    <row r="19" spans="3:3">
      <c r="C19" s="27" t="s">
        <v>22</v>
      </c>
    </row>
    <row r="20" spans="3:3">
      <c r="C20" s="26" t="s">
        <v>21</v>
      </c>
    </row>
    <row r="21" spans="3:3">
      <c r="C21" s="2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5043D-88C9-495E-AAE7-B1C4EDE81739}">
  <dimension ref="A1:N23"/>
  <sheetViews>
    <sheetView workbookViewId="0">
      <selection activeCell="B25" sqref="B25"/>
    </sheetView>
  </sheetViews>
  <sheetFormatPr baseColWidth="10" defaultColWidth="8.83203125" defaultRowHeight="15"/>
  <cols>
    <col min="2" max="2" width="19.83203125" customWidth="1"/>
    <col min="3" max="3" width="14.5" customWidth="1"/>
    <col min="4" max="4" width="14" customWidth="1"/>
    <col min="5" max="5" width="17" customWidth="1"/>
    <col min="6" max="6" width="11.1640625" customWidth="1"/>
    <col min="7" max="7" width="15.33203125" customWidth="1"/>
    <col min="8" max="8" width="16.83203125" customWidth="1"/>
    <col min="9" max="9" width="15.6640625" customWidth="1"/>
  </cols>
  <sheetData>
    <row r="1" spans="1:14" s="41" customFormat="1"/>
    <row r="2" spans="1:14" s="41" customFormat="1">
      <c r="B2" s="1563" t="s">
        <v>3915</v>
      </c>
      <c r="C2" s="1563"/>
      <c r="D2" s="1563"/>
      <c r="E2" s="1563"/>
      <c r="F2" s="1563"/>
      <c r="G2" s="1563"/>
      <c r="H2" s="1563"/>
      <c r="I2" s="1563"/>
      <c r="J2" s="1563"/>
      <c r="K2" s="1563"/>
      <c r="L2" s="1563"/>
    </row>
    <row r="3" spans="1:14" s="41" customFormat="1">
      <c r="B3" s="1327" t="s">
        <v>3672</v>
      </c>
      <c r="C3"/>
      <c r="D3" s="1327"/>
      <c r="E3" s="1327"/>
      <c r="F3" s="1327"/>
      <c r="G3" s="1415">
        <v>5.5</v>
      </c>
    </row>
    <row r="4" spans="1:14" s="41" customFormat="1">
      <c r="B4" s="1327" t="s">
        <v>3673</v>
      </c>
      <c r="C4"/>
      <c r="D4" s="1327"/>
      <c r="E4" s="1327"/>
      <c r="F4" s="1327"/>
      <c r="G4" s="1415">
        <v>18179</v>
      </c>
    </row>
    <row r="6" spans="1:14">
      <c r="A6" s="41"/>
      <c r="B6" s="1563" t="s">
        <v>3685</v>
      </c>
      <c r="C6" s="1563"/>
      <c r="D6" s="1563"/>
      <c r="E6" s="1563"/>
      <c r="F6" s="1563"/>
      <c r="G6" s="1563"/>
      <c r="H6" s="1563"/>
      <c r="I6" s="1563"/>
      <c r="J6" s="1324"/>
      <c r="K6" s="1324"/>
      <c r="L6" s="1324"/>
      <c r="M6" s="41"/>
      <c r="N6" s="41"/>
    </row>
    <row r="7" spans="1:14">
      <c r="B7" s="1343" t="s">
        <v>3676</v>
      </c>
      <c r="C7" s="1343" t="s">
        <v>3677</v>
      </c>
      <c r="D7" s="1343" t="s">
        <v>3678</v>
      </c>
      <c r="E7" s="1343" t="s">
        <v>3679</v>
      </c>
      <c r="F7" s="1343" t="s">
        <v>3680</v>
      </c>
      <c r="G7" s="1343" t="s">
        <v>3681</v>
      </c>
      <c r="H7" s="1343" t="s">
        <v>3682</v>
      </c>
      <c r="I7" s="1343" t="s">
        <v>3683</v>
      </c>
    </row>
    <row r="8" spans="1:14">
      <c r="B8" s="1338">
        <f>9661/11034</f>
        <v>0.87556643103135767</v>
      </c>
      <c r="C8" s="1338">
        <f>4983/11034</f>
        <v>0.45160413268080479</v>
      </c>
      <c r="D8" s="1338">
        <f>(750+2081+1589)/11034</f>
        <v>0.4005800253761102</v>
      </c>
      <c r="E8" s="1338">
        <v>0.80700000000000005</v>
      </c>
      <c r="F8" s="1338">
        <f>9517/11034</f>
        <v>0.86251586006887804</v>
      </c>
      <c r="G8" s="1338">
        <v>0.45800000000000002</v>
      </c>
      <c r="H8" s="1338">
        <v>0.15</v>
      </c>
      <c r="I8" s="1338">
        <f>6428/11034</f>
        <v>0.58256298713068699</v>
      </c>
    </row>
    <row r="10" spans="1:14" s="1453" customFormat="1">
      <c r="B10" s="1566" t="s">
        <v>3821</v>
      </c>
      <c r="C10" s="1566"/>
      <c r="D10" s="1566"/>
      <c r="E10" s="1566"/>
      <c r="F10" s="1566"/>
      <c r="G10" s="1566"/>
      <c r="H10" s="1566"/>
      <c r="I10" s="1566"/>
      <c r="J10" s="1566"/>
      <c r="K10" s="1566"/>
      <c r="L10" s="1566"/>
    </row>
    <row r="11" spans="1:14" s="1453" customFormat="1">
      <c r="B11" s="1343" t="s">
        <v>3676</v>
      </c>
      <c r="C11" s="1343" t="s">
        <v>3677</v>
      </c>
      <c r="D11" s="1343" t="s">
        <v>3678</v>
      </c>
      <c r="E11" s="1344" t="s">
        <v>3679</v>
      </c>
      <c r="F11" s="1344" t="s">
        <v>3680</v>
      </c>
      <c r="G11" s="1344" t="s">
        <v>3689</v>
      </c>
      <c r="H11" s="1343" t="s">
        <v>3682</v>
      </c>
      <c r="I11" s="1343" t="s">
        <v>3683</v>
      </c>
      <c r="J11" s="1343" t="s">
        <v>3690</v>
      </c>
      <c r="K11" s="1343" t="s">
        <v>3691</v>
      </c>
      <c r="L11" s="1343" t="s">
        <v>343</v>
      </c>
    </row>
    <row r="12" spans="1:14" s="1453" customFormat="1">
      <c r="B12" s="1368">
        <v>0.85</v>
      </c>
      <c r="C12" s="1368">
        <v>0.95</v>
      </c>
      <c r="D12" s="1368">
        <v>0.5</v>
      </c>
      <c r="E12" s="1393">
        <v>0.5</v>
      </c>
      <c r="F12" s="1393">
        <v>0.25</v>
      </c>
      <c r="G12" s="1368">
        <v>0.6</v>
      </c>
      <c r="H12" s="1368">
        <v>0.95</v>
      </c>
      <c r="I12" s="1393">
        <v>0.25</v>
      </c>
      <c r="J12" s="1393">
        <v>0.5</v>
      </c>
      <c r="K12" s="1393">
        <v>0.2</v>
      </c>
      <c r="L12" s="1393">
        <v>0</v>
      </c>
    </row>
    <row r="13" spans="1:14" s="1453" customFormat="1">
      <c r="B13" s="1342"/>
      <c r="C13" s="1342"/>
      <c r="D13" s="1342"/>
      <c r="E13" s="1342"/>
      <c r="F13" s="1342"/>
      <c r="G13" s="1342"/>
      <c r="H13" s="1342"/>
      <c r="I13" s="1342"/>
      <c r="J13" s="1342"/>
      <c r="K13" s="1342"/>
      <c r="L13" s="1342"/>
    </row>
    <row r="15" spans="1:14">
      <c r="B15" s="1327" t="s">
        <v>3692</v>
      </c>
      <c r="F15" s="1345">
        <v>1.0999999999999999E-2</v>
      </c>
    </row>
    <row r="16" spans="1:14">
      <c r="B16" s="1327" t="s">
        <v>3693</v>
      </c>
      <c r="F16" s="1347">
        <v>2.7E-2</v>
      </c>
    </row>
    <row r="19" spans="2:4">
      <c r="B19" s="1327" t="s">
        <v>3716</v>
      </c>
      <c r="C19" s="1327"/>
      <c r="D19" s="1356">
        <v>3218</v>
      </c>
    </row>
    <row r="20" spans="2:4">
      <c r="B20" s="1327" t="s">
        <v>3717</v>
      </c>
      <c r="C20" s="1327"/>
      <c r="D20" s="1356">
        <f>Electricity!E105/Electricity!E107</f>
        <v>576.21951219512198</v>
      </c>
    </row>
    <row r="21" spans="2:4">
      <c r="B21" s="1327" t="s">
        <v>3718</v>
      </c>
      <c r="C21" s="1327"/>
      <c r="D21" s="1356">
        <f>D19-D20</f>
        <v>2641.7804878048782</v>
      </c>
    </row>
    <row r="23" spans="2:4">
      <c r="B23" s="1327" t="s">
        <v>3754</v>
      </c>
      <c r="D23" s="1331">
        <f>Diesel_GHG_Emissions</f>
        <v>3.2903071652694926</v>
      </c>
    </row>
  </sheetData>
  <mergeCells count="3">
    <mergeCell ref="B2:L2"/>
    <mergeCell ref="B6:I6"/>
    <mergeCell ref="B10:L10"/>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BC97-8D52-4771-89A9-DBDB9A70C81C}">
  <dimension ref="B4:T84"/>
  <sheetViews>
    <sheetView topLeftCell="A16" zoomScale="68" zoomScaleNormal="68" workbookViewId="0">
      <selection activeCell="J15" sqref="J15"/>
    </sheetView>
  </sheetViews>
  <sheetFormatPr baseColWidth="10" defaultColWidth="8.83203125" defaultRowHeight="15"/>
  <cols>
    <col min="2" max="2" width="10.83203125" customWidth="1"/>
    <col min="3" max="3" width="26.1640625" customWidth="1"/>
    <col min="4" max="4" width="21.33203125" customWidth="1"/>
    <col min="5" max="5" width="21.6640625" customWidth="1"/>
    <col min="6" max="6" width="24" customWidth="1"/>
    <col min="7" max="7" width="25.5" customWidth="1"/>
    <col min="8" max="8" width="23.1640625" customWidth="1"/>
    <col min="9" max="9" width="24" customWidth="1"/>
    <col min="10" max="10" width="22.33203125" customWidth="1"/>
    <col min="11" max="11" width="24.5" customWidth="1"/>
    <col min="12" max="12" width="23.33203125" customWidth="1"/>
    <col min="13" max="13" width="22.1640625" customWidth="1"/>
    <col min="14" max="14" width="25.5" customWidth="1"/>
    <col min="15" max="15" width="21.6640625" customWidth="1"/>
    <col min="16" max="16" width="29.83203125" customWidth="1"/>
    <col min="17" max="17" width="20.5" customWidth="1"/>
    <col min="18" max="18" width="18.33203125" customWidth="1"/>
    <col min="19" max="19" width="24.1640625" customWidth="1"/>
    <col min="20" max="20" width="26.6640625" style="41" customWidth="1"/>
    <col min="21" max="21" width="10.6640625" customWidth="1"/>
  </cols>
  <sheetData>
    <row r="4" spans="2:20">
      <c r="B4" s="43" t="s">
        <v>3</v>
      </c>
      <c r="C4" s="1377" t="s">
        <v>3665</v>
      </c>
      <c r="D4" s="1377" t="s">
        <v>103</v>
      </c>
      <c r="E4" s="1377" t="s">
        <v>22</v>
      </c>
      <c r="F4" s="1377" t="s">
        <v>53</v>
      </c>
      <c r="G4" s="1377" t="s">
        <v>7</v>
      </c>
      <c r="H4" s="1377" t="s">
        <v>6</v>
      </c>
      <c r="I4" s="1378" t="s">
        <v>14</v>
      </c>
      <c r="J4" s="1378" t="s">
        <v>13</v>
      </c>
      <c r="K4" s="1379" t="s">
        <v>3759</v>
      </c>
      <c r="L4" s="1379" t="s">
        <v>3776</v>
      </c>
      <c r="M4" s="1379" t="s">
        <v>3777</v>
      </c>
      <c r="N4" s="1379" t="s">
        <v>3778</v>
      </c>
      <c r="O4" s="1379" t="s">
        <v>3779</v>
      </c>
      <c r="P4" s="1379" t="s">
        <v>3780</v>
      </c>
      <c r="Q4" s="1379" t="s">
        <v>3781</v>
      </c>
      <c r="R4" s="1379" t="s">
        <v>3782</v>
      </c>
      <c r="S4" s="1380" t="s">
        <v>3751</v>
      </c>
      <c r="T4" s="1378" t="s">
        <v>1349</v>
      </c>
    </row>
    <row r="5" spans="2:20">
      <c r="B5" s="41">
        <v>2017</v>
      </c>
      <c r="C5" s="1374">
        <f>Transportation!D88</f>
        <v>0</v>
      </c>
      <c r="D5" s="1374">
        <f>Transportation!E88</f>
        <v>0</v>
      </c>
      <c r="E5" s="1374">
        <f>Transportation!F88</f>
        <v>0</v>
      </c>
      <c r="F5" s="1374">
        <f>Transportation!G88</f>
        <v>0</v>
      </c>
      <c r="G5" s="1374">
        <f>Transportation!H88</f>
        <v>0</v>
      </c>
      <c r="H5" s="1374">
        <f>Transportation!I88</f>
        <v>0</v>
      </c>
      <c r="I5" s="1375">
        <f>Transportation!J88</f>
        <v>37992917.421876401</v>
      </c>
      <c r="J5" s="1375">
        <f>Transportation!K88</f>
        <v>43918202.819031596</v>
      </c>
      <c r="K5" s="1376">
        <f>Electricity!F441</f>
        <v>0</v>
      </c>
      <c r="L5" s="1376">
        <f>Electricity!G441</f>
        <v>0</v>
      </c>
      <c r="M5" s="1376">
        <f>Electricity!H441</f>
        <v>0</v>
      </c>
      <c r="N5" s="1376">
        <f>Electricity!I441</f>
        <v>0</v>
      </c>
      <c r="O5" s="1376">
        <f>Electricity!J441</f>
        <v>0</v>
      </c>
      <c r="P5" s="1376">
        <f>Electricity!K441</f>
        <v>0</v>
      </c>
      <c r="Q5" s="1376">
        <f>Electricity!L441</f>
        <v>0</v>
      </c>
      <c r="R5" s="1376">
        <f>Electricity!M441</f>
        <v>0</v>
      </c>
      <c r="S5" s="1381">
        <f>Electricity!E441</f>
        <v>3823891.9176131957</v>
      </c>
      <c r="T5" s="1375">
        <f>Electricity!D441</f>
        <v>48915463.263638012</v>
      </c>
    </row>
    <row r="6" spans="2:20">
      <c r="B6" s="41">
        <v>2018</v>
      </c>
      <c r="C6" s="1374">
        <f>Transportation!D89</f>
        <v>0</v>
      </c>
      <c r="D6" s="1374">
        <f>Transportation!E89</f>
        <v>0</v>
      </c>
      <c r="E6" s="1374">
        <f>Transportation!F89</f>
        <v>0</v>
      </c>
      <c r="F6" s="1374">
        <f>Transportation!G89</f>
        <v>0</v>
      </c>
      <c r="G6" s="1374">
        <f>Transportation!H89</f>
        <v>0</v>
      </c>
      <c r="H6" s="1374">
        <f>Transportation!I89</f>
        <v>0</v>
      </c>
      <c r="I6" s="1375">
        <f>Transportation!J89</f>
        <v>39087113.443626441</v>
      </c>
      <c r="J6" s="1375">
        <f>Transportation!K89</f>
        <v>45183047.060219705</v>
      </c>
      <c r="K6" s="1376">
        <f>Electricity!F442</f>
        <v>748918.75684807566</v>
      </c>
      <c r="L6" s="1376">
        <f>Electricity!G442</f>
        <v>113946.56621852936</v>
      </c>
      <c r="M6" s="1376">
        <f>Electricity!H442</f>
        <v>315405.14956553391</v>
      </c>
      <c r="N6" s="1376">
        <f>Electricity!I442</f>
        <v>79689.907800227869</v>
      </c>
      <c r="O6" s="1376">
        <f>Electricity!J442</f>
        <v>1008652.4174384575</v>
      </c>
      <c r="P6" s="1376">
        <f>Electricity!K442</f>
        <v>87756.618205316743</v>
      </c>
      <c r="Q6" s="1376">
        <f>Electricity!L442</f>
        <v>90267.534225538941</v>
      </c>
      <c r="R6" s="1376">
        <f>Electricity!M442</f>
        <v>165973.74237833536</v>
      </c>
      <c r="S6" s="1381">
        <f>Electricity!E442</f>
        <v>11285445.296057476</v>
      </c>
      <c r="T6" s="1375">
        <f>Electricity!D442</f>
        <v>41204107.089680173</v>
      </c>
    </row>
    <row r="7" spans="2:20">
      <c r="B7" s="41">
        <v>2019</v>
      </c>
      <c r="C7" s="1374">
        <f>Transportation!D90</f>
        <v>771639.69233819691</v>
      </c>
      <c r="D7" s="1374">
        <f>Transportation!E90</f>
        <v>0</v>
      </c>
      <c r="E7" s="1374">
        <f>Transportation!F90</f>
        <v>628904.81298521976</v>
      </c>
      <c r="F7" s="1374">
        <f>Transportation!G90</f>
        <v>0</v>
      </c>
      <c r="G7" s="1374">
        <f>Transportation!H90</f>
        <v>15682.650030496297</v>
      </c>
      <c r="H7" s="1374">
        <f>Transportation!I90</f>
        <v>328546.51523188665</v>
      </c>
      <c r="I7" s="1375">
        <f>Transportation!J90</f>
        <v>39255370.98258578</v>
      </c>
      <c r="J7" s="1375">
        <f>Transportation!K90</f>
        <v>45696996.473185338</v>
      </c>
      <c r="K7" s="1376">
        <f>Electricity!F443</f>
        <v>1522422.9206316317</v>
      </c>
      <c r="L7" s="1376">
        <f>Electricity!G443</f>
        <v>292173.43774233002</v>
      </c>
      <c r="M7" s="1376">
        <f>Electricity!H443</f>
        <v>649137.2786885656</v>
      </c>
      <c r="N7" s="1376">
        <f>Electricity!I443</f>
        <v>143175.29177849393</v>
      </c>
      <c r="O7" s="1376">
        <f>Electricity!J443</f>
        <v>2046907.4310399657</v>
      </c>
      <c r="P7" s="1376">
        <f>Electricity!K443</f>
        <v>167944.95586502441</v>
      </c>
      <c r="Q7" s="1376">
        <f>Electricity!L443</f>
        <v>184366.70417066762</v>
      </c>
      <c r="R7" s="1376">
        <f>Electricity!M443</f>
        <v>328140.49975858326</v>
      </c>
      <c r="S7" s="1381">
        <f>Electricity!E443</f>
        <v>18133650.410641842</v>
      </c>
      <c r="T7" s="1375">
        <f>Electricity!D443</f>
        <v>32589588.37732454</v>
      </c>
    </row>
    <row r="8" spans="2:20">
      <c r="B8" s="41">
        <v>2020</v>
      </c>
      <c r="C8" s="1374">
        <f>Transportation!D91</f>
        <v>1587725.8309550744</v>
      </c>
      <c r="D8" s="1374">
        <f>Transportation!E91</f>
        <v>95774.88265275021</v>
      </c>
      <c r="E8" s="1374">
        <f>Transportation!F91</f>
        <v>1294034.5431983878</v>
      </c>
      <c r="F8" s="1374">
        <f>Transportation!G91</f>
        <v>0</v>
      </c>
      <c r="G8" s="1374">
        <f>Transportation!H91</f>
        <v>37556.216876107166</v>
      </c>
      <c r="H8" s="1374">
        <f>Transportation!I91</f>
        <v>665276.82303258346</v>
      </c>
      <c r="I8" s="1375">
        <f>Transportation!J91</f>
        <v>39411640.227123037</v>
      </c>
      <c r="J8" s="1375">
        <f>Transportation!K91</f>
        <v>46102010.266958058</v>
      </c>
      <c r="K8" s="1376">
        <f>Electricity!F444</f>
        <v>2357216.5946736909</v>
      </c>
      <c r="L8" s="1376">
        <f>Electricity!G444</f>
        <v>530085.53149935754</v>
      </c>
      <c r="M8" s="1376">
        <f>Electricity!H444</f>
        <v>1014373.727809716</v>
      </c>
      <c r="N8" s="1376">
        <f>Electricity!I444</f>
        <v>195848.32259055594</v>
      </c>
      <c r="O8" s="1376">
        <f>Electricity!J444</f>
        <v>3161583.0550745069</v>
      </c>
      <c r="P8" s="1376">
        <f>Electricity!K444</f>
        <v>243612.10747668336</v>
      </c>
      <c r="Q8" s="1376">
        <f>Electricity!L444</f>
        <v>286607.02788773488</v>
      </c>
      <c r="R8" s="1376">
        <f>Electricity!M444</f>
        <v>489439.5817307551</v>
      </c>
      <c r="S8" s="1381">
        <f>Electricity!E444</f>
        <v>24796617.709687971</v>
      </c>
      <c r="T8" s="1375">
        <f>Electricity!D444</f>
        <v>24796617.709687971</v>
      </c>
    </row>
    <row r="9" spans="2:20">
      <c r="B9" s="41">
        <v>2021</v>
      </c>
      <c r="C9" s="1374">
        <f>Transportation!D92</f>
        <v>2450178.5023298706</v>
      </c>
      <c r="D9" s="1374">
        <f>Transportation!E92</f>
        <v>285707.94768162409</v>
      </c>
      <c r="E9" s="1374">
        <f>Transportation!F92</f>
        <v>1996954.1070637521</v>
      </c>
      <c r="F9" s="1374">
        <f>Transportation!G92</f>
        <v>0</v>
      </c>
      <c r="G9" s="1374">
        <f>Transportation!H92</f>
        <v>57637.69291017521</v>
      </c>
      <c r="H9" s="1374">
        <f>Transportation!I92</f>
        <v>1010080.4742152535</v>
      </c>
      <c r="I9" s="1375">
        <f>Transportation!J92</f>
        <v>39555400.417963602</v>
      </c>
      <c r="J9" s="1375">
        <f>Transportation!K92</f>
        <v>46406847.389806651</v>
      </c>
      <c r="K9" s="1376">
        <f>Electricity!F445</f>
        <v>3297537.7026993432</v>
      </c>
      <c r="L9" s="1376">
        <f>Electricity!G445</f>
        <v>834356.74189186608</v>
      </c>
      <c r="M9" s="1376">
        <f>Electricity!H445</f>
        <v>1424871.9285490501</v>
      </c>
      <c r="N9" s="1376">
        <f>Electricity!I445</f>
        <v>242491.5934514527</v>
      </c>
      <c r="O9" s="1376">
        <f>Electricity!J445</f>
        <v>4400433.4036633782</v>
      </c>
      <c r="P9" s="1376">
        <f>Electricity!K445</f>
        <v>316921.2032433126</v>
      </c>
      <c r="Q9" s="1376">
        <f>Electricity!L445</f>
        <v>401494.3299253516</v>
      </c>
      <c r="R9" s="1376">
        <f>Electricity!M445</f>
        <v>652586.10897434026</v>
      </c>
      <c r="S9" s="1381">
        <f>Electricity!E445</f>
        <v>25476979.457201991</v>
      </c>
      <c r="T9" s="1375">
        <f>Electricity!D445</f>
        <v>23517211.806647986</v>
      </c>
    </row>
    <row r="10" spans="2:20">
      <c r="B10" s="41">
        <v>2022</v>
      </c>
      <c r="C10" s="1374">
        <f>Transportation!D93</f>
        <v>3360991.5242626285</v>
      </c>
      <c r="D10" s="1374">
        <f>Transportation!E93</f>
        <v>568182.49480999378</v>
      </c>
      <c r="E10" s="1374">
        <f>Transportation!F93</f>
        <v>2739288.5137962508</v>
      </c>
      <c r="F10" s="1374">
        <f>Transportation!G93</f>
        <v>0</v>
      </c>
      <c r="G10" s="1374">
        <f>Transportation!H93</f>
        <v>78588.080674919576</v>
      </c>
      <c r="H10" s="1374">
        <f>Transportation!I93</f>
        <v>1362824.961165695</v>
      </c>
      <c r="I10" s="1375">
        <f>Transportation!J93</f>
        <v>39686119.652258843</v>
      </c>
      <c r="J10" s="1375">
        <f>Transportation!K93</f>
        <v>46609580.133123361</v>
      </c>
      <c r="K10" s="1376">
        <f>Electricity!F446</f>
        <v>4340278.8014097502</v>
      </c>
      <c r="L10" s="1376">
        <f>Electricity!G446</f>
        <v>1206540.1393191703</v>
      </c>
      <c r="M10" s="1376">
        <f>Electricity!H446</f>
        <v>1814133.7185650202</v>
      </c>
      <c r="N10" s="1376">
        <f>Electricity!I446</f>
        <v>283201.93544074561</v>
      </c>
      <c r="O10" s="1376">
        <f>Electricity!J446</f>
        <v>5741288.0160065452</v>
      </c>
      <c r="P10" s="1376">
        <f>Electricity!K446</f>
        <v>384365.03443381249</v>
      </c>
      <c r="Q10" s="1376">
        <f>Electricity!L446</f>
        <v>527228.47707243776</v>
      </c>
      <c r="R10" s="1376">
        <f>Electricity!M446</f>
        <v>815732.63621792535</v>
      </c>
      <c r="S10" s="1381">
        <f>Electricity!E446</f>
        <v>26073550.773957457</v>
      </c>
      <c r="T10" s="1375">
        <f>Electricity!D446</f>
        <v>22210802.511148944</v>
      </c>
    </row>
    <row r="11" spans="2:20">
      <c r="B11" s="41">
        <v>2023</v>
      </c>
      <c r="C11" s="1374">
        <f>Transportation!D94</f>
        <v>4322235.1002017409</v>
      </c>
      <c r="D11" s="1374">
        <f>Transportation!E94</f>
        <v>941581.82376123138</v>
      </c>
      <c r="E11" s="1374">
        <f>Transportation!F94</f>
        <v>3522725.0287419786</v>
      </c>
      <c r="F11" s="1374">
        <f>Transportation!G94</f>
        <v>0</v>
      </c>
      <c r="G11" s="1374">
        <f>Transportation!H94</f>
        <v>100407.38017034029</v>
      </c>
      <c r="H11" s="1374">
        <f>Transportation!I94</f>
        <v>1723354.282320525</v>
      </c>
      <c r="I11" s="1375">
        <f>Transportation!J94</f>
        <v>39803254.930222243</v>
      </c>
      <c r="J11" s="1375">
        <f>Transportation!K94</f>
        <v>46710897.385044277</v>
      </c>
      <c r="K11" s="1376">
        <f>Electricity!F447</f>
        <v>5506979.6387575511</v>
      </c>
      <c r="L11" s="1376">
        <f>Electricity!G447</f>
        <v>1650259.4383373146</v>
      </c>
      <c r="M11" s="1376">
        <f>Electricity!H447</f>
        <v>2210134.5164588494</v>
      </c>
      <c r="N11" s="1376">
        <f>Electricity!I447</f>
        <v>318056.66510881338</v>
      </c>
      <c r="O11" s="1376">
        <f>Electricity!J447</f>
        <v>7220396.8458547872</v>
      </c>
      <c r="P11" s="1376">
        <f>Electricity!K447</f>
        <v>446470.31147133338</v>
      </c>
      <c r="Q11" s="1376">
        <f>Electricity!L447</f>
        <v>667359.82779324625</v>
      </c>
      <c r="R11" s="1376">
        <f>Electricity!M447</f>
        <v>978879.16346151021</v>
      </c>
      <c r="S11" s="1381">
        <f>Electricity!E447</f>
        <v>26678565.601280048</v>
      </c>
      <c r="T11" s="1375">
        <f>Electricity!D447</f>
        <v>20961730.115291461</v>
      </c>
    </row>
    <row r="12" spans="2:20">
      <c r="B12" s="41">
        <v>2024</v>
      </c>
      <c r="C12" s="1374">
        <f>Transportation!D95</f>
        <v>5336058.5653050607</v>
      </c>
      <c r="D12" s="1374">
        <f>Transportation!E95</f>
        <v>1404289.234258709</v>
      </c>
      <c r="E12" s="1374">
        <f>Transportation!F95</f>
        <v>4349015.4114836976</v>
      </c>
      <c r="F12" s="1374">
        <f>Transportation!G95</f>
        <v>0</v>
      </c>
      <c r="G12" s="1374">
        <f>Transportation!H95</f>
        <v>123095.59139643729</v>
      </c>
      <c r="H12" s="1374">
        <f>Transportation!I95</f>
        <v>2091487.4348663127</v>
      </c>
      <c r="I12" s="1375">
        <f>Transportation!J95</f>
        <v>39906252.221083738</v>
      </c>
      <c r="J12" s="1375">
        <f>Transportation!K95</f>
        <v>46711441.802865691</v>
      </c>
      <c r="K12" s="1376">
        <f>Electricity!F448</f>
        <v>6799049.4370130431</v>
      </c>
      <c r="L12" s="1376">
        <f>Electricity!G448</f>
        <v>2165011.4021415701</v>
      </c>
      <c r="M12" s="1376">
        <f>Electricity!H448</f>
        <v>2624290.9501241394</v>
      </c>
      <c r="N12" s="1376">
        <f>Electricity!I448</f>
        <v>345990.36361225345</v>
      </c>
      <c r="O12" s="1376">
        <f>Electricity!J448</f>
        <v>8838388.3809009977</v>
      </c>
      <c r="P12" s="1376">
        <f>Electricity!K448</f>
        <v>500970.27959008451</v>
      </c>
      <c r="Q12" s="1376">
        <f>Electricity!L448</f>
        <v>822215.22337860835</v>
      </c>
      <c r="R12" s="1376">
        <f>Electricity!M448</f>
        <v>1142025.6907050954</v>
      </c>
      <c r="S12" s="1381">
        <f>Electricity!E448</f>
        <v>27203549.357826788</v>
      </c>
      <c r="T12" s="1375">
        <f>Electricity!D448</f>
        <v>19699121.948771112</v>
      </c>
    </row>
    <row r="13" spans="2:20">
      <c r="B13" s="41">
        <v>2025</v>
      </c>
      <c r="C13" s="1374">
        <f>Transportation!D96</f>
        <v>6404693.227316821</v>
      </c>
      <c r="D13" s="1374">
        <f>Transportation!E96</f>
        <v>1954688.0260257986</v>
      </c>
      <c r="E13" s="1374">
        <f>Transportation!F96</f>
        <v>5219978.2312234985</v>
      </c>
      <c r="F13" s="1374">
        <f>Transportation!G96</f>
        <v>0</v>
      </c>
      <c r="G13" s="1374">
        <f>Transportation!H96</f>
        <v>146652.71435321061</v>
      </c>
      <c r="H13" s="1374">
        <f>Transportation!I96</f>
        <v>2467016.832503052</v>
      </c>
      <c r="I13" s="1375">
        <f>Transportation!J96</f>
        <v>39994546.549649291</v>
      </c>
      <c r="J13" s="1375">
        <f>Transportation!K96</f>
        <v>46611807.91971226</v>
      </c>
      <c r="K13" s="1376">
        <f>Electricity!F449</f>
        <v>7268363.9447785728</v>
      </c>
      <c r="L13" s="1376">
        <f>Electricity!G449</f>
        <v>2445539.8658367367</v>
      </c>
      <c r="M13" s="1376">
        <f>Electricity!H449</f>
        <v>2687342.9814236914</v>
      </c>
      <c r="N13" s="1376">
        <f>Electricity!I449</f>
        <v>354579.2633677015</v>
      </c>
      <c r="O13" s="1376">
        <f>Electricity!J449</f>
        <v>9327748.1335056275</v>
      </c>
      <c r="P13" s="1376">
        <f>Electricity!K449</f>
        <v>528707.7676384974</v>
      </c>
      <c r="Q13" s="1376">
        <f>Electricity!L449</f>
        <v>867739.25117193093</v>
      </c>
      <c r="R13" s="1376">
        <f>Electricity!M449</f>
        <v>1142025.6907050957</v>
      </c>
      <c r="S13" s="1381">
        <f>Electricity!E449</f>
        <v>29612120.336537186</v>
      </c>
      <c r="T13" s="1375">
        <f>Electricity!D449</f>
        <v>19741413.557691444</v>
      </c>
    </row>
    <row r="14" spans="2:20">
      <c r="B14" s="41">
        <v>2026</v>
      </c>
      <c r="C14" s="1374">
        <f>Transportation!D97</f>
        <v>7530455.3054440524</v>
      </c>
      <c r="D14" s="1374">
        <f>Transportation!E97</f>
        <v>2591161.4987858734</v>
      </c>
      <c r="E14" s="1374">
        <f>Transportation!F97</f>
        <v>6137501.2620374132</v>
      </c>
      <c r="F14" s="1374">
        <f>Transportation!G97</f>
        <v>0</v>
      </c>
      <c r="G14" s="1374">
        <f>Transportation!H97</f>
        <v>171078.74904066019</v>
      </c>
      <c r="H14" s="1374">
        <f>Transportation!I97</f>
        <v>2849706.6449869629</v>
      </c>
      <c r="I14" s="1375">
        <f>Transportation!J97</f>
        <v>40067562.10481669</v>
      </c>
      <c r="J14" s="1375">
        <f>Transportation!K97</f>
        <v>46412540.18049486</v>
      </c>
      <c r="K14" s="1376">
        <f>Electricity!F450</f>
        <v>7791794.2830832284</v>
      </c>
      <c r="L14" s="1376">
        <f>Electricity!G450</f>
        <v>2743556.0037209704</v>
      </c>
      <c r="M14" s="1376">
        <f>Electricity!H450</f>
        <v>2761972.4299826594</v>
      </c>
      <c r="N14" s="1376">
        <f>Electricity!I450</f>
        <v>364740.16504204157</v>
      </c>
      <c r="O14" s="1376">
        <f>Electricity!J450</f>
        <v>9867291.8291746862</v>
      </c>
      <c r="P14" s="1376">
        <f>Electricity!K450</f>
        <v>559289.74077904026</v>
      </c>
      <c r="Q14" s="1376">
        <f>Electricity!L450</f>
        <v>917931.77735868329</v>
      </c>
      <c r="R14" s="1376">
        <f>Electricity!M450</f>
        <v>1142025.6907050957</v>
      </c>
      <c r="S14" s="1381">
        <f>Electricity!E450</f>
        <v>32277501.069712836</v>
      </c>
      <c r="T14" s="1375">
        <f>Electricity!D450</f>
        <v>19782984.526598178</v>
      </c>
    </row>
    <row r="15" spans="2:20">
      <c r="B15" s="41">
        <v>2027</v>
      </c>
      <c r="C15" s="1374">
        <f>Transportation!D98</f>
        <v>8715748.9705209453</v>
      </c>
      <c r="D15" s="1374">
        <f>Transportation!E98</f>
        <v>3312092.9522623052</v>
      </c>
      <c r="E15" s="1374">
        <f>Transportation!F98</f>
        <v>7103543.9606821006</v>
      </c>
      <c r="F15" s="1374">
        <f>Transportation!G98</f>
        <v>0</v>
      </c>
      <c r="G15" s="1374">
        <f>Transportation!H98</f>
        <v>196373.69545878618</v>
      </c>
      <c r="H15" s="1374">
        <f>Transportation!I98</f>
        <v>3239291.0560342497</v>
      </c>
      <c r="I15" s="1375">
        <f>Transportation!J98</f>
        <v>40124712.371465743</v>
      </c>
      <c r="J15" s="1375">
        <f>Transportation!K98</f>
        <v>46114130.904655851</v>
      </c>
      <c r="K15" s="1376">
        <f>Electricity!F451</f>
        <v>8333721.117153178</v>
      </c>
      <c r="L15" s="1376">
        <f>Electricity!G451</f>
        <v>3046622.1291760299</v>
      </c>
      <c r="M15" s="1376">
        <f>Electricity!H451</f>
        <v>2834154.4173650038</v>
      </c>
      <c r="N15" s="1376">
        <f>Electricity!I451</f>
        <v>374624.96842906217</v>
      </c>
      <c r="O15" s="1376">
        <f>Electricity!J451</f>
        <v>10406774.336511675</v>
      </c>
      <c r="P15" s="1376">
        <f>Electricity!K451</f>
        <v>589868.24569274008</v>
      </c>
      <c r="Q15" s="1376">
        <f>Electricity!L451</f>
        <v>968118.61133369303</v>
      </c>
      <c r="R15" s="1376">
        <f>Electricity!M451</f>
        <v>1142025.6907050957</v>
      </c>
      <c r="S15" s="1381">
        <f>Electricity!E451</f>
        <v>35049518.151669845</v>
      </c>
      <c r="T15" s="1375">
        <f>Electricity!D451</f>
        <v>19715353.960314278</v>
      </c>
    </row>
    <row r="16" spans="2:20">
      <c r="B16" s="41">
        <v>2028</v>
      </c>
      <c r="C16" s="1374">
        <f>Transportation!D99</f>
        <v>9963069.4898577221</v>
      </c>
      <c r="D16" s="1374">
        <f>Transportation!E99</f>
        <v>4115865.6861784658</v>
      </c>
      <c r="E16" s="1374">
        <f>Transportation!F99</f>
        <v>8120140.029721939</v>
      </c>
      <c r="F16" s="1374">
        <f>Transportation!G99</f>
        <v>0</v>
      </c>
      <c r="G16" s="1374">
        <f>Transportation!H99</f>
        <v>222537.55360758837</v>
      </c>
      <c r="H16" s="1374">
        <f>Transportation!I99</f>
        <v>3635472.4360289034</v>
      </c>
      <c r="I16" s="1375">
        <f>Transportation!J99</f>
        <v>40165400.287210897</v>
      </c>
      <c r="J16" s="1375">
        <f>Transportation!K99</f>
        <v>45717018.173113585</v>
      </c>
      <c r="K16" s="1376">
        <f>Electricity!F452</f>
        <v>8876164.9251409918</v>
      </c>
      <c r="L16" s="1376">
        <f>Electricity!G452</f>
        <v>3346637.3356694123</v>
      </c>
      <c r="M16" s="1376">
        <f>Electricity!H452</f>
        <v>2897597.4788645767</v>
      </c>
      <c r="N16" s="1376">
        <f>Electricity!I452</f>
        <v>383401.96103217336</v>
      </c>
      <c r="O16" s="1376">
        <f>Electricity!J452</f>
        <v>10920702.120909031</v>
      </c>
      <c r="P16" s="1376">
        <f>Electricity!K452</f>
        <v>618998.27876472066</v>
      </c>
      <c r="Q16" s="1376">
        <f>Electricity!L452</f>
        <v>1015928.1473981927</v>
      </c>
      <c r="R16" s="1376">
        <f>Electricity!M452</f>
        <v>1142025.6907050957</v>
      </c>
      <c r="S16" s="1381">
        <f>Electricity!E452</f>
        <v>37841907.31070549</v>
      </c>
      <c r="T16" s="1375">
        <f>Electricity!D452</f>
        <v>19494315.887333117</v>
      </c>
    </row>
    <row r="17" spans="2:20">
      <c r="B17" s="41">
        <v>2029</v>
      </c>
      <c r="C17" s="1374">
        <f>Transportation!D100</f>
        <v>11275006.480282187</v>
      </c>
      <c r="D17" s="1374">
        <f>Transportation!E100</f>
        <v>4905088.1176049784</v>
      </c>
      <c r="E17" s="1374">
        <f>Transportation!F100</f>
        <v>9189400.0688357223</v>
      </c>
      <c r="F17" s="1374">
        <f>Transportation!G100</f>
        <v>0</v>
      </c>
      <c r="G17" s="1374">
        <f>Transportation!H100</f>
        <v>249570.32348706693</v>
      </c>
      <c r="H17" s="1374">
        <f>Transportation!I100</f>
        <v>4037919.425833852</v>
      </c>
      <c r="I17" s="1375">
        <f>Transportation!J100</f>
        <v>40189018.425577462</v>
      </c>
      <c r="J17" s="1375">
        <f>Transportation!K100</f>
        <v>45317358.519382536</v>
      </c>
      <c r="K17" s="1376">
        <f>Electricity!F453</f>
        <v>9447463.2975644935</v>
      </c>
      <c r="L17" s="1376">
        <f>Electricity!G453</f>
        <v>3654777.4930565259</v>
      </c>
      <c r="M17" s="1376">
        <f>Electricity!H453</f>
        <v>2962862.1952664014</v>
      </c>
      <c r="N17" s="1376">
        <f>Electricity!I453</f>
        <v>392514.42110072181</v>
      </c>
      <c r="O17" s="1376">
        <f>Electricity!J453</f>
        <v>11448866.503159637</v>
      </c>
      <c r="P17" s="1376">
        <f>Electricity!K453</f>
        <v>648935.25899715489</v>
      </c>
      <c r="Q17" s="1376">
        <f>Electricity!L453</f>
        <v>1065062.0818687822</v>
      </c>
      <c r="R17" s="1376">
        <f>Electricity!M453</f>
        <v>1142025.6907050957</v>
      </c>
      <c r="S17" s="1381">
        <f>Electricity!E453</f>
        <v>40785373.319250919</v>
      </c>
      <c r="T17" s="1375">
        <f>Electricity!D453</f>
        <v>19193116.856118057</v>
      </c>
    </row>
    <row r="18" spans="2:20">
      <c r="B18" s="41">
        <v>2030</v>
      </c>
      <c r="C18" s="1374">
        <f>Transportation!D101</f>
        <v>12654247.272997433</v>
      </c>
      <c r="D18" s="1374">
        <f>Transportation!E101</f>
        <v>5679760.24654184</v>
      </c>
      <c r="E18" s="1374">
        <f>Transportation!F101</f>
        <v>10313514.31725621</v>
      </c>
      <c r="F18" s="1374">
        <f>Transportation!G101</f>
        <v>0</v>
      </c>
      <c r="G18" s="1374">
        <f>Transportation!H101</f>
        <v>277472.00509722176</v>
      </c>
      <c r="H18" s="1374">
        <f>Transportation!I101</f>
        <v>4446264.9278553557</v>
      </c>
      <c r="I18" s="1375">
        <f>Transportation!J101</f>
        <v>40194949.207238577</v>
      </c>
      <c r="J18" s="1375">
        <f>Transportation!K101</f>
        <v>44913858.191214077</v>
      </c>
      <c r="K18" s="1376">
        <f>Electricity!F454</f>
        <v>10074438.988908153</v>
      </c>
      <c r="L18" s="1376">
        <f>Electricity!G454</f>
        <v>3990800.9342257869</v>
      </c>
      <c r="M18" s="1376">
        <f>Electricity!H454</f>
        <v>3035286.1404597168</v>
      </c>
      <c r="N18" s="1376">
        <f>Electricity!I454</f>
        <v>403931.97940034105</v>
      </c>
      <c r="O18" s="1376">
        <f>Electricity!J454</f>
        <v>12022917.400559844</v>
      </c>
      <c r="P18" s="1376">
        <f>Electricity!K454</f>
        <v>681473.14103806717</v>
      </c>
      <c r="Q18" s="1376">
        <f>Electricity!L454</f>
        <v>1118464.7347615359</v>
      </c>
      <c r="R18" s="1376">
        <f>Electricity!M454</f>
        <v>1142025.6907050957</v>
      </c>
      <c r="S18" s="1381">
        <f>Electricity!E454</f>
        <v>43988688.709811345</v>
      </c>
      <c r="T18" s="1375">
        <f>Electricity!D454</f>
        <v>18852295.161347717</v>
      </c>
    </row>
    <row r="61" s="41" customFormat="1"/>
    <row r="62" s="41" customFormat="1"/>
    <row r="63" s="41" customFormat="1"/>
    <row r="64" s="41" customFormat="1"/>
    <row r="65" spans="4:8" s="41" customFormat="1"/>
    <row r="66" spans="4:8" s="41" customFormat="1"/>
    <row r="67" spans="4:8" s="41" customFormat="1"/>
    <row r="68" spans="4:8" s="41" customFormat="1"/>
    <row r="69" spans="4:8" s="41" customFormat="1"/>
    <row r="70" spans="4:8">
      <c r="D70" s="43" t="s">
        <v>3</v>
      </c>
      <c r="E70" t="s">
        <v>3783</v>
      </c>
      <c r="F70" t="s">
        <v>3784</v>
      </c>
      <c r="G70" t="s">
        <v>3751</v>
      </c>
      <c r="H70" t="s">
        <v>3931</v>
      </c>
    </row>
    <row r="71" spans="4:8">
      <c r="D71" s="41">
        <v>2017</v>
      </c>
      <c r="E71" s="1373">
        <f>SUM(C5:H5)</f>
        <v>0</v>
      </c>
      <c r="F71" s="1373">
        <f>SUM(K5:R5)</f>
        <v>0</v>
      </c>
      <c r="G71" s="1373">
        <f>S5</f>
        <v>3823891.9176131957</v>
      </c>
      <c r="H71" s="1373">
        <f>SUM(I5,J5,T5)</f>
        <v>130826583.50454602</v>
      </c>
    </row>
    <row r="72" spans="4:8">
      <c r="D72" s="41">
        <v>2018</v>
      </c>
      <c r="E72" s="1373">
        <f t="shared" ref="E72:E84" si="0">SUM(C6:H6)</f>
        <v>0</v>
      </c>
      <c r="F72" s="1373">
        <f t="shared" ref="F72:F84" si="1">SUM(K6:R6)</f>
        <v>2610610.6926800152</v>
      </c>
      <c r="G72" s="1373">
        <f t="shared" ref="G72:G84" si="2">S6</f>
        <v>11285445.296057476</v>
      </c>
      <c r="H72" s="1373">
        <f t="shared" ref="H72:H84" si="3">SUM(I6,J6,T6)</f>
        <v>125474267.5935263</v>
      </c>
    </row>
    <row r="73" spans="4:8">
      <c r="D73" s="41">
        <v>2019</v>
      </c>
      <c r="E73" s="1373">
        <f t="shared" si="0"/>
        <v>1744773.6705857995</v>
      </c>
      <c r="F73" s="1373">
        <f t="shared" si="1"/>
        <v>5334268.5196752632</v>
      </c>
      <c r="G73" s="1373">
        <f t="shared" si="2"/>
        <v>18133650.410641842</v>
      </c>
      <c r="H73" s="1373">
        <f t="shared" si="3"/>
        <v>117541955.83309565</v>
      </c>
    </row>
    <row r="74" spans="4:8">
      <c r="D74" s="41">
        <v>2020</v>
      </c>
      <c r="E74" s="1373">
        <f t="shared" si="0"/>
        <v>3680368.2967149033</v>
      </c>
      <c r="F74" s="1373">
        <f t="shared" si="1"/>
        <v>8278765.9487429997</v>
      </c>
      <c r="G74" s="1373">
        <f t="shared" si="2"/>
        <v>24796617.709687971</v>
      </c>
      <c r="H74" s="1373">
        <f t="shared" si="3"/>
        <v>110310268.20376906</v>
      </c>
    </row>
    <row r="75" spans="4:8">
      <c r="D75" s="41">
        <v>2021</v>
      </c>
      <c r="E75" s="1373">
        <f t="shared" si="0"/>
        <v>5800558.7242006753</v>
      </c>
      <c r="F75" s="1373">
        <f t="shared" si="1"/>
        <v>11570693.012398094</v>
      </c>
      <c r="G75" s="1373">
        <f t="shared" si="2"/>
        <v>25476979.457201991</v>
      </c>
      <c r="H75" s="1373">
        <f t="shared" si="3"/>
        <v>109479459.61441824</v>
      </c>
    </row>
    <row r="76" spans="4:8">
      <c r="D76" s="41">
        <v>2022</v>
      </c>
      <c r="E76" s="1373">
        <f t="shared" si="0"/>
        <v>8109875.5747094881</v>
      </c>
      <c r="F76" s="1373">
        <f t="shared" si="1"/>
        <v>15112768.758465407</v>
      </c>
      <c r="G76" s="1373">
        <f t="shared" si="2"/>
        <v>26073550.773957457</v>
      </c>
      <c r="H76" s="1373">
        <f t="shared" si="3"/>
        <v>108506502.29653116</v>
      </c>
    </row>
    <row r="77" spans="4:8">
      <c r="D77" s="41">
        <v>2023</v>
      </c>
      <c r="E77" s="1373">
        <f t="shared" si="0"/>
        <v>10610303.615195816</v>
      </c>
      <c r="F77" s="1373">
        <f t="shared" si="1"/>
        <v>18998536.407243405</v>
      </c>
      <c r="G77" s="1373">
        <f t="shared" si="2"/>
        <v>26678565.601280048</v>
      </c>
      <c r="H77" s="1373">
        <f t="shared" si="3"/>
        <v>107475882.43055798</v>
      </c>
    </row>
    <row r="78" spans="4:8">
      <c r="D78" s="41">
        <v>2024</v>
      </c>
      <c r="E78" s="1373">
        <f t="shared" si="0"/>
        <v>13303946.237310218</v>
      </c>
      <c r="F78" s="1373">
        <f t="shared" si="1"/>
        <v>23237941.727465793</v>
      </c>
      <c r="G78" s="1373">
        <f t="shared" si="2"/>
        <v>27203549.357826788</v>
      </c>
      <c r="H78" s="1373">
        <f t="shared" si="3"/>
        <v>106316815.97272053</v>
      </c>
    </row>
    <row r="79" spans="4:8">
      <c r="D79" s="41">
        <v>2025</v>
      </c>
      <c r="E79" s="1373">
        <f t="shared" si="0"/>
        <v>16193029.031422382</v>
      </c>
      <c r="F79" s="1373">
        <f t="shared" si="1"/>
        <v>24622046.898427851</v>
      </c>
      <c r="G79" s="1373">
        <f t="shared" si="2"/>
        <v>29612120.336537186</v>
      </c>
      <c r="H79" s="1373">
        <f t="shared" si="3"/>
        <v>106347768.02705298</v>
      </c>
    </row>
    <row r="80" spans="4:8">
      <c r="D80" s="41">
        <v>2026</v>
      </c>
      <c r="E80" s="1373">
        <f t="shared" si="0"/>
        <v>19279903.460294962</v>
      </c>
      <c r="F80" s="1373">
        <f t="shared" si="1"/>
        <v>26148601.919846404</v>
      </c>
      <c r="G80" s="1373">
        <f t="shared" si="2"/>
        <v>32277501.069712836</v>
      </c>
      <c r="H80" s="1373">
        <f t="shared" si="3"/>
        <v>106263086.81190974</v>
      </c>
    </row>
    <row r="81" spans="4:11">
      <c r="D81" s="41">
        <v>2027</v>
      </c>
      <c r="E81" s="1373">
        <f t="shared" si="0"/>
        <v>22567050.634958383</v>
      </c>
      <c r="F81" s="1373">
        <f t="shared" si="1"/>
        <v>27695909.516366478</v>
      </c>
      <c r="G81" s="1373">
        <f t="shared" si="2"/>
        <v>35049518.151669845</v>
      </c>
      <c r="H81" s="1373">
        <f t="shared" si="3"/>
        <v>105954197.23643586</v>
      </c>
    </row>
    <row r="82" spans="4:11">
      <c r="D82" s="41">
        <v>2028</v>
      </c>
      <c r="E82" s="1373">
        <f t="shared" si="0"/>
        <v>26057085.19539462</v>
      </c>
      <c r="F82" s="1373">
        <f t="shared" si="1"/>
        <v>29201455.938484196</v>
      </c>
      <c r="G82" s="1373">
        <f t="shared" si="2"/>
        <v>37841907.31070549</v>
      </c>
      <c r="H82" s="1373">
        <f t="shared" si="3"/>
        <v>105376734.34765759</v>
      </c>
      <c r="J82" s="1373"/>
    </row>
    <row r="83" spans="4:11">
      <c r="D83" s="41">
        <v>2029</v>
      </c>
      <c r="E83" s="1373">
        <f t="shared" si="0"/>
        <v>29656984.416043803</v>
      </c>
      <c r="F83" s="1373">
        <f t="shared" si="1"/>
        <v>30762506.941718809</v>
      </c>
      <c r="G83" s="1373">
        <f t="shared" si="2"/>
        <v>40785373.319250919</v>
      </c>
      <c r="H83" s="1373">
        <f t="shared" si="3"/>
        <v>104699493.80107805</v>
      </c>
    </row>
    <row r="84" spans="4:11">
      <c r="D84" s="41">
        <v>2030</v>
      </c>
      <c r="E84" s="1373">
        <f t="shared" si="0"/>
        <v>33371258.769748062</v>
      </c>
      <c r="F84" s="1373">
        <f t="shared" si="1"/>
        <v>32469339.010058541</v>
      </c>
      <c r="G84" s="1373">
        <f t="shared" si="2"/>
        <v>43988688.709811345</v>
      </c>
      <c r="H84" s="1373">
        <f t="shared" si="3"/>
        <v>103961102.55980037</v>
      </c>
      <c r="J84" s="1373">
        <f>SUM(E84:G84)</f>
        <v>109829286.48961794</v>
      </c>
      <c r="K84">
        <f>J84/SUM(E84:H84)</f>
        <v>0.51372415279262418</v>
      </c>
    </row>
  </sheetData>
  <sheetProtection sheet="1" objects="1" scenarios="1"/>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N121"/>
  <sheetViews>
    <sheetView tabSelected="1" topLeftCell="A10" zoomScale="86" zoomScaleNormal="86" workbookViewId="0">
      <selection activeCell="T55" sqref="T55"/>
    </sheetView>
  </sheetViews>
  <sheetFormatPr baseColWidth="10" defaultColWidth="8.83203125" defaultRowHeight="15"/>
  <cols>
    <col min="1" max="1" width="79.33203125" customWidth="1"/>
    <col min="2" max="2" width="13.6640625" bestFit="1" customWidth="1"/>
    <col min="3" max="4" width="14.1640625" customWidth="1"/>
    <col min="5" max="17" width="12.5" bestFit="1" customWidth="1"/>
    <col min="18" max="18" width="15.5" customWidth="1"/>
    <col min="19" max="19" width="13.6640625" bestFit="1" customWidth="1"/>
    <col min="20" max="40" width="12.5" bestFit="1" customWidth="1"/>
  </cols>
  <sheetData>
    <row r="2" spans="1:8">
      <c r="A2" s="5" t="s">
        <v>116</v>
      </c>
      <c r="B2" t="s">
        <v>8</v>
      </c>
      <c r="C2" t="s">
        <v>9</v>
      </c>
      <c r="D2" s="41" t="s">
        <v>59</v>
      </c>
    </row>
    <row r="3" spans="1:8">
      <c r="A3" s="10" t="s">
        <v>3957</v>
      </c>
      <c r="B3" s="1478">
        <f>VMT_Redux</f>
        <v>0.2</v>
      </c>
      <c r="C3" s="6" t="s">
        <v>17</v>
      </c>
      <c r="D3" s="41" t="s">
        <v>3958</v>
      </c>
    </row>
    <row r="4" spans="1:8">
      <c r="A4" s="27" t="s">
        <v>3956</v>
      </c>
      <c r="B4" s="1493">
        <f>FE_Improvement</f>
        <v>0.3</v>
      </c>
      <c r="C4" s="33" t="s">
        <v>17</v>
      </c>
      <c r="D4" s="41" t="s">
        <v>3952</v>
      </c>
      <c r="E4" s="33"/>
      <c r="H4" s="2"/>
    </row>
    <row r="5" spans="1:8" s="6" customFormat="1">
      <c r="A5" s="11" t="s">
        <v>3955</v>
      </c>
      <c r="B5" s="1479">
        <f>Idle_hours_reduced</f>
        <v>1</v>
      </c>
      <c r="C5" s="41" t="s">
        <v>40</v>
      </c>
      <c r="D5" s="33"/>
      <c r="H5" s="2"/>
    </row>
    <row r="6" spans="1:8">
      <c r="A6" s="10" t="s">
        <v>21</v>
      </c>
      <c r="B6" s="1478">
        <f>Perc_Biodiesel</f>
        <v>0.1</v>
      </c>
      <c r="C6" s="41" t="s">
        <v>57</v>
      </c>
      <c r="D6" s="41"/>
      <c r="H6" s="2"/>
    </row>
    <row r="7" spans="1:8">
      <c r="A7" s="26" t="s">
        <v>70</v>
      </c>
      <c r="B7" s="1478">
        <f>Electric_percent</f>
        <v>0.1</v>
      </c>
      <c r="C7" s="41" t="s">
        <v>54</v>
      </c>
      <c r="D7" s="41"/>
    </row>
    <row r="8" spans="1:8">
      <c r="A8" s="8" t="s">
        <v>60</v>
      </c>
      <c r="B8" s="1483">
        <f>BAU_gasoline_increase</f>
        <v>2.8799999999999999E-2</v>
      </c>
      <c r="C8" t="s">
        <v>17</v>
      </c>
      <c r="D8" s="41" t="s">
        <v>3964</v>
      </c>
    </row>
    <row r="9" spans="1:8" s="41" customFormat="1">
      <c r="A9" s="8" t="s">
        <v>61</v>
      </c>
      <c r="B9" s="1483">
        <f>BAU_gasoline_increase</f>
        <v>2.8799999999999999E-2</v>
      </c>
      <c r="C9" s="41" t="s">
        <v>17</v>
      </c>
      <c r="D9" s="41" t="s">
        <v>3964</v>
      </c>
    </row>
    <row r="10" spans="1:8" s="41" customFormat="1">
      <c r="A10" s="7" t="s">
        <v>3923</v>
      </c>
      <c r="B10" s="1478">
        <f>Portion_Gasoline</f>
        <v>0.56585809265908249</v>
      </c>
      <c r="C10" s="41" t="s">
        <v>17</v>
      </c>
      <c r="D10" s="41" t="s">
        <v>3962</v>
      </c>
    </row>
    <row r="11" spans="1:8" s="41" customFormat="1">
      <c r="A11" s="7" t="s">
        <v>99</v>
      </c>
      <c r="B11" s="1500">
        <v>3.2838841763507785E-3</v>
      </c>
      <c r="C11" s="41" t="s">
        <v>101</v>
      </c>
      <c r="D11" s="41" t="s">
        <v>3959</v>
      </c>
    </row>
    <row r="12" spans="1:8" s="6" customFormat="1">
      <c r="A12" s="7" t="s">
        <v>100</v>
      </c>
      <c r="B12" s="1500">
        <v>2.9134360610871745E-3</v>
      </c>
      <c r="C12" s="41" t="s">
        <v>101</v>
      </c>
      <c r="D12" s="41" t="s">
        <v>3959</v>
      </c>
    </row>
    <row r="13" spans="1:8" s="6" customFormat="1">
      <c r="A13" s="7" t="s">
        <v>18</v>
      </c>
      <c r="B13" s="1501">
        <v>5.7000000000000002E-2</v>
      </c>
      <c r="C13" s="6" t="s">
        <v>19</v>
      </c>
      <c r="D13" s="6" t="s">
        <v>3961</v>
      </c>
    </row>
    <row r="14" spans="1:8" s="41" customFormat="1">
      <c r="A14" s="27" t="s">
        <v>3960</v>
      </c>
      <c r="B14" s="1502">
        <f>T55/H26</f>
        <v>0.15016284764783241</v>
      </c>
      <c r="C14" s="41" t="s">
        <v>17</v>
      </c>
      <c r="F14" s="38"/>
    </row>
    <row r="15" spans="1:8" s="41" customFormat="1" hidden="1">
      <c r="A15" s="41" t="s">
        <v>48</v>
      </c>
      <c r="B15" s="41">
        <v>3500</v>
      </c>
      <c r="C15" s="41" t="s">
        <v>49</v>
      </c>
      <c r="D15" s="41" t="s">
        <v>52</v>
      </c>
    </row>
    <row r="16" spans="1:8" s="1453" customFormat="1" hidden="1">
      <c r="A16" s="27" t="s">
        <v>3954</v>
      </c>
      <c r="B16" s="1453">
        <v>0</v>
      </c>
      <c r="C16" s="1453" t="s">
        <v>20</v>
      </c>
      <c r="H16" s="1499"/>
    </row>
    <row r="17" spans="1:40" s="1453" customFormat="1">
      <c r="A17" s="27" t="s">
        <v>3963</v>
      </c>
      <c r="H17" s="1499"/>
    </row>
    <row r="18" spans="1:40" s="6" customFormat="1">
      <c r="A18" s="7"/>
    </row>
    <row r="19" spans="1:40" s="1496" customFormat="1">
      <c r="A19" s="1494" t="s">
        <v>15</v>
      </c>
      <c r="B19" s="1495"/>
      <c r="C19" s="1495"/>
      <c r="D19" s="1495"/>
      <c r="E19" s="1495"/>
      <c r="F19" s="1495"/>
      <c r="G19" s="1495"/>
      <c r="H19" s="1495"/>
      <c r="I19" s="1495"/>
      <c r="J19" s="1495"/>
      <c r="K19" s="1495"/>
      <c r="L19" s="1495"/>
      <c r="M19" s="1495"/>
      <c r="N19" s="1495"/>
      <c r="O19" s="1495"/>
      <c r="P19" s="1495"/>
      <c r="Q19" s="1495"/>
      <c r="R19" s="1495"/>
      <c r="S19" s="1495"/>
      <c r="T19" s="1495"/>
      <c r="U19" s="1495"/>
      <c r="V19" s="1495"/>
      <c r="W19" s="1495"/>
      <c r="X19" s="1495"/>
      <c r="Y19" s="1495"/>
      <c r="Z19" s="1495"/>
      <c r="AA19" s="1495"/>
      <c r="AB19" s="1495"/>
      <c r="AC19" s="1495"/>
      <c r="AD19" s="1495"/>
      <c r="AE19" s="1495"/>
      <c r="AF19" s="1495"/>
      <c r="AG19" s="1495"/>
      <c r="AH19" s="1495"/>
      <c r="AI19" s="1495"/>
      <c r="AJ19" s="1495"/>
      <c r="AK19" s="1495"/>
      <c r="AL19" s="1495"/>
      <c r="AM19" s="1495"/>
      <c r="AN19" s="1495"/>
    </row>
    <row r="20" spans="1:40" s="1496" customFormat="1">
      <c r="A20" s="1495" t="s">
        <v>3</v>
      </c>
      <c r="B20" s="1497">
        <v>2012</v>
      </c>
      <c r="C20" s="1497">
        <v>2013</v>
      </c>
      <c r="D20" s="1497">
        <v>2014</v>
      </c>
      <c r="E20" s="1497">
        <v>2015</v>
      </c>
      <c r="F20" s="1497">
        <v>2016</v>
      </c>
      <c r="G20" s="1497">
        <v>2017</v>
      </c>
      <c r="H20" s="1497">
        <v>2018</v>
      </c>
      <c r="I20" s="1497">
        <v>2019</v>
      </c>
      <c r="J20" s="1497">
        <v>2020</v>
      </c>
      <c r="K20" s="1497">
        <v>2021</v>
      </c>
      <c r="L20" s="1497">
        <v>2022</v>
      </c>
      <c r="M20" s="1497">
        <v>2023</v>
      </c>
      <c r="N20" s="1497">
        <v>2024</v>
      </c>
      <c r="O20" s="1497">
        <v>2025</v>
      </c>
      <c r="P20" s="1497">
        <v>2026</v>
      </c>
      <c r="Q20" s="1497">
        <v>2027</v>
      </c>
      <c r="R20" s="1497">
        <v>2028</v>
      </c>
      <c r="S20" s="1497">
        <v>2029</v>
      </c>
      <c r="T20" s="1497">
        <v>2030</v>
      </c>
      <c r="U20" s="1497">
        <v>2031</v>
      </c>
      <c r="V20" s="1497">
        <v>2032</v>
      </c>
      <c r="W20" s="1497">
        <v>2033</v>
      </c>
      <c r="X20" s="1497">
        <v>2034</v>
      </c>
      <c r="Y20" s="1497">
        <v>2035</v>
      </c>
      <c r="Z20" s="1497">
        <v>2036</v>
      </c>
      <c r="AA20" s="1497">
        <v>2037</v>
      </c>
      <c r="AB20" s="1497">
        <v>2038</v>
      </c>
      <c r="AC20" s="1497">
        <v>2039</v>
      </c>
      <c r="AD20" s="1497">
        <v>2040</v>
      </c>
      <c r="AE20" s="1497">
        <v>2041</v>
      </c>
      <c r="AF20" s="1497">
        <v>2042</v>
      </c>
      <c r="AG20" s="1497">
        <v>2043</v>
      </c>
      <c r="AH20" s="1497">
        <v>2044</v>
      </c>
      <c r="AI20" s="1497">
        <v>2045</v>
      </c>
      <c r="AJ20" s="1497">
        <v>2046</v>
      </c>
      <c r="AK20" s="1497">
        <v>2047</v>
      </c>
      <c r="AL20" s="1497">
        <v>2048</v>
      </c>
      <c r="AM20" s="1497">
        <v>2049</v>
      </c>
      <c r="AN20" s="1497">
        <v>2050</v>
      </c>
    </row>
    <row r="21" spans="1:40" s="1496" customFormat="1">
      <c r="A21" s="1495" t="s">
        <v>95</v>
      </c>
      <c r="B21" s="1498">
        <v>9974659</v>
      </c>
      <c r="C21" s="1498">
        <v>9571518</v>
      </c>
      <c r="D21" s="1498">
        <v>9677567</v>
      </c>
      <c r="E21" s="1498">
        <v>10909486</v>
      </c>
      <c r="F21" s="48">
        <f t="shared" ref="F21:AN21" si="0">E21+(E21*BAU_diesel_increase)</f>
        <v>11223679.196799999</v>
      </c>
      <c r="G21" s="48">
        <f t="shared" si="0"/>
        <v>11546921.15766784</v>
      </c>
      <c r="H21" s="48">
        <f t="shared" si="0"/>
        <v>11879472.487008674</v>
      </c>
      <c r="I21" s="48">
        <f t="shared" si="0"/>
        <v>12221601.294634525</v>
      </c>
      <c r="J21" s="48">
        <f t="shared" si="0"/>
        <v>12573583.41192</v>
      </c>
      <c r="K21" s="48">
        <f t="shared" si="0"/>
        <v>12935702.614183296</v>
      </c>
      <c r="L21" s="48">
        <f t="shared" si="0"/>
        <v>13308250.849471774</v>
      </c>
      <c r="M21" s="48">
        <f t="shared" si="0"/>
        <v>13691528.473936561</v>
      </c>
      <c r="N21" s="48">
        <f t="shared" si="0"/>
        <v>14085844.493985934</v>
      </c>
      <c r="O21" s="48">
        <f t="shared" si="0"/>
        <v>14491516.81541273</v>
      </c>
      <c r="P21" s="48">
        <f t="shared" si="0"/>
        <v>14908872.499696616</v>
      </c>
      <c r="Q21" s="48">
        <f t="shared" si="0"/>
        <v>15338248.027687879</v>
      </c>
      <c r="R21" s="48">
        <f t="shared" si="0"/>
        <v>15779989.570885289</v>
      </c>
      <c r="S21" s="48">
        <f t="shared" si="0"/>
        <v>16234453.270526785</v>
      </c>
      <c r="T21" s="48">
        <f t="shared" si="0"/>
        <v>16702005.524717957</v>
      </c>
      <c r="U21" s="48">
        <f t="shared" si="0"/>
        <v>17183023.283829834</v>
      </c>
      <c r="V21" s="48">
        <f t="shared" si="0"/>
        <v>17677894.354404133</v>
      </c>
      <c r="W21" s="48">
        <f t="shared" si="0"/>
        <v>18187017.711810973</v>
      </c>
      <c r="X21" s="48">
        <f t="shared" si="0"/>
        <v>18710803.82191113</v>
      </c>
      <c r="Y21" s="48">
        <f t="shared" si="0"/>
        <v>19249674.97198217</v>
      </c>
      <c r="Z21" s="48">
        <f t="shared" si="0"/>
        <v>19804065.611175258</v>
      </c>
      <c r="AA21" s="48">
        <f t="shared" si="0"/>
        <v>20374422.700777106</v>
      </c>
      <c r="AB21" s="48">
        <f t="shared" si="0"/>
        <v>20961206.074559487</v>
      </c>
      <c r="AC21" s="48">
        <f t="shared" si="0"/>
        <v>21564888.8095068</v>
      </c>
      <c r="AD21" s="48">
        <f t="shared" si="0"/>
        <v>22185957.607220598</v>
      </c>
      <c r="AE21" s="48">
        <f t="shared" si="0"/>
        <v>22824913.186308552</v>
      </c>
      <c r="AF21" s="48">
        <f t="shared" si="0"/>
        <v>23482270.686074238</v>
      </c>
      <c r="AG21" s="48">
        <f t="shared" si="0"/>
        <v>24158560.081833176</v>
      </c>
      <c r="AH21" s="48">
        <f t="shared" si="0"/>
        <v>24854326.612189971</v>
      </c>
      <c r="AI21" s="48">
        <f t="shared" si="0"/>
        <v>25570131.218621042</v>
      </c>
      <c r="AJ21" s="48">
        <f t="shared" si="0"/>
        <v>26306550.997717328</v>
      </c>
      <c r="AK21" s="48">
        <f t="shared" si="0"/>
        <v>27064179.666451588</v>
      </c>
      <c r="AL21" s="48">
        <f t="shared" si="0"/>
        <v>27843628.040845394</v>
      </c>
      <c r="AM21" s="48">
        <f t="shared" si="0"/>
        <v>28645524.528421741</v>
      </c>
      <c r="AN21" s="48">
        <f t="shared" si="0"/>
        <v>29470515.634840287</v>
      </c>
    </row>
    <row r="22" spans="1:40" s="1496" customFormat="1">
      <c r="A22" s="1495" t="s">
        <v>96</v>
      </c>
      <c r="B22" s="1498">
        <v>8933975</v>
      </c>
      <c r="C22" s="1498">
        <v>9653497</v>
      </c>
      <c r="D22" s="1498">
        <v>10934886</v>
      </c>
      <c r="E22" s="1498">
        <v>14219362</v>
      </c>
      <c r="F22" s="48">
        <f t="shared" ref="F22:AN22" si="1">E22+(E22*BAU_gasoline_increase)</f>
        <v>14628879.625600001</v>
      </c>
      <c r="G22" s="48">
        <f t="shared" si="1"/>
        <v>15050191.358817281</v>
      </c>
      <c r="H22" s="48">
        <f t="shared" si="1"/>
        <v>15483636.869951218</v>
      </c>
      <c r="I22" s="48">
        <f t="shared" si="1"/>
        <v>15929565.611805813</v>
      </c>
      <c r="J22" s="48">
        <f t="shared" si="1"/>
        <v>16388337.101425821</v>
      </c>
      <c r="K22" s="48">
        <f t="shared" si="1"/>
        <v>16860321.209946886</v>
      </c>
      <c r="L22" s="48">
        <f t="shared" si="1"/>
        <v>17345898.460793357</v>
      </c>
      <c r="M22" s="48">
        <f t="shared" si="1"/>
        <v>17845460.336464208</v>
      </c>
      <c r="N22" s="48">
        <f t="shared" si="1"/>
        <v>18359409.594154377</v>
      </c>
      <c r="O22" s="48">
        <f t="shared" si="1"/>
        <v>18888160.590466022</v>
      </c>
      <c r="P22" s="48">
        <f t="shared" si="1"/>
        <v>19432139.615471445</v>
      </c>
      <c r="Q22" s="48">
        <f t="shared" si="1"/>
        <v>19991785.236397024</v>
      </c>
      <c r="R22" s="48">
        <f t="shared" si="1"/>
        <v>20567548.65120526</v>
      </c>
      <c r="S22" s="48">
        <f t="shared" si="1"/>
        <v>21159894.052359972</v>
      </c>
      <c r="T22" s="48">
        <f t="shared" si="1"/>
        <v>21769299.00106794</v>
      </c>
      <c r="U22" s="48">
        <f t="shared" si="1"/>
        <v>22396254.812298696</v>
      </c>
      <c r="V22" s="48">
        <f t="shared" si="1"/>
        <v>23041266.950892899</v>
      </c>
      <c r="W22" s="48">
        <f t="shared" si="1"/>
        <v>23704855.439078614</v>
      </c>
      <c r="X22" s="48">
        <f t="shared" si="1"/>
        <v>24387555.275724079</v>
      </c>
      <c r="Y22" s="48">
        <f t="shared" si="1"/>
        <v>25089916.867664933</v>
      </c>
      <c r="Z22" s="48">
        <f t="shared" si="1"/>
        <v>25812506.473453682</v>
      </c>
      <c r="AA22" s="48">
        <f t="shared" si="1"/>
        <v>26555906.659889147</v>
      </c>
      <c r="AB22" s="48">
        <f t="shared" si="1"/>
        <v>27320716.771693952</v>
      </c>
      <c r="AC22" s="48">
        <f t="shared" si="1"/>
        <v>28107553.41471874</v>
      </c>
      <c r="AD22" s="48">
        <f t="shared" si="1"/>
        <v>28917050.953062639</v>
      </c>
      <c r="AE22" s="48">
        <f t="shared" si="1"/>
        <v>29749862.020510841</v>
      </c>
      <c r="AF22" s="48">
        <f t="shared" si="1"/>
        <v>30606658.046701554</v>
      </c>
      <c r="AG22" s="48">
        <f t="shared" si="1"/>
        <v>31488129.798446558</v>
      </c>
      <c r="AH22" s="48">
        <f t="shared" si="1"/>
        <v>32394987.93664182</v>
      </c>
      <c r="AI22" s="48">
        <f t="shared" si="1"/>
        <v>33327963.589217104</v>
      </c>
      <c r="AJ22" s="48">
        <f t="shared" si="1"/>
        <v>34287808.940586559</v>
      </c>
      <c r="AK22" s="48">
        <f t="shared" si="1"/>
        <v>35275297.838075452</v>
      </c>
      <c r="AL22" s="48">
        <f t="shared" si="1"/>
        <v>36291226.415812023</v>
      </c>
      <c r="AM22" s="48">
        <f t="shared" si="1"/>
        <v>37336413.736587413</v>
      </c>
      <c r="AN22" s="48">
        <f t="shared" si="1"/>
        <v>38411702.452201128</v>
      </c>
    </row>
    <row r="23" spans="1:40" s="1496" customFormat="1">
      <c r="A23" s="1495" t="s">
        <v>97</v>
      </c>
      <c r="B23" s="1498">
        <f>B21+B22</f>
        <v>18908634</v>
      </c>
      <c r="C23" s="1498">
        <f t="shared" ref="C23:AN23" si="2">C21+C22</f>
        <v>19225015</v>
      </c>
      <c r="D23" s="1498">
        <f t="shared" si="2"/>
        <v>20612453</v>
      </c>
      <c r="E23" s="1498">
        <f t="shared" si="2"/>
        <v>25128848</v>
      </c>
      <c r="F23" s="1498">
        <f t="shared" si="2"/>
        <v>25852558.8224</v>
      </c>
      <c r="G23" s="1498">
        <f t="shared" si="2"/>
        <v>26597112.516485121</v>
      </c>
      <c r="H23" s="1498">
        <f t="shared" si="2"/>
        <v>27363109.356959894</v>
      </c>
      <c r="I23" s="1498">
        <f t="shared" si="2"/>
        <v>28151166.90644034</v>
      </c>
      <c r="J23" s="1498">
        <f t="shared" si="2"/>
        <v>28961920.513345823</v>
      </c>
      <c r="K23" s="1498">
        <f t="shared" si="2"/>
        <v>29796023.824130181</v>
      </c>
      <c r="L23" s="1498">
        <f t="shared" si="2"/>
        <v>30654149.310265131</v>
      </c>
      <c r="M23" s="1498">
        <f t="shared" si="2"/>
        <v>31536988.810400769</v>
      </c>
      <c r="N23" s="1498">
        <f t="shared" si="2"/>
        <v>32445254.088140309</v>
      </c>
      <c r="O23" s="1498">
        <f t="shared" si="2"/>
        <v>33379677.405878752</v>
      </c>
      <c r="P23" s="1498">
        <f t="shared" si="2"/>
        <v>34341012.115168065</v>
      </c>
      <c r="Q23" s="1498">
        <f t="shared" si="2"/>
        <v>35330033.264084905</v>
      </c>
      <c r="R23" s="1498">
        <f t="shared" si="2"/>
        <v>36347538.22209055</v>
      </c>
      <c r="S23" s="1498">
        <f t="shared" si="2"/>
        <v>37394347.322886758</v>
      </c>
      <c r="T23" s="1498">
        <f t="shared" si="2"/>
        <v>38471304.525785893</v>
      </c>
      <c r="U23" s="1498">
        <f t="shared" si="2"/>
        <v>39579278.096128531</v>
      </c>
      <c r="V23" s="1498">
        <f t="shared" si="2"/>
        <v>40719161.305297032</v>
      </c>
      <c r="W23" s="1498">
        <f t="shared" si="2"/>
        <v>41891873.15088959</v>
      </c>
      <c r="X23" s="1498">
        <f t="shared" si="2"/>
        <v>43098359.09763521</v>
      </c>
      <c r="Y23" s="1498">
        <f t="shared" si="2"/>
        <v>44339591.839647099</v>
      </c>
      <c r="Z23" s="1498">
        <f t="shared" si="2"/>
        <v>45616572.08462894</v>
      </c>
      <c r="AA23" s="1498">
        <f t="shared" si="2"/>
        <v>46930329.360666253</v>
      </c>
      <c r="AB23" s="1498">
        <f t="shared" si="2"/>
        <v>48281922.84625344</v>
      </c>
      <c r="AC23" s="1498">
        <f t="shared" si="2"/>
        <v>49672442.224225536</v>
      </c>
      <c r="AD23" s="1498">
        <f t="shared" si="2"/>
        <v>51103008.560283236</v>
      </c>
      <c r="AE23" s="1498">
        <f t="shared" si="2"/>
        <v>52574775.206819393</v>
      </c>
      <c r="AF23" s="1498">
        <f t="shared" si="2"/>
        <v>54088928.732775792</v>
      </c>
      <c r="AG23" s="1498">
        <f t="shared" si="2"/>
        <v>55646689.880279735</v>
      </c>
      <c r="AH23" s="1498">
        <f t="shared" si="2"/>
        <v>57249314.548831791</v>
      </c>
      <c r="AI23" s="1498">
        <f t="shared" si="2"/>
        <v>58898094.807838142</v>
      </c>
      <c r="AJ23" s="1498">
        <f t="shared" si="2"/>
        <v>60594359.938303888</v>
      </c>
      <c r="AK23" s="1498">
        <f t="shared" si="2"/>
        <v>62339477.50452704</v>
      </c>
      <c r="AL23" s="1498">
        <f t="shared" si="2"/>
        <v>64134854.456657417</v>
      </c>
      <c r="AM23" s="1498">
        <f t="shared" si="2"/>
        <v>65981938.26500915</v>
      </c>
      <c r="AN23" s="1498">
        <f t="shared" si="2"/>
        <v>67882218.087041408</v>
      </c>
    </row>
    <row r="24" spans="1:40" s="1496" customFormat="1">
      <c r="A24" s="1495" t="s">
        <v>3666</v>
      </c>
      <c r="B24" s="48">
        <f t="shared" ref="B24:AN24" si="3">B21*Diesel_GHG_Emissions</f>
        <v>32819691.978819832</v>
      </c>
      <c r="C24" s="48">
        <f t="shared" si="3"/>
        <v>31493234.257905923</v>
      </c>
      <c r="D24" s="48">
        <f t="shared" si="3"/>
        <v>31842168.042475589</v>
      </c>
      <c r="E24" s="48">
        <f t="shared" si="3"/>
        <v>35895559.955207214</v>
      </c>
      <c r="F24" s="48">
        <f t="shared" si="3"/>
        <v>36929352.081917182</v>
      </c>
      <c r="G24" s="48">
        <f t="shared" si="3"/>
        <v>37992917.421876401</v>
      </c>
      <c r="H24" s="48">
        <f t="shared" si="3"/>
        <v>39087113.443626441</v>
      </c>
      <c r="I24" s="48">
        <f t="shared" si="3"/>
        <v>40212822.310802884</v>
      </c>
      <c r="J24" s="48">
        <f t="shared" si="3"/>
        <v>41370951.593354009</v>
      </c>
      <c r="K24" s="48">
        <f t="shared" si="3"/>
        <v>42562434.999242604</v>
      </c>
      <c r="L24" s="48">
        <f t="shared" si="3"/>
        <v>43788233.127220787</v>
      </c>
      <c r="M24" s="48">
        <f t="shared" si="3"/>
        <v>45049334.24128475</v>
      </c>
      <c r="N24" s="48">
        <f t="shared" si="3"/>
        <v>46346755.067433752</v>
      </c>
      <c r="O24" s="48">
        <f t="shared" si="3"/>
        <v>47681541.613375843</v>
      </c>
      <c r="P24" s="48">
        <f t="shared" si="3"/>
        <v>49054770.011841066</v>
      </c>
      <c r="Q24" s="48">
        <f t="shared" si="3"/>
        <v>50467547.388182089</v>
      </c>
      <c r="R24" s="48">
        <f t="shared" si="3"/>
        <v>51921012.752961732</v>
      </c>
      <c r="S24" s="48">
        <f t="shared" si="3"/>
        <v>53416337.920247033</v>
      </c>
      <c r="T24" s="48">
        <f t="shared" si="3"/>
        <v>54954728.452350147</v>
      </c>
      <c r="U24" s="48">
        <f t="shared" si="3"/>
        <v>56537424.63177783</v>
      </c>
      <c r="V24" s="48">
        <f t="shared" si="3"/>
        <v>58165702.461173028</v>
      </c>
      <c r="W24" s="48">
        <f t="shared" si="3"/>
        <v>59840874.692054816</v>
      </c>
      <c r="X24" s="48">
        <f t="shared" si="3"/>
        <v>61564291.883185998</v>
      </c>
      <c r="Y24" s="48">
        <f t="shared" si="3"/>
        <v>63337343.489421755</v>
      </c>
      <c r="Z24" s="48">
        <f t="shared" si="3"/>
        <v>65161458.981917106</v>
      </c>
      <c r="AA24" s="48">
        <f t="shared" si="3"/>
        <v>67038109.000596322</v>
      </c>
      <c r="AB24" s="48">
        <f t="shared" si="3"/>
        <v>68968806.539813489</v>
      </c>
      <c r="AC24" s="48">
        <f t="shared" si="3"/>
        <v>70955108.168160126</v>
      </c>
      <c r="AD24" s="48">
        <f t="shared" si="3"/>
        <v>72998615.283403143</v>
      </c>
      <c r="AE24" s="48">
        <f t="shared" si="3"/>
        <v>75100975.403565153</v>
      </c>
      <c r="AF24" s="48">
        <f t="shared" si="3"/>
        <v>77263883.495187834</v>
      </c>
      <c r="AG24" s="48">
        <f t="shared" si="3"/>
        <v>79489083.339849234</v>
      </c>
      <c r="AH24" s="48">
        <f t="shared" si="3"/>
        <v>81778368.940036893</v>
      </c>
      <c r="AI24" s="48">
        <f t="shared" si="3"/>
        <v>84133585.965509951</v>
      </c>
      <c r="AJ24" s="48">
        <f t="shared" si="3"/>
        <v>86556633.241316646</v>
      </c>
      <c r="AK24" s="48">
        <f t="shared" si="3"/>
        <v>89049464.278666571</v>
      </c>
      <c r="AL24" s="48">
        <f t="shared" si="3"/>
        <v>91614088.849892169</v>
      </c>
      <c r="AM24" s="48">
        <f t="shared" si="3"/>
        <v>94252574.608769059</v>
      </c>
      <c r="AN24" s="48">
        <f t="shared" si="3"/>
        <v>96967048.757501602</v>
      </c>
    </row>
    <row r="25" spans="1:40" s="1496" customFormat="1">
      <c r="A25" s="1495" t="s">
        <v>3667</v>
      </c>
      <c r="B25" s="48">
        <f t="shared" ref="B25:AN25" si="4">B22*Gasoline_GHG_Emissions</f>
        <v>26070374.567050803</v>
      </c>
      <c r="C25" s="48">
        <f t="shared" si="4"/>
        <v>28170023.161235757</v>
      </c>
      <c r="D25" s="48">
        <f t="shared" si="4"/>
        <v>31909264.786167398</v>
      </c>
      <c r="E25" s="48">
        <f t="shared" si="4"/>
        <v>41493746.45043093</v>
      </c>
      <c r="F25" s="48">
        <f t="shared" si="4"/>
        <v>42688766.348203339</v>
      </c>
      <c r="G25" s="48">
        <f t="shared" si="4"/>
        <v>43918202.819031596</v>
      </c>
      <c r="H25" s="48">
        <f t="shared" si="4"/>
        <v>45183047.060219705</v>
      </c>
      <c r="I25" s="48">
        <f t="shared" si="4"/>
        <v>46484318.81555403</v>
      </c>
      <c r="J25" s="48">
        <f t="shared" si="4"/>
        <v>47823067.197441988</v>
      </c>
      <c r="K25" s="48">
        <f t="shared" si="4"/>
        <v>49200371.532728322</v>
      </c>
      <c r="L25" s="48">
        <f t="shared" si="4"/>
        <v>50617342.232870899</v>
      </c>
      <c r="M25" s="48">
        <f t="shared" si="4"/>
        <v>52075121.689177588</v>
      </c>
      <c r="N25" s="48">
        <f t="shared" si="4"/>
        <v>53574885.193825901</v>
      </c>
      <c r="O25" s="48">
        <f t="shared" si="4"/>
        <v>55117841.887408085</v>
      </c>
      <c r="P25" s="48">
        <f t="shared" si="4"/>
        <v>56705235.733765446</v>
      </c>
      <c r="Q25" s="48">
        <f t="shared" si="4"/>
        <v>58338346.522897892</v>
      </c>
      <c r="R25" s="48">
        <f t="shared" si="4"/>
        <v>60018490.902757362</v>
      </c>
      <c r="S25" s="48">
        <f t="shared" si="4"/>
        <v>61747023.440756768</v>
      </c>
      <c r="T25" s="48">
        <f t="shared" si="4"/>
        <v>63525337.715850569</v>
      </c>
      <c r="U25" s="48">
        <f t="shared" si="4"/>
        <v>65354867.442067064</v>
      </c>
      <c r="V25" s="48">
        <f t="shared" si="4"/>
        <v>67237087.624398589</v>
      </c>
      <c r="W25" s="48">
        <f t="shared" si="4"/>
        <v>69173515.74798128</v>
      </c>
      <c r="X25" s="48">
        <f t="shared" si="4"/>
        <v>71165713.001523137</v>
      </c>
      <c r="Y25" s="48">
        <f t="shared" si="4"/>
        <v>73215285.535967007</v>
      </c>
      <c r="Z25" s="48">
        <f t="shared" si="4"/>
        <v>75323885.759402856</v>
      </c>
      <c r="AA25" s="48">
        <f t="shared" si="4"/>
        <v>77493213.669273645</v>
      </c>
      <c r="AB25" s="48">
        <f t="shared" si="4"/>
        <v>79725018.22294873</v>
      </c>
      <c r="AC25" s="48">
        <f t="shared" si="4"/>
        <v>82021098.747769654</v>
      </c>
      <c r="AD25" s="48">
        <f t="shared" si="4"/>
        <v>84383306.391705424</v>
      </c>
      <c r="AE25" s="48">
        <f t="shared" si="4"/>
        <v>86813545.615786523</v>
      </c>
      <c r="AF25" s="48">
        <f t="shared" si="4"/>
        <v>89313775.729521185</v>
      </c>
      <c r="AG25" s="48">
        <f t="shared" si="4"/>
        <v>91886012.470531389</v>
      </c>
      <c r="AH25" s="48">
        <f t="shared" si="4"/>
        <v>94532329.629682705</v>
      </c>
      <c r="AI25" s="48">
        <f t="shared" si="4"/>
        <v>97254860.723017558</v>
      </c>
      <c r="AJ25" s="48">
        <f t="shared" si="4"/>
        <v>100055800.71184047</v>
      </c>
      <c r="AK25" s="48">
        <f t="shared" si="4"/>
        <v>102937407.77234147</v>
      </c>
      <c r="AL25" s="48">
        <f t="shared" si="4"/>
        <v>105902005.11618491</v>
      </c>
      <c r="AM25" s="48">
        <f t="shared" si="4"/>
        <v>108951982.86353104</v>
      </c>
      <c r="AN25" s="48">
        <f t="shared" si="4"/>
        <v>112089799.97000073</v>
      </c>
    </row>
    <row r="26" spans="1:40" s="1496" customFormat="1">
      <c r="A26" s="1495" t="s">
        <v>3668</v>
      </c>
      <c r="B26" s="1498">
        <f>B24+B25</f>
        <v>58890066.545870632</v>
      </c>
      <c r="C26" s="1498">
        <f t="shared" ref="C26:AN26" si="5">C24+C25</f>
        <v>59663257.41914168</v>
      </c>
      <c r="D26" s="1498">
        <f t="shared" si="5"/>
        <v>63751432.828642987</v>
      </c>
      <c r="E26" s="1498">
        <f t="shared" si="5"/>
        <v>77389306.405638143</v>
      </c>
      <c r="F26" s="1498">
        <f t="shared" si="5"/>
        <v>79618118.430120528</v>
      </c>
      <c r="G26" s="1498">
        <f t="shared" si="5"/>
        <v>81911120.240907997</v>
      </c>
      <c r="H26" s="1498">
        <f t="shared" si="5"/>
        <v>84270160.503846139</v>
      </c>
      <c r="I26" s="1498">
        <f t="shared" si="5"/>
        <v>86697141.126356915</v>
      </c>
      <c r="J26" s="1498">
        <f t="shared" si="5"/>
        <v>89194018.790795997</v>
      </c>
      <c r="K26" s="1498">
        <f t="shared" si="5"/>
        <v>91762806.531970918</v>
      </c>
      <c r="L26" s="1498">
        <f t="shared" si="5"/>
        <v>94405575.360091686</v>
      </c>
      <c r="M26" s="1498">
        <f t="shared" si="5"/>
        <v>97124455.930462331</v>
      </c>
      <c r="N26" s="1498">
        <f t="shared" si="5"/>
        <v>99921640.261259645</v>
      </c>
      <c r="O26" s="1498">
        <f t="shared" si="5"/>
        <v>102799383.50078392</v>
      </c>
      <c r="P26" s="1498">
        <f t="shared" si="5"/>
        <v>105760005.74560651</v>
      </c>
      <c r="Q26" s="1498">
        <f t="shared" si="5"/>
        <v>108805893.91107997</v>
      </c>
      <c r="R26" s="1498">
        <f t="shared" si="5"/>
        <v>111939503.6557191</v>
      </c>
      <c r="S26" s="1498">
        <f t="shared" si="5"/>
        <v>115163361.3610038</v>
      </c>
      <c r="T26" s="1498">
        <f t="shared" si="5"/>
        <v>118480066.16820072</v>
      </c>
      <c r="U26" s="1498">
        <f t="shared" si="5"/>
        <v>121892292.07384489</v>
      </c>
      <c r="V26" s="1498">
        <f t="shared" si="5"/>
        <v>125402790.08557162</v>
      </c>
      <c r="W26" s="1498">
        <f t="shared" si="5"/>
        <v>129014390.44003609</v>
      </c>
      <c r="X26" s="1498">
        <f t="shared" si="5"/>
        <v>132730004.88470913</v>
      </c>
      <c r="Y26" s="1498">
        <f t="shared" si="5"/>
        <v>136552629.02538878</v>
      </c>
      <c r="Z26" s="1498">
        <f t="shared" si="5"/>
        <v>140485344.74131995</v>
      </c>
      <c r="AA26" s="1498">
        <f t="shared" si="5"/>
        <v>144531322.66986996</v>
      </c>
      <c r="AB26" s="1498">
        <f t="shared" si="5"/>
        <v>148693824.76276222</v>
      </c>
      <c r="AC26" s="1498">
        <f t="shared" si="5"/>
        <v>152976206.91592979</v>
      </c>
      <c r="AD26" s="1498">
        <f t="shared" si="5"/>
        <v>157381921.67510855</v>
      </c>
      <c r="AE26" s="1498">
        <f t="shared" si="5"/>
        <v>161914521.01935166</v>
      </c>
      <c r="AF26" s="1498">
        <f t="shared" si="5"/>
        <v>166577659.22470903</v>
      </c>
      <c r="AG26" s="1498">
        <f t="shared" si="5"/>
        <v>171375095.81038064</v>
      </c>
      <c r="AH26" s="1498">
        <f t="shared" si="5"/>
        <v>176310698.56971961</v>
      </c>
      <c r="AI26" s="1498">
        <f t="shared" si="5"/>
        <v>181388446.68852752</v>
      </c>
      <c r="AJ26" s="1498">
        <f t="shared" si="5"/>
        <v>186612433.95315713</v>
      </c>
      <c r="AK26" s="1498">
        <f t="shared" si="5"/>
        <v>191986872.05100805</v>
      </c>
      <c r="AL26" s="1498">
        <f t="shared" si="5"/>
        <v>197516093.96607709</v>
      </c>
      <c r="AM26" s="1498">
        <f t="shared" si="5"/>
        <v>203204557.47230011</v>
      </c>
      <c r="AN26" s="1498">
        <f t="shared" si="5"/>
        <v>209056848.72750235</v>
      </c>
    </row>
    <row r="27" spans="1:40" s="6" customFormat="1">
      <c r="B27" s="3"/>
      <c r="C27" s="3"/>
      <c r="D27" s="3"/>
      <c r="E27" s="3"/>
      <c r="F27" s="3"/>
      <c r="G27" s="3"/>
      <c r="H27" s="3"/>
      <c r="I27" s="3"/>
      <c r="J27" s="3"/>
      <c r="K27" s="3"/>
      <c r="L27" s="3"/>
      <c r="M27" s="3"/>
      <c r="N27" s="3"/>
      <c r="O27" s="3"/>
      <c r="P27" s="3"/>
    </row>
    <row r="28" spans="1:40" s="6" customFormat="1">
      <c r="A28" s="14" t="s">
        <v>102</v>
      </c>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row>
    <row r="29" spans="1:40" s="6" customFormat="1">
      <c r="A29" s="15" t="s">
        <v>3</v>
      </c>
      <c r="B29" s="9">
        <v>2012</v>
      </c>
      <c r="C29" s="9">
        <v>2013</v>
      </c>
      <c r="D29" s="9">
        <v>2014</v>
      </c>
      <c r="E29" s="9">
        <v>2015</v>
      </c>
      <c r="F29" s="9">
        <v>2016</v>
      </c>
      <c r="G29" s="9">
        <v>2017</v>
      </c>
      <c r="H29" s="1479">
        <f>'Basic Parameters and Results'!C137</f>
        <v>2018</v>
      </c>
      <c r="I29" s="1479">
        <f>'Basic Parameters and Results'!D137</f>
        <v>2019</v>
      </c>
      <c r="J29" s="1479">
        <f>'Basic Parameters and Results'!E137</f>
        <v>2020</v>
      </c>
      <c r="K29" s="1479">
        <f>'Basic Parameters and Results'!F137</f>
        <v>2021</v>
      </c>
      <c r="L29" s="1479">
        <f>'Basic Parameters and Results'!G137</f>
        <v>2022</v>
      </c>
      <c r="M29" s="1479">
        <f>'Basic Parameters and Results'!H137</f>
        <v>2023</v>
      </c>
      <c r="N29" s="1479">
        <f>'Basic Parameters and Results'!I137</f>
        <v>2024</v>
      </c>
      <c r="O29" s="1479">
        <f>'Basic Parameters and Results'!J137</f>
        <v>2025</v>
      </c>
      <c r="P29" s="1479">
        <f>'Basic Parameters and Results'!K137</f>
        <v>2026</v>
      </c>
      <c r="Q29" s="1479">
        <f>'Basic Parameters and Results'!L137</f>
        <v>2027</v>
      </c>
      <c r="R29" s="1479">
        <f>'Basic Parameters and Results'!M137</f>
        <v>2028</v>
      </c>
      <c r="S29" s="1479">
        <f>'Basic Parameters and Results'!N137</f>
        <v>2029</v>
      </c>
      <c r="T29" s="1479">
        <f>'Basic Parameters and Results'!O137</f>
        <v>2030</v>
      </c>
      <c r="U29" s="9">
        <v>2031</v>
      </c>
      <c r="V29" s="9">
        <v>2032</v>
      </c>
      <c r="W29" s="9">
        <v>2033</v>
      </c>
      <c r="X29" s="9">
        <v>2034</v>
      </c>
      <c r="Y29" s="9">
        <v>2035</v>
      </c>
      <c r="Z29" s="9">
        <v>2036</v>
      </c>
      <c r="AA29" s="9">
        <v>2037</v>
      </c>
      <c r="AB29" s="9">
        <v>2038</v>
      </c>
      <c r="AC29" s="9">
        <v>2039</v>
      </c>
      <c r="AD29" s="9">
        <v>2040</v>
      </c>
      <c r="AE29" s="9">
        <v>2041</v>
      </c>
      <c r="AF29" s="9">
        <v>2042</v>
      </c>
      <c r="AG29" s="9">
        <v>2043</v>
      </c>
      <c r="AH29" s="9">
        <v>2044</v>
      </c>
      <c r="AI29" s="9">
        <v>2045</v>
      </c>
      <c r="AJ29" s="9">
        <v>2046</v>
      </c>
      <c r="AK29" s="9">
        <v>2047</v>
      </c>
      <c r="AL29" s="9">
        <v>2048</v>
      </c>
      <c r="AM29" s="9">
        <v>2049</v>
      </c>
      <c r="AN29" s="9">
        <v>2050</v>
      </c>
    </row>
    <row r="30" spans="1:40" s="6" customFormat="1">
      <c r="A30" s="13" t="s">
        <v>16</v>
      </c>
      <c r="B30" s="16">
        <v>0</v>
      </c>
      <c r="C30" s="16">
        <v>0</v>
      </c>
      <c r="D30" s="16">
        <v>0</v>
      </c>
      <c r="E30" s="16">
        <v>0</v>
      </c>
      <c r="F30" s="16">
        <v>0</v>
      </c>
      <c r="G30" s="16">
        <v>0</v>
      </c>
      <c r="H30" s="1478">
        <f>'Basic Parameters and Results'!C138</f>
        <v>0</v>
      </c>
      <c r="I30" s="1478">
        <f>'Basic Parameters and Results'!D138</f>
        <v>8.3000000000000004E-2</v>
      </c>
      <c r="J30" s="1478">
        <f>'Basic Parameters and Results'!E138</f>
        <v>0.16600000000000001</v>
      </c>
      <c r="K30" s="1478">
        <f>'Basic Parameters and Results'!F138</f>
        <v>0.249</v>
      </c>
      <c r="L30" s="1478">
        <f>'Basic Parameters and Results'!G138</f>
        <v>0.33200000000000002</v>
      </c>
      <c r="M30" s="1478">
        <f>'Basic Parameters and Results'!H138</f>
        <v>0.41500000000000004</v>
      </c>
      <c r="N30" s="1478">
        <f>'Basic Parameters and Results'!I138</f>
        <v>0.49800000000000005</v>
      </c>
      <c r="O30" s="1478">
        <f>'Basic Parameters and Results'!J138</f>
        <v>0.58100000000000007</v>
      </c>
      <c r="P30" s="1478">
        <f>'Basic Parameters and Results'!K138</f>
        <v>0.66400000000000003</v>
      </c>
      <c r="Q30" s="1478">
        <f>'Basic Parameters and Results'!L138</f>
        <v>0.747</v>
      </c>
      <c r="R30" s="1478">
        <f>'Basic Parameters and Results'!M138</f>
        <v>0.83</v>
      </c>
      <c r="S30" s="1478">
        <f>'Basic Parameters and Results'!N138</f>
        <v>0.91299999999999992</v>
      </c>
      <c r="T30" s="1478">
        <f>'Basic Parameters and Results'!O138</f>
        <v>0.99599999999999989</v>
      </c>
      <c r="U30" s="16">
        <v>1</v>
      </c>
      <c r="V30" s="16">
        <v>1</v>
      </c>
      <c r="W30" s="16">
        <v>1</v>
      </c>
      <c r="X30" s="16">
        <v>1</v>
      </c>
      <c r="Y30" s="16">
        <v>1</v>
      </c>
      <c r="Z30" s="16">
        <v>1</v>
      </c>
      <c r="AA30" s="16">
        <v>1</v>
      </c>
      <c r="AB30" s="16">
        <v>1</v>
      </c>
      <c r="AC30" s="16">
        <v>1</v>
      </c>
      <c r="AD30" s="16">
        <v>1</v>
      </c>
      <c r="AE30" s="16">
        <v>1</v>
      </c>
      <c r="AF30" s="16">
        <v>1</v>
      </c>
      <c r="AG30" s="16">
        <v>1</v>
      </c>
      <c r="AH30" s="16">
        <v>1</v>
      </c>
      <c r="AI30" s="16">
        <v>1</v>
      </c>
      <c r="AJ30" s="16">
        <v>1</v>
      </c>
      <c r="AK30" s="16">
        <v>1</v>
      </c>
      <c r="AL30" s="16">
        <v>1</v>
      </c>
      <c r="AM30" s="16">
        <v>1</v>
      </c>
      <c r="AN30" s="16">
        <v>1</v>
      </c>
    </row>
    <row r="31" spans="1:40" s="6" customFormat="1">
      <c r="A31" s="13" t="s">
        <v>12</v>
      </c>
      <c r="B31" s="16">
        <v>0</v>
      </c>
      <c r="C31" s="16">
        <v>0</v>
      </c>
      <c r="D31" s="16">
        <v>0</v>
      </c>
      <c r="E31" s="16">
        <v>0</v>
      </c>
      <c r="F31" s="16">
        <v>0</v>
      </c>
      <c r="G31" s="16">
        <v>0</v>
      </c>
      <c r="H31" s="1478">
        <f>'Basic Parameters and Results'!C139</f>
        <v>0</v>
      </c>
      <c r="I31" s="1478">
        <f>'Basic Parameters and Results'!D139</f>
        <v>1</v>
      </c>
      <c r="J31" s="1478">
        <f>'Basic Parameters and Results'!E139</f>
        <v>1</v>
      </c>
      <c r="K31" s="1478">
        <f>'Basic Parameters and Results'!F139</f>
        <v>1</v>
      </c>
      <c r="L31" s="1478">
        <f>'Basic Parameters and Results'!G139</f>
        <v>1</v>
      </c>
      <c r="M31" s="1478">
        <f>'Basic Parameters and Results'!H139</f>
        <v>1</v>
      </c>
      <c r="N31" s="1478">
        <f>'Basic Parameters and Results'!I139</f>
        <v>1</v>
      </c>
      <c r="O31" s="1478">
        <f>'Basic Parameters and Results'!J139</f>
        <v>1</v>
      </c>
      <c r="P31" s="1478">
        <f>'Basic Parameters and Results'!K139</f>
        <v>1</v>
      </c>
      <c r="Q31" s="1478">
        <f>'Basic Parameters and Results'!L139</f>
        <v>1</v>
      </c>
      <c r="R31" s="1478">
        <f>'Basic Parameters and Results'!M139</f>
        <v>1</v>
      </c>
      <c r="S31" s="1478">
        <f>'Basic Parameters and Results'!N139</f>
        <v>1</v>
      </c>
      <c r="T31" s="1478">
        <f>'Basic Parameters and Results'!O139</f>
        <v>1</v>
      </c>
      <c r="U31" s="16">
        <v>1</v>
      </c>
      <c r="V31" s="16">
        <v>1</v>
      </c>
      <c r="W31" s="16">
        <v>1</v>
      </c>
      <c r="X31" s="16">
        <v>1</v>
      </c>
      <c r="Y31" s="16">
        <v>1</v>
      </c>
      <c r="Z31" s="16">
        <v>1</v>
      </c>
      <c r="AA31" s="16">
        <v>1</v>
      </c>
      <c r="AB31" s="16">
        <v>1</v>
      </c>
      <c r="AC31" s="16">
        <v>1</v>
      </c>
      <c r="AD31" s="16">
        <v>1</v>
      </c>
      <c r="AE31" s="16">
        <v>1</v>
      </c>
      <c r="AF31" s="16">
        <v>1</v>
      </c>
      <c r="AG31" s="16">
        <v>1</v>
      </c>
      <c r="AH31" s="16">
        <v>1</v>
      </c>
      <c r="AI31" s="16">
        <v>1</v>
      </c>
      <c r="AJ31" s="16">
        <v>1</v>
      </c>
      <c r="AK31" s="16">
        <v>1</v>
      </c>
      <c r="AL31" s="16">
        <v>1</v>
      </c>
      <c r="AM31" s="16">
        <v>1</v>
      </c>
      <c r="AN31" s="16">
        <v>1</v>
      </c>
    </row>
    <row r="32" spans="1:40" s="6" customFormat="1">
      <c r="A32" s="17" t="s">
        <v>22</v>
      </c>
      <c r="B32" s="16">
        <v>0</v>
      </c>
      <c r="C32" s="16">
        <v>0</v>
      </c>
      <c r="D32" s="16">
        <v>0</v>
      </c>
      <c r="E32" s="16">
        <v>0</v>
      </c>
      <c r="F32" s="16">
        <v>0</v>
      </c>
      <c r="G32" s="16">
        <v>0</v>
      </c>
      <c r="H32" s="1478">
        <f>'Basic Parameters and Results'!C140</f>
        <v>0</v>
      </c>
      <c r="I32" s="1478">
        <f>'Basic Parameters and Results'!D140</f>
        <v>8.3000000000000004E-2</v>
      </c>
      <c r="J32" s="1478">
        <f>'Basic Parameters and Results'!E140</f>
        <v>0.16600000000000001</v>
      </c>
      <c r="K32" s="1478">
        <f>'Basic Parameters and Results'!F140</f>
        <v>0.249</v>
      </c>
      <c r="L32" s="1478">
        <f>'Basic Parameters and Results'!G140</f>
        <v>0.33200000000000002</v>
      </c>
      <c r="M32" s="1478">
        <f>'Basic Parameters and Results'!H140</f>
        <v>0.41500000000000004</v>
      </c>
      <c r="N32" s="1478">
        <f>'Basic Parameters and Results'!I140</f>
        <v>0.49800000000000005</v>
      </c>
      <c r="O32" s="1478">
        <f>'Basic Parameters and Results'!J140</f>
        <v>0.58100000000000007</v>
      </c>
      <c r="P32" s="1478">
        <f>'Basic Parameters and Results'!K140</f>
        <v>0.66400000000000003</v>
      </c>
      <c r="Q32" s="1478">
        <f>'Basic Parameters and Results'!L140</f>
        <v>0.747</v>
      </c>
      <c r="R32" s="1478">
        <f>'Basic Parameters and Results'!M140</f>
        <v>0.83</v>
      </c>
      <c r="S32" s="1478">
        <f>'Basic Parameters and Results'!N140</f>
        <v>0.91299999999999992</v>
      </c>
      <c r="T32" s="1478">
        <f>'Basic Parameters and Results'!O140</f>
        <v>0.99599999999999989</v>
      </c>
      <c r="U32" s="16">
        <v>1</v>
      </c>
      <c r="V32" s="16">
        <v>1</v>
      </c>
      <c r="W32" s="16">
        <v>1</v>
      </c>
      <c r="X32" s="16">
        <v>1</v>
      </c>
      <c r="Y32" s="16">
        <v>1</v>
      </c>
      <c r="Z32" s="16">
        <v>1</v>
      </c>
      <c r="AA32" s="16">
        <v>1</v>
      </c>
      <c r="AB32" s="16">
        <v>1</v>
      </c>
      <c r="AC32" s="16">
        <v>1</v>
      </c>
      <c r="AD32" s="16">
        <v>1</v>
      </c>
      <c r="AE32" s="16">
        <v>1</v>
      </c>
      <c r="AF32" s="16">
        <v>1</v>
      </c>
      <c r="AG32" s="16">
        <v>1</v>
      </c>
      <c r="AH32" s="16">
        <v>1</v>
      </c>
      <c r="AI32" s="16">
        <v>1</v>
      </c>
      <c r="AJ32" s="16">
        <v>1</v>
      </c>
      <c r="AK32" s="16">
        <v>1</v>
      </c>
      <c r="AL32" s="16">
        <v>1</v>
      </c>
      <c r="AM32" s="16">
        <v>1</v>
      </c>
      <c r="AN32" s="16">
        <v>1</v>
      </c>
    </row>
    <row r="33" spans="1:40" s="6" customFormat="1">
      <c r="A33" s="13" t="s">
        <v>51</v>
      </c>
      <c r="B33" s="16">
        <v>0</v>
      </c>
      <c r="C33" s="16">
        <v>0</v>
      </c>
      <c r="D33" s="16">
        <v>0</v>
      </c>
      <c r="E33" s="16">
        <v>0</v>
      </c>
      <c r="F33" s="16">
        <v>0</v>
      </c>
      <c r="G33" s="16">
        <v>0</v>
      </c>
      <c r="H33" s="1478">
        <f>'Basic Parameters and Results'!C141</f>
        <v>0</v>
      </c>
      <c r="I33" s="1478">
        <f>'Basic Parameters and Results'!D141</f>
        <v>8.3000000000000004E-2</v>
      </c>
      <c r="J33" s="1478">
        <f>'Basic Parameters and Results'!E141</f>
        <v>0.16600000000000001</v>
      </c>
      <c r="K33" s="1478">
        <f>'Basic Parameters and Results'!F141</f>
        <v>0.249</v>
      </c>
      <c r="L33" s="1478">
        <f>'Basic Parameters and Results'!G141</f>
        <v>0.33200000000000002</v>
      </c>
      <c r="M33" s="1478">
        <f>'Basic Parameters and Results'!H141</f>
        <v>0.41500000000000004</v>
      </c>
      <c r="N33" s="1478">
        <f>'Basic Parameters and Results'!I141</f>
        <v>0.49800000000000005</v>
      </c>
      <c r="O33" s="1478">
        <f>'Basic Parameters and Results'!J141</f>
        <v>0.58100000000000007</v>
      </c>
      <c r="P33" s="1478">
        <f>'Basic Parameters and Results'!K141</f>
        <v>0.66400000000000003</v>
      </c>
      <c r="Q33" s="1478">
        <f>'Basic Parameters and Results'!L141</f>
        <v>0.747</v>
      </c>
      <c r="R33" s="1478">
        <f>'Basic Parameters and Results'!M141</f>
        <v>0.83</v>
      </c>
      <c r="S33" s="1478">
        <f>'Basic Parameters and Results'!N141</f>
        <v>0.91299999999999992</v>
      </c>
      <c r="T33" s="1478">
        <f>'Basic Parameters and Results'!O141</f>
        <v>0.99599999999999989</v>
      </c>
      <c r="U33" s="16">
        <v>1</v>
      </c>
      <c r="V33" s="16">
        <v>1</v>
      </c>
      <c r="W33" s="16">
        <v>1</v>
      </c>
      <c r="X33" s="16">
        <v>1</v>
      </c>
      <c r="Y33" s="16">
        <v>1</v>
      </c>
      <c r="Z33" s="16">
        <v>1</v>
      </c>
      <c r="AA33" s="16">
        <v>1</v>
      </c>
      <c r="AB33" s="16">
        <v>1</v>
      </c>
      <c r="AC33" s="16">
        <v>1</v>
      </c>
      <c r="AD33" s="16">
        <v>1</v>
      </c>
      <c r="AE33" s="16">
        <v>1</v>
      </c>
      <c r="AF33" s="16">
        <v>1</v>
      </c>
      <c r="AG33" s="16">
        <v>1</v>
      </c>
      <c r="AH33" s="16">
        <v>1</v>
      </c>
      <c r="AI33" s="16">
        <v>1</v>
      </c>
      <c r="AJ33" s="16">
        <v>1</v>
      </c>
      <c r="AK33" s="16">
        <v>1</v>
      </c>
      <c r="AL33" s="16">
        <v>1</v>
      </c>
      <c r="AM33" s="16">
        <v>1</v>
      </c>
      <c r="AN33" s="16">
        <v>1</v>
      </c>
    </row>
    <row r="34" spans="1:40" s="6" customFormat="1">
      <c r="A34" s="13" t="s">
        <v>7</v>
      </c>
      <c r="B34" s="16">
        <v>0</v>
      </c>
      <c r="C34" s="16">
        <v>0</v>
      </c>
      <c r="D34" s="16">
        <v>0</v>
      </c>
      <c r="E34" s="16">
        <v>0</v>
      </c>
      <c r="F34" s="16">
        <v>0</v>
      </c>
      <c r="G34" s="16">
        <v>0</v>
      </c>
      <c r="H34" s="1478">
        <f>'Basic Parameters and Results'!C142</f>
        <v>0</v>
      </c>
      <c r="I34" s="1478">
        <f>'Basic Parameters and Results'!D142</f>
        <v>8.3000000000000004E-2</v>
      </c>
      <c r="J34" s="1478">
        <f>'Basic Parameters and Results'!E142</f>
        <v>0.16600000000000001</v>
      </c>
      <c r="K34" s="1478">
        <f>'Basic Parameters and Results'!F142</f>
        <v>0.249</v>
      </c>
      <c r="L34" s="1478">
        <f>'Basic Parameters and Results'!G142</f>
        <v>0.33200000000000002</v>
      </c>
      <c r="M34" s="1478">
        <f>'Basic Parameters and Results'!H142</f>
        <v>0.41500000000000004</v>
      </c>
      <c r="N34" s="1478">
        <f>'Basic Parameters and Results'!I142</f>
        <v>0.49800000000000005</v>
      </c>
      <c r="O34" s="1478">
        <f>'Basic Parameters and Results'!J142</f>
        <v>0.58100000000000007</v>
      </c>
      <c r="P34" s="1478">
        <f>'Basic Parameters and Results'!K142</f>
        <v>0.66400000000000003</v>
      </c>
      <c r="Q34" s="1478">
        <f>'Basic Parameters and Results'!L142</f>
        <v>0.747</v>
      </c>
      <c r="R34" s="1478">
        <f>'Basic Parameters and Results'!M142</f>
        <v>0.83</v>
      </c>
      <c r="S34" s="1478">
        <f>'Basic Parameters and Results'!N142</f>
        <v>0.91299999999999992</v>
      </c>
      <c r="T34" s="1478">
        <f>'Basic Parameters and Results'!O142</f>
        <v>0.99599999999999989</v>
      </c>
      <c r="U34" s="16">
        <v>1</v>
      </c>
      <c r="V34" s="16">
        <v>1</v>
      </c>
      <c r="W34" s="16">
        <v>1</v>
      </c>
      <c r="X34" s="16">
        <v>1</v>
      </c>
      <c r="Y34" s="16">
        <v>1</v>
      </c>
      <c r="Z34" s="16">
        <v>1</v>
      </c>
      <c r="AA34" s="16">
        <v>1</v>
      </c>
      <c r="AB34" s="16">
        <v>1</v>
      </c>
      <c r="AC34" s="16">
        <v>1</v>
      </c>
      <c r="AD34" s="16">
        <v>1</v>
      </c>
      <c r="AE34" s="16">
        <v>1</v>
      </c>
      <c r="AF34" s="16">
        <v>1</v>
      </c>
      <c r="AG34" s="16">
        <v>1</v>
      </c>
      <c r="AH34" s="16">
        <v>1</v>
      </c>
      <c r="AI34" s="16">
        <v>1</v>
      </c>
      <c r="AJ34" s="16">
        <v>1</v>
      </c>
      <c r="AK34" s="16">
        <v>1</v>
      </c>
      <c r="AL34" s="16">
        <v>1</v>
      </c>
      <c r="AM34" s="16">
        <v>1</v>
      </c>
      <c r="AN34" s="16">
        <v>1</v>
      </c>
    </row>
    <row r="35" spans="1:40" s="6" customFormat="1">
      <c r="A35" s="13" t="s">
        <v>6</v>
      </c>
      <c r="B35" s="16">
        <v>0</v>
      </c>
      <c r="C35" s="16">
        <v>0</v>
      </c>
      <c r="D35" s="16">
        <v>0</v>
      </c>
      <c r="E35" s="16">
        <v>0</v>
      </c>
      <c r="F35" s="16">
        <v>0</v>
      </c>
      <c r="G35" s="16">
        <v>0</v>
      </c>
      <c r="H35" s="1478">
        <f>'Basic Parameters and Results'!C143</f>
        <v>0</v>
      </c>
      <c r="I35" s="1478">
        <f>'Basic Parameters and Results'!D143</f>
        <v>8.3000000000000004E-2</v>
      </c>
      <c r="J35" s="1478">
        <f>'Basic Parameters and Results'!E143</f>
        <v>0.16600000000000001</v>
      </c>
      <c r="K35" s="1478">
        <f>'Basic Parameters and Results'!F143</f>
        <v>0.249</v>
      </c>
      <c r="L35" s="1478">
        <f>'Basic Parameters and Results'!G143</f>
        <v>0.33200000000000002</v>
      </c>
      <c r="M35" s="1478">
        <f>'Basic Parameters and Results'!H143</f>
        <v>0.41500000000000004</v>
      </c>
      <c r="N35" s="1478">
        <f>'Basic Parameters and Results'!I143</f>
        <v>0.49800000000000005</v>
      </c>
      <c r="O35" s="1478">
        <f>'Basic Parameters and Results'!J143</f>
        <v>0.58100000000000007</v>
      </c>
      <c r="P35" s="1478">
        <f>'Basic Parameters and Results'!K143</f>
        <v>0.66400000000000003</v>
      </c>
      <c r="Q35" s="1478">
        <f>'Basic Parameters and Results'!L143</f>
        <v>0.747</v>
      </c>
      <c r="R35" s="1478">
        <f>'Basic Parameters and Results'!M143</f>
        <v>0.83</v>
      </c>
      <c r="S35" s="1478">
        <f>'Basic Parameters and Results'!N143</f>
        <v>0.91299999999999992</v>
      </c>
      <c r="T35" s="1478">
        <f>'Basic Parameters and Results'!O143</f>
        <v>0.99599999999999989</v>
      </c>
      <c r="U35" s="16">
        <v>1</v>
      </c>
      <c r="V35" s="16">
        <v>1</v>
      </c>
      <c r="W35" s="16">
        <v>1</v>
      </c>
      <c r="X35" s="16">
        <v>1</v>
      </c>
      <c r="Y35" s="16">
        <v>1</v>
      </c>
      <c r="Z35" s="16">
        <v>1</v>
      </c>
      <c r="AA35" s="16">
        <v>1</v>
      </c>
      <c r="AB35" s="16">
        <v>1</v>
      </c>
      <c r="AC35" s="16">
        <v>1</v>
      </c>
      <c r="AD35" s="16">
        <v>1</v>
      </c>
      <c r="AE35" s="16">
        <v>1</v>
      </c>
      <c r="AF35" s="16">
        <v>1</v>
      </c>
      <c r="AG35" s="16">
        <v>1</v>
      </c>
      <c r="AH35" s="16">
        <v>1</v>
      </c>
      <c r="AI35" s="16">
        <v>1</v>
      </c>
      <c r="AJ35" s="16">
        <v>1</v>
      </c>
      <c r="AK35" s="16">
        <v>1</v>
      </c>
      <c r="AL35" s="16">
        <v>1</v>
      </c>
      <c r="AM35" s="16">
        <v>1</v>
      </c>
      <c r="AN35" s="16">
        <v>1</v>
      </c>
    </row>
    <row r="36" spans="1:40" s="6" customFormat="1"/>
    <row r="38" spans="1:40">
      <c r="A38" s="19" t="s">
        <v>3660</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row>
    <row r="39" spans="1:40">
      <c r="A39" s="18" t="s">
        <v>3</v>
      </c>
      <c r="B39" s="30">
        <v>2012</v>
      </c>
      <c r="C39" s="30">
        <v>2013</v>
      </c>
      <c r="D39" s="30">
        <v>2014</v>
      </c>
      <c r="E39" s="30">
        <v>2015</v>
      </c>
      <c r="F39" s="30">
        <v>2016</v>
      </c>
      <c r="G39" s="30">
        <v>2017</v>
      </c>
      <c r="H39" s="30">
        <v>2018</v>
      </c>
      <c r="I39" s="30">
        <v>2019</v>
      </c>
      <c r="J39" s="30">
        <v>2020</v>
      </c>
      <c r="K39" s="30">
        <v>2021</v>
      </c>
      <c r="L39" s="30">
        <v>2022</v>
      </c>
      <c r="M39" s="30">
        <v>2023</v>
      </c>
      <c r="N39" s="30">
        <v>2024</v>
      </c>
      <c r="O39" s="30">
        <v>2025</v>
      </c>
      <c r="P39" s="30">
        <v>2026</v>
      </c>
      <c r="Q39" s="18">
        <v>2027</v>
      </c>
      <c r="R39" s="18">
        <v>2028</v>
      </c>
      <c r="S39" s="18">
        <v>2029</v>
      </c>
      <c r="T39" s="18">
        <v>2030</v>
      </c>
      <c r="U39" s="18">
        <v>2031</v>
      </c>
      <c r="V39" s="18">
        <v>2032</v>
      </c>
      <c r="W39" s="18">
        <v>2033</v>
      </c>
      <c r="X39" s="18">
        <v>2034</v>
      </c>
      <c r="Y39" s="18">
        <v>2035</v>
      </c>
      <c r="Z39" s="18">
        <v>2036</v>
      </c>
      <c r="AA39" s="18">
        <v>2037</v>
      </c>
      <c r="AB39" s="18">
        <v>2038</v>
      </c>
      <c r="AC39" s="18">
        <v>2039</v>
      </c>
      <c r="AD39" s="18">
        <v>2040</v>
      </c>
      <c r="AE39" s="18">
        <v>2041</v>
      </c>
      <c r="AF39" s="18">
        <v>2042</v>
      </c>
      <c r="AG39" s="18">
        <v>2043</v>
      </c>
      <c r="AH39" s="18">
        <v>2044</v>
      </c>
      <c r="AI39" s="18">
        <v>2045</v>
      </c>
      <c r="AJ39" s="18">
        <v>2046</v>
      </c>
      <c r="AK39" s="18">
        <v>2047</v>
      </c>
      <c r="AL39" s="18">
        <v>2048</v>
      </c>
      <c r="AM39" s="18">
        <v>2049</v>
      </c>
      <c r="AN39" s="18">
        <v>2050</v>
      </c>
    </row>
    <row r="40" spans="1:40">
      <c r="A40" s="12" t="s">
        <v>3665</v>
      </c>
      <c r="B40" s="20">
        <f t="shared" ref="B40:G40" si="6">B22*VMT_Redux*B30</f>
        <v>0</v>
      </c>
      <c r="C40" s="20">
        <f t="shared" si="6"/>
        <v>0</v>
      </c>
      <c r="D40" s="20">
        <f t="shared" si="6"/>
        <v>0</v>
      </c>
      <c r="E40" s="20">
        <f t="shared" si="6"/>
        <v>0</v>
      </c>
      <c r="F40" s="20">
        <f t="shared" si="6"/>
        <v>0</v>
      </c>
      <c r="G40" s="20">
        <f t="shared" si="6"/>
        <v>0</v>
      </c>
      <c r="H40" s="20">
        <f>H22*VMT_Redux*'Basic Parameters and Results'!C138</f>
        <v>0</v>
      </c>
      <c r="I40" s="20">
        <f>I22*VMT_Redux*'Basic Parameters and Results'!D138</f>
        <v>264430.7891559765</v>
      </c>
      <c r="J40" s="20">
        <f>J22*VMT_Redux*'Basic Parameters and Results'!E138</f>
        <v>544092.79176733736</v>
      </c>
      <c r="K40" s="1503">
        <f>K22*VMT_Redux*'Basic Parameters and Results'!F138</f>
        <v>839643.99625535496</v>
      </c>
      <c r="L40" s="20">
        <f>L22*VMT_Redux*'Basic Parameters and Results'!G138</f>
        <v>1151767.6577966791</v>
      </c>
      <c r="M40" s="20">
        <f>M22*VMT_Redux*'Basic Parameters and Results'!H138</f>
        <v>1481173.2079265295</v>
      </c>
      <c r="N40" s="20">
        <f>N22*VMT_Redux*'Basic Parameters and Results'!I138</f>
        <v>1828597.1955777761</v>
      </c>
      <c r="O40" s="20">
        <f>O22*VMT_Redux*'Basic Parameters and Results'!J138</f>
        <v>2194804.2606121521</v>
      </c>
      <c r="P40" s="20">
        <f>P22*VMT_Redux*'Basic Parameters and Results'!K138</f>
        <v>2580588.1409346084</v>
      </c>
      <c r="Q40" s="20">
        <f>Q22*VMT_Redux*'Basic Parameters and Results'!L138</f>
        <v>2986772.7143177153</v>
      </c>
      <c r="R40" s="20">
        <f>R22*VMT_Redux*'Basic Parameters and Results'!M138</f>
        <v>3414213.0761000733</v>
      </c>
      <c r="S40" s="20">
        <f>S22*VMT_Redux*'Basic Parameters and Results'!N138</f>
        <v>3863796.6539609311</v>
      </c>
      <c r="T40" s="20">
        <f>T22*VMT_Redux*'Basic Parameters and Results'!O138</f>
        <v>4336444.3610127335</v>
      </c>
      <c r="U40" s="20">
        <f t="shared" ref="U40:AN40" si="7">U22*VMT_Redux*U30</f>
        <v>4479250.9624597393</v>
      </c>
      <c r="V40" s="20">
        <f t="shared" si="7"/>
        <v>4608253.3901785798</v>
      </c>
      <c r="W40" s="20">
        <f t="shared" si="7"/>
        <v>4740971.0878157234</v>
      </c>
      <c r="X40" s="20">
        <f t="shared" si="7"/>
        <v>4877511.0551448157</v>
      </c>
      <c r="Y40" s="20">
        <f t="shared" si="7"/>
        <v>5017983.3735329872</v>
      </c>
      <c r="Z40" s="20">
        <f t="shared" si="7"/>
        <v>5162501.2946907366</v>
      </c>
      <c r="AA40" s="20">
        <f t="shared" si="7"/>
        <v>5311181.3319778293</v>
      </c>
      <c r="AB40" s="20">
        <f t="shared" si="7"/>
        <v>5464143.3543387912</v>
      </c>
      <c r="AC40" s="20">
        <f t="shared" si="7"/>
        <v>5621510.6829437483</v>
      </c>
      <c r="AD40" s="20">
        <f t="shared" si="7"/>
        <v>5783410.1906125285</v>
      </c>
      <c r="AE40" s="20">
        <f t="shared" si="7"/>
        <v>5949972.404102169</v>
      </c>
      <c r="AF40" s="20">
        <f t="shared" si="7"/>
        <v>6121331.609340311</v>
      </c>
      <c r="AG40" s="20">
        <f t="shared" si="7"/>
        <v>6297625.9596893117</v>
      </c>
      <c r="AH40" s="20">
        <f t="shared" si="7"/>
        <v>6478997.5873283641</v>
      </c>
      <c r="AI40" s="20">
        <f t="shared" si="7"/>
        <v>6665592.7178434208</v>
      </c>
      <c r="AJ40" s="20">
        <f t="shared" si="7"/>
        <v>6857561.7881173119</v>
      </c>
      <c r="AK40" s="20">
        <f t="shared" si="7"/>
        <v>7055059.5676150909</v>
      </c>
      <c r="AL40" s="20">
        <f t="shared" si="7"/>
        <v>7258245.2831624048</v>
      </c>
      <c r="AM40" s="20">
        <f t="shared" si="7"/>
        <v>7467282.7473174827</v>
      </c>
      <c r="AN40" s="20">
        <f t="shared" si="7"/>
        <v>7682340.4904402262</v>
      </c>
    </row>
    <row r="41" spans="1:40">
      <c r="A41" s="12" t="s">
        <v>103</v>
      </c>
      <c r="B41" s="32">
        <f>'FE Improvement &amp; EVs'!B31*B31</f>
        <v>0</v>
      </c>
      <c r="C41" s="32">
        <f>'FE Improvement &amp; EVs'!C31*C31</f>
        <v>0</v>
      </c>
      <c r="D41" s="32">
        <f>'FE Improvement &amp; EVs'!D31*D31</f>
        <v>0</v>
      </c>
      <c r="E41" s="32">
        <f>'FE Improvement &amp; EVs'!E31*E31</f>
        <v>0</v>
      </c>
      <c r="F41" s="32">
        <f>'FE Improvement &amp; EVs'!F31*F31</f>
        <v>0</v>
      </c>
      <c r="G41" s="32">
        <f>'FE Improvement &amp; EVs'!G31*G31</f>
        <v>0</v>
      </c>
      <c r="H41" s="32">
        <f>'FE Improvement &amp; EVs'!H31*'Basic Parameters and Results'!C139</f>
        <v>0</v>
      </c>
      <c r="I41" s="32">
        <f>'FE Improvement &amp; EVs'!I31*'Basic Parameters and Results'!D139</f>
        <v>0</v>
      </c>
      <c r="J41" s="32">
        <f>'FE Improvement &amp; EVs'!J31*'Basic Parameters and Results'!E139</f>
        <v>32820.794540060917</v>
      </c>
      <c r="K41" s="32">
        <f>'FE Improvement &amp; EVs'!K31*'Basic Parameters and Results'!F139</f>
        <v>97908.361666385084</v>
      </c>
      <c r="L41" s="32">
        <f>'FE Improvement &amp; EVs'!L31*'Basic Parameters and Results'!G139</f>
        <v>194708.67942517437</v>
      </c>
      <c r="M41" s="32">
        <f>'FE Improvement &amp; EVs'!M31*'Basic Parameters and Results'!H139</f>
        <v>322667.72586263064</v>
      </c>
      <c r="N41" s="32">
        <f>'FE Improvement &amp; EVs'!N31*'Basic Parameters and Results'!I139</f>
        <v>481231.47902495577</v>
      </c>
      <c r="O41" s="32">
        <f>'FE Improvement &amp; EVs'!O31*'Basic Parameters and Results'!J139</f>
        <v>669845.91695835162</v>
      </c>
      <c r="P41" s="32">
        <f>'FE Improvement &amp; EVs'!P31*'Basic Parameters and Results'!K139</f>
        <v>887957.01770902029</v>
      </c>
      <c r="Q41" s="32">
        <f>'FE Improvement &amp; EVs'!Q31*'Basic Parameters and Results'!L139</f>
        <v>1135010.7593231637</v>
      </c>
      <c r="R41" s="32">
        <f>'FE Improvement &amp; EVs'!R31*'Basic Parameters and Results'!M139</f>
        <v>1410453.1198469836</v>
      </c>
      <c r="S41" s="32">
        <f>'FE Improvement &amp; EVs'!S31*'Basic Parameters and Results'!N139</f>
        <v>1680909.2827866212</v>
      </c>
      <c r="T41" s="32">
        <f>'FE Improvement &amp; EVs'!T31*'Basic Parameters and Results'!O139</f>
        <v>1946379.2481420757</v>
      </c>
      <c r="U41" s="32">
        <f>'FE Improvement &amp; EVs'!U31*U31</f>
        <v>2280782.9424152859</v>
      </c>
      <c r="V41" s="32">
        <f>'FE Improvement &amp; EVs'!V31*V31</f>
        <v>2594673.4346864498</v>
      </c>
      <c r="W41" s="32">
        <f>'FE Improvement &amp; EVs'!W31*W31</f>
        <v>2881168.6592688235</v>
      </c>
      <c r="X41" s="32">
        <f>'FE Improvement &amp; EVs'!X31*X31</f>
        <v>3140915.0699604456</v>
      </c>
      <c r="Y41" s="32">
        <f>'FE Improvement &amp; EVs'!Y31*Y31</f>
        <v>3374561.7825964647</v>
      </c>
      <c r="Z41" s="32">
        <f>'FE Improvement &amp; EVs'!Z31*Z31</f>
        <v>3582760.6517158179</v>
      </c>
      <c r="AA41" s="32">
        <f>'FE Improvement &amp; EVs'!AA31*AA31</f>
        <v>3766166.3494358887</v>
      </c>
      <c r="AB41" s="32">
        <f>'FE Improvement &amp; EVs'!AB31*AB31</f>
        <v>3925436.4465987771</v>
      </c>
      <c r="AC41" s="32">
        <f>'FE Improvement &amp; EVs'!AC31*AC31</f>
        <v>4061231.4962545624</v>
      </c>
      <c r="AD41" s="32">
        <f>'FE Improvement &amp; EVs'!AD31*AD31</f>
        <v>4100295.1930469591</v>
      </c>
      <c r="AE41" s="32">
        <f>'FE Improvement &amp; EVs'!AE31*AE31</f>
        <v>4132741.2454981478</v>
      </c>
      <c r="AF41" s="32">
        <f>'FE Improvement &amp; EVs'!AF31*AF31</f>
        <v>4166121.7442599339</v>
      </c>
      <c r="AG41" s="32">
        <f>'FE Improvement &amp; EVs'!AG31*AG31</f>
        <v>4200463.6013860572</v>
      </c>
      <c r="AH41" s="32">
        <f>'FE Improvement &amp; EVs'!AH31*AH31</f>
        <v>4235794.5039974144</v>
      </c>
      <c r="AI41" s="32">
        <f>'FE Improvement &amp; EVs'!AI31*AI31</f>
        <v>4272142.9366039764</v>
      </c>
      <c r="AJ41" s="32">
        <f>'FE Improvement &amp; EVs'!AJ31*AJ31</f>
        <v>4309538.2040696107</v>
      </c>
      <c r="AK41" s="32">
        <f>'FE Improvement &amp; EVs'!AK31*AK31</f>
        <v>4348010.4552382529</v>
      </c>
      <c r="AL41" s="32">
        <f>'FE Improvement &amp; EVs'!AL31*AL31</f>
        <v>4387590.7072405517</v>
      </c>
      <c r="AM41" s="32">
        <f>'FE Improvement &amp; EVs'!AM31*AM31</f>
        <v>4428310.8705005189</v>
      </c>
      <c r="AN41" s="32">
        <f>'FE Improvement &amp; EVs'!AN31*AN31</f>
        <v>4470203.7744623721</v>
      </c>
    </row>
    <row r="42" spans="1:40">
      <c r="A42" s="18" t="s">
        <v>22</v>
      </c>
      <c r="B42" s="32">
        <f>B32*'Idle Redux'!B17</f>
        <v>0</v>
      </c>
      <c r="C42" s="32">
        <f>C32*'Idle Redux'!C17</f>
        <v>0</v>
      </c>
      <c r="D42" s="32">
        <f>D32*'Idle Redux'!D17</f>
        <v>0</v>
      </c>
      <c r="E42" s="32">
        <f>E32*'Idle Redux'!E17</f>
        <v>0</v>
      </c>
      <c r="F42" s="32">
        <f>F32*'Idle Redux'!F17</f>
        <v>0</v>
      </c>
      <c r="G42" s="32">
        <f>G32*'Idle Redux'!G17</f>
        <v>0</v>
      </c>
      <c r="H42" s="32">
        <f>'Basic Parameters and Results'!C140*'Idle Redux'!H17</f>
        <v>0</v>
      </c>
      <c r="I42" s="32">
        <f>'Basic Parameters and Results'!D140*'Idle Redux'!I17</f>
        <v>191138.63277676975</v>
      </c>
      <c r="J42" s="32">
        <f>'Basic Parameters and Results'!E140*'Idle Redux'!J17</f>
        <v>393286.85080148128</v>
      </c>
      <c r="K42" s="32">
        <f>'Basic Parameters and Results'!F140*'Idle Redux'!K17</f>
        <v>606920.26815684594</v>
      </c>
      <c r="L42" s="32">
        <f>'Basic Parameters and Results'!G140*'Idle Redux'!L17</f>
        <v>832532.76250635076</v>
      </c>
      <c r="M42" s="32">
        <f>'Basic Parameters and Results'!H140*'Idle Redux'!M17</f>
        <v>1070637.1325831672</v>
      </c>
      <c r="N42" s="32">
        <f>'Basic Parameters and Results'!I140*'Idle Redux'!N17</f>
        <v>1321765.7784018749</v>
      </c>
      <c r="O42" s="32">
        <f>'Basic Parameters and Results'!J140*'Idle Redux'!O17</f>
        <v>1586471.4049564903</v>
      </c>
      <c r="P42" s="32">
        <f>'Basic Parameters and Results'!K140*'Idle Redux'!P17</f>
        <v>1865327.7501934143</v>
      </c>
      <c r="Q42" s="32">
        <f>'Basic Parameters and Results'!L140*'Idle Redux'!Q17</f>
        <v>2158930.3380738571</v>
      </c>
      <c r="R42" s="32">
        <f>'Basic Parameters and Results'!M140*'Idle Redux'!R17</f>
        <v>2467897.2575670937</v>
      </c>
      <c r="S42" s="32">
        <f>'Basic Parameters and Results'!N140*'Idle Redux'!S17</f>
        <v>2792869.9684435283</v>
      </c>
      <c r="T42" s="32">
        <f>'Basic Parameters and Results'!O140*'Idle Redux'!T17</f>
        <v>3134514.1347651295</v>
      </c>
      <c r="U42" s="32">
        <f>U32*'Idle Redux'!U17</f>
        <v>3237739.0982393227</v>
      </c>
      <c r="V42" s="32">
        <f>V32*'Idle Redux'!V17</f>
        <v>3330985.984268615</v>
      </c>
      <c r="W42" s="32">
        <f>W32*'Idle Redux'!W17</f>
        <v>3426918.3806155506</v>
      </c>
      <c r="X42" s="32">
        <f>X32*'Idle Redux'!X17</f>
        <v>3525613.6299772784</v>
      </c>
      <c r="Y42" s="32">
        <f>Y32*'Idle Redux'!Y17</f>
        <v>3627151.3025206239</v>
      </c>
      <c r="Z42" s="32">
        <f>Z32*'Idle Redux'!Z17</f>
        <v>3731613.2600332177</v>
      </c>
      <c r="AA42" s="32">
        <f>AA32*'Idle Redux'!AA17</f>
        <v>3839083.7219221746</v>
      </c>
      <c r="AB42" s="32">
        <f>AB32*'Idle Redux'!AB17</f>
        <v>3949649.3331135334</v>
      </c>
      <c r="AC42" s="32">
        <f>AC32*'Idle Redux'!AC17</f>
        <v>4063399.2339072032</v>
      </c>
      <c r="AD42" s="32">
        <f>AD32*'Idle Redux'!AD17</f>
        <v>4180425.1318437308</v>
      </c>
      <c r="AE42" s="32">
        <f>AE32*'Idle Redux'!AE17</f>
        <v>4300821.375640831</v>
      </c>
      <c r="AF42" s="32">
        <f>AF32*'Idle Redux'!AF17</f>
        <v>4424685.0312592853</v>
      </c>
      <c r="AG42" s="32">
        <f>AG32*'Idle Redux'!AG17</f>
        <v>4552115.9601595532</v>
      </c>
      <c r="AH42" s="32">
        <f>AH32*'Idle Redux'!AH17</f>
        <v>4683216.899812148</v>
      </c>
      <c r="AI42" s="32">
        <f>AI32*'Idle Redux'!AI17</f>
        <v>4818093.5465267375</v>
      </c>
      <c r="AJ42" s="32">
        <f>AJ32*'Idle Redux'!AJ17</f>
        <v>4956854.6406667074</v>
      </c>
      <c r="AK42" s="32">
        <f>AK32*'Idle Redux'!AK17</f>
        <v>5099612.0543179093</v>
      </c>
      <c r="AL42" s="32">
        <f>AL32*'Idle Redux'!AL17</f>
        <v>5246480.8814822659</v>
      </c>
      <c r="AM42" s="32">
        <f>AM32*'Idle Redux'!AM17</f>
        <v>5397579.530868954</v>
      </c>
      <c r="AN42" s="32">
        <f>AN32*'Idle Redux'!AN17</f>
        <v>5553029.8213579804</v>
      </c>
    </row>
    <row r="43" spans="1:40">
      <c r="A43" s="12" t="s">
        <v>53</v>
      </c>
      <c r="B43" s="32">
        <f t="shared" ref="B43:G43" si="8">Synchronized_signals*signal_gallons_saved*B33</f>
        <v>0</v>
      </c>
      <c r="C43" s="32">
        <f t="shared" si="8"/>
        <v>0</v>
      </c>
      <c r="D43" s="32">
        <f t="shared" si="8"/>
        <v>0</v>
      </c>
      <c r="E43" s="32">
        <f t="shared" si="8"/>
        <v>0</v>
      </c>
      <c r="F43" s="32">
        <f t="shared" si="8"/>
        <v>0</v>
      </c>
      <c r="G43" s="32">
        <f t="shared" si="8"/>
        <v>0</v>
      </c>
      <c r="H43" s="32">
        <f>Synchronized_signals*signal_gallons_saved*'Basic Parameters and Results'!C141</f>
        <v>0</v>
      </c>
      <c r="I43" s="32">
        <f>Synchronized_signals*signal_gallons_saved*'Basic Parameters and Results'!D141</f>
        <v>0</v>
      </c>
      <c r="J43" s="32">
        <f>Synchronized_signals*signal_gallons_saved*'Basic Parameters and Results'!E141</f>
        <v>0</v>
      </c>
      <c r="K43" s="32">
        <f>Synchronized_signals*signal_gallons_saved*'Basic Parameters and Results'!F141</f>
        <v>0</v>
      </c>
      <c r="L43" s="32">
        <f>Synchronized_signals*signal_gallons_saved*'Basic Parameters and Results'!G141</f>
        <v>0</v>
      </c>
      <c r="M43" s="32">
        <f>Synchronized_signals*signal_gallons_saved*'Basic Parameters and Results'!H141</f>
        <v>0</v>
      </c>
      <c r="N43" s="32">
        <f>Synchronized_signals*signal_gallons_saved*'Basic Parameters and Results'!I141</f>
        <v>0</v>
      </c>
      <c r="O43" s="32">
        <f>Synchronized_signals*signal_gallons_saved*'Basic Parameters and Results'!J141</f>
        <v>0</v>
      </c>
      <c r="P43" s="32">
        <f>Synchronized_signals*signal_gallons_saved*'Basic Parameters and Results'!K141</f>
        <v>0</v>
      </c>
      <c r="Q43" s="32">
        <f>Synchronized_signals*signal_gallons_saved*'Basic Parameters and Results'!L141</f>
        <v>0</v>
      </c>
      <c r="R43" s="32">
        <f>Synchronized_signals*signal_gallons_saved*'Basic Parameters and Results'!M141</f>
        <v>0</v>
      </c>
      <c r="S43" s="32">
        <f>Synchronized_signals*signal_gallons_saved*'Basic Parameters and Results'!N141</f>
        <v>0</v>
      </c>
      <c r="T43" s="32">
        <f>Synchronized_signals*signal_gallons_saved*'Basic Parameters and Results'!O141</f>
        <v>0</v>
      </c>
      <c r="U43" s="32">
        <f t="shared" ref="U43:AN43" si="9">Synchronized_signals*signal_gallons_saved*U33</f>
        <v>0</v>
      </c>
      <c r="V43" s="32">
        <f t="shared" si="9"/>
        <v>0</v>
      </c>
      <c r="W43" s="32">
        <f t="shared" si="9"/>
        <v>0</v>
      </c>
      <c r="X43" s="32">
        <f t="shared" si="9"/>
        <v>0</v>
      </c>
      <c r="Y43" s="32">
        <f t="shared" si="9"/>
        <v>0</v>
      </c>
      <c r="Z43" s="32">
        <f t="shared" si="9"/>
        <v>0</v>
      </c>
      <c r="AA43" s="32">
        <f t="shared" si="9"/>
        <v>0</v>
      </c>
      <c r="AB43" s="32">
        <f t="shared" si="9"/>
        <v>0</v>
      </c>
      <c r="AC43" s="32">
        <f t="shared" si="9"/>
        <v>0</v>
      </c>
      <c r="AD43" s="32">
        <f t="shared" si="9"/>
        <v>0</v>
      </c>
      <c r="AE43" s="32">
        <f t="shared" si="9"/>
        <v>0</v>
      </c>
      <c r="AF43" s="32">
        <f t="shared" si="9"/>
        <v>0</v>
      </c>
      <c r="AG43" s="32">
        <f t="shared" si="9"/>
        <v>0</v>
      </c>
      <c r="AH43" s="32">
        <f t="shared" si="9"/>
        <v>0</v>
      </c>
      <c r="AI43" s="32">
        <f t="shared" si="9"/>
        <v>0</v>
      </c>
      <c r="AJ43" s="32">
        <f t="shared" si="9"/>
        <v>0</v>
      </c>
      <c r="AK43" s="32">
        <f t="shared" si="9"/>
        <v>0</v>
      </c>
      <c r="AL43" s="32">
        <f t="shared" si="9"/>
        <v>0</v>
      </c>
      <c r="AM43" s="32">
        <f t="shared" si="9"/>
        <v>0</v>
      </c>
      <c r="AN43" s="32">
        <f t="shared" si="9"/>
        <v>0</v>
      </c>
    </row>
    <row r="44" spans="1:40">
      <c r="A44" s="12" t="s">
        <v>7</v>
      </c>
      <c r="B44" s="20">
        <f>'FE Improvement &amp; EVs'!B39</f>
        <v>0</v>
      </c>
      <c r="C44" s="20">
        <f>'FE Improvement &amp; EVs'!C39</f>
        <v>0</v>
      </c>
      <c r="D44" s="20">
        <f>'FE Improvement &amp; EVs'!D39</f>
        <v>0</v>
      </c>
      <c r="E44" s="20">
        <f>'FE Improvement &amp; EVs'!E39</f>
        <v>0</v>
      </c>
      <c r="F44" s="20">
        <f>'FE Improvement &amp; EVs'!F39</f>
        <v>0</v>
      </c>
      <c r="G44" s="20">
        <f>'FE Improvement &amp; EVs'!G39</f>
        <v>0</v>
      </c>
      <c r="H44" s="20">
        <f>'FE Improvement &amp; EVs'!H39</f>
        <v>0</v>
      </c>
      <c r="I44" s="20">
        <f>'FE Improvement &amp; EVs'!I39</f>
        <v>5374.2382160968255</v>
      </c>
      <c r="J44" s="20">
        <f>'FE Improvement &amp; EVs'!J39</f>
        <v>12870.022323721287</v>
      </c>
      <c r="K44" s="20">
        <f>'FE Improvement &amp; EVs'!K39</f>
        <v>19751.680444514386</v>
      </c>
      <c r="L44" s="20">
        <f>'FE Improvement &amp; EVs'!L39</f>
        <v>26931.103204595795</v>
      </c>
      <c r="M44" s="20">
        <f>'FE Improvement &amp; EVs'!M39</f>
        <v>34408.290603965521</v>
      </c>
      <c r="N44" s="20">
        <f>'FE Improvement &amp; EVs'!N39</f>
        <v>42183.242642623547</v>
      </c>
      <c r="O44" s="20">
        <f>'FE Improvement &amp; EVs'!O39</f>
        <v>50255.959320569877</v>
      </c>
      <c r="P44" s="20">
        <f>'FE Improvement &amp; EVs'!P39</f>
        <v>58626.440637804502</v>
      </c>
      <c r="Q44" s="20">
        <f>'FE Improvement &amp; EVs'!Q39</f>
        <v>67294.686594327461</v>
      </c>
      <c r="R44" s="20">
        <f>'FE Improvement &amp; EVs'!R39</f>
        <v>76260.697190138686</v>
      </c>
      <c r="S44" s="20">
        <f>'FE Improvement &amp; EVs'!S39</f>
        <v>85524.472425238244</v>
      </c>
      <c r="T44" s="20">
        <f>'FE Improvement &amp; EVs'!T39</f>
        <v>95086.012299626076</v>
      </c>
      <c r="U44" s="20">
        <f>'FE Improvement &amp; EVs'!U39</f>
        <v>42657.256153239599</v>
      </c>
      <c r="V44" s="20">
        <f>'FE Improvement &amp; EVs'!V39</f>
        <v>43710.374736693477</v>
      </c>
      <c r="W44" s="20">
        <f>'FE Improvement &amp; EVs'!W39</f>
        <v>44027.871465040334</v>
      </c>
      <c r="X44" s="20">
        <f>'FE Improvement &amp; EVs'!X39</f>
        <v>44354.512099163774</v>
      </c>
      <c r="Y44" s="20">
        <f>'FE Improvement &amp; EVs'!Y39</f>
        <v>44690.559983549749</v>
      </c>
      <c r="Z44" s="20">
        <f>'FE Improvement &amp; EVs'!Z39</f>
        <v>45036.286047006193</v>
      </c>
      <c r="AA44" s="20">
        <f>'FE Improvement &amp; EVs'!AA39</f>
        <v>45391.969021090044</v>
      </c>
      <c r="AB44" s="20">
        <f>'FE Improvement &amp; EVs'!AB39</f>
        <v>45757.89566482776</v>
      </c>
      <c r="AC44" s="20">
        <f>'FE Improvement &amp; EVs'!AC39</f>
        <v>46134.360995904899</v>
      </c>
      <c r="AD44" s="20">
        <f>'FE Improvement &amp; EVs'!AD39</f>
        <v>46521.668528517112</v>
      </c>
      <c r="AE44" s="20">
        <f>'FE Improvement &amp; EVs'!AE39</f>
        <v>46920.130518068494</v>
      </c>
      <c r="AF44" s="20">
        <f>'FE Improvement &amp; EVs'!AF39</f>
        <v>47330.068212919214</v>
      </c>
      <c r="AG44" s="20">
        <f>'FE Improvement &amp; EVs'!AG39</f>
        <v>47751.812113381369</v>
      </c>
      <c r="AH44" s="20">
        <f>'FE Improvement &amp; EVs'!AH39</f>
        <v>48185.70223817692</v>
      </c>
      <c r="AI44" s="20">
        <f>'FE Improvement &amp; EVs'!AI39</f>
        <v>48632.088398566579</v>
      </c>
      <c r="AJ44" s="20">
        <f>'FE Improvement &amp; EVs'!AJ39</f>
        <v>49091.330480375451</v>
      </c>
      <c r="AK44" s="20">
        <f>'FE Improvement &amp; EVs'!AK39</f>
        <v>185562.7058560107</v>
      </c>
      <c r="AL44" s="20">
        <f>'FE Improvement &amp; EVs'!AL39</f>
        <v>50049.874073613777</v>
      </c>
      <c r="AM44" s="20">
        <f>'FE Improvement &amp; EVs'!AM39</f>
        <v>189254.7674386531</v>
      </c>
      <c r="AN44" s="20">
        <f>'FE Improvement &amp; EVs'!AN39</f>
        <v>191180.9241191342</v>
      </c>
    </row>
    <row r="45" spans="1:40">
      <c r="A45" s="12" t="s">
        <v>6</v>
      </c>
      <c r="B45" s="32">
        <f>B35*Biodiesel!C12</f>
        <v>0</v>
      </c>
      <c r="C45" s="32">
        <f>C35*Biodiesel!D12</f>
        <v>0</v>
      </c>
      <c r="D45" s="32">
        <f>D35*Biodiesel!E12</f>
        <v>0</v>
      </c>
      <c r="E45" s="32">
        <f>E35*Biodiesel!F12</f>
        <v>0</v>
      </c>
      <c r="F45" s="32">
        <f>F35*Biodiesel!G12</f>
        <v>0</v>
      </c>
      <c r="G45" s="32">
        <f>G35*Biodiesel!H12</f>
        <v>0</v>
      </c>
      <c r="H45" s="32">
        <f>'Basic Parameters and Results'!C143*Biodiesel!I12</f>
        <v>0</v>
      </c>
      <c r="I45" s="32">
        <f>'Basic Parameters and Results'!D143*Biodiesel!J12</f>
        <v>99852.840093419378</v>
      </c>
      <c r="J45" s="32">
        <f>'Basic Parameters and Results'!E143*Biodiesel!K12</f>
        <v>202192.92291456746</v>
      </c>
      <c r="K45" s="32">
        <f>'Basic Parameters and Results'!F143*Biodiesel!L12</f>
        <v>306986.68041605863</v>
      </c>
      <c r="L45" s="32">
        <f>'Basic Parameters and Results'!G143*Biodiesel!M12</f>
        <v>414193.84048725211</v>
      </c>
      <c r="M45" s="32">
        <f>'Basic Parameters and Results'!H143*Biodiesel!N12</f>
        <v>523766.99066616589</v>
      </c>
      <c r="N45" s="32">
        <f>'Basic Parameters and Results'!I143*Biodiesel!O12</f>
        <v>635651.12003608618</v>
      </c>
      <c r="O45" s="32">
        <f>'Basic Parameters and Results'!J143*Biodiesel!P12</f>
        <v>749783.13834750769</v>
      </c>
      <c r="P45" s="32">
        <f>'Basic Parameters and Results'!K143*Biodiesel!Q12</f>
        <v>866091.37136701273</v>
      </c>
      <c r="Q45" s="32">
        <f>'Basic Parameters and Results'!L143*Biodiesel!R12</f>
        <v>984495.03141416761</v>
      </c>
      <c r="R45" s="32">
        <f>'Basic Parameters and Results'!M143*Biodiesel!S12</f>
        <v>1104903.6620054103</v>
      </c>
      <c r="S45" s="32">
        <f>'Basic Parameters and Results'!N143*Biodiesel!T12</f>
        <v>1227216.5554802013</v>
      </c>
      <c r="T45" s="32">
        <f>'Basic Parameters and Results'!O143*Biodiesel!U12</f>
        <v>1351322.1424393016</v>
      </c>
      <c r="U45" s="32">
        <f>U35*Biodiesel!V12</f>
        <v>1394528.4185590511</v>
      </c>
      <c r="V45" s="32">
        <f>V35*Biodiesel!W12</f>
        <v>1434690.837013552</v>
      </c>
      <c r="W45" s="32">
        <f>W35*Biodiesel!X12</f>
        <v>1476009.9331195422</v>
      </c>
      <c r="X45" s="32">
        <f>X35*Biodiesel!Y12</f>
        <v>1518519.0191933853</v>
      </c>
      <c r="Y45" s="32">
        <f>Y35*Biodiesel!Z12</f>
        <v>1562252.3669461547</v>
      </c>
      <c r="Z45" s="32">
        <f>Z35*Biodiesel!AA12</f>
        <v>1607245.235114204</v>
      </c>
      <c r="AA45" s="32">
        <f>AA35*Biodiesel!AB12</f>
        <v>1653533.8978854932</v>
      </c>
      <c r="AB45" s="32">
        <f>AB35*Biodiesel!AC12</f>
        <v>1701155.6741445956</v>
      </c>
      <c r="AC45" s="32">
        <f>AC35*Biodiesel!AD12</f>
        <v>1750148.9575599597</v>
      </c>
      <c r="AD45" s="32">
        <f>AD35*Biodiesel!AE12</f>
        <v>1800553.2475376867</v>
      </c>
      <c r="AE45" s="32">
        <f>AE35*Biodiesel!AF12</f>
        <v>1852409.181066772</v>
      </c>
      <c r="AF45" s="32">
        <f>AF35*Biodiesel!AG12</f>
        <v>1905758.5654814951</v>
      </c>
      <c r="AG45" s="32">
        <f>AG35*Biodiesel!AH12</f>
        <v>1960644.4121673622</v>
      </c>
      <c r="AH45" s="32">
        <f>AH35*Biodiesel!AI12</f>
        <v>2017110.9712377824</v>
      </c>
      <c r="AI45" s="32">
        <f>AI35*Biodiesel!AJ12</f>
        <v>2075203.7672094305</v>
      </c>
      <c r="AJ45" s="32">
        <f>AJ35*Biodiesel!AK12</f>
        <v>2134969.6357050622</v>
      </c>
      <c r="AK45" s="32">
        <f>AK35*Biodiesel!AL12</f>
        <v>2196456.7612133678</v>
      </c>
      <c r="AL45" s="32">
        <f>AL35*Biodiesel!AM12</f>
        <v>2259714.7159363129</v>
      </c>
      <c r="AM45" s="32">
        <f>AM35*Biodiesel!AN12</f>
        <v>2324794.4997552787</v>
      </c>
      <c r="AN45" s="32">
        <f>AN35*Biodiesel!AO12</f>
        <v>2391748.5813482306</v>
      </c>
    </row>
    <row r="46" spans="1:40" s="6" customFormat="1">
      <c r="A46" s="12" t="s">
        <v>14</v>
      </c>
      <c r="B46" s="20">
        <f t="shared" ref="B46:AN46" si="10">B21-B42-B45-B51</f>
        <v>9974659</v>
      </c>
      <c r="C46" s="20">
        <f t="shared" si="10"/>
        <v>9571518</v>
      </c>
      <c r="D46" s="20">
        <f t="shared" si="10"/>
        <v>9677567</v>
      </c>
      <c r="E46" s="20">
        <f t="shared" si="10"/>
        <v>10909486</v>
      </c>
      <c r="F46" s="20">
        <f t="shared" si="10"/>
        <v>11223679.196799999</v>
      </c>
      <c r="G46" s="20">
        <f t="shared" si="10"/>
        <v>11546921.15766784</v>
      </c>
      <c r="H46" s="20">
        <f t="shared" si="10"/>
        <v>11879472.487008674</v>
      </c>
      <c r="I46" s="20">
        <f t="shared" si="10"/>
        <v>11930609.821764337</v>
      </c>
      <c r="J46" s="20">
        <f t="shared" si="10"/>
        <v>11978103.638203951</v>
      </c>
      <c r="K46" s="20">
        <f t="shared" si="10"/>
        <v>12021795.665610392</v>
      </c>
      <c r="L46" s="20">
        <f t="shared" si="10"/>
        <v>12061524.24647817</v>
      </c>
      <c r="M46" s="20">
        <f t="shared" si="10"/>
        <v>12097124.350687228</v>
      </c>
      <c r="N46" s="20">
        <f t="shared" si="10"/>
        <v>12128427.595547972</v>
      </c>
      <c r="O46" s="20">
        <f t="shared" si="10"/>
        <v>12155262.272108732</v>
      </c>
      <c r="P46" s="20">
        <f t="shared" si="10"/>
        <v>12177453.37813619</v>
      </c>
      <c r="Q46" s="20">
        <f t="shared" si="10"/>
        <v>12194822.658199854</v>
      </c>
      <c r="R46" s="20">
        <f t="shared" si="10"/>
        <v>12207188.651312787</v>
      </c>
      <c r="S46" s="20">
        <f t="shared" si="10"/>
        <v>12214366.746603057</v>
      </c>
      <c r="T46" s="20">
        <f t="shared" si="10"/>
        <v>12216169.247513525</v>
      </c>
      <c r="U46" s="20">
        <f t="shared" si="10"/>
        <v>12550755.767031461</v>
      </c>
      <c r="V46" s="20">
        <f t="shared" si="10"/>
        <v>12912217.533121966</v>
      </c>
      <c r="W46" s="20">
        <f t="shared" si="10"/>
        <v>13284089.398075879</v>
      </c>
      <c r="X46" s="20">
        <f t="shared" si="10"/>
        <v>13666671.172740467</v>
      </c>
      <c r="Y46" s="20">
        <f t="shared" si="10"/>
        <v>14060271.302515391</v>
      </c>
      <c r="Z46" s="20">
        <f t="shared" si="10"/>
        <v>14465207.116027836</v>
      </c>
      <c r="AA46" s="20">
        <f t="shared" si="10"/>
        <v>14881805.080969438</v>
      </c>
      <c r="AB46" s="20">
        <f t="shared" si="10"/>
        <v>15310401.067301359</v>
      </c>
      <c r="AC46" s="20">
        <f t="shared" si="10"/>
        <v>15751340.618039636</v>
      </c>
      <c r="AD46" s="20">
        <f t="shared" si="10"/>
        <v>16204979.227839179</v>
      </c>
      <c r="AE46" s="20">
        <f t="shared" si="10"/>
        <v>16671682.629600948</v>
      </c>
      <c r="AF46" s="20">
        <f t="shared" si="10"/>
        <v>17151827.089333456</v>
      </c>
      <c r="AG46" s="20">
        <f t="shared" si="10"/>
        <v>17645799.709506258</v>
      </c>
      <c r="AH46" s="20">
        <f t="shared" si="10"/>
        <v>18153998.741140042</v>
      </c>
      <c r="AI46" s="20">
        <f t="shared" si="10"/>
        <v>18676833.904884875</v>
      </c>
      <c r="AJ46" s="20">
        <f t="shared" si="10"/>
        <v>19214726.721345559</v>
      </c>
      <c r="AK46" s="20">
        <f t="shared" si="10"/>
        <v>19768110.850920312</v>
      </c>
      <c r="AL46" s="20">
        <f t="shared" si="10"/>
        <v>20337432.443426814</v>
      </c>
      <c r="AM46" s="20">
        <f t="shared" si="10"/>
        <v>20923150.497797508</v>
      </c>
      <c r="AN46" s="20">
        <f t="shared" si="10"/>
        <v>21525737.232134078</v>
      </c>
    </row>
    <row r="47" spans="1:40">
      <c r="A47" s="12" t="s">
        <v>13</v>
      </c>
      <c r="B47" s="20">
        <f t="shared" ref="B47:AN47" si="11">B22-B40-B41-B44-B50</f>
        <v>8933975</v>
      </c>
      <c r="C47" s="20">
        <f t="shared" si="11"/>
        <v>9653497</v>
      </c>
      <c r="D47" s="20">
        <f t="shared" si="11"/>
        <v>10934886</v>
      </c>
      <c r="E47" s="20">
        <f t="shared" si="11"/>
        <v>14219362</v>
      </c>
      <c r="F47" s="20">
        <f t="shared" si="11"/>
        <v>14628879.625600001</v>
      </c>
      <c r="G47" s="20">
        <f t="shared" si="11"/>
        <v>15050191.358817281</v>
      </c>
      <c r="H47" s="20">
        <f t="shared" si="11"/>
        <v>15483636.869951218</v>
      </c>
      <c r="I47" s="20">
        <f t="shared" si="11"/>
        <v>15659760.58443374</v>
      </c>
      <c r="J47" s="20">
        <f t="shared" si="11"/>
        <v>15798553.4927947</v>
      </c>
      <c r="K47" s="20">
        <f t="shared" si="11"/>
        <v>15903017.171580631</v>
      </c>
      <c r="L47" s="20">
        <f t="shared" si="11"/>
        <v>15972491.020366909</v>
      </c>
      <c r="M47" s="20">
        <f t="shared" si="11"/>
        <v>16007211.112071082</v>
      </c>
      <c r="N47" s="20">
        <f t="shared" si="11"/>
        <v>16007397.67690902</v>
      </c>
      <c r="O47" s="20">
        <f t="shared" si="11"/>
        <v>15973254.45357495</v>
      </c>
      <c r="P47" s="20">
        <f t="shared" si="11"/>
        <v>15904968.016190011</v>
      </c>
      <c r="Q47" s="20">
        <f t="shared" si="11"/>
        <v>15802707.076161817</v>
      </c>
      <c r="R47" s="20">
        <f t="shared" si="11"/>
        <v>15666621.758068064</v>
      </c>
      <c r="S47" s="20">
        <f t="shared" si="11"/>
        <v>15529663.64318718</v>
      </c>
      <c r="T47" s="20">
        <f t="shared" si="11"/>
        <v>15391389.379613506</v>
      </c>
      <c r="U47" s="20">
        <f t="shared" si="11"/>
        <v>15593563.651270432</v>
      </c>
      <c r="V47" s="20">
        <f t="shared" si="11"/>
        <v>15794629.751291176</v>
      </c>
      <c r="W47" s="20">
        <f t="shared" si="11"/>
        <v>16038687.820529027</v>
      </c>
      <c r="X47" s="20">
        <f t="shared" si="11"/>
        <v>16324774.638519654</v>
      </c>
      <c r="Y47" s="20">
        <f t="shared" si="11"/>
        <v>16652681.15155193</v>
      </c>
      <c r="Z47" s="20">
        <f t="shared" si="11"/>
        <v>17022208.24100012</v>
      </c>
      <c r="AA47" s="20">
        <f t="shared" si="11"/>
        <v>17433167.00945434</v>
      </c>
      <c r="AB47" s="20">
        <f t="shared" si="11"/>
        <v>17885379.075091559</v>
      </c>
      <c r="AC47" s="20">
        <f t="shared" si="11"/>
        <v>18378676.874524526</v>
      </c>
      <c r="AD47" s="20">
        <f t="shared" si="11"/>
        <v>18986823.900874633</v>
      </c>
      <c r="AE47" s="20">
        <f t="shared" si="11"/>
        <v>19620228.240392458</v>
      </c>
      <c r="AF47" s="20">
        <f t="shared" si="11"/>
        <v>20271874.62488839</v>
      </c>
      <c r="AG47" s="20">
        <f t="shared" si="11"/>
        <v>20942288.425257809</v>
      </c>
      <c r="AH47" s="20">
        <f t="shared" si="11"/>
        <v>21632010.143077865</v>
      </c>
      <c r="AI47" s="20">
        <f t="shared" si="11"/>
        <v>22341595.846371137</v>
      </c>
      <c r="AJ47" s="20">
        <f t="shared" si="11"/>
        <v>23071617.617919262</v>
      </c>
      <c r="AK47" s="20">
        <f t="shared" si="11"/>
        <v>23686665.109366097</v>
      </c>
      <c r="AL47" s="20">
        <f t="shared" si="11"/>
        <v>24595340.551335454</v>
      </c>
      <c r="AM47" s="20">
        <f t="shared" si="11"/>
        <v>25251565.351330757</v>
      </c>
      <c r="AN47" s="20">
        <f t="shared" si="11"/>
        <v>26067977.263179395</v>
      </c>
    </row>
    <row r="48" spans="1:40">
      <c r="A48" s="12" t="s">
        <v>58</v>
      </c>
      <c r="B48" s="20">
        <f>SUM(B46:B47)</f>
        <v>18908634</v>
      </c>
      <c r="C48" s="20">
        <f t="shared" ref="C48:O48" si="12">SUM(C46:C47)</f>
        <v>19225015</v>
      </c>
      <c r="D48" s="20">
        <f t="shared" si="12"/>
        <v>20612453</v>
      </c>
      <c r="E48" s="20">
        <f t="shared" si="12"/>
        <v>25128848</v>
      </c>
      <c r="F48" s="20">
        <f t="shared" si="12"/>
        <v>25852558.8224</v>
      </c>
      <c r="G48" s="20">
        <f t="shared" si="12"/>
        <v>26597112.516485121</v>
      </c>
      <c r="H48" s="20">
        <f t="shared" si="12"/>
        <v>27363109.356959894</v>
      </c>
      <c r="I48" s="20">
        <f t="shared" si="12"/>
        <v>27590370.406198077</v>
      </c>
      <c r="J48" s="20">
        <f t="shared" si="12"/>
        <v>27776657.130998649</v>
      </c>
      <c r="K48" s="20">
        <f t="shared" si="12"/>
        <v>27924812.837191023</v>
      </c>
      <c r="L48" s="20">
        <f t="shared" si="12"/>
        <v>28034015.266845077</v>
      </c>
      <c r="M48" s="20">
        <f t="shared" si="12"/>
        <v>28104335.46275831</v>
      </c>
      <c r="N48" s="20">
        <f t="shared" si="12"/>
        <v>28135825.272456992</v>
      </c>
      <c r="O48" s="20">
        <f t="shared" si="12"/>
        <v>28128516.725683682</v>
      </c>
      <c r="P48" s="20">
        <f t="shared" ref="P48:AN48" si="13">SUM(P46:P47)</f>
        <v>28082421.394326203</v>
      </c>
      <c r="Q48" s="20">
        <f t="shared" si="13"/>
        <v>27997529.734361671</v>
      </c>
      <c r="R48" s="20">
        <f t="shared" si="13"/>
        <v>27873810.409380853</v>
      </c>
      <c r="S48" s="20">
        <f t="shared" si="13"/>
        <v>27744030.389790237</v>
      </c>
      <c r="T48" s="20">
        <f t="shared" si="13"/>
        <v>27607558.627127029</v>
      </c>
      <c r="U48" s="20">
        <f t="shared" si="13"/>
        <v>28144319.418301895</v>
      </c>
      <c r="V48" s="20">
        <f t="shared" si="13"/>
        <v>28706847.284413144</v>
      </c>
      <c r="W48" s="20">
        <f t="shared" si="13"/>
        <v>29322777.218604907</v>
      </c>
      <c r="X48" s="20">
        <f t="shared" si="13"/>
        <v>29991445.811260119</v>
      </c>
      <c r="Y48" s="20">
        <f t="shared" si="13"/>
        <v>30712952.45406732</v>
      </c>
      <c r="Z48" s="20">
        <f t="shared" si="13"/>
        <v>31487415.357027955</v>
      </c>
      <c r="AA48" s="20">
        <f t="shared" si="13"/>
        <v>32314972.090423778</v>
      </c>
      <c r="AB48" s="20">
        <f t="shared" si="13"/>
        <v>33195780.142392918</v>
      </c>
      <c r="AC48" s="20">
        <f t="shared" si="13"/>
        <v>34130017.492564164</v>
      </c>
      <c r="AD48" s="20">
        <f t="shared" si="13"/>
        <v>35191803.128713816</v>
      </c>
      <c r="AE48" s="20">
        <f t="shared" si="13"/>
        <v>36291910.869993404</v>
      </c>
      <c r="AF48" s="20">
        <f t="shared" si="13"/>
        <v>37423701.71422185</v>
      </c>
      <c r="AG48" s="20">
        <f t="shared" si="13"/>
        <v>38588088.134764068</v>
      </c>
      <c r="AH48" s="20">
        <f t="shared" si="13"/>
        <v>39786008.884217903</v>
      </c>
      <c r="AI48" s="20">
        <f t="shared" si="13"/>
        <v>41018429.751256011</v>
      </c>
      <c r="AJ48" s="20">
        <f t="shared" si="13"/>
        <v>42286344.339264825</v>
      </c>
      <c r="AK48" s="20">
        <f t="shared" si="13"/>
        <v>43454775.960286409</v>
      </c>
      <c r="AL48" s="20">
        <f t="shared" si="13"/>
        <v>44932772.994762272</v>
      </c>
      <c r="AM48" s="20">
        <f t="shared" si="13"/>
        <v>46174715.849128261</v>
      </c>
      <c r="AN48" s="20">
        <f t="shared" si="13"/>
        <v>47593714.495313473</v>
      </c>
    </row>
    <row r="49" spans="1:40">
      <c r="A49" s="6"/>
      <c r="S49" s="38"/>
      <c r="U49" s="41"/>
      <c r="V49" s="41"/>
      <c r="W49" s="41"/>
      <c r="X49" s="41"/>
      <c r="Y49" s="41"/>
      <c r="Z49" s="41"/>
      <c r="AA49" s="41"/>
      <c r="AB49" s="41"/>
      <c r="AC49" s="41"/>
      <c r="AD49" s="41"/>
      <c r="AE49" s="41"/>
      <c r="AF49" s="41"/>
      <c r="AG49" s="41"/>
      <c r="AH49" s="41"/>
      <c r="AI49" s="41"/>
      <c r="AJ49" s="41"/>
      <c r="AK49" s="41"/>
      <c r="AL49" s="41"/>
      <c r="AM49" s="41"/>
      <c r="AN49" s="41"/>
    </row>
    <row r="50" spans="1:40">
      <c r="A50" s="47" t="s">
        <v>55</v>
      </c>
      <c r="B50" s="48">
        <f t="shared" ref="B50:AN50" si="14">B43*((B22-B40-B41)/((B22-B40-B41)+(B21-B42)))</f>
        <v>0</v>
      </c>
      <c r="C50" s="48">
        <f t="shared" si="14"/>
        <v>0</v>
      </c>
      <c r="D50" s="48">
        <f t="shared" si="14"/>
        <v>0</v>
      </c>
      <c r="E50" s="48">
        <f t="shared" si="14"/>
        <v>0</v>
      </c>
      <c r="F50" s="48">
        <f t="shared" si="14"/>
        <v>0</v>
      </c>
      <c r="G50" s="48">
        <f t="shared" si="14"/>
        <v>0</v>
      </c>
      <c r="H50" s="48">
        <f t="shared" si="14"/>
        <v>0</v>
      </c>
      <c r="I50" s="1318">
        <f t="shared" si="14"/>
        <v>0</v>
      </c>
      <c r="J50" s="48">
        <f t="shared" si="14"/>
        <v>0</v>
      </c>
      <c r="K50" s="48">
        <f t="shared" si="14"/>
        <v>0</v>
      </c>
      <c r="L50" s="48">
        <f t="shared" si="14"/>
        <v>0</v>
      </c>
      <c r="M50" s="48">
        <f t="shared" si="14"/>
        <v>0</v>
      </c>
      <c r="N50" s="48">
        <f t="shared" si="14"/>
        <v>0</v>
      </c>
      <c r="O50" s="48">
        <f t="shared" si="14"/>
        <v>0</v>
      </c>
      <c r="P50" s="48">
        <f t="shared" si="14"/>
        <v>0</v>
      </c>
      <c r="Q50" s="48">
        <f t="shared" si="14"/>
        <v>0</v>
      </c>
      <c r="R50" s="48">
        <f t="shared" si="14"/>
        <v>0</v>
      </c>
      <c r="S50" s="48">
        <f t="shared" si="14"/>
        <v>0</v>
      </c>
      <c r="T50" s="48">
        <f t="shared" si="14"/>
        <v>0</v>
      </c>
      <c r="U50" s="48">
        <f t="shared" si="14"/>
        <v>0</v>
      </c>
      <c r="V50" s="48">
        <f t="shared" si="14"/>
        <v>0</v>
      </c>
      <c r="W50" s="48">
        <f t="shared" si="14"/>
        <v>0</v>
      </c>
      <c r="X50" s="48">
        <f t="shared" si="14"/>
        <v>0</v>
      </c>
      <c r="Y50" s="48">
        <f t="shared" si="14"/>
        <v>0</v>
      </c>
      <c r="Z50" s="48">
        <f t="shared" si="14"/>
        <v>0</v>
      </c>
      <c r="AA50" s="48">
        <f t="shared" si="14"/>
        <v>0</v>
      </c>
      <c r="AB50" s="48">
        <f t="shared" si="14"/>
        <v>0</v>
      </c>
      <c r="AC50" s="48">
        <f t="shared" si="14"/>
        <v>0</v>
      </c>
      <c r="AD50" s="48">
        <f t="shared" si="14"/>
        <v>0</v>
      </c>
      <c r="AE50" s="48">
        <f t="shared" si="14"/>
        <v>0</v>
      </c>
      <c r="AF50" s="48">
        <f t="shared" si="14"/>
        <v>0</v>
      </c>
      <c r="AG50" s="48">
        <f t="shared" si="14"/>
        <v>0</v>
      </c>
      <c r="AH50" s="48">
        <f t="shared" si="14"/>
        <v>0</v>
      </c>
      <c r="AI50" s="48">
        <f t="shared" si="14"/>
        <v>0</v>
      </c>
      <c r="AJ50" s="48">
        <f t="shared" si="14"/>
        <v>0</v>
      </c>
      <c r="AK50" s="48">
        <f t="shared" si="14"/>
        <v>0</v>
      </c>
      <c r="AL50" s="48">
        <f t="shared" si="14"/>
        <v>0</v>
      </c>
      <c r="AM50" s="48">
        <f t="shared" si="14"/>
        <v>0</v>
      </c>
      <c r="AN50" s="48">
        <f t="shared" si="14"/>
        <v>0</v>
      </c>
    </row>
    <row r="51" spans="1:40">
      <c r="A51" s="47" t="s">
        <v>56</v>
      </c>
      <c r="B51" s="49">
        <f t="shared" ref="B51:AN51" si="15">B43*((B21-B42)/((B22-B40-B41)+(B21-B42)))</f>
        <v>0</v>
      </c>
      <c r="C51" s="49">
        <f t="shared" si="15"/>
        <v>0</v>
      </c>
      <c r="D51" s="49">
        <f t="shared" si="15"/>
        <v>0</v>
      </c>
      <c r="E51" s="49">
        <f t="shared" si="15"/>
        <v>0</v>
      </c>
      <c r="F51" s="49">
        <f t="shared" si="15"/>
        <v>0</v>
      </c>
      <c r="G51" s="49">
        <f t="shared" si="15"/>
        <v>0</v>
      </c>
      <c r="H51" s="49">
        <f t="shared" si="15"/>
        <v>0</v>
      </c>
      <c r="I51" s="49">
        <f t="shared" si="15"/>
        <v>0</v>
      </c>
      <c r="J51" s="49">
        <f t="shared" si="15"/>
        <v>0</v>
      </c>
      <c r="K51" s="49">
        <f t="shared" si="15"/>
        <v>0</v>
      </c>
      <c r="L51" s="49">
        <f t="shared" si="15"/>
        <v>0</v>
      </c>
      <c r="M51" s="49">
        <f t="shared" si="15"/>
        <v>0</v>
      </c>
      <c r="N51" s="49">
        <f t="shared" si="15"/>
        <v>0</v>
      </c>
      <c r="O51" s="49">
        <f t="shared" si="15"/>
        <v>0</v>
      </c>
      <c r="P51" s="49">
        <f t="shared" si="15"/>
        <v>0</v>
      </c>
      <c r="Q51" s="49">
        <f t="shared" si="15"/>
        <v>0</v>
      </c>
      <c r="R51" s="49">
        <f t="shared" si="15"/>
        <v>0</v>
      </c>
      <c r="S51" s="49">
        <f t="shared" si="15"/>
        <v>0</v>
      </c>
      <c r="T51" s="49">
        <f t="shared" si="15"/>
        <v>0</v>
      </c>
      <c r="U51" s="49">
        <f t="shared" si="15"/>
        <v>0</v>
      </c>
      <c r="V51" s="49">
        <f t="shared" si="15"/>
        <v>0</v>
      </c>
      <c r="W51" s="49">
        <f t="shared" si="15"/>
        <v>0</v>
      </c>
      <c r="X51" s="49">
        <f t="shared" si="15"/>
        <v>0</v>
      </c>
      <c r="Y51" s="49">
        <f t="shared" si="15"/>
        <v>0</v>
      </c>
      <c r="Z51" s="49">
        <f t="shared" si="15"/>
        <v>0</v>
      </c>
      <c r="AA51" s="49">
        <f t="shared" si="15"/>
        <v>0</v>
      </c>
      <c r="AB51" s="49">
        <f t="shared" si="15"/>
        <v>0</v>
      </c>
      <c r="AC51" s="49">
        <f t="shared" si="15"/>
        <v>0</v>
      </c>
      <c r="AD51" s="49">
        <f t="shared" si="15"/>
        <v>0</v>
      </c>
      <c r="AE51" s="49">
        <f t="shared" si="15"/>
        <v>0</v>
      </c>
      <c r="AF51" s="49">
        <f t="shared" si="15"/>
        <v>0</v>
      </c>
      <c r="AG51" s="49">
        <f t="shared" si="15"/>
        <v>0</v>
      </c>
      <c r="AH51" s="49">
        <f t="shared" si="15"/>
        <v>0</v>
      </c>
      <c r="AI51" s="49">
        <f t="shared" si="15"/>
        <v>0</v>
      </c>
      <c r="AJ51" s="49">
        <f t="shared" si="15"/>
        <v>0</v>
      </c>
      <c r="AK51" s="49">
        <f t="shared" si="15"/>
        <v>0</v>
      </c>
      <c r="AL51" s="49">
        <f t="shared" si="15"/>
        <v>0</v>
      </c>
      <c r="AM51" s="49">
        <f t="shared" si="15"/>
        <v>0</v>
      </c>
      <c r="AN51" s="49">
        <f t="shared" si="15"/>
        <v>0</v>
      </c>
    </row>
    <row r="52" spans="1:40">
      <c r="I52" s="38"/>
      <c r="J52" s="38"/>
    </row>
    <row r="53" spans="1:40" s="41" customFormat="1">
      <c r="A53" s="1310" t="s">
        <v>3664</v>
      </c>
      <c r="B53" s="1311"/>
      <c r="C53" s="1311"/>
      <c r="D53" s="1311"/>
      <c r="E53" s="1311"/>
      <c r="F53" s="1311"/>
      <c r="G53" s="1311"/>
      <c r="H53" s="1311"/>
      <c r="I53" s="1311"/>
      <c r="J53" s="1311"/>
      <c r="K53" s="1311"/>
      <c r="L53" s="1311"/>
      <c r="M53" s="1311"/>
      <c r="N53" s="1311"/>
      <c r="O53" s="1311"/>
      <c r="P53" s="1311"/>
      <c r="Q53" s="1312"/>
      <c r="R53" s="1312"/>
      <c r="S53" s="1312"/>
      <c r="T53" s="1312"/>
      <c r="U53" s="1312"/>
      <c r="V53" s="1312"/>
      <c r="W53" s="1312"/>
      <c r="X53" s="1312"/>
      <c r="Y53" s="1312"/>
      <c r="Z53" s="1312"/>
      <c r="AA53" s="1312"/>
      <c r="AB53" s="1312"/>
      <c r="AC53" s="1312"/>
      <c r="AD53" s="1312"/>
      <c r="AE53" s="1312"/>
      <c r="AF53" s="1312"/>
      <c r="AG53" s="1312"/>
      <c r="AH53" s="1312"/>
      <c r="AI53" s="1312"/>
      <c r="AJ53" s="1312"/>
      <c r="AK53" s="1312"/>
      <c r="AL53" s="1312"/>
      <c r="AM53" s="1312"/>
      <c r="AN53" s="1312"/>
    </row>
    <row r="54" spans="1:40" s="41" customFormat="1">
      <c r="A54" s="1313" t="s">
        <v>3</v>
      </c>
      <c r="B54" s="1314">
        <v>2012</v>
      </c>
      <c r="C54" s="1314">
        <v>2013</v>
      </c>
      <c r="D54" s="1314">
        <v>2014</v>
      </c>
      <c r="E54" s="1314">
        <v>2015</v>
      </c>
      <c r="F54" s="1314">
        <v>2016</v>
      </c>
      <c r="G54" s="1314">
        <v>2017</v>
      </c>
      <c r="H54" s="1314">
        <v>2018</v>
      </c>
      <c r="I54" s="1314">
        <v>2019</v>
      </c>
      <c r="J54" s="1314">
        <v>2020</v>
      </c>
      <c r="K54" s="1314">
        <v>2021</v>
      </c>
      <c r="L54" s="1314">
        <v>2022</v>
      </c>
      <c r="M54" s="1314">
        <v>2023</v>
      </c>
      <c r="N54" s="1314">
        <v>2024</v>
      </c>
      <c r="O54" s="1314">
        <v>2025</v>
      </c>
      <c r="P54" s="1314">
        <v>2026</v>
      </c>
      <c r="Q54" s="1313">
        <v>2027</v>
      </c>
      <c r="R54" s="1313">
        <v>2028</v>
      </c>
      <c r="S54" s="1313">
        <v>2029</v>
      </c>
      <c r="T54" s="1313">
        <v>2030</v>
      </c>
      <c r="U54" s="1313">
        <v>2031</v>
      </c>
      <c r="V54" s="1313">
        <v>2032</v>
      </c>
      <c r="W54" s="1313">
        <v>2033</v>
      </c>
      <c r="X54" s="1313">
        <v>2034</v>
      </c>
      <c r="Y54" s="1313">
        <v>2035</v>
      </c>
      <c r="Z54" s="1313">
        <v>2036</v>
      </c>
      <c r="AA54" s="1313">
        <v>2037</v>
      </c>
      <c r="AB54" s="1313">
        <v>2038</v>
      </c>
      <c r="AC54" s="1313">
        <v>2039</v>
      </c>
      <c r="AD54" s="1313">
        <v>2040</v>
      </c>
      <c r="AE54" s="1313">
        <v>2041</v>
      </c>
      <c r="AF54" s="1313">
        <v>2042</v>
      </c>
      <c r="AG54" s="1313">
        <v>2043</v>
      </c>
      <c r="AH54" s="1313">
        <v>2044</v>
      </c>
      <c r="AI54" s="1313">
        <v>2045</v>
      </c>
      <c r="AJ54" s="1313">
        <v>2046</v>
      </c>
      <c r="AK54" s="1313">
        <v>2047</v>
      </c>
      <c r="AL54" s="1313">
        <v>2048</v>
      </c>
      <c r="AM54" s="1313">
        <v>2049</v>
      </c>
      <c r="AN54" s="1313">
        <v>2050</v>
      </c>
    </row>
    <row r="55" spans="1:40" s="41" customFormat="1">
      <c r="A55" s="1315" t="s">
        <v>3665</v>
      </c>
      <c r="B55" s="1316">
        <f t="shared" ref="B55:AN55" si="16">B40*Gasoline_GHG_Emissions</f>
        <v>0</v>
      </c>
      <c r="C55" s="1316">
        <f t="shared" si="16"/>
        <v>0</v>
      </c>
      <c r="D55" s="1316">
        <f t="shared" si="16"/>
        <v>0</v>
      </c>
      <c r="E55" s="1316">
        <f t="shared" si="16"/>
        <v>0</v>
      </c>
      <c r="F55" s="1316">
        <f t="shared" si="16"/>
        <v>0</v>
      </c>
      <c r="G55" s="1316">
        <f t="shared" si="16"/>
        <v>0</v>
      </c>
      <c r="H55" s="1316">
        <f t="shared" si="16"/>
        <v>0</v>
      </c>
      <c r="I55" s="1316">
        <f t="shared" si="16"/>
        <v>771639.69233819691</v>
      </c>
      <c r="J55" s="1316">
        <f t="shared" si="16"/>
        <v>1587725.8309550744</v>
      </c>
      <c r="K55" s="1316">
        <f t="shared" si="16"/>
        <v>2450178.5023298706</v>
      </c>
      <c r="L55" s="1316">
        <f t="shared" si="16"/>
        <v>3360991.5242626285</v>
      </c>
      <c r="M55" s="1316">
        <f t="shared" si="16"/>
        <v>4322235.1002017409</v>
      </c>
      <c r="N55" s="1316">
        <f t="shared" si="16"/>
        <v>5336058.5653050607</v>
      </c>
      <c r="O55" s="1316">
        <f t="shared" si="16"/>
        <v>6404693.227316821</v>
      </c>
      <c r="P55" s="1316">
        <f t="shared" si="16"/>
        <v>7530455.3054440524</v>
      </c>
      <c r="Q55" s="1316">
        <f t="shared" si="16"/>
        <v>8715748.9705209453</v>
      </c>
      <c r="R55" s="1316">
        <f t="shared" si="16"/>
        <v>9963069.4898577221</v>
      </c>
      <c r="S55" s="1316">
        <f t="shared" si="16"/>
        <v>11275006.480282187</v>
      </c>
      <c r="T55" s="1316">
        <f t="shared" si="16"/>
        <v>12654247.272997433</v>
      </c>
      <c r="U55" s="1316">
        <f t="shared" si="16"/>
        <v>13070973.488413412</v>
      </c>
      <c r="V55" s="1316">
        <f t="shared" si="16"/>
        <v>13447417.52487972</v>
      </c>
      <c r="W55" s="1316">
        <f t="shared" si="16"/>
        <v>13834703.149596257</v>
      </c>
      <c r="X55" s="1316">
        <f t="shared" si="16"/>
        <v>14233142.600304628</v>
      </c>
      <c r="Y55" s="1316">
        <f t="shared" si="16"/>
        <v>14643057.107193403</v>
      </c>
      <c r="Z55" s="1316">
        <f t="shared" si="16"/>
        <v>15064777.151880572</v>
      </c>
      <c r="AA55" s="1316">
        <f t="shared" si="16"/>
        <v>15498642.73385473</v>
      </c>
      <c r="AB55" s="1316">
        <f t="shared" si="16"/>
        <v>15945003.644589748</v>
      </c>
      <c r="AC55" s="1316">
        <f t="shared" si="16"/>
        <v>16404219.749553932</v>
      </c>
      <c r="AD55" s="1316">
        <f t="shared" si="16"/>
        <v>16876661.278341085</v>
      </c>
      <c r="AE55" s="1316">
        <f t="shared" si="16"/>
        <v>17362709.123157308</v>
      </c>
      <c r="AF55" s="1316">
        <f t="shared" si="16"/>
        <v>17862755.145904236</v>
      </c>
      <c r="AG55" s="1316">
        <f t="shared" si="16"/>
        <v>18377202.494106278</v>
      </c>
      <c r="AH55" s="1316">
        <f t="shared" si="16"/>
        <v>18906465.925936539</v>
      </c>
      <c r="AI55" s="1316">
        <f t="shared" si="16"/>
        <v>19450972.144603513</v>
      </c>
      <c r="AJ55" s="1316">
        <f t="shared" si="16"/>
        <v>20011160.142368093</v>
      </c>
      <c r="AK55" s="1316">
        <f t="shared" si="16"/>
        <v>20587481.554468296</v>
      </c>
      <c r="AL55" s="1316">
        <f t="shared" si="16"/>
        <v>21180401.023236983</v>
      </c>
      <c r="AM55" s="1316">
        <f t="shared" si="16"/>
        <v>21790396.572706208</v>
      </c>
      <c r="AN55" s="1316">
        <f t="shared" si="16"/>
        <v>22417959.994000148</v>
      </c>
    </row>
    <row r="56" spans="1:40" s="41" customFormat="1">
      <c r="A56" s="1315" t="s">
        <v>103</v>
      </c>
      <c r="B56" s="1316">
        <f t="shared" ref="B56:AN56" si="17">B41*Gasoline_GHG_Emissions</f>
        <v>0</v>
      </c>
      <c r="C56" s="1316">
        <f t="shared" si="17"/>
        <v>0</v>
      </c>
      <c r="D56" s="1316">
        <f t="shared" si="17"/>
        <v>0</v>
      </c>
      <c r="E56" s="1316">
        <f t="shared" si="17"/>
        <v>0</v>
      </c>
      <c r="F56" s="1316">
        <f t="shared" si="17"/>
        <v>0</v>
      </c>
      <c r="G56" s="1316">
        <f t="shared" si="17"/>
        <v>0</v>
      </c>
      <c r="H56" s="1316">
        <f t="shared" si="17"/>
        <v>0</v>
      </c>
      <c r="I56" s="1316">
        <f t="shared" si="17"/>
        <v>0</v>
      </c>
      <c r="J56" s="1316">
        <f t="shared" si="17"/>
        <v>95774.88265275021</v>
      </c>
      <c r="K56" s="1316">
        <f t="shared" si="17"/>
        <v>285707.94768162409</v>
      </c>
      <c r="L56" s="1316">
        <f t="shared" si="17"/>
        <v>568182.49480999378</v>
      </c>
      <c r="M56" s="1316">
        <f t="shared" si="17"/>
        <v>941581.82376123138</v>
      </c>
      <c r="N56" s="1316">
        <f t="shared" si="17"/>
        <v>1404289.234258709</v>
      </c>
      <c r="O56" s="1316">
        <f t="shared" si="17"/>
        <v>1954688.0260257986</v>
      </c>
      <c r="P56" s="1316">
        <f t="shared" si="17"/>
        <v>2591161.4987858734</v>
      </c>
      <c r="Q56" s="1316">
        <f t="shared" si="17"/>
        <v>3312092.9522623052</v>
      </c>
      <c r="R56" s="1316">
        <f t="shared" si="17"/>
        <v>4115865.6861784658</v>
      </c>
      <c r="S56" s="1316">
        <f t="shared" si="17"/>
        <v>4905088.1176049784</v>
      </c>
      <c r="T56" s="1316">
        <f t="shared" si="17"/>
        <v>5679760.24654184</v>
      </c>
      <c r="U56" s="1316">
        <f t="shared" si="17"/>
        <v>6655588.9864149792</v>
      </c>
      <c r="V56" s="1316">
        <f t="shared" si="17"/>
        <v>7571557.825206806</v>
      </c>
      <c r="W56" s="1316">
        <f t="shared" si="17"/>
        <v>8407584.0975585673</v>
      </c>
      <c r="X56" s="1316">
        <f t="shared" si="17"/>
        <v>9165554.2305819523</v>
      </c>
      <c r="Y56" s="1316">
        <f t="shared" si="17"/>
        <v>9847362.4195214901</v>
      </c>
      <c r="Z56" s="1316">
        <f t="shared" si="17"/>
        <v>10454910.851476798</v>
      </c>
      <c r="AA56" s="1316">
        <f t="shared" si="17"/>
        <v>10990109.935567982</v>
      </c>
      <c r="AB56" s="1316">
        <f t="shared" si="17"/>
        <v>11454878.539729856</v>
      </c>
      <c r="AC56" s="1316">
        <f t="shared" si="17"/>
        <v>11851144.234325776</v>
      </c>
      <c r="AD56" s="1316">
        <f t="shared" si="17"/>
        <v>11965136.629351672</v>
      </c>
      <c r="AE56" s="1316">
        <f t="shared" si="17"/>
        <v>12059817.971153576</v>
      </c>
      <c r="AF56" s="1316">
        <f t="shared" si="17"/>
        <v>12157226.135599384</v>
      </c>
      <c r="AG56" s="1316">
        <f t="shared" si="17"/>
        <v>12257439.655181225</v>
      </c>
      <c r="AH56" s="1316">
        <f t="shared" si="17"/>
        <v>12360539.324127028</v>
      </c>
      <c r="AI56" s="1316">
        <f t="shared" si="17"/>
        <v>12466608.263538463</v>
      </c>
      <c r="AJ56" s="1316">
        <f t="shared" si="17"/>
        <v>12575731.988404958</v>
      </c>
      <c r="AK56" s="1316">
        <f t="shared" si="17"/>
        <v>12687998.476547599</v>
      </c>
      <c r="AL56" s="1316">
        <f t="shared" si="17"/>
        <v>12803498.239548748</v>
      </c>
      <c r="AM56" s="1316">
        <f t="shared" si="17"/>
        <v>12922324.395724338</v>
      </c>
      <c r="AN56" s="1316">
        <f t="shared" si="17"/>
        <v>13044572.745197779</v>
      </c>
    </row>
    <row r="57" spans="1:40" s="41" customFormat="1">
      <c r="A57" s="1313" t="s">
        <v>22</v>
      </c>
      <c r="B57" s="1317">
        <f t="shared" ref="B57:AN57" si="18">B42*Diesel_GHG_Emissions</f>
        <v>0</v>
      </c>
      <c r="C57" s="1317">
        <f t="shared" si="18"/>
        <v>0</v>
      </c>
      <c r="D57" s="1317">
        <f t="shared" si="18"/>
        <v>0</v>
      </c>
      <c r="E57" s="1317">
        <f t="shared" si="18"/>
        <v>0</v>
      </c>
      <c r="F57" s="1317">
        <f t="shared" si="18"/>
        <v>0</v>
      </c>
      <c r="G57" s="1317">
        <f t="shared" si="18"/>
        <v>0</v>
      </c>
      <c r="H57" s="1317">
        <f t="shared" si="18"/>
        <v>0</v>
      </c>
      <c r="I57" s="1317">
        <f t="shared" si="18"/>
        <v>628904.81298521976</v>
      </c>
      <c r="J57" s="1317">
        <f t="shared" si="18"/>
        <v>1294034.5431983878</v>
      </c>
      <c r="K57" s="1317">
        <f t="shared" si="18"/>
        <v>1996954.1070637521</v>
      </c>
      <c r="L57" s="1317">
        <f t="shared" si="18"/>
        <v>2739288.5137962508</v>
      </c>
      <c r="M57" s="1317">
        <f t="shared" si="18"/>
        <v>3522725.0287419786</v>
      </c>
      <c r="N57" s="1317">
        <f t="shared" si="18"/>
        <v>4349015.4114836976</v>
      </c>
      <c r="O57" s="1317">
        <f t="shared" si="18"/>
        <v>5219978.2312234985</v>
      </c>
      <c r="P57" s="1317">
        <f t="shared" si="18"/>
        <v>6137501.2620374132</v>
      </c>
      <c r="Q57" s="1317">
        <f t="shared" si="18"/>
        <v>7103543.9606821006</v>
      </c>
      <c r="R57" s="1317">
        <f t="shared" si="18"/>
        <v>8120140.029721939</v>
      </c>
      <c r="S57" s="1317">
        <f t="shared" si="18"/>
        <v>9189400.0688357223</v>
      </c>
      <c r="T57" s="1317">
        <f t="shared" si="18"/>
        <v>10313514.31725621</v>
      </c>
      <c r="U57" s="1317">
        <f t="shared" si="18"/>
        <v>10653156.154210029</v>
      </c>
      <c r="V57" s="1317">
        <f t="shared" si="18"/>
        <v>10959967.051451277</v>
      </c>
      <c r="W57" s="1317">
        <f t="shared" si="18"/>
        <v>11275614.102533072</v>
      </c>
      <c r="X57" s="1317">
        <f t="shared" si="18"/>
        <v>11600351.788686024</v>
      </c>
      <c r="Y57" s="1317">
        <f t="shared" si="18"/>
        <v>11934441.920200182</v>
      </c>
      <c r="Z57" s="1317">
        <f t="shared" si="18"/>
        <v>12278153.847501947</v>
      </c>
      <c r="AA57" s="1317">
        <f t="shared" si="18"/>
        <v>12631764.678310003</v>
      </c>
      <c r="AB57" s="1317">
        <f t="shared" si="18"/>
        <v>12995559.501045331</v>
      </c>
      <c r="AC57" s="1317">
        <f t="shared" si="18"/>
        <v>13369831.614675438</v>
      </c>
      <c r="AD57" s="1317">
        <f t="shared" si="18"/>
        <v>13754882.765178092</v>
      </c>
      <c r="AE57" s="1317">
        <f t="shared" si="18"/>
        <v>14151023.388815222</v>
      </c>
      <c r="AF57" s="1317">
        <f t="shared" si="18"/>
        <v>14558572.862413095</v>
      </c>
      <c r="AG57" s="1317">
        <f t="shared" si="18"/>
        <v>14977859.760850593</v>
      </c>
      <c r="AH57" s="1317">
        <f t="shared" si="18"/>
        <v>15409222.121963089</v>
      </c>
      <c r="AI57" s="1317">
        <f t="shared" si="18"/>
        <v>15853007.719075626</v>
      </c>
      <c r="AJ57" s="1317">
        <f t="shared" si="18"/>
        <v>16309574.341385003</v>
      </c>
      <c r="AK57" s="1317">
        <f t="shared" si="18"/>
        <v>16779290.082416896</v>
      </c>
      <c r="AL57" s="1317">
        <f t="shared" si="18"/>
        <v>17262533.636790503</v>
      </c>
      <c r="AM57" s="1317">
        <f t="shared" si="18"/>
        <v>17759694.605530065</v>
      </c>
      <c r="AN57" s="1317">
        <f t="shared" si="18"/>
        <v>18271173.810169332</v>
      </c>
    </row>
    <row r="58" spans="1:40" s="41" customFormat="1">
      <c r="A58" s="1315" t="s">
        <v>53</v>
      </c>
      <c r="B58" s="1317">
        <f>((B50*'GREET Fuel Attributes'!C5)+(Transportation!B51*Diesel_GHG_Emissions))</f>
        <v>0</v>
      </c>
      <c r="C58" s="1317">
        <f>((C50*'GREET Fuel Attributes'!D5)+(Transportation!C51*Diesel_GHG_Emissions))</f>
        <v>0</v>
      </c>
      <c r="D58" s="1317">
        <f>((D50*'GREET Fuel Attributes'!E5)+(Transportation!D51*Diesel_GHG_Emissions))</f>
        <v>0</v>
      </c>
      <c r="E58" s="1317">
        <f>((E50*'GREET Fuel Attributes'!F5)+(Transportation!E51*Diesel_GHG_Emissions))</f>
        <v>0</v>
      </c>
      <c r="F58" s="1317">
        <f>((F50*'GREET Fuel Attributes'!G5)+(Transportation!F51*Diesel_GHG_Emissions))</f>
        <v>0</v>
      </c>
      <c r="G58" s="1317">
        <f>((G50*'GREET Fuel Attributes'!H5)+(Transportation!G51*Diesel_GHG_Emissions))</f>
        <v>0</v>
      </c>
      <c r="H58" s="1317">
        <f>((H50*'GREET Fuel Attributes'!I5)+(Transportation!H51*Diesel_GHG_Emissions))</f>
        <v>0</v>
      </c>
      <c r="I58" s="1317">
        <f>((I50*'GREET Fuel Attributes'!J5)+(Transportation!I51*Diesel_GHG_Emissions))</f>
        <v>0</v>
      </c>
      <c r="J58" s="1317">
        <f>((J50*'GREET Fuel Attributes'!K5)+(Transportation!J51*Diesel_GHG_Emissions))</f>
        <v>0</v>
      </c>
      <c r="K58" s="1317">
        <f>((K50*'GREET Fuel Attributes'!L5)+(Transportation!K51*Diesel_GHG_Emissions))</f>
        <v>0</v>
      </c>
      <c r="L58" s="1317">
        <f>((L50*'GREET Fuel Attributes'!M5)+(Transportation!L51*Diesel_GHG_Emissions))</f>
        <v>0</v>
      </c>
      <c r="M58" s="1317">
        <f>((M50*'GREET Fuel Attributes'!N5)+(Transportation!M51*Diesel_GHG_Emissions))</f>
        <v>0</v>
      </c>
      <c r="N58" s="1317">
        <f>((N50*'GREET Fuel Attributes'!O5)+(Transportation!N51*Diesel_GHG_Emissions))</f>
        <v>0</v>
      </c>
      <c r="O58" s="1317">
        <f>((O50*'GREET Fuel Attributes'!P5)+(Transportation!O51*Diesel_GHG_Emissions))</f>
        <v>0</v>
      </c>
      <c r="P58" s="1317">
        <f>((P50*'GREET Fuel Attributes'!Q5)+(Transportation!P51*Diesel_GHG_Emissions))</f>
        <v>0</v>
      </c>
      <c r="Q58" s="1317">
        <f>((Q50*'GREET Fuel Attributes'!R5)+(Transportation!Q51*Diesel_GHG_Emissions))</f>
        <v>0</v>
      </c>
      <c r="R58" s="1317">
        <f>((R50*'GREET Fuel Attributes'!S5)+(Transportation!R51*Diesel_GHG_Emissions))</f>
        <v>0</v>
      </c>
      <c r="S58" s="1317">
        <f>((S50*'GREET Fuel Attributes'!T5)+(Transportation!S51*Diesel_GHG_Emissions))</f>
        <v>0</v>
      </c>
      <c r="T58" s="1317">
        <f>((T50*'GREET Fuel Attributes'!U5)+(Transportation!T51*Diesel_GHG_Emissions))</f>
        <v>0</v>
      </c>
      <c r="U58" s="1317">
        <f>((U50*'GREET Fuel Attributes'!V5)+(Transportation!U51*Diesel_GHG_Emissions))</f>
        <v>0</v>
      </c>
      <c r="V58" s="1317">
        <f>((V50*'GREET Fuel Attributes'!W5)+(Transportation!V51*Diesel_GHG_Emissions))</f>
        <v>0</v>
      </c>
      <c r="W58" s="1317">
        <f>((W50*'GREET Fuel Attributes'!X5)+(Transportation!W51*Diesel_GHG_Emissions))</f>
        <v>0</v>
      </c>
      <c r="X58" s="1317">
        <f>((X50*'GREET Fuel Attributes'!Y5)+(Transportation!X51*Diesel_GHG_Emissions))</f>
        <v>0</v>
      </c>
      <c r="Y58" s="1317">
        <f>((Y50*'GREET Fuel Attributes'!Z5)+(Transportation!Y51*Diesel_GHG_Emissions))</f>
        <v>0</v>
      </c>
      <c r="Z58" s="1317">
        <f>((Z50*'GREET Fuel Attributes'!AA5)+(Transportation!Z51*Diesel_GHG_Emissions))</f>
        <v>0</v>
      </c>
      <c r="AA58" s="1317">
        <f>((AA50*'GREET Fuel Attributes'!AB5)+(Transportation!AA51*Diesel_GHG_Emissions))</f>
        <v>0</v>
      </c>
      <c r="AB58" s="1317">
        <f>((AB50*'GREET Fuel Attributes'!AC5)+(Transportation!AB51*Diesel_GHG_Emissions))</f>
        <v>0</v>
      </c>
      <c r="AC58" s="1317">
        <f>((AC50*'GREET Fuel Attributes'!AD5)+(Transportation!AC51*Diesel_GHG_Emissions))</f>
        <v>0</v>
      </c>
      <c r="AD58" s="1317">
        <f>((AD50*'GREET Fuel Attributes'!AE5)+(Transportation!AD51*Diesel_GHG_Emissions))</f>
        <v>0</v>
      </c>
      <c r="AE58" s="1317">
        <f>((AE50*'GREET Fuel Attributes'!AF5)+(Transportation!AE51*Diesel_GHG_Emissions))</f>
        <v>0</v>
      </c>
      <c r="AF58" s="1317">
        <f>((AF50*'GREET Fuel Attributes'!AG5)+(Transportation!AF51*Diesel_GHG_Emissions))</f>
        <v>0</v>
      </c>
      <c r="AG58" s="1317">
        <f>((AG50*'GREET Fuel Attributes'!AH5)+(Transportation!AG51*Diesel_GHG_Emissions))</f>
        <v>0</v>
      </c>
      <c r="AH58" s="1317">
        <f>((AH50*'GREET Fuel Attributes'!AI5)+(Transportation!AH51*Diesel_GHG_Emissions))</f>
        <v>0</v>
      </c>
      <c r="AI58" s="1317">
        <f>((AI50*'GREET Fuel Attributes'!AJ5)+(Transportation!AI51*Diesel_GHG_Emissions))</f>
        <v>0</v>
      </c>
      <c r="AJ58" s="1317">
        <f>((AJ50*'GREET Fuel Attributes'!AK5)+(Transportation!AJ51*Diesel_GHG_Emissions))</f>
        <v>0</v>
      </c>
      <c r="AK58" s="1317">
        <f>((AK50*'GREET Fuel Attributes'!AL5)+(Transportation!AK51*Diesel_GHG_Emissions))</f>
        <v>0</v>
      </c>
      <c r="AL58" s="1317">
        <f>((AL50*'GREET Fuel Attributes'!AM5)+(Transportation!AL51*Diesel_GHG_Emissions))</f>
        <v>0</v>
      </c>
      <c r="AM58" s="1317">
        <f>((AM50*'GREET Fuel Attributes'!AN5)+(Transportation!AM51*Diesel_GHG_Emissions))</f>
        <v>0</v>
      </c>
      <c r="AN58" s="1317">
        <f>((AN50*'GREET Fuel Attributes'!AO5)+(Transportation!AN51*Diesel_GHG_Emissions))</f>
        <v>0</v>
      </c>
    </row>
    <row r="59" spans="1:40" s="41" customFormat="1">
      <c r="A59" s="1315" t="s">
        <v>7</v>
      </c>
      <c r="B59" s="1316">
        <f t="shared" ref="B59:AN59" si="19">B44*Gasoline_GHG_Emissions</f>
        <v>0</v>
      </c>
      <c r="C59" s="1316">
        <f t="shared" si="19"/>
        <v>0</v>
      </c>
      <c r="D59" s="1316">
        <f t="shared" si="19"/>
        <v>0</v>
      </c>
      <c r="E59" s="1316">
        <f t="shared" si="19"/>
        <v>0</v>
      </c>
      <c r="F59" s="1316">
        <f t="shared" si="19"/>
        <v>0</v>
      </c>
      <c r="G59" s="1316">
        <f t="shared" si="19"/>
        <v>0</v>
      </c>
      <c r="H59" s="1316">
        <f t="shared" si="19"/>
        <v>0</v>
      </c>
      <c r="I59" s="1316">
        <f t="shared" si="19"/>
        <v>15682.650030496297</v>
      </c>
      <c r="J59" s="1316">
        <f t="shared" si="19"/>
        <v>37556.216876107166</v>
      </c>
      <c r="K59" s="1316">
        <f t="shared" si="19"/>
        <v>57637.69291017521</v>
      </c>
      <c r="L59" s="1316">
        <f t="shared" si="19"/>
        <v>78588.080674919576</v>
      </c>
      <c r="M59" s="1316">
        <f t="shared" si="19"/>
        <v>100407.38017034029</v>
      </c>
      <c r="N59" s="1316">
        <f t="shared" si="19"/>
        <v>123095.59139643729</v>
      </c>
      <c r="O59" s="1316">
        <f t="shared" si="19"/>
        <v>146652.71435321061</v>
      </c>
      <c r="P59" s="1316">
        <f t="shared" si="19"/>
        <v>171078.74904066019</v>
      </c>
      <c r="Q59" s="1316">
        <f t="shared" si="19"/>
        <v>196373.69545878618</v>
      </c>
      <c r="R59" s="1316">
        <f t="shared" si="19"/>
        <v>222537.55360758837</v>
      </c>
      <c r="S59" s="1316">
        <f t="shared" si="19"/>
        <v>249570.32348706693</v>
      </c>
      <c r="T59" s="1316">
        <f t="shared" si="19"/>
        <v>277472.00509722176</v>
      </c>
      <c r="U59" s="1316">
        <f t="shared" si="19"/>
        <v>124478.81776226025</v>
      </c>
      <c r="V59" s="1316">
        <f t="shared" si="19"/>
        <v>127551.93985339713</v>
      </c>
      <c r="W59" s="1316">
        <f t="shared" si="19"/>
        <v>128478.43210704857</v>
      </c>
      <c r="X59" s="1316">
        <f t="shared" si="19"/>
        <v>129431.60733760576</v>
      </c>
      <c r="Y59" s="1316">
        <f t="shared" si="19"/>
        <v>130412.23401480234</v>
      </c>
      <c r="Z59" s="1316">
        <f t="shared" si="19"/>
        <v>131421.10274030262</v>
      </c>
      <c r="AA59" s="1316">
        <f t="shared" si="19"/>
        <v>132459.02688509694</v>
      </c>
      <c r="AB59" s="1316">
        <f t="shared" si="19"/>
        <v>133526.84324526202</v>
      </c>
      <c r="AC59" s="1316">
        <f t="shared" si="19"/>
        <v>134625.41271659924</v>
      </c>
      <c r="AD59" s="1316">
        <f t="shared" si="19"/>
        <v>135755.6209887111</v>
      </c>
      <c r="AE59" s="1316">
        <f t="shared" si="19"/>
        <v>136918.37925905961</v>
      </c>
      <c r="AF59" s="1316">
        <f t="shared" si="19"/>
        <v>138114.62496759492</v>
      </c>
      <c r="AG59" s="1316">
        <f t="shared" si="19"/>
        <v>139345.32255253525</v>
      </c>
      <c r="AH59" s="1316">
        <f t="shared" si="19"/>
        <v>140611.46422792212</v>
      </c>
      <c r="AI59" s="1316">
        <f t="shared" si="19"/>
        <v>141914.07078356014</v>
      </c>
      <c r="AJ59" s="1316">
        <f t="shared" si="19"/>
        <v>143254.19240800047</v>
      </c>
      <c r="AK59" s="1316">
        <f t="shared" si="19"/>
        <v>541493.48384584358</v>
      </c>
      <c r="AL59" s="1316">
        <f t="shared" si="19"/>
        <v>146051.33371571288</v>
      </c>
      <c r="AM59" s="1316">
        <f t="shared" si="19"/>
        <v>552267.34748259047</v>
      </c>
      <c r="AN59" s="1316">
        <f t="shared" si="19"/>
        <v>557888.09593274503</v>
      </c>
    </row>
    <row r="60" spans="1:40" s="41" customFormat="1">
      <c r="A60" s="1315" t="s">
        <v>6</v>
      </c>
      <c r="B60" s="1317">
        <f>B45*(Diesel_GHG_Emissions-'GREET Fuel Attributes'!C7)</f>
        <v>0</v>
      </c>
      <c r="C60" s="1317">
        <f>C45*(Diesel_GHG_Emissions-'GREET Fuel Attributes'!D7)</f>
        <v>0</v>
      </c>
      <c r="D60" s="1317">
        <f>D45*(Diesel_GHG_Emissions-'GREET Fuel Attributes'!E7)</f>
        <v>0</v>
      </c>
      <c r="E60" s="1317">
        <f>E45*(Diesel_GHG_Emissions-'GREET Fuel Attributes'!F7)</f>
        <v>0</v>
      </c>
      <c r="F60" s="1317">
        <f>F45*(Diesel_GHG_Emissions-'GREET Fuel Attributes'!G7)</f>
        <v>0</v>
      </c>
      <c r="G60" s="1317">
        <f>G45*(Diesel_GHG_Emissions-'GREET Fuel Attributes'!H7)</f>
        <v>0</v>
      </c>
      <c r="H60" s="1317">
        <f>H45*(Diesel_GHG_Emissions-'GREET Fuel Attributes'!I7)</f>
        <v>0</v>
      </c>
      <c r="I60" s="1317">
        <f>I45*(Diesel_GHG_Emissions-'GREET Fuel Attributes'!J7)</f>
        <v>328546.51523188665</v>
      </c>
      <c r="J60" s="1317">
        <f>J45*(Diesel_GHG_Emissions-'GREET Fuel Attributes'!K7)</f>
        <v>665276.82303258346</v>
      </c>
      <c r="K60" s="1317">
        <f>K45*(Diesel_GHG_Emissions-'GREET Fuel Attributes'!L7)</f>
        <v>1010080.4742152535</v>
      </c>
      <c r="L60" s="1317">
        <f>L45*(Diesel_GHG_Emissions-'GREET Fuel Attributes'!M7)</f>
        <v>1362824.961165695</v>
      </c>
      <c r="M60" s="1317">
        <f>M45*(Diesel_GHG_Emissions-'GREET Fuel Attributes'!N7)</f>
        <v>1723354.282320525</v>
      </c>
      <c r="N60" s="1317">
        <f>N45*(Diesel_GHG_Emissions-'GREET Fuel Attributes'!O7)</f>
        <v>2091487.4348663127</v>
      </c>
      <c r="O60" s="1317">
        <f>O45*(Diesel_GHG_Emissions-'GREET Fuel Attributes'!P7)</f>
        <v>2467016.832503052</v>
      </c>
      <c r="P60" s="1317">
        <f>P45*(Diesel_GHG_Emissions-'GREET Fuel Attributes'!Q7)</f>
        <v>2849706.6449869629</v>
      </c>
      <c r="Q60" s="1317">
        <f>Q45*(Diesel_GHG_Emissions-'GREET Fuel Attributes'!R7)</f>
        <v>3239291.0560342497</v>
      </c>
      <c r="R60" s="1317">
        <f>R45*(Diesel_GHG_Emissions-'GREET Fuel Attributes'!S7)</f>
        <v>3635472.4360289034</v>
      </c>
      <c r="S60" s="1317">
        <f>S45*(Diesel_GHG_Emissions-'GREET Fuel Attributes'!T7)</f>
        <v>4037919.425833852</v>
      </c>
      <c r="T60" s="1317">
        <f>T45*(Diesel_GHG_Emissions-'GREET Fuel Attributes'!U7)</f>
        <v>4446264.9278553557</v>
      </c>
      <c r="U60" s="1317">
        <f>U45*(Diesel_GHG_Emissions-'GREET Fuel Attributes'!V7)</f>
        <v>4588426.8477567798</v>
      </c>
      <c r="V60" s="1317">
        <f>V45*(Diesel_GHG_Emissions-'GREET Fuel Attributes'!W7)</f>
        <v>4720573.540972176</v>
      </c>
      <c r="W60" s="1317">
        <f>W45*(Diesel_GHG_Emissions-'GREET Fuel Attributes'!X7)</f>
        <v>4856526.0589521741</v>
      </c>
      <c r="X60" s="1317">
        <f>X45*(Diesel_GHG_Emissions-'GREET Fuel Attributes'!Y7)</f>
        <v>4996394.0094499979</v>
      </c>
      <c r="Y60" s="1317">
        <f>Y45*(Diesel_GHG_Emissions-'GREET Fuel Attributes'!Z7)</f>
        <v>5140290.1569221579</v>
      </c>
      <c r="Z60" s="1317">
        <f>Z45*(Diesel_GHG_Emissions-'GREET Fuel Attributes'!AA7)</f>
        <v>5288330.5134415161</v>
      </c>
      <c r="AA60" s="1317">
        <f>AA45*(Diesel_GHG_Emissions-'GREET Fuel Attributes'!AB7)</f>
        <v>5440634.4322286323</v>
      </c>
      <c r="AB60" s="1317">
        <f>AB45*(Diesel_GHG_Emissions-'GREET Fuel Attributes'!AC7)</f>
        <v>5597324.7038768176</v>
      </c>
      <c r="AC60" s="1317">
        <f>AC45*(Diesel_GHG_Emissions-'GREET Fuel Attributes'!AD7)</f>
        <v>5758527.6553484686</v>
      </c>
      <c r="AD60" s="1317">
        <f>AD45*(Diesel_GHG_Emissions-'GREET Fuel Attributes'!AE7)</f>
        <v>5924373.2518225051</v>
      </c>
      <c r="AE60" s="1317">
        <f>AE45*(Diesel_GHG_Emissions-'GREET Fuel Attributes'!AF7)</f>
        <v>6094995.2014749926</v>
      </c>
      <c r="AF60" s="1317">
        <f>AF45*(Diesel_GHG_Emissions-'GREET Fuel Attributes'!AG7)</f>
        <v>6270531.0632774727</v>
      </c>
      <c r="AG60" s="1317">
        <f>AG45*(Diesel_GHG_Emissions-'GREET Fuel Attributes'!AH7)</f>
        <v>6451122.3578998642</v>
      </c>
      <c r="AH60" s="1317">
        <f>AH45*(Diesel_GHG_Emissions-'GREET Fuel Attributes'!AI7)</f>
        <v>6636914.6818073811</v>
      </c>
      <c r="AI60" s="1317">
        <f>AI45*(Diesel_GHG_Emissions-'GREET Fuel Attributes'!AJ7)</f>
        <v>6828057.8246434331</v>
      </c>
      <c r="AJ60" s="1317">
        <f>AJ45*(Diesel_GHG_Emissions-'GREET Fuel Attributes'!AK7)</f>
        <v>7024705.8899931647</v>
      </c>
      <c r="AK60" s="1317">
        <f>AK45*(Diesel_GHG_Emissions-'GREET Fuel Attributes'!AL7)</f>
        <v>7227017.4196249675</v>
      </c>
      <c r="AL60" s="1317">
        <f>AL45*(Diesel_GHG_Emissions-'GREET Fuel Attributes'!AM7)</f>
        <v>7435155.5213101665</v>
      </c>
      <c r="AM60" s="1317">
        <f>AM45*(Diesel_GHG_Emissions-'GREET Fuel Attributes'!AN7)</f>
        <v>7649288.0003238991</v>
      </c>
      <c r="AN60" s="1317">
        <f>AN45*(Diesel_GHG_Emissions-'GREET Fuel Attributes'!AO7)</f>
        <v>7869587.4947332274</v>
      </c>
    </row>
    <row r="61" spans="1:40" s="41" customFormat="1">
      <c r="A61" s="1315" t="s">
        <v>14</v>
      </c>
      <c r="B61" s="1316">
        <f t="shared" ref="B61:AN61" si="20">B46*Diesel_GHG_Emissions</f>
        <v>32819691.978819832</v>
      </c>
      <c r="C61" s="1316">
        <f t="shared" si="20"/>
        <v>31493234.257905923</v>
      </c>
      <c r="D61" s="1316">
        <f t="shared" si="20"/>
        <v>31842168.042475589</v>
      </c>
      <c r="E61" s="1316">
        <f t="shared" si="20"/>
        <v>35895559.955207214</v>
      </c>
      <c r="F61" s="1316">
        <f t="shared" si="20"/>
        <v>36929352.081917182</v>
      </c>
      <c r="G61" s="1316">
        <f t="shared" si="20"/>
        <v>37992917.421876401</v>
      </c>
      <c r="H61" s="1316">
        <f t="shared" si="20"/>
        <v>39087113.443626441</v>
      </c>
      <c r="I61" s="1316">
        <f t="shared" si="20"/>
        <v>39255370.98258578</v>
      </c>
      <c r="J61" s="1316">
        <f t="shared" si="20"/>
        <v>39411640.227123037</v>
      </c>
      <c r="K61" s="1316">
        <f t="shared" si="20"/>
        <v>39555400.417963602</v>
      </c>
      <c r="L61" s="1316">
        <f t="shared" si="20"/>
        <v>39686119.652258843</v>
      </c>
      <c r="M61" s="1316">
        <f t="shared" si="20"/>
        <v>39803254.930222243</v>
      </c>
      <c r="N61" s="1316">
        <f t="shared" si="20"/>
        <v>39906252.221083738</v>
      </c>
      <c r="O61" s="1316">
        <f t="shared" si="20"/>
        <v>39994546.549649291</v>
      </c>
      <c r="P61" s="1316">
        <f t="shared" si="20"/>
        <v>40067562.10481669</v>
      </c>
      <c r="Q61" s="1316">
        <f t="shared" si="20"/>
        <v>40124712.371465743</v>
      </c>
      <c r="R61" s="1316">
        <f t="shared" si="20"/>
        <v>40165400.287210897</v>
      </c>
      <c r="S61" s="1316">
        <f t="shared" si="20"/>
        <v>40189018.425577462</v>
      </c>
      <c r="T61" s="1316">
        <f t="shared" si="20"/>
        <v>40194949.207238577</v>
      </c>
      <c r="U61" s="1316">
        <f t="shared" si="20"/>
        <v>41295841.629811026</v>
      </c>
      <c r="V61" s="1316">
        <f t="shared" si="20"/>
        <v>42485161.868749574</v>
      </c>
      <c r="W61" s="1316">
        <f t="shared" si="20"/>
        <v>43708734.530569568</v>
      </c>
      <c r="X61" s="1316">
        <f t="shared" si="20"/>
        <v>44967546.085049979</v>
      </c>
      <c r="Y61" s="1316">
        <f t="shared" si="20"/>
        <v>46262611.412299417</v>
      </c>
      <c r="Z61" s="1316">
        <f t="shared" si="20"/>
        <v>47594974.620973639</v>
      </c>
      <c r="AA61" s="1316">
        <f t="shared" si="20"/>
        <v>48965709.890057683</v>
      </c>
      <c r="AB61" s="1316">
        <f t="shared" si="20"/>
        <v>50375922.334891349</v>
      </c>
      <c r="AC61" s="1316">
        <f t="shared" si="20"/>
        <v>51826748.898136213</v>
      </c>
      <c r="AD61" s="1316">
        <f t="shared" si="20"/>
        <v>53319359.266402543</v>
      </c>
      <c r="AE61" s="1316">
        <f t="shared" si="20"/>
        <v>54854956.813274935</v>
      </c>
      <c r="AF61" s="1316">
        <f t="shared" si="20"/>
        <v>56434779.569497257</v>
      </c>
      <c r="AG61" s="1316">
        <f t="shared" si="20"/>
        <v>58060101.221098773</v>
      </c>
      <c r="AH61" s="1316">
        <f t="shared" si="20"/>
        <v>59732232.136266425</v>
      </c>
      <c r="AI61" s="1316">
        <f t="shared" si="20"/>
        <v>61452520.421790898</v>
      </c>
      <c r="AJ61" s="1316">
        <f t="shared" si="20"/>
        <v>63222353.009938478</v>
      </c>
      <c r="AK61" s="1316">
        <f t="shared" si="20"/>
        <v>65043156.776624709</v>
      </c>
      <c r="AL61" s="1316">
        <f t="shared" si="20"/>
        <v>66916399.69179149</v>
      </c>
      <c r="AM61" s="1316">
        <f t="shared" si="20"/>
        <v>68843592.002915084</v>
      </c>
      <c r="AN61" s="1316">
        <f t="shared" si="20"/>
        <v>70826287.452599049</v>
      </c>
    </row>
    <row r="62" spans="1:40" s="41" customFormat="1">
      <c r="A62" s="1315" t="s">
        <v>13</v>
      </c>
      <c r="B62" s="1316">
        <f t="shared" ref="B62:AN62" si="21">B47*Gasoline_GHG_Emissions</f>
        <v>26070374.567050803</v>
      </c>
      <c r="C62" s="1316">
        <f t="shared" si="21"/>
        <v>28170023.161235757</v>
      </c>
      <c r="D62" s="1316">
        <f t="shared" si="21"/>
        <v>31909264.786167398</v>
      </c>
      <c r="E62" s="1316">
        <f t="shared" si="21"/>
        <v>41493746.45043093</v>
      </c>
      <c r="F62" s="1316">
        <f t="shared" si="21"/>
        <v>42688766.348203339</v>
      </c>
      <c r="G62" s="1316">
        <f t="shared" si="21"/>
        <v>43918202.819031596</v>
      </c>
      <c r="H62" s="1316">
        <f t="shared" si="21"/>
        <v>45183047.060219705</v>
      </c>
      <c r="I62" s="1316">
        <f t="shared" si="21"/>
        <v>45696996.473185338</v>
      </c>
      <c r="J62" s="1316">
        <f t="shared" si="21"/>
        <v>46102010.266958058</v>
      </c>
      <c r="K62" s="1316">
        <f t="shared" si="21"/>
        <v>46406847.389806651</v>
      </c>
      <c r="L62" s="1316">
        <f t="shared" si="21"/>
        <v>46609580.133123361</v>
      </c>
      <c r="M62" s="1316">
        <f t="shared" si="21"/>
        <v>46710897.385044277</v>
      </c>
      <c r="N62" s="1316">
        <f t="shared" si="21"/>
        <v>46711441.802865691</v>
      </c>
      <c r="O62" s="1316">
        <f t="shared" si="21"/>
        <v>46611807.91971226</v>
      </c>
      <c r="P62" s="1316">
        <f t="shared" si="21"/>
        <v>46412540.18049486</v>
      </c>
      <c r="Q62" s="1316">
        <f t="shared" si="21"/>
        <v>46114130.904655851</v>
      </c>
      <c r="R62" s="1316">
        <f t="shared" si="21"/>
        <v>45717018.173113585</v>
      </c>
      <c r="S62" s="1316">
        <f t="shared" si="21"/>
        <v>45317358.519382536</v>
      </c>
      <c r="T62" s="1316">
        <f t="shared" si="21"/>
        <v>44913858.191214077</v>
      </c>
      <c r="U62" s="1316">
        <f t="shared" si="21"/>
        <v>45503826.149476416</v>
      </c>
      <c r="V62" s="1316">
        <f t="shared" si="21"/>
        <v>46090560.334458672</v>
      </c>
      <c r="W62" s="1316">
        <f t="shared" si="21"/>
        <v>46802750.068719402</v>
      </c>
      <c r="X62" s="1316">
        <f t="shared" si="21"/>
        <v>47637584.563298956</v>
      </c>
      <c r="Y62" s="1316">
        <f t="shared" si="21"/>
        <v>48594453.775237307</v>
      </c>
      <c r="Z62" s="1316">
        <f t="shared" si="21"/>
        <v>49672776.653305173</v>
      </c>
      <c r="AA62" s="1316">
        <f t="shared" si="21"/>
        <v>50872001.972965844</v>
      </c>
      <c r="AB62" s="1316">
        <f t="shared" si="21"/>
        <v>52191609.195383869</v>
      </c>
      <c r="AC62" s="1316">
        <f t="shared" si="21"/>
        <v>53631109.351173356</v>
      </c>
      <c r="AD62" s="1316">
        <f t="shared" si="21"/>
        <v>55405752.863023944</v>
      </c>
      <c r="AE62" s="1316">
        <f t="shared" si="21"/>
        <v>57254100.142216593</v>
      </c>
      <c r="AF62" s="1316">
        <f t="shared" si="21"/>
        <v>59155679.82304997</v>
      </c>
      <c r="AG62" s="1316">
        <f t="shared" si="21"/>
        <v>61112024.998691358</v>
      </c>
      <c r="AH62" s="1316">
        <f t="shared" si="21"/>
        <v>63124712.915391207</v>
      </c>
      <c r="AI62" s="1316">
        <f t="shared" si="21"/>
        <v>65195366.24409201</v>
      </c>
      <c r="AJ62" s="1316">
        <f t="shared" si="21"/>
        <v>67325654.388659418</v>
      </c>
      <c r="AK62" s="1316">
        <f t="shared" si="21"/>
        <v>69120434.257479742</v>
      </c>
      <c r="AL62" s="1316">
        <f t="shared" si="21"/>
        <v>71772054.519683465</v>
      </c>
      <c r="AM62" s="1316">
        <f t="shared" si="21"/>
        <v>73686994.547617897</v>
      </c>
      <c r="AN62" s="1316">
        <f t="shared" si="21"/>
        <v>76069379.134870052</v>
      </c>
    </row>
    <row r="83" spans="2:11">
      <c r="B83" s="41"/>
      <c r="C83" s="41"/>
      <c r="D83" s="41"/>
      <c r="E83" s="41"/>
      <c r="F83" s="41"/>
      <c r="G83" s="41"/>
      <c r="H83" s="41"/>
      <c r="I83" s="41"/>
      <c r="J83" s="41"/>
      <c r="K83" s="41"/>
    </row>
    <row r="84" spans="2:11">
      <c r="B84" s="41"/>
      <c r="C84" s="41"/>
      <c r="D84" s="41"/>
      <c r="E84" s="41"/>
      <c r="F84" s="41"/>
      <c r="G84" s="41"/>
      <c r="H84" s="41"/>
      <c r="I84" s="41"/>
      <c r="J84" s="41"/>
      <c r="K84" s="41"/>
    </row>
    <row r="85" spans="2:11">
      <c r="B85" s="41"/>
      <c r="C85" s="41"/>
      <c r="D85" s="41"/>
      <c r="E85" s="41"/>
      <c r="F85" s="41"/>
      <c r="G85" s="41"/>
      <c r="H85" s="41"/>
      <c r="I85" s="41"/>
      <c r="J85" s="41"/>
      <c r="K85" s="41"/>
    </row>
    <row r="86" spans="2:11">
      <c r="B86" s="41"/>
      <c r="C86" s="41"/>
      <c r="D86" s="41"/>
      <c r="E86" s="41"/>
      <c r="F86" s="41"/>
      <c r="G86" s="41"/>
      <c r="H86" s="41"/>
      <c r="I86" s="41"/>
      <c r="J86" s="41"/>
      <c r="K86" s="41"/>
    </row>
    <row r="87" spans="2:11">
      <c r="B87" s="1310" t="s">
        <v>3664</v>
      </c>
      <c r="C87" s="1313" t="s">
        <v>3</v>
      </c>
      <c r="D87" s="1315" t="s">
        <v>3665</v>
      </c>
      <c r="E87" s="1315" t="s">
        <v>103</v>
      </c>
      <c r="F87" s="1313" t="s">
        <v>22</v>
      </c>
      <c r="G87" s="1315" t="s">
        <v>53</v>
      </c>
      <c r="H87" s="1315" t="s">
        <v>7</v>
      </c>
      <c r="I87" s="1315" t="s">
        <v>6</v>
      </c>
      <c r="J87" s="1315" t="s">
        <v>14</v>
      </c>
      <c r="K87" s="1315" t="s">
        <v>13</v>
      </c>
    </row>
    <row r="88" spans="2:11">
      <c r="B88" s="1311"/>
      <c r="C88" s="1314">
        <v>2017</v>
      </c>
      <c r="D88" s="1316">
        <f>$G55</f>
        <v>0</v>
      </c>
      <c r="E88" s="1316">
        <f>$G56</f>
        <v>0</v>
      </c>
      <c r="F88" s="1316">
        <f>$G57</f>
        <v>0</v>
      </c>
      <c r="G88" s="1316">
        <f>$G58</f>
        <v>0</v>
      </c>
      <c r="H88" s="1316">
        <f>$G59</f>
        <v>0</v>
      </c>
      <c r="I88" s="1316">
        <f>$G60</f>
        <v>0</v>
      </c>
      <c r="J88" s="1316">
        <f>$G61</f>
        <v>37992917.421876401</v>
      </c>
      <c r="K88" s="1316">
        <f>$G62</f>
        <v>43918202.819031596</v>
      </c>
    </row>
    <row r="89" spans="2:11">
      <c r="B89" s="1311"/>
      <c r="C89" s="1314">
        <v>2018</v>
      </c>
      <c r="D89" s="1316">
        <f>$H55</f>
        <v>0</v>
      </c>
      <c r="E89" s="1316">
        <f>$H56</f>
        <v>0</v>
      </c>
      <c r="F89" s="1316">
        <f>$H57</f>
        <v>0</v>
      </c>
      <c r="G89" s="1316">
        <f>$H58</f>
        <v>0</v>
      </c>
      <c r="H89" s="1316">
        <f>$H59</f>
        <v>0</v>
      </c>
      <c r="I89" s="1316">
        <f>$H60</f>
        <v>0</v>
      </c>
      <c r="J89" s="1316">
        <f>$H61</f>
        <v>39087113.443626441</v>
      </c>
      <c r="K89" s="1316">
        <f>$H62</f>
        <v>45183047.060219705</v>
      </c>
    </row>
    <row r="90" spans="2:11">
      <c r="B90" s="1311"/>
      <c r="C90" s="1314">
        <v>2019</v>
      </c>
      <c r="D90" s="1316">
        <f>$I55</f>
        <v>771639.69233819691</v>
      </c>
      <c r="E90" s="1316">
        <f>$I56</f>
        <v>0</v>
      </c>
      <c r="F90" s="1316">
        <f>$I57</f>
        <v>628904.81298521976</v>
      </c>
      <c r="G90" s="1316">
        <f>$I58</f>
        <v>0</v>
      </c>
      <c r="H90" s="1316">
        <f>$I59</f>
        <v>15682.650030496297</v>
      </c>
      <c r="I90" s="1316">
        <f>$I60</f>
        <v>328546.51523188665</v>
      </c>
      <c r="J90" s="1316">
        <f>$I61</f>
        <v>39255370.98258578</v>
      </c>
      <c r="K90" s="1316">
        <f>$I62</f>
        <v>45696996.473185338</v>
      </c>
    </row>
    <row r="91" spans="2:11">
      <c r="B91" s="1311"/>
      <c r="C91" s="1314">
        <v>2020</v>
      </c>
      <c r="D91" s="1316">
        <f>$J55</f>
        <v>1587725.8309550744</v>
      </c>
      <c r="E91" s="1316">
        <f>$J56</f>
        <v>95774.88265275021</v>
      </c>
      <c r="F91" s="1316">
        <f>$J57</f>
        <v>1294034.5431983878</v>
      </c>
      <c r="G91" s="1316">
        <f>$J58</f>
        <v>0</v>
      </c>
      <c r="H91" s="1316">
        <f>$J59</f>
        <v>37556.216876107166</v>
      </c>
      <c r="I91" s="1316">
        <f>$J60</f>
        <v>665276.82303258346</v>
      </c>
      <c r="J91" s="1316">
        <f>$J61</f>
        <v>39411640.227123037</v>
      </c>
      <c r="K91" s="1316">
        <f>$J62</f>
        <v>46102010.266958058</v>
      </c>
    </row>
    <row r="92" spans="2:11">
      <c r="B92" s="1311"/>
      <c r="C92" s="1314">
        <v>2021</v>
      </c>
      <c r="D92" s="1316">
        <f>$K55</f>
        <v>2450178.5023298706</v>
      </c>
      <c r="E92" s="1316">
        <f>$K56</f>
        <v>285707.94768162409</v>
      </c>
      <c r="F92" s="1316">
        <f>$K57</f>
        <v>1996954.1070637521</v>
      </c>
      <c r="G92" s="1316">
        <f>$K58</f>
        <v>0</v>
      </c>
      <c r="H92" s="1316">
        <f>$K59</f>
        <v>57637.69291017521</v>
      </c>
      <c r="I92" s="1316">
        <f>$K60</f>
        <v>1010080.4742152535</v>
      </c>
      <c r="J92" s="1316">
        <f>$K61</f>
        <v>39555400.417963602</v>
      </c>
      <c r="K92" s="1316">
        <f>$K62</f>
        <v>46406847.389806651</v>
      </c>
    </row>
    <row r="93" spans="2:11">
      <c r="B93" s="1311"/>
      <c r="C93" s="1314">
        <v>2022</v>
      </c>
      <c r="D93" s="1316">
        <f>$L55</f>
        <v>3360991.5242626285</v>
      </c>
      <c r="E93" s="1316">
        <f>$L56</f>
        <v>568182.49480999378</v>
      </c>
      <c r="F93" s="1316">
        <f>$L57</f>
        <v>2739288.5137962508</v>
      </c>
      <c r="G93" s="1316">
        <f>$L58</f>
        <v>0</v>
      </c>
      <c r="H93" s="1316">
        <f>$L59</f>
        <v>78588.080674919576</v>
      </c>
      <c r="I93" s="1316">
        <f>$L60</f>
        <v>1362824.961165695</v>
      </c>
      <c r="J93" s="1316">
        <f>$L61</f>
        <v>39686119.652258843</v>
      </c>
      <c r="K93" s="1316">
        <f>$L62</f>
        <v>46609580.133123361</v>
      </c>
    </row>
    <row r="94" spans="2:11">
      <c r="B94" s="1311"/>
      <c r="C94" s="1314">
        <v>2023</v>
      </c>
      <c r="D94" s="1316">
        <f>$M55</f>
        <v>4322235.1002017409</v>
      </c>
      <c r="E94" s="1316">
        <f>$M56</f>
        <v>941581.82376123138</v>
      </c>
      <c r="F94" s="1316">
        <f>$M57</f>
        <v>3522725.0287419786</v>
      </c>
      <c r="G94" s="1316">
        <f>$M58</f>
        <v>0</v>
      </c>
      <c r="H94" s="1316">
        <f>$M59</f>
        <v>100407.38017034029</v>
      </c>
      <c r="I94" s="1316">
        <f>$M60</f>
        <v>1723354.282320525</v>
      </c>
      <c r="J94" s="1316">
        <f>$M61</f>
        <v>39803254.930222243</v>
      </c>
      <c r="K94" s="1316">
        <f>$M62</f>
        <v>46710897.385044277</v>
      </c>
    </row>
    <row r="95" spans="2:11">
      <c r="B95" s="1311"/>
      <c r="C95" s="1314">
        <v>2024</v>
      </c>
      <c r="D95" s="1316">
        <f>$N55</f>
        <v>5336058.5653050607</v>
      </c>
      <c r="E95" s="1316">
        <f>$N56</f>
        <v>1404289.234258709</v>
      </c>
      <c r="F95" s="1316">
        <f>$N57</f>
        <v>4349015.4114836976</v>
      </c>
      <c r="G95" s="1316">
        <f>$N58</f>
        <v>0</v>
      </c>
      <c r="H95" s="1316">
        <f>$N59</f>
        <v>123095.59139643729</v>
      </c>
      <c r="I95" s="1316">
        <f>$N60</f>
        <v>2091487.4348663127</v>
      </c>
      <c r="J95" s="1316">
        <f>$N61</f>
        <v>39906252.221083738</v>
      </c>
      <c r="K95" s="1316">
        <f>$N62</f>
        <v>46711441.802865691</v>
      </c>
    </row>
    <row r="96" spans="2:11">
      <c r="B96" s="1311"/>
      <c r="C96" s="1314">
        <v>2025</v>
      </c>
      <c r="D96" s="1316">
        <f>$O55</f>
        <v>6404693.227316821</v>
      </c>
      <c r="E96" s="1316">
        <f>$O56</f>
        <v>1954688.0260257986</v>
      </c>
      <c r="F96" s="1316">
        <f>$O57</f>
        <v>5219978.2312234985</v>
      </c>
      <c r="G96" s="1316">
        <f>$O58</f>
        <v>0</v>
      </c>
      <c r="H96" s="1316">
        <f>$O59</f>
        <v>146652.71435321061</v>
      </c>
      <c r="I96" s="1316">
        <f>$O60</f>
        <v>2467016.832503052</v>
      </c>
      <c r="J96" s="1316">
        <f>$O61</f>
        <v>39994546.549649291</v>
      </c>
      <c r="K96" s="1316">
        <f>$O62</f>
        <v>46611807.91971226</v>
      </c>
    </row>
    <row r="97" spans="2:11">
      <c r="B97" s="1311"/>
      <c r="C97" s="1314">
        <v>2026</v>
      </c>
      <c r="D97" s="1316">
        <f>$P55</f>
        <v>7530455.3054440524</v>
      </c>
      <c r="E97" s="1316">
        <f>$P56</f>
        <v>2591161.4987858734</v>
      </c>
      <c r="F97" s="1316">
        <f>$P57</f>
        <v>6137501.2620374132</v>
      </c>
      <c r="G97" s="1316">
        <f>$P58</f>
        <v>0</v>
      </c>
      <c r="H97" s="1316">
        <f>$P59</f>
        <v>171078.74904066019</v>
      </c>
      <c r="I97" s="1316">
        <f>$P60</f>
        <v>2849706.6449869629</v>
      </c>
      <c r="J97" s="1316">
        <f>$P61</f>
        <v>40067562.10481669</v>
      </c>
      <c r="K97" s="1316">
        <f>$P62</f>
        <v>46412540.18049486</v>
      </c>
    </row>
    <row r="98" spans="2:11">
      <c r="B98" s="1312"/>
      <c r="C98" s="1313">
        <v>2027</v>
      </c>
      <c r="D98" s="1316">
        <f>$Q55</f>
        <v>8715748.9705209453</v>
      </c>
      <c r="E98" s="1316">
        <f>$Q56</f>
        <v>3312092.9522623052</v>
      </c>
      <c r="F98" s="1316">
        <f>$Q57</f>
        <v>7103543.9606821006</v>
      </c>
      <c r="G98" s="1316">
        <f>$Q58</f>
        <v>0</v>
      </c>
      <c r="H98" s="1316">
        <f>$Q59</f>
        <v>196373.69545878618</v>
      </c>
      <c r="I98" s="1316">
        <f>$Q60</f>
        <v>3239291.0560342497</v>
      </c>
      <c r="J98" s="1316">
        <f>$Q61</f>
        <v>40124712.371465743</v>
      </c>
      <c r="K98" s="1316">
        <f>$Q62</f>
        <v>46114130.904655851</v>
      </c>
    </row>
    <row r="99" spans="2:11">
      <c r="B99" s="1312"/>
      <c r="C99" s="1313">
        <v>2028</v>
      </c>
      <c r="D99" s="1316">
        <f>$R55</f>
        <v>9963069.4898577221</v>
      </c>
      <c r="E99" s="1316">
        <f>$R56</f>
        <v>4115865.6861784658</v>
      </c>
      <c r="F99" s="1316">
        <f>$R57</f>
        <v>8120140.029721939</v>
      </c>
      <c r="G99" s="1316">
        <f>$R58</f>
        <v>0</v>
      </c>
      <c r="H99" s="1316">
        <f>$R59</f>
        <v>222537.55360758837</v>
      </c>
      <c r="I99" s="1316">
        <f>$R60</f>
        <v>3635472.4360289034</v>
      </c>
      <c r="J99" s="1316">
        <f>$R61</f>
        <v>40165400.287210897</v>
      </c>
      <c r="K99" s="1316">
        <f>$R62</f>
        <v>45717018.173113585</v>
      </c>
    </row>
    <row r="100" spans="2:11">
      <c r="B100" s="1312"/>
      <c r="C100" s="1313">
        <v>2029</v>
      </c>
      <c r="D100" s="1316">
        <f>$S55</f>
        <v>11275006.480282187</v>
      </c>
      <c r="E100" s="1316">
        <f>$S56</f>
        <v>4905088.1176049784</v>
      </c>
      <c r="F100" s="1316">
        <f>$S57</f>
        <v>9189400.0688357223</v>
      </c>
      <c r="G100" s="1316">
        <f>$S58</f>
        <v>0</v>
      </c>
      <c r="H100" s="1316">
        <f>$S59</f>
        <v>249570.32348706693</v>
      </c>
      <c r="I100" s="1316">
        <f>$S60</f>
        <v>4037919.425833852</v>
      </c>
      <c r="J100" s="1316">
        <f>$S61</f>
        <v>40189018.425577462</v>
      </c>
      <c r="K100" s="1316">
        <f>$S62</f>
        <v>45317358.519382536</v>
      </c>
    </row>
    <row r="101" spans="2:11">
      <c r="B101" s="1312"/>
      <c r="C101" s="1313">
        <v>2030</v>
      </c>
      <c r="D101" s="1316">
        <f>$T55</f>
        <v>12654247.272997433</v>
      </c>
      <c r="E101" s="1316">
        <f>$T56</f>
        <v>5679760.24654184</v>
      </c>
      <c r="F101" s="1316">
        <f>$T57</f>
        <v>10313514.31725621</v>
      </c>
      <c r="G101" s="1316">
        <f>$T58</f>
        <v>0</v>
      </c>
      <c r="H101" s="1316">
        <f>$T59</f>
        <v>277472.00509722176</v>
      </c>
      <c r="I101" s="1316">
        <f>$T60</f>
        <v>4446264.9278553557</v>
      </c>
      <c r="J101" s="1316">
        <f>$T61</f>
        <v>40194949.207238577</v>
      </c>
      <c r="K101" s="1316">
        <f>$T62</f>
        <v>44913858.191214077</v>
      </c>
    </row>
    <row r="102" spans="2:11">
      <c r="B102" s="41"/>
      <c r="C102" s="41"/>
      <c r="D102" s="41"/>
      <c r="E102" s="41"/>
      <c r="F102" s="41"/>
      <c r="G102" s="41"/>
      <c r="H102" s="41"/>
      <c r="I102" s="41"/>
      <c r="J102" s="41"/>
      <c r="K102" s="41"/>
    </row>
    <row r="103" spans="2:11">
      <c r="B103" s="41"/>
      <c r="C103" s="41"/>
      <c r="D103" s="41"/>
      <c r="E103" s="41"/>
      <c r="F103" s="41"/>
      <c r="G103" s="41"/>
      <c r="H103" s="41"/>
      <c r="I103" s="41"/>
      <c r="J103" s="41"/>
      <c r="K103" s="41"/>
    </row>
    <row r="104" spans="2:11">
      <c r="B104" s="41"/>
      <c r="C104" s="41"/>
      <c r="D104" s="41"/>
      <c r="E104" s="41"/>
      <c r="F104" s="41"/>
      <c r="G104" s="41"/>
      <c r="H104" s="41"/>
      <c r="I104" s="41"/>
      <c r="J104" s="41"/>
      <c r="K104" s="41"/>
    </row>
    <row r="105" spans="2:11">
      <c r="B105" s="41"/>
      <c r="C105" s="41"/>
      <c r="D105" s="41"/>
      <c r="E105" s="41"/>
      <c r="F105" s="41"/>
      <c r="G105" s="41"/>
      <c r="H105" s="41"/>
      <c r="I105" s="41"/>
      <c r="J105" s="41"/>
      <c r="K105" s="41"/>
    </row>
    <row r="106" spans="2:11">
      <c r="B106" s="41"/>
      <c r="C106" s="41"/>
      <c r="D106" s="41"/>
      <c r="E106" s="41"/>
      <c r="F106" s="41"/>
      <c r="G106" s="41"/>
      <c r="H106" s="41"/>
      <c r="I106" s="41"/>
      <c r="J106" s="41"/>
      <c r="K106" s="41"/>
    </row>
    <row r="107" spans="2:11">
      <c r="B107" s="41"/>
      <c r="C107" s="41"/>
      <c r="D107" s="41"/>
      <c r="E107" s="41"/>
      <c r="F107" s="41"/>
      <c r="G107" s="41"/>
      <c r="H107" s="41"/>
      <c r="I107" s="41"/>
      <c r="J107" s="41"/>
      <c r="K107" s="41"/>
    </row>
    <row r="108" spans="2:11">
      <c r="B108" s="41"/>
      <c r="C108" s="41"/>
      <c r="D108" s="41"/>
      <c r="E108" s="41"/>
      <c r="F108" s="41"/>
      <c r="G108" s="41"/>
      <c r="H108" s="41"/>
      <c r="I108" s="41"/>
      <c r="J108" s="41"/>
      <c r="K108" s="41"/>
    </row>
    <row r="109" spans="2:11">
      <c r="B109" s="41"/>
      <c r="C109" s="41"/>
      <c r="D109" s="41"/>
      <c r="E109" s="41"/>
      <c r="F109" s="41"/>
      <c r="G109" s="41"/>
      <c r="H109" s="41"/>
      <c r="I109" s="41"/>
      <c r="J109" s="41"/>
      <c r="K109" s="41"/>
    </row>
    <row r="110" spans="2:11">
      <c r="B110" s="41"/>
      <c r="C110" s="41"/>
      <c r="D110" s="41"/>
      <c r="E110" s="41"/>
      <c r="F110" s="41"/>
      <c r="G110" s="41"/>
      <c r="H110" s="41"/>
      <c r="I110" s="41"/>
      <c r="J110" s="41"/>
      <c r="K110" s="41"/>
    </row>
    <row r="111" spans="2:11">
      <c r="B111" s="41"/>
      <c r="C111" s="41"/>
      <c r="D111" s="41"/>
      <c r="E111" s="41"/>
      <c r="F111" s="41"/>
      <c r="G111" s="41"/>
      <c r="H111" s="41"/>
      <c r="I111" s="41"/>
      <c r="J111" s="41"/>
      <c r="K111" s="41"/>
    </row>
    <row r="112" spans="2:11">
      <c r="B112" s="41"/>
      <c r="C112" s="41"/>
      <c r="D112" s="41"/>
      <c r="E112" s="41"/>
      <c r="F112" s="41"/>
      <c r="G112" s="41"/>
      <c r="H112" s="41"/>
      <c r="I112" s="41"/>
      <c r="J112" s="41"/>
      <c r="K112" s="41"/>
    </row>
    <row r="113" spans="2:11">
      <c r="B113" s="41"/>
      <c r="C113" s="41"/>
      <c r="D113" s="41"/>
      <c r="E113" s="41"/>
      <c r="F113" s="41"/>
      <c r="G113" s="41"/>
      <c r="H113" s="41"/>
      <c r="I113" s="41"/>
      <c r="J113" s="41"/>
      <c r="K113" s="41"/>
    </row>
    <row r="114" spans="2:11">
      <c r="B114" s="41"/>
      <c r="C114" s="41"/>
      <c r="D114" s="41"/>
      <c r="E114" s="41"/>
      <c r="F114" s="41"/>
      <c r="G114" s="41"/>
      <c r="H114" s="41"/>
      <c r="I114" s="41"/>
      <c r="J114" s="41"/>
      <c r="K114" s="41"/>
    </row>
    <row r="115" spans="2:11">
      <c r="B115" s="41"/>
      <c r="C115" s="41"/>
      <c r="D115" s="41"/>
      <c r="E115" s="41"/>
      <c r="F115" s="41"/>
      <c r="G115" s="41"/>
      <c r="H115" s="41"/>
      <c r="I115" s="41"/>
      <c r="J115" s="41"/>
      <c r="K115" s="41"/>
    </row>
    <row r="116" spans="2:11">
      <c r="B116" s="41"/>
      <c r="C116" s="41"/>
      <c r="D116" s="41"/>
      <c r="E116" s="41"/>
      <c r="F116" s="41"/>
      <c r="G116" s="41"/>
      <c r="H116" s="41"/>
      <c r="I116" s="41"/>
      <c r="J116" s="41"/>
      <c r="K116" s="41"/>
    </row>
    <row r="117" spans="2:11">
      <c r="B117" s="41"/>
      <c r="C117" s="41"/>
      <c r="D117" s="41"/>
      <c r="E117" s="41"/>
      <c r="F117" s="41"/>
      <c r="G117" s="41"/>
      <c r="H117" s="41"/>
      <c r="I117" s="41"/>
      <c r="J117" s="41"/>
      <c r="K117" s="41"/>
    </row>
    <row r="118" spans="2:11">
      <c r="B118" s="41"/>
      <c r="C118" s="41"/>
      <c r="D118" s="41"/>
      <c r="E118" s="41"/>
      <c r="F118" s="41"/>
      <c r="G118" s="41"/>
      <c r="H118" s="41"/>
      <c r="I118" s="41"/>
      <c r="J118" s="41"/>
      <c r="K118" s="41"/>
    </row>
    <row r="119" spans="2:11">
      <c r="B119" s="41"/>
      <c r="C119" s="41"/>
      <c r="D119" s="41"/>
      <c r="E119" s="41"/>
      <c r="F119" s="41"/>
      <c r="G119" s="41"/>
      <c r="H119" s="41"/>
      <c r="I119" s="41"/>
      <c r="J119" s="41"/>
      <c r="K119" s="41"/>
    </row>
    <row r="120" spans="2:11">
      <c r="B120" s="41"/>
      <c r="C120" s="41"/>
      <c r="D120" s="41"/>
      <c r="E120" s="41"/>
      <c r="F120" s="41"/>
      <c r="G120" s="41"/>
      <c r="H120" s="41"/>
      <c r="I120" s="41"/>
      <c r="J120" s="41"/>
      <c r="K120" s="41"/>
    </row>
    <row r="121" spans="2:11">
      <c r="B121" s="41"/>
      <c r="C121" s="41"/>
      <c r="D121" s="41"/>
      <c r="E121" s="41"/>
      <c r="F121" s="41"/>
      <c r="G121" s="41"/>
      <c r="H121" s="41"/>
      <c r="I121" s="41"/>
      <c r="J121" s="41"/>
      <c r="K121" s="41"/>
    </row>
  </sheetData>
  <sheetProtection sheet="1" objects="1" scenarios="1"/>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5CA70-B4FE-4766-97D6-D7AE422C51B1}">
  <dimension ref="B1:O527"/>
  <sheetViews>
    <sheetView topLeftCell="A419" zoomScale="86" zoomScaleNormal="80" workbookViewId="0">
      <selection activeCell="F454" sqref="F454"/>
    </sheetView>
  </sheetViews>
  <sheetFormatPr baseColWidth="10" defaultColWidth="9.1640625" defaultRowHeight="15"/>
  <cols>
    <col min="1" max="1" width="9.1640625" style="1327"/>
    <col min="2" max="2" width="8.6640625" style="1327" customWidth="1"/>
    <col min="3" max="3" width="27.1640625" style="1327" customWidth="1"/>
    <col min="4" max="5" width="31.1640625" style="1327" customWidth="1"/>
    <col min="6" max="6" width="29.6640625" style="1327" customWidth="1"/>
    <col min="7" max="7" width="27" style="1327" customWidth="1"/>
    <col min="8" max="8" width="23.33203125" style="1327" customWidth="1"/>
    <col min="9" max="9" width="20.5" style="1327" customWidth="1"/>
    <col min="10" max="10" width="22.83203125" style="1327" bestFit="1" customWidth="1"/>
    <col min="11" max="11" width="19.5" style="1327" customWidth="1"/>
    <col min="12" max="12" width="18.5" style="1327" customWidth="1"/>
    <col min="13" max="13" width="21.83203125" style="1327" customWidth="1"/>
    <col min="14" max="14" width="21.1640625" style="1327" bestFit="1" customWidth="1"/>
    <col min="15" max="15" width="22.83203125" style="1327" bestFit="1" customWidth="1"/>
    <col min="16" max="16" width="17.83203125" style="1327" customWidth="1"/>
    <col min="17" max="17" width="21.6640625" style="1327" customWidth="1"/>
    <col min="18" max="18" width="18" style="1327" customWidth="1"/>
    <col min="19" max="19" width="19.5" style="1327" customWidth="1"/>
    <col min="20" max="20" width="18.5" style="1327" customWidth="1"/>
    <col min="21" max="21" width="12.1640625" style="1327" customWidth="1"/>
    <col min="22" max="22" width="19.33203125" style="1327" customWidth="1"/>
    <col min="23" max="23" width="24" style="1327" customWidth="1"/>
    <col min="24" max="24" width="18.1640625" style="1327" customWidth="1"/>
    <col min="25" max="25" width="14.83203125" style="1327" customWidth="1"/>
    <col min="26" max="26" width="14.33203125" style="1327" customWidth="1"/>
    <col min="27" max="16384" width="9.1640625" style="1327"/>
  </cols>
  <sheetData>
    <row r="1" spans="2:13">
      <c r="C1" s="1567" t="s">
        <v>3828</v>
      </c>
      <c r="D1" s="1567"/>
      <c r="E1" s="1567"/>
      <c r="F1" s="1567"/>
      <c r="G1" s="1341"/>
      <c r="H1" s="1341"/>
      <c r="I1" s="1341"/>
      <c r="J1" s="1341"/>
      <c r="K1" s="1341"/>
      <c r="L1" s="1341"/>
      <c r="M1" s="1341"/>
    </row>
    <row r="2" spans="2:13">
      <c r="C2" s="1570" t="s">
        <v>3826</v>
      </c>
      <c r="D2" s="1570"/>
      <c r="E2" s="1571" t="s">
        <v>3827</v>
      </c>
      <c r="F2" s="1571"/>
    </row>
    <row r="5" spans="2:13">
      <c r="B5" s="1326" t="s">
        <v>3669</v>
      </c>
    </row>
    <row r="6" spans="2:13">
      <c r="B6" s="1328" t="s">
        <v>3670</v>
      </c>
      <c r="C6" s="1329"/>
      <c r="D6" s="1329"/>
      <c r="E6" s="1329"/>
      <c r="F6" s="1329"/>
      <c r="H6" s="1329"/>
      <c r="I6" s="1329"/>
      <c r="J6" s="1329"/>
      <c r="K6" s="1329"/>
      <c r="L6" s="1329"/>
    </row>
    <row r="8" spans="2:13">
      <c r="B8" s="1572" t="s">
        <v>3671</v>
      </c>
      <c r="C8" s="1572"/>
      <c r="D8" s="1572"/>
      <c r="E8" s="1572"/>
      <c r="F8" s="1572"/>
      <c r="G8" s="1444">
        <f>'Basic Parameters and Results'!F14</f>
        <v>2.7E-2</v>
      </c>
    </row>
    <row r="9" spans="2:13">
      <c r="B9" s="1327" t="s">
        <v>3672</v>
      </c>
      <c r="G9" s="1442">
        <f>'Advanced Parameters'!G3</f>
        <v>5.5</v>
      </c>
    </row>
    <row r="10" spans="2:13">
      <c r="B10" s="1327" t="s">
        <v>3673</v>
      </c>
      <c r="G10" s="1442">
        <f>'Advanced Parameters'!G4</f>
        <v>18179</v>
      </c>
    </row>
    <row r="12" spans="2:13" ht="16" thickBot="1">
      <c r="B12" s="1573" t="s">
        <v>3806</v>
      </c>
      <c r="C12" s="1573"/>
      <c r="D12" s="1573"/>
      <c r="E12" s="1567" t="s">
        <v>3807</v>
      </c>
      <c r="F12" s="1567"/>
      <c r="G12" s="1567"/>
      <c r="H12" s="1567"/>
      <c r="I12" s="1567"/>
      <c r="J12" s="1567"/>
      <c r="K12" s="1567"/>
      <c r="L12" s="1567"/>
    </row>
    <row r="13" spans="2:13" ht="16" thickBot="1">
      <c r="B13" s="1387" t="s">
        <v>3</v>
      </c>
      <c r="C13" s="1388" t="s">
        <v>3674</v>
      </c>
      <c r="D13" s="1387" t="s">
        <v>3675</v>
      </c>
      <c r="E13" s="1343" t="s">
        <v>3676</v>
      </c>
      <c r="F13" s="1343" t="s">
        <v>3677</v>
      </c>
      <c r="G13" s="1343" t="s">
        <v>3678</v>
      </c>
      <c r="H13" s="1343" t="s">
        <v>3679</v>
      </c>
      <c r="I13" s="1343" t="s">
        <v>3680</v>
      </c>
      <c r="J13" s="1343" t="s">
        <v>3681</v>
      </c>
      <c r="K13" s="1343" t="s">
        <v>3682</v>
      </c>
      <c r="L13" s="1343" t="s">
        <v>4012</v>
      </c>
    </row>
    <row r="14" spans="2:13" ht="16" thickBot="1">
      <c r="B14" s="1333">
        <v>2017</v>
      </c>
      <c r="C14" s="1334">
        <v>5322</v>
      </c>
      <c r="D14" s="1335">
        <v>5605</v>
      </c>
      <c r="E14" s="1336">
        <v>0.54800000000000004</v>
      </c>
      <c r="F14" s="1336">
        <v>0.40100000000000002</v>
      </c>
      <c r="G14" s="1336">
        <f>329/'Advanced Parameters'!G4</f>
        <v>1.8097805159799769E-2</v>
      </c>
      <c r="H14" s="1336">
        <v>0.57399999999999995</v>
      </c>
      <c r="I14" s="1336">
        <v>0.76100000000000001</v>
      </c>
      <c r="J14" s="1336">
        <v>0.25900000000000001</v>
      </c>
      <c r="K14" s="1337">
        <v>0.08</v>
      </c>
      <c r="L14" s="1337">
        <f>1960/'Advanced Parameters'!G4</f>
        <v>0.1078167115902965</v>
      </c>
      <c r="M14" s="1327" t="s">
        <v>3684</v>
      </c>
    </row>
    <row r="15" spans="2:13" ht="16" thickBot="1">
      <c r="B15" s="1333">
        <v>2018</v>
      </c>
      <c r="C15" s="1334">
        <v>5434</v>
      </c>
      <c r="D15" s="1332"/>
      <c r="E15" s="1336">
        <f>MIN(((('Basic Parameters and Results'!$F$14)*((($C$15-$C$14)*'Advanced Parameters'!$G$3)/1000))+E14), 'Advanced Parameters'!B$8)</f>
        <v>0.56463200000000002</v>
      </c>
      <c r="F15" s="1336">
        <f>MIN(((('Basic Parameters and Results'!$F$14)*((($C$15-$C$14)*'Advanced Parameters'!$G$3)/1000))+F14), 'Advanced Parameters'!C$8)</f>
        <v>0.417632</v>
      </c>
      <c r="G15" s="1336">
        <f>MIN(((('Basic Parameters and Results'!$F$14)*((($C$15-$C$14)*'Advanced Parameters'!$G$3)/1000))+G14), 'Advanced Parameters'!D$8)</f>
        <v>3.4729805159799773E-2</v>
      </c>
      <c r="H15" s="1336">
        <f>MIN(((('Basic Parameters and Results'!$F$14)*((($C$15-$C$14)*'Advanced Parameters'!$G$3)/1000))+H14), 'Advanced Parameters'!E$8)</f>
        <v>0.59063199999999993</v>
      </c>
      <c r="I15" s="1336">
        <f>MIN(((('Basic Parameters and Results'!$F$14)*((($C$15-$C$14)*'Advanced Parameters'!$G$3)/1000))+I14), 'Advanced Parameters'!F$8)</f>
        <v>0.77763199999999999</v>
      </c>
      <c r="J15" s="1336">
        <f>MIN(((('Basic Parameters and Results'!$F$14)*((($C$15-$C$14)*'Advanced Parameters'!$G$3)/1000))+J14), 'Advanced Parameters'!G$8)</f>
        <v>0.27563199999999999</v>
      </c>
      <c r="K15" s="1336">
        <f>MIN(((('Basic Parameters and Results'!$F$14)*((($C$15-$C$14)*'Advanced Parameters'!$G$3)/1000))+K14), 'Advanced Parameters'!H$8)</f>
        <v>9.6631999999999996E-2</v>
      </c>
      <c r="L15" s="1336">
        <f>MIN(((('Basic Parameters and Results'!$F$14)*((($C$15-$C$14)*'Advanced Parameters'!$G$3)/1000))+L14), 'Advanced Parameters'!I$8)</f>
        <v>0.1244487115902965</v>
      </c>
    </row>
    <row r="16" spans="2:13" ht="16" thickBot="1">
      <c r="B16" s="1333">
        <v>2019</v>
      </c>
      <c r="C16" s="1334">
        <v>5547</v>
      </c>
      <c r="D16" s="1332"/>
      <c r="E16" s="1336">
        <f>MIN(((('Basic Parameters and Results'!$F$14)*((($C$15-$C$14)*'Advanced Parameters'!$G$3)/1000))+E15), 'Advanced Parameters'!B$8)</f>
        <v>0.581264</v>
      </c>
      <c r="F16" s="1336">
        <f>MIN(((('Basic Parameters and Results'!$F$14)*((($C$15-$C$14)*'Advanced Parameters'!$G$3)/1000))+F15), 'Advanced Parameters'!C$8)</f>
        <v>0.43426399999999998</v>
      </c>
      <c r="G16" s="1336">
        <f>MIN(((('Basic Parameters and Results'!$F$14)*((($C$15-$C$14)*'Advanced Parameters'!$G$3)/1000))+G15), 'Advanced Parameters'!D$8)</f>
        <v>5.1361805159799774E-2</v>
      </c>
      <c r="H16" s="1336">
        <f>MIN(((('Basic Parameters and Results'!$F$14)*((($C$15-$C$14)*'Advanced Parameters'!$G$3)/1000))+H15), 'Advanced Parameters'!E$8)</f>
        <v>0.60726399999999991</v>
      </c>
      <c r="I16" s="1336">
        <f>MIN(((('Basic Parameters and Results'!$F$14)*((($C$15-$C$14)*'Advanced Parameters'!$G$3)/1000))+I15), 'Advanced Parameters'!F$8)</f>
        <v>0.79426399999999997</v>
      </c>
      <c r="J16" s="1336">
        <f>MIN(((('Basic Parameters and Results'!$F$14)*((($C$15-$C$14)*'Advanced Parameters'!$G$3)/1000))+J15), 'Advanced Parameters'!G$8)</f>
        <v>0.29226399999999997</v>
      </c>
      <c r="K16" s="1336">
        <f>MIN(((('Basic Parameters and Results'!$F$14)*((($C$15-$C$14)*'Advanced Parameters'!$G$3)/1000))+K15), 'Advanced Parameters'!H$8)</f>
        <v>0.113264</v>
      </c>
      <c r="L16" s="1336">
        <f>MIN(((('Basic Parameters and Results'!$F$14)*((($C$15-$C$14)*'Advanced Parameters'!$G$3)/1000))+L15), 'Advanced Parameters'!I$8)</f>
        <v>0.1410807115902965</v>
      </c>
    </row>
    <row r="17" spans="2:12" ht="16" thickBot="1">
      <c r="B17" s="1333">
        <v>2020</v>
      </c>
      <c r="C17" s="1334">
        <v>5659</v>
      </c>
      <c r="D17" s="1332"/>
      <c r="E17" s="1336">
        <f>MIN(((('Basic Parameters and Results'!$F$14)*((($C$15-$C$14)*'Advanced Parameters'!$G$3)/1000))+E16), 'Advanced Parameters'!B$8)</f>
        <v>0.59789599999999998</v>
      </c>
      <c r="F17" s="1336">
        <f>MIN(((('Basic Parameters and Results'!$F$14)*((($C$15-$C$14)*'Advanced Parameters'!$G$3)/1000))+F16), 'Advanced Parameters'!C$8)</f>
        <v>0.45089599999999996</v>
      </c>
      <c r="G17" s="1336">
        <f>MIN(((('Basic Parameters and Results'!$F$14)*((($C$15-$C$14)*'Advanced Parameters'!$G$3)/1000))+G16), 'Advanced Parameters'!D$8)</f>
        <v>6.7993805159799775E-2</v>
      </c>
      <c r="H17" s="1336">
        <f>MIN(((('Basic Parameters and Results'!$F$14)*((($C$15-$C$14)*'Advanced Parameters'!$G$3)/1000))+H16), 'Advanced Parameters'!E$8)</f>
        <v>0.6238959999999999</v>
      </c>
      <c r="I17" s="1336">
        <f>MIN(((('Basic Parameters and Results'!$F$14)*((($C$15-$C$14)*'Advanced Parameters'!$G$3)/1000))+I16), 'Advanced Parameters'!F$8)</f>
        <v>0.81089599999999995</v>
      </c>
      <c r="J17" s="1336">
        <f>MIN(((('Basic Parameters and Results'!$F$14)*((($C$15-$C$14)*'Advanced Parameters'!$G$3)/1000))+J16), 'Advanced Parameters'!G$8)</f>
        <v>0.30889599999999995</v>
      </c>
      <c r="K17" s="1336">
        <f>MIN(((('Basic Parameters and Results'!$F$14)*((($C$15-$C$14)*'Advanced Parameters'!$G$3)/1000))+K16), 'Advanced Parameters'!H$8)</f>
        <v>0.12989600000000001</v>
      </c>
      <c r="L17" s="1336">
        <f>MIN(((('Basic Parameters and Results'!$F$14)*((($C$15-$C$14)*'Advanced Parameters'!$G$3)/1000))+L16), 'Advanced Parameters'!I$8)</f>
        <v>0.15771271159029651</v>
      </c>
    </row>
    <row r="18" spans="2:12" ht="16" thickBot="1">
      <c r="B18" s="1333">
        <v>2021</v>
      </c>
      <c r="C18" s="1334">
        <v>5772</v>
      </c>
      <c r="D18" s="1332"/>
      <c r="E18" s="1336">
        <f>MIN(((('Basic Parameters and Results'!$F$14)*((($C$15-$C$14)*'Advanced Parameters'!$G$3)/1000))+E17), 'Advanced Parameters'!B$8)</f>
        <v>0.61452799999999996</v>
      </c>
      <c r="F18" s="1336">
        <f>MIN(((('Basic Parameters and Results'!$F$14)*((($C$15-$C$14)*'Advanced Parameters'!$G$3)/1000))+F17), 'Advanced Parameters'!C$8)</f>
        <v>0.45160413268080479</v>
      </c>
      <c r="G18" s="1336">
        <f>MIN(((('Basic Parameters and Results'!$F$14)*((($C$15-$C$14)*'Advanced Parameters'!$G$3)/1000))+G17), 'Advanced Parameters'!D$8)</f>
        <v>8.4625805159799783E-2</v>
      </c>
      <c r="H18" s="1336">
        <f>MIN(((('Basic Parameters and Results'!$F$14)*((($C$15-$C$14)*'Advanced Parameters'!$G$3)/1000))+H17), 'Advanced Parameters'!E$8)</f>
        <v>0.64052799999999988</v>
      </c>
      <c r="I18" s="1336">
        <f>MIN(((('Basic Parameters and Results'!$F$14)*((($C$15-$C$14)*'Advanced Parameters'!$G$3)/1000))+I17), 'Advanced Parameters'!F$8)</f>
        <v>0.82752799999999993</v>
      </c>
      <c r="J18" s="1336">
        <f>MIN(((('Basic Parameters and Results'!$F$14)*((($C$15-$C$14)*'Advanced Parameters'!$G$3)/1000))+J17), 'Advanced Parameters'!G$8)</f>
        <v>0.32552799999999993</v>
      </c>
      <c r="K18" s="1336">
        <f>MIN(((('Basic Parameters and Results'!$F$14)*((($C$15-$C$14)*'Advanced Parameters'!$G$3)/1000))+K17), 'Advanced Parameters'!H$8)</f>
        <v>0.14652800000000002</v>
      </c>
      <c r="L18" s="1336">
        <f>MIN(((('Basic Parameters and Results'!$F$14)*((($C$15-$C$14)*'Advanced Parameters'!$G$3)/1000))+L17), 'Advanced Parameters'!I$8)</f>
        <v>0.17434471159029652</v>
      </c>
    </row>
    <row r="19" spans="2:12" ht="16" thickBot="1">
      <c r="B19" s="1333">
        <v>2022</v>
      </c>
      <c r="C19" s="1334">
        <v>5885</v>
      </c>
      <c r="D19" s="1332"/>
      <c r="E19" s="1336">
        <f>MIN(((('Basic Parameters and Results'!$F$14)*((($C$15-$C$14)*'Advanced Parameters'!$G$3)/1000))+E18), 'Advanced Parameters'!B$8)</f>
        <v>0.63115999999999994</v>
      </c>
      <c r="F19" s="1336">
        <f>MIN(((('Basic Parameters and Results'!$F$14)*((($C$15-$C$14)*'Advanced Parameters'!$G$3)/1000))+F18), 'Advanced Parameters'!C$8)</f>
        <v>0.45160413268080479</v>
      </c>
      <c r="G19" s="1336">
        <f>MIN(((('Basic Parameters and Results'!$F$14)*((($C$15-$C$14)*'Advanced Parameters'!$G$3)/1000))+G18), 'Advanced Parameters'!D$8)</f>
        <v>0.10125780515979979</v>
      </c>
      <c r="H19" s="1336">
        <f>MIN(((('Basic Parameters and Results'!$F$14)*((($C$15-$C$14)*'Advanced Parameters'!$G$3)/1000))+H18), 'Advanced Parameters'!E$8)</f>
        <v>0.65715999999999986</v>
      </c>
      <c r="I19" s="1336">
        <f>MIN(((('Basic Parameters and Results'!$F$14)*((($C$15-$C$14)*'Advanced Parameters'!$G$3)/1000))+I18), 'Advanced Parameters'!F$8)</f>
        <v>0.84415999999999991</v>
      </c>
      <c r="J19" s="1336">
        <f>MIN(((('Basic Parameters and Results'!$F$14)*((($C$15-$C$14)*'Advanced Parameters'!$G$3)/1000))+J18), 'Advanced Parameters'!G$8)</f>
        <v>0.34215999999999991</v>
      </c>
      <c r="K19" s="1336">
        <f>MIN(((('Basic Parameters and Results'!$F$14)*((($C$15-$C$14)*'Advanced Parameters'!$G$3)/1000))+K18), 'Advanced Parameters'!H$8)</f>
        <v>0.15</v>
      </c>
      <c r="L19" s="1336">
        <f>MIN(((('Basic Parameters and Results'!$F$14)*((($C$15-$C$14)*'Advanced Parameters'!$G$3)/1000))+L18), 'Advanced Parameters'!I$8)</f>
        <v>0.19097671159029653</v>
      </c>
    </row>
    <row r="20" spans="2:12" ht="16" thickBot="1">
      <c r="B20" s="1333">
        <v>2023</v>
      </c>
      <c r="C20" s="1334">
        <v>5997</v>
      </c>
      <c r="D20" s="1332"/>
      <c r="E20" s="1336">
        <f>MIN(((('Basic Parameters and Results'!$F$14)*((($C$15-$C$14)*'Advanced Parameters'!$G$3)/1000))+E19), 'Advanced Parameters'!B$8)</f>
        <v>0.64779199999999992</v>
      </c>
      <c r="F20" s="1336">
        <f>MIN(((('Basic Parameters and Results'!$F$14)*((($C$15-$C$14)*'Advanced Parameters'!$G$3)/1000))+F19), 'Advanced Parameters'!C$8)</f>
        <v>0.45160413268080479</v>
      </c>
      <c r="G20" s="1336">
        <f>MIN(((('Basic Parameters and Results'!$F$14)*((($C$15-$C$14)*'Advanced Parameters'!$G$3)/1000))+G19), 'Advanced Parameters'!D$8)</f>
        <v>0.1178898051597998</v>
      </c>
      <c r="H20" s="1336">
        <f>MIN(((('Basic Parameters and Results'!$F$14)*((($C$15-$C$14)*'Advanced Parameters'!$G$3)/1000))+H19), 'Advanced Parameters'!E$8)</f>
        <v>0.67379199999999984</v>
      </c>
      <c r="I20" s="1336">
        <f>MIN(((('Basic Parameters and Results'!$F$14)*((($C$15-$C$14)*'Advanced Parameters'!$G$3)/1000))+I19), 'Advanced Parameters'!F$8)</f>
        <v>0.86079199999999989</v>
      </c>
      <c r="J20" s="1336">
        <f>MIN(((('Basic Parameters and Results'!$F$14)*((($C$15-$C$14)*'Advanced Parameters'!$G$3)/1000))+J19), 'Advanced Parameters'!G$8)</f>
        <v>0.35879199999999989</v>
      </c>
      <c r="K20" s="1336">
        <f>MIN(((('Basic Parameters and Results'!$F$14)*((($C$15-$C$14)*'Advanced Parameters'!$G$3)/1000))+K19), 'Advanced Parameters'!H$8)</f>
        <v>0.15</v>
      </c>
      <c r="L20" s="1336">
        <f>MIN(((('Basic Parameters and Results'!$F$14)*((($C$15-$C$14)*'Advanced Parameters'!$G$3)/1000))+L19), 'Advanced Parameters'!I$8)</f>
        <v>0.20760871159029654</v>
      </c>
    </row>
    <row r="21" spans="2:12" ht="16" thickBot="1">
      <c r="B21" s="1333">
        <v>2024</v>
      </c>
      <c r="C21" s="1334">
        <v>6110</v>
      </c>
      <c r="D21" s="1332"/>
      <c r="E21" s="1336">
        <f>MIN(((('Basic Parameters and Results'!$F$14)*((($C$15-$C$14)*'Advanced Parameters'!$G$3)/1000))+E20), 'Advanced Parameters'!B$8)</f>
        <v>0.6644239999999999</v>
      </c>
      <c r="F21" s="1336">
        <f>MIN(((('Basic Parameters and Results'!$F$14)*((($C$15-$C$14)*'Advanced Parameters'!$G$3)/1000))+F20), 'Advanced Parameters'!C$8)</f>
        <v>0.45160413268080479</v>
      </c>
      <c r="G21" s="1336">
        <f>MIN(((('Basic Parameters and Results'!$F$14)*((($C$15-$C$14)*'Advanced Parameters'!$G$3)/1000))+G20), 'Advanced Parameters'!D$8)</f>
        <v>0.13452180515979981</v>
      </c>
      <c r="H21" s="1336">
        <f>MIN(((('Basic Parameters and Results'!$F$14)*((($C$15-$C$14)*'Advanced Parameters'!$G$3)/1000))+H20), 'Advanced Parameters'!E$8)</f>
        <v>0.69042399999999982</v>
      </c>
      <c r="I21" s="1336">
        <f>MIN(((('Basic Parameters and Results'!$F$14)*((($C$15-$C$14)*'Advanced Parameters'!$G$3)/1000))+I20), 'Advanced Parameters'!F$8)</f>
        <v>0.86251586006887804</v>
      </c>
      <c r="J21" s="1336">
        <f>MIN(((('Basic Parameters and Results'!$F$14)*((($C$15-$C$14)*'Advanced Parameters'!$G$3)/1000))+J20), 'Advanced Parameters'!G$8)</f>
        <v>0.37542399999999987</v>
      </c>
      <c r="K21" s="1336">
        <f>MIN(((('Basic Parameters and Results'!$F$14)*((($C$15-$C$14)*'Advanced Parameters'!$G$3)/1000))+K20), 'Advanced Parameters'!H$8)</f>
        <v>0.15</v>
      </c>
      <c r="L21" s="1336">
        <f>MIN(((('Basic Parameters and Results'!$F$14)*((($C$15-$C$14)*'Advanced Parameters'!$G$3)/1000))+L20), 'Advanced Parameters'!I$8)</f>
        <v>0.22424071159029654</v>
      </c>
    </row>
    <row r="22" spans="2:12" ht="16" thickBot="1">
      <c r="B22" s="1333">
        <v>2025</v>
      </c>
      <c r="C22" s="1334">
        <v>6223</v>
      </c>
      <c r="D22" s="1332"/>
      <c r="E22" s="1336">
        <f>MIN(((('Basic Parameters and Results'!$F$14)*((($C$15-$C$14)*'Advanced Parameters'!$G$3)/1000))+E21), 'Advanced Parameters'!B$8)</f>
        <v>0.68105599999999988</v>
      </c>
      <c r="F22" s="1336">
        <f>MIN(((('Basic Parameters and Results'!$F$14)*((($C$15-$C$14)*'Advanced Parameters'!$G$3)/1000))+F21), 'Advanced Parameters'!C$8)</f>
        <v>0.45160413268080479</v>
      </c>
      <c r="G22" s="1336">
        <f>MIN(((('Basic Parameters and Results'!$F$14)*((($C$15-$C$14)*'Advanced Parameters'!$G$3)/1000))+G21), 'Advanced Parameters'!D$8)</f>
        <v>0.15115380515979981</v>
      </c>
      <c r="H22" s="1336">
        <f>MIN(((('Basic Parameters and Results'!$F$14)*((($C$15-$C$14)*'Advanced Parameters'!$G$3)/1000))+H21), 'Advanced Parameters'!E$8)</f>
        <v>0.7070559999999998</v>
      </c>
      <c r="I22" s="1336">
        <f>MIN(((('Basic Parameters and Results'!$F$14)*((($C$15-$C$14)*'Advanced Parameters'!$G$3)/1000))+I21), 'Advanced Parameters'!F$8)</f>
        <v>0.86251586006887804</v>
      </c>
      <c r="J22" s="1336">
        <f>MIN(((('Basic Parameters and Results'!$F$14)*((($C$15-$C$14)*'Advanced Parameters'!$G$3)/1000))+J21), 'Advanced Parameters'!G$8)</f>
        <v>0.39205599999999985</v>
      </c>
      <c r="K22" s="1336">
        <f>MIN(((('Basic Parameters and Results'!$F$14)*((($C$15-$C$14)*'Advanced Parameters'!$G$3)/1000))+K21), 'Advanced Parameters'!H$8)</f>
        <v>0.15</v>
      </c>
      <c r="L22" s="1336">
        <f>MIN(((('Basic Parameters and Results'!$F$14)*((($C$15-$C$14)*'Advanced Parameters'!$G$3)/1000))+L21), 'Advanced Parameters'!I$8)</f>
        <v>0.24087271159029655</v>
      </c>
    </row>
    <row r="23" spans="2:12" ht="16" thickBot="1">
      <c r="B23" s="1333">
        <v>2026</v>
      </c>
      <c r="C23" s="1334">
        <v>6335</v>
      </c>
      <c r="D23" s="1332"/>
      <c r="E23" s="1336">
        <f>MIN(((('Basic Parameters and Results'!$F$14)*((($C$15-$C$14)*'Advanced Parameters'!$G$3)/1000))+E22), 'Advanced Parameters'!B$8)</f>
        <v>0.69768799999999986</v>
      </c>
      <c r="F23" s="1336">
        <f>MIN(((('Basic Parameters and Results'!$F$14)*((($C$15-$C$14)*'Advanced Parameters'!$G$3)/1000))+F22), 'Advanced Parameters'!C$8)</f>
        <v>0.45160413268080479</v>
      </c>
      <c r="G23" s="1336">
        <f>MIN(((('Basic Parameters and Results'!$F$14)*((($C$15-$C$14)*'Advanced Parameters'!$G$3)/1000))+G22), 'Advanced Parameters'!D$8)</f>
        <v>0.16778580515979982</v>
      </c>
      <c r="H23" s="1336">
        <f>MIN(((('Basic Parameters and Results'!$F$14)*((($C$15-$C$14)*'Advanced Parameters'!$G$3)/1000))+H22), 'Advanced Parameters'!E$8)</f>
        <v>0.72368799999999978</v>
      </c>
      <c r="I23" s="1336">
        <f>MIN(((('Basic Parameters and Results'!$F$14)*((($C$15-$C$14)*'Advanced Parameters'!$G$3)/1000))+I22), 'Advanced Parameters'!F$8)</f>
        <v>0.86251586006887804</v>
      </c>
      <c r="J23" s="1336">
        <f>MIN(((('Basic Parameters and Results'!$F$14)*((($C$15-$C$14)*'Advanced Parameters'!$G$3)/1000))+J22), 'Advanced Parameters'!G$8)</f>
        <v>0.40868799999999983</v>
      </c>
      <c r="K23" s="1336">
        <f>MIN(((('Basic Parameters and Results'!$F$14)*((($C$15-$C$14)*'Advanced Parameters'!$G$3)/1000))+K22), 'Advanced Parameters'!H$8)</f>
        <v>0.15</v>
      </c>
      <c r="L23" s="1336">
        <f>MIN(((('Basic Parameters and Results'!$F$14)*((($C$15-$C$14)*'Advanced Parameters'!$G$3)/1000))+L22), 'Advanced Parameters'!I$8)</f>
        <v>0.25750471159029653</v>
      </c>
    </row>
    <row r="24" spans="2:12" ht="12.75" customHeight="1" thickBot="1">
      <c r="B24" s="1333">
        <v>2027</v>
      </c>
      <c r="C24" s="1334">
        <v>6448</v>
      </c>
      <c r="D24" s="1332"/>
      <c r="E24" s="1336">
        <f>MIN(((('Basic Parameters and Results'!$F$14)*((($C$15-$C$14)*'Advanced Parameters'!$G$3)/1000))+E23), 'Advanced Parameters'!B$8)</f>
        <v>0.71431999999999984</v>
      </c>
      <c r="F24" s="1336">
        <f>MIN(((('Basic Parameters and Results'!$F$14)*((($C$15-$C$14)*'Advanced Parameters'!$G$3)/1000))+F23), 'Advanced Parameters'!C$8)</f>
        <v>0.45160413268080479</v>
      </c>
      <c r="G24" s="1336">
        <f>MIN(((('Basic Parameters and Results'!$F$14)*((($C$15-$C$14)*'Advanced Parameters'!$G$3)/1000))+G23), 'Advanced Parameters'!D$8)</f>
        <v>0.18441780515979983</v>
      </c>
      <c r="H24" s="1336">
        <f>MIN(((('Basic Parameters and Results'!$F$14)*((($C$15-$C$14)*'Advanced Parameters'!$G$3)/1000))+H23), 'Advanced Parameters'!E$8)</f>
        <v>0.74031999999999976</v>
      </c>
      <c r="I24" s="1336">
        <f>MIN(((('Basic Parameters and Results'!$F$14)*((($C$15-$C$14)*'Advanced Parameters'!$G$3)/1000))+I23), 'Advanced Parameters'!F$8)</f>
        <v>0.86251586006887804</v>
      </c>
      <c r="J24" s="1336">
        <f>MIN(((('Basic Parameters and Results'!$F$14)*((($C$15-$C$14)*'Advanced Parameters'!$G$3)/1000))+J23), 'Advanced Parameters'!G$8)</f>
        <v>0.42531999999999981</v>
      </c>
      <c r="K24" s="1336">
        <f>MIN(((('Basic Parameters and Results'!$F$14)*((($C$15-$C$14)*'Advanced Parameters'!$G$3)/1000))+K23), 'Advanced Parameters'!H$8)</f>
        <v>0.15</v>
      </c>
      <c r="L24" s="1336">
        <f>MIN(((('Basic Parameters and Results'!$F$14)*((($C$15-$C$14)*'Advanced Parameters'!$G$3)/1000))+L23), 'Advanced Parameters'!I$8)</f>
        <v>0.27413671159029651</v>
      </c>
    </row>
    <row r="25" spans="2:12" ht="16" thickBot="1">
      <c r="B25" s="1333">
        <v>2028</v>
      </c>
      <c r="C25" s="1334">
        <v>6560</v>
      </c>
      <c r="D25" s="1332"/>
      <c r="E25" s="1336">
        <f>MIN(((('Basic Parameters and Results'!$F$14)*((($C$15-$C$14)*'Advanced Parameters'!$G$3)/1000))+E24), 'Advanced Parameters'!B$8)</f>
        <v>0.73095199999999982</v>
      </c>
      <c r="F25" s="1336">
        <f>MIN(((('Basic Parameters and Results'!$F$14)*((($C$15-$C$14)*'Advanced Parameters'!$G$3)/1000))+F24), 'Advanced Parameters'!C$8)</f>
        <v>0.45160413268080479</v>
      </c>
      <c r="G25" s="1336">
        <f>MIN(((('Basic Parameters and Results'!$F$14)*((($C$15-$C$14)*'Advanced Parameters'!$G$3)/1000))+G24), 'Advanced Parameters'!D$8)</f>
        <v>0.20104980515979984</v>
      </c>
      <c r="H25" s="1336">
        <f>MIN(((('Basic Parameters and Results'!$F$14)*((($C$15-$C$14)*'Advanced Parameters'!$G$3)/1000))+H24), 'Advanced Parameters'!E$8)</f>
        <v>0.75695199999999974</v>
      </c>
      <c r="I25" s="1336">
        <f>MIN(((('Basic Parameters and Results'!$F$14)*((($C$15-$C$14)*'Advanced Parameters'!$G$3)/1000))+I24), 'Advanced Parameters'!F$8)</f>
        <v>0.86251586006887804</v>
      </c>
      <c r="J25" s="1336">
        <f>MIN(((('Basic Parameters and Results'!$F$14)*((($C$15-$C$14)*'Advanced Parameters'!$G$3)/1000))+J24), 'Advanced Parameters'!G$8)</f>
        <v>0.44195199999999979</v>
      </c>
      <c r="K25" s="1336">
        <f>MIN(((('Basic Parameters and Results'!$F$14)*((($C$15-$C$14)*'Advanced Parameters'!$G$3)/1000))+K24), 'Advanced Parameters'!H$8)</f>
        <v>0.15</v>
      </c>
      <c r="L25" s="1336">
        <f>MIN(((('Basic Parameters and Results'!$F$14)*((($C$15-$C$14)*'Advanced Parameters'!$G$3)/1000))+L24), 'Advanced Parameters'!I$8)</f>
        <v>0.29076871159029649</v>
      </c>
    </row>
    <row r="26" spans="2:12" ht="16" thickBot="1">
      <c r="B26" s="1333">
        <v>2029</v>
      </c>
      <c r="C26" s="1334">
        <v>6673</v>
      </c>
      <c r="D26" s="1332"/>
      <c r="E26" s="1336">
        <f>MIN(((('Basic Parameters and Results'!$F$14)*((($C$15-$C$14)*'Advanced Parameters'!$G$3)/1000))+E25), 'Advanced Parameters'!B$8)</f>
        <v>0.7475839999999998</v>
      </c>
      <c r="F26" s="1336">
        <f>MIN(((('Basic Parameters and Results'!$F$14)*((($C$15-$C$14)*'Advanced Parameters'!$G$3)/1000))+F25), 'Advanced Parameters'!C$8)</f>
        <v>0.45160413268080479</v>
      </c>
      <c r="G26" s="1336">
        <f>MIN(((('Basic Parameters and Results'!$F$14)*((($C$15-$C$14)*'Advanced Parameters'!$G$3)/1000))+G25), 'Advanced Parameters'!D$8)</f>
        <v>0.21768180515979985</v>
      </c>
      <c r="H26" s="1336">
        <f>MIN(((('Basic Parameters and Results'!$F$14)*((($C$15-$C$14)*'Advanced Parameters'!$G$3)/1000))+H25), 'Advanced Parameters'!E$8)</f>
        <v>0.77358399999999972</v>
      </c>
      <c r="I26" s="1336">
        <f>MIN(((('Basic Parameters and Results'!$F$14)*((($C$15-$C$14)*'Advanced Parameters'!$G$3)/1000))+I25), 'Advanced Parameters'!F$8)</f>
        <v>0.86251586006887804</v>
      </c>
      <c r="J26" s="1336">
        <f>MIN(((('Basic Parameters and Results'!$F$14)*((($C$15-$C$14)*'Advanced Parameters'!$G$3)/1000))+J25), 'Advanced Parameters'!G$8)</f>
        <v>0.45800000000000002</v>
      </c>
      <c r="K26" s="1336">
        <f>MIN(((('Basic Parameters and Results'!$F$14)*((($C$15-$C$14)*'Advanced Parameters'!$G$3)/1000))+K25), 'Advanced Parameters'!H$8)</f>
        <v>0.15</v>
      </c>
      <c r="L26" s="1336">
        <f>MIN(((('Basic Parameters and Results'!$F$14)*((($C$15-$C$14)*'Advanced Parameters'!$G$3)/1000))+L25), 'Advanced Parameters'!I$8)</f>
        <v>0.30740071159029647</v>
      </c>
    </row>
    <row r="27" spans="2:12" ht="16" thickBot="1">
      <c r="B27" s="1333">
        <v>2030</v>
      </c>
      <c r="C27" s="1334">
        <v>6786</v>
      </c>
      <c r="D27" s="1332"/>
      <c r="E27" s="1336">
        <f>MIN(((('Basic Parameters and Results'!$F$14)*((($C$15-$C$14)*'Advanced Parameters'!$G$3)/1000))+E26), 'Advanced Parameters'!B$8)</f>
        <v>0.76421599999999978</v>
      </c>
      <c r="F27" s="1336">
        <f>MIN(((('Basic Parameters and Results'!$F$14)*((($C$15-$C$14)*'Advanced Parameters'!$G$3)/1000))+F26), 'Advanced Parameters'!C$8)</f>
        <v>0.45160413268080479</v>
      </c>
      <c r="G27" s="1336">
        <f>MIN(((('Basic Parameters and Results'!$F$14)*((($C$15-$C$14)*'Advanced Parameters'!$G$3)/1000))+G26), 'Advanced Parameters'!D$8)</f>
        <v>0.23431380515979985</v>
      </c>
      <c r="H27" s="1336">
        <f>MIN(((('Basic Parameters and Results'!$F$14)*((($C$15-$C$14)*'Advanced Parameters'!$G$3)/1000))+H26), 'Advanced Parameters'!E$8)</f>
        <v>0.7902159999999997</v>
      </c>
      <c r="I27" s="1336">
        <f>MIN(((('Basic Parameters and Results'!$F$14)*((($C$15-$C$14)*'Advanced Parameters'!$G$3)/1000))+I26), 'Advanced Parameters'!F$8)</f>
        <v>0.86251586006887804</v>
      </c>
      <c r="J27" s="1336">
        <f>MIN(((('Basic Parameters and Results'!$F$14)*((($C$15-$C$14)*'Advanced Parameters'!$G$3)/1000))+J26), 'Advanced Parameters'!G$8)</f>
        <v>0.45800000000000002</v>
      </c>
      <c r="K27" s="1336">
        <f>MIN(((('Basic Parameters and Results'!$F$14)*((($C$15-$C$14)*'Advanced Parameters'!$G$3)/1000))+K26), 'Advanced Parameters'!H$8)</f>
        <v>0.15</v>
      </c>
      <c r="L27" s="1336">
        <f>MIN(((('Basic Parameters and Results'!$F$14)*((($C$15-$C$14)*'Advanced Parameters'!$G$3)/1000))+L26), 'Advanced Parameters'!I$8)</f>
        <v>0.32403271159029645</v>
      </c>
    </row>
    <row r="29" spans="2:12">
      <c r="B29" s="1567" t="s">
        <v>3685</v>
      </c>
      <c r="C29" s="1567"/>
      <c r="D29" s="1567"/>
      <c r="E29" s="1567"/>
      <c r="F29" s="1567"/>
      <c r="G29" s="1567"/>
      <c r="H29" s="1567"/>
      <c r="I29" s="1567"/>
      <c r="J29" s="1567"/>
      <c r="K29" s="1567"/>
      <c r="L29" s="1567"/>
    </row>
    <row r="30" spans="2:12">
      <c r="B30" s="1327" t="s">
        <v>3686</v>
      </c>
      <c r="E30" s="1439">
        <f>'Advanced Parameters'!B8</f>
        <v>0.87556643103135767</v>
      </c>
      <c r="F30" s="1439">
        <f>'Advanced Parameters'!C8</f>
        <v>0.45160413268080479</v>
      </c>
      <c r="G30" s="1439">
        <f>'Advanced Parameters'!D8</f>
        <v>0.4005800253761102</v>
      </c>
      <c r="H30" s="1439">
        <f>'Advanced Parameters'!E8</f>
        <v>0.80700000000000005</v>
      </c>
      <c r="I30" s="1439">
        <f>'Advanced Parameters'!F8</f>
        <v>0.86251586006887804</v>
      </c>
      <c r="J30" s="1439">
        <f>'Advanced Parameters'!G8</f>
        <v>0.45800000000000002</v>
      </c>
      <c r="K30" s="1439">
        <f>'Advanced Parameters'!H8</f>
        <v>0.15</v>
      </c>
      <c r="L30" s="1439">
        <f>'Advanced Parameters'!I8</f>
        <v>0.58256298713068699</v>
      </c>
    </row>
    <row r="31" spans="2:12">
      <c r="E31" s="1339"/>
      <c r="F31" s="1339"/>
      <c r="G31" s="1339"/>
      <c r="H31" s="1339"/>
      <c r="I31" s="1339"/>
      <c r="J31" s="1339"/>
      <c r="K31" s="1339"/>
      <c r="L31" s="1339"/>
    </row>
    <row r="32" spans="2:12">
      <c r="B32" s="1326" t="s">
        <v>3687</v>
      </c>
    </row>
    <row r="33" spans="2:14">
      <c r="G33" s="1340"/>
    </row>
    <row r="34" spans="2:14">
      <c r="B34" s="1567" t="s">
        <v>3688</v>
      </c>
      <c r="C34" s="1567"/>
      <c r="D34" s="1567"/>
      <c r="E34" s="1567"/>
      <c r="F34" s="1567"/>
      <c r="G34" s="1567"/>
      <c r="H34" s="1567"/>
      <c r="I34" s="1567"/>
      <c r="J34" s="1567"/>
      <c r="K34" s="1567"/>
      <c r="L34" s="1567"/>
    </row>
    <row r="35" spans="2:14">
      <c r="B35" s="1326"/>
      <c r="C35" s="1343" t="s">
        <v>3676</v>
      </c>
      <c r="D35" s="1343" t="s">
        <v>3677</v>
      </c>
      <c r="E35" s="1343" t="s">
        <v>3678</v>
      </c>
      <c r="F35" s="1344" t="s">
        <v>3679</v>
      </c>
      <c r="G35" s="1344" t="s">
        <v>3680</v>
      </c>
      <c r="H35" s="1344" t="s">
        <v>3689</v>
      </c>
      <c r="I35" s="1343" t="s">
        <v>3682</v>
      </c>
      <c r="J35" s="1343" t="s">
        <v>3683</v>
      </c>
      <c r="K35" s="1343" t="s">
        <v>3690</v>
      </c>
      <c r="L35" s="1343" t="s">
        <v>3691</v>
      </c>
      <c r="M35" s="1343" t="s">
        <v>343</v>
      </c>
    </row>
    <row r="36" spans="2:14">
      <c r="B36" s="1343" t="s">
        <v>244</v>
      </c>
      <c r="C36" s="1442">
        <f>'Basic Parameters and Results'!B70</f>
        <v>37.08</v>
      </c>
      <c r="D36" s="1442">
        <f>'Basic Parameters and Results'!C70</f>
        <v>46.236559139784944</v>
      </c>
      <c r="E36" s="1442">
        <f>'Basic Parameters and Results'!D70</f>
        <v>252</v>
      </c>
      <c r="F36" s="1442">
        <f>'Basic Parameters and Results'!E70</f>
        <v>14.58</v>
      </c>
      <c r="G36" s="1442">
        <f>'Basic Parameters and Results'!F70</f>
        <v>10.3</v>
      </c>
      <c r="H36" s="1442">
        <f>'Basic Parameters and Results'!G70</f>
        <v>29.677419354838708</v>
      </c>
      <c r="I36" s="1442">
        <f>'Basic Parameters and Results'!H70</f>
        <v>91.397849462365585</v>
      </c>
      <c r="J36" s="1442">
        <f>'Basic Parameters and Results'!I70</f>
        <v>11.827956989247312</v>
      </c>
      <c r="K36" s="1442">
        <f>'Basic Parameters and Results'!J70</f>
        <v>11.583333333333334</v>
      </c>
      <c r="L36" s="1442">
        <f>'Basic Parameters and Results'!K70</f>
        <v>26.58</v>
      </c>
      <c r="M36" s="1442">
        <f>'Basic Parameters and Results'!L70</f>
        <v>3</v>
      </c>
    </row>
    <row r="37" spans="2:14">
      <c r="G37" s="1340"/>
    </row>
    <row r="38" spans="2:14">
      <c r="B38" s="1327" t="s">
        <v>3692</v>
      </c>
      <c r="F38" s="1443">
        <f>'Advanced Parameters'!F15</f>
        <v>1.0999999999999999E-2</v>
      </c>
      <c r="G38" s="1346"/>
    </row>
    <row r="39" spans="2:14">
      <c r="B39" s="1327" t="s">
        <v>3693</v>
      </c>
      <c r="F39" s="1443">
        <f>'Advanced Parameters'!F16</f>
        <v>2.7E-2</v>
      </c>
      <c r="G39" s="1346"/>
    </row>
    <row r="40" spans="2:14">
      <c r="H40" s="1348"/>
      <c r="I40" s="1346"/>
    </row>
    <row r="41" spans="2:14">
      <c r="H41" s="1348"/>
      <c r="I41" s="1346"/>
    </row>
    <row r="42" spans="2:14">
      <c r="B42" s="1326" t="s">
        <v>3694</v>
      </c>
      <c r="H42" s="1342"/>
      <c r="I42" s="1346"/>
    </row>
    <row r="43" spans="2:14" ht="16" thickBot="1">
      <c r="B43" s="1567" t="s">
        <v>3695</v>
      </c>
      <c r="C43" s="1540"/>
      <c r="D43" s="1540"/>
      <c r="E43" s="1540"/>
      <c r="F43" s="1540"/>
      <c r="G43" s="1540"/>
      <c r="H43" s="1540"/>
      <c r="I43" s="1540"/>
      <c r="J43" s="1540"/>
      <c r="K43" s="1540"/>
      <c r="L43" s="1540"/>
      <c r="M43" s="1540"/>
    </row>
    <row r="44" spans="2:14" ht="16" thickBot="1">
      <c r="B44" s="1387" t="s">
        <v>3</v>
      </c>
      <c r="C44" s="1343" t="s">
        <v>3696</v>
      </c>
      <c r="D44" s="1343" t="s">
        <v>3697</v>
      </c>
      <c r="E44" s="1343" t="s">
        <v>3698</v>
      </c>
      <c r="F44" s="1343" t="s">
        <v>3699</v>
      </c>
      <c r="G44" s="1343" t="s">
        <v>3700</v>
      </c>
      <c r="H44" s="1343" t="s">
        <v>3701</v>
      </c>
      <c r="I44" s="1343" t="s">
        <v>3702</v>
      </c>
      <c r="J44" s="1343" t="s">
        <v>3703</v>
      </c>
      <c r="K44" s="1343" t="s">
        <v>3704</v>
      </c>
      <c r="L44" s="1343" t="s">
        <v>3705</v>
      </c>
      <c r="M44" s="1343" t="s">
        <v>271</v>
      </c>
      <c r="N44" s="1343" t="s">
        <v>3706</v>
      </c>
    </row>
    <row r="45" spans="2:14" ht="16" thickBot="1">
      <c r="B45" s="1333">
        <v>2017</v>
      </c>
      <c r="C45" s="1349">
        <f>((E14*'Advanced Parameters'!$G$4)*('Basic Parameters and Results'!B$70*12))</f>
        <v>4432732.4563199999</v>
      </c>
      <c r="D45" s="1349">
        <f>((F14*'Advanced Parameters'!$G$4)*('Basic Parameters and Results'!C$70*12))</f>
        <v>4044651.5741935479</v>
      </c>
      <c r="E45" s="1349">
        <f>((G14*'Advanced Parameters'!$G$4)*('Basic Parameters and Results'!D$70*12))</f>
        <v>994896</v>
      </c>
      <c r="F45" s="1349">
        <f>((H14*'Advanced Parameters'!$G$4)*('Basic Parameters and Results'!E$70*12))</f>
        <v>1825663.16016</v>
      </c>
      <c r="G45" s="1349">
        <f>((I14*'Advanced Parameters'!$G$4)*('Basic Parameters and Results'!F$70*12))</f>
        <v>1709909.4684000001</v>
      </c>
      <c r="H45" s="1349">
        <f>((J14*'Advanced Parameters'!$G$4)*('Basic Parameters and Results'!G$70*12))</f>
        <v>1676784.0464516128</v>
      </c>
      <c r="I45" s="1349">
        <f>((K14*'Advanced Parameters'!$G$4)*('Basic Parameters and Results'!H$70*12))</f>
        <v>1595060.6451612902</v>
      </c>
      <c r="J45" s="1349">
        <f>((L14*'Advanced Parameters'!$G$4)*('Basic Parameters and Results'!I$70*12))</f>
        <v>278193.54838709679</v>
      </c>
      <c r="K45" s="1350">
        <f>'Basic Parameters and Results'!$K$70*12*'Advanced Parameters'!$G$4</f>
        <v>5798373.8399999999</v>
      </c>
      <c r="L45" s="1350">
        <f>'Basic Parameters and Results'!$L$70*12*'Advanced Parameters'!$G$4</f>
        <v>654444</v>
      </c>
      <c r="M45" s="1351">
        <f t="shared" ref="M45:M58" si="0">SUM(C45:L45)</f>
        <v>23010708.739073545</v>
      </c>
    </row>
    <row r="46" spans="2:14" ht="16" thickBot="1">
      <c r="B46" s="1333">
        <v>2018</v>
      </c>
      <c r="C46" s="1349">
        <f>((E15*'Advanced Parameters'!$G$4)*('Basic Parameters and Results'!B$70*12))</f>
        <v>4567267.5041548805</v>
      </c>
      <c r="D46" s="1349">
        <f>((F15*'Advanced Parameters'!$G$4)*('Basic Parameters and Results'!C$70*12))</f>
        <v>4212408.7935999995</v>
      </c>
      <c r="E46" s="1349">
        <f>((G15*'Advanced Parameters'!$G$4)*('Basic Parameters and Results'!D$70*12))</f>
        <v>1909211.8590720003</v>
      </c>
      <c r="F46" s="1349">
        <f>((H15*'Advanced Parameters'!$G$4)*('Basic Parameters and Results'!E$70*12))</f>
        <v>1878562.8634348798</v>
      </c>
      <c r="G46" s="1349">
        <f>((I15*'Advanced Parameters'!$G$4)*('Basic Parameters and Results'!F$70*12))</f>
        <v>1747280.3150208001</v>
      </c>
      <c r="H46" s="1349">
        <f>((J15*'Advanced Parameters'!$G$4)*('Basic Parameters and Results'!G$70*12))</f>
        <v>1784460.7733264514</v>
      </c>
      <c r="I46" s="1349">
        <f>((K15*'Advanced Parameters'!$G$4)*('Basic Parameters and Results'!H$70*12))</f>
        <v>1926673.7532903224</v>
      </c>
      <c r="J46" s="1349">
        <f>((L15*'Advanced Parameters'!$G$4)*('Basic Parameters and Results'!I$70*12))</f>
        <v>321108.18590967747</v>
      </c>
      <c r="K46" s="1350">
        <f>K45*(1+'Advanced Parameters'!$F$15)</f>
        <v>5862155.9522399995</v>
      </c>
      <c r="L46" s="1350">
        <f>L45*(1+'Advanced Parameters'!$F$16)</f>
        <v>672113.9879999999</v>
      </c>
      <c r="M46" s="1351">
        <f t="shared" si="0"/>
        <v>24881243.988049008</v>
      </c>
      <c r="N46" s="1352">
        <f>(M46-M45)/M45</f>
        <v>8.1289771218527651E-2</v>
      </c>
    </row>
    <row r="47" spans="2:14" ht="16" thickBot="1">
      <c r="B47" s="1333">
        <v>2019</v>
      </c>
      <c r="C47" s="1349">
        <f>((E16*'Advanced Parameters'!$G$4)*('Basic Parameters and Results'!B$70*12))</f>
        <v>4701802.5519897602</v>
      </c>
      <c r="D47" s="1349">
        <f>((F16*'Advanced Parameters'!$G$4)*('Basic Parameters and Results'!C$70*12))</f>
        <v>4380166.0130064506</v>
      </c>
      <c r="E47" s="1349">
        <f>((G16*'Advanced Parameters'!$G$4)*('Basic Parameters and Results'!D$70*12))</f>
        <v>2823527.718144</v>
      </c>
      <c r="F47" s="1349">
        <f>((H16*'Advanced Parameters'!$G$4)*('Basic Parameters and Results'!E$70*12))</f>
        <v>1931462.5667097599</v>
      </c>
      <c r="G47" s="1349">
        <f>((I16*'Advanced Parameters'!$G$4)*('Basic Parameters and Results'!F$70*12))</f>
        <v>1784651.1616415998</v>
      </c>
      <c r="H47" s="1349">
        <f>((J16*'Advanced Parameters'!$G$4)*('Basic Parameters and Results'!G$70*12))</f>
        <v>1892137.50020129</v>
      </c>
      <c r="I47" s="1349">
        <f>((K16*'Advanced Parameters'!$G$4)*('Basic Parameters and Results'!H$70*12))</f>
        <v>2258286.861419355</v>
      </c>
      <c r="J47" s="1349">
        <f>((L16*'Advanced Parameters'!$G$4)*('Basic Parameters and Results'!I$70*12))</f>
        <v>364022.82343225804</v>
      </c>
      <c r="K47" s="1350">
        <f>K46*(1+'Advanced Parameters'!$F$15)</f>
        <v>5926639.6677146386</v>
      </c>
      <c r="L47" s="1350">
        <f>L46*(1+'Advanced Parameters'!$F$16)</f>
        <v>690261.06567599985</v>
      </c>
      <c r="M47" s="1351">
        <f t="shared" si="0"/>
        <v>26752957.929935109</v>
      </c>
      <c r="N47" s="1352">
        <f t="shared" ref="N47:N58" si="1">(M47-M46)/M46</f>
        <v>7.5225898784848741E-2</v>
      </c>
    </row>
    <row r="48" spans="2:14" ht="16" thickBot="1">
      <c r="B48" s="1333">
        <v>2020</v>
      </c>
      <c r="C48" s="1349">
        <f>((E17*'Advanced Parameters'!$G$4)*('Basic Parameters and Results'!B$70*12))</f>
        <v>4836337.599824639</v>
      </c>
      <c r="D48" s="1349">
        <f>((F17*'Advanced Parameters'!$G$4)*('Basic Parameters and Results'!C$70*12))</f>
        <v>4547923.2324129017</v>
      </c>
      <c r="E48" s="1349">
        <f>((G17*'Advanced Parameters'!$G$4)*('Basic Parameters and Results'!D$70*12))</f>
        <v>3737843.5772160003</v>
      </c>
      <c r="F48" s="1349">
        <f>((H17*'Advanced Parameters'!$G$4)*('Basic Parameters and Results'!E$70*12))</f>
        <v>1984362.2699846397</v>
      </c>
      <c r="G48" s="1349">
        <f>((I17*'Advanced Parameters'!$G$4)*('Basic Parameters and Results'!F$70*12))</f>
        <v>1822022.0082624</v>
      </c>
      <c r="H48" s="1349">
        <f>((J17*'Advanced Parameters'!$G$4)*('Basic Parameters and Results'!G$70*12))</f>
        <v>1999814.2270761286</v>
      </c>
      <c r="I48" s="1349">
        <f>((K17*'Advanced Parameters'!$G$4)*('Basic Parameters and Results'!H$70*12))</f>
        <v>2589899.9695483875</v>
      </c>
      <c r="J48" s="1349">
        <f>((L17*'Advanced Parameters'!$G$4)*('Basic Parameters and Results'!I$70*12))</f>
        <v>406937.46095483872</v>
      </c>
      <c r="K48" s="1350">
        <f>K47*(1+'Advanced Parameters'!$F$15)</f>
        <v>5991832.7040594993</v>
      </c>
      <c r="L48" s="1350">
        <f>L47*(1+'Advanced Parameters'!$F$16)</f>
        <v>708898.11444925179</v>
      </c>
      <c r="M48" s="1351">
        <f t="shared" si="0"/>
        <v>28625871.163788684</v>
      </c>
      <c r="N48" s="1352">
        <f t="shared" si="1"/>
        <v>7.0007706764936312E-2</v>
      </c>
    </row>
    <row r="49" spans="2:14" ht="16" thickBot="1">
      <c r="B49" s="1333">
        <v>2021</v>
      </c>
      <c r="C49" s="1349">
        <f>((E18*'Advanced Parameters'!$G$4)*('Basic Parameters and Results'!B$70*12))</f>
        <v>4970872.6476595197</v>
      </c>
      <c r="D49" s="1349">
        <f>((F18*'Advanced Parameters'!$G$4)*('Basic Parameters and Results'!C$70*12))</f>
        <v>4555065.751021768</v>
      </c>
      <c r="E49" s="1349">
        <f>((G18*'Advanced Parameters'!$G$4)*('Basic Parameters and Results'!D$70*12))</f>
        <v>4652159.436288001</v>
      </c>
      <c r="F49" s="1349">
        <f>((H18*'Advanced Parameters'!$G$4)*('Basic Parameters and Results'!E$70*12))</f>
        <v>2037261.9732595198</v>
      </c>
      <c r="G49" s="1349">
        <f>((I18*'Advanced Parameters'!$G$4)*('Basic Parameters and Results'!F$70*12))</f>
        <v>1859392.8548831998</v>
      </c>
      <c r="H49" s="1349">
        <f>((J18*'Advanced Parameters'!$G$4)*('Basic Parameters and Results'!G$70*12))</f>
        <v>2107490.9539509672</v>
      </c>
      <c r="I49" s="1349">
        <f>((K18*'Advanced Parameters'!$G$4)*('Basic Parameters and Results'!H$70*12))</f>
        <v>2921513.0776774199</v>
      </c>
      <c r="J49" s="1349">
        <f>((L18*'Advanced Parameters'!$G$4)*('Basic Parameters and Results'!I$70*12))</f>
        <v>449852.09847741941</v>
      </c>
      <c r="K49" s="1350">
        <f>K48*(1+'Advanced Parameters'!$F$15)</f>
        <v>6057742.8638041532</v>
      </c>
      <c r="L49" s="1350">
        <f>L48*(1+'Advanced Parameters'!$F$16)</f>
        <v>728038.36353938153</v>
      </c>
      <c r="M49" s="1351">
        <f t="shared" si="0"/>
        <v>30339390.020561352</v>
      </c>
      <c r="N49" s="1352">
        <f t="shared" si="1"/>
        <v>5.985909902858242E-2</v>
      </c>
    </row>
    <row r="50" spans="2:14" ht="16" thickBot="1">
      <c r="B50" s="1333">
        <v>2022</v>
      </c>
      <c r="C50" s="1349">
        <f>((E19*'Advanced Parameters'!$G$4)*('Basic Parameters and Results'!B$70*12))</f>
        <v>5105407.6954943994</v>
      </c>
      <c r="D50" s="1349">
        <f>((F19*'Advanced Parameters'!$G$4)*('Basic Parameters and Results'!C$70*12))</f>
        <v>4555065.751021768</v>
      </c>
      <c r="E50" s="1349">
        <f>((G19*'Advanced Parameters'!$G$4)*('Basic Parameters and Results'!D$70*12))</f>
        <v>5566475.2953600008</v>
      </c>
      <c r="F50" s="1349">
        <f>((H19*'Advanced Parameters'!$G$4)*('Basic Parameters and Results'!E$70*12))</f>
        <v>2090161.6765343996</v>
      </c>
      <c r="G50" s="1349">
        <f>((I19*'Advanced Parameters'!$G$4)*('Basic Parameters and Results'!F$70*12))</f>
        <v>1896763.701504</v>
      </c>
      <c r="H50" s="1349">
        <f>((J19*'Advanced Parameters'!$G$4)*('Basic Parameters and Results'!G$70*12))</f>
        <v>2215167.6808258058</v>
      </c>
      <c r="I50" s="1349">
        <f>((K19*'Advanced Parameters'!$G$4)*('Basic Parameters and Results'!H$70*12))</f>
        <v>2990738.7096774192</v>
      </c>
      <c r="J50" s="1349">
        <f>((L19*'Advanced Parameters'!$G$4)*('Basic Parameters and Results'!I$70*12))</f>
        <v>492766.73600000009</v>
      </c>
      <c r="K50" s="1350">
        <f>K49*(1+'Advanced Parameters'!$F$15)</f>
        <v>6124378.0353059983</v>
      </c>
      <c r="L50" s="1350">
        <f>L49*(1+'Advanced Parameters'!$F$16)</f>
        <v>747695.39935494482</v>
      </c>
      <c r="M50" s="1351">
        <f t="shared" si="0"/>
        <v>31784620.681078743</v>
      </c>
      <c r="N50" s="1352">
        <f t="shared" si="1"/>
        <v>4.7635455410868228E-2</v>
      </c>
    </row>
    <row r="51" spans="2:14" ht="16" thickBot="1">
      <c r="B51" s="1333">
        <v>2023</v>
      </c>
      <c r="C51" s="1349">
        <f>((E20*'Advanced Parameters'!$G$4)*('Basic Parameters and Results'!B$70*12))</f>
        <v>5239942.7433292791</v>
      </c>
      <c r="D51" s="1349">
        <f>((F20*'Advanced Parameters'!$G$4)*('Basic Parameters and Results'!C$70*12))</f>
        <v>4555065.751021768</v>
      </c>
      <c r="E51" s="1349">
        <f>((G20*'Advanced Parameters'!$G$4)*('Basic Parameters and Results'!D$70*12))</f>
        <v>6480791.1544320025</v>
      </c>
      <c r="F51" s="1349">
        <f>((H20*'Advanced Parameters'!$G$4)*('Basic Parameters and Results'!E$70*12))</f>
        <v>2143061.3798092795</v>
      </c>
      <c r="G51" s="1349">
        <f>((I20*'Advanced Parameters'!$G$4)*('Basic Parameters and Results'!F$70*12))</f>
        <v>1934134.5481247997</v>
      </c>
      <c r="H51" s="1349">
        <f>((J20*'Advanced Parameters'!$G$4)*('Basic Parameters and Results'!G$70*12))</f>
        <v>2322844.4077006443</v>
      </c>
      <c r="I51" s="1349">
        <f>((K20*'Advanced Parameters'!$G$4)*('Basic Parameters and Results'!H$70*12))</f>
        <v>2990738.7096774192</v>
      </c>
      <c r="J51" s="1349">
        <f>((L20*'Advanced Parameters'!$G$4)*('Basic Parameters and Results'!I$70*12))</f>
        <v>535681.37352258072</v>
      </c>
      <c r="K51" s="1350">
        <f>K50*(1+'Advanced Parameters'!$F$15)</f>
        <v>6191746.1936943633</v>
      </c>
      <c r="L51" s="1350">
        <f>L50*(1+'Advanced Parameters'!$F$16)</f>
        <v>767883.17513752822</v>
      </c>
      <c r="M51" s="1351">
        <f t="shared" si="0"/>
        <v>33161889.436449666</v>
      </c>
      <c r="N51" s="1352">
        <f t="shared" si="1"/>
        <v>4.3331294376302086E-2</v>
      </c>
    </row>
    <row r="52" spans="2:14" ht="16" thickBot="1">
      <c r="B52" s="1333">
        <v>2024</v>
      </c>
      <c r="C52" s="1349">
        <f>((E21*'Advanced Parameters'!$G$4)*('Basic Parameters and Results'!B$70*12))</f>
        <v>5374477.7911641588</v>
      </c>
      <c r="D52" s="1349">
        <f>((F21*'Advanced Parameters'!$G$4)*('Basic Parameters and Results'!C$70*12))</f>
        <v>4555065.751021768</v>
      </c>
      <c r="E52" s="1349">
        <f>((G21*'Advanced Parameters'!$G$4)*('Basic Parameters and Results'!D$70*12))</f>
        <v>7395107.0135040013</v>
      </c>
      <c r="F52" s="1349">
        <f>((H21*'Advanced Parameters'!$G$4)*('Basic Parameters and Results'!E$70*12))</f>
        <v>2195961.0830841595</v>
      </c>
      <c r="G52" s="1349">
        <f>((I21*'Advanced Parameters'!$G$4)*('Basic Parameters and Results'!F$70*12))</f>
        <v>1938007.9313757478</v>
      </c>
      <c r="H52" s="1349">
        <f>((J21*'Advanced Parameters'!$G$4)*('Basic Parameters and Results'!G$70*12))</f>
        <v>2430521.1345754829</v>
      </c>
      <c r="I52" s="1349">
        <f>((K21*'Advanced Parameters'!$G$4)*('Basic Parameters and Results'!H$70*12))</f>
        <v>2990738.7096774192</v>
      </c>
      <c r="J52" s="1349">
        <f>((L21*'Advanced Parameters'!$G$4)*('Basic Parameters and Results'!I$70*12))</f>
        <v>578596.0110451614</v>
      </c>
      <c r="K52" s="1350">
        <f>K51*(1+'Advanced Parameters'!$F$15)</f>
        <v>6259855.4018250005</v>
      </c>
      <c r="L52" s="1350">
        <f>L51*(1+'Advanced Parameters'!$F$16)</f>
        <v>788616.02086624142</v>
      </c>
      <c r="M52" s="1351">
        <f t="shared" si="0"/>
        <v>34506946.848139144</v>
      </c>
      <c r="N52" s="1352">
        <f t="shared" si="1"/>
        <v>4.0560337017801769E-2</v>
      </c>
    </row>
    <row r="53" spans="2:14" ht="16" thickBot="1">
      <c r="B53" s="1333">
        <v>2025</v>
      </c>
      <c r="C53" s="1349">
        <f>((E22*'Advanced Parameters'!$G$4)*('Basic Parameters and Results'!B$70*12))</f>
        <v>5509012.8389990395</v>
      </c>
      <c r="D53" s="1349">
        <f>((F22*'Advanced Parameters'!$G$4)*('Basic Parameters and Results'!C$70*12))</f>
        <v>4555065.751021768</v>
      </c>
      <c r="E53" s="1349">
        <f>((G22*'Advanced Parameters'!$G$4)*('Basic Parameters and Results'!D$70*12))</f>
        <v>8309422.872576002</v>
      </c>
      <c r="F53" s="1349">
        <f>((H22*'Advanced Parameters'!$G$4)*('Basic Parameters and Results'!E$70*12))</f>
        <v>2248860.7863590396</v>
      </c>
      <c r="G53" s="1349">
        <f>((I22*'Advanced Parameters'!$G$4)*('Basic Parameters and Results'!F$70*12))</f>
        <v>1938007.9313757478</v>
      </c>
      <c r="H53" s="1349">
        <f>((J22*'Advanced Parameters'!$G$4)*('Basic Parameters and Results'!G$70*12))</f>
        <v>2538197.8614503215</v>
      </c>
      <c r="I53" s="1349">
        <f>((K22*'Advanced Parameters'!$G$4)*('Basic Parameters and Results'!H$70*12))</f>
        <v>2990738.7096774192</v>
      </c>
      <c r="J53" s="1349">
        <f>((L22*'Advanced Parameters'!$G$4)*('Basic Parameters and Results'!I$70*12))</f>
        <v>621510.64856774209</v>
      </c>
      <c r="K53" s="1350">
        <f>K52*(1+'Advanced Parameters'!$F$15)</f>
        <v>6328713.8112450745</v>
      </c>
      <c r="L53" s="1350">
        <f>L52*(1+'Advanced Parameters'!$F$16)</f>
        <v>809908.65342962986</v>
      </c>
      <c r="M53" s="1351">
        <f t="shared" si="0"/>
        <v>35849439.864701785</v>
      </c>
      <c r="N53" s="1352">
        <f t="shared" si="1"/>
        <v>3.8905007228567288E-2</v>
      </c>
    </row>
    <row r="54" spans="2:14" ht="16" thickBot="1">
      <c r="B54" s="1333">
        <v>2026</v>
      </c>
      <c r="C54" s="1349">
        <f>((E23*'Advanced Parameters'!$G$4)*('Basic Parameters and Results'!B$70*12))</f>
        <v>5643547.8868339183</v>
      </c>
      <c r="D54" s="1349">
        <f>((F23*'Advanced Parameters'!$G$4)*('Basic Parameters and Results'!C$70*12))</f>
        <v>4555065.751021768</v>
      </c>
      <c r="E54" s="1349">
        <f>((G23*'Advanced Parameters'!$G$4)*('Basic Parameters and Results'!D$70*12))</f>
        <v>9223738.7316480018</v>
      </c>
      <c r="F54" s="1349">
        <f>((H23*'Advanced Parameters'!$G$4)*('Basic Parameters and Results'!E$70*12))</f>
        <v>2301760.4896339192</v>
      </c>
      <c r="G54" s="1349">
        <f>((I23*'Advanced Parameters'!$G$4)*('Basic Parameters and Results'!F$70*12))</f>
        <v>1938007.9313757478</v>
      </c>
      <c r="H54" s="1349">
        <f>((J23*'Advanced Parameters'!$G$4)*('Basic Parameters and Results'!G$70*12))</f>
        <v>2645874.5883251601</v>
      </c>
      <c r="I54" s="1349">
        <f>((K23*'Advanced Parameters'!$G$4)*('Basic Parameters and Results'!H$70*12))</f>
        <v>2990738.7096774192</v>
      </c>
      <c r="J54" s="1349">
        <f>((L23*'Advanced Parameters'!$G$4)*('Basic Parameters and Results'!I$70*12))</f>
        <v>664425.28609032265</v>
      </c>
      <c r="K54" s="1350">
        <f>K53*(1+'Advanced Parameters'!$F$15)</f>
        <v>6398329.6631687693</v>
      </c>
      <c r="L54" s="1350">
        <f>L53*(1+'Advanced Parameters'!$F$16)</f>
        <v>831776.1870722298</v>
      </c>
      <c r="M54" s="1351">
        <f t="shared" si="0"/>
        <v>37193265.224847257</v>
      </c>
      <c r="N54" s="1352">
        <f t="shared" si="1"/>
        <v>3.7485254029551364E-2</v>
      </c>
    </row>
    <row r="55" spans="2:14" ht="16" thickBot="1">
      <c r="B55" s="1333">
        <v>2027</v>
      </c>
      <c r="C55" s="1349">
        <f>((E24*'Advanced Parameters'!$G$4)*('Basic Parameters and Results'!B$70*12))</f>
        <v>5778082.9346687989</v>
      </c>
      <c r="D55" s="1349">
        <f>((F24*'Advanced Parameters'!$G$4)*('Basic Parameters and Results'!C$70*12))</f>
        <v>4555065.751021768</v>
      </c>
      <c r="E55" s="1349">
        <f>((G24*'Advanced Parameters'!$G$4)*('Basic Parameters and Results'!D$70*12))</f>
        <v>10138054.590720003</v>
      </c>
      <c r="F55" s="1349">
        <f>((H24*'Advanced Parameters'!$G$4)*('Basic Parameters and Results'!E$70*12))</f>
        <v>2354660.1929087993</v>
      </c>
      <c r="G55" s="1349">
        <f>((I24*'Advanced Parameters'!$G$4)*('Basic Parameters and Results'!F$70*12))</f>
        <v>1938007.9313757478</v>
      </c>
      <c r="H55" s="1349">
        <f>((J24*'Advanced Parameters'!$G$4)*('Basic Parameters and Results'!G$70*12))</f>
        <v>2753551.3151999987</v>
      </c>
      <c r="I55" s="1349">
        <f>((K24*'Advanced Parameters'!$G$4)*('Basic Parameters and Results'!H$70*12))</f>
        <v>2990738.7096774192</v>
      </c>
      <c r="J55" s="1349">
        <f>((L24*'Advanced Parameters'!$G$4)*('Basic Parameters and Results'!I$70*12))</f>
        <v>707339.92361290322</v>
      </c>
      <c r="K55" s="1350">
        <f>K54*(1+'Advanced Parameters'!$F$15)</f>
        <v>6468711.2894636253</v>
      </c>
      <c r="L55" s="1350">
        <f>L54*(1+'Advanced Parameters'!$F$16)</f>
        <v>854234.14412317995</v>
      </c>
      <c r="M55" s="1351">
        <f t="shared" si="0"/>
        <v>38538446.78277225</v>
      </c>
      <c r="N55" s="1352">
        <f t="shared" si="1"/>
        <v>3.6167342388275556E-2</v>
      </c>
    </row>
    <row r="56" spans="2:14" ht="16" thickBot="1">
      <c r="B56" s="1333">
        <v>2028</v>
      </c>
      <c r="C56" s="1349">
        <f>((E25*'Advanced Parameters'!$G$4)*('Basic Parameters and Results'!B$70*12))</f>
        <v>5912617.9825036786</v>
      </c>
      <c r="D56" s="1349">
        <f>((F25*'Advanced Parameters'!$G$4)*('Basic Parameters and Results'!C$70*12))</f>
        <v>4555065.751021768</v>
      </c>
      <c r="E56" s="1349">
        <f>((G25*'Advanced Parameters'!$G$4)*('Basic Parameters and Results'!D$70*12))</f>
        <v>11052370.449792003</v>
      </c>
      <c r="F56" s="1349">
        <f>((H25*'Advanced Parameters'!$G$4)*('Basic Parameters and Results'!E$70*12))</f>
        <v>2407559.8961836793</v>
      </c>
      <c r="G56" s="1349">
        <f>((I25*'Advanced Parameters'!$G$4)*('Basic Parameters and Results'!F$70*12))</f>
        <v>1938007.9313757478</v>
      </c>
      <c r="H56" s="1349">
        <f>((J25*'Advanced Parameters'!$G$4)*('Basic Parameters and Results'!G$70*12))</f>
        <v>2861228.0420748373</v>
      </c>
      <c r="I56" s="1349">
        <f>((K25*'Advanced Parameters'!$G$4)*('Basic Parameters and Results'!H$70*12))</f>
        <v>2990738.7096774192</v>
      </c>
      <c r="J56" s="1349">
        <f>((L25*'Advanced Parameters'!$G$4)*('Basic Parameters and Results'!I$70*12))</f>
        <v>750254.56113548391</v>
      </c>
      <c r="K56" s="1350">
        <f>K55*(1+'Advanced Parameters'!$F$15)</f>
        <v>6539867.1136477245</v>
      </c>
      <c r="L56" s="1350">
        <f>L55*(1+'Advanced Parameters'!$F$16)</f>
        <v>877298.46601450571</v>
      </c>
      <c r="M56" s="1351">
        <f t="shared" si="0"/>
        <v>39885008.903426848</v>
      </c>
      <c r="N56" s="1352">
        <f t="shared" si="1"/>
        <v>3.4940747047868786E-2</v>
      </c>
    </row>
    <row r="57" spans="2:14" ht="16.5" customHeight="1" thickBot="1">
      <c r="B57" s="1333">
        <v>2029</v>
      </c>
      <c r="C57" s="1349">
        <f>((E26*'Advanced Parameters'!$G$4)*('Basic Parameters and Results'!B$70*12))</f>
        <v>6047153.0303385574</v>
      </c>
      <c r="D57" s="1349">
        <f>((F26*'Advanced Parameters'!$G$4)*('Basic Parameters and Results'!C$70*12))</f>
        <v>4555065.751021768</v>
      </c>
      <c r="E57" s="1349">
        <f>((G26*'Advanced Parameters'!$G$4)*('Basic Parameters and Results'!D$70*12))</f>
        <v>11966686.308864005</v>
      </c>
      <c r="F57" s="1349">
        <f>((H26*'Advanced Parameters'!$G$4)*('Basic Parameters and Results'!E$70*12))</f>
        <v>2460459.599458559</v>
      </c>
      <c r="G57" s="1349">
        <f>((I26*'Advanced Parameters'!$G$4)*('Basic Parameters and Results'!F$70*12))</f>
        <v>1938007.9313757478</v>
      </c>
      <c r="H57" s="1349">
        <f>((J26*'Advanced Parameters'!$G$4)*('Basic Parameters and Results'!G$70*12))</f>
        <v>2965123.9122580644</v>
      </c>
      <c r="I57" s="1349">
        <f>((K26*'Advanced Parameters'!$G$4)*('Basic Parameters and Results'!H$70*12))</f>
        <v>2990738.7096774192</v>
      </c>
      <c r="J57" s="1349">
        <f>((L26*'Advanced Parameters'!$G$4)*('Basic Parameters and Results'!I$70*12))</f>
        <v>793169.19865806447</v>
      </c>
      <c r="K57" s="1350">
        <f>K56*(1+'Advanced Parameters'!$F$15)</f>
        <v>6611805.6518978486</v>
      </c>
      <c r="L57" s="1350">
        <f>L56*(1+'Advanced Parameters'!$F$16)</f>
        <v>900985.5245968973</v>
      </c>
      <c r="M57" s="1351">
        <f t="shared" si="0"/>
        <v>41229195.618146934</v>
      </c>
      <c r="N57" s="1352">
        <f t="shared" si="1"/>
        <v>3.37015523294667E-2</v>
      </c>
    </row>
    <row r="58" spans="2:14" ht="16.5" customHeight="1" thickBot="1">
      <c r="B58" s="1333">
        <v>2030</v>
      </c>
      <c r="C58" s="1349">
        <f>((E27*'Advanced Parameters'!$G$4)*('Basic Parameters and Results'!B$70*12))</f>
        <v>6181688.0781734381</v>
      </c>
      <c r="D58" s="1349">
        <f>((F27*'Advanced Parameters'!$G$4)*('Basic Parameters and Results'!C$70*12))</f>
        <v>4555065.751021768</v>
      </c>
      <c r="E58" s="1349">
        <f>((G27*'Advanced Parameters'!$G$4)*('Basic Parameters and Results'!D$70*12))</f>
        <v>12881002.167936003</v>
      </c>
      <c r="F58" s="1349">
        <f>((H27*'Advanced Parameters'!$G$4)*('Basic Parameters and Results'!E$70*12))</f>
        <v>2513359.302733439</v>
      </c>
      <c r="G58" s="1349">
        <f>((I27*'Advanced Parameters'!$G$4)*('Basic Parameters and Results'!F$70*12))</f>
        <v>1938007.9313757478</v>
      </c>
      <c r="H58" s="1349">
        <f>((J27*'Advanced Parameters'!$G$4)*('Basic Parameters and Results'!G$70*12))</f>
        <v>2965123.9122580644</v>
      </c>
      <c r="I58" s="1349">
        <f>((K27*'Advanced Parameters'!$G$4)*('Basic Parameters and Results'!H$70*12))</f>
        <v>2990738.7096774192</v>
      </c>
      <c r="J58" s="1349">
        <f>((L27*'Advanced Parameters'!$G$4)*('Basic Parameters and Results'!I$70*12))</f>
        <v>836083.83618064504</v>
      </c>
      <c r="K58" s="1350">
        <f>K57*(1+'Advanced Parameters'!$F$15)</f>
        <v>6684535.5140687246</v>
      </c>
      <c r="L58" s="1350">
        <f>L57*(1+'Advanced Parameters'!$F$16)</f>
        <v>925312.13376101351</v>
      </c>
      <c r="M58" s="1351">
        <f t="shared" si="0"/>
        <v>42470917.337186255</v>
      </c>
      <c r="N58" s="1352">
        <f t="shared" si="1"/>
        <v>3.0117534441850231E-2</v>
      </c>
    </row>
    <row r="59" spans="2:14" ht="16.5" customHeight="1">
      <c r="C59" s="1353"/>
      <c r="D59" s="1353"/>
      <c r="E59" s="1353"/>
      <c r="F59" s="1353"/>
      <c r="G59" s="1353"/>
      <c r="H59" s="1353"/>
      <c r="I59" s="1353"/>
      <c r="J59" s="1353"/>
      <c r="K59" s="1354"/>
      <c r="L59" s="1354"/>
      <c r="M59" s="1355"/>
      <c r="N59" s="1352"/>
    </row>
    <row r="60" spans="2:14" ht="16.5" customHeight="1">
      <c r="C60" s="1353" t="s">
        <v>3707</v>
      </c>
      <c r="D60" s="1353"/>
      <c r="E60" s="1440">
        <f>'Basic Parameters and Results'!F22</f>
        <v>0.44209999999999999</v>
      </c>
      <c r="F60" s="1353"/>
      <c r="G60" s="1353"/>
      <c r="H60" s="1353"/>
      <c r="I60" s="1353"/>
      <c r="J60" s="1353"/>
      <c r="K60" s="1354"/>
      <c r="L60" s="1354"/>
      <c r="M60" s="1355"/>
      <c r="N60" s="1352"/>
    </row>
    <row r="61" spans="2:14" ht="16.5" customHeight="1">
      <c r="C61" s="1353"/>
      <c r="D61" s="1353"/>
      <c r="E61" s="1353"/>
      <c r="F61" s="1353"/>
      <c r="G61" s="1353"/>
      <c r="H61" s="1353"/>
      <c r="I61" s="1353"/>
      <c r="J61" s="1353"/>
      <c r="K61" s="1354"/>
      <c r="L61" s="1354"/>
      <c r="M61" s="1355"/>
      <c r="N61" s="1352"/>
    </row>
    <row r="62" spans="2:14" ht="16.5" customHeight="1" thickBot="1">
      <c r="C62" s="1574" t="s">
        <v>3708</v>
      </c>
      <c r="D62" s="1574"/>
      <c r="E62" s="1574"/>
      <c r="F62" s="1353"/>
      <c r="G62" s="1353"/>
      <c r="H62" s="1353"/>
      <c r="I62" s="1353"/>
      <c r="J62" s="1353"/>
      <c r="K62" s="1354"/>
      <c r="L62" s="1354"/>
      <c r="M62" s="1355"/>
      <c r="N62" s="1352"/>
    </row>
    <row r="63" spans="2:14" ht="16.5" customHeight="1" thickBot="1">
      <c r="B63" s="1387" t="s">
        <v>3</v>
      </c>
      <c r="C63" s="1371" t="s">
        <v>271</v>
      </c>
      <c r="D63" s="1371" t="s">
        <v>3709</v>
      </c>
      <c r="E63" s="1371" t="s">
        <v>3710</v>
      </c>
      <c r="F63" s="1353"/>
      <c r="G63" s="1353"/>
      <c r="H63" s="1353"/>
      <c r="I63" s="1353"/>
      <c r="J63" s="1353"/>
      <c r="K63" s="1354"/>
      <c r="L63" s="1354"/>
      <c r="M63" s="1355"/>
      <c r="N63" s="1352"/>
    </row>
    <row r="64" spans="2:14" ht="16.5" customHeight="1" thickBot="1">
      <c r="B64" s="1333">
        <v>2017</v>
      </c>
      <c r="C64" s="1441">
        <f>'Basic Parameters and Results'!E31</f>
        <v>58821325</v>
      </c>
      <c r="D64" s="1441">
        <f>'Basic Parameters and Results'!F31</f>
        <v>26004907.782499999</v>
      </c>
      <c r="E64" s="1441">
        <f>'Basic Parameters and Results'!G31</f>
        <v>32816417.217500005</v>
      </c>
      <c r="F64" s="1353"/>
      <c r="G64" s="1353"/>
      <c r="H64" s="1353"/>
      <c r="I64" s="1353"/>
      <c r="J64" s="1353"/>
      <c r="K64" s="1354"/>
      <c r="L64" s="1354"/>
      <c r="M64" s="1355"/>
      <c r="N64" s="1352"/>
    </row>
    <row r="65" spans="2:14" ht="16.5" customHeight="1" thickBot="1">
      <c r="B65" s="1333">
        <v>2018</v>
      </c>
      <c r="C65" s="1441">
        <f>'Basic Parameters and Results'!E32</f>
        <v>62159182.266934253</v>
      </c>
      <c r="D65" s="1441">
        <f>'Basic Parameters and Results'!F32</f>
        <v>27480574.480211634</v>
      </c>
      <c r="E65" s="1441">
        <f>'Basic Parameters and Results'!G32</f>
        <v>34678607.786722623</v>
      </c>
      <c r="F65" s="1353"/>
      <c r="G65" s="1353"/>
      <c r="H65" s="1353"/>
      <c r="I65" s="1353"/>
      <c r="J65" s="1353"/>
      <c r="K65" s="1354"/>
      <c r="L65" s="1354"/>
      <c r="M65" s="1355"/>
      <c r="N65" s="1352"/>
    </row>
    <row r="66" spans="2:14" ht="16.5" customHeight="1" thickBot="1">
      <c r="B66" s="1333">
        <v>2019</v>
      </c>
      <c r="C66" s="1441">
        <f>'Basic Parameters and Results'!E33</f>
        <v>63951451.111108653</v>
      </c>
      <c r="D66" s="1441">
        <f>'Basic Parameters and Results'!F33</f>
        <v>28272936.536221135</v>
      </c>
      <c r="E66" s="1441">
        <f>'Basic Parameters and Results'!G33</f>
        <v>35678514.574887522</v>
      </c>
      <c r="F66" s="1353"/>
      <c r="G66" s="1353"/>
      <c r="H66" s="1353"/>
      <c r="I66" s="1353"/>
      <c r="J66" s="1353"/>
      <c r="K66" s="1354"/>
      <c r="L66" s="1354"/>
      <c r="M66" s="1355"/>
      <c r="N66" s="1352"/>
    </row>
    <row r="67" spans="2:14" ht="16.5" customHeight="1" thickBot="1">
      <c r="B67" s="1333">
        <v>2020</v>
      </c>
      <c r="C67" s="1441">
        <f>'Basic Parameters and Results'!E34</f>
        <v>66353276.889199562</v>
      </c>
      <c r="D67" s="1441">
        <f>'Basic Parameters and Results'!F34</f>
        <v>29334783.712715127</v>
      </c>
      <c r="E67" s="1441">
        <f>'Basic Parameters and Results'!G34</f>
        <v>37018493.176484443</v>
      </c>
      <c r="F67" s="1353"/>
      <c r="G67" s="1353"/>
      <c r="H67" s="1353"/>
      <c r="I67" s="1353"/>
      <c r="J67" s="1353"/>
      <c r="K67" s="1354"/>
      <c r="L67" s="1354"/>
      <c r="M67" s="1355"/>
      <c r="N67" s="1352"/>
    </row>
    <row r="68" spans="2:14" ht="16.5" customHeight="1" thickBot="1">
      <c r="B68" s="1333">
        <v>2021</v>
      </c>
      <c r="C68" s="1441">
        <f>'Basic Parameters and Results'!E35</f>
        <v>69379582.303939342</v>
      </c>
      <c r="D68" s="1441">
        <f>'Basic Parameters and Results'!F35</f>
        <v>30672713.336571582</v>
      </c>
      <c r="E68" s="1441">
        <f>'Basic Parameters and Results'!G35</f>
        <v>38706868.967367761</v>
      </c>
      <c r="F68" s="1353"/>
      <c r="G68" s="1353"/>
      <c r="H68" s="1353"/>
      <c r="I68" s="1353"/>
      <c r="J68" s="1353"/>
      <c r="K68" s="1354"/>
      <c r="L68" s="1354"/>
      <c r="M68" s="1355"/>
      <c r="N68" s="1352"/>
    </row>
    <row r="69" spans="2:14" ht="16.5" customHeight="1" thickBot="1">
      <c r="B69" s="1333">
        <v>2022</v>
      </c>
      <c r="C69" s="1441">
        <f>'Basic Parameters and Results'!E36</f>
        <v>72544415.420752048</v>
      </c>
      <c r="D69" s="1441">
        <f>'Basic Parameters and Results'!F36</f>
        <v>32071886.057514481</v>
      </c>
      <c r="E69" s="1441">
        <f>'Basic Parameters and Results'!G36</f>
        <v>40472529.363237575</v>
      </c>
      <c r="F69" s="1353"/>
      <c r="G69" s="1353"/>
      <c r="H69" s="1353"/>
      <c r="I69" s="1353"/>
      <c r="J69" s="1353"/>
      <c r="K69" s="1354"/>
      <c r="L69" s="1354"/>
      <c r="M69" s="1355"/>
      <c r="N69" s="1352"/>
    </row>
    <row r="70" spans="2:14" ht="16.5" customHeight="1" thickBot="1">
      <c r="B70" s="1333">
        <v>2023</v>
      </c>
      <c r="C70" s="1441">
        <f>'Basic Parameters and Results'!E37</f>
        <v>76157779.74756217</v>
      </c>
      <c r="D70" s="1441">
        <f>'Basic Parameters and Results'!F37</f>
        <v>33669354.426397234</v>
      </c>
      <c r="E70" s="1441">
        <f>'Basic Parameters and Results'!G37</f>
        <v>42488425.321164936</v>
      </c>
      <c r="F70" s="1353"/>
      <c r="G70" s="1353"/>
      <c r="H70" s="1353"/>
      <c r="I70" s="1353"/>
      <c r="J70" s="1353"/>
      <c r="K70" s="1354"/>
      <c r="L70" s="1354"/>
      <c r="M70" s="1355"/>
      <c r="N70" s="1352"/>
    </row>
    <row r="71" spans="2:14" ht="16.5" customHeight="1" thickBot="1">
      <c r="B71" s="1333">
        <v>2024</v>
      </c>
      <c r="C71" s="1441">
        <f>'Basic Parameters and Results'!E38</f>
        <v>80048212.895865411</v>
      </c>
      <c r="D71" s="1441">
        <f>'Basic Parameters and Results'!F38</f>
        <v>35389314.9212621</v>
      </c>
      <c r="E71" s="1441">
        <f>'Basic Parameters and Results'!G38</f>
        <v>44658897.974603318</v>
      </c>
      <c r="F71" s="1353"/>
      <c r="G71" s="1353"/>
      <c r="H71" s="1353"/>
      <c r="I71" s="1353"/>
      <c r="J71" s="1353"/>
      <c r="K71" s="1354"/>
      <c r="L71" s="1354"/>
      <c r="M71" s="1355"/>
      <c r="N71" s="1352"/>
    </row>
    <row r="72" spans="2:14" ht="16.5" customHeight="1" thickBot="1">
      <c r="B72" s="1333">
        <v>2025</v>
      </c>
      <c r="C72" s="1441">
        <f>'Basic Parameters and Results'!E39</f>
        <v>84299627.333581865</v>
      </c>
      <c r="D72" s="1441">
        <f>'Basic Parameters and Results'!F39</f>
        <v>37268865.244176544</v>
      </c>
      <c r="E72" s="1441">
        <f>'Basic Parameters and Results'!G39</f>
        <v>47030762.089405328</v>
      </c>
      <c r="F72" s="1353"/>
      <c r="G72" s="1353"/>
      <c r="H72" s="1353"/>
      <c r="I72" s="1353"/>
      <c r="J72" s="1353"/>
      <c r="K72" s="1354"/>
      <c r="L72" s="1354"/>
      <c r="M72" s="1355"/>
      <c r="N72" s="1352"/>
    </row>
    <row r="73" spans="2:14" ht="16.5" customHeight="1" thickBot="1">
      <c r="B73" s="1333">
        <v>2026</v>
      </c>
      <c r="C73" s="1441">
        <f>'Basic Parameters and Results'!E40</f>
        <v>88987025.194434568</v>
      </c>
      <c r="D73" s="1441">
        <f>'Basic Parameters and Results'!F40</f>
        <v>39341163.838459522</v>
      </c>
      <c r="E73" s="1441">
        <f>'Basic Parameters and Results'!G40</f>
        <v>49645861.355975054</v>
      </c>
      <c r="F73" s="1353"/>
      <c r="G73" s="1353"/>
      <c r="H73" s="1353"/>
      <c r="I73" s="1353"/>
      <c r="J73" s="1353"/>
      <c r="K73" s="1354"/>
      <c r="L73" s="1354"/>
      <c r="M73" s="1355"/>
      <c r="N73" s="1352"/>
    </row>
    <row r="74" spans="2:14" ht="16.5" customHeight="1" thickBot="1">
      <c r="B74" s="1333">
        <v>2027</v>
      </c>
      <c r="C74" s="1441">
        <f>'Basic Parameters and Results'!E41</f>
        <v>93673891.468950227</v>
      </c>
      <c r="D74" s="1441">
        <f>'Basic Parameters and Results'!F41</f>
        <v>41413227.418422893</v>
      </c>
      <c r="E74" s="1441">
        <f>'Basic Parameters and Results'!G41</f>
        <v>52260664.050527334</v>
      </c>
      <c r="F74" s="1353"/>
      <c r="G74" s="1353"/>
      <c r="H74" s="1353"/>
      <c r="I74" s="1353"/>
      <c r="J74" s="1353"/>
      <c r="K74" s="1354"/>
      <c r="L74" s="1354"/>
      <c r="M74" s="1355"/>
      <c r="N74" s="1352"/>
    </row>
    <row r="75" spans="2:14" ht="16.5" customHeight="1" thickBot="1">
      <c r="B75" s="1333">
        <v>2028</v>
      </c>
      <c r="C75" s="1441">
        <f>'Basic Parameters and Results'!E42</f>
        <v>98138745.782982528</v>
      </c>
      <c r="D75" s="1441">
        <f>'Basic Parameters and Results'!F42</f>
        <v>43387139.510656573</v>
      </c>
      <c r="E75" s="1441">
        <f>'Basic Parameters and Results'!G42</f>
        <v>54751606.272325955</v>
      </c>
      <c r="F75" s="1353"/>
      <c r="G75" s="1353"/>
      <c r="H75" s="1353"/>
      <c r="I75" s="1353"/>
      <c r="J75" s="1353"/>
      <c r="K75" s="1354"/>
      <c r="L75" s="1354"/>
      <c r="M75" s="1355"/>
      <c r="N75" s="1352"/>
    </row>
    <row r="76" spans="2:14" ht="16.5" customHeight="1" thickBot="1">
      <c r="B76" s="1333">
        <v>2029</v>
      </c>
      <c r="C76" s="1441">
        <f>'Basic Parameters and Results'!E43</f>
        <v>102727283.49626277</v>
      </c>
      <c r="D76" s="1441">
        <f>'Basic Parameters and Results'!F43</f>
        <v>45415732.033697769</v>
      </c>
      <c r="E76" s="1441">
        <f>'Basic Parameters and Results'!G43</f>
        <v>57311551.462565005</v>
      </c>
      <c r="F76" s="1353"/>
      <c r="G76" s="1353"/>
      <c r="H76" s="1353"/>
      <c r="I76" s="1353"/>
      <c r="J76" s="1353"/>
      <c r="K76" s="1354"/>
      <c r="L76" s="1354"/>
      <c r="M76" s="1355"/>
      <c r="N76" s="1352"/>
    </row>
    <row r="77" spans="2:14" ht="16.5" customHeight="1" thickBot="1">
      <c r="B77" s="1333">
        <v>2030</v>
      </c>
      <c r="C77" s="1441">
        <f>'Basic Parameters and Results'!E44</f>
        <v>107714469.83555934</v>
      </c>
      <c r="D77" s="1441">
        <f>'Basic Parameters and Results'!F44</f>
        <v>47620567.11430078</v>
      </c>
      <c r="E77" s="1441">
        <f>'Basic Parameters and Results'!G44</f>
        <v>60093902.721258558</v>
      </c>
      <c r="F77" s="1353"/>
      <c r="G77" s="1353"/>
      <c r="H77" s="1353"/>
      <c r="I77" s="1353"/>
      <c r="J77" s="1353"/>
      <c r="K77" s="1354"/>
      <c r="L77" s="1354"/>
      <c r="M77" s="1355"/>
      <c r="N77" s="1352"/>
    </row>
    <row r="78" spans="2:14" ht="16.5" customHeight="1">
      <c r="C78" s="1353"/>
      <c r="D78" s="1353"/>
      <c r="E78" s="1353"/>
      <c r="F78" s="1353"/>
      <c r="G78" s="1353"/>
      <c r="H78" s="1353"/>
      <c r="I78" s="1353"/>
      <c r="J78" s="1353"/>
      <c r="K78" s="1354"/>
      <c r="L78" s="1354"/>
      <c r="M78" s="1355"/>
      <c r="N78" s="1352"/>
    </row>
    <row r="79" spans="2:14" ht="16" thickBot="1">
      <c r="C79" s="1574" t="s">
        <v>3711</v>
      </c>
      <c r="D79" s="1539"/>
      <c r="E79" s="1539"/>
      <c r="F79" s="1539"/>
      <c r="G79" s="1539"/>
      <c r="H79" s="1539"/>
      <c r="I79" s="1539"/>
      <c r="J79" s="1539"/>
      <c r="K79" s="1539"/>
      <c r="L79" s="1539"/>
      <c r="M79" s="1539"/>
      <c r="N79" s="1539"/>
    </row>
    <row r="80" spans="2:14" ht="16" thickBot="1">
      <c r="B80" s="1387" t="s">
        <v>3</v>
      </c>
      <c r="C80" s="1343" t="s">
        <v>3696</v>
      </c>
      <c r="D80" s="1343" t="s">
        <v>3697</v>
      </c>
      <c r="E80" s="1343" t="s">
        <v>3698</v>
      </c>
      <c r="F80" s="1343" t="s">
        <v>3699</v>
      </c>
      <c r="G80" s="1343" t="s">
        <v>3700</v>
      </c>
      <c r="H80" s="1343" t="s">
        <v>3701</v>
      </c>
      <c r="I80" s="1343" t="s">
        <v>3702</v>
      </c>
      <c r="J80" s="1343" t="s">
        <v>3703</v>
      </c>
      <c r="K80" s="1343" t="s">
        <v>3704</v>
      </c>
      <c r="L80" s="1343" t="s">
        <v>3705</v>
      </c>
    </row>
    <row r="81" spans="2:14" ht="16" thickBot="1">
      <c r="B81" s="1333">
        <v>2017</v>
      </c>
      <c r="C81" s="1349">
        <f>(C45/$M45)*'Basic Parameters and Results'!$F31</f>
        <v>5009528.39211581</v>
      </c>
      <c r="D81" s="1349">
        <f>(D45/$M45)*'Basic Parameters and Results'!$F31</f>
        <v>4570949.6561765373</v>
      </c>
      <c r="E81" s="1349">
        <f>(E45/$M45)*'Basic Parameters and Results'!$F31</f>
        <v>1124353.8400555924</v>
      </c>
      <c r="F81" s="1349">
        <f>(F45/$M45)*'Basic Parameters and Results'!$F31</f>
        <v>2063222.0702203284</v>
      </c>
      <c r="G81" s="1349">
        <f>(G45/$M45)*'Basic Parameters and Results'!$F31</f>
        <v>1932406.2785888745</v>
      </c>
      <c r="H81" s="1349">
        <f>(H45/$M45)*'Basic Parameters and Results'!$F31</f>
        <v>1894970.5110602775</v>
      </c>
      <c r="I81" s="1349">
        <f>(I45/$M45)*'Basic Parameters and Results'!$F31</f>
        <v>1802613.0987647425</v>
      </c>
      <c r="J81" s="1349">
        <f>(J45/$M45)*'Basic Parameters and Results'!$F31</f>
        <v>314392.64446507324</v>
      </c>
      <c r="K81" s="1349">
        <f>(K45/$M45)*'Basic Parameters and Results'!$F31</f>
        <v>6552869.7402360551</v>
      </c>
      <c r="L81" s="1349">
        <f>(L45/$M45)*'Basic Parameters and Results'!$F31</f>
        <v>739601.55081671057</v>
      </c>
      <c r="M81" s="1355"/>
    </row>
    <row r="82" spans="2:14" ht="16" thickBot="1">
      <c r="B82" s="1333">
        <v>2018</v>
      </c>
      <c r="C82" s="1349">
        <f>(C46/$M46)*'Basic Parameters and Results'!$F32</f>
        <v>5044407.5416512201</v>
      </c>
      <c r="D82" s="1349">
        <f>(D46/$M46)*'Basic Parameters and Results'!$F32</f>
        <v>4652476.927971324</v>
      </c>
      <c r="E82" s="1349">
        <f>(E46/$M46)*'Basic Parameters and Results'!$F32</f>
        <v>2108666.2192988452</v>
      </c>
      <c r="F82" s="1349">
        <f>(F46/$M46)*'Basic Parameters and Results'!$F32</f>
        <v>2074815.3391839231</v>
      </c>
      <c r="G82" s="1349">
        <f>(G46/$M46)*'Basic Parameters and Results'!$F32</f>
        <v>1929817.7718847168</v>
      </c>
      <c r="H82" s="1349">
        <f>(H46/$M46)*'Basic Parameters and Results'!$F32</f>
        <v>1970882.4531429217</v>
      </c>
      <c r="I82" s="1349">
        <f>(I46/$M46)*'Basic Parameters and Results'!$F32</f>
        <v>2127952.3484354215</v>
      </c>
      <c r="J82" s="1349">
        <f>(J46/$M46)*'Basic Parameters and Results'!$F32</f>
        <v>354654.18945029459</v>
      </c>
      <c r="K82" s="1349">
        <f>(K46/$M46)*'Basic Parameters and Results'!$F32</f>
        <v>6474572.3058511391</v>
      </c>
      <c r="L82" s="1349">
        <f>(L46/$M46)*'Basic Parameters and Results'!$F32</f>
        <v>742329.38334183127</v>
      </c>
      <c r="M82" s="1355"/>
      <c r="N82" s="1352"/>
    </row>
    <row r="83" spans="2:14" ht="16" thickBot="1">
      <c r="B83" s="1333">
        <v>2019</v>
      </c>
      <c r="C83" s="1349">
        <f>(C47/$M47)*'Basic Parameters and Results'!$F33</f>
        <v>4968937.0987087525</v>
      </c>
      <c r="D83" s="1349">
        <f>(D47/$M47)*'Basic Parameters and Results'!$F33</f>
        <v>4629026.6679361733</v>
      </c>
      <c r="E83" s="1349">
        <f>(E47/$M47)*'Basic Parameters and Results'!$F33</f>
        <v>2983947.4271374606</v>
      </c>
      <c r="F83" s="1349">
        <f>(F47/$M47)*'Basic Parameters and Results'!$F33</f>
        <v>2041199.2839703267</v>
      </c>
      <c r="G83" s="1349">
        <f>(G47/$M47)*'Basic Parameters and Results'!$F33</f>
        <v>1886046.7378796744</v>
      </c>
      <c r="H83" s="1349">
        <f>(H47/$M47)*'Basic Parameters and Results'!$F33</f>
        <v>1999639.9501355977</v>
      </c>
      <c r="I83" s="1349">
        <f>(I47/$M47)*'Basic Parameters and Results'!$F33</f>
        <v>2386592.2146144649</v>
      </c>
      <c r="J83" s="1349">
        <f>(J47/$M47)*'Basic Parameters and Results'!$F33</f>
        <v>384704.90670940274</v>
      </c>
      <c r="K83" s="1349">
        <f>(K47/$M47)*'Basic Parameters and Results'!$F33</f>
        <v>6263363.7610162059</v>
      </c>
      <c r="L83" s="1349">
        <f>(L47/$M47)*'Basic Parameters and Results'!$F33</f>
        <v>729478.48811308062</v>
      </c>
      <c r="M83" s="1355"/>
      <c r="N83" s="1352"/>
    </row>
    <row r="84" spans="2:14" ht="16" thickBot="1">
      <c r="B84" s="1333">
        <v>2020</v>
      </c>
      <c r="C84" s="1349">
        <f>(C48/$M48)*'Basic Parameters and Results'!$F34</f>
        <v>4956108.2924174825</v>
      </c>
      <c r="D84" s="1349">
        <f>(D48/$M48)*'Basic Parameters and Results'!$F34</f>
        <v>4660551.415239702</v>
      </c>
      <c r="E84" s="1349">
        <f>(E48/$M48)*'Basic Parameters and Results'!$F34</f>
        <v>3830410.3397313189</v>
      </c>
      <c r="F84" s="1349">
        <f>(F48/$M48)*'Basic Parameters and Results'!$F34</f>
        <v>2033504.5059277602</v>
      </c>
      <c r="G84" s="1349">
        <f>(G48/$M48)*'Basic Parameters and Results'!$F34</f>
        <v>1867143.9281748775</v>
      </c>
      <c r="H84" s="1349">
        <f>(H48/$M48)*'Basic Parameters and Results'!$F34</f>
        <v>2049339.1268768816</v>
      </c>
      <c r="I84" s="1349">
        <f>(I48/$M48)*'Basic Parameters and Results'!$F34</f>
        <v>2654038.195364187</v>
      </c>
      <c r="J84" s="1349">
        <f>(J48/$M48)*'Basic Parameters and Results'!$F34</f>
        <v>417015.16552664147</v>
      </c>
      <c r="K84" s="1349">
        <f>(K48/$M48)*'Basic Parameters and Results'!$F34</f>
        <v>6140218.9442780642</v>
      </c>
      <c r="L84" s="1349">
        <f>(L48/$M48)*'Basic Parameters and Results'!$F34</f>
        <v>726453.79917821416</v>
      </c>
      <c r="M84" s="1355"/>
      <c r="N84" s="1352"/>
    </row>
    <row r="85" spans="2:14" ht="16" thickBot="1">
      <c r="B85" s="1333">
        <v>2021</v>
      </c>
      <c r="C85" s="1349">
        <f>(C49/$M49)*'Basic Parameters and Results'!$F35</f>
        <v>5025485.0757030472</v>
      </c>
      <c r="D85" s="1349">
        <f>(D49/$M49)*'Basic Parameters and Results'!$F35</f>
        <v>4605109.9219739931</v>
      </c>
      <c r="E85" s="1349">
        <f>(E49/$M49)*'Basic Parameters and Results'!$F35</f>
        <v>4703270.3257574625</v>
      </c>
      <c r="F85" s="1349">
        <f>(F49/$M49)*'Basic Parameters and Results'!$F35</f>
        <v>2059644.3255760362</v>
      </c>
      <c r="G85" s="1349">
        <f>(G49/$M49)*'Basic Parameters and Results'!$F35</f>
        <v>1879821.0504314741</v>
      </c>
      <c r="H85" s="1349">
        <f>(H49/$M49)*'Basic Parameters and Results'!$F35</f>
        <v>2130644.8760554139</v>
      </c>
      <c r="I85" s="1349">
        <f>(I49/$M49)*'Basic Parameters and Results'!$F35</f>
        <v>2953610.2433145251</v>
      </c>
      <c r="J85" s="1349">
        <f>(J49/$M49)*'Basic Parameters and Results'!$F35</f>
        <v>454794.39273834665</v>
      </c>
      <c r="K85" s="1349">
        <f>(K49/$M49)*'Basic Parameters and Results'!$F35</f>
        <v>6124296.1774183055</v>
      </c>
      <c r="L85" s="1349">
        <f>(L49/$M49)*'Basic Parameters and Results'!$F35</f>
        <v>736036.94760297495</v>
      </c>
      <c r="M85" s="1355"/>
      <c r="N85" s="1352"/>
    </row>
    <row r="86" spans="2:14" ht="16" thickBot="1">
      <c r="B86" s="1333">
        <v>2022</v>
      </c>
      <c r="C86" s="1349">
        <f>(C50/$M50)*'Basic Parameters and Results'!$F36</f>
        <v>5151549.7236853214</v>
      </c>
      <c r="D86" s="1349">
        <f>(D50/$M50)*'Basic Parameters and Results'!$F36</f>
        <v>4596233.8584151575</v>
      </c>
      <c r="E86" s="1349">
        <f>(E50/$M50)*'Basic Parameters and Results'!$F36</f>
        <v>5616784.3941278122</v>
      </c>
      <c r="F86" s="1349">
        <f>(F50/$M50)*'Basic Parameters and Results'!$F36</f>
        <v>2109052.2930638785</v>
      </c>
      <c r="G86" s="1349">
        <f>(G50/$M50)*'Basic Parameters and Results'!$F36</f>
        <v>1913906.4116275331</v>
      </c>
      <c r="H86" s="1349">
        <f>(H50/$M50)*'Basic Parameters and Results'!$F36</f>
        <v>2235188.0857910132</v>
      </c>
      <c r="I86" s="1349">
        <f>(I50/$M50)*'Basic Parameters and Results'!$F36</f>
        <v>3017768.6273812302</v>
      </c>
      <c r="J86" s="1349">
        <f>(J50/$M50)*'Basic Parameters and Results'!$F36</f>
        <v>497220.29935481836</v>
      </c>
      <c r="K86" s="1349">
        <f>(K50/$M50)*'Basic Parameters and Results'!$F36</f>
        <v>6179729.388383314</v>
      </c>
      <c r="L86" s="1349">
        <f>(L50/$M50)*'Basic Parameters and Results'!$F36</f>
        <v>754452.97568439366</v>
      </c>
      <c r="M86" s="1355"/>
      <c r="N86" s="1352"/>
    </row>
    <row r="87" spans="2:14" ht="16" thickBot="1">
      <c r="B87" s="1333">
        <v>2023</v>
      </c>
      <c r="C87" s="1349">
        <f>(C51/$M51)*'Basic Parameters and Results'!$F37</f>
        <v>5320127.785157647</v>
      </c>
      <c r="D87" s="1349">
        <f>(D51/$M51)*'Basic Parameters and Results'!$F37</f>
        <v>4624770.3557603657</v>
      </c>
      <c r="E87" s="1349">
        <f>(E51/$M51)*'Basic Parameters and Results'!$F37</f>
        <v>6579964.4727780102</v>
      </c>
      <c r="F87" s="1349">
        <f>(F51/$M51)*'Basic Parameters and Results'!$F37</f>
        <v>2175855.9111234872</v>
      </c>
      <c r="G87" s="1349">
        <f>(G51/$M51)*'Basic Parameters and Results'!$F37</f>
        <v>1963731.9439819425</v>
      </c>
      <c r="H87" s="1349">
        <f>(H51/$M51)*'Basic Parameters and Results'!$F37</f>
        <v>2358390.0968647832</v>
      </c>
      <c r="I87" s="1349">
        <f>(I51/$M51)*'Basic Parameters and Results'!$F37</f>
        <v>3036504.9556614039</v>
      </c>
      <c r="J87" s="1349">
        <f>(J51/$M51)*'Basic Parameters and Results'!$F37</f>
        <v>543878.72136522038</v>
      </c>
      <c r="K87" s="1349">
        <f>(K51/$M51)*'Basic Parameters and Results'!$F37</f>
        <v>6286496.3564063655</v>
      </c>
      <c r="L87" s="1349">
        <f>(L51/$M51)*'Basic Parameters and Results'!$F37</f>
        <v>779633.82729801</v>
      </c>
      <c r="M87" s="1355"/>
      <c r="N87" s="1352"/>
    </row>
    <row r="88" spans="2:14" ht="16" thickBot="1">
      <c r="B88" s="1333">
        <v>2024</v>
      </c>
      <c r="C88" s="1349">
        <f>(C52/$M52)*'Basic Parameters and Results'!$F38</f>
        <v>5511907.1509247245</v>
      </c>
      <c r="D88" s="1349">
        <f>(D52/$M52)*'Basic Parameters and Results'!$F38</f>
        <v>4671542.140757598</v>
      </c>
      <c r="E88" s="1349">
        <f>(E52/$M52)*'Basic Parameters and Results'!$F38</f>
        <v>7584205.3523040181</v>
      </c>
      <c r="F88" s="1349">
        <f>(F52/$M52)*'Basic Parameters and Results'!$F38</f>
        <v>2252113.4270762638</v>
      </c>
      <c r="G88" s="1349">
        <f>(G52/$M52)*'Basic Parameters and Results'!$F38</f>
        <v>1987564.2230879844</v>
      </c>
      <c r="H88" s="1349">
        <f>(H52/$M52)*'Basic Parameters and Results'!$F38</f>
        <v>2492671.352027006</v>
      </c>
      <c r="I88" s="1349">
        <f>(I52/$M52)*'Basic Parameters and Results'!$F38</f>
        <v>3067214.1035766802</v>
      </c>
      <c r="J88" s="1349">
        <f>(J52/$M52)*'Basic Parameters and Results'!$F38</f>
        <v>593391.13765051856</v>
      </c>
      <c r="K88" s="1349">
        <f>(K52/$M52)*'Basic Parameters and Results'!$F38</f>
        <v>6419924.5198853407</v>
      </c>
      <c r="L88" s="1349">
        <f>(L52/$M52)*'Basic Parameters and Results'!$F38</f>
        <v>808781.51397196262</v>
      </c>
      <c r="M88" s="1355"/>
      <c r="N88" s="1352"/>
    </row>
    <row r="89" spans="2:14" ht="16" thickBot="1">
      <c r="B89" s="1333">
        <v>2025</v>
      </c>
      <c r="C89" s="1349">
        <f>(C53/$M53)*'Basic Parameters and Results'!$F39</f>
        <v>5727137.1017222321</v>
      </c>
      <c r="D89" s="1349">
        <f>(D53/$M53)*'Basic Parameters and Results'!$F39</f>
        <v>4735419.3620287487</v>
      </c>
      <c r="E89" s="1349">
        <f>(E53/$M53)*'Basic Parameters and Results'!$F39</f>
        <v>8638426.777759349</v>
      </c>
      <c r="F89" s="1349">
        <f>(F53/$M53)*'Basic Parameters and Results'!$F39</f>
        <v>2337902.3470392274</v>
      </c>
      <c r="G89" s="1349">
        <f>(G53/$M53)*'Basic Parameters and Results'!$F39</f>
        <v>2014741.5610726145</v>
      </c>
      <c r="H89" s="1349">
        <f>(H53/$M53)*'Basic Parameters and Results'!$F39</f>
        <v>2638695.4557298496</v>
      </c>
      <c r="I89" s="1349">
        <f>(I53/$M53)*'Basic Parameters and Results'!$F39</f>
        <v>3109154.2398479078</v>
      </c>
      <c r="J89" s="1349">
        <f>(J53/$M53)*'Basic Parameters and Results'!$F39</f>
        <v>646118.78725889907</v>
      </c>
      <c r="K89" s="1349">
        <f>(K53/$M53)*'Basic Parameters and Results'!$F39</f>
        <v>6579293.3750267299</v>
      </c>
      <c r="L89" s="1349">
        <f>(L53/$M53)*'Basic Parameters and Results'!$F39</f>
        <v>841976.23669098422</v>
      </c>
      <c r="M89" s="1355"/>
      <c r="N89" s="1352"/>
    </row>
    <row r="90" spans="2:14" ht="16" thickBot="1">
      <c r="B90" s="1333">
        <v>2026</v>
      </c>
      <c r="C90" s="1349">
        <f>(C54/$M54)*'Basic Parameters and Results'!$F40</f>
        <v>5969460.8877147054</v>
      </c>
      <c r="D90" s="1349">
        <f>(D54/$M54)*'Basic Parameters and Results'!$F40</f>
        <v>4818119.2730071461</v>
      </c>
      <c r="E90" s="1349">
        <f>(E54/$M54)*'Basic Parameters and Results'!$F40</f>
        <v>9756406.5550902188</v>
      </c>
      <c r="F90" s="1349">
        <f>(F54/$M54)*'Basic Parameters and Results'!$F40</f>
        <v>2434686.3872302757</v>
      </c>
      <c r="G90" s="1349">
        <f>(G54/$M54)*'Basic Parameters and Results'!$F40</f>
        <v>2049927.2405250466</v>
      </c>
      <c r="H90" s="1349">
        <f>(H54/$M54)*'Basic Parameters and Results'!$F40</f>
        <v>2798672.9599039722</v>
      </c>
      <c r="I90" s="1349">
        <f>(I54/$M54)*'Basic Parameters and Results'!$F40</f>
        <v>3163452.8687962373</v>
      </c>
      <c r="J90" s="1349">
        <f>(J54/$M54)*'Basic Parameters and Results'!$F40</f>
        <v>702795.6238978497</v>
      </c>
      <c r="K90" s="1349">
        <f>(K54/$M54)*'Basic Parameters and Results'!$F40</f>
        <v>6767831.0589153664</v>
      </c>
      <c r="L90" s="1349">
        <f>(L54/$M54)*'Basic Parameters and Results'!$F40</f>
        <v>879810.98337870219</v>
      </c>
      <c r="M90" s="1355"/>
      <c r="N90" s="1352"/>
    </row>
    <row r="91" spans="2:14" ht="16" thickBot="1">
      <c r="B91" s="1333">
        <v>2027</v>
      </c>
      <c r="C91" s="1349">
        <f>(C55/$M55)*'Basic Parameters and Results'!$F41</f>
        <v>6209099.8105018632</v>
      </c>
      <c r="D91" s="1349">
        <f>(D55/$M55)*'Basic Parameters and Results'!$F41</f>
        <v>4894851.4950857079</v>
      </c>
      <c r="E91" s="1349">
        <f>(E55/$M55)*'Basic Parameters and Results'!$F41</f>
        <v>10894304.140289279</v>
      </c>
      <c r="F91" s="1349">
        <f>(F55/$M55)*'Basic Parameters and Results'!$F41</f>
        <v>2530306.3875846472</v>
      </c>
      <c r="G91" s="1349">
        <f>(G55/$M55)*'Basic Parameters and Results'!$F41</f>
        <v>2082573.8944063832</v>
      </c>
      <c r="H91" s="1349">
        <f>(H55/$M55)*'Basic Parameters and Results'!$F41</f>
        <v>2958952.8469437719</v>
      </c>
      <c r="I91" s="1349">
        <f>(I55/$M55)*'Basic Parameters and Results'!$F41</f>
        <v>3213833.2671029884</v>
      </c>
      <c r="J91" s="1349">
        <f>(J55/$M55)*'Basic Parameters and Results'!$F41</f>
        <v>760104.04061758716</v>
      </c>
      <c r="K91" s="1349">
        <f>(K55/$M55)*'Basic Parameters and Results'!$F41</f>
        <v>6951245.680571408</v>
      </c>
      <c r="L91" s="1349">
        <f>(L55/$M55)*'Basic Parameters and Results'!$F41</f>
        <v>917955.85531924968</v>
      </c>
      <c r="M91" s="1355"/>
      <c r="N91" s="1352"/>
    </row>
    <row r="92" spans="2:14" ht="16" thickBot="1">
      <c r="B92" s="1333">
        <v>2028</v>
      </c>
      <c r="C92" s="1349">
        <f>(C56/$M56)*'Basic Parameters and Results'!$F42</f>
        <v>6431779.4663463943</v>
      </c>
      <c r="D92" s="1349">
        <f>(D56/$M56)*'Basic Parameters and Results'!$F42</f>
        <v>4955026.4285591021</v>
      </c>
      <c r="E92" s="1349">
        <f>(E56/$M56)*'Basic Parameters and Results'!$F42</f>
        <v>12022831.429965744</v>
      </c>
      <c r="F92" s="1349">
        <f>(F56/$M56)*'Basic Parameters and Results'!$F42</f>
        <v>2618957.3468293343</v>
      </c>
      <c r="G92" s="1349">
        <f>(G56/$M56)*'Basic Parameters and Results'!$F42</f>
        <v>2108176.0491755619</v>
      </c>
      <c r="H92" s="1349">
        <f>(H56/$M56)*'Basic Parameters and Results'!$F42</f>
        <v>3112460.1359343757</v>
      </c>
      <c r="I92" s="1349">
        <f>(I56/$M56)*'Basic Parameters and Results'!$F42</f>
        <v>3253342.5766778877</v>
      </c>
      <c r="J92" s="1349">
        <f>(J56/$M56)*'Basic Parameters and Results'!$F42</f>
        <v>816131.17829077144</v>
      </c>
      <c r="K92" s="1349">
        <f>(K56/$M56)*'Basic Parameters and Results'!$F42</f>
        <v>7114104.638362254</v>
      </c>
      <c r="L92" s="1349">
        <f>(L56/$M56)*'Basic Parameters and Results'!$F42</f>
        <v>954330.26051514852</v>
      </c>
      <c r="M92" s="1355"/>
      <c r="N92" s="1352"/>
    </row>
    <row r="93" spans="2:14" ht="16" thickBot="1">
      <c r="B93" s="1333">
        <v>2029</v>
      </c>
      <c r="C93" s="1349">
        <f>(C57/$M57)*'Basic Parameters and Results'!$F43</f>
        <v>6661199.1205508513</v>
      </c>
      <c r="D93" s="1349">
        <f>(D57/$M57)*'Basic Parameters and Results'!$F43</f>
        <v>5017600.815215149</v>
      </c>
      <c r="E93" s="1349">
        <f>(E57/$M57)*'Basic Parameters and Results'!$F43</f>
        <v>13181819.596196</v>
      </c>
      <c r="F93" s="1349">
        <f>(F57/$M57)*'Basic Parameters and Results'!$F43</f>
        <v>2710302.0607941616</v>
      </c>
      <c r="G93" s="1349">
        <f>(G57/$M57)*'Basic Parameters and Results'!$F43</f>
        <v>2134799.080382782</v>
      </c>
      <c r="H93" s="1349">
        <f>(H57/$M57)*'Basic Parameters and Results'!$F43</f>
        <v>3266211.5044163046</v>
      </c>
      <c r="I93" s="1349">
        <f>(I57/$M57)*'Basic Parameters and Results'!$F43</f>
        <v>3294427.3053373112</v>
      </c>
      <c r="J93" s="1349">
        <f>(J57/$M57)*'Basic Parameters and Results'!$F43</f>
        <v>873709.98253922502</v>
      </c>
      <c r="K93" s="1349">
        <f>(K57/$M57)*'Basic Parameters and Results'!$F43</f>
        <v>7283188.2660672991</v>
      </c>
      <c r="L93" s="1349">
        <f>(L57/$M57)*'Basic Parameters and Results'!$F43</f>
        <v>992474.30219868117</v>
      </c>
      <c r="M93" s="1355"/>
      <c r="N93" s="1352"/>
    </row>
    <row r="94" spans="2:14" ht="16" thickBot="1">
      <c r="B94" s="1333">
        <v>2030</v>
      </c>
      <c r="C94" s="1349">
        <f>(C58/$M58)*'Basic Parameters and Results'!$F44</f>
        <v>6931225.1880320208</v>
      </c>
      <c r="D94" s="1349">
        <f>(D58/$M58)*'Basic Parameters and Results'!$F44</f>
        <v>5107372.9485155465</v>
      </c>
      <c r="E94" s="1349">
        <f>(E58/$M58)*'Basic Parameters and Results'!$F44</f>
        <v>14442839.163744062</v>
      </c>
      <c r="F94" s="1349">
        <f>(F58/$M58)*'Basic Parameters and Results'!$F44</f>
        <v>2818107.1392440847</v>
      </c>
      <c r="G94" s="1349">
        <f>(G58/$M58)*'Basic Parameters and Results'!$F44</f>
        <v>2172993.7225377639</v>
      </c>
      <c r="H94" s="1349">
        <f>(H58/$M58)*'Basic Parameters and Results'!$F44</f>
        <v>3324648.7506939727</v>
      </c>
      <c r="I94" s="1349">
        <f>(I58/$M58)*'Basic Parameters and Results'!$F44</f>
        <v>3353369.3730893731</v>
      </c>
      <c r="J94" s="1349">
        <f>(J58/$M58)*'Basic Parameters and Results'!$F44</f>
        <v>937460.00628909981</v>
      </c>
      <c r="K94" s="1349">
        <f>(K58/$M58)*'Basic Parameters and Results'!$F44</f>
        <v>7495043.4799514962</v>
      </c>
      <c r="L94" s="1349">
        <f>(L58/$M58)*'Basic Parameters and Results'!$F44</f>
        <v>1037507.3422033716</v>
      </c>
      <c r="M94" s="1355"/>
      <c r="N94" s="1352"/>
    </row>
    <row r="95" spans="2:14">
      <c r="C95" s="1353"/>
      <c r="D95" s="1353"/>
      <c r="E95" s="1353"/>
      <c r="F95" s="1353"/>
      <c r="G95" s="1353"/>
      <c r="H95" s="1353"/>
      <c r="I95" s="1353"/>
      <c r="J95" s="1353"/>
      <c r="K95" s="1354"/>
      <c r="L95" s="1354"/>
      <c r="M95" s="1355"/>
      <c r="N95" s="1352"/>
    </row>
    <row r="97" spans="2:5">
      <c r="B97" s="1326" t="s">
        <v>3712</v>
      </c>
    </row>
    <row r="98" spans="2:5">
      <c r="B98" s="1326" t="s">
        <v>3713</v>
      </c>
      <c r="E98" s="1355"/>
    </row>
    <row r="99" spans="2:5">
      <c r="B99" s="1327" t="s">
        <v>3714</v>
      </c>
      <c r="E99" s="1351">
        <v>3476</v>
      </c>
    </row>
    <row r="100" spans="2:5">
      <c r="B100" s="1327" t="s">
        <v>3715</v>
      </c>
      <c r="E100" s="1351">
        <f>E99*12/70</f>
        <v>595.88571428571424</v>
      </c>
    </row>
    <row r="101" spans="2:5">
      <c r="B101" s="1327" t="s">
        <v>3716</v>
      </c>
      <c r="E101" s="1445">
        <f>'Advanced Parameters'!D19</f>
        <v>3218</v>
      </c>
    </row>
    <row r="102" spans="2:5">
      <c r="B102" s="1327" t="s">
        <v>3717</v>
      </c>
      <c r="E102" s="1445">
        <f>'Advanced Parameters'!D20</f>
        <v>576.21951219512198</v>
      </c>
    </row>
    <row r="103" spans="2:5">
      <c r="B103" s="1327" t="s">
        <v>3718</v>
      </c>
      <c r="E103" s="1445">
        <f>'Advanced Parameters'!D21</f>
        <v>2641.7804878048782</v>
      </c>
    </row>
    <row r="104" spans="2:5">
      <c r="B104" s="1327" t="s">
        <v>3719</v>
      </c>
      <c r="E104" s="1351">
        <f>'Advanced Parameters'!D19*E100</f>
        <v>1917560.2285714285</v>
      </c>
    </row>
    <row r="105" spans="2:5">
      <c r="B105" s="1327" t="s">
        <v>3720</v>
      </c>
      <c r="E105" s="1351">
        <f>45200+52000</f>
        <v>97200</v>
      </c>
    </row>
    <row r="106" spans="2:5">
      <c r="B106" s="1327" t="s">
        <v>3721</v>
      </c>
      <c r="E106" s="1351">
        <f>E104-E105</f>
        <v>1820360.2285714285</v>
      </c>
    </row>
    <row r="107" spans="2:5">
      <c r="B107" s="1327" t="s">
        <v>3722</v>
      </c>
      <c r="E107" s="1357">
        <f>(984*12/70)</f>
        <v>168.68571428571428</v>
      </c>
    </row>
    <row r="109" spans="2:5">
      <c r="B109" s="1326" t="s">
        <v>3829</v>
      </c>
    </row>
    <row r="110" spans="2:5">
      <c r="B110" s="1327" t="s">
        <v>3723</v>
      </c>
      <c r="E110" s="1359">
        <f>160000*12</f>
        <v>1920000</v>
      </c>
    </row>
    <row r="112" spans="2:5">
      <c r="B112" s="1326" t="s">
        <v>3830</v>
      </c>
    </row>
    <row r="113" spans="2:6">
      <c r="B113" s="1358" t="s">
        <v>3724</v>
      </c>
    </row>
    <row r="114" spans="2:6">
      <c r="B114" s="1327" t="s">
        <v>3725</v>
      </c>
      <c r="E114" s="1360">
        <v>4750</v>
      </c>
    </row>
    <row r="115" spans="2:6">
      <c r="B115" s="1327" t="s">
        <v>3726</v>
      </c>
      <c r="E115" s="1351">
        <f>'Basic Parameters and Results'!G31</f>
        <v>32816417.217500005</v>
      </c>
    </row>
    <row r="116" spans="2:6">
      <c r="B116" s="1327" t="s">
        <v>3727</v>
      </c>
      <c r="E116" s="1351">
        <f>E115-E104</f>
        <v>30898856.988928575</v>
      </c>
    </row>
    <row r="117" spans="2:6">
      <c r="B117" s="1327" t="s">
        <v>3728</v>
      </c>
      <c r="E117" s="1351">
        <f>E116/E114</f>
        <v>6505.0225239849633</v>
      </c>
    </row>
    <row r="118" spans="2:6">
      <c r="E118" s="1355"/>
    </row>
    <row r="119" spans="2:6">
      <c r="B119" s="1326" t="s">
        <v>3831</v>
      </c>
      <c r="E119" s="1355"/>
    </row>
    <row r="120" spans="2:6">
      <c r="C120" s="1567" t="s">
        <v>3808</v>
      </c>
      <c r="D120" s="1567"/>
      <c r="E120" s="1567"/>
      <c r="F120" s="1567"/>
    </row>
    <row r="121" spans="2:6" ht="16" thickBot="1">
      <c r="B121" s="1343" t="s">
        <v>3</v>
      </c>
      <c r="C121" s="1343" t="s">
        <v>3729</v>
      </c>
      <c r="D121" s="1343" t="s">
        <v>3730</v>
      </c>
      <c r="E121" s="1343" t="s">
        <v>3709</v>
      </c>
      <c r="F121" s="1343" t="s">
        <v>3731</v>
      </c>
    </row>
    <row r="122" spans="2:6" ht="16" thickBot="1">
      <c r="B122" s="1333">
        <v>2017</v>
      </c>
      <c r="C122" s="1351">
        <f>'Basic Parameters and Results'!G31-D122</f>
        <v>30898856.988928575</v>
      </c>
      <c r="D122" s="1351">
        <f>E104</f>
        <v>1917560.2285714285</v>
      </c>
      <c r="E122" s="1351">
        <f t="shared" ref="E122:E135" si="2">SUM(C81:L81)</f>
        <v>26004907.782500003</v>
      </c>
      <c r="F122" s="1351">
        <f t="shared" ref="F122:F135" si="3">SUM(C122:E122)</f>
        <v>58821325.000000007</v>
      </c>
    </row>
    <row r="123" spans="2:6" ht="16" thickBot="1">
      <c r="B123" s="1333">
        <v>2018</v>
      </c>
      <c r="C123" s="1351">
        <f>'Basic Parameters and Results'!G32-D123</f>
        <v>32858247.558151193</v>
      </c>
      <c r="D123" s="1351">
        <f t="shared" ref="D123:D135" si="4">$E$106</f>
        <v>1820360.2285714285</v>
      </c>
      <c r="E123" s="1351">
        <f t="shared" si="2"/>
        <v>27480574.480211634</v>
      </c>
      <c r="F123" s="1351">
        <f t="shared" si="3"/>
        <v>62159182.266934261</v>
      </c>
    </row>
    <row r="124" spans="2:6" ht="16" thickBot="1">
      <c r="B124" s="1333">
        <v>2019</v>
      </c>
      <c r="C124" s="1351">
        <f>'Basic Parameters and Results'!G33-D124</f>
        <v>33858154.346316092</v>
      </c>
      <c r="D124" s="1351">
        <f t="shared" si="4"/>
        <v>1820360.2285714285</v>
      </c>
      <c r="E124" s="1351">
        <f t="shared" si="2"/>
        <v>28272936.536221135</v>
      </c>
      <c r="F124" s="1351">
        <f t="shared" si="3"/>
        <v>63951451.111108661</v>
      </c>
    </row>
    <row r="125" spans="2:6" ht="16" thickBot="1">
      <c r="B125" s="1333">
        <v>2020</v>
      </c>
      <c r="C125" s="1351">
        <f>'Basic Parameters and Results'!G34-D125</f>
        <v>35198132.947913013</v>
      </c>
      <c r="D125" s="1351">
        <f t="shared" si="4"/>
        <v>1820360.2285714285</v>
      </c>
      <c r="E125" s="1351">
        <f t="shared" si="2"/>
        <v>29334783.71271513</v>
      </c>
      <c r="F125" s="1351">
        <f t="shared" si="3"/>
        <v>66353276.88919957</v>
      </c>
    </row>
    <row r="126" spans="2:6" ht="16" thickBot="1">
      <c r="B126" s="1333">
        <v>2021</v>
      </c>
      <c r="C126" s="1351">
        <f>'Basic Parameters and Results'!G35-D126</f>
        <v>36886508.738796331</v>
      </c>
      <c r="D126" s="1351">
        <f t="shared" si="4"/>
        <v>1820360.2285714285</v>
      </c>
      <c r="E126" s="1351">
        <f t="shared" si="2"/>
        <v>30672713.336571582</v>
      </c>
      <c r="F126" s="1351">
        <f t="shared" si="3"/>
        <v>69379582.303939342</v>
      </c>
    </row>
    <row r="127" spans="2:6" ht="16" thickBot="1">
      <c r="B127" s="1333">
        <v>2022</v>
      </c>
      <c r="C127" s="1351">
        <f>'Basic Parameters and Results'!G36-D127</f>
        <v>38652169.134666145</v>
      </c>
      <c r="D127" s="1351">
        <f t="shared" si="4"/>
        <v>1820360.2285714285</v>
      </c>
      <c r="E127" s="1351">
        <f t="shared" si="2"/>
        <v>32071886.057514474</v>
      </c>
      <c r="F127" s="1351">
        <f t="shared" si="3"/>
        <v>72544415.420752048</v>
      </c>
    </row>
    <row r="128" spans="2:6" ht="16" thickBot="1">
      <c r="B128" s="1333">
        <v>2023</v>
      </c>
      <c r="C128" s="1351">
        <f>'Basic Parameters and Results'!G37-D128</f>
        <v>40668065.092593506</v>
      </c>
      <c r="D128" s="1351">
        <f t="shared" si="4"/>
        <v>1820360.2285714285</v>
      </c>
      <c r="E128" s="1351">
        <f t="shared" si="2"/>
        <v>33669354.426397234</v>
      </c>
      <c r="F128" s="1351">
        <f t="shared" si="3"/>
        <v>76157779.74756217</v>
      </c>
    </row>
    <row r="129" spans="2:9" ht="16" thickBot="1">
      <c r="B129" s="1333">
        <v>2024</v>
      </c>
      <c r="C129" s="1351">
        <f>'Basic Parameters and Results'!G38-D129</f>
        <v>42838537.746031888</v>
      </c>
      <c r="D129" s="1351">
        <f t="shared" si="4"/>
        <v>1820360.2285714285</v>
      </c>
      <c r="E129" s="1351">
        <f t="shared" si="2"/>
        <v>35389314.9212621</v>
      </c>
      <c r="F129" s="1351">
        <f t="shared" si="3"/>
        <v>80048212.895865411</v>
      </c>
    </row>
    <row r="130" spans="2:9" ht="16" thickBot="1">
      <c r="B130" s="1333">
        <v>2025</v>
      </c>
      <c r="C130" s="1351">
        <f>'Basic Parameters and Results'!G39-D130</f>
        <v>45210401.860833898</v>
      </c>
      <c r="D130" s="1351">
        <f t="shared" si="4"/>
        <v>1820360.2285714285</v>
      </c>
      <c r="E130" s="1351">
        <f t="shared" si="2"/>
        <v>37268865.244176544</v>
      </c>
      <c r="F130" s="1351">
        <f t="shared" si="3"/>
        <v>84299627.333581865</v>
      </c>
    </row>
    <row r="131" spans="2:9" ht="16" thickBot="1">
      <c r="B131" s="1333">
        <v>2026</v>
      </c>
      <c r="C131" s="1351">
        <f>'Basic Parameters and Results'!G40-D131</f>
        <v>47825501.127403624</v>
      </c>
      <c r="D131" s="1351">
        <f t="shared" si="4"/>
        <v>1820360.2285714285</v>
      </c>
      <c r="E131" s="1351">
        <f t="shared" si="2"/>
        <v>39341163.838459529</v>
      </c>
      <c r="F131" s="1351">
        <f t="shared" si="3"/>
        <v>88987025.194434583</v>
      </c>
    </row>
    <row r="132" spans="2:9" ht="16" thickBot="1">
      <c r="B132" s="1333">
        <v>2027</v>
      </c>
      <c r="C132" s="1351">
        <f>'Basic Parameters and Results'!G41-D132</f>
        <v>50440303.821955904</v>
      </c>
      <c r="D132" s="1351">
        <f t="shared" si="4"/>
        <v>1820360.2285714285</v>
      </c>
      <c r="E132" s="1351">
        <f t="shared" si="2"/>
        <v>41413227.418422893</v>
      </c>
      <c r="F132" s="1351">
        <f t="shared" si="3"/>
        <v>93673891.468950227</v>
      </c>
    </row>
    <row r="133" spans="2:9" ht="16" thickBot="1">
      <c r="B133" s="1333">
        <v>2028</v>
      </c>
      <c r="C133" s="1351">
        <f>'Basic Parameters and Results'!G42-D133</f>
        <v>52931246.043754525</v>
      </c>
      <c r="D133" s="1351">
        <f t="shared" si="4"/>
        <v>1820360.2285714285</v>
      </c>
      <c r="E133" s="1351">
        <f t="shared" si="2"/>
        <v>43387139.510656565</v>
      </c>
      <c r="F133" s="1351">
        <f t="shared" si="3"/>
        <v>98138745.782982528</v>
      </c>
    </row>
    <row r="134" spans="2:9" ht="16" thickBot="1">
      <c r="B134" s="1333">
        <v>2029</v>
      </c>
      <c r="C134" s="1351">
        <f>'Basic Parameters and Results'!G43-D134</f>
        <v>55491191.233993575</v>
      </c>
      <c r="D134" s="1351">
        <f t="shared" si="4"/>
        <v>1820360.2285714285</v>
      </c>
      <c r="E134" s="1351">
        <f t="shared" si="2"/>
        <v>45415732.033697754</v>
      </c>
      <c r="F134" s="1351">
        <f t="shared" si="3"/>
        <v>102727283.49626276</v>
      </c>
    </row>
    <row r="135" spans="2:9" ht="16" thickBot="1">
      <c r="B135" s="1333">
        <v>2030</v>
      </c>
      <c r="C135" s="1351">
        <f>'Basic Parameters and Results'!G44-D135</f>
        <v>58273542.492687128</v>
      </c>
      <c r="D135" s="1351">
        <f t="shared" si="4"/>
        <v>1820360.2285714285</v>
      </c>
      <c r="E135" s="1351">
        <f t="shared" si="2"/>
        <v>47620567.114300787</v>
      </c>
      <c r="F135" s="1351">
        <f t="shared" si="3"/>
        <v>107714469.83555934</v>
      </c>
    </row>
    <row r="136" spans="2:9">
      <c r="C136" s="1354"/>
      <c r="D136" s="1355"/>
      <c r="E136" s="1361"/>
      <c r="F136" s="1355"/>
      <c r="G136" s="1355"/>
      <c r="H136" s="1361"/>
    </row>
    <row r="137" spans="2:9">
      <c r="C137" s="1354"/>
      <c r="D137" s="1355"/>
      <c r="E137" s="1361"/>
    </row>
    <row r="138" spans="2:9">
      <c r="B138" s="1326" t="s">
        <v>3832</v>
      </c>
      <c r="C138" s="1354"/>
      <c r="D138" s="1355"/>
      <c r="E138" s="1361"/>
    </row>
    <row r="139" spans="2:9">
      <c r="B139" s="1358"/>
      <c r="C139" s="1354"/>
      <c r="D139" s="1355"/>
      <c r="E139" s="1361"/>
    </row>
    <row r="140" spans="2:9">
      <c r="B140" s="1567" t="s">
        <v>3732</v>
      </c>
      <c r="C140" s="1567"/>
      <c r="D140" s="1567"/>
      <c r="E140" s="1567"/>
      <c r="F140" s="1567"/>
      <c r="G140" s="1567"/>
    </row>
    <row r="141" spans="2:9">
      <c r="C141" s="1389" t="s">
        <v>3733</v>
      </c>
      <c r="D141" s="1390" t="s">
        <v>3734</v>
      </c>
      <c r="E141" s="1391" t="s">
        <v>3735</v>
      </c>
      <c r="F141" s="1343" t="s">
        <v>3736</v>
      </c>
      <c r="G141" s="1343" t="s">
        <v>3737</v>
      </c>
    </row>
    <row r="142" spans="2:9">
      <c r="B142" s="1327" t="s">
        <v>3738</v>
      </c>
      <c r="C142" s="1362">
        <v>0.56999999999999995</v>
      </c>
      <c r="D142" s="1362">
        <v>0.17</v>
      </c>
      <c r="E142" s="1362">
        <v>0.09</v>
      </c>
      <c r="F142" s="1362">
        <v>0.02</v>
      </c>
      <c r="G142" s="1362">
        <v>0.15</v>
      </c>
    </row>
    <row r="144" spans="2:9">
      <c r="B144" s="1567" t="s">
        <v>3809</v>
      </c>
      <c r="C144" s="1567"/>
      <c r="D144" s="1567"/>
      <c r="E144" s="1567"/>
      <c r="F144" s="1567"/>
      <c r="G144" s="1567"/>
      <c r="H144" s="1567"/>
      <c r="I144" s="1567"/>
    </row>
    <row r="145" spans="2:15" ht="16" thickBot="1">
      <c r="B145" s="1343" t="s">
        <v>3</v>
      </c>
      <c r="C145" s="1343" t="s">
        <v>3739</v>
      </c>
      <c r="D145" s="1343" t="s">
        <v>3730</v>
      </c>
      <c r="E145" s="1343" t="s">
        <v>3729</v>
      </c>
      <c r="F145" s="1343" t="s">
        <v>3678</v>
      </c>
      <c r="G145" s="1343" t="s">
        <v>3691</v>
      </c>
      <c r="H145" s="1343" t="s">
        <v>3690</v>
      </c>
      <c r="I145" s="1343" t="s">
        <v>3740</v>
      </c>
    </row>
    <row r="146" spans="2:15" ht="16" thickBot="1">
      <c r="B146" s="1333">
        <v>2017</v>
      </c>
      <c r="C146" s="1351">
        <f>'Basic Parameters and Results'!G31</f>
        <v>32816417.217500005</v>
      </c>
      <c r="D146" s="1351">
        <f t="shared" ref="D146:D159" si="5">D122</f>
        <v>1917560.2285714285</v>
      </c>
      <c r="E146" s="1351">
        <f t="shared" ref="E146:E159" si="6">C122</f>
        <v>30898856.988928575</v>
      </c>
      <c r="F146" s="1351">
        <f t="shared" ref="F146:F159" si="7">$E146*$C$142</f>
        <v>17612348.483689286</v>
      </c>
      <c r="G146" s="1351">
        <f t="shared" ref="G146:G159" si="8">$E146*D$142</f>
        <v>5252805.688117858</v>
      </c>
      <c r="H146" s="1351">
        <f t="shared" ref="H146:H159" si="9">$E146*(E$142+F$142)</f>
        <v>3398874.2687821435</v>
      </c>
      <c r="I146" s="1351">
        <f t="shared" ref="I146:I159" si="10">$E146*G$142</f>
        <v>4634828.5483392859</v>
      </c>
      <c r="K146" s="1355"/>
      <c r="L146" s="1355"/>
      <c r="M146" s="1355"/>
      <c r="N146" s="1355"/>
      <c r="O146" s="1355"/>
    </row>
    <row r="147" spans="2:15" ht="16" thickBot="1">
      <c r="B147" s="1333">
        <v>2018</v>
      </c>
      <c r="C147" s="1351">
        <f>'Basic Parameters and Results'!G32</f>
        <v>34678607.786722623</v>
      </c>
      <c r="D147" s="1351">
        <f t="shared" si="5"/>
        <v>1820360.2285714285</v>
      </c>
      <c r="E147" s="1351">
        <f t="shared" si="6"/>
        <v>32858247.558151193</v>
      </c>
      <c r="F147" s="1351">
        <f t="shared" si="7"/>
        <v>18729201.108146179</v>
      </c>
      <c r="G147" s="1351">
        <f t="shared" si="8"/>
        <v>5585902.0848857034</v>
      </c>
      <c r="H147" s="1351">
        <f t="shared" si="9"/>
        <v>3614407.2313966313</v>
      </c>
      <c r="I147" s="1351">
        <f t="shared" si="10"/>
        <v>4928737.1337226788</v>
      </c>
      <c r="K147" s="1355"/>
      <c r="L147" s="1355"/>
      <c r="M147" s="1355"/>
      <c r="N147" s="1355"/>
      <c r="O147" s="1355"/>
    </row>
    <row r="148" spans="2:15" ht="16" thickBot="1">
      <c r="B148" s="1333">
        <v>2019</v>
      </c>
      <c r="C148" s="1351">
        <f>'Basic Parameters and Results'!G33</f>
        <v>35678514.574887522</v>
      </c>
      <c r="D148" s="1351">
        <f t="shared" si="5"/>
        <v>1820360.2285714285</v>
      </c>
      <c r="E148" s="1351">
        <f t="shared" si="6"/>
        <v>33858154.346316092</v>
      </c>
      <c r="F148" s="1351">
        <f t="shared" si="7"/>
        <v>19299147.977400169</v>
      </c>
      <c r="G148" s="1351">
        <f t="shared" si="8"/>
        <v>5755886.238873736</v>
      </c>
      <c r="H148" s="1351">
        <f t="shared" si="9"/>
        <v>3724396.9780947701</v>
      </c>
      <c r="I148" s="1351">
        <f t="shared" si="10"/>
        <v>5078723.1519474136</v>
      </c>
      <c r="K148" s="1355"/>
      <c r="L148" s="1355"/>
      <c r="M148" s="1355"/>
      <c r="N148" s="1355"/>
      <c r="O148" s="1355"/>
    </row>
    <row r="149" spans="2:15" ht="16" thickBot="1">
      <c r="B149" s="1333">
        <v>2020</v>
      </c>
      <c r="C149" s="1351">
        <f>'Basic Parameters and Results'!G34</f>
        <v>37018493.176484443</v>
      </c>
      <c r="D149" s="1351">
        <f t="shared" si="5"/>
        <v>1820360.2285714285</v>
      </c>
      <c r="E149" s="1351">
        <f t="shared" si="6"/>
        <v>35198132.947913013</v>
      </c>
      <c r="F149" s="1351">
        <f t="shared" si="7"/>
        <v>20062935.780310415</v>
      </c>
      <c r="G149" s="1351">
        <f t="shared" si="8"/>
        <v>5983682.6011452125</v>
      </c>
      <c r="H149" s="1351">
        <f t="shared" si="9"/>
        <v>3871794.6242704317</v>
      </c>
      <c r="I149" s="1351">
        <f t="shared" si="10"/>
        <v>5279719.9421869516</v>
      </c>
      <c r="K149" s="1355"/>
      <c r="L149" s="1355"/>
      <c r="M149" s="1355"/>
      <c r="N149" s="1355"/>
      <c r="O149" s="1355"/>
    </row>
    <row r="150" spans="2:15" ht="16" thickBot="1">
      <c r="B150" s="1333">
        <v>2021</v>
      </c>
      <c r="C150" s="1351">
        <f>'Basic Parameters and Results'!G35</f>
        <v>38706868.967367761</v>
      </c>
      <c r="D150" s="1351">
        <f t="shared" si="5"/>
        <v>1820360.2285714285</v>
      </c>
      <c r="E150" s="1351">
        <f t="shared" si="6"/>
        <v>36886508.738796331</v>
      </c>
      <c r="F150" s="1351">
        <f t="shared" si="7"/>
        <v>21025309.981113907</v>
      </c>
      <c r="G150" s="1351">
        <f t="shared" si="8"/>
        <v>6270706.4855953772</v>
      </c>
      <c r="H150" s="1351">
        <f t="shared" si="9"/>
        <v>4057515.9612675966</v>
      </c>
      <c r="I150" s="1351">
        <f t="shared" si="10"/>
        <v>5532976.3108194498</v>
      </c>
      <c r="K150" s="1355"/>
      <c r="L150" s="1355"/>
      <c r="M150" s="1355"/>
      <c r="N150" s="1355"/>
      <c r="O150" s="1355"/>
    </row>
    <row r="151" spans="2:15" ht="16" thickBot="1">
      <c r="B151" s="1333">
        <v>2022</v>
      </c>
      <c r="C151" s="1351">
        <f>'Basic Parameters and Results'!G36</f>
        <v>40472529.363237575</v>
      </c>
      <c r="D151" s="1351">
        <f t="shared" si="5"/>
        <v>1820360.2285714285</v>
      </c>
      <c r="E151" s="1351">
        <f t="shared" si="6"/>
        <v>38652169.134666145</v>
      </c>
      <c r="F151" s="1351">
        <f t="shared" si="7"/>
        <v>22031736.406759702</v>
      </c>
      <c r="G151" s="1351">
        <f t="shared" si="8"/>
        <v>6570868.7528932448</v>
      </c>
      <c r="H151" s="1351">
        <f t="shared" si="9"/>
        <v>4251738.6048132759</v>
      </c>
      <c r="I151" s="1351">
        <f t="shared" si="10"/>
        <v>5797825.3701999215</v>
      </c>
      <c r="K151" s="1355"/>
      <c r="L151" s="1355"/>
      <c r="M151" s="1355"/>
      <c r="N151" s="1355"/>
      <c r="O151" s="1355"/>
    </row>
    <row r="152" spans="2:15" ht="16" thickBot="1">
      <c r="B152" s="1333">
        <v>2023</v>
      </c>
      <c r="C152" s="1351">
        <f>'Basic Parameters and Results'!G37</f>
        <v>42488425.321164936</v>
      </c>
      <c r="D152" s="1351">
        <f t="shared" si="5"/>
        <v>1820360.2285714285</v>
      </c>
      <c r="E152" s="1351">
        <f t="shared" si="6"/>
        <v>40668065.092593506</v>
      </c>
      <c r="F152" s="1351">
        <f t="shared" si="7"/>
        <v>23180797.102778297</v>
      </c>
      <c r="G152" s="1351">
        <f t="shared" si="8"/>
        <v>6913571.0657408964</v>
      </c>
      <c r="H152" s="1351">
        <f t="shared" si="9"/>
        <v>4473487.1601852858</v>
      </c>
      <c r="I152" s="1351">
        <f t="shared" si="10"/>
        <v>6100209.7638890259</v>
      </c>
      <c r="K152" s="1355"/>
      <c r="L152" s="1355"/>
      <c r="M152" s="1355"/>
      <c r="N152" s="1355"/>
      <c r="O152" s="1355"/>
    </row>
    <row r="153" spans="2:15" ht="16" thickBot="1">
      <c r="B153" s="1333">
        <v>2024</v>
      </c>
      <c r="C153" s="1351">
        <f>'Basic Parameters and Results'!G38</f>
        <v>44658897.974603318</v>
      </c>
      <c r="D153" s="1351">
        <f t="shared" si="5"/>
        <v>1820360.2285714285</v>
      </c>
      <c r="E153" s="1351">
        <f t="shared" si="6"/>
        <v>42838537.746031888</v>
      </c>
      <c r="F153" s="1351">
        <f t="shared" si="7"/>
        <v>24417966.515238173</v>
      </c>
      <c r="G153" s="1351">
        <f t="shared" si="8"/>
        <v>7282551.4168254212</v>
      </c>
      <c r="H153" s="1351">
        <f t="shared" si="9"/>
        <v>4712239.1520635076</v>
      </c>
      <c r="I153" s="1351">
        <f t="shared" si="10"/>
        <v>6425780.661904783</v>
      </c>
      <c r="K153" s="1355"/>
      <c r="L153" s="1355"/>
      <c r="M153" s="1355"/>
      <c r="N153" s="1355"/>
      <c r="O153" s="1355"/>
    </row>
    <row r="154" spans="2:15" ht="16" thickBot="1">
      <c r="B154" s="1333">
        <v>2025</v>
      </c>
      <c r="C154" s="1351">
        <f>'Basic Parameters and Results'!G39</f>
        <v>47030762.089405328</v>
      </c>
      <c r="D154" s="1351">
        <f t="shared" si="5"/>
        <v>1820360.2285714285</v>
      </c>
      <c r="E154" s="1351">
        <f t="shared" si="6"/>
        <v>45210401.860833898</v>
      </c>
      <c r="F154" s="1351">
        <f t="shared" si="7"/>
        <v>25769929.060675319</v>
      </c>
      <c r="G154" s="1351">
        <f t="shared" si="8"/>
        <v>7685768.3163417634</v>
      </c>
      <c r="H154" s="1351">
        <f t="shared" si="9"/>
        <v>4973144.2046917286</v>
      </c>
      <c r="I154" s="1351">
        <f t="shared" si="10"/>
        <v>6781560.2791250842</v>
      </c>
      <c r="K154" s="1355"/>
      <c r="L154" s="1355"/>
      <c r="M154" s="1355"/>
      <c r="N154" s="1355"/>
      <c r="O154" s="1355"/>
    </row>
    <row r="155" spans="2:15" ht="16" thickBot="1">
      <c r="B155" s="1333">
        <v>2026</v>
      </c>
      <c r="C155" s="1351">
        <f>'Basic Parameters and Results'!G40</f>
        <v>49645861.355975054</v>
      </c>
      <c r="D155" s="1351">
        <f t="shared" si="5"/>
        <v>1820360.2285714285</v>
      </c>
      <c r="E155" s="1351">
        <f t="shared" si="6"/>
        <v>47825501.127403624</v>
      </c>
      <c r="F155" s="1351">
        <f t="shared" si="7"/>
        <v>27260535.642620064</v>
      </c>
      <c r="G155" s="1351">
        <f t="shared" si="8"/>
        <v>8130335.191658617</v>
      </c>
      <c r="H155" s="1351">
        <f t="shared" si="9"/>
        <v>5260805.124014399</v>
      </c>
      <c r="I155" s="1351">
        <f t="shared" si="10"/>
        <v>7173825.1691105431</v>
      </c>
      <c r="K155" s="1355"/>
      <c r="L155" s="1355"/>
      <c r="M155" s="1355"/>
      <c r="N155" s="1355"/>
      <c r="O155" s="1355"/>
    </row>
    <row r="156" spans="2:15" ht="16" thickBot="1">
      <c r="B156" s="1333">
        <v>2027</v>
      </c>
      <c r="C156" s="1351">
        <f>'Basic Parameters and Results'!G41</f>
        <v>52260664.050527334</v>
      </c>
      <c r="D156" s="1351">
        <f t="shared" si="5"/>
        <v>1820360.2285714285</v>
      </c>
      <c r="E156" s="1351">
        <f t="shared" si="6"/>
        <v>50440303.821955904</v>
      </c>
      <c r="F156" s="1351">
        <f t="shared" si="7"/>
        <v>28750973.178514864</v>
      </c>
      <c r="G156" s="1351">
        <f t="shared" si="8"/>
        <v>8574851.649732504</v>
      </c>
      <c r="H156" s="1351">
        <f t="shared" si="9"/>
        <v>5548433.4204151491</v>
      </c>
      <c r="I156" s="1351">
        <f t="shared" si="10"/>
        <v>7566045.5732933851</v>
      </c>
      <c r="K156" s="1355"/>
      <c r="L156" s="1355"/>
      <c r="M156" s="1355"/>
      <c r="N156" s="1355"/>
      <c r="O156" s="1355"/>
    </row>
    <row r="157" spans="2:15" ht="16" thickBot="1">
      <c r="B157" s="1333">
        <v>2028</v>
      </c>
      <c r="C157" s="1351">
        <f>'Basic Parameters and Results'!G42</f>
        <v>54751606.272325955</v>
      </c>
      <c r="D157" s="1351">
        <f t="shared" si="5"/>
        <v>1820360.2285714285</v>
      </c>
      <c r="E157" s="1351">
        <f t="shared" si="6"/>
        <v>52931246.043754525</v>
      </c>
      <c r="F157" s="1351">
        <f t="shared" si="7"/>
        <v>30170810.244940076</v>
      </c>
      <c r="G157" s="1351">
        <f t="shared" si="8"/>
        <v>8998311.8274382707</v>
      </c>
      <c r="H157" s="1351">
        <f t="shared" si="9"/>
        <v>5822437.0648129983</v>
      </c>
      <c r="I157" s="1351">
        <f t="shared" si="10"/>
        <v>7939686.9065631786</v>
      </c>
      <c r="K157" s="1355"/>
      <c r="L157" s="1355"/>
      <c r="M157" s="1355"/>
      <c r="N157" s="1355"/>
      <c r="O157" s="1355"/>
    </row>
    <row r="158" spans="2:15" ht="16" thickBot="1">
      <c r="B158" s="1333">
        <v>2029</v>
      </c>
      <c r="C158" s="1351">
        <f>'Basic Parameters and Results'!G43</f>
        <v>57311551.462565005</v>
      </c>
      <c r="D158" s="1351">
        <f t="shared" si="5"/>
        <v>1820360.2285714285</v>
      </c>
      <c r="E158" s="1351">
        <f t="shared" si="6"/>
        <v>55491191.233993575</v>
      </c>
      <c r="F158" s="1351">
        <f t="shared" si="7"/>
        <v>31629979.003376335</v>
      </c>
      <c r="G158" s="1351">
        <f t="shared" si="8"/>
        <v>9433502.5097789075</v>
      </c>
      <c r="H158" s="1351">
        <f t="shared" si="9"/>
        <v>6104031.0357392933</v>
      </c>
      <c r="I158" s="1351">
        <f t="shared" si="10"/>
        <v>8323678.6850990355</v>
      </c>
      <c r="K158" s="1355"/>
      <c r="L158" s="1355"/>
      <c r="M158" s="1355"/>
      <c r="N158" s="1355"/>
      <c r="O158" s="1355"/>
    </row>
    <row r="159" spans="2:15" ht="16" thickBot="1">
      <c r="B159" s="1333">
        <v>2030</v>
      </c>
      <c r="C159" s="1351">
        <f>'Basic Parameters and Results'!G44</f>
        <v>60093902.721258558</v>
      </c>
      <c r="D159" s="1351">
        <f t="shared" si="5"/>
        <v>1820360.2285714285</v>
      </c>
      <c r="E159" s="1351">
        <f t="shared" si="6"/>
        <v>58273542.492687128</v>
      </c>
      <c r="F159" s="1351">
        <f t="shared" si="7"/>
        <v>33215919.220831659</v>
      </c>
      <c r="G159" s="1351">
        <f t="shared" si="8"/>
        <v>9906502.2237568125</v>
      </c>
      <c r="H159" s="1351">
        <f t="shared" si="9"/>
        <v>6410089.6741955839</v>
      </c>
      <c r="I159" s="1351">
        <f t="shared" si="10"/>
        <v>8741031.3739030696</v>
      </c>
      <c r="K159" s="1355"/>
      <c r="L159" s="1355"/>
      <c r="M159" s="1355"/>
      <c r="N159" s="1355"/>
      <c r="O159" s="1355"/>
    </row>
    <row r="160" spans="2:15">
      <c r="C160" s="1355"/>
      <c r="D160" s="1355"/>
      <c r="E160" s="1355"/>
      <c r="F160" s="1355"/>
      <c r="G160" s="1355"/>
      <c r="H160" s="1355"/>
      <c r="I160" s="1355"/>
      <c r="J160" s="1355"/>
      <c r="K160" s="1355"/>
      <c r="L160" s="1355"/>
      <c r="M160" s="1355"/>
      <c r="N160" s="1355"/>
      <c r="O160" s="1355"/>
    </row>
    <row r="162" spans="2:11">
      <c r="B162" s="1326" t="s">
        <v>3741</v>
      </c>
    </row>
    <row r="163" spans="2:11">
      <c r="E163" s="1355"/>
      <c r="I163" s="1363"/>
    </row>
    <row r="164" spans="2:11">
      <c r="B164" s="1326" t="s">
        <v>3795</v>
      </c>
    </row>
    <row r="165" spans="2:11">
      <c r="B165" s="1327" t="s">
        <v>3744</v>
      </c>
      <c r="D165" s="1361">
        <f>F122</f>
        <v>58821325.000000007</v>
      </c>
      <c r="F165" s="1355"/>
    </row>
    <row r="166" spans="2:11">
      <c r="B166" s="1327" t="s">
        <v>3745</v>
      </c>
      <c r="D166" s="1359">
        <v>66519116</v>
      </c>
      <c r="F166" s="1355"/>
      <c r="G166" s="1397"/>
    </row>
    <row r="167" spans="2:11">
      <c r="B167" s="1327" t="s">
        <v>3746</v>
      </c>
      <c r="D167" s="1359">
        <f>D166-D165</f>
        <v>7697790.9999999925</v>
      </c>
    </row>
    <row r="168" spans="2:11">
      <c r="B168" s="1327" t="s">
        <v>3885</v>
      </c>
      <c r="D168" s="1414">
        <f>D167/D165</f>
        <v>0.1308673512539881</v>
      </c>
      <c r="E168" s="1414"/>
    </row>
    <row r="169" spans="2:11">
      <c r="B169" s="1327" t="s">
        <v>3884</v>
      </c>
      <c r="D169" s="1365">
        <v>9.2399999999999996E-2</v>
      </c>
    </row>
    <row r="170" spans="2:11">
      <c r="B170" s="1327" t="s">
        <v>3883</v>
      </c>
      <c r="D170" s="1364">
        <f>(D168-D169)/3</f>
        <v>1.2822450417996034E-2</v>
      </c>
    </row>
    <row r="171" spans="2:11">
      <c r="D171" s="1364"/>
    </row>
    <row r="172" spans="2:11" ht="16" thickBot="1">
      <c r="B172" s="1343" t="s">
        <v>3</v>
      </c>
      <c r="C172" s="1343" t="s">
        <v>3747</v>
      </c>
      <c r="D172" s="1343" t="s">
        <v>3852</v>
      </c>
      <c r="E172" s="1343" t="s">
        <v>3853</v>
      </c>
      <c r="F172" s="1451" t="s">
        <v>3847</v>
      </c>
      <c r="G172" s="1343" t="s">
        <v>3748</v>
      </c>
      <c r="H172" s="1343" t="s">
        <v>3750</v>
      </c>
      <c r="I172" s="1327" t="s">
        <v>3908</v>
      </c>
      <c r="K172" s="1343"/>
    </row>
    <row r="173" spans="2:11" ht="16" thickBot="1">
      <c r="B173" s="1333">
        <v>2017</v>
      </c>
      <c r="C173" s="1351">
        <f t="shared" ref="C173:C186" si="11">F122</f>
        <v>58821325.000000007</v>
      </c>
      <c r="D173" s="1327">
        <f>'FE Improvement &amp; EVs'!G41</f>
        <v>0</v>
      </c>
      <c r="E173" s="1351">
        <f t="shared" ref="E173:E186" si="12">C173+D173</f>
        <v>58821325.000000007</v>
      </c>
      <c r="F173" s="1410">
        <f>'Basic Parameters and Results'!E47</f>
        <v>0.1308673512539881</v>
      </c>
      <c r="G173" s="1350">
        <f>E173+(E173*'Basic Parameters and Results'!E47)</f>
        <v>66519116</v>
      </c>
      <c r="H173" s="1351">
        <f>E173*(($D$168-'Basic Parameters and Results'!$E47))</f>
        <v>0</v>
      </c>
      <c r="I173" s="1458">
        <f t="shared" ref="I173:I186" si="13">(F173*C173)/(C173+(C173*F173))</f>
        <v>0.11572299006499114</v>
      </c>
      <c r="K173" s="1363"/>
    </row>
    <row r="174" spans="2:11" ht="16" thickBot="1">
      <c r="B174" s="1333">
        <v>2018</v>
      </c>
      <c r="C174" s="1351">
        <f t="shared" si="11"/>
        <v>62159182.266934261</v>
      </c>
      <c r="D174" s="1327">
        <f>'FE Improvement &amp; EVs'!H41</f>
        <v>0</v>
      </c>
      <c r="E174" s="1351">
        <f t="shared" si="12"/>
        <v>62159182.266934261</v>
      </c>
      <c r="F174" s="1410">
        <f>'Basic Parameters and Results'!E48</f>
        <v>0.11804490083599206</v>
      </c>
      <c r="G174" s="1350">
        <f>E174*(1+'Basic Parameters and Results'!E48)</f>
        <v>69496756.773680866</v>
      </c>
      <c r="H174" s="1351">
        <f>E174*(($D$168-'Basic Parameters and Results'!$E48))</f>
        <v>797033.03264094319</v>
      </c>
      <c r="I174" s="1458">
        <f t="shared" si="13"/>
        <v>0.10558153858376058</v>
      </c>
      <c r="K174" s="1363"/>
    </row>
    <row r="175" spans="2:11" ht="16" thickBot="1">
      <c r="B175" s="1333">
        <v>2019</v>
      </c>
      <c r="C175" s="1351">
        <f t="shared" si="11"/>
        <v>63951451.111108661</v>
      </c>
      <c r="D175" s="1355">
        <f>'FE Improvement &amp; EVs'!I$41</f>
        <v>21404.559248791931</v>
      </c>
      <c r="E175" s="1351">
        <f t="shared" si="12"/>
        <v>63972855.670357451</v>
      </c>
      <c r="F175" s="1410">
        <f>'Basic Parameters and Results'!E49</f>
        <v>0.10522245041799602</v>
      </c>
      <c r="G175" s="1350">
        <f>E175*(1+'Basic Parameters and Results'!E49)</f>
        <v>70704236.304229245</v>
      </c>
      <c r="H175" s="1351">
        <f>E175*(($D$168-'Basic Parameters and Results'!$E49))</f>
        <v>1640577.5398615503</v>
      </c>
      <c r="I175" s="1458">
        <f t="shared" si="13"/>
        <v>9.5204771110287162E-2</v>
      </c>
      <c r="K175" s="1363"/>
    </row>
    <row r="176" spans="2:11" ht="16" thickBot="1">
      <c r="B176" s="1333">
        <v>2020</v>
      </c>
      <c r="C176" s="1351">
        <f t="shared" si="11"/>
        <v>66353276.88919957</v>
      </c>
      <c r="D176" s="1355">
        <f>'FE Improvement &amp; EVs'!J$41</f>
        <v>64213.67774637579</v>
      </c>
      <c r="E176" s="1351">
        <f t="shared" si="12"/>
        <v>66417490.566945948</v>
      </c>
      <c r="F176" s="1410">
        <f>'Basic Parameters and Results'!E50</f>
        <v>9.9000000000000005E-2</v>
      </c>
      <c r="G176" s="1350">
        <f>E176*(1+'Basic Parameters and Results'!E50)</f>
        <v>72992822.133073598</v>
      </c>
      <c r="H176" s="1351">
        <f>E176*(($D$168-'Basic Parameters and Results'!$E50))</f>
        <v>2116549.5013053077</v>
      </c>
      <c r="I176" s="1458">
        <f t="shared" si="13"/>
        <v>9.0081892629663332E-2</v>
      </c>
      <c r="K176" s="1363"/>
    </row>
    <row r="177" spans="2:11" ht="16" thickBot="1">
      <c r="B177" s="1333">
        <v>2021</v>
      </c>
      <c r="C177" s="1351">
        <f t="shared" si="11"/>
        <v>69379582.303939342</v>
      </c>
      <c r="D177" s="1355">
        <f>'FE Improvement &amp; EVs'!K$41</f>
        <v>128427.35549275158</v>
      </c>
      <c r="E177" s="1351">
        <f t="shared" si="12"/>
        <v>69508009.659432098</v>
      </c>
      <c r="F177" s="1410">
        <f>'Basic Parameters and Results'!E51</f>
        <v>9.9000000000000005E-2</v>
      </c>
      <c r="G177" s="1350">
        <f>E177*(1+'Basic Parameters and Results'!E51)</f>
        <v>76389302.615715876</v>
      </c>
      <c r="H177" s="1351">
        <f>E177*(($D$168-'Basic Parameters and Results'!$E51))</f>
        <v>2215036.1587827201</v>
      </c>
      <c r="I177" s="1458">
        <f t="shared" si="13"/>
        <v>9.0081892629663346E-2</v>
      </c>
      <c r="K177" s="1363"/>
    </row>
    <row r="178" spans="2:11" ht="16" thickBot="1">
      <c r="B178" s="1333">
        <v>2022</v>
      </c>
      <c r="C178" s="1351">
        <f t="shared" si="11"/>
        <v>72544415.420752048</v>
      </c>
      <c r="D178" s="1355">
        <f>'FE Improvement &amp; EVs'!L$41</f>
        <v>214045.59248791929</v>
      </c>
      <c r="E178" s="1351">
        <f t="shared" si="12"/>
        <v>72758461.013239965</v>
      </c>
      <c r="F178" s="1410">
        <f>'Basic Parameters and Results'!E52</f>
        <v>9.9000000000000005E-2</v>
      </c>
      <c r="G178" s="1350">
        <f>E178*(1+'Basic Parameters and Results'!E52)</f>
        <v>79961548.653550714</v>
      </c>
      <c r="H178" s="1351">
        <f>E178*(($D$168-'Basic Parameters and Results'!$E52))</f>
        <v>2318619.4338085167</v>
      </c>
      <c r="I178" s="1458">
        <f t="shared" si="13"/>
        <v>9.0081892629663346E-2</v>
      </c>
      <c r="K178" s="1363"/>
    </row>
    <row r="179" spans="2:11" ht="16" thickBot="1">
      <c r="B179" s="1333">
        <v>2023</v>
      </c>
      <c r="C179" s="1351">
        <f t="shared" si="11"/>
        <v>76157779.74756217</v>
      </c>
      <c r="D179" s="1355">
        <f>'FE Improvement &amp; EVs'!M$41</f>
        <v>321068.38873187901</v>
      </c>
      <c r="E179" s="1351">
        <f t="shared" si="12"/>
        <v>76478848.136294052</v>
      </c>
      <c r="F179" s="1410">
        <f>'Basic Parameters and Results'!E53</f>
        <v>9.9000000000000005E-2</v>
      </c>
      <c r="G179" s="1350">
        <f>E179*(1+'Basic Parameters and Results'!E53)</f>
        <v>84050254.101787165</v>
      </c>
      <c r="H179" s="1351">
        <f>E179*(($D$168-'Basic Parameters and Results'!$E53))</f>
        <v>2437178.3170596953</v>
      </c>
      <c r="I179" s="1458">
        <f t="shared" si="13"/>
        <v>9.0081892629663332E-2</v>
      </c>
      <c r="K179" s="1363"/>
    </row>
    <row r="180" spans="2:11" ht="16" thickBot="1">
      <c r="B180" s="1333">
        <v>2024</v>
      </c>
      <c r="C180" s="1351">
        <f t="shared" si="11"/>
        <v>80048212.895865411</v>
      </c>
      <c r="D180" s="1355">
        <f>'FE Improvement &amp; EVs'!N$41</f>
        <v>449495.74422463053</v>
      </c>
      <c r="E180" s="1351">
        <f t="shared" si="12"/>
        <v>80497708.640090048</v>
      </c>
      <c r="F180" s="1410">
        <f>'Basic Parameters and Results'!E54</f>
        <v>9.9000000000000005E-2</v>
      </c>
      <c r="G180" s="1350">
        <f>E180*(1+'Basic Parameters and Results'!E54)</f>
        <v>88466981.795458958</v>
      </c>
      <c r="H180" s="1351">
        <f>E180*(($D$168-'Basic Parameters and Results'!$E54))</f>
        <v>2565248.7563749421</v>
      </c>
      <c r="I180" s="1458">
        <f t="shared" si="13"/>
        <v>9.0081892629663332E-2</v>
      </c>
      <c r="K180" s="1363"/>
    </row>
    <row r="181" spans="2:11" ht="16" thickBot="1">
      <c r="B181" s="1333">
        <v>2025</v>
      </c>
      <c r="C181" s="1351">
        <f t="shared" si="11"/>
        <v>84299627.333581865</v>
      </c>
      <c r="D181" s="1355">
        <f>'FE Improvement &amp; EVs'!O$41</f>
        <v>599327.65896617412</v>
      </c>
      <c r="E181" s="1351">
        <f t="shared" si="12"/>
        <v>84898954.992548034</v>
      </c>
      <c r="F181" s="1410">
        <f>'Basic Parameters and Results'!E55</f>
        <v>9.9000000000000005E-2</v>
      </c>
      <c r="G181" s="1350">
        <f>E181*(1+'Basic Parameters and Results'!E55)</f>
        <v>93303951.536810294</v>
      </c>
      <c r="H181" s="1351">
        <f>E181*(($D$168-'Basic Parameters and Results'!$E55))</f>
        <v>2705504.8198440545</v>
      </c>
      <c r="I181" s="1458">
        <f t="shared" si="13"/>
        <v>9.0081892629663332E-2</v>
      </c>
      <c r="K181" s="1363"/>
    </row>
    <row r="182" spans="2:11" ht="16" thickBot="1">
      <c r="B182" s="1333">
        <v>2026</v>
      </c>
      <c r="C182" s="1351">
        <f t="shared" si="11"/>
        <v>88987025.194434583</v>
      </c>
      <c r="D182" s="1355">
        <f>'FE Improvement &amp; EVs'!P$41</f>
        <v>770564.13295650959</v>
      </c>
      <c r="E182" s="1351">
        <f t="shared" si="12"/>
        <v>89757589.327391088</v>
      </c>
      <c r="F182" s="1410">
        <f>'Basic Parameters and Results'!E56</f>
        <v>9.9000000000000005E-2</v>
      </c>
      <c r="G182" s="1350">
        <f>E182*(1+'Basic Parameters and Results'!E56)</f>
        <v>98643590.670802802</v>
      </c>
      <c r="H182" s="1351">
        <f>E182*(($D$168-'Basic Parameters and Results'!$E56))</f>
        <v>2860336.6268071849</v>
      </c>
      <c r="I182" s="1458">
        <f t="shared" si="13"/>
        <v>9.0081892629663332E-2</v>
      </c>
      <c r="K182" s="1363"/>
    </row>
    <row r="183" spans="2:11" ht="16" thickBot="1">
      <c r="B183" s="1333">
        <v>2027</v>
      </c>
      <c r="C183" s="1351">
        <f t="shared" si="11"/>
        <v>93673891.468950227</v>
      </c>
      <c r="D183" s="1355">
        <f>'FE Improvement &amp; EVs'!Q$41</f>
        <v>963205.16619563696</v>
      </c>
      <c r="E183" s="1351">
        <f t="shared" si="12"/>
        <v>94637096.635145858</v>
      </c>
      <c r="F183" s="1410">
        <f>'Basic Parameters and Results'!E57</f>
        <v>9.9000000000000005E-2</v>
      </c>
      <c r="G183" s="1350">
        <f>E183*(1+'Basic Parameters and Results'!E57)</f>
        <v>104006169.20202529</v>
      </c>
      <c r="H183" s="1351">
        <f>E183*(($D$168-'Basic Parameters and Results'!$E57))</f>
        <v>3015833.6001298078</v>
      </c>
      <c r="I183" s="1458">
        <f t="shared" si="13"/>
        <v>9.0081892629663332E-2</v>
      </c>
      <c r="K183" s="1363"/>
    </row>
    <row r="184" spans="2:11" ht="16" thickBot="1">
      <c r="B184" s="1333">
        <v>2028</v>
      </c>
      <c r="C184" s="1351">
        <f t="shared" si="11"/>
        <v>98138745.782982528</v>
      </c>
      <c r="D184" s="1355">
        <f>'FE Improvement &amp; EVs'!R$41</f>
        <v>1177250.7586835562</v>
      </c>
      <c r="E184" s="1351">
        <f t="shared" si="12"/>
        <v>99315996.54166609</v>
      </c>
      <c r="F184" s="1410">
        <f>'Basic Parameters and Results'!E58</f>
        <v>9.9000000000000005E-2</v>
      </c>
      <c r="G184" s="1350">
        <f>E184*(1+'Basic Parameters and Results'!E58)</f>
        <v>109148280.19929104</v>
      </c>
      <c r="H184" s="1351">
        <f>E184*(($D$168-'Basic Parameters and Results'!$E58))</f>
        <v>3164937.7469331403</v>
      </c>
      <c r="I184" s="1458">
        <f t="shared" si="13"/>
        <v>9.0081892629663346E-2</v>
      </c>
      <c r="K184" s="1363"/>
    </row>
    <row r="185" spans="2:11" ht="16" thickBot="1">
      <c r="B185" s="1333">
        <v>2029</v>
      </c>
      <c r="C185" s="1351">
        <f t="shared" si="11"/>
        <v>102727283.49626276</v>
      </c>
      <c r="D185" s="1355">
        <f>'FE Improvement &amp; EVs'!S$41</f>
        <v>1412700.9104202674</v>
      </c>
      <c r="E185" s="1351">
        <f t="shared" si="12"/>
        <v>104139984.40668303</v>
      </c>
      <c r="F185" s="1410">
        <f>'Basic Parameters and Results'!E59</f>
        <v>9.9000000000000005E-2</v>
      </c>
      <c r="G185" s="1350">
        <f>E185*(1+'Basic Parameters and Results'!E59)</f>
        <v>114449842.86294465</v>
      </c>
      <c r="H185" s="1351">
        <f>E185*(($D$168-'Basic Parameters and Results'!$E59))</f>
        <v>3318665.4626726112</v>
      </c>
      <c r="I185" s="1458">
        <f t="shared" si="13"/>
        <v>9.0081892629663346E-2</v>
      </c>
      <c r="K185" s="1363"/>
    </row>
    <row r="186" spans="2:11" ht="16" thickBot="1">
      <c r="B186" s="1333">
        <v>2030</v>
      </c>
      <c r="C186" s="1351">
        <f t="shared" si="11"/>
        <v>107714469.83555934</v>
      </c>
      <c r="D186" s="1355">
        <f>'FE Improvement &amp; EVs'!T$41</f>
        <v>1669555.6214057705</v>
      </c>
      <c r="E186" s="1351">
        <f t="shared" si="12"/>
        <v>109384025.4569651</v>
      </c>
      <c r="F186" s="1410">
        <f>'Basic Parameters and Results'!E60</f>
        <v>9.9000000000000005E-2</v>
      </c>
      <c r="G186" s="1350">
        <f>E186*(1+'Basic Parameters and Results'!E60)</f>
        <v>120213043.97720465</v>
      </c>
      <c r="H186" s="1351">
        <f>E186*(($D$168-'Basic Parameters and Results'!$E60))</f>
        <v>3485779.1608122829</v>
      </c>
      <c r="I186" s="1458">
        <f t="shared" si="13"/>
        <v>9.0081892629663332E-2</v>
      </c>
      <c r="K186" s="1363"/>
    </row>
    <row r="187" spans="2:11">
      <c r="F187" s="1342"/>
      <c r="G187" s="1342"/>
      <c r="H187" s="1342"/>
      <c r="I187" s="1342"/>
    </row>
    <row r="188" spans="2:11">
      <c r="F188" s="1342"/>
      <c r="G188" s="1342"/>
      <c r="H188" s="1342"/>
      <c r="I188" s="1342"/>
    </row>
    <row r="189" spans="2:11" ht="16" thickBot="1">
      <c r="B189" s="1343" t="s">
        <v>3</v>
      </c>
      <c r="C189" s="1327" t="s">
        <v>3733</v>
      </c>
      <c r="D189" s="1327" t="s">
        <v>3855</v>
      </c>
      <c r="E189" s="1327" t="s">
        <v>3691</v>
      </c>
      <c r="F189" s="1342"/>
      <c r="G189" s="1342"/>
      <c r="H189" s="1342"/>
      <c r="I189" s="1342"/>
    </row>
    <row r="190" spans="2:11" ht="16" thickBot="1">
      <c r="B190" s="1333">
        <v>2017</v>
      </c>
      <c r="C190" s="1351">
        <f>SUM(E81,F81,F146,I146)</f>
        <v>25434752.942304492</v>
      </c>
      <c r="D190" s="1351">
        <f>SUM(C81,D81,G81,H81,I81,J81,L81,H146)</f>
        <v>19663336.400770169</v>
      </c>
      <c r="E190" s="1351">
        <f>SUM(K81,G146,D146)</f>
        <v>13723235.656925341</v>
      </c>
      <c r="F190" s="1342"/>
      <c r="G190" s="1342"/>
      <c r="H190" s="1342"/>
      <c r="I190" s="1342"/>
    </row>
    <row r="191" spans="2:11" ht="16" thickBot="1">
      <c r="B191" s="1333">
        <v>2018</v>
      </c>
      <c r="C191" s="1351">
        <f t="shared" ref="C191:C203" si="14">SUM(E82,F82,F147,I147)</f>
        <v>27841419.800351627</v>
      </c>
      <c r="D191" s="1351">
        <f t="shared" ref="D191:D203" si="15">SUM(C82,D82,G82,H82,I82,J82,L82,H147)</f>
        <v>20436927.847274359</v>
      </c>
      <c r="E191" s="1351">
        <f t="shared" ref="E191:E203" si="16">SUM(K82,G147,D147)</f>
        <v>13880834.619308271</v>
      </c>
      <c r="F191" s="1342"/>
      <c r="G191" s="1342"/>
      <c r="H191" s="1342"/>
      <c r="I191" s="1342"/>
    </row>
    <row r="192" spans="2:11" ht="16" thickBot="1">
      <c r="B192" s="1333">
        <v>2019</v>
      </c>
      <c r="C192" s="1351">
        <f t="shared" si="14"/>
        <v>29403017.840455368</v>
      </c>
      <c r="D192" s="1351">
        <f t="shared" si="15"/>
        <v>20708823.042191915</v>
      </c>
      <c r="E192" s="1351">
        <f t="shared" si="16"/>
        <v>13839610.22846137</v>
      </c>
      <c r="F192" s="1342"/>
      <c r="G192" s="1342"/>
      <c r="H192" s="1342"/>
      <c r="I192" s="1342"/>
    </row>
    <row r="193" spans="2:9" ht="16" thickBot="1">
      <c r="B193" s="1333">
        <v>2020</v>
      </c>
      <c r="C193" s="1351">
        <f t="shared" si="14"/>
        <v>31206570.568156444</v>
      </c>
      <c r="D193" s="1351">
        <f t="shared" si="15"/>
        <v>21202444.547048416</v>
      </c>
      <c r="E193" s="1351">
        <f t="shared" si="16"/>
        <v>13944261.773994705</v>
      </c>
      <c r="F193" s="1342"/>
      <c r="G193" s="1342"/>
      <c r="H193" s="1342"/>
      <c r="I193" s="1342"/>
    </row>
    <row r="194" spans="2:9" ht="16" thickBot="1">
      <c r="B194" s="1333">
        <v>2021</v>
      </c>
      <c r="C194" s="1351">
        <f t="shared" si="14"/>
        <v>33321200.943266857</v>
      </c>
      <c r="D194" s="1351">
        <f t="shared" si="15"/>
        <v>21843018.469087373</v>
      </c>
      <c r="E194" s="1351">
        <f t="shared" si="16"/>
        <v>14215362.89158511</v>
      </c>
      <c r="F194" s="1342"/>
      <c r="G194" s="1342"/>
      <c r="H194" s="1342"/>
      <c r="I194" s="1342"/>
    </row>
    <row r="195" spans="2:9" ht="16" thickBot="1">
      <c r="B195" s="1333">
        <v>2022</v>
      </c>
      <c r="C195" s="1351">
        <f t="shared" si="14"/>
        <v>35555398.464151315</v>
      </c>
      <c r="D195" s="1351">
        <f t="shared" si="15"/>
        <v>22418058.586752743</v>
      </c>
      <c r="E195" s="1351">
        <f t="shared" si="16"/>
        <v>14570958.369847987</v>
      </c>
      <c r="F195" s="1342"/>
      <c r="G195" s="1342"/>
      <c r="H195" s="1342"/>
      <c r="I195" s="1342"/>
    </row>
    <row r="196" spans="2:9" ht="16" thickBot="1">
      <c r="B196" s="1333">
        <v>2023</v>
      </c>
      <c r="C196" s="1351">
        <f t="shared" si="14"/>
        <v>38036827.250568822</v>
      </c>
      <c r="D196" s="1351">
        <f t="shared" si="15"/>
        <v>23100524.846274659</v>
      </c>
      <c r="E196" s="1351">
        <f t="shared" si="16"/>
        <v>15020427.650718691</v>
      </c>
      <c r="F196" s="1342"/>
      <c r="G196" s="1342"/>
      <c r="H196" s="1342"/>
      <c r="I196" s="1342"/>
    </row>
    <row r="197" spans="2:9" ht="16" thickBot="1">
      <c r="B197" s="1333">
        <v>2024</v>
      </c>
      <c r="C197" s="1351">
        <f t="shared" si="14"/>
        <v>40680065.95652324</v>
      </c>
      <c r="D197" s="1351">
        <f t="shared" si="15"/>
        <v>23845310.774059981</v>
      </c>
      <c r="E197" s="1351">
        <f t="shared" si="16"/>
        <v>15522836.16528219</v>
      </c>
      <c r="F197" s="1342"/>
      <c r="G197" s="1342"/>
      <c r="H197" s="1342"/>
      <c r="I197" s="1342"/>
    </row>
    <row r="198" spans="2:9" ht="16" thickBot="1">
      <c r="B198" s="1333">
        <v>2025</v>
      </c>
      <c r="C198" s="1351">
        <f t="shared" si="14"/>
        <v>43527818.464598984</v>
      </c>
      <c r="D198" s="1351">
        <f t="shared" si="15"/>
        <v>24686386.949042968</v>
      </c>
      <c r="E198" s="1351">
        <f t="shared" si="16"/>
        <v>16085421.919939922</v>
      </c>
      <c r="F198" s="1342"/>
      <c r="G198" s="1342"/>
      <c r="H198" s="1342"/>
      <c r="I198" s="1342"/>
    </row>
    <row r="199" spans="2:9" ht="16" thickBot="1">
      <c r="B199" s="1333">
        <v>2026</v>
      </c>
      <c r="C199" s="1351">
        <f t="shared" si="14"/>
        <v>46625453.754051104</v>
      </c>
      <c r="D199" s="1351">
        <f t="shared" si="15"/>
        <v>25643044.96123806</v>
      </c>
      <c r="E199" s="1351">
        <f t="shared" si="16"/>
        <v>16718526.479145411</v>
      </c>
      <c r="F199" s="1342"/>
      <c r="G199" s="1342"/>
      <c r="H199" s="1342"/>
      <c r="I199" s="1342"/>
    </row>
    <row r="200" spans="2:9" ht="16" thickBot="1">
      <c r="B200" s="1333">
        <v>2027</v>
      </c>
      <c r="C200" s="1351">
        <f t="shared" si="14"/>
        <v>49741629.279682174</v>
      </c>
      <c r="D200" s="1351">
        <f t="shared" si="15"/>
        <v>26585804.6303927</v>
      </c>
      <c r="E200" s="1351">
        <f t="shared" si="16"/>
        <v>17346457.558875341</v>
      </c>
      <c r="F200" s="1342"/>
      <c r="G200" s="1342"/>
      <c r="H200" s="1342"/>
      <c r="I200" s="1342"/>
    </row>
    <row r="201" spans="2:9" ht="16" thickBot="1">
      <c r="B201" s="1333">
        <v>2028</v>
      </c>
      <c r="C201" s="1351">
        <f t="shared" si="14"/>
        <v>52752285.928298332</v>
      </c>
      <c r="D201" s="1351">
        <f t="shared" si="15"/>
        <v>27453683.160312243</v>
      </c>
      <c r="E201" s="1351">
        <f t="shared" si="16"/>
        <v>17932776.694371954</v>
      </c>
      <c r="F201" s="1342"/>
      <c r="G201" s="1342"/>
      <c r="H201" s="1342"/>
      <c r="I201" s="1342"/>
    </row>
    <row r="202" spans="2:9" ht="16" thickBot="1">
      <c r="B202" s="1333">
        <v>2029</v>
      </c>
      <c r="C202" s="1351">
        <f t="shared" si="14"/>
        <v>55845779.345465533</v>
      </c>
      <c r="D202" s="1351">
        <f t="shared" si="15"/>
        <v>28344453.146379597</v>
      </c>
      <c r="E202" s="1351">
        <f t="shared" si="16"/>
        <v>18537051.004417636</v>
      </c>
      <c r="F202" s="1342"/>
      <c r="G202" s="1342"/>
      <c r="H202" s="1342"/>
      <c r="I202" s="1342"/>
    </row>
    <row r="203" spans="2:9" ht="16" thickBot="1">
      <c r="B203" s="1333">
        <v>2030</v>
      </c>
      <c r="C203" s="1351">
        <f t="shared" si="14"/>
        <v>59217896.89772287</v>
      </c>
      <c r="D203" s="1351">
        <f t="shared" si="15"/>
        <v>29274667.005556729</v>
      </c>
      <c r="E203" s="1351">
        <f t="shared" si="16"/>
        <v>19221905.93227974</v>
      </c>
      <c r="F203" s="1342"/>
      <c r="G203" s="1342"/>
      <c r="H203" s="1342"/>
      <c r="I203" s="1342"/>
    </row>
    <row r="204" spans="2:9">
      <c r="F204" s="1342"/>
      <c r="G204" s="1342"/>
      <c r="H204" s="1342"/>
      <c r="I204" s="1342"/>
    </row>
    <row r="205" spans="2:9">
      <c r="B205" s="1326" t="s">
        <v>3833</v>
      </c>
    </row>
    <row r="206" spans="2:9">
      <c r="B206" s="1326"/>
      <c r="E206" s="1354"/>
    </row>
    <row r="207" spans="2:9">
      <c r="B207" s="1326" t="s">
        <v>3834</v>
      </c>
      <c r="D207" s="1358"/>
      <c r="E207" s="1342"/>
      <c r="F207" s="1363"/>
    </row>
    <row r="208" spans="2:9">
      <c r="E208" s="1342"/>
    </row>
    <row r="209" spans="2:10" ht="16" thickBot="1">
      <c r="B209" s="1343" t="s">
        <v>3</v>
      </c>
      <c r="C209" s="1344" t="s">
        <v>3755</v>
      </c>
      <c r="D209" s="1342"/>
      <c r="F209" s="1342"/>
      <c r="G209" s="1342"/>
      <c r="H209" s="1342"/>
    </row>
    <row r="210" spans="2:10" ht="16" thickBot="1">
      <c r="B210" s="1333">
        <v>2017</v>
      </c>
      <c r="C210" s="1452">
        <f>'Basic Parameters and Results'!E104</f>
        <v>0</v>
      </c>
      <c r="D210" s="1365"/>
      <c r="F210" s="1342"/>
      <c r="G210" s="1365"/>
      <c r="H210" s="1342"/>
    </row>
    <row r="211" spans="2:10" ht="16" thickBot="1">
      <c r="B211" s="1333">
        <v>2018</v>
      </c>
      <c r="C211" s="1452">
        <f>'Basic Parameters and Results'!E105</f>
        <v>0.14285714285714285</v>
      </c>
      <c r="D211" s="1365"/>
      <c r="F211" s="1342"/>
      <c r="G211" s="1365"/>
      <c r="H211" s="1342"/>
    </row>
    <row r="212" spans="2:10" ht="16" thickBot="1">
      <c r="B212" s="1333">
        <v>2019</v>
      </c>
      <c r="C212" s="1452">
        <f>'Basic Parameters and Results'!E106</f>
        <v>0.2857142857142857</v>
      </c>
      <c r="D212" s="1365"/>
      <c r="F212" s="1342"/>
      <c r="G212" s="1365"/>
      <c r="H212" s="1342"/>
    </row>
    <row r="213" spans="2:10" ht="16" thickBot="1">
      <c r="B213" s="1333">
        <v>2020</v>
      </c>
      <c r="C213" s="1452">
        <f>'Basic Parameters and Results'!E107</f>
        <v>0.42857142857142855</v>
      </c>
      <c r="D213" s="1365"/>
      <c r="F213" s="1342"/>
      <c r="G213" s="1365"/>
      <c r="H213" s="1342"/>
      <c r="J213" s="1346"/>
    </row>
    <row r="214" spans="2:10" ht="16" thickBot="1">
      <c r="B214" s="1333">
        <v>2021</v>
      </c>
      <c r="C214" s="1452">
        <f>'Basic Parameters and Results'!E108</f>
        <v>0.5714285714285714</v>
      </c>
      <c r="D214" s="1365"/>
      <c r="F214" s="1342"/>
      <c r="G214" s="1365"/>
      <c r="H214" s="1342"/>
    </row>
    <row r="215" spans="2:10" ht="16" thickBot="1">
      <c r="B215" s="1333">
        <v>2022</v>
      </c>
      <c r="C215" s="1452">
        <f>'Basic Parameters and Results'!E109</f>
        <v>0.71428571428571419</v>
      </c>
      <c r="D215" s="1365"/>
      <c r="F215" s="1342"/>
      <c r="G215" s="1365"/>
      <c r="H215" s="1342"/>
    </row>
    <row r="216" spans="2:10" ht="16" thickBot="1">
      <c r="B216" s="1333">
        <v>2023</v>
      </c>
      <c r="C216" s="1452">
        <f>'Basic Parameters and Results'!E110</f>
        <v>0.85714285714285698</v>
      </c>
      <c r="D216" s="1365"/>
      <c r="F216" s="1342"/>
      <c r="G216" s="1365"/>
      <c r="H216" s="1342"/>
      <c r="I216" s="1346"/>
    </row>
    <row r="217" spans="2:10" ht="16" thickBot="1">
      <c r="B217" s="1333">
        <v>2024</v>
      </c>
      <c r="C217" s="1452">
        <f>'Basic Parameters and Results'!E111</f>
        <v>0.99999999999999978</v>
      </c>
      <c r="D217" s="1365"/>
      <c r="F217" s="1342"/>
      <c r="G217" s="1365"/>
      <c r="H217" s="1342"/>
    </row>
    <row r="218" spans="2:10" ht="16" thickBot="1">
      <c r="B218" s="1333">
        <v>2025</v>
      </c>
      <c r="C218" s="1452">
        <f>'Basic Parameters and Results'!E112</f>
        <v>1</v>
      </c>
      <c r="D218" s="1365"/>
      <c r="F218" s="1342"/>
      <c r="G218" s="1365"/>
      <c r="H218" s="1342"/>
    </row>
    <row r="219" spans="2:10" ht="16" thickBot="1">
      <c r="B219" s="1333">
        <v>2026</v>
      </c>
      <c r="C219" s="1452">
        <f>'Basic Parameters and Results'!E113</f>
        <v>1</v>
      </c>
      <c r="D219" s="1365"/>
      <c r="F219" s="1348"/>
      <c r="G219" s="1365"/>
      <c r="H219" s="1342"/>
    </row>
    <row r="220" spans="2:10" ht="16" thickBot="1">
      <c r="B220" s="1333">
        <v>2027</v>
      </c>
      <c r="C220" s="1452">
        <f>'Basic Parameters and Results'!E114</f>
        <v>1</v>
      </c>
      <c r="D220" s="1365"/>
      <c r="F220" s="1339"/>
      <c r="G220" s="1365"/>
      <c r="H220" s="1342"/>
    </row>
    <row r="221" spans="2:10" ht="16" thickBot="1">
      <c r="B221" s="1333">
        <v>2028</v>
      </c>
      <c r="C221" s="1452">
        <f>'Basic Parameters and Results'!E115</f>
        <v>1</v>
      </c>
      <c r="D221" s="1365"/>
      <c r="F221" s="1342"/>
      <c r="G221" s="1365"/>
      <c r="H221" s="1342"/>
    </row>
    <row r="222" spans="2:10" ht="16" thickBot="1">
      <c r="B222" s="1333">
        <v>2029</v>
      </c>
      <c r="C222" s="1452">
        <f>'Basic Parameters and Results'!E116</f>
        <v>1</v>
      </c>
      <c r="D222" s="1365"/>
      <c r="F222" s="1342"/>
      <c r="G222" s="1365"/>
      <c r="H222" s="1342"/>
    </row>
    <row r="223" spans="2:10" ht="16" thickBot="1">
      <c r="B223" s="1333">
        <v>2030</v>
      </c>
      <c r="C223" s="1452">
        <f>'Basic Parameters and Results'!E117</f>
        <v>1</v>
      </c>
      <c r="D223" s="1365"/>
      <c r="F223" s="1342"/>
      <c r="G223" s="1365"/>
      <c r="H223" s="1342"/>
    </row>
    <row r="224" spans="2:10">
      <c r="B224" s="1326"/>
      <c r="F224" s="1342"/>
      <c r="G224" s="1342"/>
      <c r="H224" s="1342"/>
    </row>
    <row r="225" spans="2:14">
      <c r="B225" s="1326" t="s">
        <v>3835</v>
      </c>
      <c r="F225" s="1342"/>
      <c r="G225" s="1342"/>
      <c r="H225" s="1342"/>
    </row>
    <row r="226" spans="2:14">
      <c r="B226" s="1567" t="s">
        <v>3756</v>
      </c>
      <c r="C226" s="1567"/>
      <c r="D226" s="1567"/>
      <c r="E226" s="1567"/>
      <c r="F226" s="1567"/>
      <c r="G226" s="1567"/>
      <c r="H226" s="1567"/>
      <c r="I226" s="1567"/>
      <c r="J226" s="1567"/>
      <c r="K226" s="1567"/>
      <c r="L226" s="1567"/>
      <c r="M226" s="1567"/>
    </row>
    <row r="227" spans="2:14">
      <c r="C227" s="1326"/>
      <c r="D227" s="1343" t="s">
        <v>3676</v>
      </c>
      <c r="E227" s="1343" t="s">
        <v>3677</v>
      </c>
      <c r="F227" s="1343" t="s">
        <v>3678</v>
      </c>
      <c r="G227" s="1344" t="s">
        <v>3679</v>
      </c>
      <c r="H227" s="1344" t="s">
        <v>3680</v>
      </c>
      <c r="I227" s="1344" t="s">
        <v>3689</v>
      </c>
      <c r="J227" s="1343" t="s">
        <v>3682</v>
      </c>
      <c r="K227" s="1343" t="s">
        <v>3683</v>
      </c>
      <c r="L227" s="1343" t="s">
        <v>3690</v>
      </c>
      <c r="M227" s="1343" t="s">
        <v>3691</v>
      </c>
      <c r="N227" s="1343" t="s">
        <v>343</v>
      </c>
    </row>
    <row r="228" spans="2:14">
      <c r="C228" s="1343" t="s">
        <v>244</v>
      </c>
      <c r="D228" s="1442">
        <f>'Basic Parameters and Results'!B73</f>
        <v>29.664000000000001</v>
      </c>
      <c r="E228" s="1442">
        <f>'Basic Parameters and Results'!C73</f>
        <v>36.98924731182796</v>
      </c>
      <c r="F228" s="1442">
        <f>'Basic Parameters and Results'!D73</f>
        <v>201.60000000000002</v>
      </c>
      <c r="G228" s="1442">
        <f>'Basic Parameters and Results'!E73</f>
        <v>14.58</v>
      </c>
      <c r="H228" s="1442">
        <f>'Basic Parameters and Results'!F73</f>
        <v>10.3</v>
      </c>
      <c r="I228" s="1442">
        <f>'Basic Parameters and Results'!G73</f>
        <v>25.2258064516129</v>
      </c>
      <c r="J228" s="1442">
        <f>'Basic Parameters and Results'!H73</f>
        <v>70</v>
      </c>
      <c r="K228" s="1442">
        <f>'Basic Parameters and Results'!I73</f>
        <v>10</v>
      </c>
      <c r="L228" s="1442">
        <f>'Basic Parameters and Results'!J73</f>
        <v>12</v>
      </c>
      <c r="M228" s="1442">
        <f>'Basic Parameters and Results'!K73</f>
        <v>13.29</v>
      </c>
      <c r="N228" s="1442">
        <f>'Basic Parameters and Results'!L73</f>
        <v>3</v>
      </c>
    </row>
    <row r="229" spans="2:14">
      <c r="C229" s="1326" t="s">
        <v>3821</v>
      </c>
      <c r="D229" s="1439">
        <f>'Advanced Parameters'!B12</f>
        <v>0.85</v>
      </c>
      <c r="E229" s="1439">
        <f>'Advanced Parameters'!C12</f>
        <v>0.95</v>
      </c>
      <c r="F229" s="1439">
        <f>'Advanced Parameters'!D12</f>
        <v>0.5</v>
      </c>
      <c r="G229" s="1439">
        <f>'Advanced Parameters'!E12</f>
        <v>0.5</v>
      </c>
      <c r="H229" s="1439">
        <f>'Advanced Parameters'!F12</f>
        <v>0.25</v>
      </c>
      <c r="I229" s="1439">
        <f>'Advanced Parameters'!G12</f>
        <v>0.6</v>
      </c>
      <c r="J229" s="1439">
        <f>'Advanced Parameters'!H12</f>
        <v>0.95</v>
      </c>
      <c r="K229" s="1439">
        <f>'Advanced Parameters'!I12</f>
        <v>0.25</v>
      </c>
      <c r="L229" s="1439">
        <f>'Advanced Parameters'!J12</f>
        <v>0.5</v>
      </c>
      <c r="M229" s="1439">
        <f>'Advanced Parameters'!K12</f>
        <v>0.2</v>
      </c>
      <c r="N229" s="1439">
        <f>'Advanced Parameters'!L12</f>
        <v>0</v>
      </c>
    </row>
    <row r="230" spans="2:14">
      <c r="G230" s="1342"/>
    </row>
    <row r="231" spans="2:14">
      <c r="C231" s="1567" t="s">
        <v>3786</v>
      </c>
      <c r="D231" s="1567"/>
      <c r="E231" s="1567"/>
      <c r="F231" s="1567"/>
      <c r="G231" s="1567"/>
      <c r="H231" s="1567"/>
      <c r="I231" s="1567"/>
      <c r="J231" s="1567"/>
      <c r="K231" s="1567"/>
      <c r="L231" s="1567"/>
    </row>
    <row r="232" spans="2:14" ht="16" thickBot="1">
      <c r="B232" s="1343" t="s">
        <v>3</v>
      </c>
      <c r="C232" s="1343" t="s">
        <v>3676</v>
      </c>
      <c r="D232" s="1343" t="s">
        <v>3677</v>
      </c>
      <c r="E232" s="1343" t="s">
        <v>3678</v>
      </c>
      <c r="F232" s="1343" t="s">
        <v>3679</v>
      </c>
      <c r="G232" s="1343" t="s">
        <v>3680</v>
      </c>
      <c r="H232" s="1343" t="s">
        <v>3689</v>
      </c>
      <c r="I232" s="1343" t="s">
        <v>3682</v>
      </c>
      <c r="J232" s="1343" t="s">
        <v>3683</v>
      </c>
      <c r="K232" s="1343" t="s">
        <v>3691</v>
      </c>
      <c r="L232" s="1343" t="s">
        <v>343</v>
      </c>
    </row>
    <row r="233" spans="2:14" ht="16" thickBot="1">
      <c r="B233" s="1333">
        <v>2017</v>
      </c>
      <c r="C233" s="1349">
        <f>C81*(1-('Basic Parameters and Results'!$E104*(1-(('Basic Parameters and Results'!B$73/'Basic Parameters and Results'!B$70)))*(1-'Advanced Parameters'!B$12)))*(1+'Basic Parameters and Results'!$E47)</f>
        <v>5665112.1038236562</v>
      </c>
      <c r="D233" s="1349">
        <f>D81*(1-('Basic Parameters and Results'!$E104*(1-(('Basic Parameters and Results'!C$73/'Basic Parameters and Results'!C$70)))*(1-'Advanced Parameters'!C$12)))*(1+'Basic Parameters and Results'!$E47)</f>
        <v>5169137.7303956887</v>
      </c>
      <c r="E233" s="1349">
        <f>E81*(1-('Basic Parameters and Results'!$E104*(1-(('Basic Parameters and Results'!D$73/'Basic Parameters and Results'!D$70)))*(1-'Advanced Parameters'!D$12)))*(1+'Basic Parameters and Results'!$E47)</f>
        <v>1271495.048975918</v>
      </c>
      <c r="F233" s="1349">
        <f>F81*(1-('Basic Parameters and Results'!$E104*(1-(('Basic Parameters and Results'!E$73/'Basic Parameters and Results'!E$70)))*(1-'Advanced Parameters'!E$12)))*(1+'Basic Parameters and Results'!$E47)</f>
        <v>2333230.4775988329</v>
      </c>
      <c r="G233" s="1349">
        <f>G81*(1-('Basic Parameters and Results'!$E104*(1-(('Basic Parameters and Results'!F$73/'Basic Parameters and Results'!F$70)))*(1-'Advanced Parameters'!F$12)))*(1+'Basic Parameters and Results'!$E47)</f>
        <v>2185295.1698143771</v>
      </c>
      <c r="H233" s="1349">
        <f>H81*(1-('Basic Parameters and Results'!$E104*(1-(('Basic Parameters and Results'!G$73/'Basic Parameters and Results'!G$70)))*(1-'Advanced Parameters'!G$12)))*(1+'Basic Parameters and Results'!$E47)</f>
        <v>2142960.2825471521</v>
      </c>
      <c r="I233" s="1349">
        <f>I81*(1-('Basic Parameters and Results'!$E104*(1-(('Basic Parameters and Results'!H$73/'Basic Parameters and Results'!H$70)))*(1-'Advanced Parameters'!H$12)))*(1+'Basic Parameters and Results'!$E47)</f>
        <v>2038516.3003358282</v>
      </c>
      <c r="J233" s="1349">
        <f>J81*(1-('Basic Parameters and Results'!$E104*(1-(('Basic Parameters and Results'!I$73/'Basic Parameters and Results'!I$70)))*(1-'Advanced Parameters'!I$12)))*(1+'Basic Parameters and Results'!$E47)</f>
        <v>355536.37709995423</v>
      </c>
      <c r="K233" s="1349">
        <f>K81*(1-('Basic Parameters and Results'!$E104*(1-(('Basic Parameters and Results'!K$73/'Basic Parameters and Results'!K$70)))*(1-'Advanced Parameters'!K$12)))*(1+'Basic Parameters and Results'!$E47)</f>
        <v>7410426.4462531572</v>
      </c>
      <c r="L233" s="1349">
        <f>L81*(1-('Basic Parameters and Results'!$E104*(1-(('Basic Parameters and Results'!L$73/'Basic Parameters and Results'!L$70)))*(1-'Advanced Parameters'!L$12)))*(1+'Basic Parameters and Results'!$E47)</f>
        <v>836391.24675543548</v>
      </c>
    </row>
    <row r="234" spans="2:14" ht="16" thickBot="1">
      <c r="B234" s="1333">
        <v>2018</v>
      </c>
      <c r="C234" s="1349">
        <f>C82*(1-('Basic Parameters and Results'!$E105*(1-(('Basic Parameters and Results'!B$73/'Basic Parameters and Results'!B$70)))*(1-'Advanced Parameters'!B$12)))*(1+'Basic Parameters and Results'!$E48)</f>
        <v>5615703.2405545609</v>
      </c>
      <c r="D234" s="1349">
        <f>D82*(1-('Basic Parameters and Results'!$E105*(1-(('Basic Parameters and Results'!C$73/'Basic Parameters and Results'!C$70)))*(1-'Advanced Parameters'!C$12)))*(1+'Basic Parameters and Results'!$E48)</f>
        <v>5194247.1368531892</v>
      </c>
      <c r="E234" s="1349">
        <f>E82*(1-('Basic Parameters and Results'!$E105*(1-(('Basic Parameters and Results'!D$73/'Basic Parameters and Results'!D$70)))*(1-'Advanced Parameters'!D$12)))*(1+'Basic Parameters and Results'!$E48)</f>
        <v>2323903.7495657243</v>
      </c>
      <c r="F234" s="1349">
        <f>F82*(1-('Basic Parameters and Results'!$E105*(1-(('Basic Parameters and Results'!E$73/'Basic Parameters and Results'!E$70)))*(1-'Advanced Parameters'!E$12)))*(1+'Basic Parameters and Results'!$E48)</f>
        <v>2319736.7101508845</v>
      </c>
      <c r="G234" s="1349">
        <f>G82*(1-('Basic Parameters and Results'!$E105*(1-(('Basic Parameters and Results'!F$73/'Basic Parameters and Results'!F$70)))*(1-'Advanced Parameters'!F$12)))*(1+'Basic Parameters and Results'!$E48)</f>
        <v>2157622.9193983832</v>
      </c>
      <c r="H234" s="1349">
        <f>H82*(1-('Basic Parameters and Results'!$E105*(1-(('Basic Parameters and Results'!G$73/'Basic Parameters and Results'!G$70)))*(1-'Advanced Parameters'!G$12)))*(1+'Basic Parameters and Results'!$E48)</f>
        <v>2184647.6333674295</v>
      </c>
      <c r="I234" s="1349">
        <f>I82*(1-('Basic Parameters and Results'!$E105*(1-(('Basic Parameters and Results'!H$73/'Basic Parameters and Results'!H$70)))*(1-'Advanced Parameters'!H$12)))*(1+'Basic Parameters and Results'!$E48)</f>
        <v>2375167.7000523345</v>
      </c>
      <c r="J234" s="1349">
        <f>J82*(1-('Basic Parameters and Results'!$E105*(1-(('Basic Parameters and Results'!I$73/'Basic Parameters and Results'!I$70)))*(1-'Advanced Parameters'!I$12)))*(1+'Basic Parameters and Results'!$E48)</f>
        <v>389953.5662854698</v>
      </c>
      <c r="K234" s="1349">
        <f>K82*(1-('Basic Parameters and Results'!$E105*(1-(('Basic Parameters and Results'!K$73/'Basic Parameters and Results'!K$70)))*(1-'Advanced Parameters'!K$12)))*(1+'Basic Parameters and Results'!$E48)</f>
        <v>6825213.2629850376</v>
      </c>
      <c r="L234" s="1349">
        <f>L82*(1-('Basic Parameters and Results'!$E105*(1-(('Basic Parameters and Results'!L$73/'Basic Parameters and Results'!L$70)))*(1-'Advanced Parameters'!L$12)))*(1+'Basic Parameters and Results'!$E48)</f>
        <v>829957.58178606094</v>
      </c>
    </row>
    <row r="235" spans="2:14" ht="16" thickBot="1">
      <c r="B235" s="1333">
        <v>2019</v>
      </c>
      <c r="C235" s="1349">
        <f>C83*(1-('Basic Parameters and Results'!$E106*(1-(('Basic Parameters and Results'!B$73/'Basic Parameters and Results'!B$70)))*(1-'Advanced Parameters'!B$12)))*(1+'Basic Parameters and Results'!$E49)</f>
        <v>5444708.4290402792</v>
      </c>
      <c r="D235" s="1349">
        <f>D83*(1-('Basic Parameters and Results'!$E106*(1-(('Basic Parameters and Results'!C$73/'Basic Parameters and Results'!C$70)))*(1-'Advanced Parameters'!C$12)))*(1+'Basic Parameters and Results'!$E49)</f>
        <v>5101486.7564238496</v>
      </c>
      <c r="E235" s="1349">
        <f>E83*(1-('Basic Parameters and Results'!$E106*(1-(('Basic Parameters and Results'!D$73/'Basic Parameters and Results'!D$70)))*(1-'Advanced Parameters'!D$12)))*(1+'Basic Parameters and Results'!$E49)</f>
        <v>3203699.2391296434</v>
      </c>
      <c r="F235" s="1349">
        <f>F83*(1-('Basic Parameters and Results'!$E106*(1-(('Basic Parameters and Results'!E$73/'Basic Parameters and Results'!E$70)))*(1-'Advanced Parameters'!E$12)))*(1+'Basic Parameters and Results'!$E49)</f>
        <v>2255979.2744211433</v>
      </c>
      <c r="G235" s="1349">
        <f>G83*(1-('Basic Parameters and Results'!$E106*(1-(('Basic Parameters and Results'!F$73/'Basic Parameters and Results'!F$70)))*(1-'Advanced Parameters'!F$12)))*(1+'Basic Parameters and Results'!$E49)</f>
        <v>2084501.1972422414</v>
      </c>
      <c r="H235" s="1349">
        <f>H83*(1-('Basic Parameters and Results'!$E106*(1-(('Basic Parameters and Results'!G$73/'Basic Parameters and Results'!G$70)))*(1-'Advanced Parameters'!G$12)))*(1+'Basic Parameters and Results'!$E49)</f>
        <v>2172160.4462315687</v>
      </c>
      <c r="I235" s="1349">
        <f>I83*(1-('Basic Parameters and Results'!$E106*(1-(('Basic Parameters and Results'!H$73/'Basic Parameters and Results'!H$70)))*(1-'Advanced Parameters'!H$12)))*(1+'Basic Parameters and Results'!$E49)</f>
        <v>2628893.3570330911</v>
      </c>
      <c r="J235" s="1349">
        <f>J83*(1-('Basic Parameters and Results'!$E106*(1-(('Basic Parameters and Results'!I$73/'Basic Parameters and Results'!I$70)))*(1-'Advanced Parameters'!I$12)))*(1+'Basic Parameters and Results'!$E49)</f>
        <v>411103.71430214017</v>
      </c>
      <c r="K235" s="1349">
        <f>K83*(1-('Basic Parameters and Results'!$E106*(1-(('Basic Parameters and Results'!K$73/'Basic Parameters and Results'!K$70)))*(1-'Advanced Parameters'!K$12)))*(1+'Basic Parameters and Results'!$E49)</f>
        <v>6131277.644517079</v>
      </c>
      <c r="L235" s="1349">
        <f>L83*(1-('Basic Parameters and Results'!$E106*(1-(('Basic Parameters and Results'!L$73/'Basic Parameters and Results'!L$70)))*(1-'Advanced Parameters'!L$12)))*(1+'Basic Parameters and Results'!$E49)</f>
        <v>806236.00215955393</v>
      </c>
    </row>
    <row r="236" spans="2:14" ht="16" thickBot="1">
      <c r="B236" s="1333">
        <v>2020</v>
      </c>
      <c r="C236" s="1349">
        <f>C84*(1-('Basic Parameters and Results'!$E107*(1-(('Basic Parameters and Results'!B$73/'Basic Parameters and Results'!B$70)))*(1-'Advanced Parameters'!B$12)))*(1+'Basic Parameters and Results'!$E50)</f>
        <v>5376733.2031949535</v>
      </c>
      <c r="D236" s="1349">
        <f>D84*(1-('Basic Parameters and Results'!$E107*(1-(('Basic Parameters and Results'!C$73/'Basic Parameters and Results'!C$70)))*(1-'Advanced Parameters'!C$12)))*(1+'Basic Parameters and Results'!$E50)</f>
        <v>5099994.808182653</v>
      </c>
      <c r="E236" s="1349">
        <f>E84*(1-('Basic Parameters and Results'!$E107*(1-(('Basic Parameters and Results'!D$73/'Basic Parameters and Results'!D$70)))*(1-'Advanced Parameters'!D$12)))*(1+'Basic Parameters and Results'!$E50)</f>
        <v>4029208.6363633745</v>
      </c>
      <c r="F236" s="1349">
        <f>F84*(1-('Basic Parameters and Results'!$E107*(1-(('Basic Parameters and Results'!E$73/'Basic Parameters and Results'!E$70)))*(1-'Advanced Parameters'!E$12)))*(1+'Basic Parameters and Results'!$E50)</f>
        <v>2234821.4520146083</v>
      </c>
      <c r="G236" s="1349">
        <f>G84*(1-('Basic Parameters and Results'!$E107*(1-(('Basic Parameters and Results'!F$73/'Basic Parameters and Results'!F$70)))*(1-'Advanced Parameters'!F$12)))*(1+'Basic Parameters and Results'!$E50)</f>
        <v>2051991.1770641904</v>
      </c>
      <c r="H236" s="1349">
        <f>H84*(1-('Basic Parameters and Results'!$E107*(1-(('Basic Parameters and Results'!G$73/'Basic Parameters and Results'!G$70)))*(1-'Advanced Parameters'!G$12)))*(1+'Basic Parameters and Results'!$E50)</f>
        <v>2194309.3767121523</v>
      </c>
      <c r="I236" s="1349">
        <f>I84*(1-('Basic Parameters and Results'!$E107*(1-(('Basic Parameters and Results'!H$73/'Basic Parameters and Results'!H$70)))*(1-'Advanced Parameters'!H$12)))*(1+'Basic Parameters and Results'!$E50)</f>
        <v>2902155.0151750478</v>
      </c>
      <c r="J236" s="1349">
        <f>J84*(1-('Basic Parameters and Results'!$E107*(1-(('Basic Parameters and Results'!I$73/'Basic Parameters and Results'!I$70)))*(1-'Advanced Parameters'!I$12)))*(1+'Basic Parameters and Results'!$E50)</f>
        <v>435533.48216124385</v>
      </c>
      <c r="K236" s="1349">
        <f>K84*(1-('Basic Parameters and Results'!$E107*(1-(('Basic Parameters and Results'!K$73/'Basic Parameters and Results'!K$70)))*(1-'Advanced Parameters'!K$12)))*(1+'Basic Parameters and Results'!$E50)</f>
        <v>5591283.3706596047</v>
      </c>
      <c r="L236" s="1349">
        <f>L84*(1-('Basic Parameters and Results'!$E107*(1-(('Basic Parameters and Results'!L$73/'Basic Parameters and Results'!L$70)))*(1-'Advanced Parameters'!L$12)))*(1+'Basic Parameters and Results'!$E50)</f>
        <v>798372.7252968573</v>
      </c>
    </row>
    <row r="237" spans="2:14" ht="16" thickBot="1">
      <c r="B237" s="1333">
        <v>2021</v>
      </c>
      <c r="C237" s="1349">
        <f>C85*(1-('Basic Parameters and Results'!$E108*(1-(('Basic Parameters and Results'!B$73/'Basic Parameters and Results'!B$70)))*(1-'Advanced Parameters'!B$12)))*(1+'Basic Parameters and Results'!$E51)</f>
        <v>5428327.9593714038</v>
      </c>
      <c r="D237" s="1349">
        <f>D85*(1-('Basic Parameters and Results'!$E108*(1-(('Basic Parameters and Results'!C$73/'Basic Parameters and Results'!C$70)))*(1-'Advanced Parameters'!C$12)))*(1+'Basic Parameters and Results'!$E51)</f>
        <v>5032095.7139394218</v>
      </c>
      <c r="E237" s="1349">
        <f>E85*(1-('Basic Parameters and Results'!$E108*(1-(('Basic Parameters and Results'!D$73/'Basic Parameters and Results'!D$70)))*(1-'Advanced Parameters'!D$12)))*(1+'Basic Parameters and Results'!$E51)</f>
        <v>4873528.7115498828</v>
      </c>
      <c r="F237" s="1349">
        <f>F85*(1-('Basic Parameters and Results'!$E108*(1-(('Basic Parameters and Results'!E$73/'Basic Parameters and Results'!E$70)))*(1-'Advanced Parameters'!E$12)))*(1+'Basic Parameters and Results'!$E51)</f>
        <v>2263549.1138080638</v>
      </c>
      <c r="G237" s="1349">
        <f>G85*(1-('Basic Parameters and Results'!$E108*(1-(('Basic Parameters and Results'!F$73/'Basic Parameters and Results'!F$70)))*(1-'Advanced Parameters'!F$12)))*(1+'Basic Parameters and Results'!$E51)</f>
        <v>2065923.33442419</v>
      </c>
      <c r="H237" s="1349">
        <f>H85*(1-('Basic Parameters and Results'!$E108*(1-(('Basic Parameters and Results'!G$73/'Basic Parameters and Results'!G$70)))*(1-'Advanced Parameters'!G$12)))*(1+'Basic Parameters and Results'!$E51)</f>
        <v>2261296.0198551319</v>
      </c>
      <c r="I237" s="1349">
        <f>I85*(1-('Basic Parameters and Results'!$E108*(1-(('Basic Parameters and Results'!H$73/'Basic Parameters and Results'!H$70)))*(1-'Advanced Parameters'!H$12)))*(1+'Basic Parameters and Results'!$E51)</f>
        <v>3224304.7997951629</v>
      </c>
      <c r="J237" s="1349">
        <f>J85*(1-('Basic Parameters and Results'!$E108*(1-(('Basic Parameters and Results'!I$73/'Basic Parameters and Results'!I$70)))*(1-'Advanced Parameters'!I$12)))*(1+'Basic Parameters and Results'!$E51)</f>
        <v>466714.14032257081</v>
      </c>
      <c r="K237" s="1349">
        <f>K85*(1-('Basic Parameters and Results'!$E108*(1-(('Basic Parameters and Results'!K$73/'Basic Parameters and Results'!K$70)))*(1-'Advanced Parameters'!K$12)))*(1+'Basic Parameters and Results'!$E51)</f>
        <v>5192178.2992152395</v>
      </c>
      <c r="L237" s="1349">
        <f>L85*(1-('Basic Parameters and Results'!$E108*(1-(('Basic Parameters and Results'!L$73/'Basic Parameters and Results'!L$70)))*(1-'Advanced Parameters'!L$12)))*(1+'Basic Parameters and Results'!$E51)</f>
        <v>808904.6054156695</v>
      </c>
    </row>
    <row r="238" spans="2:14" ht="16" thickBot="1">
      <c r="B238" s="1333">
        <v>2022</v>
      </c>
      <c r="C238" s="1349">
        <f>C86*(1-('Basic Parameters and Results'!$E109*(1-(('Basic Parameters and Results'!B$73/'Basic Parameters and Results'!B$70)))*(1-'Advanced Parameters'!B$12)))*(1+'Basic Parameters and Results'!$E52)</f>
        <v>5540234.1503373785</v>
      </c>
      <c r="D238" s="1349">
        <f>D86*(1-('Basic Parameters and Results'!$E109*(1-(('Basic Parameters and Results'!C$73/'Basic Parameters and Results'!C$70)))*(1-'Advanced Parameters'!C$12)))*(1+'Basic Parameters and Results'!$E52)</f>
        <v>5015180.5746096987</v>
      </c>
      <c r="E238" s="1349">
        <f>E86*(1-('Basic Parameters and Results'!$E109*(1-(('Basic Parameters and Results'!D$73/'Basic Parameters and Results'!D$70)))*(1-'Advanced Parameters'!D$12)))*(1+'Basic Parameters and Results'!$E52)</f>
        <v>5731928.4742074329</v>
      </c>
      <c r="F238" s="1349">
        <f>F86*(1-('Basic Parameters and Results'!$E109*(1-(('Basic Parameters and Results'!E$73/'Basic Parameters and Results'!E$70)))*(1-'Advanced Parameters'!E$12)))*(1+'Basic Parameters and Results'!$E52)</f>
        <v>2317848.4700772027</v>
      </c>
      <c r="G238" s="1349">
        <f>G86*(1-('Basic Parameters and Results'!$E109*(1-(('Basic Parameters and Results'!F$73/'Basic Parameters and Results'!F$70)))*(1-'Advanced Parameters'!F$12)))*(1+'Basic Parameters and Results'!$E52)</f>
        <v>2103383.1463786587</v>
      </c>
      <c r="H238" s="1349">
        <f>H86*(1-('Basic Parameters and Results'!$E109*(1-(('Basic Parameters and Results'!G$73/'Basic Parameters and Results'!G$70)))*(1-'Advanced Parameters'!G$12)))*(1+'Basic Parameters and Results'!$E52)</f>
        <v>2351194.3474435667</v>
      </c>
      <c r="I238" s="1349">
        <f>I86*(1-('Basic Parameters and Results'!$E109*(1-(('Basic Parameters and Results'!H$73/'Basic Parameters and Results'!H$70)))*(1-'Advanced Parameters'!H$12)))*(1+'Basic Parameters and Results'!$E52)</f>
        <v>3288797.0905433628</v>
      </c>
      <c r="J238" s="1349">
        <f>J86*(1-('Basic Parameters and Results'!$E109*(1-(('Basic Parameters and Results'!I$73/'Basic Parameters and Results'!I$70)))*(1-'Advanced Parameters'!I$12)))*(1+'Basic Parameters and Results'!$E52)</f>
        <v>501203.71198033146</v>
      </c>
      <c r="K238" s="1349">
        <f>K86*(1-('Basic Parameters and Results'!$E109*(1-(('Basic Parameters and Results'!K$73/'Basic Parameters and Results'!K$70)))*(1-'Advanced Parameters'!K$12)))*(1+'Basic Parameters and Results'!$E52)</f>
        <v>4851087.5698809018</v>
      </c>
      <c r="L238" s="1349">
        <f>L86*(1-('Basic Parameters and Results'!$E109*(1-(('Basic Parameters and Results'!L$73/'Basic Parameters and Results'!L$70)))*(1-'Advanced Parameters'!L$12)))*(1+'Basic Parameters and Results'!$E52)</f>
        <v>829143.82027714862</v>
      </c>
    </row>
    <row r="239" spans="2:14" ht="16" thickBot="1">
      <c r="B239" s="1333">
        <v>2023</v>
      </c>
      <c r="C239" s="1349">
        <f>C87*(1-('Basic Parameters and Results'!$E110*(1-(('Basic Parameters and Results'!B$73/'Basic Parameters and Results'!B$70)))*(1-'Advanced Parameters'!B$12)))*(1+'Basic Parameters and Results'!$E53)</f>
        <v>5696473.6246796986</v>
      </c>
      <c r="D239" s="1349">
        <f>D87*(1-('Basic Parameters and Results'!$E110*(1-(('Basic Parameters and Results'!C$73/'Basic Parameters and Results'!C$70)))*(1-'Advanced Parameters'!C$12)))*(1+'Basic Parameters and Results'!$E53)</f>
        <v>5039057.2842293791</v>
      </c>
      <c r="E239" s="1349">
        <f>E87*(1-('Basic Parameters and Results'!$E110*(1-(('Basic Parameters and Results'!D$73/'Basic Parameters and Results'!D$70)))*(1-'Advanced Parameters'!D$12)))*(1+'Basic Parameters and Results'!$E53)</f>
        <v>6611548.3022473454</v>
      </c>
      <c r="F239" s="1349">
        <f>F87*(1-('Basic Parameters and Results'!$E110*(1-(('Basic Parameters and Results'!E$73/'Basic Parameters and Results'!E$70)))*(1-'Advanced Parameters'!E$12)))*(1+'Basic Parameters and Results'!$E53)</f>
        <v>2391265.6463247123</v>
      </c>
      <c r="G239" s="1349">
        <f>G87*(1-('Basic Parameters and Results'!$E110*(1-(('Basic Parameters and Results'!F$73/'Basic Parameters and Results'!F$70)))*(1-'Advanced Parameters'!F$12)))*(1+'Basic Parameters and Results'!$E53)</f>
        <v>2158141.4064361546</v>
      </c>
      <c r="H239" s="1349">
        <f>H87*(1-('Basic Parameters and Results'!$E110*(1-(('Basic Parameters and Results'!G$73/'Basic Parameters and Results'!G$70)))*(1-'Advanced Parameters'!G$12)))*(1+'Basic Parameters and Results'!$E53)</f>
        <v>2458574.5081795994</v>
      </c>
      <c r="I239" s="1349">
        <f>I87*(1-('Basic Parameters and Results'!$E110*(1-(('Basic Parameters and Results'!H$73/'Basic Parameters and Results'!H$70)))*(1-'Advanced Parameters'!H$12)))*(1+'Basic Parameters and Results'!$E53)</f>
        <v>3303635.5847437433</v>
      </c>
      <c r="J239" s="1349">
        <f>J87*(1-('Basic Parameters and Results'!$E110*(1-(('Basic Parameters and Results'!I$73/'Basic Parameters and Results'!I$70)))*(1-'Advanced Parameters'!I$12)))*(1+'Basic Parameters and Results'!$E53)</f>
        <v>538338.57493531378</v>
      </c>
      <c r="K239" s="1349">
        <f>K87*(1-('Basic Parameters and Results'!$E110*(1-(('Basic Parameters and Results'!K$73/'Basic Parameters and Results'!K$70)))*(1-'Advanced Parameters'!K$12)))*(1+'Basic Parameters and Results'!$E53)</f>
        <v>4540107.6685966775</v>
      </c>
      <c r="L239" s="1349">
        <f>L87*(1-('Basic Parameters and Results'!$E110*(1-(('Basic Parameters and Results'!L$73/'Basic Parameters and Results'!L$70)))*(1-'Advanced Parameters'!L$12)))*(1+'Basic Parameters and Results'!$E53)</f>
        <v>856817.57620051294</v>
      </c>
    </row>
    <row r="240" spans="2:14" ht="16" thickBot="1">
      <c r="B240" s="1333">
        <v>2024</v>
      </c>
      <c r="C240" s="1349">
        <f>C88*(1-('Basic Parameters and Results'!$E111*(1-(('Basic Parameters and Results'!B$73/'Basic Parameters and Results'!B$70)))*(1-'Advanced Parameters'!B$12)))*(1+'Basic Parameters and Results'!$E54)</f>
        <v>5875858.3801002838</v>
      </c>
      <c r="D240" s="1349">
        <f>D88*(1-('Basic Parameters and Results'!$E111*(1-(('Basic Parameters and Results'!C$73/'Basic Parameters and Results'!C$70)))*(1-'Advanced Parameters'!C$12)))*(1+'Basic Parameters and Results'!$E54)</f>
        <v>5082684.5645656744</v>
      </c>
      <c r="E240" s="1349">
        <f>E88*(1-('Basic Parameters and Results'!$E111*(1-(('Basic Parameters and Results'!D$73/'Basic Parameters and Results'!D$70)))*(1-'Advanced Parameters'!D$12)))*(1+'Basic Parameters and Results'!$E54)</f>
        <v>7501537.5139639042</v>
      </c>
      <c r="F240" s="1349">
        <f>F88*(1-('Basic Parameters and Results'!$E111*(1-(('Basic Parameters and Results'!E$73/'Basic Parameters and Results'!E$70)))*(1-'Advanced Parameters'!E$12)))*(1+'Basic Parameters and Results'!$E54)</f>
        <v>2475072.6563568139</v>
      </c>
      <c r="G240" s="1349">
        <f>G88*(1-('Basic Parameters and Results'!$E111*(1-(('Basic Parameters and Results'!F$73/'Basic Parameters and Results'!F$70)))*(1-'Advanced Parameters'!F$12)))*(1+'Basic Parameters and Results'!$E54)</f>
        <v>2184333.0811736947</v>
      </c>
      <c r="H240" s="1349">
        <f>H88*(1-('Basic Parameters and Results'!$E111*(1-(('Basic Parameters and Results'!G$73/'Basic Parameters and Results'!G$70)))*(1-'Advanced Parameters'!G$12)))*(1+'Basic Parameters and Results'!$E54)</f>
        <v>2575079.0669250186</v>
      </c>
      <c r="I240" s="1349">
        <f>I88*(1-('Basic Parameters and Results'!$E111*(1-(('Basic Parameters and Results'!H$73/'Basic Parameters and Results'!H$70)))*(1-'Advanced Parameters'!H$12)))*(1+'Basic Parameters and Results'!$E54)</f>
        <v>3331409.3120856932</v>
      </c>
      <c r="J240" s="1349">
        <f>J88*(1-('Basic Parameters and Results'!$E111*(1-(('Basic Parameters and Results'!I$73/'Basic Parameters and Results'!I$70)))*(1-'Advanced Parameters'!I$12)))*(1+'Basic Parameters and Results'!$E54)</f>
        <v>576548.26965479739</v>
      </c>
      <c r="K240" s="1349">
        <f>K88*(1-('Basic Parameters and Results'!$E111*(1-(('Basic Parameters and Results'!K$73/'Basic Parameters and Results'!K$70)))*(1-'Advanced Parameters'!K$12)))*(1+'Basic Parameters and Results'!$E54)</f>
        <v>4233298.2284123944</v>
      </c>
      <c r="L240" s="1349">
        <f>L88*(1-('Basic Parameters and Results'!$E111*(1-(('Basic Parameters and Results'!L$73/'Basic Parameters and Results'!L$70)))*(1-'Advanced Parameters'!L$12)))*(1+'Basic Parameters and Results'!$E54)</f>
        <v>888850.88385518687</v>
      </c>
    </row>
    <row r="241" spans="2:12" ht="16" thickBot="1">
      <c r="B241" s="1333">
        <v>2025</v>
      </c>
      <c r="C241" s="1349">
        <f>C89*(1-('Basic Parameters and Results'!$E112*(1-(('Basic Parameters and Results'!B$73/'Basic Parameters and Results'!B$70)))*(1-'Advanced Parameters'!B$12)))*(1+'Basic Parameters and Results'!$E55)</f>
        <v>6105299.964548951</v>
      </c>
      <c r="D241" s="1349">
        <f>D89*(1-('Basic Parameters and Results'!$E112*(1-(('Basic Parameters and Results'!C$73/'Basic Parameters and Results'!C$70)))*(1-'Advanced Parameters'!C$12)))*(1+'Basic Parameters and Results'!$E55)</f>
        <v>5152183.6200808985</v>
      </c>
      <c r="E241" s="1349">
        <f>E89*(1-('Basic Parameters and Results'!$E112*(1-(('Basic Parameters and Results'!D$73/'Basic Parameters and Results'!D$70)))*(1-'Advanced Parameters'!D$12)))*(1+'Basic Parameters and Results'!$E55)</f>
        <v>8544267.9258817732</v>
      </c>
      <c r="F241" s="1349">
        <f>F89*(1-('Basic Parameters and Results'!$E112*(1-(('Basic Parameters and Results'!E$73/'Basic Parameters and Results'!E$70)))*(1-'Advanced Parameters'!E$12)))*(1+'Basic Parameters and Results'!$E55)</f>
        <v>2569354.6793961111</v>
      </c>
      <c r="G241" s="1349">
        <f>G89*(1-('Basic Parameters and Results'!$E112*(1-(('Basic Parameters and Results'!F$73/'Basic Parameters and Results'!F$70)))*(1-'Advanced Parameters'!F$12)))*(1+'Basic Parameters and Results'!$E55)</f>
        <v>2214200.9756188034</v>
      </c>
      <c r="H241" s="1349">
        <f>H89*(1-('Basic Parameters and Results'!$E112*(1-(('Basic Parameters and Results'!G$73/'Basic Parameters and Results'!G$70)))*(1-'Advanced Parameters'!G$12)))*(1+'Basic Parameters and Results'!$E55)</f>
        <v>2725930.727496278</v>
      </c>
      <c r="I241" s="1349">
        <f>I89*(1-('Basic Parameters and Results'!$E112*(1-(('Basic Parameters and Results'!H$73/'Basic Parameters and Results'!H$70)))*(1-'Advanced Parameters'!H$12)))*(1+'Basic Parameters and Results'!$E55)</f>
        <v>3376961.9718629103</v>
      </c>
      <c r="J241" s="1349">
        <f>J89*(1-('Basic Parameters and Results'!$E112*(1-(('Basic Parameters and Results'!I$73/'Basic Parameters and Results'!I$70)))*(1-'Advanced Parameters'!I$12)))*(1+'Basic Parameters and Results'!$E55)</f>
        <v>627779.29286327085</v>
      </c>
      <c r="K241" s="1349">
        <f>K89*(1-('Basic Parameters and Results'!$E112*(1-(('Basic Parameters and Results'!K$73/'Basic Parameters and Results'!K$70)))*(1-'Advanced Parameters'!K$12)))*(1+'Basic Parameters and Results'!$E55)</f>
        <v>4338386.0514926258</v>
      </c>
      <c r="L241" s="1349">
        <f>L89*(1-('Basic Parameters and Results'!$E112*(1-(('Basic Parameters and Results'!L$73/'Basic Parameters and Results'!L$70)))*(1-'Advanced Parameters'!L$12)))*(1+'Basic Parameters and Results'!$E55)</f>
        <v>925331.88412339159</v>
      </c>
    </row>
    <row r="242" spans="2:12" ht="16" thickBot="1">
      <c r="B242" s="1333">
        <v>2026</v>
      </c>
      <c r="C242" s="1349">
        <f>C90*(1-('Basic Parameters and Results'!$E113*(1-(('Basic Parameters and Results'!B$73/'Basic Parameters and Results'!B$70)))*(1-'Advanced Parameters'!B$12)))*(1+'Basic Parameters and Results'!$E56)</f>
        <v>6363624.3901305068</v>
      </c>
      <c r="D242" s="1349">
        <f>D90*(1-('Basic Parameters and Results'!$E113*(1-(('Basic Parameters and Results'!C$73/'Basic Parameters and Results'!C$70)))*(1-'Advanced Parameters'!C$12)))*(1+'Basic Parameters and Results'!$E56)</f>
        <v>5242161.9502245048</v>
      </c>
      <c r="E242" s="1349">
        <f>E90*(1-('Basic Parameters and Results'!$E113*(1-(('Basic Parameters and Results'!D$73/'Basic Parameters and Results'!D$70)))*(1-'Advanced Parameters'!D$12)))*(1+'Basic Parameters and Results'!$E56)</f>
        <v>9650061.723639736</v>
      </c>
      <c r="F242" s="1349">
        <f>F90*(1-('Basic Parameters and Results'!$E113*(1-(('Basic Parameters and Results'!E$73/'Basic Parameters and Results'!E$70)))*(1-'Advanced Parameters'!E$12)))*(1+'Basic Parameters and Results'!$E56)</f>
        <v>2675720.3395660729</v>
      </c>
      <c r="G242" s="1349">
        <f>G90*(1-('Basic Parameters and Results'!$E113*(1-(('Basic Parameters and Results'!F$73/'Basic Parameters and Results'!F$70)))*(1-'Advanced Parameters'!F$12)))*(1+'Basic Parameters and Results'!$E56)</f>
        <v>2252870.0373370261</v>
      </c>
      <c r="H242" s="1349">
        <f>H90*(1-('Basic Parameters and Results'!$E113*(1-(('Basic Parameters and Results'!G$73/'Basic Parameters and Results'!G$70)))*(1-'Advanced Parameters'!G$12)))*(1+'Basic Parameters and Results'!$E56)</f>
        <v>2891197.0879583973</v>
      </c>
      <c r="I242" s="1349">
        <f>I90*(1-('Basic Parameters and Results'!$E113*(1-(('Basic Parameters and Results'!H$73/'Basic Parameters and Results'!H$70)))*(1-'Advanced Parameters'!H$12)))*(1+'Basic Parameters and Results'!$E56)</f>
        <v>3435937.625991852</v>
      </c>
      <c r="J242" s="1349">
        <f>J90*(1-('Basic Parameters and Results'!$E113*(1-(('Basic Parameters and Results'!I$73/'Basic Parameters and Results'!I$70)))*(1-'Advanced Parameters'!I$12)))*(1+'Basic Parameters and Results'!$E56)</f>
        <v>682847.40901862178</v>
      </c>
      <c r="K242" s="1349">
        <f>K90*(1-('Basic Parameters and Results'!$E113*(1-(('Basic Parameters and Results'!K$73/'Basic Parameters and Results'!K$70)))*(1-'Advanced Parameters'!K$12)))*(1+'Basic Parameters and Results'!$E56)</f>
        <v>4462707.8002487924</v>
      </c>
      <c r="L242" s="1349">
        <f>L90*(1-('Basic Parameters and Results'!$E113*(1-(('Basic Parameters and Results'!L$73/'Basic Parameters and Results'!L$70)))*(1-'Advanced Parameters'!L$12)))*(1+'Basic Parameters and Results'!$E56)</f>
        <v>966912.27073319373</v>
      </c>
    </row>
    <row r="243" spans="2:12" ht="16" thickBot="1">
      <c r="B243" s="1333">
        <v>2027</v>
      </c>
      <c r="C243" s="1349">
        <f>C91*(1-('Basic Parameters and Results'!$E114*(1-(('Basic Parameters and Results'!B$73/'Basic Parameters and Results'!B$70)))*(1-'Advanced Parameters'!B$12)))*(1+'Basic Parameters and Results'!$E57)</f>
        <v>6619086.6709893011</v>
      </c>
      <c r="D243" s="1349">
        <f>D91*(1-('Basic Parameters and Results'!$E114*(1-(('Basic Parameters and Results'!C$73/'Basic Parameters and Results'!C$70)))*(1-'Advanced Parameters'!C$12)))*(1+'Basic Parameters and Results'!$E57)</f>
        <v>5325647.3751682006</v>
      </c>
      <c r="E243" s="1349">
        <f>E91*(1-('Basic Parameters and Results'!$E114*(1-(('Basic Parameters and Results'!D$73/'Basic Parameters and Results'!D$70)))*(1-'Advanced Parameters'!D$12)))*(1+'Basic Parameters and Results'!$E57)</f>
        <v>10775556.225160126</v>
      </c>
      <c r="F243" s="1349">
        <f>F91*(1-('Basic Parameters and Results'!$E114*(1-(('Basic Parameters and Results'!E$73/'Basic Parameters and Results'!E$70)))*(1-'Advanced Parameters'!E$12)))*(1+'Basic Parameters and Results'!$E57)</f>
        <v>2780806.7199555272</v>
      </c>
      <c r="G243" s="1349">
        <f>G91*(1-('Basic Parameters and Results'!$E114*(1-(('Basic Parameters and Results'!F$73/'Basic Parameters and Results'!F$70)))*(1-'Advanced Parameters'!F$12)))*(1+'Basic Parameters and Results'!$E57)</f>
        <v>2288748.7099526152</v>
      </c>
      <c r="H243" s="1349">
        <f>H91*(1-('Basic Parameters and Results'!$E114*(1-(('Basic Parameters and Results'!G$73/'Basic Parameters and Results'!G$70)))*(1-'Advanced Parameters'!G$12)))*(1+'Basic Parameters and Results'!$E57)</f>
        <v>3056775.8280637329</v>
      </c>
      <c r="I243" s="1349">
        <f>I91*(1-('Basic Parameters and Results'!$E114*(1-(('Basic Parameters and Results'!H$73/'Basic Parameters and Results'!H$70)))*(1-'Advanced Parameters'!H$12)))*(1+'Basic Parameters and Results'!$E57)</f>
        <v>3490657.5517609669</v>
      </c>
      <c r="J243" s="1349">
        <f>J91*(1-('Basic Parameters and Results'!$E114*(1-(('Basic Parameters and Results'!I$73/'Basic Parameters and Results'!I$70)))*(1-'Advanced Parameters'!I$12)))*(1+'Basic Parameters and Results'!$E57)</f>
        <v>738529.17842833023</v>
      </c>
      <c r="K243" s="1349">
        <f>K91*(1-('Basic Parameters and Results'!$E114*(1-(('Basic Parameters and Results'!K$73/'Basic Parameters and Results'!K$70)))*(1-'Advanced Parameters'!K$12)))*(1+'Basic Parameters and Results'!$E57)</f>
        <v>4583651.4017687859</v>
      </c>
      <c r="L243" s="1349">
        <f>L91*(1-('Basic Parameters and Results'!$E114*(1-(('Basic Parameters and Results'!L$73/'Basic Parameters and Results'!L$70)))*(1-'Advanced Parameters'!L$12)))*(1+'Basic Parameters and Results'!$E57)</f>
        <v>1008833.4849958554</v>
      </c>
    </row>
    <row r="244" spans="2:12" ht="16" thickBot="1">
      <c r="B244" s="1333">
        <v>2028</v>
      </c>
      <c r="C244" s="1349">
        <f>C92*(1-('Basic Parameters and Results'!$E115*(1-(('Basic Parameters and Results'!B$73/'Basic Parameters and Results'!B$70)))*(1-'Advanced Parameters'!B$12)))*(1+'Basic Parameters and Results'!$E58)</f>
        <v>6856469.8645092463</v>
      </c>
      <c r="D244" s="1349">
        <f>D92*(1-('Basic Parameters and Results'!$E115*(1-(('Basic Parameters and Results'!C$73/'Basic Parameters and Results'!C$70)))*(1-'Advanced Parameters'!C$12)))*(1+'Basic Parameters and Results'!$E58)</f>
        <v>5391118.3045365885</v>
      </c>
      <c r="E244" s="1349">
        <f>E92*(1-('Basic Parameters and Results'!$E115*(1-(('Basic Parameters and Results'!D$73/'Basic Parameters and Results'!D$70)))*(1-'Advanced Parameters'!D$12)))*(1+'Basic Parameters and Results'!$E58)</f>
        <v>11891782.567379117</v>
      </c>
      <c r="F244" s="1349">
        <f>F92*(1-('Basic Parameters and Results'!$E115*(1-(('Basic Parameters and Results'!E$73/'Basic Parameters and Results'!E$70)))*(1-'Advanced Parameters'!E$12)))*(1+'Basic Parameters and Results'!$E58)</f>
        <v>2878234.1241654381</v>
      </c>
      <c r="G244" s="1349">
        <f>G92*(1-('Basic Parameters and Results'!$E115*(1-(('Basic Parameters and Results'!F$73/'Basic Parameters and Results'!F$70)))*(1-'Advanced Parameters'!F$12)))*(1+'Basic Parameters and Results'!$E58)</f>
        <v>2316885.4780439422</v>
      </c>
      <c r="H244" s="1349">
        <f>H92*(1-('Basic Parameters and Results'!$E115*(1-(('Basic Parameters and Results'!G$73/'Basic Parameters and Results'!G$70)))*(1-'Advanced Parameters'!G$12)))*(1+'Basic Parameters and Results'!$E58)</f>
        <v>3215358.0680283657</v>
      </c>
      <c r="I244" s="1349">
        <f>I92*(1-('Basic Parameters and Results'!$E115*(1-(('Basic Parameters and Results'!H$73/'Basic Parameters and Results'!H$70)))*(1-'Advanced Parameters'!H$12)))*(1+'Basic Parameters and Results'!$E58)</f>
        <v>3533570.0050124084</v>
      </c>
      <c r="J244" s="1349">
        <f>J92*(1-('Basic Parameters and Results'!$E115*(1-(('Basic Parameters and Results'!I$73/'Basic Parameters and Results'!I$70)))*(1-'Advanced Parameters'!I$12)))*(1+'Basic Parameters and Results'!$E58)</f>
        <v>792966.03673242265</v>
      </c>
      <c r="K244" s="1349">
        <f>K92*(1-('Basic Parameters and Results'!$E115*(1-(('Basic Parameters and Results'!K$73/'Basic Parameters and Results'!K$70)))*(1-'Advanced Parameters'!K$12)))*(1+'Basic Parameters and Results'!$E58)</f>
        <v>4691040.5985360704</v>
      </c>
      <c r="L244" s="1349">
        <f>L92*(1-('Basic Parameters and Results'!$E115*(1-(('Basic Parameters and Results'!L$73/'Basic Parameters and Results'!L$70)))*(1-'Advanced Parameters'!L$12)))*(1+'Basic Parameters and Results'!$E58)</f>
        <v>1048808.9563061481</v>
      </c>
    </row>
    <row r="245" spans="2:12" ht="16" thickBot="1">
      <c r="B245" s="1333">
        <v>2029</v>
      </c>
      <c r="C245" s="1349">
        <f>C93*(1-('Basic Parameters and Results'!$E116*(1-(('Basic Parameters and Results'!B$73/'Basic Parameters and Results'!B$70)))*(1-'Advanced Parameters'!B$12)))*(1+'Basic Parameters and Results'!$E59)</f>
        <v>7101038.0984808234</v>
      </c>
      <c r="D245" s="1349">
        <f>D93*(1-('Basic Parameters and Results'!$E116*(1-(('Basic Parameters and Results'!C$73/'Basic Parameters and Results'!C$70)))*(1-'Advanced Parameters'!C$12)))*(1+'Basic Parameters and Results'!$E59)</f>
        <v>5459199.8629622338</v>
      </c>
      <c r="E245" s="1349">
        <f>E93*(1-('Basic Parameters and Results'!$E116*(1-(('Basic Parameters and Results'!D$73/'Basic Parameters and Results'!D$70)))*(1-'Advanced Parameters'!D$12)))*(1+'Basic Parameters and Results'!$E59)</f>
        <v>13038137.762597462</v>
      </c>
      <c r="F245" s="1349">
        <f>F93*(1-('Basic Parameters and Results'!$E116*(1-(('Basic Parameters and Results'!E$73/'Basic Parameters and Results'!E$70)))*(1-'Advanced Parameters'!E$12)))*(1+'Basic Parameters and Results'!$E59)</f>
        <v>2978621.9648127835</v>
      </c>
      <c r="G245" s="1349">
        <f>G93*(1-('Basic Parameters and Results'!$E116*(1-(('Basic Parameters and Results'!F$73/'Basic Parameters and Results'!F$70)))*(1-'Advanced Parameters'!F$12)))*(1+'Basic Parameters and Results'!$E59)</f>
        <v>2346144.1893406776</v>
      </c>
      <c r="H245" s="1349">
        <f>H93*(1-('Basic Parameters and Results'!$E116*(1-(('Basic Parameters and Results'!G$73/'Basic Parameters and Results'!G$70)))*(1-'Advanced Parameters'!G$12)))*(1+'Basic Parameters and Results'!$E59)</f>
        <v>3374192.4567523072</v>
      </c>
      <c r="I245" s="1349">
        <f>I93*(1-('Basic Parameters and Results'!$E116*(1-(('Basic Parameters and Results'!H$73/'Basic Parameters and Results'!H$70)))*(1-'Advanced Parameters'!H$12)))*(1+'Basic Parameters and Results'!$E59)</f>
        <v>3578193.5764419064</v>
      </c>
      <c r="J245" s="1349">
        <f>J93*(1-('Basic Parameters and Results'!$E116*(1-(('Basic Parameters and Results'!I$73/'Basic Parameters and Results'!I$70)))*(1-'Advanced Parameters'!I$12)))*(1+'Basic Parameters and Results'!$E59)</f>
        <v>848910.51896665129</v>
      </c>
      <c r="K245" s="1349">
        <f>K93*(1-('Basic Parameters and Results'!$E116*(1-(('Basic Parameters and Results'!K$73/'Basic Parameters and Results'!K$70)))*(1-'Advanced Parameters'!K$12)))*(1+'Basic Parameters and Results'!$E59)</f>
        <v>4802534.3426447762</v>
      </c>
      <c r="L245" s="1349">
        <f>L93*(1-('Basic Parameters and Results'!$E116*(1-(('Basic Parameters and Results'!L$73/'Basic Parameters and Results'!L$70)))*(1-'Advanced Parameters'!L$12)))*(1+'Basic Parameters and Results'!$E59)</f>
        <v>1090729.2581163505</v>
      </c>
    </row>
    <row r="246" spans="2:12" ht="16" thickBot="1">
      <c r="B246" s="1333">
        <v>2030</v>
      </c>
      <c r="C246" s="1349">
        <f>C94*(1-('Basic Parameters and Results'!$E117*(1-(('Basic Parameters and Results'!B$73/'Basic Parameters and Results'!B$70)))*(1-'Advanced Parameters'!B$12)))*(1+'Basic Parameters and Results'!$E60)</f>
        <v>7388893.9871977745</v>
      </c>
      <c r="D246" s="1349">
        <f>D94*(1-('Basic Parameters and Results'!$E117*(1-(('Basic Parameters and Results'!C$73/'Basic Parameters and Results'!C$70)))*(1-'Advanced Parameters'!C$12)))*(1+'Basic Parameters and Results'!$E60)</f>
        <v>5556872.8417143999</v>
      </c>
      <c r="E246" s="1349">
        <f>E94*(1-('Basic Parameters and Results'!$E117*(1-(('Basic Parameters and Results'!D$73/'Basic Parameters and Results'!D$70)))*(1-'Advanced Parameters'!D$12)))*(1+'Basic Parameters and Results'!$E60)</f>
        <v>14285412.216859251</v>
      </c>
      <c r="F246" s="1349">
        <f>F94*(1-('Basic Parameters and Results'!$E117*(1-(('Basic Parameters and Results'!E$73/'Basic Parameters and Results'!E$70)))*(1-'Advanced Parameters'!E$12)))*(1+'Basic Parameters and Results'!$E60)</f>
        <v>3097099.7460292489</v>
      </c>
      <c r="G246" s="1349">
        <f>G94*(1-('Basic Parameters and Results'!$E117*(1-(('Basic Parameters and Results'!F$73/'Basic Parameters and Results'!F$70)))*(1-'Advanced Parameters'!F$12)))*(1+'Basic Parameters and Results'!$E60)</f>
        <v>2388120.1010690024</v>
      </c>
      <c r="H246" s="1349">
        <f>H94*(1-('Basic Parameters and Results'!$E117*(1-(('Basic Parameters and Results'!G$73/'Basic Parameters and Results'!G$70)))*(1-'Advanced Parameters'!G$12)))*(1+'Basic Parameters and Results'!$E60)</f>
        <v>3434561.6383919152</v>
      </c>
      <c r="I246" s="1349">
        <f>I94*(1-('Basic Parameters and Results'!$E117*(1-(('Basic Parameters and Results'!H$73/'Basic Parameters and Results'!H$70)))*(1-'Advanced Parameters'!H$12)))*(1+'Basic Parameters and Results'!$E60)</f>
        <v>3642212.6330685136</v>
      </c>
      <c r="J246" s="1349">
        <f>J94*(1-('Basic Parameters and Results'!$E117*(1-(('Basic Parameters and Results'!I$73/'Basic Parameters and Results'!I$70)))*(1-'Advanced Parameters'!I$12)))*(1+'Basic Parameters and Results'!$E60)</f>
        <v>910851.05624695297</v>
      </c>
      <c r="K246" s="1349">
        <f>K94*(1-('Basic Parameters and Results'!$E117*(1-(('Basic Parameters and Results'!K$73/'Basic Parameters and Results'!K$70)))*(1-'Advanced Parameters'!K$12)))*(1+'Basic Parameters and Results'!$E60)</f>
        <v>4942231.6706800163</v>
      </c>
      <c r="L246" s="1349">
        <f>L94*(1-('Basic Parameters and Results'!$E117*(1-(('Basic Parameters and Results'!L$73/'Basic Parameters and Results'!L$70)))*(1-'Advanced Parameters'!L$12)))*(1+'Basic Parameters and Results'!$E60)</f>
        <v>1140220.5690815053</v>
      </c>
    </row>
    <row r="247" spans="2:12">
      <c r="D247" s="1353"/>
    </row>
    <row r="248" spans="2:12">
      <c r="C248" s="1567" t="s">
        <v>3787</v>
      </c>
      <c r="D248" s="1567"/>
      <c r="E248" s="1567"/>
      <c r="F248" s="1567"/>
      <c r="G248" s="1567"/>
    </row>
    <row r="249" spans="2:12" ht="16" thickBot="1">
      <c r="B249" s="1343" t="s">
        <v>3</v>
      </c>
      <c r="C249" s="1369" t="s">
        <v>3757</v>
      </c>
      <c r="D249" s="1369" t="s">
        <v>3678</v>
      </c>
      <c r="E249" s="1369" t="s">
        <v>3691</v>
      </c>
      <c r="F249" s="1369" t="s">
        <v>3690</v>
      </c>
      <c r="G249" s="1369" t="s">
        <v>3679</v>
      </c>
      <c r="K249" s="1369"/>
      <c r="L249" s="1369"/>
    </row>
    <row r="250" spans="2:12" ht="16" thickBot="1">
      <c r="B250" s="1333">
        <v>2017</v>
      </c>
      <c r="C250" s="1349">
        <f>(D122*(1-('Basic Parameters and Results'!$E104*(1-(1/1)))))*(1+'Basic Parameters and Results'!$E47)</f>
        <v>2168506.2565545635</v>
      </c>
      <c r="D250" s="1349">
        <f>F146*(1-('Basic Parameters and Results'!$E104*(1-(('Basic Parameters and Results'!D$73/'Basic Parameters and Results'!D$70)))*(1-'Advanced Parameters'!B$12)))*(1+'Basic Parameters and Results'!$E47)</f>
        <v>19917229.879111897</v>
      </c>
      <c r="E250" s="1349">
        <f>G146*(1-('Basic Parameters and Results'!$E104*(1-(('Basic Parameters and Results'!K$73/'Basic Parameters and Results'!K$70)))*(1-'Advanced Parameters'!K$12)))*(1+'Basic Parameters and Results'!$E47)</f>
        <v>5940226.4551737253</v>
      </c>
      <c r="F250" s="1349">
        <f>H146*(1-('Basic Parameters and Results'!$E104*(1-(('Basic Parameters and Results'!J$73/'Basic Parameters and Results'!J$70)))*(1-'Advanced Parameters'!J$12)))*(1+'Basic Parameters and Results'!$E47)</f>
        <v>3843675.9415829987</v>
      </c>
      <c r="G250" s="1349">
        <f>I146*(1-('Basic Parameters and Results'!$E104*(1-(('Basic Parameters and Results'!E$73/'Basic Parameters and Results'!E$70)))*(1-'Advanced Parameters'!E$12)))*(1+'Basic Parameters and Results'!$E47)</f>
        <v>5241376.2839768156</v>
      </c>
      <c r="K250" s="1353"/>
      <c r="L250" s="1353"/>
    </row>
    <row r="251" spans="2:12" ht="16" thickBot="1">
      <c r="B251" s="1333">
        <v>2018</v>
      </c>
      <c r="C251" s="1349">
        <f>(D123*(1-('Basic Parameters and Results'!$E105*(1-(1/1)))))*(1+'Basic Parameters and Results'!$E48)</f>
        <v>2035244.4712389265</v>
      </c>
      <c r="D251" s="1349">
        <f>F147*(1-('Basic Parameters and Results'!$E105*(1-(('Basic Parameters and Results'!D$73/'Basic Parameters and Results'!D$70)))*(1-'Advanced Parameters'!B$12)))*(1+'Basic Parameters and Results'!$E48)</f>
        <v>20850344.562284529</v>
      </c>
      <c r="E251" s="1349">
        <f>G147*(1-('Basic Parameters and Results'!$E105*(1-(('Basic Parameters and Results'!K$73/'Basic Parameters and Results'!K$70)))*(1-'Advanced Parameters'!K$12)))*(1+'Basic Parameters and Results'!$E48)</f>
        <v>5888415.6658569919</v>
      </c>
      <c r="F251" s="1349">
        <f>H147*(1-('Basic Parameters and Results'!$E105*(1-(('Basic Parameters and Results'!J$73/'Basic Parameters and Results'!J$70)))*(1-'Advanced Parameters'!J$12)))*(1+'Basic Parameters and Results'!$E48)</f>
        <v>4051452.5899587348</v>
      </c>
      <c r="G251" s="1349">
        <f>I147*(1-('Basic Parameters and Results'!$E105*(1-(('Basic Parameters and Results'!E$73/'Basic Parameters and Results'!E$70)))*(1-'Advanced Parameters'!B$12)))*(1+'Basic Parameters and Results'!$E48)</f>
        <v>5510549.4199196445</v>
      </c>
      <c r="K251" s="1353"/>
      <c r="L251" s="1353"/>
    </row>
    <row r="252" spans="2:12" ht="16" thickBot="1">
      <c r="B252" s="1333">
        <v>2019</v>
      </c>
      <c r="C252" s="1349">
        <f>(D124*(1-('Basic Parameters and Results'!$E106*(1-(1/1)))))*(1+'Basic Parameters and Results'!$E49)</f>
        <v>2011902.9924651773</v>
      </c>
      <c r="D252" s="1349">
        <f>F148*(1-('Basic Parameters and Results'!$E106*(1-(('Basic Parameters and Results'!D$73/'Basic Parameters and Results'!D$70)))*(1-'Advanced Parameters'!B$12)))*(1+'Basic Parameters and Results'!$E49)</f>
        <v>21147024.318974055</v>
      </c>
      <c r="E252" s="1349">
        <f>G148*(1-('Basic Parameters and Results'!$E106*(1-(('Basic Parameters and Results'!K$73/'Basic Parameters and Results'!K$70)))*(1-'Advanced Parameters'!K$12)))*(1+'Basic Parameters and Results'!$E49)</f>
        <v>5634502.156883223</v>
      </c>
      <c r="F252" s="1349">
        <f>H148*(1-('Basic Parameters and Results'!$E106*(1-(('Basic Parameters and Results'!J$73/'Basic Parameters and Results'!J$70)))*(1-'Advanced Parameters'!J$12)))*(1+'Basic Parameters and Results'!$E49)</f>
        <v>4137439.7092098426</v>
      </c>
      <c r="G252" s="1349">
        <f>I148*(1-('Basic Parameters and Results'!$E106*(1-(('Basic Parameters and Results'!E$73/'Basic Parameters and Results'!E$70)))*(1-'Advanced Parameters'!B$12)))*(1+'Basic Parameters and Results'!$E49)</f>
        <v>5613118.8469899287</v>
      </c>
      <c r="K252" s="1353"/>
      <c r="L252" s="1353"/>
    </row>
    <row r="253" spans="2:12" ht="16" thickBot="1">
      <c r="B253" s="1333">
        <v>2020</v>
      </c>
      <c r="C253" s="1349">
        <f>(D125*(1-('Basic Parameters and Results'!$E107*(1-(1/1)))))*(1+'Basic Parameters and Results'!$E50)</f>
        <v>2000575.8911999997</v>
      </c>
      <c r="D253" s="1349">
        <f>F149*(1-('Basic Parameters and Results'!$E107*(1-(('Basic Parameters and Results'!D$73/'Basic Parameters and Results'!D$70)))*(1-'Advanced Parameters'!B$12)))*(1+'Basic Parameters and Results'!$E50)</f>
        <v>21765677.13998536</v>
      </c>
      <c r="E253" s="1349">
        <f>G149*(1-('Basic Parameters and Results'!$E107*(1-(('Basic Parameters and Results'!K$73/'Basic Parameters and Results'!K$70)))*(1-'Advanced Parameters'!K$12)))*(1+'Basic Parameters and Results'!$E50)</f>
        <v>5448741.3766028294</v>
      </c>
      <c r="F253" s="1349">
        <f>H149*(1-('Basic Parameters and Results'!$E107*(1-(('Basic Parameters and Results'!J$73/'Basic Parameters and Results'!J$70)))*(1-'Advanced Parameters'!J$12)))*(1+'Basic Parameters and Results'!$E50)</f>
        <v>4287901.1278291643</v>
      </c>
      <c r="G253" s="1349">
        <f>I149*(1-('Basic Parameters and Results'!$E107*(1-(('Basic Parameters and Results'!E$73/'Basic Parameters and Results'!E$70)))*(1-'Advanced Parameters'!B$12)))*(1+'Basic Parameters and Results'!$E50)</f>
        <v>5802412.2164634597</v>
      </c>
      <c r="K253" s="1353"/>
      <c r="L253" s="1353"/>
    </row>
    <row r="254" spans="2:12" ht="16" thickBot="1">
      <c r="B254" s="1333">
        <v>2021</v>
      </c>
      <c r="C254" s="1349">
        <f>(D126*(1-('Basic Parameters and Results'!$E108*(1-(1/1)))))*(1+'Basic Parameters and Results'!$E51)</f>
        <v>2000575.8911999997</v>
      </c>
      <c r="D254" s="1349">
        <f>F150*(1-('Basic Parameters and Results'!$E108*(1-(('Basic Parameters and Results'!D$73/'Basic Parameters and Results'!D$70)))*(1-'Advanced Parameters'!B$12)))*(1+'Basic Parameters and Results'!$E51)</f>
        <v>22710698.829199996</v>
      </c>
      <c r="E254" s="1349">
        <f>G150*(1-('Basic Parameters and Results'!$E108*(1-(('Basic Parameters and Results'!K$73/'Basic Parameters and Results'!K$70)))*(1-'Advanced Parameters'!K$12)))*(1+'Basic Parameters and Results'!$E51)</f>
        <v>5316304.9584877603</v>
      </c>
      <c r="F254" s="1349">
        <f>H150*(1-('Basic Parameters and Results'!$E108*(1-(('Basic Parameters and Results'!J$73/'Basic Parameters and Results'!J$70)))*(1-'Advanced Parameters'!J$12)))*(1+'Basic Parameters and Results'!$E51)</f>
        <v>4505039.5382617945</v>
      </c>
      <c r="G254" s="1349">
        <f>I150*(1-('Basic Parameters and Results'!$E108*(1-(('Basic Parameters and Results'!E$73/'Basic Parameters and Results'!E$70)))*(1-'Advanced Parameters'!B$12)))*(1+'Basic Parameters and Results'!$E51)</f>
        <v>6080740.9655905748</v>
      </c>
      <c r="K254" s="1353"/>
      <c r="L254" s="1353"/>
    </row>
    <row r="255" spans="2:12" ht="16" thickBot="1">
      <c r="B255" s="1333">
        <v>2022</v>
      </c>
      <c r="C255" s="1349">
        <f>(D127*(1-('Basic Parameters and Results'!$E109*(1-(1/1)))))*(1+'Basic Parameters and Results'!$E52)</f>
        <v>2000575.8911999997</v>
      </c>
      <c r="D255" s="1349">
        <f>F151*(1-('Basic Parameters and Results'!$E109*(1-(('Basic Parameters and Results'!D$73/'Basic Parameters and Results'!D$70)))*(1-'Advanced Parameters'!B$12)))*(1+'Basic Parameters and Results'!$E52)</f>
        <v>23694030.918649718</v>
      </c>
      <c r="E255" s="1349">
        <f>G151*(1-('Basic Parameters and Results'!$E109*(1-(('Basic Parameters and Results'!K$73/'Basic Parameters and Results'!K$70)))*(1-'Advanced Parameters'!K$12)))*(1+'Basic Parameters and Results'!$E52)</f>
        <v>5158131.9710211968</v>
      </c>
      <c r="F255" s="1349">
        <f>H151*(1-('Basic Parameters and Results'!$E109*(1-(('Basic Parameters and Results'!J$73/'Basic Parameters and Results'!J$70)))*(1-'Advanced Parameters'!J$12)))*(1+'Basic Parameters and Results'!$E52)</f>
        <v>4732689.7699412005</v>
      </c>
      <c r="G255" s="1349">
        <f>I151*(1-('Basic Parameters and Results'!$E109*(1-(('Basic Parameters and Results'!E$73/'Basic Parameters and Results'!E$70)))*(1-'Advanced Parameters'!B$12)))*(1+'Basic Parameters and Results'!$E52)</f>
        <v>6371810.0818497138</v>
      </c>
      <c r="K255" s="1353"/>
      <c r="L255" s="1353"/>
    </row>
    <row r="256" spans="2:12" ht="16" thickBot="1">
      <c r="B256" s="1333">
        <v>2023</v>
      </c>
      <c r="C256" s="1349">
        <f>(D128*(1-('Basic Parameters and Results'!$E110*(1-(1/1)))))*(1+'Basic Parameters and Results'!$E53)</f>
        <v>2000575.8911999997</v>
      </c>
      <c r="D256" s="1349">
        <f>F152*(1-('Basic Parameters and Results'!$E110*(1-(('Basic Parameters and Results'!D$73/'Basic Parameters and Results'!D$70)))*(1-'Advanced Parameters'!B$12)))*(1+'Basic Parameters and Results'!$E53)</f>
        <v>24820606.689828835</v>
      </c>
      <c r="E256" s="1349">
        <f>G152*(1-('Basic Parameters and Results'!$E110*(1-(('Basic Parameters and Results'!K$73/'Basic Parameters and Results'!K$70)))*(1-'Advanced Parameters'!K$12)))*(1+'Basic Parameters and Results'!$E53)</f>
        <v>4992981.0236780765</v>
      </c>
      <c r="F256" s="1349">
        <f>H152*(1-('Basic Parameters and Results'!$E110*(1-(('Basic Parameters and Results'!J$73/'Basic Parameters and Results'!J$70)))*(1-'Advanced Parameters'!J$12)))*(1+'Basic Parameters and Results'!$E53)</f>
        <v>4992154.2038798612</v>
      </c>
      <c r="G256" s="1349">
        <f>I152*(1-('Basic Parameters and Results'!$E110*(1-(('Basic Parameters and Results'!E$73/'Basic Parameters and Results'!E$70)))*(1-'Advanced Parameters'!B$12)))*(1+'Basic Parameters and Results'!$E53)</f>
        <v>6704130.5305140391</v>
      </c>
      <c r="K256" s="1353"/>
      <c r="L256" s="1353"/>
    </row>
    <row r="257" spans="2:12" ht="16" thickBot="1">
      <c r="B257" s="1333">
        <v>2024</v>
      </c>
      <c r="C257" s="1349">
        <f>(D129*(1-('Basic Parameters and Results'!$E111*(1-(1/1)))))*(1+'Basic Parameters and Results'!$E54)</f>
        <v>2000575.8911999997</v>
      </c>
      <c r="D257" s="1349">
        <f>F153*(1-('Basic Parameters and Results'!$E111*(1-(('Basic Parameters and Results'!D$73/'Basic Parameters and Results'!D$70)))*(1-'Advanced Parameters'!B$12)))*(1+'Basic Parameters and Results'!$E54)</f>
        <v>26030284.844239347</v>
      </c>
      <c r="E257" s="1349">
        <f>G153*(1-('Basic Parameters and Results'!$E111*(1-(('Basic Parameters and Results'!K$73/'Basic Parameters and Results'!K$70)))*(1-'Advanced Parameters'!K$12)))*(1+'Basic Parameters and Results'!$E54)</f>
        <v>4802114.4042546833</v>
      </c>
      <c r="F257" s="1349">
        <f>H153*(1-('Basic Parameters and Results'!$E111*(1-(('Basic Parameters and Results'!J$73/'Basic Parameters and Results'!J$70)))*(1-'Advanced Parameters'!J$12)))*(1+'Basic Parameters and Results'!$E54)</f>
        <v>5271893.82862351</v>
      </c>
      <c r="G257" s="1349">
        <f>I153*(1-('Basic Parameters and Results'!$E111*(1-(('Basic Parameters and Results'!E$73/'Basic Parameters and Results'!E$70)))*(1-'Advanced Parameters'!B$12)))*(1+'Basic Parameters and Results'!$E54)</f>
        <v>7061932.9474333562</v>
      </c>
      <c r="K257" s="1353"/>
      <c r="L257" s="1353"/>
    </row>
    <row r="258" spans="2:12" ht="16" thickBot="1">
      <c r="B258" s="1333">
        <v>2025</v>
      </c>
      <c r="C258" s="1349">
        <f>(D130*(1-('Basic Parameters and Results'!$E112*(1-(1/1)))))*(1+'Basic Parameters and Results'!$E55)</f>
        <v>2000575.8911999997</v>
      </c>
      <c r="D258" s="1349">
        <f>F154*(1-('Basic Parameters and Results'!$E112*(1-(('Basic Parameters and Results'!D$73/'Basic Parameters and Results'!D$70)))*(1-'Advanced Parameters'!B$12)))*(1+'Basic Parameters and Results'!$E55)</f>
        <v>27471517.476551712</v>
      </c>
      <c r="E258" s="1349">
        <f>G154*(1-('Basic Parameters and Results'!$E112*(1-(('Basic Parameters and Results'!K$73/'Basic Parameters and Results'!K$70)))*(1-'Advanced Parameters'!K$12)))*(1+'Basic Parameters and Results'!$E55)</f>
        <v>5067995.6277957587</v>
      </c>
      <c r="F258" s="1349">
        <f>H154*(1-('Basic Parameters and Results'!$E112*(1-(('Basic Parameters and Results'!J$73/'Basic Parameters and Results'!J$70)))*(1-'Advanced Parameters'!J$12)))*(1+'Basic Parameters and Results'!$E55)</f>
        <v>5563785.5795345586</v>
      </c>
      <c r="G258" s="1349">
        <f>I154*(1-('Basic Parameters and Results'!$E112*(1-(('Basic Parameters and Results'!E$73/'Basic Parameters and Results'!E$70)))*(1-'Advanced Parameters'!B$12)))*(1+'Basic Parameters and Results'!$E55)</f>
        <v>7452934.7467584675</v>
      </c>
      <c r="K258" s="1353"/>
      <c r="L258" s="1353"/>
    </row>
    <row r="259" spans="2:12" ht="16" thickBot="1">
      <c r="B259" s="1333">
        <v>2026</v>
      </c>
      <c r="C259" s="1349">
        <f>(D131*(1-('Basic Parameters and Results'!$E113*(1-(1/1)))))*(1+'Basic Parameters and Results'!$E56)</f>
        <v>2000575.8911999997</v>
      </c>
      <c r="D259" s="1349">
        <f>F155*(1-('Basic Parameters and Results'!$E113*(1-(('Basic Parameters and Results'!D$73/'Basic Parameters and Results'!D$70)))*(1-'Advanced Parameters'!B$12)))*(1+'Basic Parameters and Results'!$E56)</f>
        <v>29060548.811102267</v>
      </c>
      <c r="E259" s="1349">
        <f>G155*(1-('Basic Parameters and Results'!$E113*(1-(('Basic Parameters and Results'!K$73/'Basic Parameters and Results'!K$70)))*(1-'Advanced Parameters'!K$12)))*(1+'Basic Parameters and Results'!$E56)</f>
        <v>5361143.0253796922</v>
      </c>
      <c r="F259" s="1349">
        <f>H155*(1-('Basic Parameters and Results'!$E113*(1-(('Basic Parameters and Results'!J$73/'Basic Parameters and Results'!J$70)))*(1-'Advanced Parameters'!J$12)))*(1+'Basic Parameters and Results'!$E56)</f>
        <v>5885610.8894085838</v>
      </c>
      <c r="G259" s="1349">
        <f>I155*(1-('Basic Parameters and Results'!$E113*(1-(('Basic Parameters and Results'!E$73/'Basic Parameters and Results'!E$70)))*(1-'Advanced Parameters'!B$12)))*(1+'Basic Parameters and Results'!$E56)</f>
        <v>7884033.8608524865</v>
      </c>
      <c r="K259" s="1353"/>
      <c r="L259" s="1353"/>
    </row>
    <row r="260" spans="2:12" ht="16" thickBot="1">
      <c r="B260" s="1333">
        <v>2027</v>
      </c>
      <c r="C260" s="1349">
        <f>(D132*(1-('Basic Parameters and Results'!$E114*(1-(1/1)))))*(1+'Basic Parameters and Results'!$E57)</f>
        <v>2000575.8911999997</v>
      </c>
      <c r="D260" s="1349">
        <f>F156*(1-('Basic Parameters and Results'!$E114*(1-(('Basic Parameters and Results'!D$73/'Basic Parameters and Results'!D$70)))*(1-'Advanced Parameters'!B$12)))*(1+'Basic Parameters and Results'!$E57)</f>
        <v>30649399.937492199</v>
      </c>
      <c r="E260" s="1349">
        <f>G156*(1-('Basic Parameters and Results'!$E114*(1-(('Basic Parameters and Results'!K$73/'Basic Parameters and Results'!K$70)))*(1-'Advanced Parameters'!K$12)))*(1+'Basic Parameters and Results'!$E57)</f>
        <v>5654257.177833613</v>
      </c>
      <c r="F260" s="1349">
        <f>H156*(1-('Basic Parameters and Results'!$E114*(1-(('Basic Parameters and Results'!J$73/'Basic Parameters and Results'!J$70)))*(1-'Advanced Parameters'!J$12)))*(1+'Basic Parameters and Results'!$E57)</f>
        <v>6207399.7018606411</v>
      </c>
      <c r="G260" s="1349">
        <f>I156*(1-('Basic Parameters and Results'!$E114*(1-(('Basic Parameters and Results'!E$73/'Basic Parameters and Results'!E$70)))*(1-'Advanced Parameters'!B$12)))*(1+'Basic Parameters and Results'!$E57)</f>
        <v>8315084.0850494299</v>
      </c>
      <c r="K260" s="1353"/>
      <c r="L260" s="1353"/>
    </row>
    <row r="261" spans="2:12" ht="16" thickBot="1">
      <c r="B261" s="1333">
        <v>2028</v>
      </c>
      <c r="C261" s="1349">
        <f>(D133*(1-('Basic Parameters and Results'!$E115*(1-(1/1)))))*(1+'Basic Parameters and Results'!$E58)</f>
        <v>2000575.8911999997</v>
      </c>
      <c r="D261" s="1349">
        <f>F157*(1-('Basic Parameters and Results'!$E115*(1-(('Basic Parameters and Results'!D$73/'Basic Parameters and Results'!D$70)))*(1-'Advanced Parameters'!B$12)))*(1+'Basic Parameters and Results'!$E58)</f>
        <v>32162988.845413469</v>
      </c>
      <c r="E261" s="1349">
        <f>G157*(1-('Basic Parameters and Results'!$E115*(1-(('Basic Parameters and Results'!K$73/'Basic Parameters and Results'!K$70)))*(1-'Advanced Parameters'!K$12)))*(1+'Basic Parameters and Results'!$E58)</f>
        <v>5933486.8190127956</v>
      </c>
      <c r="F261" s="1349">
        <f>H157*(1-('Basic Parameters and Results'!$E115*(1-(('Basic Parameters and Results'!J$73/'Basic Parameters and Results'!J$70)))*(1-'Advanced Parameters'!J$12)))*(1+'Basic Parameters and Results'!$E58)</f>
        <v>6513945.714341525</v>
      </c>
      <c r="G261" s="1349">
        <f>I157*(1-('Basic Parameters and Results'!$E115*(1-(('Basic Parameters and Results'!E$73/'Basic Parameters and Results'!E$70)))*(1-'Advanced Parameters'!B$12)))*(1+'Basic Parameters and Results'!$E58)</f>
        <v>8725715.9103129338</v>
      </c>
      <c r="K261" s="1353"/>
      <c r="L261" s="1353"/>
    </row>
    <row r="262" spans="2:12" ht="16" thickBot="1">
      <c r="B262" s="1333">
        <v>2029</v>
      </c>
      <c r="C262" s="1349">
        <f>(D134*(1-('Basic Parameters and Results'!$E116*(1-(1/1)))))*(1+'Basic Parameters and Results'!$E59)</f>
        <v>2000575.8911999997</v>
      </c>
      <c r="D262" s="1349">
        <f>F158*(1-('Basic Parameters and Results'!$E116*(1-(('Basic Parameters and Results'!D$73/'Basic Parameters and Results'!D$70)))*(1-'Advanced Parameters'!B$12)))*(1+'Basic Parameters and Results'!$E59)</f>
        <v>33718506.516969271</v>
      </c>
      <c r="E262" s="1349">
        <f>G158*(1-('Basic Parameters and Results'!$E116*(1-(('Basic Parameters and Results'!K$73/'Basic Parameters and Results'!K$70)))*(1-'Advanced Parameters'!K$12)))*(1+'Basic Parameters and Results'!$E59)</f>
        <v>6220451.5549482116</v>
      </c>
      <c r="F262" s="1349">
        <f>H158*(1-('Basic Parameters and Results'!$E116*(1-(('Basic Parameters and Results'!J$73/'Basic Parameters and Results'!J$70)))*(1-'Advanced Parameters'!J$12)))*(1+'Basic Parameters and Results'!$E59)</f>
        <v>6828983.5274911057</v>
      </c>
      <c r="G262" s="1349">
        <f>I158*(1-('Basic Parameters and Results'!$E116*(1-(('Basic Parameters and Results'!E$73/'Basic Parameters and Results'!E$70)))*(1-'Advanced Parameters'!B$12)))*(1+'Basic Parameters and Results'!$E59)</f>
        <v>9147722.8749238402</v>
      </c>
      <c r="K262" s="1353"/>
      <c r="L262" s="1353"/>
    </row>
    <row r="263" spans="2:12" ht="16" thickBot="1">
      <c r="B263" s="1333">
        <v>2030</v>
      </c>
      <c r="C263" s="1349">
        <f>(D135*(1-('Basic Parameters and Results'!$E117*(1-(1/1)))))*(1+'Basic Parameters and Results'!$E60)</f>
        <v>2000575.8911999997</v>
      </c>
      <c r="D263" s="1349">
        <f>F159*(1-('Basic Parameters and Results'!$E117*(1-(('Basic Parameters and Results'!D$73/'Basic Parameters and Results'!D$70)))*(1-'Advanced Parameters'!B$12)))*(1+'Basic Parameters and Results'!$E60)</f>
        <v>35409166.366983168</v>
      </c>
      <c r="E263" s="1349">
        <f>G159*(1-('Basic Parameters and Results'!$E117*(1-(('Basic Parameters and Results'!K$73/'Basic Parameters and Results'!K$70)))*(1-'Advanced Parameters'!K$12)))*(1+'Basic Parameters and Results'!$E60)</f>
        <v>6532347.5663452419</v>
      </c>
      <c r="F263" s="1349">
        <f>H159*(1-('Basic Parameters and Results'!$E117*(1-(('Basic Parameters and Results'!J$73/'Basic Parameters and Results'!J$70)))*(1-'Advanced Parameters'!J$12)))*(1+'Basic Parameters and Results'!$E60)</f>
        <v>7171391.583450675</v>
      </c>
      <c r="G263" s="1349">
        <f>I159*(1-('Basic Parameters and Results'!$E117*(1-(('Basic Parameters and Results'!E$73/'Basic Parameters and Results'!E$70)))*(1-'Advanced Parameters'!B$12)))*(1+'Basic Parameters and Results'!$E60)</f>
        <v>9606393.4799194727</v>
      </c>
      <c r="K263" s="1353"/>
      <c r="L263" s="1353"/>
    </row>
    <row r="264" spans="2:12">
      <c r="G264" s="1342"/>
    </row>
    <row r="265" spans="2:12">
      <c r="C265" s="1567" t="s">
        <v>3810</v>
      </c>
      <c r="D265" s="1567"/>
      <c r="E265" s="1567"/>
      <c r="G265" s="1342"/>
    </row>
    <row r="266" spans="2:12" ht="16" thickBot="1">
      <c r="B266" s="1343" t="s">
        <v>3</v>
      </c>
      <c r="C266" s="1341" t="s">
        <v>3785</v>
      </c>
      <c r="D266" s="1341" t="s">
        <v>3788</v>
      </c>
      <c r="E266" s="1341" t="s">
        <v>3759</v>
      </c>
      <c r="F266" s="1341"/>
      <c r="G266" s="1342"/>
    </row>
    <row r="267" spans="2:12" ht="16" thickBot="1">
      <c r="B267" s="1333">
        <v>2017</v>
      </c>
      <c r="C267" s="1351">
        <f t="shared" ref="C267:C280" si="17">$G173</f>
        <v>66519116</v>
      </c>
      <c r="D267" s="1351">
        <f t="shared" ref="D267:D280" si="18">SUM(C233:L233,C250:G250)</f>
        <v>66519116</v>
      </c>
      <c r="E267" s="1351">
        <f t="shared" ref="E267:E280" si="19">C267-D267</f>
        <v>0</v>
      </c>
      <c r="F267" s="1354"/>
      <c r="G267" s="1370"/>
    </row>
    <row r="268" spans="2:12" ht="16" thickBot="1">
      <c r="B268" s="1333">
        <v>2018</v>
      </c>
      <c r="C268" s="1351">
        <f t="shared" si="17"/>
        <v>69496756.773680866</v>
      </c>
      <c r="D268" s="1351">
        <f t="shared" si="18"/>
        <v>68552160.210257903</v>
      </c>
      <c r="E268" s="1351">
        <f t="shared" si="19"/>
        <v>944596.56342296302</v>
      </c>
      <c r="F268" s="1354"/>
      <c r="G268" s="1370"/>
    </row>
    <row r="269" spans="2:12" ht="16" thickBot="1">
      <c r="B269" s="1333">
        <v>2019</v>
      </c>
      <c r="C269" s="1351">
        <f t="shared" si="17"/>
        <v>70704236.304229245</v>
      </c>
      <c r="D269" s="1351">
        <f t="shared" si="18"/>
        <v>68784034.085022822</v>
      </c>
      <c r="E269" s="1351">
        <f t="shared" si="19"/>
        <v>1920202.2192064226</v>
      </c>
      <c r="F269" s="1354"/>
      <c r="G269" s="1370"/>
    </row>
    <row r="270" spans="2:12" ht="16" thickBot="1">
      <c r="B270" s="1333">
        <v>2020</v>
      </c>
      <c r="C270" s="1351">
        <f t="shared" si="17"/>
        <v>72992822.133073598</v>
      </c>
      <c r="D270" s="1351">
        <f t="shared" si="18"/>
        <v>70019710.998905495</v>
      </c>
      <c r="E270" s="1351">
        <f t="shared" si="19"/>
        <v>2973111.1341681033</v>
      </c>
      <c r="F270" s="1354"/>
      <c r="G270" s="1370"/>
    </row>
    <row r="271" spans="2:12" ht="16" thickBot="1">
      <c r="B271" s="1333">
        <v>2021</v>
      </c>
      <c r="C271" s="1351">
        <f t="shared" si="17"/>
        <v>76389302.615715876</v>
      </c>
      <c r="D271" s="1351">
        <f t="shared" si="18"/>
        <v>72230182.880436867</v>
      </c>
      <c r="E271" s="1351">
        <f t="shared" si="19"/>
        <v>4159119.7352790087</v>
      </c>
      <c r="F271" s="1354"/>
      <c r="G271" s="1370"/>
    </row>
    <row r="272" spans="2:12" ht="16" thickBot="1">
      <c r="B272" s="1333">
        <v>2022</v>
      </c>
      <c r="C272" s="1351">
        <f t="shared" si="17"/>
        <v>79961548.653550714</v>
      </c>
      <c r="D272" s="1351">
        <f t="shared" si="18"/>
        <v>74487239.988397509</v>
      </c>
      <c r="E272" s="1351">
        <f t="shared" si="19"/>
        <v>5474308.6651532054</v>
      </c>
      <c r="F272" s="1354"/>
      <c r="G272" s="1370"/>
    </row>
    <row r="273" spans="2:15" ht="16" thickBot="1">
      <c r="B273" s="1333">
        <v>2023</v>
      </c>
      <c r="C273" s="1351">
        <f t="shared" si="17"/>
        <v>84050254.101787165</v>
      </c>
      <c r="D273" s="1351">
        <f t="shared" si="18"/>
        <v>77104408.515673935</v>
      </c>
      <c r="E273" s="1351">
        <f t="shared" si="19"/>
        <v>6945845.5861132294</v>
      </c>
      <c r="F273" s="1354"/>
      <c r="G273" s="1370"/>
    </row>
    <row r="274" spans="2:15" ht="16" thickBot="1">
      <c r="B274" s="1333">
        <v>2024</v>
      </c>
      <c r="C274" s="1351">
        <f t="shared" si="17"/>
        <v>88466981.795458958</v>
      </c>
      <c r="D274" s="1351">
        <f t="shared" si="18"/>
        <v>79891473.872844353</v>
      </c>
      <c r="E274" s="1351">
        <f t="shared" si="19"/>
        <v>8575507.9226146042</v>
      </c>
      <c r="F274" s="1354"/>
      <c r="G274" s="1370"/>
    </row>
    <row r="275" spans="2:15" ht="16" thickBot="1">
      <c r="B275" s="1333">
        <v>2025</v>
      </c>
      <c r="C275" s="1351">
        <f t="shared" si="17"/>
        <v>93303951.536810294</v>
      </c>
      <c r="D275" s="1351">
        <f t="shared" si="18"/>
        <v>84136506.415205508</v>
      </c>
      <c r="E275" s="1351">
        <f t="shared" si="19"/>
        <v>9167445.1216047853</v>
      </c>
      <c r="F275" s="1354"/>
      <c r="G275" s="1370"/>
    </row>
    <row r="276" spans="2:15" ht="16" thickBot="1">
      <c r="B276" s="1333">
        <v>2026</v>
      </c>
      <c r="C276" s="1351">
        <f t="shared" si="17"/>
        <v>98643590.670802802</v>
      </c>
      <c r="D276" s="1351">
        <f t="shared" si="18"/>
        <v>88815953.112791732</v>
      </c>
      <c r="E276" s="1351">
        <f t="shared" si="19"/>
        <v>9827637.5580110699</v>
      </c>
      <c r="F276" s="1354"/>
      <c r="G276" s="1370"/>
    </row>
    <row r="277" spans="2:15" ht="16" thickBot="1">
      <c r="B277" s="1333">
        <v>2027</v>
      </c>
      <c r="C277" s="1351">
        <f t="shared" si="17"/>
        <v>104006169.20202529</v>
      </c>
      <c r="D277" s="1351">
        <f t="shared" si="18"/>
        <v>93495009.93967934</v>
      </c>
      <c r="E277" s="1351">
        <f t="shared" si="19"/>
        <v>10511159.262345955</v>
      </c>
      <c r="F277" s="1354"/>
      <c r="G277" s="1370"/>
    </row>
    <row r="278" spans="2:15" ht="16" thickBot="1">
      <c r="B278" s="1333">
        <v>2028</v>
      </c>
      <c r="C278" s="1351">
        <f t="shared" si="17"/>
        <v>109148280.19929104</v>
      </c>
      <c r="D278" s="1351">
        <f t="shared" si="18"/>
        <v>97952947.183530465</v>
      </c>
      <c r="E278" s="1351">
        <f t="shared" si="19"/>
        <v>11195333.015760571</v>
      </c>
      <c r="F278" s="1354"/>
      <c r="G278" s="1370"/>
    </row>
    <row r="279" spans="2:15" ht="16" thickBot="1">
      <c r="B279" s="1333">
        <v>2029</v>
      </c>
      <c r="C279" s="1351">
        <f t="shared" si="17"/>
        <v>114449842.86294465</v>
      </c>
      <c r="D279" s="1351">
        <f t="shared" si="18"/>
        <v>102533942.39664839</v>
      </c>
      <c r="E279" s="1351">
        <f t="shared" si="19"/>
        <v>11915900.466296256</v>
      </c>
      <c r="F279" s="1354"/>
      <c r="G279" s="1370"/>
    </row>
    <row r="280" spans="2:15" ht="16" thickBot="1">
      <c r="B280" s="1333">
        <v>2030</v>
      </c>
      <c r="C280" s="1351">
        <f t="shared" si="17"/>
        <v>120213043.97720465</v>
      </c>
      <c r="D280" s="1351">
        <f t="shared" si="18"/>
        <v>107506351.34823714</v>
      </c>
      <c r="E280" s="1351">
        <f t="shared" si="19"/>
        <v>12706692.628967509</v>
      </c>
      <c r="F280" s="1354"/>
      <c r="G280" s="1370"/>
    </row>
    <row r="281" spans="2:15">
      <c r="G281" s="1342"/>
    </row>
    <row r="282" spans="2:15">
      <c r="B282" s="1326" t="s">
        <v>3836</v>
      </c>
    </row>
    <row r="283" spans="2:15">
      <c r="C283" s="1567" t="s">
        <v>3811</v>
      </c>
      <c r="D283" s="1567"/>
      <c r="E283" s="1567"/>
      <c r="F283" s="1567"/>
      <c r="G283" s="1567"/>
      <c r="H283" s="1567"/>
      <c r="I283" s="1567"/>
      <c r="J283" s="1567"/>
    </row>
    <row r="284" spans="2:15">
      <c r="C284" s="1396" t="s">
        <v>3760</v>
      </c>
      <c r="D284" s="1396" t="s">
        <v>3761</v>
      </c>
      <c r="E284" s="1396" t="s">
        <v>3762</v>
      </c>
      <c r="F284" s="1396" t="s">
        <v>3763</v>
      </c>
      <c r="G284" s="1396" t="s">
        <v>3764</v>
      </c>
      <c r="H284" s="1396" t="s">
        <v>3765</v>
      </c>
      <c r="I284" s="1396" t="s">
        <v>10</v>
      </c>
      <c r="J284" s="1533" t="s">
        <v>4039</v>
      </c>
    </row>
    <row r="285" spans="2:15">
      <c r="B285" s="1327">
        <v>1</v>
      </c>
      <c r="C285" s="1442" t="str">
        <f>'Basic Parameters and Results'!C77</f>
        <v>EE Building Codes</v>
      </c>
      <c r="D285" s="1442" t="str">
        <f>'Basic Parameters and Results'!E77</f>
        <v>Both</v>
      </c>
      <c r="E285" s="1442" t="str">
        <f>'Basic Parameters and Results'!F77</f>
        <v>All</v>
      </c>
      <c r="F285" s="1442">
        <f>'Basic Parameters and Results'!G77</f>
        <v>0.25</v>
      </c>
      <c r="G285" s="1442">
        <f>'Basic Parameters and Results'!H77</f>
        <v>0.25</v>
      </c>
      <c r="H285" s="1339">
        <f>(1- 'Basic Parameters and Results'!G77*'Basic Parameters and Results'!H77)</f>
        <v>0.9375</v>
      </c>
      <c r="I285" s="1442" t="str">
        <f>'Basic Parameters and Results'!I77</f>
        <v>https://www.adb.org/sites/default/files/project-document/74740/42078-012-reg-tacr.pdf</v>
      </c>
      <c r="J285" s="1354">
        <f>SUM(G449:M449)*(1-Table3[[#This Row],[Impact Multiplier]])</f>
        <v>1084605.1846030802</v>
      </c>
      <c r="L285" s="1371"/>
      <c r="M285" s="1371"/>
      <c r="N285" s="1325" t="s">
        <v>3709</v>
      </c>
      <c r="O285" s="1395" t="s">
        <v>3676</v>
      </c>
    </row>
    <row r="286" spans="2:15">
      <c r="B286" s="1327">
        <v>2</v>
      </c>
      <c r="C286" s="1442" t="str">
        <f>'Basic Parameters and Results'!C78</f>
        <v>Passive Shading</v>
      </c>
      <c r="D286" s="1442" t="str">
        <f>'Basic Parameters and Results'!E78</f>
        <v>Both</v>
      </c>
      <c r="E286" s="1442" t="str">
        <f>'Basic Parameters and Results'!F78</f>
        <v>AC</v>
      </c>
      <c r="F286" s="1442">
        <f>'Basic Parameters and Results'!G78</f>
        <v>0.17</v>
      </c>
      <c r="G286" s="1442">
        <f>'Basic Parameters and Results'!H78</f>
        <v>1</v>
      </c>
      <c r="H286" s="1339">
        <f>(1- 'Basic Parameters and Results'!G78*'Basic Parameters and Results'!H78)</f>
        <v>0.83</v>
      </c>
      <c r="I286" s="1442" t="str">
        <f>'Basic Parameters and Results'!I78</f>
        <v>https://scholarsmine.mst.edu/cgi/viewcontent.cgi?article=7940&amp;context=masters_theses</v>
      </c>
      <c r="J286" s="1354">
        <f>SUM(G450:M450)*(1-Table3[[#This Row],[Impact Multiplier]])</f>
        <v>3120657.2982497402</v>
      </c>
      <c r="L286" s="1354"/>
      <c r="M286" s="1355"/>
      <c r="N286" s="1325" t="s">
        <v>3710</v>
      </c>
      <c r="O286" s="1395" t="s">
        <v>3677</v>
      </c>
    </row>
    <row r="287" spans="2:15">
      <c r="B287" s="1327">
        <v>3</v>
      </c>
      <c r="C287" s="1442" t="str">
        <f>'Basic Parameters and Results'!C79</f>
        <v>Cool Roofs</v>
      </c>
      <c r="D287" s="1442" t="str">
        <f>'Basic Parameters and Results'!E79</f>
        <v>Both</v>
      </c>
      <c r="E287" s="1442" t="str">
        <f>'Basic Parameters and Results'!F79</f>
        <v>AC</v>
      </c>
      <c r="F287" s="1442">
        <f>'Basic Parameters and Results'!G79</f>
        <v>0.2</v>
      </c>
      <c r="G287" s="1442">
        <f>'Basic Parameters and Results'!H79</f>
        <v>1</v>
      </c>
      <c r="H287" s="1339">
        <v>0.9</v>
      </c>
      <c r="I287" s="1442" t="str">
        <f>'Basic Parameters and Results'!I79</f>
        <v>http://esci-ksp.org/wp/wp-content/uploads/2012/03/Cool-Roofs-in-APEC-Economies.pdf</v>
      </c>
      <c r="J287" s="1354">
        <f>SUM(G451:M451)*(1-Table3[[#This Row],[Impact Multiplier]])</f>
        <v>1936218.8399213294</v>
      </c>
      <c r="L287" s="1354"/>
      <c r="M287" s="1355"/>
      <c r="N287" s="1325" t="s">
        <v>80</v>
      </c>
      <c r="O287" s="1395" t="s">
        <v>3678</v>
      </c>
    </row>
    <row r="288" spans="2:15">
      <c r="B288" s="1327">
        <v>4</v>
      </c>
      <c r="C288" s="1442" t="str">
        <f>'Basic Parameters and Results'!C80</f>
        <v>Solar Hot Water Heaters</v>
      </c>
      <c r="D288" s="1442" t="str">
        <f>'Basic Parameters and Results'!E80</f>
        <v>Both</v>
      </c>
      <c r="E288" s="1442" t="str">
        <f>'Basic Parameters and Results'!F80</f>
        <v>Elec Water Heater</v>
      </c>
      <c r="F288" s="1442">
        <f>'Basic Parameters and Results'!G80</f>
        <v>1</v>
      </c>
      <c r="G288" s="1442">
        <f>'Basic Parameters and Results'!H80</f>
        <v>0.4</v>
      </c>
      <c r="H288" s="1339">
        <f>(1- 'Basic Parameters and Results'!G80*'Basic Parameters and Results'!H80)</f>
        <v>0.6</v>
      </c>
      <c r="I288" s="1442"/>
      <c r="J288" s="1355"/>
      <c r="L288" s="1354"/>
      <c r="M288" s="1355"/>
      <c r="N288" s="1325" t="s">
        <v>3774</v>
      </c>
      <c r="O288" s="1396" t="s">
        <v>3679</v>
      </c>
    </row>
    <row r="289" spans="2:15">
      <c r="B289" s="1327">
        <v>5</v>
      </c>
      <c r="C289" s="1442" t="str">
        <f>'Basic Parameters and Results'!C81</f>
        <v>100% Labeling of Appliances</v>
      </c>
      <c r="D289" s="1442" t="str">
        <f>'Basic Parameters and Results'!E81</f>
        <v>Residential</v>
      </c>
      <c r="E289" s="1442" t="str">
        <f>'Basic Parameters and Results'!F81</f>
        <v>All</v>
      </c>
      <c r="F289" s="1442">
        <f>'Basic Parameters and Results'!G81</f>
        <v>0.113</v>
      </c>
      <c r="G289" s="1442">
        <f>'Basic Parameters and Results'!H81</f>
        <v>0.5</v>
      </c>
      <c r="H289" s="1339">
        <f>(1- 'Basic Parameters and Results'!G81*'Basic Parameters and Results'!H81)</f>
        <v>0.94350000000000001</v>
      </c>
      <c r="I289" s="1442" t="str">
        <f>'Basic Parameters and Results'!I81</f>
        <v>https://s3.amazonaws.com/clasp-siteattachments/1996-12_PacificIslandLabelsMEPS.pdf</v>
      </c>
      <c r="J289" s="1355">
        <f>SUM(G453:M453)*(1-Table3[[#This Row],[Impact Multiplier]])</f>
        <v>1204299.9658947189</v>
      </c>
      <c r="L289" s="1354"/>
      <c r="M289" s="1355"/>
      <c r="N289" s="1325"/>
      <c r="O289" s="1396" t="s">
        <v>3680</v>
      </c>
    </row>
    <row r="290" spans="2:15">
      <c r="B290" s="1327">
        <v>6</v>
      </c>
      <c r="C290" s="1442" t="str">
        <f>'Basic Parameters and Results'!C82</f>
        <v>Public Awareness Campaign</v>
      </c>
      <c r="D290" s="1442" t="str">
        <f>'Basic Parameters and Results'!E82</f>
        <v>Both</v>
      </c>
      <c r="E290" s="1442" t="str">
        <f>'Basic Parameters and Results'!F82</f>
        <v>All</v>
      </c>
      <c r="F290" s="1442">
        <f>'Basic Parameters and Results'!G82</f>
        <v>0.05</v>
      </c>
      <c r="G290" s="1442">
        <f>'Basic Parameters and Results'!H82</f>
        <v>0.5</v>
      </c>
      <c r="H290" s="1339">
        <f>(1- 'Basic Parameters and Results'!G82*'Basic Parameters and Results'!H82)</f>
        <v>0.97499999999999998</v>
      </c>
      <c r="I290" s="1442" t="str">
        <f>'Basic Parameters and Results'!I82</f>
        <v>https://ec.europa.eu/energy/intelligent/projects/en/projects/promise</v>
      </c>
      <c r="J290" s="1355">
        <f>SUM(G454:M454)*(1-Table3[[#This Row],[Impact Multiplier]])</f>
        <v>559872.50052876014</v>
      </c>
      <c r="L290" s="1354"/>
      <c r="M290" s="1355"/>
      <c r="N290" s="1325"/>
      <c r="O290" s="1396" t="s">
        <v>3689</v>
      </c>
    </row>
    <row r="291" spans="2:15">
      <c r="B291" s="1327">
        <v>7</v>
      </c>
      <c r="C291" s="1442" t="str">
        <f>'Basic Parameters and Results'!C83</f>
        <v>Green Hotel Program</v>
      </c>
      <c r="D291" s="1442" t="str">
        <f>'Basic Parameters and Results'!E83</f>
        <v>Commercial</v>
      </c>
      <c r="E291" s="1442" t="str">
        <f>'Basic Parameters and Results'!F83</f>
        <v>All</v>
      </c>
      <c r="F291" s="1442">
        <f>'Basic Parameters and Results'!G83</f>
        <v>0.18</v>
      </c>
      <c r="G291" s="1442">
        <f>'Basic Parameters and Results'!H83</f>
        <v>0.04</v>
      </c>
      <c r="H291" s="1339">
        <f>(1- 'Basic Parameters and Results'!G83*'Basic Parameters and Results'!H83)</f>
        <v>0.99280000000000002</v>
      </c>
      <c r="I291" s="1442" t="str">
        <f>'Basic Parameters and Results'!I83</f>
        <v>https://www.adb.org/sites/default/files/project-document/74740/42078-012-reg-tacr.pdf</v>
      </c>
      <c r="J291" s="1355"/>
      <c r="L291" s="1354"/>
      <c r="M291" s="1355"/>
      <c r="N291" s="1325"/>
      <c r="O291" s="1395" t="s">
        <v>3682</v>
      </c>
    </row>
    <row r="292" spans="2:15">
      <c r="B292" s="1327">
        <v>8</v>
      </c>
      <c r="C292" s="1442" t="str">
        <f>'Basic Parameters and Results'!C84</f>
        <v>Net Metering for High Use Customers</v>
      </c>
      <c r="D292" s="1442" t="str">
        <f>'Basic Parameters and Results'!E84</f>
        <v>Commercial</v>
      </c>
      <c r="E292" s="1442" t="str">
        <f>'Basic Parameters and Results'!F84</f>
        <v>All</v>
      </c>
      <c r="F292" s="1442">
        <f>'Basic Parameters and Results'!G84</f>
        <v>0.4</v>
      </c>
      <c r="G292" s="1442">
        <f>'Basic Parameters and Results'!H84</f>
        <v>0.11</v>
      </c>
      <c r="H292" s="1339">
        <f>(1- 'Basic Parameters and Results'!G84*'Basic Parameters and Results'!H84)</f>
        <v>0.95599999999999996</v>
      </c>
      <c r="I292" s="1442" t="str">
        <f>'Basic Parameters and Results'!I84</f>
        <v>https://www.adb.org/sites/default/files/project-document/74740/42078-012-reg-tacr.pdf</v>
      </c>
      <c r="J292" s="1355"/>
      <c r="L292" s="1354"/>
      <c r="M292" s="1355"/>
      <c r="N292" s="1325"/>
      <c r="O292" s="1395" t="s">
        <v>3683</v>
      </c>
    </row>
    <row r="293" spans="2:15">
      <c r="B293" s="1327">
        <v>9</v>
      </c>
      <c r="C293" s="1442" t="str">
        <f>'Basic Parameters and Results'!C85</f>
        <v>Data collection database</v>
      </c>
      <c r="D293" s="1442" t="str">
        <f>'Basic Parameters and Results'!E85</f>
        <v>Commercial</v>
      </c>
      <c r="E293" s="1442" t="str">
        <f>'Basic Parameters and Results'!F85</f>
        <v>All</v>
      </c>
      <c r="F293" s="1442">
        <f>'Basic Parameters and Results'!G85</f>
        <v>0.05</v>
      </c>
      <c r="G293" s="1442">
        <f>'Basic Parameters and Results'!H85</f>
        <v>0.75</v>
      </c>
      <c r="H293" s="1339">
        <f>(1- 'Basic Parameters and Results'!G85*'Basic Parameters and Results'!H85)</f>
        <v>0.96250000000000002</v>
      </c>
      <c r="I293" s="1442"/>
      <c r="J293" s="1355"/>
      <c r="L293" s="1354"/>
      <c r="M293" s="1355"/>
      <c r="N293" s="1325"/>
      <c r="O293" s="1395" t="s">
        <v>3690</v>
      </c>
    </row>
    <row r="294" spans="2:15">
      <c r="B294" s="1327">
        <v>10</v>
      </c>
      <c r="C294" s="1442" t="str">
        <f>'Basic Parameters and Results'!C86</f>
        <v>Energy Audit Program</v>
      </c>
      <c r="D294" s="1442" t="str">
        <f>'Basic Parameters and Results'!E86</f>
        <v>Both</v>
      </c>
      <c r="E294" s="1442" t="str">
        <f>'Basic Parameters and Results'!F86</f>
        <v>All</v>
      </c>
      <c r="F294" s="1442">
        <f>'Basic Parameters and Results'!G86</f>
        <v>0.05</v>
      </c>
      <c r="G294" s="1442">
        <f>'Basic Parameters and Results'!H86</f>
        <v>0.5</v>
      </c>
      <c r="H294" s="1339">
        <f>(1- 'Basic Parameters and Results'!G86*'Basic Parameters and Results'!H86)</f>
        <v>0.97499999999999998</v>
      </c>
      <c r="I294" s="1442"/>
      <c r="J294" s="1355">
        <f>SUM(G454:M454)*(0.03)</f>
        <v>671847.00063451158</v>
      </c>
      <c r="L294" s="1354"/>
      <c r="M294" s="1355"/>
      <c r="N294" s="1325"/>
      <c r="O294" s="1395" t="s">
        <v>3691</v>
      </c>
    </row>
    <row r="295" spans="2:15">
      <c r="B295" s="1327">
        <v>11</v>
      </c>
      <c r="C295" s="1442" t="str">
        <f>'Basic Parameters and Results'!C87</f>
        <v>LED Streetlights</v>
      </c>
      <c r="D295" s="1442" t="str">
        <f>'Basic Parameters and Results'!E87</f>
        <v>Commercial</v>
      </c>
      <c r="E295" s="1442" t="str">
        <f>'Basic Parameters and Results'!F87</f>
        <v>Streetlights</v>
      </c>
      <c r="F295" s="1442">
        <f>'Basic Parameters and Results'!G87</f>
        <v>0.72</v>
      </c>
      <c r="G295" s="1442">
        <f>'Basic Parameters and Results'!H87</f>
        <v>1</v>
      </c>
      <c r="H295" s="1339">
        <f>(1- 'Basic Parameters and Results'!G87*'Basic Parameters and Results'!H87)</f>
        <v>0.28000000000000003</v>
      </c>
      <c r="I295" s="1442" t="str">
        <f>'Basic Parameters and Results'!I87</f>
        <v>Based on impact of already installed LED streetlights</v>
      </c>
      <c r="J295" s="1355"/>
      <c r="L295" s="1354"/>
      <c r="M295" s="1355"/>
      <c r="N295" s="1325"/>
      <c r="O295" s="1395" t="s">
        <v>343</v>
      </c>
    </row>
    <row r="296" spans="2:15">
      <c r="B296" s="1327">
        <v>12</v>
      </c>
      <c r="C296" s="1442" t="str">
        <f>'Basic Parameters and Results'!C88</f>
        <v>HVAC Optimization</v>
      </c>
      <c r="D296" s="1442" t="str">
        <f>'Basic Parameters and Results'!E88</f>
        <v>Commercial</v>
      </c>
      <c r="E296" s="1442" t="str">
        <f>'Basic Parameters and Results'!F88</f>
        <v>AC</v>
      </c>
      <c r="F296" s="1442">
        <f>'Basic Parameters and Results'!G88</f>
        <v>0.1</v>
      </c>
      <c r="G296" s="1442">
        <f>'Basic Parameters and Results'!H88</f>
        <v>0.5</v>
      </c>
      <c r="H296" s="1339">
        <f>(1- 'Basic Parameters and Results'!G88*'Basic Parameters and Results'!H88)</f>
        <v>0.95</v>
      </c>
      <c r="I296" s="1442" t="str">
        <f>'Basic Parameters and Results'!I88</f>
        <v>https://www.adb.org/sites/default/files/project-document/74740/42078-012-reg-tacr.pdf</v>
      </c>
      <c r="J296" s="1355"/>
      <c r="L296" s="1354"/>
      <c r="M296" s="1355"/>
      <c r="N296" s="1325"/>
      <c r="O296" s="1325" t="s">
        <v>3757</v>
      </c>
    </row>
    <row r="297" spans="2:15">
      <c r="B297" s="1327">
        <v>13</v>
      </c>
      <c r="C297" s="1442" t="str">
        <f>'Basic Parameters and Results'!C89</f>
        <v>Fan System Improvements</v>
      </c>
      <c r="D297" s="1442" t="str">
        <f>'Basic Parameters and Results'!E89</f>
        <v>Commercial</v>
      </c>
      <c r="E297" s="1442" t="str">
        <f>'Basic Parameters and Results'!F89</f>
        <v>Fans</v>
      </c>
      <c r="F297" s="1442">
        <f>'Basic Parameters and Results'!G89</f>
        <v>7.4999999999999997E-2</v>
      </c>
      <c r="G297" s="1442">
        <f>'Basic Parameters and Results'!H89</f>
        <v>0.5</v>
      </c>
      <c r="H297" s="1339">
        <f>(1- 'Basic Parameters and Results'!G89*'Basic Parameters and Results'!H89)</f>
        <v>0.96250000000000002</v>
      </c>
      <c r="I297" s="1442"/>
      <c r="J297" s="1355">
        <f>SUM(G461:M461)*(1-Table3[[#This Row],[Impact Multiplier]])</f>
        <v>2723780.0925846249</v>
      </c>
      <c r="L297" s="1354"/>
      <c r="M297" s="1355"/>
      <c r="N297" s="1325"/>
      <c r="O297" s="1325" t="s">
        <v>3816</v>
      </c>
    </row>
    <row r="298" spans="2:15">
      <c r="B298" s="1327">
        <v>14</v>
      </c>
      <c r="C298" s="1442" t="str">
        <f>'Basic Parameters and Results'!C90</f>
        <v>Replace CRT Monitors</v>
      </c>
      <c r="D298" s="1442" t="str">
        <f>'Basic Parameters and Results'!E90</f>
        <v>Commercial</v>
      </c>
      <c r="E298" s="1442" t="str">
        <f>'Basic Parameters and Results'!F90</f>
        <v>Office Equipment</v>
      </c>
      <c r="F298" s="1442">
        <f>'Basic Parameters and Results'!G90</f>
        <v>0.15</v>
      </c>
      <c r="G298" s="1442">
        <f>'Basic Parameters and Results'!H90</f>
        <v>0.5</v>
      </c>
      <c r="H298" s="1339">
        <f>(1- 'Basic Parameters and Results'!G90*'Basic Parameters and Results'!H90)</f>
        <v>0.92500000000000004</v>
      </c>
      <c r="I298" s="1442" t="str">
        <f>'Basic Parameters and Results'!I90</f>
        <v>https://www.adb.org/sites/default/files/project-document/74740/42078-012-reg-tacr.pdf</v>
      </c>
      <c r="J298" s="1355">
        <f>SUM(G462:M462)*(1-Table3[[#This Row],[Impact Multiplier]])</f>
        <v>5734352.0789902378</v>
      </c>
      <c r="L298" s="1354"/>
      <c r="M298" s="1355"/>
      <c r="N298" s="1325"/>
      <c r="O298" s="1325" t="s">
        <v>3774</v>
      </c>
    </row>
    <row r="299" spans="2:15">
      <c r="B299" s="1327">
        <v>15</v>
      </c>
      <c r="C299" s="1442"/>
      <c r="D299" s="1442" t="str">
        <f>'Basic Parameters and Results'!E91</f>
        <v>n/a</v>
      </c>
      <c r="E299" s="1442" t="str">
        <f>'Basic Parameters and Results'!F91</f>
        <v>n/a</v>
      </c>
      <c r="F299" s="1442"/>
      <c r="G299" s="1442"/>
      <c r="H299" s="1339">
        <f>(1- 'Basic Parameters and Results'!G91*'Basic Parameters and Results'!H91)</f>
        <v>1</v>
      </c>
      <c r="I299" s="1442"/>
      <c r="J299" s="1355">
        <f>SUM(G463:M463)*(1-Table3[[#This Row],[Impact Multiplier]])</f>
        <v>0</v>
      </c>
      <c r="L299" s="1354"/>
      <c r="M299" s="1355"/>
    </row>
    <row r="300" spans="2:15">
      <c r="B300" s="1327">
        <v>16</v>
      </c>
      <c r="C300" s="1442"/>
      <c r="D300" s="1442" t="str">
        <f>'Basic Parameters and Results'!E92</f>
        <v>n/a</v>
      </c>
      <c r="E300" s="1442" t="str">
        <f>'Basic Parameters and Results'!F92</f>
        <v>n/a</v>
      </c>
      <c r="F300" s="1442"/>
      <c r="G300" s="1442"/>
      <c r="H300" s="1339">
        <f>(1- 'Basic Parameters and Results'!G92*'Basic Parameters and Results'!H92)</f>
        <v>1</v>
      </c>
      <c r="I300" s="1442"/>
      <c r="J300" s="1355">
        <f>SUM(G464:M464)*(1-Table3[[#This Row],[Impact Multiplier]])</f>
        <v>0</v>
      </c>
      <c r="L300" s="1354"/>
      <c r="M300" s="1355"/>
    </row>
    <row r="301" spans="2:15">
      <c r="B301" s="1327">
        <v>17</v>
      </c>
      <c r="C301" s="1442"/>
      <c r="D301" s="1442" t="str">
        <f>'Basic Parameters and Results'!E93</f>
        <v>n/a</v>
      </c>
      <c r="E301" s="1442" t="str">
        <f>'Basic Parameters and Results'!F93</f>
        <v>n/a</v>
      </c>
      <c r="F301" s="1442"/>
      <c r="G301" s="1442"/>
      <c r="H301" s="1339">
        <f>(1- 'Basic Parameters and Results'!G93*'Basic Parameters and Results'!H93)</f>
        <v>1</v>
      </c>
      <c r="I301" s="1442"/>
      <c r="J301" s="1355">
        <f>SUM(G465:M465)*(1-Table3[[#This Row],[Impact Multiplier]])</f>
        <v>0</v>
      </c>
      <c r="L301" s="1354"/>
      <c r="M301" s="1355"/>
    </row>
    <row r="302" spans="2:15">
      <c r="B302" s="1327">
        <v>18</v>
      </c>
      <c r="C302" s="1442"/>
      <c r="D302" s="1442" t="str">
        <f>'Basic Parameters and Results'!E94</f>
        <v>n/a</v>
      </c>
      <c r="E302" s="1442" t="str">
        <f>'Basic Parameters and Results'!F94</f>
        <v>n/a</v>
      </c>
      <c r="F302" s="1442"/>
      <c r="G302" s="1442"/>
      <c r="H302" s="1339">
        <f>(1- 'Basic Parameters and Results'!G94*'Basic Parameters and Results'!H94)</f>
        <v>1</v>
      </c>
      <c r="I302" s="1442"/>
      <c r="J302" s="1355">
        <f>SUM(G466:M466)*(1-Table3[[#This Row],[Impact Multiplier]])</f>
        <v>0</v>
      </c>
      <c r="L302" s="1354"/>
      <c r="M302" s="1355"/>
    </row>
    <row r="303" spans="2:15">
      <c r="B303" s="1327">
        <v>19</v>
      </c>
      <c r="C303" s="1442"/>
      <c r="D303" s="1442" t="str">
        <f>'Basic Parameters and Results'!E95</f>
        <v>n/a</v>
      </c>
      <c r="E303" s="1442" t="str">
        <f>'Basic Parameters and Results'!F95</f>
        <v>n/a</v>
      </c>
      <c r="F303" s="1442"/>
      <c r="G303" s="1442"/>
      <c r="H303" s="1339">
        <f>(1- 'Basic Parameters and Results'!G95*'Basic Parameters and Results'!H95)</f>
        <v>1</v>
      </c>
      <c r="I303" s="1442"/>
      <c r="J303" s="1355">
        <f>SUM(G467:M467)*(1-Table3[[#This Row],[Impact Multiplier]])</f>
        <v>0</v>
      </c>
      <c r="L303" s="1354"/>
      <c r="M303" s="1355"/>
    </row>
    <row r="304" spans="2:15">
      <c r="B304" s="1327">
        <v>20</v>
      </c>
      <c r="C304" s="1442"/>
      <c r="D304" s="1442" t="str">
        <f>'Basic Parameters and Results'!E96</f>
        <v>n/a</v>
      </c>
      <c r="E304" s="1442" t="str">
        <f>'Basic Parameters and Results'!F96</f>
        <v>n/a</v>
      </c>
      <c r="F304" s="1442"/>
      <c r="G304" s="1442"/>
      <c r="H304" s="1339">
        <f>(1- 'Basic Parameters and Results'!G96*'Basic Parameters and Results'!H96)</f>
        <v>1</v>
      </c>
      <c r="I304" s="1442"/>
      <c r="J304" s="1355">
        <f>SUM(G468:M468)*(1-Table3[[#This Row],[Impact Multiplier]])</f>
        <v>0</v>
      </c>
      <c r="L304" s="1354"/>
      <c r="M304" s="1355"/>
    </row>
    <row r="305" spans="2:15">
      <c r="B305" s="1327">
        <v>21</v>
      </c>
      <c r="C305" s="1442"/>
      <c r="D305" s="1442" t="str">
        <f>'Basic Parameters and Results'!E97</f>
        <v>n/a</v>
      </c>
      <c r="E305" s="1442" t="str">
        <f>'Basic Parameters and Results'!F97</f>
        <v>n/a</v>
      </c>
      <c r="F305" s="1442"/>
      <c r="G305" s="1442"/>
      <c r="H305" s="1339">
        <f>(1- 'Basic Parameters and Results'!G97*'Basic Parameters and Results'!H97)</f>
        <v>1</v>
      </c>
      <c r="I305" s="1442"/>
      <c r="J305" s="1355">
        <f>SUM(G469:M469)*(1-Table3[[#This Row],[Impact Multiplier]])</f>
        <v>0</v>
      </c>
      <c r="L305" s="1354"/>
      <c r="M305" s="1355"/>
    </row>
    <row r="306" spans="2:15">
      <c r="B306" s="1327">
        <v>22</v>
      </c>
      <c r="C306" s="1442"/>
      <c r="D306" s="1442" t="str">
        <f>'Basic Parameters and Results'!E98</f>
        <v>n/a</v>
      </c>
      <c r="E306" s="1442" t="str">
        <f>'Basic Parameters and Results'!F98</f>
        <v>n/a</v>
      </c>
      <c r="F306" s="1442"/>
      <c r="G306" s="1442"/>
      <c r="H306" s="1339">
        <f>(1- 'Basic Parameters and Results'!G98*'Basic Parameters and Results'!H98)</f>
        <v>1</v>
      </c>
      <c r="I306" s="1442"/>
      <c r="J306" s="1355">
        <f>SUM(G470:M470)*(1-Table3[[#This Row],[Impact Multiplier]])</f>
        <v>0</v>
      </c>
      <c r="L306" s="1354"/>
      <c r="M306" s="1355"/>
    </row>
    <row r="307" spans="2:15">
      <c r="B307" s="1327">
        <v>23</v>
      </c>
      <c r="C307" s="1442"/>
      <c r="D307" s="1442" t="str">
        <f>'Basic Parameters and Results'!E99</f>
        <v>n/a</v>
      </c>
      <c r="E307" s="1442" t="str">
        <f>'Basic Parameters and Results'!F99</f>
        <v>n/a</v>
      </c>
      <c r="F307" s="1442"/>
      <c r="G307" s="1442"/>
      <c r="H307" s="1339">
        <f>(1- 'Basic Parameters and Results'!G99*'Basic Parameters and Results'!H99)</f>
        <v>1</v>
      </c>
      <c r="I307" s="1442"/>
      <c r="J307" s="1355">
        <f>SUM(G471:M471)*(1-Table3[[#This Row],[Impact Multiplier]])</f>
        <v>0</v>
      </c>
    </row>
    <row r="308" spans="2:15">
      <c r="B308" s="1327">
        <v>24</v>
      </c>
      <c r="C308" s="1442"/>
      <c r="D308" s="1442" t="str">
        <f>'Basic Parameters and Results'!E100</f>
        <v>n/a</v>
      </c>
      <c r="E308" s="1442" t="str">
        <f>'Basic Parameters and Results'!F100</f>
        <v>n/a</v>
      </c>
      <c r="F308" s="1442"/>
      <c r="G308" s="1442"/>
      <c r="H308" s="1339">
        <f>(1- 'Basic Parameters and Results'!G100*'Basic Parameters and Results'!H100)</f>
        <v>1</v>
      </c>
      <c r="I308" s="1442"/>
      <c r="J308" s="1355">
        <f>SUM(G472:M472)*(1-Table3[[#This Row],[Impact Multiplier]])</f>
        <v>0</v>
      </c>
    </row>
    <row r="309" spans="2:15">
      <c r="B309" s="1327">
        <v>25</v>
      </c>
      <c r="C309" s="1442"/>
      <c r="D309" s="1442" t="str">
        <f>'Basic Parameters and Results'!E101</f>
        <v>n/a</v>
      </c>
      <c r="E309" s="1442" t="str">
        <f>'Basic Parameters and Results'!F101</f>
        <v>n/a</v>
      </c>
      <c r="F309" s="1442"/>
      <c r="G309" s="1442"/>
      <c r="H309" s="1339">
        <f>(1- 'Basic Parameters and Results'!G101*'Basic Parameters and Results'!H101)</f>
        <v>1</v>
      </c>
      <c r="I309" s="1442"/>
      <c r="J309" s="1355">
        <f>SUM(G473:M473)*(1-Table3[[#This Row],[Impact Multiplier]])</f>
        <v>0</v>
      </c>
    </row>
    <row r="310" spans="2:15">
      <c r="F310" s="1346"/>
      <c r="G310" s="1339"/>
      <c r="H310" s="1372"/>
    </row>
    <row r="311" spans="2:15">
      <c r="F311" s="1346"/>
      <c r="G311" s="1339"/>
      <c r="H311" s="1372"/>
    </row>
    <row r="312" spans="2:15">
      <c r="C312" s="1341" t="s">
        <v>3709</v>
      </c>
      <c r="D312" s="1567" t="s">
        <v>3812</v>
      </c>
      <c r="E312" s="1567"/>
      <c r="F312" s="1567"/>
      <c r="G312" s="1567"/>
      <c r="H312" s="1567"/>
      <c r="I312" s="1567"/>
      <c r="J312" s="1567"/>
      <c r="K312" s="1567"/>
    </row>
    <row r="313" spans="2:15" ht="16" thickBot="1">
      <c r="B313" s="1327" t="s">
        <v>3</v>
      </c>
      <c r="C313" s="1343" t="s">
        <v>3676</v>
      </c>
      <c r="D313" s="1343" t="s">
        <v>3677</v>
      </c>
      <c r="E313" s="1343" t="s">
        <v>3678</v>
      </c>
      <c r="F313" s="1343" t="s">
        <v>3679</v>
      </c>
      <c r="G313" s="1343" t="s">
        <v>3680</v>
      </c>
      <c r="H313" s="1343" t="s">
        <v>3689</v>
      </c>
      <c r="I313" s="1343" t="s">
        <v>3682</v>
      </c>
      <c r="J313" s="1343" t="s">
        <v>3683</v>
      </c>
      <c r="K313" s="1343" t="s">
        <v>3691</v>
      </c>
      <c r="L313" s="1343" t="s">
        <v>343</v>
      </c>
    </row>
    <row r="314" spans="2:15" ht="16" thickBot="1">
      <c r="B314" s="1333">
        <v>2017</v>
      </c>
      <c r="C314" s="1349">
        <f t="array" ref="C314">(1-('Basic Parameters and Results'!$E104*(1-(PRODUCT(IF((('Basic Parameters and Results'!$E$78:$E$101=$C$312)+('Basic Parameters and Results'!$E$78:$E$101="Both")+('Basic Parameters and Results'!$E$78:$E$101="All"))*(('Basic Parameters and Results'!$F$78:$F$101=C$313)+('Basic Parameters and Results'!$F$78:$F$101="All")),$H$286:$H$309,1))))))*C233</f>
        <v>5665112.1038236562</v>
      </c>
      <c r="D314" s="1349">
        <f t="array" ref="D314">(1-('Basic Parameters and Results'!$E104*(1-(PRODUCT(IF((('Basic Parameters and Results'!$E$78:$E$101=$C$312)+('Basic Parameters and Results'!$E$78:$E$101="Both")+('Basic Parameters and Results'!$E$78:$E$101="All"))*(('Basic Parameters and Results'!$F$78:$F$101=D$313)+('Basic Parameters and Results'!$F$78:$F$101="All")),$H$286:$H$309,1))))))*D233</f>
        <v>5169137.7303956887</v>
      </c>
      <c r="E314" s="1349">
        <f t="array" ref="E314">(1-('Basic Parameters and Results'!$E104*(1-(PRODUCT(IF((('Basic Parameters and Results'!$E$78:$E$101=$C$312)+('Basic Parameters and Results'!$E$78:$E$101="Both")+('Basic Parameters and Results'!$E$78:$E$101="All"))*(('Basic Parameters and Results'!$F$78:$F$101=E$313)+('Basic Parameters and Results'!$F$78:$F$101="All")),$H$286:$H$309,1))))))*E233</f>
        <v>1271495.048975918</v>
      </c>
      <c r="F314" s="1349">
        <f t="array" ref="F314">(1-('Basic Parameters and Results'!$E104*(1-(PRODUCT(IF((('Basic Parameters and Results'!$E$78:$E$101=$C$312)+('Basic Parameters and Results'!$E$78:$E$101="Both")+('Basic Parameters and Results'!$E$78:$E$101="All"))*(('Basic Parameters and Results'!$F$78:$F$101=F$313)+('Basic Parameters and Results'!$F$78:$F$101="All")),$H$286:$H$309,1))))))*F233</f>
        <v>2333230.4775988329</v>
      </c>
      <c r="G314" s="1349">
        <f t="array" ref="G314">(1-('Basic Parameters and Results'!$E104*(1-(PRODUCT(IF((('Basic Parameters and Results'!$E$78:$E$101=$C$312)+('Basic Parameters and Results'!$E$78:$E$101="Both")+('Basic Parameters and Results'!$E$78:$E$101="All"))*(('Basic Parameters and Results'!$F$78:$F$101=G$313)+('Basic Parameters and Results'!$F$78:$F$101="All")),$H$286:$H$309,1))))))*G233</f>
        <v>2185295.1698143771</v>
      </c>
      <c r="H314" s="1349">
        <f t="array" ref="H314">(1-('Basic Parameters and Results'!$E104*(1-(PRODUCT(IF((('Basic Parameters and Results'!$E$78:$E$101=$C$312)+('Basic Parameters and Results'!$E$78:$E$101="Both")+('Basic Parameters and Results'!$E$78:$E$101="All"))*(('Basic Parameters and Results'!$F$78:$F$101=H$313)+('Basic Parameters and Results'!$F$78:$F$101="All")),$H$286:$H$309,1))))))*H233</f>
        <v>2142960.2825471521</v>
      </c>
      <c r="I314" s="1349">
        <f t="array" ref="I314">(1-('Basic Parameters and Results'!$E104*(1-(PRODUCT(IF((('Basic Parameters and Results'!$E$78:$E$101=$C$312)+('Basic Parameters and Results'!$E$78:$E$101="Both")+('Basic Parameters and Results'!$E$78:$E$101="All"))*(('Basic Parameters and Results'!$F$78:$F$101=I$313)+('Basic Parameters and Results'!$F$78:$F$101="All")),$H$286:$H$309,1))))))*I233</f>
        <v>2038516.3003358282</v>
      </c>
      <c r="J314" s="1349">
        <f t="array" ref="J314">(1-('Basic Parameters and Results'!$E104*(1-(PRODUCT(IF((('Basic Parameters and Results'!$E$78:$E$101=$C$312)+('Basic Parameters and Results'!$E$78:$E$101="Both")+('Basic Parameters and Results'!$E$78:$E$101="All"))*(('Basic Parameters and Results'!$F$78:$F$101=J$313)+('Basic Parameters and Results'!$F$78:$F$101="All")),$H$286:$H$309,1))))))*J233</f>
        <v>355536.37709995423</v>
      </c>
      <c r="K314" s="1349">
        <f t="array" ref="K314">(1-('Basic Parameters and Results'!$E104*(1-(PRODUCT(IF((('Basic Parameters and Results'!$E$78:$E$101=$C$312)+('Basic Parameters and Results'!$E$78:$E$101="Both")+('Basic Parameters and Results'!$E$78:$E$101="All"))*(('Basic Parameters and Results'!$F$78:$F$101=K$313)+('Basic Parameters and Results'!$F$78:$F$101="All")),$H$286:$H$309,1))))))*K233</f>
        <v>7410426.4462531572</v>
      </c>
      <c r="L314" s="1349">
        <f t="array" ref="L314">(1-('Basic Parameters and Results'!$E104*(1-(PRODUCT(IF((('Basic Parameters and Results'!$E$78:$E$101=$C$312)+('Basic Parameters and Results'!$E$78:$E$101="Both")+('Basic Parameters and Results'!$E$78:$E$101="All"))*(('Basic Parameters and Results'!$F$78:$F$101=L$313)+('Basic Parameters and Results'!$F$78:$F$101="All")),$H$286:$H$309,1))))))*L233</f>
        <v>836391.24675543548</v>
      </c>
      <c r="M314" s="1351"/>
      <c r="N314" s="1351"/>
      <c r="O314" s="1351"/>
    </row>
    <row r="315" spans="2:15" ht="16" thickBot="1">
      <c r="B315" s="1333">
        <v>2018</v>
      </c>
      <c r="C315" s="1349">
        <f t="array" ref="C315">(1-('Basic Parameters and Results'!$E105*(1-(PRODUCT(IF((('Basic Parameters and Results'!$E$78:$E$101=$C$312)+('Basic Parameters and Results'!$E$78:$E$101="Both")+('Basic Parameters and Results'!$E$78:$E$101="All"))*(('Basic Parameters and Results'!$F$78:$F$101=C$313)+('Basic Parameters and Results'!$F$78:$F$101="All")),$H$286:$H$309,1))))))*C234</f>
        <v>5533003.7372031566</v>
      </c>
      <c r="D315" s="1349">
        <f t="array" ref="D315">(1-('Basic Parameters and Results'!$E105*(1-(PRODUCT(IF((('Basic Parameters and Results'!$E$78:$E$101=$C$312)+('Basic Parameters and Results'!$E$78:$E$101="Both")+('Basic Parameters and Results'!$E$78:$E$101="All"))*(('Basic Parameters and Results'!$F$78:$F$101=D$313)+('Basic Parameters and Results'!$F$78:$F$101="All")),$H$286:$H$309,1))))))*D234</f>
        <v>5117754.195523941</v>
      </c>
      <c r="E315" s="1349">
        <f t="array" ref="E315">(1-('Basic Parameters and Results'!$E105*(1-(PRODUCT(IF((('Basic Parameters and Results'!$E$78:$E$101=$C$312)+('Basic Parameters and Results'!$E$78:$E$101="Both")+('Basic Parameters and Results'!$E$78:$E$101="All"))*(('Basic Parameters and Results'!$F$78:$F$101=E$313)+('Basic Parameters and Results'!$F$78:$F$101="All")),$H$286:$H$309,1))))))*E234</f>
        <v>2214346.7173099634</v>
      </c>
      <c r="F315" s="1349">
        <f t="array" ref="F315">(1-('Basic Parameters and Results'!$E105*(1-(PRODUCT(IF((('Basic Parameters and Results'!$E$78:$E$101=$C$312)+('Basic Parameters and Results'!$E$78:$E$101="Both")+('Basic Parameters and Results'!$E$78:$E$101="All"))*(('Basic Parameters and Results'!$F$78:$F$101=F$313)+('Basic Parameters and Results'!$F$78:$F$101="All")),$H$286:$H$309,1))))))*F234</f>
        <v>2285575.1696246522</v>
      </c>
      <c r="G315" s="1349">
        <f t="array" ref="G315">(1-('Basic Parameters and Results'!$E105*(1-(PRODUCT(IF((('Basic Parameters and Results'!$E$78:$E$101=$C$312)+('Basic Parameters and Results'!$E$78:$E$101="Both")+('Basic Parameters and Results'!$E$78:$E$101="All"))*(('Basic Parameters and Results'!$F$78:$F$101=G$313)+('Basic Parameters and Results'!$F$78:$F$101="All")),$H$286:$H$309,1))))))*G234</f>
        <v>2125848.7432693341</v>
      </c>
      <c r="H315" s="1349">
        <f t="array" ref="H315">(1-('Basic Parameters and Results'!$E105*(1-(PRODUCT(IF((('Basic Parameters and Results'!$E$78:$E$101=$C$312)+('Basic Parameters and Results'!$E$78:$E$101="Both")+('Basic Parameters and Results'!$E$78:$E$101="All"))*(('Basic Parameters and Results'!$F$78:$F$101=H$313)+('Basic Parameters and Results'!$F$78:$F$101="All")),$H$286:$H$309,1))))))*H234</f>
        <v>2152475.4785119914</v>
      </c>
      <c r="I315" s="1349">
        <f t="array" ref="I315">(1-('Basic Parameters and Results'!$E105*(1-(PRODUCT(IF((('Basic Parameters and Results'!$E$78:$E$101=$C$312)+('Basic Parameters and Results'!$E$78:$E$101="Both")+('Basic Parameters and Results'!$E$78:$E$101="All"))*(('Basic Parameters and Results'!$F$78:$F$101=I$313)+('Basic Parameters and Results'!$F$78:$F$101="All")),$H$286:$H$309,1))))))*I234</f>
        <v>2218457.1253693611</v>
      </c>
      <c r="J315" s="1349">
        <f t="array" ref="J315">(1-('Basic Parameters and Results'!$E105*(1-(PRODUCT(IF((('Basic Parameters and Results'!$E$78:$E$101=$C$312)+('Basic Parameters and Results'!$E$78:$E$101="Both")+('Basic Parameters and Results'!$E$78:$E$101="All"))*(('Basic Parameters and Results'!$F$78:$F$101=J$313)+('Basic Parameters and Results'!$F$78:$F$101="All")),$H$286:$H$309,1))))))*J234</f>
        <v>384210.92553675169</v>
      </c>
      <c r="K315" s="1349">
        <f t="array" ref="K315">(1-('Basic Parameters and Results'!$E105*(1-(PRODUCT(IF((('Basic Parameters and Results'!$E$78:$E$101=$C$312)+('Basic Parameters and Results'!$E$78:$E$101="Both")+('Basic Parameters and Results'!$E$78:$E$101="All"))*(('Basic Parameters and Results'!$F$78:$F$101=K$313)+('Basic Parameters and Results'!$F$78:$F$101="All")),$H$286:$H$309,1))))))*K234</f>
        <v>6724701.9426859012</v>
      </c>
      <c r="L315" s="1349">
        <f t="array" ref="L315">(1-('Basic Parameters and Results'!$E105*(1-(PRODUCT(IF((('Basic Parameters and Results'!$E$78:$E$101=$C$312)+('Basic Parameters and Results'!$E$78:$E$101="Both")+('Basic Parameters and Results'!$E$78:$E$101="All"))*(('Basic Parameters and Results'!$F$78:$F$101=L$313)+('Basic Parameters and Results'!$F$78:$F$101="All")),$H$286:$H$309,1))))))*L234</f>
        <v>817735.23368889524</v>
      </c>
      <c r="M315" s="1351"/>
      <c r="N315" s="1351"/>
      <c r="O315" s="1351"/>
    </row>
    <row r="316" spans="2:15" ht="16" thickBot="1">
      <c r="B316" s="1333">
        <v>2019</v>
      </c>
      <c r="C316" s="1349">
        <f t="array" ref="C316">(1-('Basic Parameters and Results'!$E106*(1-(PRODUCT(IF((('Basic Parameters and Results'!$E$78:$E$101=$C$312)+('Basic Parameters and Results'!$E$78:$E$101="Both")+('Basic Parameters and Results'!$E$78:$E$101="All"))*(('Basic Parameters and Results'!$F$78:$F$101=C$313)+('Basic Parameters and Results'!$F$78:$F$101="All")),$H$286:$H$309,1))))))*C235</f>
        <v>5284345.7233605646</v>
      </c>
      <c r="D316" s="1349">
        <f t="array" ref="D316">(1-('Basic Parameters and Results'!$E106*(1-(PRODUCT(IF((('Basic Parameters and Results'!$E$78:$E$101=$C$312)+('Basic Parameters and Results'!$E$78:$E$101="Both")+('Basic Parameters and Results'!$E$78:$E$101="All"))*(('Basic Parameters and Results'!$F$78:$F$101=D$313)+('Basic Parameters and Results'!$F$78:$F$101="All")),$H$286:$H$309,1))))))*D235</f>
        <v>4951232.9402808314</v>
      </c>
      <c r="E316" s="1349">
        <f t="array" ref="E316">(1-('Basic Parameters and Results'!$E106*(1-(PRODUCT(IF((('Basic Parameters and Results'!$E$78:$E$101=$C$312)+('Basic Parameters and Results'!$E$78:$E$101="Both")+('Basic Parameters and Results'!$E$78:$E$101="All"))*(('Basic Parameters and Results'!$F$78:$F$101=E$313)+('Basic Parameters and Results'!$F$78:$F$101="All")),$H$286:$H$309,1))))))*E235</f>
        <v>2901631.8398712426</v>
      </c>
      <c r="F316" s="1349">
        <f t="array" ref="F316">(1-('Basic Parameters and Results'!$E106*(1-(PRODUCT(IF((('Basic Parameters and Results'!$E$78:$E$101=$C$312)+('Basic Parameters and Results'!$E$78:$E$101="Both")+('Basic Parameters and Results'!$E$78:$E$101="All"))*(('Basic Parameters and Results'!$F$78:$F$101=F$313)+('Basic Parameters and Results'!$F$78:$F$101="All")),$H$286:$H$309,1))))))*F235</f>
        <v>2189534.0377076501</v>
      </c>
      <c r="G316" s="1349">
        <f t="array" ref="G316">(1-('Basic Parameters and Results'!$E106*(1-(PRODUCT(IF((('Basic Parameters and Results'!$E$78:$E$101=$C$312)+('Basic Parameters and Results'!$E$78:$E$101="Both")+('Basic Parameters and Results'!$E$78:$E$101="All"))*(('Basic Parameters and Results'!$F$78:$F$101=G$313)+('Basic Parameters and Results'!$F$78:$F$101="All")),$H$286:$H$309,1))))))*G235</f>
        <v>2023106.4951495726</v>
      </c>
      <c r="H316" s="1349">
        <f t="array" ref="H316">(1-('Basic Parameters and Results'!$E106*(1-(PRODUCT(IF((('Basic Parameters and Results'!$E$78:$E$101=$C$312)+('Basic Parameters and Results'!$E$78:$E$101="Both")+('Basic Parameters and Results'!$E$78:$E$101="All"))*(('Basic Parameters and Results'!$F$78:$F$101=H$313)+('Basic Parameters and Results'!$F$78:$F$101="All")),$H$286:$H$309,1))))))*H235</f>
        <v>2108183.9209744483</v>
      </c>
      <c r="I316" s="1349">
        <f t="array" ref="I316">(1-('Basic Parameters and Results'!$E106*(1-(PRODUCT(IF((('Basic Parameters and Results'!$E$78:$E$101=$C$312)+('Basic Parameters and Results'!$E$78:$E$101="Both")+('Basic Parameters and Results'!$E$78:$E$101="All"))*(('Basic Parameters and Results'!$F$78:$F$101=I$313)+('Basic Parameters and Results'!$F$78:$F$101="All")),$H$286:$H$309,1))))))*I235</f>
        <v>2281991.2088169213</v>
      </c>
      <c r="J316" s="1349">
        <f t="array" ref="J316">(1-('Basic Parameters and Results'!$E106*(1-(PRODUCT(IF((('Basic Parameters and Results'!$E$78:$E$101=$C$312)+('Basic Parameters and Results'!$E$78:$E$101="Both")+('Basic Parameters and Results'!$E$78:$E$101="All"))*(('Basic Parameters and Results'!$F$78:$F$101=J$313)+('Basic Parameters and Results'!$F$78:$F$101="All")),$H$286:$H$309,1))))))*J235</f>
        <v>398995.49862821249</v>
      </c>
      <c r="K316" s="1349">
        <f t="array" ref="K316">(1-('Basic Parameters and Results'!$E106*(1-(PRODUCT(IF((('Basic Parameters and Results'!$E$78:$E$101=$C$312)+('Basic Parameters and Results'!$E$78:$E$101="Both")+('Basic Parameters and Results'!$E$78:$E$101="All"))*(('Basic Parameters and Results'!$F$78:$F$101=K$313)+('Basic Parameters and Results'!$F$78:$F$101="All")),$H$286:$H$309,1))))))*K235</f>
        <v>5950693.4525144203</v>
      </c>
      <c r="L316" s="1349">
        <f t="array" ref="L316">(1-('Basic Parameters and Results'!$E106*(1-(PRODUCT(IF((('Basic Parameters and Results'!$E$78:$E$101=$C$312)+('Basic Parameters and Results'!$E$78:$E$101="Both")+('Basic Parameters and Results'!$E$78:$E$101="All"))*(('Basic Parameters and Results'!$F$78:$F$101=L$313)+('Basic Parameters and Results'!$F$78:$F$101="All")),$H$286:$H$309,1))))))*L235</f>
        <v>782489.97637916298</v>
      </c>
      <c r="M316" s="1351"/>
      <c r="N316" s="1351"/>
      <c r="O316" s="1351"/>
    </row>
    <row r="317" spans="2:15" ht="16" thickBot="1">
      <c r="B317" s="1333">
        <v>2020</v>
      </c>
      <c r="C317" s="1349">
        <f t="array" ref="C317">(1-('Basic Parameters and Results'!$E107*(1-(PRODUCT(IF((('Basic Parameters and Results'!$E$78:$E$101=$C$312)+('Basic Parameters and Results'!$E$78:$E$101="Both")+('Basic Parameters and Results'!$E$78:$E$101="All"))*(('Basic Parameters and Results'!$F$78:$F$101=C$313)+('Basic Parameters and Results'!$F$78:$F$101="All")),$H$286:$H$309,1))))))*C236</f>
        <v>5139192.2507033208</v>
      </c>
      <c r="D317" s="1349">
        <f t="array" ref="D317">(1-('Basic Parameters and Results'!$E107*(1-(PRODUCT(IF((('Basic Parameters and Results'!$E$78:$E$101=$C$312)+('Basic Parameters and Results'!$E$78:$E$101="Both")+('Basic Parameters and Results'!$E$78:$E$101="All"))*(('Basic Parameters and Results'!$F$78:$F$101=D$313)+('Basic Parameters and Results'!$F$78:$F$101="All")),$H$286:$H$309,1))))))*D236</f>
        <v>4874679.9973755591</v>
      </c>
      <c r="E317" s="1349">
        <f t="array" ref="E317">(1-('Basic Parameters and Results'!$E107*(1-(PRODUCT(IF((('Basic Parameters and Results'!$E$78:$E$101=$C$312)+('Basic Parameters and Results'!$E$78:$E$101="Both")+('Basic Parameters and Results'!$E$78:$E$101="All"))*(('Basic Parameters and Results'!$F$78:$F$101=E$313)+('Basic Parameters and Results'!$F$78:$F$101="All")),$H$286:$H$309,1))))))*E236</f>
        <v>3459355.2498514638</v>
      </c>
      <c r="F317" s="1349">
        <f t="array" ref="F317">(1-('Basic Parameters and Results'!$E107*(1-(PRODUCT(IF((('Basic Parameters and Results'!$E$78:$E$101=$C$312)+('Basic Parameters and Results'!$E$78:$E$101="Both")+('Basic Parameters and Results'!$E$78:$E$101="All"))*(('Basic Parameters and Results'!$F$78:$F$101=F$313)+('Basic Parameters and Results'!$F$78:$F$101="All")),$H$286:$H$309,1))))))*F236</f>
        <v>2136088.3372591957</v>
      </c>
      <c r="G317" s="1349">
        <f t="array" ref="G317">(1-('Basic Parameters and Results'!$E107*(1-(PRODUCT(IF((('Basic Parameters and Results'!$E$78:$E$101=$C$312)+('Basic Parameters and Results'!$E$78:$E$101="Both")+('Basic Parameters and Results'!$E$78:$E$101="All"))*(('Basic Parameters and Results'!$F$78:$F$101=G$313)+('Basic Parameters and Results'!$F$78:$F$101="All")),$H$286:$H$309,1))))))*G236</f>
        <v>1961335.3977492312</v>
      </c>
      <c r="H317" s="1349">
        <f t="array" ref="H317">(1-('Basic Parameters and Results'!$E107*(1-(PRODUCT(IF((('Basic Parameters and Results'!$E$78:$E$101=$C$312)+('Basic Parameters and Results'!$E$78:$E$101="Both")+('Basic Parameters and Results'!$E$78:$E$101="All"))*(('Basic Parameters and Results'!$F$78:$F$101=H$313)+('Basic Parameters and Results'!$F$78:$F$101="All")),$H$286:$H$309,1))))))*H236</f>
        <v>2097366.0619321298</v>
      </c>
      <c r="I317" s="1349">
        <f t="array" ref="I317">(1-('Basic Parameters and Results'!$E107*(1-(PRODUCT(IF((('Basic Parameters and Results'!$E$78:$E$101=$C$312)+('Basic Parameters and Results'!$E$78:$E$101="Both")+('Basic Parameters and Results'!$E$78:$E$101="All"))*(('Basic Parameters and Results'!$F$78:$F$101=I$313)+('Basic Parameters and Results'!$F$78:$F$101="All")),$H$286:$H$309,1))))))*I236</f>
        <v>2327713.4122889009</v>
      </c>
      <c r="J317" s="1349">
        <f t="array" ref="J317">(1-('Basic Parameters and Results'!$E107*(1-(PRODUCT(IF((('Basic Parameters and Results'!$E$78:$E$101=$C$312)+('Basic Parameters and Results'!$E$78:$E$101="Both")+('Basic Parameters and Results'!$E$78:$E$101="All"))*(('Basic Parameters and Results'!$F$78:$F$101=J$313)+('Basic Parameters and Results'!$F$78:$F$101="All")),$H$286:$H$309,1))))))*J236</f>
        <v>416291.86568432744</v>
      </c>
      <c r="K317" s="1349">
        <f t="array" ref="K317">(1-('Basic Parameters and Results'!$E107*(1-(PRODUCT(IF((('Basic Parameters and Results'!$E$78:$E$101=$C$312)+('Basic Parameters and Results'!$E$78:$E$101="Both")+('Basic Parameters and Results'!$E$78:$E$101="All"))*(('Basic Parameters and Results'!$F$78:$F$101=K$313)+('Basic Parameters and Results'!$F$78:$F$101="All")),$H$286:$H$309,1))))))*K236</f>
        <v>5344263.7162851058</v>
      </c>
      <c r="L317" s="1349">
        <f t="array" ref="L317">(1-('Basic Parameters and Results'!$E107*(1-(PRODUCT(IF((('Basic Parameters and Results'!$E$78:$E$101=$C$312)+('Basic Parameters and Results'!$E$78:$E$101="Both")+('Basic Parameters and Results'!$E$78:$E$101="All"))*(('Basic Parameters and Results'!$F$78:$F$101=L$313)+('Basic Parameters and Results'!$F$78:$F$101="All")),$H$286:$H$309,1))))))*L236</f>
        <v>763101.08163455594</v>
      </c>
      <c r="M317" s="1351"/>
      <c r="N317" s="1351"/>
      <c r="O317" s="1351"/>
    </row>
    <row r="318" spans="2:15" ht="16" thickBot="1">
      <c r="B318" s="1333">
        <v>2021</v>
      </c>
      <c r="C318" s="1349">
        <f t="array" ref="C318">(1-('Basic Parameters and Results'!$E108*(1-(PRODUCT(IF((('Basic Parameters and Results'!$E$78:$E$101=$C$312)+('Basic Parameters and Results'!$E$78:$E$101="Both")+('Basic Parameters and Results'!$E$78:$E$101="All"))*(('Basic Parameters and Results'!$F$78:$F$101=C$313)+('Basic Parameters and Results'!$F$78:$F$101="All")),$H$286:$H$309,1))))))*C237</f>
        <v>5108567.4542032387</v>
      </c>
      <c r="D318" s="1349">
        <f t="array" ref="D318">(1-('Basic Parameters and Results'!$E108*(1-(PRODUCT(IF((('Basic Parameters and Results'!$E$78:$E$101=$C$312)+('Basic Parameters and Results'!$E$78:$E$101="Both")+('Basic Parameters and Results'!$E$78:$E$101="All"))*(('Basic Parameters and Results'!$F$78:$F$101=D$313)+('Basic Parameters and Results'!$F$78:$F$101="All")),$H$286:$H$309,1))))))*D237</f>
        <v>4735675.622967218</v>
      </c>
      <c r="E318" s="1349">
        <f t="array" ref="E318">(1-('Basic Parameters and Results'!$E108*(1-(PRODUCT(IF((('Basic Parameters and Results'!$E$78:$E$101=$C$312)+('Basic Parameters and Results'!$E$78:$E$101="Both")+('Basic Parameters and Results'!$E$78:$E$101="All"))*(('Basic Parameters and Results'!$F$78:$F$101=E$313)+('Basic Parameters and Results'!$F$78:$F$101="All")),$H$286:$H$309,1))))))*E237</f>
        <v>3954507.2721285238</v>
      </c>
      <c r="F318" s="1349">
        <f t="array" ref="F318">(1-('Basic Parameters and Results'!$E108*(1-(PRODUCT(IF((('Basic Parameters and Results'!$E$78:$E$101=$C$312)+('Basic Parameters and Results'!$E$78:$E$101="Both")+('Basic Parameters and Results'!$E$78:$E$101="All"))*(('Basic Parameters and Results'!$F$78:$F$101=F$313)+('Basic Parameters and Results'!$F$78:$F$101="All")),$H$286:$H$309,1))))))*F237</f>
        <v>2130212.7322332053</v>
      </c>
      <c r="G318" s="1349">
        <f t="array" ref="G318">(1-('Basic Parameters and Results'!$E108*(1-(PRODUCT(IF((('Basic Parameters and Results'!$E$78:$E$101=$C$312)+('Basic Parameters and Results'!$E$78:$E$101="Both")+('Basic Parameters and Results'!$E$78:$E$101="All"))*(('Basic Parameters and Results'!$F$78:$F$101=G$313)+('Basic Parameters and Results'!$F$78:$F$101="All")),$H$286:$H$309,1))))))*G237</f>
        <v>1944228.2758355273</v>
      </c>
      <c r="H318" s="1349">
        <f t="array" ref="H318">(1-('Basic Parameters and Results'!$E108*(1-(PRODUCT(IF((('Basic Parameters and Results'!$E$78:$E$101=$C$312)+('Basic Parameters and Results'!$E$78:$E$101="Both")+('Basic Parameters and Results'!$E$78:$E$101="All"))*(('Basic Parameters and Results'!$F$78:$F$101=H$313)+('Basic Parameters and Results'!$F$78:$F$101="All")),$H$286:$H$309,1))))))*H237</f>
        <v>2128092.3587912619</v>
      </c>
      <c r="I318" s="1349">
        <f t="array" ref="I318">(1-('Basic Parameters and Results'!$E108*(1-(PRODUCT(IF((('Basic Parameters and Results'!$E$78:$E$101=$C$312)+('Basic Parameters and Results'!$E$78:$E$101="Both")+('Basic Parameters and Results'!$E$78:$E$101="All"))*(('Basic Parameters and Results'!$F$78:$F$101=I$313)+('Basic Parameters and Results'!$F$78:$F$101="All")),$H$286:$H$309,1))))))*I237</f>
        <v>2373362.5137109649</v>
      </c>
      <c r="J318" s="1349">
        <f t="array" ref="J318">(1-('Basic Parameters and Results'!$E108*(1-(PRODUCT(IF((('Basic Parameters and Results'!$E$78:$E$101=$C$312)+('Basic Parameters and Results'!$E$78:$E$101="Both")+('Basic Parameters and Results'!$E$78:$E$101="All"))*(('Basic Parameters and Results'!$F$78:$F$101=J$313)+('Basic Parameters and Results'!$F$78:$F$101="All")),$H$286:$H$309,1))))))*J237</f>
        <v>439221.92717781593</v>
      </c>
      <c r="K318" s="1349">
        <f t="array" ref="K318">(1-('Basic Parameters and Results'!$E108*(1-(PRODUCT(IF((('Basic Parameters and Results'!$E$78:$E$101=$C$312)+('Basic Parameters and Results'!$E$78:$E$101="Both")+('Basic Parameters and Results'!$E$78:$E$101="All"))*(('Basic Parameters and Results'!$F$78:$F$101=K$313)+('Basic Parameters and Results'!$F$78:$F$101="All")),$H$286:$H$309,1))))))*K237</f>
        <v>4886328.4006264843</v>
      </c>
      <c r="L318" s="1349">
        <f t="array" ref="L318">(1-('Basic Parameters and Results'!$E108*(1-(PRODUCT(IF((('Basic Parameters and Results'!$E$78:$E$101=$C$312)+('Basic Parameters and Results'!$E$78:$E$101="Both")+('Basic Parameters and Results'!$E$78:$E$101="All"))*(('Basic Parameters and Results'!$F$78:$F$101=L$313)+('Basic Parameters and Results'!$F$78:$F$101="All")),$H$286:$H$309,1))))))*L237</f>
        <v>761255.35739740462</v>
      </c>
      <c r="M318" s="1351"/>
      <c r="N318" s="1351"/>
      <c r="O318" s="1351"/>
    </row>
    <row r="319" spans="2:15" ht="16" thickBot="1">
      <c r="B319" s="1333">
        <v>2022</v>
      </c>
      <c r="C319" s="1349">
        <f t="array" ref="C319">(1-('Basic Parameters and Results'!$E109*(1-(PRODUCT(IF((('Basic Parameters and Results'!$E$78:$E$101=$C$312)+('Basic Parameters and Results'!$E$78:$E$101="Both")+('Basic Parameters and Results'!$E$78:$E$101="All"))*(('Basic Parameters and Results'!$F$78:$F$101=C$313)+('Basic Parameters and Results'!$F$78:$F$101="All")),$H$286:$H$309,1))))))*C238</f>
        <v>5132293.6012583068</v>
      </c>
      <c r="D319" s="1349">
        <f t="array" ref="D319">(1-('Basic Parameters and Results'!$E109*(1-(PRODUCT(IF((('Basic Parameters and Results'!$E$78:$E$101=$C$312)+('Basic Parameters and Results'!$E$78:$E$101="Both")+('Basic Parameters and Results'!$E$78:$E$101="All"))*(('Basic Parameters and Results'!$F$78:$F$101=D$313)+('Basic Parameters and Results'!$F$78:$F$101="All")),$H$286:$H$309,1))))))*D238</f>
        <v>4645900.9626257205</v>
      </c>
      <c r="E319" s="1349">
        <f t="array" ref="E319">(1-('Basic Parameters and Results'!$E109*(1-(PRODUCT(IF((('Basic Parameters and Results'!$E$78:$E$101=$C$312)+('Basic Parameters and Results'!$E$78:$E$101="Both")+('Basic Parameters and Results'!$E$78:$E$101="All"))*(('Basic Parameters and Results'!$F$78:$F$101=E$313)+('Basic Parameters and Results'!$F$78:$F$101="All")),$H$286:$H$309,1))))))*E238</f>
        <v>4380811.6888117203</v>
      </c>
      <c r="F319" s="1349">
        <f t="array" ref="F319">(1-('Basic Parameters and Results'!$E109*(1-(PRODUCT(IF((('Basic Parameters and Results'!$E$78:$E$101=$C$312)+('Basic Parameters and Results'!$E$78:$E$101="Both")+('Basic Parameters and Results'!$E$78:$E$101="All"))*(('Basic Parameters and Results'!$F$78:$F$101=F$313)+('Basic Parameters and Results'!$F$78:$F$101="All")),$H$286:$H$309,1))))))*F238</f>
        <v>2147179.8030303777</v>
      </c>
      <c r="G319" s="1349">
        <f t="array" ref="G319">(1-('Basic Parameters and Results'!$E109*(1-(PRODUCT(IF((('Basic Parameters and Results'!$E$78:$E$101=$C$312)+('Basic Parameters and Results'!$E$78:$E$101="Both")+('Basic Parameters and Results'!$E$78:$E$101="All"))*(('Basic Parameters and Results'!$F$78:$F$101=G$313)+('Basic Parameters and Results'!$F$78:$F$101="All")),$H$286:$H$309,1))))))*G238</f>
        <v>1948506.0685560321</v>
      </c>
      <c r="H319" s="1349">
        <f t="array" ref="H319">(1-('Basic Parameters and Results'!$E109*(1-(PRODUCT(IF((('Basic Parameters and Results'!$E$78:$E$101=$C$312)+('Basic Parameters and Results'!$E$78:$E$101="Both")+('Basic Parameters and Results'!$E$78:$E$101="All"))*(('Basic Parameters and Results'!$F$78:$F$101=H$313)+('Basic Parameters and Results'!$F$78:$F$101="All")),$H$286:$H$309,1))))))*H238</f>
        <v>2178070.3445475283</v>
      </c>
      <c r="I319" s="1349">
        <f t="array" ref="I319">(1-('Basic Parameters and Results'!$E109*(1-(PRODUCT(IF((('Basic Parameters and Results'!$E$78:$E$101=$C$312)+('Basic Parameters and Results'!$E$78:$E$101="Both")+('Basic Parameters and Results'!$E$78:$E$101="All"))*(('Basic Parameters and Results'!$F$78:$F$101=I$313)+('Basic Parameters and Results'!$F$78:$F$101="All")),$H$286:$H$309,1))))))*I238</f>
        <v>2203843.6321762218</v>
      </c>
      <c r="J319" s="1349">
        <f t="array" ref="J319">(1-('Basic Parameters and Results'!$E109*(1-(PRODUCT(IF((('Basic Parameters and Results'!$E$78:$E$101=$C$312)+('Basic Parameters and Results'!$E$78:$E$101="Both")+('Basic Parameters and Results'!$E$78:$E$101="All"))*(('Basic Parameters and Results'!$F$78:$F$101=J$313)+('Basic Parameters and Results'!$F$78:$F$101="All")),$H$286:$H$309,1))))))*J238</f>
        <v>464298.89678343688</v>
      </c>
      <c r="K319" s="1349">
        <f t="array" ref="K319">(1-('Basic Parameters and Results'!$E109*(1-(PRODUCT(IF((('Basic Parameters and Results'!$E$78:$E$101=$C$312)+('Basic Parameters and Results'!$E$78:$E$101="Both")+('Basic Parameters and Results'!$E$78:$E$101="All"))*(('Basic Parameters and Results'!$F$78:$F$101=K$313)+('Basic Parameters and Results'!$F$78:$F$101="All")),$H$286:$H$309,1))))))*K238</f>
        <v>4493890.5140908742</v>
      </c>
      <c r="L319" s="1349">
        <f t="array" ref="L319">(1-('Basic Parameters and Results'!$E109*(1-(PRODUCT(IF((('Basic Parameters and Results'!$E$78:$E$101=$C$312)+('Basic Parameters and Results'!$E$78:$E$101="Both")+('Basic Parameters and Results'!$E$78:$E$101="All"))*(('Basic Parameters and Results'!$F$78:$F$101=L$313)+('Basic Parameters and Results'!$F$78:$F$101="All")),$H$286:$H$309,1))))))*L238</f>
        <v>768091.99897663889</v>
      </c>
      <c r="M319" s="1351"/>
      <c r="N319" s="1351"/>
      <c r="O319" s="1351"/>
    </row>
    <row r="320" spans="2:15" ht="16" thickBot="1">
      <c r="B320" s="1333">
        <v>2023</v>
      </c>
      <c r="C320" s="1349">
        <f t="array" ref="C320">(1-('Basic Parameters and Results'!$E110*(1-(PRODUCT(IF((('Basic Parameters and Results'!$E$78:$E$101=$C$312)+('Basic Parameters and Results'!$E$78:$E$101="Both")+('Basic Parameters and Results'!$E$78:$E$101="All"))*(('Basic Parameters and Results'!$F$78:$F$101=C$313)+('Basic Parameters and Results'!$F$78:$F$101="All")),$H$286:$H$309,1))))))*C239</f>
        <v>5193139.827181315</v>
      </c>
      <c r="D320" s="1349">
        <f t="array" ref="D320">(1-('Basic Parameters and Results'!$E110*(1-(PRODUCT(IF((('Basic Parameters and Results'!$E$78:$E$101=$C$312)+('Basic Parameters and Results'!$E$78:$E$101="Both")+('Basic Parameters and Results'!$E$78:$E$101="All"))*(('Basic Parameters and Results'!$F$78:$F$101=D$313)+('Basic Parameters and Results'!$F$78:$F$101="All")),$H$286:$H$309,1))))))*D239</f>
        <v>4593812.0315006478</v>
      </c>
      <c r="E320" s="1349">
        <f t="array" ref="E320">(1-('Basic Parameters and Results'!$E110*(1-(PRODUCT(IF((('Basic Parameters and Results'!$E$78:$E$101=$C$312)+('Basic Parameters and Results'!$E$78:$E$101="Both")+('Basic Parameters and Results'!$E$78:$E$101="All"))*(('Basic Parameters and Results'!$F$78:$F$101=E$313)+('Basic Parameters and Results'!$F$78:$F$101="All")),$H$286:$H$309,1))))))*E239</f>
        <v>4741397.8433605889</v>
      </c>
      <c r="F320" s="1349">
        <f t="array" ref="F320">(1-('Basic Parameters and Results'!$E110*(1-(PRODUCT(IF((('Basic Parameters and Results'!$E$78:$E$101=$C$312)+('Basic Parameters and Results'!$E$78:$E$101="Both")+('Basic Parameters and Results'!$E$78:$E$101="All"))*(('Basic Parameters and Results'!$F$78:$F$101=F$313)+('Basic Parameters and Results'!$F$78:$F$101="All")),$H$286:$H$309,1))))))*F239</f>
        <v>2179976.1893916577</v>
      </c>
      <c r="G320" s="1349">
        <f t="array" ref="G320">(1-('Basic Parameters and Results'!$E110*(1-(PRODUCT(IF((('Basic Parameters and Results'!$E$78:$E$101=$C$312)+('Basic Parameters and Results'!$E$78:$E$101="Both")+('Basic Parameters and Results'!$E$78:$E$101="All"))*(('Basic Parameters and Results'!$F$78:$F$101=G$313)+('Basic Parameters and Results'!$F$78:$F$101="All")),$H$286:$H$309,1))))))*G239</f>
        <v>1967450.5367490172</v>
      </c>
      <c r="H320" s="1349">
        <f t="array" ref="H320">(1-('Basic Parameters and Results'!$E110*(1-(PRODUCT(IF((('Basic Parameters and Results'!$E$78:$E$101=$C$312)+('Basic Parameters and Results'!$E$78:$E$101="Both")+('Basic Parameters and Results'!$E$78:$E$101="All"))*(('Basic Parameters and Results'!$F$78:$F$101=H$313)+('Basic Parameters and Results'!$F$78:$F$101="All")),$H$286:$H$309,1))))))*H239</f>
        <v>2241337.7183394046</v>
      </c>
      <c r="I320" s="1349">
        <f t="array" ref="I320">(1-('Basic Parameters and Results'!$E110*(1-(PRODUCT(IF((('Basic Parameters and Results'!$E$78:$E$101=$C$312)+('Basic Parameters and Results'!$E$78:$E$101="Both")+('Basic Parameters and Results'!$E$78:$E$101="All"))*(('Basic Parameters and Results'!$F$78:$F$101=I$313)+('Basic Parameters and Results'!$F$78:$F$101="All")),$H$286:$H$309,1))))))*I239</f>
        <v>1995817.2837027535</v>
      </c>
      <c r="J320" s="1349">
        <f t="array" ref="J320">(1-('Basic Parameters and Results'!$E110*(1-(PRODUCT(IF((('Basic Parameters and Results'!$E$78:$E$101=$C$312)+('Basic Parameters and Results'!$E$78:$E$101="Both")+('Basic Parameters and Results'!$E$78:$E$101="All"))*(('Basic Parameters and Results'!$F$78:$F$101=J$313)+('Basic Parameters and Results'!$F$78:$F$101="All")),$H$286:$H$309,1))))))*J239</f>
        <v>490771.603311304</v>
      </c>
      <c r="K320" s="1349">
        <f t="array" ref="K320">(1-('Basic Parameters and Results'!$E110*(1-(PRODUCT(IF((('Basic Parameters and Results'!$E$78:$E$101=$C$312)+('Basic Parameters and Results'!$E$78:$E$101="Both")+('Basic Parameters and Results'!$E$78:$E$101="All"))*(('Basic Parameters and Results'!$F$78:$F$101=K$313)+('Basic Parameters and Results'!$F$78:$F$101="All")),$H$286:$H$309,1))))))*K239</f>
        <v>4138949.0247673052</v>
      </c>
      <c r="L320" s="1349">
        <f t="array" ref="L320">(1-('Basic Parameters and Results'!$E110*(1-(PRODUCT(IF((('Basic Parameters and Results'!$E$78:$E$101=$C$312)+('Basic Parameters and Results'!$E$78:$E$101="Both")+('Basic Parameters and Results'!$E$78:$E$101="All"))*(('Basic Parameters and Results'!$F$78:$F$101=L$313)+('Basic Parameters and Results'!$F$78:$F$101="All")),$H$286:$H$309,1))))))*L239</f>
        <v>781110.16968783666</v>
      </c>
      <c r="M320" s="1351"/>
      <c r="N320" s="1351"/>
      <c r="O320" s="1351"/>
    </row>
    <row r="321" spans="2:15" ht="16" thickBot="1">
      <c r="B321" s="1333">
        <v>2024</v>
      </c>
      <c r="C321" s="1349">
        <f t="array" ref="C321">(1-('Basic Parameters and Results'!$E111*(1-(PRODUCT(IF((('Basic Parameters and Results'!$E$78:$E$101=$C$312)+('Basic Parameters and Results'!$E$78:$E$101="Both")+('Basic Parameters and Results'!$E$78:$E$101="All"))*(('Basic Parameters and Results'!$F$78:$F$101=C$313)+('Basic Parameters and Results'!$F$78:$F$101="All")),$H$286:$H$309,1))))))*C240</f>
        <v>5270143.6827819021</v>
      </c>
      <c r="D321" s="1349">
        <f t="array" ref="D321">(1-('Basic Parameters and Results'!$E111*(1-(PRODUCT(IF((('Basic Parameters and Results'!$E$78:$E$101=$C$312)+('Basic Parameters and Results'!$E$78:$E$101="Both")+('Basic Parameters and Results'!$E$78:$E$101="All"))*(('Basic Parameters and Results'!$F$78:$F$101=D$313)+('Basic Parameters and Results'!$F$78:$F$101="All")),$H$286:$H$309,1))))))*D240</f>
        <v>4558734.4378884956</v>
      </c>
      <c r="E321" s="1349">
        <f t="array" ref="E321">(1-('Basic Parameters and Results'!$E111*(1-(PRODUCT(IF((('Basic Parameters and Results'!$E$78:$E$101=$C$312)+('Basic Parameters and Results'!$E$78:$E$101="Both")+('Basic Parameters and Results'!$E$78:$E$101="All"))*(('Basic Parameters and Results'!$F$78:$F$101=E$313)+('Basic Parameters and Results'!$F$78:$F$101="All")),$H$286:$H$309,1))))))*E240</f>
        <v>5025994.6638045264</v>
      </c>
      <c r="F321" s="1349">
        <f t="array" ref="F321">(1-('Basic Parameters and Results'!$E111*(1-(PRODUCT(IF((('Basic Parameters and Results'!$E$78:$E$101=$C$312)+('Basic Parameters and Results'!$E$78:$E$101="Both")+('Basic Parameters and Results'!$E$78:$E$101="All"))*(('Basic Parameters and Results'!$F$78:$F$101=F$313)+('Basic Parameters and Results'!$F$78:$F$101="All")),$H$286:$H$309,1))))))*F240</f>
        <v>2219929.0181160667</v>
      </c>
      <c r="G321" s="1349">
        <f t="array" ref="G321">(1-('Basic Parameters and Results'!$E111*(1-(PRODUCT(IF((('Basic Parameters and Results'!$E$78:$E$101=$C$312)+('Basic Parameters and Results'!$E$78:$E$101="Both")+('Basic Parameters and Results'!$E$78:$E$101="All"))*(('Basic Parameters and Results'!$F$78:$F$101=G$313)+('Basic Parameters and Results'!$F$78:$F$101="All")),$H$286:$H$309,1))))))*G240</f>
        <v>1959160.4228968166</v>
      </c>
      <c r="H321" s="1349">
        <f t="array" ref="H321">(1-('Basic Parameters and Results'!$E111*(1-(PRODUCT(IF((('Basic Parameters and Results'!$E$78:$E$101=$C$312)+('Basic Parameters and Results'!$E$78:$E$101="Both")+('Basic Parameters and Results'!$E$78:$E$101="All"))*(('Basic Parameters and Results'!$F$78:$F$101=H$313)+('Basic Parameters and Results'!$F$78:$F$101="All")),$H$286:$H$309,1))))))*H240</f>
        <v>2309626.2365988446</v>
      </c>
      <c r="I321" s="1349">
        <f t="array" ref="I321">(1-('Basic Parameters and Results'!$E111*(1-(PRODUCT(IF((('Basic Parameters and Results'!$E$78:$E$101=$C$312)+('Basic Parameters and Results'!$E$78:$E$101="Both")+('Basic Parameters and Results'!$E$78:$E$101="All"))*(('Basic Parameters and Results'!$F$78:$F$101=I$313)+('Basic Parameters and Results'!$F$78:$F$101="All")),$H$286:$H$309,1))))))*I240</f>
        <v>1792793.9652503578</v>
      </c>
      <c r="J321" s="1349">
        <f t="array" ref="J321">(1-('Basic Parameters and Results'!$E111*(1-(PRODUCT(IF((('Basic Parameters and Results'!$E$78:$E$101=$C$312)+('Basic Parameters and Results'!$E$78:$E$101="Both")+('Basic Parameters and Results'!$E$78:$E$101="All"))*(('Basic Parameters and Results'!$F$78:$F$101=J$313)+('Basic Parameters and Results'!$F$78:$F$101="All")),$H$286:$H$309,1))))))*J240</f>
        <v>517114.61110609834</v>
      </c>
      <c r="K321" s="1349">
        <f t="array" ref="K321">(1-('Basic Parameters and Results'!$E111*(1-(PRODUCT(IF((('Basic Parameters and Results'!$E$78:$E$101=$C$312)+('Basic Parameters and Results'!$E$78:$E$101="Both")+('Basic Parameters and Results'!$E$78:$E$101="All"))*(('Basic Parameters and Results'!$F$78:$F$101=K$313)+('Basic Parameters and Results'!$F$78:$F$101="All")),$H$286:$H$309,1))))))*K240</f>
        <v>3796907.3576308065</v>
      </c>
      <c r="L321" s="1349">
        <f t="array" ref="L321">(1-('Basic Parameters and Results'!$E111*(1-(PRODUCT(IF((('Basic Parameters and Results'!$E$78:$E$101=$C$312)+('Basic Parameters and Results'!$E$78:$E$101="Both")+('Basic Parameters and Results'!$E$78:$E$101="All"))*(('Basic Parameters and Results'!$F$78:$F$101=L$313)+('Basic Parameters and Results'!$F$78:$F$101="All")),$H$286:$H$309,1))))))*L240</f>
        <v>797223.41272707377</v>
      </c>
      <c r="M321" s="1351"/>
      <c r="N321" s="1351"/>
      <c r="O321" s="1351"/>
    </row>
    <row r="322" spans="2:15" ht="16" thickBot="1">
      <c r="B322" s="1333">
        <v>2025</v>
      </c>
      <c r="C322" s="1349">
        <f t="array" ref="C322">(1-('Basic Parameters and Results'!$E112*(1-(PRODUCT(IF((('Basic Parameters and Results'!$E$78:$E$101=$C$312)+('Basic Parameters and Results'!$E$78:$E$101="Both")+('Basic Parameters and Results'!$E$78:$E$101="All"))*(('Basic Parameters and Results'!$F$78:$F$101=C$313)+('Basic Parameters and Results'!$F$78:$F$101="All")),$H$286:$H$309,1))))))*C241</f>
        <v>5475933.209797184</v>
      </c>
      <c r="D322" s="1349">
        <f t="array" ref="D322">(1-('Basic Parameters and Results'!$E112*(1-(PRODUCT(IF((('Basic Parameters and Results'!$E$78:$E$101=$C$312)+('Basic Parameters and Results'!$E$78:$E$101="Both")+('Basic Parameters and Results'!$E$78:$E$101="All"))*(('Basic Parameters and Results'!$F$78:$F$101=D$313)+('Basic Parameters and Results'!$F$78:$F$101="All")),$H$286:$H$309,1))))))*D241</f>
        <v>4621069.1615474783</v>
      </c>
      <c r="E322" s="1349">
        <f t="array" ref="E322">(1-('Basic Parameters and Results'!$E112*(1-(PRODUCT(IF((('Basic Parameters and Results'!$E$78:$E$101=$C$312)+('Basic Parameters and Results'!$E$78:$E$101="Both")+('Basic Parameters and Results'!$E$78:$E$101="All"))*(('Basic Parameters and Results'!$F$78:$F$101=E$313)+('Basic Parameters and Results'!$F$78:$F$101="All")),$H$286:$H$309,1))))))*E241</f>
        <v>5724619.1093039168</v>
      </c>
      <c r="F322" s="1349">
        <f t="array" ref="F322">(1-('Basic Parameters and Results'!$E112*(1-(PRODUCT(IF((('Basic Parameters and Results'!$E$78:$E$101=$C$312)+('Basic Parameters and Results'!$E$78:$E$101="Both")+('Basic Parameters and Results'!$E$78:$E$101="All"))*(('Basic Parameters and Results'!$F$78:$F$101=F$313)+('Basic Parameters and Results'!$F$78:$F$101="All")),$H$286:$H$309,1))))))*F241</f>
        <v>2304491.9493472255</v>
      </c>
      <c r="G322" s="1349">
        <f t="array" ref="G322">(1-('Basic Parameters and Results'!$E112*(1-(PRODUCT(IF((('Basic Parameters and Results'!$E$78:$E$101=$C$312)+('Basic Parameters and Results'!$E$78:$E$101="Both")+('Basic Parameters and Results'!$E$78:$E$101="All"))*(('Basic Parameters and Results'!$F$78:$F$101=G$313)+('Basic Parameters and Results'!$F$78:$F$101="All")),$H$286:$H$309,1))))))*G241</f>
        <v>1985949.3761093342</v>
      </c>
      <c r="H322" s="1349">
        <f t="array" ref="H322">(1-('Basic Parameters and Results'!$E112*(1-(PRODUCT(IF((('Basic Parameters and Results'!$E$78:$E$101=$C$312)+('Basic Parameters and Results'!$E$78:$E$101="Both")+('Basic Parameters and Results'!$E$78:$E$101="All"))*(('Basic Parameters and Results'!$F$78:$F$101=H$313)+('Basic Parameters and Results'!$F$78:$F$101="All")),$H$286:$H$309,1))))))*H241</f>
        <v>2444927.3065989721</v>
      </c>
      <c r="I322" s="1349">
        <f t="array" ref="I322">(1-('Basic Parameters and Results'!$E112*(1-(PRODUCT(IF((('Basic Parameters and Results'!$E$78:$E$101=$C$312)+('Basic Parameters and Results'!$E$78:$E$101="Both")+('Basic Parameters and Results'!$E$78:$E$101="All"))*(('Basic Parameters and Results'!$F$78:$F$101=I$313)+('Basic Parameters and Results'!$F$78:$F$101="All")),$H$286:$H$309,1))))))*I241</f>
        <v>1817308.0750156832</v>
      </c>
      <c r="J322" s="1349">
        <f t="array" ref="J322">(1-('Basic Parameters and Results'!$E112*(1-(PRODUCT(IF((('Basic Parameters and Results'!$E$78:$E$101=$C$312)+('Basic Parameters and Results'!$E$78:$E$101="Both")+('Basic Parameters and Results'!$E$78:$E$101="All"))*(('Basic Parameters and Results'!$F$78:$F$101=J$313)+('Basic Parameters and Results'!$F$78:$F$101="All")),$H$286:$H$309,1))))))*J241</f>
        <v>563064.46827743156</v>
      </c>
      <c r="K322" s="1349">
        <f t="array" ref="K322">(1-('Basic Parameters and Results'!$E112*(1-(PRODUCT(IF((('Basic Parameters and Results'!$E$78:$E$101=$C$312)+('Basic Parameters and Results'!$E$78:$E$101="Both")+('Basic Parameters and Results'!$E$78:$E$101="All"))*(('Basic Parameters and Results'!$F$78:$F$101=K$313)+('Basic Parameters and Results'!$F$78:$F$101="All")),$H$286:$H$309,1))))))*K241</f>
        <v>3891162.1696288674</v>
      </c>
      <c r="L322" s="1349">
        <f t="array" ref="L322">(1-('Basic Parameters and Results'!$E112*(1-(PRODUCT(IF((('Basic Parameters and Results'!$E$78:$E$101=$C$312)+('Basic Parameters and Results'!$E$78:$E$101="Both")+('Basic Parameters and Results'!$E$78:$E$101="All"))*(('Basic Parameters and Results'!$F$78:$F$101=L$313)+('Basic Parameters and Results'!$F$78:$F$101="All")),$H$286:$H$309,1))))))*L241</f>
        <v>829943.75768231798</v>
      </c>
      <c r="M322" s="1351"/>
      <c r="N322" s="1351"/>
      <c r="O322" s="1351"/>
    </row>
    <row r="323" spans="2:15" ht="16" thickBot="1">
      <c r="B323" s="1333">
        <v>2026</v>
      </c>
      <c r="C323" s="1349">
        <f t="array" ref="C323">(1-('Basic Parameters and Results'!$E113*(1-(PRODUCT(IF((('Basic Parameters and Results'!$E$78:$E$101=$C$312)+('Basic Parameters and Results'!$E$78:$E$101="Both")+('Basic Parameters and Results'!$E$78:$E$101="All"))*(('Basic Parameters and Results'!$F$78:$F$101=C$313)+('Basic Parameters and Results'!$F$78:$F$101="All")),$H$286:$H$309,1))))))*C242</f>
        <v>5707628.1812412823</v>
      </c>
      <c r="D323" s="1349">
        <f t="array" ref="D323">(1-('Basic Parameters and Results'!$E113*(1-(PRODUCT(IF((('Basic Parameters and Results'!$E$78:$E$101=$C$312)+('Basic Parameters and Results'!$E$78:$E$101="Both")+('Basic Parameters and Results'!$E$78:$E$101="All"))*(('Basic Parameters and Results'!$F$78:$F$101=D$313)+('Basic Parameters and Results'!$F$78:$F$101="All")),$H$286:$H$309,1))))))*D242</f>
        <v>4701772.047410002</v>
      </c>
      <c r="E323" s="1349">
        <f t="array" ref="E323">(1-('Basic Parameters and Results'!$E113*(1-(PRODUCT(IF((('Basic Parameters and Results'!$E$78:$E$101=$C$312)+('Basic Parameters and Results'!$E$78:$E$101="Both")+('Basic Parameters and Results'!$E$78:$E$101="All"))*(('Basic Parameters and Results'!$F$78:$F$101=E$313)+('Basic Parameters and Results'!$F$78:$F$101="All")),$H$286:$H$309,1))))))*E242</f>
        <v>6465495.7251248909</v>
      </c>
      <c r="F323" s="1349">
        <f t="array" ref="F323">(1-('Basic Parameters and Results'!$E113*(1-(PRODUCT(IF((('Basic Parameters and Results'!$E$78:$E$101=$C$312)+('Basic Parameters and Results'!$E$78:$E$101="Both")+('Basic Parameters and Results'!$E$78:$E$101="All"))*(('Basic Parameters and Results'!$F$78:$F$101=F$313)+('Basic Parameters and Results'!$F$78:$F$101="All")),$H$286:$H$309,1))))))*F242</f>
        <v>2399892.8721992983</v>
      </c>
      <c r="G323" s="1349">
        <f t="array" ref="G323">(1-('Basic Parameters and Results'!$E113*(1-(PRODUCT(IF((('Basic Parameters and Results'!$E$78:$E$101=$C$312)+('Basic Parameters and Results'!$E$78:$E$101="Both")+('Basic Parameters and Results'!$E$78:$E$101="All"))*(('Basic Parameters and Results'!$F$78:$F$101=G$313)+('Basic Parameters and Results'!$F$78:$F$101="All")),$H$286:$H$309,1))))))*G242</f>
        <v>2020632.2255162522</v>
      </c>
      <c r="H323" s="1349">
        <f t="array" ref="H323">(1-('Basic Parameters and Results'!$E113*(1-(PRODUCT(IF((('Basic Parameters and Results'!$E$78:$E$101=$C$312)+('Basic Parameters and Results'!$E$78:$E$101="Both")+('Basic Parameters and Results'!$E$78:$E$101="All"))*(('Basic Parameters and Results'!$F$78:$F$101=H$313)+('Basic Parameters and Results'!$F$78:$F$101="All")),$H$286:$H$309,1))))))*H242</f>
        <v>2593157.1326471162</v>
      </c>
      <c r="I323" s="1349">
        <f t="array" ref="I323">(1-('Basic Parameters and Results'!$E113*(1-(PRODUCT(IF((('Basic Parameters and Results'!$E$78:$E$101=$C$312)+('Basic Parameters and Results'!$E$78:$E$101="Both")+('Basic Parameters and Results'!$E$78:$E$101="All"))*(('Basic Parameters and Results'!$F$78:$F$101=I$313)+('Basic Parameters and Results'!$F$78:$F$101="All")),$H$286:$H$309,1))))))*I242</f>
        <v>1849045.753251584</v>
      </c>
      <c r="J323" s="1349">
        <f t="array" ref="J323">(1-('Basic Parameters and Results'!$E113*(1-(PRODUCT(IF((('Basic Parameters and Results'!$E$78:$E$101=$C$312)+('Basic Parameters and Results'!$E$78:$E$101="Both")+('Basic Parameters and Results'!$E$78:$E$101="All"))*(('Basic Parameters and Results'!$F$78:$F$101=J$313)+('Basic Parameters and Results'!$F$78:$F$101="All")),$H$286:$H$309,1))))))*J242</f>
        <v>612455.87047012185</v>
      </c>
      <c r="K323" s="1349">
        <f t="array" ref="K323">(1-('Basic Parameters and Results'!$E113*(1-(PRODUCT(IF((('Basic Parameters and Results'!$E$78:$E$101=$C$312)+('Basic Parameters and Results'!$E$78:$E$101="Both")+('Basic Parameters and Results'!$E$78:$E$101="All"))*(('Basic Parameters and Results'!$F$78:$F$101=K$313)+('Basic Parameters and Results'!$F$78:$F$101="All")),$H$286:$H$309,1))))))*K242</f>
        <v>4002668.1720639584</v>
      </c>
      <c r="L323" s="1349">
        <f t="array" ref="L323">(1-('Basic Parameters and Results'!$E113*(1-(PRODUCT(IF((('Basic Parameters and Results'!$E$78:$E$101=$C$312)+('Basic Parameters and Results'!$E$78:$E$101="Both")+('Basic Parameters and Results'!$E$78:$E$101="All"))*(('Basic Parameters and Results'!$F$78:$F$101=L$313)+('Basic Parameters and Results'!$F$78:$F$101="All")),$H$286:$H$309,1))))))*L242</f>
        <v>867237.81714457786</v>
      </c>
      <c r="M323" s="1351"/>
      <c r="N323" s="1351"/>
      <c r="O323" s="1351"/>
    </row>
    <row r="324" spans="2:15" ht="16" thickBot="1">
      <c r="B324" s="1333">
        <v>2027</v>
      </c>
      <c r="C324" s="1349">
        <f t="array" ref="C324">(1-('Basic Parameters and Results'!$E114*(1-(PRODUCT(IF((('Basic Parameters and Results'!$E$78:$E$101=$C$312)+('Basic Parameters and Results'!$E$78:$E$101="Both")+('Basic Parameters and Results'!$E$78:$E$101="All"))*(('Basic Parameters and Results'!$F$78:$F$101=C$313)+('Basic Parameters and Results'!$F$78:$F$101="All")),$H$286:$H$309,1))))))*C243</f>
        <v>5936756.0530457841</v>
      </c>
      <c r="D324" s="1349">
        <f t="array" ref="D324">(1-('Basic Parameters and Results'!$E114*(1-(PRODUCT(IF((('Basic Parameters and Results'!$E$78:$E$101=$C$312)+('Basic Parameters and Results'!$E$78:$E$101="Both")+('Basic Parameters and Results'!$E$78:$E$101="All"))*(('Basic Parameters and Results'!$F$78:$F$101=D$313)+('Basic Parameters and Results'!$F$78:$F$101="All")),$H$286:$H$309,1))))))*D243</f>
        <v>4776651.3512341818</v>
      </c>
      <c r="E324" s="1349">
        <f t="array" ref="E324">(1-('Basic Parameters and Results'!$E114*(1-(PRODUCT(IF((('Basic Parameters and Results'!$E$78:$E$101=$C$312)+('Basic Parameters and Results'!$E$78:$E$101="Both")+('Basic Parameters and Results'!$E$78:$E$101="All"))*(('Basic Parameters and Results'!$F$78:$F$101=E$313)+('Basic Parameters and Results'!$F$78:$F$101="All")),$H$286:$H$309,1))))))*E243</f>
        <v>7219571.7193131447</v>
      </c>
      <c r="F324" s="1349">
        <f t="array" ref="F324">(1-('Basic Parameters and Results'!$E114*(1-(PRODUCT(IF((('Basic Parameters and Results'!$E$78:$E$101=$C$312)+('Basic Parameters and Results'!$E$78:$E$101="Both")+('Basic Parameters and Results'!$E$78:$E$101="All"))*(('Basic Parameters and Results'!$F$78:$F$101=F$313)+('Basic Parameters and Results'!$F$78:$F$101="All")),$H$286:$H$309,1))))))*F243</f>
        <v>2494146.3902268116</v>
      </c>
      <c r="G324" s="1349">
        <f t="array" ref="G324">(1-('Basic Parameters and Results'!$E114*(1-(PRODUCT(IF((('Basic Parameters and Results'!$E$78:$E$101=$C$312)+('Basic Parameters and Results'!$E$78:$E$101="Both")+('Basic Parameters and Results'!$E$78:$E$101="All"))*(('Basic Parameters and Results'!$F$78:$F$101=G$313)+('Basic Parameters and Results'!$F$78:$F$101="All")),$H$286:$H$309,1))))))*G243</f>
        <v>2052812.333953178</v>
      </c>
      <c r="H324" s="1349">
        <f t="array" ref="H324">(1-('Basic Parameters and Results'!$E114*(1-(PRODUCT(IF((('Basic Parameters and Results'!$E$78:$E$101=$C$312)+('Basic Parameters and Results'!$E$78:$E$101="Both")+('Basic Parameters and Results'!$E$78:$E$101="All"))*(('Basic Parameters and Results'!$F$78:$F$101=H$313)+('Basic Parameters and Results'!$F$78:$F$101="All")),$H$286:$H$309,1))))))*H243</f>
        <v>2741667.1365853366</v>
      </c>
      <c r="I324" s="1349">
        <f t="array" ref="I324">(1-('Basic Parameters and Results'!$E114*(1-(PRODUCT(IF((('Basic Parameters and Results'!$E$78:$E$101=$C$312)+('Basic Parameters and Results'!$E$78:$E$101="Both")+('Basic Parameters and Results'!$E$78:$E$101="All"))*(('Basic Parameters and Results'!$F$78:$F$101=I$313)+('Basic Parameters and Results'!$F$78:$F$101="All")),$H$286:$H$309,1))))))*I243</f>
        <v>1878493.2163243212</v>
      </c>
      <c r="J324" s="1349">
        <f t="array" ref="J324">(1-('Basic Parameters and Results'!$E114*(1-(PRODUCT(IF((('Basic Parameters and Results'!$E$78:$E$101=$C$312)+('Basic Parameters and Results'!$E$78:$E$101="Both")+('Basic Parameters and Results'!$E$78:$E$101="All"))*(('Basic Parameters and Results'!$F$78:$F$101=J$313)+('Basic Parameters and Results'!$F$78:$F$101="All")),$H$286:$H$309,1))))))*J243</f>
        <v>662397.66727967758</v>
      </c>
      <c r="K324" s="1349">
        <f t="array" ref="K324">(1-('Basic Parameters and Results'!$E114*(1-(PRODUCT(IF((('Basic Parameters and Results'!$E$78:$E$101=$C$312)+('Basic Parameters and Results'!$E$78:$E$101="Both")+('Basic Parameters and Results'!$E$78:$E$101="All"))*(('Basic Parameters and Results'!$F$78:$F$101=K$313)+('Basic Parameters and Results'!$F$78:$F$101="All")),$H$286:$H$309,1))))))*K243</f>
        <v>4111144.2646263875</v>
      </c>
      <c r="L324" s="1349">
        <f t="array" ref="L324">(1-('Basic Parameters and Results'!$E114*(1-(PRODUCT(IF((('Basic Parameters and Results'!$E$78:$E$101=$C$312)+('Basic Parameters and Results'!$E$78:$E$101="Both")+('Basic Parameters and Results'!$E$78:$E$101="All"))*(('Basic Parameters and Results'!$F$78:$F$101=L$313)+('Basic Parameters and Results'!$F$78:$F$101="All")),$H$286:$H$309,1))))))*L243</f>
        <v>904837.56993459363</v>
      </c>
      <c r="M324" s="1351"/>
      <c r="N324" s="1351"/>
      <c r="O324" s="1351"/>
    </row>
    <row r="325" spans="2:15" ht="16" thickBot="1">
      <c r="B325" s="1333">
        <v>2028</v>
      </c>
      <c r="C325" s="1349">
        <f t="array" ref="C325">(1-('Basic Parameters and Results'!$E115*(1-(PRODUCT(IF((('Basic Parameters and Results'!$E$78:$E$101=$C$312)+('Basic Parameters and Results'!$E$78:$E$101="Both")+('Basic Parameters and Results'!$E$78:$E$101="All"))*(('Basic Parameters and Results'!$F$78:$F$101=C$313)+('Basic Parameters and Results'!$F$78:$F$101="All")),$H$286:$H$309,1))))))*C244</f>
        <v>6149668.5258794781</v>
      </c>
      <c r="D325" s="1349">
        <f t="array" ref="D325">(1-('Basic Parameters and Results'!$E115*(1-(PRODUCT(IF((('Basic Parameters and Results'!$E$78:$E$101=$C$312)+('Basic Parameters and Results'!$E$78:$E$101="Both")+('Basic Parameters and Results'!$E$78:$E$101="All"))*(('Basic Parameters and Results'!$F$78:$F$101=D$313)+('Basic Parameters and Results'!$F$78:$F$101="All")),$H$286:$H$309,1))))))*D244</f>
        <v>4835373.1893889643</v>
      </c>
      <c r="E325" s="1349">
        <f t="array" ref="E325">(1-('Basic Parameters and Results'!$E115*(1-(PRODUCT(IF((('Basic Parameters and Results'!$E$78:$E$101=$C$312)+('Basic Parameters and Results'!$E$78:$E$101="Both")+('Basic Parameters and Results'!$E$78:$E$101="All"))*(('Basic Parameters and Results'!$F$78:$F$101=E$313)+('Basic Parameters and Results'!$F$78:$F$101="All")),$H$286:$H$309,1))))))*E244</f>
        <v>7967438.0905933743</v>
      </c>
      <c r="F325" s="1349">
        <f t="array" ref="F325">(1-('Basic Parameters and Results'!$E115*(1-(PRODUCT(IF((('Basic Parameters and Results'!$E$78:$E$101=$C$312)+('Basic Parameters and Results'!$E$78:$E$101="Both")+('Basic Parameters and Results'!$E$78:$E$101="All"))*(('Basic Parameters and Results'!$F$78:$F$101=F$313)+('Basic Parameters and Results'!$F$78:$F$101="All")),$H$286:$H$309,1))))))*F244</f>
        <v>2581530.4600276803</v>
      </c>
      <c r="G325" s="1349">
        <f t="array" ref="G325">(1-('Basic Parameters and Results'!$E115*(1-(PRODUCT(IF((('Basic Parameters and Results'!$E$78:$E$101=$C$312)+('Basic Parameters and Results'!$E$78:$E$101="Both")+('Basic Parameters and Results'!$E$78:$E$101="All"))*(('Basic Parameters and Results'!$F$78:$F$101=G$313)+('Basic Parameters and Results'!$F$78:$F$101="All")),$H$286:$H$309,1))))))*G244</f>
        <v>2078048.6145130706</v>
      </c>
      <c r="H325" s="1349">
        <f t="array" ref="H325">(1-('Basic Parameters and Results'!$E115*(1-(PRODUCT(IF((('Basic Parameters and Results'!$E$78:$E$101=$C$312)+('Basic Parameters and Results'!$E$78:$E$101="Both")+('Basic Parameters and Results'!$E$78:$E$101="All"))*(('Basic Parameters and Results'!$F$78:$F$101=H$313)+('Basic Parameters and Results'!$F$78:$F$101="All")),$H$286:$H$309,1))))))*H244</f>
        <v>2883901.8767862655</v>
      </c>
      <c r="I325" s="1349">
        <f t="array" ref="I325">(1-('Basic Parameters and Results'!$E115*(1-(PRODUCT(IF((('Basic Parameters and Results'!$E$78:$E$101=$C$312)+('Basic Parameters and Results'!$E$78:$E$101="Both")+('Basic Parameters and Results'!$E$78:$E$101="All"))*(('Basic Parameters and Results'!$F$78:$F$101=I$313)+('Basic Parameters and Results'!$F$78:$F$101="All")),$H$286:$H$309,1))))))*I244</f>
        <v>1901586.5020830464</v>
      </c>
      <c r="J325" s="1349">
        <f t="array" ref="J325">(1-('Basic Parameters and Results'!$E115*(1-(PRODUCT(IF((('Basic Parameters and Results'!$E$78:$E$101=$C$312)+('Basic Parameters and Results'!$E$78:$E$101="Both")+('Basic Parameters and Results'!$E$78:$E$101="All"))*(('Basic Parameters and Results'!$F$78:$F$101=J$313)+('Basic Parameters and Results'!$F$78:$F$101="All")),$H$286:$H$309,1))))))*J244</f>
        <v>711222.88503397442</v>
      </c>
      <c r="K325" s="1349">
        <f t="array" ref="K325">(1-('Basic Parameters and Results'!$E115*(1-(PRODUCT(IF((('Basic Parameters and Results'!$E$78:$E$101=$C$312)+('Basic Parameters and Results'!$E$78:$E$101="Both")+('Basic Parameters and Results'!$E$78:$E$101="All"))*(('Basic Parameters and Results'!$F$78:$F$101=K$313)+('Basic Parameters and Results'!$F$78:$F$101="All")),$H$286:$H$309,1))))))*K244</f>
        <v>4207463.212485793</v>
      </c>
      <c r="L325" s="1349">
        <f t="array" ref="L325">(1-('Basic Parameters and Results'!$E115*(1-(PRODUCT(IF((('Basic Parameters and Results'!$E$78:$E$101=$C$312)+('Basic Parameters and Results'!$E$78:$E$101="Both")+('Basic Parameters and Results'!$E$78:$E$101="All"))*(('Basic Parameters and Results'!$F$78:$F$101=L$313)+('Basic Parameters and Results'!$F$78:$F$101="All")),$H$286:$H$309,1))))))*L244</f>
        <v>940692.15729252994</v>
      </c>
      <c r="M325" s="1351"/>
      <c r="N325" s="1351"/>
      <c r="O325" s="1351"/>
    </row>
    <row r="326" spans="2:15" ht="16" thickBot="1">
      <c r="B326" s="1333">
        <v>2029</v>
      </c>
      <c r="C326" s="1349">
        <f t="array" ref="C326">(1-('Basic Parameters and Results'!$E116*(1-(PRODUCT(IF((('Basic Parameters and Results'!$E$78:$E$101=$C$312)+('Basic Parameters and Results'!$E$78:$E$101="Both")+('Basic Parameters and Results'!$E$78:$E$101="All"))*(('Basic Parameters and Results'!$F$78:$F$101=C$313)+('Basic Parameters and Results'!$F$78:$F$101="All")),$H$286:$H$309,1))))))*C245</f>
        <v>6369025.3670245223</v>
      </c>
      <c r="D326" s="1349">
        <f t="array" ref="D326">(1-('Basic Parameters and Results'!$E116*(1-(PRODUCT(IF((('Basic Parameters and Results'!$E$78:$E$101=$C$312)+('Basic Parameters and Results'!$E$78:$E$101="Both")+('Basic Parameters and Results'!$E$78:$E$101="All"))*(('Basic Parameters and Results'!$F$78:$F$101=D$313)+('Basic Parameters and Results'!$F$78:$F$101="All")),$H$286:$H$309,1))))))*D245</f>
        <v>4896436.5390888145</v>
      </c>
      <c r="E326" s="1349">
        <f t="array" ref="E326">(1-('Basic Parameters and Results'!$E116*(1-(PRODUCT(IF((('Basic Parameters and Results'!$E$78:$E$101=$C$312)+('Basic Parameters and Results'!$E$78:$E$101="Both")+('Basic Parameters and Results'!$E$78:$E$101="All"))*(('Basic Parameters and Results'!$F$78:$F$101=E$313)+('Basic Parameters and Results'!$F$78:$F$101="All")),$H$286:$H$309,1))))))*E245</f>
        <v>8735490.6509207729</v>
      </c>
      <c r="F326" s="1349">
        <f t="array" ref="F326">(1-('Basic Parameters and Results'!$E116*(1-(PRODUCT(IF((('Basic Parameters and Results'!$E$78:$E$101=$C$312)+('Basic Parameters and Results'!$E$78:$E$101="Both")+('Basic Parameters and Results'!$E$78:$E$101="All"))*(('Basic Parameters and Results'!$F$78:$F$101=F$313)+('Basic Parameters and Results'!$F$78:$F$101="All")),$H$286:$H$309,1))))))*F245</f>
        <v>2671569.7887506937</v>
      </c>
      <c r="G326" s="1349">
        <f t="array" ref="G326">(1-('Basic Parameters and Results'!$E116*(1-(PRODUCT(IF((('Basic Parameters and Results'!$E$78:$E$101=$C$312)+('Basic Parameters and Results'!$E$78:$E$101="Both")+('Basic Parameters and Results'!$E$78:$E$101="All"))*(('Basic Parameters and Results'!$F$78:$F$101=G$313)+('Basic Parameters and Results'!$F$78:$F$101="All")),$H$286:$H$309,1))))))*G245</f>
        <v>2104291.1824124348</v>
      </c>
      <c r="H326" s="1349">
        <f t="array" ref="H326">(1-('Basic Parameters and Results'!$E116*(1-(PRODUCT(IF((('Basic Parameters and Results'!$E$78:$E$101=$C$312)+('Basic Parameters and Results'!$E$78:$E$101="Both")+('Basic Parameters and Results'!$E$78:$E$101="All"))*(('Basic Parameters and Results'!$F$78:$F$101=H$313)+('Basic Parameters and Results'!$F$78:$F$101="All")),$H$286:$H$309,1))))))*H245</f>
        <v>3026362.7729128529</v>
      </c>
      <c r="I326" s="1349">
        <f t="array" ref="I326">(1-('Basic Parameters and Results'!$E116*(1-(PRODUCT(IF((('Basic Parameters and Results'!$E$78:$E$101=$C$312)+('Basic Parameters and Results'!$E$78:$E$101="Both")+('Basic Parameters and Results'!$E$78:$E$101="All"))*(('Basic Parameters and Results'!$F$78:$F$101=I$313)+('Basic Parameters and Results'!$F$78:$F$101="All")),$H$286:$H$309,1))))))*I245</f>
        <v>1925600.6240573395</v>
      </c>
      <c r="J326" s="1349">
        <f t="array" ref="J326">(1-('Basic Parameters and Results'!$E116*(1-(PRODUCT(IF((('Basic Parameters and Results'!$E$78:$E$101=$C$312)+('Basic Parameters and Results'!$E$78:$E$101="Both")+('Basic Parameters and Results'!$E$78:$E$101="All"))*(('Basic Parameters and Results'!$F$78:$F$101=J$313)+('Basic Parameters and Results'!$F$78:$F$101="All")),$H$286:$H$309,1))))))*J245</f>
        <v>761400.31283443689</v>
      </c>
      <c r="K326" s="1349">
        <f t="array" ref="K326">(1-('Basic Parameters and Results'!$E116*(1-(PRODUCT(IF((('Basic Parameters and Results'!$E$78:$E$101=$C$312)+('Basic Parameters and Results'!$E$78:$E$101="Both")+('Basic Parameters and Results'!$E$78:$E$101="All"))*(('Basic Parameters and Results'!$F$78:$F$101=K$313)+('Basic Parameters and Results'!$F$78:$F$101="All")),$H$286:$H$309,1))))))*K245</f>
        <v>4307463.5891412571</v>
      </c>
      <c r="L326" s="1349">
        <f t="array" ref="L326">(1-('Basic Parameters and Results'!$E116*(1-(PRODUCT(IF((('Basic Parameters and Results'!$E$78:$E$101=$C$312)+('Basic Parameters and Results'!$E$78:$E$101="Both")+('Basic Parameters and Results'!$E$78:$E$101="All"))*(('Basic Parameters and Results'!$F$78:$F$101=L$313)+('Basic Parameters and Results'!$F$78:$F$101="All")),$H$286:$H$309,1))))))*L245</f>
        <v>978291.09169053345</v>
      </c>
      <c r="M326" s="1351"/>
      <c r="N326" s="1351"/>
      <c r="O326" s="1351"/>
    </row>
    <row r="327" spans="2:15" ht="16" thickBot="1">
      <c r="B327" s="1333">
        <v>2030</v>
      </c>
      <c r="C327" s="1349">
        <f t="array" ref="C327">(1-('Basic Parameters and Results'!$E117*(1-(PRODUCT(IF((('Basic Parameters and Results'!$E$78:$E$101=$C$312)+('Basic Parameters and Results'!$E$78:$E$101="Both")+('Basic Parameters and Results'!$E$78:$E$101="All"))*(('Basic Parameters and Results'!$F$78:$F$101=C$313)+('Basic Parameters and Results'!$F$78:$F$101="All")),$H$286:$H$309,1))))))*C246</f>
        <v>6627207.5414981209</v>
      </c>
      <c r="D327" s="1349">
        <f t="array" ref="D327">(1-('Basic Parameters and Results'!$E117*(1-(PRODUCT(IF((('Basic Parameters and Results'!$E$78:$E$101=$C$312)+('Basic Parameters and Results'!$E$78:$E$101="Both")+('Basic Parameters and Results'!$E$78:$E$101="All"))*(('Basic Parameters and Results'!$F$78:$F$101=D$313)+('Basic Parameters and Results'!$F$78:$F$101="All")),$H$286:$H$309,1))))))*D246</f>
        <v>4984040.8683035085</v>
      </c>
      <c r="E327" s="1349">
        <f t="array" ref="E327">(1-('Basic Parameters and Results'!$E117*(1-(PRODUCT(IF((('Basic Parameters and Results'!$E$78:$E$101=$C$312)+('Basic Parameters and Results'!$E$78:$E$101="Both")+('Basic Parameters and Results'!$E$78:$E$101="All"))*(('Basic Parameters and Results'!$F$78:$F$101=E$313)+('Basic Parameters and Results'!$F$78:$F$101="All")),$H$286:$H$309,1))))))*E246</f>
        <v>9571158.6376168691</v>
      </c>
      <c r="F327" s="1349">
        <f t="array" ref="F327">(1-('Basic Parameters and Results'!$E117*(1-(PRODUCT(IF((('Basic Parameters and Results'!$E$78:$E$101=$C$312)+('Basic Parameters and Results'!$E$78:$E$101="Both")+('Basic Parameters and Results'!$E$78:$E$101="All"))*(('Basic Parameters and Results'!$F$78:$F$101=F$313)+('Basic Parameters and Results'!$F$78:$F$101="All")),$H$286:$H$309,1))))))*F246</f>
        <v>2777834.2508661533</v>
      </c>
      <c r="G327" s="1349">
        <f t="array" ref="G327">(1-('Basic Parameters and Results'!$E117*(1-(PRODUCT(IF((('Basic Parameters and Results'!$E$78:$E$101=$C$312)+('Basic Parameters and Results'!$E$78:$E$101="Both")+('Basic Parameters and Results'!$E$78:$E$101="All"))*(('Basic Parameters and Results'!$F$78:$F$101=G$313)+('Basic Parameters and Results'!$F$78:$F$101="All")),$H$286:$H$309,1))))))*G246</f>
        <v>2141939.9941627728</v>
      </c>
      <c r="H327" s="1349">
        <f t="array" ref="H327">(1-('Basic Parameters and Results'!$E117*(1-(PRODUCT(IF((('Basic Parameters and Results'!$E$78:$E$101=$C$312)+('Basic Parameters and Results'!$E$78:$E$101="Both")+('Basic Parameters and Results'!$E$78:$E$101="All"))*(('Basic Parameters and Results'!$F$78:$F$101=H$313)+('Basic Parameters and Results'!$F$78:$F$101="All")),$H$286:$H$309,1))))))*H246</f>
        <v>3080508.7785977726</v>
      </c>
      <c r="I327" s="1349">
        <f t="array" ref="I327">(1-('Basic Parameters and Results'!$E117*(1-(PRODUCT(IF((('Basic Parameters and Results'!$E$78:$E$101=$C$312)+('Basic Parameters and Results'!$E$78:$E$101="Both")+('Basic Parameters and Results'!$E$78:$E$101="All"))*(('Basic Parameters and Results'!$F$78:$F$101=I$313)+('Basic Parameters and Results'!$F$78:$F$101="All")),$H$286:$H$309,1))))))*I246</f>
        <v>1960052.4033583184</v>
      </c>
      <c r="J327" s="1349">
        <f t="array" ref="J327">(1-('Basic Parameters and Results'!$E117*(1-(PRODUCT(IF((('Basic Parameters and Results'!$E$78:$E$101=$C$312)+('Basic Parameters and Results'!$E$78:$E$101="Both")+('Basic Parameters and Results'!$E$78:$E$101="All"))*(('Basic Parameters and Results'!$F$78:$F$101=J$313)+('Basic Parameters and Results'!$F$78:$F$101="All")),$H$286:$H$309,1))))))*J246</f>
        <v>816955.69047278073</v>
      </c>
      <c r="K327" s="1349">
        <f t="array" ref="K327">(1-('Basic Parameters and Results'!$E117*(1-(PRODUCT(IF((('Basic Parameters and Results'!$E$78:$E$101=$C$312)+('Basic Parameters and Results'!$E$78:$E$101="Both")+('Basic Parameters and Results'!$E$78:$E$101="All"))*(('Basic Parameters and Results'!$F$78:$F$101=K$313)+('Basic Parameters and Results'!$F$78:$F$101="All")),$H$286:$H$309,1))))))*K246</f>
        <v>4432760.1744605694</v>
      </c>
      <c r="L327" s="1349">
        <f t="array" ref="L327">(1-('Basic Parameters and Results'!$E117*(1-(PRODUCT(IF((('Basic Parameters and Results'!$E$78:$E$101=$C$312)+('Basic Parameters and Results'!$E$78:$E$101="Both")+('Basic Parameters and Results'!$E$78:$E$101="All"))*(('Basic Parameters and Results'!$F$78:$F$101=L$313)+('Basic Parameters and Results'!$F$78:$F$101="All")),$H$286:$H$309,1))))))*L246</f>
        <v>1022680.5753988106</v>
      </c>
      <c r="M327" s="1351"/>
      <c r="N327" s="1351"/>
      <c r="O327" s="1351"/>
    </row>
    <row r="328" spans="2:15">
      <c r="C328" s="1351"/>
      <c r="D328" s="1349"/>
      <c r="E328" s="1351"/>
      <c r="F328" s="1351"/>
      <c r="G328" s="1351"/>
      <c r="H328" s="1351"/>
      <c r="I328" s="1351"/>
      <c r="J328" s="1351"/>
      <c r="K328" s="1351"/>
      <c r="L328" s="1351"/>
      <c r="M328" s="1351"/>
      <c r="N328" s="1351"/>
      <c r="O328" s="1351"/>
    </row>
    <row r="329" spans="2:15">
      <c r="C329" s="1382" t="s">
        <v>3710</v>
      </c>
      <c r="D329" s="1351"/>
      <c r="E329" s="1392" t="s">
        <v>3813</v>
      </c>
      <c r="F329" s="1392"/>
      <c r="G329" s="1392"/>
      <c r="H329" s="1351"/>
      <c r="I329" s="1351"/>
      <c r="J329" s="1351"/>
      <c r="K329" s="1351"/>
      <c r="L329" s="1351"/>
      <c r="M329" s="1351"/>
      <c r="N329" s="1351"/>
      <c r="O329" s="1351"/>
    </row>
    <row r="330" spans="2:15" ht="16" thickBot="1">
      <c r="B330" s="1343" t="s">
        <v>3</v>
      </c>
      <c r="C330" s="1383" t="s">
        <v>3757</v>
      </c>
      <c r="D330" s="1383" t="s">
        <v>3678</v>
      </c>
      <c r="E330" s="1383" t="s">
        <v>3691</v>
      </c>
      <c r="F330" s="1383" t="s">
        <v>3690</v>
      </c>
      <c r="G330" s="1383" t="s">
        <v>3679</v>
      </c>
      <c r="H330" s="1351"/>
      <c r="I330" s="1351"/>
      <c r="J330" s="1351"/>
      <c r="K330" s="1383"/>
      <c r="L330" s="1383"/>
      <c r="M330" s="1383"/>
      <c r="N330" s="1384"/>
      <c r="O330" s="1351"/>
    </row>
    <row r="331" spans="2:15" ht="16" thickBot="1">
      <c r="B331" s="1333">
        <v>2017</v>
      </c>
      <c r="C331" s="1349">
        <f t="array" ref="C331">(1-('Basic Parameters and Results'!$E104*(1-(PRODUCT(IF((('Basic Parameters and Results'!$E$78:$E$101=$C$329)+('Basic Parameters and Results'!$E$78:$E$101="Both")+('Basic Parameters and Results'!$E$78:$E$101="All"))*('Basic Parameters and Results'!$F$78:$F$101=C$330),$H$286:$H$309,1))))))*C250</f>
        <v>2168506.2565545635</v>
      </c>
      <c r="D331" s="1349">
        <f t="array" ref="D331">(1-('Basic Parameters and Results'!$E104*(1-(PRODUCT(IF((('Basic Parameters and Results'!$E$78:$E$101=$C$329)+('Basic Parameters and Results'!$E$78:$E$101="Both")+('Basic Parameters and Results'!$E$78:$E$101="All"))*(('Basic Parameters and Results'!$F$78:$F$101=D$330)+('Basic Parameters and Results'!$F$78:$F$101="All")),$H$286:$H$309,1))))))*D250</f>
        <v>19917229.879111897</v>
      </c>
      <c r="E331" s="1349">
        <f t="array" ref="E331">(1-('Basic Parameters and Results'!$E104*(1-(PRODUCT(IF((('Basic Parameters and Results'!$E$78:$E$101=$C$329)+('Basic Parameters and Results'!$E$78:$E$101="Both")+('Basic Parameters and Results'!$E$78:$E$101="All"))*(('Basic Parameters and Results'!$F$78:$F$101=E$330)+('Basic Parameters and Results'!$F$78:$F$101="All")),$H$286:$H$309,1))))))*E250</f>
        <v>5940226.4551737253</v>
      </c>
      <c r="F331" s="1349">
        <f t="array" ref="F331">(1-('Basic Parameters and Results'!$E104*(1-(PRODUCT(IF((('Basic Parameters and Results'!$E$78:$E$101=$C$329)+('Basic Parameters and Results'!$E$78:$E$101="Both")+('Basic Parameters and Results'!$E$78:$E$101="All"))*(('Basic Parameters and Results'!$F$78:$F$101=F$330)+('Basic Parameters and Results'!$F$78:$F$101="All")),$H$286:$H$309,1))))))*F250</f>
        <v>3843675.9415829987</v>
      </c>
      <c r="G331" s="1349">
        <f t="array" ref="G331">(1-('Basic Parameters and Results'!$E104*(1-(PRODUCT(IF((('Basic Parameters and Results'!$E$78:$E$101=$C$329)+('Basic Parameters and Results'!$E$78:$E$101="Both")+('Basic Parameters and Results'!$E$78:$E$101="All"))*(('Basic Parameters and Results'!$F$78:$F$101=G$330)+('Basic Parameters and Results'!$F$78:$F$101="All")),$H$286:$H$309,1))))))*G250</f>
        <v>5241376.2839768156</v>
      </c>
      <c r="H331" s="1351"/>
      <c r="I331" s="1351"/>
      <c r="J331" s="1351"/>
      <c r="K331" s="1349"/>
      <c r="L331" s="1349"/>
      <c r="M331" s="1349"/>
      <c r="N331" s="1349"/>
      <c r="O331" s="1351"/>
    </row>
    <row r="332" spans="2:15" ht="16" thickBot="1">
      <c r="B332" s="1333">
        <v>2018</v>
      </c>
      <c r="C332" s="1349">
        <f t="array" ref="C332">(1-('Basic Parameters and Results'!$E105*(1-(PRODUCT(IF((('Basic Parameters and Results'!$E$78:$E$101=$C$329)+('Basic Parameters and Results'!$E$78:$E$101="Both")+('Basic Parameters and Results'!$E$78:$E$101="All"))*('Basic Parameters and Results'!$F$78:$F$101=C$330),$H$286:$H$309,1))))))*C251</f>
        <v>1825905.0399114941</v>
      </c>
      <c r="D332" s="1349">
        <f t="array" ref="D332">(1-('Basic Parameters and Results'!$E105*(1-(PRODUCT(IF((('Basic Parameters and Results'!$E$78:$E$101=$C$329)+('Basic Parameters and Results'!$E$78:$E$101="Both")+('Basic Parameters and Results'!$E$78:$E$101="All"))*(('Basic Parameters and Results'!$F$78:$F$101=D$330)+('Basic Parameters and Results'!$F$78:$F$101="All")),$H$286:$H$309,1))))))*D251</f>
        <v>19707370.339379527</v>
      </c>
      <c r="E332" s="1349">
        <f t="array" ref="E332">(1-('Basic Parameters and Results'!$E105*(1-(PRODUCT(IF((('Basic Parameters and Results'!$E$78:$E$101=$C$329)+('Basic Parameters and Results'!$E$78:$E$101="Both")+('Basic Parameters and Results'!$E$78:$E$101="All"))*(('Basic Parameters and Results'!$F$78:$F$101=E$330)+('Basic Parameters and Results'!$F$78:$F$101="All")),$H$286:$H$309,1))))))*E251</f>
        <v>5777729.9616782954</v>
      </c>
      <c r="F332" s="1349">
        <f t="array" ref="F332">(1-('Basic Parameters and Results'!$E105*(1-(PRODUCT(IF((('Basic Parameters and Results'!$E$78:$E$101=$C$329)+('Basic Parameters and Results'!$E$78:$E$101="Both")+('Basic Parameters and Results'!$E$78:$E$101="All"))*(('Basic Parameters and Results'!$F$78:$F$101=F$330)+('Basic Parameters and Results'!$F$78:$F$101="All")),$H$286:$H$309,1))))))*F251</f>
        <v>3937599.9165700166</v>
      </c>
      <c r="G332" s="1349">
        <f t="array" ref="G332">(1-('Basic Parameters and Results'!$E105*(1-(PRODUCT(IF((('Basic Parameters and Results'!$E$78:$E$101=$C$329)+('Basic Parameters and Results'!$E$78:$E$101="Both")+('Basic Parameters and Results'!$E$78:$E$101="All"))*(('Basic Parameters and Results'!$F$78:$F$101=G$330)+('Basic Parameters and Results'!$F$78:$F$101="All")),$H$286:$H$309,1))))))*G251</f>
        <v>5381330.0991477724</v>
      </c>
      <c r="H332" s="1351"/>
      <c r="I332" s="1351"/>
      <c r="J332" s="1351"/>
      <c r="K332" s="1349"/>
      <c r="L332" s="1349"/>
      <c r="M332" s="1349"/>
      <c r="N332" s="1349"/>
      <c r="O332" s="1351"/>
    </row>
    <row r="333" spans="2:15" ht="16" thickBot="1">
      <c r="B333" s="1333">
        <v>2019</v>
      </c>
      <c r="C333" s="1349">
        <f t="array" ref="C333">(1-('Basic Parameters and Results'!$E106*(1-(PRODUCT(IF((('Basic Parameters and Results'!$E$78:$E$101=$C$329)+('Basic Parameters and Results'!$E$78:$E$101="Both")+('Basic Parameters and Results'!$E$78:$E$101="All"))*('Basic Parameters and Results'!$F$78:$F$101=C$330),$H$286:$H$309,1))))))*C252</f>
        <v>1598025.8054437693</v>
      </c>
      <c r="D333" s="1349">
        <f t="array" ref="D333">(1-('Basic Parameters and Results'!$E106*(1-(PRODUCT(IF((('Basic Parameters and Results'!$E$78:$E$101=$C$329)+('Basic Parameters and Results'!$E$78:$E$101="Both")+('Basic Parameters and Results'!$E$78:$E$101="All"))*(('Basic Parameters and Results'!$F$78:$F$101=D$330)+('Basic Parameters and Results'!$F$78:$F$101="All")),$H$286:$H$309,1))))))*D252</f>
        <v>18828549.090372436</v>
      </c>
      <c r="E333" s="1349">
        <f t="array" ref="E333">(1-('Basic Parameters and Results'!$E106*(1-(PRODUCT(IF((('Basic Parameters and Results'!$E$78:$E$101=$C$329)+('Basic Parameters and Results'!$E$78:$E$101="Both")+('Basic Parameters and Results'!$E$78:$E$101="All"))*(('Basic Parameters and Results'!$F$78:$F$101=E$330)+('Basic Parameters and Results'!$F$78:$F$101="All")),$H$286:$H$309,1))))))*E252</f>
        <v>5422676.4725833908</v>
      </c>
      <c r="F333" s="1349">
        <f t="array" ref="F333">(1-('Basic Parameters and Results'!$E106*(1-(PRODUCT(IF((('Basic Parameters and Results'!$E$78:$E$101=$C$329)+('Basic Parameters and Results'!$E$78:$E$101="Both")+('Basic Parameters and Results'!$E$78:$E$101="All"))*(('Basic Parameters and Results'!$F$78:$F$101=F$330)+('Basic Parameters and Results'!$F$78:$F$101="All")),$H$286:$H$309,1))))))*F252</f>
        <v>3904901.5953266048</v>
      </c>
      <c r="G333" s="1349">
        <f t="array" ref="G333">(1-('Basic Parameters and Results'!$E106*(1-(PRODUCT(IF((('Basic Parameters and Results'!$E$78:$E$101=$C$329)+('Basic Parameters and Results'!$E$78:$E$101="Both")+('Basic Parameters and Results'!$E$78:$E$101="All"))*(('Basic Parameters and Results'!$F$78:$F$101=G$330)+('Basic Parameters and Results'!$F$78:$F$101="All")),$H$286:$H$309,1))))))*G252</f>
        <v>5349869.8133462342</v>
      </c>
      <c r="H333" s="1351"/>
      <c r="I333" s="1351"/>
      <c r="J333" s="1351"/>
      <c r="K333" s="1349"/>
      <c r="L333" s="1349"/>
      <c r="M333" s="1349"/>
      <c r="N333" s="1349"/>
      <c r="O333" s="1351"/>
    </row>
    <row r="334" spans="2:15" ht="16" thickBot="1">
      <c r="B334" s="1333">
        <v>2020</v>
      </c>
      <c r="C334" s="1349">
        <f t="array" ref="C334">(1-('Basic Parameters and Results'!$E107*(1-(PRODUCT(IF((('Basic Parameters and Results'!$E$78:$E$101=$C$329)+('Basic Parameters and Results'!$E$78:$E$101="Both")+('Basic Parameters and Results'!$E$78:$E$101="All"))*('Basic Parameters and Results'!$F$78:$F$101=C$330),$H$286:$H$309,1))))))*C253</f>
        <v>1383255.3304868571</v>
      </c>
      <c r="D334" s="1349">
        <f t="array" ref="D334">(1-('Basic Parameters and Results'!$E107*(1-(PRODUCT(IF((('Basic Parameters and Results'!$E$78:$E$101=$C$329)+('Basic Parameters and Results'!$E$78:$E$101="Both")+('Basic Parameters and Results'!$E$78:$E$101="All"))*(('Basic Parameters and Results'!$F$78:$F$101=D$330)+('Basic Parameters and Results'!$F$78:$F$101="All")),$H$286:$H$309,1))))))*D253</f>
        <v>18186224.362968493</v>
      </c>
      <c r="E334" s="1349">
        <f t="array" ref="E334">(1-('Basic Parameters and Results'!$E107*(1-(PRODUCT(IF((('Basic Parameters and Results'!$E$78:$E$101=$C$329)+('Basic Parameters and Results'!$E$78:$E$101="Both")+('Basic Parameters and Results'!$E$78:$E$101="All"))*(('Basic Parameters and Results'!$F$78:$F$101=E$330)+('Basic Parameters and Results'!$F$78:$F$101="All")),$H$286:$H$309,1))))))*E253</f>
        <v>5141478.1956148529</v>
      </c>
      <c r="F334" s="1349">
        <f t="array" ref="F334">(1-('Basic Parameters and Results'!$E107*(1-(PRODUCT(IF((('Basic Parameters and Results'!$E$78:$E$101=$C$329)+('Basic Parameters and Results'!$E$78:$E$101="Both")+('Basic Parameters and Results'!$E$78:$E$101="All"))*(('Basic Parameters and Results'!$F$78:$F$101=F$330)+('Basic Parameters and Results'!$F$78:$F$101="All")),$H$286:$H$309,1))))))*F253</f>
        <v>3926409.2956109159</v>
      </c>
      <c r="G334" s="1349">
        <f t="array" ref="G334">(1-('Basic Parameters and Results'!$E107*(1-(PRODUCT(IF((('Basic Parameters and Results'!$E$78:$E$101=$C$329)+('Basic Parameters and Results'!$E$78:$E$101="Both")+('Basic Parameters and Results'!$E$78:$E$101="All"))*(('Basic Parameters and Results'!$F$78:$F$101=G$330)+('Basic Parameters and Results'!$F$78:$F$101="All")),$H$286:$H$309,1))))))*G253</f>
        <v>5394222.1931205122</v>
      </c>
      <c r="H334" s="1351"/>
      <c r="I334" s="1351"/>
      <c r="J334" s="1351"/>
      <c r="K334" s="1349"/>
      <c r="L334" s="1349"/>
      <c r="M334" s="1349"/>
      <c r="N334" s="1349"/>
      <c r="O334" s="1351"/>
    </row>
    <row r="335" spans="2:15" ht="16" thickBot="1">
      <c r="B335" s="1333">
        <v>2021</v>
      </c>
      <c r="C335" s="1349">
        <f t="array" ref="C335">(1-('Basic Parameters and Results'!$E108*(1-(PRODUCT(IF((('Basic Parameters and Results'!$E$78:$E$101=$C$329)+('Basic Parameters and Results'!$E$78:$E$101="Both")+('Basic Parameters and Results'!$E$78:$E$101="All"))*('Basic Parameters and Results'!$F$78:$F$101=C$330),$H$286:$H$309,1))))))*C254</f>
        <v>1177481.8102491428</v>
      </c>
      <c r="D335" s="1349">
        <f t="array" ref="D335">(1-('Basic Parameters and Results'!$E108*(1-(PRODUCT(IF((('Basic Parameters and Results'!$E$78:$E$101=$C$329)+('Basic Parameters and Results'!$E$78:$E$101="Both")+('Basic Parameters and Results'!$E$78:$E$101="All"))*(('Basic Parameters and Results'!$F$78:$F$101=D$330)+('Basic Parameters and Results'!$F$78:$F$101="All")),$H$286:$H$309,1))))))*D254</f>
        <v>17730878.324384265</v>
      </c>
      <c r="E335" s="1349">
        <f t="array" ref="E335">(1-('Basic Parameters and Results'!$E108*(1-(PRODUCT(IF((('Basic Parameters and Results'!$E$78:$E$101=$C$329)+('Basic Parameters and Results'!$E$78:$E$101="Both")+('Basic Parameters and Results'!$E$78:$E$101="All"))*(('Basic Parameters and Results'!$F$78:$F$101=E$330)+('Basic Parameters and Results'!$F$78:$F$101="All")),$H$286:$H$309,1))))))*E254</f>
        <v>4916578.4504758483</v>
      </c>
      <c r="F335" s="1349">
        <f t="array" ref="F335">(1-('Basic Parameters and Results'!$E108*(1-(PRODUCT(IF((('Basic Parameters and Results'!$E$78:$E$101=$C$329)+('Basic Parameters and Results'!$E$78:$E$101="Both")+('Basic Parameters and Results'!$E$78:$E$101="All"))*(('Basic Parameters and Results'!$F$78:$F$101=F$330)+('Basic Parameters and Results'!$F$78:$F$101="All")),$H$286:$H$309,1))))))*F254</f>
        <v>3998642.6015935005</v>
      </c>
      <c r="G335" s="1349">
        <f t="array" ref="G335">(1-('Basic Parameters and Results'!$E108*(1-(PRODUCT(IF((('Basic Parameters and Results'!$E$78:$E$101=$C$329)+('Basic Parameters and Results'!$E$78:$E$101="Both")+('Basic Parameters and Results'!$E$78:$E$101="All"))*(('Basic Parameters and Results'!$F$78:$F$101=G$330)+('Basic Parameters and Results'!$F$78:$F$101="All")),$H$286:$H$309,1))))))*G254</f>
        <v>5510380.983318774</v>
      </c>
      <c r="H335" s="1351"/>
      <c r="I335" s="1351"/>
      <c r="J335" s="1351"/>
      <c r="K335" s="1349"/>
      <c r="L335" s="1349"/>
      <c r="M335" s="1349"/>
      <c r="N335" s="1349"/>
      <c r="O335" s="1351"/>
    </row>
    <row r="336" spans="2:15" ht="16" thickBot="1">
      <c r="B336" s="1333">
        <v>2022</v>
      </c>
      <c r="C336" s="1349">
        <f t="array" ref="C336">(1-('Basic Parameters and Results'!$E109*(1-(PRODUCT(IF((('Basic Parameters and Results'!$E$78:$E$101=$C$329)+('Basic Parameters and Results'!$E$78:$E$101="Both")+('Basic Parameters and Results'!$E$78:$E$101="All"))*('Basic Parameters and Results'!$F$78:$F$101=C$330),$H$286:$H$309,1))))))*C255</f>
        <v>971708.29001142853</v>
      </c>
      <c r="D336" s="1349">
        <f t="array" ref="D336">(1-('Basic Parameters and Results'!$E109*(1-(PRODUCT(IF((('Basic Parameters and Results'!$E$78:$E$101=$C$329)+('Basic Parameters and Results'!$E$78:$E$101="Both")+('Basic Parameters and Results'!$E$78:$E$101="All"))*(('Basic Parameters and Results'!$F$78:$F$101=D$330)+('Basic Parameters and Results'!$F$78:$F$101="All")),$H$286:$H$309,1))))))*D255</f>
        <v>17199733.787052702</v>
      </c>
      <c r="E336" s="1349">
        <f t="array" ref="E336">(1-('Basic Parameters and Results'!$E109*(1-(PRODUCT(IF((('Basic Parameters and Results'!$E$78:$E$101=$C$329)+('Basic Parameters and Results'!$E$78:$E$101="Both")+('Basic Parameters and Results'!$E$78:$E$101="All"))*(('Basic Parameters and Results'!$F$78:$F$101=E$330)+('Basic Parameters and Results'!$F$78:$F$101="All")),$H$286:$H$309,1))))))*E255</f>
        <v>4673339.8793473868</v>
      </c>
      <c r="F336" s="1349">
        <f t="array" ref="F336">(1-('Basic Parameters and Results'!$E109*(1-(PRODUCT(IF((('Basic Parameters and Results'!$E$78:$E$101=$C$329)+('Basic Parameters and Results'!$E$78:$E$101="Both")+('Basic Parameters and Results'!$E$78:$E$101="All"))*(('Basic Parameters and Results'!$F$78:$F$101=F$330)+('Basic Parameters and Results'!$F$78:$F$101="All")),$H$286:$H$309,1))))))*F255</f>
        <v>4067706.8154785251</v>
      </c>
      <c r="G336" s="1349">
        <f t="array" ref="G336">(1-('Basic Parameters and Results'!$E109*(1-(PRODUCT(IF((('Basic Parameters and Results'!$E$78:$E$101=$C$329)+('Basic Parameters and Results'!$E$78:$E$101="Both")+('Basic Parameters and Results'!$E$78:$E$101="All"))*(('Basic Parameters and Results'!$F$78:$F$101=G$330)+('Basic Parameters and Results'!$F$78:$F$101="All")),$H$286:$H$309,1))))))*G255</f>
        <v>5624733.0591052249</v>
      </c>
      <c r="H336" s="1351"/>
      <c r="I336" s="1351"/>
      <c r="J336" s="1351"/>
      <c r="K336" s="1349"/>
      <c r="L336" s="1349"/>
      <c r="M336" s="1349"/>
      <c r="N336" s="1349"/>
      <c r="O336" s="1351"/>
    </row>
    <row r="337" spans="2:15" ht="16" thickBot="1">
      <c r="B337" s="1333">
        <v>2023</v>
      </c>
      <c r="C337" s="1349">
        <f t="array" ref="C337">(1-('Basic Parameters and Results'!$E110*(1-(PRODUCT(IF((('Basic Parameters and Results'!$E$78:$E$101=$C$329)+('Basic Parameters and Results'!$E$78:$E$101="Both")+('Basic Parameters and Results'!$E$78:$E$101="All"))*('Basic Parameters and Results'!$F$78:$F$101=C$330),$H$286:$H$309,1))))))*C256</f>
        <v>765934.76977371448</v>
      </c>
      <c r="D337" s="1349">
        <f t="array" ref="D337">(1-('Basic Parameters and Results'!$E110*(1-(PRODUCT(IF((('Basic Parameters and Results'!$E$78:$E$101=$C$329)+('Basic Parameters and Results'!$E$78:$E$101="Both")+('Basic Parameters and Results'!$E$78:$E$101="All"))*(('Basic Parameters and Results'!$F$78:$F$101=D$330)+('Basic Parameters and Results'!$F$78:$F$101="All")),$H$286:$H$309,1))))))*D256</f>
        <v>16656910.336919416</v>
      </c>
      <c r="E337" s="1349">
        <f t="array" ref="E337">(1-('Basic Parameters and Results'!$E110*(1-(PRODUCT(IF((('Basic Parameters and Results'!$E$78:$E$101=$C$329)+('Basic Parameters and Results'!$E$78:$E$101="Both")+('Basic Parameters and Results'!$E$78:$E$101="All"))*(('Basic Parameters and Results'!$F$78:$F$101=E$330)+('Basic Parameters and Results'!$F$78:$F$101="All")),$H$286:$H$309,1))))))*E256</f>
        <v>4429856.7621612111</v>
      </c>
      <c r="F337" s="1349">
        <f t="array" ref="F337">(1-('Basic Parameters and Results'!$E110*(1-(PRODUCT(IF((('Basic Parameters and Results'!$E$78:$E$101=$C$329)+('Basic Parameters and Results'!$E$78:$E$101="Both")+('Basic Parameters and Results'!$E$78:$E$101="All"))*(('Basic Parameters and Results'!$F$78:$F$101=F$330)+('Basic Parameters and Results'!$F$78:$F$101="All")),$H$286:$H$309,1))))))*F256</f>
        <v>4150426.3206671299</v>
      </c>
      <c r="G337" s="1349">
        <f t="array" ref="G337">(1-('Basic Parameters and Results'!$E110*(1-(PRODUCT(IF((('Basic Parameters and Results'!$E$78:$E$101=$C$329)+('Basic Parameters and Results'!$E$78:$E$101="Both")+('Basic Parameters and Results'!$E$78:$E$101="All"))*(('Basic Parameters and Results'!$F$78:$F$101=G$330)+('Basic Parameters and Results'!$F$78:$F$101="All")),$H$286:$H$309,1))))))*G256</f>
        <v>5760881.7244467549</v>
      </c>
      <c r="H337" s="1351"/>
      <c r="I337" s="1351"/>
      <c r="J337" s="1351"/>
      <c r="K337" s="1349"/>
      <c r="L337" s="1349"/>
      <c r="M337" s="1349"/>
      <c r="N337" s="1349"/>
      <c r="O337" s="1351"/>
    </row>
    <row r="338" spans="2:15" ht="16" thickBot="1">
      <c r="B338" s="1333">
        <v>2024</v>
      </c>
      <c r="C338" s="1349">
        <f t="array" ref="C338">(1-('Basic Parameters and Results'!$E111*(1-(PRODUCT(IF((('Basic Parameters and Results'!$E$78:$E$101=$C$329)+('Basic Parameters and Results'!$E$78:$E$101="Both")+('Basic Parameters and Results'!$E$78:$E$101="All"))*('Basic Parameters and Results'!$F$78:$F$101=C$330),$H$286:$H$309,1))))))*C257</f>
        <v>560161.24953600019</v>
      </c>
      <c r="D338" s="1349">
        <f t="array" ref="D338">(1-('Basic Parameters and Results'!$E111*(1-(PRODUCT(IF((('Basic Parameters and Results'!$E$78:$E$101=$C$329)+('Basic Parameters and Results'!$E$78:$E$101="Both")+('Basic Parameters and Results'!$E$78:$E$101="All"))*(('Basic Parameters and Results'!$F$78:$F$101=D$330)+('Basic Parameters and Results'!$F$78:$F$101="All")),$H$286:$H$309,1))))))*D257</f>
        <v>16041787.458944175</v>
      </c>
      <c r="E338" s="1349">
        <f t="array" ref="E338">(1-('Basic Parameters and Results'!$E111*(1-(PRODUCT(IF((('Basic Parameters and Results'!$E$78:$E$101=$C$329)+('Basic Parameters and Results'!$E$78:$E$101="Both")+('Basic Parameters and Results'!$E$78:$E$101="All"))*(('Basic Parameters and Results'!$F$78:$F$101=E$330)+('Basic Parameters and Results'!$F$78:$F$101="All")),$H$286:$H$309,1))))))*E257</f>
        <v>4170250.4001143379</v>
      </c>
      <c r="F338" s="1349">
        <f t="array" ref="F338">(1-('Basic Parameters and Results'!$E111*(1-(PRODUCT(IF((('Basic Parameters and Results'!$E$78:$E$101=$C$329)+('Basic Parameters and Results'!$E$78:$E$101="Both")+('Basic Parameters and Results'!$E$78:$E$101="All"))*(('Basic Parameters and Results'!$F$78:$F$101=F$330)+('Basic Parameters and Results'!$F$78:$F$101="All")),$H$286:$H$309,1))))))*F257</f>
        <v>4234849.8671848066</v>
      </c>
      <c r="G338" s="1349">
        <f t="array" ref="G338">(1-('Basic Parameters and Results'!$E111*(1-(PRODUCT(IF((('Basic Parameters and Results'!$E$78:$E$101=$C$329)+('Basic Parameters and Results'!$E$78:$E$101="Both")+('Basic Parameters and Results'!$E$78:$E$101="All"))*(('Basic Parameters and Results'!$F$78:$F$101=G$330)+('Basic Parameters and Results'!$F$78:$F$101="All")),$H$286:$H$309,1))))))*G257</f>
        <v>5902744.1325147785</v>
      </c>
      <c r="H338" s="1351"/>
      <c r="I338" s="1351"/>
      <c r="J338" s="1351"/>
      <c r="K338" s="1349"/>
      <c r="L338" s="1349"/>
      <c r="M338" s="1349"/>
      <c r="N338" s="1349"/>
      <c r="O338" s="1351"/>
    </row>
    <row r="339" spans="2:15" ht="16" thickBot="1">
      <c r="B339" s="1333">
        <v>2025</v>
      </c>
      <c r="C339" s="1349">
        <f t="array" ref="C339">(1-('Basic Parameters and Results'!$E112*(1-(PRODUCT(IF((('Basic Parameters and Results'!$E$78:$E$101=$C$329)+('Basic Parameters and Results'!$E$78:$E$101="Both")+('Basic Parameters and Results'!$E$78:$E$101="All"))*('Basic Parameters and Results'!$F$78:$F$101=C$330),$H$286:$H$309,1))))))*C258</f>
        <v>560161.24953599996</v>
      </c>
      <c r="D339" s="1349">
        <f t="array" ref="D339">(1-('Basic Parameters and Results'!$E112*(1-(PRODUCT(IF((('Basic Parameters and Results'!$E$78:$E$101=$C$329)+('Basic Parameters and Results'!$E$78:$E$101="Both")+('Basic Parameters and Results'!$E$78:$E$101="All"))*(('Basic Parameters and Results'!$F$78:$F$101=D$330)+('Basic Parameters and Results'!$F$78:$F$101="All")),$H$286:$H$309,1))))))*D258</f>
        <v>16929981.641404923</v>
      </c>
      <c r="E339" s="1349">
        <f t="array" ref="E339">(1-('Basic Parameters and Results'!$E112*(1-(PRODUCT(IF((('Basic Parameters and Results'!$E$78:$E$101=$C$329)+('Basic Parameters and Results'!$E$78:$E$101="Both")+('Basic Parameters and Results'!$E$78:$E$101="All"))*(('Basic Parameters and Results'!$F$78:$F$101=E$330)+('Basic Parameters and Results'!$F$78:$F$101="All")),$H$286:$H$309,1))))))*E258</f>
        <v>4401146.8731081234</v>
      </c>
      <c r="F339" s="1349">
        <f t="array" ref="F339">(1-('Basic Parameters and Results'!$E112*(1-(PRODUCT(IF((('Basic Parameters and Results'!$E$78:$E$101=$C$329)+('Basic Parameters and Results'!$E$78:$E$101="Both")+('Basic Parameters and Results'!$E$78:$E$101="All"))*(('Basic Parameters and Results'!$F$78:$F$101=F$330)+('Basic Parameters and Results'!$F$78:$F$101="All")),$H$286:$H$309,1))))))*F258</f>
        <v>4469323.0532468148</v>
      </c>
      <c r="G339" s="1349">
        <f t="array" ref="G339">(1-('Basic Parameters and Results'!$E112*(1-(PRODUCT(IF((('Basic Parameters and Results'!$E$78:$E$101=$C$329)+('Basic Parameters and Results'!$E$78:$E$101="Both")+('Basic Parameters and Results'!$E$78:$E$101="All"))*(('Basic Parameters and Results'!$F$78:$F$101=G$330)+('Basic Parameters and Results'!$F$78:$F$101="All")),$H$286:$H$309,1))))))*G258</f>
        <v>6229564.5078920117</v>
      </c>
      <c r="H339" s="1351"/>
      <c r="I339" s="1351"/>
      <c r="J339" s="1351"/>
      <c r="K339" s="1349"/>
      <c r="L339" s="1349"/>
      <c r="M339" s="1349"/>
      <c r="N339" s="1349"/>
      <c r="O339" s="1351"/>
    </row>
    <row r="340" spans="2:15" ht="16" thickBot="1">
      <c r="B340" s="1333">
        <v>2026</v>
      </c>
      <c r="C340" s="1349">
        <f t="array" ref="C340">(1-('Basic Parameters and Results'!$E113*(1-(PRODUCT(IF((('Basic Parameters and Results'!$E$78:$E$101=$C$329)+('Basic Parameters and Results'!$E$78:$E$101="Both")+('Basic Parameters and Results'!$E$78:$E$101="All"))*('Basic Parameters and Results'!$F$78:$F$101=C$330),$H$286:$H$309,1))))))*C259</f>
        <v>560161.24953599996</v>
      </c>
      <c r="D340" s="1349">
        <f t="array" ref="D340">(1-('Basic Parameters and Results'!$E113*(1-(PRODUCT(IF((('Basic Parameters and Results'!$E$78:$E$101=$C$329)+('Basic Parameters and Results'!$E$78:$E$101="Both")+('Basic Parameters and Results'!$E$78:$E$101="All"))*(('Basic Parameters and Results'!$F$78:$F$101=D$330)+('Basic Parameters and Results'!$F$78:$F$101="All")),$H$286:$H$309,1))))))*D259</f>
        <v>17909260.319567513</v>
      </c>
      <c r="E340" s="1349">
        <f t="array" ref="E340">(1-('Basic Parameters and Results'!$E113*(1-(PRODUCT(IF((('Basic Parameters and Results'!$E$78:$E$101=$C$329)+('Basic Parameters and Results'!$E$78:$E$101="Both")+('Basic Parameters and Results'!$E$78:$E$101="All"))*(('Basic Parameters and Results'!$F$78:$F$101=E$330)+('Basic Parameters and Results'!$F$78:$F$101="All")),$H$286:$H$309,1))))))*E259</f>
        <v>4655721.8267959692</v>
      </c>
      <c r="F340" s="1349">
        <f t="array" ref="F340">(1-('Basic Parameters and Results'!$E113*(1-(PRODUCT(IF((('Basic Parameters and Results'!$E$78:$E$101=$C$329)+('Basic Parameters and Results'!$E$78:$E$101="Both")+('Basic Parameters and Results'!$E$78:$E$101="All"))*(('Basic Parameters and Results'!$F$78:$F$101=F$330)+('Basic Parameters and Results'!$F$78:$F$101="All")),$H$286:$H$309,1))))))*F259</f>
        <v>4727841.5126621043</v>
      </c>
      <c r="G340" s="1349">
        <f t="array" ref="G340">(1-('Basic Parameters and Results'!$E113*(1-(PRODUCT(IF((('Basic Parameters and Results'!$E$78:$E$101=$C$329)+('Basic Parameters and Results'!$E$78:$E$101="Both")+('Basic Parameters and Results'!$E$78:$E$101="All"))*(('Basic Parameters and Results'!$F$78:$F$101=G$330)+('Basic Parameters and Results'!$F$78:$F$101="All")),$H$286:$H$309,1))))))*G259</f>
        <v>6589900.3798398823</v>
      </c>
      <c r="H340" s="1351"/>
      <c r="I340" s="1351"/>
      <c r="J340" s="1351"/>
      <c r="K340" s="1349"/>
      <c r="L340" s="1349"/>
      <c r="M340" s="1349"/>
      <c r="N340" s="1349"/>
      <c r="O340" s="1351"/>
    </row>
    <row r="341" spans="2:15" ht="16" thickBot="1">
      <c r="B341" s="1333">
        <v>2027</v>
      </c>
      <c r="C341" s="1349">
        <f t="array" ref="C341">(1-('Basic Parameters and Results'!$E114*(1-(PRODUCT(IF((('Basic Parameters and Results'!$E$78:$E$101=$C$329)+('Basic Parameters and Results'!$E$78:$E$101="Both")+('Basic Parameters and Results'!$E$78:$E$101="All"))*('Basic Parameters and Results'!$F$78:$F$101=C$330),$H$286:$H$309,1))))))*C260</f>
        <v>560161.24953599996</v>
      </c>
      <c r="D341" s="1349">
        <f t="array" ref="D341">(1-('Basic Parameters and Results'!$E114*(1-(PRODUCT(IF((('Basic Parameters and Results'!$E$78:$E$101=$C$329)+('Basic Parameters and Results'!$E$78:$E$101="Both")+('Basic Parameters and Results'!$E$78:$E$101="All"))*(('Basic Parameters and Results'!$F$78:$F$101=D$330)+('Basic Parameters and Results'!$F$78:$F$101="All")),$H$286:$H$309,1))))))*D260</f>
        <v>18888427.940128222</v>
      </c>
      <c r="E341" s="1349">
        <f t="array" ref="E341">(1-('Basic Parameters and Results'!$E114*(1-(PRODUCT(IF((('Basic Parameters and Results'!$E$78:$E$101=$C$329)+('Basic Parameters and Results'!$E$78:$E$101="Both")+('Basic Parameters and Results'!$E$78:$E$101="All"))*(('Basic Parameters and Results'!$F$78:$F$101=E$330)+('Basic Parameters and Results'!$F$78:$F$101="All")),$H$286:$H$309,1))))))*E260</f>
        <v>4910267.9097604081</v>
      </c>
      <c r="F341" s="1349">
        <f t="array" ref="F341">(1-('Basic Parameters and Results'!$E114*(1-(PRODUCT(IF((('Basic Parameters and Results'!$E$78:$E$101=$C$329)+('Basic Parameters and Results'!$E$78:$E$101="Both")+('Basic Parameters and Results'!$E$78:$E$101="All"))*(('Basic Parameters and Results'!$F$78:$F$101=F$330)+('Basic Parameters and Results'!$F$78:$F$101="All")),$H$286:$H$309,1))))))*F260</f>
        <v>4986330.6541306376</v>
      </c>
      <c r="G341" s="1349">
        <f t="array" ref="G341">(1-('Basic Parameters and Results'!$E114*(1-(PRODUCT(IF((('Basic Parameters and Results'!$E$78:$E$101=$C$329)+('Basic Parameters and Results'!$E$78:$E$101="Both")+('Basic Parameters and Results'!$E$78:$E$101="All"))*(('Basic Parameters and Results'!$F$78:$F$101=G$330)+('Basic Parameters and Results'!$F$78:$F$101="All")),$H$286:$H$309,1))))))*G260</f>
        <v>6950195.3869770477</v>
      </c>
      <c r="H341" s="1351"/>
      <c r="I341" s="1351"/>
      <c r="J341" s="1351"/>
      <c r="K341" s="1349"/>
      <c r="L341" s="1349"/>
      <c r="M341" s="1349"/>
      <c r="N341" s="1349"/>
      <c r="O341" s="1351"/>
    </row>
    <row r="342" spans="2:15" ht="16" thickBot="1">
      <c r="B342" s="1333">
        <v>2028</v>
      </c>
      <c r="C342" s="1349">
        <f t="array" ref="C342">(1-('Basic Parameters and Results'!$E115*(1-(PRODUCT(IF((('Basic Parameters and Results'!$E$78:$E$101=$C$329)+('Basic Parameters and Results'!$E$78:$E$101="Both")+('Basic Parameters and Results'!$E$78:$E$101="All"))*('Basic Parameters and Results'!$F$78:$F$101=C$330),$H$286:$H$309,1))))))*C261</f>
        <v>560161.24953599996</v>
      </c>
      <c r="D342" s="1349">
        <f t="array" ref="D342">(1-('Basic Parameters and Results'!$E115*(1-(PRODUCT(IF((('Basic Parameters and Results'!$E$78:$E$101=$C$329)+('Basic Parameters and Results'!$E$78:$E$101="Both")+('Basic Parameters and Results'!$E$78:$E$101="All"))*(('Basic Parameters and Results'!$F$78:$F$101=D$330)+('Basic Parameters and Results'!$F$78:$F$101="All")),$H$286:$H$309,1))))))*D261</f>
        <v>19821213.413140897</v>
      </c>
      <c r="E342" s="1349">
        <f t="array" ref="E342">(1-('Basic Parameters and Results'!$E115*(1-(PRODUCT(IF((('Basic Parameters and Results'!$E$78:$E$101=$C$329)+('Basic Parameters and Results'!$E$78:$E$101="Both")+('Basic Parameters and Results'!$E$78:$E$101="All"))*(('Basic Parameters and Results'!$F$78:$F$101=E$330)+('Basic Parameters and Results'!$F$78:$F$101="All")),$H$286:$H$309,1))))))*E261</f>
        <v>5152756.4106215201</v>
      </c>
      <c r="F342" s="1349">
        <f t="array" ref="F342">(1-('Basic Parameters and Results'!$E115*(1-(PRODUCT(IF((('Basic Parameters and Results'!$E$78:$E$101=$C$329)+('Basic Parameters and Results'!$E$78:$E$101="Both")+('Basic Parameters and Results'!$E$78:$E$101="All"))*(('Basic Parameters and Results'!$F$78:$F$101=F$330)+('Basic Parameters and Results'!$F$78:$F$101="All")),$H$286:$H$309,1))))))*F261</f>
        <v>5232575.4349326175</v>
      </c>
      <c r="G342" s="1349">
        <f t="array" ref="G342">(1-('Basic Parameters and Results'!$E115*(1-(PRODUCT(IF((('Basic Parameters and Results'!$E$78:$E$101=$C$329)+('Basic Parameters and Results'!$E$78:$E$101="Both")+('Basic Parameters and Results'!$E$78:$E$101="All"))*(('Basic Parameters and Results'!$F$78:$F$101=G$330)+('Basic Parameters and Results'!$F$78:$F$101="All")),$H$286:$H$309,1))))))*G261</f>
        <v>7293423.5959164891</v>
      </c>
      <c r="H342" s="1351"/>
      <c r="I342" s="1351"/>
      <c r="J342" s="1351"/>
      <c r="K342" s="1349"/>
      <c r="L342" s="1349"/>
      <c r="M342" s="1349"/>
      <c r="N342" s="1349"/>
      <c r="O342" s="1351"/>
    </row>
    <row r="343" spans="2:15" ht="16" thickBot="1">
      <c r="B343" s="1333">
        <v>2029</v>
      </c>
      <c r="C343" s="1349">
        <f t="array" ref="C343">(1-('Basic Parameters and Results'!$E116*(1-(PRODUCT(IF((('Basic Parameters and Results'!$E$78:$E$101=$C$329)+('Basic Parameters and Results'!$E$78:$E$101="Both")+('Basic Parameters and Results'!$E$78:$E$101="All"))*('Basic Parameters and Results'!$F$78:$F$101=C$330),$H$286:$H$309,1))))))*C262</f>
        <v>560161.24953599996</v>
      </c>
      <c r="D343" s="1349">
        <f t="array" ref="D343">(1-('Basic Parameters and Results'!$E116*(1-(PRODUCT(IF((('Basic Parameters and Results'!$E$78:$E$101=$C$329)+('Basic Parameters and Results'!$E$78:$E$101="Both")+('Basic Parameters and Results'!$E$78:$E$101="All"))*(('Basic Parameters and Results'!$F$78:$F$101=D$330)+('Basic Parameters and Results'!$F$78:$F$101="All")),$H$286:$H$309,1))))))*D262</f>
        <v>20779838.492545366</v>
      </c>
      <c r="E343" s="1349">
        <f t="array" ref="E343">(1-('Basic Parameters and Results'!$E116*(1-(PRODUCT(IF((('Basic Parameters and Results'!$E$78:$E$101=$C$329)+('Basic Parameters and Results'!$E$78:$E$101="Both")+('Basic Parameters and Results'!$E$78:$E$101="All"))*(('Basic Parameters and Results'!$F$78:$F$101=E$330)+('Basic Parameters and Results'!$F$78:$F$101="All")),$H$286:$H$309,1))))))*E262</f>
        <v>5401962.2195862299</v>
      </c>
      <c r="F343" s="1349">
        <f t="array" ref="F343">(1-('Basic Parameters and Results'!$E116*(1-(PRODUCT(IF((('Basic Parameters and Results'!$E$78:$E$101=$C$329)+('Basic Parameters and Results'!$E$78:$E$101="Both")+('Basic Parameters and Results'!$E$78:$E$101="All"))*(('Basic Parameters and Results'!$F$78:$F$101=F$330)+('Basic Parameters and Results'!$F$78:$F$101="All")),$H$286:$H$309,1))))))*F262</f>
        <v>5485641.5786267584</v>
      </c>
      <c r="G343" s="1349">
        <f t="array" ref="G343">(1-('Basic Parameters and Results'!$E116*(1-(PRODUCT(IF((('Basic Parameters and Results'!$E$78:$E$101=$C$329)+('Basic Parameters and Results'!$E$78:$E$101="Both")+('Basic Parameters and Results'!$E$78:$E$101="All"))*(('Basic Parameters and Results'!$F$78:$F$101=G$330)+('Basic Parameters and Results'!$F$78:$F$101="All")),$H$286:$H$309,1))))))*G262</f>
        <v>7646159.7593408031</v>
      </c>
      <c r="H343" s="1351"/>
      <c r="I343" s="1351"/>
      <c r="J343" s="1351"/>
      <c r="K343" s="1349"/>
      <c r="L343" s="1349"/>
      <c r="M343" s="1349"/>
      <c r="N343" s="1349"/>
      <c r="O343" s="1351"/>
    </row>
    <row r="344" spans="2:15" ht="16" thickBot="1">
      <c r="B344" s="1333">
        <v>2030</v>
      </c>
      <c r="C344" s="1349">
        <f t="array" ref="C344">(1-('Basic Parameters and Results'!$E117*(1-(PRODUCT(IF((('Basic Parameters and Results'!$E$78:$E$101=$C$329)+('Basic Parameters and Results'!$E$78:$E$101="Both")+('Basic Parameters and Results'!$E$78:$E$101="All"))*('Basic Parameters and Results'!$F$78:$F$101=C$330),$H$286:$H$309,1))))))*C263</f>
        <v>560161.24953599996</v>
      </c>
      <c r="D344" s="1349">
        <f t="array" ref="D344">(1-('Basic Parameters and Results'!$E117*(1-(PRODUCT(IF((('Basic Parameters and Results'!$E$78:$E$101=$C$329)+('Basic Parameters and Results'!$E$78:$E$101="Both")+('Basic Parameters and Results'!$E$78:$E$101="All"))*(('Basic Parameters and Results'!$F$78:$F$101=D$330)+('Basic Parameters and Results'!$F$78:$F$101="All")),$H$286:$H$309,1))))))*D263</f>
        <v>21821748.181263022</v>
      </c>
      <c r="E344" s="1349">
        <f t="array" ref="E344">(1-('Basic Parameters and Results'!$E117*(1-(PRODUCT(IF((('Basic Parameters and Results'!$E$78:$E$101=$C$329)+('Basic Parameters and Results'!$E$78:$E$101="Both")+('Basic Parameters and Results'!$E$78:$E$101="All"))*(('Basic Parameters and Results'!$F$78:$F$101=E$330)+('Basic Parameters and Results'!$F$78:$F$101="All")),$H$286:$H$309,1))))))*E263</f>
        <v>5672818.8374898182</v>
      </c>
      <c r="F344" s="1349">
        <f t="array" ref="F344">(1-('Basic Parameters and Results'!$E117*(1-(PRODUCT(IF((('Basic Parameters and Results'!$E$78:$E$101=$C$329)+('Basic Parameters and Results'!$E$78:$E$101="Both")+('Basic Parameters and Results'!$E$78:$E$101="All"))*(('Basic Parameters and Results'!$F$78:$F$101=F$330)+('Basic Parameters and Results'!$F$78:$F$101="All")),$H$286:$H$309,1))))))*F263</f>
        <v>5760693.9141708519</v>
      </c>
      <c r="G344" s="1349">
        <f t="array" ref="G344">(1-('Basic Parameters and Results'!$E117*(1-(PRODUCT(IF((('Basic Parameters and Results'!$E$78:$E$101=$C$329)+('Basic Parameters and Results'!$E$78:$E$101="Both")+('Basic Parameters and Results'!$E$78:$E$101="All"))*(('Basic Parameters and Results'!$F$78:$F$101=G$330)+('Basic Parameters and Results'!$F$78:$F$101="All")),$H$286:$H$309,1))))))*G263</f>
        <v>8029541.3692411035</v>
      </c>
      <c r="H344" s="1351"/>
      <c r="I344" s="1351"/>
      <c r="J344" s="1351"/>
      <c r="K344" s="1349"/>
      <c r="L344" s="1349"/>
      <c r="M344" s="1349"/>
      <c r="N344" s="1349"/>
      <c r="O344" s="1351"/>
    </row>
    <row r="345" spans="2:15" ht="14.25" customHeight="1">
      <c r="C345" s="1351"/>
      <c r="D345" s="1351"/>
      <c r="E345" s="1351"/>
      <c r="F345" s="1351"/>
      <c r="G345" s="1351"/>
      <c r="H345" s="1351"/>
      <c r="I345" s="1351"/>
      <c r="J345" s="1351"/>
      <c r="K345" s="1351"/>
      <c r="L345" s="1351"/>
      <c r="M345" s="1351"/>
      <c r="N345" s="1351"/>
      <c r="O345" s="1351"/>
    </row>
    <row r="346" spans="2:15" ht="16" thickBot="1">
      <c r="B346" s="1343" t="s">
        <v>3</v>
      </c>
      <c r="C346" s="1341" t="s">
        <v>3789</v>
      </c>
      <c r="D346" s="1341" t="s">
        <v>3788</v>
      </c>
      <c r="E346" s="1382" t="s">
        <v>3790</v>
      </c>
      <c r="F346" s="1382" t="s">
        <v>3802</v>
      </c>
      <c r="G346" s="1351"/>
      <c r="H346" s="1351"/>
      <c r="I346" s="1351"/>
      <c r="J346" s="1351"/>
      <c r="K346" s="1351"/>
      <c r="L346" s="1351"/>
      <c r="M346" s="1351"/>
      <c r="N346" s="1351"/>
      <c r="O346" s="1351"/>
    </row>
    <row r="347" spans="2:15" ht="16" thickBot="1">
      <c r="B347" s="1333">
        <v>2017</v>
      </c>
      <c r="C347" s="1351">
        <f t="shared" ref="C347:D360" si="20">C267</f>
        <v>66519116</v>
      </c>
      <c r="D347" s="1351">
        <f t="shared" si="20"/>
        <v>66519116</v>
      </c>
      <c r="E347" s="1351">
        <f t="shared" ref="E347:E360" si="21">SUM(C314:L314,C331:G331)</f>
        <v>66519116</v>
      </c>
      <c r="F347" s="1351">
        <f t="shared" ref="F347:F360" si="22">D347-E347</f>
        <v>0</v>
      </c>
      <c r="G347" s="1351"/>
      <c r="H347" s="1351"/>
      <c r="I347" s="1351"/>
      <c r="J347" s="1351"/>
      <c r="K347" s="1351"/>
      <c r="L347" s="1351"/>
      <c r="M347" s="1351"/>
      <c r="N347" s="1351"/>
      <c r="O347" s="1351"/>
    </row>
    <row r="348" spans="2:15" ht="16" thickBot="1">
      <c r="B348" s="1333">
        <v>2018</v>
      </c>
      <c r="C348" s="1351">
        <f t="shared" si="20"/>
        <v>69496756.773680866</v>
      </c>
      <c r="D348" s="1351">
        <f t="shared" si="20"/>
        <v>68552160.210257903</v>
      </c>
      <c r="E348" s="1351">
        <f t="shared" si="21"/>
        <v>66204044.625411063</v>
      </c>
      <c r="F348" s="1351">
        <f t="shared" si="22"/>
        <v>2348115.5848468393</v>
      </c>
      <c r="G348" s="1351"/>
      <c r="H348" s="1351"/>
      <c r="I348" s="1351"/>
      <c r="J348" s="1351"/>
      <c r="K348" s="1351"/>
      <c r="L348" s="1351"/>
      <c r="M348" s="1351"/>
      <c r="N348" s="1351"/>
      <c r="O348" s="1351"/>
    </row>
    <row r="349" spans="2:15" ht="16" thickBot="1">
      <c r="B349" s="1333">
        <v>2019</v>
      </c>
      <c r="C349" s="1351">
        <f t="shared" si="20"/>
        <v>70704236.304229245</v>
      </c>
      <c r="D349" s="1351">
        <f t="shared" si="20"/>
        <v>68784034.085022822</v>
      </c>
      <c r="E349" s="1351">
        <f t="shared" si="21"/>
        <v>63976227.870755464</v>
      </c>
      <c r="F349" s="1351">
        <f t="shared" si="22"/>
        <v>4807806.2142673582</v>
      </c>
      <c r="G349" s="1351"/>
      <c r="H349" s="1351"/>
      <c r="I349" s="1351"/>
      <c r="J349" s="1351"/>
      <c r="K349" s="1351"/>
      <c r="L349" s="1351"/>
      <c r="M349" s="1351"/>
      <c r="N349" s="1351"/>
      <c r="O349" s="1351"/>
    </row>
    <row r="350" spans="2:15" ht="16" thickBot="1">
      <c r="B350" s="1333">
        <v>2020</v>
      </c>
      <c r="C350" s="1351">
        <f t="shared" si="20"/>
        <v>72992822.133073598</v>
      </c>
      <c r="D350" s="1351">
        <f t="shared" si="20"/>
        <v>70019710.998905495</v>
      </c>
      <c r="E350" s="1351">
        <f t="shared" si="21"/>
        <v>62550976.748565406</v>
      </c>
      <c r="F350" s="1351">
        <f t="shared" si="22"/>
        <v>7468734.2503400892</v>
      </c>
      <c r="G350" s="1351"/>
      <c r="H350" s="1351"/>
      <c r="I350" s="1351"/>
      <c r="J350" s="1351"/>
      <c r="K350" s="1351"/>
      <c r="L350" s="1351"/>
      <c r="M350" s="1351"/>
      <c r="N350" s="1351"/>
      <c r="O350" s="1351"/>
    </row>
    <row r="351" spans="2:15" ht="16" thickBot="1">
      <c r="B351" s="1333">
        <v>2021</v>
      </c>
      <c r="C351" s="1351">
        <f t="shared" si="20"/>
        <v>76389302.615715876</v>
      </c>
      <c r="D351" s="1351">
        <f t="shared" si="20"/>
        <v>72230182.880436867</v>
      </c>
      <c r="E351" s="1351">
        <f t="shared" si="21"/>
        <v>61795414.085093185</v>
      </c>
      <c r="F351" s="1351">
        <f t="shared" si="22"/>
        <v>10434768.795343682</v>
      </c>
      <c r="G351" s="1351"/>
      <c r="H351" s="1351"/>
      <c r="I351" s="1351"/>
      <c r="J351" s="1351"/>
      <c r="K351" s="1351"/>
      <c r="L351" s="1351"/>
      <c r="M351" s="1351"/>
      <c r="N351" s="1351"/>
      <c r="O351" s="1351"/>
    </row>
    <row r="352" spans="2:15" ht="16" thickBot="1">
      <c r="B352" s="1333">
        <v>2022</v>
      </c>
      <c r="C352" s="1351">
        <f t="shared" si="20"/>
        <v>79961548.653550714</v>
      </c>
      <c r="D352" s="1351">
        <f t="shared" si="20"/>
        <v>74487239.988397509</v>
      </c>
      <c r="E352" s="1351">
        <f t="shared" si="21"/>
        <v>60900109.341852121</v>
      </c>
      <c r="F352" s="1351">
        <f t="shared" si="22"/>
        <v>13587130.646545388</v>
      </c>
      <c r="G352" s="1351"/>
      <c r="H352" s="1351"/>
      <c r="I352" s="1351"/>
      <c r="J352" s="1351"/>
      <c r="K352" s="1351"/>
      <c r="L352" s="1351"/>
      <c r="M352" s="1351"/>
      <c r="N352" s="1351"/>
      <c r="O352" s="1351"/>
    </row>
    <row r="353" spans="2:15" ht="16" thickBot="1">
      <c r="B353" s="1333">
        <v>2023</v>
      </c>
      <c r="C353" s="1351">
        <f t="shared" si="20"/>
        <v>84050254.101787165</v>
      </c>
      <c r="D353" s="1351">
        <f t="shared" si="20"/>
        <v>77104408.515673935</v>
      </c>
      <c r="E353" s="1351">
        <f t="shared" si="21"/>
        <v>60087772.141960055</v>
      </c>
      <c r="F353" s="1351">
        <f t="shared" si="22"/>
        <v>17016636.373713881</v>
      </c>
      <c r="G353" s="1351"/>
      <c r="H353" s="1351"/>
      <c r="I353" s="1351"/>
      <c r="J353" s="1351"/>
      <c r="K353" s="1351"/>
      <c r="L353" s="1351"/>
      <c r="M353" s="1351"/>
      <c r="N353" s="1351"/>
      <c r="O353" s="1351"/>
    </row>
    <row r="354" spans="2:15" ht="16" thickBot="1">
      <c r="B354" s="1333">
        <v>2024</v>
      </c>
      <c r="C354" s="1351">
        <f t="shared" si="20"/>
        <v>88466981.795458958</v>
      </c>
      <c r="D354" s="1351">
        <f t="shared" si="20"/>
        <v>79891473.872844353</v>
      </c>
      <c r="E354" s="1351">
        <f t="shared" si="21"/>
        <v>59157420.91709508</v>
      </c>
      <c r="F354" s="1351">
        <f t="shared" si="22"/>
        <v>20734052.955749273</v>
      </c>
      <c r="G354" s="1351"/>
      <c r="H354" s="1351"/>
      <c r="I354" s="1351"/>
      <c r="J354" s="1351"/>
      <c r="K354" s="1351"/>
      <c r="L354" s="1351"/>
      <c r="M354" s="1351"/>
      <c r="N354" s="1351"/>
      <c r="O354" s="1351"/>
    </row>
    <row r="355" spans="2:15" ht="16" thickBot="1">
      <c r="B355" s="1333">
        <v>2025</v>
      </c>
      <c r="C355" s="1351">
        <f t="shared" si="20"/>
        <v>93303951.536810294</v>
      </c>
      <c r="D355" s="1351">
        <f t="shared" si="20"/>
        <v>84136506.415205508</v>
      </c>
      <c r="E355" s="1351">
        <f t="shared" si="21"/>
        <v>62248645.90849629</v>
      </c>
      <c r="F355" s="1351">
        <f t="shared" si="22"/>
        <v>21887860.506709218</v>
      </c>
      <c r="G355" s="1351"/>
      <c r="H355" s="1351"/>
      <c r="I355" s="1351"/>
      <c r="J355" s="1351"/>
      <c r="K355" s="1351"/>
      <c r="L355" s="1351"/>
      <c r="M355" s="1351"/>
      <c r="N355" s="1351"/>
      <c r="O355" s="1351"/>
    </row>
    <row r="356" spans="2:15" ht="16" thickBot="1">
      <c r="B356" s="1333">
        <v>2026</v>
      </c>
      <c r="C356" s="1351">
        <f t="shared" si="20"/>
        <v>98643590.670802802</v>
      </c>
      <c r="D356" s="1351">
        <f t="shared" si="20"/>
        <v>88815953.112791732</v>
      </c>
      <c r="E356" s="1351">
        <f t="shared" si="21"/>
        <v>65662871.08547055</v>
      </c>
      <c r="F356" s="1351">
        <f t="shared" si="22"/>
        <v>23153082.027321182</v>
      </c>
      <c r="G356" s="1351"/>
      <c r="H356" s="1351"/>
      <c r="I356" s="1351"/>
      <c r="J356" s="1351"/>
      <c r="K356" s="1351"/>
      <c r="L356" s="1351"/>
      <c r="M356" s="1351"/>
      <c r="N356" s="1351"/>
      <c r="O356" s="1351"/>
    </row>
    <row r="357" spans="2:15" ht="16" thickBot="1">
      <c r="B357" s="1333">
        <v>2027</v>
      </c>
      <c r="C357" s="1351">
        <f t="shared" si="20"/>
        <v>104006169.20202529</v>
      </c>
      <c r="D357" s="1351">
        <f t="shared" si="20"/>
        <v>93495009.93967934</v>
      </c>
      <c r="E357" s="1351">
        <f t="shared" si="21"/>
        <v>69073860.84305574</v>
      </c>
      <c r="F357" s="1351">
        <f t="shared" si="22"/>
        <v>24421149.0966236</v>
      </c>
      <c r="G357" s="1351"/>
      <c r="H357" s="1351"/>
      <c r="I357" s="1351"/>
      <c r="J357" s="1351"/>
      <c r="K357" s="1351"/>
      <c r="L357" s="1351"/>
      <c r="M357" s="1351"/>
      <c r="N357" s="1351"/>
      <c r="O357" s="1351"/>
    </row>
    <row r="358" spans="2:15" ht="16" thickBot="1">
      <c r="B358" s="1333">
        <v>2028</v>
      </c>
      <c r="C358" s="1351">
        <f t="shared" si="20"/>
        <v>109148280.19929104</v>
      </c>
      <c r="D358" s="1351">
        <f t="shared" si="20"/>
        <v>97952947.183530465</v>
      </c>
      <c r="E358" s="1351">
        <f t="shared" si="21"/>
        <v>72317055.618231714</v>
      </c>
      <c r="F358" s="1351">
        <f t="shared" si="22"/>
        <v>25635891.565298751</v>
      </c>
      <c r="G358" s="1351"/>
      <c r="H358" s="1351"/>
      <c r="I358" s="1351"/>
      <c r="J358" s="1351"/>
      <c r="K358" s="1351"/>
      <c r="L358" s="1351"/>
      <c r="M358" s="1351"/>
      <c r="N358" s="1351"/>
      <c r="O358" s="1351"/>
    </row>
    <row r="359" spans="2:15" ht="16" thickBot="1">
      <c r="B359" s="1333">
        <v>2029</v>
      </c>
      <c r="C359" s="1351">
        <f t="shared" si="20"/>
        <v>114449842.86294465</v>
      </c>
      <c r="D359" s="1351">
        <f t="shared" si="20"/>
        <v>102533942.39664839</v>
      </c>
      <c r="E359" s="1351">
        <f t="shared" si="21"/>
        <v>75649695.21846883</v>
      </c>
      <c r="F359" s="1351">
        <f t="shared" si="22"/>
        <v>26884247.178179562</v>
      </c>
      <c r="G359" s="1351"/>
      <c r="H359" s="1351"/>
      <c r="I359" s="1351"/>
      <c r="J359" s="1351"/>
      <c r="K359" s="1351"/>
      <c r="L359" s="1351"/>
      <c r="M359" s="1351"/>
      <c r="N359" s="1351"/>
      <c r="O359" s="1351"/>
    </row>
    <row r="360" spans="2:15" ht="16" thickBot="1">
      <c r="B360" s="1333">
        <v>2030</v>
      </c>
      <c r="C360" s="1351">
        <f t="shared" si="20"/>
        <v>120213043.97720465</v>
      </c>
      <c r="D360" s="1351">
        <f t="shared" si="20"/>
        <v>107506351.34823714</v>
      </c>
      <c r="E360" s="1351">
        <f t="shared" si="21"/>
        <v>79260102.466436476</v>
      </c>
      <c r="F360" s="1351">
        <f t="shared" si="22"/>
        <v>28246248.881800666</v>
      </c>
      <c r="G360" s="1351"/>
      <c r="H360" s="1351"/>
      <c r="I360" s="1351"/>
      <c r="J360" s="1351"/>
      <c r="K360" s="1351"/>
      <c r="L360" s="1351"/>
      <c r="M360" s="1351"/>
      <c r="N360" s="1351"/>
      <c r="O360" s="1351"/>
    </row>
    <row r="361" spans="2:15">
      <c r="C361" s="1351"/>
      <c r="D361" s="1351"/>
      <c r="E361" s="1351"/>
      <c r="F361" s="1351"/>
      <c r="G361" s="1351"/>
      <c r="H361" s="1351"/>
      <c r="I361" s="1351"/>
      <c r="J361" s="1351"/>
      <c r="K361" s="1351"/>
      <c r="L361" s="1351"/>
      <c r="M361" s="1351"/>
      <c r="N361" s="1351"/>
      <c r="O361" s="1351"/>
    </row>
    <row r="362" spans="2:15">
      <c r="C362" s="1351"/>
      <c r="D362" s="1351"/>
      <c r="E362" s="1351"/>
      <c r="F362" s="1351"/>
      <c r="G362" s="1351"/>
      <c r="H362" s="1351"/>
      <c r="I362" s="1351"/>
      <c r="J362" s="1351"/>
      <c r="K362" s="1351"/>
      <c r="L362" s="1351"/>
      <c r="M362" s="1351"/>
      <c r="N362" s="1351"/>
      <c r="O362" s="1351"/>
    </row>
    <row r="363" spans="2:15">
      <c r="C363" s="1568" t="s">
        <v>3775</v>
      </c>
      <c r="D363" s="1568"/>
      <c r="E363" s="1568"/>
      <c r="F363" s="1568"/>
      <c r="G363" s="1568"/>
      <c r="H363" s="1568"/>
      <c r="I363" s="1568"/>
      <c r="J363" s="1351"/>
      <c r="K363" s="1351"/>
      <c r="L363" s="1351"/>
      <c r="M363" s="1351"/>
      <c r="N363" s="1351"/>
      <c r="O363" s="1351"/>
    </row>
    <row r="364" spans="2:15" ht="16" thickBot="1">
      <c r="B364" s="1343" t="s">
        <v>3</v>
      </c>
      <c r="C364" s="1384" t="s">
        <v>3776</v>
      </c>
      <c r="D364" s="1384" t="s">
        <v>3777</v>
      </c>
      <c r="E364" s="1384" t="s">
        <v>3778</v>
      </c>
      <c r="F364" s="1384" t="s">
        <v>3779</v>
      </c>
      <c r="G364" s="1384" t="s">
        <v>3780</v>
      </c>
      <c r="H364" s="1384" t="s">
        <v>3781</v>
      </c>
      <c r="I364" s="1384" t="s">
        <v>3782</v>
      </c>
      <c r="J364" s="1351"/>
      <c r="K364" s="1385"/>
      <c r="L364" s="1351"/>
      <c r="M364" s="1351"/>
      <c r="N364" s="1351"/>
      <c r="O364" s="1351"/>
    </row>
    <row r="365" spans="2:15" ht="16" thickBot="1">
      <c r="B365" s="1333">
        <v>2017</v>
      </c>
      <c r="C365" s="1351">
        <f t="shared" ref="C365:C378" si="23">SUM(E233,F233)-SUM(E314,F314)</f>
        <v>0</v>
      </c>
      <c r="D365" s="1351">
        <f t="shared" ref="D365:D378" si="24">SUM(C233,D233,G233,H233,I233,J233,L233)-SUM(C314,D314,G314,H314,I314,J314,L314)</f>
        <v>0</v>
      </c>
      <c r="E365" s="1351">
        <f t="shared" ref="E365:E378" si="25">K233-K314</f>
        <v>0</v>
      </c>
      <c r="F365" s="1351">
        <f t="shared" ref="F365:F378" si="26">SUM(D250,G250)-SUM(D331,G331)</f>
        <v>0</v>
      </c>
      <c r="G365" s="1351">
        <f t="shared" ref="G365:G378" si="27">E250-E331</f>
        <v>0</v>
      </c>
      <c r="H365" s="1351">
        <f t="shared" ref="H365:H378" si="28">F250-F331</f>
        <v>0</v>
      </c>
      <c r="I365" s="1351">
        <f t="shared" ref="I365:I378" si="29">C250-C331</f>
        <v>0</v>
      </c>
      <c r="J365" s="1351"/>
      <c r="K365" s="1351"/>
      <c r="L365" s="1351"/>
      <c r="M365" s="1351"/>
      <c r="N365" s="1351"/>
      <c r="O365" s="1351"/>
    </row>
    <row r="366" spans="2:15" ht="16" thickBot="1">
      <c r="B366" s="1333">
        <v>2018</v>
      </c>
      <c r="C366" s="1351">
        <f t="shared" si="23"/>
        <v>143718.57278199308</v>
      </c>
      <c r="D366" s="1351">
        <f t="shared" si="24"/>
        <v>397814.33919399977</v>
      </c>
      <c r="E366" s="1351">
        <f t="shared" si="25"/>
        <v>100511.32029913645</v>
      </c>
      <c r="F366" s="1351">
        <f t="shared" si="26"/>
        <v>1272193.5436768718</v>
      </c>
      <c r="G366" s="1351">
        <f t="shared" si="27"/>
        <v>110685.7041786965</v>
      </c>
      <c r="H366" s="1351">
        <f t="shared" si="28"/>
        <v>113852.67338871816</v>
      </c>
      <c r="I366" s="1351">
        <f t="shared" si="29"/>
        <v>209339.43132743239</v>
      </c>
      <c r="J366" s="1351"/>
      <c r="K366" s="1351"/>
      <c r="L366" s="1351"/>
      <c r="M366" s="1351"/>
      <c r="N366" s="1351"/>
      <c r="O366" s="1351"/>
    </row>
    <row r="367" spans="2:15" ht="16" thickBot="1">
      <c r="B367" s="1333">
        <v>2019</v>
      </c>
      <c r="C367" s="1351">
        <f t="shared" si="23"/>
        <v>368512.63597189356</v>
      </c>
      <c r="D367" s="1351">
        <f t="shared" si="24"/>
        <v>818744.13884300739</v>
      </c>
      <c r="E367" s="1351">
        <f t="shared" si="25"/>
        <v>180584.19200265873</v>
      </c>
      <c r="F367" s="1351">
        <f t="shared" si="26"/>
        <v>2581724.2622453161</v>
      </c>
      <c r="G367" s="1351">
        <f t="shared" si="27"/>
        <v>211825.68429983221</v>
      </c>
      <c r="H367" s="1351">
        <f t="shared" si="28"/>
        <v>232538.11388323782</v>
      </c>
      <c r="I367" s="1351">
        <f t="shared" si="29"/>
        <v>413877.187021408</v>
      </c>
      <c r="J367" s="1351"/>
      <c r="K367" s="1351"/>
      <c r="L367" s="1351"/>
      <c r="M367" s="1351"/>
      <c r="N367" s="1351"/>
      <c r="O367" s="1351"/>
    </row>
    <row r="368" spans="2:15" ht="16" thickBot="1">
      <c r="B368" s="1333">
        <v>2020</v>
      </c>
      <c r="C368" s="1351">
        <f t="shared" si="23"/>
        <v>668586.50126732327</v>
      </c>
      <c r="D368" s="1351">
        <f t="shared" si="24"/>
        <v>1279409.7204190753</v>
      </c>
      <c r="E368" s="1351">
        <f t="shared" si="25"/>
        <v>247019.65437449887</v>
      </c>
      <c r="F368" s="1351">
        <f t="shared" si="26"/>
        <v>3987642.8003598154</v>
      </c>
      <c r="G368" s="1351">
        <f t="shared" si="27"/>
        <v>307263.18098797649</v>
      </c>
      <c r="H368" s="1351">
        <f t="shared" si="28"/>
        <v>361491.8322182484</v>
      </c>
      <c r="I368" s="1351">
        <f t="shared" si="29"/>
        <v>617320.56071314262</v>
      </c>
      <c r="J368" s="1351"/>
      <c r="K368" s="1351"/>
      <c r="L368" s="1351"/>
      <c r="M368" s="1351"/>
      <c r="N368" s="1351"/>
      <c r="O368" s="1351"/>
    </row>
    <row r="369" spans="2:15" ht="16" thickBot="1">
      <c r="B369" s="1333">
        <v>2021</v>
      </c>
      <c r="C369" s="1351">
        <f t="shared" si="23"/>
        <v>1052357.8209962174</v>
      </c>
      <c r="D369" s="1351">
        <f t="shared" si="24"/>
        <v>1797163.0630401149</v>
      </c>
      <c r="E369" s="1351">
        <f t="shared" si="25"/>
        <v>305849.89858875517</v>
      </c>
      <c r="F369" s="1351">
        <f t="shared" si="26"/>
        <v>5550180.4870875292</v>
      </c>
      <c r="G369" s="1351">
        <f t="shared" si="27"/>
        <v>399726.508011912</v>
      </c>
      <c r="H369" s="1351">
        <f t="shared" si="28"/>
        <v>506396.93666829402</v>
      </c>
      <c r="I369" s="1351">
        <f t="shared" si="29"/>
        <v>823094.08095085691</v>
      </c>
      <c r="J369" s="1351"/>
      <c r="K369" s="1351"/>
      <c r="L369" s="1351"/>
      <c r="M369" s="1351"/>
      <c r="N369" s="1351"/>
      <c r="O369" s="1351"/>
    </row>
    <row r="370" spans="2:15" ht="16" thickBot="1">
      <c r="B370" s="1333">
        <v>2022</v>
      </c>
      <c r="C370" s="1351">
        <f t="shared" si="23"/>
        <v>1521785.4524425371</v>
      </c>
      <c r="D370" s="1351">
        <f t="shared" si="24"/>
        <v>2288131.3366462551</v>
      </c>
      <c r="E370" s="1351">
        <f t="shared" si="25"/>
        <v>357197.0557900276</v>
      </c>
      <c r="F370" s="1351">
        <f t="shared" si="26"/>
        <v>7241374.154341504</v>
      </c>
      <c r="G370" s="1351">
        <f t="shared" si="27"/>
        <v>484792.09167381003</v>
      </c>
      <c r="H370" s="1351">
        <f t="shared" si="28"/>
        <v>664982.95446267538</v>
      </c>
      <c r="I370" s="1351">
        <f t="shared" si="29"/>
        <v>1028867.6011885712</v>
      </c>
      <c r="J370" s="1351"/>
      <c r="K370" s="1351"/>
      <c r="L370" s="1351"/>
      <c r="M370" s="1351"/>
      <c r="N370" s="1351"/>
      <c r="O370" s="1351"/>
    </row>
    <row r="371" spans="2:15" ht="16" thickBot="1">
      <c r="B371" s="1333">
        <v>2023</v>
      </c>
      <c r="C371" s="1351">
        <f t="shared" si="23"/>
        <v>2081439.9158198116</v>
      </c>
      <c r="D371" s="1351">
        <f t="shared" si="24"/>
        <v>2787599.3889321238</v>
      </c>
      <c r="E371" s="1351">
        <f t="shared" si="25"/>
        <v>401158.64382937225</v>
      </c>
      <c r="F371" s="1351">
        <f t="shared" si="26"/>
        <v>9106945.1589767039</v>
      </c>
      <c r="G371" s="1351">
        <f t="shared" si="27"/>
        <v>563124.26151686534</v>
      </c>
      <c r="H371" s="1351">
        <f t="shared" si="28"/>
        <v>841727.88321273122</v>
      </c>
      <c r="I371" s="1351">
        <f t="shared" si="29"/>
        <v>1234641.1214262852</v>
      </c>
      <c r="J371" s="1351"/>
      <c r="K371" s="1351"/>
      <c r="L371" s="1351"/>
      <c r="M371" s="1351"/>
      <c r="N371" s="1351"/>
      <c r="O371" s="1351"/>
    </row>
    <row r="372" spans="2:15" ht="16" thickBot="1">
      <c r="B372" s="1333">
        <v>2024</v>
      </c>
      <c r="C372" s="1351">
        <f t="shared" si="23"/>
        <v>2730686.488400124</v>
      </c>
      <c r="D372" s="1351">
        <f t="shared" si="24"/>
        <v>3309966.7891107574</v>
      </c>
      <c r="E372" s="1351">
        <f t="shared" si="25"/>
        <v>436390.8707815879</v>
      </c>
      <c r="F372" s="1351">
        <f t="shared" si="26"/>
        <v>11147686.200213749</v>
      </c>
      <c r="G372" s="1351">
        <f t="shared" si="27"/>
        <v>631864.00414034538</v>
      </c>
      <c r="H372" s="1351">
        <f t="shared" si="28"/>
        <v>1037043.9614387034</v>
      </c>
      <c r="I372" s="1351">
        <f t="shared" si="29"/>
        <v>1440414.6416639995</v>
      </c>
      <c r="J372" s="1351"/>
      <c r="K372" s="1351"/>
      <c r="L372" s="1351"/>
      <c r="M372" s="1351"/>
      <c r="N372" s="1351"/>
      <c r="O372" s="1351"/>
    </row>
    <row r="373" spans="2:15" ht="16" thickBot="1">
      <c r="B373" s="1333">
        <v>2025</v>
      </c>
      <c r="C373" s="1351">
        <f t="shared" si="23"/>
        <v>3084511.5466267429</v>
      </c>
      <c r="D373" s="1351">
        <f t="shared" si="24"/>
        <v>3389493.0815661028</v>
      </c>
      <c r="E373" s="1351">
        <f t="shared" si="25"/>
        <v>447223.88186375843</v>
      </c>
      <c r="F373" s="1351">
        <f t="shared" si="26"/>
        <v>11764906.074013244</v>
      </c>
      <c r="G373" s="1351">
        <f t="shared" si="27"/>
        <v>666848.75468763523</v>
      </c>
      <c r="H373" s="1351">
        <f t="shared" si="28"/>
        <v>1094462.5262877438</v>
      </c>
      <c r="I373" s="1351">
        <f t="shared" si="29"/>
        <v>1440414.6416639998</v>
      </c>
      <c r="J373" s="1351"/>
      <c r="K373" s="1351"/>
      <c r="L373" s="1351"/>
      <c r="M373" s="1351"/>
      <c r="N373" s="1351"/>
      <c r="O373" s="1351"/>
    </row>
    <row r="374" spans="2:15" ht="16" thickBot="1">
      <c r="B374" s="1333">
        <v>2026</v>
      </c>
      <c r="C374" s="1351">
        <f t="shared" si="23"/>
        <v>3460393.4658816196</v>
      </c>
      <c r="D374" s="1351">
        <f t="shared" si="24"/>
        <v>3483621.7437131666</v>
      </c>
      <c r="E374" s="1351">
        <f t="shared" si="25"/>
        <v>460039.62818483403</v>
      </c>
      <c r="F374" s="1351">
        <f t="shared" si="26"/>
        <v>12445421.972547356</v>
      </c>
      <c r="G374" s="1351">
        <f t="shared" si="27"/>
        <v>705421.19858372305</v>
      </c>
      <c r="H374" s="1351">
        <f t="shared" si="28"/>
        <v>1157769.3767464794</v>
      </c>
      <c r="I374" s="1351">
        <f t="shared" si="29"/>
        <v>1440414.6416639998</v>
      </c>
      <c r="J374" s="1351"/>
      <c r="K374" s="1351"/>
      <c r="L374" s="1351"/>
      <c r="M374" s="1351"/>
      <c r="N374" s="1351"/>
      <c r="O374" s="1351"/>
    </row>
    <row r="375" spans="2:15" ht="16" thickBot="1">
      <c r="B375" s="1333">
        <v>2027</v>
      </c>
      <c r="C375" s="1351">
        <f t="shared" si="23"/>
        <v>3842644.8355756961</v>
      </c>
      <c r="D375" s="1351">
        <f t="shared" si="24"/>
        <v>3574663.4710019305</v>
      </c>
      <c r="E375" s="1351">
        <f t="shared" si="25"/>
        <v>472507.13714239839</v>
      </c>
      <c r="F375" s="1351">
        <f t="shared" si="26"/>
        <v>13125860.695436358</v>
      </c>
      <c r="G375" s="1351">
        <f t="shared" si="27"/>
        <v>743989.2680732049</v>
      </c>
      <c r="H375" s="1351">
        <f t="shared" si="28"/>
        <v>1221069.0477300035</v>
      </c>
      <c r="I375" s="1351">
        <f t="shared" si="29"/>
        <v>1440414.6416639998</v>
      </c>
      <c r="J375" s="1351"/>
      <c r="K375" s="1351"/>
      <c r="L375" s="1351"/>
      <c r="M375" s="1351"/>
      <c r="N375" s="1351"/>
      <c r="O375" s="1351"/>
    </row>
    <row r="376" spans="2:15" ht="16" thickBot="1">
      <c r="B376" s="1333">
        <v>2028</v>
      </c>
      <c r="C376" s="1351">
        <f t="shared" si="23"/>
        <v>4221048.1409235001</v>
      </c>
      <c r="D376" s="1351">
        <f t="shared" si="24"/>
        <v>3654682.9621917941</v>
      </c>
      <c r="E376" s="1351">
        <f t="shared" si="25"/>
        <v>483577.38605027739</v>
      </c>
      <c r="F376" s="1351">
        <f t="shared" si="26"/>
        <v>13774067.746669017</v>
      </c>
      <c r="G376" s="1351">
        <f t="shared" si="27"/>
        <v>780730.40839127544</v>
      </c>
      <c r="H376" s="1351">
        <f t="shared" si="28"/>
        <v>1281370.2794089075</v>
      </c>
      <c r="I376" s="1351">
        <f t="shared" si="29"/>
        <v>1440414.6416639998</v>
      </c>
      <c r="J376" s="1351"/>
      <c r="K376" s="1351"/>
      <c r="L376" s="1351"/>
      <c r="M376" s="1351"/>
      <c r="N376" s="1351"/>
      <c r="O376" s="1351"/>
    </row>
    <row r="377" spans="2:15" ht="16" thickBot="1">
      <c r="B377" s="1333">
        <v>2029</v>
      </c>
      <c r="C377" s="1351">
        <f t="shared" si="23"/>
        <v>4609699.2877387796</v>
      </c>
      <c r="D377" s="1351">
        <f t="shared" si="24"/>
        <v>3737000.0710400157</v>
      </c>
      <c r="E377" s="1351">
        <f t="shared" si="25"/>
        <v>495070.75350351911</v>
      </c>
      <c r="F377" s="1351">
        <f t="shared" si="26"/>
        <v>14440231.140006941</v>
      </c>
      <c r="G377" s="1351">
        <f t="shared" si="27"/>
        <v>818489.33536198176</v>
      </c>
      <c r="H377" s="1351">
        <f t="shared" si="28"/>
        <v>1343341.9488643473</v>
      </c>
      <c r="I377" s="1351">
        <f t="shared" si="29"/>
        <v>1440414.6416639998</v>
      </c>
      <c r="J377" s="1351"/>
      <c r="K377" s="1351"/>
      <c r="L377" s="1351"/>
      <c r="M377" s="1351"/>
      <c r="N377" s="1351"/>
      <c r="O377" s="1351"/>
    </row>
    <row r="378" spans="2:15" ht="16" thickBot="1">
      <c r="B378" s="1333">
        <v>2030</v>
      </c>
      <c r="C378" s="1351">
        <f t="shared" si="23"/>
        <v>5033519.0744054802</v>
      </c>
      <c r="D378" s="1351">
        <f t="shared" si="24"/>
        <v>3828346.9749779776</v>
      </c>
      <c r="E378" s="1351">
        <f t="shared" si="25"/>
        <v>509471.49621944688</v>
      </c>
      <c r="F378" s="1351">
        <f t="shared" si="26"/>
        <v>15164270.296398513</v>
      </c>
      <c r="G378" s="1351">
        <f t="shared" si="27"/>
        <v>859528.72885542363</v>
      </c>
      <c r="H378" s="1351">
        <f t="shared" si="28"/>
        <v>1410697.6692798231</v>
      </c>
      <c r="I378" s="1351">
        <f t="shared" si="29"/>
        <v>1440414.6416639998</v>
      </c>
      <c r="J378" s="1351"/>
      <c r="K378" s="1351"/>
      <c r="L378" s="1351"/>
      <c r="M378" s="1351"/>
      <c r="N378" s="1351"/>
      <c r="O378" s="1351"/>
    </row>
    <row r="381" spans="2:15">
      <c r="C381" s="1567" t="s">
        <v>3800</v>
      </c>
      <c r="D381" s="1567"/>
      <c r="E381" s="1567"/>
      <c r="F381" s="1567"/>
      <c r="G381" s="1567"/>
      <c r="H381" s="1567"/>
      <c r="I381" s="1567"/>
      <c r="J381" s="1567"/>
    </row>
    <row r="382" spans="2:15" ht="16" thickBot="1">
      <c r="B382" s="1343" t="s">
        <v>3</v>
      </c>
      <c r="C382" s="1343" t="s">
        <v>3801</v>
      </c>
      <c r="D382" s="1384" t="s">
        <v>3776</v>
      </c>
      <c r="E382" s="1384" t="s">
        <v>3777</v>
      </c>
      <c r="F382" s="1384" t="s">
        <v>3778</v>
      </c>
      <c r="G382" s="1384" t="s">
        <v>3779</v>
      </c>
      <c r="H382" s="1384" t="s">
        <v>3780</v>
      </c>
      <c r="I382" s="1384" t="s">
        <v>3781</v>
      </c>
      <c r="J382" s="1384" t="s">
        <v>3782</v>
      </c>
    </row>
    <row r="383" spans="2:15" ht="16" thickBot="1">
      <c r="B383" s="1333">
        <v>2017</v>
      </c>
      <c r="C383" s="1346">
        <v>0</v>
      </c>
      <c r="D383" s="1346">
        <v>0</v>
      </c>
      <c r="E383" s="1346">
        <v>0</v>
      </c>
      <c r="F383" s="1346">
        <v>0</v>
      </c>
      <c r="G383" s="1346">
        <v>0</v>
      </c>
      <c r="H383" s="1346">
        <v>0</v>
      </c>
      <c r="I383" s="1346">
        <v>0</v>
      </c>
      <c r="J383" s="1346">
        <v>0</v>
      </c>
    </row>
    <row r="384" spans="2:15" ht="16" thickBot="1">
      <c r="B384" s="1333">
        <v>2018</v>
      </c>
      <c r="C384" s="1346">
        <f t="shared" ref="C384:C396" si="30">$E268/G411</f>
        <v>0.2868749288999688</v>
      </c>
      <c r="D384" s="1346">
        <f t="shared" ref="D384:J396" si="31">C366/$G411</f>
        <v>4.3647475488409103E-2</v>
      </c>
      <c r="E384" s="1346">
        <f t="shared" si="31"/>
        <v>0.120816615993304</v>
      </c>
      <c r="F384" s="1346">
        <f t="shared" si="31"/>
        <v>3.0525389336553882E-2</v>
      </c>
      <c r="G384" s="1346">
        <f t="shared" si="31"/>
        <v>0.38636646217172738</v>
      </c>
      <c r="H384" s="1346">
        <f t="shared" si="31"/>
        <v>3.3615359981241516E-2</v>
      </c>
      <c r="I384" s="1346">
        <f t="shared" si="31"/>
        <v>3.4577171724088758E-2</v>
      </c>
      <c r="J384" s="1346">
        <f t="shared" si="31"/>
        <v>6.3576596404709251E-2</v>
      </c>
    </row>
    <row r="385" spans="2:10" ht="16" thickBot="1">
      <c r="B385" s="1333">
        <v>2019</v>
      </c>
      <c r="C385" s="1346">
        <f t="shared" si="30"/>
        <v>0.28540425271360587</v>
      </c>
      <c r="D385" s="1346">
        <f t="shared" si="31"/>
        <v>5.477291528625871E-2</v>
      </c>
      <c r="E385" s="1346">
        <f t="shared" si="31"/>
        <v>0.12169190139083645</v>
      </c>
      <c r="F385" s="1346">
        <f t="shared" si="31"/>
        <v>2.6840660767337973E-2</v>
      </c>
      <c r="G385" s="1346">
        <f t="shared" si="31"/>
        <v>0.38372785762284334</v>
      </c>
      <c r="H385" s="1346">
        <f t="shared" si="31"/>
        <v>3.1484158558116308E-2</v>
      </c>
      <c r="I385" s="1346">
        <f t="shared" si="31"/>
        <v>3.4562696551671025E-2</v>
      </c>
      <c r="J385" s="1346">
        <f t="shared" si="31"/>
        <v>6.1515557109329669E-2</v>
      </c>
    </row>
    <row r="386" spans="2:10" ht="16" thickBot="1">
      <c r="B386" s="1333">
        <v>2020</v>
      </c>
      <c r="C386" s="1346">
        <f t="shared" si="30"/>
        <v>0.28473043075116705</v>
      </c>
      <c r="D386" s="1346">
        <f t="shared" si="31"/>
        <v>6.4029534689266365E-2</v>
      </c>
      <c r="E386" s="1346">
        <f t="shared" si="31"/>
        <v>0.12252716577447532</v>
      </c>
      <c r="F386" s="1346">
        <f t="shared" si="31"/>
        <v>2.3656704852284442E-2</v>
      </c>
      <c r="G386" s="1346">
        <f t="shared" si="31"/>
        <v>0.38189061928421114</v>
      </c>
      <c r="H386" s="1346">
        <f t="shared" si="31"/>
        <v>2.9426137782488194E-2</v>
      </c>
      <c r="I386" s="1346">
        <f t="shared" si="31"/>
        <v>3.4619535044501576E-2</v>
      </c>
      <c r="J386" s="1346">
        <f t="shared" si="31"/>
        <v>5.9119871821605045E-2</v>
      </c>
    </row>
    <row r="387" spans="2:10" ht="16" thickBot="1">
      <c r="B387" s="1333">
        <v>2021</v>
      </c>
      <c r="C387" s="1346">
        <f t="shared" si="30"/>
        <v>0.28499051000367942</v>
      </c>
      <c r="D387" s="1346">
        <f t="shared" si="31"/>
        <v>7.210948739179629E-2</v>
      </c>
      <c r="E387" s="1346">
        <f t="shared" si="31"/>
        <v>0.12314490817639771</v>
      </c>
      <c r="F387" s="1346">
        <f t="shared" si="31"/>
        <v>2.0957395826820473E-2</v>
      </c>
      <c r="G387" s="1346">
        <f t="shared" si="31"/>
        <v>0.38030854322625929</v>
      </c>
      <c r="H387" s="1346">
        <f t="shared" si="31"/>
        <v>2.7389993227175655E-2</v>
      </c>
      <c r="I387" s="1346">
        <f t="shared" si="31"/>
        <v>3.4699246578847695E-2</v>
      </c>
      <c r="J387" s="1346">
        <f t="shared" si="31"/>
        <v>5.6399915569023275E-2</v>
      </c>
    </row>
    <row r="388" spans="2:10" ht="16" thickBot="1">
      <c r="B388" s="1333">
        <v>2022</v>
      </c>
      <c r="C388" s="1346">
        <f t="shared" si="30"/>
        <v>0.28719282818236364</v>
      </c>
      <c r="D388" s="1346">
        <f t="shared" si="31"/>
        <v>7.9835810274230992E-2</v>
      </c>
      <c r="E388" s="1346">
        <f t="shared" si="31"/>
        <v>0.12003979863377674</v>
      </c>
      <c r="F388" s="1346">
        <f t="shared" si="31"/>
        <v>1.8739248907127633E-2</v>
      </c>
      <c r="G388" s="1346">
        <f t="shared" si="31"/>
        <v>0.37989650392755225</v>
      </c>
      <c r="H388" s="1346">
        <f t="shared" si="31"/>
        <v>2.5433131451740802E-2</v>
      </c>
      <c r="I388" s="1346">
        <f t="shared" si="31"/>
        <v>3.488629287582469E-2</v>
      </c>
      <c r="J388" s="1346">
        <f t="shared" si="31"/>
        <v>5.3976385747382852E-2</v>
      </c>
    </row>
    <row r="389" spans="2:10" ht="16" thickBot="1">
      <c r="B389" s="1333">
        <v>2023</v>
      </c>
      <c r="C389" s="1346">
        <f t="shared" si="30"/>
        <v>0.28986336214077818</v>
      </c>
      <c r="D389" s="1346">
        <f t="shared" si="31"/>
        <v>8.6862451031129717E-2</v>
      </c>
      <c r="E389" s="1346">
        <f t="shared" si="31"/>
        <v>0.11633183046754128</v>
      </c>
      <c r="F389" s="1346">
        <f t="shared" si="31"/>
        <v>1.6741114067478951E-2</v>
      </c>
      <c r="G389" s="1346">
        <f t="shared" si="31"/>
        <v>0.3800501623431336</v>
      </c>
      <c r="H389" s="1346">
        <f t="shared" si="31"/>
        <v>2.3500247698086459E-2</v>
      </c>
      <c r="I389" s="1346">
        <f t="shared" si="31"/>
        <v>3.5126907330546166E-2</v>
      </c>
      <c r="J389" s="1346">
        <f t="shared" si="31"/>
        <v>5.1523924921306155E-2</v>
      </c>
    </row>
    <row r="390" spans="2:10" ht="16" thickBot="1">
      <c r="B390" s="1333">
        <v>2024</v>
      </c>
      <c r="C390" s="1346">
        <f t="shared" si="30"/>
        <v>0.29258397825212684</v>
      </c>
      <c r="D390" s="1346">
        <f t="shared" si="31"/>
        <v>9.3167089733367472E-2</v>
      </c>
      <c r="E390" s="1346">
        <f t="shared" si="31"/>
        <v>0.11293129920462755</v>
      </c>
      <c r="F390" s="1346">
        <f t="shared" si="31"/>
        <v>1.488902793844751E-2</v>
      </c>
      <c r="G390" s="1346">
        <f t="shared" si="31"/>
        <v>0.38034299614645189</v>
      </c>
      <c r="H390" s="1346">
        <f t="shared" si="31"/>
        <v>2.1558289691292618E-2</v>
      </c>
      <c r="I390" s="1346">
        <f t="shared" si="31"/>
        <v>3.5382446217549518E-2</v>
      </c>
      <c r="J390" s="1346">
        <f t="shared" si="31"/>
        <v>4.9144872816136387E-2</v>
      </c>
    </row>
    <row r="391" spans="2:10" ht="16" thickBot="1">
      <c r="B391" s="1333">
        <v>2025</v>
      </c>
      <c r="C391" s="1346">
        <f t="shared" si="30"/>
        <v>0.29519738853404054</v>
      </c>
      <c r="D391" s="1346">
        <f t="shared" si="31"/>
        <v>9.9323174711071147E-2</v>
      </c>
      <c r="E391" s="1346">
        <f t="shared" si="31"/>
        <v>0.10914376828659531</v>
      </c>
      <c r="F391" s="1346">
        <f t="shared" si="31"/>
        <v>1.4400884899229964E-2</v>
      </c>
      <c r="G391" s="1346">
        <f t="shared" si="31"/>
        <v>0.37883723363800503</v>
      </c>
      <c r="H391" s="1346">
        <f t="shared" si="31"/>
        <v>2.1472941296048629E-2</v>
      </c>
      <c r="I391" s="1346">
        <f t="shared" si="31"/>
        <v>3.52423685468383E-2</v>
      </c>
      <c r="J391" s="1346">
        <f t="shared" si="31"/>
        <v>4.6382240088171371E-2</v>
      </c>
    </row>
    <row r="392" spans="2:10" ht="16" thickBot="1">
      <c r="B392" s="1333">
        <v>2026</v>
      </c>
      <c r="C392" s="1346">
        <f t="shared" si="30"/>
        <v>0.29798129578657784</v>
      </c>
      <c r="D392" s="1346">
        <f t="shared" si="31"/>
        <v>0.10492170908910625</v>
      </c>
      <c r="E392" s="1346">
        <f t="shared" si="31"/>
        <v>0.10562600778615099</v>
      </c>
      <c r="F392" s="1346">
        <f t="shared" si="31"/>
        <v>1.3948744417008739E-2</v>
      </c>
      <c r="G392" s="1346">
        <f t="shared" si="31"/>
        <v>0.37735447040040621</v>
      </c>
      <c r="H392" s="1346">
        <f t="shared" si="31"/>
        <v>2.1388896526607321E-2</v>
      </c>
      <c r="I392" s="1346">
        <f t="shared" si="31"/>
        <v>3.5104430446125934E-2</v>
      </c>
      <c r="J392" s="1346">
        <f t="shared" si="31"/>
        <v>4.3674445548016652E-2</v>
      </c>
    </row>
    <row r="393" spans="2:10" ht="16" thickBot="1">
      <c r="B393" s="1333">
        <v>2027</v>
      </c>
      <c r="C393" s="1346">
        <f t="shared" si="30"/>
        <v>0.30090079230756045</v>
      </c>
      <c r="D393" s="1346">
        <f t="shared" si="31"/>
        <v>0.11000260263616451</v>
      </c>
      <c r="E393" s="1346">
        <f t="shared" si="31"/>
        <v>0.10233115528089817</v>
      </c>
      <c r="F393" s="1346">
        <f t="shared" si="31"/>
        <v>1.3526364541582691E-2</v>
      </c>
      <c r="G393" s="1346">
        <f t="shared" si="31"/>
        <v>0.37575131195319467</v>
      </c>
      <c r="H393" s="1346">
        <f t="shared" si="31"/>
        <v>2.1298027614661517E-2</v>
      </c>
      <c r="I393" s="1346">
        <f t="shared" si="31"/>
        <v>3.4955292252150008E-2</v>
      </c>
      <c r="J393" s="1346">
        <f t="shared" si="31"/>
        <v>4.1234453413787786E-2</v>
      </c>
    </row>
    <row r="394" spans="2:10" ht="16" thickBot="1">
      <c r="B394" s="1333">
        <v>2028</v>
      </c>
      <c r="C394" s="1346">
        <f t="shared" si="30"/>
        <v>0.30396309498538471</v>
      </c>
      <c r="D394" s="1346">
        <f t="shared" si="31"/>
        <v>0.1146051533430197</v>
      </c>
      <c r="E394" s="1346">
        <f t="shared" si="31"/>
        <v>9.9227842781834538E-2</v>
      </c>
      <c r="F394" s="1346">
        <f t="shared" si="31"/>
        <v>1.3129549493691285E-2</v>
      </c>
      <c r="G394" s="1346">
        <f t="shared" si="31"/>
        <v>0.37397800109400692</v>
      </c>
      <c r="H394" s="1346">
        <f t="shared" si="31"/>
        <v>2.119751426328547E-2</v>
      </c>
      <c r="I394" s="1346">
        <f t="shared" si="31"/>
        <v>3.4790325165236557E-2</v>
      </c>
      <c r="J394" s="1346">
        <f t="shared" si="31"/>
        <v>3.910851887354138E-2</v>
      </c>
    </row>
    <row r="395" spans="2:10" ht="16" thickBot="1">
      <c r="B395" s="1333">
        <v>2029</v>
      </c>
      <c r="C395" s="1346">
        <f t="shared" si="30"/>
        <v>0.3071096681250074</v>
      </c>
      <c r="D395" s="1346">
        <f t="shared" si="31"/>
        <v>0.11880623058389539</v>
      </c>
      <c r="E395" s="1346">
        <f t="shared" si="31"/>
        <v>9.6314068319584653E-2</v>
      </c>
      <c r="F395" s="1346">
        <f t="shared" si="31"/>
        <v>1.2759506949299068E-2</v>
      </c>
      <c r="G395" s="1346">
        <f t="shared" si="31"/>
        <v>0.37216948946489053</v>
      </c>
      <c r="H395" s="1346">
        <f t="shared" si="31"/>
        <v>2.1095005690745468E-2</v>
      </c>
      <c r="I395" s="1346">
        <f t="shared" si="31"/>
        <v>3.4622083430540913E-2</v>
      </c>
      <c r="J395" s="1346">
        <f t="shared" si="31"/>
        <v>3.712394743603712E-2</v>
      </c>
    </row>
    <row r="396" spans="2:10" ht="16" thickBot="1">
      <c r="B396" s="1333">
        <v>2030</v>
      </c>
      <c r="C396" s="1346">
        <f t="shared" si="30"/>
        <v>0.31027545666350753</v>
      </c>
      <c r="D396" s="1346">
        <f t="shared" si="31"/>
        <v>0.12290982988564975</v>
      </c>
      <c r="E396" s="1346">
        <f t="shared" si="31"/>
        <v>9.3481611668147238E-2</v>
      </c>
      <c r="F396" s="1346">
        <f t="shared" si="31"/>
        <v>1.2440412762181842E-2</v>
      </c>
      <c r="G396" s="1346">
        <f t="shared" si="31"/>
        <v>0.3702852527067248</v>
      </c>
      <c r="H396" s="1346">
        <f t="shared" si="31"/>
        <v>2.0988204928562189E-2</v>
      </c>
      <c r="I396" s="1346">
        <f t="shared" si="31"/>
        <v>3.4446797158853508E-2</v>
      </c>
      <c r="J396" s="1346">
        <f t="shared" si="31"/>
        <v>3.5172434226373138E-2</v>
      </c>
    </row>
    <row r="397" spans="2:10">
      <c r="D397" s="1346"/>
      <c r="E397" s="1346"/>
      <c r="F397" s="1346"/>
      <c r="G397" s="1346"/>
      <c r="H397" s="1346"/>
      <c r="I397" s="1346"/>
      <c r="J397" s="1346"/>
    </row>
    <row r="399" spans="2:10">
      <c r="B399" s="1326" t="s">
        <v>3791</v>
      </c>
      <c r="D399" s="1341"/>
      <c r="E399" s="1341"/>
    </row>
    <row r="400" spans="2:10">
      <c r="B400" s="1326"/>
      <c r="D400" s="1341"/>
      <c r="E400" s="1341"/>
    </row>
    <row r="401" spans="2:14">
      <c r="B401" s="1341" t="s">
        <v>3793</v>
      </c>
      <c r="D401" s="1367"/>
      <c r="E401" s="1367"/>
      <c r="F401" s="1367"/>
    </row>
    <row r="402" spans="2:14">
      <c r="B402" s="1327" t="s">
        <v>3742</v>
      </c>
      <c r="E402" s="1359">
        <v>4823000</v>
      </c>
    </row>
    <row r="403" spans="2:14">
      <c r="E403" s="1359"/>
    </row>
    <row r="404" spans="2:14">
      <c r="B404" s="1327" t="s">
        <v>3825</v>
      </c>
      <c r="E404" s="1368">
        <v>0.5</v>
      </c>
    </row>
    <row r="405" spans="2:14">
      <c r="B405" s="1327" t="s">
        <v>3743</v>
      </c>
      <c r="E405" s="1394">
        <f>(F418+E402)*E404</f>
        <v>31124322.954248145</v>
      </c>
    </row>
    <row r="406" spans="2:14">
      <c r="B406" s="1327" t="s">
        <v>3824</v>
      </c>
      <c r="E406" s="1394">
        <f>(E405-E402)/8</f>
        <v>3287665.3692810182</v>
      </c>
      <c r="F406" s="1327" t="s">
        <v>3907</v>
      </c>
      <c r="K406" s="41"/>
      <c r="L406" s="41"/>
    </row>
    <row r="407" spans="2:14">
      <c r="E407" s="1361"/>
      <c r="K407" s="41"/>
      <c r="L407" s="41"/>
    </row>
    <row r="408" spans="2:14">
      <c r="D408" s="1569" t="s">
        <v>3814</v>
      </c>
      <c r="E408" s="1569"/>
      <c r="F408" s="1569"/>
      <c r="G408" s="1569"/>
      <c r="H408" s="1569"/>
      <c r="I408" s="1569"/>
      <c r="K408" s="41"/>
      <c r="L408" s="41"/>
      <c r="M408" s="1327" t="s">
        <v>3967</v>
      </c>
    </row>
    <row r="409" spans="2:14" ht="16" thickBot="1">
      <c r="B409" s="1343" t="s">
        <v>3</v>
      </c>
      <c r="C409" s="1343" t="s">
        <v>3792</v>
      </c>
      <c r="D409" s="1343" t="s">
        <v>3799</v>
      </c>
      <c r="E409" s="1386" t="s">
        <v>3822</v>
      </c>
      <c r="F409" s="1386" t="s">
        <v>3823</v>
      </c>
      <c r="G409" s="1343" t="s">
        <v>3803</v>
      </c>
      <c r="H409" s="1344" t="s">
        <v>3794</v>
      </c>
      <c r="I409" s="1506" t="s">
        <v>3751</v>
      </c>
      <c r="J409" s="1506" t="s">
        <v>3798</v>
      </c>
      <c r="K409" s="41" t="s">
        <v>3965</v>
      </c>
      <c r="L409" s="41"/>
      <c r="M409" s="1344" t="s">
        <v>3966</v>
      </c>
      <c r="N409" s="41" t="s">
        <v>3965</v>
      </c>
    </row>
    <row r="410" spans="2:14" ht="16" thickBot="1">
      <c r="B410" s="1333">
        <v>2017</v>
      </c>
      <c r="C410" s="1351">
        <f t="shared" ref="C410:C423" si="32">G173</f>
        <v>66519116</v>
      </c>
      <c r="D410" s="1351">
        <f t="shared" ref="D410:D423" si="33">C410-$I$410</f>
        <v>61696116</v>
      </c>
      <c r="E410" s="1351">
        <f>D267-$E$402</f>
        <v>61696116</v>
      </c>
      <c r="F410" s="1351">
        <f t="shared" ref="F410:F423" si="34">E347-$E$402</f>
        <v>61696116</v>
      </c>
      <c r="G410" s="1350">
        <f>(D410-F410)</f>
        <v>0</v>
      </c>
      <c r="H410" s="1439">
        <f>'Basic Parameters and Results'!F47</f>
        <v>7.2505473464199374E-2</v>
      </c>
      <c r="I410" s="1505">
        <f>H410*C410</f>
        <v>4823000</v>
      </c>
      <c r="J410" s="1504">
        <f t="shared" ref="J410:J423" si="35">C410-G410-I410</f>
        <v>61696116</v>
      </c>
      <c r="K410" s="37">
        <f t="shared" ref="K410:K423" si="36">1-H410</f>
        <v>0.92749452653580067</v>
      </c>
      <c r="L410" s="41"/>
      <c r="M410" s="1439">
        <v>7.0000000000000007E-2</v>
      </c>
      <c r="N410" s="37">
        <f t="shared" ref="N410:N423" si="37">1-M410</f>
        <v>0.92999999999999994</v>
      </c>
    </row>
    <row r="411" spans="2:14" ht="16" thickBot="1">
      <c r="B411" s="1333">
        <v>2018</v>
      </c>
      <c r="C411" s="1351">
        <f t="shared" si="32"/>
        <v>69496756.773680866</v>
      </c>
      <c r="D411" s="1351">
        <f t="shared" si="33"/>
        <v>64673756.773680866</v>
      </c>
      <c r="E411" s="1351">
        <f t="shared" ref="E411:E423" si="38">D268-$I$410</f>
        <v>63729160.210257903</v>
      </c>
      <c r="F411" s="1351">
        <f t="shared" si="34"/>
        <v>61381044.625411063</v>
      </c>
      <c r="G411" s="1350">
        <f t="shared" ref="G411:G423" si="39">(D411-E411)+(E411-F411)</f>
        <v>3292712.1482698023</v>
      </c>
      <c r="H411" s="1439">
        <f>'Basic Parameters and Results'!F48</f>
        <v>0.21500364897613289</v>
      </c>
      <c r="I411" s="1505">
        <f t="shared" ref="I411:I423" si="40">(C411-G411)*H411</f>
        <v>14234111.171442118</v>
      </c>
      <c r="J411" s="1504">
        <f t="shared" si="35"/>
        <v>51969933.453968942</v>
      </c>
      <c r="K411" s="37">
        <f t="shared" si="36"/>
        <v>0.78499635102386711</v>
      </c>
      <c r="L411" s="41"/>
      <c r="M411" s="1439">
        <f>M410+ ((M413-M410)/3)</f>
        <v>0.21333333333333335</v>
      </c>
      <c r="N411" s="37">
        <f t="shared" si="37"/>
        <v>0.78666666666666663</v>
      </c>
    </row>
    <row r="412" spans="2:14" ht="16" thickBot="1">
      <c r="B412" s="1333">
        <v>2019</v>
      </c>
      <c r="C412" s="1351">
        <f t="shared" si="32"/>
        <v>70704236.304229245</v>
      </c>
      <c r="D412" s="1351">
        <f t="shared" si="33"/>
        <v>65881236.304229245</v>
      </c>
      <c r="E412" s="1351">
        <f t="shared" si="38"/>
        <v>63961034.085022822</v>
      </c>
      <c r="F412" s="1351">
        <f t="shared" si="34"/>
        <v>59153227.870755464</v>
      </c>
      <c r="G412" s="1350">
        <f t="shared" si="39"/>
        <v>6728008.4334737808</v>
      </c>
      <c r="H412" s="1439">
        <f>'Basic Parameters and Results'!F49</f>
        <v>0.35750182448806644</v>
      </c>
      <c r="I412" s="1505">
        <f t="shared" si="40"/>
        <v>22871618.187659364</v>
      </c>
      <c r="J412" s="1504">
        <f t="shared" si="35"/>
        <v>41104609.683096096</v>
      </c>
      <c r="K412" s="37">
        <f t="shared" si="36"/>
        <v>0.64249817551193356</v>
      </c>
      <c r="L412" s="41"/>
      <c r="M412" s="1439">
        <f>M411+ ((M413-M410)/3)</f>
        <v>0.35666666666666669</v>
      </c>
      <c r="N412" s="37">
        <f t="shared" si="37"/>
        <v>0.64333333333333331</v>
      </c>
    </row>
    <row r="413" spans="2:14" ht="16" thickBot="1">
      <c r="B413" s="1333">
        <v>2020</v>
      </c>
      <c r="C413" s="1351">
        <f t="shared" si="32"/>
        <v>72992822.133073598</v>
      </c>
      <c r="D413" s="1351">
        <f t="shared" si="33"/>
        <v>68169822.133073598</v>
      </c>
      <c r="E413" s="1351">
        <f t="shared" si="38"/>
        <v>65196710.998905495</v>
      </c>
      <c r="F413" s="1351">
        <f t="shared" si="34"/>
        <v>57727976.748565406</v>
      </c>
      <c r="G413" s="1350">
        <f t="shared" si="39"/>
        <v>10441845.384508193</v>
      </c>
      <c r="H413" s="1439">
        <f>'Basic Parameters and Results'!F50</f>
        <v>0.5</v>
      </c>
      <c r="I413" s="1505">
        <f t="shared" si="40"/>
        <v>31275488.374282703</v>
      </c>
      <c r="J413" s="1504">
        <f t="shared" si="35"/>
        <v>31275488.374282703</v>
      </c>
      <c r="K413" s="37">
        <f t="shared" si="36"/>
        <v>0.5</v>
      </c>
      <c r="L413" s="41"/>
      <c r="M413" s="1439">
        <v>0.5</v>
      </c>
      <c r="N413" s="37">
        <f t="shared" si="37"/>
        <v>0.5</v>
      </c>
    </row>
    <row r="414" spans="2:14" ht="16" thickBot="1">
      <c r="B414" s="1333">
        <v>2021</v>
      </c>
      <c r="C414" s="1351">
        <f t="shared" si="32"/>
        <v>76389302.615715876</v>
      </c>
      <c r="D414" s="1351">
        <f t="shared" si="33"/>
        <v>71566302.615715876</v>
      </c>
      <c r="E414" s="1351">
        <f t="shared" si="38"/>
        <v>67407182.880436867</v>
      </c>
      <c r="F414" s="1351">
        <f t="shared" si="34"/>
        <v>56972414.085093185</v>
      </c>
      <c r="G414" s="1350">
        <f t="shared" si="39"/>
        <v>14593888.530622691</v>
      </c>
      <c r="H414" s="1439">
        <f>'Basic Parameters and Results'!F51</f>
        <v>0.52</v>
      </c>
      <c r="I414" s="1505">
        <f t="shared" si="40"/>
        <v>32133615.324248459</v>
      </c>
      <c r="J414" s="1504">
        <f t="shared" si="35"/>
        <v>29661798.760844726</v>
      </c>
      <c r="K414" s="37">
        <f t="shared" si="36"/>
        <v>0.48</v>
      </c>
      <c r="L414" s="41"/>
      <c r="M414" s="1439">
        <v>0.5</v>
      </c>
      <c r="N414" s="37">
        <f t="shared" si="37"/>
        <v>0.5</v>
      </c>
    </row>
    <row r="415" spans="2:14" ht="16" thickBot="1">
      <c r="B415" s="1333">
        <v>2022</v>
      </c>
      <c r="C415" s="1351">
        <f t="shared" si="32"/>
        <v>79961548.653550714</v>
      </c>
      <c r="D415" s="1351">
        <f t="shared" si="33"/>
        <v>75138548.653550714</v>
      </c>
      <c r="E415" s="1351">
        <f t="shared" si="38"/>
        <v>69664239.988397509</v>
      </c>
      <c r="F415" s="1351">
        <f t="shared" si="34"/>
        <v>56077109.341852121</v>
      </c>
      <c r="G415" s="1350">
        <f t="shared" si="39"/>
        <v>19061439.311698593</v>
      </c>
      <c r="H415" s="1439">
        <f>'Basic Parameters and Results'!F52</f>
        <v>0.54</v>
      </c>
      <c r="I415" s="1505">
        <f t="shared" si="40"/>
        <v>32886059.044600148</v>
      </c>
      <c r="J415" s="1504">
        <f t="shared" si="35"/>
        <v>28014050.297251973</v>
      </c>
      <c r="K415" s="37">
        <f t="shared" si="36"/>
        <v>0.45999999999999996</v>
      </c>
      <c r="L415" s="41"/>
      <c r="M415" s="1439">
        <v>0.5</v>
      </c>
      <c r="N415" s="37">
        <f t="shared" si="37"/>
        <v>0.5</v>
      </c>
    </row>
    <row r="416" spans="2:14" ht="16" thickBot="1">
      <c r="B416" s="1333">
        <v>2023</v>
      </c>
      <c r="C416" s="1351">
        <f t="shared" si="32"/>
        <v>84050254.101787165</v>
      </c>
      <c r="D416" s="1351">
        <f t="shared" si="33"/>
        <v>79227254.101787165</v>
      </c>
      <c r="E416" s="1351">
        <f t="shared" si="38"/>
        <v>72281408.515673935</v>
      </c>
      <c r="F416" s="1351">
        <f t="shared" si="34"/>
        <v>55264772.141960055</v>
      </c>
      <c r="G416" s="1350">
        <f t="shared" si="39"/>
        <v>23962481.95982711</v>
      </c>
      <c r="H416" s="1439">
        <f>'Basic Parameters and Results'!F53</f>
        <v>0.56000000000000005</v>
      </c>
      <c r="I416" s="1505">
        <f t="shared" si="40"/>
        <v>33649152.399497636</v>
      </c>
      <c r="J416" s="1504">
        <f t="shared" si="35"/>
        <v>26438619.742462419</v>
      </c>
      <c r="K416" s="37">
        <f t="shared" si="36"/>
        <v>0.43999999999999995</v>
      </c>
      <c r="L416" s="41"/>
      <c r="M416" s="1439">
        <v>0.5</v>
      </c>
      <c r="N416" s="37">
        <f t="shared" si="37"/>
        <v>0.5</v>
      </c>
    </row>
    <row r="417" spans="2:14" ht="16" thickBot="1">
      <c r="B417" s="1333">
        <v>2024</v>
      </c>
      <c r="C417" s="1351">
        <f t="shared" si="32"/>
        <v>88466981.795458958</v>
      </c>
      <c r="D417" s="1351">
        <f t="shared" si="33"/>
        <v>83643981.795458958</v>
      </c>
      <c r="E417" s="1351">
        <f t="shared" si="38"/>
        <v>75068473.872844353</v>
      </c>
      <c r="F417" s="1351">
        <f t="shared" si="34"/>
        <v>54334420.91709508</v>
      </c>
      <c r="G417" s="1350">
        <f t="shared" si="39"/>
        <v>29309560.878363878</v>
      </c>
      <c r="H417" s="1439">
        <f>'Basic Parameters and Results'!F54</f>
        <v>0.58000000000000007</v>
      </c>
      <c r="I417" s="1505">
        <f t="shared" si="40"/>
        <v>34311304.131915152</v>
      </c>
      <c r="J417" s="1504">
        <f t="shared" si="35"/>
        <v>24846116.785179928</v>
      </c>
      <c r="K417" s="37">
        <f t="shared" si="36"/>
        <v>0.41999999999999993</v>
      </c>
      <c r="M417" s="1439">
        <v>0.5</v>
      </c>
      <c r="N417" s="37">
        <f t="shared" si="37"/>
        <v>0.5</v>
      </c>
    </row>
    <row r="418" spans="2:14" ht="16" thickBot="1">
      <c r="B418" s="1333">
        <v>2025</v>
      </c>
      <c r="C418" s="1351">
        <f t="shared" si="32"/>
        <v>93303951.536810294</v>
      </c>
      <c r="D418" s="1351">
        <f t="shared" si="33"/>
        <v>88480951.536810294</v>
      </c>
      <c r="E418" s="1351">
        <f t="shared" si="38"/>
        <v>79313506.415205508</v>
      </c>
      <c r="F418" s="1351">
        <f t="shared" si="34"/>
        <v>57425645.90849629</v>
      </c>
      <c r="G418" s="1350">
        <f t="shared" si="39"/>
        <v>31055305.628314003</v>
      </c>
      <c r="H418" s="1439">
        <f>'Basic Parameters and Results'!F55</f>
        <v>0.60000000000000009</v>
      </c>
      <c r="I418" s="1505">
        <f t="shared" si="40"/>
        <v>37349187.545097783</v>
      </c>
      <c r="J418" s="1504">
        <f t="shared" si="35"/>
        <v>24899458.363398507</v>
      </c>
      <c r="K418" s="37">
        <f t="shared" si="36"/>
        <v>0.39999999999999991</v>
      </c>
      <c r="M418" s="1439">
        <v>0.5</v>
      </c>
      <c r="N418" s="37">
        <f t="shared" si="37"/>
        <v>0.5</v>
      </c>
    </row>
    <row r="419" spans="2:14" ht="16" thickBot="1">
      <c r="B419" s="1333">
        <v>2026</v>
      </c>
      <c r="C419" s="1351">
        <f t="shared" si="32"/>
        <v>98643590.670802802</v>
      </c>
      <c r="D419" s="1351">
        <f t="shared" si="33"/>
        <v>93820590.670802802</v>
      </c>
      <c r="E419" s="1351">
        <f t="shared" si="38"/>
        <v>83992953.112791732</v>
      </c>
      <c r="F419" s="1351">
        <f t="shared" si="34"/>
        <v>60839871.08547055</v>
      </c>
      <c r="G419" s="1350">
        <f t="shared" si="39"/>
        <v>32980719.585332252</v>
      </c>
      <c r="H419" s="1439">
        <f>'Basic Parameters and Results'!F56</f>
        <v>0.62000000000000011</v>
      </c>
      <c r="I419" s="1505">
        <f t="shared" si="40"/>
        <v>40710980.072991751</v>
      </c>
      <c r="J419" s="1504">
        <f t="shared" si="35"/>
        <v>24951891.012478799</v>
      </c>
      <c r="K419" s="37">
        <f t="shared" si="36"/>
        <v>0.37999999999999989</v>
      </c>
      <c r="M419" s="1439">
        <v>0.5</v>
      </c>
      <c r="N419" s="37">
        <f t="shared" si="37"/>
        <v>0.5</v>
      </c>
    </row>
    <row r="420" spans="2:14" ht="16" thickBot="1">
      <c r="B420" s="1333">
        <v>2027</v>
      </c>
      <c r="C420" s="1351">
        <f t="shared" si="32"/>
        <v>104006169.20202529</v>
      </c>
      <c r="D420" s="1351">
        <f t="shared" si="33"/>
        <v>99183169.202025294</v>
      </c>
      <c r="E420" s="1351">
        <f t="shared" si="38"/>
        <v>88672009.93967934</v>
      </c>
      <c r="F420" s="1351">
        <f t="shared" si="34"/>
        <v>64250860.84305574</v>
      </c>
      <c r="G420" s="1350">
        <f t="shared" si="39"/>
        <v>34932308.358969554</v>
      </c>
      <c r="H420" s="1439">
        <f>'Basic Parameters and Results'!F57</f>
        <v>0.64000000000000012</v>
      </c>
      <c r="I420" s="1505">
        <f t="shared" si="40"/>
        <v>44207270.939555682</v>
      </c>
      <c r="J420" s="1504">
        <f t="shared" si="35"/>
        <v>24866589.903500058</v>
      </c>
      <c r="K420" s="37">
        <f t="shared" si="36"/>
        <v>0.35999999999999988</v>
      </c>
      <c r="M420" s="1439">
        <v>0.5</v>
      </c>
      <c r="N420" s="37">
        <f t="shared" si="37"/>
        <v>0.5</v>
      </c>
    </row>
    <row r="421" spans="2:14" ht="16" thickBot="1">
      <c r="B421" s="1333">
        <v>2028</v>
      </c>
      <c r="C421" s="1351">
        <f t="shared" si="32"/>
        <v>109148280.19929104</v>
      </c>
      <c r="D421" s="1351">
        <f t="shared" si="33"/>
        <v>104325280.19929104</v>
      </c>
      <c r="E421" s="1351">
        <f t="shared" si="38"/>
        <v>93129947.183530465</v>
      </c>
      <c r="F421" s="1351">
        <f t="shared" si="34"/>
        <v>67494055.618231714</v>
      </c>
      <c r="G421" s="1350">
        <f t="shared" si="39"/>
        <v>36831224.581059322</v>
      </c>
      <c r="H421" s="1439">
        <f>'Basic Parameters and Results'!F58</f>
        <v>0.66000000000000014</v>
      </c>
      <c r="I421" s="1505">
        <f t="shared" si="40"/>
        <v>47729256.708032943</v>
      </c>
      <c r="J421" s="1504">
        <f t="shared" si="35"/>
        <v>24587798.91019877</v>
      </c>
      <c r="K421" s="37">
        <f t="shared" si="36"/>
        <v>0.33999999999999986</v>
      </c>
      <c r="M421" s="1439">
        <v>0.5</v>
      </c>
      <c r="N421" s="37">
        <f t="shared" si="37"/>
        <v>0.5</v>
      </c>
    </row>
    <row r="422" spans="2:14" ht="16" thickBot="1">
      <c r="B422" s="1333">
        <v>2029</v>
      </c>
      <c r="C422" s="1351">
        <f t="shared" si="32"/>
        <v>114449842.86294465</v>
      </c>
      <c r="D422" s="1351">
        <f t="shared" si="33"/>
        <v>109626842.86294465</v>
      </c>
      <c r="E422" s="1351">
        <f t="shared" si="38"/>
        <v>97710942.396648392</v>
      </c>
      <c r="F422" s="1351">
        <f t="shared" si="34"/>
        <v>70826695.21846883</v>
      </c>
      <c r="G422" s="1350">
        <f t="shared" si="39"/>
        <v>38800147.644475818</v>
      </c>
      <c r="H422" s="1439">
        <f>'Basic Parameters and Results'!F59</f>
        <v>0.68000000000000016</v>
      </c>
      <c r="I422" s="1505">
        <f t="shared" si="40"/>
        <v>51441792.748558819</v>
      </c>
      <c r="J422" s="1504">
        <f t="shared" si="35"/>
        <v>24207902.469910011</v>
      </c>
      <c r="K422" s="37">
        <f t="shared" si="36"/>
        <v>0.31999999999999984</v>
      </c>
      <c r="L422" s="41"/>
      <c r="M422" s="1439">
        <v>0.5</v>
      </c>
      <c r="N422" s="37">
        <f t="shared" si="37"/>
        <v>0.5</v>
      </c>
    </row>
    <row r="423" spans="2:14" ht="16" thickBot="1">
      <c r="B423" s="1333">
        <v>2030</v>
      </c>
      <c r="C423" s="1351">
        <f t="shared" si="32"/>
        <v>120213043.97720465</v>
      </c>
      <c r="D423" s="1351">
        <f t="shared" si="33"/>
        <v>115390043.97720465</v>
      </c>
      <c r="E423" s="1351">
        <f t="shared" si="38"/>
        <v>102683351.34823714</v>
      </c>
      <c r="F423" s="1351">
        <f t="shared" si="34"/>
        <v>74437102.466436476</v>
      </c>
      <c r="G423" s="1350">
        <f t="shared" si="39"/>
        <v>40952941.510768175</v>
      </c>
      <c r="H423" s="1439">
        <f>'Basic Parameters and Results'!F60</f>
        <v>0.7</v>
      </c>
      <c r="I423" s="1505">
        <f t="shared" si="40"/>
        <v>55482071.726505533</v>
      </c>
      <c r="J423" s="1504">
        <f t="shared" si="35"/>
        <v>23778030.739930943</v>
      </c>
      <c r="K423" s="37">
        <f t="shared" si="36"/>
        <v>0.30000000000000004</v>
      </c>
      <c r="L423" s="41"/>
      <c r="M423" s="1439">
        <v>0.5</v>
      </c>
      <c r="N423" s="37">
        <f t="shared" si="37"/>
        <v>0.5</v>
      </c>
    </row>
    <row r="424" spans="2:14">
      <c r="B424" s="1411"/>
      <c r="C424" s="1357"/>
      <c r="D424" s="1357"/>
      <c r="E424" s="1357"/>
      <c r="F424" s="1357"/>
      <c r="G424" s="1394"/>
      <c r="H424" s="1339"/>
      <c r="I424" s="1350"/>
      <c r="J424" s="1351"/>
      <c r="K424" s="41"/>
      <c r="L424" s="41"/>
      <c r="M424" s="1354"/>
      <c r="N424" s="1354"/>
    </row>
    <row r="425" spans="2:14">
      <c r="B425" s="1411"/>
      <c r="C425" s="1341" t="s">
        <v>3873</v>
      </c>
      <c r="D425" s="1357"/>
      <c r="E425" s="1357"/>
      <c r="F425" s="1357"/>
      <c r="G425" s="1394"/>
      <c r="H425" s="1339"/>
      <c r="I425" s="1350"/>
      <c r="J425" s="1351"/>
      <c r="K425" s="41"/>
      <c r="L425" s="41"/>
      <c r="M425" s="1354"/>
      <c r="N425" s="1354"/>
    </row>
    <row r="426" spans="2:14">
      <c r="B426" s="1411"/>
      <c r="C426" s="41" t="s">
        <v>3870</v>
      </c>
      <c r="D426" s="1354">
        <f>C423*'Basic Parameters and Results'!F60</f>
        <v>84149130.784043252</v>
      </c>
      <c r="E426" s="1357"/>
      <c r="F426" s="1357"/>
      <c r="G426" s="1394"/>
      <c r="H426" s="1339"/>
      <c r="I426" s="1350"/>
      <c r="J426" s="1351"/>
      <c r="K426" s="41"/>
      <c r="L426" s="41"/>
      <c r="M426" s="1354"/>
      <c r="N426" s="1354"/>
    </row>
    <row r="427" spans="2:14">
      <c r="B427" s="1411"/>
      <c r="C427" s="41" t="s">
        <v>3869</v>
      </c>
      <c r="D427" s="1354">
        <f>I423</f>
        <v>55482071.726505533</v>
      </c>
      <c r="E427" s="1357"/>
      <c r="F427" s="1357"/>
      <c r="G427" s="1394"/>
      <c r="H427" s="1339"/>
      <c r="I427" s="1350"/>
      <c r="J427" s="1351"/>
      <c r="K427" s="41"/>
      <c r="L427" s="41"/>
      <c r="M427" s="1354"/>
      <c r="N427" s="1354"/>
    </row>
    <row r="428" spans="2:14">
      <c r="B428" s="1411"/>
      <c r="C428" s="41" t="s">
        <v>3874</v>
      </c>
      <c r="D428" s="1354">
        <v>500</v>
      </c>
      <c r="E428" s="1357"/>
      <c r="F428" s="1357"/>
      <c r="G428" s="1394"/>
      <c r="H428" s="1339"/>
      <c r="I428" s="1350"/>
      <c r="J428" s="1351"/>
      <c r="K428" s="41"/>
      <c r="L428" s="41"/>
      <c r="M428" s="1354"/>
      <c r="N428" s="1354"/>
    </row>
    <row r="429" spans="2:14">
      <c r="B429" s="1411"/>
      <c r="C429" s="41" t="s">
        <v>3871</v>
      </c>
      <c r="D429" s="1354">
        <f>D426/D428</f>
        <v>168298.26156808651</v>
      </c>
      <c r="E429" s="1365">
        <f>(D429-D430)/D429</f>
        <v>0.34066969902645389</v>
      </c>
      <c r="F429" s="1357"/>
      <c r="G429" s="1394"/>
      <c r="H429" s="1339"/>
      <c r="I429" s="1350"/>
      <c r="J429" s="1351"/>
      <c r="K429" s="41"/>
      <c r="L429" s="41"/>
      <c r="M429" s="1354"/>
      <c r="N429" s="1354"/>
    </row>
    <row r="430" spans="2:14">
      <c r="B430" s="1411"/>
      <c r="C430" s="41" t="s">
        <v>3872</v>
      </c>
      <c r="D430" s="1354">
        <f>D427/D428</f>
        <v>110964.14345301107</v>
      </c>
      <c r="E430" s="1357"/>
      <c r="F430" s="1357"/>
      <c r="G430" s="1394"/>
      <c r="H430" s="1339"/>
      <c r="I430" s="1350"/>
      <c r="J430" s="1351"/>
      <c r="K430" s="41"/>
      <c r="L430" s="41"/>
      <c r="M430" s="1354"/>
      <c r="N430" s="1354"/>
    </row>
    <row r="431" spans="2:14">
      <c r="B431" s="1411"/>
      <c r="C431" s="1357"/>
      <c r="D431" s="1357"/>
      <c r="E431" s="1357"/>
      <c r="F431" s="1357"/>
      <c r="G431" s="1394"/>
      <c r="H431" s="1339"/>
      <c r="I431" s="1350"/>
      <c r="J431" s="1351"/>
      <c r="K431" s="41"/>
      <c r="L431" s="41"/>
      <c r="M431" s="1354"/>
      <c r="N431" s="1354"/>
    </row>
    <row r="432" spans="2:14">
      <c r="K432" s="41"/>
      <c r="L432" s="41"/>
      <c r="M432" s="1354"/>
      <c r="N432" s="1354"/>
    </row>
    <row r="433" spans="2:14">
      <c r="B433" s="1326" t="s">
        <v>3837</v>
      </c>
      <c r="K433" s="1354"/>
      <c r="M433" s="1354"/>
      <c r="N433" s="1354"/>
    </row>
    <row r="434" spans="2:14">
      <c r="B434" s="1358" t="s">
        <v>3752</v>
      </c>
      <c r="J434" s="1355"/>
      <c r="K434" s="1354"/>
      <c r="M434" s="1354"/>
      <c r="N434" s="1354"/>
    </row>
    <row r="436" spans="2:14">
      <c r="B436" s="1327" t="s">
        <v>3753</v>
      </c>
      <c r="D436" s="1441">
        <f>'Basic Parameters and Results'!F62</f>
        <v>4.1500000000000004</v>
      </c>
    </row>
    <row r="437" spans="2:14">
      <c r="B437" s="1327" t="s">
        <v>3754</v>
      </c>
      <c r="D437" s="1441">
        <f>'Advanced Parameters'!D23</f>
        <v>3.2903071652694926</v>
      </c>
      <c r="F437" s="1342"/>
    </row>
    <row r="439" spans="2:14">
      <c r="C439" s="1567" t="s">
        <v>3815</v>
      </c>
      <c r="D439" s="1567"/>
      <c r="E439" s="1567"/>
      <c r="F439" s="1567"/>
      <c r="G439" s="1567"/>
      <c r="H439" s="1567"/>
      <c r="I439" s="1567"/>
      <c r="J439" s="1567"/>
      <c r="K439" s="1567"/>
      <c r="L439" s="1567"/>
      <c r="M439" s="1567"/>
    </row>
    <row r="440" spans="2:14" ht="16" thickBot="1">
      <c r="B440" s="1343" t="s">
        <v>3</v>
      </c>
      <c r="C440" s="1343" t="s">
        <v>3758</v>
      </c>
      <c r="D440" s="1343" t="s">
        <v>3973</v>
      </c>
      <c r="E440" s="1343" t="s">
        <v>3805</v>
      </c>
      <c r="F440" s="1343" t="s">
        <v>3804</v>
      </c>
      <c r="G440" s="1384" t="s">
        <v>3776</v>
      </c>
      <c r="H440" s="1384" t="s">
        <v>3777</v>
      </c>
      <c r="I440" s="1384" t="s">
        <v>3778</v>
      </c>
      <c r="J440" s="1384" t="s">
        <v>3779</v>
      </c>
      <c r="K440" s="1384" t="s">
        <v>3780</v>
      </c>
      <c r="L440" s="1384" t="s">
        <v>3781</v>
      </c>
      <c r="M440" s="1384" t="s">
        <v>3782</v>
      </c>
    </row>
    <row r="441" spans="2:14" ht="16" thickBot="1">
      <c r="B441" s="1333">
        <v>2017</v>
      </c>
      <c r="C441" s="1366">
        <f>D410*'Advanced Parameters'!$D$23/'Basic Parameters and Results'!$F$62</f>
        <v>48915463.263638012</v>
      </c>
      <c r="D441" s="1366">
        <f>J410*'Advanced Parameters'!$D$23/'Basic Parameters and Results'!$F$62</f>
        <v>48915463.263638012</v>
      </c>
      <c r="E441" s="1366">
        <f>I410*'Advanced Parameters'!$D$23/'Basic Parameters and Results'!$F$62</f>
        <v>3823891.9176131957</v>
      </c>
      <c r="F441" s="1367">
        <f>$G410*C383*'Advanced Parameters'!$D$23/'Basic Parameters and Results'!$F$62</f>
        <v>0</v>
      </c>
      <c r="G441" s="1367">
        <f>$G410*D383*'Advanced Parameters'!$D$23/'Basic Parameters and Results'!$F$62</f>
        <v>0</v>
      </c>
      <c r="H441" s="1367">
        <f>$G410*E383*'Advanced Parameters'!$D$23/'Basic Parameters and Results'!$F$62</f>
        <v>0</v>
      </c>
      <c r="I441" s="1367">
        <f>$G410*F383*'Advanced Parameters'!$D$23/'Basic Parameters and Results'!$F$62</f>
        <v>0</v>
      </c>
      <c r="J441" s="1367">
        <f>$G410*G383*'Advanced Parameters'!$D$23/'Basic Parameters and Results'!$F$62</f>
        <v>0</v>
      </c>
      <c r="K441" s="1367">
        <f>$G410*H383*'Advanced Parameters'!$D$23/'Basic Parameters and Results'!$F$62</f>
        <v>0</v>
      </c>
      <c r="L441" s="1367">
        <f>$G410*I383*'Advanced Parameters'!$D$23/'Basic Parameters and Results'!$F$62</f>
        <v>0</v>
      </c>
      <c r="M441" s="1367">
        <f>$G410*J383*'Advanced Parameters'!$D$23/'Basic Parameters and Results'!$F$62</f>
        <v>0</v>
      </c>
    </row>
    <row r="442" spans="2:14" ht="16" thickBot="1">
      <c r="B442" s="1333">
        <v>2018</v>
      </c>
      <c r="C442" s="1366">
        <f>D411*'Advanced Parameters'!$D$23/'Basic Parameters and Results'!$F$62</f>
        <v>51276271.160804458</v>
      </c>
      <c r="D442" s="1366">
        <f>J411*'Advanced Parameters'!$D$23/'Basic Parameters and Results'!$F$62</f>
        <v>41204107.089680173</v>
      </c>
      <c r="E442" s="1366">
        <f>I411*'Advanced Parameters'!$D$23/'Basic Parameters and Results'!$F$62</f>
        <v>11285445.296057476</v>
      </c>
      <c r="F442" s="1367">
        <f>$G411*C384*'Advanced Parameters'!$D$23/'Basic Parameters and Results'!$F$62</f>
        <v>748918.75684807566</v>
      </c>
      <c r="G442" s="1367">
        <f>$G411*D384*'Advanced Parameters'!$D$23/'Basic Parameters and Results'!$F$62</f>
        <v>113946.56621852936</v>
      </c>
      <c r="H442" s="1367">
        <f>$G411*E384*'Advanced Parameters'!$D$23/'Basic Parameters and Results'!$F$62</f>
        <v>315405.14956553391</v>
      </c>
      <c r="I442" s="1367">
        <f>$G411*F384*'Advanced Parameters'!$D$23/'Basic Parameters and Results'!$F$62</f>
        <v>79689.907800227869</v>
      </c>
      <c r="J442" s="1367">
        <f>$G411*G384*'Advanced Parameters'!$D$23/'Basic Parameters and Results'!$F$62</f>
        <v>1008652.4174384575</v>
      </c>
      <c r="K442" s="1367">
        <f>$G411*H384*'Advanced Parameters'!$D$23/'Basic Parameters and Results'!$F$62</f>
        <v>87756.618205316743</v>
      </c>
      <c r="L442" s="1367">
        <f>$G411*I384*'Advanced Parameters'!$D$23/'Basic Parameters and Results'!$F$62</f>
        <v>90267.534225538941</v>
      </c>
      <c r="M442" s="1367">
        <f>$G411*J384*'Advanced Parameters'!$D$23/'Basic Parameters and Results'!$F$62</f>
        <v>165973.74237833536</v>
      </c>
    </row>
    <row r="443" spans="2:14" ht="16" thickBot="1">
      <c r="B443" s="1333">
        <v>2019</v>
      </c>
      <c r="C443" s="1366">
        <f>D412*'Advanced Parameters'!$D$23/'Basic Parameters and Results'!$F$62</f>
        <v>52233615.390028454</v>
      </c>
      <c r="D443" s="1366">
        <f>J412*'Advanced Parameters'!$D$23/'Basic Parameters and Results'!$F$62</f>
        <v>32589588.37732454</v>
      </c>
      <c r="E443" s="1366">
        <f>I412*'Advanced Parameters'!$D$23/'Basic Parameters and Results'!$F$62</f>
        <v>18133650.410641842</v>
      </c>
      <c r="F443" s="1367">
        <f>$G412*C385*'Advanced Parameters'!$D$23/'Basic Parameters and Results'!$F$62</f>
        <v>1522422.9206316317</v>
      </c>
      <c r="G443" s="1367">
        <f>$G412*D385*'Advanced Parameters'!$D$23/'Basic Parameters and Results'!$F$62</f>
        <v>292173.43774233002</v>
      </c>
      <c r="H443" s="1367">
        <f>$G412*E385*'Advanced Parameters'!$D$23/'Basic Parameters and Results'!$F$62</f>
        <v>649137.2786885656</v>
      </c>
      <c r="I443" s="1367">
        <f>$G412*F385*'Advanced Parameters'!$D$23/'Basic Parameters and Results'!$F$62</f>
        <v>143175.29177849393</v>
      </c>
      <c r="J443" s="1367">
        <f>$G412*G385*'Advanced Parameters'!$D$23/'Basic Parameters and Results'!$F$62</f>
        <v>2046907.4310399657</v>
      </c>
      <c r="K443" s="1367">
        <f>$G412*H385*'Advanced Parameters'!$D$23/'Basic Parameters and Results'!$F$62</f>
        <v>167944.95586502441</v>
      </c>
      <c r="L443" s="1367">
        <f>$G412*I385*'Advanced Parameters'!$D$23/'Basic Parameters and Results'!$F$62</f>
        <v>184366.70417066762</v>
      </c>
      <c r="M443" s="1367">
        <f>$G412*J385*'Advanced Parameters'!$D$23/'Basic Parameters and Results'!$F$62</f>
        <v>328140.49975858326</v>
      </c>
    </row>
    <row r="444" spans="2:14" ht="16" thickBot="1">
      <c r="B444" s="1333">
        <v>2020</v>
      </c>
      <c r="C444" s="1366">
        <f>D413*'Advanced Parameters'!$D$23/'Basic Parameters and Results'!$F$62</f>
        <v>54048109.450505756</v>
      </c>
      <c r="D444" s="1366">
        <f>J413*'Advanced Parameters'!$D$23/'Basic Parameters and Results'!$F$62</f>
        <v>24796617.709687971</v>
      </c>
      <c r="E444" s="1366">
        <f>I413*'Advanced Parameters'!$D$23/'Basic Parameters and Results'!$F$62</f>
        <v>24796617.709687971</v>
      </c>
      <c r="F444" s="1367">
        <f>$G413*C386*'Advanced Parameters'!$D$23/'Basic Parameters and Results'!$F$62</f>
        <v>2357216.5946736909</v>
      </c>
      <c r="G444" s="1367">
        <f>$G413*D386*'Advanced Parameters'!$D$23/'Basic Parameters and Results'!$F$62</f>
        <v>530085.53149935754</v>
      </c>
      <c r="H444" s="1367">
        <f>$G413*E386*'Advanced Parameters'!$D$23/'Basic Parameters and Results'!$F$62</f>
        <v>1014373.727809716</v>
      </c>
      <c r="I444" s="1367">
        <f>$G413*F386*'Advanced Parameters'!$D$23/'Basic Parameters and Results'!$F$62</f>
        <v>195848.32259055594</v>
      </c>
      <c r="J444" s="1367">
        <f>$G413*G386*'Advanced Parameters'!$D$23/'Basic Parameters and Results'!$F$62</f>
        <v>3161583.0550745069</v>
      </c>
      <c r="K444" s="1367">
        <f>$G413*H386*'Advanced Parameters'!$D$23/'Basic Parameters and Results'!$F$62</f>
        <v>243612.10747668336</v>
      </c>
      <c r="L444" s="1367">
        <f>$G413*I386*'Advanced Parameters'!$D$23/'Basic Parameters and Results'!$F$62</f>
        <v>286607.02788773488</v>
      </c>
      <c r="M444" s="1367">
        <f>$G413*J386*'Advanced Parameters'!$D$23/'Basic Parameters and Results'!$F$62</f>
        <v>489439.5817307551</v>
      </c>
    </row>
    <row r="445" spans="2:14" ht="16" thickBot="1">
      <c r="B445" s="1333">
        <v>2021</v>
      </c>
      <c r="C445" s="1366">
        <f>D414*'Advanced Parameters'!$D$23/'Basic Parameters and Results'!$F$62</f>
        <v>56740992.358634882</v>
      </c>
      <c r="D445" s="1366">
        <f>J414*'Advanced Parameters'!$D$23/'Basic Parameters and Results'!$F$62</f>
        <v>23517211.806647986</v>
      </c>
      <c r="E445" s="1366">
        <f>I414*'Advanced Parameters'!$D$23/'Basic Parameters and Results'!$F$62</f>
        <v>25476979.457201991</v>
      </c>
      <c r="F445" s="1367">
        <f>$G414*C387*'Advanced Parameters'!$D$23/'Basic Parameters and Results'!$F$62</f>
        <v>3297537.7026993432</v>
      </c>
      <c r="G445" s="1367">
        <f>$G414*D387*'Advanced Parameters'!$D$23/'Basic Parameters and Results'!$F$62</f>
        <v>834356.74189186608</v>
      </c>
      <c r="H445" s="1367">
        <f>$G414*E387*'Advanced Parameters'!$D$23/'Basic Parameters and Results'!$F$62</f>
        <v>1424871.9285490501</v>
      </c>
      <c r="I445" s="1367">
        <f>$G414*F387*'Advanced Parameters'!$D$23/'Basic Parameters and Results'!$F$62</f>
        <v>242491.5934514527</v>
      </c>
      <c r="J445" s="1367">
        <f>$G414*G387*'Advanced Parameters'!$D$23/'Basic Parameters and Results'!$F$62</f>
        <v>4400433.4036633782</v>
      </c>
      <c r="K445" s="1367">
        <f>$G414*H387*'Advanced Parameters'!$D$23/'Basic Parameters and Results'!$F$62</f>
        <v>316921.2032433126</v>
      </c>
      <c r="L445" s="1367">
        <f>$G414*I387*'Advanced Parameters'!$D$23/'Basic Parameters and Results'!$F$62</f>
        <v>401494.3299253516</v>
      </c>
      <c r="M445" s="1367">
        <f>$G414*J387*'Advanced Parameters'!$D$23/'Basic Parameters and Results'!$F$62</f>
        <v>652586.10897434026</v>
      </c>
    </row>
    <row r="446" spans="2:14" ht="16" thickBot="1">
      <c r="B446" s="1333">
        <v>2022</v>
      </c>
      <c r="C446" s="1366">
        <f>D415*'Advanced Parameters'!$D$23/'Basic Parameters and Results'!$F$62</f>
        <v>59573230.125958622</v>
      </c>
      <c r="D446" s="1366">
        <f>J415*'Advanced Parameters'!$D$23/'Basic Parameters and Results'!$F$62</f>
        <v>22210802.511148944</v>
      </c>
      <c r="E446" s="1366">
        <f>I415*'Advanced Parameters'!$D$23/'Basic Parameters and Results'!$F$62</f>
        <v>26073550.773957457</v>
      </c>
      <c r="F446" s="1367">
        <f>$G415*C388*'Advanced Parameters'!$D$23/'Basic Parameters and Results'!$F$62</f>
        <v>4340278.8014097502</v>
      </c>
      <c r="G446" s="1367">
        <f>$G415*D388*'Advanced Parameters'!$D$23/'Basic Parameters and Results'!$F$62</f>
        <v>1206540.1393191703</v>
      </c>
      <c r="H446" s="1367">
        <f>$G415*E388*'Advanced Parameters'!$D$23/'Basic Parameters and Results'!$F$62</f>
        <v>1814133.7185650202</v>
      </c>
      <c r="I446" s="1367">
        <f>$G415*F388*'Advanced Parameters'!$D$23/'Basic Parameters and Results'!$F$62</f>
        <v>283201.93544074561</v>
      </c>
      <c r="J446" s="1367">
        <f>$G415*G388*'Advanced Parameters'!$D$23/'Basic Parameters and Results'!$F$62</f>
        <v>5741288.0160065452</v>
      </c>
      <c r="K446" s="1367">
        <f>$G415*H388*'Advanced Parameters'!$D$23/'Basic Parameters and Results'!$F$62</f>
        <v>384365.03443381249</v>
      </c>
      <c r="L446" s="1367">
        <f>$G415*I388*'Advanced Parameters'!$D$23/'Basic Parameters and Results'!$F$62</f>
        <v>527228.47707243776</v>
      </c>
      <c r="M446" s="1367">
        <f>$G415*J388*'Advanced Parameters'!$D$23/'Basic Parameters and Results'!$F$62</f>
        <v>815732.63621792535</v>
      </c>
    </row>
    <row r="447" spans="2:14" ht="16" thickBot="1">
      <c r="B447" s="1333">
        <v>2023</v>
      </c>
      <c r="C447" s="1366">
        <f>D416*'Advanced Parameters'!$D$23/'Basic Parameters and Results'!$F$62</f>
        <v>62814940.20620171</v>
      </c>
      <c r="D447" s="1366">
        <f>J416*'Advanced Parameters'!$D$23/'Basic Parameters and Results'!$F$62</f>
        <v>20961730.115291461</v>
      </c>
      <c r="E447" s="1366">
        <f>I416*'Advanced Parameters'!$D$23/'Basic Parameters and Results'!$F$62</f>
        <v>26678565.601280048</v>
      </c>
      <c r="F447" s="1367">
        <f>$G416*C389*'Advanced Parameters'!$D$23/'Basic Parameters and Results'!$F$62</f>
        <v>5506979.6387575511</v>
      </c>
      <c r="G447" s="1367">
        <f>$G416*D389*'Advanced Parameters'!$D$23/'Basic Parameters and Results'!$F$62</f>
        <v>1650259.4383373146</v>
      </c>
      <c r="H447" s="1367">
        <f>$G416*E389*'Advanced Parameters'!$D$23/'Basic Parameters and Results'!$F$62</f>
        <v>2210134.5164588494</v>
      </c>
      <c r="I447" s="1367">
        <f>$G416*F389*'Advanced Parameters'!$D$23/'Basic Parameters and Results'!$F$62</f>
        <v>318056.66510881338</v>
      </c>
      <c r="J447" s="1367">
        <f>$G416*G389*'Advanced Parameters'!$D$23/'Basic Parameters and Results'!$F$62</f>
        <v>7220396.8458547872</v>
      </c>
      <c r="K447" s="1367">
        <f>$G416*H389*'Advanced Parameters'!$D$23/'Basic Parameters and Results'!$F$62</f>
        <v>446470.31147133338</v>
      </c>
      <c r="L447" s="1367">
        <f>$G416*I389*'Advanced Parameters'!$D$23/'Basic Parameters and Results'!$F$62</f>
        <v>667359.82779324625</v>
      </c>
      <c r="M447" s="1367">
        <f>$G416*J389*'Advanced Parameters'!$D$23/'Basic Parameters and Results'!$F$62</f>
        <v>978879.16346151021</v>
      </c>
    </row>
    <row r="448" spans="2:14" ht="16" thickBot="1">
      <c r="B448" s="1333">
        <v>2024</v>
      </c>
      <c r="C448" s="1366">
        <f>D417*'Advanced Parameters'!$D$23/'Basic Parameters and Results'!$F$62</f>
        <v>66316721.116450503</v>
      </c>
      <c r="D448" s="1366">
        <f>J417*'Advanced Parameters'!$D$23/'Basic Parameters and Results'!$F$62</f>
        <v>19699121.948771112</v>
      </c>
      <c r="E448" s="1366">
        <f>I417*'Advanced Parameters'!$D$23/'Basic Parameters and Results'!$F$62</f>
        <v>27203549.357826788</v>
      </c>
      <c r="F448" s="1367">
        <f>$G417*C390*'Advanced Parameters'!$D$23/'Basic Parameters and Results'!$F$62</f>
        <v>6799049.4370130431</v>
      </c>
      <c r="G448" s="1367">
        <f>$G417*D390*'Advanced Parameters'!$D$23/'Basic Parameters and Results'!$F$62</f>
        <v>2165011.4021415701</v>
      </c>
      <c r="H448" s="1367">
        <f>$G417*E390*'Advanced Parameters'!$D$23/'Basic Parameters and Results'!$F$62</f>
        <v>2624290.9501241394</v>
      </c>
      <c r="I448" s="1367">
        <f>$G417*F390*'Advanced Parameters'!$D$23/'Basic Parameters and Results'!$F$62</f>
        <v>345990.36361225345</v>
      </c>
      <c r="J448" s="1367">
        <f>$G417*G390*'Advanced Parameters'!$D$23/'Basic Parameters and Results'!$F$62</f>
        <v>8838388.3809009977</v>
      </c>
      <c r="K448" s="1367">
        <f>$G417*H390*'Advanced Parameters'!$D$23/'Basic Parameters and Results'!$F$62</f>
        <v>500970.27959008451</v>
      </c>
      <c r="L448" s="1367">
        <f>$G417*I390*'Advanced Parameters'!$D$23/'Basic Parameters and Results'!$F$62</f>
        <v>822215.22337860835</v>
      </c>
      <c r="M448" s="1367">
        <f>$G417*J390*'Advanced Parameters'!$D$23/'Basic Parameters and Results'!$F$62</f>
        <v>1142025.6907050954</v>
      </c>
    </row>
    <row r="449" spans="2:13" ht="16" thickBot="1">
      <c r="B449" s="1333">
        <v>2025</v>
      </c>
      <c r="C449" s="1366">
        <f>D418*'Advanced Parameters'!$D$23/'Basic Parameters and Results'!$F$62</f>
        <v>70151688.875043288</v>
      </c>
      <c r="D449" s="1366">
        <f>J418*'Advanced Parameters'!$D$23/'Basic Parameters and Results'!$F$62</f>
        <v>19741413.557691444</v>
      </c>
      <c r="E449" s="1366">
        <f>I418*'Advanced Parameters'!$D$23/'Basic Parameters and Results'!$F$62</f>
        <v>29612120.336537186</v>
      </c>
      <c r="F449" s="1367">
        <f>$G418*C391*'Advanced Parameters'!$D$23/'Basic Parameters and Results'!$F$62</f>
        <v>7268363.9447785728</v>
      </c>
      <c r="G449" s="1367">
        <f>$G418*D391*'Advanced Parameters'!$D$23/'Basic Parameters and Results'!$F$62</f>
        <v>2445539.8658367367</v>
      </c>
      <c r="H449" s="1367">
        <f>$G418*E391*'Advanced Parameters'!$D$23/'Basic Parameters and Results'!$F$62</f>
        <v>2687342.9814236914</v>
      </c>
      <c r="I449" s="1367">
        <f>$G418*F391*'Advanced Parameters'!$D$23/'Basic Parameters and Results'!$F$62</f>
        <v>354579.2633677015</v>
      </c>
      <c r="J449" s="1367">
        <f>$G418*G391*'Advanced Parameters'!$D$23/'Basic Parameters and Results'!$F$62</f>
        <v>9327748.1335056275</v>
      </c>
      <c r="K449" s="1367">
        <f>$G418*H391*'Advanced Parameters'!$D$23/'Basic Parameters and Results'!$F$62</f>
        <v>528707.7676384974</v>
      </c>
      <c r="L449" s="1367">
        <f>$G418*I391*'Advanced Parameters'!$D$23/'Basic Parameters and Results'!$F$62</f>
        <v>867739.25117193093</v>
      </c>
      <c r="M449" s="1367">
        <f>$G418*J391*'Advanced Parameters'!$D$23/'Basic Parameters and Results'!$F$62</f>
        <v>1142025.6907050957</v>
      </c>
    </row>
    <row r="450" spans="2:13" ht="16" thickBot="1">
      <c r="B450" s="1333">
        <v>2026</v>
      </c>
      <c r="C450" s="1366">
        <f>D419*'Advanced Parameters'!$D$23/'Basic Parameters and Results'!$F$62</f>
        <v>74385195.59854424</v>
      </c>
      <c r="D450" s="1366">
        <f>J419*'Advanced Parameters'!$D$23/'Basic Parameters and Results'!$F$62</f>
        <v>19782984.526598178</v>
      </c>
      <c r="E450" s="1366">
        <f>I419*'Advanced Parameters'!$D$23/'Basic Parameters and Results'!$F$62</f>
        <v>32277501.069712836</v>
      </c>
      <c r="F450" s="1367">
        <f>$G419*C392*'Advanced Parameters'!$D$23/'Basic Parameters and Results'!$F$62</f>
        <v>7791794.2830832284</v>
      </c>
      <c r="G450" s="1367">
        <f>$G419*D392*'Advanced Parameters'!$D$23/'Basic Parameters and Results'!$F$62</f>
        <v>2743556.0037209704</v>
      </c>
      <c r="H450" s="1367">
        <f>$G419*E392*'Advanced Parameters'!$D$23/'Basic Parameters and Results'!$F$62</f>
        <v>2761972.4299826594</v>
      </c>
      <c r="I450" s="1367">
        <f>$G419*F392*'Advanced Parameters'!$D$23/'Basic Parameters and Results'!$F$62</f>
        <v>364740.16504204157</v>
      </c>
      <c r="J450" s="1367">
        <f>$G419*G392*'Advanced Parameters'!$D$23/'Basic Parameters and Results'!$F$62</f>
        <v>9867291.8291746862</v>
      </c>
      <c r="K450" s="1367">
        <f>$G419*H392*'Advanced Parameters'!$D$23/'Basic Parameters and Results'!$F$62</f>
        <v>559289.74077904026</v>
      </c>
      <c r="L450" s="1367">
        <f>$G419*I392*'Advanced Parameters'!$D$23/'Basic Parameters and Results'!$F$62</f>
        <v>917931.77735868329</v>
      </c>
      <c r="M450" s="1367">
        <f>$G419*J392*'Advanced Parameters'!$D$23/'Basic Parameters and Results'!$F$62</f>
        <v>1142025.6907050957</v>
      </c>
    </row>
    <row r="451" spans="2:13" ht="16" thickBot="1">
      <c r="B451" s="1333">
        <v>2027</v>
      </c>
      <c r="C451" s="1366">
        <f>D420*'Advanced Parameters'!$D$23/'Basic Parameters and Results'!$F$62</f>
        <v>78636889.710737422</v>
      </c>
      <c r="D451" s="1366">
        <f>J420*'Advanced Parameters'!$D$23/'Basic Parameters and Results'!$F$62</f>
        <v>19715353.960314278</v>
      </c>
      <c r="E451" s="1366">
        <f>I420*'Advanced Parameters'!$D$23/'Basic Parameters and Results'!$F$62</f>
        <v>35049518.151669845</v>
      </c>
      <c r="F451" s="1367">
        <f>$G420*C393*'Advanced Parameters'!$D$23/'Basic Parameters and Results'!$F$62</f>
        <v>8333721.117153178</v>
      </c>
      <c r="G451" s="1367">
        <f>$G420*D393*'Advanced Parameters'!$D$23/'Basic Parameters and Results'!$F$62</f>
        <v>3046622.1291760299</v>
      </c>
      <c r="H451" s="1367">
        <f>$G420*E393*'Advanced Parameters'!$D$23/'Basic Parameters and Results'!$F$62</f>
        <v>2834154.4173650038</v>
      </c>
      <c r="I451" s="1367">
        <f>$G420*F393*'Advanced Parameters'!$D$23/'Basic Parameters and Results'!$F$62</f>
        <v>374624.96842906217</v>
      </c>
      <c r="J451" s="1367">
        <f>$G420*G393*'Advanced Parameters'!$D$23/'Basic Parameters and Results'!$F$62</f>
        <v>10406774.336511675</v>
      </c>
      <c r="K451" s="1367">
        <f>$G420*H393*'Advanced Parameters'!$D$23/'Basic Parameters and Results'!$F$62</f>
        <v>589868.24569274008</v>
      </c>
      <c r="L451" s="1367">
        <f>$G420*I393*'Advanced Parameters'!$D$23/'Basic Parameters and Results'!$F$62</f>
        <v>968118.61133369303</v>
      </c>
      <c r="M451" s="1367">
        <f>$G420*J393*'Advanced Parameters'!$D$23/'Basic Parameters and Results'!$F$62</f>
        <v>1142025.6907050957</v>
      </c>
    </row>
    <row r="452" spans="2:13" ht="16" thickBot="1">
      <c r="B452" s="1333">
        <v>2028</v>
      </c>
      <c r="C452" s="1366">
        <f>D421*'Advanced Parameters'!$D$23/'Basic Parameters and Results'!$F$62</f>
        <v>82713787.218909591</v>
      </c>
      <c r="D452" s="1366">
        <f>J421*'Advanced Parameters'!$D$23/'Basic Parameters and Results'!$F$62</f>
        <v>19494315.887333117</v>
      </c>
      <c r="E452" s="1366">
        <f>I421*'Advanced Parameters'!$D$23/'Basic Parameters and Results'!$F$62</f>
        <v>37841907.31070549</v>
      </c>
      <c r="F452" s="1367">
        <f>$G421*C394*'Advanced Parameters'!$D$23/'Basic Parameters and Results'!$F$62</f>
        <v>8876164.9251409918</v>
      </c>
      <c r="G452" s="1367">
        <f>$G421*D394*'Advanced Parameters'!$D$23/'Basic Parameters and Results'!$F$62</f>
        <v>3346637.3356694123</v>
      </c>
      <c r="H452" s="1367">
        <f>$G421*E394*'Advanced Parameters'!$D$23/'Basic Parameters and Results'!$F$62</f>
        <v>2897597.4788645767</v>
      </c>
      <c r="I452" s="1367">
        <f>$G421*F394*'Advanced Parameters'!$D$23/'Basic Parameters and Results'!$F$62</f>
        <v>383401.96103217336</v>
      </c>
      <c r="J452" s="1367">
        <f>$G421*G394*'Advanced Parameters'!$D$23/'Basic Parameters and Results'!$F$62</f>
        <v>10920702.120909031</v>
      </c>
      <c r="K452" s="1367">
        <f>$G421*H394*'Advanced Parameters'!$D$23/'Basic Parameters and Results'!$F$62</f>
        <v>618998.27876472066</v>
      </c>
      <c r="L452" s="1367">
        <f>$G421*I394*'Advanced Parameters'!$D$23/'Basic Parameters and Results'!$F$62</f>
        <v>1015928.1473981927</v>
      </c>
      <c r="M452" s="1367">
        <f>$G421*J394*'Advanced Parameters'!$D$23/'Basic Parameters and Results'!$F$62</f>
        <v>1142025.6907050957</v>
      </c>
    </row>
    <row r="453" spans="2:13" ht="16" thickBot="1">
      <c r="B453" s="1333">
        <v>2029</v>
      </c>
      <c r="C453" s="1366">
        <f>D422*'Advanced Parameters'!$D$23/'Basic Parameters and Results'!$F$62</f>
        <v>86917105.199474573</v>
      </c>
      <c r="D453" s="1366">
        <f>J422*'Advanced Parameters'!$D$23/'Basic Parameters and Results'!$F$62</f>
        <v>19193116.856118057</v>
      </c>
      <c r="E453" s="1366">
        <f>I422*'Advanced Parameters'!$D$23/'Basic Parameters and Results'!$F$62</f>
        <v>40785373.319250919</v>
      </c>
      <c r="F453" s="1367">
        <f>$G422*C395*'Advanced Parameters'!$D$23/'Basic Parameters and Results'!$F$62</f>
        <v>9447463.2975644935</v>
      </c>
      <c r="G453" s="1367">
        <f>$G422*D395*'Advanced Parameters'!$D$23/'Basic Parameters and Results'!$F$62</f>
        <v>3654777.4930565259</v>
      </c>
      <c r="H453" s="1367">
        <f>$G422*E395*'Advanced Parameters'!$D$23/'Basic Parameters and Results'!$F$62</f>
        <v>2962862.1952664014</v>
      </c>
      <c r="I453" s="1367">
        <f>$G422*F395*'Advanced Parameters'!$D$23/'Basic Parameters and Results'!$F$62</f>
        <v>392514.42110072181</v>
      </c>
      <c r="J453" s="1367">
        <f>$G422*G395*'Advanced Parameters'!$D$23/'Basic Parameters and Results'!$F$62</f>
        <v>11448866.503159637</v>
      </c>
      <c r="K453" s="1367">
        <f>$G422*H395*'Advanced Parameters'!$D$23/'Basic Parameters and Results'!$F$62</f>
        <v>648935.25899715489</v>
      </c>
      <c r="L453" s="1367">
        <f>$G422*I395*'Advanced Parameters'!$D$23/'Basic Parameters and Results'!$F$62</f>
        <v>1065062.0818687822</v>
      </c>
      <c r="M453" s="1367">
        <f>$G422*J395*'Advanced Parameters'!$D$23/'Basic Parameters and Results'!$F$62</f>
        <v>1142025.6907050957</v>
      </c>
    </row>
    <row r="454" spans="2:13" ht="16" thickBot="1">
      <c r="B454" s="1333">
        <v>2030</v>
      </c>
      <c r="C454" s="1366">
        <f>D423*'Advanced Parameters'!$D$23/'Basic Parameters and Results'!$F$62</f>
        <v>91486430.96360442</v>
      </c>
      <c r="D454" s="1366">
        <f>J423*'Advanced Parameters'!$D$23/'Basic Parameters and Results'!$F$62</f>
        <v>18852295.161347717</v>
      </c>
      <c r="E454" s="1366">
        <f>I423*'Advanced Parameters'!$D$23/'Basic Parameters and Results'!$F$62</f>
        <v>43988688.709811345</v>
      </c>
      <c r="F454" s="1367">
        <f>$G423*C396*'Advanced Parameters'!$D$23/'Basic Parameters and Results'!$F$62</f>
        <v>10074438.988908153</v>
      </c>
      <c r="G454" s="1367">
        <f>$G423*D396*'Advanced Parameters'!$D$23/'Basic Parameters and Results'!$F$62</f>
        <v>3990800.9342257869</v>
      </c>
      <c r="H454" s="1367">
        <f>$G423*E396*'Advanced Parameters'!$D$23/'Basic Parameters and Results'!$F$62</f>
        <v>3035286.1404597168</v>
      </c>
      <c r="I454" s="1367">
        <f>$G423*F396*'Advanced Parameters'!$D$23/'Basic Parameters and Results'!$F$62</f>
        <v>403931.97940034105</v>
      </c>
      <c r="J454" s="1367">
        <f>$G423*G396*'Advanced Parameters'!$D$23/'Basic Parameters and Results'!$F$62</f>
        <v>12022917.400559844</v>
      </c>
      <c r="K454" s="1367">
        <f>$G423*H396*'Advanced Parameters'!$D$23/'Basic Parameters and Results'!$F$62</f>
        <v>681473.14103806717</v>
      </c>
      <c r="L454" s="1367">
        <f>$G423*I396*'Advanced Parameters'!$D$23/'Basic Parameters and Results'!$F$62</f>
        <v>1118464.7347615359</v>
      </c>
      <c r="M454" s="1367">
        <f>$G423*J396*'Advanced Parameters'!$D$23/'Basic Parameters and Results'!$F$62</f>
        <v>1142025.6907050957</v>
      </c>
    </row>
    <row r="455" spans="2:13">
      <c r="E455" s="1367"/>
    </row>
    <row r="457" spans="2:13" ht="16" thickBot="1">
      <c r="B457" s="1343" t="s">
        <v>3</v>
      </c>
      <c r="C457" s="1343" t="s">
        <v>3797</v>
      </c>
      <c r="D457" s="1343" t="s">
        <v>3796</v>
      </c>
    </row>
    <row r="458" spans="2:13" ht="16" thickBot="1">
      <c r="B458" s="1333">
        <v>2017</v>
      </c>
      <c r="C458" s="1367">
        <f>F441</f>
        <v>0</v>
      </c>
      <c r="D458" s="1367">
        <f>SUM(G441:M441)</f>
        <v>0</v>
      </c>
    </row>
    <row r="459" spans="2:13" ht="16" thickBot="1">
      <c r="B459" s="1333">
        <v>2018</v>
      </c>
      <c r="C459" s="1367">
        <f t="shared" ref="C459:C471" si="41">F442</f>
        <v>748918.75684807566</v>
      </c>
      <c r="D459" s="1367">
        <f t="shared" ref="D459:D471" si="42">SUM(G442:M442)</f>
        <v>1861691.9358319398</v>
      </c>
    </row>
    <row r="460" spans="2:13" ht="16" thickBot="1">
      <c r="B460" s="1333">
        <v>2019</v>
      </c>
      <c r="C460" s="1367">
        <f t="shared" si="41"/>
        <v>1522422.9206316317</v>
      </c>
      <c r="D460" s="1367">
        <f t="shared" si="42"/>
        <v>3811845.599043631</v>
      </c>
    </row>
    <row r="461" spans="2:13" ht="16" thickBot="1">
      <c r="B461" s="1333">
        <v>2020</v>
      </c>
      <c r="C461" s="1367">
        <f t="shared" si="41"/>
        <v>2357216.5946736909</v>
      </c>
      <c r="D461" s="1367">
        <f t="shared" si="42"/>
        <v>5921549.3540693093</v>
      </c>
      <c r="F461" s="1327" t="s">
        <v>4024</v>
      </c>
      <c r="G461" s="1367">
        <f>C454-D454</f>
        <v>72634135.802256703</v>
      </c>
    </row>
    <row r="462" spans="2:13" ht="16" thickBot="1">
      <c r="B462" s="1333">
        <v>2021</v>
      </c>
      <c r="C462" s="1367">
        <f t="shared" si="41"/>
        <v>3297537.7026993432</v>
      </c>
      <c r="D462" s="1367">
        <f t="shared" si="42"/>
        <v>8273155.3096987521</v>
      </c>
      <c r="F462" s="1327" t="s">
        <v>4023</v>
      </c>
      <c r="G462" s="1367">
        <f>(C423*'Advanced Parameters'!D23/'Basic Parameters and Results'!F62)-Electricity!D454</f>
        <v>76458027.719869882</v>
      </c>
    </row>
    <row r="463" spans="2:13" ht="16" thickBot="1">
      <c r="B463" s="1333">
        <v>2022</v>
      </c>
      <c r="C463" s="1367">
        <f t="shared" si="41"/>
        <v>4340278.8014097502</v>
      </c>
      <c r="D463" s="1367">
        <f t="shared" si="42"/>
        <v>10772489.957055656</v>
      </c>
      <c r="F463" s="1327" t="s">
        <v>3865</v>
      </c>
      <c r="G463" s="1346">
        <f>E454/G462</f>
        <v>0.57533119832725665</v>
      </c>
    </row>
    <row r="464" spans="2:13" ht="16" thickBot="1">
      <c r="B464" s="1333">
        <v>2023</v>
      </c>
      <c r="C464" s="1367">
        <f t="shared" si="41"/>
        <v>5506979.6387575511</v>
      </c>
      <c r="D464" s="1367">
        <f t="shared" si="42"/>
        <v>13491556.768485855</v>
      </c>
      <c r="F464" s="1327" t="s">
        <v>3866</v>
      </c>
      <c r="G464" s="1346">
        <f>F454/G462</f>
        <v>0.13176430636975497</v>
      </c>
    </row>
    <row r="465" spans="2:8" ht="16" thickBot="1">
      <c r="B465" s="1333">
        <v>2024</v>
      </c>
      <c r="C465" s="1367">
        <f t="shared" si="41"/>
        <v>6799049.4370130431</v>
      </c>
      <c r="D465" s="1367">
        <f t="shared" si="42"/>
        <v>16438892.290452749</v>
      </c>
      <c r="F465" s="1327" t="s">
        <v>3867</v>
      </c>
      <c r="G465" s="1346">
        <f>D471/G462</f>
        <v>0.29290449530298845</v>
      </c>
    </row>
    <row r="466" spans="2:8" ht="16" thickBot="1">
      <c r="B466" s="1333">
        <v>2025</v>
      </c>
      <c r="C466" s="1367">
        <f t="shared" si="41"/>
        <v>7268363.9447785728</v>
      </c>
      <c r="D466" s="1367">
        <f t="shared" si="42"/>
        <v>17353682.953649282</v>
      </c>
      <c r="F466" s="1327" t="s">
        <v>3868</v>
      </c>
      <c r="G466" s="1346">
        <f>D454/G462</f>
        <v>0.24657051356882426</v>
      </c>
    </row>
    <row r="467" spans="2:8" ht="16" thickBot="1">
      <c r="B467" s="1333">
        <v>2026</v>
      </c>
      <c r="C467" s="1367">
        <f t="shared" si="41"/>
        <v>7791794.2830832284</v>
      </c>
      <c r="D467" s="1367">
        <f t="shared" si="42"/>
        <v>18356807.636763174</v>
      </c>
    </row>
    <row r="468" spans="2:8" ht="16" thickBot="1">
      <c r="B468" s="1333">
        <v>2027</v>
      </c>
      <c r="C468" s="1367">
        <f t="shared" si="41"/>
        <v>8333721.117153178</v>
      </c>
      <c r="D468" s="1367">
        <f t="shared" si="42"/>
        <v>19362188.399213299</v>
      </c>
    </row>
    <row r="469" spans="2:8" ht="16" thickBot="1">
      <c r="B469" s="1333">
        <v>2028</v>
      </c>
      <c r="C469" s="1367">
        <f t="shared" si="41"/>
        <v>8876164.9251409918</v>
      </c>
      <c r="D469" s="1367">
        <f t="shared" si="42"/>
        <v>20325291.013343204</v>
      </c>
    </row>
    <row r="470" spans="2:8" ht="16" thickBot="1">
      <c r="B470" s="1333">
        <v>2029</v>
      </c>
      <c r="C470" s="1367">
        <f t="shared" si="41"/>
        <v>9447463.2975644935</v>
      </c>
      <c r="D470" s="1367">
        <f t="shared" si="42"/>
        <v>21315043.644154318</v>
      </c>
    </row>
    <row r="471" spans="2:8" ht="16" thickBot="1">
      <c r="B471" s="1333">
        <v>2030</v>
      </c>
      <c r="C471" s="1367">
        <f t="shared" si="41"/>
        <v>10074438.988908153</v>
      </c>
      <c r="D471" s="1367">
        <f t="shared" si="42"/>
        <v>22394900.021150388</v>
      </c>
    </row>
    <row r="474" spans="2:8">
      <c r="E474" s="1341" t="s">
        <v>3882</v>
      </c>
    </row>
    <row r="475" spans="2:8" ht="16" thickBot="1">
      <c r="B475" s="1343" t="s">
        <v>3</v>
      </c>
      <c r="C475" s="1343" t="str">
        <f>D440</f>
        <v>Unabated GHG Emissions</v>
      </c>
      <c r="D475" s="1343" t="str">
        <f t="shared" ref="C475:E489" si="43">E440</f>
        <v>RE Reduc.</v>
      </c>
      <c r="E475" s="1343" t="str">
        <f t="shared" si="43"/>
        <v>MEPS Reduc.</v>
      </c>
      <c r="F475" s="1343" t="s">
        <v>3974</v>
      </c>
      <c r="G475" s="1343" t="s">
        <v>3975</v>
      </c>
      <c r="H475" s="1343" t="s">
        <v>3976</v>
      </c>
    </row>
    <row r="476" spans="2:8" ht="16" thickBot="1">
      <c r="B476" s="1333">
        <v>2017</v>
      </c>
      <c r="C476" s="1367">
        <f t="shared" si="43"/>
        <v>48915463.263638012</v>
      </c>
      <c r="D476" s="1367">
        <f t="shared" si="43"/>
        <v>3823891.9176131957</v>
      </c>
      <c r="E476" s="1367">
        <f t="shared" si="43"/>
        <v>0</v>
      </c>
      <c r="F476" s="1367">
        <f>SUM(G441,J441)</f>
        <v>0</v>
      </c>
      <c r="G476" s="1367">
        <f>SUM(H441,L441)</f>
        <v>0</v>
      </c>
      <c r="H476" s="1367">
        <f>SUM(I441,K441,M441)</f>
        <v>0</v>
      </c>
    </row>
    <row r="477" spans="2:8" ht="16" thickBot="1">
      <c r="B477" s="1333">
        <v>2018</v>
      </c>
      <c r="C477" s="1367">
        <f t="shared" si="43"/>
        <v>41204107.089680173</v>
      </c>
      <c r="D477" s="1367">
        <f t="shared" si="43"/>
        <v>11285445.296057476</v>
      </c>
      <c r="E477" s="1367">
        <f t="shared" si="43"/>
        <v>748918.75684807566</v>
      </c>
      <c r="F477" s="1367">
        <f t="shared" ref="F477:F489" si="44">SUM(G442,J442)</f>
        <v>1122598.9836569868</v>
      </c>
      <c r="G477" s="1367">
        <f t="shared" ref="G477:G489" si="45">SUM(H442,L442)</f>
        <v>405672.68379107286</v>
      </c>
      <c r="H477" s="1367">
        <f t="shared" ref="H477:H489" si="46">SUM(I442,K442,M442)</f>
        <v>333420.26838387997</v>
      </c>
    </row>
    <row r="478" spans="2:8" ht="16" thickBot="1">
      <c r="B478" s="1333">
        <v>2019</v>
      </c>
      <c r="C478" s="1367">
        <f t="shared" si="43"/>
        <v>32589588.37732454</v>
      </c>
      <c r="D478" s="1367">
        <f t="shared" si="43"/>
        <v>18133650.410641842</v>
      </c>
      <c r="E478" s="1367">
        <f t="shared" si="43"/>
        <v>1522422.9206316317</v>
      </c>
      <c r="F478" s="1367">
        <f t="shared" si="44"/>
        <v>2339080.8687822958</v>
      </c>
      <c r="G478" s="1367">
        <f t="shared" si="45"/>
        <v>833503.98285923316</v>
      </c>
      <c r="H478" s="1367">
        <f t="shared" si="46"/>
        <v>639260.74740210164</v>
      </c>
    </row>
    <row r="479" spans="2:8" ht="16" thickBot="1">
      <c r="B479" s="1333">
        <v>2020</v>
      </c>
      <c r="C479" s="1367">
        <f t="shared" si="43"/>
        <v>24796617.709687971</v>
      </c>
      <c r="D479" s="1367">
        <f t="shared" si="43"/>
        <v>24796617.709687971</v>
      </c>
      <c r="E479" s="1367">
        <f t="shared" si="43"/>
        <v>2357216.5946736909</v>
      </c>
      <c r="F479" s="1367">
        <f t="shared" si="44"/>
        <v>3691668.5865738643</v>
      </c>
      <c r="G479" s="1367">
        <f t="shared" si="45"/>
        <v>1300980.7556974508</v>
      </c>
      <c r="H479" s="1367">
        <f t="shared" si="46"/>
        <v>928900.01179799438</v>
      </c>
    </row>
    <row r="480" spans="2:8" ht="16" thickBot="1">
      <c r="B480" s="1333">
        <v>2021</v>
      </c>
      <c r="C480" s="1367">
        <f t="shared" si="43"/>
        <v>23517211.806647986</v>
      </c>
      <c r="D480" s="1367">
        <f t="shared" si="43"/>
        <v>25476979.457201991</v>
      </c>
      <c r="E480" s="1367">
        <f t="shared" si="43"/>
        <v>3297537.7026993432</v>
      </c>
      <c r="F480" s="1367">
        <f t="shared" si="44"/>
        <v>5234790.1455552448</v>
      </c>
      <c r="G480" s="1367">
        <f t="shared" si="45"/>
        <v>1826366.2584744017</v>
      </c>
      <c r="H480" s="1367">
        <f t="shared" si="46"/>
        <v>1211998.9056691057</v>
      </c>
    </row>
    <row r="481" spans="2:8" ht="16" thickBot="1">
      <c r="B481" s="1333">
        <v>2022</v>
      </c>
      <c r="C481" s="1367">
        <f t="shared" si="43"/>
        <v>22210802.511148944</v>
      </c>
      <c r="D481" s="1367">
        <f t="shared" si="43"/>
        <v>26073550.773957457</v>
      </c>
      <c r="E481" s="1367">
        <f t="shared" si="43"/>
        <v>4340278.8014097502</v>
      </c>
      <c r="F481" s="1367">
        <f t="shared" si="44"/>
        <v>6947828.1553257154</v>
      </c>
      <c r="G481" s="1367">
        <f t="shared" si="45"/>
        <v>2341362.195637458</v>
      </c>
      <c r="H481" s="1367">
        <f t="shared" si="46"/>
        <v>1483299.6060924833</v>
      </c>
    </row>
    <row r="482" spans="2:8" ht="16" thickBot="1">
      <c r="B482" s="1333">
        <v>2023</v>
      </c>
      <c r="C482" s="1367">
        <f t="shared" si="43"/>
        <v>20961730.115291461</v>
      </c>
      <c r="D482" s="1367">
        <f t="shared" si="43"/>
        <v>26678565.601280048</v>
      </c>
      <c r="E482" s="1367">
        <f t="shared" si="43"/>
        <v>5506979.6387575511</v>
      </c>
      <c r="F482" s="1367">
        <f t="shared" si="44"/>
        <v>8870656.284192102</v>
      </c>
      <c r="G482" s="1367">
        <f t="shared" si="45"/>
        <v>2877494.3442520956</v>
      </c>
      <c r="H482" s="1367">
        <f t="shared" si="46"/>
        <v>1743406.1400416568</v>
      </c>
    </row>
    <row r="483" spans="2:8" ht="16" thickBot="1">
      <c r="B483" s="1333">
        <v>2024</v>
      </c>
      <c r="C483" s="1367">
        <f t="shared" si="43"/>
        <v>19699121.948771112</v>
      </c>
      <c r="D483" s="1367">
        <f t="shared" si="43"/>
        <v>27203549.357826788</v>
      </c>
      <c r="E483" s="1367">
        <f t="shared" si="43"/>
        <v>6799049.4370130431</v>
      </c>
      <c r="F483" s="1367">
        <f t="shared" si="44"/>
        <v>11003399.783042569</v>
      </c>
      <c r="G483" s="1367">
        <f t="shared" si="45"/>
        <v>3446506.1735027479</v>
      </c>
      <c r="H483" s="1367">
        <f t="shared" si="46"/>
        <v>1988986.3339074333</v>
      </c>
    </row>
    <row r="484" spans="2:8" ht="16" thickBot="1">
      <c r="B484" s="1333">
        <v>2025</v>
      </c>
      <c r="C484" s="1367">
        <f t="shared" si="43"/>
        <v>19741413.557691444</v>
      </c>
      <c r="D484" s="1367">
        <f t="shared" si="43"/>
        <v>29612120.336537186</v>
      </c>
      <c r="E484" s="1367">
        <f t="shared" si="43"/>
        <v>7268363.9447785728</v>
      </c>
      <c r="F484" s="1367">
        <f t="shared" si="44"/>
        <v>11773287.999342363</v>
      </c>
      <c r="G484" s="1367">
        <f t="shared" si="45"/>
        <v>3555082.2325956225</v>
      </c>
      <c r="H484" s="1367">
        <f t="shared" si="46"/>
        <v>2025312.7217112945</v>
      </c>
    </row>
    <row r="485" spans="2:8" ht="16" thickBot="1">
      <c r="B485" s="1333">
        <v>2026</v>
      </c>
      <c r="C485" s="1367">
        <f t="shared" si="43"/>
        <v>19782984.526598178</v>
      </c>
      <c r="D485" s="1367">
        <f t="shared" si="43"/>
        <v>32277501.069712836</v>
      </c>
      <c r="E485" s="1367">
        <f t="shared" si="43"/>
        <v>7791794.2830832284</v>
      </c>
      <c r="F485" s="1367">
        <f t="shared" si="44"/>
        <v>12610847.832895657</v>
      </c>
      <c r="G485" s="1367">
        <f t="shared" si="45"/>
        <v>3679904.2073413427</v>
      </c>
      <c r="H485" s="1367">
        <f t="shared" si="46"/>
        <v>2066055.5965261776</v>
      </c>
    </row>
    <row r="486" spans="2:8" ht="16" thickBot="1">
      <c r="B486" s="1333">
        <v>2027</v>
      </c>
      <c r="C486" s="1367">
        <f t="shared" si="43"/>
        <v>19715353.960314278</v>
      </c>
      <c r="D486" s="1367">
        <f t="shared" si="43"/>
        <v>35049518.151669845</v>
      </c>
      <c r="E486" s="1367">
        <f t="shared" si="43"/>
        <v>8333721.117153178</v>
      </c>
      <c r="F486" s="1367">
        <f t="shared" si="44"/>
        <v>13453396.465687705</v>
      </c>
      <c r="G486" s="1367">
        <f t="shared" si="45"/>
        <v>3802273.0286986968</v>
      </c>
      <c r="H486" s="1367">
        <f t="shared" si="46"/>
        <v>2106518.9048268981</v>
      </c>
    </row>
    <row r="487" spans="2:8" ht="16" thickBot="1">
      <c r="B487" s="1333">
        <v>2028</v>
      </c>
      <c r="C487" s="1367">
        <f t="shared" si="43"/>
        <v>19494315.887333117</v>
      </c>
      <c r="D487" s="1367">
        <f t="shared" si="43"/>
        <v>37841907.31070549</v>
      </c>
      <c r="E487" s="1367">
        <f t="shared" si="43"/>
        <v>8876164.9251409918</v>
      </c>
      <c r="F487" s="1367">
        <f t="shared" si="44"/>
        <v>14267339.456578445</v>
      </c>
      <c r="G487" s="1367">
        <f t="shared" si="45"/>
        <v>3913525.6262627691</v>
      </c>
      <c r="H487" s="1367">
        <f t="shared" si="46"/>
        <v>2144425.9305019896</v>
      </c>
    </row>
    <row r="488" spans="2:8" ht="16" thickBot="1">
      <c r="B488" s="1333">
        <v>2029</v>
      </c>
      <c r="C488" s="1367">
        <f t="shared" si="43"/>
        <v>19193116.856118057</v>
      </c>
      <c r="D488" s="1367">
        <f t="shared" si="43"/>
        <v>40785373.319250919</v>
      </c>
      <c r="E488" s="1367">
        <f t="shared" si="43"/>
        <v>9447463.2975644935</v>
      </c>
      <c r="F488" s="1367">
        <f t="shared" si="44"/>
        <v>15103643.996216163</v>
      </c>
      <c r="G488" s="1367">
        <f t="shared" si="45"/>
        <v>4027924.2771351836</v>
      </c>
      <c r="H488" s="1367">
        <f t="shared" si="46"/>
        <v>2183475.3708029725</v>
      </c>
    </row>
    <row r="489" spans="2:8" ht="16" thickBot="1">
      <c r="B489" s="1333">
        <v>2030</v>
      </c>
      <c r="C489" s="1367">
        <f t="shared" si="43"/>
        <v>18852295.161347717</v>
      </c>
      <c r="D489" s="1367">
        <f t="shared" si="43"/>
        <v>43988688.709811345</v>
      </c>
      <c r="E489" s="1367">
        <f t="shared" si="43"/>
        <v>10074438.988908153</v>
      </c>
      <c r="F489" s="1367">
        <f t="shared" si="44"/>
        <v>16013718.334785631</v>
      </c>
      <c r="G489" s="1367">
        <f t="shared" si="45"/>
        <v>4153750.8752212524</v>
      </c>
      <c r="H489" s="1367">
        <f t="shared" si="46"/>
        <v>2227430.8111435035</v>
      </c>
    </row>
    <row r="493" spans="2:8">
      <c r="C493" s="1346"/>
    </row>
    <row r="499" ht="13.5" customHeight="1"/>
    <row r="527" spans="4:4" ht="16">
      <c r="D527" s="1412"/>
    </row>
  </sheetData>
  <sheetProtection sheet="1" objects="1" scenarios="1"/>
  <mergeCells count="24">
    <mergeCell ref="B8:F8"/>
    <mergeCell ref="B12:D12"/>
    <mergeCell ref="E12:L12"/>
    <mergeCell ref="B43:M43"/>
    <mergeCell ref="C79:N79"/>
    <mergeCell ref="B29:L29"/>
    <mergeCell ref="B34:L34"/>
    <mergeCell ref="C62:E62"/>
    <mergeCell ref="C1:F1"/>
    <mergeCell ref="C363:I363"/>
    <mergeCell ref="C381:J381"/>
    <mergeCell ref="D408:I408"/>
    <mergeCell ref="C439:M439"/>
    <mergeCell ref="C2:D2"/>
    <mergeCell ref="E2:F2"/>
    <mergeCell ref="C265:E265"/>
    <mergeCell ref="C283:J283"/>
    <mergeCell ref="D312:K312"/>
    <mergeCell ref="C120:F120"/>
    <mergeCell ref="B140:G140"/>
    <mergeCell ref="B144:I144"/>
    <mergeCell ref="B226:M226"/>
    <mergeCell ref="C231:L231"/>
    <mergeCell ref="C248:G248"/>
  </mergeCells>
  <dataValidations disablePrompts="1" count="2">
    <dataValidation type="list" allowBlank="1" showInputMessage="1" showErrorMessage="1" sqref="D310:D311" xr:uid="{B652F0B0-80A7-42A8-8DCE-4905E1951F79}">
      <formula1>#REF!</formula1>
    </dataValidation>
    <dataValidation type="list" allowBlank="1" showInputMessage="1" showErrorMessage="1" sqref="E310:E311" xr:uid="{3002A276-64A1-4019-AFB2-3052EB111D9D}">
      <formula1>$K$230:$K$281</formula1>
    </dataValidation>
  </dataValidations>
  <pageMargins left="0.7" right="0.7" top="0.75" bottom="0.75" header="0.3" footer="0.3"/>
  <pageSetup orientation="portrait" r:id="rId1"/>
  <drawing r:id="rId2"/>
  <legacyDrawing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C09CE-5FC2-49CD-A960-0F316D3E5101}">
  <dimension ref="C68:K114"/>
  <sheetViews>
    <sheetView topLeftCell="F84" workbookViewId="0">
      <selection activeCell="G114" sqref="G114"/>
    </sheetView>
  </sheetViews>
  <sheetFormatPr baseColWidth="10" defaultColWidth="8.83203125" defaultRowHeight="15"/>
  <cols>
    <col min="3" max="3" width="55.83203125" customWidth="1"/>
    <col min="4" max="4" width="22" customWidth="1"/>
    <col min="5" max="5" width="23.5" bestFit="1" customWidth="1"/>
    <col min="6" max="6" width="24.83203125" customWidth="1"/>
    <col min="7" max="8" width="21" customWidth="1"/>
    <col min="9" max="9" width="22.1640625" customWidth="1"/>
  </cols>
  <sheetData>
    <row r="68" spans="3:4">
      <c r="C68" t="s">
        <v>3947</v>
      </c>
    </row>
    <row r="69" spans="3:4">
      <c r="C69" t="s">
        <v>3944</v>
      </c>
      <c r="D69" s="2">
        <v>0.4</v>
      </c>
    </row>
    <row r="70" spans="3:4">
      <c r="C70" t="s">
        <v>3945</v>
      </c>
      <c r="D70" s="2">
        <v>0.23</v>
      </c>
    </row>
    <row r="71" spans="3:4">
      <c r="C71" t="s">
        <v>3946</v>
      </c>
      <c r="D71" s="2">
        <v>0.21</v>
      </c>
    </row>
    <row r="72" spans="3:4">
      <c r="C72" t="s">
        <v>1684</v>
      </c>
      <c r="D72" s="2">
        <v>0.11</v>
      </c>
    </row>
    <row r="73" spans="3:4">
      <c r="C73" t="s">
        <v>343</v>
      </c>
      <c r="D73" s="2">
        <v>0.05</v>
      </c>
    </row>
    <row r="75" spans="3:4">
      <c r="C75" t="s">
        <v>3978</v>
      </c>
      <c r="D75" s="1398">
        <f>'TPL Forecast'!T6</f>
        <v>35525159.920787252</v>
      </c>
    </row>
    <row r="76" spans="3:4">
      <c r="C76" t="s">
        <v>3985</v>
      </c>
      <c r="D76" s="1398">
        <f>D75*(100/23)</f>
        <v>154457217.04690108</v>
      </c>
    </row>
    <row r="77" spans="3:4">
      <c r="C77" t="s">
        <v>3986</v>
      </c>
      <c r="D77" s="1398">
        <f>D76*0.4</f>
        <v>61782886.818760432</v>
      </c>
    </row>
    <row r="78" spans="3:4">
      <c r="C78" t="s">
        <v>3979</v>
      </c>
      <c r="D78" s="59">
        <f>Transportation!B26</f>
        <v>58890066.545870632</v>
      </c>
    </row>
    <row r="79" spans="3:4">
      <c r="C79" t="s">
        <v>3980</v>
      </c>
      <c r="D79" s="1510">
        <f>2.88%</f>
        <v>2.8799999999999999E-2</v>
      </c>
    </row>
    <row r="80" spans="3:4">
      <c r="C80" t="s">
        <v>3981</v>
      </c>
      <c r="D80" s="1398">
        <f>D78*((1-D79)^6)</f>
        <v>49419015.283537947</v>
      </c>
    </row>
    <row r="81" spans="3:4">
      <c r="C81" t="s">
        <v>3982</v>
      </c>
      <c r="D81" s="1514">
        <f>D80/D77</f>
        <v>0.79988193864278634</v>
      </c>
    </row>
    <row r="82" spans="3:4">
      <c r="C82" t="s">
        <v>3983</v>
      </c>
      <c r="D82" s="37">
        <f>D81*0.4</f>
        <v>0.31995277545711454</v>
      </c>
    </row>
    <row r="83" spans="3:4">
      <c r="C83" s="1511" t="s">
        <v>3945</v>
      </c>
      <c r="D83" s="1512">
        <f>D75/D76</f>
        <v>0.23000000000000004</v>
      </c>
    </row>
    <row r="84" spans="3:4">
      <c r="C84" s="1511" t="s">
        <v>3968</v>
      </c>
      <c r="D84" s="1513">
        <f>D82</f>
        <v>0.31995277545711454</v>
      </c>
    </row>
    <row r="85" spans="3:4">
      <c r="C85" s="1511" t="s">
        <v>3984</v>
      </c>
      <c r="D85" s="1513">
        <f>0.4-D82</f>
        <v>8.0047224542885487E-2</v>
      </c>
    </row>
    <row r="86" spans="3:4">
      <c r="C86" s="1511" t="s">
        <v>3946</v>
      </c>
      <c r="D86" s="1513">
        <f>D71</f>
        <v>0.21</v>
      </c>
    </row>
    <row r="87" spans="3:4">
      <c r="C87" s="1511" t="s">
        <v>1684</v>
      </c>
      <c r="D87" s="1512">
        <f>D72</f>
        <v>0.11</v>
      </c>
    </row>
    <row r="88" spans="3:4">
      <c r="C88" s="1511" t="s">
        <v>343</v>
      </c>
      <c r="D88" s="1513">
        <f>D73</f>
        <v>0.05</v>
      </c>
    </row>
    <row r="99" spans="3:11" ht="16" thickBot="1">
      <c r="C99" s="1327" t="s">
        <v>3</v>
      </c>
      <c r="D99" s="41" t="s">
        <v>3991</v>
      </c>
      <c r="E99" t="s">
        <v>3992</v>
      </c>
      <c r="F99" s="41" t="s">
        <v>3993</v>
      </c>
      <c r="G99" t="s">
        <v>3994</v>
      </c>
      <c r="H99" t="s">
        <v>3995</v>
      </c>
      <c r="I99" t="s">
        <v>3996</v>
      </c>
      <c r="J99" t="s">
        <v>3998</v>
      </c>
      <c r="K99" t="s">
        <v>3997</v>
      </c>
    </row>
    <row r="100" spans="3:11" ht="16" thickBot="1">
      <c r="C100" s="1333">
        <v>2017</v>
      </c>
      <c r="D100" s="1515">
        <f>Electricity!C441+'Sankey Consumption Data'!K56+'Sankey Consumption Data'!L56</f>
        <v>130826583.50454602</v>
      </c>
      <c r="E100" s="1373">
        <f>Electricity!D441+'Sankey Consumption Data'!K39+'Sankey Consumption Data'!L39</f>
        <v>130826583.50454602</v>
      </c>
      <c r="F100" s="1373">
        <f>'Sankey Consumption Data'!K56+'Sankey Consumption Data'!L56</f>
        <v>81911120.240907997</v>
      </c>
      <c r="G100" s="1373">
        <f>'Sankey Consumption Data'!K39+'Sankey Consumption Data'!L39</f>
        <v>81911120.240907997</v>
      </c>
      <c r="H100" s="1373">
        <f>Electricity!C441</f>
        <v>48915463.263638012</v>
      </c>
      <c r="I100" s="1373">
        <f>Electricity!D441</f>
        <v>48915463.263638012</v>
      </c>
      <c r="J100" s="2">
        <f t="shared" ref="J100:J113" si="0">(H100-I100)/H100</f>
        <v>0</v>
      </c>
      <c r="K100" s="2">
        <f t="shared" ref="K100:K113" si="1">(F100-G100)/F100</f>
        <v>0</v>
      </c>
    </row>
    <row r="101" spans="3:11" ht="16" thickBot="1">
      <c r="C101" s="1333">
        <v>2018</v>
      </c>
      <c r="D101" s="1515">
        <f>Electricity!C442+'Sankey Consumption Data'!K57+'Sankey Consumption Data'!L57</f>
        <v>135546431.66465062</v>
      </c>
      <c r="E101" s="1373">
        <f>Electricity!D442+'Sankey Consumption Data'!K40+'Sankey Consumption Data'!L40</f>
        <v>125474267.59352632</v>
      </c>
      <c r="F101" s="1373">
        <f>'Sankey Consumption Data'!K57+'Sankey Consumption Data'!L57</f>
        <v>84270160.503846139</v>
      </c>
      <c r="G101" s="1373">
        <f>'Sankey Consumption Data'!K40+'Sankey Consumption Data'!L40</f>
        <v>84270160.503846139</v>
      </c>
      <c r="H101" s="1373">
        <f>Electricity!C442</f>
        <v>51276271.160804458</v>
      </c>
      <c r="I101" s="1373">
        <f>Electricity!D442</f>
        <v>41204107.089680173</v>
      </c>
      <c r="J101" s="2">
        <f t="shared" si="0"/>
        <v>0.19642933940218804</v>
      </c>
      <c r="K101" s="2">
        <f t="shared" si="1"/>
        <v>0</v>
      </c>
    </row>
    <row r="102" spans="3:11" ht="16" thickBot="1">
      <c r="C102" s="1333">
        <v>2019</v>
      </c>
      <c r="D102" s="1515">
        <f>Electricity!C443+'Sankey Consumption Data'!K58+'Sankey Consumption Data'!L58</f>
        <v>138930756.51638538</v>
      </c>
      <c r="E102" s="1373">
        <f>Electricity!D443+'Sankey Consumption Data'!K41+'Sankey Consumption Data'!L41</f>
        <v>117541955.83309567</v>
      </c>
      <c r="F102" s="1373">
        <f>'Sankey Consumption Data'!K58+'Sankey Consumption Data'!L58</f>
        <v>86697141.126356915</v>
      </c>
      <c r="G102" s="1373">
        <f>'Sankey Consumption Data'!K41+'Sankey Consumption Data'!L41</f>
        <v>84952367.455771118</v>
      </c>
      <c r="H102" s="1373">
        <f>Electricity!C443</f>
        <v>52233615.390028454</v>
      </c>
      <c r="I102" s="1373">
        <f>Electricity!D443</f>
        <v>32589588.37732454</v>
      </c>
      <c r="J102" s="2">
        <f t="shared" si="0"/>
        <v>0.37608017109330738</v>
      </c>
      <c r="K102" s="2">
        <f t="shared" si="1"/>
        <v>2.0124927395735834E-2</v>
      </c>
    </row>
    <row r="103" spans="3:11" ht="16" thickBot="1">
      <c r="C103" s="1333">
        <v>2020</v>
      </c>
      <c r="D103" s="1515">
        <f>Electricity!C444+'Sankey Consumption Data'!K59+'Sankey Consumption Data'!L59</f>
        <v>143242128.24130175</v>
      </c>
      <c r="E103" s="1373">
        <f>Electricity!D444+'Sankey Consumption Data'!K42+'Sankey Consumption Data'!L42</f>
        <v>110310268.20376906</v>
      </c>
      <c r="F103" s="1373">
        <f>'Sankey Consumption Data'!K59+'Sankey Consumption Data'!L59</f>
        <v>89194018.790795997</v>
      </c>
      <c r="G103" s="1373">
        <f>'Sankey Consumption Data'!K42+'Sankey Consumption Data'!L42</f>
        <v>85513650.494081095</v>
      </c>
      <c r="H103" s="1373">
        <f>Electricity!C444</f>
        <v>54048109.450505756</v>
      </c>
      <c r="I103" s="1373">
        <f>Electricity!D444</f>
        <v>24796617.709687971</v>
      </c>
      <c r="J103" s="2">
        <f t="shared" si="0"/>
        <v>0.54121211709735506</v>
      </c>
      <c r="K103" s="2">
        <f t="shared" si="1"/>
        <v>4.1262501080337938E-2</v>
      </c>
    </row>
    <row r="104" spans="3:11" ht="16" thickBot="1">
      <c r="C104" s="1333">
        <v>2021</v>
      </c>
      <c r="D104" s="1515">
        <f>Electricity!C445+'Sankey Consumption Data'!K60+'Sankey Consumption Data'!L60</f>
        <v>148503798.89060581</v>
      </c>
      <c r="E104" s="1373">
        <f>Electricity!D445+'Sankey Consumption Data'!K43+'Sankey Consumption Data'!L43</f>
        <v>109479459.61441824</v>
      </c>
      <c r="F104" s="1373">
        <f>'Sankey Consumption Data'!K60+'Sankey Consumption Data'!L60</f>
        <v>91762806.531970918</v>
      </c>
      <c r="G104" s="1373">
        <f>'Sankey Consumption Data'!K43+'Sankey Consumption Data'!L43</f>
        <v>85962247.807770252</v>
      </c>
      <c r="H104" s="1373">
        <f>Electricity!C445</f>
        <v>56740992.358634882</v>
      </c>
      <c r="I104" s="1373">
        <f>Electricity!D445</f>
        <v>23517211.806647986</v>
      </c>
      <c r="J104" s="2">
        <f t="shared" si="0"/>
        <v>0.58553400585583659</v>
      </c>
      <c r="K104" s="2">
        <f t="shared" si="1"/>
        <v>6.3212525242236389E-2</v>
      </c>
    </row>
    <row r="105" spans="3:11" ht="16" thickBot="1">
      <c r="C105" s="1333">
        <v>2022</v>
      </c>
      <c r="D105" s="1515">
        <f>Electricity!C446+'Sankey Consumption Data'!K61+'Sankey Consumption Data'!L61</f>
        <v>153978805.48605031</v>
      </c>
      <c r="E105" s="1373">
        <f>Electricity!D446+'Sankey Consumption Data'!K44+'Sankey Consumption Data'!L44</f>
        <v>108506502.29653114</v>
      </c>
      <c r="F105" s="1373">
        <f>'Sankey Consumption Data'!K61+'Sankey Consumption Data'!L61</f>
        <v>94405575.360091686</v>
      </c>
      <c r="G105" s="1373">
        <f>'Sankey Consumption Data'!K44+'Sankey Consumption Data'!L44</f>
        <v>86295699.785382211</v>
      </c>
      <c r="H105" s="1373">
        <f>Electricity!C446</f>
        <v>59573230.125958622</v>
      </c>
      <c r="I105" s="1373">
        <f>Electricity!D446</f>
        <v>22210802.511148944</v>
      </c>
      <c r="J105" s="2">
        <f t="shared" si="0"/>
        <v>0.62716806753322674</v>
      </c>
      <c r="K105" s="2">
        <f t="shared" si="1"/>
        <v>8.5904625270021753E-2</v>
      </c>
    </row>
    <row r="106" spans="3:11" ht="16" thickBot="1">
      <c r="C106" s="1333">
        <v>2023</v>
      </c>
      <c r="D106" s="1515">
        <f>Electricity!C447+'Sankey Consumption Data'!K62+'Sankey Consumption Data'!L62</f>
        <v>159939396.13666403</v>
      </c>
      <c r="E106" s="1373">
        <f>Electricity!D447+'Sankey Consumption Data'!K45+'Sankey Consumption Data'!L45</f>
        <v>107475882.43055798</v>
      </c>
      <c r="F106" s="1373">
        <f>'Sankey Consumption Data'!K62+'Sankey Consumption Data'!L62</f>
        <v>97124455.930462331</v>
      </c>
      <c r="G106" s="1373">
        <f>'Sankey Consumption Data'!K45+'Sankey Consumption Data'!L45</f>
        <v>86514152.31526652</v>
      </c>
      <c r="H106" s="1373">
        <f>Electricity!C447</f>
        <v>62814940.20620171</v>
      </c>
      <c r="I106" s="1373">
        <f>Electricity!D447</f>
        <v>20961730.115291461</v>
      </c>
      <c r="J106" s="2">
        <f t="shared" si="0"/>
        <v>0.66629387775454874</v>
      </c>
      <c r="K106" s="2">
        <f t="shared" si="1"/>
        <v>0.10924440722522463</v>
      </c>
    </row>
    <row r="107" spans="3:11" ht="16" thickBot="1">
      <c r="C107" s="1333">
        <v>2024</v>
      </c>
      <c r="D107" s="1515">
        <f>Electricity!C448+'Sankey Consumption Data'!K63+'Sankey Consumption Data'!L63</f>
        <v>166238361.37771016</v>
      </c>
      <c r="E107" s="1373">
        <f>Electricity!D448+'Sankey Consumption Data'!K46+'Sankey Consumption Data'!L46</f>
        <v>106316815.97272053</v>
      </c>
      <c r="F107" s="1373">
        <f>'Sankey Consumption Data'!K63+'Sankey Consumption Data'!L63</f>
        <v>99921640.261259645</v>
      </c>
      <c r="G107" s="1373">
        <f>'Sankey Consumption Data'!K46+'Sankey Consumption Data'!L46</f>
        <v>86617694.023949429</v>
      </c>
      <c r="H107" s="1373">
        <f>Electricity!C448</f>
        <v>66316721.116450503</v>
      </c>
      <c r="I107" s="1373">
        <f>Electricity!D448</f>
        <v>19699121.948771112</v>
      </c>
      <c r="J107" s="2">
        <f t="shared" si="0"/>
        <v>0.70295392146755953</v>
      </c>
      <c r="K107" s="2">
        <f t="shared" si="1"/>
        <v>0.13314379350183919</v>
      </c>
    </row>
    <row r="108" spans="3:11" ht="16" thickBot="1">
      <c r="C108" s="1333">
        <v>2025</v>
      </c>
      <c r="D108" s="1515">
        <f>Electricity!C449+'Sankey Consumption Data'!K64+'Sankey Consumption Data'!L64</f>
        <v>172951072.37582722</v>
      </c>
      <c r="E108" s="1373">
        <f>Electricity!D449+'Sankey Consumption Data'!K47+'Sankey Consumption Data'!L47</f>
        <v>106347768.027053</v>
      </c>
      <c r="F108" s="1373">
        <f>'Sankey Consumption Data'!K64+'Sankey Consumption Data'!L64</f>
        <v>102799383.50078392</v>
      </c>
      <c r="G108" s="1373">
        <f>'Sankey Consumption Data'!K47+'Sankey Consumption Data'!L47</f>
        <v>86606354.469361544</v>
      </c>
      <c r="H108" s="1373">
        <f>Electricity!C449</f>
        <v>70151688.875043288</v>
      </c>
      <c r="I108" s="1373">
        <f>Electricity!D449</f>
        <v>19741413.557691444</v>
      </c>
      <c r="J108" s="2">
        <f t="shared" si="0"/>
        <v>0.71858961809379163</v>
      </c>
      <c r="K108" s="2">
        <f t="shared" si="1"/>
        <v>0.15752068232295277</v>
      </c>
    </row>
    <row r="109" spans="3:11" ht="16" thickBot="1">
      <c r="C109" s="1333">
        <v>2026</v>
      </c>
      <c r="D109" s="1515">
        <f>Electricity!C450+'Sankey Consumption Data'!K65+'Sankey Consumption Data'!L65</f>
        <v>180145201.34415075</v>
      </c>
      <c r="E109" s="1373">
        <f>Electricity!D450+'Sankey Consumption Data'!K48+'Sankey Consumption Data'!L48</f>
        <v>106263086.81190974</v>
      </c>
      <c r="F109" s="1373">
        <f>'Sankey Consumption Data'!K65+'Sankey Consumption Data'!L65</f>
        <v>105760005.74560651</v>
      </c>
      <c r="G109" s="1373">
        <f>'Sankey Consumption Data'!K48+'Sankey Consumption Data'!L48</f>
        <v>86480102.28531155</v>
      </c>
      <c r="H109" s="1373">
        <f>Electricity!C450</f>
        <v>74385195.59854424</v>
      </c>
      <c r="I109" s="1373">
        <f>Electricity!D450</f>
        <v>19782984.526598178</v>
      </c>
      <c r="J109" s="2">
        <f t="shared" si="0"/>
        <v>0.73404674992902297</v>
      </c>
      <c r="K109" s="2">
        <f t="shared" si="1"/>
        <v>0.18229862341980715</v>
      </c>
    </row>
    <row r="110" spans="3:11" ht="16" thickBot="1">
      <c r="C110" s="1333">
        <v>2027</v>
      </c>
      <c r="D110" s="1515">
        <f>Electricity!C451+'Sankey Consumption Data'!K66+'Sankey Consumption Data'!L66</f>
        <v>187442783.62181741</v>
      </c>
      <c r="E110" s="1373">
        <f>Electricity!D451+'Sankey Consumption Data'!K49+'Sankey Consumption Data'!L49</f>
        <v>105954197.23643586</v>
      </c>
      <c r="F110" s="1373">
        <f>'Sankey Consumption Data'!K66+'Sankey Consumption Data'!L66</f>
        <v>108805893.91107997</v>
      </c>
      <c r="G110" s="1373">
        <f>'Sankey Consumption Data'!K49+'Sankey Consumption Data'!L49</f>
        <v>86238843.276121587</v>
      </c>
      <c r="H110" s="1373">
        <f>Electricity!C451</f>
        <v>78636889.710737422</v>
      </c>
      <c r="I110" s="1373">
        <f>Electricity!D451</f>
        <v>19715353.960314278</v>
      </c>
      <c r="J110" s="2">
        <f t="shared" si="0"/>
        <v>0.74928619337773406</v>
      </c>
      <c r="K110" s="2">
        <f t="shared" si="1"/>
        <v>0.20740650918599116</v>
      </c>
    </row>
    <row r="111" spans="3:11" ht="16" thickBot="1">
      <c r="C111" s="1333">
        <v>2028</v>
      </c>
      <c r="D111" s="1515">
        <f>Electricity!C452+'Sankey Consumption Data'!K67+'Sankey Consumption Data'!L67</f>
        <v>194653290.87462866</v>
      </c>
      <c r="E111" s="1373">
        <f>Electricity!D452+'Sankey Consumption Data'!K50+'Sankey Consumption Data'!L50</f>
        <v>105376734.34765759</v>
      </c>
      <c r="F111" s="1373">
        <f>'Sankey Consumption Data'!K67+'Sankey Consumption Data'!L67</f>
        <v>111939503.6557191</v>
      </c>
      <c r="G111" s="1373">
        <f>'Sankey Consumption Data'!K50+'Sankey Consumption Data'!L50</f>
        <v>85882418.460324481</v>
      </c>
      <c r="H111" s="1373">
        <f>Electricity!C452</f>
        <v>82713787.218909591</v>
      </c>
      <c r="I111" s="1373">
        <f>Electricity!D452</f>
        <v>19494315.887333117</v>
      </c>
      <c r="J111" s="2">
        <f t="shared" si="0"/>
        <v>0.76431600410534184</v>
      </c>
      <c r="K111" s="2">
        <f t="shared" si="1"/>
        <v>0.23277828062857717</v>
      </c>
    </row>
    <row r="112" spans="3:11" ht="16" thickBot="1">
      <c r="C112" s="1333">
        <v>2029</v>
      </c>
      <c r="D112" s="1515">
        <f>Electricity!C453+'Sankey Consumption Data'!K68+'Sankey Consumption Data'!L68</f>
        <v>202080466.56047836</v>
      </c>
      <c r="E112" s="1373">
        <f>Electricity!D453+'Sankey Consumption Data'!K51+'Sankey Consumption Data'!L51</f>
        <v>104699493.80107805</v>
      </c>
      <c r="F112" s="1373">
        <f>'Sankey Consumption Data'!K68+'Sankey Consumption Data'!L68</f>
        <v>115163361.3610038</v>
      </c>
      <c r="G112" s="1373">
        <f>'Sankey Consumption Data'!K51+'Sankey Consumption Data'!L51</f>
        <v>85506376.944959998</v>
      </c>
      <c r="H112" s="1373">
        <f>Electricity!C453</f>
        <v>86917105.199474573</v>
      </c>
      <c r="I112" s="1373">
        <f>Electricity!D453</f>
        <v>19193116.856118057</v>
      </c>
      <c r="J112" s="2">
        <f t="shared" si="0"/>
        <v>0.77917906018533534</v>
      </c>
      <c r="K112" s="2">
        <f t="shared" si="1"/>
        <v>0.25752100377721471</v>
      </c>
    </row>
    <row r="113" spans="3:11" ht="16" thickBot="1">
      <c r="C113" s="1333">
        <v>2030</v>
      </c>
      <c r="D113" s="1515">
        <f>Electricity!C454+'Sankey Consumption Data'!K69+'Sankey Consumption Data'!L69</f>
        <v>209966497.13180512</v>
      </c>
      <c r="E113" s="1373">
        <f>Electricity!D454+'Sankey Consumption Data'!K52+'Sankey Consumption Data'!L52</f>
        <v>103961102.55980037</v>
      </c>
      <c r="F113" s="1373">
        <f>'Sankey Consumption Data'!K69+'Sankey Consumption Data'!L69</f>
        <v>118480066.16820072</v>
      </c>
      <c r="G113" s="1373">
        <f>'Sankey Consumption Data'!K52+'Sankey Consumption Data'!L52</f>
        <v>85108807.398452654</v>
      </c>
      <c r="H113" s="1373">
        <f>Electricity!C454</f>
        <v>91486430.96360442</v>
      </c>
      <c r="I113" s="1373">
        <f>Electricity!D454</f>
        <v>18852295.161347717</v>
      </c>
      <c r="J113" s="2">
        <f t="shared" si="0"/>
        <v>0.79393342856660754</v>
      </c>
      <c r="K113" s="1510">
        <f t="shared" si="1"/>
        <v>0.28166137856787166</v>
      </c>
    </row>
    <row r="114" spans="3:11">
      <c r="G114" s="1373">
        <v>26015295.923246369</v>
      </c>
      <c r="I114" s="1373">
        <f>H113-I113</f>
        <v>72634135.802256703</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4286D-D7D3-6943-860D-F10D9E4743BB}">
  <dimension ref="A1:L34"/>
  <sheetViews>
    <sheetView zoomScale="70" zoomScaleNormal="70" workbookViewId="0">
      <selection activeCell="E10" sqref="E10"/>
    </sheetView>
  </sheetViews>
  <sheetFormatPr baseColWidth="10" defaultColWidth="11.5" defaultRowHeight="15"/>
  <cols>
    <col min="3" max="3" width="11.1640625" bestFit="1" customWidth="1"/>
    <col min="4" max="4" width="17" customWidth="1"/>
    <col min="5" max="5" width="13.83203125" customWidth="1"/>
    <col min="6" max="6" width="21.33203125" customWidth="1"/>
    <col min="7" max="7" width="17.33203125" customWidth="1"/>
    <col min="8" max="8" width="15.1640625" customWidth="1"/>
    <col min="9" max="10" width="15.1640625" style="41" customWidth="1"/>
    <col min="11" max="11" width="21.33203125" customWidth="1"/>
    <col min="12" max="12" width="14.83203125" customWidth="1"/>
  </cols>
  <sheetData>
    <row r="1" spans="1:12" ht="16" thickBot="1">
      <c r="A1" t="s">
        <v>4007</v>
      </c>
    </row>
    <row r="2" spans="1:12" ht="16" thickBot="1">
      <c r="A2" s="1387" t="s">
        <v>3</v>
      </c>
      <c r="B2" s="1388" t="s">
        <v>3674</v>
      </c>
      <c r="C2" t="s">
        <v>4000</v>
      </c>
      <c r="D2" t="s">
        <v>4002</v>
      </c>
      <c r="E2" t="s">
        <v>4001</v>
      </c>
      <c r="F2" t="s">
        <v>4006</v>
      </c>
      <c r="G2" t="s">
        <v>4009</v>
      </c>
      <c r="H2" t="s">
        <v>4011</v>
      </c>
      <c r="I2" s="41" t="s">
        <v>4007</v>
      </c>
      <c r="K2" t="s">
        <v>4008</v>
      </c>
      <c r="L2" s="1398">
        <f>100651</f>
        <v>100651</v>
      </c>
    </row>
    <row r="3" spans="1:12" ht="16" thickBot="1">
      <c r="A3" s="1333">
        <v>2017</v>
      </c>
      <c r="B3" s="1334">
        <v>5322</v>
      </c>
      <c r="C3" s="1524">
        <f>0.0036*Electricity!D410</f>
        <v>222106.01759999999</v>
      </c>
      <c r="D3" s="1525">
        <f>Transportation!$G$21*$L$6</f>
        <v>446865.84880174545</v>
      </c>
      <c r="E3" s="1525">
        <f>Transportation!$G$22*$L$5</f>
        <v>484616.16175391653</v>
      </c>
      <c r="F3" s="1525">
        <f>SUM(C3:E3)</f>
        <v>1153588.0281556621</v>
      </c>
      <c r="G3" s="38">
        <f>F3/$L$2</f>
        <v>11.461267430583522</v>
      </c>
      <c r="H3" s="1398">
        <f>Electricity!D410 /$L$2</f>
        <v>612.97072060883647</v>
      </c>
      <c r="I3" s="1398">
        <f>F3/B3</f>
        <v>216.75836680865504</v>
      </c>
      <c r="J3" s="1398"/>
    </row>
    <row r="4" spans="1:12" ht="16" thickBot="1">
      <c r="A4" s="1333">
        <v>2018</v>
      </c>
      <c r="B4" s="1334">
        <v>5434</v>
      </c>
      <c r="C4" s="1524">
        <f>0.0036*Electricity!D411</f>
        <v>232825.5243852511</v>
      </c>
      <c r="D4" s="1525">
        <f>Transportation!$H$21*$L$6</f>
        <v>459735.58524723572</v>
      </c>
      <c r="E4" s="1525">
        <f>Transportation!$H$22*$L$5</f>
        <v>498573.10721242934</v>
      </c>
      <c r="F4" s="1525">
        <f t="shared" ref="F4:F16" si="0">SUM(C4:E4)</f>
        <v>1191134.2168449161</v>
      </c>
      <c r="G4" s="38">
        <f t="shared" ref="G4:G16" si="1">F4/$L$2</f>
        <v>11.834300869786849</v>
      </c>
      <c r="H4" s="1398">
        <f>Electricity!D411 /$L$2</f>
        <v>642.55453769640508</v>
      </c>
      <c r="I4" s="1398">
        <f t="shared" ref="I4:I16" si="2">F4/B4</f>
        <v>219.20026073701069</v>
      </c>
      <c r="J4" s="1398"/>
      <c r="K4" t="s">
        <v>4003</v>
      </c>
    </row>
    <row r="5" spans="1:12" ht="16" thickBot="1">
      <c r="A5" s="1333">
        <v>2019</v>
      </c>
      <c r="B5" s="1334">
        <v>5547</v>
      </c>
      <c r="C5" s="1524">
        <f>0.0036*Electricity!D412</f>
        <v>237172.45069522527</v>
      </c>
      <c r="D5" s="1525">
        <f>Transportation!$I$21*$L$6</f>
        <v>472975.97010235616</v>
      </c>
      <c r="E5" s="1525">
        <f>Transportation!$I$22*$L$5</f>
        <v>512932.01270014729</v>
      </c>
      <c r="F5" s="1525">
        <f t="shared" si="0"/>
        <v>1223080.4334977288</v>
      </c>
      <c r="G5" s="38">
        <f t="shared" si="1"/>
        <v>12.151696788881669</v>
      </c>
      <c r="H5" s="1398">
        <f>Electricity!D412 /$L$2</f>
        <v>654.55123450566055</v>
      </c>
      <c r="I5" s="1398">
        <f t="shared" si="2"/>
        <v>220.4940388494193</v>
      </c>
      <c r="J5" s="1398"/>
      <c r="K5" t="s">
        <v>4004</v>
      </c>
      <c r="L5">
        <f>32.2*0.001</f>
        <v>3.2200000000000006E-2</v>
      </c>
    </row>
    <row r="6" spans="1:12" ht="16" thickBot="1">
      <c r="A6" s="1333">
        <v>2020</v>
      </c>
      <c r="B6" s="1334">
        <v>5659</v>
      </c>
      <c r="C6" s="1524">
        <f>0.0036*Electricity!D413</f>
        <v>245411.35967906495</v>
      </c>
      <c r="D6" s="1525">
        <f>Transportation!$J$21*$L$6</f>
        <v>486597.67804130405</v>
      </c>
      <c r="E6" s="1525">
        <f>Transportation!$J$22*$L$5</f>
        <v>527704.4546659115</v>
      </c>
      <c r="F6" s="1525">
        <f t="shared" si="0"/>
        <v>1259713.4923862806</v>
      </c>
      <c r="G6" s="38">
        <f t="shared" si="1"/>
        <v>12.515657990345655</v>
      </c>
      <c r="H6" s="1398">
        <f>Electricity!D413 /$L$2</f>
        <v>677.28906948836675</v>
      </c>
      <c r="I6" s="1398">
        <f t="shared" si="2"/>
        <v>222.60355051886916</v>
      </c>
      <c r="J6" s="1398"/>
      <c r="K6" t="s">
        <v>4005</v>
      </c>
      <c r="L6">
        <f>38.7*0.001</f>
        <v>3.8700000000000005E-2</v>
      </c>
    </row>
    <row r="7" spans="1:12" ht="16" thickBot="1">
      <c r="A7" s="1333">
        <v>2021</v>
      </c>
      <c r="B7" s="1334">
        <v>5772</v>
      </c>
      <c r="C7" s="1524">
        <f>0.0036*Electricity!D414</f>
        <v>257638.68941657714</v>
      </c>
      <c r="D7" s="1525">
        <f>Transportation!$K$21*$L$6</f>
        <v>500611.69116889359</v>
      </c>
      <c r="E7" s="1525">
        <f>Transportation!$K$22*$L$5</f>
        <v>542902.3429602898</v>
      </c>
      <c r="F7" s="1525">
        <f t="shared" si="0"/>
        <v>1301152.7235457604</v>
      </c>
      <c r="G7" s="38">
        <f t="shared" si="1"/>
        <v>12.927370056390501</v>
      </c>
      <c r="H7" s="1398">
        <f>Electricity!D414 /$L$2</f>
        <v>711.03419355710207</v>
      </c>
      <c r="I7" s="1398">
        <f t="shared" si="2"/>
        <v>225.42493477923776</v>
      </c>
      <c r="J7" s="1398"/>
    </row>
    <row r="8" spans="1:12" ht="16" thickBot="1">
      <c r="A8" s="1333">
        <v>2022</v>
      </c>
      <c r="B8" s="1334">
        <v>5885</v>
      </c>
      <c r="C8" s="1524">
        <f>0.0036*Electricity!D415</f>
        <v>270498.77515278256</v>
      </c>
      <c r="D8" s="1525">
        <f>Transportation!$L$21*$L$6</f>
        <v>515029.30787455774</v>
      </c>
      <c r="E8" s="1525">
        <f>Transportation!$L$22*$L$5</f>
        <v>558537.93043754622</v>
      </c>
      <c r="F8" s="1525">
        <f t="shared" si="0"/>
        <v>1344066.0134648865</v>
      </c>
      <c r="G8" s="38">
        <f t="shared" si="1"/>
        <v>13.353727369473592</v>
      </c>
      <c r="H8" s="1398">
        <f>Electricity!D415 /$L$2</f>
        <v>746.52560484794697</v>
      </c>
      <c r="I8" s="1398">
        <f t="shared" si="2"/>
        <v>228.38844748766124</v>
      </c>
      <c r="J8" s="1398"/>
    </row>
    <row r="9" spans="1:12" ht="16" thickBot="1">
      <c r="A9" s="1333">
        <v>2023</v>
      </c>
      <c r="B9" s="1334">
        <v>5997</v>
      </c>
      <c r="C9" s="1524">
        <f>0.0036*Electricity!D416</f>
        <v>285218.11476643378</v>
      </c>
      <c r="D9" s="1525">
        <f>Transportation!$M$21*$L$6</f>
        <v>529862.15194134496</v>
      </c>
      <c r="E9" s="1525">
        <f>Transportation!$M$22*$L$5</f>
        <v>574623.82283414761</v>
      </c>
      <c r="F9" s="1525">
        <f t="shared" si="0"/>
        <v>1389704.0895419263</v>
      </c>
      <c r="G9" s="38">
        <f t="shared" si="1"/>
        <v>13.807156307855125</v>
      </c>
      <c r="H9" s="1398">
        <f>Electricity!D416 /$L$2</f>
        <v>787.14820619553871</v>
      </c>
      <c r="I9" s="1398">
        <f t="shared" si="2"/>
        <v>231.73321486441992</v>
      </c>
      <c r="J9" s="1398"/>
    </row>
    <row r="10" spans="1:12" ht="16" thickBot="1">
      <c r="A10" s="1333">
        <v>2024</v>
      </c>
      <c r="B10" s="1334">
        <v>6110</v>
      </c>
      <c r="C10" s="1524">
        <f>0.0036*Electricity!D417</f>
        <v>301118.33446365222</v>
      </c>
      <c r="D10" s="1525">
        <f>Transportation!$N$21*$L$6</f>
        <v>545122.18191725574</v>
      </c>
      <c r="E10" s="1525">
        <f>Transportation!$N$22*$L$5</f>
        <v>591172.98893177102</v>
      </c>
      <c r="F10" s="1525">
        <f t="shared" si="0"/>
        <v>1437413.5053126789</v>
      </c>
      <c r="G10" s="38">
        <f t="shared" si="1"/>
        <v>14.281164671117812</v>
      </c>
      <c r="H10" s="1398">
        <f>Electricity!D417 /$L$2</f>
        <v>831.02981386631984</v>
      </c>
      <c r="I10" s="1398">
        <f t="shared" si="2"/>
        <v>235.2558928498656</v>
      </c>
      <c r="J10" s="1398"/>
    </row>
    <row r="11" spans="1:12" ht="16" thickBot="1">
      <c r="A11" s="1333">
        <v>2025</v>
      </c>
      <c r="B11" s="1334">
        <v>6223</v>
      </c>
      <c r="C11" s="1524">
        <f>0.0036*Electricity!D418</f>
        <v>318531.42553251702</v>
      </c>
      <c r="D11" s="1525">
        <f>Transportation!$O$21*$L$6</f>
        <v>560821.70075647277</v>
      </c>
      <c r="E11" s="1525">
        <f>Transportation!$O$22*$L$5</f>
        <v>608198.7710130061</v>
      </c>
      <c r="F11" s="1525">
        <f t="shared" si="0"/>
        <v>1487551.8973019959</v>
      </c>
      <c r="G11" s="38">
        <f t="shared" si="1"/>
        <v>14.779305692958797</v>
      </c>
      <c r="H11" s="1398">
        <f>Electricity!D418 /$L$2</f>
        <v>879.08666120366706</v>
      </c>
      <c r="I11" s="1398">
        <f t="shared" si="2"/>
        <v>239.04096051775605</v>
      </c>
      <c r="J11" s="1398"/>
    </row>
    <row r="12" spans="1:12" ht="16" thickBot="1">
      <c r="A12" s="1333">
        <v>2026</v>
      </c>
      <c r="B12" s="1334">
        <v>6335</v>
      </c>
      <c r="C12" s="1524">
        <f>0.0036*Electricity!D419</f>
        <v>337754.12641489005</v>
      </c>
      <c r="D12" s="1525">
        <f>Transportation!$P$21*$L$6</f>
        <v>576973.36573825916</v>
      </c>
      <c r="E12" s="1525">
        <f>Transportation!$P$22*$L$5</f>
        <v>625714.89561818063</v>
      </c>
      <c r="F12" s="1525">
        <f t="shared" si="0"/>
        <v>1540442.3877713298</v>
      </c>
      <c r="G12" s="38">
        <f t="shared" si="1"/>
        <v>15.304789696787214</v>
      </c>
      <c r="H12" s="1398">
        <f>Electricity!D419 /$L$2</f>
        <v>932.13769034388929</v>
      </c>
      <c r="I12" s="1398">
        <f t="shared" si="2"/>
        <v>243.16375497574268</v>
      </c>
      <c r="J12" s="1398"/>
    </row>
    <row r="13" spans="1:12" ht="16" thickBot="1">
      <c r="A13" s="1333">
        <v>2027</v>
      </c>
      <c r="B13" s="1334">
        <v>6448</v>
      </c>
      <c r="C13" s="1524">
        <f>0.0036*Electricity!D420</f>
        <v>357059.40912729106</v>
      </c>
      <c r="D13" s="1525">
        <f>Transportation!$Q$21*$L$6</f>
        <v>593590.19867152104</v>
      </c>
      <c r="E13" s="1525">
        <f>Transportation!$Q$22*$L$5</f>
        <v>643735.48461198434</v>
      </c>
      <c r="F13" s="1525">
        <f t="shared" si="0"/>
        <v>1594385.0924107963</v>
      </c>
      <c r="G13" s="38">
        <f t="shared" si="1"/>
        <v>15.840727786219674</v>
      </c>
      <c r="H13" s="1398">
        <f>Electricity!D420 /$L$2</f>
        <v>985.41662976051202</v>
      </c>
      <c r="I13" s="1398">
        <f t="shared" si="2"/>
        <v>247.2681594929895</v>
      </c>
      <c r="J13" s="1398"/>
    </row>
    <row r="14" spans="1:12" ht="16" thickBot="1">
      <c r="A14" s="1333">
        <v>2028</v>
      </c>
      <c r="B14" s="1334">
        <v>6560</v>
      </c>
      <c r="C14" s="1524">
        <f>0.0036*Electricity!D421</f>
        <v>375571.00871744769</v>
      </c>
      <c r="D14" s="1525">
        <f>Transportation!$R$21*$L$6</f>
        <v>610685.59639326076</v>
      </c>
      <c r="E14" s="1525">
        <f>Transportation!$R$22*$L$5</f>
        <v>662275.06656880956</v>
      </c>
      <c r="F14" s="1525">
        <f t="shared" si="0"/>
        <v>1648531.671679518</v>
      </c>
      <c r="G14" s="38">
        <f t="shared" si="1"/>
        <v>16.378691435549751</v>
      </c>
      <c r="H14" s="1398">
        <f>Electricity!D421 /$L$2</f>
        <v>1036.5051534439899</v>
      </c>
      <c r="I14" s="1398">
        <f t="shared" si="2"/>
        <v>251.30055970724359</v>
      </c>
      <c r="J14" s="1398"/>
    </row>
    <row r="15" spans="1:12" ht="16" thickBot="1">
      <c r="A15" s="1333">
        <v>2029</v>
      </c>
      <c r="B15" s="1334">
        <v>6673</v>
      </c>
      <c r="C15" s="1524">
        <f>0.0036*Electricity!D422</f>
        <v>394656.63430660072</v>
      </c>
      <c r="D15" s="1525">
        <f>Transportation!$S$21*$L$6</f>
        <v>628273.34156938666</v>
      </c>
      <c r="E15" s="1525">
        <f>Transportation!$S$22*$L$5</f>
        <v>681348.58848599123</v>
      </c>
      <c r="F15" s="1525">
        <f t="shared" si="0"/>
        <v>1704278.5643619788</v>
      </c>
      <c r="G15" s="38">
        <f t="shared" si="1"/>
        <v>16.932554712441792</v>
      </c>
      <c r="H15" s="1398">
        <f>Electricity!D422 /$L$2</f>
        <v>1089.1778806265675</v>
      </c>
      <c r="I15" s="1398">
        <f t="shared" si="2"/>
        <v>255.39915545661304</v>
      </c>
      <c r="J15" s="1398"/>
    </row>
    <row r="16" spans="1:12" ht="16" thickBot="1">
      <c r="A16" s="1333">
        <v>2030</v>
      </c>
      <c r="B16" s="1334">
        <v>6786</v>
      </c>
      <c r="C16" s="1524">
        <f>0.0036*Electricity!D423</f>
        <v>415404.15831793676</v>
      </c>
      <c r="D16" s="1525">
        <f>Transportation!$T$21*$L$6</f>
        <v>646367.61380658497</v>
      </c>
      <c r="E16" s="1525">
        <f>Transportation!$T$22*$L$5</f>
        <v>700971.42783438787</v>
      </c>
      <c r="F16" s="1525">
        <f t="shared" si="0"/>
        <v>1762743.1999589095</v>
      </c>
      <c r="G16" s="38">
        <f t="shared" si="1"/>
        <v>17.513419637747361</v>
      </c>
      <c r="H16" s="1398">
        <f>Electricity!D423 /$L$2</f>
        <v>1146.4371340295143</v>
      </c>
      <c r="I16" s="1398">
        <f t="shared" si="2"/>
        <v>259.76174476258615</v>
      </c>
      <c r="J16" s="1398"/>
    </row>
    <row r="19" spans="1:10" ht="16" thickBot="1">
      <c r="A19" t="s">
        <v>4010</v>
      </c>
    </row>
    <row r="20" spans="1:10" ht="16" thickBot="1">
      <c r="A20" s="1387" t="s">
        <v>3</v>
      </c>
      <c r="B20" s="1388" t="s">
        <v>3674</v>
      </c>
      <c r="C20" s="41" t="s">
        <v>4000</v>
      </c>
      <c r="D20" s="41" t="s">
        <v>4002</v>
      </c>
      <c r="E20" s="41" t="s">
        <v>4001</v>
      </c>
      <c r="F20" s="41" t="s">
        <v>4006</v>
      </c>
      <c r="G20" s="41" t="s">
        <v>4009</v>
      </c>
      <c r="H20" s="41" t="s">
        <v>4011</v>
      </c>
      <c r="I20" s="41" t="s">
        <v>4026</v>
      </c>
    </row>
    <row r="21" spans="1:10" ht="16" thickBot="1">
      <c r="A21" s="1333">
        <v>2017</v>
      </c>
      <c r="B21" s="1334">
        <v>5322</v>
      </c>
      <c r="C21" s="1398">
        <f>0.0036*Electricity!J410</f>
        <v>222106.01759999999</v>
      </c>
      <c r="D21" s="1525">
        <f>Transportation!$G$46*$L$6</f>
        <v>446865.84880174545</v>
      </c>
      <c r="E21" s="1525">
        <f>Transportation!$G$47*$L$5</f>
        <v>484616.16175391653</v>
      </c>
      <c r="F21" s="38">
        <f>SUM(C21:E21)</f>
        <v>1153588.0281556621</v>
      </c>
      <c r="G21">
        <f>F21/$L$2</f>
        <v>11.461267430583522</v>
      </c>
      <c r="H21" s="1398">
        <f>Electricity!J410/$L$2</f>
        <v>612.97072060883647</v>
      </c>
      <c r="I21" s="1398">
        <f>F21/B21</f>
        <v>216.75836680865504</v>
      </c>
      <c r="J21" s="1398"/>
    </row>
    <row r="22" spans="1:10" ht="16" thickBot="1">
      <c r="A22" s="1333">
        <v>2018</v>
      </c>
      <c r="B22" s="1334">
        <v>5434</v>
      </c>
      <c r="C22" s="1398">
        <f>0.0036*Electricity!J411</f>
        <v>187091.76043428818</v>
      </c>
      <c r="D22" s="1525">
        <f>Transportation!$H$46*$L$6</f>
        <v>459735.58524723572</v>
      </c>
      <c r="E22" s="1525">
        <f>Transportation!$H$47*$L$5</f>
        <v>498573.10721242934</v>
      </c>
      <c r="F22" s="38">
        <f t="shared" ref="F22:F34" si="3">SUM(C22:E22)</f>
        <v>1145400.4528939533</v>
      </c>
      <c r="G22" s="41">
        <f t="shared" ref="G22:G34" si="4">F22/$L$2</f>
        <v>11.37992124165635</v>
      </c>
      <c r="H22" s="1398">
        <f>Electricity!J411/$L$2</f>
        <v>516.33797432682184</v>
      </c>
      <c r="I22" s="1398">
        <f t="shared" ref="I22:I34" si="5">F22/B22</f>
        <v>210.78403623370505</v>
      </c>
      <c r="J22" s="1398"/>
    </row>
    <row r="23" spans="1:10" ht="16" thickBot="1">
      <c r="A23" s="1333">
        <v>2019</v>
      </c>
      <c r="B23" s="1334">
        <v>5547</v>
      </c>
      <c r="C23" s="1398">
        <f>0.0036*Electricity!J412</f>
        <v>147976.59485914593</v>
      </c>
      <c r="D23" s="1525">
        <f>Transportation!$I$46*$L$6</f>
        <v>461714.60010227992</v>
      </c>
      <c r="E23" s="1525">
        <f>Transportation!$I$47*$L$5</f>
        <v>504244.29081876652</v>
      </c>
      <c r="F23" s="38">
        <f t="shared" si="3"/>
        <v>1113935.4857801923</v>
      </c>
      <c r="G23" s="41">
        <f t="shared" si="4"/>
        <v>11.067306691241939</v>
      </c>
      <c r="H23" s="1398">
        <f>Electricity!J412/$L$2</f>
        <v>408.38749424343621</v>
      </c>
      <c r="I23" s="1398">
        <f t="shared" si="5"/>
        <v>200.81764661622361</v>
      </c>
      <c r="J23" s="1398"/>
    </row>
    <row r="24" spans="1:10" ht="16" thickBot="1">
      <c r="A24" s="1333">
        <v>2020</v>
      </c>
      <c r="B24" s="1334">
        <v>5659</v>
      </c>
      <c r="C24" s="1398">
        <f>0.0036*Electricity!J413</f>
        <v>112591.75814741773</v>
      </c>
      <c r="D24" s="1525">
        <f>Transportation!$J$46*$L$6</f>
        <v>463552.61079849297</v>
      </c>
      <c r="E24" s="1525">
        <f>Transportation!$J$47*$L$5</f>
        <v>508713.42246798944</v>
      </c>
      <c r="F24" s="38">
        <f t="shared" si="3"/>
        <v>1084857.7914139002</v>
      </c>
      <c r="G24" s="41">
        <f t="shared" si="4"/>
        <v>10.778410462031179</v>
      </c>
      <c r="H24" s="1398">
        <f>Electricity!J413/$L$2</f>
        <v>310.73201830367015</v>
      </c>
      <c r="I24" s="1398">
        <f t="shared" si="5"/>
        <v>191.70485799856868</v>
      </c>
      <c r="J24" s="1398"/>
    </row>
    <row r="25" spans="1:10" ht="16" thickBot="1">
      <c r="A25" s="1333">
        <v>2021</v>
      </c>
      <c r="B25" s="1334">
        <v>5772</v>
      </c>
      <c r="C25" s="1398">
        <f>0.0036*Electricity!J414</f>
        <v>106782.47553904101</v>
      </c>
      <c r="D25" s="1525">
        <f>Transportation!$K$46*$L$6</f>
        <v>465243.4922591222</v>
      </c>
      <c r="E25" s="1525">
        <f>Transportation!$K$47*$L$5</f>
        <v>512077.15292489645</v>
      </c>
      <c r="F25" s="38">
        <f t="shared" si="3"/>
        <v>1084103.1207230596</v>
      </c>
      <c r="G25" s="41">
        <f t="shared" si="4"/>
        <v>10.770912566423181</v>
      </c>
      <c r="H25" s="1398">
        <f>Electricity!J414/$L$2</f>
        <v>294.69949390313781</v>
      </c>
      <c r="I25" s="1398">
        <f t="shared" si="5"/>
        <v>187.82105348632356</v>
      </c>
      <c r="J25" s="1398"/>
    </row>
    <row r="26" spans="1:10" ht="16" thickBot="1">
      <c r="A26" s="1333">
        <v>2022</v>
      </c>
      <c r="B26" s="1334">
        <v>5885</v>
      </c>
      <c r="C26" s="1398">
        <f>0.0036*Electricity!J415</f>
        <v>100850.5810701071</v>
      </c>
      <c r="D26" s="1525">
        <f>Transportation!$L$46*$L$6</f>
        <v>466780.98833870527</v>
      </c>
      <c r="E26" s="1525">
        <f>Transportation!$L$47*$L$5</f>
        <v>514314.21085581457</v>
      </c>
      <c r="F26" s="38">
        <f t="shared" si="3"/>
        <v>1081945.780264627</v>
      </c>
      <c r="G26" s="41">
        <f t="shared" si="4"/>
        <v>10.74947869633314</v>
      </c>
      <c r="H26" s="1398">
        <f>Electricity!J415/$L$2</f>
        <v>278.32858389138681</v>
      </c>
      <c r="I26" s="1398">
        <f t="shared" si="5"/>
        <v>183.84805102202668</v>
      </c>
      <c r="J26" s="1398"/>
    </row>
    <row r="27" spans="1:10" ht="16" thickBot="1">
      <c r="A27" s="1333">
        <v>2023</v>
      </c>
      <c r="B27" s="1334">
        <v>5997</v>
      </c>
      <c r="C27" s="1398">
        <f>0.0036*Electricity!J416</f>
        <v>95179.031072864702</v>
      </c>
      <c r="D27" s="1525">
        <f>Transportation!$M$46*$L$6</f>
        <v>468158.71237159579</v>
      </c>
      <c r="E27" s="1525">
        <f>Transportation!$M$47*$L$5</f>
        <v>515432.19780868891</v>
      </c>
      <c r="F27" s="38">
        <f t="shared" si="3"/>
        <v>1078769.9412531494</v>
      </c>
      <c r="G27" s="41">
        <f t="shared" si="4"/>
        <v>10.717925716119556</v>
      </c>
      <c r="H27" s="1398">
        <f>Electricity!J416/$L$2</f>
        <v>262.67617552197612</v>
      </c>
      <c r="I27" s="1398">
        <f t="shared" si="5"/>
        <v>179.88493267519584</v>
      </c>
      <c r="J27" s="1398"/>
    </row>
    <row r="28" spans="1:10" ht="16" thickBot="1">
      <c r="A28" s="1333">
        <v>2024</v>
      </c>
      <c r="B28" s="1334">
        <v>6110</v>
      </c>
      <c r="C28" s="1398">
        <f>0.0036*Electricity!J417</f>
        <v>89446.020426647738</v>
      </c>
      <c r="D28" s="1525">
        <f>Transportation!$N$46*$L$6</f>
        <v>469370.14794770657</v>
      </c>
      <c r="E28" s="1525">
        <f>Transportation!$N$47*$L$5</f>
        <v>515438.20519647055</v>
      </c>
      <c r="F28" s="38">
        <f t="shared" si="3"/>
        <v>1074254.3735708247</v>
      </c>
      <c r="G28" s="41">
        <f t="shared" si="4"/>
        <v>10.673062101427952</v>
      </c>
      <c r="H28" s="1398">
        <f>Electricity!J417/$L$2</f>
        <v>246.85414735253428</v>
      </c>
      <c r="I28" s="1398">
        <f t="shared" si="5"/>
        <v>175.81904641093695</v>
      </c>
      <c r="J28" s="1398"/>
    </row>
    <row r="29" spans="1:10" ht="16" thickBot="1">
      <c r="A29" s="1333">
        <v>2025</v>
      </c>
      <c r="B29" s="1334">
        <v>6223</v>
      </c>
      <c r="C29" s="1398">
        <f>0.0036*Electricity!J418</f>
        <v>89638.050108234616</v>
      </c>
      <c r="D29" s="1525">
        <f>Transportation!$O$46*$L$6</f>
        <v>470408.64993060799</v>
      </c>
      <c r="E29" s="1525">
        <f>Transportation!$O$47*$L$5</f>
        <v>514338.79340511351</v>
      </c>
      <c r="F29" s="38">
        <f t="shared" si="3"/>
        <v>1074385.4934439561</v>
      </c>
      <c r="G29" s="41">
        <f t="shared" si="4"/>
        <v>10.674364819464845</v>
      </c>
      <c r="H29" s="1398">
        <f>Electricity!J418/$L$2</f>
        <v>247.38411305797763</v>
      </c>
      <c r="I29" s="1398">
        <f t="shared" si="5"/>
        <v>172.64751622110816</v>
      </c>
      <c r="J29" s="1398"/>
    </row>
    <row r="30" spans="1:10" ht="16" thickBot="1">
      <c r="A30" s="1333">
        <v>2026</v>
      </c>
      <c r="B30" s="1334">
        <v>6335</v>
      </c>
      <c r="C30" s="1398">
        <f>0.0036*Electricity!J419</f>
        <v>89826.807644923669</v>
      </c>
      <c r="D30" s="1525">
        <f>Transportation!$P$46*$L$6</f>
        <v>471267.44573387061</v>
      </c>
      <c r="E30" s="1525">
        <f>Transportation!$P$47*$L$5</f>
        <v>512139.97012131847</v>
      </c>
      <c r="F30" s="38">
        <f t="shared" si="3"/>
        <v>1073234.2235001128</v>
      </c>
      <c r="G30" s="41">
        <f t="shared" si="4"/>
        <v>10.662926582946149</v>
      </c>
      <c r="H30" s="1398">
        <f>Electricity!J419/$L$2</f>
        <v>247.90504826061141</v>
      </c>
      <c r="I30" s="1398">
        <f t="shared" si="5"/>
        <v>169.41345280191203</v>
      </c>
      <c r="J30" s="1398"/>
    </row>
    <row r="31" spans="1:10" ht="16" thickBot="1">
      <c r="A31" s="1333">
        <v>2027</v>
      </c>
      <c r="B31" s="1334">
        <v>6448</v>
      </c>
      <c r="C31" s="1398">
        <f>0.0036*Electricity!J420</f>
        <v>89519.723652600209</v>
      </c>
      <c r="D31" s="1525">
        <f>Transportation!$Q$46*$L$6</f>
        <v>471939.63687233441</v>
      </c>
      <c r="E31" s="1525">
        <f>Transportation!$Q$47*$L$5</f>
        <v>508847.16785241058</v>
      </c>
      <c r="F31" s="38">
        <f t="shared" si="3"/>
        <v>1070306.5283773453</v>
      </c>
      <c r="G31" s="41">
        <f t="shared" si="4"/>
        <v>10.633838991935949</v>
      </c>
      <c r="H31" s="1398">
        <f>Electricity!J420/$L$2</f>
        <v>247.05755435614211</v>
      </c>
      <c r="I31" s="1398">
        <f t="shared" si="5"/>
        <v>165.99046655976198</v>
      </c>
      <c r="J31" s="1398"/>
    </row>
    <row r="32" spans="1:10" ht="16" thickBot="1">
      <c r="A32" s="1333">
        <v>2028</v>
      </c>
      <c r="B32" s="1334">
        <v>6560</v>
      </c>
      <c r="C32" s="1398">
        <f>0.0036*Electricity!J421</f>
        <v>88516.076076715573</v>
      </c>
      <c r="D32" s="1525">
        <f>Transportation!$R$46*$L$6</f>
        <v>472418.20080580493</v>
      </c>
      <c r="E32" s="1525">
        <f>Transportation!$R$47*$L$5</f>
        <v>504465.22060979175</v>
      </c>
      <c r="F32" s="38">
        <f t="shared" si="3"/>
        <v>1065399.4974923122</v>
      </c>
      <c r="G32" s="41">
        <f t="shared" si="4"/>
        <v>10.585086064642301</v>
      </c>
      <c r="H32" s="1398">
        <f>Electricity!J421/$L$2</f>
        <v>244.28767632908537</v>
      </c>
      <c r="I32" s="1398">
        <f t="shared" si="5"/>
        <v>162.40845998358418</v>
      </c>
      <c r="J32" s="1398"/>
    </row>
    <row r="33" spans="1:10" ht="16" thickBot="1">
      <c r="A33" s="1333">
        <v>2029</v>
      </c>
      <c r="B33" s="1334">
        <v>6673</v>
      </c>
      <c r="C33" s="1398">
        <f>0.0036*Electricity!J422</f>
        <v>87148.448891676031</v>
      </c>
      <c r="D33" s="1525">
        <f>Transportation!$S$46*$L$6</f>
        <v>472695.99309353839</v>
      </c>
      <c r="E33" s="1525">
        <f>Transportation!$S$47*$L$5</f>
        <v>500055.16931062727</v>
      </c>
      <c r="F33" s="38">
        <f t="shared" si="3"/>
        <v>1059899.6112958416</v>
      </c>
      <c r="G33" s="41">
        <f t="shared" si="4"/>
        <v>10.530442929487453</v>
      </c>
      <c r="H33" s="1398">
        <f>Electricity!J422/$L$2</f>
        <v>240.51328322530338</v>
      </c>
      <c r="I33" s="1398">
        <f t="shared" si="5"/>
        <v>158.83404934749612</v>
      </c>
      <c r="J33" s="1398"/>
    </row>
    <row r="34" spans="1:10" ht="16" thickBot="1">
      <c r="A34" s="1333">
        <v>2030</v>
      </c>
      <c r="B34" s="1334">
        <v>6786</v>
      </c>
      <c r="C34" s="1398">
        <f>0.0036*Electricity!J423</f>
        <v>85600.910663751391</v>
      </c>
      <c r="D34" s="1525">
        <f>Transportation!$T$46*$L$6</f>
        <v>472765.74987877347</v>
      </c>
      <c r="E34" s="1525">
        <f>Transportation!$T$47*$L$5</f>
        <v>495602.73802355496</v>
      </c>
      <c r="F34" s="38">
        <f t="shared" si="3"/>
        <v>1053969.3985660798</v>
      </c>
      <c r="G34" s="41">
        <f t="shared" si="4"/>
        <v>10.471524362063763</v>
      </c>
      <c r="H34" s="1398">
        <f>Electricity!J423/$L$2</f>
        <v>236.24236957338667</v>
      </c>
      <c r="I34" s="1398">
        <f t="shared" si="5"/>
        <v>155.3152665143059</v>
      </c>
      <c r="J34" s="1398"/>
    </row>
  </sheetData>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CBB74-F1CC-44FB-8D1F-AF7D72FA69D6}">
  <dimension ref="A2:V62"/>
  <sheetViews>
    <sheetView workbookViewId="0">
      <pane xSplit="3" ySplit="10" topLeftCell="I11" activePane="bottomRight" state="frozen"/>
      <selection pane="topRight" activeCell="D1" sqref="D1"/>
      <selection pane="bottomLeft" activeCell="A6" sqref="A6"/>
      <selection pane="bottomRight" activeCell="T55" sqref="T55"/>
    </sheetView>
  </sheetViews>
  <sheetFormatPr baseColWidth="10" defaultColWidth="9.1640625" defaultRowHeight="15"/>
  <cols>
    <col min="1" max="1" width="22" style="41" customWidth="1"/>
    <col min="2" max="3" width="9.1640625" style="41"/>
    <col min="4" max="5" width="12.5" style="41" customWidth="1"/>
    <col min="6" max="7" width="9.1640625" style="41"/>
    <col min="8" max="8" width="10.5" style="41" bestFit="1" customWidth="1"/>
    <col min="9" max="9" width="10" style="41" customWidth="1"/>
    <col min="10" max="15" width="9.1640625" style="41"/>
    <col min="16" max="16" width="10.5" style="41" bestFit="1" customWidth="1"/>
    <col min="17" max="17" width="9.83203125" style="41" customWidth="1"/>
    <col min="18" max="18" width="9.1640625" style="41"/>
    <col min="19" max="19" width="28.1640625" style="41" customWidth="1"/>
    <col min="20" max="20" width="14.6640625" style="41" bestFit="1" customWidth="1"/>
    <col min="21" max="32" width="11" style="41" customWidth="1"/>
    <col min="33" max="16384" width="9.1640625" style="41"/>
  </cols>
  <sheetData>
    <row r="2" spans="1:22">
      <c r="A2" s="1437" t="s">
        <v>3905</v>
      </c>
    </row>
    <row r="3" spans="1:22">
      <c r="A3" s="1437" t="s">
        <v>3904</v>
      </c>
    </row>
    <row r="4" spans="1:22">
      <c r="A4" s="1437">
        <v>1</v>
      </c>
      <c r="B4" s="41" t="s">
        <v>3903</v>
      </c>
    </row>
    <row r="5" spans="1:22">
      <c r="A5" s="1437">
        <v>2</v>
      </c>
      <c r="B5" s="41" t="s">
        <v>3902</v>
      </c>
      <c r="S5" s="41" t="s">
        <v>3987</v>
      </c>
      <c r="T5" s="1492">
        <f>AVERAGE(V12:V16)</f>
        <v>5.8147637997882232E-4</v>
      </c>
    </row>
    <row r="6" spans="1:22">
      <c r="A6" s="1437">
        <v>3</v>
      </c>
      <c r="B6" s="41" t="s">
        <v>3901</v>
      </c>
      <c r="S6" s="41" t="s">
        <v>3988</v>
      </c>
      <c r="T6" s="41">
        <f>(T11*(1-T5))/'Basic Parameters and Results'!$F$62*'Advanced Parameters'!$D$23</f>
        <v>35525159.920787252</v>
      </c>
    </row>
    <row r="7" spans="1:22">
      <c r="A7" s="1437">
        <v>4</v>
      </c>
      <c r="B7" s="41" t="s">
        <v>3900</v>
      </c>
      <c r="S7" s="41" t="s">
        <v>3989</v>
      </c>
      <c r="T7" s="1398">
        <f>T6*(100/23)</f>
        <v>154457217.04690108</v>
      </c>
    </row>
    <row r="8" spans="1:22">
      <c r="A8" s="1437"/>
      <c r="B8" s="41" t="s">
        <v>3899</v>
      </c>
      <c r="S8" s="41" t="s">
        <v>3990</v>
      </c>
    </row>
    <row r="9" spans="1:22">
      <c r="A9" s="1437"/>
    </row>
    <row r="10" spans="1:22" s="1432" customFormat="1" ht="30">
      <c r="B10" s="1433"/>
      <c r="C10" s="1433" t="s">
        <v>3890</v>
      </c>
      <c r="D10" s="1433" t="s">
        <v>3898</v>
      </c>
      <c r="E10" s="1433" t="s">
        <v>3897</v>
      </c>
      <c r="F10" s="1433" t="s">
        <v>3887</v>
      </c>
      <c r="G10" s="1433" t="s">
        <v>3890</v>
      </c>
      <c r="H10" s="1436" t="s">
        <v>3896</v>
      </c>
      <c r="I10" s="1436" t="s">
        <v>3895</v>
      </c>
      <c r="J10" s="1433" t="s">
        <v>3887</v>
      </c>
      <c r="K10" s="1433" t="s">
        <v>3890</v>
      </c>
      <c r="L10" s="1436" t="s">
        <v>3894</v>
      </c>
      <c r="M10" s="1436" t="s">
        <v>3893</v>
      </c>
      <c r="N10" s="1433" t="s">
        <v>3887</v>
      </c>
      <c r="O10" s="1433" t="s">
        <v>3890</v>
      </c>
      <c r="P10" s="1435" t="s">
        <v>3892</v>
      </c>
      <c r="Q10" s="1435" t="s">
        <v>3891</v>
      </c>
      <c r="R10" s="1433" t="s">
        <v>3887</v>
      </c>
      <c r="S10" s="1433" t="s">
        <v>3890</v>
      </c>
      <c r="T10" s="1434" t="s">
        <v>3889</v>
      </c>
      <c r="U10" s="1434" t="s">
        <v>3888</v>
      </c>
      <c r="V10" s="1433" t="s">
        <v>3887</v>
      </c>
    </row>
    <row r="11" spans="1:22">
      <c r="B11" s="50"/>
      <c r="C11" s="1419">
        <v>39263</v>
      </c>
      <c r="D11" s="1418">
        <v>38145256.069999993</v>
      </c>
      <c r="E11" s="1418"/>
      <c r="F11" s="1431"/>
      <c r="G11" s="1419">
        <v>39263</v>
      </c>
      <c r="H11" s="1429">
        <v>4396972</v>
      </c>
      <c r="I11" s="1429"/>
      <c r="J11" s="1431"/>
      <c r="K11" s="1419">
        <v>39263</v>
      </c>
      <c r="L11" s="1418">
        <v>1340403</v>
      </c>
      <c r="M11" s="1418"/>
      <c r="N11" s="1431"/>
      <c r="O11" s="1419">
        <v>39263</v>
      </c>
      <c r="P11" s="1418">
        <v>950627</v>
      </c>
      <c r="Q11" s="1418"/>
      <c r="R11" s="1430"/>
      <c r="S11" s="1419">
        <v>39263</v>
      </c>
      <c r="T11" s="1428">
        <v>44833258.069999993</v>
      </c>
      <c r="U11" s="1428"/>
      <c r="V11" s="50"/>
    </row>
    <row r="12" spans="1:22">
      <c r="B12" s="50"/>
      <c r="C12" s="1419">
        <v>39629</v>
      </c>
      <c r="D12" s="1418">
        <v>40615330.829999998</v>
      </c>
      <c r="E12" s="1418"/>
      <c r="F12" s="1417">
        <v>6.4754441691705911E-2</v>
      </c>
      <c r="G12" s="1419">
        <v>39629</v>
      </c>
      <c r="H12" s="1429">
        <v>4378039</v>
      </c>
      <c r="I12" s="1429"/>
      <c r="J12" s="1417">
        <f t="shared" ref="J12:J21" si="0">+(H12-H11)/H11</f>
        <v>-4.3059177997949501E-3</v>
      </c>
      <c r="K12" s="1419">
        <v>39629</v>
      </c>
      <c r="L12" s="1418">
        <v>1337567</v>
      </c>
      <c r="M12" s="1418"/>
      <c r="N12" s="1417">
        <f t="shared" ref="N12:N21" si="1">+(L12-L11)/L11</f>
        <v>-2.1157815970271627E-3</v>
      </c>
      <c r="O12" s="1419">
        <v>39629</v>
      </c>
      <c r="P12" s="1418">
        <v>970224</v>
      </c>
      <c r="Q12" s="1418"/>
      <c r="R12" s="1417">
        <f t="shared" ref="R12:R21" si="2">+(P12-P11)/P11</f>
        <v>2.0614815274550377E-2</v>
      </c>
      <c r="S12" s="1419">
        <v>39629</v>
      </c>
      <c r="T12" s="1428">
        <v>47301160.829999998</v>
      </c>
      <c r="U12" s="1428"/>
      <c r="V12" s="1417">
        <f t="shared" ref="V12:V21" si="3">+(T12-T11)/T11</f>
        <v>5.5046250623739371E-2</v>
      </c>
    </row>
    <row r="13" spans="1:22">
      <c r="B13" s="50"/>
      <c r="C13" s="1419">
        <v>39994</v>
      </c>
      <c r="D13" s="1418">
        <v>38387507</v>
      </c>
      <c r="E13" s="1418"/>
      <c r="F13" s="1417">
        <v>-5.4851795725234978E-2</v>
      </c>
      <c r="G13" s="1419">
        <v>39994</v>
      </c>
      <c r="H13" s="1418">
        <v>4049914</v>
      </c>
      <c r="I13" s="1418"/>
      <c r="J13" s="1417">
        <f t="shared" si="0"/>
        <v>-7.4947939020186885E-2</v>
      </c>
      <c r="K13" s="1419">
        <v>39994</v>
      </c>
      <c r="L13" s="1418">
        <v>1218882</v>
      </c>
      <c r="M13" s="1418"/>
      <c r="N13" s="1417">
        <f t="shared" si="1"/>
        <v>-8.8732003705234958E-2</v>
      </c>
      <c r="O13" s="1419">
        <v>39994</v>
      </c>
      <c r="P13" s="1427">
        <v>882408</v>
      </c>
      <c r="Q13" s="1427"/>
      <c r="R13" s="1417">
        <f t="shared" si="2"/>
        <v>-9.0511057240389853E-2</v>
      </c>
      <c r="S13" s="1419">
        <v>39994</v>
      </c>
      <c r="T13" s="1427">
        <v>44538711</v>
      </c>
      <c r="U13" s="1427"/>
      <c r="V13" s="1417">
        <f t="shared" si="3"/>
        <v>-5.8401311543457068E-2</v>
      </c>
    </row>
    <row r="14" spans="1:22">
      <c r="B14" s="50"/>
      <c r="C14" s="1419">
        <v>40359</v>
      </c>
      <c r="D14" s="1418">
        <v>36569299</v>
      </c>
      <c r="E14" s="1418"/>
      <c r="F14" s="1417">
        <v>-4.7364576188810591E-2</v>
      </c>
      <c r="G14" s="1419">
        <v>40359</v>
      </c>
      <c r="H14" s="1418">
        <v>3993791</v>
      </c>
      <c r="I14" s="1418"/>
      <c r="J14" s="1417">
        <f t="shared" si="0"/>
        <v>-1.3857825129126198E-2</v>
      </c>
      <c r="K14" s="1419">
        <v>40359</v>
      </c>
      <c r="L14" s="1418">
        <v>1215099</v>
      </c>
      <c r="M14" s="1418"/>
      <c r="N14" s="1417">
        <f t="shared" si="1"/>
        <v>-3.1036638493307802E-3</v>
      </c>
      <c r="O14" s="1419">
        <v>40359</v>
      </c>
      <c r="P14" s="1418">
        <v>847022</v>
      </c>
      <c r="Q14" s="1418"/>
      <c r="R14" s="1417">
        <f t="shared" si="2"/>
        <v>-4.0101630991559459E-2</v>
      </c>
      <c r="S14" s="1419">
        <v>40359</v>
      </c>
      <c r="T14" s="1418">
        <v>42625211</v>
      </c>
      <c r="U14" s="1418"/>
      <c r="V14" s="1417">
        <f t="shared" si="3"/>
        <v>-4.296262637686124E-2</v>
      </c>
    </row>
    <row r="15" spans="1:22">
      <c r="B15" s="50"/>
      <c r="C15" s="1419">
        <v>40724</v>
      </c>
      <c r="D15" s="1418">
        <v>38320211.5</v>
      </c>
      <c r="E15" s="1418"/>
      <c r="F15" s="1417">
        <v>4.7879301706056768E-2</v>
      </c>
      <c r="G15" s="1419">
        <v>40724</v>
      </c>
      <c r="H15" s="1418">
        <v>4143563</v>
      </c>
      <c r="I15" s="1418"/>
      <c r="J15" s="1417">
        <f t="shared" si="0"/>
        <v>3.7501211255170842E-2</v>
      </c>
      <c r="K15" s="1419">
        <v>40724</v>
      </c>
      <c r="L15" s="1418">
        <v>1252946</v>
      </c>
      <c r="M15" s="1418"/>
      <c r="N15" s="1417">
        <f t="shared" si="1"/>
        <v>3.1147256314094571E-2</v>
      </c>
      <c r="O15" s="1419">
        <v>40724</v>
      </c>
      <c r="P15" s="1418">
        <v>849505</v>
      </c>
      <c r="Q15" s="1418"/>
      <c r="R15" s="1417">
        <f t="shared" si="2"/>
        <v>2.9314468809546858E-3</v>
      </c>
      <c r="S15" s="1419">
        <v>40724</v>
      </c>
      <c r="T15" s="1418">
        <v>44566225.5</v>
      </c>
      <c r="U15" s="1418"/>
      <c r="V15" s="1417">
        <f t="shared" si="3"/>
        <v>4.5536771653752049E-2</v>
      </c>
    </row>
    <row r="16" spans="1:22">
      <c r="B16" s="50"/>
      <c r="C16" s="1419">
        <v>41090</v>
      </c>
      <c r="D16" s="1418">
        <v>38384666</v>
      </c>
      <c r="E16" s="1418"/>
      <c r="F16" s="1417">
        <v>1.6819975015012639E-3</v>
      </c>
      <c r="G16" s="1419">
        <v>41090</v>
      </c>
      <c r="H16" s="1418">
        <v>4173042</v>
      </c>
      <c r="I16" s="1418"/>
      <c r="J16" s="1417">
        <f t="shared" si="0"/>
        <v>7.1144085416343372E-3</v>
      </c>
      <c r="K16" s="1419">
        <v>41090</v>
      </c>
      <c r="L16" s="1418">
        <v>1228161</v>
      </c>
      <c r="M16" s="1418"/>
      <c r="N16" s="1417">
        <f t="shared" si="1"/>
        <v>-1.9781379245394453E-2</v>
      </c>
      <c r="O16" s="1419">
        <v>41090</v>
      </c>
      <c r="P16" s="1418">
        <v>944730</v>
      </c>
      <c r="Q16" s="1418"/>
      <c r="R16" s="1417">
        <f t="shared" si="2"/>
        <v>0.11209469043737236</v>
      </c>
      <c r="S16" s="1419">
        <v>41090</v>
      </c>
      <c r="T16" s="1418">
        <v>44730599</v>
      </c>
      <c r="U16" s="1418"/>
      <c r="V16" s="1417">
        <f t="shared" si="3"/>
        <v>3.6882975427210006E-3</v>
      </c>
    </row>
    <row r="17" spans="1:22">
      <c r="B17" s="50"/>
      <c r="C17" s="1419">
        <v>41455</v>
      </c>
      <c r="D17" s="1418">
        <v>39917682</v>
      </c>
      <c r="E17" s="1418"/>
      <c r="F17" s="1417">
        <v>3.9938239921118501E-2</v>
      </c>
      <c r="G17" s="1419">
        <v>41455</v>
      </c>
      <c r="H17" s="1418">
        <v>4227165</v>
      </c>
      <c r="I17" s="1418"/>
      <c r="J17" s="1417">
        <f t="shared" si="0"/>
        <v>1.2969675359126508E-2</v>
      </c>
      <c r="K17" s="1419">
        <v>41455</v>
      </c>
      <c r="L17" s="1418">
        <v>1284368</v>
      </c>
      <c r="M17" s="1418"/>
      <c r="N17" s="1417">
        <f t="shared" si="1"/>
        <v>4.5765172481458047E-2</v>
      </c>
      <c r="O17" s="1419">
        <v>41455</v>
      </c>
      <c r="P17" s="1418">
        <v>959116</v>
      </c>
      <c r="Q17" s="1418"/>
      <c r="R17" s="1417">
        <f t="shared" si="2"/>
        <v>1.5227631175044722E-2</v>
      </c>
      <c r="S17" s="1419">
        <v>41455</v>
      </c>
      <c r="T17" s="1418">
        <v>46388331</v>
      </c>
      <c r="U17" s="1418"/>
      <c r="V17" s="1417">
        <f t="shared" si="3"/>
        <v>3.7060357720673495E-2</v>
      </c>
    </row>
    <row r="18" spans="1:22">
      <c r="B18" s="50"/>
      <c r="C18" s="1419">
        <v>41820</v>
      </c>
      <c r="D18" s="1418">
        <v>41355634</v>
      </c>
      <c r="E18" s="1418"/>
      <c r="F18" s="1417">
        <v>3.6022933395781852E-2</v>
      </c>
      <c r="G18" s="1419">
        <v>41820</v>
      </c>
      <c r="H18" s="1418">
        <v>4320158</v>
      </c>
      <c r="I18" s="1418"/>
      <c r="J18" s="1417">
        <f t="shared" si="0"/>
        <v>2.1998904703270396E-2</v>
      </c>
      <c r="K18" s="1419">
        <v>41820</v>
      </c>
      <c r="L18" s="1418">
        <v>1142517</v>
      </c>
      <c r="M18" s="1418"/>
      <c r="N18" s="1417">
        <f t="shared" si="1"/>
        <v>-0.11044420290757789</v>
      </c>
      <c r="O18" s="1419">
        <v>41820</v>
      </c>
      <c r="P18" s="1418">
        <v>999511</v>
      </c>
      <c r="Q18" s="1418"/>
      <c r="R18" s="1417">
        <f t="shared" si="2"/>
        <v>4.2116907652463308E-2</v>
      </c>
      <c r="S18" s="1419">
        <v>41820</v>
      </c>
      <c r="T18" s="1426">
        <v>47817820</v>
      </c>
      <c r="U18" s="1426"/>
      <c r="V18" s="1417">
        <f t="shared" si="3"/>
        <v>3.0815702336865709E-2</v>
      </c>
    </row>
    <row r="19" spans="1:22">
      <c r="B19" s="50"/>
      <c r="C19" s="1419">
        <v>42185</v>
      </c>
      <c r="D19" s="1425">
        <v>42373257</v>
      </c>
      <c r="E19" s="1425"/>
      <c r="F19" s="1417">
        <v>2.460663521686066E-2</v>
      </c>
      <c r="G19" s="1419">
        <v>42185</v>
      </c>
      <c r="H19" s="1418">
        <v>4539388</v>
      </c>
      <c r="I19" s="1418"/>
      <c r="J19" s="1417">
        <f t="shared" si="0"/>
        <v>5.0745829203468949E-2</v>
      </c>
      <c r="K19" s="1419">
        <v>42185</v>
      </c>
      <c r="L19" s="1418">
        <v>1216624</v>
      </c>
      <c r="M19" s="1418"/>
      <c r="N19" s="1417">
        <f t="shared" si="1"/>
        <v>6.4862929829490504E-2</v>
      </c>
      <c r="O19" s="1419">
        <v>42185</v>
      </c>
      <c r="P19" s="1418">
        <v>1035925</v>
      </c>
      <c r="Q19" s="1418"/>
      <c r="R19" s="1417">
        <f t="shared" si="2"/>
        <v>3.6431815157612076E-2</v>
      </c>
      <c r="S19" s="1419">
        <v>42185</v>
      </c>
      <c r="T19" s="1424">
        <v>49165194</v>
      </c>
      <c r="U19" s="1424"/>
      <c r="V19" s="1417">
        <f t="shared" si="3"/>
        <v>2.8177236017869488E-2</v>
      </c>
    </row>
    <row r="20" spans="1:22">
      <c r="B20" s="50"/>
      <c r="C20" s="1419">
        <v>42551</v>
      </c>
      <c r="D20" s="1425">
        <v>46242952</v>
      </c>
      <c r="E20" s="1425"/>
      <c r="F20" s="1417">
        <v>9.1323992394542627E-2</v>
      </c>
      <c r="G20" s="1419">
        <v>42551</v>
      </c>
      <c r="H20" s="1425">
        <v>4575331</v>
      </c>
      <c r="I20" s="1425"/>
      <c r="J20" s="1417">
        <f t="shared" si="0"/>
        <v>7.9180277165115647E-3</v>
      </c>
      <c r="K20" s="1419">
        <v>42551</v>
      </c>
      <c r="L20" s="1418">
        <v>1351562</v>
      </c>
      <c r="M20" s="1418"/>
      <c r="N20" s="1417">
        <f t="shared" si="1"/>
        <v>0.11091183471639553</v>
      </c>
      <c r="O20" s="1419">
        <v>42551</v>
      </c>
      <c r="P20" s="1418">
        <v>1172090</v>
      </c>
      <c r="Q20" s="1418"/>
      <c r="R20" s="1417">
        <f t="shared" si="2"/>
        <v>0.13144291333832084</v>
      </c>
      <c r="S20" s="1419">
        <v>42551</v>
      </c>
      <c r="T20" s="1424">
        <v>53341935</v>
      </c>
      <c r="U20" s="1424"/>
      <c r="V20" s="1417">
        <f t="shared" si="3"/>
        <v>8.4953208971371083E-2</v>
      </c>
    </row>
    <row r="21" spans="1:22">
      <c r="B21" s="50"/>
      <c r="C21" s="1419">
        <v>42916</v>
      </c>
      <c r="D21" s="1418">
        <v>50786766</v>
      </c>
      <c r="E21" s="1418">
        <f>+D21</f>
        <v>50786766</v>
      </c>
      <c r="F21" s="1417">
        <f>+(D21-D20)/D20</f>
        <v>9.8259600727912011E-2</v>
      </c>
      <c r="G21" s="1419">
        <v>42916</v>
      </c>
      <c r="H21" s="1418">
        <v>5283833</v>
      </c>
      <c r="I21" s="1418">
        <f>+H21</f>
        <v>5283833</v>
      </c>
      <c r="J21" s="1417">
        <f t="shared" si="0"/>
        <v>0.15485262159174931</v>
      </c>
      <c r="K21" s="1419">
        <v>42916</v>
      </c>
      <c r="L21" s="1418">
        <v>1471180</v>
      </c>
      <c r="M21" s="1418">
        <f>+L21</f>
        <v>1471180</v>
      </c>
      <c r="N21" s="1417">
        <f t="shared" si="1"/>
        <v>8.8503524070667861E-2</v>
      </c>
      <c r="O21" s="1419">
        <v>42916</v>
      </c>
      <c r="P21" s="1424">
        <v>1279546</v>
      </c>
      <c r="Q21" s="1418">
        <f>+P21</f>
        <v>1279546</v>
      </c>
      <c r="R21" s="1417">
        <f t="shared" si="2"/>
        <v>9.1678966632255207E-2</v>
      </c>
      <c r="S21" s="1419">
        <v>42916</v>
      </c>
      <c r="T21" s="1424">
        <v>58821325</v>
      </c>
      <c r="U21" s="1418">
        <f>+T21</f>
        <v>58821325</v>
      </c>
      <c r="V21" s="1417">
        <f t="shared" si="3"/>
        <v>0.10272199536818452</v>
      </c>
    </row>
    <row r="22" spans="1:22">
      <c r="A22" s="41" t="s">
        <v>3886</v>
      </c>
      <c r="B22" s="50">
        <v>1</v>
      </c>
      <c r="C22" s="1419">
        <v>43281</v>
      </c>
      <c r="D22" s="1418"/>
      <c r="E22" s="1418">
        <f t="shared" ref="E22:E34" si="4">+E21*(1+F22)</f>
        <v>53733936.268097244</v>
      </c>
      <c r="F22" s="1417">
        <f>AVERAGE(F17:F21)</f>
        <v>5.8030280331243134E-2</v>
      </c>
      <c r="G22" s="1419">
        <v>43281</v>
      </c>
      <c r="H22" s="1418"/>
      <c r="I22" s="1418">
        <f t="shared" ref="I22:I34" si="5">+I21*(1+J22)</f>
        <v>5546423.7105001817</v>
      </c>
      <c r="J22" s="1417">
        <f>AVERAGE(J17:J21)</f>
        <v>4.9697011714825344E-2</v>
      </c>
      <c r="K22" s="1419">
        <v>43281</v>
      </c>
      <c r="L22" s="1418"/>
      <c r="M22" s="1418">
        <f t="shared" ref="M22:M34" si="6">+M21*(1+N22)</f>
        <v>1529909.2873329206</v>
      </c>
      <c r="N22" s="1417">
        <f>AVERAGE(N17:N21)</f>
        <v>3.9919851638086812E-2</v>
      </c>
      <c r="O22" s="1419">
        <v>43281</v>
      </c>
      <c r="P22" s="1418"/>
      <c r="Q22" s="1418">
        <f t="shared" ref="Q22:Q34" si="7">+Q21*(1+R22)</f>
        <v>1360643.173533015</v>
      </c>
      <c r="R22" s="1417">
        <f>AVERAGE(R17:R21)</f>
        <v>6.3379646791139235E-2</v>
      </c>
      <c r="S22" s="1419">
        <v>43281</v>
      </c>
      <c r="T22" s="1418"/>
      <c r="U22" s="1418">
        <f t="shared" ref="U22:U34" si="8">+U21*(1+V22)</f>
        <v>62159182.266934253</v>
      </c>
      <c r="V22" s="1417">
        <f>AVERAGE(V17:V21)</f>
        <v>5.6745700082992866E-2</v>
      </c>
    </row>
    <row r="23" spans="1:22">
      <c r="B23" s="50">
        <v>2</v>
      </c>
      <c r="C23" s="1419">
        <v>43646</v>
      </c>
      <c r="D23" s="50"/>
      <c r="E23" s="1418">
        <f t="shared" si="4"/>
        <v>55321917.066960305</v>
      </c>
      <c r="F23" s="1417">
        <f t="shared" ref="F23:F34" si="9">AVERAGE(F13:F22)</f>
        <v>2.9552660928097125E-2</v>
      </c>
      <c r="G23" s="1419">
        <v>43646</v>
      </c>
      <c r="H23" s="1418"/>
      <c r="I23" s="1418">
        <f t="shared" si="5"/>
        <v>5687298.3945291312</v>
      </c>
      <c r="J23" s="1417">
        <f t="shared" ref="J23:J34" si="10">AVERAGE(J13:J22)</f>
        <v>2.5399192593644416E-2</v>
      </c>
      <c r="K23" s="1419">
        <v>43646</v>
      </c>
      <c r="L23" s="1418"/>
      <c r="M23" s="1418">
        <f t="shared" si="6"/>
        <v>1554242.3904135514</v>
      </c>
      <c r="N23" s="1417">
        <f t="shared" ref="N23:N34" si="11">AVERAGE(N13:N22)</f>
        <v>1.5904931934265523E-2</v>
      </c>
      <c r="O23" s="1419">
        <v>43646</v>
      </c>
      <c r="P23" s="1418"/>
      <c r="Q23" s="1418">
        <f t="shared" si="7"/>
        <v>1410264.6503714388</v>
      </c>
      <c r="R23" s="1417">
        <f t="shared" ref="R23:R34" si="12">AVERAGE(R13:R22)</f>
        <v>3.6469132983321308E-2</v>
      </c>
      <c r="S23" s="1419">
        <v>43646</v>
      </c>
      <c r="T23" s="1418"/>
      <c r="U23" s="1418">
        <f t="shared" si="8"/>
        <v>63951451.111108653</v>
      </c>
      <c r="V23" s="1417">
        <f t="shared" ref="V23:V34" si="13">AVERAGE(V13:V22)</f>
        <v>2.8833533177411191E-2</v>
      </c>
    </row>
    <row r="24" spans="1:22" s="1" customFormat="1">
      <c r="A24" s="1423">
        <v>0.5</v>
      </c>
      <c r="B24" s="1422">
        <v>3</v>
      </c>
      <c r="C24" s="1421">
        <v>44012</v>
      </c>
      <c r="D24" s="1422"/>
      <c r="E24" s="1420">
        <f t="shared" si="4"/>
        <v>57423768.559038237</v>
      </c>
      <c r="F24" s="1417">
        <f t="shared" si="9"/>
        <v>3.7993106593430331E-2</v>
      </c>
      <c r="G24" s="1421">
        <v>44012</v>
      </c>
      <c r="H24" s="1420"/>
      <c r="I24" s="1420">
        <f t="shared" si="5"/>
        <v>5888821.5898415959</v>
      </c>
      <c r="J24" s="1417">
        <f t="shared" si="10"/>
        <v>3.5433905755027542E-2</v>
      </c>
      <c r="K24" s="1421">
        <v>44012</v>
      </c>
      <c r="L24" s="1420"/>
      <c r="M24" s="1420">
        <f t="shared" si="6"/>
        <v>1595225.6259398176</v>
      </c>
      <c r="N24" s="1417">
        <f t="shared" si="11"/>
        <v>2.6368625498215569E-2</v>
      </c>
      <c r="O24" s="1421">
        <v>44012</v>
      </c>
      <c r="P24" s="1420"/>
      <c r="Q24" s="1420">
        <f t="shared" si="7"/>
        <v>1479603.3468045061</v>
      </c>
      <c r="R24" s="1417">
        <f t="shared" si="12"/>
        <v>4.9167152005692424E-2</v>
      </c>
      <c r="S24" s="1421">
        <v>44012</v>
      </c>
      <c r="T24" s="1420"/>
      <c r="U24" s="1420">
        <f t="shared" si="8"/>
        <v>66353276.889199562</v>
      </c>
      <c r="V24" s="1417">
        <f t="shared" si="13"/>
        <v>3.7557017649498016E-2</v>
      </c>
    </row>
    <row r="25" spans="1:22">
      <c r="B25" s="50">
        <v>4</v>
      </c>
      <c r="C25" s="1419">
        <v>44377</v>
      </c>
      <c r="D25" s="50"/>
      <c r="E25" s="1418">
        <f t="shared" si="4"/>
        <v>60095631.900980569</v>
      </c>
      <c r="F25" s="1417">
        <f t="shared" si="9"/>
        <v>4.6528874871654427E-2</v>
      </c>
      <c r="G25" s="1419">
        <v>44377</v>
      </c>
      <c r="H25" s="1418"/>
      <c r="I25" s="1418">
        <f t="shared" si="5"/>
        <v>6126512.55996734</v>
      </c>
      <c r="J25" s="1417">
        <f t="shared" si="10"/>
        <v>4.0363078843442916E-2</v>
      </c>
      <c r="K25" s="1419">
        <v>44377</v>
      </c>
      <c r="L25" s="1418"/>
      <c r="M25" s="1418">
        <f t="shared" si="6"/>
        <v>1641991.0281776129</v>
      </c>
      <c r="N25" s="1417">
        <f t="shared" si="11"/>
        <v>2.93158544329702E-2</v>
      </c>
      <c r="O25" s="1419">
        <v>44377</v>
      </c>
      <c r="P25" s="1418"/>
      <c r="Q25" s="1418">
        <f t="shared" si="7"/>
        <v>1565559.4684737644</v>
      </c>
      <c r="R25" s="1417">
        <f t="shared" si="12"/>
        <v>5.809403030541762E-2</v>
      </c>
      <c r="S25" s="1419">
        <v>44377</v>
      </c>
      <c r="T25" s="1418"/>
      <c r="U25" s="1418">
        <f t="shared" si="8"/>
        <v>69379582.303939342</v>
      </c>
      <c r="V25" s="1417">
        <f t="shared" si="13"/>
        <v>4.5608982052133942E-2</v>
      </c>
    </row>
    <row r="26" spans="1:22">
      <c r="B26" s="50">
        <v>5</v>
      </c>
      <c r="C26" s="1419">
        <v>44742</v>
      </c>
      <c r="D26" s="50"/>
      <c r="E26" s="1418">
        <f t="shared" si="4"/>
        <v>62883698.562639356</v>
      </c>
      <c r="F26" s="1417">
        <f t="shared" si="9"/>
        <v>4.6393832188214183E-2</v>
      </c>
      <c r="G26" s="1419">
        <v>44742</v>
      </c>
      <c r="H26" s="1418"/>
      <c r="I26" s="1418">
        <f t="shared" si="5"/>
        <v>6375550.7962330962</v>
      </c>
      <c r="J26" s="1417">
        <f t="shared" si="10"/>
        <v>4.0649265602270127E-2</v>
      </c>
      <c r="K26" s="1419">
        <v>44742</v>
      </c>
      <c r="L26" s="1418"/>
      <c r="M26" s="1418">
        <f t="shared" si="6"/>
        <v>1689826.6835941316</v>
      </c>
      <c r="N26" s="1417">
        <f t="shared" si="11"/>
        <v>2.9132714244857767E-2</v>
      </c>
      <c r="O26" s="1419">
        <v>44742</v>
      </c>
      <c r="P26" s="1418"/>
      <c r="Q26" s="1418">
        <f t="shared" si="7"/>
        <v>1665145.158158777</v>
      </c>
      <c r="R26" s="1417">
        <f t="shared" si="12"/>
        <v>6.3610288647863916E-2</v>
      </c>
      <c r="S26" s="1419">
        <v>44742</v>
      </c>
      <c r="T26" s="1418"/>
      <c r="U26" s="1418">
        <f t="shared" si="8"/>
        <v>72544415.420752048</v>
      </c>
      <c r="V26" s="1417">
        <f t="shared" si="13"/>
        <v>4.5616203091972132E-2</v>
      </c>
    </row>
    <row r="27" spans="1:22">
      <c r="B27" s="50">
        <v>6</v>
      </c>
      <c r="C27" s="1419">
        <v>45107</v>
      </c>
      <c r="D27" s="50"/>
      <c r="E27" s="1418">
        <f t="shared" si="4"/>
        <v>66082278.874590874</v>
      </c>
      <c r="F27" s="1417">
        <f t="shared" si="9"/>
        <v>5.0865015656885483E-2</v>
      </c>
      <c r="G27" s="1419">
        <v>45107</v>
      </c>
      <c r="H27" s="1418"/>
      <c r="I27" s="1418">
        <f t="shared" si="5"/>
        <v>6656092.5723733893</v>
      </c>
      <c r="J27" s="1417">
        <f t="shared" si="10"/>
        <v>4.4002751308333705E-2</v>
      </c>
      <c r="K27" s="1419">
        <v>45107</v>
      </c>
      <c r="L27" s="1418"/>
      <c r="M27" s="1418">
        <f t="shared" si="6"/>
        <v>1747321.5555289797</v>
      </c>
      <c r="N27" s="1417">
        <f t="shared" si="11"/>
        <v>3.4024123593882988E-2</v>
      </c>
      <c r="O27" s="1419">
        <v>45107</v>
      </c>
      <c r="P27" s="1418"/>
      <c r="Q27" s="1418">
        <f t="shared" si="7"/>
        <v>1762992.1656212471</v>
      </c>
      <c r="R27" s="1417">
        <f t="shared" si="12"/>
        <v>5.8761848468913067E-2</v>
      </c>
      <c r="S27" s="1419">
        <v>45107</v>
      </c>
      <c r="T27" s="1418"/>
      <c r="U27" s="1418">
        <f t="shared" si="8"/>
        <v>76157779.74756217</v>
      </c>
      <c r="V27" s="1417">
        <f t="shared" si="13"/>
        <v>4.9808993646897247E-2</v>
      </c>
    </row>
    <row r="28" spans="1:22">
      <c r="B28" s="50">
        <v>7</v>
      </c>
      <c r="C28" s="1419">
        <v>45473</v>
      </c>
      <c r="D28" s="50"/>
      <c r="E28" s="1418">
        <f t="shared" si="4"/>
        <v>69515761.648326725</v>
      </c>
      <c r="F28" s="1417">
        <f t="shared" si="9"/>
        <v>5.195769323046219E-2</v>
      </c>
      <c r="G28" s="1419">
        <v>45473</v>
      </c>
      <c r="H28" s="1418"/>
      <c r="I28" s="1418">
        <f t="shared" si="5"/>
        <v>6969634.8611531239</v>
      </c>
      <c r="J28" s="1417">
        <f t="shared" si="10"/>
        <v>4.7106058903254422E-2</v>
      </c>
      <c r="K28" s="1419">
        <v>45473</v>
      </c>
      <c r="L28" s="1418"/>
      <c r="M28" s="1418">
        <f t="shared" si="6"/>
        <v>1804721.1013119756</v>
      </c>
      <c r="N28" s="1417">
        <f t="shared" si="11"/>
        <v>3.2850018705125481E-2</v>
      </c>
      <c r="O28" s="1419">
        <v>45473</v>
      </c>
      <c r="P28" s="1418"/>
      <c r="Q28" s="1418">
        <f t="shared" si="7"/>
        <v>1874263.8925119182</v>
      </c>
      <c r="R28" s="1417">
        <f t="shared" si="12"/>
        <v>6.3115270198299905E-2</v>
      </c>
      <c r="S28" s="1419">
        <v>45473</v>
      </c>
      <c r="T28" s="1418"/>
      <c r="U28" s="1418">
        <f t="shared" si="8"/>
        <v>80048212.895865411</v>
      </c>
      <c r="V28" s="1417">
        <f t="shared" si="13"/>
        <v>5.1083857239519623E-2</v>
      </c>
    </row>
    <row r="29" spans="1:22">
      <c r="B29" s="50">
        <v>8</v>
      </c>
      <c r="C29" s="1419">
        <v>45838</v>
      </c>
      <c r="D29" s="50"/>
      <c r="E29" s="1418">
        <f t="shared" si="4"/>
        <v>73238411.963391498</v>
      </c>
      <c r="F29" s="1417">
        <f t="shared" si="9"/>
        <v>5.3551169213930216E-2</v>
      </c>
      <c r="G29" s="1419">
        <v>45838</v>
      </c>
      <c r="H29" s="1418"/>
      <c r="I29" s="1418">
        <f t="shared" si="5"/>
        <v>7315445.6611744333</v>
      </c>
      <c r="J29" s="1417">
        <f t="shared" si="10"/>
        <v>4.961677432325283E-2</v>
      </c>
      <c r="K29" s="1419">
        <v>45838</v>
      </c>
      <c r="L29" s="1418"/>
      <c r="M29" s="1418">
        <f t="shared" si="6"/>
        <v>1889866.8337916608</v>
      </c>
      <c r="N29" s="1417">
        <f t="shared" si="11"/>
        <v>4.7179440866395819E-2</v>
      </c>
      <c r="O29" s="1419">
        <v>45838</v>
      </c>
      <c r="P29" s="1418"/>
      <c r="Q29" s="1418">
        <f t="shared" si="7"/>
        <v>1996494.211782879</v>
      </c>
      <c r="R29" s="1417">
        <f t="shared" si="12"/>
        <v>6.5215106452883559E-2</v>
      </c>
      <c r="S29" s="1419">
        <v>45838</v>
      </c>
      <c r="T29" s="1418"/>
      <c r="U29" s="1418">
        <f t="shared" si="8"/>
        <v>84299627.333581865</v>
      </c>
      <c r="V29" s="1417">
        <f t="shared" si="13"/>
        <v>5.3110672729785015E-2</v>
      </c>
    </row>
    <row r="30" spans="1:22">
      <c r="B30" s="50">
        <v>9</v>
      </c>
      <c r="C30" s="1419">
        <v>46203</v>
      </c>
      <c r="D30" s="50"/>
      <c r="E30" s="1418">
        <f t="shared" si="4"/>
        <v>77372399.72589919</v>
      </c>
      <c r="F30" s="1417">
        <f t="shared" si="9"/>
        <v>5.644562261363717E-2</v>
      </c>
      <c r="G30" s="1419">
        <v>46203</v>
      </c>
      <c r="H30" s="1418"/>
      <c r="I30" s="1418">
        <f t="shared" si="5"/>
        <v>7677588.5236564735</v>
      </c>
      <c r="J30" s="1417">
        <f t="shared" si="10"/>
        <v>4.9503868835231217E-2</v>
      </c>
      <c r="K30" s="1419">
        <v>46203</v>
      </c>
      <c r="L30" s="1418"/>
      <c r="M30" s="1418">
        <f t="shared" si="6"/>
        <v>1975687.7503921897</v>
      </c>
      <c r="N30" s="1417">
        <f t="shared" si="11"/>
        <v>4.5411091970086345E-2</v>
      </c>
      <c r="O30" s="1419">
        <v>46203</v>
      </c>
      <c r="P30" s="1418"/>
      <c r="Q30" s="1418">
        <f t="shared" si="7"/>
        <v>2132442.3617835725</v>
      </c>
      <c r="R30" s="1417">
        <f t="shared" si="12"/>
        <v>6.8093435582410697E-2</v>
      </c>
      <c r="S30" s="1419">
        <v>46203</v>
      </c>
      <c r="T30" s="1418"/>
      <c r="U30" s="1418">
        <f t="shared" si="8"/>
        <v>88987025.194434568</v>
      </c>
      <c r="V30" s="1417">
        <f t="shared" si="13"/>
        <v>5.560401640097655E-2</v>
      </c>
    </row>
    <row r="31" spans="1:22">
      <c r="B31" s="50">
        <v>10</v>
      </c>
      <c r="C31" s="1419">
        <v>46568</v>
      </c>
      <c r="D31" s="50"/>
      <c r="E31" s="1418">
        <f t="shared" si="4"/>
        <v>81469870.684691176</v>
      </c>
      <c r="F31" s="1417">
        <f t="shared" si="9"/>
        <v>5.2957785635546629E-2</v>
      </c>
      <c r="G31" s="1419">
        <v>46568</v>
      </c>
      <c r="H31" s="1418"/>
      <c r="I31" s="1418">
        <f t="shared" si="5"/>
        <v>8089586.7565544089</v>
      </c>
      <c r="J31" s="1417">
        <f t="shared" si="10"/>
        <v>5.366245294710318E-2</v>
      </c>
      <c r="K31" s="1419">
        <v>46568</v>
      </c>
      <c r="L31" s="1418"/>
      <c r="M31" s="1418">
        <f t="shared" si="6"/>
        <v>2052464.9870208751</v>
      </c>
      <c r="N31" s="1417">
        <f t="shared" si="11"/>
        <v>3.8861017695455434E-2</v>
      </c>
      <c r="O31" s="1419">
        <v>46568</v>
      </c>
      <c r="P31" s="1418"/>
      <c r="Q31" s="1418">
        <f t="shared" si="7"/>
        <v>2264138.7773825289</v>
      </c>
      <c r="R31" s="1417">
        <f t="shared" si="12"/>
        <v>6.1758487806819681E-2</v>
      </c>
      <c r="S31" s="1419">
        <v>46568</v>
      </c>
      <c r="T31" s="1418"/>
      <c r="U31" s="1418">
        <f t="shared" si="8"/>
        <v>93673891.468950227</v>
      </c>
      <c r="V31" s="1417">
        <f t="shared" si="13"/>
        <v>5.2669097143937103E-2</v>
      </c>
    </row>
    <row r="32" spans="1:22">
      <c r="B32" s="50">
        <v>11</v>
      </c>
      <c r="C32" s="1419">
        <v>46934</v>
      </c>
      <c r="D32" s="50"/>
      <c r="E32" s="1418">
        <f t="shared" si="4"/>
        <v>85415261.330431074</v>
      </c>
      <c r="F32" s="1417">
        <f t="shared" si="9"/>
        <v>4.8427604126310093E-2</v>
      </c>
      <c r="G32" s="1419">
        <v>46934</v>
      </c>
      <c r="H32" s="1418"/>
      <c r="I32" s="1418">
        <f t="shared" si="5"/>
        <v>8441835.1604233943</v>
      </c>
      <c r="J32" s="1417">
        <f t="shared" si="10"/>
        <v>4.3543436082638574E-2</v>
      </c>
      <c r="K32" s="1419">
        <v>46934</v>
      </c>
      <c r="L32" s="1418"/>
      <c r="M32" s="1418">
        <f t="shared" si="6"/>
        <v>2122036.9145804876</v>
      </c>
      <c r="N32" s="1417">
        <f t="shared" si="11"/>
        <v>3.3896767057934193E-2</v>
      </c>
      <c r="O32" s="1419">
        <v>46934</v>
      </c>
      <c r="P32" s="1418"/>
      <c r="Q32" s="1418">
        <f t="shared" si="7"/>
        <v>2397194.1528238035</v>
      </c>
      <c r="R32" s="1417">
        <f t="shared" si="12"/>
        <v>5.8766439924276138E-2</v>
      </c>
      <c r="S32" s="1419">
        <v>46934</v>
      </c>
      <c r="T32" s="1418"/>
      <c r="U32" s="1418">
        <f t="shared" si="8"/>
        <v>98138745.782982528</v>
      </c>
      <c r="V32" s="1417">
        <f t="shared" si="13"/>
        <v>4.7663807321512368E-2</v>
      </c>
    </row>
    <row r="33" spans="1:22">
      <c r="B33" s="50">
        <v>12</v>
      </c>
      <c r="C33" s="1419">
        <v>47299</v>
      </c>
      <c r="D33" s="50"/>
      <c r="E33" s="1418">
        <f t="shared" si="4"/>
        <v>89469696.282734916</v>
      </c>
      <c r="F33" s="1417">
        <f t="shared" si="9"/>
        <v>4.746733650581679E-2</v>
      </c>
      <c r="G33" s="1419">
        <v>47299</v>
      </c>
      <c r="H33" s="1418"/>
      <c r="I33" s="1418">
        <f t="shared" si="5"/>
        <v>8804226.9230380505</v>
      </c>
      <c r="J33" s="1417">
        <f t="shared" si="10"/>
        <v>4.2928078519419891E-2</v>
      </c>
      <c r="K33" s="1419">
        <v>47299</v>
      </c>
      <c r="L33" s="1418"/>
      <c r="M33" s="1418">
        <f t="shared" si="6"/>
        <v>2192688.9847804871</v>
      </c>
      <c r="N33" s="1417">
        <f t="shared" si="11"/>
        <v>3.3294458599918933E-2</v>
      </c>
      <c r="O33" s="1419">
        <v>47299</v>
      </c>
      <c r="P33" s="1418"/>
      <c r="Q33" s="1418">
        <f t="shared" si="7"/>
        <v>2536962.8437398486</v>
      </c>
      <c r="R33" s="1417">
        <f t="shared" si="12"/>
        <v>5.8305119237589818E-2</v>
      </c>
      <c r="S33" s="1419">
        <v>47299</v>
      </c>
      <c r="T33" s="1418"/>
      <c r="U33" s="1418">
        <f t="shared" si="8"/>
        <v>102727283.49626277</v>
      </c>
      <c r="V33" s="1417">
        <f t="shared" si="13"/>
        <v>4.6755618045364322E-2</v>
      </c>
    </row>
    <row r="34" spans="1:22">
      <c r="A34" s="37">
        <v>0.7</v>
      </c>
      <c r="B34" s="50">
        <v>13</v>
      </c>
      <c r="C34" s="1419">
        <v>47664</v>
      </c>
      <c r="D34" s="50"/>
      <c r="E34" s="1418">
        <f t="shared" si="4"/>
        <v>93876866.521554962</v>
      </c>
      <c r="F34" s="1417">
        <f t="shared" si="9"/>
        <v>4.9258804063588749E-2</v>
      </c>
      <c r="G34" s="1419">
        <v>47664</v>
      </c>
      <c r="H34" s="50"/>
      <c r="I34" s="1418">
        <f t="shared" si="5"/>
        <v>9197608.2966328766</v>
      </c>
      <c r="J34" s="1417">
        <f t="shared" si="10"/>
        <v>4.4680967111997441E-2</v>
      </c>
      <c r="K34" s="1419">
        <v>47664</v>
      </c>
      <c r="L34" s="50"/>
      <c r="M34" s="1418">
        <f t="shared" si="6"/>
        <v>2269506.3597637918</v>
      </c>
      <c r="N34" s="1417">
        <f t="shared" si="11"/>
        <v>3.5033411266484273E-2</v>
      </c>
      <c r="O34" s="1419">
        <v>47664</v>
      </c>
      <c r="P34" s="50"/>
      <c r="Q34" s="1418">
        <f t="shared" si="7"/>
        <v>2690420.4734237846</v>
      </c>
      <c r="R34" s="1417">
        <f t="shared" si="12"/>
        <v>6.0488717863016683E-2</v>
      </c>
      <c r="S34" s="1419">
        <v>47664</v>
      </c>
      <c r="T34" s="50"/>
      <c r="U34" s="1418">
        <f t="shared" si="8"/>
        <v>107714469.83555934</v>
      </c>
      <c r="V34" s="1417">
        <f t="shared" si="13"/>
        <v>4.8547826532159631E-2</v>
      </c>
    </row>
    <row r="35" spans="1:22">
      <c r="C35" s="1416"/>
      <c r="G35" s="1416"/>
      <c r="K35" s="1416"/>
      <c r="O35" s="1416"/>
      <c r="S35" s="1416"/>
    </row>
    <row r="37" spans="1:22">
      <c r="I37" s="41">
        <v>2006</v>
      </c>
    </row>
    <row r="38" spans="1:22">
      <c r="I38" s="41">
        <f t="shared" ref="I38:I48" si="14">I39-1</f>
        <v>2007</v>
      </c>
      <c r="R38" s="38"/>
    </row>
    <row r="39" spans="1:22">
      <c r="I39" s="41">
        <f t="shared" si="14"/>
        <v>2008</v>
      </c>
    </row>
    <row r="40" spans="1:22">
      <c r="I40" s="41">
        <f t="shared" si="14"/>
        <v>2009</v>
      </c>
    </row>
    <row r="41" spans="1:22">
      <c r="I41" s="41">
        <f t="shared" si="14"/>
        <v>2010</v>
      </c>
    </row>
    <row r="42" spans="1:22">
      <c r="I42" s="41">
        <f t="shared" si="14"/>
        <v>2011</v>
      </c>
    </row>
    <row r="43" spans="1:22">
      <c r="I43" s="41">
        <f t="shared" si="14"/>
        <v>2012</v>
      </c>
    </row>
    <row r="44" spans="1:22">
      <c r="I44" s="41">
        <f t="shared" si="14"/>
        <v>2013</v>
      </c>
    </row>
    <row r="45" spans="1:22">
      <c r="I45" s="41">
        <f t="shared" si="14"/>
        <v>2014</v>
      </c>
    </row>
    <row r="46" spans="1:22">
      <c r="I46" s="41">
        <f t="shared" si="14"/>
        <v>2015</v>
      </c>
    </row>
    <row r="47" spans="1:22">
      <c r="I47" s="41">
        <f t="shared" si="14"/>
        <v>2016</v>
      </c>
    </row>
    <row r="48" spans="1:22">
      <c r="I48" s="41">
        <f t="shared" si="14"/>
        <v>2017</v>
      </c>
    </row>
    <row r="49" spans="9:9">
      <c r="I49" s="41">
        <v>2018</v>
      </c>
    </row>
    <row r="50" spans="9:9">
      <c r="I50" s="41">
        <f t="shared" ref="I50:I61" si="15">I49+1</f>
        <v>2019</v>
      </c>
    </row>
    <row r="51" spans="9:9">
      <c r="I51" s="41">
        <f t="shared" si="15"/>
        <v>2020</v>
      </c>
    </row>
    <row r="52" spans="9:9">
      <c r="I52" s="41">
        <f t="shared" si="15"/>
        <v>2021</v>
      </c>
    </row>
    <row r="53" spans="9:9">
      <c r="I53" s="41">
        <f t="shared" si="15"/>
        <v>2022</v>
      </c>
    </row>
    <row r="54" spans="9:9">
      <c r="I54" s="41">
        <f t="shared" si="15"/>
        <v>2023</v>
      </c>
    </row>
    <row r="55" spans="9:9">
      <c r="I55" s="41">
        <f t="shared" si="15"/>
        <v>2024</v>
      </c>
    </row>
    <row r="56" spans="9:9">
      <c r="I56" s="41">
        <f t="shared" si="15"/>
        <v>2025</v>
      </c>
    </row>
    <row r="57" spans="9:9">
      <c r="I57" s="41">
        <f t="shared" si="15"/>
        <v>2026</v>
      </c>
    </row>
    <row r="58" spans="9:9">
      <c r="I58" s="41">
        <f t="shared" si="15"/>
        <v>2027</v>
      </c>
    </row>
    <row r="59" spans="9:9">
      <c r="I59" s="41">
        <f t="shared" si="15"/>
        <v>2028</v>
      </c>
    </row>
    <row r="60" spans="9:9">
      <c r="I60" s="41">
        <f t="shared" si="15"/>
        <v>2029</v>
      </c>
    </row>
    <row r="61" spans="9:9">
      <c r="I61" s="41">
        <f t="shared" si="15"/>
        <v>2030</v>
      </c>
    </row>
    <row r="62" spans="9:9">
      <c r="I62" s="41">
        <v>2031</v>
      </c>
    </row>
  </sheetData>
  <pageMargins left="0.7" right="0.7" top="0.75" bottom="0.75" header="0.3" footer="0.3"/>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F8663-5EAB-43A2-9A28-D83226F7FA37}">
  <dimension ref="A1:E22"/>
  <sheetViews>
    <sheetView zoomScaleNormal="100" workbookViewId="0">
      <selection activeCell="B10" sqref="B10"/>
    </sheetView>
  </sheetViews>
  <sheetFormatPr baseColWidth="10" defaultColWidth="8.83203125" defaultRowHeight="15"/>
  <cols>
    <col min="2" max="2" width="21.6640625" customWidth="1"/>
    <col min="3" max="3" width="8.83203125" style="41"/>
    <col min="4" max="4" width="9.1640625" style="41"/>
    <col min="5" max="5" width="14.33203125" bestFit="1" customWidth="1"/>
  </cols>
  <sheetData>
    <row r="1" spans="1:5">
      <c r="A1" t="s">
        <v>3838</v>
      </c>
      <c r="B1" t="s">
        <v>3839</v>
      </c>
      <c r="C1" s="41" t="s">
        <v>3972</v>
      </c>
      <c r="D1" s="41" t="s">
        <v>3840</v>
      </c>
      <c r="E1" t="s">
        <v>3841</v>
      </c>
    </row>
    <row r="2" spans="1:5">
      <c r="A2" t="str">
        <f>'Sankey Consumption Data'!B102</f>
        <v>Renewables</v>
      </c>
      <c r="B2" s="41" t="str">
        <f>'Sankey Consumption Data'!C102</f>
        <v>Lighting</v>
      </c>
      <c r="C2" s="41" t="s">
        <v>243</v>
      </c>
      <c r="D2" s="41" t="str">
        <f>'Sankey Consumption Data'!D102</f>
        <v>Streetlights</v>
      </c>
      <c r="E2" s="41">
        <f>'Sankey Consumption Data'!E102</f>
        <v>110232.11823155914</v>
      </c>
    </row>
    <row r="3" spans="1:5">
      <c r="A3" s="41" t="str">
        <f>'Sankey Consumption Data'!B103</f>
        <v>Renewables</v>
      </c>
      <c r="B3" s="41" t="str">
        <f>'Sankey Consumption Data'!C103</f>
        <v>Space Cooling</v>
      </c>
      <c r="C3" s="41" t="s">
        <v>243</v>
      </c>
      <c r="D3" s="41" t="str">
        <f>'Sankey Consumption Data'!D103</f>
        <v>Residential</v>
      </c>
      <c r="E3" s="41">
        <f>'Sankey Consumption Data'!E103</f>
        <v>183239.74359615092</v>
      </c>
    </row>
    <row r="4" spans="1:5">
      <c r="A4" s="41" t="str">
        <f>'Sankey Consumption Data'!B104</f>
        <v>Renewables</v>
      </c>
      <c r="B4" s="41" t="str">
        <f>'Sankey Consumption Data'!C104</f>
        <v>Appliances</v>
      </c>
      <c r="C4" s="41" t="s">
        <v>243</v>
      </c>
      <c r="D4" s="41" t="str">
        <f>'Sankey Consumption Data'!D104</f>
        <v>Commercial</v>
      </c>
      <c r="E4" s="41">
        <f>'Sankey Consumption Data'!E104</f>
        <v>195386.35849248961</v>
      </c>
    </row>
    <row r="5" spans="1:5">
      <c r="A5" s="41" t="str">
        <f>'Sankey Consumption Data'!B105</f>
        <v>Renewables</v>
      </c>
      <c r="B5" s="41" t="str">
        <f>'Sankey Consumption Data'!C105</f>
        <v>Lighting</v>
      </c>
      <c r="C5" s="41" t="s">
        <v>243</v>
      </c>
      <c r="D5" s="41" t="str">
        <f>'Sankey Consumption Data'!D105</f>
        <v>Commercial</v>
      </c>
      <c r="E5" s="41">
        <f>'Sankey Consumption Data'!E105</f>
        <v>301960.73585202941</v>
      </c>
    </row>
    <row r="6" spans="1:5">
      <c r="A6" s="41" t="str">
        <f>'Sankey Consumption Data'!B106</f>
        <v>Renewables</v>
      </c>
      <c r="B6" s="41" t="str">
        <f>'Sankey Consumption Data'!C106</f>
        <v>Lighting</v>
      </c>
      <c r="C6" s="41" t="s">
        <v>243</v>
      </c>
      <c r="D6" s="41" t="str">
        <f>'Sankey Consumption Data'!D106</f>
        <v>Residential</v>
      </c>
      <c r="E6" s="41">
        <f>'Sankey Consumption Data'!E106</f>
        <v>376695.71010024752</v>
      </c>
    </row>
    <row r="7" spans="1:5">
      <c r="A7" s="41" t="str">
        <f>'Sankey Consumption Data'!B107</f>
        <v>Renewables</v>
      </c>
      <c r="B7" s="41" t="str">
        <f>'Sankey Consumption Data'!C107</f>
        <v>Line Losses</v>
      </c>
      <c r="C7" s="41" t="s">
        <v>243</v>
      </c>
      <c r="D7" s="41" t="str">
        <f>'Sankey Consumption Data'!D107</f>
        <v>Line Losses</v>
      </c>
      <c r="E7" s="41">
        <f>'Sankey Consumption Data'!E107</f>
        <v>442512.20639155165</v>
      </c>
    </row>
    <row r="8" spans="1:5">
      <c r="A8" s="41" t="str">
        <f>'Sankey Consumption Data'!B108</f>
        <v>Renewables</v>
      </c>
      <c r="B8" s="41" t="str">
        <f>'Sankey Consumption Data'!C108</f>
        <v>Appliances</v>
      </c>
      <c r="C8" s="41" t="s">
        <v>243</v>
      </c>
      <c r="D8" s="41" t="str">
        <f>'Sankey Consumption Data'!D108</f>
        <v>Residential</v>
      </c>
      <c r="E8" s="41">
        <f>'Sankey Consumption Data'!E108</f>
        <v>934972.51663469046</v>
      </c>
    </row>
    <row r="9" spans="1:5">
      <c r="A9" s="41" t="str">
        <f>'Sankey Consumption Data'!B109</f>
        <v>Renewables</v>
      </c>
      <c r="B9" s="41" t="str">
        <f>'Sankey Consumption Data'!C109</f>
        <v>Space Cooling</v>
      </c>
      <c r="C9" s="41" t="s">
        <v>243</v>
      </c>
      <c r="D9" s="41" t="str">
        <f>'Sankey Consumption Data'!D109</f>
        <v>Commercial</v>
      </c>
      <c r="E9" s="41">
        <f>'Sankey Consumption Data'!E109</f>
        <v>1278892.5283144771</v>
      </c>
    </row>
    <row r="10" spans="1:5">
      <c r="A10" s="41" t="str">
        <f>'Sankey Consumption Data'!B110</f>
        <v>Renewables</v>
      </c>
      <c r="B10" s="41" t="str">
        <f>'Sankey Consumption Data'!C110</f>
        <v>Electric Vehicles</v>
      </c>
      <c r="C10" s="41" t="s">
        <v>3968</v>
      </c>
      <c r="D10" s="41" t="s">
        <v>3968</v>
      </c>
      <c r="E10" s="41">
        <f>'Sankey Consumption Data'!E110</f>
        <v>0</v>
      </c>
    </row>
    <row r="11" spans="1:5">
      <c r="A11" s="41" t="str">
        <f>'Sankey Consumption Data'!B111</f>
        <v>Diesel</v>
      </c>
      <c r="B11" s="41" t="str">
        <f>'Sankey Consumption Data'!C111</f>
        <v>Lighting</v>
      </c>
      <c r="C11" s="41" t="s">
        <v>243</v>
      </c>
      <c r="D11" s="41" t="str">
        <f>'Sankey Consumption Data'!D111</f>
        <v>Streetlights</v>
      </c>
      <c r="E11" s="41">
        <f>'Sankey Consumption Data'!E111</f>
        <v>110232.11823155908</v>
      </c>
    </row>
    <row r="12" spans="1:5">
      <c r="A12" s="41" t="str">
        <f>'Sankey Consumption Data'!B112</f>
        <v>Diesel</v>
      </c>
      <c r="B12" s="41" t="str">
        <f>'Sankey Consumption Data'!C112</f>
        <v>Space Cooling</v>
      </c>
      <c r="C12" s="41" t="s">
        <v>243</v>
      </c>
      <c r="D12" s="41" t="str">
        <f>'Sankey Consumption Data'!D112</f>
        <v>Residential</v>
      </c>
      <c r="E12" s="41">
        <f>'Sankey Consumption Data'!E112</f>
        <v>2344014.1979511473</v>
      </c>
    </row>
    <row r="13" spans="1:5">
      <c r="A13" s="41" t="str">
        <f>'Sankey Consumption Data'!B113</f>
        <v>Diesel</v>
      </c>
      <c r="B13" s="41" t="str">
        <f>'Sankey Consumption Data'!C113</f>
        <v>Appliances</v>
      </c>
      <c r="C13" s="41" t="s">
        <v>243</v>
      </c>
      <c r="D13" s="41" t="str">
        <f>'Sankey Consumption Data'!D113</f>
        <v>Commercial</v>
      </c>
      <c r="E13" s="41">
        <f>'Sankey Consumption Data'!E113</f>
        <v>2499394.4512482323</v>
      </c>
    </row>
    <row r="14" spans="1:5">
      <c r="A14" s="41" t="str">
        <f>'Sankey Consumption Data'!B114</f>
        <v>Diesel</v>
      </c>
      <c r="B14" s="41" t="str">
        <f>'Sankey Consumption Data'!C114</f>
        <v>Lighting</v>
      </c>
      <c r="C14" s="41" t="s">
        <v>243</v>
      </c>
      <c r="D14" s="41" t="str">
        <f>'Sankey Consumption Data'!D114</f>
        <v>Commercial</v>
      </c>
      <c r="E14" s="41">
        <f>'Sankey Consumption Data'!E114</f>
        <v>3862700.5155654498</v>
      </c>
    </row>
    <row r="15" spans="1:5">
      <c r="A15" s="41" t="str">
        <f>'Sankey Consumption Data'!B115</f>
        <v>Diesel</v>
      </c>
      <c r="B15" s="41" t="str">
        <f>'Sankey Consumption Data'!C115</f>
        <v>Lighting</v>
      </c>
      <c r="C15" s="41" t="s">
        <v>243</v>
      </c>
      <c r="D15" s="41" t="str">
        <f>'Sankey Consumption Data'!D115</f>
        <v>Residential</v>
      </c>
      <c r="E15" s="41">
        <f>'Sankey Consumption Data'!E115</f>
        <v>4818714.9548097122</v>
      </c>
    </row>
    <row r="16" spans="1:5">
      <c r="A16" s="41" t="str">
        <f>'Sankey Consumption Data'!B116</f>
        <v>Diesel</v>
      </c>
      <c r="B16" s="41" t="str">
        <f>'Sankey Consumption Data'!C116</f>
        <v>Line Losses</v>
      </c>
      <c r="C16" s="41" t="s">
        <v>243</v>
      </c>
      <c r="D16" s="41" t="str">
        <f>'Sankey Consumption Data'!D116</f>
        <v>Line Losses</v>
      </c>
      <c r="E16" s="41">
        <f>'Sankey Consumption Data'!E116</f>
        <v>5660643.6692824205</v>
      </c>
    </row>
    <row r="17" spans="1:5">
      <c r="A17" s="41" t="str">
        <f>'Sankey Consumption Data'!B117</f>
        <v>Diesel</v>
      </c>
      <c r="B17" s="41" t="str">
        <f>'Sankey Consumption Data'!C117</f>
        <v>Appliances</v>
      </c>
      <c r="C17" s="41" t="s">
        <v>243</v>
      </c>
      <c r="D17" s="41" t="str">
        <f>'Sankey Consumption Data'!D117</f>
        <v>Residential</v>
      </c>
      <c r="E17" s="41">
        <f>'Sankey Consumption Data'!E117</f>
        <v>11960226.589903751</v>
      </c>
    </row>
    <row r="18" spans="1:5">
      <c r="A18" s="41" t="str">
        <f>'Sankey Consumption Data'!B118</f>
        <v>Diesel</v>
      </c>
      <c r="B18" s="41" t="str">
        <f>'Sankey Consumption Data'!C118</f>
        <v>Space Cooling</v>
      </c>
      <c r="C18" s="41" t="s">
        <v>243</v>
      </c>
      <c r="D18" s="41" t="str">
        <f>'Sankey Consumption Data'!D118</f>
        <v>Commercial</v>
      </c>
      <c r="E18" s="41">
        <f>'Sankey Consumption Data'!E118</f>
        <v>16359672.771806607</v>
      </c>
    </row>
    <row r="19" spans="1:5">
      <c r="A19" s="41" t="str">
        <f>'Sankey Consumption Data'!B119</f>
        <v>Diesel</v>
      </c>
      <c r="B19" s="41" t="s">
        <v>3968</v>
      </c>
      <c r="C19" s="41" t="s">
        <v>3968</v>
      </c>
      <c r="D19" s="41" t="s">
        <v>3968</v>
      </c>
      <c r="E19" s="41">
        <f>'Sankey Consumption Data'!E119</f>
        <v>37992917.421876401</v>
      </c>
    </row>
    <row r="20" spans="1:5">
      <c r="A20" s="41" t="str">
        <f>'Sankey Consumption Data'!B120</f>
        <v>Gasoline</v>
      </c>
      <c r="B20" s="41" t="s">
        <v>3968</v>
      </c>
      <c r="C20" s="41" t="s">
        <v>3968</v>
      </c>
      <c r="D20" s="41" t="s">
        <v>3968</v>
      </c>
      <c r="E20" s="41">
        <f>'Sankey Consumption Data'!E120</f>
        <v>43918202.819031596</v>
      </c>
    </row>
    <row r="21" spans="1:5">
      <c r="A21" s="41" t="str">
        <f>'Sankey Consumption Data'!B121</f>
        <v>Diesel</v>
      </c>
      <c r="B21" s="41" t="str">
        <f>'Sankey Consumption Data'!C121</f>
        <v>Electric Vehicles</v>
      </c>
      <c r="C21" s="41" t="s">
        <v>3968</v>
      </c>
      <c r="D21" s="41" t="s">
        <v>3968</v>
      </c>
      <c r="E21" s="41">
        <f>'Sankey Consumption Data'!E121</f>
        <v>0</v>
      </c>
    </row>
    <row r="22" spans="1:5">
      <c r="A22" s="41"/>
      <c r="B22" s="41"/>
      <c r="E22" s="41"/>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18</vt:i4>
      </vt:variant>
      <vt:variant>
        <vt:lpstr>Named Ranges</vt:lpstr>
      </vt:variant>
      <vt:variant>
        <vt:i4>141</vt:i4>
      </vt:variant>
    </vt:vector>
  </HeadingPairs>
  <TitlesOfParts>
    <vt:vector size="159" baseType="lpstr">
      <vt:lpstr>Basic Parameters and Results</vt:lpstr>
      <vt:lpstr>Advanced Parameters</vt:lpstr>
      <vt:lpstr>Combined</vt:lpstr>
      <vt:lpstr>Transportation</vt:lpstr>
      <vt:lpstr>Electricity</vt:lpstr>
      <vt:lpstr>Other Figures</vt:lpstr>
      <vt:lpstr>Energy Intensity</vt:lpstr>
      <vt:lpstr>TPL Forecast</vt:lpstr>
      <vt:lpstr>2017 Sankey</vt:lpstr>
      <vt:lpstr>2030 Sankey</vt:lpstr>
      <vt:lpstr>2030BAU Sankey</vt:lpstr>
      <vt:lpstr>Sankey Consumption Data</vt:lpstr>
      <vt:lpstr>FE Improvement &amp; EVs</vt:lpstr>
      <vt:lpstr>Idle Redux</vt:lpstr>
      <vt:lpstr>Signal Synchro</vt:lpstr>
      <vt:lpstr>Biodiesel</vt:lpstr>
      <vt:lpstr>GREET Fuel Attributes</vt:lpstr>
      <vt:lpstr>Summary</vt:lpstr>
      <vt:lpstr>AFLEET_look_up_tables</vt:lpstr>
      <vt:lpstr>ALABAMA</vt:lpstr>
      <vt:lpstr>ALASKA</vt:lpstr>
      <vt:lpstr>alternative_emissions</vt:lpstr>
      <vt:lpstr>Annual_FE_Improvement</vt:lpstr>
      <vt:lpstr>Annual_Vehicle_Mileage</vt:lpstr>
      <vt:lpstr>ARIZONA</vt:lpstr>
      <vt:lpstr>ARKANSAS</vt:lpstr>
      <vt:lpstr>B100_gallon2GGE</vt:lpstr>
      <vt:lpstr>B20_gallon2GGE</vt:lpstr>
      <vt:lpstr>BAU_diesel_increase</vt:lpstr>
      <vt:lpstr>BAU_gasoline_increase</vt:lpstr>
      <vt:lpstr>BAU_petro_increase</vt:lpstr>
      <vt:lpstr>bus_idle_flow_rate</vt:lpstr>
      <vt:lpstr>Calculated_Gasoline_LHV</vt:lpstr>
      <vt:lpstr>CALIFORNIA</vt:lpstr>
      <vt:lpstr>CNG_GGE2GGE</vt:lpstr>
      <vt:lpstr>CNG_station_type_list</vt:lpstr>
      <vt:lpstr>COLORADO</vt:lpstr>
      <vt:lpstr>Combination_Unit_Long_Haul_Truck</vt:lpstr>
      <vt:lpstr>Combination_Unit_Short_Haul_Truck</vt:lpstr>
      <vt:lpstr>CONNECTICUT</vt:lpstr>
      <vt:lpstr>Consumer_Price_Index</vt:lpstr>
      <vt:lpstr>DELAWARE</vt:lpstr>
      <vt:lpstr>Diesel_Buses</vt:lpstr>
      <vt:lpstr>diesel_gallon2GGE</vt:lpstr>
      <vt:lpstr>Diesel_GHG_Emissions</vt:lpstr>
      <vt:lpstr>Diesel_per_vehicle</vt:lpstr>
      <vt:lpstr>Diesel_Trucks</vt:lpstr>
      <vt:lpstr>DISTRICT_OF_COLUMBIA</vt:lpstr>
      <vt:lpstr>E85_gallon2GGE</vt:lpstr>
      <vt:lpstr>Electric_percent</vt:lpstr>
      <vt:lpstr>EVSE_type_list</vt:lpstr>
      <vt:lpstr>Externality_Cost_Data</vt:lpstr>
      <vt:lpstr>FE_Improvement</vt:lpstr>
      <vt:lpstr>FLORIDA</vt:lpstr>
      <vt:lpstr>Fuel_Cost_Data</vt:lpstr>
      <vt:lpstr>gasoline_gallon2GGE</vt:lpstr>
      <vt:lpstr>Gasoline_GHG_Emissions</vt:lpstr>
      <vt:lpstr>GEORGIA</vt:lpstr>
      <vt:lpstr>Grease_Biodiesel</vt:lpstr>
      <vt:lpstr>greet_specs</vt:lpstr>
      <vt:lpstr>H2_kg2GGE</vt:lpstr>
      <vt:lpstr>HAWAII</vt:lpstr>
      <vt:lpstr>HDV_list</vt:lpstr>
      <vt:lpstr>IDAHO</vt:lpstr>
      <vt:lpstr>Idle_hours_reduced</vt:lpstr>
      <vt:lpstr>idling_data</vt:lpstr>
      <vt:lpstr>ILLINOIS</vt:lpstr>
      <vt:lpstr>INDIANA</vt:lpstr>
      <vt:lpstr>Infrastructure_Cost_Data</vt:lpstr>
      <vt:lpstr>IOWA</vt:lpstr>
      <vt:lpstr>KANSAS</vt:lpstr>
      <vt:lpstr>KENTUCKY</vt:lpstr>
      <vt:lpstr>kWh2GGE</vt:lpstr>
      <vt:lpstr>LDV_Fuel_Econ_Beginning</vt:lpstr>
      <vt:lpstr>LDV_list</vt:lpstr>
      <vt:lpstr>LDV_VKT</vt:lpstr>
      <vt:lpstr>LDV_VMT</vt:lpstr>
      <vt:lpstr>Light_Commercial_Truck</vt:lpstr>
      <vt:lpstr>LNG_gallon2GGE</vt:lpstr>
      <vt:lpstr>location_costs</vt:lpstr>
      <vt:lpstr>location_stations</vt:lpstr>
      <vt:lpstr>LOUISIANA</vt:lpstr>
      <vt:lpstr>LPG_gallon2GGE</vt:lpstr>
      <vt:lpstr>MAINE</vt:lpstr>
      <vt:lpstr>MARYLAND</vt:lpstr>
      <vt:lpstr>MASSACHUSETTS</vt:lpstr>
      <vt:lpstr>MICHIGAN</vt:lpstr>
      <vt:lpstr>MINNESOTA</vt:lpstr>
      <vt:lpstr>MISSISSIPPI</vt:lpstr>
      <vt:lpstr>MISSOURI</vt:lpstr>
      <vt:lpstr>MONTANA</vt:lpstr>
      <vt:lpstr>moves_list</vt:lpstr>
      <vt:lpstr>national_emissions</vt:lpstr>
      <vt:lpstr>NEBRASKA</vt:lpstr>
      <vt:lpstr>NEVADA</vt:lpstr>
      <vt:lpstr>NEW_HAMPSHIRE</vt:lpstr>
      <vt:lpstr>NEW_JERSEY</vt:lpstr>
      <vt:lpstr>NEW_MEXICO</vt:lpstr>
      <vt:lpstr>NEW_YORK</vt:lpstr>
      <vt:lpstr>NORTH_CAROLINA</vt:lpstr>
      <vt:lpstr>NORTH_DAKOTA</vt:lpstr>
      <vt:lpstr>OHIO</vt:lpstr>
      <vt:lpstr>OKLAHOMA</vt:lpstr>
      <vt:lpstr>OREGON</vt:lpstr>
      <vt:lpstr>padd</vt:lpstr>
      <vt:lpstr>padd_private_cost</vt:lpstr>
      <vt:lpstr>padd_private_fuel</vt:lpstr>
      <vt:lpstr>padd_public_cost</vt:lpstr>
      <vt:lpstr>padd_public_fuel</vt:lpstr>
      <vt:lpstr>padd_states</vt:lpstr>
      <vt:lpstr>Passenger_Car</vt:lpstr>
      <vt:lpstr>Passenger_Truck</vt:lpstr>
      <vt:lpstr>PENNSYLVANIA</vt:lpstr>
      <vt:lpstr>Perc_Biodiesel</vt:lpstr>
      <vt:lpstr>Petrol_GHG_Emissions</vt:lpstr>
      <vt:lpstr>Petrol_per_vehicle</vt:lpstr>
      <vt:lpstr>Portion_Gasoline</vt:lpstr>
      <vt:lpstr>private_cost_gge</vt:lpstr>
      <vt:lpstr>private_fuel_gge</vt:lpstr>
      <vt:lpstr>private_national_gge</vt:lpstr>
      <vt:lpstr>private_stations</vt:lpstr>
      <vt:lpstr>private_stations_fuel</vt:lpstr>
      <vt:lpstr>public_cost_gge</vt:lpstr>
      <vt:lpstr>public_fuel_gge</vt:lpstr>
      <vt:lpstr>public_national_gge</vt:lpstr>
      <vt:lpstr>public_stations</vt:lpstr>
      <vt:lpstr>public_stations_fuel</vt:lpstr>
      <vt:lpstr>PUERTO_RICO</vt:lpstr>
      <vt:lpstr>Refuse_Truck</vt:lpstr>
      <vt:lpstr>RHODE_ISLAND</vt:lpstr>
      <vt:lpstr>School_Bus</vt:lpstr>
      <vt:lpstr>Scrap_Rate</vt:lpstr>
      <vt:lpstr>Scrappage</vt:lpstr>
      <vt:lpstr>signal_gallons_saved</vt:lpstr>
      <vt:lpstr>Single_Unit_Long_Haul_Truck</vt:lpstr>
      <vt:lpstr>Single_Unit_Short_Haul_Truck</vt:lpstr>
      <vt:lpstr>SOUTH_CAROLINA</vt:lpstr>
      <vt:lpstr>SOUTH_DAKOTA</vt:lpstr>
      <vt:lpstr>state_emissions</vt:lpstr>
      <vt:lpstr>state_list</vt:lpstr>
      <vt:lpstr>Station_type_list</vt:lpstr>
      <vt:lpstr>Synchronized_signals</vt:lpstr>
      <vt:lpstr>TENNESSEE</vt:lpstr>
      <vt:lpstr>TEXAS</vt:lpstr>
      <vt:lpstr>Tonga_LDV_Fuel_Econ</vt:lpstr>
      <vt:lpstr>Transit_Bus</vt:lpstr>
      <vt:lpstr>truck_idle_flow_rate</vt:lpstr>
      <vt:lpstr>user_defined_mix</vt:lpstr>
      <vt:lpstr>UTAH</vt:lpstr>
      <vt:lpstr>Vehicle_Cost_Data</vt:lpstr>
      <vt:lpstr>VERMONT</vt:lpstr>
      <vt:lpstr>VIRGIN_ISLANDS</vt:lpstr>
      <vt:lpstr>VIRGINIA</vt:lpstr>
      <vt:lpstr>VMT_Redux</vt:lpstr>
      <vt:lpstr>vocation_selection</vt:lpstr>
      <vt:lpstr>WASHINGTON</vt:lpstr>
      <vt:lpstr>WEST_VIRGINIA</vt:lpstr>
      <vt:lpstr>WISCONSIN</vt:lpstr>
      <vt:lpstr>WYOMING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Johnson, Caley</dc:creator>
  <cp:lastModifiedBy>Koebrich, Sam</cp:lastModifiedBy>
  <dcterms:created xsi:type="dcterms:W3CDTF">2012-07-16T18:53:50Z</dcterms:created>
  <dcterms:modified xsi:type="dcterms:W3CDTF">2018-08-23T20:04:38Z</dcterms:modified>
</cp:coreProperties>
</file>